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/>
  <mc:AlternateContent xmlns:mc="http://schemas.openxmlformats.org/markup-compatibility/2006">
    <mc:Choice Requires="x15">
      <x15ac:absPath xmlns:x15ac="http://schemas.microsoft.com/office/spreadsheetml/2010/11/ac" url="E:\家庭共享\"/>
    </mc:Choice>
  </mc:AlternateContent>
  <xr:revisionPtr revIDLastSave="0" documentId="13_ncr:1_{EBF97C6F-9494-4A86-AF46-B8EE75EDE223}" xr6:coauthVersionLast="47" xr6:coauthVersionMax="47" xr10:uidLastSave="{00000000-0000-0000-0000-000000000000}"/>
  <bookViews>
    <workbookView xWindow="8724" yWindow="1536" windowWidth="10308" windowHeight="13776" tabRatio="739" activeTab="2" xr2:uid="{00000000-000D-0000-FFFF-FFFF00000000}"/>
  </bookViews>
  <sheets>
    <sheet name="3元新聞20億" sheetId="74" r:id="rId1"/>
    <sheet name="當沖" sheetId="115" r:id="rId2"/>
    <sheet name="TSE OTC" sheetId="57" r:id="rId3"/>
    <sheet name="3合1權值30%" sheetId="94" r:id="rId4"/>
    <sheet name="量強主30%" sheetId="113" r:id="rId5"/>
    <sheet name="看盤" sheetId="28" r:id="rId6"/>
    <sheet name="stock" sheetId="22" r:id="rId7"/>
    <sheet name="分類" sheetId="85" r:id="rId8"/>
    <sheet name="MEMO" sheetId="21" r:id="rId9"/>
    <sheet name="主力整理" sheetId="95" r:id="rId10"/>
    <sheet name="選股策略" sheetId="111" r:id="rId11"/>
    <sheet name="Sheet1" sheetId="114" r:id="rId12"/>
    <sheet name="3元5%周轉率30%" sheetId="109" r:id="rId13"/>
    <sheet name="融本比0.5%" sheetId="101" r:id="rId14"/>
    <sheet name="外本比0.5%" sheetId="99" r:id="rId15"/>
    <sheet name="投本比0.2%" sheetId="110" r:id="rId16"/>
    <sheet name="自本比0.2%" sheetId="112" r:id="rId17"/>
    <sheet name="券資比2%" sheetId="102" r:id="rId18"/>
    <sheet name="大戶1%" sheetId="98" r:id="rId19"/>
    <sheet name="借融券5%" sheetId="107" r:id="rId20"/>
    <sheet name="內部人1%" sheetId="108" r:id="rId21"/>
  </sheets>
  <definedNames>
    <definedName name="_xlnm._FilterDatabase" localSheetId="2" hidden="1">'TSE OTC'!$A$1796:$AR$1814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1798" i="57" l="1"/>
  <c r="AN1798" i="57"/>
  <c r="AL1798" i="57" l="1"/>
  <c r="AK1798" i="57"/>
  <c r="AM1799" i="57"/>
  <c r="AN1799" i="57"/>
  <c r="AL1799" i="57" l="1"/>
  <c r="AK1799" i="57"/>
  <c r="AM1800" i="57"/>
  <c r="AN1800" i="57"/>
  <c r="AL1800" i="57" l="1"/>
  <c r="AK1800" i="57"/>
  <c r="AM1801" i="57"/>
  <c r="AN1801" i="57"/>
  <c r="AL1801" i="57" l="1"/>
  <c r="AK1801" i="57"/>
  <c r="AM1802" i="57"/>
  <c r="AN1802" i="57"/>
  <c r="AL1802" i="57" l="1"/>
  <c r="AK1802" i="57"/>
  <c r="AM1803" i="57"/>
  <c r="AN1803" i="57"/>
  <c r="AL1803" i="57" l="1"/>
  <c r="AK1803" i="57"/>
  <c r="AM1804" i="57"/>
  <c r="AN1804" i="57"/>
  <c r="AL1804" i="57" l="1"/>
  <c r="AK1804" i="57"/>
  <c r="AG1804" i="57"/>
  <c r="Y1804" i="57"/>
  <c r="AA1804" i="57" l="1"/>
  <c r="AB1804" i="57" s="1"/>
  <c r="Q1804" i="57"/>
  <c r="T1804" i="57" s="1"/>
  <c r="O1804" i="57"/>
  <c r="N1804" i="57"/>
  <c r="AG1803" i="57"/>
  <c r="Y1803" i="57"/>
  <c r="AA1803" i="57" l="1"/>
  <c r="AB1803" i="57" s="1"/>
  <c r="Q1803" i="57"/>
  <c r="T1803" i="57" s="1"/>
  <c r="O1803" i="57"/>
  <c r="N1803" i="57"/>
  <c r="AG1802" i="57"/>
  <c r="Y1802" i="57"/>
  <c r="AA1802" i="57" l="1"/>
  <c r="AB1802" i="57" s="1"/>
  <c r="Q1802" i="57"/>
  <c r="T1802" i="57" s="1"/>
  <c r="O1802" i="57"/>
  <c r="N1802" i="57"/>
  <c r="AG1801" i="57"/>
  <c r="Y1801" i="57"/>
  <c r="AA1801" i="57" l="1"/>
  <c r="AB1801" i="57" s="1"/>
  <c r="Q1801" i="57"/>
  <c r="T1801" i="57" s="1"/>
  <c r="O1801" i="57"/>
  <c r="N1801" i="57"/>
  <c r="AG1800" i="57"/>
  <c r="Y1800" i="57"/>
  <c r="AA1800" i="57" l="1"/>
  <c r="AB1800" i="57" s="1"/>
  <c r="Q1800" i="57"/>
  <c r="T1800" i="57" s="1"/>
  <c r="O1800" i="57"/>
  <c r="N1800" i="57"/>
  <c r="AG1799" i="57"/>
  <c r="Y1799" i="57"/>
  <c r="AA1799" i="57" l="1"/>
  <c r="AB1799" i="57" s="1"/>
  <c r="Q1799" i="57"/>
  <c r="T1799" i="57" s="1"/>
  <c r="O1799" i="57"/>
  <c r="N1799" i="57"/>
  <c r="AG1798" i="57"/>
  <c r="Y1798" i="57"/>
  <c r="AA1798" i="57" l="1"/>
  <c r="AB1798" i="57" s="1"/>
  <c r="T1798" i="57"/>
  <c r="O1798" i="57"/>
  <c r="N1798" i="57"/>
  <c r="AN1797" i="57"/>
  <c r="AL1797" i="57" s="1"/>
  <c r="AM1797" i="57"/>
  <c r="AK1797" i="57" s="1"/>
  <c r="AG1797" i="57"/>
  <c r="Y1797" i="57"/>
  <c r="AA1797" i="57" l="1"/>
  <c r="AB1797" i="57" s="1"/>
  <c r="Q1797" i="57"/>
  <c r="T1797" i="57" s="1"/>
  <c r="O1797" i="57"/>
  <c r="N1797" i="57"/>
  <c r="AM1794" i="57"/>
  <c r="AN1794" i="57"/>
  <c r="AM1770" i="57"/>
  <c r="AN1770" i="57"/>
  <c r="AL1794" i="57" l="1"/>
  <c r="AK1794" i="57"/>
  <c r="AL1770" i="57"/>
  <c r="AK1770" i="57"/>
  <c r="AM1771" i="57"/>
  <c r="AN1771" i="57"/>
  <c r="AL1771" i="57" l="1"/>
  <c r="AK1771" i="57"/>
  <c r="AM1772" i="57"/>
  <c r="AN1772" i="57"/>
  <c r="AL1772" i="57" l="1"/>
  <c r="AK1772" i="57"/>
  <c r="AM1773" i="57"/>
  <c r="AN1773" i="57"/>
  <c r="AL1773" i="57" l="1"/>
  <c r="AK1773" i="57"/>
  <c r="AM1774" i="57"/>
  <c r="AN1774" i="57"/>
  <c r="AL1774" i="57" l="1"/>
  <c r="AK1774" i="57"/>
  <c r="AM1775" i="57"/>
  <c r="AN1775" i="57"/>
  <c r="AL1775" i="57" l="1"/>
  <c r="AK1775" i="57"/>
  <c r="AM1776" i="57"/>
  <c r="AN1776" i="57"/>
  <c r="AL1776" i="57" l="1"/>
  <c r="AK1776" i="57"/>
  <c r="AM1777" i="57"/>
  <c r="AN1777" i="57"/>
  <c r="AL1777" i="57" l="1"/>
  <c r="AK1777" i="57"/>
  <c r="AM1778" i="57"/>
  <c r="AN1778" i="57"/>
  <c r="AL1778" i="57" l="1"/>
  <c r="AK1778" i="57"/>
  <c r="AM1779" i="57"/>
  <c r="AN1779" i="57"/>
  <c r="AL1779" i="57" l="1"/>
  <c r="AK1779" i="57"/>
  <c r="AM1780" i="57"/>
  <c r="AN1780" i="57"/>
  <c r="AL1780" i="57" l="1"/>
  <c r="AK1780" i="57"/>
  <c r="AM1781" i="57"/>
  <c r="AN1781" i="57"/>
  <c r="AL1781" i="57" l="1"/>
  <c r="AK1781" i="57"/>
  <c r="AM1782" i="57"/>
  <c r="AN1782" i="57"/>
  <c r="AL1782" i="57" l="1"/>
  <c r="AK1782" i="57"/>
  <c r="AM1783" i="57"/>
  <c r="AN1783" i="57"/>
  <c r="AL1783" i="57" l="1"/>
  <c r="AK1783" i="57"/>
  <c r="AM1784" i="57"/>
  <c r="AN1784" i="57"/>
  <c r="AL1784" i="57" l="1"/>
  <c r="AK1784" i="57"/>
  <c r="AM1785" i="57"/>
  <c r="AN1785" i="57"/>
  <c r="AL1785" i="57" l="1"/>
  <c r="AK1785" i="57"/>
  <c r="AM1786" i="57"/>
  <c r="AN1786" i="57"/>
  <c r="AL1786" i="57" l="1"/>
  <c r="AK1786" i="57"/>
  <c r="AM1787" i="57"/>
  <c r="AN1787" i="57"/>
  <c r="AL1787" i="57" l="1"/>
  <c r="AK1787" i="57"/>
  <c r="AM1788" i="57"/>
  <c r="AN1788" i="57"/>
  <c r="AL1788" i="57" l="1"/>
  <c r="AK1788" i="57"/>
  <c r="AM1789" i="57"/>
  <c r="AN1789" i="57"/>
  <c r="AL1789" i="57" l="1"/>
  <c r="AK1789" i="57"/>
  <c r="AM1790" i="57"/>
  <c r="AN1790" i="57"/>
  <c r="AL1790" i="57" l="1"/>
  <c r="AK1790" i="57"/>
  <c r="AM1791" i="57"/>
  <c r="AN1791" i="57"/>
  <c r="AL1791" i="57" l="1"/>
  <c r="AK1791" i="57"/>
  <c r="AM1792" i="57"/>
  <c r="AN1792" i="57"/>
  <c r="AL1792" i="57" l="1"/>
  <c r="AK1792" i="57"/>
  <c r="AM1793" i="57"/>
  <c r="AN1793" i="57"/>
  <c r="AL1793" i="57" l="1"/>
  <c r="AK1793" i="57"/>
  <c r="AG1794" i="57"/>
  <c r="Y1794" i="57"/>
  <c r="AA1794" i="57" l="1"/>
  <c r="AB1794" i="57" s="1"/>
  <c r="Q1794" i="57"/>
  <c r="T1794" i="57" s="1"/>
  <c r="O1794" i="57"/>
  <c r="N1794" i="57"/>
  <c r="AG1793" i="57"/>
  <c r="Y1793" i="57"/>
  <c r="AA1793" i="57" l="1"/>
  <c r="AB1793" i="57" s="1"/>
  <c r="Q1793" i="57"/>
  <c r="T1793" i="57" s="1"/>
  <c r="O1793" i="57"/>
  <c r="N1793" i="57"/>
  <c r="AG1792" i="57"/>
  <c r="Y1792" i="57"/>
  <c r="AA1792" i="57" l="1"/>
  <c r="AB1792" i="57" s="1"/>
  <c r="Q1792" i="57"/>
  <c r="T1792" i="57" s="1"/>
  <c r="O1792" i="57"/>
  <c r="N1792" i="57"/>
  <c r="AG1791" i="57"/>
  <c r="Y1791" i="57"/>
  <c r="AA1791" i="57" l="1"/>
  <c r="AB1791" i="57" s="1"/>
  <c r="Q1791" i="57"/>
  <c r="T1791" i="57" s="1"/>
  <c r="O1791" i="57"/>
  <c r="N1791" i="57"/>
  <c r="AG1790" i="57"/>
  <c r="Y1790" i="57"/>
  <c r="AA1790" i="57" l="1"/>
  <c r="AB1790" i="57" s="1"/>
  <c r="Q1790" i="57"/>
  <c r="T1790" i="57" s="1"/>
  <c r="O1790" i="57"/>
  <c r="N1790" i="57"/>
  <c r="AG1789" i="57"/>
  <c r="Y1789" i="57"/>
  <c r="AA1789" i="57" l="1"/>
  <c r="AB1789" i="57" s="1"/>
  <c r="Q1789" i="57"/>
  <c r="T1789" i="57" s="1"/>
  <c r="O1789" i="57"/>
  <c r="N1789" i="57"/>
  <c r="AG1788" i="57"/>
  <c r="Y1788" i="57"/>
  <c r="AA1788" i="57" l="1"/>
  <c r="AB1788" i="57" s="1"/>
  <c r="Q1788" i="57"/>
  <c r="T1788" i="57" s="1"/>
  <c r="O1788" i="57"/>
  <c r="N1788" i="57"/>
  <c r="AG1787" i="57"/>
  <c r="Y1787" i="57"/>
  <c r="AA1787" i="57" l="1"/>
  <c r="AB1787" i="57" s="1"/>
  <c r="Q1787" i="57"/>
  <c r="T1787" i="57" s="1"/>
  <c r="O1787" i="57"/>
  <c r="N1787" i="57"/>
  <c r="AG1786" i="57"/>
  <c r="Y1786" i="57"/>
  <c r="AA1786" i="57" l="1"/>
  <c r="AB1786" i="57" s="1"/>
  <c r="Q1786" i="57"/>
  <c r="T1786" i="57" s="1"/>
  <c r="O1786" i="57"/>
  <c r="N1786" i="57"/>
  <c r="AG1785" i="57"/>
  <c r="Y1785" i="57"/>
  <c r="AA1785" i="57" l="1"/>
  <c r="AB1785" i="57" s="1"/>
  <c r="T1785" i="57"/>
  <c r="O1785" i="57"/>
  <c r="N1785" i="57"/>
  <c r="AG1784" i="57"/>
  <c r="Y1784" i="57"/>
  <c r="AA1784" i="57" l="1"/>
  <c r="AB1784" i="57" s="1"/>
  <c r="Q1784" i="57"/>
  <c r="T1784" i="57" s="1"/>
  <c r="O1784" i="57"/>
  <c r="N1784" i="57"/>
  <c r="AG1783" i="57"/>
  <c r="Y1783" i="57"/>
  <c r="AA1783" i="57" l="1"/>
  <c r="AB1783" i="57" s="1"/>
  <c r="Q1783" i="57"/>
  <c r="T1783" i="57" s="1"/>
  <c r="O1783" i="57"/>
  <c r="N1783" i="57"/>
  <c r="AG1782" i="57"/>
  <c r="Y1782" i="57"/>
  <c r="AA1782" i="57" l="1"/>
  <c r="AB1782" i="57" s="1"/>
  <c r="T1782" i="57"/>
  <c r="O1782" i="57"/>
  <c r="N1782" i="57"/>
  <c r="AG1781" i="57"/>
  <c r="Y1781" i="57"/>
  <c r="AA1781" i="57" l="1"/>
  <c r="AB1781" i="57" s="1"/>
  <c r="Q1781" i="57"/>
  <c r="T1781" i="57" s="1"/>
  <c r="O1781" i="57"/>
  <c r="N1781" i="57"/>
  <c r="AG1780" i="57"/>
  <c r="Y1780" i="57"/>
  <c r="AA1780" i="57" l="1"/>
  <c r="AB1780" i="57" s="1"/>
  <c r="T1780" i="57"/>
  <c r="O1780" i="57"/>
  <c r="N1780" i="57"/>
  <c r="AG1779" i="57"/>
  <c r="Y1779" i="57"/>
  <c r="AA1779" i="57" l="1"/>
  <c r="AB1779" i="57" s="1"/>
  <c r="Q1779" i="57"/>
  <c r="T1779" i="57" s="1"/>
  <c r="O1779" i="57"/>
  <c r="N1779" i="57"/>
  <c r="AG1778" i="57"/>
  <c r="Y1778" i="57"/>
  <c r="AA1778" i="57" l="1"/>
  <c r="AB1778" i="57" s="1"/>
  <c r="Q1778" i="57"/>
  <c r="T1778" i="57" s="1"/>
  <c r="O1778" i="57"/>
  <c r="N1778" i="57"/>
  <c r="AG1777" i="57"/>
  <c r="Y1777" i="57"/>
  <c r="AA1777" i="57" l="1"/>
  <c r="AB1777" i="57" s="1"/>
  <c r="Q1777" i="57"/>
  <c r="T1777" i="57" s="1"/>
  <c r="O1777" i="57"/>
  <c r="N1777" i="57"/>
  <c r="AG1776" i="57"/>
  <c r="Y1776" i="57"/>
  <c r="AA1776" i="57" l="1"/>
  <c r="AB1776" i="57" s="1"/>
  <c r="Q1776" i="57"/>
  <c r="T1776" i="57" s="1"/>
  <c r="O1776" i="57"/>
  <c r="N1776" i="57"/>
  <c r="AG1775" i="57"/>
  <c r="Y1775" i="57"/>
  <c r="AA1775" i="57" l="1"/>
  <c r="AB1775" i="57" s="1"/>
  <c r="Q1775" i="57"/>
  <c r="T1775" i="57" s="1"/>
  <c r="O1775" i="57"/>
  <c r="N1775" i="57"/>
  <c r="AG1774" i="57"/>
  <c r="Y1774" i="57"/>
  <c r="AA1774" i="57" l="1"/>
  <c r="AB1774" i="57" s="1"/>
  <c r="T1774" i="57"/>
  <c r="O1774" i="57"/>
  <c r="N1774" i="57"/>
  <c r="AG1773" i="57"/>
  <c r="Y1773" i="57"/>
  <c r="AA1773" i="57" l="1"/>
  <c r="AB1773" i="57" s="1"/>
  <c r="Q1773" i="57"/>
  <c r="T1773" i="57" s="1"/>
  <c r="O1773" i="57"/>
  <c r="N1773" i="57"/>
  <c r="AG1772" i="57"/>
  <c r="Y1772" i="57"/>
  <c r="AA1772" i="57" l="1"/>
  <c r="AB1772" i="57" s="1"/>
  <c r="Q1772" i="57"/>
  <c r="T1772" i="57" s="1"/>
  <c r="O1772" i="57"/>
  <c r="N1772" i="57"/>
  <c r="AG1771" i="57"/>
  <c r="Y1771" i="57"/>
  <c r="AA1771" i="57" l="1"/>
  <c r="AB1771" i="57" s="1"/>
  <c r="Q1771" i="57"/>
  <c r="T1771" i="57" s="1"/>
  <c r="O1771" i="57"/>
  <c r="N1771" i="57"/>
  <c r="AG1770" i="57"/>
  <c r="Y1770" i="57"/>
  <c r="AA1770" i="57" l="1"/>
  <c r="AB1770" i="57" s="1"/>
  <c r="Q1770" i="57"/>
  <c r="T1770" i="57" s="1"/>
  <c r="O1770" i="57"/>
  <c r="N1770" i="57"/>
  <c r="AN1769" i="57"/>
  <c r="AL1769" i="57" s="1"/>
  <c r="AM1769" i="57"/>
  <c r="AK1769" i="57" s="1"/>
  <c r="AG1769" i="57"/>
  <c r="Y1769" i="57"/>
  <c r="AA1769" i="57" l="1"/>
  <c r="AB1769" i="57" s="1"/>
  <c r="Q1769" i="57"/>
  <c r="T1769" i="57" s="1"/>
  <c r="O1769" i="57"/>
  <c r="N1769" i="57"/>
  <c r="AN1766" i="57"/>
  <c r="AL1766" i="57" s="1"/>
  <c r="AM1766" i="57"/>
  <c r="AK1766" i="57" s="1"/>
  <c r="AG1766" i="57"/>
  <c r="Y1766" i="57"/>
  <c r="AA1766" i="57" l="1"/>
  <c r="AB1766" i="57" s="1"/>
  <c r="Q1766" i="57"/>
  <c r="T1766" i="57" s="1"/>
  <c r="O1766" i="57"/>
  <c r="N1766" i="57"/>
  <c r="AN1765" i="57"/>
  <c r="AL1765" i="57" s="1"/>
  <c r="AM1765" i="57"/>
  <c r="AK1765" i="57" s="1"/>
  <c r="AG1765" i="57"/>
  <c r="Y1765" i="57"/>
  <c r="AA1765" i="57" l="1"/>
  <c r="AB1765" i="57" s="1"/>
  <c r="Q1765" i="57"/>
  <c r="T1765" i="57" s="1"/>
  <c r="O1765" i="57"/>
  <c r="N1765" i="57"/>
  <c r="AN1764" i="57"/>
  <c r="AL1764" i="57" s="1"/>
  <c r="AM1764" i="57"/>
  <c r="AK1764" i="57" s="1"/>
  <c r="AG1764" i="57"/>
  <c r="Y1764" i="57"/>
  <c r="AA1764" i="57" l="1"/>
  <c r="AB1764" i="57" s="1"/>
  <c r="Q1764" i="57"/>
  <c r="T1764" i="57" s="1"/>
  <c r="O1764" i="57"/>
  <c r="N1764" i="57"/>
  <c r="AN1763" i="57"/>
  <c r="AL1763" i="57" s="1"/>
  <c r="AM1763" i="57"/>
  <c r="AK1763" i="57" s="1"/>
  <c r="AG1763" i="57"/>
  <c r="Y1763" i="57"/>
  <c r="AA1763" i="57" l="1"/>
  <c r="AB1763" i="57" s="1"/>
  <c r="Q1763" i="57"/>
  <c r="T1763" i="57" s="1"/>
  <c r="O1763" i="57"/>
  <c r="N1763" i="57"/>
  <c r="AN1762" i="57"/>
  <c r="AL1762" i="57" s="1"/>
  <c r="AM1762" i="57"/>
  <c r="AK1762" i="57" s="1"/>
  <c r="AG1762" i="57"/>
  <c r="Y1762" i="57"/>
  <c r="AA1762" i="57" l="1"/>
  <c r="AB1762" i="57" s="1"/>
  <c r="Q1762" i="57"/>
  <c r="T1762" i="57" s="1"/>
  <c r="O1762" i="57"/>
  <c r="N1762" i="57"/>
  <c r="AN1761" i="57"/>
  <c r="AL1761" i="57" s="1"/>
  <c r="AM1761" i="57"/>
  <c r="AK1761" i="57" s="1"/>
  <c r="AG1761" i="57"/>
  <c r="Y1761" i="57"/>
  <c r="AA1761" i="57" l="1"/>
  <c r="AB1761" i="57" s="1"/>
  <c r="Q1761" i="57"/>
  <c r="T1761" i="57" s="1"/>
  <c r="O1761" i="57"/>
  <c r="N1761" i="57"/>
  <c r="AN1760" i="57"/>
  <c r="AL1760" i="57" s="1"/>
  <c r="AM1760" i="57"/>
  <c r="AK1760" i="57" s="1"/>
  <c r="AG1760" i="57"/>
  <c r="Y1760" i="57"/>
  <c r="AA1760" i="57" l="1"/>
  <c r="AB1760" i="57" s="1"/>
  <c r="Q1760" i="57"/>
  <c r="T1760" i="57" s="1"/>
  <c r="O1760" i="57"/>
  <c r="N1760" i="57"/>
  <c r="AN1759" i="57"/>
  <c r="AL1759" i="57" s="1"/>
  <c r="AM1759" i="57"/>
  <c r="AK1759" i="57" s="1"/>
  <c r="AG1759" i="57"/>
  <c r="Y1759" i="57"/>
  <c r="AA1759" i="57" l="1"/>
  <c r="AB1759" i="57" s="1"/>
  <c r="Q1759" i="57"/>
  <c r="T1759" i="57" s="1"/>
  <c r="O1759" i="57"/>
  <c r="N1759" i="57"/>
  <c r="AN1758" i="57"/>
  <c r="AL1758" i="57" s="1"/>
  <c r="AM1758" i="57"/>
  <c r="AK1758" i="57" s="1"/>
  <c r="AG1758" i="57"/>
  <c r="Y1758" i="57"/>
  <c r="AA1758" i="57" l="1"/>
  <c r="AB1758" i="57" s="1"/>
  <c r="Q1758" i="57"/>
  <c r="T1758" i="57" s="1"/>
  <c r="O1758" i="57"/>
  <c r="N1758" i="57"/>
  <c r="AN1757" i="57"/>
  <c r="AL1757" i="57" s="1"/>
  <c r="AM1757" i="57"/>
  <c r="AK1757" i="57" s="1"/>
  <c r="AG1757" i="57"/>
  <c r="Y1757" i="57"/>
  <c r="AA1757" i="57" l="1"/>
  <c r="AB1757" i="57" s="1"/>
  <c r="Q1757" i="57"/>
  <c r="T1757" i="57" s="1"/>
  <c r="O1757" i="57"/>
  <c r="N1757" i="57"/>
  <c r="AN1756" i="57"/>
  <c r="AL1756" i="57" s="1"/>
  <c r="AM1756" i="57"/>
  <c r="AK1756" i="57" s="1"/>
  <c r="AG1756" i="57"/>
  <c r="Y1756" i="57"/>
  <c r="AA1756" i="57" l="1"/>
  <c r="AB1756" i="57" s="1"/>
  <c r="T1756" i="57"/>
  <c r="O1756" i="57"/>
  <c r="N1756" i="57"/>
  <c r="AN1755" i="57"/>
  <c r="AL1755" i="57" s="1"/>
  <c r="AM1755" i="57"/>
  <c r="AK1755" i="57" s="1"/>
  <c r="AG1755" i="57"/>
  <c r="Y1755" i="57"/>
  <c r="AA1755" i="57" l="1"/>
  <c r="AB1755" i="57" s="1"/>
  <c r="T1755" i="57"/>
  <c r="O1755" i="57"/>
  <c r="N1755" i="57"/>
  <c r="AN1754" i="57"/>
  <c r="AL1754" i="57" s="1"/>
  <c r="AM1754" i="57"/>
  <c r="AK1754" i="57" s="1"/>
  <c r="AG1754" i="57"/>
  <c r="Y1754" i="57"/>
  <c r="AA1754" i="57" l="1"/>
  <c r="AB1754" i="57" s="1"/>
  <c r="Q1754" i="57"/>
  <c r="T1754" i="57" s="1"/>
  <c r="O1754" i="57"/>
  <c r="N1754" i="57"/>
  <c r="AN1753" i="57"/>
  <c r="AL1753" i="57" s="1"/>
  <c r="AM1753" i="57"/>
  <c r="AK1753" i="57" s="1"/>
  <c r="AG1753" i="57"/>
  <c r="Y1753" i="57"/>
  <c r="AA1753" i="57" l="1"/>
  <c r="AB1753" i="57" s="1"/>
  <c r="Q1753" i="57"/>
  <c r="T1753" i="57" s="1"/>
  <c r="O1753" i="57"/>
  <c r="N1753" i="57"/>
  <c r="AN1752" i="57"/>
  <c r="AL1752" i="57" s="1"/>
  <c r="AM1752" i="57"/>
  <c r="AK1752" i="57" s="1"/>
  <c r="AG1752" i="57"/>
  <c r="Y1752" i="57"/>
  <c r="AA1752" i="57" l="1"/>
  <c r="AB1752" i="57" s="1"/>
  <c r="Q1752" i="57"/>
  <c r="T1752" i="57" s="1"/>
  <c r="O1752" i="57"/>
  <c r="N1752" i="57"/>
  <c r="AN1751" i="57"/>
  <c r="AL1751" i="57" s="1"/>
  <c r="AM1751" i="57"/>
  <c r="AK1751" i="57" s="1"/>
  <c r="AG1751" i="57"/>
  <c r="Y1751" i="57"/>
  <c r="AA1751" i="57" l="1"/>
  <c r="AB1751" i="57" s="1"/>
  <c r="Q1751" i="57"/>
  <c r="T1751" i="57" s="1"/>
  <c r="O1751" i="57"/>
  <c r="N1751" i="57"/>
  <c r="AN1750" i="57"/>
  <c r="AL1750" i="57" s="1"/>
  <c r="AM1750" i="57"/>
  <c r="AK1750" i="57" s="1"/>
  <c r="AG1750" i="57"/>
  <c r="Y1750" i="57"/>
  <c r="AA1750" i="57" l="1"/>
  <c r="AB1750" i="57" s="1"/>
  <c r="Q1750" i="57"/>
  <c r="T1750" i="57" s="1"/>
  <c r="O1750" i="57"/>
  <c r="N1750" i="57"/>
  <c r="AN1749" i="57"/>
  <c r="AL1749" i="57" s="1"/>
  <c r="AM1749" i="57"/>
  <c r="AK1749" i="57" s="1"/>
  <c r="AG1749" i="57"/>
  <c r="Y1749" i="57"/>
  <c r="AA1749" i="57" l="1"/>
  <c r="AB1749" i="57" s="1"/>
  <c r="T1749" i="57"/>
  <c r="O1749" i="57"/>
  <c r="N1749" i="57"/>
  <c r="AN1748" i="57"/>
  <c r="AL1748" i="57" s="1"/>
  <c r="AM1748" i="57"/>
  <c r="AK1748" i="57" s="1"/>
  <c r="AG1748" i="57"/>
  <c r="Y1748" i="57"/>
  <c r="AA1748" i="57" l="1"/>
  <c r="AB1748" i="57" s="1"/>
  <c r="Q1748" i="57"/>
  <c r="T1748" i="57" s="1"/>
  <c r="O1748" i="57"/>
  <c r="N1748" i="57"/>
  <c r="AN1747" i="57"/>
  <c r="AL1747" i="57" s="1"/>
  <c r="AM1747" i="57"/>
  <c r="AK1747" i="57" s="1"/>
  <c r="AG1747" i="57"/>
  <c r="Y1747" i="57"/>
  <c r="AA1747" i="57" l="1"/>
  <c r="AB1747" i="57" s="1"/>
  <c r="Q1747" i="57"/>
  <c r="T1747" i="57" s="1"/>
  <c r="O1747" i="57"/>
  <c r="N1747" i="57"/>
  <c r="AN1746" i="57"/>
  <c r="AL1746" i="57" s="1"/>
  <c r="AM1746" i="57"/>
  <c r="AK1746" i="57" s="1"/>
  <c r="AG1746" i="57"/>
  <c r="Y1746" i="57"/>
  <c r="AA1746" i="57" l="1"/>
  <c r="AB1746" i="57" s="1"/>
  <c r="Q1746" i="57"/>
  <c r="T1746" i="57" s="1"/>
  <c r="O1746" i="57"/>
  <c r="N1746" i="57"/>
  <c r="AN1745" i="57"/>
  <c r="AL1745" i="57" s="1"/>
  <c r="AM1745" i="57"/>
  <c r="AK1745" i="57" s="1"/>
  <c r="AG1745" i="57"/>
  <c r="Y1745" i="57"/>
  <c r="AA1745" i="57" l="1"/>
  <c r="AB1745" i="57" s="1"/>
  <c r="Q1745" i="57"/>
  <c r="T1745" i="57" s="1"/>
  <c r="O1745" i="57"/>
  <c r="N1745" i="57"/>
  <c r="AG1744" i="57"/>
  <c r="Y1744" i="57"/>
  <c r="AA1744" i="57" l="1"/>
  <c r="AB1744" i="57" s="1"/>
  <c r="Q1744" i="57"/>
  <c r="T1744" i="57" s="1"/>
  <c r="O1744" i="57"/>
  <c r="N1744" i="57"/>
  <c r="AG1743" i="57"/>
  <c r="Y1743" i="57"/>
  <c r="AA1743" i="57" l="1"/>
  <c r="AB1743" i="57" s="1"/>
  <c r="Q1743" i="57"/>
  <c r="T1743" i="57" s="1"/>
  <c r="O1743" i="57"/>
  <c r="N1743" i="57"/>
  <c r="AN1742" i="57"/>
  <c r="AL1742" i="57" s="1"/>
  <c r="AM1742" i="57"/>
  <c r="AK1742" i="57" s="1"/>
  <c r="AG1742" i="57"/>
  <c r="Y1742" i="57"/>
  <c r="AA1742" i="57" l="1"/>
  <c r="AB1742" i="57" s="1"/>
  <c r="T1742" i="57"/>
  <c r="O1742" i="57"/>
  <c r="N1742" i="57"/>
  <c r="AN1741" i="57"/>
  <c r="AL1741" i="57" s="1"/>
  <c r="AM1741" i="57"/>
  <c r="AK1741" i="57" s="1"/>
  <c r="AG1741" i="57"/>
  <c r="Y1741" i="57"/>
  <c r="AA1741" i="57" l="1"/>
  <c r="AB1741" i="57" s="1"/>
  <c r="Q1741" i="57"/>
  <c r="T1741" i="57" s="1"/>
  <c r="O1741" i="57"/>
  <c r="N1741" i="57"/>
  <c r="AN1740" i="57"/>
  <c r="AL1740" i="57" s="1"/>
  <c r="AM1740" i="57"/>
  <c r="AK1740" i="57" s="1"/>
  <c r="AG1740" i="57"/>
  <c r="Y1740" i="57"/>
  <c r="AA1740" i="57" l="1"/>
  <c r="AB1740" i="57" s="1"/>
  <c r="T1740" i="57"/>
  <c r="O1740" i="57"/>
  <c r="N1740" i="57"/>
  <c r="AN1739" i="57"/>
  <c r="AL1739" i="57" s="1"/>
  <c r="AM1739" i="57"/>
  <c r="AK1739" i="57" s="1"/>
  <c r="AG1739" i="57"/>
  <c r="Y1739" i="57"/>
  <c r="AA1739" i="57" l="1"/>
  <c r="AB1739" i="57" s="1"/>
  <c r="Q1739" i="57"/>
  <c r="T1739" i="57" s="1"/>
  <c r="O1739" i="57"/>
  <c r="N1739" i="57"/>
  <c r="AG1738" i="57"/>
  <c r="Y1738" i="57"/>
  <c r="AA1738" i="57" l="1"/>
  <c r="AB1738" i="57" s="1"/>
  <c r="Q1738" i="57"/>
  <c r="T1738" i="57" s="1"/>
  <c r="O1738" i="57"/>
  <c r="N1738" i="57"/>
  <c r="AN1737" i="57"/>
  <c r="AL1737" i="57" s="1"/>
  <c r="AM1737" i="57"/>
  <c r="AK1737" i="57" s="1"/>
  <c r="AG1737" i="57"/>
  <c r="Y1737" i="57"/>
  <c r="AA1737" i="57" l="1"/>
  <c r="AB1737" i="57" s="1"/>
  <c r="Q1737" i="57"/>
  <c r="T1737" i="57" s="1"/>
  <c r="O1737" i="57"/>
  <c r="N1737" i="57"/>
  <c r="AN1736" i="57"/>
  <c r="AL1736" i="57" s="1"/>
  <c r="AM1736" i="57"/>
  <c r="AK1736" i="57" s="1"/>
  <c r="AG1736" i="57"/>
  <c r="Y1736" i="57"/>
  <c r="AA1736" i="57" l="1"/>
  <c r="AB1736" i="57" s="1"/>
  <c r="Q1736" i="57"/>
  <c r="T1736" i="57" s="1"/>
  <c r="O1736" i="57"/>
  <c r="N1736" i="57"/>
  <c r="AN1735" i="57"/>
  <c r="AL1735" i="57" s="1"/>
  <c r="AM1735" i="57"/>
  <c r="AK1735" i="57" s="1"/>
  <c r="AG1735" i="57"/>
  <c r="Y1735" i="57"/>
  <c r="AA1735" i="57" l="1"/>
  <c r="AB1735" i="57" s="1"/>
  <c r="Q1735" i="57"/>
  <c r="T1735" i="57" s="1"/>
  <c r="O1735" i="57"/>
  <c r="N1735" i="57"/>
  <c r="AN1734" i="57"/>
  <c r="AL1734" i="57" s="1"/>
  <c r="AM1734" i="57"/>
  <c r="AK1734" i="57" s="1"/>
  <c r="AG1734" i="57"/>
  <c r="Y1734" i="57"/>
  <c r="AA1734" i="57" l="1"/>
  <c r="AB1734" i="57" s="1"/>
  <c r="Q1734" i="57"/>
  <c r="T1734" i="57" s="1"/>
  <c r="O1734" i="57"/>
  <c r="N1734" i="57"/>
  <c r="AN1733" i="57"/>
  <c r="AL1733" i="57" s="1"/>
  <c r="AM1733" i="57"/>
  <c r="AK1733" i="57" s="1"/>
  <c r="AG1733" i="57"/>
  <c r="Y1733" i="57"/>
  <c r="AA1733" i="57" l="1"/>
  <c r="AB1733" i="57" s="1"/>
  <c r="Q1733" i="57"/>
  <c r="T1733" i="57" s="1"/>
  <c r="O1733" i="57"/>
  <c r="N1733" i="57"/>
  <c r="AN1732" i="57"/>
  <c r="AL1732" i="57" s="1"/>
  <c r="AM1732" i="57"/>
  <c r="AK1732" i="57" s="1"/>
  <c r="AG1732" i="57"/>
  <c r="Y1732" i="57"/>
  <c r="AA1732" i="57" l="1"/>
  <c r="AB1732" i="57" s="1"/>
  <c r="Q1732" i="57"/>
  <c r="T1732" i="57" s="1"/>
  <c r="O1732" i="57"/>
  <c r="N1732" i="57"/>
  <c r="AN1731" i="57"/>
  <c r="AL1731" i="57" s="1"/>
  <c r="AM1731" i="57"/>
  <c r="AK1731" i="57" s="1"/>
  <c r="AG1731" i="57"/>
  <c r="Y1731" i="57"/>
  <c r="AA1731" i="57" l="1"/>
  <c r="AB1731" i="57" s="1"/>
  <c r="Q1731" i="57"/>
  <c r="T1731" i="57" s="1"/>
  <c r="O1731" i="57"/>
  <c r="N1731" i="57"/>
  <c r="AN1730" i="57"/>
  <c r="AL1730" i="57" s="1"/>
  <c r="AM1730" i="57"/>
  <c r="AK1730" i="57" s="1"/>
  <c r="AG1730" i="57"/>
  <c r="Y1730" i="57"/>
  <c r="AA1730" i="57" l="1"/>
  <c r="AB1730" i="57" s="1"/>
  <c r="Q1730" i="57"/>
  <c r="T1730" i="57" s="1"/>
  <c r="O1730" i="57"/>
  <c r="N1730" i="57"/>
  <c r="AN1729" i="57"/>
  <c r="AL1729" i="57" s="1"/>
  <c r="AM1729" i="57"/>
  <c r="AK1729" i="57" s="1"/>
  <c r="AG1729" i="57"/>
  <c r="Y1729" i="57"/>
  <c r="AA1729" i="57" l="1"/>
  <c r="AB1729" i="57" s="1"/>
  <c r="Q1729" i="57"/>
  <c r="T1729" i="57" s="1"/>
  <c r="O1729" i="57"/>
  <c r="N1729" i="57"/>
  <c r="AN1728" i="57"/>
  <c r="AL1728" i="57" s="1"/>
  <c r="AM1728" i="57"/>
  <c r="AK1728" i="57" s="1"/>
  <c r="AG1728" i="57"/>
  <c r="Y1728" i="57"/>
  <c r="AA1728" i="57" l="1"/>
  <c r="AB1728" i="57" s="1"/>
  <c r="Q1728" i="57"/>
  <c r="T1728" i="57" s="1"/>
  <c r="O1728" i="57"/>
  <c r="N1728" i="57"/>
  <c r="AN1727" i="57"/>
  <c r="AL1727" i="57" s="1"/>
  <c r="AM1727" i="57"/>
  <c r="AK1727" i="57" s="1"/>
  <c r="AG1727" i="57"/>
  <c r="Y1727" i="57"/>
  <c r="AA1727" i="57" l="1"/>
  <c r="AB1727" i="57" s="1"/>
  <c r="T1727" i="57"/>
  <c r="O1727" i="57"/>
  <c r="N1727" i="57"/>
  <c r="AN1726" i="57"/>
  <c r="AL1726" i="57" s="1"/>
  <c r="AM1726" i="57"/>
  <c r="AK1726" i="57" s="1"/>
  <c r="AG1726" i="57"/>
  <c r="Y1726" i="57"/>
  <c r="AA1726" i="57" l="1"/>
  <c r="AB1726" i="57" s="1"/>
  <c r="Q1726" i="57"/>
  <c r="T1726" i="57" s="1"/>
  <c r="O1726" i="57"/>
  <c r="N1726" i="57"/>
  <c r="AN1725" i="57"/>
  <c r="AL1725" i="57" s="1"/>
  <c r="AM1725" i="57"/>
  <c r="AK1725" i="57" s="1"/>
  <c r="AG1725" i="57"/>
  <c r="Y1725" i="57"/>
  <c r="AA1725" i="57" l="1"/>
  <c r="AB1725" i="57" s="1"/>
  <c r="Q1725" i="57"/>
  <c r="T1725" i="57" s="1"/>
  <c r="O1725" i="57"/>
  <c r="N1725" i="57"/>
  <c r="AG1724" i="57"/>
  <c r="Y1724" i="57"/>
  <c r="AA1724" i="57" l="1"/>
  <c r="AB1724" i="57" s="1"/>
  <c r="Q1724" i="57"/>
  <c r="T1724" i="57" s="1"/>
  <c r="O1724" i="57"/>
  <c r="N1724" i="57"/>
  <c r="AN1723" i="57"/>
  <c r="AL1723" i="57" s="1"/>
  <c r="AM1723" i="57"/>
  <c r="AK1723" i="57" s="1"/>
  <c r="AG1723" i="57"/>
  <c r="Y1723" i="57"/>
  <c r="AA1723" i="57" l="1"/>
  <c r="AB1723" i="57" s="1"/>
  <c r="Q1723" i="57"/>
  <c r="T1723" i="57" s="1"/>
  <c r="O1723" i="57"/>
  <c r="N1723" i="57"/>
  <c r="AN1722" i="57"/>
  <c r="AL1722" i="57" s="1"/>
  <c r="AM1722" i="57"/>
  <c r="AK1722" i="57" s="1"/>
  <c r="AG1722" i="57"/>
  <c r="Y1722" i="57"/>
  <c r="AA1722" i="57" l="1"/>
  <c r="AB1722" i="57" s="1"/>
  <c r="T1722" i="57"/>
  <c r="O1722" i="57"/>
  <c r="N1722" i="57"/>
  <c r="AN1721" i="57"/>
  <c r="AL1721" i="57" s="1"/>
  <c r="AM1721" i="57"/>
  <c r="AK1721" i="57" s="1"/>
  <c r="AG1721" i="57"/>
  <c r="Y1721" i="57"/>
  <c r="AA1721" i="57" l="1"/>
  <c r="AB1721" i="57" s="1"/>
  <c r="Q1721" i="57"/>
  <c r="T1721" i="57" s="1"/>
  <c r="O1721" i="57"/>
  <c r="N1721" i="57"/>
  <c r="AN1720" i="57"/>
  <c r="AL1720" i="57" s="1"/>
  <c r="AM1720" i="57"/>
  <c r="AK1720" i="57" s="1"/>
  <c r="AG1720" i="57"/>
  <c r="Y1720" i="57"/>
  <c r="AA1720" i="57" l="1"/>
  <c r="AB1720" i="57" s="1"/>
  <c r="T1720" i="57"/>
  <c r="O1720" i="57"/>
  <c r="N1720" i="57"/>
  <c r="AN1719" i="57"/>
  <c r="AL1719" i="57" s="1"/>
  <c r="AM1719" i="57"/>
  <c r="AK1719" i="57" s="1"/>
  <c r="AG1719" i="57"/>
  <c r="Y1719" i="57"/>
  <c r="AA1719" i="57" l="1"/>
  <c r="AB1719" i="57" s="1"/>
  <c r="Q1719" i="57"/>
  <c r="T1719" i="57" s="1"/>
  <c r="O1719" i="57"/>
  <c r="N1719" i="57"/>
  <c r="AN1718" i="57"/>
  <c r="AL1718" i="57" s="1"/>
  <c r="AM1718" i="57"/>
  <c r="AK1718" i="57" s="1"/>
  <c r="AG1718" i="57"/>
  <c r="Y1718" i="57"/>
  <c r="AA1718" i="57" l="1"/>
  <c r="AB1718" i="57" s="1"/>
  <c r="Q1718" i="57"/>
  <c r="T1718" i="57" s="1"/>
  <c r="O1718" i="57"/>
  <c r="N1718" i="57"/>
  <c r="AN1717" i="57"/>
  <c r="AL1717" i="57" s="1"/>
  <c r="AM1717" i="57"/>
  <c r="AK1717" i="57" s="1"/>
  <c r="AG1717" i="57"/>
  <c r="Y1717" i="57"/>
  <c r="AA1717" i="57" l="1"/>
  <c r="AB1717" i="57" s="1"/>
  <c r="Q1717" i="57"/>
  <c r="T1717" i="57" s="1"/>
  <c r="O1717" i="57"/>
  <c r="N1717" i="57"/>
  <c r="AN1716" i="57"/>
  <c r="AL1716" i="57" s="1"/>
  <c r="AM1716" i="57"/>
  <c r="AK1716" i="57" s="1"/>
  <c r="AG1716" i="57"/>
  <c r="Y1716" i="57"/>
  <c r="AA1716" i="57" l="1"/>
  <c r="AB1716" i="57" s="1"/>
  <c r="Q1716" i="57"/>
  <c r="T1716" i="57" s="1"/>
  <c r="O1716" i="57"/>
  <c r="N1716" i="57"/>
  <c r="AN1715" i="57"/>
  <c r="AL1715" i="57" s="1"/>
  <c r="AM1715" i="57"/>
  <c r="AK1715" i="57" s="1"/>
  <c r="AG1715" i="57"/>
  <c r="Y1715" i="57"/>
  <c r="AA1715" i="57" l="1"/>
  <c r="AB1715" i="57" s="1"/>
  <c r="Q1715" i="57"/>
  <c r="T1715" i="57" s="1"/>
  <c r="O1715" i="57"/>
  <c r="N1715" i="57"/>
  <c r="AN1714" i="57"/>
  <c r="AL1714" i="57" s="1"/>
  <c r="AM1714" i="57"/>
  <c r="AK1714" i="57" s="1"/>
  <c r="AG1714" i="57"/>
  <c r="Y1714" i="57"/>
  <c r="AA1714" i="57" l="1"/>
  <c r="AB1714" i="57" s="1"/>
  <c r="Q1714" i="57"/>
  <c r="T1714" i="57" s="1"/>
  <c r="O1714" i="57"/>
  <c r="N1714" i="57"/>
  <c r="AN1713" i="57"/>
  <c r="AL1713" i="57" s="1"/>
  <c r="AM1713" i="57"/>
  <c r="AK1713" i="57" s="1"/>
  <c r="AG1713" i="57"/>
  <c r="Y1713" i="57"/>
  <c r="AA1713" i="57" l="1"/>
  <c r="AB1713" i="57" s="1"/>
  <c r="Q1713" i="57"/>
  <c r="T1713" i="57" s="1"/>
  <c r="O1713" i="57"/>
  <c r="N1713" i="57"/>
  <c r="AN1712" i="57"/>
  <c r="AL1712" i="57" s="1"/>
  <c r="AM1712" i="57"/>
  <c r="AK1712" i="57" s="1"/>
  <c r="AG1712" i="57"/>
  <c r="Y1712" i="57"/>
  <c r="AA1712" i="57" l="1"/>
  <c r="AB1712" i="57" s="1"/>
  <c r="Q1712" i="57"/>
  <c r="T1712" i="57" s="1"/>
  <c r="O1712" i="57"/>
  <c r="N1712" i="57"/>
  <c r="AN1711" i="57"/>
  <c r="AL1711" i="57" s="1"/>
  <c r="AM1711" i="57"/>
  <c r="AK1711" i="57" s="1"/>
  <c r="AG1711" i="57"/>
  <c r="Y1711" i="57"/>
  <c r="AA1711" i="57" l="1"/>
  <c r="AB1711" i="57" s="1"/>
  <c r="Q1711" i="57"/>
  <c r="T1711" i="57" s="1"/>
  <c r="O1711" i="57"/>
  <c r="N1711" i="57"/>
  <c r="AN1710" i="57"/>
  <c r="AL1710" i="57" s="1"/>
  <c r="AM1710" i="57"/>
  <c r="AK1710" i="57" s="1"/>
  <c r="AG1710" i="57"/>
  <c r="Y1710" i="57"/>
  <c r="AA1710" i="57" l="1"/>
  <c r="AB1710" i="57" s="1"/>
  <c r="Q1710" i="57"/>
  <c r="T1710" i="57" s="1"/>
  <c r="O1710" i="57"/>
  <c r="N1710" i="57"/>
  <c r="AN1709" i="57"/>
  <c r="AL1709" i="57" s="1"/>
  <c r="AM1709" i="57"/>
  <c r="AK1709" i="57" s="1"/>
  <c r="AG1709" i="57"/>
  <c r="Y1709" i="57"/>
  <c r="AA1709" i="57" l="1"/>
  <c r="AB1709" i="57" s="1"/>
  <c r="Q1709" i="57"/>
  <c r="T1709" i="57" s="1"/>
  <c r="O1709" i="57"/>
  <c r="N1709" i="57"/>
  <c r="AN1708" i="57"/>
  <c r="AL1708" i="57" s="1"/>
  <c r="AM1708" i="57"/>
  <c r="AK1708" i="57" s="1"/>
  <c r="AG1708" i="57"/>
  <c r="Y1708" i="57"/>
  <c r="AA1708" i="57" l="1"/>
  <c r="AB1708" i="57" s="1"/>
  <c r="Q1708" i="57"/>
  <c r="T1708" i="57" s="1"/>
  <c r="O1708" i="57"/>
  <c r="N1708" i="57"/>
  <c r="AN1707" i="57"/>
  <c r="AL1707" i="57" s="1"/>
  <c r="AM1707" i="57"/>
  <c r="AK1707" i="57" s="1"/>
  <c r="AG1707" i="57"/>
  <c r="Y1707" i="57"/>
  <c r="AA1707" i="57" l="1"/>
  <c r="AB1707" i="57" s="1"/>
  <c r="Q1707" i="57"/>
  <c r="T1707" i="57" s="1"/>
  <c r="O1707" i="57"/>
  <c r="N1707" i="57"/>
  <c r="AN1706" i="57"/>
  <c r="AL1706" i="57" s="1"/>
  <c r="AM1706" i="57"/>
  <c r="AK1706" i="57" s="1"/>
  <c r="AG1706" i="57"/>
  <c r="Y1706" i="57"/>
  <c r="AA1706" i="57" l="1"/>
  <c r="AB1706" i="57" s="1"/>
  <c r="Q1706" i="57"/>
  <c r="T1706" i="57" s="1"/>
  <c r="O1706" i="57"/>
  <c r="N1706" i="57"/>
  <c r="AN1705" i="57"/>
  <c r="AL1705" i="57" s="1"/>
  <c r="AM1705" i="57"/>
  <c r="AK1705" i="57" s="1"/>
  <c r="AG1705" i="57"/>
  <c r="Y1705" i="57"/>
  <c r="AA1705" i="57" l="1"/>
  <c r="AB1705" i="57" s="1"/>
  <c r="Q1705" i="57"/>
  <c r="T1705" i="57" s="1"/>
  <c r="O1705" i="57"/>
  <c r="N1705" i="57"/>
  <c r="AN1704" i="57"/>
  <c r="AL1704" i="57" s="1"/>
  <c r="AM1704" i="57"/>
  <c r="AK1704" i="57" s="1"/>
  <c r="AG1704" i="57"/>
  <c r="Y1704" i="57"/>
  <c r="AA1704" i="57" l="1"/>
  <c r="AB1704" i="57" s="1"/>
  <c r="Q1704" i="57"/>
  <c r="T1704" i="57" s="1"/>
  <c r="O1704" i="57"/>
  <c r="N1704" i="57"/>
  <c r="AN1703" i="57"/>
  <c r="AL1703" i="57" s="1"/>
  <c r="AM1703" i="57"/>
  <c r="AK1703" i="57" s="1"/>
  <c r="AG1703" i="57"/>
  <c r="Y1703" i="57"/>
  <c r="AA1703" i="57" l="1"/>
  <c r="AB1703" i="57" s="1"/>
  <c r="Q1703" i="57"/>
  <c r="T1703" i="57" s="1"/>
  <c r="O1703" i="57"/>
  <c r="N1703" i="57"/>
  <c r="AN1702" i="57"/>
  <c r="AL1702" i="57" s="1"/>
  <c r="AM1702" i="57"/>
  <c r="AK1702" i="57" s="1"/>
  <c r="AG1702" i="57"/>
  <c r="Y1702" i="57"/>
  <c r="AA1702" i="57" l="1"/>
  <c r="AB1702" i="57" s="1"/>
  <c r="Q1702" i="57"/>
  <c r="T1702" i="57" s="1"/>
  <c r="O1702" i="57"/>
  <c r="N1702" i="57"/>
  <c r="AN1701" i="57"/>
  <c r="AL1701" i="57" s="1"/>
  <c r="AM1701" i="57"/>
  <c r="AK1701" i="57" s="1"/>
  <c r="AG1701" i="57"/>
  <c r="Y1701" i="57"/>
  <c r="AA1701" i="57" l="1"/>
  <c r="AB1701" i="57" s="1"/>
  <c r="Q1701" i="57"/>
  <c r="T1701" i="57" s="1"/>
  <c r="O1701" i="57"/>
  <c r="N1701" i="57"/>
  <c r="AN1700" i="57"/>
  <c r="AL1700" i="57" s="1"/>
  <c r="AM1700" i="57"/>
  <c r="AK1700" i="57" s="1"/>
  <c r="AG1700" i="57"/>
  <c r="Y1700" i="57"/>
  <c r="AA1700" i="57" l="1"/>
  <c r="AB1700" i="57" s="1"/>
  <c r="T1700" i="57"/>
  <c r="O1700" i="57"/>
  <c r="N1700" i="57"/>
  <c r="AN1699" i="57"/>
  <c r="AM1699" i="57"/>
  <c r="AK1699" i="57" s="1"/>
  <c r="AL1699" i="57"/>
  <c r="AG1699" i="57"/>
  <c r="Y1699" i="57"/>
  <c r="AA1699" i="57" l="1"/>
  <c r="AB1699" i="57" s="1"/>
  <c r="Q1699" i="57"/>
  <c r="T1699" i="57" s="1"/>
  <c r="O1699" i="57"/>
  <c r="N1699" i="57"/>
  <c r="AN1698" i="57"/>
  <c r="AL1698" i="57" s="1"/>
  <c r="AM1698" i="57"/>
  <c r="AK1698" i="57" s="1"/>
  <c r="AG1698" i="57"/>
  <c r="Y1698" i="57"/>
  <c r="AA1698" i="57" l="1"/>
  <c r="AB1698" i="57" s="1"/>
  <c r="Q1698" i="57"/>
  <c r="T1698" i="57" s="1"/>
  <c r="O1698" i="57"/>
  <c r="N1698" i="57"/>
  <c r="AN1697" i="57"/>
  <c r="AL1697" i="57" s="1"/>
  <c r="AM1697" i="57"/>
  <c r="AK1697" i="57" s="1"/>
  <c r="AG1697" i="57"/>
  <c r="Y1697" i="57"/>
  <c r="AA1697" i="57" l="1"/>
  <c r="AB1697" i="57" s="1"/>
  <c r="Q1697" i="57"/>
  <c r="T1697" i="57" s="1"/>
  <c r="O1697" i="57"/>
  <c r="N1697" i="57"/>
  <c r="AN1696" i="57"/>
  <c r="AL1696" i="57" s="1"/>
  <c r="AM1696" i="57"/>
  <c r="AK1696" i="57" s="1"/>
  <c r="AG1696" i="57"/>
  <c r="Y1696" i="57"/>
  <c r="AA1696" i="57" l="1"/>
  <c r="AB1696" i="57" s="1"/>
  <c r="T1696" i="57"/>
  <c r="O1696" i="57"/>
  <c r="N1696" i="57"/>
  <c r="AN1695" i="57"/>
  <c r="AL1695" i="57" s="1"/>
  <c r="AM1695" i="57"/>
  <c r="AK1695" i="57"/>
  <c r="AG1695" i="57"/>
  <c r="Y1695" i="57"/>
  <c r="AA1695" i="57" l="1"/>
  <c r="AB1695" i="57" s="1"/>
  <c r="Q1695" i="57"/>
  <c r="T1695" i="57" s="1"/>
  <c r="O1695" i="57"/>
  <c r="N1695" i="57"/>
  <c r="AN1694" i="57"/>
  <c r="AL1694" i="57" s="1"/>
  <c r="AM1694" i="57"/>
  <c r="AK1694" i="57" s="1"/>
  <c r="AG1694" i="57"/>
  <c r="Y1694" i="57"/>
  <c r="AA1694" i="57" l="1"/>
  <c r="AB1694" i="57" s="1"/>
  <c r="T1694" i="57"/>
  <c r="O1694" i="57"/>
  <c r="N1694" i="57"/>
  <c r="AN1693" i="57"/>
  <c r="AL1693" i="57" s="1"/>
  <c r="AM1693" i="57"/>
  <c r="AK1693" i="57" s="1"/>
  <c r="AG1693" i="57"/>
  <c r="Y1693" i="57"/>
  <c r="AA1693" i="57" l="1"/>
  <c r="AB1693" i="57" s="1"/>
  <c r="Q1693" i="57"/>
  <c r="T1693" i="57" s="1"/>
  <c r="O1693" i="57"/>
  <c r="N1693" i="57"/>
  <c r="AN1692" i="57"/>
  <c r="AL1692" i="57" s="1"/>
  <c r="AM1692" i="57"/>
  <c r="AK1692" i="57" s="1"/>
  <c r="AG1692" i="57"/>
  <c r="Y1692" i="57"/>
  <c r="AA1692" i="57" l="1"/>
  <c r="AB1692" i="57" s="1"/>
  <c r="Q1692" i="57"/>
  <c r="T1692" i="57" s="1"/>
  <c r="O1692" i="57"/>
  <c r="N1692" i="57"/>
  <c r="AG1691" i="57"/>
  <c r="Y1691" i="57"/>
  <c r="AA1691" i="57" l="1"/>
  <c r="AB1691" i="57" s="1"/>
  <c r="T1691" i="57"/>
  <c r="O1691" i="57"/>
  <c r="N1691" i="57"/>
  <c r="AN1690" i="57"/>
  <c r="AL1690" i="57" s="1"/>
  <c r="AM1690" i="57"/>
  <c r="AK1690" i="57" s="1"/>
  <c r="AG1690" i="57"/>
  <c r="Y1690" i="57"/>
  <c r="AA1690" i="57" l="1"/>
  <c r="AB1690" i="57" s="1"/>
  <c r="T1690" i="57"/>
  <c r="O1690" i="57"/>
  <c r="N1690" i="57"/>
  <c r="AN1689" i="57"/>
  <c r="AL1689" i="57" s="1"/>
  <c r="AM1689" i="57"/>
  <c r="AK1689" i="57" s="1"/>
  <c r="AG1689" i="57"/>
  <c r="Y1689" i="57"/>
  <c r="AA1689" i="57" l="1"/>
  <c r="AB1689" i="57" s="1"/>
  <c r="Q1689" i="57"/>
  <c r="T1689" i="57" s="1"/>
  <c r="O1689" i="57"/>
  <c r="N1689" i="57"/>
  <c r="AN1688" i="57"/>
  <c r="AL1688" i="57" s="1"/>
  <c r="AM1688" i="57"/>
  <c r="AK1688" i="57" s="1"/>
  <c r="AG1688" i="57"/>
  <c r="Y1688" i="57"/>
  <c r="AA1688" i="57" l="1"/>
  <c r="AB1688" i="57" s="1"/>
  <c r="Q1688" i="57"/>
  <c r="T1688" i="57" s="1"/>
  <c r="O1688" i="57"/>
  <c r="N1688" i="57"/>
  <c r="AN1687" i="57"/>
  <c r="AL1687" i="57" s="1"/>
  <c r="AM1687" i="57"/>
  <c r="AK1687" i="57" s="1"/>
  <c r="AG1687" i="57"/>
  <c r="Y1687" i="57"/>
  <c r="AA1687" i="57" l="1"/>
  <c r="AB1687" i="57" s="1"/>
  <c r="Q1687" i="57"/>
  <c r="T1687" i="57" s="1"/>
  <c r="O1687" i="57"/>
  <c r="N1687" i="57"/>
  <c r="AN1686" i="57"/>
  <c r="AL1686" i="57" s="1"/>
  <c r="AM1686" i="57"/>
  <c r="AK1686" i="57" s="1"/>
  <c r="AG1686" i="57"/>
  <c r="Y1686" i="57"/>
  <c r="AA1686" i="57" l="1"/>
  <c r="AB1686" i="57" s="1"/>
  <c r="Q1686" i="57"/>
  <c r="T1686" i="57" s="1"/>
  <c r="O1686" i="57"/>
  <c r="N1686" i="57"/>
  <c r="AN1685" i="57"/>
  <c r="AL1685" i="57" s="1"/>
  <c r="AM1685" i="57"/>
  <c r="AK1685" i="57" s="1"/>
  <c r="AG1685" i="57"/>
  <c r="Y1685" i="57"/>
  <c r="AA1685" i="57" l="1"/>
  <c r="AB1685" i="57" s="1"/>
  <c r="T1685" i="57"/>
  <c r="O1685" i="57"/>
  <c r="N1685" i="57"/>
  <c r="AN1684" i="57"/>
  <c r="AL1684" i="57" s="1"/>
  <c r="AM1684" i="57"/>
  <c r="AK1684" i="57" s="1"/>
  <c r="AG1684" i="57"/>
  <c r="Y1684" i="57"/>
  <c r="AA1684" i="57" l="1"/>
  <c r="AB1684" i="57" s="1"/>
  <c r="Q1684" i="57"/>
  <c r="T1684" i="57" s="1"/>
  <c r="O1684" i="57"/>
  <c r="N1684" i="57"/>
  <c r="AN1683" i="57"/>
  <c r="AL1683" i="57" s="1"/>
  <c r="AM1683" i="57"/>
  <c r="AK1683" i="57" s="1"/>
  <c r="AG1683" i="57"/>
  <c r="Y1683" i="57"/>
  <c r="AA1683" i="57" l="1"/>
  <c r="AB1683" i="57" s="1"/>
  <c r="Q1683" i="57"/>
  <c r="T1683" i="57" s="1"/>
  <c r="O1683" i="57"/>
  <c r="N1683" i="57"/>
  <c r="AM1680" i="57"/>
  <c r="AN1680" i="57"/>
  <c r="AM1670" i="57"/>
  <c r="AN1670" i="57"/>
  <c r="AL1680" i="57" l="1"/>
  <c r="AK1680" i="57"/>
  <c r="AL1670" i="57"/>
  <c r="AK1670" i="57"/>
  <c r="AM1671" i="57"/>
  <c r="AN1671" i="57"/>
  <c r="AL1671" i="57" l="1"/>
  <c r="AK1671" i="57"/>
  <c r="AM1672" i="57"/>
  <c r="AN1672" i="57"/>
  <c r="AL1672" i="57" l="1"/>
  <c r="AK1672" i="57"/>
  <c r="AM1673" i="57"/>
  <c r="AN1673" i="57"/>
  <c r="AL1673" i="57" l="1"/>
  <c r="AK1673" i="57"/>
  <c r="AM1674" i="57"/>
  <c r="AN1674" i="57"/>
  <c r="AL1674" i="57" l="1"/>
  <c r="AK1674" i="57"/>
  <c r="AM1675" i="57"/>
  <c r="AN1675" i="57"/>
  <c r="AL1675" i="57" l="1"/>
  <c r="AK1675" i="57"/>
  <c r="AM1676" i="57"/>
  <c r="AN1676" i="57"/>
  <c r="AL1676" i="57" l="1"/>
  <c r="AK1676" i="57"/>
  <c r="AM1677" i="57"/>
  <c r="AN1677" i="57"/>
  <c r="AL1677" i="57" l="1"/>
  <c r="AK1677" i="57"/>
  <c r="AM1678" i="57"/>
  <c r="AN1678" i="57"/>
  <c r="AL1678" i="57" l="1"/>
  <c r="AK1678" i="57"/>
  <c r="AM1679" i="57"/>
  <c r="AN1679" i="57"/>
  <c r="AL1679" i="57" l="1"/>
  <c r="AK1679" i="57"/>
  <c r="AG1680" i="57"/>
  <c r="Y1680" i="57"/>
  <c r="AA1680" i="57" l="1"/>
  <c r="AB1680" i="57" s="1"/>
  <c r="T1680" i="57"/>
  <c r="O1680" i="57"/>
  <c r="N1680" i="57"/>
  <c r="AG1679" i="57"/>
  <c r="Y1679" i="57"/>
  <c r="AA1679" i="57" l="1"/>
  <c r="AB1679" i="57" s="1"/>
  <c r="Q1679" i="57"/>
  <c r="T1679" i="57" s="1"/>
  <c r="O1679" i="57"/>
  <c r="N1679" i="57"/>
  <c r="AG1678" i="57"/>
  <c r="Y1678" i="57"/>
  <c r="AA1678" i="57" l="1"/>
  <c r="AB1678" i="57" s="1"/>
  <c r="Q1678" i="57"/>
  <c r="T1678" i="57" s="1"/>
  <c r="O1678" i="57"/>
  <c r="N1678" i="57"/>
  <c r="AG1677" i="57"/>
  <c r="Y1677" i="57"/>
  <c r="AA1677" i="57" l="1"/>
  <c r="AB1677" i="57" s="1"/>
  <c r="Q1677" i="57"/>
  <c r="T1677" i="57" s="1"/>
  <c r="O1677" i="57"/>
  <c r="N1677" i="57"/>
  <c r="AG1676" i="57"/>
  <c r="Y1676" i="57"/>
  <c r="AA1676" i="57" l="1"/>
  <c r="AB1676" i="57" s="1"/>
  <c r="Q1676" i="57"/>
  <c r="T1676" i="57" s="1"/>
  <c r="O1676" i="57"/>
  <c r="N1676" i="57"/>
  <c r="AG1675" i="57"/>
  <c r="Y1675" i="57"/>
  <c r="AA1675" i="57" l="1"/>
  <c r="AB1675" i="57" s="1"/>
  <c r="Q1675" i="57"/>
  <c r="T1675" i="57" s="1"/>
  <c r="O1675" i="57"/>
  <c r="N1675" i="57"/>
  <c r="AG1674" i="57"/>
  <c r="Y1674" i="57"/>
  <c r="AA1674" i="57" l="1"/>
  <c r="AB1674" i="57" s="1"/>
  <c r="Q1674" i="57"/>
  <c r="T1674" i="57" s="1"/>
  <c r="O1674" i="57"/>
  <c r="N1674" i="57"/>
  <c r="AG1673" i="57"/>
  <c r="Y1673" i="57"/>
  <c r="AA1673" i="57" l="1"/>
  <c r="AB1673" i="57" s="1"/>
  <c r="Q1673" i="57"/>
  <c r="T1673" i="57" s="1"/>
  <c r="O1673" i="57"/>
  <c r="N1673" i="57"/>
  <c r="AG1672" i="57"/>
  <c r="Y1672" i="57"/>
  <c r="AA1672" i="57" l="1"/>
  <c r="AB1672" i="57" s="1"/>
  <c r="Q1672" i="57"/>
  <c r="T1672" i="57" s="1"/>
  <c r="O1672" i="57"/>
  <c r="N1672" i="57"/>
  <c r="AG1671" i="57"/>
  <c r="Y1671" i="57"/>
  <c r="AA1671" i="57" l="1"/>
  <c r="AB1671" i="57" s="1"/>
  <c r="Q1671" i="57"/>
  <c r="T1671" i="57" s="1"/>
  <c r="O1671" i="57"/>
  <c r="N1671" i="57"/>
  <c r="AG1670" i="57"/>
  <c r="Y1670" i="57"/>
  <c r="AA1670" i="57" l="1"/>
  <c r="AB1670" i="57" s="1"/>
  <c r="Q1670" i="57"/>
  <c r="T1670" i="57" s="1"/>
  <c r="O1670" i="57"/>
  <c r="N1670" i="57"/>
  <c r="AN1669" i="57"/>
  <c r="AL1669" i="57" s="1"/>
  <c r="AM1669" i="57"/>
  <c r="AK1669" i="57" s="1"/>
  <c r="AG1669" i="57"/>
  <c r="Y1669" i="57"/>
  <c r="AA1669" i="57" l="1"/>
  <c r="AB1669" i="57" s="1"/>
  <c r="Q1669" i="57"/>
  <c r="T1669" i="57" s="1"/>
  <c r="O1669" i="57"/>
  <c r="N1669" i="57"/>
  <c r="AM1637" i="57"/>
  <c r="AN1637" i="57"/>
  <c r="AL1637" i="57" l="1"/>
  <c r="AK1637" i="57"/>
  <c r="AM1638" i="57"/>
  <c r="AN1638" i="57"/>
  <c r="AL1638" i="57" l="1"/>
  <c r="AK1638" i="57"/>
  <c r="AM1639" i="57"/>
  <c r="AN1639" i="57"/>
  <c r="AL1639" i="57" l="1"/>
  <c r="AK1639" i="57"/>
  <c r="AM1640" i="57"/>
  <c r="AN1640" i="57"/>
  <c r="AL1640" i="57" l="1"/>
  <c r="AK1640" i="57"/>
  <c r="AM1641" i="57"/>
  <c r="AN1641" i="57"/>
  <c r="AL1641" i="57" l="1"/>
  <c r="AK1641" i="57"/>
  <c r="AM1642" i="57"/>
  <c r="AN1642" i="57"/>
  <c r="AL1642" i="57" l="1"/>
  <c r="AK1642" i="57"/>
  <c r="AM1643" i="57"/>
  <c r="AN1643" i="57"/>
  <c r="AL1643" i="57" l="1"/>
  <c r="AK1643" i="57"/>
  <c r="AM1644" i="57"/>
  <c r="AN1644" i="57"/>
  <c r="AL1644" i="57" l="1"/>
  <c r="AK1644" i="57"/>
  <c r="AM1645" i="57"/>
  <c r="AN1645" i="57"/>
  <c r="AL1645" i="57" l="1"/>
  <c r="AK1645" i="57"/>
  <c r="AM1646" i="57"/>
  <c r="AN1646" i="57"/>
  <c r="AL1646" i="57" l="1"/>
  <c r="AK1646" i="57"/>
  <c r="AM1647" i="57"/>
  <c r="AN1647" i="57"/>
  <c r="AL1647" i="57" l="1"/>
  <c r="AK1647" i="57"/>
  <c r="AM1648" i="57"/>
  <c r="AN1648" i="57"/>
  <c r="AL1648" i="57" l="1"/>
  <c r="AK1648" i="57"/>
  <c r="AM1649" i="57"/>
  <c r="AN1649" i="57"/>
  <c r="AL1649" i="57" l="1"/>
  <c r="AK1649" i="57"/>
  <c r="AM1650" i="57"/>
  <c r="AN1650" i="57"/>
  <c r="AL1650" i="57" l="1"/>
  <c r="AK1650" i="57"/>
  <c r="AM1651" i="57"/>
  <c r="AN1651" i="57"/>
  <c r="AL1651" i="57" l="1"/>
  <c r="AK1651" i="57"/>
  <c r="AM1652" i="57"/>
  <c r="AN1652" i="57"/>
  <c r="AL1652" i="57" l="1"/>
  <c r="AK1652" i="57"/>
  <c r="AM1653" i="57"/>
  <c r="AN1653" i="57"/>
  <c r="AL1653" i="57" l="1"/>
  <c r="AK1653" i="57"/>
  <c r="AM1654" i="57"/>
  <c r="AN1654" i="57"/>
  <c r="AL1654" i="57" l="1"/>
  <c r="AK1654" i="57"/>
  <c r="AM1655" i="57"/>
  <c r="AN1655" i="57"/>
  <c r="AL1655" i="57" l="1"/>
  <c r="AK1655" i="57"/>
  <c r="AM1656" i="57"/>
  <c r="AN1656" i="57"/>
  <c r="AL1656" i="57" l="1"/>
  <c r="AK1656" i="57"/>
  <c r="AM1657" i="57"/>
  <c r="AN1657" i="57"/>
  <c r="AL1657" i="57" l="1"/>
  <c r="AK1657" i="57"/>
  <c r="AM1658" i="57"/>
  <c r="AN1658" i="57"/>
  <c r="AL1658" i="57" l="1"/>
  <c r="AK1658" i="57"/>
  <c r="AM1659" i="57"/>
  <c r="AN1659" i="57"/>
  <c r="AL1659" i="57" l="1"/>
  <c r="AK1659" i="57"/>
  <c r="AM1660" i="57"/>
  <c r="AN1660" i="57"/>
  <c r="AL1660" i="57" l="1"/>
  <c r="AK1660" i="57"/>
  <c r="AM1661" i="57"/>
  <c r="AN1661" i="57"/>
  <c r="AL1661" i="57" l="1"/>
  <c r="AK1661" i="57"/>
  <c r="AM1662" i="57"/>
  <c r="AN1662" i="57"/>
  <c r="AL1662" i="57" l="1"/>
  <c r="AK1662" i="57"/>
  <c r="AM1663" i="57"/>
  <c r="AN1663" i="57"/>
  <c r="AL1663" i="57" l="1"/>
  <c r="AK1663" i="57"/>
  <c r="AM1664" i="57"/>
  <c r="AN1664" i="57"/>
  <c r="AL1664" i="57" l="1"/>
  <c r="AK1664" i="57"/>
  <c r="AM1665" i="57"/>
  <c r="AN1665" i="57"/>
  <c r="AL1665" i="57" l="1"/>
  <c r="AK1665" i="57"/>
  <c r="AM1666" i="57"/>
  <c r="AN1666" i="57"/>
  <c r="AM1631" i="57"/>
  <c r="AN1631" i="57"/>
  <c r="AL1666" i="57" l="1"/>
  <c r="AK1666" i="57"/>
  <c r="AL1631" i="57"/>
  <c r="AK1631" i="57"/>
  <c r="AM1632" i="57"/>
  <c r="AN1632" i="57"/>
  <c r="AL1632" i="57" l="1"/>
  <c r="AK1632" i="57"/>
  <c r="AM1633" i="57"/>
  <c r="AN1633" i="57"/>
  <c r="AL1633" i="57" l="1"/>
  <c r="AK1633" i="57"/>
  <c r="AM1634" i="57"/>
  <c r="AN1634" i="57"/>
  <c r="AL1634" i="57" l="1"/>
  <c r="AK1634" i="57"/>
  <c r="AM1635" i="57"/>
  <c r="AN1635" i="57"/>
  <c r="AL1635" i="57" l="1"/>
  <c r="AK1635" i="57"/>
  <c r="AM1636" i="57"/>
  <c r="AN1636" i="57"/>
  <c r="AL1636" i="57" l="1"/>
  <c r="AK1636" i="57"/>
  <c r="AG1666" i="57"/>
  <c r="Y1666" i="57"/>
  <c r="AA1666" i="57" l="1"/>
  <c r="AB1666" i="57" s="1"/>
  <c r="Q1666" i="57"/>
  <c r="T1666" i="57" s="1"/>
  <c r="O1666" i="57"/>
  <c r="N1666" i="57"/>
  <c r="AG1665" i="57"/>
  <c r="Y1665" i="57"/>
  <c r="AA1665" i="57" l="1"/>
  <c r="AB1665" i="57" s="1"/>
  <c r="Q1665" i="57"/>
  <c r="T1665" i="57" s="1"/>
  <c r="O1665" i="57"/>
  <c r="N1665" i="57"/>
  <c r="AG1664" i="57"/>
  <c r="Y1664" i="57"/>
  <c r="AA1664" i="57" l="1"/>
  <c r="AB1664" i="57" s="1"/>
  <c r="Q1664" i="57"/>
  <c r="T1664" i="57" s="1"/>
  <c r="O1664" i="57"/>
  <c r="N1664" i="57"/>
  <c r="AG1663" i="57"/>
  <c r="Y1663" i="57"/>
  <c r="AA1663" i="57" l="1"/>
  <c r="AB1663" i="57" s="1"/>
  <c r="Q1663" i="57"/>
  <c r="T1663" i="57" s="1"/>
  <c r="O1663" i="57"/>
  <c r="N1663" i="57"/>
  <c r="AG1662" i="57"/>
  <c r="Y1662" i="57"/>
  <c r="AA1662" i="57" l="1"/>
  <c r="AB1662" i="57" s="1"/>
  <c r="Q1662" i="57"/>
  <c r="T1662" i="57" s="1"/>
  <c r="O1662" i="57"/>
  <c r="N1662" i="57"/>
  <c r="AG1661" i="57"/>
  <c r="Y1661" i="57"/>
  <c r="AA1661" i="57" l="1"/>
  <c r="AB1661" i="57" s="1"/>
  <c r="Q1661" i="57"/>
  <c r="T1661" i="57" s="1"/>
  <c r="O1661" i="57"/>
  <c r="N1661" i="57"/>
  <c r="AG1660" i="57"/>
  <c r="Y1660" i="57"/>
  <c r="AA1660" i="57" l="1"/>
  <c r="AB1660" i="57" s="1"/>
  <c r="Q1660" i="57"/>
  <c r="T1660" i="57" s="1"/>
  <c r="O1660" i="57"/>
  <c r="N1660" i="57"/>
  <c r="AG1659" i="57"/>
  <c r="Y1659" i="57"/>
  <c r="AA1659" i="57" l="1"/>
  <c r="AB1659" i="57" s="1"/>
  <c r="Q1659" i="57"/>
  <c r="T1659" i="57" s="1"/>
  <c r="O1659" i="57"/>
  <c r="N1659" i="57"/>
  <c r="AG1658" i="57"/>
  <c r="Y1658" i="57"/>
  <c r="AA1658" i="57" l="1"/>
  <c r="AB1658" i="57" s="1"/>
  <c r="Q1658" i="57"/>
  <c r="T1658" i="57" s="1"/>
  <c r="O1658" i="57"/>
  <c r="N1658" i="57"/>
  <c r="AG1657" i="57"/>
  <c r="Y1657" i="57"/>
  <c r="AA1657" i="57" l="1"/>
  <c r="AB1657" i="57" s="1"/>
  <c r="Q1657" i="57"/>
  <c r="T1657" i="57" s="1"/>
  <c r="O1657" i="57"/>
  <c r="N1657" i="57"/>
  <c r="AG1656" i="57"/>
  <c r="Y1656" i="57"/>
  <c r="AA1656" i="57" l="1"/>
  <c r="AB1656" i="57" s="1"/>
  <c r="Q1656" i="57"/>
  <c r="T1656" i="57" s="1"/>
  <c r="O1656" i="57"/>
  <c r="N1656" i="57"/>
  <c r="AG1655" i="57"/>
  <c r="Y1655" i="57"/>
  <c r="AA1655" i="57" l="1"/>
  <c r="AB1655" i="57" s="1"/>
  <c r="Q1655" i="57"/>
  <c r="T1655" i="57" s="1"/>
  <c r="O1655" i="57"/>
  <c r="N1655" i="57"/>
  <c r="AG1654" i="57"/>
  <c r="Y1654" i="57"/>
  <c r="AA1654" i="57" l="1"/>
  <c r="AB1654" i="57" s="1"/>
  <c r="Q1654" i="57"/>
  <c r="T1654" i="57" s="1"/>
  <c r="O1654" i="57"/>
  <c r="N1654" i="57"/>
  <c r="AG1653" i="57"/>
  <c r="Y1653" i="57"/>
  <c r="AA1653" i="57" l="1"/>
  <c r="AB1653" i="57" s="1"/>
  <c r="Q1653" i="57"/>
  <c r="T1653" i="57" s="1"/>
  <c r="O1653" i="57"/>
  <c r="N1653" i="57"/>
  <c r="AG1652" i="57"/>
  <c r="Y1652" i="57"/>
  <c r="AA1652" i="57" l="1"/>
  <c r="AB1652" i="57" s="1"/>
  <c r="Q1652" i="57"/>
  <c r="T1652" i="57" s="1"/>
  <c r="O1652" i="57"/>
  <c r="N1652" i="57"/>
  <c r="AG1651" i="57"/>
  <c r="Y1651" i="57"/>
  <c r="AA1651" i="57" l="1"/>
  <c r="AB1651" i="57" s="1"/>
  <c r="Q1651" i="57"/>
  <c r="T1651" i="57" s="1"/>
  <c r="O1651" i="57"/>
  <c r="N1651" i="57"/>
  <c r="AG1650" i="57"/>
  <c r="Y1650" i="57"/>
  <c r="AA1650" i="57" l="1"/>
  <c r="AB1650" i="57" s="1"/>
  <c r="Q1650" i="57"/>
  <c r="T1650" i="57" s="1"/>
  <c r="O1650" i="57"/>
  <c r="N1650" i="57"/>
  <c r="AG1649" i="57"/>
  <c r="Y1649" i="57"/>
  <c r="AA1649" i="57" l="1"/>
  <c r="AB1649" i="57" s="1"/>
  <c r="Q1649" i="57"/>
  <c r="T1649" i="57" s="1"/>
  <c r="O1649" i="57"/>
  <c r="N1649" i="57"/>
  <c r="AG1648" i="57"/>
  <c r="Y1648" i="57"/>
  <c r="AA1648" i="57" l="1"/>
  <c r="AB1648" i="57" s="1"/>
  <c r="Q1648" i="57"/>
  <c r="T1648" i="57" s="1"/>
  <c r="O1648" i="57"/>
  <c r="N1648" i="57"/>
  <c r="AG1647" i="57"/>
  <c r="Y1647" i="57"/>
  <c r="AA1647" i="57" l="1"/>
  <c r="AB1647" i="57" s="1"/>
  <c r="Q1647" i="57"/>
  <c r="T1647" i="57" s="1"/>
  <c r="O1647" i="57"/>
  <c r="N1647" i="57"/>
  <c r="AG1646" i="57"/>
  <c r="Y1646" i="57"/>
  <c r="AA1646" i="57" l="1"/>
  <c r="AB1646" i="57" s="1"/>
  <c r="Q1646" i="57"/>
  <c r="T1646" i="57" s="1"/>
  <c r="O1646" i="57"/>
  <c r="N1646" i="57"/>
  <c r="AG1645" i="57"/>
  <c r="Y1645" i="57"/>
  <c r="AA1645" i="57" l="1"/>
  <c r="AB1645" i="57" s="1"/>
  <c r="Q1645" i="57"/>
  <c r="T1645" i="57" s="1"/>
  <c r="O1645" i="57"/>
  <c r="N1645" i="57"/>
  <c r="AG1644" i="57"/>
  <c r="Y1644" i="57"/>
  <c r="AA1644" i="57" l="1"/>
  <c r="AB1644" i="57" s="1"/>
  <c r="Q1644" i="57"/>
  <c r="T1644" i="57" s="1"/>
  <c r="O1644" i="57"/>
  <c r="N1644" i="57"/>
  <c r="AG1643" i="57"/>
  <c r="Y1643" i="57"/>
  <c r="AA1643" i="57" l="1"/>
  <c r="AB1643" i="57" s="1"/>
  <c r="Q1643" i="57"/>
  <c r="T1643" i="57" s="1"/>
  <c r="O1643" i="57"/>
  <c r="N1643" i="57"/>
  <c r="AG1642" i="57"/>
  <c r="Y1642" i="57"/>
  <c r="AA1642" i="57" l="1"/>
  <c r="AB1642" i="57" s="1"/>
  <c r="T1642" i="57"/>
  <c r="O1642" i="57"/>
  <c r="N1642" i="57"/>
  <c r="AG1641" i="57"/>
  <c r="Y1641" i="57"/>
  <c r="AA1641" i="57" l="1"/>
  <c r="AB1641" i="57" s="1"/>
  <c r="Q1641" i="57"/>
  <c r="T1641" i="57" s="1"/>
  <c r="O1641" i="57"/>
  <c r="N1641" i="57"/>
  <c r="AG1640" i="57"/>
  <c r="Y1640" i="57"/>
  <c r="AA1640" i="57" l="1"/>
  <c r="AB1640" i="57" s="1"/>
  <c r="Q1640" i="57"/>
  <c r="T1640" i="57" s="1"/>
  <c r="O1640" i="57"/>
  <c r="N1640" i="57"/>
  <c r="AG1639" i="57"/>
  <c r="Y1639" i="57"/>
  <c r="AA1639" i="57" l="1"/>
  <c r="AB1639" i="57" s="1"/>
  <c r="Q1639" i="57"/>
  <c r="T1639" i="57" s="1"/>
  <c r="O1639" i="57"/>
  <c r="N1639" i="57"/>
  <c r="AG1638" i="57"/>
  <c r="Y1638" i="57"/>
  <c r="AA1638" i="57" l="1"/>
  <c r="AB1638" i="57" s="1"/>
  <c r="Q1638" i="57"/>
  <c r="T1638" i="57" s="1"/>
  <c r="O1638" i="57"/>
  <c r="N1638" i="57"/>
  <c r="AG1637" i="57"/>
  <c r="Y1637" i="57"/>
  <c r="AA1637" i="57" l="1"/>
  <c r="AB1637" i="57" s="1"/>
  <c r="Q1637" i="57"/>
  <c r="T1637" i="57" s="1"/>
  <c r="O1637" i="57"/>
  <c r="N1637" i="57"/>
  <c r="AG1636" i="57"/>
  <c r="Y1636" i="57"/>
  <c r="AA1636" i="57" l="1"/>
  <c r="AB1636" i="57" s="1"/>
  <c r="Q1636" i="57"/>
  <c r="T1636" i="57" s="1"/>
  <c r="O1636" i="57"/>
  <c r="N1636" i="57"/>
  <c r="AG1635" i="57"/>
  <c r="Y1635" i="57"/>
  <c r="AA1635" i="57" l="1"/>
  <c r="AB1635" i="57" s="1"/>
  <c r="Q1635" i="57"/>
  <c r="T1635" i="57" s="1"/>
  <c r="O1635" i="57"/>
  <c r="N1635" i="57"/>
  <c r="AG1634" i="57"/>
  <c r="Y1634" i="57"/>
  <c r="AA1634" i="57" l="1"/>
  <c r="AB1634" i="57" s="1"/>
  <c r="Q1634" i="57"/>
  <c r="T1634" i="57" s="1"/>
  <c r="O1634" i="57"/>
  <c r="N1634" i="57"/>
  <c r="AG1633" i="57"/>
  <c r="Y1633" i="57"/>
  <c r="AA1633" i="57" l="1"/>
  <c r="AB1633" i="57" s="1"/>
  <c r="Q1633" i="57"/>
  <c r="T1633" i="57" s="1"/>
  <c r="O1633" i="57"/>
  <c r="N1633" i="57"/>
  <c r="AG1632" i="57"/>
  <c r="Y1632" i="57"/>
  <c r="AA1632" i="57" l="1"/>
  <c r="AB1632" i="57" s="1"/>
  <c r="T1632" i="57"/>
  <c r="O1632" i="57"/>
  <c r="N1632" i="57"/>
  <c r="AG1631" i="57"/>
  <c r="Y1631" i="57"/>
  <c r="AA1631" i="57" l="1"/>
  <c r="AB1631" i="57" s="1"/>
  <c r="Q1631" i="57"/>
  <c r="T1631" i="57" s="1"/>
  <c r="O1631" i="57"/>
  <c r="N1631" i="57"/>
  <c r="AN1630" i="57"/>
  <c r="AL1630" i="57" s="1"/>
  <c r="AM1630" i="57"/>
  <c r="AK1630" i="57" s="1"/>
  <c r="AG1630" i="57"/>
  <c r="Y1630" i="57"/>
  <c r="AA1630" i="57" l="1"/>
  <c r="AB1630" i="57" s="1"/>
  <c r="Q1630" i="57"/>
  <c r="T1630" i="57" s="1"/>
  <c r="O1630" i="57"/>
  <c r="N1630" i="57"/>
  <c r="AM1585" i="57"/>
  <c r="AN1585" i="57"/>
  <c r="AL1585" i="57" l="1"/>
  <c r="AK1585" i="57"/>
  <c r="AM1586" i="57"/>
  <c r="AN1586" i="57"/>
  <c r="AL1586" i="57" l="1"/>
  <c r="AK1586" i="57"/>
  <c r="AM1587" i="57"/>
  <c r="AN1587" i="57"/>
  <c r="AL1587" i="57" l="1"/>
  <c r="AK1587" i="57"/>
  <c r="AM1588" i="57"/>
  <c r="AN1588" i="57"/>
  <c r="AL1588" i="57" l="1"/>
  <c r="AK1588" i="57"/>
  <c r="AM1589" i="57"/>
  <c r="AN1589" i="57"/>
  <c r="AL1589" i="57" l="1"/>
  <c r="AK1589" i="57"/>
  <c r="AM1590" i="57"/>
  <c r="AN1590" i="57"/>
  <c r="AL1590" i="57" l="1"/>
  <c r="AK1590" i="57"/>
  <c r="AM1591" i="57"/>
  <c r="AN1591" i="57"/>
  <c r="AL1591" i="57" l="1"/>
  <c r="AK1591" i="57"/>
  <c r="AM1592" i="57"/>
  <c r="AN1592" i="57"/>
  <c r="AL1592" i="57" l="1"/>
  <c r="AK1592" i="57"/>
  <c r="AM1593" i="57"/>
  <c r="AN1593" i="57"/>
  <c r="AL1593" i="57" l="1"/>
  <c r="AK1593" i="57"/>
  <c r="AM1594" i="57"/>
  <c r="AN1594" i="57"/>
  <c r="AL1594" i="57" l="1"/>
  <c r="AK1594" i="57"/>
  <c r="AM1595" i="57"/>
  <c r="AN1595" i="57"/>
  <c r="AL1595" i="57" l="1"/>
  <c r="AK1595" i="57"/>
  <c r="AM1596" i="57"/>
  <c r="AN1596" i="57"/>
  <c r="AL1596" i="57" l="1"/>
  <c r="AK1596" i="57"/>
  <c r="AM1597" i="57"/>
  <c r="AN1597" i="57"/>
  <c r="AL1597" i="57" l="1"/>
  <c r="AK1597" i="57"/>
  <c r="AM1598" i="57"/>
  <c r="AN1598" i="57"/>
  <c r="AL1598" i="57" l="1"/>
  <c r="AK1598" i="57"/>
  <c r="AM1599" i="57"/>
  <c r="AN1599" i="57"/>
  <c r="AL1599" i="57" l="1"/>
  <c r="AK1599" i="57"/>
  <c r="AM1600" i="57"/>
  <c r="AN1600" i="57"/>
  <c r="AL1600" i="57" l="1"/>
  <c r="AK1600" i="57"/>
  <c r="AM1601" i="57"/>
  <c r="AN1601" i="57"/>
  <c r="AL1601" i="57" l="1"/>
  <c r="AK1601" i="57"/>
  <c r="AM1602" i="57"/>
  <c r="AN1602" i="57"/>
  <c r="AL1602" i="57" l="1"/>
  <c r="AK1602" i="57"/>
  <c r="AM1603" i="57"/>
  <c r="AN1603" i="57"/>
  <c r="AL1603" i="57" l="1"/>
  <c r="AK1603" i="57"/>
  <c r="AM1604" i="57"/>
  <c r="AN1604" i="57"/>
  <c r="AL1604" i="57" l="1"/>
  <c r="AK1604" i="57"/>
  <c r="AM1605" i="57"/>
  <c r="AN1605" i="57"/>
  <c r="AL1605" i="57" l="1"/>
  <c r="AK1605" i="57"/>
  <c r="AM1606" i="57"/>
  <c r="AN1606" i="57"/>
  <c r="AL1606" i="57" l="1"/>
  <c r="AK1606" i="57"/>
  <c r="AM1607" i="57"/>
  <c r="AN1607" i="57"/>
  <c r="AL1607" i="57" l="1"/>
  <c r="AK1607" i="57"/>
  <c r="AM1608" i="57"/>
  <c r="AN1608" i="57"/>
  <c r="AL1608" i="57" l="1"/>
  <c r="AK1608" i="57"/>
  <c r="AM1609" i="57"/>
  <c r="AN1609" i="57"/>
  <c r="AL1609" i="57" l="1"/>
  <c r="AK1609" i="57"/>
  <c r="AM1610" i="57"/>
  <c r="AN1610" i="57"/>
  <c r="AL1610" i="57" l="1"/>
  <c r="AK1610" i="57"/>
  <c r="AM1611" i="57"/>
  <c r="AN1611" i="57"/>
  <c r="AL1611" i="57" l="1"/>
  <c r="AK1611" i="57"/>
  <c r="AM1612" i="57"/>
  <c r="AN1612" i="57"/>
  <c r="AL1612" i="57" l="1"/>
  <c r="AK1612" i="57"/>
  <c r="AM1613" i="57"/>
  <c r="AN1613" i="57"/>
  <c r="AL1613" i="57" l="1"/>
  <c r="AK1613" i="57"/>
  <c r="AM1614" i="57"/>
  <c r="AN1614" i="57"/>
  <c r="AL1614" i="57" l="1"/>
  <c r="AK1614" i="57"/>
  <c r="AM1615" i="57"/>
  <c r="AN1615" i="57"/>
  <c r="AL1615" i="57" l="1"/>
  <c r="AK1615" i="57"/>
  <c r="AM1616" i="57"/>
  <c r="AN1616" i="57"/>
  <c r="AL1616" i="57" l="1"/>
  <c r="AK1616" i="57"/>
  <c r="AM1617" i="57"/>
  <c r="AN1617" i="57"/>
  <c r="AL1617" i="57" l="1"/>
  <c r="AK1617" i="57"/>
  <c r="AM1618" i="57"/>
  <c r="AN1618" i="57"/>
  <c r="AL1618" i="57" l="1"/>
  <c r="AK1618" i="57"/>
  <c r="AM1619" i="57"/>
  <c r="AN1619" i="57"/>
  <c r="AL1619" i="57" l="1"/>
  <c r="AK1619" i="57"/>
  <c r="AM1620" i="57"/>
  <c r="AN1620" i="57"/>
  <c r="AL1620" i="57" l="1"/>
  <c r="AK1620" i="57"/>
  <c r="AM1621" i="57"/>
  <c r="AN1621" i="57"/>
  <c r="AL1621" i="57" l="1"/>
  <c r="AK1621" i="57"/>
  <c r="AM1622" i="57"/>
  <c r="AN1622" i="57"/>
  <c r="AL1622" i="57" l="1"/>
  <c r="AK1622" i="57"/>
  <c r="AM1623" i="57"/>
  <c r="AN1623" i="57"/>
  <c r="AL1623" i="57" l="1"/>
  <c r="AK1623" i="57"/>
  <c r="AM1624" i="57"/>
  <c r="AN1624" i="57"/>
  <c r="AL1624" i="57" l="1"/>
  <c r="AK1624" i="57"/>
  <c r="AM1625" i="57"/>
  <c r="AN1625" i="57"/>
  <c r="AL1625" i="57" l="1"/>
  <c r="AK1625" i="57"/>
  <c r="AM1626" i="57"/>
  <c r="AN1626" i="57"/>
  <c r="AL1626" i="57" l="1"/>
  <c r="AK1626" i="57"/>
  <c r="AM1627" i="57"/>
  <c r="AN1627" i="57"/>
  <c r="AN1584" i="57"/>
  <c r="AM1584" i="57"/>
  <c r="AL1627" i="57" l="1"/>
  <c r="AK1627" i="57"/>
  <c r="AL1584" i="57"/>
  <c r="AK1584" i="57"/>
  <c r="AG1627" i="57"/>
  <c r="Y1627" i="57"/>
  <c r="AA1627" i="57" l="1"/>
  <c r="AB1627" i="57" s="1"/>
  <c r="T1627" i="57"/>
  <c r="O1627" i="57"/>
  <c r="N1627" i="57"/>
  <c r="AG1626" i="57"/>
  <c r="Y1626" i="57"/>
  <c r="AA1626" i="57" l="1"/>
  <c r="AB1626" i="57" s="1"/>
  <c r="Q1626" i="57"/>
  <c r="T1626" i="57" s="1"/>
  <c r="O1626" i="57"/>
  <c r="N1626" i="57"/>
  <c r="AG1625" i="57"/>
  <c r="Y1625" i="57"/>
  <c r="AA1625" i="57" l="1"/>
  <c r="AB1625" i="57" s="1"/>
  <c r="Q1625" i="57"/>
  <c r="T1625" i="57" s="1"/>
  <c r="O1625" i="57"/>
  <c r="N1625" i="57"/>
  <c r="AG1624" i="57"/>
  <c r="Y1624" i="57"/>
  <c r="AA1624" i="57" l="1"/>
  <c r="AB1624" i="57" s="1"/>
  <c r="Q1624" i="57"/>
  <c r="T1624" i="57" s="1"/>
  <c r="O1624" i="57"/>
  <c r="N1624" i="57"/>
  <c r="AG1623" i="57"/>
  <c r="Y1623" i="57"/>
  <c r="AA1623" i="57" l="1"/>
  <c r="AB1623" i="57" s="1"/>
  <c r="Q1623" i="57"/>
  <c r="T1623" i="57" s="1"/>
  <c r="O1623" i="57"/>
  <c r="N1623" i="57"/>
  <c r="AG1622" i="57"/>
  <c r="Y1622" i="57"/>
  <c r="AA1622" i="57" l="1"/>
  <c r="AB1622" i="57" s="1"/>
  <c r="T1622" i="57"/>
  <c r="O1622" i="57"/>
  <c r="N1622" i="57"/>
  <c r="AG1621" i="57"/>
  <c r="Y1621" i="57"/>
  <c r="AA1621" i="57" l="1"/>
  <c r="AB1621" i="57" s="1"/>
  <c r="T1621" i="57"/>
  <c r="O1621" i="57"/>
  <c r="N1621" i="57"/>
  <c r="AG1620" i="57"/>
  <c r="Y1620" i="57"/>
  <c r="AA1620" i="57" l="1"/>
  <c r="AB1620" i="57" s="1"/>
  <c r="Q1620" i="57"/>
  <c r="T1620" i="57" s="1"/>
  <c r="O1620" i="57"/>
  <c r="N1620" i="57"/>
  <c r="AG1619" i="57"/>
  <c r="Y1619" i="57"/>
  <c r="AA1619" i="57" l="1"/>
  <c r="AB1619" i="57" s="1"/>
  <c r="Q1619" i="57"/>
  <c r="T1619" i="57" s="1"/>
  <c r="O1619" i="57"/>
  <c r="N1619" i="57"/>
  <c r="AG1618" i="57"/>
  <c r="Y1618" i="57"/>
  <c r="AA1618" i="57" l="1"/>
  <c r="AB1618" i="57" s="1"/>
  <c r="Q1618" i="57"/>
  <c r="T1618" i="57" s="1"/>
  <c r="O1618" i="57"/>
  <c r="N1618" i="57"/>
  <c r="AG1617" i="57"/>
  <c r="Y1617" i="57"/>
  <c r="AA1617" i="57" l="1"/>
  <c r="AB1617" i="57" s="1"/>
  <c r="Q1617" i="57"/>
  <c r="T1617" i="57" s="1"/>
  <c r="O1617" i="57"/>
  <c r="N1617" i="57"/>
  <c r="AG1616" i="57"/>
  <c r="Y1616" i="57"/>
  <c r="AA1616" i="57" l="1"/>
  <c r="AB1616" i="57" s="1"/>
  <c r="Q1616" i="57"/>
  <c r="T1616" i="57" s="1"/>
  <c r="O1616" i="57"/>
  <c r="N1616" i="57"/>
  <c r="AG1615" i="57"/>
  <c r="Y1615" i="57"/>
  <c r="AA1615" i="57" l="1"/>
  <c r="AB1615" i="57" s="1"/>
  <c r="Q1615" i="57"/>
  <c r="T1615" i="57" s="1"/>
  <c r="O1615" i="57"/>
  <c r="N1615" i="57"/>
  <c r="AG1614" i="57"/>
  <c r="Y1614" i="57"/>
  <c r="AA1614" i="57" l="1"/>
  <c r="AB1614" i="57" s="1"/>
  <c r="Q1614" i="57"/>
  <c r="T1614" i="57" s="1"/>
  <c r="O1614" i="57"/>
  <c r="N1614" i="57"/>
  <c r="AG1613" i="57"/>
  <c r="Y1613" i="57"/>
  <c r="AA1613" i="57" l="1"/>
  <c r="AB1613" i="57" s="1"/>
  <c r="Q1613" i="57"/>
  <c r="T1613" i="57" s="1"/>
  <c r="O1613" i="57"/>
  <c r="N1613" i="57"/>
  <c r="AG1612" i="57"/>
  <c r="Y1612" i="57"/>
  <c r="AA1612" i="57" l="1"/>
  <c r="AB1612" i="57" s="1"/>
  <c r="Q1612" i="57"/>
  <c r="T1612" i="57" s="1"/>
  <c r="O1612" i="57"/>
  <c r="N1612" i="57"/>
  <c r="AG1611" i="57"/>
  <c r="Y1611" i="57"/>
  <c r="AA1611" i="57" l="1"/>
  <c r="AB1611" i="57" s="1"/>
  <c r="Q1611" i="57"/>
  <c r="T1611" i="57" s="1"/>
  <c r="O1611" i="57"/>
  <c r="N1611" i="57"/>
  <c r="AG1610" i="57"/>
  <c r="Y1610" i="57"/>
  <c r="AA1610" i="57" l="1"/>
  <c r="AB1610" i="57" s="1"/>
  <c r="T1610" i="57"/>
  <c r="O1610" i="57"/>
  <c r="N1610" i="57"/>
  <c r="AG1609" i="57"/>
  <c r="Y1609" i="57"/>
  <c r="AA1609" i="57" l="1"/>
  <c r="AB1609" i="57" s="1"/>
  <c r="Q1609" i="57"/>
  <c r="T1609" i="57" s="1"/>
  <c r="O1609" i="57"/>
  <c r="N1609" i="57"/>
  <c r="AG1608" i="57"/>
  <c r="Y1608" i="57"/>
  <c r="AA1608" i="57" l="1"/>
  <c r="AB1608" i="57" s="1"/>
  <c r="Q1608" i="57"/>
  <c r="T1608" i="57" s="1"/>
  <c r="O1608" i="57"/>
  <c r="N1608" i="57"/>
  <c r="AG1607" i="57"/>
  <c r="Y1607" i="57"/>
  <c r="AA1607" i="57" l="1"/>
  <c r="AB1607" i="57" s="1"/>
  <c r="Q1607" i="57"/>
  <c r="T1607" i="57" s="1"/>
  <c r="O1607" i="57"/>
  <c r="N1607" i="57"/>
  <c r="AG1606" i="57"/>
  <c r="Y1606" i="57"/>
  <c r="AA1606" i="57" l="1"/>
  <c r="AB1606" i="57" s="1"/>
  <c r="Q1606" i="57"/>
  <c r="T1606" i="57" s="1"/>
  <c r="O1606" i="57"/>
  <c r="N1606" i="57"/>
  <c r="AG1605" i="57"/>
  <c r="Y1605" i="57"/>
  <c r="AA1605" i="57" l="1"/>
  <c r="AB1605" i="57" s="1"/>
  <c r="Q1605" i="57"/>
  <c r="T1605" i="57" s="1"/>
  <c r="O1605" i="57"/>
  <c r="N1605" i="57"/>
  <c r="AG1604" i="57"/>
  <c r="Y1604" i="57"/>
  <c r="AA1604" i="57" l="1"/>
  <c r="AB1604" i="57" s="1"/>
  <c r="Q1604" i="57"/>
  <c r="T1604" i="57" s="1"/>
  <c r="O1604" i="57"/>
  <c r="N1604" i="57"/>
  <c r="AG1603" i="57"/>
  <c r="Y1603" i="57"/>
  <c r="AA1603" i="57" l="1"/>
  <c r="AB1603" i="57" s="1"/>
  <c r="T1603" i="57"/>
  <c r="O1603" i="57"/>
  <c r="N1603" i="57"/>
  <c r="AG1602" i="57"/>
  <c r="Y1602" i="57"/>
  <c r="AA1602" i="57" l="1"/>
  <c r="AB1602" i="57" s="1"/>
  <c r="T1602" i="57"/>
  <c r="O1602" i="57"/>
  <c r="N1602" i="57"/>
  <c r="AG1601" i="57"/>
  <c r="Y1601" i="57"/>
  <c r="AA1601" i="57" l="1"/>
  <c r="AB1601" i="57" s="1"/>
  <c r="Q1601" i="57"/>
  <c r="T1601" i="57" s="1"/>
  <c r="O1601" i="57"/>
  <c r="N1601" i="57"/>
  <c r="AG1600" i="57"/>
  <c r="Y1600" i="57"/>
  <c r="AA1600" i="57" l="1"/>
  <c r="AB1600" i="57" s="1"/>
  <c r="Q1600" i="57"/>
  <c r="T1600" i="57" s="1"/>
  <c r="O1600" i="57"/>
  <c r="N1600" i="57"/>
  <c r="AG1599" i="57"/>
  <c r="Y1599" i="57"/>
  <c r="AA1599" i="57" l="1"/>
  <c r="AB1599" i="57" s="1"/>
  <c r="Q1599" i="57"/>
  <c r="T1599" i="57" s="1"/>
  <c r="O1599" i="57"/>
  <c r="N1599" i="57"/>
  <c r="AG1598" i="57"/>
  <c r="Y1598" i="57"/>
  <c r="AA1598" i="57" l="1"/>
  <c r="AB1598" i="57" s="1"/>
  <c r="Q1598" i="57"/>
  <c r="T1598" i="57" s="1"/>
  <c r="O1598" i="57"/>
  <c r="N1598" i="57"/>
  <c r="AG1597" i="57"/>
  <c r="Y1597" i="57"/>
  <c r="AA1597" i="57" l="1"/>
  <c r="AB1597" i="57" s="1"/>
  <c r="Q1597" i="57"/>
  <c r="T1597" i="57" s="1"/>
  <c r="O1597" i="57"/>
  <c r="N1597" i="57"/>
  <c r="AG1596" i="57"/>
  <c r="Y1596" i="57"/>
  <c r="AA1596" i="57" l="1"/>
  <c r="AB1596" i="57" s="1"/>
  <c r="Q1596" i="57"/>
  <c r="T1596" i="57" s="1"/>
  <c r="O1596" i="57"/>
  <c r="N1596" i="57"/>
  <c r="AG1595" i="57"/>
  <c r="Y1595" i="57"/>
  <c r="AA1595" i="57" l="1"/>
  <c r="AB1595" i="57" s="1"/>
  <c r="Q1595" i="57"/>
  <c r="T1595" i="57" s="1"/>
  <c r="O1595" i="57"/>
  <c r="N1595" i="57"/>
  <c r="AG1594" i="57"/>
  <c r="Y1594" i="57"/>
  <c r="AA1594" i="57" l="1"/>
  <c r="AB1594" i="57" s="1"/>
  <c r="Q1594" i="57"/>
  <c r="T1594" i="57" s="1"/>
  <c r="O1594" i="57"/>
  <c r="N1594" i="57"/>
  <c r="AG1593" i="57"/>
  <c r="Y1593" i="57"/>
  <c r="AA1593" i="57" l="1"/>
  <c r="AB1593" i="57" s="1"/>
  <c r="Q1593" i="57"/>
  <c r="T1593" i="57" s="1"/>
  <c r="O1593" i="57"/>
  <c r="N1593" i="57"/>
  <c r="AG1592" i="57"/>
  <c r="Y1592" i="57"/>
  <c r="AA1592" i="57" l="1"/>
  <c r="AB1592" i="57" s="1"/>
  <c r="Q1592" i="57"/>
  <c r="T1592" i="57" s="1"/>
  <c r="O1592" i="57"/>
  <c r="N1592" i="57"/>
  <c r="AG1591" i="57"/>
  <c r="Y1591" i="57"/>
  <c r="AA1591" i="57" l="1"/>
  <c r="AB1591" i="57" s="1"/>
  <c r="Q1591" i="57"/>
  <c r="T1591" i="57" s="1"/>
  <c r="O1591" i="57"/>
  <c r="N1591" i="57"/>
  <c r="AG1590" i="57"/>
  <c r="Y1590" i="57"/>
  <c r="AA1590" i="57" l="1"/>
  <c r="AB1590" i="57" s="1"/>
  <c r="Q1590" i="57"/>
  <c r="T1590" i="57" s="1"/>
  <c r="O1590" i="57"/>
  <c r="N1590" i="57"/>
  <c r="AG1589" i="57"/>
  <c r="Y1589" i="57"/>
  <c r="AA1589" i="57" l="1"/>
  <c r="AB1589" i="57" s="1"/>
  <c r="Q1589" i="57"/>
  <c r="T1589" i="57" s="1"/>
  <c r="O1589" i="57"/>
  <c r="N1589" i="57"/>
  <c r="AG1588" i="57"/>
  <c r="Y1588" i="57"/>
  <c r="AA1588" i="57" l="1"/>
  <c r="AB1588" i="57" s="1"/>
  <c r="Q1588" i="57"/>
  <c r="T1588" i="57" s="1"/>
  <c r="O1588" i="57"/>
  <c r="N1588" i="57"/>
  <c r="AG1587" i="57"/>
  <c r="Y1587" i="57"/>
  <c r="AA1587" i="57" l="1"/>
  <c r="AB1587" i="57" s="1"/>
  <c r="Q1587" i="57"/>
  <c r="T1587" i="57" s="1"/>
  <c r="O1587" i="57"/>
  <c r="N1587" i="57"/>
  <c r="AG1586" i="57"/>
  <c r="Y1586" i="57"/>
  <c r="AA1586" i="57" l="1"/>
  <c r="AB1586" i="57" s="1"/>
  <c r="T1586" i="57"/>
  <c r="O1586" i="57"/>
  <c r="N1586" i="57"/>
  <c r="AG1585" i="57"/>
  <c r="Y1585" i="57"/>
  <c r="AA1585" i="57" l="1"/>
  <c r="AB1585" i="57" s="1"/>
  <c r="Q1585" i="57"/>
  <c r="T1585" i="57" s="1"/>
  <c r="O1585" i="57"/>
  <c r="N1585" i="57"/>
  <c r="AG1584" i="57"/>
  <c r="Y1584" i="57"/>
  <c r="AA1584" i="57" l="1"/>
  <c r="AB1584" i="57" s="1"/>
  <c r="Q1584" i="57"/>
  <c r="T1584" i="57" s="1"/>
  <c r="O1584" i="57"/>
  <c r="N1584" i="57"/>
  <c r="AM1567" i="57"/>
  <c r="AN1567" i="57"/>
  <c r="AL1567" i="57" l="1"/>
  <c r="AK1567" i="57"/>
  <c r="AM1568" i="57"/>
  <c r="AN1568" i="57"/>
  <c r="AL1568" i="57" l="1"/>
  <c r="AK1568" i="57"/>
  <c r="AM1569" i="57"/>
  <c r="AN1569" i="57"/>
  <c r="AL1569" i="57" l="1"/>
  <c r="AK1569" i="57"/>
  <c r="AM1570" i="57"/>
  <c r="AN1570" i="57"/>
  <c r="AL1570" i="57" l="1"/>
  <c r="AK1570" i="57"/>
  <c r="AM1571" i="57"/>
  <c r="AN1571" i="57"/>
  <c r="AL1571" i="57" l="1"/>
  <c r="AK1571" i="57"/>
  <c r="AM1572" i="57"/>
  <c r="AN1572" i="57"/>
  <c r="AL1572" i="57" l="1"/>
  <c r="AK1572" i="57"/>
  <c r="AM1573" i="57"/>
  <c r="AN1573" i="57"/>
  <c r="AL1573" i="57" l="1"/>
  <c r="AK1573" i="57"/>
  <c r="AM1574" i="57"/>
  <c r="AN1574" i="57"/>
  <c r="AL1574" i="57" l="1"/>
  <c r="AK1574" i="57"/>
  <c r="AM1575" i="57"/>
  <c r="AN1575" i="57"/>
  <c r="AL1575" i="57" l="1"/>
  <c r="AK1575" i="57"/>
  <c r="AM1576" i="57"/>
  <c r="AN1576" i="57"/>
  <c r="AL1576" i="57" l="1"/>
  <c r="AK1576" i="57"/>
  <c r="AM1577" i="57"/>
  <c r="AN1577" i="57"/>
  <c r="AL1577" i="57" l="1"/>
  <c r="AK1577" i="57"/>
  <c r="AM1578" i="57"/>
  <c r="AN1578" i="57"/>
  <c r="AL1578" i="57" l="1"/>
  <c r="AK1578" i="57"/>
  <c r="AM1579" i="57"/>
  <c r="AN1579" i="57"/>
  <c r="AL1579" i="57" l="1"/>
  <c r="AK1579" i="57"/>
  <c r="AM1580" i="57"/>
  <c r="AN1580" i="57"/>
  <c r="AL1580" i="57" l="1"/>
  <c r="AK1580" i="57"/>
  <c r="AM1581" i="57"/>
  <c r="AN1581" i="57"/>
  <c r="AM1555" i="57"/>
  <c r="AN1555" i="57"/>
  <c r="AL1581" i="57" l="1"/>
  <c r="AK1581" i="57"/>
  <c r="AL1555" i="57"/>
  <c r="AK1555" i="57"/>
  <c r="AM1556" i="57"/>
  <c r="AN1556" i="57"/>
  <c r="AL1556" i="57" l="1"/>
  <c r="AK1556" i="57"/>
  <c r="AM1557" i="57"/>
  <c r="AN1557" i="57"/>
  <c r="AL1557" i="57" l="1"/>
  <c r="AK1557" i="57"/>
  <c r="AM1558" i="57"/>
  <c r="AN1558" i="57"/>
  <c r="AL1558" i="57" l="1"/>
  <c r="AK1558" i="57"/>
  <c r="AM1559" i="57"/>
  <c r="AN1559" i="57"/>
  <c r="AL1559" i="57" l="1"/>
  <c r="AK1559" i="57"/>
  <c r="AM1560" i="57"/>
  <c r="AN1560" i="57"/>
  <c r="AL1560" i="57" l="1"/>
  <c r="AK1560" i="57"/>
  <c r="AM1561" i="57"/>
  <c r="AN1561" i="57"/>
  <c r="AL1561" i="57" l="1"/>
  <c r="AK1561" i="57"/>
  <c r="AM1562" i="57"/>
  <c r="AN1562" i="57"/>
  <c r="AL1562" i="57" l="1"/>
  <c r="AK1562" i="57"/>
  <c r="AM1563" i="57"/>
  <c r="AN1563" i="57"/>
  <c r="AL1563" i="57" l="1"/>
  <c r="AK1563" i="57"/>
  <c r="AM1564" i="57"/>
  <c r="AN1564" i="57"/>
  <c r="AL1564" i="57" l="1"/>
  <c r="AK1564" i="57"/>
  <c r="AM1565" i="57"/>
  <c r="AN1565" i="57"/>
  <c r="AL1565" i="57" l="1"/>
  <c r="AK1565" i="57"/>
  <c r="AM1566" i="57"/>
  <c r="AN1566" i="57"/>
  <c r="AM1547" i="57"/>
  <c r="AN1547" i="57"/>
  <c r="AL1566" i="57" l="1"/>
  <c r="AK1566" i="57"/>
  <c r="AL1547" i="57"/>
  <c r="AK1547" i="57"/>
  <c r="AM1548" i="57"/>
  <c r="AN1548" i="57"/>
  <c r="AL1548" i="57" l="1"/>
  <c r="AK1548" i="57"/>
  <c r="AM1549" i="57"/>
  <c r="AN1549" i="57"/>
  <c r="AL1549" i="57" l="1"/>
  <c r="AK1549" i="57"/>
  <c r="AM1550" i="57"/>
  <c r="AN1550" i="57"/>
  <c r="AL1550" i="57" l="1"/>
  <c r="AK1550" i="57"/>
  <c r="AM1551" i="57"/>
  <c r="AN1551" i="57"/>
  <c r="AL1551" i="57" l="1"/>
  <c r="AK1551" i="57"/>
  <c r="AM1552" i="57"/>
  <c r="AN1552" i="57"/>
  <c r="AL1552" i="57" l="1"/>
  <c r="AK1552" i="57"/>
  <c r="AM1553" i="57"/>
  <c r="AN1553" i="57"/>
  <c r="AL1553" i="57" l="1"/>
  <c r="AK1553" i="57"/>
  <c r="AM1554" i="57"/>
  <c r="AN1554" i="57"/>
  <c r="AM1539" i="57"/>
  <c r="AN1539" i="57"/>
  <c r="AL1554" i="57" l="1"/>
  <c r="AK1554" i="57"/>
  <c r="AL1539" i="57"/>
  <c r="AK1539" i="57"/>
  <c r="AM1540" i="57"/>
  <c r="AN1540" i="57"/>
  <c r="AL1540" i="57" l="1"/>
  <c r="AK1540" i="57"/>
  <c r="AM1541" i="57"/>
  <c r="AN1541" i="57"/>
  <c r="AL1541" i="57" l="1"/>
  <c r="AK1541" i="57"/>
  <c r="AM1542" i="57"/>
  <c r="AN1542" i="57"/>
  <c r="AL1542" i="57" l="1"/>
  <c r="AK1542" i="57"/>
  <c r="AM1543" i="57"/>
  <c r="AN1543" i="57"/>
  <c r="AL1543" i="57" l="1"/>
  <c r="AK1543" i="57"/>
  <c r="AM1544" i="57"/>
  <c r="AN1544" i="57"/>
  <c r="AL1544" i="57" l="1"/>
  <c r="AK1544" i="57"/>
  <c r="AM1545" i="57"/>
  <c r="AN1545" i="57"/>
  <c r="AL1545" i="57" l="1"/>
  <c r="AK1545" i="57"/>
  <c r="AM1546" i="57"/>
  <c r="AN1546" i="57"/>
  <c r="AL1546" i="57" l="1"/>
  <c r="AK1546" i="57"/>
  <c r="AG1581" i="57"/>
  <c r="Y1581" i="57"/>
  <c r="AA1581" i="57" l="1"/>
  <c r="AB1581" i="57" s="1"/>
  <c r="Q1581" i="57"/>
  <c r="T1581" i="57" s="1"/>
  <c r="O1581" i="57"/>
  <c r="N1581" i="57"/>
  <c r="AG1580" i="57"/>
  <c r="Y1580" i="57"/>
  <c r="AA1580" i="57" l="1"/>
  <c r="AB1580" i="57" s="1"/>
  <c r="Q1580" i="57"/>
  <c r="T1580" i="57" s="1"/>
  <c r="O1580" i="57"/>
  <c r="N1580" i="57"/>
  <c r="AG1579" i="57"/>
  <c r="Y1579" i="57"/>
  <c r="AA1579" i="57" l="1"/>
  <c r="AB1579" i="57" s="1"/>
  <c r="Q1579" i="57"/>
  <c r="T1579" i="57" s="1"/>
  <c r="O1579" i="57"/>
  <c r="N1579" i="57"/>
  <c r="AG1578" i="57"/>
  <c r="Y1578" i="57"/>
  <c r="AA1578" i="57" l="1"/>
  <c r="AB1578" i="57" s="1"/>
  <c r="Q1578" i="57"/>
  <c r="T1578" i="57" s="1"/>
  <c r="O1578" i="57"/>
  <c r="N1578" i="57"/>
  <c r="AG1577" i="57"/>
  <c r="Y1577" i="57"/>
  <c r="AA1577" i="57" l="1"/>
  <c r="AB1577" i="57" s="1"/>
  <c r="Q1577" i="57"/>
  <c r="T1577" i="57" s="1"/>
  <c r="O1577" i="57"/>
  <c r="N1577" i="57"/>
  <c r="AG1576" i="57"/>
  <c r="Y1576" i="57"/>
  <c r="AA1576" i="57" l="1"/>
  <c r="AB1576" i="57" s="1"/>
  <c r="Q1576" i="57"/>
  <c r="T1576" i="57" s="1"/>
  <c r="O1576" i="57"/>
  <c r="N1576" i="57"/>
  <c r="AG1575" i="57"/>
  <c r="Y1575" i="57"/>
  <c r="AA1575" i="57" l="1"/>
  <c r="AB1575" i="57" s="1"/>
  <c r="Q1575" i="57"/>
  <c r="T1575" i="57" s="1"/>
  <c r="O1575" i="57"/>
  <c r="N1575" i="57"/>
  <c r="AG1574" i="57"/>
  <c r="Y1574" i="57"/>
  <c r="AA1574" i="57" l="1"/>
  <c r="AB1574" i="57" s="1"/>
  <c r="Q1574" i="57"/>
  <c r="T1574" i="57" s="1"/>
  <c r="O1574" i="57"/>
  <c r="N1574" i="57"/>
  <c r="AG1573" i="57"/>
  <c r="Y1573" i="57"/>
  <c r="AA1573" i="57" l="1"/>
  <c r="AB1573" i="57" s="1"/>
  <c r="Q1573" i="57"/>
  <c r="T1573" i="57" s="1"/>
  <c r="O1573" i="57"/>
  <c r="N1573" i="57"/>
  <c r="AG1572" i="57"/>
  <c r="Y1572" i="57"/>
  <c r="AA1572" i="57" l="1"/>
  <c r="AB1572" i="57" s="1"/>
  <c r="Q1572" i="57"/>
  <c r="T1572" i="57" s="1"/>
  <c r="O1572" i="57"/>
  <c r="N1572" i="57"/>
  <c r="AG1571" i="57"/>
  <c r="Y1571" i="57"/>
  <c r="AA1571" i="57" l="1"/>
  <c r="AB1571" i="57" s="1"/>
  <c r="Q1571" i="57"/>
  <c r="T1571" i="57" s="1"/>
  <c r="O1571" i="57"/>
  <c r="N1571" i="57"/>
  <c r="AG1570" i="57"/>
  <c r="Y1570" i="57"/>
  <c r="AA1570" i="57" l="1"/>
  <c r="AB1570" i="57" s="1"/>
  <c r="Q1570" i="57"/>
  <c r="T1570" i="57" s="1"/>
  <c r="O1570" i="57"/>
  <c r="N1570" i="57"/>
  <c r="AG1569" i="57"/>
  <c r="Y1569" i="57"/>
  <c r="AA1569" i="57" l="1"/>
  <c r="AB1569" i="57" s="1"/>
  <c r="Q1569" i="57"/>
  <c r="T1569" i="57" s="1"/>
  <c r="O1569" i="57"/>
  <c r="N1569" i="57"/>
  <c r="AG1568" i="57"/>
  <c r="Y1568" i="57"/>
  <c r="AA1568" i="57" l="1"/>
  <c r="AB1568" i="57" s="1"/>
  <c r="Q1568" i="57"/>
  <c r="T1568" i="57" s="1"/>
  <c r="O1568" i="57"/>
  <c r="N1568" i="57"/>
  <c r="AG1567" i="57"/>
  <c r="Y1567" i="57"/>
  <c r="AA1567" i="57" l="1"/>
  <c r="AB1567" i="57" s="1"/>
  <c r="Q1567" i="57"/>
  <c r="T1567" i="57" s="1"/>
  <c r="O1567" i="57"/>
  <c r="N1567" i="57"/>
  <c r="AG1566" i="57"/>
  <c r="Y1566" i="57"/>
  <c r="AA1566" i="57" l="1"/>
  <c r="AB1566" i="57" s="1"/>
  <c r="Q1566" i="57"/>
  <c r="T1566" i="57" s="1"/>
  <c r="O1566" i="57"/>
  <c r="N1566" i="57"/>
  <c r="AG1565" i="57"/>
  <c r="Y1565" i="57"/>
  <c r="AA1565" i="57" l="1"/>
  <c r="AB1565" i="57" s="1"/>
  <c r="Q1565" i="57"/>
  <c r="T1565" i="57" s="1"/>
  <c r="O1565" i="57"/>
  <c r="N1565" i="57"/>
  <c r="AG1564" i="57"/>
  <c r="Y1564" i="57"/>
  <c r="AA1564" i="57" l="1"/>
  <c r="AB1564" i="57" s="1"/>
  <c r="Q1564" i="57"/>
  <c r="T1564" i="57" s="1"/>
  <c r="O1564" i="57"/>
  <c r="N1564" i="57"/>
  <c r="AG1563" i="57"/>
  <c r="Y1563" i="57"/>
  <c r="AA1563" i="57" l="1"/>
  <c r="AB1563" i="57" s="1"/>
  <c r="Q1563" i="57"/>
  <c r="T1563" i="57" s="1"/>
  <c r="O1563" i="57"/>
  <c r="N1563" i="57"/>
  <c r="AG1562" i="57"/>
  <c r="Y1562" i="57"/>
  <c r="AA1562" i="57" l="1"/>
  <c r="AB1562" i="57" s="1"/>
  <c r="Q1562" i="57"/>
  <c r="T1562" i="57" s="1"/>
  <c r="O1562" i="57"/>
  <c r="N1562" i="57"/>
  <c r="AG1561" i="57"/>
  <c r="Y1561" i="57"/>
  <c r="AA1561" i="57" l="1"/>
  <c r="AB1561" i="57" s="1"/>
  <c r="Q1561" i="57"/>
  <c r="T1561" i="57" s="1"/>
  <c r="O1561" i="57"/>
  <c r="N1561" i="57"/>
  <c r="AG1560" i="57"/>
  <c r="Y1560" i="57"/>
  <c r="AA1560" i="57" l="1"/>
  <c r="AB1560" i="57" s="1"/>
  <c r="Q1560" i="57"/>
  <c r="T1560" i="57" s="1"/>
  <c r="O1560" i="57"/>
  <c r="N1560" i="57"/>
  <c r="AG1559" i="57"/>
  <c r="Y1559" i="57"/>
  <c r="AA1559" i="57" l="1"/>
  <c r="AB1559" i="57" s="1"/>
  <c r="Q1559" i="57"/>
  <c r="T1559" i="57" s="1"/>
  <c r="O1559" i="57"/>
  <c r="N1559" i="57"/>
  <c r="AG1558" i="57"/>
  <c r="Y1558" i="57"/>
  <c r="AA1558" i="57" l="1"/>
  <c r="AB1558" i="57" s="1"/>
  <c r="Q1558" i="57"/>
  <c r="T1558" i="57" s="1"/>
  <c r="O1558" i="57"/>
  <c r="N1558" i="57"/>
  <c r="AG1557" i="57"/>
  <c r="Y1557" i="57"/>
  <c r="AA1557" i="57" l="1"/>
  <c r="AB1557" i="57" s="1"/>
  <c r="Q1557" i="57"/>
  <c r="T1557" i="57" s="1"/>
  <c r="O1557" i="57"/>
  <c r="N1557" i="57"/>
  <c r="AG1556" i="57"/>
  <c r="Y1556" i="57"/>
  <c r="AA1556" i="57" l="1"/>
  <c r="AB1556" i="57" s="1"/>
  <c r="Q1556" i="57"/>
  <c r="T1556" i="57" s="1"/>
  <c r="O1556" i="57"/>
  <c r="N1556" i="57"/>
  <c r="AG1555" i="57"/>
  <c r="Y1555" i="57"/>
  <c r="AA1555" i="57" l="1"/>
  <c r="AB1555" i="57" s="1"/>
  <c r="Q1555" i="57"/>
  <c r="T1555" i="57" s="1"/>
  <c r="O1555" i="57"/>
  <c r="N1555" i="57"/>
  <c r="AG1554" i="57"/>
  <c r="Y1554" i="57"/>
  <c r="AA1554" i="57" l="1"/>
  <c r="AB1554" i="57" s="1"/>
  <c r="Q1554" i="57"/>
  <c r="T1554" i="57" s="1"/>
  <c r="O1554" i="57"/>
  <c r="N1554" i="57"/>
  <c r="AG1553" i="57"/>
  <c r="Y1553" i="57"/>
  <c r="AA1553" i="57" l="1"/>
  <c r="AB1553" i="57" s="1"/>
  <c r="T1553" i="57"/>
  <c r="O1553" i="57"/>
  <c r="N1553" i="57"/>
  <c r="AG1552" i="57"/>
  <c r="Y1552" i="57"/>
  <c r="AA1552" i="57" l="1"/>
  <c r="AB1552" i="57" s="1"/>
  <c r="Q1552" i="57"/>
  <c r="T1552" i="57" s="1"/>
  <c r="O1552" i="57"/>
  <c r="N1552" i="57"/>
  <c r="AG1551" i="57"/>
  <c r="Y1551" i="57"/>
  <c r="AA1551" i="57" l="1"/>
  <c r="AB1551" i="57" s="1"/>
  <c r="Q1551" i="57"/>
  <c r="T1551" i="57" s="1"/>
  <c r="O1551" i="57"/>
  <c r="N1551" i="57"/>
  <c r="AG1550" i="57"/>
  <c r="Y1550" i="57"/>
  <c r="AA1550" i="57" l="1"/>
  <c r="AB1550" i="57" s="1"/>
  <c r="Q1550" i="57"/>
  <c r="T1550" i="57" s="1"/>
  <c r="O1550" i="57"/>
  <c r="N1550" i="57"/>
  <c r="AG1549" i="57"/>
  <c r="Y1549" i="57"/>
  <c r="AA1549" i="57" l="1"/>
  <c r="AB1549" i="57" s="1"/>
  <c r="Q1549" i="57"/>
  <c r="T1549" i="57" s="1"/>
  <c r="O1549" i="57"/>
  <c r="N1549" i="57"/>
  <c r="AG1548" i="57"/>
  <c r="Y1548" i="57"/>
  <c r="AA1548" i="57" l="1"/>
  <c r="AB1548" i="57" s="1"/>
  <c r="Q1548" i="57"/>
  <c r="T1548" i="57" s="1"/>
  <c r="O1548" i="57"/>
  <c r="N1548" i="57"/>
  <c r="AG1547" i="57"/>
  <c r="Y1547" i="57"/>
  <c r="AA1547" i="57" l="1"/>
  <c r="AB1547" i="57" s="1"/>
  <c r="Q1547" i="57"/>
  <c r="T1547" i="57" s="1"/>
  <c r="O1547" i="57"/>
  <c r="N1547" i="57"/>
  <c r="AG1546" i="57"/>
  <c r="Y1546" i="57"/>
  <c r="AA1546" i="57" l="1"/>
  <c r="AB1546" i="57" s="1"/>
  <c r="Q1546" i="57"/>
  <c r="T1546" i="57" s="1"/>
  <c r="O1546" i="57"/>
  <c r="N1546" i="57"/>
  <c r="AG1545" i="57"/>
  <c r="Y1545" i="57"/>
  <c r="AA1545" i="57" l="1"/>
  <c r="AB1545" i="57" s="1"/>
  <c r="Q1545" i="57"/>
  <c r="T1545" i="57" s="1"/>
  <c r="O1545" i="57"/>
  <c r="N1545" i="57"/>
  <c r="AG1544" i="57"/>
  <c r="Y1544" i="57"/>
  <c r="AA1544" i="57" l="1"/>
  <c r="AB1544" i="57" s="1"/>
  <c r="Q1544" i="57"/>
  <c r="T1544" i="57" s="1"/>
  <c r="O1544" i="57"/>
  <c r="N1544" i="57"/>
  <c r="AG1543" i="57"/>
  <c r="Y1543" i="57"/>
  <c r="AA1543" i="57" l="1"/>
  <c r="AB1543" i="57" s="1"/>
  <c r="Q1543" i="57"/>
  <c r="T1543" i="57" s="1"/>
  <c r="O1543" i="57"/>
  <c r="N1543" i="57"/>
  <c r="AG1542" i="57"/>
  <c r="Y1542" i="57"/>
  <c r="AA1542" i="57" l="1"/>
  <c r="AB1542" i="57" s="1"/>
  <c r="Q1542" i="57"/>
  <c r="T1542" i="57" s="1"/>
  <c r="O1542" i="57"/>
  <c r="N1542" i="57"/>
  <c r="AG1541" i="57"/>
  <c r="Y1541" i="57"/>
  <c r="AA1541" i="57" l="1"/>
  <c r="AB1541" i="57" s="1"/>
  <c r="Q1541" i="57"/>
  <c r="T1541" i="57" s="1"/>
  <c r="O1541" i="57"/>
  <c r="N1541" i="57"/>
  <c r="AG1540" i="57"/>
  <c r="Y1540" i="57"/>
  <c r="AA1540" i="57" l="1"/>
  <c r="AB1540" i="57" s="1"/>
  <c r="Q1540" i="57"/>
  <c r="T1540" i="57" s="1"/>
  <c r="O1540" i="57"/>
  <c r="N1540" i="57"/>
  <c r="AG1539" i="57"/>
  <c r="Y1539" i="57"/>
  <c r="AA1539" i="57" l="1"/>
  <c r="AB1539" i="57" s="1"/>
  <c r="Q1539" i="57"/>
  <c r="T1539" i="57" s="1"/>
  <c r="O1539" i="57"/>
  <c r="N1539" i="57"/>
  <c r="AN1538" i="57"/>
  <c r="AL1538" i="57" s="1"/>
  <c r="AM1538" i="57"/>
  <c r="AK1538" i="57" s="1"/>
  <c r="AG1538" i="57"/>
  <c r="Y1538" i="57"/>
  <c r="AA1538" i="57" l="1"/>
  <c r="AB1538" i="57" s="1"/>
  <c r="Q1538" i="57"/>
  <c r="T1538" i="57" s="1"/>
  <c r="O1538" i="57"/>
  <c r="N1538" i="57"/>
  <c r="AM1533" i="57"/>
  <c r="AN1533" i="57"/>
  <c r="AL1533" i="57" l="1"/>
  <c r="AK1533" i="57"/>
  <c r="AM1534" i="57"/>
  <c r="AN1534" i="57"/>
  <c r="AL1534" i="57" l="1"/>
  <c r="AK1534" i="57"/>
  <c r="AM1535" i="57"/>
  <c r="AN1535" i="57"/>
  <c r="AM1508" i="57"/>
  <c r="AN1508" i="57"/>
  <c r="AL1535" i="57" l="1"/>
  <c r="AK1535" i="57"/>
  <c r="AL1508" i="57"/>
  <c r="AK1508" i="57"/>
  <c r="AM1509" i="57"/>
  <c r="AN1509" i="57"/>
  <c r="AL1509" i="57" l="1"/>
  <c r="AK1509" i="57"/>
  <c r="AM1510" i="57"/>
  <c r="AN1510" i="57"/>
  <c r="AL1510" i="57" l="1"/>
  <c r="AK1510" i="57"/>
  <c r="AM1511" i="57"/>
  <c r="AN1511" i="57"/>
  <c r="AL1511" i="57" l="1"/>
  <c r="AK1511" i="57"/>
  <c r="AM1512" i="57"/>
  <c r="AN1512" i="57"/>
  <c r="AL1512" i="57" l="1"/>
  <c r="AK1512" i="57"/>
  <c r="AM1513" i="57"/>
  <c r="AN1513" i="57"/>
  <c r="AL1513" i="57" l="1"/>
  <c r="AK1513" i="57"/>
  <c r="AM1514" i="57"/>
  <c r="AN1514" i="57"/>
  <c r="AL1514" i="57" l="1"/>
  <c r="AK1514" i="57"/>
  <c r="AM1515" i="57"/>
  <c r="AN1515" i="57"/>
  <c r="AL1515" i="57" l="1"/>
  <c r="AK1515" i="57"/>
  <c r="AM1516" i="57"/>
  <c r="AN1516" i="57"/>
  <c r="AL1516" i="57" l="1"/>
  <c r="AK1516" i="57"/>
  <c r="AM1517" i="57"/>
  <c r="AN1517" i="57"/>
  <c r="AL1517" i="57" l="1"/>
  <c r="AK1517" i="57"/>
  <c r="AM1518" i="57"/>
  <c r="AN1518" i="57"/>
  <c r="AL1518" i="57" l="1"/>
  <c r="AK1518" i="57"/>
  <c r="AM1519" i="57"/>
  <c r="AN1519" i="57"/>
  <c r="AL1519" i="57" l="1"/>
  <c r="AK1519" i="57"/>
  <c r="AM1520" i="57"/>
  <c r="AN1520" i="57"/>
  <c r="AL1520" i="57" l="1"/>
  <c r="AK1520" i="57"/>
  <c r="AM1521" i="57"/>
  <c r="AN1521" i="57"/>
  <c r="AL1521" i="57" l="1"/>
  <c r="AK1521" i="57"/>
  <c r="AM1522" i="57"/>
  <c r="AN1522" i="57"/>
  <c r="AL1522" i="57" l="1"/>
  <c r="AK1522" i="57"/>
  <c r="AM1523" i="57"/>
  <c r="AN1523" i="57"/>
  <c r="AL1523" i="57" l="1"/>
  <c r="AK1523" i="57"/>
  <c r="AM1524" i="57"/>
  <c r="AN1524" i="57"/>
  <c r="AL1524" i="57" l="1"/>
  <c r="AK1524" i="57"/>
  <c r="AM1525" i="57"/>
  <c r="AN1525" i="57"/>
  <c r="AL1525" i="57" l="1"/>
  <c r="AK1525" i="57"/>
  <c r="AM1526" i="57"/>
  <c r="AN1526" i="57"/>
  <c r="AL1526" i="57" l="1"/>
  <c r="AK1526" i="57"/>
  <c r="AM1527" i="57"/>
  <c r="AN1527" i="57"/>
  <c r="AL1527" i="57" l="1"/>
  <c r="AK1527" i="57"/>
  <c r="AM1528" i="57"/>
  <c r="AN1528" i="57"/>
  <c r="AL1528" i="57" l="1"/>
  <c r="AK1528" i="57"/>
  <c r="AM1529" i="57"/>
  <c r="AN1529" i="57"/>
  <c r="AL1529" i="57" l="1"/>
  <c r="AK1529" i="57"/>
  <c r="AM1530" i="57"/>
  <c r="AN1530" i="57"/>
  <c r="AL1530" i="57" l="1"/>
  <c r="AK1530" i="57"/>
  <c r="AM1531" i="57"/>
  <c r="AN1531" i="57"/>
  <c r="AL1531" i="57" l="1"/>
  <c r="AK1531" i="57"/>
  <c r="AM1532" i="57"/>
  <c r="AN1532" i="57"/>
  <c r="AL1532" i="57" l="1"/>
  <c r="AK1532" i="57"/>
  <c r="AG1535" i="57"/>
  <c r="Y1535" i="57"/>
  <c r="AA1535" i="57" l="1"/>
  <c r="AB1535" i="57" s="1"/>
  <c r="Q1535" i="57"/>
  <c r="T1535" i="57" s="1"/>
  <c r="O1535" i="57"/>
  <c r="N1535" i="57"/>
  <c r="AG1534" i="57"/>
  <c r="Y1534" i="57"/>
  <c r="AA1534" i="57" l="1"/>
  <c r="AB1534" i="57" s="1"/>
  <c r="T1534" i="57"/>
  <c r="O1534" i="57"/>
  <c r="N1534" i="57"/>
  <c r="AG1533" i="57"/>
  <c r="Y1533" i="57"/>
  <c r="AA1533" i="57" l="1"/>
  <c r="AB1533" i="57" s="1"/>
  <c r="T1533" i="57"/>
  <c r="O1533" i="57"/>
  <c r="N1533" i="57"/>
  <c r="AG1532" i="57"/>
  <c r="Y1532" i="57"/>
  <c r="AA1532" i="57" l="1"/>
  <c r="AB1532" i="57" s="1"/>
  <c r="Q1532" i="57"/>
  <c r="T1532" i="57" s="1"/>
  <c r="O1532" i="57"/>
  <c r="N1532" i="57"/>
  <c r="AG1531" i="57"/>
  <c r="Y1531" i="57"/>
  <c r="AA1531" i="57" l="1"/>
  <c r="AB1531" i="57" s="1"/>
  <c r="Q1531" i="57"/>
  <c r="T1531" i="57" s="1"/>
  <c r="O1531" i="57"/>
  <c r="N1531" i="57"/>
  <c r="AG1530" i="57"/>
  <c r="Y1530" i="57"/>
  <c r="AA1530" i="57" l="1"/>
  <c r="AB1530" i="57" s="1"/>
  <c r="T1530" i="57"/>
  <c r="O1530" i="57"/>
  <c r="N1530" i="57"/>
  <c r="AG1529" i="57"/>
  <c r="Y1529" i="57"/>
  <c r="AA1529" i="57" l="1"/>
  <c r="AB1529" i="57" s="1"/>
  <c r="Q1529" i="57"/>
  <c r="T1529" i="57" s="1"/>
  <c r="O1529" i="57"/>
  <c r="N1529" i="57"/>
  <c r="AG1528" i="57"/>
  <c r="Y1528" i="57"/>
  <c r="AA1528" i="57" l="1"/>
  <c r="AB1528" i="57" s="1"/>
  <c r="Q1528" i="57"/>
  <c r="T1528" i="57" s="1"/>
  <c r="O1528" i="57"/>
  <c r="N1528" i="57"/>
  <c r="AG1527" i="57"/>
  <c r="Y1527" i="57"/>
  <c r="AA1527" i="57" l="1"/>
  <c r="AB1527" i="57" s="1"/>
  <c r="T1527" i="57"/>
  <c r="O1527" i="57"/>
  <c r="N1527" i="57"/>
  <c r="AG1526" i="57"/>
  <c r="Y1526" i="57"/>
  <c r="AA1526" i="57" l="1"/>
  <c r="AB1526" i="57" s="1"/>
  <c r="Q1526" i="57"/>
  <c r="T1526" i="57" s="1"/>
  <c r="O1526" i="57"/>
  <c r="N1526" i="57"/>
  <c r="AG1525" i="57"/>
  <c r="Y1525" i="57"/>
  <c r="AA1525" i="57" l="1"/>
  <c r="AB1525" i="57" s="1"/>
  <c r="T1525" i="57"/>
  <c r="O1525" i="57"/>
  <c r="N1525" i="57"/>
  <c r="AG1524" i="57"/>
  <c r="Y1524" i="57"/>
  <c r="AA1524" i="57" l="1"/>
  <c r="AB1524" i="57" s="1"/>
  <c r="T1524" i="57"/>
  <c r="O1524" i="57"/>
  <c r="N1524" i="57"/>
  <c r="AG1523" i="57"/>
  <c r="Y1523" i="57"/>
  <c r="AA1523" i="57" l="1"/>
  <c r="AB1523" i="57" s="1"/>
  <c r="Q1523" i="57"/>
  <c r="T1523" i="57" s="1"/>
  <c r="O1523" i="57"/>
  <c r="N1523" i="57"/>
  <c r="AG1522" i="57"/>
  <c r="Y1522" i="57"/>
  <c r="AA1522" i="57" l="1"/>
  <c r="AB1522" i="57" s="1"/>
  <c r="Q1522" i="57"/>
  <c r="T1522" i="57" s="1"/>
  <c r="O1522" i="57"/>
  <c r="N1522" i="57"/>
  <c r="AG1521" i="57"/>
  <c r="Y1521" i="57"/>
  <c r="AA1521" i="57" l="1"/>
  <c r="AB1521" i="57" s="1"/>
  <c r="Q1521" i="57"/>
  <c r="T1521" i="57" s="1"/>
  <c r="O1521" i="57"/>
  <c r="N1521" i="57"/>
  <c r="AG1520" i="57"/>
  <c r="Y1520" i="57"/>
  <c r="AA1520" i="57" l="1"/>
  <c r="AB1520" i="57" s="1"/>
  <c r="Q1520" i="57"/>
  <c r="T1520" i="57" s="1"/>
  <c r="O1520" i="57"/>
  <c r="N1520" i="57"/>
  <c r="AG1519" i="57"/>
  <c r="Y1519" i="57"/>
  <c r="AA1519" i="57" l="1"/>
  <c r="AB1519" i="57" s="1"/>
  <c r="T1519" i="57"/>
  <c r="O1519" i="57"/>
  <c r="N1519" i="57"/>
  <c r="AG1518" i="57"/>
  <c r="Y1518" i="57"/>
  <c r="AA1518" i="57" l="1"/>
  <c r="AB1518" i="57" s="1"/>
  <c r="T1518" i="57"/>
  <c r="O1518" i="57"/>
  <c r="N1518" i="57"/>
  <c r="AG1517" i="57"/>
  <c r="Y1517" i="57"/>
  <c r="AA1517" i="57" l="1"/>
  <c r="AB1517" i="57" s="1"/>
  <c r="Q1517" i="57"/>
  <c r="T1517" i="57" s="1"/>
  <c r="O1517" i="57"/>
  <c r="N1517" i="57"/>
  <c r="AG1516" i="57"/>
  <c r="Y1516" i="57"/>
  <c r="AA1516" i="57" l="1"/>
  <c r="AB1516" i="57" s="1"/>
  <c r="T1516" i="57"/>
  <c r="O1516" i="57"/>
  <c r="N1516" i="57"/>
  <c r="AG1515" i="57"/>
  <c r="Y1515" i="57"/>
  <c r="AA1515" i="57" l="1"/>
  <c r="AB1515" i="57" s="1"/>
  <c r="Q1515" i="57"/>
  <c r="T1515" i="57" s="1"/>
  <c r="O1515" i="57"/>
  <c r="N1515" i="57"/>
  <c r="AG1514" i="57"/>
  <c r="Y1514" i="57"/>
  <c r="AA1514" i="57" l="1"/>
  <c r="AB1514" i="57" s="1"/>
  <c r="Q1514" i="57"/>
  <c r="T1514" i="57" s="1"/>
  <c r="O1514" i="57"/>
  <c r="N1514" i="57"/>
  <c r="AG1513" i="57"/>
  <c r="Y1513" i="57"/>
  <c r="AA1513" i="57" l="1"/>
  <c r="AB1513" i="57" s="1"/>
  <c r="T1513" i="57"/>
  <c r="O1513" i="57"/>
  <c r="N1513" i="57"/>
  <c r="AG1512" i="57"/>
  <c r="Y1512" i="57"/>
  <c r="AA1512" i="57" l="1"/>
  <c r="AB1512" i="57" s="1"/>
  <c r="Q1512" i="57"/>
  <c r="T1512" i="57" s="1"/>
  <c r="O1512" i="57"/>
  <c r="N1512" i="57"/>
  <c r="AG1511" i="57"/>
  <c r="Y1511" i="57"/>
  <c r="AA1511" i="57" l="1"/>
  <c r="AB1511" i="57" s="1"/>
  <c r="T1511" i="57"/>
  <c r="O1511" i="57"/>
  <c r="N1511" i="57"/>
  <c r="AG1510" i="57"/>
  <c r="Y1510" i="57"/>
  <c r="AA1510" i="57" l="1"/>
  <c r="AB1510" i="57" s="1"/>
  <c r="T1510" i="57"/>
  <c r="O1510" i="57"/>
  <c r="N1510" i="57"/>
  <c r="AG1509" i="57"/>
  <c r="Y1509" i="57"/>
  <c r="AA1509" i="57" l="1"/>
  <c r="AB1509" i="57" s="1"/>
  <c r="T1509" i="57"/>
  <c r="O1509" i="57"/>
  <c r="N1509" i="57"/>
  <c r="AG1508" i="57"/>
  <c r="Y1508" i="57"/>
  <c r="AA1508" i="57" l="1"/>
  <c r="AB1508" i="57" s="1"/>
  <c r="T1508" i="57"/>
  <c r="O1508" i="57"/>
  <c r="N1508" i="57"/>
  <c r="AN1507" i="57"/>
  <c r="AL1507" i="57" s="1"/>
  <c r="AM1507" i="57"/>
  <c r="AK1507" i="57" s="1"/>
  <c r="AG1507" i="57"/>
  <c r="Y1507" i="57"/>
  <c r="AA1507" i="57" l="1"/>
  <c r="AB1507" i="57" s="1"/>
  <c r="Q1507" i="57"/>
  <c r="T1507" i="57" s="1"/>
  <c r="O1507" i="57"/>
  <c r="N1507" i="57"/>
  <c r="AM1447" i="57"/>
  <c r="AN1447" i="57"/>
  <c r="AL1447" i="57" l="1"/>
  <c r="AK1447" i="57"/>
  <c r="AM1448" i="57"/>
  <c r="AN1448" i="57"/>
  <c r="AL1448" i="57" l="1"/>
  <c r="AK1448" i="57"/>
  <c r="AM1449" i="57"/>
  <c r="AN1449" i="57"/>
  <c r="AL1449" i="57" l="1"/>
  <c r="AK1449" i="57"/>
  <c r="AM1450" i="57"/>
  <c r="AN1450" i="57"/>
  <c r="AL1450" i="57" l="1"/>
  <c r="AK1450" i="57"/>
  <c r="AM1451" i="57"/>
  <c r="AN1451" i="57"/>
  <c r="AL1451" i="57" l="1"/>
  <c r="AK1451" i="57"/>
  <c r="AM1452" i="57"/>
  <c r="AN1452" i="57"/>
  <c r="AL1452" i="57" l="1"/>
  <c r="AK1452" i="57"/>
  <c r="AM1453" i="57"/>
  <c r="AN1453" i="57"/>
  <c r="AL1453" i="57" l="1"/>
  <c r="AK1453" i="57"/>
  <c r="AM1454" i="57"/>
  <c r="AN1454" i="57"/>
  <c r="AL1454" i="57" l="1"/>
  <c r="AK1454" i="57"/>
  <c r="AM1455" i="57"/>
  <c r="AN1455" i="57"/>
  <c r="AL1455" i="57" l="1"/>
  <c r="AK1455" i="57"/>
  <c r="AM1456" i="57"/>
  <c r="AN1456" i="57"/>
  <c r="AL1456" i="57" l="1"/>
  <c r="AK1456" i="57"/>
  <c r="AM1457" i="57"/>
  <c r="AN1457" i="57"/>
  <c r="AL1457" i="57" l="1"/>
  <c r="AK1457" i="57"/>
  <c r="AM1458" i="57"/>
  <c r="AN1458" i="57"/>
  <c r="AL1458" i="57" l="1"/>
  <c r="AK1458" i="57"/>
  <c r="AM1459" i="57"/>
  <c r="AN1459" i="57"/>
  <c r="AL1459" i="57" l="1"/>
  <c r="AK1459" i="57"/>
  <c r="AM1460" i="57"/>
  <c r="AN1460" i="57"/>
  <c r="AL1460" i="57" l="1"/>
  <c r="AK1460" i="57"/>
  <c r="AM1461" i="57"/>
  <c r="AN1461" i="57"/>
  <c r="AL1461" i="57" l="1"/>
  <c r="AK1461" i="57"/>
  <c r="AM1462" i="57"/>
  <c r="AN1462" i="57"/>
  <c r="AL1462" i="57" l="1"/>
  <c r="AK1462" i="57"/>
  <c r="AM1463" i="57"/>
  <c r="AN1463" i="57"/>
  <c r="AL1463" i="57" l="1"/>
  <c r="AK1463" i="57"/>
  <c r="AM1464" i="57"/>
  <c r="AN1464" i="57"/>
  <c r="AL1464" i="57" l="1"/>
  <c r="AK1464" i="57"/>
  <c r="AM1465" i="57"/>
  <c r="AN1465" i="57"/>
  <c r="AL1465" i="57" l="1"/>
  <c r="AK1465" i="57"/>
  <c r="AM1466" i="57"/>
  <c r="AN1466" i="57"/>
  <c r="AL1466" i="57" l="1"/>
  <c r="AK1466" i="57"/>
  <c r="AM1467" i="57"/>
  <c r="AN1467" i="57"/>
  <c r="AL1467" i="57" l="1"/>
  <c r="AK1467" i="57"/>
  <c r="AM1468" i="57"/>
  <c r="AN1468" i="57"/>
  <c r="AL1468" i="57" l="1"/>
  <c r="AK1468" i="57"/>
  <c r="AM1469" i="57"/>
  <c r="AN1469" i="57"/>
  <c r="AL1469" i="57" l="1"/>
  <c r="AK1469" i="57"/>
  <c r="AM1470" i="57"/>
  <c r="AN1470" i="57"/>
  <c r="AL1470" i="57" l="1"/>
  <c r="AK1470" i="57"/>
  <c r="AM1471" i="57"/>
  <c r="AN1471" i="57"/>
  <c r="AL1471" i="57" l="1"/>
  <c r="AK1471" i="57"/>
  <c r="AM1472" i="57"/>
  <c r="AN1472" i="57"/>
  <c r="AL1472" i="57" l="1"/>
  <c r="AK1472" i="57"/>
  <c r="AM1473" i="57"/>
  <c r="AN1473" i="57"/>
  <c r="AL1473" i="57" l="1"/>
  <c r="AK1473" i="57"/>
  <c r="AM1474" i="57"/>
  <c r="AN1474" i="57"/>
  <c r="AL1474" i="57" l="1"/>
  <c r="AK1474" i="57"/>
  <c r="AM1475" i="57"/>
  <c r="AN1475" i="57"/>
  <c r="AL1475" i="57" l="1"/>
  <c r="AK1475" i="57"/>
  <c r="AM1476" i="57"/>
  <c r="AN1476" i="57"/>
  <c r="AL1476" i="57" l="1"/>
  <c r="AK1476" i="57"/>
  <c r="AM1477" i="57"/>
  <c r="AN1477" i="57"/>
  <c r="AL1477" i="57" l="1"/>
  <c r="AK1477" i="57"/>
  <c r="AM1478" i="57"/>
  <c r="AN1478" i="57"/>
  <c r="AL1478" i="57" l="1"/>
  <c r="AK1478" i="57"/>
  <c r="AM1479" i="57"/>
  <c r="AN1479" i="57"/>
  <c r="AL1479" i="57" l="1"/>
  <c r="AK1479" i="57"/>
  <c r="AM1480" i="57"/>
  <c r="AN1480" i="57"/>
  <c r="AL1480" i="57" l="1"/>
  <c r="AK1480" i="57"/>
  <c r="AM1481" i="57"/>
  <c r="AN1481" i="57"/>
  <c r="AL1481" i="57" l="1"/>
  <c r="AK1481" i="57"/>
  <c r="AM1482" i="57"/>
  <c r="AN1482" i="57"/>
  <c r="AL1482" i="57" l="1"/>
  <c r="AK1482" i="57"/>
  <c r="AM1483" i="57"/>
  <c r="AN1483" i="57"/>
  <c r="AL1483" i="57" l="1"/>
  <c r="AK1483" i="57"/>
  <c r="AM1484" i="57"/>
  <c r="AN1484" i="57"/>
  <c r="AL1484" i="57" l="1"/>
  <c r="AK1484" i="57"/>
  <c r="AM1485" i="57"/>
  <c r="AN1485" i="57"/>
  <c r="AL1485" i="57" l="1"/>
  <c r="AK1485" i="57"/>
  <c r="AM1486" i="57"/>
  <c r="AN1486" i="57"/>
  <c r="AL1486" i="57" l="1"/>
  <c r="AK1486" i="57"/>
  <c r="AM1487" i="57"/>
  <c r="AN1487" i="57"/>
  <c r="AL1487" i="57" l="1"/>
  <c r="AK1487" i="57"/>
  <c r="AM1488" i="57"/>
  <c r="AN1488" i="57"/>
  <c r="AL1488" i="57" l="1"/>
  <c r="AK1488" i="57"/>
  <c r="AM1489" i="57"/>
  <c r="AN1489" i="57"/>
  <c r="AL1489" i="57" l="1"/>
  <c r="AK1489" i="57"/>
  <c r="AM1490" i="57"/>
  <c r="AN1490" i="57"/>
  <c r="AL1490" i="57" l="1"/>
  <c r="AK1490" i="57"/>
  <c r="AM1491" i="57"/>
  <c r="AN1491" i="57"/>
  <c r="AL1491" i="57" l="1"/>
  <c r="AK1491" i="57"/>
  <c r="AM1492" i="57"/>
  <c r="AN1492" i="57"/>
  <c r="AL1492" i="57" l="1"/>
  <c r="AK1492" i="57"/>
  <c r="AM1493" i="57"/>
  <c r="AN1493" i="57"/>
  <c r="AL1493" i="57" l="1"/>
  <c r="AK1493" i="57"/>
  <c r="AM1494" i="57"/>
  <c r="AN1494" i="57"/>
  <c r="AL1494" i="57" l="1"/>
  <c r="AK1494" i="57"/>
  <c r="AM1495" i="57"/>
  <c r="AN1495" i="57"/>
  <c r="AL1495" i="57" l="1"/>
  <c r="AK1495" i="57"/>
  <c r="AM1496" i="57"/>
  <c r="AN1496" i="57"/>
  <c r="AL1496" i="57" l="1"/>
  <c r="AK1496" i="57"/>
  <c r="AM1497" i="57"/>
  <c r="AN1497" i="57"/>
  <c r="AL1497" i="57" l="1"/>
  <c r="AK1497" i="57"/>
  <c r="AM1498" i="57"/>
  <c r="AN1498" i="57"/>
  <c r="AL1498" i="57" l="1"/>
  <c r="AK1498" i="57"/>
  <c r="AM1499" i="57"/>
  <c r="AN1499" i="57"/>
  <c r="AL1499" i="57" l="1"/>
  <c r="AK1499" i="57"/>
  <c r="AM1500" i="57"/>
  <c r="AN1500" i="57"/>
  <c r="AL1500" i="57" l="1"/>
  <c r="AK1500" i="57"/>
  <c r="AM1501" i="57"/>
  <c r="AN1501" i="57"/>
  <c r="AL1501" i="57" l="1"/>
  <c r="AK1501" i="57"/>
  <c r="AM1502" i="57"/>
  <c r="AN1502" i="57"/>
  <c r="AL1502" i="57" l="1"/>
  <c r="AK1502" i="57"/>
  <c r="AM1503" i="57"/>
  <c r="AN1503" i="57"/>
  <c r="AL1503" i="57" l="1"/>
  <c r="AK1503" i="57"/>
  <c r="AM1504" i="57"/>
  <c r="AN1504" i="57"/>
  <c r="AM1445" i="57"/>
  <c r="AN1445" i="57"/>
  <c r="AL1504" i="57" l="1"/>
  <c r="AK1504" i="57"/>
  <c r="AL1445" i="57"/>
  <c r="AK1445" i="57"/>
  <c r="AM1446" i="57"/>
  <c r="AN1446" i="57"/>
  <c r="AL1446" i="57" l="1"/>
  <c r="AK1446" i="57"/>
  <c r="AM1432" i="57"/>
  <c r="AN1432" i="57"/>
  <c r="AL1432" i="57" l="1"/>
  <c r="AK1432" i="57"/>
  <c r="AM1433" i="57"/>
  <c r="AN1433" i="57"/>
  <c r="AL1433" i="57" l="1"/>
  <c r="AK1433" i="57"/>
  <c r="AM1434" i="57"/>
  <c r="AN1434" i="57"/>
  <c r="AL1434" i="57" l="1"/>
  <c r="AK1434" i="57"/>
  <c r="AM1435" i="57"/>
  <c r="AN1435" i="57"/>
  <c r="AL1435" i="57" l="1"/>
  <c r="AK1435" i="57"/>
  <c r="AM1436" i="57"/>
  <c r="AN1436" i="57"/>
  <c r="AL1436" i="57" l="1"/>
  <c r="AK1436" i="57"/>
  <c r="AM1437" i="57"/>
  <c r="AN1437" i="57"/>
  <c r="AL1437" i="57" l="1"/>
  <c r="AK1437" i="57"/>
  <c r="AM1438" i="57"/>
  <c r="AN1438" i="57"/>
  <c r="AL1438" i="57" l="1"/>
  <c r="AK1438" i="57"/>
  <c r="AM1439" i="57"/>
  <c r="AN1439" i="57"/>
  <c r="AL1439" i="57" l="1"/>
  <c r="AK1439" i="57"/>
  <c r="AM1440" i="57"/>
  <c r="AN1440" i="57"/>
  <c r="AL1440" i="57" l="1"/>
  <c r="AK1440" i="57"/>
  <c r="AM1441" i="57"/>
  <c r="AN1441" i="57"/>
  <c r="AL1441" i="57" l="1"/>
  <c r="AK1441" i="57"/>
  <c r="AM1442" i="57"/>
  <c r="AN1442" i="57"/>
  <c r="AL1442" i="57" l="1"/>
  <c r="AK1442" i="57"/>
  <c r="AM1443" i="57"/>
  <c r="AN1443" i="57"/>
  <c r="AL1443" i="57" l="1"/>
  <c r="AK1443" i="57"/>
  <c r="AM1444" i="57"/>
  <c r="AN1444" i="57"/>
  <c r="AL1444" i="57" l="1"/>
  <c r="AK1444" i="57"/>
  <c r="AG1504" i="57"/>
  <c r="Y1504" i="57"/>
  <c r="AA1504" i="57" l="1"/>
  <c r="AB1504" i="57" s="1"/>
  <c r="Q1504" i="57"/>
  <c r="T1504" i="57" s="1"/>
  <c r="O1504" i="57"/>
  <c r="N1504" i="57"/>
  <c r="AG1503" i="57"/>
  <c r="Y1503" i="57"/>
  <c r="AA1503" i="57" l="1"/>
  <c r="AB1503" i="57" s="1"/>
  <c r="Q1503" i="57"/>
  <c r="T1503" i="57" s="1"/>
  <c r="O1503" i="57"/>
  <c r="N1503" i="57"/>
  <c r="AG1502" i="57"/>
  <c r="AA1502" i="57"/>
  <c r="AB1502" i="57" s="1"/>
  <c r="Q1502" i="57"/>
  <c r="T1502" i="57" s="1"/>
  <c r="O1502" i="57"/>
  <c r="N1502" i="57"/>
  <c r="AG1501" i="57"/>
  <c r="Y1501" i="57"/>
  <c r="AA1501" i="57" l="1"/>
  <c r="AB1501" i="57" s="1"/>
  <c r="Q1501" i="57"/>
  <c r="T1501" i="57" s="1"/>
  <c r="O1501" i="57"/>
  <c r="N1501" i="57"/>
  <c r="AG1500" i="57"/>
  <c r="Y1500" i="57"/>
  <c r="AA1500" i="57" l="1"/>
  <c r="AB1500" i="57" s="1"/>
  <c r="T1500" i="57"/>
  <c r="O1500" i="57"/>
  <c r="N1500" i="57"/>
  <c r="AG1499" i="57"/>
  <c r="Y1499" i="57"/>
  <c r="AA1499" i="57" l="1"/>
  <c r="AB1499" i="57" s="1"/>
  <c r="Q1499" i="57"/>
  <c r="T1499" i="57" s="1"/>
  <c r="O1499" i="57"/>
  <c r="N1499" i="57"/>
  <c r="AG1498" i="57"/>
  <c r="Y1498" i="57"/>
  <c r="AA1498" i="57" l="1"/>
  <c r="AB1498" i="57" s="1"/>
  <c r="Q1498" i="57"/>
  <c r="T1498" i="57" s="1"/>
  <c r="O1498" i="57"/>
  <c r="N1498" i="57"/>
  <c r="AG1497" i="57"/>
  <c r="Y1497" i="57"/>
  <c r="AA1497" i="57" l="1"/>
  <c r="AB1497" i="57" s="1"/>
  <c r="Q1497" i="57"/>
  <c r="T1497" i="57" s="1"/>
  <c r="O1497" i="57"/>
  <c r="N1497" i="57"/>
  <c r="AG1496" i="57"/>
  <c r="Y1496" i="57"/>
  <c r="AA1496" i="57" l="1"/>
  <c r="AB1496" i="57" s="1"/>
  <c r="Q1496" i="57"/>
  <c r="T1496" i="57" s="1"/>
  <c r="O1496" i="57"/>
  <c r="N1496" i="57"/>
  <c r="AG1495" i="57"/>
  <c r="Y1495" i="57"/>
  <c r="AA1495" i="57" l="1"/>
  <c r="AB1495" i="57" s="1"/>
  <c r="Q1495" i="57"/>
  <c r="T1495" i="57" s="1"/>
  <c r="O1495" i="57"/>
  <c r="N1495" i="57"/>
  <c r="AG1494" i="57"/>
  <c r="Y1494" i="57"/>
  <c r="AA1494" i="57" l="1"/>
  <c r="AB1494" i="57" s="1"/>
  <c r="Q1494" i="57"/>
  <c r="T1494" i="57" s="1"/>
  <c r="O1494" i="57"/>
  <c r="N1494" i="57"/>
  <c r="AG1493" i="57"/>
  <c r="Y1493" i="57"/>
  <c r="AA1493" i="57" l="1"/>
  <c r="AB1493" i="57" s="1"/>
  <c r="Q1493" i="57"/>
  <c r="T1493" i="57" s="1"/>
  <c r="O1493" i="57"/>
  <c r="N1493" i="57"/>
  <c r="AG1492" i="57"/>
  <c r="Y1492" i="57"/>
  <c r="AA1492" i="57" l="1"/>
  <c r="AB1492" i="57" s="1"/>
  <c r="Q1492" i="57"/>
  <c r="T1492" i="57" s="1"/>
  <c r="O1492" i="57"/>
  <c r="N1492" i="57"/>
  <c r="AG1491" i="57"/>
  <c r="Y1491" i="57"/>
  <c r="AA1491" i="57" l="1"/>
  <c r="AB1491" i="57" s="1"/>
  <c r="Q1491" i="57"/>
  <c r="T1491" i="57" s="1"/>
  <c r="O1491" i="57"/>
  <c r="N1491" i="57"/>
  <c r="AG1490" i="57"/>
  <c r="Y1490" i="57"/>
  <c r="AA1490" i="57" l="1"/>
  <c r="AB1490" i="57" s="1"/>
  <c r="Q1490" i="57"/>
  <c r="T1490" i="57" s="1"/>
  <c r="O1490" i="57"/>
  <c r="N1490" i="57"/>
  <c r="AG1489" i="57"/>
  <c r="Y1489" i="57"/>
  <c r="AA1489" i="57" l="1"/>
  <c r="AB1489" i="57" s="1"/>
  <c r="Q1489" i="57"/>
  <c r="T1489" i="57" s="1"/>
  <c r="O1489" i="57"/>
  <c r="N1489" i="57"/>
  <c r="AG1488" i="57"/>
  <c r="Y1488" i="57"/>
  <c r="AA1488" i="57" l="1"/>
  <c r="AB1488" i="57" s="1"/>
  <c r="Q1488" i="57"/>
  <c r="T1488" i="57" s="1"/>
  <c r="O1488" i="57"/>
  <c r="N1488" i="57"/>
  <c r="AG1487" i="57"/>
  <c r="Y1487" i="57"/>
  <c r="AA1487" i="57" l="1"/>
  <c r="AB1487" i="57" s="1"/>
  <c r="Q1487" i="57"/>
  <c r="T1487" i="57" s="1"/>
  <c r="O1487" i="57"/>
  <c r="N1487" i="57"/>
  <c r="AG1486" i="57"/>
  <c r="Y1486" i="57"/>
  <c r="AA1486" i="57" l="1"/>
  <c r="AB1486" i="57" s="1"/>
  <c r="Q1486" i="57"/>
  <c r="T1486" i="57" s="1"/>
  <c r="O1486" i="57"/>
  <c r="N1486" i="57"/>
  <c r="AG1485" i="57"/>
  <c r="Y1485" i="57"/>
  <c r="AA1485" i="57" l="1"/>
  <c r="AB1485" i="57" s="1"/>
  <c r="Q1485" i="57"/>
  <c r="T1485" i="57" s="1"/>
  <c r="O1485" i="57"/>
  <c r="N1485" i="57"/>
  <c r="AG1484" i="57"/>
  <c r="Y1484" i="57"/>
  <c r="AA1484" i="57" l="1"/>
  <c r="AB1484" i="57" s="1"/>
  <c r="Q1484" i="57"/>
  <c r="T1484" i="57" s="1"/>
  <c r="O1484" i="57"/>
  <c r="N1484" i="57"/>
  <c r="AG1483" i="57"/>
  <c r="Y1483" i="57"/>
  <c r="AA1483" i="57" l="1"/>
  <c r="AB1483" i="57" s="1"/>
  <c r="Q1483" i="57"/>
  <c r="T1483" i="57" s="1"/>
  <c r="O1483" i="57"/>
  <c r="N1483" i="57"/>
  <c r="AG1482" i="57"/>
  <c r="Y1482" i="57"/>
  <c r="AA1482" i="57" l="1"/>
  <c r="AB1482" i="57" s="1"/>
  <c r="Q1482" i="57"/>
  <c r="T1482" i="57" s="1"/>
  <c r="O1482" i="57"/>
  <c r="N1482" i="57"/>
  <c r="AG1481" i="57"/>
  <c r="Y1481" i="57"/>
  <c r="AA1481" i="57" l="1"/>
  <c r="AB1481" i="57" s="1"/>
  <c r="Q1481" i="57"/>
  <c r="T1481" i="57" s="1"/>
  <c r="O1481" i="57"/>
  <c r="N1481" i="57"/>
  <c r="AG1480" i="57"/>
  <c r="Y1480" i="57"/>
  <c r="AA1480" i="57" l="1"/>
  <c r="AB1480" i="57" s="1"/>
  <c r="Q1480" i="57"/>
  <c r="T1480" i="57" s="1"/>
  <c r="O1480" i="57"/>
  <c r="N1480" i="57"/>
  <c r="AG1479" i="57"/>
  <c r="Y1479" i="57"/>
  <c r="AA1479" i="57" l="1"/>
  <c r="AB1479" i="57" s="1"/>
  <c r="Q1479" i="57"/>
  <c r="T1479" i="57" s="1"/>
  <c r="O1479" i="57"/>
  <c r="N1479" i="57"/>
  <c r="AG1478" i="57"/>
  <c r="Y1478" i="57"/>
  <c r="AA1478" i="57" l="1"/>
  <c r="AB1478" i="57" s="1"/>
  <c r="Q1478" i="57"/>
  <c r="T1478" i="57" s="1"/>
  <c r="O1478" i="57"/>
  <c r="N1478" i="57"/>
  <c r="AG1477" i="57"/>
  <c r="Y1477" i="57"/>
  <c r="AA1477" i="57" l="1"/>
  <c r="AB1477" i="57" s="1"/>
  <c r="Q1477" i="57"/>
  <c r="T1477" i="57" s="1"/>
  <c r="O1477" i="57"/>
  <c r="N1477" i="57"/>
  <c r="AG1476" i="57"/>
  <c r="Y1476" i="57"/>
  <c r="AA1476" i="57" l="1"/>
  <c r="AB1476" i="57" s="1"/>
  <c r="Q1476" i="57"/>
  <c r="T1476" i="57" s="1"/>
  <c r="O1476" i="57"/>
  <c r="N1476" i="57"/>
  <c r="AG1475" i="57"/>
  <c r="Y1475" i="57"/>
  <c r="AA1475" i="57" l="1"/>
  <c r="AB1475" i="57" s="1"/>
  <c r="Q1475" i="57"/>
  <c r="T1475" i="57" s="1"/>
  <c r="O1475" i="57"/>
  <c r="N1475" i="57"/>
  <c r="AG1474" i="57"/>
  <c r="Y1474" i="57"/>
  <c r="AA1474" i="57" l="1"/>
  <c r="AB1474" i="57" s="1"/>
  <c r="Q1474" i="57"/>
  <c r="T1474" i="57" s="1"/>
  <c r="O1474" i="57"/>
  <c r="N1474" i="57"/>
  <c r="AG1473" i="57"/>
  <c r="Y1473" i="57"/>
  <c r="AA1473" i="57" l="1"/>
  <c r="AB1473" i="57" s="1"/>
  <c r="Q1473" i="57"/>
  <c r="T1473" i="57" s="1"/>
  <c r="O1473" i="57"/>
  <c r="N1473" i="57"/>
  <c r="AG1472" i="57"/>
  <c r="Y1472" i="57"/>
  <c r="AA1472" i="57" l="1"/>
  <c r="AB1472" i="57" s="1"/>
  <c r="Q1472" i="57"/>
  <c r="T1472" i="57" s="1"/>
  <c r="O1472" i="57"/>
  <c r="N1472" i="57"/>
  <c r="AG1471" i="57"/>
  <c r="Y1471" i="57"/>
  <c r="AA1471" i="57" l="1"/>
  <c r="AB1471" i="57" s="1"/>
  <c r="Q1471" i="57"/>
  <c r="T1471" i="57" s="1"/>
  <c r="O1471" i="57"/>
  <c r="N1471" i="57"/>
  <c r="AG1470" i="57"/>
  <c r="Y1470" i="57"/>
  <c r="AA1470" i="57" l="1"/>
  <c r="AB1470" i="57" s="1"/>
  <c r="Q1470" i="57"/>
  <c r="T1470" i="57" s="1"/>
  <c r="O1470" i="57"/>
  <c r="N1470" i="57"/>
  <c r="AG1469" i="57"/>
  <c r="Y1469" i="57"/>
  <c r="AA1469" i="57" l="1"/>
  <c r="AB1469" i="57" s="1"/>
  <c r="Q1469" i="57"/>
  <c r="T1469" i="57" s="1"/>
  <c r="O1469" i="57"/>
  <c r="N1469" i="57"/>
  <c r="AG1468" i="57"/>
  <c r="Y1468" i="57"/>
  <c r="AA1468" i="57" l="1"/>
  <c r="AB1468" i="57" s="1"/>
  <c r="Q1468" i="57"/>
  <c r="T1468" i="57" s="1"/>
  <c r="O1468" i="57"/>
  <c r="N1468" i="57"/>
  <c r="AG1467" i="57"/>
  <c r="Y1467" i="57"/>
  <c r="AA1467" i="57" l="1"/>
  <c r="AB1467" i="57" s="1"/>
  <c r="T1467" i="57"/>
  <c r="O1467" i="57"/>
  <c r="N1467" i="57"/>
  <c r="AG1466" i="57"/>
  <c r="Y1466" i="57"/>
  <c r="AA1466" i="57" l="1"/>
  <c r="AB1466" i="57" s="1"/>
  <c r="Q1466" i="57"/>
  <c r="T1466" i="57" s="1"/>
  <c r="O1466" i="57"/>
  <c r="N1466" i="57"/>
  <c r="AG1465" i="57"/>
  <c r="Y1465" i="57"/>
  <c r="AA1465" i="57" l="1"/>
  <c r="AB1465" i="57" s="1"/>
  <c r="Q1465" i="57"/>
  <c r="T1465" i="57" s="1"/>
  <c r="O1465" i="57"/>
  <c r="N1465" i="57"/>
  <c r="AG1464" i="57"/>
  <c r="Y1464" i="57"/>
  <c r="AA1464" i="57" l="1"/>
  <c r="AB1464" i="57" s="1"/>
  <c r="Q1464" i="57"/>
  <c r="T1464" i="57" s="1"/>
  <c r="O1464" i="57"/>
  <c r="N1464" i="57"/>
  <c r="AG1463" i="57"/>
  <c r="Y1463" i="57"/>
  <c r="AA1463" i="57" l="1"/>
  <c r="AB1463" i="57" s="1"/>
  <c r="Q1463" i="57"/>
  <c r="T1463" i="57" s="1"/>
  <c r="O1463" i="57"/>
  <c r="N1463" i="57"/>
  <c r="AG1462" i="57"/>
  <c r="Y1462" i="57"/>
  <c r="AA1462" i="57" l="1"/>
  <c r="AB1462" i="57" s="1"/>
  <c r="Q1462" i="57"/>
  <c r="T1462" i="57" s="1"/>
  <c r="O1462" i="57"/>
  <c r="N1462" i="57"/>
  <c r="AG1461" i="57"/>
  <c r="Y1461" i="57"/>
  <c r="AA1461" i="57" l="1"/>
  <c r="AB1461" i="57" s="1"/>
  <c r="T1461" i="57"/>
  <c r="O1461" i="57"/>
  <c r="N1461" i="57"/>
  <c r="AG1460" i="57"/>
  <c r="Y1460" i="57"/>
  <c r="AA1460" i="57" l="1"/>
  <c r="AB1460" i="57" s="1"/>
  <c r="Q1460" i="57"/>
  <c r="T1460" i="57" s="1"/>
  <c r="O1460" i="57"/>
  <c r="N1460" i="57"/>
  <c r="AG1459" i="57"/>
  <c r="Y1459" i="57"/>
  <c r="AA1459" i="57" l="1"/>
  <c r="AB1459" i="57" s="1"/>
  <c r="Q1459" i="57"/>
  <c r="T1459" i="57" s="1"/>
  <c r="O1459" i="57"/>
  <c r="N1459" i="57"/>
  <c r="AG1458" i="57"/>
  <c r="Y1458" i="57"/>
  <c r="AA1458" i="57" l="1"/>
  <c r="AB1458" i="57" s="1"/>
  <c r="Q1458" i="57"/>
  <c r="T1458" i="57" s="1"/>
  <c r="O1458" i="57"/>
  <c r="N1458" i="57"/>
  <c r="AG1457" i="57"/>
  <c r="Y1457" i="57"/>
  <c r="AA1457" i="57" l="1"/>
  <c r="AB1457" i="57" s="1"/>
  <c r="Q1457" i="57"/>
  <c r="T1457" i="57" s="1"/>
  <c r="O1457" i="57"/>
  <c r="N1457" i="57"/>
  <c r="AG1456" i="57"/>
  <c r="Y1456" i="57"/>
  <c r="AA1456" i="57" l="1"/>
  <c r="AB1456" i="57" s="1"/>
  <c r="Q1456" i="57"/>
  <c r="T1456" i="57" s="1"/>
  <c r="O1456" i="57"/>
  <c r="N1456" i="57"/>
  <c r="AG1455" i="57"/>
  <c r="Y1455" i="57"/>
  <c r="AA1455" i="57" l="1"/>
  <c r="AB1455" i="57" s="1"/>
  <c r="Q1455" i="57"/>
  <c r="T1455" i="57" s="1"/>
  <c r="O1455" i="57"/>
  <c r="N1455" i="57"/>
  <c r="AG1454" i="57"/>
  <c r="Y1454" i="57"/>
  <c r="AA1454" i="57" l="1"/>
  <c r="AB1454" i="57" s="1"/>
  <c r="Q1454" i="57"/>
  <c r="T1454" i="57" s="1"/>
  <c r="O1454" i="57"/>
  <c r="N1454" i="57"/>
  <c r="AG1453" i="57"/>
  <c r="Y1453" i="57"/>
  <c r="AA1453" i="57" l="1"/>
  <c r="AB1453" i="57" s="1"/>
  <c r="Q1453" i="57"/>
  <c r="T1453" i="57" s="1"/>
  <c r="O1453" i="57"/>
  <c r="N1453" i="57"/>
  <c r="AG1452" i="57"/>
  <c r="Y1452" i="57"/>
  <c r="AA1452" i="57" l="1"/>
  <c r="AB1452" i="57" s="1"/>
  <c r="Q1452" i="57"/>
  <c r="T1452" i="57" s="1"/>
  <c r="O1452" i="57"/>
  <c r="N1452" i="57"/>
  <c r="AG1451" i="57"/>
  <c r="Y1451" i="57"/>
  <c r="AA1451" i="57" l="1"/>
  <c r="AB1451" i="57" s="1"/>
  <c r="Q1451" i="57"/>
  <c r="T1451" i="57" s="1"/>
  <c r="O1451" i="57"/>
  <c r="N1451" i="57"/>
  <c r="AG1450" i="57"/>
  <c r="Y1450" i="57"/>
  <c r="AA1450" i="57" l="1"/>
  <c r="AB1450" i="57" s="1"/>
  <c r="Q1450" i="57"/>
  <c r="T1450" i="57" s="1"/>
  <c r="O1450" i="57"/>
  <c r="N1450" i="57"/>
  <c r="AG1449" i="57"/>
  <c r="Y1449" i="57"/>
  <c r="AA1449" i="57" l="1"/>
  <c r="AB1449" i="57" s="1"/>
  <c r="Q1449" i="57"/>
  <c r="T1449" i="57" s="1"/>
  <c r="O1449" i="57"/>
  <c r="N1449" i="57"/>
  <c r="AG1448" i="57"/>
  <c r="Y1448" i="57"/>
  <c r="AA1448" i="57" l="1"/>
  <c r="AB1448" i="57" s="1"/>
  <c r="Q1448" i="57"/>
  <c r="T1448" i="57" s="1"/>
  <c r="O1448" i="57"/>
  <c r="N1448" i="57"/>
  <c r="AG1447" i="57"/>
  <c r="Y1447" i="57"/>
  <c r="AA1447" i="57" l="1"/>
  <c r="AB1447" i="57" s="1"/>
  <c r="Q1447" i="57"/>
  <c r="T1447" i="57" s="1"/>
  <c r="O1447" i="57"/>
  <c r="N1447" i="57"/>
  <c r="AG1446" i="57"/>
  <c r="Y1446" i="57"/>
  <c r="AA1446" i="57" l="1"/>
  <c r="AB1446" i="57" s="1"/>
  <c r="Q1446" i="57"/>
  <c r="T1446" i="57" s="1"/>
  <c r="O1446" i="57"/>
  <c r="N1446" i="57"/>
  <c r="AG1445" i="57"/>
  <c r="Y1445" i="57"/>
  <c r="AA1445" i="57" l="1"/>
  <c r="AB1445" i="57" s="1"/>
  <c r="Q1445" i="57"/>
  <c r="T1445" i="57" s="1"/>
  <c r="O1445" i="57"/>
  <c r="N1445" i="57"/>
  <c r="AG1444" i="57"/>
  <c r="Y1444" i="57"/>
  <c r="AA1444" i="57" l="1"/>
  <c r="AB1444" i="57" s="1"/>
  <c r="T1444" i="57"/>
  <c r="O1444" i="57"/>
  <c r="N1444" i="57"/>
  <c r="AG1443" i="57"/>
  <c r="Y1443" i="57"/>
  <c r="AA1443" i="57" l="1"/>
  <c r="AB1443" i="57" s="1"/>
  <c r="Q1443" i="57"/>
  <c r="T1443" i="57" s="1"/>
  <c r="O1443" i="57"/>
  <c r="N1443" i="57"/>
  <c r="AG1442" i="57"/>
  <c r="Y1442" i="57"/>
  <c r="AA1442" i="57" l="1"/>
  <c r="AB1442" i="57" s="1"/>
  <c r="Q1442" i="57"/>
  <c r="T1442" i="57" s="1"/>
  <c r="O1442" i="57"/>
  <c r="N1442" i="57"/>
  <c r="AG1441" i="57"/>
  <c r="Y1441" i="57"/>
  <c r="AA1441" i="57" l="1"/>
  <c r="AB1441" i="57" s="1"/>
  <c r="Q1441" i="57"/>
  <c r="T1441" i="57" s="1"/>
  <c r="O1441" i="57"/>
  <c r="N1441" i="57"/>
  <c r="AG1440" i="57"/>
  <c r="Y1440" i="57"/>
  <c r="AA1440" i="57" l="1"/>
  <c r="AB1440" i="57" s="1"/>
  <c r="Q1440" i="57"/>
  <c r="T1440" i="57" s="1"/>
  <c r="O1440" i="57"/>
  <c r="N1440" i="57"/>
  <c r="AG1439" i="57"/>
  <c r="Y1439" i="57"/>
  <c r="AA1439" i="57" l="1"/>
  <c r="AB1439" i="57" s="1"/>
  <c r="Q1439" i="57"/>
  <c r="T1439" i="57" s="1"/>
  <c r="O1439" i="57"/>
  <c r="N1439" i="57"/>
  <c r="AG1438" i="57"/>
  <c r="Y1438" i="57"/>
  <c r="AA1438" i="57" l="1"/>
  <c r="AB1438" i="57" s="1"/>
  <c r="T1438" i="57"/>
  <c r="O1438" i="57"/>
  <c r="N1438" i="57"/>
  <c r="AG1437" i="57"/>
  <c r="Y1437" i="57"/>
  <c r="AA1437" i="57" l="1"/>
  <c r="AB1437" i="57" s="1"/>
  <c r="Q1437" i="57"/>
  <c r="T1437" i="57" s="1"/>
  <c r="O1437" i="57"/>
  <c r="N1437" i="57"/>
  <c r="AG1436" i="57"/>
  <c r="Y1436" i="57"/>
  <c r="AA1436" i="57" l="1"/>
  <c r="AB1436" i="57" s="1"/>
  <c r="Q1436" i="57"/>
  <c r="T1436" i="57" s="1"/>
  <c r="O1436" i="57"/>
  <c r="N1436" i="57"/>
  <c r="AG1435" i="57"/>
  <c r="Y1435" i="57"/>
  <c r="AA1435" i="57" l="1"/>
  <c r="AB1435" i="57" s="1"/>
  <c r="Q1435" i="57"/>
  <c r="T1435" i="57" s="1"/>
  <c r="O1435" i="57"/>
  <c r="N1435" i="57"/>
  <c r="AG1434" i="57"/>
  <c r="Y1434" i="57"/>
  <c r="AA1434" i="57" l="1"/>
  <c r="AB1434" i="57" s="1"/>
  <c r="Q1434" i="57"/>
  <c r="T1434" i="57" s="1"/>
  <c r="O1434" i="57"/>
  <c r="N1434" i="57"/>
  <c r="AG1433" i="57"/>
  <c r="Y1433" i="57"/>
  <c r="AA1433" i="57" l="1"/>
  <c r="AB1433" i="57" s="1"/>
  <c r="Q1433" i="57"/>
  <c r="T1433" i="57" s="1"/>
  <c r="O1433" i="57"/>
  <c r="N1433" i="57"/>
  <c r="AG1432" i="57"/>
  <c r="Y1432" i="57"/>
  <c r="AA1432" i="57" l="1"/>
  <c r="AB1432" i="57" s="1"/>
  <c r="Q1432" i="57"/>
  <c r="T1432" i="57" s="1"/>
  <c r="O1432" i="57"/>
  <c r="N1432" i="57"/>
  <c r="AN1431" i="57"/>
  <c r="AL1431" i="57" s="1"/>
  <c r="AM1431" i="57"/>
  <c r="AK1431" i="57" s="1"/>
  <c r="AG1431" i="57"/>
  <c r="Y1431" i="57"/>
  <c r="AA1431" i="57" l="1"/>
  <c r="AB1431" i="57" s="1"/>
  <c r="Q1431" i="57"/>
  <c r="T1431" i="57" s="1"/>
  <c r="O1431" i="57"/>
  <c r="N1431" i="57"/>
  <c r="AM1425" i="57"/>
  <c r="AN1425" i="57"/>
  <c r="AL1425" i="57" l="1"/>
  <c r="AK1425" i="57"/>
  <c r="AM1426" i="57"/>
  <c r="AN1426" i="57"/>
  <c r="AL1426" i="57" l="1"/>
  <c r="AK1426" i="57"/>
  <c r="AM1427" i="57"/>
  <c r="AN1427" i="57"/>
  <c r="AL1427" i="57" l="1"/>
  <c r="AK1427" i="57"/>
  <c r="AM1428" i="57"/>
  <c r="AN1428" i="57"/>
  <c r="AM1410" i="57"/>
  <c r="AN1410" i="57"/>
  <c r="AL1428" i="57" l="1"/>
  <c r="AK1428" i="57"/>
  <c r="AL1410" i="57"/>
  <c r="AK1410" i="57"/>
  <c r="AM1411" i="57"/>
  <c r="AN1411" i="57"/>
  <c r="AL1411" i="57" l="1"/>
  <c r="AK1411" i="57"/>
  <c r="AM1412" i="57"/>
  <c r="AN1412" i="57"/>
  <c r="AL1412" i="57" l="1"/>
  <c r="AK1412" i="57"/>
  <c r="AM1413" i="57"/>
  <c r="AN1413" i="57"/>
  <c r="AL1413" i="57" l="1"/>
  <c r="AK1413" i="57"/>
  <c r="AM1414" i="57"/>
  <c r="AN1414" i="57"/>
  <c r="AL1414" i="57" l="1"/>
  <c r="AK1414" i="57"/>
  <c r="AM1415" i="57"/>
  <c r="AN1415" i="57"/>
  <c r="AL1415" i="57" l="1"/>
  <c r="AK1415" i="57"/>
  <c r="AM1416" i="57"/>
  <c r="AN1416" i="57"/>
  <c r="AL1416" i="57" l="1"/>
  <c r="AK1416" i="57"/>
  <c r="AM1417" i="57"/>
  <c r="AN1417" i="57"/>
  <c r="AL1417" i="57" l="1"/>
  <c r="AK1417" i="57"/>
  <c r="AM1418" i="57"/>
  <c r="AN1418" i="57"/>
  <c r="AL1418" i="57" l="1"/>
  <c r="AK1418" i="57"/>
  <c r="AM1419" i="57"/>
  <c r="AN1419" i="57"/>
  <c r="AL1419" i="57" l="1"/>
  <c r="AK1419" i="57"/>
  <c r="AM1420" i="57"/>
  <c r="AN1420" i="57"/>
  <c r="AL1420" i="57" l="1"/>
  <c r="AK1420" i="57"/>
  <c r="AM1421" i="57"/>
  <c r="AN1421" i="57"/>
  <c r="AL1421" i="57" l="1"/>
  <c r="AK1421" i="57"/>
  <c r="AM1422" i="57"/>
  <c r="AN1422" i="57"/>
  <c r="AL1422" i="57" l="1"/>
  <c r="AK1422" i="57"/>
  <c r="AM1423" i="57"/>
  <c r="AN1423" i="57"/>
  <c r="AL1423" i="57" l="1"/>
  <c r="AK1423" i="57"/>
  <c r="AM1424" i="57"/>
  <c r="AN1424" i="57"/>
  <c r="AM1408" i="57"/>
  <c r="AN1408" i="57"/>
  <c r="AL1424" i="57" l="1"/>
  <c r="AK1424" i="57"/>
  <c r="AL1408" i="57"/>
  <c r="AK1408" i="57"/>
  <c r="AM1409" i="57"/>
  <c r="AN1409" i="57"/>
  <c r="AM1305" i="57"/>
  <c r="AN1305" i="57"/>
  <c r="AL1409" i="57" l="1"/>
  <c r="AK1409" i="57"/>
  <c r="AL1305" i="57"/>
  <c r="AK1305" i="57"/>
  <c r="AM1306" i="57"/>
  <c r="AN1306" i="57"/>
  <c r="AL1306" i="57" l="1"/>
  <c r="AK1306" i="57"/>
  <c r="AM1307" i="57"/>
  <c r="AN1307" i="57"/>
  <c r="AL1307" i="57" l="1"/>
  <c r="AK1307" i="57"/>
  <c r="AM1308" i="57"/>
  <c r="AN1308" i="57"/>
  <c r="AL1308" i="57" l="1"/>
  <c r="AK1308" i="57"/>
  <c r="AM1309" i="57"/>
  <c r="AN1309" i="57"/>
  <c r="AL1309" i="57" l="1"/>
  <c r="AK1309" i="57"/>
  <c r="AM1310" i="57"/>
  <c r="AN1310" i="57"/>
  <c r="AL1310" i="57" l="1"/>
  <c r="AK1310" i="57"/>
  <c r="AM1311" i="57"/>
  <c r="AN1311" i="57"/>
  <c r="AL1311" i="57" l="1"/>
  <c r="AK1311" i="57"/>
  <c r="AM1312" i="57"/>
  <c r="AN1312" i="57"/>
  <c r="AL1312" i="57" l="1"/>
  <c r="AK1312" i="57"/>
  <c r="AM1313" i="57"/>
  <c r="AN1313" i="57"/>
  <c r="AL1313" i="57" l="1"/>
  <c r="AK1313" i="57"/>
  <c r="AM1314" i="57"/>
  <c r="AN1314" i="57"/>
  <c r="AL1314" i="57" l="1"/>
  <c r="AK1314" i="57"/>
  <c r="AM1315" i="57"/>
  <c r="AN1315" i="57"/>
  <c r="AL1315" i="57" l="1"/>
  <c r="AK1315" i="57"/>
  <c r="AM1316" i="57"/>
  <c r="AN1316" i="57"/>
  <c r="AL1316" i="57" l="1"/>
  <c r="AK1316" i="57"/>
  <c r="AM1317" i="57"/>
  <c r="AN1317" i="57"/>
  <c r="AL1317" i="57" l="1"/>
  <c r="AK1317" i="57"/>
  <c r="AM1318" i="57"/>
  <c r="AN1318" i="57"/>
  <c r="AL1318" i="57" l="1"/>
  <c r="AK1318" i="57"/>
  <c r="AM1319" i="57"/>
  <c r="AN1319" i="57"/>
  <c r="AL1319" i="57" l="1"/>
  <c r="AK1319" i="57"/>
  <c r="AM1320" i="57"/>
  <c r="AN1320" i="57"/>
  <c r="AL1320" i="57" l="1"/>
  <c r="AK1320" i="57"/>
  <c r="AM1321" i="57"/>
  <c r="AN1321" i="57"/>
  <c r="AL1321" i="57" l="1"/>
  <c r="AK1321" i="57"/>
  <c r="AM1322" i="57"/>
  <c r="AN1322" i="57"/>
  <c r="AL1322" i="57" l="1"/>
  <c r="AK1322" i="57"/>
  <c r="AM1323" i="57"/>
  <c r="AN1323" i="57"/>
  <c r="AL1323" i="57" l="1"/>
  <c r="AK1323" i="57"/>
  <c r="AM1324" i="57"/>
  <c r="AN1324" i="57"/>
  <c r="AL1324" i="57" l="1"/>
  <c r="AK1324" i="57"/>
  <c r="AM1325" i="57"/>
  <c r="AN1325" i="57"/>
  <c r="AL1325" i="57" l="1"/>
  <c r="AK1325" i="57"/>
  <c r="AM1326" i="57"/>
  <c r="AN1326" i="57"/>
  <c r="AL1326" i="57" l="1"/>
  <c r="AK1326" i="57"/>
  <c r="AM1327" i="57"/>
  <c r="AN1327" i="57"/>
  <c r="AL1327" i="57" l="1"/>
  <c r="AK1327" i="57"/>
  <c r="AM1328" i="57"/>
  <c r="AN1328" i="57"/>
  <c r="AL1328" i="57" l="1"/>
  <c r="AK1328" i="57"/>
  <c r="AM1329" i="57"/>
  <c r="AN1329" i="57"/>
  <c r="AL1329" i="57" l="1"/>
  <c r="AK1329" i="57"/>
  <c r="AM1330" i="57"/>
  <c r="AN1330" i="57"/>
  <c r="AL1330" i="57" l="1"/>
  <c r="AK1330" i="57"/>
  <c r="AM1331" i="57"/>
  <c r="AN1331" i="57"/>
  <c r="AL1331" i="57" l="1"/>
  <c r="AK1331" i="57"/>
  <c r="AM1332" i="57"/>
  <c r="AN1332" i="57"/>
  <c r="AL1332" i="57" l="1"/>
  <c r="AK1332" i="57"/>
  <c r="AM1333" i="57"/>
  <c r="AN1333" i="57"/>
  <c r="AL1333" i="57" l="1"/>
  <c r="AK1333" i="57"/>
  <c r="AM1334" i="57"/>
  <c r="AN1334" i="57"/>
  <c r="AL1334" i="57" l="1"/>
  <c r="AK1334" i="57"/>
  <c r="AM1335" i="57"/>
  <c r="AN1335" i="57"/>
  <c r="AL1335" i="57" l="1"/>
  <c r="AK1335" i="57"/>
  <c r="AM1336" i="57"/>
  <c r="AN1336" i="57"/>
  <c r="AL1336" i="57" l="1"/>
  <c r="AK1336" i="57"/>
  <c r="AM1337" i="57"/>
  <c r="AN1337" i="57"/>
  <c r="AL1337" i="57" l="1"/>
  <c r="AK1337" i="57"/>
  <c r="AM1338" i="57"/>
  <c r="AN1338" i="57"/>
  <c r="AL1338" i="57" l="1"/>
  <c r="AK1338" i="57"/>
  <c r="AM1339" i="57"/>
  <c r="AN1339" i="57"/>
  <c r="AL1339" i="57" l="1"/>
  <c r="AK1339" i="57"/>
  <c r="AM1340" i="57"/>
  <c r="AN1340" i="57"/>
  <c r="AL1340" i="57" l="1"/>
  <c r="AK1340" i="57"/>
  <c r="AM1341" i="57"/>
  <c r="AN1341" i="57"/>
  <c r="AL1341" i="57" l="1"/>
  <c r="AK1341" i="57"/>
  <c r="AM1342" i="57"/>
  <c r="AN1342" i="57"/>
  <c r="AL1342" i="57" l="1"/>
  <c r="AK1342" i="57"/>
  <c r="AM1343" i="57"/>
  <c r="AN1343" i="57"/>
  <c r="AL1343" i="57" l="1"/>
  <c r="AK1343" i="57"/>
  <c r="AM1344" i="57"/>
  <c r="AN1344" i="57"/>
  <c r="AL1344" i="57" l="1"/>
  <c r="AK1344" i="57"/>
  <c r="AM1345" i="57"/>
  <c r="AN1345" i="57"/>
  <c r="AL1345" i="57" l="1"/>
  <c r="AK1345" i="57"/>
  <c r="AM1346" i="57"/>
  <c r="AN1346" i="57"/>
  <c r="AL1346" i="57" l="1"/>
  <c r="AK1346" i="57"/>
  <c r="AM1347" i="57"/>
  <c r="AN1347" i="57"/>
  <c r="AL1347" i="57" l="1"/>
  <c r="AK1347" i="57"/>
  <c r="AM1348" i="57"/>
  <c r="AN1348" i="57"/>
  <c r="AL1348" i="57" l="1"/>
  <c r="AK1348" i="57"/>
  <c r="AM1349" i="57"/>
  <c r="AN1349" i="57"/>
  <c r="AL1349" i="57" l="1"/>
  <c r="AK1349" i="57"/>
  <c r="AM1350" i="57"/>
  <c r="AN1350" i="57"/>
  <c r="AL1350" i="57" l="1"/>
  <c r="AK1350" i="57"/>
  <c r="AM1351" i="57"/>
  <c r="AN1351" i="57"/>
  <c r="AL1351" i="57" l="1"/>
  <c r="AK1351" i="57"/>
  <c r="AM1352" i="57"/>
  <c r="AN1352" i="57"/>
  <c r="AL1352" i="57" l="1"/>
  <c r="AK1352" i="57"/>
  <c r="AM1353" i="57"/>
  <c r="AN1353" i="57"/>
  <c r="AL1353" i="57" l="1"/>
  <c r="AK1353" i="57"/>
  <c r="AM1354" i="57"/>
  <c r="AN1354" i="57"/>
  <c r="AL1354" i="57" l="1"/>
  <c r="AK1354" i="57"/>
  <c r="AM1355" i="57"/>
  <c r="AN1355" i="57"/>
  <c r="AL1355" i="57" l="1"/>
  <c r="AK1355" i="57"/>
  <c r="AM1356" i="57"/>
  <c r="AN1356" i="57"/>
  <c r="AL1356" i="57" l="1"/>
  <c r="AK1356" i="57"/>
  <c r="AM1357" i="57"/>
  <c r="AN1357" i="57"/>
  <c r="AL1357" i="57" l="1"/>
  <c r="AK1357" i="57"/>
  <c r="AM1358" i="57"/>
  <c r="AN1358" i="57"/>
  <c r="AL1358" i="57" l="1"/>
  <c r="AK1358" i="57"/>
  <c r="AM1359" i="57"/>
  <c r="AN1359" i="57"/>
  <c r="AL1359" i="57" l="1"/>
  <c r="AK1359" i="57"/>
  <c r="AM1360" i="57"/>
  <c r="AN1360" i="57"/>
  <c r="AL1360" i="57" l="1"/>
  <c r="AK1360" i="57"/>
  <c r="AM1361" i="57"/>
  <c r="AN1361" i="57"/>
  <c r="AL1361" i="57" l="1"/>
  <c r="AK1361" i="57"/>
  <c r="AM1362" i="57"/>
  <c r="AN1362" i="57"/>
  <c r="AL1362" i="57" l="1"/>
  <c r="AK1362" i="57"/>
  <c r="AM1363" i="57"/>
  <c r="AN1363" i="57"/>
  <c r="AL1363" i="57" l="1"/>
  <c r="AK1363" i="57"/>
  <c r="AM1364" i="57"/>
  <c r="AN1364" i="57"/>
  <c r="AL1364" i="57" l="1"/>
  <c r="AK1364" i="57"/>
  <c r="AM1365" i="57"/>
  <c r="AN1365" i="57"/>
  <c r="AL1365" i="57" l="1"/>
  <c r="AK1365" i="57"/>
  <c r="AM1366" i="57"/>
  <c r="AN1366" i="57"/>
  <c r="AL1366" i="57" l="1"/>
  <c r="AK1366" i="57"/>
  <c r="AM1367" i="57"/>
  <c r="AN1367" i="57"/>
  <c r="AL1367" i="57" l="1"/>
  <c r="AK1367" i="57"/>
  <c r="AM1368" i="57"/>
  <c r="AN1368" i="57"/>
  <c r="AL1368" i="57" l="1"/>
  <c r="AK1368" i="57"/>
  <c r="AM1369" i="57"/>
  <c r="AN1369" i="57"/>
  <c r="AL1369" i="57" l="1"/>
  <c r="AK1369" i="57"/>
  <c r="AM1370" i="57"/>
  <c r="AN1370" i="57"/>
  <c r="AL1370" i="57" l="1"/>
  <c r="AK1370" i="57"/>
  <c r="AM1371" i="57"/>
  <c r="AN1371" i="57"/>
  <c r="AL1371" i="57" l="1"/>
  <c r="AK1371" i="57"/>
  <c r="AM1372" i="57"/>
  <c r="AN1372" i="57"/>
  <c r="AL1372" i="57" l="1"/>
  <c r="AK1372" i="57"/>
  <c r="AM1373" i="57"/>
  <c r="AN1373" i="57"/>
  <c r="AL1373" i="57" l="1"/>
  <c r="AK1373" i="57"/>
  <c r="AM1374" i="57"/>
  <c r="AN1374" i="57"/>
  <c r="AL1374" i="57" l="1"/>
  <c r="AK1374" i="57"/>
  <c r="AM1375" i="57"/>
  <c r="AN1375" i="57"/>
  <c r="AL1375" i="57" l="1"/>
  <c r="AK1375" i="57"/>
  <c r="AM1376" i="57"/>
  <c r="AN1376" i="57"/>
  <c r="AL1376" i="57" l="1"/>
  <c r="AK1376" i="57"/>
  <c r="AM1377" i="57"/>
  <c r="AN1377" i="57"/>
  <c r="AL1377" i="57" l="1"/>
  <c r="AK1377" i="57"/>
  <c r="AM1378" i="57"/>
  <c r="AN1378" i="57"/>
  <c r="AL1378" i="57" l="1"/>
  <c r="AK1378" i="57"/>
  <c r="AM1379" i="57"/>
  <c r="AN1379" i="57"/>
  <c r="AL1379" i="57" l="1"/>
  <c r="AK1379" i="57"/>
  <c r="AM1380" i="57"/>
  <c r="AN1380" i="57"/>
  <c r="AL1380" i="57" l="1"/>
  <c r="AK1380" i="57"/>
  <c r="AM1381" i="57"/>
  <c r="AN1381" i="57"/>
  <c r="AL1381" i="57" l="1"/>
  <c r="AK1381" i="57"/>
  <c r="AM1382" i="57"/>
  <c r="AN1382" i="57"/>
  <c r="AL1382" i="57" l="1"/>
  <c r="AK1382" i="57"/>
  <c r="AM1383" i="57"/>
  <c r="AN1383" i="57"/>
  <c r="AL1383" i="57" l="1"/>
  <c r="AK1383" i="57"/>
  <c r="AM1384" i="57"/>
  <c r="AN1384" i="57"/>
  <c r="AL1384" i="57" l="1"/>
  <c r="AK1384" i="57"/>
  <c r="AM1385" i="57"/>
  <c r="AN1385" i="57"/>
  <c r="AL1385" i="57" l="1"/>
  <c r="AK1385" i="57"/>
  <c r="AM1386" i="57"/>
  <c r="AN1386" i="57"/>
  <c r="AL1386" i="57" l="1"/>
  <c r="AK1386" i="57"/>
  <c r="AM1387" i="57"/>
  <c r="AN1387" i="57"/>
  <c r="AL1387" i="57" l="1"/>
  <c r="AK1387" i="57"/>
  <c r="AM1388" i="57"/>
  <c r="AN1388" i="57"/>
  <c r="AL1388" i="57" l="1"/>
  <c r="AK1388" i="57"/>
  <c r="AM1389" i="57"/>
  <c r="AN1389" i="57"/>
  <c r="AL1389" i="57" l="1"/>
  <c r="AK1389" i="57"/>
  <c r="AM1390" i="57"/>
  <c r="AN1390" i="57"/>
  <c r="AL1390" i="57" l="1"/>
  <c r="AK1390" i="57"/>
  <c r="AM1391" i="57"/>
  <c r="AN1391" i="57"/>
  <c r="AL1391" i="57" l="1"/>
  <c r="AK1391" i="57"/>
  <c r="AM1392" i="57"/>
  <c r="AN1392" i="57"/>
  <c r="AL1392" i="57" l="1"/>
  <c r="AK1392" i="57"/>
  <c r="AM1393" i="57"/>
  <c r="AN1393" i="57"/>
  <c r="AL1393" i="57" l="1"/>
  <c r="AK1393" i="57"/>
  <c r="AM1394" i="57"/>
  <c r="AN1394" i="57"/>
  <c r="AL1394" i="57" l="1"/>
  <c r="AK1394" i="57"/>
  <c r="AM1395" i="57"/>
  <c r="AN1395" i="57"/>
  <c r="AL1395" i="57" l="1"/>
  <c r="AK1395" i="57"/>
  <c r="AM1396" i="57"/>
  <c r="AN1396" i="57"/>
  <c r="AL1396" i="57" l="1"/>
  <c r="AK1396" i="57"/>
  <c r="AM1397" i="57"/>
  <c r="AN1397" i="57"/>
  <c r="AL1397" i="57" l="1"/>
  <c r="AK1397" i="57"/>
  <c r="AM1398" i="57"/>
  <c r="AN1398" i="57"/>
  <c r="AL1398" i="57" l="1"/>
  <c r="AK1398" i="57"/>
  <c r="AM1399" i="57"/>
  <c r="AN1399" i="57"/>
  <c r="AL1399" i="57" l="1"/>
  <c r="AK1399" i="57"/>
  <c r="AM1400" i="57"/>
  <c r="AN1400" i="57"/>
  <c r="AL1400" i="57" l="1"/>
  <c r="AK1400" i="57"/>
  <c r="AM1401" i="57"/>
  <c r="AN1401" i="57"/>
  <c r="AL1401" i="57" l="1"/>
  <c r="AK1401" i="57"/>
  <c r="AM1402" i="57"/>
  <c r="AN1402" i="57"/>
  <c r="AL1402" i="57" l="1"/>
  <c r="AK1402" i="57"/>
  <c r="AM1403" i="57"/>
  <c r="AN1403" i="57"/>
  <c r="AL1403" i="57" l="1"/>
  <c r="AK1403" i="57"/>
  <c r="AM1404" i="57"/>
  <c r="AN1404" i="57"/>
  <c r="AL1404" i="57" l="1"/>
  <c r="AK1404" i="57"/>
  <c r="AM1405" i="57"/>
  <c r="AN1405" i="57"/>
  <c r="AL1405" i="57" l="1"/>
  <c r="AK1405" i="57"/>
  <c r="AM1406" i="57"/>
  <c r="AN1406" i="57"/>
  <c r="AL1406" i="57" l="1"/>
  <c r="AK1406" i="57"/>
  <c r="AM1407" i="57"/>
  <c r="AN1407" i="57"/>
  <c r="AL1407" i="57" l="1"/>
  <c r="AK1407" i="57"/>
  <c r="AG1428" i="57"/>
  <c r="Y1428" i="57"/>
  <c r="AA1428" i="57" l="1"/>
  <c r="AB1428" i="57" s="1"/>
  <c r="Q1428" i="57"/>
  <c r="T1428" i="57" s="1"/>
  <c r="O1428" i="57"/>
  <c r="N1428" i="57"/>
  <c r="AG1427" i="57"/>
  <c r="Y1427" i="57"/>
  <c r="AA1427" i="57" l="1"/>
  <c r="AB1427" i="57" s="1"/>
  <c r="T1427" i="57"/>
  <c r="O1427" i="57"/>
  <c r="N1427" i="57"/>
  <c r="AG1426" i="57"/>
  <c r="Y1426" i="57"/>
  <c r="AA1426" i="57" l="1"/>
  <c r="AB1426" i="57" s="1"/>
  <c r="Q1426" i="57"/>
  <c r="T1426" i="57" s="1"/>
  <c r="O1426" i="57"/>
  <c r="N1426" i="57"/>
  <c r="AG1425" i="57"/>
  <c r="Y1425" i="57"/>
  <c r="AA1425" i="57" l="1"/>
  <c r="AB1425" i="57" s="1"/>
  <c r="Q1425" i="57"/>
  <c r="T1425" i="57" s="1"/>
  <c r="O1425" i="57"/>
  <c r="N1425" i="57"/>
  <c r="AG1424" i="57"/>
  <c r="Y1424" i="57"/>
  <c r="AA1424" i="57" l="1"/>
  <c r="AB1424" i="57" s="1"/>
  <c r="Q1424" i="57"/>
  <c r="T1424" i="57" s="1"/>
  <c r="O1424" i="57"/>
  <c r="N1424" i="57"/>
  <c r="AG1423" i="57"/>
  <c r="Y1423" i="57"/>
  <c r="AA1423" i="57" l="1"/>
  <c r="AB1423" i="57" s="1"/>
  <c r="Q1423" i="57"/>
  <c r="T1423" i="57" s="1"/>
  <c r="O1423" i="57"/>
  <c r="N1423" i="57"/>
  <c r="AG1422" i="57"/>
  <c r="Y1422" i="57"/>
  <c r="AA1422" i="57" l="1"/>
  <c r="AB1422" i="57" s="1"/>
  <c r="Q1422" i="57"/>
  <c r="T1422" i="57" s="1"/>
  <c r="O1422" i="57"/>
  <c r="N1422" i="57"/>
  <c r="AG1421" i="57"/>
  <c r="Y1421" i="57"/>
  <c r="AA1421" i="57" l="1"/>
  <c r="AB1421" i="57" s="1"/>
  <c r="Q1421" i="57"/>
  <c r="T1421" i="57" s="1"/>
  <c r="O1421" i="57"/>
  <c r="N1421" i="57"/>
  <c r="AG1420" i="57"/>
  <c r="Y1420" i="57"/>
  <c r="AA1420" i="57" l="1"/>
  <c r="AB1420" i="57" s="1"/>
  <c r="Q1420" i="57"/>
  <c r="T1420" i="57" s="1"/>
  <c r="O1420" i="57"/>
  <c r="N1420" i="57"/>
  <c r="AG1419" i="57"/>
  <c r="Y1419" i="57"/>
  <c r="AA1419" i="57" l="1"/>
  <c r="AB1419" i="57" s="1"/>
  <c r="Q1419" i="57"/>
  <c r="T1419" i="57" s="1"/>
  <c r="O1419" i="57"/>
  <c r="N1419" i="57"/>
  <c r="AG1418" i="57"/>
  <c r="Y1418" i="57"/>
  <c r="AA1418" i="57" l="1"/>
  <c r="AB1418" i="57" s="1"/>
  <c r="Q1418" i="57"/>
  <c r="T1418" i="57" s="1"/>
  <c r="O1418" i="57"/>
  <c r="N1418" i="57"/>
  <c r="AG1417" i="57"/>
  <c r="Y1417" i="57"/>
  <c r="AA1417" i="57" l="1"/>
  <c r="AB1417" i="57" s="1"/>
  <c r="Q1417" i="57"/>
  <c r="T1417" i="57" s="1"/>
  <c r="O1417" i="57"/>
  <c r="N1417" i="57"/>
  <c r="AG1416" i="57"/>
  <c r="Y1416" i="57"/>
  <c r="AA1416" i="57" l="1"/>
  <c r="AB1416" i="57" s="1"/>
  <c r="Q1416" i="57"/>
  <c r="T1416" i="57" s="1"/>
  <c r="O1416" i="57"/>
  <c r="N1416" i="57"/>
  <c r="AG1415" i="57"/>
  <c r="Y1415" i="57"/>
  <c r="AA1415" i="57" l="1"/>
  <c r="AB1415" i="57" s="1"/>
  <c r="Q1415" i="57"/>
  <c r="T1415" i="57" s="1"/>
  <c r="O1415" i="57"/>
  <c r="N1415" i="57"/>
  <c r="AG1414" i="57"/>
  <c r="Y1414" i="57"/>
  <c r="AA1414" i="57" l="1"/>
  <c r="AB1414" i="57" s="1"/>
  <c r="Q1414" i="57"/>
  <c r="T1414" i="57" s="1"/>
  <c r="O1414" i="57"/>
  <c r="N1414" i="57"/>
  <c r="AG1413" i="57"/>
  <c r="Y1413" i="57"/>
  <c r="AA1413" i="57" l="1"/>
  <c r="AB1413" i="57" s="1"/>
  <c r="Q1413" i="57"/>
  <c r="T1413" i="57" s="1"/>
  <c r="O1413" i="57"/>
  <c r="N1413" i="57"/>
  <c r="AG1412" i="57"/>
  <c r="Y1412" i="57"/>
  <c r="AA1412" i="57" l="1"/>
  <c r="AB1412" i="57" s="1"/>
  <c r="Q1412" i="57"/>
  <c r="T1412" i="57" s="1"/>
  <c r="O1412" i="57"/>
  <c r="N1412" i="57"/>
  <c r="AG1411" i="57"/>
  <c r="Y1411" i="57"/>
  <c r="AA1411" i="57" l="1"/>
  <c r="AB1411" i="57" s="1"/>
  <c r="Q1411" i="57"/>
  <c r="T1411" i="57" s="1"/>
  <c r="O1411" i="57"/>
  <c r="N1411" i="57"/>
  <c r="AG1410" i="57"/>
  <c r="Y1410" i="57"/>
  <c r="AA1410" i="57" l="1"/>
  <c r="AB1410" i="57" s="1"/>
  <c r="T1410" i="57"/>
  <c r="O1410" i="57"/>
  <c r="N1410" i="57"/>
  <c r="AG1409" i="57"/>
  <c r="Y1409" i="57"/>
  <c r="AA1409" i="57" l="1"/>
  <c r="AB1409" i="57" s="1"/>
  <c r="Q1409" i="57"/>
  <c r="T1409" i="57" s="1"/>
  <c r="O1409" i="57"/>
  <c r="N1409" i="57"/>
  <c r="AG1408" i="57"/>
  <c r="Y1408" i="57"/>
  <c r="AA1408" i="57" l="1"/>
  <c r="AB1408" i="57" s="1"/>
  <c r="Q1408" i="57"/>
  <c r="T1408" i="57" s="1"/>
  <c r="O1408" i="57"/>
  <c r="N1408" i="57"/>
  <c r="AG1407" i="57"/>
  <c r="Y1407" i="57"/>
  <c r="AA1407" i="57" l="1"/>
  <c r="AB1407" i="57" s="1"/>
  <c r="Q1407" i="57"/>
  <c r="T1407" i="57" s="1"/>
  <c r="O1407" i="57"/>
  <c r="N1407" i="57"/>
  <c r="AG1406" i="57"/>
  <c r="Y1406" i="57"/>
  <c r="AA1406" i="57" l="1"/>
  <c r="AB1406" i="57" s="1"/>
  <c r="Q1406" i="57"/>
  <c r="T1406" i="57" s="1"/>
  <c r="O1406" i="57"/>
  <c r="N1406" i="57"/>
  <c r="AG1405" i="57"/>
  <c r="Y1405" i="57"/>
  <c r="AA1405" i="57" l="1"/>
  <c r="AB1405" i="57" s="1"/>
  <c r="Q1405" i="57"/>
  <c r="T1405" i="57" s="1"/>
  <c r="O1405" i="57"/>
  <c r="N1405" i="57"/>
  <c r="AG1404" i="57"/>
  <c r="Y1404" i="57"/>
  <c r="AA1404" i="57" l="1"/>
  <c r="AB1404" i="57" s="1"/>
  <c r="Q1404" i="57"/>
  <c r="T1404" i="57" s="1"/>
  <c r="O1404" i="57"/>
  <c r="N1404" i="57"/>
  <c r="AG1403" i="57"/>
  <c r="Y1403" i="57"/>
  <c r="AA1403" i="57" l="1"/>
  <c r="AB1403" i="57" s="1"/>
  <c r="Q1403" i="57"/>
  <c r="T1403" i="57" s="1"/>
  <c r="O1403" i="57"/>
  <c r="N1403" i="57"/>
  <c r="AG1402" i="57"/>
  <c r="Y1402" i="57"/>
  <c r="AA1402" i="57" l="1"/>
  <c r="AB1402" i="57" s="1"/>
  <c r="Q1402" i="57"/>
  <c r="T1402" i="57" s="1"/>
  <c r="O1402" i="57"/>
  <c r="N1402" i="57"/>
  <c r="AG1401" i="57"/>
  <c r="Y1401" i="57"/>
  <c r="AA1401" i="57" l="1"/>
  <c r="AB1401" i="57" s="1"/>
  <c r="Q1401" i="57"/>
  <c r="T1401" i="57" s="1"/>
  <c r="O1401" i="57"/>
  <c r="N1401" i="57"/>
  <c r="AG1400" i="57"/>
  <c r="Y1400" i="57"/>
  <c r="AA1400" i="57" l="1"/>
  <c r="AB1400" i="57" s="1"/>
  <c r="Q1400" i="57"/>
  <c r="T1400" i="57" s="1"/>
  <c r="O1400" i="57"/>
  <c r="N1400" i="57"/>
  <c r="AG1399" i="57"/>
  <c r="Y1399" i="57"/>
  <c r="AA1399" i="57" l="1"/>
  <c r="AB1399" i="57" s="1"/>
  <c r="Q1399" i="57"/>
  <c r="T1399" i="57" s="1"/>
  <c r="O1399" i="57"/>
  <c r="N1399" i="57"/>
  <c r="AG1398" i="57"/>
  <c r="Y1398" i="57"/>
  <c r="AA1398" i="57" l="1"/>
  <c r="AB1398" i="57" s="1"/>
  <c r="Q1398" i="57"/>
  <c r="T1398" i="57" s="1"/>
  <c r="O1398" i="57"/>
  <c r="N1398" i="57"/>
  <c r="AG1397" i="57"/>
  <c r="Y1397" i="57"/>
  <c r="AA1397" i="57" l="1"/>
  <c r="AB1397" i="57" s="1"/>
  <c r="Q1397" i="57"/>
  <c r="T1397" i="57" s="1"/>
  <c r="O1397" i="57"/>
  <c r="N1397" i="57"/>
  <c r="AG1396" i="57"/>
  <c r="Y1396" i="57"/>
  <c r="AA1396" i="57" l="1"/>
  <c r="AB1396" i="57" s="1"/>
  <c r="Q1396" i="57"/>
  <c r="T1396" i="57" s="1"/>
  <c r="O1396" i="57"/>
  <c r="N1396" i="57"/>
  <c r="AG1395" i="57"/>
  <c r="Y1395" i="57"/>
  <c r="AA1395" i="57" l="1"/>
  <c r="AB1395" i="57" s="1"/>
  <c r="Q1395" i="57"/>
  <c r="T1395" i="57" s="1"/>
  <c r="O1395" i="57"/>
  <c r="N1395" i="57"/>
  <c r="AG1394" i="57"/>
  <c r="Y1394" i="57"/>
  <c r="AA1394" i="57" l="1"/>
  <c r="AB1394" i="57" s="1"/>
  <c r="Q1394" i="57"/>
  <c r="T1394" i="57" s="1"/>
  <c r="O1394" i="57"/>
  <c r="N1394" i="57"/>
  <c r="AG1393" i="57"/>
  <c r="Y1393" i="57"/>
  <c r="AA1393" i="57" l="1"/>
  <c r="AB1393" i="57" s="1"/>
  <c r="Q1393" i="57"/>
  <c r="T1393" i="57" s="1"/>
  <c r="O1393" i="57"/>
  <c r="N1393" i="57"/>
  <c r="AG1392" i="57"/>
  <c r="Y1392" i="57"/>
  <c r="AA1392" i="57" l="1"/>
  <c r="AB1392" i="57" s="1"/>
  <c r="Q1392" i="57"/>
  <c r="T1392" i="57" s="1"/>
  <c r="O1392" i="57"/>
  <c r="N1392" i="57"/>
  <c r="AG1391" i="57"/>
  <c r="Y1391" i="57"/>
  <c r="AA1391" i="57" l="1"/>
  <c r="AB1391" i="57" s="1"/>
  <c r="Q1391" i="57"/>
  <c r="T1391" i="57" s="1"/>
  <c r="O1391" i="57"/>
  <c r="N1391" i="57"/>
  <c r="AG1390" i="57"/>
  <c r="Y1390" i="57"/>
  <c r="AA1390" i="57" l="1"/>
  <c r="AB1390" i="57" s="1"/>
  <c r="Q1390" i="57"/>
  <c r="T1390" i="57" s="1"/>
  <c r="O1390" i="57"/>
  <c r="N1390" i="57"/>
  <c r="AG1389" i="57"/>
  <c r="Y1389" i="57"/>
  <c r="AA1389" i="57" l="1"/>
  <c r="AB1389" i="57" s="1"/>
  <c r="Q1389" i="57"/>
  <c r="T1389" i="57" s="1"/>
  <c r="O1389" i="57"/>
  <c r="N1389" i="57"/>
  <c r="AG1388" i="57"/>
  <c r="Y1388" i="57"/>
  <c r="AA1388" i="57" l="1"/>
  <c r="AB1388" i="57" s="1"/>
  <c r="Q1388" i="57"/>
  <c r="T1388" i="57" s="1"/>
  <c r="O1388" i="57"/>
  <c r="N1388" i="57"/>
  <c r="AG1387" i="57"/>
  <c r="Y1387" i="57"/>
  <c r="AA1387" i="57" l="1"/>
  <c r="AB1387" i="57" s="1"/>
  <c r="Q1387" i="57"/>
  <c r="T1387" i="57" s="1"/>
  <c r="O1387" i="57"/>
  <c r="N1387" i="57"/>
  <c r="AG1386" i="57"/>
  <c r="Y1386" i="57"/>
  <c r="AA1386" i="57" l="1"/>
  <c r="AB1386" i="57" s="1"/>
  <c r="Q1386" i="57"/>
  <c r="T1386" i="57" s="1"/>
  <c r="O1386" i="57"/>
  <c r="N1386" i="57"/>
  <c r="AG1385" i="57"/>
  <c r="Y1385" i="57"/>
  <c r="AA1385" i="57" l="1"/>
  <c r="AB1385" i="57" s="1"/>
  <c r="Q1385" i="57"/>
  <c r="T1385" i="57" s="1"/>
  <c r="O1385" i="57"/>
  <c r="N1385" i="57"/>
  <c r="AG1384" i="57"/>
  <c r="Y1384" i="57"/>
  <c r="AA1384" i="57" l="1"/>
  <c r="AB1384" i="57" s="1"/>
  <c r="Q1384" i="57"/>
  <c r="T1384" i="57" s="1"/>
  <c r="O1384" i="57"/>
  <c r="N1384" i="57"/>
  <c r="AG1383" i="57"/>
  <c r="Y1383" i="57"/>
  <c r="AA1383" i="57" l="1"/>
  <c r="AB1383" i="57" s="1"/>
  <c r="Q1383" i="57"/>
  <c r="T1383" i="57" s="1"/>
  <c r="O1383" i="57"/>
  <c r="N1383" i="57"/>
  <c r="AG1382" i="57"/>
  <c r="Y1382" i="57"/>
  <c r="AA1382" i="57" l="1"/>
  <c r="AB1382" i="57" s="1"/>
  <c r="Q1382" i="57"/>
  <c r="T1382" i="57" s="1"/>
  <c r="O1382" i="57"/>
  <c r="N1382" i="57"/>
  <c r="AG1381" i="57"/>
  <c r="Y1381" i="57"/>
  <c r="AA1381" i="57" l="1"/>
  <c r="AB1381" i="57" s="1"/>
  <c r="T1381" i="57"/>
  <c r="O1381" i="57"/>
  <c r="N1381" i="57"/>
  <c r="AG1380" i="57"/>
  <c r="Y1380" i="57"/>
  <c r="AA1380" i="57" l="1"/>
  <c r="AB1380" i="57" s="1"/>
  <c r="Q1380" i="57"/>
  <c r="T1380" i="57" s="1"/>
  <c r="O1380" i="57"/>
  <c r="N1380" i="57"/>
  <c r="AG1379" i="57"/>
  <c r="Y1379" i="57"/>
  <c r="AA1379" i="57" l="1"/>
  <c r="AB1379" i="57" s="1"/>
  <c r="Q1379" i="57"/>
  <c r="T1379" i="57" s="1"/>
  <c r="O1379" i="57"/>
  <c r="N1379" i="57"/>
  <c r="AG1378" i="57"/>
  <c r="Y1378" i="57"/>
  <c r="AA1378" i="57" l="1"/>
  <c r="AB1378" i="57" s="1"/>
  <c r="Q1378" i="57"/>
  <c r="T1378" i="57" s="1"/>
  <c r="O1378" i="57"/>
  <c r="N1378" i="57"/>
  <c r="AG1377" i="57"/>
  <c r="Y1377" i="57"/>
  <c r="AA1377" i="57" l="1"/>
  <c r="AB1377" i="57" s="1"/>
  <c r="Q1377" i="57"/>
  <c r="T1377" i="57" s="1"/>
  <c r="O1377" i="57"/>
  <c r="N1377" i="57"/>
  <c r="AG1376" i="57"/>
  <c r="Y1376" i="57"/>
  <c r="AA1376" i="57" l="1"/>
  <c r="AB1376" i="57" s="1"/>
  <c r="Q1376" i="57"/>
  <c r="T1376" i="57" s="1"/>
  <c r="O1376" i="57"/>
  <c r="N1376" i="57"/>
  <c r="AG1375" i="57"/>
  <c r="Y1375" i="57"/>
  <c r="AA1375" i="57" l="1"/>
  <c r="AB1375" i="57" s="1"/>
  <c r="Q1375" i="57"/>
  <c r="T1375" i="57" s="1"/>
  <c r="O1375" i="57"/>
  <c r="N1375" i="57"/>
  <c r="AG1374" i="57"/>
  <c r="Y1374" i="57"/>
  <c r="AA1374" i="57" l="1"/>
  <c r="AB1374" i="57" s="1"/>
  <c r="Q1374" i="57"/>
  <c r="T1374" i="57" s="1"/>
  <c r="O1374" i="57"/>
  <c r="N1374" i="57"/>
  <c r="AG1373" i="57"/>
  <c r="Y1373" i="57"/>
  <c r="AA1373" i="57" l="1"/>
  <c r="AB1373" i="57" s="1"/>
  <c r="Q1373" i="57"/>
  <c r="T1373" i="57" s="1"/>
  <c r="O1373" i="57"/>
  <c r="N1373" i="57"/>
  <c r="AG1372" i="57"/>
  <c r="Y1372" i="57"/>
  <c r="AA1372" i="57" l="1"/>
  <c r="AB1372" i="57" s="1"/>
  <c r="Q1372" i="57"/>
  <c r="T1372" i="57" s="1"/>
  <c r="O1372" i="57"/>
  <c r="N1372" i="57"/>
  <c r="AG1371" i="57"/>
  <c r="Y1371" i="57"/>
  <c r="AA1371" i="57" l="1"/>
  <c r="AB1371" i="57" s="1"/>
  <c r="Q1371" i="57"/>
  <c r="T1371" i="57" s="1"/>
  <c r="O1371" i="57"/>
  <c r="N1371" i="57"/>
  <c r="AG1370" i="57"/>
  <c r="Y1370" i="57"/>
  <c r="AA1370" i="57" l="1"/>
  <c r="AB1370" i="57" s="1"/>
  <c r="Q1370" i="57"/>
  <c r="T1370" i="57" s="1"/>
  <c r="O1370" i="57"/>
  <c r="N1370" i="57"/>
  <c r="AG1369" i="57"/>
  <c r="Y1369" i="57"/>
  <c r="AA1369" i="57" l="1"/>
  <c r="AB1369" i="57" s="1"/>
  <c r="Q1369" i="57"/>
  <c r="T1369" i="57" s="1"/>
  <c r="O1369" i="57"/>
  <c r="N1369" i="57"/>
  <c r="AG1368" i="57"/>
  <c r="Y1368" i="57"/>
  <c r="AA1368" i="57" l="1"/>
  <c r="AB1368" i="57" s="1"/>
  <c r="Q1368" i="57"/>
  <c r="T1368" i="57" s="1"/>
  <c r="O1368" i="57"/>
  <c r="N1368" i="57"/>
  <c r="AG1367" i="57"/>
  <c r="Y1367" i="57"/>
  <c r="AA1367" i="57" l="1"/>
  <c r="AB1367" i="57" s="1"/>
  <c r="Q1367" i="57"/>
  <c r="T1367" i="57" s="1"/>
  <c r="O1367" i="57"/>
  <c r="N1367" i="57"/>
  <c r="AG1366" i="57"/>
  <c r="Y1366" i="57"/>
  <c r="AA1366" i="57" l="1"/>
  <c r="AB1366" i="57" s="1"/>
  <c r="T1366" i="57"/>
  <c r="O1366" i="57"/>
  <c r="N1366" i="57"/>
  <c r="AG1365" i="57"/>
  <c r="Y1365" i="57"/>
  <c r="AA1365" i="57" l="1"/>
  <c r="AB1365" i="57" s="1"/>
  <c r="Q1365" i="57"/>
  <c r="T1365" i="57" s="1"/>
  <c r="O1365" i="57"/>
  <c r="N1365" i="57"/>
  <c r="AG1364" i="57"/>
  <c r="Y1364" i="57"/>
  <c r="AA1364" i="57" l="1"/>
  <c r="AB1364" i="57" s="1"/>
  <c r="Q1364" i="57"/>
  <c r="T1364" i="57" s="1"/>
  <c r="O1364" i="57"/>
  <c r="N1364" i="57"/>
  <c r="AG1363" i="57"/>
  <c r="Y1363" i="57"/>
  <c r="AA1363" i="57" l="1"/>
  <c r="AB1363" i="57" s="1"/>
  <c r="Q1363" i="57"/>
  <c r="T1363" i="57" s="1"/>
  <c r="O1363" i="57"/>
  <c r="N1363" i="57"/>
  <c r="AG1362" i="57"/>
  <c r="Y1362" i="57"/>
  <c r="AA1362" i="57" l="1"/>
  <c r="AB1362" i="57" s="1"/>
  <c r="Q1362" i="57"/>
  <c r="T1362" i="57" s="1"/>
  <c r="O1362" i="57"/>
  <c r="N1362" i="57"/>
  <c r="AG1361" i="57"/>
  <c r="Y1361" i="57"/>
  <c r="AA1361" i="57" l="1"/>
  <c r="AB1361" i="57" s="1"/>
  <c r="Q1361" i="57"/>
  <c r="T1361" i="57" s="1"/>
  <c r="O1361" i="57"/>
  <c r="N1361" i="57"/>
  <c r="AG1360" i="57"/>
  <c r="Y1360" i="57"/>
  <c r="AA1360" i="57" l="1"/>
  <c r="AB1360" i="57" s="1"/>
  <c r="Q1360" i="57"/>
  <c r="T1360" i="57" s="1"/>
  <c r="O1360" i="57"/>
  <c r="N1360" i="57"/>
  <c r="AG1359" i="57"/>
  <c r="Y1359" i="57"/>
  <c r="AA1359" i="57" l="1"/>
  <c r="AB1359" i="57" s="1"/>
  <c r="Q1359" i="57"/>
  <c r="T1359" i="57" s="1"/>
  <c r="O1359" i="57"/>
  <c r="N1359" i="57"/>
  <c r="AG1358" i="57"/>
  <c r="Y1358" i="57"/>
  <c r="AA1358" i="57" l="1"/>
  <c r="AB1358" i="57" s="1"/>
  <c r="Q1358" i="57"/>
  <c r="T1358" i="57" s="1"/>
  <c r="O1358" i="57"/>
  <c r="N1358" i="57"/>
  <c r="AG1357" i="57"/>
  <c r="Y1357" i="57"/>
  <c r="AA1357" i="57" l="1"/>
  <c r="AB1357" i="57" s="1"/>
  <c r="Q1357" i="57"/>
  <c r="T1357" i="57" s="1"/>
  <c r="O1357" i="57"/>
  <c r="N1357" i="57"/>
  <c r="AG1356" i="57"/>
  <c r="Y1356" i="57"/>
  <c r="AA1356" i="57" l="1"/>
  <c r="AB1356" i="57" s="1"/>
  <c r="Q1356" i="57"/>
  <c r="T1356" i="57" s="1"/>
  <c r="O1356" i="57"/>
  <c r="N1356" i="57"/>
  <c r="AG1355" i="57"/>
  <c r="Y1355" i="57"/>
  <c r="AA1355" i="57" l="1"/>
  <c r="AB1355" i="57" s="1"/>
  <c r="Q1355" i="57"/>
  <c r="T1355" i="57" s="1"/>
  <c r="O1355" i="57"/>
  <c r="N1355" i="57"/>
  <c r="AG1354" i="57"/>
  <c r="Y1354" i="57"/>
  <c r="AA1354" i="57" l="1"/>
  <c r="AB1354" i="57" s="1"/>
  <c r="Q1354" i="57"/>
  <c r="T1354" i="57" s="1"/>
  <c r="O1354" i="57"/>
  <c r="N1354" i="57"/>
  <c r="AG1353" i="57"/>
  <c r="Y1353" i="57"/>
  <c r="AA1353" i="57" l="1"/>
  <c r="AB1353" i="57" s="1"/>
  <c r="Q1353" i="57"/>
  <c r="T1353" i="57" s="1"/>
  <c r="O1353" i="57"/>
  <c r="N1353" i="57"/>
  <c r="AG1352" i="57"/>
  <c r="Y1352" i="57"/>
  <c r="AA1352" i="57" l="1"/>
  <c r="AB1352" i="57" s="1"/>
  <c r="Q1352" i="57"/>
  <c r="T1352" i="57" s="1"/>
  <c r="O1352" i="57"/>
  <c r="N1352" i="57"/>
  <c r="AG1351" i="57"/>
  <c r="Y1351" i="57"/>
  <c r="AA1351" i="57" l="1"/>
  <c r="AB1351" i="57" s="1"/>
  <c r="Q1351" i="57"/>
  <c r="T1351" i="57" s="1"/>
  <c r="O1351" i="57"/>
  <c r="N1351" i="57"/>
  <c r="AG1350" i="57"/>
  <c r="Y1350" i="57"/>
  <c r="AA1350" i="57" l="1"/>
  <c r="AB1350" i="57" s="1"/>
  <c r="Q1350" i="57"/>
  <c r="T1350" i="57" s="1"/>
  <c r="O1350" i="57"/>
  <c r="N1350" i="57"/>
  <c r="AG1349" i="57"/>
  <c r="Y1349" i="57"/>
  <c r="AA1349" i="57" l="1"/>
  <c r="AB1349" i="57" s="1"/>
  <c r="Q1349" i="57"/>
  <c r="T1349" i="57" s="1"/>
  <c r="O1349" i="57"/>
  <c r="N1349" i="57"/>
  <c r="AG1348" i="57"/>
  <c r="Y1348" i="57"/>
  <c r="AA1348" i="57" l="1"/>
  <c r="AB1348" i="57" s="1"/>
  <c r="Q1348" i="57"/>
  <c r="T1348" i="57" s="1"/>
  <c r="O1348" i="57"/>
  <c r="N1348" i="57"/>
  <c r="AG1347" i="57"/>
  <c r="Y1347" i="57"/>
  <c r="AA1347" i="57" l="1"/>
  <c r="AB1347" i="57" s="1"/>
  <c r="Q1347" i="57"/>
  <c r="T1347" i="57" s="1"/>
  <c r="O1347" i="57"/>
  <c r="N1347" i="57"/>
  <c r="AG1346" i="57"/>
  <c r="Y1346" i="57"/>
  <c r="AA1346" i="57" l="1"/>
  <c r="AB1346" i="57" s="1"/>
  <c r="Q1346" i="57"/>
  <c r="T1346" i="57" s="1"/>
  <c r="O1346" i="57"/>
  <c r="N1346" i="57"/>
  <c r="AG1345" i="57"/>
  <c r="Y1345" i="57"/>
  <c r="AA1345" i="57" l="1"/>
  <c r="AB1345" i="57" s="1"/>
  <c r="Q1345" i="57"/>
  <c r="T1345" i="57" s="1"/>
  <c r="O1345" i="57"/>
  <c r="N1345" i="57"/>
  <c r="AG1344" i="57"/>
  <c r="Y1344" i="57"/>
  <c r="AA1344" i="57" l="1"/>
  <c r="AB1344" i="57" s="1"/>
  <c r="Q1344" i="57"/>
  <c r="T1344" i="57" s="1"/>
  <c r="O1344" i="57"/>
  <c r="N1344" i="57"/>
  <c r="AG1343" i="57"/>
  <c r="Y1343" i="57"/>
  <c r="AA1343" i="57" l="1"/>
  <c r="AB1343" i="57" s="1"/>
  <c r="T1343" i="57"/>
  <c r="O1343" i="57"/>
  <c r="N1343" i="57"/>
  <c r="AG1342" i="57"/>
  <c r="Y1342" i="57"/>
  <c r="AA1342" i="57" l="1"/>
  <c r="AB1342" i="57" s="1"/>
  <c r="Q1342" i="57"/>
  <c r="T1342" i="57" s="1"/>
  <c r="O1342" i="57"/>
  <c r="N1342" i="57"/>
  <c r="AG1341" i="57"/>
  <c r="Y1341" i="57"/>
  <c r="AA1341" i="57" l="1"/>
  <c r="AB1341" i="57" s="1"/>
  <c r="Q1341" i="57"/>
  <c r="T1341" i="57" s="1"/>
  <c r="O1341" i="57"/>
  <c r="N1341" i="57"/>
  <c r="AG1340" i="57"/>
  <c r="Y1340" i="57"/>
  <c r="AA1340" i="57" l="1"/>
  <c r="AB1340" i="57" s="1"/>
  <c r="Q1340" i="57"/>
  <c r="T1340" i="57" s="1"/>
  <c r="O1340" i="57"/>
  <c r="N1340" i="57"/>
  <c r="AG1339" i="57"/>
  <c r="Y1339" i="57"/>
  <c r="AA1339" i="57" l="1"/>
  <c r="AB1339" i="57" s="1"/>
  <c r="Q1339" i="57"/>
  <c r="T1339" i="57" s="1"/>
  <c r="O1339" i="57"/>
  <c r="N1339" i="57"/>
  <c r="AG1338" i="57"/>
  <c r="Y1338" i="57"/>
  <c r="AA1338" i="57" l="1"/>
  <c r="AB1338" i="57" s="1"/>
  <c r="Q1338" i="57"/>
  <c r="T1338" i="57" s="1"/>
  <c r="O1338" i="57"/>
  <c r="N1338" i="57"/>
  <c r="AG1337" i="57"/>
  <c r="Y1337" i="57"/>
  <c r="AA1337" i="57" l="1"/>
  <c r="AB1337" i="57" s="1"/>
  <c r="Q1337" i="57"/>
  <c r="T1337" i="57" s="1"/>
  <c r="O1337" i="57"/>
  <c r="N1337" i="57"/>
  <c r="AG1336" i="57"/>
  <c r="Y1336" i="57"/>
  <c r="AA1336" i="57" l="1"/>
  <c r="AB1336" i="57" s="1"/>
  <c r="Q1336" i="57"/>
  <c r="T1336" i="57" s="1"/>
  <c r="O1336" i="57"/>
  <c r="N1336" i="57"/>
  <c r="AG1335" i="57"/>
  <c r="Y1335" i="57"/>
  <c r="AA1335" i="57" l="1"/>
  <c r="AB1335" i="57" s="1"/>
  <c r="T1335" i="57"/>
  <c r="O1335" i="57"/>
  <c r="N1335" i="57"/>
  <c r="AG1334" i="57"/>
  <c r="Y1334" i="57"/>
  <c r="AA1334" i="57" l="1"/>
  <c r="AB1334" i="57" s="1"/>
  <c r="T1334" i="57"/>
  <c r="O1334" i="57"/>
  <c r="N1334" i="57"/>
  <c r="AG1333" i="57"/>
  <c r="Y1333" i="57"/>
  <c r="AA1333" i="57" l="1"/>
  <c r="AB1333" i="57" s="1"/>
  <c r="Q1333" i="57"/>
  <c r="T1333" i="57" s="1"/>
  <c r="O1333" i="57"/>
  <c r="N1333" i="57"/>
  <c r="AG1332" i="57"/>
  <c r="Y1332" i="57"/>
  <c r="AA1332" i="57" l="1"/>
  <c r="AB1332" i="57" s="1"/>
  <c r="Q1332" i="57"/>
  <c r="T1332" i="57" s="1"/>
  <c r="O1332" i="57"/>
  <c r="N1332" i="57"/>
  <c r="AG1331" i="57"/>
  <c r="Y1331" i="57"/>
  <c r="AA1331" i="57" l="1"/>
  <c r="AB1331" i="57" s="1"/>
  <c r="Q1331" i="57"/>
  <c r="T1331" i="57" s="1"/>
  <c r="O1331" i="57"/>
  <c r="N1331" i="57"/>
  <c r="AG1330" i="57"/>
  <c r="Y1330" i="57"/>
  <c r="AA1330" i="57" l="1"/>
  <c r="AB1330" i="57" s="1"/>
  <c r="Q1330" i="57"/>
  <c r="T1330" i="57" s="1"/>
  <c r="O1330" i="57"/>
  <c r="N1330" i="57"/>
  <c r="AG1329" i="57"/>
  <c r="Y1329" i="57"/>
  <c r="AA1329" i="57" l="1"/>
  <c r="AB1329" i="57" s="1"/>
  <c r="Q1329" i="57"/>
  <c r="T1329" i="57" s="1"/>
  <c r="O1329" i="57"/>
  <c r="N1329" i="57"/>
  <c r="AG1328" i="57"/>
  <c r="Y1328" i="57"/>
  <c r="AA1328" i="57" l="1"/>
  <c r="AB1328" i="57" s="1"/>
  <c r="Q1328" i="57"/>
  <c r="T1328" i="57" s="1"/>
  <c r="O1328" i="57"/>
  <c r="N1328" i="57"/>
  <c r="AG1327" i="57"/>
  <c r="Y1327" i="57"/>
  <c r="AA1327" i="57" l="1"/>
  <c r="AB1327" i="57" s="1"/>
  <c r="Q1327" i="57"/>
  <c r="T1327" i="57" s="1"/>
  <c r="O1327" i="57"/>
  <c r="N1327" i="57"/>
  <c r="AG1326" i="57"/>
  <c r="Y1326" i="57"/>
  <c r="AA1326" i="57" l="1"/>
  <c r="AB1326" i="57" s="1"/>
  <c r="Q1326" i="57"/>
  <c r="T1326" i="57" s="1"/>
  <c r="O1326" i="57"/>
  <c r="N1326" i="57"/>
  <c r="AG1325" i="57"/>
  <c r="Y1325" i="57"/>
  <c r="AA1325" i="57" l="1"/>
  <c r="AB1325" i="57" s="1"/>
  <c r="Q1325" i="57"/>
  <c r="T1325" i="57" s="1"/>
  <c r="O1325" i="57"/>
  <c r="N1325" i="57"/>
  <c r="AG1324" i="57"/>
  <c r="Y1324" i="57"/>
  <c r="AA1324" i="57" l="1"/>
  <c r="AB1324" i="57" s="1"/>
  <c r="Q1324" i="57"/>
  <c r="T1324" i="57" s="1"/>
  <c r="O1324" i="57"/>
  <c r="N1324" i="57"/>
  <c r="AG1323" i="57"/>
  <c r="Y1323" i="57"/>
  <c r="AA1323" i="57" l="1"/>
  <c r="AB1323" i="57" s="1"/>
  <c r="Q1323" i="57"/>
  <c r="T1323" i="57" s="1"/>
  <c r="O1323" i="57"/>
  <c r="N1323" i="57"/>
  <c r="AG1322" i="57"/>
  <c r="Y1322" i="57"/>
  <c r="AA1322" i="57" l="1"/>
  <c r="AB1322" i="57" s="1"/>
  <c r="Q1322" i="57"/>
  <c r="T1322" i="57" s="1"/>
  <c r="O1322" i="57"/>
  <c r="N1322" i="57"/>
  <c r="AG1321" i="57"/>
  <c r="Y1321" i="57"/>
  <c r="AA1321" i="57" l="1"/>
  <c r="AB1321" i="57" s="1"/>
  <c r="Q1321" i="57"/>
  <c r="T1321" i="57" s="1"/>
  <c r="O1321" i="57"/>
  <c r="N1321" i="57"/>
  <c r="AG1320" i="57"/>
  <c r="Y1320" i="57"/>
  <c r="AA1320" i="57" l="1"/>
  <c r="AB1320" i="57" s="1"/>
  <c r="Q1320" i="57"/>
  <c r="T1320" i="57" s="1"/>
  <c r="O1320" i="57"/>
  <c r="N1320" i="57"/>
  <c r="AG1319" i="57"/>
  <c r="Y1319" i="57"/>
  <c r="AA1319" i="57" l="1"/>
  <c r="AB1319" i="57" s="1"/>
  <c r="Q1319" i="57"/>
  <c r="T1319" i="57" s="1"/>
  <c r="O1319" i="57"/>
  <c r="N1319" i="57"/>
  <c r="AG1318" i="57"/>
  <c r="Y1318" i="57"/>
  <c r="AA1318" i="57" l="1"/>
  <c r="AB1318" i="57" s="1"/>
  <c r="Q1318" i="57"/>
  <c r="T1318" i="57" s="1"/>
  <c r="O1318" i="57"/>
  <c r="N1318" i="57"/>
  <c r="AG1317" i="57"/>
  <c r="Y1317" i="57"/>
  <c r="AA1317" i="57" l="1"/>
  <c r="AB1317" i="57" s="1"/>
  <c r="Q1317" i="57"/>
  <c r="T1317" i="57" s="1"/>
  <c r="O1317" i="57"/>
  <c r="N1317" i="57"/>
  <c r="AG1316" i="57"/>
  <c r="Y1316" i="57"/>
  <c r="AA1316" i="57" l="1"/>
  <c r="AB1316" i="57" s="1"/>
  <c r="T1316" i="57"/>
  <c r="O1316" i="57"/>
  <c r="N1316" i="57"/>
  <c r="AG1315" i="57"/>
  <c r="Y1315" i="57"/>
  <c r="AA1315" i="57" l="1"/>
  <c r="AB1315" i="57" s="1"/>
  <c r="Q1315" i="57"/>
  <c r="T1315" i="57" s="1"/>
  <c r="O1315" i="57"/>
  <c r="N1315" i="57"/>
  <c r="AG1314" i="57"/>
  <c r="Y1314" i="57"/>
  <c r="AA1314" i="57" l="1"/>
  <c r="AB1314" i="57" s="1"/>
  <c r="Q1314" i="57"/>
  <c r="T1314" i="57" s="1"/>
  <c r="O1314" i="57"/>
  <c r="N1314" i="57"/>
  <c r="AG1313" i="57"/>
  <c r="Y1313" i="57"/>
  <c r="AA1313" i="57" l="1"/>
  <c r="AB1313" i="57" s="1"/>
  <c r="Q1313" i="57"/>
  <c r="T1313" i="57" s="1"/>
  <c r="O1313" i="57"/>
  <c r="N1313" i="57"/>
  <c r="AG1312" i="57"/>
  <c r="Y1312" i="57"/>
  <c r="AA1312" i="57" l="1"/>
  <c r="AB1312" i="57" s="1"/>
  <c r="Q1312" i="57"/>
  <c r="T1312" i="57" s="1"/>
  <c r="O1312" i="57"/>
  <c r="N1312" i="57"/>
  <c r="AG1311" i="57"/>
  <c r="Y1311" i="57"/>
  <c r="AA1311" i="57" l="1"/>
  <c r="AB1311" i="57" s="1"/>
  <c r="T1311" i="57"/>
  <c r="O1311" i="57"/>
  <c r="N1311" i="57"/>
  <c r="AG1310" i="57"/>
  <c r="Y1310" i="57"/>
  <c r="AA1310" i="57" l="1"/>
  <c r="AB1310" i="57" s="1"/>
  <c r="Q1310" i="57"/>
  <c r="T1310" i="57" s="1"/>
  <c r="O1310" i="57"/>
  <c r="N1310" i="57"/>
  <c r="AG1309" i="57"/>
  <c r="Y1309" i="57"/>
  <c r="AA1309" i="57" l="1"/>
  <c r="AB1309" i="57" s="1"/>
  <c r="Q1309" i="57"/>
  <c r="T1309" i="57" s="1"/>
  <c r="O1309" i="57"/>
  <c r="N1309" i="57"/>
  <c r="AG1308" i="57"/>
  <c r="Y1308" i="57"/>
  <c r="AA1308" i="57" l="1"/>
  <c r="AB1308" i="57" s="1"/>
  <c r="Q1308" i="57"/>
  <c r="T1308" i="57" s="1"/>
  <c r="O1308" i="57"/>
  <c r="N1308" i="57"/>
  <c r="AG1307" i="57"/>
  <c r="Y1307" i="57"/>
  <c r="AA1307" i="57" l="1"/>
  <c r="AB1307" i="57" s="1"/>
  <c r="Q1307" i="57"/>
  <c r="T1307" i="57" s="1"/>
  <c r="O1307" i="57"/>
  <c r="N1307" i="57"/>
  <c r="AG1306" i="57"/>
  <c r="Y1306" i="57"/>
  <c r="AA1306" i="57" l="1"/>
  <c r="AB1306" i="57" s="1"/>
  <c r="Q1306" i="57"/>
  <c r="T1306" i="57" s="1"/>
  <c r="O1306" i="57"/>
  <c r="N1306" i="57"/>
  <c r="AG1305" i="57"/>
  <c r="Y1305" i="57"/>
  <c r="AA1305" i="57" l="1"/>
  <c r="AB1305" i="57" s="1"/>
  <c r="Q1305" i="57"/>
  <c r="T1305" i="57" s="1"/>
  <c r="O1305" i="57"/>
  <c r="N1305" i="57"/>
  <c r="AN1304" i="57"/>
  <c r="AL1304" i="57" s="1"/>
  <c r="AM1304" i="57"/>
  <c r="AK1304" i="57" s="1"/>
  <c r="AG1304" i="57"/>
  <c r="Y1304" i="57"/>
  <c r="AA1304" i="57" l="1"/>
  <c r="AB1304" i="57" s="1"/>
  <c r="Q1304" i="57"/>
  <c r="T1304" i="57" s="1"/>
  <c r="O1304" i="57"/>
  <c r="N1304" i="57"/>
  <c r="AN1303" i="57"/>
  <c r="AL1303" i="57" s="1"/>
  <c r="AM1303" i="57"/>
  <c r="AK1303" i="57" s="1"/>
  <c r="AG1303" i="57"/>
  <c r="Y1303" i="57"/>
  <c r="AA1303" i="57" l="1"/>
  <c r="AB1303" i="57" s="1"/>
  <c r="Q1303" i="57"/>
  <c r="T1303" i="57" s="1"/>
  <c r="O1303" i="57"/>
  <c r="N1303" i="57"/>
  <c r="AM1299" i="57"/>
  <c r="AN1299" i="57"/>
  <c r="AL1299" i="57" l="1"/>
  <c r="AK1299" i="57"/>
  <c r="AM1300" i="57"/>
  <c r="AN1300" i="57"/>
  <c r="AM1286" i="57"/>
  <c r="AN1286" i="57"/>
  <c r="AL1300" i="57" l="1"/>
  <c r="AK1300" i="57"/>
  <c r="AL1286" i="57"/>
  <c r="AK1286" i="57"/>
  <c r="AM1287" i="57"/>
  <c r="AN1287" i="57"/>
  <c r="AL1287" i="57" l="1"/>
  <c r="AK1287" i="57"/>
  <c r="AM1288" i="57"/>
  <c r="AN1288" i="57"/>
  <c r="AL1288" i="57" l="1"/>
  <c r="AK1288" i="57"/>
  <c r="AM1289" i="57"/>
  <c r="AN1289" i="57"/>
  <c r="AL1289" i="57" l="1"/>
  <c r="AK1289" i="57"/>
  <c r="AM1290" i="57"/>
  <c r="AN1290" i="57"/>
  <c r="AL1290" i="57" l="1"/>
  <c r="AK1290" i="57"/>
  <c r="AM1291" i="57"/>
  <c r="AN1291" i="57"/>
  <c r="AL1291" i="57" l="1"/>
  <c r="AK1291" i="57"/>
  <c r="AM1292" i="57"/>
  <c r="AN1292" i="57"/>
  <c r="AL1292" i="57" l="1"/>
  <c r="AK1292" i="57"/>
  <c r="AM1293" i="57"/>
  <c r="AN1293" i="57"/>
  <c r="AL1293" i="57" l="1"/>
  <c r="AK1293" i="57"/>
  <c r="AM1294" i="57"/>
  <c r="AN1294" i="57"/>
  <c r="AL1294" i="57" l="1"/>
  <c r="AK1294" i="57"/>
  <c r="AM1295" i="57"/>
  <c r="AN1295" i="57"/>
  <c r="AL1295" i="57" l="1"/>
  <c r="AK1295" i="57"/>
  <c r="AM1296" i="57"/>
  <c r="AN1296" i="57"/>
  <c r="AL1296" i="57" l="1"/>
  <c r="AK1296" i="57"/>
  <c r="AM1297" i="57"/>
  <c r="AN1297" i="57"/>
  <c r="AL1297" i="57" l="1"/>
  <c r="AK1297" i="57"/>
  <c r="AM1298" i="57"/>
  <c r="AN1298" i="57"/>
  <c r="AM1283" i="57"/>
  <c r="AN1283" i="57"/>
  <c r="AL1298" i="57" l="1"/>
  <c r="AK1298" i="57"/>
  <c r="AL1283" i="57"/>
  <c r="AK1283" i="57"/>
  <c r="AM1284" i="57"/>
  <c r="AN1284" i="57"/>
  <c r="AL1284" i="57" l="1"/>
  <c r="AK1284" i="57"/>
  <c r="AM1285" i="57"/>
  <c r="AN1285" i="57"/>
  <c r="AM1265" i="57"/>
  <c r="AN1265" i="57"/>
  <c r="AL1285" i="57" l="1"/>
  <c r="AK1285" i="57"/>
  <c r="AL1265" i="57"/>
  <c r="AK1265" i="57"/>
  <c r="AM1266" i="57"/>
  <c r="AN1266" i="57"/>
  <c r="AL1266" i="57" l="1"/>
  <c r="AK1266" i="57"/>
  <c r="AM1267" i="57"/>
  <c r="AN1267" i="57"/>
  <c r="AL1267" i="57" l="1"/>
  <c r="AK1267" i="57"/>
  <c r="AM1268" i="57"/>
  <c r="AN1268" i="57"/>
  <c r="AL1268" i="57" l="1"/>
  <c r="AK1268" i="57"/>
  <c r="AM1269" i="57"/>
  <c r="AN1269" i="57"/>
  <c r="AL1269" i="57" l="1"/>
  <c r="AK1269" i="57"/>
  <c r="AM1270" i="57"/>
  <c r="AN1270" i="57"/>
  <c r="AL1270" i="57" l="1"/>
  <c r="AK1270" i="57"/>
  <c r="AM1271" i="57"/>
  <c r="AN1271" i="57"/>
  <c r="AL1271" i="57" l="1"/>
  <c r="AK1271" i="57"/>
  <c r="AM1272" i="57"/>
  <c r="AN1272" i="57"/>
  <c r="AL1272" i="57" l="1"/>
  <c r="AK1272" i="57"/>
  <c r="AM1273" i="57"/>
  <c r="AN1273" i="57"/>
  <c r="AL1273" i="57" l="1"/>
  <c r="AK1273" i="57"/>
  <c r="AM1274" i="57"/>
  <c r="AN1274" i="57"/>
  <c r="AL1274" i="57" l="1"/>
  <c r="AK1274" i="57"/>
  <c r="AM1275" i="57"/>
  <c r="AN1275" i="57"/>
  <c r="AL1275" i="57" l="1"/>
  <c r="AK1275" i="57"/>
  <c r="AM1276" i="57"/>
  <c r="AN1276" i="57"/>
  <c r="AL1276" i="57" l="1"/>
  <c r="AK1276" i="57"/>
  <c r="AM1277" i="57"/>
  <c r="AN1277" i="57"/>
  <c r="AL1277" i="57" l="1"/>
  <c r="AK1277" i="57"/>
  <c r="AM1278" i="57"/>
  <c r="AN1278" i="57"/>
  <c r="AL1278" i="57" l="1"/>
  <c r="AK1278" i="57"/>
  <c r="AM1279" i="57"/>
  <c r="AN1279" i="57"/>
  <c r="AL1279" i="57" l="1"/>
  <c r="AK1279" i="57"/>
  <c r="AM1280" i="57"/>
  <c r="AN1280" i="57"/>
  <c r="AL1280" i="57" l="1"/>
  <c r="AK1280" i="57"/>
  <c r="AM1281" i="57"/>
  <c r="AN1281" i="57"/>
  <c r="AL1281" i="57" l="1"/>
  <c r="AK1281" i="57"/>
  <c r="AM1282" i="57"/>
  <c r="AN1282" i="57"/>
  <c r="AM1264" i="57"/>
  <c r="AN1264" i="57"/>
  <c r="AM1262" i="57"/>
  <c r="AN1262" i="57"/>
  <c r="AL1282" i="57" l="1"/>
  <c r="AK1282" i="57"/>
  <c r="AL1264" i="57"/>
  <c r="AK1264" i="57"/>
  <c r="AL1262" i="57"/>
  <c r="AK1262" i="57"/>
  <c r="AM1263" i="57"/>
  <c r="AN1263" i="57"/>
  <c r="AL1263" i="57" l="1"/>
  <c r="AK1263" i="57"/>
  <c r="AG1300" i="57"/>
  <c r="Y1300" i="57"/>
  <c r="AA1300" i="57" l="1"/>
  <c r="AB1300" i="57" s="1"/>
  <c r="Q1300" i="57"/>
  <c r="T1300" i="57" s="1"/>
  <c r="O1300" i="57"/>
  <c r="N1300" i="57"/>
  <c r="AG1299" i="57"/>
  <c r="Y1299" i="57"/>
  <c r="AA1299" i="57" l="1"/>
  <c r="AB1299" i="57" s="1"/>
  <c r="Q1299" i="57"/>
  <c r="T1299" i="57" s="1"/>
  <c r="O1299" i="57"/>
  <c r="N1299" i="57"/>
  <c r="AG1298" i="57"/>
  <c r="Y1298" i="57"/>
  <c r="AA1298" i="57" l="1"/>
  <c r="AB1298" i="57" s="1"/>
  <c r="Q1298" i="57"/>
  <c r="T1298" i="57" s="1"/>
  <c r="O1298" i="57"/>
  <c r="N1298" i="57"/>
  <c r="AG1297" i="57"/>
  <c r="Y1297" i="57"/>
  <c r="AA1297" i="57" l="1"/>
  <c r="AB1297" i="57" s="1"/>
  <c r="Q1297" i="57"/>
  <c r="T1297" i="57" s="1"/>
  <c r="O1297" i="57"/>
  <c r="N1297" i="57"/>
  <c r="AG1296" i="57"/>
  <c r="Y1296" i="57"/>
  <c r="AA1296" i="57" l="1"/>
  <c r="AB1296" i="57" s="1"/>
  <c r="Q1296" i="57"/>
  <c r="T1296" i="57" s="1"/>
  <c r="O1296" i="57"/>
  <c r="N1296" i="57"/>
  <c r="AG1295" i="57"/>
  <c r="Y1295" i="57"/>
  <c r="AA1295" i="57" l="1"/>
  <c r="AB1295" i="57" s="1"/>
  <c r="Q1295" i="57"/>
  <c r="T1295" i="57" s="1"/>
  <c r="O1295" i="57"/>
  <c r="N1295" i="57"/>
  <c r="AG1294" i="57"/>
  <c r="Y1294" i="57"/>
  <c r="AA1294" i="57" l="1"/>
  <c r="AB1294" i="57" s="1"/>
  <c r="Q1294" i="57"/>
  <c r="T1294" i="57" s="1"/>
  <c r="O1294" i="57"/>
  <c r="N1294" i="57"/>
  <c r="AG1293" i="57"/>
  <c r="Y1293" i="57"/>
  <c r="AA1293" i="57" l="1"/>
  <c r="AB1293" i="57" s="1"/>
  <c r="Q1293" i="57"/>
  <c r="T1293" i="57" s="1"/>
  <c r="O1293" i="57"/>
  <c r="N1293" i="57"/>
  <c r="AG1292" i="57"/>
  <c r="Y1292" i="57"/>
  <c r="AA1292" i="57" l="1"/>
  <c r="AB1292" i="57" s="1"/>
  <c r="Q1292" i="57"/>
  <c r="T1292" i="57" s="1"/>
  <c r="O1292" i="57"/>
  <c r="N1292" i="57"/>
  <c r="AG1291" i="57"/>
  <c r="Y1291" i="57"/>
  <c r="AA1291" i="57" l="1"/>
  <c r="AB1291" i="57" s="1"/>
  <c r="Q1291" i="57"/>
  <c r="T1291" i="57" s="1"/>
  <c r="O1291" i="57"/>
  <c r="N1291" i="57"/>
  <c r="AG1290" i="57"/>
  <c r="Y1290" i="57"/>
  <c r="AA1290" i="57" l="1"/>
  <c r="AB1290" i="57" s="1"/>
  <c r="Q1290" i="57"/>
  <c r="T1290" i="57" s="1"/>
  <c r="O1290" i="57"/>
  <c r="N1290" i="57"/>
  <c r="AG1289" i="57"/>
  <c r="Y1289" i="57"/>
  <c r="AA1289" i="57" l="1"/>
  <c r="AB1289" i="57" s="1"/>
  <c r="Q1289" i="57"/>
  <c r="T1289" i="57" s="1"/>
  <c r="O1289" i="57"/>
  <c r="N1289" i="57"/>
  <c r="AG1288" i="57"/>
  <c r="Y1288" i="57"/>
  <c r="AA1288" i="57" l="1"/>
  <c r="AB1288" i="57" s="1"/>
  <c r="Q1288" i="57"/>
  <c r="T1288" i="57" s="1"/>
  <c r="O1288" i="57"/>
  <c r="N1288" i="57"/>
  <c r="AG1287" i="57"/>
  <c r="Y1287" i="57"/>
  <c r="AA1287" i="57" l="1"/>
  <c r="AB1287" i="57" s="1"/>
  <c r="Q1287" i="57"/>
  <c r="T1287" i="57" s="1"/>
  <c r="O1287" i="57"/>
  <c r="N1287" i="57"/>
  <c r="AG1286" i="57"/>
  <c r="Y1286" i="57"/>
  <c r="AA1286" i="57" l="1"/>
  <c r="AB1286" i="57" s="1"/>
  <c r="T1286" i="57"/>
  <c r="O1286" i="57"/>
  <c r="N1286" i="57"/>
  <c r="AG1285" i="57"/>
  <c r="Y1285" i="57"/>
  <c r="AA1285" i="57" l="1"/>
  <c r="AB1285" i="57" s="1"/>
  <c r="Q1285" i="57"/>
  <c r="T1285" i="57" s="1"/>
  <c r="O1285" i="57"/>
  <c r="N1285" i="57"/>
  <c r="AG1284" i="57"/>
  <c r="Y1284" i="57"/>
  <c r="AA1284" i="57" l="1"/>
  <c r="AB1284" i="57" s="1"/>
  <c r="Q1284" i="57"/>
  <c r="T1284" i="57" s="1"/>
  <c r="O1284" i="57"/>
  <c r="N1284" i="57"/>
  <c r="AG1283" i="57"/>
  <c r="Y1283" i="57"/>
  <c r="AA1283" i="57" l="1"/>
  <c r="AB1283" i="57" s="1"/>
  <c r="Q1283" i="57"/>
  <c r="T1283" i="57" s="1"/>
  <c r="O1283" i="57"/>
  <c r="N1283" i="57"/>
  <c r="AG1282" i="57"/>
  <c r="Y1282" i="57"/>
  <c r="AA1282" i="57" l="1"/>
  <c r="AB1282" i="57" s="1"/>
  <c r="Q1282" i="57"/>
  <c r="T1282" i="57" s="1"/>
  <c r="O1282" i="57"/>
  <c r="N1282" i="57"/>
  <c r="AG1281" i="57"/>
  <c r="Y1281" i="57"/>
  <c r="AA1281" i="57" l="1"/>
  <c r="AB1281" i="57" s="1"/>
  <c r="Q1281" i="57"/>
  <c r="T1281" i="57" s="1"/>
  <c r="O1281" i="57"/>
  <c r="N1281" i="57"/>
  <c r="AG1280" i="57"/>
  <c r="Y1280" i="57"/>
  <c r="AA1280" i="57" l="1"/>
  <c r="AB1280" i="57" s="1"/>
  <c r="Q1280" i="57"/>
  <c r="T1280" i="57" s="1"/>
  <c r="O1280" i="57"/>
  <c r="N1280" i="57"/>
  <c r="AG1279" i="57"/>
  <c r="Y1279" i="57"/>
  <c r="AA1279" i="57" l="1"/>
  <c r="AB1279" i="57" s="1"/>
  <c r="Q1279" i="57"/>
  <c r="T1279" i="57" s="1"/>
  <c r="O1279" i="57"/>
  <c r="N1279" i="57"/>
  <c r="AG1278" i="57"/>
  <c r="Y1278" i="57"/>
  <c r="AA1278" i="57" l="1"/>
  <c r="AB1278" i="57" s="1"/>
  <c r="Q1278" i="57"/>
  <c r="T1278" i="57" s="1"/>
  <c r="O1278" i="57"/>
  <c r="N1278" i="57"/>
  <c r="AG1277" i="57"/>
  <c r="Y1277" i="57"/>
  <c r="AA1277" i="57" l="1"/>
  <c r="AB1277" i="57" s="1"/>
  <c r="Q1277" i="57"/>
  <c r="T1277" i="57" s="1"/>
  <c r="O1277" i="57"/>
  <c r="N1277" i="57"/>
  <c r="AG1276" i="57"/>
  <c r="Y1276" i="57"/>
  <c r="AA1276" i="57" l="1"/>
  <c r="AB1276" i="57" s="1"/>
  <c r="Q1276" i="57"/>
  <c r="T1276" i="57" s="1"/>
  <c r="O1276" i="57"/>
  <c r="N1276" i="57"/>
  <c r="AG1275" i="57"/>
  <c r="Y1275" i="57"/>
  <c r="AA1275" i="57" l="1"/>
  <c r="AB1275" i="57" s="1"/>
  <c r="Q1275" i="57"/>
  <c r="T1275" i="57" s="1"/>
  <c r="O1275" i="57"/>
  <c r="N1275" i="57"/>
  <c r="AG1274" i="57"/>
  <c r="Y1274" i="57"/>
  <c r="AA1274" i="57" l="1"/>
  <c r="AB1274" i="57" s="1"/>
  <c r="Q1274" i="57"/>
  <c r="T1274" i="57" s="1"/>
  <c r="O1274" i="57"/>
  <c r="N1274" i="57"/>
  <c r="AG1273" i="57"/>
  <c r="Y1273" i="57"/>
  <c r="AA1273" i="57" l="1"/>
  <c r="AB1273" i="57" s="1"/>
  <c r="Q1273" i="57"/>
  <c r="T1273" i="57" s="1"/>
  <c r="O1273" i="57"/>
  <c r="N1273" i="57"/>
  <c r="AG1272" i="57"/>
  <c r="Y1272" i="57"/>
  <c r="AA1272" i="57" l="1"/>
  <c r="AB1272" i="57" s="1"/>
  <c r="Q1272" i="57"/>
  <c r="T1272" i="57" s="1"/>
  <c r="O1272" i="57"/>
  <c r="N1272" i="57"/>
  <c r="AG1271" i="57"/>
  <c r="Y1271" i="57"/>
  <c r="AA1271" i="57" l="1"/>
  <c r="AB1271" i="57" s="1"/>
  <c r="Q1271" i="57"/>
  <c r="T1271" i="57" s="1"/>
  <c r="O1271" i="57"/>
  <c r="N1271" i="57"/>
  <c r="AG1270" i="57"/>
  <c r="Y1270" i="57"/>
  <c r="AA1270" i="57" l="1"/>
  <c r="AB1270" i="57" s="1"/>
  <c r="Q1270" i="57"/>
  <c r="T1270" i="57" s="1"/>
  <c r="O1270" i="57"/>
  <c r="N1270" i="57"/>
  <c r="AG1269" i="57"/>
  <c r="Y1269" i="57"/>
  <c r="AA1269" i="57" l="1"/>
  <c r="AB1269" i="57" s="1"/>
  <c r="Q1269" i="57"/>
  <c r="T1269" i="57" s="1"/>
  <c r="O1269" i="57"/>
  <c r="N1269" i="57"/>
  <c r="AG1268" i="57"/>
  <c r="Y1268" i="57"/>
  <c r="AA1268" i="57" l="1"/>
  <c r="AB1268" i="57" s="1"/>
  <c r="Q1268" i="57"/>
  <c r="T1268" i="57" s="1"/>
  <c r="O1268" i="57"/>
  <c r="N1268" i="57"/>
  <c r="AG1267" i="57"/>
  <c r="Y1267" i="57"/>
  <c r="AA1267" i="57" l="1"/>
  <c r="AB1267" i="57" s="1"/>
  <c r="Q1267" i="57"/>
  <c r="T1267" i="57" s="1"/>
  <c r="O1267" i="57"/>
  <c r="N1267" i="57"/>
  <c r="AG1266" i="57"/>
  <c r="Y1266" i="57"/>
  <c r="AA1266" i="57" l="1"/>
  <c r="AB1266" i="57" s="1"/>
  <c r="T1266" i="57"/>
  <c r="O1266" i="57"/>
  <c r="N1266" i="57"/>
  <c r="AG1265" i="57"/>
  <c r="Y1265" i="57"/>
  <c r="AA1265" i="57" l="1"/>
  <c r="AB1265" i="57" s="1"/>
  <c r="Q1265" i="57"/>
  <c r="T1265" i="57" s="1"/>
  <c r="O1265" i="57"/>
  <c r="N1265" i="57"/>
  <c r="AG1264" i="57"/>
  <c r="Y1264" i="57"/>
  <c r="AA1264" i="57" l="1"/>
  <c r="AB1264" i="57" s="1"/>
  <c r="Q1264" i="57"/>
  <c r="T1264" i="57" s="1"/>
  <c r="O1264" i="57"/>
  <c r="N1264" i="57"/>
  <c r="AG1263" i="57"/>
  <c r="Y1263" i="57"/>
  <c r="AA1263" i="57" l="1"/>
  <c r="AB1263" i="57" s="1"/>
  <c r="Q1263" i="57"/>
  <c r="T1263" i="57" s="1"/>
  <c r="O1263" i="57"/>
  <c r="N1263" i="57"/>
  <c r="AG1262" i="57"/>
  <c r="Y1262" i="57"/>
  <c r="AA1262" i="57" l="1"/>
  <c r="AB1262" i="57" s="1"/>
  <c r="Q1262" i="57"/>
  <c r="T1262" i="57" s="1"/>
  <c r="O1262" i="57"/>
  <c r="N1262" i="57"/>
  <c r="AN1261" i="57"/>
  <c r="AL1261" i="57" s="1"/>
  <c r="AM1261" i="57"/>
  <c r="AK1261" i="57" s="1"/>
  <c r="AG1261" i="57"/>
  <c r="Y1261" i="57"/>
  <c r="AA1261" i="57" l="1"/>
  <c r="AB1261" i="57" s="1"/>
  <c r="Q1261" i="57"/>
  <c r="T1261" i="57" s="1"/>
  <c r="O1261" i="57"/>
  <c r="N1261" i="57"/>
  <c r="AM1235" i="57"/>
  <c r="AN1235" i="57"/>
  <c r="AL1235" i="57" l="1"/>
  <c r="AK1235" i="57"/>
  <c r="AM1236" i="57"/>
  <c r="AN1236" i="57"/>
  <c r="AL1236" i="57" l="1"/>
  <c r="AK1236" i="57"/>
  <c r="AM1237" i="57"/>
  <c r="AN1237" i="57"/>
  <c r="AL1237" i="57" l="1"/>
  <c r="AK1237" i="57"/>
  <c r="AM1238" i="57"/>
  <c r="AN1238" i="57"/>
  <c r="AL1238" i="57" l="1"/>
  <c r="AK1238" i="57"/>
  <c r="AM1239" i="57"/>
  <c r="AN1239" i="57"/>
  <c r="AL1239" i="57" l="1"/>
  <c r="AK1239" i="57"/>
  <c r="AM1240" i="57"/>
  <c r="AN1240" i="57"/>
  <c r="AL1240" i="57" l="1"/>
  <c r="AK1240" i="57"/>
  <c r="AM1241" i="57"/>
  <c r="AN1241" i="57"/>
  <c r="AL1241" i="57" l="1"/>
  <c r="AK1241" i="57"/>
  <c r="AM1242" i="57"/>
  <c r="AN1242" i="57"/>
  <c r="AL1242" i="57" l="1"/>
  <c r="AK1242" i="57"/>
  <c r="AM1243" i="57"/>
  <c r="AN1243" i="57"/>
  <c r="AL1243" i="57" l="1"/>
  <c r="AK1243" i="57"/>
  <c r="AM1244" i="57"/>
  <c r="AN1244" i="57"/>
  <c r="AL1244" i="57" l="1"/>
  <c r="AK1244" i="57"/>
  <c r="AM1245" i="57"/>
  <c r="AN1245" i="57"/>
  <c r="AL1245" i="57" l="1"/>
  <c r="AK1245" i="57"/>
  <c r="AM1246" i="57"/>
  <c r="AN1246" i="57"/>
  <c r="AL1246" i="57" l="1"/>
  <c r="AK1246" i="57"/>
  <c r="AM1247" i="57"/>
  <c r="AN1247" i="57"/>
  <c r="AL1247" i="57" l="1"/>
  <c r="AK1247" i="57"/>
  <c r="AM1248" i="57"/>
  <c r="AN1248" i="57"/>
  <c r="AL1248" i="57" l="1"/>
  <c r="AK1248" i="57"/>
  <c r="AM1249" i="57"/>
  <c r="AN1249" i="57"/>
  <c r="AL1249" i="57" l="1"/>
  <c r="AK1249" i="57"/>
  <c r="AM1250" i="57"/>
  <c r="AN1250" i="57"/>
  <c r="AL1250" i="57" l="1"/>
  <c r="AK1250" i="57"/>
  <c r="AM1251" i="57"/>
  <c r="AN1251" i="57"/>
  <c r="AL1251" i="57" l="1"/>
  <c r="AK1251" i="57"/>
  <c r="AM1252" i="57"/>
  <c r="AN1252" i="57"/>
  <c r="AL1252" i="57" l="1"/>
  <c r="AK1252" i="57"/>
  <c r="AM1253" i="57"/>
  <c r="AN1253" i="57"/>
  <c r="AL1253" i="57" l="1"/>
  <c r="AK1253" i="57"/>
  <c r="AM1254" i="57"/>
  <c r="AN1254" i="57"/>
  <c r="AL1254" i="57" l="1"/>
  <c r="AK1254" i="57"/>
  <c r="AM1255" i="57"/>
  <c r="AN1255" i="57"/>
  <c r="AL1255" i="57" l="1"/>
  <c r="AK1255" i="57"/>
  <c r="AM1256" i="57"/>
  <c r="AN1256" i="57"/>
  <c r="AL1256" i="57" l="1"/>
  <c r="AK1256" i="57"/>
  <c r="AM1257" i="57"/>
  <c r="AN1257" i="57"/>
  <c r="AL1257" i="57" l="1"/>
  <c r="AK1257" i="57"/>
  <c r="AM1258" i="57"/>
  <c r="AN1258" i="57"/>
  <c r="AM1233" i="57"/>
  <c r="AN1233" i="57"/>
  <c r="AL1258" i="57" l="1"/>
  <c r="AK1258" i="57"/>
  <c r="AL1233" i="57"/>
  <c r="AK1233" i="57"/>
  <c r="AM1234" i="57"/>
  <c r="AN1234" i="57"/>
  <c r="AM1224" i="57"/>
  <c r="AN1224" i="57"/>
  <c r="AL1234" i="57" l="1"/>
  <c r="AK1234" i="57"/>
  <c r="AL1224" i="57"/>
  <c r="AK1224" i="57"/>
  <c r="AM1225" i="57"/>
  <c r="AN1225" i="57"/>
  <c r="AL1225" i="57" l="1"/>
  <c r="AK1225" i="57"/>
  <c r="AM1226" i="57"/>
  <c r="AN1226" i="57"/>
  <c r="AL1226" i="57" l="1"/>
  <c r="AK1226" i="57"/>
  <c r="AM1227" i="57"/>
  <c r="AN1227" i="57"/>
  <c r="AL1227" i="57" l="1"/>
  <c r="AK1227" i="57"/>
  <c r="AM1228" i="57"/>
  <c r="AN1228" i="57"/>
  <c r="AL1228" i="57" l="1"/>
  <c r="AK1228" i="57"/>
  <c r="AM1229" i="57"/>
  <c r="AN1229" i="57"/>
  <c r="AL1229" i="57" l="1"/>
  <c r="AK1229" i="57"/>
  <c r="AM1230" i="57"/>
  <c r="AN1230" i="57"/>
  <c r="AL1230" i="57" l="1"/>
  <c r="AK1230" i="57"/>
  <c r="AM1231" i="57"/>
  <c r="AN1231" i="57"/>
  <c r="AL1231" i="57" l="1"/>
  <c r="AK1231" i="57"/>
  <c r="AM1232" i="57"/>
  <c r="AN1232" i="57"/>
  <c r="AL1232" i="57" l="1"/>
  <c r="AK1232" i="57"/>
  <c r="AG1258" i="57"/>
  <c r="Y1258" i="57"/>
  <c r="AA1258" i="57" l="1"/>
  <c r="AB1258" i="57" s="1"/>
  <c r="T1258" i="57"/>
  <c r="O1258" i="57"/>
  <c r="N1258" i="57"/>
  <c r="AG1257" i="57"/>
  <c r="Y1257" i="57"/>
  <c r="AA1257" i="57" l="1"/>
  <c r="AB1257" i="57" s="1"/>
  <c r="Q1257" i="57"/>
  <c r="T1257" i="57" s="1"/>
  <c r="O1257" i="57"/>
  <c r="N1257" i="57"/>
  <c r="AG1256" i="57"/>
  <c r="Y1256" i="57"/>
  <c r="AA1256" i="57" l="1"/>
  <c r="AB1256" i="57" s="1"/>
  <c r="Q1256" i="57"/>
  <c r="T1256" i="57" s="1"/>
  <c r="O1256" i="57"/>
  <c r="N1256" i="57"/>
  <c r="AG1255" i="57"/>
  <c r="Y1255" i="57"/>
  <c r="AA1255" i="57" l="1"/>
  <c r="AB1255" i="57" s="1"/>
  <c r="Q1255" i="57"/>
  <c r="T1255" i="57" s="1"/>
  <c r="O1255" i="57"/>
  <c r="N1255" i="57"/>
  <c r="AG1254" i="57"/>
  <c r="Y1254" i="57"/>
  <c r="AA1254" i="57" l="1"/>
  <c r="AB1254" i="57" s="1"/>
  <c r="Q1254" i="57"/>
  <c r="T1254" i="57" s="1"/>
  <c r="O1254" i="57"/>
  <c r="N1254" i="57"/>
  <c r="AG1253" i="57"/>
  <c r="Y1253" i="57"/>
  <c r="AA1253" i="57" l="1"/>
  <c r="AB1253" i="57" s="1"/>
  <c r="Q1253" i="57"/>
  <c r="T1253" i="57" s="1"/>
  <c r="O1253" i="57"/>
  <c r="N1253" i="57"/>
  <c r="AG1252" i="57"/>
  <c r="Y1252" i="57"/>
  <c r="AA1252" i="57" l="1"/>
  <c r="AB1252" i="57" s="1"/>
  <c r="Q1252" i="57"/>
  <c r="T1252" i="57" s="1"/>
  <c r="O1252" i="57"/>
  <c r="N1252" i="57"/>
  <c r="AG1251" i="57"/>
  <c r="Y1251" i="57"/>
  <c r="AA1251" i="57" l="1"/>
  <c r="AB1251" i="57" s="1"/>
  <c r="Q1251" i="57"/>
  <c r="T1251" i="57" s="1"/>
  <c r="O1251" i="57"/>
  <c r="N1251" i="57"/>
  <c r="AG1250" i="57"/>
  <c r="Y1250" i="57"/>
  <c r="AA1250" i="57" l="1"/>
  <c r="AB1250" i="57" s="1"/>
  <c r="Q1250" i="57"/>
  <c r="T1250" i="57" s="1"/>
  <c r="O1250" i="57"/>
  <c r="N1250" i="57"/>
  <c r="AG1249" i="57"/>
  <c r="Y1249" i="57"/>
  <c r="AA1249" i="57" l="1"/>
  <c r="AB1249" i="57" s="1"/>
  <c r="Q1249" i="57"/>
  <c r="T1249" i="57" s="1"/>
  <c r="O1249" i="57"/>
  <c r="N1249" i="57"/>
  <c r="AG1248" i="57"/>
  <c r="Y1248" i="57"/>
  <c r="AA1248" i="57" l="1"/>
  <c r="AB1248" i="57" s="1"/>
  <c r="Q1248" i="57"/>
  <c r="T1248" i="57" s="1"/>
  <c r="O1248" i="57"/>
  <c r="N1248" i="57"/>
  <c r="AG1247" i="57"/>
  <c r="Y1247" i="57"/>
  <c r="AA1247" i="57" l="1"/>
  <c r="AB1247" i="57" s="1"/>
  <c r="Q1247" i="57"/>
  <c r="T1247" i="57" s="1"/>
  <c r="O1247" i="57"/>
  <c r="N1247" i="57"/>
  <c r="AG1246" i="57"/>
  <c r="Y1246" i="57"/>
  <c r="AA1246" i="57" l="1"/>
  <c r="AB1246" i="57" s="1"/>
  <c r="Q1246" i="57"/>
  <c r="T1246" i="57" s="1"/>
  <c r="O1246" i="57"/>
  <c r="N1246" i="57"/>
  <c r="AG1245" i="57"/>
  <c r="Y1245" i="57"/>
  <c r="AA1245" i="57" l="1"/>
  <c r="AB1245" i="57" s="1"/>
  <c r="Q1245" i="57"/>
  <c r="T1245" i="57" s="1"/>
  <c r="O1245" i="57"/>
  <c r="N1245" i="57"/>
  <c r="AG1244" i="57"/>
  <c r="Y1244" i="57"/>
  <c r="AA1244" i="57" l="1"/>
  <c r="AB1244" i="57" s="1"/>
  <c r="Q1244" i="57"/>
  <c r="T1244" i="57" s="1"/>
  <c r="O1244" i="57"/>
  <c r="N1244" i="57"/>
  <c r="AG1243" i="57"/>
  <c r="Y1243" i="57"/>
  <c r="AA1243" i="57" l="1"/>
  <c r="AB1243" i="57" s="1"/>
  <c r="T1243" i="57"/>
  <c r="O1243" i="57"/>
  <c r="N1243" i="57"/>
  <c r="AG1242" i="57"/>
  <c r="Y1242" i="57"/>
  <c r="AA1242" i="57" l="1"/>
  <c r="AB1242" i="57" s="1"/>
  <c r="Q1242" i="57"/>
  <c r="T1242" i="57" s="1"/>
  <c r="O1242" i="57"/>
  <c r="N1242" i="57"/>
  <c r="AG1241" i="57"/>
  <c r="Y1241" i="57"/>
  <c r="AA1241" i="57" l="1"/>
  <c r="AB1241" i="57" s="1"/>
  <c r="Q1241" i="57"/>
  <c r="T1241" i="57" s="1"/>
  <c r="O1241" i="57"/>
  <c r="N1241" i="57"/>
  <c r="AG1240" i="57"/>
  <c r="Y1240" i="57"/>
  <c r="AA1240" i="57" l="1"/>
  <c r="AB1240" i="57" s="1"/>
  <c r="T1240" i="57"/>
  <c r="O1240" i="57"/>
  <c r="N1240" i="57"/>
  <c r="AG1239" i="57"/>
  <c r="Y1239" i="57"/>
  <c r="AA1239" i="57" l="1"/>
  <c r="AB1239" i="57" s="1"/>
  <c r="Q1239" i="57"/>
  <c r="T1239" i="57" s="1"/>
  <c r="O1239" i="57"/>
  <c r="N1239" i="57"/>
  <c r="AG1238" i="57"/>
  <c r="Y1238" i="57"/>
  <c r="AA1238" i="57" l="1"/>
  <c r="AB1238" i="57" s="1"/>
  <c r="Q1238" i="57"/>
  <c r="T1238" i="57" s="1"/>
  <c r="O1238" i="57"/>
  <c r="N1238" i="57"/>
  <c r="AG1237" i="57"/>
  <c r="Y1237" i="57"/>
  <c r="AA1237" i="57" l="1"/>
  <c r="AB1237" i="57" s="1"/>
  <c r="T1237" i="57"/>
  <c r="O1237" i="57"/>
  <c r="N1237" i="57"/>
  <c r="AG1236" i="57"/>
  <c r="Y1236" i="57"/>
  <c r="AA1236" i="57" l="1"/>
  <c r="AB1236" i="57" s="1"/>
  <c r="Q1236" i="57"/>
  <c r="T1236" i="57" s="1"/>
  <c r="O1236" i="57"/>
  <c r="N1236" i="57"/>
  <c r="AG1235" i="57"/>
  <c r="Y1235" i="57"/>
  <c r="AA1235" i="57" l="1"/>
  <c r="AB1235" i="57" s="1"/>
  <c r="T1235" i="57"/>
  <c r="O1235" i="57"/>
  <c r="N1235" i="57"/>
  <c r="AG1234" i="57"/>
  <c r="Y1234" i="57"/>
  <c r="AA1234" i="57" l="1"/>
  <c r="AB1234" i="57" s="1"/>
  <c r="Q1234" i="57"/>
  <c r="T1234" i="57" s="1"/>
  <c r="O1234" i="57"/>
  <c r="N1234" i="57"/>
  <c r="AG1233" i="57"/>
  <c r="Y1233" i="57"/>
  <c r="AA1233" i="57" l="1"/>
  <c r="AB1233" i="57" s="1"/>
  <c r="Q1233" i="57"/>
  <c r="T1233" i="57" s="1"/>
  <c r="O1233" i="57"/>
  <c r="N1233" i="57"/>
  <c r="AG1232" i="57"/>
  <c r="Y1232" i="57"/>
  <c r="AA1232" i="57" l="1"/>
  <c r="AB1232" i="57" s="1"/>
  <c r="Q1232" i="57"/>
  <c r="T1232" i="57" s="1"/>
  <c r="O1232" i="57"/>
  <c r="N1232" i="57"/>
  <c r="AG1231" i="57"/>
  <c r="Y1231" i="57"/>
  <c r="AA1231" i="57" l="1"/>
  <c r="AB1231" i="57" s="1"/>
  <c r="T1231" i="57"/>
  <c r="O1231" i="57"/>
  <c r="N1231" i="57"/>
  <c r="AG1230" i="57"/>
  <c r="Y1230" i="57"/>
  <c r="AA1230" i="57" l="1"/>
  <c r="AB1230" i="57" s="1"/>
  <c r="Q1230" i="57"/>
  <c r="T1230" i="57" s="1"/>
  <c r="O1230" i="57"/>
  <c r="N1230" i="57"/>
  <c r="AG1229" i="57"/>
  <c r="Y1229" i="57"/>
  <c r="AA1229" i="57" l="1"/>
  <c r="AB1229" i="57" s="1"/>
  <c r="Q1229" i="57"/>
  <c r="T1229" i="57" s="1"/>
  <c r="O1229" i="57"/>
  <c r="N1229" i="57"/>
  <c r="AG1228" i="57"/>
  <c r="Y1228" i="57"/>
  <c r="AA1228" i="57" l="1"/>
  <c r="AB1228" i="57" s="1"/>
  <c r="Q1228" i="57"/>
  <c r="T1228" i="57" s="1"/>
  <c r="O1228" i="57"/>
  <c r="N1228" i="57"/>
  <c r="AG1227" i="57"/>
  <c r="Y1227" i="57"/>
  <c r="AA1227" i="57" l="1"/>
  <c r="AB1227" i="57" s="1"/>
  <c r="Q1227" i="57"/>
  <c r="T1227" i="57" s="1"/>
  <c r="O1227" i="57"/>
  <c r="N1227" i="57"/>
  <c r="AG1226" i="57"/>
  <c r="Y1226" i="57"/>
  <c r="AA1226" i="57" l="1"/>
  <c r="AB1226" i="57" s="1"/>
  <c r="Q1226" i="57"/>
  <c r="T1226" i="57" s="1"/>
  <c r="O1226" i="57"/>
  <c r="N1226" i="57"/>
  <c r="AG1225" i="57"/>
  <c r="Y1225" i="57"/>
  <c r="AA1225" i="57" l="1"/>
  <c r="AB1225" i="57" s="1"/>
  <c r="Q1225" i="57"/>
  <c r="T1225" i="57" s="1"/>
  <c r="O1225" i="57"/>
  <c r="N1225" i="57"/>
  <c r="AG1224" i="57"/>
  <c r="Y1224" i="57"/>
  <c r="AA1224" i="57" l="1"/>
  <c r="AB1224" i="57" s="1"/>
  <c r="Q1224" i="57"/>
  <c r="T1224" i="57" s="1"/>
  <c r="O1224" i="57"/>
  <c r="N1224" i="57"/>
  <c r="AN1223" i="57"/>
  <c r="AL1223" i="57" s="1"/>
  <c r="AM1223" i="57"/>
  <c r="AK1223" i="57" s="1"/>
  <c r="AG1223" i="57"/>
  <c r="Y1223" i="57"/>
  <c r="AA1223" i="57" l="1"/>
  <c r="AB1223" i="57" s="1"/>
  <c r="T1223" i="57"/>
  <c r="O1223" i="57"/>
  <c r="N1223" i="57"/>
  <c r="AM1193" i="57"/>
  <c r="AN1193" i="57"/>
  <c r="AL1193" i="57" l="1"/>
  <c r="AK1193" i="57"/>
  <c r="AM1194" i="57"/>
  <c r="AN1194" i="57"/>
  <c r="AL1194" i="57" l="1"/>
  <c r="AK1194" i="57"/>
  <c r="AM1195" i="57"/>
  <c r="AN1195" i="57"/>
  <c r="AL1195" i="57" l="1"/>
  <c r="AK1195" i="57"/>
  <c r="AM1196" i="57"/>
  <c r="AN1196" i="57"/>
  <c r="AL1196" i="57" l="1"/>
  <c r="AK1196" i="57"/>
  <c r="AM1197" i="57"/>
  <c r="AN1197" i="57"/>
  <c r="AL1197" i="57" l="1"/>
  <c r="AK1197" i="57"/>
  <c r="AM1198" i="57"/>
  <c r="AN1198" i="57"/>
  <c r="AL1198" i="57" l="1"/>
  <c r="AK1198" i="57"/>
  <c r="AM1199" i="57"/>
  <c r="AN1199" i="57"/>
  <c r="AL1199" i="57" l="1"/>
  <c r="AK1199" i="57"/>
  <c r="AM1200" i="57"/>
  <c r="AN1200" i="57"/>
  <c r="AL1200" i="57" l="1"/>
  <c r="AK1200" i="57"/>
  <c r="AM1201" i="57"/>
  <c r="AN1201" i="57"/>
  <c r="AL1201" i="57" l="1"/>
  <c r="AK1201" i="57"/>
  <c r="AM1202" i="57"/>
  <c r="AN1202" i="57"/>
  <c r="AL1202" i="57" l="1"/>
  <c r="AK1202" i="57"/>
  <c r="AM1203" i="57"/>
  <c r="AN1203" i="57"/>
  <c r="AL1203" i="57" l="1"/>
  <c r="AK1203" i="57"/>
  <c r="AM1204" i="57"/>
  <c r="AN1204" i="57"/>
  <c r="AL1204" i="57" l="1"/>
  <c r="AK1204" i="57"/>
  <c r="AM1205" i="57"/>
  <c r="AN1205" i="57"/>
  <c r="AL1205" i="57" l="1"/>
  <c r="AK1205" i="57"/>
  <c r="AM1206" i="57"/>
  <c r="AN1206" i="57"/>
  <c r="AL1206" i="57" l="1"/>
  <c r="AK1206" i="57"/>
  <c r="AM1207" i="57"/>
  <c r="AN1207" i="57"/>
  <c r="AL1207" i="57" l="1"/>
  <c r="AK1207" i="57"/>
  <c r="AM1208" i="57"/>
  <c r="AN1208" i="57"/>
  <c r="AL1208" i="57" l="1"/>
  <c r="AK1208" i="57"/>
  <c r="AM1209" i="57"/>
  <c r="AN1209" i="57"/>
  <c r="AL1209" i="57" l="1"/>
  <c r="AK1209" i="57"/>
  <c r="AM1210" i="57"/>
  <c r="AN1210" i="57"/>
  <c r="AL1210" i="57" l="1"/>
  <c r="AK1210" i="57"/>
  <c r="AM1211" i="57"/>
  <c r="AN1211" i="57"/>
  <c r="AL1211" i="57" l="1"/>
  <c r="AK1211" i="57"/>
  <c r="AM1212" i="57"/>
  <c r="AN1212" i="57"/>
  <c r="AL1212" i="57" l="1"/>
  <c r="AK1212" i="57"/>
  <c r="AM1213" i="57"/>
  <c r="AN1213" i="57"/>
  <c r="AL1213" i="57" l="1"/>
  <c r="AK1213" i="57"/>
  <c r="AM1214" i="57"/>
  <c r="AN1214" i="57"/>
  <c r="AL1214" i="57" l="1"/>
  <c r="AK1214" i="57"/>
  <c r="AM1215" i="57"/>
  <c r="AN1215" i="57"/>
  <c r="AL1215" i="57" l="1"/>
  <c r="AK1215" i="57"/>
  <c r="AM1216" i="57"/>
  <c r="AN1216" i="57"/>
  <c r="AL1216" i="57" l="1"/>
  <c r="AK1216" i="57"/>
  <c r="AM1217" i="57"/>
  <c r="AN1217" i="57"/>
  <c r="AL1217" i="57" l="1"/>
  <c r="AK1217" i="57"/>
  <c r="AM1218" i="57"/>
  <c r="AN1218" i="57"/>
  <c r="AL1218" i="57" l="1"/>
  <c r="AK1218" i="57"/>
  <c r="AM1219" i="57"/>
  <c r="AN1219" i="57"/>
  <c r="AL1219" i="57" l="1"/>
  <c r="AK1219" i="57"/>
  <c r="AM1220" i="57"/>
  <c r="AN1220" i="57"/>
  <c r="AM1191" i="57"/>
  <c r="AN1191" i="57"/>
  <c r="AL1220" i="57" l="1"/>
  <c r="AK1220" i="57"/>
  <c r="AL1191" i="57"/>
  <c r="AK1191" i="57"/>
  <c r="AM1192" i="57"/>
  <c r="AN1192" i="57"/>
  <c r="AM1120" i="57"/>
  <c r="AN1120" i="57"/>
  <c r="AL1192" i="57" l="1"/>
  <c r="AK1192" i="57"/>
  <c r="AL1120" i="57"/>
  <c r="AK1120" i="57"/>
  <c r="AM1121" i="57"/>
  <c r="AN1121" i="57"/>
  <c r="AL1121" i="57" l="1"/>
  <c r="AK1121" i="57"/>
  <c r="AM1122" i="57"/>
  <c r="AN1122" i="57"/>
  <c r="AL1122" i="57" l="1"/>
  <c r="AK1122" i="57"/>
  <c r="AM1123" i="57"/>
  <c r="AN1123" i="57"/>
  <c r="AL1123" i="57" l="1"/>
  <c r="AK1123" i="57"/>
  <c r="AM1124" i="57"/>
  <c r="AN1124" i="57"/>
  <c r="AL1124" i="57" l="1"/>
  <c r="AK1124" i="57"/>
  <c r="AM1125" i="57"/>
  <c r="AN1125" i="57"/>
  <c r="AL1125" i="57" l="1"/>
  <c r="AK1125" i="57"/>
  <c r="AM1126" i="57"/>
  <c r="AN1126" i="57"/>
  <c r="AL1126" i="57" l="1"/>
  <c r="AK1126" i="57"/>
  <c r="AM1127" i="57"/>
  <c r="AN1127" i="57"/>
  <c r="AL1127" i="57" l="1"/>
  <c r="AK1127" i="57"/>
  <c r="AM1128" i="57"/>
  <c r="AN1128" i="57"/>
  <c r="AL1128" i="57" l="1"/>
  <c r="AK1128" i="57"/>
  <c r="AM1129" i="57"/>
  <c r="AN1129" i="57"/>
  <c r="AL1129" i="57" l="1"/>
  <c r="AK1129" i="57"/>
  <c r="AM1130" i="57"/>
  <c r="AN1130" i="57"/>
  <c r="AL1130" i="57" l="1"/>
  <c r="AK1130" i="57"/>
  <c r="AM1131" i="57"/>
  <c r="AN1131" i="57"/>
  <c r="AL1131" i="57" l="1"/>
  <c r="AK1131" i="57"/>
  <c r="AM1132" i="57"/>
  <c r="AN1132" i="57"/>
  <c r="AL1132" i="57" l="1"/>
  <c r="AK1132" i="57"/>
  <c r="AM1133" i="57"/>
  <c r="AN1133" i="57"/>
  <c r="AL1133" i="57" l="1"/>
  <c r="AK1133" i="57"/>
  <c r="AM1134" i="57"/>
  <c r="AN1134" i="57"/>
  <c r="AL1134" i="57" l="1"/>
  <c r="AK1134" i="57"/>
  <c r="AM1135" i="57"/>
  <c r="AN1135" i="57"/>
  <c r="AL1135" i="57" l="1"/>
  <c r="AK1135" i="57"/>
  <c r="AM1136" i="57"/>
  <c r="AN1136" i="57"/>
  <c r="AL1136" i="57" l="1"/>
  <c r="AK1136" i="57"/>
  <c r="AM1137" i="57"/>
  <c r="AN1137" i="57"/>
  <c r="AL1137" i="57" l="1"/>
  <c r="AK1137" i="57"/>
  <c r="AM1138" i="57"/>
  <c r="AN1138" i="57"/>
  <c r="AL1138" i="57" l="1"/>
  <c r="AK1138" i="57"/>
  <c r="AM1139" i="57"/>
  <c r="AN1139" i="57"/>
  <c r="AL1139" i="57" l="1"/>
  <c r="AK1139" i="57"/>
  <c r="AM1140" i="57"/>
  <c r="AN1140" i="57"/>
  <c r="AL1140" i="57" l="1"/>
  <c r="AK1140" i="57"/>
  <c r="AM1141" i="57"/>
  <c r="AN1141" i="57"/>
  <c r="AL1141" i="57" l="1"/>
  <c r="AK1141" i="57"/>
  <c r="AM1142" i="57"/>
  <c r="AN1142" i="57"/>
  <c r="AL1142" i="57" l="1"/>
  <c r="AK1142" i="57"/>
  <c r="AM1143" i="57"/>
  <c r="AN1143" i="57"/>
  <c r="AL1143" i="57" l="1"/>
  <c r="AK1143" i="57"/>
  <c r="AM1144" i="57"/>
  <c r="AN1144" i="57"/>
  <c r="AL1144" i="57" l="1"/>
  <c r="AK1144" i="57"/>
  <c r="AM1145" i="57"/>
  <c r="AN1145" i="57"/>
  <c r="AL1145" i="57" l="1"/>
  <c r="AK1145" i="57"/>
  <c r="AM1146" i="57"/>
  <c r="AN1146" i="57"/>
  <c r="AL1146" i="57" l="1"/>
  <c r="AK1146" i="57"/>
  <c r="AM1147" i="57"/>
  <c r="AN1147" i="57"/>
  <c r="AL1147" i="57" l="1"/>
  <c r="AK1147" i="57"/>
  <c r="AM1148" i="57"/>
  <c r="AN1148" i="57"/>
  <c r="AL1148" i="57" l="1"/>
  <c r="AK1148" i="57"/>
  <c r="AM1149" i="57"/>
  <c r="AN1149" i="57"/>
  <c r="AL1149" i="57" l="1"/>
  <c r="AK1149" i="57"/>
  <c r="AM1150" i="57"/>
  <c r="AN1150" i="57"/>
  <c r="AL1150" i="57" l="1"/>
  <c r="AK1150" i="57"/>
  <c r="AM1151" i="57"/>
  <c r="AN1151" i="57"/>
  <c r="AL1151" i="57" l="1"/>
  <c r="AK1151" i="57"/>
  <c r="AM1152" i="57"/>
  <c r="AN1152" i="57"/>
  <c r="AL1152" i="57" l="1"/>
  <c r="AK1152" i="57"/>
  <c r="AM1153" i="57"/>
  <c r="AN1153" i="57"/>
  <c r="AL1153" i="57" l="1"/>
  <c r="AK1153" i="57"/>
  <c r="AM1154" i="57"/>
  <c r="AN1154" i="57"/>
  <c r="AL1154" i="57" l="1"/>
  <c r="AK1154" i="57"/>
  <c r="AM1155" i="57"/>
  <c r="AN1155" i="57"/>
  <c r="AL1155" i="57" l="1"/>
  <c r="AK1155" i="57"/>
  <c r="AM1156" i="57"/>
  <c r="AN1156" i="57"/>
  <c r="AL1156" i="57" l="1"/>
  <c r="AK1156" i="57"/>
  <c r="AM1157" i="57"/>
  <c r="AN1157" i="57"/>
  <c r="AL1157" i="57" l="1"/>
  <c r="AK1157" i="57"/>
  <c r="AM1158" i="57"/>
  <c r="AN1158" i="57"/>
  <c r="AL1158" i="57" l="1"/>
  <c r="AK1158" i="57"/>
  <c r="AM1159" i="57"/>
  <c r="AN1159" i="57"/>
  <c r="AL1159" i="57" l="1"/>
  <c r="AK1159" i="57"/>
  <c r="AM1160" i="57"/>
  <c r="AN1160" i="57"/>
  <c r="AL1160" i="57" l="1"/>
  <c r="AK1160" i="57"/>
  <c r="AM1161" i="57"/>
  <c r="AN1161" i="57"/>
  <c r="AL1161" i="57" l="1"/>
  <c r="AK1161" i="57"/>
  <c r="AM1162" i="57"/>
  <c r="AN1162" i="57"/>
  <c r="AL1162" i="57" l="1"/>
  <c r="AK1162" i="57"/>
  <c r="AM1163" i="57"/>
  <c r="AN1163" i="57"/>
  <c r="AL1163" i="57" l="1"/>
  <c r="AK1163" i="57"/>
  <c r="AM1164" i="57"/>
  <c r="AN1164" i="57"/>
  <c r="AL1164" i="57" l="1"/>
  <c r="AK1164" i="57"/>
  <c r="AM1165" i="57"/>
  <c r="AN1165" i="57"/>
  <c r="AL1165" i="57" l="1"/>
  <c r="AK1165" i="57"/>
  <c r="AM1166" i="57"/>
  <c r="AN1166" i="57"/>
  <c r="AL1166" i="57" l="1"/>
  <c r="AK1166" i="57"/>
  <c r="AM1167" i="57"/>
  <c r="AN1167" i="57"/>
  <c r="AL1167" i="57" l="1"/>
  <c r="AK1167" i="57"/>
  <c r="AM1168" i="57"/>
  <c r="AN1168" i="57"/>
  <c r="AL1168" i="57" l="1"/>
  <c r="AK1168" i="57"/>
  <c r="AM1169" i="57"/>
  <c r="AN1169" i="57"/>
  <c r="AL1169" i="57" l="1"/>
  <c r="AK1169" i="57"/>
  <c r="AM1170" i="57"/>
  <c r="AN1170" i="57"/>
  <c r="AL1170" i="57" l="1"/>
  <c r="AK1170" i="57"/>
  <c r="AM1171" i="57"/>
  <c r="AN1171" i="57"/>
  <c r="AL1171" i="57" l="1"/>
  <c r="AK1171" i="57"/>
  <c r="AM1172" i="57"/>
  <c r="AN1172" i="57"/>
  <c r="AL1172" i="57" l="1"/>
  <c r="AK1172" i="57"/>
  <c r="AM1173" i="57"/>
  <c r="AN1173" i="57"/>
  <c r="AL1173" i="57" l="1"/>
  <c r="AK1173" i="57"/>
  <c r="AM1174" i="57"/>
  <c r="AN1174" i="57"/>
  <c r="AL1174" i="57" l="1"/>
  <c r="AK1174" i="57"/>
  <c r="AM1175" i="57"/>
  <c r="AN1175" i="57"/>
  <c r="AL1175" i="57" l="1"/>
  <c r="AK1175" i="57"/>
  <c r="AM1176" i="57"/>
  <c r="AN1176" i="57"/>
  <c r="AL1176" i="57" l="1"/>
  <c r="AK1176" i="57"/>
  <c r="AM1177" i="57"/>
  <c r="AN1177" i="57"/>
  <c r="AL1177" i="57" l="1"/>
  <c r="AK1177" i="57"/>
  <c r="AM1178" i="57"/>
  <c r="AN1178" i="57"/>
  <c r="AL1178" i="57" l="1"/>
  <c r="AK1178" i="57"/>
  <c r="AM1179" i="57"/>
  <c r="AN1179" i="57"/>
  <c r="AL1179" i="57" l="1"/>
  <c r="AK1179" i="57"/>
  <c r="AM1180" i="57"/>
  <c r="AN1180" i="57"/>
  <c r="AL1180" i="57" l="1"/>
  <c r="AK1180" i="57"/>
  <c r="AM1181" i="57"/>
  <c r="AN1181" i="57"/>
  <c r="AL1181" i="57" l="1"/>
  <c r="AK1181" i="57"/>
  <c r="AM1182" i="57"/>
  <c r="AN1182" i="57"/>
  <c r="AL1182" i="57" l="1"/>
  <c r="AK1182" i="57"/>
  <c r="AM1183" i="57"/>
  <c r="AN1183" i="57"/>
  <c r="AL1183" i="57" l="1"/>
  <c r="AK1183" i="57"/>
  <c r="AM1184" i="57"/>
  <c r="AN1184" i="57"/>
  <c r="AL1184" i="57" l="1"/>
  <c r="AK1184" i="57"/>
  <c r="AM1185" i="57"/>
  <c r="AN1185" i="57"/>
  <c r="AL1185" i="57" l="1"/>
  <c r="AK1185" i="57"/>
  <c r="AM1186" i="57"/>
  <c r="AN1186" i="57"/>
  <c r="AL1186" i="57" l="1"/>
  <c r="AK1186" i="57"/>
  <c r="AM1187" i="57"/>
  <c r="AN1187" i="57"/>
  <c r="AL1187" i="57" l="1"/>
  <c r="AK1187" i="57"/>
  <c r="AM1188" i="57"/>
  <c r="AN1188" i="57"/>
  <c r="AL1188" i="57" l="1"/>
  <c r="AK1188" i="57"/>
  <c r="AM1189" i="57"/>
  <c r="AN1189" i="57"/>
  <c r="AL1189" i="57" l="1"/>
  <c r="AK1189" i="57"/>
  <c r="AM1190" i="57"/>
  <c r="AN1190" i="57"/>
  <c r="AM1117" i="57"/>
  <c r="AN1117" i="57"/>
  <c r="AL1190" i="57" l="1"/>
  <c r="AK1190" i="57"/>
  <c r="AL1117" i="57"/>
  <c r="AK1117" i="57"/>
  <c r="AM1118" i="57"/>
  <c r="AN1118" i="57"/>
  <c r="AL1118" i="57" l="1"/>
  <c r="AK1118" i="57"/>
  <c r="AM1119" i="57"/>
  <c r="AN1119" i="57"/>
  <c r="AM1050" i="57"/>
  <c r="AN1050" i="57"/>
  <c r="AL1119" i="57" l="1"/>
  <c r="AK1119" i="57"/>
  <c r="AL1050" i="57"/>
  <c r="AK1050" i="57"/>
  <c r="AM1051" i="57"/>
  <c r="AN1051" i="57"/>
  <c r="AL1051" i="57" l="1"/>
  <c r="AK1051" i="57"/>
  <c r="AM1052" i="57"/>
  <c r="AN1052" i="57"/>
  <c r="AL1052" i="57" l="1"/>
  <c r="AK1052" i="57"/>
  <c r="AM1053" i="57"/>
  <c r="AN1053" i="57"/>
  <c r="AL1053" i="57" l="1"/>
  <c r="AK1053" i="57"/>
  <c r="AM1054" i="57"/>
  <c r="AN1054" i="57"/>
  <c r="AL1054" i="57" l="1"/>
  <c r="AK1054" i="57"/>
  <c r="AM1055" i="57"/>
  <c r="AN1055" i="57"/>
  <c r="AL1055" i="57" l="1"/>
  <c r="AK1055" i="57"/>
  <c r="AM1056" i="57"/>
  <c r="AN1056" i="57"/>
  <c r="AL1056" i="57" l="1"/>
  <c r="AK1056" i="57"/>
  <c r="AM1057" i="57"/>
  <c r="AN1057" i="57"/>
  <c r="AL1057" i="57" l="1"/>
  <c r="AK1057" i="57"/>
  <c r="AM1058" i="57"/>
  <c r="AN1058" i="57"/>
  <c r="AL1058" i="57" l="1"/>
  <c r="AK1058" i="57"/>
  <c r="AM1059" i="57"/>
  <c r="AN1059" i="57"/>
  <c r="AL1059" i="57" l="1"/>
  <c r="AK1059" i="57"/>
  <c r="AM1060" i="57"/>
  <c r="AN1060" i="57"/>
  <c r="AL1060" i="57" l="1"/>
  <c r="AK1060" i="57"/>
  <c r="AM1061" i="57"/>
  <c r="AN1061" i="57"/>
  <c r="AL1061" i="57" l="1"/>
  <c r="AK1061" i="57"/>
  <c r="AM1062" i="57"/>
  <c r="AN1062" i="57"/>
  <c r="AL1062" i="57" l="1"/>
  <c r="AK1062" i="57"/>
  <c r="AM1063" i="57"/>
  <c r="AN1063" i="57"/>
  <c r="AL1063" i="57" l="1"/>
  <c r="AK1063" i="57"/>
  <c r="AM1064" i="57"/>
  <c r="AN1064" i="57"/>
  <c r="AL1064" i="57" l="1"/>
  <c r="AK1064" i="57"/>
  <c r="AM1065" i="57"/>
  <c r="AN1065" i="57"/>
  <c r="AL1065" i="57" l="1"/>
  <c r="AK1065" i="57"/>
  <c r="AM1066" i="57"/>
  <c r="AN1066" i="57"/>
  <c r="AL1066" i="57" l="1"/>
  <c r="AK1066" i="57"/>
  <c r="AM1067" i="57"/>
  <c r="AN1067" i="57"/>
  <c r="AL1067" i="57" l="1"/>
  <c r="AK1067" i="57"/>
  <c r="AM1068" i="57"/>
  <c r="AN1068" i="57"/>
  <c r="AL1068" i="57" l="1"/>
  <c r="AK1068" i="57"/>
  <c r="AM1069" i="57"/>
  <c r="AN1069" i="57"/>
  <c r="AL1069" i="57" l="1"/>
  <c r="AK1069" i="57"/>
  <c r="AM1070" i="57"/>
  <c r="AN1070" i="57"/>
  <c r="AL1070" i="57" l="1"/>
  <c r="AK1070" i="57"/>
  <c r="AM1071" i="57"/>
  <c r="AN1071" i="57"/>
  <c r="AL1071" i="57" l="1"/>
  <c r="AK1071" i="57"/>
  <c r="AM1072" i="57"/>
  <c r="AN1072" i="57"/>
  <c r="AL1072" i="57" l="1"/>
  <c r="AK1072" i="57"/>
  <c r="AM1073" i="57"/>
  <c r="AN1073" i="57"/>
  <c r="AL1073" i="57" l="1"/>
  <c r="AK1073" i="57"/>
  <c r="AM1074" i="57"/>
  <c r="AN1074" i="57"/>
  <c r="AL1074" i="57" l="1"/>
  <c r="AK1074" i="57"/>
  <c r="AM1075" i="57"/>
  <c r="AN1075" i="57"/>
  <c r="AL1075" i="57" l="1"/>
  <c r="AK1075" i="57"/>
  <c r="AM1076" i="57"/>
  <c r="AN1076" i="57"/>
  <c r="AL1076" i="57" l="1"/>
  <c r="AK1076" i="57"/>
  <c r="AM1077" i="57"/>
  <c r="AN1077" i="57"/>
  <c r="AL1077" i="57" l="1"/>
  <c r="AK1077" i="57"/>
  <c r="AM1078" i="57"/>
  <c r="AN1078" i="57"/>
  <c r="AL1078" i="57" l="1"/>
  <c r="AK1078" i="57"/>
  <c r="AM1079" i="57"/>
  <c r="AN1079" i="57"/>
  <c r="AL1079" i="57" l="1"/>
  <c r="AK1079" i="57"/>
  <c r="AM1080" i="57"/>
  <c r="AN1080" i="57"/>
  <c r="AL1080" i="57" l="1"/>
  <c r="AK1080" i="57"/>
  <c r="AM1081" i="57"/>
  <c r="AN1081" i="57"/>
  <c r="AL1081" i="57" l="1"/>
  <c r="AK1081" i="57"/>
  <c r="AM1082" i="57"/>
  <c r="AN1082" i="57"/>
  <c r="AL1082" i="57" l="1"/>
  <c r="AK1082" i="57"/>
  <c r="AM1083" i="57"/>
  <c r="AN1083" i="57"/>
  <c r="AL1083" i="57" l="1"/>
  <c r="AK1083" i="57"/>
  <c r="AM1084" i="57"/>
  <c r="AN1084" i="57"/>
  <c r="AL1084" i="57" l="1"/>
  <c r="AK1084" i="57"/>
  <c r="AM1085" i="57"/>
  <c r="AN1085" i="57"/>
  <c r="AL1085" i="57" l="1"/>
  <c r="AK1085" i="57"/>
  <c r="AM1086" i="57"/>
  <c r="AN1086" i="57"/>
  <c r="AL1086" i="57" l="1"/>
  <c r="AK1086" i="57"/>
  <c r="AM1087" i="57"/>
  <c r="AN1087" i="57"/>
  <c r="AL1087" i="57" l="1"/>
  <c r="AK1087" i="57"/>
  <c r="AM1088" i="57"/>
  <c r="AN1088" i="57"/>
  <c r="AL1088" i="57" l="1"/>
  <c r="AK1088" i="57"/>
  <c r="AM1089" i="57"/>
  <c r="AN1089" i="57"/>
  <c r="AL1089" i="57" l="1"/>
  <c r="AK1089" i="57"/>
  <c r="AM1090" i="57"/>
  <c r="AN1090" i="57"/>
  <c r="AL1090" i="57" l="1"/>
  <c r="AK1090" i="57"/>
  <c r="AM1091" i="57"/>
  <c r="AN1091" i="57"/>
  <c r="AL1091" i="57" l="1"/>
  <c r="AK1091" i="57"/>
  <c r="AM1092" i="57"/>
  <c r="AN1092" i="57"/>
  <c r="AL1092" i="57" l="1"/>
  <c r="AK1092" i="57"/>
  <c r="AM1093" i="57"/>
  <c r="AN1093" i="57"/>
  <c r="AL1093" i="57" l="1"/>
  <c r="AK1093" i="57"/>
  <c r="AM1094" i="57"/>
  <c r="AN1094" i="57"/>
  <c r="AL1094" i="57" l="1"/>
  <c r="AK1094" i="57"/>
  <c r="AM1095" i="57"/>
  <c r="AN1095" i="57"/>
  <c r="AL1095" i="57" l="1"/>
  <c r="AK1095" i="57"/>
  <c r="AM1096" i="57"/>
  <c r="AN1096" i="57"/>
  <c r="AL1096" i="57" l="1"/>
  <c r="AK1096" i="57"/>
  <c r="AM1097" i="57"/>
  <c r="AN1097" i="57"/>
  <c r="AL1097" i="57" l="1"/>
  <c r="AK1097" i="57"/>
  <c r="AM1098" i="57"/>
  <c r="AN1098" i="57"/>
  <c r="AL1098" i="57" l="1"/>
  <c r="AK1098" i="57"/>
  <c r="AM1099" i="57"/>
  <c r="AN1099" i="57"/>
  <c r="AL1099" i="57" l="1"/>
  <c r="AK1099" i="57"/>
  <c r="AM1100" i="57"/>
  <c r="AN1100" i="57"/>
  <c r="AL1100" i="57" l="1"/>
  <c r="AK1100" i="57"/>
  <c r="AM1101" i="57"/>
  <c r="AN1101" i="57"/>
  <c r="AL1101" i="57" l="1"/>
  <c r="AK1101" i="57"/>
  <c r="AM1102" i="57"/>
  <c r="AN1102" i="57"/>
  <c r="AL1102" i="57" l="1"/>
  <c r="AK1102" i="57"/>
  <c r="AM1103" i="57"/>
  <c r="AN1103" i="57"/>
  <c r="AL1103" i="57" l="1"/>
  <c r="AK1103" i="57"/>
  <c r="AM1104" i="57"/>
  <c r="AN1104" i="57"/>
  <c r="AL1104" i="57" l="1"/>
  <c r="AK1104" i="57"/>
  <c r="AM1105" i="57"/>
  <c r="AN1105" i="57"/>
  <c r="AL1105" i="57" l="1"/>
  <c r="AK1105" i="57"/>
  <c r="AM1106" i="57"/>
  <c r="AN1106" i="57"/>
  <c r="AL1106" i="57" l="1"/>
  <c r="AK1106" i="57"/>
  <c r="AM1107" i="57"/>
  <c r="AN1107" i="57"/>
  <c r="AL1107" i="57" l="1"/>
  <c r="AK1107" i="57"/>
  <c r="AM1108" i="57"/>
  <c r="AN1108" i="57"/>
  <c r="AL1108" i="57" l="1"/>
  <c r="AK1108" i="57"/>
  <c r="AM1109" i="57"/>
  <c r="AN1109" i="57"/>
  <c r="AL1109" i="57" l="1"/>
  <c r="AK1109" i="57"/>
  <c r="AM1110" i="57"/>
  <c r="AN1110" i="57"/>
  <c r="AL1110" i="57" l="1"/>
  <c r="AK1110" i="57"/>
  <c r="AM1111" i="57"/>
  <c r="AN1111" i="57"/>
  <c r="AL1111" i="57" l="1"/>
  <c r="AK1111" i="57"/>
  <c r="AM1112" i="57"/>
  <c r="AN1112" i="57"/>
  <c r="AL1112" i="57" l="1"/>
  <c r="AK1112" i="57"/>
  <c r="AM1113" i="57"/>
  <c r="AN1113" i="57"/>
  <c r="AL1113" i="57" l="1"/>
  <c r="AK1113" i="57"/>
  <c r="AM1114" i="57"/>
  <c r="AN1114" i="57"/>
  <c r="AL1114" i="57" l="1"/>
  <c r="AK1114" i="57"/>
  <c r="AM1115" i="57"/>
  <c r="AN1115" i="57"/>
  <c r="AL1115" i="57" l="1"/>
  <c r="AK1115" i="57"/>
  <c r="AM1116" i="57"/>
  <c r="AN1116" i="57"/>
  <c r="AM1048" i="57"/>
  <c r="AN1048" i="57"/>
  <c r="AL1116" i="57" l="1"/>
  <c r="AK1116" i="57"/>
  <c r="AL1048" i="57"/>
  <c r="AK1048" i="57"/>
  <c r="AM1049" i="57"/>
  <c r="AN1049" i="57"/>
  <c r="AM1015" i="57"/>
  <c r="AN1015" i="57"/>
  <c r="AL1049" i="57" l="1"/>
  <c r="AK1049" i="57"/>
  <c r="AL1015" i="57"/>
  <c r="AK1015" i="57"/>
  <c r="AM1016" i="57"/>
  <c r="AN1016" i="57"/>
  <c r="AL1016" i="57" l="1"/>
  <c r="AK1016" i="57"/>
  <c r="AM1017" i="57"/>
  <c r="AN1017" i="57"/>
  <c r="AL1017" i="57" l="1"/>
  <c r="AK1017" i="57"/>
  <c r="AM1018" i="57"/>
  <c r="AN1018" i="57"/>
  <c r="AL1018" i="57" l="1"/>
  <c r="AK1018" i="57"/>
  <c r="AM1019" i="57"/>
  <c r="AN1019" i="57"/>
  <c r="AL1019" i="57" l="1"/>
  <c r="AK1019" i="57"/>
  <c r="AM1020" i="57"/>
  <c r="AN1020" i="57"/>
  <c r="AL1020" i="57" l="1"/>
  <c r="AK1020" i="57"/>
  <c r="AM1021" i="57"/>
  <c r="AN1021" i="57"/>
  <c r="AL1021" i="57" l="1"/>
  <c r="AK1021" i="57"/>
  <c r="AM1022" i="57"/>
  <c r="AN1022" i="57"/>
  <c r="AL1022" i="57" l="1"/>
  <c r="AK1022" i="57"/>
  <c r="AM1023" i="57"/>
  <c r="AN1023" i="57"/>
  <c r="AL1023" i="57" l="1"/>
  <c r="AK1023" i="57"/>
  <c r="AM1024" i="57"/>
  <c r="AN1024" i="57"/>
  <c r="AL1024" i="57" l="1"/>
  <c r="AK1024" i="57"/>
  <c r="AM1025" i="57"/>
  <c r="AN1025" i="57"/>
  <c r="AL1025" i="57" l="1"/>
  <c r="AK1025" i="57"/>
  <c r="AM1026" i="57"/>
  <c r="AN1026" i="57"/>
  <c r="AL1026" i="57" l="1"/>
  <c r="AK1026" i="57"/>
  <c r="AM1027" i="57"/>
  <c r="AN1027" i="57"/>
  <c r="AL1027" i="57" l="1"/>
  <c r="AK1027" i="57"/>
  <c r="AM1028" i="57"/>
  <c r="AN1028" i="57"/>
  <c r="AL1028" i="57" l="1"/>
  <c r="AK1028" i="57"/>
  <c r="AM1029" i="57"/>
  <c r="AN1029" i="57"/>
  <c r="AL1029" i="57" l="1"/>
  <c r="AK1029" i="57"/>
  <c r="AM1030" i="57"/>
  <c r="AN1030" i="57"/>
  <c r="AL1030" i="57" l="1"/>
  <c r="AK1030" i="57"/>
  <c r="AM1031" i="57"/>
  <c r="AN1031" i="57"/>
  <c r="AL1031" i="57" l="1"/>
  <c r="AK1031" i="57"/>
  <c r="AM1032" i="57"/>
  <c r="AN1032" i="57"/>
  <c r="AL1032" i="57" l="1"/>
  <c r="AK1032" i="57"/>
  <c r="AM1033" i="57"/>
  <c r="AN1033" i="57"/>
  <c r="AL1033" i="57" l="1"/>
  <c r="AK1033" i="57"/>
  <c r="AM1034" i="57"/>
  <c r="AN1034" i="57"/>
  <c r="AL1034" i="57" l="1"/>
  <c r="AK1034" i="57"/>
  <c r="AM1035" i="57"/>
  <c r="AN1035" i="57"/>
  <c r="AL1035" i="57" l="1"/>
  <c r="AK1035" i="57"/>
  <c r="AM1036" i="57"/>
  <c r="AN1036" i="57"/>
  <c r="AL1036" i="57" l="1"/>
  <c r="AK1036" i="57"/>
  <c r="AM1037" i="57"/>
  <c r="AN1037" i="57"/>
  <c r="AL1037" i="57" l="1"/>
  <c r="AK1037" i="57"/>
  <c r="AM1038" i="57"/>
  <c r="AN1038" i="57"/>
  <c r="AL1038" i="57" l="1"/>
  <c r="AK1038" i="57"/>
  <c r="AM1039" i="57"/>
  <c r="AN1039" i="57"/>
  <c r="AL1039" i="57" l="1"/>
  <c r="AK1039" i="57"/>
  <c r="AM1040" i="57"/>
  <c r="AN1040" i="57"/>
  <c r="AL1040" i="57" l="1"/>
  <c r="AK1040" i="57"/>
  <c r="AM1041" i="57"/>
  <c r="AN1041" i="57"/>
  <c r="AL1041" i="57" l="1"/>
  <c r="AK1041" i="57"/>
  <c r="AM1042" i="57"/>
  <c r="AN1042" i="57"/>
  <c r="AL1042" i="57" l="1"/>
  <c r="AK1042" i="57"/>
  <c r="AM1043" i="57"/>
  <c r="AN1043" i="57"/>
  <c r="AL1043" i="57" l="1"/>
  <c r="AK1043" i="57"/>
  <c r="AM1044" i="57"/>
  <c r="AN1044" i="57"/>
  <c r="AL1044" i="57" l="1"/>
  <c r="AK1044" i="57"/>
  <c r="AM1045" i="57"/>
  <c r="AN1045" i="57"/>
  <c r="AL1045" i="57" l="1"/>
  <c r="AK1045" i="57"/>
  <c r="AM1046" i="57"/>
  <c r="AN1046" i="57"/>
  <c r="AL1046" i="57" l="1"/>
  <c r="AK1046" i="57"/>
  <c r="AM1047" i="57"/>
  <c r="AN1047" i="57"/>
  <c r="AL1047" i="57" l="1"/>
  <c r="AK1047" i="57"/>
  <c r="AG1220" i="57"/>
  <c r="Y1220" i="57"/>
  <c r="AA1220" i="57" l="1"/>
  <c r="AB1220" i="57" s="1"/>
  <c r="Q1220" i="57"/>
  <c r="T1220" i="57" s="1"/>
  <c r="O1220" i="57"/>
  <c r="N1220" i="57"/>
  <c r="AG1219" i="57"/>
  <c r="Y1219" i="57"/>
  <c r="AA1219" i="57" l="1"/>
  <c r="AB1219" i="57" s="1"/>
  <c r="Q1219" i="57"/>
  <c r="T1219" i="57" s="1"/>
  <c r="O1219" i="57"/>
  <c r="N1219" i="57"/>
  <c r="AG1218" i="57"/>
  <c r="Y1218" i="57"/>
  <c r="AA1218" i="57" l="1"/>
  <c r="AB1218" i="57" s="1"/>
  <c r="Q1218" i="57"/>
  <c r="T1218" i="57" s="1"/>
  <c r="O1218" i="57"/>
  <c r="N1218" i="57"/>
  <c r="AG1217" i="57"/>
  <c r="Y1217" i="57"/>
  <c r="AA1217" i="57" l="1"/>
  <c r="AB1217" i="57" s="1"/>
  <c r="Q1217" i="57"/>
  <c r="T1217" i="57" s="1"/>
  <c r="O1217" i="57"/>
  <c r="N1217" i="57"/>
  <c r="AG1216" i="57"/>
  <c r="Y1216" i="57"/>
  <c r="AA1216" i="57" l="1"/>
  <c r="AB1216" i="57" s="1"/>
  <c r="T1216" i="57"/>
  <c r="O1216" i="57"/>
  <c r="N1216" i="57"/>
  <c r="AG1215" i="57"/>
  <c r="Y1215" i="57"/>
  <c r="AA1215" i="57" l="1"/>
  <c r="AB1215" i="57" s="1"/>
  <c r="Q1215" i="57"/>
  <c r="T1215" i="57" s="1"/>
  <c r="O1215" i="57"/>
  <c r="N1215" i="57"/>
  <c r="AG1214" i="57"/>
  <c r="Y1214" i="57"/>
  <c r="AA1214" i="57" l="1"/>
  <c r="AB1214" i="57" s="1"/>
  <c r="Q1214" i="57"/>
  <c r="T1214" i="57" s="1"/>
  <c r="O1214" i="57"/>
  <c r="N1214" i="57"/>
  <c r="AG1213" i="57"/>
  <c r="Y1213" i="57"/>
  <c r="AA1213" i="57" l="1"/>
  <c r="AB1213" i="57" s="1"/>
  <c r="Q1213" i="57"/>
  <c r="T1213" i="57" s="1"/>
  <c r="O1213" i="57"/>
  <c r="N1213" i="57"/>
  <c r="AG1212" i="57"/>
  <c r="Y1212" i="57"/>
  <c r="AA1212" i="57" l="1"/>
  <c r="AB1212" i="57" s="1"/>
  <c r="Q1212" i="57"/>
  <c r="T1212" i="57" s="1"/>
  <c r="O1212" i="57"/>
  <c r="N1212" i="57"/>
  <c r="AG1211" i="57"/>
  <c r="Y1211" i="57"/>
  <c r="AA1211" i="57" l="1"/>
  <c r="AB1211" i="57" s="1"/>
  <c r="Q1211" i="57"/>
  <c r="T1211" i="57" s="1"/>
  <c r="O1211" i="57"/>
  <c r="N1211" i="57"/>
  <c r="AG1210" i="57"/>
  <c r="Y1210" i="57"/>
  <c r="AA1210" i="57" l="1"/>
  <c r="AB1210" i="57" s="1"/>
  <c r="Q1210" i="57"/>
  <c r="T1210" i="57" s="1"/>
  <c r="O1210" i="57"/>
  <c r="N1210" i="57"/>
  <c r="AG1209" i="57"/>
  <c r="Y1209" i="57"/>
  <c r="AA1209" i="57" l="1"/>
  <c r="AB1209" i="57" s="1"/>
  <c r="Q1209" i="57"/>
  <c r="T1209" i="57" s="1"/>
  <c r="O1209" i="57"/>
  <c r="N1209" i="57"/>
  <c r="AG1208" i="57"/>
  <c r="Y1208" i="57"/>
  <c r="AA1208" i="57" l="1"/>
  <c r="AB1208" i="57" s="1"/>
  <c r="Q1208" i="57"/>
  <c r="T1208" i="57" s="1"/>
  <c r="O1208" i="57"/>
  <c r="N1208" i="57"/>
  <c r="AG1207" i="57"/>
  <c r="Y1207" i="57"/>
  <c r="AA1207" i="57" l="1"/>
  <c r="AB1207" i="57" s="1"/>
  <c r="Q1207" i="57"/>
  <c r="T1207" i="57" s="1"/>
  <c r="O1207" i="57"/>
  <c r="N1207" i="57"/>
  <c r="AG1206" i="57"/>
  <c r="Y1206" i="57"/>
  <c r="AA1206" i="57" l="1"/>
  <c r="AB1206" i="57" s="1"/>
  <c r="Q1206" i="57"/>
  <c r="T1206" i="57" s="1"/>
  <c r="O1206" i="57"/>
  <c r="N1206" i="57"/>
  <c r="AG1205" i="57"/>
  <c r="Y1205" i="57"/>
  <c r="AA1205" i="57" l="1"/>
  <c r="AB1205" i="57" s="1"/>
  <c r="Q1205" i="57"/>
  <c r="T1205" i="57" s="1"/>
  <c r="O1205" i="57"/>
  <c r="N1205" i="57"/>
  <c r="AG1204" i="57"/>
  <c r="Y1204" i="57"/>
  <c r="AA1204" i="57" l="1"/>
  <c r="AB1204" i="57" s="1"/>
  <c r="Q1204" i="57"/>
  <c r="T1204" i="57" s="1"/>
  <c r="O1204" i="57"/>
  <c r="N1204" i="57"/>
  <c r="AG1203" i="57"/>
  <c r="Y1203" i="57"/>
  <c r="AA1203" i="57" l="1"/>
  <c r="AB1203" i="57" s="1"/>
  <c r="Q1203" i="57"/>
  <c r="T1203" i="57" s="1"/>
  <c r="O1203" i="57"/>
  <c r="N1203" i="57"/>
  <c r="AG1202" i="57"/>
  <c r="Y1202" i="57"/>
  <c r="AA1202" i="57" l="1"/>
  <c r="AB1202" i="57" s="1"/>
  <c r="Q1202" i="57"/>
  <c r="T1202" i="57" s="1"/>
  <c r="O1202" i="57"/>
  <c r="N1202" i="57"/>
  <c r="AG1201" i="57"/>
  <c r="Y1201" i="57"/>
  <c r="AA1201" i="57" l="1"/>
  <c r="AB1201" i="57" s="1"/>
  <c r="Q1201" i="57"/>
  <c r="T1201" i="57" s="1"/>
  <c r="O1201" i="57"/>
  <c r="N1201" i="57"/>
  <c r="AG1200" i="57"/>
  <c r="Y1200" i="57"/>
  <c r="AA1200" i="57" l="1"/>
  <c r="AB1200" i="57" s="1"/>
  <c r="Q1200" i="57"/>
  <c r="T1200" i="57" s="1"/>
  <c r="O1200" i="57"/>
  <c r="N1200" i="57"/>
  <c r="AG1199" i="57"/>
  <c r="Y1199" i="57"/>
  <c r="AA1199" i="57" l="1"/>
  <c r="AB1199" i="57" s="1"/>
  <c r="Q1199" i="57"/>
  <c r="T1199" i="57" s="1"/>
  <c r="O1199" i="57"/>
  <c r="N1199" i="57"/>
  <c r="AG1198" i="57"/>
  <c r="Y1198" i="57"/>
  <c r="AA1198" i="57" l="1"/>
  <c r="AB1198" i="57" s="1"/>
  <c r="T1198" i="57"/>
  <c r="O1198" i="57"/>
  <c r="N1198" i="57"/>
  <c r="AG1197" i="57"/>
  <c r="Y1197" i="57"/>
  <c r="AA1197" i="57" l="1"/>
  <c r="AB1197" i="57" s="1"/>
  <c r="Q1197" i="57"/>
  <c r="T1197" i="57" s="1"/>
  <c r="O1197" i="57"/>
  <c r="N1197" i="57"/>
  <c r="AG1196" i="57"/>
  <c r="Y1196" i="57"/>
  <c r="AA1196" i="57" l="1"/>
  <c r="AB1196" i="57" s="1"/>
  <c r="T1196" i="57"/>
  <c r="O1196" i="57"/>
  <c r="N1196" i="57"/>
  <c r="AG1195" i="57"/>
  <c r="Y1195" i="57"/>
  <c r="AA1195" i="57" l="1"/>
  <c r="AB1195" i="57" s="1"/>
  <c r="Q1195" i="57"/>
  <c r="T1195" i="57" s="1"/>
  <c r="O1195" i="57"/>
  <c r="N1195" i="57"/>
  <c r="AG1194" i="57"/>
  <c r="Y1194" i="57"/>
  <c r="AA1194" i="57" l="1"/>
  <c r="AB1194" i="57" s="1"/>
  <c r="Q1194" i="57"/>
  <c r="T1194" i="57" s="1"/>
  <c r="O1194" i="57"/>
  <c r="N1194" i="57"/>
  <c r="AG1193" i="57"/>
  <c r="Y1193" i="57"/>
  <c r="AA1193" i="57" l="1"/>
  <c r="AB1193" i="57" s="1"/>
  <c r="T1193" i="57"/>
  <c r="O1193" i="57"/>
  <c r="N1193" i="57"/>
  <c r="AG1192" i="57"/>
  <c r="Y1192" i="57"/>
  <c r="AA1192" i="57" l="1"/>
  <c r="AB1192" i="57" s="1"/>
  <c r="Q1192" i="57"/>
  <c r="T1192" i="57" s="1"/>
  <c r="O1192" i="57"/>
  <c r="N1192" i="57"/>
  <c r="AG1191" i="57"/>
  <c r="Y1191" i="57"/>
  <c r="AA1191" i="57" l="1"/>
  <c r="AB1191" i="57" s="1"/>
  <c r="Q1191" i="57"/>
  <c r="T1191" i="57" s="1"/>
  <c r="O1191" i="57"/>
  <c r="N1191" i="57"/>
  <c r="AG1190" i="57"/>
  <c r="Y1190" i="57"/>
  <c r="AA1190" i="57" l="1"/>
  <c r="AB1190" i="57" s="1"/>
  <c r="T1190" i="57"/>
  <c r="O1190" i="57"/>
  <c r="N1190" i="57"/>
  <c r="AG1189" i="57"/>
  <c r="Y1189" i="57"/>
  <c r="AA1189" i="57" l="1"/>
  <c r="AB1189" i="57" s="1"/>
  <c r="Q1189" i="57"/>
  <c r="T1189" i="57" s="1"/>
  <c r="O1189" i="57"/>
  <c r="N1189" i="57"/>
  <c r="AG1188" i="57"/>
  <c r="Y1188" i="57"/>
  <c r="AA1188" i="57" l="1"/>
  <c r="AB1188" i="57" s="1"/>
  <c r="Q1188" i="57"/>
  <c r="T1188" i="57" s="1"/>
  <c r="O1188" i="57"/>
  <c r="N1188" i="57"/>
  <c r="AG1187" i="57"/>
  <c r="Y1187" i="57"/>
  <c r="AA1187" i="57" l="1"/>
  <c r="AB1187" i="57" s="1"/>
  <c r="T1187" i="57"/>
  <c r="O1187" i="57"/>
  <c r="N1187" i="57"/>
  <c r="AG1186" i="57"/>
  <c r="Y1186" i="57"/>
  <c r="AA1186" i="57" l="1"/>
  <c r="AB1186" i="57" s="1"/>
  <c r="T1186" i="57"/>
  <c r="O1186" i="57"/>
  <c r="N1186" i="57"/>
  <c r="AG1185" i="57"/>
  <c r="Y1185" i="57"/>
  <c r="AA1185" i="57" l="1"/>
  <c r="AB1185" i="57" s="1"/>
  <c r="Q1185" i="57"/>
  <c r="T1185" i="57" s="1"/>
  <c r="O1185" i="57"/>
  <c r="N1185" i="57"/>
  <c r="AG1184" i="57"/>
  <c r="Y1184" i="57"/>
  <c r="AA1184" i="57" l="1"/>
  <c r="AB1184" i="57" s="1"/>
  <c r="T1184" i="57"/>
  <c r="O1184" i="57"/>
  <c r="N1184" i="57"/>
  <c r="AG1183" i="57"/>
  <c r="Y1183" i="57"/>
  <c r="AA1183" i="57" l="1"/>
  <c r="AB1183" i="57" s="1"/>
  <c r="Q1183" i="57"/>
  <c r="T1183" i="57" s="1"/>
  <c r="O1183" i="57"/>
  <c r="N1183" i="57"/>
  <c r="AG1182" i="57"/>
  <c r="Y1182" i="57"/>
  <c r="AA1182" i="57" l="1"/>
  <c r="AB1182" i="57" s="1"/>
  <c r="T1182" i="57"/>
  <c r="O1182" i="57"/>
  <c r="N1182" i="57"/>
  <c r="AG1181" i="57"/>
  <c r="Y1181" i="57"/>
  <c r="AA1181" i="57" l="1"/>
  <c r="AB1181" i="57" s="1"/>
  <c r="T1181" i="57"/>
  <c r="O1181" i="57"/>
  <c r="N1181" i="57"/>
  <c r="AG1180" i="57"/>
  <c r="Y1180" i="57"/>
  <c r="AA1180" i="57" l="1"/>
  <c r="AB1180" i="57" s="1"/>
  <c r="Q1180" i="57"/>
  <c r="T1180" i="57" s="1"/>
  <c r="O1180" i="57"/>
  <c r="N1180" i="57"/>
  <c r="AG1179" i="57"/>
  <c r="Y1179" i="57"/>
  <c r="AA1179" i="57" l="1"/>
  <c r="AB1179" i="57" s="1"/>
  <c r="Q1179" i="57"/>
  <c r="T1179" i="57" s="1"/>
  <c r="O1179" i="57"/>
  <c r="N1179" i="57"/>
  <c r="AG1178" i="57"/>
  <c r="Y1178" i="57"/>
  <c r="AA1178" i="57" l="1"/>
  <c r="AB1178" i="57" s="1"/>
  <c r="T1178" i="57"/>
  <c r="O1178" i="57"/>
  <c r="N1178" i="57"/>
  <c r="AG1177" i="57"/>
  <c r="Y1177" i="57"/>
  <c r="AA1177" i="57" l="1"/>
  <c r="AB1177" i="57" s="1"/>
  <c r="Q1177" i="57"/>
  <c r="T1177" i="57" s="1"/>
  <c r="O1177" i="57"/>
  <c r="N1177" i="57"/>
  <c r="AG1176" i="57"/>
  <c r="Y1176" i="57"/>
  <c r="AA1176" i="57" l="1"/>
  <c r="AB1176" i="57" s="1"/>
  <c r="Q1176" i="57"/>
  <c r="T1176" i="57" s="1"/>
  <c r="O1176" i="57"/>
  <c r="N1176" i="57"/>
  <c r="AG1175" i="57"/>
  <c r="Y1175" i="57"/>
  <c r="AA1175" i="57" l="1"/>
  <c r="AB1175" i="57" s="1"/>
  <c r="Q1175" i="57"/>
  <c r="T1175" i="57" s="1"/>
  <c r="O1175" i="57"/>
  <c r="N1175" i="57"/>
  <c r="AG1174" i="57"/>
  <c r="Y1174" i="57"/>
  <c r="AA1174" i="57" l="1"/>
  <c r="AB1174" i="57" s="1"/>
  <c r="Q1174" i="57"/>
  <c r="T1174" i="57" s="1"/>
  <c r="O1174" i="57"/>
  <c r="N1174" i="57"/>
  <c r="AG1173" i="57"/>
  <c r="Y1173" i="57"/>
  <c r="AA1173" i="57" l="1"/>
  <c r="AB1173" i="57" s="1"/>
  <c r="Q1173" i="57"/>
  <c r="T1173" i="57" s="1"/>
  <c r="O1173" i="57"/>
  <c r="N1173" i="57"/>
  <c r="AG1172" i="57"/>
  <c r="Y1172" i="57"/>
  <c r="AA1172" i="57" l="1"/>
  <c r="AB1172" i="57" s="1"/>
  <c r="Q1172" i="57"/>
  <c r="T1172" i="57" s="1"/>
  <c r="O1172" i="57"/>
  <c r="N1172" i="57"/>
  <c r="AG1171" i="57"/>
  <c r="Y1171" i="57"/>
  <c r="AA1171" i="57" l="1"/>
  <c r="AB1171" i="57" s="1"/>
  <c r="Q1171" i="57"/>
  <c r="T1171" i="57" s="1"/>
  <c r="O1171" i="57"/>
  <c r="N1171" i="57"/>
  <c r="AG1170" i="57"/>
  <c r="Y1170" i="57"/>
  <c r="AA1170" i="57" l="1"/>
  <c r="AB1170" i="57" s="1"/>
  <c r="Q1170" i="57"/>
  <c r="T1170" i="57" s="1"/>
  <c r="O1170" i="57"/>
  <c r="N1170" i="57"/>
  <c r="AG1169" i="57"/>
  <c r="Y1169" i="57"/>
  <c r="AA1169" i="57" l="1"/>
  <c r="AB1169" i="57" s="1"/>
  <c r="Q1169" i="57"/>
  <c r="T1169" i="57" s="1"/>
  <c r="O1169" i="57"/>
  <c r="N1169" i="57"/>
  <c r="AG1168" i="57"/>
  <c r="Y1168" i="57"/>
  <c r="AA1168" i="57" l="1"/>
  <c r="AB1168" i="57" s="1"/>
  <c r="Q1168" i="57"/>
  <c r="T1168" i="57" s="1"/>
  <c r="O1168" i="57"/>
  <c r="N1168" i="57"/>
  <c r="AG1167" i="57"/>
  <c r="Y1167" i="57"/>
  <c r="AA1167" i="57" l="1"/>
  <c r="AB1167" i="57" s="1"/>
  <c r="Q1167" i="57"/>
  <c r="T1167" i="57" s="1"/>
  <c r="O1167" i="57"/>
  <c r="N1167" i="57"/>
  <c r="AG1166" i="57"/>
  <c r="Y1166" i="57"/>
  <c r="AA1166" i="57" l="1"/>
  <c r="AB1166" i="57" s="1"/>
  <c r="Q1166" i="57"/>
  <c r="T1166" i="57" s="1"/>
  <c r="O1166" i="57"/>
  <c r="N1166" i="57"/>
  <c r="AG1165" i="57"/>
  <c r="Y1165" i="57"/>
  <c r="AA1165" i="57" l="1"/>
  <c r="AB1165" i="57" s="1"/>
  <c r="Q1165" i="57"/>
  <c r="T1165" i="57" s="1"/>
  <c r="O1165" i="57"/>
  <c r="N1165" i="57"/>
  <c r="AG1164" i="57"/>
  <c r="Y1164" i="57"/>
  <c r="AA1164" i="57" l="1"/>
  <c r="AB1164" i="57" s="1"/>
  <c r="Q1164" i="57"/>
  <c r="T1164" i="57" s="1"/>
  <c r="O1164" i="57"/>
  <c r="N1164" i="57"/>
  <c r="AG1163" i="57"/>
  <c r="Y1163" i="57"/>
  <c r="AA1163" i="57" l="1"/>
  <c r="AB1163" i="57" s="1"/>
  <c r="Q1163" i="57"/>
  <c r="T1163" i="57" s="1"/>
  <c r="O1163" i="57"/>
  <c r="N1163" i="57"/>
  <c r="AG1162" i="57"/>
  <c r="Y1162" i="57"/>
  <c r="AA1162" i="57" l="1"/>
  <c r="AB1162" i="57" s="1"/>
  <c r="Q1162" i="57"/>
  <c r="T1162" i="57" s="1"/>
  <c r="O1162" i="57"/>
  <c r="N1162" i="57"/>
  <c r="AG1161" i="57"/>
  <c r="Y1161" i="57"/>
  <c r="AA1161" i="57" l="1"/>
  <c r="AB1161" i="57" s="1"/>
  <c r="Q1161" i="57"/>
  <c r="T1161" i="57" s="1"/>
  <c r="O1161" i="57"/>
  <c r="N1161" i="57"/>
  <c r="AG1160" i="57"/>
  <c r="Y1160" i="57"/>
  <c r="AA1160" i="57" l="1"/>
  <c r="AB1160" i="57" s="1"/>
  <c r="Q1160" i="57"/>
  <c r="T1160" i="57" s="1"/>
  <c r="O1160" i="57"/>
  <c r="N1160" i="57"/>
  <c r="AG1159" i="57"/>
  <c r="Y1159" i="57"/>
  <c r="AA1159" i="57" l="1"/>
  <c r="AB1159" i="57" s="1"/>
  <c r="Q1159" i="57"/>
  <c r="T1159" i="57" s="1"/>
  <c r="O1159" i="57"/>
  <c r="N1159" i="57"/>
  <c r="AG1158" i="57"/>
  <c r="Y1158" i="57"/>
  <c r="AA1158" i="57" l="1"/>
  <c r="AB1158" i="57" s="1"/>
  <c r="Q1158" i="57"/>
  <c r="T1158" i="57" s="1"/>
  <c r="O1158" i="57"/>
  <c r="N1158" i="57"/>
  <c r="AG1157" i="57"/>
  <c r="Y1157" i="57"/>
  <c r="AA1157" i="57" l="1"/>
  <c r="AB1157" i="57" s="1"/>
  <c r="Q1157" i="57"/>
  <c r="T1157" i="57" s="1"/>
  <c r="O1157" i="57"/>
  <c r="N1157" i="57"/>
  <c r="AG1156" i="57"/>
  <c r="Y1156" i="57"/>
  <c r="AA1156" i="57" l="1"/>
  <c r="AB1156" i="57" s="1"/>
  <c r="Q1156" i="57"/>
  <c r="T1156" i="57" s="1"/>
  <c r="O1156" i="57"/>
  <c r="N1156" i="57"/>
  <c r="AG1155" i="57"/>
  <c r="Y1155" i="57"/>
  <c r="AA1155" i="57" l="1"/>
  <c r="AB1155" i="57" s="1"/>
  <c r="Q1155" i="57"/>
  <c r="T1155" i="57" s="1"/>
  <c r="O1155" i="57"/>
  <c r="N1155" i="57"/>
  <c r="AG1154" i="57"/>
  <c r="Y1154" i="57"/>
  <c r="AA1154" i="57" l="1"/>
  <c r="AB1154" i="57" s="1"/>
  <c r="Q1154" i="57"/>
  <c r="T1154" i="57" s="1"/>
  <c r="O1154" i="57"/>
  <c r="N1154" i="57"/>
  <c r="AG1153" i="57"/>
  <c r="Y1153" i="57"/>
  <c r="AA1153" i="57" l="1"/>
  <c r="AB1153" i="57" s="1"/>
  <c r="Q1153" i="57"/>
  <c r="T1153" i="57" s="1"/>
  <c r="O1153" i="57"/>
  <c r="N1153" i="57"/>
  <c r="AG1152" i="57"/>
  <c r="Y1152" i="57"/>
  <c r="AA1152" i="57" l="1"/>
  <c r="AB1152" i="57" s="1"/>
  <c r="Q1152" i="57"/>
  <c r="T1152" i="57" s="1"/>
  <c r="O1152" i="57"/>
  <c r="N1152" i="57"/>
  <c r="AG1151" i="57"/>
  <c r="Y1151" i="57"/>
  <c r="AA1151" i="57" l="1"/>
  <c r="AB1151" i="57" s="1"/>
  <c r="Q1151" i="57"/>
  <c r="T1151" i="57" s="1"/>
  <c r="O1151" i="57"/>
  <c r="N1151" i="57"/>
  <c r="AG1150" i="57"/>
  <c r="Y1150" i="57"/>
  <c r="AA1150" i="57" l="1"/>
  <c r="AB1150" i="57" s="1"/>
  <c r="Q1150" i="57"/>
  <c r="T1150" i="57" s="1"/>
  <c r="O1150" i="57"/>
  <c r="N1150" i="57"/>
  <c r="AG1149" i="57"/>
  <c r="Y1149" i="57"/>
  <c r="AA1149" i="57" l="1"/>
  <c r="AB1149" i="57" s="1"/>
  <c r="Q1149" i="57"/>
  <c r="T1149" i="57" s="1"/>
  <c r="O1149" i="57"/>
  <c r="N1149" i="57"/>
  <c r="AG1148" i="57"/>
  <c r="Y1148" i="57"/>
  <c r="AA1148" i="57" l="1"/>
  <c r="AB1148" i="57" s="1"/>
  <c r="Q1148" i="57"/>
  <c r="T1148" i="57" s="1"/>
  <c r="O1148" i="57"/>
  <c r="N1148" i="57"/>
  <c r="AG1147" i="57"/>
  <c r="Y1147" i="57"/>
  <c r="AA1147" i="57" l="1"/>
  <c r="AB1147" i="57" s="1"/>
  <c r="T1147" i="57"/>
  <c r="O1147" i="57"/>
  <c r="N1147" i="57"/>
  <c r="AG1146" i="57"/>
  <c r="Y1146" i="57"/>
  <c r="AA1146" i="57" l="1"/>
  <c r="AB1146" i="57" s="1"/>
  <c r="Q1146" i="57"/>
  <c r="T1146" i="57" s="1"/>
  <c r="O1146" i="57"/>
  <c r="N1146" i="57"/>
  <c r="AG1145" i="57"/>
  <c r="Y1145" i="57"/>
  <c r="AA1145" i="57" l="1"/>
  <c r="AB1145" i="57" s="1"/>
  <c r="T1145" i="57"/>
  <c r="O1145" i="57"/>
  <c r="N1145" i="57"/>
  <c r="AG1144" i="57"/>
  <c r="Y1144" i="57"/>
  <c r="AA1144" i="57" l="1"/>
  <c r="AB1144" i="57" s="1"/>
  <c r="Q1144" i="57"/>
  <c r="T1144" i="57" s="1"/>
  <c r="O1144" i="57"/>
  <c r="N1144" i="57"/>
  <c r="AG1143" i="57"/>
  <c r="Y1143" i="57"/>
  <c r="AA1143" i="57" l="1"/>
  <c r="AB1143" i="57" s="1"/>
  <c r="Q1143" i="57"/>
  <c r="T1143" i="57" s="1"/>
  <c r="O1143" i="57"/>
  <c r="N1143" i="57"/>
  <c r="AG1142" i="57"/>
  <c r="Y1142" i="57"/>
  <c r="AA1142" i="57" l="1"/>
  <c r="AB1142" i="57" s="1"/>
  <c r="Q1142" i="57"/>
  <c r="T1142" i="57" s="1"/>
  <c r="O1142" i="57"/>
  <c r="N1142" i="57"/>
  <c r="AG1141" i="57"/>
  <c r="Y1141" i="57"/>
  <c r="AA1141" i="57" l="1"/>
  <c r="AB1141" i="57" s="1"/>
  <c r="Q1141" i="57"/>
  <c r="T1141" i="57" s="1"/>
  <c r="O1141" i="57"/>
  <c r="N1141" i="57"/>
  <c r="AG1140" i="57"/>
  <c r="Y1140" i="57"/>
  <c r="AA1140" i="57" l="1"/>
  <c r="AB1140" i="57" s="1"/>
  <c r="Q1140" i="57"/>
  <c r="T1140" i="57" s="1"/>
  <c r="O1140" i="57"/>
  <c r="N1140" i="57"/>
  <c r="AG1139" i="57"/>
  <c r="Y1139" i="57"/>
  <c r="AA1139" i="57" l="1"/>
  <c r="AB1139" i="57" s="1"/>
  <c r="Q1139" i="57"/>
  <c r="T1139" i="57" s="1"/>
  <c r="O1139" i="57"/>
  <c r="N1139" i="57"/>
  <c r="AG1138" i="57"/>
  <c r="Y1138" i="57"/>
  <c r="AA1138" i="57" l="1"/>
  <c r="AB1138" i="57" s="1"/>
  <c r="Q1138" i="57"/>
  <c r="T1138" i="57" s="1"/>
  <c r="O1138" i="57"/>
  <c r="N1138" i="57"/>
  <c r="AG1137" i="57"/>
  <c r="Y1137" i="57"/>
  <c r="AA1137" i="57" l="1"/>
  <c r="AB1137" i="57" s="1"/>
  <c r="Q1137" i="57"/>
  <c r="T1137" i="57" s="1"/>
  <c r="O1137" i="57"/>
  <c r="N1137" i="57"/>
  <c r="AG1136" i="57"/>
  <c r="Y1136" i="57"/>
  <c r="AA1136" i="57" l="1"/>
  <c r="AB1136" i="57" s="1"/>
  <c r="Q1136" i="57"/>
  <c r="T1136" i="57" s="1"/>
  <c r="O1136" i="57"/>
  <c r="N1136" i="57"/>
  <c r="AG1135" i="57"/>
  <c r="Y1135" i="57"/>
  <c r="AA1135" i="57" l="1"/>
  <c r="AB1135" i="57" s="1"/>
  <c r="Q1135" i="57"/>
  <c r="T1135" i="57" s="1"/>
  <c r="O1135" i="57"/>
  <c r="N1135" i="57"/>
  <c r="AG1134" i="57"/>
  <c r="Y1134" i="57"/>
  <c r="AA1134" i="57" l="1"/>
  <c r="AB1134" i="57" s="1"/>
  <c r="Q1134" i="57"/>
  <c r="T1134" i="57" s="1"/>
  <c r="O1134" i="57"/>
  <c r="N1134" i="57"/>
  <c r="AG1133" i="57"/>
  <c r="Y1133" i="57"/>
  <c r="AA1133" i="57" l="1"/>
  <c r="AB1133" i="57" s="1"/>
  <c r="Q1133" i="57"/>
  <c r="T1133" i="57" s="1"/>
  <c r="O1133" i="57"/>
  <c r="N1133" i="57"/>
  <c r="AG1132" i="57"/>
  <c r="Y1132" i="57"/>
  <c r="AA1132" i="57" l="1"/>
  <c r="AB1132" i="57" s="1"/>
  <c r="T1132" i="57"/>
  <c r="O1132" i="57"/>
  <c r="N1132" i="57"/>
  <c r="AG1131" i="57"/>
  <c r="Y1131" i="57"/>
  <c r="AA1131" i="57" l="1"/>
  <c r="AB1131" i="57" s="1"/>
  <c r="Q1131" i="57"/>
  <c r="T1131" i="57" s="1"/>
  <c r="O1131" i="57"/>
  <c r="N1131" i="57"/>
  <c r="AG1130" i="57"/>
  <c r="Y1130" i="57"/>
  <c r="AA1130" i="57" l="1"/>
  <c r="AB1130" i="57" s="1"/>
  <c r="T1130" i="57"/>
  <c r="O1130" i="57"/>
  <c r="N1130" i="57"/>
  <c r="AG1129" i="57"/>
  <c r="Y1129" i="57"/>
  <c r="AA1129" i="57" l="1"/>
  <c r="AB1129" i="57" s="1"/>
  <c r="Q1129" i="57"/>
  <c r="T1129" i="57" s="1"/>
  <c r="O1129" i="57"/>
  <c r="N1129" i="57"/>
  <c r="AG1128" i="57"/>
  <c r="Y1128" i="57"/>
  <c r="AA1128" i="57" l="1"/>
  <c r="AB1128" i="57" s="1"/>
  <c r="Q1128" i="57"/>
  <c r="T1128" i="57" s="1"/>
  <c r="O1128" i="57"/>
  <c r="N1128" i="57"/>
  <c r="AG1127" i="57"/>
  <c r="Y1127" i="57"/>
  <c r="AA1127" i="57" l="1"/>
  <c r="AB1127" i="57" s="1"/>
  <c r="Q1127" i="57"/>
  <c r="T1127" i="57" s="1"/>
  <c r="O1127" i="57"/>
  <c r="N1127" i="57"/>
  <c r="AG1126" i="57"/>
  <c r="Y1126" i="57"/>
  <c r="AA1126" i="57" l="1"/>
  <c r="AB1126" i="57" s="1"/>
  <c r="Q1126" i="57"/>
  <c r="T1126" i="57" s="1"/>
  <c r="O1126" i="57"/>
  <c r="N1126" i="57"/>
  <c r="AG1125" i="57"/>
  <c r="Y1125" i="57"/>
  <c r="AA1125" i="57" l="1"/>
  <c r="AB1125" i="57" s="1"/>
  <c r="Q1125" i="57"/>
  <c r="T1125" i="57" s="1"/>
  <c r="O1125" i="57"/>
  <c r="N1125" i="57"/>
  <c r="AG1124" i="57"/>
  <c r="Y1124" i="57"/>
  <c r="AA1124" i="57" l="1"/>
  <c r="AB1124" i="57" s="1"/>
  <c r="T1124" i="57"/>
  <c r="O1124" i="57"/>
  <c r="N1124" i="57"/>
  <c r="AG1123" i="57"/>
  <c r="Y1123" i="57"/>
  <c r="AA1123" i="57" l="1"/>
  <c r="AB1123" i="57" s="1"/>
  <c r="Q1123" i="57"/>
  <c r="T1123" i="57" s="1"/>
  <c r="O1123" i="57"/>
  <c r="N1123" i="57"/>
  <c r="AG1122" i="57"/>
  <c r="Y1122" i="57"/>
  <c r="AA1122" i="57" l="1"/>
  <c r="AB1122" i="57" s="1"/>
  <c r="Q1122" i="57"/>
  <c r="T1122" i="57" s="1"/>
  <c r="O1122" i="57"/>
  <c r="N1122" i="57"/>
  <c r="AG1121" i="57"/>
  <c r="Y1121" i="57"/>
  <c r="AA1121" i="57" l="1"/>
  <c r="AB1121" i="57" s="1"/>
  <c r="Q1121" i="57"/>
  <c r="T1121" i="57" s="1"/>
  <c r="O1121" i="57"/>
  <c r="N1121" i="57"/>
  <c r="AG1120" i="57"/>
  <c r="Y1120" i="57"/>
  <c r="AA1120" i="57" l="1"/>
  <c r="AB1120" i="57" s="1"/>
  <c r="Q1120" i="57"/>
  <c r="T1120" i="57" s="1"/>
  <c r="O1120" i="57"/>
  <c r="N1120" i="57"/>
  <c r="AG1119" i="57"/>
  <c r="Y1119" i="57"/>
  <c r="AA1119" i="57" l="1"/>
  <c r="AB1119" i="57" s="1"/>
  <c r="Q1119" i="57"/>
  <c r="T1119" i="57" s="1"/>
  <c r="O1119" i="57"/>
  <c r="N1119" i="57"/>
  <c r="AG1118" i="57"/>
  <c r="Y1118" i="57"/>
  <c r="AA1118" i="57" l="1"/>
  <c r="AB1118" i="57" s="1"/>
  <c r="Q1118" i="57"/>
  <c r="T1118" i="57" s="1"/>
  <c r="O1118" i="57"/>
  <c r="N1118" i="57"/>
  <c r="AG1117" i="57"/>
  <c r="Y1117" i="57"/>
  <c r="AA1117" i="57" l="1"/>
  <c r="AB1117" i="57" s="1"/>
  <c r="Q1117" i="57"/>
  <c r="T1117" i="57" s="1"/>
  <c r="O1117" i="57"/>
  <c r="N1117" i="57"/>
  <c r="AG1116" i="57"/>
  <c r="Y1116" i="57"/>
  <c r="AA1116" i="57" l="1"/>
  <c r="AB1116" i="57" s="1"/>
  <c r="Q1116" i="57"/>
  <c r="T1116" i="57" s="1"/>
  <c r="O1116" i="57"/>
  <c r="N1116" i="57"/>
  <c r="AG1115" i="57"/>
  <c r="Y1115" i="57"/>
  <c r="AA1115" i="57" l="1"/>
  <c r="AB1115" i="57" s="1"/>
  <c r="Q1115" i="57"/>
  <c r="T1115" i="57" s="1"/>
  <c r="O1115" i="57"/>
  <c r="N1115" i="57"/>
  <c r="AG1114" i="57"/>
  <c r="Y1114" i="57"/>
  <c r="AA1114" i="57" l="1"/>
  <c r="AB1114" i="57" s="1"/>
  <c r="Q1114" i="57"/>
  <c r="T1114" i="57" s="1"/>
  <c r="O1114" i="57"/>
  <c r="N1114" i="57"/>
  <c r="AG1113" i="57"/>
  <c r="Y1113" i="57"/>
  <c r="AA1113" i="57" l="1"/>
  <c r="AB1113" i="57" s="1"/>
  <c r="Q1113" i="57"/>
  <c r="T1113" i="57" s="1"/>
  <c r="O1113" i="57"/>
  <c r="N1113" i="57"/>
  <c r="AG1112" i="57"/>
  <c r="Y1112" i="57"/>
  <c r="AA1112" i="57" l="1"/>
  <c r="AB1112" i="57" s="1"/>
  <c r="T1112" i="57"/>
  <c r="O1112" i="57"/>
  <c r="N1112" i="57"/>
  <c r="AG1111" i="57"/>
  <c r="Y1111" i="57"/>
  <c r="AA1111" i="57" l="1"/>
  <c r="AB1111" i="57" s="1"/>
  <c r="Q1111" i="57"/>
  <c r="T1111" i="57" s="1"/>
  <c r="O1111" i="57"/>
  <c r="N1111" i="57"/>
  <c r="AG1110" i="57"/>
  <c r="Y1110" i="57"/>
  <c r="AA1110" i="57" l="1"/>
  <c r="AB1110" i="57" s="1"/>
  <c r="Q1110" i="57"/>
  <c r="T1110" i="57" s="1"/>
  <c r="O1110" i="57"/>
  <c r="N1110" i="57"/>
  <c r="AG1109" i="57"/>
  <c r="Y1109" i="57"/>
  <c r="AA1109" i="57" l="1"/>
  <c r="AB1109" i="57" s="1"/>
  <c r="T1109" i="57"/>
  <c r="O1109" i="57"/>
  <c r="N1109" i="57"/>
  <c r="AG1108" i="57"/>
  <c r="Y1108" i="57"/>
  <c r="AA1108" i="57" l="1"/>
  <c r="AB1108" i="57" s="1"/>
  <c r="Q1108" i="57"/>
  <c r="T1108" i="57" s="1"/>
  <c r="O1108" i="57"/>
  <c r="N1108" i="57"/>
  <c r="AG1107" i="57"/>
  <c r="Y1107" i="57"/>
  <c r="AA1107" i="57" l="1"/>
  <c r="AB1107" i="57" s="1"/>
  <c r="Q1107" i="57"/>
  <c r="T1107" i="57" s="1"/>
  <c r="O1107" i="57"/>
  <c r="N1107" i="57"/>
  <c r="AG1106" i="57"/>
  <c r="Y1106" i="57"/>
  <c r="AA1106" i="57" l="1"/>
  <c r="AB1106" i="57" s="1"/>
  <c r="Q1106" i="57"/>
  <c r="T1106" i="57" s="1"/>
  <c r="O1106" i="57"/>
  <c r="N1106" i="57"/>
  <c r="AG1105" i="57"/>
  <c r="Y1105" i="57"/>
  <c r="AA1105" i="57" l="1"/>
  <c r="AB1105" i="57" s="1"/>
  <c r="Q1105" i="57"/>
  <c r="T1105" i="57" s="1"/>
  <c r="O1105" i="57"/>
  <c r="N1105" i="57"/>
  <c r="AG1104" i="57"/>
  <c r="Y1104" i="57"/>
  <c r="AA1104" i="57" l="1"/>
  <c r="AB1104" i="57" s="1"/>
  <c r="T1104" i="57"/>
  <c r="O1104" i="57"/>
  <c r="N1104" i="57"/>
  <c r="AG1103" i="57"/>
  <c r="Y1103" i="57"/>
  <c r="AA1103" i="57" l="1"/>
  <c r="AB1103" i="57" s="1"/>
  <c r="Q1103" i="57"/>
  <c r="T1103" i="57" s="1"/>
  <c r="O1103" i="57"/>
  <c r="N1103" i="57"/>
  <c r="AG1102" i="57"/>
  <c r="Y1102" i="57"/>
  <c r="AA1102" i="57" l="1"/>
  <c r="AB1102" i="57" s="1"/>
  <c r="T1102" i="57"/>
  <c r="O1102" i="57"/>
  <c r="N1102" i="57"/>
  <c r="AG1101" i="57"/>
  <c r="Y1101" i="57"/>
  <c r="AA1101" i="57" l="1"/>
  <c r="AB1101" i="57" s="1"/>
  <c r="T1101" i="57"/>
  <c r="O1101" i="57"/>
  <c r="N1101" i="57"/>
  <c r="AG1100" i="57"/>
  <c r="Y1100" i="57"/>
  <c r="AA1100" i="57" l="1"/>
  <c r="AB1100" i="57" s="1"/>
  <c r="Q1100" i="57"/>
  <c r="T1100" i="57" s="1"/>
  <c r="O1100" i="57"/>
  <c r="N1100" i="57"/>
  <c r="AG1099" i="57"/>
  <c r="Y1099" i="57"/>
  <c r="AA1099" i="57" l="1"/>
  <c r="AB1099" i="57" s="1"/>
  <c r="T1099" i="57"/>
  <c r="O1099" i="57"/>
  <c r="N1099" i="57"/>
  <c r="AG1098" i="57"/>
  <c r="Y1098" i="57"/>
  <c r="AA1098" i="57" l="1"/>
  <c r="AB1098" i="57" s="1"/>
  <c r="Q1098" i="57"/>
  <c r="T1098" i="57" s="1"/>
  <c r="O1098" i="57"/>
  <c r="N1098" i="57"/>
  <c r="AG1097" i="57"/>
  <c r="Y1097" i="57"/>
  <c r="AA1097" i="57" l="1"/>
  <c r="AB1097" i="57" s="1"/>
  <c r="Q1097" i="57"/>
  <c r="T1097" i="57" s="1"/>
  <c r="O1097" i="57"/>
  <c r="N1097" i="57"/>
  <c r="AG1096" i="57"/>
  <c r="Y1096" i="57"/>
  <c r="AA1096" i="57" l="1"/>
  <c r="AB1096" i="57" s="1"/>
  <c r="Q1096" i="57"/>
  <c r="T1096" i="57" s="1"/>
  <c r="O1096" i="57"/>
  <c r="N1096" i="57"/>
  <c r="AG1095" i="57"/>
  <c r="Y1095" i="57"/>
  <c r="AA1095" i="57" l="1"/>
  <c r="AB1095" i="57" s="1"/>
  <c r="Q1095" i="57"/>
  <c r="T1095" i="57" s="1"/>
  <c r="O1095" i="57"/>
  <c r="N1095" i="57"/>
  <c r="AG1094" i="57"/>
  <c r="Y1094" i="57"/>
  <c r="AA1094" i="57" l="1"/>
  <c r="AB1094" i="57" s="1"/>
  <c r="Q1094" i="57"/>
  <c r="T1094" i="57" s="1"/>
  <c r="O1094" i="57"/>
  <c r="N1094" i="57"/>
  <c r="AG1093" i="57"/>
  <c r="Y1093" i="57"/>
  <c r="AA1093" i="57" l="1"/>
  <c r="AB1093" i="57" s="1"/>
  <c r="T1093" i="57"/>
  <c r="O1093" i="57"/>
  <c r="N1093" i="57"/>
  <c r="AG1092" i="57"/>
  <c r="Y1092" i="57"/>
  <c r="AA1092" i="57" l="1"/>
  <c r="AB1092" i="57" s="1"/>
  <c r="Q1092" i="57"/>
  <c r="T1092" i="57" s="1"/>
  <c r="O1092" i="57"/>
  <c r="N1092" i="57"/>
  <c r="AG1091" i="57"/>
  <c r="Y1091" i="57"/>
  <c r="AA1091" i="57" l="1"/>
  <c r="AB1091" i="57" s="1"/>
  <c r="T1091" i="57"/>
  <c r="O1091" i="57"/>
  <c r="N1091" i="57"/>
  <c r="AG1090" i="57"/>
  <c r="Y1090" i="57"/>
  <c r="AA1090" i="57" l="1"/>
  <c r="AB1090" i="57" s="1"/>
  <c r="Q1090" i="57"/>
  <c r="T1090" i="57" s="1"/>
  <c r="O1090" i="57"/>
  <c r="N1090" i="57"/>
  <c r="AG1089" i="57"/>
  <c r="Y1089" i="57"/>
  <c r="AA1089" i="57" l="1"/>
  <c r="AB1089" i="57" s="1"/>
  <c r="Q1089" i="57"/>
  <c r="T1089" i="57" s="1"/>
  <c r="O1089" i="57"/>
  <c r="N1089" i="57"/>
  <c r="AG1088" i="57"/>
  <c r="Y1088" i="57"/>
  <c r="AA1088" i="57" l="1"/>
  <c r="AB1088" i="57" s="1"/>
  <c r="Q1088" i="57"/>
  <c r="T1088" i="57" s="1"/>
  <c r="O1088" i="57"/>
  <c r="N1088" i="57"/>
  <c r="AG1087" i="57"/>
  <c r="Y1087" i="57"/>
  <c r="AA1087" i="57" l="1"/>
  <c r="AB1087" i="57" s="1"/>
  <c r="Q1087" i="57"/>
  <c r="T1087" i="57" s="1"/>
  <c r="O1087" i="57"/>
  <c r="N1087" i="57"/>
  <c r="AG1086" i="57"/>
  <c r="Y1086" i="57"/>
  <c r="AA1086" i="57" l="1"/>
  <c r="AB1086" i="57" s="1"/>
  <c r="Q1086" i="57"/>
  <c r="T1086" i="57" s="1"/>
  <c r="O1086" i="57"/>
  <c r="N1086" i="57"/>
  <c r="AG1085" i="57"/>
  <c r="Y1085" i="57"/>
  <c r="AA1085" i="57" l="1"/>
  <c r="AB1085" i="57" s="1"/>
  <c r="Q1085" i="57"/>
  <c r="T1085" i="57" s="1"/>
  <c r="O1085" i="57"/>
  <c r="N1085" i="57"/>
  <c r="AG1084" i="57"/>
  <c r="Y1084" i="57"/>
  <c r="AA1084" i="57" l="1"/>
  <c r="AB1084" i="57" s="1"/>
  <c r="Q1084" i="57"/>
  <c r="T1084" i="57" s="1"/>
  <c r="O1084" i="57"/>
  <c r="N1084" i="57"/>
  <c r="AG1083" i="57"/>
  <c r="Y1083" i="57"/>
  <c r="AA1083" i="57" l="1"/>
  <c r="AB1083" i="57" s="1"/>
  <c r="Q1083" i="57"/>
  <c r="T1083" i="57" s="1"/>
  <c r="O1083" i="57"/>
  <c r="N1083" i="57"/>
  <c r="AG1082" i="57"/>
  <c r="Y1082" i="57"/>
  <c r="AA1082" i="57" l="1"/>
  <c r="AB1082" i="57" s="1"/>
  <c r="Q1082" i="57"/>
  <c r="T1082" i="57" s="1"/>
  <c r="O1082" i="57"/>
  <c r="N1082" i="57"/>
  <c r="AG1081" i="57"/>
  <c r="Y1081" i="57"/>
  <c r="AA1081" i="57" l="1"/>
  <c r="AB1081" i="57" s="1"/>
  <c r="Q1081" i="57"/>
  <c r="T1081" i="57" s="1"/>
  <c r="O1081" i="57"/>
  <c r="N1081" i="57"/>
  <c r="AG1080" i="57"/>
  <c r="Y1080" i="57"/>
  <c r="AA1080" i="57" l="1"/>
  <c r="AB1080" i="57" s="1"/>
  <c r="Q1080" i="57"/>
  <c r="T1080" i="57" s="1"/>
  <c r="O1080" i="57"/>
  <c r="N1080" i="57"/>
  <c r="AG1079" i="57"/>
  <c r="Y1079" i="57"/>
  <c r="AA1079" i="57" l="1"/>
  <c r="AB1079" i="57" s="1"/>
  <c r="Q1079" i="57"/>
  <c r="T1079" i="57" s="1"/>
  <c r="O1079" i="57"/>
  <c r="N1079" i="57"/>
  <c r="AG1078" i="57"/>
  <c r="Y1078" i="57"/>
  <c r="AA1078" i="57" l="1"/>
  <c r="AB1078" i="57" s="1"/>
  <c r="Q1078" i="57"/>
  <c r="T1078" i="57" s="1"/>
  <c r="O1078" i="57"/>
  <c r="N1078" i="57"/>
  <c r="AG1077" i="57"/>
  <c r="Y1077" i="57"/>
  <c r="AA1077" i="57" l="1"/>
  <c r="AB1077" i="57" s="1"/>
  <c r="Q1077" i="57"/>
  <c r="T1077" i="57" s="1"/>
  <c r="O1077" i="57"/>
  <c r="N1077" i="57"/>
  <c r="AG1076" i="57"/>
  <c r="Y1076" i="57"/>
  <c r="AA1076" i="57" l="1"/>
  <c r="AB1076" i="57" s="1"/>
  <c r="Q1076" i="57"/>
  <c r="T1076" i="57" s="1"/>
  <c r="O1076" i="57"/>
  <c r="N1076" i="57"/>
  <c r="AG1075" i="57"/>
  <c r="Y1075" i="57"/>
  <c r="AA1075" i="57" l="1"/>
  <c r="AB1075" i="57" s="1"/>
  <c r="Q1075" i="57"/>
  <c r="T1075" i="57" s="1"/>
  <c r="O1075" i="57"/>
  <c r="N1075" i="57"/>
  <c r="AG1074" i="57"/>
  <c r="Y1074" i="57"/>
  <c r="AA1074" i="57" l="1"/>
  <c r="AB1074" i="57" s="1"/>
  <c r="Q1074" i="57"/>
  <c r="T1074" i="57" s="1"/>
  <c r="O1074" i="57"/>
  <c r="N1074" i="57"/>
  <c r="AG1073" i="57"/>
  <c r="Y1073" i="57"/>
  <c r="AA1073" i="57" l="1"/>
  <c r="AB1073" i="57" s="1"/>
  <c r="Q1073" i="57"/>
  <c r="T1073" i="57" s="1"/>
  <c r="O1073" i="57"/>
  <c r="N1073" i="57"/>
  <c r="AG1072" i="57"/>
  <c r="Y1072" i="57"/>
  <c r="AA1072" i="57" l="1"/>
  <c r="AB1072" i="57" s="1"/>
  <c r="Q1072" i="57"/>
  <c r="T1072" i="57" s="1"/>
  <c r="O1072" i="57"/>
  <c r="N1072" i="57"/>
  <c r="AG1071" i="57"/>
  <c r="Y1071" i="57"/>
  <c r="AA1071" i="57" l="1"/>
  <c r="AB1071" i="57" s="1"/>
  <c r="Q1071" i="57"/>
  <c r="T1071" i="57" s="1"/>
  <c r="O1071" i="57"/>
  <c r="N1071" i="57"/>
  <c r="AG1070" i="57"/>
  <c r="Y1070" i="57"/>
  <c r="AA1070" i="57" l="1"/>
  <c r="AB1070" i="57" s="1"/>
  <c r="Q1070" i="57"/>
  <c r="T1070" i="57" s="1"/>
  <c r="O1070" i="57"/>
  <c r="N1070" i="57"/>
  <c r="AG1069" i="57"/>
  <c r="Y1069" i="57"/>
  <c r="AA1069" i="57" l="1"/>
  <c r="AB1069" i="57" s="1"/>
  <c r="Q1069" i="57"/>
  <c r="T1069" i="57" s="1"/>
  <c r="O1069" i="57"/>
  <c r="N1069" i="57"/>
  <c r="AG1068" i="57"/>
  <c r="Y1068" i="57"/>
  <c r="AA1068" i="57" l="1"/>
  <c r="AB1068" i="57" s="1"/>
  <c r="Q1068" i="57"/>
  <c r="T1068" i="57" s="1"/>
  <c r="O1068" i="57"/>
  <c r="N1068" i="57"/>
  <c r="AG1067" i="57"/>
  <c r="Y1067" i="57"/>
  <c r="AA1067" i="57" l="1"/>
  <c r="AB1067" i="57" s="1"/>
  <c r="T1067" i="57"/>
  <c r="O1067" i="57"/>
  <c r="N1067" i="57"/>
  <c r="AG1066" i="57"/>
  <c r="Y1066" i="57"/>
  <c r="AA1066" i="57" l="1"/>
  <c r="AB1066" i="57" s="1"/>
  <c r="T1066" i="57"/>
  <c r="O1066" i="57"/>
  <c r="N1066" i="57"/>
  <c r="AG1065" i="57"/>
  <c r="Y1065" i="57"/>
  <c r="AA1065" i="57" l="1"/>
  <c r="AB1065" i="57" s="1"/>
  <c r="Q1065" i="57"/>
  <c r="T1065" i="57" s="1"/>
  <c r="O1065" i="57"/>
  <c r="N1065" i="57"/>
  <c r="AG1064" i="57"/>
  <c r="Y1064" i="57"/>
  <c r="AA1064" i="57" l="1"/>
  <c r="AB1064" i="57" s="1"/>
  <c r="T1064" i="57"/>
  <c r="O1064" i="57"/>
  <c r="N1064" i="57"/>
  <c r="AG1063" i="57"/>
  <c r="Y1063" i="57"/>
  <c r="AA1063" i="57" l="1"/>
  <c r="AB1063" i="57" s="1"/>
  <c r="T1063" i="57"/>
  <c r="O1063" i="57"/>
  <c r="N1063" i="57"/>
  <c r="AG1062" i="57"/>
  <c r="Y1062" i="57"/>
  <c r="AA1062" i="57" l="1"/>
  <c r="AB1062" i="57" s="1"/>
  <c r="T1062" i="57"/>
  <c r="O1062" i="57"/>
  <c r="N1062" i="57"/>
  <c r="AG1061" i="57"/>
  <c r="Y1061" i="57"/>
  <c r="AA1061" i="57" l="1"/>
  <c r="AB1061" i="57" s="1"/>
  <c r="T1061" i="57"/>
  <c r="O1061" i="57"/>
  <c r="N1061" i="57"/>
  <c r="AG1060" i="57"/>
  <c r="Y1060" i="57"/>
  <c r="AA1060" i="57" l="1"/>
  <c r="AB1060" i="57" s="1"/>
  <c r="Q1060" i="57"/>
  <c r="T1060" i="57" s="1"/>
  <c r="O1060" i="57"/>
  <c r="N1060" i="57"/>
  <c r="AG1059" i="57"/>
  <c r="Y1059" i="57"/>
  <c r="AA1059" i="57" l="1"/>
  <c r="AB1059" i="57" s="1"/>
  <c r="Q1059" i="57"/>
  <c r="T1059" i="57" s="1"/>
  <c r="O1059" i="57"/>
  <c r="N1059" i="57"/>
  <c r="AG1058" i="57"/>
  <c r="Y1058" i="57"/>
  <c r="AA1058" i="57" l="1"/>
  <c r="AB1058" i="57" s="1"/>
  <c r="T1058" i="57"/>
  <c r="O1058" i="57"/>
  <c r="N1058" i="57"/>
  <c r="AG1057" i="57"/>
  <c r="Y1057" i="57"/>
  <c r="AA1057" i="57" l="1"/>
  <c r="AB1057" i="57" s="1"/>
  <c r="Q1057" i="57"/>
  <c r="T1057" i="57" s="1"/>
  <c r="O1057" i="57"/>
  <c r="N1057" i="57"/>
  <c r="AG1056" i="57"/>
  <c r="Y1056" i="57"/>
  <c r="AA1056" i="57" l="1"/>
  <c r="AB1056" i="57" s="1"/>
  <c r="Q1056" i="57"/>
  <c r="T1056" i="57" s="1"/>
  <c r="O1056" i="57"/>
  <c r="N1056" i="57"/>
  <c r="AG1055" i="57"/>
  <c r="Y1055" i="57"/>
  <c r="AA1055" i="57" l="1"/>
  <c r="AB1055" i="57" s="1"/>
  <c r="Q1055" i="57"/>
  <c r="T1055" i="57" s="1"/>
  <c r="O1055" i="57"/>
  <c r="N1055" i="57"/>
  <c r="AG1054" i="57"/>
  <c r="Y1054" i="57"/>
  <c r="AA1054" i="57" l="1"/>
  <c r="AB1054" i="57" s="1"/>
  <c r="Q1054" i="57"/>
  <c r="T1054" i="57" s="1"/>
  <c r="O1054" i="57"/>
  <c r="N1054" i="57"/>
  <c r="AG1053" i="57"/>
  <c r="Y1053" i="57"/>
  <c r="AA1053" i="57" l="1"/>
  <c r="AB1053" i="57" s="1"/>
  <c r="Q1053" i="57"/>
  <c r="T1053" i="57" s="1"/>
  <c r="O1053" i="57"/>
  <c r="N1053" i="57"/>
  <c r="AG1052" i="57"/>
  <c r="Y1052" i="57"/>
  <c r="AA1052" i="57" l="1"/>
  <c r="AB1052" i="57" s="1"/>
  <c r="Q1052" i="57"/>
  <c r="T1052" i="57" s="1"/>
  <c r="O1052" i="57"/>
  <c r="N1052" i="57"/>
  <c r="AG1051" i="57"/>
  <c r="Y1051" i="57"/>
  <c r="AA1051" i="57" l="1"/>
  <c r="AB1051" i="57" s="1"/>
  <c r="T1051" i="57"/>
  <c r="O1051" i="57"/>
  <c r="N1051" i="57"/>
  <c r="AG1050" i="57"/>
  <c r="Y1050" i="57"/>
  <c r="AA1050" i="57" l="1"/>
  <c r="AB1050" i="57" s="1"/>
  <c r="Q1050" i="57"/>
  <c r="T1050" i="57" s="1"/>
  <c r="O1050" i="57"/>
  <c r="N1050" i="57"/>
  <c r="AG1049" i="57"/>
  <c r="Y1049" i="57"/>
  <c r="AA1049" i="57" l="1"/>
  <c r="AB1049" i="57" s="1"/>
  <c r="Q1049" i="57"/>
  <c r="T1049" i="57" s="1"/>
  <c r="O1049" i="57"/>
  <c r="N1049" i="57"/>
  <c r="AG1048" i="57"/>
  <c r="Y1048" i="57"/>
  <c r="AA1048" i="57" l="1"/>
  <c r="AB1048" i="57" s="1"/>
  <c r="Q1048" i="57"/>
  <c r="T1048" i="57" s="1"/>
  <c r="O1048" i="57"/>
  <c r="N1048" i="57"/>
  <c r="AG1047" i="57"/>
  <c r="Y1047" i="57"/>
  <c r="AA1047" i="57" l="1"/>
  <c r="AB1047" i="57" s="1"/>
  <c r="T1047" i="57"/>
  <c r="O1047" i="57"/>
  <c r="N1047" i="57"/>
  <c r="AG1046" i="57"/>
  <c r="Y1046" i="57"/>
  <c r="AA1046" i="57" l="1"/>
  <c r="AB1046" i="57" s="1"/>
  <c r="Q1046" i="57"/>
  <c r="T1046" i="57" s="1"/>
  <c r="O1046" i="57"/>
  <c r="N1046" i="57"/>
  <c r="AG1045" i="57"/>
  <c r="Y1045" i="57"/>
  <c r="AA1045" i="57" l="1"/>
  <c r="AB1045" i="57" s="1"/>
  <c r="Q1045" i="57"/>
  <c r="T1045" i="57" s="1"/>
  <c r="O1045" i="57"/>
  <c r="N1045" i="57"/>
  <c r="AG1044" i="57"/>
  <c r="Y1044" i="57"/>
  <c r="AA1044" i="57" l="1"/>
  <c r="AB1044" i="57" s="1"/>
  <c r="Q1044" i="57"/>
  <c r="T1044" i="57" s="1"/>
  <c r="O1044" i="57"/>
  <c r="N1044" i="57"/>
  <c r="AG1043" i="57"/>
  <c r="Y1043" i="57"/>
  <c r="AA1043" i="57" l="1"/>
  <c r="AB1043" i="57" s="1"/>
  <c r="Q1043" i="57"/>
  <c r="T1043" i="57" s="1"/>
  <c r="O1043" i="57"/>
  <c r="N1043" i="57"/>
  <c r="AG1042" i="57"/>
  <c r="Y1042" i="57"/>
  <c r="AA1042" i="57" l="1"/>
  <c r="AB1042" i="57" s="1"/>
  <c r="T1042" i="57"/>
  <c r="O1042" i="57"/>
  <c r="N1042" i="57"/>
  <c r="AG1041" i="57"/>
  <c r="Y1041" i="57"/>
  <c r="AA1041" i="57" l="1"/>
  <c r="AB1041" i="57" s="1"/>
  <c r="Q1041" i="57"/>
  <c r="T1041" i="57" s="1"/>
  <c r="O1041" i="57"/>
  <c r="N1041" i="57"/>
  <c r="AG1040" i="57"/>
  <c r="Y1040" i="57"/>
  <c r="AA1040" i="57" l="1"/>
  <c r="AB1040" i="57" s="1"/>
  <c r="Q1040" i="57"/>
  <c r="T1040" i="57" s="1"/>
  <c r="O1040" i="57"/>
  <c r="N1040" i="57"/>
  <c r="AG1039" i="57"/>
  <c r="Y1039" i="57"/>
  <c r="AA1039" i="57" l="1"/>
  <c r="AB1039" i="57" s="1"/>
  <c r="Q1039" i="57"/>
  <c r="T1039" i="57" s="1"/>
  <c r="O1039" i="57"/>
  <c r="N1039" i="57"/>
  <c r="AG1038" i="57"/>
  <c r="Y1038" i="57"/>
  <c r="AA1038" i="57" l="1"/>
  <c r="AB1038" i="57" s="1"/>
  <c r="Q1038" i="57"/>
  <c r="T1038" i="57" s="1"/>
  <c r="O1038" i="57"/>
  <c r="N1038" i="57"/>
  <c r="AG1037" i="57"/>
  <c r="Y1037" i="57"/>
  <c r="AA1037" i="57" l="1"/>
  <c r="AB1037" i="57" s="1"/>
  <c r="T1037" i="57"/>
  <c r="O1037" i="57"/>
  <c r="N1037" i="57"/>
  <c r="AG1036" i="57"/>
  <c r="Y1036" i="57"/>
  <c r="AA1036" i="57" l="1"/>
  <c r="AB1036" i="57" s="1"/>
  <c r="Q1036" i="57"/>
  <c r="T1036" i="57" s="1"/>
  <c r="O1036" i="57"/>
  <c r="N1036" i="57"/>
  <c r="AG1035" i="57"/>
  <c r="Y1035" i="57"/>
  <c r="AA1035" i="57" l="1"/>
  <c r="AB1035" i="57" s="1"/>
  <c r="Q1035" i="57"/>
  <c r="T1035" i="57" s="1"/>
  <c r="O1035" i="57"/>
  <c r="N1035" i="57"/>
  <c r="AG1034" i="57"/>
  <c r="Y1034" i="57"/>
  <c r="AA1034" i="57" l="1"/>
  <c r="AB1034" i="57" s="1"/>
  <c r="Q1034" i="57"/>
  <c r="T1034" i="57" s="1"/>
  <c r="O1034" i="57"/>
  <c r="N1034" i="57"/>
  <c r="AG1033" i="57"/>
  <c r="Y1033" i="57"/>
  <c r="AA1033" i="57" l="1"/>
  <c r="AB1033" i="57" s="1"/>
  <c r="Q1033" i="57"/>
  <c r="T1033" i="57" s="1"/>
  <c r="O1033" i="57"/>
  <c r="N1033" i="57"/>
  <c r="AG1032" i="57"/>
  <c r="Y1032" i="57"/>
  <c r="AA1032" i="57" l="1"/>
  <c r="AB1032" i="57" s="1"/>
  <c r="Q1032" i="57"/>
  <c r="T1032" i="57" s="1"/>
  <c r="O1032" i="57"/>
  <c r="N1032" i="57"/>
  <c r="AG1031" i="57"/>
  <c r="Y1031" i="57"/>
  <c r="AA1031" i="57" l="1"/>
  <c r="AB1031" i="57" s="1"/>
  <c r="T1031" i="57"/>
  <c r="O1031" i="57"/>
  <c r="N1031" i="57"/>
  <c r="AG1030" i="57"/>
  <c r="Y1030" i="57"/>
  <c r="AA1030" i="57" l="1"/>
  <c r="AB1030" i="57" s="1"/>
  <c r="T1030" i="57"/>
  <c r="O1030" i="57"/>
  <c r="N1030" i="57"/>
  <c r="AG1029" i="57"/>
  <c r="Y1029" i="57"/>
  <c r="AA1029" i="57" l="1"/>
  <c r="AB1029" i="57" s="1"/>
  <c r="Q1029" i="57"/>
  <c r="T1029" i="57" s="1"/>
  <c r="O1029" i="57"/>
  <c r="N1029" i="57"/>
  <c r="AG1028" i="57"/>
  <c r="Y1028" i="57"/>
  <c r="AA1028" i="57" l="1"/>
  <c r="AB1028" i="57" s="1"/>
  <c r="T1028" i="57"/>
  <c r="O1028" i="57"/>
  <c r="N1028" i="57"/>
  <c r="AG1027" i="57"/>
  <c r="Y1027" i="57"/>
  <c r="AA1027" i="57" l="1"/>
  <c r="AB1027" i="57" s="1"/>
  <c r="Q1027" i="57"/>
  <c r="T1027" i="57" s="1"/>
  <c r="O1027" i="57"/>
  <c r="N1027" i="57"/>
  <c r="AG1026" i="57"/>
  <c r="Y1026" i="57"/>
  <c r="AA1026" i="57" l="1"/>
  <c r="AB1026" i="57" s="1"/>
  <c r="Q1026" i="57"/>
  <c r="T1026" i="57" s="1"/>
  <c r="O1026" i="57"/>
  <c r="N1026" i="57"/>
  <c r="AG1025" i="57"/>
  <c r="Y1025" i="57"/>
  <c r="AA1025" i="57" l="1"/>
  <c r="AB1025" i="57" s="1"/>
  <c r="Q1025" i="57"/>
  <c r="T1025" i="57" s="1"/>
  <c r="O1025" i="57"/>
  <c r="N1025" i="57"/>
  <c r="AG1024" i="57"/>
  <c r="Y1024" i="57"/>
  <c r="AA1024" i="57" l="1"/>
  <c r="AB1024" i="57" s="1"/>
  <c r="Q1024" i="57"/>
  <c r="T1024" i="57" s="1"/>
  <c r="O1024" i="57"/>
  <c r="N1024" i="57"/>
  <c r="AG1023" i="57"/>
  <c r="Y1023" i="57"/>
  <c r="AA1023" i="57" l="1"/>
  <c r="AB1023" i="57" s="1"/>
  <c r="T1023" i="57"/>
  <c r="O1023" i="57"/>
  <c r="N1023" i="57"/>
  <c r="AG1022" i="57"/>
  <c r="Y1022" i="57"/>
  <c r="AA1022" i="57" l="1"/>
  <c r="AB1022" i="57" s="1"/>
  <c r="Q1022" i="57"/>
  <c r="T1022" i="57" s="1"/>
  <c r="O1022" i="57"/>
  <c r="N1022" i="57"/>
  <c r="AG1021" i="57"/>
  <c r="Y1021" i="57"/>
  <c r="AA1021" i="57" l="1"/>
  <c r="AB1021" i="57" s="1"/>
  <c r="Q1021" i="57"/>
  <c r="T1021" i="57" s="1"/>
  <c r="O1021" i="57"/>
  <c r="N1021" i="57"/>
  <c r="AG1020" i="57"/>
  <c r="Y1020" i="57"/>
  <c r="AA1020" i="57" l="1"/>
  <c r="AB1020" i="57" s="1"/>
  <c r="Q1020" i="57"/>
  <c r="T1020" i="57" s="1"/>
  <c r="O1020" i="57"/>
  <c r="N1020" i="57"/>
  <c r="AG1019" i="57"/>
  <c r="Y1019" i="57"/>
  <c r="AA1019" i="57" l="1"/>
  <c r="AB1019" i="57" s="1"/>
  <c r="Q1019" i="57"/>
  <c r="T1019" i="57" s="1"/>
  <c r="O1019" i="57"/>
  <c r="N1019" i="57"/>
  <c r="AG1018" i="57"/>
  <c r="Y1018" i="57"/>
  <c r="AA1018" i="57" l="1"/>
  <c r="AB1018" i="57" s="1"/>
  <c r="Q1018" i="57"/>
  <c r="T1018" i="57" s="1"/>
  <c r="O1018" i="57"/>
  <c r="N1018" i="57"/>
  <c r="AG1017" i="57"/>
  <c r="Y1017" i="57"/>
  <c r="AA1017" i="57" l="1"/>
  <c r="AB1017" i="57" s="1"/>
  <c r="Q1017" i="57"/>
  <c r="T1017" i="57" s="1"/>
  <c r="O1017" i="57"/>
  <c r="N1017" i="57"/>
  <c r="AG1016" i="57"/>
  <c r="Y1016" i="57"/>
  <c r="AA1016" i="57" l="1"/>
  <c r="AB1016" i="57" s="1"/>
  <c r="Q1016" i="57"/>
  <c r="T1016" i="57" s="1"/>
  <c r="O1016" i="57"/>
  <c r="N1016" i="57"/>
  <c r="AG1015" i="57"/>
  <c r="Y1015" i="57"/>
  <c r="AA1015" i="57" l="1"/>
  <c r="AB1015" i="57" s="1"/>
  <c r="Q1015" i="57"/>
  <c r="T1015" i="57" s="1"/>
  <c r="O1015" i="57"/>
  <c r="N1015" i="57"/>
  <c r="AN1014" i="57"/>
  <c r="AL1014" i="57" s="1"/>
  <c r="AM1014" i="57"/>
  <c r="AK1014" i="57" s="1"/>
  <c r="AG1014" i="57"/>
  <c r="Y1014" i="57"/>
  <c r="AA1014" i="57" l="1"/>
  <c r="AB1014" i="57" s="1"/>
  <c r="Q1014" i="57"/>
  <c r="T1014" i="57" s="1"/>
  <c r="O1014" i="57"/>
  <c r="N1014" i="57"/>
  <c r="AM1000" i="57"/>
  <c r="AN1000" i="57"/>
  <c r="AL1000" i="57" l="1"/>
  <c r="AK1000" i="57"/>
  <c r="AM1001" i="57"/>
  <c r="AN1001" i="57"/>
  <c r="AL1001" i="57" l="1"/>
  <c r="AK1001" i="57"/>
  <c r="AM1002" i="57"/>
  <c r="AN1002" i="57"/>
  <c r="AL1002" i="57" l="1"/>
  <c r="AK1002" i="57"/>
  <c r="AM1003" i="57"/>
  <c r="AN1003" i="57"/>
  <c r="AL1003" i="57" l="1"/>
  <c r="AK1003" i="57"/>
  <c r="AM1004" i="57"/>
  <c r="AN1004" i="57"/>
  <c r="AL1004" i="57" l="1"/>
  <c r="AK1004" i="57"/>
  <c r="AM1005" i="57"/>
  <c r="AN1005" i="57"/>
  <c r="AL1005" i="57" l="1"/>
  <c r="AK1005" i="57"/>
  <c r="AM1006" i="57"/>
  <c r="AN1006" i="57"/>
  <c r="AL1006" i="57" l="1"/>
  <c r="AK1006" i="57"/>
  <c r="AM1007" i="57"/>
  <c r="AN1007" i="57"/>
  <c r="AL1007" i="57" l="1"/>
  <c r="AK1007" i="57"/>
  <c r="AM1008" i="57"/>
  <c r="AN1008" i="57"/>
  <c r="AL1008" i="57" l="1"/>
  <c r="AK1008" i="57"/>
  <c r="AM1009" i="57"/>
  <c r="AN1009" i="57"/>
  <c r="AL1009" i="57" l="1"/>
  <c r="AK1009" i="57"/>
  <c r="AM1010" i="57"/>
  <c r="AN1010" i="57"/>
  <c r="AL1010" i="57" l="1"/>
  <c r="AK1010" i="57"/>
  <c r="AM1011" i="57"/>
  <c r="AN1011" i="57"/>
  <c r="AM979" i="57"/>
  <c r="AN979" i="57"/>
  <c r="AL1011" i="57" l="1"/>
  <c r="AK1011" i="57"/>
  <c r="AL979" i="57"/>
  <c r="AK979" i="57"/>
  <c r="AM980" i="57"/>
  <c r="AN980" i="57"/>
  <c r="AL980" i="57" l="1"/>
  <c r="AK980" i="57"/>
  <c r="AM981" i="57"/>
  <c r="AN981" i="57"/>
  <c r="AL981" i="57" l="1"/>
  <c r="AK981" i="57"/>
  <c r="AM982" i="57"/>
  <c r="AN982" i="57"/>
  <c r="AL982" i="57" l="1"/>
  <c r="AK982" i="57"/>
  <c r="AM983" i="57"/>
  <c r="AN983" i="57"/>
  <c r="AL983" i="57" l="1"/>
  <c r="AK983" i="57"/>
  <c r="AM984" i="57"/>
  <c r="AN984" i="57"/>
  <c r="AL984" i="57" l="1"/>
  <c r="AK984" i="57"/>
  <c r="AM985" i="57"/>
  <c r="AN985" i="57"/>
  <c r="AL985" i="57" l="1"/>
  <c r="AK985" i="57"/>
  <c r="AM986" i="57"/>
  <c r="AN986" i="57"/>
  <c r="AL986" i="57" l="1"/>
  <c r="AK986" i="57"/>
  <c r="AM987" i="57"/>
  <c r="AN987" i="57"/>
  <c r="AL987" i="57" l="1"/>
  <c r="AK987" i="57"/>
  <c r="AM988" i="57"/>
  <c r="AN988" i="57"/>
  <c r="AL988" i="57" l="1"/>
  <c r="AK988" i="57"/>
  <c r="AM989" i="57"/>
  <c r="AN989" i="57"/>
  <c r="AL989" i="57" l="1"/>
  <c r="AK989" i="57"/>
  <c r="AM990" i="57"/>
  <c r="AN990" i="57"/>
  <c r="AL990" i="57" l="1"/>
  <c r="AK990" i="57"/>
  <c r="AM991" i="57"/>
  <c r="AN991" i="57"/>
  <c r="AL991" i="57" l="1"/>
  <c r="AK991" i="57"/>
  <c r="AM992" i="57"/>
  <c r="AN992" i="57"/>
  <c r="AL992" i="57" l="1"/>
  <c r="AK992" i="57"/>
  <c r="AM993" i="57"/>
  <c r="AN993" i="57"/>
  <c r="AL993" i="57" l="1"/>
  <c r="AK993" i="57"/>
  <c r="AM994" i="57"/>
  <c r="AN994" i="57"/>
  <c r="AL994" i="57" l="1"/>
  <c r="AK994" i="57"/>
  <c r="AM995" i="57"/>
  <c r="AN995" i="57"/>
  <c r="AL995" i="57" l="1"/>
  <c r="AK995" i="57"/>
  <c r="AM996" i="57"/>
  <c r="AN996" i="57"/>
  <c r="AL996" i="57" l="1"/>
  <c r="AK996" i="57"/>
  <c r="AM997" i="57"/>
  <c r="AN997" i="57"/>
  <c r="AL997" i="57" l="1"/>
  <c r="AK997" i="57"/>
  <c r="AM998" i="57"/>
  <c r="AN998" i="57"/>
  <c r="AL998" i="57" l="1"/>
  <c r="AK998" i="57"/>
  <c r="AM999" i="57"/>
  <c r="AN999" i="57"/>
  <c r="AM926" i="57"/>
  <c r="AN926" i="57"/>
  <c r="AL999" i="57" l="1"/>
  <c r="AK999" i="57"/>
  <c r="AL926" i="57"/>
  <c r="AK926" i="57"/>
  <c r="AM927" i="57"/>
  <c r="AN927" i="57"/>
  <c r="AL927" i="57" l="1"/>
  <c r="AK927" i="57"/>
  <c r="AM928" i="57"/>
  <c r="AN928" i="57"/>
  <c r="AL928" i="57" l="1"/>
  <c r="AK928" i="57"/>
  <c r="AM929" i="57"/>
  <c r="AN929" i="57"/>
  <c r="AL929" i="57" l="1"/>
  <c r="AK929" i="57"/>
  <c r="AM930" i="57"/>
  <c r="AN930" i="57"/>
  <c r="AL930" i="57" l="1"/>
  <c r="AK930" i="57"/>
  <c r="AM931" i="57"/>
  <c r="AN931" i="57"/>
  <c r="AL931" i="57" l="1"/>
  <c r="AK931" i="57"/>
  <c r="AM932" i="57"/>
  <c r="AN932" i="57"/>
  <c r="AL932" i="57" l="1"/>
  <c r="AK932" i="57"/>
  <c r="AM933" i="57"/>
  <c r="AN933" i="57"/>
  <c r="AL933" i="57" l="1"/>
  <c r="AK933" i="57"/>
  <c r="AM934" i="57"/>
  <c r="AN934" i="57"/>
  <c r="AL934" i="57" l="1"/>
  <c r="AK934" i="57"/>
  <c r="AM935" i="57"/>
  <c r="AN935" i="57"/>
  <c r="AL935" i="57" l="1"/>
  <c r="AK935" i="57"/>
  <c r="AM936" i="57"/>
  <c r="AN936" i="57"/>
  <c r="AL936" i="57" l="1"/>
  <c r="AK936" i="57"/>
  <c r="AM937" i="57"/>
  <c r="AN937" i="57"/>
  <c r="AL937" i="57" l="1"/>
  <c r="AK937" i="57"/>
  <c r="AM938" i="57"/>
  <c r="AN938" i="57"/>
  <c r="AL938" i="57" l="1"/>
  <c r="AK938" i="57"/>
  <c r="AM939" i="57"/>
  <c r="AN939" i="57"/>
  <c r="AL939" i="57" l="1"/>
  <c r="AK939" i="57"/>
  <c r="AM940" i="57"/>
  <c r="AN940" i="57"/>
  <c r="AL940" i="57" l="1"/>
  <c r="AK940" i="57"/>
  <c r="AM941" i="57"/>
  <c r="AN941" i="57"/>
  <c r="AL941" i="57" l="1"/>
  <c r="AK941" i="57"/>
  <c r="AM942" i="57"/>
  <c r="AN942" i="57"/>
  <c r="AL942" i="57" l="1"/>
  <c r="AK942" i="57"/>
  <c r="AM943" i="57"/>
  <c r="AN943" i="57"/>
  <c r="AL943" i="57" l="1"/>
  <c r="AK943" i="57"/>
  <c r="AM944" i="57"/>
  <c r="AN944" i="57"/>
  <c r="AL944" i="57" l="1"/>
  <c r="AK944" i="57"/>
  <c r="AM945" i="57"/>
  <c r="AN945" i="57"/>
  <c r="AL945" i="57" l="1"/>
  <c r="AK945" i="57"/>
  <c r="AM946" i="57"/>
  <c r="AN946" i="57"/>
  <c r="AL946" i="57" l="1"/>
  <c r="AK946" i="57"/>
  <c r="AM947" i="57"/>
  <c r="AN947" i="57"/>
  <c r="AL947" i="57" l="1"/>
  <c r="AK947" i="57"/>
  <c r="AM948" i="57"/>
  <c r="AN948" i="57"/>
  <c r="AL948" i="57" l="1"/>
  <c r="AK948" i="57"/>
  <c r="AM949" i="57"/>
  <c r="AN949" i="57"/>
  <c r="AL949" i="57" l="1"/>
  <c r="AK949" i="57"/>
  <c r="AM950" i="57"/>
  <c r="AN950" i="57"/>
  <c r="AL950" i="57" l="1"/>
  <c r="AK950" i="57"/>
  <c r="AM951" i="57"/>
  <c r="AN951" i="57"/>
  <c r="AL951" i="57" l="1"/>
  <c r="AK951" i="57"/>
  <c r="AM952" i="57"/>
  <c r="AN952" i="57"/>
  <c r="AL952" i="57" l="1"/>
  <c r="AK952" i="57"/>
  <c r="AM953" i="57"/>
  <c r="AN953" i="57"/>
  <c r="AL953" i="57" l="1"/>
  <c r="AK953" i="57"/>
  <c r="AM954" i="57"/>
  <c r="AN954" i="57"/>
  <c r="AL954" i="57" l="1"/>
  <c r="AK954" i="57"/>
  <c r="AM955" i="57"/>
  <c r="AN955" i="57"/>
  <c r="AL955" i="57" l="1"/>
  <c r="AK955" i="57"/>
  <c r="AM956" i="57"/>
  <c r="AN956" i="57"/>
  <c r="AL956" i="57" l="1"/>
  <c r="AK956" i="57"/>
  <c r="AM957" i="57"/>
  <c r="AN957" i="57"/>
  <c r="AL957" i="57" l="1"/>
  <c r="AK957" i="57"/>
  <c r="AM958" i="57"/>
  <c r="AN958" i="57"/>
  <c r="AL958" i="57" l="1"/>
  <c r="AK958" i="57"/>
  <c r="AM959" i="57"/>
  <c r="AN959" i="57"/>
  <c r="AL959" i="57" l="1"/>
  <c r="AK959" i="57"/>
  <c r="AM960" i="57"/>
  <c r="AN960" i="57"/>
  <c r="AL960" i="57" l="1"/>
  <c r="AK960" i="57"/>
  <c r="AM961" i="57"/>
  <c r="AN961" i="57"/>
  <c r="AL961" i="57" l="1"/>
  <c r="AK961" i="57"/>
  <c r="AM962" i="57"/>
  <c r="AN962" i="57"/>
  <c r="AL962" i="57" l="1"/>
  <c r="AK962" i="57"/>
  <c r="AM963" i="57"/>
  <c r="AN963" i="57"/>
  <c r="AL963" i="57" l="1"/>
  <c r="AK963" i="57"/>
  <c r="AM964" i="57"/>
  <c r="AN964" i="57"/>
  <c r="AL964" i="57" l="1"/>
  <c r="AK964" i="57"/>
  <c r="AM965" i="57"/>
  <c r="AN965" i="57"/>
  <c r="AL965" i="57" l="1"/>
  <c r="AK965" i="57"/>
  <c r="AM966" i="57"/>
  <c r="AN966" i="57"/>
  <c r="AL966" i="57" l="1"/>
  <c r="AK966" i="57"/>
  <c r="AM967" i="57"/>
  <c r="AN967" i="57"/>
  <c r="AL967" i="57" l="1"/>
  <c r="AK967" i="57"/>
  <c r="AM968" i="57"/>
  <c r="AN968" i="57"/>
  <c r="AL968" i="57" l="1"/>
  <c r="AK968" i="57"/>
  <c r="AM969" i="57"/>
  <c r="AN969" i="57"/>
  <c r="AL969" i="57" l="1"/>
  <c r="AK969" i="57"/>
  <c r="AM970" i="57"/>
  <c r="AN970" i="57"/>
  <c r="AL970" i="57" l="1"/>
  <c r="AK970" i="57"/>
  <c r="AM971" i="57"/>
  <c r="AN971" i="57"/>
  <c r="AL971" i="57" l="1"/>
  <c r="AK971" i="57"/>
  <c r="AM972" i="57"/>
  <c r="AN972" i="57"/>
  <c r="AL972" i="57" l="1"/>
  <c r="AK972" i="57"/>
  <c r="AM973" i="57"/>
  <c r="AN973" i="57"/>
  <c r="AL973" i="57" l="1"/>
  <c r="AK973" i="57"/>
  <c r="AM974" i="57"/>
  <c r="AN974" i="57"/>
  <c r="AL974" i="57" l="1"/>
  <c r="AK974" i="57"/>
  <c r="AM975" i="57"/>
  <c r="AN975" i="57"/>
  <c r="AL975" i="57" l="1"/>
  <c r="AK975" i="57"/>
  <c r="AM976" i="57"/>
  <c r="AN976" i="57"/>
  <c r="AL976" i="57" l="1"/>
  <c r="AK976" i="57"/>
  <c r="AM977" i="57"/>
  <c r="AN977" i="57"/>
  <c r="AL977" i="57" l="1"/>
  <c r="AK977" i="57"/>
  <c r="AM978" i="57"/>
  <c r="AN978" i="57"/>
  <c r="AL978" i="57" l="1"/>
  <c r="AK978" i="57"/>
  <c r="AG1011" i="57"/>
  <c r="Y1011" i="57"/>
  <c r="AA1011" i="57" l="1"/>
  <c r="AB1011" i="57" s="1"/>
  <c r="Q1011" i="57"/>
  <c r="T1011" i="57" s="1"/>
  <c r="O1011" i="57"/>
  <c r="N1011" i="57"/>
  <c r="AG1010" i="57"/>
  <c r="Y1010" i="57"/>
  <c r="AA1010" i="57" l="1"/>
  <c r="AB1010" i="57" s="1"/>
  <c r="Q1010" i="57"/>
  <c r="T1010" i="57" s="1"/>
  <c r="O1010" i="57"/>
  <c r="N1010" i="57"/>
  <c r="AG1009" i="57"/>
  <c r="Y1009" i="57"/>
  <c r="AA1009" i="57" l="1"/>
  <c r="AB1009" i="57" s="1"/>
  <c r="Q1009" i="57"/>
  <c r="T1009" i="57" s="1"/>
  <c r="O1009" i="57"/>
  <c r="N1009" i="57"/>
  <c r="AG1008" i="57"/>
  <c r="Y1008" i="57"/>
  <c r="AA1008" i="57" l="1"/>
  <c r="AB1008" i="57" s="1"/>
  <c r="Q1008" i="57"/>
  <c r="T1008" i="57" s="1"/>
  <c r="O1008" i="57"/>
  <c r="N1008" i="57"/>
  <c r="AG1007" i="57"/>
  <c r="Y1007" i="57"/>
  <c r="AA1007" i="57" l="1"/>
  <c r="AB1007" i="57" s="1"/>
  <c r="T1007" i="57"/>
  <c r="O1007" i="57"/>
  <c r="N1007" i="57"/>
  <c r="AG1006" i="57"/>
  <c r="Y1006" i="57"/>
  <c r="AA1006" i="57" l="1"/>
  <c r="AB1006" i="57" s="1"/>
  <c r="Q1006" i="57"/>
  <c r="T1006" i="57" s="1"/>
  <c r="O1006" i="57"/>
  <c r="N1006" i="57"/>
  <c r="AG1005" i="57"/>
  <c r="Y1005" i="57"/>
  <c r="AA1005" i="57" l="1"/>
  <c r="AB1005" i="57" s="1"/>
  <c r="Q1005" i="57"/>
  <c r="T1005" i="57" s="1"/>
  <c r="O1005" i="57"/>
  <c r="N1005" i="57"/>
  <c r="AG1004" i="57"/>
  <c r="Y1004" i="57"/>
  <c r="AA1004" i="57" l="1"/>
  <c r="AB1004" i="57" s="1"/>
  <c r="Q1004" i="57"/>
  <c r="T1004" i="57" s="1"/>
  <c r="O1004" i="57"/>
  <c r="N1004" i="57"/>
  <c r="AG1003" i="57"/>
  <c r="Y1003" i="57"/>
  <c r="AA1003" i="57" l="1"/>
  <c r="AB1003" i="57" s="1"/>
  <c r="Q1003" i="57"/>
  <c r="T1003" i="57" s="1"/>
  <c r="O1003" i="57"/>
  <c r="N1003" i="57"/>
  <c r="AG1002" i="57"/>
  <c r="Y1002" i="57"/>
  <c r="AA1002" i="57" l="1"/>
  <c r="AB1002" i="57" s="1"/>
  <c r="T1002" i="57"/>
  <c r="O1002" i="57"/>
  <c r="N1002" i="57"/>
  <c r="AG1001" i="57"/>
  <c r="Y1001" i="57"/>
  <c r="AA1001" i="57" l="1"/>
  <c r="AB1001" i="57" s="1"/>
  <c r="Q1001" i="57"/>
  <c r="T1001" i="57" s="1"/>
  <c r="O1001" i="57"/>
  <c r="N1001" i="57"/>
  <c r="AG1000" i="57"/>
  <c r="Y1000" i="57"/>
  <c r="AA1000" i="57" l="1"/>
  <c r="AB1000" i="57" s="1"/>
  <c r="Q1000" i="57"/>
  <c r="T1000" i="57" s="1"/>
  <c r="O1000" i="57"/>
  <c r="N1000" i="57"/>
  <c r="AG999" i="57"/>
  <c r="Y999" i="57"/>
  <c r="AA999" i="57" l="1"/>
  <c r="AB999" i="57" s="1"/>
  <c r="Q999" i="57"/>
  <c r="T999" i="57" s="1"/>
  <c r="O999" i="57"/>
  <c r="N999" i="57"/>
  <c r="AG998" i="57"/>
  <c r="Y998" i="57"/>
  <c r="AA998" i="57" l="1"/>
  <c r="AB998" i="57" s="1"/>
  <c r="Q998" i="57"/>
  <c r="T998" i="57" s="1"/>
  <c r="O998" i="57"/>
  <c r="N998" i="57"/>
  <c r="AG997" i="57"/>
  <c r="Y997" i="57"/>
  <c r="AA997" i="57" l="1"/>
  <c r="AB997" i="57" s="1"/>
  <c r="T997" i="57"/>
  <c r="O997" i="57"/>
  <c r="N997" i="57"/>
  <c r="AG996" i="57"/>
  <c r="Y996" i="57"/>
  <c r="AA996" i="57" l="1"/>
  <c r="AB996" i="57" s="1"/>
  <c r="Q996" i="57"/>
  <c r="T996" i="57" s="1"/>
  <c r="O996" i="57"/>
  <c r="N996" i="57"/>
  <c r="AG995" i="57"/>
  <c r="Y995" i="57"/>
  <c r="AA995" i="57" l="1"/>
  <c r="AB995" i="57" s="1"/>
  <c r="Q995" i="57"/>
  <c r="T995" i="57" s="1"/>
  <c r="O995" i="57"/>
  <c r="N995" i="57"/>
  <c r="AG994" i="57"/>
  <c r="Y994" i="57"/>
  <c r="AA994" i="57" l="1"/>
  <c r="AB994" i="57" s="1"/>
  <c r="Q994" i="57"/>
  <c r="T994" i="57" s="1"/>
  <c r="O994" i="57"/>
  <c r="N994" i="57"/>
  <c r="AG993" i="57"/>
  <c r="Y993" i="57"/>
  <c r="AA993" i="57" l="1"/>
  <c r="AB993" i="57" s="1"/>
  <c r="Q993" i="57"/>
  <c r="T993" i="57" s="1"/>
  <c r="O993" i="57"/>
  <c r="N993" i="57"/>
  <c r="AG992" i="57"/>
  <c r="Y992" i="57"/>
  <c r="AA992" i="57" l="1"/>
  <c r="AB992" i="57" s="1"/>
  <c r="Q992" i="57"/>
  <c r="T992" i="57" s="1"/>
  <c r="O992" i="57"/>
  <c r="N992" i="57"/>
  <c r="AG991" i="57"/>
  <c r="Y991" i="57"/>
  <c r="AA991" i="57" l="1"/>
  <c r="AB991" i="57" s="1"/>
  <c r="Q991" i="57"/>
  <c r="T991" i="57" s="1"/>
  <c r="O991" i="57"/>
  <c r="N991" i="57"/>
  <c r="AG990" i="57"/>
  <c r="Y990" i="57"/>
  <c r="AA990" i="57" l="1"/>
  <c r="AB990" i="57" s="1"/>
  <c r="Q990" i="57"/>
  <c r="T990" i="57" s="1"/>
  <c r="O990" i="57"/>
  <c r="N990" i="57"/>
  <c r="AG989" i="57"/>
  <c r="Y989" i="57"/>
  <c r="AA989" i="57" l="1"/>
  <c r="AB989" i="57" s="1"/>
  <c r="Q989" i="57"/>
  <c r="T989" i="57" s="1"/>
  <c r="O989" i="57"/>
  <c r="N989" i="57"/>
  <c r="AG988" i="57"/>
  <c r="Y988" i="57"/>
  <c r="AA988" i="57" l="1"/>
  <c r="AB988" i="57" s="1"/>
  <c r="Q988" i="57"/>
  <c r="T988" i="57" s="1"/>
  <c r="O988" i="57"/>
  <c r="N988" i="57"/>
  <c r="AG987" i="57"/>
  <c r="Y987" i="57"/>
  <c r="AA987" i="57" l="1"/>
  <c r="AB987" i="57" s="1"/>
  <c r="Q987" i="57"/>
  <c r="T987" i="57" s="1"/>
  <c r="O987" i="57"/>
  <c r="N987" i="57"/>
  <c r="AG986" i="57"/>
  <c r="Y986" i="57"/>
  <c r="AA986" i="57" l="1"/>
  <c r="AB986" i="57" s="1"/>
  <c r="Q986" i="57"/>
  <c r="T986" i="57" s="1"/>
  <c r="O986" i="57"/>
  <c r="N986" i="57"/>
  <c r="AG985" i="57"/>
  <c r="Y985" i="57"/>
  <c r="AA985" i="57" l="1"/>
  <c r="AB985" i="57" s="1"/>
  <c r="Q985" i="57"/>
  <c r="T985" i="57" s="1"/>
  <c r="O985" i="57"/>
  <c r="N985" i="57"/>
  <c r="AG984" i="57"/>
  <c r="Y984" i="57"/>
  <c r="AA984" i="57" l="1"/>
  <c r="AB984" i="57" s="1"/>
  <c r="T984" i="57"/>
  <c r="O984" i="57"/>
  <c r="N984" i="57"/>
  <c r="AG983" i="57"/>
  <c r="Y983" i="57"/>
  <c r="AA983" i="57" l="1"/>
  <c r="AB983" i="57" s="1"/>
  <c r="Q983" i="57"/>
  <c r="T983" i="57" s="1"/>
  <c r="O983" i="57"/>
  <c r="N983" i="57"/>
  <c r="AG982" i="57"/>
  <c r="Y982" i="57"/>
  <c r="AA982" i="57" l="1"/>
  <c r="AB982" i="57" s="1"/>
  <c r="Q982" i="57"/>
  <c r="T982" i="57" s="1"/>
  <c r="O982" i="57"/>
  <c r="N982" i="57"/>
  <c r="AG981" i="57"/>
  <c r="Y981" i="57"/>
  <c r="AA981" i="57" l="1"/>
  <c r="AB981" i="57" s="1"/>
  <c r="Q981" i="57"/>
  <c r="T981" i="57" s="1"/>
  <c r="O981" i="57"/>
  <c r="N981" i="57"/>
  <c r="AG980" i="57"/>
  <c r="Y980" i="57"/>
  <c r="AA980" i="57" l="1"/>
  <c r="AB980" i="57" s="1"/>
  <c r="Q980" i="57"/>
  <c r="T980" i="57" s="1"/>
  <c r="O980" i="57"/>
  <c r="N980" i="57"/>
  <c r="AG979" i="57"/>
  <c r="Y979" i="57"/>
  <c r="AA979" i="57" l="1"/>
  <c r="AB979" i="57" s="1"/>
  <c r="Q979" i="57"/>
  <c r="T979" i="57" s="1"/>
  <c r="O979" i="57"/>
  <c r="N979" i="57"/>
  <c r="AG978" i="57"/>
  <c r="Y978" i="57"/>
  <c r="AA978" i="57" l="1"/>
  <c r="AB978" i="57" s="1"/>
  <c r="T978" i="57"/>
  <c r="O978" i="57"/>
  <c r="N978" i="57"/>
  <c r="AG977" i="57"/>
  <c r="Y977" i="57"/>
  <c r="AA977" i="57" l="1"/>
  <c r="AB977" i="57" s="1"/>
  <c r="Q977" i="57"/>
  <c r="T977" i="57" s="1"/>
  <c r="O977" i="57"/>
  <c r="N977" i="57"/>
  <c r="AG976" i="57"/>
  <c r="Y976" i="57"/>
  <c r="AA976" i="57" l="1"/>
  <c r="AB976" i="57" s="1"/>
  <c r="Q976" i="57"/>
  <c r="T976" i="57" s="1"/>
  <c r="O976" i="57"/>
  <c r="N976" i="57"/>
  <c r="AG975" i="57"/>
  <c r="Y975" i="57"/>
  <c r="AA975" i="57" l="1"/>
  <c r="AB975" i="57" s="1"/>
  <c r="Q975" i="57"/>
  <c r="T975" i="57" s="1"/>
  <c r="O975" i="57"/>
  <c r="N975" i="57"/>
  <c r="AG974" i="57"/>
  <c r="Y974" i="57"/>
  <c r="AA974" i="57" l="1"/>
  <c r="AB974" i="57" s="1"/>
  <c r="Q974" i="57"/>
  <c r="T974" i="57" s="1"/>
  <c r="O974" i="57"/>
  <c r="N974" i="57"/>
  <c r="AG973" i="57"/>
  <c r="Y973" i="57"/>
  <c r="AA973" i="57" l="1"/>
  <c r="AB973" i="57" s="1"/>
  <c r="Q973" i="57"/>
  <c r="T973" i="57" s="1"/>
  <c r="O973" i="57"/>
  <c r="N973" i="57"/>
  <c r="AG972" i="57"/>
  <c r="Y972" i="57"/>
  <c r="AA972" i="57" l="1"/>
  <c r="AB972" i="57" s="1"/>
  <c r="Q972" i="57"/>
  <c r="T972" i="57" s="1"/>
  <c r="O972" i="57"/>
  <c r="N972" i="57"/>
  <c r="AG971" i="57"/>
  <c r="Y971" i="57"/>
  <c r="AA971" i="57" l="1"/>
  <c r="AB971" i="57" s="1"/>
  <c r="Q971" i="57"/>
  <c r="T971" i="57" s="1"/>
  <c r="O971" i="57"/>
  <c r="N971" i="57"/>
  <c r="AG970" i="57"/>
  <c r="Y970" i="57"/>
  <c r="AA970" i="57" l="1"/>
  <c r="AB970" i="57" s="1"/>
  <c r="Q970" i="57"/>
  <c r="T970" i="57" s="1"/>
  <c r="O970" i="57"/>
  <c r="N970" i="57"/>
  <c r="AG969" i="57"/>
  <c r="Y969" i="57"/>
  <c r="AA969" i="57" l="1"/>
  <c r="AB969" i="57" s="1"/>
  <c r="T969" i="57"/>
  <c r="O969" i="57"/>
  <c r="N969" i="57"/>
  <c r="AG968" i="57"/>
  <c r="Y968" i="57"/>
  <c r="AA968" i="57" l="1"/>
  <c r="AB968" i="57" s="1"/>
  <c r="Q968" i="57"/>
  <c r="T968" i="57" s="1"/>
  <c r="O968" i="57"/>
  <c r="N968" i="57"/>
  <c r="AG967" i="57"/>
  <c r="Y967" i="57"/>
  <c r="AA967" i="57" l="1"/>
  <c r="AB967" i="57" s="1"/>
  <c r="Q967" i="57"/>
  <c r="T967" i="57" s="1"/>
  <c r="O967" i="57"/>
  <c r="N967" i="57"/>
  <c r="AG966" i="57"/>
  <c r="Y966" i="57"/>
  <c r="AA966" i="57" l="1"/>
  <c r="AB966" i="57" s="1"/>
  <c r="Q966" i="57"/>
  <c r="T966" i="57" s="1"/>
  <c r="O966" i="57"/>
  <c r="N966" i="57"/>
  <c r="AG965" i="57"/>
  <c r="Y965" i="57"/>
  <c r="AA965" i="57" l="1"/>
  <c r="AB965" i="57" s="1"/>
  <c r="Q965" i="57"/>
  <c r="T965" i="57" s="1"/>
  <c r="O965" i="57"/>
  <c r="N965" i="57"/>
  <c r="AG964" i="57"/>
  <c r="Y964" i="57"/>
  <c r="AA964" i="57" l="1"/>
  <c r="AB964" i="57" s="1"/>
  <c r="Q964" i="57"/>
  <c r="T964" i="57" s="1"/>
  <c r="O964" i="57"/>
  <c r="N964" i="57"/>
  <c r="AG963" i="57"/>
  <c r="Y963" i="57"/>
  <c r="AA963" i="57" l="1"/>
  <c r="AB963" i="57" s="1"/>
  <c r="Q963" i="57"/>
  <c r="T963" i="57" s="1"/>
  <c r="O963" i="57"/>
  <c r="N963" i="57"/>
  <c r="AG962" i="57"/>
  <c r="Y962" i="57"/>
  <c r="AA962" i="57" l="1"/>
  <c r="AB962" i="57" s="1"/>
  <c r="T962" i="57"/>
  <c r="O962" i="57"/>
  <c r="N962" i="57"/>
  <c r="AG961" i="57"/>
  <c r="Y961" i="57"/>
  <c r="AA961" i="57" l="1"/>
  <c r="AB961" i="57" s="1"/>
  <c r="Q961" i="57"/>
  <c r="T961" i="57" s="1"/>
  <c r="O961" i="57"/>
  <c r="N961" i="57"/>
  <c r="AG960" i="57"/>
  <c r="Y960" i="57"/>
  <c r="AA960" i="57" l="1"/>
  <c r="AB960" i="57" s="1"/>
  <c r="Q960" i="57"/>
  <c r="T960" i="57" s="1"/>
  <c r="O960" i="57"/>
  <c r="N960" i="57"/>
  <c r="AG959" i="57"/>
  <c r="Y959" i="57"/>
  <c r="AA959" i="57" l="1"/>
  <c r="AB959" i="57" s="1"/>
  <c r="T959" i="57"/>
  <c r="O959" i="57"/>
  <c r="N959" i="57"/>
  <c r="AG958" i="57"/>
  <c r="Y958" i="57"/>
  <c r="AA958" i="57" l="1"/>
  <c r="AB958" i="57" s="1"/>
  <c r="Q958" i="57"/>
  <c r="T958" i="57" s="1"/>
  <c r="O958" i="57"/>
  <c r="N958" i="57"/>
  <c r="AG957" i="57"/>
  <c r="Y957" i="57"/>
  <c r="AA957" i="57" l="1"/>
  <c r="AB957" i="57" s="1"/>
  <c r="Q957" i="57"/>
  <c r="T957" i="57" s="1"/>
  <c r="O957" i="57"/>
  <c r="N957" i="57"/>
  <c r="AG956" i="57"/>
  <c r="Y956" i="57"/>
  <c r="AA956" i="57" l="1"/>
  <c r="AB956" i="57" s="1"/>
  <c r="Q956" i="57"/>
  <c r="T956" i="57" s="1"/>
  <c r="O956" i="57"/>
  <c r="N956" i="57"/>
  <c r="AG955" i="57"/>
  <c r="Y955" i="57"/>
  <c r="AA955" i="57" l="1"/>
  <c r="AB955" i="57" s="1"/>
  <c r="Q955" i="57"/>
  <c r="T955" i="57" s="1"/>
  <c r="O955" i="57"/>
  <c r="N955" i="57"/>
  <c r="AG954" i="57"/>
  <c r="Y954" i="57"/>
  <c r="AA954" i="57" l="1"/>
  <c r="AB954" i="57" s="1"/>
  <c r="T954" i="57"/>
  <c r="O954" i="57"/>
  <c r="N954" i="57"/>
  <c r="AG953" i="57"/>
  <c r="Y953" i="57"/>
  <c r="AA953" i="57" l="1"/>
  <c r="AB953" i="57" s="1"/>
  <c r="Q953" i="57"/>
  <c r="T953" i="57" s="1"/>
  <c r="O953" i="57"/>
  <c r="N953" i="57"/>
  <c r="AG952" i="57"/>
  <c r="Y952" i="57"/>
  <c r="AA952" i="57" l="1"/>
  <c r="AB952" i="57" s="1"/>
  <c r="Q952" i="57"/>
  <c r="T952" i="57" s="1"/>
  <c r="O952" i="57"/>
  <c r="N952" i="57"/>
  <c r="AG951" i="57"/>
  <c r="Y951" i="57"/>
  <c r="AA951" i="57" l="1"/>
  <c r="AB951" i="57" s="1"/>
  <c r="Q951" i="57"/>
  <c r="T951" i="57" s="1"/>
  <c r="O951" i="57"/>
  <c r="N951" i="57"/>
  <c r="AG950" i="57"/>
  <c r="Y950" i="57"/>
  <c r="AA950" i="57" l="1"/>
  <c r="AB950" i="57" s="1"/>
  <c r="Q950" i="57"/>
  <c r="T950" i="57" s="1"/>
  <c r="O950" i="57"/>
  <c r="N950" i="57"/>
  <c r="AG949" i="57"/>
  <c r="Y949" i="57"/>
  <c r="AA949" i="57" l="1"/>
  <c r="AB949" i="57" s="1"/>
  <c r="Q949" i="57"/>
  <c r="T949" i="57" s="1"/>
  <c r="O949" i="57"/>
  <c r="N949" i="57"/>
  <c r="AG948" i="57"/>
  <c r="Y948" i="57"/>
  <c r="AA948" i="57" l="1"/>
  <c r="AB948" i="57" s="1"/>
  <c r="Q948" i="57"/>
  <c r="T948" i="57" s="1"/>
  <c r="O948" i="57"/>
  <c r="N948" i="57"/>
  <c r="AG947" i="57"/>
  <c r="Y947" i="57"/>
  <c r="AA947" i="57" l="1"/>
  <c r="AB947" i="57" s="1"/>
  <c r="Q947" i="57"/>
  <c r="T947" i="57" s="1"/>
  <c r="O947" i="57"/>
  <c r="N947" i="57"/>
  <c r="AG946" i="57"/>
  <c r="Y946" i="57"/>
  <c r="AA946" i="57" l="1"/>
  <c r="AB946" i="57" s="1"/>
  <c r="T946" i="57"/>
  <c r="O946" i="57"/>
  <c r="N946" i="57"/>
  <c r="AG945" i="57"/>
  <c r="Y945" i="57"/>
  <c r="AA945" i="57" l="1"/>
  <c r="AB945" i="57" s="1"/>
  <c r="T945" i="57"/>
  <c r="O945" i="57"/>
  <c r="N945" i="57"/>
  <c r="AG944" i="57"/>
  <c r="Y944" i="57"/>
  <c r="AA944" i="57" l="1"/>
  <c r="AB944" i="57" s="1"/>
  <c r="Q944" i="57"/>
  <c r="T944" i="57" s="1"/>
  <c r="O944" i="57"/>
  <c r="N944" i="57"/>
  <c r="AG943" i="57"/>
  <c r="Y943" i="57"/>
  <c r="AA943" i="57" l="1"/>
  <c r="AB943" i="57" s="1"/>
  <c r="Q943" i="57"/>
  <c r="T943" i="57" s="1"/>
  <c r="O943" i="57"/>
  <c r="N943" i="57"/>
  <c r="AG942" i="57"/>
  <c r="Y942" i="57"/>
  <c r="AA942" i="57" l="1"/>
  <c r="AB942" i="57" s="1"/>
  <c r="Q942" i="57"/>
  <c r="T942" i="57" s="1"/>
  <c r="O942" i="57"/>
  <c r="N942" i="57"/>
  <c r="AG941" i="57"/>
  <c r="Y941" i="57"/>
  <c r="AA941" i="57" l="1"/>
  <c r="AB941" i="57" s="1"/>
  <c r="Q941" i="57"/>
  <c r="T941" i="57" s="1"/>
  <c r="O941" i="57"/>
  <c r="N941" i="57"/>
  <c r="AG940" i="57"/>
  <c r="Y940" i="57"/>
  <c r="AA940" i="57" l="1"/>
  <c r="AB940" i="57" s="1"/>
  <c r="T940" i="57"/>
  <c r="O940" i="57"/>
  <c r="N940" i="57"/>
  <c r="AG939" i="57"/>
  <c r="Y939" i="57"/>
  <c r="AA939" i="57" l="1"/>
  <c r="AB939" i="57" s="1"/>
  <c r="Q939" i="57"/>
  <c r="T939" i="57" s="1"/>
  <c r="O939" i="57"/>
  <c r="N939" i="57"/>
  <c r="AG938" i="57"/>
  <c r="Y938" i="57"/>
  <c r="AA938" i="57" l="1"/>
  <c r="AB938" i="57" s="1"/>
  <c r="Q938" i="57"/>
  <c r="T938" i="57" s="1"/>
  <c r="O938" i="57"/>
  <c r="N938" i="57"/>
  <c r="AG937" i="57"/>
  <c r="Y937" i="57"/>
  <c r="AA937" i="57" l="1"/>
  <c r="AB937" i="57" s="1"/>
  <c r="T937" i="57"/>
  <c r="O937" i="57"/>
  <c r="N937" i="57"/>
  <c r="AG936" i="57"/>
  <c r="Y936" i="57"/>
  <c r="AA936" i="57" l="1"/>
  <c r="AB936" i="57" s="1"/>
  <c r="Q936" i="57"/>
  <c r="T936" i="57" s="1"/>
  <c r="O936" i="57"/>
  <c r="N936" i="57"/>
  <c r="AG935" i="57"/>
  <c r="Y935" i="57"/>
  <c r="AA935" i="57" l="1"/>
  <c r="AB935" i="57" s="1"/>
  <c r="Q935" i="57"/>
  <c r="T935" i="57" s="1"/>
  <c r="O935" i="57"/>
  <c r="N935" i="57"/>
  <c r="AG934" i="57"/>
  <c r="Y934" i="57"/>
  <c r="AA934" i="57" l="1"/>
  <c r="AB934" i="57" s="1"/>
  <c r="Q934" i="57"/>
  <c r="T934" i="57" s="1"/>
  <c r="O934" i="57"/>
  <c r="N934" i="57"/>
  <c r="AG933" i="57"/>
  <c r="Y933" i="57"/>
  <c r="AA933" i="57" l="1"/>
  <c r="AB933" i="57" s="1"/>
  <c r="Q933" i="57"/>
  <c r="T933" i="57" s="1"/>
  <c r="O933" i="57"/>
  <c r="N933" i="57"/>
  <c r="AG932" i="57"/>
  <c r="Y932" i="57"/>
  <c r="AA932" i="57" l="1"/>
  <c r="AB932" i="57" s="1"/>
  <c r="Q932" i="57"/>
  <c r="T932" i="57" s="1"/>
  <c r="O932" i="57"/>
  <c r="N932" i="57"/>
  <c r="AG931" i="57"/>
  <c r="Y931" i="57"/>
  <c r="AA931" i="57" l="1"/>
  <c r="AB931" i="57" s="1"/>
  <c r="T931" i="57"/>
  <c r="O931" i="57"/>
  <c r="N931" i="57"/>
  <c r="AG930" i="57"/>
  <c r="Y930" i="57"/>
  <c r="AA930" i="57" l="1"/>
  <c r="AB930" i="57" s="1"/>
  <c r="Q930" i="57"/>
  <c r="T930" i="57" s="1"/>
  <c r="O930" i="57"/>
  <c r="N930" i="57"/>
  <c r="AG929" i="57"/>
  <c r="Y929" i="57"/>
  <c r="AA929" i="57" l="1"/>
  <c r="AB929" i="57" s="1"/>
  <c r="Q929" i="57"/>
  <c r="T929" i="57" s="1"/>
  <c r="O929" i="57"/>
  <c r="N929" i="57"/>
  <c r="AG928" i="57"/>
  <c r="Y928" i="57"/>
  <c r="AA928" i="57" l="1"/>
  <c r="AB928" i="57" s="1"/>
  <c r="T928" i="57"/>
  <c r="O928" i="57"/>
  <c r="N928" i="57"/>
  <c r="AG927" i="57"/>
  <c r="Y927" i="57"/>
  <c r="AA927" i="57" l="1"/>
  <c r="AB927" i="57" s="1"/>
  <c r="T927" i="57"/>
  <c r="O927" i="57"/>
  <c r="N927" i="57"/>
  <c r="AG926" i="57"/>
  <c r="Y926" i="57"/>
  <c r="AA926" i="57" l="1"/>
  <c r="AB926" i="57" s="1"/>
  <c r="Q926" i="57"/>
  <c r="T926" i="57" s="1"/>
  <c r="O926" i="57"/>
  <c r="N926" i="57"/>
  <c r="AN925" i="57"/>
  <c r="AL925" i="57" s="1"/>
  <c r="AM925" i="57"/>
  <c r="AK925" i="57" s="1"/>
  <c r="AG925" i="57"/>
  <c r="Y925" i="57"/>
  <c r="AA925" i="57" l="1"/>
  <c r="AB925" i="57" s="1"/>
  <c r="Q925" i="57"/>
  <c r="T925" i="57" s="1"/>
  <c r="O925" i="57"/>
  <c r="N925" i="57"/>
  <c r="AM911" i="57"/>
  <c r="AN911" i="57"/>
  <c r="AL911" i="57" l="1"/>
  <c r="AK911" i="57"/>
  <c r="AM912" i="57"/>
  <c r="AN912" i="57"/>
  <c r="AL912" i="57" l="1"/>
  <c r="AK912" i="57"/>
  <c r="AM913" i="57"/>
  <c r="AN913" i="57"/>
  <c r="AL913" i="57" l="1"/>
  <c r="AK913" i="57"/>
  <c r="AM914" i="57"/>
  <c r="AN914" i="57"/>
  <c r="AL914" i="57" l="1"/>
  <c r="AK914" i="57"/>
  <c r="AM915" i="57"/>
  <c r="AN915" i="57"/>
  <c r="AL915" i="57" l="1"/>
  <c r="AK915" i="57"/>
  <c r="AM916" i="57"/>
  <c r="AN916" i="57"/>
  <c r="AL916" i="57" l="1"/>
  <c r="AK916" i="57"/>
  <c r="AM917" i="57"/>
  <c r="AN917" i="57"/>
  <c r="AL917" i="57" l="1"/>
  <c r="AK917" i="57"/>
  <c r="AM918" i="57"/>
  <c r="AN918" i="57"/>
  <c r="AL918" i="57" l="1"/>
  <c r="AK918" i="57"/>
  <c r="AM919" i="57"/>
  <c r="AN919" i="57"/>
  <c r="AL919" i="57" l="1"/>
  <c r="AK919" i="57"/>
  <c r="AM920" i="57"/>
  <c r="AN920" i="57"/>
  <c r="AL920" i="57" l="1"/>
  <c r="AK920" i="57"/>
  <c r="AM921" i="57"/>
  <c r="AN921" i="57"/>
  <c r="AL921" i="57" l="1"/>
  <c r="AK921" i="57"/>
  <c r="AM922" i="57"/>
  <c r="AN922" i="57"/>
  <c r="AM909" i="57"/>
  <c r="AN909" i="57"/>
  <c r="AL922" i="57" l="1"/>
  <c r="AK922" i="57"/>
  <c r="AL909" i="57"/>
  <c r="AK909" i="57"/>
  <c r="AM910" i="57"/>
  <c r="AN910" i="57"/>
  <c r="AM874" i="57"/>
  <c r="AN874" i="57"/>
  <c r="AL910" i="57" l="1"/>
  <c r="AK910" i="57"/>
  <c r="AL874" i="57"/>
  <c r="AK874" i="57"/>
  <c r="AM875" i="57"/>
  <c r="AN875" i="57"/>
  <c r="AL875" i="57" l="1"/>
  <c r="AK875" i="57"/>
  <c r="AM876" i="57"/>
  <c r="AN876" i="57"/>
  <c r="AL876" i="57" l="1"/>
  <c r="AK876" i="57"/>
  <c r="AM877" i="57"/>
  <c r="AN877" i="57"/>
  <c r="AL877" i="57" l="1"/>
  <c r="AK877" i="57"/>
  <c r="AM878" i="57"/>
  <c r="AN878" i="57"/>
  <c r="AL878" i="57" l="1"/>
  <c r="AK878" i="57"/>
  <c r="AM879" i="57"/>
  <c r="AN879" i="57"/>
  <c r="AL879" i="57" l="1"/>
  <c r="AK879" i="57"/>
  <c r="AM880" i="57"/>
  <c r="AN880" i="57"/>
  <c r="AL880" i="57" l="1"/>
  <c r="AK880" i="57"/>
  <c r="AM881" i="57"/>
  <c r="AN881" i="57"/>
  <c r="AL881" i="57" l="1"/>
  <c r="AK881" i="57"/>
  <c r="AM882" i="57"/>
  <c r="AN882" i="57"/>
  <c r="AL882" i="57" l="1"/>
  <c r="AK882" i="57"/>
  <c r="AM883" i="57"/>
  <c r="AN883" i="57"/>
  <c r="AL883" i="57" l="1"/>
  <c r="AK883" i="57"/>
  <c r="AM884" i="57"/>
  <c r="AN884" i="57"/>
  <c r="AL884" i="57" l="1"/>
  <c r="AK884" i="57"/>
  <c r="AM885" i="57"/>
  <c r="AN885" i="57"/>
  <c r="AL885" i="57" l="1"/>
  <c r="AK885" i="57"/>
  <c r="AM886" i="57"/>
  <c r="AN886" i="57"/>
  <c r="AL886" i="57" l="1"/>
  <c r="AK886" i="57"/>
  <c r="AM887" i="57"/>
  <c r="AN887" i="57"/>
  <c r="AL887" i="57" l="1"/>
  <c r="AK887" i="57"/>
  <c r="AM888" i="57"/>
  <c r="AN888" i="57"/>
  <c r="AL888" i="57" l="1"/>
  <c r="AK888" i="57"/>
  <c r="AM889" i="57"/>
  <c r="AN889" i="57"/>
  <c r="AL889" i="57" l="1"/>
  <c r="AK889" i="57"/>
  <c r="AM890" i="57"/>
  <c r="AN890" i="57"/>
  <c r="AL890" i="57" l="1"/>
  <c r="AK890" i="57"/>
  <c r="AM891" i="57"/>
  <c r="AN891" i="57"/>
  <c r="AL891" i="57" l="1"/>
  <c r="AK891" i="57"/>
  <c r="AM892" i="57"/>
  <c r="AN892" i="57"/>
  <c r="AL892" i="57" l="1"/>
  <c r="AK892" i="57"/>
  <c r="AM893" i="57"/>
  <c r="AN893" i="57"/>
  <c r="AL893" i="57" l="1"/>
  <c r="AK893" i="57"/>
  <c r="AM894" i="57"/>
  <c r="AN894" i="57"/>
  <c r="AL894" i="57" l="1"/>
  <c r="AK894" i="57"/>
  <c r="AM895" i="57"/>
  <c r="AN895" i="57"/>
  <c r="AL895" i="57" l="1"/>
  <c r="AK895" i="57"/>
  <c r="AM896" i="57"/>
  <c r="AN896" i="57"/>
  <c r="AL896" i="57" l="1"/>
  <c r="AK896" i="57"/>
  <c r="AM897" i="57"/>
  <c r="AN897" i="57"/>
  <c r="AL897" i="57" l="1"/>
  <c r="AK897" i="57"/>
  <c r="AM898" i="57"/>
  <c r="AN898" i="57"/>
  <c r="AL898" i="57" l="1"/>
  <c r="AK898" i="57"/>
  <c r="AM899" i="57"/>
  <c r="AN899" i="57"/>
  <c r="AL899" i="57" l="1"/>
  <c r="AK899" i="57"/>
  <c r="AM900" i="57"/>
  <c r="AN900" i="57"/>
  <c r="AL900" i="57" l="1"/>
  <c r="AK900" i="57"/>
  <c r="AM901" i="57"/>
  <c r="AN901" i="57"/>
  <c r="AL901" i="57" l="1"/>
  <c r="AK901" i="57"/>
  <c r="AM902" i="57"/>
  <c r="AN902" i="57"/>
  <c r="AL902" i="57" l="1"/>
  <c r="AK902" i="57"/>
  <c r="AM903" i="57"/>
  <c r="AN903" i="57"/>
  <c r="AL903" i="57" l="1"/>
  <c r="AK903" i="57"/>
  <c r="AM904" i="57"/>
  <c r="AN904" i="57"/>
  <c r="AL904" i="57" l="1"/>
  <c r="AK904" i="57"/>
  <c r="AM905" i="57"/>
  <c r="AN905" i="57"/>
  <c r="AL905" i="57" l="1"/>
  <c r="AK905" i="57"/>
  <c r="AM906" i="57"/>
  <c r="AN906" i="57"/>
  <c r="AL906" i="57" l="1"/>
  <c r="AK906" i="57"/>
  <c r="AM907" i="57"/>
  <c r="AN907" i="57"/>
  <c r="AL907" i="57" l="1"/>
  <c r="AK907" i="57"/>
  <c r="AM908" i="57"/>
  <c r="AN908" i="57"/>
  <c r="AM872" i="57"/>
  <c r="AN872" i="57"/>
  <c r="AL908" i="57" l="1"/>
  <c r="AK908" i="57"/>
  <c r="AL872" i="57"/>
  <c r="AK872" i="57"/>
  <c r="AM873" i="57"/>
  <c r="AN873" i="57"/>
  <c r="AM806" i="57"/>
  <c r="AN806" i="57"/>
  <c r="AL873" i="57" l="1"/>
  <c r="AK873" i="57"/>
  <c r="AL806" i="57"/>
  <c r="AK806" i="57"/>
  <c r="AM807" i="57"/>
  <c r="AN807" i="57"/>
  <c r="AL807" i="57" l="1"/>
  <c r="AK807" i="57"/>
  <c r="AM808" i="57"/>
  <c r="AN808" i="57"/>
  <c r="AL808" i="57" l="1"/>
  <c r="AK808" i="57"/>
  <c r="AM809" i="57"/>
  <c r="AN809" i="57"/>
  <c r="AL809" i="57" l="1"/>
  <c r="AK809" i="57"/>
  <c r="AM810" i="57"/>
  <c r="AN810" i="57"/>
  <c r="AL810" i="57" l="1"/>
  <c r="AK810" i="57"/>
  <c r="AM811" i="57"/>
  <c r="AN811" i="57"/>
  <c r="AL811" i="57" l="1"/>
  <c r="AK811" i="57"/>
  <c r="AM812" i="57"/>
  <c r="AN812" i="57"/>
  <c r="AL812" i="57" l="1"/>
  <c r="AK812" i="57"/>
  <c r="AM813" i="57"/>
  <c r="AN813" i="57"/>
  <c r="AL813" i="57" l="1"/>
  <c r="AK813" i="57"/>
  <c r="AM814" i="57"/>
  <c r="AN814" i="57"/>
  <c r="AL814" i="57" l="1"/>
  <c r="AK814" i="57"/>
  <c r="AM815" i="57"/>
  <c r="AN815" i="57"/>
  <c r="AL815" i="57" l="1"/>
  <c r="AK815" i="57"/>
  <c r="AM816" i="57"/>
  <c r="AN816" i="57"/>
  <c r="AL816" i="57" l="1"/>
  <c r="AK816" i="57"/>
  <c r="AM817" i="57"/>
  <c r="AN817" i="57"/>
  <c r="AL817" i="57" l="1"/>
  <c r="AK817" i="57"/>
  <c r="AM818" i="57"/>
  <c r="AN818" i="57"/>
  <c r="AL818" i="57" l="1"/>
  <c r="AK818" i="57"/>
  <c r="AM819" i="57"/>
  <c r="AN819" i="57"/>
  <c r="AL819" i="57" l="1"/>
  <c r="AK819" i="57"/>
  <c r="AM820" i="57"/>
  <c r="AN820" i="57"/>
  <c r="AL820" i="57" l="1"/>
  <c r="AK820" i="57"/>
  <c r="AM821" i="57"/>
  <c r="AN821" i="57"/>
  <c r="AL821" i="57" l="1"/>
  <c r="AK821" i="57"/>
  <c r="AM822" i="57"/>
  <c r="AN822" i="57"/>
  <c r="AL822" i="57" l="1"/>
  <c r="AK822" i="57"/>
  <c r="AM823" i="57"/>
  <c r="AN823" i="57"/>
  <c r="AL823" i="57" l="1"/>
  <c r="AK823" i="57"/>
  <c r="AM824" i="57"/>
  <c r="AN824" i="57"/>
  <c r="AL824" i="57" l="1"/>
  <c r="AK824" i="57"/>
  <c r="AM825" i="57"/>
  <c r="AN825" i="57"/>
  <c r="AL825" i="57" l="1"/>
  <c r="AK825" i="57"/>
  <c r="AM826" i="57"/>
  <c r="AN826" i="57"/>
  <c r="AL826" i="57" l="1"/>
  <c r="AK826" i="57"/>
  <c r="AM827" i="57"/>
  <c r="AN827" i="57"/>
  <c r="AL827" i="57" l="1"/>
  <c r="AK827" i="57"/>
  <c r="AM828" i="57"/>
  <c r="AN828" i="57"/>
  <c r="AL828" i="57" l="1"/>
  <c r="AK828" i="57"/>
  <c r="AM829" i="57"/>
  <c r="AN829" i="57"/>
  <c r="AL829" i="57" l="1"/>
  <c r="AK829" i="57"/>
  <c r="AM830" i="57"/>
  <c r="AN830" i="57"/>
  <c r="AL830" i="57" l="1"/>
  <c r="AK830" i="57"/>
  <c r="AM831" i="57"/>
  <c r="AN831" i="57"/>
  <c r="AL831" i="57" l="1"/>
  <c r="AK831" i="57"/>
  <c r="AM832" i="57"/>
  <c r="AN832" i="57"/>
  <c r="AL832" i="57" l="1"/>
  <c r="AK832" i="57"/>
  <c r="AM833" i="57"/>
  <c r="AN833" i="57"/>
  <c r="AL833" i="57" l="1"/>
  <c r="AK833" i="57"/>
  <c r="AM834" i="57"/>
  <c r="AN834" i="57"/>
  <c r="AL834" i="57" l="1"/>
  <c r="AK834" i="57"/>
  <c r="AM835" i="57"/>
  <c r="AN835" i="57"/>
  <c r="AL835" i="57" l="1"/>
  <c r="AK835" i="57"/>
  <c r="AM836" i="57"/>
  <c r="AN836" i="57"/>
  <c r="AL836" i="57" l="1"/>
  <c r="AK836" i="57"/>
  <c r="AM837" i="57"/>
  <c r="AN837" i="57"/>
  <c r="AL837" i="57" l="1"/>
  <c r="AK837" i="57"/>
  <c r="AM838" i="57"/>
  <c r="AN838" i="57"/>
  <c r="AL838" i="57" l="1"/>
  <c r="AK838" i="57"/>
  <c r="AM839" i="57"/>
  <c r="AN839" i="57"/>
  <c r="AL839" i="57" l="1"/>
  <c r="AK839" i="57"/>
  <c r="AM840" i="57"/>
  <c r="AN840" i="57"/>
  <c r="AL840" i="57" l="1"/>
  <c r="AK840" i="57"/>
  <c r="AM841" i="57"/>
  <c r="AN841" i="57"/>
  <c r="AL841" i="57" l="1"/>
  <c r="AK841" i="57"/>
  <c r="AM842" i="57"/>
  <c r="AN842" i="57"/>
  <c r="AL842" i="57" l="1"/>
  <c r="AK842" i="57"/>
  <c r="AM843" i="57"/>
  <c r="AN843" i="57"/>
  <c r="AL843" i="57" l="1"/>
  <c r="AK843" i="57"/>
  <c r="AM844" i="57"/>
  <c r="AN844" i="57"/>
  <c r="AL844" i="57" l="1"/>
  <c r="AK844" i="57"/>
  <c r="AM845" i="57"/>
  <c r="AN845" i="57"/>
  <c r="AL845" i="57" l="1"/>
  <c r="AK845" i="57"/>
  <c r="AM846" i="57"/>
  <c r="AN846" i="57"/>
  <c r="AL846" i="57" l="1"/>
  <c r="AK846" i="57"/>
  <c r="AM847" i="57"/>
  <c r="AN847" i="57"/>
  <c r="AL847" i="57" l="1"/>
  <c r="AK847" i="57"/>
  <c r="AM848" i="57"/>
  <c r="AN848" i="57"/>
  <c r="AL848" i="57" l="1"/>
  <c r="AK848" i="57"/>
  <c r="AM849" i="57"/>
  <c r="AN849" i="57"/>
  <c r="AL849" i="57" l="1"/>
  <c r="AK849" i="57"/>
  <c r="AM850" i="57"/>
  <c r="AN850" i="57"/>
  <c r="AL850" i="57" l="1"/>
  <c r="AK850" i="57"/>
  <c r="AM851" i="57"/>
  <c r="AN851" i="57"/>
  <c r="AL851" i="57" l="1"/>
  <c r="AK851" i="57"/>
  <c r="AM852" i="57"/>
  <c r="AN852" i="57"/>
  <c r="AL852" i="57" l="1"/>
  <c r="AK852" i="57"/>
  <c r="AM853" i="57"/>
  <c r="AN853" i="57"/>
  <c r="AL853" i="57" l="1"/>
  <c r="AK853" i="57"/>
  <c r="AM854" i="57"/>
  <c r="AN854" i="57"/>
  <c r="AL854" i="57" l="1"/>
  <c r="AK854" i="57"/>
  <c r="AM855" i="57"/>
  <c r="AN855" i="57"/>
  <c r="AL855" i="57" l="1"/>
  <c r="AK855" i="57"/>
  <c r="AM856" i="57"/>
  <c r="AN856" i="57"/>
  <c r="AL856" i="57" l="1"/>
  <c r="AK856" i="57"/>
  <c r="AM857" i="57"/>
  <c r="AN857" i="57"/>
  <c r="AL857" i="57" l="1"/>
  <c r="AK857" i="57"/>
  <c r="AM858" i="57"/>
  <c r="AN858" i="57"/>
  <c r="AL858" i="57" l="1"/>
  <c r="AK858" i="57"/>
  <c r="AM859" i="57"/>
  <c r="AN859" i="57"/>
  <c r="AL859" i="57" l="1"/>
  <c r="AK859" i="57"/>
  <c r="AM860" i="57"/>
  <c r="AN860" i="57"/>
  <c r="AL860" i="57" l="1"/>
  <c r="AK860" i="57"/>
  <c r="AM861" i="57"/>
  <c r="AN861" i="57"/>
  <c r="AL861" i="57" l="1"/>
  <c r="AK861" i="57"/>
  <c r="AM862" i="57"/>
  <c r="AN862" i="57"/>
  <c r="AL862" i="57" l="1"/>
  <c r="AK862" i="57"/>
  <c r="AM863" i="57"/>
  <c r="AN863" i="57"/>
  <c r="AL863" i="57" l="1"/>
  <c r="AK863" i="57"/>
  <c r="AM864" i="57"/>
  <c r="AN864" i="57"/>
  <c r="AL864" i="57" l="1"/>
  <c r="AK864" i="57"/>
  <c r="AM865" i="57"/>
  <c r="AN865" i="57"/>
  <c r="AL865" i="57" l="1"/>
  <c r="AK865" i="57"/>
  <c r="AM866" i="57"/>
  <c r="AN866" i="57"/>
  <c r="AL866" i="57" l="1"/>
  <c r="AK866" i="57"/>
  <c r="AM867" i="57"/>
  <c r="AN867" i="57"/>
  <c r="AL867" i="57" l="1"/>
  <c r="AK867" i="57"/>
  <c r="AM868" i="57"/>
  <c r="AN868" i="57"/>
  <c r="AL868" i="57" l="1"/>
  <c r="AK868" i="57"/>
  <c r="AM869" i="57"/>
  <c r="AN869" i="57"/>
  <c r="AL869" i="57" l="1"/>
  <c r="AK869" i="57"/>
  <c r="AM870" i="57"/>
  <c r="AN870" i="57"/>
  <c r="AL870" i="57" l="1"/>
  <c r="AK870" i="57"/>
  <c r="AM871" i="57"/>
  <c r="AN871" i="57"/>
  <c r="AL871" i="57" l="1"/>
  <c r="AK871" i="57"/>
  <c r="AG922" i="57"/>
  <c r="Y922" i="57"/>
  <c r="AA922" i="57" l="1"/>
  <c r="AB922" i="57" s="1"/>
  <c r="Q922" i="57"/>
  <c r="T922" i="57" s="1"/>
  <c r="O922" i="57"/>
  <c r="N922" i="57"/>
  <c r="AG921" i="57"/>
  <c r="Y921" i="57"/>
  <c r="AA921" i="57" l="1"/>
  <c r="AB921" i="57" s="1"/>
  <c r="Q921" i="57"/>
  <c r="T921" i="57" s="1"/>
  <c r="O921" i="57"/>
  <c r="N921" i="57"/>
  <c r="AG920" i="57"/>
  <c r="Y920" i="57"/>
  <c r="AA920" i="57" l="1"/>
  <c r="AB920" i="57" s="1"/>
  <c r="Q920" i="57"/>
  <c r="T920" i="57" s="1"/>
  <c r="O920" i="57"/>
  <c r="N920" i="57"/>
  <c r="AG919" i="57"/>
  <c r="Y919" i="57"/>
  <c r="AA919" i="57" l="1"/>
  <c r="AB919" i="57" s="1"/>
  <c r="Q919" i="57"/>
  <c r="T919" i="57" s="1"/>
  <c r="O919" i="57"/>
  <c r="N919" i="57"/>
  <c r="AG918" i="57"/>
  <c r="Y918" i="57"/>
  <c r="AA918" i="57" l="1"/>
  <c r="AB918" i="57" s="1"/>
  <c r="T918" i="57"/>
  <c r="O918" i="57"/>
  <c r="N918" i="57"/>
  <c r="AG917" i="57"/>
  <c r="Y917" i="57"/>
  <c r="AA917" i="57" l="1"/>
  <c r="AB917" i="57" s="1"/>
  <c r="Q917" i="57"/>
  <c r="T917" i="57" s="1"/>
  <c r="O917" i="57"/>
  <c r="N917" i="57"/>
  <c r="AG916" i="57"/>
  <c r="Y916" i="57"/>
  <c r="AA916" i="57" l="1"/>
  <c r="AB916" i="57" s="1"/>
  <c r="Q916" i="57"/>
  <c r="T916" i="57" s="1"/>
  <c r="O916" i="57"/>
  <c r="N916" i="57"/>
  <c r="AG915" i="57"/>
  <c r="Y915" i="57"/>
  <c r="AA915" i="57" l="1"/>
  <c r="AB915" i="57" s="1"/>
  <c r="Q915" i="57"/>
  <c r="T915" i="57" s="1"/>
  <c r="O915" i="57"/>
  <c r="N915" i="57"/>
  <c r="AG914" i="57"/>
  <c r="Y914" i="57"/>
  <c r="AA914" i="57" l="1"/>
  <c r="AB914" i="57" s="1"/>
  <c r="Q914" i="57"/>
  <c r="T914" i="57" s="1"/>
  <c r="O914" i="57"/>
  <c r="N914" i="57"/>
  <c r="AG913" i="57"/>
  <c r="Y913" i="57"/>
  <c r="AA913" i="57" l="1"/>
  <c r="AB913" i="57" s="1"/>
  <c r="Q913" i="57"/>
  <c r="T913" i="57" s="1"/>
  <c r="O913" i="57"/>
  <c r="N913" i="57"/>
  <c r="AG912" i="57"/>
  <c r="Y912" i="57"/>
  <c r="AA912" i="57" l="1"/>
  <c r="AB912" i="57" s="1"/>
  <c r="Q912" i="57"/>
  <c r="T912" i="57" s="1"/>
  <c r="O912" i="57"/>
  <c r="N912" i="57"/>
  <c r="AG911" i="57"/>
  <c r="Y911" i="57"/>
  <c r="AA911" i="57" l="1"/>
  <c r="AB911" i="57" s="1"/>
  <c r="Q911" i="57"/>
  <c r="T911" i="57" s="1"/>
  <c r="O911" i="57"/>
  <c r="N911" i="57"/>
  <c r="AG910" i="57"/>
  <c r="Y910" i="57"/>
  <c r="AA910" i="57" l="1"/>
  <c r="AB910" i="57" s="1"/>
  <c r="Q910" i="57"/>
  <c r="T910" i="57" s="1"/>
  <c r="O910" i="57"/>
  <c r="N910" i="57"/>
  <c r="AG909" i="57"/>
  <c r="Y909" i="57"/>
  <c r="AA909" i="57" l="1"/>
  <c r="AB909" i="57" s="1"/>
  <c r="Q909" i="57"/>
  <c r="T909" i="57" s="1"/>
  <c r="O909" i="57"/>
  <c r="N909" i="57"/>
  <c r="AG908" i="57"/>
  <c r="Y908" i="57"/>
  <c r="AA908" i="57" l="1"/>
  <c r="AB908" i="57" s="1"/>
  <c r="T908" i="57"/>
  <c r="O908" i="57"/>
  <c r="N908" i="57"/>
  <c r="AG907" i="57"/>
  <c r="Y907" i="57"/>
  <c r="AA907" i="57" l="1"/>
  <c r="AB907" i="57" s="1"/>
  <c r="T907" i="57"/>
  <c r="O907" i="57"/>
  <c r="N907" i="57"/>
  <c r="AG906" i="57"/>
  <c r="Y906" i="57"/>
  <c r="AA906" i="57" l="1"/>
  <c r="AB906" i="57" s="1"/>
  <c r="Q906" i="57"/>
  <c r="T906" i="57" s="1"/>
  <c r="O906" i="57"/>
  <c r="N906" i="57"/>
  <c r="AG905" i="57"/>
  <c r="Y905" i="57"/>
  <c r="AA905" i="57" l="1"/>
  <c r="AB905" i="57" s="1"/>
  <c r="Q905" i="57"/>
  <c r="T905" i="57" s="1"/>
  <c r="O905" i="57"/>
  <c r="N905" i="57"/>
  <c r="AG904" i="57"/>
  <c r="Y904" i="57"/>
  <c r="AA904" i="57" l="1"/>
  <c r="AB904" i="57" s="1"/>
  <c r="Q904" i="57"/>
  <c r="T904" i="57" s="1"/>
  <c r="O904" i="57"/>
  <c r="N904" i="57"/>
  <c r="AG903" i="57"/>
  <c r="Y903" i="57"/>
  <c r="AA903" i="57" l="1"/>
  <c r="AB903" i="57" s="1"/>
  <c r="Q903" i="57"/>
  <c r="T903" i="57" s="1"/>
  <c r="O903" i="57"/>
  <c r="N903" i="57"/>
  <c r="AG902" i="57"/>
  <c r="Y902" i="57"/>
  <c r="AA902" i="57" l="1"/>
  <c r="AB902" i="57" s="1"/>
  <c r="Q902" i="57"/>
  <c r="T902" i="57" s="1"/>
  <c r="O902" i="57"/>
  <c r="N902" i="57"/>
  <c r="AG901" i="57"/>
  <c r="Y901" i="57"/>
  <c r="AA901" i="57" l="1"/>
  <c r="AB901" i="57" s="1"/>
  <c r="Q901" i="57"/>
  <c r="T901" i="57" s="1"/>
  <c r="O901" i="57"/>
  <c r="N901" i="57"/>
  <c r="AG900" i="57"/>
  <c r="Y900" i="57"/>
  <c r="AA900" i="57" l="1"/>
  <c r="AB900" i="57" s="1"/>
  <c r="Q900" i="57"/>
  <c r="T900" i="57" s="1"/>
  <c r="O900" i="57"/>
  <c r="N900" i="57"/>
  <c r="AG899" i="57"/>
  <c r="Y899" i="57"/>
  <c r="AA899" i="57" l="1"/>
  <c r="AB899" i="57" s="1"/>
  <c r="Q899" i="57"/>
  <c r="T899" i="57" s="1"/>
  <c r="O899" i="57"/>
  <c r="N899" i="57"/>
  <c r="AG898" i="57"/>
  <c r="Y898" i="57"/>
  <c r="AA898" i="57" l="1"/>
  <c r="AB898" i="57" s="1"/>
  <c r="Q898" i="57"/>
  <c r="T898" i="57" s="1"/>
  <c r="O898" i="57"/>
  <c r="N898" i="57"/>
  <c r="AG897" i="57"/>
  <c r="Y897" i="57"/>
  <c r="AA897" i="57" l="1"/>
  <c r="AB897" i="57" s="1"/>
  <c r="Q897" i="57"/>
  <c r="T897" i="57" s="1"/>
  <c r="O897" i="57"/>
  <c r="N897" i="57"/>
  <c r="AG896" i="57"/>
  <c r="Y896" i="57"/>
  <c r="AA896" i="57" l="1"/>
  <c r="AB896" i="57" s="1"/>
  <c r="Q896" i="57"/>
  <c r="T896" i="57" s="1"/>
  <c r="O896" i="57"/>
  <c r="N896" i="57"/>
  <c r="AG895" i="57"/>
  <c r="Y895" i="57"/>
  <c r="AA895" i="57" l="1"/>
  <c r="AB895" i="57" s="1"/>
  <c r="Q895" i="57"/>
  <c r="T895" i="57" s="1"/>
  <c r="O895" i="57"/>
  <c r="N895" i="57"/>
  <c r="AG894" i="57"/>
  <c r="Y894" i="57"/>
  <c r="AA894" i="57" l="1"/>
  <c r="AB894" i="57" s="1"/>
  <c r="Q894" i="57"/>
  <c r="T894" i="57" s="1"/>
  <c r="O894" i="57"/>
  <c r="N894" i="57"/>
  <c r="AG893" i="57"/>
  <c r="Y893" i="57"/>
  <c r="AA893" i="57" l="1"/>
  <c r="AB893" i="57" s="1"/>
  <c r="T893" i="57"/>
  <c r="O893" i="57"/>
  <c r="N893" i="57"/>
  <c r="AG892" i="57"/>
  <c r="Y892" i="57"/>
  <c r="AA892" i="57" l="1"/>
  <c r="AB892" i="57" s="1"/>
  <c r="Q892" i="57"/>
  <c r="T892" i="57" s="1"/>
  <c r="O892" i="57"/>
  <c r="N892" i="57"/>
  <c r="AG891" i="57"/>
  <c r="Y891" i="57"/>
  <c r="AA891" i="57" l="1"/>
  <c r="AB891" i="57" s="1"/>
  <c r="T891" i="57"/>
  <c r="O891" i="57"/>
  <c r="N891" i="57"/>
  <c r="AG890" i="57"/>
  <c r="Y890" i="57"/>
  <c r="AA890" i="57" l="1"/>
  <c r="AB890" i="57" s="1"/>
  <c r="T890" i="57"/>
  <c r="O890" i="57"/>
  <c r="N890" i="57"/>
  <c r="AG889" i="57"/>
  <c r="Y889" i="57"/>
  <c r="AA889" i="57" l="1"/>
  <c r="AB889" i="57" s="1"/>
  <c r="Q889" i="57"/>
  <c r="T889" i="57" s="1"/>
  <c r="O889" i="57"/>
  <c r="N889" i="57"/>
  <c r="AG888" i="57"/>
  <c r="Y888" i="57"/>
  <c r="AA888" i="57" l="1"/>
  <c r="AB888" i="57" s="1"/>
  <c r="Q888" i="57"/>
  <c r="T888" i="57" s="1"/>
  <c r="O888" i="57"/>
  <c r="N888" i="57"/>
  <c r="AG887" i="57"/>
  <c r="Y887" i="57"/>
  <c r="AA887" i="57" l="1"/>
  <c r="AB887" i="57" s="1"/>
  <c r="T887" i="57"/>
  <c r="O887" i="57"/>
  <c r="N887" i="57"/>
  <c r="AG886" i="57"/>
  <c r="Y886" i="57"/>
  <c r="AA886" i="57" l="1"/>
  <c r="AB886" i="57" s="1"/>
  <c r="Q886" i="57"/>
  <c r="T886" i="57" s="1"/>
  <c r="O886" i="57"/>
  <c r="N886" i="57"/>
  <c r="AG885" i="57"/>
  <c r="Y885" i="57"/>
  <c r="AA885" i="57" l="1"/>
  <c r="AB885" i="57" s="1"/>
  <c r="Q885" i="57"/>
  <c r="T885" i="57" s="1"/>
  <c r="O885" i="57"/>
  <c r="N885" i="57"/>
  <c r="AG884" i="57"/>
  <c r="Y884" i="57"/>
  <c r="AA884" i="57" l="1"/>
  <c r="AB884" i="57" s="1"/>
  <c r="Q884" i="57"/>
  <c r="T884" i="57" s="1"/>
  <c r="O884" i="57"/>
  <c r="N884" i="57"/>
  <c r="AG883" i="57"/>
  <c r="Y883" i="57"/>
  <c r="AA883" i="57" l="1"/>
  <c r="AB883" i="57" s="1"/>
  <c r="Q883" i="57"/>
  <c r="T883" i="57" s="1"/>
  <c r="O883" i="57"/>
  <c r="N883" i="57"/>
  <c r="AG882" i="57"/>
  <c r="Y882" i="57"/>
  <c r="AA882" i="57" l="1"/>
  <c r="AB882" i="57" s="1"/>
  <c r="Q882" i="57"/>
  <c r="T882" i="57" s="1"/>
  <c r="O882" i="57"/>
  <c r="N882" i="57"/>
  <c r="AG881" i="57"/>
  <c r="Y881" i="57"/>
  <c r="AA881" i="57" l="1"/>
  <c r="AB881" i="57" s="1"/>
  <c r="Q881" i="57"/>
  <c r="T881" i="57" s="1"/>
  <c r="O881" i="57"/>
  <c r="N881" i="57"/>
  <c r="AG880" i="57"/>
  <c r="Y880" i="57"/>
  <c r="AA880" i="57" l="1"/>
  <c r="AB880" i="57" s="1"/>
  <c r="Q880" i="57"/>
  <c r="T880" i="57" s="1"/>
  <c r="O880" i="57"/>
  <c r="N880" i="57"/>
  <c r="AG879" i="57"/>
  <c r="Y879" i="57"/>
  <c r="AA879" i="57" l="1"/>
  <c r="AB879" i="57" s="1"/>
  <c r="Q879" i="57"/>
  <c r="T879" i="57" s="1"/>
  <c r="O879" i="57"/>
  <c r="N879" i="57"/>
  <c r="AG878" i="57"/>
  <c r="Y878" i="57"/>
  <c r="AA878" i="57" l="1"/>
  <c r="AB878" i="57" s="1"/>
  <c r="T878" i="57"/>
  <c r="O878" i="57"/>
  <c r="N878" i="57"/>
  <c r="AG877" i="57"/>
  <c r="Y877" i="57"/>
  <c r="AA877" i="57" l="1"/>
  <c r="AB877" i="57" s="1"/>
  <c r="Q877" i="57"/>
  <c r="T877" i="57" s="1"/>
  <c r="O877" i="57"/>
  <c r="N877" i="57"/>
  <c r="AG876" i="57"/>
  <c r="Y876" i="57"/>
  <c r="AA876" i="57" l="1"/>
  <c r="AB876" i="57" s="1"/>
  <c r="T876" i="57"/>
  <c r="O876" i="57"/>
  <c r="N876" i="57"/>
  <c r="AG875" i="57"/>
  <c r="Y875" i="57"/>
  <c r="AA875" i="57" l="1"/>
  <c r="AB875" i="57" s="1"/>
  <c r="Q875" i="57"/>
  <c r="T875" i="57" s="1"/>
  <c r="O875" i="57"/>
  <c r="N875" i="57"/>
  <c r="AG874" i="57"/>
  <c r="Y874" i="57"/>
  <c r="AA874" i="57" l="1"/>
  <c r="AB874" i="57" s="1"/>
  <c r="Q874" i="57"/>
  <c r="T874" i="57" s="1"/>
  <c r="O874" i="57"/>
  <c r="N874" i="57"/>
  <c r="AG873" i="57"/>
  <c r="Y873" i="57"/>
  <c r="AA873" i="57" l="1"/>
  <c r="AB873" i="57" s="1"/>
  <c r="Q873" i="57"/>
  <c r="T873" i="57" s="1"/>
  <c r="O873" i="57"/>
  <c r="N873" i="57"/>
  <c r="AG872" i="57"/>
  <c r="Y872" i="57"/>
  <c r="AA872" i="57" l="1"/>
  <c r="AB872" i="57" s="1"/>
  <c r="Q872" i="57"/>
  <c r="T872" i="57" s="1"/>
  <c r="O872" i="57"/>
  <c r="N872" i="57"/>
  <c r="AG871" i="57"/>
  <c r="Y871" i="57"/>
  <c r="AA871" i="57" l="1"/>
  <c r="AB871" i="57" s="1"/>
  <c r="Q871" i="57"/>
  <c r="T871" i="57" s="1"/>
  <c r="O871" i="57"/>
  <c r="N871" i="57"/>
  <c r="AG870" i="57"/>
  <c r="Y870" i="57"/>
  <c r="AA870" i="57" l="1"/>
  <c r="AB870" i="57" s="1"/>
  <c r="Q870" i="57"/>
  <c r="T870" i="57" s="1"/>
  <c r="O870" i="57"/>
  <c r="N870" i="57"/>
  <c r="AG869" i="57"/>
  <c r="Y869" i="57"/>
  <c r="AA869" i="57" l="1"/>
  <c r="AB869" i="57" s="1"/>
  <c r="Q869" i="57"/>
  <c r="T869" i="57" s="1"/>
  <c r="O869" i="57"/>
  <c r="N869" i="57"/>
  <c r="AG868" i="57"/>
  <c r="Y868" i="57"/>
  <c r="AA868" i="57" l="1"/>
  <c r="AB868" i="57" s="1"/>
  <c r="Q868" i="57"/>
  <c r="T868" i="57" s="1"/>
  <c r="O868" i="57"/>
  <c r="N868" i="57"/>
  <c r="AG867" i="57"/>
  <c r="Y867" i="57"/>
  <c r="AA867" i="57" l="1"/>
  <c r="AB867" i="57" s="1"/>
  <c r="Q867" i="57"/>
  <c r="T867" i="57" s="1"/>
  <c r="O867" i="57"/>
  <c r="N867" i="57"/>
  <c r="AG866" i="57"/>
  <c r="Y866" i="57"/>
  <c r="AA866" i="57" l="1"/>
  <c r="AB866" i="57" s="1"/>
  <c r="Q866" i="57"/>
  <c r="T866" i="57" s="1"/>
  <c r="O866" i="57"/>
  <c r="N866" i="57"/>
  <c r="AG865" i="57"/>
  <c r="Y865" i="57"/>
  <c r="AA865" i="57" l="1"/>
  <c r="AB865" i="57" s="1"/>
  <c r="T865" i="57"/>
  <c r="O865" i="57"/>
  <c r="N865" i="57"/>
  <c r="AG864" i="57"/>
  <c r="Y864" i="57"/>
  <c r="AA864" i="57" l="1"/>
  <c r="AB864" i="57" s="1"/>
  <c r="Q864" i="57"/>
  <c r="T864" i="57" s="1"/>
  <c r="O864" i="57"/>
  <c r="N864" i="57"/>
  <c r="AG863" i="57"/>
  <c r="Y863" i="57"/>
  <c r="AA863" i="57" l="1"/>
  <c r="AB863" i="57" s="1"/>
  <c r="Q863" i="57"/>
  <c r="T863" i="57" s="1"/>
  <c r="O863" i="57"/>
  <c r="N863" i="57"/>
  <c r="AG862" i="57"/>
  <c r="Y862" i="57"/>
  <c r="AA862" i="57" l="1"/>
  <c r="AB862" i="57" s="1"/>
  <c r="Q862" i="57"/>
  <c r="T862" i="57" s="1"/>
  <c r="O862" i="57"/>
  <c r="N862" i="57"/>
  <c r="AG861" i="57"/>
  <c r="Y861" i="57"/>
  <c r="AA861" i="57" l="1"/>
  <c r="AB861" i="57" s="1"/>
  <c r="Q861" i="57"/>
  <c r="T861" i="57" s="1"/>
  <c r="O861" i="57"/>
  <c r="N861" i="57"/>
  <c r="AG860" i="57"/>
  <c r="Y860" i="57"/>
  <c r="AA860" i="57" l="1"/>
  <c r="AB860" i="57" s="1"/>
  <c r="Q860" i="57"/>
  <c r="T860" i="57" s="1"/>
  <c r="O860" i="57"/>
  <c r="N860" i="57"/>
  <c r="AG859" i="57"/>
  <c r="Y859" i="57"/>
  <c r="AA859" i="57" l="1"/>
  <c r="AB859" i="57" s="1"/>
  <c r="Q859" i="57"/>
  <c r="T859" i="57" s="1"/>
  <c r="O859" i="57"/>
  <c r="N859" i="57"/>
  <c r="AG858" i="57"/>
  <c r="Y858" i="57"/>
  <c r="AA858" i="57" l="1"/>
  <c r="AB858" i="57" s="1"/>
  <c r="T858" i="57"/>
  <c r="O858" i="57"/>
  <c r="N858" i="57"/>
  <c r="AG857" i="57"/>
  <c r="Y857" i="57"/>
  <c r="AA857" i="57" l="1"/>
  <c r="AB857" i="57" s="1"/>
  <c r="T857" i="57"/>
  <c r="O857" i="57"/>
  <c r="N857" i="57"/>
  <c r="AG856" i="57"/>
  <c r="Y856" i="57"/>
  <c r="AA856" i="57" l="1"/>
  <c r="AB856" i="57" s="1"/>
  <c r="T856" i="57"/>
  <c r="O856" i="57"/>
  <c r="N856" i="57"/>
  <c r="AG855" i="57"/>
  <c r="Y855" i="57"/>
  <c r="AA855" i="57" l="1"/>
  <c r="AB855" i="57" s="1"/>
  <c r="Q855" i="57"/>
  <c r="T855" i="57" s="1"/>
  <c r="O855" i="57"/>
  <c r="N855" i="57"/>
  <c r="AG854" i="57"/>
  <c r="Y854" i="57"/>
  <c r="AA854" i="57" l="1"/>
  <c r="AB854" i="57" s="1"/>
  <c r="Q854" i="57"/>
  <c r="T854" i="57" s="1"/>
  <c r="O854" i="57"/>
  <c r="N854" i="57"/>
  <c r="AG853" i="57"/>
  <c r="Y853" i="57"/>
  <c r="AA853" i="57" l="1"/>
  <c r="AB853" i="57" s="1"/>
  <c r="Q853" i="57"/>
  <c r="T853" i="57" s="1"/>
  <c r="O853" i="57"/>
  <c r="N853" i="57"/>
  <c r="AG852" i="57"/>
  <c r="Y852" i="57"/>
  <c r="AA852" i="57" l="1"/>
  <c r="AB852" i="57" s="1"/>
  <c r="Q852" i="57"/>
  <c r="T852" i="57" s="1"/>
  <c r="O852" i="57"/>
  <c r="N852" i="57"/>
  <c r="AG851" i="57"/>
  <c r="Y851" i="57"/>
  <c r="AA851" i="57" l="1"/>
  <c r="AB851" i="57" s="1"/>
  <c r="Q851" i="57"/>
  <c r="T851" i="57" s="1"/>
  <c r="O851" i="57"/>
  <c r="N851" i="57"/>
  <c r="AG850" i="57"/>
  <c r="Y850" i="57"/>
  <c r="AA850" i="57" l="1"/>
  <c r="AB850" i="57" s="1"/>
  <c r="T850" i="57"/>
  <c r="O850" i="57"/>
  <c r="N850" i="57"/>
  <c r="AG849" i="57"/>
  <c r="Y849" i="57"/>
  <c r="AA849" i="57" l="1"/>
  <c r="AB849" i="57" s="1"/>
  <c r="Q849" i="57"/>
  <c r="T849" i="57" s="1"/>
  <c r="O849" i="57"/>
  <c r="N849" i="57"/>
  <c r="AG848" i="57"/>
  <c r="Y848" i="57"/>
  <c r="AA848" i="57" l="1"/>
  <c r="AB848" i="57" s="1"/>
  <c r="Q848" i="57"/>
  <c r="T848" i="57" s="1"/>
  <c r="O848" i="57"/>
  <c r="N848" i="57"/>
  <c r="AG847" i="57"/>
  <c r="Y847" i="57"/>
  <c r="AA847" i="57" l="1"/>
  <c r="AB847" i="57" s="1"/>
  <c r="Q847" i="57"/>
  <c r="T847" i="57" s="1"/>
  <c r="O847" i="57"/>
  <c r="N847" i="57"/>
  <c r="AG846" i="57"/>
  <c r="Y846" i="57"/>
  <c r="AA846" i="57" l="1"/>
  <c r="AB846" i="57" s="1"/>
  <c r="Q846" i="57"/>
  <c r="T846" i="57" s="1"/>
  <c r="O846" i="57"/>
  <c r="N846" i="57"/>
  <c r="AG845" i="57"/>
  <c r="Y845" i="57"/>
  <c r="AA845" i="57" l="1"/>
  <c r="AB845" i="57" s="1"/>
  <c r="Q845" i="57"/>
  <c r="T845" i="57" s="1"/>
  <c r="O845" i="57"/>
  <c r="N845" i="57"/>
  <c r="AG844" i="57"/>
  <c r="Y844" i="57"/>
  <c r="AA844" i="57" l="1"/>
  <c r="AB844" i="57" s="1"/>
  <c r="Q844" i="57"/>
  <c r="T844" i="57" s="1"/>
  <c r="O844" i="57"/>
  <c r="N844" i="57"/>
  <c r="AG843" i="57"/>
  <c r="Y843" i="57"/>
  <c r="AA843" i="57" l="1"/>
  <c r="AB843" i="57" s="1"/>
  <c r="Q843" i="57"/>
  <c r="T843" i="57" s="1"/>
  <c r="O843" i="57"/>
  <c r="N843" i="57"/>
  <c r="AG842" i="57"/>
  <c r="Y842" i="57"/>
  <c r="AA842" i="57" l="1"/>
  <c r="AB842" i="57" s="1"/>
  <c r="T842" i="57"/>
  <c r="O842" i="57"/>
  <c r="N842" i="57"/>
  <c r="AG841" i="57"/>
  <c r="Y841" i="57"/>
  <c r="AA841" i="57" l="1"/>
  <c r="AB841" i="57" s="1"/>
  <c r="T841" i="57"/>
  <c r="O841" i="57"/>
  <c r="N841" i="57"/>
  <c r="AG840" i="57"/>
  <c r="Y840" i="57"/>
  <c r="AA840" i="57" l="1"/>
  <c r="AB840" i="57" s="1"/>
  <c r="Q840" i="57"/>
  <c r="T840" i="57" s="1"/>
  <c r="O840" i="57"/>
  <c r="N840" i="57"/>
  <c r="AG839" i="57"/>
  <c r="Y839" i="57"/>
  <c r="AA839" i="57" l="1"/>
  <c r="AB839" i="57" s="1"/>
  <c r="Q839" i="57"/>
  <c r="T839" i="57" s="1"/>
  <c r="O839" i="57"/>
  <c r="N839" i="57"/>
  <c r="AG838" i="57"/>
  <c r="Y838" i="57"/>
  <c r="AA838" i="57" l="1"/>
  <c r="AB838" i="57" s="1"/>
  <c r="Q838" i="57"/>
  <c r="T838" i="57" s="1"/>
  <c r="O838" i="57"/>
  <c r="N838" i="57"/>
  <c r="AG837" i="57"/>
  <c r="Y837" i="57"/>
  <c r="AA837" i="57" l="1"/>
  <c r="AB837" i="57" s="1"/>
  <c r="Q837" i="57"/>
  <c r="T837" i="57" s="1"/>
  <c r="O837" i="57"/>
  <c r="N837" i="57"/>
  <c r="AG836" i="57"/>
  <c r="Y836" i="57"/>
  <c r="AA836" i="57" l="1"/>
  <c r="AB836" i="57" s="1"/>
  <c r="T836" i="57"/>
  <c r="O836" i="57"/>
  <c r="N836" i="57"/>
  <c r="AG835" i="57"/>
  <c r="Y835" i="57"/>
  <c r="AA835" i="57" l="1"/>
  <c r="AB835" i="57" s="1"/>
  <c r="Q835" i="57"/>
  <c r="T835" i="57" s="1"/>
  <c r="O835" i="57"/>
  <c r="N835" i="57"/>
  <c r="AG834" i="57"/>
  <c r="Y834" i="57"/>
  <c r="AA834" i="57" l="1"/>
  <c r="AB834" i="57" s="1"/>
  <c r="Q834" i="57"/>
  <c r="T834" i="57" s="1"/>
  <c r="O834" i="57"/>
  <c r="N834" i="57"/>
  <c r="AG833" i="57"/>
  <c r="Y833" i="57"/>
  <c r="AA833" i="57" l="1"/>
  <c r="AB833" i="57" s="1"/>
  <c r="Q833" i="57"/>
  <c r="T833" i="57" s="1"/>
  <c r="O833" i="57"/>
  <c r="N833" i="57"/>
  <c r="AG832" i="57"/>
  <c r="Y832" i="57"/>
  <c r="AA832" i="57" l="1"/>
  <c r="AB832" i="57" s="1"/>
  <c r="Q832" i="57"/>
  <c r="T832" i="57" s="1"/>
  <c r="O832" i="57"/>
  <c r="N832" i="57"/>
  <c r="AG831" i="57"/>
  <c r="Y831" i="57"/>
  <c r="AA831" i="57" l="1"/>
  <c r="AB831" i="57" s="1"/>
  <c r="Q831" i="57"/>
  <c r="T831" i="57" s="1"/>
  <c r="O831" i="57"/>
  <c r="N831" i="57"/>
  <c r="AG830" i="57"/>
  <c r="Y830" i="57"/>
  <c r="AA830" i="57" l="1"/>
  <c r="AB830" i="57" s="1"/>
  <c r="Q830" i="57"/>
  <c r="T830" i="57" s="1"/>
  <c r="O830" i="57"/>
  <c r="N830" i="57"/>
  <c r="AG829" i="57"/>
  <c r="Y829" i="57"/>
  <c r="AA829" i="57" l="1"/>
  <c r="AB829" i="57" s="1"/>
  <c r="Q829" i="57"/>
  <c r="T829" i="57" s="1"/>
  <c r="O829" i="57"/>
  <c r="N829" i="57"/>
  <c r="AG828" i="57"/>
  <c r="Y828" i="57"/>
  <c r="AA828" i="57" l="1"/>
  <c r="AB828" i="57" s="1"/>
  <c r="T828" i="57"/>
  <c r="O828" i="57"/>
  <c r="N828" i="57"/>
  <c r="AG827" i="57"/>
  <c r="Y827" i="57"/>
  <c r="AA827" i="57" l="1"/>
  <c r="AB827" i="57" s="1"/>
  <c r="Q827" i="57"/>
  <c r="T827" i="57" s="1"/>
  <c r="O827" i="57"/>
  <c r="N827" i="57"/>
  <c r="AG826" i="57"/>
  <c r="Y826" i="57"/>
  <c r="AA826" i="57" l="1"/>
  <c r="AB826" i="57" s="1"/>
  <c r="Q826" i="57"/>
  <c r="T826" i="57" s="1"/>
  <c r="O826" i="57"/>
  <c r="N826" i="57"/>
  <c r="AG825" i="57"/>
  <c r="Y825" i="57"/>
  <c r="AA825" i="57" l="1"/>
  <c r="AB825" i="57" s="1"/>
  <c r="Q825" i="57"/>
  <c r="T825" i="57" s="1"/>
  <c r="O825" i="57"/>
  <c r="N825" i="57"/>
  <c r="AG824" i="57"/>
  <c r="Y824" i="57"/>
  <c r="AA824" i="57" l="1"/>
  <c r="AB824" i="57" s="1"/>
  <c r="Q824" i="57"/>
  <c r="T824" i="57" s="1"/>
  <c r="O824" i="57"/>
  <c r="N824" i="57"/>
  <c r="AG823" i="57"/>
  <c r="Y823" i="57"/>
  <c r="AA823" i="57" l="1"/>
  <c r="AB823" i="57" s="1"/>
  <c r="Q823" i="57"/>
  <c r="T823" i="57" s="1"/>
  <c r="O823" i="57"/>
  <c r="N823" i="57"/>
  <c r="AG822" i="57"/>
  <c r="Y822" i="57"/>
  <c r="AA822" i="57" l="1"/>
  <c r="AB822" i="57" s="1"/>
  <c r="Q822" i="57"/>
  <c r="T822" i="57" s="1"/>
  <c r="O822" i="57"/>
  <c r="N822" i="57"/>
  <c r="AG821" i="57"/>
  <c r="Y821" i="57"/>
  <c r="AA821" i="57" l="1"/>
  <c r="AB821" i="57" s="1"/>
  <c r="Q821" i="57"/>
  <c r="T821" i="57" s="1"/>
  <c r="O821" i="57"/>
  <c r="N821" i="57"/>
  <c r="AG820" i="57"/>
  <c r="Y820" i="57"/>
  <c r="AA820" i="57" l="1"/>
  <c r="AB820" i="57" s="1"/>
  <c r="Q820" i="57"/>
  <c r="T820" i="57" s="1"/>
  <c r="O820" i="57"/>
  <c r="N820" i="57"/>
  <c r="AG819" i="57"/>
  <c r="Y819" i="57"/>
  <c r="AA819" i="57" l="1"/>
  <c r="AB819" i="57" s="1"/>
  <c r="Q819" i="57"/>
  <c r="T819" i="57" s="1"/>
  <c r="O819" i="57"/>
  <c r="N819" i="57"/>
  <c r="AG818" i="57"/>
  <c r="Y818" i="57"/>
  <c r="AA818" i="57" l="1"/>
  <c r="AB818" i="57" s="1"/>
  <c r="T818" i="57"/>
  <c r="O818" i="57"/>
  <c r="N818" i="57"/>
  <c r="AG817" i="57"/>
  <c r="Y817" i="57"/>
  <c r="AA817" i="57" l="1"/>
  <c r="AB817" i="57" s="1"/>
  <c r="Q817" i="57"/>
  <c r="T817" i="57" s="1"/>
  <c r="O817" i="57"/>
  <c r="N817" i="57"/>
  <c r="AG816" i="57"/>
  <c r="Y816" i="57"/>
  <c r="AA816" i="57" l="1"/>
  <c r="AB816" i="57" s="1"/>
  <c r="Q816" i="57"/>
  <c r="T816" i="57" s="1"/>
  <c r="O816" i="57"/>
  <c r="N816" i="57"/>
  <c r="AG815" i="57"/>
  <c r="Y815" i="57"/>
  <c r="AA815" i="57" l="1"/>
  <c r="AB815" i="57" s="1"/>
  <c r="Q815" i="57"/>
  <c r="T815" i="57" s="1"/>
  <c r="O815" i="57"/>
  <c r="N815" i="57"/>
  <c r="AG814" i="57"/>
  <c r="Y814" i="57"/>
  <c r="AA814" i="57" l="1"/>
  <c r="AB814" i="57" s="1"/>
  <c r="Q814" i="57"/>
  <c r="T814" i="57" s="1"/>
  <c r="O814" i="57"/>
  <c r="N814" i="57"/>
  <c r="AG813" i="57"/>
  <c r="Y813" i="57"/>
  <c r="AA813" i="57" l="1"/>
  <c r="AB813" i="57" s="1"/>
  <c r="Q813" i="57"/>
  <c r="T813" i="57" s="1"/>
  <c r="O813" i="57"/>
  <c r="N813" i="57"/>
  <c r="AG812" i="57"/>
  <c r="Y812" i="57"/>
  <c r="AA812" i="57" l="1"/>
  <c r="AB812" i="57" s="1"/>
  <c r="Q812" i="57"/>
  <c r="T812" i="57" s="1"/>
  <c r="O812" i="57"/>
  <c r="N812" i="57"/>
  <c r="AG811" i="57"/>
  <c r="Y811" i="57"/>
  <c r="AA811" i="57" l="1"/>
  <c r="AB811" i="57" s="1"/>
  <c r="T811" i="57"/>
  <c r="O811" i="57"/>
  <c r="N811" i="57"/>
  <c r="AG810" i="57"/>
  <c r="Y810" i="57"/>
  <c r="AA810" i="57" l="1"/>
  <c r="AB810" i="57" s="1"/>
  <c r="T810" i="57"/>
  <c r="O810" i="57"/>
  <c r="N810" i="57"/>
  <c r="AG809" i="57"/>
  <c r="Y809" i="57"/>
  <c r="AA809" i="57" l="1"/>
  <c r="AB809" i="57" s="1"/>
  <c r="Q809" i="57"/>
  <c r="T809" i="57" s="1"/>
  <c r="O809" i="57"/>
  <c r="N809" i="57"/>
  <c r="AG808" i="57"/>
  <c r="Y808" i="57"/>
  <c r="AA808" i="57" l="1"/>
  <c r="AB808" i="57" s="1"/>
  <c r="Q808" i="57"/>
  <c r="T808" i="57" s="1"/>
  <c r="O808" i="57"/>
  <c r="N808" i="57"/>
  <c r="AG807" i="57"/>
  <c r="Y807" i="57"/>
  <c r="AA807" i="57" l="1"/>
  <c r="AB807" i="57" s="1"/>
  <c r="Q807" i="57"/>
  <c r="T807" i="57" s="1"/>
  <c r="O807" i="57"/>
  <c r="N807" i="57"/>
  <c r="AG806" i="57"/>
  <c r="Y806" i="57"/>
  <c r="AA806" i="57" l="1"/>
  <c r="AB806" i="57" s="1"/>
  <c r="Q806" i="57"/>
  <c r="T806" i="57" s="1"/>
  <c r="O806" i="57"/>
  <c r="N806" i="57"/>
  <c r="AN805" i="57"/>
  <c r="AL805" i="57" s="1"/>
  <c r="AM805" i="57"/>
  <c r="AK805" i="57" s="1"/>
  <c r="AG805" i="57"/>
  <c r="Y805" i="57"/>
  <c r="AA805" i="57" l="1"/>
  <c r="AB805" i="57" s="1"/>
  <c r="T805" i="57"/>
  <c r="O805" i="57"/>
  <c r="N805" i="57"/>
  <c r="AM746" i="57"/>
  <c r="AN746" i="57"/>
  <c r="AL746" i="57" l="1"/>
  <c r="AK746" i="57"/>
  <c r="AM747" i="57"/>
  <c r="AN747" i="57"/>
  <c r="AL747" i="57" l="1"/>
  <c r="AK747" i="57"/>
  <c r="AM748" i="57"/>
  <c r="AN748" i="57"/>
  <c r="AL748" i="57" l="1"/>
  <c r="AK748" i="57"/>
  <c r="AM749" i="57"/>
  <c r="AN749" i="57"/>
  <c r="AL749" i="57" l="1"/>
  <c r="AK749" i="57"/>
  <c r="AM750" i="57"/>
  <c r="AN750" i="57"/>
  <c r="AL750" i="57" l="1"/>
  <c r="AK750" i="57"/>
  <c r="AM751" i="57"/>
  <c r="AN751" i="57"/>
  <c r="AL751" i="57" l="1"/>
  <c r="AK751" i="57"/>
  <c r="AM752" i="57"/>
  <c r="AN752" i="57"/>
  <c r="AL752" i="57" l="1"/>
  <c r="AK752" i="57"/>
  <c r="AM753" i="57"/>
  <c r="AN753" i="57"/>
  <c r="AL753" i="57" l="1"/>
  <c r="AK753" i="57"/>
  <c r="AM754" i="57"/>
  <c r="AN754" i="57"/>
  <c r="AL754" i="57" l="1"/>
  <c r="AK754" i="57"/>
  <c r="AM755" i="57"/>
  <c r="AN755" i="57"/>
  <c r="AL755" i="57" l="1"/>
  <c r="AK755" i="57"/>
  <c r="AM756" i="57"/>
  <c r="AN756" i="57"/>
  <c r="AL756" i="57" l="1"/>
  <c r="AK756" i="57"/>
  <c r="AM757" i="57"/>
  <c r="AN757" i="57"/>
  <c r="AL757" i="57" l="1"/>
  <c r="AK757" i="57"/>
  <c r="AM758" i="57"/>
  <c r="AN758" i="57"/>
  <c r="AL758" i="57" l="1"/>
  <c r="AK758" i="57"/>
  <c r="AM759" i="57"/>
  <c r="AN759" i="57"/>
  <c r="AL759" i="57" l="1"/>
  <c r="AK759" i="57"/>
  <c r="AM760" i="57"/>
  <c r="AN760" i="57"/>
  <c r="AL760" i="57" l="1"/>
  <c r="AK760" i="57"/>
  <c r="AM761" i="57"/>
  <c r="AN761" i="57"/>
  <c r="AL761" i="57" l="1"/>
  <c r="AK761" i="57"/>
  <c r="AM762" i="57"/>
  <c r="AN762" i="57"/>
  <c r="AL762" i="57" l="1"/>
  <c r="AK762" i="57"/>
  <c r="AM763" i="57"/>
  <c r="AN763" i="57"/>
  <c r="AL763" i="57" l="1"/>
  <c r="AK763" i="57"/>
  <c r="AM764" i="57"/>
  <c r="AN764" i="57"/>
  <c r="AL764" i="57" l="1"/>
  <c r="AK764" i="57"/>
  <c r="AM765" i="57"/>
  <c r="AN765" i="57"/>
  <c r="AL765" i="57" l="1"/>
  <c r="AK765" i="57"/>
  <c r="AM766" i="57"/>
  <c r="AN766" i="57"/>
  <c r="AL766" i="57" l="1"/>
  <c r="AK766" i="57"/>
  <c r="AM767" i="57"/>
  <c r="AN767" i="57"/>
  <c r="AL767" i="57" l="1"/>
  <c r="AK767" i="57"/>
  <c r="AM768" i="57"/>
  <c r="AN768" i="57"/>
  <c r="AL768" i="57" l="1"/>
  <c r="AK768" i="57"/>
  <c r="AM769" i="57"/>
  <c r="AN769" i="57"/>
  <c r="AL769" i="57" l="1"/>
  <c r="AK769" i="57"/>
  <c r="AM770" i="57"/>
  <c r="AN770" i="57"/>
  <c r="AL770" i="57" l="1"/>
  <c r="AK770" i="57"/>
  <c r="AM771" i="57"/>
  <c r="AN771" i="57"/>
  <c r="AL771" i="57" l="1"/>
  <c r="AK771" i="57"/>
  <c r="AM772" i="57"/>
  <c r="AN772" i="57"/>
  <c r="AL772" i="57" l="1"/>
  <c r="AK772" i="57"/>
  <c r="AM773" i="57"/>
  <c r="AN773" i="57"/>
  <c r="AL773" i="57" l="1"/>
  <c r="AK773" i="57"/>
  <c r="AM774" i="57"/>
  <c r="AN774" i="57"/>
  <c r="AL774" i="57" l="1"/>
  <c r="AK774" i="57"/>
  <c r="AM775" i="57"/>
  <c r="AN775" i="57"/>
  <c r="AL775" i="57" l="1"/>
  <c r="AK775" i="57"/>
  <c r="AM776" i="57"/>
  <c r="AN776" i="57"/>
  <c r="AL776" i="57" l="1"/>
  <c r="AK776" i="57"/>
  <c r="AM777" i="57"/>
  <c r="AN777" i="57"/>
  <c r="AL777" i="57" l="1"/>
  <c r="AK777" i="57"/>
  <c r="AM778" i="57"/>
  <c r="AN778" i="57"/>
  <c r="AL778" i="57" l="1"/>
  <c r="AK778" i="57"/>
  <c r="AM779" i="57"/>
  <c r="AN779" i="57"/>
  <c r="AL779" i="57" l="1"/>
  <c r="AK779" i="57"/>
  <c r="AM780" i="57"/>
  <c r="AN780" i="57"/>
  <c r="AL780" i="57" l="1"/>
  <c r="AK780" i="57"/>
  <c r="AM781" i="57"/>
  <c r="AN781" i="57"/>
  <c r="AL781" i="57" l="1"/>
  <c r="AK781" i="57"/>
  <c r="AM782" i="57"/>
  <c r="AN782" i="57"/>
  <c r="AL782" i="57" l="1"/>
  <c r="AK782" i="57"/>
  <c r="AM783" i="57"/>
  <c r="AN783" i="57"/>
  <c r="AL783" i="57" l="1"/>
  <c r="AK783" i="57"/>
  <c r="AM784" i="57"/>
  <c r="AN784" i="57"/>
  <c r="AL784" i="57" l="1"/>
  <c r="AK784" i="57"/>
  <c r="AM785" i="57"/>
  <c r="AN785" i="57"/>
  <c r="AL785" i="57" l="1"/>
  <c r="AK785" i="57"/>
  <c r="AM786" i="57"/>
  <c r="AN786" i="57"/>
  <c r="AL786" i="57" l="1"/>
  <c r="AK786" i="57"/>
  <c r="AM787" i="57"/>
  <c r="AN787" i="57"/>
  <c r="AL787" i="57" l="1"/>
  <c r="AK787" i="57"/>
  <c r="AM788" i="57"/>
  <c r="AN788" i="57"/>
  <c r="AL788" i="57" l="1"/>
  <c r="AK788" i="57"/>
  <c r="AM789" i="57"/>
  <c r="AN789" i="57"/>
  <c r="AL789" i="57" l="1"/>
  <c r="AK789" i="57"/>
  <c r="AM790" i="57"/>
  <c r="AN790" i="57"/>
  <c r="AL790" i="57" l="1"/>
  <c r="AK790" i="57"/>
  <c r="AM791" i="57"/>
  <c r="AN791" i="57"/>
  <c r="AL791" i="57" l="1"/>
  <c r="AK791" i="57"/>
  <c r="AM792" i="57"/>
  <c r="AN792" i="57"/>
  <c r="AL792" i="57" l="1"/>
  <c r="AK792" i="57"/>
  <c r="AM793" i="57"/>
  <c r="AN793" i="57"/>
  <c r="AL793" i="57" l="1"/>
  <c r="AK793" i="57"/>
  <c r="AM794" i="57"/>
  <c r="AN794" i="57"/>
  <c r="AL794" i="57" l="1"/>
  <c r="AK794" i="57"/>
  <c r="AM795" i="57"/>
  <c r="AN795" i="57"/>
  <c r="AL795" i="57" l="1"/>
  <c r="AK795" i="57"/>
  <c r="AM796" i="57"/>
  <c r="AN796" i="57"/>
  <c r="AL796" i="57" l="1"/>
  <c r="AK796" i="57"/>
  <c r="AM797" i="57"/>
  <c r="AN797" i="57"/>
  <c r="AL797" i="57" l="1"/>
  <c r="AK797" i="57"/>
  <c r="AM798" i="57"/>
  <c r="AN798" i="57"/>
  <c r="AL798" i="57" l="1"/>
  <c r="AK798" i="57"/>
  <c r="AM799" i="57"/>
  <c r="AN799" i="57"/>
  <c r="AL799" i="57" l="1"/>
  <c r="AK799" i="57"/>
  <c r="AM800" i="57"/>
  <c r="AN800" i="57"/>
  <c r="AL800" i="57" l="1"/>
  <c r="AK800" i="57"/>
  <c r="AM801" i="57"/>
  <c r="AN801" i="57"/>
  <c r="AL801" i="57" l="1"/>
  <c r="AK801" i="57"/>
  <c r="AM802" i="57"/>
  <c r="AN802" i="57"/>
  <c r="AM743" i="57"/>
  <c r="AN743" i="57"/>
  <c r="AL802" i="57" l="1"/>
  <c r="AK802" i="57"/>
  <c r="AL743" i="57"/>
  <c r="AK743" i="57"/>
  <c r="AM744" i="57"/>
  <c r="AN744" i="57"/>
  <c r="AL744" i="57" l="1"/>
  <c r="AK744" i="57"/>
  <c r="AM745" i="57"/>
  <c r="AN745" i="57"/>
  <c r="AN720" i="57"/>
  <c r="AM720" i="57"/>
  <c r="AL745" i="57" l="1"/>
  <c r="AK745" i="57"/>
  <c r="AL720" i="57"/>
  <c r="AK720" i="57"/>
  <c r="AM722" i="57"/>
  <c r="AN722" i="57"/>
  <c r="AL722" i="57" l="1"/>
  <c r="AK722" i="57"/>
  <c r="AM723" i="57"/>
  <c r="AN723" i="57"/>
  <c r="AL723" i="57" l="1"/>
  <c r="AK723" i="57"/>
  <c r="AM724" i="57"/>
  <c r="AN724" i="57"/>
  <c r="AL724" i="57" l="1"/>
  <c r="AK724" i="57"/>
  <c r="AM725" i="57"/>
  <c r="AN725" i="57"/>
  <c r="AL725" i="57" l="1"/>
  <c r="AK725" i="57"/>
  <c r="AM726" i="57"/>
  <c r="AN726" i="57"/>
  <c r="AL726" i="57" l="1"/>
  <c r="AK726" i="57"/>
  <c r="AM727" i="57"/>
  <c r="AN727" i="57"/>
  <c r="AL727" i="57" l="1"/>
  <c r="AK727" i="57"/>
  <c r="AM728" i="57"/>
  <c r="AN728" i="57"/>
  <c r="AL728" i="57" l="1"/>
  <c r="AK728" i="57"/>
  <c r="AM729" i="57"/>
  <c r="AN729" i="57"/>
  <c r="AL729" i="57" l="1"/>
  <c r="AK729" i="57"/>
  <c r="AM730" i="57"/>
  <c r="AN730" i="57"/>
  <c r="AL730" i="57" l="1"/>
  <c r="AK730" i="57"/>
  <c r="AM731" i="57"/>
  <c r="AN731" i="57"/>
  <c r="AL731" i="57" l="1"/>
  <c r="AK731" i="57"/>
  <c r="AM732" i="57"/>
  <c r="AN732" i="57"/>
  <c r="AL732" i="57" l="1"/>
  <c r="AK732" i="57"/>
  <c r="AM733" i="57"/>
  <c r="AN733" i="57"/>
  <c r="AL733" i="57" l="1"/>
  <c r="AK733" i="57"/>
  <c r="AM734" i="57"/>
  <c r="AN734" i="57"/>
  <c r="AL734" i="57" l="1"/>
  <c r="AK734" i="57"/>
  <c r="AM735" i="57"/>
  <c r="AN735" i="57"/>
  <c r="AL735" i="57" l="1"/>
  <c r="AK735" i="57"/>
  <c r="AM736" i="57"/>
  <c r="AN736" i="57"/>
  <c r="AL736" i="57" l="1"/>
  <c r="AK736" i="57"/>
  <c r="AM737" i="57"/>
  <c r="AN737" i="57"/>
  <c r="AL737" i="57" l="1"/>
  <c r="AK737" i="57"/>
  <c r="AM738" i="57"/>
  <c r="AN738" i="57"/>
  <c r="AL738" i="57" l="1"/>
  <c r="AK738" i="57"/>
  <c r="AM739" i="57"/>
  <c r="AN739" i="57"/>
  <c r="AL739" i="57" l="1"/>
  <c r="AK739" i="57"/>
  <c r="AM740" i="57"/>
  <c r="AN740" i="57"/>
  <c r="AL740" i="57" l="1"/>
  <c r="AK740" i="57"/>
  <c r="AM741" i="57"/>
  <c r="AN741" i="57"/>
  <c r="AL741" i="57" l="1"/>
  <c r="AK741" i="57"/>
  <c r="AM742" i="57"/>
  <c r="AN742" i="57"/>
  <c r="AL742" i="57" l="1"/>
  <c r="AK742" i="57"/>
  <c r="AM721" i="57"/>
  <c r="AN721" i="57"/>
  <c r="AM710" i="57"/>
  <c r="AN710" i="57"/>
  <c r="AL721" i="57" l="1"/>
  <c r="AK721" i="57"/>
  <c r="AL710" i="57"/>
  <c r="AK710" i="57"/>
  <c r="AM711" i="57"/>
  <c r="AN711" i="57"/>
  <c r="AL711" i="57" l="1"/>
  <c r="AK711" i="57"/>
  <c r="AM712" i="57"/>
  <c r="AN712" i="57"/>
  <c r="AL712" i="57" l="1"/>
  <c r="AK712" i="57"/>
  <c r="AM713" i="57"/>
  <c r="AN713" i="57"/>
  <c r="AL713" i="57" l="1"/>
  <c r="AK713" i="57"/>
  <c r="AM714" i="57"/>
  <c r="AN714" i="57"/>
  <c r="AL714" i="57" l="1"/>
  <c r="AK714" i="57"/>
  <c r="AM715" i="57"/>
  <c r="AN715" i="57"/>
  <c r="AL715" i="57" l="1"/>
  <c r="AK715" i="57"/>
  <c r="AM716" i="57"/>
  <c r="AN716" i="57"/>
  <c r="AL716" i="57" l="1"/>
  <c r="AK716" i="57"/>
  <c r="AM717" i="57"/>
  <c r="AN717" i="57"/>
  <c r="AL717" i="57" l="1"/>
  <c r="AK717" i="57"/>
  <c r="AM718" i="57"/>
  <c r="AN718" i="57"/>
  <c r="AL718" i="57" l="1"/>
  <c r="AK718" i="57"/>
  <c r="AM719" i="57"/>
  <c r="AN719" i="57"/>
  <c r="AM708" i="57"/>
  <c r="AN708" i="57"/>
  <c r="AL719" i="57" l="1"/>
  <c r="AK719" i="57"/>
  <c r="AL708" i="57"/>
  <c r="AK708" i="57"/>
  <c r="AM709" i="57"/>
  <c r="AN709" i="57"/>
  <c r="AM696" i="57"/>
  <c r="AN696" i="57"/>
  <c r="AL709" i="57" l="1"/>
  <c r="AK709" i="57"/>
  <c r="AL696" i="57"/>
  <c r="AK696" i="57"/>
  <c r="AM697" i="57"/>
  <c r="AN697" i="57"/>
  <c r="AL697" i="57" l="1"/>
  <c r="AK697" i="57"/>
  <c r="AM698" i="57"/>
  <c r="AN698" i="57"/>
  <c r="AL698" i="57" l="1"/>
  <c r="AK698" i="57"/>
  <c r="AM699" i="57"/>
  <c r="AN699" i="57"/>
  <c r="AL699" i="57" l="1"/>
  <c r="AK699" i="57"/>
  <c r="AM700" i="57"/>
  <c r="AN700" i="57"/>
  <c r="AL700" i="57" l="1"/>
  <c r="AK700" i="57"/>
  <c r="AM701" i="57"/>
  <c r="AN701" i="57"/>
  <c r="AL701" i="57" l="1"/>
  <c r="AK701" i="57"/>
  <c r="AM702" i="57"/>
  <c r="AN702" i="57"/>
  <c r="AL702" i="57" l="1"/>
  <c r="AK702" i="57"/>
  <c r="AM703" i="57"/>
  <c r="AN703" i="57"/>
  <c r="AL703" i="57" l="1"/>
  <c r="AK703" i="57"/>
  <c r="AM704" i="57"/>
  <c r="AN704" i="57"/>
  <c r="AL704" i="57" l="1"/>
  <c r="AK704" i="57"/>
  <c r="AM705" i="57"/>
  <c r="AN705" i="57"/>
  <c r="AL705" i="57" l="1"/>
  <c r="AK705" i="57"/>
  <c r="AM706" i="57"/>
  <c r="AN706" i="57"/>
  <c r="AL706" i="57" l="1"/>
  <c r="AK706" i="57"/>
  <c r="AM707" i="57"/>
  <c r="AN707" i="57"/>
  <c r="AL707" i="57" l="1"/>
  <c r="AK707" i="57"/>
  <c r="AG802" i="57"/>
  <c r="Y802" i="57"/>
  <c r="AA802" i="57" l="1"/>
  <c r="AB802" i="57" s="1"/>
  <c r="Q802" i="57"/>
  <c r="T802" i="57" s="1"/>
  <c r="O802" i="57"/>
  <c r="N802" i="57"/>
  <c r="AG801" i="57"/>
  <c r="Y801" i="57"/>
  <c r="AA801" i="57" l="1"/>
  <c r="AB801" i="57" s="1"/>
  <c r="Q801" i="57"/>
  <c r="T801" i="57" s="1"/>
  <c r="O801" i="57"/>
  <c r="N801" i="57"/>
  <c r="AG800" i="57"/>
  <c r="Y800" i="57"/>
  <c r="AA800" i="57" l="1"/>
  <c r="AB800" i="57" s="1"/>
  <c r="Q800" i="57"/>
  <c r="T800" i="57" s="1"/>
  <c r="O800" i="57"/>
  <c r="N800" i="57"/>
  <c r="AG799" i="57"/>
  <c r="Y799" i="57"/>
  <c r="AA799" i="57" l="1"/>
  <c r="AB799" i="57" s="1"/>
  <c r="Q799" i="57"/>
  <c r="T799" i="57" s="1"/>
  <c r="O799" i="57"/>
  <c r="N799" i="57"/>
  <c r="AG798" i="57"/>
  <c r="Y798" i="57"/>
  <c r="AA798" i="57" l="1"/>
  <c r="AB798" i="57" s="1"/>
  <c r="Q798" i="57"/>
  <c r="T798" i="57" s="1"/>
  <c r="O798" i="57"/>
  <c r="N798" i="57"/>
  <c r="AG797" i="57"/>
  <c r="Y797" i="57"/>
  <c r="AA797" i="57" l="1"/>
  <c r="AB797" i="57" s="1"/>
  <c r="T797" i="57"/>
  <c r="O797" i="57"/>
  <c r="N797" i="57"/>
  <c r="AG796" i="57"/>
  <c r="Y796" i="57"/>
  <c r="AA796" i="57" l="1"/>
  <c r="AB796" i="57" s="1"/>
  <c r="Q796" i="57"/>
  <c r="T796" i="57" s="1"/>
  <c r="O796" i="57"/>
  <c r="N796" i="57"/>
  <c r="AG795" i="57"/>
  <c r="Y795" i="57"/>
  <c r="AA795" i="57" l="1"/>
  <c r="AB795" i="57" s="1"/>
  <c r="Q795" i="57"/>
  <c r="T795" i="57" s="1"/>
  <c r="O795" i="57"/>
  <c r="N795" i="57"/>
  <c r="AG794" i="57"/>
  <c r="Y794" i="57"/>
  <c r="AA794" i="57" l="1"/>
  <c r="AB794" i="57" s="1"/>
  <c r="Q794" i="57"/>
  <c r="T794" i="57" s="1"/>
  <c r="O794" i="57"/>
  <c r="N794" i="57"/>
  <c r="AG793" i="57"/>
  <c r="Y793" i="57"/>
  <c r="AA793" i="57" l="1"/>
  <c r="AB793" i="57" s="1"/>
  <c r="Q793" i="57"/>
  <c r="T793" i="57" s="1"/>
  <c r="O793" i="57"/>
  <c r="N793" i="57"/>
  <c r="AG792" i="57"/>
  <c r="Y792" i="57"/>
  <c r="AA792" i="57" l="1"/>
  <c r="AB792" i="57" s="1"/>
  <c r="Q792" i="57"/>
  <c r="T792" i="57" s="1"/>
  <c r="O792" i="57"/>
  <c r="N792" i="57"/>
  <c r="AG791" i="57"/>
  <c r="Y791" i="57"/>
  <c r="AA791" i="57" l="1"/>
  <c r="AB791" i="57" s="1"/>
  <c r="Q791" i="57"/>
  <c r="T791" i="57" s="1"/>
  <c r="O791" i="57"/>
  <c r="N791" i="57"/>
  <c r="AG790" i="57"/>
  <c r="Y790" i="57"/>
  <c r="AA790" i="57" l="1"/>
  <c r="AB790" i="57" s="1"/>
  <c r="Q790" i="57"/>
  <c r="T790" i="57" s="1"/>
  <c r="O790" i="57"/>
  <c r="N790" i="57"/>
  <c r="AG789" i="57"/>
  <c r="Y789" i="57"/>
  <c r="AA789" i="57" l="1"/>
  <c r="AB789" i="57" s="1"/>
  <c r="Q789" i="57"/>
  <c r="T789" i="57" s="1"/>
  <c r="O789" i="57"/>
  <c r="N789" i="57"/>
  <c r="AG788" i="57"/>
  <c r="Y788" i="57"/>
  <c r="AA788" i="57" l="1"/>
  <c r="AB788" i="57" s="1"/>
  <c r="T788" i="57"/>
  <c r="O788" i="57"/>
  <c r="N788" i="57"/>
  <c r="AG787" i="57"/>
  <c r="Y787" i="57"/>
  <c r="AA787" i="57" l="1"/>
  <c r="AB787" i="57" s="1"/>
  <c r="T787" i="57"/>
  <c r="O787" i="57"/>
  <c r="N787" i="57"/>
  <c r="AG786" i="57"/>
  <c r="Y786" i="57"/>
  <c r="AA786" i="57" l="1"/>
  <c r="AB786" i="57" s="1"/>
  <c r="Q786" i="57"/>
  <c r="T786" i="57" s="1"/>
  <c r="O786" i="57"/>
  <c r="N786" i="57"/>
  <c r="AG785" i="57"/>
  <c r="Y785" i="57"/>
  <c r="AA785" i="57" l="1"/>
  <c r="AB785" i="57" s="1"/>
  <c r="Q785" i="57"/>
  <c r="T785" i="57" s="1"/>
  <c r="O785" i="57"/>
  <c r="N785" i="57"/>
  <c r="AG784" i="57"/>
  <c r="Y784" i="57"/>
  <c r="AA784" i="57" l="1"/>
  <c r="AB784" i="57" s="1"/>
  <c r="T784" i="57"/>
  <c r="O784" i="57"/>
  <c r="N784" i="57"/>
  <c r="AG783" i="57"/>
  <c r="Y783" i="57"/>
  <c r="AA783" i="57" l="1"/>
  <c r="AB783" i="57" s="1"/>
  <c r="Q783" i="57"/>
  <c r="T783" i="57" s="1"/>
  <c r="O783" i="57"/>
  <c r="N783" i="57"/>
  <c r="AG782" i="57"/>
  <c r="Y782" i="57"/>
  <c r="AA782" i="57" l="1"/>
  <c r="AB782" i="57" s="1"/>
  <c r="Q782" i="57"/>
  <c r="T782" i="57" s="1"/>
  <c r="O782" i="57"/>
  <c r="N782" i="57"/>
  <c r="AG781" i="57"/>
  <c r="Y781" i="57"/>
  <c r="AA781" i="57" l="1"/>
  <c r="AB781" i="57" s="1"/>
  <c r="Q781" i="57"/>
  <c r="T781" i="57" s="1"/>
  <c r="O781" i="57"/>
  <c r="N781" i="57"/>
  <c r="AG780" i="57"/>
  <c r="Y780" i="57"/>
  <c r="AA780" i="57" l="1"/>
  <c r="AB780" i="57" s="1"/>
  <c r="Q780" i="57"/>
  <c r="T780" i="57" s="1"/>
  <c r="O780" i="57"/>
  <c r="N780" i="57"/>
  <c r="AG779" i="57"/>
  <c r="Y779" i="57"/>
  <c r="AA779" i="57" l="1"/>
  <c r="AB779" i="57" s="1"/>
  <c r="Q779" i="57"/>
  <c r="T779" i="57" s="1"/>
  <c r="O779" i="57"/>
  <c r="N779" i="57"/>
  <c r="AG778" i="57"/>
  <c r="Y778" i="57"/>
  <c r="AA778" i="57" l="1"/>
  <c r="AB778" i="57" s="1"/>
  <c r="Q778" i="57"/>
  <c r="T778" i="57" s="1"/>
  <c r="O778" i="57"/>
  <c r="N778" i="57"/>
  <c r="AG777" i="57"/>
  <c r="Y777" i="57"/>
  <c r="AA777" i="57" l="1"/>
  <c r="AB777" i="57" s="1"/>
  <c r="Q777" i="57"/>
  <c r="T777" i="57" s="1"/>
  <c r="O777" i="57"/>
  <c r="N777" i="57"/>
  <c r="AG776" i="57"/>
  <c r="Y776" i="57"/>
  <c r="AA776" i="57" l="1"/>
  <c r="AB776" i="57" s="1"/>
  <c r="Q776" i="57"/>
  <c r="T776" i="57" s="1"/>
  <c r="O776" i="57"/>
  <c r="N776" i="57"/>
  <c r="AG775" i="57"/>
  <c r="Y775" i="57"/>
  <c r="AA775" i="57" l="1"/>
  <c r="AB775" i="57" s="1"/>
  <c r="Q775" i="57"/>
  <c r="T775" i="57" s="1"/>
  <c r="O775" i="57"/>
  <c r="N775" i="57"/>
  <c r="AG774" i="57"/>
  <c r="Y774" i="57"/>
  <c r="AA774" i="57" l="1"/>
  <c r="AB774" i="57" s="1"/>
  <c r="Q774" i="57"/>
  <c r="T774" i="57" s="1"/>
  <c r="O774" i="57"/>
  <c r="N774" i="57"/>
  <c r="AG773" i="57"/>
  <c r="Y773" i="57"/>
  <c r="AA773" i="57" l="1"/>
  <c r="AB773" i="57" s="1"/>
  <c r="Q773" i="57"/>
  <c r="T773" i="57" s="1"/>
  <c r="O773" i="57"/>
  <c r="N773" i="57"/>
  <c r="AG772" i="57"/>
  <c r="Y772" i="57"/>
  <c r="AA772" i="57" l="1"/>
  <c r="AB772" i="57" s="1"/>
  <c r="T772" i="57"/>
  <c r="O772" i="57"/>
  <c r="N772" i="57"/>
  <c r="AG771" i="57"/>
  <c r="Y771" i="57"/>
  <c r="AA771" i="57" l="1"/>
  <c r="AB771" i="57" s="1"/>
  <c r="Q771" i="57"/>
  <c r="T771" i="57" s="1"/>
  <c r="O771" i="57"/>
  <c r="N771" i="57"/>
  <c r="AG770" i="57"/>
  <c r="Y770" i="57"/>
  <c r="AA770" i="57" l="1"/>
  <c r="AB770" i="57" s="1"/>
  <c r="Q770" i="57"/>
  <c r="T770" i="57" s="1"/>
  <c r="O770" i="57"/>
  <c r="N770" i="57"/>
  <c r="AG769" i="57"/>
  <c r="Y769" i="57"/>
  <c r="AA769" i="57" l="1"/>
  <c r="AB769" i="57" s="1"/>
  <c r="Q769" i="57"/>
  <c r="T769" i="57" s="1"/>
  <c r="O769" i="57"/>
  <c r="N769" i="57"/>
  <c r="AG768" i="57"/>
  <c r="Y768" i="57"/>
  <c r="AA768" i="57" l="1"/>
  <c r="AB768" i="57" s="1"/>
  <c r="Q768" i="57"/>
  <c r="T768" i="57" s="1"/>
  <c r="O768" i="57"/>
  <c r="N768" i="57"/>
  <c r="AG767" i="57"/>
  <c r="Y767" i="57"/>
  <c r="AA767" i="57" l="1"/>
  <c r="AB767" i="57" s="1"/>
  <c r="T767" i="57"/>
  <c r="O767" i="57"/>
  <c r="N767" i="57"/>
  <c r="AG766" i="57"/>
  <c r="Y766" i="57"/>
  <c r="AA766" i="57" l="1"/>
  <c r="AB766" i="57" s="1"/>
  <c r="Q766" i="57"/>
  <c r="T766" i="57" s="1"/>
  <c r="O766" i="57"/>
  <c r="N766" i="57"/>
  <c r="AG765" i="57"/>
  <c r="Y765" i="57"/>
  <c r="AA765" i="57" l="1"/>
  <c r="AB765" i="57" s="1"/>
  <c r="T765" i="57"/>
  <c r="O765" i="57"/>
  <c r="N765" i="57"/>
  <c r="AG764" i="57"/>
  <c r="Y764" i="57"/>
  <c r="AA764" i="57" l="1"/>
  <c r="AB764" i="57" s="1"/>
  <c r="T764" i="57"/>
  <c r="O764" i="57"/>
  <c r="N764" i="57"/>
  <c r="AG763" i="57"/>
  <c r="Y763" i="57"/>
  <c r="AA763" i="57" l="1"/>
  <c r="AB763" i="57" s="1"/>
  <c r="Q763" i="57"/>
  <c r="T763" i="57" s="1"/>
  <c r="O763" i="57"/>
  <c r="N763" i="57"/>
  <c r="AG762" i="57"/>
  <c r="Y762" i="57"/>
  <c r="AA762" i="57" l="1"/>
  <c r="AB762" i="57" s="1"/>
  <c r="T762" i="57"/>
  <c r="O762" i="57"/>
  <c r="N762" i="57"/>
  <c r="AG761" i="57"/>
  <c r="Y761" i="57"/>
  <c r="AA761" i="57" l="1"/>
  <c r="AB761" i="57" s="1"/>
  <c r="T761" i="57"/>
  <c r="O761" i="57"/>
  <c r="N761" i="57"/>
  <c r="AG760" i="57"/>
  <c r="Y760" i="57"/>
  <c r="AA760" i="57" l="1"/>
  <c r="AB760" i="57" s="1"/>
  <c r="Q760" i="57"/>
  <c r="T760" i="57" s="1"/>
  <c r="O760" i="57"/>
  <c r="N760" i="57"/>
  <c r="AG759" i="57"/>
  <c r="Y759" i="57"/>
  <c r="AA759" i="57" l="1"/>
  <c r="AB759" i="57" s="1"/>
  <c r="Q759" i="57"/>
  <c r="T759" i="57" s="1"/>
  <c r="O759" i="57"/>
  <c r="N759" i="57"/>
  <c r="AG758" i="57"/>
  <c r="Y758" i="57"/>
  <c r="AA758" i="57" l="1"/>
  <c r="AB758" i="57" s="1"/>
  <c r="T758" i="57"/>
  <c r="O758" i="57"/>
  <c r="N758" i="57"/>
  <c r="AG757" i="57"/>
  <c r="Y757" i="57"/>
  <c r="AA757" i="57" l="1"/>
  <c r="AB757" i="57" s="1"/>
  <c r="Q757" i="57"/>
  <c r="T757" i="57" s="1"/>
  <c r="O757" i="57"/>
  <c r="N757" i="57"/>
  <c r="AG756" i="57"/>
  <c r="Y756" i="57"/>
  <c r="AA756" i="57" l="1"/>
  <c r="AB756" i="57" s="1"/>
  <c r="Q756" i="57"/>
  <c r="T756" i="57" s="1"/>
  <c r="O756" i="57"/>
  <c r="N756" i="57"/>
  <c r="AG755" i="57"/>
  <c r="Y755" i="57"/>
  <c r="AA755" i="57" l="1"/>
  <c r="AB755" i="57" s="1"/>
  <c r="Q755" i="57"/>
  <c r="T755" i="57" s="1"/>
  <c r="O755" i="57"/>
  <c r="N755" i="57"/>
  <c r="AG754" i="57"/>
  <c r="Y754" i="57"/>
  <c r="AA754" i="57" l="1"/>
  <c r="AB754" i="57" s="1"/>
  <c r="Q754" i="57"/>
  <c r="T754" i="57" s="1"/>
  <c r="O754" i="57"/>
  <c r="N754" i="57"/>
  <c r="AG753" i="57"/>
  <c r="Y753" i="57"/>
  <c r="AA753" i="57" l="1"/>
  <c r="AB753" i="57" s="1"/>
  <c r="Q753" i="57"/>
  <c r="T753" i="57" s="1"/>
  <c r="O753" i="57"/>
  <c r="N753" i="57"/>
  <c r="AG752" i="57"/>
  <c r="Y752" i="57"/>
  <c r="AA752" i="57" l="1"/>
  <c r="AB752" i="57" s="1"/>
  <c r="Q752" i="57"/>
  <c r="T752" i="57" s="1"/>
  <c r="O752" i="57"/>
  <c r="N752" i="57"/>
  <c r="AG751" i="57"/>
  <c r="Y751" i="57"/>
  <c r="AA751" i="57" l="1"/>
  <c r="AB751" i="57" s="1"/>
  <c r="Q751" i="57"/>
  <c r="T751" i="57" s="1"/>
  <c r="O751" i="57"/>
  <c r="N751" i="57"/>
  <c r="AG750" i="57"/>
  <c r="Y750" i="57"/>
  <c r="AA750" i="57" l="1"/>
  <c r="AB750" i="57" s="1"/>
  <c r="Q750" i="57"/>
  <c r="T750" i="57" s="1"/>
  <c r="O750" i="57"/>
  <c r="N750" i="57"/>
  <c r="AG749" i="57"/>
  <c r="Y749" i="57"/>
  <c r="AA749" i="57" l="1"/>
  <c r="AB749" i="57" s="1"/>
  <c r="Q749" i="57"/>
  <c r="T749" i="57" s="1"/>
  <c r="O749" i="57"/>
  <c r="N749" i="57"/>
  <c r="AG748" i="57"/>
  <c r="Y748" i="57"/>
  <c r="AA748" i="57" l="1"/>
  <c r="AB748" i="57" s="1"/>
  <c r="Q748" i="57"/>
  <c r="T748" i="57" s="1"/>
  <c r="O748" i="57"/>
  <c r="N748" i="57"/>
  <c r="AG747" i="57"/>
  <c r="Y747" i="57"/>
  <c r="AA747" i="57" l="1"/>
  <c r="AB747" i="57" s="1"/>
  <c r="Q747" i="57"/>
  <c r="T747" i="57" s="1"/>
  <c r="O747" i="57"/>
  <c r="N747" i="57"/>
  <c r="AG746" i="57"/>
  <c r="Y746" i="57"/>
  <c r="AA746" i="57" l="1"/>
  <c r="AB746" i="57" s="1"/>
  <c r="Q746" i="57"/>
  <c r="T746" i="57" s="1"/>
  <c r="O746" i="57"/>
  <c r="N746" i="57"/>
  <c r="AG745" i="57"/>
  <c r="Y745" i="57"/>
  <c r="AA745" i="57" l="1"/>
  <c r="AB745" i="57" s="1"/>
  <c r="Q745" i="57"/>
  <c r="T745" i="57" s="1"/>
  <c r="O745" i="57"/>
  <c r="N745" i="57"/>
  <c r="AG744" i="57"/>
  <c r="Y744" i="57"/>
  <c r="AA744" i="57" l="1"/>
  <c r="AB744" i="57" s="1"/>
  <c r="Q744" i="57"/>
  <c r="T744" i="57" s="1"/>
  <c r="O744" i="57"/>
  <c r="N744" i="57"/>
  <c r="AG743" i="57"/>
  <c r="Y743" i="57"/>
  <c r="AA743" i="57" l="1"/>
  <c r="AB743" i="57" s="1"/>
  <c r="Q743" i="57"/>
  <c r="T743" i="57" s="1"/>
  <c r="O743" i="57"/>
  <c r="N743" i="57"/>
  <c r="AG742" i="57"/>
  <c r="Y742" i="57"/>
  <c r="AA742" i="57" l="1"/>
  <c r="AB742" i="57" s="1"/>
  <c r="Q742" i="57"/>
  <c r="T742" i="57" s="1"/>
  <c r="O742" i="57"/>
  <c r="N742" i="57"/>
  <c r="AG741" i="57"/>
  <c r="Y741" i="57"/>
  <c r="AA741" i="57" l="1"/>
  <c r="AB741" i="57" s="1"/>
  <c r="Q741" i="57"/>
  <c r="T741" i="57" s="1"/>
  <c r="O741" i="57"/>
  <c r="N741" i="57"/>
  <c r="AG740" i="57"/>
  <c r="Y740" i="57"/>
  <c r="AA740" i="57" l="1"/>
  <c r="AB740" i="57" s="1"/>
  <c r="T740" i="57"/>
  <c r="O740" i="57"/>
  <c r="N740" i="57"/>
  <c r="AG739" i="57"/>
  <c r="Y739" i="57"/>
  <c r="AA739" i="57" l="1"/>
  <c r="AB739" i="57" s="1"/>
  <c r="Q739" i="57"/>
  <c r="T739" i="57" s="1"/>
  <c r="O739" i="57"/>
  <c r="N739" i="57"/>
  <c r="AG738" i="57"/>
  <c r="Y738" i="57"/>
  <c r="AA738" i="57" l="1"/>
  <c r="AB738" i="57" s="1"/>
  <c r="Q738" i="57"/>
  <c r="T738" i="57" s="1"/>
  <c r="O738" i="57"/>
  <c r="N738" i="57"/>
  <c r="AG737" i="57"/>
  <c r="Y737" i="57"/>
  <c r="AA737" i="57" l="1"/>
  <c r="AB737" i="57" s="1"/>
  <c r="T737" i="57"/>
  <c r="O737" i="57"/>
  <c r="N737" i="57"/>
  <c r="AG736" i="57"/>
  <c r="Y736" i="57"/>
  <c r="AA736" i="57" l="1"/>
  <c r="AB736" i="57" s="1"/>
  <c r="Q736" i="57"/>
  <c r="T736" i="57" s="1"/>
  <c r="O736" i="57"/>
  <c r="N736" i="57"/>
  <c r="AG735" i="57"/>
  <c r="Y735" i="57"/>
  <c r="AA735" i="57" l="1"/>
  <c r="AB735" i="57" s="1"/>
  <c r="Q735" i="57"/>
  <c r="T735" i="57" s="1"/>
  <c r="O735" i="57"/>
  <c r="N735" i="57"/>
  <c r="AG734" i="57"/>
  <c r="Y734" i="57"/>
  <c r="AA734" i="57" l="1"/>
  <c r="AB734" i="57" s="1"/>
  <c r="Q734" i="57"/>
  <c r="T734" i="57" s="1"/>
  <c r="O734" i="57"/>
  <c r="N734" i="57"/>
  <c r="AG733" i="57"/>
  <c r="Y733" i="57"/>
  <c r="AA733" i="57" l="1"/>
  <c r="AB733" i="57" s="1"/>
  <c r="T733" i="57"/>
  <c r="O733" i="57"/>
  <c r="N733" i="57"/>
  <c r="AG732" i="57"/>
  <c r="Y732" i="57"/>
  <c r="AA732" i="57" l="1"/>
  <c r="AB732" i="57" s="1"/>
  <c r="Q732" i="57"/>
  <c r="T732" i="57" s="1"/>
  <c r="O732" i="57"/>
  <c r="N732" i="57"/>
  <c r="AG731" i="57"/>
  <c r="Y731" i="57"/>
  <c r="AA731" i="57" l="1"/>
  <c r="AB731" i="57" s="1"/>
  <c r="T731" i="57"/>
  <c r="O731" i="57"/>
  <c r="N731" i="57"/>
  <c r="AG730" i="57"/>
  <c r="Y730" i="57"/>
  <c r="AA730" i="57" l="1"/>
  <c r="AB730" i="57" s="1"/>
  <c r="Q730" i="57"/>
  <c r="T730" i="57" s="1"/>
  <c r="O730" i="57"/>
  <c r="N730" i="57"/>
  <c r="AG729" i="57"/>
  <c r="Y729" i="57"/>
  <c r="AA729" i="57" l="1"/>
  <c r="AB729" i="57" s="1"/>
  <c r="Q729" i="57"/>
  <c r="T729" i="57" s="1"/>
  <c r="O729" i="57"/>
  <c r="N729" i="57"/>
  <c r="AG728" i="57"/>
  <c r="Y728" i="57"/>
  <c r="AA728" i="57" l="1"/>
  <c r="AB728" i="57" s="1"/>
  <c r="Q728" i="57"/>
  <c r="T728" i="57" s="1"/>
  <c r="O728" i="57"/>
  <c r="N728" i="57"/>
  <c r="AG727" i="57"/>
  <c r="Y727" i="57"/>
  <c r="AA727" i="57" l="1"/>
  <c r="AB727" i="57" s="1"/>
  <c r="Q727" i="57"/>
  <c r="T727" i="57" s="1"/>
  <c r="O727" i="57"/>
  <c r="N727" i="57"/>
  <c r="AG726" i="57"/>
  <c r="Y726" i="57"/>
  <c r="AA726" i="57" l="1"/>
  <c r="AB726" i="57" s="1"/>
  <c r="Q726" i="57"/>
  <c r="T726" i="57" s="1"/>
  <c r="O726" i="57"/>
  <c r="N726" i="57"/>
  <c r="AG725" i="57"/>
  <c r="Y725" i="57"/>
  <c r="AA725" i="57" l="1"/>
  <c r="AB725" i="57" s="1"/>
  <c r="Q725" i="57"/>
  <c r="T725" i="57" s="1"/>
  <c r="O725" i="57"/>
  <c r="N725" i="57"/>
  <c r="AG724" i="57"/>
  <c r="Y724" i="57"/>
  <c r="AA724" i="57" l="1"/>
  <c r="AB724" i="57" s="1"/>
  <c r="Q724" i="57"/>
  <c r="T724" i="57" s="1"/>
  <c r="O724" i="57"/>
  <c r="N724" i="57"/>
  <c r="AG723" i="57"/>
  <c r="Y723" i="57"/>
  <c r="AA723" i="57" l="1"/>
  <c r="AB723" i="57" s="1"/>
  <c r="Q723" i="57"/>
  <c r="T723" i="57" s="1"/>
  <c r="O723" i="57"/>
  <c r="N723" i="57"/>
  <c r="AG722" i="57"/>
  <c r="Y722" i="57"/>
  <c r="AA722" i="57" l="1"/>
  <c r="AB722" i="57" s="1"/>
  <c r="T722" i="57"/>
  <c r="O722" i="57"/>
  <c r="N722" i="57"/>
  <c r="AG721" i="57"/>
  <c r="Y721" i="57"/>
  <c r="AA721" i="57" l="1"/>
  <c r="AB721" i="57" s="1"/>
  <c r="Q721" i="57"/>
  <c r="T721" i="57" s="1"/>
  <c r="O721" i="57"/>
  <c r="N721" i="57"/>
  <c r="AG720" i="57"/>
  <c r="Y720" i="57"/>
  <c r="AA720" i="57" l="1"/>
  <c r="AB720" i="57" s="1"/>
  <c r="T720" i="57"/>
  <c r="O720" i="57"/>
  <c r="N720" i="57"/>
  <c r="AG719" i="57"/>
  <c r="Y719" i="57"/>
  <c r="AA719" i="57" l="1"/>
  <c r="AB719" i="57" s="1"/>
  <c r="Q719" i="57"/>
  <c r="T719" i="57" s="1"/>
  <c r="O719" i="57"/>
  <c r="N719" i="57"/>
  <c r="AG718" i="57"/>
  <c r="Y718" i="57"/>
  <c r="AA718" i="57" l="1"/>
  <c r="AB718" i="57" s="1"/>
  <c r="Q718" i="57"/>
  <c r="T718" i="57" s="1"/>
  <c r="O718" i="57"/>
  <c r="N718" i="57"/>
  <c r="AG717" i="57"/>
  <c r="Y717" i="57"/>
  <c r="AA717" i="57" l="1"/>
  <c r="AB717" i="57" s="1"/>
  <c r="Q717" i="57"/>
  <c r="T717" i="57" s="1"/>
  <c r="O717" i="57"/>
  <c r="N717" i="57"/>
  <c r="AG716" i="57"/>
  <c r="Y716" i="57"/>
  <c r="AA716" i="57" l="1"/>
  <c r="AB716" i="57" s="1"/>
  <c r="T716" i="57"/>
  <c r="O716" i="57"/>
  <c r="N716" i="57"/>
  <c r="AG715" i="57"/>
  <c r="Y715" i="57"/>
  <c r="AA715" i="57" l="1"/>
  <c r="AB715" i="57" s="1"/>
  <c r="Q715" i="57"/>
  <c r="T715" i="57" s="1"/>
  <c r="O715" i="57"/>
  <c r="N715" i="57"/>
  <c r="AG714" i="57"/>
  <c r="Y714" i="57"/>
  <c r="AA714" i="57" l="1"/>
  <c r="AB714" i="57" s="1"/>
  <c r="T714" i="57"/>
  <c r="O714" i="57"/>
  <c r="N714" i="57"/>
  <c r="AG713" i="57"/>
  <c r="Y713" i="57"/>
  <c r="AA713" i="57" l="1"/>
  <c r="AB713" i="57" s="1"/>
  <c r="Q713" i="57"/>
  <c r="T713" i="57" s="1"/>
  <c r="O713" i="57"/>
  <c r="N713" i="57"/>
  <c r="AG712" i="57"/>
  <c r="Y712" i="57"/>
  <c r="AA712" i="57" l="1"/>
  <c r="AB712" i="57" s="1"/>
  <c r="Q712" i="57"/>
  <c r="T712" i="57" s="1"/>
  <c r="O712" i="57"/>
  <c r="N712" i="57"/>
  <c r="AG711" i="57"/>
  <c r="Y711" i="57"/>
  <c r="AA711" i="57" l="1"/>
  <c r="AB711" i="57" s="1"/>
  <c r="Q711" i="57"/>
  <c r="T711" i="57" s="1"/>
  <c r="O711" i="57"/>
  <c r="N711" i="57"/>
  <c r="AG710" i="57"/>
  <c r="Y710" i="57"/>
  <c r="AA710" i="57" l="1"/>
  <c r="AB710" i="57" s="1"/>
  <c r="T710" i="57"/>
  <c r="O710" i="57"/>
  <c r="N710" i="57"/>
  <c r="AG709" i="57"/>
  <c r="Y709" i="57"/>
  <c r="AA709" i="57" l="1"/>
  <c r="AB709" i="57" s="1"/>
  <c r="Q709" i="57"/>
  <c r="T709" i="57" s="1"/>
  <c r="O709" i="57"/>
  <c r="N709" i="57"/>
  <c r="AG708" i="57"/>
  <c r="Y708" i="57"/>
  <c r="AA708" i="57" l="1"/>
  <c r="AB708" i="57" s="1"/>
  <c r="T708" i="57"/>
  <c r="O708" i="57"/>
  <c r="N708" i="57"/>
  <c r="AG707" i="57"/>
  <c r="Y707" i="57"/>
  <c r="AA707" i="57" l="1"/>
  <c r="AB707" i="57" s="1"/>
  <c r="T707" i="57"/>
  <c r="O707" i="57"/>
  <c r="N707" i="57"/>
  <c r="AG706" i="57"/>
  <c r="Y706" i="57"/>
  <c r="AA706" i="57" l="1"/>
  <c r="AB706" i="57" s="1"/>
  <c r="Q706" i="57"/>
  <c r="T706" i="57" s="1"/>
  <c r="O706" i="57"/>
  <c r="N706" i="57"/>
  <c r="AG705" i="57"/>
  <c r="Y705" i="57"/>
  <c r="AA705" i="57" l="1"/>
  <c r="AB705" i="57" s="1"/>
  <c r="Q705" i="57"/>
  <c r="T705" i="57" s="1"/>
  <c r="O705" i="57"/>
  <c r="N705" i="57"/>
  <c r="AG704" i="57"/>
  <c r="Y704" i="57"/>
  <c r="AA704" i="57" l="1"/>
  <c r="AB704" i="57" s="1"/>
  <c r="Q704" i="57"/>
  <c r="T704" i="57" s="1"/>
  <c r="O704" i="57"/>
  <c r="N704" i="57"/>
  <c r="AG703" i="57"/>
  <c r="Y703" i="57"/>
  <c r="AA703" i="57" l="1"/>
  <c r="AB703" i="57" s="1"/>
  <c r="T703" i="57"/>
  <c r="O703" i="57"/>
  <c r="N703" i="57"/>
  <c r="AG702" i="57"/>
  <c r="Y702" i="57"/>
  <c r="AA702" i="57" l="1"/>
  <c r="AB702" i="57" s="1"/>
  <c r="T702" i="57"/>
  <c r="O702" i="57"/>
  <c r="N702" i="57"/>
  <c r="AG701" i="57"/>
  <c r="Y701" i="57"/>
  <c r="AA701" i="57" l="1"/>
  <c r="AB701" i="57" s="1"/>
  <c r="T701" i="57"/>
  <c r="O701" i="57"/>
  <c r="N701" i="57"/>
  <c r="AG700" i="57"/>
  <c r="Y700" i="57"/>
  <c r="AA700" i="57" l="1"/>
  <c r="AB700" i="57" s="1"/>
  <c r="Q700" i="57"/>
  <c r="T700" i="57" s="1"/>
  <c r="O700" i="57"/>
  <c r="N700" i="57"/>
  <c r="AG699" i="57"/>
  <c r="Y699" i="57"/>
  <c r="AA699" i="57" l="1"/>
  <c r="AB699" i="57" s="1"/>
  <c r="Q699" i="57"/>
  <c r="T699" i="57" s="1"/>
  <c r="O699" i="57"/>
  <c r="N699" i="57"/>
  <c r="AG698" i="57"/>
  <c r="Y698" i="57"/>
  <c r="AA698" i="57" l="1"/>
  <c r="AB698" i="57" s="1"/>
  <c r="T698" i="57"/>
  <c r="O698" i="57"/>
  <c r="N698" i="57"/>
  <c r="AG697" i="57"/>
  <c r="Y697" i="57"/>
  <c r="AA697" i="57" l="1"/>
  <c r="AB697" i="57" s="1"/>
  <c r="Q697" i="57"/>
  <c r="T697" i="57" s="1"/>
  <c r="O697" i="57"/>
  <c r="N697" i="57"/>
  <c r="AG696" i="57"/>
  <c r="Y696" i="57"/>
  <c r="AA696" i="57" l="1"/>
  <c r="AB696" i="57" s="1"/>
  <c r="Q696" i="57"/>
  <c r="T696" i="57" s="1"/>
  <c r="O696" i="57"/>
  <c r="N696" i="57"/>
  <c r="AN695" i="57"/>
  <c r="AL695" i="57" s="1"/>
  <c r="AM695" i="57"/>
  <c r="AK695" i="57" s="1"/>
  <c r="AG695" i="57"/>
  <c r="Y695" i="57"/>
  <c r="AA695" i="57" l="1"/>
  <c r="AB695" i="57" s="1"/>
  <c r="Q695" i="57"/>
  <c r="T695" i="57" s="1"/>
  <c r="O695" i="57"/>
  <c r="N695" i="57"/>
  <c r="AM530" i="57"/>
  <c r="AN530" i="57"/>
  <c r="AL530" i="57" l="1"/>
  <c r="AK530" i="57"/>
  <c r="AM531" i="57"/>
  <c r="AN531" i="57"/>
  <c r="AL531" i="57" l="1"/>
  <c r="AK531" i="57"/>
  <c r="AM532" i="57"/>
  <c r="AN532" i="57"/>
  <c r="AL532" i="57" l="1"/>
  <c r="AK532" i="57"/>
  <c r="AM533" i="57"/>
  <c r="AN533" i="57"/>
  <c r="AL533" i="57" l="1"/>
  <c r="AK533" i="57"/>
  <c r="AM534" i="57"/>
  <c r="AN534" i="57"/>
  <c r="AL534" i="57" l="1"/>
  <c r="AK534" i="57"/>
  <c r="AM535" i="57"/>
  <c r="AN535" i="57"/>
  <c r="AL535" i="57" l="1"/>
  <c r="AK535" i="57"/>
  <c r="AM536" i="57"/>
  <c r="AN536" i="57"/>
  <c r="AL536" i="57" l="1"/>
  <c r="AK536" i="57"/>
  <c r="AM537" i="57"/>
  <c r="AN537" i="57"/>
  <c r="AL537" i="57" l="1"/>
  <c r="AK537" i="57"/>
  <c r="AM538" i="57"/>
  <c r="AN538" i="57"/>
  <c r="AL538" i="57" l="1"/>
  <c r="AK538" i="57"/>
  <c r="AM539" i="57"/>
  <c r="AN539" i="57"/>
  <c r="AL539" i="57" l="1"/>
  <c r="AK539" i="57"/>
  <c r="AM540" i="57"/>
  <c r="AN540" i="57"/>
  <c r="AL540" i="57" l="1"/>
  <c r="AK540" i="57"/>
  <c r="AM541" i="57"/>
  <c r="AN541" i="57"/>
  <c r="AL541" i="57" l="1"/>
  <c r="AK541" i="57"/>
  <c r="AM542" i="57"/>
  <c r="AN542" i="57"/>
  <c r="AL542" i="57" l="1"/>
  <c r="AK542" i="57"/>
  <c r="AM543" i="57"/>
  <c r="AN543" i="57"/>
  <c r="AL543" i="57" l="1"/>
  <c r="AK543" i="57"/>
  <c r="AM544" i="57"/>
  <c r="AN544" i="57"/>
  <c r="AL544" i="57" l="1"/>
  <c r="AK544" i="57"/>
  <c r="AM545" i="57"/>
  <c r="AN545" i="57"/>
  <c r="AL545" i="57" l="1"/>
  <c r="AK545" i="57"/>
  <c r="AM546" i="57"/>
  <c r="AN546" i="57"/>
  <c r="AL546" i="57" l="1"/>
  <c r="AK546" i="57"/>
  <c r="AM547" i="57"/>
  <c r="AN547" i="57"/>
  <c r="AL547" i="57" l="1"/>
  <c r="AK547" i="57"/>
  <c r="AM548" i="57"/>
  <c r="AN548" i="57"/>
  <c r="AL548" i="57" l="1"/>
  <c r="AK548" i="57"/>
  <c r="AM549" i="57"/>
  <c r="AN549" i="57"/>
  <c r="AL549" i="57" l="1"/>
  <c r="AK549" i="57"/>
  <c r="AM550" i="57"/>
  <c r="AN550" i="57"/>
  <c r="AL550" i="57" l="1"/>
  <c r="AK550" i="57"/>
  <c r="AM551" i="57"/>
  <c r="AN551" i="57"/>
  <c r="AL551" i="57" l="1"/>
  <c r="AK551" i="57"/>
  <c r="AM552" i="57"/>
  <c r="AN552" i="57"/>
  <c r="AL552" i="57" l="1"/>
  <c r="AK552" i="57"/>
  <c r="AM553" i="57"/>
  <c r="AN553" i="57"/>
  <c r="AL553" i="57" l="1"/>
  <c r="AK553" i="57"/>
  <c r="AM554" i="57"/>
  <c r="AN554" i="57"/>
  <c r="AL554" i="57" l="1"/>
  <c r="AK554" i="57"/>
  <c r="AM555" i="57"/>
  <c r="AN555" i="57"/>
  <c r="AL555" i="57" l="1"/>
  <c r="AK555" i="57"/>
  <c r="AM556" i="57"/>
  <c r="AN556" i="57"/>
  <c r="AL556" i="57" l="1"/>
  <c r="AK556" i="57"/>
  <c r="AM557" i="57"/>
  <c r="AN557" i="57"/>
  <c r="AL557" i="57" l="1"/>
  <c r="AK557" i="57"/>
  <c r="AM558" i="57"/>
  <c r="AN558" i="57"/>
  <c r="AL558" i="57" l="1"/>
  <c r="AK558" i="57"/>
  <c r="AM559" i="57"/>
  <c r="AN559" i="57"/>
  <c r="AL559" i="57" l="1"/>
  <c r="AK559" i="57"/>
  <c r="AM560" i="57"/>
  <c r="AN560" i="57"/>
  <c r="AL560" i="57" l="1"/>
  <c r="AK560" i="57"/>
  <c r="AM561" i="57"/>
  <c r="AN561" i="57"/>
  <c r="AL561" i="57" l="1"/>
  <c r="AK561" i="57"/>
  <c r="AM562" i="57"/>
  <c r="AN562" i="57"/>
  <c r="AL562" i="57" l="1"/>
  <c r="AK562" i="57"/>
  <c r="AM563" i="57"/>
  <c r="AN563" i="57"/>
  <c r="AL563" i="57" l="1"/>
  <c r="AK563" i="57"/>
  <c r="AM564" i="57"/>
  <c r="AN564" i="57"/>
  <c r="AL564" i="57" l="1"/>
  <c r="AK564" i="57"/>
  <c r="AM565" i="57"/>
  <c r="AN565" i="57"/>
  <c r="AL565" i="57" l="1"/>
  <c r="AK565" i="57"/>
  <c r="AM566" i="57"/>
  <c r="AN566" i="57"/>
  <c r="AL566" i="57" l="1"/>
  <c r="AK566" i="57"/>
  <c r="AM567" i="57"/>
  <c r="AN567" i="57"/>
  <c r="AL567" i="57" l="1"/>
  <c r="AK567" i="57"/>
  <c r="AM568" i="57"/>
  <c r="AN568" i="57"/>
  <c r="AL568" i="57" l="1"/>
  <c r="AK568" i="57"/>
  <c r="AM569" i="57"/>
  <c r="AN569" i="57"/>
  <c r="AL569" i="57" l="1"/>
  <c r="AK569" i="57"/>
  <c r="AM570" i="57"/>
  <c r="AN570" i="57"/>
  <c r="AL570" i="57" l="1"/>
  <c r="AK570" i="57"/>
  <c r="AM571" i="57"/>
  <c r="AN571" i="57"/>
  <c r="AL571" i="57" l="1"/>
  <c r="AK571" i="57"/>
  <c r="AM572" i="57"/>
  <c r="AN572" i="57"/>
  <c r="AL572" i="57" l="1"/>
  <c r="AK572" i="57"/>
  <c r="AM573" i="57"/>
  <c r="AN573" i="57"/>
  <c r="AL573" i="57" l="1"/>
  <c r="AK573" i="57"/>
  <c r="AM574" i="57"/>
  <c r="AN574" i="57"/>
  <c r="AL574" i="57" l="1"/>
  <c r="AK574" i="57"/>
  <c r="AM575" i="57"/>
  <c r="AN575" i="57"/>
  <c r="AL575" i="57" l="1"/>
  <c r="AK575" i="57"/>
  <c r="AM576" i="57"/>
  <c r="AN576" i="57"/>
  <c r="AL576" i="57" l="1"/>
  <c r="AK576" i="57"/>
  <c r="AM577" i="57"/>
  <c r="AN577" i="57"/>
  <c r="AL577" i="57" l="1"/>
  <c r="AK577" i="57"/>
  <c r="AM578" i="57"/>
  <c r="AN578" i="57"/>
  <c r="AL578" i="57" l="1"/>
  <c r="AK578" i="57"/>
  <c r="AM579" i="57"/>
  <c r="AN579" i="57"/>
  <c r="AL579" i="57" l="1"/>
  <c r="AK579" i="57"/>
  <c r="AM580" i="57"/>
  <c r="AN580" i="57"/>
  <c r="AL580" i="57" l="1"/>
  <c r="AK580" i="57"/>
  <c r="AM581" i="57"/>
  <c r="AN581" i="57"/>
  <c r="AL581" i="57" l="1"/>
  <c r="AK581" i="57"/>
  <c r="AM582" i="57"/>
  <c r="AN582" i="57"/>
  <c r="AL582" i="57" l="1"/>
  <c r="AK582" i="57"/>
  <c r="AM583" i="57"/>
  <c r="AN583" i="57"/>
  <c r="AL583" i="57" l="1"/>
  <c r="AK583" i="57"/>
  <c r="AM584" i="57"/>
  <c r="AN584" i="57"/>
  <c r="AL584" i="57" l="1"/>
  <c r="AK584" i="57"/>
  <c r="AM585" i="57"/>
  <c r="AN585" i="57"/>
  <c r="AL585" i="57" l="1"/>
  <c r="AK585" i="57"/>
  <c r="AM586" i="57"/>
  <c r="AN586" i="57"/>
  <c r="AL586" i="57" l="1"/>
  <c r="AK586" i="57"/>
  <c r="AM587" i="57"/>
  <c r="AN587" i="57"/>
  <c r="AL587" i="57" l="1"/>
  <c r="AK587" i="57"/>
  <c r="AM588" i="57"/>
  <c r="AN588" i="57"/>
  <c r="AL588" i="57" l="1"/>
  <c r="AK588" i="57"/>
  <c r="AM589" i="57"/>
  <c r="AN589" i="57"/>
  <c r="AL589" i="57" l="1"/>
  <c r="AK589" i="57"/>
  <c r="AM590" i="57"/>
  <c r="AN590" i="57"/>
  <c r="AL590" i="57" l="1"/>
  <c r="AK590" i="57"/>
  <c r="AM591" i="57"/>
  <c r="AN591" i="57"/>
  <c r="AL591" i="57" l="1"/>
  <c r="AK591" i="57"/>
  <c r="AM592" i="57"/>
  <c r="AN592" i="57"/>
  <c r="AL592" i="57" l="1"/>
  <c r="AK592" i="57"/>
  <c r="AM593" i="57"/>
  <c r="AN593" i="57"/>
  <c r="AL593" i="57" l="1"/>
  <c r="AK593" i="57"/>
  <c r="AM594" i="57"/>
  <c r="AN594" i="57"/>
  <c r="AL594" i="57" l="1"/>
  <c r="AK594" i="57"/>
  <c r="AM595" i="57"/>
  <c r="AN595" i="57"/>
  <c r="AL595" i="57" l="1"/>
  <c r="AK595" i="57"/>
  <c r="AM596" i="57"/>
  <c r="AN596" i="57"/>
  <c r="AL596" i="57" l="1"/>
  <c r="AK596" i="57"/>
  <c r="AM597" i="57"/>
  <c r="AN597" i="57"/>
  <c r="AL597" i="57" l="1"/>
  <c r="AK597" i="57"/>
  <c r="AM598" i="57"/>
  <c r="AN598" i="57"/>
  <c r="AL598" i="57" l="1"/>
  <c r="AK598" i="57"/>
  <c r="AM599" i="57"/>
  <c r="AN599" i="57"/>
  <c r="AL599" i="57" l="1"/>
  <c r="AK599" i="57"/>
  <c r="AM600" i="57"/>
  <c r="AN600" i="57"/>
  <c r="AL600" i="57" l="1"/>
  <c r="AK600" i="57"/>
  <c r="AM601" i="57"/>
  <c r="AN601" i="57"/>
  <c r="AL601" i="57" l="1"/>
  <c r="AK601" i="57"/>
  <c r="AM602" i="57"/>
  <c r="AN602" i="57"/>
  <c r="AL602" i="57" l="1"/>
  <c r="AK602" i="57"/>
  <c r="AM603" i="57"/>
  <c r="AN603" i="57"/>
  <c r="AL603" i="57" l="1"/>
  <c r="AK603" i="57"/>
  <c r="AM604" i="57"/>
  <c r="AN604" i="57"/>
  <c r="AL604" i="57" l="1"/>
  <c r="AK604" i="57"/>
  <c r="AM605" i="57"/>
  <c r="AN605" i="57"/>
  <c r="AL605" i="57" l="1"/>
  <c r="AK605" i="57"/>
  <c r="AM606" i="57"/>
  <c r="AN606" i="57"/>
  <c r="AL606" i="57" l="1"/>
  <c r="AK606" i="57"/>
  <c r="AM607" i="57"/>
  <c r="AN607" i="57"/>
  <c r="AL607" i="57" l="1"/>
  <c r="AK607" i="57"/>
  <c r="AM608" i="57"/>
  <c r="AN608" i="57"/>
  <c r="AL608" i="57" l="1"/>
  <c r="AK608" i="57"/>
  <c r="AM609" i="57"/>
  <c r="AN609" i="57"/>
  <c r="AL609" i="57" l="1"/>
  <c r="AK609" i="57"/>
  <c r="AM610" i="57"/>
  <c r="AN610" i="57"/>
  <c r="AL610" i="57" l="1"/>
  <c r="AK610" i="57"/>
  <c r="AM611" i="57"/>
  <c r="AN611" i="57"/>
  <c r="AL611" i="57" l="1"/>
  <c r="AK611" i="57"/>
  <c r="AM612" i="57"/>
  <c r="AN612" i="57"/>
  <c r="AL612" i="57" l="1"/>
  <c r="AK612" i="57"/>
  <c r="AM613" i="57"/>
  <c r="AN613" i="57"/>
  <c r="AL613" i="57" l="1"/>
  <c r="AK613" i="57"/>
  <c r="AM614" i="57"/>
  <c r="AN614" i="57"/>
  <c r="AL614" i="57" l="1"/>
  <c r="AK614" i="57"/>
  <c r="AM615" i="57"/>
  <c r="AN615" i="57"/>
  <c r="AL615" i="57" l="1"/>
  <c r="AK615" i="57"/>
  <c r="AM616" i="57"/>
  <c r="AN616" i="57"/>
  <c r="AL616" i="57" l="1"/>
  <c r="AK616" i="57"/>
  <c r="AM617" i="57"/>
  <c r="AN617" i="57"/>
  <c r="AL617" i="57" l="1"/>
  <c r="AK617" i="57"/>
  <c r="AM618" i="57"/>
  <c r="AN618" i="57"/>
  <c r="AL618" i="57" l="1"/>
  <c r="AK618" i="57"/>
  <c r="AM619" i="57"/>
  <c r="AN619" i="57"/>
  <c r="AL619" i="57" l="1"/>
  <c r="AK619" i="57"/>
  <c r="AM620" i="57"/>
  <c r="AN620" i="57"/>
  <c r="AL620" i="57" l="1"/>
  <c r="AK620" i="57"/>
  <c r="AM621" i="57"/>
  <c r="AN621" i="57"/>
  <c r="AL621" i="57" l="1"/>
  <c r="AK621" i="57"/>
  <c r="AM622" i="57"/>
  <c r="AN622" i="57"/>
  <c r="AL622" i="57" l="1"/>
  <c r="AK622" i="57"/>
  <c r="AM623" i="57"/>
  <c r="AN623" i="57"/>
  <c r="AL623" i="57" l="1"/>
  <c r="AK623" i="57"/>
  <c r="AM624" i="57"/>
  <c r="AN624" i="57"/>
  <c r="AL624" i="57" l="1"/>
  <c r="AK624" i="57"/>
  <c r="AM625" i="57"/>
  <c r="AN625" i="57"/>
  <c r="AL625" i="57" l="1"/>
  <c r="AK625" i="57"/>
  <c r="AM626" i="57"/>
  <c r="AN626" i="57"/>
  <c r="AL626" i="57" l="1"/>
  <c r="AK626" i="57"/>
  <c r="AM627" i="57"/>
  <c r="AN627" i="57"/>
  <c r="AL627" i="57" l="1"/>
  <c r="AK627" i="57"/>
  <c r="AM628" i="57"/>
  <c r="AN628" i="57"/>
  <c r="AL628" i="57" l="1"/>
  <c r="AK628" i="57"/>
  <c r="AM629" i="57"/>
  <c r="AN629" i="57"/>
  <c r="AL629" i="57" l="1"/>
  <c r="AK629" i="57"/>
  <c r="AM630" i="57"/>
  <c r="AN630" i="57"/>
  <c r="AL630" i="57" l="1"/>
  <c r="AK630" i="57"/>
  <c r="AM631" i="57"/>
  <c r="AN631" i="57"/>
  <c r="AL631" i="57" l="1"/>
  <c r="AK631" i="57"/>
  <c r="AM632" i="57"/>
  <c r="AN632" i="57"/>
  <c r="AL632" i="57" l="1"/>
  <c r="AK632" i="57"/>
  <c r="AM633" i="57"/>
  <c r="AN633" i="57"/>
  <c r="AL633" i="57" l="1"/>
  <c r="AK633" i="57"/>
  <c r="AM634" i="57"/>
  <c r="AN634" i="57"/>
  <c r="AL634" i="57" l="1"/>
  <c r="AK634" i="57"/>
  <c r="AM635" i="57"/>
  <c r="AN635" i="57"/>
  <c r="AL635" i="57" l="1"/>
  <c r="AK635" i="57"/>
  <c r="AM636" i="57"/>
  <c r="AN636" i="57"/>
  <c r="AL636" i="57" l="1"/>
  <c r="AK636" i="57"/>
  <c r="AM637" i="57"/>
  <c r="AN637" i="57"/>
  <c r="AL637" i="57" l="1"/>
  <c r="AK637" i="57"/>
  <c r="AM638" i="57"/>
  <c r="AN638" i="57"/>
  <c r="AL638" i="57" l="1"/>
  <c r="AK638" i="57"/>
  <c r="AM639" i="57"/>
  <c r="AN639" i="57"/>
  <c r="AL639" i="57" l="1"/>
  <c r="AK639" i="57"/>
  <c r="AM640" i="57"/>
  <c r="AN640" i="57"/>
  <c r="AL640" i="57" l="1"/>
  <c r="AK640" i="57"/>
  <c r="AM641" i="57"/>
  <c r="AN641" i="57"/>
  <c r="AL641" i="57" l="1"/>
  <c r="AK641" i="57"/>
  <c r="AM642" i="57"/>
  <c r="AN642" i="57"/>
  <c r="AL642" i="57" l="1"/>
  <c r="AK642" i="57"/>
  <c r="AM643" i="57"/>
  <c r="AN643" i="57"/>
  <c r="AL643" i="57" l="1"/>
  <c r="AK643" i="57"/>
  <c r="AM644" i="57"/>
  <c r="AN644" i="57"/>
  <c r="AL644" i="57" l="1"/>
  <c r="AK644" i="57"/>
  <c r="AM645" i="57"/>
  <c r="AN645" i="57"/>
  <c r="AL645" i="57" l="1"/>
  <c r="AK645" i="57"/>
  <c r="AM646" i="57"/>
  <c r="AN646" i="57"/>
  <c r="AL646" i="57" l="1"/>
  <c r="AK646" i="57"/>
  <c r="AM647" i="57"/>
  <c r="AN647" i="57"/>
  <c r="AL647" i="57" l="1"/>
  <c r="AK647" i="57"/>
  <c r="AM648" i="57"/>
  <c r="AN648" i="57"/>
  <c r="AL648" i="57" l="1"/>
  <c r="AK648" i="57"/>
  <c r="AM649" i="57"/>
  <c r="AN649" i="57"/>
  <c r="AL649" i="57" l="1"/>
  <c r="AK649" i="57"/>
  <c r="AM650" i="57"/>
  <c r="AN650" i="57"/>
  <c r="AL650" i="57" l="1"/>
  <c r="AK650" i="57"/>
  <c r="AM651" i="57"/>
  <c r="AN651" i="57"/>
  <c r="AL651" i="57" l="1"/>
  <c r="AK651" i="57"/>
  <c r="AM652" i="57"/>
  <c r="AN652" i="57"/>
  <c r="AL652" i="57" l="1"/>
  <c r="AK652" i="57"/>
  <c r="AM653" i="57"/>
  <c r="AN653" i="57"/>
  <c r="AL653" i="57" l="1"/>
  <c r="AK653" i="57"/>
  <c r="AM654" i="57"/>
  <c r="AN654" i="57"/>
  <c r="AL654" i="57" l="1"/>
  <c r="AK654" i="57"/>
  <c r="AM655" i="57"/>
  <c r="AN655" i="57"/>
  <c r="AL655" i="57" l="1"/>
  <c r="AK655" i="57"/>
  <c r="AM656" i="57"/>
  <c r="AN656" i="57"/>
  <c r="AL656" i="57" l="1"/>
  <c r="AK656" i="57"/>
  <c r="AM657" i="57"/>
  <c r="AN657" i="57"/>
  <c r="AL657" i="57" l="1"/>
  <c r="AK657" i="57"/>
  <c r="AM658" i="57"/>
  <c r="AN658" i="57"/>
  <c r="AL658" i="57" l="1"/>
  <c r="AK658" i="57"/>
  <c r="AM659" i="57"/>
  <c r="AN659" i="57"/>
  <c r="AL659" i="57" l="1"/>
  <c r="AK659" i="57"/>
  <c r="AM660" i="57"/>
  <c r="AN660" i="57"/>
  <c r="AL660" i="57" l="1"/>
  <c r="AK660" i="57"/>
  <c r="AM661" i="57"/>
  <c r="AN661" i="57"/>
  <c r="AL661" i="57" l="1"/>
  <c r="AK661" i="57"/>
  <c r="AM662" i="57"/>
  <c r="AN662" i="57"/>
  <c r="AL662" i="57" l="1"/>
  <c r="AK662" i="57"/>
  <c r="AM663" i="57"/>
  <c r="AN663" i="57"/>
  <c r="AL663" i="57" l="1"/>
  <c r="AK663" i="57"/>
  <c r="AM664" i="57"/>
  <c r="AN664" i="57"/>
  <c r="AL664" i="57" l="1"/>
  <c r="AK664" i="57"/>
  <c r="AM665" i="57"/>
  <c r="AN665" i="57"/>
  <c r="AL665" i="57" l="1"/>
  <c r="AK665" i="57"/>
  <c r="AM666" i="57"/>
  <c r="AN666" i="57"/>
  <c r="AL666" i="57" l="1"/>
  <c r="AK666" i="57"/>
  <c r="AM667" i="57"/>
  <c r="AN667" i="57"/>
  <c r="AL667" i="57" l="1"/>
  <c r="AK667" i="57"/>
  <c r="AM668" i="57"/>
  <c r="AN668" i="57"/>
  <c r="AL668" i="57" l="1"/>
  <c r="AK668" i="57"/>
  <c r="AM669" i="57"/>
  <c r="AN669" i="57"/>
  <c r="AL669" i="57" l="1"/>
  <c r="AK669" i="57"/>
  <c r="AM670" i="57"/>
  <c r="AN670" i="57"/>
  <c r="AL670" i="57" l="1"/>
  <c r="AK670" i="57"/>
  <c r="AM671" i="57"/>
  <c r="AN671" i="57"/>
  <c r="AL671" i="57" l="1"/>
  <c r="AK671" i="57"/>
  <c r="AM672" i="57"/>
  <c r="AN672" i="57"/>
  <c r="AL672" i="57" l="1"/>
  <c r="AK672" i="57"/>
  <c r="AM673" i="57"/>
  <c r="AN673" i="57"/>
  <c r="AL673" i="57" l="1"/>
  <c r="AK673" i="57"/>
  <c r="AM674" i="57"/>
  <c r="AN674" i="57"/>
  <c r="AL674" i="57" l="1"/>
  <c r="AK674" i="57"/>
  <c r="AM675" i="57"/>
  <c r="AN675" i="57"/>
  <c r="AL675" i="57" l="1"/>
  <c r="AK675" i="57"/>
  <c r="AM676" i="57"/>
  <c r="AN676" i="57"/>
  <c r="AL676" i="57" l="1"/>
  <c r="AK676" i="57"/>
  <c r="AM677" i="57"/>
  <c r="AN677" i="57"/>
  <c r="AL677" i="57" l="1"/>
  <c r="AK677" i="57"/>
  <c r="AM678" i="57"/>
  <c r="AN678" i="57"/>
  <c r="AL678" i="57" l="1"/>
  <c r="AK678" i="57"/>
  <c r="AM679" i="57"/>
  <c r="AN679" i="57"/>
  <c r="AL679" i="57" l="1"/>
  <c r="AK679" i="57"/>
  <c r="AM680" i="57"/>
  <c r="AN680" i="57"/>
  <c r="AL680" i="57" l="1"/>
  <c r="AK680" i="57"/>
  <c r="AM681" i="57"/>
  <c r="AN681" i="57"/>
  <c r="AL681" i="57" l="1"/>
  <c r="AK681" i="57"/>
  <c r="AM682" i="57"/>
  <c r="AN682" i="57"/>
  <c r="AL682" i="57" l="1"/>
  <c r="AK682" i="57"/>
  <c r="AM683" i="57"/>
  <c r="AN683" i="57"/>
  <c r="AL683" i="57" l="1"/>
  <c r="AK683" i="57"/>
  <c r="AM684" i="57"/>
  <c r="AN684" i="57"/>
  <c r="AL684" i="57" l="1"/>
  <c r="AK684" i="57"/>
  <c r="AM685" i="57"/>
  <c r="AN685" i="57"/>
  <c r="AL685" i="57" l="1"/>
  <c r="AK685" i="57"/>
  <c r="AM686" i="57"/>
  <c r="AN686" i="57"/>
  <c r="AL686" i="57" l="1"/>
  <c r="AK686" i="57"/>
  <c r="AM687" i="57"/>
  <c r="AN687" i="57"/>
  <c r="AL687" i="57" l="1"/>
  <c r="AK687" i="57"/>
  <c r="AM688" i="57"/>
  <c r="AN688" i="57"/>
  <c r="AL688" i="57" l="1"/>
  <c r="AK688" i="57"/>
  <c r="AM689" i="57"/>
  <c r="AN689" i="57"/>
  <c r="AL689" i="57" l="1"/>
  <c r="AK689" i="57"/>
  <c r="AM690" i="57"/>
  <c r="AN690" i="57"/>
  <c r="AL690" i="57" l="1"/>
  <c r="AK690" i="57"/>
  <c r="AM691" i="57"/>
  <c r="AN691" i="57"/>
  <c r="AL691" i="57" l="1"/>
  <c r="AK691" i="57"/>
  <c r="AM692" i="57"/>
  <c r="AN692" i="57"/>
  <c r="AL692" i="57" l="1"/>
  <c r="AK692" i="57"/>
  <c r="AG692" i="57"/>
  <c r="Y692" i="57"/>
  <c r="AA692" i="57" l="1"/>
  <c r="AB692" i="57" s="1"/>
  <c r="T692" i="57"/>
  <c r="O692" i="57"/>
  <c r="N692" i="57"/>
  <c r="AG691" i="57"/>
  <c r="Y691" i="57"/>
  <c r="AA691" i="57" l="1"/>
  <c r="AB691" i="57" s="1"/>
  <c r="Q691" i="57"/>
  <c r="T691" i="57" s="1"/>
  <c r="O691" i="57"/>
  <c r="N691" i="57"/>
  <c r="AG690" i="57"/>
  <c r="Y690" i="57"/>
  <c r="AA690" i="57" l="1"/>
  <c r="AB690" i="57" s="1"/>
  <c r="Q690" i="57"/>
  <c r="T690" i="57" s="1"/>
  <c r="O690" i="57"/>
  <c r="N690" i="57"/>
  <c r="AG689" i="57"/>
  <c r="Y689" i="57"/>
  <c r="AA689" i="57" l="1"/>
  <c r="AB689" i="57" s="1"/>
  <c r="T689" i="57"/>
  <c r="O689" i="57"/>
  <c r="N689" i="57"/>
  <c r="AG688" i="57"/>
  <c r="Y688" i="57"/>
  <c r="AA688" i="57" l="1"/>
  <c r="AB688" i="57" s="1"/>
  <c r="Q688" i="57"/>
  <c r="T688" i="57" s="1"/>
  <c r="O688" i="57"/>
  <c r="N688" i="57"/>
  <c r="AG687" i="57"/>
  <c r="Y687" i="57"/>
  <c r="AA687" i="57" l="1"/>
  <c r="AB687" i="57" s="1"/>
  <c r="Q687" i="57"/>
  <c r="T687" i="57" s="1"/>
  <c r="O687" i="57"/>
  <c r="N687" i="57"/>
  <c r="AG686" i="57"/>
  <c r="Y686" i="57"/>
  <c r="AA686" i="57" l="1"/>
  <c r="AB686" i="57" s="1"/>
  <c r="Q686" i="57"/>
  <c r="T686" i="57" s="1"/>
  <c r="O686" i="57"/>
  <c r="N686" i="57"/>
  <c r="AG685" i="57"/>
  <c r="Y685" i="57"/>
  <c r="AA685" i="57" l="1"/>
  <c r="AB685" i="57" s="1"/>
  <c r="T685" i="57"/>
  <c r="O685" i="57"/>
  <c r="N685" i="57"/>
  <c r="AG684" i="57"/>
  <c r="Y684" i="57"/>
  <c r="AA684" i="57" l="1"/>
  <c r="AB684" i="57" s="1"/>
  <c r="T684" i="57"/>
  <c r="O684" i="57"/>
  <c r="N684" i="57"/>
  <c r="AG683" i="57"/>
  <c r="Y683" i="57"/>
  <c r="AA683" i="57" l="1"/>
  <c r="AB683" i="57" s="1"/>
  <c r="Q683" i="57"/>
  <c r="T683" i="57" s="1"/>
  <c r="O683" i="57"/>
  <c r="N683" i="57"/>
  <c r="AG682" i="57"/>
  <c r="Y682" i="57"/>
  <c r="AA682" i="57" l="1"/>
  <c r="AB682" i="57" s="1"/>
  <c r="Q682" i="57"/>
  <c r="T682" i="57" s="1"/>
  <c r="O682" i="57"/>
  <c r="N682" i="57"/>
  <c r="AG681" i="57"/>
  <c r="Y681" i="57"/>
  <c r="AA681" i="57" l="1"/>
  <c r="AB681" i="57" s="1"/>
  <c r="Q681" i="57"/>
  <c r="T681" i="57" s="1"/>
  <c r="O681" i="57"/>
  <c r="N681" i="57"/>
  <c r="AG680" i="57"/>
  <c r="Y680" i="57"/>
  <c r="AA680" i="57" l="1"/>
  <c r="AB680" i="57" s="1"/>
  <c r="Q680" i="57"/>
  <c r="T680" i="57" s="1"/>
  <c r="O680" i="57"/>
  <c r="N680" i="57"/>
  <c r="AG679" i="57"/>
  <c r="Y679" i="57"/>
  <c r="AA679" i="57" l="1"/>
  <c r="AB679" i="57" s="1"/>
  <c r="Q679" i="57"/>
  <c r="T679" i="57" s="1"/>
  <c r="O679" i="57"/>
  <c r="N679" i="57"/>
  <c r="AG678" i="57"/>
  <c r="Y678" i="57"/>
  <c r="AA678" i="57" l="1"/>
  <c r="AB678" i="57" s="1"/>
  <c r="T678" i="57"/>
  <c r="O678" i="57"/>
  <c r="N678" i="57"/>
  <c r="AG677" i="57"/>
  <c r="Y677" i="57"/>
  <c r="AA677" i="57" l="1"/>
  <c r="AB677" i="57" s="1"/>
  <c r="Q677" i="57"/>
  <c r="T677" i="57" s="1"/>
  <c r="O677" i="57"/>
  <c r="N677" i="57"/>
  <c r="AG676" i="57"/>
  <c r="Y676" i="57"/>
  <c r="AA676" i="57" l="1"/>
  <c r="AB676" i="57" s="1"/>
  <c r="Q676" i="57"/>
  <c r="T676" i="57" s="1"/>
  <c r="O676" i="57"/>
  <c r="N676" i="57"/>
  <c r="AG675" i="57"/>
  <c r="Y675" i="57"/>
  <c r="AA675" i="57" l="1"/>
  <c r="AB675" i="57" s="1"/>
  <c r="Q675" i="57"/>
  <c r="T675" i="57" s="1"/>
  <c r="O675" i="57"/>
  <c r="N675" i="57"/>
  <c r="AG674" i="57"/>
  <c r="Y674" i="57"/>
  <c r="AA674" i="57" l="1"/>
  <c r="AB674" i="57" s="1"/>
  <c r="Q674" i="57"/>
  <c r="T674" i="57" s="1"/>
  <c r="O674" i="57"/>
  <c r="N674" i="57"/>
  <c r="AG673" i="57"/>
  <c r="Y673" i="57"/>
  <c r="AA673" i="57" l="1"/>
  <c r="AB673" i="57" s="1"/>
  <c r="T673" i="57"/>
  <c r="O673" i="57"/>
  <c r="N673" i="57"/>
  <c r="AG672" i="57"/>
  <c r="Y672" i="57"/>
  <c r="AA672" i="57" l="1"/>
  <c r="AB672" i="57" s="1"/>
  <c r="Q672" i="57"/>
  <c r="T672" i="57" s="1"/>
  <c r="O672" i="57"/>
  <c r="N672" i="57"/>
  <c r="AG671" i="57"/>
  <c r="Y671" i="57"/>
  <c r="AA671" i="57" l="1"/>
  <c r="AB671" i="57" s="1"/>
  <c r="Q671" i="57"/>
  <c r="T671" i="57" s="1"/>
  <c r="O671" i="57"/>
  <c r="N671" i="57"/>
  <c r="AG670" i="57"/>
  <c r="Y670" i="57"/>
  <c r="AA670" i="57" l="1"/>
  <c r="AB670" i="57" s="1"/>
  <c r="Q670" i="57"/>
  <c r="T670" i="57" s="1"/>
  <c r="O670" i="57"/>
  <c r="N670" i="57"/>
  <c r="AG669" i="57"/>
  <c r="Y669" i="57"/>
  <c r="AA669" i="57" l="1"/>
  <c r="AB669" i="57" s="1"/>
  <c r="Q669" i="57"/>
  <c r="T669" i="57" s="1"/>
  <c r="O669" i="57"/>
  <c r="N669" i="57"/>
  <c r="AG668" i="57"/>
  <c r="Y668" i="57"/>
  <c r="AA668" i="57" l="1"/>
  <c r="AB668" i="57" s="1"/>
  <c r="Q668" i="57"/>
  <c r="T668" i="57" s="1"/>
  <c r="O668" i="57"/>
  <c r="N668" i="57"/>
  <c r="AG667" i="57"/>
  <c r="Y667" i="57"/>
  <c r="AA667" i="57" l="1"/>
  <c r="AB667" i="57" s="1"/>
  <c r="Q667" i="57"/>
  <c r="T667" i="57" s="1"/>
  <c r="O667" i="57"/>
  <c r="N667" i="57"/>
  <c r="AG666" i="57"/>
  <c r="Y666" i="57"/>
  <c r="AA666" i="57" l="1"/>
  <c r="AB666" i="57" s="1"/>
  <c r="Q666" i="57"/>
  <c r="T666" i="57" s="1"/>
  <c r="O666" i="57"/>
  <c r="N666" i="57"/>
  <c r="AG665" i="57"/>
  <c r="Y665" i="57"/>
  <c r="AA665" i="57" l="1"/>
  <c r="AB665" i="57" s="1"/>
  <c r="Q665" i="57"/>
  <c r="T665" i="57" s="1"/>
  <c r="O665" i="57"/>
  <c r="N665" i="57"/>
  <c r="AG664" i="57"/>
  <c r="Y664" i="57"/>
  <c r="AA664" i="57" l="1"/>
  <c r="AB664" i="57" s="1"/>
  <c r="Q664" i="57"/>
  <c r="T664" i="57" s="1"/>
  <c r="O664" i="57"/>
  <c r="N664" i="57"/>
  <c r="AG663" i="57"/>
  <c r="Y663" i="57"/>
  <c r="AA663" i="57" l="1"/>
  <c r="AB663" i="57" s="1"/>
  <c r="T663" i="57"/>
  <c r="O663" i="57"/>
  <c r="N663" i="57"/>
  <c r="AG662" i="57"/>
  <c r="Y662" i="57"/>
  <c r="AA662" i="57" l="1"/>
  <c r="AB662" i="57" s="1"/>
  <c r="Q662" i="57"/>
  <c r="T662" i="57" s="1"/>
  <c r="O662" i="57"/>
  <c r="N662" i="57"/>
  <c r="AG661" i="57"/>
  <c r="Y661" i="57"/>
  <c r="AA661" i="57" l="1"/>
  <c r="AB661" i="57" s="1"/>
  <c r="Q661" i="57"/>
  <c r="T661" i="57" s="1"/>
  <c r="O661" i="57"/>
  <c r="N661" i="57"/>
  <c r="AG660" i="57"/>
  <c r="Y660" i="57"/>
  <c r="AA660" i="57" l="1"/>
  <c r="AB660" i="57" s="1"/>
  <c r="T660" i="57"/>
  <c r="O660" i="57"/>
  <c r="N660" i="57"/>
  <c r="AG659" i="57"/>
  <c r="Y659" i="57"/>
  <c r="AA659" i="57" l="1"/>
  <c r="AB659" i="57" s="1"/>
  <c r="Q659" i="57"/>
  <c r="T659" i="57" s="1"/>
  <c r="O659" i="57"/>
  <c r="N659" i="57"/>
  <c r="AG658" i="57"/>
  <c r="Y658" i="57"/>
  <c r="AA658" i="57" l="1"/>
  <c r="AB658" i="57" s="1"/>
  <c r="T658" i="57"/>
  <c r="O658" i="57"/>
  <c r="N658" i="57"/>
  <c r="AG657" i="57"/>
  <c r="Y657" i="57"/>
  <c r="AA657" i="57" l="1"/>
  <c r="AB657" i="57" s="1"/>
  <c r="Q657" i="57"/>
  <c r="T657" i="57" s="1"/>
  <c r="O657" i="57"/>
  <c r="N657" i="57"/>
  <c r="AG656" i="57"/>
  <c r="Y656" i="57"/>
  <c r="AA656" i="57" l="1"/>
  <c r="AB656" i="57" s="1"/>
  <c r="T656" i="57"/>
  <c r="O656" i="57"/>
  <c r="N656" i="57"/>
  <c r="AG655" i="57"/>
  <c r="Y655" i="57"/>
  <c r="AA655" i="57" l="1"/>
  <c r="AB655" i="57" s="1"/>
  <c r="T655" i="57"/>
  <c r="O655" i="57"/>
  <c r="N655" i="57"/>
  <c r="AG654" i="57"/>
  <c r="Y654" i="57"/>
  <c r="AA654" i="57" l="1"/>
  <c r="AB654" i="57" s="1"/>
  <c r="Q654" i="57"/>
  <c r="T654" i="57" s="1"/>
  <c r="O654" i="57"/>
  <c r="N654" i="57"/>
  <c r="AG653" i="57"/>
  <c r="Y653" i="57"/>
  <c r="AA653" i="57" l="1"/>
  <c r="AB653" i="57" s="1"/>
  <c r="Q653" i="57"/>
  <c r="T653" i="57" s="1"/>
  <c r="O653" i="57"/>
  <c r="N653" i="57"/>
  <c r="AG652" i="57"/>
  <c r="Y652" i="57"/>
  <c r="AA652" i="57" l="1"/>
  <c r="AB652" i="57" s="1"/>
  <c r="T652" i="57"/>
  <c r="O652" i="57"/>
  <c r="N652" i="57"/>
  <c r="AG651" i="57"/>
  <c r="Y651" i="57"/>
  <c r="AA651" i="57" l="1"/>
  <c r="AB651" i="57" s="1"/>
  <c r="T651" i="57"/>
  <c r="O651" i="57"/>
  <c r="N651" i="57"/>
  <c r="AG650" i="57"/>
  <c r="Y650" i="57"/>
  <c r="AA650" i="57" l="1"/>
  <c r="AB650" i="57" s="1"/>
  <c r="T650" i="57"/>
  <c r="O650" i="57"/>
  <c r="N650" i="57"/>
  <c r="AG649" i="57"/>
  <c r="Y649" i="57"/>
  <c r="AA649" i="57" l="1"/>
  <c r="AB649" i="57" s="1"/>
  <c r="T649" i="57"/>
  <c r="O649" i="57"/>
  <c r="N649" i="57"/>
  <c r="AG648" i="57"/>
  <c r="Y648" i="57"/>
  <c r="AA648" i="57" l="1"/>
  <c r="AB648" i="57" s="1"/>
  <c r="Q648" i="57"/>
  <c r="T648" i="57" s="1"/>
  <c r="O648" i="57"/>
  <c r="N648" i="57"/>
  <c r="AG647" i="57"/>
  <c r="Y647" i="57"/>
  <c r="AA647" i="57" l="1"/>
  <c r="AB647" i="57" s="1"/>
  <c r="Q647" i="57"/>
  <c r="T647" i="57" s="1"/>
  <c r="O647" i="57"/>
  <c r="N647" i="57"/>
  <c r="AG646" i="57"/>
  <c r="Y646" i="57"/>
  <c r="AA646" i="57" l="1"/>
  <c r="AB646" i="57" s="1"/>
  <c r="T646" i="57"/>
  <c r="O646" i="57"/>
  <c r="N646" i="57"/>
  <c r="AG645" i="57"/>
  <c r="Y645" i="57"/>
  <c r="AA645" i="57" l="1"/>
  <c r="AB645" i="57" s="1"/>
  <c r="Q645" i="57"/>
  <c r="T645" i="57" s="1"/>
  <c r="O645" i="57"/>
  <c r="N645" i="57"/>
  <c r="AG644" i="57"/>
  <c r="Y644" i="57"/>
  <c r="AA644" i="57" l="1"/>
  <c r="AB644" i="57" s="1"/>
  <c r="Q644" i="57"/>
  <c r="T644" i="57" s="1"/>
  <c r="O644" i="57"/>
  <c r="N644" i="57"/>
  <c r="AG643" i="57"/>
  <c r="Y643" i="57"/>
  <c r="AA643" i="57" l="1"/>
  <c r="AB643" i="57" s="1"/>
  <c r="T643" i="57"/>
  <c r="O643" i="57"/>
  <c r="N643" i="57"/>
  <c r="AG642" i="57"/>
  <c r="Y642" i="57"/>
  <c r="AA642" i="57" l="1"/>
  <c r="AB642" i="57" s="1"/>
  <c r="Q642" i="57"/>
  <c r="T642" i="57" s="1"/>
  <c r="O642" i="57"/>
  <c r="N642" i="57"/>
  <c r="AG641" i="57"/>
  <c r="Y641" i="57"/>
  <c r="AA641" i="57" l="1"/>
  <c r="AB641" i="57" s="1"/>
  <c r="Q641" i="57"/>
  <c r="T641" i="57" s="1"/>
  <c r="O641" i="57"/>
  <c r="N641" i="57"/>
  <c r="AG640" i="57"/>
  <c r="Y640" i="57"/>
  <c r="AA640" i="57" l="1"/>
  <c r="AB640" i="57" s="1"/>
  <c r="Q640" i="57"/>
  <c r="T640" i="57" s="1"/>
  <c r="O640" i="57"/>
  <c r="N640" i="57"/>
  <c r="AG639" i="57"/>
  <c r="Y639" i="57"/>
  <c r="AA639" i="57" l="1"/>
  <c r="AB639" i="57" s="1"/>
  <c r="Q639" i="57"/>
  <c r="T639" i="57" s="1"/>
  <c r="O639" i="57"/>
  <c r="N639" i="57"/>
  <c r="AG638" i="57"/>
  <c r="Y638" i="57"/>
  <c r="AA638" i="57" l="1"/>
  <c r="AB638" i="57" s="1"/>
  <c r="T638" i="57"/>
  <c r="O638" i="57"/>
  <c r="N638" i="57"/>
  <c r="AG637" i="57"/>
  <c r="Y637" i="57"/>
  <c r="AA637" i="57" l="1"/>
  <c r="AB637" i="57" s="1"/>
  <c r="Q637" i="57"/>
  <c r="T637" i="57" s="1"/>
  <c r="O637" i="57"/>
  <c r="N637" i="57"/>
  <c r="AG636" i="57"/>
  <c r="Y636" i="57"/>
  <c r="AA636" i="57" l="1"/>
  <c r="AB636" i="57" s="1"/>
  <c r="Q636" i="57"/>
  <c r="T636" i="57" s="1"/>
  <c r="O636" i="57"/>
  <c r="N636" i="57"/>
  <c r="AG635" i="57"/>
  <c r="Y635" i="57"/>
  <c r="AA635" i="57" l="1"/>
  <c r="AB635" i="57" s="1"/>
  <c r="T635" i="57"/>
  <c r="O635" i="57"/>
  <c r="N635" i="57"/>
  <c r="AG634" i="57"/>
  <c r="Y634" i="57"/>
  <c r="AA634" i="57" l="1"/>
  <c r="AB634" i="57" s="1"/>
  <c r="Q634" i="57"/>
  <c r="T634" i="57" s="1"/>
  <c r="O634" i="57"/>
  <c r="N634" i="57"/>
  <c r="AG633" i="57"/>
  <c r="Y633" i="57"/>
  <c r="AA633" i="57" l="1"/>
  <c r="AB633" i="57" s="1"/>
  <c r="Q633" i="57"/>
  <c r="T633" i="57" s="1"/>
  <c r="O633" i="57"/>
  <c r="N633" i="57"/>
  <c r="AG632" i="57"/>
  <c r="Y632" i="57"/>
  <c r="AA632" i="57" l="1"/>
  <c r="AB632" i="57" s="1"/>
  <c r="T632" i="57"/>
  <c r="O632" i="57"/>
  <c r="N632" i="57"/>
  <c r="AG631" i="57"/>
  <c r="Y631" i="57"/>
  <c r="AA631" i="57" l="1"/>
  <c r="AB631" i="57" s="1"/>
  <c r="Q631" i="57"/>
  <c r="T631" i="57" s="1"/>
  <c r="O631" i="57"/>
  <c r="N631" i="57"/>
  <c r="AG630" i="57"/>
  <c r="Y630" i="57"/>
  <c r="AA630" i="57" l="1"/>
  <c r="AB630" i="57" s="1"/>
  <c r="T630" i="57"/>
  <c r="O630" i="57"/>
  <c r="N630" i="57"/>
  <c r="AG629" i="57"/>
  <c r="Y629" i="57"/>
  <c r="AA629" i="57" l="1"/>
  <c r="AB629" i="57" s="1"/>
  <c r="Q629" i="57"/>
  <c r="T629" i="57" s="1"/>
  <c r="O629" i="57"/>
  <c r="N629" i="57"/>
  <c r="AG628" i="57"/>
  <c r="Y628" i="57"/>
  <c r="AA628" i="57" l="1"/>
  <c r="AB628" i="57" s="1"/>
  <c r="T628" i="57"/>
  <c r="O628" i="57"/>
  <c r="N628" i="57"/>
  <c r="AG627" i="57"/>
  <c r="Y627" i="57"/>
  <c r="AA627" i="57" l="1"/>
  <c r="AB627" i="57" s="1"/>
  <c r="Q627" i="57"/>
  <c r="T627" i="57" s="1"/>
  <c r="O627" i="57"/>
  <c r="N627" i="57"/>
  <c r="AG626" i="57"/>
  <c r="Y626" i="57"/>
  <c r="AA626" i="57" l="1"/>
  <c r="AB626" i="57" s="1"/>
  <c r="Q626" i="57"/>
  <c r="T626" i="57" s="1"/>
  <c r="O626" i="57"/>
  <c r="N626" i="57"/>
  <c r="AG625" i="57"/>
  <c r="Y625" i="57"/>
  <c r="AA625" i="57" l="1"/>
  <c r="AB625" i="57" s="1"/>
  <c r="T625" i="57"/>
  <c r="O625" i="57"/>
  <c r="N625" i="57"/>
  <c r="AG624" i="57"/>
  <c r="Y624" i="57"/>
  <c r="AA624" i="57" l="1"/>
  <c r="AB624" i="57" s="1"/>
  <c r="T624" i="57"/>
  <c r="O624" i="57"/>
  <c r="N624" i="57"/>
  <c r="AG623" i="57"/>
  <c r="Y623" i="57"/>
  <c r="AA623" i="57" l="1"/>
  <c r="AB623" i="57" s="1"/>
  <c r="Q623" i="57"/>
  <c r="T623" i="57" s="1"/>
  <c r="O623" i="57"/>
  <c r="N623" i="57"/>
  <c r="AG622" i="57"/>
  <c r="Y622" i="57"/>
  <c r="AA622" i="57" l="1"/>
  <c r="AB622" i="57" s="1"/>
  <c r="Q622" i="57"/>
  <c r="T622" i="57" s="1"/>
  <c r="O622" i="57"/>
  <c r="N622" i="57"/>
  <c r="AG621" i="57"/>
  <c r="Y621" i="57"/>
  <c r="AA621" i="57" l="1"/>
  <c r="AB621" i="57" s="1"/>
  <c r="Q621" i="57"/>
  <c r="T621" i="57" s="1"/>
  <c r="O621" i="57"/>
  <c r="N621" i="57"/>
  <c r="AG620" i="57"/>
  <c r="Y620" i="57"/>
  <c r="AA620" i="57" l="1"/>
  <c r="AB620" i="57" s="1"/>
  <c r="Q620" i="57"/>
  <c r="T620" i="57" s="1"/>
  <c r="O620" i="57"/>
  <c r="N620" i="57"/>
  <c r="AG619" i="57"/>
  <c r="Y619" i="57"/>
  <c r="AA619" i="57" l="1"/>
  <c r="AB619" i="57" s="1"/>
  <c r="Q619" i="57"/>
  <c r="T619" i="57" s="1"/>
  <c r="O619" i="57"/>
  <c r="N619" i="57"/>
  <c r="AG618" i="57"/>
  <c r="Y618" i="57"/>
  <c r="AA618" i="57" l="1"/>
  <c r="AB618" i="57" s="1"/>
  <c r="Q618" i="57"/>
  <c r="T618" i="57" s="1"/>
  <c r="O618" i="57"/>
  <c r="N618" i="57"/>
  <c r="AG617" i="57"/>
  <c r="Y617" i="57"/>
  <c r="AA617" i="57" l="1"/>
  <c r="AB617" i="57" s="1"/>
  <c r="Q617" i="57"/>
  <c r="T617" i="57" s="1"/>
  <c r="O617" i="57"/>
  <c r="N617" i="57"/>
  <c r="AG616" i="57"/>
  <c r="Y616" i="57"/>
  <c r="AA616" i="57" l="1"/>
  <c r="AB616" i="57" s="1"/>
  <c r="Q616" i="57"/>
  <c r="T616" i="57" s="1"/>
  <c r="O616" i="57"/>
  <c r="N616" i="57"/>
  <c r="AG615" i="57"/>
  <c r="Y615" i="57"/>
  <c r="AA615" i="57" l="1"/>
  <c r="AB615" i="57" s="1"/>
  <c r="Q615" i="57"/>
  <c r="T615" i="57" s="1"/>
  <c r="O615" i="57"/>
  <c r="N615" i="57"/>
  <c r="AG614" i="57"/>
  <c r="Y614" i="57"/>
  <c r="AA614" i="57" l="1"/>
  <c r="AB614" i="57" s="1"/>
  <c r="Q614" i="57"/>
  <c r="T614" i="57" s="1"/>
  <c r="O614" i="57"/>
  <c r="N614" i="57"/>
  <c r="AG613" i="57"/>
  <c r="Y613" i="57"/>
  <c r="AA613" i="57" l="1"/>
  <c r="AB613" i="57" s="1"/>
  <c r="Q613" i="57"/>
  <c r="T613" i="57" s="1"/>
  <c r="O613" i="57"/>
  <c r="N613" i="57"/>
  <c r="AG612" i="57"/>
  <c r="Y612" i="57"/>
  <c r="AA612" i="57" l="1"/>
  <c r="AB612" i="57" s="1"/>
  <c r="T612" i="57"/>
  <c r="O612" i="57"/>
  <c r="N612" i="57"/>
  <c r="AG611" i="57"/>
  <c r="Y611" i="57"/>
  <c r="AA611" i="57" l="1"/>
  <c r="AB611" i="57" s="1"/>
  <c r="Q611" i="57"/>
  <c r="T611" i="57" s="1"/>
  <c r="O611" i="57"/>
  <c r="N611" i="57"/>
  <c r="AG610" i="57"/>
  <c r="Y610" i="57"/>
  <c r="AA610" i="57" l="1"/>
  <c r="AB610" i="57" s="1"/>
  <c r="T610" i="57"/>
  <c r="O610" i="57"/>
  <c r="N610" i="57"/>
  <c r="AG609" i="57"/>
  <c r="Y609" i="57"/>
  <c r="AA609" i="57" l="1"/>
  <c r="AB609" i="57" s="1"/>
  <c r="Q609" i="57"/>
  <c r="T609" i="57" s="1"/>
  <c r="O609" i="57"/>
  <c r="N609" i="57"/>
  <c r="AG608" i="57"/>
  <c r="Y608" i="57"/>
  <c r="AA608" i="57" l="1"/>
  <c r="AB608" i="57" s="1"/>
  <c r="Q608" i="57"/>
  <c r="T608" i="57" s="1"/>
  <c r="O608" i="57"/>
  <c r="N608" i="57"/>
  <c r="AG607" i="57"/>
  <c r="Y607" i="57"/>
  <c r="AA607" i="57" l="1"/>
  <c r="AB607" i="57" s="1"/>
  <c r="Q607" i="57"/>
  <c r="T607" i="57" s="1"/>
  <c r="O607" i="57"/>
  <c r="N607" i="57"/>
  <c r="AG606" i="57"/>
  <c r="Y606" i="57"/>
  <c r="AA606" i="57" l="1"/>
  <c r="AB606" i="57" s="1"/>
  <c r="T606" i="57"/>
  <c r="O606" i="57"/>
  <c r="N606" i="57"/>
  <c r="AG605" i="57"/>
  <c r="Y605" i="57"/>
  <c r="AA605" i="57" l="1"/>
  <c r="AB605" i="57" s="1"/>
  <c r="T605" i="57"/>
  <c r="O605" i="57"/>
  <c r="N605" i="57"/>
  <c r="AG604" i="57"/>
  <c r="Y604" i="57"/>
  <c r="AA604" i="57" l="1"/>
  <c r="AB604" i="57" s="1"/>
  <c r="Q604" i="57"/>
  <c r="T604" i="57" s="1"/>
  <c r="O604" i="57"/>
  <c r="N604" i="57"/>
  <c r="AG603" i="57"/>
  <c r="Y603" i="57"/>
  <c r="AA603" i="57" l="1"/>
  <c r="AB603" i="57" s="1"/>
  <c r="T603" i="57"/>
  <c r="O603" i="57"/>
  <c r="N603" i="57"/>
  <c r="AG602" i="57"/>
  <c r="Y602" i="57"/>
  <c r="AA602" i="57" l="1"/>
  <c r="AB602" i="57" s="1"/>
  <c r="Q602" i="57"/>
  <c r="T602" i="57" s="1"/>
  <c r="O602" i="57"/>
  <c r="N602" i="57"/>
  <c r="AG601" i="57"/>
  <c r="Y601" i="57"/>
  <c r="AA601" i="57" l="1"/>
  <c r="AB601" i="57" s="1"/>
  <c r="Q601" i="57"/>
  <c r="T601" i="57" s="1"/>
  <c r="O601" i="57"/>
  <c r="N601" i="57"/>
  <c r="AG600" i="57"/>
  <c r="Y600" i="57"/>
  <c r="AA600" i="57" l="1"/>
  <c r="AB600" i="57" s="1"/>
  <c r="Q600" i="57"/>
  <c r="T600" i="57" s="1"/>
  <c r="O600" i="57"/>
  <c r="N600" i="57"/>
  <c r="AG599" i="57"/>
  <c r="Y599" i="57"/>
  <c r="AA599" i="57" l="1"/>
  <c r="AB599" i="57" s="1"/>
  <c r="T599" i="57"/>
  <c r="O599" i="57"/>
  <c r="N599" i="57"/>
  <c r="AG598" i="57"/>
  <c r="Y598" i="57"/>
  <c r="AA598" i="57" l="1"/>
  <c r="AB598" i="57" s="1"/>
  <c r="Q598" i="57"/>
  <c r="T598" i="57" s="1"/>
  <c r="O598" i="57"/>
  <c r="N598" i="57"/>
  <c r="AG597" i="57"/>
  <c r="Y597" i="57"/>
  <c r="AA597" i="57" l="1"/>
  <c r="AB597" i="57" s="1"/>
  <c r="Q597" i="57"/>
  <c r="T597" i="57" s="1"/>
  <c r="O597" i="57"/>
  <c r="N597" i="57"/>
  <c r="AG596" i="57"/>
  <c r="Y596" i="57"/>
  <c r="AA596" i="57" l="1"/>
  <c r="AB596" i="57" s="1"/>
  <c r="Q596" i="57"/>
  <c r="T596" i="57" s="1"/>
  <c r="O596" i="57"/>
  <c r="N596" i="57"/>
  <c r="AG595" i="57"/>
  <c r="Y595" i="57"/>
  <c r="AA595" i="57" l="1"/>
  <c r="AB595" i="57" s="1"/>
  <c r="T595" i="57"/>
  <c r="O595" i="57"/>
  <c r="N595" i="57"/>
  <c r="AG594" i="57"/>
  <c r="Y594" i="57"/>
  <c r="AA594" i="57" l="1"/>
  <c r="AB594" i="57" s="1"/>
  <c r="T594" i="57"/>
  <c r="O594" i="57"/>
  <c r="N594" i="57"/>
  <c r="AG593" i="57"/>
  <c r="Y593" i="57"/>
  <c r="AA593" i="57" l="1"/>
  <c r="AB593" i="57" s="1"/>
  <c r="T593" i="57"/>
  <c r="O593" i="57"/>
  <c r="N593" i="57"/>
  <c r="AG592" i="57"/>
  <c r="Y592" i="57"/>
  <c r="AA592" i="57" l="1"/>
  <c r="AB592" i="57" s="1"/>
  <c r="Q592" i="57"/>
  <c r="T592" i="57" s="1"/>
  <c r="O592" i="57"/>
  <c r="N592" i="57"/>
  <c r="AG591" i="57"/>
  <c r="Y591" i="57"/>
  <c r="AA591" i="57" l="1"/>
  <c r="AB591" i="57" s="1"/>
  <c r="Q591" i="57"/>
  <c r="T591" i="57" s="1"/>
  <c r="O591" i="57"/>
  <c r="N591" i="57"/>
  <c r="AG590" i="57"/>
  <c r="Y590" i="57"/>
  <c r="AA590" i="57" l="1"/>
  <c r="AB590" i="57" s="1"/>
  <c r="Q590" i="57"/>
  <c r="T590" i="57" s="1"/>
  <c r="O590" i="57"/>
  <c r="N590" i="57"/>
  <c r="AG589" i="57"/>
  <c r="Y589" i="57"/>
  <c r="AA589" i="57" l="1"/>
  <c r="AB589" i="57" s="1"/>
  <c r="Q589" i="57"/>
  <c r="T589" i="57" s="1"/>
  <c r="O589" i="57"/>
  <c r="N589" i="57"/>
  <c r="AG588" i="57"/>
  <c r="Y588" i="57"/>
  <c r="AA588" i="57" l="1"/>
  <c r="AB588" i="57" s="1"/>
  <c r="T588" i="57"/>
  <c r="O588" i="57"/>
  <c r="N588" i="57"/>
  <c r="AG587" i="57"/>
  <c r="Y587" i="57"/>
  <c r="AA587" i="57" l="1"/>
  <c r="AB587" i="57" s="1"/>
  <c r="Q587" i="57"/>
  <c r="T587" i="57" s="1"/>
  <c r="O587" i="57"/>
  <c r="N587" i="57"/>
  <c r="AG586" i="57"/>
  <c r="Y586" i="57"/>
  <c r="AA586" i="57" l="1"/>
  <c r="AB586" i="57" s="1"/>
  <c r="T586" i="57"/>
  <c r="O586" i="57"/>
  <c r="N586" i="57"/>
  <c r="AG585" i="57"/>
  <c r="Y585" i="57"/>
  <c r="AA585" i="57" l="1"/>
  <c r="AB585" i="57" s="1"/>
  <c r="Q585" i="57"/>
  <c r="T585" i="57" s="1"/>
  <c r="O585" i="57"/>
  <c r="N585" i="57"/>
  <c r="AG584" i="57"/>
  <c r="Y584" i="57"/>
  <c r="AA584" i="57" l="1"/>
  <c r="AB584" i="57" s="1"/>
  <c r="Q584" i="57"/>
  <c r="T584" i="57" s="1"/>
  <c r="O584" i="57"/>
  <c r="N584" i="57"/>
  <c r="AG583" i="57"/>
  <c r="Y583" i="57"/>
  <c r="AA583" i="57" l="1"/>
  <c r="AB583" i="57" s="1"/>
  <c r="T583" i="57"/>
  <c r="O583" i="57"/>
  <c r="N583" i="57"/>
  <c r="AG582" i="57"/>
  <c r="Y582" i="57"/>
  <c r="AA582" i="57" l="1"/>
  <c r="AB582" i="57" s="1"/>
  <c r="Q582" i="57"/>
  <c r="T582" i="57" s="1"/>
  <c r="O582" i="57"/>
  <c r="N582" i="57"/>
  <c r="AG581" i="57"/>
  <c r="Y581" i="57"/>
  <c r="AA581" i="57" l="1"/>
  <c r="AB581" i="57" s="1"/>
  <c r="Q581" i="57"/>
  <c r="T581" i="57" s="1"/>
  <c r="O581" i="57"/>
  <c r="N581" i="57"/>
  <c r="AG580" i="57"/>
  <c r="Y580" i="57"/>
  <c r="AA580" i="57" l="1"/>
  <c r="AB580" i="57" s="1"/>
  <c r="Q580" i="57"/>
  <c r="T580" i="57" s="1"/>
  <c r="O580" i="57"/>
  <c r="N580" i="57"/>
  <c r="AG579" i="57"/>
  <c r="Y579" i="57"/>
  <c r="AA579" i="57" l="1"/>
  <c r="AB579" i="57" s="1"/>
  <c r="Q579" i="57"/>
  <c r="T579" i="57" s="1"/>
  <c r="O579" i="57"/>
  <c r="N579" i="57"/>
  <c r="AG578" i="57"/>
  <c r="Y578" i="57"/>
  <c r="AA578" i="57" l="1"/>
  <c r="AB578" i="57" s="1"/>
  <c r="Q578" i="57"/>
  <c r="T578" i="57" s="1"/>
  <c r="O578" i="57"/>
  <c r="N578" i="57"/>
  <c r="AG577" i="57"/>
  <c r="Y577" i="57"/>
  <c r="AA577" i="57" l="1"/>
  <c r="AB577" i="57" s="1"/>
  <c r="T577" i="57"/>
  <c r="O577" i="57"/>
  <c r="N577" i="57"/>
  <c r="AG576" i="57"/>
  <c r="Y576" i="57"/>
  <c r="AA576" i="57" l="1"/>
  <c r="AB576" i="57" s="1"/>
  <c r="Q576" i="57"/>
  <c r="T576" i="57" s="1"/>
  <c r="O576" i="57"/>
  <c r="N576" i="57"/>
  <c r="AG575" i="57"/>
  <c r="Y575" i="57"/>
  <c r="AA575" i="57" l="1"/>
  <c r="AB575" i="57" s="1"/>
  <c r="Q575" i="57"/>
  <c r="T575" i="57" s="1"/>
  <c r="O575" i="57"/>
  <c r="N575" i="57"/>
  <c r="AG574" i="57"/>
  <c r="Y574" i="57"/>
  <c r="AA574" i="57" l="1"/>
  <c r="AB574" i="57" s="1"/>
  <c r="Q574" i="57"/>
  <c r="T574" i="57" s="1"/>
  <c r="O574" i="57"/>
  <c r="N574" i="57"/>
  <c r="AG573" i="57"/>
  <c r="Y573" i="57"/>
  <c r="AA573" i="57" l="1"/>
  <c r="AB573" i="57" s="1"/>
  <c r="Q573" i="57"/>
  <c r="T573" i="57" s="1"/>
  <c r="O573" i="57"/>
  <c r="N573" i="57"/>
  <c r="AG572" i="57"/>
  <c r="Y572" i="57"/>
  <c r="AA572" i="57" l="1"/>
  <c r="AB572" i="57" s="1"/>
  <c r="Q572" i="57"/>
  <c r="T572" i="57" s="1"/>
  <c r="O572" i="57"/>
  <c r="N572" i="57"/>
  <c r="AG571" i="57"/>
  <c r="Y571" i="57"/>
  <c r="AA571" i="57" l="1"/>
  <c r="AB571" i="57" s="1"/>
  <c r="T571" i="57"/>
  <c r="O571" i="57"/>
  <c r="N571" i="57"/>
  <c r="AG570" i="57"/>
  <c r="Y570" i="57"/>
  <c r="AA570" i="57" l="1"/>
  <c r="AB570" i="57" s="1"/>
  <c r="Q570" i="57"/>
  <c r="T570" i="57" s="1"/>
  <c r="O570" i="57"/>
  <c r="N570" i="57"/>
  <c r="AG569" i="57"/>
  <c r="Y569" i="57"/>
  <c r="AA569" i="57" l="1"/>
  <c r="AB569" i="57" s="1"/>
  <c r="Q569" i="57"/>
  <c r="T569" i="57" s="1"/>
  <c r="O569" i="57"/>
  <c r="N569" i="57"/>
  <c r="AG568" i="57"/>
  <c r="Y568" i="57"/>
  <c r="AA568" i="57" l="1"/>
  <c r="AB568" i="57" s="1"/>
  <c r="Q568" i="57"/>
  <c r="T568" i="57" s="1"/>
  <c r="O568" i="57"/>
  <c r="N568" i="57"/>
  <c r="AG567" i="57"/>
  <c r="Y567" i="57"/>
  <c r="AA567" i="57" l="1"/>
  <c r="AB567" i="57" s="1"/>
  <c r="T567" i="57"/>
  <c r="O567" i="57"/>
  <c r="N567" i="57"/>
  <c r="AG566" i="57"/>
  <c r="Y566" i="57"/>
  <c r="AA566" i="57" l="1"/>
  <c r="AB566" i="57" s="1"/>
  <c r="Q566" i="57"/>
  <c r="T566" i="57" s="1"/>
  <c r="O566" i="57"/>
  <c r="N566" i="57"/>
  <c r="AG565" i="57"/>
  <c r="Y565" i="57"/>
  <c r="AA565" i="57" l="1"/>
  <c r="AB565" i="57" s="1"/>
  <c r="Q565" i="57"/>
  <c r="T565" i="57" s="1"/>
  <c r="O565" i="57"/>
  <c r="N565" i="57"/>
  <c r="AG564" i="57"/>
  <c r="Y564" i="57"/>
  <c r="AA564" i="57" l="1"/>
  <c r="AB564" i="57" s="1"/>
  <c r="Q564" i="57"/>
  <c r="T564" i="57" s="1"/>
  <c r="O564" i="57"/>
  <c r="N564" i="57"/>
  <c r="AG563" i="57"/>
  <c r="Y563" i="57"/>
  <c r="AA563" i="57" l="1"/>
  <c r="AB563" i="57" s="1"/>
  <c r="T563" i="57"/>
  <c r="O563" i="57"/>
  <c r="N563" i="57"/>
  <c r="AG562" i="57"/>
  <c r="Y562" i="57"/>
  <c r="AA562" i="57" l="1"/>
  <c r="AB562" i="57" s="1"/>
  <c r="Q562" i="57"/>
  <c r="T562" i="57" s="1"/>
  <c r="O562" i="57"/>
  <c r="N562" i="57"/>
  <c r="AG561" i="57"/>
  <c r="Y561" i="57"/>
  <c r="AA561" i="57" l="1"/>
  <c r="AB561" i="57" s="1"/>
  <c r="T561" i="57"/>
  <c r="O561" i="57"/>
  <c r="N561" i="57"/>
  <c r="AG560" i="57"/>
  <c r="Y560" i="57"/>
  <c r="AA560" i="57" l="1"/>
  <c r="AB560" i="57" s="1"/>
  <c r="T560" i="57"/>
  <c r="O560" i="57"/>
  <c r="N560" i="57"/>
  <c r="AG559" i="57"/>
  <c r="Y559" i="57"/>
  <c r="AA559" i="57" l="1"/>
  <c r="AB559" i="57" s="1"/>
  <c r="Q559" i="57"/>
  <c r="T559" i="57" s="1"/>
  <c r="O559" i="57"/>
  <c r="N559" i="57"/>
  <c r="AG558" i="57"/>
  <c r="Y558" i="57"/>
  <c r="AA558" i="57" l="1"/>
  <c r="AB558" i="57" s="1"/>
  <c r="Q558" i="57"/>
  <c r="T558" i="57" s="1"/>
  <c r="O558" i="57"/>
  <c r="N558" i="57"/>
  <c r="AG557" i="57"/>
  <c r="Y557" i="57"/>
  <c r="AA557" i="57" l="1"/>
  <c r="AB557" i="57" s="1"/>
  <c r="T557" i="57"/>
  <c r="O557" i="57"/>
  <c r="N557" i="57"/>
  <c r="AG556" i="57"/>
  <c r="Y556" i="57"/>
  <c r="AA556" i="57" l="1"/>
  <c r="AB556" i="57" s="1"/>
  <c r="T556" i="57"/>
  <c r="O556" i="57"/>
  <c r="N556" i="57"/>
  <c r="AG555" i="57"/>
  <c r="Y555" i="57"/>
  <c r="AA555" i="57" l="1"/>
  <c r="AB555" i="57" s="1"/>
  <c r="T555" i="57"/>
  <c r="O555" i="57"/>
  <c r="N555" i="57"/>
  <c r="AG554" i="57"/>
  <c r="Y554" i="57"/>
  <c r="AA554" i="57" l="1"/>
  <c r="AB554" i="57" s="1"/>
  <c r="Q554" i="57"/>
  <c r="T554" i="57" s="1"/>
  <c r="O554" i="57"/>
  <c r="N554" i="57"/>
  <c r="AG553" i="57"/>
  <c r="Y553" i="57"/>
  <c r="AA553" i="57" l="1"/>
  <c r="AB553" i="57" s="1"/>
  <c r="Q553" i="57"/>
  <c r="T553" i="57" s="1"/>
  <c r="O553" i="57"/>
  <c r="N553" i="57"/>
  <c r="AG552" i="57"/>
  <c r="Y552" i="57"/>
  <c r="AA552" i="57" l="1"/>
  <c r="AB552" i="57" s="1"/>
  <c r="T552" i="57"/>
  <c r="O552" i="57"/>
  <c r="N552" i="57"/>
  <c r="AG551" i="57"/>
  <c r="Y551" i="57"/>
  <c r="AA551" i="57" l="1"/>
  <c r="AB551" i="57" s="1"/>
  <c r="Q551" i="57"/>
  <c r="T551" i="57" s="1"/>
  <c r="O551" i="57"/>
  <c r="N551" i="57"/>
  <c r="AG550" i="57"/>
  <c r="Y550" i="57"/>
  <c r="AA550" i="57" l="1"/>
  <c r="AB550" i="57" s="1"/>
  <c r="T550" i="57"/>
  <c r="O550" i="57"/>
  <c r="N550" i="57"/>
  <c r="AG549" i="57"/>
  <c r="Y549" i="57"/>
  <c r="AA549" i="57" l="1"/>
  <c r="AB549" i="57" s="1"/>
  <c r="Q549" i="57"/>
  <c r="T549" i="57" s="1"/>
  <c r="O549" i="57"/>
  <c r="N549" i="57"/>
  <c r="AG548" i="57"/>
  <c r="Y548" i="57"/>
  <c r="AA548" i="57" l="1"/>
  <c r="AB548" i="57" s="1"/>
  <c r="Q548" i="57"/>
  <c r="T548" i="57" s="1"/>
  <c r="O548" i="57"/>
  <c r="N548" i="57"/>
  <c r="AG547" i="57"/>
  <c r="Y547" i="57"/>
  <c r="AA547" i="57" l="1"/>
  <c r="AB547" i="57" s="1"/>
  <c r="Q547" i="57"/>
  <c r="T547" i="57" s="1"/>
  <c r="O547" i="57"/>
  <c r="N547" i="57"/>
  <c r="AG546" i="57"/>
  <c r="Y546" i="57"/>
  <c r="AA546" i="57" l="1"/>
  <c r="AB546" i="57" s="1"/>
  <c r="Q546" i="57"/>
  <c r="T546" i="57" s="1"/>
  <c r="O546" i="57"/>
  <c r="N546" i="57"/>
  <c r="AG545" i="57"/>
  <c r="Y545" i="57"/>
  <c r="AA545" i="57" l="1"/>
  <c r="AB545" i="57" s="1"/>
  <c r="Q545" i="57"/>
  <c r="T545" i="57" s="1"/>
  <c r="O545" i="57"/>
  <c r="N545" i="57"/>
  <c r="AG544" i="57"/>
  <c r="Y544" i="57"/>
  <c r="AA544" i="57" l="1"/>
  <c r="AB544" i="57" s="1"/>
  <c r="Q544" i="57"/>
  <c r="T544" i="57" s="1"/>
  <c r="O544" i="57"/>
  <c r="N544" i="57"/>
  <c r="AG543" i="57"/>
  <c r="Y543" i="57"/>
  <c r="AA543" i="57" l="1"/>
  <c r="AB543" i="57" s="1"/>
  <c r="T543" i="57"/>
  <c r="O543" i="57"/>
  <c r="N543" i="57"/>
  <c r="AG542" i="57"/>
  <c r="Y542" i="57"/>
  <c r="AA542" i="57" l="1"/>
  <c r="AB542" i="57" s="1"/>
  <c r="Q542" i="57"/>
  <c r="T542" i="57" s="1"/>
  <c r="O542" i="57"/>
  <c r="N542" i="57"/>
  <c r="AG541" i="57"/>
  <c r="Y541" i="57"/>
  <c r="AA541" i="57" l="1"/>
  <c r="AB541" i="57" s="1"/>
  <c r="Q541" i="57"/>
  <c r="T541" i="57" s="1"/>
  <c r="O541" i="57"/>
  <c r="N541" i="57"/>
  <c r="AG540" i="57"/>
  <c r="Y540" i="57"/>
  <c r="AA540" i="57" l="1"/>
  <c r="AB540" i="57" s="1"/>
  <c r="Q540" i="57"/>
  <c r="T540" i="57" s="1"/>
  <c r="O540" i="57"/>
  <c r="N540" i="57"/>
  <c r="AG539" i="57"/>
  <c r="Y539" i="57"/>
  <c r="AA539" i="57" l="1"/>
  <c r="AB539" i="57" s="1"/>
  <c r="Q539" i="57"/>
  <c r="T539" i="57" s="1"/>
  <c r="O539" i="57"/>
  <c r="N539" i="57"/>
  <c r="AG538" i="57"/>
  <c r="Y538" i="57"/>
  <c r="AA538" i="57" l="1"/>
  <c r="AB538" i="57" s="1"/>
  <c r="Q538" i="57"/>
  <c r="T538" i="57" s="1"/>
  <c r="O538" i="57"/>
  <c r="N538" i="57"/>
  <c r="AG537" i="57"/>
  <c r="Y537" i="57"/>
  <c r="AA537" i="57" l="1"/>
  <c r="AB537" i="57" s="1"/>
  <c r="Q537" i="57"/>
  <c r="T537" i="57" s="1"/>
  <c r="O537" i="57"/>
  <c r="N537" i="57"/>
  <c r="AG536" i="57"/>
  <c r="Y536" i="57"/>
  <c r="AA536" i="57" l="1"/>
  <c r="AB536" i="57" s="1"/>
  <c r="Q536" i="57"/>
  <c r="T536" i="57" s="1"/>
  <c r="O536" i="57"/>
  <c r="N536" i="57"/>
  <c r="AG535" i="57"/>
  <c r="Y535" i="57"/>
  <c r="AA535" i="57" l="1"/>
  <c r="AB535" i="57" s="1"/>
  <c r="Q535" i="57"/>
  <c r="T535" i="57" s="1"/>
  <c r="O535" i="57"/>
  <c r="N535" i="57"/>
  <c r="AG534" i="57"/>
  <c r="Y534" i="57"/>
  <c r="AA534" i="57" l="1"/>
  <c r="AB534" i="57" s="1"/>
  <c r="Q534" i="57"/>
  <c r="T534" i="57" s="1"/>
  <c r="O534" i="57"/>
  <c r="N534" i="57"/>
  <c r="AG533" i="57"/>
  <c r="Y533" i="57"/>
  <c r="AA533" i="57" l="1"/>
  <c r="AB533" i="57" s="1"/>
  <c r="Q533" i="57"/>
  <c r="T533" i="57" s="1"/>
  <c r="O533" i="57"/>
  <c r="N533" i="57"/>
  <c r="AG532" i="57"/>
  <c r="Y532" i="57"/>
  <c r="AA532" i="57" l="1"/>
  <c r="AB532" i="57" s="1"/>
  <c r="Q532" i="57"/>
  <c r="T532" i="57" s="1"/>
  <c r="O532" i="57"/>
  <c r="N532" i="57"/>
  <c r="AG531" i="57"/>
  <c r="Y531" i="57"/>
  <c r="AA531" i="57" l="1"/>
  <c r="AB531" i="57" s="1"/>
  <c r="Q531" i="57"/>
  <c r="T531" i="57" s="1"/>
  <c r="O531" i="57"/>
  <c r="N531" i="57"/>
  <c r="AG530" i="57"/>
  <c r="Y530" i="57"/>
  <c r="AA530" i="57" l="1"/>
  <c r="AB530" i="57" s="1"/>
  <c r="Q530" i="57"/>
  <c r="T530" i="57" s="1"/>
  <c r="O530" i="57"/>
  <c r="N530" i="57"/>
  <c r="AN529" i="57"/>
  <c r="AL529" i="57" s="1"/>
  <c r="AM529" i="57"/>
  <c r="AK529" i="57" s="1"/>
  <c r="AG529" i="57"/>
  <c r="Y529" i="57"/>
  <c r="AA529" i="57" l="1"/>
  <c r="AB529" i="57" s="1"/>
  <c r="Q529" i="57"/>
  <c r="T529" i="57" s="1"/>
  <c r="O529" i="57"/>
  <c r="N529" i="57"/>
  <c r="AM494" i="57"/>
  <c r="AN494" i="57"/>
  <c r="AL494" i="57" l="1"/>
  <c r="AK494" i="57"/>
  <c r="AM495" i="57"/>
  <c r="AN495" i="57"/>
  <c r="AL495" i="57" l="1"/>
  <c r="AK495" i="57"/>
  <c r="AM496" i="57"/>
  <c r="AN496" i="57"/>
  <c r="AL496" i="57" l="1"/>
  <c r="AK496" i="57"/>
  <c r="AM497" i="57"/>
  <c r="AN497" i="57"/>
  <c r="AL497" i="57" l="1"/>
  <c r="AK497" i="57"/>
  <c r="AM498" i="57"/>
  <c r="AN498" i="57"/>
  <c r="AL498" i="57" l="1"/>
  <c r="AK498" i="57"/>
  <c r="AM499" i="57"/>
  <c r="AN499" i="57"/>
  <c r="AL499" i="57" l="1"/>
  <c r="AK499" i="57"/>
  <c r="AM500" i="57"/>
  <c r="AN500" i="57"/>
  <c r="AL500" i="57" l="1"/>
  <c r="AK500" i="57"/>
  <c r="AM501" i="57"/>
  <c r="AN501" i="57"/>
  <c r="AL501" i="57" l="1"/>
  <c r="AK501" i="57"/>
  <c r="AM502" i="57"/>
  <c r="AN502" i="57"/>
  <c r="AL502" i="57" l="1"/>
  <c r="AK502" i="57"/>
  <c r="AM503" i="57"/>
  <c r="AN503" i="57"/>
  <c r="AL503" i="57" l="1"/>
  <c r="AK503" i="57"/>
  <c r="AM504" i="57"/>
  <c r="AN504" i="57"/>
  <c r="AL504" i="57" l="1"/>
  <c r="AK504" i="57"/>
  <c r="AM505" i="57"/>
  <c r="AN505" i="57"/>
  <c r="AL505" i="57" l="1"/>
  <c r="AK505" i="57"/>
  <c r="AM506" i="57"/>
  <c r="AN506" i="57"/>
  <c r="AL506" i="57" l="1"/>
  <c r="AK506" i="57"/>
  <c r="AM507" i="57"/>
  <c r="AN507" i="57"/>
  <c r="AL507" i="57" l="1"/>
  <c r="AK507" i="57"/>
  <c r="AM508" i="57"/>
  <c r="AN508" i="57"/>
  <c r="AL508" i="57" l="1"/>
  <c r="AK508" i="57"/>
  <c r="AM509" i="57"/>
  <c r="AN509" i="57"/>
  <c r="AL509" i="57" l="1"/>
  <c r="AK509" i="57"/>
  <c r="AM510" i="57"/>
  <c r="AN510" i="57"/>
  <c r="AL510" i="57" l="1"/>
  <c r="AK510" i="57"/>
  <c r="AM511" i="57"/>
  <c r="AN511" i="57"/>
  <c r="AL511" i="57" l="1"/>
  <c r="AK511" i="57"/>
  <c r="AM512" i="57"/>
  <c r="AN512" i="57"/>
  <c r="AL512" i="57" l="1"/>
  <c r="AK512" i="57"/>
  <c r="AM513" i="57"/>
  <c r="AN513" i="57"/>
  <c r="AL513" i="57" l="1"/>
  <c r="AK513" i="57"/>
  <c r="AM514" i="57"/>
  <c r="AN514" i="57"/>
  <c r="AL514" i="57" l="1"/>
  <c r="AK514" i="57"/>
  <c r="AM515" i="57"/>
  <c r="AN515" i="57"/>
  <c r="AL515" i="57" l="1"/>
  <c r="AK515" i="57"/>
  <c r="AM516" i="57"/>
  <c r="AN516" i="57"/>
  <c r="AL516" i="57" l="1"/>
  <c r="AK516" i="57"/>
  <c r="AM517" i="57"/>
  <c r="AN517" i="57"/>
  <c r="AL517" i="57" l="1"/>
  <c r="AK517" i="57"/>
  <c r="AM518" i="57"/>
  <c r="AN518" i="57"/>
  <c r="AL518" i="57" l="1"/>
  <c r="AK518" i="57"/>
  <c r="AM519" i="57"/>
  <c r="AN519" i="57"/>
  <c r="AL519" i="57" l="1"/>
  <c r="AK519" i="57"/>
  <c r="AM520" i="57"/>
  <c r="AN520" i="57"/>
  <c r="AL520" i="57" l="1"/>
  <c r="AK520" i="57"/>
  <c r="AM521" i="57"/>
  <c r="AN521" i="57"/>
  <c r="AL521" i="57" l="1"/>
  <c r="AK521" i="57"/>
  <c r="AM522" i="57"/>
  <c r="AN522" i="57"/>
  <c r="AL522" i="57" l="1"/>
  <c r="AK522" i="57"/>
  <c r="AM523" i="57"/>
  <c r="AN523" i="57"/>
  <c r="AL523" i="57" l="1"/>
  <c r="AK523" i="57"/>
  <c r="AM524" i="57"/>
  <c r="AN524" i="57"/>
  <c r="AL524" i="57" l="1"/>
  <c r="AK524" i="57"/>
  <c r="AM525" i="57"/>
  <c r="AN525" i="57"/>
  <c r="AL525" i="57" l="1"/>
  <c r="AK525" i="57"/>
  <c r="AM526" i="57"/>
  <c r="AN526" i="57"/>
  <c r="AL526" i="57" l="1"/>
  <c r="AK526" i="57"/>
  <c r="AG526" i="57"/>
  <c r="Y526" i="57"/>
  <c r="AA526" i="57" l="1"/>
  <c r="AB526" i="57" s="1"/>
  <c r="Q526" i="57"/>
  <c r="T526" i="57" s="1"/>
  <c r="O526" i="57"/>
  <c r="N526" i="57"/>
  <c r="AG525" i="57"/>
  <c r="Y525" i="57"/>
  <c r="AA525" i="57" l="1"/>
  <c r="AB525" i="57" s="1"/>
  <c r="Q525" i="57"/>
  <c r="T525" i="57" s="1"/>
  <c r="O525" i="57"/>
  <c r="N525" i="57"/>
  <c r="AG524" i="57"/>
  <c r="Y524" i="57"/>
  <c r="AA524" i="57" l="1"/>
  <c r="AB524" i="57" s="1"/>
  <c r="Q524" i="57"/>
  <c r="T524" i="57" s="1"/>
  <c r="O524" i="57"/>
  <c r="N524" i="57"/>
  <c r="AG523" i="57"/>
  <c r="Y523" i="57"/>
  <c r="AA523" i="57" l="1"/>
  <c r="AB523" i="57" s="1"/>
  <c r="Q523" i="57"/>
  <c r="T523" i="57" s="1"/>
  <c r="O523" i="57"/>
  <c r="N523" i="57"/>
  <c r="AG522" i="57"/>
  <c r="Y522" i="57"/>
  <c r="AA522" i="57" l="1"/>
  <c r="AB522" i="57" s="1"/>
  <c r="Q522" i="57"/>
  <c r="T522" i="57" s="1"/>
  <c r="O522" i="57"/>
  <c r="N522" i="57"/>
  <c r="AG521" i="57"/>
  <c r="Y521" i="57"/>
  <c r="AA521" i="57" l="1"/>
  <c r="AB521" i="57" s="1"/>
  <c r="T521" i="57"/>
  <c r="O521" i="57"/>
  <c r="N521" i="57"/>
  <c r="AG520" i="57"/>
  <c r="Y520" i="57"/>
  <c r="AA520" i="57" l="1"/>
  <c r="AB520" i="57" s="1"/>
  <c r="Q520" i="57"/>
  <c r="T520" i="57" s="1"/>
  <c r="O520" i="57"/>
  <c r="N520" i="57"/>
  <c r="AG519" i="57"/>
  <c r="Y519" i="57"/>
  <c r="AA519" i="57" l="1"/>
  <c r="AB519" i="57" s="1"/>
  <c r="T519" i="57"/>
  <c r="O519" i="57"/>
  <c r="N519" i="57"/>
  <c r="AG518" i="57"/>
  <c r="Y518" i="57"/>
  <c r="AA518" i="57" l="1"/>
  <c r="AB518" i="57" s="1"/>
  <c r="Q518" i="57"/>
  <c r="T518" i="57" s="1"/>
  <c r="O518" i="57"/>
  <c r="N518" i="57"/>
  <c r="AG517" i="57"/>
  <c r="Y517" i="57"/>
  <c r="AA517" i="57" l="1"/>
  <c r="AB517" i="57" s="1"/>
  <c r="Q517" i="57"/>
  <c r="T517" i="57" s="1"/>
  <c r="O517" i="57"/>
  <c r="N517" i="57"/>
  <c r="AG516" i="57"/>
  <c r="Y516" i="57"/>
  <c r="AA516" i="57" l="1"/>
  <c r="AB516" i="57" s="1"/>
  <c r="Q516" i="57"/>
  <c r="T516" i="57" s="1"/>
  <c r="O516" i="57"/>
  <c r="N516" i="57"/>
  <c r="AG515" i="57"/>
  <c r="Y515" i="57"/>
  <c r="AA515" i="57" l="1"/>
  <c r="AB515" i="57" s="1"/>
  <c r="Q515" i="57"/>
  <c r="T515" i="57" s="1"/>
  <c r="O515" i="57"/>
  <c r="N515" i="57"/>
  <c r="AG514" i="57"/>
  <c r="Y514" i="57"/>
  <c r="AA514" i="57" l="1"/>
  <c r="AB514" i="57" s="1"/>
  <c r="Q514" i="57"/>
  <c r="T514" i="57" s="1"/>
  <c r="O514" i="57"/>
  <c r="N514" i="57"/>
  <c r="AG513" i="57"/>
  <c r="Y513" i="57"/>
  <c r="AA513" i="57" l="1"/>
  <c r="AB513" i="57" s="1"/>
  <c r="T513" i="57"/>
  <c r="O513" i="57"/>
  <c r="N513" i="57"/>
  <c r="AG512" i="57"/>
  <c r="Y512" i="57"/>
  <c r="AA512" i="57" l="1"/>
  <c r="AB512" i="57" s="1"/>
  <c r="Q512" i="57"/>
  <c r="T512" i="57" s="1"/>
  <c r="O512" i="57"/>
  <c r="N512" i="57"/>
  <c r="AG511" i="57"/>
  <c r="Y511" i="57"/>
  <c r="AA511" i="57" l="1"/>
  <c r="AB511" i="57" s="1"/>
  <c r="Q511" i="57"/>
  <c r="T511" i="57" s="1"/>
  <c r="O511" i="57"/>
  <c r="N511" i="57"/>
  <c r="AG510" i="57"/>
  <c r="Y510" i="57"/>
  <c r="AA510" i="57" l="1"/>
  <c r="AB510" i="57" s="1"/>
  <c r="Q510" i="57"/>
  <c r="T510" i="57" s="1"/>
  <c r="O510" i="57"/>
  <c r="N510" i="57"/>
  <c r="AG509" i="57"/>
  <c r="Y509" i="57"/>
  <c r="AA509" i="57" l="1"/>
  <c r="AB509" i="57" s="1"/>
  <c r="Q509" i="57"/>
  <c r="T509" i="57" s="1"/>
  <c r="O509" i="57"/>
  <c r="N509" i="57"/>
  <c r="AG508" i="57"/>
  <c r="Y508" i="57"/>
  <c r="AA508" i="57" l="1"/>
  <c r="AB508" i="57" s="1"/>
  <c r="T508" i="57"/>
  <c r="O508" i="57"/>
  <c r="N508" i="57"/>
  <c r="AG507" i="57"/>
  <c r="Y507" i="57"/>
  <c r="AA507" i="57" l="1"/>
  <c r="AB507" i="57" s="1"/>
  <c r="Q507" i="57"/>
  <c r="T507" i="57" s="1"/>
  <c r="O507" i="57"/>
  <c r="N507" i="57"/>
  <c r="AG506" i="57"/>
  <c r="Y506" i="57"/>
  <c r="AA506" i="57" l="1"/>
  <c r="AB506" i="57" s="1"/>
  <c r="Q506" i="57"/>
  <c r="T506" i="57" s="1"/>
  <c r="O506" i="57"/>
  <c r="N506" i="57"/>
  <c r="AG505" i="57"/>
  <c r="Y505" i="57"/>
  <c r="AA505" i="57" l="1"/>
  <c r="AB505" i="57" s="1"/>
  <c r="Q505" i="57"/>
  <c r="T505" i="57" s="1"/>
  <c r="O505" i="57"/>
  <c r="N505" i="57"/>
  <c r="AG504" i="57"/>
  <c r="Y504" i="57"/>
  <c r="AA504" i="57" l="1"/>
  <c r="AB504" i="57" s="1"/>
  <c r="Q504" i="57"/>
  <c r="T504" i="57" s="1"/>
  <c r="O504" i="57"/>
  <c r="N504" i="57"/>
  <c r="AG503" i="57"/>
  <c r="Y503" i="57"/>
  <c r="AA503" i="57" l="1"/>
  <c r="AB503" i="57" s="1"/>
  <c r="Q503" i="57"/>
  <c r="T503" i="57" s="1"/>
  <c r="O503" i="57"/>
  <c r="N503" i="57"/>
  <c r="AG502" i="57"/>
  <c r="Y502" i="57"/>
  <c r="AA502" i="57" l="1"/>
  <c r="AB502" i="57" s="1"/>
  <c r="T502" i="57"/>
  <c r="O502" i="57"/>
  <c r="N502" i="57"/>
  <c r="AG501" i="57"/>
  <c r="Y501" i="57"/>
  <c r="AA501" i="57" l="1"/>
  <c r="AB501" i="57" s="1"/>
  <c r="Q501" i="57"/>
  <c r="T501" i="57" s="1"/>
  <c r="O501" i="57"/>
  <c r="N501" i="57"/>
  <c r="AG500" i="57"/>
  <c r="Y500" i="57"/>
  <c r="AA500" i="57" l="1"/>
  <c r="AB500" i="57" s="1"/>
  <c r="Q500" i="57"/>
  <c r="T500" i="57" s="1"/>
  <c r="O500" i="57"/>
  <c r="N500" i="57"/>
  <c r="AG499" i="57"/>
  <c r="Y499" i="57"/>
  <c r="AA499" i="57" l="1"/>
  <c r="AB499" i="57" s="1"/>
  <c r="Q499" i="57"/>
  <c r="T499" i="57" s="1"/>
  <c r="O499" i="57"/>
  <c r="N499" i="57"/>
  <c r="AG498" i="57"/>
  <c r="Y498" i="57"/>
  <c r="AA498" i="57" l="1"/>
  <c r="AB498" i="57" s="1"/>
  <c r="Q498" i="57"/>
  <c r="T498" i="57" s="1"/>
  <c r="O498" i="57"/>
  <c r="N498" i="57"/>
  <c r="AG497" i="57"/>
  <c r="Y497" i="57"/>
  <c r="AA497" i="57" l="1"/>
  <c r="AB497" i="57" s="1"/>
  <c r="Q497" i="57"/>
  <c r="T497" i="57" s="1"/>
  <c r="O497" i="57"/>
  <c r="N497" i="57"/>
  <c r="AG496" i="57"/>
  <c r="Y496" i="57"/>
  <c r="AA496" i="57" l="1"/>
  <c r="AB496" i="57" s="1"/>
  <c r="Q496" i="57"/>
  <c r="T496" i="57" s="1"/>
  <c r="O496" i="57"/>
  <c r="N496" i="57"/>
  <c r="AG495" i="57"/>
  <c r="Y495" i="57"/>
  <c r="AA495" i="57" l="1"/>
  <c r="AB495" i="57" s="1"/>
  <c r="Q495" i="57"/>
  <c r="T495" i="57" s="1"/>
  <c r="O495" i="57"/>
  <c r="N495" i="57"/>
  <c r="AG494" i="57"/>
  <c r="Y494" i="57"/>
  <c r="AA494" i="57" l="1"/>
  <c r="AB494" i="57" s="1"/>
  <c r="Q494" i="57"/>
  <c r="T494" i="57" s="1"/>
  <c r="O494" i="57"/>
  <c r="N494" i="57"/>
  <c r="AN493" i="57"/>
  <c r="AM493" i="57"/>
  <c r="AK493" i="57" s="1"/>
  <c r="AL493" i="57"/>
  <c r="AG493" i="57"/>
  <c r="Y493" i="57"/>
  <c r="AA493" i="57" l="1"/>
  <c r="AB493" i="57" s="1"/>
  <c r="Q493" i="57"/>
  <c r="T493" i="57" s="1"/>
  <c r="O493" i="57"/>
  <c r="N493" i="57"/>
  <c r="AM480" i="57"/>
  <c r="AN480" i="57"/>
  <c r="AL480" i="57" l="1"/>
  <c r="AK480" i="57"/>
  <c r="AM481" i="57"/>
  <c r="AN481" i="57"/>
  <c r="AL481" i="57" l="1"/>
  <c r="AK481" i="57"/>
  <c r="AM482" i="57"/>
  <c r="AN482" i="57"/>
  <c r="AL482" i="57" l="1"/>
  <c r="AK482" i="57"/>
  <c r="AM483" i="57"/>
  <c r="AN483" i="57"/>
  <c r="AL483" i="57" l="1"/>
  <c r="AK483" i="57"/>
  <c r="AM484" i="57"/>
  <c r="AN484" i="57"/>
  <c r="AL484" i="57" l="1"/>
  <c r="AK484" i="57"/>
  <c r="AM485" i="57"/>
  <c r="AN485" i="57"/>
  <c r="AL485" i="57" l="1"/>
  <c r="AK485" i="57"/>
  <c r="AM486" i="57"/>
  <c r="AN486" i="57"/>
  <c r="AL486" i="57" l="1"/>
  <c r="AK486" i="57"/>
  <c r="AM487" i="57"/>
  <c r="AN487" i="57"/>
  <c r="AL487" i="57" l="1"/>
  <c r="AK487" i="57"/>
  <c r="AM488" i="57"/>
  <c r="AN488" i="57"/>
  <c r="AL488" i="57" l="1"/>
  <c r="AK488" i="57"/>
  <c r="AM489" i="57"/>
  <c r="AN489" i="57"/>
  <c r="AL489" i="57" l="1"/>
  <c r="AK489" i="57"/>
  <c r="AM490" i="57"/>
  <c r="AN490" i="57"/>
  <c r="AN479" i="57"/>
  <c r="AM479" i="57"/>
  <c r="AL490" i="57" l="1"/>
  <c r="AK490" i="57"/>
  <c r="AL479" i="57"/>
  <c r="AK479" i="57"/>
  <c r="AG490" i="57"/>
  <c r="Y490" i="57"/>
  <c r="AA490" i="57" l="1"/>
  <c r="AB490" i="57" s="1"/>
  <c r="T490" i="57"/>
  <c r="O490" i="57"/>
  <c r="N490" i="57"/>
  <c r="AG489" i="57"/>
  <c r="Y489" i="57"/>
  <c r="AA489" i="57" l="1"/>
  <c r="AB489" i="57" s="1"/>
  <c r="Q489" i="57"/>
  <c r="T489" i="57" s="1"/>
  <c r="O489" i="57"/>
  <c r="N489" i="57"/>
  <c r="AG488" i="57"/>
  <c r="Y488" i="57"/>
  <c r="AA488" i="57" l="1"/>
  <c r="AB488" i="57" s="1"/>
  <c r="Q488" i="57"/>
  <c r="T488" i="57" s="1"/>
  <c r="O488" i="57"/>
  <c r="N488" i="57"/>
  <c r="AG487" i="57"/>
  <c r="Y487" i="57"/>
  <c r="AA487" i="57" l="1"/>
  <c r="AB487" i="57" s="1"/>
  <c r="Q487" i="57"/>
  <c r="T487" i="57" s="1"/>
  <c r="O487" i="57"/>
  <c r="N487" i="57"/>
  <c r="AG486" i="57"/>
  <c r="Y486" i="57"/>
  <c r="AA486" i="57" l="1"/>
  <c r="AB486" i="57" s="1"/>
  <c r="T486" i="57"/>
  <c r="O486" i="57"/>
  <c r="N486" i="57"/>
  <c r="AG485" i="57"/>
  <c r="Y485" i="57"/>
  <c r="AA485" i="57" l="1"/>
  <c r="AB485" i="57" s="1"/>
  <c r="T485" i="57"/>
  <c r="O485" i="57"/>
  <c r="N485" i="57"/>
  <c r="AG484" i="57"/>
  <c r="Y484" i="57"/>
  <c r="AA484" i="57" l="1"/>
  <c r="AB484" i="57" s="1"/>
  <c r="Q484" i="57"/>
  <c r="T484" i="57" s="1"/>
  <c r="O484" i="57"/>
  <c r="N484" i="57"/>
  <c r="AG483" i="57"/>
  <c r="Y483" i="57"/>
  <c r="AA483" i="57" l="1"/>
  <c r="AB483" i="57" s="1"/>
  <c r="T483" i="57"/>
  <c r="O483" i="57"/>
  <c r="N483" i="57"/>
  <c r="AG482" i="57"/>
  <c r="Y482" i="57"/>
  <c r="AA482" i="57" l="1"/>
  <c r="AB482" i="57" s="1"/>
  <c r="Q482" i="57"/>
  <c r="T482" i="57" s="1"/>
  <c r="O482" i="57"/>
  <c r="N482" i="57"/>
  <c r="AG481" i="57"/>
  <c r="Y481" i="57"/>
  <c r="AA481" i="57" l="1"/>
  <c r="AB481" i="57" s="1"/>
  <c r="T481" i="57"/>
  <c r="O481" i="57"/>
  <c r="N481" i="57"/>
  <c r="AG480" i="57"/>
  <c r="Y480" i="57"/>
  <c r="AA480" i="57" l="1"/>
  <c r="AB480" i="57" s="1"/>
  <c r="Q480" i="57"/>
  <c r="T480" i="57" s="1"/>
  <c r="O480" i="57"/>
  <c r="N480" i="57"/>
  <c r="AG479" i="57"/>
  <c r="Y479" i="57"/>
  <c r="AA479" i="57" l="1"/>
  <c r="AB479" i="57" s="1"/>
  <c r="Q479" i="57"/>
  <c r="T479" i="57" s="1"/>
  <c r="O479" i="57"/>
  <c r="N479" i="57"/>
  <c r="AM432" i="57"/>
  <c r="AN432" i="57"/>
  <c r="AL432" i="57" l="1"/>
  <c r="AK432" i="57"/>
  <c r="AM433" i="57"/>
  <c r="AN433" i="57"/>
  <c r="AL433" i="57" l="1"/>
  <c r="AK433" i="57"/>
  <c r="AM434" i="57"/>
  <c r="AN434" i="57"/>
  <c r="AL434" i="57" l="1"/>
  <c r="AK434" i="57"/>
  <c r="AM435" i="57"/>
  <c r="AN435" i="57"/>
  <c r="AL435" i="57" l="1"/>
  <c r="AK435" i="57"/>
  <c r="AM436" i="57"/>
  <c r="AN436" i="57"/>
  <c r="AL436" i="57" l="1"/>
  <c r="AK436" i="57"/>
  <c r="AM437" i="57"/>
  <c r="AN437" i="57"/>
  <c r="AL437" i="57" l="1"/>
  <c r="AK437" i="57"/>
  <c r="AM438" i="57"/>
  <c r="AN438" i="57"/>
  <c r="AL438" i="57" l="1"/>
  <c r="AK438" i="57"/>
  <c r="AM439" i="57"/>
  <c r="AN439" i="57"/>
  <c r="AL439" i="57" l="1"/>
  <c r="AK439" i="57"/>
  <c r="AM440" i="57"/>
  <c r="AN440" i="57"/>
  <c r="AL440" i="57" l="1"/>
  <c r="AK440" i="57"/>
  <c r="AM441" i="57"/>
  <c r="AN441" i="57"/>
  <c r="AL441" i="57" l="1"/>
  <c r="AK441" i="57"/>
  <c r="AM442" i="57"/>
  <c r="AN442" i="57"/>
  <c r="AL442" i="57" l="1"/>
  <c r="AK442" i="57"/>
  <c r="AM443" i="57"/>
  <c r="AN443" i="57"/>
  <c r="AL443" i="57" l="1"/>
  <c r="AK443" i="57"/>
  <c r="AM444" i="57"/>
  <c r="AN444" i="57"/>
  <c r="AL444" i="57" l="1"/>
  <c r="AK444" i="57"/>
  <c r="AM445" i="57"/>
  <c r="AN445" i="57"/>
  <c r="AL445" i="57" l="1"/>
  <c r="AK445" i="57"/>
  <c r="AM446" i="57"/>
  <c r="AN446" i="57"/>
  <c r="AL446" i="57" l="1"/>
  <c r="AK446" i="57"/>
  <c r="AM447" i="57"/>
  <c r="AN447" i="57"/>
  <c r="AL447" i="57" l="1"/>
  <c r="AK447" i="57"/>
  <c r="AM448" i="57"/>
  <c r="AN448" i="57"/>
  <c r="AL448" i="57" l="1"/>
  <c r="AK448" i="57"/>
  <c r="AM449" i="57"/>
  <c r="AN449" i="57"/>
  <c r="AL449" i="57" l="1"/>
  <c r="AK449" i="57"/>
  <c r="AM450" i="57"/>
  <c r="AN450" i="57"/>
  <c r="AL450" i="57" l="1"/>
  <c r="AK450" i="57"/>
  <c r="AM451" i="57"/>
  <c r="AN451" i="57"/>
  <c r="AL451" i="57" l="1"/>
  <c r="AK451" i="57"/>
  <c r="AM452" i="57"/>
  <c r="AN452" i="57"/>
  <c r="AL452" i="57" l="1"/>
  <c r="AK452" i="57"/>
  <c r="AM453" i="57"/>
  <c r="AN453" i="57"/>
  <c r="AL453" i="57" l="1"/>
  <c r="AK453" i="57"/>
  <c r="AM454" i="57"/>
  <c r="AN454" i="57"/>
  <c r="AL454" i="57" l="1"/>
  <c r="AK454" i="57"/>
  <c r="AM455" i="57"/>
  <c r="AN455" i="57"/>
  <c r="AL455" i="57" l="1"/>
  <c r="AK455" i="57"/>
  <c r="AM456" i="57"/>
  <c r="AN456" i="57"/>
  <c r="AL456" i="57" l="1"/>
  <c r="AK456" i="57"/>
  <c r="AM457" i="57"/>
  <c r="AN457" i="57"/>
  <c r="AL457" i="57" l="1"/>
  <c r="AK457" i="57"/>
  <c r="AM458" i="57"/>
  <c r="AN458" i="57"/>
  <c r="AL458" i="57" l="1"/>
  <c r="AK458" i="57"/>
  <c r="AM459" i="57"/>
  <c r="AN459" i="57"/>
  <c r="AL459" i="57" l="1"/>
  <c r="AK459" i="57"/>
  <c r="AM460" i="57"/>
  <c r="AN460" i="57"/>
  <c r="AL460" i="57" l="1"/>
  <c r="AK460" i="57"/>
  <c r="AM461" i="57"/>
  <c r="AN461" i="57"/>
  <c r="AL461" i="57" l="1"/>
  <c r="AK461" i="57"/>
  <c r="AM462" i="57"/>
  <c r="AN462" i="57"/>
  <c r="AL462" i="57" l="1"/>
  <c r="AK462" i="57"/>
  <c r="AM463" i="57"/>
  <c r="AN463" i="57"/>
  <c r="AL463" i="57" l="1"/>
  <c r="AK463" i="57"/>
  <c r="AM464" i="57"/>
  <c r="AN464" i="57"/>
  <c r="AL464" i="57" l="1"/>
  <c r="AK464" i="57"/>
  <c r="AM465" i="57"/>
  <c r="AN465" i="57"/>
  <c r="AL465" i="57" l="1"/>
  <c r="AK465" i="57"/>
  <c r="AM466" i="57"/>
  <c r="AN466" i="57"/>
  <c r="AL466" i="57" l="1"/>
  <c r="AK466" i="57"/>
  <c r="AM467" i="57"/>
  <c r="AN467" i="57"/>
  <c r="AL467" i="57" l="1"/>
  <c r="AK467" i="57"/>
  <c r="AM468" i="57"/>
  <c r="AN468" i="57"/>
  <c r="AL468" i="57" l="1"/>
  <c r="AK468" i="57"/>
  <c r="AM469" i="57"/>
  <c r="AN469" i="57"/>
  <c r="AL469" i="57" l="1"/>
  <c r="AK469" i="57"/>
  <c r="AM470" i="57"/>
  <c r="AN470" i="57"/>
  <c r="AL470" i="57" l="1"/>
  <c r="AK470" i="57"/>
  <c r="AM471" i="57"/>
  <c r="AN471" i="57"/>
  <c r="AL471" i="57" l="1"/>
  <c r="AK471" i="57"/>
  <c r="AM472" i="57"/>
  <c r="AN472" i="57"/>
  <c r="AL472" i="57" l="1"/>
  <c r="AK472" i="57"/>
  <c r="AM473" i="57"/>
  <c r="AN473" i="57"/>
  <c r="AL473" i="57" l="1"/>
  <c r="AK473" i="57"/>
  <c r="AM474" i="57"/>
  <c r="AN474" i="57"/>
  <c r="AL474" i="57" l="1"/>
  <c r="AK474" i="57"/>
  <c r="AM475" i="57"/>
  <c r="AN475" i="57"/>
  <c r="AL475" i="57" l="1"/>
  <c r="AK475" i="57"/>
  <c r="AM476" i="57"/>
  <c r="AN476" i="57"/>
  <c r="AN431" i="57"/>
  <c r="AM431" i="57"/>
  <c r="AL476" i="57" l="1"/>
  <c r="AK476" i="57"/>
  <c r="AL431" i="57"/>
  <c r="AK431" i="57"/>
  <c r="AM424" i="57"/>
  <c r="AN424" i="57"/>
  <c r="AL424" i="57" l="1"/>
  <c r="AK424" i="57"/>
  <c r="AM425" i="57"/>
  <c r="AN425" i="57"/>
  <c r="AL425" i="57" l="1"/>
  <c r="AK425" i="57"/>
  <c r="AM426" i="57"/>
  <c r="AN426" i="57"/>
  <c r="AL426" i="57" l="1"/>
  <c r="AK426" i="57"/>
  <c r="AM427" i="57"/>
  <c r="AN427" i="57"/>
  <c r="AL427" i="57" l="1"/>
  <c r="AK427" i="57"/>
  <c r="AM428" i="57"/>
  <c r="AN428" i="57"/>
  <c r="AN423" i="57"/>
  <c r="AM423" i="57"/>
  <c r="AL428" i="57" l="1"/>
  <c r="AK428" i="57"/>
  <c r="AL423" i="57"/>
  <c r="AK423" i="57"/>
  <c r="AG476" i="57"/>
  <c r="Y476" i="57"/>
  <c r="AA476" i="57" l="1"/>
  <c r="AB476" i="57" s="1"/>
  <c r="Q476" i="57"/>
  <c r="T476" i="57" s="1"/>
  <c r="O476" i="57"/>
  <c r="N476" i="57"/>
  <c r="AG475" i="57"/>
  <c r="Y475" i="57"/>
  <c r="AA475" i="57" l="1"/>
  <c r="AB475" i="57" s="1"/>
  <c r="Q475" i="57"/>
  <c r="T475" i="57" s="1"/>
  <c r="O475" i="57"/>
  <c r="N475" i="57"/>
  <c r="AG474" i="57"/>
  <c r="Y474" i="57"/>
  <c r="AA474" i="57" l="1"/>
  <c r="AB474" i="57" s="1"/>
  <c r="Q474" i="57"/>
  <c r="T474" i="57" s="1"/>
  <c r="O474" i="57"/>
  <c r="N474" i="57"/>
  <c r="AG473" i="57"/>
  <c r="Y473" i="57"/>
  <c r="AA473" i="57" l="1"/>
  <c r="AB473" i="57" s="1"/>
  <c r="Q473" i="57"/>
  <c r="T473" i="57" s="1"/>
  <c r="O473" i="57"/>
  <c r="N473" i="57"/>
  <c r="AG472" i="57"/>
  <c r="Y472" i="57"/>
  <c r="AA472" i="57" l="1"/>
  <c r="AB472" i="57" s="1"/>
  <c r="Q472" i="57"/>
  <c r="T472" i="57" s="1"/>
  <c r="O472" i="57"/>
  <c r="N472" i="57"/>
  <c r="AG471" i="57"/>
  <c r="Y471" i="57"/>
  <c r="AA471" i="57" l="1"/>
  <c r="AB471" i="57" s="1"/>
  <c r="Q471" i="57"/>
  <c r="T471" i="57" s="1"/>
  <c r="O471" i="57"/>
  <c r="N471" i="57"/>
  <c r="AG470" i="57"/>
  <c r="Y470" i="57"/>
  <c r="AA470" i="57" l="1"/>
  <c r="AB470" i="57" s="1"/>
  <c r="Q470" i="57"/>
  <c r="T470" i="57" s="1"/>
  <c r="O470" i="57"/>
  <c r="N470" i="57"/>
  <c r="AG469" i="57"/>
  <c r="Y469" i="57"/>
  <c r="AA469" i="57" l="1"/>
  <c r="AB469" i="57" s="1"/>
  <c r="Q469" i="57"/>
  <c r="T469" i="57" s="1"/>
  <c r="O469" i="57"/>
  <c r="N469" i="57"/>
  <c r="AG468" i="57"/>
  <c r="Y468" i="57"/>
  <c r="AA468" i="57" l="1"/>
  <c r="AB468" i="57" s="1"/>
  <c r="Q468" i="57"/>
  <c r="T468" i="57" s="1"/>
  <c r="O468" i="57"/>
  <c r="N468" i="57"/>
  <c r="AG467" i="57"/>
  <c r="Y467" i="57"/>
  <c r="AA467" i="57" l="1"/>
  <c r="AB467" i="57" s="1"/>
  <c r="Q467" i="57"/>
  <c r="T467" i="57" s="1"/>
  <c r="O467" i="57"/>
  <c r="N467" i="57"/>
  <c r="AG466" i="57"/>
  <c r="Y466" i="57"/>
  <c r="AA466" i="57" l="1"/>
  <c r="AB466" i="57" s="1"/>
  <c r="Q466" i="57"/>
  <c r="T466" i="57" s="1"/>
  <c r="O466" i="57"/>
  <c r="N466" i="57"/>
  <c r="AG465" i="57"/>
  <c r="Y465" i="57"/>
  <c r="AA465" i="57" l="1"/>
  <c r="AB465" i="57" s="1"/>
  <c r="Q465" i="57"/>
  <c r="T465" i="57" s="1"/>
  <c r="O465" i="57"/>
  <c r="N465" i="57"/>
  <c r="AG464" i="57"/>
  <c r="Y464" i="57"/>
  <c r="AA464" i="57" l="1"/>
  <c r="AB464" i="57" s="1"/>
  <c r="Q464" i="57"/>
  <c r="T464" i="57" s="1"/>
  <c r="O464" i="57"/>
  <c r="N464" i="57"/>
  <c r="AG463" i="57"/>
  <c r="Y463" i="57"/>
  <c r="AA463" i="57" l="1"/>
  <c r="AB463" i="57" s="1"/>
  <c r="Q463" i="57"/>
  <c r="T463" i="57" s="1"/>
  <c r="O463" i="57"/>
  <c r="N463" i="57"/>
  <c r="AG462" i="57"/>
  <c r="Y462" i="57"/>
  <c r="AA462" i="57" l="1"/>
  <c r="AB462" i="57" s="1"/>
  <c r="Q462" i="57"/>
  <c r="T462" i="57" s="1"/>
  <c r="O462" i="57"/>
  <c r="N462" i="57"/>
  <c r="AG461" i="57"/>
  <c r="Y461" i="57"/>
  <c r="AA461" i="57" l="1"/>
  <c r="AB461" i="57" s="1"/>
  <c r="Q461" i="57"/>
  <c r="T461" i="57" s="1"/>
  <c r="O461" i="57"/>
  <c r="N461" i="57"/>
  <c r="AG460" i="57"/>
  <c r="Y460" i="57"/>
  <c r="AA460" i="57" l="1"/>
  <c r="AB460" i="57" s="1"/>
  <c r="T460" i="57"/>
  <c r="O460" i="57"/>
  <c r="N460" i="57"/>
  <c r="AG459" i="57"/>
  <c r="Y459" i="57"/>
  <c r="AA459" i="57" l="1"/>
  <c r="AB459" i="57" s="1"/>
  <c r="Q459" i="57"/>
  <c r="T459" i="57" s="1"/>
  <c r="O459" i="57"/>
  <c r="N459" i="57"/>
  <c r="AG458" i="57"/>
  <c r="Y458" i="57"/>
  <c r="AA458" i="57" l="1"/>
  <c r="AB458" i="57" s="1"/>
  <c r="Q458" i="57"/>
  <c r="T458" i="57" s="1"/>
  <c r="O458" i="57"/>
  <c r="N458" i="57"/>
  <c r="AG457" i="57"/>
  <c r="Y457" i="57"/>
  <c r="AA457" i="57" l="1"/>
  <c r="AB457" i="57" s="1"/>
  <c r="Q457" i="57"/>
  <c r="T457" i="57" s="1"/>
  <c r="O457" i="57"/>
  <c r="N457" i="57"/>
  <c r="AG456" i="57"/>
  <c r="Y456" i="57"/>
  <c r="AA456" i="57" l="1"/>
  <c r="AB456" i="57" s="1"/>
  <c r="Q456" i="57"/>
  <c r="T456" i="57" s="1"/>
  <c r="O456" i="57"/>
  <c r="N456" i="57"/>
  <c r="AG455" i="57"/>
  <c r="Y455" i="57"/>
  <c r="AA455" i="57" l="1"/>
  <c r="AB455" i="57" s="1"/>
  <c r="Q455" i="57"/>
  <c r="T455" i="57" s="1"/>
  <c r="O455" i="57"/>
  <c r="N455" i="57"/>
  <c r="AG454" i="57"/>
  <c r="Y454" i="57"/>
  <c r="AA454" i="57" l="1"/>
  <c r="AB454" i="57" s="1"/>
  <c r="Q454" i="57"/>
  <c r="T454" i="57" s="1"/>
  <c r="O454" i="57"/>
  <c r="N454" i="57"/>
  <c r="AG453" i="57"/>
  <c r="Y453" i="57"/>
  <c r="AA453" i="57" l="1"/>
  <c r="AB453" i="57" s="1"/>
  <c r="Q453" i="57"/>
  <c r="T453" i="57" s="1"/>
  <c r="O453" i="57"/>
  <c r="N453" i="57"/>
  <c r="AG452" i="57"/>
  <c r="Y452" i="57"/>
  <c r="AA452" i="57" l="1"/>
  <c r="AB452" i="57" s="1"/>
  <c r="Q452" i="57"/>
  <c r="T452" i="57" s="1"/>
  <c r="O452" i="57"/>
  <c r="N452" i="57"/>
  <c r="AG451" i="57"/>
  <c r="Y451" i="57"/>
  <c r="AA451" i="57" l="1"/>
  <c r="AB451" i="57" s="1"/>
  <c r="T451" i="57"/>
  <c r="O451" i="57"/>
  <c r="N451" i="57"/>
  <c r="AG450" i="57"/>
  <c r="Y450" i="57"/>
  <c r="AA450" i="57" l="1"/>
  <c r="AB450" i="57" s="1"/>
  <c r="Q450" i="57"/>
  <c r="T450" i="57" s="1"/>
  <c r="O450" i="57"/>
  <c r="N450" i="57"/>
  <c r="AG449" i="57"/>
  <c r="Y449" i="57"/>
  <c r="AA449" i="57" l="1"/>
  <c r="AB449" i="57" s="1"/>
  <c r="T449" i="57"/>
  <c r="O449" i="57"/>
  <c r="N449" i="57"/>
  <c r="AG448" i="57"/>
  <c r="Y448" i="57"/>
  <c r="AA448" i="57" l="1"/>
  <c r="AB448" i="57" s="1"/>
  <c r="T448" i="57"/>
  <c r="O448" i="57"/>
  <c r="N448" i="57"/>
  <c r="AG447" i="57"/>
  <c r="Y447" i="57"/>
  <c r="AA447" i="57" l="1"/>
  <c r="AB447" i="57" s="1"/>
  <c r="T447" i="57"/>
  <c r="O447" i="57"/>
  <c r="N447" i="57"/>
  <c r="AG446" i="57"/>
  <c r="Y446" i="57"/>
  <c r="AA446" i="57" l="1"/>
  <c r="AB446" i="57" s="1"/>
  <c r="Q446" i="57"/>
  <c r="T446" i="57" s="1"/>
  <c r="O446" i="57"/>
  <c r="N446" i="57"/>
  <c r="AG445" i="57"/>
  <c r="Y445" i="57"/>
  <c r="AA445" i="57" l="1"/>
  <c r="AB445" i="57" s="1"/>
  <c r="Q445" i="57"/>
  <c r="T445" i="57" s="1"/>
  <c r="O445" i="57"/>
  <c r="N445" i="57"/>
  <c r="AG444" i="57"/>
  <c r="Y444" i="57"/>
  <c r="AA444" i="57" l="1"/>
  <c r="AB444" i="57" s="1"/>
  <c r="Q444" i="57"/>
  <c r="T444" i="57" s="1"/>
  <c r="O444" i="57"/>
  <c r="N444" i="57"/>
  <c r="AG443" i="57"/>
  <c r="Y443" i="57"/>
  <c r="AA443" i="57" l="1"/>
  <c r="AB443" i="57" s="1"/>
  <c r="Q443" i="57"/>
  <c r="T443" i="57" s="1"/>
  <c r="O443" i="57"/>
  <c r="N443" i="57"/>
  <c r="AG442" i="57"/>
  <c r="Y442" i="57"/>
  <c r="AA442" i="57" l="1"/>
  <c r="AB442" i="57" s="1"/>
  <c r="Q442" i="57"/>
  <c r="T442" i="57" s="1"/>
  <c r="O442" i="57"/>
  <c r="N442" i="57"/>
  <c r="AG441" i="57"/>
  <c r="Y441" i="57"/>
  <c r="AA441" i="57" l="1"/>
  <c r="AB441" i="57" s="1"/>
  <c r="T441" i="57"/>
  <c r="O441" i="57"/>
  <c r="N441" i="57"/>
  <c r="AG440" i="57"/>
  <c r="Y440" i="57"/>
  <c r="AA440" i="57" l="1"/>
  <c r="AB440" i="57" s="1"/>
  <c r="Q440" i="57"/>
  <c r="T440" i="57" s="1"/>
  <c r="O440" i="57"/>
  <c r="N440" i="57"/>
  <c r="AG439" i="57"/>
  <c r="Y439" i="57"/>
  <c r="AA439" i="57" l="1"/>
  <c r="AB439" i="57" s="1"/>
  <c r="T439" i="57"/>
  <c r="O439" i="57"/>
  <c r="N439" i="57"/>
  <c r="AG438" i="57"/>
  <c r="Y438" i="57"/>
  <c r="AA438" i="57" l="1"/>
  <c r="AB438" i="57" s="1"/>
  <c r="Q438" i="57"/>
  <c r="T438" i="57" s="1"/>
  <c r="O438" i="57"/>
  <c r="N438" i="57"/>
  <c r="AG437" i="57"/>
  <c r="Y437" i="57"/>
  <c r="AA437" i="57" l="1"/>
  <c r="AB437" i="57" s="1"/>
  <c r="Q437" i="57"/>
  <c r="T437" i="57" s="1"/>
  <c r="O437" i="57"/>
  <c r="N437" i="57"/>
  <c r="AG436" i="57"/>
  <c r="Y436" i="57"/>
  <c r="AA436" i="57" l="1"/>
  <c r="AB436" i="57" s="1"/>
  <c r="Q436" i="57"/>
  <c r="T436" i="57" s="1"/>
  <c r="O436" i="57"/>
  <c r="N436" i="57"/>
  <c r="AG435" i="57"/>
  <c r="Y435" i="57"/>
  <c r="AA435" i="57" l="1"/>
  <c r="AB435" i="57" s="1"/>
  <c r="Q435" i="57"/>
  <c r="T435" i="57" s="1"/>
  <c r="O435" i="57"/>
  <c r="N435" i="57"/>
  <c r="AG434" i="57"/>
  <c r="Y434" i="57"/>
  <c r="AA434" i="57" l="1"/>
  <c r="AB434" i="57" s="1"/>
  <c r="Q434" i="57"/>
  <c r="T434" i="57" s="1"/>
  <c r="O434" i="57"/>
  <c r="N434" i="57"/>
  <c r="AG433" i="57"/>
  <c r="Y433" i="57"/>
  <c r="AA433" i="57" l="1"/>
  <c r="AB433" i="57" s="1"/>
  <c r="Q433" i="57"/>
  <c r="T433" i="57" s="1"/>
  <c r="O433" i="57"/>
  <c r="N433" i="57"/>
  <c r="AG432" i="57"/>
  <c r="Y432" i="57"/>
  <c r="AA432" i="57" l="1"/>
  <c r="AB432" i="57" s="1"/>
  <c r="T432" i="57"/>
  <c r="O432" i="57"/>
  <c r="N432" i="57"/>
  <c r="AG431" i="57"/>
  <c r="Y431" i="57"/>
  <c r="AA431" i="57" l="1"/>
  <c r="AB431" i="57" s="1"/>
  <c r="T431" i="57"/>
  <c r="O431" i="57"/>
  <c r="N431" i="57"/>
  <c r="AG428" i="57" l="1"/>
  <c r="Y428" i="57"/>
  <c r="AA428" i="57" l="1"/>
  <c r="AB428" i="57" s="1"/>
  <c r="Q428" i="57"/>
  <c r="T428" i="57" s="1"/>
  <c r="O428" i="57"/>
  <c r="N428" i="57"/>
  <c r="AG427" i="57"/>
  <c r="Y427" i="57"/>
  <c r="AA427" i="57" l="1"/>
  <c r="AB427" i="57" s="1"/>
  <c r="T427" i="57"/>
  <c r="O427" i="57"/>
  <c r="N427" i="57"/>
  <c r="AG426" i="57"/>
  <c r="Y426" i="57"/>
  <c r="AA426" i="57" l="1"/>
  <c r="AB426" i="57" s="1"/>
  <c r="Q426" i="57"/>
  <c r="T426" i="57" s="1"/>
  <c r="O426" i="57"/>
  <c r="N426" i="57"/>
  <c r="AG425" i="57"/>
  <c r="Y425" i="57"/>
  <c r="AA425" i="57" l="1"/>
  <c r="AB425" i="57" s="1"/>
  <c r="Q425" i="57"/>
  <c r="T425" i="57" s="1"/>
  <c r="O425" i="57"/>
  <c r="N425" i="57"/>
  <c r="AG424" i="57"/>
  <c r="Y424" i="57"/>
  <c r="AA424" i="57" l="1"/>
  <c r="AB424" i="57" s="1"/>
  <c r="Q424" i="57"/>
  <c r="T424" i="57" s="1"/>
  <c r="O424" i="57"/>
  <c r="N424" i="57"/>
  <c r="AG423" i="57"/>
  <c r="Y423" i="57"/>
  <c r="AA423" i="57" l="1"/>
  <c r="AB423" i="57" s="1"/>
  <c r="Q423" i="57"/>
  <c r="T423" i="57" s="1"/>
  <c r="O423" i="57"/>
  <c r="N423" i="57"/>
  <c r="AM417" i="57"/>
  <c r="AN417" i="57"/>
  <c r="AL417" i="57" l="1"/>
  <c r="AK417" i="57"/>
  <c r="AM418" i="57"/>
  <c r="AN418" i="57"/>
  <c r="AL418" i="57" l="1"/>
  <c r="AK418" i="57"/>
  <c r="AM419" i="57"/>
  <c r="AN419" i="57"/>
  <c r="AL419" i="57" l="1"/>
  <c r="AK419" i="57"/>
  <c r="AM420" i="57"/>
  <c r="AN420" i="57"/>
  <c r="AN416" i="57"/>
  <c r="AM416" i="57"/>
  <c r="AL420" i="57" l="1"/>
  <c r="AK420" i="57"/>
  <c r="AL416" i="57"/>
  <c r="AK416" i="57"/>
  <c r="AG420" i="57"/>
  <c r="Y420" i="57"/>
  <c r="AA420" i="57" l="1"/>
  <c r="AB420" i="57" s="1"/>
  <c r="Q420" i="57"/>
  <c r="T420" i="57" s="1"/>
  <c r="O420" i="57"/>
  <c r="N420" i="57"/>
  <c r="AG419" i="57"/>
  <c r="Y419" i="57"/>
  <c r="AA419" i="57" l="1"/>
  <c r="AB419" i="57" s="1"/>
  <c r="Q419" i="57"/>
  <c r="T419" i="57" s="1"/>
  <c r="O419" i="57"/>
  <c r="N419" i="57"/>
  <c r="AG418" i="57"/>
  <c r="Y418" i="57"/>
  <c r="AA418" i="57" l="1"/>
  <c r="AB418" i="57" s="1"/>
  <c r="Q418" i="57"/>
  <c r="T418" i="57" s="1"/>
  <c r="O418" i="57"/>
  <c r="N418" i="57"/>
  <c r="AG417" i="57"/>
  <c r="Y417" i="57"/>
  <c r="AA417" i="57" l="1"/>
  <c r="AB417" i="57" s="1"/>
  <c r="T417" i="57"/>
  <c r="O417" i="57"/>
  <c r="N417" i="57"/>
  <c r="AG416" i="57"/>
  <c r="Y416" i="57"/>
  <c r="AA416" i="57" l="1"/>
  <c r="AB416" i="57" s="1"/>
  <c r="T416" i="57"/>
  <c r="O416" i="57"/>
  <c r="N416" i="57"/>
  <c r="AM289" i="57"/>
  <c r="AN289" i="57"/>
  <c r="AL289" i="57" l="1"/>
  <c r="AK289" i="57"/>
  <c r="AM290" i="57"/>
  <c r="AN290" i="57"/>
  <c r="AL290" i="57" l="1"/>
  <c r="AK290" i="57"/>
  <c r="AM291" i="57"/>
  <c r="AN291" i="57"/>
  <c r="AL291" i="57" l="1"/>
  <c r="AK291" i="57"/>
  <c r="AM292" i="57"/>
  <c r="AN292" i="57"/>
  <c r="AL292" i="57" l="1"/>
  <c r="AK292" i="57"/>
  <c r="AM293" i="57"/>
  <c r="AN293" i="57"/>
  <c r="AL293" i="57" l="1"/>
  <c r="AK293" i="57"/>
  <c r="AM294" i="57"/>
  <c r="AN294" i="57"/>
  <c r="AL294" i="57" l="1"/>
  <c r="AK294" i="57"/>
  <c r="AM295" i="57"/>
  <c r="AN295" i="57"/>
  <c r="AL295" i="57" l="1"/>
  <c r="AK295" i="57"/>
  <c r="AM296" i="57"/>
  <c r="AN296" i="57"/>
  <c r="AL296" i="57" l="1"/>
  <c r="AK296" i="57"/>
  <c r="AM297" i="57"/>
  <c r="AN297" i="57"/>
  <c r="AL297" i="57" l="1"/>
  <c r="AK297" i="57"/>
  <c r="AM298" i="57"/>
  <c r="AN298" i="57"/>
  <c r="AL298" i="57" l="1"/>
  <c r="AK298" i="57"/>
  <c r="AM299" i="57"/>
  <c r="AN299" i="57"/>
  <c r="AL299" i="57" l="1"/>
  <c r="AK299" i="57"/>
  <c r="AM300" i="57"/>
  <c r="AN300" i="57"/>
  <c r="AL300" i="57" l="1"/>
  <c r="AK300" i="57"/>
  <c r="AM301" i="57"/>
  <c r="AN301" i="57"/>
  <c r="AL301" i="57" l="1"/>
  <c r="AK301" i="57"/>
  <c r="AM302" i="57"/>
  <c r="AN302" i="57"/>
  <c r="AL302" i="57" l="1"/>
  <c r="AK302" i="57"/>
  <c r="AM303" i="57"/>
  <c r="AN303" i="57"/>
  <c r="AL303" i="57" l="1"/>
  <c r="AK303" i="57"/>
  <c r="AM304" i="57"/>
  <c r="AN304" i="57"/>
  <c r="AL304" i="57" l="1"/>
  <c r="AK304" i="57"/>
  <c r="AM305" i="57"/>
  <c r="AN305" i="57"/>
  <c r="AL305" i="57" l="1"/>
  <c r="AK305" i="57"/>
  <c r="AM306" i="57"/>
  <c r="AN306" i="57"/>
  <c r="AL306" i="57" l="1"/>
  <c r="AK306" i="57"/>
  <c r="AM307" i="57"/>
  <c r="AN307" i="57"/>
  <c r="AL307" i="57" l="1"/>
  <c r="AK307" i="57"/>
  <c r="AM308" i="57"/>
  <c r="AN308" i="57"/>
  <c r="AL308" i="57" l="1"/>
  <c r="AK308" i="57"/>
  <c r="AM309" i="57"/>
  <c r="AN309" i="57"/>
  <c r="AL309" i="57" l="1"/>
  <c r="AK309" i="57"/>
  <c r="AM310" i="57"/>
  <c r="AN310" i="57"/>
  <c r="AL310" i="57" l="1"/>
  <c r="AK310" i="57"/>
  <c r="AM311" i="57"/>
  <c r="AN311" i="57"/>
  <c r="AL311" i="57" l="1"/>
  <c r="AK311" i="57"/>
  <c r="AM312" i="57"/>
  <c r="AN312" i="57"/>
  <c r="AL312" i="57" l="1"/>
  <c r="AK312" i="57"/>
  <c r="AM313" i="57"/>
  <c r="AN313" i="57"/>
  <c r="AL313" i="57" l="1"/>
  <c r="AK313" i="57"/>
  <c r="AM314" i="57"/>
  <c r="AN314" i="57"/>
  <c r="AL314" i="57" l="1"/>
  <c r="AK314" i="57"/>
  <c r="AM315" i="57"/>
  <c r="AN315" i="57"/>
  <c r="AL315" i="57" l="1"/>
  <c r="AK315" i="57"/>
  <c r="AM316" i="57"/>
  <c r="AN316" i="57"/>
  <c r="AL316" i="57" l="1"/>
  <c r="AK316" i="57"/>
  <c r="AM317" i="57"/>
  <c r="AN317" i="57"/>
  <c r="AL317" i="57" l="1"/>
  <c r="AK317" i="57"/>
  <c r="AM318" i="57"/>
  <c r="AN318" i="57"/>
  <c r="AL318" i="57" l="1"/>
  <c r="AK318" i="57"/>
  <c r="AM319" i="57"/>
  <c r="AN319" i="57"/>
  <c r="AL319" i="57" l="1"/>
  <c r="AK319" i="57"/>
  <c r="AM320" i="57"/>
  <c r="AN320" i="57"/>
  <c r="AL320" i="57" l="1"/>
  <c r="AK320" i="57"/>
  <c r="AM321" i="57"/>
  <c r="AN321" i="57"/>
  <c r="AL321" i="57" l="1"/>
  <c r="AK321" i="57"/>
  <c r="AM322" i="57"/>
  <c r="AN322" i="57"/>
  <c r="AL322" i="57" l="1"/>
  <c r="AK322" i="57"/>
  <c r="AM323" i="57"/>
  <c r="AN323" i="57"/>
  <c r="AL323" i="57" l="1"/>
  <c r="AK323" i="57"/>
  <c r="AM324" i="57"/>
  <c r="AN324" i="57"/>
  <c r="AL324" i="57" l="1"/>
  <c r="AK324" i="57"/>
  <c r="AM325" i="57"/>
  <c r="AN325" i="57"/>
  <c r="AL325" i="57" l="1"/>
  <c r="AK325" i="57"/>
  <c r="AM326" i="57"/>
  <c r="AN326" i="57"/>
  <c r="AL326" i="57" l="1"/>
  <c r="AK326" i="57"/>
  <c r="AM327" i="57"/>
  <c r="AN327" i="57"/>
  <c r="AL327" i="57" l="1"/>
  <c r="AK327" i="57"/>
  <c r="AM328" i="57"/>
  <c r="AN328" i="57"/>
  <c r="AL328" i="57" l="1"/>
  <c r="AK328" i="57"/>
  <c r="AM329" i="57"/>
  <c r="AN329" i="57"/>
  <c r="AL329" i="57" l="1"/>
  <c r="AK329" i="57"/>
  <c r="AM330" i="57"/>
  <c r="AN330" i="57"/>
  <c r="AL330" i="57" l="1"/>
  <c r="AK330" i="57"/>
  <c r="AM331" i="57"/>
  <c r="AN331" i="57"/>
  <c r="AL331" i="57" l="1"/>
  <c r="AK331" i="57"/>
  <c r="AM332" i="57"/>
  <c r="AN332" i="57"/>
  <c r="AL332" i="57" l="1"/>
  <c r="AK332" i="57"/>
  <c r="AM333" i="57"/>
  <c r="AN333" i="57"/>
  <c r="AL333" i="57" l="1"/>
  <c r="AK333" i="57"/>
  <c r="AM334" i="57"/>
  <c r="AN334" i="57"/>
  <c r="AL334" i="57" l="1"/>
  <c r="AK334" i="57"/>
  <c r="AM335" i="57"/>
  <c r="AN335" i="57"/>
  <c r="AL335" i="57" l="1"/>
  <c r="AK335" i="57"/>
  <c r="AM336" i="57"/>
  <c r="AN336" i="57"/>
  <c r="AL336" i="57" l="1"/>
  <c r="AK336" i="57"/>
  <c r="AM337" i="57"/>
  <c r="AN337" i="57"/>
  <c r="AL337" i="57" l="1"/>
  <c r="AK337" i="57"/>
  <c r="AM338" i="57"/>
  <c r="AN338" i="57"/>
  <c r="AL338" i="57" l="1"/>
  <c r="AK338" i="57"/>
  <c r="AM339" i="57"/>
  <c r="AN339" i="57"/>
  <c r="AL339" i="57" l="1"/>
  <c r="AK339" i="57"/>
  <c r="AM340" i="57"/>
  <c r="AN340" i="57"/>
  <c r="AL340" i="57" l="1"/>
  <c r="AK340" i="57"/>
  <c r="AM341" i="57"/>
  <c r="AN341" i="57"/>
  <c r="AL341" i="57" l="1"/>
  <c r="AK341" i="57"/>
  <c r="AM342" i="57"/>
  <c r="AN342" i="57"/>
  <c r="AL342" i="57" l="1"/>
  <c r="AK342" i="57"/>
  <c r="AM343" i="57"/>
  <c r="AN343" i="57"/>
  <c r="AL343" i="57" l="1"/>
  <c r="AK343" i="57"/>
  <c r="AM344" i="57"/>
  <c r="AN344" i="57"/>
  <c r="AL344" i="57" l="1"/>
  <c r="AK344" i="57"/>
  <c r="AM345" i="57"/>
  <c r="AN345" i="57"/>
  <c r="AL345" i="57" l="1"/>
  <c r="AK345" i="57"/>
  <c r="AM346" i="57"/>
  <c r="AN346" i="57"/>
  <c r="AL346" i="57" l="1"/>
  <c r="AK346" i="57"/>
  <c r="AM347" i="57"/>
  <c r="AN347" i="57"/>
  <c r="AL347" i="57" l="1"/>
  <c r="AK347" i="57"/>
  <c r="AM348" i="57"/>
  <c r="AN348" i="57"/>
  <c r="AL348" i="57" l="1"/>
  <c r="AK348" i="57"/>
  <c r="AM349" i="57"/>
  <c r="AN349" i="57"/>
  <c r="AL349" i="57" l="1"/>
  <c r="AK349" i="57"/>
  <c r="AM350" i="57"/>
  <c r="AN350" i="57"/>
  <c r="AL350" i="57" l="1"/>
  <c r="AK350" i="57"/>
  <c r="AM351" i="57"/>
  <c r="AN351" i="57"/>
  <c r="AL351" i="57" l="1"/>
  <c r="AK351" i="57"/>
  <c r="AM352" i="57"/>
  <c r="AN352" i="57"/>
  <c r="AL352" i="57" l="1"/>
  <c r="AK352" i="57"/>
  <c r="AM353" i="57"/>
  <c r="AN353" i="57"/>
  <c r="AL353" i="57" l="1"/>
  <c r="AK353" i="57"/>
  <c r="AM354" i="57"/>
  <c r="AN354" i="57"/>
  <c r="AL354" i="57" l="1"/>
  <c r="AK354" i="57"/>
  <c r="AM355" i="57"/>
  <c r="AN355" i="57"/>
  <c r="AL355" i="57" l="1"/>
  <c r="AK355" i="57"/>
  <c r="AM356" i="57"/>
  <c r="AN356" i="57"/>
  <c r="AL356" i="57" l="1"/>
  <c r="AK356" i="57"/>
  <c r="AM357" i="57"/>
  <c r="AN357" i="57"/>
  <c r="AL357" i="57" l="1"/>
  <c r="AK357" i="57"/>
  <c r="AM358" i="57"/>
  <c r="AN358" i="57"/>
  <c r="AL358" i="57" l="1"/>
  <c r="AK358" i="57"/>
  <c r="AM359" i="57"/>
  <c r="AN359" i="57"/>
  <c r="AL359" i="57" l="1"/>
  <c r="AK359" i="57"/>
  <c r="AM360" i="57"/>
  <c r="AN360" i="57"/>
  <c r="AL360" i="57" l="1"/>
  <c r="AK360" i="57"/>
  <c r="AM361" i="57"/>
  <c r="AN361" i="57"/>
  <c r="AL361" i="57" l="1"/>
  <c r="AK361" i="57"/>
  <c r="AM362" i="57"/>
  <c r="AN362" i="57"/>
  <c r="AL362" i="57" l="1"/>
  <c r="AK362" i="57"/>
  <c r="AM363" i="57"/>
  <c r="AN363" i="57"/>
  <c r="AL363" i="57" l="1"/>
  <c r="AK363" i="57"/>
  <c r="AM364" i="57"/>
  <c r="AN364" i="57"/>
  <c r="AL364" i="57" l="1"/>
  <c r="AK364" i="57"/>
  <c r="AM365" i="57"/>
  <c r="AN365" i="57"/>
  <c r="AL365" i="57" l="1"/>
  <c r="AK365" i="57"/>
  <c r="AM366" i="57"/>
  <c r="AN366" i="57"/>
  <c r="AL366" i="57" l="1"/>
  <c r="AK366" i="57"/>
  <c r="AM367" i="57"/>
  <c r="AN367" i="57"/>
  <c r="AL367" i="57" l="1"/>
  <c r="AK367" i="57"/>
  <c r="AM368" i="57"/>
  <c r="AN368" i="57"/>
  <c r="AL368" i="57" l="1"/>
  <c r="AK368" i="57"/>
  <c r="AM369" i="57"/>
  <c r="AN369" i="57"/>
  <c r="AL369" i="57" l="1"/>
  <c r="AK369" i="57"/>
  <c r="AM370" i="57"/>
  <c r="AN370" i="57"/>
  <c r="AL370" i="57" l="1"/>
  <c r="AK370" i="57"/>
  <c r="AM371" i="57"/>
  <c r="AN371" i="57"/>
  <c r="AL371" i="57" l="1"/>
  <c r="AK371" i="57"/>
  <c r="AM372" i="57"/>
  <c r="AN372" i="57"/>
  <c r="AL372" i="57" l="1"/>
  <c r="AK372" i="57"/>
  <c r="AM373" i="57"/>
  <c r="AN373" i="57"/>
  <c r="AL373" i="57" l="1"/>
  <c r="AK373" i="57"/>
  <c r="AM374" i="57"/>
  <c r="AN374" i="57"/>
  <c r="AL374" i="57" l="1"/>
  <c r="AK374" i="57"/>
  <c r="AM375" i="57"/>
  <c r="AN375" i="57"/>
  <c r="AL375" i="57" l="1"/>
  <c r="AK375" i="57"/>
  <c r="AM376" i="57"/>
  <c r="AN376" i="57"/>
  <c r="AL376" i="57" l="1"/>
  <c r="AK376" i="57"/>
  <c r="AM377" i="57"/>
  <c r="AN377" i="57"/>
  <c r="AL377" i="57" l="1"/>
  <c r="AK377" i="57"/>
  <c r="AM378" i="57"/>
  <c r="AN378" i="57"/>
  <c r="AL378" i="57" l="1"/>
  <c r="AK378" i="57"/>
  <c r="AM379" i="57"/>
  <c r="AN379" i="57"/>
  <c r="AL379" i="57" l="1"/>
  <c r="AK379" i="57"/>
  <c r="AM380" i="57"/>
  <c r="AN380" i="57"/>
  <c r="AL380" i="57" l="1"/>
  <c r="AK380" i="57"/>
  <c r="AM381" i="57"/>
  <c r="AN381" i="57"/>
  <c r="AL381" i="57" l="1"/>
  <c r="AK381" i="57"/>
  <c r="AM382" i="57"/>
  <c r="AN382" i="57"/>
  <c r="AL382" i="57" l="1"/>
  <c r="AK382" i="57"/>
  <c r="AM383" i="57"/>
  <c r="AN383" i="57"/>
  <c r="AL383" i="57" l="1"/>
  <c r="AK383" i="57"/>
  <c r="AM384" i="57"/>
  <c r="AN384" i="57"/>
  <c r="AL384" i="57" l="1"/>
  <c r="AK384" i="57"/>
  <c r="AM385" i="57"/>
  <c r="AN385" i="57"/>
  <c r="AL385" i="57" l="1"/>
  <c r="AK385" i="57"/>
  <c r="AM386" i="57"/>
  <c r="AN386" i="57"/>
  <c r="AL386" i="57" l="1"/>
  <c r="AK386" i="57"/>
  <c r="AM387" i="57"/>
  <c r="AN387" i="57"/>
  <c r="AL387" i="57" l="1"/>
  <c r="AK387" i="57"/>
  <c r="AM388" i="57"/>
  <c r="AN388" i="57"/>
  <c r="AL388" i="57" l="1"/>
  <c r="AK388" i="57"/>
  <c r="AM389" i="57"/>
  <c r="AN389" i="57"/>
  <c r="AL389" i="57" l="1"/>
  <c r="AK389" i="57"/>
  <c r="AM390" i="57"/>
  <c r="AN390" i="57"/>
  <c r="AL390" i="57" l="1"/>
  <c r="AK390" i="57"/>
  <c r="AM391" i="57"/>
  <c r="AN391" i="57"/>
  <c r="AL391" i="57" l="1"/>
  <c r="AK391" i="57"/>
  <c r="AM392" i="57"/>
  <c r="AN392" i="57"/>
  <c r="AL392" i="57" l="1"/>
  <c r="AK392" i="57"/>
  <c r="AM393" i="57"/>
  <c r="AN393" i="57"/>
  <c r="AL393" i="57" l="1"/>
  <c r="AK393" i="57"/>
  <c r="AM394" i="57"/>
  <c r="AN394" i="57"/>
  <c r="AL394" i="57" l="1"/>
  <c r="AK394" i="57"/>
  <c r="AM395" i="57"/>
  <c r="AN395" i="57"/>
  <c r="AL395" i="57" l="1"/>
  <c r="AK395" i="57"/>
  <c r="AM396" i="57"/>
  <c r="AN396" i="57"/>
  <c r="AL396" i="57" l="1"/>
  <c r="AK396" i="57"/>
  <c r="AM397" i="57"/>
  <c r="AN397" i="57"/>
  <c r="AL397" i="57" l="1"/>
  <c r="AK397" i="57"/>
  <c r="AM398" i="57"/>
  <c r="AN398" i="57"/>
  <c r="AL398" i="57" l="1"/>
  <c r="AK398" i="57"/>
  <c r="AM399" i="57"/>
  <c r="AN399" i="57"/>
  <c r="AL399" i="57" l="1"/>
  <c r="AK399" i="57"/>
  <c r="AM400" i="57"/>
  <c r="AN400" i="57"/>
  <c r="AL400" i="57" l="1"/>
  <c r="AK400" i="57"/>
  <c r="AM401" i="57"/>
  <c r="AN401" i="57"/>
  <c r="AL401" i="57" l="1"/>
  <c r="AK401" i="57"/>
  <c r="AM402" i="57"/>
  <c r="AN402" i="57"/>
  <c r="AL402" i="57" l="1"/>
  <c r="AK402" i="57"/>
  <c r="AM403" i="57"/>
  <c r="AN403" i="57"/>
  <c r="AL403" i="57" l="1"/>
  <c r="AK403" i="57"/>
  <c r="AM404" i="57"/>
  <c r="AN404" i="57"/>
  <c r="AL404" i="57" l="1"/>
  <c r="AK404" i="57"/>
  <c r="AM405" i="57"/>
  <c r="AN405" i="57"/>
  <c r="AL405" i="57" l="1"/>
  <c r="AK405" i="57"/>
  <c r="AM406" i="57"/>
  <c r="AN406" i="57"/>
  <c r="AL406" i="57" l="1"/>
  <c r="AK406" i="57"/>
  <c r="AM407" i="57"/>
  <c r="AN407" i="57"/>
  <c r="AL407" i="57" l="1"/>
  <c r="AK407" i="57"/>
  <c r="AM408" i="57"/>
  <c r="AN408" i="57"/>
  <c r="AL408" i="57" l="1"/>
  <c r="AK408" i="57"/>
  <c r="AM409" i="57"/>
  <c r="AN409" i="57"/>
  <c r="AL409" i="57" l="1"/>
  <c r="AK409" i="57"/>
  <c r="AM410" i="57"/>
  <c r="AN410" i="57"/>
  <c r="AL410" i="57" l="1"/>
  <c r="AK410" i="57"/>
  <c r="AM411" i="57"/>
  <c r="AN411" i="57"/>
  <c r="AL411" i="57" l="1"/>
  <c r="AK411" i="57"/>
  <c r="AM412" i="57"/>
  <c r="AN412" i="57"/>
  <c r="AL412" i="57" l="1"/>
  <c r="AK412" i="57"/>
  <c r="AM413" i="57"/>
  <c r="AN413" i="57"/>
  <c r="AL413" i="57" l="1"/>
  <c r="AK413" i="57"/>
  <c r="AG413" i="57"/>
  <c r="Y413" i="57"/>
  <c r="AA413" i="57" l="1"/>
  <c r="AB413" i="57" s="1"/>
  <c r="T413" i="57"/>
  <c r="O413" i="57"/>
  <c r="N413" i="57"/>
  <c r="AG412" i="57"/>
  <c r="Y412" i="57"/>
  <c r="AA412" i="57" l="1"/>
  <c r="AB412" i="57" s="1"/>
  <c r="Q412" i="57"/>
  <c r="T412" i="57" s="1"/>
  <c r="O412" i="57"/>
  <c r="N412" i="57"/>
  <c r="AG411" i="57"/>
  <c r="Y411" i="57"/>
  <c r="AA411" i="57" l="1"/>
  <c r="AB411" i="57" s="1"/>
  <c r="Q411" i="57"/>
  <c r="T411" i="57" s="1"/>
  <c r="O411" i="57"/>
  <c r="N411" i="57"/>
  <c r="AG410" i="57"/>
  <c r="Y410" i="57"/>
  <c r="AA410" i="57" l="1"/>
  <c r="AB410" i="57" s="1"/>
  <c r="Q410" i="57"/>
  <c r="T410" i="57" s="1"/>
  <c r="O410" i="57"/>
  <c r="N410" i="57"/>
  <c r="AG409" i="57"/>
  <c r="Y409" i="57"/>
  <c r="AA409" i="57" l="1"/>
  <c r="AB409" i="57" s="1"/>
  <c r="Q409" i="57"/>
  <c r="T409" i="57" s="1"/>
  <c r="O409" i="57"/>
  <c r="N409" i="57"/>
  <c r="AG408" i="57"/>
  <c r="Y408" i="57"/>
  <c r="AA408" i="57" l="1"/>
  <c r="AB408" i="57" s="1"/>
  <c r="Q408" i="57"/>
  <c r="T408" i="57" s="1"/>
  <c r="O408" i="57"/>
  <c r="N408" i="57"/>
  <c r="AG407" i="57"/>
  <c r="Y407" i="57"/>
  <c r="AA407" i="57" l="1"/>
  <c r="AB407" i="57" s="1"/>
  <c r="Q407" i="57"/>
  <c r="T407" i="57" s="1"/>
  <c r="O407" i="57"/>
  <c r="N407" i="57"/>
  <c r="AG406" i="57"/>
  <c r="Y406" i="57"/>
  <c r="AA406" i="57" l="1"/>
  <c r="AB406" i="57" s="1"/>
  <c r="Q406" i="57"/>
  <c r="T406" i="57" s="1"/>
  <c r="O406" i="57"/>
  <c r="N406" i="57"/>
  <c r="AG405" i="57"/>
  <c r="Y405" i="57"/>
  <c r="AA405" i="57" l="1"/>
  <c r="AB405" i="57" s="1"/>
  <c r="Q405" i="57"/>
  <c r="T405" i="57" s="1"/>
  <c r="O405" i="57"/>
  <c r="N405" i="57"/>
  <c r="AG404" i="57"/>
  <c r="Y404" i="57"/>
  <c r="AA404" i="57" l="1"/>
  <c r="AB404" i="57" s="1"/>
  <c r="Q404" i="57"/>
  <c r="T404" i="57" s="1"/>
  <c r="O404" i="57"/>
  <c r="N404" i="57"/>
  <c r="AG403" i="57"/>
  <c r="Y403" i="57"/>
  <c r="AA403" i="57" l="1"/>
  <c r="AB403" i="57" s="1"/>
  <c r="Q403" i="57"/>
  <c r="T403" i="57" s="1"/>
  <c r="O403" i="57"/>
  <c r="N403" i="57"/>
  <c r="AG402" i="57"/>
  <c r="Y402" i="57"/>
  <c r="AA402" i="57" l="1"/>
  <c r="AB402" i="57" s="1"/>
  <c r="Q402" i="57"/>
  <c r="T402" i="57" s="1"/>
  <c r="O402" i="57"/>
  <c r="N402" i="57"/>
  <c r="AG401" i="57"/>
  <c r="Y401" i="57"/>
  <c r="AA401" i="57" l="1"/>
  <c r="AB401" i="57" s="1"/>
  <c r="Q401" i="57"/>
  <c r="T401" i="57" s="1"/>
  <c r="O401" i="57"/>
  <c r="N401" i="57"/>
  <c r="AG400" i="57"/>
  <c r="Y400" i="57"/>
  <c r="AA400" i="57" l="1"/>
  <c r="AB400" i="57" s="1"/>
  <c r="Q400" i="57"/>
  <c r="T400" i="57" s="1"/>
  <c r="O400" i="57"/>
  <c r="N400" i="57"/>
  <c r="AG399" i="57"/>
  <c r="Y399" i="57"/>
  <c r="AA399" i="57" l="1"/>
  <c r="AB399" i="57" s="1"/>
  <c r="Q399" i="57"/>
  <c r="T399" i="57" s="1"/>
  <c r="O399" i="57"/>
  <c r="N399" i="57"/>
  <c r="AG398" i="57"/>
  <c r="Y398" i="57"/>
  <c r="AA398" i="57" l="1"/>
  <c r="AB398" i="57" s="1"/>
  <c r="Q398" i="57"/>
  <c r="T398" i="57" s="1"/>
  <c r="O398" i="57"/>
  <c r="N398" i="57"/>
  <c r="AG397" i="57"/>
  <c r="Y397" i="57"/>
  <c r="AA397" i="57" l="1"/>
  <c r="AB397" i="57" s="1"/>
  <c r="Q397" i="57"/>
  <c r="T397" i="57" s="1"/>
  <c r="O397" i="57"/>
  <c r="N397" i="57"/>
  <c r="AG396" i="57"/>
  <c r="Y396" i="57"/>
  <c r="AA396" i="57" l="1"/>
  <c r="AB396" i="57" s="1"/>
  <c r="Q396" i="57"/>
  <c r="T396" i="57" s="1"/>
  <c r="O396" i="57"/>
  <c r="N396" i="57"/>
  <c r="AG395" i="57"/>
  <c r="Y395" i="57"/>
  <c r="AA395" i="57" l="1"/>
  <c r="AB395" i="57" s="1"/>
  <c r="Q395" i="57"/>
  <c r="T395" i="57" s="1"/>
  <c r="O395" i="57"/>
  <c r="N395" i="57"/>
  <c r="AG394" i="57"/>
  <c r="Y394" i="57"/>
  <c r="AA394" i="57" l="1"/>
  <c r="AB394" i="57" s="1"/>
  <c r="Q394" i="57"/>
  <c r="T394" i="57" s="1"/>
  <c r="O394" i="57"/>
  <c r="N394" i="57"/>
  <c r="AG393" i="57"/>
  <c r="Y393" i="57"/>
  <c r="AA393" i="57" l="1"/>
  <c r="AB393" i="57" s="1"/>
  <c r="Q393" i="57"/>
  <c r="T393" i="57" s="1"/>
  <c r="O393" i="57"/>
  <c r="N393" i="57"/>
  <c r="AG392" i="57"/>
  <c r="Y392" i="57"/>
  <c r="AA392" i="57" l="1"/>
  <c r="AB392" i="57" s="1"/>
  <c r="Q392" i="57"/>
  <c r="T392" i="57" s="1"/>
  <c r="O392" i="57"/>
  <c r="N392" i="57"/>
  <c r="AG391" i="57"/>
  <c r="Y391" i="57"/>
  <c r="AA391" i="57" l="1"/>
  <c r="AB391" i="57" s="1"/>
  <c r="Q391" i="57"/>
  <c r="T391" i="57" s="1"/>
  <c r="O391" i="57"/>
  <c r="N391" i="57"/>
  <c r="AG390" i="57"/>
  <c r="Y390" i="57"/>
  <c r="AA390" i="57" l="1"/>
  <c r="AB390" i="57" s="1"/>
  <c r="Q390" i="57"/>
  <c r="T390" i="57" s="1"/>
  <c r="O390" i="57"/>
  <c r="N390" i="57"/>
  <c r="AG389" i="57"/>
  <c r="Y389" i="57"/>
  <c r="AA389" i="57" l="1"/>
  <c r="AB389" i="57" s="1"/>
  <c r="Q389" i="57"/>
  <c r="T389" i="57" s="1"/>
  <c r="O389" i="57"/>
  <c r="N389" i="57"/>
  <c r="AG388" i="57"/>
  <c r="Y388" i="57"/>
  <c r="AA388" i="57" l="1"/>
  <c r="AB388" i="57" s="1"/>
  <c r="T388" i="57"/>
  <c r="O388" i="57"/>
  <c r="N388" i="57"/>
  <c r="AG387" i="57"/>
  <c r="Y387" i="57"/>
  <c r="AA387" i="57" l="1"/>
  <c r="AB387" i="57" s="1"/>
  <c r="Q387" i="57"/>
  <c r="T387" i="57" s="1"/>
  <c r="O387" i="57"/>
  <c r="N387" i="57"/>
  <c r="AG386" i="57"/>
  <c r="Y386" i="57"/>
  <c r="AA386" i="57" l="1"/>
  <c r="AB386" i="57" s="1"/>
  <c r="T386" i="57"/>
  <c r="O386" i="57"/>
  <c r="N386" i="57"/>
  <c r="AG385" i="57"/>
  <c r="Y385" i="57"/>
  <c r="AA385" i="57" l="1"/>
  <c r="AB385" i="57" s="1"/>
  <c r="Q385" i="57"/>
  <c r="T385" i="57" s="1"/>
  <c r="O385" i="57"/>
  <c r="N385" i="57"/>
  <c r="AG384" i="57"/>
  <c r="Y384" i="57"/>
  <c r="AA384" i="57" l="1"/>
  <c r="AB384" i="57" s="1"/>
  <c r="Q384" i="57"/>
  <c r="T384" i="57" s="1"/>
  <c r="O384" i="57"/>
  <c r="N384" i="57"/>
  <c r="AG383" i="57"/>
  <c r="Y383" i="57"/>
  <c r="AA383" i="57" l="1"/>
  <c r="AB383" i="57" s="1"/>
  <c r="Q383" i="57"/>
  <c r="T383" i="57" s="1"/>
  <c r="O383" i="57"/>
  <c r="N383" i="57"/>
  <c r="AG382" i="57"/>
  <c r="Y382" i="57"/>
  <c r="AA382" i="57" l="1"/>
  <c r="AB382" i="57" s="1"/>
  <c r="T382" i="57"/>
  <c r="O382" i="57"/>
  <c r="N382" i="57"/>
  <c r="AG381" i="57"/>
  <c r="Y381" i="57"/>
  <c r="AA381" i="57" l="1"/>
  <c r="AB381" i="57" s="1"/>
  <c r="Q381" i="57"/>
  <c r="T381" i="57" s="1"/>
  <c r="O381" i="57"/>
  <c r="N381" i="57"/>
  <c r="AG380" i="57"/>
  <c r="Y380" i="57"/>
  <c r="AA380" i="57" l="1"/>
  <c r="AB380" i="57" s="1"/>
  <c r="Q380" i="57"/>
  <c r="T380" i="57" s="1"/>
  <c r="O380" i="57"/>
  <c r="N380" i="57"/>
  <c r="AG379" i="57"/>
  <c r="Y379" i="57"/>
  <c r="AA379" i="57" l="1"/>
  <c r="AB379" i="57" s="1"/>
  <c r="T379" i="57"/>
  <c r="O379" i="57"/>
  <c r="N379" i="57"/>
  <c r="AG378" i="57"/>
  <c r="Y378" i="57"/>
  <c r="AA378" i="57" l="1"/>
  <c r="AB378" i="57" s="1"/>
  <c r="T378" i="57"/>
  <c r="O378" i="57"/>
  <c r="N378" i="57"/>
  <c r="AG377" i="57"/>
  <c r="Y377" i="57"/>
  <c r="AA377" i="57" l="1"/>
  <c r="AB377" i="57" s="1"/>
  <c r="Q377" i="57"/>
  <c r="T377" i="57" s="1"/>
  <c r="O377" i="57"/>
  <c r="N377" i="57"/>
  <c r="AG376" i="57"/>
  <c r="Y376" i="57"/>
  <c r="AA376" i="57" l="1"/>
  <c r="AB376" i="57" s="1"/>
  <c r="Q376" i="57"/>
  <c r="T376" i="57" s="1"/>
  <c r="O376" i="57"/>
  <c r="N376" i="57"/>
  <c r="AG375" i="57"/>
  <c r="Y375" i="57"/>
  <c r="AA375" i="57" l="1"/>
  <c r="AB375" i="57" s="1"/>
  <c r="Q375" i="57"/>
  <c r="T375" i="57" s="1"/>
  <c r="O375" i="57"/>
  <c r="N375" i="57"/>
  <c r="AG374" i="57"/>
  <c r="Y374" i="57"/>
  <c r="AA374" i="57" l="1"/>
  <c r="AB374" i="57" s="1"/>
  <c r="Q374" i="57"/>
  <c r="T374" i="57" s="1"/>
  <c r="O374" i="57"/>
  <c r="N374" i="57"/>
  <c r="AG373" i="57"/>
  <c r="Y373" i="57"/>
  <c r="AA373" i="57" l="1"/>
  <c r="AB373" i="57" s="1"/>
  <c r="Q373" i="57"/>
  <c r="T373" i="57" s="1"/>
  <c r="O373" i="57"/>
  <c r="N373" i="57"/>
  <c r="AG372" i="57"/>
  <c r="Y372" i="57"/>
  <c r="AA372" i="57" l="1"/>
  <c r="AB372" i="57" s="1"/>
  <c r="T372" i="57"/>
  <c r="O372" i="57"/>
  <c r="N372" i="57"/>
  <c r="AG371" i="57"/>
  <c r="Y371" i="57"/>
  <c r="AA371" i="57" l="1"/>
  <c r="AB371" i="57" s="1"/>
  <c r="Q371" i="57"/>
  <c r="T371" i="57" s="1"/>
  <c r="O371" i="57"/>
  <c r="N371" i="57"/>
  <c r="AG370" i="57"/>
  <c r="Y370" i="57"/>
  <c r="AA370" i="57" l="1"/>
  <c r="AB370" i="57" s="1"/>
  <c r="Q370" i="57"/>
  <c r="T370" i="57" s="1"/>
  <c r="O370" i="57"/>
  <c r="N370" i="57"/>
  <c r="AG369" i="57"/>
  <c r="Y369" i="57"/>
  <c r="AA369" i="57" l="1"/>
  <c r="AB369" i="57" s="1"/>
  <c r="T369" i="57"/>
  <c r="O369" i="57"/>
  <c r="N369" i="57"/>
  <c r="AG368" i="57"/>
  <c r="Y368" i="57"/>
  <c r="AA368" i="57" l="1"/>
  <c r="AB368" i="57" s="1"/>
  <c r="Q368" i="57"/>
  <c r="T368" i="57" s="1"/>
  <c r="O368" i="57"/>
  <c r="N368" i="57"/>
  <c r="AG367" i="57"/>
  <c r="Y367" i="57"/>
  <c r="AA367" i="57" l="1"/>
  <c r="AB367" i="57" s="1"/>
  <c r="Q367" i="57"/>
  <c r="T367" i="57" s="1"/>
  <c r="O367" i="57"/>
  <c r="N367" i="57"/>
  <c r="AG366" i="57"/>
  <c r="Y366" i="57"/>
  <c r="AA366" i="57" l="1"/>
  <c r="AB366" i="57" s="1"/>
  <c r="T366" i="57"/>
  <c r="O366" i="57"/>
  <c r="N366" i="57"/>
  <c r="AG365" i="57"/>
  <c r="Y365" i="57"/>
  <c r="AA365" i="57" l="1"/>
  <c r="AB365" i="57" s="1"/>
  <c r="Q365" i="57"/>
  <c r="T365" i="57" s="1"/>
  <c r="O365" i="57"/>
  <c r="N365" i="57"/>
  <c r="AG364" i="57"/>
  <c r="Y364" i="57"/>
  <c r="AA364" i="57" l="1"/>
  <c r="AB364" i="57" s="1"/>
  <c r="Q364" i="57"/>
  <c r="T364" i="57" s="1"/>
  <c r="O364" i="57"/>
  <c r="N364" i="57"/>
  <c r="AG363" i="57"/>
  <c r="Y363" i="57"/>
  <c r="AA363" i="57" l="1"/>
  <c r="AB363" i="57" s="1"/>
  <c r="Q363" i="57"/>
  <c r="T363" i="57" s="1"/>
  <c r="O363" i="57"/>
  <c r="N363" i="57"/>
  <c r="AG362" i="57"/>
  <c r="Y362" i="57"/>
  <c r="AA362" i="57" l="1"/>
  <c r="AB362" i="57" s="1"/>
  <c r="Q362" i="57"/>
  <c r="T362" i="57" s="1"/>
  <c r="O362" i="57"/>
  <c r="N362" i="57"/>
  <c r="AG361" i="57"/>
  <c r="Y361" i="57"/>
  <c r="AA361" i="57" l="1"/>
  <c r="AB361" i="57" s="1"/>
  <c r="Q361" i="57"/>
  <c r="T361" i="57" s="1"/>
  <c r="O361" i="57"/>
  <c r="N361" i="57"/>
  <c r="AG360" i="57"/>
  <c r="Y360" i="57"/>
  <c r="AA360" i="57" l="1"/>
  <c r="AB360" i="57" s="1"/>
  <c r="Q360" i="57"/>
  <c r="T360" i="57" s="1"/>
  <c r="O360" i="57"/>
  <c r="N360" i="57"/>
  <c r="AG359" i="57"/>
  <c r="Y359" i="57"/>
  <c r="AA359" i="57" l="1"/>
  <c r="AB359" i="57" s="1"/>
  <c r="Q359" i="57"/>
  <c r="T359" i="57" s="1"/>
  <c r="O359" i="57"/>
  <c r="N359" i="57"/>
  <c r="AG358" i="57"/>
  <c r="Y358" i="57"/>
  <c r="AA358" i="57" l="1"/>
  <c r="AB358" i="57" s="1"/>
  <c r="Q358" i="57"/>
  <c r="T358" i="57" s="1"/>
  <c r="O358" i="57"/>
  <c r="N358" i="57"/>
  <c r="AG357" i="57"/>
  <c r="Y357" i="57"/>
  <c r="AA357" i="57" l="1"/>
  <c r="AB357" i="57" s="1"/>
  <c r="Q357" i="57"/>
  <c r="T357" i="57" s="1"/>
  <c r="O357" i="57"/>
  <c r="N357" i="57"/>
  <c r="AG356" i="57"/>
  <c r="Y356" i="57"/>
  <c r="AA356" i="57" l="1"/>
  <c r="AB356" i="57" s="1"/>
  <c r="Q356" i="57"/>
  <c r="T356" i="57" s="1"/>
  <c r="O356" i="57"/>
  <c r="N356" i="57"/>
  <c r="AG355" i="57"/>
  <c r="Y355" i="57"/>
  <c r="AA355" i="57" l="1"/>
  <c r="AB355" i="57" s="1"/>
  <c r="Q355" i="57"/>
  <c r="T355" i="57" s="1"/>
  <c r="O355" i="57"/>
  <c r="N355" i="57"/>
  <c r="AG354" i="57"/>
  <c r="Y354" i="57"/>
  <c r="AA354" i="57" l="1"/>
  <c r="AB354" i="57" s="1"/>
  <c r="Q354" i="57"/>
  <c r="T354" i="57" s="1"/>
  <c r="O354" i="57"/>
  <c r="N354" i="57"/>
  <c r="AG353" i="57"/>
  <c r="Y353" i="57"/>
  <c r="AA353" i="57" l="1"/>
  <c r="AB353" i="57" s="1"/>
  <c r="Q353" i="57"/>
  <c r="T353" i="57" s="1"/>
  <c r="O353" i="57"/>
  <c r="N353" i="57"/>
  <c r="AG352" i="57"/>
  <c r="Y352" i="57"/>
  <c r="AA352" i="57" l="1"/>
  <c r="AB352" i="57" s="1"/>
  <c r="Q352" i="57"/>
  <c r="T352" i="57" s="1"/>
  <c r="O352" i="57"/>
  <c r="N352" i="57"/>
  <c r="AG351" i="57"/>
  <c r="Y351" i="57"/>
  <c r="AA351" i="57" l="1"/>
  <c r="AB351" i="57" s="1"/>
  <c r="T351" i="57"/>
  <c r="O351" i="57"/>
  <c r="N351" i="57"/>
  <c r="AG350" i="57"/>
  <c r="Y350" i="57"/>
  <c r="AA350" i="57" l="1"/>
  <c r="AB350" i="57" s="1"/>
  <c r="Q350" i="57"/>
  <c r="T350" i="57" s="1"/>
  <c r="O350" i="57"/>
  <c r="N350" i="57"/>
  <c r="AG349" i="57"/>
  <c r="Y349" i="57"/>
  <c r="AA349" i="57" l="1"/>
  <c r="AB349" i="57" s="1"/>
  <c r="Q349" i="57"/>
  <c r="T349" i="57" s="1"/>
  <c r="O349" i="57"/>
  <c r="N349" i="57"/>
  <c r="AG348" i="57"/>
  <c r="Y348" i="57"/>
  <c r="AA348" i="57" l="1"/>
  <c r="AB348" i="57" s="1"/>
  <c r="Q348" i="57"/>
  <c r="T348" i="57" s="1"/>
  <c r="O348" i="57"/>
  <c r="N348" i="57"/>
  <c r="AG347" i="57"/>
  <c r="Y347" i="57"/>
  <c r="AA347" i="57" l="1"/>
  <c r="AB347" i="57" s="1"/>
  <c r="Q347" i="57"/>
  <c r="T347" i="57" s="1"/>
  <c r="O347" i="57"/>
  <c r="N347" i="57"/>
  <c r="AG346" i="57"/>
  <c r="Y346" i="57"/>
  <c r="AA346" i="57" l="1"/>
  <c r="AB346" i="57" s="1"/>
  <c r="Q346" i="57"/>
  <c r="T346" i="57" s="1"/>
  <c r="O346" i="57"/>
  <c r="N346" i="57"/>
  <c r="AG345" i="57"/>
  <c r="Y345" i="57"/>
  <c r="AA345" i="57" l="1"/>
  <c r="AB345" i="57" s="1"/>
  <c r="Q345" i="57"/>
  <c r="T345" i="57" s="1"/>
  <c r="O345" i="57"/>
  <c r="N345" i="57"/>
  <c r="AG344" i="57"/>
  <c r="Y344" i="57"/>
  <c r="AA344" i="57" l="1"/>
  <c r="AB344" i="57" s="1"/>
  <c r="Q344" i="57"/>
  <c r="T344" i="57" s="1"/>
  <c r="O344" i="57"/>
  <c r="N344" i="57"/>
  <c r="AG343" i="57"/>
  <c r="Y343" i="57"/>
  <c r="AA343" i="57" l="1"/>
  <c r="AB343" i="57" s="1"/>
  <c r="Q343" i="57"/>
  <c r="T343" i="57" s="1"/>
  <c r="O343" i="57"/>
  <c r="N343" i="57"/>
  <c r="AG342" i="57"/>
  <c r="Y342" i="57"/>
  <c r="AA342" i="57" l="1"/>
  <c r="AB342" i="57" s="1"/>
  <c r="T342" i="57"/>
  <c r="O342" i="57"/>
  <c r="N342" i="57"/>
  <c r="AG341" i="57"/>
  <c r="Y341" i="57"/>
  <c r="AA341" i="57" l="1"/>
  <c r="AB341" i="57" s="1"/>
  <c r="Q341" i="57"/>
  <c r="T341" i="57" s="1"/>
  <c r="O341" i="57"/>
  <c r="N341" i="57"/>
  <c r="AG340" i="57"/>
  <c r="Y340" i="57"/>
  <c r="AA340" i="57" l="1"/>
  <c r="AB340" i="57" s="1"/>
  <c r="Q340" i="57"/>
  <c r="T340" i="57" s="1"/>
  <c r="O340" i="57"/>
  <c r="N340" i="57"/>
  <c r="AG339" i="57"/>
  <c r="Y339" i="57"/>
  <c r="AA339" i="57" l="1"/>
  <c r="AB339" i="57" s="1"/>
  <c r="Q339" i="57"/>
  <c r="T339" i="57" s="1"/>
  <c r="O339" i="57"/>
  <c r="N339" i="57"/>
  <c r="AG338" i="57"/>
  <c r="Y338" i="57"/>
  <c r="AA338" i="57" l="1"/>
  <c r="AB338" i="57" s="1"/>
  <c r="Q338" i="57"/>
  <c r="T338" i="57" s="1"/>
  <c r="O338" i="57"/>
  <c r="N338" i="57"/>
  <c r="AG337" i="57"/>
  <c r="Y337" i="57"/>
  <c r="AA337" i="57" l="1"/>
  <c r="AB337" i="57" s="1"/>
  <c r="Q337" i="57"/>
  <c r="T337" i="57" s="1"/>
  <c r="O337" i="57"/>
  <c r="N337" i="57"/>
  <c r="AG336" i="57"/>
  <c r="Y336" i="57"/>
  <c r="AA336" i="57" l="1"/>
  <c r="AB336" i="57" s="1"/>
  <c r="Q336" i="57"/>
  <c r="T336" i="57" s="1"/>
  <c r="O336" i="57"/>
  <c r="N336" i="57"/>
  <c r="AG335" i="57"/>
  <c r="Y335" i="57"/>
  <c r="AA335" i="57" l="1"/>
  <c r="AB335" i="57" s="1"/>
  <c r="Q335" i="57"/>
  <c r="T335" i="57" s="1"/>
  <c r="O335" i="57"/>
  <c r="N335" i="57"/>
  <c r="AG334" i="57"/>
  <c r="Y334" i="57"/>
  <c r="AA334" i="57" l="1"/>
  <c r="AB334" i="57" s="1"/>
  <c r="Q334" i="57"/>
  <c r="T334" i="57" s="1"/>
  <c r="O334" i="57"/>
  <c r="N334" i="57"/>
  <c r="AG333" i="57"/>
  <c r="Y333" i="57"/>
  <c r="AA333" i="57" l="1"/>
  <c r="AB333" i="57" s="1"/>
  <c r="Q333" i="57"/>
  <c r="T333" i="57" s="1"/>
  <c r="O333" i="57"/>
  <c r="N333" i="57"/>
  <c r="AG332" i="57"/>
  <c r="Y332" i="57"/>
  <c r="AA332" i="57" l="1"/>
  <c r="AB332" i="57" s="1"/>
  <c r="Q332" i="57"/>
  <c r="T332" i="57" s="1"/>
  <c r="O332" i="57"/>
  <c r="N332" i="57"/>
  <c r="AG331" i="57"/>
  <c r="Y331" i="57"/>
  <c r="AA331" i="57" l="1"/>
  <c r="AB331" i="57" s="1"/>
  <c r="Q331" i="57"/>
  <c r="T331" i="57" s="1"/>
  <c r="O331" i="57"/>
  <c r="N331" i="57"/>
  <c r="AG330" i="57"/>
  <c r="Y330" i="57"/>
  <c r="AA330" i="57" l="1"/>
  <c r="AB330" i="57" s="1"/>
  <c r="Q330" i="57"/>
  <c r="T330" i="57" s="1"/>
  <c r="O330" i="57"/>
  <c r="N330" i="57"/>
  <c r="AG329" i="57"/>
  <c r="Y329" i="57"/>
  <c r="AA329" i="57" l="1"/>
  <c r="AB329" i="57" s="1"/>
  <c r="Q329" i="57"/>
  <c r="T329" i="57" s="1"/>
  <c r="O329" i="57"/>
  <c r="N329" i="57"/>
  <c r="AG328" i="57"/>
  <c r="Y328" i="57"/>
  <c r="AA328" i="57" l="1"/>
  <c r="AB328" i="57" s="1"/>
  <c r="Q328" i="57"/>
  <c r="T328" i="57" s="1"/>
  <c r="O328" i="57"/>
  <c r="N328" i="57"/>
  <c r="AG327" i="57"/>
  <c r="Y327" i="57"/>
  <c r="AA327" i="57" l="1"/>
  <c r="AB327" i="57" s="1"/>
  <c r="Q327" i="57"/>
  <c r="T327" i="57" s="1"/>
  <c r="O327" i="57"/>
  <c r="N327" i="57"/>
  <c r="AG326" i="57"/>
  <c r="Y326" i="57"/>
  <c r="AA326" i="57" l="1"/>
  <c r="AB326" i="57" s="1"/>
  <c r="Q326" i="57"/>
  <c r="T326" i="57" s="1"/>
  <c r="O326" i="57"/>
  <c r="N326" i="57"/>
  <c r="AG325" i="57"/>
  <c r="Y325" i="57"/>
  <c r="AA325" i="57" l="1"/>
  <c r="AB325" i="57" s="1"/>
  <c r="Q325" i="57"/>
  <c r="T325" i="57" s="1"/>
  <c r="O325" i="57"/>
  <c r="N325" i="57"/>
  <c r="AG324" i="57"/>
  <c r="Y324" i="57"/>
  <c r="AA324" i="57" l="1"/>
  <c r="AB324" i="57" s="1"/>
  <c r="Q324" i="57"/>
  <c r="T324" i="57" s="1"/>
  <c r="O324" i="57"/>
  <c r="N324" i="57"/>
  <c r="AG323" i="57"/>
  <c r="Y323" i="57"/>
  <c r="AA323" i="57" l="1"/>
  <c r="AB323" i="57" s="1"/>
  <c r="Q323" i="57"/>
  <c r="T323" i="57" s="1"/>
  <c r="O323" i="57"/>
  <c r="N323" i="57"/>
  <c r="AG322" i="57"/>
  <c r="Y322" i="57"/>
  <c r="AA322" i="57" l="1"/>
  <c r="AB322" i="57" s="1"/>
  <c r="Q322" i="57"/>
  <c r="T322" i="57" s="1"/>
  <c r="O322" i="57"/>
  <c r="N322" i="57"/>
  <c r="AG321" i="57"/>
  <c r="Y321" i="57"/>
  <c r="AA321" i="57" l="1"/>
  <c r="AB321" i="57" s="1"/>
  <c r="Q321" i="57"/>
  <c r="T321" i="57" s="1"/>
  <c r="O321" i="57"/>
  <c r="N321" i="57"/>
  <c r="AG320" i="57"/>
  <c r="Y320" i="57"/>
  <c r="AA320" i="57" l="1"/>
  <c r="AB320" i="57" s="1"/>
  <c r="Q320" i="57"/>
  <c r="T320" i="57" s="1"/>
  <c r="O320" i="57"/>
  <c r="N320" i="57"/>
  <c r="AG319" i="57"/>
  <c r="Y319" i="57"/>
  <c r="AA319" i="57" l="1"/>
  <c r="AB319" i="57" s="1"/>
  <c r="T319" i="57"/>
  <c r="O319" i="57"/>
  <c r="N319" i="57"/>
  <c r="AG318" i="57"/>
  <c r="Y318" i="57"/>
  <c r="AA318" i="57" l="1"/>
  <c r="AB318" i="57" s="1"/>
  <c r="Q318" i="57"/>
  <c r="T318" i="57" s="1"/>
  <c r="O318" i="57"/>
  <c r="N318" i="57"/>
  <c r="AG317" i="57"/>
  <c r="Y317" i="57"/>
  <c r="AA317" i="57" l="1"/>
  <c r="AB317" i="57" s="1"/>
  <c r="Q317" i="57"/>
  <c r="T317" i="57" s="1"/>
  <c r="O317" i="57"/>
  <c r="N317" i="57"/>
  <c r="AG316" i="57"/>
  <c r="Y316" i="57"/>
  <c r="AA316" i="57" l="1"/>
  <c r="AB316" i="57" s="1"/>
  <c r="Q316" i="57"/>
  <c r="T316" i="57" s="1"/>
  <c r="O316" i="57"/>
  <c r="N316" i="57"/>
  <c r="AG315" i="57"/>
  <c r="Y315" i="57"/>
  <c r="AA315" i="57" l="1"/>
  <c r="AB315" i="57" s="1"/>
  <c r="Q315" i="57"/>
  <c r="T315" i="57" s="1"/>
  <c r="O315" i="57"/>
  <c r="N315" i="57"/>
  <c r="AG314" i="57"/>
  <c r="Y314" i="57"/>
  <c r="AA314" i="57" l="1"/>
  <c r="AB314" i="57" s="1"/>
  <c r="Q314" i="57"/>
  <c r="T314" i="57" s="1"/>
  <c r="O314" i="57"/>
  <c r="N314" i="57"/>
  <c r="AG313" i="57"/>
  <c r="Y313" i="57"/>
  <c r="AA313" i="57" l="1"/>
  <c r="AB313" i="57" s="1"/>
  <c r="Q313" i="57"/>
  <c r="T313" i="57" s="1"/>
  <c r="O313" i="57"/>
  <c r="N313" i="57"/>
  <c r="AG312" i="57"/>
  <c r="Y312" i="57"/>
  <c r="AA312" i="57" l="1"/>
  <c r="AB312" i="57" s="1"/>
  <c r="Q312" i="57"/>
  <c r="T312" i="57" s="1"/>
  <c r="O312" i="57"/>
  <c r="N312" i="57"/>
  <c r="AG311" i="57"/>
  <c r="Y311" i="57"/>
  <c r="AA311" i="57" l="1"/>
  <c r="AB311" i="57" s="1"/>
  <c r="Q311" i="57"/>
  <c r="T311" i="57" s="1"/>
  <c r="O311" i="57"/>
  <c r="N311" i="57"/>
  <c r="AG310" i="57"/>
  <c r="Y310" i="57"/>
  <c r="AA310" i="57" l="1"/>
  <c r="AB310" i="57" s="1"/>
  <c r="Q310" i="57"/>
  <c r="T310" i="57" s="1"/>
  <c r="O310" i="57"/>
  <c r="N310" i="57"/>
  <c r="AG309" i="57"/>
  <c r="Y309" i="57"/>
  <c r="AA309" i="57" l="1"/>
  <c r="AB309" i="57" s="1"/>
  <c r="Q309" i="57"/>
  <c r="T309" i="57" s="1"/>
  <c r="O309" i="57"/>
  <c r="N309" i="57"/>
  <c r="AG308" i="57"/>
  <c r="Y308" i="57"/>
  <c r="AA308" i="57" l="1"/>
  <c r="AB308" i="57" s="1"/>
  <c r="T308" i="57"/>
  <c r="O308" i="57"/>
  <c r="N308" i="57"/>
  <c r="AG307" i="57"/>
  <c r="Y307" i="57"/>
  <c r="AA307" i="57" l="1"/>
  <c r="AB307" i="57" s="1"/>
  <c r="Q307" i="57"/>
  <c r="T307" i="57" s="1"/>
  <c r="O307" i="57"/>
  <c r="N307" i="57"/>
  <c r="AG306" i="57"/>
  <c r="Y306" i="57"/>
  <c r="AA306" i="57" l="1"/>
  <c r="AB306" i="57" s="1"/>
  <c r="Q306" i="57"/>
  <c r="T306" i="57" s="1"/>
  <c r="O306" i="57"/>
  <c r="N306" i="57"/>
  <c r="AG305" i="57"/>
  <c r="Y305" i="57"/>
  <c r="AA305" i="57" l="1"/>
  <c r="AB305" i="57" s="1"/>
  <c r="Q305" i="57"/>
  <c r="T305" i="57" s="1"/>
  <c r="O305" i="57"/>
  <c r="N305" i="57"/>
  <c r="AG304" i="57"/>
  <c r="Y304" i="57"/>
  <c r="AA304" i="57" l="1"/>
  <c r="AB304" i="57" s="1"/>
  <c r="Q304" i="57"/>
  <c r="T304" i="57" s="1"/>
  <c r="O304" i="57"/>
  <c r="N304" i="57"/>
  <c r="AG303" i="57"/>
  <c r="Y303" i="57"/>
  <c r="AA303" i="57" l="1"/>
  <c r="AB303" i="57" s="1"/>
  <c r="Q303" i="57"/>
  <c r="T303" i="57" s="1"/>
  <c r="O303" i="57"/>
  <c r="N303" i="57"/>
  <c r="AG302" i="57"/>
  <c r="Y302" i="57"/>
  <c r="AA302" i="57" l="1"/>
  <c r="AB302" i="57" s="1"/>
  <c r="Q302" i="57"/>
  <c r="T302" i="57" s="1"/>
  <c r="O302" i="57"/>
  <c r="N302" i="57"/>
  <c r="AG301" i="57"/>
  <c r="Y301" i="57"/>
  <c r="AA301" i="57" l="1"/>
  <c r="AB301" i="57" s="1"/>
  <c r="Q301" i="57"/>
  <c r="T301" i="57" s="1"/>
  <c r="O301" i="57"/>
  <c r="N301" i="57"/>
  <c r="AG300" i="57"/>
  <c r="Y300" i="57"/>
  <c r="AA300" i="57" l="1"/>
  <c r="AB300" i="57" s="1"/>
  <c r="Q300" i="57"/>
  <c r="T300" i="57" s="1"/>
  <c r="O300" i="57"/>
  <c r="N300" i="57"/>
  <c r="AG299" i="57"/>
  <c r="Y299" i="57"/>
  <c r="AA299" i="57" l="1"/>
  <c r="AB299" i="57" s="1"/>
  <c r="Q299" i="57"/>
  <c r="T299" i="57" s="1"/>
  <c r="O299" i="57"/>
  <c r="N299" i="57"/>
  <c r="AG298" i="57"/>
  <c r="Y298" i="57"/>
  <c r="AA298" i="57" l="1"/>
  <c r="AB298" i="57" s="1"/>
  <c r="Q298" i="57"/>
  <c r="T298" i="57" s="1"/>
  <c r="O298" i="57"/>
  <c r="N298" i="57"/>
  <c r="AG297" i="57"/>
  <c r="Y297" i="57"/>
  <c r="AA297" i="57" l="1"/>
  <c r="AB297" i="57" s="1"/>
  <c r="Q297" i="57"/>
  <c r="T297" i="57" s="1"/>
  <c r="O297" i="57"/>
  <c r="N297" i="57"/>
  <c r="AG296" i="57"/>
  <c r="Y296" i="57"/>
  <c r="AA296" i="57" l="1"/>
  <c r="AB296" i="57" s="1"/>
  <c r="Q296" i="57"/>
  <c r="T296" i="57" s="1"/>
  <c r="O296" i="57"/>
  <c r="N296" i="57"/>
  <c r="AG295" i="57"/>
  <c r="Y295" i="57"/>
  <c r="AA295" i="57" l="1"/>
  <c r="AB295" i="57" s="1"/>
  <c r="Q295" i="57"/>
  <c r="T295" i="57" s="1"/>
  <c r="O295" i="57"/>
  <c r="N295" i="57"/>
  <c r="AG294" i="57"/>
  <c r="Y294" i="57"/>
  <c r="AA294" i="57" l="1"/>
  <c r="AB294" i="57" s="1"/>
  <c r="Q294" i="57"/>
  <c r="T294" i="57" s="1"/>
  <c r="O294" i="57"/>
  <c r="N294" i="57"/>
  <c r="AG293" i="57"/>
  <c r="Y293" i="57"/>
  <c r="AA293" i="57" l="1"/>
  <c r="AB293" i="57" s="1"/>
  <c r="Q293" i="57"/>
  <c r="T293" i="57" s="1"/>
  <c r="O293" i="57"/>
  <c r="N293" i="57"/>
  <c r="AG292" i="57"/>
  <c r="Y292" i="57"/>
  <c r="AA292" i="57" l="1"/>
  <c r="AB292" i="57" s="1"/>
  <c r="Q292" i="57"/>
  <c r="T292" i="57" s="1"/>
  <c r="O292" i="57"/>
  <c r="N292" i="57"/>
  <c r="AG291" i="57"/>
  <c r="Y291" i="57"/>
  <c r="AA291" i="57" l="1"/>
  <c r="AB291" i="57" s="1"/>
  <c r="Q291" i="57"/>
  <c r="T291" i="57" s="1"/>
  <c r="O291" i="57"/>
  <c r="N291" i="57"/>
  <c r="AG290" i="57"/>
  <c r="Y290" i="57"/>
  <c r="AA290" i="57" l="1"/>
  <c r="AB290" i="57" s="1"/>
  <c r="Q290" i="57"/>
  <c r="T290" i="57" s="1"/>
  <c r="O290" i="57"/>
  <c r="N290" i="57"/>
  <c r="AG289" i="57"/>
  <c r="Y289" i="57"/>
  <c r="AA289" i="57" l="1"/>
  <c r="AB289" i="57" s="1"/>
  <c r="Q289" i="57"/>
  <c r="T289" i="57" s="1"/>
  <c r="O289" i="57"/>
  <c r="N289" i="57"/>
  <c r="AN288" i="57"/>
  <c r="AL288" i="57" s="1"/>
  <c r="AM288" i="57"/>
  <c r="AK288" i="57" s="1"/>
  <c r="AG288" i="57"/>
  <c r="Y288" i="57"/>
  <c r="AA288" i="57" l="1"/>
  <c r="AB288" i="57" s="1"/>
  <c r="Q288" i="57"/>
  <c r="T288" i="57" s="1"/>
  <c r="O288" i="57"/>
  <c r="N288" i="57"/>
  <c r="AM244" i="57"/>
  <c r="AN244" i="57"/>
  <c r="AL244" i="57" l="1"/>
  <c r="AK244" i="57"/>
  <c r="AM245" i="57"/>
  <c r="AN245" i="57"/>
  <c r="AL245" i="57" l="1"/>
  <c r="AK245" i="57"/>
  <c r="AM246" i="57"/>
  <c r="AN246" i="57"/>
  <c r="AL246" i="57" l="1"/>
  <c r="AK246" i="57"/>
  <c r="AM247" i="57"/>
  <c r="AN247" i="57"/>
  <c r="AL247" i="57" l="1"/>
  <c r="AK247" i="57"/>
  <c r="AM248" i="57"/>
  <c r="AN248" i="57"/>
  <c r="AL248" i="57" l="1"/>
  <c r="AK248" i="57"/>
  <c r="AM249" i="57"/>
  <c r="AN249" i="57"/>
  <c r="AL249" i="57" l="1"/>
  <c r="AK249" i="57"/>
  <c r="AM250" i="57"/>
  <c r="AN250" i="57"/>
  <c r="AL250" i="57" l="1"/>
  <c r="AK250" i="57"/>
  <c r="AM251" i="57"/>
  <c r="AN251" i="57"/>
  <c r="AL251" i="57" l="1"/>
  <c r="AK251" i="57"/>
  <c r="AM252" i="57"/>
  <c r="AN252" i="57"/>
  <c r="AL252" i="57" l="1"/>
  <c r="AK252" i="57"/>
  <c r="AM253" i="57"/>
  <c r="AN253" i="57"/>
  <c r="AL253" i="57" l="1"/>
  <c r="AK253" i="57"/>
  <c r="AM254" i="57"/>
  <c r="AN254" i="57"/>
  <c r="AL254" i="57" l="1"/>
  <c r="AK254" i="57"/>
  <c r="AM255" i="57"/>
  <c r="AN255" i="57"/>
  <c r="AL255" i="57" l="1"/>
  <c r="AK255" i="57"/>
  <c r="AM256" i="57"/>
  <c r="AN256" i="57"/>
  <c r="AL256" i="57" l="1"/>
  <c r="AK256" i="57"/>
  <c r="AM257" i="57"/>
  <c r="AN257" i="57"/>
  <c r="AL257" i="57" l="1"/>
  <c r="AK257" i="57"/>
  <c r="AM258" i="57"/>
  <c r="AN258" i="57"/>
  <c r="AL258" i="57" l="1"/>
  <c r="AK258" i="57"/>
  <c r="AM259" i="57"/>
  <c r="AN259" i="57"/>
  <c r="AL259" i="57" l="1"/>
  <c r="AK259" i="57"/>
  <c r="AM260" i="57"/>
  <c r="AN260" i="57"/>
  <c r="AL260" i="57" l="1"/>
  <c r="AK260" i="57"/>
  <c r="AM261" i="57"/>
  <c r="AN261" i="57"/>
  <c r="AL261" i="57" l="1"/>
  <c r="AK261" i="57"/>
  <c r="AM262" i="57"/>
  <c r="AN262" i="57"/>
  <c r="AL262" i="57" l="1"/>
  <c r="AK262" i="57"/>
  <c r="AM263" i="57"/>
  <c r="AN263" i="57"/>
  <c r="AL263" i="57" l="1"/>
  <c r="AK263" i="57"/>
  <c r="AM264" i="57"/>
  <c r="AN264" i="57"/>
  <c r="AL264" i="57" l="1"/>
  <c r="AK264" i="57"/>
  <c r="AM265" i="57"/>
  <c r="AN265" i="57"/>
  <c r="AL265" i="57" l="1"/>
  <c r="AK265" i="57"/>
  <c r="AM266" i="57"/>
  <c r="AN266" i="57"/>
  <c r="AL266" i="57" l="1"/>
  <c r="AK266" i="57"/>
  <c r="AM267" i="57"/>
  <c r="AN267" i="57"/>
  <c r="AL267" i="57" l="1"/>
  <c r="AK267" i="57"/>
  <c r="AM268" i="57"/>
  <c r="AN268" i="57"/>
  <c r="AL268" i="57" l="1"/>
  <c r="AK268" i="57"/>
  <c r="AM269" i="57"/>
  <c r="AN269" i="57"/>
  <c r="AL269" i="57" l="1"/>
  <c r="AK269" i="57"/>
  <c r="AM270" i="57"/>
  <c r="AN270" i="57"/>
  <c r="AL270" i="57" l="1"/>
  <c r="AK270" i="57"/>
  <c r="AM271" i="57"/>
  <c r="AN271" i="57"/>
  <c r="AL271" i="57" l="1"/>
  <c r="AK271" i="57"/>
  <c r="AM272" i="57"/>
  <c r="AN272" i="57"/>
  <c r="AL272" i="57" l="1"/>
  <c r="AK272" i="57"/>
  <c r="AM273" i="57"/>
  <c r="AN273" i="57"/>
  <c r="AL273" i="57" l="1"/>
  <c r="AK273" i="57"/>
  <c r="AM274" i="57"/>
  <c r="AN274" i="57"/>
  <c r="AL274" i="57" l="1"/>
  <c r="AK274" i="57"/>
  <c r="AM275" i="57"/>
  <c r="AN275" i="57"/>
  <c r="AL275" i="57" l="1"/>
  <c r="AK275" i="57"/>
  <c r="AM276" i="57"/>
  <c r="AN276" i="57"/>
  <c r="AL276" i="57" l="1"/>
  <c r="AK276" i="57"/>
  <c r="AM277" i="57"/>
  <c r="AN277" i="57"/>
  <c r="AL277" i="57" l="1"/>
  <c r="AK277" i="57"/>
  <c r="AM278" i="57"/>
  <c r="AN278" i="57"/>
  <c r="AL278" i="57" l="1"/>
  <c r="AK278" i="57"/>
  <c r="AM279" i="57"/>
  <c r="AN279" i="57"/>
  <c r="AL279" i="57" l="1"/>
  <c r="AK279" i="57"/>
  <c r="AM280" i="57"/>
  <c r="AN280" i="57"/>
  <c r="AL280" i="57" l="1"/>
  <c r="AK280" i="57"/>
  <c r="AM281" i="57"/>
  <c r="AN281" i="57"/>
  <c r="AL281" i="57" l="1"/>
  <c r="AK281" i="57"/>
  <c r="AM282" i="57"/>
  <c r="AN282" i="57"/>
  <c r="AL282" i="57" l="1"/>
  <c r="AK282" i="57"/>
  <c r="AM283" i="57"/>
  <c r="AN283" i="57"/>
  <c r="AL283" i="57" l="1"/>
  <c r="AK283" i="57"/>
  <c r="AM284" i="57"/>
  <c r="AN284" i="57"/>
  <c r="AL284" i="57" l="1"/>
  <c r="AK284" i="57"/>
  <c r="AM285" i="57"/>
  <c r="AN285" i="57"/>
  <c r="AL285" i="57" l="1"/>
  <c r="AK285" i="57"/>
  <c r="AG285" i="57"/>
  <c r="Y285" i="57"/>
  <c r="AA285" i="57" l="1"/>
  <c r="AB285" i="57" s="1"/>
  <c r="Q285" i="57"/>
  <c r="T285" i="57" s="1"/>
  <c r="O285" i="57"/>
  <c r="N285" i="57"/>
  <c r="AG284" i="57"/>
  <c r="Y284" i="57"/>
  <c r="AA284" i="57" l="1"/>
  <c r="AB284" i="57" s="1"/>
  <c r="Q284" i="57"/>
  <c r="T284" i="57" s="1"/>
  <c r="O284" i="57"/>
  <c r="N284" i="57"/>
  <c r="AG283" i="57"/>
  <c r="Y283" i="57"/>
  <c r="AA283" i="57" l="1"/>
  <c r="AB283" i="57" s="1"/>
  <c r="Q283" i="57"/>
  <c r="T283" i="57" s="1"/>
  <c r="O283" i="57"/>
  <c r="N283" i="57"/>
  <c r="AG282" i="57"/>
  <c r="Y282" i="57"/>
  <c r="AA282" i="57" l="1"/>
  <c r="AB282" i="57" s="1"/>
  <c r="Q282" i="57"/>
  <c r="T282" i="57" s="1"/>
  <c r="O282" i="57"/>
  <c r="N282" i="57"/>
  <c r="AG281" i="57"/>
  <c r="Y281" i="57"/>
  <c r="AA281" i="57" l="1"/>
  <c r="AB281" i="57" s="1"/>
  <c r="Q281" i="57"/>
  <c r="T281" i="57" s="1"/>
  <c r="O281" i="57"/>
  <c r="N281" i="57"/>
  <c r="AG280" i="57"/>
  <c r="Y280" i="57"/>
  <c r="AA280" i="57" l="1"/>
  <c r="AB280" i="57" s="1"/>
  <c r="Q280" i="57"/>
  <c r="T280" i="57" s="1"/>
  <c r="O280" i="57"/>
  <c r="N280" i="57"/>
  <c r="AG279" i="57"/>
  <c r="Y279" i="57"/>
  <c r="AA279" i="57" l="1"/>
  <c r="AB279" i="57" s="1"/>
  <c r="Q279" i="57"/>
  <c r="T279" i="57" s="1"/>
  <c r="O279" i="57"/>
  <c r="N279" i="57"/>
  <c r="AG278" i="57"/>
  <c r="Y278" i="57"/>
  <c r="AA278" i="57" l="1"/>
  <c r="AB278" i="57" s="1"/>
  <c r="T278" i="57"/>
  <c r="O278" i="57"/>
  <c r="N278" i="57"/>
  <c r="AG277" i="57"/>
  <c r="Y277" i="57"/>
  <c r="AA277" i="57" l="1"/>
  <c r="AB277" i="57" s="1"/>
  <c r="Q277" i="57"/>
  <c r="T277" i="57" s="1"/>
  <c r="O277" i="57"/>
  <c r="N277" i="57"/>
  <c r="AG276" i="57"/>
  <c r="Y276" i="57"/>
  <c r="AA276" i="57" l="1"/>
  <c r="AB276" i="57" s="1"/>
  <c r="Q276" i="57"/>
  <c r="T276" i="57" s="1"/>
  <c r="O276" i="57"/>
  <c r="N276" i="57"/>
  <c r="AG275" i="57"/>
  <c r="Y275" i="57"/>
  <c r="AA275" i="57" l="1"/>
  <c r="AB275" i="57" s="1"/>
  <c r="T275" i="57"/>
  <c r="O275" i="57"/>
  <c r="N275" i="57"/>
  <c r="AG274" i="57"/>
  <c r="Y274" i="57"/>
  <c r="AA274" i="57" l="1"/>
  <c r="AB274" i="57" s="1"/>
  <c r="Q274" i="57"/>
  <c r="T274" i="57" s="1"/>
  <c r="O274" i="57"/>
  <c r="N274" i="57"/>
  <c r="AG273" i="57"/>
  <c r="Y273" i="57"/>
  <c r="AA273" i="57" l="1"/>
  <c r="AB273" i="57" s="1"/>
  <c r="Q273" i="57"/>
  <c r="T273" i="57" s="1"/>
  <c r="O273" i="57"/>
  <c r="N273" i="57"/>
  <c r="AG272" i="57"/>
  <c r="Y272" i="57"/>
  <c r="AA272" i="57" l="1"/>
  <c r="AB272" i="57" s="1"/>
  <c r="Q272" i="57"/>
  <c r="T272" i="57" s="1"/>
  <c r="O272" i="57"/>
  <c r="N272" i="57"/>
  <c r="AG271" i="57"/>
  <c r="Y271" i="57"/>
  <c r="AA271" i="57" l="1"/>
  <c r="AB271" i="57" s="1"/>
  <c r="Q271" i="57"/>
  <c r="T271" i="57" s="1"/>
  <c r="O271" i="57"/>
  <c r="N271" i="57"/>
  <c r="AG270" i="57"/>
  <c r="Y270" i="57"/>
  <c r="AA270" i="57" l="1"/>
  <c r="AB270" i="57" s="1"/>
  <c r="Q270" i="57"/>
  <c r="T270" i="57" s="1"/>
  <c r="O270" i="57"/>
  <c r="N270" i="57"/>
  <c r="AG269" i="57"/>
  <c r="Y269" i="57"/>
  <c r="AA269" i="57" l="1"/>
  <c r="AB269" i="57" s="1"/>
  <c r="Q269" i="57"/>
  <c r="T269" i="57" s="1"/>
  <c r="O269" i="57"/>
  <c r="N269" i="57"/>
  <c r="AG268" i="57"/>
  <c r="Y268" i="57"/>
  <c r="AA268" i="57" l="1"/>
  <c r="AB268" i="57" s="1"/>
  <c r="Q268" i="57"/>
  <c r="T268" i="57" s="1"/>
  <c r="O268" i="57"/>
  <c r="N268" i="57"/>
  <c r="AG267" i="57"/>
  <c r="Y267" i="57"/>
  <c r="AA267" i="57" l="1"/>
  <c r="AB267" i="57" s="1"/>
  <c r="Q267" i="57"/>
  <c r="T267" i="57" s="1"/>
  <c r="O267" i="57"/>
  <c r="N267" i="57"/>
  <c r="AG266" i="57"/>
  <c r="Y266" i="57"/>
  <c r="AA266" i="57" l="1"/>
  <c r="AB266" i="57" s="1"/>
  <c r="Q266" i="57"/>
  <c r="T266" i="57" s="1"/>
  <c r="O266" i="57"/>
  <c r="N266" i="57"/>
  <c r="AG265" i="57"/>
  <c r="Y265" i="57"/>
  <c r="AA265" i="57" l="1"/>
  <c r="AB265" i="57" s="1"/>
  <c r="T265" i="57"/>
  <c r="O265" i="57"/>
  <c r="N265" i="57"/>
  <c r="AG264" i="57"/>
  <c r="Y264" i="57"/>
  <c r="AA264" i="57" l="1"/>
  <c r="AB264" i="57" s="1"/>
  <c r="Q264" i="57"/>
  <c r="T264" i="57" s="1"/>
  <c r="O264" i="57"/>
  <c r="N264" i="57"/>
  <c r="AG263" i="57"/>
  <c r="Y263" i="57"/>
  <c r="AA263" i="57" l="1"/>
  <c r="AB263" i="57" s="1"/>
  <c r="Q263" i="57"/>
  <c r="T263" i="57" s="1"/>
  <c r="O263" i="57"/>
  <c r="N263" i="57"/>
  <c r="AG262" i="57"/>
  <c r="Y262" i="57"/>
  <c r="AA262" i="57" l="1"/>
  <c r="AB262" i="57" s="1"/>
  <c r="Q262" i="57"/>
  <c r="T262" i="57" s="1"/>
  <c r="O262" i="57"/>
  <c r="N262" i="57"/>
  <c r="AG261" i="57"/>
  <c r="Y261" i="57"/>
  <c r="AA261" i="57" l="1"/>
  <c r="AB261" i="57" s="1"/>
  <c r="Q261" i="57"/>
  <c r="T261" i="57" s="1"/>
  <c r="O261" i="57"/>
  <c r="N261" i="57"/>
  <c r="AG260" i="57"/>
  <c r="Y260" i="57"/>
  <c r="AA260" i="57" l="1"/>
  <c r="AB260" i="57" s="1"/>
  <c r="T260" i="57"/>
  <c r="O260" i="57"/>
  <c r="N260" i="57"/>
  <c r="AG259" i="57"/>
  <c r="Y259" i="57"/>
  <c r="AA259" i="57" l="1"/>
  <c r="AB259" i="57" s="1"/>
  <c r="Q259" i="57"/>
  <c r="T259" i="57" s="1"/>
  <c r="O259" i="57"/>
  <c r="N259" i="57"/>
  <c r="AG258" i="57"/>
  <c r="Y258" i="57"/>
  <c r="AA258" i="57" l="1"/>
  <c r="AB258" i="57" s="1"/>
  <c r="Q258" i="57"/>
  <c r="T258" i="57" s="1"/>
  <c r="O258" i="57"/>
  <c r="N258" i="57"/>
  <c r="AG257" i="57"/>
  <c r="Y257" i="57"/>
  <c r="AA257" i="57" l="1"/>
  <c r="AB257" i="57" s="1"/>
  <c r="Q257" i="57"/>
  <c r="T257" i="57" s="1"/>
  <c r="O257" i="57"/>
  <c r="N257" i="57"/>
  <c r="AG256" i="57"/>
  <c r="Y256" i="57"/>
  <c r="AA256" i="57" l="1"/>
  <c r="AB256" i="57" s="1"/>
  <c r="Q256" i="57"/>
  <c r="T256" i="57" s="1"/>
  <c r="O256" i="57"/>
  <c r="N256" i="57"/>
  <c r="AG255" i="57"/>
  <c r="Y255" i="57"/>
  <c r="AA255" i="57" l="1"/>
  <c r="AB255" i="57" s="1"/>
  <c r="Q255" i="57"/>
  <c r="T255" i="57" s="1"/>
  <c r="O255" i="57"/>
  <c r="N255" i="57"/>
  <c r="AG254" i="57"/>
  <c r="Y254" i="57"/>
  <c r="AA254" i="57" l="1"/>
  <c r="AB254" i="57" s="1"/>
  <c r="Q254" i="57"/>
  <c r="T254" i="57" s="1"/>
  <c r="O254" i="57"/>
  <c r="N254" i="57"/>
  <c r="AG253" i="57"/>
  <c r="Y253" i="57"/>
  <c r="AA253" i="57" l="1"/>
  <c r="AB253" i="57" s="1"/>
  <c r="Q253" i="57"/>
  <c r="T253" i="57" s="1"/>
  <c r="O253" i="57"/>
  <c r="N253" i="57"/>
  <c r="AG252" i="57"/>
  <c r="Y252" i="57"/>
  <c r="AA252" i="57" l="1"/>
  <c r="AB252" i="57" s="1"/>
  <c r="Q252" i="57"/>
  <c r="T252" i="57" s="1"/>
  <c r="O252" i="57"/>
  <c r="N252" i="57"/>
  <c r="AG251" i="57"/>
  <c r="Y251" i="57"/>
  <c r="AA251" i="57" l="1"/>
  <c r="AB251" i="57" s="1"/>
  <c r="Q251" i="57"/>
  <c r="T251" i="57" s="1"/>
  <c r="O251" i="57"/>
  <c r="N251" i="57"/>
  <c r="AG250" i="57"/>
  <c r="Y250" i="57"/>
  <c r="AA250" i="57" l="1"/>
  <c r="AB250" i="57" s="1"/>
  <c r="Q250" i="57"/>
  <c r="T250" i="57" s="1"/>
  <c r="O250" i="57"/>
  <c r="N250" i="57"/>
  <c r="AG249" i="57"/>
  <c r="Y249" i="57"/>
  <c r="AA249" i="57" l="1"/>
  <c r="AB249" i="57" s="1"/>
  <c r="T249" i="57"/>
  <c r="O249" i="57"/>
  <c r="N249" i="57"/>
  <c r="AG248" i="57"/>
  <c r="Y248" i="57"/>
  <c r="AA248" i="57" l="1"/>
  <c r="AB248" i="57" s="1"/>
  <c r="Q248" i="57"/>
  <c r="T248" i="57" s="1"/>
  <c r="O248" i="57"/>
  <c r="N248" i="57"/>
  <c r="AG247" i="57"/>
  <c r="Y247" i="57"/>
  <c r="AA247" i="57" l="1"/>
  <c r="AB247" i="57" s="1"/>
  <c r="Q247" i="57"/>
  <c r="T247" i="57" s="1"/>
  <c r="O247" i="57"/>
  <c r="N247" i="57"/>
  <c r="AG246" i="57"/>
  <c r="Y246" i="57"/>
  <c r="AA246" i="57" l="1"/>
  <c r="AB246" i="57" s="1"/>
  <c r="Q246" i="57"/>
  <c r="T246" i="57" s="1"/>
  <c r="O246" i="57"/>
  <c r="N246" i="57"/>
  <c r="AG245" i="57"/>
  <c r="Y245" i="57"/>
  <c r="AA245" i="57" l="1"/>
  <c r="AB245" i="57" s="1"/>
  <c r="Q245" i="57"/>
  <c r="T245" i="57" s="1"/>
  <c r="O245" i="57"/>
  <c r="N245" i="57"/>
  <c r="AG244" i="57"/>
  <c r="Y244" i="57"/>
  <c r="AA244" i="57" l="1"/>
  <c r="AB244" i="57" s="1"/>
  <c r="Q244" i="57"/>
  <c r="T244" i="57" s="1"/>
  <c r="O244" i="57"/>
  <c r="N244" i="57"/>
  <c r="AN243" i="57"/>
  <c r="AL243" i="57" s="1"/>
  <c r="AM243" i="57"/>
  <c r="AK243" i="57" s="1"/>
  <c r="AG243" i="57"/>
  <c r="Y243" i="57"/>
  <c r="AA243" i="57" l="1"/>
  <c r="AB243" i="57" s="1"/>
  <c r="T243" i="57"/>
  <c r="O243" i="57"/>
  <c r="N243" i="57"/>
  <c r="AM225" i="57"/>
  <c r="AN225" i="57"/>
  <c r="AL225" i="57" l="1"/>
  <c r="AK225" i="57"/>
  <c r="AM226" i="57"/>
  <c r="AN226" i="57"/>
  <c r="AL226" i="57" l="1"/>
  <c r="AK226" i="57"/>
  <c r="AM227" i="57"/>
  <c r="AN227" i="57"/>
  <c r="AL227" i="57" l="1"/>
  <c r="AK227" i="57"/>
  <c r="AM228" i="57"/>
  <c r="AN228" i="57"/>
  <c r="AL228" i="57" l="1"/>
  <c r="AK228" i="57"/>
  <c r="AM229" i="57"/>
  <c r="AN229" i="57"/>
  <c r="AL229" i="57" l="1"/>
  <c r="AK229" i="57"/>
  <c r="AM230" i="57"/>
  <c r="AN230" i="57"/>
  <c r="AL230" i="57" l="1"/>
  <c r="AK230" i="57"/>
  <c r="AM231" i="57"/>
  <c r="AN231" i="57"/>
  <c r="AL231" i="57" l="1"/>
  <c r="AK231" i="57"/>
  <c r="AM232" i="57"/>
  <c r="AN232" i="57"/>
  <c r="AL232" i="57" l="1"/>
  <c r="AK232" i="57"/>
  <c r="AM233" i="57"/>
  <c r="AN233" i="57"/>
  <c r="AL233" i="57" l="1"/>
  <c r="AK233" i="57"/>
  <c r="AM234" i="57"/>
  <c r="AN234" i="57"/>
  <c r="AL234" i="57" l="1"/>
  <c r="AK234" i="57"/>
  <c r="AM235" i="57"/>
  <c r="AN235" i="57"/>
  <c r="AL235" i="57" l="1"/>
  <c r="AK235" i="57"/>
  <c r="AM236" i="57"/>
  <c r="AN236" i="57"/>
  <c r="AL236" i="57" l="1"/>
  <c r="AK236" i="57"/>
  <c r="AM237" i="57"/>
  <c r="AN237" i="57"/>
  <c r="AL237" i="57" l="1"/>
  <c r="AK237" i="57"/>
  <c r="AM238" i="57"/>
  <c r="AN238" i="57"/>
  <c r="AL238" i="57" l="1"/>
  <c r="AK238" i="57"/>
  <c r="AM239" i="57"/>
  <c r="AN239" i="57"/>
  <c r="AL239" i="57" l="1"/>
  <c r="AK239" i="57"/>
  <c r="AM240" i="57"/>
  <c r="AN240" i="57"/>
  <c r="AL240" i="57" l="1"/>
  <c r="AK240" i="57"/>
  <c r="AG240" i="57"/>
  <c r="Y240" i="57"/>
  <c r="AA240" i="57" l="1"/>
  <c r="AB240" i="57" s="1"/>
  <c r="Q240" i="57"/>
  <c r="T240" i="57" s="1"/>
  <c r="O240" i="57"/>
  <c r="N240" i="57"/>
  <c r="AG239" i="57"/>
  <c r="Y239" i="57"/>
  <c r="AA239" i="57" l="1"/>
  <c r="AB239" i="57" s="1"/>
  <c r="Q239" i="57"/>
  <c r="T239" i="57" s="1"/>
  <c r="O239" i="57"/>
  <c r="N239" i="57"/>
  <c r="AG238" i="57"/>
  <c r="Y238" i="57"/>
  <c r="AA238" i="57" l="1"/>
  <c r="AB238" i="57" s="1"/>
  <c r="Q238" i="57"/>
  <c r="T238" i="57" s="1"/>
  <c r="O238" i="57"/>
  <c r="N238" i="57"/>
  <c r="AG237" i="57"/>
  <c r="Y237" i="57"/>
  <c r="AA237" i="57" l="1"/>
  <c r="AB237" i="57" s="1"/>
  <c r="Q237" i="57"/>
  <c r="T237" i="57" s="1"/>
  <c r="O237" i="57"/>
  <c r="N237" i="57"/>
  <c r="AG236" i="57"/>
  <c r="Y236" i="57"/>
  <c r="AA236" i="57" l="1"/>
  <c r="AB236" i="57" s="1"/>
  <c r="Q236" i="57"/>
  <c r="T236" i="57" s="1"/>
  <c r="O236" i="57"/>
  <c r="N236" i="57"/>
  <c r="AG235" i="57"/>
  <c r="Y235" i="57"/>
  <c r="AA235" i="57" l="1"/>
  <c r="AB235" i="57" s="1"/>
  <c r="Q235" i="57"/>
  <c r="T235" i="57" s="1"/>
  <c r="O235" i="57"/>
  <c r="N235" i="57"/>
  <c r="AG234" i="57"/>
  <c r="Y234" i="57"/>
  <c r="AA234" i="57" l="1"/>
  <c r="AB234" i="57" s="1"/>
  <c r="Q234" i="57"/>
  <c r="T234" i="57" s="1"/>
  <c r="O234" i="57"/>
  <c r="N234" i="57"/>
  <c r="AG233" i="57"/>
  <c r="Y233" i="57"/>
  <c r="AA233" i="57" l="1"/>
  <c r="AB233" i="57" s="1"/>
  <c r="Q233" i="57"/>
  <c r="T233" i="57" s="1"/>
  <c r="O233" i="57"/>
  <c r="N233" i="57"/>
  <c r="AG232" i="57"/>
  <c r="Y232" i="57"/>
  <c r="AA232" i="57" l="1"/>
  <c r="AB232" i="57" s="1"/>
  <c r="Q232" i="57"/>
  <c r="T232" i="57" s="1"/>
  <c r="O232" i="57"/>
  <c r="N232" i="57"/>
  <c r="AG231" i="57"/>
  <c r="Y231" i="57"/>
  <c r="AA231" i="57" l="1"/>
  <c r="AB231" i="57" s="1"/>
  <c r="Q231" i="57"/>
  <c r="T231" i="57" s="1"/>
  <c r="O231" i="57"/>
  <c r="N231" i="57"/>
  <c r="AG230" i="57"/>
  <c r="Y230" i="57"/>
  <c r="AA230" i="57" l="1"/>
  <c r="AB230" i="57" s="1"/>
  <c r="Q230" i="57"/>
  <c r="T230" i="57" s="1"/>
  <c r="O230" i="57"/>
  <c r="N230" i="57"/>
  <c r="AG229" i="57"/>
  <c r="Y229" i="57"/>
  <c r="AA229" i="57" l="1"/>
  <c r="AB229" i="57" s="1"/>
  <c r="Q229" i="57"/>
  <c r="T229" i="57" s="1"/>
  <c r="O229" i="57"/>
  <c r="N229" i="57"/>
  <c r="AG228" i="57"/>
  <c r="Y228" i="57"/>
  <c r="AA228" i="57" l="1"/>
  <c r="AB228" i="57" s="1"/>
  <c r="T228" i="57"/>
  <c r="O228" i="57"/>
  <c r="N228" i="57"/>
  <c r="AG227" i="57"/>
  <c r="Y227" i="57"/>
  <c r="AA227" i="57" l="1"/>
  <c r="AB227" i="57" s="1"/>
  <c r="T227" i="57"/>
  <c r="O227" i="57"/>
  <c r="N227" i="57"/>
  <c r="AG226" i="57"/>
  <c r="Y226" i="57"/>
  <c r="AA226" i="57" l="1"/>
  <c r="AB226" i="57" s="1"/>
  <c r="Q226" i="57"/>
  <c r="T226" i="57" s="1"/>
  <c r="O226" i="57"/>
  <c r="N226" i="57"/>
  <c r="AG225" i="57"/>
  <c r="Y225" i="57"/>
  <c r="AA225" i="57" l="1"/>
  <c r="AB225" i="57" s="1"/>
  <c r="T225" i="57"/>
  <c r="O225" i="57"/>
  <c r="N225" i="57"/>
  <c r="AN224" i="57"/>
  <c r="AL224" i="57" s="1"/>
  <c r="AM224" i="57"/>
  <c r="AK224" i="57" s="1"/>
  <c r="AG224" i="57"/>
  <c r="Y224" i="57"/>
  <c r="AA224" i="57" l="1"/>
  <c r="AB224" i="57" s="1"/>
  <c r="Q224" i="57"/>
  <c r="T224" i="57" s="1"/>
  <c r="O224" i="57"/>
  <c r="N224" i="57"/>
  <c r="AM168" i="57"/>
  <c r="AN168" i="57"/>
  <c r="AL168" i="57" l="1"/>
  <c r="AK168" i="57"/>
  <c r="AM169" i="57"/>
  <c r="AN169" i="57"/>
  <c r="AL169" i="57" l="1"/>
  <c r="AK169" i="57"/>
  <c r="AM170" i="57"/>
  <c r="AN170" i="57"/>
  <c r="AL170" i="57" l="1"/>
  <c r="AK170" i="57"/>
  <c r="AM171" i="57"/>
  <c r="AN171" i="57"/>
  <c r="AL171" i="57" l="1"/>
  <c r="AK171" i="57"/>
  <c r="AM172" i="57"/>
  <c r="AN172" i="57"/>
  <c r="AL172" i="57" l="1"/>
  <c r="AK172" i="57"/>
  <c r="AM173" i="57"/>
  <c r="AN173" i="57"/>
  <c r="AL173" i="57" l="1"/>
  <c r="AK173" i="57"/>
  <c r="AM174" i="57"/>
  <c r="AN174" i="57"/>
  <c r="AL174" i="57" l="1"/>
  <c r="AK174" i="57"/>
  <c r="AM175" i="57"/>
  <c r="AN175" i="57"/>
  <c r="AL175" i="57" l="1"/>
  <c r="AK175" i="57"/>
  <c r="AM176" i="57"/>
  <c r="AN176" i="57"/>
  <c r="AL176" i="57" l="1"/>
  <c r="AK176" i="57"/>
  <c r="AM177" i="57"/>
  <c r="AN177" i="57"/>
  <c r="AL177" i="57" l="1"/>
  <c r="AK177" i="57"/>
  <c r="AM178" i="57"/>
  <c r="AN178" i="57"/>
  <c r="AL178" i="57" l="1"/>
  <c r="AK178" i="57"/>
  <c r="AM179" i="57"/>
  <c r="AN179" i="57"/>
  <c r="AL179" i="57" l="1"/>
  <c r="AK179" i="57"/>
  <c r="AM180" i="57"/>
  <c r="AN180" i="57"/>
  <c r="AL180" i="57" l="1"/>
  <c r="AK180" i="57"/>
  <c r="AM181" i="57"/>
  <c r="AN181" i="57"/>
  <c r="AL181" i="57" l="1"/>
  <c r="AK181" i="57"/>
  <c r="AM182" i="57"/>
  <c r="AN182" i="57"/>
  <c r="AL182" i="57" l="1"/>
  <c r="AK182" i="57"/>
  <c r="AM183" i="57"/>
  <c r="AN183" i="57"/>
  <c r="AL183" i="57" l="1"/>
  <c r="AK183" i="57"/>
  <c r="AM184" i="57"/>
  <c r="AN184" i="57"/>
  <c r="AL184" i="57" l="1"/>
  <c r="AK184" i="57"/>
  <c r="AM185" i="57"/>
  <c r="AN185" i="57"/>
  <c r="AL185" i="57" l="1"/>
  <c r="AK185" i="57"/>
  <c r="AM186" i="57"/>
  <c r="AN186" i="57"/>
  <c r="AL186" i="57" l="1"/>
  <c r="AK186" i="57"/>
  <c r="AM187" i="57"/>
  <c r="AN187" i="57"/>
  <c r="AL187" i="57" l="1"/>
  <c r="AK187" i="57"/>
  <c r="AM188" i="57"/>
  <c r="AN188" i="57"/>
  <c r="AL188" i="57" l="1"/>
  <c r="AK188" i="57"/>
  <c r="AM189" i="57"/>
  <c r="AN189" i="57"/>
  <c r="AL189" i="57" l="1"/>
  <c r="AK189" i="57"/>
  <c r="AM190" i="57"/>
  <c r="AN190" i="57"/>
  <c r="AL190" i="57" l="1"/>
  <c r="AK190" i="57"/>
  <c r="AM191" i="57"/>
  <c r="AN191" i="57"/>
  <c r="AL191" i="57" l="1"/>
  <c r="AK191" i="57"/>
  <c r="AM192" i="57"/>
  <c r="AN192" i="57"/>
  <c r="AL192" i="57" l="1"/>
  <c r="AK192" i="57"/>
  <c r="AM193" i="57"/>
  <c r="AN193" i="57"/>
  <c r="AL193" i="57" l="1"/>
  <c r="AK193" i="57"/>
  <c r="AM194" i="57"/>
  <c r="AN194" i="57"/>
  <c r="AL194" i="57" l="1"/>
  <c r="AK194" i="57"/>
  <c r="AM195" i="57"/>
  <c r="AN195" i="57"/>
  <c r="AL195" i="57" l="1"/>
  <c r="AK195" i="57"/>
  <c r="AM196" i="57"/>
  <c r="AN196" i="57"/>
  <c r="AL196" i="57" l="1"/>
  <c r="AK196" i="57"/>
  <c r="AM197" i="57"/>
  <c r="AN197" i="57"/>
  <c r="AL197" i="57" l="1"/>
  <c r="AK197" i="57"/>
  <c r="AM198" i="57"/>
  <c r="AN198" i="57"/>
  <c r="AL198" i="57" l="1"/>
  <c r="AK198" i="57"/>
  <c r="AM199" i="57"/>
  <c r="AN199" i="57"/>
  <c r="AL199" i="57" l="1"/>
  <c r="AK199" i="57"/>
  <c r="AM200" i="57"/>
  <c r="AN200" i="57"/>
  <c r="AL200" i="57" l="1"/>
  <c r="AK200" i="57"/>
  <c r="AM201" i="57"/>
  <c r="AN201" i="57"/>
  <c r="AL201" i="57" l="1"/>
  <c r="AK201" i="57"/>
  <c r="AM202" i="57"/>
  <c r="AN202" i="57"/>
  <c r="AL202" i="57" l="1"/>
  <c r="AK202" i="57"/>
  <c r="AM203" i="57"/>
  <c r="AN203" i="57"/>
  <c r="AL203" i="57" l="1"/>
  <c r="AK203" i="57"/>
  <c r="AM204" i="57"/>
  <c r="AN204" i="57"/>
  <c r="AL204" i="57" l="1"/>
  <c r="AK204" i="57"/>
  <c r="AM205" i="57"/>
  <c r="AN205" i="57"/>
  <c r="AL205" i="57" l="1"/>
  <c r="AK205" i="57"/>
  <c r="AM206" i="57"/>
  <c r="AN206" i="57"/>
  <c r="AL206" i="57" l="1"/>
  <c r="AK206" i="57"/>
  <c r="AM207" i="57"/>
  <c r="AN207" i="57"/>
  <c r="AL207" i="57" l="1"/>
  <c r="AK207" i="57"/>
  <c r="AM208" i="57"/>
  <c r="AN208" i="57"/>
  <c r="AL208" i="57" l="1"/>
  <c r="AK208" i="57"/>
  <c r="AM209" i="57"/>
  <c r="AN209" i="57"/>
  <c r="AL209" i="57" l="1"/>
  <c r="AK209" i="57"/>
  <c r="AM210" i="57"/>
  <c r="AN210" i="57"/>
  <c r="AL210" i="57" l="1"/>
  <c r="AK210" i="57"/>
  <c r="AM211" i="57"/>
  <c r="AN211" i="57"/>
  <c r="AL211" i="57" l="1"/>
  <c r="AK211" i="57"/>
  <c r="AM212" i="57"/>
  <c r="AN212" i="57"/>
  <c r="AL212" i="57" l="1"/>
  <c r="AK212" i="57"/>
  <c r="AM213" i="57"/>
  <c r="AN213" i="57"/>
  <c r="AL213" i="57" l="1"/>
  <c r="AK213" i="57"/>
  <c r="AM214" i="57"/>
  <c r="AN214" i="57"/>
  <c r="AL214" i="57" l="1"/>
  <c r="AK214" i="57"/>
  <c r="AM215" i="57"/>
  <c r="AN215" i="57"/>
  <c r="AL215" i="57" l="1"/>
  <c r="AK215" i="57"/>
  <c r="AM216" i="57"/>
  <c r="AN216" i="57"/>
  <c r="AL216" i="57" l="1"/>
  <c r="AK216" i="57"/>
  <c r="AM217" i="57"/>
  <c r="AN217" i="57"/>
  <c r="AL217" i="57" l="1"/>
  <c r="AK217" i="57"/>
  <c r="AM218" i="57"/>
  <c r="AN218" i="57"/>
  <c r="AL218" i="57" l="1"/>
  <c r="AK218" i="57"/>
  <c r="AM219" i="57"/>
  <c r="AN219" i="57"/>
  <c r="AL219" i="57" l="1"/>
  <c r="AK219" i="57"/>
  <c r="AM220" i="57"/>
  <c r="AN220" i="57"/>
  <c r="AL220" i="57" l="1"/>
  <c r="AK220" i="57"/>
  <c r="AM221" i="57"/>
  <c r="AN221" i="57"/>
  <c r="AM131" i="57"/>
  <c r="AN131" i="57"/>
  <c r="AL221" i="57" l="1"/>
  <c r="AK221" i="57"/>
  <c r="AL131" i="57"/>
  <c r="AK131" i="57"/>
  <c r="AM132" i="57"/>
  <c r="AN132" i="57"/>
  <c r="AL132" i="57" l="1"/>
  <c r="AK132" i="57"/>
  <c r="AM133" i="57"/>
  <c r="AN133" i="57"/>
  <c r="AL133" i="57" l="1"/>
  <c r="AK133" i="57"/>
  <c r="AM134" i="57"/>
  <c r="AN134" i="57"/>
  <c r="AL134" i="57" l="1"/>
  <c r="AK134" i="57"/>
  <c r="AM135" i="57"/>
  <c r="AN135" i="57"/>
  <c r="AL135" i="57" l="1"/>
  <c r="AK135" i="57"/>
  <c r="AM136" i="57"/>
  <c r="AN136" i="57"/>
  <c r="AL136" i="57" l="1"/>
  <c r="AK136" i="57"/>
  <c r="AM137" i="57"/>
  <c r="AN137" i="57"/>
  <c r="AL137" i="57" l="1"/>
  <c r="AK137" i="57"/>
  <c r="AM138" i="57"/>
  <c r="AN138" i="57"/>
  <c r="AL138" i="57" l="1"/>
  <c r="AK138" i="57"/>
  <c r="AM139" i="57"/>
  <c r="AN139" i="57"/>
  <c r="AL139" i="57" l="1"/>
  <c r="AK139" i="57"/>
  <c r="AM140" i="57"/>
  <c r="AN140" i="57"/>
  <c r="AL140" i="57" l="1"/>
  <c r="AK140" i="57"/>
  <c r="AM141" i="57"/>
  <c r="AN141" i="57"/>
  <c r="AL141" i="57" l="1"/>
  <c r="AK141" i="57"/>
  <c r="AM142" i="57"/>
  <c r="AN142" i="57"/>
  <c r="AL142" i="57" l="1"/>
  <c r="AK142" i="57"/>
  <c r="AM143" i="57"/>
  <c r="AN143" i="57"/>
  <c r="AL143" i="57" l="1"/>
  <c r="AK143" i="57"/>
  <c r="AM144" i="57"/>
  <c r="AN144" i="57"/>
  <c r="AL144" i="57" l="1"/>
  <c r="AK144" i="57"/>
  <c r="AM145" i="57"/>
  <c r="AN145" i="57"/>
  <c r="AL145" i="57" l="1"/>
  <c r="AK145" i="57"/>
  <c r="AM146" i="57"/>
  <c r="AN146" i="57"/>
  <c r="AL146" i="57" l="1"/>
  <c r="AK146" i="57"/>
  <c r="AM147" i="57"/>
  <c r="AN147" i="57"/>
  <c r="AL147" i="57" l="1"/>
  <c r="AK147" i="57"/>
  <c r="AM148" i="57"/>
  <c r="AN148" i="57"/>
  <c r="AL148" i="57" l="1"/>
  <c r="AK148" i="57"/>
  <c r="AM149" i="57"/>
  <c r="AN149" i="57"/>
  <c r="AL149" i="57" l="1"/>
  <c r="AK149" i="57"/>
  <c r="AM150" i="57"/>
  <c r="AN150" i="57"/>
  <c r="AL150" i="57" l="1"/>
  <c r="AK150" i="57"/>
  <c r="AM151" i="57"/>
  <c r="AN151" i="57"/>
  <c r="AL151" i="57" l="1"/>
  <c r="AK151" i="57"/>
  <c r="AM152" i="57"/>
  <c r="AN152" i="57"/>
  <c r="AL152" i="57" l="1"/>
  <c r="AK152" i="57"/>
  <c r="AM153" i="57"/>
  <c r="AN153" i="57"/>
  <c r="AL153" i="57" l="1"/>
  <c r="AK153" i="57"/>
  <c r="AM154" i="57"/>
  <c r="AN154" i="57"/>
  <c r="AL154" i="57" l="1"/>
  <c r="AK154" i="57"/>
  <c r="AM155" i="57"/>
  <c r="AN155" i="57"/>
  <c r="AL155" i="57" l="1"/>
  <c r="AK155" i="57"/>
  <c r="AM156" i="57"/>
  <c r="AN156" i="57"/>
  <c r="AL156" i="57" l="1"/>
  <c r="AK156" i="57"/>
  <c r="AM157" i="57"/>
  <c r="AN157" i="57"/>
  <c r="AL157" i="57" l="1"/>
  <c r="AK157" i="57"/>
  <c r="AM158" i="57"/>
  <c r="AN158" i="57"/>
  <c r="AL158" i="57" l="1"/>
  <c r="AK158" i="57"/>
  <c r="AM159" i="57"/>
  <c r="AN159" i="57"/>
  <c r="AL159" i="57" l="1"/>
  <c r="AK159" i="57"/>
  <c r="AM160" i="57"/>
  <c r="AN160" i="57"/>
  <c r="AL160" i="57" l="1"/>
  <c r="AK160" i="57"/>
  <c r="AM161" i="57"/>
  <c r="AN161" i="57"/>
  <c r="AL161" i="57" l="1"/>
  <c r="AK161" i="57"/>
  <c r="AM162" i="57"/>
  <c r="AN162" i="57"/>
  <c r="AL162" i="57" l="1"/>
  <c r="AK162" i="57"/>
  <c r="AM163" i="57"/>
  <c r="AN163" i="57"/>
  <c r="AL163" i="57" l="1"/>
  <c r="AK163" i="57"/>
  <c r="AM164" i="57"/>
  <c r="AN164" i="57"/>
  <c r="AL164" i="57" l="1"/>
  <c r="AK164" i="57"/>
  <c r="AM165" i="57"/>
  <c r="AN165" i="57"/>
  <c r="AL165" i="57" l="1"/>
  <c r="AK165" i="57"/>
  <c r="AM166" i="57"/>
  <c r="AN166" i="57"/>
  <c r="AL166" i="57" l="1"/>
  <c r="AK166" i="57"/>
  <c r="AM167" i="57"/>
  <c r="AN167" i="57"/>
  <c r="AL167" i="57" l="1"/>
  <c r="AK167" i="57"/>
  <c r="AG221" i="57"/>
  <c r="Y221" i="57"/>
  <c r="AA221" i="57" l="1"/>
  <c r="AB221" i="57" s="1"/>
  <c r="Q221" i="57"/>
  <c r="T221" i="57" s="1"/>
  <c r="O221" i="57"/>
  <c r="N221" i="57"/>
  <c r="AG220" i="57"/>
  <c r="Y220" i="57"/>
  <c r="AA220" i="57" l="1"/>
  <c r="AB220" i="57" s="1"/>
  <c r="Q220" i="57"/>
  <c r="T220" i="57" s="1"/>
  <c r="O220" i="57"/>
  <c r="N220" i="57"/>
  <c r="AG219" i="57"/>
  <c r="Y219" i="57"/>
  <c r="AA219" i="57" l="1"/>
  <c r="AB219" i="57" s="1"/>
  <c r="Q219" i="57"/>
  <c r="T219" i="57" s="1"/>
  <c r="O219" i="57"/>
  <c r="N219" i="57"/>
  <c r="AG218" i="57"/>
  <c r="Y218" i="57"/>
  <c r="AA218" i="57" l="1"/>
  <c r="AB218" i="57" s="1"/>
  <c r="Q218" i="57"/>
  <c r="T218" i="57" s="1"/>
  <c r="O218" i="57"/>
  <c r="N218" i="57"/>
  <c r="AG217" i="57"/>
  <c r="Y217" i="57"/>
  <c r="AA217" i="57" l="1"/>
  <c r="AB217" i="57" s="1"/>
  <c r="Q217" i="57"/>
  <c r="T217" i="57" s="1"/>
  <c r="O217" i="57"/>
  <c r="N217" i="57"/>
  <c r="AG216" i="57"/>
  <c r="Y216" i="57"/>
  <c r="AA216" i="57" l="1"/>
  <c r="AB216" i="57" s="1"/>
  <c r="Q216" i="57"/>
  <c r="T216" i="57" s="1"/>
  <c r="O216" i="57"/>
  <c r="N216" i="57"/>
  <c r="AG215" i="57"/>
  <c r="Y215" i="57"/>
  <c r="AA215" i="57" l="1"/>
  <c r="AB215" i="57" s="1"/>
  <c r="Q215" i="57"/>
  <c r="T215" i="57" s="1"/>
  <c r="O215" i="57"/>
  <c r="N215" i="57"/>
  <c r="AG214" i="57"/>
  <c r="Y214" i="57"/>
  <c r="AA214" i="57" l="1"/>
  <c r="AB214" i="57" s="1"/>
  <c r="Q214" i="57"/>
  <c r="T214" i="57" s="1"/>
  <c r="O214" i="57"/>
  <c r="N214" i="57"/>
  <c r="AG213" i="57"/>
  <c r="Y213" i="57"/>
  <c r="AA213" i="57" l="1"/>
  <c r="AB213" i="57" s="1"/>
  <c r="Q213" i="57"/>
  <c r="T213" i="57" s="1"/>
  <c r="O213" i="57"/>
  <c r="N213" i="57"/>
  <c r="AG212" i="57"/>
  <c r="Y212" i="57"/>
  <c r="AA212" i="57" l="1"/>
  <c r="AB212" i="57" s="1"/>
  <c r="Q212" i="57"/>
  <c r="T212" i="57" s="1"/>
  <c r="O212" i="57"/>
  <c r="N212" i="57"/>
  <c r="AG211" i="57"/>
  <c r="Y211" i="57"/>
  <c r="AA211" i="57" l="1"/>
  <c r="AB211" i="57" s="1"/>
  <c r="Q211" i="57"/>
  <c r="T211" i="57" s="1"/>
  <c r="O211" i="57"/>
  <c r="N211" i="57"/>
  <c r="AG210" i="57"/>
  <c r="Y210" i="57"/>
  <c r="AA210" i="57" l="1"/>
  <c r="AB210" i="57" s="1"/>
  <c r="Q210" i="57"/>
  <c r="T210" i="57" s="1"/>
  <c r="O210" i="57"/>
  <c r="N210" i="57"/>
  <c r="AG209" i="57"/>
  <c r="Y209" i="57"/>
  <c r="AA209" i="57" l="1"/>
  <c r="AB209" i="57" s="1"/>
  <c r="Q209" i="57"/>
  <c r="T209" i="57" s="1"/>
  <c r="O209" i="57"/>
  <c r="N209" i="57"/>
  <c r="AG208" i="57"/>
  <c r="Y208" i="57"/>
  <c r="AA208" i="57" l="1"/>
  <c r="AB208" i="57" s="1"/>
  <c r="Q208" i="57"/>
  <c r="T208" i="57" s="1"/>
  <c r="O208" i="57"/>
  <c r="N208" i="57"/>
  <c r="AG207" i="57"/>
  <c r="Y207" i="57"/>
  <c r="AA207" i="57" l="1"/>
  <c r="AB207" i="57" s="1"/>
  <c r="Q207" i="57"/>
  <c r="T207" i="57" s="1"/>
  <c r="O207" i="57"/>
  <c r="N207" i="57"/>
  <c r="AG206" i="57"/>
  <c r="Y206" i="57"/>
  <c r="AA206" i="57" l="1"/>
  <c r="AB206" i="57" s="1"/>
  <c r="Q206" i="57"/>
  <c r="T206" i="57" s="1"/>
  <c r="O206" i="57"/>
  <c r="N206" i="57"/>
  <c r="AG205" i="57"/>
  <c r="Y205" i="57"/>
  <c r="AA205" i="57" l="1"/>
  <c r="AB205" i="57" s="1"/>
  <c r="Q205" i="57"/>
  <c r="T205" i="57" s="1"/>
  <c r="O205" i="57"/>
  <c r="N205" i="57"/>
  <c r="AG204" i="57"/>
  <c r="Y204" i="57"/>
  <c r="AA204" i="57" l="1"/>
  <c r="AB204" i="57" s="1"/>
  <c r="Q204" i="57"/>
  <c r="T204" i="57" s="1"/>
  <c r="O204" i="57"/>
  <c r="N204" i="57"/>
  <c r="AG203" i="57"/>
  <c r="Y203" i="57"/>
  <c r="AA203" i="57" l="1"/>
  <c r="AB203" i="57" s="1"/>
  <c r="Q203" i="57"/>
  <c r="T203" i="57" s="1"/>
  <c r="O203" i="57"/>
  <c r="N203" i="57"/>
  <c r="AG202" i="57"/>
  <c r="Y202" i="57"/>
  <c r="AA202" i="57" l="1"/>
  <c r="AB202" i="57" s="1"/>
  <c r="Q202" i="57"/>
  <c r="T202" i="57" s="1"/>
  <c r="O202" i="57"/>
  <c r="N202" i="57"/>
  <c r="AG201" i="57"/>
  <c r="Y201" i="57"/>
  <c r="AA201" i="57" l="1"/>
  <c r="AB201" i="57" s="1"/>
  <c r="Q201" i="57"/>
  <c r="T201" i="57" s="1"/>
  <c r="O201" i="57"/>
  <c r="N201" i="57"/>
  <c r="AG200" i="57"/>
  <c r="Y200" i="57"/>
  <c r="AA200" i="57" l="1"/>
  <c r="AB200" i="57" s="1"/>
  <c r="Q200" i="57"/>
  <c r="T200" i="57" s="1"/>
  <c r="O200" i="57"/>
  <c r="N200" i="57"/>
  <c r="AG199" i="57"/>
  <c r="Y199" i="57"/>
  <c r="AA199" i="57" l="1"/>
  <c r="AB199" i="57" s="1"/>
  <c r="Q199" i="57"/>
  <c r="T199" i="57" s="1"/>
  <c r="O199" i="57"/>
  <c r="N199" i="57"/>
  <c r="AG198" i="57"/>
  <c r="Y198" i="57"/>
  <c r="AA198" i="57" l="1"/>
  <c r="AB198" i="57" s="1"/>
  <c r="Q198" i="57"/>
  <c r="T198" i="57" s="1"/>
  <c r="O198" i="57"/>
  <c r="N198" i="57"/>
  <c r="AG197" i="57"/>
  <c r="Y197" i="57"/>
  <c r="AA197" i="57" l="1"/>
  <c r="AB197" i="57" s="1"/>
  <c r="Q197" i="57"/>
  <c r="T197" i="57" s="1"/>
  <c r="O197" i="57"/>
  <c r="N197" i="57"/>
  <c r="AG196" i="57"/>
  <c r="Y196" i="57"/>
  <c r="AA196" i="57" l="1"/>
  <c r="AB196" i="57" s="1"/>
  <c r="Q196" i="57"/>
  <c r="T196" i="57" s="1"/>
  <c r="O196" i="57"/>
  <c r="N196" i="57"/>
  <c r="AG195" i="57"/>
  <c r="Y195" i="57"/>
  <c r="AA195" i="57" l="1"/>
  <c r="AB195" i="57" s="1"/>
  <c r="Q195" i="57"/>
  <c r="T195" i="57" s="1"/>
  <c r="O195" i="57"/>
  <c r="N195" i="57"/>
  <c r="AG194" i="57"/>
  <c r="Y194" i="57"/>
  <c r="AA194" i="57" l="1"/>
  <c r="AB194" i="57" s="1"/>
  <c r="Q194" i="57"/>
  <c r="T194" i="57" s="1"/>
  <c r="O194" i="57"/>
  <c r="N194" i="57"/>
  <c r="AG193" i="57"/>
  <c r="Y193" i="57"/>
  <c r="AA193" i="57" l="1"/>
  <c r="AB193" i="57" s="1"/>
  <c r="Q193" i="57"/>
  <c r="T193" i="57" s="1"/>
  <c r="O193" i="57"/>
  <c r="N193" i="57"/>
  <c r="AG192" i="57"/>
  <c r="Y192" i="57"/>
  <c r="AA192" i="57" l="1"/>
  <c r="AB192" i="57" s="1"/>
  <c r="T192" i="57"/>
  <c r="O192" i="57"/>
  <c r="N192" i="57"/>
  <c r="AG191" i="57"/>
  <c r="Y191" i="57"/>
  <c r="AA191" i="57" l="1"/>
  <c r="AB191" i="57" s="1"/>
  <c r="Q191" i="57"/>
  <c r="T191" i="57" s="1"/>
  <c r="O191" i="57"/>
  <c r="N191" i="57"/>
  <c r="AG190" i="57"/>
  <c r="Y190" i="57"/>
  <c r="AA190" i="57" l="1"/>
  <c r="AB190" i="57" s="1"/>
  <c r="Q190" i="57"/>
  <c r="T190" i="57" s="1"/>
  <c r="O190" i="57"/>
  <c r="N190" i="57"/>
  <c r="AG189" i="57"/>
  <c r="Y189" i="57"/>
  <c r="AA189" i="57" l="1"/>
  <c r="AB189" i="57" s="1"/>
  <c r="Q189" i="57"/>
  <c r="T189" i="57" s="1"/>
  <c r="O189" i="57"/>
  <c r="N189" i="57"/>
  <c r="AG188" i="57"/>
  <c r="Y188" i="57"/>
  <c r="AA188" i="57" l="1"/>
  <c r="AB188" i="57" s="1"/>
  <c r="Q188" i="57"/>
  <c r="T188" i="57" s="1"/>
  <c r="O188" i="57"/>
  <c r="N188" i="57"/>
  <c r="AG187" i="57"/>
  <c r="Y187" i="57"/>
  <c r="AA187" i="57" l="1"/>
  <c r="AB187" i="57" s="1"/>
  <c r="Q187" i="57"/>
  <c r="T187" i="57" s="1"/>
  <c r="O187" i="57"/>
  <c r="N187" i="57"/>
  <c r="AG186" i="57"/>
  <c r="Y186" i="57"/>
  <c r="AA186" i="57" l="1"/>
  <c r="AB186" i="57" s="1"/>
  <c r="Q186" i="57"/>
  <c r="T186" i="57" s="1"/>
  <c r="O186" i="57"/>
  <c r="N186" i="57"/>
  <c r="AG185" i="57"/>
  <c r="Y185" i="57"/>
  <c r="AA185" i="57" l="1"/>
  <c r="AB185" i="57" s="1"/>
  <c r="Q185" i="57"/>
  <c r="T185" i="57" s="1"/>
  <c r="O185" i="57"/>
  <c r="N185" i="57"/>
  <c r="AG184" i="57"/>
  <c r="Y184" i="57"/>
  <c r="AA184" i="57" l="1"/>
  <c r="AB184" i="57" s="1"/>
  <c r="Q184" i="57"/>
  <c r="T184" i="57" s="1"/>
  <c r="O184" i="57"/>
  <c r="N184" i="57"/>
  <c r="AG183" i="57"/>
  <c r="Y183" i="57"/>
  <c r="AA183" i="57" l="1"/>
  <c r="AB183" i="57" s="1"/>
  <c r="Q183" i="57"/>
  <c r="T183" i="57" s="1"/>
  <c r="O183" i="57"/>
  <c r="N183" i="57"/>
  <c r="AG182" i="57"/>
  <c r="Y182" i="57"/>
  <c r="AA182" i="57" l="1"/>
  <c r="AB182" i="57" s="1"/>
  <c r="Q182" i="57"/>
  <c r="T182" i="57" s="1"/>
  <c r="O182" i="57"/>
  <c r="N182" i="57"/>
  <c r="AG181" i="57"/>
  <c r="Y181" i="57"/>
  <c r="AA181" i="57" l="1"/>
  <c r="AB181" i="57" s="1"/>
  <c r="Q181" i="57"/>
  <c r="T181" i="57" s="1"/>
  <c r="O181" i="57"/>
  <c r="N181" i="57"/>
  <c r="AG180" i="57"/>
  <c r="Y180" i="57"/>
  <c r="AA180" i="57" l="1"/>
  <c r="AB180" i="57" s="1"/>
  <c r="Q180" i="57"/>
  <c r="T180" i="57" s="1"/>
  <c r="O180" i="57"/>
  <c r="N180" i="57"/>
  <c r="AG179" i="57"/>
  <c r="Y179" i="57"/>
  <c r="AA179" i="57" l="1"/>
  <c r="AB179" i="57" s="1"/>
  <c r="Q179" i="57"/>
  <c r="T179" i="57" s="1"/>
  <c r="O179" i="57"/>
  <c r="N179" i="57"/>
  <c r="AG178" i="57"/>
  <c r="Y178" i="57"/>
  <c r="AA178" i="57" l="1"/>
  <c r="AB178" i="57" s="1"/>
  <c r="Q178" i="57"/>
  <c r="T178" i="57" s="1"/>
  <c r="O178" i="57"/>
  <c r="N178" i="57"/>
  <c r="AG177" i="57"/>
  <c r="Y177" i="57"/>
  <c r="AA177" i="57" l="1"/>
  <c r="AB177" i="57" s="1"/>
  <c r="Q177" i="57"/>
  <c r="T177" i="57" s="1"/>
  <c r="O177" i="57"/>
  <c r="N177" i="57"/>
  <c r="AG176" i="57"/>
  <c r="Y176" i="57"/>
  <c r="AA176" i="57" l="1"/>
  <c r="AB176" i="57" s="1"/>
  <c r="Q176" i="57"/>
  <c r="T176" i="57" s="1"/>
  <c r="O176" i="57"/>
  <c r="N176" i="57"/>
  <c r="AG175" i="57"/>
  <c r="Y175" i="57"/>
  <c r="AA175" i="57" l="1"/>
  <c r="AB175" i="57" s="1"/>
  <c r="Q175" i="57"/>
  <c r="T175" i="57" s="1"/>
  <c r="O175" i="57"/>
  <c r="N175" i="57"/>
  <c r="AG174" i="57"/>
  <c r="Y174" i="57"/>
  <c r="AA174" i="57" l="1"/>
  <c r="AB174" i="57" s="1"/>
  <c r="Q174" i="57"/>
  <c r="T174" i="57" s="1"/>
  <c r="O174" i="57"/>
  <c r="N174" i="57"/>
  <c r="AG173" i="57"/>
  <c r="Y173" i="57"/>
  <c r="AA173" i="57" l="1"/>
  <c r="AB173" i="57" s="1"/>
  <c r="Q173" i="57"/>
  <c r="T173" i="57" s="1"/>
  <c r="O173" i="57"/>
  <c r="N173" i="57"/>
  <c r="AG172" i="57"/>
  <c r="Y172" i="57"/>
  <c r="AA172" i="57" l="1"/>
  <c r="AB172" i="57" s="1"/>
  <c r="T172" i="57"/>
  <c r="O172" i="57"/>
  <c r="N172" i="57"/>
  <c r="AG171" i="57"/>
  <c r="Y171" i="57"/>
  <c r="AA171" i="57" l="1"/>
  <c r="AB171" i="57" s="1"/>
  <c r="Q171" i="57"/>
  <c r="T171" i="57" s="1"/>
  <c r="O171" i="57"/>
  <c r="N171" i="57"/>
  <c r="AG170" i="57"/>
  <c r="Y170" i="57"/>
  <c r="AA170" i="57" l="1"/>
  <c r="AB170" i="57" s="1"/>
  <c r="Q170" i="57"/>
  <c r="T170" i="57" s="1"/>
  <c r="O170" i="57"/>
  <c r="N170" i="57"/>
  <c r="AG169" i="57"/>
  <c r="Y169" i="57"/>
  <c r="AA169" i="57" l="1"/>
  <c r="AB169" i="57" s="1"/>
  <c r="Q169" i="57"/>
  <c r="T169" i="57" s="1"/>
  <c r="O169" i="57"/>
  <c r="N169" i="57"/>
  <c r="AG168" i="57"/>
  <c r="Y168" i="57"/>
  <c r="AA168" i="57" l="1"/>
  <c r="AB168" i="57" s="1"/>
  <c r="Q168" i="57"/>
  <c r="T168" i="57" s="1"/>
  <c r="O168" i="57"/>
  <c r="N168" i="57"/>
  <c r="AG167" i="57"/>
  <c r="Y167" i="57"/>
  <c r="AA167" i="57" l="1"/>
  <c r="AB167" i="57" s="1"/>
  <c r="Q167" i="57"/>
  <c r="T167" i="57" s="1"/>
  <c r="O167" i="57"/>
  <c r="N167" i="57"/>
  <c r="AG166" i="57"/>
  <c r="Y166" i="57"/>
  <c r="AA166" i="57" l="1"/>
  <c r="AB166" i="57" s="1"/>
  <c r="Q166" i="57"/>
  <c r="T166" i="57" s="1"/>
  <c r="O166" i="57"/>
  <c r="N166" i="57"/>
  <c r="AG165" i="57"/>
  <c r="Y165" i="57"/>
  <c r="AA165" i="57" l="1"/>
  <c r="AB165" i="57" s="1"/>
  <c r="Q165" i="57"/>
  <c r="T165" i="57" s="1"/>
  <c r="O165" i="57"/>
  <c r="N165" i="57"/>
  <c r="AG164" i="57"/>
  <c r="Y164" i="57"/>
  <c r="AA164" i="57" l="1"/>
  <c r="AB164" i="57" s="1"/>
  <c r="Q164" i="57"/>
  <c r="T164" i="57" s="1"/>
  <c r="O164" i="57"/>
  <c r="N164" i="57"/>
  <c r="AG163" i="57"/>
  <c r="Y163" i="57"/>
  <c r="AA163" i="57" l="1"/>
  <c r="AB163" i="57" s="1"/>
  <c r="T163" i="57"/>
  <c r="O163" i="57"/>
  <c r="N163" i="57"/>
  <c r="AG162" i="57"/>
  <c r="Y162" i="57"/>
  <c r="AA162" i="57" l="1"/>
  <c r="AB162" i="57" s="1"/>
  <c r="Q162" i="57"/>
  <c r="T162" i="57" s="1"/>
  <c r="O162" i="57"/>
  <c r="N162" i="57"/>
  <c r="AG161" i="57"/>
  <c r="Y161" i="57"/>
  <c r="AA161" i="57" l="1"/>
  <c r="AB161" i="57" s="1"/>
  <c r="Q161" i="57"/>
  <c r="T161" i="57" s="1"/>
  <c r="O161" i="57"/>
  <c r="N161" i="57"/>
  <c r="AG160" i="57"/>
  <c r="Y160" i="57"/>
  <c r="AA160" i="57" l="1"/>
  <c r="AB160" i="57" s="1"/>
  <c r="Q160" i="57"/>
  <c r="T160" i="57" s="1"/>
  <c r="O160" i="57"/>
  <c r="N160" i="57"/>
  <c r="AG159" i="57"/>
  <c r="Y159" i="57"/>
  <c r="AA159" i="57" l="1"/>
  <c r="AB159" i="57" s="1"/>
  <c r="T159" i="57"/>
  <c r="O159" i="57"/>
  <c r="N159" i="57"/>
  <c r="AG158" i="57"/>
  <c r="Y158" i="57"/>
  <c r="AA158" i="57" l="1"/>
  <c r="AB158" i="57" s="1"/>
  <c r="Q158" i="57"/>
  <c r="T158" i="57" s="1"/>
  <c r="O158" i="57"/>
  <c r="N158" i="57"/>
  <c r="AG157" i="57"/>
  <c r="Y157" i="57"/>
  <c r="AA157" i="57" l="1"/>
  <c r="AB157" i="57" s="1"/>
  <c r="Q157" i="57"/>
  <c r="T157" i="57" s="1"/>
  <c r="O157" i="57"/>
  <c r="N157" i="57"/>
  <c r="AG156" i="57"/>
  <c r="Y156" i="57"/>
  <c r="AA156" i="57" l="1"/>
  <c r="AB156" i="57" s="1"/>
  <c r="Q156" i="57"/>
  <c r="T156" i="57" s="1"/>
  <c r="O156" i="57"/>
  <c r="N156" i="57"/>
  <c r="AG155" i="57"/>
  <c r="Y155" i="57"/>
  <c r="AA155" i="57" l="1"/>
  <c r="AB155" i="57" s="1"/>
  <c r="Q155" i="57"/>
  <c r="T155" i="57" s="1"/>
  <c r="O155" i="57"/>
  <c r="N155" i="57"/>
  <c r="AG154" i="57"/>
  <c r="Y154" i="57"/>
  <c r="AA154" i="57" l="1"/>
  <c r="AB154" i="57" s="1"/>
  <c r="Q154" i="57"/>
  <c r="T154" i="57" s="1"/>
  <c r="O154" i="57"/>
  <c r="N154" i="57"/>
  <c r="AG153" i="57"/>
  <c r="Y153" i="57"/>
  <c r="AA153" i="57" l="1"/>
  <c r="AB153" i="57" s="1"/>
  <c r="T153" i="57"/>
  <c r="O153" i="57"/>
  <c r="N153" i="57"/>
  <c r="AG152" i="57"/>
  <c r="Y152" i="57"/>
  <c r="AA152" i="57" l="1"/>
  <c r="AB152" i="57" s="1"/>
  <c r="Q152" i="57"/>
  <c r="T152" i="57" s="1"/>
  <c r="O152" i="57"/>
  <c r="N152" i="57"/>
  <c r="AG151" i="57"/>
  <c r="Y151" i="57"/>
  <c r="AA151" i="57" l="1"/>
  <c r="AB151" i="57" s="1"/>
  <c r="Q151" i="57"/>
  <c r="T151" i="57" s="1"/>
  <c r="O151" i="57"/>
  <c r="N151" i="57"/>
  <c r="AG150" i="57"/>
  <c r="Y150" i="57"/>
  <c r="AA150" i="57" l="1"/>
  <c r="AB150" i="57" s="1"/>
  <c r="Q150" i="57"/>
  <c r="T150" i="57" s="1"/>
  <c r="O150" i="57"/>
  <c r="N150" i="57"/>
  <c r="AG149" i="57"/>
  <c r="Y149" i="57"/>
  <c r="AA149" i="57" l="1"/>
  <c r="AB149" i="57" s="1"/>
  <c r="Q149" i="57"/>
  <c r="T149" i="57" s="1"/>
  <c r="O149" i="57"/>
  <c r="N149" i="57"/>
  <c r="AG148" i="57"/>
  <c r="Y148" i="57"/>
  <c r="AA148" i="57" l="1"/>
  <c r="AB148" i="57" s="1"/>
  <c r="Q148" i="57"/>
  <c r="T148" i="57" s="1"/>
  <c r="O148" i="57"/>
  <c r="N148" i="57"/>
  <c r="AG147" i="57"/>
  <c r="Y147" i="57"/>
  <c r="AA147" i="57" l="1"/>
  <c r="AB147" i="57" s="1"/>
  <c r="Q147" i="57"/>
  <c r="T147" i="57" s="1"/>
  <c r="O147" i="57"/>
  <c r="N147" i="57"/>
  <c r="AG146" i="57"/>
  <c r="Y146" i="57"/>
  <c r="AA146" i="57" l="1"/>
  <c r="AB146" i="57" s="1"/>
  <c r="Q146" i="57"/>
  <c r="T146" i="57" s="1"/>
  <c r="O146" i="57"/>
  <c r="N146" i="57"/>
  <c r="AG145" i="57"/>
  <c r="Y145" i="57"/>
  <c r="AA145" i="57" l="1"/>
  <c r="AB145" i="57" s="1"/>
  <c r="Q145" i="57"/>
  <c r="T145" i="57" s="1"/>
  <c r="O145" i="57"/>
  <c r="N145" i="57"/>
  <c r="AG144" i="57"/>
  <c r="Y144" i="57"/>
  <c r="AA144" i="57" l="1"/>
  <c r="AB144" i="57" s="1"/>
  <c r="Q144" i="57"/>
  <c r="T144" i="57" s="1"/>
  <c r="O144" i="57"/>
  <c r="N144" i="57"/>
  <c r="AG143" i="57"/>
  <c r="Y143" i="57"/>
  <c r="AA143" i="57" l="1"/>
  <c r="AB143" i="57" s="1"/>
  <c r="Q143" i="57"/>
  <c r="T143" i="57" s="1"/>
  <c r="O143" i="57"/>
  <c r="N143" i="57"/>
  <c r="AG142" i="57"/>
  <c r="Y142" i="57"/>
  <c r="AA142" i="57" l="1"/>
  <c r="AB142" i="57" s="1"/>
  <c r="Q142" i="57"/>
  <c r="T142" i="57" s="1"/>
  <c r="O142" i="57"/>
  <c r="N142" i="57"/>
  <c r="AG141" i="57"/>
  <c r="Y141" i="57"/>
  <c r="AA141" i="57" l="1"/>
  <c r="AB141" i="57" s="1"/>
  <c r="Q141" i="57"/>
  <c r="T141" i="57" s="1"/>
  <c r="O141" i="57"/>
  <c r="N141" i="57"/>
  <c r="AG140" i="57"/>
  <c r="Y140" i="57"/>
  <c r="AA140" i="57" l="1"/>
  <c r="AB140" i="57" s="1"/>
  <c r="Q140" i="57"/>
  <c r="T140" i="57" s="1"/>
  <c r="O140" i="57"/>
  <c r="N140" i="57"/>
  <c r="AG139" i="57"/>
  <c r="Y139" i="57"/>
  <c r="AA139" i="57" l="1"/>
  <c r="AB139" i="57" s="1"/>
  <c r="Q139" i="57"/>
  <c r="T139" i="57" s="1"/>
  <c r="O139" i="57"/>
  <c r="N139" i="57"/>
  <c r="AG138" i="57"/>
  <c r="Y138" i="57"/>
  <c r="AA138" i="57" l="1"/>
  <c r="AB138" i="57" s="1"/>
  <c r="Q138" i="57"/>
  <c r="T138" i="57" s="1"/>
  <c r="O138" i="57"/>
  <c r="N138" i="57"/>
  <c r="AG137" i="57"/>
  <c r="Y137" i="57"/>
  <c r="AA137" i="57" l="1"/>
  <c r="AB137" i="57" s="1"/>
  <c r="Q137" i="57"/>
  <c r="T137" i="57" s="1"/>
  <c r="O137" i="57"/>
  <c r="N137" i="57"/>
  <c r="AG136" i="57"/>
  <c r="Y136" i="57"/>
  <c r="AA136" i="57" l="1"/>
  <c r="AB136" i="57" s="1"/>
  <c r="T136" i="57"/>
  <c r="O136" i="57"/>
  <c r="N136" i="57"/>
  <c r="AG135" i="57"/>
  <c r="Y135" i="57"/>
  <c r="AA135" i="57" l="1"/>
  <c r="AB135" i="57" s="1"/>
  <c r="Q135" i="57"/>
  <c r="T135" i="57" s="1"/>
  <c r="O135" i="57"/>
  <c r="N135" i="57"/>
  <c r="AG134" i="57"/>
  <c r="Y134" i="57"/>
  <c r="AA134" i="57" l="1"/>
  <c r="AB134" i="57" s="1"/>
  <c r="T134" i="57"/>
  <c r="O134" i="57"/>
  <c r="N134" i="57"/>
  <c r="AG133" i="57"/>
  <c r="Y133" i="57"/>
  <c r="AA133" i="57" l="1"/>
  <c r="AB133" i="57" s="1"/>
  <c r="Q133" i="57"/>
  <c r="T133" i="57" s="1"/>
  <c r="O133" i="57"/>
  <c r="N133" i="57"/>
  <c r="AG132" i="57"/>
  <c r="Y132" i="57"/>
  <c r="AA132" i="57" l="1"/>
  <c r="AB132" i="57" s="1"/>
  <c r="Q132" i="57"/>
  <c r="T132" i="57" s="1"/>
  <c r="O132" i="57"/>
  <c r="N132" i="57"/>
  <c r="AG131" i="57"/>
  <c r="Y131" i="57"/>
  <c r="AA131" i="57" l="1"/>
  <c r="AB131" i="57" s="1"/>
  <c r="Q131" i="57"/>
  <c r="T131" i="57" s="1"/>
  <c r="O131" i="57"/>
  <c r="N131" i="57"/>
  <c r="AN130" i="57"/>
  <c r="AL130" i="57" s="1"/>
  <c r="AM130" i="57"/>
  <c r="AK130" i="57" s="1"/>
  <c r="AG130" i="57"/>
  <c r="Y130" i="57"/>
  <c r="AA130" i="57" l="1"/>
  <c r="AB130" i="57" s="1"/>
  <c r="Q130" i="57"/>
  <c r="T130" i="57" s="1"/>
  <c r="O130" i="57"/>
  <c r="N130" i="57"/>
  <c r="AM77" i="57"/>
  <c r="AN77" i="57"/>
  <c r="AL77" i="57" l="1"/>
  <c r="AK77" i="57"/>
  <c r="AM78" i="57"/>
  <c r="AN78" i="57"/>
  <c r="AL78" i="57" l="1"/>
  <c r="AK78" i="57"/>
  <c r="AM79" i="57"/>
  <c r="AN79" i="57"/>
  <c r="AL79" i="57" l="1"/>
  <c r="AK79" i="57"/>
  <c r="AM80" i="57"/>
  <c r="AN80" i="57"/>
  <c r="AL80" i="57" l="1"/>
  <c r="AK80" i="57"/>
  <c r="AM81" i="57"/>
  <c r="AN81" i="57"/>
  <c r="AL81" i="57" l="1"/>
  <c r="AK81" i="57"/>
  <c r="AM82" i="57"/>
  <c r="AN82" i="57"/>
  <c r="AL82" i="57" l="1"/>
  <c r="AK82" i="57"/>
  <c r="AM83" i="57"/>
  <c r="AN83" i="57"/>
  <c r="AL83" i="57" l="1"/>
  <c r="AK83" i="57"/>
  <c r="AM84" i="57"/>
  <c r="AN84" i="57"/>
  <c r="AL84" i="57" l="1"/>
  <c r="AK84" i="57"/>
  <c r="AM85" i="57"/>
  <c r="AN85" i="57"/>
  <c r="AL85" i="57" l="1"/>
  <c r="AK85" i="57"/>
  <c r="AM86" i="57"/>
  <c r="AN86" i="57"/>
  <c r="AL86" i="57" l="1"/>
  <c r="AK86" i="57"/>
  <c r="AM87" i="57"/>
  <c r="AN87" i="57"/>
  <c r="AL87" i="57" l="1"/>
  <c r="AK87" i="57"/>
  <c r="AM88" i="57"/>
  <c r="AN88" i="57"/>
  <c r="AL88" i="57" l="1"/>
  <c r="AK88" i="57"/>
  <c r="AM89" i="57"/>
  <c r="AN89" i="57"/>
  <c r="AL89" i="57" l="1"/>
  <c r="AK89" i="57"/>
  <c r="AM90" i="57"/>
  <c r="AN90" i="57"/>
  <c r="AL90" i="57" l="1"/>
  <c r="AK90" i="57"/>
  <c r="AM91" i="57"/>
  <c r="AN91" i="57"/>
  <c r="AL91" i="57" l="1"/>
  <c r="AK91" i="57"/>
  <c r="AM92" i="57"/>
  <c r="AN92" i="57"/>
  <c r="AL92" i="57" l="1"/>
  <c r="AK92" i="57"/>
  <c r="AM93" i="57"/>
  <c r="AN93" i="57"/>
  <c r="AL93" i="57" l="1"/>
  <c r="AK93" i="57"/>
  <c r="AM94" i="57"/>
  <c r="AN94" i="57"/>
  <c r="AL94" i="57" l="1"/>
  <c r="AK94" i="57"/>
  <c r="AM95" i="57"/>
  <c r="AN95" i="57"/>
  <c r="AL95" i="57" l="1"/>
  <c r="AK95" i="57"/>
  <c r="AM96" i="57"/>
  <c r="AN96" i="57"/>
  <c r="AL96" i="57" l="1"/>
  <c r="AK96" i="57"/>
  <c r="AM97" i="57"/>
  <c r="AN97" i="57"/>
  <c r="AL97" i="57" l="1"/>
  <c r="AK97" i="57"/>
  <c r="AM98" i="57"/>
  <c r="AN98" i="57"/>
  <c r="AL98" i="57" l="1"/>
  <c r="AK98" i="57"/>
  <c r="AM99" i="57"/>
  <c r="AN99" i="57"/>
  <c r="AL99" i="57" l="1"/>
  <c r="AK99" i="57"/>
  <c r="AM100" i="57"/>
  <c r="AN100" i="57"/>
  <c r="AL100" i="57" l="1"/>
  <c r="AK100" i="57"/>
  <c r="AM101" i="57"/>
  <c r="AN101" i="57"/>
  <c r="AL101" i="57" l="1"/>
  <c r="AK101" i="57"/>
  <c r="AM102" i="57"/>
  <c r="AN102" i="57"/>
  <c r="AL102" i="57" l="1"/>
  <c r="AK102" i="57"/>
  <c r="AM103" i="57"/>
  <c r="AN103" i="57"/>
  <c r="AL103" i="57" l="1"/>
  <c r="AK103" i="57"/>
  <c r="AM104" i="57"/>
  <c r="AN104" i="57"/>
  <c r="AL104" i="57" l="1"/>
  <c r="AK104" i="57"/>
  <c r="AM105" i="57"/>
  <c r="AN105" i="57"/>
  <c r="AL105" i="57" l="1"/>
  <c r="AK105" i="57"/>
  <c r="AM106" i="57"/>
  <c r="AN106" i="57"/>
  <c r="AL106" i="57" l="1"/>
  <c r="AK106" i="57"/>
  <c r="AM107" i="57"/>
  <c r="AN107" i="57"/>
  <c r="AL107" i="57" l="1"/>
  <c r="AK107" i="57"/>
  <c r="AM108" i="57"/>
  <c r="AN108" i="57"/>
  <c r="AL108" i="57" l="1"/>
  <c r="AK108" i="57"/>
  <c r="AM109" i="57"/>
  <c r="AN109" i="57"/>
  <c r="AL109" i="57" l="1"/>
  <c r="AK109" i="57"/>
  <c r="AM110" i="57"/>
  <c r="AN110" i="57"/>
  <c r="AL110" i="57" l="1"/>
  <c r="AK110" i="57"/>
  <c r="AM111" i="57"/>
  <c r="AN111" i="57"/>
  <c r="AL111" i="57" l="1"/>
  <c r="AK111" i="57"/>
  <c r="AM112" i="57"/>
  <c r="AN112" i="57"/>
  <c r="AL112" i="57" l="1"/>
  <c r="AK112" i="57"/>
  <c r="AM113" i="57"/>
  <c r="AN113" i="57"/>
  <c r="AL113" i="57" l="1"/>
  <c r="AK113" i="57"/>
  <c r="AM114" i="57"/>
  <c r="AN114" i="57"/>
  <c r="AL114" i="57" l="1"/>
  <c r="AK114" i="57"/>
  <c r="AM115" i="57"/>
  <c r="AN115" i="57"/>
  <c r="AL115" i="57" l="1"/>
  <c r="AK115" i="57"/>
  <c r="AM116" i="57"/>
  <c r="AN116" i="57"/>
  <c r="AL116" i="57" l="1"/>
  <c r="AK116" i="57"/>
  <c r="AM117" i="57"/>
  <c r="AN117" i="57"/>
  <c r="AL117" i="57" l="1"/>
  <c r="AK117" i="57"/>
  <c r="AM118" i="57"/>
  <c r="AN118" i="57"/>
  <c r="AL118" i="57" l="1"/>
  <c r="AK118" i="57"/>
  <c r="AM119" i="57"/>
  <c r="AN119" i="57"/>
  <c r="AL119" i="57" l="1"/>
  <c r="AK119" i="57"/>
  <c r="AM120" i="57"/>
  <c r="AN120" i="57"/>
  <c r="AL120" i="57" l="1"/>
  <c r="AK120" i="57"/>
  <c r="AM121" i="57"/>
  <c r="AN121" i="57"/>
  <c r="AL121" i="57" l="1"/>
  <c r="AK121" i="57"/>
  <c r="AM122" i="57"/>
  <c r="AN122" i="57"/>
  <c r="AL122" i="57" l="1"/>
  <c r="AK122" i="57"/>
  <c r="AM123" i="57"/>
  <c r="AN123" i="57"/>
  <c r="AL123" i="57" l="1"/>
  <c r="AK123" i="57"/>
  <c r="AM124" i="57"/>
  <c r="AN124" i="57"/>
  <c r="AL124" i="57" l="1"/>
  <c r="AK124" i="57"/>
  <c r="AM125" i="57"/>
  <c r="AN125" i="57"/>
  <c r="AL125" i="57" l="1"/>
  <c r="AK125" i="57"/>
  <c r="AM126" i="57"/>
  <c r="AN126" i="57"/>
  <c r="AL126" i="57" l="1"/>
  <c r="AK126" i="57"/>
  <c r="AM127" i="57"/>
  <c r="AN127" i="57"/>
  <c r="AM73" i="57"/>
  <c r="AN73" i="57"/>
  <c r="AL127" i="57" l="1"/>
  <c r="AK127" i="57"/>
  <c r="AL73" i="57"/>
  <c r="AK73" i="57"/>
  <c r="AM74" i="57"/>
  <c r="AN74" i="57"/>
  <c r="AL74" i="57" l="1"/>
  <c r="AK74" i="57"/>
  <c r="AM75" i="57"/>
  <c r="AN75" i="57"/>
  <c r="AL75" i="57" l="1"/>
  <c r="AK75" i="57"/>
  <c r="AM76" i="57"/>
  <c r="AN76" i="57"/>
  <c r="AL76" i="57" l="1"/>
  <c r="AK76" i="57"/>
  <c r="AG127" i="57"/>
  <c r="Y127" i="57"/>
  <c r="AA127" i="57" l="1"/>
  <c r="AB127" i="57" s="1"/>
  <c r="Q127" i="57"/>
  <c r="T127" i="57" s="1"/>
  <c r="O127" i="57"/>
  <c r="N127" i="57"/>
  <c r="AG126" i="57"/>
  <c r="Y126" i="57"/>
  <c r="AA126" i="57" l="1"/>
  <c r="AB126" i="57" s="1"/>
  <c r="Q126" i="57"/>
  <c r="T126" i="57" s="1"/>
  <c r="O126" i="57"/>
  <c r="N126" i="57"/>
  <c r="AG125" i="57"/>
  <c r="Y125" i="57"/>
  <c r="AA125" i="57" l="1"/>
  <c r="AB125" i="57" s="1"/>
  <c r="Q125" i="57"/>
  <c r="T125" i="57" s="1"/>
  <c r="O125" i="57"/>
  <c r="N125" i="57"/>
  <c r="AG124" i="57"/>
  <c r="Y124" i="57"/>
  <c r="AA124" i="57" l="1"/>
  <c r="AB124" i="57" s="1"/>
  <c r="Q124" i="57"/>
  <c r="T124" i="57" s="1"/>
  <c r="O124" i="57"/>
  <c r="N124" i="57"/>
  <c r="AG123" i="57"/>
  <c r="Y123" i="57"/>
  <c r="AA123" i="57" l="1"/>
  <c r="AB123" i="57" s="1"/>
  <c r="Q123" i="57"/>
  <c r="T123" i="57" s="1"/>
  <c r="O123" i="57"/>
  <c r="N123" i="57"/>
  <c r="AG122" i="57"/>
  <c r="Y122" i="57"/>
  <c r="AA122" i="57" l="1"/>
  <c r="AB122" i="57" s="1"/>
  <c r="Q122" i="57"/>
  <c r="T122" i="57" s="1"/>
  <c r="O122" i="57"/>
  <c r="N122" i="57"/>
  <c r="AG121" i="57"/>
  <c r="Y121" i="57"/>
  <c r="AA121" i="57" l="1"/>
  <c r="AB121" i="57" s="1"/>
  <c r="Q121" i="57"/>
  <c r="T121" i="57" s="1"/>
  <c r="O121" i="57"/>
  <c r="N121" i="57"/>
  <c r="AG120" i="57"/>
  <c r="Y120" i="57"/>
  <c r="AA120" i="57" l="1"/>
  <c r="AB120" i="57" s="1"/>
  <c r="Q120" i="57"/>
  <c r="T120" i="57" s="1"/>
  <c r="O120" i="57"/>
  <c r="N120" i="57"/>
  <c r="AG119" i="57"/>
  <c r="Y119" i="57"/>
  <c r="AA119" i="57" l="1"/>
  <c r="AB119" i="57" s="1"/>
  <c r="Q119" i="57"/>
  <c r="T119" i="57" s="1"/>
  <c r="O119" i="57"/>
  <c r="N119" i="57"/>
  <c r="AG118" i="57"/>
  <c r="Y118" i="57"/>
  <c r="AA118" i="57" l="1"/>
  <c r="AB118" i="57" s="1"/>
  <c r="Q118" i="57"/>
  <c r="T118" i="57" s="1"/>
  <c r="O118" i="57"/>
  <c r="N118" i="57"/>
  <c r="AG117" i="57"/>
  <c r="Y117" i="57"/>
  <c r="AA117" i="57" l="1"/>
  <c r="AB117" i="57" s="1"/>
  <c r="Q117" i="57"/>
  <c r="T117" i="57" s="1"/>
  <c r="O117" i="57"/>
  <c r="N117" i="57"/>
  <c r="AG116" i="57"/>
  <c r="Y116" i="57"/>
  <c r="AA116" i="57" l="1"/>
  <c r="AB116" i="57" s="1"/>
  <c r="Q116" i="57"/>
  <c r="T116" i="57" s="1"/>
  <c r="O116" i="57"/>
  <c r="N116" i="57"/>
  <c r="AG115" i="57"/>
  <c r="Y115" i="57"/>
  <c r="AA115" i="57" l="1"/>
  <c r="AB115" i="57" s="1"/>
  <c r="Q115" i="57"/>
  <c r="T115" i="57" s="1"/>
  <c r="O115" i="57"/>
  <c r="N115" i="57"/>
  <c r="AG114" i="57"/>
  <c r="Y114" i="57"/>
  <c r="AA114" i="57" l="1"/>
  <c r="AB114" i="57" s="1"/>
  <c r="Q114" i="57"/>
  <c r="T114" i="57" s="1"/>
  <c r="O114" i="57"/>
  <c r="N114" i="57"/>
  <c r="AG113" i="57"/>
  <c r="Y113" i="57"/>
  <c r="AA113" i="57" l="1"/>
  <c r="AB113" i="57" s="1"/>
  <c r="Q113" i="57"/>
  <c r="T113" i="57" s="1"/>
  <c r="O113" i="57"/>
  <c r="N113" i="57"/>
  <c r="AG112" i="57"/>
  <c r="Y112" i="57"/>
  <c r="AA112" i="57" l="1"/>
  <c r="AB112" i="57" s="1"/>
  <c r="Q112" i="57"/>
  <c r="T112" i="57" s="1"/>
  <c r="O112" i="57"/>
  <c r="N112" i="57"/>
  <c r="AG111" i="57"/>
  <c r="Y111" i="57"/>
  <c r="AA111" i="57" l="1"/>
  <c r="AB111" i="57" s="1"/>
  <c r="Q111" i="57"/>
  <c r="T111" i="57" s="1"/>
  <c r="O111" i="57"/>
  <c r="N111" i="57"/>
  <c r="AG110" i="57"/>
  <c r="Y110" i="57"/>
  <c r="AA110" i="57" l="1"/>
  <c r="AB110" i="57" s="1"/>
  <c r="Q110" i="57"/>
  <c r="T110" i="57" s="1"/>
  <c r="O110" i="57"/>
  <c r="N110" i="57"/>
  <c r="AG109" i="57"/>
  <c r="Y109" i="57"/>
  <c r="AA109" i="57" l="1"/>
  <c r="AB109" i="57" s="1"/>
  <c r="Q109" i="57"/>
  <c r="T109" i="57" s="1"/>
  <c r="O109" i="57"/>
  <c r="N109" i="57"/>
  <c r="AG108" i="57"/>
  <c r="Y108" i="57"/>
  <c r="AA108" i="57" l="1"/>
  <c r="AB108" i="57" s="1"/>
  <c r="Q108" i="57"/>
  <c r="T108" i="57" s="1"/>
  <c r="O108" i="57"/>
  <c r="N108" i="57"/>
  <c r="AG107" i="57"/>
  <c r="Y107" i="57"/>
  <c r="AA107" i="57" l="1"/>
  <c r="AB107" i="57" s="1"/>
  <c r="Q107" i="57"/>
  <c r="T107" i="57" s="1"/>
  <c r="O107" i="57"/>
  <c r="N107" i="57"/>
  <c r="AG106" i="57"/>
  <c r="Y106" i="57"/>
  <c r="AA106" i="57" l="1"/>
  <c r="AB106" i="57" s="1"/>
  <c r="Q106" i="57"/>
  <c r="T106" i="57" s="1"/>
  <c r="O106" i="57"/>
  <c r="N106" i="57"/>
  <c r="AG105" i="57"/>
  <c r="Y105" i="57"/>
  <c r="AA105" i="57" l="1"/>
  <c r="AB105" i="57" s="1"/>
  <c r="Q105" i="57"/>
  <c r="T105" i="57" s="1"/>
  <c r="O105" i="57"/>
  <c r="N105" i="57"/>
  <c r="AG104" i="57"/>
  <c r="Y104" i="57"/>
  <c r="AA104" i="57" l="1"/>
  <c r="AB104" i="57" s="1"/>
  <c r="T104" i="57"/>
  <c r="O104" i="57"/>
  <c r="N104" i="57"/>
  <c r="AG103" i="57"/>
  <c r="Y103" i="57"/>
  <c r="AA103" i="57" l="1"/>
  <c r="AB103" i="57" s="1"/>
  <c r="Q103" i="57"/>
  <c r="T103" i="57" s="1"/>
  <c r="O103" i="57"/>
  <c r="N103" i="57"/>
  <c r="AG102" i="57"/>
  <c r="Y102" i="57"/>
  <c r="AA102" i="57" l="1"/>
  <c r="AB102" i="57" s="1"/>
  <c r="Q102" i="57"/>
  <c r="T102" i="57" s="1"/>
  <c r="O102" i="57"/>
  <c r="N102" i="57"/>
  <c r="AG101" i="57"/>
  <c r="Y101" i="57"/>
  <c r="AA101" i="57" l="1"/>
  <c r="AB101" i="57" s="1"/>
  <c r="Q101" i="57"/>
  <c r="T101" i="57" s="1"/>
  <c r="O101" i="57"/>
  <c r="N101" i="57"/>
  <c r="AG100" i="57"/>
  <c r="Y100" i="57"/>
  <c r="AA100" i="57" l="1"/>
  <c r="AB100" i="57" s="1"/>
  <c r="Q100" i="57"/>
  <c r="T100" i="57" s="1"/>
  <c r="O100" i="57"/>
  <c r="N100" i="57"/>
  <c r="AG99" i="57"/>
  <c r="Y99" i="57"/>
  <c r="AA99" i="57" l="1"/>
  <c r="AB99" i="57" s="1"/>
  <c r="Q99" i="57"/>
  <c r="T99" i="57" s="1"/>
  <c r="O99" i="57"/>
  <c r="N99" i="57"/>
  <c r="AG98" i="57"/>
  <c r="Y98" i="57"/>
  <c r="AA98" i="57" l="1"/>
  <c r="AB98" i="57" s="1"/>
  <c r="Q98" i="57"/>
  <c r="T98" i="57" s="1"/>
  <c r="O98" i="57"/>
  <c r="N98" i="57"/>
  <c r="AG97" i="57"/>
  <c r="Y97" i="57"/>
  <c r="AA97" i="57" l="1"/>
  <c r="AB97" i="57" s="1"/>
  <c r="Q97" i="57"/>
  <c r="T97" i="57" s="1"/>
  <c r="O97" i="57"/>
  <c r="N97" i="57"/>
  <c r="AG96" i="57"/>
  <c r="Y96" i="57"/>
  <c r="AA96" i="57" l="1"/>
  <c r="AB96" i="57" s="1"/>
  <c r="Q96" i="57"/>
  <c r="T96" i="57" s="1"/>
  <c r="O96" i="57"/>
  <c r="N96" i="57"/>
  <c r="AG95" i="57"/>
  <c r="Y95" i="57"/>
  <c r="AA95" i="57" l="1"/>
  <c r="AB95" i="57" s="1"/>
  <c r="Q95" i="57"/>
  <c r="T95" i="57" s="1"/>
  <c r="O95" i="57"/>
  <c r="N95" i="57"/>
  <c r="AG94" i="57"/>
  <c r="Y94" i="57"/>
  <c r="AA94" i="57" l="1"/>
  <c r="AB94" i="57" s="1"/>
  <c r="Q94" i="57"/>
  <c r="T94" i="57" s="1"/>
  <c r="O94" i="57"/>
  <c r="N94" i="57"/>
  <c r="AG93" i="57"/>
  <c r="Y93" i="57"/>
  <c r="AA93" i="57" l="1"/>
  <c r="AB93" i="57" s="1"/>
  <c r="Q93" i="57"/>
  <c r="T93" i="57" s="1"/>
  <c r="O93" i="57"/>
  <c r="N93" i="57"/>
  <c r="AG92" i="57"/>
  <c r="Y92" i="57"/>
  <c r="AA92" i="57" l="1"/>
  <c r="AB92" i="57" s="1"/>
  <c r="Q92" i="57"/>
  <c r="T92" i="57" s="1"/>
  <c r="O92" i="57"/>
  <c r="N92" i="57"/>
  <c r="AG91" i="57"/>
  <c r="Y91" i="57"/>
  <c r="AA91" i="57" l="1"/>
  <c r="AB91" i="57" s="1"/>
  <c r="Q91" i="57"/>
  <c r="T91" i="57" s="1"/>
  <c r="O91" i="57"/>
  <c r="N91" i="57"/>
  <c r="AG90" i="57"/>
  <c r="Y90" i="57"/>
  <c r="AA90" i="57" l="1"/>
  <c r="AB90" i="57" s="1"/>
  <c r="Q90" i="57"/>
  <c r="T90" i="57" s="1"/>
  <c r="O90" i="57"/>
  <c r="N90" i="57"/>
  <c r="AG89" i="57"/>
  <c r="Y89" i="57"/>
  <c r="AA89" i="57" l="1"/>
  <c r="AB89" i="57" s="1"/>
  <c r="Q89" i="57"/>
  <c r="T89" i="57" s="1"/>
  <c r="O89" i="57"/>
  <c r="N89" i="57"/>
  <c r="AG88" i="57"/>
  <c r="Y88" i="57"/>
  <c r="AA88" i="57" l="1"/>
  <c r="AB88" i="57" s="1"/>
  <c r="Q88" i="57"/>
  <c r="T88" i="57" s="1"/>
  <c r="O88" i="57"/>
  <c r="N88" i="57"/>
  <c r="AG87" i="57"/>
  <c r="Y87" i="57"/>
  <c r="AA87" i="57" l="1"/>
  <c r="AB87" i="57" s="1"/>
  <c r="Q87" i="57"/>
  <c r="T87" i="57" s="1"/>
  <c r="O87" i="57"/>
  <c r="N87" i="57"/>
  <c r="AG86" i="57"/>
  <c r="Y86" i="57"/>
  <c r="AA86" i="57" l="1"/>
  <c r="AB86" i="57" s="1"/>
  <c r="Q86" i="57"/>
  <c r="T86" i="57" s="1"/>
  <c r="O86" i="57"/>
  <c r="N86" i="57"/>
  <c r="AG85" i="57"/>
  <c r="Y85" i="57"/>
  <c r="AA85" i="57" l="1"/>
  <c r="AB85" i="57" s="1"/>
  <c r="Q85" i="57"/>
  <c r="T85" i="57" s="1"/>
  <c r="O85" i="57"/>
  <c r="N85" i="57"/>
  <c r="AG84" i="57"/>
  <c r="Y84" i="57"/>
  <c r="AA84" i="57" l="1"/>
  <c r="AB84" i="57" s="1"/>
  <c r="Q84" i="57"/>
  <c r="T84" i="57" s="1"/>
  <c r="O84" i="57"/>
  <c r="N84" i="57"/>
  <c r="AG83" i="57"/>
  <c r="Y83" i="57"/>
  <c r="AA83" i="57" l="1"/>
  <c r="AB83" i="57" s="1"/>
  <c r="Q83" i="57"/>
  <c r="T83" i="57" s="1"/>
  <c r="O83" i="57"/>
  <c r="N83" i="57"/>
  <c r="AG82" i="57"/>
  <c r="Y82" i="57"/>
  <c r="AA82" i="57" l="1"/>
  <c r="AB82" i="57" s="1"/>
  <c r="Q82" i="57"/>
  <c r="T82" i="57" s="1"/>
  <c r="O82" i="57"/>
  <c r="N82" i="57"/>
  <c r="AG81" i="57"/>
  <c r="Y81" i="57"/>
  <c r="AA81" i="57" l="1"/>
  <c r="AB81" i="57" s="1"/>
  <c r="Q81" i="57"/>
  <c r="T81" i="57" s="1"/>
  <c r="O81" i="57"/>
  <c r="N81" i="57"/>
  <c r="AG80" i="57"/>
  <c r="Y80" i="57"/>
  <c r="AA80" i="57" l="1"/>
  <c r="AB80" i="57" s="1"/>
  <c r="Q80" i="57"/>
  <c r="T80" i="57" s="1"/>
  <c r="O80" i="57"/>
  <c r="N80" i="57"/>
  <c r="AG79" i="57"/>
  <c r="Y79" i="57"/>
  <c r="AA79" i="57" l="1"/>
  <c r="AB79" i="57" s="1"/>
  <c r="Q79" i="57"/>
  <c r="T79" i="57" s="1"/>
  <c r="O79" i="57"/>
  <c r="N79" i="57"/>
  <c r="AG78" i="57"/>
  <c r="Y78" i="57"/>
  <c r="AA78" i="57" l="1"/>
  <c r="AB78" i="57" s="1"/>
  <c r="Q78" i="57"/>
  <c r="T78" i="57" s="1"/>
  <c r="O78" i="57"/>
  <c r="N78" i="57"/>
  <c r="AG77" i="57"/>
  <c r="Y77" i="57"/>
  <c r="AA77" i="57" l="1"/>
  <c r="AB77" i="57" s="1"/>
  <c r="Q77" i="57"/>
  <c r="T77" i="57" s="1"/>
  <c r="O77" i="57"/>
  <c r="N77" i="57"/>
  <c r="AG76" i="57"/>
  <c r="Y76" i="57"/>
  <c r="AA76" i="57" l="1"/>
  <c r="AB76" i="57" s="1"/>
  <c r="Q76" i="57"/>
  <c r="T76" i="57" s="1"/>
  <c r="O76" i="57"/>
  <c r="N76" i="57"/>
  <c r="AG75" i="57"/>
  <c r="Y75" i="57"/>
  <c r="AA75" i="57" l="1"/>
  <c r="AB75" i="57" s="1"/>
  <c r="Q75" i="57"/>
  <c r="T75" i="57" s="1"/>
  <c r="O75" i="57"/>
  <c r="N75" i="57"/>
  <c r="AG74" i="57"/>
  <c r="Y74" i="57"/>
  <c r="AA74" i="57" l="1"/>
  <c r="AB74" i="57" s="1"/>
  <c r="Q74" i="57"/>
  <c r="T74" i="57" s="1"/>
  <c r="O74" i="57"/>
  <c r="N74" i="57"/>
  <c r="AG73" i="57"/>
  <c r="Y73" i="57"/>
  <c r="AA73" i="57" l="1"/>
  <c r="AB73" i="57" s="1"/>
  <c r="Q73" i="57"/>
  <c r="T73" i="57" s="1"/>
  <c r="O73" i="57"/>
  <c r="N73" i="57"/>
  <c r="AN72" i="57"/>
  <c r="AL72" i="57" s="1"/>
  <c r="AM72" i="57"/>
  <c r="AK72" i="57" s="1"/>
  <c r="AG72" i="57"/>
  <c r="Y72" i="57"/>
  <c r="AA72" i="57" l="1"/>
  <c r="AB72" i="57" s="1"/>
  <c r="Q72" i="57"/>
  <c r="T72" i="57" s="1"/>
  <c r="O72" i="57"/>
  <c r="N72" i="57"/>
  <c r="O5" i="57" l="1"/>
  <c r="O6" i="57"/>
  <c r="O7" i="57"/>
  <c r="O8" i="57"/>
  <c r="O9" i="57"/>
  <c r="O10" i="57"/>
  <c r="O11" i="57"/>
  <c r="N5" i="57"/>
  <c r="N6" i="57"/>
  <c r="N7" i="57"/>
  <c r="N8" i="57"/>
  <c r="N9" i="57"/>
  <c r="N10" i="57"/>
  <c r="N11" i="57"/>
  <c r="Q5" i="57"/>
  <c r="T5" i="57" s="1"/>
  <c r="Q6" i="57"/>
  <c r="T6" i="57" s="1"/>
  <c r="Q7" i="57"/>
  <c r="T7" i="57" s="1"/>
  <c r="Q8" i="57"/>
  <c r="T8" i="57" s="1"/>
  <c r="Q9" i="57"/>
  <c r="T9" i="57" s="1"/>
  <c r="Q10" i="57"/>
  <c r="T10" i="57" s="1"/>
  <c r="Q11" i="57"/>
  <c r="T11" i="57" s="1"/>
  <c r="Q14" i="57"/>
  <c r="T14" i="57" s="1"/>
  <c r="Q15" i="57"/>
  <c r="T15" i="57" s="1"/>
  <c r="Q16" i="57"/>
  <c r="T16" i="57" s="1"/>
  <c r="Q17" i="57"/>
  <c r="T17" i="57" s="1"/>
  <c r="Q18" i="57"/>
  <c r="T18" i="57" s="1"/>
  <c r="Q19" i="57"/>
  <c r="T19" i="57" s="1"/>
  <c r="Q20" i="57"/>
  <c r="T20" i="57" s="1"/>
  <c r="Q21" i="57"/>
  <c r="T21" i="57" s="1"/>
  <c r="Q22" i="57"/>
  <c r="T22" i="57" s="1"/>
  <c r="Q23" i="57"/>
  <c r="T23" i="57" s="1"/>
  <c r="Q24" i="57"/>
  <c r="T24" i="57" s="1"/>
  <c r="Q25" i="57"/>
  <c r="T25" i="57" s="1"/>
  <c r="Q26" i="57"/>
  <c r="T26" i="57" s="1"/>
  <c r="Q27" i="57"/>
  <c r="T27" i="57" s="1"/>
  <c r="Q28" i="57"/>
  <c r="T28" i="57" s="1"/>
  <c r="Q29" i="57"/>
  <c r="T29" i="57" s="1"/>
  <c r="Q30" i="57"/>
  <c r="T30" i="57" s="1"/>
  <c r="Q31" i="57"/>
  <c r="T31" i="57" s="1"/>
  <c r="Q32" i="57"/>
  <c r="T32" i="57" s="1"/>
  <c r="Q33" i="57"/>
  <c r="T33" i="57" s="1"/>
  <c r="Q34" i="57"/>
  <c r="T34" i="57" s="1"/>
  <c r="Q35" i="57"/>
  <c r="T35" i="57" s="1"/>
  <c r="Q36" i="57"/>
  <c r="T36" i="57" s="1"/>
  <c r="Q37" i="57"/>
  <c r="T37" i="57" s="1"/>
  <c r="Q38" i="57"/>
  <c r="T38" i="57" s="1"/>
  <c r="Q39" i="57"/>
  <c r="T39" i="57" s="1"/>
  <c r="Q40" i="57"/>
  <c r="T40" i="57" s="1"/>
  <c r="Q41" i="57"/>
  <c r="T41" i="57" s="1"/>
  <c r="Q44" i="57"/>
  <c r="T44" i="57" s="1"/>
  <c r="Q45" i="57"/>
  <c r="T45" i="57" s="1"/>
  <c r="Q46" i="57"/>
  <c r="T46" i="57" s="1"/>
  <c r="Q47" i="57"/>
  <c r="T47" i="57" s="1"/>
  <c r="Q48" i="57"/>
  <c r="T48" i="57" s="1"/>
  <c r="Q49" i="57"/>
  <c r="T49" i="57" s="1"/>
  <c r="Q50" i="57"/>
  <c r="T50" i="57" s="1"/>
  <c r="Q51" i="57"/>
  <c r="T51" i="57" s="1"/>
  <c r="Q52" i="57"/>
  <c r="T52" i="57" s="1"/>
  <c r="Q53" i="57"/>
  <c r="T53" i="57" s="1"/>
  <c r="Q54" i="57"/>
  <c r="T54" i="57" s="1"/>
  <c r="Q55" i="57"/>
  <c r="T55" i="57" s="1"/>
  <c r="Q56" i="57"/>
  <c r="T56" i="57" s="1"/>
  <c r="Q57" i="57"/>
  <c r="T57" i="57" s="1"/>
  <c r="Q58" i="57"/>
  <c r="T58" i="57" s="1"/>
  <c r="Q59" i="57"/>
  <c r="T59" i="57" s="1"/>
  <c r="Q60" i="57"/>
  <c r="T60" i="57" s="1"/>
  <c r="Q61" i="57"/>
  <c r="T61" i="57" s="1"/>
  <c r="Q62" i="57"/>
  <c r="T62" i="57" s="1"/>
  <c r="Q63" i="57"/>
  <c r="T63" i="57" s="1"/>
  <c r="Q64" i="57"/>
  <c r="T64" i="57" s="1"/>
  <c r="Q65" i="57"/>
  <c r="T65" i="57" s="1"/>
  <c r="Q66" i="57"/>
  <c r="T66" i="57" s="1"/>
  <c r="Q67" i="57"/>
  <c r="T67" i="57" s="1"/>
  <c r="Q68" i="57"/>
  <c r="T68" i="57" s="1"/>
  <c r="Q69" i="57"/>
  <c r="T69" i="57" s="1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Y45" i="57"/>
  <c r="Y46" i="57"/>
  <c r="Y47" i="57"/>
  <c r="Y48" i="57"/>
  <c r="Y49" i="57"/>
  <c r="Y50" i="57"/>
  <c r="Y51" i="57"/>
  <c r="Y52" i="57"/>
  <c r="Y53" i="57"/>
  <c r="Y54" i="57"/>
  <c r="Y55" i="57"/>
  <c r="Y56" i="57"/>
  <c r="Y57" i="57"/>
  <c r="Y58" i="57"/>
  <c r="Y59" i="57"/>
  <c r="Y60" i="57"/>
  <c r="Y61" i="57"/>
  <c r="Y62" i="57"/>
  <c r="Y63" i="57"/>
  <c r="Y64" i="57"/>
  <c r="Y65" i="57"/>
  <c r="Y66" i="57"/>
  <c r="Y67" i="57"/>
  <c r="Y68" i="57"/>
  <c r="Y69" i="57"/>
  <c r="Y44" i="57"/>
  <c r="Y15" i="57"/>
  <c r="Y16" i="57"/>
  <c r="Y17" i="57"/>
  <c r="Y18" i="57"/>
  <c r="Y19" i="57"/>
  <c r="Y20" i="57"/>
  <c r="Y21" i="57"/>
  <c r="Y22" i="57"/>
  <c r="Y23" i="57"/>
  <c r="Y24" i="57"/>
  <c r="Y25" i="57"/>
  <c r="Y26" i="57"/>
  <c r="Y27" i="57"/>
  <c r="Y28" i="57"/>
  <c r="Y29" i="57"/>
  <c r="Y30" i="57"/>
  <c r="Y31" i="57"/>
  <c r="Y32" i="57"/>
  <c r="Y33" i="57"/>
  <c r="Y34" i="57"/>
  <c r="Y35" i="57"/>
  <c r="Y36" i="57"/>
  <c r="Y37" i="57"/>
  <c r="Y38" i="57"/>
  <c r="Y39" i="57"/>
  <c r="Y40" i="57"/>
  <c r="Y41" i="57"/>
  <c r="Y14" i="57"/>
  <c r="Y6" i="57"/>
  <c r="Y7" i="57"/>
  <c r="Y8" i="57"/>
  <c r="Y9" i="57"/>
  <c r="Y10" i="57"/>
  <c r="Y11" i="57"/>
  <c r="Y5" i="57"/>
  <c r="AM59" i="57"/>
  <c r="AN59" i="57"/>
  <c r="AA5" i="57" l="1"/>
  <c r="AA10" i="57"/>
  <c r="AA9" i="57"/>
  <c r="AA8" i="57"/>
  <c r="AA7" i="57"/>
  <c r="AA6" i="57"/>
  <c r="AA14" i="57"/>
  <c r="AA41" i="57"/>
  <c r="AA40" i="57"/>
  <c r="AA39" i="57"/>
  <c r="AA38" i="57"/>
  <c r="AA37" i="57"/>
  <c r="AA36" i="57"/>
  <c r="AA35" i="57"/>
  <c r="AA34" i="57"/>
  <c r="AA33" i="57"/>
  <c r="AA32" i="57"/>
  <c r="AA31" i="57"/>
  <c r="AA30" i="57"/>
  <c r="AA29" i="57"/>
  <c r="AA28" i="57"/>
  <c r="AA27" i="57"/>
  <c r="AA26" i="57"/>
  <c r="AA25" i="57"/>
  <c r="AA24" i="57"/>
  <c r="AA23" i="57"/>
  <c r="AA22" i="57"/>
  <c r="AA21" i="57"/>
  <c r="AA20" i="57"/>
  <c r="AA19" i="57"/>
  <c r="AA18" i="57"/>
  <c r="AA17" i="57"/>
  <c r="AA16" i="57"/>
  <c r="AA15" i="57"/>
  <c r="AA44" i="57"/>
  <c r="AA68" i="57"/>
  <c r="AA67" i="57"/>
  <c r="AA66" i="57"/>
  <c r="AA65" i="57"/>
  <c r="AA64" i="57"/>
  <c r="AA63" i="57"/>
  <c r="AA62" i="57"/>
  <c r="AA61" i="57"/>
  <c r="AA60" i="57"/>
  <c r="AA59" i="57"/>
  <c r="AA58" i="57"/>
  <c r="AA57" i="57"/>
  <c r="AA56" i="57"/>
  <c r="AA55" i="57"/>
  <c r="AA54" i="57"/>
  <c r="AA53" i="57"/>
  <c r="AA52" i="57"/>
  <c r="AA51" i="57"/>
  <c r="AA50" i="57"/>
  <c r="AA49" i="57"/>
  <c r="AA48" i="57"/>
  <c r="AA47" i="57"/>
  <c r="AA46" i="57"/>
  <c r="AA45" i="57"/>
  <c r="AA11" i="57"/>
  <c r="AA69" i="57"/>
  <c r="AL59" i="57"/>
  <c r="AK59" i="57"/>
  <c r="AM60" i="57"/>
  <c r="AN60" i="57"/>
  <c r="AL60" i="57" l="1"/>
  <c r="AK60" i="57"/>
  <c r="AM61" i="57"/>
  <c r="AN61" i="57"/>
  <c r="AL61" i="57" l="1"/>
  <c r="AK61" i="57"/>
  <c r="AM62" i="57"/>
  <c r="AN62" i="57"/>
  <c r="AL62" i="57" l="1"/>
  <c r="AK62" i="57"/>
  <c r="AM63" i="57"/>
  <c r="AN63" i="57"/>
  <c r="AL63" i="57" l="1"/>
  <c r="AK63" i="57"/>
  <c r="AM64" i="57"/>
  <c r="AN64" i="57"/>
  <c r="AL64" i="57" l="1"/>
  <c r="AK64" i="57"/>
  <c r="AM65" i="57"/>
  <c r="AN65" i="57"/>
  <c r="AL65" i="57" l="1"/>
  <c r="AK65" i="57"/>
  <c r="AM66" i="57"/>
  <c r="AN66" i="57"/>
  <c r="AL66" i="57" l="1"/>
  <c r="AK66" i="57"/>
  <c r="AM67" i="57"/>
  <c r="AN67" i="57"/>
  <c r="AL67" i="57" l="1"/>
  <c r="AK67" i="57"/>
  <c r="AM68" i="57"/>
  <c r="AN68" i="57"/>
  <c r="AL68" i="57" l="1"/>
  <c r="AK68" i="57"/>
  <c r="AM69" i="57"/>
  <c r="AN69" i="57"/>
  <c r="AM45" i="57"/>
  <c r="AN45" i="57"/>
  <c r="AL69" i="57" l="1"/>
  <c r="AK69" i="57"/>
  <c r="AL45" i="57"/>
  <c r="AK45" i="57"/>
  <c r="AM46" i="57"/>
  <c r="AN46" i="57"/>
  <c r="AL46" i="57" l="1"/>
  <c r="AK46" i="57"/>
  <c r="AM47" i="57"/>
  <c r="AN47" i="57"/>
  <c r="AL47" i="57" l="1"/>
  <c r="AK47" i="57"/>
  <c r="AM48" i="57"/>
  <c r="AN48" i="57"/>
  <c r="AL48" i="57" l="1"/>
  <c r="AK48" i="57"/>
  <c r="AM49" i="57"/>
  <c r="AN49" i="57"/>
  <c r="AL49" i="57" l="1"/>
  <c r="AK49" i="57"/>
  <c r="AM50" i="57"/>
  <c r="AN50" i="57"/>
  <c r="AL50" i="57" l="1"/>
  <c r="AK50" i="57"/>
  <c r="AM51" i="57"/>
  <c r="AN51" i="57"/>
  <c r="AL51" i="57" l="1"/>
  <c r="AK51" i="57"/>
  <c r="AM52" i="57"/>
  <c r="AN52" i="57"/>
  <c r="AL52" i="57" l="1"/>
  <c r="AK52" i="57"/>
  <c r="AM53" i="57"/>
  <c r="AN53" i="57"/>
  <c r="AL53" i="57" l="1"/>
  <c r="AK53" i="57"/>
  <c r="AM54" i="57"/>
  <c r="AN54" i="57"/>
  <c r="AL54" i="57" l="1"/>
  <c r="AK54" i="57"/>
  <c r="AM55" i="57"/>
  <c r="AN55" i="57"/>
  <c r="AL55" i="57" l="1"/>
  <c r="AK55" i="57"/>
  <c r="AM56" i="57"/>
  <c r="AN56" i="57"/>
  <c r="AL56" i="57" l="1"/>
  <c r="AK56" i="57"/>
  <c r="AM57" i="57"/>
  <c r="AN57" i="57"/>
  <c r="AL57" i="57" l="1"/>
  <c r="AK57" i="57"/>
  <c r="AM58" i="57"/>
  <c r="AN58" i="57"/>
  <c r="AN44" i="57"/>
  <c r="AM44" i="57"/>
  <c r="AL58" i="57" l="1"/>
  <c r="AK58" i="57"/>
  <c r="AL44" i="57"/>
  <c r="AK44" i="57"/>
  <c r="AM41" i="57"/>
  <c r="AN41" i="57"/>
  <c r="AM17" i="57"/>
  <c r="AN17" i="57"/>
  <c r="AL41" i="57" l="1"/>
  <c r="AK41" i="57"/>
  <c r="AL17" i="57"/>
  <c r="AK17" i="57"/>
  <c r="AM18" i="57"/>
  <c r="AN18" i="57"/>
  <c r="AL18" i="57" l="1"/>
  <c r="AK18" i="57"/>
  <c r="AM19" i="57"/>
  <c r="AN19" i="57"/>
  <c r="AL19" i="57" l="1"/>
  <c r="AK19" i="57"/>
  <c r="AM20" i="57"/>
  <c r="AN20" i="57"/>
  <c r="AL20" i="57" l="1"/>
  <c r="AK20" i="57"/>
  <c r="AM21" i="57"/>
  <c r="AN21" i="57"/>
  <c r="AL21" i="57" l="1"/>
  <c r="AK21" i="57"/>
  <c r="AM22" i="57"/>
  <c r="AN22" i="57"/>
  <c r="AL22" i="57" l="1"/>
  <c r="AK22" i="57"/>
  <c r="AM23" i="57"/>
  <c r="AN23" i="57"/>
  <c r="AL23" i="57" l="1"/>
  <c r="AK23" i="57"/>
  <c r="AM24" i="57"/>
  <c r="AN24" i="57"/>
  <c r="AL24" i="57" l="1"/>
  <c r="AK24" i="57"/>
  <c r="AM25" i="57"/>
  <c r="AN25" i="57"/>
  <c r="AL25" i="57" l="1"/>
  <c r="AK25" i="57"/>
  <c r="AM26" i="57"/>
  <c r="AN26" i="57"/>
  <c r="AL26" i="57" l="1"/>
  <c r="AK26" i="57"/>
  <c r="AM27" i="57"/>
  <c r="AN27" i="57"/>
  <c r="AL27" i="57" l="1"/>
  <c r="AK27" i="57"/>
  <c r="AM28" i="57"/>
  <c r="AN28" i="57"/>
  <c r="AL28" i="57" l="1"/>
  <c r="AK28" i="57"/>
  <c r="AM29" i="57"/>
  <c r="AN29" i="57"/>
  <c r="AL29" i="57" l="1"/>
  <c r="AK29" i="57"/>
  <c r="AM30" i="57"/>
  <c r="AN30" i="57"/>
  <c r="AL30" i="57" l="1"/>
  <c r="AK30" i="57"/>
  <c r="AM31" i="57"/>
  <c r="AN31" i="57"/>
  <c r="AL31" i="57" l="1"/>
  <c r="AK31" i="57"/>
  <c r="AM32" i="57"/>
  <c r="AN32" i="57"/>
  <c r="AL32" i="57" l="1"/>
  <c r="AK32" i="57"/>
  <c r="AM33" i="57"/>
  <c r="AN33" i="57"/>
  <c r="AL33" i="57" l="1"/>
  <c r="AK33" i="57"/>
  <c r="AM34" i="57"/>
  <c r="AN34" i="57"/>
  <c r="AL34" i="57" l="1"/>
  <c r="AK34" i="57"/>
  <c r="AM35" i="57"/>
  <c r="AN35" i="57"/>
  <c r="AL35" i="57" l="1"/>
  <c r="AK35" i="57"/>
  <c r="AM36" i="57"/>
  <c r="AN36" i="57"/>
  <c r="AL36" i="57" l="1"/>
  <c r="AK36" i="57"/>
  <c r="AM37" i="57"/>
  <c r="AN37" i="57"/>
  <c r="AL37" i="57" l="1"/>
  <c r="AK37" i="57"/>
  <c r="AM38" i="57"/>
  <c r="AN38" i="57"/>
  <c r="AL38" i="57" l="1"/>
  <c r="AK38" i="57"/>
  <c r="AM39" i="57"/>
  <c r="AN39" i="57"/>
  <c r="AL39" i="57" l="1"/>
  <c r="AK39" i="57"/>
  <c r="AM40" i="57"/>
  <c r="AN40" i="57"/>
  <c r="AL40" i="57" l="1"/>
  <c r="AK40" i="57"/>
  <c r="AM15" i="57"/>
  <c r="AN15" i="57"/>
  <c r="AL15" i="57" l="1"/>
  <c r="AK15" i="57"/>
  <c r="AM16" i="57"/>
  <c r="AN16" i="57"/>
  <c r="AN14" i="57"/>
  <c r="AM14" i="57"/>
  <c r="AL16" i="57" l="1"/>
  <c r="AK16" i="57"/>
  <c r="AL14" i="57"/>
  <c r="AK14" i="57"/>
  <c r="AM6" i="57"/>
  <c r="AN6" i="57"/>
  <c r="AL6" i="57" l="1"/>
  <c r="AK6" i="57"/>
  <c r="AM7" i="57"/>
  <c r="AN7" i="57"/>
  <c r="AL7" i="57" l="1"/>
  <c r="AK7" i="57"/>
  <c r="AM8" i="57"/>
  <c r="AN8" i="57"/>
  <c r="AL8" i="57" l="1"/>
  <c r="AK8" i="57"/>
  <c r="AM9" i="57"/>
  <c r="AN9" i="57"/>
  <c r="AL9" i="57" l="1"/>
  <c r="AK9" i="57"/>
  <c r="AM10" i="57"/>
  <c r="AN10" i="57"/>
  <c r="AL10" i="57" l="1"/>
  <c r="AK10" i="57"/>
  <c r="AM11" i="57"/>
  <c r="AN11" i="57"/>
  <c r="AN5" i="57"/>
  <c r="AM5" i="57"/>
  <c r="AL11" i="57" l="1"/>
  <c r="AK11" i="57"/>
  <c r="AL5" i="57"/>
  <c r="AK5" i="57"/>
  <c r="AN10" i="115"/>
  <c r="AM10" i="115"/>
  <c r="AN18" i="115"/>
  <c r="AM18" i="115"/>
  <c r="AM19" i="115"/>
  <c r="AN19" i="115"/>
  <c r="AL18" i="115" l="1"/>
  <c r="AK18" i="115"/>
  <c r="AL10" i="115"/>
  <c r="AK10" i="115"/>
  <c r="AL19" i="115"/>
  <c r="AK19" i="115"/>
  <c r="AG19" i="115"/>
  <c r="Y19" i="115"/>
  <c r="AA19" i="115" l="1"/>
  <c r="AB19" i="115" s="1"/>
  <c r="T19" i="115"/>
  <c r="O19" i="115"/>
  <c r="N19" i="115"/>
  <c r="AG20" i="115"/>
  <c r="AN20" i="115"/>
  <c r="AM20" i="115"/>
  <c r="Y20" i="115"/>
  <c r="AL20" i="115" l="1"/>
  <c r="AK20" i="115"/>
  <c r="AA20" i="115"/>
  <c r="AB20" i="115" s="1"/>
  <c r="T20" i="115"/>
  <c r="O20" i="115"/>
  <c r="N20" i="115"/>
  <c r="AG18" i="115" l="1"/>
  <c r="Y18" i="115"/>
  <c r="AA18" i="115" l="1"/>
  <c r="AB18" i="115" s="1"/>
  <c r="T18" i="115"/>
  <c r="O18" i="115"/>
  <c r="N18" i="115"/>
  <c r="AG17" i="115"/>
  <c r="AM17" i="115"/>
  <c r="AN17" i="115"/>
  <c r="Y17" i="115"/>
  <c r="AK17" i="115" l="1"/>
  <c r="AL17" i="115"/>
  <c r="AA17" i="115"/>
  <c r="AB17" i="115" s="1"/>
  <c r="T17" i="115"/>
  <c r="O17" i="115"/>
  <c r="N17" i="115"/>
  <c r="AG16" i="115"/>
  <c r="AN16" i="115"/>
  <c r="AM16" i="115"/>
  <c r="Y16" i="115"/>
  <c r="AL16" i="115" l="1"/>
  <c r="AK16" i="115"/>
  <c r="AA16" i="115"/>
  <c r="AB16" i="115" s="1"/>
  <c r="T16" i="115"/>
  <c r="O16" i="115"/>
  <c r="N16" i="115"/>
  <c r="AG15" i="115"/>
  <c r="Y15" i="115"/>
  <c r="AM15" i="115"/>
  <c r="AN15" i="115"/>
  <c r="AL15" i="115" l="1"/>
  <c r="AK15" i="115"/>
  <c r="AA15" i="115"/>
  <c r="AB15" i="115" s="1"/>
  <c r="T15" i="115"/>
  <c r="O15" i="115"/>
  <c r="N15" i="115"/>
  <c r="AG14" i="115"/>
  <c r="AN14" i="115"/>
  <c r="AM14" i="115"/>
  <c r="Y14" i="115"/>
  <c r="AL14" i="115" l="1"/>
  <c r="AK14" i="115"/>
  <c r="AA14" i="115"/>
  <c r="AB14" i="115" s="1"/>
  <c r="T14" i="115"/>
  <c r="O14" i="115"/>
  <c r="N14" i="115"/>
  <c r="AG13" i="115"/>
  <c r="AM13" i="115"/>
  <c r="AN13" i="115"/>
  <c r="Y13" i="115"/>
  <c r="AK13" i="115" l="1"/>
  <c r="AL13" i="115"/>
  <c r="AA13" i="115"/>
  <c r="AB13" i="115" s="1"/>
  <c r="T13" i="115"/>
  <c r="O13" i="115"/>
  <c r="N13" i="115"/>
  <c r="AG12" i="115"/>
  <c r="Y12" i="115"/>
  <c r="AM12" i="115"/>
  <c r="AN12" i="115"/>
  <c r="AL12" i="115" l="1"/>
  <c r="AK12" i="115"/>
  <c r="AA12" i="115"/>
  <c r="AB12" i="115" s="1"/>
  <c r="T12" i="115"/>
  <c r="O12" i="115"/>
  <c r="N12" i="115"/>
  <c r="AG11" i="115"/>
  <c r="Y11" i="115"/>
  <c r="AM11" i="115"/>
  <c r="AN11" i="115"/>
  <c r="AL11" i="115" l="1"/>
  <c r="AK11" i="115"/>
  <c r="AA11" i="115"/>
  <c r="AB11" i="115" s="1"/>
  <c r="T11" i="115"/>
  <c r="O11" i="115"/>
  <c r="N11" i="115"/>
  <c r="AG10" i="115"/>
  <c r="Y10" i="115"/>
  <c r="AA10" i="115" l="1"/>
  <c r="AB10" i="115" s="1"/>
  <c r="T10" i="115"/>
  <c r="O10" i="115"/>
  <c r="N10" i="115"/>
  <c r="AG9" i="115"/>
  <c r="AN9" i="115"/>
  <c r="AM9" i="115"/>
  <c r="Y9" i="115"/>
  <c r="AL9" i="115" l="1"/>
  <c r="AK9" i="115"/>
  <c r="AA9" i="115"/>
  <c r="AB9" i="115" s="1"/>
  <c r="T9" i="115"/>
  <c r="O9" i="115"/>
  <c r="N9" i="115"/>
  <c r="AG8" i="115"/>
  <c r="AN8" i="115"/>
  <c r="AM8" i="115"/>
  <c r="Y8" i="115"/>
  <c r="AL8" i="115" l="1"/>
  <c r="AK8" i="115"/>
  <c r="AA8" i="115"/>
  <c r="AB8" i="115" s="1"/>
  <c r="T8" i="115"/>
  <c r="O8" i="115"/>
  <c r="N8" i="115"/>
  <c r="AG7" i="115"/>
  <c r="AN7" i="115"/>
  <c r="AM7" i="115"/>
  <c r="Y7" i="115"/>
  <c r="AL7" i="115" l="1"/>
  <c r="AK7" i="115"/>
  <c r="AA7" i="115"/>
  <c r="AB7" i="115" s="1"/>
  <c r="T7" i="115"/>
  <c r="O7" i="115"/>
  <c r="N7" i="115"/>
  <c r="AG3" i="74" l="1"/>
  <c r="AN3" i="74"/>
  <c r="Y3" i="74"/>
  <c r="AM3" i="74"/>
  <c r="AL3" i="74" l="1"/>
  <c r="AK3" i="74"/>
  <c r="AA3" i="74"/>
  <c r="AB3" i="74" s="1"/>
  <c r="Q3" i="74"/>
  <c r="T3" i="74" s="1"/>
  <c r="O3" i="74"/>
  <c r="N3" i="74"/>
  <c r="AG2" i="74"/>
  <c r="AM2" i="74"/>
  <c r="AN2" i="74"/>
  <c r="Y2" i="74"/>
  <c r="AK2" i="74" l="1"/>
  <c r="AL2" i="74"/>
  <c r="AA2" i="74"/>
  <c r="AB2" i="74" s="1"/>
  <c r="T2" i="74"/>
  <c r="O2" i="74"/>
  <c r="N2" i="74"/>
  <c r="AG2" i="102" l="1"/>
  <c r="Y2" i="102"/>
  <c r="AN2" i="102"/>
  <c r="AM2" i="102"/>
  <c r="AL2" i="102" l="1"/>
  <c r="AK2" i="102"/>
  <c r="AA2" i="102"/>
  <c r="AB2" i="102" s="1"/>
  <c r="T2" i="102"/>
  <c r="O2" i="102"/>
  <c r="N2" i="102"/>
  <c r="AG6" i="99" l="1"/>
  <c r="Y6" i="99"/>
  <c r="AA6" i="99" l="1"/>
  <c r="AB6" i="99" s="1"/>
  <c r="T6" i="99"/>
  <c r="O6" i="99"/>
  <c r="N6" i="99"/>
  <c r="AG5" i="99" l="1"/>
  <c r="Y5" i="99"/>
  <c r="AM5" i="99"/>
  <c r="AN5" i="99"/>
  <c r="AL5" i="99" l="1"/>
  <c r="AK5" i="99"/>
  <c r="AA5" i="99"/>
  <c r="AB5" i="99" s="1"/>
  <c r="T5" i="99"/>
  <c r="O5" i="99"/>
  <c r="N5" i="99"/>
  <c r="AG4" i="99"/>
  <c r="Y4" i="99"/>
  <c r="AN4" i="99"/>
  <c r="AM4" i="99"/>
  <c r="AK4" i="99" l="1"/>
  <c r="AL4" i="99"/>
  <c r="AA4" i="99"/>
  <c r="AB4" i="99" s="1"/>
  <c r="T4" i="99"/>
  <c r="O4" i="99"/>
  <c r="N4" i="99"/>
  <c r="AG3" i="99"/>
  <c r="Y3" i="99"/>
  <c r="AM3" i="99"/>
  <c r="AN3" i="99"/>
  <c r="AL3" i="99" l="1"/>
  <c r="AK3" i="99"/>
  <c r="AA3" i="99"/>
  <c r="AB3" i="99" s="1"/>
  <c r="T3" i="99"/>
  <c r="O3" i="99"/>
  <c r="N3" i="99"/>
  <c r="AG2" i="99"/>
  <c r="Y2" i="99"/>
  <c r="AN2" i="99"/>
  <c r="AM2" i="99"/>
  <c r="AK2" i="99" l="1"/>
  <c r="AL2" i="99"/>
  <c r="AA2" i="99"/>
  <c r="AB2" i="99" s="1"/>
  <c r="T2" i="99"/>
  <c r="O2" i="99"/>
  <c r="N2" i="99"/>
  <c r="AG2" i="101"/>
  <c r="AN2" i="101"/>
  <c r="Y2" i="101"/>
  <c r="AM2" i="101"/>
  <c r="AK2" i="101" l="1"/>
  <c r="AL2" i="101"/>
  <c r="AA2" i="101"/>
  <c r="AB2" i="101" s="1"/>
  <c r="T2" i="101"/>
  <c r="O2" i="101"/>
  <c r="N2" i="101"/>
  <c r="AG3" i="109" l="1"/>
  <c r="AN3" i="109"/>
  <c r="AM3" i="109"/>
  <c r="Y3" i="109"/>
  <c r="AK3" i="109" l="1"/>
  <c r="AL3" i="109"/>
  <c r="AA3" i="109"/>
  <c r="AB3" i="109" s="1"/>
  <c r="T3" i="109"/>
  <c r="O3" i="109"/>
  <c r="N3" i="109"/>
  <c r="AG2" i="109"/>
  <c r="AM2" i="109"/>
  <c r="AN2" i="109"/>
  <c r="Y2" i="109"/>
  <c r="AL2" i="109" l="1"/>
  <c r="AK2" i="109"/>
  <c r="AA2" i="109"/>
  <c r="AB2" i="109" s="1"/>
  <c r="T2" i="109"/>
  <c r="O2" i="109"/>
  <c r="N2" i="109"/>
  <c r="AG2" i="113" l="1"/>
  <c r="AM2" i="113"/>
  <c r="AN2" i="113"/>
  <c r="Y2" i="113"/>
  <c r="AL2" i="113" l="1"/>
  <c r="AK2" i="113"/>
  <c r="AA2" i="113"/>
  <c r="AB2" i="113" s="1"/>
  <c r="T2" i="113"/>
  <c r="O2" i="113"/>
  <c r="N2" i="113"/>
  <c r="AG2" i="94" l="1"/>
  <c r="AM2" i="94"/>
  <c r="AN2" i="94"/>
  <c r="Y2" i="94"/>
  <c r="AL2" i="94" l="1"/>
  <c r="AK2" i="94"/>
  <c r="AA2" i="94"/>
  <c r="AB2" i="94" s="1"/>
  <c r="T2" i="94"/>
  <c r="O2" i="94"/>
  <c r="N2" i="94"/>
  <c r="AG6" i="74" l="1"/>
  <c r="AN6" i="74"/>
  <c r="Y6" i="74"/>
  <c r="AM6" i="74"/>
  <c r="AL6" i="74" l="1"/>
  <c r="AK6" i="74"/>
  <c r="AA6" i="74"/>
  <c r="AB6" i="74" s="1"/>
  <c r="T6" i="74"/>
  <c r="O6" i="74"/>
  <c r="N6" i="74"/>
  <c r="AG5" i="74"/>
  <c r="AM5" i="74"/>
  <c r="AN5" i="74"/>
  <c r="Y5" i="74"/>
  <c r="AK5" i="74" l="1"/>
  <c r="AL5" i="74"/>
  <c r="AA5" i="74"/>
  <c r="AB5" i="74" s="1"/>
  <c r="T5" i="74"/>
  <c r="O5" i="74"/>
  <c r="N5" i="74"/>
  <c r="AG5" i="102"/>
  <c r="AM5" i="102"/>
  <c r="Y5" i="102"/>
  <c r="AN5" i="102"/>
  <c r="AK5" i="102" l="1"/>
  <c r="AL5" i="102"/>
  <c r="AA5" i="102"/>
  <c r="AB5" i="102" s="1"/>
  <c r="T5" i="102"/>
  <c r="O5" i="102"/>
  <c r="N5" i="102"/>
  <c r="O5" i="101" l="1"/>
  <c r="N5" i="101"/>
  <c r="AG7" i="101"/>
  <c r="Y7" i="101"/>
  <c r="AN7" i="101"/>
  <c r="AM7" i="101"/>
  <c r="AL7" i="101" l="1"/>
  <c r="AK7" i="101"/>
  <c r="AA7" i="101"/>
  <c r="AB7" i="101" s="1"/>
  <c r="T7" i="101"/>
  <c r="O7" i="101"/>
  <c r="N7" i="101"/>
  <c r="AG4" i="102"/>
  <c r="AM4" i="102"/>
  <c r="Y4" i="102"/>
  <c r="AN4" i="102"/>
  <c r="AK4" i="102" l="1"/>
  <c r="AL4" i="102"/>
  <c r="AA4" i="102"/>
  <c r="AB4" i="102" s="1"/>
  <c r="T4" i="102"/>
  <c r="O4" i="102"/>
  <c r="N4" i="102"/>
  <c r="AG8" i="99"/>
  <c r="AN8" i="99"/>
  <c r="Y8" i="99"/>
  <c r="AM8" i="99"/>
  <c r="AL8" i="99" l="1"/>
  <c r="AK8" i="99"/>
  <c r="AA8" i="99"/>
  <c r="AB8" i="99" s="1"/>
  <c r="T8" i="99"/>
  <c r="O8" i="99"/>
  <c r="N8" i="99"/>
  <c r="AG8" i="101"/>
  <c r="AN8" i="101"/>
  <c r="Y8" i="101"/>
  <c r="AM8" i="101"/>
  <c r="AL8" i="101" l="1"/>
  <c r="AK8" i="101"/>
  <c r="AA8" i="101"/>
  <c r="AB8" i="101" s="1"/>
  <c r="T8" i="101"/>
  <c r="O8" i="101"/>
  <c r="N8" i="101"/>
  <c r="AG6" i="101"/>
  <c r="AN6" i="101"/>
  <c r="AM6" i="101"/>
  <c r="Y6" i="101"/>
  <c r="AL6" i="101" l="1"/>
  <c r="AK6" i="101"/>
  <c r="AA6" i="101"/>
  <c r="AB6" i="101" s="1"/>
  <c r="T6" i="101"/>
  <c r="O6" i="101"/>
  <c r="N6" i="101"/>
  <c r="AG5" i="101"/>
  <c r="Y5" i="101"/>
  <c r="AN5" i="101"/>
  <c r="AM5" i="101"/>
  <c r="AK5" i="101" l="1"/>
  <c r="AL5" i="101"/>
  <c r="AA5" i="101"/>
  <c r="AB5" i="101" s="1"/>
  <c r="T5" i="101"/>
  <c r="AG4" i="101"/>
  <c r="AM4" i="101"/>
  <c r="AN4" i="101"/>
  <c r="Y4" i="101"/>
  <c r="AK4" i="101" l="1"/>
  <c r="AL4" i="101"/>
  <c r="AA4" i="101"/>
  <c r="AB4" i="101" s="1"/>
  <c r="T4" i="101"/>
  <c r="O4" i="101"/>
  <c r="N4" i="101"/>
  <c r="AG4" i="113" l="1"/>
  <c r="AM4" i="113"/>
  <c r="Y4" i="113"/>
  <c r="AN4" i="113"/>
  <c r="AK4" i="113" l="1"/>
  <c r="AL4" i="113"/>
  <c r="AA4" i="113"/>
  <c r="AB4" i="113" s="1"/>
  <c r="T4" i="113"/>
  <c r="O4" i="113"/>
  <c r="N4" i="113"/>
  <c r="AG4" i="94" l="1"/>
  <c r="Y4" i="94"/>
  <c r="AN4" i="94"/>
  <c r="AM4" i="94"/>
  <c r="AL4" i="94" l="1"/>
  <c r="AK4" i="94"/>
  <c r="AA4" i="94"/>
  <c r="AB4" i="94" s="1"/>
  <c r="T4" i="94"/>
  <c r="O4" i="94"/>
  <c r="N4" i="94"/>
  <c r="AG6" i="109"/>
  <c r="Y6" i="109"/>
  <c r="AM6" i="109"/>
  <c r="AN6" i="109"/>
  <c r="AL6" i="109" l="1"/>
  <c r="AK6" i="109"/>
  <c r="AA6" i="109"/>
  <c r="AB6" i="109" s="1"/>
  <c r="T6" i="109"/>
  <c r="O6" i="109"/>
  <c r="N6" i="109"/>
  <c r="AG5" i="109"/>
  <c r="Y5" i="109"/>
  <c r="AM5" i="109"/>
  <c r="AN5" i="109"/>
  <c r="AK5" i="109" l="1"/>
  <c r="AL5" i="109"/>
  <c r="AA5" i="109"/>
  <c r="AB5" i="109" s="1"/>
  <c r="T5" i="109"/>
  <c r="O5" i="109"/>
  <c r="N5" i="109"/>
  <c r="AG35" i="74" l="1"/>
  <c r="AA35" i="74" l="1"/>
  <c r="AB35" i="74" s="1"/>
  <c r="T35" i="74"/>
  <c r="O35" i="74"/>
  <c r="N35" i="74"/>
  <c r="AG8" i="74"/>
  <c r="AN8" i="74"/>
  <c r="Y8" i="74"/>
  <c r="AM8" i="74"/>
  <c r="AL8" i="74" l="1"/>
  <c r="AK8" i="74"/>
  <c r="AA8" i="74"/>
  <c r="AB8" i="74" s="1"/>
  <c r="T8" i="74"/>
  <c r="O8" i="74"/>
  <c r="N8" i="74"/>
  <c r="AG7" i="74"/>
  <c r="AM7" i="74"/>
  <c r="Y7" i="74"/>
  <c r="AN7" i="74"/>
  <c r="AL7" i="74" l="1"/>
  <c r="AK7" i="74"/>
  <c r="AA7" i="74"/>
  <c r="AB7" i="74" s="1"/>
  <c r="T7" i="74"/>
  <c r="O7" i="74"/>
  <c r="N7" i="74"/>
  <c r="AG48" i="28"/>
  <c r="AN48" i="28"/>
  <c r="AM48" i="28"/>
  <c r="Y48" i="28"/>
  <c r="AK48" i="28" l="1"/>
  <c r="AL48" i="28"/>
  <c r="AA48" i="28"/>
  <c r="AB48" i="28" s="1"/>
  <c r="T48" i="28"/>
  <c r="O48" i="28"/>
  <c r="N48" i="28"/>
  <c r="AG47" i="28"/>
  <c r="Y47" i="28"/>
  <c r="AN47" i="28"/>
  <c r="AM47" i="28"/>
  <c r="AK47" i="28" l="1"/>
  <c r="AL47" i="28"/>
  <c r="AA47" i="28"/>
  <c r="AB47" i="28" s="1"/>
  <c r="T47" i="28"/>
  <c r="O47" i="28"/>
  <c r="N47" i="28"/>
  <c r="AG46" i="28"/>
  <c r="Y46" i="28"/>
  <c r="AN46" i="28"/>
  <c r="AM46" i="28"/>
  <c r="AL46" i="28" l="1"/>
  <c r="AK46" i="28"/>
  <c r="AA46" i="28"/>
  <c r="AB46" i="28" s="1"/>
  <c r="T46" i="28"/>
  <c r="O46" i="28"/>
  <c r="N46" i="28"/>
  <c r="AG45" i="28"/>
  <c r="Y45" i="28"/>
  <c r="AM45" i="28"/>
  <c r="AN45" i="28"/>
  <c r="AL45" i="28" l="1"/>
  <c r="AK45" i="28"/>
  <c r="AA45" i="28"/>
  <c r="AB45" i="28" s="1"/>
  <c r="T45" i="28"/>
  <c r="O45" i="28"/>
  <c r="N45" i="28"/>
  <c r="AG44" i="28"/>
  <c r="Y44" i="28"/>
  <c r="AN44" i="28"/>
  <c r="AM44" i="28"/>
  <c r="AK44" i="28" l="1"/>
  <c r="AL44" i="28"/>
  <c r="AA44" i="28"/>
  <c r="AB44" i="28" s="1"/>
  <c r="T44" i="28"/>
  <c r="O44" i="28"/>
  <c r="N44" i="28"/>
  <c r="AG43" i="28"/>
  <c r="AM43" i="28"/>
  <c r="Y43" i="28"/>
  <c r="AN43" i="28"/>
  <c r="AL43" i="28" l="1"/>
  <c r="AK43" i="28"/>
  <c r="AA43" i="28"/>
  <c r="AB43" i="28" s="1"/>
  <c r="T43" i="28"/>
  <c r="O43" i="28"/>
  <c r="N43" i="28"/>
  <c r="AG3" i="112"/>
  <c r="Y3" i="112"/>
  <c r="AM3" i="112"/>
  <c r="AN3" i="112"/>
  <c r="AL3" i="112" l="1"/>
  <c r="AK3" i="112"/>
  <c r="AA3" i="112"/>
  <c r="AB3" i="112" s="1"/>
  <c r="T3" i="112"/>
  <c r="O3" i="112"/>
  <c r="N3" i="112"/>
  <c r="AG13" i="99" l="1"/>
  <c r="AM13" i="99"/>
  <c r="AN13" i="99"/>
  <c r="Y13" i="99"/>
  <c r="AL13" i="99" l="1"/>
  <c r="AK13" i="99"/>
  <c r="AA13" i="99"/>
  <c r="AB13" i="99" s="1"/>
  <c r="T13" i="99"/>
  <c r="O13" i="99"/>
  <c r="N13" i="99"/>
  <c r="AG12" i="99"/>
  <c r="Y12" i="99"/>
  <c r="AM12" i="99"/>
  <c r="AN12" i="99"/>
  <c r="AL12" i="99" l="1"/>
  <c r="AK12" i="99"/>
  <c r="AA12" i="99"/>
  <c r="AB12" i="99" s="1"/>
  <c r="T12" i="99"/>
  <c r="O12" i="99"/>
  <c r="N12" i="99"/>
  <c r="AG11" i="99"/>
  <c r="Y11" i="99"/>
  <c r="AM11" i="99"/>
  <c r="AN11" i="99"/>
  <c r="AL11" i="99" l="1"/>
  <c r="AK11" i="99"/>
  <c r="AA11" i="99"/>
  <c r="AB11" i="99" s="1"/>
  <c r="T11" i="99"/>
  <c r="O11" i="99"/>
  <c r="N11" i="99"/>
  <c r="AG10" i="99"/>
  <c r="Y10" i="99"/>
  <c r="AM10" i="99"/>
  <c r="AN10" i="99"/>
  <c r="AL10" i="99" l="1"/>
  <c r="AK10" i="99"/>
  <c r="AA10" i="99"/>
  <c r="AB10" i="99" s="1"/>
  <c r="T10" i="99"/>
  <c r="O10" i="99"/>
  <c r="N10" i="99"/>
  <c r="AG9" i="99"/>
  <c r="Y9" i="99"/>
  <c r="AN9" i="99"/>
  <c r="AM9" i="99"/>
  <c r="AL9" i="99" l="1"/>
  <c r="AK9" i="99"/>
  <c r="AA9" i="99"/>
  <c r="AB9" i="99" s="1"/>
  <c r="T9" i="99"/>
  <c r="O9" i="99"/>
  <c r="N9" i="99"/>
  <c r="AG7" i="109" l="1"/>
  <c r="AN7" i="109"/>
  <c r="Y7" i="109"/>
  <c r="AM7" i="109"/>
  <c r="AL7" i="109" l="1"/>
  <c r="AK7" i="109"/>
  <c r="AA7" i="109"/>
  <c r="AB7" i="109" s="1"/>
  <c r="T7" i="109"/>
  <c r="O7" i="109"/>
  <c r="N7" i="109"/>
  <c r="AG6" i="113"/>
  <c r="AN6" i="113"/>
  <c r="AM6" i="113"/>
  <c r="Y6" i="113"/>
  <c r="AK6" i="113" l="1"/>
  <c r="AL6" i="113"/>
  <c r="AA6" i="113"/>
  <c r="AB6" i="113" s="1"/>
  <c r="T6" i="113"/>
  <c r="O6" i="113"/>
  <c r="N6" i="113"/>
  <c r="AG5" i="113"/>
  <c r="Y5" i="113"/>
  <c r="AM5" i="113"/>
  <c r="AN5" i="113"/>
  <c r="AL5" i="113" l="1"/>
  <c r="AK5" i="113"/>
  <c r="AA5" i="113"/>
  <c r="AB5" i="113" s="1"/>
  <c r="T5" i="113"/>
  <c r="O5" i="113"/>
  <c r="N5" i="113"/>
  <c r="AG8" i="113"/>
  <c r="AG6" i="94"/>
  <c r="AN6" i="94"/>
  <c r="Y6" i="94"/>
  <c r="AM6" i="94"/>
  <c r="AL6" i="94" l="1"/>
  <c r="AK6" i="94"/>
  <c r="AA6" i="94"/>
  <c r="AB6" i="94" s="1"/>
  <c r="T6" i="94"/>
  <c r="O6" i="94"/>
  <c r="N6" i="94"/>
  <c r="AG5" i="94"/>
  <c r="Y5" i="94"/>
  <c r="AN5" i="94"/>
  <c r="AM5" i="94"/>
  <c r="AK5" i="94" l="1"/>
  <c r="AL5" i="94"/>
  <c r="AA5" i="94"/>
  <c r="AB5" i="94" s="1"/>
  <c r="T5" i="94"/>
  <c r="O5" i="94"/>
  <c r="N5" i="94"/>
  <c r="AG10" i="74" l="1"/>
  <c r="AN10" i="74"/>
  <c r="Y10" i="74"/>
  <c r="AM10" i="74"/>
  <c r="AL10" i="74" l="1"/>
  <c r="AK10" i="74"/>
  <c r="AA10" i="74"/>
  <c r="AB10" i="74" s="1"/>
  <c r="T10" i="74"/>
  <c r="O10" i="74"/>
  <c r="N10" i="74"/>
  <c r="AG9" i="74"/>
  <c r="AN9" i="74"/>
  <c r="AM9" i="74"/>
  <c r="Y9" i="74"/>
  <c r="AL9" i="74" l="1"/>
  <c r="AK9" i="74"/>
  <c r="AA9" i="74"/>
  <c r="AB9" i="74" s="1"/>
  <c r="T9" i="74"/>
  <c r="O9" i="74"/>
  <c r="N9" i="74"/>
  <c r="AG53" i="28"/>
  <c r="AN53" i="28"/>
  <c r="AM53" i="28"/>
  <c r="Y53" i="28"/>
  <c r="AL53" i="28" l="1"/>
  <c r="AK53" i="28"/>
  <c r="AA53" i="28"/>
  <c r="AB53" i="28" s="1"/>
  <c r="T53" i="28"/>
  <c r="O53" i="28"/>
  <c r="N53" i="28"/>
  <c r="AG52" i="28"/>
  <c r="AM52" i="28"/>
  <c r="AN52" i="28"/>
  <c r="Y52" i="28"/>
  <c r="AK52" i="28" l="1"/>
  <c r="AL52" i="28"/>
  <c r="AA52" i="28"/>
  <c r="AB52" i="28" s="1"/>
  <c r="T52" i="28"/>
  <c r="O52" i="28"/>
  <c r="N52" i="28"/>
  <c r="AG51" i="28"/>
  <c r="AN51" i="28"/>
  <c r="AM51" i="28"/>
  <c r="Y51" i="28"/>
  <c r="AL51" i="28" l="1"/>
  <c r="AK51" i="28"/>
  <c r="AA51" i="28"/>
  <c r="AB51" i="28" s="1"/>
  <c r="T51" i="28"/>
  <c r="O51" i="28"/>
  <c r="N51" i="28"/>
  <c r="AG50" i="28"/>
  <c r="Y50" i="28"/>
  <c r="AN50" i="28"/>
  <c r="AM50" i="28"/>
  <c r="AL50" i="28" l="1"/>
  <c r="AK50" i="28"/>
  <c r="AA50" i="28"/>
  <c r="AB50" i="28" s="1"/>
  <c r="T50" i="28"/>
  <c r="O50" i="28"/>
  <c r="N50" i="28"/>
  <c r="AG49" i="28"/>
  <c r="Y49" i="28"/>
  <c r="AM49" i="28"/>
  <c r="AN49" i="28"/>
  <c r="AL49" i="28" l="1"/>
  <c r="AK49" i="28"/>
  <c r="AA49" i="28"/>
  <c r="AB49" i="28" s="1"/>
  <c r="T49" i="28"/>
  <c r="O49" i="28"/>
  <c r="N49" i="28"/>
  <c r="T3" i="108"/>
  <c r="O3" i="108"/>
  <c r="N3" i="108"/>
  <c r="AG3" i="108"/>
  <c r="AM3" i="108"/>
  <c r="AN3" i="108"/>
  <c r="Y3" i="108"/>
  <c r="AL3" i="108" l="1"/>
  <c r="AK3" i="108"/>
  <c r="AA3" i="108"/>
  <c r="AB3" i="108" s="1"/>
  <c r="N14" i="28"/>
  <c r="AG5" i="108" l="1"/>
  <c r="Y5" i="108"/>
  <c r="AN5" i="108"/>
  <c r="AM5" i="108"/>
  <c r="AK5" i="108" l="1"/>
  <c r="AL5" i="108"/>
  <c r="AA5" i="108"/>
  <c r="AB5" i="108" s="1"/>
  <c r="Q5" i="108"/>
  <c r="T5" i="108" s="1"/>
  <c r="O5" i="108"/>
  <c r="N5" i="108"/>
  <c r="AG4" i="108"/>
  <c r="Y4" i="108"/>
  <c r="AN4" i="108"/>
  <c r="AM4" i="108"/>
  <c r="AK4" i="108" l="1"/>
  <c r="AL4" i="108"/>
  <c r="AA4" i="108"/>
  <c r="AB4" i="108" s="1"/>
  <c r="T4" i="108"/>
  <c r="O4" i="108"/>
  <c r="N4" i="108"/>
  <c r="AG14" i="107" l="1"/>
  <c r="AN14" i="107"/>
  <c r="Y14" i="107"/>
  <c r="AM14" i="107"/>
  <c r="AL14" i="107" l="1"/>
  <c r="AK14" i="107"/>
  <c r="AA14" i="107"/>
  <c r="AB14" i="107" s="1"/>
  <c r="T14" i="107"/>
  <c r="O14" i="107"/>
  <c r="N14" i="107"/>
  <c r="AG13" i="107"/>
  <c r="Y13" i="107"/>
  <c r="AM13" i="107"/>
  <c r="AN13" i="107"/>
  <c r="AL13" i="107" l="1"/>
  <c r="AK13" i="107"/>
  <c r="AA13" i="107"/>
  <c r="AB13" i="107" s="1"/>
  <c r="T13" i="107"/>
  <c r="O13" i="107"/>
  <c r="N13" i="107"/>
  <c r="AG12" i="107"/>
  <c r="Y12" i="107"/>
  <c r="AN12" i="107"/>
  <c r="AM12" i="107"/>
  <c r="AK12" i="107" l="1"/>
  <c r="AL12" i="107"/>
  <c r="AA12" i="107"/>
  <c r="AB12" i="107" s="1"/>
  <c r="T12" i="107"/>
  <c r="O12" i="107"/>
  <c r="N12" i="107"/>
  <c r="AG11" i="107"/>
  <c r="Y11" i="107"/>
  <c r="AM11" i="107"/>
  <c r="AN11" i="107"/>
  <c r="AL11" i="107" l="1"/>
  <c r="AK11" i="107"/>
  <c r="AA11" i="107"/>
  <c r="AB11" i="107" s="1"/>
  <c r="T11" i="107"/>
  <c r="O11" i="107"/>
  <c r="N11" i="107"/>
  <c r="AG10" i="107"/>
  <c r="Y10" i="107"/>
  <c r="AN10" i="107"/>
  <c r="AM10" i="107"/>
  <c r="AK10" i="107" l="1"/>
  <c r="AL10" i="107"/>
  <c r="AA10" i="107"/>
  <c r="AB10" i="107" s="1"/>
  <c r="T10" i="107"/>
  <c r="O10" i="107"/>
  <c r="N10" i="107"/>
  <c r="AG26" i="107"/>
  <c r="AM26" i="107"/>
  <c r="AN26" i="107"/>
  <c r="AL26" i="107" l="1"/>
  <c r="AK26" i="107"/>
  <c r="AA26" i="107"/>
  <c r="AB26" i="107" s="1"/>
  <c r="T26" i="107"/>
  <c r="O26" i="107"/>
  <c r="N26" i="107"/>
  <c r="AG9" i="107"/>
  <c r="Y9" i="107"/>
  <c r="AM9" i="107"/>
  <c r="AN9" i="107"/>
  <c r="AK9" i="107" l="1"/>
  <c r="AL9" i="107"/>
  <c r="AA9" i="107"/>
  <c r="AB9" i="107" s="1"/>
  <c r="T9" i="107"/>
  <c r="O9" i="107"/>
  <c r="N9" i="107"/>
  <c r="AG8" i="107"/>
  <c r="Y8" i="107"/>
  <c r="AN8" i="107"/>
  <c r="AM8" i="107"/>
  <c r="AK8" i="107" l="1"/>
  <c r="AL8" i="107"/>
  <c r="AA8" i="107"/>
  <c r="AB8" i="107" s="1"/>
  <c r="T8" i="107"/>
  <c r="O8" i="107"/>
  <c r="N8" i="107"/>
  <c r="AG7" i="107"/>
  <c r="Y7" i="107"/>
  <c r="AM7" i="107"/>
  <c r="AN7" i="107"/>
  <c r="AL7" i="107" l="1"/>
  <c r="AK7" i="107"/>
  <c r="AA7" i="107"/>
  <c r="AB7" i="107" s="1"/>
  <c r="T7" i="107"/>
  <c r="O7" i="107"/>
  <c r="N7" i="107"/>
  <c r="AG6" i="107"/>
  <c r="Y6" i="107"/>
  <c r="AM6" i="107"/>
  <c r="AN6" i="107"/>
  <c r="AL6" i="107" l="1"/>
  <c r="AK6" i="107"/>
  <c r="AA6" i="107"/>
  <c r="AB6" i="107" s="1"/>
  <c r="T6" i="107"/>
  <c r="O6" i="107"/>
  <c r="N6" i="107"/>
  <c r="AG5" i="107"/>
  <c r="Y5" i="107"/>
  <c r="AM5" i="107"/>
  <c r="AN5" i="107"/>
  <c r="AL5" i="107" l="1"/>
  <c r="AK5" i="107"/>
  <c r="AA5" i="107"/>
  <c r="AB5" i="107" s="1"/>
  <c r="T5" i="107"/>
  <c r="O5" i="107"/>
  <c r="N5" i="107"/>
  <c r="AG4" i="107"/>
  <c r="AM4" i="107"/>
  <c r="Y4" i="107"/>
  <c r="AN4" i="107"/>
  <c r="AK4" i="107" l="1"/>
  <c r="AL4" i="107"/>
  <c r="AA4" i="107"/>
  <c r="AB4" i="107" s="1"/>
  <c r="T4" i="107"/>
  <c r="O4" i="107"/>
  <c r="N4" i="107"/>
  <c r="AG3" i="107"/>
  <c r="Y3" i="107"/>
  <c r="AM3" i="107"/>
  <c r="AN3" i="107"/>
  <c r="AL3" i="107" l="1"/>
  <c r="AK3" i="107"/>
  <c r="AA3" i="107"/>
  <c r="AB3" i="107" s="1"/>
  <c r="T3" i="107"/>
  <c r="O3" i="107"/>
  <c r="N3" i="107"/>
  <c r="AG14" i="98" l="1"/>
  <c r="Y14" i="98"/>
  <c r="AN14" i="98"/>
  <c r="AM14" i="98"/>
  <c r="AK14" i="98" l="1"/>
  <c r="AL14" i="98"/>
  <c r="AA14" i="98"/>
  <c r="AB14" i="98" s="1"/>
  <c r="T14" i="98"/>
  <c r="O14" i="98"/>
  <c r="N14" i="98"/>
  <c r="AG13" i="98"/>
  <c r="AM13" i="98"/>
  <c r="Y13" i="98"/>
  <c r="AN13" i="98"/>
  <c r="AL13" i="98" l="1"/>
  <c r="AK13" i="98"/>
  <c r="AA13" i="98"/>
  <c r="AB13" i="98" s="1"/>
  <c r="T13" i="98"/>
  <c r="O13" i="98"/>
  <c r="N13" i="98"/>
  <c r="AG12" i="98"/>
  <c r="AN12" i="98"/>
  <c r="AM12" i="98"/>
  <c r="Y12" i="98"/>
  <c r="AL12" i="98" l="1"/>
  <c r="AK12" i="98"/>
  <c r="AA12" i="98"/>
  <c r="AB12" i="98" s="1"/>
  <c r="T12" i="98"/>
  <c r="O12" i="98"/>
  <c r="N12" i="98"/>
  <c r="AG11" i="98"/>
  <c r="Y11" i="98"/>
  <c r="AM11" i="98"/>
  <c r="AN11" i="98"/>
  <c r="AL11" i="98" l="1"/>
  <c r="AK11" i="98"/>
  <c r="AA11" i="98"/>
  <c r="AB11" i="98" s="1"/>
  <c r="Q11" i="98"/>
  <c r="T11" i="98" s="1"/>
  <c r="O11" i="98"/>
  <c r="N11" i="98"/>
  <c r="AG10" i="98"/>
  <c r="AN10" i="98"/>
  <c r="Y10" i="98"/>
  <c r="AM10" i="98"/>
  <c r="AK10" i="98" l="1"/>
  <c r="AL10" i="98"/>
  <c r="AA10" i="98"/>
  <c r="AB10" i="98" s="1"/>
  <c r="Q10" i="98"/>
  <c r="T10" i="98" s="1"/>
  <c r="O10" i="98"/>
  <c r="N10" i="98"/>
  <c r="AG9" i="98"/>
  <c r="Y9" i="98"/>
  <c r="AM9" i="98"/>
  <c r="AN9" i="98"/>
  <c r="AL9" i="98" l="1"/>
  <c r="AK9" i="98"/>
  <c r="AA9" i="98"/>
  <c r="AB9" i="98" s="1"/>
  <c r="Q9" i="98"/>
  <c r="T9" i="98" s="1"/>
  <c r="O9" i="98"/>
  <c r="N9" i="98"/>
  <c r="AN8" i="98"/>
  <c r="AM8" i="98"/>
  <c r="AL8" i="98" l="1"/>
  <c r="AK8" i="98"/>
  <c r="AG8" i="98"/>
  <c r="Y8" i="98"/>
  <c r="AA8" i="98" l="1"/>
  <c r="AB8" i="98" s="1"/>
  <c r="Q8" i="98"/>
  <c r="T8" i="98" s="1"/>
  <c r="O8" i="98"/>
  <c r="N8" i="98"/>
  <c r="AG41" i="98"/>
  <c r="AN41" i="98"/>
  <c r="AM41" i="98"/>
  <c r="AK41" i="98" l="1"/>
  <c r="AL41" i="98"/>
  <c r="AA41" i="98"/>
  <c r="AB41" i="98" s="1"/>
  <c r="T41" i="98"/>
  <c r="O41" i="98"/>
  <c r="N41" i="98"/>
  <c r="AG7" i="98"/>
  <c r="Y7" i="98"/>
  <c r="AN7" i="98"/>
  <c r="AM7" i="98"/>
  <c r="AK7" i="98" l="1"/>
  <c r="AL7" i="98"/>
  <c r="AA7" i="98"/>
  <c r="AB7" i="98" s="1"/>
  <c r="T7" i="98"/>
  <c r="O7" i="98"/>
  <c r="N7" i="98"/>
  <c r="AG6" i="98"/>
  <c r="AM6" i="98"/>
  <c r="Y6" i="98"/>
  <c r="AN6" i="98"/>
  <c r="AL6" i="98" l="1"/>
  <c r="AK6" i="98"/>
  <c r="AA6" i="98"/>
  <c r="AB6" i="98" s="1"/>
  <c r="T6" i="98"/>
  <c r="O6" i="98"/>
  <c r="N6" i="98"/>
  <c r="AG5" i="98"/>
  <c r="AM5" i="98"/>
  <c r="Y5" i="98"/>
  <c r="AN5" i="98"/>
  <c r="AL5" i="98" l="1"/>
  <c r="AK5" i="98"/>
  <c r="AA5" i="98"/>
  <c r="AB5" i="98" s="1"/>
  <c r="T5" i="98"/>
  <c r="O5" i="98"/>
  <c r="N5" i="98"/>
  <c r="AG40" i="98"/>
  <c r="AM40" i="98"/>
  <c r="AN40" i="98"/>
  <c r="AK40" i="98" l="1"/>
  <c r="AL40" i="98"/>
  <c r="AA40" i="98"/>
  <c r="AB40" i="98" s="1"/>
  <c r="T40" i="98"/>
  <c r="O40" i="98"/>
  <c r="N40" i="98"/>
  <c r="AG4" i="98"/>
  <c r="Y4" i="98"/>
  <c r="AN4" i="98"/>
  <c r="AM4" i="98"/>
  <c r="AK4" i="98" l="1"/>
  <c r="AL4" i="98"/>
  <c r="AA4" i="98"/>
  <c r="AB4" i="98" s="1"/>
  <c r="T4" i="98"/>
  <c r="O4" i="98"/>
  <c r="N4" i="98"/>
  <c r="AG3" i="98"/>
  <c r="Y3" i="98"/>
  <c r="AM3" i="98"/>
  <c r="AN3" i="98"/>
  <c r="AL3" i="98" l="1"/>
  <c r="AK3" i="98"/>
  <c r="AA3" i="98"/>
  <c r="AB3" i="98" s="1"/>
  <c r="T3" i="98"/>
  <c r="O3" i="98"/>
  <c r="N3" i="98"/>
  <c r="AG8" i="102" l="1"/>
  <c r="AN8" i="102"/>
  <c r="AM8" i="102"/>
  <c r="Y8" i="102"/>
  <c r="AL8" i="102" l="1"/>
  <c r="AK8" i="102"/>
  <c r="AA8" i="102"/>
  <c r="AB8" i="102" s="1"/>
  <c r="T8" i="102"/>
  <c r="O8" i="102"/>
  <c r="N8" i="102"/>
  <c r="AG7" i="102"/>
  <c r="Y7" i="102"/>
  <c r="AN7" i="102"/>
  <c r="AM7" i="102"/>
  <c r="AL7" i="102" l="1"/>
  <c r="AK7" i="102"/>
  <c r="AA7" i="102"/>
  <c r="AB7" i="102" s="1"/>
  <c r="T7" i="102"/>
  <c r="O7" i="102"/>
  <c r="N7" i="102"/>
  <c r="AG6" i="102"/>
  <c r="Y6" i="102"/>
  <c r="AN6" i="102"/>
  <c r="AM6" i="102"/>
  <c r="AL6" i="102" l="1"/>
  <c r="AK6" i="102"/>
  <c r="AA6" i="102"/>
  <c r="AB6" i="102" s="1"/>
  <c r="T6" i="102"/>
  <c r="O6" i="102"/>
  <c r="N6" i="102"/>
  <c r="AG3" i="110" l="1"/>
  <c r="AM3" i="110"/>
  <c r="AN3" i="110"/>
  <c r="Y3" i="110"/>
  <c r="AL3" i="110" l="1"/>
  <c r="AK3" i="110"/>
  <c r="AA3" i="110"/>
  <c r="AB3" i="110" s="1"/>
  <c r="T3" i="110"/>
  <c r="O3" i="110"/>
  <c r="N3" i="110"/>
  <c r="AG15" i="99" l="1"/>
  <c r="AM15" i="99"/>
  <c r="Y15" i="99"/>
  <c r="AN15" i="99"/>
  <c r="AK15" i="99" l="1"/>
  <c r="AL15" i="99"/>
  <c r="AA15" i="99"/>
  <c r="AB15" i="99" s="1"/>
  <c r="T15" i="99"/>
  <c r="O15" i="99"/>
  <c r="N15" i="99"/>
  <c r="AG14" i="99"/>
  <c r="Y14" i="99"/>
  <c r="AM14" i="99"/>
  <c r="AN14" i="99"/>
  <c r="AL14" i="99" l="1"/>
  <c r="AK14" i="99"/>
  <c r="AA14" i="99"/>
  <c r="AB14" i="99" s="1"/>
  <c r="T14" i="99"/>
  <c r="O14" i="99"/>
  <c r="N14" i="99"/>
  <c r="AG8" i="94" l="1"/>
  <c r="Y8" i="94"/>
  <c r="AM8" i="94"/>
  <c r="AN8" i="94"/>
  <c r="AK8" i="94" l="1"/>
  <c r="AL8" i="94"/>
  <c r="AA8" i="94"/>
  <c r="AB8" i="94" s="1"/>
  <c r="T8" i="94"/>
  <c r="O8" i="94"/>
  <c r="N8" i="94"/>
  <c r="AG7" i="94"/>
  <c r="Y7" i="94"/>
  <c r="AN7" i="94"/>
  <c r="AM7" i="94"/>
  <c r="AL7" i="94" l="1"/>
  <c r="AK7" i="94"/>
  <c r="AA7" i="94"/>
  <c r="AB7" i="94" s="1"/>
  <c r="T7" i="94"/>
  <c r="O7" i="94"/>
  <c r="N7" i="94"/>
  <c r="AG9" i="109"/>
  <c r="AM9" i="109"/>
  <c r="AN9" i="109"/>
  <c r="Y9" i="109"/>
  <c r="AK9" i="109" l="1"/>
  <c r="AL9" i="109"/>
  <c r="AA9" i="109"/>
  <c r="AB9" i="109" s="1"/>
  <c r="T9" i="109"/>
  <c r="O9" i="109"/>
  <c r="N9" i="109"/>
  <c r="AG8" i="109"/>
  <c r="AN8" i="109"/>
  <c r="Y8" i="109"/>
  <c r="AM8" i="109"/>
  <c r="AL8" i="109" l="1"/>
  <c r="AK8" i="109"/>
  <c r="AA8" i="109"/>
  <c r="AB8" i="109" s="1"/>
  <c r="T8" i="109"/>
  <c r="O8" i="109"/>
  <c r="N8" i="109"/>
  <c r="AG65" i="28" l="1"/>
  <c r="AN65" i="28"/>
  <c r="AM65" i="28"/>
  <c r="Y65" i="28"/>
  <c r="AL65" i="28" l="1"/>
  <c r="AK65" i="28"/>
  <c r="AA65" i="28"/>
  <c r="AB65" i="28" s="1"/>
  <c r="T65" i="28"/>
  <c r="O65" i="28"/>
  <c r="N65" i="28"/>
  <c r="N24" i="28" l="1"/>
  <c r="O24" i="28"/>
  <c r="T24" i="28"/>
  <c r="AN24" i="28"/>
  <c r="Y24" i="28"/>
  <c r="AM24" i="28"/>
  <c r="AI24" i="28" l="1"/>
  <c r="AA24" i="28"/>
  <c r="AB24" i="28" s="1"/>
  <c r="AL24" i="28"/>
  <c r="AK24" i="28"/>
  <c r="AP24" i="28"/>
  <c r="AG55" i="28"/>
  <c r="AN55" i="28"/>
  <c r="AM55" i="28"/>
  <c r="Y55" i="28"/>
  <c r="AL55" i="28" l="1"/>
  <c r="AK55" i="28"/>
  <c r="AA55" i="28"/>
  <c r="AB55" i="28" s="1"/>
  <c r="T55" i="28"/>
  <c r="O55" i="28"/>
  <c r="N55" i="28"/>
  <c r="AG54" i="28"/>
  <c r="AM54" i="28"/>
  <c r="AN54" i="28"/>
  <c r="Y54" i="28"/>
  <c r="AK54" i="28" l="1"/>
  <c r="AL54" i="28"/>
  <c r="AA54" i="28"/>
  <c r="AB54" i="28" s="1"/>
  <c r="Q54" i="28"/>
  <c r="T54" i="28" s="1"/>
  <c r="O54" i="28"/>
  <c r="N54" i="28"/>
  <c r="AG12" i="74" l="1"/>
  <c r="Y12" i="74"/>
  <c r="AN12" i="74"/>
  <c r="AM12" i="74"/>
  <c r="AL12" i="74" l="1"/>
  <c r="AK12" i="74"/>
  <c r="AA12" i="74"/>
  <c r="AB12" i="74" s="1"/>
  <c r="T12" i="74"/>
  <c r="O12" i="74"/>
  <c r="N12" i="74"/>
  <c r="AG11" i="74"/>
  <c r="AN11" i="74"/>
  <c r="AM11" i="74"/>
  <c r="Y11" i="74"/>
  <c r="AL11" i="74" l="1"/>
  <c r="AK11" i="74"/>
  <c r="AA11" i="74"/>
  <c r="AB11" i="74" s="1"/>
  <c r="Q11" i="74"/>
  <c r="T11" i="74" s="1"/>
  <c r="O11" i="74"/>
  <c r="N11" i="74"/>
  <c r="AG13" i="74"/>
  <c r="AM13" i="74"/>
  <c r="AN13" i="74"/>
  <c r="Y13" i="74"/>
  <c r="AL13" i="74" l="1"/>
  <c r="AK13" i="74"/>
  <c r="AA13" i="74"/>
  <c r="AB13" i="74" s="1"/>
  <c r="T13" i="74"/>
  <c r="O13" i="74"/>
  <c r="N13" i="74"/>
  <c r="AG11" i="102" l="1"/>
  <c r="Y11" i="102"/>
  <c r="AM11" i="102"/>
  <c r="AN11" i="102"/>
  <c r="AK11" i="102" l="1"/>
  <c r="AL11" i="102"/>
  <c r="AA11" i="102"/>
  <c r="AB11" i="102" s="1"/>
  <c r="T11" i="102"/>
  <c r="O11" i="102"/>
  <c r="N11" i="102"/>
  <c r="AG9" i="102"/>
  <c r="Y9" i="102"/>
  <c r="AN9" i="102"/>
  <c r="AM9" i="102"/>
  <c r="AL9" i="102" l="1"/>
  <c r="AK9" i="102"/>
  <c r="AA9" i="102"/>
  <c r="AB9" i="102" s="1"/>
  <c r="T9" i="102"/>
  <c r="O9" i="102"/>
  <c r="N9" i="102"/>
  <c r="AG10" i="102"/>
  <c r="Y10" i="102"/>
  <c r="AM10" i="102"/>
  <c r="AN10" i="102"/>
  <c r="AL10" i="102" l="1"/>
  <c r="AK10" i="102"/>
  <c r="AA10" i="102"/>
  <c r="AB10" i="102" s="1"/>
  <c r="T10" i="102"/>
  <c r="O10" i="102"/>
  <c r="N10" i="102"/>
  <c r="AG4" i="110" l="1"/>
  <c r="AM4" i="110"/>
  <c r="AN4" i="110"/>
  <c r="Y4" i="110"/>
  <c r="AL4" i="110" l="1"/>
  <c r="AK4" i="110"/>
  <c r="AA4" i="110"/>
  <c r="AB4" i="110" s="1"/>
  <c r="T4" i="110"/>
  <c r="O4" i="110"/>
  <c r="N4" i="110"/>
  <c r="AG16" i="99"/>
  <c r="Y16" i="99"/>
  <c r="AN16" i="99"/>
  <c r="AM16" i="99"/>
  <c r="AL16" i="99" l="1"/>
  <c r="AK16" i="99"/>
  <c r="AA16" i="99"/>
  <c r="AB16" i="99" s="1"/>
  <c r="T16" i="99"/>
  <c r="O16" i="99"/>
  <c r="N16" i="99"/>
  <c r="AG35" i="101" l="1"/>
  <c r="AM35" i="101"/>
  <c r="AN35" i="101"/>
  <c r="AL35" i="101" l="1"/>
  <c r="AK35" i="101"/>
  <c r="AA35" i="101"/>
  <c r="AB35" i="101" s="1"/>
  <c r="T35" i="101"/>
  <c r="O35" i="101"/>
  <c r="N35" i="101"/>
  <c r="AG36" i="101"/>
  <c r="AA36" i="101" l="1"/>
  <c r="AB36" i="101" s="1"/>
  <c r="T36" i="101"/>
  <c r="O36" i="101"/>
  <c r="N36" i="101"/>
  <c r="AG9" i="101"/>
  <c r="Y9" i="101"/>
  <c r="AN9" i="101"/>
  <c r="AM9" i="101"/>
  <c r="AL9" i="101" l="1"/>
  <c r="AK9" i="101"/>
  <c r="AA9" i="101"/>
  <c r="AB9" i="101" s="1"/>
  <c r="T9" i="101"/>
  <c r="O9" i="101"/>
  <c r="N9" i="101"/>
  <c r="AG14" i="74" l="1"/>
  <c r="AM14" i="74"/>
  <c r="Y14" i="74"/>
  <c r="AN14" i="74"/>
  <c r="AK14" i="74" l="1"/>
  <c r="AL14" i="74"/>
  <c r="AA14" i="74"/>
  <c r="AB14" i="74" s="1"/>
  <c r="T14" i="74"/>
  <c r="O14" i="74"/>
  <c r="N14" i="74"/>
  <c r="AP34" i="28"/>
  <c r="AP14" i="28"/>
  <c r="AG13" i="102" l="1"/>
  <c r="AN13" i="102"/>
  <c r="Y13" i="102"/>
  <c r="AM13" i="102"/>
  <c r="AL13" i="102" l="1"/>
  <c r="AK13" i="102"/>
  <c r="AA13" i="102"/>
  <c r="AB13" i="102" s="1"/>
  <c r="T13" i="102"/>
  <c r="O13" i="102"/>
  <c r="N13" i="102"/>
  <c r="AG12" i="102"/>
  <c r="AN12" i="102"/>
  <c r="AM12" i="102"/>
  <c r="Y12" i="102"/>
  <c r="AL12" i="102" l="1"/>
  <c r="AK12" i="102"/>
  <c r="AA12" i="102"/>
  <c r="AB12" i="102" s="1"/>
  <c r="T12" i="102"/>
  <c r="O12" i="102"/>
  <c r="N12" i="102"/>
  <c r="AG11" i="109" l="1"/>
  <c r="Y11" i="109"/>
  <c r="AN11" i="109"/>
  <c r="AM11" i="109"/>
  <c r="AL11" i="109" l="1"/>
  <c r="AK11" i="109"/>
  <c r="AA11" i="109"/>
  <c r="AB11" i="109" s="1"/>
  <c r="T11" i="109"/>
  <c r="O11" i="109"/>
  <c r="N11" i="109"/>
  <c r="AG10" i="109"/>
  <c r="AM10" i="109"/>
  <c r="AN10" i="109"/>
  <c r="Y10" i="109"/>
  <c r="AK10" i="109" l="1"/>
  <c r="AL10" i="109"/>
  <c r="AA10" i="109"/>
  <c r="AB10" i="109" s="1"/>
  <c r="T10" i="109"/>
  <c r="O10" i="109"/>
  <c r="N10" i="109"/>
  <c r="AG5" i="110"/>
  <c r="Y5" i="110"/>
  <c r="AM5" i="110"/>
  <c r="AN5" i="110"/>
  <c r="AL5" i="110" l="1"/>
  <c r="AK5" i="110"/>
  <c r="AA5" i="110"/>
  <c r="AB5" i="110" s="1"/>
  <c r="T5" i="110"/>
  <c r="O5" i="110"/>
  <c r="N5" i="110"/>
  <c r="AG17" i="99" l="1"/>
  <c r="Y17" i="99"/>
  <c r="AN17" i="99"/>
  <c r="AM17" i="99"/>
  <c r="AK17" i="99" l="1"/>
  <c r="AL17" i="99"/>
  <c r="AA17" i="99"/>
  <c r="AB17" i="99" s="1"/>
  <c r="T17" i="99"/>
  <c r="O17" i="99"/>
  <c r="N17" i="99"/>
  <c r="AG9" i="94" l="1"/>
  <c r="Y9" i="94"/>
  <c r="AM9" i="94"/>
  <c r="AN9" i="94"/>
  <c r="AK9" i="94" l="1"/>
  <c r="AL9" i="94"/>
  <c r="AA9" i="94"/>
  <c r="AB9" i="94" s="1"/>
  <c r="T9" i="94"/>
  <c r="O9" i="94"/>
  <c r="N9" i="94"/>
  <c r="AG5" i="112"/>
  <c r="AP16" i="28" l="1"/>
  <c r="AP15" i="28"/>
  <c r="AP17" i="28"/>
  <c r="AP18" i="28"/>
  <c r="AP22" i="28"/>
  <c r="AP26" i="28"/>
  <c r="AP20" i="28"/>
  <c r="AP21" i="28"/>
  <c r="AP23" i="28"/>
  <c r="AP27" i="28"/>
  <c r="AP28" i="28"/>
  <c r="AP29" i="28"/>
  <c r="AP25" i="28"/>
  <c r="AP19" i="28"/>
  <c r="AP30" i="28"/>
  <c r="AP35" i="28"/>
  <c r="AP31" i="28"/>
  <c r="AP32" i="28"/>
  <c r="AP33" i="28"/>
  <c r="AP36" i="28"/>
  <c r="AP37" i="28"/>
  <c r="AP39" i="28"/>
  <c r="AP38" i="28"/>
  <c r="AP40" i="28"/>
  <c r="AP41" i="28" l="1"/>
  <c r="AG15" i="74"/>
  <c r="AM15" i="74"/>
  <c r="Y15" i="74"/>
  <c r="AN15" i="74"/>
  <c r="AK15" i="74" l="1"/>
  <c r="AL15" i="74"/>
  <c r="AA15" i="74"/>
  <c r="AB15" i="74" s="1"/>
  <c r="T15" i="74"/>
  <c r="O15" i="74"/>
  <c r="N15" i="74"/>
  <c r="AG7" i="110" l="1"/>
  <c r="AN1807" i="57"/>
  <c r="AM1807" i="57"/>
  <c r="AL1807" i="57" l="1"/>
  <c r="AK1807" i="57"/>
  <c r="AM1808" i="57"/>
  <c r="AN1808" i="57"/>
  <c r="AL1808" i="57" l="1"/>
  <c r="AK1808" i="57"/>
  <c r="AM1809" i="57"/>
  <c r="AN1809" i="57"/>
  <c r="AL1809" i="57" l="1"/>
  <c r="AK1809" i="57"/>
  <c r="AM1810" i="57"/>
  <c r="AN1810" i="57"/>
  <c r="AL1810" i="57" l="1"/>
  <c r="AK1810" i="57"/>
  <c r="AM1813" i="57"/>
  <c r="AN1813" i="57"/>
  <c r="AL1813" i="57" l="1"/>
  <c r="AK1813" i="57"/>
  <c r="AN1814" i="57"/>
  <c r="AM1814" i="57"/>
  <c r="AL1814" i="57" l="1"/>
  <c r="AK1814" i="57"/>
  <c r="AG14" i="102" l="1"/>
  <c r="Y14" i="102"/>
  <c r="AA14" i="102" l="1"/>
  <c r="AB14" i="102" s="1"/>
  <c r="T14" i="102"/>
  <c r="O14" i="102"/>
  <c r="N14" i="102"/>
  <c r="AG15" i="102"/>
  <c r="Y15" i="102"/>
  <c r="AA15" i="102" l="1"/>
  <c r="AB15" i="102" s="1"/>
  <c r="T15" i="102"/>
  <c r="O15" i="102"/>
  <c r="N15" i="102"/>
  <c r="AG12" i="101" l="1"/>
  <c r="Y12" i="101"/>
  <c r="AA12" i="101" l="1"/>
  <c r="AB12" i="101" s="1"/>
  <c r="T12" i="101"/>
  <c r="O12" i="101"/>
  <c r="N12" i="101"/>
  <c r="AG11" i="101"/>
  <c r="Y11" i="101"/>
  <c r="AA11" i="101" l="1"/>
  <c r="AB11" i="101" s="1"/>
  <c r="T11" i="101"/>
  <c r="O11" i="101"/>
  <c r="N11" i="101"/>
  <c r="AG10" i="101"/>
  <c r="Y10" i="101"/>
  <c r="AA10" i="101" l="1"/>
  <c r="AB10" i="101" s="1"/>
  <c r="T10" i="101"/>
  <c r="O10" i="101"/>
  <c r="N10" i="101"/>
  <c r="AG37" i="101"/>
  <c r="AA37" i="101" l="1"/>
  <c r="AB37" i="101" s="1"/>
  <c r="T37" i="101"/>
  <c r="O37" i="101"/>
  <c r="N37" i="101"/>
  <c r="AG18" i="109" l="1"/>
  <c r="AA18" i="109" l="1"/>
  <c r="AB18" i="109" s="1"/>
  <c r="T18" i="109"/>
  <c r="O18" i="109"/>
  <c r="N18" i="109"/>
  <c r="AG41" i="74" l="1"/>
  <c r="AA41" i="74" l="1"/>
  <c r="AB41" i="74" s="1"/>
  <c r="T41" i="74"/>
  <c r="O41" i="74"/>
  <c r="N41" i="74"/>
  <c r="AG20" i="74"/>
  <c r="Y20" i="74"/>
  <c r="AA20" i="74" l="1"/>
  <c r="AB20" i="74" s="1"/>
  <c r="T20" i="74"/>
  <c r="O20" i="74"/>
  <c r="N20" i="74"/>
  <c r="AG38" i="74"/>
  <c r="AA38" i="74" l="1"/>
  <c r="AB38" i="74" s="1"/>
  <c r="T38" i="74"/>
  <c r="O38" i="74"/>
  <c r="N38" i="74"/>
  <c r="AG19" i="74"/>
  <c r="Y19" i="74"/>
  <c r="AA19" i="74" l="1"/>
  <c r="AB19" i="74" s="1"/>
  <c r="T19" i="74"/>
  <c r="O19" i="74"/>
  <c r="N19" i="74"/>
  <c r="AG40" i="74"/>
  <c r="AA40" i="74" l="1"/>
  <c r="AB40" i="74" s="1"/>
  <c r="T40" i="74"/>
  <c r="O40" i="74"/>
  <c r="N40" i="74"/>
  <c r="AG42" i="74"/>
  <c r="AA42" i="74" l="1"/>
  <c r="AB42" i="74" s="1"/>
  <c r="T42" i="74"/>
  <c r="O42" i="74"/>
  <c r="N42" i="74"/>
  <c r="AG18" i="74"/>
  <c r="Y18" i="74"/>
  <c r="AA18" i="74" l="1"/>
  <c r="AB18" i="74" s="1"/>
  <c r="T18" i="74"/>
  <c r="O18" i="74"/>
  <c r="N18" i="74"/>
  <c r="AG17" i="74"/>
  <c r="Y17" i="74"/>
  <c r="AA17" i="74" l="1"/>
  <c r="AB17" i="74" s="1"/>
  <c r="T17" i="74"/>
  <c r="O17" i="74"/>
  <c r="N17" i="74"/>
  <c r="AG16" i="74"/>
  <c r="Y16" i="74"/>
  <c r="AA16" i="74" l="1"/>
  <c r="AB16" i="74" s="1"/>
  <c r="T16" i="74"/>
  <c r="O16" i="74"/>
  <c r="N16" i="74"/>
  <c r="AG12" i="109" l="1"/>
  <c r="Y12" i="109"/>
  <c r="AA12" i="109" l="1"/>
  <c r="AB12" i="109" s="1"/>
  <c r="T12" i="109"/>
  <c r="O12" i="109"/>
  <c r="N12" i="109"/>
  <c r="AG13" i="109"/>
  <c r="Y13" i="109"/>
  <c r="AA13" i="109" l="1"/>
  <c r="AB13" i="109" s="1"/>
  <c r="T13" i="109"/>
  <c r="O13" i="109"/>
  <c r="N13" i="109"/>
  <c r="AG17" i="102" l="1"/>
  <c r="Y17" i="102"/>
  <c r="AA17" i="102" l="1"/>
  <c r="AB17" i="102" s="1"/>
  <c r="T17" i="102"/>
  <c r="O17" i="102"/>
  <c r="N17" i="102"/>
  <c r="AG16" i="102" l="1"/>
  <c r="Y16" i="102"/>
  <c r="AA16" i="102" l="1"/>
  <c r="AB16" i="102" s="1"/>
  <c r="T16" i="102"/>
  <c r="O16" i="102"/>
  <c r="N16" i="102"/>
  <c r="AG13" i="101"/>
  <c r="Y13" i="101"/>
  <c r="AA13" i="101" l="1"/>
  <c r="AB13" i="101" s="1"/>
  <c r="T13" i="101"/>
  <c r="O13" i="101"/>
  <c r="N13" i="101"/>
  <c r="AG69" i="28" l="1"/>
  <c r="Y69" i="28"/>
  <c r="AA69" i="28" l="1"/>
  <c r="AB69" i="28" s="1"/>
  <c r="T69" i="28"/>
  <c r="O69" i="28"/>
  <c r="N69" i="28"/>
  <c r="AG68" i="28" l="1"/>
  <c r="Y68" i="28"/>
  <c r="AA68" i="28" l="1"/>
  <c r="AB68" i="28" s="1"/>
  <c r="T68" i="28"/>
  <c r="O68" i="28"/>
  <c r="N68" i="28"/>
  <c r="AG67" i="28"/>
  <c r="Y67" i="28"/>
  <c r="AA67" i="28" l="1"/>
  <c r="AB67" i="28" s="1"/>
  <c r="T67" i="28"/>
  <c r="O67" i="28"/>
  <c r="N67" i="28"/>
  <c r="AG39" i="74" l="1"/>
  <c r="AA39" i="74" l="1"/>
  <c r="AB39" i="74" s="1"/>
  <c r="T39" i="74"/>
  <c r="O39" i="74"/>
  <c r="N39" i="74"/>
  <c r="AG22" i="74"/>
  <c r="Y22" i="74"/>
  <c r="AA22" i="74" l="1"/>
  <c r="AB22" i="74" s="1"/>
  <c r="T22" i="74"/>
  <c r="O22" i="74"/>
  <c r="N22" i="74"/>
  <c r="AG21" i="74"/>
  <c r="Y21" i="74"/>
  <c r="AA21" i="74" l="1"/>
  <c r="AB21" i="74" s="1"/>
  <c r="T21" i="74"/>
  <c r="O21" i="74"/>
  <c r="N21" i="74"/>
  <c r="AG14" i="101" l="1"/>
  <c r="Y14" i="101"/>
  <c r="AA14" i="101" l="1"/>
  <c r="AB14" i="101" s="1"/>
  <c r="T14" i="101"/>
  <c r="O14" i="101"/>
  <c r="N14" i="101"/>
  <c r="AG37" i="74" l="1"/>
  <c r="AA37" i="74" l="1"/>
  <c r="AB37" i="74" s="1"/>
  <c r="T37" i="74"/>
  <c r="O37" i="74"/>
  <c r="N37" i="74"/>
  <c r="AG24" i="74"/>
  <c r="Y24" i="74"/>
  <c r="AA24" i="74" l="1"/>
  <c r="AB24" i="74" s="1"/>
  <c r="T24" i="74"/>
  <c r="O24" i="74"/>
  <c r="N24" i="74"/>
  <c r="AG23" i="74"/>
  <c r="Y23" i="74"/>
  <c r="AA23" i="74" l="1"/>
  <c r="AB23" i="74" s="1"/>
  <c r="T23" i="74"/>
  <c r="O23" i="74"/>
  <c r="N23" i="74"/>
  <c r="AG43" i="74"/>
  <c r="AA43" i="74" l="1"/>
  <c r="AB43" i="74" s="1"/>
  <c r="T43" i="74"/>
  <c r="O43" i="74"/>
  <c r="N43" i="74"/>
  <c r="AG36" i="74"/>
  <c r="AA36" i="74" l="1"/>
  <c r="AB36" i="74" s="1"/>
  <c r="T36" i="74"/>
  <c r="O36" i="74"/>
  <c r="N36" i="74"/>
  <c r="AG71" i="28" l="1"/>
  <c r="Y71" i="28"/>
  <c r="AA71" i="28" l="1"/>
  <c r="AB71" i="28" s="1"/>
  <c r="Q71" i="28"/>
  <c r="T71" i="28" s="1"/>
  <c r="O71" i="28"/>
  <c r="N71" i="28"/>
  <c r="AG18" i="108" l="1"/>
  <c r="AA18" i="108" l="1"/>
  <c r="AB18" i="108" s="1"/>
  <c r="Q18" i="108"/>
  <c r="T18" i="108" s="1"/>
  <c r="O18" i="108"/>
  <c r="N18" i="108"/>
  <c r="AG7" i="108"/>
  <c r="Y7" i="108"/>
  <c r="AA7" i="108" l="1"/>
  <c r="AB7" i="108" s="1"/>
  <c r="T7" i="108"/>
  <c r="O7" i="108"/>
  <c r="N7" i="108"/>
  <c r="AG6" i="108"/>
  <c r="Y6" i="108"/>
  <c r="AA6" i="108" l="1"/>
  <c r="AB6" i="108" s="1"/>
  <c r="T6" i="108"/>
  <c r="O6" i="108"/>
  <c r="N6" i="108"/>
  <c r="AG21" i="107" l="1"/>
  <c r="Y21" i="107"/>
  <c r="AA21" i="107" l="1"/>
  <c r="AB21" i="107" s="1"/>
  <c r="T21" i="107"/>
  <c r="O21" i="107"/>
  <c r="N21" i="107"/>
  <c r="AG20" i="107"/>
  <c r="Y20" i="107"/>
  <c r="AA20" i="107" l="1"/>
  <c r="AB20" i="107" s="1"/>
  <c r="T20" i="107"/>
  <c r="O20" i="107"/>
  <c r="N20" i="107"/>
  <c r="AG19" i="107"/>
  <c r="Y19" i="107"/>
  <c r="AA19" i="107" l="1"/>
  <c r="AB19" i="107" s="1"/>
  <c r="T19" i="107"/>
  <c r="O19" i="107"/>
  <c r="N19" i="107"/>
  <c r="AG18" i="107"/>
  <c r="Y18" i="107"/>
  <c r="AA18" i="107" l="1"/>
  <c r="AB18" i="107" s="1"/>
  <c r="T18" i="107"/>
  <c r="O18" i="107"/>
  <c r="N18" i="107"/>
  <c r="AG28" i="107"/>
  <c r="AA28" i="107" l="1"/>
  <c r="AB28" i="107" s="1"/>
  <c r="T28" i="107"/>
  <c r="O28" i="107"/>
  <c r="N28" i="107"/>
  <c r="AG17" i="107"/>
  <c r="Y17" i="107"/>
  <c r="AA17" i="107" l="1"/>
  <c r="AB17" i="107" s="1"/>
  <c r="T17" i="107"/>
  <c r="O17" i="107"/>
  <c r="N17" i="107"/>
  <c r="AG16" i="107"/>
  <c r="Y16" i="107"/>
  <c r="AA16" i="107" l="1"/>
  <c r="AB16" i="107" s="1"/>
  <c r="T16" i="107"/>
  <c r="O16" i="107"/>
  <c r="N16" i="107"/>
  <c r="AG27" i="107"/>
  <c r="AA27" i="107" l="1"/>
  <c r="AB27" i="107" s="1"/>
  <c r="T27" i="107"/>
  <c r="O27" i="107"/>
  <c r="N27" i="107"/>
  <c r="AG15" i="107"/>
  <c r="Y15" i="107"/>
  <c r="AA15" i="107" l="1"/>
  <c r="AB15" i="107" s="1"/>
  <c r="T15" i="107"/>
  <c r="O15" i="107"/>
  <c r="N15" i="107"/>
  <c r="T40" i="28" l="1"/>
  <c r="AG25" i="98" l="1"/>
  <c r="Y25" i="98"/>
  <c r="AA25" i="98" l="1"/>
  <c r="AB25" i="98" s="1"/>
  <c r="T25" i="98"/>
  <c r="O25" i="98"/>
  <c r="N25" i="98"/>
  <c r="AG24" i="98"/>
  <c r="Y24" i="98"/>
  <c r="AA24" i="98" l="1"/>
  <c r="AB24" i="98" s="1"/>
  <c r="T24" i="98"/>
  <c r="O24" i="98"/>
  <c r="N24" i="98"/>
  <c r="AG23" i="98"/>
  <c r="Y23" i="98"/>
  <c r="AA23" i="98" l="1"/>
  <c r="AB23" i="98" s="1"/>
  <c r="T23" i="98"/>
  <c r="O23" i="98"/>
  <c r="N23" i="98"/>
  <c r="AG22" i="98"/>
  <c r="Y22" i="98"/>
  <c r="AA22" i="98" l="1"/>
  <c r="AB22" i="98" s="1"/>
  <c r="T22" i="98"/>
  <c r="O22" i="98"/>
  <c r="N22" i="98"/>
  <c r="AG44" i="98"/>
  <c r="AA44" i="98" l="1"/>
  <c r="AB44" i="98" s="1"/>
  <c r="T44" i="98"/>
  <c r="O44" i="98"/>
  <c r="N44" i="98"/>
  <c r="AG20" i="98"/>
  <c r="Y20" i="98"/>
  <c r="AA20" i="98" l="1"/>
  <c r="AB20" i="98" s="1"/>
  <c r="T20" i="98"/>
  <c r="O20" i="98"/>
  <c r="N20" i="98"/>
  <c r="AG21" i="98"/>
  <c r="Y21" i="98"/>
  <c r="AA21" i="98" l="1"/>
  <c r="AB21" i="98" s="1"/>
  <c r="T21" i="98"/>
  <c r="O21" i="98"/>
  <c r="N21" i="98"/>
  <c r="AG19" i="98" l="1"/>
  <c r="Y19" i="98"/>
  <c r="AA19" i="98" l="1"/>
  <c r="AB19" i="98" s="1"/>
  <c r="T19" i="98"/>
  <c r="O19" i="98"/>
  <c r="N19" i="98"/>
  <c r="AG18" i="98"/>
  <c r="Y18" i="98"/>
  <c r="AA18" i="98" l="1"/>
  <c r="AB18" i="98" s="1"/>
  <c r="Q18" i="98"/>
  <c r="T18" i="98" s="1"/>
  <c r="O18" i="98"/>
  <c r="N18" i="98"/>
  <c r="AG42" i="98"/>
  <c r="AA42" i="98" l="1"/>
  <c r="AB42" i="98" s="1"/>
  <c r="T42" i="98"/>
  <c r="O42" i="98"/>
  <c r="N42" i="98"/>
  <c r="AG17" i="98"/>
  <c r="Y17" i="98"/>
  <c r="AA17" i="98" l="1"/>
  <c r="AB17" i="98" s="1"/>
  <c r="Q17" i="98"/>
  <c r="T17" i="98" s="1"/>
  <c r="O17" i="98"/>
  <c r="N17" i="98"/>
  <c r="AG16" i="98"/>
  <c r="Y16" i="98"/>
  <c r="AA16" i="98" l="1"/>
  <c r="AB16" i="98" s="1"/>
  <c r="T16" i="98"/>
  <c r="O16" i="98"/>
  <c r="N16" i="98"/>
  <c r="AG15" i="98"/>
  <c r="Y15" i="98"/>
  <c r="AA15" i="98" l="1"/>
  <c r="AB15" i="98" s="1"/>
  <c r="Q15" i="98"/>
  <c r="T15" i="98" s="1"/>
  <c r="O15" i="98"/>
  <c r="N15" i="98"/>
  <c r="AG18" i="101"/>
  <c r="Y18" i="101"/>
  <c r="AA18" i="101" l="1"/>
  <c r="AB18" i="101" s="1"/>
  <c r="T18" i="101"/>
  <c r="O18" i="101"/>
  <c r="N18" i="101"/>
  <c r="AG17" i="101"/>
  <c r="Y17" i="101"/>
  <c r="AA17" i="101" l="1"/>
  <c r="AB17" i="101" s="1"/>
  <c r="T17" i="101"/>
  <c r="O17" i="101"/>
  <c r="N17" i="101"/>
  <c r="AG44" i="101"/>
  <c r="AA44" i="101" l="1"/>
  <c r="AB44" i="101" s="1"/>
  <c r="T44" i="101"/>
  <c r="O44" i="101"/>
  <c r="N44" i="101"/>
  <c r="AG40" i="101"/>
  <c r="AA40" i="101" l="1"/>
  <c r="AB40" i="101" s="1"/>
  <c r="T40" i="101"/>
  <c r="O40" i="101"/>
  <c r="N40" i="101"/>
  <c r="AG16" i="101"/>
  <c r="Y16" i="101"/>
  <c r="AA16" i="101" l="1"/>
  <c r="AB16" i="101" s="1"/>
  <c r="T16" i="101"/>
  <c r="O16" i="101"/>
  <c r="N16" i="101"/>
  <c r="AG15" i="101"/>
  <c r="Y15" i="101"/>
  <c r="AA15" i="101" l="1"/>
  <c r="AB15" i="101" s="1"/>
  <c r="T15" i="101"/>
  <c r="O15" i="101"/>
  <c r="N15" i="101"/>
  <c r="AG10" i="94" l="1"/>
  <c r="Y10" i="94"/>
  <c r="AA10" i="94" l="1"/>
  <c r="AB10" i="94" s="1"/>
  <c r="T10" i="94"/>
  <c r="O10" i="94"/>
  <c r="N10" i="94"/>
  <c r="AG21" i="101" l="1"/>
  <c r="Y21" i="101"/>
  <c r="AA21" i="101" l="1"/>
  <c r="AB21" i="101" s="1"/>
  <c r="Q21" i="101"/>
  <c r="T21" i="101" s="1"/>
  <c r="O21" i="101"/>
  <c r="N21" i="101"/>
  <c r="AG20" i="101"/>
  <c r="Y20" i="101"/>
  <c r="AA20" i="101" l="1"/>
  <c r="AB20" i="101" s="1"/>
  <c r="T20" i="101"/>
  <c r="O20" i="101"/>
  <c r="N20" i="101"/>
  <c r="AG41" i="101" l="1"/>
  <c r="AA41" i="101" l="1"/>
  <c r="AB41" i="101" s="1"/>
  <c r="T41" i="101"/>
  <c r="O41" i="101"/>
  <c r="N41" i="101"/>
  <c r="AG19" i="101"/>
  <c r="Y19" i="101"/>
  <c r="AA19" i="101" l="1"/>
  <c r="AB19" i="101" s="1"/>
  <c r="Q19" i="101"/>
  <c r="T19" i="101" s="1"/>
  <c r="O19" i="101"/>
  <c r="N19" i="101"/>
  <c r="Y133" i="22"/>
  <c r="AN17" i="28"/>
  <c r="AN30" i="28"/>
  <c r="AN15" i="28"/>
  <c r="AN33" i="28"/>
  <c r="AN35" i="28"/>
  <c r="AN16" i="28"/>
  <c r="AN29" i="28"/>
  <c r="AN22" i="28"/>
  <c r="AN25" i="28"/>
  <c r="AN11" i="28"/>
  <c r="AN12" i="28"/>
  <c r="AN18" i="28"/>
  <c r="AN34" i="28"/>
  <c r="AN19" i="28"/>
  <c r="AN26" i="28"/>
  <c r="AN31" i="28"/>
  <c r="AN39" i="28"/>
  <c r="AN37" i="28"/>
  <c r="AN10" i="28"/>
  <c r="AN38" i="28"/>
  <c r="AN32" i="28"/>
  <c r="AN21" i="28"/>
  <c r="AN36" i="28"/>
  <c r="AN23" i="28"/>
  <c r="AN40" i="28"/>
  <c r="AN27" i="28"/>
  <c r="AN20" i="28"/>
  <c r="AN28" i="28"/>
  <c r="AG25" i="74" l="1"/>
  <c r="Y25" i="74"/>
  <c r="AA25" i="74" l="1"/>
  <c r="AB25" i="74" s="1"/>
  <c r="T25" i="74"/>
  <c r="O25" i="74"/>
  <c r="N25" i="74"/>
  <c r="AM11" i="28"/>
  <c r="AL11" i="28" l="1"/>
  <c r="AK11" i="28"/>
  <c r="O12" i="28"/>
  <c r="AM12" i="28"/>
  <c r="AL12" i="28" l="1"/>
  <c r="AK12" i="28"/>
  <c r="AG11" i="28"/>
  <c r="Y11" i="28"/>
  <c r="AA11" i="28" l="1"/>
  <c r="AB11" i="28" s="1"/>
  <c r="T11" i="28"/>
  <c r="O11" i="28"/>
  <c r="N11" i="28"/>
  <c r="AG73" i="28" l="1"/>
  <c r="Y73" i="28"/>
  <c r="AA73" i="28" l="1"/>
  <c r="AB73" i="28" s="1"/>
  <c r="Q73" i="28"/>
  <c r="T73" i="28" s="1"/>
  <c r="O73" i="28"/>
  <c r="N73" i="28"/>
  <c r="AM10" i="28"/>
  <c r="AL10" i="28" l="1"/>
  <c r="AK10" i="28"/>
  <c r="AG10" i="28" l="1"/>
  <c r="Y10" i="28"/>
  <c r="AA10" i="28" l="1"/>
  <c r="AB10" i="28" s="1"/>
  <c r="T10" i="28"/>
  <c r="O10" i="28"/>
  <c r="N10" i="28"/>
  <c r="AG22" i="101" l="1"/>
  <c r="Y22" i="101"/>
  <c r="AA22" i="101" l="1"/>
  <c r="AB22" i="101" s="1"/>
  <c r="T22" i="101"/>
  <c r="O22" i="101"/>
  <c r="N22" i="101"/>
  <c r="AG42" i="101"/>
  <c r="AA42" i="101" l="1"/>
  <c r="AB42" i="101" s="1"/>
  <c r="T42" i="101"/>
  <c r="O42" i="101"/>
  <c r="N42" i="101"/>
  <c r="AG38" i="101"/>
  <c r="AA38" i="101" l="1"/>
  <c r="AB38" i="101" s="1"/>
  <c r="Q38" i="101"/>
  <c r="T38" i="101" s="1"/>
  <c r="O38" i="101"/>
  <c r="N38" i="101"/>
  <c r="AG45" i="101"/>
  <c r="AA45" i="101" l="1"/>
  <c r="AB45" i="101" s="1"/>
  <c r="Q45" i="101"/>
  <c r="T45" i="101" s="1"/>
  <c r="O45" i="101"/>
  <c r="N45" i="101"/>
  <c r="AM36" i="28"/>
  <c r="AM38" i="28"/>
  <c r="AM19" i="28"/>
  <c r="AM23" i="28"/>
  <c r="AM16" i="28"/>
  <c r="AM21" i="28"/>
  <c r="AM33" i="28"/>
  <c r="AM15" i="28"/>
  <c r="AM37" i="28"/>
  <c r="AM20" i="28"/>
  <c r="AM29" i="28"/>
  <c r="AN14" i="28"/>
  <c r="AM31" i="28"/>
  <c r="AM14" i="28"/>
  <c r="AM32" i="28"/>
  <c r="AM18" i="28"/>
  <c r="AM26" i="28"/>
  <c r="AM28" i="28"/>
  <c r="AM34" i="28"/>
  <c r="AM27" i="28"/>
  <c r="AM35" i="28"/>
  <c r="AM22" i="28"/>
  <c r="AM30" i="28"/>
  <c r="AM39" i="28"/>
  <c r="AM40" i="28"/>
  <c r="AM17" i="28"/>
  <c r="AM25" i="28"/>
  <c r="AK32" i="28" l="1"/>
  <c r="AK31" i="28"/>
  <c r="AK22" i="28"/>
  <c r="AK39" i="28"/>
  <c r="AK30" i="28"/>
  <c r="AK29" i="28"/>
  <c r="AK20" i="28"/>
  <c r="AK25" i="28"/>
  <c r="AL14" i="28"/>
  <c r="AK37" i="28"/>
  <c r="AK19" i="28"/>
  <c r="AK40" i="28"/>
  <c r="AK38" i="28"/>
  <c r="AK36" i="28"/>
  <c r="AK23" i="28"/>
  <c r="AK27" i="28"/>
  <c r="AK18" i="28"/>
  <c r="AK33" i="28"/>
  <c r="AK16" i="28"/>
  <c r="AK15" i="28"/>
  <c r="AK14" i="28"/>
  <c r="AK28" i="28"/>
  <c r="AK26" i="28"/>
  <c r="AK35" i="28"/>
  <c r="AK21" i="28"/>
  <c r="AK17" i="28"/>
  <c r="AK34" i="28"/>
  <c r="AG43" i="101" l="1"/>
  <c r="AA43" i="101" l="1"/>
  <c r="AB43" i="101" s="1"/>
  <c r="T43" i="101"/>
  <c r="O43" i="101"/>
  <c r="N43" i="101"/>
  <c r="AG46" i="101"/>
  <c r="AA46" i="101" l="1"/>
  <c r="AB46" i="101" s="1"/>
  <c r="T46" i="101"/>
  <c r="O46" i="101"/>
  <c r="N46" i="101"/>
  <c r="AG39" i="101"/>
  <c r="AA39" i="101" l="1"/>
  <c r="AB39" i="101" s="1"/>
  <c r="Q39" i="101"/>
  <c r="T39" i="101" s="1"/>
  <c r="O39" i="101"/>
  <c r="N39" i="101"/>
  <c r="AG23" i="101"/>
  <c r="Y23" i="101"/>
  <c r="AA23" i="101" l="1"/>
  <c r="AB23" i="101" s="1"/>
  <c r="T23" i="101"/>
  <c r="O23" i="101"/>
  <c r="N23" i="101"/>
  <c r="AG17" i="108" l="1"/>
  <c r="AA17" i="108" l="1"/>
  <c r="AB17" i="108" s="1"/>
  <c r="T17" i="108"/>
  <c r="O17" i="108"/>
  <c r="N17" i="108"/>
  <c r="AG11" i="108"/>
  <c r="Y11" i="108"/>
  <c r="AA11" i="108" l="1"/>
  <c r="AB11" i="108" s="1"/>
  <c r="Q11" i="108"/>
  <c r="T11" i="108" s="1"/>
  <c r="O11" i="108"/>
  <c r="N11" i="108"/>
  <c r="AG16" i="108" l="1"/>
  <c r="AA16" i="108" l="1"/>
  <c r="AB16" i="108" s="1"/>
  <c r="Q16" i="108"/>
  <c r="T16" i="108" s="1"/>
  <c r="O16" i="108"/>
  <c r="N16" i="108"/>
  <c r="AG10" i="108"/>
  <c r="Y10" i="108"/>
  <c r="AA10" i="108" l="1"/>
  <c r="AB10" i="108" s="1"/>
  <c r="Q10" i="108"/>
  <c r="T10" i="108" s="1"/>
  <c r="O10" i="108"/>
  <c r="N10" i="108"/>
  <c r="AG20" i="108"/>
  <c r="AA20" i="108" l="1"/>
  <c r="AB20" i="108" s="1"/>
  <c r="T20" i="108"/>
  <c r="O20" i="108"/>
  <c r="N20" i="108"/>
  <c r="AG9" i="108"/>
  <c r="Y9" i="108"/>
  <c r="AA9" i="108" l="1"/>
  <c r="AB9" i="108" s="1"/>
  <c r="Q9" i="108"/>
  <c r="T9" i="108" s="1"/>
  <c r="O9" i="108"/>
  <c r="N9" i="108"/>
  <c r="AG8" i="108"/>
  <c r="Y8" i="108"/>
  <c r="AA8" i="108" l="1"/>
  <c r="AB8" i="108" s="1"/>
  <c r="Q8" i="108"/>
  <c r="T8" i="108" s="1"/>
  <c r="O8" i="108"/>
  <c r="N8" i="108"/>
  <c r="O30" i="98" l="1"/>
  <c r="N30" i="98"/>
  <c r="AG30" i="98" l="1"/>
  <c r="Y30" i="98"/>
  <c r="AA30" i="98" l="1"/>
  <c r="AB30" i="98" s="1"/>
  <c r="T30" i="98"/>
  <c r="AG45" i="98"/>
  <c r="AA45" i="98" l="1"/>
  <c r="AB45" i="98" s="1"/>
  <c r="T45" i="98"/>
  <c r="O45" i="98"/>
  <c r="N45" i="98"/>
  <c r="AG39" i="98"/>
  <c r="AA39" i="98" l="1"/>
  <c r="AB39" i="98" s="1"/>
  <c r="T39" i="98"/>
  <c r="O39" i="98"/>
  <c r="N39" i="98"/>
  <c r="AG46" i="98"/>
  <c r="AA46" i="98" l="1"/>
  <c r="AB46" i="98" s="1"/>
  <c r="T46" i="98"/>
  <c r="O46" i="98"/>
  <c r="N46" i="98"/>
  <c r="AG29" i="98" l="1"/>
  <c r="Y29" i="98"/>
  <c r="AA29" i="98" l="1"/>
  <c r="AB29" i="98" s="1"/>
  <c r="T29" i="98"/>
  <c r="O29" i="98"/>
  <c r="N29" i="98"/>
  <c r="AG43" i="98"/>
  <c r="AA43" i="98" l="1"/>
  <c r="AB43" i="98" s="1"/>
  <c r="T43" i="98"/>
  <c r="O43" i="98"/>
  <c r="N43" i="98"/>
  <c r="AG28" i="98"/>
  <c r="Y28" i="98"/>
  <c r="AA28" i="98" l="1"/>
  <c r="AB28" i="98" s="1"/>
  <c r="T28" i="98"/>
  <c r="O28" i="98"/>
  <c r="N28" i="98"/>
  <c r="AG27" i="98"/>
  <c r="Y27" i="98"/>
  <c r="AA27" i="98" l="1"/>
  <c r="AB27" i="98" s="1"/>
  <c r="Q27" i="98"/>
  <c r="T27" i="98" s="1"/>
  <c r="O27" i="98"/>
  <c r="N27" i="98"/>
  <c r="AG26" i="98"/>
  <c r="Y26" i="98"/>
  <c r="AA26" i="98" l="1"/>
  <c r="AB26" i="98" s="1"/>
  <c r="T26" i="98"/>
  <c r="O26" i="98"/>
  <c r="N26" i="98"/>
  <c r="AG24" i="101" l="1"/>
  <c r="Y24" i="101"/>
  <c r="AA24" i="101" l="1"/>
  <c r="AB24" i="101" s="1"/>
  <c r="T24" i="101"/>
  <c r="O24" i="101"/>
  <c r="N24" i="101"/>
  <c r="AG25" i="101"/>
  <c r="Y25" i="101"/>
  <c r="AA25" i="101" l="1"/>
  <c r="AB25" i="101" s="1"/>
  <c r="T25" i="101"/>
  <c r="O25" i="101"/>
  <c r="N25" i="101"/>
  <c r="AG11" i="94" l="1"/>
  <c r="Y11" i="94"/>
  <c r="AA11" i="94" l="1"/>
  <c r="AB11" i="94" s="1"/>
  <c r="T11" i="94"/>
  <c r="O11" i="94"/>
  <c r="N11" i="94"/>
  <c r="AG73" i="74"/>
  <c r="O76" i="28"/>
  <c r="O78" i="28"/>
  <c r="O79" i="28"/>
  <c r="O80" i="28"/>
  <c r="O82" i="28"/>
  <c r="O83" i="28"/>
  <c r="O85" i="28"/>
  <c r="O89" i="28"/>
  <c r="O90" i="28"/>
  <c r="O91" i="28"/>
  <c r="O92" i="28"/>
  <c r="O93" i="28"/>
  <c r="O94" i="28"/>
  <c r="O95" i="28"/>
  <c r="O96" i="28"/>
  <c r="O97" i="28"/>
  <c r="O75" i="28"/>
  <c r="O16" i="28"/>
  <c r="O17" i="28"/>
  <c r="O15" i="28"/>
  <c r="O18" i="28"/>
  <c r="O26" i="28"/>
  <c r="O20" i="28"/>
  <c r="O21" i="28"/>
  <c r="O27" i="28"/>
  <c r="O23" i="28"/>
  <c r="O25" i="28"/>
  <c r="O28" i="28"/>
  <c r="O29" i="28"/>
  <c r="O31" i="28"/>
  <c r="O19" i="28"/>
  <c r="O30" i="28"/>
  <c r="O32" i="28"/>
  <c r="O22" i="28"/>
  <c r="O36" i="28"/>
  <c r="O34" i="28"/>
  <c r="O33" i="28"/>
  <c r="O37" i="28"/>
  <c r="O35" i="28"/>
  <c r="O39" i="28"/>
  <c r="O38" i="28"/>
  <c r="O40" i="28"/>
  <c r="O14" i="28"/>
  <c r="O19" i="108"/>
  <c r="O31" i="98"/>
  <c r="O34" i="98"/>
  <c r="O49" i="98"/>
  <c r="O47" i="98"/>
  <c r="O33" i="98"/>
  <c r="O32" i="98"/>
  <c r="O48" i="98"/>
  <c r="O20" i="102"/>
  <c r="O39" i="102"/>
  <c r="O21" i="102"/>
  <c r="O22" i="102"/>
  <c r="O36" i="102"/>
  <c r="O23" i="102"/>
  <c r="O24" i="102"/>
  <c r="O25" i="102"/>
  <c r="O26" i="102"/>
  <c r="O34" i="102"/>
  <c r="O27" i="102"/>
  <c r="O28" i="102"/>
  <c r="O38" i="102"/>
  <c r="O29" i="102"/>
  <c r="O18" i="102"/>
  <c r="O19" i="102"/>
  <c r="O37" i="102"/>
  <c r="O35" i="102"/>
  <c r="O48" i="101"/>
  <c r="O30" i="101"/>
  <c r="O50" i="101"/>
  <c r="O29" i="101"/>
  <c r="O49" i="101"/>
  <c r="O28" i="101"/>
  <c r="O27" i="101"/>
  <c r="O26" i="101"/>
  <c r="O47" i="101"/>
  <c r="O1808" i="57"/>
  <c r="O1810" i="57"/>
  <c r="O1809" i="57"/>
  <c r="O1807" i="57"/>
  <c r="O1813" i="57"/>
  <c r="O1814" i="57"/>
  <c r="O1" i="57"/>
  <c r="O55" i="74"/>
  <c r="O56" i="74"/>
  <c r="O28" i="74"/>
  <c r="O47" i="74"/>
  <c r="O29" i="74"/>
  <c r="O48" i="74"/>
  <c r="O45" i="74"/>
  <c r="O57" i="74"/>
  <c r="O49" i="74"/>
  <c r="O50" i="74"/>
  <c r="O58" i="74"/>
  <c r="O59" i="74"/>
  <c r="O62" i="74"/>
  <c r="O30" i="74"/>
  <c r="O63" i="74"/>
  <c r="O67" i="74"/>
  <c r="O65" i="74"/>
  <c r="O70" i="74"/>
  <c r="O66" i="74"/>
  <c r="O71" i="74"/>
  <c r="O69" i="74"/>
  <c r="O61" i="74"/>
  <c r="O60" i="74"/>
  <c r="O72" i="74"/>
  <c r="O73" i="74"/>
  <c r="O74" i="74"/>
  <c r="O75" i="74"/>
  <c r="O68" i="74"/>
  <c r="O64" i="74"/>
  <c r="O76" i="74"/>
  <c r="O27" i="74"/>
  <c r="O54" i="74"/>
  <c r="O53" i="74"/>
  <c r="O52" i="74"/>
  <c r="O26" i="74"/>
  <c r="O44" i="74"/>
  <c r="O51" i="74"/>
  <c r="O46" i="74"/>
  <c r="O18" i="94"/>
  <c r="O17" i="94"/>
  <c r="O23" i="94"/>
  <c r="O22" i="94"/>
  <c r="O21" i="94"/>
  <c r="O16" i="94"/>
  <c r="O20" i="94"/>
  <c r="O19" i="94"/>
  <c r="AG19" i="108" l="1"/>
  <c r="AA19" i="108" l="1"/>
  <c r="AB19" i="108" s="1"/>
  <c r="T19" i="108"/>
  <c r="N19" i="108"/>
  <c r="AG32" i="98" l="1"/>
  <c r="Y32" i="98"/>
  <c r="AA32" i="98" l="1"/>
  <c r="AB32" i="98" s="1"/>
  <c r="Q32" i="98"/>
  <c r="T32" i="98" s="1"/>
  <c r="N32" i="98"/>
  <c r="AG48" i="98"/>
  <c r="AA48" i="98" l="1"/>
  <c r="AB48" i="98" s="1"/>
  <c r="T48" i="98"/>
  <c r="N48" i="98"/>
  <c r="AG31" i="98"/>
  <c r="Y31" i="98"/>
  <c r="AA31" i="98" l="1"/>
  <c r="AB31" i="98" s="1"/>
  <c r="T31" i="98"/>
  <c r="N31" i="98"/>
  <c r="N12" i="28" l="1"/>
  <c r="N16" i="28"/>
  <c r="N17" i="28"/>
  <c r="N15" i="28"/>
  <c r="N18" i="28"/>
  <c r="N26" i="28"/>
  <c r="N20" i="28"/>
  <c r="N21" i="28"/>
  <c r="N27" i="28"/>
  <c r="N23" i="28"/>
  <c r="N25" i="28"/>
  <c r="N28" i="28"/>
  <c r="N29" i="28"/>
  <c r="N31" i="28"/>
  <c r="N19" i="28"/>
  <c r="N30" i="28"/>
  <c r="N32" i="28"/>
  <c r="N22" i="28"/>
  <c r="N36" i="28"/>
  <c r="N34" i="28"/>
  <c r="N33" i="28"/>
  <c r="N37" i="28"/>
  <c r="N35" i="28"/>
  <c r="N39" i="28"/>
  <c r="N38" i="28"/>
  <c r="N40" i="28"/>
  <c r="N75" i="28"/>
  <c r="N76" i="28"/>
  <c r="N78" i="28"/>
  <c r="N79" i="28"/>
  <c r="N80" i="28"/>
  <c r="N82" i="28"/>
  <c r="N83" i="28"/>
  <c r="N85" i="28"/>
  <c r="N89" i="28"/>
  <c r="N90" i="28"/>
  <c r="N91" i="28"/>
  <c r="N92" i="28"/>
  <c r="N93" i="28"/>
  <c r="N94" i="28"/>
  <c r="N95" i="28"/>
  <c r="N96" i="28"/>
  <c r="N97" i="28"/>
  <c r="N9" i="28"/>
  <c r="N47" i="98"/>
  <c r="N49" i="98"/>
  <c r="N34" i="98"/>
  <c r="N33" i="98"/>
  <c r="N35" i="102"/>
  <c r="N37" i="102"/>
  <c r="N19" i="102"/>
  <c r="N20" i="102"/>
  <c r="N39" i="102"/>
  <c r="N21" i="102"/>
  <c r="N22" i="102"/>
  <c r="N36" i="102"/>
  <c r="N23" i="102"/>
  <c r="N24" i="102"/>
  <c r="N25" i="102"/>
  <c r="N26" i="102"/>
  <c r="N34" i="102"/>
  <c r="N27" i="102"/>
  <c r="N28" i="102"/>
  <c r="N38" i="102"/>
  <c r="N29" i="102"/>
  <c r="N18" i="102"/>
  <c r="N26" i="101"/>
  <c r="N27" i="101"/>
  <c r="N28" i="101"/>
  <c r="N49" i="101"/>
  <c r="N29" i="101"/>
  <c r="N52" i="101"/>
  <c r="N50" i="101"/>
  <c r="N30" i="101"/>
  <c r="N48" i="101"/>
  <c r="N47" i="101"/>
  <c r="N1808" i="57"/>
  <c r="N1810" i="57"/>
  <c r="N1809" i="57"/>
  <c r="N1807" i="57"/>
  <c r="N1813" i="57"/>
  <c r="N1814" i="57"/>
  <c r="N1" i="57"/>
  <c r="N51" i="74" l="1"/>
  <c r="N44" i="74"/>
  <c r="N26" i="74"/>
  <c r="N52" i="74"/>
  <c r="N53" i="74"/>
  <c r="N54" i="74"/>
  <c r="N27" i="74"/>
  <c r="N55" i="74"/>
  <c r="N56" i="74"/>
  <c r="N28" i="74"/>
  <c r="N47" i="74"/>
  <c r="N29" i="74"/>
  <c r="N48" i="74"/>
  <c r="N45" i="74"/>
  <c r="N57" i="74"/>
  <c r="N49" i="74"/>
  <c r="N50" i="74"/>
  <c r="N58" i="74"/>
  <c r="N59" i="74"/>
  <c r="N62" i="74"/>
  <c r="N30" i="74"/>
  <c r="N63" i="74"/>
  <c r="N67" i="74"/>
  <c r="N65" i="74"/>
  <c r="N70" i="74"/>
  <c r="N66" i="74"/>
  <c r="N71" i="74"/>
  <c r="N69" i="74"/>
  <c r="N61" i="74"/>
  <c r="N60" i="74"/>
  <c r="N72" i="74"/>
  <c r="N73" i="74"/>
  <c r="N74" i="74"/>
  <c r="N75" i="74"/>
  <c r="N68" i="74"/>
  <c r="N64" i="74"/>
  <c r="N76" i="74"/>
  <c r="N46" i="74"/>
  <c r="N20" i="94"/>
  <c r="N16" i="94"/>
  <c r="N21" i="94"/>
  <c r="N22" i="94"/>
  <c r="N23" i="94"/>
  <c r="N17" i="94"/>
  <c r="N18" i="94"/>
  <c r="N19" i="94"/>
  <c r="AG18" i="102" l="1"/>
  <c r="Y18" i="102"/>
  <c r="AA18" i="102" l="1"/>
  <c r="AB18" i="102" s="1"/>
  <c r="T18" i="102"/>
  <c r="AI13" i="28" l="1"/>
  <c r="AG76" i="28" l="1"/>
  <c r="Y76" i="28"/>
  <c r="AA76" i="28" l="1"/>
  <c r="AB76" i="28" s="1"/>
  <c r="T76" i="28"/>
  <c r="AG75" i="28"/>
  <c r="Y75" i="28"/>
  <c r="AA75" i="28" l="1"/>
  <c r="AB75" i="28" s="1"/>
  <c r="Q75" i="28"/>
  <c r="T75" i="28" s="1"/>
  <c r="AG37" i="102" l="1"/>
  <c r="AA37" i="102" l="1"/>
  <c r="AB37" i="102" s="1"/>
  <c r="T37" i="102"/>
  <c r="AG35" i="102"/>
  <c r="AA35" i="102" l="1"/>
  <c r="AB35" i="102" s="1"/>
  <c r="T35" i="102"/>
  <c r="AG44" i="74" l="1"/>
  <c r="AA44" i="74" l="1"/>
  <c r="AB44" i="74" s="1"/>
  <c r="T44" i="74"/>
  <c r="AG51" i="74"/>
  <c r="AA51" i="74" l="1"/>
  <c r="AB51" i="74" s="1"/>
  <c r="T51" i="74"/>
  <c r="AG46" i="74"/>
  <c r="AA46" i="74" l="1"/>
  <c r="AB46" i="74" s="1"/>
  <c r="T46" i="74"/>
  <c r="AG26" i="101" l="1"/>
  <c r="Y26" i="101"/>
  <c r="AA26" i="101" l="1"/>
  <c r="AB26" i="101" s="1"/>
  <c r="T26" i="101"/>
  <c r="AG47" i="101"/>
  <c r="AA47" i="101" l="1"/>
  <c r="AB47" i="101" s="1"/>
  <c r="T47" i="101"/>
  <c r="AG82" i="28" l="1"/>
  <c r="Y82" i="28"/>
  <c r="AA82" i="28" l="1"/>
  <c r="AB82" i="28" s="1"/>
  <c r="Q82" i="28"/>
  <c r="T82" i="28" s="1"/>
  <c r="AG80" i="28" l="1"/>
  <c r="Y80" i="28"/>
  <c r="AA80" i="28" l="1"/>
  <c r="AB80" i="28" s="1"/>
  <c r="T80" i="28"/>
  <c r="AG79" i="28"/>
  <c r="Y79" i="28"/>
  <c r="AA79" i="28" l="1"/>
  <c r="AB79" i="28" s="1"/>
  <c r="Q79" i="28"/>
  <c r="T79" i="28" s="1"/>
  <c r="AG78" i="28"/>
  <c r="Y78" i="28"/>
  <c r="AA78" i="28" l="1"/>
  <c r="AB78" i="28" s="1"/>
  <c r="T78" i="28"/>
  <c r="Z3" i="22"/>
  <c r="Y3" i="22"/>
  <c r="AG58" i="22"/>
  <c r="Y58" i="22"/>
  <c r="AA3" i="22" l="1"/>
  <c r="AB3" i="22" s="1"/>
  <c r="AD3" i="22"/>
  <c r="AA58" i="22"/>
  <c r="AB58" i="22" s="1"/>
  <c r="Q58" i="22"/>
  <c r="T58" i="22" s="1"/>
  <c r="N58" i="22"/>
  <c r="Z7" i="22"/>
  <c r="Y7" i="22"/>
  <c r="AE3" i="22" l="1"/>
  <c r="AD7" i="22"/>
  <c r="AA7" i="22"/>
  <c r="AB7" i="22" s="1"/>
  <c r="AE7" i="22" l="1"/>
  <c r="AL21" i="28" l="1"/>
  <c r="AG26" i="74" l="1"/>
  <c r="Y26" i="74"/>
  <c r="AA26" i="74" l="1"/>
  <c r="AB26" i="74" s="1"/>
  <c r="Q26" i="74"/>
  <c r="T26" i="74" s="1"/>
  <c r="Z124" i="22"/>
  <c r="Z123" i="22"/>
  <c r="Z122" i="22"/>
  <c r="Z35" i="28"/>
  <c r="Z16" i="28"/>
  <c r="Z27" i="22"/>
  <c r="Z26" i="22"/>
  <c r="Z25" i="22"/>
  <c r="Z24" i="22"/>
  <c r="Z23" i="22"/>
  <c r="Z22" i="22"/>
  <c r="AG93" i="22"/>
  <c r="Z93" i="22" l="1"/>
  <c r="Y93" i="22"/>
  <c r="AA93" i="22" l="1"/>
  <c r="AB93" i="22" s="1"/>
  <c r="T93" i="22"/>
  <c r="N93" i="22"/>
  <c r="Z19" i="28"/>
  <c r="AG1814" i="57" l="1"/>
  <c r="Y1814" i="57"/>
  <c r="AA1814" i="57" l="1"/>
  <c r="AB1814" i="57" s="1"/>
  <c r="T1814" i="57"/>
  <c r="AG27" i="101" l="1"/>
  <c r="Y27" i="101"/>
  <c r="AA27" i="101" l="1"/>
  <c r="AB27" i="101" s="1"/>
  <c r="T27" i="101"/>
  <c r="Y21" i="28"/>
  <c r="AI21" i="28" l="1"/>
  <c r="AA21" i="28"/>
  <c r="AB21" i="28" s="1"/>
  <c r="T21" i="28"/>
  <c r="AG52" i="74" l="1"/>
  <c r="AA52" i="74" l="1"/>
  <c r="AB52" i="74" s="1"/>
  <c r="Q52" i="74"/>
  <c r="T52" i="74" s="1"/>
  <c r="AG20" i="102" l="1"/>
  <c r="Y20" i="102"/>
  <c r="AA20" i="102" l="1"/>
  <c r="AB20" i="102" s="1"/>
  <c r="Q20" i="102"/>
  <c r="T20" i="102" s="1"/>
  <c r="AG19" i="102"/>
  <c r="Y19" i="102"/>
  <c r="AA19" i="102" l="1"/>
  <c r="AB19" i="102" s="1"/>
  <c r="T19" i="102"/>
  <c r="AL19" i="28" l="1"/>
  <c r="Y19" i="28"/>
  <c r="AI19" i="28" l="1"/>
  <c r="AA19" i="28"/>
  <c r="AB19" i="28" s="1"/>
  <c r="T19" i="28"/>
  <c r="AG85" i="28" l="1"/>
  <c r="Y85" i="28"/>
  <c r="AA85" i="28" l="1"/>
  <c r="AB85" i="28" s="1"/>
  <c r="T85" i="28"/>
  <c r="AG83" i="28"/>
  <c r="Y83" i="28"/>
  <c r="AA83" i="28" l="1"/>
  <c r="AB83" i="28" s="1"/>
  <c r="T83" i="28"/>
  <c r="AG20" i="94" l="1"/>
  <c r="AA20" i="94" l="1"/>
  <c r="AB20" i="94" s="1"/>
  <c r="T20" i="94"/>
  <c r="AG19" i="94"/>
  <c r="AA19" i="94" l="1"/>
  <c r="AB19" i="94" s="1"/>
  <c r="T19" i="94"/>
  <c r="AG55" i="74" l="1"/>
  <c r="AA55" i="74" l="1"/>
  <c r="AB55" i="74" s="1"/>
  <c r="T55" i="74"/>
  <c r="AG27" i="74"/>
  <c r="Y27" i="74"/>
  <c r="AA27" i="74" l="1"/>
  <c r="AB27" i="74" s="1"/>
  <c r="Q27" i="74"/>
  <c r="T27" i="74" s="1"/>
  <c r="AG54" i="74"/>
  <c r="AA54" i="74" l="1"/>
  <c r="AB54" i="74" s="1"/>
  <c r="T54" i="74"/>
  <c r="AG53" i="74"/>
  <c r="AA53" i="74" l="1"/>
  <c r="AB53" i="74" s="1"/>
  <c r="T53" i="74"/>
  <c r="AG28" i="74" l="1"/>
  <c r="Y28" i="74"/>
  <c r="AA28" i="74" l="1"/>
  <c r="AB28" i="74" s="1"/>
  <c r="T28" i="74"/>
  <c r="AG56" i="74"/>
  <c r="AA56" i="74" l="1"/>
  <c r="AB56" i="74" s="1"/>
  <c r="T56" i="74"/>
  <c r="AG90" i="28" l="1"/>
  <c r="AA90" i="28" l="1"/>
  <c r="AB90" i="28" s="1"/>
  <c r="T90" i="28"/>
  <c r="AG89" i="28"/>
  <c r="AA89" i="28" l="1"/>
  <c r="AB89" i="28" s="1"/>
  <c r="T89" i="28"/>
  <c r="AG51" i="98" l="1"/>
  <c r="AA51" i="98" l="1"/>
  <c r="AB51" i="98" s="1"/>
  <c r="T51" i="98"/>
  <c r="N51" i="98"/>
  <c r="AG33" i="98"/>
  <c r="Y33" i="98"/>
  <c r="AA33" i="98" l="1"/>
  <c r="AB33" i="98" s="1"/>
  <c r="Q33" i="98"/>
  <c r="T33" i="98" s="1"/>
  <c r="AG50" i="98"/>
  <c r="AA50" i="98" l="1"/>
  <c r="AB50" i="98" s="1"/>
  <c r="Q50" i="98"/>
  <c r="T50" i="98" s="1"/>
  <c r="N50" i="98"/>
  <c r="AG40" i="102" l="1"/>
  <c r="AA40" i="102" l="1"/>
  <c r="AB40" i="102" s="1"/>
  <c r="T40" i="102"/>
  <c r="N40" i="102"/>
  <c r="AG93" i="74" l="1"/>
  <c r="T105" i="28"/>
  <c r="T107" i="28"/>
  <c r="T108" i="28"/>
  <c r="T109" i="28"/>
  <c r="T110" i="28"/>
  <c r="T111" i="28"/>
  <c r="T113" i="28"/>
  <c r="T114" i="28"/>
  <c r="T115" i="28"/>
  <c r="T120" i="28"/>
  <c r="T121" i="28"/>
  <c r="T122" i="28"/>
  <c r="T123" i="28"/>
  <c r="T125" i="28"/>
  <c r="T140" i="28"/>
  <c r="T103" i="28"/>
  <c r="T15" i="28"/>
  <c r="T16" i="28"/>
  <c r="T26" i="28"/>
  <c r="T20" i="28"/>
  <c r="T25" i="28"/>
  <c r="T23" i="28"/>
  <c r="T28" i="28"/>
  <c r="T30" i="28"/>
  <c r="T32" i="28"/>
  <c r="T22" i="28"/>
  <c r="T12" i="28"/>
  <c r="T14" i="28"/>
  <c r="T49" i="98"/>
  <c r="T53" i="98"/>
  <c r="T34" i="98"/>
  <c r="T55" i="98"/>
  <c r="T22" i="102"/>
  <c r="T36" i="102"/>
  <c r="T25" i="102"/>
  <c r="T26" i="102"/>
  <c r="T34" i="102"/>
  <c r="T27" i="102"/>
  <c r="T28" i="102"/>
  <c r="T41" i="102"/>
  <c r="T29" i="102"/>
  <c r="T39" i="102"/>
  <c r="T49" i="101"/>
  <c r="T50" i="101"/>
  <c r="T27" i="94"/>
  <c r="T16" i="94"/>
  <c r="T32" i="94"/>
  <c r="T34" i="94"/>
  <c r="T21" i="94"/>
  <c r="T35" i="94"/>
  <c r="T25" i="94"/>
  <c r="T29" i="94"/>
  <c r="T31" i="94"/>
  <c r="T36" i="94"/>
  <c r="T33" i="94"/>
  <c r="T24" i="94"/>
  <c r="T22" i="94"/>
  <c r="T26" i="94"/>
  <c r="T37" i="94"/>
  <c r="T23" i="94"/>
  <c r="T28" i="94"/>
  <c r="T17" i="94"/>
  <c r="T18" i="94"/>
  <c r="T30" i="94"/>
  <c r="T47" i="74" l="1"/>
  <c r="T29" i="74"/>
  <c r="T48" i="74"/>
  <c r="T83" i="74"/>
  <c r="T45" i="74"/>
  <c r="T49" i="74"/>
  <c r="T85" i="74"/>
  <c r="T86" i="74"/>
  <c r="T50" i="74"/>
  <c r="T58" i="74"/>
  <c r="T78" i="74"/>
  <c r="T59" i="74"/>
  <c r="T62" i="74"/>
  <c r="T79" i="74"/>
  <c r="T63" i="74"/>
  <c r="T65" i="74"/>
  <c r="T87" i="74"/>
  <c r="T80" i="74"/>
  <c r="T94" i="74"/>
  <c r="T99" i="74"/>
  <c r="T100" i="74"/>
  <c r="T101" i="74"/>
  <c r="T102" i="74"/>
  <c r="T103" i="74"/>
  <c r="T104" i="74"/>
  <c r="T105" i="74"/>
  <c r="T106" i="74"/>
  <c r="T107" i="74"/>
  <c r="T108" i="74"/>
  <c r="T110" i="74"/>
  <c r="T111" i="74"/>
  <c r="T112" i="74"/>
  <c r="T113" i="74"/>
  <c r="T115" i="74"/>
  <c r="T116" i="74"/>
  <c r="T118" i="74"/>
  <c r="T122" i="74"/>
  <c r="T123" i="74"/>
  <c r="T140" i="74"/>
  <c r="T150" i="74"/>
  <c r="T152" i="74"/>
  <c r="T153" i="74"/>
  <c r="T154" i="74"/>
  <c r="T155" i="74"/>
  <c r="T159" i="74"/>
  <c r="T164" i="74"/>
  <c r="T165" i="74"/>
  <c r="T168" i="74"/>
  <c r="T169" i="74"/>
  <c r="T172" i="74"/>
  <c r="T173" i="74"/>
  <c r="T174" i="74"/>
  <c r="T180" i="74"/>
  <c r="T181" i="74"/>
  <c r="T183" i="74"/>
  <c r="T192" i="74"/>
  <c r="AG84" i="74"/>
  <c r="AA84" i="74" l="1"/>
  <c r="AB84" i="74" s="1"/>
  <c r="Q84" i="74"/>
  <c r="T84" i="74" s="1"/>
  <c r="N84" i="74"/>
  <c r="AG51" i="101" l="1"/>
  <c r="AA51" i="101" l="1"/>
  <c r="AB51" i="101" s="1"/>
  <c r="Q51" i="101"/>
  <c r="T51" i="101" s="1"/>
  <c r="N51" i="101"/>
  <c r="AG28" i="101"/>
  <c r="Y28" i="101"/>
  <c r="AA28" i="101" l="1"/>
  <c r="AB28" i="101" s="1"/>
  <c r="Q28" i="101"/>
  <c r="T28" i="101" s="1"/>
  <c r="AG53" i="101"/>
  <c r="AA53" i="101" l="1"/>
  <c r="AB53" i="101" s="1"/>
  <c r="Q53" i="101"/>
  <c r="T53" i="101" s="1"/>
  <c r="N53" i="101"/>
  <c r="AG27" i="94" l="1"/>
  <c r="AA27" i="94" l="1"/>
  <c r="AB27" i="94" s="1"/>
  <c r="N27" i="94"/>
  <c r="AG30" i="94"/>
  <c r="AA30" i="94" l="1"/>
  <c r="AB30" i="94" s="1"/>
  <c r="N30" i="94"/>
  <c r="Z42" i="102"/>
  <c r="AG49" i="101"/>
  <c r="AA49" i="101" l="1"/>
  <c r="AB49" i="101" s="1"/>
  <c r="AG29" i="74" l="1"/>
  <c r="Y29" i="74"/>
  <c r="AA29" i="74" l="1"/>
  <c r="AB29" i="74" s="1"/>
  <c r="AG47" i="74"/>
  <c r="AA47" i="74" l="1"/>
  <c r="AB47" i="74" s="1"/>
  <c r="AG91" i="28" l="1"/>
  <c r="AA91" i="28" l="1"/>
  <c r="AB91" i="28" s="1"/>
  <c r="Q91" i="28"/>
  <c r="T91" i="28" s="1"/>
  <c r="AG23" i="102" l="1"/>
  <c r="Y23" i="102"/>
  <c r="AA23" i="102" l="1"/>
  <c r="AB23" i="102" s="1"/>
  <c r="Q23" i="102"/>
  <c r="T23" i="102" s="1"/>
  <c r="AG36" i="102"/>
  <c r="AA36" i="102" l="1"/>
  <c r="AB36" i="102" s="1"/>
  <c r="AG22" i="102"/>
  <c r="Y22" i="102"/>
  <c r="AA22" i="102" l="1"/>
  <c r="AB22" i="102" s="1"/>
  <c r="AG21" i="102"/>
  <c r="Y21" i="102"/>
  <c r="AA21" i="102" l="1"/>
  <c r="AB21" i="102" s="1"/>
  <c r="Q21" i="102"/>
  <c r="T21" i="102" s="1"/>
  <c r="AG39" i="102"/>
  <c r="AA39" i="102" l="1"/>
  <c r="AB39" i="102" s="1"/>
  <c r="AG52" i="101"/>
  <c r="AA52" i="101" l="1"/>
  <c r="AB52" i="101" s="1"/>
  <c r="Q52" i="101"/>
  <c r="T52" i="101" s="1"/>
  <c r="AG29" i="101"/>
  <c r="Y29" i="101"/>
  <c r="AA29" i="101" l="1"/>
  <c r="AB29" i="101" s="1"/>
  <c r="Q29" i="101"/>
  <c r="T29" i="101" s="1"/>
  <c r="AG21" i="94" l="1"/>
  <c r="AA21" i="94" l="1"/>
  <c r="AB21" i="94" s="1"/>
  <c r="AG34" i="94"/>
  <c r="AA34" i="94" l="1"/>
  <c r="AB34" i="94" s="1"/>
  <c r="N34" i="94"/>
  <c r="AG32" i="94"/>
  <c r="AA32" i="94" l="1"/>
  <c r="AB32" i="94" s="1"/>
  <c r="N32" i="94"/>
  <c r="AG16" i="94"/>
  <c r="AA16" i="94" l="1"/>
  <c r="AB16" i="94" s="1"/>
  <c r="AG48" i="74"/>
  <c r="AA48" i="74" l="1"/>
  <c r="AB48" i="74" s="1"/>
  <c r="AG25" i="102"/>
  <c r="Y25" i="102"/>
  <c r="AA25" i="102" l="1"/>
  <c r="AB25" i="102" s="1"/>
  <c r="AG24" i="102"/>
  <c r="Y24" i="102"/>
  <c r="AA24" i="102" l="1"/>
  <c r="AB24" i="102" s="1"/>
  <c r="Q24" i="102"/>
  <c r="T24" i="102" s="1"/>
  <c r="AG30" i="101" l="1"/>
  <c r="Y30" i="101"/>
  <c r="AA30" i="101" l="1"/>
  <c r="AB30" i="101" s="1"/>
  <c r="Q30" i="101"/>
  <c r="T30" i="101" s="1"/>
  <c r="AG50" i="101"/>
  <c r="AA50" i="101" l="1"/>
  <c r="AB50" i="101" s="1"/>
  <c r="AG25" i="94" l="1"/>
  <c r="AA25" i="94" l="1"/>
  <c r="AB25" i="94" s="1"/>
  <c r="N25" i="94"/>
  <c r="AG35" i="94"/>
  <c r="AA35" i="94" l="1"/>
  <c r="AB35" i="94" s="1"/>
  <c r="N35" i="94"/>
  <c r="AG83" i="74" l="1"/>
  <c r="AA83" i="74" l="1"/>
  <c r="AB83" i="74" s="1"/>
  <c r="N83" i="74"/>
  <c r="Z59" i="22"/>
  <c r="Y59" i="22"/>
  <c r="AA59" i="22" l="1"/>
  <c r="AB59" i="22" s="1"/>
  <c r="AD59" i="22"/>
  <c r="AG92" i="28"/>
  <c r="AE59" i="22" l="1"/>
  <c r="AA92" i="28"/>
  <c r="AB92" i="28" s="1"/>
  <c r="Q92" i="28"/>
  <c r="T92" i="28" s="1"/>
  <c r="AG49" i="98" l="1"/>
  <c r="AA49" i="98" l="1"/>
  <c r="AB49" i="98" s="1"/>
  <c r="AG54" i="98"/>
  <c r="AA54" i="98" l="1"/>
  <c r="AB54" i="98" s="1"/>
  <c r="Q54" i="98"/>
  <c r="T54" i="98" s="1"/>
  <c r="N54" i="98"/>
  <c r="AG47" i="98"/>
  <c r="AA47" i="98" l="1"/>
  <c r="AB47" i="98" s="1"/>
  <c r="Q47" i="98"/>
  <c r="T47" i="98" s="1"/>
  <c r="AG56" i="98"/>
  <c r="AA56" i="98" l="1"/>
  <c r="AB56" i="98" s="1"/>
  <c r="Q56" i="98"/>
  <c r="T56" i="98" s="1"/>
  <c r="N56" i="98"/>
  <c r="AG34" i="102" l="1"/>
  <c r="AA34" i="102" l="1"/>
  <c r="AB34" i="102" s="1"/>
  <c r="AG26" i="102"/>
  <c r="Y26" i="102"/>
  <c r="AA26" i="102" l="1"/>
  <c r="AB26" i="102" s="1"/>
  <c r="AG54" i="101" l="1"/>
  <c r="AA54" i="101" l="1"/>
  <c r="AB54" i="101" s="1"/>
  <c r="Q54" i="101"/>
  <c r="T54" i="101" s="1"/>
  <c r="N54" i="101"/>
  <c r="AG36" i="94" l="1"/>
  <c r="AA36" i="94" l="1"/>
  <c r="AB36" i="94" s="1"/>
  <c r="N36" i="94"/>
  <c r="AG31" i="94"/>
  <c r="AA31" i="94" l="1"/>
  <c r="AB31" i="94" s="1"/>
  <c r="N31" i="94"/>
  <c r="AG29" i="94"/>
  <c r="AA29" i="94" l="1"/>
  <c r="AB29" i="94" s="1"/>
  <c r="N29" i="94"/>
  <c r="AG54" i="22"/>
  <c r="Y54" i="22"/>
  <c r="AA54" i="22" l="1"/>
  <c r="AB54" i="22" s="1"/>
  <c r="T54" i="22"/>
  <c r="N54" i="22"/>
  <c r="Z94" i="22"/>
  <c r="Y94" i="22"/>
  <c r="AL26" i="28" l="1"/>
  <c r="AA94" i="22"/>
  <c r="AB94" i="22" s="1"/>
  <c r="AD94" i="22"/>
  <c r="Y26" i="28"/>
  <c r="AE94" i="22" l="1"/>
  <c r="AI26" i="28"/>
  <c r="AA26" i="28"/>
  <c r="AB26" i="28" s="1"/>
  <c r="AG22" i="94" l="1"/>
  <c r="AA22" i="94" l="1"/>
  <c r="AB22" i="94" s="1"/>
  <c r="AG24" i="94"/>
  <c r="AA24" i="94" l="1"/>
  <c r="AB24" i="94" s="1"/>
  <c r="N24" i="94"/>
  <c r="AG33" i="94"/>
  <c r="AA33" i="94" l="1"/>
  <c r="AB33" i="94" s="1"/>
  <c r="N33" i="94"/>
  <c r="AG94" i="28" l="1"/>
  <c r="AA94" i="28" l="1"/>
  <c r="AB94" i="28" s="1"/>
  <c r="T94" i="28"/>
  <c r="AG93" i="28" l="1"/>
  <c r="AA93" i="28" l="1"/>
  <c r="AB93" i="28" s="1"/>
  <c r="Q93" i="28"/>
  <c r="T93" i="28" s="1"/>
  <c r="AG97" i="22" l="1"/>
  <c r="Y97" i="22"/>
  <c r="AA97" i="22" l="1"/>
  <c r="AB97" i="22" s="1"/>
  <c r="T97" i="22"/>
  <c r="N97" i="22"/>
  <c r="AI62" i="28"/>
  <c r="AI61" i="28"/>
  <c r="AI60" i="28"/>
  <c r="AI59" i="28"/>
  <c r="AI58" i="28"/>
  <c r="AG66" i="22"/>
  <c r="Y66" i="22"/>
  <c r="AA66" i="22" l="1"/>
  <c r="AB66" i="22" s="1"/>
  <c r="N66" i="22"/>
  <c r="Y30" i="28"/>
  <c r="AL30" i="28" l="1"/>
  <c r="AI30" i="28"/>
  <c r="AA30" i="28"/>
  <c r="AB30" i="28" s="1"/>
  <c r="AG27" i="102" l="1"/>
  <c r="Y27" i="102"/>
  <c r="AA27" i="102" l="1"/>
  <c r="AB27" i="102" s="1"/>
  <c r="AG26" i="94" l="1"/>
  <c r="AA26" i="94" l="1"/>
  <c r="AB26" i="94" s="1"/>
  <c r="N26" i="94"/>
  <c r="AG95" i="28" l="1"/>
  <c r="AA95" i="28" l="1"/>
  <c r="AB95" i="28" s="1"/>
  <c r="T95" i="28"/>
  <c r="AG96" i="28"/>
  <c r="AA96" i="28" l="1"/>
  <c r="AB96" i="28" s="1"/>
  <c r="T96" i="28"/>
  <c r="AG97" i="28"/>
  <c r="AA97" i="28" l="1"/>
  <c r="AB97" i="28" s="1"/>
  <c r="Q97" i="28"/>
  <c r="T97" i="28" s="1"/>
  <c r="AG37" i="94" l="1"/>
  <c r="AA37" i="94" l="1"/>
  <c r="AB37" i="94" s="1"/>
  <c r="N37" i="94"/>
  <c r="AG45" i="74" l="1"/>
  <c r="AA45" i="74" l="1"/>
  <c r="AB45" i="74" s="1"/>
  <c r="AG42" i="102" l="1"/>
  <c r="AA42" i="102" l="1"/>
  <c r="AB42" i="102" s="1"/>
  <c r="Q42" i="102"/>
  <c r="T42" i="102" s="1"/>
  <c r="N42" i="102"/>
  <c r="AG28" i="102" l="1"/>
  <c r="Y28" i="102"/>
  <c r="AA28" i="102" l="1"/>
  <c r="AB28" i="102" s="1"/>
  <c r="AG23" i="94" l="1"/>
  <c r="AA23" i="94" l="1"/>
  <c r="AB23" i="94" s="1"/>
  <c r="AG29" i="102" l="1"/>
  <c r="Y29" i="102"/>
  <c r="AA29" i="102" l="1"/>
  <c r="AB29" i="102" s="1"/>
  <c r="AG52" i="98" l="1"/>
  <c r="AA52" i="98" l="1"/>
  <c r="AB52" i="98" s="1"/>
  <c r="Q52" i="98"/>
  <c r="T52" i="98" s="1"/>
  <c r="N52" i="98"/>
  <c r="AG53" i="98" l="1"/>
  <c r="AA53" i="98" l="1"/>
  <c r="AB53" i="98" s="1"/>
  <c r="N53" i="98"/>
  <c r="AG41" i="102" l="1"/>
  <c r="AA41" i="102" l="1"/>
  <c r="AB41" i="102" s="1"/>
  <c r="N41" i="102"/>
  <c r="AG38" i="102"/>
  <c r="AA38" i="102" l="1"/>
  <c r="AB38" i="102" s="1"/>
  <c r="Q38" i="102"/>
  <c r="T38" i="102" s="1"/>
  <c r="AG48" i="101"/>
  <c r="AA48" i="101" l="1"/>
  <c r="AB48" i="101" s="1"/>
  <c r="Q48" i="101"/>
  <c r="T48" i="101" s="1"/>
  <c r="AG31" i="102" l="1"/>
  <c r="AG32" i="101"/>
  <c r="AG57" i="74" l="1"/>
  <c r="AA57" i="74" l="1"/>
  <c r="AB57" i="74" s="1"/>
  <c r="Q57" i="74"/>
  <c r="T57" i="74" s="1"/>
  <c r="Z98" i="22" l="1"/>
  <c r="Y98" i="22"/>
  <c r="AG50" i="22"/>
  <c r="Y50" i="22"/>
  <c r="AA98" i="22" l="1"/>
  <c r="AB98" i="22" s="1"/>
  <c r="AD98" i="22"/>
  <c r="AA50" i="22"/>
  <c r="AB50" i="22" s="1"/>
  <c r="Q50" i="22"/>
  <c r="T50" i="22" s="1"/>
  <c r="N50" i="22"/>
  <c r="AG98" i="28"/>
  <c r="AE98" i="22" l="1"/>
  <c r="AA98" i="28"/>
  <c r="AB98" i="28" s="1"/>
  <c r="Q98" i="28"/>
  <c r="T98" i="28" s="1"/>
  <c r="N98" i="28"/>
  <c r="AG17" i="94" l="1"/>
  <c r="AA17" i="94" l="1"/>
  <c r="AB17" i="94" s="1"/>
  <c r="AG18" i="94"/>
  <c r="AA18" i="94" l="1"/>
  <c r="AB18" i="94" s="1"/>
  <c r="AG28" i="94"/>
  <c r="AA28" i="94" l="1"/>
  <c r="AB28" i="94" s="1"/>
  <c r="N28" i="94"/>
  <c r="AG49" i="74" l="1"/>
  <c r="AA49" i="74" l="1"/>
  <c r="AB49" i="74" s="1"/>
  <c r="Z13" i="22"/>
  <c r="Z12" i="22"/>
  <c r="Z11" i="22"/>
  <c r="Z10" i="22"/>
  <c r="Z14" i="28"/>
  <c r="AG85" i="74" l="1"/>
  <c r="AA85" i="74" l="1"/>
  <c r="AB85" i="74" s="1"/>
  <c r="N85" i="74"/>
  <c r="AG102" i="28" l="1"/>
  <c r="AA102" i="28" l="1"/>
  <c r="AB102" i="28" s="1"/>
  <c r="Q102" i="28"/>
  <c r="T102" i="28" s="1"/>
  <c r="N102" i="28"/>
  <c r="AG101" i="28"/>
  <c r="AA101" i="28" l="1"/>
  <c r="AB101" i="28" s="1"/>
  <c r="Q101" i="28"/>
  <c r="T101" i="28" s="1"/>
  <c r="N101" i="28"/>
  <c r="AG100" i="28"/>
  <c r="AA100" i="28" l="1"/>
  <c r="AB100" i="28" s="1"/>
  <c r="Q100" i="28"/>
  <c r="T100" i="28" s="1"/>
  <c r="N100" i="28"/>
  <c r="AG99" i="28"/>
  <c r="AA99" i="28" l="1"/>
  <c r="AB99" i="28" s="1"/>
  <c r="Q99" i="28"/>
  <c r="T99" i="28" s="1"/>
  <c r="N99" i="28"/>
  <c r="AG116" i="74" l="1"/>
  <c r="AA116" i="74" l="1"/>
  <c r="AB116" i="74" s="1"/>
  <c r="N116" i="74"/>
  <c r="AG77" i="74"/>
  <c r="AA77" i="74" l="1"/>
  <c r="AB77" i="74" s="1"/>
  <c r="Q77" i="74"/>
  <c r="T77" i="74" s="1"/>
  <c r="N77" i="74"/>
  <c r="AG115" i="74"/>
  <c r="AA115" i="74" l="1"/>
  <c r="AB115" i="74" s="1"/>
  <c r="N115" i="74"/>
  <c r="AG86" i="74"/>
  <c r="AA86" i="74" l="1"/>
  <c r="AB86" i="74" s="1"/>
  <c r="N86" i="74"/>
  <c r="N55" i="98" l="1"/>
  <c r="AG55" i="98"/>
  <c r="AA55" i="98" l="1"/>
  <c r="AB55" i="98" s="1"/>
  <c r="AG34" i="98" l="1"/>
  <c r="Y34" i="98"/>
  <c r="AA34" i="98" l="1"/>
  <c r="AB34" i="98" s="1"/>
  <c r="AG19" i="99"/>
  <c r="AG118" i="74" l="1"/>
  <c r="AA118" i="74" l="1"/>
  <c r="AB118" i="74" s="1"/>
  <c r="N118" i="74"/>
  <c r="AG50" i="74"/>
  <c r="AA50" i="74" l="1"/>
  <c r="AB50" i="74" s="1"/>
  <c r="AG58" i="74" l="1"/>
  <c r="AA58" i="74" l="1"/>
  <c r="AB58" i="74" s="1"/>
  <c r="AG102" i="74" l="1"/>
  <c r="AA102" i="74" l="1"/>
  <c r="AB102" i="74" s="1"/>
  <c r="N102" i="74"/>
  <c r="Z118" i="22" l="1"/>
  <c r="Z117" i="22"/>
  <c r="Z116" i="22"/>
  <c r="Z34" i="28"/>
  <c r="AG103" i="28" l="1"/>
  <c r="AA103" i="28" l="1"/>
  <c r="AB103" i="28" s="1"/>
  <c r="N103" i="28"/>
  <c r="AG103" i="74" l="1"/>
  <c r="AA103" i="74" l="1"/>
  <c r="AB103" i="74" s="1"/>
  <c r="N103" i="74"/>
  <c r="AG111" i="74" l="1"/>
  <c r="AA111" i="74" l="1"/>
  <c r="AB111" i="74" s="1"/>
  <c r="N111" i="74"/>
  <c r="AG110" i="74"/>
  <c r="AA110" i="74" l="1"/>
  <c r="AB110" i="74" s="1"/>
  <c r="N110" i="74"/>
  <c r="AG78" i="74"/>
  <c r="AA78" i="74" l="1"/>
  <c r="AB78" i="74" s="1"/>
  <c r="N78" i="74"/>
  <c r="AG59" i="74" l="1"/>
  <c r="AA59" i="74" l="1"/>
  <c r="AB59" i="74" s="1"/>
  <c r="AG150" i="74"/>
  <c r="AA150" i="74" l="1"/>
  <c r="AB150" i="74" s="1"/>
  <c r="N150" i="74"/>
  <c r="AG104" i="28" l="1"/>
  <c r="AA104" i="28" l="1"/>
  <c r="AB104" i="28" s="1"/>
  <c r="Q104" i="28"/>
  <c r="T104" i="28" s="1"/>
  <c r="N104" i="28"/>
  <c r="AG106" i="28" l="1"/>
  <c r="AA106" i="28" l="1"/>
  <c r="AB106" i="28" s="1"/>
  <c r="Q106" i="28"/>
  <c r="T106" i="28" s="1"/>
  <c r="N106" i="28"/>
  <c r="K4" i="21" l="1"/>
  <c r="M4" i="21"/>
  <c r="N4" i="21" l="1"/>
  <c r="L4" i="21"/>
  <c r="AG62" i="74" l="1"/>
  <c r="AA62" i="74" l="1"/>
  <c r="AB62" i="74" s="1"/>
  <c r="AG112" i="74"/>
  <c r="AA112" i="74" l="1"/>
  <c r="AB112" i="74" s="1"/>
  <c r="N112" i="74"/>
  <c r="AG105" i="28" l="1"/>
  <c r="AA105" i="28" l="1"/>
  <c r="AB105" i="28" s="1"/>
  <c r="N105" i="28"/>
  <c r="AG113" i="74" l="1"/>
  <c r="AA113" i="74" l="1"/>
  <c r="AB113" i="74" s="1"/>
  <c r="N113" i="74"/>
  <c r="AG30" i="74"/>
  <c r="Y30" i="74"/>
  <c r="AA30" i="74" l="1"/>
  <c r="AB30" i="74" s="1"/>
  <c r="Q30" i="74"/>
  <c r="T30" i="74" s="1"/>
  <c r="AG107" i="28"/>
  <c r="AA107" i="28" l="1"/>
  <c r="AB107" i="28" s="1"/>
  <c r="N107" i="28"/>
  <c r="Q29" i="28" l="1"/>
  <c r="T29" i="28" s="1"/>
  <c r="AG164" i="74" l="1"/>
  <c r="AA164" i="74" l="1"/>
  <c r="AB164" i="74" s="1"/>
  <c r="N164" i="74"/>
  <c r="AG94" i="74" l="1"/>
  <c r="AA94" i="74" l="1"/>
  <c r="AB94" i="74" s="1"/>
  <c r="N94" i="74"/>
  <c r="AG99" i="74"/>
  <c r="AA99" i="74" l="1"/>
  <c r="AB99" i="74" s="1"/>
  <c r="N99" i="74"/>
  <c r="AG107" i="74"/>
  <c r="AA107" i="74" l="1"/>
  <c r="AB107" i="74" s="1"/>
  <c r="N107" i="74"/>
  <c r="AG172" i="74" l="1"/>
  <c r="AA172" i="74" l="1"/>
  <c r="AB172" i="74" s="1"/>
  <c r="N172" i="74"/>
  <c r="AG169" i="74"/>
  <c r="AA169" i="74" l="1"/>
  <c r="AB169" i="74" s="1"/>
  <c r="N169" i="74"/>
  <c r="AG79" i="74" l="1"/>
  <c r="AA79" i="74" l="1"/>
  <c r="AB79" i="74" s="1"/>
  <c r="N79" i="74"/>
  <c r="AG63" i="74" l="1"/>
  <c r="AA63" i="74" l="1"/>
  <c r="AB63" i="74" s="1"/>
  <c r="AG173" i="74" l="1"/>
  <c r="AA173" i="74" l="1"/>
  <c r="AB173" i="74" s="1"/>
  <c r="N173" i="74"/>
  <c r="AG100" i="74"/>
  <c r="AA100" i="74" l="1"/>
  <c r="AB100" i="74" s="1"/>
  <c r="N100" i="74"/>
  <c r="AG166" i="74"/>
  <c r="AA166" i="74" l="1"/>
  <c r="AB166" i="74" s="1"/>
  <c r="Q166" i="74"/>
  <c r="T166" i="74" s="1"/>
  <c r="N166" i="74"/>
  <c r="AG108" i="74"/>
  <c r="AA108" i="74" l="1"/>
  <c r="AB108" i="74" s="1"/>
  <c r="N108" i="74"/>
  <c r="AG104" i="74"/>
  <c r="AA104" i="74" l="1"/>
  <c r="AB104" i="74" s="1"/>
  <c r="N104" i="74"/>
  <c r="Z112" i="22"/>
  <c r="Z111" i="22"/>
  <c r="Z110" i="22"/>
  <c r="Z33" i="28"/>
  <c r="AG176" i="74" l="1"/>
  <c r="AA176" i="74" l="1"/>
  <c r="AB176" i="74" s="1"/>
  <c r="Q176" i="74"/>
  <c r="T176" i="74" s="1"/>
  <c r="N176" i="74"/>
  <c r="AG108" i="28" l="1"/>
  <c r="AA108" i="28" l="1"/>
  <c r="AB108" i="28" s="1"/>
  <c r="N108" i="28"/>
  <c r="AG109" i="74" l="1"/>
  <c r="AA109" i="74" l="1"/>
  <c r="AB109" i="74" s="1"/>
  <c r="Q109" i="74"/>
  <c r="T109" i="74" s="1"/>
  <c r="N109" i="74"/>
  <c r="AG67" i="74" l="1"/>
  <c r="AA67" i="74" l="1"/>
  <c r="AB67" i="74" s="1"/>
  <c r="Q67" i="74"/>
  <c r="T67" i="74" s="1"/>
  <c r="AG105" i="74"/>
  <c r="AA105" i="74" l="1"/>
  <c r="AB105" i="74" s="1"/>
  <c r="N105" i="74"/>
  <c r="AG12" i="28" l="1"/>
  <c r="Y12" i="28"/>
  <c r="AA12" i="28" l="1"/>
  <c r="AB12" i="28" s="1"/>
  <c r="Z28" i="22" l="1"/>
  <c r="AG27" i="22"/>
  <c r="Y27" i="22"/>
  <c r="AA27" i="22" l="1"/>
  <c r="AB27" i="22" s="1"/>
  <c r="N27" i="22"/>
  <c r="AG26" i="22"/>
  <c r="Y26" i="22"/>
  <c r="AA26" i="22" l="1"/>
  <c r="AB26" i="22" s="1"/>
  <c r="N26" i="22"/>
  <c r="AG25" i="22"/>
  <c r="Y25" i="22"/>
  <c r="AA25" i="22" l="1"/>
  <c r="AB25" i="22" s="1"/>
  <c r="N25" i="22"/>
  <c r="AG24" i="22"/>
  <c r="Y24" i="22"/>
  <c r="AA24" i="22" l="1"/>
  <c r="AB24" i="22" s="1"/>
  <c r="N24" i="22"/>
  <c r="AG23" i="22"/>
  <c r="Y23" i="22"/>
  <c r="AA23" i="22" l="1"/>
  <c r="AB23" i="22" s="1"/>
  <c r="N23" i="22"/>
  <c r="AG22" i="22"/>
  <c r="Y22" i="22"/>
  <c r="Y28" i="22" l="1"/>
  <c r="AA22" i="22"/>
  <c r="AB22" i="22" s="1"/>
  <c r="N22" i="22"/>
  <c r="AA28" i="22" l="1"/>
  <c r="AD28" i="22"/>
  <c r="AE28" i="22" l="1"/>
  <c r="AB28" i="22"/>
  <c r="AG167" i="74" l="1"/>
  <c r="AA167" i="74" l="1"/>
  <c r="AB167" i="74" s="1"/>
  <c r="Q167" i="74"/>
  <c r="T167" i="74" s="1"/>
  <c r="N167" i="74"/>
  <c r="AG152" i="74"/>
  <c r="AA152" i="74" l="1"/>
  <c r="AB152" i="74" s="1"/>
  <c r="N152" i="74"/>
  <c r="AG106" i="74"/>
  <c r="AA106" i="74" l="1"/>
  <c r="AB106" i="74" s="1"/>
  <c r="N106" i="74"/>
  <c r="AG160" i="74"/>
  <c r="AA160" i="74" l="1"/>
  <c r="AB160" i="74" s="1"/>
  <c r="Q160" i="74"/>
  <c r="T160" i="74" s="1"/>
  <c r="N160" i="74"/>
  <c r="AG111" i="28" l="1"/>
  <c r="AA111" i="28" l="1"/>
  <c r="AB111" i="28" s="1"/>
  <c r="N111" i="28"/>
  <c r="AG109" i="28" l="1"/>
  <c r="AA109" i="28" l="1"/>
  <c r="AB109" i="28" s="1"/>
  <c r="N109" i="28"/>
  <c r="Y9" i="28"/>
  <c r="AA9" i="28" l="1"/>
  <c r="AB9" i="28" s="1"/>
  <c r="AG122" i="74" l="1"/>
  <c r="AA122" i="74" l="1"/>
  <c r="AB122" i="74" s="1"/>
  <c r="N122" i="74"/>
  <c r="AG177" i="74"/>
  <c r="AA177" i="74" l="1"/>
  <c r="AB177" i="74" s="1"/>
  <c r="Q177" i="74"/>
  <c r="T177" i="74" s="1"/>
  <c r="N177" i="74"/>
  <c r="AG161" i="74"/>
  <c r="AA161" i="74" l="1"/>
  <c r="AB161" i="74" s="1"/>
  <c r="Q161" i="74"/>
  <c r="T161" i="74" s="1"/>
  <c r="N161" i="74"/>
  <c r="AG179" i="74"/>
  <c r="AA179" i="74" l="1"/>
  <c r="AB179" i="74" s="1"/>
  <c r="Q179" i="74"/>
  <c r="T179" i="74" s="1"/>
  <c r="N179" i="74"/>
  <c r="AG65" i="74" l="1"/>
  <c r="AA65" i="74" l="1"/>
  <c r="AB65" i="74" s="1"/>
  <c r="AG116" i="28"/>
  <c r="AA116" i="28" l="1"/>
  <c r="AB116" i="28" s="1"/>
  <c r="Q116" i="28"/>
  <c r="T116" i="28" s="1"/>
  <c r="N116" i="28"/>
  <c r="AG115" i="28" l="1"/>
  <c r="AA115" i="28" l="1"/>
  <c r="AB115" i="28" s="1"/>
  <c r="N115" i="28"/>
  <c r="AG114" i="28" l="1"/>
  <c r="AA114" i="28" l="1"/>
  <c r="AB114" i="28" s="1"/>
  <c r="N114" i="28"/>
  <c r="AG113" i="28"/>
  <c r="AA113" i="28" l="1"/>
  <c r="AB113" i="28" s="1"/>
  <c r="N113" i="28"/>
  <c r="AG112" i="28"/>
  <c r="AA112" i="28" l="1"/>
  <c r="AB112" i="28" s="1"/>
  <c r="Q112" i="28"/>
  <c r="T112" i="28" s="1"/>
  <c r="N112" i="28"/>
  <c r="AG95" i="74" l="1"/>
  <c r="AA95" i="74" l="1"/>
  <c r="AB95" i="74" s="1"/>
  <c r="Q95" i="74"/>
  <c r="T95" i="74" s="1"/>
  <c r="N95" i="74"/>
  <c r="AG153" i="74"/>
  <c r="AA153" i="74" l="1"/>
  <c r="AB153" i="74" s="1"/>
  <c r="N153" i="74"/>
  <c r="AG197" i="74"/>
  <c r="AA197" i="74" l="1"/>
  <c r="AB197" i="74" s="1"/>
  <c r="Q197" i="74"/>
  <c r="T197" i="74" s="1"/>
  <c r="N197" i="74"/>
  <c r="J16" i="21" l="1"/>
  <c r="I16" i="21"/>
  <c r="O16" i="21" s="1"/>
  <c r="K5" i="21"/>
  <c r="M5" i="21"/>
  <c r="N5" i="21" l="1"/>
  <c r="L5" i="21"/>
  <c r="Z177" i="22" l="1"/>
  <c r="Y177" i="22"/>
  <c r="AG176" i="22"/>
  <c r="AA176" i="22"/>
  <c r="AB176" i="22" s="1"/>
  <c r="Q176" i="22"/>
  <c r="T176" i="22" s="1"/>
  <c r="N176" i="22"/>
  <c r="AA177" i="22" l="1"/>
  <c r="AB177" i="22" s="1"/>
  <c r="AD177" i="22"/>
  <c r="AE177" i="22" l="1"/>
  <c r="AG119" i="74" l="1"/>
  <c r="AA119" i="74" l="1"/>
  <c r="AB119" i="74" s="1"/>
  <c r="Q119" i="74"/>
  <c r="T119" i="74" s="1"/>
  <c r="N119" i="74"/>
  <c r="AG117" i="74"/>
  <c r="AA117" i="74" l="1"/>
  <c r="AB117" i="74" s="1"/>
  <c r="Q117" i="74"/>
  <c r="T117" i="74" s="1"/>
  <c r="N117" i="74"/>
  <c r="AG101" i="74"/>
  <c r="AA101" i="74" l="1"/>
  <c r="AB101" i="74" s="1"/>
  <c r="N101" i="74"/>
  <c r="AG98" i="74"/>
  <c r="AA98" i="74" l="1"/>
  <c r="AB98" i="74" s="1"/>
  <c r="Q98" i="74"/>
  <c r="T98" i="74" s="1"/>
  <c r="N98" i="74"/>
  <c r="AG183" i="74"/>
  <c r="AA183" i="74" l="1"/>
  <c r="AB183" i="74" s="1"/>
  <c r="N183" i="74"/>
  <c r="AG181" i="74"/>
  <c r="AA181" i="74" l="1"/>
  <c r="AB181" i="74" s="1"/>
  <c r="N181" i="74"/>
  <c r="AG190" i="74"/>
  <c r="AA190" i="74" l="1"/>
  <c r="AB190" i="74" s="1"/>
  <c r="Q190" i="74"/>
  <c r="T190" i="74" s="1"/>
  <c r="N190" i="74"/>
  <c r="AG174" i="74"/>
  <c r="AA174" i="74" l="1"/>
  <c r="AB174" i="74" s="1"/>
  <c r="N174" i="74"/>
  <c r="AG180" i="74"/>
  <c r="AA180" i="74" l="1"/>
  <c r="AB180" i="74" s="1"/>
  <c r="N180" i="74"/>
  <c r="AG199" i="74" l="1"/>
  <c r="AA199" i="74" l="1"/>
  <c r="AB199" i="74" s="1"/>
  <c r="Q199" i="74"/>
  <c r="T199" i="74" s="1"/>
  <c r="N199" i="74"/>
  <c r="AG170" i="74"/>
  <c r="AA170" i="74" l="1"/>
  <c r="AB170" i="74" s="1"/>
  <c r="Q170" i="74"/>
  <c r="T170" i="74" s="1"/>
  <c r="N170" i="74"/>
  <c r="AG192" i="74"/>
  <c r="AA192" i="74" l="1"/>
  <c r="AB192" i="74" s="1"/>
  <c r="N192" i="74"/>
  <c r="AG117" i="28" l="1"/>
  <c r="AA117" i="28" l="1"/>
  <c r="AB117" i="28" s="1"/>
  <c r="Q117" i="28"/>
  <c r="T117" i="28" s="1"/>
  <c r="N117" i="28"/>
  <c r="AG151" i="74" l="1"/>
  <c r="AA151" i="74" l="1"/>
  <c r="AB151" i="74" s="1"/>
  <c r="Q151" i="74"/>
  <c r="T151" i="74" s="1"/>
  <c r="N151" i="74"/>
  <c r="AG70" i="74"/>
  <c r="AA70" i="74" l="1"/>
  <c r="AB70" i="74" s="1"/>
  <c r="Q70" i="74"/>
  <c r="T70" i="74" s="1"/>
  <c r="AG1" i="57" l="1"/>
  <c r="Y1" i="57"/>
  <c r="AA1" i="57" l="1"/>
  <c r="AB1" i="57" s="1"/>
  <c r="T1" i="57"/>
  <c r="AG120" i="28" l="1"/>
  <c r="AA120" i="28" l="1"/>
  <c r="AB120" i="28" s="1"/>
  <c r="N120" i="28"/>
  <c r="AG110" i="28"/>
  <c r="AA110" i="28" l="1"/>
  <c r="AB110" i="28" s="1"/>
  <c r="N110" i="28"/>
  <c r="AG118" i="28"/>
  <c r="AA118" i="28" l="1"/>
  <c r="AB118" i="28" s="1"/>
  <c r="Q118" i="28"/>
  <c r="T118" i="28" s="1"/>
  <c r="N118" i="28"/>
  <c r="AG96" i="74" l="1"/>
  <c r="AA96" i="74" l="1"/>
  <c r="AB96" i="74" s="1"/>
  <c r="Q96" i="74"/>
  <c r="T96" i="74" s="1"/>
  <c r="N96" i="74"/>
  <c r="AG162" i="74"/>
  <c r="AA162" i="74" l="1"/>
  <c r="AB162" i="74" s="1"/>
  <c r="Q162" i="74"/>
  <c r="T162" i="74" s="1"/>
  <c r="N162" i="74"/>
  <c r="AG154" i="74"/>
  <c r="AA154" i="74" l="1"/>
  <c r="AB154" i="74" s="1"/>
  <c r="N154" i="74"/>
  <c r="AG201" i="74"/>
  <c r="AA201" i="74" l="1"/>
  <c r="AB201" i="74" s="1"/>
  <c r="Q201" i="74"/>
  <c r="T201" i="74" s="1"/>
  <c r="N201" i="74"/>
  <c r="AG175" i="74" l="1"/>
  <c r="AA175" i="74" l="1"/>
  <c r="AB175" i="74" s="1"/>
  <c r="Q175" i="74"/>
  <c r="T175" i="74" s="1"/>
  <c r="N175" i="74"/>
  <c r="AG165" i="74"/>
  <c r="AA165" i="74" l="1"/>
  <c r="AB165" i="74" s="1"/>
  <c r="N165" i="74"/>
  <c r="AG168" i="74"/>
  <c r="AA168" i="74" l="1"/>
  <c r="AB168" i="74" s="1"/>
  <c r="N168" i="74"/>
  <c r="AG87" i="74"/>
  <c r="AA87" i="74" l="1"/>
  <c r="AB87" i="74" s="1"/>
  <c r="N87" i="74"/>
  <c r="N202" i="74"/>
  <c r="Q202" i="74"/>
  <c r="T202" i="74" s="1"/>
  <c r="AG202" i="74"/>
  <c r="AG140" i="74"/>
  <c r="AA202" i="74" l="1"/>
  <c r="AB202" i="74" s="1"/>
  <c r="AA140" i="74"/>
  <c r="AB140" i="74" s="1"/>
  <c r="N140" i="74"/>
  <c r="AG123" i="74"/>
  <c r="AA123" i="74" l="1"/>
  <c r="AB123" i="74" s="1"/>
  <c r="N123" i="74"/>
  <c r="AG122" i="28" l="1"/>
  <c r="AA122" i="28" l="1"/>
  <c r="AB122" i="28" s="1"/>
  <c r="N122" i="28"/>
  <c r="AG121" i="28"/>
  <c r="AA121" i="28" l="1"/>
  <c r="AB121" i="28" s="1"/>
  <c r="N121" i="28"/>
  <c r="AG119" i="28"/>
  <c r="AA119" i="28" l="1"/>
  <c r="AB119" i="28" s="1"/>
  <c r="Q119" i="28"/>
  <c r="T119" i="28" s="1"/>
  <c r="N119" i="28"/>
  <c r="AG200" i="74" l="1"/>
  <c r="AA200" i="74" l="1"/>
  <c r="AB200" i="74" s="1"/>
  <c r="Q200" i="74"/>
  <c r="T200" i="74" s="1"/>
  <c r="N200" i="74"/>
  <c r="AG186" i="74" l="1"/>
  <c r="AA186" i="74" l="1"/>
  <c r="AB186" i="74" s="1"/>
  <c r="Q186" i="74"/>
  <c r="T186" i="74" s="1"/>
  <c r="N186" i="74"/>
  <c r="AG159" i="74"/>
  <c r="AA159" i="74" l="1"/>
  <c r="AB159" i="74" s="1"/>
  <c r="N159" i="74"/>
  <c r="AG155" i="74"/>
  <c r="AA155" i="74" l="1"/>
  <c r="AB155" i="74" s="1"/>
  <c r="N155" i="74"/>
  <c r="AG123" i="28" l="1"/>
  <c r="AA123" i="28" l="1"/>
  <c r="AB123" i="28" s="1"/>
  <c r="N123" i="28"/>
  <c r="AG126" i="28"/>
  <c r="AA126" i="28" l="1"/>
  <c r="AB126" i="28" s="1"/>
  <c r="Q126" i="28"/>
  <c r="T126" i="28" s="1"/>
  <c r="N126" i="28"/>
  <c r="AG125" i="28" l="1"/>
  <c r="AA125" i="28" l="1"/>
  <c r="AB125" i="28" s="1"/>
  <c r="N125" i="28"/>
  <c r="AG117" i="22"/>
  <c r="Z55" i="22"/>
  <c r="Y55" i="22"/>
  <c r="AA55" i="22" l="1"/>
  <c r="AB55" i="22" s="1"/>
  <c r="AD55" i="22"/>
  <c r="AG42" i="22"/>
  <c r="Y42" i="22"/>
  <c r="AE55" i="22" l="1"/>
  <c r="AA42" i="22"/>
  <c r="AB42" i="22" s="1"/>
  <c r="N42" i="22"/>
  <c r="AG66" i="74" l="1"/>
  <c r="AA66" i="74" l="1"/>
  <c r="AB66" i="74" s="1"/>
  <c r="Q66" i="74"/>
  <c r="T66" i="74" s="1"/>
  <c r="AG80" i="74"/>
  <c r="AA80" i="74" l="1"/>
  <c r="AB80" i="74" s="1"/>
  <c r="N80" i="74"/>
  <c r="AG140" i="22" l="1"/>
  <c r="Y140" i="22"/>
  <c r="AA140" i="22" l="1"/>
  <c r="AB140" i="22" s="1"/>
  <c r="N140" i="22"/>
  <c r="AG139" i="22"/>
  <c r="Y139" i="22"/>
  <c r="AA139" i="22" l="1"/>
  <c r="AB139" i="22" s="1"/>
  <c r="N139" i="22"/>
  <c r="AG138" i="22"/>
  <c r="Z138" i="22"/>
  <c r="Y138" i="22"/>
  <c r="AA138" i="22" l="1"/>
  <c r="AB138" i="22" s="1"/>
  <c r="N138" i="22"/>
  <c r="AG137" i="22"/>
  <c r="Z137" i="22"/>
  <c r="Z141" i="22" s="1"/>
  <c r="Y137" i="22"/>
  <c r="AA137" i="22" l="1"/>
  <c r="AB137" i="22" s="1"/>
  <c r="N137" i="22"/>
  <c r="AG136" i="22"/>
  <c r="Y136" i="22"/>
  <c r="AA136" i="22" l="1"/>
  <c r="AB136" i="22" s="1"/>
  <c r="N136" i="22"/>
  <c r="AG135" i="22"/>
  <c r="Y135" i="22"/>
  <c r="AA135" i="22" l="1"/>
  <c r="AB135" i="22" s="1"/>
  <c r="N135" i="22"/>
  <c r="AG134" i="22"/>
  <c r="Y134" i="22"/>
  <c r="AA134" i="22" l="1"/>
  <c r="AB134" i="22" s="1"/>
  <c r="N134" i="22"/>
  <c r="AG133" i="22"/>
  <c r="Y141" i="22" l="1"/>
  <c r="AA133" i="22"/>
  <c r="AB133" i="22" s="1"/>
  <c r="N133" i="22"/>
  <c r="AL37" i="28" l="1"/>
  <c r="AD141" i="22"/>
  <c r="AA141" i="22"/>
  <c r="Y37" i="28"/>
  <c r="AE141" i="22" l="1"/>
  <c r="AB141" i="22"/>
  <c r="AI37" i="28"/>
  <c r="AA37" i="28"/>
  <c r="AB37" i="28" s="1"/>
  <c r="T37" i="28"/>
  <c r="Y27" i="28"/>
  <c r="AL27" i="28" l="1"/>
  <c r="AI27" i="28"/>
  <c r="AA27" i="28"/>
  <c r="AB27" i="28" s="1"/>
  <c r="Q27" i="28"/>
  <c r="T27" i="28" s="1"/>
  <c r="AG203" i="74" l="1"/>
  <c r="AA203" i="74" l="1"/>
  <c r="AB203" i="74" s="1"/>
  <c r="Q203" i="74"/>
  <c r="T203" i="74" s="1"/>
  <c r="N203" i="74"/>
  <c r="AG120" i="74"/>
  <c r="AA120" i="74" l="1"/>
  <c r="AB120" i="74" s="1"/>
  <c r="Q120" i="74"/>
  <c r="T120" i="74" s="1"/>
  <c r="N120" i="74"/>
  <c r="AG124" i="28" l="1"/>
  <c r="AA124" i="28" l="1"/>
  <c r="AB124" i="28" s="1"/>
  <c r="Q124" i="28"/>
  <c r="T124" i="28" s="1"/>
  <c r="N124" i="28"/>
  <c r="AG215" i="74" l="1"/>
  <c r="AA215" i="74" l="1"/>
  <c r="AB215" i="74" s="1"/>
  <c r="Q215" i="74"/>
  <c r="T215" i="74" s="1"/>
  <c r="N215" i="74"/>
  <c r="AG210" i="74"/>
  <c r="AA210" i="74" l="1"/>
  <c r="AB210" i="74" s="1"/>
  <c r="Q210" i="74"/>
  <c r="T210" i="74" s="1"/>
  <c r="N210" i="74"/>
  <c r="AG184" i="74"/>
  <c r="AA184" i="74" l="1"/>
  <c r="AB184" i="74" s="1"/>
  <c r="Q184" i="74"/>
  <c r="T184" i="74" s="1"/>
  <c r="N184" i="74"/>
  <c r="AG124" i="74"/>
  <c r="AA124" i="74" l="1"/>
  <c r="AB124" i="74" s="1"/>
  <c r="Q124" i="74"/>
  <c r="T124" i="74" s="1"/>
  <c r="N124" i="74"/>
  <c r="AG88" i="74"/>
  <c r="AA88" i="74" l="1"/>
  <c r="AB88" i="74" s="1"/>
  <c r="Q88" i="74"/>
  <c r="T88" i="74" s="1"/>
  <c r="N88" i="74"/>
  <c r="AG141" i="74"/>
  <c r="AA141" i="74" l="1"/>
  <c r="AB141" i="74" s="1"/>
  <c r="Q141" i="74"/>
  <c r="T141" i="74" s="1"/>
  <c r="N141" i="74"/>
  <c r="Q164" i="28"/>
  <c r="T164" i="28" s="1"/>
  <c r="Q165" i="28"/>
  <c r="T165" i="28" s="1"/>
  <c r="Q166" i="28"/>
  <c r="T166" i="28" s="1"/>
  <c r="Q167" i="28"/>
  <c r="T167" i="28" s="1"/>
  <c r="Q168" i="28"/>
  <c r="T168" i="28" s="1"/>
  <c r="Q169" i="28"/>
  <c r="T169" i="28" s="1"/>
  <c r="Q170" i="28"/>
  <c r="T170" i="28" s="1"/>
  <c r="Q171" i="28"/>
  <c r="T171" i="28" s="1"/>
  <c r="Q172" i="28"/>
  <c r="T172" i="28" s="1"/>
  <c r="Q173" i="28"/>
  <c r="T173" i="28" s="1"/>
  <c r="Q174" i="28"/>
  <c r="T174" i="28" s="1"/>
  <c r="Q175" i="28"/>
  <c r="T175" i="28" s="1"/>
  <c r="Q176" i="28"/>
  <c r="T176" i="28" s="1"/>
  <c r="Q177" i="28"/>
  <c r="T177" i="28" s="1"/>
  <c r="Q178" i="28"/>
  <c r="T178" i="28" s="1"/>
  <c r="Q179" i="28"/>
  <c r="T179" i="28" s="1"/>
  <c r="Q180" i="28"/>
  <c r="T180" i="28" s="1"/>
  <c r="Q181" i="28"/>
  <c r="T181" i="28" s="1"/>
  <c r="Q182" i="28"/>
  <c r="T182" i="28" s="1"/>
  <c r="Q183" i="28"/>
  <c r="T183" i="28" s="1"/>
  <c r="Q184" i="28"/>
  <c r="T184" i="28" s="1"/>
  <c r="Q185" i="28"/>
  <c r="T185" i="28" s="1"/>
  <c r="Q186" i="28"/>
  <c r="T186" i="28" s="1"/>
  <c r="Q187" i="28"/>
  <c r="T187" i="28" s="1"/>
  <c r="Q188" i="28"/>
  <c r="T188" i="28" s="1"/>
  <c r="Q189" i="28"/>
  <c r="T189" i="28" s="1"/>
  <c r="Q190" i="28"/>
  <c r="T190" i="28" s="1"/>
  <c r="Q191" i="28"/>
  <c r="T191" i="28" s="1"/>
  <c r="Q192" i="28"/>
  <c r="T192" i="28" s="1"/>
  <c r="Q193" i="28"/>
  <c r="T193" i="28" s="1"/>
  <c r="Q194" i="28"/>
  <c r="T194" i="28" s="1"/>
  <c r="Q195" i="28"/>
  <c r="T195" i="28" s="1"/>
  <c r="Q196" i="28"/>
  <c r="T196" i="28" s="1"/>
  <c r="Q197" i="28"/>
  <c r="T197" i="28" s="1"/>
  <c r="Q198" i="28"/>
  <c r="T198" i="28" s="1"/>
  <c r="Q199" i="28"/>
  <c r="T199" i="28" s="1"/>
  <c r="Q200" i="28"/>
  <c r="T200" i="28" s="1"/>
  <c r="Q201" i="28"/>
  <c r="T201" i="28" s="1"/>
  <c r="Q202" i="28"/>
  <c r="T202" i="28" s="1"/>
  <c r="Q203" i="28"/>
  <c r="T203" i="28" s="1"/>
  <c r="Q204" i="28"/>
  <c r="T204" i="28" s="1"/>
  <c r="Q205" i="28"/>
  <c r="T205" i="28" s="1"/>
  <c r="Q206" i="28"/>
  <c r="T206" i="28" s="1"/>
  <c r="Q207" i="28"/>
  <c r="T207" i="28" s="1"/>
  <c r="Q208" i="28"/>
  <c r="T208" i="28" s="1"/>
  <c r="Q209" i="28"/>
  <c r="T209" i="28" s="1"/>
  <c r="Q210" i="28"/>
  <c r="T210" i="28" s="1"/>
  <c r="Q211" i="28"/>
  <c r="T211" i="28" s="1"/>
  <c r="Q212" i="28"/>
  <c r="T212" i="28" s="1"/>
  <c r="Q213" i="28"/>
  <c r="T213" i="28" s="1"/>
  <c r="Q214" i="28"/>
  <c r="T214" i="28" s="1"/>
  <c r="Q215" i="28"/>
  <c r="T215" i="28" s="1"/>
  <c r="Q216" i="28"/>
  <c r="T216" i="28" s="1"/>
  <c r="Q217" i="28"/>
  <c r="T217" i="28" s="1"/>
  <c r="Q218" i="28"/>
  <c r="T218" i="28" s="1"/>
  <c r="Q219" i="28"/>
  <c r="T219" i="28" s="1"/>
  <c r="Q220" i="28"/>
  <c r="T220" i="28" s="1"/>
  <c r="Q221" i="28"/>
  <c r="T221" i="28" s="1"/>
  <c r="Q222" i="28"/>
  <c r="T222" i="28" s="1"/>
  <c r="Q223" i="28"/>
  <c r="T223" i="28" s="1"/>
  <c r="Q224" i="28"/>
  <c r="T224" i="28" s="1"/>
  <c r="Q225" i="28"/>
  <c r="T225" i="28" s="1"/>
  <c r="Q226" i="28"/>
  <c r="T226" i="28" s="1"/>
  <c r="Q227" i="28"/>
  <c r="T227" i="28" s="1"/>
  <c r="Q228" i="28"/>
  <c r="T228" i="28" s="1"/>
  <c r="Q229" i="28"/>
  <c r="T229" i="28" s="1"/>
  <c r="Q230" i="28"/>
  <c r="T230" i="28" s="1"/>
  <c r="Q231" i="28"/>
  <c r="T231" i="28" s="1"/>
  <c r="Q232" i="28"/>
  <c r="T232" i="28" s="1"/>
  <c r="Q233" i="28"/>
  <c r="T233" i="28" s="1"/>
  <c r="Q234" i="28"/>
  <c r="T234" i="28" s="1"/>
  <c r="Q235" i="28"/>
  <c r="T235" i="28" s="1"/>
  <c r="Q236" i="28"/>
  <c r="T236" i="28" s="1"/>
  <c r="Q237" i="28"/>
  <c r="T237" i="28" s="1"/>
  <c r="Q238" i="28"/>
  <c r="T238" i="28" s="1"/>
  <c r="Q239" i="28"/>
  <c r="T239" i="28" s="1"/>
  <c r="Q240" i="28"/>
  <c r="T240" i="28" s="1"/>
  <c r="Q241" i="28"/>
  <c r="T241" i="28" s="1"/>
  <c r="Q242" i="28"/>
  <c r="T242" i="28" s="1"/>
  <c r="Q243" i="28"/>
  <c r="T243" i="28" s="1"/>
  <c r="Q244" i="28"/>
  <c r="T244" i="28" s="1"/>
  <c r="Q245" i="28"/>
  <c r="T245" i="28" s="1"/>
  <c r="Q246" i="28"/>
  <c r="T246" i="28" s="1"/>
  <c r="Q247" i="28"/>
  <c r="T247" i="28" s="1"/>
  <c r="Q248" i="28"/>
  <c r="T248" i="28" s="1"/>
  <c r="Q249" i="28"/>
  <c r="T249" i="28" s="1"/>
  <c r="Q250" i="28"/>
  <c r="T250" i="28" s="1"/>
  <c r="Q251" i="28"/>
  <c r="T251" i="28" s="1"/>
  <c r="Q252" i="28"/>
  <c r="T252" i="28" s="1"/>
  <c r="Q253" i="28"/>
  <c r="T253" i="28" s="1"/>
  <c r="Q254" i="28"/>
  <c r="T254" i="28" s="1"/>
  <c r="Q255" i="28"/>
  <c r="T255" i="28" s="1"/>
  <c r="Q256" i="28"/>
  <c r="T256" i="28" s="1"/>
  <c r="Q257" i="28"/>
  <c r="T257" i="28" s="1"/>
  <c r="Q258" i="28"/>
  <c r="T258" i="28" s="1"/>
  <c r="Q259" i="28"/>
  <c r="T259" i="28" s="1"/>
  <c r="Q260" i="28"/>
  <c r="T260" i="28" s="1"/>
  <c r="Q261" i="28"/>
  <c r="T261" i="28" s="1"/>
  <c r="Q262" i="28"/>
  <c r="T262" i="28" s="1"/>
  <c r="Q263" i="28"/>
  <c r="T263" i="28" s="1"/>
  <c r="Q264" i="28"/>
  <c r="T264" i="28" s="1"/>
  <c r="Q265" i="28"/>
  <c r="T265" i="28" s="1"/>
  <c r="Q266" i="28"/>
  <c r="T266" i="28" s="1"/>
  <c r="Q267" i="28"/>
  <c r="T267" i="28" s="1"/>
  <c r="Q268" i="28"/>
  <c r="T268" i="28" s="1"/>
  <c r="Q269" i="28"/>
  <c r="T269" i="28" s="1"/>
  <c r="Q270" i="28"/>
  <c r="T270" i="28" s="1"/>
  <c r="Q271" i="28"/>
  <c r="T271" i="28" s="1"/>
  <c r="Q272" i="28"/>
  <c r="T272" i="28" s="1"/>
  <c r="Q273" i="28"/>
  <c r="T273" i="28" s="1"/>
  <c r="Q274" i="28"/>
  <c r="T274" i="28" s="1"/>
  <c r="Q275" i="28"/>
  <c r="T275" i="28" s="1"/>
  <c r="Q276" i="28"/>
  <c r="T276" i="28" s="1"/>
  <c r="Q277" i="28"/>
  <c r="T277" i="28" s="1"/>
  <c r="Q278" i="28"/>
  <c r="T278" i="28" s="1"/>
  <c r="Q279" i="28"/>
  <c r="T279" i="28" s="1"/>
  <c r="Q280" i="28"/>
  <c r="T280" i="28" s="1"/>
  <c r="Q281" i="28"/>
  <c r="T281" i="28" s="1"/>
  <c r="Q282" i="28"/>
  <c r="T282" i="28" s="1"/>
  <c r="Q283" i="28"/>
  <c r="T283" i="28" s="1"/>
  <c r="Q284" i="28"/>
  <c r="T284" i="28" s="1"/>
  <c r="Q285" i="28"/>
  <c r="T285" i="28" s="1"/>
  <c r="Q286" i="28"/>
  <c r="T286" i="28" s="1"/>
  <c r="Q287" i="28"/>
  <c r="T287" i="28" s="1"/>
  <c r="Q288" i="28"/>
  <c r="T288" i="28" s="1"/>
  <c r="Q289" i="28"/>
  <c r="T289" i="28" s="1"/>
  <c r="Q290" i="28"/>
  <c r="T290" i="28" s="1"/>
  <c r="Q291" i="28"/>
  <c r="T291" i="28" s="1"/>
  <c r="Q292" i="28"/>
  <c r="T292" i="28" s="1"/>
  <c r="Q293" i="28"/>
  <c r="T293" i="28" s="1"/>
  <c r="Q294" i="28"/>
  <c r="T294" i="28" s="1"/>
  <c r="Q295" i="28"/>
  <c r="T295" i="28" s="1"/>
  <c r="Q296" i="28"/>
  <c r="T296" i="28" s="1"/>
  <c r="Q297" i="28"/>
  <c r="T297" i="28" s="1"/>
  <c r="Q298" i="28"/>
  <c r="T298" i="28" s="1"/>
  <c r="Q299" i="28"/>
  <c r="T299" i="28" s="1"/>
  <c r="Q300" i="28"/>
  <c r="T300" i="28" s="1"/>
  <c r="Q301" i="28"/>
  <c r="T301" i="28" s="1"/>
  <c r="Q302" i="28"/>
  <c r="T302" i="28" s="1"/>
  <c r="Q303" i="28"/>
  <c r="T303" i="28" s="1"/>
  <c r="Q304" i="28"/>
  <c r="T304" i="28" s="1"/>
  <c r="Q305" i="28"/>
  <c r="T305" i="28" s="1"/>
  <c r="Q306" i="28"/>
  <c r="T306" i="28" s="1"/>
  <c r="Q307" i="28"/>
  <c r="T307" i="28" s="1"/>
  <c r="Q308" i="28"/>
  <c r="T308" i="28" s="1"/>
  <c r="Q309" i="28"/>
  <c r="T309" i="28" s="1"/>
  <c r="Q310" i="28"/>
  <c r="T310" i="28" s="1"/>
  <c r="Q311" i="28"/>
  <c r="T311" i="28" s="1"/>
  <c r="Q312" i="28"/>
  <c r="Q313" i="28"/>
  <c r="Q314" i="28"/>
  <c r="Q315" i="28"/>
  <c r="Q316" i="28"/>
  <c r="Q317" i="28"/>
  <c r="Q318" i="28"/>
  <c r="Q146" i="28"/>
  <c r="T146" i="28" s="1"/>
  <c r="Q147" i="28"/>
  <c r="T147" i="28" s="1"/>
  <c r="Q148" i="28"/>
  <c r="T148" i="28" s="1"/>
  <c r="Q149" i="28"/>
  <c r="T149" i="28" s="1"/>
  <c r="Q150" i="28"/>
  <c r="T150" i="28" s="1"/>
  <c r="Q151" i="28"/>
  <c r="T151" i="28" s="1"/>
  <c r="Q152" i="28"/>
  <c r="T152" i="28" s="1"/>
  <c r="Q153" i="28"/>
  <c r="T153" i="28" s="1"/>
  <c r="Q154" i="28"/>
  <c r="T154" i="28" s="1"/>
  <c r="Q155" i="28"/>
  <c r="T155" i="28" s="1"/>
  <c r="Q156" i="28"/>
  <c r="T156" i="28" s="1"/>
  <c r="Q157" i="28"/>
  <c r="T157" i="28" s="1"/>
  <c r="Q158" i="28"/>
  <c r="T158" i="28" s="1"/>
  <c r="Q159" i="28"/>
  <c r="T159" i="28" s="1"/>
  <c r="Q160" i="28"/>
  <c r="T160" i="28" s="1"/>
  <c r="Q161" i="28"/>
  <c r="T161" i="28" s="1"/>
  <c r="Q162" i="28"/>
  <c r="T162" i="28" s="1"/>
  <c r="Q163" i="28"/>
  <c r="T163" i="28" s="1"/>
  <c r="Q145" i="28"/>
  <c r="T145" i="28" s="1"/>
  <c r="Q144" i="28"/>
  <c r="T144" i="28" s="1"/>
  <c r="Q143" i="28"/>
  <c r="T143" i="28" s="1"/>
  <c r="Q142" i="28"/>
  <c r="T142" i="28" s="1"/>
  <c r="Q141" i="28"/>
  <c r="T141" i="28" s="1"/>
  <c r="Q139" i="28"/>
  <c r="T139" i="28" s="1"/>
  <c r="Q138" i="28"/>
  <c r="T138" i="28" s="1"/>
  <c r="Q137" i="28"/>
  <c r="T137" i="28" s="1"/>
  <c r="Q136" i="28"/>
  <c r="T136" i="28" s="1"/>
  <c r="Q135" i="28"/>
  <c r="T135" i="28" s="1"/>
  <c r="Q134" i="28"/>
  <c r="T134" i="28" s="1"/>
  <c r="Q133" i="28"/>
  <c r="T133" i="28" s="1"/>
  <c r="Q132" i="28"/>
  <c r="T132" i="28" s="1"/>
  <c r="Q131" i="28"/>
  <c r="T131" i="28" s="1"/>
  <c r="Q128" i="28"/>
  <c r="T128" i="28" s="1"/>
  <c r="Q129" i="28"/>
  <c r="T129" i="28" s="1"/>
  <c r="Q130" i="28"/>
  <c r="T130" i="28" s="1"/>
  <c r="Q127" i="28"/>
  <c r="T127" i="28" s="1"/>
  <c r="T33" i="28"/>
  <c r="T35" i="28"/>
  <c r="T39" i="28"/>
  <c r="T31" i="28"/>
  <c r="T18" i="28"/>
  <c r="T38" i="28"/>
  <c r="T36" i="28"/>
  <c r="T17" i="28"/>
  <c r="T34" i="28"/>
  <c r="Q1813" i="57"/>
  <c r="T1813" i="57" s="1"/>
  <c r="Q1810" i="57"/>
  <c r="T1810" i="57" s="1"/>
  <c r="Q1809" i="57"/>
  <c r="T1809" i="57" s="1"/>
  <c r="Q1807" i="57"/>
  <c r="T1807" i="57" s="1"/>
  <c r="Q1808" i="57"/>
  <c r="T1808" i="57" s="1"/>
  <c r="Q240" i="74"/>
  <c r="T240" i="74" s="1"/>
  <c r="Q241" i="74"/>
  <c r="T241" i="74" s="1"/>
  <c r="Q242" i="74"/>
  <c r="T242" i="74" s="1"/>
  <c r="Q243" i="74"/>
  <c r="T243" i="74" s="1"/>
  <c r="Q244" i="74"/>
  <c r="T244" i="74" s="1"/>
  <c r="Q245" i="74"/>
  <c r="T245" i="74" s="1"/>
  <c r="Q246" i="74"/>
  <c r="T246" i="74" s="1"/>
  <c r="Q247" i="74"/>
  <c r="T247" i="74" s="1"/>
  <c r="Q248" i="74"/>
  <c r="T248" i="74" s="1"/>
  <c r="Q249" i="74"/>
  <c r="T249" i="74" s="1"/>
  <c r="Q250" i="74"/>
  <c r="T250" i="74" s="1"/>
  <c r="Q251" i="74"/>
  <c r="T251" i="74" s="1"/>
  <c r="Q252" i="74"/>
  <c r="T252" i="74" s="1"/>
  <c r="Q253" i="74"/>
  <c r="T253" i="74" s="1"/>
  <c r="Q254" i="74"/>
  <c r="T254" i="74" s="1"/>
  <c r="Q256" i="74"/>
  <c r="T256" i="74" s="1"/>
  <c r="Q257" i="74"/>
  <c r="T257" i="74" s="1"/>
  <c r="Q258" i="74"/>
  <c r="T258" i="74" s="1"/>
  <c r="Q259" i="74"/>
  <c r="T259" i="74" s="1"/>
  <c r="Q260" i="74"/>
  <c r="T260" i="74" s="1"/>
  <c r="Q261" i="74"/>
  <c r="T261" i="74" s="1"/>
  <c r="Q262" i="74"/>
  <c r="T262" i="74" s="1"/>
  <c r="Q263" i="74"/>
  <c r="T263" i="74" s="1"/>
  <c r="Q264" i="74"/>
  <c r="T264" i="74" s="1"/>
  <c r="Q265" i="74"/>
  <c r="T265" i="74" s="1"/>
  <c r="Q266" i="74"/>
  <c r="T266" i="74" s="1"/>
  <c r="Q267" i="74"/>
  <c r="T267" i="74" s="1"/>
  <c r="Q268" i="74"/>
  <c r="T268" i="74" s="1"/>
  <c r="Q269" i="74"/>
  <c r="T269" i="74" s="1"/>
  <c r="Q270" i="74"/>
  <c r="T270" i="74" s="1"/>
  <c r="Q271" i="74"/>
  <c r="T271" i="74" s="1"/>
  <c r="Q272" i="74"/>
  <c r="T272" i="74" s="1"/>
  <c r="Q273" i="74"/>
  <c r="T273" i="74" s="1"/>
  <c r="Q274" i="74"/>
  <c r="T274" i="74" s="1"/>
  <c r="Q275" i="74"/>
  <c r="T275" i="74" s="1"/>
  <c r="Q276" i="74"/>
  <c r="T276" i="74" s="1"/>
  <c r="Q277" i="74"/>
  <c r="T277" i="74" s="1"/>
  <c r="Q278" i="74"/>
  <c r="T278" i="74" s="1"/>
  <c r="Q279" i="74"/>
  <c r="T279" i="74" s="1"/>
  <c r="Q280" i="74"/>
  <c r="T280" i="74" s="1"/>
  <c r="Q281" i="74"/>
  <c r="T281" i="74" s="1"/>
  <c r="Q282" i="74"/>
  <c r="T282" i="74" s="1"/>
  <c r="Q283" i="74"/>
  <c r="T283" i="74" s="1"/>
  <c r="Q284" i="74"/>
  <c r="T284" i="74" s="1"/>
  <c r="Q285" i="74"/>
  <c r="T285" i="74" s="1"/>
  <c r="Q286" i="74"/>
  <c r="T286" i="74" s="1"/>
  <c r="Q287" i="74"/>
  <c r="T287" i="74" s="1"/>
  <c r="Q288" i="74"/>
  <c r="T288" i="74" s="1"/>
  <c r="Q289" i="74"/>
  <c r="T289" i="74" s="1"/>
  <c r="Q290" i="74"/>
  <c r="T290" i="74" s="1"/>
  <c r="Q291" i="74"/>
  <c r="T291" i="74" s="1"/>
  <c r="Q292" i="74"/>
  <c r="T292" i="74" s="1"/>
  <c r="Q293" i="74"/>
  <c r="T293" i="74" s="1"/>
  <c r="Q294" i="74"/>
  <c r="T294" i="74" s="1"/>
  <c r="Q295" i="74"/>
  <c r="T295" i="74" s="1"/>
  <c r="Q296" i="74"/>
  <c r="T296" i="74" s="1"/>
  <c r="Q297" i="74"/>
  <c r="T297" i="74" s="1"/>
  <c r="Q298" i="74"/>
  <c r="T298" i="74" s="1"/>
  <c r="Q299" i="74"/>
  <c r="T299" i="74" s="1"/>
  <c r="Q300" i="74"/>
  <c r="T300" i="74" s="1"/>
  <c r="Q301" i="74"/>
  <c r="T301" i="74" s="1"/>
  <c r="Q302" i="74"/>
  <c r="T302" i="74" s="1"/>
  <c r="Q303" i="74"/>
  <c r="T303" i="74" s="1"/>
  <c r="Q304" i="74"/>
  <c r="T304" i="74" s="1"/>
  <c r="Q305" i="74"/>
  <c r="T305" i="74" s="1"/>
  <c r="Q306" i="74"/>
  <c r="T306" i="74" s="1"/>
  <c r="Q307" i="74"/>
  <c r="T307" i="74" s="1"/>
  <c r="Q308" i="74"/>
  <c r="T308" i="74" s="1"/>
  <c r="Q309" i="74"/>
  <c r="T309" i="74" s="1"/>
  <c r="Q310" i="74"/>
  <c r="T310" i="74" s="1"/>
  <c r="Q311" i="74"/>
  <c r="T311" i="74" s="1"/>
  <c r="Q312" i="74"/>
  <c r="T312" i="74" s="1"/>
  <c r="Q313" i="74"/>
  <c r="T313" i="74" s="1"/>
  <c r="Q314" i="74"/>
  <c r="T314" i="74" s="1"/>
  <c r="Q315" i="74"/>
  <c r="T315" i="74" s="1"/>
  <c r="Q316" i="74"/>
  <c r="T316" i="74" s="1"/>
  <c r="Q317" i="74"/>
  <c r="T317" i="74" s="1"/>
  <c r="Q318" i="74"/>
  <c r="T318" i="74" s="1"/>
  <c r="Q319" i="74"/>
  <c r="T319" i="74" s="1"/>
  <c r="Q320" i="74"/>
  <c r="T320" i="74" s="1"/>
  <c r="Q321" i="74"/>
  <c r="T321" i="74" s="1"/>
  <c r="Q322" i="74"/>
  <c r="T322" i="74" s="1"/>
  <c r="Q323" i="74"/>
  <c r="T323" i="74" s="1"/>
  <c r="Q324" i="74"/>
  <c r="T324" i="74" s="1"/>
  <c r="Q325" i="74"/>
  <c r="T325" i="74" s="1"/>
  <c r="Q326" i="74"/>
  <c r="T326" i="74" s="1"/>
  <c r="Q327" i="74"/>
  <c r="T327" i="74" s="1"/>
  <c r="Q328" i="74"/>
  <c r="T328" i="74" s="1"/>
  <c r="Q329" i="74"/>
  <c r="T329" i="74" s="1"/>
  <c r="Q330" i="74"/>
  <c r="T330" i="74" s="1"/>
  <c r="Q331" i="74"/>
  <c r="T331" i="74" s="1"/>
  <c r="Q332" i="74"/>
  <c r="T332" i="74" s="1"/>
  <c r="Q333" i="74"/>
  <c r="T333" i="74" s="1"/>
  <c r="Q334" i="74"/>
  <c r="T334" i="74" s="1"/>
  <c r="Q335" i="74"/>
  <c r="T335" i="74" s="1"/>
  <c r="Q336" i="74"/>
  <c r="T336" i="74" s="1"/>
  <c r="Q337" i="74"/>
  <c r="T337" i="74" s="1"/>
  <c r="Q338" i="74"/>
  <c r="T338" i="74" s="1"/>
  <c r="Q339" i="74"/>
  <c r="T339" i="74" s="1"/>
  <c r="Q340" i="74"/>
  <c r="T340" i="74" s="1"/>
  <c r="Q341" i="74"/>
  <c r="T341" i="74" s="1"/>
  <c r="Q342" i="74"/>
  <c r="T342" i="74" s="1"/>
  <c r="Q343" i="74"/>
  <c r="T343" i="74" s="1"/>
  <c r="Q344" i="74"/>
  <c r="T344" i="74" s="1"/>
  <c r="Q345" i="74"/>
  <c r="T345" i="74" s="1"/>
  <c r="Q346" i="74"/>
  <c r="T346" i="74" s="1"/>
  <c r="Q347" i="74"/>
  <c r="T347" i="74" s="1"/>
  <c r="Q348" i="74"/>
  <c r="T348" i="74" s="1"/>
  <c r="Q239" i="74"/>
  <c r="T239" i="74" s="1"/>
  <c r="Q238" i="74"/>
  <c r="T238" i="74" s="1"/>
  <c r="Q235" i="74"/>
  <c r="T235" i="74" s="1"/>
  <c r="Q236" i="74"/>
  <c r="T236" i="74" s="1"/>
  <c r="Q237" i="74"/>
  <c r="T237" i="74" s="1"/>
  <c r="Q234" i="74"/>
  <c r="T234" i="74" s="1"/>
  <c r="Q156" i="74"/>
  <c r="T156" i="74" s="1"/>
  <c r="Q207" i="74"/>
  <c r="T207" i="74" s="1"/>
  <c r="Q75" i="74"/>
  <c r="T75" i="74" s="1"/>
  <c r="Q68" i="74"/>
  <c r="T68" i="74" s="1"/>
  <c r="Q134" i="74"/>
  <c r="T134" i="74" s="1"/>
  <c r="Q220" i="74"/>
  <c r="T220" i="74" s="1"/>
  <c r="Q196" i="74"/>
  <c r="T196" i="74" s="1"/>
  <c r="Q135" i="74"/>
  <c r="T135" i="74" s="1"/>
  <c r="Q136" i="74"/>
  <c r="T136" i="74" s="1"/>
  <c r="Q137" i="74"/>
  <c r="T137" i="74" s="1"/>
  <c r="Q157" i="74"/>
  <c r="T157" i="74" s="1"/>
  <c r="Q226" i="74"/>
  <c r="T226" i="74" s="1"/>
  <c r="Q138" i="74"/>
  <c r="T138" i="74" s="1"/>
  <c r="Q214" i="74"/>
  <c r="T214" i="74" s="1"/>
  <c r="Q218" i="74"/>
  <c r="T218" i="74" s="1"/>
  <c r="Q139" i="74"/>
  <c r="T139" i="74" s="1"/>
  <c r="Q64" i="74"/>
  <c r="T64" i="74" s="1"/>
  <c r="Q209" i="74"/>
  <c r="T209" i="74" s="1"/>
  <c r="Q227" i="74"/>
  <c r="T227" i="74" s="1"/>
  <c r="Q76" i="74"/>
  <c r="T76" i="74" s="1"/>
  <c r="Q228" i="74"/>
  <c r="T228" i="74" s="1"/>
  <c r="Q255" i="74"/>
  <c r="T255" i="74" s="1"/>
  <c r="Q133" i="74"/>
  <c r="T133" i="74" s="1"/>
  <c r="Q132" i="74"/>
  <c r="T132" i="74" s="1"/>
  <c r="Q147" i="74"/>
  <c r="T147" i="74" s="1"/>
  <c r="Q185" i="74"/>
  <c r="T185" i="74" s="1"/>
  <c r="Q213" i="74"/>
  <c r="T213" i="74" s="1"/>
  <c r="Q129" i="74"/>
  <c r="T129" i="74" s="1"/>
  <c r="Q148" i="74"/>
  <c r="T148" i="74" s="1"/>
  <c r="Q195" i="74"/>
  <c r="T195" i="74" s="1"/>
  <c r="Q189" i="74"/>
  <c r="T189" i="74" s="1"/>
  <c r="Q72" i="74"/>
  <c r="T72" i="74" s="1"/>
  <c r="Q221" i="74"/>
  <c r="T221" i="74" s="1"/>
  <c r="Q73" i="74"/>
  <c r="T73" i="74" s="1"/>
  <c r="Q130" i="74"/>
  <c r="T130" i="74" s="1"/>
  <c r="Q149" i="74"/>
  <c r="T149" i="74" s="1"/>
  <c r="Q93" i="74"/>
  <c r="T93" i="74" s="1"/>
  <c r="Q74" i="74"/>
  <c r="T74" i="74" s="1"/>
  <c r="Q131" i="74"/>
  <c r="T131" i="74" s="1"/>
  <c r="Q223" i="74"/>
  <c r="T223" i="74" s="1"/>
  <c r="Q97" i="74"/>
  <c r="T97" i="74" s="1"/>
  <c r="Q206" i="74"/>
  <c r="T206" i="74" s="1"/>
  <c r="Q82" i="74"/>
  <c r="T82" i="74" s="1"/>
  <c r="Q211" i="74"/>
  <c r="T211" i="74" s="1"/>
  <c r="Q198" i="74"/>
  <c r="T198" i="74" s="1"/>
  <c r="Q216" i="74"/>
  <c r="T216" i="74" s="1"/>
  <c r="Q191" i="74"/>
  <c r="T191" i="74" s="1"/>
  <c r="Q158" i="74"/>
  <c r="T158" i="74" s="1"/>
  <c r="Q89" i="74"/>
  <c r="T89" i="74" s="1"/>
  <c r="Q204" i="74"/>
  <c r="T204" i="74" s="1"/>
  <c r="Q232" i="74"/>
  <c r="T232" i="74" s="1"/>
  <c r="Q187" i="74"/>
  <c r="T187" i="74" s="1"/>
  <c r="Q125" i="74"/>
  <c r="T125" i="74" s="1"/>
  <c r="Q142" i="74"/>
  <c r="T142" i="74" s="1"/>
  <c r="Q90" i="74"/>
  <c r="T90" i="74" s="1"/>
  <c r="Q219" i="74"/>
  <c r="T219" i="74" s="1"/>
  <c r="Q171" i="74"/>
  <c r="T171" i="74" s="1"/>
  <c r="Q222" i="74"/>
  <c r="T222" i="74" s="1"/>
  <c r="Q233" i="74"/>
  <c r="T233" i="74" s="1"/>
  <c r="Q229" i="74"/>
  <c r="T229" i="74" s="1"/>
  <c r="Q224" i="74"/>
  <c r="T224" i="74" s="1"/>
  <c r="Q205" i="74"/>
  <c r="T205" i="74" s="1"/>
  <c r="Q71" i="74"/>
  <c r="T71" i="74" s="1"/>
  <c r="Q69" i="74"/>
  <c r="T69" i="74" s="1"/>
  <c r="Q178" i="74"/>
  <c r="T178" i="74" s="1"/>
  <c r="Q143" i="74"/>
  <c r="T143" i="74" s="1"/>
  <c r="Q126" i="74"/>
  <c r="T126" i="74" s="1"/>
  <c r="Q144" i="74"/>
  <c r="T144" i="74" s="1"/>
  <c r="Q91" i="74"/>
  <c r="T91" i="74" s="1"/>
  <c r="Q225" i="74"/>
  <c r="T225" i="74" s="1"/>
  <c r="Q188" i="74"/>
  <c r="T188" i="74" s="1"/>
  <c r="Q163" i="74"/>
  <c r="T163" i="74" s="1"/>
  <c r="Q81" i="74"/>
  <c r="T81" i="74" s="1"/>
  <c r="Q182" i="74"/>
  <c r="T182" i="74" s="1"/>
  <c r="Q193" i="74"/>
  <c r="T193" i="74" s="1"/>
  <c r="Q114" i="74"/>
  <c r="T114" i="74" s="1"/>
  <c r="Q127" i="74"/>
  <c r="T127" i="74" s="1"/>
  <c r="Q145" i="74"/>
  <c r="T145" i="74" s="1"/>
  <c r="Q92" i="74"/>
  <c r="T92" i="74" s="1"/>
  <c r="Q121" i="74"/>
  <c r="T121" i="74" s="1"/>
  <c r="Q194" i="74"/>
  <c r="T194" i="74" s="1"/>
  <c r="Q230" i="74"/>
  <c r="T230" i="74" s="1"/>
  <c r="Q208" i="74"/>
  <c r="T208" i="74" s="1"/>
  <c r="Q128" i="74"/>
  <c r="T128" i="74" s="1"/>
  <c r="Q146" i="74"/>
  <c r="T146" i="74" s="1"/>
  <c r="Q212" i="74"/>
  <c r="T212" i="74" s="1"/>
  <c r="Q217" i="74"/>
  <c r="T217" i="74" s="1"/>
  <c r="Q61" i="74"/>
  <c r="T61" i="74" s="1"/>
  <c r="Q60" i="74"/>
  <c r="T60" i="74" s="1"/>
  <c r="Q231" i="74"/>
  <c r="T231" i="74" s="1"/>
  <c r="T312" i="28" l="1"/>
  <c r="T313" i="28"/>
  <c r="T314" i="28"/>
  <c r="T315" i="28"/>
  <c r="T316" i="28"/>
  <c r="T317" i="28"/>
  <c r="T318" i="28"/>
  <c r="AG198" i="74" l="1"/>
  <c r="AA198" i="74" l="1"/>
  <c r="AB198" i="74" s="1"/>
  <c r="N198" i="74"/>
  <c r="AG211" i="74"/>
  <c r="AA211" i="74" l="1"/>
  <c r="AB211" i="74" s="1"/>
  <c r="N211" i="74"/>
  <c r="AG231" i="74"/>
  <c r="AA231" i="74" l="1"/>
  <c r="AB231" i="74" s="1"/>
  <c r="N231" i="74"/>
  <c r="AG13" i="94" l="1"/>
  <c r="AG127" i="28" l="1"/>
  <c r="AA127" i="28" l="1"/>
  <c r="AB127" i="28" s="1"/>
  <c r="N127" i="28"/>
  <c r="AG158" i="74" l="1"/>
  <c r="AA158" i="74" l="1"/>
  <c r="AB158" i="74" s="1"/>
  <c r="N158" i="74"/>
  <c r="AG191" i="74"/>
  <c r="AA191" i="74" l="1"/>
  <c r="AB191" i="74" s="1"/>
  <c r="N191" i="74"/>
  <c r="AG216" i="74"/>
  <c r="AA216" i="74" l="1"/>
  <c r="AB216" i="74" s="1"/>
  <c r="N216" i="74"/>
  <c r="AG130" i="28" l="1"/>
  <c r="AA130" i="28" l="1"/>
  <c r="AB130" i="28" s="1"/>
  <c r="N130" i="28"/>
  <c r="AG129" i="28"/>
  <c r="AA129" i="28" l="1"/>
  <c r="AB129" i="28" s="1"/>
  <c r="N129" i="28"/>
  <c r="AG128" i="28"/>
  <c r="AA128" i="28" l="1"/>
  <c r="AB128" i="28" s="1"/>
  <c r="N128" i="28"/>
  <c r="AG17" i="22"/>
  <c r="Y17" i="22"/>
  <c r="AA17" i="22" l="1"/>
  <c r="AB17" i="22" s="1"/>
  <c r="N17" i="22"/>
  <c r="AG187" i="74" l="1"/>
  <c r="AA187" i="74" l="1"/>
  <c r="AB187" i="74" s="1"/>
  <c r="N187" i="74"/>
  <c r="AG232" i="74"/>
  <c r="AA232" i="74" l="1"/>
  <c r="AB232" i="74" s="1"/>
  <c r="N232" i="74"/>
  <c r="AG204" i="74"/>
  <c r="AA204" i="74" l="1"/>
  <c r="AB204" i="74" s="1"/>
  <c r="N204" i="74"/>
  <c r="AG89" i="74"/>
  <c r="AA89" i="74" l="1"/>
  <c r="AB89" i="74" s="1"/>
  <c r="N89" i="74"/>
  <c r="AG134" i="28"/>
  <c r="AA134" i="28" l="1"/>
  <c r="AB134" i="28" s="1"/>
  <c r="N134" i="28"/>
  <c r="AG133" i="28" l="1"/>
  <c r="AA133" i="28" l="1"/>
  <c r="AB133" i="28" s="1"/>
  <c r="N133" i="28"/>
  <c r="Y117" i="22"/>
  <c r="AA117" i="22" l="1"/>
  <c r="AB117" i="22" s="1"/>
  <c r="N117" i="22"/>
  <c r="AG171" i="74" l="1"/>
  <c r="AA171" i="74" l="1"/>
  <c r="AB171" i="74" s="1"/>
  <c r="N171" i="74"/>
  <c r="AG219" i="74"/>
  <c r="AA219" i="74" l="1"/>
  <c r="AB219" i="74" s="1"/>
  <c r="N219" i="74"/>
  <c r="AG90" i="74"/>
  <c r="AA90" i="74" l="1"/>
  <c r="AB90" i="74" s="1"/>
  <c r="N90" i="74"/>
  <c r="AG142" i="74"/>
  <c r="AA142" i="74" l="1"/>
  <c r="AB142" i="74" s="1"/>
  <c r="N142" i="74"/>
  <c r="AG125" i="74"/>
  <c r="AA125" i="74" l="1"/>
  <c r="AB125" i="74" s="1"/>
  <c r="N125" i="74"/>
  <c r="AG136" i="28" l="1"/>
  <c r="AA136" i="28" l="1"/>
  <c r="AB136" i="28" s="1"/>
  <c r="N136" i="28"/>
  <c r="AG135" i="28"/>
  <c r="AA135" i="28" l="1"/>
  <c r="AB135" i="28" s="1"/>
  <c r="N135" i="28"/>
  <c r="AG132" i="28"/>
  <c r="AA132" i="28" l="1"/>
  <c r="AB132" i="28" s="1"/>
  <c r="N132" i="28"/>
  <c r="AG131" i="28"/>
  <c r="AA131" i="28" l="1"/>
  <c r="AB131" i="28" s="1"/>
  <c r="N131" i="28"/>
  <c r="AG35" i="22" l="1"/>
  <c r="Y35" i="22"/>
  <c r="AA35" i="22" l="1"/>
  <c r="AB35" i="22" s="1"/>
  <c r="N35" i="22"/>
  <c r="Y187" i="22"/>
  <c r="AG183" i="22"/>
  <c r="Z183" i="22"/>
  <c r="AA183" i="22" s="1"/>
  <c r="AB183" i="22" s="1"/>
  <c r="N183" i="22"/>
  <c r="AG182" i="22"/>
  <c r="Z182" i="22"/>
  <c r="AA182" i="22" s="1"/>
  <c r="AB182" i="22" s="1"/>
  <c r="N182" i="22"/>
  <c r="AG181" i="22"/>
  <c r="Z181" i="22"/>
  <c r="AA181" i="22" s="1"/>
  <c r="AB181" i="22" s="1"/>
  <c r="N181" i="22"/>
  <c r="AG180" i="22"/>
  <c r="Z180" i="22"/>
  <c r="AA180" i="22" s="1"/>
  <c r="AB180" i="22" s="1"/>
  <c r="N180" i="22"/>
  <c r="AG205" i="74" l="1"/>
  <c r="AA205" i="74" l="1"/>
  <c r="AB205" i="74" s="1"/>
  <c r="N205" i="74"/>
  <c r="AG224" i="74"/>
  <c r="AA224" i="74" l="1"/>
  <c r="AB224" i="74" s="1"/>
  <c r="N224" i="74"/>
  <c r="AG229" i="74"/>
  <c r="AA229" i="74" l="1"/>
  <c r="AB229" i="74" s="1"/>
  <c r="N229" i="74"/>
  <c r="AG233" i="74"/>
  <c r="AA233" i="74" l="1"/>
  <c r="AB233" i="74" s="1"/>
  <c r="N233" i="74"/>
  <c r="AG222" i="74"/>
  <c r="AA222" i="74" l="1"/>
  <c r="AB222" i="74" s="1"/>
  <c r="N222" i="74"/>
  <c r="AG178" i="74" l="1"/>
  <c r="AA71" i="74" l="1"/>
  <c r="AA178" i="74"/>
  <c r="AB178" i="74" s="1"/>
  <c r="N178" i="74"/>
  <c r="AG237" i="74"/>
  <c r="AA237" i="74" l="1"/>
  <c r="AB237" i="74" s="1"/>
  <c r="N237" i="74"/>
  <c r="AG69" i="74"/>
  <c r="AA69" i="74" l="1"/>
  <c r="AB69" i="74" s="1"/>
  <c r="AG236" i="74"/>
  <c r="AA236" i="74" l="1"/>
  <c r="AB236" i="74" s="1"/>
  <c r="N236" i="74"/>
  <c r="AG71" i="74"/>
  <c r="AB71" i="74" l="1"/>
  <c r="AG137" i="28" l="1"/>
  <c r="AA137" i="28" l="1"/>
  <c r="AB137" i="28" s="1"/>
  <c r="N137" i="28"/>
  <c r="AG138" i="28"/>
  <c r="AA138" i="28" l="1"/>
  <c r="AB138" i="28" s="1"/>
  <c r="N138" i="28"/>
  <c r="AG143" i="74" l="1"/>
  <c r="AA143" i="74" l="1"/>
  <c r="AB143" i="74" s="1"/>
  <c r="N143" i="74"/>
  <c r="AG81" i="74" l="1"/>
  <c r="AA81" i="74" l="1"/>
  <c r="AB81" i="74" s="1"/>
  <c r="N81" i="74"/>
  <c r="AG163" i="74"/>
  <c r="AA163" i="74" l="1"/>
  <c r="AB163" i="74" s="1"/>
  <c r="N163" i="74"/>
  <c r="AG126" i="74" l="1"/>
  <c r="AA126" i="74" l="1"/>
  <c r="AB126" i="74" s="1"/>
  <c r="N126" i="74"/>
  <c r="AG188" i="74"/>
  <c r="AA188" i="74" l="1"/>
  <c r="AB188" i="74" s="1"/>
  <c r="N188" i="74"/>
  <c r="AG225" i="74"/>
  <c r="AA225" i="74" l="1"/>
  <c r="AB225" i="74" s="1"/>
  <c r="N225" i="74"/>
  <c r="AG91" i="74" l="1"/>
  <c r="AA91" i="74" l="1"/>
  <c r="AB91" i="74" s="1"/>
  <c r="N91" i="74"/>
  <c r="AG144" i="74"/>
  <c r="AA144" i="74" l="1"/>
  <c r="AB144" i="74" s="1"/>
  <c r="N144" i="74"/>
  <c r="AG114" i="74" l="1"/>
  <c r="AA114" i="74" l="1"/>
  <c r="AB114" i="74" s="1"/>
  <c r="N114" i="74"/>
  <c r="AG193" i="74"/>
  <c r="AA193" i="74" l="1"/>
  <c r="AB193" i="74" s="1"/>
  <c r="N193" i="74"/>
  <c r="AG182" i="74"/>
  <c r="AA182" i="74" l="1"/>
  <c r="AB182" i="74" s="1"/>
  <c r="N182" i="74"/>
  <c r="AG139" i="28" l="1"/>
  <c r="AA139" i="28" l="1"/>
  <c r="AB139" i="28" s="1"/>
  <c r="N139" i="28"/>
  <c r="AG140" i="28"/>
  <c r="AA140" i="28" l="1"/>
  <c r="AB140" i="28" s="1"/>
  <c r="N140" i="28"/>
  <c r="AG141" i="28"/>
  <c r="AA141" i="28" l="1"/>
  <c r="AB141" i="28" s="1"/>
  <c r="N141" i="28"/>
  <c r="Z29" i="28" l="1"/>
  <c r="AG186" i="22"/>
  <c r="Z186" i="22"/>
  <c r="AA186" i="22" s="1"/>
  <c r="AB186" i="22" s="1"/>
  <c r="N186" i="22"/>
  <c r="AG185" i="22"/>
  <c r="Z185" i="22"/>
  <c r="AA185" i="22" s="1"/>
  <c r="AB185" i="22" s="1"/>
  <c r="N185" i="22"/>
  <c r="AG184" i="22"/>
  <c r="Z184" i="22"/>
  <c r="N184" i="22"/>
  <c r="Z187" i="22" l="1"/>
  <c r="AD187" i="22" s="1"/>
  <c r="AA184" i="22"/>
  <c r="AB184" i="22" s="1"/>
  <c r="AG194" i="74"/>
  <c r="AA187" i="22" l="1"/>
  <c r="AB187" i="22" s="1"/>
  <c r="AA194" i="74"/>
  <c r="AB194" i="74" s="1"/>
  <c r="N194" i="74"/>
  <c r="AE187" i="22" l="1"/>
  <c r="AG121" i="74"/>
  <c r="AA121" i="74" l="1"/>
  <c r="AB121" i="74" s="1"/>
  <c r="N121" i="74"/>
  <c r="AG92" i="74"/>
  <c r="AA92" i="74" l="1"/>
  <c r="AB92" i="74" s="1"/>
  <c r="N92" i="74"/>
  <c r="AG234" i="74" l="1"/>
  <c r="AA234" i="74" l="1"/>
  <c r="AB234" i="74" s="1"/>
  <c r="N234" i="74"/>
  <c r="AG145" i="74"/>
  <c r="AA145" i="74" l="1"/>
  <c r="AB145" i="74" s="1"/>
  <c r="N145" i="74"/>
  <c r="AG127" i="74"/>
  <c r="AA127" i="74" l="1"/>
  <c r="AB127" i="74" s="1"/>
  <c r="N127" i="74"/>
  <c r="AG208" i="74" l="1"/>
  <c r="AA208" i="74" l="1"/>
  <c r="AB208" i="74" s="1"/>
  <c r="N208" i="74"/>
  <c r="AG242" i="74"/>
  <c r="AA242" i="74" l="1"/>
  <c r="AB242" i="74" s="1"/>
  <c r="N242" i="74"/>
  <c r="AG230" i="74"/>
  <c r="AA230" i="74" l="1"/>
  <c r="AB230" i="74" s="1"/>
  <c r="N230" i="74"/>
  <c r="AG243" i="74"/>
  <c r="AA243" i="74" l="1"/>
  <c r="AB243" i="74" s="1"/>
  <c r="N243" i="74"/>
  <c r="K6" i="21"/>
  <c r="M6" i="21"/>
  <c r="K7" i="21"/>
  <c r="M7" i="21"/>
  <c r="L6" i="21" l="1"/>
  <c r="N6" i="21"/>
  <c r="N7" i="21"/>
  <c r="AG60" i="74" l="1"/>
  <c r="AA60" i="74" l="1"/>
  <c r="AB60" i="74" s="1"/>
  <c r="AG61" i="74"/>
  <c r="AA61" i="74" l="1"/>
  <c r="AB61" i="74" s="1"/>
  <c r="AG217" i="74"/>
  <c r="AA217" i="74" l="1"/>
  <c r="AB217" i="74" s="1"/>
  <c r="N217" i="74"/>
  <c r="AG212" i="74"/>
  <c r="AA212" i="74" l="1"/>
  <c r="AB212" i="74" s="1"/>
  <c r="N212" i="74"/>
  <c r="AG146" i="74" l="1"/>
  <c r="AA146" i="74" l="1"/>
  <c r="AB146" i="74" s="1"/>
  <c r="N146" i="74"/>
  <c r="AG244" i="74"/>
  <c r="AA244" i="74" l="1"/>
  <c r="AB244" i="74" s="1"/>
  <c r="N244" i="74"/>
  <c r="AG128" i="74" l="1"/>
  <c r="AA128" i="74" l="1"/>
  <c r="AB128" i="74" s="1"/>
  <c r="N128" i="74"/>
  <c r="AG241" i="74"/>
  <c r="AA241" i="74" l="1"/>
  <c r="AB241" i="74" s="1"/>
  <c r="N241" i="74"/>
  <c r="AG239" i="74"/>
  <c r="AA239" i="74" l="1"/>
  <c r="AB239" i="74" s="1"/>
  <c r="N239" i="74"/>
  <c r="AG213" i="74" l="1"/>
  <c r="AA213" i="74" l="1"/>
  <c r="AB213" i="74" s="1"/>
  <c r="N213" i="74"/>
  <c r="AG185" i="74"/>
  <c r="AA185" i="74" l="1"/>
  <c r="AB185" i="74" s="1"/>
  <c r="N185" i="74"/>
  <c r="AG147" i="74"/>
  <c r="AA147" i="74" l="1"/>
  <c r="AB147" i="74" s="1"/>
  <c r="N147" i="74"/>
  <c r="AG142" i="28"/>
  <c r="AA142" i="28" l="1"/>
  <c r="AB142" i="28" s="1"/>
  <c r="N142" i="28"/>
  <c r="AG72" i="74" l="1"/>
  <c r="AA72" i="74" l="1"/>
  <c r="AB72" i="74" s="1"/>
  <c r="AG189" i="74"/>
  <c r="AA189" i="74" l="1"/>
  <c r="AB189" i="74" s="1"/>
  <c r="N189" i="74"/>
  <c r="AG195" i="74"/>
  <c r="AA195" i="74" l="1"/>
  <c r="AB195" i="74" s="1"/>
  <c r="N195" i="74"/>
  <c r="AG148" i="74"/>
  <c r="AA148" i="74" l="1"/>
  <c r="AB148" i="74" s="1"/>
  <c r="N148" i="74"/>
  <c r="AG129" i="74"/>
  <c r="AA129" i="74" l="1"/>
  <c r="AB129" i="74" s="1"/>
  <c r="N129" i="74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" i="85"/>
  <c r="E11" i="85"/>
  <c r="E2" i="85"/>
  <c r="E4" i="85"/>
  <c r="E5" i="85"/>
  <c r="E6" i="85"/>
  <c r="E7" i="85"/>
  <c r="E8" i="85"/>
  <c r="E9" i="85"/>
  <c r="E10" i="85"/>
  <c r="E12" i="85"/>
  <c r="E13" i="85"/>
  <c r="E14" i="85"/>
  <c r="E15" i="85"/>
  <c r="E16" i="85"/>
  <c r="E17" i="85"/>
  <c r="E18" i="85"/>
  <c r="E19" i="85"/>
  <c r="E20" i="85"/>
  <c r="E21" i="85"/>
  <c r="E22" i="85"/>
  <c r="E23" i="85"/>
  <c r="E24" i="85"/>
  <c r="E25" i="85"/>
  <c r="E31" i="85"/>
  <c r="E26" i="85"/>
  <c r="E27" i="85"/>
  <c r="E28" i="85"/>
  <c r="E29" i="85"/>
  <c r="E30" i="85"/>
  <c r="E3" i="85"/>
  <c r="AG143" i="28" l="1"/>
  <c r="AA143" i="28" l="1"/>
  <c r="AB143" i="28" s="1"/>
  <c r="N143" i="28"/>
  <c r="AG221" i="74" l="1"/>
  <c r="AA221" i="74" l="1"/>
  <c r="AB221" i="74" s="1"/>
  <c r="N221" i="74"/>
  <c r="AG235" i="74"/>
  <c r="AA235" i="74" l="1"/>
  <c r="AB235" i="74" s="1"/>
  <c r="N235" i="74"/>
  <c r="AG147" i="28" l="1"/>
  <c r="AA147" i="28" l="1"/>
  <c r="AB147" i="28" s="1"/>
  <c r="N147" i="28"/>
  <c r="AG146" i="28"/>
  <c r="AA146" i="28" l="1"/>
  <c r="AB146" i="28" s="1"/>
  <c r="N146" i="28"/>
  <c r="AG145" i="28"/>
  <c r="AA145" i="28" l="1"/>
  <c r="AB145" i="28" s="1"/>
  <c r="N145" i="28"/>
  <c r="AG144" i="28"/>
  <c r="AA144" i="28" l="1"/>
  <c r="AB144" i="28" s="1"/>
  <c r="N144" i="28"/>
  <c r="AG240" i="74"/>
  <c r="AA73" i="74" l="1"/>
  <c r="AB73" i="74" s="1"/>
  <c r="AA240" i="74" l="1"/>
  <c r="AB240" i="74" s="1"/>
  <c r="N240" i="74"/>
  <c r="AG74" i="74" l="1"/>
  <c r="AA74" i="74" l="1"/>
  <c r="AB74" i="74" s="1"/>
  <c r="AA93" i="74" l="1"/>
  <c r="AB93" i="74" s="1"/>
  <c r="N93" i="74"/>
  <c r="AG149" i="74"/>
  <c r="AA149" i="74" l="1"/>
  <c r="AB149" i="74" s="1"/>
  <c r="N149" i="74"/>
  <c r="AG130" i="74"/>
  <c r="AA130" i="74" l="1"/>
  <c r="AB130" i="74" s="1"/>
  <c r="N130" i="74"/>
  <c r="AG260" i="74" l="1"/>
  <c r="AA260" i="74" l="1"/>
  <c r="AB260" i="74" s="1"/>
  <c r="N260" i="74"/>
  <c r="AG292" i="74" l="1"/>
  <c r="AA292" i="74" l="1"/>
  <c r="AB292" i="74" s="1"/>
  <c r="N292" i="74"/>
  <c r="AG245" i="74"/>
  <c r="AA245" i="74" l="1"/>
  <c r="AB245" i="74" s="1"/>
  <c r="N245" i="74"/>
  <c r="AG249" i="74"/>
  <c r="AA249" i="74" l="1"/>
  <c r="AB249" i="74" s="1"/>
  <c r="N249" i="74"/>
  <c r="AG206" i="74"/>
  <c r="AA206" i="74" l="1"/>
  <c r="AB206" i="74" s="1"/>
  <c r="N206" i="74"/>
  <c r="AG223" i="74" l="1"/>
  <c r="AA223" i="74" l="1"/>
  <c r="AB223" i="74" s="1"/>
  <c r="N223" i="74"/>
  <c r="AG267" i="74"/>
  <c r="AA267" i="74" l="1"/>
  <c r="AB267" i="74" s="1"/>
  <c r="N267" i="74"/>
  <c r="AG97" i="74"/>
  <c r="AA97" i="74" l="1"/>
  <c r="AB97" i="74" s="1"/>
  <c r="N97" i="74"/>
  <c r="AG256" i="74"/>
  <c r="AA256" i="74" l="1"/>
  <c r="AB256" i="74" s="1"/>
  <c r="N256" i="74"/>
  <c r="AG278" i="74"/>
  <c r="AA278" i="74" l="1"/>
  <c r="AB278" i="74" s="1"/>
  <c r="N278" i="74"/>
  <c r="AG131" i="74"/>
  <c r="AA131" i="74" l="1"/>
  <c r="AB131" i="74" s="1"/>
  <c r="N131" i="74"/>
  <c r="AG148" i="28" l="1"/>
  <c r="AA148" i="28" l="1"/>
  <c r="AB148" i="28" s="1"/>
  <c r="N148" i="28"/>
  <c r="Z46" i="22"/>
  <c r="Z45" i="22"/>
  <c r="Z44" i="22"/>
  <c r="Z43" i="22"/>
  <c r="AG82" i="74" l="1"/>
  <c r="AA82" i="74" l="1"/>
  <c r="AB82" i="74" s="1"/>
  <c r="N82" i="74"/>
  <c r="AG295" i="74" l="1"/>
  <c r="AA295" i="74" l="1"/>
  <c r="AB295" i="74" s="1"/>
  <c r="N295" i="74"/>
  <c r="AG257" i="74"/>
  <c r="AA257" i="74" l="1"/>
  <c r="AB257" i="74" s="1"/>
  <c r="N257" i="74"/>
  <c r="N261" i="74"/>
  <c r="AG261" i="74"/>
  <c r="AG268" i="74"/>
  <c r="AA261" i="74" l="1"/>
  <c r="AB261" i="74" s="1"/>
  <c r="AA268" i="74"/>
  <c r="AB268" i="74" s="1"/>
  <c r="N268" i="74"/>
  <c r="AG279" i="74" l="1"/>
  <c r="AA279" i="74" l="1"/>
  <c r="AB279" i="74" s="1"/>
  <c r="N279" i="74"/>
  <c r="AG132" i="74" l="1"/>
  <c r="AA132" i="74" l="1"/>
  <c r="AB132" i="74" s="1"/>
  <c r="N132" i="74"/>
  <c r="AG153" i="28" l="1"/>
  <c r="AA153" i="28" l="1"/>
  <c r="AB153" i="28" s="1"/>
  <c r="N153" i="28"/>
  <c r="AG151" i="28" l="1"/>
  <c r="AA151" i="28" l="1"/>
  <c r="AB151" i="28" s="1"/>
  <c r="N151" i="28"/>
  <c r="AG150" i="28"/>
  <c r="AA150" i="28" l="1"/>
  <c r="AB150" i="28" s="1"/>
  <c r="N150" i="28"/>
  <c r="AG149" i="28"/>
  <c r="AA149" i="28" l="1"/>
  <c r="AB149" i="28" s="1"/>
  <c r="N149" i="28"/>
  <c r="AG68" i="74" l="1"/>
  <c r="AA68" i="74" l="1"/>
  <c r="AB68" i="74" s="1"/>
  <c r="AG75" i="74"/>
  <c r="AA75" i="74" l="1"/>
  <c r="AB75" i="74" s="1"/>
  <c r="AG207" i="74"/>
  <c r="AA207" i="74" l="1"/>
  <c r="AB207" i="74" s="1"/>
  <c r="N207" i="74"/>
  <c r="AG269" i="74"/>
  <c r="AA269" i="74" l="1"/>
  <c r="AB269" i="74" s="1"/>
  <c r="N269" i="74"/>
  <c r="AG280" i="74" l="1"/>
  <c r="AA280" i="74" l="1"/>
  <c r="AB280" i="74" s="1"/>
  <c r="N280" i="74"/>
  <c r="AG156" i="74"/>
  <c r="AA156" i="74" l="1"/>
  <c r="AB156" i="74" s="1"/>
  <c r="N156" i="74"/>
  <c r="AG247" i="74"/>
  <c r="AA247" i="74" l="1"/>
  <c r="AB247" i="74" s="1"/>
  <c r="N247" i="74"/>
  <c r="AG133" i="74"/>
  <c r="AA133" i="74" l="1"/>
  <c r="AB133" i="74" s="1"/>
  <c r="N133" i="74"/>
  <c r="AG246" i="74"/>
  <c r="AA246" i="74" l="1"/>
  <c r="AB246" i="74" s="1"/>
  <c r="N246" i="74"/>
  <c r="AG265" i="74" l="1"/>
  <c r="AA265" i="74" l="1"/>
  <c r="AB265" i="74" s="1"/>
  <c r="N265" i="74"/>
  <c r="AG250" i="74"/>
  <c r="AA250" i="74" l="1"/>
  <c r="AB250" i="74" s="1"/>
  <c r="N250" i="74"/>
  <c r="AG134" i="74"/>
  <c r="AA134" i="74" l="1"/>
  <c r="AB134" i="74" s="1"/>
  <c r="N134" i="74"/>
  <c r="AG266" i="74" l="1"/>
  <c r="AA266" i="74" l="1"/>
  <c r="AB266" i="74" s="1"/>
  <c r="N266" i="74"/>
  <c r="AG196" i="74"/>
  <c r="AA196" i="74" l="1"/>
  <c r="AB196" i="74" s="1"/>
  <c r="N196" i="74"/>
  <c r="AG220" i="74"/>
  <c r="AA220" i="74" l="1"/>
  <c r="AB220" i="74" s="1"/>
  <c r="N220" i="74"/>
  <c r="AG154" i="28" l="1"/>
  <c r="AA154" i="28" l="1"/>
  <c r="AB154" i="28" s="1"/>
  <c r="N154" i="28"/>
  <c r="AG152" i="28"/>
  <c r="AA152" i="28" l="1"/>
  <c r="AB152" i="28" s="1"/>
  <c r="N152" i="28"/>
  <c r="AG270" i="74" l="1"/>
  <c r="AA270" i="74" l="1"/>
  <c r="AB270" i="74" s="1"/>
  <c r="N270" i="74"/>
  <c r="N281" i="74"/>
  <c r="AG281" i="74"/>
  <c r="AA281" i="74" l="1"/>
  <c r="AB281" i="74" s="1"/>
  <c r="AG135" i="74"/>
  <c r="AA135" i="74" l="1"/>
  <c r="AB135" i="74" s="1"/>
  <c r="N135" i="74"/>
  <c r="AG155" i="28" l="1"/>
  <c r="AA155" i="28" l="1"/>
  <c r="AB155" i="28" s="1"/>
  <c r="N155" i="28"/>
  <c r="AG238" i="74" l="1"/>
  <c r="AA238" i="74" l="1"/>
  <c r="AB238" i="74" s="1"/>
  <c r="N238" i="74"/>
  <c r="AG271" i="74" l="1"/>
  <c r="AA271" i="74" l="1"/>
  <c r="AB271" i="74" s="1"/>
  <c r="N271" i="74"/>
  <c r="AG136" i="74"/>
  <c r="AA136" i="74" l="1"/>
  <c r="AB136" i="74" s="1"/>
  <c r="N136" i="74"/>
  <c r="AG158" i="28" l="1"/>
  <c r="AA158" i="28" l="1"/>
  <c r="AB158" i="28" s="1"/>
  <c r="N158" i="28"/>
  <c r="AG157" i="28"/>
  <c r="AA157" i="28" l="1"/>
  <c r="AB157" i="28" s="1"/>
  <c r="N157" i="28"/>
  <c r="AG156" i="28"/>
  <c r="AA156" i="28" l="1"/>
  <c r="AB156" i="28" s="1"/>
  <c r="N156" i="28"/>
  <c r="AG262" i="74" l="1"/>
  <c r="AA262" i="74" l="1"/>
  <c r="AB262" i="74" s="1"/>
  <c r="N262" i="74"/>
  <c r="AG258" i="74"/>
  <c r="AA258" i="74" l="1"/>
  <c r="AB258" i="74" s="1"/>
  <c r="N258" i="74"/>
  <c r="AG293" i="74"/>
  <c r="AA293" i="74" l="1"/>
  <c r="AB293" i="74" s="1"/>
  <c r="N293" i="74"/>
  <c r="AG157" i="74" l="1"/>
  <c r="AA157" i="74" l="1"/>
  <c r="AB157" i="74" s="1"/>
  <c r="N157" i="74"/>
  <c r="AG226" i="74" l="1"/>
  <c r="AA226" i="74" l="1"/>
  <c r="AB226" i="74" s="1"/>
  <c r="N226" i="74"/>
  <c r="AG272" i="74" l="1"/>
  <c r="AA272" i="74" l="1"/>
  <c r="AB272" i="74" s="1"/>
  <c r="N272" i="74"/>
  <c r="AG282" i="74"/>
  <c r="AA282" i="74" l="1"/>
  <c r="AB282" i="74" s="1"/>
  <c r="N282" i="74"/>
  <c r="AG137" i="74"/>
  <c r="AA137" i="74" l="1"/>
  <c r="AB137" i="74" s="1"/>
  <c r="N137" i="74"/>
  <c r="AG218" i="74" l="1"/>
  <c r="AA218" i="74" l="1"/>
  <c r="AB218" i="74" s="1"/>
  <c r="N218" i="74"/>
  <c r="AG214" i="74"/>
  <c r="AA214" i="74" l="1"/>
  <c r="AB214" i="74" s="1"/>
  <c r="N214" i="74"/>
  <c r="AG251" i="74"/>
  <c r="AA251" i="74" l="1"/>
  <c r="AB251" i="74" s="1"/>
  <c r="N251" i="74"/>
  <c r="AG273" i="74" l="1"/>
  <c r="AA273" i="74" l="1"/>
  <c r="AB273" i="74" s="1"/>
  <c r="N273" i="74"/>
  <c r="AG283" i="74"/>
  <c r="AA283" i="74" l="1"/>
  <c r="AB283" i="74" s="1"/>
  <c r="N283" i="74"/>
  <c r="AG138" i="74"/>
  <c r="AA138" i="74" l="1"/>
  <c r="AB138" i="74" s="1"/>
  <c r="N138" i="74"/>
  <c r="AG159" i="28" l="1"/>
  <c r="AA159" i="28" l="1"/>
  <c r="AB159" i="28" s="1"/>
  <c r="N159" i="28"/>
  <c r="AG160" i="28"/>
  <c r="AA160" i="28" l="1"/>
  <c r="AB160" i="28" s="1"/>
  <c r="N160" i="28"/>
  <c r="AG284" i="74"/>
  <c r="AA284" i="74" l="1"/>
  <c r="AB284" i="74" s="1"/>
  <c r="N284" i="74"/>
  <c r="AG274" i="74"/>
  <c r="AA274" i="74" l="1"/>
  <c r="AB274" i="74" s="1"/>
  <c r="N274" i="74"/>
  <c r="AG139" i="74"/>
  <c r="AA139" i="74" l="1"/>
  <c r="AB139" i="74" s="1"/>
  <c r="N139" i="74"/>
  <c r="AG263" i="74" l="1"/>
  <c r="AA263" i="74" l="1"/>
  <c r="AB263" i="74" s="1"/>
  <c r="N263" i="74"/>
  <c r="AG161" i="28" l="1"/>
  <c r="AA161" i="28" l="1"/>
  <c r="AB161" i="28" s="1"/>
  <c r="N161" i="28"/>
  <c r="AG299" i="74" l="1"/>
  <c r="AA299" i="74" l="1"/>
  <c r="AB299" i="74" s="1"/>
  <c r="N299" i="74"/>
  <c r="AG305" i="74"/>
  <c r="AA305" i="74" l="1"/>
  <c r="AB305" i="74" s="1"/>
  <c r="N305" i="74"/>
  <c r="AG275" i="74"/>
  <c r="AA275" i="74" l="1"/>
  <c r="AB275" i="74" s="1"/>
  <c r="N275" i="74"/>
  <c r="AG285" i="74"/>
  <c r="AA285" i="74" l="1"/>
  <c r="AB285" i="74" s="1"/>
  <c r="N285" i="74"/>
  <c r="AG297" i="74" l="1"/>
  <c r="AA297" i="74" l="1"/>
  <c r="AB297" i="74" s="1"/>
  <c r="N297" i="74"/>
  <c r="AG300" i="74" l="1"/>
  <c r="AA300" i="74" l="1"/>
  <c r="AB300" i="74" s="1"/>
  <c r="N300" i="74"/>
  <c r="AG252" i="74"/>
  <c r="AA252" i="74" l="1"/>
  <c r="AB252" i="74" s="1"/>
  <c r="N252" i="74"/>
  <c r="AG306" i="74"/>
  <c r="AA306" i="74" l="1"/>
  <c r="AB306" i="74" s="1"/>
  <c r="N306" i="74"/>
  <c r="AG276" i="74" l="1"/>
  <c r="AA276" i="74" l="1"/>
  <c r="AB276" i="74" s="1"/>
  <c r="N276" i="74"/>
  <c r="AG286" i="74" l="1"/>
  <c r="AA286" i="74" l="1"/>
  <c r="AB286" i="74" s="1"/>
  <c r="N286" i="74"/>
  <c r="AG162" i="28"/>
  <c r="AA162" i="28" l="1"/>
  <c r="AB162" i="28" s="1"/>
  <c r="N162" i="28"/>
  <c r="AG277" i="74" l="1"/>
  <c r="AA277" i="74" l="1"/>
  <c r="AB277" i="74" s="1"/>
  <c r="N277" i="74"/>
  <c r="AG287" i="74"/>
  <c r="AA287" i="74" l="1"/>
  <c r="AB287" i="74" s="1"/>
  <c r="N287" i="74"/>
  <c r="AG301" i="74"/>
  <c r="AA301" i="74" l="1"/>
  <c r="AB301" i="74" s="1"/>
  <c r="N301" i="74"/>
  <c r="AG253" i="74"/>
  <c r="AA253" i="74" l="1"/>
  <c r="AB253" i="74" s="1"/>
  <c r="N253" i="74"/>
  <c r="AG307" i="74" l="1"/>
  <c r="AA307" i="74" l="1"/>
  <c r="AB307" i="74" s="1"/>
  <c r="N307" i="74"/>
  <c r="Z31" i="22" l="1"/>
  <c r="Z67" i="22"/>
  <c r="Z68" i="22" s="1"/>
  <c r="AG76" i="22"/>
  <c r="Z76" i="22"/>
  <c r="Y76" i="22"/>
  <c r="AA76" i="22" l="1"/>
  <c r="AB76" i="22" s="1"/>
  <c r="N76" i="22"/>
  <c r="AG75" i="22"/>
  <c r="Z75" i="22"/>
  <c r="Z77" i="22" s="1"/>
  <c r="Y75" i="22"/>
  <c r="Y77" i="22" l="1"/>
  <c r="AA75" i="22"/>
  <c r="AB75" i="22" s="1"/>
  <c r="N75" i="22"/>
  <c r="AA77" i="22" l="1"/>
  <c r="AD77" i="22"/>
  <c r="AB77" i="22" l="1"/>
  <c r="AE77" i="22"/>
  <c r="AG118" i="22"/>
  <c r="Y118" i="22"/>
  <c r="AA118" i="22" l="1"/>
  <c r="AB118" i="22" s="1"/>
  <c r="N118" i="22"/>
  <c r="AG116" i="22"/>
  <c r="Z119" i="22"/>
  <c r="Y116" i="22"/>
  <c r="Y119" i="22" l="1"/>
  <c r="AA116" i="22"/>
  <c r="AB116" i="22" s="1"/>
  <c r="N116" i="22"/>
  <c r="Z38" i="22"/>
  <c r="Z37" i="22"/>
  <c r="Z36" i="22"/>
  <c r="AG38" i="22"/>
  <c r="Y38" i="22"/>
  <c r="Z39" i="22" l="1"/>
  <c r="AA119" i="22"/>
  <c r="AD119" i="22"/>
  <c r="AA38" i="22"/>
  <c r="AB38" i="22" s="1"/>
  <c r="N38" i="22"/>
  <c r="AG37" i="22"/>
  <c r="Y37" i="22"/>
  <c r="AB119" i="22" l="1"/>
  <c r="AE119" i="22"/>
  <c r="AA37" i="22"/>
  <c r="AB37" i="22" s="1"/>
  <c r="N37" i="22"/>
  <c r="AG36" i="22"/>
  <c r="Y36" i="22"/>
  <c r="Y39" i="22" l="1"/>
  <c r="AA36" i="22"/>
  <c r="AB36" i="22" s="1"/>
  <c r="N36" i="22"/>
  <c r="Z18" i="28"/>
  <c r="AA39" i="22" l="1"/>
  <c r="AD39" i="22"/>
  <c r="AB39" i="22" l="1"/>
  <c r="AE39" i="22"/>
  <c r="AG296" i="74"/>
  <c r="AA296" i="74" l="1"/>
  <c r="AB296" i="74" s="1"/>
  <c r="N296" i="74"/>
  <c r="AG308" i="74"/>
  <c r="AA308" i="74" l="1"/>
  <c r="AB308" i="74" s="1"/>
  <c r="N308" i="74"/>
  <c r="AG294" i="74"/>
  <c r="AA294" i="74" l="1"/>
  <c r="AB294" i="74" s="1"/>
  <c r="N294" i="74"/>
  <c r="AG259" i="74"/>
  <c r="AA259" i="74" l="1"/>
  <c r="AB259" i="74" s="1"/>
  <c r="N259" i="74"/>
  <c r="AG302" i="74" l="1"/>
  <c r="AA302" i="74" l="1"/>
  <c r="AB302" i="74" s="1"/>
  <c r="N302" i="74"/>
  <c r="AG264" i="74"/>
  <c r="AA264" i="74" l="1"/>
  <c r="AB264" i="74" s="1"/>
  <c r="N264" i="74"/>
  <c r="AG310" i="74"/>
  <c r="AA310" i="74" l="1"/>
  <c r="AB310" i="74" s="1"/>
  <c r="N310" i="74"/>
  <c r="AG288" i="74"/>
  <c r="AA288" i="74" l="1"/>
  <c r="AB288" i="74" s="1"/>
  <c r="N288" i="74"/>
  <c r="AG309" i="74"/>
  <c r="AA309" i="74" l="1"/>
  <c r="AB309" i="74" s="1"/>
  <c r="N309" i="74"/>
  <c r="AG1810" i="57" l="1"/>
  <c r="Y1810" i="57"/>
  <c r="AA1810" i="57" l="1"/>
  <c r="AB1810" i="57" s="1"/>
  <c r="AG163" i="28"/>
  <c r="AA163" i="28" l="1"/>
  <c r="AB163" i="28" s="1"/>
  <c r="N163" i="28"/>
  <c r="AG64" i="74" l="1"/>
  <c r="AA64" i="74" l="1"/>
  <c r="AB64" i="74" s="1"/>
  <c r="Z18" i="22" l="1"/>
  <c r="Z19" i="22" s="1"/>
  <c r="AG254" i="74" l="1"/>
  <c r="AA254" i="74" l="1"/>
  <c r="AB254" i="74" s="1"/>
  <c r="N254" i="74"/>
  <c r="AG313" i="74" l="1"/>
  <c r="AA313" i="74" l="1"/>
  <c r="AB313" i="74" s="1"/>
  <c r="N313" i="74"/>
  <c r="AG311" i="74"/>
  <c r="AA311" i="74" l="1"/>
  <c r="AB311" i="74" s="1"/>
  <c r="N311" i="74"/>
  <c r="AG303" i="74"/>
  <c r="AA303" i="74" l="1"/>
  <c r="AB303" i="74" s="1"/>
  <c r="N303" i="74"/>
  <c r="AG315" i="74"/>
  <c r="AA315" i="74" l="1"/>
  <c r="AB315" i="74" s="1"/>
  <c r="N315" i="74"/>
  <c r="AG289" i="74"/>
  <c r="AA289" i="74" l="1"/>
  <c r="AB289" i="74" s="1"/>
  <c r="N289" i="74"/>
  <c r="AG67" i="22"/>
  <c r="Y67" i="22"/>
  <c r="Y68" i="22" l="1"/>
  <c r="AA67" i="22"/>
  <c r="AB67" i="22" s="1"/>
  <c r="N67" i="22"/>
  <c r="AD68" i="22" l="1"/>
  <c r="AA68" i="22"/>
  <c r="AE68" i="22" l="1"/>
  <c r="AB68" i="22"/>
  <c r="AG164" i="28" l="1"/>
  <c r="AA164" i="28" l="1"/>
  <c r="AB164" i="28" s="1"/>
  <c r="N164" i="28"/>
  <c r="AG165" i="28"/>
  <c r="AA165" i="28" l="1"/>
  <c r="AB165" i="28" s="1"/>
  <c r="N165" i="28"/>
  <c r="AG166" i="28"/>
  <c r="AA166" i="28" l="1"/>
  <c r="AB166" i="28" s="1"/>
  <c r="N166" i="28"/>
  <c r="AG168" i="28"/>
  <c r="AG322" i="74" l="1"/>
  <c r="AA322" i="74" l="1"/>
  <c r="AB322" i="74" s="1"/>
  <c r="N322" i="74"/>
  <c r="AG316" i="74"/>
  <c r="AA316" i="74" l="1"/>
  <c r="AB316" i="74" s="1"/>
  <c r="N316" i="74"/>
  <c r="AG312" i="74"/>
  <c r="AA312" i="74" l="1"/>
  <c r="AB312" i="74" s="1"/>
  <c r="N312" i="74"/>
  <c r="AG290" i="74"/>
  <c r="AA290" i="74" l="1"/>
  <c r="AB290" i="74" s="1"/>
  <c r="N290" i="74"/>
  <c r="AG304" i="74"/>
  <c r="AA304" i="74" l="1"/>
  <c r="AB304" i="74" s="1"/>
  <c r="N304" i="74"/>
  <c r="Z38" i="28" l="1"/>
  <c r="Z145" i="22"/>
  <c r="Z144" i="22"/>
  <c r="Z129" i="22"/>
  <c r="Z128" i="22"/>
  <c r="Z89" i="22"/>
  <c r="Z88" i="22"/>
  <c r="Z87" i="22"/>
  <c r="Z86" i="22"/>
  <c r="Z36" i="28"/>
  <c r="Z25" i="28"/>
  <c r="AG291" i="74" l="1"/>
  <c r="AA291" i="74" l="1"/>
  <c r="AB291" i="74" s="1"/>
  <c r="N291" i="74"/>
  <c r="Z196" i="22" l="1"/>
  <c r="Y196" i="22"/>
  <c r="AG190" i="22"/>
  <c r="AA190" i="22" l="1"/>
  <c r="AB190" i="22" s="1"/>
  <c r="N190" i="22"/>
  <c r="AG317" i="74" l="1"/>
  <c r="AA317" i="74" l="1"/>
  <c r="AB317" i="74" s="1"/>
  <c r="N317" i="74"/>
  <c r="AG298" i="74"/>
  <c r="AA298" i="74" l="1"/>
  <c r="AB298" i="74" s="1"/>
  <c r="N298" i="74"/>
  <c r="AG323" i="74" l="1"/>
  <c r="AA323" i="74" l="1"/>
  <c r="AB323" i="74" s="1"/>
  <c r="N323" i="74"/>
  <c r="AG318" i="74"/>
  <c r="AA318" i="74" l="1"/>
  <c r="AB318" i="74" s="1"/>
  <c r="N318" i="74"/>
  <c r="Y34" i="28"/>
  <c r="AL34" i="28" l="1"/>
  <c r="AA34" i="28"/>
  <c r="AB34" i="28" s="1"/>
  <c r="AI34" i="28"/>
  <c r="Y29" i="28"/>
  <c r="AL29" i="28" l="1"/>
  <c r="AA29" i="28"/>
  <c r="AB29" i="28" s="1"/>
  <c r="AI29" i="28"/>
  <c r="Y17" i="28"/>
  <c r="AL17" i="28" l="1"/>
  <c r="AA17" i="28"/>
  <c r="AB17" i="28" s="1"/>
  <c r="AI17" i="28"/>
  <c r="N168" i="28"/>
  <c r="AG18" i="22"/>
  <c r="Y18" i="22"/>
  <c r="Y19" i="22" l="1"/>
  <c r="AA168" i="28"/>
  <c r="AB168" i="28" s="1"/>
  <c r="AA18" i="22"/>
  <c r="AB18" i="22" s="1"/>
  <c r="N18" i="22"/>
  <c r="AG101" i="22"/>
  <c r="Z101" i="22"/>
  <c r="Z102" i="22" s="1"/>
  <c r="Y101" i="22"/>
  <c r="AA19" i="22" l="1"/>
  <c r="AD19" i="22"/>
  <c r="AA101" i="22"/>
  <c r="AB101" i="22" s="1"/>
  <c r="Y102" i="22"/>
  <c r="N101" i="22"/>
  <c r="Z31" i="28"/>
  <c r="AL15" i="28" l="1"/>
  <c r="AE19" i="22"/>
  <c r="AB19" i="22"/>
  <c r="AA102" i="22"/>
  <c r="AD102" i="22"/>
  <c r="Y15" i="28"/>
  <c r="AE102" i="22" l="1"/>
  <c r="AB102" i="22"/>
  <c r="AI15" i="28"/>
  <c r="AA15" i="28"/>
  <c r="AB15" i="28" s="1"/>
  <c r="AG169" i="28" l="1"/>
  <c r="AA169" i="28" l="1"/>
  <c r="AB169" i="28" s="1"/>
  <c r="N169" i="28"/>
  <c r="AG209" i="74" l="1"/>
  <c r="AA209" i="74" l="1"/>
  <c r="AB209" i="74" s="1"/>
  <c r="N209" i="74"/>
  <c r="AG328" i="74"/>
  <c r="AA328" i="74" l="1"/>
  <c r="AB328" i="74" s="1"/>
  <c r="N328" i="74"/>
  <c r="Y31" i="28"/>
  <c r="AL31" i="28" l="1"/>
  <c r="AI31" i="28"/>
  <c r="AA31" i="28"/>
  <c r="AB31" i="28" s="1"/>
  <c r="AG167" i="28" l="1"/>
  <c r="AA167" i="28" l="1"/>
  <c r="AB167" i="28" s="1"/>
  <c r="N167" i="28"/>
  <c r="AG171" i="28"/>
  <c r="AA171" i="28" l="1"/>
  <c r="AB171" i="28" s="1"/>
  <c r="N171" i="28"/>
  <c r="AG170" i="28"/>
  <c r="AA170" i="28" l="1"/>
  <c r="AB170" i="28" s="1"/>
  <c r="N170" i="28"/>
  <c r="AG330" i="74" l="1"/>
  <c r="AA330" i="74" l="1"/>
  <c r="AB330" i="74" s="1"/>
  <c r="N330" i="74"/>
  <c r="Z161" i="22" l="1"/>
  <c r="Z160" i="22"/>
  <c r="Z159" i="22"/>
  <c r="Z158" i="22"/>
  <c r="Z157" i="22"/>
  <c r="Z156" i="22"/>
  <c r="Z40" i="28"/>
  <c r="G29" i="85"/>
  <c r="G24" i="85"/>
  <c r="T10" i="85"/>
  <c r="G26" i="85"/>
  <c r="G5" i="85"/>
  <c r="N3" i="85"/>
  <c r="T4" i="85"/>
  <c r="N18" i="85"/>
  <c r="G7" i="85"/>
  <c r="G22" i="85"/>
  <c r="G20" i="85"/>
  <c r="N6" i="85"/>
  <c r="G6" i="85"/>
  <c r="G18" i="85"/>
  <c r="G19" i="85"/>
  <c r="G3" i="85"/>
  <c r="G28" i="85"/>
  <c r="G27" i="85"/>
  <c r="N16" i="85"/>
  <c r="G15" i="85"/>
  <c r="N19" i="85"/>
  <c r="G4" i="85"/>
  <c r="N12" i="85"/>
  <c r="N5" i="85"/>
  <c r="T3" i="85"/>
  <c r="T2" i="85"/>
  <c r="N20" i="85"/>
  <c r="G14" i="85"/>
  <c r="G17" i="85"/>
  <c r="G10" i="85"/>
  <c r="G12" i="85"/>
  <c r="N8" i="85"/>
  <c r="N9" i="85"/>
  <c r="N15" i="85"/>
  <c r="G9" i="85"/>
  <c r="N10" i="85"/>
  <c r="T5" i="85"/>
  <c r="G23" i="85"/>
  <c r="N13" i="85"/>
  <c r="T6" i="85"/>
  <c r="T9" i="85"/>
  <c r="N4" i="85"/>
  <c r="G13" i="85"/>
  <c r="G8" i="85"/>
  <c r="N14" i="85"/>
  <c r="N17" i="85"/>
  <c r="G21" i="85"/>
  <c r="T7" i="85"/>
  <c r="N11" i="85"/>
  <c r="G30" i="85"/>
  <c r="G16" i="85"/>
  <c r="G25" i="85"/>
  <c r="N7" i="85"/>
  <c r="AG192" i="22" l="1"/>
  <c r="AA192" i="22" l="1"/>
  <c r="AB192" i="22" s="1"/>
  <c r="N192" i="22"/>
  <c r="AG191" i="22"/>
  <c r="AA191" i="22" l="1"/>
  <c r="AB191" i="22" s="1"/>
  <c r="N191" i="22"/>
  <c r="AG76" i="74" l="1"/>
  <c r="AA76" i="74" l="1"/>
  <c r="AB76" i="74" s="1"/>
  <c r="AG227" i="74"/>
  <c r="AA227" i="74" l="1"/>
  <c r="AB227" i="74" s="1"/>
  <c r="N227" i="74"/>
  <c r="AG193" i="22" l="1"/>
  <c r="AA193" i="22" l="1"/>
  <c r="AB193" i="22" s="1"/>
  <c r="N193" i="22"/>
  <c r="AG332" i="74" l="1"/>
  <c r="AA332" i="74" l="1"/>
  <c r="AB332" i="74" s="1"/>
  <c r="N332" i="74"/>
  <c r="AG314" i="74"/>
  <c r="AA314" i="74" l="1"/>
  <c r="AB314" i="74" s="1"/>
  <c r="N314" i="74"/>
  <c r="Z113" i="22" l="1"/>
  <c r="AG112" i="22"/>
  <c r="Y112" i="22"/>
  <c r="AA112" i="22" l="1"/>
  <c r="AB112" i="22" s="1"/>
  <c r="N112" i="22"/>
  <c r="AG111" i="22"/>
  <c r="Y111" i="22"/>
  <c r="AA111" i="22" l="1"/>
  <c r="AB111" i="22" s="1"/>
  <c r="N111" i="22"/>
  <c r="AG110" i="22"/>
  <c r="Y110" i="22"/>
  <c r="Y113" i="22" l="1"/>
  <c r="AA110" i="22"/>
  <c r="AB110" i="22" s="1"/>
  <c r="N110" i="22"/>
  <c r="AA113" i="22" l="1"/>
  <c r="AD113" i="22"/>
  <c r="Z90" i="22"/>
  <c r="AG89" i="22"/>
  <c r="Y89" i="22"/>
  <c r="AE113" i="22" l="1"/>
  <c r="AB113" i="22"/>
  <c r="AA89" i="22"/>
  <c r="AB89" i="22" s="1"/>
  <c r="N89" i="22"/>
  <c r="AG88" i="22"/>
  <c r="Y88" i="22"/>
  <c r="AA88" i="22" l="1"/>
  <c r="AB88" i="22" s="1"/>
  <c r="N88" i="22"/>
  <c r="AG87" i="22"/>
  <c r="Y87" i="22"/>
  <c r="AA87" i="22" l="1"/>
  <c r="AB87" i="22" s="1"/>
  <c r="N87" i="22"/>
  <c r="AG86" i="22"/>
  <c r="Y86" i="22"/>
  <c r="Y90" i="22" l="1"/>
  <c r="AA86" i="22"/>
  <c r="AB86" i="22" s="1"/>
  <c r="N86" i="22"/>
  <c r="AA90" i="22" l="1"/>
  <c r="AD90" i="22"/>
  <c r="AE90" i="22" l="1"/>
  <c r="AB90" i="22"/>
  <c r="Y25" i="28"/>
  <c r="AL25" i="28" l="1"/>
  <c r="AI25" i="28"/>
  <c r="AA25" i="28"/>
  <c r="AB25" i="28" s="1"/>
  <c r="AG172" i="28" l="1"/>
  <c r="AA172" i="28" l="1"/>
  <c r="AB172" i="28" s="1"/>
  <c r="N172" i="28"/>
  <c r="AG195" i="22" l="1"/>
  <c r="AA195" i="22" l="1"/>
  <c r="AB195" i="22" s="1"/>
  <c r="N195" i="22"/>
  <c r="AG194" i="22"/>
  <c r="AD197" i="22" l="1"/>
  <c r="AA194" i="22"/>
  <c r="AB194" i="22" s="1"/>
  <c r="N194" i="22"/>
  <c r="AA196" i="22" l="1"/>
  <c r="AD196" i="22"/>
  <c r="Z125" i="22"/>
  <c r="AG124" i="22"/>
  <c r="Y124" i="22"/>
  <c r="AB196" i="22" l="1"/>
  <c r="AE196" i="22"/>
  <c r="AA124" i="22"/>
  <c r="AB124" i="22" s="1"/>
  <c r="N124" i="22"/>
  <c r="AG123" i="22"/>
  <c r="Y123" i="22"/>
  <c r="AA123" i="22" l="1"/>
  <c r="AB123" i="22" s="1"/>
  <c r="N123" i="22"/>
  <c r="AG122" i="22"/>
  <c r="Y122" i="22"/>
  <c r="Y125" i="22" l="1"/>
  <c r="AA122" i="22"/>
  <c r="AB122" i="22" s="1"/>
  <c r="N122" i="22"/>
  <c r="Z162" i="22"/>
  <c r="AG161" i="22"/>
  <c r="Y161" i="22"/>
  <c r="AA125" i="22" l="1"/>
  <c r="AD125" i="22"/>
  <c r="AA161" i="22"/>
  <c r="AB161" i="22" s="1"/>
  <c r="N161" i="22"/>
  <c r="AG160" i="22"/>
  <c r="Y160" i="22"/>
  <c r="AB125" i="22" l="1"/>
  <c r="AE125" i="22"/>
  <c r="AA160" i="22"/>
  <c r="AB160" i="22" s="1"/>
  <c r="N160" i="22"/>
  <c r="AG159" i="22"/>
  <c r="Y159" i="22"/>
  <c r="AA159" i="22" l="1"/>
  <c r="AB159" i="22" s="1"/>
  <c r="N159" i="22"/>
  <c r="AG158" i="22"/>
  <c r="Y158" i="22"/>
  <c r="AA158" i="22" l="1"/>
  <c r="AB158" i="22" s="1"/>
  <c r="N158" i="22"/>
  <c r="AG157" i="22"/>
  <c r="Y157" i="22"/>
  <c r="AA157" i="22" l="1"/>
  <c r="AB157" i="22" s="1"/>
  <c r="N157" i="22"/>
  <c r="AG156" i="22"/>
  <c r="Y156" i="22"/>
  <c r="Y162" i="22" l="1"/>
  <c r="AA156" i="22"/>
  <c r="AB156" i="22" s="1"/>
  <c r="N156" i="22"/>
  <c r="AA162" i="22" l="1"/>
  <c r="AD162" i="22"/>
  <c r="AB162" i="22" l="1"/>
  <c r="AE162" i="22"/>
  <c r="AG324" i="74" l="1"/>
  <c r="AA324" i="74" l="1"/>
  <c r="AB324" i="74" s="1"/>
  <c r="N324" i="74"/>
  <c r="AG228" i="74"/>
  <c r="AA228" i="74" l="1"/>
  <c r="AB228" i="74" s="1"/>
  <c r="N228" i="74"/>
  <c r="AG337" i="74"/>
  <c r="AA337" i="74" l="1"/>
  <c r="AB337" i="74" s="1"/>
  <c r="N337" i="74"/>
  <c r="K8" i="21" l="1"/>
  <c r="M8" i="21"/>
  <c r="AG334" i="74"/>
  <c r="N8" i="21" l="1"/>
  <c r="L8" i="21"/>
  <c r="AA334" i="74"/>
  <c r="AB334" i="74" s="1"/>
  <c r="N334" i="74"/>
  <c r="AG333" i="74" l="1"/>
  <c r="AA333" i="74" l="1"/>
  <c r="AB333" i="74" s="1"/>
  <c r="N333" i="74"/>
  <c r="N338" i="74" l="1"/>
  <c r="AA338" i="74"/>
  <c r="AB338" i="74" s="1"/>
  <c r="AG338" i="74"/>
  <c r="AG329" i="74" l="1"/>
  <c r="AA329" i="74" l="1"/>
  <c r="AB329" i="74" s="1"/>
  <c r="N329" i="74"/>
  <c r="N145" i="22"/>
  <c r="N144" i="22"/>
  <c r="N31" i="22" l="1"/>
  <c r="N82" i="22"/>
  <c r="N81" i="22"/>
  <c r="N80" i="22"/>
  <c r="N62" i="22"/>
  <c r="N11" i="22"/>
  <c r="N12" i="22"/>
  <c r="N13" i="22"/>
  <c r="N10" i="22"/>
  <c r="N129" i="22"/>
  <c r="N128" i="22"/>
  <c r="N106" i="22"/>
  <c r="N105" i="22"/>
  <c r="N71" i="22"/>
  <c r="N44" i="22"/>
  <c r="N45" i="22"/>
  <c r="N46" i="22"/>
  <c r="N43" i="22"/>
  <c r="N150" i="22"/>
  <c r="N151" i="22"/>
  <c r="N152" i="22"/>
  <c r="N149" i="22"/>
  <c r="Z71" i="22" l="1"/>
  <c r="Z22" i="28"/>
  <c r="Y33" i="28"/>
  <c r="AL33" i="28" l="1"/>
  <c r="AI33" i="28"/>
  <c r="AA33" i="28"/>
  <c r="AB33" i="28" s="1"/>
  <c r="Z28" i="28" l="1"/>
  <c r="Z82" i="22"/>
  <c r="Z81" i="22"/>
  <c r="Z80" i="22"/>
  <c r="Z62" i="22"/>
  <c r="Z23" i="28"/>
  <c r="AL39" i="28" l="1"/>
  <c r="Z39" i="28"/>
  <c r="Y39" i="28"/>
  <c r="AA39" i="28" l="1"/>
  <c r="AB39" i="28" s="1"/>
  <c r="AI39" i="28"/>
  <c r="AL18" i="28" l="1"/>
  <c r="AL35" i="28"/>
  <c r="AL40" i="28"/>
  <c r="AL20" i="28"/>
  <c r="AL36" i="28"/>
  <c r="AL16" i="28"/>
  <c r="AL22" i="28"/>
  <c r="AL28" i="28"/>
  <c r="AL32" i="28"/>
  <c r="AL38" i="28"/>
  <c r="AL23" i="28"/>
  <c r="Z152" i="22"/>
  <c r="Z151" i="22"/>
  <c r="Z150" i="22"/>
  <c r="Z149" i="22"/>
  <c r="AG335" i="74" l="1"/>
  <c r="AA335" i="74" l="1"/>
  <c r="AB335" i="74" s="1"/>
  <c r="N335" i="74"/>
  <c r="AG173" i="28" l="1"/>
  <c r="AA173" i="28" l="1"/>
  <c r="AB173" i="28" s="1"/>
  <c r="N173" i="28"/>
  <c r="Z32" i="22" l="1"/>
  <c r="AG31" i="22"/>
  <c r="Y31" i="22"/>
  <c r="Y32" i="22" l="1"/>
  <c r="AA31" i="22"/>
  <c r="AB31" i="22" s="1"/>
  <c r="Z107" i="22"/>
  <c r="Y105" i="22"/>
  <c r="AA32" i="22" l="1"/>
  <c r="AD32" i="22"/>
  <c r="AA105" i="22"/>
  <c r="AB105" i="22" s="1"/>
  <c r="Z130" i="22"/>
  <c r="Y129" i="22"/>
  <c r="AB32" i="22" l="1"/>
  <c r="AE32" i="22"/>
  <c r="AA129" i="22"/>
  <c r="AB129" i="22" s="1"/>
  <c r="Y128" i="22"/>
  <c r="Y130" i="22" l="1"/>
  <c r="AA128" i="22"/>
  <c r="AB128" i="22" s="1"/>
  <c r="Y36" i="28"/>
  <c r="AA130" i="22" l="1"/>
  <c r="AD130" i="22"/>
  <c r="AA36" i="28"/>
  <c r="AB36" i="28" s="1"/>
  <c r="AI36" i="28"/>
  <c r="AB130" i="22" l="1"/>
  <c r="AE130" i="22"/>
  <c r="Y32" i="28"/>
  <c r="AI32" i="28" l="1"/>
  <c r="AA32" i="28"/>
  <c r="AB32" i="28" s="1"/>
  <c r="Y35" i="28"/>
  <c r="AA35" i="28" l="1"/>
  <c r="AB35" i="28" s="1"/>
  <c r="AI35" i="28"/>
  <c r="Y38" i="28"/>
  <c r="AI38" i="28" l="1"/>
  <c r="AA38" i="28"/>
  <c r="AB38" i="28" s="1"/>
  <c r="Y40" i="28"/>
  <c r="AA40" i="28" l="1"/>
  <c r="AB40" i="28" s="1"/>
  <c r="AI40" i="28"/>
  <c r="Z153" i="22"/>
  <c r="AG152" i="22"/>
  <c r="Y152" i="22"/>
  <c r="AA152" i="22" l="1"/>
  <c r="AB152" i="22" s="1"/>
  <c r="AG151" i="22"/>
  <c r="Y151" i="22"/>
  <c r="AA151" i="22" l="1"/>
  <c r="AB151" i="22" s="1"/>
  <c r="AG150" i="22"/>
  <c r="Y150" i="22"/>
  <c r="AA150" i="22" l="1"/>
  <c r="AB150" i="22" s="1"/>
  <c r="AG149" i="22"/>
  <c r="Y149" i="22"/>
  <c r="Y153" i="22" l="1"/>
  <c r="AA149" i="22"/>
  <c r="AB149" i="22" s="1"/>
  <c r="Y106" i="22"/>
  <c r="Y107" i="22" l="1"/>
  <c r="AA153" i="22"/>
  <c r="AD153" i="22"/>
  <c r="AA106" i="22"/>
  <c r="AB106" i="22" s="1"/>
  <c r="AG325" i="74"/>
  <c r="AE153" i="22" l="1"/>
  <c r="AB153" i="22"/>
  <c r="AA107" i="22"/>
  <c r="AD107" i="22"/>
  <c r="AA325" i="74"/>
  <c r="AB325" i="74" s="1"/>
  <c r="N325" i="74"/>
  <c r="AG319" i="74"/>
  <c r="AB107" i="22" l="1"/>
  <c r="AE107" i="22"/>
  <c r="AA319" i="74"/>
  <c r="AB319" i="74" s="1"/>
  <c r="N319" i="74"/>
  <c r="Y18" i="28"/>
  <c r="AI18" i="28" l="1"/>
  <c r="AA18" i="28"/>
  <c r="AB18" i="28" s="1"/>
  <c r="Z83" i="22" l="1"/>
  <c r="AG82" i="22"/>
  <c r="Y82" i="22"/>
  <c r="AA82" i="22" l="1"/>
  <c r="AB82" i="22" s="1"/>
  <c r="AG81" i="22"/>
  <c r="Y81" i="22"/>
  <c r="AA81" i="22" l="1"/>
  <c r="AB81" i="22" s="1"/>
  <c r="AG80" i="22"/>
  <c r="Y80" i="22"/>
  <c r="Y83" i="22" l="1"/>
  <c r="AA80" i="22"/>
  <c r="AB80" i="22" s="1"/>
  <c r="Z63" i="22"/>
  <c r="AG62" i="22"/>
  <c r="Y62" i="22"/>
  <c r="AA83" i="22" l="1"/>
  <c r="AD83" i="22"/>
  <c r="AA62" i="22"/>
  <c r="AB62" i="22" s="1"/>
  <c r="Y63" i="22"/>
  <c r="AG13" i="22"/>
  <c r="Y13" i="22"/>
  <c r="AE83" i="22" l="1"/>
  <c r="AB83" i="22"/>
  <c r="AA63" i="22"/>
  <c r="AD63" i="22"/>
  <c r="AA13" i="22"/>
  <c r="AB13" i="22" s="1"/>
  <c r="AG12" i="22"/>
  <c r="Y12" i="22"/>
  <c r="AE63" i="22" l="1"/>
  <c r="AB63" i="22"/>
  <c r="AA12" i="22"/>
  <c r="AB12" i="22" s="1"/>
  <c r="AG11" i="22"/>
  <c r="Y11" i="22"/>
  <c r="AA11" i="22" l="1"/>
  <c r="AB11" i="22" s="1"/>
  <c r="AG10" i="22"/>
  <c r="Z14" i="22"/>
  <c r="Y10" i="22"/>
  <c r="Y14" i="22" l="1"/>
  <c r="AA10" i="22"/>
  <c r="AB10" i="22" s="1"/>
  <c r="Y28" i="28"/>
  <c r="AA14" i="22" l="1"/>
  <c r="AD14" i="22"/>
  <c r="AI28" i="28"/>
  <c r="AA28" i="28"/>
  <c r="AB28" i="28" s="1"/>
  <c r="Y23" i="28"/>
  <c r="AB14" i="22" l="1"/>
  <c r="AE14" i="22"/>
  <c r="AA23" i="28"/>
  <c r="AB23" i="28" s="1"/>
  <c r="AI23" i="28"/>
  <c r="Y14" i="28"/>
  <c r="AA14" i="28" l="1"/>
  <c r="AB14" i="28" s="1"/>
  <c r="AI14" i="28"/>
  <c r="Y22" i="28"/>
  <c r="AA22" i="28" l="1"/>
  <c r="AB22" i="28" s="1"/>
  <c r="AI22" i="28"/>
  <c r="Z72" i="22"/>
  <c r="AG71" i="22"/>
  <c r="Y71" i="22"/>
  <c r="Y72" i="22" l="1"/>
  <c r="AA71" i="22"/>
  <c r="AB71" i="22" s="1"/>
  <c r="AA72" i="22" l="1"/>
  <c r="AD72" i="22"/>
  <c r="AB72" i="22" l="1"/>
  <c r="AE72" i="22"/>
  <c r="AG326" i="74" l="1"/>
  <c r="AA326" i="74" l="1"/>
  <c r="AB326" i="74" s="1"/>
  <c r="N326" i="74"/>
  <c r="AG320" i="74"/>
  <c r="AA320" i="74" l="1"/>
  <c r="AB320" i="74" s="1"/>
  <c r="N320" i="74"/>
  <c r="AG331" i="74" l="1"/>
  <c r="AA331" i="74" l="1"/>
  <c r="AB331" i="74" s="1"/>
  <c r="N331" i="74"/>
  <c r="AG327" i="74"/>
  <c r="AA327" i="74" l="1"/>
  <c r="AB327" i="74" s="1"/>
  <c r="N327" i="74"/>
  <c r="AG321" i="74"/>
  <c r="AA321" i="74" l="1"/>
  <c r="AB321" i="74" s="1"/>
  <c r="N321" i="74"/>
  <c r="Y203" i="22" l="1"/>
  <c r="Z203" i="22" l="1"/>
  <c r="AD204" i="22" s="1"/>
  <c r="AG200" i="22"/>
  <c r="AA200" i="22" l="1"/>
  <c r="AB200" i="22" s="1"/>
  <c r="N200" i="22"/>
  <c r="AG255" i="74" l="1"/>
  <c r="AA255" i="74" l="1"/>
  <c r="AB255" i="74" s="1"/>
  <c r="N255" i="74"/>
  <c r="AG339" i="74"/>
  <c r="AA339" i="74" l="1"/>
  <c r="AB339" i="74" s="1"/>
  <c r="N339" i="74"/>
  <c r="AG340" i="74" l="1"/>
  <c r="AA340" i="74" l="1"/>
  <c r="AB340" i="74" s="1"/>
  <c r="N340" i="74"/>
  <c r="AG248" i="74" l="1"/>
  <c r="AA248" i="74" l="1"/>
  <c r="AB248" i="74" s="1"/>
  <c r="N248" i="74"/>
  <c r="N341" i="74" l="1"/>
  <c r="AG341" i="74"/>
  <c r="AA341" i="74" l="1"/>
  <c r="AB341" i="74" s="1"/>
  <c r="AG336" i="74" l="1"/>
  <c r="AA336" i="74" l="1"/>
  <c r="AB336" i="74" s="1"/>
  <c r="N336" i="74"/>
  <c r="AG201" i="22" l="1"/>
  <c r="AA201" i="22" l="1"/>
  <c r="AB201" i="22" s="1"/>
  <c r="N201" i="22"/>
  <c r="AA203" i="22" l="1"/>
  <c r="AB203" i="22" s="1"/>
  <c r="AD203" i="22"/>
  <c r="AE203" i="22" l="1"/>
  <c r="AG202" i="22" l="1"/>
  <c r="AA202" i="22"/>
  <c r="AB202" i="22" s="1"/>
  <c r="X202" i="22"/>
  <c r="N202" i="22"/>
  <c r="AG174" i="28" l="1"/>
  <c r="AA174" i="28" l="1"/>
  <c r="AB174" i="28" s="1"/>
  <c r="N174" i="28"/>
  <c r="N177" i="28" l="1"/>
  <c r="K9" i="21" l="1"/>
  <c r="M9" i="21"/>
  <c r="N9" i="21" l="1"/>
  <c r="L9" i="21"/>
  <c r="Z267" i="22"/>
  <c r="Y267" i="22"/>
  <c r="AG207" i="22"/>
  <c r="AA207" i="22"/>
  <c r="AB207" i="22" s="1"/>
  <c r="N207" i="22"/>
  <c r="AG208" i="22"/>
  <c r="AA208" i="22"/>
  <c r="AB208" i="22" s="1"/>
  <c r="N208" i="22"/>
  <c r="AG209" i="22"/>
  <c r="AA209" i="22"/>
  <c r="AB209" i="22" s="1"/>
  <c r="N209" i="22"/>
  <c r="AG211" i="22" l="1"/>
  <c r="AA211" i="22"/>
  <c r="AB211" i="22" s="1"/>
  <c r="X211" i="22"/>
  <c r="N211" i="22"/>
  <c r="AG210" i="22"/>
  <c r="AA210" i="22"/>
  <c r="AB210" i="22" s="1"/>
  <c r="X210" i="22"/>
  <c r="N210" i="22"/>
  <c r="AG212" i="22" l="1"/>
  <c r="AA212" i="22" l="1"/>
  <c r="AB212" i="22" s="1"/>
  <c r="N212" i="22"/>
  <c r="AG344" i="74" l="1"/>
  <c r="AA344" i="74" l="1"/>
  <c r="AB344" i="74" s="1"/>
  <c r="N344" i="74"/>
  <c r="AG342" i="74" l="1"/>
  <c r="AA342" i="74" l="1"/>
  <c r="AB342" i="74" s="1"/>
  <c r="N342" i="74"/>
  <c r="AG345" i="74"/>
  <c r="AA345" i="74" l="1"/>
  <c r="AB345" i="74" s="1"/>
  <c r="N345" i="74"/>
  <c r="AG343" i="74" l="1"/>
  <c r="AA343" i="74" l="1"/>
  <c r="AB343" i="74" s="1"/>
  <c r="N343" i="74"/>
  <c r="AG346" i="74"/>
  <c r="AA346" i="74" l="1"/>
  <c r="AB346" i="74" s="1"/>
  <c r="N346" i="74"/>
  <c r="AG175" i="28" l="1"/>
  <c r="AA175" i="28" l="1"/>
  <c r="AB175" i="28" s="1"/>
  <c r="N175" i="28"/>
  <c r="AG32" i="74" l="1"/>
  <c r="AG213" i="22" l="1"/>
  <c r="AA213" i="22" l="1"/>
  <c r="AB213" i="22" s="1"/>
  <c r="N213" i="22"/>
  <c r="Y20" i="28"/>
  <c r="AA20" i="28" l="1"/>
  <c r="AI20" i="28"/>
  <c r="AG214" i="22"/>
  <c r="AB20" i="28" l="1"/>
  <c r="AA214" i="22"/>
  <c r="AB214" i="22" s="1"/>
  <c r="X214" i="22"/>
  <c r="N214" i="22"/>
  <c r="AG176" i="28" l="1"/>
  <c r="AA176" i="28" l="1"/>
  <c r="AB176" i="28" s="1"/>
  <c r="N176" i="28"/>
  <c r="AG177" i="28"/>
  <c r="AA177" i="28" l="1"/>
  <c r="AB177" i="28" s="1"/>
  <c r="AG348" i="74"/>
  <c r="AA348" i="74"/>
  <c r="AB348" i="74" s="1"/>
  <c r="N348" i="74"/>
  <c r="AG347" i="74"/>
  <c r="AA347" i="74"/>
  <c r="AB347" i="74" s="1"/>
  <c r="N347" i="74"/>
  <c r="Y16" i="28"/>
  <c r="AA16" i="28" l="1"/>
  <c r="AB16" i="28" s="1"/>
  <c r="AI16" i="28"/>
  <c r="AI41" i="28" s="1"/>
  <c r="AI42" i="28" l="1"/>
  <c r="Z146" i="22" l="1"/>
  <c r="AG144" i="22" l="1"/>
  <c r="Y144" i="22"/>
  <c r="AA144" i="22" l="1"/>
  <c r="AB144" i="22" s="1"/>
  <c r="Z47" i="22" l="1"/>
  <c r="M10" i="21" l="1"/>
  <c r="AG216" i="22"/>
  <c r="AA216" i="22" l="1"/>
  <c r="AB216" i="22" s="1"/>
  <c r="N216" i="22"/>
  <c r="AG217" i="22"/>
  <c r="AA217" i="22"/>
  <c r="AB217" i="22" s="1"/>
  <c r="N217" i="22"/>
  <c r="AG218" i="22"/>
  <c r="AA218" i="22" l="1"/>
  <c r="AB218" i="22" s="1"/>
  <c r="N218" i="22"/>
  <c r="AD267" i="22"/>
  <c r="AG219" i="22"/>
  <c r="AA219" i="22" l="1"/>
  <c r="AB219" i="22" s="1"/>
  <c r="N219" i="22"/>
  <c r="Z51" i="22"/>
  <c r="Y51" i="22" l="1"/>
  <c r="AD51" i="22" s="1"/>
  <c r="AA51" i="22" l="1"/>
  <c r="AE51" i="22" l="1"/>
  <c r="AB51" i="22"/>
  <c r="AD268" i="22" l="1"/>
  <c r="AG220" i="22" l="1"/>
  <c r="AA220" i="22" l="1"/>
  <c r="AB220" i="22" s="1"/>
  <c r="N220" i="22"/>
  <c r="AG145" i="22"/>
  <c r="AG221" i="22"/>
  <c r="AA221" i="22"/>
  <c r="AB221" i="22" s="1"/>
  <c r="N221" i="22"/>
  <c r="AG222" i="22" l="1"/>
  <c r="AA222" i="22"/>
  <c r="AB222" i="22" s="1"/>
  <c r="N222" i="22"/>
  <c r="Y145" i="22"/>
  <c r="Y146" i="22" l="1"/>
  <c r="AD146" i="22" s="1"/>
  <c r="AA145" i="22"/>
  <c r="AB145" i="22" s="1"/>
  <c r="AA146" i="22" l="1"/>
  <c r="AE146" i="22" l="1"/>
  <c r="AB146" i="22"/>
  <c r="AG223" i="22" l="1"/>
  <c r="AA223" i="22"/>
  <c r="AB223" i="22" s="1"/>
  <c r="N223" i="22"/>
  <c r="AG224" i="22"/>
  <c r="AA224" i="22"/>
  <c r="AB224" i="22" s="1"/>
  <c r="N224" i="22"/>
  <c r="AG227" i="22" l="1"/>
  <c r="AA227" i="22"/>
  <c r="AB227" i="22" s="1"/>
  <c r="N227" i="22"/>
  <c r="AG230" i="22"/>
  <c r="AA230" i="22"/>
  <c r="AB230" i="22" s="1"/>
  <c r="N230" i="22"/>
  <c r="AG229" i="22"/>
  <c r="AA229" i="22"/>
  <c r="AB229" i="22" s="1"/>
  <c r="N229" i="22"/>
  <c r="AG228" i="22"/>
  <c r="AA228" i="22"/>
  <c r="AB228" i="22" s="1"/>
  <c r="N228" i="22"/>
  <c r="AG231" i="22"/>
  <c r="AA231" i="22"/>
  <c r="AB231" i="22" s="1"/>
  <c r="N231" i="22"/>
  <c r="AG233" i="22"/>
  <c r="AA233" i="22"/>
  <c r="AB233" i="22" s="1"/>
  <c r="N233" i="22"/>
  <c r="AG232" i="22"/>
  <c r="AA232" i="22"/>
  <c r="AB232" i="22" s="1"/>
  <c r="N232" i="22"/>
  <c r="AG234" i="22"/>
  <c r="AA234" i="22"/>
  <c r="AB234" i="22" s="1"/>
  <c r="N234" i="22"/>
  <c r="AG215" i="22" l="1"/>
  <c r="AA215" i="22" l="1"/>
  <c r="AB215" i="22" s="1"/>
  <c r="N215" i="22"/>
  <c r="AG235" i="22" l="1"/>
  <c r="AA235" i="22"/>
  <c r="AB235" i="22" s="1"/>
  <c r="N235" i="22"/>
  <c r="AG237" i="22"/>
  <c r="AA237" i="22"/>
  <c r="AB237" i="22" s="1"/>
  <c r="N237" i="22"/>
  <c r="AG236" i="22"/>
  <c r="AA236" i="22"/>
  <c r="AB236" i="22" s="1"/>
  <c r="N236" i="22"/>
  <c r="AG226" i="22" l="1"/>
  <c r="AG225" i="22"/>
  <c r="AA225" i="22" l="1"/>
  <c r="AB225" i="22" s="1"/>
  <c r="N225" i="22"/>
  <c r="AA226" i="22" l="1"/>
  <c r="AB226" i="22" s="1"/>
  <c r="N226" i="22"/>
  <c r="AG240" i="22" l="1"/>
  <c r="AA240" i="22"/>
  <c r="AB240" i="22" s="1"/>
  <c r="X240" i="22"/>
  <c r="N240" i="22"/>
  <c r="AG239" i="22"/>
  <c r="AA239" i="22"/>
  <c r="AB239" i="22" s="1"/>
  <c r="X239" i="22"/>
  <c r="N239" i="22"/>
  <c r="AG238" i="22"/>
  <c r="AA238" i="22"/>
  <c r="AB238" i="22" s="1"/>
  <c r="X238" i="22"/>
  <c r="N238" i="22"/>
  <c r="AG244" i="22" l="1"/>
  <c r="AA244" i="22"/>
  <c r="AB244" i="22" s="1"/>
  <c r="N244" i="22"/>
  <c r="AG243" i="22"/>
  <c r="AA243" i="22"/>
  <c r="AB243" i="22" s="1"/>
  <c r="N243" i="22"/>
  <c r="AG242" i="22"/>
  <c r="AA242" i="22"/>
  <c r="AB242" i="22" s="1"/>
  <c r="N242" i="22"/>
  <c r="AG241" i="22"/>
  <c r="AA241" i="22"/>
  <c r="AB241" i="22" s="1"/>
  <c r="N241" i="22"/>
  <c r="AG245" i="22" l="1"/>
  <c r="AA245" i="22"/>
  <c r="AB245" i="22" s="1"/>
  <c r="X245" i="22"/>
  <c r="N245" i="22"/>
  <c r="AG247" i="22"/>
  <c r="AA247" i="22"/>
  <c r="AB247" i="22" s="1"/>
  <c r="N247" i="22"/>
  <c r="AG246" i="22"/>
  <c r="AA246" i="22"/>
  <c r="AB246" i="22" s="1"/>
  <c r="N246" i="22"/>
  <c r="AG249" i="22"/>
  <c r="AA249" i="22"/>
  <c r="AB249" i="22" s="1"/>
  <c r="X249" i="22"/>
  <c r="N249" i="22"/>
  <c r="AG248" i="22"/>
  <c r="AA248" i="22"/>
  <c r="AB248" i="22" s="1"/>
  <c r="X248" i="22"/>
  <c r="N248" i="22"/>
  <c r="AG253" i="22" l="1"/>
  <c r="AA253" i="22"/>
  <c r="AB253" i="22" s="1"/>
  <c r="N253" i="22"/>
  <c r="AG252" i="22"/>
  <c r="AA252" i="22"/>
  <c r="AB252" i="22" s="1"/>
  <c r="N252" i="22"/>
  <c r="AG251" i="22"/>
  <c r="AA251" i="22"/>
  <c r="AB251" i="22" s="1"/>
  <c r="N251" i="22"/>
  <c r="AG250" i="22"/>
  <c r="AA250" i="22"/>
  <c r="AB250" i="22" s="1"/>
  <c r="N250" i="22"/>
  <c r="AG256" i="22"/>
  <c r="AA256" i="22"/>
  <c r="AB256" i="22" s="1"/>
  <c r="N256" i="22"/>
  <c r="AG255" i="22"/>
  <c r="AA255" i="22"/>
  <c r="AB255" i="22" s="1"/>
  <c r="N255" i="22"/>
  <c r="AG254" i="22"/>
  <c r="AA254" i="22"/>
  <c r="AB254" i="22" s="1"/>
  <c r="N254" i="22"/>
  <c r="AG259" i="22"/>
  <c r="AA259" i="22"/>
  <c r="AB259" i="22" s="1"/>
  <c r="X259" i="22"/>
  <c r="N259" i="22"/>
  <c r="AG258" i="22"/>
  <c r="AA258" i="22"/>
  <c r="AB258" i="22" s="1"/>
  <c r="X258" i="22"/>
  <c r="N258" i="22"/>
  <c r="AG257" i="22"/>
  <c r="AA257" i="22"/>
  <c r="AB257" i="22" s="1"/>
  <c r="X257" i="22"/>
  <c r="N257" i="22"/>
  <c r="AG261" i="22"/>
  <c r="AA261" i="22"/>
  <c r="AB261" i="22" s="1"/>
  <c r="N261" i="22"/>
  <c r="AG260" i="22"/>
  <c r="AA260" i="22"/>
  <c r="AB260" i="22" s="1"/>
  <c r="N260" i="22"/>
  <c r="AG178" i="28" l="1"/>
  <c r="AA178" i="28" l="1"/>
  <c r="AB178" i="28" s="1"/>
  <c r="N178" i="28"/>
  <c r="AA267" i="22" l="1"/>
  <c r="AB267" i="22" s="1"/>
  <c r="AE267" i="22" l="1"/>
  <c r="AG179" i="28" l="1"/>
  <c r="AA179" i="28" l="1"/>
  <c r="AB179" i="28" s="1"/>
  <c r="N179" i="28"/>
  <c r="AG180" i="28"/>
  <c r="AA180" i="28" l="1"/>
  <c r="AB180" i="28" s="1"/>
  <c r="N180" i="28"/>
  <c r="AG181" i="28"/>
  <c r="AA181" i="28" l="1"/>
  <c r="AB181" i="28" s="1"/>
  <c r="N181" i="28"/>
  <c r="AG262" i="22" l="1"/>
  <c r="AA262" i="22" l="1"/>
  <c r="AB262" i="22" s="1"/>
  <c r="N262" i="22"/>
  <c r="K10" i="21" l="1"/>
  <c r="N10" i="21" l="1"/>
  <c r="L10" i="21"/>
  <c r="AG263" i="22" l="1"/>
  <c r="AA263" i="22" l="1"/>
  <c r="N263" i="22"/>
  <c r="AB263" i="22" l="1"/>
  <c r="AG264" i="22" l="1"/>
  <c r="AA264" i="22" l="1"/>
  <c r="N264" i="22"/>
  <c r="AB264" i="22" l="1"/>
  <c r="N186" i="28" l="1"/>
  <c r="AG182" i="28" l="1"/>
  <c r="AA182" i="28" l="1"/>
  <c r="AB182" i="28" s="1"/>
  <c r="N182" i="28"/>
  <c r="AG183" i="28" l="1"/>
  <c r="AA183" i="28" l="1"/>
  <c r="AB183" i="28" s="1"/>
  <c r="N183" i="28"/>
  <c r="AG266" i="22" l="1"/>
  <c r="AA266" i="22" l="1"/>
  <c r="AB266" i="22" s="1"/>
  <c r="N266" i="22"/>
  <c r="AG271" i="22" l="1"/>
  <c r="AA271" i="22"/>
  <c r="AB271" i="22" s="1"/>
  <c r="X271" i="22"/>
  <c r="N271" i="22"/>
  <c r="AG265" i="22" l="1"/>
  <c r="N265" i="22"/>
  <c r="X265" i="22" l="1"/>
  <c r="AA265" i="22"/>
  <c r="AB265" i="22" s="1"/>
  <c r="AG273" i="22" l="1"/>
  <c r="AA273" i="22"/>
  <c r="AB273" i="22" s="1"/>
  <c r="X273" i="22"/>
  <c r="N273" i="22"/>
  <c r="AG272" i="22"/>
  <c r="AA272" i="22"/>
  <c r="X272" i="22"/>
  <c r="N272" i="22"/>
  <c r="AG274" i="22"/>
  <c r="AA274" i="22"/>
  <c r="AB274" i="22" s="1"/>
  <c r="X274" i="22"/>
  <c r="N274" i="22"/>
  <c r="AB272" i="22" l="1"/>
  <c r="Z277" i="22" l="1"/>
  <c r="Z276" i="22"/>
  <c r="AG278" i="22"/>
  <c r="AA278" i="22" l="1"/>
  <c r="X278" i="22"/>
  <c r="N278" i="22"/>
  <c r="AB278" i="22" l="1"/>
  <c r="AG276" i="22"/>
  <c r="AA276" i="22" l="1"/>
  <c r="X276" i="22"/>
  <c r="N276" i="22"/>
  <c r="AB276" i="22" l="1"/>
  <c r="AG285" i="22"/>
  <c r="Z285" i="22"/>
  <c r="AA285" i="22" s="1"/>
  <c r="AB285" i="22" s="1"/>
  <c r="X285" i="22"/>
  <c r="N285" i="22"/>
  <c r="AG284" i="22"/>
  <c r="Z284" i="22"/>
  <c r="AA284" i="22" s="1"/>
  <c r="AB284" i="22" s="1"/>
  <c r="X284" i="22"/>
  <c r="N284" i="22"/>
  <c r="AG283" i="22"/>
  <c r="Z283" i="22"/>
  <c r="X283" i="22"/>
  <c r="N283" i="22"/>
  <c r="AG282" i="22"/>
  <c r="AA282" i="22"/>
  <c r="AB282" i="22" s="1"/>
  <c r="X282" i="22"/>
  <c r="N282" i="22"/>
  <c r="AG281" i="22"/>
  <c r="AA281" i="22"/>
  <c r="AB281" i="22" s="1"/>
  <c r="X281" i="22"/>
  <c r="N281" i="22"/>
  <c r="AA283" i="22" l="1"/>
  <c r="AB283" i="22" s="1"/>
  <c r="AG43" i="22" l="1"/>
  <c r="Y43" i="22"/>
  <c r="AA43" i="22" l="1"/>
  <c r="AB43" i="22" l="1"/>
  <c r="AG184" i="28" l="1"/>
  <c r="AA184" i="28" l="1"/>
  <c r="AB184" i="28" s="1"/>
  <c r="N184" i="28"/>
  <c r="AG185" i="28"/>
  <c r="AA185" i="28" l="1"/>
  <c r="AB185" i="28" s="1"/>
  <c r="N185" i="28"/>
  <c r="AG277" i="22" l="1"/>
  <c r="AA277" i="22" l="1"/>
  <c r="X277" i="22"/>
  <c r="N277" i="22"/>
  <c r="AB277" i="22" l="1"/>
  <c r="AG290" i="22" l="1"/>
  <c r="AA290" i="22" l="1"/>
  <c r="X290" i="22"/>
  <c r="N290" i="22"/>
  <c r="AG291" i="22"/>
  <c r="AB290" i="22" l="1"/>
  <c r="AA291" i="22"/>
  <c r="AB291" i="22" s="1"/>
  <c r="X291" i="22"/>
  <c r="N291" i="22"/>
  <c r="AG295" i="22"/>
  <c r="AA295" i="22"/>
  <c r="AB295" i="22" s="1"/>
  <c r="X295" i="22"/>
  <c r="N295" i="22"/>
  <c r="AG294" i="22"/>
  <c r="AA294" i="22"/>
  <c r="AB294" i="22" s="1"/>
  <c r="X294" i="22"/>
  <c r="N294" i="22"/>
  <c r="AG296" i="22"/>
  <c r="AA296" i="22"/>
  <c r="AB296" i="22" s="1"/>
  <c r="X296" i="22"/>
  <c r="N296" i="22"/>
  <c r="AG44" i="22" l="1"/>
  <c r="Y44" i="22"/>
  <c r="AA44" i="22" l="1"/>
  <c r="AG297" i="22"/>
  <c r="AA297" i="22"/>
  <c r="AB297" i="22" s="1"/>
  <c r="X297" i="22"/>
  <c r="N297" i="22"/>
  <c r="AB44" i="22" l="1"/>
  <c r="AG300" i="22" l="1"/>
  <c r="Z300" i="22"/>
  <c r="AA300" i="22" s="1"/>
  <c r="AB300" i="22" s="1"/>
  <c r="X300" i="22"/>
  <c r="N300" i="22"/>
  <c r="AG299" i="22"/>
  <c r="AA299" i="22"/>
  <c r="AB299" i="22" s="1"/>
  <c r="X299" i="22"/>
  <c r="N299" i="22"/>
  <c r="AG298" i="22"/>
  <c r="AA298" i="22"/>
  <c r="X298" i="22"/>
  <c r="N298" i="22"/>
  <c r="AG302" i="22"/>
  <c r="AB298" i="22" l="1"/>
  <c r="AA302" i="22"/>
  <c r="AB302" i="22" s="1"/>
  <c r="X302" i="22"/>
  <c r="N302" i="22"/>
  <c r="AG301" i="22"/>
  <c r="AA301" i="22" l="1"/>
  <c r="X301" i="22"/>
  <c r="N301" i="22"/>
  <c r="AB301" i="22" l="1"/>
  <c r="Y311" i="22" l="1"/>
  <c r="Y310" i="22"/>
  <c r="Y309" i="22"/>
  <c r="Y308" i="22"/>
  <c r="AG279" i="22"/>
  <c r="Y332" i="22" l="1"/>
  <c r="AA279" i="22"/>
  <c r="X279" i="22"/>
  <c r="N279" i="22"/>
  <c r="AB279" i="22" l="1"/>
  <c r="AG186" i="28" l="1"/>
  <c r="AA186" i="28" l="1"/>
  <c r="AB186" i="28" s="1"/>
  <c r="AG45" i="22" l="1"/>
  <c r="Y45" i="22"/>
  <c r="AA45" i="22" l="1"/>
  <c r="AG312" i="22"/>
  <c r="AA312" i="22"/>
  <c r="AB312" i="22" s="1"/>
  <c r="X312" i="22"/>
  <c r="N312" i="22"/>
  <c r="AB45" i="22" l="1"/>
  <c r="AG275" i="22" l="1"/>
  <c r="N275" i="22"/>
  <c r="AG293" i="22"/>
  <c r="N293" i="22"/>
  <c r="AG292" i="22"/>
  <c r="N292" i="22"/>
  <c r="AG289" i="22"/>
  <c r="Z289" i="22"/>
  <c r="N289" i="22"/>
  <c r="AG288" i="22"/>
  <c r="Z288" i="22"/>
  <c r="N288" i="22"/>
  <c r="AG287" i="22"/>
  <c r="Z287" i="22"/>
  <c r="N287" i="22"/>
  <c r="AG286" i="22"/>
  <c r="Z286" i="22"/>
  <c r="N286" i="22"/>
  <c r="AG311" i="22"/>
  <c r="Z311" i="22"/>
  <c r="N311" i="22"/>
  <c r="AG310" i="22"/>
  <c r="Z310" i="22"/>
  <c r="N310" i="22"/>
  <c r="AG309" i="22"/>
  <c r="Z309" i="22"/>
  <c r="N309" i="22"/>
  <c r="AG308" i="22"/>
  <c r="Z308" i="22"/>
  <c r="N308" i="22"/>
  <c r="AG307" i="22"/>
  <c r="Z307" i="22"/>
  <c r="N307" i="22"/>
  <c r="AG306" i="22"/>
  <c r="N306" i="22"/>
  <c r="AG305" i="22"/>
  <c r="N305" i="22"/>
  <c r="AG304" i="22"/>
  <c r="Z304" i="22"/>
  <c r="N304" i="22"/>
  <c r="AG303" i="22"/>
  <c r="Z303" i="22"/>
  <c r="N303" i="22"/>
  <c r="AG280" i="22"/>
  <c r="N280" i="22"/>
  <c r="AG46" i="22"/>
  <c r="Y46" i="22"/>
  <c r="Y47" i="22" l="1"/>
  <c r="Z332" i="22"/>
  <c r="AD333" i="22" s="1"/>
  <c r="X308" i="22"/>
  <c r="AA308" i="22"/>
  <c r="AB308" i="22" s="1"/>
  <c r="X304" i="22"/>
  <c r="AA304" i="22"/>
  <c r="AB304" i="22" s="1"/>
  <c r="X310" i="22"/>
  <c r="AA310" i="22"/>
  <c r="AB310" i="22" s="1"/>
  <c r="AA289" i="22"/>
  <c r="AB289" i="22" s="1"/>
  <c r="X289" i="22"/>
  <c r="X305" i="22"/>
  <c r="AA305" i="22"/>
  <c r="AB305" i="22" s="1"/>
  <c r="AA311" i="22"/>
  <c r="AB311" i="22" s="1"/>
  <c r="X311" i="22"/>
  <c r="X275" i="22"/>
  <c r="AA275" i="22"/>
  <c r="X306" i="22"/>
  <c r="AA306" i="22"/>
  <c r="AB306" i="22" s="1"/>
  <c r="X292" i="22"/>
  <c r="AA292" i="22"/>
  <c r="AA46" i="22"/>
  <c r="X280" i="22"/>
  <c r="AA280" i="22"/>
  <c r="AA307" i="22"/>
  <c r="AB307" i="22" s="1"/>
  <c r="X307" i="22"/>
  <c r="X286" i="22"/>
  <c r="AA286" i="22"/>
  <c r="X293" i="22"/>
  <c r="AA293" i="22"/>
  <c r="AB293" i="22" s="1"/>
  <c r="X287" i="22"/>
  <c r="AA287" i="22"/>
  <c r="AB287" i="22" s="1"/>
  <c r="AA303" i="22"/>
  <c r="X303" i="22"/>
  <c r="AA309" i="22"/>
  <c r="AB309" i="22" s="1"/>
  <c r="X309" i="22"/>
  <c r="AA288" i="22"/>
  <c r="AB288" i="22" s="1"/>
  <c r="X288" i="22"/>
  <c r="AA47" i="22" l="1"/>
  <c r="AD47" i="22"/>
  <c r="AB275" i="22"/>
  <c r="AB286" i="22"/>
  <c r="AB292" i="22"/>
  <c r="AB46" i="22"/>
  <c r="AB303" i="22"/>
  <c r="AB280" i="22"/>
  <c r="AE47" i="22" l="1"/>
  <c r="AB47" i="22"/>
  <c r="AG331" i="22" l="1"/>
  <c r="AA331" i="22"/>
  <c r="X331" i="22"/>
  <c r="N331" i="22"/>
  <c r="AG330" i="22"/>
  <c r="AA330" i="22"/>
  <c r="AB330" i="22" s="1"/>
  <c r="X330" i="22"/>
  <c r="N330" i="22"/>
  <c r="AG329" i="22"/>
  <c r="AA329" i="22"/>
  <c r="AB329" i="22" s="1"/>
  <c r="X329" i="22"/>
  <c r="N329" i="22"/>
  <c r="AG328" i="22"/>
  <c r="AA328" i="22"/>
  <c r="AB328" i="22" s="1"/>
  <c r="X328" i="22"/>
  <c r="N328" i="22"/>
  <c r="AG327" i="22"/>
  <c r="AA327" i="22"/>
  <c r="AB327" i="22" s="1"/>
  <c r="X327" i="22"/>
  <c r="N327" i="22"/>
  <c r="AG326" i="22"/>
  <c r="AA326" i="22"/>
  <c r="AB326" i="22" s="1"/>
  <c r="X326" i="22"/>
  <c r="N326" i="22"/>
  <c r="AG325" i="22"/>
  <c r="AA325" i="22"/>
  <c r="AB325" i="22" s="1"/>
  <c r="X325" i="22"/>
  <c r="N325" i="22"/>
  <c r="AG324" i="22"/>
  <c r="AA324" i="22"/>
  <c r="AB324" i="22" s="1"/>
  <c r="X324" i="22"/>
  <c r="N324" i="22"/>
  <c r="AG323" i="22"/>
  <c r="AA323" i="22"/>
  <c r="AB323" i="22" s="1"/>
  <c r="X323" i="22"/>
  <c r="N323" i="22"/>
  <c r="AG322" i="22"/>
  <c r="AA322" i="22"/>
  <c r="AB322" i="22" s="1"/>
  <c r="X322" i="22"/>
  <c r="N322" i="22"/>
  <c r="AG321" i="22"/>
  <c r="AA321" i="22"/>
  <c r="AB321" i="22" s="1"/>
  <c r="X321" i="22"/>
  <c r="N321" i="22"/>
  <c r="AG320" i="22"/>
  <c r="AA320" i="22"/>
  <c r="AB320" i="22" s="1"/>
  <c r="X320" i="22"/>
  <c r="N320" i="22"/>
  <c r="AG319" i="22"/>
  <c r="AA319" i="22"/>
  <c r="AB319" i="22" s="1"/>
  <c r="X319" i="22"/>
  <c r="N319" i="22"/>
  <c r="AG318" i="22"/>
  <c r="AA318" i="22"/>
  <c r="AB318" i="22" s="1"/>
  <c r="X318" i="22"/>
  <c r="N318" i="22"/>
  <c r="AG317" i="22"/>
  <c r="AA317" i="22"/>
  <c r="AB317" i="22" s="1"/>
  <c r="X317" i="22"/>
  <c r="N317" i="22"/>
  <c r="AG316" i="22"/>
  <c r="AA316" i="22"/>
  <c r="AB316" i="22" s="1"/>
  <c r="X316" i="22"/>
  <c r="N316" i="22"/>
  <c r="AG315" i="22"/>
  <c r="AA315" i="22"/>
  <c r="AB315" i="22" s="1"/>
  <c r="X315" i="22"/>
  <c r="N315" i="22"/>
  <c r="AG314" i="22"/>
  <c r="AA314" i="22"/>
  <c r="AB314" i="22" s="1"/>
  <c r="X314" i="22"/>
  <c r="N314" i="22"/>
  <c r="AG313" i="22"/>
  <c r="AA313" i="22"/>
  <c r="X313" i="22"/>
  <c r="N313" i="22"/>
  <c r="AA332" i="22" l="1"/>
  <c r="AB332" i="22" s="1"/>
  <c r="AB331" i="22"/>
  <c r="AD332" i="22"/>
  <c r="AB313" i="22"/>
  <c r="AE332" i="22" l="1"/>
  <c r="K11" i="21" l="1"/>
  <c r="M11" i="21"/>
  <c r="N11" i="21" l="1"/>
  <c r="L11" i="21"/>
  <c r="AG361" i="22" l="1"/>
  <c r="AA361" i="22"/>
  <c r="AB361" i="22" s="1"/>
  <c r="X361" i="22"/>
  <c r="N361" i="22"/>
  <c r="AG360" i="22"/>
  <c r="AA360" i="22"/>
  <c r="AB360" i="22" s="1"/>
  <c r="X360" i="22"/>
  <c r="N360" i="22"/>
  <c r="AG359" i="22"/>
  <c r="AA359" i="22"/>
  <c r="AB359" i="22" s="1"/>
  <c r="X359" i="22"/>
  <c r="N359" i="22"/>
  <c r="AG358" i="22"/>
  <c r="AA358" i="22"/>
  <c r="AB358" i="22" s="1"/>
  <c r="X358" i="22"/>
  <c r="N358" i="22"/>
  <c r="AG357" i="22"/>
  <c r="AA357" i="22"/>
  <c r="AB357" i="22" s="1"/>
  <c r="X357" i="22"/>
  <c r="N357" i="22"/>
  <c r="AG356" i="22"/>
  <c r="Z356" i="22"/>
  <c r="Y356" i="22"/>
  <c r="X356" i="22" s="1"/>
  <c r="N356" i="22"/>
  <c r="AG355" i="22"/>
  <c r="Z355" i="22"/>
  <c r="Y355" i="22"/>
  <c r="N355" i="22"/>
  <c r="AG354" i="22"/>
  <c r="AA354" i="22"/>
  <c r="AB354" i="22" s="1"/>
  <c r="X354" i="22"/>
  <c r="N354" i="22"/>
  <c r="AG353" i="22"/>
  <c r="AA353" i="22"/>
  <c r="AB353" i="22" s="1"/>
  <c r="X353" i="22"/>
  <c r="N353" i="22"/>
  <c r="AG352" i="22"/>
  <c r="Z352" i="22"/>
  <c r="AA352" i="22" s="1"/>
  <c r="AB352" i="22" s="1"/>
  <c r="X352" i="22"/>
  <c r="N352" i="22"/>
  <c r="AG351" i="22"/>
  <c r="AA351" i="22"/>
  <c r="AB351" i="22" s="1"/>
  <c r="X351" i="22"/>
  <c r="N351" i="22"/>
  <c r="AG350" i="22"/>
  <c r="AA350" i="22"/>
  <c r="AB350" i="22" s="1"/>
  <c r="X350" i="22"/>
  <c r="N350" i="22"/>
  <c r="AG349" i="22"/>
  <c r="AA349" i="22"/>
  <c r="AB349" i="22" s="1"/>
  <c r="X349" i="22"/>
  <c r="N349" i="22"/>
  <c r="AG348" i="22"/>
  <c r="AA348" i="22"/>
  <c r="AB348" i="22" s="1"/>
  <c r="X348" i="22"/>
  <c r="N348" i="22"/>
  <c r="AG347" i="22"/>
  <c r="AA347" i="22"/>
  <c r="AB347" i="22" s="1"/>
  <c r="X347" i="22"/>
  <c r="N347" i="22"/>
  <c r="AG346" i="22"/>
  <c r="AA346" i="22"/>
  <c r="AB346" i="22" s="1"/>
  <c r="X346" i="22"/>
  <c r="N346" i="22"/>
  <c r="AG345" i="22"/>
  <c r="AA345" i="22"/>
  <c r="AB345" i="22" s="1"/>
  <c r="X345" i="22"/>
  <c r="N345" i="22"/>
  <c r="AG344" i="22"/>
  <c r="AA344" i="22"/>
  <c r="AB344" i="22" s="1"/>
  <c r="X344" i="22"/>
  <c r="N344" i="22"/>
  <c r="AG343" i="22"/>
  <c r="AA343" i="22"/>
  <c r="AB343" i="22" s="1"/>
  <c r="X343" i="22"/>
  <c r="N343" i="22"/>
  <c r="AG342" i="22"/>
  <c r="AA342" i="22"/>
  <c r="AB342" i="22" s="1"/>
  <c r="X342" i="22"/>
  <c r="N342" i="22"/>
  <c r="AG341" i="22"/>
  <c r="AA341" i="22"/>
  <c r="AB341" i="22" s="1"/>
  <c r="X341" i="22"/>
  <c r="N341" i="22"/>
  <c r="AG340" i="22"/>
  <c r="AA340" i="22"/>
  <c r="AB340" i="22" s="1"/>
  <c r="X340" i="22"/>
  <c r="N340" i="22"/>
  <c r="AG339" i="22"/>
  <c r="AA339" i="22"/>
  <c r="AB339" i="22" s="1"/>
  <c r="X339" i="22"/>
  <c r="N339" i="22"/>
  <c r="AG338" i="22"/>
  <c r="AA338" i="22"/>
  <c r="AB338" i="22" s="1"/>
  <c r="X338" i="22"/>
  <c r="N338" i="22"/>
  <c r="AG337" i="22"/>
  <c r="AA337" i="22"/>
  <c r="AB337" i="22" s="1"/>
  <c r="X337" i="22"/>
  <c r="N337" i="22"/>
  <c r="AG336" i="22"/>
  <c r="AA336" i="22"/>
  <c r="AB336" i="22" s="1"/>
  <c r="X336" i="22"/>
  <c r="N336" i="22"/>
  <c r="AA356" i="22" l="1"/>
  <c r="AB356" i="22" s="1"/>
  <c r="Y362" i="22"/>
  <c r="Z362" i="22"/>
  <c r="AA355" i="22"/>
  <c r="AB355" i="22" s="1"/>
  <c r="X355" i="22"/>
  <c r="AD363" i="22" l="1"/>
  <c r="AD362" i="22"/>
  <c r="AA362" i="22"/>
  <c r="AE362" i="22" l="1"/>
  <c r="AB362" i="22"/>
  <c r="AG187" i="28" l="1"/>
  <c r="AA187" i="28" l="1"/>
  <c r="AB187" i="28" s="1"/>
  <c r="X187" i="28"/>
  <c r="N187" i="28"/>
  <c r="AG193" i="28" l="1"/>
  <c r="AG87" i="28"/>
  <c r="M13" i="21" l="1"/>
  <c r="M14" i="21"/>
  <c r="M15" i="21"/>
  <c r="M12" i="21"/>
  <c r="M16" i="21" l="1"/>
  <c r="AG188" i="28"/>
  <c r="X193" i="28" l="1"/>
  <c r="AA193" i="28"/>
  <c r="AB193" i="28" s="1"/>
  <c r="AA188" i="28"/>
  <c r="AB188" i="28" s="1"/>
  <c r="X188" i="28"/>
  <c r="N188" i="28"/>
  <c r="K12" i="21" l="1"/>
  <c r="K13" i="21"/>
  <c r="K14" i="21"/>
  <c r="C97" i="21"/>
  <c r="B97" i="21"/>
  <c r="D96" i="21"/>
  <c r="E96" i="21" s="1"/>
  <c r="D95" i="21"/>
  <c r="E95" i="21" s="1"/>
  <c r="D94" i="21"/>
  <c r="D93" i="21"/>
  <c r="E93" i="21" s="1"/>
  <c r="D92" i="21"/>
  <c r="E92" i="21" s="1"/>
  <c r="D91" i="21"/>
  <c r="E91" i="21" s="1"/>
  <c r="C88" i="21"/>
  <c r="B88" i="21"/>
  <c r="D87" i="21"/>
  <c r="E87" i="21" s="1"/>
  <c r="D88" i="21" l="1"/>
  <c r="E88" i="21" s="1"/>
  <c r="L14" i="21"/>
  <c r="N14" i="21"/>
  <c r="L13" i="21"/>
  <c r="N13" i="21"/>
  <c r="L12" i="21"/>
  <c r="N12" i="21"/>
  <c r="D97" i="21"/>
  <c r="E97" i="21" s="1"/>
  <c r="E94" i="21"/>
  <c r="AG189" i="28" l="1"/>
  <c r="AA189" i="28" l="1"/>
  <c r="AB189" i="28" s="1"/>
  <c r="X189" i="28"/>
  <c r="N189" i="28"/>
  <c r="AG190" i="28"/>
  <c r="AA190" i="28" l="1"/>
  <c r="AB190" i="28" s="1"/>
  <c r="X190" i="28"/>
  <c r="N190" i="28"/>
  <c r="AG191" i="28" l="1"/>
  <c r="AA191" i="28" l="1"/>
  <c r="AB191" i="28" s="1"/>
  <c r="X191" i="28"/>
  <c r="N191" i="28"/>
  <c r="AG192" i="28" l="1"/>
  <c r="AA192" i="28" l="1"/>
  <c r="AB192" i="28" s="1"/>
  <c r="X192" i="28"/>
  <c r="N192" i="28"/>
  <c r="AG194" i="28" l="1"/>
  <c r="AA194" i="28" l="1"/>
  <c r="AB194" i="28" s="1"/>
  <c r="X194" i="28"/>
  <c r="N194" i="28"/>
  <c r="AG195" i="28" l="1"/>
  <c r="AA195" i="28" l="1"/>
  <c r="AB195" i="28" s="1"/>
  <c r="X195" i="28"/>
  <c r="N195" i="28"/>
  <c r="Y383" i="22" l="1"/>
  <c r="AG382" i="22"/>
  <c r="AA382" i="22"/>
  <c r="AB382" i="22" s="1"/>
  <c r="X382" i="22"/>
  <c r="N382" i="22"/>
  <c r="AG381" i="22"/>
  <c r="AA381" i="22"/>
  <c r="AB381" i="22" s="1"/>
  <c r="X381" i="22"/>
  <c r="N381" i="22"/>
  <c r="AG380" i="22"/>
  <c r="Z380" i="22"/>
  <c r="AA380" i="22" s="1"/>
  <c r="AB380" i="22" s="1"/>
  <c r="X380" i="22"/>
  <c r="N380" i="22"/>
  <c r="AG379" i="22"/>
  <c r="Z379" i="22"/>
  <c r="AA379" i="22" s="1"/>
  <c r="AB379" i="22" s="1"/>
  <c r="X379" i="22"/>
  <c r="N379" i="22"/>
  <c r="AG378" i="22"/>
  <c r="Z378" i="22"/>
  <c r="AA378" i="22" s="1"/>
  <c r="AB378" i="22" s="1"/>
  <c r="X378" i="22"/>
  <c r="N378" i="22"/>
  <c r="AG377" i="22"/>
  <c r="Z377" i="22"/>
  <c r="AA377" i="22" s="1"/>
  <c r="AB377" i="22" s="1"/>
  <c r="X377" i="22"/>
  <c r="N377" i="22"/>
  <c r="AG376" i="22"/>
  <c r="AA376" i="22"/>
  <c r="AB376" i="22" s="1"/>
  <c r="X376" i="22"/>
  <c r="N376" i="22"/>
  <c r="AG375" i="22"/>
  <c r="AA375" i="22"/>
  <c r="AB375" i="22" s="1"/>
  <c r="X375" i="22"/>
  <c r="N375" i="22"/>
  <c r="AG374" i="22"/>
  <c r="AA374" i="22"/>
  <c r="AB374" i="22" s="1"/>
  <c r="X374" i="22"/>
  <c r="N374" i="22"/>
  <c r="AG373" i="22"/>
  <c r="AA373" i="22"/>
  <c r="AB373" i="22" s="1"/>
  <c r="X373" i="22"/>
  <c r="N373" i="22"/>
  <c r="AG372" i="22"/>
  <c r="AA372" i="22"/>
  <c r="AB372" i="22" s="1"/>
  <c r="X372" i="22"/>
  <c r="N372" i="22"/>
  <c r="AG371" i="22"/>
  <c r="AA371" i="22"/>
  <c r="AB371" i="22" s="1"/>
  <c r="X371" i="22"/>
  <c r="N371" i="22"/>
  <c r="AG370" i="22"/>
  <c r="AA370" i="22"/>
  <c r="AB370" i="22" s="1"/>
  <c r="X370" i="22"/>
  <c r="N370" i="22"/>
  <c r="AG369" i="22"/>
  <c r="AA369" i="22"/>
  <c r="AB369" i="22" s="1"/>
  <c r="X369" i="22"/>
  <c r="N369" i="22"/>
  <c r="AG368" i="22"/>
  <c r="AA368" i="22"/>
  <c r="AB368" i="22" s="1"/>
  <c r="X368" i="22"/>
  <c r="N368" i="22"/>
  <c r="AG367" i="22"/>
  <c r="AA367" i="22"/>
  <c r="AB367" i="22" s="1"/>
  <c r="X367" i="22"/>
  <c r="N367" i="22"/>
  <c r="AG366" i="22"/>
  <c r="AA366" i="22"/>
  <c r="AB366" i="22" s="1"/>
  <c r="X366" i="22"/>
  <c r="N366" i="22"/>
  <c r="AA383" i="22" l="1"/>
  <c r="Z383" i="22"/>
  <c r="AD383" i="22" s="1"/>
  <c r="AD384" i="22" l="1"/>
  <c r="AE383" i="22"/>
  <c r="AB383" i="22"/>
  <c r="AG196" i="28" l="1"/>
  <c r="AA196" i="28" l="1"/>
  <c r="AB196" i="28" s="1"/>
  <c r="X196" i="28"/>
  <c r="N196" i="28"/>
  <c r="X201" i="28" l="1"/>
  <c r="N201" i="28"/>
  <c r="Z408" i="22" l="1"/>
  <c r="Y408" i="22"/>
  <c r="AG407" i="22"/>
  <c r="AA407" i="22"/>
  <c r="AB407" i="22" s="1"/>
  <c r="X407" i="22"/>
  <c r="N407" i="22"/>
  <c r="AG406" i="22"/>
  <c r="AA406" i="22"/>
  <c r="AB406" i="22" s="1"/>
  <c r="X406" i="22"/>
  <c r="N406" i="22"/>
  <c r="AG405" i="22"/>
  <c r="AA405" i="22"/>
  <c r="AB405" i="22" s="1"/>
  <c r="X405" i="22"/>
  <c r="N405" i="22"/>
  <c r="AG404" i="22"/>
  <c r="AA404" i="22"/>
  <c r="AB404" i="22" s="1"/>
  <c r="X404" i="22"/>
  <c r="N404" i="22"/>
  <c r="AG403" i="22"/>
  <c r="AA403" i="22"/>
  <c r="AB403" i="22" s="1"/>
  <c r="X403" i="22"/>
  <c r="N403" i="22"/>
  <c r="AG402" i="22"/>
  <c r="AA402" i="22"/>
  <c r="AB402" i="22" s="1"/>
  <c r="X402" i="22"/>
  <c r="N402" i="22"/>
  <c r="AG401" i="22"/>
  <c r="AA401" i="22"/>
  <c r="AB401" i="22" s="1"/>
  <c r="X401" i="22"/>
  <c r="N401" i="22"/>
  <c r="AG400" i="22"/>
  <c r="AA400" i="22"/>
  <c r="AB400" i="22" s="1"/>
  <c r="X400" i="22"/>
  <c r="N400" i="22"/>
  <c r="AG399" i="22"/>
  <c r="AA399" i="22"/>
  <c r="AB399" i="22" s="1"/>
  <c r="X399" i="22"/>
  <c r="N399" i="22"/>
  <c r="AG398" i="22"/>
  <c r="AA398" i="22"/>
  <c r="AB398" i="22" s="1"/>
  <c r="X398" i="22"/>
  <c r="N398" i="22"/>
  <c r="AG397" i="22"/>
  <c r="AA397" i="22"/>
  <c r="AB397" i="22" s="1"/>
  <c r="X397" i="22"/>
  <c r="N397" i="22"/>
  <c r="AG396" i="22"/>
  <c r="AA396" i="22"/>
  <c r="AB396" i="22" s="1"/>
  <c r="X396" i="22"/>
  <c r="N396" i="22"/>
  <c r="AG395" i="22"/>
  <c r="AA395" i="22"/>
  <c r="AB395" i="22" s="1"/>
  <c r="X395" i="22"/>
  <c r="N395" i="22"/>
  <c r="AG394" i="22"/>
  <c r="AA394" i="22"/>
  <c r="AB394" i="22" s="1"/>
  <c r="X394" i="22"/>
  <c r="N394" i="22"/>
  <c r="AG393" i="22"/>
  <c r="AA393" i="22"/>
  <c r="AB393" i="22" s="1"/>
  <c r="X393" i="22"/>
  <c r="N393" i="22"/>
  <c r="AG392" i="22"/>
  <c r="AA392" i="22"/>
  <c r="AB392" i="22" s="1"/>
  <c r="X392" i="22"/>
  <c r="N392" i="22"/>
  <c r="AG391" i="22"/>
  <c r="AA391" i="22"/>
  <c r="AB391" i="22" s="1"/>
  <c r="X391" i="22"/>
  <c r="N391" i="22"/>
  <c r="AG390" i="22"/>
  <c r="AA390" i="22"/>
  <c r="AB390" i="22" s="1"/>
  <c r="X390" i="22"/>
  <c r="N390" i="22"/>
  <c r="AG389" i="22"/>
  <c r="AA389" i="22"/>
  <c r="AB389" i="22" s="1"/>
  <c r="X389" i="22"/>
  <c r="N389" i="22"/>
  <c r="AG388" i="22"/>
  <c r="AA388" i="22"/>
  <c r="AB388" i="22" s="1"/>
  <c r="X388" i="22"/>
  <c r="N388" i="22"/>
  <c r="AG387" i="22"/>
  <c r="AA387" i="22"/>
  <c r="AB387" i="22" s="1"/>
  <c r="X387" i="22"/>
  <c r="N387" i="22"/>
  <c r="AD408" i="22" l="1"/>
  <c r="AA408" i="22"/>
  <c r="AB408" i="22" s="1"/>
  <c r="AE408" i="22" l="1"/>
  <c r="AG197" i="28" l="1"/>
  <c r="AA197" i="28" l="1"/>
  <c r="AB197" i="28" s="1"/>
  <c r="X197" i="28"/>
  <c r="N197" i="28"/>
  <c r="AG198" i="28"/>
  <c r="AA198" i="28" l="1"/>
  <c r="AB198" i="28" s="1"/>
  <c r="X198" i="28"/>
  <c r="N198" i="28"/>
  <c r="AG199" i="28"/>
  <c r="AA199" i="28" l="1"/>
  <c r="AB199" i="28" s="1"/>
  <c r="X199" i="28"/>
  <c r="N199" i="28"/>
  <c r="AG200" i="28" l="1"/>
  <c r="AA200" i="28" l="1"/>
  <c r="AB200" i="28" s="1"/>
  <c r="X200" i="28"/>
  <c r="N200" i="28"/>
  <c r="AG202" i="28"/>
  <c r="AA202" i="28" l="1"/>
  <c r="AB202" i="28" s="1"/>
  <c r="X202" i="28"/>
  <c r="N202" i="28"/>
  <c r="AG201" i="28" l="1"/>
  <c r="AA201" i="28" l="1"/>
  <c r="AB201" i="28" s="1"/>
  <c r="AG203" i="28" l="1"/>
  <c r="AA203" i="28" l="1"/>
  <c r="AB203" i="28" s="1"/>
  <c r="X203" i="28"/>
  <c r="N203" i="28"/>
  <c r="AG205" i="28" l="1"/>
  <c r="AA205" i="28" l="1"/>
  <c r="AB205" i="28" s="1"/>
  <c r="X205" i="28"/>
  <c r="N205" i="28"/>
  <c r="AG204" i="28" l="1"/>
  <c r="AA204" i="28" l="1"/>
  <c r="AB204" i="28" s="1"/>
  <c r="X204" i="28"/>
  <c r="N204" i="28"/>
  <c r="AG206" i="28" l="1"/>
  <c r="AA206" i="28" l="1"/>
  <c r="AB206" i="28" s="1"/>
  <c r="X206" i="28"/>
  <c r="N206" i="28"/>
  <c r="AG207" i="28" l="1"/>
  <c r="AA207" i="28" l="1"/>
  <c r="AB207" i="28" s="1"/>
  <c r="X207" i="28"/>
  <c r="N207" i="28"/>
  <c r="AG208" i="28" l="1"/>
  <c r="AA208" i="28" l="1"/>
  <c r="AB208" i="28" s="1"/>
  <c r="X208" i="28"/>
  <c r="N208" i="28"/>
  <c r="AG209" i="28"/>
  <c r="AA209" i="28" l="1"/>
  <c r="AB209" i="28" s="1"/>
  <c r="X209" i="28"/>
  <c r="N209" i="28"/>
  <c r="AG210" i="28"/>
  <c r="AA210" i="28" l="1"/>
  <c r="AB210" i="28" s="1"/>
  <c r="X210" i="28"/>
  <c r="N210" i="28"/>
  <c r="AG211" i="28"/>
  <c r="AA211" i="28" l="1"/>
  <c r="AB211" i="28" s="1"/>
  <c r="X211" i="28"/>
  <c r="N211" i="28"/>
  <c r="K15" i="21" l="1"/>
  <c r="K16" i="21" s="1"/>
  <c r="L15" i="21" l="1"/>
  <c r="N15" i="21"/>
  <c r="N16" i="21" s="1"/>
  <c r="L16" i="21" l="1"/>
  <c r="Z414" i="22" l="1"/>
  <c r="Y414" i="22"/>
  <c r="AG413" i="22"/>
  <c r="AA413" i="22"/>
  <c r="AB413" i="22" s="1"/>
  <c r="X413" i="22"/>
  <c r="N413" i="22"/>
  <c r="AG412" i="22"/>
  <c r="AA412" i="22"/>
  <c r="AB412" i="22" s="1"/>
  <c r="X412" i="22"/>
  <c r="N412" i="22"/>
  <c r="AG411" i="22"/>
  <c r="AA411" i="22"/>
  <c r="AB411" i="22" s="1"/>
  <c r="X411" i="22"/>
  <c r="N411" i="22"/>
  <c r="AD414" i="22" l="1"/>
  <c r="AA414" i="22"/>
  <c r="AB414" i="22" s="1"/>
  <c r="AE414" i="22" l="1"/>
  <c r="AA222" i="28" l="1"/>
  <c r="AB222" i="28" s="1"/>
  <c r="AG222" i="28"/>
  <c r="AG1839" i="57" l="1"/>
  <c r="AG1813" i="57" l="1"/>
  <c r="Y1813" i="57"/>
  <c r="AA1813" i="57" l="1"/>
  <c r="AB1813" i="57" s="1"/>
  <c r="AG1807" i="57" l="1"/>
  <c r="Y1807" i="57"/>
  <c r="AA1807" i="57" l="1"/>
  <c r="AB1807" i="57" s="1"/>
  <c r="AG1809" i="57"/>
  <c r="Y1809" i="57"/>
  <c r="AA1809" i="57" l="1"/>
  <c r="AB1809" i="57" s="1"/>
  <c r="AG1808" i="57" l="1"/>
  <c r="Y1808" i="57"/>
  <c r="AA1808" i="57" l="1"/>
  <c r="AB1808" i="57" s="1"/>
  <c r="AG1827" i="57" l="1"/>
  <c r="AG212" i="28" l="1"/>
  <c r="AA212" i="28" l="1"/>
  <c r="AB212" i="28" s="1"/>
  <c r="X212" i="28"/>
  <c r="N212" i="28"/>
  <c r="AG213" i="28" l="1"/>
  <c r="AA213" i="28" l="1"/>
  <c r="AB213" i="28" s="1"/>
  <c r="X213" i="28"/>
  <c r="N213" i="28"/>
  <c r="AG214" i="28" l="1"/>
  <c r="AA214" i="28" l="1"/>
  <c r="AB214" i="28" s="1"/>
  <c r="X214" i="28"/>
  <c r="N214" i="28"/>
  <c r="AG215" i="28" l="1"/>
  <c r="AA215" i="28" l="1"/>
  <c r="AB215" i="28" s="1"/>
  <c r="X215" i="28"/>
  <c r="N215" i="28"/>
  <c r="AG218" i="28" l="1"/>
  <c r="AA218" i="28" l="1"/>
  <c r="AB218" i="28" s="1"/>
  <c r="X218" i="28"/>
  <c r="N218" i="28"/>
  <c r="AG217" i="28" l="1"/>
  <c r="AA217" i="28" l="1"/>
  <c r="AB217" i="28" s="1"/>
  <c r="X217" i="28"/>
  <c r="N217" i="28"/>
  <c r="AG216" i="28"/>
  <c r="AA216" i="28" l="1"/>
  <c r="AB216" i="28" s="1"/>
  <c r="X216" i="28"/>
  <c r="N216" i="28"/>
  <c r="AG223" i="28" l="1"/>
  <c r="AA223" i="28" l="1"/>
  <c r="AB223" i="28" s="1"/>
  <c r="X223" i="28"/>
  <c r="N223" i="28"/>
  <c r="X222" i="28" l="1"/>
  <c r="N222" i="28"/>
  <c r="AG219" i="28" l="1"/>
  <c r="AA219" i="28" l="1"/>
  <c r="AB219" i="28" s="1"/>
  <c r="X219" i="28"/>
  <c r="N219" i="28"/>
  <c r="AG227" i="28" l="1"/>
  <c r="AA227" i="28" l="1"/>
  <c r="AB227" i="28" s="1"/>
  <c r="X227" i="28"/>
  <c r="N227" i="28"/>
  <c r="AG221" i="28" l="1"/>
  <c r="AA221" i="28" l="1"/>
  <c r="AB221" i="28" s="1"/>
  <c r="X221" i="28"/>
  <c r="N221" i="28"/>
  <c r="AG220" i="28"/>
  <c r="AA220" i="28" l="1"/>
  <c r="AB220" i="28" s="1"/>
  <c r="X220" i="28"/>
  <c r="N220" i="28"/>
  <c r="AG224" i="28" l="1"/>
  <c r="AA224" i="28" l="1"/>
  <c r="AB224" i="28" s="1"/>
  <c r="X224" i="28"/>
  <c r="N224" i="28"/>
  <c r="AG225" i="28"/>
  <c r="AA225" i="28" l="1"/>
  <c r="AB225" i="28" s="1"/>
  <c r="X225" i="28"/>
  <c r="N225" i="28"/>
  <c r="AG226" i="28"/>
  <c r="AA226" i="28" l="1"/>
  <c r="AB226" i="28" s="1"/>
  <c r="X226" i="28"/>
  <c r="N226" i="28"/>
  <c r="AG228" i="28"/>
  <c r="AA228" i="28" l="1"/>
  <c r="AB228" i="28" s="1"/>
  <c r="X228" i="28"/>
  <c r="N228" i="28"/>
  <c r="AG229" i="28"/>
  <c r="AA229" i="28" l="1"/>
  <c r="AB229" i="28" s="1"/>
  <c r="X229" i="28"/>
  <c r="N229" i="28"/>
  <c r="AG230" i="28"/>
  <c r="AA230" i="28" l="1"/>
  <c r="AB230" i="28" s="1"/>
  <c r="X230" i="28"/>
  <c r="N230" i="28"/>
  <c r="AG232" i="28" l="1"/>
  <c r="AA232" i="28" l="1"/>
  <c r="AB232" i="28" s="1"/>
  <c r="X232" i="28"/>
  <c r="N232" i="28"/>
  <c r="AG231" i="28" l="1"/>
  <c r="AA231" i="28" l="1"/>
  <c r="AB231" i="28" s="1"/>
  <c r="X231" i="28"/>
  <c r="N231" i="28"/>
  <c r="AG234" i="28" l="1"/>
  <c r="AA234" i="28" l="1"/>
  <c r="AB234" i="28" s="1"/>
  <c r="X234" i="28"/>
  <c r="N234" i="28"/>
  <c r="AG233" i="28" l="1"/>
  <c r="AA233" i="28" l="1"/>
  <c r="AB233" i="28" s="1"/>
  <c r="X233" i="28"/>
  <c r="N233" i="28"/>
  <c r="X248" i="28"/>
  <c r="N248" i="28"/>
  <c r="AG238" i="28" l="1"/>
  <c r="AA238" i="28" l="1"/>
  <c r="AB238" i="28" s="1"/>
  <c r="X238" i="28"/>
  <c r="N238" i="28"/>
  <c r="AG236" i="28" l="1"/>
  <c r="AA236" i="28" l="1"/>
  <c r="AB236" i="28" s="1"/>
  <c r="X236" i="28"/>
  <c r="N236" i="28"/>
  <c r="AG235" i="28" l="1"/>
  <c r="AA235" i="28" l="1"/>
  <c r="AB235" i="28" s="1"/>
  <c r="X235" i="28"/>
  <c r="N235" i="28"/>
  <c r="AG240" i="28" l="1"/>
  <c r="AA240" i="28" l="1"/>
  <c r="AB240" i="28" s="1"/>
  <c r="X240" i="28"/>
  <c r="N240" i="28"/>
  <c r="AG237" i="28" l="1"/>
  <c r="AA237" i="28" l="1"/>
  <c r="AB237" i="28" s="1"/>
  <c r="X237" i="28"/>
  <c r="N237" i="28"/>
  <c r="AG239" i="28" l="1"/>
  <c r="AA239" i="28" l="1"/>
  <c r="AB239" i="28" s="1"/>
  <c r="X239" i="28"/>
  <c r="N239" i="28"/>
  <c r="AG241" i="28" l="1"/>
  <c r="AA241" i="28" l="1"/>
  <c r="AB241" i="28" s="1"/>
  <c r="X241" i="28"/>
  <c r="N241" i="28"/>
  <c r="AG242" i="28" l="1"/>
  <c r="AA242" i="28" l="1"/>
  <c r="AB242" i="28" s="1"/>
  <c r="X242" i="28"/>
  <c r="N242" i="28"/>
  <c r="AG243" i="28"/>
  <c r="AA243" i="28" l="1"/>
  <c r="AB243" i="28" s="1"/>
  <c r="X243" i="28"/>
  <c r="N243" i="28"/>
  <c r="AG244" i="28" l="1"/>
  <c r="AA244" i="28" l="1"/>
  <c r="AB244" i="28" s="1"/>
  <c r="X244" i="28"/>
  <c r="N244" i="28"/>
  <c r="AG245" i="28" l="1"/>
  <c r="AA245" i="28" l="1"/>
  <c r="AB245" i="28" s="1"/>
  <c r="X245" i="28"/>
  <c r="N245" i="28"/>
  <c r="AG246" i="28" l="1"/>
  <c r="AA246" i="28" l="1"/>
  <c r="AB246" i="28" s="1"/>
  <c r="X246" i="28"/>
  <c r="N246" i="28"/>
  <c r="AG247" i="28"/>
  <c r="AA247" i="28" l="1"/>
  <c r="AB247" i="28" s="1"/>
  <c r="X247" i="28"/>
  <c r="N247" i="28"/>
  <c r="AG248" i="28"/>
  <c r="AA248" i="28" l="1"/>
  <c r="AB248" i="28" s="1"/>
  <c r="AG249" i="28"/>
  <c r="AA249" i="28" l="1"/>
  <c r="AB249" i="28" s="1"/>
  <c r="X249" i="28"/>
  <c r="N249" i="28"/>
  <c r="AA255" i="28" l="1"/>
  <c r="AB255" i="28" s="1"/>
  <c r="AG255" i="28"/>
  <c r="AG250" i="28" l="1"/>
  <c r="AA250" i="28" l="1"/>
  <c r="AB250" i="28" s="1"/>
  <c r="X250" i="28"/>
  <c r="N250" i="28"/>
  <c r="AG251" i="28" l="1"/>
  <c r="AA251" i="28" l="1"/>
  <c r="AB251" i="28" s="1"/>
  <c r="X251" i="28"/>
  <c r="N251" i="28"/>
  <c r="AG252" i="28" l="1"/>
  <c r="AA252" i="28" l="1"/>
  <c r="AB252" i="28" s="1"/>
  <c r="X252" i="28"/>
  <c r="N252" i="28"/>
  <c r="AG253" i="28" l="1"/>
  <c r="AA253" i="28" l="1"/>
  <c r="AB253" i="28" s="1"/>
  <c r="X253" i="28"/>
  <c r="N253" i="28"/>
  <c r="X263" i="28" l="1"/>
  <c r="N263" i="28"/>
  <c r="AG254" i="28"/>
  <c r="AA254" i="28" l="1"/>
  <c r="AB254" i="28" s="1"/>
  <c r="X254" i="28"/>
  <c r="N254" i="28"/>
  <c r="X255" i="28" l="1"/>
  <c r="N255" i="28"/>
  <c r="AG256" i="28" l="1"/>
  <c r="AA256" i="28" l="1"/>
  <c r="AB256" i="28" s="1"/>
  <c r="X256" i="28"/>
  <c r="N256" i="28"/>
  <c r="AG257" i="28" l="1"/>
  <c r="AA257" i="28" l="1"/>
  <c r="AB257" i="28" s="1"/>
  <c r="X257" i="28"/>
  <c r="N257" i="28"/>
  <c r="AG258" i="28"/>
  <c r="AA258" i="28" l="1"/>
  <c r="AB258" i="28" s="1"/>
  <c r="X258" i="28"/>
  <c r="N258" i="28"/>
  <c r="AG259" i="28" l="1"/>
  <c r="AA259" i="28" l="1"/>
  <c r="AB259" i="28" s="1"/>
  <c r="X259" i="28"/>
  <c r="N259" i="28"/>
  <c r="AG260" i="28" l="1"/>
  <c r="AA260" i="28" l="1"/>
  <c r="AB260" i="28" s="1"/>
  <c r="X260" i="28"/>
  <c r="N260" i="28"/>
  <c r="AG262" i="28"/>
  <c r="AA262" i="28" l="1"/>
  <c r="AB262" i="28" s="1"/>
  <c r="X262" i="28"/>
  <c r="N262" i="28"/>
  <c r="AG261" i="28" l="1"/>
  <c r="AA261" i="28" l="1"/>
  <c r="AB261" i="28" s="1"/>
  <c r="X261" i="28"/>
  <c r="N261" i="28"/>
  <c r="AG263" i="28" l="1"/>
  <c r="AA263" i="28" l="1"/>
  <c r="AB263" i="28" s="1"/>
  <c r="AG264" i="28" l="1"/>
  <c r="AA264" i="28" l="1"/>
  <c r="AB264" i="28" s="1"/>
  <c r="X264" i="28"/>
  <c r="N264" i="28"/>
  <c r="AG265" i="28" l="1"/>
  <c r="AA265" i="28" l="1"/>
  <c r="AB265" i="28" s="1"/>
  <c r="X265" i="28"/>
  <c r="N265" i="28"/>
  <c r="AG266" i="28" l="1"/>
  <c r="AA266" i="28" l="1"/>
  <c r="AB266" i="28" s="1"/>
  <c r="X266" i="28"/>
  <c r="N266" i="28"/>
  <c r="AG267" i="28" l="1"/>
  <c r="AA267" i="28" l="1"/>
  <c r="AB267" i="28" s="1"/>
  <c r="X267" i="28"/>
  <c r="N267" i="28"/>
  <c r="AG268" i="28" l="1"/>
  <c r="AA268" i="28" l="1"/>
  <c r="AB268" i="28" s="1"/>
  <c r="X268" i="28"/>
  <c r="N268" i="28"/>
  <c r="AG271" i="28" l="1"/>
  <c r="AA271" i="28" l="1"/>
  <c r="AB271" i="28" s="1"/>
  <c r="X271" i="28"/>
  <c r="N271" i="28"/>
  <c r="AG272" i="28" l="1"/>
  <c r="AA272" i="28" l="1"/>
  <c r="AB272" i="28" s="1"/>
  <c r="X272" i="28"/>
  <c r="N272" i="28"/>
  <c r="AG269" i="28"/>
  <c r="N269" i="28"/>
  <c r="AG270" i="28"/>
  <c r="N270" i="28"/>
  <c r="X269" i="28" l="1"/>
  <c r="AA269" i="28"/>
  <c r="AB269" i="28" s="1"/>
  <c r="X270" i="28"/>
  <c r="AA270" i="28"/>
  <c r="AB270" i="28" s="1"/>
  <c r="AG276" i="28" l="1"/>
  <c r="AA276" i="28" l="1"/>
  <c r="AB276" i="28" s="1"/>
  <c r="X276" i="28"/>
  <c r="N276" i="28"/>
  <c r="AG273" i="28" l="1"/>
  <c r="X273" i="28" l="1"/>
  <c r="AA273" i="28"/>
  <c r="AB273" i="28" s="1"/>
  <c r="N273" i="28"/>
  <c r="AG274" i="28"/>
  <c r="AA274" i="28" l="1"/>
  <c r="AB274" i="28" s="1"/>
  <c r="X274" i="28"/>
  <c r="N274" i="28"/>
  <c r="AG275" i="28" l="1"/>
  <c r="AA275" i="28" l="1"/>
  <c r="AB275" i="28" s="1"/>
  <c r="X275" i="28"/>
  <c r="N275" i="28"/>
  <c r="AG281" i="28" l="1"/>
  <c r="AA281" i="28"/>
  <c r="AB281" i="28" s="1"/>
  <c r="X281" i="28"/>
  <c r="N281" i="28"/>
  <c r="AG280" i="28"/>
  <c r="AA280" i="28"/>
  <c r="AB280" i="28" s="1"/>
  <c r="X280" i="28"/>
  <c r="N280" i="28"/>
  <c r="AG279" i="28"/>
  <c r="AA279" i="28"/>
  <c r="AB279" i="28" s="1"/>
  <c r="X279" i="28"/>
  <c r="N279" i="28"/>
  <c r="AG277" i="28" l="1"/>
  <c r="AA277" i="28" l="1"/>
  <c r="AB277" i="28" s="1"/>
  <c r="X277" i="28"/>
  <c r="N277" i="28"/>
  <c r="AG278" i="28" l="1"/>
  <c r="AA278" i="28" l="1"/>
  <c r="AB278" i="28" s="1"/>
  <c r="X278" i="28"/>
  <c r="N278" i="28"/>
  <c r="N283" i="28" l="1"/>
  <c r="N285" i="28"/>
  <c r="N284" i="28"/>
  <c r="N282" i="28"/>
  <c r="AG282" i="28" l="1"/>
  <c r="AA282" i="28" l="1"/>
  <c r="AB282" i="28" s="1"/>
  <c r="X282" i="28"/>
  <c r="AG283" i="28" l="1"/>
  <c r="AA283" i="28" l="1"/>
  <c r="AB283" i="28" s="1"/>
  <c r="X283" i="28"/>
  <c r="AG285" i="28"/>
  <c r="AA285" i="28" l="1"/>
  <c r="AB285" i="28" s="1"/>
  <c r="X285" i="28"/>
  <c r="AG284" i="28" l="1"/>
  <c r="X284" i="28" l="1"/>
  <c r="AA284" i="28"/>
  <c r="AB284" i="28" s="1"/>
  <c r="AG286" i="28" l="1"/>
  <c r="AA286" i="28" l="1"/>
  <c r="AB286" i="28" s="1"/>
  <c r="X286" i="28"/>
  <c r="N286" i="28"/>
  <c r="AG287" i="28" l="1"/>
  <c r="AA287" i="28" l="1"/>
  <c r="AB287" i="28" s="1"/>
  <c r="X287" i="28"/>
  <c r="N287" i="28"/>
  <c r="AG289" i="28" l="1"/>
  <c r="AA289" i="28" l="1"/>
  <c r="AB289" i="28" s="1"/>
  <c r="X289" i="28"/>
  <c r="N289" i="28"/>
  <c r="AG288" i="28" l="1"/>
  <c r="AA288" i="28" l="1"/>
  <c r="AB288" i="28" s="1"/>
  <c r="X288" i="28"/>
  <c r="N288" i="28"/>
  <c r="AG290" i="28" l="1"/>
  <c r="N290" i="28"/>
  <c r="AG291" i="28"/>
  <c r="N291" i="28"/>
  <c r="AG292" i="28"/>
  <c r="N292" i="28"/>
  <c r="X290" i="28" l="1"/>
  <c r="AA290" i="28"/>
  <c r="AB290" i="28" s="1"/>
  <c r="X291" i="28"/>
  <c r="AA291" i="28"/>
  <c r="AB291" i="28" s="1"/>
  <c r="X292" i="28"/>
  <c r="AA292" i="28"/>
  <c r="AB292" i="28" s="1"/>
  <c r="AG293" i="28" l="1"/>
  <c r="AA293" i="28" l="1"/>
  <c r="AB293" i="28" s="1"/>
  <c r="X293" i="28"/>
  <c r="N293" i="28"/>
  <c r="AG294" i="28" l="1"/>
  <c r="AA294" i="28" l="1"/>
  <c r="AB294" i="28" s="1"/>
  <c r="X294" i="28"/>
  <c r="N294" i="28"/>
  <c r="AG295" i="28" l="1"/>
  <c r="AA295" i="28" l="1"/>
  <c r="AB295" i="28" s="1"/>
  <c r="X295" i="28"/>
  <c r="N295" i="28"/>
  <c r="X298" i="28" l="1"/>
  <c r="AA296" i="28"/>
  <c r="AB296" i="28" s="1"/>
  <c r="X296" i="28"/>
  <c r="AG296" i="28"/>
  <c r="N296" i="28" l="1"/>
  <c r="AG297" i="28"/>
  <c r="AA297" i="28" l="1"/>
  <c r="AB297" i="28" s="1"/>
  <c r="X297" i="28"/>
  <c r="N297" i="28"/>
  <c r="AG298" i="28"/>
  <c r="AA298" i="28" l="1"/>
  <c r="AB298" i="28" s="1"/>
  <c r="N298" i="28"/>
  <c r="AG299" i="28"/>
  <c r="AA299" i="28" l="1"/>
  <c r="AB299" i="28" s="1"/>
  <c r="X299" i="28"/>
  <c r="N299" i="28"/>
  <c r="AG300" i="28" l="1"/>
  <c r="AA300" i="28" l="1"/>
  <c r="AB300" i="28" s="1"/>
  <c r="X300" i="28"/>
  <c r="N300" i="28"/>
  <c r="AG301" i="28"/>
  <c r="AA301" i="28" l="1"/>
  <c r="AB301" i="28" s="1"/>
  <c r="X301" i="28"/>
  <c r="N301" i="28"/>
  <c r="AG302" i="28" l="1"/>
  <c r="AA302" i="28" l="1"/>
  <c r="AB302" i="28" s="1"/>
  <c r="X302" i="28"/>
  <c r="N302" i="28"/>
  <c r="Z428" i="22" l="1"/>
  <c r="Y428" i="22"/>
  <c r="AA428" i="22" l="1"/>
  <c r="AB428" i="22" s="1"/>
  <c r="AG418" i="22" l="1"/>
  <c r="AA418" i="22" l="1"/>
  <c r="AB418" i="22" s="1"/>
  <c r="X418" i="22"/>
  <c r="N418" i="22"/>
  <c r="AG417" i="22" l="1"/>
  <c r="AA417" i="22" l="1"/>
  <c r="AB417" i="22" s="1"/>
  <c r="X417" i="22"/>
  <c r="N417" i="22"/>
  <c r="AG427" i="22"/>
  <c r="AA427" i="22" l="1"/>
  <c r="AB427" i="22" s="1"/>
  <c r="X427" i="22"/>
  <c r="N427" i="22"/>
  <c r="AG303" i="28" l="1"/>
  <c r="AA303" i="28" l="1"/>
  <c r="AB303" i="28" s="1"/>
  <c r="X303" i="28"/>
  <c r="N303" i="28"/>
  <c r="AA578" i="22" l="1"/>
  <c r="X578" i="22"/>
  <c r="N578" i="22"/>
  <c r="AG577" i="22"/>
  <c r="AA577" i="22" l="1"/>
  <c r="AB577" i="22" s="1"/>
  <c r="X577" i="22" l="1"/>
  <c r="N577" i="22"/>
  <c r="AG576" i="22" l="1"/>
  <c r="AA576" i="22"/>
  <c r="AB576" i="22" l="1"/>
  <c r="X576" i="22"/>
  <c r="N576" i="22"/>
  <c r="AG575" i="22"/>
  <c r="AA575" i="22"/>
  <c r="X575" i="22"/>
  <c r="N575" i="22"/>
  <c r="AG574" i="22"/>
  <c r="AB575" i="22" l="1"/>
  <c r="AA574" i="22"/>
  <c r="AB574" i="22" s="1"/>
  <c r="X574" i="22" l="1"/>
  <c r="N574" i="22"/>
  <c r="AG573" i="22"/>
  <c r="AA573" i="22" l="1"/>
  <c r="AB573" i="22" s="1"/>
  <c r="X573" i="22"/>
  <c r="N573" i="22"/>
  <c r="AG572" i="22"/>
  <c r="AA572" i="22" l="1"/>
  <c r="AA579" i="22" s="1"/>
  <c r="AB578" i="22" s="1"/>
  <c r="X572" i="22"/>
  <c r="AB572" i="22" l="1"/>
  <c r="N572" i="22"/>
  <c r="Y570" i="22" l="1"/>
  <c r="AG569" i="22"/>
  <c r="Z569" i="22" l="1"/>
  <c r="AA569" i="22" s="1"/>
  <c r="AB569" i="22" s="1"/>
  <c r="X569" i="22"/>
  <c r="N569" i="22"/>
  <c r="AG568" i="22"/>
  <c r="Z568" i="22" l="1"/>
  <c r="AA568" i="22" s="1"/>
  <c r="AB568" i="22" s="1"/>
  <c r="X568" i="22"/>
  <c r="N568" i="22"/>
  <c r="AG567" i="22"/>
  <c r="Z567" i="22"/>
  <c r="AA567" i="22" s="1"/>
  <c r="AB567" i="22" s="1"/>
  <c r="X567" i="22"/>
  <c r="N567" i="22"/>
  <c r="AG566" i="22"/>
  <c r="Z566" i="22"/>
  <c r="AA566" i="22" s="1"/>
  <c r="X566" i="22"/>
  <c r="N566" i="22"/>
  <c r="AG565" i="22"/>
  <c r="AB566" i="22" l="1"/>
  <c r="Z565" i="22"/>
  <c r="AA565" i="22" s="1"/>
  <c r="AB565" i="22" s="1"/>
  <c r="X565" i="22"/>
  <c r="N565" i="22"/>
  <c r="AG564" i="22"/>
  <c r="Z564" i="22"/>
  <c r="AA564" i="22" s="1"/>
  <c r="AB564" i="22" s="1"/>
  <c r="X564" i="22"/>
  <c r="N564" i="22"/>
  <c r="AG563" i="22"/>
  <c r="AA563" i="22"/>
  <c r="X563" i="22"/>
  <c r="N563" i="22"/>
  <c r="Y561" i="22"/>
  <c r="AG560" i="22"/>
  <c r="Z560" i="22"/>
  <c r="AA560" i="22" s="1"/>
  <c r="AB560" i="22" s="1"/>
  <c r="X560" i="22"/>
  <c r="N560" i="22"/>
  <c r="AG559" i="22"/>
  <c r="AB563" i="22" l="1"/>
  <c r="AA570" i="22"/>
  <c r="Z559" i="22"/>
  <c r="AA559" i="22" s="1"/>
  <c r="AB559" i="22" s="1"/>
  <c r="X559" i="22"/>
  <c r="N559" i="22"/>
  <c r="AG558" i="22"/>
  <c r="Z570" i="22" l="1"/>
  <c r="AB570" i="22" s="1"/>
  <c r="Z558" i="22"/>
  <c r="AA558" i="22" s="1"/>
  <c r="AB558" i="22" s="1"/>
  <c r="X558" i="22"/>
  <c r="N558" i="22"/>
  <c r="Z556" i="22" l="1"/>
  <c r="Y556" i="22"/>
  <c r="AG555" i="22"/>
  <c r="AA555" i="22" l="1"/>
  <c r="AB555" i="22" s="1"/>
  <c r="X555" i="22"/>
  <c r="N555" i="22"/>
  <c r="AG554" i="22"/>
  <c r="AA554" i="22" l="1"/>
  <c r="X554" i="22"/>
  <c r="N554" i="22"/>
  <c r="Y552" i="22"/>
  <c r="AG551" i="22"/>
  <c r="AA551" i="22"/>
  <c r="X551" i="22"/>
  <c r="N551" i="22"/>
  <c r="AG550" i="22"/>
  <c r="AA550" i="22"/>
  <c r="AB550" i="22" s="1"/>
  <c r="X550" i="22"/>
  <c r="N550" i="22"/>
  <c r="AG549" i="22"/>
  <c r="AA556" i="22" l="1"/>
  <c r="AB556" i="22" s="1"/>
  <c r="AB554" i="22"/>
  <c r="AB551" i="22"/>
  <c r="AA549" i="22"/>
  <c r="AB549" i="22" s="1"/>
  <c r="X549" i="22"/>
  <c r="N549" i="22"/>
  <c r="AG548" i="22" l="1"/>
  <c r="AA548" i="22" l="1"/>
  <c r="AB548" i="22" s="1"/>
  <c r="X548" i="22"/>
  <c r="N548" i="22"/>
  <c r="AG547" i="22"/>
  <c r="AA547" i="22" l="1"/>
  <c r="AB547" i="22" s="1"/>
  <c r="X547" i="22"/>
  <c r="N547" i="22"/>
  <c r="AG546" i="22" l="1"/>
  <c r="AA546" i="22" l="1"/>
  <c r="AB546" i="22" s="1"/>
  <c r="X546" i="22"/>
  <c r="N546" i="22"/>
  <c r="AG545" i="22"/>
  <c r="Z545" i="22" l="1"/>
  <c r="AA545" i="22" s="1"/>
  <c r="AB545" i="22" s="1"/>
  <c r="X545" i="22"/>
  <c r="N545" i="22"/>
  <c r="AG544" i="22" l="1"/>
  <c r="Z544" i="22" l="1"/>
  <c r="X544" i="22"/>
  <c r="N544" i="22"/>
  <c r="AG543" i="22" l="1"/>
  <c r="Z543" i="22" l="1"/>
  <c r="AA543" i="22" s="1"/>
  <c r="AB543" i="22" s="1"/>
  <c r="X543" i="22"/>
  <c r="N543" i="22"/>
  <c r="AG542" i="22" l="1"/>
  <c r="Z542" i="22" l="1"/>
  <c r="AA542" i="22" s="1"/>
  <c r="AB542" i="22" s="1"/>
  <c r="X542" i="22"/>
  <c r="N542" i="22"/>
  <c r="Z540" i="22" l="1"/>
  <c r="Y540" i="22"/>
  <c r="AG539" i="22"/>
  <c r="AA539" i="22" l="1"/>
  <c r="AB539" i="22" s="1"/>
  <c r="X539" i="22"/>
  <c r="N539" i="22"/>
  <c r="AG538" i="22"/>
  <c r="AA538" i="22" l="1"/>
  <c r="AB538" i="22" s="1"/>
  <c r="X538" i="22"/>
  <c r="N538" i="22"/>
  <c r="AG537" i="22"/>
  <c r="AA537" i="22" l="1"/>
  <c r="AB537" i="22" s="1"/>
  <c r="X537" i="22"/>
  <c r="N537" i="22"/>
  <c r="AG536" i="22"/>
  <c r="AA536" i="22" l="1"/>
  <c r="AB536" i="22" s="1"/>
  <c r="X536" i="22"/>
  <c r="N536" i="22"/>
  <c r="AG535" i="22"/>
  <c r="AA535" i="22" l="1"/>
  <c r="AB535" i="22" s="1"/>
  <c r="X535" i="22"/>
  <c r="N535" i="22"/>
  <c r="AG534" i="22"/>
  <c r="AA534" i="22"/>
  <c r="AB534" i="22" s="1"/>
  <c r="X534" i="22"/>
  <c r="N534" i="22"/>
  <c r="AG533" i="22"/>
  <c r="AA533" i="22" l="1"/>
  <c r="AB533" i="22" s="1"/>
  <c r="X533" i="22"/>
  <c r="N533" i="22"/>
  <c r="AG532" i="22"/>
  <c r="AA532" i="22" l="1"/>
  <c r="AB532" i="22" s="1"/>
  <c r="X532" i="22"/>
  <c r="N532" i="22"/>
  <c r="AG531" i="22"/>
  <c r="AA531" i="22" l="1"/>
  <c r="AB531" i="22" s="1"/>
  <c r="X531" i="22"/>
  <c r="N531" i="22"/>
  <c r="AG530" i="22"/>
  <c r="AA530" i="22" l="1"/>
  <c r="AB530" i="22" s="1"/>
  <c r="X530" i="22"/>
  <c r="N530" i="22"/>
  <c r="Z528" i="22" l="1"/>
  <c r="Y528" i="22"/>
  <c r="AG527" i="22"/>
  <c r="AA528" i="22" l="1"/>
  <c r="AB528" i="22" s="1"/>
  <c r="AA527" i="22"/>
  <c r="AB527" i="22" s="1"/>
  <c r="X527" i="22"/>
  <c r="N527" i="22"/>
  <c r="AG526" i="22"/>
  <c r="AA526" i="22" l="1"/>
  <c r="AB526" i="22" s="1"/>
  <c r="X526" i="22"/>
  <c r="N526" i="22"/>
  <c r="AG525" i="22"/>
  <c r="AA525" i="22" l="1"/>
  <c r="AB525" i="22" s="1"/>
  <c r="X525" i="22"/>
  <c r="N525" i="22"/>
  <c r="AG524" i="22"/>
  <c r="AA524" i="22" l="1"/>
  <c r="AB524" i="22" s="1"/>
  <c r="X524" i="22"/>
  <c r="N524" i="22"/>
  <c r="AG523" i="22" l="1"/>
  <c r="AA523" i="22" l="1"/>
  <c r="AB523" i="22" s="1"/>
  <c r="X523" i="22"/>
  <c r="N523" i="22"/>
  <c r="AG522" i="22" l="1"/>
  <c r="AA522" i="22" l="1"/>
  <c r="AB522" i="22" s="1"/>
  <c r="X522" i="22"/>
  <c r="N522" i="22"/>
  <c r="Y520" i="22" l="1"/>
  <c r="AG519" i="22"/>
  <c r="AA519" i="22" l="1"/>
  <c r="AB519" i="22" s="1"/>
  <c r="X519" i="22"/>
  <c r="N519" i="22"/>
  <c r="AG518" i="22"/>
  <c r="Z518" i="22" l="1"/>
  <c r="AA518" i="22" s="1"/>
  <c r="AB518" i="22" s="1"/>
  <c r="X518" i="22"/>
  <c r="N518" i="22"/>
  <c r="AG517" i="22"/>
  <c r="AA517" i="22" l="1"/>
  <c r="AB517" i="22" s="1"/>
  <c r="X517" i="22"/>
  <c r="N517" i="22"/>
  <c r="AG516" i="22"/>
  <c r="AA516" i="22" l="1"/>
  <c r="AB516" i="22" s="1"/>
  <c r="X516" i="22"/>
  <c r="N516" i="22"/>
  <c r="AG515" i="22"/>
  <c r="AA515" i="22" l="1"/>
  <c r="AB515" i="22" s="1"/>
  <c r="X515" i="22"/>
  <c r="N515" i="22"/>
  <c r="AG514" i="22"/>
  <c r="Z514" i="22" l="1"/>
  <c r="AA514" i="22" s="1"/>
  <c r="AB514" i="22" s="1"/>
  <c r="X514" i="22"/>
  <c r="N514" i="22"/>
  <c r="Z512" i="22" l="1"/>
  <c r="Y512" i="22"/>
  <c r="AG511" i="22"/>
  <c r="AA511" i="22" l="1"/>
  <c r="AB511" i="22" s="1"/>
  <c r="X511" i="22"/>
  <c r="N511" i="22"/>
  <c r="AG510" i="22"/>
  <c r="AA510" i="22" l="1"/>
  <c r="AB510" i="22" s="1"/>
  <c r="X510" i="22"/>
  <c r="N510" i="22"/>
  <c r="AG509" i="22" l="1"/>
  <c r="AA509" i="22" l="1"/>
  <c r="AB509" i="22" s="1"/>
  <c r="X509" i="22"/>
  <c r="N509" i="22"/>
  <c r="Z507" i="22"/>
  <c r="Y507" i="22" l="1"/>
  <c r="AA507" i="22" s="1"/>
  <c r="AB507" i="22" s="1"/>
  <c r="AG506" i="22"/>
  <c r="AA506" i="22" l="1"/>
  <c r="AB506" i="22" s="1"/>
  <c r="X506" i="22"/>
  <c r="N506" i="22"/>
  <c r="AG505" i="22" l="1"/>
  <c r="AA505" i="22" l="1"/>
  <c r="AB505" i="22" s="1"/>
  <c r="X505" i="22"/>
  <c r="N505" i="22"/>
  <c r="AG504" i="22"/>
  <c r="AA504" i="22" l="1"/>
  <c r="AB504" i="22" s="1"/>
  <c r="X504" i="22"/>
  <c r="N504" i="22"/>
  <c r="AG503" i="22"/>
  <c r="AA503" i="22" l="1"/>
  <c r="AB503" i="22" s="1"/>
  <c r="X503" i="22"/>
  <c r="N503" i="22"/>
  <c r="AG502" i="22" l="1"/>
  <c r="AA502" i="22" l="1"/>
  <c r="AB502" i="22" s="1"/>
  <c r="X502" i="22"/>
  <c r="N502" i="22"/>
  <c r="Z500" i="22" l="1"/>
  <c r="Y500" i="22"/>
  <c r="AG499" i="22"/>
  <c r="AA500" i="22" l="1"/>
  <c r="AB500" i="22" s="1"/>
  <c r="AA499" i="22"/>
  <c r="AB499" i="22" s="1"/>
  <c r="AG498" i="22"/>
  <c r="AA498" i="22"/>
  <c r="AB498" i="22" s="1"/>
  <c r="AG497" i="22"/>
  <c r="AA497" i="22"/>
  <c r="AB497" i="22" s="1"/>
  <c r="AG496" i="22"/>
  <c r="AA496" i="22"/>
  <c r="AG495" i="22"/>
  <c r="AA495" i="22"/>
  <c r="Y493" i="22"/>
  <c r="AB496" i="22" l="1"/>
  <c r="AB495" i="22"/>
  <c r="AG492" i="22"/>
  <c r="AA492" i="22" l="1"/>
  <c r="AB492" i="22" s="1"/>
  <c r="X492" i="22"/>
  <c r="N492" i="22"/>
  <c r="AG491" i="22" l="1"/>
  <c r="Z491" i="22" l="1"/>
  <c r="AA491" i="22" s="1"/>
  <c r="AB491" i="22" s="1"/>
  <c r="X491" i="22"/>
  <c r="N491" i="22"/>
  <c r="Z489" i="22" l="1"/>
  <c r="Y489" i="22"/>
  <c r="AG488" i="22"/>
  <c r="AA488" i="22" l="1"/>
  <c r="AB488" i="22" s="1"/>
  <c r="X488" i="22"/>
  <c r="N488" i="22"/>
  <c r="AG487" i="22"/>
  <c r="AA487" i="22"/>
  <c r="X487" i="22"/>
  <c r="N487" i="22"/>
  <c r="AG486" i="22"/>
  <c r="AB487" i="22" l="1"/>
  <c r="AA486" i="22"/>
  <c r="AB486" i="22" s="1"/>
  <c r="X486" i="22"/>
  <c r="N486" i="22"/>
  <c r="AG485" i="22"/>
  <c r="AA485" i="22" l="1"/>
  <c r="AB485" i="22" s="1"/>
  <c r="X485" i="22"/>
  <c r="N485" i="22"/>
  <c r="Z483" i="22"/>
  <c r="Y483" i="22"/>
  <c r="AG482" i="22"/>
  <c r="AA483" i="22" l="1"/>
  <c r="AB483" i="22" s="1"/>
  <c r="AA482" i="22"/>
  <c r="AB482" i="22" s="1"/>
  <c r="X482" i="22"/>
  <c r="N482" i="22"/>
  <c r="AG481" i="22"/>
  <c r="AA481" i="22"/>
  <c r="X481" i="22"/>
  <c r="N481" i="22"/>
  <c r="AB481" i="22" l="1"/>
  <c r="Y479" i="22"/>
  <c r="AG478" i="22"/>
  <c r="AA478" i="22" l="1"/>
  <c r="AB478" i="22" s="1"/>
  <c r="X478" i="22"/>
  <c r="N478" i="22"/>
  <c r="AG477" i="22"/>
  <c r="AA477" i="22" l="1"/>
  <c r="AB477" i="22" s="1"/>
  <c r="X477" i="22"/>
  <c r="N477" i="22"/>
  <c r="AG476" i="22"/>
  <c r="Z476" i="22" l="1"/>
  <c r="AA476" i="22" s="1"/>
  <c r="AB476" i="22" s="1"/>
  <c r="X476" i="22"/>
  <c r="N476" i="22"/>
  <c r="AG475" i="22"/>
  <c r="Z475" i="22" l="1"/>
  <c r="AA475" i="22" s="1"/>
  <c r="AB475" i="22" s="1"/>
  <c r="X475" i="22"/>
  <c r="N475" i="22"/>
  <c r="Z473" i="22"/>
  <c r="Y473" i="22"/>
  <c r="AG472" i="22"/>
  <c r="AA473" i="22" l="1"/>
  <c r="AB473" i="22" s="1"/>
  <c r="AA472" i="22"/>
  <c r="AB472" i="22" s="1"/>
  <c r="X472" i="22"/>
  <c r="N472" i="22"/>
  <c r="AG471" i="22"/>
  <c r="AA471" i="22"/>
  <c r="X471" i="22"/>
  <c r="N471" i="22"/>
  <c r="AG468" i="22"/>
  <c r="AB471" i="22" l="1"/>
  <c r="AA468" i="22"/>
  <c r="AB468" i="22" s="1"/>
  <c r="X468" i="22"/>
  <c r="N468" i="22"/>
  <c r="Y466" i="22" l="1"/>
  <c r="AG465" i="22"/>
  <c r="AA465" i="22" l="1"/>
  <c r="AB465" i="22" s="1"/>
  <c r="X465" i="22"/>
  <c r="N465" i="22"/>
  <c r="AG464" i="22" l="1"/>
  <c r="AA464" i="22" l="1"/>
  <c r="AB464" i="22" s="1"/>
  <c r="X464" i="22"/>
  <c r="N464" i="22"/>
  <c r="AG463" i="22"/>
  <c r="AA463" i="22" l="1"/>
  <c r="AB463" i="22" s="1"/>
  <c r="X463" i="22"/>
  <c r="N463" i="22"/>
  <c r="AG462" i="22"/>
  <c r="Z462" i="22" l="1"/>
  <c r="AA462" i="22" s="1"/>
  <c r="AB462" i="22" s="1"/>
  <c r="X462" i="22"/>
  <c r="N462" i="22"/>
  <c r="AG459" i="22" l="1"/>
  <c r="AA459" i="22" l="1"/>
  <c r="AB459" i="22" s="1"/>
  <c r="X459" i="22"/>
  <c r="N459" i="22"/>
  <c r="AG458" i="22"/>
  <c r="AA458" i="22"/>
  <c r="X458" i="22"/>
  <c r="N458" i="22"/>
  <c r="AB458" i="22" l="1"/>
  <c r="AG457" i="22"/>
  <c r="AA457" i="22"/>
  <c r="X457" i="22"/>
  <c r="N457" i="22"/>
  <c r="AG456" i="22"/>
  <c r="AB457" i="22" l="1"/>
  <c r="Z456" i="22"/>
  <c r="Y456" i="22"/>
  <c r="N456" i="22"/>
  <c r="AG455" i="22"/>
  <c r="AA455" i="22"/>
  <c r="X455" i="22"/>
  <c r="N455" i="22"/>
  <c r="AG452" i="22"/>
  <c r="AB455" i="22" l="1"/>
  <c r="Y460" i="22"/>
  <c r="AA456" i="22"/>
  <c r="AB456" i="22" s="1"/>
  <c r="X456" i="22"/>
  <c r="Z452" i="22"/>
  <c r="Y452" i="22"/>
  <c r="AA452" i="22" l="1"/>
  <c r="AB452" i="22" s="1"/>
  <c r="X452" i="22"/>
  <c r="N452" i="22"/>
  <c r="AG451" i="22"/>
  <c r="AA451" i="22"/>
  <c r="X451" i="22"/>
  <c r="N451" i="22"/>
  <c r="AG450" i="22"/>
  <c r="AB451" i="22" l="1"/>
  <c r="AA450" i="22"/>
  <c r="AB450" i="22" s="1"/>
  <c r="X450" i="22"/>
  <c r="N450" i="22"/>
  <c r="AG449" i="22"/>
  <c r="Z449" i="22" l="1"/>
  <c r="Y449" i="22"/>
  <c r="AA449" i="22" l="1"/>
  <c r="AB449" i="22" s="1"/>
  <c r="X449" i="22"/>
  <c r="N449" i="22"/>
  <c r="AG448" i="22"/>
  <c r="Z448" i="22"/>
  <c r="Z453" i="22" s="1"/>
  <c r="Y448" i="22"/>
  <c r="Y453" i="22" s="1"/>
  <c r="AA453" i="22" l="1"/>
  <c r="AB453" i="22" s="1"/>
  <c r="X448" i="22"/>
  <c r="N448" i="22"/>
  <c r="Z446" i="22"/>
  <c r="Y446" i="22"/>
  <c r="AG445" i="22"/>
  <c r="AA446" i="22" l="1"/>
  <c r="AB446" i="22" s="1"/>
  <c r="AA445" i="22"/>
  <c r="AB445" i="22" s="1"/>
  <c r="X445" i="22"/>
  <c r="N445" i="22"/>
  <c r="AG444" i="22"/>
  <c r="AA444" i="22" l="1"/>
  <c r="AB444" i="22" s="1"/>
  <c r="X444" i="22"/>
  <c r="N444" i="22"/>
  <c r="AG443" i="22"/>
  <c r="AA443" i="22"/>
  <c r="X443" i="22"/>
  <c r="N443" i="22"/>
  <c r="AB443" i="22" l="1"/>
  <c r="AG442" i="22"/>
  <c r="AA442" i="22" l="1"/>
  <c r="AB442" i="22" s="1"/>
  <c r="X442" i="22"/>
  <c r="N442" i="22"/>
  <c r="Y440" i="22"/>
  <c r="AG439" i="22"/>
  <c r="AA439" i="22" l="1"/>
  <c r="AB439" i="22" s="1"/>
  <c r="X439" i="22"/>
  <c r="N439" i="22"/>
  <c r="AG438" i="22"/>
  <c r="AA438" i="22"/>
  <c r="AB438" i="22" s="1"/>
  <c r="X438" i="22"/>
  <c r="N438" i="22"/>
  <c r="AG437" i="22"/>
  <c r="Z437" i="22" l="1"/>
  <c r="AA437" i="22" s="1"/>
  <c r="AB437" i="22" s="1"/>
  <c r="X437" i="22"/>
  <c r="N437" i="22"/>
  <c r="AG434" i="22"/>
  <c r="AA434" i="22"/>
  <c r="X434" i="22"/>
  <c r="N434" i="22"/>
  <c r="AG431" i="22"/>
  <c r="Z431" i="22"/>
  <c r="AA431" i="22" s="1"/>
  <c r="AB431" i="22" s="1"/>
  <c r="X431" i="22"/>
  <c r="N431" i="22"/>
  <c r="AB434" i="22" l="1"/>
  <c r="Z425" i="22"/>
  <c r="AG424" i="22" l="1"/>
  <c r="N424" i="22" l="1"/>
  <c r="AG423" i="22"/>
  <c r="X424" i="22" l="1"/>
  <c r="AA424" i="22"/>
  <c r="AB424" i="22" s="1"/>
  <c r="X423" i="22" l="1"/>
  <c r="AA423" i="22"/>
  <c r="AB423" i="22" s="1"/>
  <c r="N423" i="22"/>
  <c r="AG422" i="22"/>
  <c r="AA422" i="22" l="1"/>
  <c r="AB422" i="22" s="1"/>
  <c r="X422" i="22"/>
  <c r="N422" i="22"/>
  <c r="AG421" i="22"/>
  <c r="N421" i="22"/>
  <c r="Y425" i="22" l="1"/>
  <c r="AA425" i="22" s="1"/>
  <c r="AB425" i="22" s="1"/>
  <c r="AA421" i="22"/>
  <c r="AB421" i="22" s="1"/>
  <c r="X421" i="22"/>
  <c r="AG318" i="28" l="1"/>
  <c r="AA318" i="28" l="1"/>
  <c r="AB318" i="28" s="1"/>
  <c r="X318" i="28"/>
  <c r="N318" i="28"/>
  <c r="AG317" i="28"/>
  <c r="AA317" i="28" l="1"/>
  <c r="AB317" i="28" s="1"/>
  <c r="X317" i="28"/>
  <c r="N317" i="28"/>
  <c r="AG316" i="28"/>
  <c r="AA316" i="28"/>
  <c r="AB316" i="28" l="1"/>
  <c r="X316" i="28"/>
  <c r="N316" i="28" l="1"/>
  <c r="AG315" i="28"/>
  <c r="AA315" i="28"/>
  <c r="X315" i="28"/>
  <c r="N315" i="28"/>
  <c r="AG314" i="28"/>
  <c r="AA314" i="28"/>
  <c r="AB314" i="28" l="1"/>
  <c r="AB315" i="28"/>
  <c r="X314" i="28"/>
  <c r="N314" i="28"/>
  <c r="AG313" i="28"/>
  <c r="AA313" i="28"/>
  <c r="AB313" i="28" l="1"/>
  <c r="X313" i="28"/>
  <c r="N313" i="28"/>
  <c r="AG312" i="28"/>
  <c r="AA312" i="28" l="1"/>
  <c r="AB312" i="28" s="1"/>
  <c r="X312" i="28"/>
  <c r="N312" i="28"/>
  <c r="AG311" i="28" l="1"/>
  <c r="AA311" i="28" l="1"/>
  <c r="AB311" i="28" s="1"/>
  <c r="X311" i="28"/>
  <c r="N311" i="28"/>
  <c r="AG310" i="28"/>
  <c r="N310" i="28" l="1"/>
  <c r="AG309" i="28"/>
  <c r="X310" i="28" l="1"/>
  <c r="AA310" i="28"/>
  <c r="AB310" i="28" s="1"/>
  <c r="N309" i="28"/>
  <c r="X309" i="28" l="1"/>
  <c r="AA309" i="28"/>
  <c r="AB309" i="28" s="1"/>
  <c r="AG308" i="28"/>
  <c r="N308" i="28" l="1"/>
  <c r="AG307" i="28"/>
  <c r="X308" i="28" l="1"/>
  <c r="AA308" i="28"/>
  <c r="AB308" i="28" s="1"/>
  <c r="N307" i="28"/>
  <c r="AG306" i="28"/>
  <c r="X307" i="28" l="1"/>
  <c r="AA307" i="28"/>
  <c r="AB307" i="28" s="1"/>
  <c r="N306" i="28"/>
  <c r="AG305" i="28"/>
  <c r="X306" i="28" l="1"/>
  <c r="AA306" i="28"/>
  <c r="AB306" i="28" s="1"/>
  <c r="N305" i="28"/>
  <c r="X305" i="28" l="1"/>
  <c r="AA305" i="28"/>
  <c r="AB305" i="28" s="1"/>
  <c r="AG304" i="28"/>
  <c r="AA304" i="28" l="1"/>
  <c r="AB304" i="28" s="1"/>
  <c r="X304" i="28"/>
  <c r="N304" i="28" l="1"/>
  <c r="Z440" i="22" l="1"/>
  <c r="AA440" i="22" s="1"/>
  <c r="AB440" i="22" s="1"/>
  <c r="AA448" i="22"/>
  <c r="AB448" i="22" s="1"/>
  <c r="Z460" i="22"/>
  <c r="AA460" i="22" s="1"/>
  <c r="AB460" i="22" s="1"/>
  <c r="Z466" i="22"/>
  <c r="AA466" i="22" s="1"/>
  <c r="AB466" i="22" s="1"/>
  <c r="Z479" i="22"/>
  <c r="AA479" i="22" s="1"/>
  <c r="AB479" i="22" s="1"/>
  <c r="AA489" i="22"/>
  <c r="AB489" i="22" s="1"/>
  <c r="Z493" i="22"/>
  <c r="AA493" i="22" s="1"/>
  <c r="AB493" i="22" s="1"/>
  <c r="AA512" i="22"/>
  <c r="AB512" i="22" s="1"/>
  <c r="Z520" i="22"/>
  <c r="AA520" i="22" s="1"/>
  <c r="AB520" i="22" s="1"/>
  <c r="AA540" i="22"/>
  <c r="AB540" i="22" s="1"/>
  <c r="AA544" i="22"/>
  <c r="AB544" i="22" s="1"/>
  <c r="Z552" i="22"/>
  <c r="AA552" i="22" s="1"/>
  <c r="AB552" i="22" s="1"/>
  <c r="Z561" i="22"/>
  <c r="AA561" i="22" s="1"/>
  <c r="AB561" i="22" s="1"/>
</calcChain>
</file>

<file path=xl/sharedStrings.xml><?xml version="1.0" encoding="utf-8"?>
<sst xmlns="http://schemas.openxmlformats.org/spreadsheetml/2006/main" count="29819" uniqueCount="6954">
  <si>
    <t>國賓</t>
    <phoneticPr fontId="1" type="noConversion"/>
  </si>
  <si>
    <t>瑞軒</t>
    <phoneticPr fontId="1" type="noConversion"/>
  </si>
  <si>
    <t>永豐金</t>
    <phoneticPr fontId="1" type="noConversion"/>
  </si>
  <si>
    <t>現在價</t>
    <phoneticPr fontId="1" type="noConversion"/>
  </si>
  <si>
    <t>損益率</t>
    <phoneticPr fontId="1" type="noConversion"/>
  </si>
  <si>
    <t>鴻海</t>
    <phoneticPr fontId="1" type="noConversion"/>
  </si>
  <si>
    <t>台塑化</t>
    <phoneticPr fontId="1" type="noConversion"/>
  </si>
  <si>
    <t>大立光</t>
    <phoneticPr fontId="1" type="noConversion"/>
  </si>
  <si>
    <t>損益</t>
    <phoneticPr fontId="1" type="noConversion"/>
  </si>
  <si>
    <t>南橋</t>
    <phoneticPr fontId="1" type="noConversion"/>
  </si>
  <si>
    <t>辛耘</t>
    <phoneticPr fontId="1" type="noConversion"/>
  </si>
  <si>
    <t>台積電</t>
    <phoneticPr fontId="1" type="noConversion"/>
  </si>
  <si>
    <t>國泰金</t>
    <phoneticPr fontId="1" type="noConversion"/>
  </si>
  <si>
    <t>台化</t>
    <phoneticPr fontId="1" type="noConversion"/>
  </si>
  <si>
    <t>聯發科</t>
    <phoneticPr fontId="1" type="noConversion"/>
  </si>
  <si>
    <t>台達電</t>
    <phoneticPr fontId="1" type="noConversion"/>
  </si>
  <si>
    <t>中信金</t>
    <phoneticPr fontId="1" type="noConversion"/>
  </si>
  <si>
    <t>台灣大</t>
    <phoneticPr fontId="1" type="noConversion"/>
  </si>
  <si>
    <t>統一</t>
    <phoneticPr fontId="1" type="noConversion"/>
  </si>
  <si>
    <t>兆豐金</t>
    <phoneticPr fontId="1" type="noConversion"/>
  </si>
  <si>
    <t>日月光</t>
    <phoneticPr fontId="1" type="noConversion"/>
  </si>
  <si>
    <t>遠傳</t>
    <phoneticPr fontId="1" type="noConversion"/>
  </si>
  <si>
    <t>和碩</t>
    <phoneticPr fontId="1" type="noConversion"/>
  </si>
  <si>
    <t>和泰車</t>
    <phoneticPr fontId="1" type="noConversion"/>
  </si>
  <si>
    <t>聯電</t>
    <phoneticPr fontId="1" type="noConversion"/>
  </si>
  <si>
    <t>研華</t>
    <phoneticPr fontId="1" type="noConversion"/>
  </si>
  <si>
    <t>鴻準</t>
    <phoneticPr fontId="1" type="noConversion"/>
  </si>
  <si>
    <t>中壽</t>
    <phoneticPr fontId="1" type="noConversion"/>
  </si>
  <si>
    <t>儒鴻</t>
    <phoneticPr fontId="1" type="noConversion"/>
  </si>
  <si>
    <t>光寶科</t>
    <phoneticPr fontId="1" type="noConversion"/>
  </si>
  <si>
    <t>仁寶</t>
    <phoneticPr fontId="1" type="noConversion"/>
  </si>
  <si>
    <t>豐泰</t>
    <phoneticPr fontId="1" type="noConversion"/>
  </si>
  <si>
    <t>新光金</t>
    <phoneticPr fontId="1" type="noConversion"/>
  </si>
  <si>
    <t>亞泥</t>
    <phoneticPr fontId="1" type="noConversion"/>
  </si>
  <si>
    <t>英業達</t>
    <phoneticPr fontId="1" type="noConversion"/>
  </si>
  <si>
    <t>上銀</t>
    <phoneticPr fontId="1" type="noConversion"/>
  </si>
  <si>
    <t>大聯大</t>
    <phoneticPr fontId="1" type="noConversion"/>
  </si>
  <si>
    <t>力成</t>
    <phoneticPr fontId="1" type="noConversion"/>
  </si>
  <si>
    <t>聯詠</t>
    <phoneticPr fontId="1" type="noConversion"/>
  </si>
  <si>
    <t>緯創</t>
    <phoneticPr fontId="1" type="noConversion"/>
  </si>
  <si>
    <t>華航</t>
    <phoneticPr fontId="1" type="noConversion"/>
  </si>
  <si>
    <t>長榮航</t>
    <phoneticPr fontId="1" type="noConversion"/>
  </si>
  <si>
    <t>宏達電</t>
    <phoneticPr fontId="1" type="noConversion"/>
  </si>
  <si>
    <t>聯強</t>
    <phoneticPr fontId="1" type="noConversion"/>
  </si>
  <si>
    <t>東元</t>
    <phoneticPr fontId="1" type="noConversion"/>
  </si>
  <si>
    <t>微星</t>
    <phoneticPr fontId="1" type="noConversion"/>
  </si>
  <si>
    <t>瑞昱</t>
    <phoneticPr fontId="1" type="noConversion"/>
  </si>
  <si>
    <t>臻鼎KY</t>
    <phoneticPr fontId="1" type="noConversion"/>
  </si>
  <si>
    <t>興富發</t>
    <phoneticPr fontId="1" type="noConversion"/>
  </si>
  <si>
    <t>潤泰新</t>
    <phoneticPr fontId="1" type="noConversion"/>
  </si>
  <si>
    <t>宏碁</t>
    <phoneticPr fontId="1" type="noConversion"/>
  </si>
  <si>
    <t>潤泰全</t>
    <phoneticPr fontId="1" type="noConversion"/>
  </si>
  <si>
    <t>亞太電</t>
    <phoneticPr fontId="1" type="noConversion"/>
  </si>
  <si>
    <t>裕隆</t>
    <phoneticPr fontId="1" type="noConversion"/>
  </si>
  <si>
    <t>美利達</t>
    <phoneticPr fontId="1" type="noConversion"/>
  </si>
  <si>
    <t>台肥</t>
    <phoneticPr fontId="1" type="noConversion"/>
  </si>
  <si>
    <t>創見</t>
    <phoneticPr fontId="1" type="noConversion"/>
  </si>
  <si>
    <t>中裕</t>
    <phoneticPr fontId="1" type="noConversion"/>
  </si>
  <si>
    <t>世界</t>
    <phoneticPr fontId="1" type="noConversion"/>
  </si>
  <si>
    <t>環球晶</t>
    <phoneticPr fontId="1" type="noConversion"/>
  </si>
  <si>
    <t>精華</t>
    <phoneticPr fontId="1" type="noConversion"/>
  </si>
  <si>
    <t>2834</t>
    <phoneticPr fontId="1" type="noConversion"/>
  </si>
  <si>
    <t>2354</t>
    <phoneticPr fontId="1" type="noConversion"/>
  </si>
  <si>
    <t>2603</t>
    <phoneticPr fontId="1" type="noConversion"/>
  </si>
  <si>
    <t>5347</t>
    <phoneticPr fontId="1" type="noConversion"/>
  </si>
  <si>
    <t>新麥</t>
    <phoneticPr fontId="1" type="noConversion"/>
  </si>
  <si>
    <t>3264</t>
    <phoneticPr fontId="1" type="noConversion"/>
  </si>
  <si>
    <t>力旺</t>
    <phoneticPr fontId="1" type="noConversion"/>
  </si>
  <si>
    <t>神準</t>
    <phoneticPr fontId="1" type="noConversion"/>
  </si>
  <si>
    <t>碩禾</t>
    <phoneticPr fontId="1" type="noConversion"/>
  </si>
  <si>
    <t>晟德</t>
    <phoneticPr fontId="1" type="noConversion"/>
  </si>
  <si>
    <t>智擎</t>
    <phoneticPr fontId="1" type="noConversion"/>
  </si>
  <si>
    <t>泰博</t>
    <phoneticPr fontId="1" type="noConversion"/>
  </si>
  <si>
    <t>譜瑞KY</t>
    <phoneticPr fontId="1" type="noConversion"/>
  </si>
  <si>
    <t>榮剛</t>
    <phoneticPr fontId="1" type="noConversion"/>
  </si>
  <si>
    <t>桂盟</t>
    <phoneticPr fontId="1" type="noConversion"/>
  </si>
  <si>
    <t>頎邦</t>
    <phoneticPr fontId="1" type="noConversion"/>
  </si>
  <si>
    <t>6274</t>
    <phoneticPr fontId="1" type="noConversion"/>
  </si>
  <si>
    <t>胡連</t>
    <phoneticPr fontId="1" type="noConversion"/>
  </si>
  <si>
    <t>崑鼎</t>
    <phoneticPr fontId="1" type="noConversion"/>
  </si>
  <si>
    <t>網家</t>
    <phoneticPr fontId="1" type="noConversion"/>
  </si>
  <si>
    <t>元太</t>
    <phoneticPr fontId="1" type="noConversion"/>
  </si>
  <si>
    <t>金可KY</t>
    <phoneticPr fontId="1" type="noConversion"/>
  </si>
  <si>
    <t>華邦電</t>
    <phoneticPr fontId="1" type="noConversion"/>
  </si>
  <si>
    <t>旺宏</t>
    <phoneticPr fontId="1" type="noConversion"/>
  </si>
  <si>
    <t>台勝科</t>
    <phoneticPr fontId="1" type="noConversion"/>
  </si>
  <si>
    <t>國巨</t>
    <phoneticPr fontId="1" type="noConversion"/>
  </si>
  <si>
    <t>健鼎</t>
    <phoneticPr fontId="1" type="noConversion"/>
  </si>
  <si>
    <t>智邦</t>
    <phoneticPr fontId="1" type="noConversion"/>
  </si>
  <si>
    <t>台光電</t>
    <phoneticPr fontId="1" type="noConversion"/>
  </si>
  <si>
    <t>致茂</t>
    <phoneticPr fontId="1" type="noConversion"/>
  </si>
  <si>
    <t>旭隼</t>
    <phoneticPr fontId="1" type="noConversion"/>
  </si>
  <si>
    <t>華通</t>
    <phoneticPr fontId="1" type="noConversion"/>
  </si>
  <si>
    <t>玉晶光</t>
    <phoneticPr fontId="1" type="noConversion"/>
  </si>
  <si>
    <t>TPK-KY</t>
    <phoneticPr fontId="1" type="noConversion"/>
  </si>
  <si>
    <t>台郡</t>
    <phoneticPr fontId="1" type="noConversion"/>
  </si>
  <si>
    <t>京元電</t>
    <phoneticPr fontId="1" type="noConversion"/>
  </si>
  <si>
    <t>亞光</t>
    <phoneticPr fontId="1" type="noConversion"/>
  </si>
  <si>
    <t>致伸</t>
    <phoneticPr fontId="1" type="noConversion"/>
  </si>
  <si>
    <t>啟碁</t>
    <phoneticPr fontId="1" type="noConversion"/>
  </si>
  <si>
    <t>創意</t>
    <phoneticPr fontId="1" type="noConversion"/>
  </si>
  <si>
    <t>神達</t>
    <phoneticPr fontId="1" type="noConversion"/>
  </si>
  <si>
    <t>欣興</t>
    <phoneticPr fontId="1" type="noConversion"/>
  </si>
  <si>
    <t>神基</t>
    <phoneticPr fontId="1" type="noConversion"/>
  </si>
  <si>
    <t>敬鵬</t>
    <phoneticPr fontId="1" type="noConversion"/>
  </si>
  <si>
    <t>康控KY</t>
    <phoneticPr fontId="1" type="noConversion"/>
  </si>
  <si>
    <t>祥碩</t>
    <phoneticPr fontId="1" type="noConversion"/>
  </si>
  <si>
    <t>正崴</t>
    <phoneticPr fontId="1" type="noConversion"/>
  </si>
  <si>
    <t>群電</t>
    <phoneticPr fontId="1" type="noConversion"/>
  </si>
  <si>
    <t>同欣電</t>
    <phoneticPr fontId="1" type="noConversion"/>
  </si>
  <si>
    <t>藍天</t>
    <phoneticPr fontId="1" type="noConversion"/>
  </si>
  <si>
    <t>中磊</t>
    <phoneticPr fontId="1" type="noConversion"/>
  </si>
  <si>
    <t>奇力新</t>
    <phoneticPr fontId="1" type="noConversion"/>
  </si>
  <si>
    <t>義隆</t>
    <phoneticPr fontId="1" type="noConversion"/>
  </si>
  <si>
    <t>聯茂</t>
    <phoneticPr fontId="1" type="noConversion"/>
  </si>
  <si>
    <t>京鼎</t>
    <phoneticPr fontId="1" type="noConversion"/>
  </si>
  <si>
    <t>6214</t>
    <phoneticPr fontId="1" type="noConversion"/>
  </si>
  <si>
    <t>新日興</t>
    <phoneticPr fontId="1" type="noConversion"/>
  </si>
  <si>
    <t>聯鈞</t>
    <phoneticPr fontId="1" type="noConversion"/>
  </si>
  <si>
    <t>順德</t>
    <phoneticPr fontId="1" type="noConversion"/>
  </si>
  <si>
    <t>淩華</t>
    <phoneticPr fontId="1" type="noConversion"/>
  </si>
  <si>
    <t>威強電</t>
    <phoneticPr fontId="1" type="noConversion"/>
  </si>
  <si>
    <t>建準</t>
    <phoneticPr fontId="1" type="noConversion"/>
  </si>
  <si>
    <t>台聚</t>
    <phoneticPr fontId="1" type="noConversion"/>
  </si>
  <si>
    <t>5483</t>
    <phoneticPr fontId="1" type="noConversion"/>
  </si>
  <si>
    <t>2103</t>
    <phoneticPr fontId="1" type="noConversion"/>
  </si>
  <si>
    <t>統一實</t>
    <phoneticPr fontId="1" type="noConversion"/>
  </si>
  <si>
    <t>股息</t>
    <phoneticPr fontId="1" type="noConversion"/>
  </si>
  <si>
    <t>台塑</t>
    <phoneticPr fontId="1" type="noConversion"/>
  </si>
  <si>
    <t>富邦金</t>
    <phoneticPr fontId="1" type="noConversion"/>
  </si>
  <si>
    <t>2027</t>
    <phoneticPr fontId="1" type="noConversion"/>
  </si>
  <si>
    <t>持股</t>
    <phoneticPr fontId="1" type="noConversion"/>
  </si>
  <si>
    <t>2704</t>
    <phoneticPr fontId="1" type="noConversion"/>
  </si>
  <si>
    <t>泰偉</t>
    <phoneticPr fontId="1" type="noConversion"/>
  </si>
  <si>
    <t>網龍</t>
    <phoneticPr fontId="1" type="noConversion"/>
  </si>
  <si>
    <t>華義</t>
    <phoneticPr fontId="1" type="noConversion"/>
  </si>
  <si>
    <t>宇峻</t>
    <phoneticPr fontId="1" type="noConversion"/>
  </si>
  <si>
    <t>歐買尬</t>
    <phoneticPr fontId="1" type="noConversion"/>
  </si>
  <si>
    <t>辣椒</t>
    <phoneticPr fontId="1" type="noConversion"/>
  </si>
  <si>
    <t>大宇資</t>
    <phoneticPr fontId="1" type="noConversion"/>
  </si>
  <si>
    <t>昱泉</t>
    <phoneticPr fontId="1" type="noConversion"/>
  </si>
  <si>
    <t>橘子</t>
    <phoneticPr fontId="1" type="noConversion"/>
  </si>
  <si>
    <t>隆中</t>
    <phoneticPr fontId="1" type="noConversion"/>
  </si>
  <si>
    <t>宏佳騰</t>
    <phoneticPr fontId="1" type="noConversion"/>
  </si>
  <si>
    <t>六角</t>
    <phoneticPr fontId="1" type="noConversion"/>
  </si>
  <si>
    <t>誠品生活</t>
    <phoneticPr fontId="1" type="noConversion"/>
  </si>
  <si>
    <t>台星科</t>
    <phoneticPr fontId="1" type="noConversion"/>
  </si>
  <si>
    <t>先進光</t>
    <phoneticPr fontId="1" type="noConversion"/>
  </si>
  <si>
    <t>友華</t>
    <phoneticPr fontId="1" type="noConversion"/>
  </si>
  <si>
    <t>協易機</t>
    <phoneticPr fontId="1" type="noConversion"/>
  </si>
  <si>
    <t>強新</t>
    <phoneticPr fontId="1" type="noConversion"/>
  </si>
  <si>
    <t>智晶</t>
    <phoneticPr fontId="1" type="noConversion"/>
  </si>
  <si>
    <t>高技</t>
    <phoneticPr fontId="1" type="noConversion"/>
  </si>
  <si>
    <t>彩富</t>
    <phoneticPr fontId="1" type="noConversion"/>
  </si>
  <si>
    <t>力麒</t>
    <phoneticPr fontId="1" type="noConversion"/>
  </si>
  <si>
    <t>陸海</t>
    <phoneticPr fontId="1" type="noConversion"/>
  </si>
  <si>
    <t>振曜</t>
    <phoneticPr fontId="1" type="noConversion"/>
  </si>
  <si>
    <t>耕興</t>
    <phoneticPr fontId="1" type="noConversion"/>
  </si>
  <si>
    <t>信昌電</t>
    <phoneticPr fontId="1" type="noConversion"/>
  </si>
  <si>
    <t>智基</t>
    <phoneticPr fontId="1" type="noConversion"/>
  </si>
  <si>
    <t>聚合</t>
    <phoneticPr fontId="1" type="noConversion"/>
  </si>
  <si>
    <t>東捷</t>
    <phoneticPr fontId="1" type="noConversion"/>
  </si>
  <si>
    <t>博智</t>
    <phoneticPr fontId="1" type="noConversion"/>
  </si>
  <si>
    <t>恒耀</t>
    <phoneticPr fontId="1" type="noConversion"/>
  </si>
  <si>
    <t>霹靂</t>
    <phoneticPr fontId="1" type="noConversion"/>
  </si>
  <si>
    <t>明安</t>
    <phoneticPr fontId="1" type="noConversion"/>
  </si>
  <si>
    <t>味全</t>
    <phoneticPr fontId="1" type="noConversion"/>
  </si>
  <si>
    <t>正隆</t>
    <phoneticPr fontId="1" type="noConversion"/>
  </si>
  <si>
    <t>永豐餘</t>
    <phoneticPr fontId="1" type="noConversion"/>
  </si>
  <si>
    <t>台船</t>
    <phoneticPr fontId="1" type="noConversion"/>
  </si>
  <si>
    <t>菱生</t>
    <phoneticPr fontId="1" type="noConversion"/>
  </si>
  <si>
    <t>燦坤</t>
    <phoneticPr fontId="1" type="noConversion"/>
  </si>
  <si>
    <t>神腦</t>
    <phoneticPr fontId="1" type="noConversion"/>
  </si>
  <si>
    <t>王品</t>
    <phoneticPr fontId="1" type="noConversion"/>
  </si>
  <si>
    <t>三商</t>
    <phoneticPr fontId="1" type="noConversion"/>
  </si>
  <si>
    <t>明泰</t>
    <phoneticPr fontId="1" type="noConversion"/>
  </si>
  <si>
    <t>欣陸</t>
    <phoneticPr fontId="1" type="noConversion"/>
  </si>
  <si>
    <t>合勤控</t>
    <phoneticPr fontId="1" type="noConversion"/>
  </si>
  <si>
    <t>群益證</t>
    <phoneticPr fontId="1" type="noConversion"/>
  </si>
  <si>
    <t>嘉聯益</t>
    <phoneticPr fontId="1" type="noConversion"/>
  </si>
  <si>
    <t>帝寶</t>
    <phoneticPr fontId="1" type="noConversion"/>
  </si>
  <si>
    <t>華東</t>
    <phoneticPr fontId="1" type="noConversion"/>
  </si>
  <si>
    <t>新保</t>
    <phoneticPr fontId="1" type="noConversion"/>
  </si>
  <si>
    <t>9940</t>
    <phoneticPr fontId="1" type="noConversion"/>
  </si>
  <si>
    <t>信義</t>
    <phoneticPr fontId="1" type="noConversion"/>
  </si>
  <si>
    <t>好樂迪</t>
    <phoneticPr fontId="1" type="noConversion"/>
  </si>
  <si>
    <t>中鋼構</t>
    <phoneticPr fontId="1" type="noConversion"/>
  </si>
  <si>
    <t>盛餘</t>
    <phoneticPr fontId="1" type="noConversion"/>
  </si>
  <si>
    <t>精英</t>
    <phoneticPr fontId="1" type="noConversion"/>
  </si>
  <si>
    <t>佳能</t>
    <phoneticPr fontId="1" type="noConversion"/>
  </si>
  <si>
    <t>淩陽</t>
    <phoneticPr fontId="1" type="noConversion"/>
  </si>
  <si>
    <t>高雄銀</t>
    <phoneticPr fontId="1" type="noConversion"/>
  </si>
  <si>
    <t>第一保</t>
    <phoneticPr fontId="1" type="noConversion"/>
  </si>
  <si>
    <t>晶豪科</t>
    <phoneticPr fontId="1" type="noConversion"/>
  </si>
  <si>
    <t>華立</t>
    <phoneticPr fontId="1" type="noConversion"/>
  </si>
  <si>
    <t>聯陽</t>
    <phoneticPr fontId="1" type="noConversion"/>
  </si>
  <si>
    <t>德律</t>
    <phoneticPr fontId="1" type="noConversion"/>
  </si>
  <si>
    <t>威健</t>
    <phoneticPr fontId="1" type="noConversion"/>
  </si>
  <si>
    <t>智原</t>
    <phoneticPr fontId="1" type="noConversion"/>
  </si>
  <si>
    <t>華晶科</t>
    <phoneticPr fontId="1" type="noConversion"/>
  </si>
  <si>
    <t>晶睿</t>
    <phoneticPr fontId="1" type="noConversion"/>
  </si>
  <si>
    <t>智易</t>
    <phoneticPr fontId="1" type="noConversion"/>
  </si>
  <si>
    <t>訊連</t>
    <phoneticPr fontId="1" type="noConversion"/>
  </si>
  <si>
    <t>崇越</t>
    <phoneticPr fontId="1" type="noConversion"/>
  </si>
  <si>
    <t>帆宣</t>
    <phoneticPr fontId="1" type="noConversion"/>
  </si>
  <si>
    <t>宏正</t>
    <phoneticPr fontId="1" type="noConversion"/>
  </si>
  <si>
    <t>矽創</t>
    <phoneticPr fontId="1" type="noConversion"/>
  </si>
  <si>
    <t>志超</t>
    <phoneticPr fontId="1" type="noConversion"/>
  </si>
  <si>
    <t>詩肯</t>
    <phoneticPr fontId="1" type="noConversion"/>
  </si>
  <si>
    <t>富喬</t>
    <phoneticPr fontId="1" type="noConversion"/>
  </si>
  <si>
    <t>公治</t>
    <phoneticPr fontId="1" type="noConversion"/>
  </si>
  <si>
    <t>成分</t>
    <phoneticPr fontId="1" type="noConversion"/>
  </si>
  <si>
    <t>中電</t>
    <phoneticPr fontId="1" type="noConversion"/>
  </si>
  <si>
    <t>佳世達</t>
    <phoneticPr fontId="1" type="noConversion"/>
  </si>
  <si>
    <t>大同</t>
    <phoneticPr fontId="1" type="noConversion"/>
  </si>
  <si>
    <t>亞聚</t>
    <phoneticPr fontId="1" type="noConversion"/>
  </si>
  <si>
    <t>英瑞KY</t>
    <phoneticPr fontId="1" type="noConversion"/>
  </si>
  <si>
    <t>華新</t>
    <phoneticPr fontId="1" type="noConversion"/>
  </si>
  <si>
    <t>生達</t>
    <phoneticPr fontId="1" type="noConversion"/>
  </si>
  <si>
    <t>燁輝</t>
    <phoneticPr fontId="1" type="noConversion"/>
  </si>
  <si>
    <t>裕日車</t>
    <phoneticPr fontId="1" type="noConversion"/>
  </si>
  <si>
    <t>台揚</t>
    <phoneticPr fontId="1" type="noConversion"/>
  </si>
  <si>
    <t>偉詮電</t>
    <phoneticPr fontId="1" type="noConversion"/>
  </si>
  <si>
    <t>榮運</t>
    <phoneticPr fontId="1" type="noConversion"/>
  </si>
  <si>
    <t>漢翔</t>
    <phoneticPr fontId="1" type="noConversion"/>
  </si>
  <si>
    <t>美食KY</t>
    <phoneticPr fontId="1" type="noConversion"/>
  </si>
  <si>
    <t>京城銀</t>
    <phoneticPr fontId="1" type="noConversion"/>
  </si>
  <si>
    <t>華票</t>
    <phoneticPr fontId="1" type="noConversion"/>
  </si>
  <si>
    <t>聯邦銀</t>
    <phoneticPr fontId="1" type="noConversion"/>
  </si>
  <si>
    <t>三商壽</t>
    <phoneticPr fontId="1" type="noConversion"/>
  </si>
  <si>
    <t>奇鋐</t>
    <phoneticPr fontId="1" type="noConversion"/>
  </si>
  <si>
    <t>晶技</t>
    <phoneticPr fontId="1" type="noConversion"/>
  </si>
  <si>
    <t>旭富</t>
    <phoneticPr fontId="1" type="noConversion"/>
  </si>
  <si>
    <t>新唐</t>
    <phoneticPr fontId="1" type="noConversion"/>
  </si>
  <si>
    <t>盛群</t>
    <phoneticPr fontId="1" type="noConversion"/>
  </si>
  <si>
    <t>淩巨</t>
    <phoneticPr fontId="1" type="noConversion"/>
  </si>
  <si>
    <t>至上</t>
    <phoneticPr fontId="1" type="noConversion"/>
  </si>
  <si>
    <t>富邦媒</t>
    <phoneticPr fontId="1" type="noConversion"/>
  </si>
  <si>
    <t>中鼎</t>
    <phoneticPr fontId="1" type="noConversion"/>
  </si>
  <si>
    <t>裕融</t>
    <phoneticPr fontId="1" type="noConversion"/>
  </si>
  <si>
    <t>中石化</t>
    <phoneticPr fontId="1" type="noConversion"/>
  </si>
  <si>
    <t>東陽</t>
    <phoneticPr fontId="1" type="noConversion"/>
  </si>
  <si>
    <t>聚陽</t>
    <phoneticPr fontId="1" type="noConversion"/>
  </si>
  <si>
    <t>和大</t>
    <phoneticPr fontId="1" type="noConversion"/>
  </si>
  <si>
    <t>亞德客KY</t>
    <phoneticPr fontId="1" type="noConversion"/>
  </si>
  <si>
    <t>葡萄王</t>
    <phoneticPr fontId="1" type="noConversion"/>
  </si>
  <si>
    <t>長興</t>
    <phoneticPr fontId="1" type="noConversion"/>
  </si>
  <si>
    <t>中碳</t>
    <phoneticPr fontId="1" type="noConversion"/>
  </si>
  <si>
    <t>神隆</t>
    <phoneticPr fontId="1" type="noConversion"/>
  </si>
  <si>
    <t>台玻</t>
    <phoneticPr fontId="1" type="noConversion"/>
  </si>
  <si>
    <t>榮成</t>
    <phoneticPr fontId="1" type="noConversion"/>
  </si>
  <si>
    <t>豐興</t>
    <phoneticPr fontId="1" type="noConversion"/>
  </si>
  <si>
    <t>南港</t>
    <phoneticPr fontId="1" type="noConversion"/>
  </si>
  <si>
    <t>台橡</t>
    <phoneticPr fontId="1" type="noConversion"/>
  </si>
  <si>
    <t>建大</t>
    <phoneticPr fontId="1" type="noConversion"/>
  </si>
  <si>
    <t>裕民</t>
    <phoneticPr fontId="1" type="noConversion"/>
  </si>
  <si>
    <t>萬海</t>
    <phoneticPr fontId="1" type="noConversion"/>
  </si>
  <si>
    <t>台中銀</t>
    <phoneticPr fontId="1" type="noConversion"/>
  </si>
  <si>
    <t>遠東銀</t>
    <phoneticPr fontId="1" type="noConversion"/>
  </si>
  <si>
    <t>遠雄</t>
    <phoneticPr fontId="1" type="noConversion"/>
  </si>
  <si>
    <t>百和</t>
    <phoneticPr fontId="1" type="noConversion"/>
  </si>
  <si>
    <t>其祥KY</t>
    <phoneticPr fontId="1" type="noConversion"/>
  </si>
  <si>
    <t>南光</t>
    <phoneticPr fontId="1" type="noConversion"/>
  </si>
  <si>
    <t>生泰</t>
    <phoneticPr fontId="1" type="noConversion"/>
  </si>
  <si>
    <t>世德</t>
    <phoneticPr fontId="1" type="noConversion"/>
  </si>
  <si>
    <t>大車隊</t>
    <phoneticPr fontId="1" type="noConversion"/>
  </si>
  <si>
    <t>瓦城</t>
    <phoneticPr fontId="1" type="noConversion"/>
  </si>
  <si>
    <t>志豐</t>
    <phoneticPr fontId="1" type="noConversion"/>
  </si>
  <si>
    <t>光環</t>
    <phoneticPr fontId="1" type="noConversion"/>
  </si>
  <si>
    <t>昇達科</t>
    <phoneticPr fontId="1" type="noConversion"/>
  </si>
  <si>
    <t>兆利</t>
    <phoneticPr fontId="1" type="noConversion"/>
  </si>
  <si>
    <t>太醫</t>
    <phoneticPr fontId="1" type="noConversion"/>
  </si>
  <si>
    <t>曜亞</t>
    <phoneticPr fontId="1" type="noConversion"/>
  </si>
  <si>
    <t>鐿鈦</t>
    <phoneticPr fontId="1" type="noConversion"/>
  </si>
  <si>
    <t>崇友</t>
    <phoneticPr fontId="1" type="noConversion"/>
  </si>
  <si>
    <t>至興</t>
    <phoneticPr fontId="1" type="noConversion"/>
  </si>
  <si>
    <t>友輝</t>
    <phoneticPr fontId="1" type="noConversion"/>
  </si>
  <si>
    <t>IET-KY</t>
    <phoneticPr fontId="1" type="noConversion"/>
  </si>
  <si>
    <t>湯石照明</t>
    <phoneticPr fontId="1" type="noConversion"/>
  </si>
  <si>
    <t>亞泰</t>
    <phoneticPr fontId="1" type="noConversion"/>
  </si>
  <si>
    <t>華星光</t>
    <phoneticPr fontId="1" type="noConversion"/>
  </si>
  <si>
    <t>jpp-KY</t>
    <phoneticPr fontId="1" type="noConversion"/>
  </si>
  <si>
    <t>光聯</t>
    <phoneticPr fontId="1" type="noConversion"/>
  </si>
  <si>
    <t>中光電</t>
    <phoneticPr fontId="1" type="noConversion"/>
  </si>
  <si>
    <t>均豪</t>
    <phoneticPr fontId="1" type="noConversion"/>
  </si>
  <si>
    <t>中美晶</t>
    <phoneticPr fontId="1" type="noConversion"/>
  </si>
  <si>
    <t>龍巖</t>
    <phoneticPr fontId="1" type="noConversion"/>
  </si>
  <si>
    <t>日盛金</t>
    <phoneticPr fontId="1" type="noConversion"/>
  </si>
  <si>
    <t>全家</t>
    <phoneticPr fontId="1" type="noConversion"/>
  </si>
  <si>
    <t>寶雅</t>
    <phoneticPr fontId="1" type="noConversion"/>
  </si>
  <si>
    <t>聖暉</t>
    <phoneticPr fontId="1" type="noConversion"/>
  </si>
  <si>
    <t>元大期</t>
    <phoneticPr fontId="1" type="noConversion"/>
  </si>
  <si>
    <t>中碳針</t>
    <phoneticPr fontId="1" type="noConversion"/>
  </si>
  <si>
    <t>普萊德</t>
    <phoneticPr fontId="1" type="noConversion"/>
  </si>
  <si>
    <t>金山電</t>
    <phoneticPr fontId="1" type="noConversion"/>
  </si>
  <si>
    <t>德勝</t>
    <phoneticPr fontId="1" type="noConversion"/>
  </si>
  <si>
    <t>朋程</t>
    <phoneticPr fontId="1" type="noConversion"/>
  </si>
  <si>
    <t>盛弘</t>
    <phoneticPr fontId="1" type="noConversion"/>
  </si>
  <si>
    <t>實威</t>
    <phoneticPr fontId="1" type="noConversion"/>
  </si>
  <si>
    <t>明揚</t>
    <phoneticPr fontId="1" type="noConversion"/>
  </si>
  <si>
    <t>華研</t>
    <phoneticPr fontId="1" type="noConversion"/>
  </si>
  <si>
    <t>光隆</t>
    <phoneticPr fontId="1" type="noConversion"/>
  </si>
  <si>
    <t>宇隆</t>
    <phoneticPr fontId="1" type="noConversion"/>
  </si>
  <si>
    <t>僑威</t>
    <phoneticPr fontId="1" type="noConversion"/>
  </si>
  <si>
    <t>弘塑</t>
    <phoneticPr fontId="1" type="noConversion"/>
  </si>
  <si>
    <t>宜特</t>
    <phoneticPr fontId="1" type="noConversion"/>
  </si>
  <si>
    <t>凡甲</t>
    <phoneticPr fontId="1" type="noConversion"/>
  </si>
  <si>
    <t>西柏</t>
    <phoneticPr fontId="1" type="noConversion"/>
  </si>
  <si>
    <t>閎康</t>
    <phoneticPr fontId="1" type="noConversion"/>
  </si>
  <si>
    <t>江興鍛</t>
    <phoneticPr fontId="1" type="noConversion"/>
  </si>
  <si>
    <t>宜鼎</t>
    <phoneticPr fontId="1" type="noConversion"/>
  </si>
  <si>
    <t>茂達</t>
    <phoneticPr fontId="1" type="noConversion"/>
  </si>
  <si>
    <t>旺矽</t>
    <phoneticPr fontId="1" type="noConversion"/>
  </si>
  <si>
    <t>立端</t>
    <phoneticPr fontId="1" type="noConversion"/>
  </si>
  <si>
    <t>良維</t>
    <phoneticPr fontId="1" type="noConversion"/>
  </si>
  <si>
    <t>瑞穎</t>
    <phoneticPr fontId="1" type="noConversion"/>
  </si>
  <si>
    <t>翔名</t>
    <phoneticPr fontId="1" type="noConversion"/>
  </si>
  <si>
    <t>千附</t>
    <phoneticPr fontId="1" type="noConversion"/>
  </si>
  <si>
    <t>弘帆</t>
    <phoneticPr fontId="1" type="noConversion"/>
  </si>
  <si>
    <t>中華</t>
    <phoneticPr fontId="1" type="noConversion"/>
  </si>
  <si>
    <t>為升</t>
    <phoneticPr fontId="1" type="noConversion"/>
  </si>
  <si>
    <t>合晶</t>
    <phoneticPr fontId="1" type="noConversion"/>
  </si>
  <si>
    <t>6182</t>
    <phoneticPr fontId="1" type="noConversion"/>
  </si>
  <si>
    <t>精材</t>
    <phoneticPr fontId="1" type="noConversion"/>
  </si>
  <si>
    <t>全新</t>
    <phoneticPr fontId="1" type="noConversion"/>
  </si>
  <si>
    <t>尼克森</t>
    <phoneticPr fontId="1" type="noConversion"/>
  </si>
  <si>
    <t>禾伸堂</t>
    <phoneticPr fontId="1" type="noConversion"/>
  </si>
  <si>
    <t>榮創</t>
    <phoneticPr fontId="1" type="noConversion"/>
  </si>
  <si>
    <t>集盛</t>
    <phoneticPr fontId="1" type="noConversion"/>
  </si>
  <si>
    <t>直得</t>
    <phoneticPr fontId="1" type="noConversion"/>
  </si>
  <si>
    <t>康普</t>
    <phoneticPr fontId="1" type="noConversion"/>
  </si>
  <si>
    <t>中砂</t>
    <phoneticPr fontId="1" type="noConversion"/>
  </si>
  <si>
    <t>今國光</t>
    <phoneticPr fontId="1" type="noConversion"/>
  </si>
  <si>
    <t>達邁</t>
    <phoneticPr fontId="1" type="noConversion"/>
  </si>
  <si>
    <t>大量</t>
    <phoneticPr fontId="1" type="noConversion"/>
  </si>
  <si>
    <t>浩鑫</t>
    <phoneticPr fontId="1" type="noConversion"/>
  </si>
  <si>
    <t>麗豐KY</t>
    <phoneticPr fontId="1" type="noConversion"/>
  </si>
  <si>
    <t>曜越</t>
    <phoneticPr fontId="1" type="noConversion"/>
  </si>
  <si>
    <t>宏齊</t>
    <phoneticPr fontId="1" type="noConversion"/>
  </si>
  <si>
    <t>淩通</t>
    <phoneticPr fontId="1" type="noConversion"/>
  </si>
  <si>
    <t>環宇KY</t>
    <phoneticPr fontId="1" type="noConversion"/>
  </si>
  <si>
    <t>光磊</t>
    <phoneticPr fontId="1" type="noConversion"/>
  </si>
  <si>
    <t>宣德</t>
    <phoneticPr fontId="1" type="noConversion"/>
  </si>
  <si>
    <t>鼎元</t>
    <phoneticPr fontId="1" type="noConversion"/>
  </si>
  <si>
    <t>華新科</t>
    <phoneticPr fontId="1" type="noConversion"/>
  </si>
  <si>
    <t>牧德</t>
    <phoneticPr fontId="1" type="noConversion"/>
  </si>
  <si>
    <t>鼎炫KY</t>
    <phoneticPr fontId="1" type="noConversion"/>
  </si>
  <si>
    <t>立隆電</t>
    <phoneticPr fontId="1" type="noConversion"/>
  </si>
  <si>
    <t>應華</t>
    <phoneticPr fontId="1" type="noConversion"/>
  </si>
  <si>
    <t>晶宏</t>
    <phoneticPr fontId="1" type="noConversion"/>
  </si>
  <si>
    <t>立敦</t>
    <phoneticPr fontId="1" type="noConversion"/>
  </si>
  <si>
    <t>正文</t>
    <phoneticPr fontId="1" type="noConversion"/>
  </si>
  <si>
    <t>國喬</t>
    <phoneticPr fontId="1" type="noConversion"/>
  </si>
  <si>
    <t>強茂</t>
    <phoneticPr fontId="1" type="noConversion"/>
  </si>
  <si>
    <t>2317</t>
    <phoneticPr fontId="1" type="noConversion"/>
  </si>
  <si>
    <t>年線下變平，準備捕老熊。</t>
    <phoneticPr fontId="1" type="noConversion"/>
  </si>
  <si>
    <t>年線往上拐，回踩堅決買！</t>
  </si>
  <si>
    <t>年線往下行，一定要搞清，</t>
    <phoneticPr fontId="1" type="noConversion"/>
  </si>
  <si>
    <t>如等半年線，暫做壁上觀。</t>
  </si>
  <si>
    <t>深跌破年線，老熊活年半。</t>
    <phoneticPr fontId="1" type="noConversion"/>
  </si>
  <si>
    <t>價穩年線上，千里馬亮相。</t>
  </si>
  <si>
    <t>要問為什么？牛熊一線亡！</t>
    <phoneticPr fontId="1" type="noConversion"/>
  </si>
  <si>
    <t>半年線下穿，千萬不要沾。</t>
  </si>
  <si>
    <t>半年線上拐，堅決果斷買！</t>
    <phoneticPr fontId="1" type="noConversion"/>
  </si>
  <si>
    <t>季線如下穿，後市不樂觀！</t>
  </si>
  <si>
    <t>季線往上走，長期須多頭！</t>
    <phoneticPr fontId="1" type="noConversion"/>
  </si>
  <si>
    <t>月線不下穿，光明就在前！</t>
  </si>
  <si>
    <t>長期往上翹，短期呈纏繞，</t>
    <phoneticPr fontId="1" type="noConversion"/>
  </si>
  <si>
    <t>平臺一做成，股價往上跑！</t>
  </si>
  <si>
    <t>（均線口訣）</t>
    <phoneticPr fontId="1" type="noConversion"/>
  </si>
  <si>
    <t>1年平均線變水平,要準備迎接多頭</t>
  </si>
  <si>
    <t>1年平均線確定往上後,有回檔要買入(俗稱的W底的第2隻腳)</t>
  </si>
  <si>
    <t>1年平均線往下時,一定要小心</t>
  </si>
  <si>
    <t>如發現半年現也往下時,勿在買入,先觀望</t>
  </si>
  <si>
    <t>快速下跌破年線,多頭可能只有半年</t>
  </si>
  <si>
    <t>如發現股價穩定突破年線,可能是黑馬</t>
  </si>
  <si>
    <t>勤美</t>
    <phoneticPr fontId="1" type="noConversion"/>
  </si>
  <si>
    <t>銘旺實</t>
    <phoneticPr fontId="1" type="noConversion"/>
  </si>
  <si>
    <t>50反</t>
    <phoneticPr fontId="1" type="noConversion"/>
  </si>
  <si>
    <t>華碩</t>
    <phoneticPr fontId="1" type="noConversion"/>
  </si>
  <si>
    <t>技嘉</t>
    <phoneticPr fontId="1" type="noConversion"/>
  </si>
  <si>
    <t>廣達</t>
    <phoneticPr fontId="1" type="noConversion"/>
  </si>
  <si>
    <t>群光</t>
    <phoneticPr fontId="1" type="noConversion"/>
  </si>
  <si>
    <t>南亞科</t>
    <phoneticPr fontId="1" type="noConversion"/>
  </si>
  <si>
    <t>友達</t>
    <phoneticPr fontId="1" type="noConversion"/>
  </si>
  <si>
    <t>美律</t>
    <phoneticPr fontId="1" type="noConversion"/>
  </si>
  <si>
    <t>景碩</t>
    <phoneticPr fontId="1" type="noConversion"/>
  </si>
  <si>
    <t>群創</t>
    <phoneticPr fontId="1" type="noConversion"/>
  </si>
  <si>
    <t>彩晶</t>
    <phoneticPr fontId="1" type="noConversion"/>
  </si>
  <si>
    <t>樺漢</t>
    <phoneticPr fontId="1" type="noConversion"/>
  </si>
  <si>
    <t>中</t>
    <phoneticPr fontId="1" type="noConversion"/>
  </si>
  <si>
    <t>華南金</t>
    <phoneticPr fontId="1" type="noConversion"/>
  </si>
  <si>
    <t>美琪瑪</t>
    <phoneticPr fontId="1" type="noConversion"/>
  </si>
  <si>
    <t>岳豐</t>
    <phoneticPr fontId="1" type="noConversion"/>
  </si>
  <si>
    <t>聯亞</t>
    <phoneticPr fontId="1" type="noConversion"/>
  </si>
  <si>
    <t>璟德</t>
    <phoneticPr fontId="1" type="noConversion"/>
  </si>
  <si>
    <t>威剛</t>
    <phoneticPr fontId="1" type="noConversion"/>
  </si>
  <si>
    <t>同致</t>
    <phoneticPr fontId="1" type="noConversion"/>
  </si>
  <si>
    <t>東洋</t>
    <phoneticPr fontId="1" type="noConversion"/>
  </si>
  <si>
    <t>智崴</t>
    <phoneticPr fontId="1" type="noConversion"/>
  </si>
  <si>
    <t>信驊</t>
    <phoneticPr fontId="1" type="noConversion"/>
  </si>
  <si>
    <t>台半</t>
    <phoneticPr fontId="1" type="noConversion"/>
  </si>
  <si>
    <t>智冠</t>
    <phoneticPr fontId="1" type="noConversion"/>
  </si>
  <si>
    <t>神盾</t>
    <phoneticPr fontId="1" type="noConversion"/>
  </si>
  <si>
    <t>精測</t>
    <phoneticPr fontId="1" type="noConversion"/>
  </si>
  <si>
    <t>群聯</t>
    <phoneticPr fontId="1" type="noConversion"/>
  </si>
  <si>
    <t>金居</t>
    <phoneticPr fontId="1" type="noConversion"/>
  </si>
  <si>
    <t>綠河KY</t>
    <phoneticPr fontId="1" type="noConversion"/>
  </si>
  <si>
    <t>森钜</t>
    <phoneticPr fontId="1" type="noConversion"/>
  </si>
  <si>
    <t>皇田</t>
    <phoneticPr fontId="1" type="noConversion"/>
  </si>
  <si>
    <t>長華</t>
    <phoneticPr fontId="1" type="noConversion"/>
  </si>
  <si>
    <t>訊芯KY</t>
    <phoneticPr fontId="1" type="noConversion"/>
  </si>
  <si>
    <t>興勤</t>
    <phoneticPr fontId="1" type="noConversion"/>
  </si>
  <si>
    <t>新至陞</t>
    <phoneticPr fontId="1" type="noConversion"/>
  </si>
  <si>
    <t>雙鴻</t>
    <phoneticPr fontId="1" type="noConversion"/>
  </si>
  <si>
    <t>東隆興</t>
    <phoneticPr fontId="1" type="noConversion"/>
  </si>
  <si>
    <t>匯鑽科</t>
    <phoneticPr fontId="1" type="noConversion"/>
  </si>
  <si>
    <t>川寶</t>
    <phoneticPr fontId="1" type="noConversion"/>
  </si>
  <si>
    <t>萬潤</t>
    <phoneticPr fontId="1" type="noConversion"/>
  </si>
  <si>
    <t>維熹</t>
    <phoneticPr fontId="1" type="noConversion"/>
  </si>
  <si>
    <t>聚鼎</t>
    <phoneticPr fontId="1" type="noConversion"/>
  </si>
  <si>
    <t>陽程</t>
    <phoneticPr fontId="1" type="noConversion"/>
  </si>
  <si>
    <t>台虹</t>
    <phoneticPr fontId="1" type="noConversion"/>
  </si>
  <si>
    <t>順達</t>
    <phoneticPr fontId="1" type="noConversion"/>
  </si>
  <si>
    <t>鴻碩</t>
    <phoneticPr fontId="1" type="noConversion"/>
  </si>
  <si>
    <t>點序</t>
    <phoneticPr fontId="1" type="noConversion"/>
  </si>
  <si>
    <t>谷崧</t>
    <phoneticPr fontId="1" type="noConversion"/>
  </si>
  <si>
    <t>達方</t>
    <phoneticPr fontId="1" type="noConversion"/>
  </si>
  <si>
    <t>精元</t>
    <phoneticPr fontId="1" type="noConversion"/>
  </si>
  <si>
    <t>其他</t>
    <phoneticPr fontId="1" type="noConversion"/>
  </si>
  <si>
    <t>廣宇</t>
    <phoneticPr fontId="1" type="noConversion"/>
  </si>
  <si>
    <t>建漢</t>
    <phoneticPr fontId="1" type="noConversion"/>
  </si>
  <si>
    <t>正達</t>
    <phoneticPr fontId="1" type="noConversion"/>
  </si>
  <si>
    <t>位速</t>
    <phoneticPr fontId="1" type="noConversion"/>
  </si>
  <si>
    <t>友威科</t>
    <phoneticPr fontId="1" type="noConversion"/>
  </si>
  <si>
    <t>乙盛KY</t>
    <phoneticPr fontId="1" type="noConversion"/>
  </si>
  <si>
    <t>台通</t>
    <phoneticPr fontId="1" type="noConversion"/>
  </si>
  <si>
    <t>和鑫</t>
    <phoneticPr fontId="1" type="noConversion"/>
  </si>
  <si>
    <t>瀚宇博</t>
    <phoneticPr fontId="1" type="noConversion"/>
  </si>
  <si>
    <t>精成科</t>
    <phoneticPr fontId="1" type="noConversion"/>
  </si>
  <si>
    <t>精星</t>
    <phoneticPr fontId="1" type="noConversion"/>
  </si>
  <si>
    <t>力麗</t>
    <phoneticPr fontId="1" type="noConversion"/>
  </si>
  <si>
    <t>譁裕</t>
    <phoneticPr fontId="1" type="noConversion"/>
  </si>
  <si>
    <t>統新</t>
    <phoneticPr fontId="1" type="noConversion"/>
  </si>
  <si>
    <t>眾達KY</t>
    <phoneticPr fontId="1" type="noConversion"/>
  </si>
  <si>
    <t>友訊</t>
    <phoneticPr fontId="1" type="noConversion"/>
  </si>
  <si>
    <t>智伸科</t>
    <phoneticPr fontId="1" type="noConversion"/>
  </si>
  <si>
    <t>康舒</t>
    <phoneticPr fontId="1" type="noConversion"/>
  </si>
  <si>
    <t>六暉KY</t>
    <phoneticPr fontId="1" type="noConversion"/>
  </si>
  <si>
    <t>怡利電</t>
    <phoneticPr fontId="1" type="noConversion"/>
  </si>
  <si>
    <t>車王電</t>
    <phoneticPr fontId="1" type="noConversion"/>
  </si>
  <si>
    <t>橙的</t>
    <phoneticPr fontId="1" type="noConversion"/>
  </si>
  <si>
    <t>堤維西</t>
    <phoneticPr fontId="1" type="noConversion"/>
  </si>
  <si>
    <t>耿鼎</t>
    <phoneticPr fontId="1" type="noConversion"/>
  </si>
  <si>
    <t>長園科</t>
    <phoneticPr fontId="1" type="noConversion"/>
  </si>
  <si>
    <t>嘉晶</t>
    <phoneticPr fontId="1" type="noConversion"/>
  </si>
  <si>
    <t>漢磊</t>
    <phoneticPr fontId="1" type="noConversion"/>
  </si>
  <si>
    <t>凱美</t>
    <phoneticPr fontId="1" type="noConversion"/>
  </si>
  <si>
    <t>震旦行</t>
    <phoneticPr fontId="1" type="noConversion"/>
  </si>
  <si>
    <t>久元</t>
    <phoneticPr fontId="1" type="noConversion"/>
  </si>
  <si>
    <t>新钜科</t>
    <phoneticPr fontId="1" type="noConversion"/>
  </si>
  <si>
    <t>鈺創</t>
    <phoneticPr fontId="1" type="noConversion"/>
  </si>
  <si>
    <t>外持</t>
    <phoneticPr fontId="1" type="noConversion"/>
  </si>
  <si>
    <t>大持</t>
    <phoneticPr fontId="1" type="noConversion"/>
  </si>
  <si>
    <t>晶焱</t>
    <phoneticPr fontId="1" type="noConversion"/>
  </si>
  <si>
    <t>上福</t>
    <phoneticPr fontId="1" type="noConversion"/>
  </si>
  <si>
    <t>力達KY</t>
    <phoneticPr fontId="1" type="noConversion"/>
  </si>
  <si>
    <t>佳格</t>
    <phoneticPr fontId="1" type="noConversion"/>
  </si>
  <si>
    <t>福懋</t>
    <phoneticPr fontId="1" type="noConversion"/>
  </si>
  <si>
    <t>川湖</t>
    <phoneticPr fontId="1" type="noConversion"/>
  </si>
  <si>
    <t>中租KY</t>
    <phoneticPr fontId="1" type="noConversion"/>
  </si>
  <si>
    <t>瑞儀</t>
    <phoneticPr fontId="1" type="noConversion"/>
  </si>
  <si>
    <t>矽力KY</t>
    <phoneticPr fontId="1" type="noConversion"/>
  </si>
  <si>
    <t>GIS-KY</t>
    <phoneticPr fontId="1" type="noConversion"/>
  </si>
  <si>
    <t>億豐</t>
    <phoneticPr fontId="1" type="noConversion"/>
  </si>
  <si>
    <t>巨大</t>
    <phoneticPr fontId="1" type="noConversion"/>
  </si>
  <si>
    <t>穩懋</t>
    <phoneticPr fontId="1" type="noConversion"/>
  </si>
  <si>
    <t>原相</t>
    <phoneticPr fontId="1" type="noConversion"/>
  </si>
  <si>
    <t>欣銓</t>
    <phoneticPr fontId="1" type="noConversion"/>
  </si>
  <si>
    <t>鈊象</t>
    <phoneticPr fontId="1" type="noConversion"/>
  </si>
  <si>
    <t>數字</t>
    <phoneticPr fontId="1" type="noConversion"/>
  </si>
  <si>
    <t>新普</t>
    <phoneticPr fontId="1" type="noConversion"/>
  </si>
  <si>
    <t>台燿</t>
    <phoneticPr fontId="1" type="noConversion"/>
  </si>
  <si>
    <t>宏捷科</t>
    <phoneticPr fontId="1" type="noConversion"/>
  </si>
  <si>
    <t>大江</t>
    <phoneticPr fontId="1" type="noConversion"/>
  </si>
  <si>
    <t>臺企銀</t>
    <phoneticPr fontId="1" type="noConversion"/>
  </si>
  <si>
    <t>長榮</t>
    <phoneticPr fontId="1" type="noConversion"/>
  </si>
  <si>
    <t>遠東新</t>
    <phoneticPr fontId="1" type="noConversion"/>
  </si>
  <si>
    <t>中鋼</t>
    <phoneticPr fontId="1" type="noConversion"/>
  </si>
  <si>
    <t>統一超</t>
    <phoneticPr fontId="1" type="noConversion"/>
  </si>
  <si>
    <t>信邦</t>
    <phoneticPr fontId="1" type="noConversion"/>
  </si>
  <si>
    <t>文曄</t>
    <phoneticPr fontId="1" type="noConversion"/>
  </si>
  <si>
    <t>貿聯KY</t>
    <phoneticPr fontId="1" type="noConversion"/>
  </si>
  <si>
    <t>寶成</t>
    <phoneticPr fontId="1" type="noConversion"/>
  </si>
  <si>
    <t>彰銀</t>
    <phoneticPr fontId="1" type="noConversion"/>
  </si>
  <si>
    <t>開發金</t>
    <phoneticPr fontId="1" type="noConversion"/>
  </si>
  <si>
    <t>玉山金</t>
    <phoneticPr fontId="1" type="noConversion"/>
  </si>
  <si>
    <t>元大金</t>
    <phoneticPr fontId="1" type="noConversion"/>
  </si>
  <si>
    <t>台新金</t>
    <phoneticPr fontId="1" type="noConversion"/>
  </si>
  <si>
    <t>國票金</t>
    <phoneticPr fontId="1" type="noConversion"/>
  </si>
  <si>
    <t>第一金</t>
    <phoneticPr fontId="1" type="noConversion"/>
  </si>
  <si>
    <t>合庫金</t>
    <phoneticPr fontId="1" type="noConversion"/>
  </si>
  <si>
    <t>可成</t>
    <phoneticPr fontId="1" type="noConversion"/>
  </si>
  <si>
    <t>正新</t>
    <phoneticPr fontId="1" type="noConversion"/>
  </si>
  <si>
    <t>台泥</t>
    <phoneticPr fontId="1" type="noConversion"/>
  </si>
  <si>
    <t>超豐</t>
    <phoneticPr fontId="1" type="noConversion"/>
  </si>
  <si>
    <t>南茂</t>
    <phoneticPr fontId="1" type="noConversion"/>
  </si>
  <si>
    <t>億光</t>
    <phoneticPr fontId="1" type="noConversion"/>
  </si>
  <si>
    <t>嘉澤</t>
    <phoneticPr fontId="1" type="noConversion"/>
  </si>
  <si>
    <t>南電</t>
    <phoneticPr fontId="1" type="noConversion"/>
  </si>
  <si>
    <t>精誠</t>
    <phoneticPr fontId="1" type="noConversion"/>
  </si>
  <si>
    <t>福懋科</t>
    <phoneticPr fontId="1" type="noConversion"/>
  </si>
  <si>
    <t>大成鋼</t>
    <phoneticPr fontId="1" type="noConversion"/>
  </si>
  <si>
    <t>允強</t>
    <phoneticPr fontId="1" type="noConversion"/>
  </si>
  <si>
    <t>國碳科</t>
    <phoneticPr fontId="1" type="noConversion"/>
  </si>
  <si>
    <t>融資</t>
    <phoneticPr fontId="1" type="noConversion"/>
  </si>
  <si>
    <t>盈</t>
    <phoneticPr fontId="1" type="noConversion"/>
  </si>
  <si>
    <t>1733</t>
    <phoneticPr fontId="1" type="noConversion"/>
  </si>
  <si>
    <t>五鼎</t>
    <phoneticPr fontId="1" type="noConversion"/>
  </si>
  <si>
    <t>大毅</t>
    <phoneticPr fontId="1" type="noConversion"/>
  </si>
  <si>
    <t>世芯KY</t>
    <phoneticPr fontId="1" type="noConversion"/>
  </si>
  <si>
    <t>佐登KY</t>
    <phoneticPr fontId="1" type="noConversion"/>
  </si>
  <si>
    <t>健喬</t>
    <phoneticPr fontId="1" type="noConversion"/>
  </si>
  <si>
    <t>新光鋼</t>
    <phoneticPr fontId="1" type="noConversion"/>
  </si>
  <si>
    <t>威盛</t>
    <phoneticPr fontId="1" type="noConversion"/>
  </si>
  <si>
    <t>合一</t>
    <phoneticPr fontId="1" type="noConversion"/>
  </si>
  <si>
    <t>中環</t>
    <phoneticPr fontId="1" type="noConversion"/>
  </si>
  <si>
    <t>VHQKY</t>
    <phoneticPr fontId="1" type="noConversion"/>
  </si>
  <si>
    <t>上緯投控</t>
    <phoneticPr fontId="1" type="noConversion"/>
  </si>
  <si>
    <t>益航</t>
    <phoneticPr fontId="1" type="noConversion"/>
  </si>
  <si>
    <t>日電貿</t>
    <phoneticPr fontId="1" type="noConversion"/>
  </si>
  <si>
    <t>6284</t>
    <phoneticPr fontId="1" type="noConversion"/>
  </si>
  <si>
    <t>佳邦</t>
    <phoneticPr fontId="1" type="noConversion"/>
  </si>
  <si>
    <t>錸德</t>
    <phoneticPr fontId="1" type="noConversion"/>
  </si>
  <si>
    <t>光罩</t>
    <phoneticPr fontId="1" type="noConversion"/>
  </si>
  <si>
    <t>捷敏KY</t>
    <phoneticPr fontId="1" type="noConversion"/>
  </si>
  <si>
    <t>蜜望實</t>
    <phoneticPr fontId="1" type="noConversion"/>
  </si>
  <si>
    <t>邦特</t>
    <phoneticPr fontId="1" type="noConversion"/>
  </si>
  <si>
    <t>堡達</t>
    <phoneticPr fontId="1" type="noConversion"/>
  </si>
  <si>
    <t>增</t>
    <phoneticPr fontId="1" type="noConversion"/>
  </si>
  <si>
    <t>水泥</t>
    <phoneticPr fontId="1" type="noConversion"/>
  </si>
  <si>
    <t>食品</t>
    <phoneticPr fontId="1" type="noConversion"/>
  </si>
  <si>
    <t>塑膠</t>
    <phoneticPr fontId="1" type="noConversion"/>
  </si>
  <si>
    <t>紡織</t>
    <phoneticPr fontId="1" type="noConversion"/>
  </si>
  <si>
    <t>電機</t>
    <phoneticPr fontId="1" type="noConversion"/>
  </si>
  <si>
    <t>電器</t>
    <phoneticPr fontId="1" type="noConversion"/>
  </si>
  <si>
    <t>玻陶</t>
    <phoneticPr fontId="1" type="noConversion"/>
  </si>
  <si>
    <t>造紙</t>
    <phoneticPr fontId="1" type="noConversion"/>
  </si>
  <si>
    <t>鋼鐵</t>
    <phoneticPr fontId="1" type="noConversion"/>
  </si>
  <si>
    <t>橡膠</t>
    <phoneticPr fontId="1" type="noConversion"/>
  </si>
  <si>
    <t>汽車</t>
    <phoneticPr fontId="1" type="noConversion"/>
  </si>
  <si>
    <t>航運</t>
    <phoneticPr fontId="1" type="noConversion"/>
  </si>
  <si>
    <t>觀光</t>
    <phoneticPr fontId="1" type="noConversion"/>
  </si>
  <si>
    <t>金融</t>
    <phoneticPr fontId="1" type="noConversion"/>
  </si>
  <si>
    <t>揚名光</t>
    <phoneticPr fontId="1" type="noConversion"/>
  </si>
  <si>
    <t>1785</t>
    <phoneticPr fontId="1" type="noConversion"/>
  </si>
  <si>
    <t>光洋科</t>
    <phoneticPr fontId="1" type="noConversion"/>
  </si>
  <si>
    <t>光電</t>
    <phoneticPr fontId="1" type="noConversion"/>
  </si>
  <si>
    <t>半導</t>
    <phoneticPr fontId="1" type="noConversion"/>
  </si>
  <si>
    <t>組件</t>
    <phoneticPr fontId="1" type="noConversion"/>
  </si>
  <si>
    <t>生醫</t>
    <phoneticPr fontId="1" type="noConversion"/>
  </si>
  <si>
    <t>電腦</t>
    <phoneticPr fontId="1" type="noConversion"/>
  </si>
  <si>
    <t>貿易</t>
    <phoneticPr fontId="1" type="noConversion"/>
  </si>
  <si>
    <t>通信</t>
    <phoneticPr fontId="1" type="noConversion"/>
  </si>
  <si>
    <t>油電</t>
    <phoneticPr fontId="1" type="noConversion"/>
  </si>
  <si>
    <t>資訊</t>
    <phoneticPr fontId="1" type="noConversion"/>
  </si>
  <si>
    <t>他電</t>
    <phoneticPr fontId="1" type="noConversion"/>
  </si>
  <si>
    <t>鈺邦</t>
    <phoneticPr fontId="1" type="noConversion"/>
  </si>
  <si>
    <t>光頡</t>
    <phoneticPr fontId="1" type="noConversion"/>
  </si>
  <si>
    <t>1309</t>
    <phoneticPr fontId="1" type="noConversion"/>
  </si>
  <si>
    <t>台達化</t>
    <phoneticPr fontId="1" type="noConversion"/>
  </si>
  <si>
    <t>杰力</t>
  </si>
  <si>
    <t>大中</t>
    <phoneticPr fontId="1" type="noConversion"/>
  </si>
  <si>
    <t>1710</t>
    <phoneticPr fontId="1" type="noConversion"/>
  </si>
  <si>
    <t>東聯</t>
    <phoneticPr fontId="1" type="noConversion"/>
  </si>
  <si>
    <t>雷科</t>
    <phoneticPr fontId="1" type="noConversion"/>
  </si>
  <si>
    <t>九豪</t>
    <phoneticPr fontId="1" type="noConversion"/>
  </si>
  <si>
    <t>茂矽</t>
    <phoneticPr fontId="1" type="noConversion"/>
  </si>
  <si>
    <t>類股</t>
    <phoneticPr fontId="1" type="noConversion"/>
  </si>
  <si>
    <t>美時</t>
    <phoneticPr fontId="1" type="noConversion"/>
  </si>
  <si>
    <t>科妍</t>
    <phoneticPr fontId="1" type="noConversion"/>
  </si>
  <si>
    <t>是方</t>
    <phoneticPr fontId="1" type="noConversion"/>
  </si>
  <si>
    <t>矽統</t>
    <phoneticPr fontId="1" type="noConversion"/>
  </si>
  <si>
    <t>毅嘉</t>
    <phoneticPr fontId="1" type="noConversion"/>
  </si>
  <si>
    <t>富鼎</t>
    <phoneticPr fontId="1" type="noConversion"/>
  </si>
  <si>
    <t>中工</t>
    <phoneticPr fontId="1" type="noConversion"/>
  </si>
  <si>
    <t>營造</t>
    <phoneticPr fontId="1" type="noConversion"/>
  </si>
  <si>
    <t>佳凌</t>
    <phoneticPr fontId="1" type="noConversion"/>
  </si>
  <si>
    <t>聚積</t>
    <phoneticPr fontId="1" type="noConversion"/>
  </si>
  <si>
    <t>矽格</t>
    <phoneticPr fontId="1" type="noConversion"/>
  </si>
  <si>
    <t>明基材</t>
    <phoneticPr fontId="1" type="noConversion"/>
  </si>
  <si>
    <t>世紀鋼</t>
    <phoneticPr fontId="1" type="noConversion"/>
  </si>
  <si>
    <t>千如</t>
    <phoneticPr fontId="1" type="noConversion"/>
  </si>
  <si>
    <t>鈞寶</t>
    <phoneticPr fontId="1" type="noConversion"/>
  </si>
  <si>
    <t>台嘉碩</t>
    <phoneticPr fontId="1" type="noConversion"/>
  </si>
  <si>
    <t>尚立</t>
    <phoneticPr fontId="1" type="noConversion"/>
  </si>
  <si>
    <t>電通</t>
    <phoneticPr fontId="1" type="noConversion"/>
  </si>
  <si>
    <t>環科</t>
    <phoneticPr fontId="1" type="noConversion"/>
  </si>
  <si>
    <t>00632</t>
    <phoneticPr fontId="1" type="noConversion"/>
  </si>
  <si>
    <t>2890</t>
    <phoneticPr fontId="1" type="noConversion"/>
  </si>
  <si>
    <t>1789</t>
    <phoneticPr fontId="1" type="noConversion"/>
  </si>
  <si>
    <t>1304</t>
    <phoneticPr fontId="1" type="noConversion"/>
  </si>
  <si>
    <t>電商</t>
    <phoneticPr fontId="1" type="noConversion"/>
  </si>
  <si>
    <t>一詮</t>
    <phoneticPr fontId="1" type="noConversion"/>
  </si>
  <si>
    <t>淳安</t>
    <phoneticPr fontId="1" type="noConversion"/>
  </si>
  <si>
    <t>旺旺保</t>
    <phoneticPr fontId="1" type="noConversion"/>
  </si>
  <si>
    <t>台產</t>
    <phoneticPr fontId="1" type="noConversion"/>
  </si>
  <si>
    <t>安泰銀</t>
    <phoneticPr fontId="1" type="noConversion"/>
  </si>
  <si>
    <t>新產</t>
    <phoneticPr fontId="1" type="noConversion"/>
  </si>
  <si>
    <t>中再保</t>
    <phoneticPr fontId="1" type="noConversion"/>
  </si>
  <si>
    <t>2855</t>
    <phoneticPr fontId="1" type="noConversion"/>
  </si>
  <si>
    <t>統一證</t>
    <phoneticPr fontId="1" type="noConversion"/>
  </si>
  <si>
    <t>王道銀</t>
    <phoneticPr fontId="1" type="noConversion"/>
  </si>
  <si>
    <t>群益期</t>
    <phoneticPr fontId="1" type="noConversion"/>
  </si>
  <si>
    <t>致和證</t>
    <phoneticPr fontId="1" type="noConversion"/>
  </si>
  <si>
    <t>台名</t>
    <phoneticPr fontId="1" type="noConversion"/>
  </si>
  <si>
    <t>宏遠證</t>
    <phoneticPr fontId="1" type="noConversion"/>
  </si>
  <si>
    <t>康和證</t>
    <phoneticPr fontId="1" type="noConversion"/>
  </si>
  <si>
    <t>大展證</t>
    <phoneticPr fontId="1" type="noConversion"/>
  </si>
  <si>
    <t>大慶證</t>
    <phoneticPr fontId="1" type="noConversion"/>
  </si>
  <si>
    <t>福邦證</t>
    <phoneticPr fontId="1" type="noConversion"/>
  </si>
  <si>
    <t>半導體</t>
    <phoneticPr fontId="1" type="noConversion"/>
  </si>
  <si>
    <t>麗正</t>
    <phoneticPr fontId="1" type="noConversion"/>
  </si>
  <si>
    <t>華泰</t>
    <phoneticPr fontId="1" type="noConversion"/>
  </si>
  <si>
    <t>統懋</t>
    <phoneticPr fontId="1" type="noConversion"/>
  </si>
  <si>
    <t>揚智</t>
    <phoneticPr fontId="1" type="noConversion"/>
  </si>
  <si>
    <t>立萬利</t>
    <phoneticPr fontId="1" type="noConversion"/>
  </si>
  <si>
    <t>聯傑</t>
    <phoneticPr fontId="1" type="noConversion"/>
  </si>
  <si>
    <t>虹冠電</t>
    <phoneticPr fontId="1" type="noConversion"/>
  </si>
  <si>
    <t>誠創</t>
    <phoneticPr fontId="1" type="noConversion"/>
  </si>
  <si>
    <t>3545</t>
    <phoneticPr fontId="1" type="noConversion"/>
  </si>
  <si>
    <t>敦泰</t>
    <phoneticPr fontId="1" type="noConversion"/>
  </si>
  <si>
    <t>通嘉</t>
    <phoneticPr fontId="1" type="noConversion"/>
  </si>
  <si>
    <t>達能</t>
    <phoneticPr fontId="1" type="noConversion"/>
  </si>
  <si>
    <t>立積</t>
    <phoneticPr fontId="1" type="noConversion"/>
  </si>
  <si>
    <t>界霖</t>
    <phoneticPr fontId="1" type="noConversion"/>
  </si>
  <si>
    <t>5471</t>
    <phoneticPr fontId="1" type="noConversion"/>
  </si>
  <si>
    <t>松翰</t>
    <phoneticPr fontId="1" type="noConversion"/>
  </si>
  <si>
    <t>迅杰</t>
    <phoneticPr fontId="1" type="noConversion"/>
  </si>
  <si>
    <t>愛普</t>
    <phoneticPr fontId="1" type="noConversion"/>
  </si>
  <si>
    <t>晶心科</t>
    <phoneticPr fontId="1" type="noConversion"/>
  </si>
  <si>
    <t>易華電</t>
    <phoneticPr fontId="1" type="noConversion"/>
  </si>
  <si>
    <t>虹揚KY</t>
    <phoneticPr fontId="1" type="noConversion"/>
  </si>
  <si>
    <t>致新</t>
    <phoneticPr fontId="1" type="noConversion"/>
  </si>
  <si>
    <t>宇瞻</t>
    <phoneticPr fontId="1" type="noConversion"/>
  </si>
  <si>
    <t>笙泉</t>
    <phoneticPr fontId="1" type="noConversion"/>
  </si>
  <si>
    <t>亞信</t>
    <phoneticPr fontId="1" type="noConversion"/>
  </si>
  <si>
    <t>金麗科</t>
    <phoneticPr fontId="1" type="noConversion"/>
  </si>
  <si>
    <t>鑫創</t>
    <phoneticPr fontId="1" type="noConversion"/>
  </si>
  <si>
    <t>海德威</t>
    <phoneticPr fontId="1" type="noConversion"/>
  </si>
  <si>
    <t>典範</t>
    <phoneticPr fontId="1" type="noConversion"/>
  </si>
  <si>
    <t>類比科</t>
    <phoneticPr fontId="1" type="noConversion"/>
  </si>
  <si>
    <t>禾瑞亞</t>
    <phoneticPr fontId="1" type="noConversion"/>
  </si>
  <si>
    <t>逸昌</t>
    <phoneticPr fontId="1" type="noConversion"/>
  </si>
  <si>
    <t>博磊</t>
    <phoneticPr fontId="1" type="noConversion"/>
  </si>
  <si>
    <t>德微</t>
    <phoneticPr fontId="1" type="noConversion"/>
  </si>
  <si>
    <t>家登</t>
    <phoneticPr fontId="1" type="noConversion"/>
  </si>
  <si>
    <t>廣穎</t>
    <phoneticPr fontId="1" type="noConversion"/>
  </si>
  <si>
    <t>笙科</t>
    <phoneticPr fontId="1" type="noConversion"/>
  </si>
  <si>
    <t>太欣</t>
    <phoneticPr fontId="1" type="noConversion"/>
  </si>
  <si>
    <t>世紀</t>
    <phoneticPr fontId="1" type="noConversion"/>
  </si>
  <si>
    <t>凱鈺</t>
    <phoneticPr fontId="1" type="noConversion"/>
  </si>
  <si>
    <t>通泰</t>
    <phoneticPr fontId="1" type="noConversion"/>
  </si>
  <si>
    <t>合邦</t>
    <phoneticPr fontId="1" type="noConversion"/>
  </si>
  <si>
    <t>創惟</t>
    <phoneticPr fontId="1" type="noConversion"/>
  </si>
  <si>
    <t>普誠</t>
    <phoneticPr fontId="1" type="noConversion"/>
  </si>
  <si>
    <t>凌泰</t>
    <phoneticPr fontId="1" type="noConversion"/>
  </si>
  <si>
    <t>研通</t>
    <phoneticPr fontId="1" type="noConversion"/>
  </si>
  <si>
    <t>旺久</t>
    <phoneticPr fontId="1" type="noConversion"/>
  </si>
  <si>
    <t>驊訊</t>
    <phoneticPr fontId="1" type="noConversion"/>
  </si>
  <si>
    <t>元隆</t>
    <phoneticPr fontId="1" type="noConversion"/>
  </si>
  <si>
    <t>沛亨</t>
    <phoneticPr fontId="1" type="noConversion"/>
  </si>
  <si>
    <t>紘康</t>
    <phoneticPr fontId="1" type="noConversion"/>
  </si>
  <si>
    <t>九齊</t>
    <phoneticPr fontId="1" type="noConversion"/>
  </si>
  <si>
    <t>瑞耘</t>
    <phoneticPr fontId="1" type="noConversion"/>
  </si>
  <si>
    <t>宏觀</t>
    <phoneticPr fontId="1" type="noConversion"/>
  </si>
  <si>
    <t>展匯科</t>
    <phoneticPr fontId="1" type="noConversion"/>
  </si>
  <si>
    <t>佑華</t>
    <phoneticPr fontId="1" type="noConversion"/>
  </si>
  <si>
    <t>九暘</t>
    <phoneticPr fontId="1" type="noConversion"/>
  </si>
  <si>
    <t>安國</t>
    <phoneticPr fontId="1" type="noConversion"/>
  </si>
  <si>
    <t>品安</t>
    <phoneticPr fontId="1" type="noConversion"/>
  </si>
  <si>
    <t>商丞</t>
    <phoneticPr fontId="1" type="noConversion"/>
  </si>
  <si>
    <t>年線</t>
    <phoneticPr fontId="1" type="noConversion"/>
  </si>
  <si>
    <t>首利</t>
    <phoneticPr fontId="1" type="noConversion"/>
  </si>
  <si>
    <t>海華</t>
    <phoneticPr fontId="1" type="noConversion"/>
  </si>
  <si>
    <t>信錦</t>
    <phoneticPr fontId="1" type="noConversion"/>
  </si>
  <si>
    <t>楠梓電</t>
    <phoneticPr fontId="1" type="noConversion"/>
  </si>
  <si>
    <t>2368</t>
    <phoneticPr fontId="1" type="noConversion"/>
  </si>
  <si>
    <t>金像電</t>
    <phoneticPr fontId="1" type="noConversion"/>
  </si>
  <si>
    <t>錩新</t>
    <phoneticPr fontId="1" type="noConversion"/>
  </si>
  <si>
    <t>新巨</t>
    <phoneticPr fontId="1" type="noConversion"/>
  </si>
  <si>
    <t>銘旺科</t>
    <phoneticPr fontId="1" type="noConversion"/>
  </si>
  <si>
    <t>聯昌</t>
    <phoneticPr fontId="1" type="noConversion"/>
  </si>
  <si>
    <t>太空梭</t>
    <phoneticPr fontId="1" type="noConversion"/>
  </si>
  <si>
    <t>飛宏</t>
    <phoneticPr fontId="1" type="noConversion"/>
  </si>
  <si>
    <t>建通</t>
    <phoneticPr fontId="1" type="noConversion"/>
  </si>
  <si>
    <t>良得電</t>
    <phoneticPr fontId="1" type="noConversion"/>
  </si>
  <si>
    <t>志聖</t>
    <phoneticPr fontId="1" type="noConversion"/>
  </si>
  <si>
    <t>鉅祥</t>
    <phoneticPr fontId="1" type="noConversion"/>
  </si>
  <si>
    <t>百容</t>
    <phoneticPr fontId="1" type="noConversion"/>
  </si>
  <si>
    <t>希華</t>
    <phoneticPr fontId="1" type="noConversion"/>
  </si>
  <si>
    <t>揚博</t>
    <phoneticPr fontId="1" type="noConversion"/>
  </si>
  <si>
    <t>健和興</t>
    <phoneticPr fontId="1" type="noConversion"/>
  </si>
  <si>
    <t>今皓</t>
    <phoneticPr fontId="1" type="noConversion"/>
  </si>
  <si>
    <t>全漢</t>
    <phoneticPr fontId="1" type="noConversion"/>
  </si>
  <si>
    <t>鴻名</t>
    <phoneticPr fontId="1" type="noConversion"/>
  </si>
  <si>
    <t>偉訓</t>
    <phoneticPr fontId="1" type="noConversion"/>
  </si>
  <si>
    <t>立德</t>
    <phoneticPr fontId="1" type="noConversion"/>
  </si>
  <si>
    <t>晟鈦</t>
    <phoneticPr fontId="1" type="noConversion"/>
  </si>
  <si>
    <t>勝德</t>
    <phoneticPr fontId="1" type="noConversion"/>
  </si>
  <si>
    <t>聯德</t>
    <phoneticPr fontId="1" type="noConversion"/>
  </si>
  <si>
    <t>同泰</t>
    <phoneticPr fontId="1" type="noConversion"/>
  </si>
  <si>
    <t>台端</t>
    <phoneticPr fontId="1" type="noConversion"/>
  </si>
  <si>
    <t>聯穎</t>
    <phoneticPr fontId="1" type="noConversion"/>
  </si>
  <si>
    <t>力銘</t>
    <phoneticPr fontId="1" type="noConversion"/>
  </si>
  <si>
    <t>宏致</t>
    <phoneticPr fontId="1" type="noConversion"/>
  </si>
  <si>
    <t>健策</t>
    <phoneticPr fontId="1" type="noConversion"/>
  </si>
  <si>
    <t>銘鈺</t>
    <phoneticPr fontId="1" type="noConversion"/>
  </si>
  <si>
    <t>鑫禾</t>
    <phoneticPr fontId="1" type="noConversion"/>
  </si>
  <si>
    <t>6108</t>
    <phoneticPr fontId="1" type="noConversion"/>
  </si>
  <si>
    <t>競國</t>
    <phoneticPr fontId="1" type="noConversion"/>
  </si>
  <si>
    <t>鎰勝</t>
    <phoneticPr fontId="1" type="noConversion"/>
  </si>
  <si>
    <t>金橋</t>
    <phoneticPr fontId="1" type="noConversion"/>
  </si>
  <si>
    <t>柏承</t>
    <phoneticPr fontId="1" type="noConversion"/>
  </si>
  <si>
    <t>佳必琪</t>
    <phoneticPr fontId="1" type="noConversion"/>
  </si>
  <si>
    <t>詮欣</t>
    <phoneticPr fontId="1" type="noConversion"/>
  </si>
  <si>
    <t>定穎</t>
    <phoneticPr fontId="1" type="noConversion"/>
  </si>
  <si>
    <t>瀚荃</t>
    <phoneticPr fontId="1" type="noConversion"/>
  </si>
  <si>
    <t>菱光</t>
    <phoneticPr fontId="1" type="noConversion"/>
  </si>
  <si>
    <t>台瀚</t>
    <phoneticPr fontId="1" type="noConversion"/>
  </si>
  <si>
    <t>好得</t>
    <phoneticPr fontId="1" type="noConversion"/>
  </si>
  <si>
    <t>寶島極</t>
    <phoneticPr fontId="1" type="noConversion"/>
  </si>
  <si>
    <t>新揚科</t>
    <phoneticPr fontId="1" type="noConversion"/>
  </si>
  <si>
    <t>和進</t>
    <phoneticPr fontId="1" type="noConversion"/>
  </si>
  <si>
    <t>樺晟</t>
    <phoneticPr fontId="1" type="noConversion"/>
  </si>
  <si>
    <t>耀勝</t>
    <phoneticPr fontId="1" type="noConversion"/>
  </si>
  <si>
    <t>優群</t>
    <phoneticPr fontId="1" type="noConversion"/>
  </si>
  <si>
    <t>宇環</t>
    <phoneticPr fontId="1" type="noConversion"/>
  </si>
  <si>
    <t>點晶</t>
    <phoneticPr fontId="1" type="noConversion"/>
  </si>
  <si>
    <t>英濟</t>
    <phoneticPr fontId="1" type="noConversion"/>
  </si>
  <si>
    <t>佳穎</t>
    <phoneticPr fontId="1" type="noConversion"/>
  </si>
  <si>
    <t>斐成</t>
    <phoneticPr fontId="1" type="noConversion"/>
  </si>
  <si>
    <t>建舜電</t>
    <phoneticPr fontId="1" type="noConversion"/>
  </si>
  <si>
    <t>幸康</t>
    <phoneticPr fontId="1" type="noConversion"/>
  </si>
  <si>
    <t>律勝</t>
    <phoneticPr fontId="1" type="noConversion"/>
  </si>
  <si>
    <t>崇越電</t>
    <phoneticPr fontId="1" type="noConversion"/>
  </si>
  <si>
    <t>旭軟</t>
    <phoneticPr fontId="1" type="noConversion"/>
  </si>
  <si>
    <t>崧騰</t>
    <phoneticPr fontId="1" type="noConversion"/>
  </si>
  <si>
    <t>長盛</t>
    <phoneticPr fontId="1" type="noConversion"/>
  </si>
  <si>
    <t>矽瑪</t>
    <phoneticPr fontId="1" type="noConversion"/>
  </si>
  <si>
    <t>散熱片設計製造商</t>
    <phoneticPr fontId="1" type="noConversion"/>
  </si>
  <si>
    <t>東林</t>
    <phoneticPr fontId="1" type="noConversion"/>
  </si>
  <si>
    <t>晟楠</t>
    <phoneticPr fontId="1" type="noConversion"/>
  </si>
  <si>
    <t>艾恩特</t>
    <phoneticPr fontId="1" type="noConversion"/>
  </si>
  <si>
    <t>湧德</t>
    <phoneticPr fontId="1" type="noConversion"/>
  </si>
  <si>
    <t>科嶠</t>
    <phoneticPr fontId="1" type="noConversion"/>
  </si>
  <si>
    <t>亞電</t>
    <phoneticPr fontId="1" type="noConversion"/>
  </si>
  <si>
    <t>立凱KY</t>
    <phoneticPr fontId="1" type="noConversion"/>
  </si>
  <si>
    <t>邑昇</t>
    <phoneticPr fontId="1" type="noConversion"/>
  </si>
  <si>
    <t>系統電</t>
    <phoneticPr fontId="1" type="noConversion"/>
  </si>
  <si>
    <t>友銓</t>
    <phoneticPr fontId="1" type="noConversion"/>
  </si>
  <si>
    <t>華容</t>
    <phoneticPr fontId="1" type="noConversion"/>
  </si>
  <si>
    <t>建榮</t>
    <phoneticPr fontId="1" type="noConversion"/>
  </si>
  <si>
    <t>天揚</t>
    <phoneticPr fontId="1" type="noConversion"/>
  </si>
  <si>
    <t>主被動元件通路商</t>
    <phoneticPr fontId="1" type="noConversion"/>
  </si>
  <si>
    <t>佳總</t>
    <phoneticPr fontId="1" type="noConversion"/>
  </si>
  <si>
    <t>合正</t>
    <phoneticPr fontId="1" type="noConversion"/>
  </si>
  <si>
    <t>連展投</t>
    <phoneticPr fontId="1" type="noConversion"/>
  </si>
  <si>
    <t>同協</t>
    <phoneticPr fontId="1" type="noConversion"/>
  </si>
  <si>
    <t>霖宏</t>
    <phoneticPr fontId="1" type="noConversion"/>
  </si>
  <si>
    <t>德宏</t>
    <phoneticPr fontId="1" type="noConversion"/>
  </si>
  <si>
    <t>松普</t>
    <phoneticPr fontId="1" type="noConversion"/>
  </si>
  <si>
    <t>凱崴</t>
    <phoneticPr fontId="1" type="noConversion"/>
  </si>
  <si>
    <t>PCB鑽頭</t>
    <phoneticPr fontId="1" type="noConversion"/>
  </si>
  <si>
    <t>久威</t>
    <phoneticPr fontId="1" type="noConversion"/>
  </si>
  <si>
    <t>業強</t>
    <phoneticPr fontId="1" type="noConversion"/>
  </si>
  <si>
    <t>信音</t>
    <phoneticPr fontId="1" type="noConversion"/>
  </si>
  <si>
    <t>萬旭</t>
    <phoneticPr fontId="1" type="noConversion"/>
  </si>
  <si>
    <t>01</t>
    <phoneticPr fontId="1" type="noConversion"/>
  </si>
  <si>
    <t>02</t>
    <phoneticPr fontId="1" type="noConversion"/>
  </si>
  <si>
    <t>03</t>
    <phoneticPr fontId="1" type="noConversion"/>
  </si>
  <si>
    <t>松上</t>
    <phoneticPr fontId="1" type="noConversion"/>
  </si>
  <si>
    <t>禾昌</t>
    <phoneticPr fontId="1" type="noConversion"/>
  </si>
  <si>
    <t>安碁</t>
    <phoneticPr fontId="1" type="noConversion"/>
  </si>
  <si>
    <t>幃翔</t>
    <phoneticPr fontId="1" type="noConversion"/>
  </si>
  <si>
    <t>育富</t>
    <phoneticPr fontId="1" type="noConversion"/>
  </si>
  <si>
    <t>海韻電</t>
    <phoneticPr fontId="1" type="noConversion"/>
  </si>
  <si>
    <t>艾華</t>
    <phoneticPr fontId="1" type="noConversion"/>
  </si>
  <si>
    <t>日揚</t>
    <phoneticPr fontId="1" type="noConversion"/>
  </si>
  <si>
    <t>慶生</t>
    <phoneticPr fontId="1" type="noConversion"/>
  </si>
  <si>
    <t>百徽</t>
    <phoneticPr fontId="1" type="noConversion"/>
  </si>
  <si>
    <t>泰詠</t>
    <phoneticPr fontId="1" type="noConversion"/>
  </si>
  <si>
    <t>迅德</t>
    <phoneticPr fontId="1" type="noConversion"/>
  </si>
  <si>
    <t>今展科</t>
    <phoneticPr fontId="1" type="noConversion"/>
  </si>
  <si>
    <t>倉和</t>
    <phoneticPr fontId="1" type="noConversion"/>
  </si>
  <si>
    <t>鉅橡</t>
    <phoneticPr fontId="1" type="noConversion"/>
  </si>
  <si>
    <t>保銳</t>
    <phoneticPr fontId="1" type="noConversion"/>
  </si>
  <si>
    <t>博大</t>
    <phoneticPr fontId="1" type="noConversion"/>
  </si>
  <si>
    <t>越峰</t>
    <phoneticPr fontId="1" type="noConversion"/>
  </si>
  <si>
    <t>正凌</t>
    <phoneticPr fontId="1" type="noConversion"/>
  </si>
  <si>
    <t>加高</t>
    <phoneticPr fontId="1" type="noConversion"/>
  </si>
  <si>
    <t>泰藝</t>
    <phoneticPr fontId="1" type="noConversion"/>
  </si>
  <si>
    <t>國碩</t>
    <phoneticPr fontId="1" type="noConversion"/>
  </si>
  <si>
    <t>冠西電</t>
    <phoneticPr fontId="1" type="noConversion"/>
  </si>
  <si>
    <t>吉祥全</t>
    <phoneticPr fontId="1" type="noConversion"/>
  </si>
  <si>
    <t>憶聲</t>
    <phoneticPr fontId="1" type="noConversion"/>
  </si>
  <si>
    <t>佰鴻</t>
    <phoneticPr fontId="1" type="noConversion"/>
  </si>
  <si>
    <t>全台</t>
    <phoneticPr fontId="1" type="noConversion"/>
  </si>
  <si>
    <t>鈺德</t>
    <phoneticPr fontId="1" type="noConversion"/>
  </si>
  <si>
    <t>力特</t>
    <phoneticPr fontId="1" type="noConversion"/>
  </si>
  <si>
    <t>奇偶</t>
    <phoneticPr fontId="1" type="noConversion"/>
  </si>
  <si>
    <t>新世紀</t>
    <phoneticPr fontId="1" type="noConversion"/>
  </si>
  <si>
    <t>晶彩科</t>
    <phoneticPr fontId="1" type="noConversion"/>
  </si>
  <si>
    <t>嘉威</t>
    <phoneticPr fontId="1" type="noConversion"/>
  </si>
  <si>
    <t>艾笛森</t>
    <phoneticPr fontId="1" type="noConversion"/>
  </si>
  <si>
    <t>洋華</t>
    <phoneticPr fontId="1" type="noConversion"/>
  </si>
  <si>
    <t>太極</t>
    <phoneticPr fontId="1" type="noConversion"/>
  </si>
  <si>
    <t>茂林KY</t>
    <phoneticPr fontId="1" type="noConversion"/>
  </si>
  <si>
    <t>嘉彰</t>
    <phoneticPr fontId="1" type="noConversion"/>
  </si>
  <si>
    <t>光鋐</t>
    <phoneticPr fontId="1" type="noConversion"/>
  </si>
  <si>
    <t>泰鼎KY</t>
    <phoneticPr fontId="1" type="noConversion"/>
  </si>
  <si>
    <t>慧友</t>
    <phoneticPr fontId="1" type="noConversion"/>
  </si>
  <si>
    <t>達運</t>
    <phoneticPr fontId="1" type="noConversion"/>
  </si>
  <si>
    <t>華興</t>
    <phoneticPr fontId="1" type="noConversion"/>
  </si>
  <si>
    <t>天瀚</t>
    <phoneticPr fontId="1" type="noConversion"/>
  </si>
  <si>
    <t>光鼎</t>
    <phoneticPr fontId="1" type="noConversion"/>
  </si>
  <si>
    <t>台表科</t>
    <phoneticPr fontId="1" type="noConversion"/>
  </si>
  <si>
    <t>聯嘉</t>
    <phoneticPr fontId="1" type="noConversion"/>
  </si>
  <si>
    <t>華上</t>
    <phoneticPr fontId="1" type="noConversion"/>
  </si>
  <si>
    <t>悅城</t>
    <phoneticPr fontId="1" type="noConversion"/>
  </si>
  <si>
    <t>光麗KY</t>
    <phoneticPr fontId="1" type="noConversion"/>
  </si>
  <si>
    <t>元晶</t>
    <phoneticPr fontId="1" type="noConversion"/>
  </si>
  <si>
    <t>6477</t>
    <phoneticPr fontId="1" type="noConversion"/>
  </si>
  <si>
    <t>安集</t>
    <phoneticPr fontId="1" type="noConversion"/>
  </si>
  <si>
    <t>李洲</t>
    <phoneticPr fontId="1" type="noConversion"/>
  </si>
  <si>
    <t>昇銳</t>
    <phoneticPr fontId="1" type="noConversion"/>
  </si>
  <si>
    <t>錦明</t>
    <phoneticPr fontId="1" type="noConversion"/>
  </si>
  <si>
    <t>杭特</t>
    <phoneticPr fontId="1" type="noConversion"/>
  </si>
  <si>
    <t>泰谷</t>
    <phoneticPr fontId="1" type="noConversion"/>
  </si>
  <si>
    <t>哲固</t>
    <phoneticPr fontId="1" type="noConversion"/>
  </si>
  <si>
    <t>聯一光</t>
    <phoneticPr fontId="1" type="noConversion"/>
  </si>
  <si>
    <t>由田</t>
    <phoneticPr fontId="1" type="noConversion"/>
  </si>
  <si>
    <t>單井</t>
    <phoneticPr fontId="1" type="noConversion"/>
  </si>
  <si>
    <t>亞帝歐</t>
    <phoneticPr fontId="1" type="noConversion"/>
  </si>
  <si>
    <t>28</t>
    <phoneticPr fontId="1" type="noConversion"/>
  </si>
  <si>
    <t>先益</t>
    <phoneticPr fontId="1" type="noConversion"/>
  </si>
  <si>
    <t>安可</t>
    <phoneticPr fontId="1" type="noConversion"/>
  </si>
  <si>
    <t>富晶通</t>
    <phoneticPr fontId="1" type="noConversion"/>
  </si>
  <si>
    <t>光耀</t>
    <phoneticPr fontId="1" type="noConversion"/>
  </si>
  <si>
    <t>熒茂</t>
    <phoneticPr fontId="1" type="noConversion"/>
  </si>
  <si>
    <t>兆遠</t>
    <phoneticPr fontId="1" type="noConversion"/>
  </si>
  <si>
    <t>萬達光</t>
    <phoneticPr fontId="1" type="noConversion"/>
  </si>
  <si>
    <t>雷笛克</t>
    <phoneticPr fontId="1" type="noConversion"/>
  </si>
  <si>
    <t>天鉞電</t>
    <phoneticPr fontId="1" type="noConversion"/>
  </si>
  <si>
    <t>達威</t>
    <phoneticPr fontId="1" type="noConversion"/>
  </si>
  <si>
    <t>廣運</t>
    <phoneticPr fontId="1" type="noConversion"/>
  </si>
  <si>
    <t>久正</t>
    <phoneticPr fontId="1" type="noConversion"/>
  </si>
  <si>
    <t>高僑</t>
    <phoneticPr fontId="1" type="noConversion"/>
  </si>
  <si>
    <t>茂迪</t>
    <phoneticPr fontId="1" type="noConversion"/>
  </si>
  <si>
    <t>臺龍</t>
    <phoneticPr fontId="1" type="noConversion"/>
  </si>
  <si>
    <t>京晨科</t>
    <phoneticPr fontId="1" type="noConversion"/>
  </si>
  <si>
    <t>勝品</t>
    <phoneticPr fontId="1" type="noConversion"/>
  </si>
  <si>
    <t>欣普羅</t>
    <phoneticPr fontId="1" type="noConversion"/>
  </si>
  <si>
    <t>邑錡</t>
    <phoneticPr fontId="1" type="noConversion"/>
  </si>
  <si>
    <t>晶采</t>
    <phoneticPr fontId="1" type="noConversion"/>
  </si>
  <si>
    <t>華鎂鑫</t>
    <phoneticPr fontId="1" type="noConversion"/>
  </si>
  <si>
    <t>立碁</t>
    <phoneticPr fontId="1" type="noConversion"/>
  </si>
  <si>
    <t>華宏</t>
    <phoneticPr fontId="1" type="noConversion"/>
  </si>
  <si>
    <t>晶達</t>
    <phoneticPr fontId="1" type="noConversion"/>
  </si>
  <si>
    <t>04</t>
    <phoneticPr fontId="1" type="noConversion"/>
  </si>
  <si>
    <t>全友</t>
    <phoneticPr fontId="1" type="noConversion"/>
  </si>
  <si>
    <t>倫飛</t>
    <phoneticPr fontId="1" type="noConversion"/>
  </si>
  <si>
    <t>昆盈</t>
    <phoneticPr fontId="1" type="noConversion"/>
  </si>
  <si>
    <t>虹光</t>
    <phoneticPr fontId="1" type="noConversion"/>
  </si>
  <si>
    <t>友通</t>
    <phoneticPr fontId="1" type="noConversion"/>
  </si>
  <si>
    <t>映泰</t>
    <phoneticPr fontId="1" type="noConversion"/>
  </si>
  <si>
    <t>圓剛</t>
    <phoneticPr fontId="1" type="noConversion"/>
  </si>
  <si>
    <t>隴華</t>
    <phoneticPr fontId="1" type="noConversion"/>
  </si>
  <si>
    <t>承啟</t>
    <phoneticPr fontId="1" type="noConversion"/>
  </si>
  <si>
    <t>新美齊</t>
    <phoneticPr fontId="1" type="noConversion"/>
  </si>
  <si>
    <t>麗台</t>
    <phoneticPr fontId="1" type="noConversion"/>
  </si>
  <si>
    <t>歐格</t>
    <phoneticPr fontId="1" type="noConversion"/>
  </si>
  <si>
    <t>晟銘電</t>
    <phoneticPr fontId="1" type="noConversion"/>
  </si>
  <si>
    <t>建碁</t>
    <phoneticPr fontId="1" type="noConversion"/>
  </si>
  <si>
    <t>喬鼎</t>
    <phoneticPr fontId="1" type="noConversion"/>
  </si>
  <si>
    <t>銘異</t>
    <phoneticPr fontId="1" type="noConversion"/>
  </si>
  <si>
    <t>融程電</t>
    <phoneticPr fontId="1" type="noConversion"/>
  </si>
  <si>
    <t>誠研</t>
    <phoneticPr fontId="1" type="noConversion"/>
  </si>
  <si>
    <t>華擎</t>
    <phoneticPr fontId="1" type="noConversion"/>
  </si>
  <si>
    <t>大眾控</t>
    <phoneticPr fontId="1" type="noConversion"/>
  </si>
  <si>
    <t>事欣科</t>
    <phoneticPr fontId="1" type="noConversion"/>
  </si>
  <si>
    <t>科嘉KY</t>
    <phoneticPr fontId="1" type="noConversion"/>
  </si>
  <si>
    <t>虹堡</t>
    <phoneticPr fontId="1" type="noConversion"/>
  </si>
  <si>
    <t>迎廣</t>
    <phoneticPr fontId="1" type="noConversion"/>
  </si>
  <si>
    <t>互億</t>
    <phoneticPr fontId="1" type="noConversion"/>
  </si>
  <si>
    <t>飛捷</t>
    <phoneticPr fontId="1" type="noConversion"/>
  </si>
  <si>
    <t>華孚</t>
    <phoneticPr fontId="1" type="noConversion"/>
  </si>
  <si>
    <t>研揚</t>
    <phoneticPr fontId="1" type="noConversion"/>
  </si>
  <si>
    <t>動力KY</t>
    <phoneticPr fontId="1" type="noConversion"/>
  </si>
  <si>
    <t>勤誠</t>
    <phoneticPr fontId="1" type="noConversion"/>
  </si>
  <si>
    <t>偉聯</t>
    <phoneticPr fontId="1" type="noConversion"/>
  </si>
  <si>
    <t>旭品</t>
    <phoneticPr fontId="1" type="noConversion"/>
  </si>
  <si>
    <t>力致</t>
    <phoneticPr fontId="1" type="noConversion"/>
  </si>
  <si>
    <t>上揚</t>
    <phoneticPr fontId="1" type="noConversion"/>
  </si>
  <si>
    <t>廣錠</t>
    <phoneticPr fontId="1" type="noConversion"/>
  </si>
  <si>
    <t>05</t>
    <phoneticPr fontId="1" type="noConversion"/>
  </si>
  <si>
    <t>全域</t>
    <phoneticPr fontId="1" type="noConversion"/>
  </si>
  <si>
    <t>港建</t>
    <phoneticPr fontId="1" type="noConversion"/>
  </si>
  <si>
    <t>微端</t>
    <phoneticPr fontId="1" type="noConversion"/>
  </si>
  <si>
    <t>岱稜</t>
    <phoneticPr fontId="1" type="noConversion"/>
  </si>
  <si>
    <t>3373</t>
    <phoneticPr fontId="1" type="noConversion"/>
  </si>
  <si>
    <t>熱映</t>
    <phoneticPr fontId="1" type="noConversion"/>
  </si>
  <si>
    <t>漢科</t>
    <phoneticPr fontId="1" type="noConversion"/>
  </si>
  <si>
    <t>世禾</t>
    <phoneticPr fontId="1" type="noConversion"/>
  </si>
  <si>
    <t>盈正</t>
    <phoneticPr fontId="1" type="noConversion"/>
  </si>
  <si>
    <t>駿熠電</t>
    <phoneticPr fontId="1" type="noConversion"/>
  </si>
  <si>
    <t>鑫科</t>
    <phoneticPr fontId="1" type="noConversion"/>
  </si>
  <si>
    <t>金利</t>
    <phoneticPr fontId="1" type="noConversion"/>
  </si>
  <si>
    <t>佶優</t>
    <phoneticPr fontId="1" type="noConversion"/>
  </si>
  <si>
    <t>三聯</t>
    <phoneticPr fontId="1" type="noConversion"/>
  </si>
  <si>
    <t>晉倫</t>
    <phoneticPr fontId="1" type="noConversion"/>
  </si>
  <si>
    <t>淇譽電</t>
    <phoneticPr fontId="1" type="noConversion"/>
  </si>
  <si>
    <t>元山</t>
    <phoneticPr fontId="1" type="noConversion"/>
  </si>
  <si>
    <t>迅得</t>
    <phoneticPr fontId="1" type="noConversion"/>
  </si>
  <si>
    <t>啟發電</t>
    <phoneticPr fontId="1" type="noConversion"/>
  </si>
  <si>
    <t>朋億</t>
    <phoneticPr fontId="1" type="noConversion"/>
  </si>
  <si>
    <t>星雲</t>
    <phoneticPr fontId="1" type="noConversion"/>
  </si>
  <si>
    <t>福華</t>
    <phoneticPr fontId="1" type="noConversion"/>
  </si>
  <si>
    <t>建暐</t>
    <phoneticPr fontId="1" type="noConversion"/>
  </si>
  <si>
    <t>大拓</t>
    <phoneticPr fontId="1" type="noConversion"/>
  </si>
  <si>
    <t>金寶</t>
    <phoneticPr fontId="1" type="noConversion"/>
  </si>
  <si>
    <t>所羅門</t>
    <phoneticPr fontId="1" type="noConversion"/>
  </si>
  <si>
    <t>2390</t>
    <phoneticPr fontId="1" type="noConversion"/>
  </si>
  <si>
    <t>云辰</t>
    <phoneticPr fontId="1" type="noConversion"/>
  </si>
  <si>
    <t>漢唐</t>
    <phoneticPr fontId="1" type="noConversion"/>
  </si>
  <si>
    <t>固緯</t>
    <phoneticPr fontId="1" type="noConversion"/>
  </si>
  <si>
    <t>互盛電</t>
    <phoneticPr fontId="1" type="noConversion"/>
  </si>
  <si>
    <t>光群雷</t>
    <phoneticPr fontId="1" type="noConversion"/>
  </si>
  <si>
    <t>盟立</t>
    <phoneticPr fontId="1" type="noConversion"/>
  </si>
  <si>
    <t>連宇</t>
    <phoneticPr fontId="1" type="noConversion"/>
  </si>
  <si>
    <t>漢平</t>
    <phoneticPr fontId="1" type="noConversion"/>
  </si>
  <si>
    <t>普安</t>
    <phoneticPr fontId="1" type="noConversion"/>
  </si>
  <si>
    <t>同開</t>
    <phoneticPr fontId="1" type="noConversion"/>
  </si>
  <si>
    <t>科風</t>
    <phoneticPr fontId="1" type="noConversion"/>
  </si>
  <si>
    <t>昇貿</t>
    <phoneticPr fontId="1" type="noConversion"/>
  </si>
  <si>
    <t>柏騰</t>
    <phoneticPr fontId="1" type="noConversion"/>
  </si>
  <si>
    <t>碩天</t>
    <phoneticPr fontId="1" type="noConversion"/>
  </si>
  <si>
    <t>東科KY</t>
    <phoneticPr fontId="1" type="noConversion"/>
  </si>
  <si>
    <t>亞翔</t>
    <phoneticPr fontId="1" type="noConversion"/>
  </si>
  <si>
    <t>巨路</t>
    <phoneticPr fontId="1" type="noConversion"/>
  </si>
  <si>
    <t>亞弘電</t>
    <phoneticPr fontId="1" type="noConversion"/>
  </si>
  <si>
    <t>和椿</t>
    <phoneticPr fontId="1" type="noConversion"/>
  </si>
  <si>
    <t>尖點</t>
    <phoneticPr fontId="1" type="noConversion"/>
  </si>
  <si>
    <t>無敵</t>
    <phoneticPr fontId="1" type="noConversion"/>
  </si>
  <si>
    <t>06</t>
    <phoneticPr fontId="1" type="noConversion"/>
  </si>
  <si>
    <t>及成</t>
    <phoneticPr fontId="1" type="noConversion"/>
  </si>
  <si>
    <t>波若威</t>
    <phoneticPr fontId="1" type="noConversion"/>
  </si>
  <si>
    <t>東浦</t>
    <phoneticPr fontId="1" type="noConversion"/>
  </si>
  <si>
    <t>上詮</t>
    <phoneticPr fontId="1" type="noConversion"/>
  </si>
  <si>
    <t>致振</t>
    <phoneticPr fontId="1" type="noConversion"/>
  </si>
  <si>
    <t>環天科</t>
    <phoneticPr fontId="1" type="noConversion"/>
  </si>
  <si>
    <t>其陽</t>
    <phoneticPr fontId="1" type="noConversion"/>
  </si>
  <si>
    <t>研勤</t>
    <phoneticPr fontId="1" type="noConversion"/>
  </si>
  <si>
    <t>安瑞KY</t>
    <phoneticPr fontId="1" type="noConversion"/>
  </si>
  <si>
    <t>康聯訊</t>
    <phoneticPr fontId="1" type="noConversion"/>
  </si>
  <si>
    <t>晶相光</t>
    <phoneticPr fontId="1" type="noConversion"/>
  </si>
  <si>
    <t>力山</t>
    <phoneticPr fontId="1" type="noConversion"/>
  </si>
  <si>
    <t>榮昌</t>
    <phoneticPr fontId="1" type="noConversion"/>
  </si>
  <si>
    <t>聯光通</t>
    <phoneticPr fontId="1" type="noConversion"/>
  </si>
  <si>
    <t>前鼎</t>
    <phoneticPr fontId="1" type="noConversion"/>
  </si>
  <si>
    <t>新復興</t>
    <phoneticPr fontId="1" type="noConversion"/>
  </si>
  <si>
    <t>系通</t>
    <phoneticPr fontId="1" type="noConversion"/>
  </si>
  <si>
    <t>台林</t>
    <phoneticPr fontId="1" type="noConversion"/>
  </si>
  <si>
    <t>亞元</t>
    <phoneticPr fontId="1" type="noConversion"/>
  </si>
  <si>
    <t>華電網</t>
    <phoneticPr fontId="1" type="noConversion"/>
  </si>
  <si>
    <t>統振</t>
    <phoneticPr fontId="1" type="noConversion"/>
  </si>
  <si>
    <t>萬泰科</t>
    <phoneticPr fontId="1" type="noConversion"/>
  </si>
  <si>
    <t>易通展</t>
    <phoneticPr fontId="1" type="noConversion"/>
  </si>
  <si>
    <t>韋僑</t>
    <phoneticPr fontId="1" type="noConversion"/>
  </si>
  <si>
    <t>宇智</t>
    <phoneticPr fontId="1" type="noConversion"/>
  </si>
  <si>
    <t>互動</t>
    <phoneticPr fontId="1" type="noConversion"/>
  </si>
  <si>
    <t>芮特KY</t>
    <phoneticPr fontId="1" type="noConversion"/>
  </si>
  <si>
    <t>創威</t>
    <phoneticPr fontId="1" type="noConversion"/>
  </si>
  <si>
    <t>榮群</t>
    <phoneticPr fontId="1" type="noConversion"/>
  </si>
  <si>
    <t>凱碩</t>
    <phoneticPr fontId="1" type="noConversion"/>
  </si>
  <si>
    <t>常珵</t>
    <phoneticPr fontId="1" type="noConversion"/>
  </si>
  <si>
    <t>天宇</t>
    <phoneticPr fontId="1" type="noConversion"/>
  </si>
  <si>
    <t>智捷</t>
    <phoneticPr fontId="1" type="noConversion"/>
  </si>
  <si>
    <t>鼎天</t>
    <phoneticPr fontId="1" type="noConversion"/>
  </si>
  <si>
    <t>豪勉</t>
    <phoneticPr fontId="1" type="noConversion"/>
  </si>
  <si>
    <t>東訊</t>
    <phoneticPr fontId="1" type="noConversion"/>
  </si>
  <si>
    <t>仲琦</t>
    <phoneticPr fontId="1" type="noConversion"/>
  </si>
  <si>
    <t>兆赫</t>
    <phoneticPr fontId="1" type="noConversion"/>
  </si>
  <si>
    <t>卓越</t>
    <phoneticPr fontId="1" type="noConversion"/>
  </si>
  <si>
    <t>星通</t>
    <phoneticPr fontId="1" type="noConversion"/>
  </si>
  <si>
    <t>盛達</t>
    <phoneticPr fontId="1" type="noConversion"/>
  </si>
  <si>
    <t>訊舟</t>
    <phoneticPr fontId="1" type="noConversion"/>
  </si>
  <si>
    <t>閎暉</t>
    <phoneticPr fontId="1" type="noConversion"/>
  </si>
  <si>
    <t>富爾特</t>
    <phoneticPr fontId="1" type="noConversion"/>
  </si>
  <si>
    <t>友勁</t>
    <phoneticPr fontId="1" type="noConversion"/>
  </si>
  <si>
    <t>百一</t>
    <phoneticPr fontId="1" type="noConversion"/>
  </si>
  <si>
    <t>6216</t>
    <phoneticPr fontId="1" type="noConversion"/>
  </si>
  <si>
    <t>居易</t>
    <phoneticPr fontId="1" type="noConversion"/>
  </si>
  <si>
    <t>光聖</t>
    <phoneticPr fontId="1" type="noConversion"/>
  </si>
  <si>
    <t>華冠</t>
    <phoneticPr fontId="1" type="noConversion"/>
  </si>
  <si>
    <t>07</t>
    <phoneticPr fontId="1" type="noConversion"/>
  </si>
  <si>
    <t>力肯</t>
    <phoneticPr fontId="1" type="noConversion"/>
  </si>
  <si>
    <t>駿吉KY</t>
    <phoneticPr fontId="1" type="noConversion"/>
  </si>
  <si>
    <t>大甲</t>
    <phoneticPr fontId="1" type="noConversion"/>
  </si>
  <si>
    <t>嘉鋼</t>
    <phoneticPr fontId="1" type="noConversion"/>
  </si>
  <si>
    <t>泰茂</t>
    <phoneticPr fontId="1" type="noConversion"/>
  </si>
  <si>
    <t>謚源</t>
    <phoneticPr fontId="1" type="noConversion"/>
  </si>
  <si>
    <t>精確</t>
    <phoneticPr fontId="1" type="noConversion"/>
  </si>
  <si>
    <t>至寶電</t>
    <phoneticPr fontId="1" type="noConversion"/>
  </si>
  <si>
    <t>彬台</t>
    <phoneticPr fontId="1" type="noConversion"/>
  </si>
  <si>
    <t>台興</t>
    <phoneticPr fontId="1" type="noConversion"/>
  </si>
  <si>
    <t>健信</t>
    <phoneticPr fontId="1" type="noConversion"/>
  </si>
  <si>
    <t>金雨</t>
    <phoneticPr fontId="1" type="noConversion"/>
  </si>
  <si>
    <t>高鋒</t>
    <phoneticPr fontId="1" type="noConversion"/>
  </si>
  <si>
    <t>福裕</t>
    <phoneticPr fontId="1" type="noConversion"/>
  </si>
  <si>
    <t>永彰</t>
    <phoneticPr fontId="1" type="noConversion"/>
  </si>
  <si>
    <t>方土霖</t>
    <phoneticPr fontId="1" type="noConversion"/>
  </si>
  <si>
    <t>宏易</t>
    <phoneticPr fontId="1" type="noConversion"/>
  </si>
  <si>
    <t>慶騰</t>
    <phoneticPr fontId="1" type="noConversion"/>
  </si>
  <si>
    <t>萬在</t>
    <phoneticPr fontId="1" type="noConversion"/>
  </si>
  <si>
    <t>桓達</t>
    <phoneticPr fontId="1" type="noConversion"/>
  </si>
  <si>
    <t>長佳</t>
    <phoneticPr fontId="1" type="noConversion"/>
  </si>
  <si>
    <t>健椿</t>
  </si>
  <si>
    <t>百德</t>
    <phoneticPr fontId="1" type="noConversion"/>
  </si>
  <si>
    <t>擎邦</t>
    <phoneticPr fontId="1" type="noConversion"/>
  </si>
  <si>
    <t>富強鑫</t>
    <phoneticPr fontId="1" type="noConversion"/>
  </si>
  <si>
    <t>龍澤科</t>
    <phoneticPr fontId="1" type="noConversion"/>
  </si>
  <si>
    <t>鈦昇</t>
    <phoneticPr fontId="1" type="noConversion"/>
  </si>
  <si>
    <t>和勤</t>
    <phoneticPr fontId="1" type="noConversion"/>
  </si>
  <si>
    <t>士電</t>
    <phoneticPr fontId="1" type="noConversion"/>
  </si>
  <si>
    <t>正道</t>
    <phoneticPr fontId="1" type="noConversion"/>
  </si>
  <si>
    <t>永大</t>
    <phoneticPr fontId="1" type="noConversion"/>
  </si>
  <si>
    <t>瑞利</t>
    <phoneticPr fontId="1" type="noConversion"/>
  </si>
  <si>
    <t>中興電</t>
    <phoneticPr fontId="1" type="noConversion"/>
  </si>
  <si>
    <t>亞力</t>
    <phoneticPr fontId="1" type="noConversion"/>
  </si>
  <si>
    <t>利奇</t>
    <phoneticPr fontId="1" type="noConversion"/>
  </si>
  <si>
    <t>華城</t>
    <phoneticPr fontId="1" type="noConversion"/>
  </si>
  <si>
    <t>大億</t>
    <phoneticPr fontId="1" type="noConversion"/>
  </si>
  <si>
    <t>江申</t>
    <phoneticPr fontId="1" type="noConversion"/>
  </si>
  <si>
    <t>日馳</t>
    <phoneticPr fontId="1" type="noConversion"/>
  </si>
  <si>
    <t>鑽全</t>
    <phoneticPr fontId="1" type="noConversion"/>
  </si>
  <si>
    <t>恩德</t>
    <phoneticPr fontId="1" type="noConversion"/>
  </si>
  <si>
    <t>樂士</t>
    <phoneticPr fontId="1" type="noConversion"/>
  </si>
  <si>
    <t>亞崴</t>
    <phoneticPr fontId="1" type="noConversion"/>
  </si>
  <si>
    <t>高林股</t>
    <phoneticPr fontId="1" type="noConversion"/>
  </si>
  <si>
    <t>中宇</t>
    <phoneticPr fontId="1" type="noConversion"/>
  </si>
  <si>
    <t>廣隆</t>
    <phoneticPr fontId="1" type="noConversion"/>
  </si>
  <si>
    <t>正峰新</t>
    <phoneticPr fontId="1" type="noConversion"/>
  </si>
  <si>
    <t>巨庭</t>
    <phoneticPr fontId="1" type="noConversion"/>
  </si>
  <si>
    <t>喬福</t>
    <phoneticPr fontId="1" type="noConversion"/>
  </si>
  <si>
    <t>錩泰</t>
    <phoneticPr fontId="1" type="noConversion"/>
  </si>
  <si>
    <t>伸興</t>
    <phoneticPr fontId="1" type="noConversion"/>
  </si>
  <si>
    <t>倉佑</t>
    <phoneticPr fontId="1" type="noConversion"/>
  </si>
  <si>
    <t>程泰</t>
    <phoneticPr fontId="1" type="noConversion"/>
  </si>
  <si>
    <t>吉茂</t>
    <phoneticPr fontId="1" type="noConversion"/>
  </si>
  <si>
    <t>永冠KY</t>
    <phoneticPr fontId="1" type="noConversion"/>
  </si>
  <si>
    <t>劍麟</t>
    <phoneticPr fontId="1" type="noConversion"/>
  </si>
  <si>
    <t>百達</t>
    <phoneticPr fontId="1" type="noConversion"/>
  </si>
  <si>
    <t>麗清</t>
    <phoneticPr fontId="1" type="noConversion"/>
  </si>
  <si>
    <t>東台</t>
    <phoneticPr fontId="1" type="noConversion"/>
  </si>
  <si>
    <t>瑞智</t>
    <phoneticPr fontId="1" type="noConversion"/>
  </si>
  <si>
    <t>氣立</t>
    <phoneticPr fontId="1" type="noConversion"/>
  </si>
  <si>
    <t>永新KY</t>
    <phoneticPr fontId="1" type="noConversion"/>
  </si>
  <si>
    <t>強信KY</t>
    <phoneticPr fontId="1" type="noConversion"/>
  </si>
  <si>
    <t>穎漢</t>
    <phoneticPr fontId="1" type="noConversion"/>
  </si>
  <si>
    <t>豐祥KY</t>
    <phoneticPr fontId="1" type="noConversion"/>
  </si>
  <si>
    <t>寶一</t>
    <phoneticPr fontId="1" type="noConversion"/>
  </si>
  <si>
    <t>羅昇</t>
    <phoneticPr fontId="1" type="noConversion"/>
  </si>
  <si>
    <t>高力</t>
    <phoneticPr fontId="1" type="noConversion"/>
  </si>
  <si>
    <t>08</t>
    <phoneticPr fontId="1" type="noConversion"/>
  </si>
  <si>
    <t>信立</t>
    <phoneticPr fontId="1" type="noConversion"/>
  </si>
  <si>
    <t>勝昱</t>
    <phoneticPr fontId="1" type="noConversion"/>
  </si>
  <si>
    <t>世坤</t>
    <phoneticPr fontId="1" type="noConversion"/>
  </si>
  <si>
    <t>冠好</t>
    <phoneticPr fontId="1" type="noConversion"/>
  </si>
  <si>
    <t>萬國通</t>
    <phoneticPr fontId="1" type="noConversion"/>
  </si>
  <si>
    <t>華夏</t>
    <phoneticPr fontId="1" type="noConversion"/>
  </si>
  <si>
    <t>三芳</t>
    <phoneticPr fontId="1" type="noConversion"/>
  </si>
  <si>
    <t>台苯</t>
    <phoneticPr fontId="1" type="noConversion"/>
  </si>
  <si>
    <t>聯成</t>
    <phoneticPr fontId="1" type="noConversion"/>
  </si>
  <si>
    <t>達新</t>
    <phoneticPr fontId="1" type="noConversion"/>
  </si>
  <si>
    <t>大洋</t>
    <phoneticPr fontId="1" type="noConversion"/>
  </si>
  <si>
    <t>永裕</t>
    <phoneticPr fontId="1" type="noConversion"/>
  </si>
  <si>
    <t>地球</t>
    <phoneticPr fontId="1" type="noConversion"/>
  </si>
  <si>
    <t>1325</t>
    <phoneticPr fontId="1" type="noConversion"/>
  </si>
  <si>
    <t>恆大</t>
    <phoneticPr fontId="1" type="noConversion"/>
  </si>
  <si>
    <t>再生KY</t>
    <phoneticPr fontId="1" type="noConversion"/>
  </si>
  <si>
    <t>昭輝</t>
    <phoneticPr fontId="1" type="noConversion"/>
  </si>
  <si>
    <t>勝悅KY</t>
    <phoneticPr fontId="1" type="noConversion"/>
  </si>
  <si>
    <t>炎洲</t>
    <phoneticPr fontId="1" type="noConversion"/>
  </si>
  <si>
    <t>生技醫療</t>
    <phoneticPr fontId="1" type="noConversion"/>
  </si>
  <si>
    <t>09</t>
    <phoneticPr fontId="1" type="noConversion"/>
  </si>
  <si>
    <t>祺驊</t>
    <phoneticPr fontId="1" type="noConversion"/>
  </si>
  <si>
    <t>1781</t>
    <phoneticPr fontId="1" type="noConversion"/>
  </si>
  <si>
    <t>合世</t>
    <phoneticPr fontId="1" type="noConversion"/>
  </si>
  <si>
    <t>訊聯</t>
    <phoneticPr fontId="1" type="noConversion"/>
  </si>
  <si>
    <t>杏昌</t>
    <phoneticPr fontId="1" type="noConversion"/>
  </si>
  <si>
    <t>易威</t>
    <phoneticPr fontId="1" type="noConversion"/>
  </si>
  <si>
    <t>1813</t>
    <phoneticPr fontId="1" type="noConversion"/>
  </si>
  <si>
    <t>寶利徠</t>
    <phoneticPr fontId="1" type="noConversion"/>
  </si>
  <si>
    <t>進階</t>
    <phoneticPr fontId="1" type="noConversion"/>
  </si>
  <si>
    <t>基亞</t>
    <phoneticPr fontId="1" type="noConversion"/>
  </si>
  <si>
    <t>佰研</t>
    <phoneticPr fontId="1" type="noConversion"/>
  </si>
  <si>
    <t>大學光</t>
    <phoneticPr fontId="1" type="noConversion"/>
  </si>
  <si>
    <t>4102</t>
    <phoneticPr fontId="1" type="noConversion"/>
  </si>
  <si>
    <t>永日</t>
    <phoneticPr fontId="1" type="noConversion"/>
  </si>
  <si>
    <t>濟生</t>
    <phoneticPr fontId="1" type="noConversion"/>
  </si>
  <si>
    <t>明基醫</t>
    <phoneticPr fontId="1" type="noConversion"/>
  </si>
  <si>
    <t>優盛</t>
    <phoneticPr fontId="1" type="noConversion"/>
  </si>
  <si>
    <t>天良</t>
    <phoneticPr fontId="1" type="noConversion"/>
  </si>
  <si>
    <t>4128</t>
    <phoneticPr fontId="1" type="noConversion"/>
  </si>
  <si>
    <t>中天</t>
    <phoneticPr fontId="1" type="noConversion"/>
  </si>
  <si>
    <t>聯合</t>
    <phoneticPr fontId="1" type="noConversion"/>
  </si>
  <si>
    <t>4130</t>
    <phoneticPr fontId="1" type="noConversion"/>
  </si>
  <si>
    <t>健亞</t>
    <phoneticPr fontId="1" type="noConversion"/>
  </si>
  <si>
    <t>晶宇</t>
    <phoneticPr fontId="1" type="noConversion"/>
  </si>
  <si>
    <t>馬光KY</t>
    <phoneticPr fontId="1" type="noConversion"/>
  </si>
  <si>
    <t>台微體</t>
    <phoneticPr fontId="1" type="noConversion"/>
  </si>
  <si>
    <t>鈺緯</t>
    <phoneticPr fontId="1" type="noConversion"/>
  </si>
  <si>
    <t>康樂KY</t>
    <phoneticPr fontId="1" type="noConversion"/>
  </si>
  <si>
    <t>太景KY</t>
    <phoneticPr fontId="1" type="noConversion"/>
  </si>
  <si>
    <t>創源</t>
    <phoneticPr fontId="1" type="noConversion"/>
  </si>
  <si>
    <t>聿新科</t>
    <phoneticPr fontId="1" type="noConversion"/>
  </si>
  <si>
    <t>醣聯</t>
    <phoneticPr fontId="1" type="noConversion"/>
  </si>
  <si>
    <t>4173</t>
    <phoneticPr fontId="1" type="noConversion"/>
  </si>
  <si>
    <t>久裕</t>
    <phoneticPr fontId="1" type="noConversion"/>
  </si>
  <si>
    <t>浩鼎</t>
    <phoneticPr fontId="1" type="noConversion"/>
  </si>
  <si>
    <t>杏一</t>
    <phoneticPr fontId="1" type="noConversion"/>
  </si>
  <si>
    <t>安克</t>
    <phoneticPr fontId="1" type="noConversion"/>
  </si>
  <si>
    <t>杏國</t>
    <phoneticPr fontId="1" type="noConversion"/>
  </si>
  <si>
    <t>永昕</t>
    <phoneticPr fontId="1" type="noConversion"/>
  </si>
  <si>
    <t>雙美</t>
    <phoneticPr fontId="1" type="noConversion"/>
  </si>
  <si>
    <t>4735</t>
    <phoneticPr fontId="1" type="noConversion"/>
  </si>
  <si>
    <t>豪展</t>
    <phoneticPr fontId="1" type="noConversion"/>
  </si>
  <si>
    <t>皇將</t>
    <phoneticPr fontId="1" type="noConversion"/>
  </si>
  <si>
    <t>合富KY</t>
    <phoneticPr fontId="1" type="noConversion"/>
  </si>
  <si>
    <t>強生</t>
    <phoneticPr fontId="1" type="noConversion"/>
  </si>
  <si>
    <t>德英</t>
    <phoneticPr fontId="1" type="noConversion"/>
  </si>
  <si>
    <t>寶島科</t>
    <phoneticPr fontId="1" type="noConversion"/>
  </si>
  <si>
    <t>立康</t>
    <phoneticPr fontId="1" type="noConversion"/>
  </si>
  <si>
    <t>藥華藥</t>
    <phoneticPr fontId="1" type="noConversion"/>
  </si>
  <si>
    <t>益得</t>
    <phoneticPr fontId="1" type="noConversion"/>
  </si>
  <si>
    <t>大樹</t>
    <phoneticPr fontId="1" type="noConversion"/>
  </si>
  <si>
    <t>保瑞</t>
    <phoneticPr fontId="1" type="noConversion"/>
  </si>
  <si>
    <t>生華科</t>
    <phoneticPr fontId="1" type="noConversion"/>
  </si>
  <si>
    <t>科懋</t>
    <phoneticPr fontId="1" type="noConversion"/>
  </si>
  <si>
    <t>益安</t>
    <phoneticPr fontId="1" type="noConversion"/>
  </si>
  <si>
    <t>6523</t>
    <phoneticPr fontId="1" type="noConversion"/>
  </si>
  <si>
    <t>達爾膚</t>
    <phoneticPr fontId="1" type="noConversion"/>
  </si>
  <si>
    <t>順藥</t>
    <phoneticPr fontId="1" type="noConversion"/>
  </si>
  <si>
    <t>醫揚</t>
    <phoneticPr fontId="1" type="noConversion"/>
  </si>
  <si>
    <t>霈方</t>
  </si>
  <si>
    <t>逸達</t>
    <phoneticPr fontId="1" type="noConversion"/>
  </si>
  <si>
    <t>慧智</t>
    <phoneticPr fontId="1" type="noConversion"/>
  </si>
  <si>
    <t>生展</t>
    <phoneticPr fontId="1" type="noConversion"/>
  </si>
  <si>
    <t>商之器</t>
    <phoneticPr fontId="1" type="noConversion"/>
  </si>
  <si>
    <t>東生華</t>
    <phoneticPr fontId="1" type="noConversion"/>
  </si>
  <si>
    <t>1598</t>
    <phoneticPr fontId="1" type="noConversion"/>
  </si>
  <si>
    <t>岱宇</t>
    <phoneticPr fontId="1" type="noConversion"/>
  </si>
  <si>
    <t>中化</t>
    <phoneticPr fontId="1" type="noConversion"/>
  </si>
  <si>
    <t>美吾華</t>
    <phoneticPr fontId="1" type="noConversion"/>
  </si>
  <si>
    <t>杏輝</t>
    <phoneticPr fontId="1" type="noConversion"/>
  </si>
  <si>
    <t>喬山</t>
    <phoneticPr fontId="1" type="noConversion"/>
  </si>
  <si>
    <t>寶齡富錦</t>
    <phoneticPr fontId="1" type="noConversion"/>
  </si>
  <si>
    <t>中化生</t>
    <phoneticPr fontId="1" type="noConversion"/>
  </si>
  <si>
    <t>景岳</t>
    <phoneticPr fontId="1" type="noConversion"/>
  </si>
  <si>
    <t>永信</t>
    <phoneticPr fontId="1" type="noConversion"/>
  </si>
  <si>
    <t>佳醫</t>
    <phoneticPr fontId="1" type="noConversion"/>
  </si>
  <si>
    <t>雃博</t>
  </si>
  <si>
    <t>懷特</t>
    <phoneticPr fontId="1" type="noConversion"/>
  </si>
  <si>
    <t>亞諾法</t>
    <phoneticPr fontId="1" type="noConversion"/>
  </si>
  <si>
    <t>龍燈KY</t>
    <phoneticPr fontId="1" type="noConversion"/>
  </si>
  <si>
    <t>4142</t>
    <phoneticPr fontId="1" type="noConversion"/>
  </si>
  <si>
    <t>國光生</t>
    <phoneticPr fontId="1" type="noConversion"/>
  </si>
  <si>
    <t>全宇生技KY</t>
    <phoneticPr fontId="1" type="noConversion"/>
  </si>
  <si>
    <t>訊映</t>
    <phoneticPr fontId="1" type="noConversion"/>
  </si>
  <si>
    <t>4164</t>
    <phoneticPr fontId="1" type="noConversion"/>
  </si>
  <si>
    <t>承業醫</t>
    <phoneticPr fontId="1" type="noConversion"/>
  </si>
  <si>
    <t>華廣</t>
    <phoneticPr fontId="1" type="noConversion"/>
  </si>
  <si>
    <t>台耀</t>
    <phoneticPr fontId="1" type="noConversion"/>
  </si>
  <si>
    <t>泰福KY</t>
    <phoneticPr fontId="1" type="noConversion"/>
  </si>
  <si>
    <t>10</t>
    <phoneticPr fontId="1" type="noConversion"/>
  </si>
  <si>
    <t>精剛</t>
    <phoneticPr fontId="1" type="noConversion"/>
  </si>
  <si>
    <t>太普高</t>
    <phoneticPr fontId="1" type="noConversion"/>
  </si>
  <si>
    <t>耀億</t>
    <phoneticPr fontId="1" type="noConversion"/>
  </si>
  <si>
    <t>淳紳</t>
    <phoneticPr fontId="1" type="noConversion"/>
  </si>
  <si>
    <t>晟田</t>
    <phoneticPr fontId="1" type="noConversion"/>
  </si>
  <si>
    <t>旭然</t>
    <phoneticPr fontId="1" type="noConversion"/>
  </si>
  <si>
    <t>牧東</t>
    <phoneticPr fontId="1" type="noConversion"/>
  </si>
  <si>
    <t>達輝KY</t>
    <phoneticPr fontId="1" type="noConversion"/>
  </si>
  <si>
    <t>亞通</t>
    <phoneticPr fontId="1" type="noConversion"/>
  </si>
  <si>
    <t>天品</t>
    <phoneticPr fontId="1" type="noConversion"/>
  </si>
  <si>
    <t>康呈</t>
    <phoneticPr fontId="1" type="noConversion"/>
  </si>
  <si>
    <t>特昇KY</t>
    <phoneticPr fontId="1" type="noConversion"/>
  </si>
  <si>
    <t>益張</t>
    <phoneticPr fontId="1" type="noConversion"/>
  </si>
  <si>
    <t>金益鼎</t>
    <phoneticPr fontId="1" type="noConversion"/>
  </si>
  <si>
    <t>白紗科</t>
    <phoneticPr fontId="1" type="noConversion"/>
  </si>
  <si>
    <t>旭源</t>
    <phoneticPr fontId="1" type="noConversion"/>
  </si>
  <si>
    <t>保綠KY</t>
    <phoneticPr fontId="1" type="noConversion"/>
  </si>
  <si>
    <t>紅木KY</t>
    <phoneticPr fontId="1" type="noConversion"/>
  </si>
  <si>
    <t>鉅邁</t>
    <phoneticPr fontId="1" type="noConversion"/>
  </si>
  <si>
    <t>大地KY</t>
    <phoneticPr fontId="1" type="noConversion"/>
  </si>
  <si>
    <t>綠電</t>
    <phoneticPr fontId="1" type="noConversion"/>
  </si>
  <si>
    <t>台境</t>
    <phoneticPr fontId="1" type="noConversion"/>
  </si>
  <si>
    <t>裕國</t>
    <phoneticPr fontId="1" type="noConversion"/>
  </si>
  <si>
    <t>花王</t>
    <phoneticPr fontId="1" type="noConversion"/>
  </si>
  <si>
    <t>沈氏</t>
    <phoneticPr fontId="1" type="noConversion"/>
  </si>
  <si>
    <t>大田</t>
    <phoneticPr fontId="1" type="noConversion"/>
  </si>
  <si>
    <t>鉅明</t>
    <phoneticPr fontId="1" type="noConversion"/>
  </si>
  <si>
    <t>富堡</t>
    <phoneticPr fontId="1" type="noConversion"/>
  </si>
  <si>
    <t>宏大</t>
    <phoneticPr fontId="1" type="noConversion"/>
  </si>
  <si>
    <t>愛地雅</t>
    <phoneticPr fontId="1" type="noConversion"/>
  </si>
  <si>
    <t>邦泰</t>
    <phoneticPr fontId="1" type="noConversion"/>
  </si>
  <si>
    <t>8936</t>
    <phoneticPr fontId="1" type="noConversion"/>
  </si>
  <si>
    <t>國統</t>
    <phoneticPr fontId="1" type="noConversion"/>
  </si>
  <si>
    <t>合騏</t>
    <phoneticPr fontId="1" type="noConversion"/>
  </si>
  <si>
    <t>中福</t>
    <phoneticPr fontId="1" type="noConversion"/>
  </si>
  <si>
    <t>勤益控</t>
    <phoneticPr fontId="1" type="noConversion"/>
  </si>
  <si>
    <t>川飛</t>
    <phoneticPr fontId="1" type="noConversion"/>
  </si>
  <si>
    <t>橋椿</t>
  </si>
  <si>
    <t>海悅</t>
    <phoneticPr fontId="1" type="noConversion"/>
  </si>
  <si>
    <t>廷鑫</t>
    <phoneticPr fontId="1" type="noConversion"/>
  </si>
  <si>
    <t>2514</t>
    <phoneticPr fontId="1" type="noConversion"/>
  </si>
  <si>
    <t>龍邦</t>
    <phoneticPr fontId="1" type="noConversion"/>
  </si>
  <si>
    <t>匯僑</t>
    <phoneticPr fontId="1" type="noConversion"/>
  </si>
  <si>
    <t>遠見</t>
    <phoneticPr fontId="1" type="noConversion"/>
  </si>
  <si>
    <t>拓凱</t>
    <phoneticPr fontId="1" type="noConversion"/>
  </si>
  <si>
    <t>大豐電</t>
    <phoneticPr fontId="1" type="noConversion"/>
  </si>
  <si>
    <t>台數科</t>
    <phoneticPr fontId="1" type="noConversion"/>
  </si>
  <si>
    <t>南六</t>
    <phoneticPr fontId="1" type="noConversion"/>
  </si>
  <si>
    <t>鋼聯</t>
    <phoneticPr fontId="1" type="noConversion"/>
  </si>
  <si>
    <t>必應</t>
    <phoneticPr fontId="1" type="noConversion"/>
  </si>
  <si>
    <t>雷虎</t>
    <phoneticPr fontId="1" type="noConversion"/>
  </si>
  <si>
    <t>日友</t>
    <phoneticPr fontId="1" type="noConversion"/>
  </si>
  <si>
    <t>福貞KY</t>
    <phoneticPr fontId="1" type="noConversion"/>
  </si>
  <si>
    <t>可寧衛</t>
    <phoneticPr fontId="1" type="noConversion"/>
  </si>
  <si>
    <t>基勝KY</t>
    <phoneticPr fontId="1" type="noConversion"/>
  </si>
  <si>
    <t>潤泰材</t>
    <phoneticPr fontId="1" type="noConversion"/>
  </si>
  <si>
    <t>波力KY</t>
    <phoneticPr fontId="1" type="noConversion"/>
  </si>
  <si>
    <t>山林水</t>
    <phoneticPr fontId="1" type="noConversion"/>
  </si>
  <si>
    <t>泰昇KY</t>
    <phoneticPr fontId="1" type="noConversion"/>
  </si>
  <si>
    <t>政伸</t>
    <phoneticPr fontId="1" type="noConversion"/>
  </si>
  <si>
    <t>吉源KY</t>
    <phoneticPr fontId="1" type="noConversion"/>
  </si>
  <si>
    <t>台火</t>
    <phoneticPr fontId="1" type="noConversion"/>
  </si>
  <si>
    <t>大華</t>
    <phoneticPr fontId="1" type="noConversion"/>
  </si>
  <si>
    <t>櫻花</t>
    <phoneticPr fontId="1" type="noConversion"/>
  </si>
  <si>
    <t>康那香</t>
    <phoneticPr fontId="1" type="noConversion"/>
  </si>
  <si>
    <t>福興</t>
    <phoneticPr fontId="1" type="noConversion"/>
  </si>
  <si>
    <t>泰銘</t>
    <phoneticPr fontId="1" type="noConversion"/>
  </si>
  <si>
    <t>中視</t>
    <phoneticPr fontId="1" type="noConversion"/>
  </si>
  <si>
    <t>秋雨</t>
    <phoneticPr fontId="1" type="noConversion"/>
  </si>
  <si>
    <t>成霖</t>
    <phoneticPr fontId="1" type="noConversion"/>
  </si>
  <si>
    <t>慶豐富</t>
    <phoneticPr fontId="1" type="noConversion"/>
  </si>
  <si>
    <t>宏全</t>
    <phoneticPr fontId="1" type="noConversion"/>
  </si>
  <si>
    <t>茂順</t>
    <phoneticPr fontId="1" type="noConversion"/>
  </si>
  <si>
    <t>新麗</t>
    <phoneticPr fontId="1" type="noConversion"/>
  </si>
  <si>
    <t>佳龍</t>
    <phoneticPr fontId="1" type="noConversion"/>
  </si>
  <si>
    <t>威宏KY</t>
    <phoneticPr fontId="1" type="noConversion"/>
  </si>
  <si>
    <t>11</t>
    <phoneticPr fontId="1" type="noConversion"/>
  </si>
  <si>
    <t>福大</t>
    <phoneticPr fontId="1" type="noConversion"/>
  </si>
  <si>
    <t>新昕纖</t>
    <phoneticPr fontId="1" type="noConversion"/>
  </si>
  <si>
    <t>金洲</t>
    <phoneticPr fontId="1" type="noConversion"/>
  </si>
  <si>
    <t>元勝</t>
    <phoneticPr fontId="1" type="noConversion"/>
  </si>
  <si>
    <t>光明</t>
    <phoneticPr fontId="1" type="noConversion"/>
  </si>
  <si>
    <t>聚紡</t>
    <phoneticPr fontId="1" type="noConversion"/>
  </si>
  <si>
    <t>4433</t>
    <phoneticPr fontId="1" type="noConversion"/>
  </si>
  <si>
    <t>興采</t>
    <phoneticPr fontId="1" type="noConversion"/>
  </si>
  <si>
    <t>新纖</t>
    <phoneticPr fontId="1" type="noConversion"/>
  </si>
  <si>
    <t>南染</t>
    <phoneticPr fontId="1" type="noConversion"/>
  </si>
  <si>
    <t>宏洲</t>
    <phoneticPr fontId="1" type="noConversion"/>
  </si>
  <si>
    <t>東和</t>
    <phoneticPr fontId="1" type="noConversion"/>
  </si>
  <si>
    <t>廣豐</t>
    <phoneticPr fontId="1" type="noConversion"/>
  </si>
  <si>
    <t>嘉裕</t>
    <phoneticPr fontId="1" type="noConversion"/>
  </si>
  <si>
    <t>東華</t>
    <phoneticPr fontId="1" type="noConversion"/>
  </si>
  <si>
    <t>新紡</t>
    <phoneticPr fontId="1" type="noConversion"/>
  </si>
  <si>
    <t>利華</t>
    <phoneticPr fontId="1" type="noConversion"/>
  </si>
  <si>
    <t>中和</t>
    <phoneticPr fontId="1" type="noConversion"/>
  </si>
  <si>
    <t>南紡</t>
    <phoneticPr fontId="1" type="noConversion"/>
  </si>
  <si>
    <t>大東</t>
    <phoneticPr fontId="1" type="noConversion"/>
  </si>
  <si>
    <t>立益</t>
    <phoneticPr fontId="1" type="noConversion"/>
  </si>
  <si>
    <t>大宇</t>
    <phoneticPr fontId="1" type="noConversion"/>
  </si>
  <si>
    <t>宏和</t>
    <phoneticPr fontId="1" type="noConversion"/>
  </si>
  <si>
    <t>力鵬</t>
    <phoneticPr fontId="1" type="noConversion"/>
  </si>
  <si>
    <t>佳和</t>
    <phoneticPr fontId="1" type="noConversion"/>
  </si>
  <si>
    <t>年興</t>
    <phoneticPr fontId="1" type="noConversion"/>
  </si>
  <si>
    <t>宏益</t>
    <phoneticPr fontId="1" type="noConversion"/>
  </si>
  <si>
    <t>大將</t>
    <phoneticPr fontId="1" type="noConversion"/>
  </si>
  <si>
    <t>台富</t>
    <phoneticPr fontId="1" type="noConversion"/>
  </si>
  <si>
    <t>怡華</t>
    <phoneticPr fontId="1" type="noConversion"/>
  </si>
  <si>
    <t>宜進</t>
    <phoneticPr fontId="1" type="noConversion"/>
  </si>
  <si>
    <t>聯發</t>
    <phoneticPr fontId="1" type="noConversion"/>
  </si>
  <si>
    <t>宏遠</t>
    <phoneticPr fontId="1" type="noConversion"/>
  </si>
  <si>
    <t>強盛</t>
    <phoneticPr fontId="1" type="noConversion"/>
  </si>
  <si>
    <t>得力</t>
    <phoneticPr fontId="1" type="noConversion"/>
  </si>
  <si>
    <t>偉全</t>
    <phoneticPr fontId="1" type="noConversion"/>
  </si>
  <si>
    <t>聚隆</t>
    <phoneticPr fontId="1" type="noConversion"/>
  </si>
  <si>
    <t>南緯</t>
    <phoneticPr fontId="1" type="noConversion"/>
  </si>
  <si>
    <t>昶和</t>
    <phoneticPr fontId="1" type="noConversion"/>
  </si>
  <si>
    <t>三洋紡</t>
    <phoneticPr fontId="1" type="noConversion"/>
  </si>
  <si>
    <t>台南</t>
    <phoneticPr fontId="1" type="noConversion"/>
  </si>
  <si>
    <t>弘裕</t>
    <phoneticPr fontId="1" type="noConversion"/>
  </si>
  <si>
    <t>如興</t>
    <phoneticPr fontId="1" type="noConversion"/>
  </si>
  <si>
    <t>利勤</t>
    <phoneticPr fontId="1" type="noConversion"/>
  </si>
  <si>
    <t>廣越</t>
    <phoneticPr fontId="1" type="noConversion"/>
  </si>
  <si>
    <t>化工</t>
    <phoneticPr fontId="1" type="noConversion"/>
  </si>
  <si>
    <t>台蠟</t>
    <phoneticPr fontId="1" type="noConversion"/>
  </si>
  <si>
    <t>中美實</t>
    <phoneticPr fontId="1" type="noConversion"/>
  </si>
  <si>
    <t>大恭</t>
    <phoneticPr fontId="1" type="noConversion"/>
  </si>
  <si>
    <t>磐亞</t>
    <phoneticPr fontId="1" type="noConversion"/>
  </si>
  <si>
    <t>永純</t>
    <phoneticPr fontId="1" type="noConversion"/>
  </si>
  <si>
    <t>永捷</t>
    <phoneticPr fontId="1" type="noConversion"/>
  </si>
  <si>
    <t>大立</t>
    <phoneticPr fontId="1" type="noConversion"/>
  </si>
  <si>
    <t>泓瀚</t>
    <phoneticPr fontId="1" type="noConversion"/>
  </si>
  <si>
    <t>雙邦</t>
    <phoneticPr fontId="1" type="noConversion"/>
  </si>
  <si>
    <t>1316</t>
    <phoneticPr fontId="1" type="noConversion"/>
  </si>
  <si>
    <t>上曜</t>
    <phoneticPr fontId="1" type="noConversion"/>
  </si>
  <si>
    <t>東鹼</t>
    <phoneticPr fontId="1" type="noConversion"/>
  </si>
  <si>
    <t>和益</t>
    <phoneticPr fontId="1" type="noConversion"/>
  </si>
  <si>
    <t>永光</t>
    <phoneticPr fontId="1" type="noConversion"/>
  </si>
  <si>
    <t>興農</t>
    <phoneticPr fontId="1" type="noConversion"/>
  </si>
  <si>
    <t>國化</t>
    <phoneticPr fontId="1" type="noConversion"/>
  </si>
  <si>
    <t>和桐</t>
    <phoneticPr fontId="1" type="noConversion"/>
  </si>
  <si>
    <t>中纖</t>
    <phoneticPr fontId="1" type="noConversion"/>
  </si>
  <si>
    <t>三晃</t>
    <phoneticPr fontId="1" type="noConversion"/>
  </si>
  <si>
    <t>台硝</t>
    <phoneticPr fontId="1" type="noConversion"/>
  </si>
  <si>
    <t>元禎</t>
  </si>
  <si>
    <t>永記</t>
    <phoneticPr fontId="1" type="noConversion"/>
  </si>
  <si>
    <t>中華化</t>
    <phoneticPr fontId="1" type="noConversion"/>
  </si>
  <si>
    <t>花仙子</t>
    <phoneticPr fontId="1" type="noConversion"/>
  </si>
  <si>
    <t>毛寶</t>
    <phoneticPr fontId="1" type="noConversion"/>
  </si>
  <si>
    <t>日勝化</t>
    <phoneticPr fontId="1" type="noConversion"/>
  </si>
  <si>
    <t>勝一</t>
    <phoneticPr fontId="1" type="noConversion"/>
  </si>
  <si>
    <t>展宇</t>
    <phoneticPr fontId="1" type="noConversion"/>
  </si>
  <si>
    <t>德淵</t>
    <phoneticPr fontId="1" type="noConversion"/>
  </si>
  <si>
    <t>國精化</t>
    <phoneticPr fontId="1" type="noConversion"/>
  </si>
  <si>
    <t>三福化</t>
    <phoneticPr fontId="1" type="noConversion"/>
  </si>
  <si>
    <t>材料KY</t>
    <phoneticPr fontId="1" type="noConversion"/>
  </si>
  <si>
    <t>雙鍵</t>
    <phoneticPr fontId="1" type="noConversion"/>
  </si>
  <si>
    <t>13</t>
    <phoneticPr fontId="1" type="noConversion"/>
  </si>
  <si>
    <t>德麥</t>
    <phoneticPr fontId="1" type="noConversion"/>
  </si>
  <si>
    <t>中華食</t>
    <phoneticPr fontId="1" type="noConversion"/>
  </si>
  <si>
    <t>環泰</t>
    <phoneticPr fontId="1" type="noConversion"/>
  </si>
  <si>
    <t>南璋</t>
    <phoneticPr fontId="1" type="noConversion"/>
  </si>
  <si>
    <t>味王</t>
    <phoneticPr fontId="1" type="noConversion"/>
  </si>
  <si>
    <t>大成</t>
    <phoneticPr fontId="1" type="noConversion"/>
  </si>
  <si>
    <t>1213</t>
    <phoneticPr fontId="1" type="noConversion"/>
  </si>
  <si>
    <t>大飲</t>
    <phoneticPr fontId="1" type="noConversion"/>
  </si>
  <si>
    <t>卜蜂</t>
    <phoneticPr fontId="1" type="noConversion"/>
  </si>
  <si>
    <t>愛之味</t>
    <phoneticPr fontId="1" type="noConversion"/>
  </si>
  <si>
    <t>泰山</t>
    <phoneticPr fontId="1" type="noConversion"/>
  </si>
  <si>
    <t>福壽</t>
    <phoneticPr fontId="1" type="noConversion"/>
  </si>
  <si>
    <t>台榮</t>
    <phoneticPr fontId="1" type="noConversion"/>
  </si>
  <si>
    <t>福懋油</t>
    <phoneticPr fontId="1" type="noConversion"/>
  </si>
  <si>
    <t>聯華</t>
    <phoneticPr fontId="1" type="noConversion"/>
  </si>
  <si>
    <t>聯華食</t>
    <phoneticPr fontId="1" type="noConversion"/>
  </si>
  <si>
    <t>大統益</t>
    <phoneticPr fontId="1" type="noConversion"/>
  </si>
  <si>
    <t>天仁</t>
    <phoneticPr fontId="1" type="noConversion"/>
  </si>
  <si>
    <t>黑松</t>
    <phoneticPr fontId="1" type="noConversion"/>
  </si>
  <si>
    <t>興泰</t>
    <phoneticPr fontId="1" type="noConversion"/>
  </si>
  <si>
    <t>宏亞</t>
    <phoneticPr fontId="1" type="noConversion"/>
  </si>
  <si>
    <t>1256</t>
    <phoneticPr fontId="1" type="noConversion"/>
  </si>
  <si>
    <t>鮮活果汁KY</t>
    <phoneticPr fontId="1" type="noConversion"/>
  </si>
  <si>
    <t>臺鹽</t>
    <phoneticPr fontId="1" type="noConversion"/>
  </si>
  <si>
    <t>14</t>
    <phoneticPr fontId="1" type="noConversion"/>
  </si>
  <si>
    <t>滿心</t>
    <phoneticPr fontId="1" type="noConversion"/>
  </si>
  <si>
    <t>東凌KY</t>
    <phoneticPr fontId="1" type="noConversion"/>
  </si>
  <si>
    <t>集雅社</t>
    <phoneticPr fontId="1" type="noConversion"/>
  </si>
  <si>
    <t>新洲</t>
    <phoneticPr fontId="1" type="noConversion"/>
  </si>
  <si>
    <t>德記</t>
    <phoneticPr fontId="1" type="noConversion"/>
  </si>
  <si>
    <t>南仁湖</t>
    <phoneticPr fontId="1" type="noConversion"/>
  </si>
  <si>
    <t>來思達</t>
    <phoneticPr fontId="1" type="noConversion"/>
  </si>
  <si>
    <t>關中</t>
    <phoneticPr fontId="1" type="noConversion"/>
  </si>
  <si>
    <t>邁達康</t>
    <phoneticPr fontId="1" type="noConversion"/>
  </si>
  <si>
    <t>大魯閣</t>
    <phoneticPr fontId="1" type="noConversion"/>
  </si>
  <si>
    <t>東森</t>
    <phoneticPr fontId="1" type="noConversion"/>
  </si>
  <si>
    <t>欣欣</t>
    <phoneticPr fontId="1" type="noConversion"/>
  </si>
  <si>
    <t>遠百</t>
    <phoneticPr fontId="1" type="noConversion"/>
  </si>
  <si>
    <t>高林</t>
    <phoneticPr fontId="1" type="noConversion"/>
  </si>
  <si>
    <t>特力</t>
    <phoneticPr fontId="1" type="noConversion"/>
  </si>
  <si>
    <t>統領</t>
    <phoneticPr fontId="1" type="noConversion"/>
  </si>
  <si>
    <t>麗嬰房</t>
    <phoneticPr fontId="1" type="noConversion"/>
  </si>
  <si>
    <t>農林</t>
    <phoneticPr fontId="1" type="noConversion"/>
  </si>
  <si>
    <t>凱羿KY</t>
    <phoneticPr fontId="1" type="noConversion"/>
  </si>
  <si>
    <t>日成KY</t>
    <phoneticPr fontId="1" type="noConversion"/>
  </si>
  <si>
    <t>台南KY</t>
    <phoneticPr fontId="1" type="noConversion"/>
  </si>
  <si>
    <t>大洋KY</t>
    <phoneticPr fontId="1" type="noConversion"/>
  </si>
  <si>
    <t>金麗KY</t>
    <phoneticPr fontId="1" type="noConversion"/>
  </si>
  <si>
    <t>阿瘦</t>
    <phoneticPr fontId="1" type="noConversion"/>
  </si>
  <si>
    <t>15</t>
    <phoneticPr fontId="1" type="noConversion"/>
  </si>
  <si>
    <t>三顧</t>
    <phoneticPr fontId="1" type="noConversion"/>
  </si>
  <si>
    <t>昱捷</t>
    <phoneticPr fontId="1" type="noConversion"/>
  </si>
  <si>
    <t>利機</t>
    <phoneticPr fontId="1" type="noConversion"/>
  </si>
  <si>
    <t>亞矽</t>
    <phoneticPr fontId="1" type="noConversion"/>
  </si>
  <si>
    <t>建達</t>
    <phoneticPr fontId="1" type="noConversion"/>
  </si>
  <si>
    <t>順發</t>
    <phoneticPr fontId="1" type="noConversion"/>
  </si>
  <si>
    <t>茂綸</t>
    <phoneticPr fontId="1" type="noConversion"/>
  </si>
  <si>
    <t>方土昶</t>
    <phoneticPr fontId="1" type="noConversion"/>
  </si>
  <si>
    <t>倍微</t>
    <phoneticPr fontId="1" type="noConversion"/>
  </si>
  <si>
    <t>光菱</t>
    <phoneticPr fontId="1" type="noConversion"/>
  </si>
  <si>
    <t>志旭</t>
    <phoneticPr fontId="1" type="noConversion"/>
  </si>
  <si>
    <t>全達</t>
    <phoneticPr fontId="1" type="noConversion"/>
  </si>
  <si>
    <t>巨虹</t>
    <phoneticPr fontId="1" type="noConversion"/>
  </si>
  <si>
    <t>擎亞</t>
    <phoneticPr fontId="1" type="noConversion"/>
  </si>
  <si>
    <t>精技</t>
    <phoneticPr fontId="1" type="noConversion"/>
  </si>
  <si>
    <t>敦吉</t>
    <phoneticPr fontId="1" type="noConversion"/>
  </si>
  <si>
    <t>增你強</t>
    <phoneticPr fontId="1" type="noConversion"/>
  </si>
  <si>
    <t>益登</t>
    <phoneticPr fontId="1" type="noConversion"/>
  </si>
  <si>
    <t>蔚華科</t>
    <phoneticPr fontId="1" type="noConversion"/>
  </si>
  <si>
    <t>全科</t>
    <phoneticPr fontId="1" type="noConversion"/>
  </si>
  <si>
    <t>弘憶股</t>
    <phoneticPr fontId="1" type="noConversion"/>
  </si>
  <si>
    <t>安馳</t>
    <phoneticPr fontId="1" type="noConversion"/>
  </si>
  <si>
    <t>豐藝</t>
    <phoneticPr fontId="1" type="noConversion"/>
  </si>
  <si>
    <t>全國電</t>
    <phoneticPr fontId="1" type="noConversion"/>
  </si>
  <si>
    <t>陞泰</t>
    <phoneticPr fontId="1" type="noConversion"/>
  </si>
  <si>
    <t>16</t>
    <phoneticPr fontId="1" type="noConversion"/>
  </si>
  <si>
    <t>唐榮</t>
    <phoneticPr fontId="1" type="noConversion"/>
  </si>
  <si>
    <t>世鎧</t>
    <phoneticPr fontId="1" type="noConversion"/>
  </si>
  <si>
    <t>晉椿</t>
    <phoneticPr fontId="1" type="noConversion"/>
  </si>
  <si>
    <t>世豐</t>
    <phoneticPr fontId="1" type="noConversion"/>
  </si>
  <si>
    <t>久陽</t>
    <phoneticPr fontId="1" type="noConversion"/>
  </si>
  <si>
    <t>建錩</t>
    <phoneticPr fontId="1" type="noConversion"/>
  </si>
  <si>
    <t>華祺</t>
    <phoneticPr fontId="1" type="noConversion"/>
  </si>
  <si>
    <t>松和</t>
    <phoneticPr fontId="1" type="noConversion"/>
  </si>
  <si>
    <t>沛波</t>
    <phoneticPr fontId="1" type="noConversion"/>
  </si>
  <si>
    <t>大國鋼</t>
    <phoneticPr fontId="1" type="noConversion"/>
  </si>
  <si>
    <t>青鋼</t>
    <phoneticPr fontId="1" type="noConversion"/>
  </si>
  <si>
    <t>有益</t>
    <phoneticPr fontId="1" type="noConversion"/>
  </si>
  <si>
    <t>燁興</t>
    <phoneticPr fontId="1" type="noConversion"/>
  </si>
  <si>
    <t>高興昌</t>
    <phoneticPr fontId="1" type="noConversion"/>
  </si>
  <si>
    <t>第一銅</t>
    <phoneticPr fontId="1" type="noConversion"/>
  </si>
  <si>
    <t>春源</t>
    <phoneticPr fontId="1" type="noConversion"/>
  </si>
  <si>
    <t>春雨</t>
    <phoneticPr fontId="1" type="noConversion"/>
  </si>
  <si>
    <t>中鴻</t>
    <phoneticPr fontId="1" type="noConversion"/>
  </si>
  <si>
    <t>官田鋼</t>
    <phoneticPr fontId="1" type="noConversion"/>
  </si>
  <si>
    <t>美亞</t>
    <phoneticPr fontId="1" type="noConversion"/>
  </si>
  <si>
    <t>聚亨</t>
    <phoneticPr fontId="1" type="noConversion"/>
  </si>
  <si>
    <t>志聯</t>
    <phoneticPr fontId="1" type="noConversion"/>
  </si>
  <si>
    <t>威致</t>
    <phoneticPr fontId="1" type="noConversion"/>
  </si>
  <si>
    <t>彰源</t>
    <phoneticPr fontId="1" type="noConversion"/>
  </si>
  <si>
    <t>元大</t>
    <phoneticPr fontId="1" type="noConversion"/>
  </si>
  <si>
    <t>華南</t>
    <phoneticPr fontId="1" type="noConversion"/>
  </si>
  <si>
    <t>buffettdong</t>
    <phoneticPr fontId="1" type="noConversion"/>
  </si>
  <si>
    <t>buffettju</t>
    <phoneticPr fontId="1" type="noConversion"/>
  </si>
  <si>
    <t>sukibayashi</t>
    <phoneticPr fontId="1" type="noConversion"/>
  </si>
  <si>
    <t>9100bo</t>
    <phoneticPr fontId="1" type="noConversion"/>
  </si>
  <si>
    <t>珠</t>
    <phoneticPr fontId="1" type="noConversion"/>
  </si>
  <si>
    <t>斌</t>
    <phoneticPr fontId="1" type="noConversion"/>
  </si>
  <si>
    <t>博</t>
    <phoneticPr fontId="1" type="noConversion"/>
  </si>
  <si>
    <t>ju54186</t>
    <phoneticPr fontId="1" type="noConversion"/>
  </si>
  <si>
    <t>ju54186755</t>
    <phoneticPr fontId="1" type="noConversion"/>
  </si>
  <si>
    <t>中華電</t>
    <phoneticPr fontId="1" type="noConversion"/>
  </si>
  <si>
    <t>新鋼</t>
    <phoneticPr fontId="1" type="noConversion"/>
  </si>
  <si>
    <t>佳大</t>
    <phoneticPr fontId="1" type="noConversion"/>
  </si>
  <si>
    <t>海光</t>
    <phoneticPr fontId="1" type="noConversion"/>
  </si>
  <si>
    <t>運錩</t>
    <phoneticPr fontId="1" type="noConversion"/>
  </si>
  <si>
    <t>豐達科</t>
    <phoneticPr fontId="1" type="noConversion"/>
  </si>
  <si>
    <t>三星</t>
    <phoneticPr fontId="1" type="noConversion"/>
  </si>
  <si>
    <t>東明KY</t>
    <phoneticPr fontId="1" type="noConversion"/>
  </si>
  <si>
    <t>17</t>
    <phoneticPr fontId="1" type="noConversion"/>
  </si>
  <si>
    <t>嘉泥</t>
    <phoneticPr fontId="1" type="noConversion"/>
  </si>
  <si>
    <t>環泥</t>
    <phoneticPr fontId="1" type="noConversion"/>
  </si>
  <si>
    <t>幸福</t>
    <phoneticPr fontId="1" type="noConversion"/>
  </si>
  <si>
    <t>信大</t>
    <phoneticPr fontId="1" type="noConversion"/>
  </si>
  <si>
    <t>東泥</t>
    <phoneticPr fontId="1" type="noConversion"/>
  </si>
  <si>
    <t>18</t>
    <phoneticPr fontId="1" type="noConversion"/>
  </si>
  <si>
    <t>正德</t>
    <phoneticPr fontId="1" type="noConversion"/>
  </si>
  <si>
    <t>捷迅</t>
    <phoneticPr fontId="1" type="noConversion"/>
  </si>
  <si>
    <t>台聯櫃</t>
    <phoneticPr fontId="1" type="noConversion"/>
  </si>
  <si>
    <t>中連貨</t>
    <phoneticPr fontId="1" type="noConversion"/>
  </si>
  <si>
    <t>中菲行</t>
    <phoneticPr fontId="1" type="noConversion"/>
  </si>
  <si>
    <t>新興</t>
    <phoneticPr fontId="1" type="noConversion"/>
  </si>
  <si>
    <t>陽明</t>
    <phoneticPr fontId="1" type="noConversion"/>
  </si>
  <si>
    <t>志信</t>
    <phoneticPr fontId="1" type="noConversion"/>
  </si>
  <si>
    <t>中航</t>
    <phoneticPr fontId="1" type="noConversion"/>
  </si>
  <si>
    <t>中櫃</t>
    <phoneticPr fontId="1" type="noConversion"/>
  </si>
  <si>
    <t>台航</t>
    <phoneticPr fontId="1" type="noConversion"/>
  </si>
  <si>
    <t>亞航</t>
    <phoneticPr fontId="1" type="noConversion"/>
  </si>
  <si>
    <t>慧洋KY</t>
    <phoneticPr fontId="1" type="noConversion"/>
  </si>
  <si>
    <t>宅配通</t>
    <phoneticPr fontId="1" type="noConversion"/>
  </si>
  <si>
    <t>遠雄港</t>
    <phoneticPr fontId="1" type="noConversion"/>
  </si>
  <si>
    <t>四維航</t>
    <phoneticPr fontId="1" type="noConversion"/>
  </si>
  <si>
    <t>營建</t>
    <phoneticPr fontId="1" type="noConversion"/>
  </si>
  <si>
    <t>19</t>
    <phoneticPr fontId="1" type="noConversion"/>
  </si>
  <si>
    <t>綠意</t>
    <phoneticPr fontId="1" type="noConversion"/>
  </si>
  <si>
    <t>鑫龍騰</t>
    <phoneticPr fontId="1" type="noConversion"/>
  </si>
  <si>
    <t>森寶</t>
    <phoneticPr fontId="1" type="noConversion"/>
  </si>
  <si>
    <t>聯上</t>
    <phoneticPr fontId="1" type="noConversion"/>
  </si>
  <si>
    <t>三圓</t>
    <phoneticPr fontId="1" type="noConversion"/>
  </si>
  <si>
    <t>富宇</t>
    <phoneticPr fontId="1" type="noConversion"/>
  </si>
  <si>
    <t>坤悅</t>
    <phoneticPr fontId="1" type="noConversion"/>
  </si>
  <si>
    <t>亞昕</t>
    <phoneticPr fontId="1" type="noConversion"/>
  </si>
  <si>
    <t>士開</t>
    <phoneticPr fontId="1" type="noConversion"/>
  </si>
  <si>
    <t>德昌</t>
    <phoneticPr fontId="1" type="noConversion"/>
  </si>
  <si>
    <t>三豐</t>
    <phoneticPr fontId="1" type="noConversion"/>
  </si>
  <si>
    <t>雙喜</t>
    <phoneticPr fontId="1" type="noConversion"/>
  </si>
  <si>
    <t>力泰</t>
    <phoneticPr fontId="1" type="noConversion"/>
  </si>
  <si>
    <t>豐謙</t>
    <phoneticPr fontId="1" type="noConversion"/>
  </si>
  <si>
    <t>志嘉</t>
    <phoneticPr fontId="1" type="noConversion"/>
  </si>
  <si>
    <t>新潤</t>
    <phoneticPr fontId="1" type="noConversion"/>
  </si>
  <si>
    <t>理銘</t>
    <phoneticPr fontId="1" type="noConversion"/>
  </si>
  <si>
    <t>富旺</t>
    <phoneticPr fontId="1" type="noConversion"/>
  </si>
  <si>
    <t>富裔</t>
    <phoneticPr fontId="1" type="noConversion"/>
  </si>
  <si>
    <t>惠普</t>
    <phoneticPr fontId="1" type="noConversion"/>
  </si>
  <si>
    <t>華友聯</t>
    <phoneticPr fontId="1" type="noConversion"/>
  </si>
  <si>
    <t>名軒</t>
    <phoneticPr fontId="1" type="noConversion"/>
  </si>
  <si>
    <t>寶徠</t>
    <phoneticPr fontId="1" type="noConversion"/>
  </si>
  <si>
    <t>潤隆</t>
    <phoneticPr fontId="1" type="noConversion"/>
  </si>
  <si>
    <t>國建</t>
    <phoneticPr fontId="1" type="noConversion"/>
  </si>
  <si>
    <t>國產</t>
    <phoneticPr fontId="1" type="noConversion"/>
  </si>
  <si>
    <t>國揚</t>
    <phoneticPr fontId="1" type="noConversion"/>
  </si>
  <si>
    <t>太設</t>
    <phoneticPr fontId="1" type="noConversion"/>
  </si>
  <si>
    <t>全坤建</t>
    <phoneticPr fontId="1" type="noConversion"/>
  </si>
  <si>
    <t>太子</t>
    <phoneticPr fontId="1" type="noConversion"/>
  </si>
  <si>
    <t>新建</t>
    <phoneticPr fontId="1" type="noConversion"/>
  </si>
  <si>
    <t>冠德</t>
    <phoneticPr fontId="1" type="noConversion"/>
  </si>
  <si>
    <t>京城</t>
    <phoneticPr fontId="1" type="noConversion"/>
  </si>
  <si>
    <t>宏璟</t>
    <phoneticPr fontId="1" type="noConversion"/>
  </si>
  <si>
    <t>皇普</t>
    <phoneticPr fontId="1" type="noConversion"/>
  </si>
  <si>
    <t>華建</t>
    <phoneticPr fontId="1" type="noConversion"/>
  </si>
  <si>
    <t>宏盛</t>
    <phoneticPr fontId="1" type="noConversion"/>
  </si>
  <si>
    <t>達欣工</t>
    <phoneticPr fontId="1" type="noConversion"/>
  </si>
  <si>
    <t>宏普</t>
    <phoneticPr fontId="1" type="noConversion"/>
  </si>
  <si>
    <t>聨上發</t>
    <phoneticPr fontId="1" type="noConversion"/>
  </si>
  <si>
    <t>基泰</t>
    <phoneticPr fontId="1" type="noConversion"/>
  </si>
  <si>
    <t>櫻花建</t>
    <phoneticPr fontId="1" type="noConversion"/>
  </si>
  <si>
    <t>愛山林</t>
    <phoneticPr fontId="1" type="noConversion"/>
  </si>
  <si>
    <t>皇昌</t>
    <phoneticPr fontId="1" type="noConversion"/>
  </si>
  <si>
    <t>皇翔</t>
    <phoneticPr fontId="1" type="noConversion"/>
  </si>
  <si>
    <t>根基</t>
    <phoneticPr fontId="1" type="noConversion"/>
  </si>
  <si>
    <t>日勝生</t>
    <phoneticPr fontId="1" type="noConversion"/>
  </si>
  <si>
    <t>華固</t>
    <phoneticPr fontId="1" type="noConversion"/>
  </si>
  <si>
    <t>潤弘</t>
    <phoneticPr fontId="1" type="noConversion"/>
  </si>
  <si>
    <t>台開</t>
    <phoneticPr fontId="1" type="noConversion"/>
  </si>
  <si>
    <t>夆典</t>
    <phoneticPr fontId="1" type="noConversion"/>
  </si>
  <si>
    <t>總太</t>
    <phoneticPr fontId="1" type="noConversion"/>
  </si>
  <si>
    <t>昇陽</t>
    <phoneticPr fontId="1" type="noConversion"/>
  </si>
  <si>
    <t>建國</t>
    <phoneticPr fontId="1" type="noConversion"/>
  </si>
  <si>
    <t>隆大</t>
    <phoneticPr fontId="1" type="noConversion"/>
  </si>
  <si>
    <t>工信</t>
    <phoneticPr fontId="1" type="noConversion"/>
  </si>
  <si>
    <t>順天</t>
    <phoneticPr fontId="1" type="noConversion"/>
  </si>
  <si>
    <t>鄉林</t>
    <phoneticPr fontId="1" type="noConversion"/>
  </si>
  <si>
    <t>皇鼎</t>
    <phoneticPr fontId="1" type="noConversion"/>
  </si>
  <si>
    <t>長虹</t>
    <phoneticPr fontId="1" type="noConversion"/>
  </si>
  <si>
    <t>達麗</t>
    <phoneticPr fontId="1" type="noConversion"/>
  </si>
  <si>
    <t>欣巴巴</t>
    <phoneticPr fontId="1" type="noConversion"/>
  </si>
  <si>
    <t>鼎固KY</t>
    <phoneticPr fontId="1" type="noConversion"/>
  </si>
  <si>
    <t>20</t>
    <phoneticPr fontId="1" type="noConversion"/>
  </si>
  <si>
    <t>富強</t>
    <phoneticPr fontId="1" type="noConversion"/>
  </si>
  <si>
    <t>泰豐</t>
    <phoneticPr fontId="1" type="noConversion"/>
  </si>
  <si>
    <t>厚生</t>
    <phoneticPr fontId="1" type="noConversion"/>
  </si>
  <si>
    <t>南帝</t>
    <phoneticPr fontId="1" type="noConversion"/>
  </si>
  <si>
    <t>華豐</t>
    <phoneticPr fontId="1" type="noConversion"/>
  </si>
  <si>
    <t>鑫永銓</t>
    <phoneticPr fontId="1" type="noConversion"/>
  </si>
  <si>
    <t>申豐</t>
    <phoneticPr fontId="1" type="noConversion"/>
  </si>
  <si>
    <t>21</t>
    <phoneticPr fontId="1" type="noConversion"/>
  </si>
  <si>
    <t>風青</t>
    <phoneticPr fontId="1" type="noConversion"/>
  </si>
  <si>
    <t>唐鋒</t>
    <phoneticPr fontId="1" type="noConversion"/>
  </si>
  <si>
    <t>華電</t>
    <phoneticPr fontId="1" type="noConversion"/>
  </si>
  <si>
    <t>聲寶</t>
    <phoneticPr fontId="1" type="noConversion"/>
  </si>
  <si>
    <t>1608</t>
    <phoneticPr fontId="1" type="noConversion"/>
  </si>
  <si>
    <t>華榮</t>
    <phoneticPr fontId="1" type="noConversion"/>
  </si>
  <si>
    <t>大亞</t>
    <phoneticPr fontId="1" type="noConversion"/>
  </si>
  <si>
    <t>宏泰</t>
    <phoneticPr fontId="1" type="noConversion"/>
  </si>
  <si>
    <t>三洋電</t>
    <phoneticPr fontId="1" type="noConversion"/>
  </si>
  <si>
    <t>大山</t>
    <phoneticPr fontId="1" type="noConversion"/>
  </si>
  <si>
    <t>億泰</t>
    <phoneticPr fontId="1" type="noConversion"/>
  </si>
  <si>
    <t>榮星</t>
    <phoneticPr fontId="1" type="noConversion"/>
  </si>
  <si>
    <t>合機</t>
    <phoneticPr fontId="1" type="noConversion"/>
  </si>
  <si>
    <t>燦星網</t>
    <phoneticPr fontId="1" type="noConversion"/>
  </si>
  <si>
    <t>廣華KY</t>
    <phoneticPr fontId="1" type="noConversion"/>
  </si>
  <si>
    <t>英利KY</t>
    <phoneticPr fontId="1" type="noConversion"/>
  </si>
  <si>
    <t>宏旭KY</t>
    <phoneticPr fontId="1" type="noConversion"/>
  </si>
  <si>
    <t>23</t>
    <phoneticPr fontId="1" type="noConversion"/>
  </si>
  <si>
    <t>安心</t>
    <phoneticPr fontId="1" type="noConversion"/>
  </si>
  <si>
    <t>漢來美食</t>
    <phoneticPr fontId="1" type="noConversion"/>
  </si>
  <si>
    <t>晶悅</t>
    <phoneticPr fontId="1" type="noConversion"/>
  </si>
  <si>
    <t>燦星旅</t>
    <phoneticPr fontId="1" type="noConversion"/>
  </si>
  <si>
    <t>富驛KY</t>
    <phoneticPr fontId="1" type="noConversion"/>
  </si>
  <si>
    <t>雅茗KY</t>
    <phoneticPr fontId="1" type="noConversion"/>
  </si>
  <si>
    <t>易飛網</t>
    <phoneticPr fontId="1" type="noConversion"/>
  </si>
  <si>
    <t>高野</t>
    <phoneticPr fontId="1" type="noConversion"/>
  </si>
  <si>
    <t>天蔥</t>
    <phoneticPr fontId="1" type="noConversion"/>
  </si>
  <si>
    <t>五福</t>
    <phoneticPr fontId="1" type="noConversion"/>
  </si>
  <si>
    <t>紅馬KY</t>
    <phoneticPr fontId="1" type="noConversion"/>
  </si>
  <si>
    <t>海灣</t>
    <phoneticPr fontId="1" type="noConversion"/>
  </si>
  <si>
    <t>大略KY</t>
    <phoneticPr fontId="1" type="noConversion"/>
  </si>
  <si>
    <t>寶得利</t>
    <phoneticPr fontId="1" type="noConversion"/>
  </si>
  <si>
    <t>力麗店</t>
    <phoneticPr fontId="1" type="noConversion"/>
  </si>
  <si>
    <t>劍湖山</t>
    <phoneticPr fontId="1" type="noConversion"/>
  </si>
  <si>
    <t>亞都</t>
    <phoneticPr fontId="1" type="noConversion"/>
  </si>
  <si>
    <t>老爺知</t>
    <phoneticPr fontId="1" type="noConversion"/>
  </si>
  <si>
    <t>洛碁</t>
    <phoneticPr fontId="1" type="noConversion"/>
  </si>
  <si>
    <t>柏文</t>
    <phoneticPr fontId="1" type="noConversion"/>
  </si>
  <si>
    <t>萬企</t>
    <phoneticPr fontId="1" type="noConversion"/>
  </si>
  <si>
    <t>華園</t>
    <phoneticPr fontId="1" type="noConversion"/>
  </si>
  <si>
    <t>六福</t>
    <phoneticPr fontId="1" type="noConversion"/>
  </si>
  <si>
    <t>第一店</t>
    <phoneticPr fontId="1" type="noConversion"/>
  </si>
  <si>
    <t>晶華</t>
    <phoneticPr fontId="1" type="noConversion"/>
  </si>
  <si>
    <t>遠雄來</t>
    <phoneticPr fontId="1" type="noConversion"/>
  </si>
  <si>
    <t>夏都</t>
    <phoneticPr fontId="1" type="noConversion"/>
  </si>
  <si>
    <t>雄獅</t>
    <phoneticPr fontId="1" type="noConversion"/>
  </si>
  <si>
    <t>寒舍</t>
    <phoneticPr fontId="1" type="noConversion"/>
  </si>
  <si>
    <t>雲品</t>
    <phoneticPr fontId="1" type="noConversion"/>
  </si>
  <si>
    <t>鳳凰</t>
    <phoneticPr fontId="1" type="noConversion"/>
  </si>
  <si>
    <t>新天地</t>
    <phoneticPr fontId="1" type="noConversion"/>
  </si>
  <si>
    <t>24</t>
    <phoneticPr fontId="1" type="noConversion"/>
  </si>
  <si>
    <t>欣雄</t>
    <phoneticPr fontId="1" type="noConversion"/>
  </si>
  <si>
    <t>欣泰</t>
    <phoneticPr fontId="1" type="noConversion"/>
  </si>
  <si>
    <t>北基</t>
    <phoneticPr fontId="1" type="noConversion"/>
  </si>
  <si>
    <t>大汽電</t>
    <phoneticPr fontId="1" type="noConversion"/>
  </si>
  <si>
    <t>山隆</t>
    <phoneticPr fontId="1" type="noConversion"/>
  </si>
  <si>
    <t>台汽電</t>
    <phoneticPr fontId="1" type="noConversion"/>
  </si>
  <si>
    <t>大台北</t>
    <phoneticPr fontId="1" type="noConversion"/>
  </si>
  <si>
    <t>欣天然</t>
    <phoneticPr fontId="1" type="noConversion"/>
  </si>
  <si>
    <t>新海</t>
    <phoneticPr fontId="1" type="noConversion"/>
  </si>
  <si>
    <t>欣高</t>
    <phoneticPr fontId="1" type="noConversion"/>
  </si>
  <si>
    <t>全國</t>
    <phoneticPr fontId="1" type="noConversion"/>
  </si>
  <si>
    <t>25</t>
    <phoneticPr fontId="1" type="noConversion"/>
  </si>
  <si>
    <t>士紙</t>
    <phoneticPr fontId="1" type="noConversion"/>
  </si>
  <si>
    <t>華紙</t>
    <phoneticPr fontId="1" type="noConversion"/>
  </si>
  <si>
    <t>寶隆</t>
    <phoneticPr fontId="1" type="noConversion"/>
  </si>
  <si>
    <t>26</t>
    <phoneticPr fontId="1" type="noConversion"/>
  </si>
  <si>
    <t>新零售</t>
    <phoneticPr fontId="1" type="noConversion"/>
  </si>
  <si>
    <t>3147</t>
    <phoneticPr fontId="1" type="noConversion"/>
  </si>
  <si>
    <t>大綜電腦</t>
    <phoneticPr fontId="1" type="noConversion"/>
  </si>
  <si>
    <t>大塚</t>
    <phoneticPr fontId="1" type="noConversion"/>
  </si>
  <si>
    <t>緯軟</t>
    <phoneticPr fontId="1" type="noConversion"/>
  </si>
  <si>
    <t>凱衛</t>
    <phoneticPr fontId="1" type="noConversion"/>
  </si>
  <si>
    <t>力新</t>
    <phoneticPr fontId="1" type="noConversion"/>
  </si>
  <si>
    <t>新鼎</t>
    <phoneticPr fontId="1" type="noConversion"/>
  </si>
  <si>
    <t>寶碩</t>
    <phoneticPr fontId="1" type="noConversion"/>
  </si>
  <si>
    <t>蒙恬</t>
    <phoneticPr fontId="1" type="noConversion"/>
  </si>
  <si>
    <t>凌網</t>
    <phoneticPr fontId="1" type="noConversion"/>
  </si>
  <si>
    <t>天剛</t>
    <phoneticPr fontId="1" type="noConversion"/>
  </si>
  <si>
    <t>中菲</t>
    <phoneticPr fontId="1" type="noConversion"/>
  </si>
  <si>
    <t>國眾</t>
    <phoneticPr fontId="1" type="noConversion"/>
  </si>
  <si>
    <t>訊達</t>
    <phoneticPr fontId="1" type="noConversion"/>
  </si>
  <si>
    <t>驊宏資</t>
    <phoneticPr fontId="1" type="noConversion"/>
  </si>
  <si>
    <t>晉泰</t>
    <phoneticPr fontId="1" type="noConversion"/>
  </si>
  <si>
    <t>系微</t>
    <phoneticPr fontId="1" type="noConversion"/>
  </si>
  <si>
    <t>松崗</t>
    <phoneticPr fontId="1" type="noConversion"/>
  </si>
  <si>
    <t>通訊KY</t>
    <phoneticPr fontId="1" type="noConversion"/>
  </si>
  <si>
    <t>台灣銘板</t>
    <phoneticPr fontId="1" type="noConversion"/>
  </si>
  <si>
    <t>大世科</t>
    <phoneticPr fontId="1" type="noConversion"/>
  </si>
  <si>
    <t>三商電</t>
    <phoneticPr fontId="1" type="noConversion"/>
  </si>
  <si>
    <t>凌群</t>
    <phoneticPr fontId="1" type="noConversion"/>
  </si>
  <si>
    <t>華經</t>
    <phoneticPr fontId="1" type="noConversion"/>
  </si>
  <si>
    <t>資通</t>
    <phoneticPr fontId="1" type="noConversion"/>
  </si>
  <si>
    <t>敦陽科</t>
    <phoneticPr fontId="1" type="noConversion"/>
  </si>
  <si>
    <t>零壹</t>
    <phoneticPr fontId="1" type="noConversion"/>
  </si>
  <si>
    <t>一零四</t>
    <phoneticPr fontId="1" type="noConversion"/>
  </si>
  <si>
    <t>傳奇</t>
    <phoneticPr fontId="1" type="noConversion"/>
  </si>
  <si>
    <t>聚碩</t>
    <phoneticPr fontId="1" type="noConversion"/>
  </si>
  <si>
    <t>關貿</t>
    <phoneticPr fontId="1" type="noConversion"/>
  </si>
  <si>
    <t>27</t>
    <phoneticPr fontId="1" type="noConversion"/>
  </si>
  <si>
    <t>冠軍</t>
    <phoneticPr fontId="1" type="noConversion"/>
  </si>
  <si>
    <t>中釉</t>
    <phoneticPr fontId="1" type="noConversion"/>
  </si>
  <si>
    <t>和成</t>
    <phoneticPr fontId="1" type="noConversion"/>
  </si>
  <si>
    <t>凱撒衛</t>
    <phoneticPr fontId="1" type="noConversion"/>
  </si>
  <si>
    <t>29</t>
    <phoneticPr fontId="1" type="noConversion"/>
  </si>
  <si>
    <t>文創</t>
    <phoneticPr fontId="1" type="noConversion"/>
  </si>
  <si>
    <t>昇華</t>
    <phoneticPr fontId="1" type="noConversion"/>
  </si>
  <si>
    <t>寬魚國際</t>
    <phoneticPr fontId="1" type="noConversion"/>
  </si>
  <si>
    <t>得利影</t>
    <phoneticPr fontId="1" type="noConversion"/>
  </si>
  <si>
    <t>弘煜科</t>
    <phoneticPr fontId="1" type="noConversion"/>
  </si>
  <si>
    <t>寬宏藝術</t>
    <phoneticPr fontId="1" type="noConversion"/>
  </si>
  <si>
    <t>三貝德</t>
    <phoneticPr fontId="1" type="noConversion"/>
  </si>
  <si>
    <t>時報</t>
    <phoneticPr fontId="1" type="noConversion"/>
  </si>
  <si>
    <t>琉園</t>
    <phoneticPr fontId="1" type="noConversion"/>
  </si>
  <si>
    <t>30</t>
    <phoneticPr fontId="1" type="noConversion"/>
  </si>
  <si>
    <t>尚凡</t>
    <phoneticPr fontId="1" type="noConversion"/>
  </si>
  <si>
    <t>夠麻吉</t>
    <phoneticPr fontId="1" type="noConversion"/>
  </si>
  <si>
    <t>創業家</t>
    <phoneticPr fontId="1" type="noConversion"/>
  </si>
  <si>
    <t>31</t>
    <phoneticPr fontId="1" type="noConversion"/>
  </si>
  <si>
    <t>農科</t>
    <phoneticPr fontId="1" type="noConversion"/>
  </si>
  <si>
    <t>4171</t>
    <phoneticPr fontId="1" type="noConversion"/>
  </si>
  <si>
    <t>瑞基</t>
    <phoneticPr fontId="1" type="noConversion"/>
  </si>
  <si>
    <t>惠光</t>
    <phoneticPr fontId="1" type="noConversion"/>
  </si>
  <si>
    <t>加權</t>
    <phoneticPr fontId="1" type="noConversion"/>
  </si>
  <si>
    <t>上櫃</t>
    <phoneticPr fontId="1" type="noConversion"/>
  </si>
  <si>
    <t>電子通路</t>
    <phoneticPr fontId="1" type="noConversion"/>
  </si>
  <si>
    <t>PCB</t>
    <phoneticPr fontId="1" type="noConversion"/>
  </si>
  <si>
    <t>銅箔基板</t>
    <phoneticPr fontId="1" type="noConversion"/>
  </si>
  <si>
    <t>電池材料磷酸鐵鋰電池正極材料廠商</t>
    <phoneticPr fontId="1" type="noConversion"/>
  </si>
  <si>
    <t>泰碩</t>
    <phoneticPr fontId="1" type="noConversion"/>
  </si>
  <si>
    <t>工業電腦研華旗下</t>
    <phoneticPr fontId="1" type="noConversion"/>
  </si>
  <si>
    <t>PCB仁寶旗下</t>
    <phoneticPr fontId="1" type="noConversion"/>
  </si>
  <si>
    <t>6173</t>
    <phoneticPr fontId="1" type="noConversion"/>
  </si>
  <si>
    <t>軟板欣興,台表科轉投資</t>
    <phoneticPr fontId="1" type="noConversion"/>
  </si>
  <si>
    <t>8086</t>
    <phoneticPr fontId="1" type="noConversion"/>
  </si>
  <si>
    <t>2337</t>
    <phoneticPr fontId="1" type="noConversion"/>
  </si>
  <si>
    <t>4163</t>
    <phoneticPr fontId="1" type="noConversion"/>
  </si>
  <si>
    <t>手機晶片</t>
    <phoneticPr fontId="1" type="noConversion"/>
  </si>
  <si>
    <t>NB代工</t>
    <phoneticPr fontId="1" type="noConversion"/>
  </si>
  <si>
    <t>PCB玻纖布</t>
    <phoneticPr fontId="1" type="noConversion"/>
  </si>
  <si>
    <t>內部人</t>
    <phoneticPr fontId="1" type="noConversion"/>
  </si>
  <si>
    <t>PCB轉投資滬電股份深交所掛牌</t>
    <phoneticPr fontId="1" type="noConversion"/>
  </si>
  <si>
    <t>硫酸電子級</t>
    <phoneticPr fontId="1" type="noConversion"/>
  </si>
  <si>
    <t>ASUS Vi3</t>
    <phoneticPr fontId="1" type="noConversion"/>
  </si>
  <si>
    <t>Surface Pro</t>
    <phoneticPr fontId="1" type="noConversion"/>
  </si>
  <si>
    <t>ASUS Vi5</t>
    <phoneticPr fontId="1" type="noConversion"/>
  </si>
  <si>
    <t>封測華新旗下東芝轉投資</t>
    <phoneticPr fontId="1" type="noConversion"/>
  </si>
  <si>
    <t>誠美材</t>
    <phoneticPr fontId="1" type="noConversion"/>
  </si>
  <si>
    <t>南亞</t>
    <phoneticPr fontId="1" type="noConversion"/>
  </si>
  <si>
    <t>籌碼</t>
    <phoneticPr fontId="1" type="noConversion"/>
  </si>
  <si>
    <t>營益率</t>
    <phoneticPr fontId="1" type="noConversion"/>
  </si>
  <si>
    <t>1605</t>
    <phoneticPr fontId="1" type="noConversion"/>
  </si>
  <si>
    <t>昇陽半導體</t>
    <phoneticPr fontId="1" type="noConversion"/>
  </si>
  <si>
    <t>6147</t>
    <phoneticPr fontId="1" type="noConversion"/>
  </si>
  <si>
    <t>天鈺</t>
    <phoneticPr fontId="1" type="noConversion"/>
  </si>
  <si>
    <t>3265</t>
    <phoneticPr fontId="1" type="noConversion"/>
  </si>
  <si>
    <t>立衛</t>
    <phoneticPr fontId="1" type="noConversion"/>
  </si>
  <si>
    <t>6485</t>
    <phoneticPr fontId="1" type="noConversion"/>
  </si>
  <si>
    <t>均華</t>
    <phoneticPr fontId="1" type="noConversion"/>
  </si>
  <si>
    <t>興能高</t>
    <phoneticPr fontId="1" type="noConversion"/>
  </si>
  <si>
    <t>皇龍</t>
    <phoneticPr fontId="1" type="noConversion"/>
  </si>
  <si>
    <t>群翊</t>
    <phoneticPr fontId="1" type="noConversion"/>
  </si>
  <si>
    <t>尚茂</t>
    <phoneticPr fontId="1" type="noConversion"/>
  </si>
  <si>
    <t>聯合再生</t>
    <phoneticPr fontId="1" type="noConversion"/>
  </si>
  <si>
    <t>圓展</t>
    <phoneticPr fontId="1" type="noConversion"/>
  </si>
  <si>
    <t>元創精密</t>
    <phoneticPr fontId="1" type="noConversion"/>
  </si>
  <si>
    <t>萬達光電</t>
    <phoneticPr fontId="1" type="noConversion"/>
  </si>
  <si>
    <t>大峽谷KY</t>
    <phoneticPr fontId="1" type="noConversion"/>
  </si>
  <si>
    <t>永崴投控</t>
    <phoneticPr fontId="1" type="noConversion"/>
  </si>
  <si>
    <t>振樺電</t>
    <phoneticPr fontId="1" type="noConversion"/>
  </si>
  <si>
    <t>美隆電</t>
    <phoneticPr fontId="1" type="noConversion"/>
  </si>
  <si>
    <t>中茂</t>
    <phoneticPr fontId="1" type="noConversion"/>
  </si>
  <si>
    <t>天正國際</t>
    <phoneticPr fontId="1" type="noConversion"/>
  </si>
  <si>
    <t>信紘科</t>
    <phoneticPr fontId="1" type="noConversion"/>
  </si>
  <si>
    <t>大拓KY</t>
    <phoneticPr fontId="1" type="noConversion"/>
  </si>
  <si>
    <t>兆勁</t>
    <phoneticPr fontId="1" type="noConversion"/>
  </si>
  <si>
    <t>瑞祺電通</t>
    <phoneticPr fontId="1" type="noConversion"/>
  </si>
  <si>
    <t>鋐寶科技</t>
    <phoneticPr fontId="1" type="noConversion"/>
  </si>
  <si>
    <t>羅麗芬KY</t>
    <phoneticPr fontId="1" type="noConversion"/>
  </si>
  <si>
    <t>全球傳動</t>
    <phoneticPr fontId="1" type="noConversion"/>
  </si>
  <si>
    <t>商億KY</t>
    <phoneticPr fontId="1" type="noConversion"/>
  </si>
  <si>
    <t>國際中橡</t>
    <phoneticPr fontId="1" type="noConversion"/>
  </si>
  <si>
    <t>三發地產</t>
    <phoneticPr fontId="1" type="noConversion"/>
  </si>
  <si>
    <t>奈米醫材</t>
    <phoneticPr fontId="1" type="noConversion"/>
  </si>
  <si>
    <t>永信建</t>
    <phoneticPr fontId="1" type="noConversion"/>
  </si>
  <si>
    <t>科際精密</t>
    <phoneticPr fontId="1" type="noConversion"/>
  </si>
  <si>
    <t>DELL</t>
    <phoneticPr fontId="1" type="noConversion"/>
  </si>
  <si>
    <t>中揚光</t>
    <phoneticPr fontId="1" type="noConversion"/>
  </si>
  <si>
    <t>時碩工業</t>
    <phoneticPr fontId="1" type="noConversion"/>
  </si>
  <si>
    <t>精湛</t>
    <phoneticPr fontId="1" type="noConversion"/>
  </si>
  <si>
    <t>公準</t>
    <phoneticPr fontId="1" type="noConversion"/>
  </si>
  <si>
    <t>富50</t>
    <phoneticPr fontId="1" type="noConversion"/>
  </si>
  <si>
    <t>穆拉德加捷</t>
    <phoneticPr fontId="1" type="noConversion"/>
  </si>
  <si>
    <t>星寶國際</t>
    <phoneticPr fontId="1" type="noConversion"/>
  </si>
  <si>
    <t>高端疫苗</t>
    <phoneticPr fontId="1" type="noConversion"/>
  </si>
  <si>
    <t>基士德KY</t>
    <phoneticPr fontId="1" type="noConversion"/>
  </si>
  <si>
    <t>科定</t>
    <phoneticPr fontId="1" type="noConversion"/>
  </si>
  <si>
    <t>復盛應用</t>
    <phoneticPr fontId="1" type="noConversion"/>
  </si>
  <si>
    <t>三能KY</t>
    <phoneticPr fontId="1" type="noConversion"/>
  </si>
  <si>
    <t>百和興業KY</t>
    <phoneticPr fontId="1" type="noConversion"/>
  </si>
  <si>
    <t>美吉吉KY</t>
    <phoneticPr fontId="1" type="noConversion"/>
  </si>
  <si>
    <t>東哥遊艇</t>
    <phoneticPr fontId="1" type="noConversion"/>
  </si>
  <si>
    <t>鈺齊KY</t>
    <phoneticPr fontId="1" type="noConversion"/>
  </si>
  <si>
    <t>中聯資源</t>
    <phoneticPr fontId="1" type="noConversion"/>
  </si>
  <si>
    <t>捷必勝KY</t>
    <phoneticPr fontId="1" type="noConversion"/>
  </si>
  <si>
    <t>1.8GHZ</t>
    <phoneticPr fontId="1" type="noConversion"/>
  </si>
  <si>
    <t>家用</t>
    <phoneticPr fontId="1" type="noConversion"/>
  </si>
  <si>
    <t>1.7GHZ</t>
    <phoneticPr fontId="1" type="noConversion"/>
  </si>
  <si>
    <t>I5-3317U</t>
    <phoneticPr fontId="1" type="noConversion"/>
  </si>
  <si>
    <t>2.2GHZ</t>
    <phoneticPr fontId="1" type="noConversion"/>
  </si>
  <si>
    <t>專業</t>
    <phoneticPr fontId="1" type="noConversion"/>
  </si>
  <si>
    <t>大統新創</t>
    <phoneticPr fontId="1" type="noConversion"/>
  </si>
  <si>
    <t>飛寶企業</t>
    <phoneticPr fontId="1" type="noConversion"/>
  </si>
  <si>
    <t>ASUS NB17</t>
    <phoneticPr fontId="1" type="noConversion"/>
  </si>
  <si>
    <t>ASUS NB15</t>
    <phoneticPr fontId="1" type="noConversion"/>
  </si>
  <si>
    <t>PT N3540</t>
    <phoneticPr fontId="1" type="noConversion"/>
  </si>
  <si>
    <t>2.16GHZ</t>
    <phoneticPr fontId="1" type="noConversion"/>
  </si>
  <si>
    <t>家用</t>
    <phoneticPr fontId="1" type="noConversion"/>
  </si>
  <si>
    <t>I5-8400</t>
    <phoneticPr fontId="1" type="noConversion"/>
  </si>
  <si>
    <t>2.8GHZ</t>
    <phoneticPr fontId="1" type="noConversion"/>
  </si>
  <si>
    <t>南寶</t>
    <phoneticPr fontId="1" type="noConversion"/>
  </si>
  <si>
    <t>誠泰科技</t>
    <phoneticPr fontId="1" type="noConversion"/>
  </si>
  <si>
    <t>金穎生技</t>
    <phoneticPr fontId="1" type="noConversion"/>
  </si>
  <si>
    <t>客思達KY</t>
    <phoneticPr fontId="1" type="noConversion"/>
  </si>
  <si>
    <t>東和鋼鐵</t>
    <phoneticPr fontId="1" type="noConversion"/>
  </si>
  <si>
    <t>嘉里大榮</t>
    <phoneticPr fontId="1" type="noConversion"/>
  </si>
  <si>
    <t>台灣高鐵</t>
    <phoneticPr fontId="1" type="noConversion"/>
  </si>
  <si>
    <t>艾美特KY</t>
    <phoneticPr fontId="1" type="noConversion"/>
  </si>
  <si>
    <t>三陽工業</t>
    <phoneticPr fontId="1" type="noConversion"/>
  </si>
  <si>
    <t>茂生農經</t>
    <phoneticPr fontId="1" type="noConversion"/>
  </si>
  <si>
    <t>達邦蛋白</t>
    <phoneticPr fontId="1" type="noConversion"/>
  </si>
  <si>
    <t>1</t>
    <phoneticPr fontId="1" type="noConversion"/>
  </si>
  <si>
    <t>管理</t>
    <phoneticPr fontId="1" type="noConversion"/>
  </si>
  <si>
    <t>4</t>
    <phoneticPr fontId="1" type="noConversion"/>
  </si>
  <si>
    <t>32</t>
    <phoneticPr fontId="1" type="noConversion"/>
  </si>
  <si>
    <t>上海商銀</t>
    <phoneticPr fontId="1" type="noConversion"/>
  </si>
  <si>
    <t>民營銀行</t>
    <phoneticPr fontId="1" type="noConversion"/>
  </si>
  <si>
    <t>judy珠珠</t>
    <phoneticPr fontId="1" type="noConversion"/>
  </si>
  <si>
    <t>1552571904</t>
    <phoneticPr fontId="1" type="noConversion"/>
  </si>
  <si>
    <t>judy54186755</t>
    <phoneticPr fontId="1" type="noConversion"/>
  </si>
  <si>
    <t>Angel Yun</t>
    <phoneticPr fontId="1" type="noConversion"/>
  </si>
  <si>
    <t>741695249</t>
    <phoneticPr fontId="1" type="noConversion"/>
  </si>
  <si>
    <t>yun54193806</t>
    <phoneticPr fontId="1" type="noConversion"/>
  </si>
  <si>
    <t>yuezhujudy@hotmail.com</t>
    <phoneticPr fontId="1" type="noConversion"/>
  </si>
  <si>
    <t>F130735049</t>
    <phoneticPr fontId="1" type="noConversion"/>
  </si>
  <si>
    <t>F221806528</t>
    <phoneticPr fontId="1" type="noConversion"/>
  </si>
  <si>
    <t>巴菲珠</t>
    <phoneticPr fontId="1" type="noConversion"/>
  </si>
  <si>
    <t>2940791032</t>
    <phoneticPr fontId="1" type="noConversion"/>
  </si>
  <si>
    <t>雪之戀</t>
    <phoneticPr fontId="1" type="noConversion"/>
  </si>
  <si>
    <t>971553601</t>
    <phoneticPr fontId="1" type="noConversion"/>
  </si>
  <si>
    <t>同花順繁體</t>
    <phoneticPr fontId="1" type="noConversion"/>
  </si>
  <si>
    <t>secretshop</t>
    <phoneticPr fontId="1" type="noConversion"/>
  </si>
  <si>
    <t>ju54186755</t>
    <phoneticPr fontId="1" type="noConversion"/>
  </si>
  <si>
    <t>13901788889</t>
    <phoneticPr fontId="1" type="noConversion"/>
  </si>
  <si>
    <t>碩博士論文</t>
    <phoneticPr fontId="1" type="noConversion"/>
  </si>
  <si>
    <t>judyyuezhu@hotmail.com</t>
    <phoneticPr fontId="1" type="noConversion"/>
  </si>
  <si>
    <t>電腦</t>
    <phoneticPr fontId="1" type="noConversion"/>
  </si>
  <si>
    <t>中型</t>
    <phoneticPr fontId="1" type="noConversion"/>
  </si>
  <si>
    <t>8G四核</t>
    <phoneticPr fontId="1" type="noConversion"/>
  </si>
  <si>
    <t>8G六核</t>
    <phoneticPr fontId="1" type="noConversion"/>
  </si>
  <si>
    <t>4G雙核</t>
    <phoneticPr fontId="1" type="noConversion"/>
  </si>
  <si>
    <t>法人</t>
    <phoneticPr fontId="1" type="noConversion"/>
  </si>
  <si>
    <t>I7-8700</t>
    <phoneticPr fontId="1" type="noConversion"/>
  </si>
  <si>
    <t>3.2GHZ</t>
    <phoneticPr fontId="1" type="noConversion"/>
  </si>
  <si>
    <t>I3-3217U</t>
    <phoneticPr fontId="1" type="noConversion"/>
  </si>
  <si>
    <t>8G雙核</t>
    <phoneticPr fontId="1" type="noConversion"/>
  </si>
  <si>
    <t>名稱</t>
    <phoneticPr fontId="1" type="noConversion"/>
  </si>
  <si>
    <t>賣出日期</t>
    <phoneticPr fontId="1" type="noConversion"/>
  </si>
  <si>
    <t>天數</t>
    <phoneticPr fontId="1" type="noConversion"/>
  </si>
  <si>
    <t>600EX-RT</t>
    <phoneticPr fontId="1" type="noConversion"/>
  </si>
  <si>
    <t>遮光罩</t>
    <phoneticPr fontId="1" type="noConversion"/>
  </si>
  <si>
    <t>580EX II</t>
    <phoneticPr fontId="1" type="noConversion"/>
  </si>
  <si>
    <t>機器有BUG,TTL跳不回去ETTL,相機內設定或長按C.Fn菜單選擇</t>
    <phoneticPr fontId="1" type="noConversion"/>
  </si>
  <si>
    <t>EW-88</t>
    <phoneticPr fontId="1" type="noConversion"/>
  </si>
  <si>
    <t>430EX II</t>
    <phoneticPr fontId="1" type="noConversion"/>
  </si>
  <si>
    <t>只能在P檔進行ETTL</t>
    <phoneticPr fontId="1" type="noConversion"/>
  </si>
  <si>
    <t>EW-83H</t>
    <phoneticPr fontId="1" type="noConversion"/>
  </si>
  <si>
    <t>320EX</t>
    <phoneticPr fontId="1" type="noConversion"/>
  </si>
  <si>
    <t>ET-87</t>
    <phoneticPr fontId="1" type="noConversion"/>
  </si>
  <si>
    <t>90EX</t>
    <phoneticPr fontId="1" type="noConversion"/>
  </si>
  <si>
    <t>EW-78C</t>
    <phoneticPr fontId="1" type="noConversion"/>
  </si>
  <si>
    <t>ET-65III</t>
    <phoneticPr fontId="1" type="noConversion"/>
  </si>
  <si>
    <t>內閃在對焦時會一直頻閃是相機的輔助對焦功能，</t>
  </si>
  <si>
    <t>ET-73</t>
    <phoneticPr fontId="1" type="noConversion"/>
  </si>
  <si>
    <t>在昏暗場景發出頻閃光讓相機可以順利地自動對焦。</t>
  </si>
  <si>
    <t>ET-78II</t>
    <phoneticPr fontId="1" type="noConversion"/>
  </si>
  <si>
    <t>若不想要相機發出頻閃光，在相機 MENU 的「自訂功能設定]中可以將它關閉。</t>
  </si>
  <si>
    <t>C.Fn III -4 自動對焦輔助光閃光</t>
  </si>
  <si>
    <t>設為「1: 關閉」即可關閉自動對焦輔助光。</t>
  </si>
  <si>
    <t>驅螞蟻</t>
    <phoneticPr fontId="1" type="noConversion"/>
  </si>
  <si>
    <t>驅蚊</t>
    <phoneticPr fontId="1" type="noConversion"/>
  </si>
  <si>
    <t>羅勒</t>
    <phoneticPr fontId="1" type="noConversion"/>
  </si>
  <si>
    <t>薄荷</t>
    <phoneticPr fontId="1" type="noConversion"/>
  </si>
  <si>
    <t>百里香</t>
    <phoneticPr fontId="1" type="noConversion"/>
  </si>
  <si>
    <t>驅蟲（綜合）</t>
    <phoneticPr fontId="1" type="noConversion"/>
  </si>
  <si>
    <t>防蚊木;崗松</t>
    <phoneticPr fontId="1" type="noConversion"/>
  </si>
  <si>
    <t>驅蟑螂</t>
    <phoneticPr fontId="1" type="noConversion"/>
  </si>
  <si>
    <t>檸檬桉;檸檬尤加利</t>
    <phoneticPr fontId="1" type="noConversion"/>
  </si>
  <si>
    <t>藍桉</t>
    <phoneticPr fontId="1" type="noConversion"/>
  </si>
  <si>
    <t>驅蟲</t>
    <phoneticPr fontId="1" type="noConversion"/>
  </si>
  <si>
    <t>驅蟲蠅</t>
    <phoneticPr fontId="1" type="noConversion"/>
  </si>
  <si>
    <t>檸檬天竺葵</t>
    <phoneticPr fontId="1" type="noConversion"/>
  </si>
  <si>
    <t>驅蠅</t>
    <phoneticPr fontId="1" type="noConversion"/>
  </si>
  <si>
    <t>刺芫荽</t>
    <phoneticPr fontId="1" type="noConversion"/>
  </si>
  <si>
    <t>驅蛇</t>
    <phoneticPr fontId="1" type="noConversion"/>
  </si>
  <si>
    <t>普列薄荷</t>
    <phoneticPr fontId="1" type="noConversion"/>
  </si>
  <si>
    <t>驅蠅跳蚤</t>
    <phoneticPr fontId="1" type="noConversion"/>
  </si>
  <si>
    <t>芸香</t>
    <phoneticPr fontId="1" type="noConversion"/>
  </si>
  <si>
    <t>魚腥草;蕺（ji）菜</t>
    <phoneticPr fontId="1" type="noConversion"/>
  </si>
  <si>
    <t>荊芥;貓穗草</t>
    <phoneticPr fontId="1" type="noConversion"/>
  </si>
  <si>
    <t>驅甲蟲跳蚤</t>
    <phoneticPr fontId="1" type="noConversion"/>
  </si>
  <si>
    <t>驅蛇鼠</t>
    <phoneticPr fontId="1" type="noConversion"/>
  </si>
  <si>
    <t>驅鼠</t>
    <phoneticPr fontId="1" type="noConversion"/>
  </si>
  <si>
    <t>缺點貓愛</t>
    <phoneticPr fontId="1" type="noConversion"/>
  </si>
  <si>
    <t>備註</t>
    <phoneticPr fontId="1" type="noConversion"/>
  </si>
  <si>
    <t>科西嘉薄荷</t>
    <phoneticPr fontId="1" type="noConversion"/>
  </si>
  <si>
    <t>驅鼠爬蟲</t>
    <phoneticPr fontId="1" type="noConversion"/>
  </si>
  <si>
    <t>驅跳蚤</t>
    <phoneticPr fontId="1" type="noConversion"/>
  </si>
  <si>
    <t>紫蘇</t>
    <phoneticPr fontId="1" type="noConversion"/>
  </si>
  <si>
    <t>艾草</t>
    <phoneticPr fontId="1" type="noConversion"/>
  </si>
  <si>
    <t>檸檬香茅;香水茅</t>
    <phoneticPr fontId="1" type="noConversion"/>
  </si>
  <si>
    <t>驅螞蟻白</t>
    <phoneticPr fontId="1" type="noConversion"/>
  </si>
  <si>
    <t>印加萬壽菊</t>
    <phoneticPr fontId="1" type="noConversion"/>
  </si>
  <si>
    <t>雜草殺手</t>
    <phoneticPr fontId="1" type="noConversion"/>
  </si>
  <si>
    <t>馬郁蘭</t>
    <phoneticPr fontId="1" type="noConversion"/>
  </si>
  <si>
    <t>金銀花</t>
    <phoneticPr fontId="1" type="noConversion"/>
  </si>
  <si>
    <t>制菌消毒</t>
    <phoneticPr fontId="1" type="noConversion"/>
  </si>
  <si>
    <t>迷迭香</t>
    <phoneticPr fontId="1" type="noConversion"/>
  </si>
  <si>
    <t>鼠尾草</t>
    <phoneticPr fontId="1" type="noConversion"/>
  </si>
  <si>
    <t>馬努卡</t>
    <phoneticPr fontId="1" type="noConversion"/>
  </si>
  <si>
    <t>澳洲茶樹</t>
    <phoneticPr fontId="1" type="noConversion"/>
  </si>
  <si>
    <t>薰衣草</t>
    <phoneticPr fontId="1" type="noConversion"/>
  </si>
  <si>
    <t>艾草;神仙草</t>
    <phoneticPr fontId="1" type="noConversion"/>
  </si>
  <si>
    <t>香草茶</t>
    <phoneticPr fontId="1" type="noConversion"/>
  </si>
  <si>
    <t>紫蘇;Perilla</t>
    <phoneticPr fontId="1" type="noConversion"/>
  </si>
  <si>
    <t>甜菊;Stevia</t>
    <phoneticPr fontId="1" type="noConversion"/>
  </si>
  <si>
    <t>迷迭香;Rosemary</t>
    <phoneticPr fontId="1" type="noConversion"/>
  </si>
  <si>
    <t>檸檬馬鞭草;Lemon Verbena</t>
    <phoneticPr fontId="1" type="noConversion"/>
  </si>
  <si>
    <t>芳香萬壽菊;Lemon Mint Marigold</t>
    <phoneticPr fontId="1" type="noConversion"/>
  </si>
  <si>
    <t>德國甘菊;Annual Chamomile</t>
    <phoneticPr fontId="1" type="noConversion"/>
  </si>
  <si>
    <t>蘋果香草;植物的醫生</t>
    <phoneticPr fontId="1" type="noConversion"/>
  </si>
  <si>
    <t>檸檬香茅;Lemon Grass</t>
    <phoneticPr fontId="1" type="noConversion"/>
  </si>
  <si>
    <t>馬郁蘭;Marjoram</t>
    <phoneticPr fontId="1" type="noConversion"/>
  </si>
  <si>
    <t>荊芥;貓穗草;Catnip</t>
    <phoneticPr fontId="1" type="noConversion"/>
  </si>
  <si>
    <t>玫瑰天竺葵;Rose Geranium</t>
    <phoneticPr fontId="1" type="noConversion"/>
  </si>
  <si>
    <t>香蜂草;Lemon Balm</t>
    <phoneticPr fontId="1" type="noConversion"/>
  </si>
  <si>
    <t>天使薔薇</t>
    <phoneticPr fontId="1" type="noConversion"/>
  </si>
  <si>
    <t>檸檬百里香;Lemon Thyme</t>
    <phoneticPr fontId="1" type="noConversion"/>
  </si>
  <si>
    <t>薄荷;Mint;歐洲人喜歡胡椒薄荷</t>
    <phoneticPr fontId="1" type="noConversion"/>
  </si>
  <si>
    <t>鳳梨鼠尾草;Pineapple Sage</t>
    <phoneticPr fontId="1" type="noConversion"/>
  </si>
  <si>
    <t>水果鼠尾草;Fruit Sage</t>
    <phoneticPr fontId="1" type="noConversion"/>
  </si>
  <si>
    <t>艾草;Mug wort</t>
    <phoneticPr fontId="1" type="noConversion"/>
  </si>
  <si>
    <t>雷公根;積雪草;蚶殼草;Gota kola</t>
    <phoneticPr fontId="1" type="noConversion"/>
  </si>
  <si>
    <t>小地榆;Burnet</t>
    <phoneticPr fontId="1" type="noConversion"/>
  </si>
  <si>
    <t>茴藿香;Anise Hyssop</t>
    <phoneticPr fontId="1" type="noConversion"/>
  </si>
  <si>
    <t>阿里山油菊</t>
    <phoneticPr fontId="1" type="noConversion"/>
  </si>
  <si>
    <t>蜂香薄荷;Bergamot;佛手柑味,伯爵</t>
    <phoneticPr fontId="1" type="noConversion"/>
  </si>
  <si>
    <t>蒲公英</t>
    <phoneticPr fontId="1" type="noConversion"/>
  </si>
  <si>
    <t>枸杞</t>
    <phoneticPr fontId="1" type="noConversion"/>
  </si>
  <si>
    <t>白鶴靈芝</t>
    <phoneticPr fontId="1" type="noConversion"/>
  </si>
  <si>
    <t>魚腥草</t>
    <phoneticPr fontId="1" type="noConversion"/>
  </si>
  <si>
    <t>七葉膽;五葉參;南方人參;絞股藍</t>
    <phoneticPr fontId="1" type="noConversion"/>
  </si>
  <si>
    <t>刺五加;西伯利亞人參</t>
    <phoneticPr fontId="1" type="noConversion"/>
  </si>
  <si>
    <t>仙草</t>
    <phoneticPr fontId="1" type="noConversion"/>
  </si>
  <si>
    <t>金銀花;忍冬;Soneysuckle</t>
    <phoneticPr fontId="1" type="noConversion"/>
  </si>
  <si>
    <t>薰衣草;Lavender;台灣1號狹葉特選</t>
    <phoneticPr fontId="1" type="noConversion"/>
  </si>
  <si>
    <t>已種植</t>
    <phoneticPr fontId="1" type="noConversion"/>
  </si>
  <si>
    <t>香花類</t>
    <phoneticPr fontId="1" type="noConversion"/>
  </si>
  <si>
    <t>桂花</t>
    <phoneticPr fontId="1" type="noConversion"/>
  </si>
  <si>
    <t>名稱</t>
    <phoneticPr fontId="1" type="noConversion"/>
  </si>
  <si>
    <t>數量</t>
    <phoneticPr fontId="1" type="noConversion"/>
  </si>
  <si>
    <t>玉蘭花</t>
    <phoneticPr fontId="1" type="noConversion"/>
  </si>
  <si>
    <t>香草類</t>
    <phoneticPr fontId="1" type="noConversion"/>
  </si>
  <si>
    <t>香茅</t>
    <phoneticPr fontId="1" type="noConversion"/>
  </si>
  <si>
    <t>檸檬桉</t>
    <phoneticPr fontId="1" type="noConversion"/>
  </si>
  <si>
    <t>綠咖喱樹;可因氏月橘;Curry leaf</t>
    <phoneticPr fontId="1" type="noConversion"/>
  </si>
  <si>
    <t>左手香（3種）</t>
    <phoneticPr fontId="1" type="noConversion"/>
  </si>
  <si>
    <t>檀香柏</t>
    <phoneticPr fontId="1" type="noConversion"/>
  </si>
  <si>
    <t>黃金扁柏</t>
    <phoneticPr fontId="1" type="noConversion"/>
  </si>
  <si>
    <t>龍柏</t>
    <phoneticPr fontId="1" type="noConversion"/>
  </si>
  <si>
    <t>水蜜桃（熱帶）</t>
    <phoneticPr fontId="1" type="noConversion"/>
  </si>
  <si>
    <t>棗子</t>
    <phoneticPr fontId="1" type="noConversion"/>
  </si>
  <si>
    <t>桑樹</t>
    <phoneticPr fontId="1" type="noConversion"/>
  </si>
  <si>
    <t>觀賞</t>
    <phoneticPr fontId="1" type="noConversion"/>
  </si>
  <si>
    <t>肉桂</t>
    <phoneticPr fontId="1" type="noConversion"/>
  </si>
  <si>
    <t>月桂</t>
    <phoneticPr fontId="1" type="noConversion"/>
  </si>
  <si>
    <t>迷你椰子</t>
    <phoneticPr fontId="1" type="noConversion"/>
  </si>
  <si>
    <t>綠蘿</t>
    <phoneticPr fontId="1" type="noConversion"/>
  </si>
  <si>
    <t>柏類樹材</t>
    <phoneticPr fontId="1" type="noConversion"/>
  </si>
  <si>
    <t>小葉紫檀</t>
    <phoneticPr fontId="1" type="noConversion"/>
  </si>
  <si>
    <t>韭菜</t>
    <phoneticPr fontId="1" type="noConversion"/>
  </si>
  <si>
    <t>七里香;月橘</t>
    <phoneticPr fontId="1" type="noConversion"/>
  </si>
  <si>
    <t>泰國南薑</t>
    <phoneticPr fontId="1" type="noConversion"/>
  </si>
  <si>
    <t>八仙山甜肉桂</t>
    <phoneticPr fontId="1" type="noConversion"/>
  </si>
  <si>
    <t>2018/2/10</t>
    <phoneticPr fontId="1" type="noConversion"/>
  </si>
  <si>
    <t>40公分</t>
    <phoneticPr fontId="1" type="noConversion"/>
  </si>
  <si>
    <t>鎂鈣肥20公斤115元</t>
    <phoneticPr fontId="1" type="noConversion"/>
  </si>
  <si>
    <t>酸性土壤改良聖品</t>
    <phoneticPr fontId="1" type="noConversion"/>
  </si>
  <si>
    <t>海南黃花梨</t>
    <phoneticPr fontId="1" type="noConversion"/>
  </si>
  <si>
    <t>金萱茶</t>
    <phoneticPr fontId="1" type="noConversion"/>
  </si>
  <si>
    <t>粗裂地錢</t>
    <phoneticPr fontId="1" type="noConversion"/>
  </si>
  <si>
    <t>塔苔</t>
    <phoneticPr fontId="1" type="noConversion"/>
  </si>
  <si>
    <t>苔蘚植物名</t>
    <phoneticPr fontId="1" type="noConversion"/>
  </si>
  <si>
    <t>白髮苔</t>
    <phoneticPr fontId="1" type="noConversion"/>
  </si>
  <si>
    <t>三裂鞭蘚</t>
    <phoneticPr fontId="1" type="noConversion"/>
  </si>
  <si>
    <t>蔓苔</t>
    <phoneticPr fontId="1" type="noConversion"/>
  </si>
  <si>
    <t>地錢</t>
    <phoneticPr fontId="1" type="noConversion"/>
  </si>
  <si>
    <t>叢苔科</t>
    <phoneticPr fontId="1" type="noConversion"/>
  </si>
  <si>
    <t>耳葉蘚</t>
    <phoneticPr fontId="1" type="noConversion"/>
  </si>
  <si>
    <t>苔類比較圓條直立形的，蘚類比較平鋪貼著它的生長基質</t>
    <phoneticPr fontId="1" type="noConversion"/>
  </si>
  <si>
    <t>全世界2萬3千多種，台灣1千3百多種（有7%是特有種）</t>
    <phoneticPr fontId="1" type="noConversion"/>
  </si>
  <si>
    <t>焰苔</t>
    <phoneticPr fontId="1" type="noConversion"/>
  </si>
  <si>
    <t>台灣地錢</t>
    <phoneticPr fontId="1" type="noConversion"/>
  </si>
  <si>
    <t>鞭蘚</t>
    <phoneticPr fontId="1" type="noConversion"/>
  </si>
  <si>
    <t>細鱗蘚科</t>
    <phoneticPr fontId="1" type="noConversion"/>
  </si>
  <si>
    <t>葉生薄鱗蘚</t>
    <phoneticPr fontId="1" type="noConversion"/>
  </si>
  <si>
    <t>淺刻地錢</t>
    <phoneticPr fontId="1" type="noConversion"/>
  </si>
  <si>
    <t>羽狀地錢</t>
    <phoneticPr fontId="1" type="noConversion"/>
  </si>
  <si>
    <t>金髮苔</t>
    <phoneticPr fontId="1" type="noConversion"/>
  </si>
  <si>
    <t>曲尾苔</t>
    <phoneticPr fontId="1" type="noConversion"/>
  </si>
  <si>
    <t>泥炭苔</t>
    <phoneticPr fontId="1" type="noConversion"/>
  </si>
  <si>
    <t>檜苔</t>
    <phoneticPr fontId="1" type="noConversion"/>
  </si>
  <si>
    <t>懸苔</t>
    <phoneticPr fontId="1" type="noConversion"/>
  </si>
  <si>
    <t>蛇蘚</t>
    <phoneticPr fontId="1" type="noConversion"/>
  </si>
  <si>
    <t>濕地苔</t>
    <phoneticPr fontId="1" type="noConversion"/>
  </si>
  <si>
    <t>真苔</t>
    <phoneticPr fontId="1" type="noConversion"/>
  </si>
  <si>
    <t>立碗苔</t>
    <phoneticPr fontId="1" type="noConversion"/>
  </si>
  <si>
    <t>平苔</t>
    <phoneticPr fontId="1" type="noConversion"/>
  </si>
  <si>
    <t>植物界中的小圓柏</t>
    <phoneticPr fontId="1" type="noConversion"/>
  </si>
  <si>
    <t>陋室銘：苔痕上階綠，草色入簾青</t>
    <phoneticPr fontId="1" type="noConversion"/>
  </si>
  <si>
    <t>3大族群，苔類、蘚類和角苔蘚，最原始的陸生植物（綠藻演化而來）</t>
    <phoneticPr fontId="1" type="noConversion"/>
  </si>
  <si>
    <t>檜葉白髮蘚;應用最多微景觀</t>
    <phoneticPr fontId="1" type="noConversion"/>
  </si>
  <si>
    <t>尖葉匍燈蘚;喜陰,園林綠化常用</t>
    <phoneticPr fontId="1" type="noConversion"/>
  </si>
  <si>
    <t>大灰蘚;喜陽,園林綠化常用</t>
    <phoneticPr fontId="1" type="noConversion"/>
  </si>
  <si>
    <t>大羽蘚;喜陰濕</t>
    <phoneticPr fontId="1" type="noConversion"/>
  </si>
  <si>
    <t>鳳尾蘚;喜陰濕;水分要求高,植物墻</t>
    <phoneticPr fontId="1" type="noConversion"/>
  </si>
  <si>
    <t>細葉小羽蘚;青苔,環境不利整體變黃</t>
    <phoneticPr fontId="1" type="noConversion"/>
  </si>
  <si>
    <t>粗枝青蘚;苔玉球,微景觀,水陸缸鋪面</t>
    <phoneticPr fontId="1" type="noConversion"/>
  </si>
  <si>
    <t>東亞砂蘚;喜高光見乾見濕,屋頂綠化</t>
    <phoneticPr fontId="1" type="noConversion"/>
  </si>
  <si>
    <t>溫室設備：遮光簾(電動),濕簾和風機,架子,育苗盆</t>
    <phoneticPr fontId="1" type="noConversion"/>
  </si>
  <si>
    <t>直立生長的苔蘚：分株繁殖</t>
    <phoneticPr fontId="1" type="noConversion"/>
  </si>
  <si>
    <t>匍匐生長的苔蘚：斷莖繁殖</t>
    <phoneticPr fontId="1" type="noConversion"/>
  </si>
  <si>
    <t>苔蘚喜歡偏酸性土壤,如泥炭土</t>
    <phoneticPr fontId="1" type="noConversion"/>
  </si>
  <si>
    <t>人工繁殖（熱帶和亞熱帶的品種）</t>
    <phoneticPr fontId="1" type="noConversion"/>
  </si>
  <si>
    <t>溫度高不超過30度,低不超過10度,濕度保持80%以上</t>
    <phoneticPr fontId="1" type="noConversion"/>
  </si>
  <si>
    <t>苔蘚變黃2個原因：一是新老交替,二是逆環境下,犧牲頂端,頂端變枯黃</t>
    <phoneticPr fontId="1" type="noConversion"/>
  </si>
  <si>
    <t>泥炭土,赤玉土,富士砂,3者比例5：3：1(混合土做苔蘚球）</t>
    <phoneticPr fontId="1" type="noConversion"/>
  </si>
  <si>
    <t>虎尾蘚</t>
    <phoneticPr fontId="1" type="noConversion"/>
  </si>
  <si>
    <t>生長在岩石,樹幹和土壤表面</t>
    <phoneticPr fontId="1" type="noConversion"/>
  </si>
  <si>
    <t>蛇苔</t>
    <phoneticPr fontId="1" type="noConversion"/>
  </si>
  <si>
    <t>東亞萬年蘚</t>
    <phoneticPr fontId="1" type="noConversion"/>
  </si>
  <si>
    <t>東亞小金髮蘚</t>
    <phoneticPr fontId="1" type="noConversion"/>
  </si>
  <si>
    <t>粗葉白髮蘚</t>
    <phoneticPr fontId="1" type="noConversion"/>
  </si>
  <si>
    <t>小仙鶴蘚</t>
    <phoneticPr fontId="1" type="noConversion"/>
  </si>
  <si>
    <t>基質4類：鋪面點綴層,培土營養層,過濾層,鋪墊基質層</t>
    <phoneticPr fontId="1" type="noConversion"/>
  </si>
  <si>
    <t>鋪墊基質層：玄武岩顆粒,輕石顆粒,都屬於火山岩</t>
    <phoneticPr fontId="1" type="noConversion"/>
  </si>
  <si>
    <t>過濾層又叫隔離層：乾水苔也就是曬乾泥炭蘚（過濾水分防止土層沉澱,提高通氣作用）</t>
    <phoneticPr fontId="1" type="noConversion"/>
  </si>
  <si>
    <t>培土營養層：弱酸性,無粉層,不板結的泥炭土</t>
    <phoneticPr fontId="1" type="noConversion"/>
  </si>
  <si>
    <t>鋪面點綴層：鹿沼土（由下層火山土生成）</t>
    <phoneticPr fontId="1" type="noConversion"/>
  </si>
  <si>
    <t>直立形苔蘚：白髮蘚,翁苔蘚,山苔蘚</t>
    <phoneticPr fontId="1" type="noConversion"/>
  </si>
  <si>
    <t>狼尾蕨,銀線蕨,網紋草,羅漢松,袖珍椰子,花葉絡石,合果芋,紅網紋</t>
    <phoneticPr fontId="1" type="noConversion"/>
  </si>
  <si>
    <t>短植絨</t>
    <phoneticPr fontId="1" type="noConversion"/>
  </si>
  <si>
    <t>苔球盆栽（日文苔玉Kokedama）</t>
    <phoneticPr fontId="1" type="noConversion"/>
  </si>
  <si>
    <t>形態</t>
    <phoneticPr fontId="1" type="noConversion"/>
  </si>
  <si>
    <t>山毛櫸;Buna</t>
    <phoneticPr fontId="1" type="noConversion"/>
  </si>
  <si>
    <t>組合植栽型</t>
    <phoneticPr fontId="1" type="noConversion"/>
  </si>
  <si>
    <t>35公分</t>
    <phoneticPr fontId="1" type="noConversion"/>
  </si>
  <si>
    <t>高殖</t>
    <phoneticPr fontId="1" type="noConversion"/>
  </si>
  <si>
    <t>樹形創作技巧</t>
    <phoneticPr fontId="1" type="noConversion"/>
  </si>
  <si>
    <t>模樣木型</t>
    <phoneticPr fontId="1" type="noConversion"/>
  </si>
  <si>
    <t>王道的樹型</t>
    <phoneticPr fontId="1" type="noConversion"/>
  </si>
  <si>
    <t>直幹型</t>
    <phoneticPr fontId="1" type="noConversion"/>
  </si>
  <si>
    <t>原生林的針葉樹形態</t>
    <phoneticPr fontId="1" type="noConversion"/>
  </si>
  <si>
    <t>斜幹型</t>
    <phoneticPr fontId="1" type="noConversion"/>
  </si>
  <si>
    <t>樹木往空間中伸展的姿態</t>
    <phoneticPr fontId="1" type="noConversion"/>
  </si>
  <si>
    <t>雙幹型</t>
    <phoneticPr fontId="1" type="noConversion"/>
  </si>
  <si>
    <t>相依相偎一起生長的親子主幹</t>
    <phoneticPr fontId="1" type="noConversion"/>
  </si>
  <si>
    <t>叢生型</t>
    <phoneticPr fontId="1" type="noConversion"/>
  </si>
  <si>
    <t>一棵樹木分出枝幹後形成森林</t>
    <phoneticPr fontId="1" type="noConversion"/>
  </si>
  <si>
    <t>由樹梢上灑落的和煦陽光</t>
    <phoneticPr fontId="1" type="noConversion"/>
  </si>
  <si>
    <t>懸崖型</t>
    <phoneticPr fontId="1" type="noConversion"/>
  </si>
  <si>
    <t>不畏逆境,謳歌生命</t>
    <phoneticPr fontId="1" type="noConversion"/>
  </si>
  <si>
    <t>風飄型</t>
    <phoneticPr fontId="1" type="noConversion"/>
  </si>
  <si>
    <t>不畏風吹堅強生存</t>
    <phoneticPr fontId="1" type="noConversion"/>
  </si>
  <si>
    <t>姿態溫文爾雅的樹形</t>
    <phoneticPr fontId="1" type="noConversion"/>
  </si>
  <si>
    <t>文人型</t>
    <phoneticPr fontId="1" type="noConversion"/>
  </si>
  <si>
    <t>纖細主幹,翩翩起舞般樹形</t>
    <phoneticPr fontId="1" type="noConversion"/>
  </si>
  <si>
    <t>附石型</t>
    <phoneticPr fontId="1" type="noConversion"/>
  </si>
  <si>
    <t>向海岸線或深山幽谷取景</t>
    <phoneticPr fontId="1" type="noConversion"/>
  </si>
  <si>
    <t>松柏類</t>
    <phoneticPr fontId="1" type="noConversion"/>
  </si>
  <si>
    <t>五葉松</t>
    <phoneticPr fontId="1" type="noConversion"/>
  </si>
  <si>
    <t>黑松</t>
    <phoneticPr fontId="1" type="noConversion"/>
  </si>
  <si>
    <t>赤松</t>
    <phoneticPr fontId="1" type="noConversion"/>
  </si>
  <si>
    <t>真柏(圓柏的變種)</t>
    <phoneticPr fontId="1" type="noConversion"/>
  </si>
  <si>
    <t>魚鱗雲杉</t>
    <phoneticPr fontId="1" type="noConversion"/>
  </si>
  <si>
    <t>杜松</t>
    <phoneticPr fontId="1" type="noConversion"/>
  </si>
  <si>
    <t>杉木</t>
    <phoneticPr fontId="1" type="noConversion"/>
  </si>
  <si>
    <t>檜木</t>
    <phoneticPr fontId="1" type="noConversion"/>
  </si>
  <si>
    <t>紅豆杉</t>
    <phoneticPr fontId="1" type="noConversion"/>
  </si>
  <si>
    <t>雜木類</t>
    <phoneticPr fontId="1" type="noConversion"/>
  </si>
  <si>
    <t>楓樹</t>
    <phoneticPr fontId="1" type="noConversion"/>
  </si>
  <si>
    <t>櫸樹</t>
    <phoneticPr fontId="1" type="noConversion"/>
  </si>
  <si>
    <t>三角楓</t>
    <phoneticPr fontId="1" type="noConversion"/>
  </si>
  <si>
    <t>日本紫莖</t>
    <phoneticPr fontId="1" type="noConversion"/>
  </si>
  <si>
    <t>鵝耳櫪</t>
    <phoneticPr fontId="1" type="noConversion"/>
  </si>
  <si>
    <t>野漆樹</t>
    <phoneticPr fontId="1" type="noConversion"/>
  </si>
  <si>
    <t>枹櫟</t>
    <phoneticPr fontId="1" type="noConversion"/>
  </si>
  <si>
    <t>班葉絡石</t>
    <phoneticPr fontId="1" type="noConversion"/>
  </si>
  <si>
    <t>花卉類</t>
    <phoneticPr fontId="1" type="noConversion"/>
  </si>
  <si>
    <t>梅花</t>
    <phoneticPr fontId="1" type="noConversion"/>
  </si>
  <si>
    <t>櫻花</t>
    <phoneticPr fontId="1" type="noConversion"/>
  </si>
  <si>
    <t>茶花</t>
    <phoneticPr fontId="1" type="noConversion"/>
  </si>
  <si>
    <t>長壽梅</t>
    <phoneticPr fontId="1" type="noConversion"/>
  </si>
  <si>
    <t>連翹</t>
    <phoneticPr fontId="1" type="noConversion"/>
  </si>
  <si>
    <t>合歡樹</t>
    <phoneticPr fontId="1" type="noConversion"/>
  </si>
  <si>
    <t>條通樹;木五倍子</t>
    <phoneticPr fontId="1" type="noConversion"/>
  </si>
  <si>
    <t>疏花瑞木;日向水木</t>
    <phoneticPr fontId="1" type="noConversion"/>
  </si>
  <si>
    <t>垂絲海棠;花海棠</t>
    <phoneticPr fontId="1" type="noConversion"/>
  </si>
  <si>
    <t>果實類</t>
    <phoneticPr fontId="1" type="noConversion"/>
  </si>
  <si>
    <t>落霜紅</t>
    <phoneticPr fontId="1" type="noConversion"/>
  </si>
  <si>
    <t>小葉石楠</t>
    <phoneticPr fontId="1" type="noConversion"/>
  </si>
  <si>
    <t>山橘</t>
    <phoneticPr fontId="1" type="noConversion"/>
  </si>
  <si>
    <t>梔子花</t>
    <phoneticPr fontId="1" type="noConversion"/>
  </si>
  <si>
    <t>紫珠</t>
    <phoneticPr fontId="1" type="noConversion"/>
  </si>
  <si>
    <t>山楂</t>
    <phoneticPr fontId="1" type="noConversion"/>
  </si>
  <si>
    <t>海棠果</t>
    <phoneticPr fontId="1" type="noConversion"/>
  </si>
  <si>
    <t>火刺木</t>
    <phoneticPr fontId="1" type="noConversion"/>
  </si>
  <si>
    <t>西南衛矛</t>
    <phoneticPr fontId="1" type="noConversion"/>
  </si>
  <si>
    <t>土檸檬</t>
    <phoneticPr fontId="1" type="noConversion"/>
  </si>
  <si>
    <t>果樹茶樹</t>
    <phoneticPr fontId="1" type="noConversion"/>
  </si>
  <si>
    <t>馬郁蘭</t>
    <phoneticPr fontId="1" type="noConversion"/>
  </si>
  <si>
    <t>法國龍艾</t>
    <phoneticPr fontId="1" type="noConversion"/>
  </si>
  <si>
    <t>台灣2號薰衣草</t>
    <phoneticPr fontId="1" type="noConversion"/>
  </si>
  <si>
    <t>檸檬百里香</t>
    <phoneticPr fontId="1" type="noConversion"/>
  </si>
  <si>
    <t>芳香萬壽菊</t>
    <phoneticPr fontId="1" type="noConversion"/>
  </si>
  <si>
    <t>貓穗草</t>
    <phoneticPr fontId="1" type="noConversion"/>
  </si>
  <si>
    <t>奧勒岡</t>
    <phoneticPr fontId="1" type="noConversion"/>
  </si>
  <si>
    <t>鳳梨鼠尾草</t>
    <phoneticPr fontId="1" type="noConversion"/>
  </si>
  <si>
    <t>檸檬馬鞭草</t>
    <phoneticPr fontId="1" type="noConversion"/>
  </si>
  <si>
    <t>枸杞</t>
    <phoneticPr fontId="1" type="noConversion"/>
  </si>
  <si>
    <t>薄荷</t>
    <phoneticPr fontId="1" type="noConversion"/>
  </si>
  <si>
    <t>百里香</t>
    <phoneticPr fontId="1" type="noConversion"/>
  </si>
  <si>
    <t>檸檬香蜂草</t>
    <phoneticPr fontId="1" type="noConversion"/>
  </si>
  <si>
    <t>月桂</t>
    <phoneticPr fontId="1" type="noConversion"/>
  </si>
  <si>
    <t>白鶴靈芝</t>
    <phoneticPr fontId="1" type="noConversion"/>
  </si>
  <si>
    <t>絞股藍</t>
    <phoneticPr fontId="1" type="noConversion"/>
  </si>
  <si>
    <t>蜂香薄荷</t>
    <phoneticPr fontId="1" type="noConversion"/>
  </si>
  <si>
    <t>冬季薄荷</t>
    <phoneticPr fontId="1" type="noConversion"/>
  </si>
  <si>
    <t>胡椒薄荷</t>
    <phoneticPr fontId="1" type="noConversion"/>
  </si>
  <si>
    <t>馬蜂橙</t>
    <phoneticPr fontId="1" type="noConversion"/>
  </si>
  <si>
    <t>葡萄柚薄荷</t>
    <phoneticPr fontId="1" type="noConversion"/>
  </si>
  <si>
    <t>資科</t>
    <phoneticPr fontId="1" type="noConversion"/>
  </si>
  <si>
    <t>摩台</t>
    <phoneticPr fontId="1" type="noConversion"/>
  </si>
  <si>
    <t>長科</t>
    <phoneticPr fontId="1" type="noConversion"/>
  </si>
  <si>
    <t>買賣價</t>
    <phoneticPr fontId="1" type="noConversion"/>
  </si>
  <si>
    <t>買進日期</t>
    <phoneticPr fontId="1" type="noConversion"/>
  </si>
  <si>
    <t>4927</t>
    <phoneticPr fontId="1" type="noConversion"/>
  </si>
  <si>
    <t>多媒體IC設計</t>
    <phoneticPr fontId="1" type="noConversion"/>
  </si>
  <si>
    <t>甜萬壽菊（墨西哥龍艾）</t>
    <phoneticPr fontId="1" type="noConversion"/>
  </si>
  <si>
    <t>蘋果香草（植物醫生）</t>
    <phoneticPr fontId="1" type="noConversion"/>
  </si>
  <si>
    <t>一珠</t>
    <phoneticPr fontId="1" type="noConversion"/>
  </si>
  <si>
    <t>南斌</t>
    <phoneticPr fontId="1" type="noConversion"/>
  </si>
  <si>
    <t>4919</t>
    <phoneticPr fontId="1" type="noConversion"/>
  </si>
  <si>
    <t>二極體橋式整流器製造商</t>
    <phoneticPr fontId="1" type="noConversion"/>
  </si>
  <si>
    <t>不見長黑不落底</t>
    <phoneticPr fontId="1" type="noConversion"/>
  </si>
  <si>
    <t>石英元件日本大真空轉投資</t>
    <phoneticPr fontId="1" type="noConversion"/>
  </si>
  <si>
    <t>石英震蕩器</t>
    <phoneticPr fontId="1" type="noConversion"/>
  </si>
  <si>
    <t>8G四核</t>
    <phoneticPr fontId="1" type="noConversion"/>
  </si>
  <si>
    <t>4G四核</t>
    <phoneticPr fontId="1" type="noConversion"/>
  </si>
  <si>
    <t>EG遠東旗下</t>
    <phoneticPr fontId="1" type="noConversion"/>
  </si>
  <si>
    <t>多角化經營</t>
    <phoneticPr fontId="1" type="noConversion"/>
  </si>
  <si>
    <t>NISSAN裕隆集團</t>
    <phoneticPr fontId="1" type="noConversion"/>
  </si>
  <si>
    <t>記憶體模組</t>
    <phoneticPr fontId="1" type="noConversion"/>
  </si>
  <si>
    <t>觸控模組鴻海旗下</t>
    <phoneticPr fontId="1" type="noConversion"/>
  </si>
  <si>
    <t>環保控股中鼎旗下</t>
    <phoneticPr fontId="1" type="noConversion"/>
  </si>
  <si>
    <t>髮飾梳鏡</t>
    <phoneticPr fontId="1" type="noConversion"/>
  </si>
  <si>
    <t>面膜</t>
    <phoneticPr fontId="1" type="noConversion"/>
  </si>
  <si>
    <t>唱片歌手經紀人</t>
    <phoneticPr fontId="1" type="noConversion"/>
  </si>
  <si>
    <t>窗簾</t>
    <phoneticPr fontId="1" type="noConversion"/>
  </si>
  <si>
    <t>羽絨</t>
    <phoneticPr fontId="1" type="noConversion"/>
  </si>
  <si>
    <t>運動鞋</t>
    <phoneticPr fontId="1" type="noConversion"/>
  </si>
  <si>
    <t>房仲</t>
    <phoneticPr fontId="1" type="noConversion"/>
  </si>
  <si>
    <t>營建霖園旗下</t>
    <phoneticPr fontId="1" type="noConversion"/>
  </si>
  <si>
    <t>高速鐵路</t>
    <phoneticPr fontId="1" type="noConversion"/>
  </si>
  <si>
    <t>記憶體任天堂</t>
    <phoneticPr fontId="1" type="noConversion"/>
  </si>
  <si>
    <t>電池材料中鋼旗下</t>
    <phoneticPr fontId="1" type="noConversion"/>
  </si>
  <si>
    <t>不鏽鋼管全美大</t>
    <phoneticPr fontId="1" type="noConversion"/>
  </si>
  <si>
    <t>伺服器導軌</t>
    <phoneticPr fontId="1" type="noConversion"/>
  </si>
  <si>
    <t>記憶體華新旗下</t>
    <phoneticPr fontId="1" type="noConversion"/>
  </si>
  <si>
    <t>飛機發動機機匣</t>
    <phoneticPr fontId="1" type="noConversion"/>
  </si>
  <si>
    <t>京城建設入主台南</t>
    <phoneticPr fontId="1" type="noConversion"/>
  </si>
  <si>
    <t>中纖大股東</t>
    <phoneticPr fontId="1" type="noConversion"/>
  </si>
  <si>
    <t>公股銀行</t>
    <phoneticPr fontId="1" type="noConversion"/>
  </si>
  <si>
    <t>林榮三三重幫大股東</t>
    <phoneticPr fontId="1" type="noConversion"/>
  </si>
  <si>
    <t>遠東集團旗下</t>
    <phoneticPr fontId="1" type="noConversion"/>
  </si>
  <si>
    <t>統一集團旗下</t>
    <phoneticPr fontId="1" type="noConversion"/>
  </si>
  <si>
    <t>元大寶來證劵台大</t>
    <phoneticPr fontId="1" type="noConversion"/>
  </si>
  <si>
    <t>半導體設備鴻海旗下</t>
    <phoneticPr fontId="1" type="noConversion"/>
  </si>
  <si>
    <t>電磁閥</t>
    <phoneticPr fontId="1" type="noConversion"/>
  </si>
  <si>
    <t>自動化設備</t>
    <phoneticPr fontId="1" type="noConversion"/>
  </si>
  <si>
    <t>電源管理IC</t>
    <phoneticPr fontId="1" type="noConversion"/>
  </si>
  <si>
    <t>期貨台大</t>
    <phoneticPr fontId="1" type="noConversion"/>
  </si>
  <si>
    <t>期貨台前4</t>
    <phoneticPr fontId="1" type="noConversion"/>
  </si>
  <si>
    <t>觸控面板華新旗下</t>
    <phoneticPr fontId="1" type="noConversion"/>
  </si>
  <si>
    <t>網通設備</t>
    <phoneticPr fontId="1" type="noConversion"/>
  </si>
  <si>
    <t>UPS</t>
    <phoneticPr fontId="1" type="noConversion"/>
  </si>
  <si>
    <t>指紋辨識宏碁投資</t>
    <phoneticPr fontId="1" type="noConversion"/>
  </si>
  <si>
    <t>晶圓測試中華電旗下</t>
    <phoneticPr fontId="1" type="noConversion"/>
  </si>
  <si>
    <t>砷化鎵晶圓全前3</t>
    <phoneticPr fontId="1" type="noConversion"/>
  </si>
  <si>
    <t>無塵室</t>
    <phoneticPr fontId="1" type="noConversion"/>
  </si>
  <si>
    <t>南山人壽</t>
    <phoneticPr fontId="1" type="noConversion"/>
  </si>
  <si>
    <t>醣質標靶尖端醫投資</t>
    <phoneticPr fontId="1" type="noConversion"/>
  </si>
  <si>
    <t>血糖儀</t>
    <phoneticPr fontId="1" type="noConversion"/>
  </si>
  <si>
    <t>運動服</t>
    <phoneticPr fontId="1" type="noConversion"/>
  </si>
  <si>
    <t>醫療電腦華碩旗下</t>
    <phoneticPr fontId="1" type="noConversion"/>
  </si>
  <si>
    <t>醫療廢棄物潤泰旗下</t>
    <phoneticPr fontId="1" type="noConversion"/>
  </si>
  <si>
    <t>銀行證券投信永豐餘旗下</t>
    <phoneticPr fontId="1" type="noConversion"/>
  </si>
  <si>
    <t>面板鴻海旗下</t>
    <phoneticPr fontId="1" type="noConversion"/>
  </si>
  <si>
    <t>新光人壽前5大新光旗下</t>
    <phoneticPr fontId="1" type="noConversion"/>
  </si>
  <si>
    <t>自動化設備鴻海旗下</t>
    <phoneticPr fontId="1" type="noConversion"/>
  </si>
  <si>
    <t>晶圓代工台積電旗下</t>
    <phoneticPr fontId="1" type="noConversion"/>
  </si>
  <si>
    <t>晶圓代工華新麗華旗下</t>
    <phoneticPr fontId="1" type="noConversion"/>
  </si>
  <si>
    <t>太陽能導電漿國碩旗下</t>
    <phoneticPr fontId="1" type="noConversion"/>
  </si>
  <si>
    <t>頭部特征就是專殺權值股，用中小型貼補點數</t>
    <phoneticPr fontId="1" type="noConversion"/>
  </si>
  <si>
    <t>上市28類</t>
    <phoneticPr fontId="1" type="noConversion"/>
  </si>
  <si>
    <t>上櫃18類</t>
    <phoneticPr fontId="1" type="noConversion"/>
  </si>
  <si>
    <t>軟板FPC</t>
    <phoneticPr fontId="1" type="noConversion"/>
  </si>
  <si>
    <t>機上盒單晶片</t>
    <phoneticPr fontId="1" type="noConversion"/>
  </si>
  <si>
    <t>7.14</t>
    <phoneticPr fontId="1" type="noConversion"/>
  </si>
  <si>
    <t>銅箔基板全前10</t>
    <phoneticPr fontId="1" type="noConversion"/>
  </si>
  <si>
    <t>大戶</t>
    <phoneticPr fontId="1" type="noConversion"/>
  </si>
  <si>
    <t>44.81</t>
    <phoneticPr fontId="1" type="noConversion"/>
  </si>
  <si>
    <t>南珠</t>
    <phoneticPr fontId="1" type="noConversion"/>
  </si>
  <si>
    <t>2019年7月</t>
    <phoneticPr fontId="1" type="noConversion"/>
  </si>
  <si>
    <t>零股價</t>
    <phoneticPr fontId="1" type="noConversion"/>
  </si>
  <si>
    <t>零股數</t>
    <phoneticPr fontId="1" type="noConversion"/>
  </si>
  <si>
    <t>收益</t>
    <phoneticPr fontId="1" type="noConversion"/>
  </si>
  <si>
    <t>日期</t>
    <phoneticPr fontId="1" type="noConversion"/>
  </si>
  <si>
    <t>賣出價</t>
    <phoneticPr fontId="1" type="noConversion"/>
  </si>
  <si>
    <t>買進價</t>
    <phoneticPr fontId="1" type="noConversion"/>
  </si>
  <si>
    <t>損益率</t>
    <phoneticPr fontId="1" type="noConversion"/>
  </si>
  <si>
    <t>總金額</t>
    <phoneticPr fontId="1" type="noConversion"/>
  </si>
  <si>
    <t>零股交易</t>
    <phoneticPr fontId="1" type="noConversion"/>
  </si>
  <si>
    <t>41.53</t>
    <phoneticPr fontId="1" type="noConversion"/>
  </si>
  <si>
    <t>17.07</t>
    <phoneticPr fontId="1" type="noConversion"/>
  </si>
  <si>
    <t>20.32</t>
    <phoneticPr fontId="1" type="noConversion"/>
  </si>
  <si>
    <t>2.59</t>
    <phoneticPr fontId="1" type="noConversion"/>
  </si>
  <si>
    <t>6.20</t>
    <phoneticPr fontId="1" type="noConversion"/>
  </si>
  <si>
    <t>2019全年</t>
    <phoneticPr fontId="1" type="noConversion"/>
  </si>
  <si>
    <t>6.58</t>
    <phoneticPr fontId="1" type="noConversion"/>
  </si>
  <si>
    <t>上市</t>
    <phoneticPr fontId="1" type="noConversion"/>
  </si>
  <si>
    <t>指數</t>
    <phoneticPr fontId="1" type="noConversion"/>
  </si>
  <si>
    <t>2.34</t>
    <phoneticPr fontId="1" type="noConversion"/>
  </si>
  <si>
    <t>9.82</t>
    <phoneticPr fontId="1" type="noConversion"/>
  </si>
  <si>
    <t>4.73</t>
    <phoneticPr fontId="1" type="noConversion"/>
  </si>
  <si>
    <t>2.67</t>
    <phoneticPr fontId="1" type="noConversion"/>
  </si>
  <si>
    <t>3.39</t>
    <phoneticPr fontId="1" type="noConversion"/>
  </si>
  <si>
    <t>4.79</t>
    <phoneticPr fontId="1" type="noConversion"/>
  </si>
  <si>
    <t>7.42</t>
    <phoneticPr fontId="1" type="noConversion"/>
  </si>
  <si>
    <t>7.2</t>
    <phoneticPr fontId="1" type="noConversion"/>
  </si>
  <si>
    <t>2019年8月</t>
    <phoneticPr fontId="1" type="noConversion"/>
  </si>
  <si>
    <t>2019年9月</t>
    <phoneticPr fontId="1" type="noConversion"/>
  </si>
  <si>
    <t>2019年10月</t>
    <phoneticPr fontId="1" type="noConversion"/>
  </si>
  <si>
    <t>2019年11月</t>
    <phoneticPr fontId="1" type="noConversion"/>
  </si>
  <si>
    <t>2019年12月</t>
    <phoneticPr fontId="1" type="noConversion"/>
  </si>
  <si>
    <t>8.33</t>
    <phoneticPr fontId="1" type="noConversion"/>
  </si>
  <si>
    <t>0.94</t>
    <phoneticPr fontId="1" type="noConversion"/>
  </si>
  <si>
    <t>3.84</t>
    <phoneticPr fontId="1" type="noConversion"/>
  </si>
  <si>
    <t>3.58</t>
    <phoneticPr fontId="1" type="noConversion"/>
  </si>
  <si>
    <t>3.51</t>
    <phoneticPr fontId="1" type="noConversion"/>
  </si>
  <si>
    <t>8.55</t>
    <phoneticPr fontId="1" type="noConversion"/>
  </si>
  <si>
    <t>12.5</t>
    <phoneticPr fontId="1" type="noConversion"/>
  </si>
  <si>
    <t>投報率</t>
    <phoneticPr fontId="1" type="noConversion"/>
  </si>
  <si>
    <t>sp500反</t>
    <phoneticPr fontId="1" type="noConversion"/>
  </si>
  <si>
    <t>7.22</t>
    <phoneticPr fontId="1" type="noConversion"/>
  </si>
  <si>
    <t>元珠</t>
    <phoneticPr fontId="1" type="noConversion"/>
  </si>
  <si>
    <t>2.55</t>
    <phoneticPr fontId="1" type="noConversion"/>
  </si>
  <si>
    <t>9.15</t>
    <phoneticPr fontId="1" type="noConversion"/>
  </si>
  <si>
    <t>財報公佈</t>
    <phoneticPr fontId="1" type="noConversion"/>
  </si>
  <si>
    <t>DELL 3470</t>
    <phoneticPr fontId="1" type="noConversion"/>
  </si>
  <si>
    <t>I5-6400T</t>
    <phoneticPr fontId="1" type="noConversion"/>
  </si>
  <si>
    <t>3.2</t>
    <phoneticPr fontId="1" type="noConversion"/>
  </si>
  <si>
    <t>0</t>
    <phoneticPr fontId="1" type="noConversion"/>
  </si>
  <si>
    <t>騰輝電子KY</t>
    <phoneticPr fontId="1" type="noConversion"/>
  </si>
  <si>
    <t>2</t>
    <phoneticPr fontId="1" type="noConversion"/>
  </si>
  <si>
    <t>三商銀之一</t>
    <phoneticPr fontId="1" type="noConversion"/>
  </si>
  <si>
    <t>觸控面板華新旗下彩晶轉投資</t>
    <phoneticPr fontId="1" type="noConversion"/>
  </si>
  <si>
    <t>LED晶粒群光旗下</t>
    <phoneticPr fontId="1" type="noConversion"/>
  </si>
  <si>
    <t>LED磊晶可成轉投資</t>
    <phoneticPr fontId="1" type="noConversion"/>
  </si>
  <si>
    <t>LED照明元件和模組廠</t>
    <phoneticPr fontId="1" type="noConversion"/>
  </si>
  <si>
    <t>觸控面板中環與富士通合資</t>
    <phoneticPr fontId="1" type="noConversion"/>
  </si>
  <si>
    <t>觸控面板強茂轉投資</t>
    <phoneticPr fontId="1" type="noConversion"/>
  </si>
  <si>
    <t>觸控面板</t>
    <phoneticPr fontId="1" type="noConversion"/>
  </si>
  <si>
    <t>繪圖卡</t>
    <phoneticPr fontId="1" type="noConversion"/>
  </si>
  <si>
    <t>大眾集團控股公司</t>
    <phoneticPr fontId="1" type="noConversion"/>
  </si>
  <si>
    <t>工業電腦鴻海轉投資,旗下沅聖,瑞祺電</t>
    <phoneticPr fontId="1" type="noConversion"/>
  </si>
  <si>
    <t>風扇散熱導管廠商</t>
    <phoneticPr fontId="1" type="noConversion"/>
  </si>
  <si>
    <t>顯示器車載娛樂系統和OEM自行車花鼓零件製造商</t>
    <phoneticPr fontId="1" type="noConversion"/>
  </si>
  <si>
    <t>PCB自動化設備供應商</t>
    <phoneticPr fontId="1" type="noConversion"/>
  </si>
  <si>
    <t>Cable Modem仁寶轉投資</t>
    <phoneticPr fontId="1" type="noConversion"/>
  </si>
  <si>
    <t>滾珠螺桿</t>
    <phoneticPr fontId="1" type="noConversion"/>
  </si>
  <si>
    <t>網通代理服務</t>
    <phoneticPr fontId="1" type="noConversion"/>
  </si>
  <si>
    <t>洗腎相關儀器耗材代理商</t>
    <phoneticPr fontId="1" type="noConversion"/>
  </si>
  <si>
    <t>血糖儀血糖試片居家醫療器材廠</t>
    <phoneticPr fontId="1" type="noConversion"/>
  </si>
  <si>
    <t>肝癌新藥</t>
    <phoneticPr fontId="1" type="noConversion"/>
  </si>
  <si>
    <t>微脂體技術研發新藥廠商</t>
    <phoneticPr fontId="1" type="noConversion"/>
  </si>
  <si>
    <t>紅血球增生癥藥物研發商</t>
    <phoneticPr fontId="1" type="noConversion"/>
  </si>
  <si>
    <t>改良劑新藥研發</t>
    <phoneticPr fontId="1" type="noConversion"/>
  </si>
  <si>
    <t>抗癌新藥特殊原料藥研發商</t>
    <phoneticPr fontId="1" type="noConversion"/>
  </si>
  <si>
    <t>男性西服裕隆旗下</t>
    <phoneticPr fontId="1" type="noConversion"/>
  </si>
  <si>
    <t>毛條</t>
    <phoneticPr fontId="1" type="noConversion"/>
  </si>
  <si>
    <t>棉紡</t>
    <phoneticPr fontId="1" type="noConversion"/>
  </si>
  <si>
    <t>加工絲</t>
    <phoneticPr fontId="1" type="noConversion"/>
  </si>
  <si>
    <t>長織布廠</t>
    <phoneticPr fontId="1" type="noConversion"/>
  </si>
  <si>
    <t>尼龍長織布廠</t>
    <phoneticPr fontId="1" type="noConversion"/>
  </si>
  <si>
    <t>3D立體織物</t>
    <phoneticPr fontId="1" type="noConversion"/>
  </si>
  <si>
    <t>肥料純鹼大廠</t>
    <phoneticPr fontId="1" type="noConversion"/>
  </si>
  <si>
    <t>烷化品大廠唯一氫化石油樹脂</t>
    <phoneticPr fontId="1" type="noConversion"/>
  </si>
  <si>
    <t>清潔用品</t>
    <phoneticPr fontId="1" type="noConversion"/>
  </si>
  <si>
    <t>蘋果西打</t>
    <phoneticPr fontId="1" type="noConversion"/>
  </si>
  <si>
    <t>飲料罐頭</t>
    <phoneticPr fontId="1" type="noConversion"/>
  </si>
  <si>
    <t>嬰幼童服飾</t>
    <phoneticPr fontId="1" type="noConversion"/>
  </si>
  <si>
    <t>鋼線鋼纜產品</t>
    <phoneticPr fontId="1" type="noConversion"/>
  </si>
  <si>
    <t>陸運加油站營建飯店業務</t>
    <phoneticPr fontId="1" type="noConversion"/>
  </si>
  <si>
    <t>輕型散裝船</t>
    <phoneticPr fontId="1" type="noConversion"/>
  </si>
  <si>
    <t>航空貨運海運報關業務承攬物流業者</t>
    <phoneticPr fontId="1" type="noConversion"/>
  </si>
  <si>
    <t>建商市地重畫</t>
    <phoneticPr fontId="1" type="noConversion"/>
  </si>
  <si>
    <t>建商寶徠花園廣場</t>
    <phoneticPr fontId="1" type="noConversion"/>
  </si>
  <si>
    <t>建設百貨休閒</t>
    <phoneticPr fontId="1" type="noConversion"/>
  </si>
  <si>
    <t>建商大台北</t>
    <phoneticPr fontId="1" type="noConversion"/>
  </si>
  <si>
    <t>建商統一旗下</t>
    <phoneticPr fontId="1" type="noConversion"/>
  </si>
  <si>
    <t>建築工程廠商威京旗下</t>
    <phoneticPr fontId="1" type="noConversion"/>
  </si>
  <si>
    <t>營造商承攬公共工程</t>
    <phoneticPr fontId="1" type="noConversion"/>
  </si>
  <si>
    <t>建商日月光旗下</t>
    <phoneticPr fontId="1" type="noConversion"/>
  </si>
  <si>
    <t>工程整合服務廠商</t>
    <phoneticPr fontId="1" type="noConversion"/>
  </si>
  <si>
    <t>仰德旗下建設飯店文創經營</t>
    <phoneticPr fontId="1" type="noConversion"/>
  </si>
  <si>
    <t>旅行社</t>
    <phoneticPr fontId="1" type="noConversion"/>
  </si>
  <si>
    <t>KTV業</t>
    <phoneticPr fontId="1" type="noConversion"/>
  </si>
  <si>
    <t>資安</t>
    <phoneticPr fontId="1" type="noConversion"/>
  </si>
  <si>
    <t>出版社</t>
    <phoneticPr fontId="1" type="noConversion"/>
  </si>
  <si>
    <t>交友社群網站台灣最大愛情公寓</t>
    <phoneticPr fontId="1" type="noConversion"/>
  </si>
  <si>
    <t>產險業第一家上市公司</t>
    <phoneticPr fontId="1" type="noConversion"/>
  </si>
  <si>
    <t>前3大票劵商</t>
    <phoneticPr fontId="1" type="noConversion"/>
  </si>
  <si>
    <t>產險業歷史最悠久</t>
    <phoneticPr fontId="1" type="noConversion"/>
  </si>
  <si>
    <t>隆力集團入主中小型銀行</t>
    <phoneticPr fontId="1" type="noConversion"/>
  </si>
  <si>
    <t>新光集團旗下前3大產險公司</t>
    <phoneticPr fontId="1" type="noConversion"/>
  </si>
  <si>
    <t>前10大產險公司</t>
    <phoneticPr fontId="1" type="noConversion"/>
  </si>
  <si>
    <t>3</t>
    <phoneticPr fontId="1" type="noConversion"/>
  </si>
  <si>
    <t>山頂上玩有誰能贏，底部進場不贏也難（魚頭菜販策略）</t>
    <phoneticPr fontId="1" type="noConversion"/>
  </si>
  <si>
    <t>-7.74</t>
    <phoneticPr fontId="1" type="noConversion"/>
  </si>
  <si>
    <t>8.42</t>
    <phoneticPr fontId="1" type="noConversion"/>
  </si>
  <si>
    <t>12.7</t>
    <phoneticPr fontId="1" type="noConversion"/>
  </si>
  <si>
    <t>DELL 3670</t>
    <phoneticPr fontId="1" type="noConversion"/>
  </si>
  <si>
    <t>I7-9700</t>
    <phoneticPr fontId="1" type="noConversion"/>
  </si>
  <si>
    <t>12G八核</t>
    <phoneticPr fontId="1" type="noConversion"/>
  </si>
  <si>
    <t>PCHOME</t>
    <phoneticPr fontId="1" type="noConversion"/>
  </si>
  <si>
    <t>secretshop@163.com</t>
    <phoneticPr fontId="1" type="noConversion"/>
  </si>
  <si>
    <t>04280428</t>
    <phoneticPr fontId="1" type="noConversion"/>
  </si>
  <si>
    <t>家中網路</t>
    <phoneticPr fontId="1" type="noConversion"/>
  </si>
  <si>
    <t>9033bin</t>
    <phoneticPr fontId="1" type="noConversion"/>
  </si>
  <si>
    <t>03180318</t>
    <phoneticPr fontId="1" type="noConversion"/>
  </si>
  <si>
    <t>pin0428</t>
    <phoneticPr fontId="1" type="noConversion"/>
  </si>
  <si>
    <t>3.0GHZ</t>
    <phoneticPr fontId="1" type="noConversion"/>
  </si>
  <si>
    <t>利空不會成頭</t>
    <phoneticPr fontId="1" type="noConversion"/>
  </si>
  <si>
    <t>彌補</t>
    <phoneticPr fontId="1" type="noConversion"/>
  </si>
  <si>
    <t>4.09</t>
    <phoneticPr fontId="1" type="noConversion"/>
  </si>
  <si>
    <t>9.59</t>
    <phoneticPr fontId="1" type="noConversion"/>
  </si>
  <si>
    <t>8.05</t>
    <phoneticPr fontId="1" type="noConversion"/>
  </si>
  <si>
    <t>3.57</t>
    <phoneticPr fontId="1" type="noConversion"/>
  </si>
  <si>
    <t>6.05</t>
    <phoneticPr fontId="1" type="noConversion"/>
  </si>
  <si>
    <t>敦泰彌補</t>
    <phoneticPr fontId="1" type="noConversion"/>
  </si>
  <si>
    <t>6.94</t>
    <phoneticPr fontId="1" type="noConversion"/>
  </si>
  <si>
    <t>稅</t>
    <phoneticPr fontId="1" type="noConversion"/>
  </si>
  <si>
    <t>營</t>
    <phoneticPr fontId="1" type="noConversion"/>
  </si>
  <si>
    <t>期</t>
    <phoneticPr fontId="1" type="noConversion"/>
  </si>
  <si>
    <t>年</t>
    <phoneticPr fontId="1" type="noConversion"/>
  </si>
  <si>
    <t>3.01</t>
    <phoneticPr fontId="1" type="noConversion"/>
  </si>
  <si>
    <t>7月19年</t>
    <phoneticPr fontId="1" type="noConversion"/>
  </si>
  <si>
    <t>8月19年</t>
    <phoneticPr fontId="1" type="noConversion"/>
  </si>
  <si>
    <t>9月19年</t>
    <phoneticPr fontId="1" type="noConversion"/>
  </si>
  <si>
    <t>2.33</t>
    <phoneticPr fontId="1" type="noConversion"/>
  </si>
  <si>
    <t>2.22</t>
    <phoneticPr fontId="1" type="noConversion"/>
  </si>
  <si>
    <t>-4.59</t>
    <phoneticPr fontId="1" type="noConversion"/>
  </si>
  <si>
    <t>1402</t>
    <phoneticPr fontId="1" type="noConversion"/>
  </si>
  <si>
    <t>9.89</t>
    <phoneticPr fontId="1" type="noConversion"/>
  </si>
  <si>
    <t>4.26</t>
    <phoneticPr fontId="1" type="noConversion"/>
  </si>
  <si>
    <t>5.1</t>
    <phoneticPr fontId="1" type="noConversion"/>
  </si>
  <si>
    <t>7.53</t>
    <phoneticPr fontId="1" type="noConversion"/>
  </si>
  <si>
    <t>6.01</t>
    <phoneticPr fontId="1" type="noConversion"/>
  </si>
  <si>
    <t>-17.61</t>
    <phoneticPr fontId="1" type="noConversion"/>
  </si>
  <si>
    <t>-17.14</t>
    <phoneticPr fontId="1" type="noConversion"/>
  </si>
  <si>
    <t>-3.11</t>
    <phoneticPr fontId="1" type="noConversion"/>
  </si>
  <si>
    <t>3.97</t>
    <phoneticPr fontId="1" type="noConversion"/>
  </si>
  <si>
    <t>3.15</t>
    <phoneticPr fontId="1" type="noConversion"/>
  </si>
  <si>
    <t>3.15</t>
    <phoneticPr fontId="1" type="noConversion"/>
  </si>
  <si>
    <t>-1.69</t>
    <phoneticPr fontId="1" type="noConversion"/>
  </si>
  <si>
    <t>1.38</t>
    <phoneticPr fontId="1" type="noConversion"/>
  </si>
  <si>
    <t>5.01</t>
    <phoneticPr fontId="1" type="noConversion"/>
  </si>
  <si>
    <t>6.67</t>
    <phoneticPr fontId="1" type="noConversion"/>
  </si>
  <si>
    <t>5.5</t>
    <phoneticPr fontId="1" type="noConversion"/>
  </si>
  <si>
    <t>3</t>
    <phoneticPr fontId="1" type="noConversion"/>
  </si>
  <si>
    <t>6.32</t>
    <phoneticPr fontId="1" type="noConversion"/>
  </si>
  <si>
    <t>3</t>
    <phoneticPr fontId="1" type="noConversion"/>
  </si>
  <si>
    <t>1</t>
    <phoneticPr fontId="1" type="noConversion"/>
  </si>
  <si>
    <t>零股</t>
    <phoneticPr fontId="1" type="noConversion"/>
  </si>
  <si>
    <t>1.71</t>
    <phoneticPr fontId="1" type="noConversion"/>
  </si>
  <si>
    <t>緯穎</t>
    <phoneticPr fontId="1" type="noConversion"/>
  </si>
  <si>
    <t>M31</t>
    <phoneticPr fontId="1" type="noConversion"/>
  </si>
  <si>
    <t>5.02</t>
    <phoneticPr fontId="1" type="noConversion"/>
  </si>
  <si>
    <t>7.62</t>
    <phoneticPr fontId="1" type="noConversion"/>
  </si>
  <si>
    <t>1</t>
    <phoneticPr fontId="1" type="noConversion"/>
  </si>
  <si>
    <t>3</t>
    <phoneticPr fontId="1" type="noConversion"/>
  </si>
  <si>
    <t>世豐、榮剛、尚凡、上奇、富旺、霈方、華研、譜瑞-KY、大峽谷-KY上世等 9 家。</t>
  </si>
  <si>
    <t>雙鍵、禾聯碩、遠雄、大豐電、佳必琪、矽格、台數科、長華、鮮活果汁-KY、材料-KY、豐祥-Kㄚ等 35 家。</t>
  </si>
  <si>
    <t>▶ 上市公司季季配</t>
  </si>
  <si>
    <t>▶ 上市公司半年配</t>
  </si>
  <si>
    <t>▶ 上櫃公司季季配</t>
  </si>
  <si>
    <t>▶ 上櫃公司半年配</t>
  </si>
  <si>
    <t>3</t>
    <phoneticPr fontId="1" type="noConversion"/>
  </si>
  <si>
    <t>信昌電彌補</t>
    <phoneticPr fontId="1" type="noConversion"/>
  </si>
  <si>
    <t>-9.67</t>
    <phoneticPr fontId="1" type="noConversion"/>
  </si>
  <si>
    <t>1.42</t>
    <phoneticPr fontId="1" type="noConversion"/>
  </si>
  <si>
    <t>1.78</t>
    <phoneticPr fontId="1" type="noConversion"/>
  </si>
  <si>
    <t>5.15</t>
    <phoneticPr fontId="1" type="noConversion"/>
  </si>
  <si>
    <t>5.73</t>
    <phoneticPr fontId="1" type="noConversion"/>
  </si>
  <si>
    <t>3.16</t>
    <phoneticPr fontId="1" type="noConversion"/>
  </si>
  <si>
    <t>4.47</t>
    <phoneticPr fontId="1" type="noConversion"/>
  </si>
  <si>
    <t>56/1/17</t>
    <phoneticPr fontId="1" type="noConversion"/>
  </si>
  <si>
    <t>85/3/18</t>
    <phoneticPr fontId="1" type="noConversion"/>
  </si>
  <si>
    <t>87/9/13</t>
    <phoneticPr fontId="1" type="noConversion"/>
  </si>
  <si>
    <t>2.53</t>
    <phoneticPr fontId="1" type="noConversion"/>
  </si>
  <si>
    <t>9.09</t>
    <phoneticPr fontId="1" type="noConversion"/>
  </si>
  <si>
    <t>4</t>
    <phoneticPr fontId="1" type="noConversion"/>
  </si>
  <si>
    <t>年線下變平，準備捕老熊。年線往上拐，回踩堅決買！</t>
  </si>
  <si>
    <t>年線往下行，一定要搞清，如等半年線，暫做壁上觀。</t>
  </si>
  <si>
    <t>深跌破年線，老熊活年半。價穩年線上，千里馬亮相。</t>
  </si>
  <si>
    <t>要問為什么？牛熊一線亡！半年線下穿，千萬不要沾。</t>
  </si>
  <si>
    <t>半年線上拐，堅決果斷買！季線如下穿，後市不樂觀！</t>
  </si>
  <si>
    <t>季線往上走，長期須多頭！月線不下穿，光明就在前！</t>
  </si>
  <si>
    <t>股價踩季線，入市做波段。季線如被破，眼前就有禍，</t>
  </si>
  <si>
    <t>月線上穿季，買進等獲利。月線如下行，本波已完成！</t>
  </si>
  <si>
    <t>價跌月線平，底部已探明。2 0 線走平，觀望暫做空。</t>
  </si>
  <si>
    <t>2 0線上翹，猶如衝鋒號。突然呈加速，離頂查一步！</t>
  </si>
  <si>
    <t>10天莊成本，不破不走人。短線看 3天，破掉你就竄！</t>
  </si>
  <si>
    <t>長期往上翹，短期呈纏繞，平臺一做成，股價往上跑</t>
  </si>
  <si>
    <t>鍵盤3雄茂林精元科嘉</t>
    <phoneticPr fontId="1" type="noConversion"/>
  </si>
  <si>
    <t>10月19年</t>
    <phoneticPr fontId="1" type="noConversion"/>
  </si>
  <si>
    <t>勿回補帶量實體紅K缺口。如回補。整理時間㑹拉長。如拉長時間裡。主力順勢緩慢出貨。需格外小心。</t>
    <phoneticPr fontId="1" type="noConversion"/>
  </si>
  <si>
    <t>6.64</t>
    <phoneticPr fontId="1" type="noConversion"/>
  </si>
  <si>
    <t>18.9</t>
    <phoneticPr fontId="1" type="noConversion"/>
  </si>
  <si>
    <t>7.61</t>
    <phoneticPr fontId="1" type="noConversion"/>
  </si>
  <si>
    <t>4.91</t>
    <phoneticPr fontId="1" type="noConversion"/>
  </si>
  <si>
    <t>100</t>
    <phoneticPr fontId="1" type="noConversion"/>
  </si>
  <si>
    <t>141</t>
    <phoneticPr fontId="1" type="noConversion"/>
  </si>
  <si>
    <t>12.9</t>
    <phoneticPr fontId="1" type="noConversion"/>
  </si>
  <si>
    <t>114</t>
    <phoneticPr fontId="1" type="noConversion"/>
  </si>
  <si>
    <t>3.44</t>
    <phoneticPr fontId="1" type="noConversion"/>
  </si>
  <si>
    <t>2.89</t>
    <phoneticPr fontId="1" type="noConversion"/>
  </si>
  <si>
    <t>7.82</t>
    <phoneticPr fontId="1" type="noConversion"/>
  </si>
  <si>
    <t>8.38</t>
    <phoneticPr fontId="1" type="noConversion"/>
  </si>
  <si>
    <t>-0.67</t>
    <phoneticPr fontId="1" type="noConversion"/>
  </si>
  <si>
    <t xml:space="preserve">人臉辨識新唐 (4919) 、鈺創 (5351) 、原相 (3227) </t>
    <phoneticPr fontId="1" type="noConversion"/>
  </si>
  <si>
    <t>指紋辨識義隆 (2458) 、神盾 (6462) 、敦泰 (3545) 、聯詠 (3034)</t>
    <phoneticPr fontId="1" type="noConversion"/>
  </si>
  <si>
    <t>8.62</t>
    <phoneticPr fontId="1" type="noConversion"/>
  </si>
  <si>
    <t>mosfet廠雙位數衰退,如大中,富鼎</t>
    <phoneticPr fontId="1" type="noConversion"/>
  </si>
  <si>
    <t>中小型利基訂單雙位數成長,如杰立,尼克森</t>
    <phoneticPr fontId="1" type="noConversion"/>
  </si>
  <si>
    <t>電源管理IC的致新,矽力美中貿易戰轉單受惠</t>
    <phoneticPr fontId="1" type="noConversion"/>
  </si>
  <si>
    <t>4.12</t>
    <phoneticPr fontId="1" type="noConversion"/>
  </si>
  <si>
    <t>8.18</t>
    <phoneticPr fontId="1" type="noConversion"/>
  </si>
  <si>
    <t>5.48</t>
    <phoneticPr fontId="1" type="noConversion"/>
  </si>
  <si>
    <t>3.94</t>
    <phoneticPr fontId="1" type="noConversion"/>
  </si>
  <si>
    <t>12.1</t>
    <phoneticPr fontId="1" type="noConversion"/>
  </si>
  <si>
    <t>7.26</t>
    <phoneticPr fontId="1" type="noConversion"/>
  </si>
  <si>
    <t>7.25</t>
    <phoneticPr fontId="1" type="noConversion"/>
  </si>
  <si>
    <t>9.08</t>
    <phoneticPr fontId="1" type="noConversion"/>
  </si>
  <si>
    <t>568</t>
    <phoneticPr fontId="1" type="noConversion"/>
  </si>
  <si>
    <t>110</t>
    <phoneticPr fontId="1" type="noConversion"/>
  </si>
  <si>
    <t>3.24</t>
    <phoneticPr fontId="1" type="noConversion"/>
  </si>
  <si>
    <t>636</t>
    <phoneticPr fontId="1" type="noConversion"/>
  </si>
  <si>
    <t>793</t>
    <phoneticPr fontId="1" type="noConversion"/>
  </si>
  <si>
    <t>52.7</t>
    <phoneticPr fontId="1" type="noConversion"/>
  </si>
  <si>
    <t>586</t>
    <phoneticPr fontId="1" type="noConversion"/>
  </si>
  <si>
    <t>535</t>
    <phoneticPr fontId="1" type="noConversion"/>
  </si>
  <si>
    <t>27.4</t>
    <phoneticPr fontId="1" type="noConversion"/>
  </si>
  <si>
    <t>5.04</t>
    <phoneticPr fontId="1" type="noConversion"/>
  </si>
  <si>
    <t>8.12</t>
    <phoneticPr fontId="1" type="noConversion"/>
  </si>
  <si>
    <t>13.6</t>
    <phoneticPr fontId="1" type="noConversion"/>
  </si>
  <si>
    <t>23.6</t>
    <phoneticPr fontId="1" type="noConversion"/>
  </si>
  <si>
    <t>290</t>
    <phoneticPr fontId="1" type="noConversion"/>
  </si>
  <si>
    <t>1573</t>
    <phoneticPr fontId="1" type="noConversion"/>
  </si>
  <si>
    <t>30.9</t>
    <phoneticPr fontId="1" type="noConversion"/>
  </si>
  <si>
    <t>9.53</t>
    <phoneticPr fontId="1" type="noConversion"/>
  </si>
  <si>
    <t>3.65</t>
    <phoneticPr fontId="1" type="noConversion"/>
  </si>
  <si>
    <t>82.5</t>
    <phoneticPr fontId="1" type="noConversion"/>
  </si>
  <si>
    <t>98.4</t>
    <phoneticPr fontId="1" type="noConversion"/>
  </si>
  <si>
    <t>54.6</t>
    <phoneticPr fontId="1" type="noConversion"/>
  </si>
  <si>
    <t>12.2</t>
    <phoneticPr fontId="1" type="noConversion"/>
  </si>
  <si>
    <t>259</t>
    <phoneticPr fontId="1" type="noConversion"/>
  </si>
  <si>
    <t>119</t>
    <phoneticPr fontId="1" type="noConversion"/>
  </si>
  <si>
    <t>1386</t>
    <phoneticPr fontId="1" type="noConversion"/>
  </si>
  <si>
    <t>440</t>
    <phoneticPr fontId="1" type="noConversion"/>
  </si>
  <si>
    <t>42.9</t>
    <phoneticPr fontId="1" type="noConversion"/>
  </si>
  <si>
    <t>2593</t>
    <phoneticPr fontId="1" type="noConversion"/>
  </si>
  <si>
    <t>166</t>
    <phoneticPr fontId="1" type="noConversion"/>
  </si>
  <si>
    <t>358</t>
    <phoneticPr fontId="1" type="noConversion"/>
  </si>
  <si>
    <t>74.2</t>
    <phoneticPr fontId="1" type="noConversion"/>
  </si>
  <si>
    <t>63.5</t>
    <phoneticPr fontId="1" type="noConversion"/>
  </si>
  <si>
    <t>84.4</t>
    <phoneticPr fontId="1" type="noConversion"/>
  </si>
  <si>
    <t>386</t>
    <phoneticPr fontId="1" type="noConversion"/>
  </si>
  <si>
    <t>51.2</t>
    <phoneticPr fontId="1" type="noConversion"/>
  </si>
  <si>
    <t>962</t>
    <phoneticPr fontId="1" type="noConversion"/>
  </si>
  <si>
    <t>775</t>
    <phoneticPr fontId="1" type="noConversion"/>
  </si>
  <si>
    <t>26.3</t>
    <phoneticPr fontId="1" type="noConversion"/>
  </si>
  <si>
    <t>122</t>
    <phoneticPr fontId="1" type="noConversion"/>
  </si>
  <si>
    <t>30.3</t>
    <phoneticPr fontId="1" type="noConversion"/>
  </si>
  <si>
    <t>48.5</t>
    <phoneticPr fontId="1" type="noConversion"/>
  </si>
  <si>
    <t>81.8</t>
    <phoneticPr fontId="1" type="noConversion"/>
  </si>
  <si>
    <t>84.5</t>
    <phoneticPr fontId="1" type="noConversion"/>
  </si>
  <si>
    <t>485</t>
    <phoneticPr fontId="1" type="noConversion"/>
  </si>
  <si>
    <t>1359</t>
    <phoneticPr fontId="1" type="noConversion"/>
  </si>
  <si>
    <t>1949</t>
    <phoneticPr fontId="1" type="noConversion"/>
  </si>
  <si>
    <t>103</t>
    <phoneticPr fontId="1" type="noConversion"/>
  </si>
  <si>
    <t>13.4</t>
    <phoneticPr fontId="1" type="noConversion"/>
  </si>
  <si>
    <t>23.1</t>
    <phoneticPr fontId="1" type="noConversion"/>
  </si>
  <si>
    <t>23.2</t>
    <phoneticPr fontId="1" type="noConversion"/>
  </si>
  <si>
    <t>60.8</t>
    <phoneticPr fontId="1" type="noConversion"/>
  </si>
  <si>
    <t>24.8</t>
    <phoneticPr fontId="1" type="noConversion"/>
  </si>
  <si>
    <t>150</t>
    <phoneticPr fontId="1" type="noConversion"/>
  </si>
  <si>
    <t>52.5</t>
    <phoneticPr fontId="1" type="noConversion"/>
  </si>
  <si>
    <t>42.4</t>
    <phoneticPr fontId="1" type="noConversion"/>
  </si>
  <si>
    <t>8.01</t>
    <phoneticPr fontId="1" type="noConversion"/>
  </si>
  <si>
    <t>14.7</t>
    <phoneticPr fontId="1" type="noConversion"/>
  </si>
  <si>
    <t>7.41</t>
    <phoneticPr fontId="1" type="noConversion"/>
  </si>
  <si>
    <t>7.58</t>
    <phoneticPr fontId="1" type="noConversion"/>
  </si>
  <si>
    <t>38.7</t>
    <phoneticPr fontId="1" type="noConversion"/>
  </si>
  <si>
    <t>6.23</t>
    <phoneticPr fontId="1" type="noConversion"/>
  </si>
  <si>
    <t>20.8</t>
    <phoneticPr fontId="1" type="noConversion"/>
  </si>
  <si>
    <t>4.24</t>
    <phoneticPr fontId="1" type="noConversion"/>
  </si>
  <si>
    <t>18.5</t>
    <phoneticPr fontId="1" type="noConversion"/>
  </si>
  <si>
    <t>11.8</t>
    <phoneticPr fontId="1" type="noConversion"/>
  </si>
  <si>
    <t>9.35</t>
    <phoneticPr fontId="1" type="noConversion"/>
  </si>
  <si>
    <t>7.95</t>
    <phoneticPr fontId="1" type="noConversion"/>
  </si>
  <si>
    <t>25.2</t>
    <phoneticPr fontId="1" type="noConversion"/>
  </si>
  <si>
    <t>14.6</t>
    <phoneticPr fontId="1" type="noConversion"/>
  </si>
  <si>
    <t>17.2</t>
    <phoneticPr fontId="1" type="noConversion"/>
  </si>
  <si>
    <t>7.65</t>
    <phoneticPr fontId="1" type="noConversion"/>
  </si>
  <si>
    <t>1.88</t>
    <phoneticPr fontId="1" type="noConversion"/>
  </si>
  <si>
    <t>325</t>
    <phoneticPr fontId="1" type="noConversion"/>
  </si>
  <si>
    <t>28.7</t>
    <phoneticPr fontId="1" type="noConversion"/>
  </si>
  <si>
    <t>5.57</t>
    <phoneticPr fontId="1" type="noConversion"/>
  </si>
  <si>
    <t>19.4</t>
    <phoneticPr fontId="1" type="noConversion"/>
  </si>
  <si>
    <t>163</t>
    <phoneticPr fontId="1" type="noConversion"/>
  </si>
  <si>
    <t>18.1</t>
    <phoneticPr fontId="1" type="noConversion"/>
  </si>
  <si>
    <t>16.5</t>
    <phoneticPr fontId="1" type="noConversion"/>
  </si>
  <si>
    <t>16.9</t>
    <phoneticPr fontId="1" type="noConversion"/>
  </si>
  <si>
    <t>58.6</t>
    <phoneticPr fontId="1" type="noConversion"/>
  </si>
  <si>
    <t>448</t>
    <phoneticPr fontId="1" type="noConversion"/>
  </si>
  <si>
    <t>22.3</t>
    <phoneticPr fontId="1" type="noConversion"/>
  </si>
  <si>
    <t>9.77</t>
    <phoneticPr fontId="1" type="noConversion"/>
  </si>
  <si>
    <t>21.7</t>
    <phoneticPr fontId="1" type="noConversion"/>
  </si>
  <si>
    <t>46.5</t>
    <phoneticPr fontId="1" type="noConversion"/>
  </si>
  <si>
    <t>17.5</t>
    <phoneticPr fontId="1" type="noConversion"/>
  </si>
  <si>
    <t>18.6</t>
    <phoneticPr fontId="1" type="noConversion"/>
  </si>
  <si>
    <t>22.6</t>
    <phoneticPr fontId="1" type="noConversion"/>
  </si>
  <si>
    <t>12.4</t>
    <phoneticPr fontId="1" type="noConversion"/>
  </si>
  <si>
    <t>77.9</t>
    <phoneticPr fontId="1" type="noConversion"/>
  </si>
  <si>
    <t>11.9</t>
    <phoneticPr fontId="1" type="noConversion"/>
  </si>
  <si>
    <t>14.3</t>
    <phoneticPr fontId="1" type="noConversion"/>
  </si>
  <si>
    <t>43.7</t>
    <phoneticPr fontId="1" type="noConversion"/>
  </si>
  <si>
    <t>952</t>
    <phoneticPr fontId="1" type="noConversion"/>
  </si>
  <si>
    <t>3.28</t>
    <phoneticPr fontId="1" type="noConversion"/>
  </si>
  <si>
    <t>3.13</t>
    <phoneticPr fontId="1" type="noConversion"/>
  </si>
  <si>
    <t>17.4</t>
    <phoneticPr fontId="1" type="noConversion"/>
  </si>
  <si>
    <t>6.71</t>
    <phoneticPr fontId="1" type="noConversion"/>
  </si>
  <si>
    <t>3.02</t>
    <phoneticPr fontId="1" type="noConversion"/>
  </si>
  <si>
    <t>14.4</t>
    <phoneticPr fontId="1" type="noConversion"/>
  </si>
  <si>
    <t>4.98</t>
    <phoneticPr fontId="1" type="noConversion"/>
  </si>
  <si>
    <t>27.1</t>
    <phoneticPr fontId="1" type="noConversion"/>
  </si>
  <si>
    <t>19.7</t>
    <phoneticPr fontId="1" type="noConversion"/>
  </si>
  <si>
    <t>11.1</t>
    <phoneticPr fontId="1" type="noConversion"/>
  </si>
  <si>
    <t>2.82</t>
    <phoneticPr fontId="1" type="noConversion"/>
  </si>
  <si>
    <t>5.29</t>
    <phoneticPr fontId="1" type="noConversion"/>
  </si>
  <si>
    <t>29.3</t>
    <phoneticPr fontId="1" type="noConversion"/>
  </si>
  <si>
    <t>13.5</t>
    <phoneticPr fontId="1" type="noConversion"/>
  </si>
  <si>
    <t>29.9</t>
    <phoneticPr fontId="1" type="noConversion"/>
  </si>
  <si>
    <t>45.1</t>
    <phoneticPr fontId="1" type="noConversion"/>
  </si>
  <si>
    <t>37.5</t>
    <phoneticPr fontId="1" type="noConversion"/>
  </si>
  <si>
    <t>76.3</t>
    <phoneticPr fontId="1" type="noConversion"/>
  </si>
  <si>
    <t>7.49</t>
    <phoneticPr fontId="1" type="noConversion"/>
  </si>
  <si>
    <t>14.5</t>
    <phoneticPr fontId="1" type="noConversion"/>
  </si>
  <si>
    <t>8.63</t>
    <phoneticPr fontId="1" type="noConversion"/>
  </si>
  <si>
    <t>13.2</t>
    <phoneticPr fontId="1" type="noConversion"/>
  </si>
  <si>
    <t>13.8</t>
    <phoneticPr fontId="1" type="noConversion"/>
  </si>
  <si>
    <t>資本</t>
    <phoneticPr fontId="1" type="noConversion"/>
  </si>
  <si>
    <t>1.52</t>
    <phoneticPr fontId="1" type="noConversion"/>
  </si>
  <si>
    <t>4.18</t>
    <phoneticPr fontId="1" type="noConversion"/>
  </si>
  <si>
    <t>10.3</t>
    <phoneticPr fontId="1" type="noConversion"/>
  </si>
  <si>
    <t>90.6</t>
    <phoneticPr fontId="1" type="noConversion"/>
  </si>
  <si>
    <t>35.3</t>
    <phoneticPr fontId="1" type="noConversion"/>
  </si>
  <si>
    <t>66.5</t>
    <phoneticPr fontId="1" type="noConversion"/>
  </si>
  <si>
    <t>12.6</t>
    <phoneticPr fontId="1" type="noConversion"/>
  </si>
  <si>
    <t>16.7</t>
    <phoneticPr fontId="1" type="noConversion"/>
  </si>
  <si>
    <t>64.6</t>
    <phoneticPr fontId="1" type="noConversion"/>
  </si>
  <si>
    <t>3.35</t>
    <phoneticPr fontId="1" type="noConversion"/>
  </si>
  <si>
    <t>168</t>
    <phoneticPr fontId="1" type="noConversion"/>
  </si>
  <si>
    <t>16.1</t>
    <phoneticPr fontId="1" type="noConversion"/>
  </si>
  <si>
    <t>5.09</t>
    <phoneticPr fontId="1" type="noConversion"/>
  </si>
  <si>
    <t>13.1</t>
    <phoneticPr fontId="1" type="noConversion"/>
  </si>
  <si>
    <t>鈺太</t>
    <phoneticPr fontId="1" type="noConversion"/>
  </si>
  <si>
    <t>雍智科技</t>
    <phoneticPr fontId="1" type="noConversion"/>
  </si>
  <si>
    <t>2.71</t>
    <phoneticPr fontId="1" type="noConversion"/>
  </si>
  <si>
    <t>6.13</t>
    <phoneticPr fontId="1" type="noConversion"/>
  </si>
  <si>
    <t>8.13</t>
    <phoneticPr fontId="1" type="noConversion"/>
  </si>
  <si>
    <t>晶碩</t>
    <phoneticPr fontId="1" type="noConversion"/>
  </si>
  <si>
    <t>40.6</t>
    <phoneticPr fontId="1" type="noConversion"/>
  </si>
  <si>
    <t>15.3</t>
    <phoneticPr fontId="1" type="noConversion"/>
  </si>
  <si>
    <t>12.8</t>
    <phoneticPr fontId="1" type="noConversion"/>
  </si>
  <si>
    <t>8</t>
    <phoneticPr fontId="1" type="noConversion"/>
  </si>
  <si>
    <t>富致</t>
    <phoneticPr fontId="1" type="noConversion"/>
  </si>
  <si>
    <t>-8.43</t>
    <phoneticPr fontId="1" type="noConversion"/>
  </si>
  <si>
    <t>-2.08</t>
    <phoneticPr fontId="1" type="noConversion"/>
  </si>
  <si>
    <t>8.84</t>
    <phoneticPr fontId="1" type="noConversion"/>
  </si>
  <si>
    <t>11月19年</t>
    <phoneticPr fontId="1" type="noConversion"/>
  </si>
  <si>
    <t>6.21</t>
    <phoneticPr fontId="1" type="noConversion"/>
  </si>
  <si>
    <t>10.8</t>
    <phoneticPr fontId="1" type="noConversion"/>
  </si>
  <si>
    <t>禾聯碩</t>
    <phoneticPr fontId="1" type="noConversion"/>
  </si>
  <si>
    <t>15.8</t>
    <phoneticPr fontId="1" type="noConversion"/>
  </si>
  <si>
    <t>3.32</t>
    <phoneticPr fontId="1" type="noConversion"/>
  </si>
  <si>
    <t>4.74</t>
    <phoneticPr fontId="1" type="noConversion"/>
  </si>
  <si>
    <t>3.38</t>
    <phoneticPr fontId="1" type="noConversion"/>
  </si>
  <si>
    <t>12.3</t>
    <phoneticPr fontId="1" type="noConversion"/>
  </si>
  <si>
    <t>17.8</t>
    <phoneticPr fontId="1" type="noConversion"/>
  </si>
  <si>
    <t>7.09</t>
    <phoneticPr fontId="1" type="noConversion"/>
  </si>
  <si>
    <t>3.93</t>
    <phoneticPr fontId="1" type="noConversion"/>
  </si>
  <si>
    <t>3.98</t>
    <phoneticPr fontId="1" type="noConversion"/>
  </si>
  <si>
    <t>26.9</t>
    <phoneticPr fontId="1" type="noConversion"/>
  </si>
  <si>
    <t>5.13</t>
    <phoneticPr fontId="1" type="noConversion"/>
  </si>
  <si>
    <t>6.09</t>
    <phoneticPr fontId="1" type="noConversion"/>
  </si>
  <si>
    <t>8.32</t>
    <phoneticPr fontId="1" type="noConversion"/>
  </si>
  <si>
    <t>14.8</t>
    <phoneticPr fontId="1" type="noConversion"/>
  </si>
  <si>
    <t>鈞興KY</t>
    <phoneticPr fontId="1" type="noConversion"/>
  </si>
  <si>
    <t>駐龍</t>
    <phoneticPr fontId="1" type="noConversion"/>
  </si>
  <si>
    <t>58.1</t>
    <phoneticPr fontId="1" type="noConversion"/>
  </si>
  <si>
    <t>6.03</t>
    <phoneticPr fontId="1" type="noConversion"/>
  </si>
  <si>
    <t>9.56</t>
    <phoneticPr fontId="1" type="noConversion"/>
  </si>
  <si>
    <t>3.85</t>
    <phoneticPr fontId="1" type="noConversion"/>
  </si>
  <si>
    <t>1.75</t>
    <phoneticPr fontId="1" type="noConversion"/>
  </si>
  <si>
    <t>3.64</t>
    <phoneticPr fontId="1" type="noConversion"/>
  </si>
  <si>
    <t>3.37</t>
    <phoneticPr fontId="1" type="noConversion"/>
  </si>
  <si>
    <t>1.4</t>
    <phoneticPr fontId="1" type="noConversion"/>
  </si>
  <si>
    <t>2.92</t>
    <phoneticPr fontId="1" type="noConversion"/>
  </si>
  <si>
    <t>2.14</t>
    <phoneticPr fontId="1" type="noConversion"/>
  </si>
  <si>
    <t>豆府</t>
    <phoneticPr fontId="1" type="noConversion"/>
  </si>
  <si>
    <t>9.24</t>
    <phoneticPr fontId="1" type="noConversion"/>
  </si>
  <si>
    <t>3.78</t>
    <phoneticPr fontId="1" type="noConversion"/>
  </si>
  <si>
    <t>矽利光代理</t>
    <phoneticPr fontId="1" type="noConversion"/>
  </si>
  <si>
    <t>1.44</t>
    <phoneticPr fontId="1" type="noConversion"/>
  </si>
  <si>
    <t>6.25</t>
    <phoneticPr fontId="1" type="noConversion"/>
  </si>
  <si>
    <t>6.06</t>
    <phoneticPr fontId="1" type="noConversion"/>
  </si>
  <si>
    <t>3.19</t>
    <phoneticPr fontId="1" type="noConversion"/>
  </si>
  <si>
    <t>4.67</t>
    <phoneticPr fontId="1" type="noConversion"/>
  </si>
  <si>
    <t>3.61</t>
    <phoneticPr fontId="1" type="noConversion"/>
  </si>
  <si>
    <t>急拉的股票，就是高過高，低不破低，一旦破低，很可能這波急拉就結束了，要休息或整理</t>
    <phoneticPr fontId="1" type="noConversion"/>
  </si>
  <si>
    <t>-17.47</t>
    <phoneticPr fontId="1" type="noConversion"/>
  </si>
  <si>
    <t>靜電放電防護IC設計</t>
    <phoneticPr fontId="1" type="noConversion"/>
  </si>
  <si>
    <t>11.6</t>
    <phoneticPr fontId="1" type="noConversion"/>
  </si>
  <si>
    <t>8.56</t>
    <phoneticPr fontId="1" type="noConversion"/>
  </si>
  <si>
    <t>10.4</t>
    <phoneticPr fontId="1" type="noConversion"/>
  </si>
  <si>
    <t>14.1</t>
    <phoneticPr fontId="1" type="noConversion"/>
  </si>
  <si>
    <t>16.2</t>
    <phoneticPr fontId="1" type="noConversion"/>
  </si>
  <si>
    <t>連接線正崴旗下</t>
    <phoneticPr fontId="1" type="noConversion"/>
  </si>
  <si>
    <t>7.44</t>
    <phoneticPr fontId="1" type="noConversion"/>
  </si>
  <si>
    <t>10.6</t>
    <phoneticPr fontId="1" type="noConversion"/>
  </si>
  <si>
    <t>19.5</t>
    <phoneticPr fontId="1" type="noConversion"/>
  </si>
  <si>
    <t>3.17</t>
    <phoneticPr fontId="1" type="noConversion"/>
  </si>
  <si>
    <t>記憶體封測台塑旗下</t>
    <phoneticPr fontId="1" type="noConversion"/>
  </si>
  <si>
    <t>7.37</t>
    <phoneticPr fontId="1" type="noConversion"/>
  </si>
  <si>
    <t>補南斌</t>
    <phoneticPr fontId="1" type="noConversion"/>
  </si>
  <si>
    <t>9</t>
    <phoneticPr fontId="1" type="noConversion"/>
  </si>
  <si>
    <t>博</t>
  </si>
  <si>
    <t>24.9</t>
    <phoneticPr fontId="1" type="noConversion"/>
  </si>
  <si>
    <t>網版</t>
    <phoneticPr fontId="1" type="noConversion"/>
  </si>
  <si>
    <t>4.19</t>
    <phoneticPr fontId="1" type="noConversion"/>
  </si>
  <si>
    <t>-14.79</t>
    <phoneticPr fontId="1" type="noConversion"/>
  </si>
  <si>
    <t>11.85</t>
    <phoneticPr fontId="1" type="noConversion"/>
  </si>
  <si>
    <t>12.55</t>
    <phoneticPr fontId="1" type="noConversion"/>
  </si>
  <si>
    <t>13.26</t>
    <phoneticPr fontId="1" type="noConversion"/>
  </si>
  <si>
    <t>PCB光學檢測設備台大</t>
    <phoneticPr fontId="1" type="noConversion"/>
  </si>
  <si>
    <t>工業用布</t>
    <phoneticPr fontId="1" type="noConversion"/>
  </si>
  <si>
    <t>消息</t>
    <phoneticPr fontId="1" type="noConversion"/>
  </si>
  <si>
    <t>39.7</t>
    <phoneticPr fontId="1" type="noConversion"/>
  </si>
  <si>
    <t>18.2</t>
    <phoneticPr fontId="1" type="noConversion"/>
  </si>
  <si>
    <t>115</t>
    <phoneticPr fontId="1" type="noConversion"/>
  </si>
  <si>
    <t>恐慌會見底</t>
    <phoneticPr fontId="1" type="noConversion"/>
  </si>
  <si>
    <t>樂觀會見頭</t>
    <phoneticPr fontId="1" type="noConversion"/>
  </si>
  <si>
    <t>光罩晶圓載具</t>
    <phoneticPr fontId="1" type="noConversion"/>
  </si>
  <si>
    <t>燿華</t>
    <phoneticPr fontId="1" type="noConversion"/>
  </si>
  <si>
    <t>6.83</t>
    <phoneticPr fontId="1" type="noConversion"/>
  </si>
  <si>
    <t>十銓</t>
    <phoneticPr fontId="1" type="noConversion"/>
  </si>
  <si>
    <t>143</t>
    <phoneticPr fontId="1" type="noConversion"/>
  </si>
  <si>
    <t>熱軋中鋼旗下</t>
    <phoneticPr fontId="1" type="noConversion"/>
  </si>
  <si>
    <t>醣基新藥潤泰旗下</t>
    <phoneticPr fontId="1" type="noConversion"/>
  </si>
  <si>
    <t>18.8</t>
    <phoneticPr fontId="1" type="noConversion"/>
  </si>
  <si>
    <t>20.9</t>
    <phoneticPr fontId="1" type="noConversion"/>
  </si>
  <si>
    <t>542</t>
    <phoneticPr fontId="1" type="noConversion"/>
  </si>
  <si>
    <t>37.8</t>
    <phoneticPr fontId="1" type="noConversion"/>
  </si>
  <si>
    <t>25.4</t>
    <phoneticPr fontId="1" type="noConversion"/>
  </si>
  <si>
    <t>石英元件</t>
    <phoneticPr fontId="1" type="noConversion"/>
  </si>
  <si>
    <t>15.9</t>
    <phoneticPr fontId="1" type="noConversion"/>
  </si>
  <si>
    <t>10.2</t>
    <phoneticPr fontId="1" type="noConversion"/>
  </si>
  <si>
    <t>10.7</t>
    <phoneticPr fontId="1" type="noConversion"/>
  </si>
  <si>
    <t>7.34</t>
    <phoneticPr fontId="1" type="noConversion"/>
  </si>
  <si>
    <t>28.1</t>
    <phoneticPr fontId="1" type="noConversion"/>
  </si>
  <si>
    <t>6.97</t>
    <phoneticPr fontId="1" type="noConversion"/>
  </si>
  <si>
    <t>16.8</t>
    <phoneticPr fontId="1" type="noConversion"/>
  </si>
  <si>
    <t>6.98</t>
    <phoneticPr fontId="1" type="noConversion"/>
  </si>
  <si>
    <t>61.9</t>
    <phoneticPr fontId="1" type="noConversion"/>
  </si>
  <si>
    <t>電容電阻國巨集團</t>
    <phoneticPr fontId="1" type="noConversion"/>
  </si>
  <si>
    <t>MLCC</t>
    <phoneticPr fontId="1" type="noConversion"/>
  </si>
  <si>
    <t>MLCC原料華新旗下</t>
    <phoneticPr fontId="1" type="noConversion"/>
  </si>
  <si>
    <t>中保科</t>
    <phoneticPr fontId="1" type="noConversion"/>
  </si>
  <si>
    <t>133</t>
    <phoneticPr fontId="1" type="noConversion"/>
  </si>
  <si>
    <t>高爾夫球明安旗下</t>
    <phoneticPr fontId="1" type="noConversion"/>
  </si>
  <si>
    <t>4.5</t>
    <phoneticPr fontId="1" type="noConversion"/>
  </si>
  <si>
    <t>165</t>
    <phoneticPr fontId="1" type="noConversion"/>
  </si>
  <si>
    <t>6.45</t>
    <phoneticPr fontId="1" type="noConversion"/>
  </si>
  <si>
    <t>37.4</t>
    <phoneticPr fontId="1" type="noConversion"/>
  </si>
  <si>
    <t>6592</t>
    <phoneticPr fontId="1" type="noConversion"/>
  </si>
  <si>
    <t>和潤企業</t>
    <phoneticPr fontId="1" type="noConversion"/>
  </si>
  <si>
    <t>266</t>
    <phoneticPr fontId="1" type="noConversion"/>
  </si>
  <si>
    <t>24.1</t>
    <phoneticPr fontId="1" type="noConversion"/>
  </si>
  <si>
    <t>0.34</t>
    <phoneticPr fontId="1" type="noConversion"/>
  </si>
  <si>
    <t>-0.34</t>
    <phoneticPr fontId="1" type="noConversion"/>
  </si>
  <si>
    <t>6.56</t>
    <phoneticPr fontId="1" type="noConversion"/>
  </si>
  <si>
    <t>1.37</t>
    <phoneticPr fontId="1" type="noConversion"/>
  </si>
  <si>
    <t>5.36</t>
    <phoneticPr fontId="1" type="noConversion"/>
  </si>
  <si>
    <t>惠特</t>
    <phoneticPr fontId="1" type="noConversion"/>
  </si>
  <si>
    <t>51.5</t>
    <phoneticPr fontId="1" type="noConversion"/>
  </si>
  <si>
    <t>12月19年</t>
    <phoneticPr fontId="1" type="noConversion"/>
  </si>
  <si>
    <t>2.4</t>
    <phoneticPr fontId="1" type="noConversion"/>
  </si>
  <si>
    <t>1.06</t>
    <phoneticPr fontId="1" type="noConversion"/>
  </si>
  <si>
    <t>股3</t>
    <phoneticPr fontId="1" type="noConversion"/>
  </si>
  <si>
    <t>半導體自動化聖暉子公司</t>
    <phoneticPr fontId="1" type="noConversion"/>
  </si>
  <si>
    <t>29.2</t>
    <phoneticPr fontId="1" type="noConversion"/>
  </si>
  <si>
    <t>海力士2666</t>
    <phoneticPr fontId="1" type="noConversion"/>
  </si>
  <si>
    <t>三星2666</t>
    <phoneticPr fontId="1" type="noConversion"/>
  </si>
  <si>
    <t>电脑型号: 戴尔 Inspiron 3470 台式电脑</t>
  </si>
  <si>
    <t>操作系统: Windows 10 64位</t>
  </si>
  <si>
    <t>电脑型号: 戴尔 Inspiron 3670 台式电脑</t>
  </si>
  <si>
    <t>操作系统: Windows 10 64位</t>
  </si>
  <si>
    <t>  处理器: 英特尔 Core i7-9700 @ 3.00GHz 八核</t>
  </si>
  <si>
    <t>    主板: 戴尔 0R6JMP</t>
  </si>
  <si>
    <t>    内存: 12 GB ( 海力士 DDR4 2666MHz )</t>
  </si>
  <si>
    <t>  主硬盘: BC501 NVMe SK hynix 256GB ( 256 GB )</t>
  </si>
  <si>
    <t>    显卡: 英特尔 UHD Graphics 630 ( 128 MB / 戴尔 )</t>
  </si>
  <si>
    <t>  显示器: 戴尔 DELA07A DELL U2412M ( 24.1 英寸  )</t>
  </si>
  <si>
    <t>    光驱: PLDS DVD+-RW DU-8A5LH DVD刻录机</t>
  </si>
  <si>
    <t>    声卡: 瑞昱  @ 英特尔 High Definition Audio 控制器</t>
  </si>
  <si>
    <t>    网卡: 瑞昱 RTL8168/8111/8112 Gigabit Ethernet Controller / 戴尔</t>
  </si>
  <si>
    <t>主板: 戴尔 0D02VH</t>
    <phoneticPr fontId="1" type="noConversion"/>
  </si>
  <si>
    <t>处理器: 英特尔 Core i5-8400 @ 2.80GHz 六核</t>
    <phoneticPr fontId="1" type="noConversion"/>
  </si>
  <si>
    <t>内存: 8 GB ( 三星 DDR4 2666MHz )</t>
    <phoneticPr fontId="1" type="noConversion"/>
  </si>
  <si>
    <t>主硬盘: 西数 WDC WDS500G2B0A ( 500 GB / 固态硬盘 )</t>
    <phoneticPr fontId="1" type="noConversion"/>
  </si>
  <si>
    <t>显卡: 英特尔 视频控制器 ( 128 MB / 戴尔 )</t>
    <phoneticPr fontId="1" type="noConversion"/>
  </si>
  <si>
    <t>显示器: 戴尔 DELA07A DELL U2412M ( 24.1 英寸  )</t>
    <phoneticPr fontId="1" type="noConversion"/>
  </si>
  <si>
    <t>声卡: 瑞昱  @ 英特尔 High Definition Audio 控制器</t>
    <phoneticPr fontId="1" type="noConversion"/>
  </si>
  <si>
    <t>网卡: 瑞昱 RTL8168/8111/8112 Gigabit Ethernet Controller / 戴尔</t>
    <phoneticPr fontId="1" type="noConversion"/>
  </si>
  <si>
    <t>9.29</t>
    <phoneticPr fontId="1" type="noConversion"/>
  </si>
  <si>
    <t>富林KY</t>
    <phoneticPr fontId="1" type="noConversion"/>
  </si>
  <si>
    <t>6.76</t>
    <phoneticPr fontId="1" type="noConversion"/>
  </si>
  <si>
    <t>錸寶</t>
    <phoneticPr fontId="1" type="noConversion"/>
  </si>
  <si>
    <t>PMOLED錸德轉投資</t>
    <phoneticPr fontId="1" type="noConversion"/>
  </si>
  <si>
    <t>融資租賃和泰旗下</t>
    <phoneticPr fontId="1" type="noConversion"/>
  </si>
  <si>
    <t>95.7</t>
    <phoneticPr fontId="1" type="noConversion"/>
  </si>
  <si>
    <t>6.78</t>
    <phoneticPr fontId="1" type="noConversion"/>
  </si>
  <si>
    <t>旭暉應材</t>
    <phoneticPr fontId="1" type="noConversion"/>
  </si>
  <si>
    <t>8.11</t>
    <phoneticPr fontId="1" type="noConversion"/>
  </si>
  <si>
    <t>建新國際</t>
    <phoneticPr fontId="1" type="noConversion"/>
  </si>
  <si>
    <t>貨櫃場</t>
    <phoneticPr fontId="1" type="noConversion"/>
  </si>
  <si>
    <t>19.9</t>
    <phoneticPr fontId="1" type="noConversion"/>
  </si>
  <si>
    <t>7.47</t>
    <phoneticPr fontId="1" type="noConversion"/>
  </si>
  <si>
    <t>3.56</t>
    <phoneticPr fontId="1" type="noConversion"/>
  </si>
  <si>
    <t>捷流閥業</t>
    <phoneticPr fontId="1" type="noConversion"/>
  </si>
  <si>
    <t>閥門龍頭</t>
    <phoneticPr fontId="1" type="noConversion"/>
  </si>
  <si>
    <t>冠星KY</t>
    <phoneticPr fontId="1" type="noConversion"/>
  </si>
  <si>
    <t>6.93</t>
    <phoneticPr fontId="1" type="noConversion"/>
  </si>
  <si>
    <t>13.25</t>
    <phoneticPr fontId="1" type="noConversion"/>
  </si>
  <si>
    <t>Micro LED霸主是未上市的錼創。應該是明後年台股的獨角獸，錸寶持股10%</t>
    <phoneticPr fontId="1" type="noConversion"/>
  </si>
  <si>
    <t>雃博</t>
    <phoneticPr fontId="1" type="noConversion"/>
  </si>
  <si>
    <t>16.6</t>
    <phoneticPr fontId="1" type="noConversion"/>
  </si>
  <si>
    <t>30.7</t>
    <phoneticPr fontId="1" type="noConversion"/>
  </si>
  <si>
    <t>6.75</t>
    <phoneticPr fontId="1" type="noConversion"/>
  </si>
  <si>
    <t>2.43</t>
    <phoneticPr fontId="1" type="noConversion"/>
  </si>
  <si>
    <t>明達醫</t>
    <phoneticPr fontId="1" type="noConversion"/>
  </si>
  <si>
    <t>34.2</t>
    <phoneticPr fontId="1" type="noConversion"/>
  </si>
  <si>
    <t>11.5</t>
    <phoneticPr fontId="1" type="noConversion"/>
  </si>
  <si>
    <t>健身器材出口</t>
    <phoneticPr fontId="1" type="noConversion"/>
  </si>
  <si>
    <t>2020全年</t>
    <phoneticPr fontId="1" type="noConversion"/>
  </si>
  <si>
    <t>2020年1月</t>
    <phoneticPr fontId="1" type="noConversion"/>
  </si>
  <si>
    <t>撼訊</t>
    <phoneticPr fontId="1" type="noConversion"/>
  </si>
  <si>
    <t>8.12</t>
    <phoneticPr fontId="1" type="noConversion"/>
  </si>
  <si>
    <t>10.1</t>
    <phoneticPr fontId="1" type="noConversion"/>
  </si>
  <si>
    <t>7.69</t>
    <phoneticPr fontId="1" type="noConversion"/>
  </si>
  <si>
    <t>1月20年</t>
    <phoneticPr fontId="1" type="noConversion"/>
  </si>
  <si>
    <t>-2.9</t>
    <phoneticPr fontId="1" type="noConversion"/>
  </si>
  <si>
    <t>11.7</t>
    <phoneticPr fontId="1" type="noConversion"/>
  </si>
  <si>
    <t>27.8</t>
    <phoneticPr fontId="1" type="noConversion"/>
  </si>
  <si>
    <t>88.5</t>
    <phoneticPr fontId="1" type="noConversion"/>
  </si>
  <si>
    <t>162</t>
    <phoneticPr fontId="1" type="noConversion"/>
  </si>
  <si>
    <t>8.94</t>
    <phoneticPr fontId="1" type="noConversion"/>
  </si>
  <si>
    <t>50.9</t>
    <phoneticPr fontId="1" type="noConversion"/>
  </si>
  <si>
    <t>55.6</t>
    <phoneticPr fontId="1" type="noConversion"/>
  </si>
  <si>
    <t>17.6</t>
    <phoneticPr fontId="1" type="noConversion"/>
  </si>
  <si>
    <t>台生材</t>
    <phoneticPr fontId="1" type="noConversion"/>
  </si>
  <si>
    <t>人工腦膜</t>
    <phoneticPr fontId="1" type="noConversion"/>
  </si>
  <si>
    <t>2.56</t>
    <phoneticPr fontId="1" type="noConversion"/>
  </si>
  <si>
    <t>樂斯科</t>
    <phoneticPr fontId="1" type="noConversion"/>
  </si>
  <si>
    <t>16.4</t>
    <phoneticPr fontId="1" type="noConversion"/>
  </si>
  <si>
    <t>58.5</t>
    <phoneticPr fontId="1" type="noConversion"/>
  </si>
  <si>
    <t>41.7</t>
    <phoneticPr fontId="1" type="noConversion"/>
  </si>
  <si>
    <t>15.1</t>
    <phoneticPr fontId="1" type="noConversion"/>
  </si>
  <si>
    <t>27.9</t>
    <phoneticPr fontId="1" type="noConversion"/>
  </si>
  <si>
    <t>54.7</t>
    <phoneticPr fontId="1" type="noConversion"/>
  </si>
  <si>
    <t>被動元件代理商</t>
    <phoneticPr fontId="1" type="noConversion"/>
  </si>
  <si>
    <t>台康生技</t>
    <phoneticPr fontId="1" type="noConversion"/>
  </si>
  <si>
    <t>藥品委託開發生產</t>
    <phoneticPr fontId="1" type="noConversion"/>
  </si>
  <si>
    <t>8.61</t>
    <phoneticPr fontId="1" type="noConversion"/>
  </si>
  <si>
    <t>33.3</t>
    <phoneticPr fontId="1" type="noConversion"/>
  </si>
  <si>
    <t>381</t>
    <phoneticPr fontId="1" type="noConversion"/>
  </si>
  <si>
    <t>勤崴國際</t>
    <phoneticPr fontId="1" type="noConversion"/>
  </si>
  <si>
    <t>圖資中華電旗下</t>
    <phoneticPr fontId="1" type="noConversion"/>
  </si>
  <si>
    <t>9.86</t>
    <phoneticPr fontId="1" type="noConversion"/>
  </si>
  <si>
    <t>47.9</t>
    <phoneticPr fontId="1" type="noConversion"/>
  </si>
  <si>
    <t>15.6</t>
    <phoneticPr fontId="1" type="noConversion"/>
  </si>
  <si>
    <t>4.16</t>
    <phoneticPr fontId="1" type="noConversion"/>
  </si>
  <si>
    <t>13.6</t>
    <phoneticPr fontId="1" type="noConversion"/>
  </si>
  <si>
    <t>晶圓代工</t>
    <phoneticPr fontId="1" type="noConversion"/>
  </si>
  <si>
    <t>線材螺絲</t>
    <phoneticPr fontId="1" type="noConversion"/>
  </si>
  <si>
    <t>線材盤元</t>
    <phoneticPr fontId="1" type="noConversion"/>
  </si>
  <si>
    <t>4736</t>
    <phoneticPr fontId="1" type="noConversion"/>
  </si>
  <si>
    <t>6.1</t>
    <phoneticPr fontId="1" type="noConversion"/>
  </si>
  <si>
    <t>64.1</t>
    <phoneticPr fontId="1" type="noConversion"/>
  </si>
  <si>
    <t>69.55</t>
    <phoneticPr fontId="1" type="noConversion"/>
  </si>
  <si>
    <t>-0.25</t>
    <phoneticPr fontId="1" type="noConversion"/>
  </si>
  <si>
    <t>14.14</t>
    <phoneticPr fontId="1" type="noConversion"/>
  </si>
  <si>
    <t>26.42</t>
    <phoneticPr fontId="1" type="noConversion"/>
  </si>
  <si>
    <t>18.89</t>
    <phoneticPr fontId="1" type="noConversion"/>
  </si>
  <si>
    <t>2.06</t>
    <phoneticPr fontId="1" type="noConversion"/>
  </si>
  <si>
    <t>33.75</t>
    <phoneticPr fontId="1" type="noConversion"/>
  </si>
  <si>
    <t>7.05</t>
    <phoneticPr fontId="1" type="noConversion"/>
  </si>
  <si>
    <t>14.9</t>
    <phoneticPr fontId="1" type="noConversion"/>
  </si>
  <si>
    <t>山富</t>
    <phoneticPr fontId="1" type="noConversion"/>
  </si>
  <si>
    <t>映興</t>
    <phoneticPr fontId="1" type="noConversion"/>
  </si>
  <si>
    <t>光隆精密</t>
    <phoneticPr fontId="1" type="noConversion"/>
  </si>
  <si>
    <t>大銀微系統</t>
    <phoneticPr fontId="1" type="noConversion"/>
  </si>
  <si>
    <t>30年歷任股王</t>
    <phoneticPr fontId="1" type="noConversion"/>
  </si>
  <si>
    <t>70年代</t>
    <phoneticPr fontId="1" type="noConversion"/>
  </si>
  <si>
    <t>2882</t>
    <phoneticPr fontId="1" type="noConversion"/>
  </si>
  <si>
    <t>國壽</t>
    <phoneticPr fontId="1" type="noConversion"/>
  </si>
  <si>
    <t>2702</t>
    <phoneticPr fontId="1" type="noConversion"/>
  </si>
  <si>
    <t>華園</t>
    <phoneticPr fontId="1" type="noConversion"/>
  </si>
  <si>
    <t>欣欣</t>
    <phoneticPr fontId="1" type="noConversion"/>
  </si>
  <si>
    <t>2901</t>
    <phoneticPr fontId="1" type="noConversion"/>
  </si>
  <si>
    <t>80年代</t>
    <phoneticPr fontId="1" type="noConversion"/>
  </si>
  <si>
    <t>2330</t>
    <phoneticPr fontId="1" type="noConversion"/>
  </si>
  <si>
    <t>2303</t>
    <phoneticPr fontId="1" type="noConversion"/>
  </si>
  <si>
    <t>2357</t>
    <phoneticPr fontId="1" type="noConversion"/>
  </si>
  <si>
    <t>3035</t>
    <phoneticPr fontId="1" type="noConversion"/>
  </si>
  <si>
    <t>2313</t>
    <phoneticPr fontId="1" type="noConversion"/>
  </si>
  <si>
    <t>台積電</t>
    <phoneticPr fontId="1" type="noConversion"/>
  </si>
  <si>
    <t>華碩</t>
    <phoneticPr fontId="1" type="noConversion"/>
  </si>
  <si>
    <t>智原</t>
    <phoneticPr fontId="1" type="noConversion"/>
  </si>
  <si>
    <t>華通</t>
    <phoneticPr fontId="1" type="noConversion"/>
  </si>
  <si>
    <t>2382</t>
    <phoneticPr fontId="1" type="noConversion"/>
  </si>
  <si>
    <t>聯電</t>
    <phoneticPr fontId="1" type="noConversion"/>
  </si>
  <si>
    <t>2388</t>
    <phoneticPr fontId="1" type="noConversion"/>
  </si>
  <si>
    <t>3026</t>
    <phoneticPr fontId="1" type="noConversion"/>
  </si>
  <si>
    <t>廣達</t>
    <phoneticPr fontId="1" type="noConversion"/>
  </si>
  <si>
    <t>威盛</t>
    <phoneticPr fontId="1" type="noConversion"/>
  </si>
  <si>
    <t>禾伸堂</t>
    <phoneticPr fontId="1" type="noConversion"/>
  </si>
  <si>
    <t>90年代</t>
    <phoneticPr fontId="1" type="noConversion"/>
  </si>
  <si>
    <t>2454</t>
    <phoneticPr fontId="1" type="noConversion"/>
  </si>
  <si>
    <t>3008</t>
    <phoneticPr fontId="1" type="noConversion"/>
  </si>
  <si>
    <t>2498</t>
    <phoneticPr fontId="1" type="noConversion"/>
  </si>
  <si>
    <t>6244</t>
    <phoneticPr fontId="1" type="noConversion"/>
  </si>
  <si>
    <t>3452</t>
    <phoneticPr fontId="1" type="noConversion"/>
  </si>
  <si>
    <t>2707</t>
    <phoneticPr fontId="1" type="noConversion"/>
  </si>
  <si>
    <t>8076</t>
    <phoneticPr fontId="1" type="noConversion"/>
  </si>
  <si>
    <t>聯發科</t>
    <phoneticPr fontId="1" type="noConversion"/>
  </si>
  <si>
    <t>大立光</t>
    <phoneticPr fontId="1" type="noConversion"/>
  </si>
  <si>
    <t>宏達電</t>
    <phoneticPr fontId="1" type="noConversion"/>
  </si>
  <si>
    <t>茂迪</t>
    <phoneticPr fontId="1" type="noConversion"/>
  </si>
  <si>
    <t>益通</t>
    <phoneticPr fontId="1" type="noConversion"/>
  </si>
  <si>
    <t>晶華</t>
    <phoneticPr fontId="1" type="noConversion"/>
  </si>
  <si>
    <t>伍豐</t>
    <phoneticPr fontId="1" type="noConversion"/>
  </si>
  <si>
    <t>100年代</t>
    <phoneticPr fontId="1" type="noConversion"/>
  </si>
  <si>
    <t>15.4</t>
    <phoneticPr fontId="1" type="noConversion"/>
  </si>
  <si>
    <t>32.8</t>
    <phoneticPr fontId="1" type="noConversion"/>
  </si>
  <si>
    <t>23.5</t>
    <phoneticPr fontId="1" type="noConversion"/>
  </si>
  <si>
    <t>斌</t>
    <phoneticPr fontId="1" type="noConversion"/>
  </si>
  <si>
    <t>3.91</t>
    <phoneticPr fontId="1" type="noConversion"/>
  </si>
  <si>
    <t>5.93</t>
    <phoneticPr fontId="1" type="noConversion"/>
  </si>
  <si>
    <t>29.43</t>
    <phoneticPr fontId="1" type="noConversion"/>
  </si>
  <si>
    <t>車鑄件零組件</t>
    <phoneticPr fontId="1" type="noConversion"/>
  </si>
  <si>
    <t>汽車</t>
    <phoneticPr fontId="1" type="noConversion"/>
  </si>
  <si>
    <t>00648</t>
    <phoneticPr fontId="1" type="noConversion"/>
  </si>
  <si>
    <t>00632</t>
    <phoneticPr fontId="1" type="noConversion"/>
  </si>
  <si>
    <t>“急漲急跌，非底部”，底部的形成只有以下4種情況，沒有例外：</t>
    <phoneticPr fontId="1" type="noConversion"/>
  </si>
  <si>
    <t>1.曲終人散，量能急凍：這是最常見的一種，幾乎沒有人在關心股市。</t>
    <phoneticPr fontId="1" type="noConversion"/>
  </si>
  <si>
    <t>4.底部晨星，多空扭轉：第一種情況延續一段時間後，底部出現晨星破曉的技術K棒，也是明顯的“底部訊號”。</t>
    <phoneticPr fontId="1" type="noConversion"/>
  </si>
  <si>
    <t>-38.18</t>
    <phoneticPr fontId="1" type="noConversion"/>
  </si>
  <si>
    <t>54</t>
    <phoneticPr fontId="1" type="noConversion"/>
  </si>
  <si>
    <t>221</t>
    <phoneticPr fontId="1" type="noConversion"/>
  </si>
  <si>
    <t>3.51</t>
    <phoneticPr fontId="1" type="noConversion"/>
  </si>
  <si>
    <t>-29.95</t>
    <phoneticPr fontId="1" type="noConversion"/>
  </si>
  <si>
    <t>20.6</t>
    <phoneticPr fontId="1" type="noConversion"/>
  </si>
  <si>
    <t>-0.64</t>
    <phoneticPr fontId="1" type="noConversion"/>
  </si>
  <si>
    <t>14.2</t>
    <phoneticPr fontId="1" type="noConversion"/>
  </si>
  <si>
    <t>-29.11</t>
    <phoneticPr fontId="1" type="noConversion"/>
  </si>
  <si>
    <t>13.9</t>
    <phoneticPr fontId="1" type="noConversion"/>
  </si>
  <si>
    <t>159</t>
    <phoneticPr fontId="1" type="noConversion"/>
  </si>
  <si>
    <t>22.1</t>
    <phoneticPr fontId="1" type="noConversion"/>
  </si>
  <si>
    <t>-6.0</t>
    <phoneticPr fontId="1" type="noConversion"/>
  </si>
  <si>
    <t>織布佳和旗下</t>
    <phoneticPr fontId="1" type="noConversion"/>
  </si>
  <si>
    <t>4.06</t>
    <phoneticPr fontId="1" type="noConversion"/>
  </si>
  <si>
    <t>65.2</t>
    <phoneticPr fontId="1" type="noConversion"/>
  </si>
  <si>
    <t>6.87</t>
    <phoneticPr fontId="1" type="noConversion"/>
  </si>
  <si>
    <t>LED設備鼎元旗下同業致茂</t>
    <phoneticPr fontId="1" type="noConversion"/>
  </si>
  <si>
    <t>44.3</t>
    <phoneticPr fontId="1" type="noConversion"/>
  </si>
  <si>
    <t>9.36</t>
    <phoneticPr fontId="1" type="noConversion"/>
  </si>
  <si>
    <t>65.3</t>
    <phoneticPr fontId="1" type="noConversion"/>
  </si>
  <si>
    <t>應廣</t>
    <phoneticPr fontId="1" type="noConversion"/>
  </si>
  <si>
    <t>散熱風扇微控制器台大</t>
    <phoneticPr fontId="1" type="noConversion"/>
  </si>
  <si>
    <t>25</t>
    <phoneticPr fontId="1" type="noConversion"/>
  </si>
  <si>
    <t>維他命D全前3</t>
    <phoneticPr fontId="1" type="noConversion"/>
  </si>
  <si>
    <t>加工機</t>
    <phoneticPr fontId="1" type="noConversion"/>
  </si>
  <si>
    <t>21</t>
    <phoneticPr fontId="1" type="noConversion"/>
  </si>
  <si>
    <t>14.88</t>
    <phoneticPr fontId="1" type="noConversion"/>
  </si>
  <si>
    <t>118</t>
    <phoneticPr fontId="1" type="noConversion"/>
  </si>
  <si>
    <t>49.2</t>
    <phoneticPr fontId="1" type="noConversion"/>
  </si>
  <si>
    <t>46.6</t>
    <phoneticPr fontId="1" type="noConversion"/>
  </si>
  <si>
    <t>9.68</t>
    <phoneticPr fontId="1" type="noConversion"/>
  </si>
  <si>
    <t>2.08</t>
    <phoneticPr fontId="1" type="noConversion"/>
  </si>
  <si>
    <t>55.7</t>
    <phoneticPr fontId="1" type="noConversion"/>
  </si>
  <si>
    <t>3月20年</t>
    <phoneticPr fontId="1" type="noConversion"/>
  </si>
  <si>
    <t>-0.15</t>
    <phoneticPr fontId="1" type="noConversion"/>
  </si>
  <si>
    <t>22.8</t>
    <phoneticPr fontId="1" type="noConversion"/>
  </si>
  <si>
    <t>7.81</t>
    <phoneticPr fontId="1" type="noConversion"/>
  </si>
  <si>
    <t>294</t>
    <phoneticPr fontId="1" type="noConversion"/>
  </si>
  <si>
    <t>3.92</t>
    <phoneticPr fontId="1" type="noConversion"/>
  </si>
  <si>
    <t>6.26</t>
    <phoneticPr fontId="1" type="noConversion"/>
  </si>
  <si>
    <t>光電</t>
    <phoneticPr fontId="1" type="noConversion"/>
  </si>
  <si>
    <t>面板沖壓件</t>
    <phoneticPr fontId="1" type="noConversion"/>
  </si>
  <si>
    <t>州巧</t>
    <phoneticPr fontId="1" type="noConversion"/>
  </si>
  <si>
    <t>18.4</t>
    <phoneticPr fontId="1" type="noConversion"/>
  </si>
  <si>
    <t>22.7</t>
    <phoneticPr fontId="1" type="noConversion"/>
  </si>
  <si>
    <t>29.8</t>
    <phoneticPr fontId="1" type="noConversion"/>
  </si>
  <si>
    <t>電子秤</t>
    <phoneticPr fontId="1" type="noConversion"/>
  </si>
  <si>
    <t>A128461593</t>
    <phoneticPr fontId="1" type="noConversion"/>
  </si>
  <si>
    <t>電子零組件代理</t>
    <phoneticPr fontId="1" type="noConversion"/>
  </si>
  <si>
    <t>9.01</t>
    <phoneticPr fontId="1" type="noConversion"/>
  </si>
  <si>
    <t>18</t>
    <phoneticPr fontId="1" type="noConversion"/>
  </si>
  <si>
    <t>7.76</t>
    <phoneticPr fontId="1" type="noConversion"/>
  </si>
  <si>
    <t>8.67</t>
    <phoneticPr fontId="1" type="noConversion"/>
  </si>
  <si>
    <t>16.3</t>
    <phoneticPr fontId="1" type="noConversion"/>
  </si>
  <si>
    <t>活塞汽車鍛件</t>
    <phoneticPr fontId="1" type="noConversion"/>
  </si>
  <si>
    <t>59.1</t>
    <phoneticPr fontId="1" type="noConversion"/>
  </si>
  <si>
    <t>94.1</t>
    <phoneticPr fontId="1" type="noConversion"/>
  </si>
  <si>
    <t>6.95</t>
    <phoneticPr fontId="1" type="noConversion"/>
  </si>
  <si>
    <t>55.3</t>
    <phoneticPr fontId="1" type="noConversion"/>
  </si>
  <si>
    <t>股3消</t>
    <phoneticPr fontId="1" type="noConversion"/>
  </si>
  <si>
    <t>8.53</t>
    <phoneticPr fontId="1" type="noConversion"/>
  </si>
  <si>
    <t>7.46</t>
    <phoneticPr fontId="1" type="noConversion"/>
  </si>
  <si>
    <t>光隆精密KY</t>
    <phoneticPr fontId="1" type="noConversion"/>
  </si>
  <si>
    <t>醫藥流通敏盛醫旗下</t>
    <phoneticPr fontId="1" type="noConversion"/>
  </si>
  <si>
    <t>134</t>
    <phoneticPr fontId="1" type="noConversion"/>
  </si>
  <si>
    <t>36.2</t>
    <phoneticPr fontId="1" type="noConversion"/>
  </si>
  <si>
    <t>195</t>
    <phoneticPr fontId="1" type="noConversion"/>
  </si>
  <si>
    <t>31.6</t>
    <phoneticPr fontId="1" type="noConversion"/>
  </si>
  <si>
    <t>30.1</t>
    <phoneticPr fontId="1" type="noConversion"/>
  </si>
  <si>
    <t>1497</t>
    <phoneticPr fontId="1" type="noConversion"/>
  </si>
  <si>
    <t>1302</t>
    <phoneticPr fontId="1" type="noConversion"/>
  </si>
  <si>
    <t>1127</t>
    <phoneticPr fontId="1" type="noConversion"/>
  </si>
  <si>
    <t>217</t>
    <phoneticPr fontId="1" type="noConversion"/>
  </si>
  <si>
    <t>30.5</t>
    <phoneticPr fontId="1" type="noConversion"/>
  </si>
  <si>
    <t>-2.11</t>
    <phoneticPr fontId="1" type="noConversion"/>
  </si>
  <si>
    <t>-18</t>
    <phoneticPr fontId="1" type="noConversion"/>
  </si>
  <si>
    <t>23.7</t>
    <phoneticPr fontId="1" type="noConversion"/>
  </si>
  <si>
    <t>30.6</t>
    <phoneticPr fontId="1" type="noConversion"/>
  </si>
  <si>
    <t>20.4</t>
    <phoneticPr fontId="1" type="noConversion"/>
  </si>
  <si>
    <t>製程設備真空元件供應商台大</t>
    <phoneticPr fontId="1" type="noConversion"/>
  </si>
  <si>
    <t>藥品經銷物流佳醫旗下</t>
    <phoneticPr fontId="1" type="noConversion"/>
  </si>
  <si>
    <t>三竹</t>
    <phoneticPr fontId="1" type="noConversion"/>
  </si>
  <si>
    <t>金融服務軟體</t>
    <phoneticPr fontId="1" type="noConversion"/>
  </si>
  <si>
    <t>基亞旗下腸病毒流感疫苗</t>
    <phoneticPr fontId="1" type="noConversion"/>
  </si>
  <si>
    <t>永固KY</t>
    <phoneticPr fontId="1" type="noConversion"/>
  </si>
  <si>
    <t>26.8</t>
    <phoneticPr fontId="1" type="noConversion"/>
  </si>
  <si>
    <t>19.8</t>
    <phoneticPr fontId="1" type="noConversion"/>
  </si>
  <si>
    <t>235</t>
    <phoneticPr fontId="1" type="noConversion"/>
  </si>
  <si>
    <t>6.61</t>
    <phoneticPr fontId="1" type="noConversion"/>
  </si>
  <si>
    <t>5.87</t>
    <phoneticPr fontId="1" type="noConversion"/>
  </si>
  <si>
    <t>7.02</t>
    <phoneticPr fontId="1" type="noConversion"/>
  </si>
  <si>
    <t>連接器</t>
    <phoneticPr fontId="1" type="noConversion"/>
  </si>
  <si>
    <t>4.69</t>
    <phoneticPr fontId="1" type="noConversion"/>
  </si>
  <si>
    <t>安碁資訊</t>
    <phoneticPr fontId="1" type="noConversion"/>
  </si>
  <si>
    <t>安全管理宏碁旗下</t>
    <phoneticPr fontId="1" type="noConversion"/>
  </si>
  <si>
    <t>PCB全前3華新旗下</t>
    <phoneticPr fontId="1" type="noConversion"/>
  </si>
  <si>
    <t>30.33</t>
    <phoneticPr fontId="1" type="noConversion"/>
  </si>
  <si>
    <t>6.92</t>
    <phoneticPr fontId="1" type="noConversion"/>
  </si>
  <si>
    <t>25.5</t>
    <phoneticPr fontId="1" type="noConversion"/>
  </si>
  <si>
    <t>53.28</t>
    <phoneticPr fontId="1" type="noConversion"/>
  </si>
  <si>
    <t>57.56</t>
    <phoneticPr fontId="1" type="noConversion"/>
  </si>
  <si>
    <t>3.46</t>
    <phoneticPr fontId="1" type="noConversion"/>
  </si>
  <si>
    <t>398</t>
    <phoneticPr fontId="1" type="noConversion"/>
  </si>
  <si>
    <t>66.9</t>
    <phoneticPr fontId="1" type="noConversion"/>
  </si>
  <si>
    <t>7.67</t>
    <phoneticPr fontId="1" type="noConversion"/>
  </si>
  <si>
    <t>預拌混凝土重慶</t>
    <phoneticPr fontId="1" type="noConversion"/>
  </si>
  <si>
    <t>5月20年</t>
    <phoneticPr fontId="1" type="noConversion"/>
  </si>
  <si>
    <t>4.42</t>
    <phoneticPr fontId="1" type="noConversion"/>
  </si>
  <si>
    <t>4.89</t>
    <phoneticPr fontId="1" type="noConversion"/>
  </si>
  <si>
    <t>-13.04</t>
    <phoneticPr fontId="1" type="noConversion"/>
  </si>
  <si>
    <t>-13.04</t>
    <phoneticPr fontId="1" type="noConversion"/>
  </si>
  <si>
    <t>昇佳電子</t>
    <phoneticPr fontId="1" type="noConversion"/>
  </si>
  <si>
    <t>4.63</t>
    <phoneticPr fontId="1" type="noConversion"/>
  </si>
  <si>
    <t>3.89</t>
    <phoneticPr fontId="1" type="noConversion"/>
  </si>
  <si>
    <t>ABC-KY</t>
    <phoneticPr fontId="1" type="noConversion"/>
  </si>
  <si>
    <t>醫療檢測宏碁旗下</t>
    <phoneticPr fontId="1" type="noConversion"/>
  </si>
  <si>
    <t>52.8</t>
    <phoneticPr fontId="1" type="noConversion"/>
  </si>
  <si>
    <t>台驊投控</t>
    <phoneticPr fontId="1" type="noConversion"/>
  </si>
  <si>
    <t>42.1</t>
    <phoneticPr fontId="1" type="noConversion"/>
  </si>
  <si>
    <t>嘉基</t>
    <phoneticPr fontId="1" type="noConversion"/>
  </si>
  <si>
    <t>連接線嘉澤轉投資</t>
    <phoneticPr fontId="1" type="noConversion"/>
  </si>
  <si>
    <t>IC記憶體</t>
    <phoneticPr fontId="1" type="noConversion"/>
  </si>
  <si>
    <t>IC消費性</t>
    <phoneticPr fontId="1" type="noConversion"/>
  </si>
  <si>
    <t>4.14</t>
    <phoneticPr fontId="1" type="noConversion"/>
  </si>
  <si>
    <t>感測器IC矽創旗下</t>
    <phoneticPr fontId="1" type="noConversion"/>
  </si>
  <si>
    <t>59.64</t>
    <phoneticPr fontId="1" type="noConversion"/>
  </si>
  <si>
    <t>140.6</t>
    <phoneticPr fontId="1" type="noConversion"/>
  </si>
  <si>
    <t>31.1</t>
    <phoneticPr fontId="1" type="noConversion"/>
  </si>
  <si>
    <t>3.33</t>
    <phoneticPr fontId="1" type="noConversion"/>
  </si>
  <si>
    <t>89</t>
    <phoneticPr fontId="1" type="noConversion"/>
  </si>
  <si>
    <t>28.5</t>
    <phoneticPr fontId="1" type="noConversion"/>
  </si>
  <si>
    <t>太陽能矽晶圓台第3轉投資碩禾</t>
    <phoneticPr fontId="1" type="noConversion"/>
  </si>
  <si>
    <t>工業電腦華碩旗下</t>
    <phoneticPr fontId="1" type="noConversion"/>
  </si>
  <si>
    <t>東典</t>
    <phoneticPr fontId="1" type="noConversion"/>
  </si>
  <si>
    <t>東典光電</t>
    <phoneticPr fontId="1" type="noConversion"/>
  </si>
  <si>
    <t>光通訊濾光片東鹹旗下</t>
    <phoneticPr fontId="1" type="noConversion"/>
  </si>
  <si>
    <t>9.69</t>
    <phoneticPr fontId="1" type="noConversion"/>
  </si>
  <si>
    <t>8.4</t>
    <phoneticPr fontId="1" type="noConversion"/>
  </si>
  <si>
    <t>122.1</t>
    <phoneticPr fontId="1" type="noConversion"/>
  </si>
  <si>
    <t>32.5</t>
    <phoneticPr fontId="1" type="noConversion"/>
  </si>
  <si>
    <t>50.4</t>
    <phoneticPr fontId="1" type="noConversion"/>
  </si>
  <si>
    <t>6.54</t>
    <phoneticPr fontId="1" type="noConversion"/>
  </si>
  <si>
    <t>攝影機圓剛轉投資</t>
    <phoneticPr fontId="1" type="noConversion"/>
  </si>
  <si>
    <t>15.63</t>
    <phoneticPr fontId="1" type="noConversion"/>
  </si>
  <si>
    <t>感測鏡頭</t>
    <phoneticPr fontId="1" type="noConversion"/>
  </si>
  <si>
    <t>6.66</t>
    <phoneticPr fontId="1" type="noConversion"/>
  </si>
  <si>
    <t>18.7</t>
    <phoneticPr fontId="1" type="noConversion"/>
  </si>
  <si>
    <t>3.41</t>
    <phoneticPr fontId="1" type="noConversion"/>
  </si>
  <si>
    <t>航空器修護</t>
    <phoneticPr fontId="1" type="noConversion"/>
  </si>
  <si>
    <t>4.59</t>
    <phoneticPr fontId="1" type="noConversion"/>
  </si>
  <si>
    <t>9.49</t>
    <phoneticPr fontId="1" type="noConversion"/>
  </si>
  <si>
    <t>4.06</t>
    <phoneticPr fontId="1" type="noConversion"/>
  </si>
  <si>
    <t>185</t>
    <phoneticPr fontId="1" type="noConversion"/>
  </si>
  <si>
    <t>9.66</t>
    <phoneticPr fontId="1" type="noConversion"/>
  </si>
  <si>
    <t>氣壓零組件</t>
    <phoneticPr fontId="1" type="noConversion"/>
  </si>
  <si>
    <t>76.1</t>
    <phoneticPr fontId="1" type="noConversion"/>
  </si>
  <si>
    <t>11.4</t>
    <phoneticPr fontId="1" type="noConversion"/>
  </si>
  <si>
    <t>8.07</t>
    <phoneticPr fontId="1" type="noConversion"/>
  </si>
  <si>
    <t>146</t>
    <phoneticPr fontId="1" type="noConversion"/>
  </si>
  <si>
    <t>電子代工金仁寶旗下</t>
    <phoneticPr fontId="1" type="noConversion"/>
  </si>
  <si>
    <t>28.2</t>
    <phoneticPr fontId="1" type="noConversion"/>
  </si>
  <si>
    <t>學名藥</t>
    <phoneticPr fontId="1" type="noConversion"/>
  </si>
  <si>
    <t>4.51</t>
    <phoneticPr fontId="1" type="noConversion"/>
  </si>
  <si>
    <t>12.0</t>
    <phoneticPr fontId="1" type="noConversion"/>
  </si>
  <si>
    <t>78.1</t>
    <phoneticPr fontId="1" type="noConversion"/>
  </si>
  <si>
    <t>10.34</t>
    <phoneticPr fontId="1" type="noConversion"/>
  </si>
  <si>
    <t>泰式料理</t>
    <phoneticPr fontId="1" type="noConversion"/>
  </si>
  <si>
    <t>電感國巨旗下</t>
    <phoneticPr fontId="1" type="noConversion"/>
  </si>
  <si>
    <t>56.8</t>
    <phoneticPr fontId="1" type="noConversion"/>
  </si>
  <si>
    <t>功能鞋</t>
    <phoneticPr fontId="1" type="noConversion"/>
  </si>
  <si>
    <t>7.27</t>
    <phoneticPr fontId="1" type="noConversion"/>
  </si>
  <si>
    <t>19.1</t>
    <phoneticPr fontId="1" type="noConversion"/>
  </si>
  <si>
    <t>類比電源管理IC</t>
    <phoneticPr fontId="1" type="noConversion"/>
  </si>
  <si>
    <t>NB樞紐全大</t>
    <phoneticPr fontId="1" type="noConversion"/>
  </si>
  <si>
    <t>58.9</t>
    <phoneticPr fontId="1" type="noConversion"/>
  </si>
  <si>
    <t>6104</t>
    <phoneticPr fontId="1" type="noConversion"/>
  </si>
  <si>
    <t>太陽能電池</t>
    <phoneticPr fontId="1" type="noConversion"/>
  </si>
  <si>
    <t>汽電共生</t>
    <phoneticPr fontId="1" type="noConversion"/>
  </si>
  <si>
    <t>光罩載具</t>
    <phoneticPr fontId="1" type="noConversion"/>
  </si>
  <si>
    <t>4.23</t>
    <phoneticPr fontId="1" type="noConversion"/>
  </si>
  <si>
    <t>預拌混凝土</t>
    <phoneticPr fontId="1" type="noConversion"/>
  </si>
  <si>
    <t>軟體緯創旗下</t>
    <phoneticPr fontId="1" type="noConversion"/>
  </si>
  <si>
    <t>達興材料</t>
    <phoneticPr fontId="1" type="noConversion"/>
  </si>
  <si>
    <t>光收發模組</t>
    <phoneticPr fontId="1" type="noConversion"/>
  </si>
  <si>
    <t>1283</t>
    <phoneticPr fontId="1" type="noConversion"/>
  </si>
  <si>
    <t>3014</t>
    <phoneticPr fontId="1" type="noConversion"/>
  </si>
  <si>
    <t>匯僑設計</t>
    <phoneticPr fontId="1" type="noConversion"/>
  </si>
  <si>
    <t>其他</t>
    <phoneticPr fontId="1" type="noConversion"/>
  </si>
  <si>
    <t>室內設計</t>
    <phoneticPr fontId="1" type="noConversion"/>
  </si>
  <si>
    <t>9.01</t>
    <phoneticPr fontId="1" type="noConversion"/>
  </si>
  <si>
    <t>建商台鐵高鐵捷運沿線</t>
    <phoneticPr fontId="1" type="noConversion"/>
  </si>
  <si>
    <t>196</t>
    <phoneticPr fontId="1" type="noConversion"/>
  </si>
  <si>
    <t>324</t>
    <phoneticPr fontId="1" type="noConversion"/>
  </si>
  <si>
    <t>34.4</t>
    <phoneticPr fontId="1" type="noConversion"/>
  </si>
  <si>
    <t>19.2</t>
    <phoneticPr fontId="1" type="noConversion"/>
  </si>
  <si>
    <t>艾姆勒</t>
    <phoneticPr fontId="1" type="noConversion"/>
  </si>
  <si>
    <t>Samsung代理</t>
    <phoneticPr fontId="1" type="noConversion"/>
  </si>
  <si>
    <t>83.3</t>
    <phoneticPr fontId="1" type="noConversion"/>
  </si>
  <si>
    <t>運動器材零件</t>
    <phoneticPr fontId="1" type="noConversion"/>
  </si>
  <si>
    <t>120</t>
    <phoneticPr fontId="1" type="noConversion"/>
  </si>
  <si>
    <t>82.7</t>
    <phoneticPr fontId="1" type="noConversion"/>
  </si>
  <si>
    <t>台灣鋼鐵集團旗下有6家上市櫃公司，春雨、久陽、沛波、官田鋼、慶欣欣、易昇</t>
    <phoneticPr fontId="1" type="noConversion"/>
  </si>
  <si>
    <t>金屬2次加工</t>
    <phoneticPr fontId="1" type="noConversion"/>
  </si>
  <si>
    <t>19.6</t>
    <phoneticPr fontId="1" type="noConversion"/>
  </si>
  <si>
    <t>161</t>
    <phoneticPr fontId="1" type="noConversion"/>
  </si>
  <si>
    <t>鋁質電容被動元件</t>
    <phoneticPr fontId="1" type="noConversion"/>
  </si>
  <si>
    <t>電信中華電投資</t>
    <phoneticPr fontId="1" type="noConversion"/>
  </si>
  <si>
    <t>塑膠模具</t>
    <phoneticPr fontId="1" type="noConversion"/>
  </si>
  <si>
    <t>電動車逆變器散熱</t>
    <phoneticPr fontId="1" type="noConversion"/>
  </si>
  <si>
    <t>8.69</t>
    <phoneticPr fontId="1" type="noConversion"/>
  </si>
  <si>
    <t>6558</t>
    <phoneticPr fontId="1" type="noConversion"/>
  </si>
  <si>
    <t>穿戴式鋰電池</t>
    <phoneticPr fontId="1" type="noConversion"/>
  </si>
  <si>
    <t>72.7</t>
    <phoneticPr fontId="1" type="noConversion"/>
  </si>
  <si>
    <t>8.74</t>
    <phoneticPr fontId="1" type="noConversion"/>
  </si>
  <si>
    <t>45.9</t>
    <phoneticPr fontId="1" type="noConversion"/>
  </si>
  <si>
    <t>14.0</t>
    <phoneticPr fontId="1" type="noConversion"/>
  </si>
  <si>
    <t>健身器材</t>
    <phoneticPr fontId="1" type="noConversion"/>
  </si>
  <si>
    <t>壽險台5中信旗下</t>
    <phoneticPr fontId="1" type="noConversion"/>
  </si>
  <si>
    <t>13.0</t>
    <phoneticPr fontId="1" type="noConversion"/>
  </si>
  <si>
    <t>26.1</t>
    <phoneticPr fontId="1" type="noConversion"/>
  </si>
  <si>
    <t>電力變壓器</t>
    <phoneticPr fontId="1" type="noConversion"/>
  </si>
  <si>
    <t>33.2</t>
    <phoneticPr fontId="1" type="noConversion"/>
  </si>
  <si>
    <t>7.84</t>
    <phoneticPr fontId="1" type="noConversion"/>
  </si>
  <si>
    <t>骨科器材</t>
    <phoneticPr fontId="1" type="noConversion"/>
  </si>
  <si>
    <t>21.1</t>
    <phoneticPr fontId="1" type="noConversion"/>
  </si>
  <si>
    <t>55.9</t>
    <phoneticPr fontId="1" type="noConversion"/>
  </si>
  <si>
    <t>鋼構工程</t>
    <phoneticPr fontId="1" type="noConversion"/>
  </si>
  <si>
    <t>167</t>
    <phoneticPr fontId="1" type="noConversion"/>
  </si>
  <si>
    <t>25.56</t>
    <phoneticPr fontId="1" type="noConversion"/>
  </si>
  <si>
    <t>49.0</t>
    <phoneticPr fontId="1" type="noConversion"/>
  </si>
  <si>
    <t>25.0</t>
    <phoneticPr fontId="1" type="noConversion"/>
  </si>
  <si>
    <t>2020年8月16日設魚缸</t>
    <phoneticPr fontId="1" type="noConversion"/>
  </si>
  <si>
    <t>微型泵浦</t>
    <phoneticPr fontId="1" type="noConversion"/>
  </si>
  <si>
    <t>3.95</t>
    <phoneticPr fontId="1" type="noConversion"/>
  </si>
  <si>
    <t>29.6</t>
    <phoneticPr fontId="1" type="noConversion"/>
  </si>
  <si>
    <t>半導體測試聯電旗下</t>
    <phoneticPr fontId="1" type="noConversion"/>
  </si>
  <si>
    <t>46.7</t>
    <phoneticPr fontId="1" type="noConversion"/>
  </si>
  <si>
    <t>3.73</t>
    <phoneticPr fontId="1" type="noConversion"/>
  </si>
  <si>
    <t>愛滋藥潤泰旗下</t>
    <phoneticPr fontId="1" type="noConversion"/>
  </si>
  <si>
    <t>演唱會</t>
    <phoneticPr fontId="1" type="noConversion"/>
  </si>
  <si>
    <t>30.43</t>
    <phoneticPr fontId="1" type="noConversion"/>
  </si>
  <si>
    <t>12.65</t>
    <phoneticPr fontId="1" type="noConversion"/>
  </si>
  <si>
    <t>齒輪</t>
    <phoneticPr fontId="1" type="noConversion"/>
  </si>
  <si>
    <t>42.5</t>
    <phoneticPr fontId="1" type="noConversion"/>
  </si>
  <si>
    <t>GMP中藥</t>
    <phoneticPr fontId="1" type="noConversion"/>
  </si>
  <si>
    <t>20.0</t>
    <phoneticPr fontId="1" type="noConversion"/>
  </si>
  <si>
    <t>29.4</t>
    <phoneticPr fontId="1" type="noConversion"/>
  </si>
  <si>
    <t>25.7</t>
    <phoneticPr fontId="1" type="noConversion"/>
  </si>
  <si>
    <t>建築統包</t>
    <phoneticPr fontId="1" type="noConversion"/>
  </si>
  <si>
    <t>太陽能電池遠雄轉投資</t>
    <phoneticPr fontId="1" type="noConversion"/>
  </si>
  <si>
    <t>51.8</t>
    <phoneticPr fontId="1" type="noConversion"/>
  </si>
  <si>
    <t>機上盒</t>
    <phoneticPr fontId="1" type="noConversion"/>
  </si>
  <si>
    <t>52.1</t>
    <phoneticPr fontId="1" type="noConversion"/>
  </si>
  <si>
    <t>電機仰德旗下</t>
    <phoneticPr fontId="1" type="noConversion"/>
  </si>
  <si>
    <t>證券</t>
    <phoneticPr fontId="1" type="noConversion"/>
  </si>
  <si>
    <t>聚光片光群雷轉投資</t>
    <phoneticPr fontId="1" type="noConversion"/>
  </si>
  <si>
    <t>PC散熱風扇</t>
    <phoneticPr fontId="1" type="noConversion"/>
  </si>
  <si>
    <t>克麗緹娜</t>
    <phoneticPr fontId="1" type="noConversion"/>
  </si>
  <si>
    <t>32.0</t>
    <phoneticPr fontId="1" type="noConversion"/>
  </si>
  <si>
    <t>汽車結構件</t>
    <phoneticPr fontId="1" type="noConversion"/>
  </si>
  <si>
    <t>37.27</t>
    <phoneticPr fontId="1" type="noConversion"/>
  </si>
  <si>
    <t>8.45</t>
    <phoneticPr fontId="1" type="noConversion"/>
  </si>
  <si>
    <t>44.1</t>
    <phoneticPr fontId="1" type="noConversion"/>
  </si>
  <si>
    <t>37.6</t>
    <phoneticPr fontId="1" type="noConversion"/>
  </si>
  <si>
    <t>562</t>
    <phoneticPr fontId="1" type="noConversion"/>
  </si>
  <si>
    <t>背光模組友達旗下</t>
    <phoneticPr fontId="1" type="noConversion"/>
  </si>
  <si>
    <t>滾珠螺桿全3</t>
    <phoneticPr fontId="1" type="noConversion"/>
  </si>
  <si>
    <t>材料驗證</t>
    <phoneticPr fontId="1" type="noConversion"/>
  </si>
  <si>
    <t>8.97</t>
    <phoneticPr fontId="1" type="noConversion"/>
  </si>
  <si>
    <t>6.6</t>
    <phoneticPr fontId="1" type="noConversion"/>
  </si>
  <si>
    <t>112</t>
    <phoneticPr fontId="1" type="noConversion"/>
  </si>
  <si>
    <t>LED封裝車用照明</t>
    <phoneticPr fontId="1" type="noConversion"/>
  </si>
  <si>
    <t>35.8</t>
    <phoneticPr fontId="1" type="noConversion"/>
  </si>
  <si>
    <t>聚酯加工絲台10大</t>
    <phoneticPr fontId="1" type="noConversion"/>
  </si>
  <si>
    <t>32.1</t>
    <phoneticPr fontId="1" type="noConversion"/>
  </si>
  <si>
    <t>鋼卷</t>
    <phoneticPr fontId="1" type="noConversion"/>
  </si>
  <si>
    <t>不鏽鋼加工</t>
    <phoneticPr fontId="1" type="noConversion"/>
  </si>
  <si>
    <t>1.33</t>
    <phoneticPr fontId="1" type="noConversion"/>
  </si>
  <si>
    <t>美妝面部</t>
    <phoneticPr fontId="1" type="noConversion"/>
  </si>
  <si>
    <t>8.51</t>
    <phoneticPr fontId="1" type="noConversion"/>
  </si>
  <si>
    <t>124</t>
    <phoneticPr fontId="1" type="noConversion"/>
  </si>
  <si>
    <t>4.44</t>
    <phoneticPr fontId="1" type="noConversion"/>
  </si>
  <si>
    <t>45.0</t>
    <phoneticPr fontId="1" type="noConversion"/>
  </si>
  <si>
    <t>8.78</t>
    <phoneticPr fontId="1" type="noConversion"/>
  </si>
  <si>
    <t>309</t>
    <phoneticPr fontId="1" type="noConversion"/>
  </si>
  <si>
    <t>15.7</t>
    <phoneticPr fontId="1" type="noConversion"/>
  </si>
  <si>
    <t>亞洲藏壽司</t>
    <phoneticPr fontId="1" type="noConversion"/>
  </si>
  <si>
    <t>迴轉壽司</t>
    <phoneticPr fontId="1" type="noConversion"/>
  </si>
  <si>
    <t>27.3</t>
    <phoneticPr fontId="1" type="noConversion"/>
  </si>
  <si>
    <t>無線設備鴻海旗下</t>
    <phoneticPr fontId="1" type="noConversion"/>
  </si>
  <si>
    <t>LED晶粒日亞化授權</t>
    <phoneticPr fontId="1" type="noConversion"/>
  </si>
  <si>
    <t>10.0</t>
    <phoneticPr fontId="1" type="noConversion"/>
  </si>
  <si>
    <t>資安軟硬體</t>
    <phoneticPr fontId="1" type="noConversion"/>
  </si>
  <si>
    <t>再生晶圓</t>
    <phoneticPr fontId="1" type="noConversion"/>
  </si>
  <si>
    <t>58.2</t>
    <phoneticPr fontId="1" type="noConversion"/>
  </si>
  <si>
    <t>88.1</t>
    <phoneticPr fontId="1" type="noConversion"/>
  </si>
  <si>
    <t>1785</t>
    <phoneticPr fontId="1" type="noConversion"/>
  </si>
  <si>
    <t>康全電訊</t>
    <phoneticPr fontId="1" type="noConversion"/>
  </si>
  <si>
    <t>網路設備訊舟轉投資</t>
    <phoneticPr fontId="1" type="noConversion"/>
  </si>
  <si>
    <t>砷化鎵射頻IC</t>
    <phoneticPr fontId="1" type="noConversion"/>
  </si>
  <si>
    <t>資安工業電腦</t>
    <phoneticPr fontId="1" type="noConversion"/>
  </si>
  <si>
    <t>18.0</t>
    <phoneticPr fontId="1" type="noConversion"/>
  </si>
  <si>
    <t>27.6</t>
    <phoneticPr fontId="1" type="noConversion"/>
  </si>
  <si>
    <t>85度C</t>
    <phoneticPr fontId="1" type="noConversion"/>
  </si>
  <si>
    <t>2.36</t>
    <phoneticPr fontId="1" type="noConversion"/>
  </si>
  <si>
    <t>748</t>
    <phoneticPr fontId="1" type="noConversion"/>
  </si>
  <si>
    <t>2.83</t>
    <phoneticPr fontId="1" type="noConversion"/>
  </si>
  <si>
    <t>遊戲智冠旗下</t>
    <phoneticPr fontId="1" type="noConversion"/>
  </si>
  <si>
    <t>42.0</t>
    <phoneticPr fontId="1" type="noConversion"/>
  </si>
  <si>
    <t>29.0</t>
    <phoneticPr fontId="1" type="noConversion"/>
  </si>
  <si>
    <t>建商</t>
    <phoneticPr fontId="1" type="noConversion"/>
  </si>
  <si>
    <t>98.0</t>
    <phoneticPr fontId="1" type="noConversion"/>
  </si>
  <si>
    <t>洗腎</t>
    <phoneticPr fontId="1" type="noConversion"/>
  </si>
  <si>
    <t>6.24</t>
    <phoneticPr fontId="1" type="noConversion"/>
  </si>
  <si>
    <t>電子詞典英業達旗下</t>
    <phoneticPr fontId="1" type="noConversion"/>
  </si>
  <si>
    <t>1285</t>
    <phoneticPr fontId="1" type="noConversion"/>
  </si>
  <si>
    <t>90.9</t>
    <phoneticPr fontId="1" type="noConversion"/>
  </si>
  <si>
    <t>344</t>
    <phoneticPr fontId="1" type="noConversion"/>
  </si>
  <si>
    <t>海運物流</t>
    <phoneticPr fontId="1" type="noConversion"/>
  </si>
  <si>
    <t>散裝船</t>
    <phoneticPr fontId="1" type="noConversion"/>
  </si>
  <si>
    <t>票券證劵</t>
    <phoneticPr fontId="1" type="noConversion"/>
  </si>
  <si>
    <t>營建地產遠雄集團</t>
    <phoneticPr fontId="1" type="noConversion"/>
  </si>
  <si>
    <t>19.0</t>
    <phoneticPr fontId="1" type="noConversion"/>
  </si>
  <si>
    <t>96.4</t>
    <phoneticPr fontId="1" type="noConversion"/>
  </si>
  <si>
    <t>97.5</t>
    <phoneticPr fontId="1" type="noConversion"/>
  </si>
  <si>
    <t>太陽能電池廣運轉投資</t>
    <phoneticPr fontId="1" type="noConversion"/>
  </si>
  <si>
    <t>25.3</t>
    <phoneticPr fontId="1" type="noConversion"/>
  </si>
  <si>
    <t>1333</t>
    <phoneticPr fontId="1" type="noConversion"/>
  </si>
  <si>
    <t>31.7</t>
    <phoneticPr fontId="1" type="noConversion"/>
  </si>
  <si>
    <t>8.10</t>
    <phoneticPr fontId="1" type="noConversion"/>
  </si>
  <si>
    <t>15.5</t>
    <phoneticPr fontId="1" type="noConversion"/>
  </si>
  <si>
    <t>38.4</t>
    <phoneticPr fontId="1" type="noConversion"/>
  </si>
  <si>
    <t>織染布</t>
    <phoneticPr fontId="1" type="noConversion"/>
  </si>
  <si>
    <t>機上盒LNB</t>
    <phoneticPr fontId="1" type="noConversion"/>
  </si>
  <si>
    <t>牛仔成衣</t>
    <phoneticPr fontId="1" type="noConversion"/>
  </si>
  <si>
    <t>77.4</t>
    <phoneticPr fontId="1" type="noConversion"/>
  </si>
  <si>
    <t>連接器鴻海旗下</t>
    <phoneticPr fontId="1" type="noConversion"/>
  </si>
  <si>
    <t>水泥通路</t>
    <phoneticPr fontId="1" type="noConversion"/>
  </si>
  <si>
    <t>票券</t>
    <phoneticPr fontId="1" type="noConversion"/>
  </si>
  <si>
    <t>128</t>
    <phoneticPr fontId="1" type="noConversion"/>
  </si>
  <si>
    <t>91.5</t>
    <phoneticPr fontId="1" type="noConversion"/>
  </si>
  <si>
    <t>車用LED</t>
    <phoneticPr fontId="1" type="noConversion"/>
  </si>
  <si>
    <t>41.0</t>
    <phoneticPr fontId="1" type="noConversion"/>
  </si>
  <si>
    <t>73.6</t>
    <phoneticPr fontId="1" type="noConversion"/>
  </si>
  <si>
    <t>79.0</t>
    <phoneticPr fontId="1" type="noConversion"/>
  </si>
  <si>
    <t>9919</t>
    <phoneticPr fontId="1" type="noConversion"/>
  </si>
  <si>
    <t>工業銀行第1家</t>
    <phoneticPr fontId="1" type="noConversion"/>
  </si>
  <si>
    <t>39.3</t>
    <phoneticPr fontId="1" type="noConversion"/>
  </si>
  <si>
    <t>5.64</t>
    <phoneticPr fontId="1" type="noConversion"/>
  </si>
  <si>
    <t>木工具機</t>
    <phoneticPr fontId="1" type="noConversion"/>
  </si>
  <si>
    <t>7.88</t>
    <phoneticPr fontId="1" type="noConversion"/>
  </si>
  <si>
    <t>21.0</t>
    <phoneticPr fontId="1" type="noConversion"/>
  </si>
  <si>
    <t>1.83</t>
    <phoneticPr fontId="1" type="noConversion"/>
  </si>
  <si>
    <t>普鴻</t>
    <phoneticPr fontId="1" type="noConversion"/>
  </si>
  <si>
    <t>金融加密</t>
    <phoneticPr fontId="1" type="noConversion"/>
  </si>
  <si>
    <t>光學鏡頭</t>
    <phoneticPr fontId="1" type="noConversion"/>
  </si>
  <si>
    <t>汎德永業</t>
    <phoneticPr fontId="1" type="noConversion"/>
  </si>
  <si>
    <t>進口車</t>
    <phoneticPr fontId="1" type="noConversion"/>
  </si>
  <si>
    <t>9.02</t>
    <phoneticPr fontId="1" type="noConversion"/>
  </si>
  <si>
    <t>7.50</t>
    <phoneticPr fontId="1" type="noConversion"/>
  </si>
  <si>
    <t>購物中心</t>
    <phoneticPr fontId="1" type="noConversion"/>
  </si>
  <si>
    <t>9.55</t>
    <phoneticPr fontId="1" type="noConversion"/>
  </si>
  <si>
    <t>宅配東元與日本通運合資</t>
    <phoneticPr fontId="1" type="noConversion"/>
  </si>
  <si>
    <t>36.6</t>
    <phoneticPr fontId="1" type="noConversion"/>
  </si>
  <si>
    <t>3.43</t>
    <phoneticPr fontId="1" type="noConversion"/>
  </si>
  <si>
    <t>網路CPU</t>
    <phoneticPr fontId="1" type="noConversion"/>
  </si>
  <si>
    <t>17.7</t>
    <phoneticPr fontId="1" type="noConversion"/>
  </si>
  <si>
    <t>顯示模組華映旗下</t>
    <phoneticPr fontId="1" type="noConversion"/>
  </si>
  <si>
    <t>11.0</t>
    <phoneticPr fontId="1" type="noConversion"/>
  </si>
  <si>
    <t>線材連接元件</t>
    <phoneticPr fontId="1" type="noConversion"/>
  </si>
  <si>
    <t>4.33</t>
    <phoneticPr fontId="1" type="noConversion"/>
  </si>
  <si>
    <t>4.72</t>
    <phoneticPr fontId="1" type="noConversion"/>
  </si>
  <si>
    <t>9.97</t>
    <phoneticPr fontId="1" type="noConversion"/>
  </si>
  <si>
    <t>351</t>
    <phoneticPr fontId="1" type="noConversion"/>
  </si>
  <si>
    <t>面膜美妝</t>
    <phoneticPr fontId="1" type="noConversion"/>
  </si>
  <si>
    <t>軒郁</t>
    <phoneticPr fontId="1" type="noConversion"/>
  </si>
  <si>
    <t>273</t>
    <phoneticPr fontId="1" type="noConversion"/>
  </si>
  <si>
    <t>內視鏡心導管</t>
    <phoneticPr fontId="1" type="noConversion"/>
  </si>
  <si>
    <t>45.33</t>
    <phoneticPr fontId="1" type="noConversion"/>
  </si>
  <si>
    <t>8.35</t>
    <phoneticPr fontId="1" type="noConversion"/>
  </si>
  <si>
    <t>82.3</t>
    <phoneticPr fontId="1" type="noConversion"/>
  </si>
  <si>
    <t>大陸建設</t>
    <phoneticPr fontId="1" type="noConversion"/>
  </si>
  <si>
    <t>記憶卡</t>
    <phoneticPr fontId="1" type="noConversion"/>
  </si>
  <si>
    <t>58.61</t>
    <phoneticPr fontId="1" type="noConversion"/>
  </si>
  <si>
    <t>22.2</t>
    <phoneticPr fontId="1" type="noConversion"/>
  </si>
  <si>
    <t>17.23</t>
    <phoneticPr fontId="1" type="noConversion"/>
  </si>
  <si>
    <t>建商甲山林旗下</t>
    <phoneticPr fontId="1" type="noConversion"/>
  </si>
  <si>
    <t>4.70</t>
    <phoneticPr fontId="1" type="noConversion"/>
  </si>
  <si>
    <t>影像處理</t>
    <phoneticPr fontId="1" type="noConversion"/>
  </si>
  <si>
    <t>美妝</t>
    <phoneticPr fontId="1" type="noConversion"/>
  </si>
  <si>
    <t>51.0</t>
    <phoneticPr fontId="1" type="noConversion"/>
  </si>
  <si>
    <t>23.0</t>
    <phoneticPr fontId="1" type="noConversion"/>
  </si>
  <si>
    <t>自由貿易港區海陸空聯運</t>
    <phoneticPr fontId="1" type="noConversion"/>
  </si>
  <si>
    <t>多媒體影音</t>
    <phoneticPr fontId="1" type="noConversion"/>
  </si>
  <si>
    <t>意德士</t>
    <phoneticPr fontId="1" type="noConversion"/>
  </si>
  <si>
    <t>廠務工程製程設備</t>
    <phoneticPr fontId="1" type="noConversion"/>
  </si>
  <si>
    <t>精密零組件材料製程設備</t>
    <phoneticPr fontId="1" type="noConversion"/>
  </si>
  <si>
    <t>28.0</t>
    <phoneticPr fontId="1" type="noConversion"/>
  </si>
  <si>
    <t>4.20</t>
    <phoneticPr fontId="1" type="noConversion"/>
  </si>
  <si>
    <t>安全監控</t>
    <phoneticPr fontId="1" type="noConversion"/>
  </si>
  <si>
    <t>7.00</t>
    <phoneticPr fontId="1" type="noConversion"/>
  </si>
  <si>
    <t>9.14</t>
    <phoneticPr fontId="1" type="noConversion"/>
  </si>
  <si>
    <t>16.88</t>
    <phoneticPr fontId="1" type="noConversion"/>
  </si>
  <si>
    <t>24.87</t>
    <phoneticPr fontId="1" type="noConversion"/>
  </si>
  <si>
    <t>傳輸晶片華碩旗下</t>
    <phoneticPr fontId="1" type="noConversion"/>
  </si>
  <si>
    <t>3713</t>
    <phoneticPr fontId="1" type="noConversion"/>
  </si>
  <si>
    <t>新晶投控</t>
    <phoneticPr fontId="1" type="noConversion"/>
  </si>
  <si>
    <t>9.85</t>
    <phoneticPr fontId="1" type="noConversion"/>
  </si>
  <si>
    <t>4.71</t>
    <phoneticPr fontId="1" type="noConversion"/>
  </si>
  <si>
    <t>PCB曝光機</t>
    <phoneticPr fontId="1" type="noConversion"/>
  </si>
  <si>
    <t>接著劑</t>
    <phoneticPr fontId="1" type="noConversion"/>
  </si>
  <si>
    <t>大潤發潤泰旗下</t>
    <phoneticPr fontId="1" type="noConversion"/>
  </si>
  <si>
    <t>貿易商</t>
    <phoneticPr fontId="1" type="noConversion"/>
  </si>
  <si>
    <t>貨櫃士林旗下</t>
    <phoneticPr fontId="1" type="noConversion"/>
  </si>
  <si>
    <t>5.32</t>
    <phoneticPr fontId="1" type="noConversion"/>
  </si>
  <si>
    <t>7.15</t>
    <phoneticPr fontId="1" type="noConversion"/>
  </si>
  <si>
    <t>LCD明基友達旗下</t>
    <phoneticPr fontId="1" type="noConversion"/>
  </si>
  <si>
    <t>8.08</t>
    <phoneticPr fontId="1" type="noConversion"/>
  </si>
  <si>
    <t>電腦診斷美吾華懷特旗下</t>
    <phoneticPr fontId="1" type="noConversion"/>
  </si>
  <si>
    <t>7.91</t>
    <phoneticPr fontId="1" type="noConversion"/>
  </si>
  <si>
    <t>塑膠零組件</t>
    <phoneticPr fontId="1" type="noConversion"/>
  </si>
  <si>
    <t>6.00</t>
    <phoneticPr fontId="1" type="noConversion"/>
  </si>
  <si>
    <t>X86IC設計</t>
    <phoneticPr fontId="1" type="noConversion"/>
  </si>
  <si>
    <t>包材炎洲旗下</t>
    <phoneticPr fontId="1" type="noConversion"/>
  </si>
  <si>
    <t>35.0</t>
    <phoneticPr fontId="1" type="noConversion"/>
  </si>
  <si>
    <t>甲級營造</t>
    <phoneticPr fontId="1" type="noConversion"/>
  </si>
  <si>
    <t>20.45</t>
    <phoneticPr fontId="1" type="noConversion"/>
  </si>
  <si>
    <t>21.67</t>
    <phoneticPr fontId="1" type="noConversion"/>
  </si>
  <si>
    <t>26.7</t>
    <phoneticPr fontId="1" type="noConversion"/>
  </si>
  <si>
    <t>區域網路</t>
    <phoneticPr fontId="1" type="noConversion"/>
  </si>
  <si>
    <t>5.98</t>
    <phoneticPr fontId="1" type="noConversion"/>
  </si>
  <si>
    <t>13.7</t>
    <phoneticPr fontId="1" type="noConversion"/>
  </si>
  <si>
    <t>銅纜光纜鴻海轉投資</t>
    <phoneticPr fontId="1" type="noConversion"/>
  </si>
  <si>
    <t>24.47</t>
    <phoneticPr fontId="1" type="noConversion"/>
  </si>
  <si>
    <t>衛星緯創旗下</t>
    <phoneticPr fontId="1" type="noConversion"/>
  </si>
  <si>
    <t>3374</t>
    <phoneticPr fontId="1" type="noConversion"/>
  </si>
  <si>
    <t>11.21</t>
    <phoneticPr fontId="1" type="noConversion"/>
  </si>
  <si>
    <t>21.1</t>
    <phoneticPr fontId="1" type="noConversion"/>
  </si>
  <si>
    <t>127</t>
    <phoneticPr fontId="1" type="noConversion"/>
  </si>
  <si>
    <t>33.0</t>
    <phoneticPr fontId="1" type="noConversion"/>
  </si>
  <si>
    <t>7.70</t>
    <phoneticPr fontId="1" type="noConversion"/>
  </si>
  <si>
    <t>陞逹科技</t>
    <phoneticPr fontId="1" type="noConversion"/>
  </si>
  <si>
    <t>4.49</t>
    <phoneticPr fontId="1" type="noConversion"/>
  </si>
  <si>
    <t>娛樂製作台大</t>
    <phoneticPr fontId="1" type="noConversion"/>
  </si>
  <si>
    <t>38.0</t>
    <phoneticPr fontId="1" type="noConversion"/>
  </si>
  <si>
    <t>風扇驅動IC</t>
    <phoneticPr fontId="1" type="noConversion"/>
  </si>
  <si>
    <t>51.6</t>
    <phoneticPr fontId="1" type="noConversion"/>
  </si>
  <si>
    <t>9.71</t>
    <phoneticPr fontId="1" type="noConversion"/>
  </si>
  <si>
    <t>5.91</t>
    <phoneticPr fontId="1" type="noConversion"/>
  </si>
  <si>
    <t>八貫</t>
    <phoneticPr fontId="1" type="noConversion"/>
  </si>
  <si>
    <t>機能性布薄膜</t>
    <phoneticPr fontId="1" type="noConversion"/>
  </si>
  <si>
    <t>63.2</t>
    <phoneticPr fontId="1" type="noConversion"/>
  </si>
  <si>
    <t>5.25</t>
    <phoneticPr fontId="1" type="noConversion"/>
  </si>
  <si>
    <t>32.9</t>
    <phoneticPr fontId="1" type="noConversion"/>
  </si>
  <si>
    <t>28.87</t>
    <phoneticPr fontId="1" type="noConversion"/>
  </si>
  <si>
    <t>新藥新劑型</t>
    <phoneticPr fontId="1" type="noConversion"/>
  </si>
  <si>
    <t>473</t>
    <phoneticPr fontId="1" type="noConversion"/>
  </si>
  <si>
    <t>亞泰金屬</t>
    <phoneticPr fontId="1" type="noConversion"/>
  </si>
  <si>
    <t>塗佈設備</t>
    <phoneticPr fontId="1" type="noConversion"/>
  </si>
  <si>
    <t>44.5</t>
    <phoneticPr fontId="1" type="noConversion"/>
  </si>
  <si>
    <t>食品添加劑電子化材</t>
    <phoneticPr fontId="1" type="noConversion"/>
  </si>
  <si>
    <t>3.66</t>
    <phoneticPr fontId="1" type="noConversion"/>
  </si>
  <si>
    <t>97.7</t>
    <phoneticPr fontId="1" type="noConversion"/>
  </si>
  <si>
    <t>15.13</t>
    <phoneticPr fontId="1" type="noConversion"/>
  </si>
  <si>
    <t>37.1</t>
    <phoneticPr fontId="1" type="noConversion"/>
  </si>
  <si>
    <t>44.2</t>
    <phoneticPr fontId="1" type="noConversion"/>
  </si>
  <si>
    <t>車燈</t>
    <phoneticPr fontId="1" type="noConversion"/>
  </si>
  <si>
    <t>PCB華新旗下瀚宇博轉投資</t>
    <phoneticPr fontId="1" type="noConversion"/>
  </si>
  <si>
    <t>6.90</t>
    <phoneticPr fontId="1" type="noConversion"/>
  </si>
  <si>
    <t>19.27</t>
    <phoneticPr fontId="1" type="noConversion"/>
  </si>
  <si>
    <t>10.67</t>
    <phoneticPr fontId="1" type="noConversion"/>
  </si>
  <si>
    <t>26.37</t>
    <phoneticPr fontId="1" type="noConversion"/>
  </si>
  <si>
    <t>相機組裝</t>
    <phoneticPr fontId="1" type="noConversion"/>
  </si>
  <si>
    <t>鋼剪裁</t>
    <phoneticPr fontId="1" type="noConversion"/>
  </si>
  <si>
    <t>電子材料</t>
    <phoneticPr fontId="1" type="noConversion"/>
  </si>
  <si>
    <t>流感疫苗基亞旗下</t>
    <phoneticPr fontId="1" type="noConversion"/>
  </si>
  <si>
    <t>4.55</t>
    <phoneticPr fontId="1" type="noConversion"/>
  </si>
  <si>
    <t>80.6</t>
    <phoneticPr fontId="1" type="noConversion"/>
  </si>
  <si>
    <t>8.95</t>
    <phoneticPr fontId="1" type="noConversion"/>
  </si>
  <si>
    <t>萬年清</t>
    <phoneticPr fontId="1" type="noConversion"/>
  </si>
  <si>
    <t>廢水處理</t>
    <phoneticPr fontId="1" type="noConversion"/>
  </si>
  <si>
    <t>泰金KY</t>
    <phoneticPr fontId="1" type="noConversion"/>
  </si>
  <si>
    <t>3.55</t>
    <phoneticPr fontId="1" type="noConversion"/>
  </si>
  <si>
    <t>家飾鑄件</t>
    <phoneticPr fontId="1" type="noConversion"/>
  </si>
  <si>
    <t>250</t>
    <phoneticPr fontId="1" type="noConversion"/>
  </si>
  <si>
    <t>血糖測試</t>
    <phoneticPr fontId="1" type="noConversion"/>
  </si>
  <si>
    <t>2.73</t>
    <phoneticPr fontId="1" type="noConversion"/>
  </si>
  <si>
    <t>1.67</t>
    <phoneticPr fontId="1" type="noConversion"/>
  </si>
  <si>
    <t>東捷資訊</t>
    <phoneticPr fontId="1" type="noConversion"/>
  </si>
  <si>
    <t>ERP東元旗下</t>
    <phoneticPr fontId="1" type="noConversion"/>
  </si>
  <si>
    <t>叡揚資訊</t>
    <phoneticPr fontId="1" type="noConversion"/>
  </si>
  <si>
    <t>血壓計全3</t>
    <phoneticPr fontId="1" type="noConversion"/>
  </si>
  <si>
    <t>7.93</t>
    <phoneticPr fontId="1" type="noConversion"/>
  </si>
  <si>
    <t>94.7</t>
    <phoneticPr fontId="1" type="noConversion"/>
  </si>
  <si>
    <t>數位看板緯創轉投資</t>
    <phoneticPr fontId="1" type="noConversion"/>
  </si>
  <si>
    <t>消費IC淩陽轉投資</t>
    <phoneticPr fontId="1" type="noConversion"/>
  </si>
  <si>
    <t>散裝航運</t>
    <phoneticPr fontId="1" type="noConversion"/>
  </si>
  <si>
    <t>電信局設備</t>
    <phoneticPr fontId="1" type="noConversion"/>
  </si>
  <si>
    <t>21.78</t>
    <phoneticPr fontId="1" type="noConversion"/>
  </si>
  <si>
    <t>網球拍</t>
    <phoneticPr fontId="1" type="noConversion"/>
  </si>
  <si>
    <t>融資裕隆旗下</t>
    <phoneticPr fontId="1" type="noConversion"/>
  </si>
  <si>
    <t>安普新</t>
    <phoneticPr fontId="1" type="noConversion"/>
  </si>
  <si>
    <t>耀登</t>
    <phoneticPr fontId="1" type="noConversion"/>
  </si>
  <si>
    <t>天線儀器代理</t>
    <phoneticPr fontId="1" type="noConversion"/>
  </si>
  <si>
    <t>4.58</t>
    <phoneticPr fontId="1" type="noConversion"/>
  </si>
  <si>
    <t>電信系統仲琦旗下</t>
    <phoneticPr fontId="1" type="noConversion"/>
  </si>
  <si>
    <t>鑽孔機</t>
    <phoneticPr fontId="1" type="noConversion"/>
  </si>
  <si>
    <t>5.85</t>
    <phoneticPr fontId="1" type="noConversion"/>
  </si>
  <si>
    <t>電容國巨旗下</t>
    <phoneticPr fontId="1" type="noConversion"/>
  </si>
  <si>
    <t>34.09</t>
    <phoneticPr fontId="1" type="noConversion"/>
  </si>
  <si>
    <t>揚秦</t>
    <phoneticPr fontId="1" type="noConversion"/>
  </si>
  <si>
    <t>麥味登</t>
    <phoneticPr fontId="1" type="noConversion"/>
  </si>
  <si>
    <t>52.0</t>
    <phoneticPr fontId="1" type="noConversion"/>
  </si>
  <si>
    <t>建商聨上旗下</t>
    <phoneticPr fontId="1" type="noConversion"/>
  </si>
  <si>
    <t>58.72</t>
    <phoneticPr fontId="1" type="noConversion"/>
  </si>
  <si>
    <t>逹亞</t>
    <phoneticPr fontId="1" type="noConversion"/>
  </si>
  <si>
    <t>415</t>
    <phoneticPr fontId="1" type="noConversion"/>
  </si>
  <si>
    <t>耳機</t>
    <phoneticPr fontId="1" type="noConversion"/>
  </si>
  <si>
    <t>企業e化</t>
    <phoneticPr fontId="1" type="noConversion"/>
  </si>
  <si>
    <t>醫療器材益安旗下</t>
    <phoneticPr fontId="1" type="noConversion"/>
  </si>
  <si>
    <t>24.2</t>
    <phoneticPr fontId="1" type="noConversion"/>
  </si>
  <si>
    <t>相機鏡片</t>
    <phoneticPr fontId="1" type="noConversion"/>
  </si>
  <si>
    <t>4.78</t>
    <phoneticPr fontId="1" type="noConversion"/>
  </si>
  <si>
    <t>8.46</t>
    <phoneticPr fontId="1" type="noConversion"/>
  </si>
  <si>
    <t>電腦機殼電源供應器</t>
    <phoneticPr fontId="1" type="noConversion"/>
  </si>
  <si>
    <t>免疫癌症</t>
    <phoneticPr fontId="1" type="noConversion"/>
  </si>
  <si>
    <t>9.11</t>
    <phoneticPr fontId="1" type="noConversion"/>
  </si>
  <si>
    <t>8.21</t>
    <phoneticPr fontId="1" type="noConversion"/>
  </si>
  <si>
    <t>空氣壓縮機</t>
    <phoneticPr fontId="1" type="noConversion"/>
  </si>
  <si>
    <t>7.30</t>
    <phoneticPr fontId="1" type="noConversion"/>
  </si>
  <si>
    <t>記憶體IC</t>
    <phoneticPr fontId="1" type="noConversion"/>
  </si>
  <si>
    <t>4.50</t>
    <phoneticPr fontId="1" type="noConversion"/>
  </si>
  <si>
    <t>89.1</t>
    <phoneticPr fontId="1" type="noConversion"/>
  </si>
  <si>
    <t>30.38</t>
    <phoneticPr fontId="1" type="noConversion"/>
  </si>
  <si>
    <t>2.1</t>
    <phoneticPr fontId="1" type="noConversion"/>
  </si>
  <si>
    <t>威鋒電子</t>
    <phoneticPr fontId="1" type="noConversion"/>
  </si>
  <si>
    <t>USB晶片威盛旗下</t>
    <phoneticPr fontId="1" type="noConversion"/>
  </si>
  <si>
    <t>5.68</t>
    <phoneticPr fontId="1" type="noConversion"/>
  </si>
  <si>
    <t>影音訊號台大</t>
    <phoneticPr fontId="1" type="noConversion"/>
  </si>
  <si>
    <t>工業紙台3大</t>
    <phoneticPr fontId="1" type="noConversion"/>
  </si>
  <si>
    <t>工業紙</t>
    <phoneticPr fontId="1" type="noConversion"/>
  </si>
  <si>
    <t>車載影音</t>
    <phoneticPr fontId="1" type="noConversion"/>
  </si>
  <si>
    <t>30.77</t>
    <phoneticPr fontId="1" type="noConversion"/>
  </si>
  <si>
    <t>智聯服務</t>
    <phoneticPr fontId="1" type="noConversion"/>
  </si>
  <si>
    <t>IT服務宏碁旗下</t>
    <phoneticPr fontId="1" type="noConversion"/>
  </si>
  <si>
    <t>上洋</t>
    <phoneticPr fontId="1" type="noConversion"/>
  </si>
  <si>
    <t>商用洗衣機</t>
    <phoneticPr fontId="1" type="noConversion"/>
  </si>
  <si>
    <t>2.00</t>
    <phoneticPr fontId="1" type="noConversion"/>
  </si>
  <si>
    <t>2.71</t>
    <phoneticPr fontId="1" type="noConversion"/>
  </si>
  <si>
    <t>資訊工程中鼎旗下</t>
    <phoneticPr fontId="1" type="noConversion"/>
  </si>
  <si>
    <t>網路IC聯電旗下</t>
    <phoneticPr fontId="1" type="noConversion"/>
  </si>
  <si>
    <t>18.82</t>
    <phoneticPr fontId="1" type="noConversion"/>
  </si>
  <si>
    <t>STN IC元太轉投資</t>
    <phoneticPr fontId="1" type="noConversion"/>
  </si>
  <si>
    <t>14.67</t>
    <phoneticPr fontId="1" type="noConversion"/>
  </si>
  <si>
    <t>靜電IC</t>
    <phoneticPr fontId="1" type="noConversion"/>
  </si>
  <si>
    <t>8.00</t>
    <phoneticPr fontId="1" type="noConversion"/>
  </si>
  <si>
    <t>不鏽鋼管亞大</t>
    <phoneticPr fontId="1" type="noConversion"/>
  </si>
  <si>
    <t>40.1</t>
    <phoneticPr fontId="1" type="noConversion"/>
  </si>
  <si>
    <t>飲料酒品</t>
    <phoneticPr fontId="1" type="noConversion"/>
  </si>
  <si>
    <t>0.01</t>
    <phoneticPr fontId="1" type="noConversion"/>
  </si>
  <si>
    <t>新藥</t>
    <phoneticPr fontId="1" type="noConversion"/>
  </si>
  <si>
    <t>新藥晟德旗下</t>
    <phoneticPr fontId="1" type="noConversion"/>
  </si>
  <si>
    <t>成分</t>
    <phoneticPr fontId="1" type="noConversion"/>
  </si>
  <si>
    <t>類股</t>
    <phoneticPr fontId="1" type="noConversion"/>
  </si>
  <si>
    <t>1</t>
    <phoneticPr fontId="35" type="noConversion"/>
  </si>
  <si>
    <t>8.68</t>
    <phoneticPr fontId="1" type="noConversion"/>
  </si>
  <si>
    <t>-0.18</t>
    <phoneticPr fontId="1" type="noConversion"/>
  </si>
  <si>
    <t>5.86</t>
    <phoneticPr fontId="1" type="noConversion"/>
  </si>
  <si>
    <t>再生晶圓設備搶弘塑訂單</t>
    <phoneticPr fontId="1" type="noConversion"/>
  </si>
  <si>
    <t>前7大壽險三商集團旗下</t>
    <phoneticPr fontId="1" type="noConversion"/>
  </si>
  <si>
    <t>塑膠內飾</t>
    <phoneticPr fontId="1" type="noConversion"/>
  </si>
  <si>
    <t>汽車扣件</t>
    <phoneticPr fontId="1" type="noConversion"/>
  </si>
  <si>
    <t>69.3</t>
    <phoneticPr fontId="1" type="noConversion"/>
  </si>
  <si>
    <t>太陽能錸德旗下</t>
    <phoneticPr fontId="1" type="noConversion"/>
  </si>
  <si>
    <t>CNC加工機</t>
    <phoneticPr fontId="1" type="noConversion"/>
  </si>
  <si>
    <t>16.0</t>
    <phoneticPr fontId="1" type="noConversion"/>
  </si>
  <si>
    <t>1536</t>
    <phoneticPr fontId="1" type="noConversion"/>
  </si>
  <si>
    <t>2.07</t>
    <phoneticPr fontId="1" type="noConversion"/>
  </si>
  <si>
    <t>5.72</t>
    <phoneticPr fontId="1" type="noConversion"/>
  </si>
  <si>
    <t>2.88</t>
    <phoneticPr fontId="1" type="noConversion"/>
  </si>
  <si>
    <t>3.80</t>
    <phoneticPr fontId="1" type="noConversion"/>
  </si>
  <si>
    <t>BIOS</t>
    <phoneticPr fontId="1" type="noConversion"/>
  </si>
  <si>
    <t>5.39</t>
    <phoneticPr fontId="1" type="noConversion"/>
  </si>
  <si>
    <t>LED晶粒</t>
    <phoneticPr fontId="1" type="noConversion"/>
  </si>
  <si>
    <t>8.16</t>
    <phoneticPr fontId="1" type="noConversion"/>
  </si>
  <si>
    <t>面板模組</t>
    <phoneticPr fontId="1" type="noConversion"/>
  </si>
  <si>
    <t>胎壓偵測</t>
    <phoneticPr fontId="1" type="noConversion"/>
  </si>
  <si>
    <t>磊晶</t>
    <phoneticPr fontId="1" type="noConversion"/>
  </si>
  <si>
    <t>模具鴻海旗下</t>
    <phoneticPr fontId="1" type="noConversion"/>
  </si>
  <si>
    <t>EUV設備</t>
    <phoneticPr fontId="1" type="noConversion"/>
  </si>
  <si>
    <t>包袋</t>
    <phoneticPr fontId="1" type="noConversion"/>
  </si>
  <si>
    <t>35.5</t>
    <phoneticPr fontId="1" type="noConversion"/>
  </si>
  <si>
    <t>太陽能矽晶園</t>
    <phoneticPr fontId="1" type="noConversion"/>
  </si>
  <si>
    <t>11.3</t>
    <phoneticPr fontId="1" type="noConversion"/>
  </si>
  <si>
    <t>網絡交換器</t>
    <phoneticPr fontId="1" type="noConversion"/>
  </si>
  <si>
    <t>觸控面板健身器材</t>
    <phoneticPr fontId="1" type="noConversion"/>
  </si>
  <si>
    <t>矽晶圓</t>
    <phoneticPr fontId="1" type="noConversion"/>
  </si>
  <si>
    <t>233</t>
    <phoneticPr fontId="1" type="noConversion"/>
  </si>
  <si>
    <t>縮時攝影機</t>
    <phoneticPr fontId="1" type="noConversion"/>
  </si>
  <si>
    <t>2.37</t>
    <phoneticPr fontId="1" type="noConversion"/>
  </si>
  <si>
    <t>60.12</t>
    <phoneticPr fontId="1" type="noConversion"/>
  </si>
  <si>
    <t>22.17</t>
    <phoneticPr fontId="1" type="noConversion"/>
  </si>
  <si>
    <t>2.31</t>
    <phoneticPr fontId="1" type="noConversion"/>
  </si>
  <si>
    <t>47.17</t>
    <phoneticPr fontId="1" type="noConversion"/>
  </si>
  <si>
    <t>27.67</t>
    <phoneticPr fontId="1" type="noConversion"/>
  </si>
  <si>
    <t>0.91</t>
    <phoneticPr fontId="1" type="noConversion"/>
  </si>
  <si>
    <t>90.26</t>
    <phoneticPr fontId="1" type="noConversion"/>
  </si>
  <si>
    <t>MOSFET茂達旗下</t>
    <phoneticPr fontId="1" type="noConversion"/>
  </si>
  <si>
    <t>MOSFET</t>
    <phoneticPr fontId="1" type="noConversion"/>
  </si>
  <si>
    <t>1.94</t>
    <phoneticPr fontId="1" type="noConversion"/>
  </si>
  <si>
    <t>3.30</t>
    <phoneticPr fontId="1" type="noConversion"/>
  </si>
  <si>
    <t>茶葉</t>
    <phoneticPr fontId="1" type="noConversion"/>
  </si>
  <si>
    <t>8.40</t>
    <phoneticPr fontId="1" type="noConversion"/>
  </si>
  <si>
    <t>二極體製造商</t>
    <phoneticPr fontId="1" type="noConversion"/>
  </si>
  <si>
    <t>高雄市政府第1大股東區域性銀行</t>
    <phoneticPr fontId="1" type="noConversion"/>
  </si>
  <si>
    <t>長聖</t>
    <phoneticPr fontId="1" type="noConversion"/>
  </si>
  <si>
    <t>5.63</t>
    <phoneticPr fontId="1" type="noConversion"/>
  </si>
  <si>
    <t>細胞療法</t>
    <phoneticPr fontId="1" type="noConversion"/>
  </si>
  <si>
    <t>軟板欣興台表科轉投資</t>
    <phoneticPr fontId="1" type="noConversion"/>
  </si>
  <si>
    <t>導線架</t>
    <phoneticPr fontId="1" type="noConversion"/>
  </si>
  <si>
    <t>7.71</t>
    <phoneticPr fontId="1" type="noConversion"/>
  </si>
  <si>
    <t>二極體</t>
    <phoneticPr fontId="1" type="noConversion"/>
  </si>
  <si>
    <t>2.50</t>
    <phoneticPr fontId="1" type="noConversion"/>
  </si>
  <si>
    <t>22.89</t>
    <phoneticPr fontId="1" type="noConversion"/>
  </si>
  <si>
    <t>57.43</t>
    <phoneticPr fontId="1" type="noConversion"/>
  </si>
  <si>
    <t>模具宣德大股東</t>
    <phoneticPr fontId="1" type="noConversion"/>
  </si>
  <si>
    <t>車用連接器</t>
    <phoneticPr fontId="1" type="noConversion"/>
  </si>
  <si>
    <t>5.04</t>
    <phoneticPr fontId="1" type="noConversion"/>
  </si>
  <si>
    <t>保護鏡片</t>
    <phoneticPr fontId="1" type="noConversion"/>
  </si>
  <si>
    <t>39.35</t>
    <phoneticPr fontId="1" type="noConversion"/>
  </si>
  <si>
    <t>5.19</t>
    <phoneticPr fontId="1" type="noConversion"/>
  </si>
  <si>
    <t>9.03</t>
    <phoneticPr fontId="1" type="noConversion"/>
  </si>
  <si>
    <t>無人機</t>
    <phoneticPr fontId="1" type="noConversion"/>
  </si>
  <si>
    <t>Type-C</t>
    <phoneticPr fontId="1" type="noConversion"/>
  </si>
  <si>
    <t>券商三商壽轉投資</t>
    <phoneticPr fontId="1" type="noConversion"/>
  </si>
  <si>
    <t>券商</t>
    <phoneticPr fontId="1" type="noConversion"/>
  </si>
  <si>
    <t>端子Tesla</t>
    <phoneticPr fontId="1" type="noConversion"/>
  </si>
  <si>
    <t>18.79</t>
    <phoneticPr fontId="1" type="noConversion"/>
  </si>
  <si>
    <t>42.75</t>
    <phoneticPr fontId="1" type="noConversion"/>
  </si>
  <si>
    <t>被動元件設備</t>
    <phoneticPr fontId="1" type="noConversion"/>
  </si>
  <si>
    <t>不鏽鋼線材</t>
    <phoneticPr fontId="1" type="noConversion"/>
  </si>
  <si>
    <t>53.0</t>
    <phoneticPr fontId="1" type="noConversion"/>
  </si>
  <si>
    <t>不鏽鋼剪裁</t>
    <phoneticPr fontId="1" type="noConversion"/>
  </si>
  <si>
    <t>工具機</t>
    <phoneticPr fontId="1" type="noConversion"/>
  </si>
  <si>
    <t>1.30</t>
    <phoneticPr fontId="1" type="noConversion"/>
  </si>
  <si>
    <t>2.30</t>
    <phoneticPr fontId="1" type="noConversion"/>
  </si>
  <si>
    <t>濱川</t>
    <phoneticPr fontId="1" type="noConversion"/>
  </si>
  <si>
    <t>協禧</t>
    <phoneticPr fontId="1" type="noConversion"/>
  </si>
  <si>
    <t>艾訊</t>
    <phoneticPr fontId="1" type="noConversion"/>
  </si>
  <si>
    <t>茂訊</t>
    <phoneticPr fontId="1" type="noConversion"/>
  </si>
  <si>
    <t>東碩</t>
    <phoneticPr fontId="1" type="noConversion"/>
  </si>
  <si>
    <t>廣寰科</t>
    <phoneticPr fontId="1" type="noConversion"/>
  </si>
  <si>
    <t>8.03</t>
    <phoneticPr fontId="1" type="noConversion"/>
  </si>
  <si>
    <t>加百裕</t>
    <phoneticPr fontId="1" type="noConversion"/>
  </si>
  <si>
    <t>安勤</t>
    <phoneticPr fontId="1" type="noConversion"/>
  </si>
  <si>
    <t>鴻翊</t>
    <phoneticPr fontId="1" type="noConversion"/>
  </si>
  <si>
    <t>3540</t>
    <phoneticPr fontId="1" type="noConversion"/>
  </si>
  <si>
    <t>泓格</t>
    <phoneticPr fontId="1" type="noConversion"/>
  </si>
  <si>
    <t>磐儀</t>
    <phoneticPr fontId="1" type="noConversion"/>
  </si>
  <si>
    <t>4.25</t>
    <phoneticPr fontId="1" type="noConversion"/>
  </si>
  <si>
    <t>鼎翰</t>
    <phoneticPr fontId="1" type="noConversion"/>
  </si>
  <si>
    <t>西勝</t>
    <phoneticPr fontId="1" type="noConversion"/>
  </si>
  <si>
    <t>電池模組</t>
    <phoneticPr fontId="1" type="noConversion"/>
  </si>
  <si>
    <t>精聯</t>
    <phoneticPr fontId="1" type="noConversion"/>
  </si>
  <si>
    <t>營邦</t>
    <phoneticPr fontId="1" type="noConversion"/>
  </si>
  <si>
    <t>伺服器機殼</t>
    <phoneticPr fontId="1" type="noConversion"/>
  </si>
  <si>
    <t>鑫聯大投控</t>
    <phoneticPr fontId="1" type="noConversion"/>
  </si>
  <si>
    <t>欣厚KY</t>
    <phoneticPr fontId="1" type="noConversion"/>
  </si>
  <si>
    <t>2.52</t>
    <phoneticPr fontId="1" type="noConversion"/>
  </si>
  <si>
    <t>科誠</t>
    <phoneticPr fontId="1" type="noConversion"/>
  </si>
  <si>
    <t>5223</t>
    <phoneticPr fontId="1" type="noConversion"/>
  </si>
  <si>
    <t>安力KY</t>
    <phoneticPr fontId="1" type="noConversion"/>
  </si>
  <si>
    <t>協益</t>
    <phoneticPr fontId="1" type="noConversion"/>
  </si>
  <si>
    <t>電子零組件周邊</t>
    <phoneticPr fontId="1" type="noConversion"/>
  </si>
  <si>
    <t>青雲</t>
    <phoneticPr fontId="1" type="noConversion"/>
  </si>
  <si>
    <t>振發</t>
    <phoneticPr fontId="1" type="noConversion"/>
  </si>
  <si>
    <t>東友</t>
    <phoneticPr fontId="1" type="noConversion"/>
  </si>
  <si>
    <t>富驊</t>
    <phoneticPr fontId="1" type="noConversion"/>
  </si>
  <si>
    <t>聰泰</t>
    <phoneticPr fontId="1" type="noConversion"/>
  </si>
  <si>
    <t>同亨</t>
    <phoneticPr fontId="1" type="noConversion"/>
  </si>
  <si>
    <t>上奇</t>
    <phoneticPr fontId="1" type="noConversion"/>
  </si>
  <si>
    <t>欣技</t>
    <phoneticPr fontId="1" type="noConversion"/>
  </si>
  <si>
    <t>捷波</t>
    <phoneticPr fontId="1" type="noConversion"/>
  </si>
  <si>
    <t>廣明</t>
    <phoneticPr fontId="1" type="noConversion"/>
  </si>
  <si>
    <t>全譜</t>
    <phoneticPr fontId="1" type="noConversion"/>
  </si>
  <si>
    <t>安鈦克</t>
    <phoneticPr fontId="1" type="noConversion"/>
  </si>
  <si>
    <t>維田</t>
    <phoneticPr fontId="1" type="noConversion"/>
  </si>
  <si>
    <t>3.83</t>
    <phoneticPr fontId="1" type="noConversion"/>
  </si>
  <si>
    <t>勁豐</t>
    <phoneticPr fontId="1" type="noConversion"/>
  </si>
  <si>
    <t>工業電腦豐藝旗下</t>
    <phoneticPr fontId="1" type="noConversion"/>
  </si>
  <si>
    <t>鑫創電子</t>
    <phoneticPr fontId="1" type="noConversion"/>
  </si>
  <si>
    <t>車載電腦</t>
    <phoneticPr fontId="1" type="noConversion"/>
  </si>
  <si>
    <t>廣積</t>
    <phoneticPr fontId="1" type="noConversion"/>
  </si>
  <si>
    <t>工業電腦</t>
    <phoneticPr fontId="1" type="noConversion"/>
  </si>
  <si>
    <t>新漢</t>
    <phoneticPr fontId="1" type="noConversion"/>
  </si>
  <si>
    <t>森田</t>
    <phoneticPr fontId="1" type="noConversion"/>
  </si>
  <si>
    <t>91.4</t>
    <phoneticPr fontId="1" type="noConversion"/>
  </si>
  <si>
    <t>59.4</t>
    <phoneticPr fontId="1" type="noConversion"/>
  </si>
  <si>
    <t>不鏽鋼板裁剪</t>
    <phoneticPr fontId="1" type="noConversion"/>
  </si>
  <si>
    <t>7.96</t>
    <phoneticPr fontId="1" type="noConversion"/>
  </si>
  <si>
    <t>USB控制IC</t>
    <phoneticPr fontId="1" type="noConversion"/>
  </si>
  <si>
    <t>RF晶片</t>
    <phoneticPr fontId="1" type="noConversion"/>
  </si>
  <si>
    <t>377</t>
    <phoneticPr fontId="1" type="noConversion"/>
  </si>
  <si>
    <t>8.39</t>
    <phoneticPr fontId="1" type="noConversion"/>
  </si>
  <si>
    <t>-3.71</t>
    <phoneticPr fontId="1" type="noConversion"/>
  </si>
  <si>
    <t>無線網絡華碩旗下</t>
    <phoneticPr fontId="1" type="noConversion"/>
  </si>
  <si>
    <t>15.0</t>
    <phoneticPr fontId="1" type="noConversion"/>
  </si>
  <si>
    <t>富采投控</t>
    <phoneticPr fontId="1" type="noConversion"/>
  </si>
  <si>
    <t>翔耀</t>
    <phoneticPr fontId="1" type="noConversion"/>
  </si>
  <si>
    <t>背光板華映旗下</t>
    <phoneticPr fontId="1" type="noConversion"/>
  </si>
  <si>
    <t>亨泰光</t>
    <phoneticPr fontId="1" type="noConversion"/>
  </si>
  <si>
    <t>台星科</t>
    <phoneticPr fontId="1" type="noConversion"/>
  </si>
  <si>
    <t>1702</t>
    <phoneticPr fontId="1" type="noConversion"/>
  </si>
  <si>
    <t>4432</t>
    <phoneticPr fontId="1" type="noConversion"/>
  </si>
  <si>
    <t>鉛酸電池</t>
    <phoneticPr fontId="1" type="noConversion"/>
  </si>
  <si>
    <t>13.55</t>
    <phoneticPr fontId="1" type="noConversion"/>
  </si>
  <si>
    <t>67.1</t>
    <phoneticPr fontId="1" type="noConversion"/>
  </si>
  <si>
    <t>資本</t>
    <phoneticPr fontId="1" type="noConversion"/>
  </si>
  <si>
    <t>稅</t>
    <phoneticPr fontId="1" type="noConversion"/>
  </si>
  <si>
    <t>營</t>
    <phoneticPr fontId="1" type="noConversion"/>
  </si>
  <si>
    <t>期</t>
    <phoneticPr fontId="1" type="noConversion"/>
  </si>
  <si>
    <t>年</t>
    <phoneticPr fontId="1" type="noConversion"/>
  </si>
  <si>
    <t>營益率</t>
    <phoneticPr fontId="1" type="noConversion"/>
  </si>
  <si>
    <t>持股</t>
    <phoneticPr fontId="1" type="noConversion"/>
  </si>
  <si>
    <t>大戶</t>
    <phoneticPr fontId="1" type="noConversion"/>
  </si>
  <si>
    <t>法人</t>
    <phoneticPr fontId="1" type="noConversion"/>
  </si>
  <si>
    <t>融資</t>
    <phoneticPr fontId="1" type="noConversion"/>
  </si>
  <si>
    <t>籌碼</t>
    <phoneticPr fontId="1" type="noConversion"/>
  </si>
  <si>
    <t>損益</t>
    <phoneticPr fontId="1" type="noConversion"/>
  </si>
  <si>
    <t>損益率</t>
    <phoneticPr fontId="1" type="noConversion"/>
  </si>
  <si>
    <t>成分</t>
    <phoneticPr fontId="1" type="noConversion"/>
  </si>
  <si>
    <t>類股</t>
    <phoneticPr fontId="1" type="noConversion"/>
  </si>
  <si>
    <t>買進日期</t>
    <phoneticPr fontId="1" type="noConversion"/>
  </si>
  <si>
    <t>賣出日期</t>
    <phoneticPr fontId="1" type="noConversion"/>
  </si>
  <si>
    <t>天數</t>
    <phoneticPr fontId="1" type="noConversion"/>
  </si>
  <si>
    <t>南珠</t>
    <phoneticPr fontId="1" type="noConversion"/>
  </si>
  <si>
    <t>1</t>
    <phoneticPr fontId="1" type="noConversion"/>
  </si>
  <si>
    <t>12月20年</t>
    <phoneticPr fontId="1" type="noConversion"/>
  </si>
  <si>
    <t>14.0</t>
    <phoneticPr fontId="1" type="noConversion"/>
  </si>
  <si>
    <t>6284</t>
    <phoneticPr fontId="1" type="noConversion"/>
  </si>
  <si>
    <t>佳邦</t>
    <phoneticPr fontId="1" type="noConversion"/>
  </si>
  <si>
    <t>7.98</t>
    <phoneticPr fontId="1" type="noConversion"/>
  </si>
  <si>
    <t>6237</t>
    <phoneticPr fontId="1" type="noConversion"/>
  </si>
  <si>
    <t>驊訊</t>
    <phoneticPr fontId="1" type="noConversion"/>
  </si>
  <si>
    <t>1</t>
    <phoneticPr fontId="35" type="noConversion"/>
  </si>
  <si>
    <t>穎崴</t>
    <phoneticPr fontId="1" type="noConversion"/>
  </si>
  <si>
    <t>螺栓台鋼旗下</t>
    <phoneticPr fontId="1" type="noConversion"/>
  </si>
  <si>
    <t>晶圓檢測探針</t>
    <phoneticPr fontId="1" type="noConversion"/>
  </si>
  <si>
    <t>7.20</t>
    <phoneticPr fontId="1" type="noConversion"/>
  </si>
  <si>
    <t>薄膜靶材</t>
    <phoneticPr fontId="1" type="noConversion"/>
  </si>
  <si>
    <t>77.2</t>
    <phoneticPr fontId="1" type="noConversion"/>
  </si>
  <si>
    <t>1038</t>
    <phoneticPr fontId="1" type="noConversion"/>
  </si>
  <si>
    <t>1091</t>
    <phoneticPr fontId="1" type="noConversion"/>
  </si>
  <si>
    <t>30.0</t>
    <phoneticPr fontId="1" type="noConversion"/>
  </si>
  <si>
    <t>25</t>
    <phoneticPr fontId="1" type="noConversion"/>
  </si>
  <si>
    <t>中信旗下旗下凱基證劵銀行</t>
    <phoneticPr fontId="1" type="noConversion"/>
  </si>
  <si>
    <t>25.1</t>
    <phoneticPr fontId="1" type="noConversion"/>
  </si>
  <si>
    <t>4.29</t>
    <phoneticPr fontId="1" type="noConversion"/>
  </si>
  <si>
    <t>27.7</t>
    <phoneticPr fontId="1" type="noConversion"/>
  </si>
  <si>
    <t>343</t>
    <phoneticPr fontId="1" type="noConversion"/>
  </si>
  <si>
    <t>213</t>
    <phoneticPr fontId="1" type="noConversion"/>
  </si>
  <si>
    <t>松瑞藥</t>
    <phoneticPr fontId="1" type="noConversion"/>
  </si>
  <si>
    <t>8.86</t>
    <phoneticPr fontId="1" type="noConversion"/>
  </si>
  <si>
    <t>資訊商大同旗下</t>
    <phoneticPr fontId="1" type="noConversion"/>
  </si>
  <si>
    <t>6.85</t>
    <phoneticPr fontId="1" type="noConversion"/>
  </si>
  <si>
    <t>前新股</t>
    <phoneticPr fontId="1" type="noConversion"/>
  </si>
  <si>
    <t>之前發行新股</t>
    <phoneticPr fontId="1" type="noConversion"/>
  </si>
  <si>
    <t>生技投控旗下HK澳優乳業,豐華生技,順藥,益安,東曜</t>
    <phoneticPr fontId="1" type="noConversion"/>
  </si>
  <si>
    <t>22.5</t>
    <phoneticPr fontId="1" type="noConversion"/>
  </si>
  <si>
    <t>紅血球增生</t>
    <phoneticPr fontId="1" type="noConversion"/>
  </si>
  <si>
    <t>散熱風扇</t>
    <phoneticPr fontId="1" type="noConversion"/>
  </si>
  <si>
    <t>PCB e-bike</t>
    <phoneticPr fontId="1" type="noConversion"/>
  </si>
  <si>
    <t>顯示器模組</t>
    <phoneticPr fontId="1" type="noConversion"/>
  </si>
  <si>
    <t>新股</t>
    <phoneticPr fontId="1" type="noConversion"/>
  </si>
  <si>
    <t>發行新股</t>
    <phoneticPr fontId="1" type="noConversion"/>
  </si>
  <si>
    <t>台微醫</t>
    <phoneticPr fontId="1" type="noConversion"/>
  </si>
  <si>
    <t>隱形眼鏡</t>
    <phoneticPr fontId="1" type="noConversion"/>
  </si>
  <si>
    <t>手術產品鐿鈦旗下</t>
    <phoneticPr fontId="1" type="noConversion"/>
  </si>
  <si>
    <t>原料藥永信旗下</t>
    <phoneticPr fontId="1" type="noConversion"/>
  </si>
  <si>
    <t>抗癌新藥</t>
    <phoneticPr fontId="1" type="noConversion"/>
  </si>
  <si>
    <t>剪刀腳3雄</t>
    <phoneticPr fontId="1" type="noConversion"/>
  </si>
  <si>
    <t>-0.67</t>
    <phoneticPr fontId="1" type="noConversion"/>
  </si>
  <si>
    <t>電纜不銹鋼華新麗華集團</t>
    <phoneticPr fontId="1" type="noConversion"/>
  </si>
  <si>
    <t>微波通訊</t>
    <phoneticPr fontId="1" type="noConversion"/>
  </si>
  <si>
    <t>6.22</t>
    <phoneticPr fontId="1" type="noConversion"/>
  </si>
  <si>
    <t>工業電腦仁寶旗下</t>
    <phoneticPr fontId="1" type="noConversion"/>
  </si>
  <si>
    <t>IP Camera</t>
    <phoneticPr fontId="1" type="noConversion"/>
  </si>
  <si>
    <t>8.70</t>
    <phoneticPr fontId="1" type="noConversion"/>
  </si>
  <si>
    <t>威健生技</t>
    <phoneticPr fontId="1" type="noConversion"/>
  </si>
  <si>
    <t>生物晶片</t>
    <phoneticPr fontId="1" type="noConversion"/>
  </si>
  <si>
    <t>電池材料</t>
    <phoneticPr fontId="1" type="noConversion"/>
  </si>
  <si>
    <t>驅動IC封測</t>
    <phoneticPr fontId="1" type="noConversion"/>
  </si>
  <si>
    <t>PCB設備</t>
    <phoneticPr fontId="1" type="noConversion"/>
  </si>
  <si>
    <t>液晶模組</t>
    <phoneticPr fontId="1" type="noConversion"/>
  </si>
  <si>
    <t>博晟生醫</t>
    <phoneticPr fontId="1" type="noConversion"/>
  </si>
  <si>
    <t>骨材晟德旗下</t>
    <phoneticPr fontId="1" type="noConversion"/>
  </si>
  <si>
    <t>電容上游鋁箔</t>
    <phoneticPr fontId="1" type="noConversion"/>
  </si>
  <si>
    <t>CIS封測國巨旗下</t>
    <phoneticPr fontId="1" type="noConversion"/>
  </si>
  <si>
    <t>Sip封測鴻海旗下</t>
    <phoneticPr fontId="1" type="noConversion"/>
  </si>
  <si>
    <t>銅產品</t>
    <phoneticPr fontId="1" type="noConversion"/>
  </si>
  <si>
    <t>封測</t>
    <phoneticPr fontId="1" type="noConversion"/>
  </si>
  <si>
    <t>連接元件</t>
    <phoneticPr fontId="1" type="noConversion"/>
  </si>
  <si>
    <t>玻璃加工鴻海旗下</t>
    <phoneticPr fontId="1" type="noConversion"/>
  </si>
  <si>
    <t>車用IC</t>
    <phoneticPr fontId="1" type="noConversion"/>
  </si>
  <si>
    <t>機殼鴻海旗下</t>
    <phoneticPr fontId="1" type="noConversion"/>
  </si>
  <si>
    <t>充電樁</t>
    <phoneticPr fontId="1" type="noConversion"/>
  </si>
  <si>
    <t>紙帶被動元件</t>
    <phoneticPr fontId="1" type="noConversion"/>
  </si>
  <si>
    <t>PCB4雄聯電旗下</t>
    <phoneticPr fontId="1" type="noConversion"/>
  </si>
  <si>
    <t>PCB4雄</t>
    <phoneticPr fontId="1" type="noConversion"/>
  </si>
  <si>
    <t>PCB4雄鴻海旗下</t>
    <phoneticPr fontId="1" type="noConversion"/>
  </si>
  <si>
    <t>PCB4雄台塑旗下</t>
    <phoneticPr fontId="1" type="noConversion"/>
  </si>
  <si>
    <t>探針</t>
    <phoneticPr fontId="1" type="noConversion"/>
  </si>
  <si>
    <t>電阻上游陶瓷基板</t>
    <phoneticPr fontId="1" type="noConversion"/>
  </si>
  <si>
    <t>掌上型電腦</t>
    <phoneticPr fontId="1" type="noConversion"/>
  </si>
  <si>
    <t>半導體設備</t>
    <phoneticPr fontId="1" type="noConversion"/>
  </si>
  <si>
    <t>矽晶圓漢磊旗下</t>
    <phoneticPr fontId="1" type="noConversion"/>
  </si>
  <si>
    <t>電池線Tesla</t>
    <phoneticPr fontId="1" type="noConversion"/>
  </si>
  <si>
    <t>CIS聯電旗下</t>
    <phoneticPr fontId="1" type="noConversion"/>
  </si>
  <si>
    <t>CIS力晶Omni Vision合資</t>
    <phoneticPr fontId="1" type="noConversion"/>
  </si>
  <si>
    <t>IP聯發科旗下</t>
    <phoneticPr fontId="1" type="noConversion"/>
  </si>
  <si>
    <t>IP聯電旗下</t>
    <phoneticPr fontId="1" type="noConversion"/>
  </si>
  <si>
    <t>散熱</t>
    <phoneticPr fontId="1" type="noConversion"/>
  </si>
  <si>
    <t>麗寶集團旗下</t>
    <phoneticPr fontId="1" type="noConversion"/>
  </si>
  <si>
    <t>PCB鑽孔機</t>
    <phoneticPr fontId="1" type="noConversion"/>
  </si>
  <si>
    <t>遊戲</t>
    <phoneticPr fontId="1" type="noConversion"/>
  </si>
  <si>
    <t>建商巴巴旗下</t>
    <phoneticPr fontId="1" type="noConversion"/>
  </si>
  <si>
    <t>減速齒輪Tesla</t>
    <phoneticPr fontId="1" type="noConversion"/>
  </si>
  <si>
    <t>無塵室</t>
    <phoneticPr fontId="1" type="noConversion"/>
  </si>
  <si>
    <t>封測台積電旗下</t>
    <phoneticPr fontId="1" type="noConversion"/>
  </si>
  <si>
    <t>濺鍍蝕刻</t>
    <phoneticPr fontId="1" type="noConversion"/>
  </si>
  <si>
    <t>記憶體模組金士頓轉投資</t>
    <phoneticPr fontId="1" type="noConversion"/>
  </si>
  <si>
    <t>砷化鎵3雄</t>
    <phoneticPr fontId="1" type="noConversion"/>
  </si>
  <si>
    <t>環景偵測Tesla</t>
    <phoneticPr fontId="1" type="noConversion"/>
  </si>
  <si>
    <t>沖壓Tesla</t>
    <phoneticPr fontId="1" type="noConversion"/>
  </si>
  <si>
    <t>汽車EMS華新旗下</t>
    <phoneticPr fontId="1" type="noConversion"/>
  </si>
  <si>
    <t>SSD代工廣達旗下</t>
    <phoneticPr fontId="1" type="noConversion"/>
  </si>
  <si>
    <t>胎壓偵測Tesla</t>
    <phoneticPr fontId="1" type="noConversion"/>
  </si>
  <si>
    <t>電容</t>
    <phoneticPr fontId="1" type="noConversion"/>
  </si>
  <si>
    <t>封測設備</t>
    <phoneticPr fontId="1" type="noConversion"/>
  </si>
  <si>
    <t>IT通路威盛旗下</t>
    <phoneticPr fontId="1" type="noConversion"/>
  </si>
  <si>
    <t>47.6</t>
    <phoneticPr fontId="1" type="noConversion"/>
  </si>
  <si>
    <t>重電</t>
    <phoneticPr fontId="1" type="noConversion"/>
  </si>
  <si>
    <t>面板遮罩義隆轉投資</t>
    <phoneticPr fontId="1" type="noConversion"/>
  </si>
  <si>
    <t>5.90</t>
    <phoneticPr fontId="1" type="noConversion"/>
  </si>
  <si>
    <t>類比IC封測</t>
    <phoneticPr fontId="1" type="noConversion"/>
  </si>
  <si>
    <t>安控</t>
    <phoneticPr fontId="1" type="noConversion"/>
  </si>
  <si>
    <t>定位系統</t>
    <phoneticPr fontId="1" type="noConversion"/>
  </si>
  <si>
    <t>全宇昕</t>
    <phoneticPr fontId="1" type="noConversion"/>
  </si>
  <si>
    <t>新藥美吾華旗下</t>
    <phoneticPr fontId="1" type="noConversion"/>
  </si>
  <si>
    <t>39.5</t>
    <phoneticPr fontId="1" type="noConversion"/>
  </si>
  <si>
    <t>29.5</t>
    <phoneticPr fontId="1" type="noConversion"/>
  </si>
  <si>
    <t>車用二極體光寶旗下</t>
    <phoneticPr fontId="1" type="noConversion"/>
  </si>
  <si>
    <t>光通訊器件</t>
    <phoneticPr fontId="1" type="noConversion"/>
  </si>
  <si>
    <t>IC測試旺宏子公司</t>
    <phoneticPr fontId="1" type="noConversion"/>
  </si>
  <si>
    <t>傳動系統</t>
    <phoneticPr fontId="1" type="noConversion"/>
  </si>
  <si>
    <t>觸控IC</t>
    <phoneticPr fontId="1" type="noConversion"/>
  </si>
  <si>
    <t>麥克風晶片</t>
    <phoneticPr fontId="1" type="noConversion"/>
  </si>
  <si>
    <t>耳溫槍</t>
    <phoneticPr fontId="1" type="noConversion"/>
  </si>
  <si>
    <t>連鎖藥局</t>
    <phoneticPr fontId="1" type="noConversion"/>
  </si>
  <si>
    <t>抗癌</t>
    <phoneticPr fontId="1" type="noConversion"/>
  </si>
  <si>
    <t>醫療通路</t>
    <phoneticPr fontId="1" type="noConversion"/>
  </si>
  <si>
    <t>製藥設備</t>
    <phoneticPr fontId="1" type="noConversion"/>
  </si>
  <si>
    <t>電玩機台</t>
    <phoneticPr fontId="1" type="noConversion"/>
  </si>
  <si>
    <t>誠品</t>
    <phoneticPr fontId="1" type="noConversion"/>
  </si>
  <si>
    <t>遊戲代理</t>
    <phoneticPr fontId="1" type="noConversion"/>
  </si>
  <si>
    <t>廣告電影後制</t>
    <phoneticPr fontId="1" type="noConversion"/>
  </si>
  <si>
    <t>電視劇</t>
    <phoneticPr fontId="1" type="noConversion"/>
  </si>
  <si>
    <t>探針卡</t>
    <phoneticPr fontId="1" type="noConversion"/>
  </si>
  <si>
    <t>電子紙永豐餘旗下</t>
    <phoneticPr fontId="1" type="noConversion"/>
  </si>
  <si>
    <t>太陽能長晶</t>
    <phoneticPr fontId="1" type="noConversion"/>
  </si>
  <si>
    <t>MCU</t>
    <phoneticPr fontId="1" type="noConversion"/>
  </si>
  <si>
    <t>麥克風IC</t>
    <phoneticPr fontId="1" type="noConversion"/>
  </si>
  <si>
    <t>消費性IC</t>
    <phoneticPr fontId="1" type="noConversion"/>
  </si>
  <si>
    <t>感測元件封裝</t>
    <phoneticPr fontId="1" type="noConversion"/>
  </si>
  <si>
    <t>LED驅動IC</t>
    <phoneticPr fontId="1" type="noConversion"/>
  </si>
  <si>
    <t>觸控IC禾伸堂旗下</t>
    <phoneticPr fontId="1" type="noConversion"/>
  </si>
  <si>
    <t>伺服器IC宏正投資</t>
    <phoneticPr fontId="1" type="noConversion"/>
  </si>
  <si>
    <t>記憶體兆豐和矽創投資</t>
    <phoneticPr fontId="1" type="noConversion"/>
  </si>
  <si>
    <t>高速訊號IC</t>
    <phoneticPr fontId="1" type="noConversion"/>
  </si>
  <si>
    <t>光通信IC鈺創轉投資</t>
    <phoneticPr fontId="1" type="noConversion"/>
  </si>
  <si>
    <t>CD Discman IC</t>
    <phoneticPr fontId="1" type="noConversion"/>
  </si>
  <si>
    <t>視訊記憶體</t>
    <phoneticPr fontId="1" type="noConversion"/>
  </si>
  <si>
    <t>電源IC</t>
    <phoneticPr fontId="1" type="noConversion"/>
  </si>
  <si>
    <t>記憶體IC金士頓轉投資</t>
    <phoneticPr fontId="1" type="noConversion"/>
  </si>
  <si>
    <t>語音IC新唐轉投資</t>
    <phoneticPr fontId="1" type="noConversion"/>
  </si>
  <si>
    <t>射頻晶片</t>
    <phoneticPr fontId="1" type="noConversion"/>
  </si>
  <si>
    <t>USB控制IC安國轉投資</t>
    <phoneticPr fontId="1" type="noConversion"/>
  </si>
  <si>
    <t>半導體設備均豪子公司</t>
    <phoneticPr fontId="1" type="noConversion"/>
  </si>
  <si>
    <t>製程設備</t>
    <phoneticPr fontId="1" type="noConversion"/>
  </si>
  <si>
    <t>玩具語音IC</t>
    <phoneticPr fontId="1" type="noConversion"/>
  </si>
  <si>
    <t>自行車</t>
    <phoneticPr fontId="1" type="noConversion"/>
  </si>
  <si>
    <t>電源供應器</t>
    <phoneticPr fontId="1" type="noConversion"/>
  </si>
  <si>
    <t>電子零件商</t>
    <phoneticPr fontId="1" type="noConversion"/>
  </si>
  <si>
    <t>PCB檢測</t>
    <phoneticPr fontId="1" type="noConversion"/>
  </si>
  <si>
    <t>軟板上游日本有澤轉投資</t>
    <phoneticPr fontId="1" type="noConversion"/>
  </si>
  <si>
    <t>變壓器線架</t>
    <phoneticPr fontId="1" type="noConversion"/>
  </si>
  <si>
    <t>同軸線</t>
    <phoneticPr fontId="1" type="noConversion"/>
  </si>
  <si>
    <t>電聲元件</t>
    <phoneticPr fontId="1" type="noConversion"/>
  </si>
  <si>
    <t>電感線圈</t>
    <phoneticPr fontId="1" type="noConversion"/>
  </si>
  <si>
    <t>電感</t>
    <phoneticPr fontId="1" type="noConversion"/>
  </si>
  <si>
    <t>軟板志超轉投資</t>
    <phoneticPr fontId="1" type="noConversion"/>
  </si>
  <si>
    <t>馬達驅動IC</t>
    <phoneticPr fontId="1" type="noConversion"/>
  </si>
  <si>
    <t>被動元件代理高木集團</t>
    <phoneticPr fontId="1" type="noConversion"/>
  </si>
  <si>
    <t>軟板基材</t>
    <phoneticPr fontId="1" type="noConversion"/>
  </si>
  <si>
    <t>MOSFET華碩轉投資</t>
    <phoneticPr fontId="1" type="noConversion"/>
  </si>
  <si>
    <t>電梯</t>
    <phoneticPr fontId="1" type="noConversion"/>
  </si>
  <si>
    <t>20.7</t>
    <phoneticPr fontId="1" type="noConversion"/>
  </si>
  <si>
    <t>PU合成皮</t>
    <phoneticPr fontId="1" type="noConversion"/>
  </si>
  <si>
    <t>成衣</t>
    <phoneticPr fontId="1" type="noConversion"/>
  </si>
  <si>
    <t>針織布</t>
    <phoneticPr fontId="1" type="noConversion"/>
  </si>
  <si>
    <t>成衣年興轉投資</t>
    <phoneticPr fontId="1" type="noConversion"/>
  </si>
  <si>
    <t>短纖布</t>
    <phoneticPr fontId="1" type="noConversion"/>
  </si>
  <si>
    <t>提花</t>
    <phoneticPr fontId="1" type="noConversion"/>
  </si>
  <si>
    <t>PP纖維</t>
    <phoneticPr fontId="1" type="noConversion"/>
  </si>
  <si>
    <t>染整</t>
    <phoneticPr fontId="1" type="noConversion"/>
  </si>
  <si>
    <t>房屋代銷</t>
    <phoneticPr fontId="1" type="noConversion"/>
  </si>
  <si>
    <t>封測日月光集團</t>
    <phoneticPr fontId="1" type="noConversion"/>
  </si>
  <si>
    <t>鍵盤IC</t>
    <phoneticPr fontId="1" type="noConversion"/>
  </si>
  <si>
    <t>功率封測</t>
    <phoneticPr fontId="1" type="noConversion"/>
  </si>
  <si>
    <t>雲端緯創旗下</t>
    <phoneticPr fontId="1" type="noConversion"/>
  </si>
  <si>
    <t>KVM</t>
    <phoneticPr fontId="1" type="noConversion"/>
  </si>
  <si>
    <t>NB外殼</t>
    <phoneticPr fontId="1" type="noConversion"/>
  </si>
  <si>
    <t>通訊記憶卡</t>
    <phoneticPr fontId="1" type="noConversion"/>
  </si>
  <si>
    <t>碳粉匣</t>
    <phoneticPr fontId="1" type="noConversion"/>
  </si>
  <si>
    <t>機殼</t>
    <phoneticPr fontId="1" type="noConversion"/>
  </si>
  <si>
    <t>POS</t>
    <phoneticPr fontId="1" type="noConversion"/>
  </si>
  <si>
    <t>顯示器</t>
    <phoneticPr fontId="1" type="noConversion"/>
  </si>
  <si>
    <t>影像IC</t>
    <phoneticPr fontId="1" type="noConversion"/>
  </si>
  <si>
    <t>通訊IC裕隆旗下</t>
    <phoneticPr fontId="1" type="noConversion"/>
  </si>
  <si>
    <t>邏輯IC威盛轉投資</t>
    <phoneticPr fontId="1" type="noConversion"/>
  </si>
  <si>
    <t>冬蟲夏草</t>
    <phoneticPr fontId="1" type="noConversion"/>
  </si>
  <si>
    <t>軟板</t>
    <phoneticPr fontId="1" type="noConversion"/>
  </si>
  <si>
    <t>充電器</t>
    <phoneticPr fontId="1" type="noConversion"/>
  </si>
  <si>
    <t>散熱片</t>
    <phoneticPr fontId="1" type="noConversion"/>
  </si>
  <si>
    <t>連接線</t>
    <phoneticPr fontId="1" type="noConversion"/>
  </si>
  <si>
    <t>松下被動元件代理</t>
    <phoneticPr fontId="1" type="noConversion"/>
  </si>
  <si>
    <t>NB樞紐</t>
    <phoneticPr fontId="1" type="noConversion"/>
  </si>
  <si>
    <t>電子安定器</t>
    <phoneticPr fontId="1" type="noConversion"/>
  </si>
  <si>
    <t>電阻薄膜</t>
    <phoneticPr fontId="1" type="noConversion"/>
  </si>
  <si>
    <t>錫條</t>
    <phoneticPr fontId="1" type="noConversion"/>
  </si>
  <si>
    <t>CIS</t>
    <phoneticPr fontId="1" type="noConversion"/>
  </si>
  <si>
    <t>軟板友嘉旗下</t>
    <phoneticPr fontId="1" type="noConversion"/>
  </si>
  <si>
    <t>電容器</t>
    <phoneticPr fontId="1" type="noConversion"/>
  </si>
  <si>
    <t>PCB玻纖布日商</t>
    <phoneticPr fontId="1" type="noConversion"/>
  </si>
  <si>
    <t>LED散熱鋁基板</t>
    <phoneticPr fontId="1" type="noConversion"/>
  </si>
  <si>
    <t>多層壓合基板</t>
    <phoneticPr fontId="1" type="noConversion"/>
  </si>
  <si>
    <t>沖壓模具</t>
    <phoneticPr fontId="1" type="noConversion"/>
  </si>
  <si>
    <t>線材</t>
    <phoneticPr fontId="1" type="noConversion"/>
  </si>
  <si>
    <t>電子材料代理</t>
    <phoneticPr fontId="1" type="noConversion"/>
  </si>
  <si>
    <t>熱導管</t>
    <phoneticPr fontId="1" type="noConversion"/>
  </si>
  <si>
    <t>PCB磁性元件</t>
    <phoneticPr fontId="1" type="noConversion"/>
  </si>
  <si>
    <t>電阻</t>
    <phoneticPr fontId="1" type="noConversion"/>
  </si>
  <si>
    <t>電磁波</t>
    <phoneticPr fontId="1" type="noConversion"/>
  </si>
  <si>
    <t>SMT加工</t>
    <phoneticPr fontId="1" type="noConversion"/>
  </si>
  <si>
    <t>變壓器</t>
    <phoneticPr fontId="1" type="noConversion"/>
  </si>
  <si>
    <t>MLCC太陽誘電代理</t>
    <phoneticPr fontId="1" type="noConversion"/>
  </si>
  <si>
    <t>事務機零件</t>
    <phoneticPr fontId="1" type="noConversion"/>
  </si>
  <si>
    <t>PCB墊板</t>
    <phoneticPr fontId="1" type="noConversion"/>
  </si>
  <si>
    <t>電容代理</t>
    <phoneticPr fontId="1" type="noConversion"/>
  </si>
  <si>
    <t>離子植入機</t>
    <phoneticPr fontId="1" type="noConversion"/>
  </si>
  <si>
    <t>電源</t>
    <phoneticPr fontId="1" type="noConversion"/>
  </si>
  <si>
    <t>電感台聚旗下</t>
    <phoneticPr fontId="1" type="noConversion"/>
  </si>
  <si>
    <t>銅箔光寶旗下</t>
    <phoneticPr fontId="1" type="noConversion"/>
  </si>
  <si>
    <t>LED封裝</t>
    <phoneticPr fontId="1" type="noConversion"/>
  </si>
  <si>
    <t>模具</t>
    <phoneticPr fontId="1" type="noConversion"/>
  </si>
  <si>
    <t>磊晶片</t>
    <phoneticPr fontId="1" type="noConversion"/>
  </si>
  <si>
    <t>光學鏡頭上游</t>
    <phoneticPr fontId="1" type="noConversion"/>
  </si>
  <si>
    <t>設備</t>
    <phoneticPr fontId="1" type="noConversion"/>
  </si>
  <si>
    <t>半導體封裝模具</t>
    <phoneticPr fontId="1" type="noConversion"/>
  </si>
  <si>
    <t>LED照明</t>
    <phoneticPr fontId="1" type="noConversion"/>
  </si>
  <si>
    <t>背光模組</t>
    <phoneticPr fontId="1" type="noConversion"/>
  </si>
  <si>
    <t>導電玻璃錸德轉投資</t>
    <phoneticPr fontId="1" type="noConversion"/>
  </si>
  <si>
    <t>LED藍寶石基板</t>
    <phoneticPr fontId="1" type="noConversion"/>
  </si>
  <si>
    <t>LED燈具</t>
    <phoneticPr fontId="1" type="noConversion"/>
  </si>
  <si>
    <t>面板</t>
    <phoneticPr fontId="1" type="noConversion"/>
  </si>
  <si>
    <t>LED透鏡</t>
    <phoneticPr fontId="1" type="noConversion"/>
  </si>
  <si>
    <t>PMOLED</t>
    <phoneticPr fontId="1" type="noConversion"/>
  </si>
  <si>
    <t>機殼佳能轉投資</t>
    <phoneticPr fontId="1" type="noConversion"/>
  </si>
  <si>
    <t>觸控模組</t>
    <phoneticPr fontId="1" type="noConversion"/>
  </si>
  <si>
    <t>監控</t>
    <phoneticPr fontId="1" type="noConversion"/>
  </si>
  <si>
    <t>監控崇越電通旗下</t>
    <phoneticPr fontId="1" type="noConversion"/>
  </si>
  <si>
    <t>設備鴻海旗下群創轉投資</t>
    <phoneticPr fontId="1" type="noConversion"/>
  </si>
  <si>
    <t>碟片預錄</t>
    <phoneticPr fontId="1" type="noConversion"/>
  </si>
  <si>
    <t>LED元件</t>
    <phoneticPr fontId="1" type="noConversion"/>
  </si>
  <si>
    <t>光學膜片</t>
    <phoneticPr fontId="1" type="noConversion"/>
  </si>
  <si>
    <t>NB鍵盤支架</t>
    <phoneticPr fontId="1" type="noConversion"/>
  </si>
  <si>
    <t>NB強固型</t>
    <phoneticPr fontId="1" type="noConversion"/>
  </si>
  <si>
    <t>電視卡</t>
    <phoneticPr fontId="1" type="noConversion"/>
  </si>
  <si>
    <t>機殼電源供應器</t>
    <phoneticPr fontId="1" type="noConversion"/>
  </si>
  <si>
    <t>ADC資料收集</t>
    <phoneticPr fontId="1" type="noConversion"/>
  </si>
  <si>
    <t>通路代理商</t>
    <phoneticPr fontId="1" type="noConversion"/>
  </si>
  <si>
    <t>條碼標籤</t>
    <phoneticPr fontId="1" type="noConversion"/>
  </si>
  <si>
    <t>視訊解碼器</t>
    <phoneticPr fontId="1" type="noConversion"/>
  </si>
  <si>
    <t>事務機</t>
    <phoneticPr fontId="1" type="noConversion"/>
  </si>
  <si>
    <t>機殼神達轉投資</t>
    <phoneticPr fontId="1" type="noConversion"/>
  </si>
  <si>
    <t>主機板</t>
    <phoneticPr fontId="1" type="noConversion"/>
  </si>
  <si>
    <t>生物影像</t>
    <phoneticPr fontId="1" type="noConversion"/>
  </si>
  <si>
    <t>博弈廣積旗下</t>
    <phoneticPr fontId="1" type="noConversion"/>
  </si>
  <si>
    <t>熱轉印</t>
    <phoneticPr fontId="1" type="noConversion"/>
  </si>
  <si>
    <t>音響</t>
    <phoneticPr fontId="1" type="noConversion"/>
  </si>
  <si>
    <t>IC封裝設備</t>
    <phoneticPr fontId="1" type="noConversion"/>
  </si>
  <si>
    <t>驗證服務</t>
    <phoneticPr fontId="1" type="noConversion"/>
  </si>
  <si>
    <t>線材離岸風電世紀鋼</t>
    <phoneticPr fontId="1" type="noConversion"/>
  </si>
  <si>
    <t>針劑</t>
    <phoneticPr fontId="1" type="noConversion"/>
  </si>
  <si>
    <t>原料藥</t>
    <phoneticPr fontId="1" type="noConversion"/>
  </si>
  <si>
    <t>血壓計</t>
    <phoneticPr fontId="1" type="noConversion"/>
  </si>
  <si>
    <t>臍帶血</t>
    <phoneticPr fontId="1" type="noConversion"/>
  </si>
  <si>
    <t>醫療器材代理</t>
    <phoneticPr fontId="1" type="noConversion"/>
  </si>
  <si>
    <t>光學鏡片</t>
    <phoneticPr fontId="1" type="noConversion"/>
  </si>
  <si>
    <t>生醫通路公司</t>
    <phoneticPr fontId="1" type="noConversion"/>
  </si>
  <si>
    <t>克緹直銷</t>
    <phoneticPr fontId="1" type="noConversion"/>
  </si>
  <si>
    <t>抗癌東洋集團</t>
    <phoneticPr fontId="1" type="noConversion"/>
  </si>
  <si>
    <t>甲魚</t>
    <phoneticPr fontId="1" type="noConversion"/>
  </si>
  <si>
    <t>血液透析</t>
    <phoneticPr fontId="1" type="noConversion"/>
  </si>
  <si>
    <t>醫療器材明基旗下</t>
    <phoneticPr fontId="1" type="noConversion"/>
  </si>
  <si>
    <t>玻尿酸</t>
    <phoneticPr fontId="1" type="noConversion"/>
  </si>
  <si>
    <t>醫療耗材</t>
    <phoneticPr fontId="1" type="noConversion"/>
  </si>
  <si>
    <t>保健品</t>
    <phoneticPr fontId="1" type="noConversion"/>
  </si>
  <si>
    <t>生物檢驗晶片</t>
    <phoneticPr fontId="1" type="noConversion"/>
  </si>
  <si>
    <t>醫美器材佳醫旗下</t>
    <phoneticPr fontId="1" type="noConversion"/>
  </si>
  <si>
    <t>中醫連鎖</t>
    <phoneticPr fontId="1" type="noConversion"/>
  </si>
  <si>
    <t>醫療顯示器</t>
    <phoneticPr fontId="1" type="noConversion"/>
  </si>
  <si>
    <t>機能性飲品</t>
    <phoneticPr fontId="1" type="noConversion"/>
  </si>
  <si>
    <t>基因檢測訊聯旗下</t>
    <phoneticPr fontId="1" type="noConversion"/>
  </si>
  <si>
    <t>醫療機械</t>
    <phoneticPr fontId="1" type="noConversion"/>
  </si>
  <si>
    <t>醫療連鎖通路</t>
    <phoneticPr fontId="1" type="noConversion"/>
  </si>
  <si>
    <t>新藥杏輝旗下</t>
    <phoneticPr fontId="1" type="noConversion"/>
  </si>
  <si>
    <t>膠原蛋白</t>
    <phoneticPr fontId="1" type="noConversion"/>
  </si>
  <si>
    <t>眼鏡通路</t>
    <phoneticPr fontId="1" type="noConversion"/>
  </si>
  <si>
    <t>中草藥</t>
    <phoneticPr fontId="1" type="noConversion"/>
  </si>
  <si>
    <t>哮喘健喬旗下</t>
    <phoneticPr fontId="1" type="noConversion"/>
  </si>
  <si>
    <t>檢驗試劑</t>
    <phoneticPr fontId="1" type="noConversion"/>
  </si>
  <si>
    <t>醫美</t>
    <phoneticPr fontId="1" type="noConversion"/>
  </si>
  <si>
    <t>眼科儀器</t>
    <phoneticPr fontId="1" type="noConversion"/>
  </si>
  <si>
    <t>保養品</t>
    <phoneticPr fontId="1" type="noConversion"/>
  </si>
  <si>
    <t>藥品開發</t>
    <phoneticPr fontId="1" type="noConversion"/>
  </si>
  <si>
    <t>人工水晶體</t>
    <phoneticPr fontId="1" type="noConversion"/>
  </si>
  <si>
    <t>基因檢測</t>
    <phoneticPr fontId="1" type="noConversion"/>
  </si>
  <si>
    <t>實驗鼠</t>
    <phoneticPr fontId="1" type="noConversion"/>
  </si>
  <si>
    <t>原料藥生達旗下</t>
    <phoneticPr fontId="1" type="noConversion"/>
  </si>
  <si>
    <t>PACS廠</t>
    <phoneticPr fontId="1" type="noConversion"/>
  </si>
  <si>
    <t>新藥東洋旗下</t>
    <phoneticPr fontId="1" type="noConversion"/>
  </si>
  <si>
    <t>計程車隊</t>
    <phoneticPr fontId="1" type="noConversion"/>
  </si>
  <si>
    <t>感光平板</t>
    <phoneticPr fontId="1" type="noConversion"/>
  </si>
  <si>
    <t>不鏽鋼焊接管</t>
    <phoneticPr fontId="1" type="noConversion"/>
  </si>
  <si>
    <t>合金鋼榮鋼旗下</t>
    <phoneticPr fontId="1" type="noConversion"/>
  </si>
  <si>
    <t>釣魚線</t>
    <phoneticPr fontId="1" type="noConversion"/>
  </si>
  <si>
    <t>電動車</t>
    <phoneticPr fontId="1" type="noConversion"/>
  </si>
  <si>
    <t>飛機起落架</t>
    <phoneticPr fontId="1" type="noConversion"/>
  </si>
  <si>
    <t>工業過濾</t>
    <phoneticPr fontId="1" type="noConversion"/>
  </si>
  <si>
    <t>刀具</t>
    <phoneticPr fontId="1" type="noConversion"/>
  </si>
  <si>
    <t>安全座椅奐鑫旗下</t>
    <phoneticPr fontId="1" type="noConversion"/>
  </si>
  <si>
    <t>鏈條</t>
    <phoneticPr fontId="1" type="noConversion"/>
  </si>
  <si>
    <t>殯葬</t>
    <phoneticPr fontId="1" type="noConversion"/>
  </si>
  <si>
    <t>電廠工程</t>
    <phoneticPr fontId="1" type="noConversion"/>
  </si>
  <si>
    <t>基督徒塔位</t>
    <phoneticPr fontId="1" type="noConversion"/>
  </si>
  <si>
    <t>家具</t>
    <phoneticPr fontId="1" type="noConversion"/>
  </si>
  <si>
    <t>展示架</t>
    <phoneticPr fontId="1" type="noConversion"/>
  </si>
  <si>
    <t>印刷</t>
    <phoneticPr fontId="1" type="noConversion"/>
  </si>
  <si>
    <t>設備租賃</t>
    <phoneticPr fontId="1" type="noConversion"/>
  </si>
  <si>
    <t>飲料標籤</t>
    <phoneticPr fontId="1" type="noConversion"/>
  </si>
  <si>
    <t>再生膠粒</t>
    <phoneticPr fontId="1" type="noConversion"/>
  </si>
  <si>
    <t>裝潢承包</t>
    <phoneticPr fontId="1" type="noConversion"/>
  </si>
  <si>
    <t>水處理藥劑</t>
    <phoneticPr fontId="1" type="noConversion"/>
  </si>
  <si>
    <t>幼教</t>
    <phoneticPr fontId="1" type="noConversion"/>
  </si>
  <si>
    <t>廢品回收</t>
    <phoneticPr fontId="1" type="noConversion"/>
  </si>
  <si>
    <t>塑和板</t>
    <phoneticPr fontId="1" type="noConversion"/>
  </si>
  <si>
    <t>環保工程</t>
    <phoneticPr fontId="1" type="noConversion"/>
  </si>
  <si>
    <t>冷凍冷藏倉儲</t>
    <phoneticPr fontId="1" type="noConversion"/>
  </si>
  <si>
    <t>印製</t>
    <phoneticPr fontId="1" type="noConversion"/>
  </si>
  <si>
    <t>印刷永豐餘旗下</t>
    <phoneticPr fontId="1" type="noConversion"/>
  </si>
  <si>
    <t>紙尿褲</t>
    <phoneticPr fontId="1" type="noConversion"/>
  </si>
  <si>
    <t>拉鏈</t>
    <phoneticPr fontId="1" type="noConversion"/>
  </si>
  <si>
    <t>鞋材</t>
    <phoneticPr fontId="1" type="noConversion"/>
  </si>
  <si>
    <t>休閒車</t>
    <phoneticPr fontId="1" type="noConversion"/>
  </si>
  <si>
    <t>鋁塑複合板</t>
    <phoneticPr fontId="1" type="noConversion"/>
  </si>
  <si>
    <t>真空鍍膜</t>
    <phoneticPr fontId="1" type="noConversion"/>
  </si>
  <si>
    <t>汽車零組件大億旗下</t>
    <phoneticPr fontId="1" type="noConversion"/>
  </si>
  <si>
    <t>軸承</t>
    <phoneticPr fontId="1" type="noConversion"/>
  </si>
  <si>
    <t>塑膠射出機</t>
    <phoneticPr fontId="1" type="noConversion"/>
  </si>
  <si>
    <t>工程承攬</t>
    <phoneticPr fontId="1" type="noConversion"/>
  </si>
  <si>
    <t>主軸</t>
    <phoneticPr fontId="1" type="noConversion"/>
  </si>
  <si>
    <t>機電整合</t>
    <phoneticPr fontId="1" type="noConversion"/>
  </si>
  <si>
    <t>自動化製程</t>
    <phoneticPr fontId="1" type="noConversion"/>
  </si>
  <si>
    <t>引擎冷卻零件</t>
    <phoneticPr fontId="1" type="noConversion"/>
  </si>
  <si>
    <t>沖壓零件</t>
    <phoneticPr fontId="1" type="noConversion"/>
  </si>
  <si>
    <t>沖床</t>
    <phoneticPr fontId="1" type="noConversion"/>
  </si>
  <si>
    <t>釘槍</t>
    <phoneticPr fontId="1" type="noConversion"/>
  </si>
  <si>
    <t>烘培設備</t>
    <phoneticPr fontId="1" type="noConversion"/>
  </si>
  <si>
    <t>槍釘</t>
    <phoneticPr fontId="1" type="noConversion"/>
  </si>
  <si>
    <t>線性滑軌</t>
    <phoneticPr fontId="1" type="noConversion"/>
  </si>
  <si>
    <t>機車</t>
    <phoneticPr fontId="1" type="noConversion"/>
  </si>
  <si>
    <t>鑄件</t>
    <phoneticPr fontId="1" type="noConversion"/>
  </si>
  <si>
    <t>緊固件設備</t>
    <phoneticPr fontId="1" type="noConversion"/>
  </si>
  <si>
    <t>活塞環</t>
    <phoneticPr fontId="1" type="noConversion"/>
  </si>
  <si>
    <t>車用水箱風扇堤維西大股東</t>
    <phoneticPr fontId="1" type="noConversion"/>
  </si>
  <si>
    <t>LED車燈</t>
    <phoneticPr fontId="1" type="noConversion"/>
  </si>
  <si>
    <t>食品機械</t>
    <phoneticPr fontId="1" type="noConversion"/>
  </si>
  <si>
    <t>汽車鋼圈</t>
    <phoneticPr fontId="1" type="noConversion"/>
  </si>
  <si>
    <t>自動販賣機</t>
    <phoneticPr fontId="1" type="noConversion"/>
  </si>
  <si>
    <t>切削機</t>
    <phoneticPr fontId="1" type="noConversion"/>
  </si>
  <si>
    <t>磨床</t>
    <phoneticPr fontId="1" type="noConversion"/>
  </si>
  <si>
    <t>汽車空調永大轉投資</t>
    <phoneticPr fontId="1" type="noConversion"/>
  </si>
  <si>
    <t>冰水主機</t>
    <phoneticPr fontId="1" type="noConversion"/>
  </si>
  <si>
    <t>特殊氣體輸配</t>
    <phoneticPr fontId="1" type="noConversion"/>
  </si>
  <si>
    <t>電鍍表面</t>
    <phoneticPr fontId="1" type="noConversion"/>
  </si>
  <si>
    <t>影音訊號</t>
    <phoneticPr fontId="1" type="noConversion"/>
  </si>
  <si>
    <t>按鍵</t>
    <phoneticPr fontId="1" type="noConversion"/>
  </si>
  <si>
    <t>濺鍍靶材中鋼旗下</t>
    <phoneticPr fontId="1" type="noConversion"/>
  </si>
  <si>
    <t>車隊管理系統</t>
    <phoneticPr fontId="1" type="noConversion"/>
  </si>
  <si>
    <t>模具建德旗下</t>
    <phoneticPr fontId="1" type="noConversion"/>
  </si>
  <si>
    <t>塑化電子材料</t>
    <phoneticPr fontId="1" type="noConversion"/>
  </si>
  <si>
    <t>NEC晶圓代理</t>
    <phoneticPr fontId="1" type="noConversion"/>
  </si>
  <si>
    <t>汽車複合材料</t>
    <phoneticPr fontId="1" type="noConversion"/>
  </si>
  <si>
    <t>喇叭</t>
    <phoneticPr fontId="1" type="noConversion"/>
  </si>
  <si>
    <t>訊號延長器</t>
    <phoneticPr fontId="1" type="noConversion"/>
  </si>
  <si>
    <t>廠務工程</t>
    <phoneticPr fontId="1" type="noConversion"/>
  </si>
  <si>
    <t>電腦割字機</t>
    <phoneticPr fontId="1" type="noConversion"/>
  </si>
  <si>
    <t>IC封裝模具</t>
    <phoneticPr fontId="1" type="noConversion"/>
  </si>
  <si>
    <t>表面電鍍</t>
    <phoneticPr fontId="1" type="noConversion"/>
  </si>
  <si>
    <t>日系產品代理</t>
    <phoneticPr fontId="1" type="noConversion"/>
  </si>
  <si>
    <t>9.34</t>
    <phoneticPr fontId="1" type="noConversion"/>
  </si>
  <si>
    <t>天線昇達旗下</t>
    <phoneticPr fontId="1" type="noConversion"/>
  </si>
  <si>
    <t>3.00</t>
    <phoneticPr fontId="1" type="noConversion"/>
  </si>
  <si>
    <t>不織布</t>
    <phoneticPr fontId="1" type="noConversion"/>
  </si>
  <si>
    <t>氣動工具機</t>
    <phoneticPr fontId="1" type="noConversion"/>
  </si>
  <si>
    <t>紙漿</t>
    <phoneticPr fontId="1" type="noConversion"/>
  </si>
  <si>
    <t>制管雙雄</t>
    <phoneticPr fontId="1" type="noConversion"/>
  </si>
  <si>
    <t>乳膠</t>
    <phoneticPr fontId="1" type="noConversion"/>
  </si>
  <si>
    <t>軟板長華轉投資</t>
    <phoneticPr fontId="1" type="noConversion"/>
  </si>
  <si>
    <t>乳膠永豐余旗下</t>
    <phoneticPr fontId="1" type="noConversion"/>
  </si>
  <si>
    <t>濕紙巾</t>
    <phoneticPr fontId="1" type="noConversion"/>
  </si>
  <si>
    <t>導電漿</t>
    <phoneticPr fontId="1" type="noConversion"/>
  </si>
  <si>
    <t>感測IC矽創旗下</t>
    <phoneticPr fontId="1" type="noConversion"/>
  </si>
  <si>
    <t>連接器立訊分身</t>
    <phoneticPr fontId="1" type="noConversion"/>
  </si>
  <si>
    <t>三星IC通路商</t>
    <phoneticPr fontId="1" type="noConversion"/>
  </si>
  <si>
    <t>汽車捲簾大億旗下</t>
    <phoneticPr fontId="1" type="noConversion"/>
  </si>
  <si>
    <t>8.47</t>
    <phoneticPr fontId="1" type="noConversion"/>
  </si>
  <si>
    <t>7.26</t>
    <phoneticPr fontId="1" type="noConversion"/>
  </si>
  <si>
    <t>旅館</t>
    <phoneticPr fontId="1" type="noConversion"/>
  </si>
  <si>
    <t>保護元件</t>
    <phoneticPr fontId="1" type="noConversion"/>
  </si>
  <si>
    <t>電源供應器群光旗下</t>
    <phoneticPr fontId="1" type="noConversion"/>
  </si>
  <si>
    <t>光電板</t>
    <phoneticPr fontId="1" type="noConversion"/>
  </si>
  <si>
    <t>手持裝置</t>
    <phoneticPr fontId="1" type="noConversion"/>
  </si>
  <si>
    <t>39.66</t>
    <phoneticPr fontId="1" type="noConversion"/>
  </si>
  <si>
    <t>PE台聚集團</t>
    <phoneticPr fontId="1" type="noConversion"/>
  </si>
  <si>
    <t>合成皮</t>
    <phoneticPr fontId="1" type="noConversion"/>
  </si>
  <si>
    <t>鍵盤群光藍天集團</t>
    <phoneticPr fontId="1" type="noConversion"/>
  </si>
  <si>
    <t>電池</t>
    <phoneticPr fontId="1" type="noConversion"/>
  </si>
  <si>
    <t>網通IC聯發科旗下</t>
    <phoneticPr fontId="1" type="noConversion"/>
  </si>
  <si>
    <t>血液耗材</t>
    <phoneticPr fontId="1" type="noConversion"/>
  </si>
  <si>
    <t>眼科醫療</t>
    <phoneticPr fontId="1" type="noConversion"/>
  </si>
  <si>
    <t>電池模組鴻海旗下</t>
    <phoneticPr fontId="1" type="noConversion"/>
  </si>
  <si>
    <t>晶圓代工旗下嘉晶</t>
    <phoneticPr fontId="1" type="noConversion"/>
  </si>
  <si>
    <t>晶圓代工台積電集團</t>
    <phoneticPr fontId="1" type="noConversion"/>
  </si>
  <si>
    <t>晶圓代工聯電集團</t>
    <phoneticPr fontId="1" type="noConversion"/>
  </si>
  <si>
    <t>記憶體台塑旗下</t>
    <phoneticPr fontId="1" type="noConversion"/>
  </si>
  <si>
    <t>網路IC</t>
    <phoneticPr fontId="1" type="noConversion"/>
  </si>
  <si>
    <t>面板驅動IC聯電旗下</t>
    <phoneticPr fontId="1" type="noConversion"/>
  </si>
  <si>
    <t>矽晶圓日商勝高SUMCO旗下</t>
    <phoneticPr fontId="1" type="noConversion"/>
  </si>
  <si>
    <t>電子代工鴻海集團</t>
    <phoneticPr fontId="1" type="noConversion"/>
  </si>
  <si>
    <t>手機鏡頭</t>
    <phoneticPr fontId="1" type="noConversion"/>
  </si>
  <si>
    <t>辦公家具</t>
    <phoneticPr fontId="1" type="noConversion"/>
  </si>
  <si>
    <t>防盜器</t>
    <phoneticPr fontId="1" type="noConversion"/>
  </si>
  <si>
    <t>量測儀器</t>
    <phoneticPr fontId="1" type="noConversion"/>
  </si>
  <si>
    <t>代理理光</t>
    <phoneticPr fontId="1" type="noConversion"/>
  </si>
  <si>
    <t>防偽包裝</t>
    <phoneticPr fontId="1" type="noConversion"/>
  </si>
  <si>
    <t>音箱</t>
    <phoneticPr fontId="1" type="noConversion"/>
  </si>
  <si>
    <t>讀卡機</t>
    <phoneticPr fontId="1" type="noConversion"/>
  </si>
  <si>
    <t>音訊產品</t>
    <phoneticPr fontId="1" type="noConversion"/>
  </si>
  <si>
    <t>磁碟陣列</t>
    <phoneticPr fontId="1" type="noConversion"/>
  </si>
  <si>
    <t>機電工程</t>
    <phoneticPr fontId="1" type="noConversion"/>
  </si>
  <si>
    <t>電路板設備</t>
    <phoneticPr fontId="1" type="noConversion"/>
  </si>
  <si>
    <t>太陽能</t>
    <phoneticPr fontId="1" type="noConversion"/>
  </si>
  <si>
    <t>封裝材料</t>
    <phoneticPr fontId="1" type="noConversion"/>
  </si>
  <si>
    <t>真空濺鍍</t>
    <phoneticPr fontId="1" type="noConversion"/>
  </si>
  <si>
    <t>揚聲器</t>
    <phoneticPr fontId="1" type="noConversion"/>
  </si>
  <si>
    <t>材料通路</t>
    <phoneticPr fontId="1" type="noConversion"/>
  </si>
  <si>
    <t>小家電</t>
    <phoneticPr fontId="1" type="noConversion"/>
  </si>
  <si>
    <t>薄膜鍵盤</t>
    <phoneticPr fontId="1" type="noConversion"/>
  </si>
  <si>
    <t>鑽針</t>
    <phoneticPr fontId="1" type="noConversion"/>
  </si>
  <si>
    <t>光碟片</t>
    <phoneticPr fontId="1" type="noConversion"/>
  </si>
  <si>
    <t>太陽能矽晶圓轉投資碩禾</t>
    <phoneticPr fontId="1" type="noConversion"/>
  </si>
  <si>
    <t>面板明基友達集團</t>
    <phoneticPr fontId="1" type="noConversion"/>
  </si>
  <si>
    <t>玻璃基板</t>
    <phoneticPr fontId="1" type="noConversion"/>
  </si>
  <si>
    <t>光纖耦合器</t>
    <phoneticPr fontId="1" type="noConversion"/>
  </si>
  <si>
    <t>LED導線架</t>
    <phoneticPr fontId="1" type="noConversion"/>
  </si>
  <si>
    <t>電視</t>
    <phoneticPr fontId="1" type="noConversion"/>
  </si>
  <si>
    <t>家電歌林轉投資</t>
    <phoneticPr fontId="1" type="noConversion"/>
  </si>
  <si>
    <t>偏光板</t>
    <phoneticPr fontId="1" type="noConversion"/>
  </si>
  <si>
    <t>數位影像</t>
    <phoneticPr fontId="1" type="noConversion"/>
  </si>
  <si>
    <t>鏡頭3D感測</t>
    <phoneticPr fontId="1" type="noConversion"/>
  </si>
  <si>
    <t>LED封裝鴻海旗下</t>
    <phoneticPr fontId="1" type="noConversion"/>
  </si>
  <si>
    <t>微投影</t>
    <phoneticPr fontId="1" type="noConversion"/>
  </si>
  <si>
    <t>檢測設備</t>
    <phoneticPr fontId="1" type="noConversion"/>
  </si>
  <si>
    <t>光學檢測</t>
    <phoneticPr fontId="1" type="noConversion"/>
  </si>
  <si>
    <t>LED產品</t>
    <phoneticPr fontId="1" type="noConversion"/>
  </si>
  <si>
    <t>沖壓</t>
    <phoneticPr fontId="1" type="noConversion"/>
  </si>
  <si>
    <t>化學材料友達大股東</t>
    <phoneticPr fontId="1" type="noConversion"/>
  </si>
  <si>
    <t>DVR</t>
    <phoneticPr fontId="1" type="noConversion"/>
  </si>
  <si>
    <t>LCD樞軸</t>
    <phoneticPr fontId="1" type="noConversion"/>
  </si>
  <si>
    <t>PCB硬板</t>
    <phoneticPr fontId="1" type="noConversion"/>
  </si>
  <si>
    <t>車用PCB</t>
    <phoneticPr fontId="1" type="noConversion"/>
  </si>
  <si>
    <t>連接器正崴集團</t>
    <phoneticPr fontId="1" type="noConversion"/>
  </si>
  <si>
    <t>揚聲器鍛造</t>
    <phoneticPr fontId="1" type="noConversion"/>
  </si>
  <si>
    <t>電源供應器東元轉投資</t>
    <phoneticPr fontId="1" type="noConversion"/>
  </si>
  <si>
    <t>絞銅線</t>
    <phoneticPr fontId="1" type="noConversion"/>
  </si>
  <si>
    <t>電源線</t>
    <phoneticPr fontId="1" type="noConversion"/>
  </si>
  <si>
    <t>光熱設備</t>
    <phoneticPr fontId="1" type="noConversion"/>
  </si>
  <si>
    <t>晶片電阻</t>
    <phoneticPr fontId="1" type="noConversion"/>
  </si>
  <si>
    <t>程式開關</t>
    <phoneticPr fontId="1" type="noConversion"/>
  </si>
  <si>
    <t>MLCC華新旗下</t>
    <phoneticPr fontId="1" type="noConversion"/>
  </si>
  <si>
    <t>PCB濕製程</t>
    <phoneticPr fontId="1" type="noConversion"/>
  </si>
  <si>
    <t>電源保護器</t>
    <phoneticPr fontId="1" type="noConversion"/>
  </si>
  <si>
    <t>CPU Socket</t>
    <phoneticPr fontId="1" type="noConversion"/>
  </si>
  <si>
    <t>傳輸線材</t>
    <phoneticPr fontId="1" type="noConversion"/>
  </si>
  <si>
    <t>塑膠成型</t>
    <phoneticPr fontId="1" type="noConversion"/>
  </si>
  <si>
    <t>塑膠表面處理</t>
    <phoneticPr fontId="1" type="noConversion"/>
  </si>
  <si>
    <t>聚硫亞胺薄膜</t>
    <phoneticPr fontId="1" type="noConversion"/>
  </si>
  <si>
    <t>磁碟機音圈馬達銘異轉投資</t>
    <phoneticPr fontId="1" type="noConversion"/>
  </si>
  <si>
    <t>聲學元件</t>
    <phoneticPr fontId="1" type="noConversion"/>
  </si>
  <si>
    <t>筆電樞紐</t>
    <phoneticPr fontId="1" type="noConversion"/>
  </si>
  <si>
    <t>PCB華新旗下</t>
    <phoneticPr fontId="1" type="noConversion"/>
  </si>
  <si>
    <t>CMOS載板</t>
    <phoneticPr fontId="1" type="noConversion"/>
  </si>
  <si>
    <t>電源線材</t>
    <phoneticPr fontId="1" type="noConversion"/>
  </si>
  <si>
    <t>電信</t>
    <phoneticPr fontId="1" type="noConversion"/>
  </si>
  <si>
    <t>電信富邦旗下</t>
    <phoneticPr fontId="1" type="noConversion"/>
  </si>
  <si>
    <t>輕油台塑旗下</t>
    <phoneticPr fontId="1" type="noConversion"/>
  </si>
  <si>
    <t>EG台塑旗下</t>
    <phoneticPr fontId="1" type="noConversion"/>
  </si>
  <si>
    <t>金控霖園旗下</t>
    <phoneticPr fontId="1" type="noConversion"/>
  </si>
  <si>
    <t>金控富邦集團</t>
    <phoneticPr fontId="1" type="noConversion"/>
  </si>
  <si>
    <t>聯貸銀行</t>
    <phoneticPr fontId="1" type="noConversion"/>
  </si>
  <si>
    <t>消費金融</t>
    <phoneticPr fontId="1" type="noConversion"/>
  </si>
  <si>
    <t>新光人壽新光旗下</t>
    <phoneticPr fontId="1" type="noConversion"/>
  </si>
  <si>
    <t>資產</t>
    <phoneticPr fontId="1" type="noConversion"/>
  </si>
  <si>
    <t>期貨</t>
    <phoneticPr fontId="1" type="noConversion"/>
  </si>
  <si>
    <t>味精</t>
    <phoneticPr fontId="1" type="noConversion"/>
  </si>
  <si>
    <t>肉雞飼料</t>
    <phoneticPr fontId="1" type="noConversion"/>
  </si>
  <si>
    <t>油脂轉投資全家便利超商</t>
    <phoneticPr fontId="1" type="noConversion"/>
  </si>
  <si>
    <t>寵物飼料</t>
    <phoneticPr fontId="1" type="noConversion"/>
  </si>
  <si>
    <t>果糖</t>
    <phoneticPr fontId="1" type="noConversion"/>
  </si>
  <si>
    <t>油脂飼料</t>
    <phoneticPr fontId="1" type="noConversion"/>
  </si>
  <si>
    <t>穀物油品</t>
    <phoneticPr fontId="1" type="noConversion"/>
  </si>
  <si>
    <t>麵粉聯華神通集團</t>
    <phoneticPr fontId="1" type="noConversion"/>
  </si>
  <si>
    <t>休閒食品</t>
    <phoneticPr fontId="1" type="noConversion"/>
  </si>
  <si>
    <t>黃豆油</t>
    <phoneticPr fontId="1" type="noConversion"/>
  </si>
  <si>
    <t>飼料</t>
    <phoneticPr fontId="1" type="noConversion"/>
  </si>
  <si>
    <t>七七巧克力</t>
    <phoneticPr fontId="1" type="noConversion"/>
  </si>
  <si>
    <t>濃縮果汁</t>
    <phoneticPr fontId="1" type="noConversion"/>
  </si>
  <si>
    <t>烘培油脂</t>
    <phoneticPr fontId="1" type="noConversion"/>
  </si>
  <si>
    <t>生技</t>
    <phoneticPr fontId="1" type="noConversion"/>
  </si>
  <si>
    <t>型鋼鋼筋</t>
    <phoneticPr fontId="1" type="noConversion"/>
  </si>
  <si>
    <t>發卡銀行中信集團</t>
    <phoneticPr fontId="1" type="noConversion"/>
  </si>
  <si>
    <t>TOYOTA</t>
    <phoneticPr fontId="1" type="noConversion"/>
  </si>
  <si>
    <t>便利店</t>
    <phoneticPr fontId="1" type="noConversion"/>
  </si>
  <si>
    <t>濾波器石英元件</t>
    <phoneticPr fontId="1" type="noConversion"/>
  </si>
  <si>
    <t>GPS廣達轉投資</t>
    <phoneticPr fontId="1" type="noConversion"/>
  </si>
  <si>
    <t>光纖被動元件</t>
    <phoneticPr fontId="1" type="noConversion"/>
  </si>
  <si>
    <t>GPS</t>
    <phoneticPr fontId="1" type="noConversion"/>
  </si>
  <si>
    <t>網路神腦投資</t>
    <phoneticPr fontId="1" type="noConversion"/>
  </si>
  <si>
    <t>導航軟體</t>
    <phoneticPr fontId="1" type="noConversion"/>
  </si>
  <si>
    <t>雲端ADC</t>
    <phoneticPr fontId="1" type="noConversion"/>
  </si>
  <si>
    <t>光纖設備</t>
    <phoneticPr fontId="1" type="noConversion"/>
  </si>
  <si>
    <t>光纖</t>
    <phoneticPr fontId="1" type="noConversion"/>
  </si>
  <si>
    <t>光通訊</t>
    <phoneticPr fontId="1" type="noConversion"/>
  </si>
  <si>
    <t>電信系統</t>
    <phoneticPr fontId="1" type="noConversion"/>
  </si>
  <si>
    <t>自行車電池</t>
    <phoneticPr fontId="1" type="noConversion"/>
  </si>
  <si>
    <t>半導體封測設備</t>
    <phoneticPr fontId="1" type="noConversion"/>
  </si>
  <si>
    <t>網路通訊</t>
    <phoneticPr fontId="1" type="noConversion"/>
  </si>
  <si>
    <t>RFID Tag</t>
    <phoneticPr fontId="1" type="noConversion"/>
  </si>
  <si>
    <t>網路設備聯電轉投資</t>
    <phoneticPr fontId="1" type="noConversion"/>
  </si>
  <si>
    <t>網路設備</t>
    <phoneticPr fontId="1" type="noConversion"/>
  </si>
  <si>
    <t>Cable Modem新金寶轉投資</t>
    <phoneticPr fontId="1" type="noConversion"/>
  </si>
  <si>
    <t>雲端</t>
    <phoneticPr fontId="1" type="noConversion"/>
  </si>
  <si>
    <t>植毛絨布</t>
    <phoneticPr fontId="1" type="noConversion"/>
  </si>
  <si>
    <t>EMI屏蔽材料</t>
    <phoneticPr fontId="1" type="noConversion"/>
  </si>
  <si>
    <t>PVC軟質膠布</t>
    <phoneticPr fontId="1" type="noConversion"/>
  </si>
  <si>
    <t>特殊商標</t>
    <phoneticPr fontId="1" type="noConversion"/>
  </si>
  <si>
    <t>旅行箱</t>
    <phoneticPr fontId="1" type="noConversion"/>
  </si>
  <si>
    <t>尼龍線紗</t>
    <phoneticPr fontId="1" type="noConversion"/>
  </si>
  <si>
    <t>尼龍絲</t>
    <phoneticPr fontId="1" type="noConversion"/>
  </si>
  <si>
    <t>長織布</t>
    <phoneticPr fontId="1" type="noConversion"/>
  </si>
  <si>
    <t>漁網</t>
    <phoneticPr fontId="1" type="noConversion"/>
  </si>
  <si>
    <t>新娘禮服布</t>
    <phoneticPr fontId="1" type="noConversion"/>
  </si>
  <si>
    <t>防水布</t>
    <phoneticPr fontId="1" type="noConversion"/>
  </si>
  <si>
    <t>蠟品</t>
    <phoneticPr fontId="1" type="noConversion"/>
  </si>
  <si>
    <t>染料</t>
    <phoneticPr fontId="1" type="noConversion"/>
  </si>
  <si>
    <t>顏料</t>
    <phoneticPr fontId="1" type="noConversion"/>
  </si>
  <si>
    <t>界面活性劑</t>
    <phoneticPr fontId="1" type="noConversion"/>
  </si>
  <si>
    <t>樹脂</t>
    <phoneticPr fontId="1" type="noConversion"/>
  </si>
  <si>
    <t>PU樹脂</t>
    <phoneticPr fontId="1" type="noConversion"/>
  </si>
  <si>
    <t>打印墨水</t>
    <phoneticPr fontId="1" type="noConversion"/>
  </si>
  <si>
    <t>防火材料</t>
    <phoneticPr fontId="1" type="noConversion"/>
  </si>
  <si>
    <t>熱溶膠</t>
    <phoneticPr fontId="1" type="noConversion"/>
  </si>
  <si>
    <t>特用化學原料</t>
    <phoneticPr fontId="1" type="noConversion"/>
  </si>
  <si>
    <t>自黏便條紙</t>
    <phoneticPr fontId="1" type="noConversion"/>
  </si>
  <si>
    <t>雞肉</t>
    <phoneticPr fontId="1" type="noConversion"/>
  </si>
  <si>
    <t>烘培原物料</t>
    <phoneticPr fontId="1" type="noConversion"/>
  </si>
  <si>
    <t>豆腐</t>
    <phoneticPr fontId="1" type="noConversion"/>
  </si>
  <si>
    <t>過堂廠</t>
    <phoneticPr fontId="1" type="noConversion"/>
  </si>
  <si>
    <t>水產養殖</t>
    <phoneticPr fontId="1" type="noConversion"/>
  </si>
  <si>
    <t>服飾代理</t>
    <phoneticPr fontId="1" type="noConversion"/>
  </si>
  <si>
    <t>嬰童產品</t>
    <phoneticPr fontId="1" type="noConversion"/>
  </si>
  <si>
    <t>家電通路商</t>
    <phoneticPr fontId="1" type="noConversion"/>
  </si>
  <si>
    <t>貿易商統一旗下</t>
    <phoneticPr fontId="1" type="noConversion"/>
  </si>
  <si>
    <t>高速公路休息站</t>
    <phoneticPr fontId="1" type="noConversion"/>
  </si>
  <si>
    <t>B2B家具</t>
    <phoneticPr fontId="1" type="noConversion"/>
  </si>
  <si>
    <t>烤肉爐</t>
    <phoneticPr fontId="1" type="noConversion"/>
  </si>
  <si>
    <t>高爾夫球網站</t>
    <phoneticPr fontId="1" type="noConversion"/>
  </si>
  <si>
    <t>電子材料批發</t>
    <phoneticPr fontId="1" type="noConversion"/>
  </si>
  <si>
    <t>IC通路商</t>
    <phoneticPr fontId="1" type="noConversion"/>
  </si>
  <si>
    <t>電子材料通路</t>
    <phoneticPr fontId="1" type="noConversion"/>
  </si>
  <si>
    <t>半導體零件代理</t>
    <phoneticPr fontId="1" type="noConversion"/>
  </si>
  <si>
    <t>3C通路售</t>
    <phoneticPr fontId="1" type="noConversion"/>
  </si>
  <si>
    <t>Nor Flash通路商</t>
    <phoneticPr fontId="1" type="noConversion"/>
  </si>
  <si>
    <t>三菱代理商</t>
    <phoneticPr fontId="1" type="noConversion"/>
  </si>
  <si>
    <t>多媒體電腦</t>
    <phoneticPr fontId="1" type="noConversion"/>
  </si>
  <si>
    <t>IC通路商威盛旗下</t>
    <phoneticPr fontId="1" type="noConversion"/>
  </si>
  <si>
    <t>不鏽鋼</t>
    <phoneticPr fontId="1" type="noConversion"/>
  </si>
  <si>
    <t>螺絲</t>
    <phoneticPr fontId="1" type="noConversion"/>
  </si>
  <si>
    <t>棒鋼</t>
    <phoneticPr fontId="1" type="noConversion"/>
  </si>
  <si>
    <t>合金棒鋼台灣鋼鐵旗下</t>
    <phoneticPr fontId="1" type="noConversion"/>
  </si>
  <si>
    <t>拋光管件</t>
    <phoneticPr fontId="1" type="noConversion"/>
  </si>
  <si>
    <t>鋼纜</t>
    <phoneticPr fontId="1" type="noConversion"/>
  </si>
  <si>
    <t>鋼筋</t>
    <phoneticPr fontId="1" type="noConversion"/>
  </si>
  <si>
    <t>扣件車用</t>
    <phoneticPr fontId="1" type="noConversion"/>
  </si>
  <si>
    <t>螺絲大成鋼投資</t>
    <phoneticPr fontId="1" type="noConversion"/>
  </si>
  <si>
    <t>輕鋼架</t>
    <phoneticPr fontId="1" type="noConversion"/>
  </si>
  <si>
    <t>不鏽鋼厚板</t>
    <phoneticPr fontId="1" type="noConversion"/>
  </si>
  <si>
    <t>報關</t>
    <phoneticPr fontId="1" type="noConversion"/>
  </si>
  <si>
    <t>貨櫃集散</t>
    <phoneticPr fontId="1" type="noConversion"/>
  </si>
  <si>
    <t>貨櫃運輸</t>
    <phoneticPr fontId="1" type="noConversion"/>
  </si>
  <si>
    <t>貨運</t>
    <phoneticPr fontId="1" type="noConversion"/>
  </si>
  <si>
    <t>不動產</t>
    <phoneticPr fontId="1" type="noConversion"/>
  </si>
  <si>
    <t>國民住宅</t>
    <phoneticPr fontId="1" type="noConversion"/>
  </si>
  <si>
    <t>建築開發富宇旗下</t>
    <phoneticPr fontId="1" type="noConversion"/>
  </si>
  <si>
    <t>飯店仰德旗下</t>
    <phoneticPr fontId="1" type="noConversion"/>
  </si>
  <si>
    <t>混凝土</t>
    <phoneticPr fontId="1" type="noConversion"/>
  </si>
  <si>
    <t>再生胎</t>
    <phoneticPr fontId="1" type="noConversion"/>
  </si>
  <si>
    <t>漆包線</t>
    <phoneticPr fontId="1" type="noConversion"/>
  </si>
  <si>
    <t>摩斯東元旗下</t>
    <phoneticPr fontId="1" type="noConversion"/>
  </si>
  <si>
    <t>餐飲</t>
    <phoneticPr fontId="1" type="noConversion"/>
  </si>
  <si>
    <t>旅遊公司燦坤旗下</t>
    <phoneticPr fontId="1" type="noConversion"/>
  </si>
  <si>
    <t>商務酒店</t>
    <phoneticPr fontId="1" type="noConversion"/>
  </si>
  <si>
    <t>快樂檸檬</t>
    <phoneticPr fontId="1" type="noConversion"/>
  </si>
  <si>
    <t>旅遊業</t>
    <phoneticPr fontId="1" type="noConversion"/>
  </si>
  <si>
    <t>溫泉飯店</t>
    <phoneticPr fontId="1" type="noConversion"/>
  </si>
  <si>
    <t>牛排連鎖餐廳</t>
    <phoneticPr fontId="1" type="noConversion"/>
  </si>
  <si>
    <t>韓式連鎖餐廳</t>
    <phoneticPr fontId="1" type="noConversion"/>
  </si>
  <si>
    <t>伴手禮</t>
    <phoneticPr fontId="1" type="noConversion"/>
  </si>
  <si>
    <t>觀光開發</t>
    <phoneticPr fontId="1" type="noConversion"/>
  </si>
  <si>
    <t>婚禮服務</t>
    <phoneticPr fontId="1" type="noConversion"/>
  </si>
  <si>
    <t>珠寶</t>
    <phoneticPr fontId="1" type="noConversion"/>
  </si>
  <si>
    <t>飯店</t>
    <phoneticPr fontId="1" type="noConversion"/>
  </si>
  <si>
    <t>遊樂園百貨飯店</t>
    <phoneticPr fontId="1" type="noConversion"/>
  </si>
  <si>
    <t>天然氣</t>
    <phoneticPr fontId="1" type="noConversion"/>
  </si>
  <si>
    <t>加油站</t>
    <phoneticPr fontId="1" type="noConversion"/>
  </si>
  <si>
    <t>電腦軟硬體</t>
    <phoneticPr fontId="1" type="noConversion"/>
  </si>
  <si>
    <t>證券金融</t>
    <phoneticPr fontId="1" type="noConversion"/>
  </si>
  <si>
    <t>手寫辨識</t>
    <phoneticPr fontId="1" type="noConversion"/>
  </si>
  <si>
    <t>系統整合</t>
    <phoneticPr fontId="1" type="noConversion"/>
  </si>
  <si>
    <t>系統整合大眾轉投資</t>
    <phoneticPr fontId="1" type="noConversion"/>
  </si>
  <si>
    <t>電子商務</t>
    <phoneticPr fontId="1" type="noConversion"/>
  </si>
  <si>
    <t>資訊圖書</t>
    <phoneticPr fontId="1" type="noConversion"/>
  </si>
  <si>
    <t>信用卡製卡</t>
    <phoneticPr fontId="1" type="noConversion"/>
  </si>
  <si>
    <t>3D軟硬體</t>
    <phoneticPr fontId="1" type="noConversion"/>
  </si>
  <si>
    <t>體感遊戲潤泰旗下</t>
    <phoneticPr fontId="1" type="noConversion"/>
  </si>
  <si>
    <t>電影版權</t>
    <phoneticPr fontId="1" type="noConversion"/>
  </si>
  <si>
    <t>美商8大片商</t>
    <phoneticPr fontId="1" type="noConversion"/>
  </si>
  <si>
    <t>補教</t>
    <phoneticPr fontId="1" type="noConversion"/>
  </si>
  <si>
    <t>遊戲智冠宇峻轉投資</t>
    <phoneticPr fontId="1" type="noConversion"/>
  </si>
  <si>
    <t>布袋戲</t>
    <phoneticPr fontId="1" type="noConversion"/>
  </si>
  <si>
    <t>數位教學</t>
    <phoneticPr fontId="1" type="noConversion"/>
  </si>
  <si>
    <t>琉璃</t>
    <phoneticPr fontId="1" type="noConversion"/>
  </si>
  <si>
    <t>交友社群</t>
    <phoneticPr fontId="1" type="noConversion"/>
  </si>
  <si>
    <t>平台</t>
    <phoneticPr fontId="1" type="noConversion"/>
  </si>
  <si>
    <t>蝦類檢測</t>
    <phoneticPr fontId="1" type="noConversion"/>
  </si>
  <si>
    <t>農地膜</t>
    <phoneticPr fontId="1" type="noConversion"/>
  </si>
  <si>
    <t>保險經紀</t>
    <phoneticPr fontId="1" type="noConversion"/>
  </si>
  <si>
    <t>券商大慶建設轉投資</t>
    <phoneticPr fontId="1" type="noConversion"/>
  </si>
  <si>
    <t>DSC和DV</t>
    <phoneticPr fontId="1" type="noConversion"/>
  </si>
  <si>
    <t>SMT代工</t>
    <phoneticPr fontId="1" type="noConversion"/>
  </si>
  <si>
    <t>LED晶粒磊晶片</t>
    <phoneticPr fontId="1" type="noConversion"/>
  </si>
  <si>
    <t>光學鏡片模具鴻海旗下</t>
    <phoneticPr fontId="1" type="noConversion"/>
  </si>
  <si>
    <t>電子公司光寶集團</t>
    <phoneticPr fontId="1" type="noConversion"/>
  </si>
  <si>
    <t>掃描器</t>
    <phoneticPr fontId="1" type="noConversion"/>
  </si>
  <si>
    <t>NB代工金仁寶集團</t>
    <phoneticPr fontId="1" type="noConversion"/>
  </si>
  <si>
    <t>主機板大同旗下</t>
    <phoneticPr fontId="1" type="noConversion"/>
  </si>
  <si>
    <t>NB宏碁集團</t>
    <phoneticPr fontId="1" type="noConversion"/>
  </si>
  <si>
    <t>百腦匯</t>
    <phoneticPr fontId="1" type="noConversion"/>
  </si>
  <si>
    <t>軍工NB</t>
    <phoneticPr fontId="1" type="noConversion"/>
  </si>
  <si>
    <t>滑鼠</t>
    <phoneticPr fontId="1" type="noConversion"/>
  </si>
  <si>
    <t>NB代工廣達集團</t>
    <phoneticPr fontId="1" type="noConversion"/>
  </si>
  <si>
    <t>矽酸鈣板國產集團旗下</t>
    <phoneticPr fontId="1" type="noConversion"/>
  </si>
  <si>
    <t>板卡比特幣</t>
    <phoneticPr fontId="1" type="noConversion"/>
  </si>
  <si>
    <t>板卡比特幣華碩旗下</t>
    <phoneticPr fontId="1" type="noConversion"/>
  </si>
  <si>
    <t>車載多媒體</t>
    <phoneticPr fontId="1" type="noConversion"/>
  </si>
  <si>
    <t>車用顯示器</t>
    <phoneticPr fontId="1" type="noConversion"/>
  </si>
  <si>
    <t>發電機</t>
    <phoneticPr fontId="1" type="noConversion"/>
  </si>
  <si>
    <t>軍工電腦聯華神通旗下</t>
    <phoneticPr fontId="1" type="noConversion"/>
  </si>
  <si>
    <t>電腦機殼</t>
    <phoneticPr fontId="1" type="noConversion"/>
  </si>
  <si>
    <t>工業電腦旗下威聯通</t>
    <phoneticPr fontId="1" type="noConversion"/>
  </si>
  <si>
    <t>RAID控制器</t>
    <phoneticPr fontId="1" type="noConversion"/>
  </si>
  <si>
    <t>硬碟零件</t>
    <phoneticPr fontId="1" type="noConversion"/>
  </si>
  <si>
    <t>NB代工緯創集團</t>
    <phoneticPr fontId="1" type="noConversion"/>
  </si>
  <si>
    <t>印表機</t>
    <phoneticPr fontId="1" type="noConversion"/>
  </si>
  <si>
    <t>GPS聯華神通旗下</t>
    <phoneticPr fontId="1" type="noConversion"/>
  </si>
  <si>
    <t>控股公司勁永,崴強,光耀科合併成立</t>
    <phoneticPr fontId="1" type="noConversion"/>
  </si>
  <si>
    <t>NB代工華碩旗下</t>
    <phoneticPr fontId="1" type="noConversion"/>
  </si>
  <si>
    <t>鍵盤明基友達旗下</t>
    <phoneticPr fontId="1" type="noConversion"/>
  </si>
  <si>
    <t>衛星鴻海轉投資</t>
    <phoneticPr fontId="1" type="noConversion"/>
  </si>
  <si>
    <t>通訊設備東元轉投資</t>
    <phoneticPr fontId="1" type="noConversion"/>
  </si>
  <si>
    <t>Cable CPE</t>
    <phoneticPr fontId="1" type="noConversion"/>
  </si>
  <si>
    <t>通路代理中華電信轉投資</t>
    <phoneticPr fontId="1" type="noConversion"/>
  </si>
  <si>
    <t>通路代理</t>
    <phoneticPr fontId="1" type="noConversion"/>
  </si>
  <si>
    <t>HTC威盛旗下</t>
    <phoneticPr fontId="1" type="noConversion"/>
  </si>
  <si>
    <t>通訊設備</t>
    <phoneticPr fontId="1" type="noConversion"/>
  </si>
  <si>
    <t>天線</t>
    <phoneticPr fontId="1" type="noConversion"/>
  </si>
  <si>
    <t>手機按鍵華新旗下</t>
    <phoneticPr fontId="1" type="noConversion"/>
  </si>
  <si>
    <t>電信鴻海旗下</t>
    <phoneticPr fontId="1" type="noConversion"/>
  </si>
  <si>
    <t>電信遠東旗下</t>
    <phoneticPr fontId="1" type="noConversion"/>
  </si>
  <si>
    <t>訂票服務</t>
    <phoneticPr fontId="1" type="noConversion"/>
  </si>
  <si>
    <t>STB,LNB,LTE</t>
    <phoneticPr fontId="1" type="noConversion"/>
  </si>
  <si>
    <t>資安鴻海樺漢旗下</t>
    <phoneticPr fontId="1" type="noConversion"/>
  </si>
  <si>
    <t>光纜鴻海轉投資</t>
    <phoneticPr fontId="1" type="noConversion"/>
  </si>
  <si>
    <t>手機代工華宇旗下</t>
    <phoneticPr fontId="1" type="noConversion"/>
  </si>
  <si>
    <t>電梯永大集團</t>
    <phoneticPr fontId="1" type="noConversion"/>
  </si>
  <si>
    <t>汽車活塞</t>
    <phoneticPr fontId="1" type="noConversion"/>
  </si>
  <si>
    <t>配電盤</t>
    <phoneticPr fontId="1" type="noConversion"/>
  </si>
  <si>
    <t>自行車剎車</t>
    <phoneticPr fontId="1" type="noConversion"/>
  </si>
  <si>
    <t>自行車變速</t>
    <phoneticPr fontId="1" type="noConversion"/>
  </si>
  <si>
    <t>工業用縫紉機</t>
    <phoneticPr fontId="1" type="noConversion"/>
  </si>
  <si>
    <t>鑄鐵</t>
    <phoneticPr fontId="1" type="noConversion"/>
  </si>
  <si>
    <t>環保工程中鋼旗下</t>
    <phoneticPr fontId="1" type="noConversion"/>
  </si>
  <si>
    <t>線鋸機</t>
    <phoneticPr fontId="1" type="noConversion"/>
  </si>
  <si>
    <t>縫紉機</t>
    <phoneticPr fontId="1" type="noConversion"/>
  </si>
  <si>
    <t>CNC轉投資亞崴</t>
    <phoneticPr fontId="1" type="noConversion"/>
  </si>
  <si>
    <t>金屬加工</t>
    <phoneticPr fontId="1" type="noConversion"/>
  </si>
  <si>
    <t>土地</t>
    <phoneticPr fontId="1" type="noConversion"/>
  </si>
  <si>
    <t>壓縮機</t>
    <phoneticPr fontId="1" type="noConversion"/>
  </si>
  <si>
    <t>縫紉機零配件</t>
    <phoneticPr fontId="1" type="noConversion"/>
  </si>
  <si>
    <t>彎管機</t>
    <phoneticPr fontId="1" type="noConversion"/>
  </si>
  <si>
    <t>飛機引擎</t>
    <phoneticPr fontId="1" type="noConversion"/>
  </si>
  <si>
    <t>汽機車零件</t>
    <phoneticPr fontId="1" type="noConversion"/>
  </si>
  <si>
    <t>航空零組件</t>
    <phoneticPr fontId="1" type="noConversion"/>
  </si>
  <si>
    <t>自動化零組件</t>
    <phoneticPr fontId="1" type="noConversion"/>
  </si>
  <si>
    <t>PE</t>
    <phoneticPr fontId="1" type="noConversion"/>
  </si>
  <si>
    <t>PS台聚旗下</t>
    <phoneticPr fontId="1" type="noConversion"/>
  </si>
  <si>
    <t>SM</t>
    <phoneticPr fontId="1" type="noConversion"/>
  </si>
  <si>
    <t>CPL威京旗下</t>
    <phoneticPr fontId="1" type="noConversion"/>
  </si>
  <si>
    <t>雨衣</t>
    <phoneticPr fontId="1" type="noConversion"/>
  </si>
  <si>
    <t>PVC</t>
    <phoneticPr fontId="1" type="noConversion"/>
  </si>
  <si>
    <t>塑膠瓶</t>
    <phoneticPr fontId="1" type="noConversion"/>
  </si>
  <si>
    <t>PVC膠帶</t>
    <phoneticPr fontId="1" type="noConversion"/>
  </si>
  <si>
    <t>EVA發泡</t>
    <phoneticPr fontId="1" type="noConversion"/>
  </si>
  <si>
    <t>人造皮革</t>
    <phoneticPr fontId="1" type="noConversion"/>
  </si>
  <si>
    <t>機能性布</t>
    <phoneticPr fontId="1" type="noConversion"/>
  </si>
  <si>
    <t>膠帶</t>
    <phoneticPr fontId="1" type="noConversion"/>
  </si>
  <si>
    <t>聚酯棉</t>
    <phoneticPr fontId="1" type="noConversion"/>
  </si>
  <si>
    <t>加工絲遠東旗下</t>
    <phoneticPr fontId="1" type="noConversion"/>
  </si>
  <si>
    <t>化纖新光集團</t>
    <phoneticPr fontId="1" type="noConversion"/>
  </si>
  <si>
    <t>混紡</t>
    <phoneticPr fontId="1" type="noConversion"/>
  </si>
  <si>
    <t>亞克力棉</t>
    <phoneticPr fontId="1" type="noConversion"/>
  </si>
  <si>
    <t>平織布新光旗下</t>
    <phoneticPr fontId="1" type="noConversion"/>
  </si>
  <si>
    <t>輪胎布台塑旗下</t>
    <phoneticPr fontId="1" type="noConversion"/>
  </si>
  <si>
    <t>棉紡紗</t>
    <phoneticPr fontId="1" type="noConversion"/>
  </si>
  <si>
    <t>織布</t>
    <phoneticPr fontId="1" type="noConversion"/>
  </si>
  <si>
    <t>長短織</t>
    <phoneticPr fontId="1" type="noConversion"/>
  </si>
  <si>
    <t>尼龍粒力麗旗下</t>
    <phoneticPr fontId="1" type="noConversion"/>
  </si>
  <si>
    <t>混紡紗</t>
    <phoneticPr fontId="1" type="noConversion"/>
  </si>
  <si>
    <t>絲織布</t>
    <phoneticPr fontId="1" type="noConversion"/>
  </si>
  <si>
    <t>紡織元邦旗下</t>
    <phoneticPr fontId="1" type="noConversion"/>
  </si>
  <si>
    <t>車用電子零件</t>
    <phoneticPr fontId="1" type="noConversion"/>
  </si>
  <si>
    <t>晶電融達合併</t>
    <phoneticPr fontId="1" type="noConversion"/>
  </si>
  <si>
    <t>感測顯示IC</t>
    <phoneticPr fontId="1" type="noConversion"/>
  </si>
  <si>
    <t>5.08</t>
    <phoneticPr fontId="1" type="noConversion"/>
  </si>
  <si>
    <t>衛浴</t>
    <phoneticPr fontId="1" type="noConversion"/>
  </si>
  <si>
    <t>玻璃</t>
    <phoneticPr fontId="1" type="noConversion"/>
  </si>
  <si>
    <t>瓷磚</t>
    <phoneticPr fontId="1" type="noConversion"/>
  </si>
  <si>
    <t>釉料</t>
    <phoneticPr fontId="1" type="noConversion"/>
  </si>
  <si>
    <t>人力資源</t>
    <phoneticPr fontId="1" type="noConversion"/>
  </si>
  <si>
    <t>財政部</t>
    <phoneticPr fontId="1" type="noConversion"/>
  </si>
  <si>
    <t>白紙板</t>
    <phoneticPr fontId="1" type="noConversion"/>
  </si>
  <si>
    <t>商場租賃</t>
    <phoneticPr fontId="1" type="noConversion"/>
  </si>
  <si>
    <t>觀光飯店</t>
    <phoneticPr fontId="1" type="noConversion"/>
  </si>
  <si>
    <t>遊樂園</t>
    <phoneticPr fontId="1" type="noConversion"/>
  </si>
  <si>
    <t>飯店萬華旗下</t>
    <phoneticPr fontId="1" type="noConversion"/>
  </si>
  <si>
    <t>飯店遠雄旗下</t>
    <phoneticPr fontId="1" type="noConversion"/>
  </si>
  <si>
    <t>飯店官田鋼轉投資</t>
    <phoneticPr fontId="1" type="noConversion"/>
  </si>
  <si>
    <t>健身</t>
    <phoneticPr fontId="1" type="noConversion"/>
  </si>
  <si>
    <t>婚宴</t>
    <phoneticPr fontId="1" type="noConversion"/>
  </si>
  <si>
    <t>汽車塑件</t>
    <phoneticPr fontId="1" type="noConversion"/>
  </si>
  <si>
    <t>汽車鈑金</t>
    <phoneticPr fontId="1" type="noConversion"/>
  </si>
  <si>
    <t>鈑金件</t>
    <phoneticPr fontId="1" type="noConversion"/>
  </si>
  <si>
    <t>車底盤</t>
    <phoneticPr fontId="1" type="noConversion"/>
  </si>
  <si>
    <t>變速箱零件</t>
    <phoneticPr fontId="1" type="noConversion"/>
  </si>
  <si>
    <t>汽車水箱</t>
    <phoneticPr fontId="1" type="noConversion"/>
  </si>
  <si>
    <t>氣門嘴</t>
    <phoneticPr fontId="1" type="noConversion"/>
  </si>
  <si>
    <t>三菱裕隆旗下</t>
    <phoneticPr fontId="1" type="noConversion"/>
  </si>
  <si>
    <t>現代汽車</t>
    <phoneticPr fontId="1" type="noConversion"/>
  </si>
  <si>
    <t>NISSAN裕隆旗下</t>
    <phoneticPr fontId="1" type="noConversion"/>
  </si>
  <si>
    <t>汽車氣囊</t>
    <phoneticPr fontId="1" type="noConversion"/>
  </si>
  <si>
    <t>汽車開關</t>
    <phoneticPr fontId="1" type="noConversion"/>
  </si>
  <si>
    <t>噴油嘴</t>
    <phoneticPr fontId="1" type="noConversion"/>
  </si>
  <si>
    <t>汽車零件</t>
    <phoneticPr fontId="1" type="noConversion"/>
  </si>
  <si>
    <t>車身模具</t>
    <phoneticPr fontId="1" type="noConversion"/>
  </si>
  <si>
    <t>汽車分泵</t>
    <phoneticPr fontId="1" type="noConversion"/>
  </si>
  <si>
    <t>車鑄件</t>
    <phoneticPr fontId="1" type="noConversion"/>
  </si>
  <si>
    <t>電線電纜</t>
    <phoneticPr fontId="1" type="noConversion"/>
  </si>
  <si>
    <t>家電</t>
    <phoneticPr fontId="1" type="noConversion"/>
  </si>
  <si>
    <t>高壓電力</t>
    <phoneticPr fontId="1" type="noConversion"/>
  </si>
  <si>
    <t>電力電纜</t>
    <phoneticPr fontId="1" type="noConversion"/>
  </si>
  <si>
    <t>東亞照明</t>
    <phoneticPr fontId="1" type="noConversion"/>
  </si>
  <si>
    <t>小家電燦坤旗下</t>
    <phoneticPr fontId="1" type="noConversion"/>
  </si>
  <si>
    <t>智慧家電</t>
    <phoneticPr fontId="1" type="noConversion"/>
  </si>
  <si>
    <t>螺絲帽台鋼旗下</t>
    <phoneticPr fontId="1" type="noConversion"/>
  </si>
  <si>
    <t>鼻噴劑</t>
    <phoneticPr fontId="1" type="noConversion"/>
  </si>
  <si>
    <t>保健食品</t>
    <phoneticPr fontId="1" type="noConversion"/>
  </si>
  <si>
    <t>環氧樹脂</t>
    <phoneticPr fontId="1" type="noConversion"/>
  </si>
  <si>
    <t>治具Tesla</t>
    <phoneticPr fontId="1" type="noConversion"/>
  </si>
  <si>
    <t>軟硬體Adobe</t>
    <phoneticPr fontId="1" type="noConversion"/>
  </si>
  <si>
    <t>IC導線架長華電旗下</t>
    <phoneticPr fontId="1" type="noConversion"/>
  </si>
  <si>
    <t>封測轉投資台星科收購聯測</t>
    <phoneticPr fontId="1" type="noConversion"/>
  </si>
  <si>
    <t>體溫血糖</t>
    <phoneticPr fontId="1" type="noConversion"/>
  </si>
  <si>
    <t>海空貨運承攬</t>
    <phoneticPr fontId="1" type="noConversion"/>
  </si>
  <si>
    <t>二極體聯電投資</t>
    <phoneticPr fontId="1" type="noConversion"/>
  </si>
  <si>
    <t>製劑</t>
    <phoneticPr fontId="1" type="noConversion"/>
  </si>
  <si>
    <t>染髮劑</t>
    <phoneticPr fontId="1" type="noConversion"/>
  </si>
  <si>
    <t>腎臟病</t>
    <phoneticPr fontId="1" type="noConversion"/>
  </si>
  <si>
    <t>原料藥中化旗下</t>
    <phoneticPr fontId="1" type="noConversion"/>
  </si>
  <si>
    <t>原料藥統一旗下</t>
    <phoneticPr fontId="1" type="noConversion"/>
  </si>
  <si>
    <t>益生菌</t>
    <phoneticPr fontId="1" type="noConversion"/>
  </si>
  <si>
    <t>製藥</t>
    <phoneticPr fontId="1" type="noConversion"/>
  </si>
  <si>
    <t>防褥瘡床</t>
    <phoneticPr fontId="1" type="noConversion"/>
  </si>
  <si>
    <t>抗體蛋白</t>
    <phoneticPr fontId="1" type="noConversion"/>
  </si>
  <si>
    <t>植物保護劑</t>
    <phoneticPr fontId="1" type="noConversion"/>
  </si>
  <si>
    <t>流感疫苗</t>
    <phoneticPr fontId="1" type="noConversion"/>
  </si>
  <si>
    <t>肥料</t>
    <phoneticPr fontId="1" type="noConversion"/>
  </si>
  <si>
    <t>腫瘤設備</t>
    <phoneticPr fontId="1" type="noConversion"/>
  </si>
  <si>
    <t>美容集團</t>
    <phoneticPr fontId="1" type="noConversion"/>
  </si>
  <si>
    <t>維他命D</t>
    <phoneticPr fontId="1" type="noConversion"/>
  </si>
  <si>
    <t>倉儲</t>
    <phoneticPr fontId="1" type="noConversion"/>
  </si>
  <si>
    <t>投資公司</t>
    <phoneticPr fontId="1" type="noConversion"/>
  </si>
  <si>
    <t>生煤</t>
    <phoneticPr fontId="1" type="noConversion"/>
  </si>
  <si>
    <t>水龍頭零件</t>
    <phoneticPr fontId="1" type="noConversion"/>
  </si>
  <si>
    <t>鋁合金</t>
    <phoneticPr fontId="1" type="noConversion"/>
  </si>
  <si>
    <t>港區物流</t>
    <phoneticPr fontId="1" type="noConversion"/>
  </si>
  <si>
    <t>陳立補習班</t>
    <phoneticPr fontId="1" type="noConversion"/>
  </si>
  <si>
    <t>石化倉儲</t>
    <phoneticPr fontId="1" type="noConversion"/>
  </si>
  <si>
    <t>孵化創業</t>
    <phoneticPr fontId="1" type="noConversion"/>
  </si>
  <si>
    <t>機構件</t>
    <phoneticPr fontId="1" type="noConversion"/>
  </si>
  <si>
    <t>租賃中信旗下</t>
    <phoneticPr fontId="1" type="noConversion"/>
  </si>
  <si>
    <t>有線電視</t>
    <phoneticPr fontId="1" type="noConversion"/>
  </si>
  <si>
    <t>電弧爐</t>
    <phoneticPr fontId="1" type="noConversion"/>
  </si>
  <si>
    <t>娛樂製作</t>
    <phoneticPr fontId="1" type="noConversion"/>
  </si>
  <si>
    <t>水處理環保</t>
    <phoneticPr fontId="1" type="noConversion"/>
  </si>
  <si>
    <t>木板</t>
    <phoneticPr fontId="1" type="noConversion"/>
  </si>
  <si>
    <t>烘培器具</t>
    <phoneticPr fontId="1" type="noConversion"/>
  </si>
  <si>
    <t>黏釦帶</t>
    <phoneticPr fontId="1" type="noConversion"/>
  </si>
  <si>
    <t>制罐</t>
    <phoneticPr fontId="1" type="noConversion"/>
  </si>
  <si>
    <t>廢棄物處理</t>
    <phoneticPr fontId="1" type="noConversion"/>
  </si>
  <si>
    <t>家具配件</t>
    <phoneticPr fontId="1" type="noConversion"/>
  </si>
  <si>
    <t>水泥預拌潤泰旗下</t>
    <phoneticPr fontId="1" type="noConversion"/>
  </si>
  <si>
    <t>塑膠地磚</t>
    <phoneticPr fontId="1" type="noConversion"/>
  </si>
  <si>
    <t>水處理力騏旗下</t>
    <phoneticPr fontId="1" type="noConversion"/>
  </si>
  <si>
    <t>遊艇</t>
    <phoneticPr fontId="1" type="noConversion"/>
  </si>
  <si>
    <t>貼標印刷</t>
    <phoneticPr fontId="1" type="noConversion"/>
  </si>
  <si>
    <t>飲料包材</t>
    <phoneticPr fontId="1" type="noConversion"/>
  </si>
  <si>
    <t>營建開發</t>
    <phoneticPr fontId="1" type="noConversion"/>
  </si>
  <si>
    <t>食品包裝</t>
    <phoneticPr fontId="1" type="noConversion"/>
  </si>
  <si>
    <t>馬口鐵</t>
    <phoneticPr fontId="1" type="noConversion"/>
  </si>
  <si>
    <t>廚具</t>
    <phoneticPr fontId="1" type="noConversion"/>
  </si>
  <si>
    <t>保全SIGMU旗下</t>
    <phoneticPr fontId="1" type="noConversion"/>
  </si>
  <si>
    <t>門鎖</t>
    <phoneticPr fontId="1" type="noConversion"/>
  </si>
  <si>
    <t>保全公司</t>
    <phoneticPr fontId="1" type="noConversion"/>
  </si>
  <si>
    <t>鉛</t>
    <phoneticPr fontId="1" type="noConversion"/>
  </si>
  <si>
    <t>電視台</t>
    <phoneticPr fontId="1" type="noConversion"/>
  </si>
  <si>
    <t>爐石粉</t>
    <phoneticPr fontId="1" type="noConversion"/>
  </si>
  <si>
    <t>統包中鼎集團</t>
    <phoneticPr fontId="1" type="noConversion"/>
  </si>
  <si>
    <t>水龍頭</t>
    <phoneticPr fontId="1" type="noConversion"/>
  </si>
  <si>
    <t>黏扣帶</t>
    <phoneticPr fontId="1" type="noConversion"/>
  </si>
  <si>
    <t>密封元件</t>
    <phoneticPr fontId="1" type="noConversion"/>
  </si>
  <si>
    <t>樹脂棉</t>
    <phoneticPr fontId="1" type="noConversion"/>
  </si>
  <si>
    <t>農藥</t>
    <phoneticPr fontId="1" type="noConversion"/>
  </si>
  <si>
    <t>保險粉</t>
    <phoneticPr fontId="1" type="noConversion"/>
  </si>
  <si>
    <t>正烷</t>
    <phoneticPr fontId="1" type="noConversion"/>
  </si>
  <si>
    <t>光阻劑</t>
    <phoneticPr fontId="1" type="noConversion"/>
  </si>
  <si>
    <t>油墨處理劑</t>
    <phoneticPr fontId="1" type="noConversion"/>
  </si>
  <si>
    <t>硝化棉</t>
    <phoneticPr fontId="1" type="noConversion"/>
  </si>
  <si>
    <t>石化原料</t>
    <phoneticPr fontId="1" type="noConversion"/>
  </si>
  <si>
    <t>油漆</t>
    <phoneticPr fontId="1" type="noConversion"/>
  </si>
  <si>
    <t>日用品</t>
    <phoneticPr fontId="1" type="noConversion"/>
  </si>
  <si>
    <t>溶劑</t>
    <phoneticPr fontId="1" type="noConversion"/>
  </si>
  <si>
    <t>PU硬化劑</t>
    <phoneticPr fontId="1" type="noConversion"/>
  </si>
  <si>
    <t>熱熔膠</t>
    <phoneticPr fontId="1" type="noConversion"/>
  </si>
  <si>
    <t>不飽和聚酯</t>
    <phoneticPr fontId="1" type="noConversion"/>
  </si>
  <si>
    <t>食品添加劑</t>
    <phoneticPr fontId="1" type="noConversion"/>
  </si>
  <si>
    <t>光固化</t>
    <phoneticPr fontId="1" type="noConversion"/>
  </si>
  <si>
    <t>纖維絲</t>
    <phoneticPr fontId="1" type="noConversion"/>
  </si>
  <si>
    <t>碼頭倉儲</t>
    <phoneticPr fontId="1" type="noConversion"/>
  </si>
  <si>
    <t>百貨業</t>
    <phoneticPr fontId="1" type="noConversion"/>
  </si>
  <si>
    <t>百貨遠東旗下</t>
    <phoneticPr fontId="1" type="noConversion"/>
  </si>
  <si>
    <t>食衣住行</t>
    <phoneticPr fontId="1" type="noConversion"/>
  </si>
  <si>
    <t>家居用品</t>
    <phoneticPr fontId="1" type="noConversion"/>
  </si>
  <si>
    <t>百貨公司</t>
    <phoneticPr fontId="1" type="noConversion"/>
  </si>
  <si>
    <t>超商統一旗下</t>
    <phoneticPr fontId="1" type="noConversion"/>
  </si>
  <si>
    <t>家具批發</t>
    <phoneticPr fontId="1" type="noConversion"/>
  </si>
  <si>
    <t>生活用品</t>
    <phoneticPr fontId="1" type="noConversion"/>
  </si>
  <si>
    <t>TONY wear</t>
    <phoneticPr fontId="1" type="noConversion"/>
  </si>
  <si>
    <t>百貨益航投資</t>
    <phoneticPr fontId="1" type="noConversion"/>
  </si>
  <si>
    <t>品牌服飾</t>
    <phoneticPr fontId="1" type="noConversion"/>
  </si>
  <si>
    <t>鞋業</t>
    <phoneticPr fontId="1" type="noConversion"/>
  </si>
  <si>
    <t>網購富邦旗下</t>
    <phoneticPr fontId="1" type="noConversion"/>
  </si>
  <si>
    <t>通路聯華旗下</t>
    <phoneticPr fontId="1" type="noConversion"/>
  </si>
  <si>
    <t>資訊通路</t>
    <phoneticPr fontId="1" type="noConversion"/>
  </si>
  <si>
    <t>連鎖通路</t>
    <phoneticPr fontId="1" type="noConversion"/>
  </si>
  <si>
    <t>電子零件</t>
    <phoneticPr fontId="1" type="noConversion"/>
  </si>
  <si>
    <t>半導體元件</t>
    <phoneticPr fontId="1" type="noConversion"/>
  </si>
  <si>
    <t>電子零組件</t>
    <phoneticPr fontId="1" type="noConversion"/>
  </si>
  <si>
    <t>IC通路</t>
    <phoneticPr fontId="1" type="noConversion"/>
  </si>
  <si>
    <t>Xcerra代理</t>
    <phoneticPr fontId="1" type="noConversion"/>
  </si>
  <si>
    <t>通訊元件</t>
    <phoneticPr fontId="1" type="noConversion"/>
  </si>
  <si>
    <t>半導體零件</t>
    <phoneticPr fontId="1" type="noConversion"/>
  </si>
  <si>
    <t>晶圓日本信越</t>
    <phoneticPr fontId="1" type="noConversion"/>
  </si>
  <si>
    <t>3C通路</t>
    <phoneticPr fontId="1" type="noConversion"/>
  </si>
  <si>
    <t>IC封裝材料</t>
    <phoneticPr fontId="1" type="noConversion"/>
  </si>
  <si>
    <t>DVR安控</t>
    <phoneticPr fontId="1" type="noConversion"/>
  </si>
  <si>
    <t>19.81</t>
    <phoneticPr fontId="1" type="noConversion"/>
  </si>
  <si>
    <t>57.2</t>
    <phoneticPr fontId="1" type="noConversion"/>
  </si>
  <si>
    <t>散熱機構件</t>
    <phoneticPr fontId="1" type="noConversion"/>
  </si>
  <si>
    <t>連接器連展科、連騰、連訊、連淨生技</t>
    <phoneticPr fontId="1" type="noConversion"/>
  </si>
  <si>
    <t>IT鏡頭</t>
    <phoneticPr fontId="1" type="noConversion"/>
  </si>
  <si>
    <t>條碼印表機台半投資</t>
    <phoneticPr fontId="1" type="noConversion"/>
  </si>
  <si>
    <t>軸承MacPro</t>
    <phoneticPr fontId="1" type="noConversion"/>
  </si>
  <si>
    <t>汽車鍛壓件</t>
    <phoneticPr fontId="1" type="noConversion"/>
  </si>
  <si>
    <t>半導體鐳射設備</t>
    <phoneticPr fontId="1" type="noConversion"/>
  </si>
  <si>
    <t>網通IC聯發科入股</t>
    <phoneticPr fontId="1" type="noConversion"/>
  </si>
  <si>
    <t>光學膜新纖轉投資</t>
    <phoneticPr fontId="1" type="noConversion"/>
  </si>
  <si>
    <t>手工具</t>
    <phoneticPr fontId="1" type="noConversion"/>
  </si>
  <si>
    <t>網通設備仁寶轉投資</t>
    <phoneticPr fontId="1" type="noConversion"/>
  </si>
  <si>
    <t>損益</t>
    <phoneticPr fontId="1" type="noConversion"/>
  </si>
  <si>
    <t>損益率</t>
    <phoneticPr fontId="1" type="noConversion"/>
  </si>
  <si>
    <t>成分</t>
    <phoneticPr fontId="1" type="noConversion"/>
  </si>
  <si>
    <t>持股</t>
    <phoneticPr fontId="1" type="noConversion"/>
  </si>
  <si>
    <t>類股</t>
    <phoneticPr fontId="1" type="noConversion"/>
  </si>
  <si>
    <t>買進日期</t>
    <phoneticPr fontId="1" type="noConversion"/>
  </si>
  <si>
    <t>賣出日期</t>
    <phoneticPr fontId="1" type="noConversion"/>
  </si>
  <si>
    <t>天數</t>
    <phoneticPr fontId="1" type="noConversion"/>
  </si>
  <si>
    <t>01月21年</t>
    <phoneticPr fontId="1" type="noConversion"/>
  </si>
  <si>
    <t>54.6</t>
    <phoneticPr fontId="1" type="noConversion"/>
  </si>
  <si>
    <t>2368</t>
    <phoneticPr fontId="1" type="noConversion"/>
  </si>
  <si>
    <t>金像電</t>
    <phoneticPr fontId="1" type="noConversion"/>
  </si>
  <si>
    <t>南珠</t>
    <phoneticPr fontId="1" type="noConversion"/>
  </si>
  <si>
    <t>1</t>
    <phoneticPr fontId="35" type="noConversion"/>
  </si>
  <si>
    <t>568</t>
    <phoneticPr fontId="1" type="noConversion"/>
  </si>
  <si>
    <t>1216</t>
    <phoneticPr fontId="1" type="noConversion"/>
  </si>
  <si>
    <t>統一</t>
    <phoneticPr fontId="1" type="noConversion"/>
  </si>
  <si>
    <t>8.60</t>
    <phoneticPr fontId="1" type="noConversion"/>
  </si>
  <si>
    <t>5439</t>
    <phoneticPr fontId="1" type="noConversion"/>
  </si>
  <si>
    <t>高技</t>
    <phoneticPr fontId="1" type="noConversion"/>
  </si>
  <si>
    <t>1</t>
    <phoneticPr fontId="1" type="noConversion"/>
  </si>
  <si>
    <t>49.0</t>
    <phoneticPr fontId="1" type="noConversion"/>
  </si>
  <si>
    <t>3264</t>
    <phoneticPr fontId="1" type="noConversion"/>
  </si>
  <si>
    <t>欣銓</t>
    <phoneticPr fontId="1" type="noConversion"/>
  </si>
  <si>
    <t>67.1</t>
    <phoneticPr fontId="1" type="noConversion"/>
  </si>
  <si>
    <t>6147</t>
    <phoneticPr fontId="1" type="noConversion"/>
  </si>
  <si>
    <t>頎邦</t>
    <phoneticPr fontId="1" type="noConversion"/>
  </si>
  <si>
    <t>150</t>
    <phoneticPr fontId="1" type="noConversion"/>
  </si>
  <si>
    <t>3037</t>
    <phoneticPr fontId="1" type="noConversion"/>
  </si>
  <si>
    <t>欣興</t>
    <phoneticPr fontId="1" type="noConversion"/>
  </si>
  <si>
    <t>25.2</t>
    <phoneticPr fontId="1" type="noConversion"/>
  </si>
  <si>
    <t>8358</t>
    <phoneticPr fontId="1" type="noConversion"/>
  </si>
  <si>
    <t>金居</t>
    <phoneticPr fontId="1" type="noConversion"/>
  </si>
  <si>
    <t>南珠</t>
    <phoneticPr fontId="1" type="noConversion"/>
  </si>
  <si>
    <t>1</t>
    <phoneticPr fontId="1" type="noConversion"/>
  </si>
  <si>
    <t>25.2</t>
    <phoneticPr fontId="1" type="noConversion"/>
  </si>
  <si>
    <t>8358</t>
    <phoneticPr fontId="1" type="noConversion"/>
  </si>
  <si>
    <t>日本CNC車床</t>
    <phoneticPr fontId="1" type="noConversion"/>
  </si>
  <si>
    <t>IP矽智財</t>
    <phoneticPr fontId="1" type="noConversion"/>
  </si>
  <si>
    <t>連接器對手嘉澤</t>
    <phoneticPr fontId="1" type="noConversion"/>
  </si>
  <si>
    <t>散熱1</t>
    <phoneticPr fontId="1" type="noConversion"/>
  </si>
  <si>
    <t>散熱3</t>
    <phoneticPr fontId="1" type="noConversion"/>
  </si>
  <si>
    <t>散熱4</t>
    <phoneticPr fontId="1" type="noConversion"/>
  </si>
  <si>
    <t>散熱5旗下富世逹軸承</t>
    <phoneticPr fontId="1" type="noConversion"/>
  </si>
  <si>
    <t>散熱6</t>
    <phoneticPr fontId="1" type="noConversion"/>
  </si>
  <si>
    <t>衛星降頻器</t>
    <phoneticPr fontId="1" type="noConversion"/>
  </si>
  <si>
    <t>顯示器電源IC鴻海旗下</t>
    <phoneticPr fontId="1" type="noConversion"/>
  </si>
  <si>
    <t>11.43</t>
    <phoneticPr fontId="1" type="noConversion"/>
  </si>
  <si>
    <t>21.8</t>
    <phoneticPr fontId="1" type="noConversion"/>
  </si>
  <si>
    <t>日出茶太</t>
    <phoneticPr fontId="1" type="noConversion"/>
  </si>
  <si>
    <t>法人</t>
    <phoneticPr fontId="1" type="noConversion"/>
  </si>
  <si>
    <t>資本</t>
    <phoneticPr fontId="1" type="noConversion"/>
  </si>
  <si>
    <t>稅</t>
    <phoneticPr fontId="1" type="noConversion"/>
  </si>
  <si>
    <t>營</t>
    <phoneticPr fontId="1" type="noConversion"/>
  </si>
  <si>
    <t>年</t>
    <phoneticPr fontId="1" type="noConversion"/>
  </si>
  <si>
    <t>營益率</t>
    <phoneticPr fontId="1" type="noConversion"/>
  </si>
  <si>
    <t>2.42</t>
    <phoneticPr fontId="1" type="noConversion"/>
  </si>
  <si>
    <t>MOSFET</t>
    <phoneticPr fontId="1" type="noConversion"/>
  </si>
  <si>
    <t>44.47</t>
    <phoneticPr fontId="1" type="noConversion"/>
  </si>
  <si>
    <t>3.36</t>
    <phoneticPr fontId="1" type="noConversion"/>
  </si>
  <si>
    <t>電腦周邊</t>
    <phoneticPr fontId="1" type="noConversion"/>
  </si>
  <si>
    <t>濾光鏡光通訊南寶樹脂旗下</t>
    <phoneticPr fontId="1" type="noConversion"/>
  </si>
  <si>
    <t>網通線材</t>
    <phoneticPr fontId="1" type="noConversion"/>
  </si>
  <si>
    <t>二極體美國達爾大股東旗下晶圓廠亞昕</t>
    <phoneticPr fontId="1" type="noConversion"/>
  </si>
  <si>
    <t>33.33</t>
    <phoneticPr fontId="1" type="noConversion"/>
  </si>
  <si>
    <t>半導體設備真空</t>
    <phoneticPr fontId="1" type="noConversion"/>
  </si>
  <si>
    <t>8.30</t>
    <phoneticPr fontId="1" type="noConversion"/>
  </si>
  <si>
    <t>IC測試</t>
    <phoneticPr fontId="1" type="noConversion"/>
  </si>
  <si>
    <t>電子紙同業元太</t>
    <phoneticPr fontId="1" type="noConversion"/>
  </si>
  <si>
    <t>2.91</t>
    <phoneticPr fontId="1" type="noConversion"/>
  </si>
  <si>
    <t>13.53</t>
    <phoneticPr fontId="1" type="noConversion"/>
  </si>
  <si>
    <t>58.09</t>
    <phoneticPr fontId="1" type="noConversion"/>
  </si>
  <si>
    <t>3.76</t>
    <phoneticPr fontId="1" type="noConversion"/>
  </si>
  <si>
    <t>投報率大</t>
    <phoneticPr fontId="1" type="noConversion"/>
  </si>
  <si>
    <t>現在價法</t>
    <phoneticPr fontId="1" type="noConversion"/>
  </si>
  <si>
    <t>股息券</t>
    <phoneticPr fontId="1" type="noConversion"/>
  </si>
  <si>
    <t>買賣價資</t>
    <phoneticPr fontId="1" type="noConversion"/>
  </si>
  <si>
    <t>9.10</t>
    <phoneticPr fontId="1" type="noConversion"/>
  </si>
  <si>
    <t>冶金粉末件車用縫紉</t>
    <phoneticPr fontId="1" type="noConversion"/>
  </si>
  <si>
    <t>8.41</t>
    <phoneticPr fontId="1" type="noConversion"/>
  </si>
  <si>
    <t>磊晶片光通訊</t>
    <phoneticPr fontId="1" type="noConversion"/>
  </si>
  <si>
    <t>檢測驗證</t>
    <phoneticPr fontId="1" type="noConversion"/>
  </si>
  <si>
    <t>4938</t>
    <phoneticPr fontId="1" type="noConversion"/>
  </si>
  <si>
    <t>倚強股份</t>
    <phoneticPr fontId="1" type="noConversion"/>
  </si>
  <si>
    <t>7.03</t>
    <phoneticPr fontId="1" type="noConversion"/>
  </si>
  <si>
    <t>3.34</t>
    <phoneticPr fontId="1" type="noConversion"/>
  </si>
  <si>
    <t>重鵬</t>
    <phoneticPr fontId="1" type="noConversion"/>
  </si>
  <si>
    <t>5.10</t>
    <phoneticPr fontId="1" type="noConversion"/>
  </si>
  <si>
    <t>6.35</t>
    <phoneticPr fontId="1" type="noConversion"/>
  </si>
  <si>
    <t>7.94</t>
    <phoneticPr fontId="1" type="noConversion"/>
  </si>
  <si>
    <t>2.78</t>
    <phoneticPr fontId="1" type="noConversion"/>
  </si>
  <si>
    <t>2.38</t>
    <phoneticPr fontId="1" type="noConversion"/>
  </si>
  <si>
    <t>2.26</t>
    <phoneticPr fontId="1" type="noConversion"/>
  </si>
  <si>
    <t>43.8</t>
    <phoneticPr fontId="1" type="noConversion"/>
  </si>
  <si>
    <t>2.70</t>
    <phoneticPr fontId="1" type="noConversion"/>
  </si>
  <si>
    <t>3.26</t>
    <phoneticPr fontId="1" type="noConversion"/>
  </si>
  <si>
    <t>4.52</t>
    <phoneticPr fontId="1" type="noConversion"/>
  </si>
  <si>
    <t>9.16</t>
    <phoneticPr fontId="1" type="noConversion"/>
  </si>
  <si>
    <t>4.37</t>
    <phoneticPr fontId="1" type="noConversion"/>
  </si>
  <si>
    <t>4.38</t>
    <phoneticPr fontId="1" type="noConversion"/>
  </si>
  <si>
    <t>2.27</t>
    <phoneticPr fontId="1" type="noConversion"/>
  </si>
  <si>
    <t>9.95</t>
    <phoneticPr fontId="1" type="noConversion"/>
  </si>
  <si>
    <t>9.88</t>
    <phoneticPr fontId="1" type="noConversion"/>
  </si>
  <si>
    <t>4.81</t>
    <phoneticPr fontId="1" type="noConversion"/>
  </si>
  <si>
    <t>7.01</t>
    <phoneticPr fontId="1" type="noConversion"/>
  </si>
  <si>
    <t>進泰電子</t>
    <phoneticPr fontId="1" type="noConversion"/>
  </si>
  <si>
    <t>3.22</t>
    <phoneticPr fontId="1" type="noConversion"/>
  </si>
  <si>
    <t>4.88</t>
    <phoneticPr fontId="1" type="noConversion"/>
  </si>
  <si>
    <t>華盈</t>
    <phoneticPr fontId="1" type="noConversion"/>
  </si>
  <si>
    <t>3.07</t>
    <phoneticPr fontId="1" type="noConversion"/>
  </si>
  <si>
    <t>7.99</t>
    <phoneticPr fontId="1" type="noConversion"/>
  </si>
  <si>
    <t>3.50</t>
    <phoneticPr fontId="1" type="noConversion"/>
  </si>
  <si>
    <t>4.75</t>
    <phoneticPr fontId="1" type="noConversion"/>
  </si>
  <si>
    <t>6.12</t>
    <phoneticPr fontId="1" type="noConversion"/>
  </si>
  <si>
    <t>7.11</t>
    <phoneticPr fontId="1" type="noConversion"/>
  </si>
  <si>
    <t>4.39</t>
    <phoneticPr fontId="1" type="noConversion"/>
  </si>
  <si>
    <t>5.37</t>
    <phoneticPr fontId="1" type="noConversion"/>
  </si>
  <si>
    <t>5.00</t>
    <phoneticPr fontId="1" type="noConversion"/>
  </si>
  <si>
    <t>1.55</t>
    <phoneticPr fontId="1" type="noConversion"/>
  </si>
  <si>
    <t>詠昇</t>
    <phoneticPr fontId="1" type="noConversion"/>
  </si>
  <si>
    <t>3.45</t>
    <phoneticPr fontId="1" type="noConversion"/>
  </si>
  <si>
    <t>能率網通</t>
    <phoneticPr fontId="1" type="noConversion"/>
  </si>
  <si>
    <t>8.71</t>
    <phoneticPr fontId="1" type="noConversion"/>
  </si>
  <si>
    <t>4.03</t>
    <phoneticPr fontId="1" type="noConversion"/>
  </si>
  <si>
    <t>永利聯合</t>
    <phoneticPr fontId="1" type="noConversion"/>
  </si>
  <si>
    <t>6.42</t>
    <phoneticPr fontId="1" type="noConversion"/>
  </si>
  <si>
    <t>18.3</t>
    <phoneticPr fontId="1" type="noConversion"/>
  </si>
  <si>
    <t>8.31</t>
    <phoneticPr fontId="1" type="noConversion"/>
  </si>
  <si>
    <t>3.68</t>
    <phoneticPr fontId="1" type="noConversion"/>
  </si>
  <si>
    <t>4.00</t>
    <phoneticPr fontId="1" type="noConversion"/>
  </si>
  <si>
    <t>5.70</t>
    <phoneticPr fontId="1" type="noConversion"/>
  </si>
  <si>
    <t>5.06</t>
    <phoneticPr fontId="1" type="noConversion"/>
  </si>
  <si>
    <t>3.99</t>
    <phoneticPr fontId="1" type="noConversion"/>
  </si>
  <si>
    <t>3.54</t>
    <phoneticPr fontId="1" type="noConversion"/>
  </si>
  <si>
    <t>3.70</t>
    <phoneticPr fontId="1" type="noConversion"/>
  </si>
  <si>
    <t>17.0</t>
    <phoneticPr fontId="1" type="noConversion"/>
  </si>
  <si>
    <t>3.08</t>
    <phoneticPr fontId="1" type="noConversion"/>
  </si>
  <si>
    <t>1.32</t>
    <phoneticPr fontId="1" type="noConversion"/>
  </si>
  <si>
    <t>10.9</t>
    <phoneticPr fontId="1" type="noConversion"/>
  </si>
  <si>
    <t>5.55</t>
    <phoneticPr fontId="1" type="noConversion"/>
  </si>
  <si>
    <t>4.40</t>
    <phoneticPr fontId="1" type="noConversion"/>
  </si>
  <si>
    <t>7.12</t>
    <phoneticPr fontId="1" type="noConversion"/>
  </si>
  <si>
    <t>新盛力</t>
    <phoneticPr fontId="1" type="noConversion"/>
  </si>
  <si>
    <t>鋰電池模組</t>
    <phoneticPr fontId="1" type="noConversion"/>
  </si>
  <si>
    <t>3.72</t>
    <phoneticPr fontId="1" type="noConversion"/>
  </si>
  <si>
    <t>6.34</t>
    <phoneticPr fontId="1" type="noConversion"/>
  </si>
  <si>
    <t>8.20</t>
    <phoneticPr fontId="1" type="noConversion"/>
  </si>
  <si>
    <t>11.2</t>
    <phoneticPr fontId="1" type="noConversion"/>
  </si>
  <si>
    <t>9.63</t>
    <phoneticPr fontId="1" type="noConversion"/>
  </si>
  <si>
    <t>POS刷卡機</t>
    <phoneticPr fontId="1" type="noConversion"/>
  </si>
  <si>
    <t>7.90</t>
    <phoneticPr fontId="1" type="noConversion"/>
  </si>
  <si>
    <t>1.86</t>
    <phoneticPr fontId="1" type="noConversion"/>
  </si>
  <si>
    <t>3.63</t>
    <phoneticPr fontId="1" type="noConversion"/>
  </si>
  <si>
    <t>2.90</t>
    <phoneticPr fontId="1" type="noConversion"/>
  </si>
  <si>
    <t>4.41</t>
    <phoneticPr fontId="1" type="noConversion"/>
  </si>
  <si>
    <t>9.61</t>
    <phoneticPr fontId="1" type="noConversion"/>
  </si>
  <si>
    <t>7.35</t>
    <phoneticPr fontId="1" type="noConversion"/>
  </si>
  <si>
    <t>1.93</t>
    <phoneticPr fontId="1" type="noConversion"/>
  </si>
  <si>
    <t>5.53</t>
    <phoneticPr fontId="1" type="noConversion"/>
  </si>
  <si>
    <t>4.17</t>
    <phoneticPr fontId="1" type="noConversion"/>
  </si>
  <si>
    <t>4.45</t>
    <phoneticPr fontId="1" type="noConversion"/>
  </si>
  <si>
    <t>5.50</t>
    <phoneticPr fontId="1" type="noConversion"/>
  </si>
  <si>
    <t>5.11</t>
    <phoneticPr fontId="1" type="noConversion"/>
  </si>
  <si>
    <t>3.23</t>
    <phoneticPr fontId="1" type="noConversion"/>
  </si>
  <si>
    <t>2.46</t>
    <phoneticPr fontId="1" type="noConversion"/>
  </si>
  <si>
    <t>2.60</t>
    <phoneticPr fontId="1" type="noConversion"/>
  </si>
  <si>
    <t>5.94</t>
    <phoneticPr fontId="1" type="noConversion"/>
  </si>
  <si>
    <t>6.43</t>
    <phoneticPr fontId="1" type="noConversion"/>
  </si>
  <si>
    <t>3.27</t>
    <phoneticPr fontId="1" type="noConversion"/>
  </si>
  <si>
    <t>6.29</t>
    <phoneticPr fontId="1" type="noConversion"/>
  </si>
  <si>
    <t>7.63</t>
    <phoneticPr fontId="1" type="noConversion"/>
  </si>
  <si>
    <t>3.59</t>
    <phoneticPr fontId="1" type="noConversion"/>
  </si>
  <si>
    <t>6.44</t>
    <phoneticPr fontId="1" type="noConversion"/>
  </si>
  <si>
    <t>2.64</t>
    <phoneticPr fontId="1" type="noConversion"/>
  </si>
  <si>
    <t>6.40</t>
    <phoneticPr fontId="1" type="noConversion"/>
  </si>
  <si>
    <t>4.62</t>
    <phoneticPr fontId="1" type="noConversion"/>
  </si>
  <si>
    <t>7.57</t>
    <phoneticPr fontId="1" type="noConversion"/>
  </si>
  <si>
    <t>5.05</t>
    <phoneticPr fontId="1" type="noConversion"/>
  </si>
  <si>
    <t>大詠城</t>
    <phoneticPr fontId="1" type="noConversion"/>
  </si>
  <si>
    <t>工具機鑄件</t>
    <phoneticPr fontId="1" type="noConversion"/>
  </si>
  <si>
    <t>3.04</t>
    <phoneticPr fontId="1" type="noConversion"/>
  </si>
  <si>
    <t>7.08</t>
    <phoneticPr fontId="1" type="noConversion"/>
  </si>
  <si>
    <t>易發</t>
    <phoneticPr fontId="1" type="noConversion"/>
  </si>
  <si>
    <t>4.36</t>
    <phoneticPr fontId="1" type="noConversion"/>
  </si>
  <si>
    <t>3.60</t>
    <phoneticPr fontId="1" type="noConversion"/>
  </si>
  <si>
    <t>7.85</t>
    <phoneticPr fontId="1" type="noConversion"/>
  </si>
  <si>
    <t>4.96</t>
    <phoneticPr fontId="1" type="noConversion"/>
  </si>
  <si>
    <t>4.66</t>
    <phoneticPr fontId="1" type="noConversion"/>
  </si>
  <si>
    <t>3.25</t>
    <phoneticPr fontId="1" type="noConversion"/>
  </si>
  <si>
    <t>8.89</t>
    <phoneticPr fontId="1" type="noConversion"/>
  </si>
  <si>
    <t>4.46</t>
    <phoneticPr fontId="1" type="noConversion"/>
  </si>
  <si>
    <t>4.83</t>
    <phoneticPr fontId="1" type="noConversion"/>
  </si>
  <si>
    <t>6.18</t>
    <phoneticPr fontId="1" type="noConversion"/>
  </si>
  <si>
    <t>3.03</t>
    <phoneticPr fontId="1" type="noConversion"/>
  </si>
  <si>
    <t>5.27</t>
    <phoneticPr fontId="1" type="noConversion"/>
  </si>
  <si>
    <t>9.75</t>
    <phoneticPr fontId="1" type="noConversion"/>
  </si>
  <si>
    <t>6.55</t>
    <phoneticPr fontId="1" type="noConversion"/>
  </si>
  <si>
    <t>福永生技</t>
    <phoneticPr fontId="1" type="noConversion"/>
  </si>
  <si>
    <t>欣大健康</t>
    <phoneticPr fontId="1" type="noConversion"/>
  </si>
  <si>
    <t>X光機</t>
    <phoneticPr fontId="1" type="noConversion"/>
  </si>
  <si>
    <t>蛋白質藥晟德旗下</t>
    <phoneticPr fontId="1" type="noConversion"/>
  </si>
  <si>
    <t>5.45</t>
    <phoneticPr fontId="1" type="noConversion"/>
  </si>
  <si>
    <t>9.22</t>
    <phoneticPr fontId="1" type="noConversion"/>
  </si>
  <si>
    <t>7.74</t>
    <phoneticPr fontId="1" type="noConversion"/>
  </si>
  <si>
    <t>2.20</t>
    <phoneticPr fontId="1" type="noConversion"/>
  </si>
  <si>
    <t>3.40</t>
    <phoneticPr fontId="1" type="noConversion"/>
  </si>
  <si>
    <t>2.13</t>
    <phoneticPr fontId="1" type="noConversion"/>
  </si>
  <si>
    <t>6.16</t>
    <phoneticPr fontId="1" type="noConversion"/>
  </si>
  <si>
    <t>5.60</t>
    <phoneticPr fontId="1" type="noConversion"/>
  </si>
  <si>
    <t>慕康生醫</t>
    <phoneticPr fontId="1" type="noConversion"/>
  </si>
  <si>
    <t>南良</t>
    <phoneticPr fontId="1" type="noConversion"/>
  </si>
  <si>
    <t>新華</t>
    <phoneticPr fontId="1" type="noConversion"/>
  </si>
  <si>
    <t>醫材代理</t>
    <phoneticPr fontId="1" type="noConversion"/>
  </si>
  <si>
    <t>特殊紡織品</t>
    <phoneticPr fontId="1" type="noConversion"/>
  </si>
  <si>
    <t>芝麻街英語</t>
    <phoneticPr fontId="1" type="noConversion"/>
  </si>
  <si>
    <t>1.80</t>
    <phoneticPr fontId="1" type="noConversion"/>
  </si>
  <si>
    <t>8.43</t>
    <phoneticPr fontId="1" type="noConversion"/>
  </si>
  <si>
    <t>4.6</t>
    <phoneticPr fontId="1" type="noConversion"/>
  </si>
  <si>
    <t>4.05</t>
    <phoneticPr fontId="1" type="noConversion"/>
  </si>
  <si>
    <t>50.6</t>
    <phoneticPr fontId="1" type="noConversion"/>
  </si>
  <si>
    <t>7.16</t>
    <phoneticPr fontId="1" type="noConversion"/>
  </si>
  <si>
    <t>7.23</t>
    <phoneticPr fontId="1" type="noConversion"/>
  </si>
  <si>
    <t>7.9</t>
    <phoneticPr fontId="1" type="noConversion"/>
  </si>
  <si>
    <t>30.2</t>
    <phoneticPr fontId="1" type="noConversion"/>
  </si>
  <si>
    <t>6.11</t>
    <phoneticPr fontId="1" type="noConversion"/>
  </si>
  <si>
    <t>7.52</t>
    <phoneticPr fontId="1" type="noConversion"/>
  </si>
  <si>
    <t>2.16</t>
    <phoneticPr fontId="1" type="noConversion"/>
  </si>
  <si>
    <t>3.14</t>
    <phoneticPr fontId="1" type="noConversion"/>
  </si>
  <si>
    <t>8.24</t>
    <phoneticPr fontId="1" type="noConversion"/>
  </si>
  <si>
    <t>17.3</t>
    <phoneticPr fontId="1" type="noConversion"/>
  </si>
  <si>
    <t>5.46</t>
    <phoneticPr fontId="1" type="noConversion"/>
  </si>
  <si>
    <t>3.29</t>
    <phoneticPr fontId="1" type="noConversion"/>
  </si>
  <si>
    <t>9.45</t>
    <phoneticPr fontId="1" type="noConversion"/>
  </si>
  <si>
    <t>5.21</t>
    <phoneticPr fontId="1" type="noConversion"/>
  </si>
  <si>
    <t>SONY.SHARP代理</t>
    <phoneticPr fontId="1" type="noConversion"/>
  </si>
  <si>
    <t>7.21</t>
    <phoneticPr fontId="1" type="noConversion"/>
  </si>
  <si>
    <t>5.18</t>
    <phoneticPr fontId="1" type="noConversion"/>
  </si>
  <si>
    <t>6.96</t>
    <phoneticPr fontId="1" type="noConversion"/>
  </si>
  <si>
    <t>13.34</t>
    <phoneticPr fontId="1" type="noConversion"/>
  </si>
  <si>
    <t>6.48</t>
    <phoneticPr fontId="1" type="noConversion"/>
  </si>
  <si>
    <t>7.83</t>
    <phoneticPr fontId="1" type="noConversion"/>
  </si>
  <si>
    <t>34.6</t>
    <phoneticPr fontId="1" type="noConversion"/>
  </si>
  <si>
    <t>昇益</t>
    <phoneticPr fontId="1" type="noConversion"/>
  </si>
  <si>
    <t>建材買賣</t>
    <phoneticPr fontId="1" type="noConversion"/>
  </si>
  <si>
    <t>74.4</t>
    <phoneticPr fontId="1" type="noConversion"/>
  </si>
  <si>
    <t>7.54</t>
    <phoneticPr fontId="1" type="noConversion"/>
  </si>
  <si>
    <t>桓鼎KY</t>
    <phoneticPr fontId="1" type="noConversion"/>
  </si>
  <si>
    <t>金屬建材</t>
    <phoneticPr fontId="1" type="noConversion"/>
  </si>
  <si>
    <t>6.41</t>
    <phoneticPr fontId="1" type="noConversion"/>
  </si>
  <si>
    <t>3.11</t>
    <phoneticPr fontId="1" type="noConversion"/>
  </si>
  <si>
    <t>6.82</t>
    <phoneticPr fontId="1" type="noConversion"/>
  </si>
  <si>
    <t>4.90</t>
    <phoneticPr fontId="1" type="noConversion"/>
  </si>
  <si>
    <t>3.20</t>
    <phoneticPr fontId="1" type="noConversion"/>
  </si>
  <si>
    <t>2.93</t>
    <phoneticPr fontId="1" type="noConversion"/>
  </si>
  <si>
    <t>4.53</t>
    <phoneticPr fontId="1" type="noConversion"/>
  </si>
  <si>
    <t>御頂</t>
    <phoneticPr fontId="1" type="noConversion"/>
  </si>
  <si>
    <t>連鎖餐飲</t>
    <phoneticPr fontId="1" type="noConversion"/>
  </si>
  <si>
    <t>2.01</t>
    <phoneticPr fontId="1" type="noConversion"/>
  </si>
  <si>
    <t>CAD繪圖軟體</t>
    <phoneticPr fontId="1" type="noConversion"/>
  </si>
  <si>
    <t>2.29</t>
    <phoneticPr fontId="1" type="noConversion"/>
  </si>
  <si>
    <t>3.74</t>
    <phoneticPr fontId="1" type="noConversion"/>
  </si>
  <si>
    <t>2.02</t>
    <phoneticPr fontId="1" type="noConversion"/>
  </si>
  <si>
    <t>叡揚</t>
    <phoneticPr fontId="1" type="noConversion"/>
  </si>
  <si>
    <t>地心引力</t>
    <phoneticPr fontId="1" type="noConversion"/>
  </si>
  <si>
    <t>手機遊戲</t>
    <phoneticPr fontId="1" type="noConversion"/>
  </si>
  <si>
    <t>4.80</t>
    <phoneticPr fontId="1" type="noConversion"/>
  </si>
  <si>
    <t>3.01</t>
    <phoneticPr fontId="1" type="noConversion"/>
  </si>
  <si>
    <t>1.77</t>
    <phoneticPr fontId="1" type="noConversion"/>
  </si>
  <si>
    <t>3.50</t>
    <phoneticPr fontId="1" type="noConversion"/>
  </si>
  <si>
    <t>8.53</t>
    <phoneticPr fontId="1" type="noConversion"/>
  </si>
  <si>
    <t>63.1</t>
    <phoneticPr fontId="1" type="noConversion"/>
  </si>
  <si>
    <t>49.4</t>
    <phoneticPr fontId="1" type="noConversion"/>
  </si>
  <si>
    <t>59.2</t>
    <phoneticPr fontId="1" type="noConversion"/>
  </si>
  <si>
    <t>8.76</t>
    <phoneticPr fontId="1" type="noConversion"/>
  </si>
  <si>
    <t>15.2</t>
    <phoneticPr fontId="1" type="noConversion"/>
  </si>
  <si>
    <t>33.7</t>
    <phoneticPr fontId="1" type="noConversion"/>
  </si>
  <si>
    <t>9.40</t>
    <phoneticPr fontId="1" type="noConversion"/>
  </si>
  <si>
    <t>9.67</t>
    <phoneticPr fontId="1" type="noConversion"/>
  </si>
  <si>
    <t>8.50</t>
    <phoneticPr fontId="1" type="noConversion"/>
  </si>
  <si>
    <t>9.30</t>
    <phoneticPr fontId="1" type="noConversion"/>
  </si>
  <si>
    <t>5.23</t>
    <phoneticPr fontId="1" type="noConversion"/>
  </si>
  <si>
    <t>6.02</t>
    <phoneticPr fontId="1" type="noConversion"/>
  </si>
  <si>
    <t>20.2</t>
    <phoneticPr fontId="1" type="noConversion"/>
  </si>
  <si>
    <t>8.98</t>
    <phoneticPr fontId="1" type="noConversion"/>
  </si>
  <si>
    <t>8.93</t>
    <phoneticPr fontId="1" type="noConversion"/>
  </si>
  <si>
    <t>6.81</t>
    <phoneticPr fontId="1" type="noConversion"/>
  </si>
  <si>
    <t>317</t>
    <phoneticPr fontId="1" type="noConversion"/>
  </si>
  <si>
    <t>20.5</t>
    <phoneticPr fontId="1" type="noConversion"/>
  </si>
  <si>
    <t>17.9</t>
    <phoneticPr fontId="1" type="noConversion"/>
  </si>
  <si>
    <t>22.4</t>
    <phoneticPr fontId="1" type="noConversion"/>
  </si>
  <si>
    <t>34.3</t>
    <phoneticPr fontId="1" type="noConversion"/>
  </si>
  <si>
    <t>1.90</t>
    <phoneticPr fontId="1" type="noConversion"/>
  </si>
  <si>
    <t>24.0</t>
    <phoneticPr fontId="1" type="noConversion"/>
  </si>
  <si>
    <t>8.81</t>
    <phoneticPr fontId="1" type="noConversion"/>
  </si>
  <si>
    <t>24.6</t>
    <phoneticPr fontId="1" type="noConversion"/>
  </si>
  <si>
    <t>8.87</t>
    <phoneticPr fontId="1" type="noConversion"/>
  </si>
  <si>
    <t>17.1</t>
    <phoneticPr fontId="1" type="noConversion"/>
  </si>
  <si>
    <t>21.4</t>
    <phoneticPr fontId="1" type="noConversion"/>
  </si>
  <si>
    <t>6.15</t>
    <phoneticPr fontId="1" type="noConversion"/>
  </si>
  <si>
    <t>8.92</t>
    <phoneticPr fontId="1" type="noConversion"/>
  </si>
  <si>
    <t>8.28</t>
    <phoneticPr fontId="1" type="noConversion"/>
  </si>
  <si>
    <t>10.5</t>
    <phoneticPr fontId="1" type="noConversion"/>
  </si>
  <si>
    <t>25.8</t>
    <phoneticPr fontId="1" type="noConversion"/>
  </si>
  <si>
    <t>54.1</t>
    <phoneticPr fontId="1" type="noConversion"/>
  </si>
  <si>
    <t>44.8</t>
    <phoneticPr fontId="1" type="noConversion"/>
  </si>
  <si>
    <t>39.0</t>
    <phoneticPr fontId="1" type="noConversion"/>
  </si>
  <si>
    <t>8.65</t>
    <phoneticPr fontId="1" type="noConversion"/>
  </si>
  <si>
    <t>6.70</t>
    <phoneticPr fontId="1" type="noConversion"/>
  </si>
  <si>
    <t>9.42</t>
    <phoneticPr fontId="1" type="noConversion"/>
  </si>
  <si>
    <t>元翎</t>
    <phoneticPr fontId="1" type="noConversion"/>
  </si>
  <si>
    <t>高壓鋼瓶</t>
    <phoneticPr fontId="1" type="noConversion"/>
  </si>
  <si>
    <t>4.84</t>
    <phoneticPr fontId="1" type="noConversion"/>
  </si>
  <si>
    <t>6.86</t>
    <phoneticPr fontId="1" type="noConversion"/>
  </si>
  <si>
    <t>9.13</t>
    <phoneticPr fontId="1" type="noConversion"/>
  </si>
  <si>
    <t>7.51</t>
    <phoneticPr fontId="1" type="noConversion"/>
  </si>
  <si>
    <t>6.10</t>
    <phoneticPr fontId="1" type="noConversion"/>
  </si>
  <si>
    <t>學名藥Alvogen持股7成</t>
    <phoneticPr fontId="1" type="noConversion"/>
  </si>
  <si>
    <t>26.6</t>
    <phoneticPr fontId="1" type="noConversion"/>
  </si>
  <si>
    <t>大宗物資</t>
    <phoneticPr fontId="1" type="noConversion"/>
  </si>
  <si>
    <t>20.3</t>
    <phoneticPr fontId="1" type="noConversion"/>
  </si>
  <si>
    <t>39.4</t>
    <phoneticPr fontId="1" type="noConversion"/>
  </si>
  <si>
    <t>6.9</t>
    <phoneticPr fontId="1" type="noConversion"/>
  </si>
  <si>
    <t>6.3</t>
    <phoneticPr fontId="1" type="noConversion"/>
  </si>
  <si>
    <t>7.40</t>
    <phoneticPr fontId="1" type="noConversion"/>
  </si>
  <si>
    <t>6.08</t>
    <phoneticPr fontId="1" type="noConversion"/>
  </si>
  <si>
    <t>6.60</t>
    <phoneticPr fontId="1" type="noConversion"/>
  </si>
  <si>
    <t>31.5</t>
    <phoneticPr fontId="1" type="noConversion"/>
  </si>
  <si>
    <t>4.95</t>
    <phoneticPr fontId="1" type="noConversion"/>
  </si>
  <si>
    <t>9.80</t>
    <phoneticPr fontId="1" type="noConversion"/>
  </si>
  <si>
    <t>157</t>
    <phoneticPr fontId="1" type="noConversion"/>
  </si>
  <si>
    <t>6.30</t>
    <phoneticPr fontId="1" type="noConversion"/>
  </si>
  <si>
    <t>22.0</t>
    <phoneticPr fontId="1" type="noConversion"/>
  </si>
  <si>
    <t>9.20</t>
    <phoneticPr fontId="1" type="noConversion"/>
  </si>
  <si>
    <t>53.1</t>
    <phoneticPr fontId="1" type="noConversion"/>
  </si>
  <si>
    <t>9.37</t>
    <phoneticPr fontId="1" type="noConversion"/>
  </si>
  <si>
    <t>23.3</t>
    <phoneticPr fontId="1" type="noConversion"/>
  </si>
  <si>
    <t>8.58</t>
    <phoneticPr fontId="1" type="noConversion"/>
  </si>
  <si>
    <t>業旺</t>
    <phoneticPr fontId="1" type="noConversion"/>
  </si>
  <si>
    <t>羽絨服</t>
    <phoneticPr fontId="1" type="noConversion"/>
  </si>
  <si>
    <t>47.7</t>
    <phoneticPr fontId="1" type="noConversion"/>
  </si>
  <si>
    <t>101</t>
    <phoneticPr fontId="1" type="noConversion"/>
  </si>
  <si>
    <t>9.94</t>
    <phoneticPr fontId="1" type="noConversion"/>
  </si>
  <si>
    <t>9.06</t>
    <phoneticPr fontId="1" type="noConversion"/>
  </si>
  <si>
    <t>5.66</t>
    <phoneticPr fontId="1" type="noConversion"/>
  </si>
  <si>
    <t>32.3</t>
    <phoneticPr fontId="1" type="noConversion"/>
  </si>
  <si>
    <t>50.0</t>
    <phoneticPr fontId="1" type="noConversion"/>
  </si>
  <si>
    <t>68.6</t>
    <phoneticPr fontId="1" type="noConversion"/>
  </si>
  <si>
    <t>7.66</t>
    <phoneticPr fontId="1" type="noConversion"/>
  </si>
  <si>
    <t>6.68</t>
    <phoneticPr fontId="1" type="noConversion"/>
  </si>
  <si>
    <t>21.3</t>
    <phoneticPr fontId="1" type="noConversion"/>
  </si>
  <si>
    <t>36.7</t>
    <phoneticPr fontId="1" type="noConversion"/>
  </si>
  <si>
    <t>78.8</t>
    <phoneticPr fontId="1" type="noConversion"/>
  </si>
  <si>
    <t>9.92</t>
    <phoneticPr fontId="1" type="noConversion"/>
  </si>
  <si>
    <t>35.9</t>
    <phoneticPr fontId="1" type="noConversion"/>
  </si>
  <si>
    <t>64.7</t>
    <phoneticPr fontId="1" type="noConversion"/>
  </si>
  <si>
    <t>34.1</t>
    <phoneticPr fontId="1" type="noConversion"/>
  </si>
  <si>
    <t>189</t>
    <phoneticPr fontId="1" type="noConversion"/>
  </si>
  <si>
    <t>千興</t>
    <phoneticPr fontId="1" type="noConversion"/>
  </si>
  <si>
    <t>冷軋</t>
    <phoneticPr fontId="1" type="noConversion"/>
  </si>
  <si>
    <t>5.26</t>
    <phoneticPr fontId="1" type="noConversion"/>
  </si>
  <si>
    <t>40.4</t>
    <phoneticPr fontId="1" type="noConversion"/>
  </si>
  <si>
    <t>106</t>
    <phoneticPr fontId="1" type="noConversion"/>
  </si>
  <si>
    <t>三地開發</t>
    <phoneticPr fontId="1" type="noConversion"/>
  </si>
  <si>
    <t>37.0</t>
    <phoneticPr fontId="1" type="noConversion"/>
  </si>
  <si>
    <t>153</t>
    <phoneticPr fontId="1" type="noConversion"/>
  </si>
  <si>
    <t>27.0</t>
    <phoneticPr fontId="1" type="noConversion"/>
  </si>
  <si>
    <t>47.4</t>
    <phoneticPr fontId="1" type="noConversion"/>
  </si>
  <si>
    <t>33.4</t>
    <phoneticPr fontId="1" type="noConversion"/>
  </si>
  <si>
    <t>129</t>
    <phoneticPr fontId="1" type="noConversion"/>
  </si>
  <si>
    <t>32.7</t>
    <phoneticPr fontId="1" type="noConversion"/>
  </si>
  <si>
    <t>90.0</t>
    <phoneticPr fontId="1" type="noConversion"/>
  </si>
  <si>
    <t>76.0</t>
    <phoneticPr fontId="1" type="noConversion"/>
  </si>
  <si>
    <t>174</t>
    <phoneticPr fontId="1" type="noConversion"/>
  </si>
  <si>
    <t>35.2</t>
    <phoneticPr fontId="1" type="noConversion"/>
  </si>
  <si>
    <t>21.9</t>
    <phoneticPr fontId="1" type="noConversion"/>
  </si>
  <si>
    <t>44.7</t>
    <phoneticPr fontId="1" type="noConversion"/>
  </si>
  <si>
    <t>26.4</t>
    <phoneticPr fontId="1" type="noConversion"/>
  </si>
  <si>
    <t>大陸房地產日月光轉投資</t>
    <phoneticPr fontId="1" type="noConversion"/>
  </si>
  <si>
    <t>營造潤泰旗下</t>
    <phoneticPr fontId="1" type="noConversion"/>
  </si>
  <si>
    <t>營造冠德旗下</t>
    <phoneticPr fontId="1" type="noConversion"/>
  </si>
  <si>
    <t>建商帝寶宏泰旗下</t>
    <phoneticPr fontId="1" type="noConversion"/>
  </si>
  <si>
    <t>47.3</t>
    <phoneticPr fontId="1" type="noConversion"/>
  </si>
  <si>
    <t>32.2</t>
    <phoneticPr fontId="1" type="noConversion"/>
  </si>
  <si>
    <t>31.2</t>
    <phoneticPr fontId="1" type="noConversion"/>
  </si>
  <si>
    <t>9.04</t>
    <phoneticPr fontId="1" type="noConversion"/>
  </si>
  <si>
    <t>80.3</t>
    <phoneticPr fontId="1" type="noConversion"/>
  </si>
  <si>
    <t>4.64</t>
    <phoneticPr fontId="1" type="noConversion"/>
  </si>
  <si>
    <t>26.0</t>
    <phoneticPr fontId="1" type="noConversion"/>
  </si>
  <si>
    <t>8.06</t>
    <phoneticPr fontId="1" type="noConversion"/>
  </si>
  <si>
    <t>43.3</t>
    <phoneticPr fontId="1" type="noConversion"/>
  </si>
  <si>
    <t>36.9</t>
    <phoneticPr fontId="1" type="noConversion"/>
  </si>
  <si>
    <t>59.0</t>
    <phoneticPr fontId="1" type="noConversion"/>
  </si>
  <si>
    <t>139</t>
    <phoneticPr fontId="1" type="noConversion"/>
  </si>
  <si>
    <t>工紙3雄</t>
    <phoneticPr fontId="1" type="noConversion"/>
  </si>
  <si>
    <t>5.31</t>
    <phoneticPr fontId="1" type="noConversion"/>
  </si>
  <si>
    <t>車用導線架同業順德</t>
    <phoneticPr fontId="1" type="noConversion"/>
  </si>
  <si>
    <t>MCU封測力成投資</t>
    <phoneticPr fontId="1" type="noConversion"/>
  </si>
  <si>
    <t>MCU封測華新麗華旗下</t>
    <phoneticPr fontId="1" type="noConversion"/>
  </si>
  <si>
    <t>MCU封測聯電旗下</t>
    <phoneticPr fontId="1" type="noConversion"/>
  </si>
  <si>
    <t>2.09</t>
    <phoneticPr fontId="1" type="noConversion"/>
  </si>
  <si>
    <t>2.87</t>
    <phoneticPr fontId="1" type="noConversion"/>
  </si>
  <si>
    <t>-0.3</t>
    <phoneticPr fontId="1" type="noConversion"/>
  </si>
  <si>
    <t>1.05</t>
    <phoneticPr fontId="1" type="noConversion"/>
  </si>
  <si>
    <t>7.77</t>
    <phoneticPr fontId="1" type="noConversion"/>
  </si>
  <si>
    <t>-1.77</t>
    <phoneticPr fontId="1" type="noConversion"/>
  </si>
  <si>
    <t>-3.81</t>
    <phoneticPr fontId="1" type="noConversion"/>
  </si>
  <si>
    <t>2.21</t>
    <phoneticPr fontId="1" type="noConversion"/>
  </si>
  <si>
    <t>4.43</t>
    <phoneticPr fontId="1" type="noConversion"/>
  </si>
  <si>
    <t>0.3</t>
    <phoneticPr fontId="1" type="noConversion"/>
  </si>
  <si>
    <t>0.4</t>
    <phoneticPr fontId="1" type="noConversion"/>
  </si>
  <si>
    <t>10.79</t>
    <phoneticPr fontId="1" type="noConversion"/>
  </si>
  <si>
    <t>-1.11</t>
    <phoneticPr fontId="1" type="noConversion"/>
  </si>
  <si>
    <t>14.33</t>
    <phoneticPr fontId="1" type="noConversion"/>
  </si>
  <si>
    <t>25.98</t>
    <phoneticPr fontId="1" type="noConversion"/>
  </si>
  <si>
    <t>17.84</t>
    <phoneticPr fontId="1" type="noConversion"/>
  </si>
  <si>
    <t>半導</t>
    <phoneticPr fontId="1" type="noConversion"/>
  </si>
  <si>
    <t>現在價</t>
    <phoneticPr fontId="1" type="noConversion"/>
  </si>
  <si>
    <t>ASIC比特幣</t>
    <phoneticPr fontId="1" type="noConversion"/>
  </si>
  <si>
    <t>龍門機CNC</t>
    <phoneticPr fontId="1" type="noConversion"/>
  </si>
  <si>
    <t>聯德控股KY</t>
    <phoneticPr fontId="1" type="noConversion"/>
  </si>
  <si>
    <t>污水處理海水淡化</t>
    <phoneticPr fontId="1" type="noConversion"/>
  </si>
  <si>
    <t>貴金屬再生</t>
    <phoneticPr fontId="1" type="noConversion"/>
  </si>
  <si>
    <t>高頻被動元件</t>
    <phoneticPr fontId="1" type="noConversion"/>
  </si>
  <si>
    <t>Type-C MacPro SD</t>
    <phoneticPr fontId="1" type="noConversion"/>
  </si>
  <si>
    <t>8155</t>
    <phoneticPr fontId="1" type="noConversion"/>
  </si>
  <si>
    <t>574</t>
    <phoneticPr fontId="1" type="noConversion"/>
  </si>
  <si>
    <t>1101</t>
    <phoneticPr fontId="1" type="noConversion"/>
  </si>
  <si>
    <t>台橡</t>
    <phoneticPr fontId="1" type="noConversion"/>
  </si>
  <si>
    <t>02月21年</t>
    <phoneticPr fontId="1" type="noConversion"/>
  </si>
  <si>
    <t>-0.7</t>
    <phoneticPr fontId="1" type="noConversion"/>
  </si>
  <si>
    <t>-2.42</t>
    <phoneticPr fontId="1" type="noConversion"/>
  </si>
  <si>
    <t>6.72</t>
    <phoneticPr fontId="1" type="noConversion"/>
  </si>
  <si>
    <t>-1.08</t>
    <phoneticPr fontId="1" type="noConversion"/>
  </si>
  <si>
    <t>2.68</t>
    <phoneticPr fontId="1" type="noConversion"/>
  </si>
  <si>
    <t>7.5</t>
    <phoneticPr fontId="1" type="noConversion"/>
  </si>
  <si>
    <t>2.9</t>
    <phoneticPr fontId="1" type="noConversion"/>
  </si>
  <si>
    <t>無塵室海水淡化</t>
    <phoneticPr fontId="1" type="noConversion"/>
  </si>
  <si>
    <t>5.69</t>
    <phoneticPr fontId="1" type="noConversion"/>
  </si>
  <si>
    <t>-0.52</t>
    <phoneticPr fontId="1" type="noConversion"/>
  </si>
  <si>
    <t>高球桿頭4雄</t>
    <phoneticPr fontId="1" type="noConversion"/>
  </si>
  <si>
    <t>記憶體IC VR商機</t>
    <phoneticPr fontId="1" type="noConversion"/>
  </si>
  <si>
    <t>音效IC VR商機</t>
    <phoneticPr fontId="1" type="noConversion"/>
  </si>
  <si>
    <t>減速齒輪Tesla電動車3雄</t>
    <phoneticPr fontId="1" type="noConversion"/>
  </si>
  <si>
    <t>電源供應器台達電集團電動車3雄</t>
    <phoneticPr fontId="1" type="noConversion"/>
  </si>
  <si>
    <t>測試設備電動車3雄</t>
    <phoneticPr fontId="1" type="noConversion"/>
  </si>
  <si>
    <t>03月21年</t>
    <phoneticPr fontId="1" type="noConversion"/>
  </si>
  <si>
    <t>紅外線量測</t>
    <phoneticPr fontId="1" type="noConversion"/>
  </si>
  <si>
    <t>封測矽格旗下比特幣概念</t>
    <phoneticPr fontId="1" type="noConversion"/>
  </si>
  <si>
    <t>熱交換器 綠色氫氣</t>
    <phoneticPr fontId="1" type="noConversion"/>
  </si>
  <si>
    <t>電源供應器金仁寶旗下 綠色氫氣</t>
    <phoneticPr fontId="1" type="noConversion"/>
  </si>
  <si>
    <t>太陽能電池 魚電共生</t>
    <phoneticPr fontId="1" type="noConversion"/>
  </si>
  <si>
    <t>和康生</t>
    <phoneticPr fontId="1" type="noConversion"/>
  </si>
  <si>
    <t>遊戲雙雄</t>
    <phoneticPr fontId="1" type="noConversion"/>
  </si>
  <si>
    <t>23.02</t>
    <phoneticPr fontId="1" type="noConversion"/>
  </si>
  <si>
    <t>隱形眼鏡3雄和碩轉投資</t>
    <phoneticPr fontId="1" type="noConversion"/>
  </si>
  <si>
    <t>隱形眼鏡3雄</t>
    <phoneticPr fontId="1" type="noConversion"/>
  </si>
  <si>
    <t>39.1</t>
    <phoneticPr fontId="1" type="noConversion"/>
  </si>
  <si>
    <t>4.92</t>
    <phoneticPr fontId="1" type="noConversion"/>
  </si>
  <si>
    <t>92.3</t>
    <phoneticPr fontId="1" type="noConversion"/>
  </si>
  <si>
    <t>保護元件3大廠熱敏電阻</t>
    <phoneticPr fontId="1" type="noConversion"/>
  </si>
  <si>
    <t>保護元件3大廠</t>
    <phoneticPr fontId="1" type="noConversion"/>
  </si>
  <si>
    <t>保護元件3大廠保險絲</t>
    <phoneticPr fontId="1" type="noConversion"/>
  </si>
  <si>
    <t>統計</t>
    <phoneticPr fontId="1" type="noConversion"/>
  </si>
  <si>
    <t>直得、訊聯、世德、台星科、家登、聿新科、光明、永捷、達威、三聯、晉泰、保瑞、</t>
    <phoneticPr fontId="1" type="noConversion"/>
  </si>
  <si>
    <t>長科、英格爾、駿吉-KY、東凌-KY、VHQ-KY、特昇-KY等 18 家。</t>
  </si>
  <si>
    <t>台積電、晶電、晶華、光寶科、昆盈、光群雷、閎暉、敦泰、三福化、傳奇、華興、</t>
    <phoneticPr fontId="1" type="noConversion"/>
  </si>
  <si>
    <t>宏正科、興富發、聯德控股-KY、福貞-KY、波力-KY、泰昇-KY等 17 家。</t>
  </si>
  <si>
    <t>幸福、上曜、宏州、宜進、寶隆、榮成、南港、國巨、精英、華邦電、所羅門、虹光、浩鑫、鼎元、可成、瑞軒、皇普、</t>
    <phoneticPr fontId="1" type="noConversion"/>
  </si>
  <si>
    <t>聯邦銀、和鑫、正達、玉晶光、牧德、碩天、如興、</t>
    <phoneticPr fontId="1" type="noConversion"/>
  </si>
  <si>
    <t>低檔爆量打不下去是好事。高檔爆量留實體黑K或上引線。出貨意謂濃厚。</t>
    <phoneticPr fontId="1" type="noConversion"/>
  </si>
  <si>
    <t>左右手做量。製造買盤氣氛。順便嘎前些日子卷單。往後幾個交易日。</t>
  </si>
  <si>
    <t>2.長黑趕底破底翻：一般出現在第一種情況之後，</t>
    <phoneticPr fontId="1" type="noConversion"/>
  </si>
  <si>
    <t>底部出現一根超長的帶量長黑，把最後還抱希望的人全部洗光。之後才開始緩步走揚。</t>
  </si>
  <si>
    <t>3.日出東方，長紅突破：也是第一種情況之後，在底部出現一根超級帶量長紅。</t>
    <phoneticPr fontId="1" type="noConversion"/>
  </si>
  <si>
    <t>正式宣告空頭結束。之後量能逐步放大開始下一波多頭。</t>
  </si>
  <si>
    <t>QQ號</t>
    <phoneticPr fontId="1" type="noConversion"/>
  </si>
  <si>
    <t>XQ帳號</t>
    <phoneticPr fontId="1" type="noConversion"/>
  </si>
  <si>
    <t>sukibayashi/第一珠/華南斌</t>
    <phoneticPr fontId="1" type="noConversion"/>
  </si>
  <si>
    <t>buffettdong/第一斌/華南珠</t>
    <phoneticPr fontId="1" type="noConversion"/>
  </si>
  <si>
    <t>鋼鐵</t>
    <phoneticPr fontId="1" type="noConversion"/>
  </si>
  <si>
    <t>展碁國際</t>
    <phoneticPr fontId="1" type="noConversion"/>
  </si>
  <si>
    <t>AES-KY</t>
    <phoneticPr fontId="1" type="noConversion"/>
  </si>
  <si>
    <t>股息</t>
    <phoneticPr fontId="1" type="noConversion"/>
  </si>
  <si>
    <t>費稅</t>
    <phoneticPr fontId="1" type="noConversion"/>
  </si>
  <si>
    <t>獲利</t>
    <phoneticPr fontId="1" type="noConversion"/>
  </si>
  <si>
    <t>179.2</t>
    <phoneticPr fontId="1" type="noConversion"/>
  </si>
  <si>
    <t>8.54</t>
    <phoneticPr fontId="1" type="noConversion"/>
  </si>
  <si>
    <t>鋰電池模組新普旗下</t>
    <phoneticPr fontId="1" type="noConversion"/>
  </si>
  <si>
    <t>0981189079</t>
    <phoneticPr fontId="1" type="noConversion"/>
  </si>
  <si>
    <t>0960900916</t>
    <phoneticPr fontId="1" type="noConversion"/>
  </si>
  <si>
    <t>0960905918</t>
    <phoneticPr fontId="1" type="noConversion"/>
  </si>
  <si>
    <t>0916009079</t>
    <phoneticPr fontId="1" type="noConversion"/>
  </si>
  <si>
    <t>東</t>
    <phoneticPr fontId="1" type="noConversion"/>
  </si>
  <si>
    <t>buffettju/華南博/華南斌</t>
    <phoneticPr fontId="1" type="noConversion"/>
  </si>
  <si>
    <t>生日</t>
    <phoneticPr fontId="1" type="noConversion"/>
  </si>
  <si>
    <t>長榮鋼</t>
    <phoneticPr fontId="1" type="noConversion"/>
  </si>
  <si>
    <t>鋼結構長榮旗下</t>
    <phoneticPr fontId="1" type="noConversion"/>
  </si>
  <si>
    <t>4938</t>
    <phoneticPr fontId="1" type="noConversion"/>
  </si>
  <si>
    <t>33.81</t>
    <phoneticPr fontId="1" type="noConversion"/>
  </si>
  <si>
    <t>台燿</t>
    <phoneticPr fontId="1" type="noConversion"/>
  </si>
  <si>
    <t>9.32</t>
    <phoneticPr fontId="1" type="noConversion"/>
  </si>
  <si>
    <t>1</t>
    <phoneticPr fontId="1" type="noConversion"/>
  </si>
  <si>
    <t>67.1</t>
    <phoneticPr fontId="1" type="noConversion"/>
  </si>
  <si>
    <t>6147</t>
    <phoneticPr fontId="1" type="noConversion"/>
  </si>
  <si>
    <t>頎邦</t>
    <phoneticPr fontId="1" type="noConversion"/>
  </si>
  <si>
    <t>26.7</t>
    <phoneticPr fontId="1" type="noConversion"/>
  </si>
  <si>
    <t>6274</t>
    <phoneticPr fontId="1" type="noConversion"/>
  </si>
  <si>
    <t>台燿</t>
    <phoneticPr fontId="1" type="noConversion"/>
  </si>
  <si>
    <t>8086</t>
    <phoneticPr fontId="1" type="noConversion"/>
  </si>
  <si>
    <t>宏捷科</t>
    <phoneticPr fontId="1" type="noConversion"/>
  </si>
  <si>
    <t>3</t>
    <phoneticPr fontId="1" type="noConversion"/>
  </si>
  <si>
    <t>03月21年</t>
    <phoneticPr fontId="1" type="noConversion"/>
  </si>
  <si>
    <t>16.9</t>
    <phoneticPr fontId="1" type="noConversion"/>
  </si>
  <si>
    <t>5457</t>
    <phoneticPr fontId="1" type="noConversion"/>
  </si>
  <si>
    <t>宣德</t>
    <phoneticPr fontId="1" type="noConversion"/>
  </si>
  <si>
    <t>南珠</t>
    <phoneticPr fontId="1" type="noConversion"/>
  </si>
  <si>
    <t>1</t>
    <phoneticPr fontId="35" type="noConversion"/>
  </si>
  <si>
    <t>19.9</t>
    <phoneticPr fontId="1" type="noConversion"/>
  </si>
  <si>
    <t>9.27</t>
    <phoneticPr fontId="1" type="noConversion"/>
  </si>
  <si>
    <t>8.36</t>
    <phoneticPr fontId="1" type="noConversion"/>
  </si>
  <si>
    <t>8.51</t>
    <phoneticPr fontId="1" type="noConversion"/>
  </si>
  <si>
    <t>568</t>
    <phoneticPr fontId="1" type="noConversion"/>
  </si>
  <si>
    <t>1216</t>
    <phoneticPr fontId="1" type="noConversion"/>
  </si>
  <si>
    <t>統一</t>
    <phoneticPr fontId="1" type="noConversion"/>
  </si>
  <si>
    <t>0.59</t>
    <phoneticPr fontId="35" type="noConversion"/>
  </si>
  <si>
    <t>0.44</t>
    <phoneticPr fontId="35" type="noConversion"/>
  </si>
  <si>
    <t>0.29</t>
    <phoneticPr fontId="35" type="noConversion"/>
  </si>
  <si>
    <t>0.73</t>
    <phoneticPr fontId="35" type="noConversion"/>
  </si>
  <si>
    <t>82.5</t>
    <phoneticPr fontId="1" type="noConversion"/>
  </si>
  <si>
    <t>2103</t>
    <phoneticPr fontId="1" type="noConversion"/>
  </si>
  <si>
    <t>台橡</t>
    <phoneticPr fontId="1" type="noConversion"/>
  </si>
  <si>
    <t>1.83</t>
    <phoneticPr fontId="1" type="noConversion"/>
  </si>
  <si>
    <t>橡膠</t>
    <phoneticPr fontId="1" type="noConversion"/>
  </si>
  <si>
    <t>2489</t>
    <phoneticPr fontId="1" type="noConversion"/>
  </si>
  <si>
    <t>瑞軒</t>
    <phoneticPr fontId="1" type="noConversion"/>
  </si>
  <si>
    <t>-39.08</t>
    <phoneticPr fontId="1" type="noConversion"/>
  </si>
  <si>
    <t>瑞軒</t>
    <phoneticPr fontId="1" type="noConversion"/>
  </si>
  <si>
    <t>南斌</t>
    <phoneticPr fontId="1" type="noConversion"/>
  </si>
  <si>
    <t>-5.7</t>
    <phoneticPr fontId="1" type="noConversion"/>
  </si>
  <si>
    <t>-0.93</t>
    <phoneticPr fontId="1" type="noConversion"/>
  </si>
  <si>
    <t>15.38</t>
    <phoneticPr fontId="1" type="noConversion"/>
  </si>
  <si>
    <t>15.91</t>
    <phoneticPr fontId="1" type="noConversion"/>
  </si>
  <si>
    <t>5</t>
    <phoneticPr fontId="1" type="noConversion"/>
  </si>
  <si>
    <t>16.44</t>
    <phoneticPr fontId="1" type="noConversion"/>
  </si>
  <si>
    <t>瑞軒</t>
    <phoneticPr fontId="1" type="noConversion"/>
  </si>
  <si>
    <t>南斌</t>
    <phoneticPr fontId="1" type="noConversion"/>
  </si>
  <si>
    <t>1</t>
    <phoneticPr fontId="1" type="noConversion"/>
  </si>
  <si>
    <t>2489</t>
    <phoneticPr fontId="1" type="noConversion"/>
  </si>
  <si>
    <t>19.16</t>
    <phoneticPr fontId="1" type="noConversion"/>
  </si>
  <si>
    <t>19.72</t>
    <phoneticPr fontId="1" type="noConversion"/>
  </si>
  <si>
    <t>67.1</t>
    <phoneticPr fontId="1" type="noConversion"/>
  </si>
  <si>
    <t>6147</t>
    <phoneticPr fontId="1" type="noConversion"/>
  </si>
  <si>
    <t>頎邦</t>
    <phoneticPr fontId="1" type="noConversion"/>
  </si>
  <si>
    <t>4.38</t>
    <phoneticPr fontId="1" type="noConversion"/>
  </si>
  <si>
    <t>南珠</t>
    <phoneticPr fontId="1" type="noConversion"/>
  </si>
  <si>
    <t>0.26</t>
    <phoneticPr fontId="1" type="noConversion"/>
  </si>
  <si>
    <t>178.8</t>
    <phoneticPr fontId="1" type="noConversion"/>
  </si>
  <si>
    <t>04月21年</t>
    <phoneticPr fontId="1" type="noConversion"/>
  </si>
  <si>
    <t>手機</t>
    <phoneticPr fontId="1" type="noConversion"/>
  </si>
  <si>
    <t>天方能源</t>
    <phoneticPr fontId="1" type="noConversion"/>
  </si>
  <si>
    <t>太陽能電廠</t>
    <phoneticPr fontId="1" type="noConversion"/>
  </si>
  <si>
    <t>13.82</t>
    <phoneticPr fontId="1" type="noConversion"/>
  </si>
  <si>
    <t>8.99</t>
    <phoneticPr fontId="1" type="noConversion"/>
  </si>
  <si>
    <t>1.65</t>
    <phoneticPr fontId="1" type="noConversion"/>
  </si>
  <si>
    <t>-3.55</t>
    <phoneticPr fontId="1" type="noConversion"/>
  </si>
  <si>
    <t>-8.97</t>
    <phoneticPr fontId="1" type="noConversion"/>
  </si>
  <si>
    <t>1.29</t>
    <phoneticPr fontId="1" type="noConversion"/>
  </si>
  <si>
    <t>12.15</t>
    <phoneticPr fontId="1" type="noConversion"/>
  </si>
  <si>
    <t>7.72</t>
    <phoneticPr fontId="1" type="noConversion"/>
  </si>
  <si>
    <t>車用導光板</t>
    <phoneticPr fontId="1" type="noConversion"/>
  </si>
  <si>
    <t>3017</t>
    <phoneticPr fontId="1" type="noConversion"/>
  </si>
  <si>
    <t>土地開發</t>
    <phoneticPr fontId="1" type="noConversion"/>
  </si>
  <si>
    <t>9.22</t>
    <phoneticPr fontId="1" type="noConversion"/>
  </si>
  <si>
    <t>73.9</t>
    <phoneticPr fontId="1" type="noConversion"/>
  </si>
  <si>
    <t>51.03</t>
    <phoneticPr fontId="1" type="noConversion"/>
  </si>
  <si>
    <t>紡織</t>
    <phoneticPr fontId="1" type="noConversion"/>
  </si>
  <si>
    <t>汽車</t>
    <phoneticPr fontId="1" type="noConversion"/>
  </si>
  <si>
    <t>大億金茂</t>
    <phoneticPr fontId="1" type="noConversion"/>
  </si>
  <si>
    <t>25.44</t>
    <phoneticPr fontId="1" type="noConversion"/>
  </si>
  <si>
    <t>10.65</t>
    <phoneticPr fontId="1" type="noConversion"/>
  </si>
  <si>
    <t>TSE</t>
    <phoneticPr fontId="1" type="noConversion"/>
  </si>
  <si>
    <t>加權指</t>
    <phoneticPr fontId="1" type="noConversion"/>
  </si>
  <si>
    <t>SAR</t>
    <phoneticPr fontId="1" type="noConversion"/>
  </si>
  <si>
    <t>OTC</t>
    <phoneticPr fontId="1" type="noConversion"/>
  </si>
  <si>
    <t>櫃買指</t>
    <phoneticPr fontId="1" type="noConversion"/>
  </si>
  <si>
    <t>資本</t>
    <phoneticPr fontId="1" type="noConversion"/>
  </si>
  <si>
    <t>稅</t>
    <phoneticPr fontId="1" type="noConversion"/>
  </si>
  <si>
    <t>營</t>
    <phoneticPr fontId="1" type="noConversion"/>
  </si>
  <si>
    <t>期</t>
    <phoneticPr fontId="1" type="noConversion"/>
  </si>
  <si>
    <t>年</t>
    <phoneticPr fontId="1" type="noConversion"/>
  </si>
  <si>
    <t>營益率</t>
    <phoneticPr fontId="1" type="noConversion"/>
  </si>
  <si>
    <t>持股</t>
    <phoneticPr fontId="1" type="noConversion"/>
  </si>
  <si>
    <t>法人</t>
    <phoneticPr fontId="1" type="noConversion"/>
  </si>
  <si>
    <t>融資</t>
    <phoneticPr fontId="1" type="noConversion"/>
  </si>
  <si>
    <t>損益</t>
    <phoneticPr fontId="1" type="noConversion"/>
  </si>
  <si>
    <t>損益率</t>
    <phoneticPr fontId="1" type="noConversion"/>
  </si>
  <si>
    <t>成分</t>
    <phoneticPr fontId="1" type="noConversion"/>
  </si>
  <si>
    <t>買進日期</t>
    <phoneticPr fontId="1" type="noConversion"/>
  </si>
  <si>
    <t>賣出日期</t>
    <phoneticPr fontId="1" type="noConversion"/>
  </si>
  <si>
    <t>和碩</t>
    <phoneticPr fontId="1" type="noConversion"/>
  </si>
  <si>
    <t>南橋</t>
    <phoneticPr fontId="1" type="noConversion"/>
  </si>
  <si>
    <t>期</t>
    <phoneticPr fontId="1" type="noConversion"/>
  </si>
  <si>
    <t>持股</t>
    <phoneticPr fontId="1" type="noConversion"/>
  </si>
  <si>
    <t>大戶</t>
    <phoneticPr fontId="1" type="noConversion"/>
  </si>
  <si>
    <t>天數</t>
    <phoneticPr fontId="1" type="noConversion"/>
  </si>
  <si>
    <t>-0.28</t>
    <phoneticPr fontId="1" type="noConversion"/>
  </si>
  <si>
    <t>2</t>
    <phoneticPr fontId="1" type="noConversion"/>
  </si>
  <si>
    <t>-51.64</t>
    <phoneticPr fontId="1" type="noConversion"/>
  </si>
  <si>
    <t>-34.15</t>
    <phoneticPr fontId="1" type="noConversion"/>
  </si>
  <si>
    <t>-14.44</t>
    <phoneticPr fontId="1" type="noConversion"/>
  </si>
  <si>
    <t>-10.74</t>
    <phoneticPr fontId="1" type="noConversion"/>
  </si>
  <si>
    <t>266</t>
    <phoneticPr fontId="1" type="noConversion"/>
  </si>
  <si>
    <t>9907</t>
    <phoneticPr fontId="1" type="noConversion"/>
  </si>
  <si>
    <t>統一實</t>
    <phoneticPr fontId="1" type="noConversion"/>
  </si>
  <si>
    <t>南博</t>
    <phoneticPr fontId="1" type="noConversion"/>
  </si>
  <si>
    <t>4</t>
    <phoneticPr fontId="1" type="noConversion"/>
  </si>
  <si>
    <t>1727</t>
    <phoneticPr fontId="1" type="noConversion"/>
  </si>
  <si>
    <t>中華化</t>
    <phoneticPr fontId="1" type="noConversion"/>
  </si>
  <si>
    <t>18.9</t>
    <phoneticPr fontId="1" type="noConversion"/>
  </si>
  <si>
    <t>泰鼎KY</t>
    <phoneticPr fontId="1" type="noConversion"/>
  </si>
  <si>
    <t>26.9</t>
    <phoneticPr fontId="1" type="noConversion"/>
  </si>
  <si>
    <t>精誠</t>
    <phoneticPr fontId="1" type="noConversion"/>
  </si>
  <si>
    <t>電腦Win 10</t>
    <phoneticPr fontId="1" type="noConversion"/>
  </si>
  <si>
    <t>尼得科超眾</t>
    <phoneticPr fontId="1" type="noConversion"/>
  </si>
  <si>
    <t>無線產品友訊轉投資虧損減資</t>
    <phoneticPr fontId="1" type="noConversion"/>
  </si>
  <si>
    <t>浪凡</t>
    <phoneticPr fontId="1" type="noConversion"/>
  </si>
  <si>
    <t>億麗</t>
    <phoneticPr fontId="1" type="noConversion"/>
  </si>
  <si>
    <t>志強KY</t>
    <phoneticPr fontId="1" type="noConversion"/>
  </si>
  <si>
    <t>足球鞋</t>
    <phoneticPr fontId="1" type="noConversion"/>
  </si>
  <si>
    <t>-10.51</t>
    <phoneticPr fontId="1" type="noConversion"/>
  </si>
  <si>
    <t>0.92</t>
    <phoneticPr fontId="1" type="noConversion"/>
  </si>
  <si>
    <t>9.96</t>
    <phoneticPr fontId="1" type="noConversion"/>
  </si>
  <si>
    <t>10.42</t>
    <phoneticPr fontId="1" type="noConversion"/>
  </si>
  <si>
    <t>造船</t>
    <phoneticPr fontId="1" type="noConversion"/>
  </si>
  <si>
    <t>電通</t>
    <phoneticPr fontId="1" type="noConversion"/>
  </si>
  <si>
    <t>76.83</t>
    <phoneticPr fontId="1" type="noConversion"/>
  </si>
  <si>
    <t>脊椎醫材鐿鈦旗下</t>
    <phoneticPr fontId="1" type="noConversion"/>
  </si>
  <si>
    <t>13.16</t>
    <phoneticPr fontId="1" type="noConversion"/>
  </si>
  <si>
    <t>11.48</t>
    <phoneticPr fontId="1" type="noConversion"/>
  </si>
  <si>
    <t>1.66</t>
    <phoneticPr fontId="1" type="noConversion"/>
  </si>
  <si>
    <t>3.81</t>
    <phoneticPr fontId="1" type="noConversion"/>
  </si>
  <si>
    <t>-10.17</t>
    <phoneticPr fontId="1" type="noConversion"/>
  </si>
  <si>
    <t>1.95</t>
    <phoneticPr fontId="1" type="noConversion"/>
  </si>
  <si>
    <t>8.66</t>
    <phoneticPr fontId="1" type="noConversion"/>
  </si>
  <si>
    <t>13.3</t>
    <phoneticPr fontId="1" type="noConversion"/>
  </si>
  <si>
    <t>0.81</t>
    <phoneticPr fontId="1" type="noConversion"/>
  </si>
  <si>
    <t>1.79</t>
    <phoneticPr fontId="1" type="noConversion"/>
  </si>
  <si>
    <t>-0.12</t>
    <phoneticPr fontId="1" type="noConversion"/>
  </si>
  <si>
    <t>月營收每月10日前</t>
    <phoneticPr fontId="1" type="noConversion"/>
  </si>
  <si>
    <t>去年度和第四季3月31日前</t>
    <phoneticPr fontId="1" type="noConversion"/>
  </si>
  <si>
    <t>第一季5月15日前</t>
    <phoneticPr fontId="1" type="noConversion"/>
  </si>
  <si>
    <t>第二季8月14日前</t>
    <phoneticPr fontId="1" type="noConversion"/>
  </si>
  <si>
    <t>第三季11月14日前</t>
    <phoneticPr fontId="1" type="noConversion"/>
  </si>
  <si>
    <t>-4.32</t>
    <phoneticPr fontId="1" type="noConversion"/>
  </si>
  <si>
    <t>生醫指</t>
    <phoneticPr fontId="1" type="noConversion"/>
  </si>
  <si>
    <t>臺慶科</t>
    <phoneticPr fontId="1" type="noConversion"/>
  </si>
  <si>
    <t>電感股王</t>
    <phoneticPr fontId="1" type="noConversion"/>
  </si>
  <si>
    <t>糖尿病中天轉投資</t>
    <phoneticPr fontId="1" type="noConversion"/>
  </si>
  <si>
    <t>單腳島狀反轉通常一波到頂，抱緊</t>
    <phoneticPr fontId="1" type="noConversion"/>
  </si>
  <si>
    <t>量騙不了人</t>
    <phoneticPr fontId="1" type="noConversion"/>
  </si>
  <si>
    <t>2個跳空缺口，算強勢反彈，不用考慮量的問題</t>
    <phoneticPr fontId="1" type="noConversion"/>
  </si>
  <si>
    <t>勤凱</t>
    <phoneticPr fontId="1" type="noConversion"/>
  </si>
  <si>
    <t>0.15</t>
    <phoneticPr fontId="1" type="noConversion"/>
  </si>
  <si>
    <t>-3.05</t>
    <phoneticPr fontId="1" type="noConversion"/>
  </si>
  <si>
    <t>9.43</t>
    <phoneticPr fontId="1" type="noConversion"/>
  </si>
  <si>
    <t>金融指</t>
    <phoneticPr fontId="1" type="noConversion"/>
  </si>
  <si>
    <t>藥品物流佳醫旗下</t>
    <phoneticPr fontId="1" type="noConversion"/>
  </si>
  <si>
    <t>橡膠輸送帶</t>
    <phoneticPr fontId="1" type="noConversion"/>
  </si>
  <si>
    <t>輪胎</t>
    <phoneticPr fontId="1" type="noConversion"/>
  </si>
  <si>
    <t>碳煙和信旗下</t>
    <phoneticPr fontId="1" type="noConversion"/>
  </si>
  <si>
    <t>輪胎土地</t>
    <phoneticPr fontId="1" type="noConversion"/>
  </si>
  <si>
    <t>13.96</t>
    <phoneticPr fontId="1" type="noConversion"/>
  </si>
  <si>
    <t>14.44</t>
    <phoneticPr fontId="1" type="noConversion"/>
  </si>
  <si>
    <t>11.96</t>
    <phoneticPr fontId="1" type="noConversion"/>
  </si>
  <si>
    <t>15.36</t>
    <phoneticPr fontId="1" type="noConversion"/>
  </si>
  <si>
    <t>1.49</t>
    <phoneticPr fontId="1" type="noConversion"/>
  </si>
  <si>
    <t>-0.17</t>
    <phoneticPr fontId="1" type="noConversion"/>
  </si>
  <si>
    <t>0.67</t>
    <phoneticPr fontId="1" type="noConversion"/>
  </si>
  <si>
    <t>2.18</t>
    <phoneticPr fontId="1" type="noConversion"/>
  </si>
  <si>
    <t>9.12</t>
    <phoneticPr fontId="1" type="noConversion"/>
  </si>
  <si>
    <t>6.63</t>
    <phoneticPr fontId="1" type="noConversion"/>
  </si>
  <si>
    <t>63.06</t>
    <phoneticPr fontId="1" type="noConversion"/>
  </si>
  <si>
    <t>斌</t>
    <phoneticPr fontId="1" type="noConversion"/>
  </si>
  <si>
    <t>26.5</t>
    <phoneticPr fontId="1" type="noConversion"/>
  </si>
  <si>
    <t>面板設備對手迅得</t>
    <phoneticPr fontId="1" type="noConversion"/>
  </si>
  <si>
    <t>非金電</t>
    <phoneticPr fontId="1" type="noConversion"/>
  </si>
  <si>
    <t>-1.87</t>
    <phoneticPr fontId="1" type="noConversion"/>
  </si>
  <si>
    <t>螺帽</t>
    <phoneticPr fontId="1" type="noConversion"/>
  </si>
  <si>
    <t>不鏽鋼管</t>
    <phoneticPr fontId="1" type="noConversion"/>
  </si>
  <si>
    <t>鍍鋅烤漆義聯集團</t>
    <phoneticPr fontId="1" type="noConversion"/>
  </si>
  <si>
    <t>盤元和鐵絲</t>
    <phoneticPr fontId="1" type="noConversion"/>
  </si>
  <si>
    <t>鋼結構中鋼旗下</t>
    <phoneticPr fontId="1" type="noConversion"/>
  </si>
  <si>
    <t>航太扣件</t>
    <phoneticPr fontId="1" type="noConversion"/>
  </si>
  <si>
    <t>不鏽鋼緊固件</t>
    <phoneticPr fontId="1" type="noConversion"/>
  </si>
  <si>
    <t>鋼棒鋼線</t>
    <phoneticPr fontId="1" type="noConversion"/>
  </si>
  <si>
    <t>鋼鐵剪裁通路</t>
    <phoneticPr fontId="1" type="noConversion"/>
  </si>
  <si>
    <t>水泥和信旗下</t>
    <phoneticPr fontId="1" type="noConversion"/>
  </si>
  <si>
    <t>水泥遠東旗下</t>
    <phoneticPr fontId="1" type="noConversion"/>
  </si>
  <si>
    <t>石膏板</t>
    <phoneticPr fontId="1" type="noConversion"/>
  </si>
  <si>
    <t>貨櫃</t>
    <phoneticPr fontId="1" type="noConversion"/>
  </si>
  <si>
    <t>航運遠東旗下</t>
    <phoneticPr fontId="1" type="noConversion"/>
  </si>
  <si>
    <t>貨櫃運輸倉儲長榮旗下</t>
    <phoneticPr fontId="1" type="noConversion"/>
  </si>
  <si>
    <t>貨運嘉里物流最大股東</t>
    <phoneticPr fontId="1" type="noConversion"/>
  </si>
  <si>
    <t>航空</t>
    <phoneticPr fontId="1" type="noConversion"/>
  </si>
  <si>
    <t>散裝航運中航大股東</t>
    <phoneticPr fontId="1" type="noConversion"/>
  </si>
  <si>
    <t>航空公司長榮旗下</t>
    <phoneticPr fontId="1" type="noConversion"/>
  </si>
  <si>
    <t>盈4</t>
    <phoneticPr fontId="1" type="noConversion"/>
  </si>
  <si>
    <t>48.59</t>
    <phoneticPr fontId="1" type="noConversion"/>
  </si>
  <si>
    <t>直播平台</t>
    <phoneticPr fontId="1" type="noConversion"/>
  </si>
  <si>
    <t>3.88</t>
    <phoneticPr fontId="1" type="noConversion"/>
  </si>
  <si>
    <t>46.08</t>
    <phoneticPr fontId="1" type="noConversion"/>
  </si>
  <si>
    <t>05月21年</t>
    <phoneticPr fontId="1" type="noConversion"/>
  </si>
  <si>
    <t>銅箔基板4大</t>
    <phoneticPr fontId="1" type="noConversion"/>
  </si>
  <si>
    <t>2.3</t>
    <phoneticPr fontId="1" type="noConversion"/>
  </si>
  <si>
    <t>建商興富發旗下</t>
    <phoneticPr fontId="1" type="noConversion"/>
  </si>
  <si>
    <t>3.06</t>
    <phoneticPr fontId="1" type="noConversion"/>
  </si>
  <si>
    <t>N</t>
    <phoneticPr fontId="1" type="noConversion"/>
  </si>
  <si>
    <t>39.2</t>
    <phoneticPr fontId="1" type="noConversion"/>
  </si>
  <si>
    <t>42.8</t>
    <phoneticPr fontId="1" type="noConversion"/>
  </si>
  <si>
    <t>記憶體封測結盟頎邦</t>
    <phoneticPr fontId="1" type="noConversion"/>
  </si>
  <si>
    <t>9033bin</t>
    <phoneticPr fontId="1" type="noConversion"/>
  </si>
  <si>
    <t>2.72</t>
    <phoneticPr fontId="1" type="noConversion"/>
  </si>
  <si>
    <t>74.5</t>
    <phoneticPr fontId="1" type="noConversion"/>
  </si>
  <si>
    <t>天</t>
    <phoneticPr fontId="1" type="noConversion"/>
  </si>
  <si>
    <t>4958</t>
    <phoneticPr fontId="1" type="noConversion"/>
  </si>
  <si>
    <t>19.3</t>
    <phoneticPr fontId="1" type="noConversion"/>
  </si>
  <si>
    <t>16.18</t>
    <phoneticPr fontId="1" type="noConversion"/>
  </si>
  <si>
    <t>11.67</t>
    <phoneticPr fontId="1" type="noConversion"/>
  </si>
  <si>
    <t>11.23</t>
    <phoneticPr fontId="1" type="noConversion"/>
  </si>
  <si>
    <t>11.16</t>
    <phoneticPr fontId="1" type="noConversion"/>
  </si>
  <si>
    <t>9.28</t>
    <phoneticPr fontId="1" type="noConversion"/>
  </si>
  <si>
    <t>10.94</t>
    <phoneticPr fontId="1" type="noConversion"/>
  </si>
  <si>
    <t>5.2</t>
    <phoneticPr fontId="1" type="noConversion"/>
  </si>
  <si>
    <t>5.9</t>
    <phoneticPr fontId="1" type="noConversion"/>
  </si>
  <si>
    <t>6</t>
    <phoneticPr fontId="1" type="noConversion"/>
  </si>
  <si>
    <t>5.24</t>
    <phoneticPr fontId="1" type="noConversion"/>
  </si>
  <si>
    <t>4.07</t>
    <phoneticPr fontId="1" type="noConversion"/>
  </si>
  <si>
    <t>榮科</t>
    <phoneticPr fontId="1" type="noConversion"/>
  </si>
  <si>
    <t>銅箔榮化轉投資</t>
    <phoneticPr fontId="1" type="noConversion"/>
  </si>
  <si>
    <t>14.79</t>
    <phoneticPr fontId="1" type="noConversion"/>
  </si>
  <si>
    <t>14.77</t>
    <phoneticPr fontId="1" type="noConversion"/>
  </si>
  <si>
    <t>-11.84</t>
    <phoneticPr fontId="1" type="noConversion"/>
  </si>
  <si>
    <t>87.43</t>
    <phoneticPr fontId="1" type="noConversion"/>
  </si>
  <si>
    <t>68.5</t>
    <phoneticPr fontId="1" type="noConversion"/>
  </si>
  <si>
    <t>0.49</t>
    <phoneticPr fontId="1" type="noConversion"/>
  </si>
  <si>
    <t>0.65</t>
    <phoneticPr fontId="1" type="noConversion"/>
  </si>
  <si>
    <t>1.61</t>
    <phoneticPr fontId="1" type="noConversion"/>
  </si>
  <si>
    <t>2.49</t>
    <phoneticPr fontId="1" type="noConversion"/>
  </si>
  <si>
    <t>1.07</t>
    <phoneticPr fontId="1" type="noConversion"/>
  </si>
  <si>
    <t>9.91</t>
    <phoneticPr fontId="1" type="noConversion"/>
  </si>
  <si>
    <t>-1.92</t>
    <phoneticPr fontId="1" type="noConversion"/>
  </si>
  <si>
    <t>-1.93</t>
    <phoneticPr fontId="1" type="noConversion"/>
  </si>
  <si>
    <t>20.16</t>
    <phoneticPr fontId="1" type="noConversion"/>
  </si>
  <si>
    <t>2.62</t>
    <phoneticPr fontId="1" type="noConversion"/>
  </si>
  <si>
    <t>0.33</t>
    <phoneticPr fontId="1" type="noConversion"/>
  </si>
  <si>
    <t>1.51</t>
    <phoneticPr fontId="1" type="noConversion"/>
  </si>
  <si>
    <t>-2.21</t>
    <phoneticPr fontId="1" type="noConversion"/>
  </si>
  <si>
    <t>16.56</t>
    <phoneticPr fontId="1" type="noConversion"/>
  </si>
  <si>
    <t>IP台積電旗下</t>
    <phoneticPr fontId="1" type="noConversion"/>
  </si>
  <si>
    <t>2.74</t>
    <phoneticPr fontId="1" type="noConversion"/>
  </si>
  <si>
    <t>1.45</t>
    <phoneticPr fontId="1" type="noConversion"/>
  </si>
  <si>
    <t>0.99</t>
    <phoneticPr fontId="1" type="noConversion"/>
  </si>
  <si>
    <t>1.21</t>
    <phoneticPr fontId="1" type="noConversion"/>
  </si>
  <si>
    <t>-1.66</t>
    <phoneticPr fontId="1" type="noConversion"/>
  </si>
  <si>
    <t>1.35</t>
    <phoneticPr fontId="1" type="noConversion"/>
  </si>
  <si>
    <t>-2.0</t>
    <phoneticPr fontId="1" type="noConversion"/>
  </si>
  <si>
    <t>6494</t>
    <phoneticPr fontId="1" type="noConversion"/>
  </si>
  <si>
    <t>漲停</t>
    <phoneticPr fontId="1" type="noConversion"/>
  </si>
  <si>
    <t>汽車輪圈</t>
    <phoneticPr fontId="1" type="noConversion"/>
  </si>
  <si>
    <t>新聞</t>
    <phoneticPr fontId="1" type="noConversion"/>
  </si>
  <si>
    <t>電子指</t>
    <phoneticPr fontId="1" type="noConversion"/>
  </si>
  <si>
    <t>咖啡紗防護衣</t>
    <phoneticPr fontId="1" type="noConversion"/>
  </si>
  <si>
    <t>40.0</t>
    <phoneticPr fontId="1" type="noConversion"/>
  </si>
  <si>
    <t>0.53</t>
    <phoneticPr fontId="1" type="noConversion"/>
  </si>
  <si>
    <t>塑膠</t>
    <phoneticPr fontId="1" type="noConversion"/>
  </si>
  <si>
    <t>91APPKY</t>
    <phoneticPr fontId="1" type="noConversion"/>
  </si>
  <si>
    <t>總數</t>
    <phoneticPr fontId="1" type="noConversion"/>
  </si>
  <si>
    <t>長短織布防護衣遠東旗下</t>
    <phoneticPr fontId="1" type="noConversion"/>
  </si>
  <si>
    <t>成衣防護衣</t>
    <phoneticPr fontId="1" type="noConversion"/>
  </si>
  <si>
    <t>2.32</t>
    <phoneticPr fontId="1" type="noConversion"/>
  </si>
  <si>
    <t>24.3</t>
    <phoneticPr fontId="1" type="noConversion"/>
  </si>
  <si>
    <t>5.6</t>
    <phoneticPr fontId="1" type="noConversion"/>
  </si>
  <si>
    <t>新零售服務</t>
    <phoneticPr fontId="1" type="noConversion"/>
  </si>
  <si>
    <t>333</t>
    <phoneticPr fontId="1" type="noConversion"/>
  </si>
  <si>
    <t>526</t>
    <phoneticPr fontId="1" type="noConversion"/>
  </si>
  <si>
    <t>平均交易額</t>
    <phoneticPr fontId="1" type="noConversion"/>
  </si>
  <si>
    <t>券資比</t>
    <phoneticPr fontId="1" type="noConversion"/>
  </si>
  <si>
    <t>大</t>
    <phoneticPr fontId="1" type="noConversion"/>
  </si>
  <si>
    <t>8.45</t>
    <phoneticPr fontId="1" type="noConversion"/>
  </si>
  <si>
    <t>3.49</t>
    <phoneticPr fontId="1" type="noConversion"/>
  </si>
  <si>
    <t>7.81</t>
    <phoneticPr fontId="1" type="noConversion"/>
  </si>
  <si>
    <t>-4.35</t>
    <phoneticPr fontId="1" type="noConversion"/>
  </si>
  <si>
    <t>06月21年</t>
    <phoneticPr fontId="1" type="noConversion"/>
  </si>
  <si>
    <t>109.2</t>
    <phoneticPr fontId="1" type="noConversion"/>
  </si>
  <si>
    <t>2.70</t>
    <phoneticPr fontId="1" type="noConversion"/>
  </si>
  <si>
    <t>車用沖壓件日本</t>
    <phoneticPr fontId="1" type="noConversion"/>
  </si>
  <si>
    <t>21.92</t>
    <phoneticPr fontId="1" type="noConversion"/>
  </si>
  <si>
    <t>0.83</t>
    <phoneticPr fontId="1" type="noConversion"/>
  </si>
  <si>
    <t>IKKA-KY</t>
    <phoneticPr fontId="1" type="noConversion"/>
  </si>
  <si>
    <t>18.34</t>
    <phoneticPr fontId="1" type="noConversion"/>
  </si>
  <si>
    <t>7.06</t>
    <phoneticPr fontId="1" type="noConversion"/>
  </si>
  <si>
    <t>沒有發放股利的不考慮買入</t>
    <phoneticPr fontId="1" type="noConversion"/>
  </si>
  <si>
    <t>-39.93</t>
    <phoneticPr fontId="1" type="noConversion"/>
  </si>
  <si>
    <t>-30.16</t>
    <phoneticPr fontId="1" type="noConversion"/>
  </si>
  <si>
    <t>-41</t>
    <phoneticPr fontId="1" type="noConversion"/>
  </si>
  <si>
    <t>機能布醫療氣墊逃生滑梯</t>
    <phoneticPr fontId="1" type="noConversion"/>
  </si>
  <si>
    <t>-34.89</t>
    <phoneticPr fontId="1" type="noConversion"/>
  </si>
  <si>
    <t>-45.35</t>
    <phoneticPr fontId="1" type="noConversion"/>
  </si>
  <si>
    <t>太陽能控股持股頂晶科</t>
    <phoneticPr fontId="1" type="noConversion"/>
  </si>
  <si>
    <t>6.59</t>
    <phoneticPr fontId="1" type="noConversion"/>
  </si>
  <si>
    <t>-32.91</t>
    <phoneticPr fontId="1" type="noConversion"/>
  </si>
  <si>
    <t>-33.94</t>
    <phoneticPr fontId="1" type="noConversion"/>
  </si>
  <si>
    <t>他電</t>
    <phoneticPr fontId="1" type="noConversion"/>
  </si>
  <si>
    <t>-3.38</t>
    <phoneticPr fontId="1" type="noConversion"/>
  </si>
  <si>
    <t>電機</t>
    <phoneticPr fontId="1" type="noConversion"/>
  </si>
  <si>
    <t>漲在題材、盤在營收、跌在盈餘</t>
    <phoneticPr fontId="1" type="noConversion"/>
  </si>
  <si>
    <t>10.28</t>
    <phoneticPr fontId="1" type="noConversion"/>
  </si>
  <si>
    <t>-35.72</t>
    <phoneticPr fontId="1" type="noConversion"/>
  </si>
  <si>
    <t>1047</t>
    <phoneticPr fontId="1" type="noConversion"/>
  </si>
  <si>
    <t>-35.48</t>
    <phoneticPr fontId="1" type="noConversion"/>
  </si>
  <si>
    <t>-30.13</t>
    <phoneticPr fontId="1" type="noConversion"/>
  </si>
  <si>
    <t>2387</t>
    <phoneticPr fontId="1" type="noConversion"/>
  </si>
  <si>
    <t>-36.71</t>
    <phoneticPr fontId="1" type="noConversion"/>
  </si>
  <si>
    <t>光電</t>
    <phoneticPr fontId="1" type="noConversion"/>
  </si>
  <si>
    <t>-33.9</t>
    <phoneticPr fontId="1" type="noConversion"/>
  </si>
  <si>
    <t>-35.94</t>
    <phoneticPr fontId="1" type="noConversion"/>
  </si>
  <si>
    <t>庫存</t>
    <phoneticPr fontId="1" type="noConversion"/>
  </si>
  <si>
    <t>9.65</t>
    <phoneticPr fontId="1" type="noConversion"/>
  </si>
  <si>
    <t>25.19</t>
    <phoneticPr fontId="1" type="noConversion"/>
  </si>
  <si>
    <t>預估量</t>
    <phoneticPr fontId="1" type="noConversion"/>
  </si>
  <si>
    <t>-37.96</t>
    <phoneticPr fontId="1" type="noConversion"/>
  </si>
  <si>
    <t>-32.37</t>
    <phoneticPr fontId="1" type="noConversion"/>
  </si>
  <si>
    <t>-1.78</t>
    <phoneticPr fontId="1" type="noConversion"/>
  </si>
  <si>
    <t>耳機TWS</t>
    <phoneticPr fontId="1" type="noConversion"/>
  </si>
  <si>
    <t>-30.86</t>
    <phoneticPr fontId="1" type="noConversion"/>
  </si>
  <si>
    <t>07月21年</t>
    <phoneticPr fontId="1" type="noConversion"/>
  </si>
  <si>
    <t>-37.85</t>
    <phoneticPr fontId="1" type="noConversion"/>
  </si>
  <si>
    <t>-38.43</t>
    <phoneticPr fontId="1" type="noConversion"/>
  </si>
  <si>
    <t>-30.69</t>
    <phoneticPr fontId="1" type="noConversion"/>
  </si>
  <si>
    <t>-36.25</t>
    <phoneticPr fontId="1" type="noConversion"/>
  </si>
  <si>
    <t>7月5日除息</t>
    <phoneticPr fontId="1" type="noConversion"/>
  </si>
  <si>
    <t>7月15日除息</t>
    <phoneticPr fontId="1" type="noConversion"/>
  </si>
  <si>
    <t>華南銀行珠</t>
    <phoneticPr fontId="1" type="noConversion"/>
  </si>
  <si>
    <t>華南銀行斌</t>
    <phoneticPr fontId="1" type="noConversion"/>
  </si>
  <si>
    <t>7月29日除息</t>
    <phoneticPr fontId="1" type="noConversion"/>
  </si>
  <si>
    <t>7月6日除息</t>
    <phoneticPr fontId="1" type="noConversion"/>
  </si>
  <si>
    <t>28.4</t>
    <phoneticPr fontId="1" type="noConversion"/>
  </si>
  <si>
    <t>-30.83</t>
    <phoneticPr fontId="1" type="noConversion"/>
  </si>
  <si>
    <t>導線架Tesla</t>
    <phoneticPr fontId="1" type="noConversion"/>
  </si>
  <si>
    <t>-31.19</t>
    <phoneticPr fontId="1" type="noConversion"/>
  </si>
  <si>
    <t>-30</t>
    <phoneticPr fontId="1" type="noConversion"/>
  </si>
  <si>
    <t>16.69</t>
    <phoneticPr fontId="1" type="noConversion"/>
  </si>
  <si>
    <t>16.46</t>
    <phoneticPr fontId="1" type="noConversion"/>
  </si>
  <si>
    <t>27.93</t>
    <phoneticPr fontId="1" type="noConversion"/>
  </si>
  <si>
    <t>7.32</t>
    <phoneticPr fontId="1" type="noConversion"/>
  </si>
  <si>
    <t>-30.03</t>
    <phoneticPr fontId="1" type="noConversion"/>
  </si>
  <si>
    <t>15.61</t>
    <phoneticPr fontId="1" type="noConversion"/>
  </si>
  <si>
    <t>同買</t>
    <phoneticPr fontId="1" type="noConversion"/>
  </si>
  <si>
    <t>同賣</t>
    <phoneticPr fontId="1" type="noConversion"/>
  </si>
  <si>
    <t>-35.9</t>
    <phoneticPr fontId="1" type="noConversion"/>
  </si>
  <si>
    <t>528</t>
    <phoneticPr fontId="1" type="noConversion"/>
  </si>
  <si>
    <t>349</t>
    <phoneticPr fontId="1" type="noConversion"/>
  </si>
  <si>
    <t>GMAIL帳號</t>
    <phoneticPr fontId="1" type="noConversion"/>
  </si>
  <si>
    <t>pandong0428</t>
    <phoneticPr fontId="1" type="noConversion"/>
  </si>
  <si>
    <t>密碼</t>
    <phoneticPr fontId="1" type="noConversion"/>
  </si>
  <si>
    <t>pan04280428</t>
    <phoneticPr fontId="1" type="noConversion"/>
  </si>
  <si>
    <t>1050</t>
    <phoneticPr fontId="1" type="noConversion"/>
  </si>
  <si>
    <t>23.36</t>
    <phoneticPr fontId="1" type="noConversion"/>
  </si>
  <si>
    <t>263</t>
    <phoneticPr fontId="1" type="noConversion"/>
  </si>
  <si>
    <t>3.87</t>
    <phoneticPr fontId="1" type="noConversion"/>
  </si>
  <si>
    <t>微星</t>
    <phoneticPr fontId="1" type="noConversion"/>
  </si>
  <si>
    <t>16G八核</t>
    <phoneticPr fontId="1" type="noConversion"/>
  </si>
  <si>
    <t>AMD3700X</t>
    <phoneticPr fontId="1" type="noConversion"/>
  </si>
  <si>
    <t>凌陽創新</t>
    <phoneticPr fontId="1" type="noConversion"/>
  </si>
  <si>
    <t>MCU網路攝影機晶片凌陽旗下</t>
    <phoneticPr fontId="1" type="noConversion"/>
  </si>
  <si>
    <t>N</t>
    <phoneticPr fontId="1" type="noConversion"/>
  </si>
  <si>
    <t>-38.02</t>
    <phoneticPr fontId="1" type="noConversion"/>
  </si>
  <si>
    <t>-33.6</t>
    <phoneticPr fontId="1" type="noConversion"/>
  </si>
  <si>
    <t>-39.94</t>
    <phoneticPr fontId="1" type="noConversion"/>
  </si>
  <si>
    <t>-38.86</t>
    <phoneticPr fontId="1" type="noConversion"/>
  </si>
  <si>
    <t>19.24</t>
    <phoneticPr fontId="1" type="noConversion"/>
  </si>
  <si>
    <t>光學膜/菱鏡片光群雷轉投資</t>
    <phoneticPr fontId="1" type="noConversion"/>
  </si>
  <si>
    <t>-32.02</t>
    <phoneticPr fontId="1" type="noConversion"/>
  </si>
  <si>
    <t>-41.21</t>
    <phoneticPr fontId="1" type="noConversion"/>
  </si>
  <si>
    <t>22.77</t>
    <phoneticPr fontId="1" type="noConversion"/>
  </si>
  <si>
    <t>-44.85</t>
    <phoneticPr fontId="1" type="noConversion"/>
  </si>
  <si>
    <t>529</t>
    <phoneticPr fontId="1" type="noConversion"/>
  </si>
  <si>
    <t>-34.54</t>
    <phoneticPr fontId="1" type="noConversion"/>
  </si>
  <si>
    <t>-33.48</t>
    <phoneticPr fontId="1" type="noConversion"/>
  </si>
  <si>
    <t>-32.44</t>
    <phoneticPr fontId="1" type="noConversion"/>
  </si>
  <si>
    <t>-46.13</t>
    <phoneticPr fontId="1" type="noConversion"/>
  </si>
  <si>
    <t>54.64</t>
    <phoneticPr fontId="1" type="noConversion"/>
  </si>
  <si>
    <t>-33.91</t>
    <phoneticPr fontId="1" type="noConversion"/>
  </si>
  <si>
    <t>-41.77</t>
    <phoneticPr fontId="1" type="noConversion"/>
  </si>
  <si>
    <t>組件</t>
    <phoneticPr fontId="1" type="noConversion"/>
  </si>
  <si>
    <t>-37.95</t>
    <phoneticPr fontId="1" type="noConversion"/>
  </si>
  <si>
    <t>-32.01</t>
    <phoneticPr fontId="1" type="noConversion"/>
  </si>
  <si>
    <t>-43.93</t>
    <phoneticPr fontId="1" type="noConversion"/>
  </si>
  <si>
    <t>-33.86</t>
    <phoneticPr fontId="1" type="noConversion"/>
  </si>
  <si>
    <t>21.2</t>
    <phoneticPr fontId="1" type="noConversion"/>
  </si>
  <si>
    <t>24.14</t>
    <phoneticPr fontId="1" type="noConversion"/>
  </si>
  <si>
    <t>-45.71</t>
    <phoneticPr fontId="1" type="noConversion"/>
  </si>
  <si>
    <t>-41.93</t>
    <phoneticPr fontId="1" type="noConversion"/>
  </si>
  <si>
    <t>-37.38</t>
    <phoneticPr fontId="1" type="noConversion"/>
  </si>
  <si>
    <t>-35.54</t>
    <phoneticPr fontId="1" type="noConversion"/>
  </si>
  <si>
    <t>-47.76</t>
    <phoneticPr fontId="1" type="noConversion"/>
  </si>
  <si>
    <t>-35.68</t>
    <phoneticPr fontId="1" type="noConversion"/>
  </si>
  <si>
    <t>-30.31</t>
    <phoneticPr fontId="1" type="noConversion"/>
  </si>
  <si>
    <t>-40.18</t>
    <phoneticPr fontId="1" type="noConversion"/>
  </si>
  <si>
    <t>-42.82</t>
    <phoneticPr fontId="1" type="noConversion"/>
  </si>
  <si>
    <t>40.31</t>
    <phoneticPr fontId="1" type="noConversion"/>
  </si>
  <si>
    <t>50.59</t>
    <phoneticPr fontId="1" type="noConversion"/>
  </si>
  <si>
    <t>-37.46</t>
    <phoneticPr fontId="1" type="noConversion"/>
  </si>
  <si>
    <t>11.33</t>
    <phoneticPr fontId="1" type="noConversion"/>
  </si>
  <si>
    <t>-31.39</t>
    <phoneticPr fontId="1" type="noConversion"/>
  </si>
  <si>
    <t>-50.11</t>
    <phoneticPr fontId="1" type="noConversion"/>
  </si>
  <si>
    <t>-43.35</t>
    <phoneticPr fontId="1" type="noConversion"/>
  </si>
  <si>
    <t>-36.69</t>
    <phoneticPr fontId="1" type="noConversion"/>
  </si>
  <si>
    <t>同步書籤</t>
    <phoneticPr fontId="1" type="noConversion"/>
  </si>
  <si>
    <t>安格</t>
    <phoneticPr fontId="1" type="noConversion"/>
  </si>
  <si>
    <t>視訊晶片安國旗下</t>
    <phoneticPr fontId="1" type="noConversion"/>
  </si>
  <si>
    <t>-50.11</t>
    <phoneticPr fontId="1" type="noConversion"/>
  </si>
  <si>
    <t>-31.63</t>
    <phoneticPr fontId="1" type="noConversion"/>
  </si>
  <si>
    <t>-41.91</t>
    <phoneticPr fontId="1" type="noConversion"/>
  </si>
  <si>
    <t>-48.83</t>
    <phoneticPr fontId="1" type="noConversion"/>
  </si>
  <si>
    <t>08月21年</t>
    <phoneticPr fontId="1" type="noConversion"/>
  </si>
  <si>
    <t>-31.64</t>
    <phoneticPr fontId="1" type="noConversion"/>
  </si>
  <si>
    <t>-39.27</t>
    <phoneticPr fontId="1" type="noConversion"/>
  </si>
  <si>
    <t>-34.28</t>
    <phoneticPr fontId="1" type="noConversion"/>
  </si>
  <si>
    <t>-41.32</t>
    <phoneticPr fontId="1" type="noConversion"/>
  </si>
  <si>
    <t>-35.13</t>
    <phoneticPr fontId="1" type="noConversion"/>
  </si>
  <si>
    <t>-35.62</t>
    <phoneticPr fontId="1" type="noConversion"/>
  </si>
  <si>
    <t>-44.99</t>
    <phoneticPr fontId="1" type="noConversion"/>
  </si>
  <si>
    <t>-38.41</t>
    <phoneticPr fontId="1" type="noConversion"/>
  </si>
  <si>
    <t>-33.99</t>
    <phoneticPr fontId="1" type="noConversion"/>
  </si>
  <si>
    <t>ptt帳號</t>
    <phoneticPr fontId="1" type="noConversion"/>
  </si>
  <si>
    <t>hanna711</t>
    <phoneticPr fontId="1" type="noConversion"/>
  </si>
  <si>
    <t>ju54193806</t>
    <phoneticPr fontId="1" type="noConversion"/>
  </si>
  <si>
    <t>密碼</t>
    <phoneticPr fontId="1" type="noConversion"/>
  </si>
  <si>
    <t>-44.14</t>
    <phoneticPr fontId="1" type="noConversion"/>
  </si>
  <si>
    <t>-39.06</t>
    <phoneticPr fontId="1" type="noConversion"/>
  </si>
  <si>
    <t>-34.56</t>
    <phoneticPr fontId="1" type="noConversion"/>
  </si>
  <si>
    <t>-32.81</t>
    <phoneticPr fontId="1" type="noConversion"/>
  </si>
  <si>
    <t>-31.18</t>
    <phoneticPr fontId="1" type="noConversion"/>
  </si>
  <si>
    <t>長榮集團旗下</t>
    <phoneticPr fontId="1" type="noConversion"/>
  </si>
  <si>
    <t>-42.9</t>
    <phoneticPr fontId="1" type="noConversion"/>
  </si>
  <si>
    <t>-33.4</t>
    <phoneticPr fontId="1" type="noConversion"/>
  </si>
  <si>
    <t>-39.24</t>
    <phoneticPr fontId="1" type="noConversion"/>
  </si>
  <si>
    <t>-38.4</t>
    <phoneticPr fontId="1" type="noConversion"/>
  </si>
  <si>
    <t>-32.23</t>
    <phoneticPr fontId="1" type="noConversion"/>
  </si>
  <si>
    <t>15.10</t>
    <phoneticPr fontId="1" type="noConversion"/>
  </si>
  <si>
    <t>28.97</t>
    <phoneticPr fontId="1" type="noConversion"/>
  </si>
  <si>
    <t>5.75</t>
    <phoneticPr fontId="1" type="noConversion"/>
  </si>
  <si>
    <t>7.10</t>
    <phoneticPr fontId="1" type="noConversion"/>
  </si>
  <si>
    <t>餐飲用品貿易商</t>
    <phoneticPr fontId="1" type="noConversion"/>
  </si>
  <si>
    <t>-31.53</t>
    <phoneticPr fontId="1" type="noConversion"/>
  </si>
  <si>
    <t>2.45</t>
    <phoneticPr fontId="1" type="noConversion"/>
  </si>
  <si>
    <t>-43.5</t>
    <phoneticPr fontId="1" type="noConversion"/>
  </si>
  <si>
    <t>-2.50</t>
    <phoneticPr fontId="1" type="noConversion"/>
  </si>
  <si>
    <t>4.35</t>
    <phoneticPr fontId="1" type="noConversion"/>
  </si>
  <si>
    <t>-31.92</t>
    <phoneticPr fontId="1" type="noConversion"/>
  </si>
  <si>
    <t>-46.27</t>
    <phoneticPr fontId="1" type="noConversion"/>
  </si>
  <si>
    <t>-38.53</t>
    <phoneticPr fontId="1" type="noConversion"/>
  </si>
  <si>
    <t>-46.7</t>
    <phoneticPr fontId="1" type="noConversion"/>
  </si>
  <si>
    <t>4.57</t>
    <phoneticPr fontId="1" type="noConversion"/>
  </si>
  <si>
    <t>-32.53</t>
    <phoneticPr fontId="1" type="noConversion"/>
  </si>
  <si>
    <t>-33.76</t>
    <phoneticPr fontId="1" type="noConversion"/>
  </si>
  <si>
    <t>-37.11</t>
    <phoneticPr fontId="1" type="noConversion"/>
  </si>
  <si>
    <t>-32.34</t>
    <phoneticPr fontId="1" type="noConversion"/>
  </si>
  <si>
    <t>-34.7</t>
    <phoneticPr fontId="1" type="noConversion"/>
  </si>
  <si>
    <t>-32.15</t>
    <phoneticPr fontId="1" type="noConversion"/>
  </si>
  <si>
    <t>28.6</t>
    <phoneticPr fontId="1" type="noConversion"/>
  </si>
  <si>
    <t>108</t>
    <phoneticPr fontId="1" type="noConversion"/>
  </si>
  <si>
    <t>-43.99</t>
    <phoneticPr fontId="1" type="noConversion"/>
  </si>
  <si>
    <t>-43.28</t>
    <phoneticPr fontId="1" type="noConversion"/>
  </si>
  <si>
    <t>-39.18</t>
    <phoneticPr fontId="1" type="noConversion"/>
  </si>
  <si>
    <t>-32</t>
    <phoneticPr fontId="1" type="noConversion"/>
  </si>
  <si>
    <t>-30.21</t>
    <phoneticPr fontId="1" type="noConversion"/>
  </si>
  <si>
    <t>-43.15</t>
    <phoneticPr fontId="1" type="noConversion"/>
  </si>
  <si>
    <t>-39.09</t>
    <phoneticPr fontId="1" type="noConversion"/>
  </si>
  <si>
    <t>-40.44</t>
    <phoneticPr fontId="1" type="noConversion"/>
  </si>
  <si>
    <t>3.90</t>
    <phoneticPr fontId="1" type="noConversion"/>
  </si>
  <si>
    <t>3.91</t>
    <phoneticPr fontId="1" type="noConversion"/>
  </si>
  <si>
    <t>M800</t>
    <phoneticPr fontId="1" type="noConversion"/>
  </si>
  <si>
    <t>CZ75</t>
    <phoneticPr fontId="1" type="noConversion"/>
  </si>
  <si>
    <t>44 AUTOMAG</t>
    <phoneticPr fontId="1" type="noConversion"/>
  </si>
  <si>
    <t>-41.78</t>
    <phoneticPr fontId="1" type="noConversion"/>
  </si>
  <si>
    <t>-38.68</t>
    <phoneticPr fontId="1" type="noConversion"/>
  </si>
  <si>
    <t>-46.91</t>
    <phoneticPr fontId="1" type="noConversion"/>
  </si>
  <si>
    <t>-40.77</t>
    <phoneticPr fontId="1" type="noConversion"/>
  </si>
  <si>
    <t>-44.23</t>
    <phoneticPr fontId="1" type="noConversion"/>
  </si>
  <si>
    <t>-38.39</t>
    <phoneticPr fontId="1" type="noConversion"/>
  </si>
  <si>
    <t>21.6</t>
    <phoneticPr fontId="1" type="noConversion"/>
  </si>
  <si>
    <t>Y</t>
    <phoneticPr fontId="1" type="noConversion"/>
  </si>
  <si>
    <t>KP85 RUGER</t>
    <phoneticPr fontId="1" type="noConversion"/>
  </si>
  <si>
    <t>48.04</t>
    <phoneticPr fontId="1" type="noConversion"/>
  </si>
  <si>
    <t>顯示器驅動IC鴻海旗下</t>
    <phoneticPr fontId="1" type="noConversion"/>
  </si>
  <si>
    <t>造紙</t>
    <phoneticPr fontId="1" type="noConversion"/>
  </si>
  <si>
    <t>-33.82</t>
    <phoneticPr fontId="1" type="noConversion"/>
  </si>
  <si>
    <t>-32.76</t>
    <phoneticPr fontId="1" type="noConversion"/>
  </si>
  <si>
    <t>-44.35</t>
    <phoneticPr fontId="1" type="noConversion"/>
  </si>
  <si>
    <t>-43.13</t>
    <phoneticPr fontId="1" type="noConversion"/>
  </si>
  <si>
    <t>-31.65</t>
    <phoneticPr fontId="1" type="noConversion"/>
  </si>
  <si>
    <t>外盤</t>
    <phoneticPr fontId="1" type="noConversion"/>
  </si>
  <si>
    <t>主力</t>
    <phoneticPr fontId="1" type="noConversion"/>
  </si>
  <si>
    <t>-36.12</t>
    <phoneticPr fontId="1" type="noConversion"/>
  </si>
  <si>
    <t>-41.71</t>
    <phoneticPr fontId="1" type="noConversion"/>
  </si>
  <si>
    <t>-33.03</t>
    <phoneticPr fontId="1" type="noConversion"/>
  </si>
  <si>
    <t>33.19</t>
    <phoneticPr fontId="1" type="noConversion"/>
  </si>
  <si>
    <t>-38.33</t>
    <phoneticPr fontId="1" type="noConversion"/>
  </si>
  <si>
    <t>-34.38</t>
    <phoneticPr fontId="1" type="noConversion"/>
  </si>
  <si>
    <t>零組件</t>
    <phoneticPr fontId="1" type="noConversion"/>
  </si>
  <si>
    <t>-38.48</t>
    <phoneticPr fontId="1" type="noConversion"/>
  </si>
  <si>
    <t>304</t>
    <phoneticPr fontId="1" type="noConversion"/>
  </si>
  <si>
    <t>通信</t>
    <phoneticPr fontId="1" type="noConversion"/>
  </si>
  <si>
    <t>金融</t>
    <phoneticPr fontId="1" type="noConversion"/>
  </si>
  <si>
    <t>人造化纖EG</t>
    <phoneticPr fontId="1" type="noConversion"/>
  </si>
  <si>
    <t>航運</t>
    <phoneticPr fontId="1" type="noConversion"/>
  </si>
  <si>
    <t>26.2</t>
    <phoneticPr fontId="1" type="noConversion"/>
  </si>
  <si>
    <t>-33.33</t>
    <phoneticPr fontId="1" type="noConversion"/>
  </si>
  <si>
    <t>-39.36</t>
    <phoneticPr fontId="1" type="noConversion"/>
  </si>
  <si>
    <t>-32.18</t>
    <phoneticPr fontId="1" type="noConversion"/>
  </si>
  <si>
    <t>14.53</t>
    <phoneticPr fontId="1" type="noConversion"/>
  </si>
  <si>
    <t>38.3</t>
    <phoneticPr fontId="1" type="noConversion"/>
  </si>
  <si>
    <t>5.56</t>
    <phoneticPr fontId="1" type="noConversion"/>
  </si>
  <si>
    <t>10.85</t>
    <phoneticPr fontId="1" type="noConversion"/>
  </si>
  <si>
    <t>-37.44</t>
    <phoneticPr fontId="1" type="noConversion"/>
  </si>
  <si>
    <t>33.04</t>
    <phoneticPr fontId="1" type="noConversion"/>
  </si>
  <si>
    <t>-36.43</t>
    <phoneticPr fontId="1" type="noConversion"/>
  </si>
  <si>
    <t>八方雲集</t>
    <phoneticPr fontId="1" type="noConversion"/>
  </si>
  <si>
    <t>連鎖餐飲</t>
    <phoneticPr fontId="1" type="noConversion"/>
  </si>
  <si>
    <t>N</t>
    <phoneticPr fontId="1" type="noConversion"/>
  </si>
  <si>
    <t>非金電</t>
    <phoneticPr fontId="1" type="noConversion"/>
  </si>
  <si>
    <t>生醫</t>
    <phoneticPr fontId="1" type="noConversion"/>
  </si>
  <si>
    <t>-41.58</t>
    <phoneticPr fontId="1" type="noConversion"/>
  </si>
  <si>
    <t>-39.48</t>
    <phoneticPr fontId="1" type="noConversion"/>
  </si>
  <si>
    <t>-34.93</t>
    <phoneticPr fontId="1" type="noConversion"/>
  </si>
  <si>
    <t>-34.22</t>
    <phoneticPr fontId="1" type="noConversion"/>
  </si>
  <si>
    <t>-39.35</t>
    <phoneticPr fontId="1" type="noConversion"/>
  </si>
  <si>
    <t>7.4</t>
    <phoneticPr fontId="1" type="noConversion"/>
  </si>
  <si>
    <t>強勢股、出量出價，必出行情</t>
    <phoneticPr fontId="1" type="noConversion"/>
  </si>
  <si>
    <t>3天2缺口的強勢走勢</t>
    <phoneticPr fontId="1" type="noConversion"/>
  </si>
  <si>
    <t>-35.15</t>
    <phoneticPr fontId="1" type="noConversion"/>
  </si>
  <si>
    <t>-49.09</t>
    <phoneticPr fontId="1" type="noConversion"/>
  </si>
  <si>
    <t/>
  </si>
  <si>
    <t>-36.35</t>
    <phoneticPr fontId="1" type="noConversion"/>
  </si>
  <si>
    <t>-39.91</t>
    <phoneticPr fontId="1" type="noConversion"/>
  </si>
  <si>
    <t>-31.21</t>
    <phoneticPr fontId="1" type="noConversion"/>
  </si>
  <si>
    <t>-50.49</t>
    <phoneticPr fontId="1" type="noConversion"/>
  </si>
  <si>
    <t>-34.01</t>
    <phoneticPr fontId="1" type="noConversion"/>
  </si>
  <si>
    <t>-35.71</t>
    <phoneticPr fontId="1" type="noConversion"/>
  </si>
  <si>
    <t>09月21年</t>
    <phoneticPr fontId="1" type="noConversion"/>
  </si>
  <si>
    <t>-34.72</t>
    <phoneticPr fontId="1" type="noConversion"/>
  </si>
  <si>
    <t>-37.27</t>
    <phoneticPr fontId="1" type="noConversion"/>
  </si>
  <si>
    <t>-49.93</t>
    <phoneticPr fontId="1" type="noConversion"/>
  </si>
  <si>
    <t>8.3</t>
    <phoneticPr fontId="1" type="noConversion"/>
  </si>
  <si>
    <t>-48.61</t>
    <phoneticPr fontId="1" type="noConversion"/>
  </si>
  <si>
    <t>-46.14</t>
    <phoneticPr fontId="1" type="noConversion"/>
  </si>
  <si>
    <t>周買進日期</t>
    <phoneticPr fontId="1" type="noConversion"/>
  </si>
  <si>
    <t>-41.49</t>
    <phoneticPr fontId="1" type="noConversion"/>
  </si>
  <si>
    <t>航運</t>
    <phoneticPr fontId="1" type="noConversion"/>
  </si>
  <si>
    <t>19.21</t>
    <phoneticPr fontId="1" type="noConversion"/>
  </si>
  <si>
    <t>20.1</t>
    <phoneticPr fontId="1" type="noConversion"/>
  </si>
  <si>
    <t>69.4</t>
    <phoneticPr fontId="1" type="noConversion"/>
  </si>
  <si>
    <t>-30.41</t>
    <phoneticPr fontId="1" type="noConversion"/>
  </si>
  <si>
    <t>日賣出日期</t>
    <phoneticPr fontId="1" type="noConversion"/>
  </si>
  <si>
    <t>244</t>
    <phoneticPr fontId="1" type="noConversion"/>
  </si>
  <si>
    <t>-49.36</t>
    <phoneticPr fontId="1" type="noConversion"/>
  </si>
  <si>
    <t>-40.23</t>
    <phoneticPr fontId="1" type="noConversion"/>
  </si>
  <si>
    <t>25.45</t>
    <phoneticPr fontId="1" type="noConversion"/>
  </si>
  <si>
    <t>-51.81</t>
    <phoneticPr fontId="1" type="noConversion"/>
  </si>
  <si>
    <t>-36.31</t>
    <phoneticPr fontId="1" type="noConversion"/>
  </si>
  <si>
    <t>-31.3</t>
    <phoneticPr fontId="1" type="noConversion"/>
  </si>
  <si>
    <t>-31.29</t>
    <phoneticPr fontId="1" type="noConversion"/>
  </si>
  <si>
    <t>-45.06</t>
    <phoneticPr fontId="1" type="noConversion"/>
  </si>
  <si>
    <t>7.59</t>
    <phoneticPr fontId="1" type="noConversion"/>
  </si>
  <si>
    <t>-42.05</t>
    <phoneticPr fontId="1" type="noConversion"/>
  </si>
  <si>
    <t>6.84</t>
    <phoneticPr fontId="1" type="noConversion"/>
  </si>
  <si>
    <t>-31.88</t>
    <phoneticPr fontId="1" type="noConversion"/>
  </si>
  <si>
    <t>-36.23</t>
    <phoneticPr fontId="1" type="noConversion"/>
  </si>
  <si>
    <t>-38.31</t>
    <phoneticPr fontId="1" type="noConversion"/>
  </si>
  <si>
    <t>-43.42</t>
    <phoneticPr fontId="1" type="noConversion"/>
  </si>
  <si>
    <t>-42.7</t>
    <phoneticPr fontId="1" type="noConversion"/>
  </si>
  <si>
    <t>-34.33</t>
    <phoneticPr fontId="1" type="noConversion"/>
  </si>
  <si>
    <t>-31.77</t>
    <phoneticPr fontId="1" type="noConversion"/>
  </si>
  <si>
    <t>-32.86</t>
    <phoneticPr fontId="1" type="noConversion"/>
  </si>
  <si>
    <t>-30.32</t>
    <phoneticPr fontId="1" type="noConversion"/>
  </si>
  <si>
    <t>29.63</t>
    <phoneticPr fontId="1" type="noConversion"/>
  </si>
  <si>
    <t>9.65</t>
    <phoneticPr fontId="1" type="noConversion"/>
  </si>
  <si>
    <t>18.92</t>
    <phoneticPr fontId="1" type="noConversion"/>
  </si>
  <si>
    <t>19.58</t>
    <phoneticPr fontId="1" type="noConversion"/>
  </si>
  <si>
    <t>15.23</t>
    <phoneticPr fontId="1" type="noConversion"/>
  </si>
  <si>
    <t>資訊</t>
    <phoneticPr fontId="1" type="noConversion"/>
  </si>
  <si>
    <t>3.74</t>
    <phoneticPr fontId="1" type="noConversion"/>
  </si>
  <si>
    <t>6.80</t>
    <phoneticPr fontId="1" type="noConversion"/>
  </si>
  <si>
    <t>22.6</t>
    <phoneticPr fontId="1" type="noConversion"/>
  </si>
  <si>
    <t>8.57</t>
    <phoneticPr fontId="1" type="noConversion"/>
  </si>
  <si>
    <t>-46.88</t>
    <phoneticPr fontId="1" type="noConversion"/>
  </si>
  <si>
    <t>-40.08</t>
    <phoneticPr fontId="1" type="noConversion"/>
  </si>
  <si>
    <t>-44.81</t>
    <phoneticPr fontId="1" type="noConversion"/>
  </si>
  <si>
    <t>成衣代工Wal-mart</t>
    <phoneticPr fontId="1" type="noConversion"/>
  </si>
  <si>
    <t>-48.52</t>
    <phoneticPr fontId="1" type="noConversion"/>
  </si>
  <si>
    <t>永豐實</t>
    <phoneticPr fontId="1" type="noConversion"/>
  </si>
  <si>
    <t>N</t>
    <phoneticPr fontId="1" type="noConversion"/>
  </si>
  <si>
    <t>家庭用紙</t>
    <phoneticPr fontId="1" type="noConversion"/>
  </si>
  <si>
    <t>華景電</t>
    <phoneticPr fontId="1" type="noConversion"/>
  </si>
  <si>
    <t>晶圓設備</t>
    <phoneticPr fontId="1" type="noConversion"/>
  </si>
  <si>
    <t>-40.51</t>
    <phoneticPr fontId="1" type="noConversion"/>
  </si>
  <si>
    <t>-37.47</t>
    <phoneticPr fontId="1" type="noConversion"/>
  </si>
  <si>
    <t>52.9</t>
    <phoneticPr fontId="1" type="noConversion"/>
  </si>
  <si>
    <t>-49.3</t>
    <phoneticPr fontId="1" type="noConversion"/>
  </si>
  <si>
    <t>-66.12</t>
    <phoneticPr fontId="1" type="noConversion"/>
  </si>
  <si>
    <t>-45.3</t>
    <phoneticPr fontId="1" type="noConversion"/>
  </si>
  <si>
    <t>4.04</t>
    <phoneticPr fontId="1" type="noConversion"/>
  </si>
  <si>
    <t>1.70</t>
    <phoneticPr fontId="1" type="noConversion"/>
  </si>
  <si>
    <t>-53.01</t>
    <phoneticPr fontId="1" type="noConversion"/>
  </si>
  <si>
    <t>季線</t>
    <phoneticPr fontId="1" type="noConversion"/>
  </si>
  <si>
    <t>合計</t>
    <phoneticPr fontId="1" type="noConversion"/>
  </si>
  <si>
    <t>SIG P228</t>
    <phoneticPr fontId="1" type="noConversion"/>
  </si>
  <si>
    <t xml:space="preserve">COLT M1911A </t>
    <phoneticPr fontId="1" type="noConversion"/>
  </si>
  <si>
    <t>COLT DOUBLE EAGLE</t>
    <phoneticPr fontId="1" type="noConversion"/>
  </si>
  <si>
    <t>S &amp; W PC365</t>
    <phoneticPr fontId="1" type="noConversion"/>
  </si>
  <si>
    <t xml:space="preserve">HK USP </t>
    <phoneticPr fontId="1" type="noConversion"/>
  </si>
  <si>
    <t>HK MK23</t>
    <phoneticPr fontId="1" type="noConversion"/>
  </si>
  <si>
    <t xml:space="preserve">GLOCK 17L HG </t>
    <phoneticPr fontId="1" type="noConversion"/>
  </si>
  <si>
    <t>GLOCK 17 HG</t>
    <phoneticPr fontId="1" type="noConversion"/>
  </si>
  <si>
    <t xml:space="preserve">HK P7M13 </t>
    <phoneticPr fontId="1" type="noConversion"/>
  </si>
  <si>
    <t>代碼</t>
  </si>
  <si>
    <t>商品</t>
  </si>
  <si>
    <t>產業</t>
  </si>
  <si>
    <t>日期</t>
  </si>
  <si>
    <t>2021出現次數</t>
  </si>
  <si>
    <t>加總</t>
  </si>
  <si>
    <t>最近出現次數</t>
  </si>
  <si>
    <t>王道銀行</t>
  </si>
  <si>
    <t>上市金融保險</t>
  </si>
  <si>
    <t>益航</t>
  </si>
  <si>
    <t>上市貿易百貨</t>
  </si>
  <si>
    <t>英業達</t>
  </si>
  <si>
    <t>上市電子全部,上市電腦及週邊設備</t>
  </si>
  <si>
    <t>欣陸</t>
  </si>
  <si>
    <t>上市建材營造</t>
  </si>
  <si>
    <t>中華電</t>
  </si>
  <si>
    <t>上市電子全部,上市通信網路</t>
  </si>
  <si>
    <t>遠傳</t>
  </si>
  <si>
    <t>合庫金</t>
  </si>
  <si>
    <t>南帝</t>
  </si>
  <si>
    <t>上市橡膠</t>
  </si>
  <si>
    <t>春源</t>
  </si>
  <si>
    <t>上市鋼鐵</t>
  </si>
  <si>
    <t>聯合再生</t>
  </si>
  <si>
    <t>上市電子全部,上市光電</t>
  </si>
  <si>
    <t>彰銀</t>
  </si>
  <si>
    <t>豐泰</t>
  </si>
  <si>
    <t>上市其他</t>
  </si>
  <si>
    <t>光罩</t>
  </si>
  <si>
    <t>上市電子全部,上市半導體</t>
  </si>
  <si>
    <t>南茂</t>
  </si>
  <si>
    <t>義隆</t>
  </si>
  <si>
    <t>東元</t>
  </si>
  <si>
    <t>上市電機機械</t>
  </si>
  <si>
    <t>正新</t>
  </si>
  <si>
    <t>臺企銀</t>
  </si>
  <si>
    <t>盛群</t>
  </si>
  <si>
    <t>國巨</t>
  </si>
  <si>
    <t>上市電子全部,上市電子零組件</t>
  </si>
  <si>
    <t>榮成</t>
  </si>
  <si>
    <t>上市造紙</t>
  </si>
  <si>
    <t>台驊投控</t>
  </si>
  <si>
    <t>上市航運業</t>
  </si>
  <si>
    <t>台灣大</t>
  </si>
  <si>
    <t>友訊</t>
  </si>
  <si>
    <t>廣豐</t>
  </si>
  <si>
    <t>華電網</t>
  </si>
  <si>
    <t>上櫃電子全部,上櫃通信網路</t>
  </si>
  <si>
    <t>華東</t>
  </si>
  <si>
    <t>大聯大</t>
  </si>
  <si>
    <t>上市電子全部,上市電子通路</t>
  </si>
  <si>
    <t>微星</t>
  </si>
  <si>
    <t>環球晶</t>
  </si>
  <si>
    <t>上櫃電子全部,上櫃半導體</t>
  </si>
  <si>
    <t>鴻準</t>
  </si>
  <si>
    <t>上市電子全部,上市其他電子</t>
  </si>
  <si>
    <t>昱捷</t>
  </si>
  <si>
    <t>上櫃電子全部,上櫃電子通路</t>
  </si>
  <si>
    <t>全新</t>
  </si>
  <si>
    <t>景碩</t>
  </si>
  <si>
    <t>上銀</t>
  </si>
  <si>
    <t>天鈺</t>
  </si>
  <si>
    <t>超豐</t>
  </si>
  <si>
    <t>中租-KY</t>
  </si>
  <si>
    <t>宏齊</t>
  </si>
  <si>
    <t>強茂</t>
  </si>
  <si>
    <t>智邦</t>
  </si>
  <si>
    <t>台半</t>
  </si>
  <si>
    <t>力鵬</t>
  </si>
  <si>
    <t>上市紡織纖維</t>
  </si>
  <si>
    <t>台揚</t>
  </si>
  <si>
    <t>國產</t>
  </si>
  <si>
    <t>群光</t>
  </si>
  <si>
    <t>希華</t>
  </si>
  <si>
    <t>矽創</t>
  </si>
  <si>
    <t>威剛</t>
  </si>
  <si>
    <t>瑞昱</t>
  </si>
  <si>
    <t>日月光投控</t>
  </si>
  <si>
    <t>上海商銀</t>
  </si>
  <si>
    <t>台船</t>
  </si>
  <si>
    <t>台郡</t>
  </si>
  <si>
    <t>廣宇</t>
  </si>
  <si>
    <t>十銓</t>
  </si>
  <si>
    <t>晶豪科</t>
  </si>
  <si>
    <t>長榮</t>
  </si>
  <si>
    <t>同欣電</t>
  </si>
  <si>
    <t>光寶科</t>
  </si>
  <si>
    <t>安國</t>
  </si>
  <si>
    <t>嘉晶</t>
  </si>
  <si>
    <t>致振</t>
  </si>
  <si>
    <t>敦泰</t>
  </si>
  <si>
    <t>美時</t>
  </si>
  <si>
    <t>上市化學生技醫療,上市生技醫療</t>
  </si>
  <si>
    <t>華通</t>
  </si>
  <si>
    <t>康舒</t>
  </si>
  <si>
    <t>中華化</t>
  </si>
  <si>
    <t>上市化學生技醫療,上市化工</t>
  </si>
  <si>
    <t>萬海</t>
  </si>
  <si>
    <t>南電</t>
  </si>
  <si>
    <t>威鋒電子</t>
  </si>
  <si>
    <t>普誠</t>
  </si>
  <si>
    <t>瑞軒</t>
  </si>
  <si>
    <t>金寶</t>
  </si>
  <si>
    <t>晶相光</t>
  </si>
  <si>
    <t>精材</t>
  </si>
  <si>
    <t>致新</t>
  </si>
  <si>
    <t>昇陽半導體</t>
  </si>
  <si>
    <t>聚亨</t>
  </si>
  <si>
    <t>晶焱</t>
  </si>
  <si>
    <t>金像電</t>
  </si>
  <si>
    <t>宏盛</t>
  </si>
  <si>
    <t>聯陽</t>
  </si>
  <si>
    <t>光磊</t>
  </si>
  <si>
    <t>奇鋐</t>
  </si>
  <si>
    <t>凌陽</t>
  </si>
  <si>
    <t>順德</t>
  </si>
  <si>
    <t>漢磊</t>
  </si>
  <si>
    <t>宅配通</t>
  </si>
  <si>
    <t>欣銓</t>
  </si>
  <si>
    <t>聯茂</t>
  </si>
  <si>
    <t>中美晶</t>
  </si>
  <si>
    <t>名軒</t>
  </si>
  <si>
    <t>精成科</t>
  </si>
  <si>
    <t>錸德</t>
  </si>
  <si>
    <t>光環</t>
  </si>
  <si>
    <t>國碩</t>
  </si>
  <si>
    <t>世芯-KY</t>
  </si>
  <si>
    <t>台表科</t>
  </si>
  <si>
    <t>矽統</t>
  </si>
  <si>
    <t>科風</t>
  </si>
  <si>
    <t>南港</t>
  </si>
  <si>
    <t>宏旭-KY</t>
  </si>
  <si>
    <t>上市汽車</t>
  </si>
  <si>
    <t>華夏</t>
  </si>
  <si>
    <t>上市塑膠</t>
  </si>
  <si>
    <t>永豐金</t>
  </si>
  <si>
    <t>國喬</t>
  </si>
  <si>
    <t>技嘉</t>
  </si>
  <si>
    <t>新纖</t>
  </si>
  <si>
    <t>蒙恬</t>
  </si>
  <si>
    <t>上櫃電子全部,上櫃資訊服務</t>
  </si>
  <si>
    <t>菱生</t>
  </si>
  <si>
    <t>合晶</t>
  </si>
  <si>
    <t>台光電</t>
  </si>
  <si>
    <t>華碩</t>
  </si>
  <si>
    <t>和碩</t>
  </si>
  <si>
    <t>世紀鋼</t>
  </si>
  <si>
    <t>東聯</t>
  </si>
  <si>
    <t>宏達電</t>
  </si>
  <si>
    <t>中鼎</t>
  </si>
  <si>
    <t>華票</t>
  </si>
  <si>
    <t>台橡</t>
  </si>
  <si>
    <t>光鼎</t>
  </si>
  <si>
    <t>律勝</t>
  </si>
  <si>
    <t>上櫃電子全部,上櫃電子零組件</t>
  </si>
  <si>
    <t>南亞</t>
  </si>
  <si>
    <t>聯強</t>
  </si>
  <si>
    <t>笙科</t>
  </si>
  <si>
    <t>一詮</t>
  </si>
  <si>
    <t>威健</t>
  </si>
  <si>
    <t>日盛金</t>
  </si>
  <si>
    <t>上櫃金融</t>
  </si>
  <si>
    <t>光洋科</t>
  </si>
  <si>
    <t>上櫃電子全部,上櫃其他電子</t>
  </si>
  <si>
    <t>台苯</t>
  </si>
  <si>
    <t>宏捷科</t>
  </si>
  <si>
    <t>利奇</t>
  </si>
  <si>
    <t>亞聚</t>
  </si>
  <si>
    <t>長興</t>
  </si>
  <si>
    <t>元太</t>
  </si>
  <si>
    <t>上櫃電子全部,上櫃光電</t>
  </si>
  <si>
    <t>群聯</t>
  </si>
  <si>
    <t>中石化</t>
  </si>
  <si>
    <t>京城銀</t>
  </si>
  <si>
    <t>中壽</t>
  </si>
  <si>
    <t>統一實</t>
  </si>
  <si>
    <t>尖點</t>
  </si>
  <si>
    <t>台化</t>
  </si>
  <si>
    <t>宇環</t>
  </si>
  <si>
    <t>中纖</t>
  </si>
  <si>
    <t>可成</t>
  </si>
  <si>
    <t>宣德</t>
  </si>
  <si>
    <t>振曜</t>
  </si>
  <si>
    <t>恆大</t>
  </si>
  <si>
    <t>點序</t>
  </si>
  <si>
    <t>台泥</t>
  </si>
  <si>
    <t>上市水泥</t>
  </si>
  <si>
    <t>和桐</t>
  </si>
  <si>
    <t>愛普</t>
  </si>
  <si>
    <t>華航</t>
  </si>
  <si>
    <t>致伸</t>
  </si>
  <si>
    <t>力致</t>
  </si>
  <si>
    <t>上櫃電子全部,上櫃電腦及週邊設備</t>
  </si>
  <si>
    <t>驊訊</t>
  </si>
  <si>
    <t>台達電</t>
  </si>
  <si>
    <t>富旺</t>
  </si>
  <si>
    <t>上櫃建材營造</t>
  </si>
  <si>
    <t>國泰金</t>
  </si>
  <si>
    <t>漢翔</t>
  </si>
  <si>
    <t>和益</t>
  </si>
  <si>
    <t>嘉聯益</t>
  </si>
  <si>
    <t>聯詠</t>
  </si>
  <si>
    <t>惠特</t>
  </si>
  <si>
    <t>上曜</t>
  </si>
  <si>
    <t>台塑</t>
  </si>
  <si>
    <t>鑫龍騰</t>
  </si>
  <si>
    <t>東和鋼鐵</t>
  </si>
  <si>
    <t>旺矽</t>
  </si>
  <si>
    <t>三陽工業</t>
  </si>
  <si>
    <t>騰輝電子-KY</t>
  </si>
  <si>
    <t>精聯</t>
  </si>
  <si>
    <t>仁寶</t>
  </si>
  <si>
    <t>虹堡</t>
  </si>
  <si>
    <t>友達</t>
  </si>
  <si>
    <t>遠東新</t>
  </si>
  <si>
    <t>元大金</t>
  </si>
  <si>
    <t>新光金</t>
  </si>
  <si>
    <t>三商壽</t>
  </si>
  <si>
    <t>寶成</t>
  </si>
  <si>
    <t>鑫聯大投控</t>
  </si>
  <si>
    <t>華新</t>
  </si>
  <si>
    <t>上市電器電纜</t>
  </si>
  <si>
    <t>力麗</t>
  </si>
  <si>
    <t>國票金</t>
  </si>
  <si>
    <t>允強</t>
  </si>
  <si>
    <t>尚立</t>
  </si>
  <si>
    <t>兆豐金</t>
  </si>
  <si>
    <t>美德醫療-DR</t>
  </si>
  <si>
    <t>上市存託憑證</t>
  </si>
  <si>
    <t>中天</t>
  </si>
  <si>
    <t>上櫃生技醫療</t>
  </si>
  <si>
    <t>榮剛</t>
  </si>
  <si>
    <t>上櫃鋼鐵</t>
  </si>
  <si>
    <t>欣興</t>
  </si>
  <si>
    <t>愛之味</t>
  </si>
  <si>
    <t>上市食品</t>
  </si>
  <si>
    <t>旺玖</t>
  </si>
  <si>
    <t>無敵</t>
  </si>
  <si>
    <t>太極</t>
  </si>
  <si>
    <t>聯華</t>
  </si>
  <si>
    <t>世界</t>
  </si>
  <si>
    <t>華南金</t>
  </si>
  <si>
    <t>海光</t>
  </si>
  <si>
    <t>集盛</t>
  </si>
  <si>
    <t>長榮航</t>
  </si>
  <si>
    <t>台肥</t>
  </si>
  <si>
    <t>中菲行</t>
  </si>
  <si>
    <t>上櫃航運業</t>
  </si>
  <si>
    <t>官田鋼</t>
  </si>
  <si>
    <t>泰藝</t>
  </si>
  <si>
    <t>燁輝</t>
  </si>
  <si>
    <t>三晃</t>
  </si>
  <si>
    <t>神達</t>
  </si>
  <si>
    <t>裕民</t>
  </si>
  <si>
    <t>台航</t>
  </si>
  <si>
    <t>百和</t>
  </si>
  <si>
    <t>彰源</t>
  </si>
  <si>
    <t>網家</t>
  </si>
  <si>
    <t>上櫃電子商務</t>
  </si>
  <si>
    <t>中鴻</t>
  </si>
  <si>
    <t>華紙</t>
  </si>
  <si>
    <t>彩晶</t>
  </si>
  <si>
    <t>鉅祥</t>
  </si>
  <si>
    <t>大同</t>
  </si>
  <si>
    <t>亞太電</t>
  </si>
  <si>
    <t>慧洋-KY</t>
  </si>
  <si>
    <t>新光鋼</t>
  </si>
  <si>
    <t>大眾控</t>
  </si>
  <si>
    <t>盛餘</t>
  </si>
  <si>
    <t>華容</t>
  </si>
  <si>
    <t>正隆</t>
  </si>
  <si>
    <t>春雨</t>
  </si>
  <si>
    <t>中美實</t>
  </si>
  <si>
    <t>上櫃化工</t>
  </si>
  <si>
    <t>台嘉碩</t>
  </si>
  <si>
    <t>燁興</t>
  </si>
  <si>
    <t>中探針</t>
  </si>
  <si>
    <t>永純</t>
  </si>
  <si>
    <t>開發金</t>
  </si>
  <si>
    <t>聚陽</t>
  </si>
  <si>
    <t>越峰</t>
  </si>
  <si>
    <t>金麗-KY</t>
  </si>
  <si>
    <t>南緯</t>
  </si>
  <si>
    <t>萬在</t>
  </si>
  <si>
    <t>上櫃電機機械</t>
  </si>
  <si>
    <t>定穎</t>
  </si>
  <si>
    <t>映泰</t>
  </si>
  <si>
    <t>中華</t>
  </si>
  <si>
    <t>系統電</t>
  </si>
  <si>
    <t>福懋</t>
  </si>
  <si>
    <t>鈺德</t>
  </si>
  <si>
    <t>富喬</t>
  </si>
  <si>
    <t>裕隆</t>
  </si>
  <si>
    <t>第一金</t>
  </si>
  <si>
    <t>典範</t>
  </si>
  <si>
    <t>凡甲</t>
  </si>
  <si>
    <t>聯發科</t>
  </si>
  <si>
    <t>同致</t>
  </si>
  <si>
    <t>方土昶</t>
  </si>
  <si>
    <t>杏國</t>
  </si>
  <si>
    <t>京元電子</t>
  </si>
  <si>
    <t>志超</t>
  </si>
  <si>
    <t>鑫科</t>
  </si>
  <si>
    <t>華興</t>
  </si>
  <si>
    <t>新美齊</t>
  </si>
  <si>
    <t>台塑化</t>
  </si>
  <si>
    <t>上市油電燃氣</t>
  </si>
  <si>
    <t>創意</t>
  </si>
  <si>
    <t>創惟</t>
  </si>
  <si>
    <t>嘉泥</t>
  </si>
  <si>
    <t>聲寶</t>
  </si>
  <si>
    <t>聚和</t>
  </si>
  <si>
    <t>美利達</t>
  </si>
  <si>
    <t>通嘉</t>
  </si>
  <si>
    <t>云辰</t>
  </si>
  <si>
    <t>環泰</t>
  </si>
  <si>
    <t>上櫃食品</t>
  </si>
  <si>
    <t>金可-KY</t>
  </si>
  <si>
    <t>鴻海</t>
  </si>
  <si>
    <t>昇貿</t>
  </si>
  <si>
    <t>東泥</t>
  </si>
  <si>
    <t>富邦媒</t>
  </si>
  <si>
    <t>安格</t>
  </si>
  <si>
    <t>晶宏</t>
  </si>
  <si>
    <t>力新</t>
  </si>
  <si>
    <t>華泰</t>
  </si>
  <si>
    <t>金麗科</t>
  </si>
  <si>
    <t>百容</t>
  </si>
  <si>
    <t>宏碁</t>
  </si>
  <si>
    <t>億光</t>
  </si>
  <si>
    <t>千興</t>
  </si>
  <si>
    <t>如興</t>
  </si>
  <si>
    <t>台中銀</t>
  </si>
  <si>
    <t>中釉</t>
  </si>
  <si>
    <t>上市玻璃陶瓷</t>
  </si>
  <si>
    <t>精英</t>
  </si>
  <si>
    <t>宏遠證</t>
  </si>
  <si>
    <t>統一證</t>
  </si>
  <si>
    <t>常珵</t>
  </si>
  <si>
    <t>茂綸</t>
  </si>
  <si>
    <t>群益證</t>
  </si>
  <si>
    <t>台玻</t>
  </si>
  <si>
    <t>華榮</t>
  </si>
  <si>
    <t>大亞</t>
  </si>
  <si>
    <t>南紡</t>
  </si>
  <si>
    <t>奇力新</t>
  </si>
  <si>
    <t>杏輝</t>
  </si>
  <si>
    <t>明安</t>
  </si>
  <si>
    <t>上櫃其他</t>
  </si>
  <si>
    <t>第一銅</t>
  </si>
  <si>
    <t>茂達</t>
  </si>
  <si>
    <t>大國鋼</t>
  </si>
  <si>
    <t>王品</t>
  </si>
  <si>
    <t>上市觀光</t>
  </si>
  <si>
    <t>聯成</t>
  </si>
  <si>
    <t>廷鑫</t>
  </si>
  <si>
    <t>統振</t>
  </si>
  <si>
    <t>大成鋼</t>
  </si>
  <si>
    <t>威致</t>
  </si>
  <si>
    <t>永光</t>
  </si>
  <si>
    <t>有益</t>
  </si>
  <si>
    <t>新鋼</t>
  </si>
  <si>
    <t>台燿</t>
  </si>
  <si>
    <t>中鋼構</t>
  </si>
  <si>
    <t>美亞</t>
  </si>
  <si>
    <t>榮科</t>
  </si>
  <si>
    <t>寶隆</t>
  </si>
  <si>
    <t>中環</t>
  </si>
  <si>
    <t>今皓</t>
  </si>
  <si>
    <t>永豐餘</t>
  </si>
  <si>
    <t>閎康</t>
  </si>
  <si>
    <t>佳世達</t>
  </si>
  <si>
    <t>南亞科</t>
  </si>
  <si>
    <t>強盛</t>
  </si>
  <si>
    <t>華邦電</t>
  </si>
  <si>
    <t>宏遠</t>
  </si>
  <si>
    <t>旺宏</t>
  </si>
  <si>
    <t>台新金</t>
  </si>
  <si>
    <t>泰金寶-DR</t>
  </si>
  <si>
    <t>研華</t>
  </si>
  <si>
    <t>康和證</t>
  </si>
  <si>
    <t>台積電</t>
  </si>
  <si>
    <t>基泰</t>
  </si>
  <si>
    <t>揚智</t>
  </si>
  <si>
    <t>華新科</t>
  </si>
  <si>
    <t>捷敏-KY</t>
  </si>
  <si>
    <t>福華</t>
  </si>
  <si>
    <t>台聚</t>
  </si>
  <si>
    <t>中鋼</t>
  </si>
  <si>
    <t>安碁</t>
  </si>
  <si>
    <t>達運</t>
  </si>
  <si>
    <t>工信</t>
  </si>
  <si>
    <t>至上</t>
  </si>
  <si>
    <t>合一</t>
  </si>
  <si>
    <t>晶技</t>
  </si>
  <si>
    <t>良維</t>
  </si>
  <si>
    <t>原相</t>
  </si>
  <si>
    <t>建錩</t>
  </si>
  <si>
    <t>廣運</t>
  </si>
  <si>
    <t>寶碩</t>
  </si>
  <si>
    <t>和康生</t>
  </si>
  <si>
    <t>華晶科</t>
  </si>
  <si>
    <t>崇越</t>
  </si>
  <si>
    <t>尼克森</t>
  </si>
  <si>
    <t>太子</t>
  </si>
  <si>
    <t>富強鑫</t>
  </si>
  <si>
    <t>GIS-KY</t>
  </si>
  <si>
    <t>聚鼎</t>
  </si>
  <si>
    <t>康普</t>
  </si>
  <si>
    <t>智易</t>
  </si>
  <si>
    <t>運錩</t>
  </si>
  <si>
    <t>精剛</t>
  </si>
  <si>
    <t>研通</t>
  </si>
  <si>
    <t>立積</t>
  </si>
  <si>
    <t>巨大</t>
  </si>
  <si>
    <t>日勝生</t>
  </si>
  <si>
    <t>全科</t>
  </si>
  <si>
    <t>德宏</t>
  </si>
  <si>
    <t>立敦</t>
  </si>
  <si>
    <t>泰鼎-KY</t>
  </si>
  <si>
    <t>龍燈-KY</t>
  </si>
  <si>
    <t>加百裕</t>
  </si>
  <si>
    <t>誠美材</t>
  </si>
  <si>
    <t>朋程</t>
  </si>
  <si>
    <t>豐興</t>
  </si>
  <si>
    <t>訊聯</t>
  </si>
  <si>
    <t>統一</t>
  </si>
  <si>
    <t>聯邦銀</t>
  </si>
  <si>
    <t>中信金</t>
  </si>
  <si>
    <t>遠東銀</t>
  </si>
  <si>
    <t>農林</t>
  </si>
  <si>
    <t>圓剛</t>
  </si>
  <si>
    <t>展宇</t>
  </si>
  <si>
    <t>凌通</t>
  </si>
  <si>
    <t>燦坤</t>
  </si>
  <si>
    <t>統一超</t>
  </si>
  <si>
    <t>金居</t>
  </si>
  <si>
    <t>宜鼎</t>
  </si>
  <si>
    <t>美琪瑪</t>
  </si>
  <si>
    <t>樂士</t>
  </si>
  <si>
    <t>揚明光</t>
  </si>
  <si>
    <t>亞諾法</t>
  </si>
  <si>
    <t>矽瑪</t>
  </si>
  <si>
    <t>璟德</t>
  </si>
  <si>
    <t>中櫃</t>
  </si>
  <si>
    <t>國際中橡</t>
  </si>
  <si>
    <t>陽明</t>
  </si>
  <si>
    <t>穩懋</t>
  </si>
  <si>
    <t>菱光</t>
  </si>
  <si>
    <t>嘉里大榮</t>
  </si>
  <si>
    <t>國光生</t>
  </si>
  <si>
    <t>冠德</t>
  </si>
  <si>
    <t>立德</t>
  </si>
  <si>
    <t>晟德</t>
  </si>
  <si>
    <t>正德</t>
  </si>
  <si>
    <t>明基材</t>
  </si>
  <si>
    <t>優盛</t>
  </si>
  <si>
    <t>永昕</t>
  </si>
  <si>
    <t>中工</t>
  </si>
  <si>
    <t>高端疫苗</t>
  </si>
  <si>
    <t>寶齡富錦</t>
  </si>
  <si>
    <t>南仁湖</t>
  </si>
  <si>
    <t>上櫃貿易百貨</t>
  </si>
  <si>
    <t>新華</t>
  </si>
  <si>
    <t>聯上發</t>
  </si>
  <si>
    <t>台耀</t>
  </si>
  <si>
    <t>高技</t>
  </si>
  <si>
    <t>耀勝</t>
  </si>
  <si>
    <t>德微</t>
  </si>
  <si>
    <t>M31</t>
  </si>
  <si>
    <t>廣達</t>
  </si>
  <si>
    <t>應華</t>
  </si>
  <si>
    <t>緯創</t>
  </si>
  <si>
    <t>先進光</t>
  </si>
  <si>
    <t>新興</t>
  </si>
  <si>
    <t>零壹</t>
  </si>
  <si>
    <t>上市電子全部,上市資訊服務</t>
  </si>
  <si>
    <t>群創</t>
  </si>
  <si>
    <t>祥碩</t>
  </si>
  <si>
    <t>加高</t>
  </si>
  <si>
    <t>榮運</t>
  </si>
  <si>
    <t>揚博</t>
  </si>
  <si>
    <t>臻鼎-KY</t>
  </si>
  <si>
    <t>益登</t>
  </si>
  <si>
    <t>佶優</t>
  </si>
  <si>
    <t>TPK-KY</t>
  </si>
  <si>
    <t>矽格</t>
  </si>
  <si>
    <t>聯電</t>
  </si>
  <si>
    <t>鴻名</t>
  </si>
  <si>
    <t>華立</t>
  </si>
  <si>
    <t>頎邦</t>
  </si>
  <si>
    <t>瀚宇博</t>
  </si>
  <si>
    <t>亞泥</t>
  </si>
  <si>
    <t>台灣高鐵</t>
  </si>
  <si>
    <t>迅杰</t>
  </si>
  <si>
    <t>譜瑞-KY</t>
  </si>
  <si>
    <t>全友</t>
  </si>
  <si>
    <t>大成</t>
  </si>
  <si>
    <t>杏一</t>
  </si>
  <si>
    <t>松翰</t>
  </si>
  <si>
    <t>佑華</t>
  </si>
  <si>
    <t>文曄</t>
  </si>
  <si>
    <t>貿聯-KY</t>
  </si>
  <si>
    <t>禾瑞亞</t>
  </si>
  <si>
    <t>大田</t>
  </si>
  <si>
    <t>玉山金</t>
  </si>
  <si>
    <t>宏觀</t>
  </si>
  <si>
    <t>光菱</t>
  </si>
  <si>
    <t>志信</t>
  </si>
  <si>
    <t>華固</t>
  </si>
  <si>
    <t>中砂</t>
  </si>
  <si>
    <t>雙鴻</t>
  </si>
  <si>
    <t>正崴</t>
  </si>
  <si>
    <t>東捷</t>
  </si>
  <si>
    <t>鴻碩</t>
  </si>
  <si>
    <t>遠雄港</t>
  </si>
  <si>
    <t>光群雷</t>
  </si>
  <si>
    <t>大世科</t>
  </si>
  <si>
    <t>晶碩</t>
  </si>
  <si>
    <t>長華*</t>
  </si>
  <si>
    <t>立隆電</t>
  </si>
  <si>
    <t>凱美</t>
  </si>
  <si>
    <t>麗臺</t>
  </si>
  <si>
    <t>鈊象</t>
  </si>
  <si>
    <t>上櫃文化創意</t>
  </si>
  <si>
    <t>鼎元</t>
  </si>
  <si>
    <t>遠雄</t>
  </si>
  <si>
    <t>九豪</t>
  </si>
  <si>
    <t>耿鼎</t>
  </si>
  <si>
    <t>鄉林</t>
  </si>
  <si>
    <t>和鑫</t>
  </si>
  <si>
    <t>大中</t>
  </si>
  <si>
    <t>潤弘</t>
  </si>
  <si>
    <t>力成</t>
  </si>
  <si>
    <t>潤泰新</t>
  </si>
  <si>
    <t>牧東</t>
  </si>
  <si>
    <t>金利</t>
  </si>
  <si>
    <t>達麗</t>
  </si>
  <si>
    <t>炎洲</t>
  </si>
  <si>
    <t>元翎</t>
  </si>
  <si>
    <t>台達化</t>
  </si>
  <si>
    <t>中興電</t>
  </si>
  <si>
    <t>大樹</t>
  </si>
  <si>
    <t>杜康-DR</t>
  </si>
  <si>
    <t>金雨</t>
  </si>
  <si>
    <t>高雄銀</t>
  </si>
  <si>
    <t>弘裕</t>
  </si>
  <si>
    <t>宇隆</t>
  </si>
  <si>
    <t>福邦證</t>
  </si>
  <si>
    <t>競國</t>
  </si>
  <si>
    <t>潤泰全</t>
  </si>
  <si>
    <t>飛宏</t>
  </si>
  <si>
    <t>湧德</t>
  </si>
  <si>
    <t>鈺創</t>
  </si>
  <si>
    <t>敬鵬</t>
  </si>
  <si>
    <t>正文</t>
  </si>
  <si>
    <t>和潤企業</t>
  </si>
  <si>
    <t>九齊</t>
  </si>
  <si>
    <t>元晶</t>
  </si>
  <si>
    <t>長科*</t>
  </si>
  <si>
    <t>界霖</t>
  </si>
  <si>
    <t>乙盛-KY</t>
  </si>
  <si>
    <t>虹揚-KY</t>
  </si>
  <si>
    <t>帆宣</t>
  </si>
  <si>
    <t>富邦金</t>
  </si>
  <si>
    <t>力特</t>
  </si>
  <si>
    <t>好德</t>
  </si>
  <si>
    <t>聯一光</t>
  </si>
  <si>
    <t>亞德客-KY</t>
  </si>
  <si>
    <t>國統</t>
  </si>
  <si>
    <t>宏泰</t>
  </si>
  <si>
    <t>燿華</t>
  </si>
  <si>
    <t>大甲</t>
  </si>
  <si>
    <t>亞光</t>
  </si>
  <si>
    <t>中磊</t>
  </si>
  <si>
    <t>智原</t>
  </si>
  <si>
    <t>弘憶股</t>
  </si>
  <si>
    <t>裕融</t>
  </si>
  <si>
    <t>建漢</t>
  </si>
  <si>
    <t>建大</t>
  </si>
  <si>
    <t>皇普</t>
  </si>
  <si>
    <t>銘異</t>
  </si>
  <si>
    <t>波若威</t>
  </si>
  <si>
    <t>九暘</t>
  </si>
  <si>
    <t>東森</t>
  </si>
  <si>
    <t>華城</t>
  </si>
  <si>
    <t>威盛</t>
  </si>
  <si>
    <t>立凱-KY</t>
  </si>
  <si>
    <t>大洋</t>
  </si>
  <si>
    <t>聚積</t>
  </si>
  <si>
    <t>中化生</t>
  </si>
  <si>
    <t>美食-KY</t>
  </si>
  <si>
    <t>東友</t>
  </si>
  <si>
    <t>大江</t>
  </si>
  <si>
    <t>冠軍</t>
  </si>
  <si>
    <t>四維航</t>
  </si>
  <si>
    <t>啟碁</t>
  </si>
  <si>
    <t>擎亞</t>
  </si>
  <si>
    <t>合勤控</t>
  </si>
  <si>
    <t>安普新</t>
  </si>
  <si>
    <t>宏益</t>
  </si>
  <si>
    <t>神盾</t>
  </si>
  <si>
    <t>中光電</t>
  </si>
  <si>
    <t>達方</t>
  </si>
  <si>
    <t>健和興</t>
  </si>
  <si>
    <t>雍智科技</t>
  </si>
  <si>
    <t>偉詮電</t>
  </si>
  <si>
    <t>為升</t>
  </si>
  <si>
    <t>世禾</t>
  </si>
  <si>
    <t>禾伸堂</t>
  </si>
  <si>
    <t>光頡</t>
  </si>
  <si>
    <t>茂矽</t>
  </si>
  <si>
    <t>萬潤</t>
  </si>
  <si>
    <t>聯傑</t>
  </si>
  <si>
    <t>京城</t>
  </si>
  <si>
    <t>茂迪</t>
  </si>
  <si>
    <t>台開</t>
  </si>
  <si>
    <t>玉晶光</t>
  </si>
  <si>
    <t>晶心科</t>
  </si>
  <si>
    <t>中航</t>
  </si>
  <si>
    <t>昇佳電子</t>
  </si>
  <si>
    <t>神基</t>
  </si>
  <si>
    <t>儒鴻</t>
  </si>
  <si>
    <t>麗清</t>
  </si>
  <si>
    <t>遠百</t>
  </si>
  <si>
    <t>旭品</t>
  </si>
  <si>
    <t>森鉅</t>
  </si>
  <si>
    <t>醣聯</t>
  </si>
  <si>
    <t>光鋐</t>
  </si>
  <si>
    <t>健鼎</t>
  </si>
  <si>
    <t>和椿</t>
  </si>
  <si>
    <t>-47.55</t>
    <phoneticPr fontId="1" type="noConversion"/>
  </si>
  <si>
    <t>-41.51</t>
    <phoneticPr fontId="1" type="noConversion"/>
  </si>
  <si>
    <t>-50.91</t>
    <phoneticPr fontId="1" type="noConversion"/>
  </si>
  <si>
    <t>-49.31</t>
    <phoneticPr fontId="1" type="noConversion"/>
  </si>
  <si>
    <t>3.0</t>
    <phoneticPr fontId="1" type="noConversion"/>
  </si>
  <si>
    <t>1055</t>
    <phoneticPr fontId="1" type="noConversion"/>
  </si>
  <si>
    <t>5.81</t>
    <phoneticPr fontId="1" type="noConversion"/>
  </si>
  <si>
    <t>-33.88</t>
    <phoneticPr fontId="1" type="noConversion"/>
  </si>
  <si>
    <t>-34.13</t>
    <phoneticPr fontId="1" type="noConversion"/>
  </si>
  <si>
    <t>-36.63</t>
    <phoneticPr fontId="1" type="noConversion"/>
  </si>
  <si>
    <t>鋁電池盒客戶福斯敏實集團旗下</t>
    <phoneticPr fontId="1" type="noConversion"/>
  </si>
  <si>
    <t>29.25</t>
    <phoneticPr fontId="1" type="noConversion"/>
  </si>
  <si>
    <t>33.56</t>
    <phoneticPr fontId="1" type="noConversion"/>
  </si>
  <si>
    <t>振宇五金</t>
    <phoneticPr fontId="1" type="noConversion"/>
  </si>
  <si>
    <t>五金賣場</t>
    <phoneticPr fontId="1" type="noConversion"/>
  </si>
  <si>
    <t>-51.4</t>
    <phoneticPr fontId="1" type="noConversion"/>
  </si>
  <si>
    <t>Goole</t>
    <phoneticPr fontId="1" type="noConversion"/>
  </si>
  <si>
    <t>Apple東</t>
    <phoneticPr fontId="1" type="noConversion"/>
  </si>
  <si>
    <t>Apple珠</t>
    <phoneticPr fontId="1" type="noConversion"/>
  </si>
  <si>
    <t>Pan04280428</t>
    <phoneticPr fontId="1" type="noConversion"/>
  </si>
  <si>
    <t>robertpandong@icloud.com</t>
    <phoneticPr fontId="1" type="noConversion"/>
  </si>
  <si>
    <t>secretshop@163.com</t>
    <phoneticPr fontId="1" type="noConversion"/>
  </si>
  <si>
    <t>JUDY54186755a</t>
    <phoneticPr fontId="1" type="noConversion"/>
  </si>
  <si>
    <t>2020/1/20起開始建立XQ新聞資料</t>
    <phoneticPr fontId="1" type="noConversion"/>
  </si>
  <si>
    <t>2021/8/18起開始建立主力買進資料</t>
    <phoneticPr fontId="1" type="noConversion"/>
  </si>
  <si>
    <t>9.47</t>
    <phoneticPr fontId="1" type="noConversion"/>
  </si>
  <si>
    <t>5.07</t>
    <phoneticPr fontId="1" type="noConversion"/>
  </si>
  <si>
    <t>9.41</t>
    <phoneticPr fontId="1" type="noConversion"/>
  </si>
  <si>
    <t>34.0</t>
    <phoneticPr fontId="1" type="noConversion"/>
  </si>
  <si>
    <t>-36.05</t>
    <phoneticPr fontId="1" type="noConversion"/>
  </si>
  <si>
    <t>珠</t>
    <phoneticPr fontId="1" type="noConversion"/>
  </si>
  <si>
    <t>33.1</t>
    <phoneticPr fontId="1" type="noConversion"/>
  </si>
  <si>
    <t>-50.32</t>
    <phoneticPr fontId="1" type="noConversion"/>
  </si>
  <si>
    <t>25.48</t>
    <phoneticPr fontId="1" type="noConversion"/>
  </si>
  <si>
    <t>0.29</t>
    <phoneticPr fontId="1" type="noConversion"/>
  </si>
  <si>
    <t>-2.63</t>
    <phoneticPr fontId="1" type="noConversion"/>
  </si>
  <si>
    <t>54.8</t>
    <phoneticPr fontId="1" type="noConversion"/>
  </si>
  <si>
    <t>7.31</t>
    <phoneticPr fontId="1" type="noConversion"/>
  </si>
  <si>
    <t>8.98</t>
    <phoneticPr fontId="1" type="noConversion"/>
  </si>
  <si>
    <t>54.0</t>
    <phoneticPr fontId="1" type="noConversion"/>
  </si>
  <si>
    <t>12</t>
    <phoneticPr fontId="1" type="noConversion"/>
  </si>
  <si>
    <t>20</t>
    <phoneticPr fontId="1" type="noConversion"/>
  </si>
  <si>
    <t>22</t>
    <phoneticPr fontId="1" type="noConversion"/>
  </si>
  <si>
    <t>-30.92</t>
    <phoneticPr fontId="1" type="noConversion"/>
  </si>
  <si>
    <t>-47.21</t>
    <phoneticPr fontId="1" type="noConversion"/>
  </si>
  <si>
    <t>-43.2</t>
    <phoneticPr fontId="1" type="noConversion"/>
  </si>
  <si>
    <t>-47</t>
    <phoneticPr fontId="1" type="noConversion"/>
  </si>
  <si>
    <t>15.88</t>
    <phoneticPr fontId="1" type="noConversion"/>
  </si>
  <si>
    <t>49.5</t>
    <phoneticPr fontId="1" type="noConversion"/>
  </si>
  <si>
    <t>35.1</t>
    <phoneticPr fontId="1" type="noConversion"/>
  </si>
  <si>
    <t>21.7</t>
    <phoneticPr fontId="1" type="noConversion"/>
  </si>
  <si>
    <t>-31.23</t>
    <phoneticPr fontId="1" type="noConversion"/>
  </si>
  <si>
    <t>-44.82</t>
    <phoneticPr fontId="1" type="noConversion"/>
  </si>
  <si>
    <t>0.12</t>
    <phoneticPr fontId="1" type="noConversion"/>
  </si>
  <si>
    <t>8.85</t>
    <phoneticPr fontId="1" type="noConversion"/>
  </si>
  <si>
    <t>Loss aversion損失趨避心裡</t>
    <phoneticPr fontId="1" type="noConversion"/>
  </si>
  <si>
    <t>更愛避免損失，而非追求獲利</t>
    <phoneticPr fontId="1" type="noConversion"/>
  </si>
  <si>
    <t>5.89</t>
    <phoneticPr fontId="1" type="noConversion"/>
  </si>
  <si>
    <t>-2.5</t>
    <phoneticPr fontId="1" type="noConversion"/>
  </si>
  <si>
    <t>7.92</t>
    <phoneticPr fontId="1" type="noConversion"/>
  </si>
  <si>
    <t>帳號</t>
    <phoneticPr fontId="1" type="noConversion"/>
  </si>
  <si>
    <t>密碼</t>
    <phoneticPr fontId="1" type="noConversion"/>
  </si>
  <si>
    <t>JUDY54186755a</t>
    <phoneticPr fontId="1" type="noConversion"/>
  </si>
  <si>
    <t>手機號</t>
    <phoneticPr fontId="1" type="noConversion"/>
  </si>
  <si>
    <t>富途牛牛</t>
    <phoneticPr fontId="1" type="noConversion"/>
  </si>
  <si>
    <t>0050</t>
    <phoneticPr fontId="1" type="noConversion"/>
  </si>
  <si>
    <t>台灣50</t>
    <phoneticPr fontId="1" type="noConversion"/>
  </si>
  <si>
    <t>-40</t>
    <phoneticPr fontId="1" type="noConversion"/>
  </si>
  <si>
    <t>-40.42</t>
    <phoneticPr fontId="1" type="noConversion"/>
  </si>
  <si>
    <t>40.63</t>
    <phoneticPr fontId="1" type="noConversion"/>
  </si>
  <si>
    <t>1180</t>
    <phoneticPr fontId="1" type="noConversion"/>
  </si>
  <si>
    <t>-39.41</t>
    <phoneticPr fontId="1" type="noConversion"/>
  </si>
  <si>
    <t>-42.28</t>
    <phoneticPr fontId="1" type="noConversion"/>
  </si>
  <si>
    <t>145</t>
    <phoneticPr fontId="1" type="noConversion"/>
  </si>
  <si>
    <t>10月21年</t>
    <phoneticPr fontId="1" type="noConversion"/>
  </si>
  <si>
    <t>-42.19</t>
    <phoneticPr fontId="1" type="noConversion"/>
  </si>
  <si>
    <t>-35.42</t>
    <phoneticPr fontId="1" type="noConversion"/>
  </si>
  <si>
    <t>-41.38</t>
    <phoneticPr fontId="1" type="noConversion"/>
  </si>
  <si>
    <t>-40.32</t>
    <phoneticPr fontId="1" type="noConversion"/>
  </si>
  <si>
    <t>-45.62</t>
    <phoneticPr fontId="1" type="noConversion"/>
  </si>
  <si>
    <t>-40.22</t>
    <phoneticPr fontId="1" type="noConversion"/>
  </si>
  <si>
    <t>-32.39</t>
    <phoneticPr fontId="1" type="noConversion"/>
  </si>
  <si>
    <t>-46.98</t>
    <phoneticPr fontId="1" type="noConversion"/>
  </si>
  <si>
    <t>-54.33</t>
    <phoneticPr fontId="1" type="noConversion"/>
  </si>
  <si>
    <t>2021//10/8</t>
    <phoneticPr fontId="1" type="noConversion"/>
  </si>
  <si>
    <t>-31.17</t>
    <phoneticPr fontId="1" type="noConversion"/>
  </si>
  <si>
    <t>-32.51</t>
    <phoneticPr fontId="1" type="noConversion"/>
  </si>
  <si>
    <t>-50.25</t>
    <phoneticPr fontId="1" type="noConversion"/>
  </si>
  <si>
    <t>612</t>
    <phoneticPr fontId="1" type="noConversion"/>
  </si>
  <si>
    <t>3.47</t>
    <phoneticPr fontId="1" type="noConversion"/>
  </si>
  <si>
    <t>16.49</t>
    <phoneticPr fontId="1" type="noConversion"/>
  </si>
  <si>
    <t>全訊</t>
    <phoneticPr fontId="1" type="noConversion"/>
  </si>
  <si>
    <t>宜新實業</t>
    <phoneticPr fontId="1" type="noConversion"/>
  </si>
  <si>
    <t>14.9</t>
    <phoneticPr fontId="1" type="noConversion"/>
  </si>
  <si>
    <t>200</t>
    <phoneticPr fontId="1" type="noConversion"/>
  </si>
  <si>
    <t>功率放大器</t>
    <phoneticPr fontId="1" type="noConversion"/>
  </si>
  <si>
    <t>彈性紗</t>
    <phoneticPr fontId="1" type="noConversion"/>
  </si>
  <si>
    <t>N</t>
    <phoneticPr fontId="1" type="noConversion"/>
  </si>
  <si>
    <t>-30.8</t>
    <phoneticPr fontId="1" type="noConversion"/>
  </si>
  <si>
    <t>359</t>
    <phoneticPr fontId="1" type="noConversion"/>
  </si>
  <si>
    <t>440</t>
    <phoneticPr fontId="1" type="noConversion"/>
  </si>
  <si>
    <t>-46.58</t>
    <phoneticPr fontId="1" type="noConversion"/>
  </si>
  <si>
    <t>-37.43</t>
    <phoneticPr fontId="1" type="noConversion"/>
  </si>
  <si>
    <t>-30.79</t>
    <phoneticPr fontId="1" type="noConversion"/>
  </si>
  <si>
    <t>華南期貨</t>
    <phoneticPr fontId="1" type="noConversion"/>
  </si>
  <si>
    <t>ju54186</t>
    <phoneticPr fontId="1" type="noConversion"/>
  </si>
  <si>
    <t>珠F221806528</t>
    <phoneticPr fontId="1" type="noConversion"/>
  </si>
  <si>
    <t>-32.09</t>
    <phoneticPr fontId="1" type="noConversion"/>
  </si>
  <si>
    <t>-38.29</t>
    <phoneticPr fontId="1" type="noConversion"/>
  </si>
  <si>
    <t>-33.8</t>
    <phoneticPr fontId="1" type="noConversion"/>
  </si>
  <si>
    <t>9.23</t>
    <phoneticPr fontId="1" type="noConversion"/>
  </si>
  <si>
    <t>38.2</t>
    <phoneticPr fontId="1" type="noConversion"/>
  </si>
  <si>
    <t>-31.68</t>
    <phoneticPr fontId="1" type="noConversion"/>
  </si>
  <si>
    <t>31.67</t>
    <phoneticPr fontId="1" type="noConversion"/>
  </si>
  <si>
    <t>-39.22</t>
    <phoneticPr fontId="1" type="noConversion"/>
  </si>
  <si>
    <t>-27.66</t>
    <phoneticPr fontId="1" type="noConversion"/>
  </si>
  <si>
    <t>電器</t>
    <phoneticPr fontId="1" type="noConversion"/>
  </si>
  <si>
    <t>299</t>
    <phoneticPr fontId="1" type="noConversion"/>
  </si>
  <si>
    <t>4.87</t>
    <phoneticPr fontId="1" type="noConversion"/>
  </si>
  <si>
    <t>18.25</t>
    <phoneticPr fontId="1" type="noConversion"/>
  </si>
  <si>
    <t>-36.2</t>
    <phoneticPr fontId="1" type="noConversion"/>
  </si>
  <si>
    <t>33.02</t>
    <phoneticPr fontId="1" type="noConversion"/>
  </si>
  <si>
    <t>73.4</t>
    <phoneticPr fontId="1" type="noConversion"/>
  </si>
  <si>
    <t>-31.57</t>
    <phoneticPr fontId="1" type="noConversion"/>
  </si>
  <si>
    <t>-34.55</t>
    <phoneticPr fontId="1" type="noConversion"/>
  </si>
  <si>
    <t>-31.62</t>
    <phoneticPr fontId="1" type="noConversion"/>
  </si>
  <si>
    <t>-34.58</t>
    <phoneticPr fontId="1" type="noConversion"/>
  </si>
  <si>
    <t>-36.34</t>
    <phoneticPr fontId="1" type="noConversion"/>
  </si>
  <si>
    <t>-44.54</t>
    <phoneticPr fontId="1" type="noConversion"/>
  </si>
  <si>
    <t>210</t>
    <phoneticPr fontId="1" type="noConversion"/>
  </si>
  <si>
    <t>-43.98</t>
    <phoneticPr fontId="1" type="noConversion"/>
  </si>
  <si>
    <t>-35.83</t>
    <phoneticPr fontId="1" type="noConversion"/>
  </si>
  <si>
    <t>-41.69</t>
    <phoneticPr fontId="1" type="noConversion"/>
  </si>
  <si>
    <t>-33.62</t>
    <phoneticPr fontId="1" type="noConversion"/>
  </si>
  <si>
    <t>-33.73</t>
    <phoneticPr fontId="1" type="noConversion"/>
  </si>
  <si>
    <t>-30..69</t>
    <phoneticPr fontId="1" type="noConversion"/>
  </si>
  <si>
    <t>24.96</t>
    <phoneticPr fontId="1" type="noConversion"/>
  </si>
  <si>
    <t>34.33</t>
    <phoneticPr fontId="1" type="noConversion"/>
  </si>
  <si>
    <t>12.98</t>
    <phoneticPr fontId="1" type="noConversion"/>
  </si>
  <si>
    <t>13.33</t>
    <phoneticPr fontId="1" type="noConversion"/>
  </si>
  <si>
    <t>73.22</t>
    <phoneticPr fontId="1" type="noConversion"/>
  </si>
  <si>
    <t>15.79</t>
    <phoneticPr fontId="1" type="noConversion"/>
  </si>
  <si>
    <t>7.75</t>
    <phoneticPr fontId="1" type="noConversion"/>
  </si>
  <si>
    <t>穩得</t>
    <phoneticPr fontId="1" type="noConversion"/>
  </si>
  <si>
    <t>EMC電磁相容</t>
    <phoneticPr fontId="1" type="noConversion"/>
  </si>
  <si>
    <t>-33.75</t>
    <phoneticPr fontId="1" type="noConversion"/>
  </si>
  <si>
    <t>-46.31</t>
    <phoneticPr fontId="1" type="noConversion"/>
  </si>
  <si>
    <t>-30.48</t>
    <phoneticPr fontId="1" type="noConversion"/>
  </si>
  <si>
    <t>10.89</t>
    <phoneticPr fontId="1" type="noConversion"/>
  </si>
  <si>
    <t>太陽能4大模組</t>
  </si>
  <si>
    <t>太陽能4大模組</t>
    <phoneticPr fontId="1" type="noConversion"/>
  </si>
  <si>
    <t>太陽能4大模組遠雄轉投資</t>
    <phoneticPr fontId="1" type="noConversion"/>
  </si>
  <si>
    <t>7.43</t>
    <phoneticPr fontId="1" type="noConversion"/>
  </si>
  <si>
    <t>-48.54</t>
    <phoneticPr fontId="1" type="noConversion"/>
  </si>
  <si>
    <t>-36.93</t>
    <phoneticPr fontId="1" type="noConversion"/>
  </si>
  <si>
    <t>11月21年</t>
    <phoneticPr fontId="1" type="noConversion"/>
  </si>
  <si>
    <t>45.18</t>
    <phoneticPr fontId="1" type="noConversion"/>
  </si>
  <si>
    <t>森崴能源</t>
    <phoneticPr fontId="1" type="noConversion"/>
  </si>
  <si>
    <t>能源工程正崴旗下</t>
    <phoneticPr fontId="1" type="noConversion"/>
  </si>
  <si>
    <t>3.75</t>
    <phoneticPr fontId="1" type="noConversion"/>
  </si>
  <si>
    <t>醫美醫藥採購</t>
    <phoneticPr fontId="1" type="noConversion"/>
  </si>
  <si>
    <t>-36.97</t>
    <phoneticPr fontId="1" type="noConversion"/>
  </si>
  <si>
    <t>-54.83</t>
    <phoneticPr fontId="1" type="noConversion"/>
  </si>
  <si>
    <t>-44.15</t>
    <phoneticPr fontId="1" type="noConversion"/>
  </si>
  <si>
    <t>-36.52</t>
    <phoneticPr fontId="1" type="noConversion"/>
  </si>
  <si>
    <t>142.6</t>
    <phoneticPr fontId="1" type="noConversion"/>
  </si>
  <si>
    <t>-34.62</t>
    <phoneticPr fontId="1" type="noConversion"/>
  </si>
  <si>
    <t>64.5</t>
    <phoneticPr fontId="1" type="noConversion"/>
  </si>
  <si>
    <t>-34.6</t>
    <phoneticPr fontId="1" type="noConversion"/>
  </si>
  <si>
    <t>-57.48</t>
    <phoneticPr fontId="1" type="noConversion"/>
  </si>
  <si>
    <t>-19.05</t>
    <phoneticPr fontId="1" type="noConversion"/>
  </si>
  <si>
    <t>-27.8</t>
    <phoneticPr fontId="1" type="noConversion"/>
  </si>
  <si>
    <t>-18.63</t>
    <phoneticPr fontId="1" type="noConversion"/>
  </si>
  <si>
    <t>-20.07</t>
    <phoneticPr fontId="1" type="noConversion"/>
  </si>
  <si>
    <t>-24.12</t>
    <phoneticPr fontId="1" type="noConversion"/>
  </si>
  <si>
    <t>4.82</t>
    <phoneticPr fontId="1" type="noConversion"/>
  </si>
  <si>
    <t>-15.89</t>
    <phoneticPr fontId="1" type="noConversion"/>
  </si>
  <si>
    <t>-5.36</t>
    <phoneticPr fontId="1" type="noConversion"/>
  </si>
  <si>
    <t>-27.05</t>
    <phoneticPr fontId="1" type="noConversion"/>
  </si>
  <si>
    <t>5.34</t>
    <phoneticPr fontId="1" type="noConversion"/>
  </si>
  <si>
    <t>12.07</t>
    <phoneticPr fontId="1" type="noConversion"/>
  </si>
  <si>
    <t>-19.53</t>
    <phoneticPr fontId="1" type="noConversion"/>
  </si>
  <si>
    <t>-13.65</t>
    <phoneticPr fontId="1" type="noConversion"/>
  </si>
  <si>
    <t>-11.99</t>
    <phoneticPr fontId="1" type="noConversion"/>
  </si>
  <si>
    <t>-1.64</t>
    <phoneticPr fontId="1" type="noConversion"/>
  </si>
  <si>
    <t>三商家購</t>
    <phoneticPr fontId="1" type="noConversion"/>
  </si>
  <si>
    <t>超市三商旗下</t>
    <phoneticPr fontId="1" type="noConversion"/>
  </si>
  <si>
    <t>-0.22</t>
    <phoneticPr fontId="1" type="noConversion"/>
  </si>
  <si>
    <t>2.39</t>
    <phoneticPr fontId="1" type="noConversion"/>
  </si>
  <si>
    <t>72.78</t>
    <phoneticPr fontId="1" type="noConversion"/>
  </si>
  <si>
    <t>-4.36</t>
    <phoneticPr fontId="1" type="noConversion"/>
  </si>
  <si>
    <t>81.84</t>
    <phoneticPr fontId="1" type="noConversion"/>
  </si>
  <si>
    <t>-43.9</t>
    <phoneticPr fontId="1" type="noConversion"/>
  </si>
  <si>
    <t>電競周邊</t>
    <phoneticPr fontId="1" type="noConversion"/>
  </si>
  <si>
    <t>-56.3</t>
    <phoneticPr fontId="1" type="noConversion"/>
  </si>
  <si>
    <t>-23.68</t>
    <phoneticPr fontId="1" type="noConversion"/>
  </si>
  <si>
    <t>大戶1%</t>
    <phoneticPr fontId="1" type="noConversion"/>
  </si>
  <si>
    <t>大城地產</t>
    <phoneticPr fontId="1" type="noConversion"/>
  </si>
  <si>
    <t>-10.27</t>
    <phoneticPr fontId="1" type="noConversion"/>
  </si>
  <si>
    <t>-18.52</t>
    <phoneticPr fontId="1" type="noConversion"/>
  </si>
  <si>
    <t>期</t>
    <phoneticPr fontId="1" type="noConversion"/>
  </si>
  <si>
    <t>-0</t>
    <phoneticPr fontId="1" type="noConversion"/>
  </si>
  <si>
    <t>全聯福利卡號</t>
    <phoneticPr fontId="1" type="noConversion"/>
  </si>
  <si>
    <t>1999001645938590</t>
    <phoneticPr fontId="1" type="noConversion"/>
  </si>
  <si>
    <t>-54.16</t>
    <phoneticPr fontId="1" type="noConversion"/>
  </si>
  <si>
    <t>-24.08</t>
    <phoneticPr fontId="1" type="noConversion"/>
  </si>
  <si>
    <t>2021//11/24新聞主力改為累積數據</t>
    <phoneticPr fontId="1" type="noConversion"/>
  </si>
  <si>
    <t>-30.27</t>
    <phoneticPr fontId="1" type="noConversion"/>
  </si>
  <si>
    <t>55.4</t>
    <phoneticPr fontId="1" type="noConversion"/>
  </si>
  <si>
    <t>藍色日</t>
    <phoneticPr fontId="1" type="noConversion"/>
  </si>
  <si>
    <t>紅色周</t>
    <phoneticPr fontId="1" type="noConversion"/>
  </si>
  <si>
    <t>力積電</t>
    <phoneticPr fontId="1" type="noConversion"/>
  </si>
  <si>
    <t>2.86</t>
    <phoneticPr fontId="1" type="noConversion"/>
  </si>
  <si>
    <t>59.6</t>
    <phoneticPr fontId="1" type="noConversion"/>
  </si>
  <si>
    <t>-40.79</t>
    <phoneticPr fontId="1" type="noConversion"/>
  </si>
  <si>
    <t>-32.49</t>
    <phoneticPr fontId="1" type="noConversion"/>
  </si>
  <si>
    <t>-36.07</t>
    <phoneticPr fontId="1" type="noConversion"/>
  </si>
  <si>
    <t>新低量必有新低價</t>
    <phoneticPr fontId="1" type="noConversion"/>
  </si>
  <si>
    <t>詠業</t>
    <phoneticPr fontId="1" type="noConversion"/>
  </si>
  <si>
    <t>4.27</t>
    <phoneticPr fontId="1" type="noConversion"/>
  </si>
  <si>
    <t>天線陶瓷元件達方旗下</t>
    <phoneticPr fontId="1" type="noConversion"/>
  </si>
  <si>
    <t>-48.5</t>
    <phoneticPr fontId="1" type="noConversion"/>
  </si>
  <si>
    <t>-52.67</t>
    <phoneticPr fontId="1" type="noConversion"/>
  </si>
  <si>
    <t>5大泛用樹脂台聚旗下</t>
    <phoneticPr fontId="1" type="noConversion"/>
  </si>
  <si>
    <t>5大泛用樹脂台塑集團</t>
    <phoneticPr fontId="1" type="noConversion"/>
  </si>
  <si>
    <t>5大泛用樹脂轉投資台氯</t>
    <phoneticPr fontId="1" type="noConversion"/>
  </si>
  <si>
    <t>5大泛用樹脂</t>
  </si>
  <si>
    <t>5大泛用樹脂</t>
    <phoneticPr fontId="1" type="noConversion"/>
  </si>
  <si>
    <t>5大泛用樹脂台塑旗下</t>
    <phoneticPr fontId="1" type="noConversion"/>
  </si>
  <si>
    <t>-29.5</t>
    <phoneticPr fontId="1" type="noConversion"/>
  </si>
  <si>
    <t>-29.81</t>
    <phoneticPr fontId="1" type="noConversion"/>
  </si>
  <si>
    <t>-60.29</t>
    <phoneticPr fontId="1" type="noConversion"/>
  </si>
  <si>
    <t>-35.57</t>
    <phoneticPr fontId="1" type="noConversion"/>
  </si>
  <si>
    <t>-25.57</t>
    <phoneticPr fontId="1" type="noConversion"/>
  </si>
  <si>
    <t>-44.24</t>
    <phoneticPr fontId="1" type="noConversion"/>
  </si>
  <si>
    <t>-20.66</t>
    <phoneticPr fontId="1" type="noConversion"/>
  </si>
  <si>
    <t>-26.56</t>
    <phoneticPr fontId="1" type="noConversion"/>
  </si>
  <si>
    <t>1.84</t>
    <phoneticPr fontId="1" type="noConversion"/>
  </si>
  <si>
    <t>4.01</t>
    <phoneticPr fontId="1" type="noConversion"/>
  </si>
  <si>
    <t>天線保護元件衛星華新旗下</t>
    <phoneticPr fontId="1" type="noConversion"/>
  </si>
  <si>
    <t>-26.69</t>
    <phoneticPr fontId="1" type="noConversion"/>
  </si>
  <si>
    <t>-46.34</t>
    <phoneticPr fontId="1" type="noConversion"/>
  </si>
  <si>
    <t>-63.31</t>
    <phoneticPr fontId="1" type="noConversion"/>
  </si>
  <si>
    <t>-20.36</t>
    <phoneticPr fontId="1" type="noConversion"/>
  </si>
  <si>
    <t>17.01</t>
    <phoneticPr fontId="1" type="noConversion"/>
  </si>
  <si>
    <t>計內</t>
    <phoneticPr fontId="1" type="noConversion"/>
  </si>
  <si>
    <t>-39.62</t>
    <phoneticPr fontId="1" type="noConversion"/>
  </si>
  <si>
    <t>-56.66</t>
    <phoneticPr fontId="1" type="noConversion"/>
  </si>
  <si>
    <t>-53.09</t>
    <phoneticPr fontId="1" type="noConversion"/>
  </si>
  <si>
    <t>-4.76</t>
    <phoneticPr fontId="1" type="noConversion"/>
  </si>
  <si>
    <t>-6.7</t>
    <phoneticPr fontId="1" type="noConversion"/>
  </si>
  <si>
    <t>-59.67</t>
    <phoneticPr fontId="1" type="noConversion"/>
  </si>
  <si>
    <t>-56.34</t>
    <phoneticPr fontId="1" type="noConversion"/>
  </si>
  <si>
    <t>-41.08</t>
    <phoneticPr fontId="1" type="noConversion"/>
  </si>
  <si>
    <t>-45.74</t>
    <phoneticPr fontId="1" type="noConversion"/>
  </si>
  <si>
    <t>19.23</t>
    <phoneticPr fontId="1" type="noConversion"/>
  </si>
  <si>
    <t>21.74</t>
    <phoneticPr fontId="1" type="noConversion"/>
  </si>
  <si>
    <t>9.05</t>
    <phoneticPr fontId="1" type="noConversion"/>
  </si>
  <si>
    <t>飯店日月潭溫泉</t>
    <phoneticPr fontId="1" type="noConversion"/>
  </si>
  <si>
    <t>-20.71</t>
    <phoneticPr fontId="1" type="noConversion"/>
  </si>
  <si>
    <t>-26.71</t>
    <phoneticPr fontId="1" type="noConversion"/>
  </si>
  <si>
    <t>-18.91</t>
    <phoneticPr fontId="1" type="noConversion"/>
  </si>
  <si>
    <t>電力傳輸電競MCU</t>
    <phoneticPr fontId="1" type="noConversion"/>
  </si>
  <si>
    <t>-42.92</t>
    <phoneticPr fontId="1" type="noConversion"/>
  </si>
  <si>
    <t>-51.98</t>
    <phoneticPr fontId="1" type="noConversion"/>
  </si>
  <si>
    <t>-11.56</t>
    <phoneticPr fontId="1" type="noConversion"/>
  </si>
  <si>
    <t>-11.09</t>
    <phoneticPr fontId="1" type="noConversion"/>
  </si>
  <si>
    <t>-11</t>
    <phoneticPr fontId="1" type="noConversion"/>
  </si>
  <si>
    <t>-48.42</t>
    <phoneticPr fontId="1" type="noConversion"/>
  </si>
  <si>
    <t>準</t>
    <phoneticPr fontId="1" type="noConversion"/>
  </si>
  <si>
    <t>資</t>
    <phoneticPr fontId="1" type="noConversion"/>
  </si>
  <si>
    <t>外</t>
    <phoneticPr fontId="1" type="noConversion"/>
  </si>
  <si>
    <t>自</t>
    <phoneticPr fontId="1" type="noConversion"/>
  </si>
  <si>
    <t>投</t>
    <phoneticPr fontId="1" type="noConversion"/>
  </si>
  <si>
    <t>-15.19</t>
    <phoneticPr fontId="1" type="noConversion"/>
  </si>
  <si>
    <t>7.15</t>
    <phoneticPr fontId="1" type="noConversion"/>
  </si>
  <si>
    <t>-33.16</t>
    <phoneticPr fontId="1" type="noConversion"/>
  </si>
  <si>
    <t>-31.15</t>
    <phoneticPr fontId="1" type="noConversion"/>
  </si>
  <si>
    <t>-16.02</t>
    <phoneticPr fontId="1" type="noConversion"/>
  </si>
  <si>
    <t>6.88</t>
    <phoneticPr fontId="1" type="noConversion"/>
  </si>
  <si>
    <t>外</t>
    <phoneticPr fontId="1" type="noConversion"/>
  </si>
  <si>
    <t>自</t>
    <phoneticPr fontId="1" type="noConversion"/>
  </si>
  <si>
    <t>-26.26</t>
    <phoneticPr fontId="1" type="noConversion"/>
  </si>
  <si>
    <t>-8.92</t>
    <phoneticPr fontId="1" type="noConversion"/>
  </si>
  <si>
    <t>52.17</t>
    <phoneticPr fontId="1" type="noConversion"/>
  </si>
  <si>
    <t>自</t>
    <phoneticPr fontId="1" type="noConversion"/>
  </si>
  <si>
    <t>自</t>
    <phoneticPr fontId="1" type="noConversion"/>
  </si>
  <si>
    <t>-23.55</t>
    <phoneticPr fontId="1" type="noConversion"/>
  </si>
  <si>
    <t>-27.26</t>
    <phoneticPr fontId="1" type="noConversion"/>
  </si>
  <si>
    <t>富消息</t>
    <phoneticPr fontId="1" type="noConversion"/>
  </si>
  <si>
    <t>資</t>
    <phoneticPr fontId="1" type="noConversion"/>
  </si>
  <si>
    <t>元消息</t>
    <phoneticPr fontId="1" type="noConversion"/>
  </si>
  <si>
    <t>自</t>
    <phoneticPr fontId="1" type="noConversion"/>
  </si>
  <si>
    <t>資</t>
    <phoneticPr fontId="1" type="noConversion"/>
  </si>
  <si>
    <t>自</t>
    <phoneticPr fontId="1" type="noConversion"/>
  </si>
  <si>
    <t>-36.66</t>
    <phoneticPr fontId="1" type="noConversion"/>
  </si>
  <si>
    <t>-45.49</t>
    <phoneticPr fontId="1" type="noConversion"/>
  </si>
  <si>
    <t>富股3消</t>
    <phoneticPr fontId="1" type="noConversion"/>
  </si>
  <si>
    <t>積消息</t>
    <phoneticPr fontId="1" type="noConversion"/>
  </si>
  <si>
    <t>富股3</t>
    <phoneticPr fontId="1" type="noConversion"/>
  </si>
  <si>
    <t>國股3消</t>
    <phoneticPr fontId="1" type="noConversion"/>
  </si>
  <si>
    <t>國消息</t>
    <phoneticPr fontId="1" type="noConversion"/>
  </si>
  <si>
    <t>2.05%庫藏股胰臟癌東洋旗下</t>
    <phoneticPr fontId="1" type="noConversion"/>
  </si>
  <si>
    <t>6%庫藏股健身器材</t>
    <phoneticPr fontId="1" type="noConversion"/>
  </si>
  <si>
    <t>學名藥旗下6575心悅、6567生控、6479瑞寶、6872浩宇生醫</t>
    <phoneticPr fontId="1" type="noConversion"/>
  </si>
  <si>
    <t>外</t>
    <phoneticPr fontId="1" type="noConversion"/>
  </si>
  <si>
    <t>-24.35</t>
    <phoneticPr fontId="1" type="noConversion"/>
  </si>
  <si>
    <t>-8.32</t>
    <phoneticPr fontId="1" type="noConversion"/>
  </si>
  <si>
    <t>104.1</t>
    <phoneticPr fontId="1" type="noConversion"/>
  </si>
  <si>
    <t>22.15</t>
    <phoneticPr fontId="1" type="noConversion"/>
  </si>
  <si>
    <t>1.0</t>
    <phoneticPr fontId="1" type="noConversion"/>
  </si>
  <si>
    <t>外</t>
    <phoneticPr fontId="1" type="noConversion"/>
  </si>
  <si>
    <t>-17.7</t>
    <phoneticPr fontId="1" type="noConversion"/>
  </si>
  <si>
    <t>借融券比</t>
    <phoneticPr fontId="1" type="noConversion"/>
  </si>
  <si>
    <t>外</t>
    <phoneticPr fontId="1" type="noConversion"/>
  </si>
  <si>
    <t>-29.43</t>
    <phoneticPr fontId="1" type="noConversion"/>
  </si>
  <si>
    <t>上品</t>
    <phoneticPr fontId="1" type="noConversion"/>
  </si>
  <si>
    <t>378</t>
    <phoneticPr fontId="1" type="noConversion"/>
  </si>
  <si>
    <t>9.00</t>
    <phoneticPr fontId="1" type="noConversion"/>
  </si>
  <si>
    <t>-54.18</t>
    <phoneticPr fontId="1" type="noConversion"/>
  </si>
  <si>
    <t>資</t>
    <phoneticPr fontId="1" type="noConversion"/>
  </si>
  <si>
    <t>-20.16</t>
    <phoneticPr fontId="1" type="noConversion"/>
  </si>
  <si>
    <t>-24.16</t>
    <phoneticPr fontId="1" type="noConversion"/>
  </si>
  <si>
    <t>元股3消</t>
    <phoneticPr fontId="1" type="noConversion"/>
  </si>
  <si>
    <t>資</t>
    <phoneticPr fontId="1" type="noConversion"/>
  </si>
  <si>
    <t>外</t>
    <phoneticPr fontId="1" type="noConversion"/>
  </si>
  <si>
    <t>-20.47</t>
    <phoneticPr fontId="1" type="noConversion"/>
  </si>
  <si>
    <t>-14.13</t>
    <phoneticPr fontId="1" type="noConversion"/>
  </si>
  <si>
    <t>量大</t>
    <phoneticPr fontId="1" type="noConversion"/>
  </si>
  <si>
    <t>強勢</t>
    <phoneticPr fontId="1" type="noConversion"/>
  </si>
  <si>
    <t>453</t>
    <phoneticPr fontId="1" type="noConversion"/>
  </si>
  <si>
    <t>資</t>
    <phoneticPr fontId="1" type="noConversion"/>
  </si>
  <si>
    <t>-45.27</t>
    <phoneticPr fontId="1" type="noConversion"/>
  </si>
  <si>
    <t>外</t>
    <phoneticPr fontId="1" type="noConversion"/>
  </si>
  <si>
    <t>-11.72</t>
    <phoneticPr fontId="1" type="noConversion"/>
  </si>
  <si>
    <t>-1.63</t>
    <phoneticPr fontId="1" type="noConversion"/>
  </si>
  <si>
    <t>籌碼內</t>
    <phoneticPr fontId="1" type="noConversion"/>
  </si>
  <si>
    <t>借券增減10%用圓圈7</t>
    <phoneticPr fontId="1" type="noConversion"/>
  </si>
  <si>
    <t>券資比增減5%用圓圈9</t>
    <phoneticPr fontId="1" type="noConversion"/>
  </si>
  <si>
    <t>大戶增減1%用星星</t>
    <phoneticPr fontId="1" type="noConversion"/>
  </si>
  <si>
    <t>法人增減1%用圓圈</t>
    <phoneticPr fontId="1" type="noConversion"/>
  </si>
  <si>
    <t>融資增減2%用方塊</t>
    <phoneticPr fontId="1" type="noConversion"/>
  </si>
  <si>
    <t>外</t>
    <phoneticPr fontId="1" type="noConversion"/>
  </si>
  <si>
    <t>-16.48</t>
    <phoneticPr fontId="1" type="noConversion"/>
  </si>
  <si>
    <t>-4.26</t>
    <phoneticPr fontId="1" type="noConversion"/>
  </si>
  <si>
    <t>-46.48</t>
    <phoneticPr fontId="1" type="noConversion"/>
  </si>
  <si>
    <t>-17.12</t>
    <phoneticPr fontId="1" type="noConversion"/>
  </si>
  <si>
    <t>借券</t>
    <phoneticPr fontId="1" type="noConversion"/>
  </si>
  <si>
    <t>借融比</t>
    <phoneticPr fontId="1" type="noConversion"/>
  </si>
  <si>
    <t>2021/12/10起將券資比改為借融比</t>
    <phoneticPr fontId="1" type="noConversion"/>
  </si>
  <si>
    <t>2021/12/10起增加內部人籌碼統計</t>
    <phoneticPr fontId="1" type="noConversion"/>
  </si>
  <si>
    <t>2021/12/10起新聞主力量大強勢合計</t>
    <phoneticPr fontId="1" type="noConversion"/>
  </si>
  <si>
    <t>大內</t>
    <phoneticPr fontId="1" type="noConversion"/>
  </si>
  <si>
    <t>黃色月</t>
    <phoneticPr fontId="1" type="noConversion"/>
  </si>
  <si>
    <t>2021/12/10起券資比改為借融比</t>
    <phoneticPr fontId="1" type="noConversion"/>
  </si>
  <si>
    <t>2021/12/10券資比改為借融比</t>
    <phoneticPr fontId="1" type="noConversion"/>
  </si>
  <si>
    <t>2021/12/13起只做資本額20億以下的公司</t>
    <phoneticPr fontId="1" type="noConversion"/>
  </si>
  <si>
    <t>7</t>
    <phoneticPr fontId="1" type="noConversion"/>
  </si>
  <si>
    <t>大盈4</t>
    <phoneticPr fontId="1" type="noConversion"/>
  </si>
  <si>
    <t>投</t>
    <phoneticPr fontId="1" type="noConversion"/>
  </si>
  <si>
    <t>-45.63</t>
    <phoneticPr fontId="1" type="noConversion"/>
  </si>
  <si>
    <t>外</t>
    <phoneticPr fontId="1" type="noConversion"/>
  </si>
  <si>
    <t>資</t>
    <phoneticPr fontId="1" type="noConversion"/>
  </si>
  <si>
    <t>-31.5</t>
    <phoneticPr fontId="1" type="noConversion"/>
  </si>
  <si>
    <t>-42.98</t>
    <phoneticPr fontId="1" type="noConversion"/>
  </si>
  <si>
    <t>籌碼130</t>
    <phoneticPr fontId="1" type="noConversion"/>
  </si>
  <si>
    <t>大內80</t>
    <phoneticPr fontId="1" type="noConversion"/>
  </si>
  <si>
    <t>只選資本額20億以下</t>
    <phoneticPr fontId="1" type="noConversion"/>
  </si>
  <si>
    <t>自</t>
    <phoneticPr fontId="1" type="noConversion"/>
  </si>
  <si>
    <t>-26.52</t>
    <phoneticPr fontId="1" type="noConversion"/>
  </si>
  <si>
    <t>-47.38</t>
    <phoneticPr fontId="1" type="noConversion"/>
  </si>
  <si>
    <t>-32.65</t>
    <phoneticPr fontId="1" type="noConversion"/>
  </si>
  <si>
    <t>-62.46</t>
    <phoneticPr fontId="1" type="noConversion"/>
  </si>
  <si>
    <t>-31.07</t>
    <phoneticPr fontId="1" type="noConversion"/>
  </si>
  <si>
    <t>-62.06</t>
    <phoneticPr fontId="1" type="noConversion"/>
  </si>
  <si>
    <t>-42.66</t>
    <phoneticPr fontId="1" type="noConversion"/>
  </si>
  <si>
    <t>15.86</t>
    <phoneticPr fontId="1" type="noConversion"/>
  </si>
  <si>
    <t>3.58</t>
    <phoneticPr fontId="1" type="noConversion"/>
  </si>
  <si>
    <t>-33.79</t>
    <phoneticPr fontId="1" type="noConversion"/>
  </si>
  <si>
    <t>-43.78</t>
    <phoneticPr fontId="1" type="noConversion"/>
  </si>
  <si>
    <t>-31.57</t>
    <phoneticPr fontId="1" type="noConversion"/>
  </si>
  <si>
    <t>-62.7</t>
    <phoneticPr fontId="1" type="noConversion"/>
  </si>
  <si>
    <t>-33.25</t>
    <phoneticPr fontId="1" type="noConversion"/>
  </si>
  <si>
    <t>2021/12/13起XQ雙螢幕</t>
    <phoneticPr fontId="1" type="noConversion"/>
  </si>
  <si>
    <t>-33.2</t>
    <phoneticPr fontId="1" type="noConversion"/>
  </si>
  <si>
    <t>資</t>
    <phoneticPr fontId="1" type="noConversion"/>
  </si>
  <si>
    <t>-35.35</t>
    <phoneticPr fontId="1" type="noConversion"/>
  </si>
  <si>
    <t>-37.68</t>
    <phoneticPr fontId="1" type="noConversion"/>
  </si>
  <si>
    <t>-41.4</t>
    <phoneticPr fontId="1" type="noConversion"/>
  </si>
  <si>
    <t>出量就會帶出趨勢</t>
    <phoneticPr fontId="1" type="noConversion"/>
  </si>
  <si>
    <t>是“股死燈滅”</t>
    <phoneticPr fontId="1" type="noConversion"/>
  </si>
  <si>
    <t>還是“黎明前最後的黑暗”</t>
    <phoneticPr fontId="1" type="noConversion"/>
  </si>
  <si>
    <t>籌碼會給答案！</t>
    <phoneticPr fontId="1" type="noConversion"/>
  </si>
  <si>
    <t>電動樁無人支付新零售</t>
    <phoneticPr fontId="1" type="noConversion"/>
  </si>
  <si>
    <t>POS新零售</t>
    <phoneticPr fontId="1" type="noConversion"/>
  </si>
  <si>
    <t>博弈機台新零售</t>
    <phoneticPr fontId="1" type="noConversion"/>
  </si>
  <si>
    <t>賭場新零售</t>
    <phoneticPr fontId="1" type="noConversion"/>
  </si>
  <si>
    <t>成交量</t>
    <phoneticPr fontId="1" type="noConversion"/>
  </si>
  <si>
    <t>預周</t>
    <phoneticPr fontId="1" type="noConversion"/>
  </si>
  <si>
    <t>現周</t>
    <phoneticPr fontId="1" type="noConversion"/>
  </si>
  <si>
    <t>3.69</t>
    <phoneticPr fontId="1" type="noConversion"/>
  </si>
  <si>
    <t>11.0</t>
    <phoneticPr fontId="1" type="noConversion"/>
  </si>
  <si>
    <t>-35.04</t>
    <phoneticPr fontId="1" type="noConversion"/>
  </si>
  <si>
    <t>資</t>
    <phoneticPr fontId="1" type="noConversion"/>
  </si>
  <si>
    <t>-40.25</t>
    <phoneticPr fontId="1" type="noConversion"/>
  </si>
  <si>
    <t>-33.77</t>
    <phoneticPr fontId="1" type="noConversion"/>
  </si>
  <si>
    <t>8.75</t>
    <phoneticPr fontId="1" type="noConversion"/>
  </si>
  <si>
    <t>外</t>
    <phoneticPr fontId="1" type="noConversion"/>
  </si>
  <si>
    <t>選股以融資增加2%為主，資本額20以下，跌幅超過30%</t>
    <phoneticPr fontId="1" type="noConversion"/>
  </si>
  <si>
    <t>電源風扇IC旗下大中</t>
    <phoneticPr fontId="1" type="noConversion"/>
  </si>
  <si>
    <t>快充電競MCU</t>
    <phoneticPr fontId="1" type="noConversion"/>
  </si>
  <si>
    <t>快充Type-C電源管理IC</t>
    <phoneticPr fontId="1" type="noConversion"/>
  </si>
  <si>
    <t>不限資本額20億以下</t>
    <phoneticPr fontId="1" type="noConversion"/>
  </si>
  <si>
    <t>資</t>
    <phoneticPr fontId="1" type="noConversion"/>
  </si>
  <si>
    <t>-29.85</t>
    <phoneticPr fontId="1" type="noConversion"/>
  </si>
  <si>
    <t>借券勝率超過50%顏色為紅色</t>
    <phoneticPr fontId="1" type="noConversion"/>
  </si>
  <si>
    <t>借融比3%以上為紫色</t>
    <phoneticPr fontId="1" type="noConversion"/>
  </si>
  <si>
    <t>新手看價，老手看量，高手看籌碼</t>
    <phoneticPr fontId="1" type="noConversion"/>
  </si>
  <si>
    <t>23.82</t>
    <phoneticPr fontId="1" type="noConversion"/>
  </si>
  <si>
    <t>7.56</t>
    <phoneticPr fontId="1" type="noConversion"/>
  </si>
  <si>
    <t>法現在價</t>
    <phoneticPr fontId="1" type="noConversion"/>
  </si>
  <si>
    <t>12.89</t>
    <phoneticPr fontId="1" type="noConversion"/>
  </si>
  <si>
    <t>15.59</t>
    <phoneticPr fontId="1" type="noConversion"/>
  </si>
  <si>
    <t>-37.04</t>
    <phoneticPr fontId="1" type="noConversion"/>
  </si>
  <si>
    <t>353</t>
    <phoneticPr fontId="1" type="noConversion"/>
  </si>
  <si>
    <t>自</t>
    <phoneticPr fontId="1" type="noConversion"/>
  </si>
  <si>
    <t>外</t>
    <phoneticPr fontId="1" type="noConversion"/>
  </si>
  <si>
    <t>-51.22</t>
    <phoneticPr fontId="1" type="noConversion"/>
  </si>
  <si>
    <t>-38.81</t>
    <phoneticPr fontId="1" type="noConversion"/>
  </si>
  <si>
    <t>-33.11</t>
    <phoneticPr fontId="1" type="noConversion"/>
  </si>
  <si>
    <t>-45</t>
    <phoneticPr fontId="1" type="noConversion"/>
  </si>
  <si>
    <t>-32.7</t>
    <phoneticPr fontId="1" type="noConversion"/>
  </si>
  <si>
    <t>-47.33</t>
    <phoneticPr fontId="1" type="noConversion"/>
  </si>
  <si>
    <t>資</t>
    <phoneticPr fontId="1" type="noConversion"/>
  </si>
  <si>
    <t>-47</t>
    <phoneticPr fontId="1" type="noConversion"/>
  </si>
  <si>
    <t>-33.24</t>
    <phoneticPr fontId="1" type="noConversion"/>
  </si>
  <si>
    <t>-33.06</t>
    <phoneticPr fontId="1" type="noConversion"/>
  </si>
  <si>
    <t>-40.99</t>
    <phoneticPr fontId="1" type="noConversion"/>
  </si>
  <si>
    <t>-30.67</t>
    <phoneticPr fontId="1" type="noConversion"/>
  </si>
  <si>
    <t>-18.43</t>
    <phoneticPr fontId="1" type="noConversion"/>
  </si>
  <si>
    <t>-37.44</t>
    <phoneticPr fontId="1" type="noConversion"/>
  </si>
  <si>
    <t>-46.74</t>
    <phoneticPr fontId="1" type="noConversion"/>
  </si>
  <si>
    <t>-42.71</t>
    <phoneticPr fontId="1" type="noConversion"/>
  </si>
  <si>
    <t>-36.7</t>
    <phoneticPr fontId="1" type="noConversion"/>
  </si>
  <si>
    <t>自</t>
    <phoneticPr fontId="1" type="noConversion"/>
  </si>
  <si>
    <t>-44.39</t>
    <phoneticPr fontId="1" type="noConversion"/>
  </si>
  <si>
    <t>-34.88</t>
    <phoneticPr fontId="1" type="noConversion"/>
  </si>
  <si>
    <t>-37.5</t>
    <phoneticPr fontId="1" type="noConversion"/>
  </si>
  <si>
    <t>外</t>
    <phoneticPr fontId="1" type="noConversion"/>
  </si>
  <si>
    <t>-34.52</t>
    <phoneticPr fontId="1" type="noConversion"/>
  </si>
  <si>
    <t>-38.83</t>
    <phoneticPr fontId="1" type="noConversion"/>
  </si>
  <si>
    <t>內部人增減0.5%用圓圈電話</t>
    <phoneticPr fontId="1" type="noConversion"/>
  </si>
  <si>
    <t>借融券5</t>
    <phoneticPr fontId="1" type="noConversion"/>
  </si>
  <si>
    <t>自</t>
    <phoneticPr fontId="1" type="noConversion"/>
  </si>
  <si>
    <t>資</t>
    <phoneticPr fontId="1" type="noConversion"/>
  </si>
  <si>
    <t>投</t>
    <phoneticPr fontId="1" type="noConversion"/>
  </si>
  <si>
    <t>-30.51</t>
    <phoneticPr fontId="1" type="noConversion"/>
  </si>
  <si>
    <t>-48.72</t>
    <phoneticPr fontId="1" type="noConversion"/>
  </si>
  <si>
    <t>-43.79</t>
    <phoneticPr fontId="1" type="noConversion"/>
  </si>
  <si>
    <t>-59.3</t>
    <phoneticPr fontId="1" type="noConversion"/>
  </si>
  <si>
    <t>-29.68</t>
    <phoneticPr fontId="1" type="noConversion"/>
  </si>
  <si>
    <t>-57.32</t>
    <phoneticPr fontId="1" type="noConversion"/>
  </si>
  <si>
    <t>-45.12</t>
    <phoneticPr fontId="1" type="noConversion"/>
  </si>
  <si>
    <t>-37.62</t>
    <phoneticPr fontId="1" type="noConversion"/>
  </si>
  <si>
    <t>-29.77</t>
    <phoneticPr fontId="1" type="noConversion"/>
  </si>
  <si>
    <t>3.23</t>
    <phoneticPr fontId="1" type="noConversion"/>
  </si>
  <si>
    <t>資</t>
    <phoneticPr fontId="1" type="noConversion"/>
  </si>
  <si>
    <t>投</t>
    <phoneticPr fontId="1" type="noConversion"/>
  </si>
  <si>
    <t>-24.44</t>
    <phoneticPr fontId="1" type="noConversion"/>
  </si>
  <si>
    <t>-35.55</t>
    <phoneticPr fontId="1" type="noConversion"/>
  </si>
  <si>
    <t>-39.7</t>
    <phoneticPr fontId="1" type="noConversion"/>
  </si>
  <si>
    <t>-43.34</t>
    <phoneticPr fontId="1" type="noConversion"/>
  </si>
  <si>
    <t>台北通</t>
    <phoneticPr fontId="1" type="noConversion"/>
  </si>
  <si>
    <t>Pan04280428</t>
    <phoneticPr fontId="1" type="noConversion"/>
  </si>
  <si>
    <t>-35.08</t>
    <phoneticPr fontId="1" type="noConversion"/>
  </si>
  <si>
    <t>資</t>
    <phoneticPr fontId="1" type="noConversion"/>
  </si>
  <si>
    <t>自</t>
    <phoneticPr fontId="1" type="noConversion"/>
  </si>
  <si>
    <t>-43.63</t>
    <phoneticPr fontId="1" type="noConversion"/>
  </si>
  <si>
    <t>18.88</t>
    <phoneticPr fontId="1" type="noConversion"/>
  </si>
  <si>
    <t>洋基工程</t>
    <phoneticPr fontId="1" type="noConversion"/>
  </si>
  <si>
    <t>6.04</t>
    <phoneticPr fontId="1" type="noConversion"/>
  </si>
  <si>
    <t>無塵室機電</t>
    <phoneticPr fontId="1" type="noConversion"/>
  </si>
  <si>
    <t>外</t>
    <phoneticPr fontId="1" type="noConversion"/>
  </si>
  <si>
    <t>-37.05</t>
    <phoneticPr fontId="1" type="noConversion"/>
  </si>
  <si>
    <t>-37.86</t>
    <phoneticPr fontId="1" type="noConversion"/>
  </si>
  <si>
    <t>3元股利跌幅30%</t>
    <phoneticPr fontId="1" type="noConversion"/>
  </si>
  <si>
    <t>-47.65</t>
    <phoneticPr fontId="1" type="noConversion"/>
  </si>
  <si>
    <t>資</t>
    <phoneticPr fontId="1" type="noConversion"/>
  </si>
  <si>
    <t>自</t>
    <phoneticPr fontId="1" type="noConversion"/>
  </si>
  <si>
    <t>-30.29</t>
    <phoneticPr fontId="1" type="noConversion"/>
  </si>
  <si>
    <t>-38.72</t>
    <phoneticPr fontId="1" type="noConversion"/>
  </si>
  <si>
    <t>-46.68</t>
    <phoneticPr fontId="1" type="noConversion"/>
  </si>
  <si>
    <t>-33.92</t>
    <phoneticPr fontId="1" type="noConversion"/>
  </si>
  <si>
    <t>-33.44</t>
    <phoneticPr fontId="1" type="noConversion"/>
  </si>
  <si>
    <t>外</t>
    <phoneticPr fontId="1" type="noConversion"/>
  </si>
  <si>
    <t>-50.9</t>
    <phoneticPr fontId="1" type="noConversion"/>
  </si>
  <si>
    <t>-30.99</t>
    <phoneticPr fontId="1" type="noConversion"/>
  </si>
  <si>
    <t>-31.89</t>
    <phoneticPr fontId="1" type="noConversion"/>
  </si>
  <si>
    <t>-43.89</t>
    <phoneticPr fontId="1" type="noConversion"/>
  </si>
  <si>
    <t>量縮到底，接下來就是帶量沖</t>
    <phoneticPr fontId="1" type="noConversion"/>
  </si>
  <si>
    <t>51.81</t>
    <phoneticPr fontId="1" type="noConversion"/>
  </si>
  <si>
    <t>26.5</t>
    <phoneticPr fontId="1" type="noConversion"/>
  </si>
  <si>
    <t>-35.81</t>
    <phoneticPr fontId="1" type="noConversion"/>
  </si>
  <si>
    <t>2.48</t>
    <phoneticPr fontId="1" type="noConversion"/>
  </si>
  <si>
    <t>7.79</t>
    <phoneticPr fontId="1" type="noConversion"/>
  </si>
  <si>
    <t>資</t>
    <phoneticPr fontId="1" type="noConversion"/>
  </si>
  <si>
    <t>自</t>
    <phoneticPr fontId="1" type="noConversion"/>
  </si>
  <si>
    <t>-41.24</t>
    <phoneticPr fontId="1" type="noConversion"/>
  </si>
  <si>
    <t>-38.62</t>
    <phoneticPr fontId="1" type="noConversion"/>
  </si>
  <si>
    <t>跌幅30%</t>
    <phoneticPr fontId="1" type="noConversion"/>
  </si>
  <si>
    <t>月營收成長且預估本益比夠低</t>
    <phoneticPr fontId="1" type="noConversion"/>
  </si>
  <si>
    <t>選股策略名稱</t>
    <phoneticPr fontId="1" type="noConversion"/>
  </si>
  <si>
    <t>營收月增率和年增率都大於2成</t>
    <phoneticPr fontId="1" type="noConversion"/>
  </si>
  <si>
    <t>營收月增率優於歷年</t>
    <phoneticPr fontId="1" type="noConversion"/>
  </si>
  <si>
    <t>營收高於預期</t>
    <phoneticPr fontId="1" type="noConversion"/>
  </si>
  <si>
    <t>營收動能高於同業平均</t>
    <phoneticPr fontId="1" type="noConversion"/>
  </si>
  <si>
    <t>營收創5年來新高</t>
    <phoneticPr fontId="1" type="noConversion"/>
  </si>
  <si>
    <t>月營收創25個月新高</t>
    <phoneticPr fontId="1" type="noConversion"/>
  </si>
  <si>
    <t>月營收年增率加速</t>
    <phoneticPr fontId="1" type="noConversion"/>
  </si>
  <si>
    <t>營收創新高且股價才剛發動</t>
    <phoneticPr fontId="1" type="noConversion"/>
  </si>
  <si>
    <t>營收年增率連3增且股價才剛發動</t>
    <phoneticPr fontId="1" type="noConversion"/>
  </si>
  <si>
    <t>檔數</t>
    <phoneticPr fontId="1" type="noConversion"/>
  </si>
  <si>
    <t>01營收選股多</t>
    <phoneticPr fontId="1" type="noConversion"/>
  </si>
  <si>
    <t>資</t>
    <phoneticPr fontId="1" type="noConversion"/>
  </si>
  <si>
    <t>周轉率5%</t>
    <phoneticPr fontId="1" type="noConversion"/>
  </si>
  <si>
    <t>券資比2</t>
    <phoneticPr fontId="1" type="noConversion"/>
  </si>
  <si>
    <t>-41.63</t>
    <phoneticPr fontId="1" type="noConversion"/>
  </si>
  <si>
    <t>-39.47</t>
    <phoneticPr fontId="1" type="noConversion"/>
  </si>
  <si>
    <t>-62.38</t>
    <phoneticPr fontId="1" type="noConversion"/>
  </si>
  <si>
    <t>-55.9</t>
    <phoneticPr fontId="1" type="noConversion"/>
  </si>
  <si>
    <t>3元股利資本額20億以下</t>
    <phoneticPr fontId="1" type="noConversion"/>
  </si>
  <si>
    <t>3元20億</t>
    <phoneticPr fontId="1" type="noConversion"/>
  </si>
  <si>
    <t>外</t>
    <phoneticPr fontId="1" type="noConversion"/>
  </si>
  <si>
    <t>-31.48</t>
    <phoneticPr fontId="1" type="noConversion"/>
  </si>
  <si>
    <t>-31.99</t>
    <phoneticPr fontId="1" type="noConversion"/>
  </si>
  <si>
    <t>2021/12/23起3元20億以下（不限下跌%）</t>
    <phoneticPr fontId="1" type="noConversion"/>
  </si>
  <si>
    <t>-31.98</t>
    <phoneticPr fontId="1" type="noConversion"/>
  </si>
  <si>
    <t>-33.26</t>
    <phoneticPr fontId="1" type="noConversion"/>
  </si>
  <si>
    <t>自</t>
    <phoneticPr fontId="1" type="noConversion"/>
  </si>
  <si>
    <t>-28.24</t>
    <phoneticPr fontId="1" type="noConversion"/>
  </si>
  <si>
    <t>-52.19</t>
    <phoneticPr fontId="1" type="noConversion"/>
  </si>
  <si>
    <t>融本比、投本比選股</t>
    <phoneticPr fontId="1" type="noConversion"/>
  </si>
  <si>
    <t>5.99</t>
    <phoneticPr fontId="1" type="noConversion"/>
  </si>
  <si>
    <t>外</t>
    <phoneticPr fontId="1" type="noConversion"/>
  </si>
  <si>
    <t>資</t>
    <phoneticPr fontId="1" type="noConversion"/>
  </si>
  <si>
    <t>-2.53</t>
    <phoneticPr fontId="1" type="noConversion"/>
  </si>
  <si>
    <t>-8.41</t>
    <phoneticPr fontId="1" type="noConversion"/>
  </si>
  <si>
    <t>7.25</t>
    <phoneticPr fontId="1" type="noConversion"/>
  </si>
  <si>
    <t>7.73</t>
    <phoneticPr fontId="1" type="noConversion"/>
  </si>
  <si>
    <t>5.96</t>
    <phoneticPr fontId="1" type="noConversion"/>
  </si>
  <si>
    <t>瑞鼎</t>
    <phoneticPr fontId="1" type="noConversion"/>
  </si>
  <si>
    <t>6.69</t>
    <phoneticPr fontId="1" type="noConversion"/>
  </si>
  <si>
    <t>N</t>
    <phoneticPr fontId="1" type="noConversion"/>
  </si>
  <si>
    <t>驅動IC友達旗下</t>
    <phoneticPr fontId="1" type="noConversion"/>
  </si>
  <si>
    <t>-47.42</t>
    <phoneticPr fontId="1" type="noConversion"/>
  </si>
  <si>
    <t>-37.42</t>
    <phoneticPr fontId="1" type="noConversion"/>
  </si>
  <si>
    <t>-36.85</t>
    <phoneticPr fontId="1" type="noConversion"/>
  </si>
  <si>
    <t>-40.34</t>
    <phoneticPr fontId="1" type="noConversion"/>
  </si>
  <si>
    <t>外本0.5</t>
    <phoneticPr fontId="1" type="noConversion"/>
  </si>
  <si>
    <t>融本0.5</t>
    <phoneticPr fontId="1" type="noConversion"/>
  </si>
  <si>
    <t>投本0.2</t>
    <phoneticPr fontId="1" type="noConversion"/>
  </si>
  <si>
    <t>自本0.2</t>
    <phoneticPr fontId="1" type="noConversion"/>
  </si>
  <si>
    <t>-40.78</t>
    <phoneticPr fontId="1" type="noConversion"/>
  </si>
  <si>
    <t>-34.75</t>
    <phoneticPr fontId="1" type="noConversion"/>
  </si>
  <si>
    <t>-35.39</t>
    <phoneticPr fontId="1" type="noConversion"/>
  </si>
  <si>
    <t>自</t>
    <phoneticPr fontId="1" type="noConversion"/>
  </si>
  <si>
    <t>-37.09</t>
    <phoneticPr fontId="1" type="noConversion"/>
  </si>
  <si>
    <t>-44.95</t>
    <phoneticPr fontId="1" type="noConversion"/>
  </si>
  <si>
    <t>化工</t>
    <phoneticPr fontId="1" type="noConversion"/>
  </si>
  <si>
    <t>外</t>
    <phoneticPr fontId="1" type="noConversion"/>
  </si>
  <si>
    <t>投</t>
    <phoneticPr fontId="1" type="noConversion"/>
  </si>
  <si>
    <t>資</t>
    <phoneticPr fontId="1" type="noConversion"/>
  </si>
  <si>
    <t>-8.55</t>
    <phoneticPr fontId="1" type="noConversion"/>
  </si>
  <si>
    <t>-10.04</t>
    <phoneticPr fontId="1" type="noConversion"/>
  </si>
  <si>
    <t>-10.32</t>
    <phoneticPr fontId="1" type="noConversion"/>
  </si>
  <si>
    <t>-9.27</t>
    <phoneticPr fontId="1" type="noConversion"/>
  </si>
  <si>
    <t>-4.96</t>
    <phoneticPr fontId="1" type="noConversion"/>
  </si>
  <si>
    <t>-9.52</t>
    <phoneticPr fontId="1" type="noConversion"/>
  </si>
  <si>
    <t>-33.53</t>
    <phoneticPr fontId="1" type="noConversion"/>
  </si>
  <si>
    <t>-25.95</t>
    <phoneticPr fontId="1" type="noConversion"/>
  </si>
  <si>
    <t>-14.26</t>
    <phoneticPr fontId="1" type="noConversion"/>
  </si>
  <si>
    <t>-10.51</t>
    <phoneticPr fontId="1" type="noConversion"/>
  </si>
  <si>
    <t>-19.18</t>
    <phoneticPr fontId="1" type="noConversion"/>
  </si>
  <si>
    <t>-5.02</t>
    <phoneticPr fontId="1" type="noConversion"/>
  </si>
  <si>
    <t>-6.73</t>
    <phoneticPr fontId="1" type="noConversion"/>
  </si>
  <si>
    <t>-16.21</t>
    <phoneticPr fontId="1" type="noConversion"/>
  </si>
  <si>
    <t>13.6</t>
    <phoneticPr fontId="1" type="noConversion"/>
  </si>
  <si>
    <t>-38.2</t>
    <phoneticPr fontId="1" type="noConversion"/>
  </si>
  <si>
    <t>-30.19</t>
    <phoneticPr fontId="1" type="noConversion"/>
  </si>
  <si>
    <t>-13.35</t>
    <phoneticPr fontId="1" type="noConversion"/>
  </si>
  <si>
    <t>-59.96</t>
    <phoneticPr fontId="1" type="noConversion"/>
  </si>
  <si>
    <t>-23.05</t>
    <phoneticPr fontId="1" type="noConversion"/>
  </si>
  <si>
    <t>-25.21</t>
    <phoneticPr fontId="1" type="noConversion"/>
  </si>
  <si>
    <t>-20.85</t>
    <phoneticPr fontId="1" type="noConversion"/>
  </si>
  <si>
    <t>-47.07</t>
    <phoneticPr fontId="1" type="noConversion"/>
  </si>
  <si>
    <t>-38.26</t>
    <phoneticPr fontId="1" type="noConversion"/>
  </si>
  <si>
    <t>-57.79</t>
    <phoneticPr fontId="1" type="noConversion"/>
  </si>
  <si>
    <t>-10.36</t>
    <phoneticPr fontId="1" type="noConversion"/>
  </si>
  <si>
    <t>-29.35</t>
    <phoneticPr fontId="1" type="noConversion"/>
  </si>
  <si>
    <t>-44.59</t>
    <phoneticPr fontId="1" type="noConversion"/>
  </si>
  <si>
    <t>融資</t>
    <phoneticPr fontId="1" type="noConversion"/>
  </si>
  <si>
    <t>-44.93</t>
    <phoneticPr fontId="1" type="noConversion"/>
  </si>
  <si>
    <t>外</t>
    <phoneticPr fontId="1" type="noConversion"/>
  </si>
  <si>
    <t>-8.46</t>
    <phoneticPr fontId="1" type="noConversion"/>
  </si>
  <si>
    <t>-9.51</t>
    <phoneticPr fontId="1" type="noConversion"/>
  </si>
  <si>
    <t>19</t>
    <phoneticPr fontId="1" type="noConversion"/>
  </si>
  <si>
    <t>7.62</t>
    <phoneticPr fontId="1" type="noConversion"/>
  </si>
  <si>
    <t>主強權3</t>
    <phoneticPr fontId="1" type="noConversion"/>
  </si>
  <si>
    <t>量強主3</t>
    <phoneticPr fontId="1" type="noConversion"/>
  </si>
  <si>
    <t>自</t>
    <phoneticPr fontId="1" type="noConversion"/>
  </si>
  <si>
    <t>資</t>
    <phoneticPr fontId="1" type="noConversion"/>
  </si>
  <si>
    <t>-39</t>
    <phoneticPr fontId="1" type="noConversion"/>
  </si>
  <si>
    <t>-45.29</t>
    <phoneticPr fontId="1" type="noConversion"/>
  </si>
  <si>
    <t>-41.47</t>
    <phoneticPr fontId="1" type="noConversion"/>
  </si>
  <si>
    <t>資</t>
    <phoneticPr fontId="1" type="noConversion"/>
  </si>
  <si>
    <t>外</t>
    <phoneticPr fontId="1" type="noConversion"/>
  </si>
  <si>
    <t>-29.77</t>
    <phoneticPr fontId="1" type="noConversion"/>
  </si>
  <si>
    <t>-37.84</t>
    <phoneticPr fontId="1" type="noConversion"/>
  </si>
  <si>
    <t>-46.64</t>
    <phoneticPr fontId="1" type="noConversion"/>
  </si>
  <si>
    <t>-32.66</t>
    <phoneticPr fontId="1" type="noConversion"/>
  </si>
  <si>
    <t>-29.82</t>
    <phoneticPr fontId="1" type="noConversion"/>
  </si>
  <si>
    <t>除了外本比還有一種當天量外資成交佔的比重，有60%</t>
    <phoneticPr fontId="1" type="noConversion"/>
  </si>
  <si>
    <t>低檔出量，低基期</t>
    <phoneticPr fontId="1" type="noConversion"/>
  </si>
  <si>
    <t>資</t>
    <phoneticPr fontId="1" type="noConversion"/>
  </si>
  <si>
    <t>自</t>
    <phoneticPr fontId="1" type="noConversion"/>
  </si>
  <si>
    <t>投</t>
    <phoneticPr fontId="1" type="noConversion"/>
  </si>
  <si>
    <t>-4.47</t>
    <phoneticPr fontId="1" type="noConversion"/>
  </si>
  <si>
    <t>-4.95</t>
    <phoneticPr fontId="1" type="noConversion"/>
  </si>
  <si>
    <t>-40.13</t>
    <phoneticPr fontId="1" type="noConversion"/>
  </si>
  <si>
    <t>-37.83</t>
    <phoneticPr fontId="1" type="noConversion"/>
  </si>
  <si>
    <t>資</t>
    <phoneticPr fontId="1" type="noConversion"/>
  </si>
  <si>
    <t>-40.8</t>
    <phoneticPr fontId="1" type="noConversion"/>
  </si>
  <si>
    <t>-32.89</t>
    <phoneticPr fontId="1" type="noConversion"/>
  </si>
  <si>
    <t>選股評分制度4個方面</t>
    <phoneticPr fontId="1" type="noConversion"/>
  </si>
  <si>
    <t>基本面、技術面（季線、SAR）</t>
    <phoneticPr fontId="1" type="noConversion"/>
  </si>
  <si>
    <t>籌碼面、消息面</t>
    <phoneticPr fontId="1" type="noConversion"/>
  </si>
  <si>
    <t>-38.44</t>
    <phoneticPr fontId="1" type="noConversion"/>
  </si>
  <si>
    <t>-47.59</t>
    <phoneticPr fontId="1" type="noConversion"/>
  </si>
  <si>
    <t>-56.57</t>
    <phoneticPr fontId="1" type="noConversion"/>
  </si>
  <si>
    <t>-25.53</t>
    <phoneticPr fontId="1" type="noConversion"/>
  </si>
  <si>
    <t>-4.44</t>
    <phoneticPr fontId="1" type="noConversion"/>
  </si>
  <si>
    <t>-0.43</t>
    <phoneticPr fontId="1" type="noConversion"/>
  </si>
  <si>
    <t>0.22</t>
    <phoneticPr fontId="1" type="noConversion"/>
  </si>
  <si>
    <t>月均</t>
    <phoneticPr fontId="1" type="noConversion"/>
  </si>
  <si>
    <t>-36.01</t>
    <phoneticPr fontId="1" type="noConversion"/>
  </si>
  <si>
    <t>自</t>
    <phoneticPr fontId="1" type="noConversion"/>
  </si>
  <si>
    <t>-52.45</t>
    <phoneticPr fontId="1" type="noConversion"/>
  </si>
  <si>
    <t>-45.54</t>
    <phoneticPr fontId="1" type="noConversion"/>
  </si>
  <si>
    <t>-32.92</t>
    <phoneticPr fontId="1" type="noConversion"/>
  </si>
  <si>
    <t>資</t>
    <phoneticPr fontId="1" type="noConversion"/>
  </si>
  <si>
    <t>-54.68</t>
    <phoneticPr fontId="1" type="noConversion"/>
  </si>
  <si>
    <t>-46.53</t>
    <phoneticPr fontId="1" type="noConversion"/>
  </si>
  <si>
    <t>-37.82</t>
    <phoneticPr fontId="1" type="noConversion"/>
  </si>
  <si>
    <t>-32.72</t>
    <phoneticPr fontId="1" type="noConversion"/>
  </si>
  <si>
    <t>-42.62</t>
    <phoneticPr fontId="1" type="noConversion"/>
  </si>
  <si>
    <t>-56.03</t>
    <phoneticPr fontId="1" type="noConversion"/>
  </si>
  <si>
    <t>自</t>
    <phoneticPr fontId="1" type="noConversion"/>
  </si>
  <si>
    <t>外</t>
    <phoneticPr fontId="1" type="noConversion"/>
  </si>
  <si>
    <t>-17.1</t>
    <phoneticPr fontId="1" type="noConversion"/>
  </si>
  <si>
    <t>-3.91</t>
    <phoneticPr fontId="1" type="noConversion"/>
  </si>
  <si>
    <t>58.8</t>
    <phoneticPr fontId="1" type="noConversion"/>
  </si>
  <si>
    <t>28.22</t>
    <phoneticPr fontId="1" type="noConversion"/>
  </si>
  <si>
    <t>21.37</t>
    <phoneticPr fontId="1" type="noConversion"/>
  </si>
  <si>
    <t>12.95</t>
    <phoneticPr fontId="1" type="noConversion"/>
  </si>
  <si>
    <t>12.44</t>
    <phoneticPr fontId="1" type="noConversion"/>
  </si>
  <si>
    <t>10.05</t>
    <phoneticPr fontId="1" type="noConversion"/>
  </si>
  <si>
    <t>4.38</t>
    <phoneticPr fontId="1" type="noConversion"/>
  </si>
  <si>
    <t>3.6</t>
    <phoneticPr fontId="1" type="noConversion"/>
  </si>
  <si>
    <t>0.9</t>
    <phoneticPr fontId="1" type="noConversion"/>
  </si>
  <si>
    <t>0.71</t>
    <phoneticPr fontId="1" type="noConversion"/>
  </si>
  <si>
    <t>-0.33</t>
    <phoneticPr fontId="1" type="noConversion"/>
  </si>
  <si>
    <t>-0.99</t>
    <phoneticPr fontId="1" type="noConversion"/>
  </si>
  <si>
    <t>-0.06</t>
    <phoneticPr fontId="1" type="noConversion"/>
  </si>
  <si>
    <t>-2.15</t>
    <phoneticPr fontId="1" type="noConversion"/>
  </si>
  <si>
    <t>-2.81</t>
    <phoneticPr fontId="1" type="noConversion"/>
  </si>
  <si>
    <t>-4.41</t>
    <phoneticPr fontId="1" type="noConversion"/>
  </si>
  <si>
    <t>-6.99</t>
    <phoneticPr fontId="1" type="noConversion"/>
  </si>
  <si>
    <t>-11.47</t>
    <phoneticPr fontId="1" type="noConversion"/>
  </si>
  <si>
    <t>-13.44</t>
    <phoneticPr fontId="1" type="noConversion"/>
  </si>
  <si>
    <t>-12.61</t>
    <phoneticPr fontId="1" type="noConversion"/>
  </si>
  <si>
    <t>-14.95</t>
    <phoneticPr fontId="1" type="noConversion"/>
  </si>
  <si>
    <t>-17.32</t>
    <phoneticPr fontId="1" type="noConversion"/>
  </si>
  <si>
    <t>-32.78</t>
    <phoneticPr fontId="1" type="noConversion"/>
  </si>
  <si>
    <t>-33.97</t>
    <phoneticPr fontId="1" type="noConversion"/>
  </si>
  <si>
    <t>-50.81</t>
    <phoneticPr fontId="1" type="noConversion"/>
  </si>
  <si>
    <t>當沖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</si>
</sst>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-&quot;$&quot;* #,##0.00_-;\-&quot;$&quot;* #,##0.00_-;_-&quot;$&quot;* &quot;-&quot;??_-;_-@_-"/>
    <numFmt numFmtId="43" formatCode="_-* #,##0.00_-;\-* #,##0.00_-;_-* &quot;-&quot;??_-;_-@_-"/>
    <numFmt numFmtId="176" formatCode="0.00_);[Red]\(0.00\)"/>
    <numFmt numFmtId="177" formatCode="0.0_);[Red]\(0.0\)"/>
    <numFmt numFmtId="178" formatCode="0_);[Red]\(0\)"/>
    <numFmt numFmtId="179" formatCode="0.0%"/>
    <numFmt numFmtId="180" formatCode="_-&quot;$&quot;* #,##0_-;\-&quot;$&quot;* #,##0_-;_-&quot;$&quot;* &quot;-&quot;??_-;_-@_-"/>
    <numFmt numFmtId="181" formatCode="0.00_ "/>
    <numFmt numFmtId="182" formatCode="_-* #,##0_-;\-* #,##0_-;_-* &quot;-&quot;??_-;_-@_-"/>
    <numFmt numFmtId="183" formatCode="0_ "/>
  </numFmts>
  <fonts count="52">
    <font>
      <sz val="11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b/>
      <sz val="12"/>
      <color rgb="FF0070C0"/>
      <name val="新細明體"/>
      <family val="1"/>
      <charset val="136"/>
      <scheme val="minor"/>
    </font>
    <font>
      <b/>
      <sz val="12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b/>
      <sz val="12"/>
      <color rgb="FF00B050"/>
      <name val="新細明體"/>
      <family val="1"/>
      <charset val="136"/>
      <scheme val="minor"/>
    </font>
    <font>
      <b/>
      <sz val="12"/>
      <color rgb="FF7030A0"/>
      <name val="新細明體"/>
      <family val="1"/>
      <charset val="136"/>
      <scheme val="minor"/>
    </font>
    <font>
      <sz val="12"/>
      <color rgb="FF0070C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rgb="FF7030A0"/>
      <name val="新細明體"/>
      <family val="1"/>
      <charset val="136"/>
      <scheme val="minor"/>
    </font>
    <font>
      <sz val="12"/>
      <color rgb="FF00B050"/>
      <name val="新細明體"/>
      <family val="1"/>
      <charset val="136"/>
      <scheme val="minor"/>
    </font>
    <font>
      <b/>
      <sz val="10"/>
      <name val="新細明體"/>
      <family val="1"/>
      <charset val="136"/>
      <scheme val="minor"/>
    </font>
    <font>
      <b/>
      <sz val="10"/>
      <color rgb="FF7030A0"/>
      <name val="新細明體"/>
      <family val="1"/>
      <charset val="136"/>
      <scheme val="minor"/>
    </font>
    <font>
      <b/>
      <sz val="10"/>
      <color rgb="FFFF0000"/>
      <name val="新細明體"/>
      <family val="1"/>
      <charset val="136"/>
      <scheme val="minor"/>
    </font>
    <font>
      <u/>
      <sz val="11"/>
      <color theme="10"/>
      <name val="新細明體"/>
      <family val="1"/>
      <charset val="136"/>
    </font>
    <font>
      <b/>
      <sz val="10"/>
      <color rgb="FF0070C0"/>
      <name val="新細明體"/>
      <family val="1"/>
      <charset val="136"/>
      <scheme val="minor"/>
    </font>
    <font>
      <b/>
      <sz val="11"/>
      <color rgb="FFFF0000"/>
      <name val="新細明體"/>
      <family val="1"/>
      <charset val="136"/>
      <scheme val="minor"/>
    </font>
    <font>
      <b/>
      <sz val="11"/>
      <color rgb="FF00B050"/>
      <name val="新細明體"/>
      <family val="1"/>
      <charset val="136"/>
      <scheme val="minor"/>
    </font>
    <font>
      <sz val="11"/>
      <name val="新細明體"/>
      <family val="1"/>
      <charset val="136"/>
      <scheme val="minor"/>
    </font>
    <font>
      <sz val="11"/>
      <color rgb="FF0070C0"/>
      <name val="新細明體"/>
      <family val="1"/>
      <charset val="136"/>
      <scheme val="minor"/>
    </font>
    <font>
      <b/>
      <sz val="10"/>
      <color rgb="FF00B050"/>
      <name val="新細明體"/>
      <family val="1"/>
      <charset val="136"/>
      <scheme val="minor"/>
    </font>
    <font>
      <b/>
      <sz val="12"/>
      <color rgb="FFFFC000"/>
      <name val="新細明體"/>
      <family val="1"/>
      <charset val="136"/>
      <scheme val="minor"/>
    </font>
    <font>
      <sz val="12"/>
      <color rgb="FF00B0F0"/>
      <name val="新細明體"/>
      <family val="1"/>
      <charset val="136"/>
      <scheme val="minor"/>
    </font>
    <font>
      <b/>
      <sz val="11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  <font>
      <b/>
      <sz val="11"/>
      <color theme="1"/>
      <name val="新細明體"/>
      <family val="1"/>
      <charset val="136"/>
      <scheme val="minor"/>
    </font>
    <font>
      <b/>
      <sz val="11"/>
      <color rgb="FF7030A0"/>
      <name val="新細明體"/>
      <family val="1"/>
      <charset val="136"/>
      <scheme val="minor"/>
    </font>
    <font>
      <b/>
      <sz val="12"/>
      <color rgb="FF00B0F0"/>
      <name val="新細明體"/>
      <family val="1"/>
      <charset val="136"/>
      <scheme val="minor"/>
    </font>
    <font>
      <sz val="12"/>
      <color rgb="FFFFC000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  <font>
      <b/>
      <sz val="12"/>
      <color rgb="FF333333"/>
      <name val="新細明體"/>
      <family val="1"/>
      <charset val="136"/>
      <scheme val="minor"/>
    </font>
    <font>
      <sz val="11"/>
      <color rgb="FF7030A0"/>
      <name val="新細明體"/>
      <family val="1"/>
      <charset val="136"/>
      <scheme val="minor"/>
    </font>
    <font>
      <sz val="9"/>
      <name val="新細明體"/>
      <family val="3"/>
      <charset val="136"/>
      <scheme val="minor"/>
    </font>
    <font>
      <sz val="12"/>
      <color rgb="FF000000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b/>
      <sz val="9"/>
      <name val="新細明體"/>
      <family val="1"/>
      <charset val="136"/>
      <scheme val="minor"/>
    </font>
    <font>
      <b/>
      <sz val="10"/>
      <color rgb="FF00B0F0"/>
      <name val="新細明體"/>
      <family val="1"/>
      <charset val="136"/>
      <scheme val="minor"/>
    </font>
    <font>
      <sz val="11"/>
      <color theme="1"/>
      <name val="新細明體"/>
      <family val="2"/>
      <charset val="136"/>
      <scheme val="minor"/>
    </font>
    <font>
      <b/>
      <sz val="11"/>
      <color rgb="FFFFC000"/>
      <name val="新細明體"/>
      <family val="1"/>
      <charset val="136"/>
      <scheme val="minor"/>
    </font>
    <font>
      <b/>
      <sz val="9"/>
      <color rgb="FFFF0000"/>
      <name val="新細明體"/>
      <family val="1"/>
      <charset val="136"/>
      <scheme val="minor"/>
    </font>
    <font>
      <b/>
      <sz val="6"/>
      <color rgb="FFFF0000"/>
      <name val="新細明體"/>
      <family val="1"/>
      <charset val="136"/>
      <scheme val="minor"/>
    </font>
    <font>
      <sz val="10"/>
      <color rgb="FF00B050"/>
      <name val="新細明體"/>
      <family val="1"/>
      <charset val="136"/>
      <scheme val="minor"/>
    </font>
    <font>
      <sz val="11"/>
      <color rgb="FF000000"/>
      <name val="新細明體"/>
      <family val="1"/>
      <charset val="136"/>
      <scheme val="minor"/>
    </font>
    <font>
      <u/>
      <sz val="11"/>
      <color theme="10"/>
      <name val="新細明體"/>
      <family val="1"/>
      <charset val="136"/>
      <scheme val="minor"/>
    </font>
    <font>
      <b/>
      <u/>
      <sz val="11"/>
      <color rgb="FFFF0000"/>
      <name val="新細明體"/>
      <family val="1"/>
      <charset val="136"/>
      <scheme val="minor"/>
    </font>
    <font>
      <sz val="11"/>
      <color rgb="FF00B050"/>
      <name val="新細明體"/>
      <family val="1"/>
      <charset val="136"/>
      <scheme val="minor"/>
    </font>
    <font>
      <sz val="11"/>
      <color rgb="FFFFC000"/>
      <name val="新細明體"/>
      <family val="1"/>
      <charset val="136"/>
      <scheme val="minor"/>
    </font>
    <font>
      <sz val="10"/>
      <color rgb="FFFF0000"/>
      <name val="新細明體"/>
      <family val="1"/>
      <charset val="136"/>
      <scheme val="minor"/>
    </font>
    <font>
      <sz val="12"/>
      <color theme="1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>
      <alignment vertical="center"/>
    </xf>
    <xf numFmtId="0" fontId="17" fillId="0" borderId="0" applyNumberFormat="0" applyFill="0" applyBorder="0" applyAlignment="0" applyProtection="0">
      <alignment vertical="top"/>
      <protection locked="0"/>
    </xf>
    <xf numFmtId="44" fontId="40" fillId="0" borderId="0" applyFont="0" applyFill="0" applyBorder="0" applyAlignment="0" applyProtection="0">
      <alignment vertical="center"/>
    </xf>
    <xf numFmtId="43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</cellStyleXfs>
  <cellXfs count="394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10" fontId="3" fillId="0" borderId="0" xfId="0" applyNumberFormat="1" applyFont="1">
      <alignment vertical="center"/>
    </xf>
    <xf numFmtId="0" fontId="5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76" fontId="8" fillId="0" borderId="0" xfId="0" applyNumberFormat="1" applyFont="1" applyAlignment="1">
      <alignment horizontal="right" vertical="center"/>
    </xf>
    <xf numFmtId="176" fontId="6" fillId="0" borderId="0" xfId="0" applyNumberFormat="1" applyFont="1" applyAlignment="1">
      <alignment horizontal="right" vertical="center"/>
    </xf>
    <xf numFmtId="0" fontId="3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176" fontId="5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176" fontId="4" fillId="0" borderId="0" xfId="0" applyNumberFormat="1" applyFont="1">
      <alignment vertical="center"/>
    </xf>
    <xf numFmtId="176" fontId="2" fillId="0" borderId="0" xfId="0" applyNumberFormat="1" applyFont="1" applyAlignment="1">
      <alignment horizontal="center" vertical="center"/>
    </xf>
    <xf numFmtId="176" fontId="2" fillId="0" borderId="0" xfId="0" applyNumberFormat="1" applyFont="1">
      <alignment vertical="center"/>
    </xf>
    <xf numFmtId="0" fontId="9" fillId="0" borderId="0" xfId="0" applyFont="1">
      <alignment vertical="center"/>
    </xf>
    <xf numFmtId="176" fontId="6" fillId="0" borderId="0" xfId="0" applyNumberFormat="1" applyFont="1" applyAlignment="1">
      <alignment horizontal="center" vertical="center"/>
    </xf>
    <xf numFmtId="176" fontId="8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right" vertical="center"/>
    </xf>
    <xf numFmtId="0" fontId="5" fillId="0" borderId="0" xfId="0" applyFont="1">
      <alignment vertical="center"/>
    </xf>
    <xf numFmtId="10" fontId="2" fillId="0" borderId="0" xfId="0" applyNumberFormat="1" applyFont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49" fontId="5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77" fontId="4" fillId="0" borderId="0" xfId="0" applyNumberFormat="1" applyFont="1" applyAlignment="1">
      <alignment horizontal="right" vertical="center"/>
    </xf>
    <xf numFmtId="178" fontId="5" fillId="0" borderId="0" xfId="0" applyNumberFormat="1" applyFont="1" applyAlignment="1">
      <alignment horizontal="center" vertical="center"/>
    </xf>
    <xf numFmtId="178" fontId="11" fillId="0" borderId="0" xfId="0" applyNumberFormat="1" applyFont="1" applyAlignment="1">
      <alignment horizontal="right" vertical="center"/>
    </xf>
    <xf numFmtId="176" fontId="11" fillId="0" borderId="0" xfId="0" applyNumberFormat="1" applyFont="1">
      <alignment vertical="center"/>
    </xf>
    <xf numFmtId="10" fontId="11" fillId="0" borderId="0" xfId="0" applyNumberFormat="1" applyFont="1">
      <alignment vertical="center"/>
    </xf>
    <xf numFmtId="176" fontId="10" fillId="0" borderId="0" xfId="0" applyNumberFormat="1" applyFont="1">
      <alignment vertical="center"/>
    </xf>
    <xf numFmtId="178" fontId="13" fillId="0" borderId="0" xfId="0" applyNumberFormat="1" applyFont="1" applyAlignment="1">
      <alignment horizontal="right" vertical="center"/>
    </xf>
    <xf numFmtId="176" fontId="13" fillId="0" borderId="0" xfId="0" applyNumberFormat="1" applyFont="1" applyAlignment="1">
      <alignment horizontal="right" vertical="center"/>
    </xf>
    <xf numFmtId="176" fontId="10" fillId="0" borderId="0" xfId="0" applyNumberFormat="1" applyFont="1" applyAlignment="1">
      <alignment horizontal="right" vertical="center"/>
    </xf>
    <xf numFmtId="176" fontId="4" fillId="0" borderId="0" xfId="0" applyNumberFormat="1" applyFont="1" applyAlignment="1">
      <alignment horizontal="right" vertical="center"/>
    </xf>
    <xf numFmtId="49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left" vertical="center"/>
    </xf>
    <xf numFmtId="49" fontId="11" fillId="0" borderId="0" xfId="0" applyNumberFormat="1" applyFont="1">
      <alignment vertical="center"/>
    </xf>
    <xf numFmtId="0" fontId="10" fillId="0" borderId="0" xfId="0" applyFont="1">
      <alignment vertical="center"/>
    </xf>
    <xf numFmtId="176" fontId="6" fillId="0" borderId="0" xfId="0" applyNumberFormat="1" applyFont="1">
      <alignment vertical="center"/>
    </xf>
    <xf numFmtId="49" fontId="6" fillId="0" borderId="0" xfId="0" applyNumberFormat="1" applyFont="1" applyAlignment="1">
      <alignment horizontal="left" vertical="center"/>
    </xf>
    <xf numFmtId="178" fontId="6" fillId="0" borderId="0" xfId="0" applyNumberFormat="1" applyFont="1" applyAlignment="1">
      <alignment horizontal="right" vertical="center"/>
    </xf>
    <xf numFmtId="178" fontId="4" fillId="0" borderId="0" xfId="0" applyNumberFormat="1" applyFont="1" applyAlignment="1">
      <alignment horizontal="right" vertical="center"/>
    </xf>
    <xf numFmtId="49" fontId="5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14" fontId="5" fillId="0" borderId="0" xfId="0" applyNumberFormat="1" applyFont="1">
      <alignment vertical="center"/>
    </xf>
    <xf numFmtId="10" fontId="5" fillId="0" borderId="0" xfId="0" applyNumberFormat="1" applyFont="1">
      <alignment vertical="center"/>
    </xf>
    <xf numFmtId="14" fontId="5" fillId="0" borderId="0" xfId="0" applyNumberFormat="1" applyFont="1" applyAlignment="1">
      <alignment horizontal="left" vertical="center"/>
    </xf>
    <xf numFmtId="14" fontId="6" fillId="0" borderId="0" xfId="0" applyNumberFormat="1" applyFont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49" fontId="8" fillId="0" borderId="0" xfId="0" applyNumberFormat="1" applyFont="1" applyAlignment="1">
      <alignment horizontal="right" vertical="center"/>
    </xf>
    <xf numFmtId="176" fontId="9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176" fontId="2" fillId="0" borderId="0" xfId="0" applyNumberFormat="1" applyFont="1" applyAlignment="1">
      <alignment horizontal="left" vertical="center"/>
    </xf>
    <xf numFmtId="0" fontId="11" fillId="0" borderId="0" xfId="0" applyFont="1">
      <alignment vertical="center"/>
    </xf>
    <xf numFmtId="49" fontId="5" fillId="0" borderId="0" xfId="0" applyNumberFormat="1" applyFont="1">
      <alignment vertical="center"/>
    </xf>
    <xf numFmtId="176" fontId="5" fillId="0" borderId="0" xfId="0" applyNumberFormat="1" applyFont="1" applyAlignment="1">
      <alignment horizontal="left" vertical="center"/>
    </xf>
    <xf numFmtId="176" fontId="5" fillId="0" borderId="0" xfId="0" applyNumberFormat="1" applyFont="1" applyAlignment="1">
      <alignment horizontal="right" vertical="center"/>
    </xf>
    <xf numFmtId="10" fontId="7" fillId="0" borderId="0" xfId="0" applyNumberFormat="1" applyFont="1">
      <alignment vertical="center"/>
    </xf>
    <xf numFmtId="178" fontId="4" fillId="0" borderId="0" xfId="0" applyNumberFormat="1" applyFont="1">
      <alignment vertical="center"/>
    </xf>
    <xf numFmtId="176" fontId="7" fillId="0" borderId="0" xfId="0" applyNumberFormat="1" applyFont="1" applyAlignment="1">
      <alignment vertical="center"/>
    </xf>
    <xf numFmtId="176" fontId="7" fillId="0" borderId="0" xfId="0" applyNumberFormat="1" applyFont="1">
      <alignment vertical="center"/>
    </xf>
    <xf numFmtId="176" fontId="9" fillId="0" borderId="0" xfId="0" applyNumberFormat="1" applyFont="1" applyAlignment="1">
      <alignment horizontal="left" vertical="center"/>
    </xf>
    <xf numFmtId="176" fontId="9" fillId="0" borderId="0" xfId="0" applyNumberFormat="1" applyFont="1" applyAlignment="1">
      <alignment horizontal="center" vertical="center"/>
    </xf>
    <xf numFmtId="176" fontId="6" fillId="0" borderId="0" xfId="0" applyNumberFormat="1" applyFont="1" applyAlignment="1">
      <alignment horizontal="left" vertical="center"/>
    </xf>
    <xf numFmtId="176" fontId="5" fillId="0" borderId="0" xfId="0" applyNumberFormat="1" applyFont="1">
      <alignment vertical="center"/>
    </xf>
    <xf numFmtId="10" fontId="4" fillId="0" borderId="0" xfId="0" applyNumberFormat="1" applyFont="1">
      <alignment vertical="center"/>
    </xf>
    <xf numFmtId="14" fontId="6" fillId="0" borderId="0" xfId="0" applyNumberFormat="1" applyFont="1" applyAlignment="1">
      <alignment horizontal="right" vertical="center"/>
    </xf>
    <xf numFmtId="14" fontId="8" fillId="0" borderId="0" xfId="0" applyNumberFormat="1" applyFont="1" applyAlignment="1">
      <alignment horizontal="right" vertical="center"/>
    </xf>
    <xf numFmtId="177" fontId="6" fillId="0" borderId="0" xfId="0" applyNumberFormat="1" applyFont="1" applyAlignment="1">
      <alignment horizontal="right" vertical="center"/>
    </xf>
    <xf numFmtId="178" fontId="2" fillId="0" borderId="0" xfId="0" applyNumberFormat="1" applyFont="1">
      <alignment vertical="center"/>
    </xf>
    <xf numFmtId="176" fontId="13" fillId="0" borderId="0" xfId="0" applyNumberFormat="1" applyFont="1">
      <alignment vertical="center"/>
    </xf>
    <xf numFmtId="10" fontId="13" fillId="0" borderId="0" xfId="0" applyNumberFormat="1" applyFont="1">
      <alignment vertical="center"/>
    </xf>
    <xf numFmtId="178" fontId="21" fillId="0" borderId="0" xfId="0" applyNumberFormat="1" applyFont="1" applyAlignment="1">
      <alignment horizontal="right" vertical="center"/>
    </xf>
    <xf numFmtId="178" fontId="11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NumberFormat="1" applyFont="1" applyAlignment="1">
      <alignment horizontal="right" vertical="center"/>
    </xf>
    <xf numFmtId="0" fontId="2" fillId="0" borderId="0" xfId="0" applyNumberFormat="1" applyFont="1">
      <alignment vertical="center"/>
    </xf>
    <xf numFmtId="14" fontId="13" fillId="0" borderId="0" xfId="0" applyNumberFormat="1" applyFont="1" applyAlignment="1">
      <alignment horizontal="right" vertical="center"/>
    </xf>
    <xf numFmtId="14" fontId="7" fillId="0" borderId="0" xfId="0" applyNumberFormat="1" applyFont="1" applyAlignment="1">
      <alignment horizontal="right" vertical="center"/>
    </xf>
    <xf numFmtId="176" fontId="11" fillId="0" borderId="0" xfId="0" applyNumberFormat="1" applyFont="1" applyAlignment="1">
      <alignment horizontal="left" vertical="center"/>
    </xf>
    <xf numFmtId="14" fontId="25" fillId="0" borderId="0" xfId="0" applyNumberFormat="1" applyFont="1" applyAlignment="1">
      <alignment horizontal="right" vertical="center"/>
    </xf>
    <xf numFmtId="49" fontId="7" fillId="0" borderId="0" xfId="0" applyNumberFormat="1" applyFont="1" applyAlignment="1">
      <alignment horizontal="center" vertical="center"/>
    </xf>
    <xf numFmtId="177" fontId="26" fillId="0" borderId="0" xfId="0" applyNumberFormat="1" applyFont="1" applyAlignment="1">
      <alignment horizontal="center" vertical="center"/>
    </xf>
    <xf numFmtId="49" fontId="24" fillId="0" borderId="0" xfId="0" applyNumberFormat="1" applyFont="1" applyAlignment="1">
      <alignment horizontal="center" vertical="center"/>
    </xf>
    <xf numFmtId="0" fontId="20" fillId="0" borderId="0" xfId="0" applyNumberFormat="1" applyFont="1" applyAlignment="1">
      <alignment horizontal="right" vertical="center"/>
    </xf>
    <xf numFmtId="0" fontId="5" fillId="0" borderId="0" xfId="0" applyNumberFormat="1" applyFont="1" applyAlignment="1">
      <alignment horizontal="right" vertical="center"/>
    </xf>
    <xf numFmtId="0" fontId="3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right" vertical="center"/>
    </xf>
    <xf numFmtId="0" fontId="23" fillId="0" borderId="0" xfId="0" applyNumberFormat="1" applyFont="1" applyAlignment="1">
      <alignment horizontal="right" vertical="center"/>
    </xf>
    <xf numFmtId="176" fontId="12" fillId="0" borderId="0" xfId="0" applyNumberFormat="1" applyFont="1" applyAlignment="1">
      <alignment horizontal="right" vertical="center"/>
    </xf>
    <xf numFmtId="0" fontId="24" fillId="0" borderId="0" xfId="0" applyNumberFormat="1" applyFont="1" applyAlignment="1">
      <alignment horizontal="left" vertical="center"/>
    </xf>
    <xf numFmtId="0" fontId="8" fillId="0" borderId="0" xfId="0" applyNumberFormat="1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49" fontId="9" fillId="0" borderId="0" xfId="0" applyNumberFormat="1" applyFont="1" applyAlignment="1">
      <alignment horizontal="left" vertical="center"/>
    </xf>
    <xf numFmtId="49" fontId="16" fillId="0" borderId="0" xfId="0" applyNumberFormat="1" applyFont="1" applyAlignment="1">
      <alignment horizontal="left" vertical="center"/>
    </xf>
    <xf numFmtId="49" fontId="23" fillId="0" borderId="0" xfId="0" applyNumberFormat="1" applyFont="1" applyAlignment="1">
      <alignment horizontal="left" vertical="center"/>
    </xf>
    <xf numFmtId="49" fontId="16" fillId="0" borderId="0" xfId="0" applyNumberFormat="1" applyFont="1">
      <alignment vertical="center"/>
    </xf>
    <xf numFmtId="49" fontId="18" fillId="0" borderId="0" xfId="0" applyNumberFormat="1" applyFont="1" applyAlignment="1">
      <alignment horizontal="left" vertical="center"/>
    </xf>
    <xf numFmtId="0" fontId="30" fillId="0" borderId="0" xfId="0" applyFont="1" applyAlignment="1">
      <alignment horizontal="center" vertical="center"/>
    </xf>
    <xf numFmtId="10" fontId="6" fillId="0" borderId="0" xfId="0" applyNumberFormat="1" applyFont="1" applyAlignment="1">
      <alignment horizontal="right" vertical="center"/>
    </xf>
    <xf numFmtId="0" fontId="4" fillId="0" borderId="0" xfId="0" applyNumberFormat="1" applyFont="1" applyAlignment="1">
      <alignment horizontal="center" vertical="center"/>
    </xf>
    <xf numFmtId="176" fontId="5" fillId="0" borderId="0" xfId="0" applyNumberFormat="1" applyFont="1" applyAlignment="1">
      <alignment vertical="center"/>
    </xf>
    <xf numFmtId="0" fontId="21" fillId="0" borderId="0" xfId="0" applyFont="1">
      <alignment vertical="center"/>
    </xf>
    <xf numFmtId="14" fontId="8" fillId="0" borderId="0" xfId="0" applyNumberFormat="1" applyFont="1" applyAlignment="1">
      <alignment horizontal="center" vertical="center"/>
    </xf>
    <xf numFmtId="177" fontId="16" fillId="0" borderId="0" xfId="0" applyNumberFormat="1" applyFont="1" applyAlignment="1">
      <alignment horizontal="right" vertical="center"/>
    </xf>
    <xf numFmtId="0" fontId="7" fillId="0" borderId="0" xfId="0" applyNumberFormat="1" applyFont="1" applyAlignment="1">
      <alignment horizontal="center" vertical="center"/>
    </xf>
    <xf numFmtId="176" fontId="30" fillId="0" borderId="0" xfId="0" applyNumberFormat="1" applyFont="1" applyAlignment="1">
      <alignment horizontal="center" vertical="center"/>
    </xf>
    <xf numFmtId="14" fontId="7" fillId="0" borderId="0" xfId="0" applyNumberFormat="1" applyFont="1" applyAlignment="1">
      <alignment horizontal="left" vertical="center"/>
    </xf>
    <xf numFmtId="49" fontId="19" fillId="0" borderId="0" xfId="0" applyNumberFormat="1" applyFont="1" applyAlignment="1">
      <alignment horizontal="left" vertical="center"/>
    </xf>
    <xf numFmtId="49" fontId="20" fillId="0" borderId="0" xfId="0" applyNumberFormat="1" applyFont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left" vertical="center"/>
    </xf>
    <xf numFmtId="14" fontId="12" fillId="0" borderId="0" xfId="0" applyNumberFormat="1" applyFont="1" applyAlignment="1">
      <alignment horizontal="right" vertical="center"/>
    </xf>
    <xf numFmtId="49" fontId="5" fillId="0" borderId="0" xfId="0" applyNumberFormat="1" applyFont="1" applyAlignment="1">
      <alignment horizontal="right" vertical="center"/>
    </xf>
    <xf numFmtId="49" fontId="11" fillId="0" borderId="0" xfId="0" applyNumberFormat="1" applyFont="1" applyAlignment="1">
      <alignment vertical="center"/>
    </xf>
    <xf numFmtId="49" fontId="5" fillId="0" borderId="0" xfId="0" applyNumberFormat="1" applyFont="1" applyAlignment="1">
      <alignment vertical="center"/>
    </xf>
    <xf numFmtId="49" fontId="11" fillId="0" borderId="0" xfId="0" applyNumberFormat="1" applyFont="1" applyAlignment="1">
      <alignment horizontal="left" vertical="center"/>
    </xf>
    <xf numFmtId="49" fontId="11" fillId="0" borderId="0" xfId="0" applyNumberFormat="1" applyFont="1" applyAlignment="1">
      <alignment horizontal="right" vertical="center"/>
    </xf>
    <xf numFmtId="49" fontId="2" fillId="0" borderId="0" xfId="0" applyNumberFormat="1" applyFont="1" applyAlignment="1">
      <alignment horizontal="left" vertical="center"/>
    </xf>
    <xf numFmtId="49" fontId="6" fillId="0" borderId="0" xfId="0" applyNumberFormat="1" applyFont="1">
      <alignment vertical="center"/>
    </xf>
    <xf numFmtId="49" fontId="3" fillId="0" borderId="0" xfId="0" applyNumberFormat="1" applyFont="1">
      <alignment vertical="center"/>
    </xf>
    <xf numFmtId="49" fontId="2" fillId="0" borderId="0" xfId="0" applyNumberFormat="1" applyFont="1">
      <alignment vertical="center"/>
    </xf>
    <xf numFmtId="49" fontId="13" fillId="0" borderId="0" xfId="0" applyNumberFormat="1" applyFont="1" applyAlignment="1">
      <alignment horizontal="right" vertical="center"/>
    </xf>
    <xf numFmtId="14" fontId="31" fillId="0" borderId="0" xfId="0" applyNumberFormat="1" applyFont="1" applyAlignment="1">
      <alignment horizontal="right" vertical="center"/>
    </xf>
    <xf numFmtId="49" fontId="9" fillId="0" borderId="0" xfId="0" applyNumberFormat="1" applyFont="1" applyAlignment="1">
      <alignment horizontal="right" vertical="center"/>
    </xf>
    <xf numFmtId="49" fontId="19" fillId="0" borderId="0" xfId="0" applyNumberFormat="1" applyFont="1" applyAlignment="1">
      <alignment horizontal="center" vertical="center"/>
    </xf>
    <xf numFmtId="49" fontId="27" fillId="0" borderId="0" xfId="0" applyNumberFormat="1" applyFont="1">
      <alignment vertical="center"/>
    </xf>
    <xf numFmtId="49" fontId="19" fillId="0" borderId="0" xfId="0" applyNumberFormat="1" applyFont="1">
      <alignment vertical="center"/>
    </xf>
    <xf numFmtId="49" fontId="29" fillId="0" borderId="0" xfId="0" applyNumberFormat="1" applyFont="1" applyAlignment="1">
      <alignment horizontal="left" vertical="center"/>
    </xf>
    <xf numFmtId="0" fontId="6" fillId="0" borderId="0" xfId="0" applyNumberFormat="1" applyFont="1" applyAlignment="1">
      <alignment horizontal="left" vertical="center"/>
    </xf>
    <xf numFmtId="177" fontId="29" fillId="0" borderId="0" xfId="0" applyNumberFormat="1" applyFont="1" applyAlignment="1">
      <alignment horizontal="right" vertical="center"/>
    </xf>
    <xf numFmtId="177" fontId="6" fillId="0" borderId="0" xfId="0" applyNumberFormat="1" applyFont="1" applyAlignment="1">
      <alignment horizontal="left" vertical="center"/>
    </xf>
    <xf numFmtId="178" fontId="32" fillId="0" borderId="0" xfId="0" applyNumberFormat="1" applyFont="1" applyAlignment="1">
      <alignment horizontal="right" vertical="center"/>
    </xf>
    <xf numFmtId="49" fontId="23" fillId="0" borderId="0" xfId="0" applyNumberFormat="1" applyFont="1">
      <alignment vertical="center"/>
    </xf>
    <xf numFmtId="0" fontId="26" fillId="0" borderId="0" xfId="0" applyNumberFormat="1" applyFont="1" applyAlignment="1">
      <alignment horizontal="right" vertical="center"/>
    </xf>
    <xf numFmtId="177" fontId="2" fillId="0" borderId="0" xfId="0" applyNumberFormat="1" applyFont="1">
      <alignment vertical="center"/>
    </xf>
    <xf numFmtId="49" fontId="2" fillId="0" borderId="0" xfId="0" applyNumberFormat="1" applyFont="1" applyAlignment="1">
      <alignment horizontal="right" vertical="center"/>
    </xf>
    <xf numFmtId="0" fontId="33" fillId="0" borderId="0" xfId="0" applyFont="1">
      <alignment vertical="center"/>
    </xf>
    <xf numFmtId="49" fontId="15" fillId="0" borderId="0" xfId="0" applyNumberFormat="1" applyFont="1">
      <alignment vertical="center"/>
    </xf>
    <xf numFmtId="49" fontId="3" fillId="0" borderId="0" xfId="0" applyNumberFormat="1" applyFont="1" applyAlignment="1">
      <alignment horizontal="right" vertical="center"/>
    </xf>
    <xf numFmtId="49" fontId="12" fillId="0" borderId="0" xfId="0" applyNumberFormat="1" applyFont="1" applyAlignment="1">
      <alignment horizontal="right" vertical="center"/>
    </xf>
    <xf numFmtId="0" fontId="5" fillId="0" borderId="0" xfId="0" applyFont="1" applyAlignment="1">
      <alignment horizontal="right" vertical="center"/>
    </xf>
    <xf numFmtId="178" fontId="6" fillId="0" borderId="0" xfId="0" applyNumberFormat="1" applyFont="1">
      <alignment vertical="center"/>
    </xf>
    <xf numFmtId="14" fontId="6" fillId="0" borderId="0" xfId="0" applyNumberFormat="1" applyFont="1" applyAlignment="1">
      <alignment horizontal="left" vertical="center"/>
    </xf>
    <xf numFmtId="49" fontId="7" fillId="0" borderId="0" xfId="0" applyNumberFormat="1" applyFont="1" applyAlignment="1">
      <alignment horizontal="left" vertical="center"/>
    </xf>
    <xf numFmtId="177" fontId="9" fillId="0" borderId="0" xfId="0" applyNumberFormat="1" applyFont="1" applyAlignment="1">
      <alignment horizontal="right" vertical="center"/>
    </xf>
    <xf numFmtId="10" fontId="8" fillId="0" borderId="0" xfId="0" applyNumberFormat="1" applyFont="1" applyAlignment="1">
      <alignment horizontal="right" vertical="center"/>
    </xf>
    <xf numFmtId="179" fontId="7" fillId="0" borderId="0" xfId="0" applyNumberFormat="1" applyFont="1">
      <alignment vertical="center"/>
    </xf>
    <xf numFmtId="49" fontId="4" fillId="0" borderId="0" xfId="0" applyNumberFormat="1" applyFont="1">
      <alignment vertical="center"/>
    </xf>
    <xf numFmtId="177" fontId="4" fillId="0" borderId="0" xfId="0" applyNumberFormat="1" applyFont="1">
      <alignment vertical="center"/>
    </xf>
    <xf numFmtId="10" fontId="6" fillId="0" borderId="0" xfId="0" applyNumberFormat="1" applyFont="1" applyAlignment="1">
      <alignment vertical="center"/>
    </xf>
    <xf numFmtId="0" fontId="36" fillId="0" borderId="0" xfId="0" applyFont="1">
      <alignment vertical="center"/>
    </xf>
    <xf numFmtId="0" fontId="4" fillId="0" borderId="0" xfId="0" applyFont="1" applyAlignment="1">
      <alignment vertical="center"/>
    </xf>
    <xf numFmtId="179" fontId="3" fillId="0" borderId="0" xfId="0" applyNumberFormat="1" applyFont="1">
      <alignment vertical="center"/>
    </xf>
    <xf numFmtId="176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176" fontId="13" fillId="0" borderId="0" xfId="0" applyNumberFormat="1" applyFont="1" applyAlignment="1">
      <alignment vertical="center"/>
    </xf>
    <xf numFmtId="10" fontId="7" fillId="0" borderId="0" xfId="0" applyNumberFormat="1" applyFont="1" applyAlignment="1">
      <alignment vertical="center"/>
    </xf>
    <xf numFmtId="179" fontId="11" fillId="0" borderId="0" xfId="0" applyNumberFormat="1" applyFont="1">
      <alignment vertical="center"/>
    </xf>
    <xf numFmtId="49" fontId="12" fillId="0" borderId="0" xfId="0" applyNumberFormat="1" applyFont="1" applyAlignment="1">
      <alignment vertical="center"/>
    </xf>
    <xf numFmtId="176" fontId="10" fillId="0" borderId="0" xfId="0" applyNumberFormat="1" applyFont="1" applyAlignment="1">
      <alignment vertical="center"/>
    </xf>
    <xf numFmtId="176" fontId="2" fillId="0" borderId="0" xfId="0" applyNumberFormat="1" applyFont="1" applyAlignment="1">
      <alignment vertical="center"/>
    </xf>
    <xf numFmtId="49" fontId="3" fillId="0" borderId="0" xfId="0" applyNumberFormat="1" applyFont="1" applyAlignment="1">
      <alignment vertical="center"/>
    </xf>
    <xf numFmtId="10" fontId="13" fillId="0" borderId="0" xfId="0" applyNumberFormat="1" applyFont="1" applyAlignment="1">
      <alignment vertical="center"/>
    </xf>
    <xf numFmtId="176" fontId="4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49" fontId="16" fillId="0" borderId="0" xfId="0" applyNumberFormat="1" applyFont="1" applyAlignment="1">
      <alignment vertical="center"/>
    </xf>
    <xf numFmtId="49" fontId="23" fillId="0" borderId="0" xfId="0" applyNumberFormat="1" applyFont="1" applyAlignment="1">
      <alignment vertical="center"/>
    </xf>
    <xf numFmtId="179" fontId="12" fillId="0" borderId="0" xfId="0" applyNumberFormat="1" applyFont="1">
      <alignment vertical="center"/>
    </xf>
    <xf numFmtId="10" fontId="12" fillId="0" borderId="0" xfId="0" applyNumberFormat="1" applyFont="1">
      <alignment vertical="center"/>
    </xf>
    <xf numFmtId="0" fontId="3" fillId="0" borderId="0" xfId="0" applyFont="1" applyAlignment="1">
      <alignment vertical="center"/>
    </xf>
    <xf numFmtId="0" fontId="6" fillId="0" borderId="0" xfId="0" applyNumberFormat="1" applyFont="1" applyFill="1" applyAlignment="1">
      <alignment horizontal="right" vertical="center"/>
    </xf>
    <xf numFmtId="176" fontId="6" fillId="0" borderId="0" xfId="0" applyNumberFormat="1" applyFont="1" applyFill="1" applyAlignment="1">
      <alignment horizontal="right" vertical="center"/>
    </xf>
    <xf numFmtId="49" fontId="6" fillId="0" borderId="0" xfId="0" applyNumberFormat="1" applyFont="1" applyFill="1" applyAlignment="1">
      <alignment horizontal="right" vertical="center"/>
    </xf>
    <xf numFmtId="0" fontId="4" fillId="0" borderId="0" xfId="0" applyFont="1" applyFill="1">
      <alignment vertical="center"/>
    </xf>
    <xf numFmtId="0" fontId="6" fillId="0" borderId="0" xfId="0" applyFont="1" applyFill="1" applyAlignment="1">
      <alignment horizontal="center" vertical="center"/>
    </xf>
    <xf numFmtId="176" fontId="8" fillId="0" borderId="0" xfId="0" applyNumberFormat="1" applyFont="1" applyFill="1" applyAlignment="1">
      <alignment horizontal="right" vertical="center"/>
    </xf>
    <xf numFmtId="176" fontId="5" fillId="0" borderId="0" xfId="0" applyNumberFormat="1" applyFont="1" applyFill="1" applyAlignment="1">
      <alignment horizontal="right" vertical="center"/>
    </xf>
    <xf numFmtId="176" fontId="2" fillId="0" borderId="0" xfId="0" applyNumberFormat="1" applyFont="1" applyFill="1">
      <alignment vertical="center"/>
    </xf>
    <xf numFmtId="10" fontId="3" fillId="0" borderId="0" xfId="0" applyNumberFormat="1" applyFont="1" applyFill="1">
      <alignment vertical="center"/>
    </xf>
    <xf numFmtId="49" fontId="16" fillId="0" borderId="0" xfId="0" applyNumberFormat="1" applyFont="1" applyFill="1" applyAlignment="1">
      <alignment horizontal="left" vertical="center"/>
    </xf>
    <xf numFmtId="178" fontId="11" fillId="0" borderId="0" xfId="0" applyNumberFormat="1" applyFont="1" applyFill="1" applyAlignment="1">
      <alignment horizontal="right" vertical="center"/>
    </xf>
    <xf numFmtId="49" fontId="11" fillId="0" borderId="0" xfId="0" applyNumberFormat="1" applyFont="1" applyFill="1" applyAlignment="1">
      <alignment vertical="center"/>
    </xf>
    <xf numFmtId="14" fontId="13" fillId="0" borderId="0" xfId="0" applyNumberFormat="1" applyFont="1" applyFill="1" applyAlignment="1">
      <alignment horizontal="right" vertical="center"/>
    </xf>
    <xf numFmtId="0" fontId="6" fillId="0" borderId="0" xfId="0" applyNumberFormat="1" applyFont="1" applyAlignment="1">
      <alignment vertical="center"/>
    </xf>
    <xf numFmtId="49" fontId="15" fillId="0" borderId="0" xfId="0" applyNumberFormat="1" applyFont="1" applyAlignment="1">
      <alignment vertical="center"/>
    </xf>
    <xf numFmtId="49" fontId="12" fillId="0" borderId="0" xfId="0" applyNumberFormat="1" applyFont="1" applyFill="1" applyAlignment="1">
      <alignment horizontal="right" vertical="center"/>
    </xf>
    <xf numFmtId="176" fontId="8" fillId="0" borderId="0" xfId="0" applyNumberFormat="1" applyFont="1" applyAlignment="1">
      <alignment vertical="center"/>
    </xf>
    <xf numFmtId="176" fontId="16" fillId="0" borderId="0" xfId="0" applyNumberFormat="1" applyFont="1" applyAlignment="1">
      <alignment vertical="center"/>
    </xf>
    <xf numFmtId="176" fontId="15" fillId="0" borderId="0" xfId="0" applyNumberFormat="1" applyFont="1" applyAlignment="1">
      <alignment vertical="center"/>
    </xf>
    <xf numFmtId="176" fontId="23" fillId="0" borderId="0" xfId="0" applyNumberFormat="1" applyFont="1" applyAlignment="1">
      <alignment vertical="center"/>
    </xf>
    <xf numFmtId="176" fontId="18" fillId="0" borderId="0" xfId="0" applyNumberFormat="1" applyFont="1" applyAlignment="1">
      <alignment vertical="center"/>
    </xf>
    <xf numFmtId="14" fontId="8" fillId="0" borderId="0" xfId="0" applyNumberFormat="1" applyFont="1" applyAlignment="1">
      <alignment horizontal="left" vertical="center"/>
    </xf>
    <xf numFmtId="49" fontId="19" fillId="0" borderId="0" xfId="0" applyNumberFormat="1" applyFont="1" applyAlignment="1">
      <alignment vertical="center"/>
    </xf>
    <xf numFmtId="176" fontId="11" fillId="0" borderId="0" xfId="0" applyNumberFormat="1" applyFont="1" applyAlignment="1">
      <alignment vertical="center"/>
    </xf>
    <xf numFmtId="176" fontId="11" fillId="0" borderId="0" xfId="0" applyNumberFormat="1" applyFont="1" applyAlignment="1">
      <alignment horizontal="right" vertical="center"/>
    </xf>
    <xf numFmtId="0" fontId="37" fillId="0" borderId="0" xfId="0" applyFont="1">
      <alignment vertical="center"/>
    </xf>
    <xf numFmtId="176" fontId="7" fillId="0" borderId="0" xfId="0" applyNumberFormat="1" applyFont="1" applyAlignment="1">
      <alignment horizontal="left" vertical="center"/>
    </xf>
    <xf numFmtId="177" fontId="6" fillId="0" borderId="0" xfId="0" applyNumberFormat="1" applyFont="1">
      <alignment vertical="center"/>
    </xf>
    <xf numFmtId="178" fontId="7" fillId="0" borderId="0" xfId="0" applyNumberFormat="1" applyFont="1">
      <alignment vertical="center"/>
    </xf>
    <xf numFmtId="176" fontId="22" fillId="0" borderId="0" xfId="0" applyNumberFormat="1" applyFont="1">
      <alignment vertical="center"/>
    </xf>
    <xf numFmtId="14" fontId="6" fillId="0" borderId="0" xfId="0" applyNumberFormat="1" applyFont="1">
      <alignment vertical="center"/>
    </xf>
    <xf numFmtId="14" fontId="8" fillId="0" borderId="0" xfId="0" applyNumberFormat="1" applyFont="1">
      <alignment vertical="center"/>
    </xf>
    <xf numFmtId="0" fontId="14" fillId="0" borderId="0" xfId="0" applyNumberFormat="1" applyFont="1" applyAlignment="1">
      <alignment horizontal="right" vertical="center"/>
    </xf>
    <xf numFmtId="0" fontId="38" fillId="0" borderId="0" xfId="0" applyNumberFormat="1" applyFont="1" applyAlignment="1">
      <alignment horizontal="right" vertical="center"/>
    </xf>
    <xf numFmtId="10" fontId="6" fillId="0" borderId="0" xfId="0" applyNumberFormat="1" applyFont="1">
      <alignment vertical="center"/>
    </xf>
    <xf numFmtId="49" fontId="20" fillId="0" borderId="0" xfId="0" applyNumberFormat="1" applyFont="1" applyAlignment="1">
      <alignment vertical="center"/>
    </xf>
    <xf numFmtId="14" fontId="8" fillId="0" borderId="0" xfId="0" applyNumberFormat="1" applyFont="1" applyAlignment="1">
      <alignment vertical="center"/>
    </xf>
    <xf numFmtId="49" fontId="39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49" fontId="7" fillId="0" borderId="0" xfId="0" applyNumberFormat="1" applyFont="1" applyAlignment="1">
      <alignment horizontal="right" vertical="center"/>
    </xf>
    <xf numFmtId="0" fontId="7" fillId="0" borderId="0" xfId="0" applyFont="1" applyAlignment="1">
      <alignment horizontal="right" vertical="center"/>
    </xf>
    <xf numFmtId="49" fontId="12" fillId="0" borderId="0" xfId="0" applyNumberFormat="1" applyFont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178" fontId="6" fillId="0" borderId="0" xfId="0" applyNumberFormat="1" applyFont="1" applyAlignment="1">
      <alignment horizontal="left" vertical="center"/>
    </xf>
    <xf numFmtId="10" fontId="9" fillId="0" borderId="0" xfId="0" applyNumberFormat="1" applyFont="1" applyAlignment="1">
      <alignment vertical="center"/>
    </xf>
    <xf numFmtId="176" fontId="9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0" fontId="19" fillId="0" borderId="0" xfId="0" applyNumberFormat="1" applyFont="1" applyAlignment="1">
      <alignment horizontal="center" vertical="center"/>
    </xf>
    <xf numFmtId="176" fontId="7" fillId="0" borderId="0" xfId="0" applyNumberFormat="1" applyFont="1" applyAlignment="1">
      <alignment horizontal="right" vertical="center"/>
    </xf>
    <xf numFmtId="0" fontId="6" fillId="0" borderId="0" xfId="0" applyNumberFormat="1" applyFont="1" applyFill="1" applyAlignment="1">
      <alignment vertical="center"/>
    </xf>
    <xf numFmtId="0" fontId="6" fillId="0" borderId="0" xfId="0" applyNumberFormat="1" applyFont="1">
      <alignment vertical="center"/>
    </xf>
    <xf numFmtId="0" fontId="28" fillId="0" borderId="0" xfId="0" applyNumberFormat="1" applyFont="1" applyAlignment="1">
      <alignment vertical="center"/>
    </xf>
    <xf numFmtId="49" fontId="2" fillId="0" borderId="0" xfId="0" applyNumberFormat="1" applyFont="1" applyAlignment="1">
      <alignment horizontal="center" vertical="center"/>
    </xf>
    <xf numFmtId="44" fontId="6" fillId="0" borderId="0" xfId="2" applyFont="1" applyAlignment="1">
      <alignment vertical="center"/>
    </xf>
    <xf numFmtId="44" fontId="6" fillId="0" borderId="0" xfId="2" applyFont="1">
      <alignment vertical="center"/>
    </xf>
    <xf numFmtId="180" fontId="4" fillId="0" borderId="0" xfId="2" applyNumberFormat="1" applyFont="1" applyAlignment="1">
      <alignment vertical="center"/>
    </xf>
    <xf numFmtId="181" fontId="29" fillId="0" borderId="0" xfId="0" applyNumberFormat="1" applyFont="1" applyAlignment="1">
      <alignment vertical="center"/>
    </xf>
    <xf numFmtId="181" fontId="41" fillId="0" borderId="0" xfId="0" applyNumberFormat="1" applyFont="1" applyAlignment="1">
      <alignment vertical="center"/>
    </xf>
    <xf numFmtId="176" fontId="12" fillId="0" borderId="0" xfId="0" applyNumberFormat="1" applyFont="1" applyAlignment="1">
      <alignment horizontal="left" vertical="center"/>
    </xf>
    <xf numFmtId="176" fontId="34" fillId="0" borderId="0" xfId="0" applyNumberFormat="1" applyFont="1">
      <alignment vertical="center"/>
    </xf>
    <xf numFmtId="176" fontId="12" fillId="0" borderId="0" xfId="0" applyNumberFormat="1" applyFont="1">
      <alignment vertical="center"/>
    </xf>
    <xf numFmtId="176" fontId="29" fillId="0" borderId="0" xfId="0" applyNumberFormat="1" applyFont="1" applyAlignment="1">
      <alignment horizontal="right" vertical="center"/>
    </xf>
    <xf numFmtId="0" fontId="42" fillId="0" borderId="0" xfId="0" applyNumberFormat="1" applyFont="1" applyAlignment="1">
      <alignment horizontal="right" vertical="center"/>
    </xf>
    <xf numFmtId="178" fontId="19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center" vertical="center"/>
    </xf>
    <xf numFmtId="182" fontId="6" fillId="0" borderId="0" xfId="3" applyNumberFormat="1" applyFont="1" applyAlignment="1">
      <alignment vertical="center"/>
    </xf>
    <xf numFmtId="182" fontId="4" fillId="0" borderId="0" xfId="3" applyNumberFormat="1" applyFont="1" applyAlignment="1">
      <alignment vertical="center"/>
    </xf>
    <xf numFmtId="182" fontId="4" fillId="0" borderId="0" xfId="3" applyNumberFormat="1" applyFont="1">
      <alignment vertical="center"/>
    </xf>
    <xf numFmtId="182" fontId="9" fillId="0" borderId="0" xfId="3" applyNumberFormat="1" applyFont="1" applyAlignment="1">
      <alignment vertical="center"/>
    </xf>
    <xf numFmtId="182" fontId="6" fillId="0" borderId="0" xfId="3" applyNumberFormat="1" applyFont="1">
      <alignment vertical="center"/>
    </xf>
    <xf numFmtId="182" fontId="3" fillId="0" borderId="0" xfId="3" applyNumberFormat="1" applyFont="1">
      <alignment vertical="center"/>
    </xf>
    <xf numFmtId="182" fontId="6" fillId="0" borderId="0" xfId="3" applyNumberFormat="1" applyFont="1" applyAlignment="1">
      <alignment horizontal="right" vertical="center"/>
    </xf>
    <xf numFmtId="0" fontId="43" fillId="0" borderId="0" xfId="0" applyNumberFormat="1" applyFont="1" applyAlignment="1">
      <alignment horizontal="right" vertical="center"/>
    </xf>
    <xf numFmtId="177" fontId="2" fillId="0" borderId="0" xfId="0" applyNumberFormat="1" applyFont="1" applyAlignment="1">
      <alignment vertical="center"/>
    </xf>
    <xf numFmtId="181" fontId="4" fillId="0" borderId="0" xfId="0" applyNumberFormat="1" applyFont="1" applyAlignment="1">
      <alignment vertical="center"/>
    </xf>
    <xf numFmtId="0" fontId="19" fillId="0" borderId="0" xfId="0" applyFont="1" applyAlignment="1">
      <alignment horizontal="center" vertical="center"/>
    </xf>
    <xf numFmtId="179" fontId="13" fillId="0" borderId="0" xfId="0" applyNumberFormat="1" applyFont="1" applyAlignment="1">
      <alignment vertical="center"/>
    </xf>
    <xf numFmtId="0" fontId="29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49" fontId="9" fillId="0" borderId="0" xfId="0" applyNumberFormat="1" applyFont="1">
      <alignment vertical="center"/>
    </xf>
    <xf numFmtId="49" fontId="6" fillId="0" borderId="0" xfId="0" applyNumberFormat="1" applyFont="1" applyFill="1" applyAlignment="1">
      <alignment vertical="center"/>
    </xf>
    <xf numFmtId="0" fontId="23" fillId="0" borderId="0" xfId="0" applyFont="1" applyAlignment="1">
      <alignment horizontal="center" vertical="center"/>
    </xf>
    <xf numFmtId="49" fontId="44" fillId="0" borderId="0" xfId="0" applyNumberFormat="1" applyFont="1" applyFill="1" applyAlignment="1">
      <alignment vertical="center"/>
    </xf>
    <xf numFmtId="0" fontId="44" fillId="0" borderId="0" xfId="0" applyFont="1">
      <alignment vertical="center"/>
    </xf>
    <xf numFmtId="176" fontId="6" fillId="0" borderId="0" xfId="0" applyNumberFormat="1" applyFont="1" applyFill="1" applyAlignment="1">
      <alignment horizontal="left" vertical="center"/>
    </xf>
    <xf numFmtId="10" fontId="8" fillId="0" borderId="0" xfId="0" applyNumberFormat="1" applyFont="1">
      <alignment vertical="center"/>
    </xf>
    <xf numFmtId="176" fontId="9" fillId="0" borderId="0" xfId="0" applyNumberFormat="1" applyFont="1">
      <alignment vertical="center"/>
    </xf>
    <xf numFmtId="0" fontId="9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178" fontId="10" fillId="0" borderId="0" xfId="0" applyNumberFormat="1" applyFont="1" applyAlignment="1">
      <alignment vertical="center"/>
    </xf>
    <xf numFmtId="178" fontId="10" fillId="0" borderId="0" xfId="0" applyNumberFormat="1" applyFont="1">
      <alignment vertical="center"/>
    </xf>
    <xf numFmtId="178" fontId="10" fillId="0" borderId="0" xfId="0" applyNumberFormat="1" applyFont="1" applyFill="1">
      <alignment vertical="center"/>
    </xf>
    <xf numFmtId="178" fontId="10" fillId="0" borderId="0" xfId="0" applyNumberFormat="1" applyFont="1" applyAlignment="1">
      <alignment horizontal="right" vertical="center"/>
    </xf>
    <xf numFmtId="178" fontId="4" fillId="0" borderId="0" xfId="0" applyNumberFormat="1" applyFont="1" applyAlignment="1">
      <alignment horizontal="center" vertical="center"/>
    </xf>
    <xf numFmtId="178" fontId="4" fillId="0" borderId="0" xfId="0" applyNumberFormat="1" applyFont="1" applyAlignment="1">
      <alignment vertical="center"/>
    </xf>
    <xf numFmtId="9" fontId="6" fillId="0" borderId="0" xfId="4" applyFont="1" applyAlignment="1">
      <alignment vertical="center"/>
    </xf>
    <xf numFmtId="176" fontId="12" fillId="0" borderId="0" xfId="0" applyNumberFormat="1" applyFont="1" applyAlignment="1">
      <alignment vertical="center"/>
    </xf>
    <xf numFmtId="0" fontId="28" fillId="0" borderId="0" xfId="0" applyFont="1" applyAlignment="1">
      <alignment vertical="center"/>
    </xf>
    <xf numFmtId="49" fontId="10" fillId="0" borderId="0" xfId="0" applyNumberFormat="1" applyFont="1" applyAlignment="1">
      <alignment horizontal="center" vertical="center"/>
    </xf>
    <xf numFmtId="181" fontId="23" fillId="0" borderId="0" xfId="0" applyNumberFormat="1" applyFont="1" applyAlignment="1">
      <alignment vertical="center"/>
    </xf>
    <xf numFmtId="49" fontId="3" fillId="0" borderId="0" xfId="0" applyNumberFormat="1" applyFont="1" applyAlignment="1">
      <alignment horizontal="center" vertical="center"/>
    </xf>
    <xf numFmtId="0" fontId="27" fillId="0" borderId="0" xfId="0" applyFont="1">
      <alignment vertical="center"/>
    </xf>
    <xf numFmtId="176" fontId="27" fillId="0" borderId="0" xfId="0" applyNumberFormat="1" applyFont="1">
      <alignment vertical="center"/>
    </xf>
    <xf numFmtId="176" fontId="27" fillId="0" borderId="0" xfId="0" applyNumberFormat="1" applyFont="1" applyAlignment="1">
      <alignment horizontal="center" vertical="center"/>
    </xf>
    <xf numFmtId="0" fontId="27" fillId="0" borderId="0" xfId="0" applyFont="1" applyFill="1">
      <alignment vertical="center"/>
    </xf>
    <xf numFmtId="0" fontId="27" fillId="0" borderId="0" xfId="0" applyFont="1" applyAlignment="1">
      <alignment vertical="center"/>
    </xf>
    <xf numFmtId="14" fontId="7" fillId="0" borderId="0" xfId="0" applyNumberFormat="1" applyFont="1" applyAlignment="1">
      <alignment vertical="center"/>
    </xf>
    <xf numFmtId="9" fontId="7" fillId="0" borderId="0" xfId="4" applyFont="1" applyAlignment="1">
      <alignment vertical="center"/>
    </xf>
    <xf numFmtId="0" fontId="12" fillId="0" borderId="0" xfId="0" applyFont="1">
      <alignment vertical="center"/>
    </xf>
    <xf numFmtId="14" fontId="7" fillId="0" borderId="0" xfId="0" applyNumberFormat="1" applyFont="1">
      <alignment vertical="center"/>
    </xf>
    <xf numFmtId="14" fontId="13" fillId="0" borderId="0" xfId="0" applyNumberFormat="1" applyFont="1">
      <alignment vertical="center"/>
    </xf>
    <xf numFmtId="0" fontId="37" fillId="0" borderId="0" xfId="0" applyFont="1" applyAlignment="1">
      <alignment vertical="center"/>
    </xf>
    <xf numFmtId="0" fontId="12" fillId="0" borderId="0" xfId="0" applyFont="1" applyFill="1">
      <alignment vertical="center"/>
    </xf>
    <xf numFmtId="178" fontId="12" fillId="0" borderId="0" xfId="0" applyNumberFormat="1" applyFont="1" applyAlignment="1">
      <alignment horizontal="right" vertical="center"/>
    </xf>
    <xf numFmtId="0" fontId="27" fillId="0" borderId="0" xfId="0" applyFont="1" applyAlignment="1"/>
    <xf numFmtId="0" fontId="27" fillId="0" borderId="0" xfId="0" applyNumberFormat="1" applyFont="1" applyAlignment="1">
      <alignment vertical="center"/>
    </xf>
    <xf numFmtId="0" fontId="27" fillId="0" borderId="0" xfId="0" applyFont="1" applyAlignment="1">
      <alignment horizontal="right" vertical="center"/>
    </xf>
    <xf numFmtId="0" fontId="10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49" fontId="27" fillId="0" borderId="0" xfId="0" applyNumberFormat="1" applyFont="1" applyAlignment="1">
      <alignment horizontal="right" vertical="center"/>
    </xf>
    <xf numFmtId="0" fontId="45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14" fontId="10" fillId="0" borderId="0" xfId="0" applyNumberFormat="1" applyFont="1" applyAlignment="1">
      <alignment horizontal="center" vertical="center"/>
    </xf>
    <xf numFmtId="14" fontId="7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49" fontId="46" fillId="0" borderId="0" xfId="1" applyNumberFormat="1" applyFont="1" applyAlignment="1" applyProtection="1">
      <alignment horizontal="left" vertical="center"/>
    </xf>
    <xf numFmtId="49" fontId="47" fillId="0" borderId="0" xfId="1" applyNumberFormat="1" applyFont="1" applyAlignment="1" applyProtection="1">
      <alignment vertical="center"/>
    </xf>
    <xf numFmtId="0" fontId="8" fillId="0" borderId="0" xfId="0" applyFont="1">
      <alignment vertical="center"/>
    </xf>
    <xf numFmtId="176" fontId="12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19" fillId="0" borderId="0" xfId="0" applyNumberFormat="1" applyFont="1" applyAlignment="1">
      <alignment vertical="center"/>
    </xf>
    <xf numFmtId="49" fontId="6" fillId="0" borderId="0" xfId="0" applyNumberFormat="1" applyFont="1" applyFill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0" fontId="11" fillId="0" borderId="0" xfId="0" applyFont="1" applyAlignment="1">
      <alignment horizontal="center" vertical="center"/>
    </xf>
    <xf numFmtId="49" fontId="11" fillId="0" borderId="0" xfId="0" applyNumberFormat="1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49" fontId="17" fillId="0" borderId="0" xfId="1" applyNumberFormat="1" applyAlignment="1" applyProtection="1">
      <alignment horizontal="left" vertical="center"/>
    </xf>
    <xf numFmtId="49" fontId="10" fillId="0" borderId="0" xfId="0" applyNumberFormat="1" applyFont="1" applyAlignment="1">
      <alignment horizontal="right" vertical="center"/>
    </xf>
    <xf numFmtId="49" fontId="8" fillId="0" borderId="0" xfId="0" applyNumberFormat="1" applyFont="1" applyAlignment="1">
      <alignment horizontal="left" vertical="center"/>
    </xf>
    <xf numFmtId="178" fontId="9" fillId="0" borderId="0" xfId="0" applyNumberFormat="1" applyFont="1" applyAlignment="1">
      <alignment horizontal="right" vertical="center"/>
    </xf>
    <xf numFmtId="179" fontId="7" fillId="0" borderId="0" xfId="0" applyNumberFormat="1" applyFont="1" applyAlignment="1">
      <alignment vertical="center"/>
    </xf>
    <xf numFmtId="14" fontId="9" fillId="0" borderId="0" xfId="0" applyNumberFormat="1" applyFont="1" applyAlignment="1">
      <alignment horizontal="right" vertical="center"/>
    </xf>
    <xf numFmtId="182" fontId="13" fillId="0" borderId="0" xfId="0" applyNumberFormat="1" applyFont="1" applyAlignment="1">
      <alignment horizontal="right" vertical="center"/>
    </xf>
    <xf numFmtId="0" fontId="30" fillId="0" borderId="0" xfId="0" applyNumberFormat="1" applyFont="1" applyAlignment="1">
      <alignment horizontal="center" vertical="center"/>
    </xf>
    <xf numFmtId="183" fontId="39" fillId="0" borderId="0" xfId="0" applyNumberFormat="1" applyFont="1" applyAlignment="1">
      <alignment vertical="center"/>
    </xf>
    <xf numFmtId="0" fontId="30" fillId="0" borderId="0" xfId="0" applyNumberFormat="1" applyFont="1" applyAlignment="1">
      <alignment horizontal="center"/>
    </xf>
    <xf numFmtId="0" fontId="28" fillId="0" borderId="0" xfId="0" applyFont="1">
      <alignment vertical="center"/>
    </xf>
    <xf numFmtId="0" fontId="19" fillId="0" borderId="0" xfId="0" applyFont="1">
      <alignment vertical="center"/>
    </xf>
    <xf numFmtId="14" fontId="25" fillId="0" borderId="0" xfId="0" applyNumberFormat="1" applyFont="1" applyFill="1" applyAlignment="1">
      <alignment horizontal="center" vertical="center"/>
    </xf>
    <xf numFmtId="178" fontId="31" fillId="0" borderId="0" xfId="0" applyNumberFormat="1" applyFont="1" applyFill="1" applyAlignment="1">
      <alignment horizontal="right" vertical="center"/>
    </xf>
    <xf numFmtId="14" fontId="30" fillId="0" borderId="0" xfId="0" applyNumberFormat="1" applyFont="1" applyAlignment="1">
      <alignment horizontal="center" vertical="center"/>
    </xf>
    <xf numFmtId="183" fontId="18" fillId="0" borderId="0" xfId="0" applyNumberFormat="1" applyFont="1" applyAlignment="1">
      <alignment vertical="center"/>
    </xf>
    <xf numFmtId="0" fontId="22" fillId="0" borderId="0" xfId="0" applyFont="1" applyAlignment="1">
      <alignment horizontal="center" vertical="center"/>
    </xf>
    <xf numFmtId="0" fontId="22" fillId="0" borderId="0" xfId="0" applyFont="1" applyAlignment="1">
      <alignment vertical="center"/>
    </xf>
    <xf numFmtId="0" fontId="4" fillId="0" borderId="0" xfId="0" applyNumberFormat="1" applyFont="1" applyAlignment="1">
      <alignment horizontal="center"/>
    </xf>
    <xf numFmtId="0" fontId="8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vertical="center"/>
    </xf>
    <xf numFmtId="0" fontId="20" fillId="0" borderId="0" xfId="0" applyNumberFormat="1" applyFont="1">
      <alignment vertical="center"/>
    </xf>
    <xf numFmtId="177" fontId="8" fillId="0" borderId="0" xfId="0" applyNumberFormat="1" applyFont="1" applyAlignment="1">
      <alignment horizontal="left" vertical="center"/>
    </xf>
    <xf numFmtId="0" fontId="48" fillId="0" borderId="0" xfId="0" applyFont="1">
      <alignment vertical="center"/>
    </xf>
    <xf numFmtId="177" fontId="4" fillId="0" borderId="0" xfId="0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0" fontId="49" fillId="0" borderId="0" xfId="0" applyFont="1" applyAlignment="1">
      <alignment horizontal="center" vertical="center"/>
    </xf>
    <xf numFmtId="178" fontId="12" fillId="0" borderId="0" xfId="0" applyNumberFormat="1" applyFont="1" applyAlignment="1">
      <alignment vertical="center"/>
    </xf>
    <xf numFmtId="0" fontId="34" fillId="0" borderId="0" xfId="0" applyFont="1">
      <alignment vertical="center"/>
    </xf>
    <xf numFmtId="0" fontId="8" fillId="0" borderId="0" xfId="0" applyFont="1" applyAlignment="1">
      <alignment vertical="center"/>
    </xf>
    <xf numFmtId="0" fontId="8" fillId="0" borderId="0" xfId="0" applyNumberFormat="1" applyFont="1">
      <alignment vertical="center"/>
    </xf>
    <xf numFmtId="0" fontId="8" fillId="0" borderId="0" xfId="0" applyFont="1" applyFill="1">
      <alignment vertical="center"/>
    </xf>
    <xf numFmtId="178" fontId="7" fillId="0" borderId="0" xfId="0" applyNumberFormat="1" applyFont="1" applyAlignment="1">
      <alignment horizontal="right" vertical="center"/>
    </xf>
    <xf numFmtId="0" fontId="7" fillId="0" borderId="0" xfId="0" applyFont="1" applyAlignment="1">
      <alignment vertical="center"/>
    </xf>
    <xf numFmtId="0" fontId="50" fillId="0" borderId="0" xfId="0" applyFont="1" applyAlignment="1">
      <alignment horizontal="center" vertical="center"/>
    </xf>
    <xf numFmtId="0" fontId="7" fillId="0" borderId="0" xfId="0" applyNumberFormat="1" applyFont="1">
      <alignment vertical="center"/>
    </xf>
    <xf numFmtId="0" fontId="7" fillId="0" borderId="0" xfId="0" applyFont="1" applyFill="1">
      <alignment vertical="center"/>
    </xf>
    <xf numFmtId="0" fontId="7" fillId="0" borderId="0" xfId="0" applyFont="1" applyAlignment="1">
      <alignment horizontal="left" vertical="center"/>
    </xf>
    <xf numFmtId="176" fontId="34" fillId="0" borderId="0" xfId="0" applyNumberFormat="1" applyFont="1" applyAlignment="1">
      <alignment horizontal="center" vertical="center"/>
    </xf>
    <xf numFmtId="49" fontId="6" fillId="0" borderId="0" xfId="0" applyNumberFormat="1" applyFont="1" applyAlignment="1">
      <alignment vertical="center"/>
    </xf>
    <xf numFmtId="49" fontId="12" fillId="0" borderId="0" xfId="0" applyNumberFormat="1" applyFont="1">
      <alignment vertical="center"/>
    </xf>
    <xf numFmtId="177" fontId="7" fillId="0" borderId="0" xfId="0" applyNumberFormat="1" applyFont="1" applyAlignment="1">
      <alignment vertical="center"/>
    </xf>
    <xf numFmtId="179" fontId="13" fillId="0" borderId="0" xfId="0" applyNumberFormat="1" applyFont="1">
      <alignment vertical="center"/>
    </xf>
    <xf numFmtId="0" fontId="51" fillId="0" borderId="0" xfId="0" applyFont="1">
      <alignment vertical="center"/>
    </xf>
    <xf numFmtId="0" fontId="12" fillId="0" borderId="0" xfId="0" applyFont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77" fontId="5" fillId="0" borderId="0" xfId="0" applyNumberFormat="1" applyFont="1" applyAlignment="1">
      <alignment horizontal="right" vertical="center"/>
    </xf>
    <xf numFmtId="177" fontId="6" fillId="0" borderId="0" xfId="0" applyNumberFormat="1" applyFont="1" applyFill="1" applyAlignment="1">
      <alignment horizontal="right" vertical="center"/>
    </xf>
    <xf numFmtId="177" fontId="11" fillId="0" borderId="0" xfId="0" applyNumberFormat="1" applyFont="1">
      <alignment vertical="center"/>
    </xf>
    <xf numFmtId="177" fontId="21" fillId="0" borderId="0" xfId="0" applyNumberFormat="1" applyFont="1">
      <alignment vertical="center"/>
    </xf>
    <xf numFmtId="177" fontId="6" fillId="0" borderId="0" xfId="0" applyNumberFormat="1" applyFont="1" applyAlignment="1">
      <alignment horizontal="center" vertical="center"/>
    </xf>
    <xf numFmtId="177" fontId="22" fillId="0" borderId="0" xfId="0" applyNumberFormat="1" applyFont="1" applyAlignment="1">
      <alignment horizontal="center" vertical="center"/>
    </xf>
    <xf numFmtId="177" fontId="8" fillId="0" borderId="0" xfId="0" applyNumberFormat="1" applyFont="1" applyAlignment="1">
      <alignment horizontal="right" vertical="center"/>
    </xf>
    <xf numFmtId="177" fontId="8" fillId="0" borderId="0" xfId="0" applyNumberFormat="1" applyFont="1" applyFill="1" applyAlignment="1">
      <alignment horizontal="right" vertical="center"/>
    </xf>
    <xf numFmtId="177" fontId="5" fillId="0" borderId="0" xfId="0" applyNumberFormat="1" applyFont="1" applyFill="1" applyAlignment="1">
      <alignment horizontal="right" vertical="center"/>
    </xf>
    <xf numFmtId="177" fontId="8" fillId="0" borderId="0" xfId="0" applyNumberFormat="1" applyFont="1">
      <alignment vertical="center"/>
    </xf>
    <xf numFmtId="177" fontId="27" fillId="0" borderId="0" xfId="0" applyNumberFormat="1" applyFont="1">
      <alignment vertical="center"/>
    </xf>
    <xf numFmtId="177" fontId="4" fillId="0" borderId="0" xfId="0" applyNumberFormat="1" applyFont="1" applyFill="1" applyAlignment="1">
      <alignment horizontal="center" vertical="center"/>
    </xf>
    <xf numFmtId="177" fontId="8" fillId="0" borderId="0" xfId="0" applyNumberFormat="1" applyFont="1" applyAlignment="1">
      <alignment horizontal="center" vertical="center"/>
    </xf>
    <xf numFmtId="177" fontId="48" fillId="0" borderId="0" xfId="0" applyNumberFormat="1" applyFont="1">
      <alignment vertical="center"/>
    </xf>
    <xf numFmtId="177" fontId="10" fillId="0" borderId="0" xfId="0" applyNumberFormat="1" applyFont="1">
      <alignment vertical="center"/>
    </xf>
    <xf numFmtId="177" fontId="9" fillId="0" borderId="0" xfId="0" applyNumberFormat="1" applyFont="1">
      <alignment vertical="center"/>
    </xf>
    <xf numFmtId="177" fontId="27" fillId="0" borderId="0" xfId="0" applyNumberFormat="1" applyFont="1" applyAlignment="1">
      <alignment vertical="center"/>
    </xf>
    <xf numFmtId="177" fontId="6" fillId="0" borderId="0" xfId="0" applyNumberFormat="1" applyFont="1" applyAlignment="1">
      <alignment vertical="center"/>
    </xf>
    <xf numFmtId="177" fontId="5" fillId="0" borderId="0" xfId="0" applyNumberFormat="1" applyFont="1" applyAlignment="1">
      <alignment horizontal="left" vertical="center"/>
    </xf>
    <xf numFmtId="176" fontId="3" fillId="0" borderId="0" xfId="0" applyNumberFormat="1" applyFont="1">
      <alignment vertical="center"/>
    </xf>
    <xf numFmtId="176" fontId="3" fillId="0" borderId="0" xfId="0" applyNumberFormat="1" applyFont="1" applyAlignment="1">
      <alignment vertical="center"/>
    </xf>
    <xf numFmtId="176" fontId="3" fillId="0" borderId="0" xfId="0" applyNumberFormat="1" applyFont="1" applyFill="1">
      <alignment vertical="center"/>
    </xf>
    <xf numFmtId="177" fontId="3" fillId="0" borderId="0" xfId="0" applyNumberFormat="1" applyFont="1" applyAlignment="1">
      <alignment vertical="center"/>
    </xf>
    <xf numFmtId="177" fontId="5" fillId="0" borderId="0" xfId="0" applyNumberFormat="1" applyFont="1">
      <alignment vertical="center"/>
    </xf>
    <xf numFmtId="177" fontId="2" fillId="0" borderId="0" xfId="0" applyNumberFormat="1" applyFont="1" applyAlignment="1">
      <alignment horizontal="right" vertical="center"/>
    </xf>
    <xf numFmtId="177" fontId="48" fillId="0" borderId="0" xfId="0" applyNumberFormat="1" applyFont="1" applyAlignment="1">
      <alignment vertical="center"/>
    </xf>
    <xf numFmtId="177" fontId="4" fillId="0" borderId="0" xfId="0" applyNumberFormat="1" applyFont="1" applyAlignment="1">
      <alignment horizontal="left" vertical="center"/>
    </xf>
    <xf numFmtId="179" fontId="6" fillId="0" borderId="0" xfId="0" applyNumberFormat="1" applyFont="1">
      <alignment vertical="center"/>
    </xf>
    <xf numFmtId="49" fontId="5" fillId="0" borderId="0" xfId="0" applyNumberFormat="1" applyFont="1" applyFill="1">
      <alignment vertical="center"/>
    </xf>
  </cellXfs>
  <cellStyles count="5">
    <cellStyle name="一般" xfId="0" builtinId="0"/>
    <cellStyle name="千分位" xfId="3" builtinId="3"/>
    <cellStyle name="百分比" xfId="4" builtinId="5"/>
    <cellStyle name="貨幣" xfId="2" builtinId="4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money.excel">
      <tp t="s">
        <v>無資料</v>
        <stp/>
        <stp>$TWC100</stp>
        <stp>Price</stp>
        <tr r="T4" s="85"/>
      </tp>
      <tp t="s">
        <v>無資料</v>
        <stp/>
        <stp>$TWOI50</stp>
        <stp>Price</stp>
        <tr r="T5" s="85"/>
      </tp>
      <tp>
        <v>0</v>
        <stp/>
        <stp>6417</stp>
        <stp>PredictVolume</stp>
        <tr r="AM992" s="57"/>
      </tp>
      <tp>
        <v>0</v>
        <stp/>
        <stp>6477</stp>
        <stp>PredictVolume</stp>
        <tr r="AM17" s="99"/>
        <tr r="AM9" s="101"/>
        <tr r="AM22" s="28"/>
        <tr r="AM5" s="110"/>
        <tr r="AM5" s="99"/>
        <tr r="AM908" s="57"/>
      </tp>
      <tp>
        <v>0</v>
        <stp/>
        <stp>6457</stp>
        <stp>PredictVolume</stp>
        <tr r="AM650" s="57"/>
      </tp>
      <tp>
        <v>0</v>
        <stp/>
        <stp>6527</stp>
        <stp>PredictVolume</stp>
        <tr r="AM387" s="57"/>
      </tp>
      <tp>
        <v>0</v>
        <stp/>
        <stp>6577</stp>
        <stp>PredictVolume</stp>
        <tr r="AM790" s="57"/>
      </tp>
      <tp>
        <v>0</v>
        <stp/>
        <stp>6547</stp>
        <stp>PredictVolume</stp>
        <tr r="AM390" s="57"/>
      </tp>
      <tp>
        <v>0</v>
        <stp/>
        <stp>6697</stp>
        <stp>PredictVolume</stp>
        <tr r="AM1294" s="57"/>
      </tp>
      <tp>
        <v>0</v>
        <stp/>
        <stp>6667</stp>
        <stp>PredictVolume</stp>
        <tr r="AM1754" s="57"/>
      </tp>
      <tp>
        <v>0</v>
        <stp/>
        <stp>6767</stp>
        <stp>PredictVolume</stp>
        <tr r="AM407" s="57"/>
      </tp>
      <tp>
        <v>0</v>
        <stp/>
        <stp>6747</stp>
        <stp>PredictVolume</stp>
        <tr r="AM405" s="57"/>
      </tp>
      <tp>
        <v>0</v>
        <stp/>
        <stp>6197</stp>
        <stp>PredictVolume</stp>
        <tr r="AM1168" s="57"/>
      </tp>
      <tp>
        <v>0</v>
        <stp/>
        <stp>6187</stp>
        <stp>PredictVolume</stp>
        <tr r="AM1740" s="57"/>
      </tp>
      <tp>
        <v>0</v>
        <stp/>
        <stp>6127</stp>
        <stp>PredictVolume</stp>
        <tr r="AM1153" s="57"/>
      </tp>
      <tp>
        <v>0</v>
        <stp/>
        <stp>6117</stp>
        <stp>PredictVolume</stp>
        <tr r="AM771" s="57"/>
      </tp>
      <tp>
        <v>0</v>
        <stp/>
        <stp>6177</stp>
        <stp>PredictVolume</stp>
        <tr r="AM1497" s="57"/>
      </tp>
      <tp>
        <v>0</v>
        <stp/>
        <stp>6167</stp>
        <stp>PredictVolume</stp>
        <tr r="AM891" s="57"/>
      </tp>
      <tp>
        <v>0</v>
        <stp/>
        <stp>6147</stp>
        <stp>PredictVolume</stp>
        <tr r="AM631" s="57"/>
      </tp>
      <tp>
        <v>0</v>
        <stp/>
        <stp>6287</stp>
        <stp>PredictVolume</stp>
        <tr r="AM644" s="57"/>
      </tp>
      <tp>
        <v>0</v>
        <stp/>
        <stp>6237</stp>
        <stp>PredictVolume</stp>
        <tr r="AM638" s="57"/>
      </tp>
      <tp>
        <v>0</v>
        <stp/>
        <stp>6227</stp>
        <stp>PredictVolume</stp>
        <tr r="AM1246" s="57"/>
      </tp>
      <tp>
        <v>0</v>
        <stp/>
        <stp>6217</stp>
        <stp>PredictVolume</stp>
        <tr r="AM1176" s="57"/>
      </tp>
      <tp>
        <v>0</v>
        <stp/>
        <stp>6207</stp>
        <stp>PredictVolume</stp>
        <tr r="AM1172" s="57"/>
      </tp>
      <tp>
        <v>0</v>
        <stp/>
        <stp>6277</stp>
        <stp>PredictVolume</stp>
        <tr r="AM786" s="57"/>
      </tp>
      <tp>
        <v>0</v>
        <stp/>
        <stp>6257</stp>
        <stp>PredictVolume</stp>
        <tr r="AM641" s="57"/>
      </tp>
      <tp>
        <v>0</v>
        <stp/>
        <stp>6247</stp>
        <stp>PredictVolume</stp>
        <tr r="AM1745" s="57"/>
      </tp>
      <tp>
        <v>0</v>
        <stp/>
        <stp>4417</stp>
        <stp>PredictVolume</stp>
        <tr r="AM118" s="57"/>
      </tp>
      <tp>
        <v>0</v>
        <stp/>
        <stp>4527</stp>
        <stp>PredictVolume</stp>
        <tr r="AM184" s="57"/>
      </tp>
      <tp>
        <v>0</v>
        <stp/>
        <stp>4557</stp>
        <stp>PredictVolume</stp>
        <tr r="AM523" s="57"/>
      </tp>
      <tp>
        <v>0</v>
        <stp/>
        <stp>4737</stp>
        <stp>PredictVolume</stp>
        <tr r="AM368" s="57"/>
      </tp>
      <tp>
        <v>0</v>
        <stp/>
        <stp>4707</stp>
        <stp>PredictVolume</stp>
        <tr r="AM268" s="57"/>
      </tp>
      <tp>
        <v>0</v>
        <stp/>
        <stp>4767</stp>
        <stp>PredictVolume</stp>
        <tr r="AM282" s="57"/>
      </tp>
      <tp>
        <v>0</v>
        <stp/>
        <stp>4747</stp>
        <stp>PredictVolume</stp>
        <tr r="AM373" s="57"/>
      </tp>
      <tp>
        <v>0</v>
        <stp/>
        <stp>4137</stp>
        <stp>PredictVolume</stp>
        <tr r="AM338" s="57"/>
      </tp>
      <tp>
        <v>0</v>
        <stp/>
        <stp>4127</stp>
        <stp>PredictVolume</stp>
        <tr r="AM332" s="57"/>
      </tp>
      <tp>
        <v>0</v>
        <stp/>
        <stp>4107</stp>
        <stp>PredictVolume</stp>
        <tr r="AM321" s="57"/>
      </tp>
      <tp>
        <v>0</v>
        <stp/>
        <stp>4167</stp>
        <stp>PredictVolume</stp>
        <tr r="AM354" s="57"/>
      </tp>
      <tp>
        <v>0</v>
        <stp/>
        <stp>4157</stp>
        <stp>PredictVolume</stp>
        <tr r="AM348" s="57"/>
      </tp>
      <tp>
        <v>0</v>
        <stp/>
        <stp>4147</stp>
        <stp>PredictVolume</stp>
        <tr r="AM343" s="57"/>
      </tp>
      <tp>
        <v>0</v>
        <stp/>
        <stp>4207</stp>
        <stp>PredictVolume</stp>
        <tr r="AM40" s="57"/>
      </tp>
      <tp>
        <v>0</v>
        <stp/>
        <stp>4807</stp>
        <stp>PredictVolume</stp>
        <tr r="AM1651" s="57"/>
      </tp>
      <tp>
        <v>0</v>
        <stp/>
        <stp>4987</stp>
        <stp>PredictVolume</stp>
        <tr r="AM759" s="57"/>
      </tp>
      <tp>
        <v>0</v>
        <stp/>
        <stp>4927</stp>
        <stp>PredictVolume</stp>
        <tr r="AM12" s="98"/>
        <tr r="AM1124" s="57"/>
      </tp>
      <tp>
        <v>0</v>
        <stp/>
        <stp>4907</stp>
        <stp>PredictVolume</stp>
        <tr r="AM1474" s="57"/>
      </tp>
      <tp>
        <v>0</v>
        <stp/>
        <stp>4977</stp>
        <stp>PredictVolume</stp>
        <tr r="AM972" s="57"/>
      </tp>
      <tp>
        <v>0</v>
        <stp/>
        <stp>4967</stp>
        <stp>PredictVolume</stp>
        <tr r="AM4" s="99"/>
        <tr r="AM605" s="57"/>
      </tp>
      <tp>
        <v>0</v>
        <stp/>
        <stp>5487</stp>
        <stp>PredictVolume</stp>
        <tr r="AM626" s="57"/>
      </tp>
      <tp>
        <v>0</v>
        <stp/>
        <stp>5457</stp>
        <stp>PredictVolume</stp>
        <tr r="AM1141" s="57"/>
      </tp>
      <tp>
        <v>0</v>
        <stp/>
        <stp>5607</stp>
        <stp>PredictVolume</stp>
        <tr r="AM1532" s="57"/>
      </tp>
      <tp>
        <v>0</v>
        <stp/>
        <stp>5007</stp>
        <stp>PredictVolume</stp>
        <tr r="AM463" s="57"/>
      </tp>
      <tp>
        <v>0</v>
        <stp/>
        <stp>5287</stp>
        <stp>PredictVolume</stp>
        <tr r="AM1800" s="57"/>
      </tp>
      <tp>
        <v>0</v>
        <stp/>
        <stp>5227</stp>
        <stp>PredictVolume</stp>
        <tr r="AM1131" s="57"/>
      </tp>
      <tp>
        <v>0</v>
        <stp/>
        <stp>5347</stp>
        <stp>PredictVolume</stp>
        <tr r="AM620" s="57"/>
      </tp>
      <tp>
        <v>0</v>
        <stp/>
        <stp>5907</stp>
        <stp>PredictVolume</stp>
        <tr r="AM1657" s="57"/>
      </tp>
      <tp>
        <v>0</v>
        <stp/>
        <stp>2497</stp>
        <stp>PredictVolume</stp>
        <tr r="AM520" s="57"/>
      </tp>
      <tp>
        <v>0</v>
        <stp/>
        <stp>2427</stp>
        <stp>PredictVolume</stp>
        <tr r="AM1261" s="57"/>
      </tp>
      <tp>
        <v>0</v>
        <stp/>
        <stp>2417</stp>
        <stp>PredictVolume</stp>
        <tr r="AM8" s="101"/>
        <tr r="AM8" s="102"/>
        <tr r="AM5" s="102"/>
        <tr r="AM716" s="57"/>
      </tp>
      <tp>
        <v>0</v>
        <stp/>
        <stp>2477</stp>
        <stp>PredictVolume</stp>
        <tr r="AM1697" s="57"/>
      </tp>
      <tp>
        <v>0</v>
        <stp/>
        <stp>2467</stp>
        <stp>PredictVolume</stp>
        <tr r="AM1045" s="57"/>
      </tp>
      <tp>
        <v>0</v>
        <stp/>
        <stp>2457</stp>
        <stp>PredictVolume</stp>
        <tr r="AM7" s="115"/>
        <tr r="AM1042" s="57"/>
      </tp>
      <tp>
        <v>0</v>
        <stp/>
        <stp>2597</stp>
        <stp>PredictVolume</stp>
        <tr r="AM1463" s="57"/>
      </tp>
      <tp>
        <v>0</v>
        <stp/>
        <stp>2537</stp>
        <stp>PredictVolume</stp>
        <tr r="AM1452" s="57"/>
      </tp>
      <tp>
        <v>0</v>
        <stp/>
        <stp>2527</stp>
        <stp>PredictVolume</stp>
        <tr r="AM1446" s="57"/>
      </tp>
      <tp>
        <v>0</v>
        <stp/>
        <stp>2547</stp>
        <stp>PredictVolume</stp>
        <tr r="AM1460" s="57"/>
      </tp>
      <tp>
        <v>0</v>
        <stp/>
        <stp>2637</stp>
        <stp>PredictVolume</stp>
        <tr r="AM1525" s="57"/>
      </tp>
      <tp>
        <v>0</v>
        <stp/>
        <stp>2617</stp>
        <stp>PredictVolume</stp>
        <tr r="AM1519" s="57"/>
      </tp>
      <tp>
        <v>0</v>
        <stp/>
        <stp>2607</stp>
        <stp>PredictVolume</stp>
        <tr r="AM6" s="113"/>
        <tr r="AM1511" s="57"/>
      </tp>
      <tp>
        <v>0</v>
        <stp/>
        <stp>2727</stp>
        <stp>PredictVolume</stp>
        <tr r="AM1553" s="57"/>
      </tp>
      <tp>
        <v>0</v>
        <stp/>
        <stp>2707</stp>
        <stp>PredictVolume</stp>
        <tr r="AM1545" s="57"/>
      </tp>
      <tp>
        <v>0</v>
        <stp/>
        <stp>2027</stp>
        <stp>PredictVolume</stp>
        <tr r="AM447" s="57"/>
      </tp>
      <tp>
        <v>0</v>
        <stp/>
        <stp>2017</stp>
        <stp>PredictVolume</stp>
        <tr r="AM441" s="57"/>
      </tp>
      <tp>
        <v>0</v>
        <stp/>
        <stp>2007</stp>
        <stp>PredictVolume</stp>
        <tr r="AM433" s="57"/>
      </tp>
      <tp>
        <v>0</v>
        <stp/>
        <stp>2067</stp>
        <stp>PredictVolume</stp>
        <tr r="AM165" s="57"/>
      </tp>
      <tp>
        <v>0</v>
        <stp/>
        <stp>2107</stp>
        <stp>PredictVolume</stp>
        <tr r="AM485" s="57"/>
      </tp>
      <tp>
        <v>0</v>
        <stp/>
        <stp>2227</stp>
        <stp>PredictVolume</stp>
        <tr r="AM511" s="57"/>
      </tp>
      <tp>
        <v>0</v>
        <stp/>
        <stp>2207</stp>
        <stp>PredictVolume</stp>
        <tr r="AM510" s="57"/>
      </tp>
      <tp>
        <v>0</v>
        <stp/>
        <stp>2247</stp>
        <stp>PredictVolume</stp>
        <tr r="AM518" s="57"/>
      </tp>
      <tp>
        <v>0</v>
        <stp/>
        <stp>2397</stp>
        <stp>PredictVolume</stp>
        <tr r="AM713" s="57"/>
      </tp>
      <tp>
        <v>0</v>
        <stp/>
        <stp>2387</stp>
        <stp>PredictVolume</stp>
        <tr r="AM31" s="28"/>
        <tr r="AM711" s="57"/>
      </tp>
      <tp>
        <v>0</v>
        <stp/>
        <stp>2337</stp>
        <stp>PredictVolume</stp>
        <tr r="AM533" s="57"/>
      </tp>
      <tp>
        <v>0</v>
        <stp/>
        <stp>2327</stp>
        <stp>PredictVolume</stp>
        <tr r="AM1023" s="57"/>
      </tp>
      <tp>
        <v>0</v>
        <stp/>
        <stp>2317</stp>
        <stp>PredictVolume</stp>
        <tr r="AM1685" s="57"/>
      </tp>
      <tp>
        <v>0</v>
        <stp/>
        <stp>2377</stp>
        <stp>PredictVolume</stp>
        <tr r="AM708" s="57"/>
      </tp>
      <tp>
        <v>0</v>
        <stp/>
        <stp>2367</stp>
        <stp>PredictVolume</stp>
        <tr r="AM1026" s="57"/>
      </tp>
      <tp>
        <v>0</v>
        <stp/>
        <stp>2357</stp>
        <stp>PredictVolume</stp>
        <tr r="AM703" s="57"/>
      </tp>
      <tp>
        <v>0</v>
        <stp/>
        <stp>2347</stp>
        <stp>PredictVolume</stp>
        <tr r="AM1223" s="57"/>
      </tp>
      <tp>
        <v>0</v>
        <stp/>
        <stp>2897</stp>
        <stp>PredictVolume</stp>
        <tr r="AM1614" s="57"/>
      </tp>
      <tp>
        <v>0</v>
        <stp/>
        <stp>2887</stp>
        <stp>PredictVolume</stp>
        <tr r="AM1608" s="57"/>
      </tp>
      <tp>
        <v>0</v>
        <stp/>
        <stp>2867</stp>
        <stp>PredictVolume</stp>
        <tr r="AM1600" s="57"/>
      </tp>
      <tp>
        <v>0</v>
        <stp/>
        <stp>2937</stp>
        <stp>PredictVolume</stp>
        <tr r="AM1646" s="57"/>
      </tp>
      <tp>
        <v>0</v>
        <stp/>
        <stp>2947</stp>
        <stp>PredictVolume</stp>
        <tr r="AM1649" s="57"/>
      </tp>
      <tp>
        <v>0</v>
        <stp/>
        <stp>3437</stp>
        <stp>PredictVolume</stp>
        <tr r="AM838" s="57"/>
      </tp>
      <tp>
        <v>0</v>
        <stp/>
        <stp>3597</stp>
        <stp>PredictVolume</stp>
        <tr r="AM1108" s="57"/>
      </tp>
      <tp>
        <v>0</v>
        <stp/>
        <stp>3587</stp>
        <stp>PredictVolume</stp>
        <tr r="AM1722" s="57"/>
        <tr r="AM7" s="98"/>
      </tp>
      <tp>
        <v>0</v>
        <stp/>
        <stp>3537</stp>
        <stp>PredictVolume</stp>
        <tr r="AM1104" s="57"/>
      </tp>
      <tp>
        <v>0</v>
        <stp/>
        <stp>3527</stp>
        <stp>PredictVolume</stp>
        <tr r="AM581" s="57"/>
      </tp>
      <tp>
        <v>0</v>
        <stp/>
        <stp>3577</stp>
        <stp>PredictVolume</stp>
        <tr r="AM745" s="57"/>
      </tp>
      <tp>
        <v>0</v>
        <stp/>
        <stp>3567</stp>
        <stp>PredictVolume</stp>
        <tr r="AM589" s="57"/>
      </tp>
      <tp>
        <v>0</v>
        <stp/>
        <stp>3557</stp>
        <stp>PredictVolume</stp>
        <tr r="AM1320" s="57"/>
      </tp>
      <tp>
        <v>0</v>
        <stp/>
        <stp>3687</stp>
        <stp>PredictVolume</stp>
        <tr r="AM1798" s="57"/>
      </tp>
      <tp>
        <v>0</v>
        <stp/>
        <stp>3617</stp>
        <stp>PredictVolume</stp>
        <tr r="AM1723" s="57"/>
      </tp>
      <tp>
        <v>0</v>
        <stp/>
        <stp>3607</stp>
        <stp>PredictVolume</stp>
        <tr r="AM1110" s="57"/>
      </tp>
      <tp>
        <v>0</v>
        <stp/>
        <stp>3707</stp>
        <stp>PredictVolume</stp>
        <tr r="AM598" s="57"/>
      </tp>
      <tp>
        <v>0</v>
        <stp/>
        <stp>3037</stp>
        <stp>PredictVolume</stp>
        <tr r="AM1060" s="57"/>
      </tp>
      <tp>
        <v>0</v>
        <stp/>
        <stp>3027</stp>
        <stp>PredictVolume</stp>
        <tr r="AM938" s="57"/>
      </tp>
      <tp>
        <v>0</v>
        <stp/>
        <stp>3017</stp>
        <stp>PredictVolume</stp>
        <tr r="AM724" s="57"/>
      </tp>
      <tp>
        <v>0</v>
        <stp/>
        <stp>3067</stp>
        <stp>PredictVolume</stp>
        <tr r="AM1704" s="57"/>
      </tp>
      <tp>
        <v>0</v>
        <stp/>
        <stp>3057</stp>
        <stp>PredictVolume</stp>
        <tr r="AM727" s="57"/>
      </tp>
      <tp>
        <v>0</v>
        <stp/>
        <stp>3047</stp>
        <stp>PredictVolume</stp>
        <tr r="AM940" s="57"/>
      </tp>
      <tp>
        <v>0</v>
        <stp/>
        <stp>3167</stp>
        <stp>PredictVolume</stp>
        <tr r="AM13" s="98"/>
        <tr r="AM172" s="57"/>
      </tp>
      <tp>
        <v>0</v>
        <stp/>
        <stp>3147</stp>
        <stp>PredictVolume</stp>
        <tr r="AM1300" s="57"/>
      </tp>
      <tp>
        <v>0</v>
        <stp/>
        <stp>3297</stp>
        <stp>PredictVolume</stp>
        <tr r="AM831" s="57"/>
      </tp>
      <tp>
        <v>0</v>
        <stp/>
        <stp>3287</stp>
        <stp>PredictVolume</stp>
        <tr r="AM735" s="57"/>
      </tp>
      <tp>
        <v>0</v>
        <stp/>
        <stp>3227</stp>
        <stp>PredictVolume</stp>
        <tr r="AM567" s="57"/>
      </tp>
      <tp>
        <v>0</v>
        <stp/>
        <stp>3217</stp>
        <stp>PredictVolume</stp>
        <tr r="AM1074" s="57"/>
      </tp>
      <tp>
        <v>0</v>
        <stp/>
        <stp>3207</stp>
        <stp>PredictVolume</stp>
        <tr r="AM1073" s="57"/>
      </tp>
      <tp>
        <v>0</v>
        <stp/>
        <stp>3257</stp>
        <stp>PredictVolume</stp>
        <tr r="AM569" s="57"/>
      </tp>
      <tp>
        <v>0</v>
        <stp/>
        <stp>3317</stp>
        <stp>PredictVolume</stp>
        <tr r="AM575" s="57"/>
      </tp>
      <tp>
        <v>0</v>
        <stp/>
        <stp>3357</stp>
        <stp>PredictVolume</stp>
        <tr r="AM1090" s="57"/>
      </tp>
      <tp>
        <v>0</v>
        <stp/>
        <stp>1437</stp>
        <stp>PredictVolume</stp>
        <tr r="AM1306" s="57"/>
      </tp>
      <tp>
        <v>0</v>
        <stp/>
        <stp>1417</stp>
        <stp>PredictVolume</stp>
        <tr r="AM77" s="57"/>
      </tp>
      <tp>
        <v>0</v>
        <stp/>
        <stp>1477</stp>
        <stp>PredictVolume</stp>
        <tr r="AM112" s="57"/>
      </tp>
      <tp>
        <v>0</v>
        <stp/>
        <stp>1467</stp>
        <stp>PredictVolume</stp>
        <tr r="AM104" s="57"/>
      </tp>
      <tp>
        <v>0</v>
        <stp/>
        <stp>1457</stp>
        <stp>PredictVolume</stp>
        <tr r="AM97" s="57"/>
      </tp>
      <tp>
        <v>0</v>
        <stp/>
        <stp>1447</stp>
        <stp>PredictVolume</stp>
        <tr r="AM89" s="57"/>
      </tp>
      <tp>
        <v>0</v>
        <stp/>
        <stp>1597</stp>
        <stp>PredictVolume</stp>
        <tr r="AM161" s="57"/>
      </tp>
      <tp>
        <v>0</v>
        <stp/>
        <stp>1587</stp>
        <stp>PredictVolume</stp>
        <tr r="AM504" s="57"/>
      </tp>
      <tp>
        <v>0</v>
        <stp/>
        <stp>1537</stp>
        <stp>PredictVolume</stp>
        <tr r="AM147" s="57"/>
      </tp>
      <tp>
        <v>0</v>
        <stp/>
        <stp>1527</stp>
        <stp>PredictVolume</stp>
        <tr r="AM140" s="57"/>
      </tp>
      <tp>
        <v>0</v>
        <stp/>
        <stp>1517</stp>
        <stp>PredictVolume</stp>
        <tr r="AM137" s="57"/>
      </tp>
      <tp>
        <v>0</v>
        <stp/>
        <stp>1507</stp>
        <stp>PredictVolume</stp>
        <tr r="AM133" s="57"/>
      </tp>
      <tp>
        <v>0</v>
        <stp/>
        <stp>1617</stp>
        <stp>PredictVolume</stp>
        <tr r="AM234" s="57"/>
      </tp>
      <tp>
        <v>0</v>
        <stp/>
        <stp>1737</stp>
        <stp>PredictVolume</stp>
        <tr r="AM37" s="57"/>
      </tp>
      <tp>
        <v>0</v>
        <stp/>
        <stp>1727</stp>
        <stp>PredictVolume</stp>
        <tr r="AM258" s="57"/>
      </tp>
      <tp>
        <v>0</v>
        <stp/>
        <stp>1717</stp>
        <stp>PredictVolume</stp>
        <tr r="AM250" s="57"/>
      </tp>
      <tp>
        <v>0</v>
        <stp/>
        <stp>1707</stp>
        <stp>PredictVolume</stp>
        <tr r="AM292" s="57"/>
      </tp>
      <tp>
        <v>0</v>
        <stp/>
        <stp>1777</stp>
        <stp>PredictVolume</stp>
        <tr r="AM301" s="57"/>
      </tp>
      <tp>
        <v>0</v>
        <stp/>
        <stp>1227</stp>
        <stp>PredictVolume</stp>
        <tr r="AM25" s="57"/>
      </tp>
      <tp>
        <v>0</v>
        <stp/>
        <stp>1217</stp>
        <stp>PredictVolume</stp>
        <tr r="AM20" s="57"/>
      </tp>
      <tp>
        <v>0</v>
        <stp/>
        <stp>1337</stp>
        <stp>PredictVolume</stp>
        <tr r="AM61" s="57"/>
      </tp>
      <tp>
        <v>0</v>
        <stp/>
        <stp>1307</stp>
        <stp>PredictVolume</stp>
        <tr r="AM48" s="57"/>
      </tp>
      <tp>
        <v>0</v>
        <stp/>
        <stp>1817</stp>
        <stp>PredictVolume</stp>
        <tr r="AM420" s="57"/>
      </tp>
      <tp>
        <v>0</v>
        <stp/>
        <stp>1907</stp>
        <stp>PredictVolume</stp>
        <tr r="AM427" s="57"/>
      </tp>
      <tp>
        <v>0</v>
        <stp/>
        <stp>8437</stp>
        <stp>PredictVolume</stp>
        <tr r="AM1371" s="57"/>
      </tp>
      <tp>
        <v>0</v>
        <stp/>
        <stp>8427</stp>
        <stp>PredictVolume</stp>
        <tr r="AM1369" s="57"/>
      </tp>
      <tp>
        <v>0</v>
        <stp/>
        <stp>8477</stp>
        <stp>PredictVolume</stp>
        <tr r="AM1804" s="57"/>
      </tp>
      <tp>
        <v>0</v>
        <stp/>
        <stp>8467</stp>
        <stp>PredictVolume</stp>
        <tr r="AM1378" s="57"/>
      </tp>
      <tp>
        <v>0</v>
        <stp/>
        <stp>8097</stp>
        <stp>PredictVolume</stp>
        <tr r="AM1008" s="57"/>
      </tp>
      <tp>
        <v>0</v>
        <stp/>
        <stp>8087</stp>
        <stp>PredictVolume</stp>
        <tr r="AM917" s="57"/>
      </tp>
      <tp>
        <v>0</v>
        <stp/>
        <stp>8027</stp>
        <stp>PredictVolume</stp>
        <tr r="AM214" s="57"/>
      </tp>
      <tp>
        <v>0</v>
        <stp/>
        <stp>8077</stp>
        <stp>PredictVolume</stp>
        <tr r="AM1578" s="57"/>
      </tp>
      <tp>
        <v>0</v>
        <stp/>
        <stp>8067</stp>
        <stp>PredictVolume</stp>
        <tr r="AM1252" s="57"/>
      </tp>
      <tp>
        <v>0</v>
        <stp/>
        <stp>8047</stp>
        <stp>PredictVolume</stp>
        <tr r="AM1759" s="57"/>
      </tp>
      <tp>
        <v>0</v>
        <stp/>
        <stp>8107</stp>
        <stp>PredictVolume</stp>
        <tr r="AM216" s="57"/>
      </tp>
      <tp>
        <v>0</v>
        <stp/>
        <stp>8147</stp>
        <stp>PredictVolume</stp>
        <tr r="AM1213" s="57"/>
      </tp>
      <tp>
        <v>0</v>
        <stp/>
        <stp>8277</stp>
        <stp>PredictVolume</stp>
        <tr r="AM691" s="57"/>
      </tp>
      <tp>
        <v>0</v>
        <stp/>
        <stp>8367</stp>
        <stp>PredictVolume</stp>
        <tr r="AM1535" s="57"/>
      </tp>
      <tp>
        <v>0</v>
        <stp/>
        <stp>8937</stp>
        <stp>PredictVolume</stp>
        <tr r="AM1398" s="57"/>
      </tp>
      <tp>
        <v>0</v>
        <stp/>
        <stp>8927</stp>
        <stp>PredictVolume</stp>
        <tr r="AM1680" s="57"/>
      </tp>
      <tp>
        <v>0</v>
        <stp/>
        <stp>8917</stp>
        <stp>PredictVolume</stp>
        <tr r="AM1671" s="57"/>
      </tp>
      <tp>
        <v>0</v>
        <stp/>
        <stp>9937</stp>
        <stp>PredictVolume</stp>
        <tr r="AM1678" s="57"/>
      </tp>
      <tp>
        <v>0</v>
        <stp/>
        <stp>9927</stp>
        <stp>PredictVolume</stp>
        <tr r="AM1414" s="57"/>
      </tp>
      <tp>
        <v>0</v>
        <stp/>
        <stp>9917</stp>
        <stp>PredictVolume</stp>
        <tr r="AM1409" s="57"/>
      </tp>
      <tp>
        <v>0</v>
        <stp/>
        <stp>9907</stp>
        <stp>PredictVolume</stp>
        <tr r="AM1405" s="57"/>
      </tp>
      <tp>
        <v>0</v>
        <stp/>
        <stp>2221</stp>
        <stp>CumulativeVolume</stp>
        <tr r="AN1310" s="57"/>
      </tp>
      <tp>
        <v>0</v>
        <stp/>
        <stp>2321</stp>
        <stp>CumulativeVolume</stp>
        <tr r="AN926" s="57"/>
      </tp>
      <tp>
        <v>0</v>
        <stp/>
        <stp>2421</stp>
        <stp>CumulativeVolume</stp>
        <tr r="AN1036" s="57"/>
      </tp>
      <tp>
        <v>0</v>
        <stp/>
        <stp>3221</stp>
        <stp>CumulativeVolume</stp>
        <tr r="AN947" s="57"/>
      </tp>
      <tp>
        <v>0</v>
        <stp/>
        <stp>3321</stp>
        <stp>CumulativeVolume</stp>
        <tr r="AN1085" s="57"/>
      </tp>
      <tp>
        <v>0</v>
        <stp/>
        <stp>3021</stp>
        <stp>CumulativeVolume</stp>
        <tr r="AN1056" s="57"/>
      </tp>
      <tp>
        <v>0</v>
        <stp/>
        <stp>3521</stp>
        <stp>CumulativeVolume</stp>
        <tr r="AN743" s="57"/>
      </tp>
      <tp>
        <v>0</v>
        <stp/>
        <stp>1321</stp>
        <stp>CumulativeVolume</stp>
        <tr r="AN56" s="57"/>
      </tp>
      <tp>
        <v>0</v>
        <stp/>
        <stp>1721</stp>
        <stp>CumulativeVolume</stp>
        <tr r="AN252" s="57"/>
      </tp>
      <tp>
        <v>0</v>
        <stp/>
        <stp>1521</stp>
        <stp>CumulativeVolume</stp>
        <tr r="AN497" s="57"/>
      </tp>
      <tp>
        <v>0</v>
        <stp/>
        <stp>6221</stp>
        <stp>CumulativeVolume</stp>
        <tr r="AN1286" s="57"/>
      </tp>
      <tp>
        <v>0</v>
        <stp/>
        <stp>6021</stp>
        <stp>CumulativeVolume</stp>
        <tr r="AN1624" s="57"/>
      </tp>
      <tp>
        <v>0</v>
        <stp/>
        <stp>6121</stp>
        <stp>CumulativeVolume</stp>
        <tr r="AN772" s="57"/>
      </tp>
      <tp>
        <v>0</v>
        <stp/>
        <stp>4121</stp>
        <stp>CumulativeVolume</stp>
        <tr r="AN329" s="57"/>
      </tp>
      <tp>
        <v>0</v>
        <stp/>
        <stp>4721</stp>
        <stp>CumulativeVolume</stp>
        <tr r="AN273" s="57"/>
      </tp>
      <tp>
        <v>0</v>
        <stp/>
        <stp>5321</stp>
        <stp>CumulativeVolume</stp>
        <tr r="AN1134" s="57"/>
      </tp>
      <tp>
        <v>0</v>
        <stp/>
        <stp>5521</stp>
        <stp>CumulativeVolume</stp>
        <tr r="AN1487" s="57"/>
      </tp>
      <tp>
        <v>0</v>
        <stp/>
        <stp>8021</stp>
        <stp>CumulativeVolume</stp>
        <tr r="AN1758" s="57"/>
      </tp>
      <tp>
        <v>0</v>
        <stp/>
        <stp>8121</stp>
        <stp>CumulativeVolume</stp>
        <tr r="AN1212" s="57"/>
      </tp>
      <tp>
        <v>0</v>
        <stp/>
        <stp>8421</stp>
        <stp>CumulativeVolume</stp>
        <tr r="AN1365" s="57"/>
      </tp>
      <tp>
        <v>0</v>
        <stp/>
        <stp>8921</stp>
        <stp>CumulativeVolume</stp>
        <tr r="AN1390" s="57"/>
      </tp>
      <tp>
        <v>0</v>
        <stp/>
        <stp>9921</stp>
        <stp>CumulativeVolume</stp>
        <tr r="AN1411" s="57"/>
      </tp>
      <tp>
        <v>0</v>
        <stp/>
        <stp>2020</stp>
        <stp>CumulativeVolume</stp>
        <tr r="AN442" s="57"/>
      </tp>
      <tp>
        <v>0</v>
        <stp/>
        <stp>2420</stp>
        <stp>CumulativeVolume</stp>
        <tr r="AN1035" s="57"/>
      </tp>
      <tp>
        <v>0</v>
        <stp/>
        <stp>2520</stp>
        <stp>CumulativeVolume</stp>
        <tr r="AN1444" s="57"/>
      </tp>
      <tp>
        <v>0</v>
        <stp/>
        <stp>2820</stp>
        <stp>CumulativeVolume</stp>
        <tr r="AN1588" s="57"/>
      </tp>
      <tp>
        <v>0</v>
        <stp/>
        <stp>3520</stp>
        <stp>CumulativeVolume</stp>
        <tr r="AN1101" s="57"/>
      </tp>
      <tp>
        <v>0</v>
        <stp/>
        <stp>1220</stp>
        <stp>CumulativeVolume</stp>
        <tr r="AN23" s="57"/>
      </tp>
      <tp>
        <v>0</v>
        <stp/>
        <stp>1720</stp>
        <stp>CumulativeVolume</stp>
        <tr r="AN293" s="57"/>
      </tp>
      <tp>
        <v>0</v>
        <stp/>
        <stp>6220</stp>
        <stp>CumulativeVolume</stp>
        <tr r="AN1177" s="57"/>
      </tp>
      <tp>
        <v>0</v>
        <stp/>
        <stp>6020</stp>
        <stp>CumulativeVolume</stp>
        <tr r="AN1623" s="57"/>
      </tp>
      <tp>
        <v>0</v>
        <stp/>
        <stp>6120</stp>
        <stp>CumulativeVolume</stp>
        <tr r="AN888" s="57"/>
      </tp>
      <tp>
        <v>0</v>
        <stp/>
        <stp>4120</stp>
        <stp>CumulativeVolume</stp>
        <tr r="AN328" s="57"/>
      </tp>
      <tp>
        <v>0</v>
        <stp/>
        <stp>4720</stp>
        <stp>CumulativeVolume</stp>
        <tr r="AN272" s="57"/>
      </tp>
      <tp>
        <v>0</v>
        <stp/>
        <stp>4420</stp>
        <stp>CumulativeVolume</stp>
        <tr r="AN120" s="57"/>
      </tp>
      <tp>
        <v>0</v>
        <stp/>
        <stp>5220</stp>
        <stp>CumulativeVolume</stp>
        <tr r="AN874" s="57"/>
      </tp>
      <tp>
        <v>0</v>
        <stp/>
        <stp>5520</stp>
        <stp>CumulativeVolume</stp>
        <tr r="AN1486" s="57"/>
      </tp>
      <tp>
        <v>0</v>
        <stp/>
        <stp>5820</stp>
        <stp>CumulativeVolume</stp>
        <tr r="AN1615" s="57"/>
      </tp>
      <tp>
        <v>0</v>
        <stp/>
        <stp>8420</stp>
        <stp>CumulativeVolume</stp>
        <tr r="AN1364" s="57"/>
      </tp>
      <tp>
        <v>0</v>
        <stp/>
        <stp>2323</stp>
        <stp>CumulativeVolume</stp>
        <tr r="AN805" s="57"/>
      </tp>
      <tp>
        <v>0</v>
        <stp/>
        <stp>2023</stp>
        <stp>CumulativeVolume</stp>
        <tr r="AN444" s="57"/>
      </tp>
      <tp>
        <v>0</v>
        <stp/>
        <stp>2723</stp>
        <stp>CumulativeVolume</stp>
        <tr r="AN1550" s="57"/>
      </tp>
      <tp>
        <v>0</v>
        <stp/>
        <stp>2423</stp>
        <stp>CumulativeVolume</stp>
        <tr r="AN1692" s="57"/>
      </tp>
      <tp t="s">
        <v>商品錯誤</v>
        <stp/>
        <stp>2823</stp>
        <stp>CumulativeVolume</stp>
        <tr r="AN1589" s="57"/>
      </tp>
      <tp>
        <v>0</v>
        <stp/>
        <stp>2923</stp>
        <stp>CumulativeVolume</stp>
        <tr r="AN1465" s="57"/>
      </tp>
      <tp>
        <v>0</v>
        <stp/>
        <stp>3323</stp>
        <stp>CumulativeVolume</stp>
        <tr r="AN736" s="57"/>
      </tp>
      <tp>
        <v>0</v>
        <stp/>
        <stp>3023</stp>
        <stp>CumulativeVolume</stp>
        <tr r="AN1057" s="57"/>
      </tp>
      <tp>
        <v>0</v>
        <stp/>
        <stp>3623</stp>
        <stp>CumulativeVolume</stp>
        <tr r="AN854" s="57"/>
      </tp>
      <tp>
        <v>0</v>
        <stp/>
        <stp>1323</stp>
        <stp>CumulativeVolume</stp>
        <tr r="AN57" s="57"/>
      </tp>
      <tp>
        <v>0</v>
        <stp/>
        <stp>1723</stp>
        <stp>CumulativeVolume</stp>
        <tr r="AN254" s="57"/>
      </tp>
      <tp>
        <v>0</v>
        <stp/>
        <stp>1423</stp>
        <stp>CumulativeVolume</stp>
        <tr r="AN80" s="57"/>
      </tp>
      <tp>
        <v>0</v>
        <stp/>
        <stp>6223</stp>
        <stp>CumulativeVolume</stp>
        <tr r="AN12" s="99"/>
        <tr r="AN46" s="28"/>
        <tr r="AN635" s="57"/>
        <tr r="AN41" s="98"/>
      </tp>
      <tp>
        <v>0</v>
        <stp/>
        <stp>6023</stp>
        <stp>CumulativeVolume</stp>
        <tr r="AN1625" s="57"/>
      </tp>
      <tp>
        <v>0</v>
        <stp/>
        <stp>6123</stp>
        <stp>CumulativeVolume</stp>
        <tr r="AN773" s="57"/>
      </tp>
      <tp>
        <v>0</v>
        <stp/>
        <stp>6523</stp>
        <stp>CumulativeVolume</stp>
        <tr r="AN14" s="28"/>
        <tr r="AN386" s="57"/>
      </tp>
      <tp>
        <v>0</v>
        <stp/>
        <stp>4123</stp>
        <stp>CumulativeVolume</stp>
        <tr r="AN330" s="57"/>
      </tp>
      <tp>
        <v>0</v>
        <stp/>
        <stp>4523</stp>
        <stp>CumulativeVolume</stp>
        <tr r="AN182" s="57"/>
      </tp>
      <tp>
        <v>0</v>
        <stp/>
        <stp>5223</stp>
        <stp>CumulativeVolume</stp>
        <tr r="AN17" s="28"/>
        <tr r="AN761" s="57"/>
      </tp>
      <tp>
        <v>0</v>
        <stp/>
        <stp>5523</stp>
        <stp>CumulativeVolume</stp>
        <tr r="AN1488" s="57"/>
      </tp>
      <tp>
        <v>0</v>
        <stp/>
        <stp>8423</stp>
        <stp>CumulativeVolume</stp>
        <tr r="AN1367" s="57"/>
      </tp>
      <tp>
        <v>0</v>
        <stp/>
        <stp>8923</stp>
        <stp>CumulativeVolume</stp>
        <tr r="AN1793" s="57"/>
      </tp>
      <tp>
        <v>0</v>
        <stp/>
        <stp>2022</stp>
        <stp>CumulativeVolume</stp>
        <tr r="AN443" s="57"/>
      </tp>
      <tp>
        <v>0</v>
        <stp/>
        <stp>2722</stp>
        <stp>CumulativeVolume</stp>
        <tr r="AN1549" s="57"/>
      </tp>
      <tp>
        <v>0</v>
        <stp/>
        <stp>3322</stp>
        <stp>CumulativeVolume</stp>
        <tr r="AN1086" s="57"/>
      </tp>
      <tp>
        <v>0</v>
        <stp/>
        <stp>3022</stp>
        <stp>CumulativeVolume</stp>
        <tr r="AN725" s="57"/>
      </tp>
      <tp>
        <v>0</v>
        <stp/>
        <stp>3122</stp>
        <stp>CumulativeVolume</stp>
        <tr r="AN562" s="57"/>
      </tp>
      <tp>
        <v>0</v>
        <stp/>
        <stp>3622</stp>
        <stp>CumulativeVolume</stp>
        <tr r="AN853" s="57"/>
      </tp>
      <tp>
        <v>0</v>
        <stp/>
        <stp>3522</stp>
        <stp>CumulativeVolume</stp>
        <tr r="AN1570" s="57"/>
      </tp>
      <tp>
        <v>0</v>
        <stp/>
        <stp>1722</stp>
        <stp>CumulativeVolume</stp>
        <tr r="AN253" s="57"/>
      </tp>
      <tp>
        <v>0</v>
        <stp/>
        <stp>1522</stp>
        <stp>CumulativeVolume</stp>
        <tr r="AN498" s="57"/>
      </tp>
      <tp>
        <v>0</v>
        <stp/>
        <stp>6222</stp>
        <stp>CumulativeVolume</stp>
        <tr r="AN895" s="57"/>
      </tp>
      <tp>
        <v>0</v>
        <stp/>
        <stp>6122</stp>
        <stp>CumulativeVolume</stp>
        <tr r="AN210" s="57"/>
      </tp>
      <tp>
        <v>0</v>
        <stp/>
        <stp>4722</stp>
        <stp>CumulativeVolume</stp>
        <tr r="AN274" s="57"/>
      </tp>
      <tp>
        <v>0</v>
        <stp/>
        <stp>5222</stp>
        <stp>CumulativeVolume</stp>
        <tr r="AN610" s="57"/>
      </tp>
      <tp>
        <v>0</v>
        <stp/>
        <stp>5522</stp>
        <stp>CumulativeVolume</stp>
        <tr r="AN1814" s="57"/>
      </tp>
      <tp>
        <v>0</v>
        <stp/>
        <stp>8222</stp>
        <stp>CumulativeVolume</stp>
        <tr r="AN217" s="57"/>
      </tp>
      <tp>
        <v>0</v>
        <stp/>
        <stp>8422</stp>
        <stp>CumulativeVolume</stp>
        <tr r="AN3" s="98"/>
        <tr r="AN1366" s="57"/>
      </tp>
      <tp>
        <v>0</v>
        <stp/>
        <stp>2025</stp>
        <stp>CumulativeVolume</stp>
        <tr r="AN446" s="57"/>
      </tp>
      <tp>
        <v>0</v>
        <stp/>
        <stp>2425</stp>
        <stp>CumulativeVolume</stp>
        <tr r="AN718" s="57"/>
      </tp>
      <tp>
        <v>0</v>
        <stp/>
        <stp>3325</stp>
        <stp>CumulativeVolume</stp>
        <tr r="AN737" s="57"/>
      </tp>
      <tp>
        <v>0</v>
        <stp/>
        <stp>3025</stp>
        <stp>CumulativeVolume</stp>
        <tr r="AN937" s="57"/>
      </tp>
      <tp>
        <v>0</v>
        <stp/>
        <stp>3625</stp>
        <stp>CumulativeVolume</stp>
        <tr r="AN748" s="57"/>
      </tp>
      <tp>
        <v>0</v>
        <stp/>
        <stp>1225</stp>
        <stp>CumulativeVolume</stp>
        <tr r="AN24" s="57"/>
      </tp>
      <tp>
        <v>0</v>
        <stp/>
        <stp>1325</stp>
        <stp>CumulativeVolume</stp>
        <tr r="AN59" s="57"/>
        <tr r="AN40" s="28"/>
        <tr r="AN12" s="102"/>
      </tp>
      <tp>
        <v>0</v>
        <stp/>
        <stp>1725</stp>
        <stp>CumulativeVolume</stp>
        <tr r="AN256" s="57"/>
      </tp>
      <tp>
        <v>0</v>
        <stp/>
        <stp>1525</stp>
        <stp>CumulativeVolume</stp>
        <tr r="AN500" s="57"/>
      </tp>
      <tp>
        <v>0</v>
        <stp/>
        <stp>6225</stp>
        <stp>CumulativeVolume</stp>
        <tr r="AN896" s="57"/>
      </tp>
      <tp>
        <v>0</v>
        <stp/>
        <stp>6125</stp>
        <stp>CumulativeVolume</stp>
        <tr r="AN889" s="57"/>
      </tp>
      <tp>
        <v>0</v>
        <stp/>
        <stp>6625</stp>
        <stp>CumulativeVolume</stp>
        <tr r="AN1345" s="57"/>
      </tp>
      <tp>
        <v>0</v>
        <stp/>
        <stp>6425</stp>
        <stp>CumulativeVolume</stp>
        <tr r="AN211" s="57"/>
      </tp>
      <tp>
        <v>0</v>
        <stp/>
        <stp>6525</stp>
        <stp>CumulativeVolume</stp>
        <tr r="AN657" s="57"/>
      </tp>
      <tp>
        <v>0</v>
        <stp/>
        <stp>5225</stp>
        <stp>CumulativeVolume</stp>
        <tr r="AN1731" s="57"/>
      </tp>
      <tp>
        <v>0</v>
        <stp/>
        <stp>5425</stp>
        <stp>CumulativeVolume</stp>
        <tr r="AN622" s="57"/>
      </tp>
      <tp>
        <v>0</v>
        <stp/>
        <stp>5525</stp>
        <stp>CumulativeVolume</stp>
        <tr r="AN1489" s="57"/>
      </tp>
      <tp>
        <v>0</v>
        <stp/>
        <stp>9925</stp>
        <stp>CumulativeVolume</stp>
        <tr r="AN1413" s="57"/>
      </tp>
      <tp>
        <v>0</v>
        <stp/>
        <stp>2324</stp>
        <stp>CumulativeVolume</stp>
        <tr r="AN698" s="57"/>
      </tp>
      <tp>
        <v>0</v>
        <stp/>
        <stp>2024</stp>
        <stp>CumulativeVolume</stp>
        <tr r="AN445" s="57"/>
      </tp>
      <tp t="s">
        <v>商品錯誤</v>
        <stp/>
        <stp>2724</stp>
        <stp>CumulativeVolume</stp>
        <tr r="AN1551" s="57"/>
      </tp>
      <tp>
        <v>0</v>
        <stp/>
        <stp>2424</stp>
        <stp>CumulativeVolume</stp>
        <tr r="AN717" s="57"/>
      </tp>
      <tp>
        <v>0</v>
        <stp/>
        <stp>2524</stp>
        <stp>CumulativeVolume</stp>
        <tr r="AN1445" s="57"/>
      </tp>
      <tp>
        <v>0</v>
        <stp/>
        <stp>2924</stp>
        <stp>CumulativeVolume</stp>
        <tr r="AN1644" s="57"/>
      </tp>
      <tp>
        <v>0</v>
        <stp/>
        <stp>3224</stp>
        <stp>CumulativeVolume</stp>
        <tr r="AN1234" s="57"/>
      </tp>
      <tp>
        <v>0</v>
        <stp/>
        <stp>3324</stp>
        <stp>CumulativeVolume</stp>
        <tr r="AN1711" s="57"/>
      </tp>
      <tp>
        <v>0</v>
        <stp/>
        <stp>3024</stp>
        <stp>CumulativeVolume</stp>
        <tr r="AN820" s="57"/>
      </tp>
      <tp>
        <v>0</v>
        <stp/>
        <stp>3624</stp>
        <stp>CumulativeVolume</stp>
        <tr r="AN14" s="115"/>
        <tr r="AN1112" s="57"/>
      </tp>
      <tp>
        <v>0</v>
        <stp/>
        <stp>1324</stp>
        <stp>CumulativeVolume</stp>
        <tr r="AN58" s="57"/>
      </tp>
      <tp t="s">
        <v>商品錯誤</v>
        <stp/>
        <stp>1724</stp>
        <stp>CumulativeVolume</stp>
        <tr r="AN255" s="57"/>
      </tp>
      <tp>
        <v>0</v>
        <stp/>
        <stp>1524</stp>
        <stp>CumulativeVolume</stp>
        <tr r="AN499" s="57"/>
      </tp>
      <tp>
        <v>0</v>
        <stp/>
        <stp>6224</stp>
        <stp>CumulativeVolume</stp>
        <tr r="AN1178" s="57"/>
      </tp>
      <tp>
        <v>0</v>
        <stp/>
        <stp>6024</stp>
        <stp>CumulativeVolume</stp>
        <tr r="AN1626" s="57"/>
      </tp>
      <tp>
        <v>0</v>
        <stp/>
        <stp>6124</stp>
        <stp>CumulativeVolume</stp>
        <tr r="AN1151" s="57"/>
      </tp>
      <tp>
        <v>0</v>
        <stp/>
        <stp>6624</stp>
        <stp>CumulativeVolume</stp>
        <tr r="AN1344" s="57"/>
      </tp>
      <tp>
        <v>0</v>
        <stp/>
        <stp>4924</stp>
        <stp>CumulativeVolume</stp>
        <tr r="AN756" s="57"/>
      </tp>
      <tp>
        <v>0</v>
        <stp/>
        <stp>5324</stp>
        <stp>CumulativeVolume</stp>
        <tr r="AN1477" s="57"/>
      </tp>
      <tp>
        <v>0</v>
        <stp/>
        <stp>8024</stp>
        <stp>CumulativeVolume</stp>
        <tr r="AN679" s="57"/>
      </tp>
      <tp>
        <v>0</v>
        <stp/>
        <stp>8424</stp>
        <stp>CumulativeVolume</stp>
        <tr r="AN1502" s="57"/>
      </tp>
      <tp>
        <v>0</v>
        <stp/>
        <stp>8924</stp>
        <stp>CumulativeVolume</stp>
        <tr r="AN1391" s="57"/>
      </tp>
      <tp>
        <v>0</v>
        <stp/>
        <stp>9924</stp>
        <stp>CumulativeVolume</stp>
        <tr r="AN1412" s="57"/>
      </tp>
      <tp>
        <v>0</v>
        <stp/>
        <stp>2227</stp>
        <stp>CumulativeVolume</stp>
        <tr r="AN511" s="57"/>
      </tp>
      <tp>
        <v>0</v>
        <stp/>
        <stp>2327</stp>
        <stp>CumulativeVolume</stp>
        <tr r="AN1023" s="57"/>
      </tp>
      <tp>
        <v>0</v>
        <stp/>
        <stp>2027</stp>
        <stp>CumulativeVolume</stp>
        <tr r="AN447" s="57"/>
      </tp>
      <tp>
        <v>0</v>
        <stp/>
        <stp>2727</stp>
        <stp>CumulativeVolume</stp>
        <tr r="AN1553" s="57"/>
      </tp>
      <tp>
        <v>0</v>
        <stp/>
        <stp>2427</stp>
        <stp>CumulativeVolume</stp>
        <tr r="AN1261" s="57"/>
      </tp>
      <tp>
        <v>0</v>
        <stp/>
        <stp>2527</stp>
        <stp>CumulativeVolume</stp>
        <tr r="AN1446" s="57"/>
      </tp>
      <tp>
        <v>0</v>
        <stp/>
        <stp>3227</stp>
        <stp>CumulativeVolume</stp>
        <tr r="AN567" s="57"/>
      </tp>
      <tp>
        <v>0</v>
        <stp/>
        <stp>3027</stp>
        <stp>CumulativeVolume</stp>
        <tr r="AN938" s="57"/>
      </tp>
      <tp>
        <v>0</v>
        <stp/>
        <stp>3527</stp>
        <stp>CumulativeVolume</stp>
        <tr r="AN581" s="57"/>
      </tp>
      <tp>
        <v>0</v>
        <stp/>
        <stp>1227</stp>
        <stp>CumulativeVolume</stp>
        <tr r="AN25" s="57"/>
      </tp>
      <tp>
        <v>0</v>
        <stp/>
        <stp>1727</stp>
        <stp>CumulativeVolume</stp>
        <tr r="AN258" s="57"/>
      </tp>
      <tp>
        <v>0</v>
        <stp/>
        <stp>1527</stp>
        <stp>CumulativeVolume</stp>
        <tr r="AN140" s="57"/>
      </tp>
      <tp>
        <v>0</v>
        <stp/>
        <stp>6227</stp>
        <stp>CumulativeVolume</stp>
        <tr r="AN1246" s="57"/>
      </tp>
      <tp>
        <v>0</v>
        <stp/>
        <stp>6127</stp>
        <stp>CumulativeVolume</stp>
        <tr r="AN1153" s="57"/>
      </tp>
      <tp>
        <v>0</v>
        <stp/>
        <stp>6527</stp>
        <stp>CumulativeVolume</stp>
        <tr r="AN387" s="57"/>
      </tp>
      <tp>
        <v>0</v>
        <stp/>
        <stp>4127</stp>
        <stp>CumulativeVolume</stp>
        <tr r="AN332" s="57"/>
      </tp>
      <tp>
        <v>0</v>
        <stp/>
        <stp>4527</stp>
        <stp>CumulativeVolume</stp>
        <tr r="AN184" s="57"/>
      </tp>
      <tp>
        <v>0</v>
        <stp/>
        <stp>4927</stp>
        <stp>CumulativeVolume</stp>
        <tr r="AN1124" s="57"/>
        <tr r="AN12" s="98"/>
      </tp>
      <tp>
        <v>0</v>
        <stp/>
        <stp>5227</stp>
        <stp>CumulativeVolume</stp>
        <tr r="AN1131" s="57"/>
      </tp>
      <tp>
        <v>0</v>
        <stp/>
        <stp>8027</stp>
        <stp>CumulativeVolume</stp>
        <tr r="AN214" s="57"/>
      </tp>
      <tp>
        <v>0</v>
        <stp/>
        <stp>8427</stp>
        <stp>CumulativeVolume</stp>
        <tr r="AN1369" s="57"/>
      </tp>
      <tp>
        <v>0</v>
        <stp/>
        <stp>8927</stp>
        <stp>CumulativeVolume</stp>
        <tr r="AN1680" s="57"/>
      </tp>
      <tp>
        <v>0</v>
        <stp/>
        <stp>9927</stp>
        <stp>CumulativeVolume</stp>
        <tr r="AN1414" s="57"/>
      </tp>
      <tp>
        <v>0</v>
        <stp/>
        <stp>2726</stp>
        <stp>CumulativeVolume</stp>
        <tr r="AN1552" s="57"/>
      </tp>
      <tp>
        <v>0</v>
        <stp/>
        <stp>2426</stp>
        <stp>CumulativeVolume</stp>
        <tr r="AN812" s="57"/>
      </tp>
      <tp>
        <v>0</v>
        <stp/>
        <stp>2926</stp>
        <stp>CumulativeVolume</stp>
        <tr r="AN1769" s="57"/>
      </tp>
      <tp>
        <v>0</v>
        <stp/>
        <stp>3226</stp>
        <stp>CumulativeVolume</stp>
        <tr r="AN174" s="57"/>
      </tp>
      <tp>
        <v>0</v>
        <stp/>
        <stp>3026</stp>
        <stp>CumulativeVolume</stp>
        <tr r="AN1058" s="57"/>
      </tp>
      <tp>
        <v>0</v>
        <stp/>
        <stp>3426</stp>
        <stp>CumulativeVolume</stp>
        <tr r="AN176" s="57"/>
      </tp>
      <tp>
        <v>0</v>
        <stp/>
        <stp>3526</stp>
        <stp>CumulativeVolume</stp>
        <tr r="AN1102" s="57"/>
      </tp>
      <tp>
        <v>0</v>
        <stp/>
        <stp>1326</stp>
        <stp>CumulativeVolume</stp>
        <tr r="AN60" s="57"/>
      </tp>
      <tp>
        <v>0</v>
        <stp/>
        <stp>1626</stp>
        <stp>CumulativeVolume</stp>
        <tr r="AN236" s="57"/>
      </tp>
      <tp>
        <v>0</v>
        <stp/>
        <stp>1726</stp>
        <stp>CumulativeVolume</stp>
        <tr r="AN257" s="57"/>
      </tp>
      <tp>
        <v>0</v>
        <stp/>
        <stp>1526</stp>
        <stp>CumulativeVolume</stp>
        <tr r="AN139" s="57"/>
      </tp>
      <tp>
        <v>0</v>
        <stp/>
        <stp>6226</stp>
        <stp>CumulativeVolume</stp>
        <tr r="AN897" s="57"/>
      </tp>
      <tp>
        <v>0</v>
        <stp/>
        <stp>6026</stp>
        <stp>CumulativeVolume</stp>
        <tr r="AN1627" s="57"/>
      </tp>
      <tp>
        <v>0</v>
        <stp/>
        <stp>6126</stp>
        <stp>CumulativeVolume</stp>
        <tr r="AN1152" s="57"/>
      </tp>
      <tp>
        <v>0</v>
        <stp/>
        <stp>6426</stp>
        <stp>CumulativeVolume</stp>
        <tr r="AN993" s="57"/>
      </tp>
      <tp>
        <v>0</v>
        <stp/>
        <stp>4126</stp>
        <stp>CumulativeVolume</stp>
        <tr r="AN10" s="98"/>
        <tr r="AN331" s="57"/>
      </tp>
      <tp>
        <v>0</v>
        <stp/>
        <stp>4726</stp>
        <stp>CumulativeVolume</stp>
        <tr r="AN364" s="57"/>
      </tp>
      <tp>
        <v>0</v>
        <stp/>
        <stp>4426</stp>
        <stp>CumulativeVolume</stp>
        <tr r="AN121" s="57"/>
      </tp>
      <tp>
        <v>0</v>
        <stp/>
        <stp>4526</stp>
        <stp>CumulativeVolume</stp>
        <tr r="AN183" s="57"/>
      </tp>
      <tp>
        <v>0</v>
        <stp/>
        <stp>5426</stp>
        <stp>CumulativeVolume</stp>
        <tr r="AN766" s="57"/>
      </tp>
      <tp>
        <v>0</v>
        <stp/>
        <stp>8426</stp>
        <stp>CumulativeVolume</stp>
        <tr r="AN1368" s="57"/>
      </tp>
      <tp>
        <v>0</v>
        <stp/>
        <stp>8926</stp>
        <stp>CumulativeVolume</stp>
        <tr r="AN1670" s="57"/>
      </tp>
      <tp>
        <v>0</v>
        <stp/>
        <stp>9926</stp>
        <stp>CumulativeVolume</stp>
        <tr r="AN1675" s="57"/>
      </tp>
      <tp>
        <v>0</v>
        <stp/>
        <stp>2329</stp>
        <stp>CumulativeVolume</stp>
        <tr r="AN531" s="57"/>
      </tp>
      <tp>
        <v>0</v>
        <stp/>
        <stp>2029</stp>
        <stp>CumulativeVolume</stp>
        <tr r="AN449" s="57"/>
      </tp>
      <tp>
        <v>0</v>
        <stp/>
        <stp>2729</stp>
        <stp>CumulativeVolume</stp>
        <tr r="AN1554" s="57"/>
      </tp>
      <tp>
        <v>0</v>
        <stp/>
        <stp>2429</stp>
        <stp>CumulativeVolume</stp>
        <tr r="AN1038" s="57"/>
      </tp>
      <tp t="s">
        <v>商品錯誤</v>
        <stp/>
        <stp>3229</stp>
        <stp>CumulativeVolume</stp>
        <tr r="AN1075" s="57"/>
      </tp>
      <tp>
        <v>0</v>
        <stp/>
        <stp>3029</stp>
        <stp>CumulativeVolume</stp>
        <tr r="AN14" s="98"/>
        <tr r="AN1266" s="57"/>
      </tp>
      <tp>
        <v>0</v>
        <stp/>
        <stp>3629</stp>
        <stp>CumulativeVolume</stp>
        <tr r="AN1775" s="57"/>
      </tp>
      <tp>
        <v>0</v>
        <stp/>
        <stp>3529</stp>
        <stp>CumulativeVolume</stp>
        <tr r="AN582" s="57"/>
      </tp>
      <tp>
        <v>0</v>
        <stp/>
        <stp>1229</stp>
        <stp>CumulativeVolume</stp>
        <tr r="AN26" s="57"/>
      </tp>
      <tp>
        <v>0</v>
        <stp/>
        <stp>1529</stp>
        <stp>CumulativeVolume</stp>
        <tr r="AN142" s="57"/>
      </tp>
      <tp>
        <v>0</v>
        <stp/>
        <stp>6229</stp>
        <stp>CumulativeVolume</stp>
        <tr r="AN636" s="57"/>
      </tp>
      <tp>
        <v>0</v>
        <stp/>
        <stp>6129</stp>
        <stp>CumulativeVolume</stp>
        <tr r="AN629" s="57"/>
      </tp>
      <tp>
        <v>0</v>
        <stp/>
        <stp>6629</stp>
        <stp>CumulativeVolume</stp>
        <tr r="AN1346" s="57"/>
      </tp>
      <tp>
        <v>0</v>
        <stp/>
        <stp>4129</stp>
        <stp>CumulativeVolume</stp>
        <tr r="AN334" s="57"/>
      </tp>
      <tp>
        <v>0</v>
        <stp/>
        <stp>4729</stp>
        <stp>CumulativeVolume</stp>
        <tr r="AN863" s="57"/>
      </tp>
      <tp>
        <v>0</v>
        <stp/>
        <stp>4429</stp>
        <stp>CumulativeVolume</stp>
        <tr r="AN122" s="57"/>
      </tp>
      <tp>
        <v>0</v>
        <stp/>
        <stp>4529</stp>
        <stp>CumulativeVolume</stp>
        <tr r="AN1322" s="57"/>
      </tp>
      <tp>
        <v>0</v>
        <stp/>
        <stp>5529</stp>
        <stp>CumulativeVolume</stp>
        <tr r="AN1490" s="57"/>
      </tp>
      <tp>
        <v>0</v>
        <stp/>
        <stp>8429</stp>
        <stp>CumulativeVolume</stp>
        <tr r="AN1661" s="57"/>
      </tp>
      <tp>
        <v>0</v>
        <stp/>
        <stp>8929</stp>
        <stp>CumulativeVolume</stp>
        <tr r="AN1393" s="57"/>
      </tp>
      <tp>
        <v>0</v>
        <stp/>
        <stp>9929</stp>
        <stp>CumulativeVolume</stp>
        <tr r="AN1416" s="57"/>
      </tp>
      <tp>
        <v>0</v>
        <stp/>
        <stp>2228</stp>
        <stp>CumulativeVolume</stp>
        <tr r="AN512" s="57"/>
      </tp>
      <tp>
        <v>0</v>
        <stp/>
        <stp>2328</stp>
        <stp>CumulativeVolume</stp>
        <tr r="AN1024" s="57"/>
      </tp>
      <tp>
        <v>0</v>
        <stp/>
        <stp>2028</stp>
        <stp>CumulativeVolume</stp>
        <tr r="AN448" s="57"/>
      </tp>
      <tp>
        <v>0</v>
        <stp/>
        <stp>2428</stp>
        <stp>CumulativeVolume</stp>
        <tr r="AN1037" s="57"/>
      </tp>
      <tp>
        <v>0</v>
        <stp/>
        <stp>2528</stp>
        <stp>CumulativeVolume</stp>
        <tr r="AN1447" s="57"/>
      </tp>
      <tp t="s">
        <v>商品錯誤</v>
        <stp/>
        <stp>2928</stp>
        <stp>CumulativeVolume</stp>
        <tr r="AN1568" s="57"/>
      </tp>
      <tp>
        <v>0</v>
        <stp/>
        <stp>3228</stp>
        <stp>CumulativeVolume</stp>
        <tr r="AN568" s="57"/>
      </tp>
      <tp>
        <v>0</v>
        <stp/>
        <stp>3028</stp>
        <stp>CumulativeVolume</stp>
        <tr r="AN1228" s="57"/>
      </tp>
      <tp>
        <v>0</v>
        <stp/>
        <stp>3128</stp>
        <stp>CumulativeVolume</stp>
        <tr r="AN828" s="57"/>
      </tp>
      <tp>
        <v>0</v>
        <stp/>
        <stp>3528</stp>
        <stp>CumulativeVolume</stp>
        <tr r="AN1239" s="57"/>
      </tp>
      <tp>
        <v>0</v>
        <stp/>
        <stp>1528</stp>
        <stp>CumulativeVolume</stp>
        <tr r="AN141" s="57"/>
      </tp>
      <tp>
        <v>0</v>
        <stp/>
        <stp>6228</stp>
        <stp>CumulativeVolume</stp>
        <tr r="AN782" s="57"/>
      </tp>
      <tp>
        <v>0</v>
        <stp/>
        <stp>6128</stp>
        <stp>CumulativeVolume</stp>
        <tr r="AN774" s="57"/>
      </tp>
      <tp>
        <v>0</v>
        <stp/>
        <stp>6728</stp>
        <stp>CumulativeVolume</stp>
        <tr r="AN1659" s="57"/>
      </tp>
      <tp>
        <v>0</v>
        <stp/>
        <stp>4128</stp>
        <stp>CumulativeVolume</stp>
        <tr r="AN16" s="28"/>
        <tr r="AN333" s="57"/>
      </tp>
      <tp>
        <v>0</v>
        <stp/>
        <stp>4728</stp>
        <stp>CumulativeVolume</stp>
        <tr r="AN365" s="57"/>
      </tp>
      <tp>
        <v>0</v>
        <stp/>
        <stp>4528</stp>
        <stp>CumulativeVolume</stp>
        <tr r="AN185" s="57"/>
      </tp>
      <tp>
        <v>0</v>
        <stp/>
        <stp>5328</stp>
        <stp>CumulativeVolume</stp>
        <tr r="AN1135" s="57"/>
      </tp>
      <tp>
        <v>0</v>
        <stp/>
        <stp>8028</stp>
        <stp>CumulativeVolume</stp>
        <tr r="AN680" s="57"/>
      </tp>
      <tp>
        <v>0</v>
        <stp/>
        <stp>8928</stp>
        <stp>CumulativeVolume</stp>
        <tr r="AN1392" s="57"/>
      </tp>
      <tp>
        <v>0</v>
        <stp/>
        <stp>9928</stp>
        <stp>CumulativeVolume</stp>
        <tr r="AN1415" s="57"/>
      </tp>
      <tp>
        <v>0</v>
        <stp/>
        <stp>6496</stp>
        <stp>PredictVolume</stp>
        <tr r="AM384" s="57"/>
      </tp>
      <tp>
        <v>0</v>
        <stp/>
        <stp>6486</stp>
        <stp>PredictVolume</stp>
        <tr r="AM996" s="57"/>
      </tp>
      <tp>
        <v>0</v>
        <stp/>
        <stp>6426</stp>
        <stp>PredictVolume</stp>
        <tr r="AM993" s="57"/>
      </tp>
      <tp>
        <v>0</v>
        <stp/>
        <stp>6416</stp>
        <stp>PredictVolume</stp>
        <tr r="AM991" s="57"/>
      </tp>
      <tp>
        <v>0</v>
        <stp/>
        <stp>6456</stp>
        <stp>PredictVolume</stp>
        <tr r="AM907" s="57"/>
      </tp>
      <tp>
        <v>0</v>
        <stp/>
        <stp>6446</stp>
        <stp>PredictVolume</stp>
        <tr r="AM11" s="28"/>
        <tr r="AM378" s="57"/>
      </tp>
      <tp>
        <v>0</v>
        <stp/>
        <stp>6596</stp>
        <stp>PredictVolume</stp>
        <tr r="AM1789" s="57"/>
      </tp>
      <tp>
        <v>0</v>
        <stp/>
        <stp>6516</stp>
        <stp>PredictVolume</stp>
        <tr r="AM1290" s="57"/>
      </tp>
      <tp>
        <v>0</v>
        <stp/>
        <stp>6506</stp>
        <stp>PredictVolume</stp>
        <tr r="AM284" s="57"/>
      </tp>
      <tp>
        <v>0</v>
        <stp/>
        <stp>6576</stp>
        <stp>PredictVolume</stp>
        <tr r="AM393" s="57"/>
      </tp>
      <tp>
        <v>0</v>
        <stp/>
        <stp>6556</stp>
        <stp>PredictVolume</stp>
        <tr r="AM909" s="57"/>
      </tp>
      <tp>
        <v>0</v>
        <stp/>
        <stp>6616</stp>
        <stp>PredictVolume</stp>
        <tr r="AM1343" s="57"/>
      </tp>
      <tp>
        <v>0</v>
        <stp/>
        <stp>6666</stp>
        <stp>PredictVolume</stp>
        <tr r="AM401" s="57"/>
      </tp>
      <tp>
        <v>0</v>
        <stp/>
        <stp>6716</stp>
        <stp>PredictVolume</stp>
        <tr r="AM672" s="57"/>
      </tp>
      <tp>
        <v>0</v>
        <stp/>
        <stp>6706</stp>
        <stp>PredictVolume</stp>
        <tr r="AM912" s="57"/>
      </tp>
      <tp>
        <v>0</v>
        <stp/>
        <stp>6776</stp>
        <stp>PredictVolume</stp>
        <tr r="AM1250" s="57"/>
      </tp>
      <tp>
        <v>0</v>
        <stp/>
        <stp>6756</stp>
        <stp>PredictVolume</stp>
        <tr r="AM674" s="57"/>
      </tp>
      <tp>
        <v>0</v>
        <stp/>
        <stp>6026</stp>
        <stp>PredictVolume</stp>
        <tr r="AM1627" s="57"/>
      </tp>
      <tp>
        <v>0</v>
        <stp/>
        <stp>6016</stp>
        <stp>PredictVolume</stp>
        <tr r="AM1622" s="57"/>
      </tp>
      <tp>
        <v>0</v>
        <stp/>
        <stp>6196</stp>
        <stp>PredictVolume</stp>
        <tr r="AM8" s="74"/>
        <tr r="AM6" s="74"/>
        <tr r="AM1742" s="57"/>
        <tr r="AM16" s="115"/>
      </tp>
      <tp>
        <v>0</v>
        <stp/>
        <stp>6186</stp>
        <stp>PredictVolume</stp>
        <tr r="AM1498" s="57"/>
      </tp>
      <tp>
        <v>0</v>
        <stp/>
        <stp>6136</stp>
        <stp>PredictVolume</stp>
        <tr r="AM978" s="57"/>
      </tp>
      <tp>
        <v>0</v>
        <stp/>
        <stp>6126</stp>
        <stp>PredictVolume</stp>
        <tr r="AM1152" s="57"/>
      </tp>
      <tp>
        <v>0</v>
        <stp/>
        <stp>6116</stp>
        <stp>PredictVolume</stp>
        <tr r="AM887" s="57"/>
      </tp>
      <tp>
        <v>0</v>
        <stp/>
        <stp>6176</stp>
        <stp>PredictVolume</stp>
        <tr r="AM893" s="57"/>
      </tp>
      <tp>
        <v>0</v>
        <stp/>
        <stp>6166</stp>
        <stp>PredictVolume</stp>
        <tr r="AM778" s="57"/>
      </tp>
      <tp>
        <v>0</v>
        <stp/>
        <stp>6156</stp>
        <stp>PredictVolume</stp>
        <tr r="AM1159" s="57"/>
      </tp>
      <tp>
        <v>0</v>
        <stp/>
        <stp>6236</stp>
        <stp>PredictVolume</stp>
        <tr r="AM1338" s="57"/>
      </tp>
      <tp>
        <v>0</v>
        <stp/>
        <stp>6226</stp>
        <stp>PredictVolume</stp>
        <tr r="AM897" s="57"/>
      </tp>
      <tp>
        <v>0</v>
        <stp/>
        <stp>6216</stp>
        <stp>PredictVolume</stp>
        <tr r="AM985" s="57"/>
      </tp>
      <tp>
        <v>0</v>
        <stp/>
        <stp>6206</stp>
        <stp>PredictVolume</stp>
        <tr r="AM781" s="57"/>
      </tp>
      <tp>
        <v>0</v>
        <stp/>
        <stp>6276</stp>
        <stp>PredictVolume</stp>
        <tr r="AM785" s="57"/>
      </tp>
      <tp>
        <v>0</v>
        <stp/>
        <stp>6266</stp>
        <stp>PredictVolume</stp>
        <tr r="AM1181" s="57"/>
      </tp>
      <tp>
        <v>0</v>
        <stp/>
        <stp>6246</stp>
        <stp>PredictVolume</stp>
        <tr r="AM900" s="57"/>
      </tp>
      <tp>
        <v>0</v>
        <stp/>
        <stp>6806</stp>
        <stp>PredictVolume</stp>
        <tr r="AM1355" s="57"/>
      </tp>
      <tp>
        <v>0</v>
        <stp/>
        <stp>7556</stp>
        <stp>PredictVolume</stp>
        <tr r="AM677" s="57"/>
      </tp>
      <tp>
        <v>0</v>
        <stp/>
        <stp>4426</stp>
        <stp>PredictVolume</stp>
        <tr r="AM121" s="57"/>
      </tp>
      <tp>
        <v>0</v>
        <stp/>
        <stp>4416</stp>
        <stp>PredictVolume</stp>
        <tr r="AM1473" s="57"/>
      </tp>
      <tp>
        <v>0</v>
        <stp/>
        <stp>4406</stp>
        <stp>PredictVolume</stp>
        <tr r="AM115" s="57"/>
      </tp>
      <tp>
        <v>0</v>
        <stp/>
        <stp>4536</stp>
        <stp>PredictVolume</stp>
        <tr r="AM1323" s="57"/>
      </tp>
      <tp>
        <v>0</v>
        <stp/>
        <stp>4526</stp>
        <stp>PredictVolume</stp>
        <tr r="AM183" s="57"/>
      </tp>
      <tp>
        <v>0</v>
        <stp/>
        <stp>4506</stp>
        <stp>PredictVolume</stp>
        <tr r="AM179" s="57"/>
      </tp>
      <tp>
        <v>0</v>
        <stp/>
        <stp>4576</stp>
        <stp>PredictVolume</stp>
        <tr r="AM207" s="57"/>
      </tp>
      <tp>
        <v>0</v>
        <stp/>
        <stp>4566</stp>
        <stp>PredictVolume</stp>
        <tr r="AM203" s="57"/>
      </tp>
      <tp>
        <v>0</v>
        <stp/>
        <stp>4556</stp>
        <stp>PredictVolume</stp>
        <tr r="AM1325" s="57"/>
      </tp>
      <tp>
        <v>0</v>
        <stp/>
        <stp>4736</stp>
        <stp>PredictVolume</stp>
        <tr r="AM367" s="57"/>
      </tp>
      <tp>
        <v>0</v>
        <stp/>
        <stp>4726</stp>
        <stp>PredictVolume</stp>
        <tr r="AM364" s="57"/>
      </tp>
      <tp>
        <v>0</v>
        <stp/>
        <stp>4716</stp>
        <stp>PredictVolume</stp>
        <tr r="AM271" s="57"/>
      </tp>
      <tp>
        <v>0</v>
        <stp/>
        <stp>4706</stp>
        <stp>PredictVolume</stp>
        <tr r="AM267" s="57"/>
      </tp>
      <tp>
        <v>0</v>
        <stp/>
        <stp>4766</stp>
        <stp>PredictVolume</stp>
        <tr r="AM281" s="57"/>
      </tp>
      <tp>
        <v>0</v>
        <stp/>
        <stp>4746</stp>
        <stp>PredictVolume</stp>
        <tr r="AM372" s="57"/>
      </tp>
      <tp>
        <v>0</v>
        <stp/>
        <stp>4126</stp>
        <stp>PredictVolume</stp>
        <tr r="AM10" s="98"/>
        <tr r="AM331" s="57"/>
      </tp>
      <tp>
        <v>0</v>
        <stp/>
        <stp>4116</stp>
        <stp>PredictVolume</stp>
        <tr r="AM326" s="57"/>
      </tp>
      <tp>
        <v>0</v>
        <stp/>
        <stp>4106</stp>
        <stp>PredictVolume</stp>
        <tr r="AM320" s="57"/>
      </tp>
      <tp>
        <v>0</v>
        <stp/>
        <stp>4306</stp>
        <stp>PredictVolume</stp>
        <tr r="AM67" s="57"/>
      </tp>
      <tp>
        <v>0</v>
        <stp/>
        <stp>4806</stp>
        <stp>PredictVolume</stp>
        <tr r="AM1777" s="57"/>
      </tp>
      <tp>
        <v>0</v>
        <stp/>
        <stp>4916</stp>
        <stp>PredictVolume</stp>
        <tr r="AM755" s="57"/>
      </tp>
      <tp>
        <v>0</v>
        <stp/>
        <stp>4906</stp>
        <stp>PredictVolume</stp>
        <tr r="AM969" s="57"/>
      </tp>
      <tp>
        <v>0</v>
        <stp/>
        <stp>4976</stp>
        <stp>PredictVolume</stp>
        <tr r="AM872" s="57"/>
      </tp>
      <tp>
        <v>0</v>
        <stp/>
        <stp>4966</stp>
        <stp>PredictVolume</stp>
        <tr r="AM604" s="57"/>
      </tp>
      <tp>
        <v>0</v>
        <stp/>
        <stp>4956</stp>
        <stp>PredictVolume</stp>
        <tr r="AM869" s="57"/>
      </tp>
      <tp>
        <v>0</v>
        <stp/>
        <stp>4946</stp>
        <stp>PredictVolume</stp>
        <tr r="AM1778" s="57"/>
      </tp>
      <tp>
        <v>0</v>
        <stp/>
        <stp>5426</stp>
        <stp>PredictVolume</stp>
        <tr r="AM766" s="57"/>
      </tp>
      <tp>
        <v>0</v>
        <stp/>
        <stp>5536</stp>
        <stp>PredictVolume</stp>
        <tr r="AM1736" s="57"/>
      </tp>
      <tp>
        <v>0</v>
        <stp/>
        <stp>5516</stp>
        <stp>PredictVolume</stp>
        <tr r="AM1484" s="57"/>
      </tp>
      <tp>
        <v>0</v>
        <stp/>
        <stp>5546</stp>
        <stp>PredictVolume</stp>
        <tr r="AM1495" s="57"/>
      </tp>
      <tp>
        <v>0</v>
        <stp/>
        <stp>5706</stp>
        <stp>PredictVolume</stp>
        <tr r="AM1577" s="57"/>
      </tp>
      <tp>
        <v>0</v>
        <stp/>
        <stp>5016</stp>
        <stp>PredictVolume</stp>
        <tr r="AM469" s="57"/>
      </tp>
      <tp>
        <v>0</v>
        <stp/>
        <stp>5236</stp>
        <stp>PredictVolume</stp>
        <tr r="AM611" s="57"/>
      </tp>
      <tp>
        <v>0</v>
        <stp/>
        <stp>5206</stp>
        <stp>PredictVolume</stp>
        <tr r="AM1475" s="57"/>
      </tp>
      <tp>
        <v>0</v>
        <stp/>
        <stp>5276</stp>
        <stp>PredictVolume</stp>
        <tr r="AM1327" s="57"/>
      </tp>
      <tp>
        <v>0</v>
        <stp/>
        <stp>5386</stp>
        <stp>PredictVolume</stp>
        <tr r="AM4" s="101"/>
        <tr r="AM765" s="57"/>
      </tp>
      <tp>
        <v>0</v>
        <stp/>
        <stp>5306</stp>
        <stp>PredictVolume</stp>
        <tr r="AM1329" s="57"/>
      </tp>
      <tp>
        <v>0</v>
        <stp/>
        <stp>5356</stp>
        <stp>PredictVolume</stp>
        <tr r="AM764" s="57"/>
      </tp>
      <tp>
        <v>0</v>
        <stp/>
        <stp>5876</stp>
        <stp>PredictVolume</stp>
        <tr r="AM1617" s="57"/>
      </tp>
      <tp>
        <v>0</v>
        <stp/>
        <stp>5906</stp>
        <stp>PredictVolume</stp>
        <tr r="AM1656" s="57"/>
      </tp>
      <tp>
        <v>0</v>
        <stp/>
        <stp>2496</stp>
        <stp>PredictVolume</stp>
        <tr r="AM1314" s="57"/>
      </tp>
      <tp>
        <v>0</v>
        <stp/>
        <stp>2486</stp>
        <stp>PredictVolume</stp>
        <tr r="AM815" s="57"/>
      </tp>
      <tp>
        <v>0</v>
        <stp/>
        <stp>2436</stp>
        <stp>PredictVolume</stp>
        <tr r="AM545" s="57"/>
      </tp>
      <tp>
        <v>0</v>
        <stp/>
        <stp>2426</stp>
        <stp>PredictVolume</stp>
        <tr r="AM812" s="57"/>
      </tp>
      <tp>
        <v>0</v>
        <stp/>
        <stp>2406</stp>
        <stp>PredictVolume</stp>
        <tr r="AM810" s="57"/>
      </tp>
      <tp>
        <v>0</v>
        <stp/>
        <stp>2476</stp>
        <stp>PredictVolume</stp>
        <tr r="AM1047" s="57"/>
      </tp>
      <tp>
        <v>0</v>
        <stp/>
        <stp>2466</stp>
        <stp>PredictVolume</stp>
        <tr r="AM814" s="57"/>
      </tp>
      <tp t="s">
        <v>商品錯誤</v>
        <stp/>
        <stp>2456</stp>
        <stp>PredictVolume</stp>
        <tr r="AM1041" s="57"/>
      </tp>
      <tp>
        <v>0</v>
        <stp/>
        <stp>2596</stp>
        <stp>PredictVolume</stp>
        <tr r="AM1462" s="57"/>
      </tp>
      <tp>
        <v>0</v>
        <stp/>
        <stp>2536</stp>
        <stp>PredictVolume</stp>
        <tr r="AM1451" s="57"/>
      </tp>
      <tp>
        <v>0</v>
        <stp/>
        <stp>2516</stp>
        <stp>PredictVolume</stp>
        <tr r="AM1443" s="57"/>
      </tp>
      <tp>
        <v>0</v>
        <stp/>
        <stp>2506</stp>
        <stp>PredictVolume</stp>
        <tr r="AM1440" s="57"/>
      </tp>
      <tp>
        <v>0</v>
        <stp/>
        <stp>2546</stp>
        <stp>PredictVolume</stp>
        <tr r="AM1459" s="57"/>
      </tp>
      <tp>
        <v>0</v>
        <stp/>
        <stp>2636</stp>
        <stp>PredictVolume</stp>
        <tr r="AM13" s="107"/>
        <tr r="AM1524" s="57"/>
      </tp>
      <tp>
        <v>0</v>
        <stp/>
        <stp>2616</stp>
        <stp>PredictVolume</stp>
        <tr r="AM1669" s="57"/>
      </tp>
      <tp>
        <v>0</v>
        <stp/>
        <stp>2606</stp>
        <stp>PredictVolume</stp>
        <tr r="AM1510" s="57"/>
      </tp>
      <tp>
        <v>0</v>
        <stp/>
        <stp>2736</stp>
        <stp>PredictVolume</stp>
        <tr r="AM1558" s="57"/>
      </tp>
      <tp>
        <v>0</v>
        <stp/>
        <stp>2726</stp>
        <stp>PredictVolume</stp>
        <tr r="AM1552" s="57"/>
      </tp>
      <tp>
        <v>0</v>
        <stp/>
        <stp>2706</stp>
        <stp>PredictVolume</stp>
        <tr r="AM1544" s="57"/>
      </tp>
      <tp>
        <v>0</v>
        <stp/>
        <stp>2006</stp>
        <stp>PredictVolume</stp>
        <tr r="AM432" s="57"/>
      </tp>
      <tp>
        <v>0</v>
        <stp/>
        <stp>2066</stp>
        <stp>PredictVolume</stp>
        <tr r="AM164" s="57"/>
      </tp>
      <tp>
        <v>0</v>
        <stp/>
        <stp>2106</stp>
        <stp>PredictVolume</stp>
        <tr r="AM484" s="57"/>
      </tp>
      <tp>
        <v>0</v>
        <stp/>
        <stp>2236</stp>
        <stp>PredictVolume</stp>
        <tr r="AM515" s="57"/>
      </tp>
      <tp>
        <v>0</v>
        <stp/>
        <stp>2206</stp>
        <stp>PredictVolume</stp>
        <tr r="AM509" s="57"/>
      </tp>
      <tp>
        <v>0</v>
        <stp/>
        <stp>2316</stp>
        <stp>PredictVolume</stp>
        <tr r="AM1022" s="57"/>
      </tp>
      <tp>
        <v>0</v>
        <stp/>
        <stp>2376</stp>
        <stp>PredictVolume</stp>
        <tr r="AM707" s="57"/>
      </tp>
      <tp>
        <v>0</v>
        <stp/>
        <stp>2356</stp>
        <stp>PredictVolume</stp>
        <tr r="AM702" s="57"/>
      </tp>
      <tp>
        <v>0</v>
        <stp/>
        <stp>2886</stp>
        <stp>PredictVolume</stp>
        <tr r="AM1607" s="57"/>
      </tp>
      <tp>
        <v>0</v>
        <stp/>
        <stp>2836</stp>
        <stp>PredictVolume</stp>
        <tr r="AM1592" s="57"/>
      </tp>
      <tp>
        <v>0</v>
        <stp/>
        <stp>2816</stp>
        <stp>PredictVolume</stp>
        <tr r="AM1587" s="57"/>
      </tp>
      <tp>
        <v>0</v>
        <stp/>
        <stp>2936</stp>
        <stp>PredictVolume</stp>
        <tr r="AM1645" s="57"/>
      </tp>
      <tp>
        <v>0</v>
        <stp/>
        <stp>2926</stp>
        <stp>PredictVolume</stp>
        <tr r="AM1769" s="57"/>
      </tp>
      <tp>
        <v>0</v>
        <stp/>
        <stp>2916</stp>
        <stp>PredictVolume</stp>
        <tr r="AM1643" s="57"/>
      </tp>
      <tp>
        <v>0</v>
        <stp/>
        <stp>2906</stp>
        <stp>PredictVolume</stp>
        <tr r="AM1636" s="57"/>
      </tp>
      <tp>
        <v>0</v>
        <stp/>
        <stp>3426</stp>
        <stp>PredictVolume</stp>
        <tr r="AM176" s="57"/>
      </tp>
      <tp>
        <v>0</v>
        <stp/>
        <stp>3416</stp>
        <stp>PredictVolume</stp>
        <tr r="AM738" s="57"/>
      </tp>
      <tp>
        <v>0</v>
        <stp/>
        <stp>3406</stp>
        <stp>PredictVolume</stp>
        <tr r="AM5" s="107"/>
        <tr r="AM836" s="57"/>
      </tp>
      <tp>
        <v>0</v>
        <stp/>
        <stp>3466</stp>
        <stp>PredictVolume</stp>
        <tr r="AM13" s="115"/>
        <tr r="AM954" s="57"/>
      </tp>
      <tp>
        <v>0</v>
        <stp/>
        <stp>3596</stp>
        <stp>PredictVolume</stp>
        <tr r="AM959" s="57"/>
      </tp>
      <tp>
        <v>0</v>
        <stp/>
        <stp>3536</stp>
        <stp>PredictVolume</stp>
        <tr r="AM585" s="57"/>
      </tp>
      <tp>
        <v>0</v>
        <stp/>
        <stp>3526</stp>
        <stp>PredictVolume</stp>
        <tr r="AM1102" s="57"/>
      </tp>
      <tp>
        <v>0</v>
        <stp/>
        <stp>3516</stp>
        <stp>PredictVolume</stp>
        <tr r="AM845" s="57"/>
      </tp>
      <tp>
        <v>0</v>
        <stp/>
        <stp>3576</stp>
        <stp>PredictVolume</stp>
        <tr r="AM850" s="57"/>
      </tp>
      <tp>
        <v>0</v>
        <stp/>
        <stp>3556</stp>
        <stp>PredictVolume</stp>
        <tr r="AM588" s="57"/>
      </tp>
      <tp>
        <v>0</v>
        <stp/>
        <stp>3546</stp>
        <stp>PredictVolume</stp>
        <tr r="AM9" s="74"/>
        <tr r="AM1774" s="57"/>
      </tp>
      <tp>
        <v>0</v>
        <stp/>
        <stp>3686</stp>
        <stp>PredictVolume</stp>
        <tr r="AM597" s="57"/>
      </tp>
      <tp>
        <v>0</v>
        <stp/>
        <stp>3666</stp>
        <stp>PredictVolume</stp>
        <tr r="AM2" s="99"/>
        <tr r="AM856" s="57"/>
      </tp>
      <tp>
        <v>0</v>
        <stp/>
        <stp>3646</stp>
        <stp>PredictVolume</stp>
        <tr r="AM1115" s="57"/>
      </tp>
      <tp>
        <v>0</v>
        <stp/>
        <stp>3706</stp>
        <stp>PredictVolume</stp>
        <tr r="AM752" s="57"/>
      </tp>
      <tp>
        <v>0</v>
        <stp/>
        <stp>3086</stp>
        <stp>PredictVolume</stp>
        <tr r="AM1772" s="57"/>
      </tp>
      <tp>
        <v>0</v>
        <stp/>
        <stp>3036</stp>
        <stp>PredictVolume</stp>
        <tr r="AM1230" s="57"/>
      </tp>
      <tp>
        <v>0</v>
        <stp/>
        <stp>3026</stp>
        <stp>PredictVolume</stp>
        <tr r="AM1058" s="57"/>
      </tp>
      <tp>
        <v>0</v>
        <stp/>
        <stp>3016</stp>
        <stp>PredictVolume</stp>
        <tr r="AM554" s="57"/>
      </tp>
      <tp>
        <v>0</v>
        <stp/>
        <stp>3006</stp>
        <stp>PredictVolume</stp>
        <tr r="AM552" s="57"/>
      </tp>
      <tp>
        <v>0</v>
        <stp/>
        <stp>3066</stp>
        <stp>PredictVolume</stp>
        <tr r="AM827" s="57"/>
      </tp>
      <tp>
        <v>0</v>
        <stp/>
        <stp>3056</stp>
        <stp>PredictVolume</stp>
        <tr r="AM1467" s="57"/>
      </tp>
      <tp>
        <v>0</v>
        <stp/>
        <stp>3046</stp>
        <stp>PredictVolume</stp>
        <tr r="AM726" s="57"/>
      </tp>
      <tp>
        <v>0</v>
        <stp/>
        <stp>3176</stp>
        <stp>PredictVolume</stp>
        <tr r="AM313" s="57"/>
      </tp>
      <tp>
        <v>0</v>
        <stp/>
        <stp>3296</stp>
        <stp>PredictVolume</stp>
        <tr r="AM1081" s="57"/>
      </tp>
      <tp>
        <v>0</v>
        <stp/>
        <stp>3236</stp>
        <stp>PredictVolume</stp>
        <tr r="AM1076" s="57"/>
      </tp>
      <tp>
        <v>0</v>
        <stp/>
        <stp>3226</stp>
        <stp>PredictVolume</stp>
        <tr r="AM174" s="57"/>
      </tp>
      <tp>
        <v>0</v>
        <stp/>
        <stp>3206</stp>
        <stp>PredictVolume</stp>
        <tr r="AM1072" s="57"/>
      </tp>
      <tp>
        <v>0</v>
        <stp/>
        <stp>3276</stp>
        <stp>PredictVolume</stp>
        <tr r="AM1077" s="57"/>
      </tp>
      <tp>
        <v>0</v>
        <stp/>
        <stp>3266</stp>
        <stp>PredictVolume</stp>
        <tr r="AM1469" s="57"/>
      </tp>
      <tp>
        <v>0</v>
        <stp/>
        <stp>3306</stp>
        <stp>PredictVolume</stp>
        <tr r="AM949" s="57"/>
      </tp>
      <tp>
        <v>0</v>
        <stp/>
        <stp>3376</stp>
        <stp>PredictVolume</stp>
        <tr r="AM1091" s="57"/>
      </tp>
      <tp>
        <v>0</v>
        <stp/>
        <stp>3356</stp>
        <stp>PredictVolume</stp>
        <tr r="AM833" s="57"/>
      </tp>
      <tp>
        <v>0</v>
        <stp/>
        <stp>3346</stp>
        <stp>PredictVolume</stp>
        <tr r="AM521" s="57"/>
      </tp>
      <tp>
        <v>0</v>
        <stp/>
        <stp>1436</stp>
        <stp>PredictVolume</stp>
        <tr r="AM1432" s="57"/>
      </tp>
      <tp>
        <v>0</v>
        <stp/>
        <stp>1416</stp>
        <stp>PredictVolume</stp>
        <tr r="AM1304" s="57"/>
      </tp>
      <tp>
        <v>0</v>
        <stp/>
        <stp>1476</stp>
        <stp>PredictVolume</stp>
        <tr r="AM111" s="57"/>
      </tp>
      <tp>
        <v>0</v>
        <stp/>
        <stp>1466</stp>
        <stp>PredictVolume</stp>
        <tr r="AM103" s="57"/>
      </tp>
      <tp>
        <v>0</v>
        <stp/>
        <stp>1456</stp>
        <stp>PredictVolume</stp>
        <tr r="AM96" s="57"/>
      </tp>
      <tp>
        <v>0</v>
        <stp/>
        <stp>1446</stp>
        <stp>PredictVolume</stp>
        <tr r="AM88" s="57"/>
      </tp>
      <tp>
        <v>0</v>
        <stp/>
        <stp>1586</stp>
        <stp>PredictVolume</stp>
        <tr r="AM157" s="57"/>
      </tp>
      <tp>
        <v>0</v>
        <stp/>
        <stp>1536</stp>
        <stp>PredictVolume</stp>
        <tr r="AM502" s="57"/>
      </tp>
      <tp>
        <v>0</v>
        <stp/>
        <stp>1526</stp>
        <stp>PredictVolume</stp>
        <tr r="AM139" s="57"/>
      </tp>
      <tp>
        <v>0</v>
        <stp/>
        <stp>1516</stp>
        <stp>PredictVolume</stp>
        <tr r="AM1307" s="57"/>
      </tp>
      <tp>
        <v>0</v>
        <stp/>
        <stp>1506</stp>
        <stp>PredictVolume</stp>
        <tr r="AM132" s="57"/>
      </tp>
      <tp>
        <v>0</v>
        <stp/>
        <stp>1626</stp>
        <stp>PredictVolume</stp>
        <tr r="AM236" s="57"/>
      </tp>
      <tp>
        <v>0</v>
        <stp/>
        <stp>1616</stp>
        <stp>PredictVolume</stp>
        <tr r="AM233" s="57"/>
      </tp>
      <tp>
        <v>0</v>
        <stp/>
        <stp>1796</stp>
        <stp>PredictVolume</stp>
        <tr r="AM38" s="57"/>
      </tp>
      <tp>
        <v>0</v>
        <stp/>
        <stp>1786</stp>
        <stp>PredictVolume</stp>
        <tr r="AM305" s="57"/>
      </tp>
      <tp>
        <v>0</v>
        <stp/>
        <stp>1736</stp>
        <stp>PredictVolume</stp>
        <tr r="AM297" s="57"/>
      </tp>
      <tp>
        <v>0</v>
        <stp/>
        <stp>1726</stp>
        <stp>PredictVolume</stp>
        <tr r="AM257" s="57"/>
      </tp>
      <tp>
        <v>0</v>
        <stp/>
        <stp>1776</stp>
        <stp>PredictVolume</stp>
        <tr r="AM264" s="57"/>
      </tp>
      <tp>
        <v>0</v>
        <stp/>
        <stp>1236</stp>
        <stp>PredictVolume</stp>
        <tr r="AM32" s="57"/>
      </tp>
      <tp>
        <v>0</v>
        <stp/>
        <stp>1216</stp>
        <stp>PredictVolume</stp>
        <tr r="AM19" s="57"/>
      </tp>
      <tp>
        <v>0</v>
        <stp/>
        <stp>1256</stp>
        <stp>PredictVolume</stp>
        <tr r="AM33" s="57"/>
      </tp>
      <tp>
        <v>0</v>
        <stp/>
        <stp>1336</stp>
        <stp>PredictVolume</stp>
        <tr r="AM1014" s="57"/>
      </tp>
      <tp>
        <v>0</v>
        <stp/>
        <stp>1326</stp>
        <stp>PredictVolume</stp>
        <tr r="AM60" s="57"/>
      </tp>
      <tp>
        <v>0</v>
        <stp/>
        <stp>1316</stp>
        <stp>PredictVolume</stp>
        <tr r="AM1431" s="57"/>
      </tp>
      <tp>
        <v>0</v>
        <stp/>
        <stp>1806</stp>
        <stp>PredictVolume</stp>
        <tr r="AM417" s="57"/>
      </tp>
      <tp>
        <v>0</v>
        <stp/>
        <stp>1906</stp>
        <stp>PredictVolume</stp>
        <tr r="AM426" s="57"/>
      </tp>
      <tp>
        <v>0</v>
        <stp/>
        <stp>8436</stp>
        <stp>PredictVolume</stp>
        <tr r="AM413" s="57"/>
      </tp>
      <tp>
        <v>0</v>
        <stp/>
        <stp>8426</stp>
        <stp>PredictVolume</stp>
        <tr r="AM1368" s="57"/>
      </tp>
      <tp>
        <v>0</v>
        <stp/>
        <stp>8416</stp>
        <stp>PredictVolume</stp>
        <tr r="AM1299" s="57"/>
      </tp>
      <tp>
        <v>0</v>
        <stp/>
        <stp>8406</stp>
        <stp>PredictVolume</stp>
        <tr r="AM410" s="57"/>
      </tp>
      <tp>
        <v>0</v>
        <stp/>
        <stp>8476</stp>
        <stp>PredictVolume</stp>
        <tr r="AM1380" s="57"/>
      </tp>
      <tp>
        <v>0</v>
        <stp/>
        <stp>8466</stp>
        <stp>PredictVolume</stp>
        <tr r="AM1377" s="57"/>
      </tp>
      <tp>
        <v>0</v>
        <stp/>
        <stp>8446</stp>
        <stp>PredictVolume</stp>
        <tr r="AM1790" s="57"/>
      </tp>
      <tp>
        <v>0</v>
        <stp/>
        <stp>8096</stp>
        <stp>PredictVolume</stp>
        <tr r="AM1257" s="57"/>
      </tp>
      <tp>
        <v>0</v>
        <stp/>
        <stp>8086</stp>
        <stp>PredictVolume</stp>
        <tr r="AM684" s="57"/>
        <tr r="AM4" s="110"/>
      </tp>
      <tp>
        <v>0</v>
        <stp/>
        <stp>8016</stp>
        <stp>PredictVolume</stp>
        <tr r="AM8" s="107"/>
        <tr r="AM678" s="57"/>
      </tp>
      <tp>
        <v>0</v>
        <stp/>
        <stp>8076</stp>
        <stp>PredictVolume</stp>
        <tr r="AM796" s="57"/>
      </tp>
      <tp>
        <v>0</v>
        <stp/>
        <stp>8066</stp>
        <stp>PredictVolume</stp>
        <tr r="AM1660" s="57"/>
      </tp>
      <tp>
        <v>0</v>
        <stp/>
        <stp>8046</stp>
        <stp>PredictVolume</stp>
        <tr r="AM1204" s="57"/>
      </tp>
      <tp>
        <v>0</v>
        <stp/>
        <stp>8176</stp>
        <stp>PredictVolume</stp>
        <tr r="AM1011" s="57"/>
      </tp>
      <tp>
        <v>0</v>
        <stp/>
        <stp>8996</stp>
        <stp>PredictVolume</stp>
        <tr r="AM220" s="57"/>
      </tp>
      <tp>
        <v>0</v>
        <stp/>
        <stp>8936</stp>
        <stp>PredictVolume</stp>
        <tr r="AM33" s="28"/>
        <tr r="AM1397" s="57"/>
      </tp>
      <tp>
        <v>0</v>
        <stp/>
        <stp>8926</stp>
        <stp>PredictVolume</stp>
        <tr r="AM1670" s="57"/>
      </tp>
      <tp>
        <v>0</v>
        <stp/>
        <stp>8916</stp>
        <stp>PredictVolume</stp>
        <tr r="AM1389" s="57"/>
      </tp>
      <tp>
        <v>0</v>
        <stp/>
        <stp>8906</stp>
        <stp>PredictVolume</stp>
        <tr r="AM1388" s="57"/>
      </tp>
      <tp>
        <v>0</v>
        <stp/>
        <stp>9926</stp>
        <stp>PredictVolume</stp>
        <tr r="AM1675" s="57"/>
      </tp>
      <tp>
        <v>0</v>
        <stp/>
        <stp>9906</stp>
        <stp>PredictVolume</stp>
        <tr r="AM1503" s="57"/>
      </tp>
      <tp>
        <v>0</v>
        <stp/>
        <stp>9946</stp>
        <stp>PredictVolume</stp>
        <tr r="AM1504" s="57"/>
      </tp>
      <tp>
        <v>0</v>
        <stp/>
        <stp>2231</stp>
        <stp>CumulativeVolume</stp>
        <tr r="AN513" s="57"/>
      </tp>
      <tp>
        <v>0</v>
        <stp/>
        <stp>2331</stp>
        <stp>CumulativeVolume</stp>
        <tr r="AN699" s="57"/>
      </tp>
      <tp>
        <v>0</v>
        <stp/>
        <stp>2031</stp>
        <stp>CumulativeVolume</stp>
        <tr r="AN451" s="57"/>
      </tp>
      <tp>
        <v>0</v>
        <stp/>
        <stp>2731</stp>
        <stp>CumulativeVolume</stp>
        <tr r="AN1555" s="57"/>
      </tp>
      <tp>
        <v>0</v>
        <stp/>
        <stp>2431</stp>
        <stp>CumulativeVolume</stp>
        <tr r="AN1039" s="57"/>
      </tp>
      <tp>
        <v>0</v>
        <stp/>
        <stp>3231</stp>
        <stp>CumulativeVolume</stp>
        <tr r="AN733" s="57"/>
      </tp>
      <tp>
        <v>0</v>
        <stp/>
        <stp>3031</stp>
        <stp>CumulativeVolume</stp>
        <tr r="AN821" s="57"/>
      </tp>
      <tp>
        <v>0</v>
        <stp/>
        <stp>3131</stp>
        <stp>CumulativeVolume</stp>
        <tr r="AN1706" s="57"/>
      </tp>
      <tp>
        <v>0</v>
        <stp/>
        <stp>3631</stp>
        <stp>CumulativeVolume</stp>
        <tr r="AN1113" s="57"/>
      </tp>
      <tp>
        <v>0</v>
        <stp/>
        <stp>3531</stp>
        <stp>CumulativeVolume</stp>
        <tr r="AN846" s="57"/>
      </tp>
      <tp>
        <v>0</v>
        <stp/>
        <stp>1231</stp>
        <stp>CumulativeVolume</stp>
        <tr r="AN27" s="57"/>
      </tp>
      <tp>
        <v>0</v>
        <stp/>
        <stp>1731</stp>
        <stp>CumulativeVolume</stp>
        <tr r="AN294" s="57"/>
      </tp>
      <tp>
        <v>0</v>
        <stp/>
        <stp>1531</stp>
        <stp>CumulativeVolume</stp>
        <tr r="AN144" s="57"/>
      </tp>
      <tp>
        <v>0</v>
        <stp/>
        <stp>6231</stp>
        <stp>CumulativeVolume</stp>
        <tr r="AN1287" s="57"/>
      </tp>
      <tp>
        <v>0</v>
        <stp/>
        <stp>6431</stp>
        <stp>CumulativeVolume</stp>
        <tr r="AN905" s="57"/>
      </tp>
      <tp>
        <v>0</v>
        <stp/>
        <stp>6531</stp>
        <stp>CumulativeVolume</stp>
        <tr r="AN6" s="109"/>
        <tr r="AN11" s="107"/>
        <tr r="AN11" s="99"/>
        <tr r="AN45" s="28"/>
        <tr r="AN3" s="99"/>
        <tr r="AN10" s="109"/>
        <tr r="AN16" s="99"/>
        <tr r="AN658" s="57"/>
      </tp>
      <tp t="s">
        <v>商品錯誤</v>
        <stp/>
        <stp>4131</stp>
        <stp>CumulativeVolume</stp>
        <tr r="AN336" s="57"/>
      </tp>
      <tp>
        <v>0</v>
        <stp/>
        <stp>4931</stp>
        <stp>CumulativeVolume</stp>
        <tr r="AN757" s="57"/>
      </tp>
      <tp>
        <v>0</v>
        <stp/>
        <stp>5531</stp>
        <stp>CumulativeVolume</stp>
        <tr r="AN1491" s="57"/>
      </tp>
      <tp>
        <v>0</v>
        <stp/>
        <stp>8131</stp>
        <stp>CumulativeVolume</stp>
        <tr r="AN687" s="57"/>
      </tp>
      <tp>
        <v>0</v>
        <stp/>
        <stp>8431</stp>
        <stp>CumulativeVolume</stp>
        <tr r="AN1765" s="57"/>
      </tp>
      <tp>
        <v>0</v>
        <stp/>
        <stp>8931</stp>
        <stp>CumulativeVolume</stp>
        <tr r="AN1673" s="57"/>
      </tp>
      <tp>
        <v>0</v>
        <stp/>
        <stp>9931</stp>
        <stp>CumulativeVolume</stp>
        <tr r="AN1672" s="57"/>
      </tp>
      <tp>
        <v>0</v>
        <stp/>
        <stp>2230</stp>
        <stp>CumulativeVolume</stp>
        <tr r="AN167" s="57"/>
      </tp>
      <tp>
        <v>0</v>
        <stp/>
        <stp>2330</stp>
        <stp>CumulativeVolume</stp>
        <tr r="AN532" s="57"/>
      </tp>
      <tp>
        <v>0</v>
        <stp/>
        <stp>2030</stp>
        <stp>CumulativeVolume</stp>
        <tr r="AN450" s="57"/>
      </tp>
      <tp>
        <v>0</v>
        <stp/>
        <stp>2630</stp>
        <stp>CumulativeVolume</stp>
        <tr r="AN1521" s="57"/>
      </tp>
      <tp>
        <v>0</v>
        <stp/>
        <stp>2430</stp>
        <stp>CumulativeVolume</stp>
        <tr r="AN1225" s="57"/>
      </tp>
      <tp>
        <v>0</v>
        <stp/>
        <stp>2530</stp>
        <stp>CumulativeVolume</stp>
        <tr r="AN1448" s="57"/>
      </tp>
      <tp>
        <v>0</v>
        <stp/>
        <stp>3230</stp>
        <stp>CumulativeVolume</stp>
        <tr r="AN830" s="57"/>
      </tp>
      <tp>
        <v>0</v>
        <stp/>
        <stp>3030</stp>
        <stp>CumulativeVolume</stp>
        <tr r="AN1702" s="57"/>
      </tp>
      <tp>
        <v>0</v>
        <stp/>
        <stp>3130</stp>
        <stp>CumulativeVolume</stp>
        <tr r="AN1267" s="57"/>
      </tp>
      <tp>
        <v>0</v>
        <stp/>
        <stp>3630</stp>
        <stp>CumulativeVolume</stp>
        <tr r="AN855" s="57"/>
      </tp>
      <tp>
        <v>0</v>
        <stp/>
        <stp>3530</stp>
        <stp>CumulativeVolume</stp>
        <tr r="AN583" s="57"/>
      </tp>
      <tp>
        <v>0</v>
        <stp/>
        <stp>1730</stp>
        <stp>CumulativeVolume</stp>
        <tr r="AN259" s="57"/>
      </tp>
      <tp>
        <v>0</v>
        <stp/>
        <stp>1530</stp>
        <stp>CumulativeVolume</stp>
        <tr r="AN143" s="57"/>
      </tp>
      <tp>
        <v>0</v>
        <stp/>
        <stp>6230</stp>
        <stp>CumulativeVolume</stp>
        <tr r="AN783" s="57"/>
      </tp>
      <tp>
        <v>0</v>
        <stp/>
        <stp>6130</stp>
        <stp>CumulativeVolume</stp>
        <tr r="AN376" s="57"/>
      </tp>
      <tp>
        <v>0</v>
        <stp/>
        <stp>6530</stp>
        <stp>CumulativeVolume</stp>
        <tr r="AN998" s="57"/>
      </tp>
      <tp>
        <v>0</v>
        <stp/>
        <stp>4130</stp>
        <stp>CumulativeVolume</stp>
        <tr r="AN335" s="57"/>
        <tr r="AN35" s="28"/>
      </tp>
      <tp>
        <v>0</v>
        <stp/>
        <stp>4430</stp>
        <stp>CumulativeVolume</stp>
        <tr r="AN1321" s="57"/>
      </tp>
      <tp>
        <v>0</v>
        <stp/>
        <stp>4530</stp>
        <stp>CumulativeVolume</stp>
        <tr r="AN186" s="57"/>
      </tp>
      <tp>
        <v>0</v>
        <stp/>
        <stp>4930</stp>
        <stp>CumulativeVolume</stp>
        <tr r="AN239" s="57"/>
      </tp>
      <tp>
        <v>0</v>
        <stp/>
        <stp>5230</stp>
        <stp>CumulativeVolume</stp>
        <tr r="AN875" s="57"/>
      </tp>
      <tp>
        <v>0</v>
        <stp/>
        <stp>5530</stp>
        <stp>CumulativeVolume</stp>
        <tr r="AN1333" s="57"/>
      </tp>
      <tp>
        <v>0</v>
        <stp/>
        <stp>8930</stp>
        <stp>CumulativeVolume</stp>
        <tr r="AN474" s="57"/>
      </tp>
      <tp>
        <v>0</v>
        <stp/>
        <stp>9930</stp>
        <stp>CumulativeVolume</stp>
        <tr r="AN1417" s="57"/>
      </tp>
      <tp>
        <v>0</v>
        <stp/>
        <stp>2233</stp>
        <stp>CumulativeVolume</stp>
        <tr r="AN514" s="57"/>
      </tp>
      <tp>
        <v>0</v>
        <stp/>
        <stp>2033</stp>
        <stp>CumulativeVolume</stp>
        <tr r="AN453" s="57"/>
      </tp>
      <tp>
        <v>0</v>
        <stp/>
        <stp>2633</stp>
        <stp>CumulativeVolume</stp>
        <tr r="AN1522" s="57"/>
      </tp>
      <tp>
        <v>0</v>
        <stp/>
        <stp>2433</stp>
        <stp>CumulativeVolume</stp>
        <tr r="AN1693" s="57"/>
      </tp>
      <tp>
        <v>0</v>
        <stp/>
        <stp>3033</stp>
        <stp>CumulativeVolume</stp>
        <tr r="AN1229" s="57"/>
      </tp>
      <tp>
        <v>0</v>
        <stp/>
        <stp>3533</stp>
        <stp>CumulativeVolume</stp>
        <tr r="AN1103" s="57"/>
      </tp>
      <tp>
        <v>0</v>
        <stp/>
        <stp>1233</stp>
        <stp>CumulativeVolume</stp>
        <tr r="AN29" s="57"/>
      </tp>
      <tp>
        <v>0</v>
        <stp/>
        <stp>1733</stp>
        <stp>CumulativeVolume</stp>
        <tr r="AN295" s="57"/>
      </tp>
      <tp>
        <v>0</v>
        <stp/>
        <stp>1533</stp>
        <stp>CumulativeVolume</stp>
        <tr r="AN501" s="57"/>
      </tp>
      <tp>
        <v>0</v>
        <stp/>
        <stp>6233</stp>
        <stp>CumulativeVolume</stp>
        <tr r="AN637" s="57"/>
      </tp>
      <tp>
        <v>0</v>
        <stp/>
        <stp>6133</stp>
        <stp>CumulativeVolume</stp>
        <tr r="AN1154" s="57"/>
      </tp>
      <tp>
        <v>0</v>
        <stp/>
        <stp>6733</stp>
        <stp>CumulativeVolume</stp>
        <tr r="AN404" s="57"/>
      </tp>
      <tp>
        <v>0</v>
        <stp/>
        <stp>6533</stp>
        <stp>CumulativeVolume</stp>
        <tr r="AN660" s="57"/>
      </tp>
      <tp>
        <v>0</v>
        <stp/>
        <stp>4133</stp>
        <stp>CumulativeVolume</stp>
        <tr r="AN337" s="57"/>
      </tp>
      <tp>
        <v>0</v>
        <stp/>
        <stp>4433</stp>
        <stp>CumulativeVolume</stp>
        <tr r="AN124" s="57"/>
      </tp>
      <tp>
        <v>0</v>
        <stp/>
        <stp>4533</stp>
        <stp>CumulativeVolume</stp>
        <tr r="AN188" s="57"/>
      </tp>
      <tp>
        <v>0</v>
        <stp/>
        <stp>4933</stp>
        <stp>CumulativeVolume</stp>
        <tr r="AN864" s="57"/>
      </tp>
      <tp>
        <v>0</v>
        <stp/>
        <stp>5533</stp>
        <stp>CumulativeVolume</stp>
        <tr r="AN1492" s="57"/>
      </tp>
      <tp>
        <v>0</v>
        <stp/>
        <stp>8033</stp>
        <stp>CumulativeVolume</stp>
        <tr r="AN1356" s="57"/>
      </tp>
      <tp>
        <v>0</v>
        <stp/>
        <stp>8433</stp>
        <stp>CumulativeVolume</stp>
        <tr r="AN1662" s="57"/>
      </tp>
      <tp>
        <v>0</v>
        <stp/>
        <stp>8933</stp>
        <stp>CumulativeVolume</stp>
        <tr r="AN1395" s="57"/>
      </tp>
      <tp>
        <v>0</v>
        <stp/>
        <stp>9933</stp>
        <stp>CumulativeVolume</stp>
        <tr r="AN1418" s="57"/>
      </tp>
      <tp>
        <v>0</v>
        <stp/>
        <stp>2332</stp>
        <stp>CumulativeVolume</stp>
        <tr r="AN927" s="57"/>
      </tp>
      <tp>
        <v>0</v>
        <stp/>
        <stp>2032</stp>
        <stp>CumulativeVolume</stp>
        <tr r="AN452" s="57"/>
      </tp>
      <tp>
        <v>0</v>
        <stp/>
        <stp>2732</stp>
        <stp>CumulativeVolume</stp>
        <tr r="AN1556" s="57"/>
      </tp>
      <tp>
        <v>0</v>
        <stp/>
        <stp>2832</stp>
        <stp>CumulativeVolume</stp>
        <tr r="AN1590" s="57"/>
      </tp>
      <tp>
        <v>0</v>
        <stp/>
        <stp>3232</stp>
        <stp>CumulativeVolume</stp>
        <tr r="AN1235" s="57"/>
      </tp>
      <tp>
        <v>0</v>
        <stp/>
        <stp>3332</stp>
        <stp>CumulativeVolume</stp>
        <tr r="AN1087" s="57"/>
      </tp>
      <tp>
        <v>0</v>
        <stp/>
        <stp>3032</stp>
        <stp>CumulativeVolume</stp>
        <tr r="AN1059" s="57"/>
      </tp>
      <tp>
        <v>0</v>
        <stp/>
        <stp>3632</stp>
        <stp>CumulativeVolume</stp>
        <tr r="AN960" s="57"/>
      </tp>
      <tp>
        <v>0</v>
        <stp/>
        <stp>3432</stp>
        <stp>CumulativeVolume</stp>
        <tr r="AN1094" s="57"/>
      </tp>
      <tp>
        <v>0</v>
        <stp/>
        <stp>3532</stp>
        <stp>CumulativeVolume</stp>
        <tr r="AN584" s="57"/>
      </tp>
      <tp>
        <v>0</v>
        <stp/>
        <stp>1232</stp>
        <stp>CumulativeVolume</stp>
        <tr r="AN28" s="57"/>
      </tp>
      <tp>
        <v>0</v>
        <stp/>
        <stp>1732</stp>
        <stp>CumulativeVolume</stp>
        <tr r="AN10" s="28"/>
        <tr r="AN11" s="102"/>
        <tr r="AN6" s="102"/>
        <tr r="AN260" s="57"/>
      </tp>
      <tp>
        <v>0</v>
        <stp/>
        <stp>1432</stp>
        <stp>CumulativeVolume</stp>
        <tr r="AN1630" s="57"/>
      </tp>
      <tp>
        <v>0</v>
        <stp/>
        <stp>1532</stp>
        <stp>CumulativeVolume</stp>
        <tr r="AN145" s="57"/>
      </tp>
      <tp>
        <v>0</v>
        <stp/>
        <stp>6732</stp>
        <stp>CumulativeVolume</stp>
        <tr r="AN673" s="57"/>
      </tp>
      <tp>
        <v>0</v>
        <stp/>
        <stp>6432</stp>
        <stp>CumulativeVolume</stp>
        <tr r="AN1191" s="57"/>
      </tp>
      <tp>
        <v>0</v>
        <stp/>
        <stp>6532</stp>
        <stp>CumulativeVolume</stp>
        <tr r="AN659" s="57"/>
      </tp>
      <tp>
        <v>0</v>
        <stp/>
        <stp>4432</stp>
        <stp>CumulativeVolume</stp>
        <tr r="AN37" s="28"/>
        <tr r="AN123" s="57"/>
      </tp>
      <tp>
        <v>0</v>
        <stp/>
        <stp>4532</stp>
        <stp>CumulativeVolume</stp>
        <tr r="AN187" s="57"/>
      </tp>
      <tp>
        <v>0</v>
        <stp/>
        <stp>5432</stp>
        <stp>CumulativeVolume</stp>
        <tr r="AN884" s="57"/>
      </tp>
      <tp>
        <v>0</v>
        <stp/>
        <stp>8032</stp>
        <stp>CumulativeVolume</stp>
        <tr r="AN1251" s="57"/>
      </tp>
      <tp>
        <v>0</v>
        <stp/>
        <stp>8432</stp>
        <stp>CumulativeVolume</stp>
        <tr r="AN412" s="57"/>
      </tp>
      <tp>
        <v>0</v>
        <stp/>
        <stp>8932</stp>
        <stp>CumulativeVolume</stp>
        <tr r="AN1394" s="57"/>
      </tp>
      <tp>
        <v>0</v>
        <stp/>
        <stp>2235</stp>
        <stp>CumulativeVolume</stp>
        <tr r="AN168" s="57"/>
      </tp>
      <tp>
        <v>0</v>
        <stp/>
        <stp>2035</stp>
        <stp>CumulativeVolume</stp>
        <tr r="AN455" s="57"/>
      </tp>
      <tp>
        <v>0</v>
        <stp/>
        <stp>2535</stp>
        <stp>CumulativeVolume</stp>
        <tr r="AN1450" s="57"/>
      </tp>
      <tp>
        <v>0</v>
        <stp/>
        <stp>3035</stp>
        <stp>CumulativeVolume</stp>
        <tr r="AN9" s="115"/>
        <tr r="AN556" s="57"/>
      </tp>
      <tp>
        <v>0</v>
        <stp/>
        <stp>3535</stp>
        <stp>CumulativeVolume</stp>
        <tr r="AN847" s="57"/>
      </tp>
      <tp>
        <v>0</v>
        <stp/>
        <stp>1235</stp>
        <stp>CumulativeVolume</stp>
        <tr r="AN31" s="57"/>
      </tp>
      <tp>
        <v>0</v>
        <stp/>
        <stp>1735</stp>
        <stp>CumulativeVolume</stp>
        <tr r="AN261" s="57"/>
      </tp>
      <tp>
        <v>0</v>
        <stp/>
        <stp>1435</stp>
        <stp>CumulativeVolume</stp>
        <tr r="AN1305" s="57"/>
      </tp>
      <tp>
        <v>0</v>
        <stp/>
        <stp>1535</stp>
        <stp>CumulativeVolume</stp>
        <tr r="AN146" s="57"/>
      </tp>
      <tp>
        <v>0</v>
        <stp/>
        <stp>6235</stp>
        <stp>CumulativeVolume</stp>
        <tr r="AN17" s="115"/>
        <tr r="AN784" s="57"/>
      </tp>
      <tp>
        <v>0</v>
        <stp/>
        <stp>6435</stp>
        <stp>CumulativeVolume</stp>
        <tr r="AN648" s="57"/>
      </tp>
      <tp>
        <v>0</v>
        <stp/>
        <stp>6535</stp>
        <stp>CumulativeVolume</stp>
        <tr r="AN388" s="57"/>
      </tp>
      <tp>
        <v>0</v>
        <stp/>
        <stp>4735</stp>
        <stp>CumulativeVolume</stp>
        <tr r="AN34" s="28"/>
        <tr r="AN366" s="57"/>
        <tr r="AN3" s="108"/>
      </tp>
      <tp>
        <v>0</v>
        <stp/>
        <stp>4535</stp>
        <stp>CumulativeVolume</stp>
        <tr r="AN190" s="57"/>
      </tp>
      <tp>
        <v>0</v>
        <stp/>
        <stp>4935</stp>
        <stp>CumulativeVolume</stp>
        <tr r="AN866" s="57"/>
      </tp>
      <tp>
        <v>0</v>
        <stp/>
        <stp>8435</stp>
        <stp>CumulativeVolume</stp>
        <tr r="AN1370" s="57"/>
      </tp>
      <tp>
        <v>0</v>
        <stp/>
        <stp>8935</stp>
        <stp>CumulativeVolume</stp>
        <tr r="AN1396" s="57"/>
      </tp>
      <tp>
        <v>0</v>
        <stp/>
        <stp>9935</stp>
        <stp>CumulativeVolume</stp>
        <tr r="AN1420" s="57"/>
      </tp>
      <tp>
        <v>0</v>
        <stp/>
        <stp>2034</stp>
        <stp>CumulativeVolume</stp>
        <tr r="AN454" s="57"/>
      </tp>
      <tp>
        <v>0</v>
        <stp/>
        <stp>2634</stp>
        <stp>CumulativeVolume</stp>
        <tr r="AN1523" s="57"/>
      </tp>
      <tp>
        <v>0</v>
        <stp/>
        <stp>2734</stp>
        <stp>CumulativeVolume</stp>
        <tr r="AN1557" s="57"/>
      </tp>
      <tp>
        <v>0</v>
        <stp/>
        <stp>2434</stp>
        <stp>CumulativeVolume</stp>
        <tr r="AN544" s="57"/>
      </tp>
      <tp>
        <v>0</v>
        <stp/>
        <stp>2534</stp>
        <stp>CumulativeVolume</stp>
        <tr r="AN1449" s="57"/>
      </tp>
      <tp>
        <v>0</v>
        <stp/>
        <stp>2834</stp>
        <stp>CumulativeVolume</stp>
        <tr r="AN1591" s="57"/>
      </tp>
      <tp>
        <v>0</v>
        <stp/>
        <stp>3234</stp>
        <stp>CumulativeVolume</stp>
        <tr r="AN948" s="57"/>
      </tp>
      <tp>
        <v>0</v>
        <stp/>
        <stp>3034</stp>
        <stp>CumulativeVolume</stp>
        <tr r="AN555" s="57"/>
      </tp>
      <tp>
        <v>0</v>
        <stp/>
        <stp>3434</stp>
        <stp>CumulativeVolume</stp>
        <tr r="AN837" s="57"/>
      </tp>
      <tp>
        <v>0</v>
        <stp/>
        <stp>1234</stp>
        <stp>CumulativeVolume</stp>
        <tr r="AN30" s="57"/>
      </tp>
      <tp>
        <v>0</v>
        <stp/>
        <stp>1734</stp>
        <stp>CumulativeVolume</stp>
        <tr r="AN296" s="57"/>
      </tp>
      <tp>
        <v>0</v>
        <stp/>
        <stp>1434</stp>
        <stp>CumulativeVolume</stp>
        <tr r="AN81" s="57"/>
      </tp>
      <tp>
        <v>0</v>
        <stp/>
        <stp>6234</stp>
        <stp>CumulativeVolume</stp>
        <tr r="AN898" s="57"/>
      </tp>
      <tp>
        <v>0</v>
        <stp/>
        <stp>6134</stp>
        <stp>CumulativeVolume</stp>
        <tr r="AN1155" s="57"/>
      </tp>
      <tp>
        <v>0</v>
        <stp/>
        <stp>4534</stp>
        <stp>CumulativeVolume</stp>
        <tr r="AN189" s="57"/>
      </tp>
      <tp>
        <v>0</v>
        <stp/>
        <stp>4934</stp>
        <stp>CumulativeVolume</stp>
        <tr r="AN865" s="57"/>
      </tp>
      <tp>
        <v>0</v>
        <stp/>
        <stp>5234</stp>
        <stp>CumulativeVolume</stp>
        <tr r="AN6" s="98"/>
        <tr r="AN876" s="57"/>
      </tp>
      <tp>
        <v>0</v>
        <stp/>
        <stp>5434</stp>
        <stp>CumulativeVolume</stp>
        <tr r="AN1241" s="57"/>
      </tp>
      <tp>
        <v>0</v>
        <stp/>
        <stp>5534</stp>
        <stp>CumulativeVolume</stp>
        <tr r="AN1493" s="57"/>
      </tp>
      <tp>
        <v>0</v>
        <stp/>
        <stp>8234</stp>
        <stp>CumulativeVolume</stp>
        <tr r="AN800" s="57"/>
      </tp>
      <tp>
        <v>0</v>
        <stp/>
        <stp>8034</stp>
        <stp>CumulativeVolume</stp>
        <tr r="AN1004" s="57"/>
      </tp>
      <tp>
        <v>0</v>
        <stp/>
        <stp>9934</stp>
        <stp>CumulativeVolume</stp>
        <tr r="AN1419" s="57"/>
      </tp>
      <tp>
        <v>0</v>
        <stp/>
        <stp>2337</stp>
        <stp>CumulativeVolume</stp>
        <tr r="AN533" s="57"/>
      </tp>
      <tp>
        <v>0</v>
        <stp/>
        <stp>2637</stp>
        <stp>CumulativeVolume</stp>
        <tr r="AN1525" s="57"/>
      </tp>
      <tp>
        <v>0</v>
        <stp/>
        <stp>2537</stp>
        <stp>CumulativeVolume</stp>
        <tr r="AN1452" s="57"/>
      </tp>
      <tp>
        <v>0</v>
        <stp/>
        <stp>2937</stp>
        <stp>CumulativeVolume</stp>
        <tr r="AN1646" s="57"/>
      </tp>
      <tp>
        <v>0</v>
        <stp/>
        <stp>3037</stp>
        <stp>CumulativeVolume</stp>
        <tr r="AN1060" s="57"/>
      </tp>
      <tp>
        <v>0</v>
        <stp/>
        <stp>3437</stp>
        <stp>CumulativeVolume</stp>
        <tr r="AN838" s="57"/>
      </tp>
      <tp>
        <v>0</v>
        <stp/>
        <stp>3537</stp>
        <stp>CumulativeVolume</stp>
        <tr r="AN1104" s="57"/>
      </tp>
      <tp>
        <v>0</v>
        <stp/>
        <stp>1337</stp>
        <stp>CumulativeVolume</stp>
        <tr r="AN61" s="57"/>
      </tp>
      <tp>
        <v>0</v>
        <stp/>
        <stp>1737</stp>
        <stp>CumulativeVolume</stp>
        <tr r="AN37" s="57"/>
      </tp>
      <tp>
        <v>0</v>
        <stp/>
        <stp>1437</stp>
        <stp>CumulativeVolume</stp>
        <tr r="AN1306" s="57"/>
      </tp>
      <tp>
        <v>0</v>
        <stp/>
        <stp>1537</stp>
        <stp>CumulativeVolume</stp>
        <tr r="AN147" s="57"/>
      </tp>
      <tp>
        <v>0</v>
        <stp/>
        <stp>6237</stp>
        <stp>CumulativeVolume</stp>
        <tr r="AN638" s="57"/>
      </tp>
      <tp>
        <v>0</v>
        <stp/>
        <stp>4137</stp>
        <stp>CumulativeVolume</stp>
        <tr r="AN338" s="57"/>
      </tp>
      <tp>
        <v>0</v>
        <stp/>
        <stp>4737</stp>
        <stp>CumulativeVolume</stp>
        <tr r="AN368" s="57"/>
      </tp>
      <tp>
        <v>0</v>
        <stp/>
        <stp>8437</stp>
        <stp>CumulativeVolume</stp>
        <tr r="AN1371" s="57"/>
      </tp>
      <tp>
        <v>0</v>
        <stp/>
        <stp>8937</stp>
        <stp>CumulativeVolume</stp>
        <tr r="AN1398" s="57"/>
      </tp>
      <tp>
        <v>0</v>
        <stp/>
        <stp>9937</stp>
        <stp>CumulativeVolume</stp>
        <tr r="AN1678" s="57"/>
      </tp>
      <tp>
        <v>0</v>
        <stp/>
        <stp>2236</stp>
        <stp>CumulativeVolume</stp>
        <tr r="AN515" s="57"/>
      </tp>
      <tp>
        <v>0</v>
        <stp/>
        <stp>2636</stp>
        <stp>CumulativeVolume</stp>
        <tr r="AN13" s="107"/>
        <tr r="AN1524" s="57"/>
      </tp>
      <tp>
        <v>0</v>
        <stp/>
        <stp>2736</stp>
        <stp>CumulativeVolume</stp>
        <tr r="AN1558" s="57"/>
      </tp>
      <tp>
        <v>0</v>
        <stp/>
        <stp>2436</stp>
        <stp>CumulativeVolume</stp>
        <tr r="AN545" s="57"/>
      </tp>
      <tp>
        <v>0</v>
        <stp/>
        <stp>2536</stp>
        <stp>CumulativeVolume</stp>
        <tr r="AN1451" s="57"/>
      </tp>
      <tp>
        <v>0</v>
        <stp/>
        <stp>2836</stp>
        <stp>CumulativeVolume</stp>
        <tr r="AN1592" s="57"/>
      </tp>
      <tp>
        <v>0</v>
        <stp/>
        <stp>2936</stp>
        <stp>CumulativeVolume</stp>
        <tr r="AN1645" s="57"/>
      </tp>
      <tp>
        <v>0</v>
        <stp/>
        <stp>3236</stp>
        <stp>CumulativeVolume</stp>
        <tr r="AN1076" s="57"/>
      </tp>
      <tp>
        <v>0</v>
        <stp/>
        <stp>3036</stp>
        <stp>CumulativeVolume</stp>
        <tr r="AN1230" s="57"/>
      </tp>
      <tp>
        <v>0</v>
        <stp/>
        <stp>3536</stp>
        <stp>CumulativeVolume</stp>
        <tr r="AN585" s="57"/>
      </tp>
      <tp>
        <v>0</v>
        <stp/>
        <stp>1236</stp>
        <stp>CumulativeVolume</stp>
        <tr r="AN32" s="57"/>
      </tp>
      <tp>
        <v>0</v>
        <stp/>
        <stp>1336</stp>
        <stp>CumulativeVolume</stp>
        <tr r="AN1014" s="57"/>
      </tp>
      <tp>
        <v>0</v>
        <stp/>
        <stp>1736</stp>
        <stp>CumulativeVolume</stp>
        <tr r="AN297" s="57"/>
      </tp>
      <tp>
        <v>0</v>
        <stp/>
        <stp>1436</stp>
        <stp>CumulativeVolume</stp>
        <tr r="AN1432" s="57"/>
      </tp>
      <tp>
        <v>0</v>
        <stp/>
        <stp>1536</stp>
        <stp>CumulativeVolume</stp>
        <tr r="AN502" s="57"/>
      </tp>
      <tp>
        <v>0</v>
        <stp/>
        <stp>6236</stp>
        <stp>CumulativeVolume</stp>
        <tr r="AN1338" s="57"/>
      </tp>
      <tp>
        <v>0</v>
        <stp/>
        <stp>6136</stp>
        <stp>CumulativeVolume</stp>
        <tr r="AN978" s="57"/>
      </tp>
      <tp>
        <v>0</v>
        <stp/>
        <stp>4736</stp>
        <stp>CumulativeVolume</stp>
        <tr r="AN367" s="57"/>
      </tp>
      <tp>
        <v>0</v>
        <stp/>
        <stp>4536</stp>
        <stp>CumulativeVolume</stp>
        <tr r="AN1323" s="57"/>
      </tp>
      <tp>
        <v>0</v>
        <stp/>
        <stp>5236</stp>
        <stp>CumulativeVolume</stp>
        <tr r="AN611" s="57"/>
      </tp>
      <tp>
        <v>0</v>
        <stp/>
        <stp>5536</stp>
        <stp>CumulativeVolume</stp>
        <tr r="AN1736" s="57"/>
      </tp>
      <tp>
        <v>0</v>
        <stp/>
        <stp>8436</stp>
        <stp>CumulativeVolume</stp>
        <tr r="AN413" s="57"/>
      </tp>
      <tp>
        <v>0</v>
        <stp/>
        <stp>8936</stp>
        <stp>CumulativeVolume</stp>
        <tr r="AN33" s="28"/>
        <tr r="AN1397" s="57"/>
      </tp>
      <tp>
        <v>0</v>
        <stp/>
        <stp>2239</stp>
        <stp>CumulativeVolume</stp>
        <tr r="AN516" s="57"/>
      </tp>
      <tp>
        <v>0</v>
        <stp/>
        <stp>2739</stp>
        <stp>CumulativeVolume</stp>
        <tr r="AN1559" s="57"/>
      </tp>
      <tp>
        <v>0</v>
        <stp/>
        <stp>2439</stp>
        <stp>CumulativeVolume</stp>
        <tr r="AN15" s="74"/>
        <tr r="AN931" s="57"/>
      </tp>
      <tp>
        <v>0</v>
        <stp/>
        <stp>2539</stp>
        <stp>CumulativeVolume</stp>
        <tr r="AN1454" s="57"/>
      </tp>
      <tp>
        <v>0</v>
        <stp/>
        <stp>2939</stp>
        <stp>CumulativeVolume</stp>
        <tr r="AN1647" s="57"/>
      </tp>
      <tp>
        <v>0</v>
        <stp/>
        <stp>3339</stp>
        <stp>CumulativeVolume</stp>
        <tr r="AN832" s="57"/>
      </tp>
      <tp>
        <v>0</v>
        <stp/>
        <stp>1339</stp>
        <stp>CumulativeVolume</stp>
        <tr r="AN495" s="57"/>
      </tp>
      <tp>
        <v>0</v>
        <stp/>
        <stp>1439</stp>
        <stp>CumulativeVolume</stp>
        <tr r="AN82" s="57"/>
      </tp>
      <tp>
        <v>0</v>
        <stp/>
        <stp>1539</stp>
        <stp>CumulativeVolume</stp>
        <tr r="AN149" s="57"/>
      </tp>
      <tp>
        <v>0</v>
        <stp/>
        <stp>6239</stp>
        <stp>CumulativeVolume</stp>
        <tr r="AN639" s="57"/>
      </tp>
      <tp>
        <v>0</v>
        <stp/>
        <stp>6139</stp>
        <stp>CumulativeVolume</stp>
        <tr r="AN1737" s="57"/>
      </tp>
      <tp>
        <v>0</v>
        <stp/>
        <stp>4139</stp>
        <stp>CumulativeVolume</stp>
        <tr r="AN340" s="57"/>
      </tp>
      <tp>
        <v>0</v>
        <stp/>
        <stp>4739</stp>
        <stp>CumulativeVolume</stp>
        <tr r="AN275" s="57"/>
      </tp>
      <tp>
        <v>0</v>
        <stp/>
        <stp>4439</stp>
        <stp>CumulativeVolume</stp>
        <tr r="AN126" s="57"/>
      </tp>
      <tp>
        <v>0</v>
        <stp/>
        <stp>4939</stp>
        <stp>CumulativeVolume</stp>
        <tr r="AN1125" s="57"/>
      </tp>
      <tp>
        <v>0</v>
        <stp/>
        <stp>5439</stp>
        <stp>CumulativeVolume</stp>
        <tr r="AN1140" s="57"/>
      </tp>
      <tp>
        <v>0</v>
        <stp/>
        <stp>8039</stp>
        <stp>CumulativeVolume</stp>
        <tr r="AN1201" s="57"/>
      </tp>
      <tp>
        <v>0</v>
        <stp/>
        <stp>9939</stp>
        <stp>CumulativeVolume</stp>
        <tr r="AN1422" s="57"/>
      </tp>
      <tp>
        <v>0</v>
        <stp/>
        <stp>2338</stp>
        <stp>CumulativeVolume</stp>
        <tr r="AN534" s="57"/>
      </tp>
      <tp>
        <v>0</v>
        <stp/>
        <stp>2038</stp>
        <stp>CumulativeVolume</stp>
        <tr r="AN456" s="57"/>
      </tp>
      <tp>
        <v>0</v>
        <stp/>
        <stp>2438</stp>
        <stp>CumulativeVolume</stp>
        <tr r="AN813" s="57"/>
      </tp>
      <tp>
        <v>0</v>
        <stp/>
        <stp>2538</stp>
        <stp>CumulativeVolume</stp>
        <tr r="AN1453" s="57"/>
      </tp>
      <tp>
        <v>0</v>
        <stp/>
        <stp>2838</stp>
        <stp>CumulativeVolume</stp>
        <tr r="AN1593" s="57"/>
      </tp>
      <tp>
        <v>0</v>
        <stp/>
        <stp>3338</stp>
        <stp>CumulativeVolume</stp>
        <tr r="AN1088" s="57"/>
      </tp>
      <tp>
        <v>0</v>
        <stp/>
        <stp>3038</stp>
        <stp>CumulativeVolume</stp>
        <tr r="AN822" s="57"/>
      </tp>
      <tp>
        <v>0</v>
        <stp/>
        <stp>3138</stp>
        <stp>CumulativeVolume</stp>
        <tr r="AN944" s="57"/>
      </tp>
      <tp>
        <v>0</v>
        <stp/>
        <stp>3438</stp>
        <stp>CumulativeVolume</stp>
        <tr r="AN579" s="57"/>
      </tp>
      <tp>
        <v>0</v>
        <stp/>
        <stp>1338</stp>
        <stp>CumulativeVolume</stp>
        <tr r="AN494" s="57"/>
      </tp>
      <tp>
        <v>0</v>
        <stp/>
        <stp>1438</stp>
        <stp>CumulativeVolume</stp>
        <tr r="AN1433" s="57"/>
      </tp>
      <tp>
        <v>0</v>
        <stp/>
        <stp>1538</stp>
        <stp>CumulativeVolume</stp>
        <tr r="AN148" s="57"/>
      </tp>
      <tp>
        <v>0</v>
        <stp/>
        <stp>6138</stp>
        <stp>CumulativeVolume</stp>
        <tr r="AN630" s="57"/>
      </tp>
      <tp>
        <v>0</v>
        <stp/>
        <stp>6438</stp>
        <stp>CumulativeVolume</stp>
        <tr r="AN14" s="74"/>
        <tr r="AN1749" s="57"/>
      </tp>
      <tp>
        <v>0</v>
        <stp/>
        <stp>6538</stp>
        <stp>CumulativeVolume</stp>
        <tr r="AN49" s="28"/>
        <tr r="AN3" s="112"/>
        <tr r="AN48" s="28"/>
        <tr r="AN1193" s="57"/>
        <tr r="AN8" s="109"/>
        <tr r="AN2" s="109"/>
        <tr r="AN2" s="101"/>
        <tr r="AN9" s="102"/>
        <tr r="AN7" s="109"/>
        <tr r="AN8" s="99"/>
      </tp>
      <tp>
        <v>0</v>
        <stp/>
        <stp>4138</stp>
        <stp>CumulativeVolume</stp>
        <tr r="AN339" s="57"/>
      </tp>
      <tp>
        <v>0</v>
        <stp/>
        <stp>4438</stp>
        <stp>CumulativeVolume</stp>
        <tr r="AN125" s="57"/>
      </tp>
      <tp>
        <v>0</v>
        <stp/>
        <stp>4538</stp>
        <stp>CumulativeVolume</stp>
        <tr r="AN191" s="57"/>
      </tp>
      <tp>
        <v>0</v>
        <stp/>
        <stp>4938</stp>
        <stp>CumulativeVolume</stp>
        <tr r="AN758" s="57"/>
        <tr r="AN23" s="28"/>
      </tp>
      <tp>
        <v>0</v>
        <stp/>
        <stp>5438</stp>
        <stp>CumulativeVolume</stp>
        <tr r="AN767" s="57"/>
      </tp>
      <tp>
        <v>0</v>
        <stp/>
        <stp>5538</stp>
        <stp>CumulativeVolume</stp>
        <tr r="AN470" s="57"/>
      </tp>
      <tp>
        <v>0</v>
        <stp/>
        <stp>8038</stp>
        <stp>CumulativeVolume</stp>
        <tr r="AN1200" s="57"/>
      </tp>
      <tp>
        <v>0</v>
        <stp/>
        <stp>8938</stp>
        <stp>CumulativeVolume</stp>
        <tr r="AN1399" s="57"/>
      </tp>
      <tp>
        <v>0</v>
        <stp/>
        <stp>9938</stp>
        <stp>CumulativeVolume</stp>
        <tr r="AN1421" s="57"/>
      </tp>
      <tp>
        <v>0</v>
        <stp/>
        <stp>6485</stp>
        <stp>PredictVolume</stp>
        <tr r="AM652" s="57"/>
      </tp>
      <tp>
        <v>0</v>
        <stp/>
        <stp>6435</stp>
        <stp>PredictVolume</stp>
        <tr r="AM648" s="57"/>
      </tp>
      <tp>
        <v>0</v>
        <stp/>
        <stp>6425</stp>
        <stp>PredictVolume</stp>
        <tr r="AM211" s="57"/>
      </tp>
      <tp>
        <v>0</v>
        <stp/>
        <stp>6415</stp>
        <stp>PredictVolume</stp>
        <tr r="AM647" s="57"/>
      </tp>
      <tp>
        <v>0</v>
        <stp/>
        <stp>6405</stp>
        <stp>PredictVolume</stp>
        <tr r="AM903" s="57"/>
      </tp>
      <tp>
        <v>0</v>
        <stp/>
        <stp>6535</stp>
        <stp>PredictVolume</stp>
        <tr r="AM388" s="57"/>
      </tp>
      <tp>
        <v>0</v>
        <stp/>
        <stp>6525</stp>
        <stp>PredictVolume</stp>
        <tr r="AM657" s="57"/>
      </tp>
      <tp>
        <v>0</v>
        <stp/>
        <stp>6515</stp>
        <stp>PredictVolume</stp>
        <tr r="AM7" s="74"/>
        <tr r="AM656" s="57"/>
      </tp>
      <tp>
        <v>0</v>
        <stp/>
        <stp>6505</stp>
        <stp>PredictVolume</stp>
        <tr r="AM1679" s="57"/>
      </tp>
      <tp>
        <v>0</v>
        <stp/>
        <stp>6625</stp>
        <stp>PredictVolume</stp>
        <tr r="AM1345" s="57"/>
      </tp>
      <tp>
        <v>0</v>
        <stp/>
        <stp>6615</stp>
        <stp>PredictVolume</stp>
        <tr r="AM397" s="57"/>
      </tp>
      <tp>
        <v>0</v>
        <stp/>
        <stp>6605</stp>
        <stp>PredictVolume</stp>
        <tr r="AM526" s="57"/>
      </tp>
      <tp>
        <v>0</v>
        <stp/>
        <stp>6655</stp>
        <stp>PredictVolume</stp>
        <tr r="AM1348" s="57"/>
      </tp>
      <tp>
        <v>0</v>
        <stp/>
        <stp>6715</stp>
        <stp>PredictVolume</stp>
        <tr r="AM1197" s="57"/>
      </tp>
      <tp>
        <v>0</v>
        <stp/>
        <stp>6015</stp>
        <stp>PredictVolume</stp>
        <tr r="AM1621" s="57"/>
      </tp>
      <tp>
        <v>0</v>
        <stp/>
        <stp>6005</stp>
        <stp>PredictVolume</stp>
        <tr r="AM1620" s="57"/>
      </tp>
      <tp>
        <v>0</v>
        <stp/>
        <stp>6195</stp>
        <stp>PredictVolume</stp>
        <tr r="AM1658" s="57"/>
      </tp>
      <tp>
        <v>0</v>
        <stp/>
        <stp>6185</stp>
        <stp>PredictVolume</stp>
        <tr r="AM1165" s="57"/>
      </tp>
      <tp>
        <v>0</v>
        <stp/>
        <stp>6125</stp>
        <stp>PredictVolume</stp>
        <tr r="AM889" s="57"/>
      </tp>
      <tp>
        <v>0</v>
        <stp/>
        <stp>6115</stp>
        <stp>PredictVolume</stp>
        <tr r="AM1150" s="57"/>
      </tp>
      <tp>
        <v>0</v>
        <stp/>
        <stp>6175</stp>
        <stp>PredictVolume</stp>
        <tr r="AM1164" s="57"/>
      </tp>
      <tp>
        <v>0</v>
        <stp/>
        <stp>6165</stp>
        <stp>PredictVolume</stp>
        <tr r="AM1161" s="57"/>
      </tp>
      <tp>
        <v>0</v>
        <stp/>
        <stp>6155</stp>
        <stp>PredictVolume</stp>
        <tr r="AM1158" s="57"/>
      </tp>
      <tp>
        <v>0</v>
        <stp/>
        <stp>6285</stp>
        <stp>PredictVolume</stp>
        <tr r="AM990" s="57"/>
      </tp>
      <tp>
        <v>0</v>
        <stp/>
        <stp>6235</stp>
        <stp>PredictVolume</stp>
        <tr r="AM17" s="115"/>
        <tr r="AM784" s="57"/>
      </tp>
      <tp>
        <v>0</v>
        <stp/>
        <stp>6225</stp>
        <stp>PredictVolume</stp>
        <tr r="AM896" s="57"/>
      </tp>
      <tp>
        <v>0</v>
        <stp/>
        <stp>6205</stp>
        <stp>PredictVolume</stp>
        <tr r="AM1171" s="57"/>
      </tp>
      <tp>
        <v>0</v>
        <stp/>
        <stp>6275</stp>
        <stp>PredictVolume</stp>
        <tr r="AM1746" s="57"/>
      </tp>
      <tp>
        <v>0</v>
        <stp/>
        <stp>6265</stp>
        <stp>PredictVolume</stp>
        <tr r="AM1247" s="57"/>
      </tp>
      <tp>
        <v>0</v>
        <stp/>
        <stp>6245</stp>
        <stp>PredictVolume</stp>
        <tr r="AM988" s="57"/>
      </tp>
      <tp>
        <v>0</v>
        <stp/>
        <stp>4535</stp>
        <stp>PredictVolume</stp>
        <tr r="AM190" s="57"/>
      </tp>
      <tp>
        <v>0</v>
        <stp/>
        <stp>4555</stp>
        <stp>PredictVolume</stp>
        <tr r="AM197" s="57"/>
      </tp>
      <tp>
        <v>0</v>
        <stp/>
        <stp>4545</stp>
        <stp>PredictVolume</stp>
        <tr r="AM1121" s="57"/>
      </tp>
      <tp>
        <v>0</v>
        <stp/>
        <stp>4735</stp>
        <stp>PredictVolume</stp>
        <tr r="AM34" s="28"/>
        <tr r="AM3" s="108"/>
        <tr r="AM366" s="57"/>
      </tp>
      <tp>
        <v>0</v>
        <stp/>
        <stp>4755</stp>
        <stp>PredictVolume</stp>
        <tr r="AM278" s="57"/>
      </tp>
      <tp>
        <v>0</v>
        <stp/>
        <stp>4745</stp>
        <stp>PredictVolume</stp>
        <tr r="AM371" s="57"/>
      </tp>
      <tp>
        <v>0</v>
        <stp/>
        <stp>4105</stp>
        <stp>PredictVolume</stp>
        <tr r="AM319" s="57"/>
      </tp>
      <tp>
        <v>0</v>
        <stp/>
        <stp>4175</stp>
        <stp>PredictVolume</stp>
        <tr r="AM358" s="57"/>
      </tp>
      <tp>
        <v>0</v>
        <stp/>
        <stp>4155</stp>
        <stp>PredictVolume</stp>
        <tr r="AM347" s="57"/>
      </tp>
      <tp>
        <v>0</v>
        <stp/>
        <stp>4205</stp>
        <stp>PredictVolume</stp>
        <tr r="AM39" s="57"/>
      </tp>
      <tp>
        <v>0</v>
        <stp/>
        <stp>4305</stp>
        <stp>PredictVolume</stp>
        <tr r="AM66" s="57"/>
      </tp>
      <tp>
        <v>0</v>
        <stp/>
        <stp>4995</stp>
        <stp>PredictVolume</stp>
        <tr r="AM873" s="57"/>
      </tp>
      <tp>
        <v>0</v>
        <stp/>
        <stp>4935</stp>
        <stp>PredictVolume</stp>
        <tr r="AM866" s="57"/>
      </tp>
      <tp>
        <v>0</v>
        <stp/>
        <stp>4915</stp>
        <stp>PredictVolume</stp>
        <tr r="AM1123" s="57"/>
      </tp>
      <tp>
        <v>0</v>
        <stp/>
        <stp>4945</stp>
        <stp>PredictVolume</stp>
        <tr r="AM601" s="57"/>
      </tp>
      <tp>
        <v>0</v>
        <stp/>
        <stp>5425</stp>
        <stp>PredictVolume</stp>
        <tr r="AM622" s="57"/>
      </tp>
      <tp>
        <v>0</v>
        <stp/>
        <stp>5475</stp>
        <stp>PredictVolume</stp>
        <tr r="AM1145" s="57"/>
      </tp>
      <tp>
        <v>0</v>
        <stp/>
        <stp>5465</stp>
        <stp>PredictVolume</stp>
        <tr r="AM768" s="57"/>
      </tp>
      <tp>
        <v>0</v>
        <stp/>
        <stp>5455</stp>
        <stp>PredictVolume</stp>
        <tr r="AM1478" s="57"/>
      </tp>
      <tp>
        <v>0</v>
        <stp/>
        <stp>5525</stp>
        <stp>PredictVolume</stp>
        <tr r="AM1489" s="57"/>
      </tp>
      <tp>
        <v>0</v>
        <stp/>
        <stp>5515</stp>
        <stp>PredictVolume</stp>
        <tr r="AM1483" s="57"/>
      </tp>
      <tp>
        <v>0</v>
        <stp/>
        <stp>5015</stp>
        <stp>PredictVolume</stp>
        <tr r="AM468" s="57"/>
      </tp>
      <tp>
        <v>0</v>
        <stp/>
        <stp>5285</stp>
        <stp>PredictVolume</stp>
        <tr r="AM615" s="57"/>
      </tp>
      <tp>
        <v>0</v>
        <stp/>
        <stp>5225</stp>
        <stp>PredictVolume</stp>
        <tr r="AM1731" s="57"/>
      </tp>
      <tp>
        <v>0</v>
        <stp/>
        <stp>5215</stp>
        <stp>PredictVolume</stp>
        <tr r="AM760" s="57"/>
      </tp>
      <tp>
        <v>0</v>
        <stp/>
        <stp>5205</stp>
        <stp>PredictVolume</stp>
        <tr r="AM1730" s="57"/>
      </tp>
      <tp>
        <v>0</v>
        <stp/>
        <stp>5245</stp>
        <stp>PredictVolume</stp>
        <tr r="AM878" s="57"/>
      </tp>
      <tp>
        <v>0</v>
        <stp/>
        <stp>5315</stp>
        <stp>PredictVolume</stp>
        <tr r="AM881" s="57"/>
      </tp>
      <tp>
        <v>0</v>
        <stp/>
        <stp>5355</stp>
        <stp>PredictVolume</stp>
        <tr r="AM1138" s="57"/>
      </tp>
      <tp>
        <v>0</v>
        <stp/>
        <stp>5345</stp>
        <stp>PredictVolume</stp>
        <tr r="AM1137" s="57"/>
      </tp>
      <tp>
        <v>0</v>
        <stp/>
        <stp>5905</stp>
        <stp>PredictVolume</stp>
        <tr r="AM1655" s="57"/>
      </tp>
      <tp>
        <v>0</v>
        <stp/>
        <stp>2495</stp>
        <stp>PredictVolume</stp>
        <tr r="AM1700" s="57"/>
      </tp>
      <tp>
        <v>0</v>
        <stp/>
        <stp>2485</stp>
        <stp>PredictVolume</stp>
        <tr r="AM935" s="57"/>
      </tp>
      <tp>
        <v>0</v>
        <stp/>
        <stp>2425</stp>
        <stp>PredictVolume</stp>
        <tr r="AM718" s="57"/>
      </tp>
      <tp>
        <v>0</v>
        <stp/>
        <stp>2415</stp>
        <stp>PredictVolume</stp>
        <tr r="AM1034" s="57"/>
      </tp>
      <tp>
        <v>0</v>
        <stp/>
        <stp>2405</stp>
        <stp>PredictVolume</stp>
        <tr r="AM715" s="57"/>
      </tp>
      <tp>
        <v>0</v>
        <stp/>
        <stp>2465</stp>
        <stp>PredictVolume</stp>
        <tr r="AM720" s="57"/>
      </tp>
      <tp>
        <v>0</v>
        <stp/>
        <stp>2455</stp>
        <stp>PredictVolume</stp>
        <tr r="AM934" s="57"/>
      </tp>
      <tp>
        <v>0</v>
        <stp/>
        <stp>2535</stp>
        <stp>PredictVolume</stp>
        <tr r="AM1450" s="57"/>
      </tp>
      <tp>
        <v>0</v>
        <stp/>
        <stp>2515</stp>
        <stp>PredictVolume</stp>
        <tr r="AM1813" s="57"/>
      </tp>
      <tp>
        <v>0</v>
        <stp/>
        <stp>2505</stp>
        <stp>PredictVolume</stp>
        <tr r="AM1439" s="57"/>
      </tp>
      <tp>
        <v>0</v>
        <stp/>
        <stp>2545</stp>
        <stp>PredictVolume</stp>
        <tr r="AM1458" s="57"/>
      </tp>
      <tp>
        <v>0</v>
        <stp/>
        <stp>2615</stp>
        <stp>PredictVolume</stp>
        <tr r="AM1518" s="57"/>
      </tp>
      <tp>
        <v>0</v>
        <stp/>
        <stp>2605</stp>
        <stp>PredictVolume</stp>
        <tr r="AM1509" s="57"/>
      </tp>
      <tp>
        <v>0</v>
        <stp/>
        <stp>2705</stp>
        <stp>PredictVolume</stp>
        <tr r="AM1543" s="57"/>
      </tp>
      <tp>
        <v>0</v>
        <stp/>
        <stp>2755</stp>
        <stp>PredictVolume</stp>
        <tr r="AM1567" s="57"/>
      </tp>
      <tp>
        <v>0</v>
        <stp/>
        <stp>2745</stp>
        <stp>PredictVolume</stp>
        <tr r="AM1562" s="57"/>
      </tp>
      <tp>
        <v>0</v>
        <stp/>
        <stp>2035</stp>
        <stp>PredictVolume</stp>
        <tr r="AM455" s="57"/>
      </tp>
      <tp>
        <v>0</v>
        <stp/>
        <stp>2025</stp>
        <stp>PredictVolume</stp>
        <tr r="AM446" s="57"/>
      </tp>
      <tp>
        <v>0</v>
        <stp/>
        <stp>2015</stp>
        <stp>PredictVolume</stp>
        <tr r="AM440" s="57"/>
      </tp>
      <tp>
        <v>0</v>
        <stp/>
        <stp>2065</stp>
        <stp>PredictVolume</stp>
        <tr r="AM459" s="57"/>
      </tp>
      <tp>
        <v>0</v>
        <stp/>
        <stp>2115</stp>
        <stp>PredictVolume</stp>
        <tr r="AM506" s="57"/>
      </tp>
      <tp>
        <v>0</v>
        <stp/>
        <stp>2105</stp>
        <stp>PredictVolume</stp>
        <tr r="AM5" s="113"/>
        <tr r="AM483" s="57"/>
      </tp>
      <tp>
        <v>0</v>
        <stp/>
        <stp>2235</stp>
        <stp>PredictVolume</stp>
        <tr r="AM168" s="57"/>
      </tp>
      <tp>
        <v>0</v>
        <stp/>
        <stp>2395</stp>
        <stp>PredictVolume</stp>
        <tr r="AM712" s="57"/>
      </tp>
      <tp>
        <v>0</v>
        <stp/>
        <stp>2385</stp>
        <stp>PredictVolume</stp>
        <tr r="AM1030" s="57"/>
      </tp>
      <tp>
        <v>0</v>
        <stp/>
        <stp>2305</stp>
        <stp>PredictVolume</stp>
        <tr r="AM697" s="57"/>
      </tp>
      <tp>
        <v>0</v>
        <stp/>
        <stp>2375</stp>
        <stp>PredictVolume</stp>
        <tr r="AM47" s="28"/>
        <tr r="AM13" s="99"/>
        <tr r="AM1028" s="57"/>
      </tp>
      <tp>
        <v>0</v>
        <stp/>
        <stp>2365</stp>
        <stp>PredictVolume</stp>
        <tr r="AM706" s="57"/>
      </tp>
      <tp>
        <v>0</v>
        <stp/>
        <stp>2355</stp>
        <stp>PredictVolume</stp>
        <tr r="AM1025" s="57"/>
      </tp>
      <tp>
        <v>0</v>
        <stp/>
        <stp>2345</stp>
        <stp>PredictVolume</stp>
        <tr r="AM928" s="57"/>
      </tp>
      <tp>
        <v>0</v>
        <stp/>
        <stp>2885</stp>
        <stp>PredictVolume</stp>
        <tr r="AM1606" s="57"/>
      </tp>
      <tp>
        <v>0</v>
        <stp/>
        <stp>2855</stp>
        <stp>PredictVolume</stp>
        <tr r="AM1599" s="57"/>
      </tp>
      <tp>
        <v>0</v>
        <stp/>
        <stp>2845</stp>
        <stp>PredictVolume</stp>
        <tr r="AM1594" s="57"/>
      </tp>
      <tp>
        <v>0</v>
        <stp/>
        <stp>2915</stp>
        <stp>PredictVolume</stp>
        <tr r="AM1642" s="57"/>
      </tp>
      <tp>
        <v>0</v>
        <stp/>
        <stp>2905</stp>
        <stp>PredictVolume</stp>
        <tr r="AM1635" s="57"/>
      </tp>
      <tp>
        <v>0</v>
        <stp/>
        <stp>2945</stp>
        <stp>PredictVolume</stp>
        <tr r="AM1648" s="57"/>
      </tp>
      <tp>
        <v>0</v>
        <stp/>
        <stp>3465</stp>
        <stp>PredictVolume</stp>
        <tr r="AM1095" s="57"/>
      </tp>
      <tp>
        <v>0</v>
        <stp/>
        <stp>3455</stp>
        <stp>PredictVolume</stp>
        <tr r="AM55" s="28"/>
        <tr r="AM12" s="74"/>
        <tr r="AM12" s="115"/>
        <tr r="AM841" s="57"/>
      </tp>
      <tp>
        <v>0</v>
        <stp/>
        <stp>3535</stp>
        <stp>PredictVolume</stp>
        <tr r="AM847" s="57"/>
      </tp>
      <tp>
        <v>0</v>
        <stp/>
        <stp>3515</stp>
        <stp>PredictVolume</stp>
        <tr r="AM742" s="57"/>
      </tp>
      <tp>
        <v>0</v>
        <stp/>
        <stp>3555</stp>
        <stp>PredictVolume</stp>
        <tr r="AM587" s="57"/>
      </tp>
      <tp>
        <v>0</v>
        <stp/>
        <stp>3545</stp>
        <stp>PredictVolume</stp>
        <tr r="AM586" s="57"/>
      </tp>
      <tp>
        <v>0</v>
        <stp/>
        <stp>3685</stp>
        <stp>PredictVolume</stp>
        <tr r="AM859" s="57"/>
      </tp>
      <tp>
        <v>0</v>
        <stp/>
        <stp>3625</stp>
        <stp>PredictVolume</stp>
        <tr r="AM748" s="57"/>
      </tp>
      <tp>
        <v>0</v>
        <stp/>
        <stp>3615</stp>
        <stp>PredictVolume</stp>
        <tr r="AM852" s="57"/>
      </tp>
      <tp>
        <v>0</v>
        <stp/>
        <stp>3605</stp>
        <stp>PredictVolume</stp>
        <tr r="AM1109" s="57"/>
      </tp>
      <tp>
        <v>0</v>
        <stp/>
        <stp>3675</stp>
        <stp>PredictVolume</stp>
        <tr r="AM595" s="57"/>
      </tp>
      <tp>
        <v>0</v>
        <stp/>
        <stp>3665</stp>
        <stp>PredictVolume</stp>
        <tr r="AM6" s="107"/>
        <tr r="AM1727" s="57"/>
      </tp>
      <tp>
        <v>0</v>
        <stp/>
        <stp>3645</stp>
        <stp>PredictVolume</stp>
        <tr r="AM1114" s="57"/>
      </tp>
      <tp>
        <v>0</v>
        <stp/>
        <stp>3705</stp>
        <stp>PredictVolume</stp>
        <tr r="AM316" s="57"/>
      </tp>
      <tp>
        <v>0</v>
        <stp/>
        <stp>3095</stp>
        <stp>PredictVolume</stp>
        <tr r="AM943" s="57"/>
      </tp>
      <tp>
        <v>0</v>
        <stp/>
        <stp>3085</stp>
        <stp>PredictVolume</stp>
        <tr r="AM1797" s="57"/>
      </tp>
      <tp>
        <v>0</v>
        <stp/>
        <stp>3035</stp>
        <stp>PredictVolume</stp>
        <tr r="AM9" s="115"/>
        <tr r="AM556" s="57"/>
      </tp>
      <tp>
        <v>0</v>
        <stp/>
        <stp>3025</stp>
        <stp>PredictVolume</stp>
        <tr r="AM937" s="57"/>
      </tp>
      <tp>
        <v>0</v>
        <stp/>
        <stp>3015</stp>
        <stp>PredictVolume</stp>
        <tr r="AM21" s="28"/>
        <tr r="AM1055" s="57"/>
      </tp>
      <tp>
        <v>0</v>
        <stp/>
        <stp>3005</stp>
        <stp>PredictVolume</stp>
        <tr r="AM722" s="57"/>
      </tp>
      <tp>
        <v>0</v>
        <stp/>
        <stp>3055</stp>
        <stp>PredictVolume</stp>
        <tr r="AM1232" s="57"/>
      </tp>
      <tp>
        <v>0</v>
        <stp/>
        <stp>3045</stp>
        <stp>PredictVolume</stp>
        <tr r="AM939" s="57"/>
      </tp>
      <tp>
        <v>0</v>
        <stp/>
        <stp>3115</stp>
        <stp>PredictVolume</stp>
        <tr r="AM1068" s="57"/>
      </tp>
      <tp>
        <v>0</v>
        <stp/>
        <stp>3105</stp>
        <stp>PredictVolume</stp>
        <tr r="AM561" s="57"/>
      </tp>
      <tp>
        <v>0</v>
        <stp/>
        <stp>3285</stp>
        <stp>PredictVolume</stp>
        <tr r="AM1707" s="57"/>
      </tp>
      <tp>
        <v>0</v>
        <stp/>
        <stp>3205</stp>
        <stp>PredictVolume</stp>
        <tr r="AM314" s="57"/>
      </tp>
      <tp>
        <v>0</v>
        <stp/>
        <stp>3265</stp>
        <stp>PredictVolume</stp>
        <tr r="AM25" s="28"/>
        <tr r="AM573" s="57"/>
      </tp>
      <tp>
        <v>0</v>
        <stp/>
        <stp>3325</stp>
        <stp>PredictVolume</stp>
        <tr r="AM737" s="57"/>
      </tp>
      <tp>
        <v>0</v>
        <stp/>
        <stp>3305</stp>
        <stp>PredictVolume</stp>
        <tr r="AM1710" s="57"/>
      </tp>
      <tp>
        <v>0</v>
        <stp/>
        <stp>1435</stp>
        <stp>PredictVolume</stp>
        <tr r="AM1305" s="57"/>
      </tp>
      <tp>
        <v>0</v>
        <stp/>
        <stp>1475</stp>
        <stp>PredictVolume</stp>
        <tr r="AM110" s="57"/>
      </tp>
      <tp>
        <v>0</v>
        <stp/>
        <stp>1465</stp>
        <stp>PredictVolume</stp>
        <tr r="AM102" s="57"/>
      </tp>
      <tp>
        <v>0</v>
        <stp/>
        <stp>1455</stp>
        <stp>PredictVolume</stp>
        <tr r="AM95" s="57"/>
      </tp>
      <tp>
        <v>0</v>
        <stp/>
        <stp>1445</stp>
        <stp>PredictVolume</stp>
        <tr r="AM87" s="57"/>
      </tp>
      <tp>
        <v>0</v>
        <stp/>
        <stp>1595</stp>
        <stp>PredictVolume</stp>
        <tr r="AM1017" s="57"/>
      </tp>
      <tp>
        <v>0</v>
        <stp/>
        <stp>1535</stp>
        <stp>PredictVolume</stp>
        <tr r="AM146" s="57"/>
      </tp>
      <tp>
        <v>0</v>
        <stp/>
        <stp>1525</stp>
        <stp>PredictVolume</stp>
        <tr r="AM500" s="57"/>
      </tp>
      <tp>
        <v>0</v>
        <stp/>
        <stp>1515</stp>
        <stp>PredictVolume</stp>
        <tr r="AM136" s="57"/>
      </tp>
      <tp>
        <v>0</v>
        <stp/>
        <stp>1565</stp>
        <stp>PredictVolume</stp>
        <tr r="AM288" s="57"/>
      </tp>
      <tp>
        <v>0</v>
        <stp/>
        <stp>1615</stp>
        <stp>PredictVolume</stp>
        <tr r="AM232" s="57"/>
      </tp>
      <tp>
        <v>0</v>
        <stp/>
        <stp>1605</stp>
        <stp>PredictVolume</stp>
        <tr r="AM226" s="57"/>
      </tp>
      <tp>
        <v>0</v>
        <stp/>
        <stp>1795</stp>
        <stp>PredictVolume</stp>
        <tr r="AM308" s="57"/>
      </tp>
      <tp>
        <v>0</v>
        <stp/>
        <stp>1785</stp>
        <stp>PredictVolume</stp>
        <tr r="AM1683" s="57"/>
      </tp>
      <tp>
        <v>0</v>
        <stp/>
        <stp>1735</stp>
        <stp>PredictVolume</stp>
        <tr r="AM261" s="57"/>
      </tp>
      <tp>
        <v>0</v>
        <stp/>
        <stp>1725</stp>
        <stp>PredictVolume</stp>
        <tr r="AM256" s="57"/>
      </tp>
      <tp>
        <v>0</v>
        <stp/>
        <stp>1235</stp>
        <stp>PredictVolume</stp>
        <tr r="AM31" s="57"/>
      </tp>
      <tp>
        <v>0</v>
        <stp/>
        <stp>1225</stp>
        <stp>PredictVolume</stp>
        <tr r="AM24" s="57"/>
      </tp>
      <tp>
        <v>0</v>
        <stp/>
        <stp>1215</stp>
        <stp>PredictVolume</stp>
        <tr r="AM18" s="57"/>
      </tp>
      <tp>
        <v>0</v>
        <stp/>
        <stp>1325</stp>
        <stp>PredictVolume</stp>
        <tr r="AM59" s="57"/>
        <tr r="AM40" s="28"/>
        <tr r="AM12" s="102"/>
      </tp>
      <tp>
        <v>0</v>
        <stp/>
        <stp>1315</stp>
        <stp>PredictVolume</stp>
        <tr r="AM55" s="57"/>
      </tp>
      <tp>
        <v>0</v>
        <stp/>
        <stp>1305</stp>
        <stp>PredictVolume</stp>
        <tr r="AM47" s="57"/>
      </tp>
      <tp>
        <v>0</v>
        <stp/>
        <stp>1815</stp>
        <stp>PredictVolume</stp>
        <tr r="AM1018" s="57"/>
      </tp>
      <tp>
        <v>0</v>
        <stp/>
        <stp>1805</stp>
        <stp>PredictVolume</stp>
        <tr r="AM1435" s="57"/>
      </tp>
      <tp>
        <v>0</v>
        <stp/>
        <stp>1905</stp>
        <stp>PredictVolume</stp>
        <tr r="AM425" s="57"/>
      </tp>
      <tp>
        <v>0</v>
        <stp/>
        <stp>8435</stp>
        <stp>PredictVolume</stp>
        <tr r="AM1370" s="57"/>
      </tp>
      <tp>
        <v>0</v>
        <stp/>
        <stp>8415</stp>
        <stp>PredictVolume</stp>
        <tr r="AM473" s="57"/>
      </tp>
      <tp>
        <v>0</v>
        <stp/>
        <stp>8455</stp>
        <stp>PredictVolume</stp>
        <tr r="AM1766" s="57"/>
      </tp>
      <tp>
        <v>0</v>
        <stp/>
        <stp>8085</stp>
        <stp>PredictVolume</stp>
        <tr r="AM1760" s="57"/>
      </tp>
      <tp>
        <v>0</v>
        <stp/>
        <stp>8105</stp>
        <stp>PredictVolume</stp>
        <tr r="AM919" s="57"/>
      </tp>
      <tp>
        <v>0</v>
        <stp/>
        <stp>8155</stp>
        <stp>PredictVolume</stp>
        <tr r="AM1214" s="57"/>
      </tp>
      <tp>
        <v>0</v>
        <stp/>
        <stp>8215</stp>
        <stp>PredictVolume</stp>
        <tr r="AM921" s="57"/>
      </tp>
      <tp>
        <v>0</v>
        <stp/>
        <stp>8255</stp>
        <stp>PredictVolume</stp>
        <tr r="AM218" s="57"/>
      </tp>
      <tp>
        <v>0</v>
        <stp/>
        <stp>8935</stp>
        <stp>PredictVolume</stp>
        <tr r="AM1396" s="57"/>
      </tp>
      <tp>
        <v>0</v>
        <stp/>
        <stp>8905</stp>
        <stp>PredictVolume</stp>
        <tr r="AM1387" s="57"/>
      </tp>
      <tp>
        <v>0</v>
        <stp/>
        <stp>9935</stp>
        <stp>PredictVolume</stp>
        <tr r="AM1420" s="57"/>
      </tp>
      <tp>
        <v>0</v>
        <stp/>
        <stp>9925</stp>
        <stp>PredictVolume</stp>
        <tr r="AM1413" s="57"/>
      </tp>
      <tp>
        <v>0</v>
        <stp/>
        <stp>9905</stp>
        <stp>PredictVolume</stp>
        <tr r="AM1404" s="57"/>
      </tp>
      <tp>
        <v>0</v>
        <stp/>
        <stp>9955</stp>
        <stp>PredictVolume</stp>
        <tr r="AM1428" s="57"/>
      </tp>
      <tp>
        <v>0</v>
        <stp/>
        <stp>9945</stp>
        <stp>PredictVolume</stp>
        <tr r="AM1427" s="57"/>
      </tp>
      <tp>
        <v>0</v>
        <stp/>
        <stp>2201</stp>
        <stp>CumulativeVolume</stp>
        <tr r="AN507" s="57"/>
      </tp>
      <tp>
        <v>0</v>
        <stp/>
        <stp>2301</stp>
        <stp>CumulativeVolume</stp>
        <tr r="AN696" s="57"/>
      </tp>
      <tp>
        <v>0</v>
        <stp/>
        <stp>2101</stp>
        <stp>CumulativeVolume</stp>
        <tr r="AN479" s="57"/>
      </tp>
      <tp>
        <v>0</v>
        <stp/>
        <stp>2601</stp>
        <stp>CumulativeVolume</stp>
        <tr r="AN1631" s="57"/>
      </tp>
      <tp>
        <v>0</v>
        <stp/>
        <stp>2701</stp>
        <stp>CumulativeVolume</stp>
        <tr r="AN1540" s="57"/>
      </tp>
      <tp>
        <v>0</v>
        <stp/>
        <stp>2401</stp>
        <stp>CumulativeVolume</stp>
        <tr r="AN542" s="57"/>
      </tp>
      <tp>
        <v>0</v>
        <stp/>
        <stp>2501</stp>
        <stp>CumulativeVolume</stp>
        <tr r="AN1437" s="57"/>
      </tp>
      <tp>
        <v>0</v>
        <stp/>
        <stp>2801</stp>
        <stp>CumulativeVolume</stp>
        <tr r="AN1584" s="57"/>
      </tp>
      <tp>
        <v>0</v>
        <stp/>
        <stp>2901</stp>
        <stp>CumulativeVolume</stp>
        <tr r="AN1633" s="57"/>
      </tp>
      <tp>
        <v>0</v>
        <stp/>
        <stp>3701</stp>
        <stp>CumulativeVolume</stp>
        <tr r="AN751" s="57"/>
      </tp>
      <tp>
        <v>0</v>
        <stp/>
        <stp>3501</stp>
        <stp>CumulativeVolume</stp>
        <tr r="AN1098" s="57"/>
      </tp>
      <tp>
        <v>0</v>
        <stp/>
        <stp>1201</stp>
        <stp>CumulativeVolume</stp>
        <tr r="AN14" s="57"/>
      </tp>
      <tp>
        <v>0</v>
        <stp/>
        <stp>1301</stp>
        <stp>CumulativeVolume</stp>
        <tr r="AN44" s="57"/>
      </tp>
      <tp>
        <v>0</v>
        <stp/>
        <stp>1101</stp>
        <stp>CumulativeVolume</stp>
        <tr r="AN5" s="57"/>
      </tp>
      <tp>
        <v>0</v>
        <stp/>
        <stp>1701</stp>
        <stp>CumulativeVolume</stp>
        <tr r="AN291" s="57"/>
      </tp>
      <tp>
        <v>0</v>
        <stp/>
        <stp>6101</stp>
        <stp>CumulativeVolume</stp>
        <tr r="AN1781" s="57"/>
      </tp>
      <tp>
        <v>0</v>
        <stp/>
        <stp>4401</stp>
        <stp>CumulativeVolume</stp>
        <tr r="AN113" s="57"/>
      </tp>
      <tp>
        <v>0</v>
        <stp/>
        <stp>5201</stp>
        <stp>CumulativeVolume</stp>
        <tr r="AN1271" s="57"/>
      </tp>
      <tp>
        <v>0</v>
        <stp/>
        <stp>5301</stp>
        <stp>CumulativeVolume</stp>
        <tr r="AN1572" s="57"/>
      </tp>
      <tp>
        <v>0</v>
        <stp/>
        <stp>5601</stp>
        <stp>CumulativeVolume</stp>
        <tr r="AN1529" s="57"/>
      </tp>
      <tp>
        <v>0</v>
        <stp/>
        <stp>5701</stp>
        <stp>CumulativeVolume</stp>
        <tr r="AN1574" s="57"/>
      </tp>
      <tp>
        <v>0</v>
        <stp/>
        <stp>8201</stp>
        <stp>CumulativeVolume</stp>
        <tr r="AN1763" s="57"/>
      </tp>
      <tp>
        <v>0</v>
        <stp/>
        <stp>8101</stp>
        <stp>CumulativeVolume</stp>
        <tr r="AN1009" s="57"/>
      </tp>
      <tp>
        <v>0</v>
        <stp/>
        <stp>8401</stp>
        <stp>CumulativeVolume</stp>
        <tr r="AN1360" s="57"/>
      </tp>
      <tp>
        <v>0</v>
        <stp/>
        <stp>2303</stp>
        <stp>CumulativeVolume</stp>
        <tr r="AN530" s="57"/>
      </tp>
      <tp>
        <v>0</v>
        <stp/>
        <stp>2103</stp>
        <stp>CumulativeVolume</stp>
        <tr r="AN481" s="57"/>
      </tp>
      <tp>
        <v>0</v>
        <stp/>
        <stp>2603</stp>
        <stp>CumulativeVolume</stp>
        <tr r="AN1508" s="57"/>
        <tr r="AN8" s="94"/>
        <tr r="AN4" s="113"/>
        <tr r="AN4" s="94"/>
        <tr r="AN6" s="94"/>
      </tp>
      <tp>
        <v>0</v>
        <stp/>
        <stp>2903</stp>
        <stp>CumulativeVolume</stp>
        <tr r="AN1634" s="57"/>
      </tp>
      <tp>
        <v>0</v>
        <stp/>
        <stp>3303</stp>
        <stp>CumulativeVolume</stp>
        <tr r="AN1709" s="57"/>
      </tp>
      <tp>
        <v>0</v>
        <stp/>
        <stp>3003</stp>
        <stp>CumulativeVolume</stp>
        <tr r="AN1053" s="57"/>
      </tp>
      <tp>
        <v>0</v>
        <stp/>
        <stp>3703</stp>
        <stp>CumulativeVolume</stp>
        <tr r="AN1471" s="57"/>
      </tp>
      <tp>
        <v>0</v>
        <stp/>
        <stp>1203</stp>
        <stp>CumulativeVolume</stp>
        <tr r="AN15" s="57"/>
      </tp>
      <tp>
        <v>0</v>
        <stp/>
        <stp>1303</stp>
        <stp>CumulativeVolume</stp>
        <tr r="AN45" s="57"/>
      </tp>
      <tp>
        <v>0</v>
        <stp/>
        <stp>1103</stp>
        <stp>CumulativeVolume</stp>
        <tr r="AN7" s="57"/>
      </tp>
      <tp>
        <v>0</v>
        <stp/>
        <stp>1603</stp>
        <stp>CumulativeVolume</stp>
        <tr r="AN224" s="57"/>
      </tp>
      <tp>
        <v>0</v>
        <stp/>
        <stp>1503</stp>
        <stp>CumulativeVolume</stp>
        <tr r="AN130" s="57"/>
      </tp>
      <tp>
        <v>0</v>
        <stp/>
        <stp>1903</stp>
        <stp>CumulativeVolume</stp>
        <tr r="AN423" s="57"/>
      </tp>
      <tp>
        <v>0</v>
        <stp/>
        <stp>6203</stp>
        <stp>CumulativeVolume</stp>
        <tr r="AN1169" s="57"/>
      </tp>
      <tp>
        <v>0</v>
        <stp/>
        <stp>6103</stp>
        <stp>CumulativeVolume</stp>
        <tr r="AN627" s="57"/>
      </tp>
      <tp>
        <v>0</v>
        <stp/>
        <stp>6603</stp>
        <stp>CumulativeVolume</stp>
        <tr r="AN212" s="57"/>
      </tp>
      <tp>
        <v>0</v>
        <stp/>
        <stp>6703</stp>
        <stp>CumulativeVolume</stp>
        <tr r="AN402" s="57"/>
      </tp>
      <tp>
        <v>0</v>
        <stp/>
        <stp>6803</stp>
        <stp>CumulativeVolume</stp>
        <tr r="AN1354" s="57"/>
      </tp>
      <tp>
        <v>0</v>
        <stp/>
        <stp>4303</stp>
        <stp>CumulativeVolume</stp>
        <tr r="AN64" s="57"/>
      </tp>
      <tp>
        <v>0</v>
        <stp/>
        <stp>4503</stp>
        <stp>CumulativeVolume</stp>
        <tr r="AN178" s="57"/>
      </tp>
      <tp t="s">
        <v>商品錯誤</v>
        <stp/>
        <stp>4803</stp>
        <stp>CumulativeVolume</stp>
        <tr r="AN1776" s="57"/>
      </tp>
      <tp>
        <v>0</v>
        <stp/>
        <stp>4903</stp>
        <stp>CumulativeVolume</stp>
        <tr r="AN967" s="57"/>
      </tp>
      <tp>
        <v>0</v>
        <stp/>
        <stp>5203</stp>
        <stp>CumulativeVolume</stp>
        <tr r="AN1273" s="57"/>
      </tp>
      <tp>
        <v>0</v>
        <stp/>
        <stp>5603</stp>
        <stp>CumulativeVolume</stp>
        <tr r="AN1530" s="57"/>
      </tp>
      <tp>
        <v>0</v>
        <stp/>
        <stp>5703</stp>
        <stp>CumulativeVolume</stp>
        <tr r="AN1575" s="57"/>
      </tp>
      <tp>
        <v>0</v>
        <stp/>
        <stp>5403</stp>
        <stp>CumulativeVolume</stp>
        <tr r="AN1279" s="57"/>
      </tp>
      <tp>
        <v>0</v>
        <stp/>
        <stp>5903</stp>
        <stp>CumulativeVolume</stp>
        <tr r="AN1653" s="57"/>
      </tp>
      <tp>
        <v>0</v>
        <stp/>
        <stp>8103</stp>
        <stp>CumulativeVolume</stp>
        <tr r="AN1210" s="57"/>
      </tp>
      <tp>
        <v>0</v>
        <stp/>
        <stp>8403</stp>
        <stp>CumulativeVolume</stp>
        <tr r="AN409" s="57"/>
      </tp>
      <tp>
        <v>0</v>
        <stp/>
        <stp>2302</stp>
        <stp>CumulativeVolume</stp>
        <tr r="AN529" s="57"/>
      </tp>
      <tp>
        <v>0</v>
        <stp/>
        <stp>2002</stp>
        <stp>CumulativeVolume</stp>
        <tr r="AN431" s="57"/>
      </tp>
      <tp>
        <v>0</v>
        <stp/>
        <stp>2102</stp>
        <stp>CumulativeVolume</stp>
        <tr r="AN480" s="57"/>
      </tp>
      <tp>
        <v>0</v>
        <stp/>
        <stp>2702</stp>
        <stp>CumulativeVolume</stp>
        <tr r="AN1541" s="57"/>
      </tp>
      <tp>
        <v>0</v>
        <stp/>
        <stp>2402</stp>
        <stp>CumulativeVolume</stp>
        <tr r="AN1032" s="57"/>
      </tp>
      <tp>
        <v>0</v>
        <stp/>
        <stp>3202</stp>
        <stp>CumulativeVolume</stp>
        <tr r="AN1071" s="57"/>
      </tp>
      <tp>
        <v>0</v>
        <stp/>
        <stp>3002</stp>
        <stp>CumulativeVolume</stp>
        <tr r="AN721" s="57"/>
      </tp>
      <tp>
        <v>0</v>
        <stp/>
        <stp>3702</stp>
        <stp>CumulativeVolume</stp>
        <tr r="AN1240" s="57"/>
      </tp>
      <tp>
        <v>0</v>
        <stp/>
        <stp>3402</stp>
        <stp>CumulativeVolume</stp>
        <tr r="AN1713" s="57"/>
      </tp>
      <tp>
        <v>0</v>
        <stp/>
        <stp>1102</stp>
        <stp>CumulativeVolume</stp>
        <tr r="AN6" s="57"/>
      </tp>
      <tp>
        <v>0</v>
        <stp/>
        <stp>1702</stp>
        <stp>CumulativeVolume</stp>
        <tr r="AN36" s="57"/>
      </tp>
      <tp>
        <v>0</v>
        <stp/>
        <stp>1402</stp>
        <stp>CumulativeVolume</stp>
        <tr r="AN72" s="57"/>
      </tp>
      <tp>
        <v>0</v>
        <stp/>
        <stp>1802</stp>
        <stp>CumulativeVolume</stp>
        <tr r="AN416" s="57"/>
      </tp>
      <tp>
        <v>0</v>
        <stp/>
        <stp>6202</stp>
        <stp>CumulativeVolume</stp>
        <tr r="AN634" s="57"/>
      </tp>
      <tp>
        <v>0</v>
        <stp/>
        <stp>7402</stp>
        <stp>CumulativeVolume</stp>
        <tr r="AN913" s="57"/>
      </tp>
      <tp>
        <v>0</v>
        <stp/>
        <stp>4102</stp>
        <stp>CumulativeVolume</stp>
        <tr r="AN317" s="57"/>
      </tp>
      <tp>
        <v>0</v>
        <stp/>
        <stp>4702</stp>
        <stp>CumulativeVolume</stp>
        <tr r="AN266" s="57"/>
      </tp>
      <tp>
        <v>0</v>
        <stp/>
        <stp>4402</stp>
        <stp>CumulativeVolume</stp>
        <tr r="AN114" s="57"/>
      </tp>
      <tp>
        <v>0</v>
        <stp/>
        <stp>4502</stp>
        <stp>CumulativeVolume</stp>
        <tr r="AN177" s="57"/>
      </tp>
      <tp>
        <v>0</v>
        <stp/>
        <stp>5202</stp>
        <stp>CumulativeVolume</stp>
        <tr r="AN1272" s="57"/>
      </tp>
      <tp>
        <v>0</v>
        <stp/>
        <stp>5302</stp>
        <stp>CumulativeVolume</stp>
        <tr r="AN617" s="57"/>
      </tp>
      <tp>
        <v>0</v>
        <stp/>
        <stp>5102</stp>
        <stp>CumulativeVolume</stp>
        <tr r="AN489" s="57"/>
      </tp>
      <tp>
        <v>0</v>
        <stp/>
        <stp>5902</stp>
        <stp>CumulativeVolume</stp>
        <tr r="AN1652" s="57"/>
      </tp>
      <tp>
        <v>0</v>
        <stp/>
        <stp>9802</stp>
        <stp>CumulativeVolume</stp>
        <tr r="AN1401" s="57"/>
      </tp>
      <tp>
        <v>0</v>
        <stp/>
        <stp>9902</stp>
        <stp>CumulativeVolume</stp>
        <tr r="AN1402" s="57"/>
      </tp>
      <tp>
        <v>0</v>
        <stp/>
        <stp>2305</stp>
        <stp>CumulativeVolume</stp>
        <tr r="AN697" s="57"/>
      </tp>
      <tp>
        <v>0</v>
        <stp/>
        <stp>2105</stp>
        <stp>CumulativeVolume</stp>
        <tr r="AN483" s="57"/>
        <tr r="AN5" s="113"/>
      </tp>
      <tp>
        <v>0</v>
        <stp/>
        <stp>2605</stp>
        <stp>CumulativeVolume</stp>
        <tr r="AN1509" s="57"/>
      </tp>
      <tp>
        <v>0</v>
        <stp/>
        <stp>2705</stp>
        <stp>CumulativeVolume</stp>
        <tr r="AN1543" s="57"/>
      </tp>
      <tp>
        <v>0</v>
        <stp/>
        <stp>2405</stp>
        <stp>CumulativeVolume</stp>
        <tr r="AN715" s="57"/>
      </tp>
      <tp>
        <v>0</v>
        <stp/>
        <stp>2505</stp>
        <stp>CumulativeVolume</stp>
        <tr r="AN1439" s="57"/>
      </tp>
      <tp>
        <v>0</v>
        <stp/>
        <stp>2905</stp>
        <stp>CumulativeVolume</stp>
        <tr r="AN1635" s="57"/>
      </tp>
      <tp>
        <v>0</v>
        <stp/>
        <stp>3205</stp>
        <stp>CumulativeVolume</stp>
        <tr r="AN314" s="57"/>
      </tp>
      <tp>
        <v>0</v>
        <stp/>
        <stp>3305</stp>
        <stp>CumulativeVolume</stp>
        <tr r="AN1710" s="57"/>
      </tp>
      <tp>
        <v>0</v>
        <stp/>
        <stp>3005</stp>
        <stp>CumulativeVolume</stp>
        <tr r="AN722" s="57"/>
      </tp>
      <tp>
        <v>0</v>
        <stp/>
        <stp>3105</stp>
        <stp>CumulativeVolume</stp>
        <tr r="AN561" s="57"/>
      </tp>
      <tp>
        <v>0</v>
        <stp/>
        <stp>3605</stp>
        <stp>CumulativeVolume</stp>
        <tr r="AN1109" s="57"/>
      </tp>
      <tp>
        <v>0</v>
        <stp/>
        <stp>3705</stp>
        <stp>CumulativeVolume</stp>
        <tr r="AN316" s="57"/>
      </tp>
      <tp>
        <v>0</v>
        <stp/>
        <stp>1305</stp>
        <stp>CumulativeVolume</stp>
        <tr r="AN47" s="57"/>
      </tp>
      <tp>
        <v>0</v>
        <stp/>
        <stp>1605</stp>
        <stp>CumulativeVolume</stp>
        <tr r="AN226" s="57"/>
      </tp>
      <tp>
        <v>0</v>
        <stp/>
        <stp>1805</stp>
        <stp>CumulativeVolume</stp>
        <tr r="AN1435" s="57"/>
      </tp>
      <tp>
        <v>0</v>
        <stp/>
        <stp>1905</stp>
        <stp>CumulativeVolume</stp>
        <tr r="AN425" s="57"/>
      </tp>
      <tp>
        <v>0</v>
        <stp/>
        <stp>6205</stp>
        <stp>CumulativeVolume</stp>
        <tr r="AN1171" s="57"/>
      </tp>
      <tp>
        <v>0</v>
        <stp/>
        <stp>6005</stp>
        <stp>CumulativeVolume</stp>
        <tr r="AN1620" s="57"/>
      </tp>
      <tp>
        <v>0</v>
        <stp/>
        <stp>6605</stp>
        <stp>CumulativeVolume</stp>
        <tr r="AN526" s="57"/>
      </tp>
      <tp>
        <v>0</v>
        <stp/>
        <stp>6405</stp>
        <stp>CumulativeVolume</stp>
        <tr r="AN903" s="57"/>
      </tp>
      <tp>
        <v>0</v>
        <stp/>
        <stp>6505</stp>
        <stp>CumulativeVolume</stp>
        <tr r="AN1679" s="57"/>
      </tp>
      <tp>
        <v>0</v>
        <stp/>
        <stp>4205</stp>
        <stp>CumulativeVolume</stp>
        <tr r="AN39" s="57"/>
      </tp>
      <tp>
        <v>0</v>
        <stp/>
        <stp>4305</stp>
        <stp>CumulativeVolume</stp>
        <tr r="AN66" s="57"/>
      </tp>
      <tp>
        <v>0</v>
        <stp/>
        <stp>4105</stp>
        <stp>CumulativeVolume</stp>
        <tr r="AN319" s="57"/>
      </tp>
      <tp>
        <v>0</v>
        <stp/>
        <stp>5205</stp>
        <stp>CumulativeVolume</stp>
        <tr r="AN1730" s="57"/>
      </tp>
      <tp>
        <v>0</v>
        <stp/>
        <stp>5905</stp>
        <stp>CumulativeVolume</stp>
        <tr r="AN1655" s="57"/>
      </tp>
      <tp>
        <v>0</v>
        <stp/>
        <stp>8105</stp>
        <stp>CumulativeVolume</stp>
        <tr r="AN919" s="57"/>
      </tp>
      <tp>
        <v>0</v>
        <stp/>
        <stp>8905</stp>
        <stp>CumulativeVolume</stp>
        <tr r="AN1387" s="57"/>
      </tp>
      <tp>
        <v>0</v>
        <stp/>
        <stp>9905</stp>
        <stp>CumulativeVolume</stp>
        <tr r="AN1404" s="57"/>
      </tp>
      <tp>
        <v>0</v>
        <stp/>
        <stp>2204</stp>
        <stp>CumulativeVolume</stp>
        <tr r="AN508" s="57"/>
      </tp>
      <tp>
        <v>0</v>
        <stp/>
        <stp>2104</stp>
        <stp>CumulativeVolume</stp>
        <tr r="AN482" s="57"/>
      </tp>
      <tp>
        <v>0</v>
        <stp/>
        <stp>2704</stp>
        <stp>CumulativeVolume</stp>
        <tr r="AN1542" s="57"/>
      </tp>
      <tp>
        <v>0</v>
        <stp/>
        <stp>2404</stp>
        <stp>CumulativeVolume</stp>
        <tr r="AN53" s="28"/>
        <tr r="AN3" s="110"/>
      </tp>
      <tp>
        <v>0</v>
        <stp/>
        <stp>2504</stp>
        <stp>CumulativeVolume</stp>
        <tr r="AN1438" s="57"/>
      </tp>
      <tp>
        <v>0</v>
        <stp/>
        <stp>2904</stp>
        <stp>CumulativeVolume</stp>
        <tr r="AN1317" s="57"/>
      </tp>
      <tp>
        <v>0</v>
        <stp/>
        <stp>3004</stp>
        <stp>CumulativeVolume</stp>
        <tr r="AN462" s="57"/>
      </tp>
      <tp>
        <v>0</v>
        <stp/>
        <stp>3704</stp>
        <stp>CumulativeVolume</stp>
        <tr r="AN966" s="57"/>
      </tp>
      <tp>
        <v>0</v>
        <stp/>
        <stp>3504</stp>
        <stp>CumulativeVolume</stp>
        <tr r="AN844" s="57"/>
      </tp>
      <tp>
        <v>0</v>
        <stp/>
        <stp>1304</stp>
        <stp>CumulativeVolume</stp>
        <tr r="AN46" s="57"/>
      </tp>
      <tp>
        <v>0</v>
        <stp/>
        <stp>1104</stp>
        <stp>CumulativeVolume</stp>
        <tr r="AN8" s="57"/>
      </tp>
      <tp>
        <v>0</v>
        <stp/>
        <stp>1604</stp>
        <stp>CumulativeVolume</stp>
        <tr r="AN225" s="57"/>
      </tp>
      <tp>
        <v>0</v>
        <stp/>
        <stp>1504</stp>
        <stp>CumulativeVolume</stp>
        <tr r="AN131" s="57"/>
      </tp>
      <tp>
        <v>0</v>
        <stp/>
        <stp>1904</stp>
        <stp>CumulativeVolume</stp>
        <tr r="AN424" s="57"/>
      </tp>
      <tp>
        <v>0</v>
        <stp/>
        <stp>6204</stp>
        <stp>CumulativeVolume</stp>
        <tr r="AN1170" s="57"/>
      </tp>
      <tp>
        <v>0</v>
        <stp/>
        <stp>6104</stp>
        <stp>CumulativeVolume</stp>
        <tr r="AN628" s="57"/>
        <tr r="AN14" s="107"/>
      </tp>
      <tp>
        <v>0</v>
        <stp/>
        <stp>6404</stp>
        <stp>CumulativeVolume</stp>
        <tr r="AN1289" s="57"/>
      </tp>
      <tp>
        <v>0</v>
        <stp/>
        <stp>6504</stp>
        <stp>CumulativeVolume</stp>
        <tr r="AN1340" s="57"/>
      </tp>
      <tp>
        <v>0</v>
        <stp/>
        <stp>4304</stp>
        <stp>CumulativeVolume</stp>
        <tr r="AN65" s="57"/>
      </tp>
      <tp>
        <v>0</v>
        <stp/>
        <stp>4104</stp>
        <stp>CumulativeVolume</stp>
        <tr r="AN318" s="57"/>
      </tp>
      <tp>
        <v>0</v>
        <stp/>
        <stp>4804</stp>
        <stp>CumulativeVolume</stp>
        <tr r="AN1571" s="57"/>
      </tp>
      <tp>
        <v>0</v>
        <stp/>
        <stp>4904</stp>
        <stp>CumulativeVolume</stp>
        <tr r="AN968" s="57"/>
      </tp>
      <tp>
        <v>0</v>
        <stp/>
        <stp>5604</stp>
        <stp>CumulativeVolume</stp>
        <tr r="AN1531" s="57"/>
      </tp>
      <tp>
        <v>0</v>
        <stp/>
        <stp>5704</stp>
        <stp>CumulativeVolume</stp>
        <tr r="AN1576" s="57"/>
      </tp>
      <tp>
        <v>0</v>
        <stp/>
        <stp>5904</stp>
        <stp>CumulativeVolume</stp>
        <tr r="AN1654" s="57"/>
      </tp>
      <tp>
        <v>0</v>
        <stp/>
        <stp>8104</stp>
        <stp>CumulativeVolume</stp>
        <tr r="AN918" s="57"/>
      </tp>
      <tp>
        <v>0</v>
        <stp/>
        <stp>8404</stp>
        <stp>CumulativeVolume</stp>
        <tr r="AN1361" s="57"/>
      </tp>
      <tp>
        <v>0</v>
        <stp/>
        <stp>9904</stp>
        <stp>CumulativeVolume</stp>
        <tr r="AN1403" s="57"/>
      </tp>
      <tp>
        <v>0</v>
        <stp/>
        <stp>2207</stp>
        <stp>CumulativeVolume</stp>
        <tr r="AN510" s="57"/>
      </tp>
      <tp>
        <v>0</v>
        <stp/>
        <stp>2007</stp>
        <stp>CumulativeVolume</stp>
        <tr r="AN433" s="57"/>
      </tp>
      <tp>
        <v>0</v>
        <stp/>
        <stp>2107</stp>
        <stp>CumulativeVolume</stp>
        <tr r="AN485" s="57"/>
      </tp>
      <tp>
        <v>0</v>
        <stp/>
        <stp>2607</stp>
        <stp>CumulativeVolume</stp>
        <tr r="AN1511" s="57"/>
        <tr r="AN6" s="113"/>
      </tp>
      <tp>
        <v>0</v>
        <stp/>
        <stp>2707</stp>
        <stp>CumulativeVolume</stp>
        <tr r="AN1545" s="57"/>
      </tp>
      <tp>
        <v>0</v>
        <stp/>
        <stp>3207</stp>
        <stp>CumulativeVolume</stp>
        <tr r="AN1073" s="57"/>
      </tp>
      <tp>
        <v>0</v>
        <stp/>
        <stp>3607</stp>
        <stp>CumulativeVolume</stp>
        <tr r="AN1110" s="57"/>
      </tp>
      <tp>
        <v>0</v>
        <stp/>
        <stp>3707</stp>
        <stp>CumulativeVolume</stp>
        <tr r="AN598" s="57"/>
      </tp>
      <tp>
        <v>0</v>
        <stp/>
        <stp>1307</stp>
        <stp>CumulativeVolume</stp>
        <tr r="AN48" s="57"/>
      </tp>
      <tp>
        <v>0</v>
        <stp/>
        <stp>1707</stp>
        <stp>CumulativeVolume</stp>
        <tr r="AN292" s="57"/>
      </tp>
      <tp>
        <v>0</v>
        <stp/>
        <stp>1507</stp>
        <stp>CumulativeVolume</stp>
        <tr r="AN133" s="57"/>
      </tp>
      <tp>
        <v>0</v>
        <stp/>
        <stp>1907</stp>
        <stp>CumulativeVolume</stp>
        <tr r="AN427" s="57"/>
      </tp>
      <tp>
        <v>0</v>
        <stp/>
        <stp>6207</stp>
        <stp>CumulativeVolume</stp>
        <tr r="AN1172" s="57"/>
      </tp>
      <tp>
        <v>0</v>
        <stp/>
        <stp>4207</stp>
        <stp>CumulativeVolume</stp>
        <tr r="AN40" s="57"/>
      </tp>
      <tp>
        <v>0</v>
        <stp/>
        <stp>4107</stp>
        <stp>CumulativeVolume</stp>
        <tr r="AN321" s="57"/>
      </tp>
      <tp>
        <v>0</v>
        <stp/>
        <stp>4707</stp>
        <stp>CumulativeVolume</stp>
        <tr r="AN268" s="57"/>
      </tp>
      <tp>
        <v>0</v>
        <stp/>
        <stp>4807</stp>
        <stp>CumulativeVolume</stp>
        <tr r="AN1651" s="57"/>
      </tp>
      <tp>
        <v>0</v>
        <stp/>
        <stp>4907</stp>
        <stp>CumulativeVolume</stp>
        <tr r="AN1474" s="57"/>
      </tp>
      <tp>
        <v>0</v>
        <stp/>
        <stp>5007</stp>
        <stp>CumulativeVolume</stp>
        <tr r="AN463" s="57"/>
      </tp>
      <tp>
        <v>0</v>
        <stp/>
        <stp>5607</stp>
        <stp>CumulativeVolume</stp>
        <tr r="AN1532" s="57"/>
      </tp>
      <tp>
        <v>0</v>
        <stp/>
        <stp>5907</stp>
        <stp>CumulativeVolume</stp>
        <tr r="AN1657" s="57"/>
      </tp>
      <tp>
        <v>0</v>
        <stp/>
        <stp>8107</stp>
        <stp>CumulativeVolume</stp>
        <tr r="AN216" s="57"/>
      </tp>
      <tp>
        <v>0</v>
        <stp/>
        <stp>9907</stp>
        <stp>CumulativeVolume</stp>
        <tr r="AN1405" s="57"/>
      </tp>
      <tp>
        <v>0</v>
        <stp/>
        <stp>2206</stp>
        <stp>CumulativeVolume</stp>
        <tr r="AN509" s="57"/>
      </tp>
      <tp>
        <v>0</v>
        <stp/>
        <stp>2006</stp>
        <stp>CumulativeVolume</stp>
        <tr r="AN432" s="57"/>
      </tp>
      <tp>
        <v>0</v>
        <stp/>
        <stp>2106</stp>
        <stp>CumulativeVolume</stp>
        <tr r="AN484" s="57"/>
      </tp>
      <tp>
        <v>0</v>
        <stp/>
        <stp>2606</stp>
        <stp>CumulativeVolume</stp>
        <tr r="AN1510" s="57"/>
      </tp>
      <tp>
        <v>0</v>
        <stp/>
        <stp>2706</stp>
        <stp>CumulativeVolume</stp>
        <tr r="AN1544" s="57"/>
      </tp>
      <tp>
        <v>0</v>
        <stp/>
        <stp>2406</stp>
        <stp>CumulativeVolume</stp>
        <tr r="AN810" s="57"/>
      </tp>
      <tp>
        <v>0</v>
        <stp/>
        <stp>2506</stp>
        <stp>CumulativeVolume</stp>
        <tr r="AN1440" s="57"/>
      </tp>
      <tp>
        <v>0</v>
        <stp/>
        <stp>2906</stp>
        <stp>CumulativeVolume</stp>
        <tr r="AN1636" s="57"/>
      </tp>
      <tp>
        <v>0</v>
        <stp/>
        <stp>3206</stp>
        <stp>CumulativeVolume</stp>
        <tr r="AN1072" s="57"/>
      </tp>
      <tp>
        <v>0</v>
        <stp/>
        <stp>3306</stp>
        <stp>CumulativeVolume</stp>
        <tr r="AN949" s="57"/>
      </tp>
      <tp>
        <v>0</v>
        <stp/>
        <stp>3006</stp>
        <stp>CumulativeVolume</stp>
        <tr r="AN552" s="57"/>
      </tp>
      <tp>
        <v>0</v>
        <stp/>
        <stp>3706</stp>
        <stp>CumulativeVolume</stp>
        <tr r="AN752" s="57"/>
      </tp>
      <tp>
        <v>0</v>
        <stp/>
        <stp>3406</stp>
        <stp>CumulativeVolume</stp>
        <tr r="AN836" s="57"/>
        <tr r="AN5" s="107"/>
      </tp>
      <tp>
        <v>0</v>
        <stp/>
        <stp>1506</stp>
        <stp>CumulativeVolume</stp>
        <tr r="AN132" s="57"/>
      </tp>
      <tp>
        <v>0</v>
        <stp/>
        <stp>1806</stp>
        <stp>CumulativeVolume</stp>
        <tr r="AN417" s="57"/>
      </tp>
      <tp>
        <v>0</v>
        <stp/>
        <stp>1906</stp>
        <stp>CumulativeVolume</stp>
        <tr r="AN426" s="57"/>
      </tp>
      <tp>
        <v>0</v>
        <stp/>
        <stp>6206</stp>
        <stp>CumulativeVolume</stp>
        <tr r="AN781" s="57"/>
      </tp>
      <tp>
        <v>0</v>
        <stp/>
        <stp>6706</stp>
        <stp>CumulativeVolume</stp>
        <tr r="AN912" s="57"/>
      </tp>
      <tp>
        <v>0</v>
        <stp/>
        <stp>6506</stp>
        <stp>CumulativeVolume</stp>
        <tr r="AN284" s="57"/>
      </tp>
      <tp>
        <v>0</v>
        <stp/>
        <stp>6806</stp>
        <stp>CumulativeVolume</stp>
        <tr r="AN1355" s="57"/>
      </tp>
      <tp>
        <v>0</v>
        <stp/>
        <stp>4306</stp>
        <stp>CumulativeVolume</stp>
        <tr r="AN67" s="57"/>
      </tp>
      <tp>
        <v>0</v>
        <stp/>
        <stp>4106</stp>
        <stp>CumulativeVolume</stp>
        <tr r="AN320" s="57"/>
      </tp>
      <tp>
        <v>0</v>
        <stp/>
        <stp>4706</stp>
        <stp>CumulativeVolume</stp>
        <tr r="AN267" s="57"/>
      </tp>
      <tp>
        <v>0</v>
        <stp/>
        <stp>4406</stp>
        <stp>CumulativeVolume</stp>
        <tr r="AN115" s="57"/>
      </tp>
      <tp>
        <v>0</v>
        <stp/>
        <stp>4506</stp>
        <stp>CumulativeVolume</stp>
        <tr r="AN179" s="57"/>
      </tp>
      <tp>
        <v>0</v>
        <stp/>
        <stp>4806</stp>
        <stp>CumulativeVolume</stp>
        <tr r="AN1777" s="57"/>
      </tp>
      <tp>
        <v>0</v>
        <stp/>
        <stp>4906</stp>
        <stp>CumulativeVolume</stp>
        <tr r="AN969" s="57"/>
      </tp>
      <tp>
        <v>0</v>
        <stp/>
        <stp>5206</stp>
        <stp>CumulativeVolume</stp>
        <tr r="AN1475" s="57"/>
      </tp>
      <tp>
        <v>0</v>
        <stp/>
        <stp>5306</stp>
        <stp>CumulativeVolume</stp>
        <tr r="AN1329" s="57"/>
      </tp>
      <tp>
        <v>0</v>
        <stp/>
        <stp>5706</stp>
        <stp>CumulativeVolume</stp>
        <tr r="AN1577" s="57"/>
      </tp>
      <tp>
        <v>0</v>
        <stp/>
        <stp>5906</stp>
        <stp>CumulativeVolume</stp>
        <tr r="AN1656" s="57"/>
      </tp>
      <tp>
        <v>0</v>
        <stp/>
        <stp>8406</stp>
        <stp>CumulativeVolume</stp>
        <tr r="AN410" s="57"/>
      </tp>
      <tp>
        <v>0</v>
        <stp/>
        <stp>8906</stp>
        <stp>CumulativeVolume</stp>
        <tr r="AN1388" s="57"/>
      </tp>
      <tp>
        <v>0</v>
        <stp/>
        <stp>9906</stp>
        <stp>CumulativeVolume</stp>
        <tr r="AN1503" s="57"/>
      </tp>
      <tp>
        <v>0</v>
        <stp/>
        <stp>2009</stp>
        <stp>CumulativeVolume</stp>
        <tr r="AN435" s="57"/>
      </tp>
      <tp>
        <v>0</v>
        <stp/>
        <stp>2109</stp>
        <stp>CumulativeVolume</stp>
        <tr r="AN487" s="57"/>
      </tp>
      <tp>
        <v>0</v>
        <stp/>
        <stp>2609</stp>
        <stp>CumulativeVolume</stp>
        <tr r="AN1513" s="57"/>
      </tp>
      <tp>
        <v>0</v>
        <stp/>
        <stp>2409</stp>
        <stp>CumulativeVolume</stp>
        <tr r="AN811" s="57"/>
        <tr r="AN7" s="94"/>
        <tr r="AN2" s="94"/>
      </tp>
      <tp>
        <v>0</v>
        <stp/>
        <stp>2509</stp>
        <stp>CumulativeVolume</stp>
        <tr r="AN1441" s="57"/>
      </tp>
      <tp>
        <v>0</v>
        <stp/>
        <stp>2809</stp>
        <stp>CumulativeVolume</stp>
        <tr r="AN1585" s="57"/>
      </tp>
      <tp>
        <v>0</v>
        <stp/>
        <stp>3209</stp>
        <stp>CumulativeVolume</stp>
        <tr r="AN1233" s="57"/>
      </tp>
      <tp>
        <v>0</v>
        <stp/>
        <stp>3609</stp>
        <stp>CumulativeVolume</stp>
        <tr r="AN1111" s="57"/>
      </tp>
      <tp>
        <v>0</v>
        <stp/>
        <stp>3709</stp>
        <stp>CumulativeVolume</stp>
        <tr r="AN753" s="57"/>
      </tp>
      <tp>
        <v>0</v>
        <stp/>
        <stp>1309</stp>
        <stp>CumulativeVolume</stp>
        <tr r="AN30" s="28"/>
        <tr r="AN50" s="57"/>
      </tp>
      <tp>
        <v>0</v>
        <stp/>
        <stp>1109</stp>
        <stp>CumulativeVolume</stp>
        <tr r="AN10" s="57"/>
      </tp>
      <tp>
        <v>0</v>
        <stp/>
        <stp>1609</stp>
        <stp>CumulativeVolume</stp>
        <tr r="AN228" s="57"/>
      </tp>
      <tp>
        <v>0</v>
        <stp/>
        <stp>1709</stp>
        <stp>CumulativeVolume</stp>
        <tr r="AN244" s="57"/>
      </tp>
      <tp>
        <v>0</v>
        <stp/>
        <stp>1409</stp>
        <stp>CumulativeVolume</stp>
        <tr r="AN73" s="57"/>
      </tp>
      <tp>
        <v>0</v>
        <stp/>
        <stp>1809</stp>
        <stp>CumulativeVolume</stp>
        <tr r="AN418" s="57"/>
      </tp>
      <tp>
        <v>0</v>
        <stp/>
        <stp>1909</stp>
        <stp>CumulativeVolume</stp>
        <tr r="AN428" s="57"/>
      </tp>
      <tp>
        <v>0</v>
        <stp/>
        <stp>6209</stp>
        <stp>CumulativeVolume</stp>
        <tr r="AN894" s="57"/>
      </tp>
      <tp>
        <v>0</v>
        <stp/>
        <stp>6109</stp>
        <stp>CumulativeVolume</stp>
        <tr r="AN977" s="57"/>
      </tp>
      <tp>
        <v>0</v>
        <stp/>
        <stp>6609</stp>
        <stp>CumulativeVolume</stp>
        <tr r="AN213" s="57"/>
      </tp>
      <tp>
        <v>0</v>
        <stp/>
        <stp>6409</stp>
        <stp>CumulativeVolume</stp>
        <tr r="AN1748" s="57"/>
      </tp>
      <tp>
        <v>0</v>
        <stp/>
        <stp>6509</stp>
        <stp>CumulativeVolume</stp>
        <tr r="AN285" s="57"/>
      </tp>
      <tp>
        <v>0</v>
        <stp/>
        <stp>4109</stp>
        <stp>CumulativeVolume</stp>
        <tr r="AN323" s="57"/>
      </tp>
      <tp>
        <v>0</v>
        <stp/>
        <stp>4609</stp>
        <stp>CumulativeVolume</stp>
        <tr r="AN238" s="57"/>
      </tp>
      <tp>
        <v>0</v>
        <stp/>
        <stp>4909</stp>
        <stp>CumulativeVolume</stp>
        <tr r="AN971" s="57"/>
      </tp>
      <tp>
        <v>0</v>
        <stp/>
        <stp>5209</stp>
        <stp>CumulativeVolume</stp>
        <tr r="AN1274" s="57"/>
      </tp>
      <tp>
        <v>0</v>
        <stp/>
        <stp>5309</stp>
        <stp>CumulativeVolume</stp>
        <tr r="AN1133" s="57"/>
      </tp>
      <tp>
        <v>0</v>
        <stp/>
        <stp>5009</stp>
        <stp>CumulativeVolume</stp>
        <tr r="AN464" s="57"/>
      </tp>
      <tp>
        <v>0</v>
        <stp/>
        <stp>5609</stp>
        <stp>CumulativeVolume</stp>
        <tr r="AN1534" s="57"/>
      </tp>
      <tp>
        <v>0</v>
        <stp/>
        <stp>8109</stp>
        <stp>CumulativeVolume</stp>
        <tr r="AN1211" s="57"/>
      </tp>
      <tp>
        <v>0</v>
        <stp/>
        <stp>8409</stp>
        <stp>CumulativeVolume</stp>
        <tr r="AN411" s="57"/>
      </tp>
      <tp>
        <v>0</v>
        <stp/>
        <stp>2208</stp>
        <stp>CumulativeVolume</stp>
        <tr r="AN1507" s="57"/>
      </tp>
      <tp>
        <v>0</v>
        <stp/>
        <stp>2308</stp>
        <stp>CumulativeVolume</stp>
        <tr r="AN1020" s="57"/>
      </tp>
      <tp>
        <v>0</v>
        <stp/>
        <stp>2008</stp>
        <stp>CumulativeVolume</stp>
        <tr r="AN434" s="57"/>
      </tp>
      <tp>
        <v>0</v>
        <stp/>
        <stp>2108</stp>
        <stp>CumulativeVolume</stp>
        <tr r="AN486" s="57"/>
      </tp>
      <tp>
        <v>0</v>
        <stp/>
        <stp>2608</stp>
        <stp>CumulativeVolume</stp>
        <tr r="AN1512" s="57"/>
      </tp>
      <tp>
        <v>0</v>
        <stp/>
        <stp>2408</stp>
        <stp>CumulativeVolume</stp>
        <tr r="AN543" s="57"/>
      </tp>
      <tp>
        <v>0</v>
        <stp/>
        <stp>2908</stp>
        <stp>CumulativeVolume</stp>
        <tr r="AN1637" s="57"/>
      </tp>
      <tp>
        <v>0</v>
        <stp/>
        <stp>3308</stp>
        <stp>CumulativeVolume</stp>
        <tr r="AN1082" s="57"/>
      </tp>
      <tp>
        <v>0</v>
        <stp/>
        <stp>3008</stp>
        <stp>CumulativeVolume</stp>
        <tr r="AN818" s="57"/>
      </tp>
      <tp>
        <v>0</v>
        <stp/>
        <stp>3708</stp>
        <stp>CumulativeVolume</stp>
        <tr r="AN265" s="57"/>
        <tr r="AN12" s="107"/>
      </tp>
      <tp>
        <v>0</v>
        <stp/>
        <stp>3508</stp>
        <stp>CumulativeVolume</stp>
        <tr r="AN1716" s="57"/>
      </tp>
      <tp>
        <v>0</v>
        <stp/>
        <stp>1308</stp>
        <stp>CumulativeVolume</stp>
        <tr r="AN49" s="57"/>
      </tp>
      <tp>
        <v>0</v>
        <stp/>
        <stp>1108</stp>
        <stp>CumulativeVolume</stp>
        <tr r="AN9" s="57"/>
      </tp>
      <tp>
        <v>0</v>
        <stp/>
        <stp>1608</stp>
        <stp>CumulativeVolume</stp>
        <tr r="AN227" s="57"/>
      </tp>
      <tp>
        <v>0</v>
        <stp/>
        <stp>1708</stp>
        <stp>CumulativeVolume</stp>
        <tr r="AN243" s="57"/>
      </tp>
      <tp>
        <v>0</v>
        <stp/>
        <stp>1808</stp>
        <stp>CumulativeVolume</stp>
        <tr r="AN1436" s="57"/>
      </tp>
      <tp>
        <v>0</v>
        <stp/>
        <stp>6208</stp>
        <stp>CumulativeVolume</stp>
        <tr r="AN1173" s="57"/>
      </tp>
      <tp>
        <v>0</v>
        <stp/>
        <stp>6108</stp>
        <stp>CumulativeVolume</stp>
        <tr r="AN1148" s="57"/>
      </tp>
      <tp>
        <v>0</v>
        <stp/>
        <stp>6508</stp>
        <stp>CumulativeVolume</stp>
        <tr r="AN1809" s="57"/>
      </tp>
      <tp>
        <v>0</v>
        <stp/>
        <stp>4108</stp>
        <stp>CumulativeVolume</stp>
        <tr r="AN322" s="57"/>
      </tp>
      <tp>
        <v>0</v>
        <stp/>
        <stp>4908</stp>
        <stp>CumulativeVolume</stp>
        <tr r="AN970" s="57"/>
      </tp>
      <tp>
        <v>0</v>
        <stp/>
        <stp>5608</stp>
        <stp>CumulativeVolume</stp>
        <tr r="AN1533" s="57"/>
      </tp>
      <tp>
        <v>0</v>
        <stp/>
        <stp>5508</stp>
        <stp>CumulativeVolume</stp>
        <tr r="AN1479" s="57"/>
      </tp>
      <tp>
        <v>0</v>
        <stp/>
        <stp>8908</stp>
        <stp>CumulativeVolume</stp>
        <tr r="AN1676" s="57"/>
      </tp>
      <tp>
        <v>0</v>
        <stp/>
        <stp>9908</stp>
        <stp>CumulativeVolume</stp>
        <tr r="AN1677" s="57"/>
      </tp>
      <tp t="s">
        <v>無資料</v>
        <stp/>
        <stp>2208</stp>
        <stp>Price</stp>
        <tr r="Y1507" s="57"/>
      </tp>
      <tp t="s">
        <v>無資料</v>
        <stp/>
        <stp>2228</stp>
        <stp>Price</stp>
        <tr r="Y512" s="57"/>
      </tp>
      <tp t="s">
        <v>無資料</v>
        <stp/>
        <stp>2348</stp>
        <stp>Price</stp>
        <tr r="Y1311" s="57"/>
        <tr r="Y4" s="98"/>
      </tp>
      <tp t="s">
        <v>無資料</v>
        <stp/>
        <stp>2358</stp>
        <stp>Price</stp>
        <tr r="Y1312" s="57"/>
      </tp>
      <tp t="s">
        <v>無資料</v>
        <stp/>
        <stp>2368</stp>
        <stp>Price</stp>
        <tr r="Y1027" s="57"/>
      </tp>
      <tp t="s">
        <v>無資料</v>
        <stp/>
        <stp>2308</stp>
        <stp>Price</stp>
        <tr r="Y1020" s="57"/>
      </tp>
      <tp t="s">
        <v>無資料</v>
        <stp/>
        <stp>2328</stp>
        <stp>Price</stp>
        <tr r="Y1024" s="57"/>
      </tp>
      <tp t="s">
        <v>無資料</v>
        <stp/>
        <stp>2338</stp>
        <stp>Price</stp>
        <tr r="Y534" s="57"/>
      </tp>
      <tp t="s">
        <v>無資料</v>
        <stp/>
        <stp>2388</stp>
        <stp>Price</stp>
        <tr r="Y541" s="57"/>
      </tp>
      <tp t="s">
        <v>無資料</v>
        <stp/>
        <stp>2008</stp>
        <stp>Price</stp>
        <tr r="Y434" s="57"/>
      </tp>
      <tp t="s">
        <v>無資料</v>
        <stp/>
        <stp>2028</stp>
        <stp>Price</stp>
        <tr r="Y448" s="57"/>
      </tp>
      <tp t="s">
        <v>無資料</v>
        <stp/>
        <stp>2038</stp>
        <stp>Price</stp>
        <tr r="Y456" s="57"/>
      </tp>
      <tp t="s">
        <v>無資料</v>
        <stp/>
        <stp>2108</stp>
        <stp>Price</stp>
        <tr r="Y486" s="57"/>
      </tp>
      <tp t="s">
        <v>無資料</v>
        <stp/>
        <stp>2608</stp>
        <stp>Price</stp>
        <tr r="Y1512" s="57"/>
      </tp>
      <tp t="s">
        <v>無資料</v>
        <stp/>
        <stp>2618</stp>
        <stp>Price</stp>
        <tr r="Y1520" s="57"/>
      </tp>
      <tp t="s">
        <v>無資料</v>
        <stp/>
        <stp>2748</stp>
        <stp>Price</stp>
        <tr r="Y1563" s="57"/>
      </tp>
      <tp t="s">
        <v>無資料</v>
        <stp/>
        <stp>2718</stp>
        <stp>Price</stp>
        <tr r="Y1547" s="57"/>
      </tp>
      <tp t="s">
        <v>無資料</v>
        <stp/>
        <stp>2458</stp>
        <stp>Price</stp>
        <tr r="Y550" s="57"/>
      </tp>
      <tp t="s">
        <v>無資料</v>
        <stp/>
        <stp>2468</stp>
        <stp>Price</stp>
        <tr r="Y1263" s="57"/>
      </tp>
      <tp t="s">
        <v>無資料</v>
        <stp/>
        <stp>2478</stp>
        <stp>Price</stp>
        <tr r="Y1048" s="57"/>
      </tp>
      <tp t="s">
        <v>無資料</v>
        <stp/>
        <stp>2408</stp>
        <stp>Price</stp>
        <tr r="Y543" s="57"/>
      </tp>
      <tp t="s">
        <v>無資料</v>
        <stp/>
        <stp>2428</stp>
        <stp>Price</stp>
        <tr r="Y17" s="74"/>
        <tr r="Y1037" s="57"/>
      </tp>
      <tp t="s">
        <v>無資料</v>
        <stp/>
        <stp>2438</stp>
        <stp>Price</stp>
        <tr r="Y813" s="57"/>
      </tp>
      <tp t="s">
        <v>無資料</v>
        <stp/>
        <stp>2488</stp>
        <stp>Price</stp>
        <tr r="Y1699" s="57"/>
      </tp>
      <tp t="s">
        <v>無資料</v>
        <stp/>
        <stp>2498</stp>
        <stp>Price</stp>
        <tr r="Y936" s="57"/>
      </tp>
      <tp t="s">
        <v>無資料</v>
        <stp/>
        <stp>2548</stp>
        <stp>Price</stp>
        <tr r="Y1461" s="57"/>
      </tp>
      <tp t="s">
        <v>無資料</v>
        <stp/>
        <stp>2528</stp>
        <stp>Price</stp>
        <tr r="Y1447" s="57"/>
      </tp>
      <tp t="s">
        <v>無資料</v>
        <stp/>
        <stp>2538</stp>
        <stp>Price</stp>
        <tr r="Y1453" s="57"/>
      </tp>
      <tp t="s">
        <v>無資料</v>
        <stp/>
        <stp>2838</stp>
        <stp>Price</stp>
        <tr r="Y1593" s="57"/>
      </tp>
      <tp t="s">
        <v>無資料</v>
        <stp/>
        <stp>2888</stp>
        <stp>Price</stp>
        <tr r="Y1609" s="57"/>
      </tp>
      <tp t="s">
        <v>無資料</v>
        <stp/>
        <stp>2908</stp>
        <stp>Price</stp>
        <tr r="Y1637" s="57"/>
      </tp>
      <tp t="s">
        <v>商品錯誤</v>
        <stp/>
        <stp>2928</stp>
        <stp>Price</stp>
        <tr r="Y1568" s="57"/>
      </tp>
      <tp t="s">
        <v>無資料</v>
        <stp/>
        <stp>3268</stp>
        <stp>Price</stp>
        <tr r="Y574" s="57"/>
      </tp>
      <tp t="s">
        <v>無資料</v>
        <stp/>
        <stp>3218</stp>
        <stp>Price</stp>
        <tr r="Y315" s="57"/>
      </tp>
      <tp t="s">
        <v>無資料</v>
        <stp/>
        <stp>3228</stp>
        <stp>Price</stp>
        <tr r="Y568" s="57"/>
      </tp>
      <tp t="s">
        <v>無資料</v>
        <stp/>
        <stp>3288</stp>
        <stp>Price</stp>
        <tr r="Y1078" s="57"/>
      </tp>
      <tp t="s">
        <v>無資料</v>
        <stp/>
        <stp>3308</stp>
        <stp>Price</stp>
        <tr r="Y1082" s="57"/>
      </tp>
      <tp t="s">
        <v>無資料</v>
        <stp/>
        <stp>3338</stp>
        <stp>Price</stp>
        <tr r="Y1088" s="57"/>
      </tp>
      <tp t="s">
        <v>無資料</v>
        <stp/>
        <stp>3388</stp>
        <stp>Price</stp>
        <tr r="Y1092" s="57"/>
      </tp>
      <tp t="s">
        <v>無資料</v>
        <stp/>
        <stp>3048</stp>
        <stp>Price</stp>
        <tr r="Y1231" s="57"/>
      </tp>
      <tp t="s">
        <v>無資料</v>
        <stp/>
        <stp>3058</stp>
        <stp>Price</stp>
        <tr r="Y1063" s="57"/>
      </tp>
      <tp t="s">
        <v>無資料</v>
        <stp/>
        <stp>3078</stp>
        <stp>Price</stp>
        <tr r="Y1064" s="57"/>
      </tp>
      <tp t="s">
        <v>無資料</v>
        <stp/>
        <stp>3008</stp>
        <stp>Price</stp>
        <tr r="Y818" s="57"/>
      </tp>
      <tp t="s">
        <v>無資料</v>
        <stp/>
        <stp>3018</stp>
        <stp>Price</stp>
        <tr r="Y1701" s="57"/>
      </tp>
      <tp t="s">
        <v>無資料</v>
        <stp/>
        <stp>3028</stp>
        <stp>Price</stp>
        <tr r="Y1228" s="57"/>
      </tp>
      <tp t="s">
        <v>無資料</v>
        <stp/>
        <stp>3038</stp>
        <stp>Price</stp>
        <tr r="Y822" s="57"/>
      </tp>
      <tp t="s">
        <v>無資料</v>
        <stp/>
        <stp>3088</stp>
        <stp>Price</stp>
        <tr r="Y730" s="57"/>
      </tp>
      <tp t="s">
        <v>無資料</v>
        <stp/>
        <stp>3178</stp>
        <stp>Price</stp>
        <tr r="Y173" s="57"/>
      </tp>
      <tp t="s">
        <v>無資料</v>
        <stp/>
        <stp>3118</stp>
        <stp>Price</stp>
        <tr r="Y311" s="57"/>
      </tp>
      <tp t="s">
        <v>無資料</v>
        <stp/>
        <stp>3128</stp>
        <stp>Price</stp>
        <tr r="Y828" s="57"/>
      </tp>
      <tp t="s">
        <v>無資料</v>
        <stp/>
        <stp>3138</stp>
        <stp>Price</stp>
        <tr r="Y944" s="57"/>
      </tp>
      <tp t="s">
        <v>無資料</v>
        <stp/>
        <stp>3188</stp>
        <stp>Price</stp>
        <tr r="Y1468" s="57"/>
      </tp>
      <tp t="s">
        <v>無資料</v>
        <stp/>
        <stp>3628</stp>
        <stp>Price</stp>
        <tr r="Y1724" s="57"/>
      </tp>
      <tp t="s">
        <v>無資料</v>
        <stp/>
        <stp>3708</stp>
        <stp>Price</stp>
        <tr r="Y12" s="107"/>
        <tr r="Y23" s="98"/>
        <tr r="Y18" s="107"/>
        <tr r="Y13" s="101"/>
        <tr r="Y13" s="109"/>
        <tr r="Y15" s="102"/>
        <tr r="Y265" s="57"/>
        <tr r="Y14" s="101"/>
        <tr r="Y17" s="102"/>
        <tr r="Y12" s="101"/>
      </tp>
      <tp t="s">
        <v>無資料</v>
        <stp/>
        <stp>3438</stp>
        <stp>Price</stp>
        <tr r="Y579" s="57"/>
      </tp>
      <tp t="s">
        <v>無資料</v>
        <stp/>
        <stp>3498</stp>
        <stp>Price</stp>
        <tr r="Y1715" s="57"/>
      </tp>
      <tp t="s">
        <v>無資料</v>
        <stp/>
        <stp>3548</stp>
        <stp>Price</stp>
        <tr r="Y1105" s="57"/>
      </tp>
      <tp t="s">
        <v>無資料</v>
        <stp/>
        <stp>3558</stp>
        <stp>Price</stp>
        <tr r="Y957" s="57"/>
      </tp>
      <tp t="s">
        <v>無資料</v>
        <stp/>
        <stp>3508</stp>
        <stp>Price</stp>
        <tr r="Y1716" s="57"/>
      </tp>
      <tp t="s">
        <v>無資料</v>
        <stp/>
        <stp>3518</stp>
        <stp>Price</stp>
        <tr r="Y1717" s="57"/>
      </tp>
      <tp t="s">
        <v>無資料</v>
        <stp/>
        <stp>3528</stp>
        <stp>Price</stp>
        <tr r="Y1239" s="57"/>
      </tp>
      <tp t="s">
        <v>無資料</v>
        <stp/>
        <stp>3588</stp>
        <stp>Price</stp>
        <tr r="Y592" s="57"/>
      </tp>
      <tp t="s">
        <v>無資料</v>
        <stp/>
        <stp>1258</stp>
        <stp>Price</stp>
        <tr r="Y34" s="57"/>
      </tp>
      <tp t="s">
        <v>無資料</v>
        <stp/>
        <stp>1268</stp>
        <stp>Price</stp>
        <tr r="Y1539" s="57"/>
      </tp>
      <tp t="s">
        <v>無資料</v>
        <stp/>
        <stp>1218</stp>
        <stp>Price</stp>
        <tr r="Y21" s="57"/>
      </tp>
      <tp t="s">
        <v>無資料</v>
        <stp/>
        <stp>1308</stp>
        <stp>Price</stp>
        <tr r="Y49" s="57"/>
      </tp>
      <tp t="s">
        <v>無資料</v>
        <stp/>
        <stp>1338</stp>
        <stp>Price</stp>
        <tr r="Y494" s="57"/>
      </tp>
      <tp t="s">
        <v>無資料</v>
        <stp/>
        <stp>1108</stp>
        <stp>Price</stp>
        <tr r="Y9" s="57"/>
      </tp>
      <tp t="s">
        <v>無資料</v>
        <stp/>
        <stp>1608</stp>
        <stp>Price</stp>
        <tr r="Y227" s="57"/>
      </tp>
      <tp t="s">
        <v>無資料</v>
        <stp/>
        <stp>1618</stp>
        <stp>Price</stp>
        <tr r="Y235" s="57"/>
      </tp>
      <tp t="s">
        <v>無資料</v>
        <stp/>
        <stp>1708</stp>
        <stp>Price</stp>
        <tr r="Y243" s="57"/>
      </tp>
      <tp t="s">
        <v>無資料</v>
        <stp/>
        <stp>1718</stp>
        <stp>Price</stp>
        <tr r="Y251" s="57"/>
      </tp>
      <tp t="s">
        <v>無資料</v>
        <stp/>
        <stp>1788</stp>
        <stp>Price</stp>
        <tr r="Y306" s="57"/>
      </tp>
      <tp t="s">
        <v>無資料</v>
        <stp/>
        <stp>1468</stp>
        <stp>Price</stp>
        <tr r="Y105" s="57"/>
      </tp>
      <tp t="s">
        <v>無資料</v>
        <stp/>
        <stp>1418</stp>
        <stp>Price</stp>
        <tr r="Y78" s="57"/>
      </tp>
      <tp t="s">
        <v>無資料</v>
        <stp/>
        <stp>1438</stp>
        <stp>Price</stp>
        <tr r="Y1433" s="57"/>
      </tp>
      <tp t="s">
        <v>無資料</v>
        <stp/>
        <stp>1558</stp>
        <stp>Price</stp>
        <tr r="Y152" s="57"/>
      </tp>
      <tp t="s">
        <v>無資料</v>
        <stp/>
        <stp>1568</stp>
        <stp>Price</stp>
        <tr r="Y503" s="57"/>
      </tp>
      <tp t="s">
        <v>無資料</v>
        <stp/>
        <stp>1528</stp>
        <stp>Price</stp>
        <tr r="Y141" s="57"/>
      </tp>
      <tp t="s">
        <v>無資料</v>
        <stp/>
        <stp>1538</stp>
        <stp>Price</stp>
        <tr r="Y148" s="57"/>
      </tp>
      <tp t="s">
        <v>無資料</v>
        <stp/>
        <stp>1598</stp>
        <stp>Price</stp>
        <tr r="Y152" s="22"/>
        <tr r="Y149" s="22"/>
        <tr r="Y150" s="22"/>
        <tr r="Y151" s="22"/>
        <tr r="Y39" s="28"/>
        <tr r="Y290" s="57"/>
      </tp>
      <tp t="s">
        <v>無資料</v>
        <stp/>
        <stp>1808</stp>
        <stp>Price</stp>
        <tr r="Y1436" s="57"/>
      </tp>
      <tp t="s">
        <v>無資料</v>
        <stp/>
        <stp>6248</stp>
        <stp>Price</stp>
        <tr r="Y471" s="57"/>
      </tp>
      <tp t="s">
        <v>無資料</v>
        <stp/>
        <stp>6278</stp>
        <stp>Price</stp>
        <tr r="Y901" s="57"/>
      </tp>
      <tp t="s">
        <v>無資料</v>
        <stp/>
        <stp>6208</stp>
        <stp>Price</stp>
        <tr r="Y1173" s="57"/>
      </tp>
      <tp t="s">
        <v>無資料</v>
        <stp/>
        <stp>6218</stp>
        <stp>Price</stp>
        <tr r="Y986" s="57"/>
      </tp>
      <tp t="s">
        <v>無資料</v>
        <stp/>
        <stp>6228</stp>
        <stp>Price</stp>
        <tr r="Y782" s="57"/>
      </tp>
      <tp t="s">
        <v>無資料</v>
        <stp/>
        <stp>6288</stp>
        <stp>Price</stp>
        <tr r="Y525" s="57"/>
      </tp>
      <tp t="s">
        <v>無資料</v>
        <stp/>
        <stp>6148</stp>
        <stp>Price</stp>
        <tr r="Y1283" s="57"/>
      </tp>
      <tp t="s">
        <v>無資料</v>
        <stp/>
        <stp>6158</stp>
        <stp>Price</stp>
        <tr r="Y1160" s="57"/>
      </tp>
      <tp t="s">
        <v>無資料</v>
        <stp/>
        <stp>6168</stp>
        <stp>Price</stp>
        <tr r="Y892" s="57"/>
      </tp>
      <tp t="s">
        <v>無資料</v>
        <stp/>
        <stp>6108</stp>
        <stp>Price</stp>
        <tr r="Y1148" s="57"/>
      </tp>
      <tp t="s">
        <v>無資料</v>
        <stp/>
        <stp>6118</stp>
        <stp>Price</stp>
        <tr r="Y1243" s="57"/>
      </tp>
      <tp t="s">
        <v>無資料</v>
        <stp/>
        <stp>6128</stp>
        <stp>Price</stp>
        <tr r="Y774" s="57"/>
      </tp>
      <tp t="s">
        <v>無資料</v>
        <stp/>
        <stp>6138</stp>
        <stp>Price</stp>
        <tr r="Y630" s="57"/>
      </tp>
      <tp t="s">
        <v>無資料</v>
        <stp/>
        <stp>6188</stp>
        <stp>Price</stp>
        <tr r="Y780" s="57"/>
      </tp>
      <tp t="s">
        <v>無資料</v>
        <stp/>
        <stp>6198</stp>
        <stp>Price</stp>
        <tr r="Y633" s="57"/>
      </tp>
      <tp t="s">
        <v>無資料</v>
        <stp/>
        <stp>6668</stp>
        <stp>Price</stp>
        <tr r="Y911" s="57"/>
      </tp>
      <tp t="s">
        <v>無資料</v>
        <stp/>
        <stp>6698</stp>
        <stp>Price</stp>
        <tr r="Y20" s="115"/>
        <tr r="Y1756" s="57"/>
      </tp>
      <tp t="s">
        <v>無資料</v>
        <stp/>
        <stp>6768</stp>
        <stp>Price</stp>
        <tr r="Y1352" s="57"/>
      </tp>
      <tp t="s">
        <v>無資料</v>
        <stp/>
        <stp>6728</stp>
        <stp>Price</stp>
        <tr r="Y1659" s="57"/>
      </tp>
      <tp t="s">
        <v>無資料</v>
        <stp/>
        <stp>6788</stp>
        <stp>Price</stp>
        <tr r="Y676" s="57"/>
      </tp>
      <tp t="s">
        <v>無資料</v>
        <stp/>
        <stp>6418</stp>
        <stp>Price</stp>
        <tr r="Y5" s="101"/>
        <tr r="Y1190" s="57"/>
      </tp>
      <tp t="s">
        <v>無資料</v>
        <stp/>
        <stp>6438</stp>
        <stp>Price</stp>
        <tr r="Y1749" s="57"/>
        <tr r="Y14" s="74"/>
      </tp>
      <tp t="s">
        <v>無資料</v>
        <stp/>
        <stp>6488</stp>
        <stp>Price</stp>
        <tr r="Y653" s="57"/>
      </tp>
      <tp t="s">
        <v>無資料</v>
        <stp/>
        <stp>6548</stp>
        <stp>Price</stp>
        <tr r="Y661" s="57"/>
      </tp>
      <tp t="s">
        <v>無資料</v>
        <stp/>
        <stp>6558</stp>
        <stp>Price</stp>
        <tr r="Y1751" s="57"/>
        <tr r="Y36" s="28"/>
        <tr r="Y128" s="22"/>
        <tr r="Y129" s="22"/>
      </tp>
      <tp t="s">
        <v>無資料</v>
        <stp/>
        <stp>6568</stp>
        <stp>Price</stp>
        <tr r="Y663" s="57"/>
      </tp>
      <tp t="s">
        <v>無資料</v>
        <stp/>
        <stp>6578</stp>
        <stp>Price</stp>
        <tr r="Y1807" s="57"/>
      </tp>
      <tp t="s">
        <v>無資料</v>
        <stp/>
        <stp>6508</stp>
        <stp>Price</stp>
        <tr r="Y1809" s="57"/>
      </tp>
      <tp t="s">
        <v>無資料</v>
        <stp/>
        <stp>6538</stp>
        <stp>Price</stp>
        <tr r="Y2" s="109"/>
        <tr r="Y48" s="28"/>
        <tr r="Y8" s="109"/>
        <tr r="Y2" s="101"/>
        <tr r="Y9" s="102"/>
        <tr r="Y49" s="28"/>
        <tr r="Y7" s="109"/>
        <tr r="Y3" s="112"/>
        <tr r="Y8" s="99"/>
        <tr r="Y1193" s="57"/>
      </tp>
      <tp t="s">
        <v>無資料</v>
        <stp/>
        <stp>6588</stp>
        <stp>Price</stp>
        <tr r="Y1000" s="57"/>
      </tp>
      <tp t="s">
        <v>無資料</v>
        <stp/>
        <stp>6598</stp>
        <stp>Price</stp>
        <tr r="Y395" s="57"/>
      </tp>
      <tp t="s">
        <v>無資料</v>
        <stp/>
        <stp>4148</stp>
        <stp>Price</stp>
        <tr r="Y344" s="57"/>
      </tp>
      <tp t="s">
        <v>無資料</v>
        <stp/>
        <stp>4168</stp>
        <stp>Price</stp>
        <tr r="Y355" s="57"/>
      </tp>
      <tp t="s">
        <v>無資料</v>
        <stp/>
        <stp>4108</stp>
        <stp>Price</stp>
        <tr r="Y322" s="57"/>
      </tp>
      <tp t="s">
        <v>無資料</v>
        <stp/>
        <stp>4128</stp>
        <stp>Price</stp>
        <tr r="Y22" s="22"/>
        <tr r="Y23" s="22"/>
        <tr r="Y24" s="22"/>
        <tr r="Y25" s="22"/>
        <tr r="Y26" s="22"/>
        <tr r="Y333" s="57"/>
        <tr r="Y16" s="28"/>
        <tr r="Y27" s="22"/>
      </tp>
      <tp t="s">
        <v>無資料</v>
        <stp/>
        <stp>4138</stp>
        <stp>Price</stp>
        <tr r="Y339" s="57"/>
      </tp>
      <tp t="s">
        <v>無資料</v>
        <stp/>
        <stp>4188</stp>
        <stp>Price</stp>
        <tr r="Y360" s="57"/>
      </tp>
      <tp t="s">
        <v>無資料</v>
        <stp/>
        <stp>4198</stp>
        <stp>Price</stp>
        <tr r="Y363" s="57"/>
      </tp>
      <tp t="s">
        <v>無資料</v>
        <stp/>
        <stp>4728</stp>
        <stp>Price</stp>
        <tr r="Y365" s="57"/>
      </tp>
      <tp t="s">
        <v>無資料</v>
        <stp/>
        <stp>4438</stp>
        <stp>Price</stp>
        <tr r="Y125" s="57"/>
      </tp>
      <tp t="s">
        <v>無資料</v>
        <stp/>
        <stp>4568</stp>
        <stp>Price</stp>
        <tr r="Y204" s="57"/>
      </tp>
      <tp t="s">
        <v>無資料</v>
        <stp/>
        <stp>4528</stp>
        <stp>Price</stp>
        <tr r="Y185" s="57"/>
      </tp>
      <tp t="s">
        <v>無資料</v>
        <stp/>
        <stp>4958</stp>
        <stp>Price</stp>
        <tr r="Y80" s="22"/>
        <tr r="Y81" s="22"/>
        <tr r="Y1127" s="57"/>
        <tr r="Y28" s="28"/>
        <tr r="Y82" s="22"/>
      </tp>
      <tp t="s">
        <v>無資料</v>
        <stp/>
        <stp>4968</stp>
        <stp>Price</stp>
        <tr r="Y7" s="107"/>
        <tr r="Y606" s="57"/>
      </tp>
      <tp t="s">
        <v>無資料</v>
        <stp/>
        <stp>4908</stp>
        <stp>Price</stp>
        <tr r="Y970" s="57"/>
      </tp>
      <tp t="s">
        <v>無資料</v>
        <stp/>
        <stp>4938</stp>
        <stp>Price</stp>
        <tr r="Y23" s="28"/>
        <tr r="Y62" s="22"/>
        <tr r="Y758" s="57"/>
      </tp>
      <tp t="s">
        <v>無資料</v>
        <stp/>
        <stp>5258</stp>
        <stp>Price</stp>
        <tr r="Y762" s="57"/>
      </tp>
      <tp t="s">
        <v>無資料</v>
        <stp/>
        <stp>5278</stp>
        <stp>Price</stp>
        <tr r="Y1799" s="57"/>
      </tp>
      <tp t="s">
        <v>無資料</v>
        <stp/>
        <stp>5288</stp>
        <stp>Price</stp>
        <tr r="Y209" s="57"/>
      </tp>
      <tp t="s">
        <v>無資料</v>
        <stp/>
        <stp>5348</stp>
        <stp>Price</stp>
        <tr r="Y974" s="57"/>
      </tp>
      <tp t="s">
        <v>無資料</v>
        <stp/>
        <stp>5328</stp>
        <stp>Price</stp>
        <tr r="Y1135" s="57"/>
      </tp>
      <tp t="s">
        <v>無資料</v>
        <stp/>
        <stp>5388</stp>
        <stp>Price</stp>
        <tr r="Y976" s="57"/>
      </tp>
      <tp t="s">
        <v>無資料</v>
        <stp/>
        <stp>5398</stp>
        <stp>Price</stp>
        <tr r="Y1330" s="57"/>
      </tp>
      <tp t="s">
        <v>無資料</v>
        <stp/>
        <stp>5608</stp>
        <stp>Price</stp>
        <tr r="Y1533" s="57"/>
        <tr r="Y68" s="28"/>
      </tp>
      <tp t="s">
        <v>無資料</v>
        <stp/>
        <stp>5468</stp>
        <stp>Price</stp>
        <tr r="Y623" s="57"/>
      </tp>
      <tp t="s">
        <v>無資料</v>
        <stp/>
        <stp>5478</stp>
        <stp>Price</stp>
        <tr r="Y1780" s="57"/>
      </tp>
      <tp t="s">
        <v>無資料</v>
        <stp/>
        <stp>5438</stp>
        <stp>Price</stp>
        <tr r="Y767" s="57"/>
        <tr r="Y7" s="108"/>
      </tp>
      <tp t="s">
        <v>無資料</v>
        <stp/>
        <stp>5488</stp>
        <stp>Price</stp>
        <tr r="Y1146" s="57"/>
      </tp>
      <tp t="s">
        <v>無資料</v>
        <stp/>
        <stp>5498</stp>
        <stp>Price</stp>
        <tr r="Y1147" s="57"/>
      </tp>
      <tp t="s">
        <v>無資料</v>
        <stp/>
        <stp>5508</stp>
        <stp>Price</stp>
        <tr r="Y1479" s="57"/>
      </tp>
      <tp t="s">
        <v>無資料</v>
        <stp/>
        <stp>5538</stp>
        <stp>Price</stp>
        <tr r="Y470" s="57"/>
      </tp>
      <tp t="s">
        <v>無資料</v>
        <stp/>
        <stp>5878</stp>
        <stp>Price</stp>
        <tr r="Y1618" s="57"/>
      </tp>
      <tp t="s">
        <v>無資料</v>
        <stp/>
        <stp>8358</stp>
        <stp>Price</stp>
        <tr r="Y1220" s="57"/>
      </tp>
      <tp t="s">
        <v>無資料</v>
        <stp/>
        <stp>8048</stp>
        <stp>Price</stp>
        <tr r="Y1005" s="57"/>
      </tp>
      <tp t="s">
        <v>無資料</v>
        <stp/>
        <stp>8068</stp>
        <stp>Price</stp>
        <tr r="Y1253" s="57"/>
      </tp>
      <tp t="s">
        <v>無資料</v>
        <stp/>
        <stp>8028</stp>
        <stp>Price</stp>
        <tr r="Y680" s="57"/>
      </tp>
      <tp t="s">
        <v>無資料</v>
        <stp/>
        <stp>8038</stp>
        <stp>Price</stp>
        <tr r="Y1200" s="57"/>
      </tp>
      <tp t="s">
        <v>無資料</v>
        <stp/>
        <stp>8088</stp>
        <stp>Price</stp>
        <tr r="Y10" s="99"/>
        <tr r="Y44" s="28"/>
        <tr r="Y685" s="57"/>
      </tp>
      <tp t="s">
        <v>無資料</v>
        <stp/>
        <stp>8478</stp>
        <stp>Price</stp>
        <tr r="Y1381" s="57"/>
      </tp>
      <tp t="s">
        <v>無資料</v>
        <stp/>
        <stp>8418</stp>
        <stp>Price</stp>
        <tr r="Y1363" s="57"/>
      </tp>
      <tp t="s">
        <v>無資料</v>
        <stp/>
        <stp>8488</stp>
        <stp>Price</stp>
        <tr r="Y1385" s="57"/>
      </tp>
      <tp t="s">
        <v>無資料</v>
        <stp/>
        <stp>8908</stp>
        <stp>Price</stp>
        <tr r="Y1676" s="57"/>
      </tp>
      <tp t="s">
        <v>無資料</v>
        <stp/>
        <stp>8928</stp>
        <stp>Price</stp>
        <tr r="Y1392" s="57"/>
      </tp>
      <tp t="s">
        <v>無資料</v>
        <stp/>
        <stp>8938</stp>
        <stp>Price</stp>
        <tr r="Y1399" s="57"/>
      </tp>
      <tp t="s">
        <v>無資料</v>
        <stp/>
        <stp>9958</stp>
        <stp>Price</stp>
        <tr r="Y475" s="57"/>
      </tp>
      <tp t="s">
        <v>無資料</v>
        <stp/>
        <stp>9908</stp>
        <stp>Price</stp>
        <tr r="Y1677" s="57"/>
      </tp>
      <tp t="s">
        <v>無資料</v>
        <stp/>
        <stp>9918</stp>
        <stp>Price</stp>
        <tr r="Y1674" s="57"/>
      </tp>
      <tp t="s">
        <v>無資料</v>
        <stp/>
        <stp>9928</stp>
        <stp>Price</stp>
        <tr r="Y1415" s="57"/>
      </tp>
      <tp t="s">
        <v>無資料</v>
        <stp/>
        <stp>9938</stp>
        <stp>Price</stp>
        <tr r="Y1421" s="57"/>
      </tp>
      <tp>
        <v>0</v>
        <stp/>
        <stp>6494</stp>
        <stp>PredictVolume</stp>
        <tr r="AM654" s="57"/>
      </tp>
      <tp>
        <v>0</v>
        <stp/>
        <stp>6414</stp>
        <stp>PredictVolume</stp>
        <tr r="AM19" s="115"/>
        <tr r="AM787" s="57"/>
      </tp>
      <tp>
        <v>0</v>
        <stp/>
        <stp>6404</stp>
        <stp>PredictVolume</stp>
        <tr r="AM1289" s="57"/>
      </tp>
      <tp>
        <v>0</v>
        <stp/>
        <stp>6464</stp>
        <stp>PredictVolume</stp>
        <tr r="AM1339" s="57"/>
      </tp>
      <tp>
        <v>0</v>
        <stp/>
        <stp>6594</stp>
        <stp>PredictVolume</stp>
        <tr r="AM665" s="57"/>
      </tp>
      <tp>
        <v>0</v>
        <stp/>
        <stp>6514</stp>
        <stp>PredictVolume</stp>
        <tr r="AM997" s="57"/>
      </tp>
      <tp>
        <v>0</v>
        <stp/>
        <stp>6504</stp>
        <stp>PredictVolume</stp>
        <tr r="AM1340" s="57"/>
      </tp>
      <tp>
        <v>0</v>
        <stp/>
        <stp>6574</stp>
        <stp>PredictVolume</stp>
        <tr r="AM392" s="57"/>
      </tp>
      <tp>
        <v>0</v>
        <stp/>
        <stp>6684</stp>
        <stp>PredictVolume</stp>
        <tr r="AM671" s="57"/>
      </tp>
      <tp>
        <v>0</v>
        <stp/>
        <stp>6624</stp>
        <stp>PredictVolume</stp>
        <tr r="AM1344" s="57"/>
      </tp>
      <tp>
        <v>0</v>
        <stp/>
        <stp>6674</stp>
        <stp>PredictVolume</stp>
        <tr r="AM1001" s="57"/>
      </tp>
      <tp>
        <v>0</v>
        <stp/>
        <stp>6664</stp>
        <stp>PredictVolume</stp>
        <tr r="AM11" s="74"/>
        <tr r="AM54" s="28"/>
        <tr r="AM1195" s="57"/>
      </tp>
      <tp>
        <v>0</v>
        <stp/>
        <stp>6654</stp>
        <stp>PredictVolume</stp>
        <tr r="AM1753" s="57"/>
      </tp>
      <tp>
        <v>0</v>
        <stp/>
        <stp>6754</stp>
        <stp>PredictVolume</stp>
        <tr r="AM1351" s="57"/>
      </tp>
      <tp>
        <v>0</v>
        <stp/>
        <stp>6024</stp>
        <stp>PredictVolume</stp>
        <tr r="AM1626" s="57"/>
      </tp>
      <tp>
        <v>0</v>
        <stp/>
        <stp>6194</stp>
        <stp>PredictVolume</stp>
        <tr r="AM1167" s="57"/>
      </tp>
      <tp>
        <v>0</v>
        <stp/>
        <stp>6184</stp>
        <stp>PredictVolume</stp>
        <tr r="AM1336" s="57"/>
      </tp>
      <tp>
        <v>0</v>
        <stp/>
        <stp>6134</stp>
        <stp>PredictVolume</stp>
        <tr r="AM1155" s="57"/>
      </tp>
      <tp>
        <v>0</v>
        <stp/>
        <stp>6124</stp>
        <stp>PredictVolume</stp>
        <tr r="AM1151" s="57"/>
      </tp>
      <tp>
        <v>0</v>
        <stp/>
        <stp>6114</stp>
        <stp>PredictVolume</stp>
        <tr r="AM1149" s="57"/>
      </tp>
      <tp>
        <v>0</v>
        <stp/>
        <stp>6104</stp>
        <stp>PredictVolume</stp>
        <tr r="AM14" s="107"/>
        <tr r="AM628" s="57"/>
      </tp>
      <tp>
        <v>0</v>
        <stp/>
        <stp>6174</stp>
        <stp>PredictVolume</stp>
        <tr r="AM1163" s="57"/>
      </tp>
      <tp>
        <v>0</v>
        <stp/>
        <stp>6164</stp>
        <stp>PredictVolume</stp>
        <tr r="AM15" s="115"/>
        <tr r="AM890" s="57"/>
      </tp>
      <tp>
        <v>0</v>
        <stp/>
        <stp>6154</stp>
        <stp>PredictVolume</stp>
        <tr r="AM1244" s="57"/>
      </tp>
      <tp>
        <v>0</v>
        <stp/>
        <stp>6144</stp>
        <stp>PredictVolume</stp>
        <tr r="AM1783" s="57"/>
      </tp>
      <tp>
        <v>0</v>
        <stp/>
        <stp>6294</stp>
        <stp>PredictVolume</stp>
        <tr r="AM1786" s="57"/>
      </tp>
      <tp>
        <v>0</v>
        <stp/>
        <stp>6284</stp>
        <stp>PredictVolume</stp>
        <tr r="AM18" s="115"/>
        <tr r="AM15" s="28"/>
        <tr r="AM1186" s="57"/>
      </tp>
      <tp>
        <v>0</v>
        <stp/>
        <stp>6234</stp>
        <stp>PredictVolume</stp>
        <tr r="AM898" s="57"/>
      </tp>
      <tp>
        <v>0</v>
        <stp/>
        <stp>6224</stp>
        <stp>PredictVolume</stp>
        <tr r="AM1178" s="57"/>
      </tp>
      <tp>
        <v>0</v>
        <stp/>
        <stp>6214</stp>
        <stp>PredictVolume</stp>
        <tr r="AM1285" s="57"/>
      </tp>
      <tp>
        <v>0</v>
        <stp/>
        <stp>6204</stp>
        <stp>PredictVolume</stp>
        <tr r="AM1170" s="57"/>
      </tp>
      <tp>
        <v>0</v>
        <stp/>
        <stp>6274</stp>
        <stp>PredictVolume</stp>
        <tr r="AM1183" s="57"/>
      </tp>
      <tp>
        <v>0</v>
        <stp/>
        <stp>6264</stp>
        <stp>PredictVolume</stp>
        <tr r="AM1501" s="57"/>
      </tp>
      <tp>
        <v>0</v>
        <stp/>
        <stp>6244</stp>
        <stp>PredictVolume</stp>
        <tr r="AM899" s="57"/>
      </tp>
      <tp>
        <v>0</v>
        <stp/>
        <stp>4414</stp>
        <stp>PredictVolume</stp>
        <tr r="AM117" s="57"/>
      </tp>
      <tp>
        <v>0</v>
        <stp/>
        <stp>4534</stp>
        <stp>PredictVolume</stp>
        <tr r="AM189" s="57"/>
      </tp>
      <tp>
        <v>0</v>
        <stp/>
        <stp>4564</stp>
        <stp>PredictVolume</stp>
        <tr r="AM202" s="57"/>
      </tp>
      <tp>
        <v>0</v>
        <stp/>
        <stp>4554</stp>
        <stp>PredictVolume</stp>
        <tr r="AM1728" s="57"/>
      </tp>
      <tp>
        <v>0</v>
        <stp/>
        <stp>4714</stp>
        <stp>PredictVolume</stp>
        <tr r="AM270" s="57"/>
      </tp>
      <tp>
        <v>0</v>
        <stp/>
        <stp>4764</stp>
        <stp>PredictVolume</stp>
        <tr r="AM280" s="57"/>
      </tp>
      <tp>
        <v>0</v>
        <stp/>
        <stp>4754</stp>
        <stp>PredictVolume</stp>
        <tr r="AM277" s="57"/>
      </tp>
      <tp>
        <v>0</v>
        <stp/>
        <stp>4744</stp>
        <stp>PredictVolume</stp>
        <tr r="AM370" s="57"/>
      </tp>
      <tp>
        <v>0</v>
        <stp/>
        <stp>4114</stp>
        <stp>PredictVolume</stp>
        <tr r="AM325" s="57"/>
      </tp>
      <tp>
        <v>0</v>
        <stp/>
        <stp>4104</stp>
        <stp>PredictVolume</stp>
        <tr r="AM318" s="57"/>
      </tp>
      <tp>
        <v>0</v>
        <stp/>
        <stp>4174</stp>
        <stp>PredictVolume</stp>
        <tr r="AM357" s="57"/>
      </tp>
      <tp>
        <v>0</v>
        <stp/>
        <stp>4164</stp>
        <stp>PredictVolume</stp>
        <tr r="AM353" s="57"/>
      </tp>
      <tp>
        <v>0</v>
        <stp/>
        <stp>4154</stp>
        <stp>PredictVolume</stp>
        <tr r="AM346" s="57"/>
      </tp>
      <tp>
        <v>0</v>
        <stp/>
        <stp>4304</stp>
        <stp>PredictVolume</stp>
        <tr r="AM65" s="57"/>
      </tp>
      <tp>
        <v>0</v>
        <stp/>
        <stp>4804</stp>
        <stp>PredictVolume</stp>
        <tr r="AM1571" s="57"/>
      </tp>
      <tp>
        <v>0</v>
        <stp/>
        <stp>4994</stp>
        <stp>PredictVolume</stp>
        <tr r="AM1270" s="57"/>
      </tp>
      <tp>
        <v>0</v>
        <stp/>
        <stp>4934</stp>
        <stp>PredictVolume</stp>
        <tr r="AM865" s="57"/>
      </tp>
      <tp>
        <v>0</v>
        <stp/>
        <stp>4924</stp>
        <stp>PredictVolume</stp>
        <tr r="AM756" s="57"/>
      </tp>
      <tp>
        <v>0</v>
        <stp/>
        <stp>4904</stp>
        <stp>PredictVolume</stp>
        <tr r="AM968" s="57"/>
      </tp>
      <tp>
        <v>0</v>
        <stp/>
        <stp>4974</stp>
        <stp>PredictVolume</stp>
        <tr r="AM1128" s="57"/>
      </tp>
      <tp>
        <v>0</v>
        <stp/>
        <stp>4944</stp>
        <stp>PredictVolume</stp>
        <tr r="AM868" s="57"/>
      </tp>
      <tp>
        <v>0</v>
        <stp/>
        <stp>5484</stp>
        <stp>PredictVolume</stp>
        <tr r="AM886" s="57"/>
      </tp>
      <tp>
        <v>0</v>
        <stp/>
        <stp>5434</stp>
        <stp>PredictVolume</stp>
        <tr r="AM1241" s="57"/>
      </tp>
      <tp>
        <v>0</v>
        <stp/>
        <stp>5474</stp>
        <stp>PredictVolume</stp>
        <tr r="AM769" s="57"/>
      </tp>
      <tp>
        <v>0</v>
        <stp/>
        <stp>5464</stp>
        <stp>PredictVolume</stp>
        <tr r="AM1143" s="57"/>
      </tp>
      <tp>
        <v>0</v>
        <stp/>
        <stp>5534</stp>
        <stp>PredictVolume</stp>
        <tr r="AM1493" s="57"/>
      </tp>
      <tp>
        <v>0</v>
        <stp/>
        <stp>5514</stp>
        <stp>PredictVolume</stp>
        <tr r="AM1482" s="57"/>
      </tp>
      <tp>
        <v>0</v>
        <stp/>
        <stp>5604</stp>
        <stp>PredictVolume</stp>
        <tr r="AM1531" s="57"/>
      </tp>
      <tp>
        <v>0</v>
        <stp/>
        <stp>5704</stp>
        <stp>PredictVolume</stp>
        <tr r="AM1576" s="57"/>
      </tp>
      <tp>
        <v>0</v>
        <stp/>
        <stp>5014</stp>
        <stp>PredictVolume</stp>
        <tr r="AM467" s="57"/>
      </tp>
      <tp>
        <v>0</v>
        <stp/>
        <stp>5284</stp>
        <stp>PredictVolume</stp>
        <tr r="AM1328" s="57"/>
      </tp>
      <tp>
        <v>0</v>
        <stp/>
        <stp>5234</stp>
        <stp>PredictVolume</stp>
        <tr r="AM6" s="98"/>
        <tr r="AM876" s="57"/>
      </tp>
      <tp>
        <v>0</v>
        <stp/>
        <stp>5274</stp>
        <stp>PredictVolume</stp>
        <tr r="AM614" s="57"/>
      </tp>
      <tp>
        <v>0</v>
        <stp/>
        <stp>5324</stp>
        <stp>PredictVolume</stp>
        <tr r="AM1477" s="57"/>
      </tp>
      <tp>
        <v>0</v>
        <stp/>
        <stp>5314</stp>
        <stp>PredictVolume</stp>
        <tr r="AM618" s="57"/>
      </tp>
      <tp>
        <v>0</v>
        <stp/>
        <stp>5364</stp>
        <stp>PredictVolume</stp>
        <tr r="AM1573" s="57"/>
      </tp>
      <tp>
        <v>0</v>
        <stp/>
        <stp>5344</stp>
        <stp>PredictVolume</stp>
        <tr r="AM619" s="57"/>
      </tp>
      <tp>
        <v>0</v>
        <stp/>
        <stp>5864</stp>
        <stp>PredictVolume</stp>
        <tr r="AM1616" s="57"/>
      </tp>
      <tp>
        <v>0</v>
        <stp/>
        <stp>5904</stp>
        <stp>PredictVolume</stp>
        <tr r="AM1654" s="57"/>
      </tp>
      <tp>
        <v>0</v>
        <stp/>
        <stp>2484</stp>
        <stp>PredictVolume</stp>
        <tr r="AM1050" s="57"/>
      </tp>
      <tp>
        <v>0</v>
        <stp/>
        <stp>2434</stp>
        <stp>PredictVolume</stp>
        <tr r="AM544" s="57"/>
      </tp>
      <tp>
        <v>0</v>
        <stp/>
        <stp>2424</stp>
        <stp>PredictVolume</stp>
        <tr r="AM717" s="57"/>
      </tp>
      <tp>
        <v>0</v>
        <stp/>
        <stp>2414</stp>
        <stp>PredictVolume</stp>
        <tr r="AM1224" s="57"/>
      </tp>
      <tp>
        <v>0</v>
        <stp/>
        <stp>2404</stp>
        <stp>PredictVolume</stp>
        <tr r="AM53" s="28"/>
        <tr r="AM3" s="110"/>
      </tp>
      <tp>
        <v>0</v>
        <stp/>
        <stp>2474</stp>
        <stp>PredictVolume</stp>
        <tr r="AM1696" s="57"/>
      </tp>
      <tp>
        <v>0</v>
        <stp/>
        <stp>2464</stp>
        <stp>PredictVolume</stp>
        <tr r="AM1695" s="57"/>
      </tp>
      <tp>
        <v>0</v>
        <stp/>
        <stp>2454</stp>
        <stp>PredictVolume</stp>
        <tr r="AM549" s="57"/>
      </tp>
      <tp>
        <v>0</v>
        <stp/>
        <stp>2444</stp>
        <stp>PredictVolume</stp>
        <tr r="AM932" s="57"/>
      </tp>
      <tp>
        <v>0</v>
        <stp/>
        <stp>2534</stp>
        <stp>PredictVolume</stp>
        <tr r="AM1449" s="57"/>
      </tp>
      <tp>
        <v>0</v>
        <stp/>
        <stp>2524</stp>
        <stp>PredictVolume</stp>
        <tr r="AM1445" s="57"/>
      </tp>
      <tp>
        <v>0</v>
        <stp/>
        <stp>2514</stp>
        <stp>PredictVolume</stp>
        <tr r="AM1315" s="57"/>
      </tp>
      <tp>
        <v>0</v>
        <stp/>
        <stp>2504</stp>
        <stp>PredictVolume</stp>
        <tr r="AM1438" s="57"/>
      </tp>
      <tp>
        <v>0</v>
        <stp/>
        <stp>2634</stp>
        <stp>PredictVolume</stp>
        <tr r="AM1523" s="57"/>
      </tp>
      <tp>
        <v>0</v>
        <stp/>
        <stp>2614</stp>
        <stp>PredictVolume</stp>
        <tr r="AM1632" s="57"/>
        <tr r="AM2" s="113"/>
      </tp>
      <tp>
        <v>0</v>
        <stp/>
        <stp>2734</stp>
        <stp>PredictVolume</stp>
        <tr r="AM1557" s="57"/>
      </tp>
      <tp t="s">
        <v>商品錯誤</v>
        <stp/>
        <stp>2724</stp>
        <stp>PredictVolume</stp>
        <tr r="AM1551" s="57"/>
      </tp>
      <tp>
        <v>0</v>
        <stp/>
        <stp>2704</stp>
        <stp>PredictVolume</stp>
        <tr r="AM1542" s="57"/>
      </tp>
      <tp>
        <v>0</v>
        <stp/>
        <stp>2754</stp>
        <stp>PredictVolume</stp>
        <tr r="AM1566" s="57"/>
      </tp>
      <tp>
        <v>0</v>
        <stp/>
        <stp>2034</stp>
        <stp>PredictVolume</stp>
        <tr r="AM454" s="57"/>
      </tp>
      <tp>
        <v>0</v>
        <stp/>
        <stp>2024</stp>
        <stp>PredictVolume</stp>
        <tr r="AM445" s="57"/>
      </tp>
      <tp>
        <v>0</v>
        <stp/>
        <stp>2014</stp>
        <stp>PredictVolume</stp>
        <tr r="AM439" s="57"/>
      </tp>
      <tp>
        <v>0</v>
        <stp/>
        <stp>2064</stp>
        <stp>PredictVolume</stp>
        <tr r="AM458" s="57"/>
      </tp>
      <tp>
        <v>0</v>
        <stp/>
        <stp>2114</stp>
        <stp>PredictVolume</stp>
        <tr r="AM488" s="57"/>
      </tp>
      <tp>
        <v>0</v>
        <stp/>
        <stp>2104</stp>
        <stp>PredictVolume</stp>
        <tr r="AM482" s="57"/>
      </tp>
      <tp>
        <v>0</v>
        <stp/>
        <stp>2204</stp>
        <stp>PredictVolume</stp>
        <tr r="AM508" s="57"/>
      </tp>
      <tp>
        <v>0</v>
        <stp/>
        <stp>2324</stp>
        <stp>PredictVolume</stp>
        <tr r="AM698" s="57"/>
      </tp>
      <tp>
        <v>0</v>
        <stp/>
        <stp>2314</stp>
        <stp>PredictVolume</stp>
        <tr r="AM925" s="57"/>
      </tp>
      <tp>
        <v>0</v>
        <stp/>
        <stp>2374</stp>
        <stp>PredictVolume</stp>
        <tr r="AM808" s="57"/>
      </tp>
      <tp>
        <v>0</v>
        <stp/>
        <stp>2364</stp>
        <stp>PredictVolume</stp>
        <tr r="AM705" s="57"/>
      </tp>
      <tp>
        <v>0</v>
        <stp/>
        <stp>2354</stp>
        <stp>PredictVolume</stp>
        <tr r="AM1686" s="57"/>
      </tp>
      <tp>
        <v>0</v>
        <stp/>
        <stp>2344</stp>
        <stp>PredictVolume</stp>
        <tr r="AM536" s="57"/>
      </tp>
      <tp>
        <v>0</v>
        <stp/>
        <stp>2884</stp>
        <stp>PredictVolume</stp>
        <tr r="AM1605" s="57"/>
      </tp>
      <tp>
        <v>0</v>
        <stp/>
        <stp>2834</stp>
        <stp>PredictVolume</stp>
        <tr r="AM1591" s="57"/>
      </tp>
      <tp>
        <v>0</v>
        <stp/>
        <stp>2924</stp>
        <stp>PredictVolume</stp>
        <tr r="AM1644" s="57"/>
      </tp>
      <tp>
        <v>0</v>
        <stp/>
        <stp>2904</stp>
        <stp>PredictVolume</stp>
        <tr r="AM1317" s="57"/>
      </tp>
      <tp>
        <v>0</v>
        <stp/>
        <stp>3494</stp>
        <stp>PredictVolume</stp>
        <tr r="AM741" s="57"/>
      </tp>
      <tp>
        <v>0</v>
        <stp/>
        <stp>3484</stp>
        <stp>PredictVolume</stp>
        <tr r="AM1096" s="57"/>
      </tp>
      <tp>
        <v>0</v>
        <stp/>
        <stp>3434</stp>
        <stp>PredictVolume</stp>
        <tr r="AM837" s="57"/>
      </tp>
      <tp>
        <v>0</v>
        <stp/>
        <stp>3454</stp>
        <stp>PredictVolume</stp>
        <tr r="AM840" s="57"/>
      </tp>
      <tp>
        <v>0</v>
        <stp/>
        <stp>3444</stp>
        <stp>PredictVolume</stp>
        <tr r="AM1238" s="57"/>
      </tp>
      <tp>
        <v>0</v>
        <stp/>
        <stp>3594</stp>
        <stp>PredictVolume</stp>
        <tr r="AM746" s="57"/>
      </tp>
      <tp>
        <v>0</v>
        <stp/>
        <stp>3504</stp>
        <stp>PredictVolume</stp>
        <tr r="AM844" s="57"/>
      </tp>
      <tp>
        <v>0</v>
        <stp/>
        <stp>3564</stp>
        <stp>PredictVolume</stp>
        <tr r="AM958" s="57"/>
      </tp>
      <tp>
        <v>0</v>
        <stp/>
        <stp>3694</stp>
        <stp>PredictVolume</stp>
        <tr r="AM965" s="57"/>
      </tp>
      <tp>
        <v>0</v>
        <stp/>
        <stp>3684</stp>
        <stp>PredictVolume</stp>
        <tr r="AM964" s="57"/>
      </tp>
      <tp>
        <v>0</v>
        <stp/>
        <stp>3624</stp>
        <stp>PredictVolume</stp>
        <tr r="AM14" s="115"/>
        <tr r="AM1112" s="57"/>
      </tp>
      <tp>
        <v>0</v>
        <stp/>
        <stp>3664</stp>
        <stp>PredictVolume</stp>
        <tr r="AM961" s="57"/>
      </tp>
      <tp>
        <v>0</v>
        <stp/>
        <stp>3714</stp>
        <stp>PredictVolume</stp>
        <tr r="AM862" s="57"/>
      </tp>
      <tp>
        <v>0</v>
        <stp/>
        <stp>3704</stp>
        <stp>PredictVolume</stp>
        <tr r="AM966" s="57"/>
      </tp>
      <tp>
        <v>0</v>
        <stp/>
        <stp>3094</stp>
        <stp>PredictVolume</stp>
        <tr r="AM11" s="115"/>
        <tr r="AM560" s="57"/>
      </tp>
      <tp>
        <v>0</v>
        <stp/>
        <stp>3034</stp>
        <stp>PredictVolume</stp>
        <tr r="AM555" s="57"/>
      </tp>
      <tp>
        <v>0</v>
        <stp/>
        <stp>3024</stp>
        <stp>PredictVolume</stp>
        <tr r="AM820" s="57"/>
      </tp>
      <tp>
        <v>0</v>
        <stp/>
        <stp>3014</stp>
        <stp>PredictVolume</stp>
        <tr r="AM553" s="57"/>
      </tp>
      <tp>
        <v>0</v>
        <stp/>
        <stp>3004</stp>
        <stp>PredictVolume</stp>
        <tr r="AM462" s="57"/>
      </tp>
      <tp>
        <v>0</v>
        <stp/>
        <stp>3064</stp>
        <stp>PredictVolume</stp>
        <tr r="AM1770" s="57"/>
      </tp>
      <tp>
        <v>0</v>
        <stp/>
        <stp>3054</stp>
        <stp>PredictVolume</stp>
        <tr r="AM558" s="57"/>
      </tp>
      <tp>
        <v>0</v>
        <stp/>
        <stp>3044</stp>
        <stp>PredictVolume</stp>
        <tr r="AM1062" s="57"/>
      </tp>
      <tp>
        <v>0</v>
        <stp/>
        <stp>3114</stp>
        <stp>PredictVolume</stp>
        <tr r="AM43" s="28"/>
        <tr r="AM9" s="99"/>
        <tr r="AM1067" s="57"/>
      </tp>
      <tp>
        <v>0</v>
        <stp/>
        <stp>3164</stp>
        <stp>PredictVolume</stp>
        <tr r="AM312" s="57"/>
      </tp>
      <tp t="s">
        <v>商品錯誤</v>
        <stp/>
        <stp>3144</stp>
        <stp>PredictVolume</stp>
        <tr r="AM1069" s="57"/>
      </tp>
      <tp>
        <v>0</v>
        <stp/>
        <stp>3294</stp>
        <stp>PredictVolume</stp>
        <tr r="AM1080" s="57"/>
      </tp>
      <tp>
        <v>0</v>
        <stp/>
        <stp>3284</stp>
        <stp>PredictVolume</stp>
        <tr r="AM1319" s="57"/>
      </tp>
      <tp>
        <v>0</v>
        <stp/>
        <stp>3234</stp>
        <stp>PredictVolume</stp>
        <tr r="AM948" s="57"/>
      </tp>
      <tp>
        <v>0</v>
        <stp/>
        <stp>3224</stp>
        <stp>PredictVolume</stp>
        <tr r="AM1234" s="57"/>
      </tp>
      <tp>
        <v>0</v>
        <stp/>
        <stp>3264</stp>
        <stp>PredictVolume</stp>
        <tr r="AM572" s="57"/>
      </tp>
      <tp>
        <v>0</v>
        <stp/>
        <stp>3324</stp>
        <stp>PredictVolume</stp>
        <tr r="AM1711" s="57"/>
      </tp>
      <tp>
        <v>0</v>
        <stp/>
        <stp>3374</stp>
        <stp>PredictVolume</stp>
        <tr r="AM20" s="28"/>
        <tr r="AM577" s="57"/>
      </tp>
      <tp>
        <v>0</v>
        <stp/>
        <stp>3354</stp>
        <stp>PredictVolume</stp>
        <tr r="AM1089" s="57"/>
      </tp>
      <tp>
        <v>0</v>
        <stp/>
        <stp>1434</stp>
        <stp>PredictVolume</stp>
        <tr r="AM81" s="57"/>
      </tp>
      <tp>
        <v>0</v>
        <stp/>
        <stp>1414</stp>
        <stp>PredictVolume</stp>
        <tr r="AM76" s="57"/>
      </tp>
      <tp>
        <v>0</v>
        <stp/>
        <stp>1474</stp>
        <stp>PredictVolume</stp>
        <tr r="AM109" s="57"/>
      </tp>
      <tp>
        <v>0</v>
        <stp/>
        <stp>1464</stp>
        <stp>PredictVolume</stp>
        <tr r="AM101" s="57"/>
      </tp>
      <tp>
        <v>0</v>
        <stp/>
        <stp>1454</stp>
        <stp>PredictVolume</stp>
        <tr r="AM94" s="57"/>
      </tp>
      <tp>
        <v>0</v>
        <stp/>
        <stp>1444</stp>
        <stp>PredictVolume</stp>
        <tr r="AM86" s="57"/>
      </tp>
      <tp>
        <v>0</v>
        <stp/>
        <stp>1584</stp>
        <stp>PredictVolume</stp>
        <tr r="AM1308" s="57"/>
      </tp>
      <tp>
        <v>0</v>
        <stp/>
        <stp>1524</stp>
        <stp>PredictVolume</stp>
        <tr r="AM499" s="57"/>
      </tp>
      <tp>
        <v>0</v>
        <stp/>
        <stp>1514</stp>
        <stp>PredictVolume</stp>
        <tr r="AM135" s="57"/>
      </tp>
      <tp>
        <v>0</v>
        <stp/>
        <stp>1504</stp>
        <stp>PredictVolume</stp>
        <tr r="AM131" s="57"/>
      </tp>
      <tp>
        <v>0</v>
        <stp/>
        <stp>1614</stp>
        <stp>PredictVolume</stp>
        <tr r="AM231" s="57"/>
      </tp>
      <tp>
        <v>0</v>
        <stp/>
        <stp>1604</stp>
        <stp>PredictVolume</stp>
        <tr r="AM225" s="57"/>
      </tp>
      <tp>
        <v>0</v>
        <stp/>
        <stp>1784</stp>
        <stp>PredictVolume</stp>
        <tr r="AM304" s="57"/>
      </tp>
      <tp>
        <v>0</v>
        <stp/>
        <stp>1734</stp>
        <stp>PredictVolume</stp>
        <tr r="AM296" s="57"/>
      </tp>
      <tp t="s">
        <v>商品錯誤</v>
        <stp/>
        <stp>1724</stp>
        <stp>PredictVolume</stp>
        <tr r="AM255" s="57"/>
      </tp>
      <tp>
        <v>0</v>
        <stp/>
        <stp>1714</stp>
        <stp>PredictVolume</stp>
        <tr r="AM249" s="57"/>
      </tp>
      <tp>
        <v>0</v>
        <stp/>
        <stp>1104</stp>
        <stp>PredictVolume</stp>
        <tr r="AM8" s="57"/>
      </tp>
      <tp>
        <v>0</v>
        <stp/>
        <stp>1234</stp>
        <stp>PredictVolume</stp>
        <tr r="AM30" s="57"/>
      </tp>
      <tp>
        <v>0</v>
        <stp/>
        <stp>1264</stp>
        <stp>PredictVolume</stp>
        <tr r="AM35" s="57"/>
      </tp>
      <tp>
        <v>0</v>
        <stp/>
        <stp>1324</stp>
        <stp>PredictVolume</stp>
        <tr r="AM58" s="57"/>
      </tp>
      <tp>
        <v>0</v>
        <stp/>
        <stp>1314</stp>
        <stp>PredictVolume</stp>
        <tr r="AM54" s="57"/>
      </tp>
      <tp>
        <v>0</v>
        <stp/>
        <stp>1304</stp>
        <stp>PredictVolume</stp>
        <tr r="AM46" s="57"/>
      </tp>
      <tp>
        <v>0</v>
        <stp/>
        <stp>1904</stp>
        <stp>PredictVolume</stp>
        <tr r="AM424" s="57"/>
      </tp>
      <tp>
        <v>0</v>
        <stp/>
        <stp>8424</stp>
        <stp>PredictVolume</stp>
        <tr r="AM1502" s="57"/>
      </tp>
      <tp>
        <v>0</v>
        <stp/>
        <stp>8404</stp>
        <stp>PredictVolume</stp>
        <tr r="AM1361" s="57"/>
      </tp>
      <tp>
        <v>0</v>
        <stp/>
        <stp>8464</stp>
        <stp>PredictVolume</stp>
        <tr r="AM1376" s="57"/>
      </tp>
      <tp>
        <v>0</v>
        <stp/>
        <stp>8454</stp>
        <stp>PredictVolume</stp>
        <tr r="AM1664" s="57"/>
      </tp>
      <tp>
        <v>0</v>
        <stp/>
        <stp>8444</stp>
        <stp>PredictVolume</stp>
        <tr r="AM1374" s="57"/>
      </tp>
      <tp>
        <v>0</v>
        <stp/>
        <stp>8084</stp>
        <stp>PredictVolume</stp>
        <tr r="AM1256" s="57"/>
      </tp>
      <tp>
        <v>0</v>
        <stp/>
        <stp>8034</stp>
        <stp>PredictVolume</stp>
        <tr r="AM1004" s="57"/>
      </tp>
      <tp>
        <v>0</v>
        <stp/>
        <stp>8024</stp>
        <stp>PredictVolume</stp>
        <tr r="AM679" s="57"/>
      </tp>
      <tp>
        <v>0</v>
        <stp/>
        <stp>8074</stp>
        <stp>PredictVolume</stp>
        <tr r="AM1206" s="57"/>
      </tp>
      <tp>
        <v>0</v>
        <stp/>
        <stp>8064</stp>
        <stp>PredictVolume</stp>
        <tr r="AM915" s="57"/>
      </tp>
      <tp>
        <v>0</v>
        <stp/>
        <stp>8054</stp>
        <stp>PredictVolume</stp>
        <tr r="AM682" s="57"/>
      </tp>
      <tp>
        <v>0</v>
        <stp/>
        <stp>8044</stp>
        <stp>PredictVolume</stp>
        <tr r="AM1802" s="57"/>
      </tp>
      <tp>
        <v>0</v>
        <stp/>
        <stp>8114</stp>
        <stp>PredictVolume</stp>
        <tr r="AM797" s="57"/>
      </tp>
      <tp>
        <v>0</v>
        <stp/>
        <stp>8104</stp>
        <stp>PredictVolume</stp>
        <tr r="AM918" s="57"/>
      </tp>
      <tp>
        <v>0</v>
        <stp/>
        <stp>8284</stp>
        <stp>PredictVolume</stp>
        <tr r="AM1298" s="57"/>
      </tp>
      <tp>
        <v>0</v>
        <stp/>
        <stp>8234</stp>
        <stp>PredictVolume</stp>
        <tr r="AM800" s="57"/>
      </tp>
      <tp>
        <v>0</v>
        <stp/>
        <stp>8374</stp>
        <stp>PredictVolume</stp>
        <tr r="AM219" s="57"/>
      </tp>
      <tp>
        <v>0</v>
        <stp/>
        <stp>8354</stp>
        <stp>PredictVolume</stp>
        <tr r="AM68" s="57"/>
      </tp>
      <tp>
        <v>0</v>
        <stp/>
        <stp>8924</stp>
        <stp>PredictVolume</stp>
        <tr r="AM1391" s="57"/>
      </tp>
      <tp>
        <v>0</v>
        <stp/>
        <stp>9934</stp>
        <stp>PredictVolume</stp>
        <tr r="AM1419" s="57"/>
      </tp>
      <tp>
        <v>0</v>
        <stp/>
        <stp>9924</stp>
        <stp>PredictVolume</stp>
        <tr r="AM1412" s="57"/>
      </tp>
      <tp>
        <v>0</v>
        <stp/>
        <stp>9914</stp>
        <stp>PredictVolume</stp>
        <tr r="AM1408" s="57"/>
      </tp>
      <tp>
        <v>0</v>
        <stp/>
        <stp>9904</stp>
        <stp>PredictVolume</stp>
        <tr r="AM1403" s="57"/>
      </tp>
      <tp>
        <v>0</v>
        <stp/>
        <stp>9944</stp>
        <stp>PredictVolume</stp>
        <tr r="AM1426" s="57"/>
      </tp>
      <tp>
        <v>0</v>
        <stp/>
        <stp>2211</stp>
        <stp>CumulativeVolume</stp>
        <tr r="AN461" s="57"/>
      </tp>
      <tp>
        <v>0</v>
        <stp/>
        <stp>2611</stp>
        <stp>CumulativeVolume</stp>
        <tr r="AN1515" s="57"/>
      </tp>
      <tp>
        <v>0</v>
        <stp/>
        <stp>2511</stp>
        <stp>CumulativeVolume</stp>
        <tr r="AN1442" s="57"/>
      </tp>
      <tp>
        <v>0</v>
        <stp/>
        <stp>2911</stp>
        <stp>CumulativeVolume</stp>
        <tr r="AN1639" s="57"/>
      </tp>
      <tp>
        <v>0</v>
        <stp/>
        <stp>3211</stp>
        <stp>CumulativeVolume</stp>
        <tr r="AN731" s="57"/>
      </tp>
      <tp>
        <v>0</v>
        <stp/>
        <stp>3311</stp>
        <stp>CumulativeVolume</stp>
        <tr r="AN950" s="57"/>
      </tp>
      <tp>
        <v>0</v>
        <stp/>
        <stp>3011</stp>
        <stp>CumulativeVolume</stp>
        <tr r="AN1054" s="57"/>
      </tp>
      <tp>
        <v>0</v>
        <stp/>
        <stp>3611</stp>
        <stp>CumulativeVolume</stp>
        <tr r="AN747" s="57"/>
      </tp>
      <tp>
        <v>0</v>
        <stp/>
        <stp>3711</stp>
        <stp>CumulativeVolume</stp>
        <tr r="AN599" s="57"/>
      </tp>
      <tp>
        <v>0</v>
        <stp/>
        <stp>3511</stp>
        <stp>CumulativeVolume</stp>
        <tr r="AN1099" s="57"/>
      </tp>
      <tp>
        <v>0</v>
        <stp/>
        <stp>1611</stp>
        <stp>CumulativeVolume</stp>
        <tr r="AN229" s="57"/>
      </tp>
      <tp>
        <v>0</v>
        <stp/>
        <stp>1711</stp>
        <stp>CumulativeVolume</stp>
        <tr r="AN246" s="57"/>
      </tp>
      <tp>
        <v>0</v>
        <stp/>
        <stp>6111</stp>
        <stp>CumulativeVolume</stp>
        <tr r="AN1782" s="57"/>
      </tp>
      <tp>
        <v>0</v>
        <stp/>
        <stp>6411</stp>
        <stp>CumulativeVolume</stp>
        <tr r="AN646" s="57"/>
        <tr r="AN10" s="107"/>
      </tp>
      <tp>
        <v>0</v>
        <stp/>
        <stp>4111</stp>
        <stp>CumulativeVolume</stp>
        <tr r="AN324" s="57"/>
      </tp>
      <tp>
        <v>0</v>
        <stp/>
        <stp>4711</stp>
        <stp>CumulativeVolume</stp>
        <tr r="AN269" s="57"/>
      </tp>
      <tp>
        <v>0</v>
        <stp/>
        <stp>4911</stp>
        <stp>CumulativeVolume</stp>
        <tr r="AN374" s="57"/>
      </tp>
      <tp>
        <v>0</v>
        <stp/>
        <stp>5211</stp>
        <stp>CumulativeVolume</stp>
        <tr r="AN1276" s="57"/>
      </tp>
      <tp>
        <v>0</v>
        <stp/>
        <stp>5011</stp>
        <stp>CumulativeVolume</stp>
        <tr r="AN465" s="57"/>
      </tp>
      <tp>
        <v>0</v>
        <stp/>
        <stp>5511</stp>
        <stp>CumulativeVolume</stp>
        <tr r="AN1480" s="57"/>
      </tp>
      <tp>
        <v>0</v>
        <stp/>
        <stp>8011</stp>
        <stp>CumulativeVolume</stp>
        <tr r="AN1003" s="57"/>
      </tp>
      <tp>
        <v>0</v>
        <stp/>
        <stp>8111</stp>
        <stp>CumulativeVolume</stp>
        <tr r="AN920" s="57"/>
      </tp>
      <tp>
        <v>0</v>
        <stp/>
        <stp>8411</stp>
        <stp>CumulativeVolume</stp>
        <tr r="AN1362" s="57"/>
      </tp>
      <tp>
        <v>0</v>
        <stp/>
        <stp>9911</stp>
        <stp>CumulativeVolume</stp>
        <tr r="AN1407" s="57"/>
      </tp>
      <tp>
        <v>0</v>
        <stp/>
        <stp>2010</stp>
        <stp>CumulativeVolume</stp>
        <tr r="AN436" s="57"/>
      </tp>
      <tp>
        <v>0</v>
        <stp/>
        <stp>2610</stp>
        <stp>CumulativeVolume</stp>
        <tr r="AN1514" s="57"/>
      </tp>
      <tp>
        <v>0</v>
        <stp/>
        <stp>2910</stp>
        <stp>CumulativeVolume</stp>
        <tr r="AN1638" s="57"/>
      </tp>
      <tp>
        <v>0</v>
        <stp/>
        <stp>3310</stp>
        <stp>CumulativeVolume</stp>
        <tr r="AN1083" s="57"/>
      </tp>
      <tp>
        <v>0</v>
        <stp/>
        <stp>3010</stp>
        <stp>CumulativeVolume</stp>
        <tr r="AN1227" s="57"/>
      </tp>
      <tp>
        <v>0</v>
        <stp/>
        <stp>3710</stp>
        <stp>CumulativeVolume</stp>
        <tr r="AN1119" s="57"/>
      </tp>
      <tp>
        <v>0</v>
        <stp/>
        <stp>1210</stp>
        <stp>CumulativeVolume</stp>
        <tr r="AN16" s="57"/>
      </tp>
      <tp>
        <v>0</v>
        <stp/>
        <stp>1310</stp>
        <stp>CumulativeVolume</stp>
        <tr r="AN51" s="57"/>
      </tp>
      <tp>
        <v>0</v>
        <stp/>
        <stp>1110</stp>
        <stp>CumulativeVolume</stp>
        <tr r="AN11" s="57"/>
      </tp>
      <tp>
        <v>0</v>
        <stp/>
        <stp>1710</stp>
        <stp>CumulativeVolume</stp>
        <tr r="AN245" s="57"/>
      </tp>
      <tp>
        <v>0</v>
        <stp/>
        <stp>1410</stp>
        <stp>CumulativeVolume</stp>
        <tr r="AN74" s="57"/>
      </tp>
      <tp>
        <v>0</v>
        <stp/>
        <stp>1810</stp>
        <stp>CumulativeVolume</stp>
        <tr r="AN419" s="57"/>
      </tp>
      <tp>
        <v>0</v>
        <stp/>
        <stp>6210</stp>
        <stp>CumulativeVolume</stp>
        <tr r="AN1174" s="57"/>
      </tp>
      <tp>
        <v>0</v>
        <stp/>
        <stp>6510</stp>
        <stp>CumulativeVolume</stp>
        <tr r="AN4" s="107"/>
        <tr r="AN655" s="57"/>
        <tr r="AN5" s="74"/>
      </tp>
      <tp>
        <v>0</v>
        <stp/>
        <stp>4510</stp>
        <stp>CumulativeVolume</stp>
        <tr r="AN180" s="57"/>
      </tp>
      <tp>
        <v>0</v>
        <stp/>
        <stp>5210</stp>
        <stp>CumulativeVolume</stp>
        <tr r="AN1275" s="57"/>
      </tp>
      <tp>
        <v>0</v>
        <stp/>
        <stp>5310</stp>
        <stp>CumulativeVolume</stp>
        <tr r="AN1278" s="57"/>
      </tp>
      <tp>
        <v>0</v>
        <stp/>
        <stp>5410</stp>
        <stp>CumulativeVolume</stp>
        <tr r="AN1280" s="57"/>
      </tp>
      <tp>
        <v>0</v>
        <stp/>
        <stp>8210</stp>
        <stp>CumulativeVolume</stp>
        <tr r="AN799" s="57"/>
      </tp>
      <tp>
        <v>0</v>
        <stp/>
        <stp>8110</stp>
        <stp>CumulativeVolume</stp>
        <tr r="AN686" s="57"/>
      </tp>
      <tp>
        <v>0</v>
        <stp/>
        <stp>8410</stp>
        <stp>CumulativeVolume</stp>
        <tr r="AN801" s="57"/>
      </tp>
      <tp>
        <v>0</v>
        <stp/>
        <stp>9910</stp>
        <stp>CumulativeVolume</stp>
        <tr r="AN1406" s="57"/>
      </tp>
      <tp>
        <v>0</v>
        <stp/>
        <stp>2313</stp>
        <stp>CumulativeVolume</stp>
        <tr r="AN1021" s="57"/>
      </tp>
      <tp>
        <v>0</v>
        <stp/>
        <stp>2013</stp>
        <stp>CumulativeVolume</stp>
        <tr r="AN438" s="57"/>
      </tp>
      <tp>
        <v>0</v>
        <stp/>
        <stp>2613</stp>
        <stp>CumulativeVolume</stp>
        <tr r="AN1517" s="57"/>
      </tp>
      <tp>
        <v>0</v>
        <stp/>
        <stp>2413</stp>
        <stp>CumulativeVolume</stp>
        <tr r="AN1033" s="57"/>
      </tp>
      <tp>
        <v>0</v>
        <stp/>
        <stp>2913</stp>
        <stp>CumulativeVolume</stp>
        <tr r="AN1641" s="57"/>
      </tp>
      <tp>
        <v>0</v>
        <stp/>
        <stp>3213</stp>
        <stp>CumulativeVolume</stp>
        <tr r="AN732" s="57"/>
      </tp>
      <tp>
        <v>0</v>
        <stp/>
        <stp>3313</stp>
        <stp>CumulativeVolume</stp>
        <tr r="AN1084" s="57"/>
      </tp>
      <tp>
        <v>0</v>
        <stp/>
        <stp>3013</stp>
        <stp>CumulativeVolume</stp>
        <tr r="AN723" s="57"/>
      </tp>
      <tp>
        <v>0</v>
        <stp/>
        <stp>3713</stp>
        <stp>CumulativeVolume</stp>
        <tr r="AN32" s="28"/>
        <tr r="AN861" s="57"/>
      </tp>
      <tp>
        <v>0</v>
        <stp/>
        <stp>3413</stp>
        <stp>CumulativeVolume</stp>
        <tr r="AN578" s="57"/>
      </tp>
      <tp>
        <v>0</v>
        <stp/>
        <stp>1213</stp>
        <stp>CumulativeVolume</stp>
        <tr r="AN17" s="57"/>
      </tp>
      <tp>
        <v>0</v>
        <stp/>
        <stp>1313</stp>
        <stp>CumulativeVolume</stp>
        <tr r="AN53" s="57"/>
      </tp>
      <tp>
        <v>0</v>
        <stp/>
        <stp>1713</stp>
        <stp>CumulativeVolume</stp>
        <tr r="AN248" s="57"/>
      </tp>
      <tp>
        <v>0</v>
        <stp/>
        <stp>1413</stp>
        <stp>CumulativeVolume</stp>
        <tr r="AN75" s="57"/>
      </tp>
      <tp>
        <v>0</v>
        <stp/>
        <stp>1513</stp>
        <stp>CumulativeVolume</stp>
        <tr r="AN134" s="57"/>
      </tp>
      <tp>
        <v>0</v>
        <stp/>
        <stp>1813</stp>
        <stp>CumulativeVolume</stp>
        <tr r="AN310" s="57"/>
      </tp>
      <tp>
        <v>0</v>
        <stp/>
        <stp>6213</stp>
        <stp>CumulativeVolume</stp>
        <tr r="AN1175" s="57"/>
      </tp>
      <tp>
        <v>0</v>
        <stp/>
        <stp>6113</stp>
        <stp>CumulativeVolume</stp>
        <tr r="AN1242" s="57"/>
      </tp>
      <tp>
        <v>0</v>
        <stp/>
        <stp>6613</stp>
        <stp>CumulativeVolume</stp>
        <tr r="AN1752" s="57"/>
      </tp>
      <tp>
        <v>0</v>
        <stp/>
        <stp>4113</stp>
        <stp>CumulativeVolume</stp>
        <tr r="AN1472" s="57"/>
      </tp>
      <tp>
        <v>0</v>
        <stp/>
        <stp>4413</stp>
        <stp>CumulativeVolume</stp>
        <tr r="AN116" s="57"/>
      </tp>
      <tp>
        <v>0</v>
        <stp/>
        <stp>4513</stp>
        <stp>CumulativeVolume</stp>
        <tr r="AN181" s="57"/>
      </tp>
      <tp>
        <v>0</v>
        <stp/>
        <stp>5213</stp>
        <stp>CumulativeVolume</stp>
        <tr r="AN1476" s="57"/>
      </tp>
      <tp>
        <v>0</v>
        <stp/>
        <stp>5013</stp>
        <stp>CumulativeVolume</stp>
        <tr r="AN466" s="57"/>
      </tp>
      <tp>
        <v>0</v>
        <stp/>
        <stp>8213</stp>
        <stp>CumulativeVolume</stp>
        <tr r="AN1216" s="57"/>
      </tp>
      <tp>
        <v>0</v>
        <stp/>
        <stp>2312</stp>
        <stp>CumulativeVolume</stp>
        <tr r="AN1684" s="57"/>
      </tp>
      <tp>
        <v>0</v>
        <stp/>
        <stp>2012</stp>
        <stp>CumulativeVolume</stp>
        <tr r="AN437" s="57"/>
      </tp>
      <tp>
        <v>0</v>
        <stp/>
        <stp>2612</stp>
        <stp>CumulativeVolume</stp>
        <tr r="AN1516" s="57"/>
      </tp>
      <tp>
        <v>0</v>
        <stp/>
        <stp>2712</stp>
        <stp>CumulativeVolume</stp>
        <tr r="AN1546" s="57"/>
      </tp>
      <tp>
        <v>0</v>
        <stp/>
        <stp>2412</stp>
        <stp>CumulativeVolume</stp>
        <tr r="AN929" s="57"/>
      </tp>
      <tp>
        <v>0</v>
        <stp/>
        <stp>2812</stp>
        <stp>CumulativeVolume</stp>
        <tr r="AN1586" s="57"/>
      </tp>
      <tp>
        <v>0</v>
        <stp/>
        <stp>2912</stp>
        <stp>CumulativeVolume</stp>
        <tr r="AN1640" s="57"/>
      </tp>
      <tp>
        <v>0</v>
        <stp/>
        <stp>3312</stp>
        <stp>CumulativeVolume</stp>
        <tr r="AN1236" s="57"/>
      </tp>
      <tp>
        <v>0</v>
        <stp/>
        <stp>3712</stp>
        <stp>CumulativeVolume</stp>
        <tr r="AN754" s="57"/>
      </tp>
      <tp>
        <v>0</v>
        <stp/>
        <stp>3512</stp>
        <stp>CumulativeVolume</stp>
        <tr r="AN1100" s="57"/>
      </tp>
      <tp>
        <v>0</v>
        <stp/>
        <stp>1312</stp>
        <stp>CumulativeVolume</stp>
        <tr r="AN52" s="57"/>
      </tp>
      <tp>
        <v>0</v>
        <stp/>
        <stp>1612</stp>
        <stp>CumulativeVolume</stp>
        <tr r="AN230" s="57"/>
      </tp>
      <tp>
        <v>0</v>
        <stp/>
        <stp>1712</stp>
        <stp>CumulativeVolume</stp>
        <tr r="AN247" s="57"/>
      </tp>
      <tp>
        <v>0</v>
        <stp/>
        <stp>1512</stp>
        <stp>CumulativeVolume</stp>
        <tr r="AN496" s="57"/>
      </tp>
      <tp>
        <v>0</v>
        <stp/>
        <stp>6212</stp>
        <stp>CumulativeVolume</stp>
        <tr r="AN1499" s="57"/>
      </tp>
      <tp>
        <v>0</v>
        <stp/>
        <stp>6112</stp>
        <stp>CumulativeVolume</stp>
        <tr r="AN1281" s="57"/>
      </tp>
      <tp>
        <v>0</v>
        <stp/>
        <stp>6612</stp>
        <stp>CumulativeVolume</stp>
        <tr r="AN396" s="57"/>
      </tp>
      <tp>
        <v>0</v>
        <stp/>
        <stp>6712</stp>
        <stp>CumulativeVolume</stp>
        <tr r="AN403" s="57"/>
      </tp>
      <tp>
        <v>0</v>
        <stp/>
        <stp>6412</stp>
        <stp>CumulativeVolume</stp>
        <tr r="AN1189" s="57"/>
      </tp>
      <tp>
        <v>0</v>
        <stp/>
        <stp>6512</stp>
        <stp>CumulativeVolume</stp>
        <tr r="AN1750" s="57"/>
      </tp>
      <tp t="s">
        <v>商品錯誤</v>
        <stp/>
        <stp>4712</stp>
        <stp>CumulativeVolume</stp>
        <tr r="AN41" s="57"/>
      </tp>
      <tp>
        <v>0</v>
        <stp/>
        <stp>4912</stp>
        <stp>CumulativeVolume</stp>
        <tr r="AN1122" s="57"/>
      </tp>
      <tp>
        <v>0</v>
        <stp/>
        <stp>5212</stp>
        <stp>CumulativeVolume</stp>
        <tr r="AN1277" s="57"/>
      </tp>
      <tp>
        <v>0</v>
        <stp/>
        <stp>5312</stp>
        <stp>CumulativeVolume</stp>
        <tr r="AN375" s="57"/>
      </tp>
      <tp>
        <v>0</v>
        <stp/>
        <stp>5512</stp>
        <stp>CumulativeVolume</stp>
        <tr r="AN1481" s="57"/>
      </tp>
      <tp>
        <v>0</v>
        <stp/>
        <stp>8112</stp>
        <stp>CumulativeVolume</stp>
        <tr r="AN1258" s="57"/>
      </tp>
      <tp>
        <v>0</v>
        <stp/>
        <stp>9912</stp>
        <stp>CumulativeVolume</stp>
        <tr r="AN802" s="57"/>
      </tp>
      <tp>
        <v>0</v>
        <stp/>
        <stp>2015</stp>
        <stp>CumulativeVolume</stp>
        <tr r="AN440" s="57"/>
      </tp>
      <tp>
        <v>0</v>
        <stp/>
        <stp>2115</stp>
        <stp>CumulativeVolume</stp>
        <tr r="AN506" s="57"/>
      </tp>
      <tp>
        <v>0</v>
        <stp/>
        <stp>2615</stp>
        <stp>CumulativeVolume</stp>
        <tr r="AN1518" s="57"/>
      </tp>
      <tp>
        <v>0</v>
        <stp/>
        <stp>2415</stp>
        <stp>CumulativeVolume</stp>
        <tr r="AN1034" s="57"/>
      </tp>
      <tp>
        <v>0</v>
        <stp/>
        <stp>2515</stp>
        <stp>CumulativeVolume</stp>
        <tr r="AN1813" s="57"/>
      </tp>
      <tp>
        <v>0</v>
        <stp/>
        <stp>2915</stp>
        <stp>CumulativeVolume</stp>
        <tr r="AN1642" s="57"/>
      </tp>
      <tp>
        <v>0</v>
        <stp/>
        <stp>3015</stp>
        <stp>CumulativeVolume</stp>
        <tr r="AN21" s="28"/>
        <tr r="AN1055" s="57"/>
      </tp>
      <tp>
        <v>0</v>
        <stp/>
        <stp>3115</stp>
        <stp>CumulativeVolume</stp>
        <tr r="AN1068" s="57"/>
      </tp>
      <tp>
        <v>0</v>
        <stp/>
        <stp>3615</stp>
        <stp>CumulativeVolume</stp>
        <tr r="AN852" s="57"/>
      </tp>
      <tp>
        <v>0</v>
        <stp/>
        <stp>3515</stp>
        <stp>CumulativeVolume</stp>
        <tr r="AN742" s="57"/>
      </tp>
      <tp>
        <v>0</v>
        <stp/>
        <stp>1215</stp>
        <stp>CumulativeVolume</stp>
        <tr r="AN18" s="57"/>
      </tp>
      <tp>
        <v>0</v>
        <stp/>
        <stp>1315</stp>
        <stp>CumulativeVolume</stp>
        <tr r="AN55" s="57"/>
      </tp>
      <tp>
        <v>0</v>
        <stp/>
        <stp>1615</stp>
        <stp>CumulativeVolume</stp>
        <tr r="AN232" s="57"/>
      </tp>
      <tp>
        <v>0</v>
        <stp/>
        <stp>1515</stp>
        <stp>CumulativeVolume</stp>
        <tr r="AN136" s="57"/>
      </tp>
      <tp>
        <v>0</v>
        <stp/>
        <stp>1815</stp>
        <stp>CumulativeVolume</stp>
        <tr r="AN1018" s="57"/>
      </tp>
      <tp>
        <v>0</v>
        <stp/>
        <stp>6015</stp>
        <stp>CumulativeVolume</stp>
        <tr r="AN1621" s="57"/>
      </tp>
      <tp>
        <v>0</v>
        <stp/>
        <stp>6115</stp>
        <stp>CumulativeVolume</stp>
        <tr r="AN1150" s="57"/>
      </tp>
      <tp>
        <v>0</v>
        <stp/>
        <stp>6615</stp>
        <stp>CumulativeVolume</stp>
        <tr r="AN397" s="57"/>
      </tp>
      <tp>
        <v>0</v>
        <stp/>
        <stp>6715</stp>
        <stp>CumulativeVolume</stp>
        <tr r="AN1197" s="57"/>
      </tp>
      <tp>
        <v>0</v>
        <stp/>
        <stp>6415</stp>
        <stp>CumulativeVolume</stp>
        <tr r="AN647" s="57"/>
      </tp>
      <tp>
        <v>0</v>
        <stp/>
        <stp>6515</stp>
        <stp>CumulativeVolume</stp>
        <tr r="AN7" s="74"/>
        <tr r="AN656" s="57"/>
      </tp>
      <tp>
        <v>0</v>
        <stp/>
        <stp>4915</stp>
        <stp>CumulativeVolume</stp>
        <tr r="AN1123" s="57"/>
      </tp>
      <tp>
        <v>0</v>
        <stp/>
        <stp>5215</stp>
        <stp>CumulativeVolume</stp>
        <tr r="AN760" s="57"/>
      </tp>
      <tp>
        <v>0</v>
        <stp/>
        <stp>5315</stp>
        <stp>CumulativeVolume</stp>
        <tr r="AN881" s="57"/>
      </tp>
      <tp>
        <v>0</v>
        <stp/>
        <stp>5015</stp>
        <stp>CumulativeVolume</stp>
        <tr r="AN468" s="57"/>
      </tp>
      <tp>
        <v>0</v>
        <stp/>
        <stp>5515</stp>
        <stp>CumulativeVolume</stp>
        <tr r="AN1483" s="57"/>
      </tp>
      <tp>
        <v>0</v>
        <stp/>
        <stp>8215</stp>
        <stp>CumulativeVolume</stp>
        <tr r="AN921" s="57"/>
      </tp>
      <tp>
        <v>0</v>
        <stp/>
        <stp>8415</stp>
        <stp>CumulativeVolume</stp>
        <tr r="AN473" s="57"/>
      </tp>
      <tp>
        <v>0</v>
        <stp/>
        <stp>2314</stp>
        <stp>CumulativeVolume</stp>
        <tr r="AN925" s="57"/>
      </tp>
      <tp>
        <v>0</v>
        <stp/>
        <stp>2014</stp>
        <stp>CumulativeVolume</stp>
        <tr r="AN439" s="57"/>
      </tp>
      <tp>
        <v>0</v>
        <stp/>
        <stp>2114</stp>
        <stp>CumulativeVolume</stp>
        <tr r="AN488" s="57"/>
      </tp>
      <tp>
        <v>0</v>
        <stp/>
        <stp>2614</stp>
        <stp>CumulativeVolume</stp>
        <tr r="AN2" s="113"/>
        <tr r="AN1632" s="57"/>
      </tp>
      <tp>
        <v>0</v>
        <stp/>
        <stp>2414</stp>
        <stp>CumulativeVolume</stp>
        <tr r="AN1224" s="57"/>
      </tp>
      <tp>
        <v>0</v>
        <stp/>
        <stp>2514</stp>
        <stp>CumulativeVolume</stp>
        <tr r="AN1315" s="57"/>
      </tp>
      <tp>
        <v>0</v>
        <stp/>
        <stp>3014</stp>
        <stp>CumulativeVolume</stp>
        <tr r="AN553" s="57"/>
      </tp>
      <tp>
        <v>0</v>
        <stp/>
        <stp>3114</stp>
        <stp>CumulativeVolume</stp>
        <tr r="AN43" s="28"/>
        <tr r="AN9" s="99"/>
        <tr r="AN1067" s="57"/>
      </tp>
      <tp>
        <v>0</v>
        <stp/>
        <stp>3714</stp>
        <stp>CumulativeVolume</stp>
        <tr r="AN862" s="57"/>
      </tp>
      <tp>
        <v>0</v>
        <stp/>
        <stp>1314</stp>
        <stp>CumulativeVolume</stp>
        <tr r="AN54" s="57"/>
      </tp>
      <tp>
        <v>0</v>
        <stp/>
        <stp>1614</stp>
        <stp>CumulativeVolume</stp>
        <tr r="AN231" s="57"/>
      </tp>
      <tp>
        <v>0</v>
        <stp/>
        <stp>1714</stp>
        <stp>CumulativeVolume</stp>
        <tr r="AN249" s="57"/>
      </tp>
      <tp>
        <v>0</v>
        <stp/>
        <stp>1414</stp>
        <stp>CumulativeVolume</stp>
        <tr r="AN76" s="57"/>
      </tp>
      <tp>
        <v>0</v>
        <stp/>
        <stp>1514</stp>
        <stp>CumulativeVolume</stp>
        <tr r="AN135" s="57"/>
      </tp>
      <tp>
        <v>0</v>
        <stp/>
        <stp>6214</stp>
        <stp>CumulativeVolume</stp>
        <tr r="AN1285" s="57"/>
      </tp>
      <tp>
        <v>0</v>
        <stp/>
        <stp>6114</stp>
        <stp>CumulativeVolume</stp>
        <tr r="AN1149" s="57"/>
      </tp>
      <tp>
        <v>0</v>
        <stp/>
        <stp>6414</stp>
        <stp>CumulativeVolume</stp>
        <tr r="AN19" s="115"/>
        <tr r="AN787" s="57"/>
      </tp>
      <tp>
        <v>0</v>
        <stp/>
        <stp>6514</stp>
        <stp>CumulativeVolume</stp>
        <tr r="AN997" s="57"/>
      </tp>
      <tp>
        <v>0</v>
        <stp/>
        <stp>4114</stp>
        <stp>CumulativeVolume</stp>
        <tr r="AN325" s="57"/>
      </tp>
      <tp>
        <v>0</v>
        <stp/>
        <stp>4714</stp>
        <stp>CumulativeVolume</stp>
        <tr r="AN270" s="57"/>
      </tp>
      <tp>
        <v>0</v>
        <stp/>
        <stp>4414</stp>
        <stp>CumulativeVolume</stp>
        <tr r="AN117" s="57"/>
      </tp>
      <tp>
        <v>0</v>
        <stp/>
        <stp>5314</stp>
        <stp>CumulativeVolume</stp>
        <tr r="AN618" s="57"/>
      </tp>
      <tp>
        <v>0</v>
        <stp/>
        <stp>5014</stp>
        <stp>CumulativeVolume</stp>
        <tr r="AN467" s="57"/>
      </tp>
      <tp>
        <v>0</v>
        <stp/>
        <stp>5514</stp>
        <stp>CumulativeVolume</stp>
        <tr r="AN1482" s="57"/>
      </tp>
      <tp>
        <v>0</v>
        <stp/>
        <stp>8114</stp>
        <stp>CumulativeVolume</stp>
        <tr r="AN797" s="57"/>
      </tp>
      <tp>
        <v>0</v>
        <stp/>
        <stp>9914</stp>
        <stp>CumulativeVolume</stp>
        <tr r="AN1408" s="57"/>
      </tp>
      <tp>
        <v>0</v>
        <stp/>
        <stp>2317</stp>
        <stp>CumulativeVolume</stp>
        <tr r="AN1685" s="57"/>
      </tp>
      <tp>
        <v>0</v>
        <stp/>
        <stp>2017</stp>
        <stp>CumulativeVolume</stp>
        <tr r="AN441" s="57"/>
      </tp>
      <tp>
        <v>0</v>
        <stp/>
        <stp>2617</stp>
        <stp>CumulativeVolume</stp>
        <tr r="AN1519" s="57"/>
      </tp>
      <tp>
        <v>0</v>
        <stp/>
        <stp>2417</stp>
        <stp>CumulativeVolume</stp>
        <tr r="AN5" s="102"/>
        <tr r="AN716" s="57"/>
        <tr r="AN8" s="102"/>
        <tr r="AN8" s="101"/>
      </tp>
      <tp>
        <v>0</v>
        <stp/>
        <stp>3217</stp>
        <stp>CumulativeVolume</stp>
        <tr r="AN1074" s="57"/>
      </tp>
      <tp>
        <v>0</v>
        <stp/>
        <stp>3317</stp>
        <stp>CumulativeVolume</stp>
        <tr r="AN575" s="57"/>
      </tp>
      <tp>
        <v>0</v>
        <stp/>
        <stp>3017</stp>
        <stp>CumulativeVolume</stp>
        <tr r="AN724" s="57"/>
      </tp>
      <tp>
        <v>0</v>
        <stp/>
        <stp>3617</stp>
        <stp>CumulativeVolume</stp>
        <tr r="AN1723" s="57"/>
      </tp>
      <tp>
        <v>0</v>
        <stp/>
        <stp>1217</stp>
        <stp>CumulativeVolume</stp>
        <tr r="AN20" s="57"/>
      </tp>
      <tp>
        <v>0</v>
        <stp/>
        <stp>1617</stp>
        <stp>CumulativeVolume</stp>
        <tr r="AN234" s="57"/>
      </tp>
      <tp>
        <v>0</v>
        <stp/>
        <stp>1717</stp>
        <stp>CumulativeVolume</stp>
        <tr r="AN250" s="57"/>
      </tp>
      <tp>
        <v>0</v>
        <stp/>
        <stp>1417</stp>
        <stp>CumulativeVolume</stp>
        <tr r="AN77" s="57"/>
      </tp>
      <tp>
        <v>0</v>
        <stp/>
        <stp>1517</stp>
        <stp>CumulativeVolume</stp>
        <tr r="AN137" s="57"/>
      </tp>
      <tp>
        <v>0</v>
        <stp/>
        <stp>1817</stp>
        <stp>CumulativeVolume</stp>
        <tr r="AN420" s="57"/>
      </tp>
      <tp>
        <v>0</v>
        <stp/>
        <stp>6217</stp>
        <stp>CumulativeVolume</stp>
        <tr r="AN1176" s="57"/>
      </tp>
      <tp>
        <v>0</v>
        <stp/>
        <stp>6117</stp>
        <stp>CumulativeVolume</stp>
        <tr r="AN771" s="57"/>
      </tp>
      <tp>
        <v>0</v>
        <stp/>
        <stp>6417</stp>
        <stp>CumulativeVolume</stp>
        <tr r="AN992" s="57"/>
      </tp>
      <tp>
        <v>0</v>
        <stp/>
        <stp>4417</stp>
        <stp>CumulativeVolume</stp>
        <tr r="AN118" s="57"/>
      </tp>
      <tp>
        <v>0</v>
        <stp/>
        <stp>8917</stp>
        <stp>CumulativeVolume</stp>
        <tr r="AN1671" s="57"/>
      </tp>
      <tp>
        <v>0</v>
        <stp/>
        <stp>9917</stp>
        <stp>CumulativeVolume</stp>
        <tr r="AN1409" s="57"/>
      </tp>
      <tp>
        <v>0</v>
        <stp/>
        <stp>2316</stp>
        <stp>CumulativeVolume</stp>
        <tr r="AN1022" s="57"/>
      </tp>
      <tp>
        <v>0</v>
        <stp/>
        <stp>2616</stp>
        <stp>CumulativeVolume</stp>
        <tr r="AN1669" s="57"/>
      </tp>
      <tp>
        <v>0</v>
        <stp/>
        <stp>2516</stp>
        <stp>CumulativeVolume</stp>
        <tr r="AN1443" s="57"/>
      </tp>
      <tp>
        <v>0</v>
        <stp/>
        <stp>2816</stp>
        <stp>CumulativeVolume</stp>
        <tr r="AN1587" s="57"/>
      </tp>
      <tp>
        <v>0</v>
        <stp/>
        <stp>2916</stp>
        <stp>CumulativeVolume</stp>
        <tr r="AN1643" s="57"/>
      </tp>
      <tp>
        <v>0</v>
        <stp/>
        <stp>3016</stp>
        <stp>CumulativeVolume</stp>
        <tr r="AN554" s="57"/>
      </tp>
      <tp>
        <v>0</v>
        <stp/>
        <stp>3416</stp>
        <stp>CumulativeVolume</stp>
        <tr r="AN738" s="57"/>
      </tp>
      <tp>
        <v>0</v>
        <stp/>
        <stp>3516</stp>
        <stp>CumulativeVolume</stp>
        <tr r="AN845" s="57"/>
      </tp>
      <tp>
        <v>0</v>
        <stp/>
        <stp>1216</stp>
        <stp>CumulativeVolume</stp>
        <tr r="AN19" s="57"/>
      </tp>
      <tp>
        <v>0</v>
        <stp/>
        <stp>1316</stp>
        <stp>CumulativeVolume</stp>
        <tr r="AN1431" s="57"/>
      </tp>
      <tp>
        <v>0</v>
        <stp/>
        <stp>1616</stp>
        <stp>CumulativeVolume</stp>
        <tr r="AN233" s="57"/>
      </tp>
      <tp>
        <v>0</v>
        <stp/>
        <stp>1416</stp>
        <stp>CumulativeVolume</stp>
        <tr r="AN1304" s="57"/>
      </tp>
      <tp>
        <v>0</v>
        <stp/>
        <stp>1516</stp>
        <stp>CumulativeVolume</stp>
        <tr r="AN1307" s="57"/>
      </tp>
      <tp>
        <v>0</v>
        <stp/>
        <stp>6216</stp>
        <stp>CumulativeVolume</stp>
        <tr r="AN985" s="57"/>
      </tp>
      <tp>
        <v>0</v>
        <stp/>
        <stp>6016</stp>
        <stp>CumulativeVolume</stp>
        <tr r="AN1622" s="57"/>
      </tp>
      <tp>
        <v>0</v>
        <stp/>
        <stp>6116</stp>
        <stp>CumulativeVolume</stp>
        <tr r="AN887" s="57"/>
      </tp>
      <tp>
        <v>0</v>
        <stp/>
        <stp>6616</stp>
        <stp>CumulativeVolume</stp>
        <tr r="AN1343" s="57"/>
      </tp>
      <tp>
        <v>0</v>
        <stp/>
        <stp>6716</stp>
        <stp>CumulativeVolume</stp>
        <tr r="AN672" s="57"/>
      </tp>
      <tp>
        <v>0</v>
        <stp/>
        <stp>6416</stp>
        <stp>CumulativeVolume</stp>
        <tr r="AN991" s="57"/>
      </tp>
      <tp>
        <v>0</v>
        <stp/>
        <stp>6516</stp>
        <stp>CumulativeVolume</stp>
        <tr r="AN1290" s="57"/>
      </tp>
      <tp>
        <v>0</v>
        <stp/>
        <stp>4116</stp>
        <stp>CumulativeVolume</stp>
        <tr r="AN326" s="57"/>
      </tp>
      <tp>
        <v>0</v>
        <stp/>
        <stp>4716</stp>
        <stp>CumulativeVolume</stp>
        <tr r="AN271" s="57"/>
      </tp>
      <tp>
        <v>0</v>
        <stp/>
        <stp>4416</stp>
        <stp>CumulativeVolume</stp>
        <tr r="AN1473" s="57"/>
      </tp>
      <tp>
        <v>0</v>
        <stp/>
        <stp>4916</stp>
        <stp>CumulativeVolume</stp>
        <tr r="AN755" s="57"/>
      </tp>
      <tp>
        <v>0</v>
        <stp/>
        <stp>5016</stp>
        <stp>CumulativeVolume</stp>
        <tr r="AN469" s="57"/>
      </tp>
      <tp>
        <v>0</v>
        <stp/>
        <stp>5516</stp>
        <stp>CumulativeVolume</stp>
        <tr r="AN1484" s="57"/>
      </tp>
      <tp>
        <v>0</v>
        <stp/>
        <stp>8016</stp>
        <stp>CumulativeVolume</stp>
        <tr r="AN8" s="107"/>
        <tr r="AN678" s="57"/>
      </tp>
      <tp>
        <v>0</v>
        <stp/>
        <stp>8416</stp>
        <stp>CumulativeVolume</stp>
        <tr r="AN1299" s="57"/>
      </tp>
      <tp>
        <v>0</v>
        <stp/>
        <stp>8916</stp>
        <stp>CumulativeVolume</stp>
        <tr r="AN1389" s="57"/>
      </tp>
      <tp>
        <v>0</v>
        <stp/>
        <stp>2719</stp>
        <stp>CumulativeVolume</stp>
        <tr r="AN1548" s="57"/>
      </tp>
      <tp>
        <v>0</v>
        <stp/>
        <stp>2419</stp>
        <stp>CumulativeVolume</stp>
        <tr r="AN930" s="57"/>
      </tp>
      <tp>
        <v>0</v>
        <stp/>
        <stp>3219</stp>
        <stp>CumulativeVolume</stp>
        <tr r="AN566" s="57"/>
      </tp>
      <tp>
        <v>0</v>
        <stp/>
        <stp>3019</stp>
        <stp>CumulativeVolume</stp>
        <tr r="AN819" s="57"/>
      </tp>
      <tp>
        <v>0</v>
        <stp/>
        <stp>3419</stp>
        <stp>CumulativeVolume</stp>
        <tr r="AN953" s="57"/>
      </tp>
      <tp>
        <v>0</v>
        <stp/>
        <stp>1219</stp>
        <stp>CumulativeVolume</stp>
        <tr r="AN22" s="57"/>
      </tp>
      <tp>
        <v>0</v>
        <stp/>
        <stp>1319</stp>
        <stp>CumulativeVolume</stp>
        <tr r="AN493" s="57"/>
      </tp>
      <tp>
        <v>0</v>
        <stp/>
        <stp>1419</stp>
        <stp>CumulativeVolume</stp>
        <tr r="AN79" s="57"/>
      </tp>
      <tp>
        <v>0</v>
        <stp/>
        <stp>1519</stp>
        <stp>CumulativeVolume</stp>
        <tr r="AN138" s="57"/>
      </tp>
      <tp>
        <v>0</v>
        <stp/>
        <stp>6219</stp>
        <stp>CumulativeVolume</stp>
        <tr r="AN1500" s="57"/>
      </tp>
      <tp>
        <v>0</v>
        <stp/>
        <stp>6419</stp>
        <stp>CumulativeVolume</stp>
        <tr r="AN904" s="57"/>
      </tp>
      <tp>
        <v>0</v>
        <stp/>
        <stp>4119</stp>
        <stp>CumulativeVolume</stp>
        <tr r="AN327" s="57"/>
      </tp>
      <tp>
        <v>0</v>
        <stp/>
        <stp>4419</stp>
        <stp>CumulativeVolume</stp>
        <tr r="AN119" s="57"/>
      </tp>
      <tp>
        <v>0</v>
        <stp/>
        <stp>4919</stp>
        <stp>CumulativeVolume</stp>
        <tr r="AN600" s="57"/>
      </tp>
      <tp>
        <v>0</v>
        <stp/>
        <stp>5519</stp>
        <stp>CumulativeVolume</stp>
        <tr r="AN1485" s="57"/>
      </tp>
      <tp>
        <v>0</v>
        <stp/>
        <stp>9919</stp>
        <stp>CumulativeVolume</stp>
        <tr r="AN1410" s="57"/>
        <tr r="AN38" s="28"/>
      </tp>
      <tp>
        <v>0</v>
        <stp/>
        <stp>2618</stp>
        <stp>CumulativeVolume</stp>
        <tr r="AN1520" s="57"/>
      </tp>
      <tp>
        <v>0</v>
        <stp/>
        <stp>2718</stp>
        <stp>CumulativeVolume</stp>
        <tr r="AN1547" s="57"/>
      </tp>
      <tp>
        <v>0</v>
        <stp/>
        <stp>3218</stp>
        <stp>CumulativeVolume</stp>
        <tr r="AN315" s="57"/>
      </tp>
      <tp>
        <v>0</v>
        <stp/>
        <stp>3018</stp>
        <stp>CumulativeVolume</stp>
        <tr r="AN1701" s="57"/>
      </tp>
      <tp>
        <v>0</v>
        <stp/>
        <stp>3118</stp>
        <stp>CumulativeVolume</stp>
        <tr r="AN311" s="57"/>
      </tp>
      <tp>
        <v>0</v>
        <stp/>
        <stp>3518</stp>
        <stp>CumulativeVolume</stp>
        <tr r="AN1717" s="57"/>
      </tp>
      <tp>
        <v>0</v>
        <stp/>
        <stp>1218</stp>
        <stp>CumulativeVolume</stp>
        <tr r="AN21" s="57"/>
      </tp>
      <tp>
        <v>0</v>
        <stp/>
        <stp>1618</stp>
        <stp>CumulativeVolume</stp>
        <tr r="AN235" s="57"/>
      </tp>
      <tp>
        <v>0</v>
        <stp/>
        <stp>1718</stp>
        <stp>CumulativeVolume</stp>
        <tr r="AN251" s="57"/>
      </tp>
      <tp>
        <v>0</v>
        <stp/>
        <stp>1418</stp>
        <stp>CumulativeVolume</stp>
        <tr r="AN78" s="57"/>
      </tp>
      <tp>
        <v>0</v>
        <stp/>
        <stp>6218</stp>
        <stp>CumulativeVolume</stp>
        <tr r="AN986" s="57"/>
      </tp>
      <tp>
        <v>0</v>
        <stp/>
        <stp>6118</stp>
        <stp>CumulativeVolume</stp>
        <tr r="AN1243" s="57"/>
      </tp>
      <tp>
        <v>0</v>
        <stp/>
        <stp>6418</stp>
        <stp>CumulativeVolume</stp>
        <tr r="AN5" s="101"/>
        <tr r="AN1190" s="57"/>
      </tp>
      <tp>
        <v>0</v>
        <stp/>
        <stp>8418</stp>
        <stp>CumulativeVolume</stp>
        <tr r="AN1363" s="57"/>
      </tp>
      <tp>
        <v>0</v>
        <stp/>
        <stp>9918</stp>
        <stp>CumulativeVolume</stp>
        <tr r="AN1674" s="57"/>
      </tp>
      <tp t="s">
        <v>無資料</v>
        <stp/>
        <stp>2239</stp>
        <stp>Price</stp>
        <tr r="Y516" s="57"/>
      </tp>
      <tp t="s">
        <v>無資料</v>
        <stp/>
        <stp>2349</stp>
        <stp>Price</stp>
        <tr r="Y807" s="57"/>
      </tp>
      <tp t="s">
        <v>無資料</v>
        <stp/>
        <stp>2359</stp>
        <stp>Price</stp>
        <tr r="Y1687" s="57"/>
      </tp>
      <tp t="s">
        <v>無資料</v>
        <stp/>
        <stp>2369</stp>
        <stp>Price</stp>
        <tr r="Y539" s="57"/>
      </tp>
      <tp t="s">
        <v>無資料</v>
        <stp/>
        <stp>2379</stp>
        <stp>Price</stp>
        <tr r="Y540" s="57"/>
      </tp>
      <tp t="s">
        <v>無資料</v>
        <stp/>
        <stp>2329</stp>
        <stp>Price</stp>
        <tr r="Y531" s="57"/>
      </tp>
      <tp t="s">
        <v>無資料</v>
        <stp/>
        <stp>2399</stp>
        <stp>Price</stp>
        <tr r="Y714" s="57"/>
        <tr r="Y25" s="101"/>
      </tp>
      <tp t="s">
        <v>無資料</v>
        <stp/>
        <stp>2049</stp>
        <stp>Price</stp>
        <tr r="Y163" s="57"/>
      </tp>
      <tp t="s">
        <v>無資料</v>
        <stp/>
        <stp>2059</stp>
        <stp>Price</stp>
        <tr r="Y1019" s="57"/>
      </tp>
      <tp t="s">
        <v>無資料</v>
        <stp/>
        <stp>2069</stp>
        <stp>Price</stp>
        <tr r="Y460" s="57"/>
      </tp>
      <tp t="s">
        <v>無資料</v>
        <stp/>
        <stp>2009</stp>
        <stp>Price</stp>
        <tr r="Y435" s="57"/>
      </tp>
      <tp t="s">
        <v>無資料</v>
        <stp/>
        <stp>2029</stp>
        <stp>Price</stp>
        <tr r="Y449" s="57"/>
      </tp>
      <tp t="s">
        <v>無資料</v>
        <stp/>
        <stp>2109</stp>
        <stp>Price</stp>
        <tr r="Y487" s="57"/>
      </tp>
      <tp t="s">
        <v>無資料</v>
        <stp/>
        <stp>2609</stp>
        <stp>Price</stp>
        <tr r="Y1513" s="57"/>
        <tr r="Y11" s="94"/>
        <tr r="Y10" s="94"/>
      </tp>
      <tp t="s">
        <v>無資料</v>
        <stp/>
        <stp>2719</stp>
        <stp>Price</stp>
        <tr r="Y1548" s="57"/>
      </tp>
      <tp t="s">
        <v>無資料</v>
        <stp/>
        <stp>2729</stp>
        <stp>Price</stp>
        <tr r="Y1554" s="57"/>
      </tp>
      <tp t="s">
        <v>無資料</v>
        <stp/>
        <stp>2739</stp>
        <stp>Price</stp>
        <tr r="Y1559" s="57"/>
      </tp>
      <tp t="s">
        <v>無資料</v>
        <stp/>
        <stp>2449</stp>
        <stp>Price</stp>
        <tr r="Y547" s="57"/>
      </tp>
      <tp t="s">
        <v>無資料</v>
        <stp/>
        <stp>2459</stp>
        <stp>Price</stp>
        <tr r="Y1226" s="57"/>
      </tp>
      <tp t="s">
        <v>無資料</v>
        <stp/>
        <stp>2409</stp>
        <stp>Price</stp>
        <tr r="Y2" s="94"/>
        <tr r="Y811" s="57"/>
        <tr r="Y7" s="94"/>
      </tp>
      <tp t="s">
        <v>無資料</v>
        <stp/>
        <stp>2419</stp>
        <stp>Price</stp>
        <tr r="Y930" s="57"/>
      </tp>
      <tp t="s">
        <v>無資料</v>
        <stp/>
        <stp>2429</stp>
        <stp>Price</stp>
        <tr r="Y1038" s="57"/>
      </tp>
      <tp t="s">
        <v>無資料</v>
        <stp/>
        <stp>2439</stp>
        <stp>Price</stp>
        <tr r="Y15" s="74"/>
        <tr r="Y931" s="57"/>
      </tp>
      <tp t="s">
        <v>無資料</v>
        <stp/>
        <stp>2489</stp>
        <stp>Price</stp>
        <tr r="Y816" s="57"/>
      </tp>
      <tp t="s">
        <v>無資料</v>
        <stp/>
        <stp>2509</stp>
        <stp>Price</stp>
        <tr r="Y1441" s="57"/>
      </tp>
      <tp t="s">
        <v>無資料</v>
        <stp/>
        <stp>2539</stp>
        <stp>Price</stp>
        <tr r="Y1454" s="57"/>
      </tp>
      <tp t="s">
        <v>無資料</v>
        <stp/>
        <stp>2849</stp>
        <stp>Price</stp>
        <tr r="Y1595" s="57"/>
      </tp>
      <tp t="s">
        <v>無資料</v>
        <stp/>
        <stp>2809</stp>
        <stp>Price</stp>
        <tr r="Y1585" s="57"/>
      </tp>
      <tp t="s">
        <v>無資料</v>
        <stp/>
        <stp>2889</stp>
        <stp>Price</stp>
        <tr r="Y1610" s="57"/>
      </tp>
      <tp t="s">
        <v>無資料</v>
        <stp/>
        <stp>2939</stp>
        <stp>Price</stp>
        <tr r="Y1647" s="57"/>
      </tp>
      <tp t="s">
        <v>無資料</v>
        <stp/>
        <stp>3259</stp>
        <stp>Price</stp>
        <tr r="Y570" s="57"/>
      </tp>
      <tp t="s">
        <v>無資料</v>
        <stp/>
        <stp>3209</stp>
        <stp>Price</stp>
        <tr r="Y1233" s="57"/>
      </tp>
      <tp t="s">
        <v>無資料</v>
        <stp/>
        <stp>3219</stp>
        <stp>Price</stp>
        <tr r="Y566" s="57"/>
      </tp>
      <tp t="s">
        <v>商品錯誤</v>
        <stp/>
        <stp>3229</stp>
        <stp>Price</stp>
        <tr r="Y1075" s="57"/>
      </tp>
      <tp t="s">
        <v>無資料</v>
        <stp/>
        <stp>3289</stp>
        <stp>Price</stp>
        <tr r="Y1708" s="57"/>
      </tp>
      <tp t="s">
        <v>無資料</v>
        <stp/>
        <stp>3379</stp>
        <stp>Price</stp>
        <tr r="Y175" s="57"/>
      </tp>
      <tp t="s">
        <v>無資料</v>
        <stp/>
        <stp>3339</stp>
        <stp>Price</stp>
        <tr r="Y832" s="57"/>
      </tp>
      <tp t="s">
        <v>無資料</v>
        <stp/>
        <stp>3049</stp>
        <stp>Price</stp>
        <tr r="Y823" s="57"/>
      </tp>
      <tp t="s">
        <v>無資料</v>
        <stp/>
        <stp>3059</stp>
        <stp>Price</stp>
        <tr r="Y826" s="57"/>
      </tp>
      <tp t="s">
        <v>無資料</v>
        <stp/>
        <stp>3019</stp>
        <stp>Price</stp>
        <tr r="Y819" s="57"/>
      </tp>
      <tp t="s">
        <v>無資料</v>
        <stp/>
        <stp>3029</stp>
        <stp>Price</stp>
        <tr r="Y78" s="28"/>
        <tr r="Y1266" s="57"/>
        <tr r="Y14" s="98"/>
      </tp>
      <tp t="s">
        <v>無資料</v>
        <stp/>
        <stp>3149</stp>
        <stp>Price</stp>
        <tr r="Y829" s="57"/>
      </tp>
      <tp t="s">
        <v>無資料</v>
        <stp/>
        <stp>3169</stp>
        <stp>Price</stp>
        <tr r="Y564" s="57"/>
      </tp>
      <tp t="s">
        <v>無資料</v>
        <stp/>
        <stp>3189</stp>
        <stp>Price</stp>
        <tr r="Y565" s="57"/>
      </tp>
      <tp t="s">
        <v>無資料</v>
        <stp/>
        <stp>3669</stp>
        <stp>Price</stp>
        <tr r="Y9" s="109"/>
        <tr r="Y13" s="74"/>
        <tr r="Y10" s="102"/>
        <tr r="Y7" s="102"/>
        <tr r="Y3" s="109"/>
        <tr r="Y50" s="28"/>
        <tr r="Y857" s="57"/>
        <tr r="Y11" s="109"/>
        <tr r="Y5" s="109"/>
        <tr r="Y7" s="101"/>
      </tp>
      <tp t="s">
        <v>無資料</v>
        <stp/>
        <stp>3679</stp>
        <stp>Price</stp>
        <tr r="Y1117" s="57"/>
      </tp>
      <tp t="s">
        <v>無資料</v>
        <stp/>
        <stp>3609</stp>
        <stp>Price</stp>
        <tr r="Y1111" s="57"/>
      </tp>
      <tp t="s">
        <v>無資料</v>
        <stp/>
        <stp>3629</stp>
        <stp>Price</stp>
        <tr r="Y1775" s="57"/>
      </tp>
      <tp t="s">
        <v>無資料</v>
        <stp/>
        <stp>3689</stp>
        <stp>Price</stp>
        <tr r="Y1118" s="57"/>
      </tp>
      <tp t="s">
        <v>無資料</v>
        <stp/>
        <stp>3709</stp>
        <stp>Price</stp>
        <tr r="Y753" s="57"/>
      </tp>
      <tp t="s">
        <v>無資料</v>
        <stp/>
        <stp>3479</stp>
        <stp>Price</stp>
        <tr r="Y739" s="57"/>
      </tp>
      <tp t="s">
        <v>無資料</v>
        <stp/>
        <stp>3419</stp>
        <stp>Price</stp>
        <tr r="Y953" s="57"/>
      </tp>
      <tp t="s">
        <v>無資料</v>
        <stp/>
        <stp>3489</stp>
        <stp>Price</stp>
        <tr r="Y1470" s="57"/>
      </tp>
      <tp t="s">
        <v>無資料</v>
        <stp/>
        <stp>3499</stp>
        <stp>Price</stp>
        <tr r="Y956" s="57"/>
      </tp>
      <tp t="s">
        <v>無資料</v>
        <stp/>
        <stp>3529</stp>
        <stp>Price</stp>
        <tr r="Y582" s="57"/>
      </tp>
      <tp t="s">
        <v>無資料</v>
        <stp/>
        <stp>1259</stp>
        <stp>Price</stp>
        <tr r="Y1538" s="57"/>
      </tp>
      <tp t="s">
        <v>無資料</v>
        <stp/>
        <stp>1219</stp>
        <stp>Price</stp>
        <tr r="Y22" s="57"/>
      </tp>
      <tp t="s">
        <v>無資料</v>
        <stp/>
        <stp>1229</stp>
        <stp>Price</stp>
        <tr r="Y26" s="57"/>
      </tp>
      <tp t="s">
        <v>無資料</v>
        <stp/>
        <stp>1309</stp>
        <stp>Price</stp>
        <tr r="Y50" s="57"/>
        <tr r="Y30" s="28"/>
        <tr r="Y97" s="22"/>
      </tp>
      <tp t="s">
        <v>無資料</v>
        <stp/>
        <stp>1319</stp>
        <stp>Price</stp>
        <tr r="Y493" s="57"/>
      </tp>
      <tp t="s">
        <v>無資料</v>
        <stp/>
        <stp>1339</stp>
        <stp>Price</stp>
        <tr r="Y495" s="57"/>
      </tp>
      <tp t="s">
        <v>無資料</v>
        <stp/>
        <stp>1109</stp>
        <stp>Price</stp>
        <tr r="Y10" s="57"/>
      </tp>
      <tp t="s">
        <v>無資料</v>
        <stp/>
        <stp>1609</stp>
        <stp>Price</stp>
        <tr r="Y228" s="57"/>
      </tp>
      <tp t="s">
        <v>無資料</v>
        <stp/>
        <stp>1709</stp>
        <stp>Price</stp>
        <tr r="Y244" s="57"/>
      </tp>
      <tp t="s">
        <v>無資料</v>
        <stp/>
        <stp>1789</stp>
        <stp>Price</stp>
        <tr r="Y307" s="57"/>
      </tp>
      <tp t="s">
        <v>無資料</v>
        <stp/>
        <stp>1799</stp>
        <stp>Price</stp>
        <tr r="Y309" s="57"/>
      </tp>
      <tp t="s">
        <v>無資料</v>
        <stp/>
        <stp>1449</stp>
        <stp>Price</stp>
        <tr r="Y90" s="57"/>
      </tp>
      <tp t="s">
        <v>無資料</v>
        <stp/>
        <stp>1459</stp>
        <stp>Price</stp>
        <tr r="Y98" s="57"/>
      </tp>
      <tp t="s">
        <v>無資料</v>
        <stp/>
        <stp>1409</stp>
        <stp>Price</stp>
        <tr r="Y73" s="57"/>
      </tp>
      <tp t="s">
        <v>無資料</v>
        <stp/>
        <stp>1419</stp>
        <stp>Price</stp>
        <tr r="Y79" s="57"/>
      </tp>
      <tp t="s">
        <v>無資料</v>
        <stp/>
        <stp>1439</stp>
        <stp>Price</stp>
        <tr r="Y82" s="57"/>
      </tp>
      <tp t="s">
        <v>無資料</v>
        <stp/>
        <stp>1569</stp>
        <stp>Price</stp>
        <tr r="Y695" s="57"/>
      </tp>
      <tp t="s">
        <v>無資料</v>
        <stp/>
        <stp>1519</stp>
        <stp>Price</stp>
        <tr r="Y138" s="57"/>
      </tp>
      <tp t="s">
        <v>無資料</v>
        <stp/>
        <stp>1529</stp>
        <stp>Price</stp>
        <tr r="Y142" s="57"/>
      </tp>
      <tp t="s">
        <v>無資料</v>
        <stp/>
        <stp>1539</stp>
        <stp>Price</stp>
        <tr r="Y149" s="57"/>
      </tp>
      <tp t="s">
        <v>無資料</v>
        <stp/>
        <stp>1589</stp>
        <stp>Price</stp>
        <tr r="Y158" s="57"/>
      </tp>
      <tp t="s">
        <v>無資料</v>
        <stp/>
        <stp>1599</stp>
        <stp>Price</stp>
        <tr r="Y162" s="57"/>
      </tp>
      <tp t="s">
        <v>無資料</v>
        <stp/>
        <stp>1809</stp>
        <stp>Price</stp>
        <tr r="Y418" s="57"/>
      </tp>
      <tp t="s">
        <v>無資料</v>
        <stp/>
        <stp>1909</stp>
        <stp>Price</stp>
        <tr r="Y428" s="57"/>
      </tp>
      <tp t="s">
        <v>無資料</v>
        <stp/>
        <stp>6259</stp>
        <stp>Price</stp>
        <tr r="Y1180" s="57"/>
      </tp>
      <tp t="s">
        <v>無資料</v>
        <stp/>
        <stp>6269</stp>
        <stp>Price</stp>
        <tr r="Y1182" s="57"/>
      </tp>
      <tp t="s">
        <v>無資料</v>
        <stp/>
        <stp>6279</stp>
        <stp>Price</stp>
        <tr r="Y10" s="74"/>
        <tr r="Y1184" s="57"/>
      </tp>
      <tp t="s">
        <v>無資料</v>
        <stp/>
        <stp>6209</stp>
        <stp>Price</stp>
        <tr r="Y894" s="57"/>
      </tp>
      <tp t="s">
        <v>無資料</v>
        <stp/>
        <stp>6219</stp>
        <stp>Price</stp>
        <tr r="Y1500" s="57"/>
      </tp>
      <tp t="s">
        <v>無資料</v>
        <stp/>
        <stp>6229</stp>
        <stp>Price</stp>
        <tr r="Y636" s="57"/>
      </tp>
      <tp t="s">
        <v>無資料</v>
        <stp/>
        <stp>6239</stp>
        <stp>Price</stp>
        <tr r="Y639" s="57"/>
      </tp>
      <tp t="s">
        <v>無資料</v>
        <stp/>
        <stp>6289</stp>
        <stp>Price</stp>
        <tr r="Y902" s="57"/>
      </tp>
      <tp t="s">
        <v>無資料</v>
        <stp/>
        <stp>6169</stp>
        <stp>Price</stp>
        <tr r="Y1784" s="57"/>
      </tp>
      <tp t="s">
        <v>無資料</v>
        <stp/>
        <stp>6179</stp>
        <stp>Price</stp>
        <tr r="Y1335" s="57"/>
        <tr r="Y26" s="28"/>
        <tr r="Y54" s="22"/>
        <tr r="Y26" s="101"/>
      </tp>
      <tp t="s">
        <v>無資料</v>
        <stp/>
        <stp>6109</stp>
        <stp>Price</stp>
        <tr r="Y977" s="57"/>
      </tp>
      <tp t="s">
        <v>無資料</v>
        <stp/>
        <stp>6129</stp>
        <stp>Price</stp>
        <tr r="Y629" s="57"/>
      </tp>
      <tp t="s">
        <v>無資料</v>
        <stp/>
        <stp>6139</stp>
        <stp>Price</stp>
        <tr r="Y1737" s="57"/>
      </tp>
      <tp t="s">
        <v>無資料</v>
        <stp/>
        <stp>6189</stp>
        <stp>Price</stp>
        <tr r="Y1245" s="57"/>
      </tp>
      <tp t="s">
        <v>無資料</v>
        <stp/>
        <stp>6199</stp>
        <stp>Price</stp>
        <tr r="Y1337" s="57"/>
      </tp>
      <tp t="s">
        <v>無資料</v>
        <stp/>
        <stp>6669</stp>
        <stp>Price</stp>
        <tr r="Y793" s="57"/>
      </tp>
      <tp t="s">
        <v>無資料</v>
        <stp/>
        <stp>6679</stp>
        <stp>Price</stp>
        <tr r="Y669" s="57"/>
      </tp>
      <tp t="s">
        <v>無資料</v>
        <stp/>
        <stp>6609</stp>
        <stp>Price</stp>
        <tr r="Y213" s="57"/>
      </tp>
      <tp t="s">
        <v>無資料</v>
        <stp/>
        <stp>6629</stp>
        <stp>Price</stp>
        <tr r="Y1346" s="57"/>
      </tp>
      <tp t="s">
        <v>無資料</v>
        <stp/>
        <stp>6449</stp>
        <stp>Price</stp>
        <tr r="Y1192" s="57"/>
      </tp>
      <tp t="s">
        <v>無資料</v>
        <stp/>
        <stp>6469</stp>
        <stp>Price</stp>
        <tr r="Y380" s="57"/>
      </tp>
      <tp t="s">
        <v>無資料</v>
        <stp/>
        <stp>6409</stp>
        <stp>Price</stp>
        <tr r="Y1748" s="57"/>
      </tp>
      <tp t="s">
        <v>無資料</v>
        <stp/>
        <stp>6419</stp>
        <stp>Price</stp>
        <tr r="Y904" s="57"/>
      </tp>
      <tp t="s">
        <v>無資料</v>
        <stp/>
        <stp>6499</stp>
        <stp>Price</stp>
        <tr r="Y385" s="57"/>
      </tp>
      <tp t="s">
        <v>無資料</v>
        <stp/>
        <stp>6569</stp>
        <stp>Price</stp>
        <tr r="Y391" s="57"/>
      </tp>
      <tp t="s">
        <v>無資料</v>
        <stp/>
        <stp>6579</stp>
        <stp>Price</stp>
        <tr r="Y3" s="74"/>
        <tr r="Y791" s="57"/>
      </tp>
      <tp t="s">
        <v>無資料</v>
        <stp/>
        <stp>6509</stp>
        <stp>Price</stp>
        <tr r="Y285" s="57"/>
      </tp>
      <tp t="s">
        <v>無資料</v>
        <stp/>
        <stp>6589</stp>
        <stp>Price</stp>
        <tr r="Y394" s="57"/>
      </tp>
      <tp t="s">
        <v>無資料</v>
        <stp/>
        <stp>4109</stp>
        <stp>Price</stp>
        <tr r="Y323" s="57"/>
      </tp>
      <tp t="s">
        <v>無資料</v>
        <stp/>
        <stp>4119</stp>
        <stp>Price</stp>
        <tr r="Y327" s="57"/>
      </tp>
      <tp t="s">
        <v>無資料</v>
        <stp/>
        <stp>4129</stp>
        <stp>Price</stp>
        <tr r="Y334" s="57"/>
      </tp>
      <tp t="s">
        <v>無資料</v>
        <stp/>
        <stp>4139</stp>
        <stp>Price</stp>
        <tr r="Y340" s="57"/>
      </tp>
      <tp t="s">
        <v>無資料</v>
        <stp/>
        <stp>4609</stp>
        <stp>Price</stp>
        <tr r="Y238" s="57"/>
      </tp>
      <tp t="s">
        <v>無資料</v>
        <stp/>
        <stp>4729</stp>
        <stp>Price</stp>
        <tr r="Y863" s="57"/>
      </tp>
      <tp t="s">
        <v>無資料</v>
        <stp/>
        <stp>4739</stp>
        <stp>Price</stp>
        <tr r="Y275" s="57"/>
      </tp>
      <tp t="s">
        <v>無資料</v>
        <stp/>
        <stp>4419</stp>
        <stp>Price</stp>
        <tr r="Y119" s="57"/>
      </tp>
      <tp t="s">
        <v>無資料</v>
        <stp/>
        <stp>4429</stp>
        <stp>Price</stp>
        <tr r="Y122" s="57"/>
      </tp>
      <tp t="s">
        <v>無資料</v>
        <stp/>
        <stp>4439</stp>
        <stp>Price</stp>
        <tr r="Y126" s="57"/>
      </tp>
      <tp t="s">
        <v>無資料</v>
        <stp/>
        <stp>4549</stp>
        <stp>Price</stp>
        <tr r="Y194" s="57"/>
      </tp>
      <tp t="s">
        <v>無資料</v>
        <stp/>
        <stp>4529</stp>
        <stp>Price</stp>
        <tr r="Y1322" s="57"/>
      </tp>
      <tp t="s">
        <v>無資料</v>
        <stp/>
        <stp>4979</stp>
        <stp>Price</stp>
        <tr r="Y973" s="57"/>
      </tp>
      <tp t="s">
        <v>無資料</v>
        <stp/>
        <stp>4909</stp>
        <stp>Price</stp>
        <tr r="Y971" s="57"/>
      </tp>
      <tp t="s">
        <v>無資料</v>
        <stp/>
        <stp>4919</stp>
        <stp>Price</stp>
        <tr r="Y600" s="57"/>
      </tp>
      <tp t="s">
        <v>無資料</v>
        <stp/>
        <stp>4939</stp>
        <stp>Price</stp>
        <tr r="Y1125" s="57"/>
      </tp>
      <tp t="s">
        <v>無資料</v>
        <stp/>
        <stp>4989</stp>
        <stp>Price</stp>
        <tr r="Y1129" s="57"/>
      </tp>
      <tp t="s">
        <v>無資料</v>
        <stp/>
        <stp>4999</stp>
        <stp>Price</stp>
        <tr r="Y1130" s="57"/>
      </tp>
      <tp t="s">
        <v>無資料</v>
        <stp/>
        <stp>5269</stp>
        <stp>Price</stp>
        <tr r="Y612" s="57"/>
      </tp>
      <tp t="s">
        <v>無資料</v>
        <stp/>
        <stp>5209</stp>
        <stp>Price</stp>
        <tr r="Y1274" s="57"/>
      </tp>
      <tp t="s">
        <v>無資料</v>
        <stp/>
        <stp>5289</stp>
        <stp>Price</stp>
        <tr r="Y763" s="57"/>
      </tp>
      <tp t="s">
        <v>無資料</v>
        <stp/>
        <stp>5299</stp>
        <stp>Price</stp>
        <tr r="Y616" s="57"/>
      </tp>
      <tp t="s">
        <v>無資料</v>
        <stp/>
        <stp>5309</stp>
        <stp>Price</stp>
        <tr r="Y1133" s="57"/>
      </tp>
      <tp t="s">
        <v>無資料</v>
        <stp/>
        <stp>5009</stp>
        <stp>Price</stp>
        <tr r="Y464" s="57"/>
      </tp>
      <tp t="s">
        <v>無資料</v>
        <stp/>
        <stp>5609</stp>
        <stp>Price</stp>
        <tr r="Y1534" s="57"/>
      </tp>
      <tp t="s">
        <v>無資料</v>
        <stp/>
        <stp>5469</stp>
        <stp>Price</stp>
        <tr r="Y1144" s="57"/>
      </tp>
      <tp t="s">
        <v>無資料</v>
        <stp/>
        <stp>5439</stp>
        <stp>Price</stp>
        <tr r="Y1140" s="57"/>
      </tp>
      <tp t="s">
        <v>無資料</v>
        <stp/>
        <stp>5489</stp>
        <stp>Price</stp>
        <tr r="Y1734" s="57"/>
      </tp>
      <tp t="s">
        <v>無資料</v>
        <stp/>
        <stp>5519</stp>
        <stp>Price</stp>
        <tr r="Y1485" s="57"/>
      </tp>
      <tp t="s">
        <v>無資料</v>
        <stp/>
        <stp>5529</stp>
        <stp>Price</stp>
        <tr r="Y1490" s="57"/>
      </tp>
      <tp t="s">
        <v>無資料</v>
        <stp/>
        <stp>8249</stp>
        <stp>Price</stp>
        <tr r="Y1217" s="57"/>
      </tp>
      <tp t="s">
        <v>無資料</v>
        <stp/>
        <stp>8279</stp>
        <stp>Price</stp>
        <tr r="Y408" s="57"/>
      </tp>
      <tp t="s">
        <v>無資料</v>
        <stp/>
        <stp>8289</stp>
        <stp>Price</stp>
        <tr r="Y1218" s="57"/>
      </tp>
      <tp t="s">
        <v>無資料</v>
        <stp/>
        <stp>8299</stp>
        <stp>Price</stp>
        <tr r="Y2" s="74"/>
        <tr r="Y692" s="57"/>
      </tp>
      <tp t="s">
        <v>無資料</v>
        <stp/>
        <stp>8349</stp>
        <stp>Price</stp>
        <tr r="Y472" s="57"/>
      </tp>
      <tp t="s">
        <v>無資料</v>
        <stp/>
        <stp>8049</stp>
        <stp>Price</stp>
        <tr r="Y914" s="57"/>
      </tp>
      <tp t="s">
        <v>無資料</v>
        <stp/>
        <stp>8059</stp>
        <stp>Price</stp>
        <tr r="Y1006" s="57"/>
      </tp>
      <tp t="s">
        <v>無資料</v>
        <stp/>
        <stp>8069</stp>
        <stp>Price</stp>
        <tr r="Y916" s="57"/>
      </tp>
      <tp t="s">
        <v>無資料</v>
        <stp/>
        <stp>8039</stp>
        <stp>Price</stp>
        <tr r="Y1201" s="57"/>
      </tp>
      <tp t="s">
        <v>無資料</v>
        <stp/>
        <stp>8089</stp>
        <stp>Price</stp>
        <tr r="Y1007" s="57"/>
      </tp>
      <tp t="s">
        <v>無資料</v>
        <stp/>
        <stp>8099</stp>
        <stp>Price</stp>
        <tr r="Y1297" s="57"/>
      </tp>
      <tp t="s">
        <v>無資料</v>
        <stp/>
        <stp>8109</stp>
        <stp>Price</stp>
        <tr r="Y1211" s="57"/>
      </tp>
      <tp t="s">
        <v>無資料</v>
        <stp/>
        <stp>8409</stp>
        <stp>Price</stp>
        <tr r="Y411" s="57"/>
      </tp>
      <tp t="s">
        <v>無資料</v>
        <stp/>
        <stp>8429</stp>
        <stp>Price</stp>
        <tr r="Y1661" s="57"/>
      </tp>
      <tp t="s">
        <v>無資料</v>
        <stp/>
        <stp>8489</stp>
        <stp>Price</stp>
        <tr r="Y1792" s="57"/>
      </tp>
      <tp t="s">
        <v>無資料</v>
        <stp/>
        <stp>8499</stp>
        <stp>Price</stp>
        <tr r="Y1386" s="57"/>
      </tp>
      <tp t="s">
        <v>無資料</v>
        <stp/>
        <stp>8929</stp>
        <stp>Price</stp>
        <tr r="Y1393" s="57"/>
      </tp>
      <tp t="s">
        <v>無資料</v>
        <stp/>
        <stp>9949</stp>
        <stp>Price</stp>
        <tr r="Y1794" s="57"/>
      </tp>
      <tp t="s">
        <v>無資料</v>
        <stp/>
        <stp>9919</stp>
        <stp>Price</stp>
        <tr r="Y38" s="28"/>
        <tr r="Y1410" s="57"/>
        <tr r="Y145" s="22"/>
        <tr r="Y144" s="22"/>
        <tr r="Y25" s="102"/>
        <tr r="Y22" s="102"/>
        <tr r="Y18" s="102"/>
      </tp>
      <tp t="s">
        <v>無資料</v>
        <stp/>
        <stp>9929</stp>
        <stp>Price</stp>
        <tr r="Y1416" s="57"/>
      </tp>
      <tp t="s">
        <v>無資料</v>
        <stp/>
        <stp>9939</stp>
        <stp>Price</stp>
        <tr r="Y1422" s="57"/>
      </tp>
      <tp>
        <v>0</v>
        <stp/>
        <stp>6443</stp>
        <stp>PredictVolume</stp>
        <tr r="AM906" s="57"/>
      </tp>
      <tp>
        <v>0</v>
        <stp/>
        <stp>6593</stp>
        <stp>PredictVolume</stp>
        <tr r="AM1292" s="57"/>
      </tp>
      <tp>
        <v>0</v>
        <stp/>
        <stp>6533</stp>
        <stp>PredictVolume</stp>
        <tr r="AM660" s="57"/>
      </tp>
      <tp>
        <v>0</v>
        <stp/>
        <stp>6523</stp>
        <stp>PredictVolume</stp>
        <tr r="AM12" s="28"/>
        <tr r="AM14" s="28"/>
        <tr r="AM386" s="57"/>
      </tp>
      <tp>
        <v>0</v>
        <stp/>
        <stp>6573</stp>
        <stp>PredictVolume</stp>
        <tr r="AM664" s="57"/>
      </tp>
      <tp>
        <v>0</v>
        <stp/>
        <stp>6683</stp>
        <stp>PredictVolume</stp>
        <tr r="AM670" s="57"/>
      </tp>
      <tp>
        <v>0</v>
        <stp/>
        <stp>6613</stp>
        <stp>PredictVolume</stp>
        <tr r="AM1752" s="57"/>
      </tp>
      <tp>
        <v>0</v>
        <stp/>
        <stp>6603</stp>
        <stp>PredictVolume</stp>
        <tr r="AM212" s="57"/>
      </tp>
      <tp>
        <v>0</v>
        <stp/>
        <stp>6643</stp>
        <stp>PredictVolume</stp>
        <tr r="AM667" s="57"/>
      </tp>
      <tp>
        <v>0</v>
        <stp/>
        <stp>6733</stp>
        <stp>PredictVolume</stp>
        <tr r="AM404" s="57"/>
      </tp>
      <tp>
        <v>0</v>
        <stp/>
        <stp>6703</stp>
        <stp>PredictVolume</stp>
        <tr r="AM402" s="57"/>
      </tp>
      <tp>
        <v>0</v>
        <stp/>
        <stp>6743</stp>
        <stp>PredictVolume</stp>
        <tr r="AM1757" s="57"/>
      </tp>
      <tp>
        <v>0</v>
        <stp/>
        <stp>6023</stp>
        <stp>PredictVolume</stp>
        <tr r="AM1625" s="57"/>
      </tp>
      <tp>
        <v>0</v>
        <stp/>
        <stp>6183</stp>
        <stp>PredictVolume</stp>
        <tr r="AM1284" s="57"/>
      </tp>
      <tp>
        <v>0</v>
        <stp/>
        <stp>6133</stp>
        <stp>PredictVolume</stp>
        <tr r="AM1154" s="57"/>
      </tp>
      <tp>
        <v>0</v>
        <stp/>
        <stp>6123</stp>
        <stp>PredictVolume</stp>
        <tr r="AM773" s="57"/>
      </tp>
      <tp>
        <v>0</v>
        <stp/>
        <stp>6113</stp>
        <stp>PredictVolume</stp>
        <tr r="AM1242" s="57"/>
      </tp>
      <tp>
        <v>0</v>
        <stp/>
        <stp>6103</stp>
        <stp>PredictVolume</stp>
        <tr r="AM627" s="57"/>
      </tp>
      <tp>
        <v>0</v>
        <stp/>
        <stp>6173</stp>
        <stp>PredictVolume</stp>
        <tr r="AM1162" s="57"/>
      </tp>
      <tp>
        <v>0</v>
        <stp/>
        <stp>6163</stp>
        <stp>PredictVolume</stp>
        <tr r="AM982" s="57"/>
      </tp>
      <tp>
        <v>0</v>
        <stp/>
        <stp>6153</stp>
        <stp>PredictVolume</stp>
        <tr r="AM1157" s="57"/>
      </tp>
      <tp>
        <v>0</v>
        <stp/>
        <stp>6143</stp>
        <stp>PredictVolume</stp>
        <tr r="AM980" s="57"/>
      </tp>
      <tp>
        <v>0</v>
        <stp/>
        <stp>6283</stp>
        <stp>PredictVolume</stp>
        <tr r="AM1747" s="57"/>
      </tp>
      <tp>
        <v>0</v>
        <stp/>
        <stp>6233</stp>
        <stp>PredictVolume</stp>
        <tr r="AM637" s="57"/>
      </tp>
      <tp>
        <v>0</v>
        <stp/>
        <stp>6223</stp>
        <stp>PredictVolume</stp>
        <tr r="AM12" s="99"/>
        <tr r="AM46" s="28"/>
        <tr r="AM41" s="98"/>
        <tr r="AM635" s="57"/>
      </tp>
      <tp>
        <v>0</v>
        <stp/>
        <stp>6213</stp>
        <stp>PredictVolume</stp>
        <tr r="AM1175" s="57"/>
      </tp>
      <tp>
        <v>0</v>
        <stp/>
        <stp>6203</stp>
        <stp>PredictVolume</stp>
        <tr r="AM1169" s="57"/>
      </tp>
      <tp>
        <v>0</v>
        <stp/>
        <stp>6263</stp>
        <stp>PredictVolume</stp>
        <tr r="AM989" s="57"/>
      </tp>
      <tp>
        <v>0</v>
        <stp/>
        <stp>6243</stp>
        <stp>PredictVolume</stp>
        <tr r="AM640" s="57"/>
      </tp>
      <tp>
        <v>0</v>
        <stp/>
        <stp>6803</stp>
        <stp>PredictVolume</stp>
        <tr r="AM1354" s="57"/>
      </tp>
      <tp>
        <v>0</v>
        <stp/>
        <stp>4433</stp>
        <stp>PredictVolume</stp>
        <tr r="AM124" s="57"/>
      </tp>
      <tp>
        <v>0</v>
        <stp/>
        <stp>4413</stp>
        <stp>PredictVolume</stp>
        <tr r="AM116" s="57"/>
      </tp>
      <tp>
        <v>0</v>
        <stp/>
        <stp>4533</stp>
        <stp>PredictVolume</stp>
        <tr r="AM188" s="57"/>
      </tp>
      <tp>
        <v>0</v>
        <stp/>
        <stp>4523</stp>
        <stp>PredictVolume</stp>
        <tr r="AM182" s="57"/>
      </tp>
      <tp>
        <v>0</v>
        <stp/>
        <stp>4513</stp>
        <stp>PredictVolume</stp>
        <tr r="AM181" s="57"/>
      </tp>
      <tp>
        <v>0</v>
        <stp/>
        <stp>4503</stp>
        <stp>PredictVolume</stp>
        <tr r="AM178" s="57"/>
      </tp>
      <tp>
        <v>0</v>
        <stp/>
        <stp>4563</stp>
        <stp>PredictVolume</stp>
        <tr r="AM201" s="57"/>
      </tp>
      <tp>
        <v>0</v>
        <stp/>
        <stp>4543</stp>
        <stp>PredictVolume</stp>
        <tr r="AM193" s="57"/>
      </tp>
      <tp>
        <v>0</v>
        <stp/>
        <stp>4763</stp>
        <stp>PredictVolume</stp>
        <tr r="AM279" s="57"/>
      </tp>
      <tp>
        <v>0</v>
        <stp/>
        <stp>4743</stp>
        <stp>PredictVolume</stp>
        <tr r="AM369" s="57"/>
      </tp>
      <tp>
        <v>0</v>
        <stp/>
        <stp>4183</stp>
        <stp>PredictVolume</stp>
        <tr r="AM359" s="57"/>
      </tp>
      <tp>
        <v>0</v>
        <stp/>
        <stp>4133</stp>
        <stp>PredictVolume</stp>
        <tr r="AM337" s="57"/>
      </tp>
      <tp>
        <v>0</v>
        <stp/>
        <stp>4123</stp>
        <stp>PredictVolume</stp>
        <tr r="AM330" s="57"/>
      </tp>
      <tp>
        <v>0</v>
        <stp/>
        <stp>4113</stp>
        <stp>PredictVolume</stp>
        <tr r="AM1472" s="57"/>
      </tp>
      <tp>
        <v>0</v>
        <stp/>
        <stp>4173</stp>
        <stp>PredictVolume</stp>
        <tr r="AM356" s="57"/>
      </tp>
      <tp>
        <v>0</v>
        <stp/>
        <stp>4163</stp>
        <stp>PredictVolume</stp>
        <tr r="AM29" s="28"/>
        <tr r="AM352" s="57"/>
      </tp>
      <tp>
        <v>0</v>
        <stp/>
        <stp>4153</stp>
        <stp>PredictVolume</stp>
        <tr r="AM345" s="57"/>
      </tp>
      <tp>
        <v>0</v>
        <stp/>
        <stp>4303</stp>
        <stp>PredictVolume</stp>
        <tr r="AM64" s="57"/>
      </tp>
      <tp t="s">
        <v>商品錯誤</v>
        <stp/>
        <stp>4803</stp>
        <stp>PredictVolume</stp>
        <tr r="AM1776" s="57"/>
      </tp>
      <tp>
        <v>0</v>
        <stp/>
        <stp>4933</stp>
        <stp>PredictVolume</stp>
        <tr r="AM864" s="57"/>
      </tp>
      <tp>
        <v>0</v>
        <stp/>
        <stp>4903</stp>
        <stp>PredictVolume</stp>
        <tr r="AM967" s="57"/>
      </tp>
      <tp>
        <v>0</v>
        <stp/>
        <stp>4973</stp>
        <stp>PredictVolume</stp>
        <tr r="AM608" s="57"/>
      </tp>
      <tp>
        <v>0</v>
        <stp/>
        <stp>4953</stp>
        <stp>PredictVolume</stp>
        <tr r="AM1269" s="57"/>
      </tp>
      <tp>
        <v>0</v>
        <stp/>
        <stp>4943</stp>
        <stp>PredictVolume</stp>
        <tr r="AM1126" s="57"/>
      </tp>
      <tp>
        <v>0</v>
        <stp/>
        <stp>5493</stp>
        <stp>PredictVolume</stp>
        <tr r="AM1735" s="57"/>
      </tp>
      <tp>
        <v>0</v>
        <stp/>
        <stp>5483</stp>
        <stp>PredictVolume</stp>
        <tr r="AM625" s="57"/>
      </tp>
      <tp>
        <v>0</v>
        <stp/>
        <stp>5403</stp>
        <stp>PredictVolume</stp>
        <tr r="AM1279" s="57"/>
      </tp>
      <tp>
        <v>0</v>
        <stp/>
        <stp>5443</stp>
        <stp>PredictVolume</stp>
        <tr r="AM885" s="57"/>
      </tp>
      <tp>
        <v>0</v>
        <stp/>
        <stp>5533</stp>
        <stp>PredictVolume</stp>
        <tr r="AM1492" s="57"/>
      </tp>
      <tp>
        <v>0</v>
        <stp/>
        <stp>5523</stp>
        <stp>PredictVolume</stp>
        <tr r="AM1488" s="57"/>
      </tp>
      <tp>
        <v>0</v>
        <stp/>
        <stp>5543</stp>
        <stp>PredictVolume</stp>
        <tr r="AM1494" s="57"/>
      </tp>
      <tp>
        <v>0</v>
        <stp/>
        <stp>5603</stp>
        <stp>PredictVolume</stp>
        <tr r="AM1530" s="57"/>
      </tp>
      <tp>
        <v>0</v>
        <stp/>
        <stp>5703</stp>
        <stp>PredictVolume</stp>
        <tr r="AM1575" s="57"/>
      </tp>
      <tp>
        <v>0</v>
        <stp/>
        <stp>5013</stp>
        <stp>PredictVolume</stp>
        <tr r="AM466" s="57"/>
      </tp>
      <tp>
        <v>0</v>
        <stp/>
        <stp>5283</stp>
        <stp>PredictVolume</stp>
        <tr r="AM11" s="98"/>
        <tr r="AM240" s="57"/>
      </tp>
      <tp>
        <v>0</v>
        <stp/>
        <stp>5223</stp>
        <stp>PredictVolume</stp>
        <tr r="AM17" s="28"/>
        <tr r="AM761" s="57"/>
      </tp>
      <tp>
        <v>0</v>
        <stp/>
        <stp>5213</stp>
        <stp>PredictVolume</stp>
        <tr r="AM1476" s="57"/>
      </tp>
      <tp>
        <v>0</v>
        <stp/>
        <stp>5203</stp>
        <stp>PredictVolume</stp>
        <tr r="AM1273" s="57"/>
      </tp>
      <tp>
        <v>0</v>
        <stp/>
        <stp>5263</stp>
        <stp>PredictVolume</stp>
        <tr r="AM1779" s="57"/>
      </tp>
      <tp>
        <v>0</v>
        <stp/>
        <stp>5243</stp>
        <stp>PredictVolume</stp>
        <tr r="AM877" s="57"/>
      </tp>
      <tp>
        <v>0</v>
        <stp/>
        <stp>5383</stp>
        <stp>PredictVolume</stp>
        <tr r="AM1732" s="57"/>
      </tp>
      <tp>
        <v>0</v>
        <stp/>
        <stp>5353</stp>
        <stp>PredictVolume</stp>
        <tr r="AM975" s="57"/>
      </tp>
      <tp>
        <v>0</v>
        <stp/>
        <stp>5903</stp>
        <stp>PredictVolume</stp>
        <tr r="AM1653" s="57"/>
      </tp>
      <tp>
        <v>0</v>
        <stp/>
        <stp>2493</stp>
        <stp>PredictVolume</stp>
        <tr r="AM1052" s="57"/>
      </tp>
      <tp>
        <v>0</v>
        <stp/>
        <stp>2483</stp>
        <stp>PredictVolume</stp>
        <tr r="AM1049" s="57"/>
      </tp>
      <tp>
        <v>0</v>
        <stp/>
        <stp>2433</stp>
        <stp>PredictVolume</stp>
        <tr r="AM1693" s="57"/>
      </tp>
      <tp>
        <v>0</v>
        <stp/>
        <stp>2423</stp>
        <stp>PredictVolume</stp>
        <tr r="AM1692" s="57"/>
      </tp>
      <tp>
        <v>0</v>
        <stp/>
        <stp>2413</stp>
        <stp>PredictVolume</stp>
        <tr r="AM1033" s="57"/>
      </tp>
      <tp>
        <v>0</v>
        <stp/>
        <stp>2453</stp>
        <stp>PredictVolume</stp>
        <tr r="AM1262" s="57"/>
      </tp>
      <tp>
        <v>0</v>
        <stp/>
        <stp>2443</stp>
        <stp>PredictVolume</stp>
        <tr r="AM1313" s="57"/>
      </tp>
      <tp>
        <v>0</v>
        <stp/>
        <stp>2543</stp>
        <stp>PredictVolume</stp>
        <tr r="AM1457" s="57"/>
      </tp>
      <tp>
        <v>0</v>
        <stp/>
        <stp>2633</stp>
        <stp>PredictVolume</stp>
        <tr r="AM1522" s="57"/>
      </tp>
      <tp>
        <v>0</v>
        <stp/>
        <stp>2613</stp>
        <stp>PredictVolume</stp>
        <tr r="AM1517" s="57"/>
      </tp>
      <tp>
        <v>0</v>
        <stp/>
        <stp>2603</stp>
        <stp>PredictVolume</stp>
        <tr r="AM6" s="94"/>
        <tr r="AM4" s="94"/>
        <tr r="AM8" s="94"/>
        <tr r="AM1508" s="57"/>
        <tr r="AM4" s="113"/>
      </tp>
      <tp>
        <v>0</v>
        <stp/>
        <stp>2643</stp>
        <stp>PredictVolume</stp>
        <tr r="AM1528" s="57"/>
      </tp>
      <tp>
        <v>0</v>
        <stp/>
        <stp>2723</stp>
        <stp>PredictVolume</stp>
        <tr r="AM1550" s="57"/>
      </tp>
      <tp>
        <v>0</v>
        <stp/>
        <stp>2753</stp>
        <stp>PredictVolume</stp>
        <tr r="AM1565" s="57"/>
      </tp>
      <tp>
        <v>0</v>
        <stp/>
        <stp>2743</stp>
        <stp>PredictVolume</stp>
        <tr r="AM1561" s="57"/>
      </tp>
      <tp>
        <v>0</v>
        <stp/>
        <stp>2033</stp>
        <stp>PredictVolume</stp>
        <tr r="AM453" s="57"/>
      </tp>
      <tp>
        <v>0</v>
        <stp/>
        <stp>2023</stp>
        <stp>PredictVolume</stp>
        <tr r="AM444" s="57"/>
      </tp>
      <tp>
        <v>0</v>
        <stp/>
        <stp>2013</stp>
        <stp>PredictVolume</stp>
        <tr r="AM438" s="57"/>
      </tp>
      <tp>
        <v>0</v>
        <stp/>
        <stp>2063</stp>
        <stp>PredictVolume</stp>
        <tr r="AM457" s="57"/>
      </tp>
      <tp>
        <v>0</v>
        <stp/>
        <stp>2103</stp>
        <stp>PredictVolume</stp>
        <tr r="AM481" s="57"/>
      </tp>
      <tp>
        <v>0</v>
        <stp/>
        <stp>2233</stp>
        <stp>PredictVolume</stp>
        <tr r="AM514" s="57"/>
      </tp>
      <tp>
        <v>0</v>
        <stp/>
        <stp>2243</stp>
        <stp>PredictVolume</stp>
        <tr r="AM517" s="57"/>
      </tp>
      <tp>
        <v>0</v>
        <stp/>
        <stp>2393</stp>
        <stp>PredictVolume</stp>
        <tr r="AM809" s="57"/>
      </tp>
      <tp>
        <v>0</v>
        <stp/>
        <stp>2383</stp>
        <stp>PredictVolume</stp>
        <tr r="AM1029" s="57"/>
      </tp>
      <tp>
        <v>0</v>
        <stp/>
        <stp>2323</stp>
        <stp>PredictVolume</stp>
        <tr r="AM805" s="57"/>
      </tp>
      <tp>
        <v>0</v>
        <stp/>
        <stp>2313</stp>
        <stp>PredictVolume</stp>
        <tr r="AM1021" s="57"/>
      </tp>
      <tp>
        <v>0</v>
        <stp/>
        <stp>2303</stp>
        <stp>PredictVolume</stp>
        <tr r="AM530" s="57"/>
      </tp>
      <tp>
        <v>0</v>
        <stp/>
        <stp>2373</stp>
        <stp>PredictVolume</stp>
        <tr r="AM1689" s="57"/>
      </tp>
      <tp>
        <v>0</v>
        <stp/>
        <stp>2363</stp>
        <stp>PredictVolume</stp>
        <tr r="AM538" s="57"/>
      </tp>
      <tp>
        <v>0</v>
        <stp/>
        <stp>2353</stp>
        <stp>PredictVolume</stp>
        <tr r="AM701" s="57"/>
      </tp>
      <tp>
        <v>0</v>
        <stp/>
        <stp>2883</stp>
        <stp>PredictVolume</stp>
        <tr r="AM1604" s="57"/>
      </tp>
      <tp t="s">
        <v>商品錯誤</v>
        <stp/>
        <stp>2823</stp>
        <stp>PredictVolume</stp>
        <tr r="AM1589" s="57"/>
      </tp>
      <tp>
        <v>0</v>
        <stp/>
        <stp>2923</stp>
        <stp>PredictVolume</stp>
        <tr r="AM1465" s="57"/>
      </tp>
      <tp>
        <v>0</v>
        <stp/>
        <stp>2913</stp>
        <stp>PredictVolume</stp>
        <tr r="AM1641" s="57"/>
      </tp>
      <tp>
        <v>0</v>
        <stp/>
        <stp>2903</stp>
        <stp>PredictVolume</stp>
        <tr r="AM1634" s="57"/>
      </tp>
      <tp>
        <v>0</v>
        <stp/>
        <stp>3483</stp>
        <stp>PredictVolume</stp>
        <tr r="AM740" s="57"/>
        <tr r="AM15" s="99"/>
        <tr r="AM52" s="28"/>
      </tp>
      <tp>
        <v>0</v>
        <stp/>
        <stp>3413</stp>
        <stp>PredictVolume</stp>
        <tr r="AM578" s="57"/>
      </tp>
      <tp>
        <v>0</v>
        <stp/>
        <stp>3443</stp>
        <stp>PredictVolume</stp>
        <tr r="AM580" s="57"/>
      </tp>
      <tp>
        <v>0</v>
        <stp/>
        <stp>3593</stp>
        <stp>PredictVolume</stp>
        <tr r="AM1107" s="57"/>
      </tp>
      <tp>
        <v>0</v>
        <stp/>
        <stp>3583</stp>
        <stp>PredictVolume</stp>
        <tr r="AM591" s="57"/>
      </tp>
      <tp>
        <v>0</v>
        <stp/>
        <stp>3533</stp>
        <stp>PredictVolume</stp>
        <tr r="AM1103" s="57"/>
      </tp>
      <tp>
        <v>0</v>
        <stp/>
        <stp>3563</stp>
        <stp>PredictVolume</stp>
        <tr r="AM849" s="57"/>
      </tp>
      <tp>
        <v>0</v>
        <stp/>
        <stp>3543</stp>
        <stp>PredictVolume</stp>
        <tr r="AM848" s="57"/>
      </tp>
      <tp>
        <v>0</v>
        <stp/>
        <stp>3693</stp>
        <stp>PredictVolume</stp>
        <tr r="AM750" s="57"/>
      </tp>
      <tp>
        <v>0</v>
        <stp/>
        <stp>3623</stp>
        <stp>PredictVolume</stp>
        <tr r="AM854" s="57"/>
      </tp>
      <tp>
        <v>0</v>
        <stp/>
        <stp>3673</stp>
        <stp>PredictVolume</stp>
        <tr r="AM858" s="57"/>
      </tp>
      <tp>
        <v>0</v>
        <stp/>
        <stp>3663</stp>
        <stp>PredictVolume</stp>
        <tr r="AM1726" s="57"/>
      </tp>
      <tp>
        <v>0</v>
        <stp/>
        <stp>3653</stp>
        <stp>PredictVolume</stp>
        <tr r="AM1116" s="57"/>
      </tp>
      <tp>
        <v>0</v>
        <stp/>
        <stp>3713</stp>
        <stp>PredictVolume</stp>
        <tr r="AM32" s="28"/>
        <tr r="AM861" s="57"/>
      </tp>
      <tp>
        <v>0</v>
        <stp/>
        <stp>3703</stp>
        <stp>PredictVolume</stp>
        <tr r="AM1471" s="57"/>
      </tp>
      <tp>
        <v>0</v>
        <stp/>
        <stp>3093</stp>
        <stp>PredictVolume</stp>
        <tr r="AM1705" s="57"/>
      </tp>
      <tp>
        <v>0</v>
        <stp/>
        <stp>3083</stp>
        <stp>PredictVolume</stp>
        <tr r="AM1771" s="57"/>
      </tp>
      <tp>
        <v>0</v>
        <stp/>
        <stp>3033</stp>
        <stp>PredictVolume</stp>
        <tr r="AM1229" s="57"/>
      </tp>
      <tp>
        <v>0</v>
        <stp/>
        <stp>3023</stp>
        <stp>PredictVolume</stp>
        <tr r="AM1057" s="57"/>
      </tp>
      <tp>
        <v>0</v>
        <stp/>
        <stp>3013</stp>
        <stp>PredictVolume</stp>
        <tr r="AM723" s="57"/>
      </tp>
      <tp>
        <v>0</v>
        <stp/>
        <stp>3003</stp>
        <stp>PredictVolume</stp>
        <tr r="AM1053" s="57"/>
      </tp>
      <tp>
        <v>0</v>
        <stp/>
        <stp>3073</stp>
        <stp>PredictVolume</stp>
        <tr r="AM559" s="57"/>
      </tp>
      <tp>
        <v>0</v>
        <stp/>
        <stp>3043</stp>
        <stp>PredictVolume</stp>
        <tr r="AM1703" s="57"/>
      </tp>
      <tp>
        <v>0</v>
        <stp/>
        <stp>3163</stp>
        <stp>PredictVolume</stp>
        <tr r="AM946" s="57"/>
      </tp>
      <tp>
        <v>0</v>
        <stp/>
        <stp>3293</stp>
        <stp>PredictVolume</stp>
        <tr r="AM1773" s="57"/>
      </tp>
      <tp>
        <v>0</v>
        <stp/>
        <stp>3213</stp>
        <stp>PredictVolume</stp>
        <tr r="AM732" s="57"/>
      </tp>
      <tp>
        <v>0</v>
        <stp/>
        <stp>3383</stp>
        <stp>PredictVolume</stp>
        <tr r="AM835" s="57"/>
      </tp>
      <tp>
        <v>0</v>
        <stp/>
        <stp>3323</stp>
        <stp>PredictVolume</stp>
        <tr r="AM736" s="57"/>
      </tp>
      <tp>
        <v>0</v>
        <stp/>
        <stp>3313</stp>
        <stp>PredictVolume</stp>
        <tr r="AM1084" s="57"/>
      </tp>
      <tp>
        <v>0</v>
        <stp/>
        <stp>3303</stp>
        <stp>PredictVolume</stp>
        <tr r="AM1709" s="57"/>
      </tp>
      <tp>
        <v>0</v>
        <stp/>
        <stp>3373</stp>
        <stp>PredictVolume</stp>
        <tr r="AM1712" s="57"/>
      </tp>
      <tp>
        <v>0</v>
        <stp/>
        <stp>3363</stp>
        <stp>PredictVolume</stp>
        <tr r="AM951" s="57"/>
      </tp>
      <tp>
        <v>0</v>
        <stp/>
        <stp>1423</stp>
        <stp>PredictVolume</stp>
        <tr r="AM80" s="57"/>
      </tp>
      <tp>
        <v>0</v>
        <stp/>
        <stp>1413</stp>
        <stp>PredictVolume</stp>
        <tr r="AM75" s="57"/>
      </tp>
      <tp>
        <v>0</v>
        <stp/>
        <stp>1473</stp>
        <stp>PredictVolume</stp>
        <tr r="AM108" s="57"/>
      </tp>
      <tp>
        <v>0</v>
        <stp/>
        <stp>1463</stp>
        <stp>PredictVolume</stp>
        <tr r="AM100" s="57"/>
      </tp>
      <tp>
        <v>0</v>
        <stp/>
        <stp>1453</stp>
        <stp>PredictVolume</stp>
        <tr r="AM93" s="57"/>
      </tp>
      <tp>
        <v>0</v>
        <stp/>
        <stp>1443</stp>
        <stp>PredictVolume</stp>
        <tr r="AM85" s="57"/>
      </tp>
      <tp>
        <v>0</v>
        <stp/>
        <stp>1593</stp>
        <stp>PredictVolume</stp>
        <tr r="AM289" s="57"/>
      </tp>
      <tp>
        <v>0</v>
        <stp/>
        <stp>1583</stp>
        <stp>PredictVolume</stp>
        <tr r="AM156" s="57"/>
      </tp>
      <tp>
        <v>0</v>
        <stp/>
        <stp>1533</stp>
        <stp>PredictVolume</stp>
        <tr r="AM501" s="57"/>
      </tp>
      <tp>
        <v>0</v>
        <stp/>
        <stp>1513</stp>
        <stp>PredictVolume</stp>
        <tr r="AM134" s="57"/>
      </tp>
      <tp>
        <v>0</v>
        <stp/>
        <stp>1503</stp>
        <stp>PredictVolume</stp>
        <tr r="AM130" s="57"/>
      </tp>
      <tp>
        <v>0</v>
        <stp/>
        <stp>1603</stp>
        <stp>PredictVolume</stp>
        <tr r="AM224" s="57"/>
      </tp>
      <tp>
        <v>0</v>
        <stp/>
        <stp>1783</stp>
        <stp>PredictVolume</stp>
        <tr r="AM303" s="57"/>
      </tp>
      <tp>
        <v>0</v>
        <stp/>
        <stp>1733</stp>
        <stp>PredictVolume</stp>
        <tr r="AM295" s="57"/>
      </tp>
      <tp>
        <v>0</v>
        <stp/>
        <stp>1723</stp>
        <stp>PredictVolume</stp>
        <tr r="AM254" s="57"/>
      </tp>
      <tp>
        <v>0</v>
        <stp/>
        <stp>1713</stp>
        <stp>PredictVolume</stp>
        <tr r="AM248" s="57"/>
      </tp>
      <tp>
        <v>0</v>
        <stp/>
        <stp>1773</stp>
        <stp>PredictVolume</stp>
        <tr r="AM263" s="57"/>
      </tp>
      <tp>
        <v>0</v>
        <stp/>
        <stp>1103</stp>
        <stp>PredictVolume</stp>
        <tr r="AM7" s="57"/>
      </tp>
      <tp>
        <v>0</v>
        <stp/>
        <stp>1233</stp>
        <stp>PredictVolume</stp>
        <tr r="AM29" s="57"/>
      </tp>
      <tp>
        <v>0</v>
        <stp/>
        <stp>1213</stp>
        <stp>PredictVolume</stp>
        <tr r="AM17" s="57"/>
      </tp>
      <tp>
        <v>0</v>
        <stp/>
        <stp>1203</stp>
        <stp>PredictVolume</stp>
        <tr r="AM15" s="57"/>
      </tp>
      <tp>
        <v>0</v>
        <stp/>
        <stp>1323</stp>
        <stp>PredictVolume</stp>
        <tr r="AM57" s="57"/>
      </tp>
      <tp>
        <v>0</v>
        <stp/>
        <stp>1313</stp>
        <stp>PredictVolume</stp>
        <tr r="AM53" s="57"/>
      </tp>
      <tp>
        <v>0</v>
        <stp/>
        <stp>1303</stp>
        <stp>PredictVolume</stp>
        <tr r="AM45" s="57"/>
      </tp>
      <tp>
        <v>0</v>
        <stp/>
        <stp>1813</stp>
        <stp>PredictVolume</stp>
        <tr r="AM310" s="57"/>
      </tp>
      <tp>
        <v>0</v>
        <stp/>
        <stp>1903</stp>
        <stp>PredictVolume</stp>
        <tr r="AM423" s="57"/>
      </tp>
      <tp>
        <v>0</v>
        <stp/>
        <stp>8433</stp>
        <stp>PredictVolume</stp>
        <tr r="AM1662" s="57"/>
      </tp>
      <tp>
        <v>0</v>
        <stp/>
        <stp>8423</stp>
        <stp>PredictVolume</stp>
        <tr r="AM1367" s="57"/>
      </tp>
      <tp>
        <v>0</v>
        <stp/>
        <stp>8403</stp>
        <stp>PredictVolume</stp>
        <tr r="AM409" s="57"/>
      </tp>
      <tp>
        <v>0</v>
        <stp/>
        <stp>8473</stp>
        <stp>PredictVolume</stp>
        <tr r="AM1379" s="57"/>
      </tp>
      <tp>
        <v>0</v>
        <stp/>
        <stp>8463</stp>
        <stp>PredictVolume</stp>
        <tr r="AM1375" s="57"/>
      </tp>
      <tp>
        <v>0</v>
        <stp/>
        <stp>8443</stp>
        <stp>PredictVolume</stp>
        <tr r="AM1663" s="57"/>
      </tp>
      <tp>
        <v>0</v>
        <stp/>
        <stp>8093</stp>
        <stp>PredictVolume</stp>
        <tr r="AM1209" s="57"/>
      </tp>
      <tp>
        <v>0</v>
        <stp/>
        <stp>8083</stp>
        <stp>PredictVolume</stp>
        <tr r="AM215" s="57"/>
      </tp>
      <tp>
        <v>0</v>
        <stp/>
        <stp>8033</stp>
        <stp>PredictVolume</stp>
        <tr r="AM1356" s="57"/>
      </tp>
      <tp>
        <v>0</v>
        <stp/>
        <stp>8043</stp>
        <stp>PredictVolume</stp>
        <tr r="AM1203" s="57"/>
      </tp>
      <tp>
        <v>0</v>
        <stp/>
        <stp>8183</stp>
        <stp>PredictVolume</stp>
        <tr r="AM1762" s="57"/>
      </tp>
      <tp>
        <v>0</v>
        <stp/>
        <stp>8103</stp>
        <stp>PredictVolume</stp>
        <tr r="AM1210" s="57"/>
      </tp>
      <tp>
        <v>0</v>
        <stp/>
        <stp>8163</stp>
        <stp>PredictVolume</stp>
        <tr r="AM798" s="57"/>
      </tp>
      <tp>
        <v>0</v>
        <stp/>
        <stp>8213</stp>
        <stp>PredictVolume</stp>
        <tr r="AM1216" s="57"/>
      </tp>
      <tp>
        <v>0</v>
        <stp/>
        <stp>8383</stp>
        <stp>PredictVolume</stp>
        <tr r="AM1764" s="57"/>
      </tp>
      <tp>
        <v>0</v>
        <stp/>
        <stp>8933</stp>
        <stp>PredictVolume</stp>
        <tr r="AM1395" s="57"/>
      </tp>
      <tp>
        <v>0</v>
        <stp/>
        <stp>8923</stp>
        <stp>PredictVolume</stp>
        <tr r="AM1793" s="57"/>
      </tp>
      <tp>
        <v>0</v>
        <stp/>
        <stp>9933</stp>
        <stp>PredictVolume</stp>
        <tr r="AM1418" s="57"/>
      </tp>
      <tp>
        <v>0</v>
        <stp/>
        <stp>9943</stp>
        <stp>PredictVolume</stp>
        <tr r="AM1581" s="57"/>
      </tp>
      <tp>
        <v>0</v>
        <stp/>
        <stp>2061</stp>
        <stp>CumulativeVolume</stp>
        <tr r="AN237" s="57"/>
      </tp>
      <tp>
        <v>0</v>
        <stp/>
        <stp>2461</stp>
        <stp>CumulativeVolume</stp>
        <tr r="AN8" s="115"/>
        <tr r="AN1694" s="57"/>
      </tp>
      <tp>
        <v>0</v>
        <stp/>
        <stp>3661</stp>
        <stp>CumulativeVolume</stp>
        <tr r="AN26" s="107"/>
        <tr r="AN594" s="57"/>
      </tp>
      <tp>
        <v>0</v>
        <stp/>
        <stp>6261</stp>
        <stp>CumulativeVolume</stp>
        <tr r="AN642" s="57"/>
      </tp>
      <tp>
        <v>0</v>
        <stp/>
        <stp>6161</stp>
        <stp>CumulativeVolume</stp>
        <tr r="AN777" s="57"/>
      </tp>
      <tp>
        <v>0</v>
        <stp/>
        <stp>6661</stp>
        <stp>CumulativeVolume</stp>
        <tr r="AN399" s="57"/>
      </tp>
      <tp>
        <v>0</v>
        <stp/>
        <stp>6761</stp>
        <stp>CumulativeVolume</stp>
        <tr r="AN1198" s="57"/>
        <tr r="AN4" s="108"/>
      </tp>
      <tp>
        <v>0</v>
        <stp/>
        <stp>6461</stp>
        <stp>CumulativeVolume</stp>
        <tr r="AN379" s="57"/>
      </tp>
      <tp>
        <v>0</v>
        <stp/>
        <stp>6561</stp>
        <stp>CumulativeVolume</stp>
        <tr r="AN999" s="57"/>
      </tp>
      <tp>
        <v>0</v>
        <stp/>
        <stp>4161</stp>
        <stp>CumulativeVolume</stp>
        <tr r="AN350" s="57"/>
      </tp>
      <tp>
        <v>0</v>
        <stp/>
        <stp>4561</stp>
        <stp>CumulativeVolume</stp>
        <tr r="AN199" s="57"/>
      </tp>
      <tp>
        <v>0</v>
        <stp/>
        <stp>4961</stp>
        <stp>CumulativeVolume</stp>
        <tr r="AN603" s="57"/>
      </tp>
      <tp>
        <v>0</v>
        <stp/>
        <stp>8261</stp>
        <stp>CumulativeVolume</stp>
        <tr r="AN689" s="57"/>
      </tp>
      <tp>
        <v>0</v>
        <stp/>
        <stp>2360</stp>
        <stp>CumulativeVolume</stp>
        <tr r="AN1688" s="57"/>
      </tp>
      <tp>
        <v>0</v>
        <stp/>
        <stp>2460</stp>
        <stp>CumulativeVolume</stp>
        <tr r="AN1043" s="57"/>
      </tp>
      <tp>
        <v>0</v>
        <stp/>
        <stp>3260</stp>
        <stp>CumulativeVolume</stp>
        <tr r="AN571" s="57"/>
      </tp>
      <tp>
        <v>0</v>
        <stp/>
        <stp>3360</stp>
        <stp>CumulativeVolume</stp>
        <tr r="AN1237" s="57"/>
      </tp>
      <tp>
        <v>0</v>
        <stp/>
        <stp>3060</stp>
        <stp>CumulativeVolume</stp>
        <tr r="AN728" s="57"/>
      </tp>
      <tp>
        <v>0</v>
        <stp/>
        <stp>1760</stp>
        <stp>CumulativeVolume</stp>
        <tr r="AN299" s="57"/>
      </tp>
      <tp>
        <v>0</v>
        <stp/>
        <stp>1460</stp>
        <stp>CumulativeVolume</stp>
        <tr r="AN99" s="57"/>
      </tp>
      <tp>
        <v>0</v>
        <stp/>
        <stp>1560</stp>
        <stp>CumulativeVolume</stp>
        <tr r="AN153" s="57"/>
      </tp>
      <tp>
        <v>0</v>
        <stp/>
        <stp>6160</stp>
        <stp>CumulativeVolume</stp>
        <tr r="AN776" s="57"/>
      </tp>
      <tp>
        <v>0</v>
        <stp/>
        <stp>6560</stp>
        <stp>CumulativeVolume</stp>
        <tr r="AN910" s="57"/>
      </tp>
      <tp>
        <v>0</v>
        <stp/>
        <stp>4160</stp>
        <stp>CumulativeVolume</stp>
        <tr r="AN349" s="57"/>
      </tp>
      <tp>
        <v>0</v>
        <stp/>
        <stp>4760</stp>
        <stp>CumulativeVolume</stp>
        <tr r="AN1729" s="57"/>
      </tp>
      <tp>
        <v>0</v>
        <stp/>
        <stp>4560</stp>
        <stp>CumulativeVolume</stp>
        <tr r="AN198" s="57"/>
      </tp>
      <tp>
        <v>0</v>
        <stp/>
        <stp>4960</stp>
        <stp>CumulativeVolume</stp>
        <tr r="AN870" s="57"/>
      </tp>
      <tp>
        <v>0</v>
        <stp/>
        <stp>5460</stp>
        <stp>CumulativeVolume</stp>
        <tr r="AN1142" s="57"/>
      </tp>
      <tp>
        <v>0</v>
        <stp/>
        <stp>9960</stp>
        <stp>CumulativeVolume</stp>
        <tr r="AN1666" s="57"/>
      </tp>
      <tp>
        <v>0</v>
        <stp/>
        <stp>2363</stp>
        <stp>CumulativeVolume</stp>
        <tr r="AN538" s="57"/>
      </tp>
      <tp>
        <v>0</v>
        <stp/>
        <stp>2063</stp>
        <stp>CumulativeVolume</stp>
        <tr r="AN457" s="57"/>
      </tp>
      <tp>
        <v>0</v>
        <stp/>
        <stp>3363</stp>
        <stp>CumulativeVolume</stp>
        <tr r="AN951" s="57"/>
      </tp>
      <tp>
        <v>0</v>
        <stp/>
        <stp>3163</stp>
        <stp>CumulativeVolume</stp>
        <tr r="AN946" s="57"/>
      </tp>
      <tp>
        <v>0</v>
        <stp/>
        <stp>3663</stp>
        <stp>CumulativeVolume</stp>
        <tr r="AN1726" s="57"/>
      </tp>
      <tp>
        <v>0</v>
        <stp/>
        <stp>3563</stp>
        <stp>CumulativeVolume</stp>
        <tr r="AN849" s="57"/>
      </tp>
      <tp>
        <v>0</v>
        <stp/>
        <stp>1463</stp>
        <stp>CumulativeVolume</stp>
        <tr r="AN100" s="57"/>
      </tp>
      <tp>
        <v>0</v>
        <stp/>
        <stp>6263</stp>
        <stp>CumulativeVolume</stp>
        <tr r="AN989" s="57"/>
      </tp>
      <tp>
        <v>0</v>
        <stp/>
        <stp>6163</stp>
        <stp>CumulativeVolume</stp>
        <tr r="AN982" s="57"/>
      </tp>
      <tp>
        <v>0</v>
        <stp/>
        <stp>4163</stp>
        <stp>CumulativeVolume</stp>
        <tr r="AN29" s="28"/>
        <tr r="AN352" s="57"/>
      </tp>
      <tp>
        <v>0</v>
        <stp/>
        <stp>4763</stp>
        <stp>CumulativeVolume</stp>
        <tr r="AN279" s="57"/>
      </tp>
      <tp>
        <v>0</v>
        <stp/>
        <stp>4563</stp>
        <stp>CumulativeVolume</stp>
        <tr r="AN201" s="57"/>
      </tp>
      <tp>
        <v>0</v>
        <stp/>
        <stp>5263</stp>
        <stp>CumulativeVolume</stp>
        <tr r="AN1779" s="57"/>
      </tp>
      <tp>
        <v>0</v>
        <stp/>
        <stp>8163</stp>
        <stp>CumulativeVolume</stp>
        <tr r="AN798" s="57"/>
      </tp>
      <tp>
        <v>0</v>
        <stp/>
        <stp>8463</stp>
        <stp>CumulativeVolume</stp>
        <tr r="AN1375" s="57"/>
      </tp>
      <tp>
        <v>0</v>
        <stp/>
        <stp>2362</stp>
        <stp>CumulativeVolume</stp>
        <tr r="AN704" s="57"/>
      </tp>
      <tp>
        <v>0</v>
        <stp/>
        <stp>2062</stp>
        <stp>CumulativeVolume</stp>
        <tr r="AN1309" s="57"/>
      </tp>
      <tp>
        <v>0</v>
        <stp/>
        <stp>2462</stp>
        <stp>CumulativeVolume</stp>
        <tr r="AN1044" s="57"/>
      </tp>
      <tp>
        <v>0</v>
        <stp/>
        <stp>3362</stp>
        <stp>CumulativeVolume</stp>
        <tr r="AN834" s="57"/>
      </tp>
      <tp>
        <v>0</v>
        <stp/>
        <stp>3062</stp>
        <stp>CumulativeVolume</stp>
        <tr r="AN941" s="57"/>
      </tp>
      <tp>
        <v>0</v>
        <stp/>
        <stp>3162</stp>
        <stp>CumulativeVolume</stp>
        <tr r="AN171" s="57"/>
        <tr r="AN27" s="28"/>
      </tp>
      <tp>
        <v>0</v>
        <stp/>
        <stp>1762</stp>
        <stp>CumulativeVolume</stp>
        <tr r="AN300" s="57"/>
      </tp>
      <tp>
        <v>0</v>
        <stp/>
        <stp>6662</stp>
        <stp>CumulativeVolume</stp>
        <tr r="AN400" s="57"/>
      </tp>
      <tp>
        <v>0</v>
        <stp/>
        <stp>6762</stp>
        <stp>CumulativeVolume</stp>
        <tr r="AN406" s="57"/>
      </tp>
      <tp>
        <v>0</v>
        <stp/>
        <stp>6462</stp>
        <stp>CumulativeVolume</stp>
        <tr r="AN3" s="107"/>
        <tr r="AN651" s="57"/>
      </tp>
      <tp>
        <v>0</v>
        <stp/>
        <stp>4162</stp>
        <stp>CumulativeVolume</stp>
        <tr r="AN19" s="28"/>
        <tr r="AN351" s="57"/>
      </tp>
      <tp>
        <v>0</v>
        <stp/>
        <stp>4562</stp>
        <stp>CumulativeVolume</stp>
        <tr r="AN200" s="57"/>
      </tp>
      <tp>
        <v>0</v>
        <stp/>
        <stp>8462</stp>
        <stp>CumulativeVolume</stp>
        <tr r="AN1579" s="57"/>
      </tp>
      <tp>
        <v>0</v>
        <stp/>
        <stp>9962</stp>
        <stp>CumulativeVolume</stp>
        <tr r="AN476" s="57"/>
      </tp>
      <tp>
        <v>0</v>
        <stp/>
        <stp>2365</stp>
        <stp>CumulativeVolume</stp>
        <tr r="AN706" s="57"/>
      </tp>
      <tp>
        <v>0</v>
        <stp/>
        <stp>2065</stp>
        <stp>CumulativeVolume</stp>
        <tr r="AN459" s="57"/>
      </tp>
      <tp>
        <v>0</v>
        <stp/>
        <stp>2465</stp>
        <stp>CumulativeVolume</stp>
        <tr r="AN720" s="57"/>
      </tp>
      <tp>
        <v>0</v>
        <stp/>
        <stp>3265</stp>
        <stp>CumulativeVolume</stp>
        <tr r="AN25" s="28"/>
        <tr r="AN573" s="57"/>
      </tp>
      <tp>
        <v>0</v>
        <stp/>
        <stp>3665</stp>
        <stp>CumulativeVolume</stp>
        <tr r="AN6" s="107"/>
        <tr r="AN1727" s="57"/>
      </tp>
      <tp>
        <v>0</v>
        <stp/>
        <stp>3465</stp>
        <stp>CumulativeVolume</stp>
        <tr r="AN1095" s="57"/>
      </tp>
      <tp>
        <v>0</v>
        <stp/>
        <stp>1465</stp>
        <stp>CumulativeVolume</stp>
        <tr r="AN102" s="57"/>
      </tp>
      <tp>
        <v>0</v>
        <stp/>
        <stp>1565</stp>
        <stp>CumulativeVolume</stp>
        <tr r="AN288" s="57"/>
      </tp>
      <tp>
        <v>0</v>
        <stp/>
        <stp>6265</stp>
        <stp>CumulativeVolume</stp>
        <tr r="AN1247" s="57"/>
      </tp>
      <tp>
        <v>0</v>
        <stp/>
        <stp>6165</stp>
        <stp>CumulativeVolume</stp>
        <tr r="AN1161" s="57"/>
      </tp>
      <tp>
        <v>0</v>
        <stp/>
        <stp>5465</stp>
        <stp>CumulativeVolume</stp>
        <tr r="AN768" s="57"/>
      </tp>
      <tp>
        <v>0</v>
        <stp/>
        <stp>2364</stp>
        <stp>CumulativeVolume</stp>
        <tr r="AN705" s="57"/>
      </tp>
      <tp>
        <v>0</v>
        <stp/>
        <stp>2064</stp>
        <stp>CumulativeVolume</stp>
        <tr r="AN458" s="57"/>
      </tp>
      <tp>
        <v>0</v>
        <stp/>
        <stp>2464</stp>
        <stp>CumulativeVolume</stp>
        <tr r="AN1695" s="57"/>
      </tp>
      <tp>
        <v>0</v>
        <stp/>
        <stp>3264</stp>
        <stp>CumulativeVolume</stp>
        <tr r="AN572" s="57"/>
      </tp>
      <tp>
        <v>0</v>
        <stp/>
        <stp>3064</stp>
        <stp>CumulativeVolume</stp>
        <tr r="AN1770" s="57"/>
      </tp>
      <tp>
        <v>0</v>
        <stp/>
        <stp>3164</stp>
        <stp>CumulativeVolume</stp>
        <tr r="AN312" s="57"/>
      </tp>
      <tp>
        <v>0</v>
        <stp/>
        <stp>3664</stp>
        <stp>CumulativeVolume</stp>
        <tr r="AN961" s="57"/>
      </tp>
      <tp>
        <v>0</v>
        <stp/>
        <stp>3564</stp>
        <stp>CumulativeVolume</stp>
        <tr r="AN958" s="57"/>
      </tp>
      <tp>
        <v>0</v>
        <stp/>
        <stp>1264</stp>
        <stp>CumulativeVolume</stp>
        <tr r="AN35" s="57"/>
      </tp>
      <tp>
        <v>0</v>
        <stp/>
        <stp>1464</stp>
        <stp>CumulativeVolume</stp>
        <tr r="AN101" s="57"/>
      </tp>
      <tp>
        <v>0</v>
        <stp/>
        <stp>6264</stp>
        <stp>CumulativeVolume</stp>
        <tr r="AN1501" s="57"/>
      </tp>
      <tp>
        <v>0</v>
        <stp/>
        <stp>6164</stp>
        <stp>CumulativeVolume</stp>
        <tr r="AN15" s="115"/>
        <tr r="AN890" s="57"/>
      </tp>
      <tp>
        <v>0</v>
        <stp/>
        <stp>6664</stp>
        <stp>CumulativeVolume</stp>
        <tr r="AN54" s="28"/>
        <tr r="AN1195" s="57"/>
        <tr r="AN11" s="74"/>
      </tp>
      <tp>
        <v>0</v>
        <stp/>
        <stp>6464</stp>
        <stp>CumulativeVolume</stp>
        <tr r="AN1339" s="57"/>
      </tp>
      <tp>
        <v>0</v>
        <stp/>
        <stp>4164</stp>
        <stp>CumulativeVolume</stp>
        <tr r="AN353" s="57"/>
      </tp>
      <tp>
        <v>0</v>
        <stp/>
        <stp>4764</stp>
        <stp>CumulativeVolume</stp>
        <tr r="AN280" s="57"/>
      </tp>
      <tp>
        <v>0</v>
        <stp/>
        <stp>4564</stp>
        <stp>CumulativeVolume</stp>
        <tr r="AN202" s="57"/>
      </tp>
      <tp>
        <v>0</v>
        <stp/>
        <stp>5364</stp>
        <stp>CumulativeVolume</stp>
        <tr r="AN1573" s="57"/>
      </tp>
      <tp>
        <v>0</v>
        <stp/>
        <stp>5464</stp>
        <stp>CumulativeVolume</stp>
        <tr r="AN1143" s="57"/>
      </tp>
      <tp>
        <v>0</v>
        <stp/>
        <stp>5864</stp>
        <stp>CumulativeVolume</stp>
        <tr r="AN1616" s="57"/>
      </tp>
      <tp>
        <v>0</v>
        <stp/>
        <stp>8064</stp>
        <stp>CumulativeVolume</stp>
        <tr r="AN915" s="57"/>
      </tp>
      <tp>
        <v>0</v>
        <stp/>
        <stp>8464</stp>
        <stp>CumulativeVolume</stp>
        <tr r="AN1376" s="57"/>
      </tp>
      <tp>
        <v>0</v>
        <stp/>
        <stp>2367</stp>
        <stp>CumulativeVolume</stp>
        <tr r="AN1026" s="57"/>
      </tp>
      <tp>
        <v>0</v>
        <stp/>
        <stp>2067</stp>
        <stp>CumulativeVolume</stp>
        <tr r="AN165" s="57"/>
      </tp>
      <tp>
        <v>0</v>
        <stp/>
        <stp>2467</stp>
        <stp>CumulativeVolume</stp>
        <tr r="AN1045" s="57"/>
      </tp>
      <tp>
        <v>0</v>
        <stp/>
        <stp>2867</stp>
        <stp>CumulativeVolume</stp>
        <tr r="AN1600" s="57"/>
      </tp>
      <tp>
        <v>0</v>
        <stp/>
        <stp>3067</stp>
        <stp>CumulativeVolume</stp>
        <tr r="AN1704" s="57"/>
      </tp>
      <tp>
        <v>0</v>
        <stp/>
        <stp>3167</stp>
        <stp>CumulativeVolume</stp>
        <tr r="AN13" s="98"/>
        <tr r="AN172" s="57"/>
      </tp>
      <tp>
        <v>0</v>
        <stp/>
        <stp>3567</stp>
        <stp>CumulativeVolume</stp>
        <tr r="AN589" s="57"/>
      </tp>
      <tp>
        <v>0</v>
        <stp/>
        <stp>1467</stp>
        <stp>CumulativeVolume</stp>
        <tr r="AN104" s="57"/>
      </tp>
      <tp>
        <v>0</v>
        <stp/>
        <stp>6167</stp>
        <stp>CumulativeVolume</stp>
        <tr r="AN891" s="57"/>
      </tp>
      <tp>
        <v>0</v>
        <stp/>
        <stp>6667</stp>
        <stp>CumulativeVolume</stp>
        <tr r="AN1754" s="57"/>
      </tp>
      <tp>
        <v>0</v>
        <stp/>
        <stp>6767</stp>
        <stp>CumulativeVolume</stp>
        <tr r="AN407" s="57"/>
      </tp>
      <tp>
        <v>0</v>
        <stp/>
        <stp>4167</stp>
        <stp>CumulativeVolume</stp>
        <tr r="AN354" s="57"/>
      </tp>
      <tp>
        <v>0</v>
        <stp/>
        <stp>4767</stp>
        <stp>CumulativeVolume</stp>
        <tr r="AN282" s="57"/>
      </tp>
      <tp>
        <v>0</v>
        <stp/>
        <stp>4967</stp>
        <stp>CumulativeVolume</stp>
        <tr r="AN4" s="99"/>
        <tr r="AN605" s="57"/>
      </tp>
      <tp>
        <v>0</v>
        <stp/>
        <stp>8367</stp>
        <stp>CumulativeVolume</stp>
        <tr r="AN1535" s="57"/>
      </tp>
      <tp>
        <v>0</v>
        <stp/>
        <stp>8067</stp>
        <stp>CumulativeVolume</stp>
        <tr r="AN1252" s="57"/>
      </tp>
      <tp>
        <v>0</v>
        <stp/>
        <stp>8467</stp>
        <stp>CumulativeVolume</stp>
        <tr r="AN1378" s="57"/>
      </tp>
      <tp>
        <v>0</v>
        <stp/>
        <stp>2066</stp>
        <stp>CumulativeVolume</stp>
        <tr r="AN164" s="57"/>
      </tp>
      <tp>
        <v>0</v>
        <stp/>
        <stp>2466</stp>
        <stp>CumulativeVolume</stp>
        <tr r="AN814" s="57"/>
      </tp>
      <tp>
        <v>0</v>
        <stp/>
        <stp>3266</stp>
        <stp>CumulativeVolume</stp>
        <tr r="AN1469" s="57"/>
      </tp>
      <tp>
        <v>0</v>
        <stp/>
        <stp>3066</stp>
        <stp>CumulativeVolume</stp>
        <tr r="AN827" s="57"/>
      </tp>
      <tp>
        <v>0</v>
        <stp/>
        <stp>3666</stp>
        <stp>CumulativeVolume</stp>
        <tr r="AN2" s="99"/>
        <tr r="AN856" s="57"/>
      </tp>
      <tp>
        <v>0</v>
        <stp/>
        <stp>3466</stp>
        <stp>CumulativeVolume</stp>
        <tr r="AN13" s="115"/>
        <tr r="AN954" s="57"/>
      </tp>
      <tp>
        <v>0</v>
        <stp/>
        <stp>1466</stp>
        <stp>CumulativeVolume</stp>
        <tr r="AN103" s="57"/>
      </tp>
      <tp>
        <v>0</v>
        <stp/>
        <stp>6266</stp>
        <stp>CumulativeVolume</stp>
        <tr r="AN1181" s="57"/>
      </tp>
      <tp>
        <v>0</v>
        <stp/>
        <stp>6166</stp>
        <stp>CumulativeVolume</stp>
        <tr r="AN778" s="57"/>
      </tp>
      <tp>
        <v>0</v>
        <stp/>
        <stp>6666</stp>
        <stp>CumulativeVolume</stp>
        <tr r="AN401" s="57"/>
      </tp>
      <tp>
        <v>0</v>
        <stp/>
        <stp>4766</stp>
        <stp>CumulativeVolume</stp>
        <tr r="AN281" s="57"/>
      </tp>
      <tp>
        <v>0</v>
        <stp/>
        <stp>4566</stp>
        <stp>CumulativeVolume</stp>
        <tr r="AN203" s="57"/>
      </tp>
      <tp>
        <v>0</v>
        <stp/>
        <stp>4966</stp>
        <stp>CumulativeVolume</stp>
        <tr r="AN604" s="57"/>
      </tp>
      <tp>
        <v>0</v>
        <stp/>
        <stp>8066</stp>
        <stp>CumulativeVolume</stp>
        <tr r="AN1660" s="57"/>
      </tp>
      <tp>
        <v>0</v>
        <stp/>
        <stp>8466</stp>
        <stp>CumulativeVolume</stp>
        <tr r="AN1377" s="57"/>
      </tp>
      <tp>
        <v>0</v>
        <stp/>
        <stp>2369</stp>
        <stp>CumulativeVolume</stp>
        <tr r="AN539" s="57"/>
      </tp>
      <tp>
        <v>0</v>
        <stp/>
        <stp>2069</stp>
        <stp>CumulativeVolume</stp>
        <tr r="AN460" s="57"/>
      </tp>
      <tp>
        <v>0</v>
        <stp/>
        <stp>3169</stp>
        <stp>CumulativeVolume</stp>
        <tr r="AN564" s="57"/>
      </tp>
      <tp>
        <v>0</v>
        <stp/>
        <stp>3669</stp>
        <stp>CumulativeVolume</stp>
        <tr r="AN5" s="109"/>
        <tr r="AN13" s="74"/>
        <tr r="AN857" s="57"/>
        <tr r="AN11" s="109"/>
        <tr r="AN10" s="102"/>
        <tr r="AN7" s="102"/>
        <tr r="AN7" s="101"/>
        <tr r="AN9" s="109"/>
        <tr r="AN50" s="28"/>
        <tr r="AN3" s="109"/>
      </tp>
      <tp>
        <v>0</v>
        <stp/>
        <stp>1569</stp>
        <stp>CumulativeVolume</stp>
        <tr r="AN695" s="57"/>
      </tp>
      <tp>
        <v>0</v>
        <stp/>
        <stp>6269</stp>
        <stp>CumulativeVolume</stp>
        <tr r="AN1182" s="57"/>
      </tp>
      <tp>
        <v>0</v>
        <stp/>
        <stp>6169</stp>
        <stp>CumulativeVolume</stp>
        <tr r="AN1784" s="57"/>
      </tp>
      <tp>
        <v>0</v>
        <stp/>
        <stp>6669</stp>
        <stp>CumulativeVolume</stp>
        <tr r="AN793" s="57"/>
      </tp>
      <tp>
        <v>0</v>
        <stp/>
        <stp>6469</stp>
        <stp>CumulativeVolume</stp>
        <tr r="AN380" s="57"/>
      </tp>
      <tp>
        <v>0</v>
        <stp/>
        <stp>6569</stp>
        <stp>CumulativeVolume</stp>
        <tr r="AN391" s="57"/>
      </tp>
      <tp>
        <v>0</v>
        <stp/>
        <stp>5269</stp>
        <stp>CumulativeVolume</stp>
        <tr r="AN612" s="57"/>
      </tp>
      <tp>
        <v>0</v>
        <stp/>
        <stp>5469</stp>
        <stp>CumulativeVolume</stp>
        <tr r="AN1144" s="57"/>
      </tp>
      <tp>
        <v>0</v>
        <stp/>
        <stp>8069</stp>
        <stp>CumulativeVolume</stp>
        <tr r="AN916" s="57"/>
      </tp>
      <tp>
        <v>0</v>
        <stp/>
        <stp>2368</stp>
        <stp>CumulativeVolume</stp>
        <tr r="AN1027" s="57"/>
      </tp>
      <tp>
        <v>0</v>
        <stp/>
        <stp>2468</stp>
        <stp>CumulativeVolume</stp>
        <tr r="AN1263" s="57"/>
      </tp>
      <tp>
        <v>0</v>
        <stp/>
        <stp>3268</stp>
        <stp>CumulativeVolume</stp>
        <tr r="AN574" s="57"/>
      </tp>
      <tp>
        <v>0</v>
        <stp/>
        <stp>1268</stp>
        <stp>CumulativeVolume</stp>
        <tr r="AN1539" s="57"/>
      </tp>
      <tp>
        <v>0</v>
        <stp/>
        <stp>1468</stp>
        <stp>CumulativeVolume</stp>
        <tr r="AN105" s="57"/>
      </tp>
      <tp>
        <v>0</v>
        <stp/>
        <stp>1568</stp>
        <stp>CumulativeVolume</stp>
        <tr r="AN503" s="57"/>
      </tp>
      <tp>
        <v>0</v>
        <stp/>
        <stp>6168</stp>
        <stp>CumulativeVolume</stp>
        <tr r="AN892" s="57"/>
      </tp>
      <tp>
        <v>0</v>
        <stp/>
        <stp>6668</stp>
        <stp>CumulativeVolume</stp>
        <tr r="AN911" s="57"/>
      </tp>
      <tp>
        <v>0</v>
        <stp/>
        <stp>6768</stp>
        <stp>CumulativeVolume</stp>
        <tr r="AN1352" s="57"/>
      </tp>
      <tp>
        <v>0</v>
        <stp/>
        <stp>6568</stp>
        <stp>CumulativeVolume</stp>
        <tr r="AN40" s="98"/>
        <tr r="AN663" s="57"/>
      </tp>
      <tp>
        <v>0</v>
        <stp/>
        <stp>4168</stp>
        <stp>CumulativeVolume</stp>
        <tr r="AN355" s="57"/>
      </tp>
      <tp>
        <v>0</v>
        <stp/>
        <stp>4568</stp>
        <stp>CumulativeVolume</stp>
        <tr r="AN204" s="57"/>
      </tp>
      <tp>
        <v>0</v>
        <stp/>
        <stp>4968</stp>
        <stp>CumulativeVolume</stp>
        <tr r="AN7" s="107"/>
        <tr r="AN606" s="57"/>
      </tp>
      <tp>
        <v>0</v>
        <stp/>
        <stp>5468</stp>
        <stp>CumulativeVolume</stp>
        <tr r="AN623" s="57"/>
      </tp>
      <tp>
        <v>0</v>
        <stp/>
        <stp>8068</stp>
        <stp>CumulativeVolume</stp>
        <tr r="AN1253" s="57"/>
      </tp>
      <tp>
        <v>0</v>
        <stp/>
        <stp>6492</stp>
        <stp>PredictVolume</stp>
        <tr r="AM383" s="57"/>
      </tp>
      <tp>
        <v>0</v>
        <stp/>
        <stp>6482</stp>
        <stp>PredictVolume</stp>
        <tr r="AM1787" s="57"/>
      </tp>
      <tp>
        <v>0</v>
        <stp/>
        <stp>6432</stp>
        <stp>PredictVolume</stp>
        <tr r="AM1191" s="57"/>
      </tp>
      <tp>
        <v>0</v>
        <stp/>
        <stp>6412</stp>
        <stp>PredictVolume</stp>
        <tr r="AM1189" s="57"/>
      </tp>
      <tp>
        <v>0</v>
        <stp/>
        <stp>6472</stp>
        <stp>PredictVolume</stp>
        <tr r="AM381" s="57"/>
      </tp>
      <tp>
        <v>0</v>
        <stp/>
        <stp>6462</stp>
        <stp>PredictVolume</stp>
        <tr r="AM3" s="107"/>
        <tr r="AM651" s="57"/>
      </tp>
      <tp>
        <v>0</v>
        <stp/>
        <stp>6442</stp>
        <stp>PredictVolume</stp>
        <tr r="AM994" s="57"/>
      </tp>
      <tp>
        <v>0</v>
        <stp/>
        <stp>6592</stp>
        <stp>PredictVolume</stp>
        <tr r="AM18" s="28"/>
        <tr r="AM1342" s="57"/>
      </tp>
      <tp>
        <v>0</v>
        <stp/>
        <stp>6582</stp>
        <stp>PredictVolume</stp>
        <tr r="AM13" s="102"/>
        <tr r="AM2" s="102"/>
        <tr r="AM4" s="102"/>
        <tr r="AM490" s="57"/>
      </tp>
      <tp>
        <v>0</v>
        <stp/>
        <stp>6532</stp>
        <stp>PredictVolume</stp>
        <tr r="AM659" s="57"/>
      </tp>
      <tp>
        <v>0</v>
        <stp/>
        <stp>6512</stp>
        <stp>PredictVolume</stp>
        <tr r="AM1750" s="57"/>
      </tp>
      <tp>
        <v>0</v>
        <stp/>
        <stp>6552</stp>
        <stp>PredictVolume</stp>
        <tr r="AM662" s="57"/>
      </tp>
      <tp>
        <v>0</v>
        <stp/>
        <stp>6542</stp>
        <stp>PredictVolume</stp>
        <tr r="AM1788" s="57"/>
      </tp>
      <tp>
        <v>0</v>
        <stp/>
        <stp>6612</stp>
        <stp>PredictVolume</stp>
        <tr r="AM396" s="57"/>
      </tp>
      <tp>
        <v>0</v>
        <stp/>
        <stp>6672</stp>
        <stp>PredictVolume</stp>
        <tr r="AM1196" s="57"/>
      </tp>
      <tp>
        <v>0</v>
        <stp/>
        <stp>6662</stp>
        <stp>PredictVolume</stp>
        <tr r="AM400" s="57"/>
      </tp>
      <tp>
        <v>0</v>
        <stp/>
        <stp>6642</stp>
        <stp>PredictVolume</stp>
        <tr r="AM1194" s="57"/>
      </tp>
      <tp>
        <v>0</v>
        <stp/>
        <stp>6792</stp>
        <stp>PredictVolume</stp>
        <tr r="AM1002" s="57"/>
      </tp>
      <tp>
        <v>0</v>
        <stp/>
        <stp>6732</stp>
        <stp>PredictVolume</stp>
        <tr r="AM673" s="57"/>
      </tp>
      <tp>
        <v>0</v>
        <stp/>
        <stp>6712</stp>
        <stp>PredictVolume</stp>
        <tr r="AM403" s="57"/>
      </tp>
      <tp>
        <v>0</v>
        <stp/>
        <stp>6762</stp>
        <stp>PredictVolume</stp>
        <tr r="AM406" s="57"/>
      </tp>
      <tp>
        <v>0</v>
        <stp/>
        <stp>6752</stp>
        <stp>PredictVolume</stp>
        <tr r="AM1296" s="57"/>
      </tp>
      <tp>
        <v>0</v>
        <stp/>
        <stp>6192</stp>
        <stp>PredictVolume</stp>
        <tr r="AM1741" s="57"/>
      </tp>
      <tp>
        <v>0</v>
        <stp/>
        <stp>6182</stp>
        <stp>PredictVolume</stp>
        <tr r="AM632" s="57"/>
      </tp>
      <tp>
        <v>0</v>
        <stp/>
        <stp>6122</stp>
        <stp>PredictVolume</stp>
        <tr r="AM210" s="57"/>
      </tp>
      <tp>
        <v>0</v>
        <stp/>
        <stp>6112</stp>
        <stp>PredictVolume</stp>
        <tr r="AM1281" s="57"/>
      </tp>
      <tp t="s">
        <v>商品錯誤</v>
        <stp/>
        <stp>6172</stp>
        <stp>PredictVolume</stp>
        <tr r="AM779" s="57"/>
      </tp>
      <tp>
        <v>0</v>
        <stp/>
        <stp>6152</stp>
        <stp>PredictVolume</stp>
        <tr r="AM981" s="57"/>
      </tp>
      <tp>
        <v>0</v>
        <stp/>
        <stp>6142</stp>
        <stp>PredictVolume</stp>
        <tr r="AM979" s="57"/>
      </tp>
      <tp>
        <v>0</v>
        <stp/>
        <stp>6292</stp>
        <stp>PredictVolume</stp>
        <tr r="AM1188" s="57"/>
      </tp>
      <tp>
        <v>0</v>
        <stp/>
        <stp>6282</stp>
        <stp>PredictVolume</stp>
        <tr r="AM1185" s="57"/>
      </tp>
      <tp>
        <v>0</v>
        <stp/>
        <stp>6222</stp>
        <stp>PredictVolume</stp>
        <tr r="AM895" s="57"/>
      </tp>
      <tp>
        <v>0</v>
        <stp/>
        <stp>6212</stp>
        <stp>PredictVolume</stp>
        <tr r="AM1499" s="57"/>
      </tp>
      <tp>
        <v>0</v>
        <stp/>
        <stp>6202</stp>
        <stp>PredictVolume</stp>
        <tr r="AM634" s="57"/>
      </tp>
      <tp>
        <v>0</v>
        <stp/>
        <stp>6242</stp>
        <stp>PredictVolume</stp>
        <tr r="AM377" s="57"/>
      </tp>
      <tp>
        <v>0</v>
        <stp/>
        <stp>7402</stp>
        <stp>PredictVolume</stp>
        <tr r="AM913" s="57"/>
      </tp>
      <tp>
        <v>0</v>
        <stp/>
        <stp>4432</stp>
        <stp>PredictVolume</stp>
        <tr r="AM37" s="28"/>
        <tr r="AM123" s="57"/>
      </tp>
      <tp>
        <v>0</v>
        <stp/>
        <stp>4402</stp>
        <stp>PredictVolume</stp>
        <tr r="AM114" s="57"/>
      </tp>
      <tp>
        <v>0</v>
        <stp/>
        <stp>4532</stp>
        <stp>PredictVolume</stp>
        <tr r="AM187" s="57"/>
      </tp>
      <tp>
        <v>0</v>
        <stp/>
        <stp>4502</stp>
        <stp>PredictVolume</stp>
        <tr r="AM177" s="57"/>
      </tp>
      <tp>
        <v>0</v>
        <stp/>
        <stp>4572</stp>
        <stp>PredictVolume</stp>
        <tr r="AM206" s="57"/>
      </tp>
      <tp>
        <v>0</v>
        <stp/>
        <stp>4562</stp>
        <stp>PredictVolume</stp>
        <tr r="AM200" s="57"/>
      </tp>
      <tp>
        <v>0</v>
        <stp/>
        <stp>4552</stp>
        <stp>PredictVolume</stp>
        <tr r="AM196" s="57"/>
      </tp>
      <tp>
        <v>0</v>
        <stp/>
        <stp>4542</stp>
        <stp>PredictVolume</stp>
        <tr r="AM1120" s="57"/>
      </tp>
      <tp>
        <v>0</v>
        <stp/>
        <stp>4722</stp>
        <stp>PredictVolume</stp>
        <tr r="AM274" s="57"/>
      </tp>
      <tp t="s">
        <v>商品錯誤</v>
        <stp/>
        <stp>4712</stp>
        <stp>PredictVolume</stp>
        <tr r="AM41" s="57"/>
      </tp>
      <tp>
        <v>0</v>
        <stp/>
        <stp>4702</stp>
        <stp>PredictVolume</stp>
        <tr r="AM266" s="57"/>
      </tp>
      <tp>
        <v>0</v>
        <stp/>
        <stp>4192</stp>
        <stp>PredictVolume</stp>
        <tr r="AM362" s="57"/>
      </tp>
      <tp>
        <v>0</v>
        <stp/>
        <stp>4102</stp>
        <stp>PredictVolume</stp>
        <tr r="AM317" s="57"/>
      </tp>
      <tp>
        <v>0</v>
        <stp/>
        <stp>4162</stp>
        <stp>PredictVolume</stp>
        <tr r="AM19" s="28"/>
        <tr r="AM351" s="57"/>
      </tp>
      <tp>
        <v>0</v>
        <stp/>
        <stp>4142</stp>
        <stp>PredictVolume</stp>
        <tr r="AM342" s="57"/>
      </tp>
      <tp>
        <v>0</v>
        <stp/>
        <stp>4912</stp>
        <stp>PredictVolume</stp>
        <tr r="AM1122" s="57"/>
      </tp>
      <tp>
        <v>0</v>
        <stp/>
        <stp>4972</stp>
        <stp>PredictVolume</stp>
        <tr r="AM871" s="57"/>
      </tp>
      <tp>
        <v>0</v>
        <stp/>
        <stp>4952</stp>
        <stp>PredictVolume</stp>
        <tr r="AM602" s="57"/>
      </tp>
      <tp>
        <v>0</v>
        <stp/>
        <stp>4942</stp>
        <stp>PredictVolume</stp>
        <tr r="AM867" s="57"/>
      </tp>
      <tp>
        <v>0</v>
        <stp/>
        <stp>5432</stp>
        <stp>PredictVolume</stp>
        <tr r="AM884" s="57"/>
      </tp>
      <tp>
        <v>0</v>
        <stp/>
        <stp>5452</stp>
        <stp>PredictVolume</stp>
        <tr r="AM1733" s="57"/>
      </tp>
      <tp>
        <v>0</v>
        <stp/>
        <stp>5522</stp>
        <stp>PredictVolume</stp>
        <tr r="AM1814" s="57"/>
      </tp>
      <tp>
        <v>0</v>
        <stp/>
        <stp>5512</stp>
        <stp>PredictVolume</stp>
        <tr r="AM1481" s="57"/>
      </tp>
      <tp>
        <v>0</v>
        <stp/>
        <stp>5102</stp>
        <stp>PredictVolume</stp>
        <tr r="AM489" s="57"/>
      </tp>
      <tp>
        <v>0</v>
        <stp/>
        <stp>5222</stp>
        <stp>PredictVolume</stp>
        <tr r="AM610" s="57"/>
      </tp>
      <tp>
        <v>0</v>
        <stp/>
        <stp>5212</stp>
        <stp>PredictVolume</stp>
        <tr r="AM1277" s="57"/>
      </tp>
      <tp>
        <v>0</v>
        <stp/>
        <stp>5202</stp>
        <stp>PredictVolume</stp>
        <tr r="AM1272" s="57"/>
      </tp>
      <tp>
        <v>0</v>
        <stp/>
        <stp>5272</stp>
        <stp>PredictVolume</stp>
        <tr r="AM613" s="57"/>
      </tp>
      <tp>
        <v>0</v>
        <stp/>
        <stp>5392</stp>
        <stp>PredictVolume</stp>
        <tr r="AM883" s="57"/>
      </tp>
      <tp>
        <v>0</v>
        <stp/>
        <stp>5312</stp>
        <stp>PredictVolume</stp>
        <tr r="AM375" s="57"/>
      </tp>
      <tp>
        <v>0</v>
        <stp/>
        <stp>5302</stp>
        <stp>PredictVolume</stp>
        <tr r="AM617" s="57"/>
      </tp>
      <tp>
        <v>0</v>
        <stp/>
        <stp>5902</stp>
        <stp>PredictVolume</stp>
        <tr r="AM1652" s="57"/>
      </tp>
      <tp>
        <v>0</v>
        <stp/>
        <stp>2492</stp>
        <stp>PredictVolume</stp>
        <tr r="AM1051" s="57"/>
      </tp>
      <tp>
        <v>0</v>
        <stp/>
        <stp>2482</stp>
        <stp>PredictVolume</stp>
        <tr r="AM1698" s="57"/>
      </tp>
      <tp>
        <v>0</v>
        <stp/>
        <stp>2412</stp>
        <stp>PredictVolume</stp>
        <tr r="AM929" s="57"/>
      </tp>
      <tp>
        <v>0</v>
        <stp/>
        <stp>2402</stp>
        <stp>PredictVolume</stp>
        <tr r="AM1032" s="57"/>
      </tp>
      <tp>
        <v>0</v>
        <stp/>
        <stp>2472</stp>
        <stp>PredictVolume</stp>
        <tr r="AM1046" s="57"/>
      </tp>
      <tp>
        <v>0</v>
        <stp/>
        <stp>2462</stp>
        <stp>PredictVolume</stp>
        <tr r="AM1044" s="57"/>
      </tp>
      <tp>
        <v>0</v>
        <stp/>
        <stp>2442</stp>
        <stp>PredictVolume</stp>
        <tr r="AM719" s="57"/>
      </tp>
      <tp>
        <v>0</v>
        <stp/>
        <stp>2542</stp>
        <stp>PredictVolume</stp>
        <tr r="AM1456" s="57"/>
      </tp>
      <tp>
        <v>0</v>
        <stp/>
        <stp>2612</stp>
        <stp>PredictVolume</stp>
        <tr r="AM1516" s="57"/>
      </tp>
      <tp>
        <v>0</v>
        <stp/>
        <stp>2642</stp>
        <stp>PredictVolume</stp>
        <tr r="AM1527" s="57"/>
      </tp>
      <tp>
        <v>0</v>
        <stp/>
        <stp>2732</stp>
        <stp>PredictVolume</stp>
        <tr r="AM1556" s="57"/>
      </tp>
      <tp>
        <v>0</v>
        <stp/>
        <stp>2722</stp>
        <stp>PredictVolume</stp>
        <tr r="AM1549" s="57"/>
      </tp>
      <tp>
        <v>0</v>
        <stp/>
        <stp>2712</stp>
        <stp>PredictVolume</stp>
        <tr r="AM1546" s="57"/>
      </tp>
      <tp>
        <v>0</v>
        <stp/>
        <stp>2702</stp>
        <stp>PredictVolume</stp>
        <tr r="AM1541" s="57"/>
      </tp>
      <tp>
        <v>0</v>
        <stp/>
        <stp>2752</stp>
        <stp>PredictVolume</stp>
        <tr r="AM1564" s="57"/>
      </tp>
      <tp>
        <v>0</v>
        <stp/>
        <stp>2032</stp>
        <stp>PredictVolume</stp>
        <tr r="AM452" s="57"/>
      </tp>
      <tp>
        <v>0</v>
        <stp/>
        <stp>2022</stp>
        <stp>PredictVolume</stp>
        <tr r="AM443" s="57"/>
      </tp>
      <tp>
        <v>0</v>
        <stp/>
        <stp>2012</stp>
        <stp>PredictVolume</stp>
        <tr r="AM437" s="57"/>
      </tp>
      <tp>
        <v>0</v>
        <stp/>
        <stp>2002</stp>
        <stp>PredictVolume</stp>
        <tr r="AM431" s="57"/>
      </tp>
      <tp>
        <v>0</v>
        <stp/>
        <stp>2062</stp>
        <stp>PredictVolume</stp>
        <tr r="AM1309" s="57"/>
      </tp>
      <tp>
        <v>0</v>
        <stp/>
        <stp>2102</stp>
        <stp>PredictVolume</stp>
        <tr r="AM480" s="57"/>
      </tp>
      <tp>
        <v>0</v>
        <stp/>
        <stp>2392</stp>
        <stp>PredictVolume</stp>
        <tr r="AM1031" s="57"/>
      </tp>
      <tp>
        <v>0</v>
        <stp/>
        <stp>2382</stp>
        <stp>PredictVolume</stp>
        <tr r="AM710" s="57"/>
      </tp>
      <tp>
        <v>0</v>
        <stp/>
        <stp>2332</stp>
        <stp>PredictVolume</stp>
        <tr r="AM927" s="57"/>
      </tp>
      <tp>
        <v>0</v>
        <stp/>
        <stp>2312</stp>
        <stp>PredictVolume</stp>
        <tr r="AM1684" s="57"/>
      </tp>
      <tp>
        <v>0</v>
        <stp/>
        <stp>2302</stp>
        <stp>PredictVolume</stp>
        <tr r="AM529" s="57"/>
      </tp>
      <tp>
        <v>0</v>
        <stp/>
        <stp>2362</stp>
        <stp>PredictVolume</stp>
        <tr r="AM704" s="57"/>
      </tp>
      <tp>
        <v>0</v>
        <stp/>
        <stp>2352</stp>
        <stp>PredictVolume</stp>
        <tr r="AM700" s="57"/>
      </tp>
      <tp>
        <v>0</v>
        <stp/>
        <stp>2342</stp>
        <stp>PredictVolume</stp>
        <tr r="AM535" s="57"/>
      </tp>
      <tp>
        <v>0</v>
        <stp/>
        <stp>2892</stp>
        <stp>PredictVolume</stp>
        <tr r="AM1613" s="57"/>
      </tp>
      <tp>
        <v>0</v>
        <stp/>
        <stp>2882</stp>
        <stp>PredictVolume</stp>
        <tr r="AM1603" s="57"/>
      </tp>
      <tp>
        <v>0</v>
        <stp/>
        <stp>2832</stp>
        <stp>PredictVolume</stp>
        <tr r="AM1590" s="57"/>
      </tp>
      <tp>
        <v>0</v>
        <stp/>
        <stp>2812</stp>
        <stp>PredictVolume</stp>
        <tr r="AM1586" s="57"/>
      </tp>
      <tp>
        <v>0</v>
        <stp/>
        <stp>2852</stp>
        <stp>PredictVolume</stp>
        <tr r="AM1598" s="57"/>
      </tp>
      <tp>
        <v>0</v>
        <stp/>
        <stp>2912</stp>
        <stp>PredictVolume</stp>
        <tr r="AM1640" s="57"/>
      </tp>
      <tp>
        <v>0</v>
        <stp/>
        <stp>3492</stp>
        <stp>PredictVolume</stp>
        <tr r="AM1097" s="57"/>
      </tp>
      <tp>
        <v>0</v>
        <stp/>
        <stp>3432</stp>
        <stp>PredictVolume</stp>
        <tr r="AM1094" s="57"/>
      </tp>
      <tp>
        <v>0</v>
        <stp/>
        <stp>3402</stp>
        <stp>PredictVolume</stp>
        <tr r="AM1713" s="57"/>
      </tp>
      <tp>
        <v>0</v>
        <stp/>
        <stp>3592</stp>
        <stp>PredictVolume</stp>
        <tr r="AM65" s="28"/>
        <tr r="AM593" s="57"/>
      </tp>
      <tp>
        <v>0</v>
        <stp/>
        <stp>3532</stp>
        <stp>PredictVolume</stp>
        <tr r="AM584" s="57"/>
      </tp>
      <tp>
        <v>0</v>
        <stp/>
        <stp>3522</stp>
        <stp>PredictVolume</stp>
        <tr r="AM1570" s="57"/>
      </tp>
      <tp>
        <v>0</v>
        <stp/>
        <stp>3512</stp>
        <stp>PredictVolume</stp>
        <tr r="AM1100" s="57"/>
      </tp>
      <tp>
        <v>0</v>
        <stp/>
        <stp>3552</stp>
        <stp>PredictVolume</stp>
        <tr r="AM1720" s="57"/>
      </tp>
      <tp>
        <v>0</v>
        <stp/>
        <stp>3682</stp>
        <stp>PredictVolume</stp>
        <tr r="AM963" s="57"/>
      </tp>
      <tp>
        <v>0</v>
        <stp/>
        <stp>3632</stp>
        <stp>PredictVolume</stp>
        <tr r="AM960" s="57"/>
      </tp>
      <tp>
        <v>0</v>
        <stp/>
        <stp>3622</stp>
        <stp>PredictVolume</stp>
        <tr r="AM853" s="57"/>
      </tp>
      <tp>
        <v>0</v>
        <stp/>
        <stp>3672</stp>
        <stp>PredictVolume</stp>
        <tr r="AM962" s="57"/>
      </tp>
      <tp>
        <v>0</v>
        <stp/>
        <stp>3652</stp>
        <stp>PredictVolume</stp>
        <tr r="AM749" s="57"/>
      </tp>
      <tp>
        <v>0</v>
        <stp/>
        <stp>3642</stp>
        <stp>PredictVolume</stp>
        <tr r="AM1725" s="57"/>
      </tp>
      <tp>
        <v>0</v>
        <stp/>
        <stp>3712</stp>
        <stp>PredictVolume</stp>
        <tr r="AM754" s="57"/>
      </tp>
      <tp>
        <v>0</v>
        <stp/>
        <stp>3702</stp>
        <stp>PredictVolume</stp>
        <tr r="AM1240" s="57"/>
      </tp>
      <tp>
        <v>0</v>
        <stp/>
        <stp>3092</stp>
        <stp>PredictVolume</stp>
        <tr r="AM6" s="101"/>
        <tr r="AM1066" s="57"/>
      </tp>
      <tp>
        <v>0</v>
        <stp/>
        <stp>3032</stp>
        <stp>PredictVolume</stp>
        <tr r="AM1059" s="57"/>
      </tp>
      <tp>
        <v>0</v>
        <stp/>
        <stp>3022</stp>
        <stp>PredictVolume</stp>
        <tr r="AM725" s="57"/>
      </tp>
      <tp>
        <v>0</v>
        <stp/>
        <stp>3002</stp>
        <stp>PredictVolume</stp>
        <tr r="AM721" s="57"/>
      </tp>
      <tp>
        <v>0</v>
        <stp/>
        <stp>3062</stp>
        <stp>PredictVolume</stp>
        <tr r="AM941" s="57"/>
      </tp>
      <tp>
        <v>0</v>
        <stp/>
        <stp>3052</stp>
        <stp>PredictVolume</stp>
        <tr r="AM1466" s="57"/>
      </tp>
      <tp>
        <v>0</v>
        <stp/>
        <stp>3042</stp>
        <stp>PredictVolume</stp>
        <tr r="AM1061" s="57"/>
      </tp>
      <tp>
        <v>0</v>
        <stp/>
        <stp>3122</stp>
        <stp>PredictVolume</stp>
        <tr r="AM562" s="57"/>
      </tp>
      <tp>
        <v>0</v>
        <stp/>
        <stp>3162</stp>
        <stp>PredictVolume</stp>
        <tr r="AM27" s="28"/>
        <tr r="AM171" s="57"/>
      </tp>
      <tp>
        <v>0</v>
        <stp/>
        <stp>3152</stp>
        <stp>PredictVolume</stp>
        <tr r="AM945" s="57"/>
      </tp>
      <tp>
        <v>0</v>
        <stp/>
        <stp>3232</stp>
        <stp>PredictVolume</stp>
        <tr r="AM1235" s="57"/>
      </tp>
      <tp>
        <v>0</v>
        <stp/>
        <stp>3202</stp>
        <stp>PredictVolume</stp>
        <tr r="AM1071" s="57"/>
      </tp>
      <tp>
        <v>0</v>
        <stp/>
        <stp>3272</stp>
        <stp>PredictVolume</stp>
        <tr r="AM734" s="57"/>
      </tp>
      <tp>
        <v>0</v>
        <stp/>
        <stp>3252</stp>
        <stp>PredictVolume</stp>
        <tr r="AM1569" s="57"/>
      </tp>
      <tp>
        <v>0</v>
        <stp/>
        <stp>3332</stp>
        <stp>PredictVolume</stp>
        <tr r="AM1087" s="57"/>
      </tp>
      <tp>
        <v>0</v>
        <stp/>
        <stp>3322</stp>
        <stp>PredictVolume</stp>
        <tr r="AM1086" s="57"/>
      </tp>
      <tp>
        <v>0</v>
        <stp/>
        <stp>3312</stp>
        <stp>PredictVolume</stp>
        <tr r="AM1236" s="57"/>
      </tp>
      <tp>
        <v>0</v>
        <stp/>
        <stp>3372</stp>
        <stp>PredictVolume</stp>
        <tr r="AM576" s="57"/>
      </tp>
      <tp>
        <v>0</v>
        <stp/>
        <stp>3362</stp>
        <stp>PredictVolume</stp>
        <tr r="AM834" s="57"/>
      </tp>
      <tp>
        <v>0</v>
        <stp/>
        <stp>1432</stp>
        <stp>PredictVolume</stp>
        <tr r="AM1630" s="57"/>
      </tp>
      <tp>
        <v>0</v>
        <stp/>
        <stp>1402</stp>
        <stp>PredictVolume</stp>
        <tr r="AM72" s="57"/>
      </tp>
      <tp>
        <v>0</v>
        <stp/>
        <stp>1472</stp>
        <stp>PredictVolume</stp>
        <tr r="AM107" s="57"/>
      </tp>
      <tp>
        <v>0</v>
        <stp/>
        <stp>1452</stp>
        <stp>PredictVolume</stp>
        <tr r="AM92" s="57"/>
      </tp>
      <tp>
        <v>0</v>
        <stp/>
        <stp>1442</stp>
        <stp>PredictVolume</stp>
        <tr r="AM1434" s="57"/>
      </tp>
      <tp t="s">
        <v>商品錯誤</v>
        <stp/>
        <stp>1592</stp>
        <stp>PredictVolume</stp>
        <tr r="AM505" s="57"/>
      </tp>
      <tp>
        <v>0</v>
        <stp/>
        <stp>1582</stp>
        <stp>PredictVolume</stp>
        <tr r="AM1016" s="57"/>
      </tp>
      <tp>
        <v>0</v>
        <stp/>
        <stp>1532</stp>
        <stp>PredictVolume</stp>
        <tr r="AM145" s="57"/>
      </tp>
      <tp>
        <v>0</v>
        <stp/>
        <stp>1522</stp>
        <stp>PredictVolume</stp>
        <tr r="AM498" s="57"/>
      </tp>
      <tp>
        <v>0</v>
        <stp/>
        <stp>1512</stp>
        <stp>PredictVolume</stp>
        <tr r="AM496" s="57"/>
      </tp>
      <tp>
        <v>0</v>
        <stp/>
        <stp>1612</stp>
        <stp>PredictVolume</stp>
        <tr r="AM230" s="57"/>
      </tp>
      <tp>
        <v>0</v>
        <stp/>
        <stp>1732</stp>
        <stp>PredictVolume</stp>
        <tr r="AM6" s="102"/>
        <tr r="AM10" s="28"/>
        <tr r="AM11" s="102"/>
        <tr r="AM260" s="57"/>
      </tp>
      <tp>
        <v>0</v>
        <stp/>
        <stp>1722</stp>
        <stp>PredictVolume</stp>
        <tr r="AM253" s="57"/>
      </tp>
      <tp>
        <v>0</v>
        <stp/>
        <stp>1712</stp>
        <stp>PredictVolume</stp>
        <tr r="AM247" s="57"/>
      </tp>
      <tp>
        <v>0</v>
        <stp/>
        <stp>1702</stp>
        <stp>PredictVolume</stp>
        <tr r="AM36" s="57"/>
      </tp>
      <tp>
        <v>0</v>
        <stp/>
        <stp>1762</stp>
        <stp>PredictVolume</stp>
        <tr r="AM300" s="57"/>
      </tp>
      <tp>
        <v>0</v>
        <stp/>
        <stp>1752</stp>
        <stp>PredictVolume</stp>
        <tr r="AM298" s="57"/>
      </tp>
      <tp>
        <v>0</v>
        <stp/>
        <stp>1742</stp>
        <stp>PredictVolume</stp>
        <tr r="AM262" s="57"/>
      </tp>
      <tp>
        <v>0</v>
        <stp/>
        <stp>1102</stp>
        <stp>PredictVolume</stp>
        <tr r="AM6" s="57"/>
      </tp>
      <tp>
        <v>0</v>
        <stp/>
        <stp>1232</stp>
        <stp>PredictVolume</stp>
        <tr r="AM28" s="57"/>
      </tp>
      <tp>
        <v>0</v>
        <stp/>
        <stp>1312</stp>
        <stp>PredictVolume</stp>
        <tr r="AM52" s="57"/>
      </tp>
      <tp>
        <v>0</v>
        <stp/>
        <stp>1342</stp>
        <stp>PredictVolume</stp>
        <tr r="AM1303" s="57"/>
      </tp>
      <tp>
        <v>0</v>
        <stp/>
        <stp>1802</stp>
        <stp>PredictVolume</stp>
        <tr r="AM416" s="57"/>
      </tp>
      <tp>
        <v>0</v>
        <stp/>
        <stp>8482</stp>
        <stp>PredictVolume</stp>
        <tr r="AM1384" s="57"/>
      </tp>
      <tp>
        <v>0</v>
        <stp/>
        <stp>8432</stp>
        <stp>PredictVolume</stp>
        <tr r="AM412" s="57"/>
      </tp>
      <tp>
        <v>0</v>
        <stp/>
        <stp>8422</stp>
        <stp>PredictVolume</stp>
        <tr r="AM1366" s="57"/>
        <tr r="AM3" s="98"/>
      </tp>
      <tp>
        <v>0</v>
        <stp/>
        <stp>8472</stp>
        <stp>PredictVolume</stp>
        <tr r="AM1803" s="57"/>
      </tp>
      <tp>
        <v>0</v>
        <stp/>
        <stp>8462</stp>
        <stp>PredictVolume</stp>
        <tr r="AM1579" s="57"/>
      </tp>
      <tp>
        <v>0</v>
        <stp/>
        <stp>8442</stp>
        <stp>PredictVolume</stp>
        <tr r="AM1373" s="57"/>
      </tp>
      <tp>
        <v>0</v>
        <stp/>
        <stp>8092</stp>
        <stp>PredictVolume</stp>
        <tr r="AM1761" s="57"/>
      </tp>
      <tp>
        <v>0</v>
        <stp/>
        <stp>8032</stp>
        <stp>PredictVolume</stp>
        <tr r="AM1251" s="57"/>
      </tp>
      <tp>
        <v>0</v>
        <stp/>
        <stp>8072</stp>
        <stp>PredictVolume</stp>
        <tr r="AM1255" s="57"/>
      </tp>
      <tp>
        <v>0</v>
        <stp/>
        <stp>8042</stp>
        <stp>PredictVolume</stp>
        <tr r="AM1202" s="57"/>
      </tp>
      <tp>
        <v>0</v>
        <stp/>
        <stp>8182</stp>
        <stp>PredictVolume</stp>
        <tr r="AM1215" s="57"/>
      </tp>
      <tp>
        <v>0</v>
        <stp/>
        <stp>8112</stp>
        <stp>PredictVolume</stp>
        <tr r="AM1258" s="57"/>
      </tp>
      <tp>
        <v>0</v>
        <stp/>
        <stp>8222</stp>
        <stp>PredictVolume</stp>
        <tr r="AM217" s="57"/>
      </tp>
      <tp>
        <v>0</v>
        <stp/>
        <stp>8342</stp>
        <stp>PredictVolume</stp>
        <tr r="AM1358" s="57"/>
      </tp>
      <tp>
        <v>0</v>
        <stp/>
        <stp>8932</stp>
        <stp>PredictVolume</stp>
        <tr r="AM1394" s="57"/>
      </tp>
      <tp>
        <v>0</v>
        <stp/>
        <stp>8942</stp>
        <stp>PredictVolume</stp>
        <tr r="AM1400" s="57"/>
      </tp>
      <tp>
        <v>0</v>
        <stp/>
        <stp>9802</stp>
        <stp>PredictVolume</stp>
        <tr r="AM1401" s="57"/>
      </tp>
      <tp>
        <v>0</v>
        <stp/>
        <stp>9912</stp>
        <stp>PredictVolume</stp>
        <tr r="AM802" s="57"/>
      </tp>
      <tp>
        <v>0</v>
        <stp/>
        <stp>9902</stp>
        <stp>PredictVolume</stp>
        <tr r="AM1402" s="57"/>
      </tp>
      <tp>
        <v>0</v>
        <stp/>
        <stp>9962</stp>
        <stp>PredictVolume</stp>
        <tr r="AM476" s="57"/>
      </tp>
      <tp>
        <v>0</v>
        <stp/>
        <stp>9942</stp>
        <stp>PredictVolume</stp>
        <tr r="AM1425" s="57"/>
      </tp>
      <tp>
        <v>0</v>
        <stp/>
        <stp>2371</stp>
        <stp>CumulativeVolume</stp>
        <tr r="AN170" s="57"/>
      </tp>
      <tp>
        <v>0</v>
        <stp/>
        <stp>2471</stp>
        <stp>CumulativeVolume</stp>
        <tr r="AN1264" s="57"/>
      </tp>
      <tp>
        <v>0</v>
        <stp/>
        <stp>3071</stp>
        <stp>CumulativeVolume</stp>
        <tr r="AN729" s="57"/>
      </tp>
      <tp>
        <v>0</v>
        <stp/>
        <stp>3171</stp>
        <stp>CumulativeVolume</stp>
        <tr r="AN1650" s="57"/>
      </tp>
      <tp>
        <v>0</v>
        <stp/>
        <stp>1471</stp>
        <stp>CumulativeVolume</stp>
        <tr r="AN1015" s="57"/>
      </tp>
      <tp>
        <v>0</v>
        <stp/>
        <stp>6271</stp>
        <stp>CumulativeVolume</stp>
        <tr r="AN5" s="98"/>
        <tr r="AN643" s="57"/>
        <tr r="AN9" s="107"/>
      </tp>
      <tp>
        <v>0</v>
        <stp/>
        <stp>6171</stp>
        <stp>CumulativeVolume</stp>
        <tr r="AN1496" s="57"/>
      </tp>
      <tp>
        <v>0</v>
        <stp/>
        <stp>6671</stp>
        <stp>CumulativeVolume</stp>
        <tr r="AN1350" s="57"/>
      </tp>
      <tp>
        <v>0</v>
        <stp/>
        <stp>4171</stp>
        <stp>CumulativeVolume</stp>
        <tr r="AN1810" s="57"/>
      </tp>
      <tp>
        <v>0</v>
        <stp/>
        <stp>4571</stp>
        <stp>CumulativeVolume</stp>
        <tr r="AN205" s="57"/>
      </tp>
      <tp>
        <v>0</v>
        <stp/>
        <stp>4971</stp>
        <stp>CumulativeVolume</stp>
        <tr r="AN607" s="57"/>
      </tp>
      <tp>
        <v>0</v>
        <stp/>
        <stp>5371</stp>
        <stp>CumulativeVolume</stp>
        <tr r="AN882" s="57"/>
      </tp>
      <tp>
        <v>0</v>
        <stp/>
        <stp>5471</stp>
        <stp>CumulativeVolume</stp>
        <tr r="AN624" s="57"/>
        <tr r="AN24" s="28"/>
      </tp>
      <tp>
        <v>0</v>
        <stp/>
        <stp>5871</stp>
        <stp>CumulativeVolume</stp>
        <tr r="AN1334" s="57"/>
      </tp>
      <tp>
        <v>0</v>
        <stp/>
        <stp>8271</stp>
        <stp>CumulativeVolume</stp>
        <tr r="AN690" s="57"/>
      </tp>
      <tp>
        <v>0</v>
        <stp/>
        <stp>8071</stp>
        <stp>CumulativeVolume</stp>
        <tr r="AN1205" s="57"/>
      </tp>
      <tp>
        <v>0</v>
        <stp/>
        <stp>8171</stp>
        <stp>CumulativeVolume</stp>
        <tr r="AN1010" s="57"/>
      </tp>
      <tp>
        <v>0</v>
        <stp/>
        <stp>2070</stp>
        <stp>CumulativeVolume</stp>
        <tr r="AN166" s="57"/>
      </tp>
      <tp>
        <v>0</v>
        <stp/>
        <stp>3570</stp>
        <stp>CumulativeVolume</stp>
        <tr r="AN1268" s="57"/>
      </tp>
      <tp>
        <v>0</v>
        <stp/>
        <stp>1470</stp>
        <stp>CumulativeVolume</stp>
        <tr r="AN106" s="57"/>
      </tp>
      <tp>
        <v>0</v>
        <stp/>
        <stp>1570</stp>
        <stp>CumulativeVolume</stp>
        <tr r="AN154" s="57"/>
      </tp>
      <tp>
        <v>0</v>
        <stp/>
        <stp>6270</stp>
        <stp>CumulativeVolume</stp>
        <tr r="AN1248" s="57"/>
      </tp>
      <tp>
        <v>0</v>
        <stp/>
        <stp>6170</stp>
        <stp>CumulativeVolume</stp>
        <tr r="AN983" s="57"/>
      </tp>
      <tp>
        <v>0</v>
        <stp/>
        <stp>6670</stp>
        <stp>CumulativeVolume</stp>
        <tr r="AN1349" s="57"/>
      </tp>
      <tp>
        <v>0</v>
        <stp/>
        <stp>6770</stp>
        <stp>CumulativeVolume</stp>
        <tr r="AN675" s="57"/>
      </tp>
      <tp>
        <v>0</v>
        <stp/>
        <stp>6470</stp>
        <stp>CumulativeVolume</stp>
        <tr r="AN995" s="57"/>
      </tp>
      <tp>
        <v>0</v>
        <stp/>
        <stp>6570</stp>
        <stp>CumulativeVolume</stp>
        <tr r="AN789" s="57"/>
      </tp>
      <tp>
        <v>0</v>
        <stp/>
        <stp>4770</stp>
        <stp>CumulativeVolume</stp>
        <tr r="AN9" s="98"/>
        <tr r="AN283" s="57"/>
      </tp>
      <tp>
        <v>0</v>
        <stp/>
        <stp>8070</stp>
        <stp>CumulativeVolume</stp>
        <tr r="AN1254" s="57"/>
      </tp>
      <tp>
        <v>0</v>
        <stp/>
        <stp>2373</stp>
        <stp>CumulativeVolume</stp>
        <tr r="AN1689" s="57"/>
      </tp>
      <tp>
        <v>0</v>
        <stp/>
        <stp>3373</stp>
        <stp>CumulativeVolume</stp>
        <tr r="AN1712" s="57"/>
      </tp>
      <tp>
        <v>0</v>
        <stp/>
        <stp>3073</stp>
        <stp>CumulativeVolume</stp>
        <tr r="AN559" s="57"/>
      </tp>
      <tp>
        <v>0</v>
        <stp/>
        <stp>3673</stp>
        <stp>CumulativeVolume</stp>
        <tr r="AN858" s="57"/>
      </tp>
      <tp>
        <v>0</v>
        <stp/>
        <stp>1773</stp>
        <stp>CumulativeVolume</stp>
        <tr r="AN263" s="57"/>
      </tp>
      <tp>
        <v>0</v>
        <stp/>
        <stp>1473</stp>
        <stp>CumulativeVolume</stp>
        <tr r="AN108" s="57"/>
      </tp>
      <tp>
        <v>0</v>
        <stp/>
        <stp>6173</stp>
        <stp>CumulativeVolume</stp>
        <tr r="AN1162" s="57"/>
      </tp>
      <tp>
        <v>0</v>
        <stp/>
        <stp>6573</stp>
        <stp>CumulativeVolume</stp>
        <tr r="AN664" s="57"/>
      </tp>
      <tp>
        <v>0</v>
        <stp/>
        <stp>4173</stp>
        <stp>CumulativeVolume</stp>
        <tr r="AN356" s="57"/>
      </tp>
      <tp>
        <v>0</v>
        <stp/>
        <stp>4973</stp>
        <stp>CumulativeVolume</stp>
        <tr r="AN608" s="57"/>
      </tp>
      <tp>
        <v>0</v>
        <stp/>
        <stp>8473</stp>
        <stp>CumulativeVolume</stp>
        <tr r="AN1379" s="57"/>
      </tp>
      <tp>
        <v>0</v>
        <stp/>
        <stp>2472</stp>
        <stp>CumulativeVolume</stp>
        <tr r="AN1046" s="57"/>
      </tp>
      <tp>
        <v>0</v>
        <stp/>
        <stp>3272</stp>
        <stp>CumulativeVolume</stp>
        <tr r="AN734" s="57"/>
      </tp>
      <tp>
        <v>0</v>
        <stp/>
        <stp>3372</stp>
        <stp>CumulativeVolume</stp>
        <tr r="AN576" s="57"/>
      </tp>
      <tp>
        <v>0</v>
        <stp/>
        <stp>3672</stp>
        <stp>CumulativeVolume</stp>
        <tr r="AN962" s="57"/>
      </tp>
      <tp>
        <v>0</v>
        <stp/>
        <stp>1472</stp>
        <stp>CumulativeVolume</stp>
        <tr r="AN107" s="57"/>
      </tp>
      <tp t="s">
        <v>商品錯誤</v>
        <stp/>
        <stp>6172</stp>
        <stp>CumulativeVolume</stp>
        <tr r="AN779" s="57"/>
      </tp>
      <tp>
        <v>0</v>
        <stp/>
        <stp>6672</stp>
        <stp>CumulativeVolume</stp>
        <tr r="AN1196" s="57"/>
      </tp>
      <tp>
        <v>0</v>
        <stp/>
        <stp>6472</stp>
        <stp>CumulativeVolume</stp>
        <tr r="AN381" s="57"/>
      </tp>
      <tp>
        <v>0</v>
        <stp/>
        <stp>4572</stp>
        <stp>CumulativeVolume</stp>
        <tr r="AN206" s="57"/>
      </tp>
      <tp>
        <v>0</v>
        <stp/>
        <stp>4972</stp>
        <stp>CumulativeVolume</stp>
        <tr r="AN871" s="57"/>
      </tp>
      <tp>
        <v>0</v>
        <stp/>
        <stp>5272</stp>
        <stp>CumulativeVolume</stp>
        <tr r="AN613" s="57"/>
      </tp>
      <tp>
        <v>0</v>
        <stp/>
        <stp>8072</stp>
        <stp>CumulativeVolume</stp>
        <tr r="AN1255" s="57"/>
      </tp>
      <tp>
        <v>0</v>
        <stp/>
        <stp>8472</stp>
        <stp>CumulativeVolume</stp>
        <tr r="AN1803" s="57"/>
      </tp>
      <tp>
        <v>0</v>
        <stp/>
        <stp>2375</stp>
        <stp>CumulativeVolume</stp>
        <tr r="AN47" s="28"/>
        <tr r="AN1028" s="57"/>
        <tr r="AN13" s="99"/>
      </tp>
      <tp>
        <v>0</v>
        <stp/>
        <stp>3675</stp>
        <stp>CumulativeVolume</stp>
        <tr r="AN595" s="57"/>
      </tp>
      <tp>
        <v>0</v>
        <stp/>
        <stp>1475</stp>
        <stp>CumulativeVolume</stp>
        <tr r="AN110" s="57"/>
      </tp>
      <tp>
        <v>0</v>
        <stp/>
        <stp>6275</stp>
        <stp>CumulativeVolume</stp>
        <tr r="AN1746" s="57"/>
      </tp>
      <tp>
        <v>0</v>
        <stp/>
        <stp>6175</stp>
        <stp>CumulativeVolume</stp>
        <tr r="AN1164" s="57"/>
      </tp>
      <tp>
        <v>0</v>
        <stp/>
        <stp>4175</stp>
        <stp>CumulativeVolume</stp>
        <tr r="AN358" s="57"/>
      </tp>
      <tp>
        <v>0</v>
        <stp/>
        <stp>5475</stp>
        <stp>CumulativeVolume</stp>
        <tr r="AN1145" s="57"/>
      </tp>
      <tp>
        <v>0</v>
        <stp/>
        <stp>2374</stp>
        <stp>CumulativeVolume</stp>
        <tr r="AN808" s="57"/>
      </tp>
      <tp>
        <v>0</v>
        <stp/>
        <stp>2474</stp>
        <stp>CumulativeVolume</stp>
        <tr r="AN1696" s="57"/>
      </tp>
      <tp>
        <v>0</v>
        <stp/>
        <stp>3374</stp>
        <stp>CumulativeVolume</stp>
        <tr r="AN20" s="28"/>
        <tr r="AN577" s="57"/>
      </tp>
      <tp>
        <v>0</v>
        <stp/>
        <stp>1474</stp>
        <stp>CumulativeVolume</stp>
        <tr r="AN109" s="57"/>
      </tp>
      <tp>
        <v>0</v>
        <stp/>
        <stp>6274</stp>
        <stp>CumulativeVolume</stp>
        <tr r="AN1183" s="57"/>
      </tp>
      <tp>
        <v>0</v>
        <stp/>
        <stp>6174</stp>
        <stp>CumulativeVolume</stp>
        <tr r="AN1163" s="57"/>
      </tp>
      <tp>
        <v>0</v>
        <stp/>
        <stp>6674</stp>
        <stp>CumulativeVolume</stp>
        <tr r="AN1001" s="57"/>
      </tp>
      <tp>
        <v>0</v>
        <stp/>
        <stp>6574</stp>
        <stp>CumulativeVolume</stp>
        <tr r="AN392" s="57"/>
      </tp>
      <tp>
        <v>0</v>
        <stp/>
        <stp>4174</stp>
        <stp>CumulativeVolume</stp>
        <tr r="AN357" s="57"/>
      </tp>
      <tp>
        <v>0</v>
        <stp/>
        <stp>4974</stp>
        <stp>CumulativeVolume</stp>
        <tr r="AN1128" s="57"/>
      </tp>
      <tp>
        <v>0</v>
        <stp/>
        <stp>5274</stp>
        <stp>CumulativeVolume</stp>
        <tr r="AN614" s="57"/>
      </tp>
      <tp>
        <v>0</v>
        <stp/>
        <stp>5474</stp>
        <stp>CumulativeVolume</stp>
        <tr r="AN769" s="57"/>
      </tp>
      <tp>
        <v>0</v>
        <stp/>
        <stp>8374</stp>
        <stp>CumulativeVolume</stp>
        <tr r="AN219" s="57"/>
      </tp>
      <tp>
        <v>0</v>
        <stp/>
        <stp>8074</stp>
        <stp>CumulativeVolume</stp>
        <tr r="AN1206" s="57"/>
      </tp>
      <tp>
        <v>0</v>
        <stp/>
        <stp>2377</stp>
        <stp>CumulativeVolume</stp>
        <tr r="AN708" s="57"/>
      </tp>
      <tp>
        <v>0</v>
        <stp/>
        <stp>2477</stp>
        <stp>CumulativeVolume</stp>
        <tr r="AN1697" s="57"/>
      </tp>
      <tp>
        <v>0</v>
        <stp/>
        <stp>3577</stp>
        <stp>CumulativeVolume</stp>
        <tr r="AN745" s="57"/>
      </tp>
      <tp>
        <v>0</v>
        <stp/>
        <stp>1777</stp>
        <stp>CumulativeVolume</stp>
        <tr r="AN301" s="57"/>
      </tp>
      <tp>
        <v>0</v>
        <stp/>
        <stp>1477</stp>
        <stp>CumulativeVolume</stp>
        <tr r="AN112" s="57"/>
      </tp>
      <tp>
        <v>0</v>
        <stp/>
        <stp>6277</stp>
        <stp>CumulativeVolume</stp>
        <tr r="AN786" s="57"/>
      </tp>
      <tp>
        <v>0</v>
        <stp/>
        <stp>6177</stp>
        <stp>CumulativeVolume</stp>
        <tr r="AN1497" s="57"/>
      </tp>
      <tp>
        <v>0</v>
        <stp/>
        <stp>6477</stp>
        <stp>CumulativeVolume</stp>
        <tr r="AN22" s="28"/>
        <tr r="AN5" s="110"/>
        <tr r="AN5" s="99"/>
        <tr r="AN908" s="57"/>
        <tr r="AN17" s="99"/>
        <tr r="AN9" s="101"/>
      </tp>
      <tp>
        <v>0</v>
        <stp/>
        <stp>6577</stp>
        <stp>CumulativeVolume</stp>
        <tr r="AN790" s="57"/>
      </tp>
      <tp>
        <v>0</v>
        <stp/>
        <stp>4977</stp>
        <stp>CumulativeVolume</stp>
        <tr r="AN972" s="57"/>
      </tp>
      <tp>
        <v>0</v>
        <stp/>
        <stp>8277</stp>
        <stp>CumulativeVolume</stp>
        <tr r="AN691" s="57"/>
      </tp>
      <tp>
        <v>0</v>
        <stp/>
        <stp>8077</stp>
        <stp>CumulativeVolume</stp>
        <tr r="AN1578" s="57"/>
      </tp>
      <tp>
        <v>0</v>
        <stp/>
        <stp>8477</stp>
        <stp>CumulativeVolume</stp>
        <tr r="AN1804" s="57"/>
      </tp>
      <tp>
        <v>0</v>
        <stp/>
        <stp>2376</stp>
        <stp>CumulativeVolume</stp>
        <tr r="AN707" s="57"/>
      </tp>
      <tp>
        <v>0</v>
        <stp/>
        <stp>2476</stp>
        <stp>CumulativeVolume</stp>
        <tr r="AN1047" s="57"/>
      </tp>
      <tp>
        <v>0</v>
        <stp/>
        <stp>3276</stp>
        <stp>CumulativeVolume</stp>
        <tr r="AN1077" s="57"/>
      </tp>
      <tp>
        <v>0</v>
        <stp/>
        <stp>3376</stp>
        <stp>CumulativeVolume</stp>
        <tr r="AN1091" s="57"/>
      </tp>
      <tp>
        <v>0</v>
        <stp/>
        <stp>3176</stp>
        <stp>CumulativeVolume</stp>
        <tr r="AN313" s="57"/>
      </tp>
      <tp>
        <v>0</v>
        <stp/>
        <stp>3576</stp>
        <stp>CumulativeVolume</stp>
        <tr r="AN850" s="57"/>
      </tp>
      <tp>
        <v>0</v>
        <stp/>
        <stp>1776</stp>
        <stp>CumulativeVolume</stp>
        <tr r="AN264" s="57"/>
      </tp>
      <tp>
        <v>0</v>
        <stp/>
        <stp>1476</stp>
        <stp>CumulativeVolume</stp>
        <tr r="AN111" s="57"/>
      </tp>
      <tp>
        <v>0</v>
        <stp/>
        <stp>6276</stp>
        <stp>CumulativeVolume</stp>
        <tr r="AN785" s="57"/>
      </tp>
      <tp>
        <v>0</v>
        <stp/>
        <stp>6176</stp>
        <stp>CumulativeVolume</stp>
        <tr r="AN893" s="57"/>
      </tp>
      <tp>
        <v>0</v>
        <stp/>
        <stp>6776</stp>
        <stp>CumulativeVolume</stp>
        <tr r="AN1250" s="57"/>
      </tp>
      <tp>
        <v>0</v>
        <stp/>
        <stp>6576</stp>
        <stp>CumulativeVolume</stp>
        <tr r="AN393" s="57"/>
      </tp>
      <tp>
        <v>0</v>
        <stp/>
        <stp>4576</stp>
        <stp>CumulativeVolume</stp>
        <tr r="AN207" s="57"/>
      </tp>
      <tp>
        <v>0</v>
        <stp/>
        <stp>4976</stp>
        <stp>CumulativeVolume</stp>
        <tr r="AN872" s="57"/>
      </tp>
      <tp>
        <v>0</v>
        <stp/>
        <stp>5276</stp>
        <stp>CumulativeVolume</stp>
        <tr r="AN1327" s="57"/>
      </tp>
      <tp>
        <v>0</v>
        <stp/>
        <stp>5876</stp>
        <stp>CumulativeVolume</stp>
        <tr r="AN1617" s="57"/>
      </tp>
      <tp>
        <v>0</v>
        <stp/>
        <stp>8076</stp>
        <stp>CumulativeVolume</stp>
        <tr r="AN796" s="57"/>
      </tp>
      <tp>
        <v>0</v>
        <stp/>
        <stp>8176</stp>
        <stp>CumulativeVolume</stp>
        <tr r="AN1011" s="57"/>
      </tp>
      <tp>
        <v>0</v>
        <stp/>
        <stp>8476</stp>
        <stp>CumulativeVolume</stp>
        <tr r="AN1380" s="57"/>
      </tp>
      <tp>
        <v>0</v>
        <stp/>
        <stp>2379</stp>
        <stp>CumulativeVolume</stp>
        <tr r="AN540" s="57"/>
      </tp>
      <tp>
        <v>0</v>
        <stp/>
        <stp>3379</stp>
        <stp>CumulativeVolume</stp>
        <tr r="AN175" s="57"/>
      </tp>
      <tp>
        <v>0</v>
        <stp/>
        <stp>3679</stp>
        <stp>CumulativeVolume</stp>
        <tr r="AN1117" s="57"/>
      </tp>
      <tp>
        <v>0</v>
        <stp/>
        <stp>3479</stp>
        <stp>CumulativeVolume</stp>
        <tr r="AN739" s="57"/>
      </tp>
      <tp>
        <v>0</v>
        <stp/>
        <stp>6279</stp>
        <stp>CumulativeVolume</stp>
        <tr r="AN1184" s="57"/>
        <tr r="AN10" s="74"/>
      </tp>
      <tp>
        <v>0</v>
        <stp/>
        <stp>6179</stp>
        <stp>CumulativeVolume</stp>
        <tr r="AN26" s="28"/>
        <tr r="AN1335" s="57"/>
      </tp>
      <tp>
        <v>0</v>
        <stp/>
        <stp>6679</stp>
        <stp>CumulativeVolume</stp>
        <tr r="AN669" s="57"/>
      </tp>
      <tp>
        <v>0</v>
        <stp/>
        <stp>6579</stp>
        <stp>CumulativeVolume</stp>
        <tr r="AN791" s="57"/>
        <tr r="AN3" s="74"/>
      </tp>
      <tp>
        <v>0</v>
        <stp/>
        <stp>4979</stp>
        <stp>CumulativeVolume</stp>
        <tr r="AN973" s="57"/>
      </tp>
      <tp>
        <v>0</v>
        <stp/>
        <stp>8279</stp>
        <stp>CumulativeVolume</stp>
        <tr r="AN408" s="57"/>
      </tp>
      <tp>
        <v>0</v>
        <stp/>
        <stp>2478</stp>
        <stp>CumulativeVolume</stp>
        <tr r="AN1048" s="57"/>
      </tp>
      <tp>
        <v>0</v>
        <stp/>
        <stp>3078</stp>
        <stp>CumulativeVolume</stp>
        <tr r="AN1064" s="57"/>
      </tp>
      <tp>
        <v>0</v>
        <stp/>
        <stp>3178</stp>
        <stp>CumulativeVolume</stp>
        <tr r="AN173" s="57"/>
      </tp>
      <tp>
        <v>0</v>
        <stp/>
        <stp>6278</stp>
        <stp>CumulativeVolume</stp>
        <tr r="AN901" s="57"/>
      </tp>
      <tp>
        <v>0</v>
        <stp/>
        <stp>6578</stp>
        <stp>CumulativeVolume</stp>
        <tr r="AN1807" s="57"/>
      </tp>
      <tp>
        <v>0</v>
        <stp/>
        <stp>5278</stp>
        <stp>CumulativeVolume</stp>
        <tr r="AN1799" s="57"/>
      </tp>
      <tp>
        <v>0</v>
        <stp/>
        <stp>5478</stp>
        <stp>CumulativeVolume</stp>
        <tr r="AN1780" s="57"/>
      </tp>
      <tp>
        <v>0</v>
        <stp/>
        <stp>5878</stp>
        <stp>CumulativeVolume</stp>
        <tr r="AN1618" s="57"/>
      </tp>
      <tp>
        <v>0</v>
        <stp/>
        <stp>8478</stp>
        <stp>CumulativeVolume</stp>
        <tr r="AN1381" s="57"/>
      </tp>
      <tp>
        <v>0</v>
        <stp/>
        <stp>6491</stp>
        <stp>PredictVolume</stp>
        <tr r="AM14" s="99"/>
        <tr r="AM51" s="28"/>
        <tr r="AM382" s="57"/>
      </tp>
      <tp>
        <v>0</v>
        <stp/>
        <stp>6431</stp>
        <stp>PredictVolume</stp>
        <tr r="AM905" s="57"/>
      </tp>
      <tp>
        <v>0</v>
        <stp/>
        <stp>6411</stp>
        <stp>PredictVolume</stp>
        <tr r="AM10" s="107"/>
        <tr r="AM646" s="57"/>
      </tp>
      <tp>
        <v>0</v>
        <stp/>
        <stp>6461</stp>
        <stp>PredictVolume</stp>
        <tr r="AM379" s="57"/>
      </tp>
      <tp>
        <v>0</v>
        <stp/>
        <stp>6451</stp>
        <stp>PredictVolume</stp>
        <tr r="AM649" s="57"/>
      </tp>
      <tp>
        <v>0</v>
        <stp/>
        <stp>6441</stp>
        <stp>PredictVolume</stp>
        <tr r="AM788" s="57"/>
      </tp>
      <tp>
        <v>0</v>
        <stp/>
        <stp>6591</stp>
        <stp>PredictVolume</stp>
        <tr r="AM792" s="57"/>
      </tp>
      <tp>
        <v>0</v>
        <stp/>
        <stp>6581</stp>
        <stp>PredictVolume</stp>
        <tr r="AM1341" s="57"/>
      </tp>
      <tp>
        <v>0</v>
        <stp/>
        <stp>6531</stp>
        <stp>PredictVolume</stp>
        <tr r="AM16" s="99"/>
        <tr r="AM11" s="99"/>
        <tr r="AM45" s="28"/>
        <tr r="AM3" s="99"/>
        <tr r="AM11" s="107"/>
        <tr r="AM6" s="109"/>
        <tr r="AM658" s="57"/>
        <tr r="AM10" s="109"/>
      </tp>
      <tp>
        <v>0</v>
        <stp/>
        <stp>6561</stp>
        <stp>PredictVolume</stp>
        <tr r="AM999" s="57"/>
      </tp>
      <tp>
        <v>0</v>
        <stp/>
        <stp>6541</stp>
        <stp>PredictVolume</stp>
        <tr r="AM389" s="57"/>
      </tp>
      <tp>
        <v>0</v>
        <stp/>
        <stp>6691</stp>
        <stp>PredictVolume</stp>
        <tr r="AM1755" s="57"/>
      </tp>
      <tp>
        <v>0</v>
        <stp/>
        <stp>6671</stp>
        <stp>PredictVolume</stp>
        <tr r="AM1350" s="57"/>
      </tp>
      <tp>
        <v>0</v>
        <stp/>
        <stp>6661</stp>
        <stp>PredictVolume</stp>
        <tr r="AM399" s="57"/>
      </tp>
      <tp>
        <v>0</v>
        <stp/>
        <stp>6651</stp>
        <stp>PredictVolume</stp>
        <tr r="AM668" s="57"/>
      </tp>
      <tp>
        <v>0</v>
        <stp/>
        <stp>6641</stp>
        <stp>PredictVolume</stp>
        <tr r="AM1347" s="57"/>
      </tp>
      <tp>
        <v>0</v>
        <stp/>
        <stp>6781</stp>
        <stp>PredictVolume</stp>
        <tr r="AM1199" s="57"/>
      </tp>
      <tp>
        <v>0</v>
        <stp/>
        <stp>6761</stp>
        <stp>PredictVolume</stp>
        <tr r="AM4" s="108"/>
        <tr r="AM1198" s="57"/>
      </tp>
      <tp>
        <v>0</v>
        <stp/>
        <stp>6751</stp>
        <stp>PredictVolume</stp>
        <tr r="AM1295" s="57"/>
      </tp>
      <tp>
        <v>0</v>
        <stp/>
        <stp>6741</stp>
        <stp>PredictVolume</stp>
        <tr r="AM1801" s="57"/>
      </tp>
      <tp>
        <v>0</v>
        <stp/>
        <stp>6021</stp>
        <stp>PredictVolume</stp>
        <tr r="AM1624" s="57"/>
      </tp>
      <tp>
        <v>0</v>
        <stp/>
        <stp>6191</stp>
        <stp>PredictVolume</stp>
        <tr r="AM1166" s="57"/>
      </tp>
      <tp>
        <v>0</v>
        <stp/>
        <stp>6121</stp>
        <stp>PredictVolume</stp>
        <tr r="AM772" s="57"/>
      </tp>
      <tp>
        <v>0</v>
        <stp/>
        <stp>6111</stp>
        <stp>PredictVolume</stp>
        <tr r="AM1782" s="57"/>
      </tp>
      <tp>
        <v>0</v>
        <stp/>
        <stp>6101</stp>
        <stp>PredictVolume</stp>
        <tr r="AM1781" s="57"/>
      </tp>
      <tp>
        <v>0</v>
        <stp/>
        <stp>6171</stp>
        <stp>PredictVolume</stp>
        <tr r="AM1496" s="57"/>
      </tp>
      <tp>
        <v>0</v>
        <stp/>
        <stp>6161</stp>
        <stp>PredictVolume</stp>
        <tr r="AM777" s="57"/>
      </tp>
      <tp>
        <v>0</v>
        <stp/>
        <stp>6151</stp>
        <stp>PredictVolume</stp>
        <tr r="AM1739" s="57"/>
      </tp>
      <tp>
        <v>0</v>
        <stp/>
        <stp>6141</stp>
        <stp>PredictVolume</stp>
        <tr r="AM1156" s="57"/>
      </tp>
      <tp>
        <v>0</v>
        <stp/>
        <stp>6291</stp>
        <stp>PredictVolume</stp>
        <tr r="AM645" s="57"/>
      </tp>
      <tp>
        <v>0</v>
        <stp/>
        <stp>6281</stp>
        <stp>PredictVolume</stp>
        <tr r="AM1249" s="57"/>
      </tp>
      <tp>
        <v>0</v>
        <stp/>
        <stp>6231</stp>
        <stp>PredictVolume</stp>
        <tr r="AM1287" s="57"/>
      </tp>
      <tp>
        <v>0</v>
        <stp/>
        <stp>6221</stp>
        <stp>PredictVolume</stp>
        <tr r="AM1286" s="57"/>
      </tp>
      <tp>
        <v>0</v>
        <stp/>
        <stp>6271</stp>
        <stp>PredictVolume</stp>
        <tr r="AM5" s="98"/>
        <tr r="AM9" s="107"/>
        <tr r="AM643" s="57"/>
      </tp>
      <tp>
        <v>0</v>
        <stp/>
        <stp>6261</stp>
        <stp>PredictVolume</stp>
        <tr r="AM642" s="57"/>
      </tp>
      <tp>
        <v>0</v>
        <stp/>
        <stp>6251</stp>
        <stp>PredictVolume</stp>
        <tr r="AM1179" s="57"/>
      </tp>
      <tp>
        <v>0</v>
        <stp/>
        <stp>6241</stp>
        <stp>PredictVolume</stp>
        <tr r="AM987" s="57"/>
      </tp>
      <tp>
        <v>0</v>
        <stp/>
        <stp>4401</stp>
        <stp>PredictVolume</stp>
        <tr r="AM113" s="57"/>
      </tp>
      <tp>
        <v>0</v>
        <stp/>
        <stp>4581</stp>
        <stp>PredictVolume</stp>
        <tr r="AM524" s="57"/>
      </tp>
      <tp>
        <v>0</v>
        <stp/>
        <stp>4571</stp>
        <stp>PredictVolume</stp>
        <tr r="AM205" s="57"/>
      </tp>
      <tp>
        <v>0</v>
        <stp/>
        <stp>4561</stp>
        <stp>PredictVolume</stp>
        <tr r="AM199" s="57"/>
      </tp>
      <tp>
        <v>0</v>
        <stp/>
        <stp>4551</stp>
        <stp>PredictVolume</stp>
        <tr r="AM522" s="57"/>
      </tp>
      <tp>
        <v>0</v>
        <stp/>
        <stp>4541</stp>
        <stp>PredictVolume</stp>
        <tr r="AM1324" s="57"/>
      </tp>
      <tp>
        <v>0</v>
        <stp/>
        <stp>4721</stp>
        <stp>PredictVolume</stp>
        <tr r="AM273" s="57"/>
      </tp>
      <tp>
        <v>0</v>
        <stp/>
        <stp>4711</stp>
        <stp>PredictVolume</stp>
        <tr r="AM269" s="57"/>
      </tp>
      <tp>
        <v>0</v>
        <stp/>
        <stp>4741</stp>
        <stp>PredictVolume</stp>
        <tr r="AM276" s="57"/>
      </tp>
      <tp t="s">
        <v>商品錯誤</v>
        <stp/>
        <stp>4131</stp>
        <stp>PredictVolume</stp>
        <tr r="AM336" s="57"/>
      </tp>
      <tp>
        <v>0</v>
        <stp/>
        <stp>4121</stp>
        <stp>PredictVolume</stp>
        <tr r="AM329" s="57"/>
      </tp>
      <tp>
        <v>0</v>
        <stp/>
        <stp>4111</stp>
        <stp>PredictVolume</stp>
        <tr r="AM324" s="57"/>
      </tp>
      <tp>
        <v>0</v>
        <stp/>
        <stp>4171</stp>
        <stp>PredictVolume</stp>
        <tr r="AM1810" s="57"/>
      </tp>
      <tp>
        <v>0</v>
        <stp/>
        <stp>4161</stp>
        <stp>PredictVolume</stp>
        <tr r="AM350" s="57"/>
      </tp>
      <tp>
        <v>0</v>
        <stp/>
        <stp>4141</stp>
        <stp>PredictVolume</stp>
        <tr r="AM341" s="57"/>
      </tp>
      <tp>
        <v>0</v>
        <stp/>
        <stp>4991</stp>
        <stp>PredictVolume</stp>
        <tr r="AM609" s="57"/>
      </tp>
      <tp>
        <v>0</v>
        <stp/>
        <stp>4931</stp>
        <stp>PredictVolume</stp>
        <tr r="AM757" s="57"/>
      </tp>
      <tp>
        <v>0</v>
        <stp/>
        <stp>4911</stp>
        <stp>PredictVolume</stp>
        <tr r="AM374" s="57"/>
      </tp>
      <tp>
        <v>0</v>
        <stp/>
        <stp>4971</stp>
        <stp>PredictVolume</stp>
        <tr r="AM607" s="57"/>
      </tp>
      <tp>
        <v>0</v>
        <stp/>
        <stp>4961</stp>
        <stp>PredictVolume</stp>
        <tr r="AM603" s="57"/>
      </tp>
      <tp>
        <v>0</v>
        <stp/>
        <stp>5481</stp>
        <stp>PredictVolume</stp>
        <tr r="AM1332" s="57"/>
      </tp>
      <tp>
        <v>0</v>
        <stp/>
        <stp>5471</stp>
        <stp>PredictVolume</stp>
        <tr r="AM24" s="28"/>
        <tr r="AM624" s="57"/>
      </tp>
      <tp>
        <v>0</v>
        <stp/>
        <stp>5531</stp>
        <stp>PredictVolume</stp>
        <tr r="AM1491" s="57"/>
      </tp>
      <tp>
        <v>0</v>
        <stp/>
        <stp>5521</stp>
        <stp>PredictVolume</stp>
        <tr r="AM1487" s="57"/>
      </tp>
      <tp>
        <v>0</v>
        <stp/>
        <stp>5511</stp>
        <stp>PredictVolume</stp>
        <tr r="AM1480" s="57"/>
      </tp>
      <tp>
        <v>0</v>
        <stp/>
        <stp>5601</stp>
        <stp>PredictVolume</stp>
        <tr r="AM1529" s="57"/>
      </tp>
      <tp>
        <v>0</v>
        <stp/>
        <stp>5701</stp>
        <stp>PredictVolume</stp>
        <tr r="AM1574" s="57"/>
      </tp>
      <tp>
        <v>0</v>
        <stp/>
        <stp>5011</stp>
        <stp>PredictVolume</stp>
        <tr r="AM465" s="57"/>
      </tp>
      <tp>
        <v>0</v>
        <stp/>
        <stp>5291</stp>
        <stp>PredictVolume</stp>
        <tr r="AM1132" s="57"/>
      </tp>
      <tp>
        <v>0</v>
        <stp/>
        <stp>5281</stp>
        <stp>PredictVolume</stp>
        <tr r="AM880" s="57"/>
      </tp>
      <tp>
        <v>0</v>
        <stp/>
        <stp>5211</stp>
        <stp>PredictVolume</stp>
        <tr r="AM1276" s="57"/>
      </tp>
      <tp>
        <v>0</v>
        <stp/>
        <stp>5201</stp>
        <stp>PredictVolume</stp>
        <tr r="AM1271" s="57"/>
      </tp>
      <tp>
        <v>0</v>
        <stp/>
        <stp>5251</stp>
        <stp>PredictVolume</stp>
        <tr r="AM879" s="57"/>
      </tp>
      <tp>
        <v>0</v>
        <stp/>
        <stp>5381</stp>
        <stp>PredictVolume</stp>
        <tr r="AM1139" s="57"/>
      </tp>
      <tp>
        <v>0</v>
        <stp/>
        <stp>5321</stp>
        <stp>PredictVolume</stp>
        <tr r="AM1134" s="57"/>
      </tp>
      <tp>
        <v>0</v>
        <stp/>
        <stp>5301</stp>
        <stp>PredictVolume</stp>
        <tr r="AM1572" s="57"/>
      </tp>
      <tp>
        <v>0</v>
        <stp/>
        <stp>5371</stp>
        <stp>PredictVolume</stp>
        <tr r="AM882" s="57"/>
      </tp>
      <tp>
        <v>0</v>
        <stp/>
        <stp>5351</stp>
        <stp>PredictVolume</stp>
        <tr r="AM621" s="57"/>
      </tp>
      <tp>
        <v>0</v>
        <stp/>
        <stp>5871</stp>
        <stp>PredictVolume</stp>
        <tr r="AM1334" s="57"/>
      </tp>
      <tp>
        <v>0</v>
        <stp/>
        <stp>2491</stp>
        <stp>PredictVolume</stp>
        <tr r="AM817" s="57"/>
      </tp>
      <tp>
        <v>0</v>
        <stp/>
        <stp>2481</stp>
        <stp>PredictVolume</stp>
        <tr r="AM551" s="57"/>
      </tp>
      <tp>
        <v>0</v>
        <stp/>
        <stp>2431</stp>
        <stp>PredictVolume</stp>
        <tr r="AM1039" s="57"/>
      </tp>
      <tp>
        <v>0</v>
        <stp/>
        <stp>2421</stp>
        <stp>PredictVolume</stp>
        <tr r="AM1036" s="57"/>
      </tp>
      <tp>
        <v>0</v>
        <stp/>
        <stp>2401</stp>
        <stp>PredictVolume</stp>
        <tr r="AM542" s="57"/>
      </tp>
      <tp>
        <v>0</v>
        <stp/>
        <stp>2471</stp>
        <stp>PredictVolume</stp>
        <tr r="AM1264" s="57"/>
      </tp>
      <tp>
        <v>0</v>
        <stp/>
        <stp>2461</stp>
        <stp>PredictVolume</stp>
        <tr r="AM1694" s="57"/>
        <tr r="AM8" s="115"/>
      </tp>
      <tp>
        <v>0</v>
        <stp/>
        <stp>2451</stp>
        <stp>PredictVolume</stp>
        <tr r="AM548" s="57"/>
      </tp>
      <tp>
        <v>0</v>
        <stp/>
        <stp>2441</stp>
        <stp>PredictVolume</stp>
        <tr r="AM546" s="57"/>
      </tp>
      <tp>
        <v>0</v>
        <stp/>
        <stp>2511</stp>
        <stp>PredictVolume</stp>
        <tr r="AM1442" s="57"/>
      </tp>
      <tp>
        <v>0</v>
        <stp/>
        <stp>2501</stp>
        <stp>PredictVolume</stp>
        <tr r="AM1437" s="57"/>
      </tp>
      <tp>
        <v>0</v>
        <stp/>
        <stp>2611</stp>
        <stp>PredictVolume</stp>
        <tr r="AM1515" s="57"/>
      </tp>
      <tp>
        <v>0</v>
        <stp/>
        <stp>2601</stp>
        <stp>PredictVolume</stp>
        <tr r="AM1631" s="57"/>
      </tp>
      <tp>
        <v>0</v>
        <stp/>
        <stp>2641</stp>
        <stp>PredictVolume</stp>
        <tr r="AM1526" s="57"/>
      </tp>
      <tp>
        <v>0</v>
        <stp/>
        <stp>2731</stp>
        <stp>PredictVolume</stp>
        <tr r="AM1555" s="57"/>
      </tp>
      <tp>
        <v>0</v>
        <stp/>
        <stp>2701</stp>
        <stp>PredictVolume</stp>
        <tr r="AM1540" s="57"/>
      </tp>
      <tp>
        <v>0</v>
        <stp/>
        <stp>2031</stp>
        <stp>PredictVolume</stp>
        <tr r="AM451" s="57"/>
      </tp>
      <tp>
        <v>0</v>
        <stp/>
        <stp>2061</stp>
        <stp>PredictVolume</stp>
        <tr r="AM237" s="57"/>
      </tp>
      <tp>
        <v>0</v>
        <stp/>
        <stp>2101</stp>
        <stp>PredictVolume</stp>
        <tr r="AM479" s="57"/>
      </tp>
      <tp>
        <v>0</v>
        <stp/>
        <stp>2231</stp>
        <stp>PredictVolume</stp>
        <tr r="AM513" s="57"/>
      </tp>
      <tp>
        <v>0</v>
        <stp/>
        <stp>2221</stp>
        <stp>PredictVolume</stp>
        <tr r="AM1310" s="57"/>
      </tp>
      <tp>
        <v>0</v>
        <stp/>
        <stp>2211</stp>
        <stp>PredictVolume</stp>
        <tr r="AM461" s="57"/>
      </tp>
      <tp>
        <v>0</v>
        <stp/>
        <stp>2201</stp>
        <stp>PredictVolume</stp>
        <tr r="AM507" s="57"/>
      </tp>
      <tp>
        <v>0</v>
        <stp/>
        <stp>2241</stp>
        <stp>PredictVolume</stp>
        <tr r="AM169" s="57"/>
      </tp>
      <tp>
        <v>0</v>
        <stp/>
        <stp>2331</stp>
        <stp>PredictVolume</stp>
        <tr r="AM699" s="57"/>
      </tp>
      <tp>
        <v>0</v>
        <stp/>
        <stp>2321</stp>
        <stp>PredictVolume</stp>
        <tr r="AM926" s="57"/>
      </tp>
      <tp>
        <v>0</v>
        <stp/>
        <stp>2301</stp>
        <stp>PredictVolume</stp>
        <tr r="AM696" s="57"/>
      </tp>
      <tp>
        <v>0</v>
        <stp/>
        <stp>2371</stp>
        <stp>PredictVolume</stp>
        <tr r="AM170" s="57"/>
      </tp>
      <tp>
        <v>0</v>
        <stp/>
        <stp>2351</stp>
        <stp>PredictVolume</stp>
        <tr r="AM537" s="57"/>
      </tp>
      <tp>
        <v>0</v>
        <stp/>
        <stp>2891</stp>
        <stp>PredictVolume</stp>
        <tr r="AM1612" s="57"/>
      </tp>
      <tp>
        <v>0</v>
        <stp/>
        <stp>2881</stp>
        <stp>PredictVolume</stp>
        <tr r="AM1602" s="57"/>
      </tp>
      <tp>
        <v>0</v>
        <stp/>
        <stp>2801</stp>
        <stp>PredictVolume</stp>
        <tr r="AM1584" s="57"/>
      </tp>
      <tp>
        <v>0</v>
        <stp/>
        <stp>2851</stp>
        <stp>PredictVolume</stp>
        <tr r="AM1597" s="57"/>
      </tp>
      <tp>
        <v>0</v>
        <stp/>
        <stp>2841</stp>
        <stp>PredictVolume</stp>
        <tr r="AM1464" s="57"/>
      </tp>
      <tp>
        <v>0</v>
        <stp/>
        <stp>2911</stp>
        <stp>PredictVolume</stp>
        <tr r="AM1639" s="57"/>
      </tp>
      <tp>
        <v>0</v>
        <stp/>
        <stp>2901</stp>
        <stp>PredictVolume</stp>
        <tr r="AM1633" s="57"/>
      </tp>
      <tp>
        <v>0</v>
        <stp/>
        <stp>3491</stp>
        <stp>PredictVolume</stp>
        <tr r="AM955" s="57"/>
      </tp>
      <tp>
        <v>0</v>
        <stp/>
        <stp>3481</stp>
        <stp>PredictVolume</stp>
        <tr r="AM5" s="94"/>
        <tr r="AM9" s="94"/>
        <tr r="AM842" s="57"/>
      </tp>
      <tp>
        <v>0</v>
        <stp/>
        <stp>3441</stp>
        <stp>PredictVolume</stp>
        <tr r="AM839" s="57"/>
      </tp>
      <tp>
        <v>0</v>
        <stp/>
        <stp>3591</stp>
        <stp>PredictVolume</stp>
        <tr r="AM851" s="57"/>
      </tp>
      <tp>
        <v>0</v>
        <stp/>
        <stp>3581</stp>
        <stp>PredictVolume</stp>
        <tr r="AM590" s="57"/>
      </tp>
      <tp>
        <v>0</v>
        <stp/>
        <stp>3531</stp>
        <stp>PredictVolume</stp>
        <tr r="AM846" s="57"/>
      </tp>
      <tp>
        <v>0</v>
        <stp/>
        <stp>3521</stp>
        <stp>PredictVolume</stp>
        <tr r="AM743" s="57"/>
      </tp>
      <tp>
        <v>0</v>
        <stp/>
        <stp>3511</stp>
        <stp>PredictVolume</stp>
        <tr r="AM1099" s="57"/>
      </tp>
      <tp>
        <v>0</v>
        <stp/>
        <stp>3501</stp>
        <stp>PredictVolume</stp>
        <tr r="AM1098" s="57"/>
      </tp>
      <tp>
        <v>0</v>
        <stp/>
        <stp>3551</stp>
        <stp>PredictVolume</stp>
        <tr r="AM1719" s="57"/>
      </tp>
      <tp>
        <v>0</v>
        <stp/>
        <stp>3541</stp>
        <stp>PredictVolume</stp>
        <tr r="AM1718" s="57"/>
      </tp>
      <tp>
        <v>0</v>
        <stp/>
        <stp>3691</stp>
        <stp>PredictVolume</stp>
        <tr r="AM860" s="57"/>
      </tp>
      <tp>
        <v>0</v>
        <stp/>
        <stp>3631</stp>
        <stp>PredictVolume</stp>
        <tr r="AM1113" s="57"/>
      </tp>
      <tp>
        <v>0</v>
        <stp/>
        <stp>3611</stp>
        <stp>PredictVolume</stp>
        <tr r="AM747" s="57"/>
      </tp>
      <tp>
        <v>0</v>
        <stp/>
        <stp>3661</stp>
        <stp>PredictVolume</stp>
        <tr r="AM26" s="107"/>
        <tr r="AM594" s="57"/>
      </tp>
      <tp>
        <v>0</v>
        <stp/>
        <stp>3711</stp>
        <stp>PredictVolume</stp>
        <tr r="AM599" s="57"/>
      </tp>
      <tp>
        <v>0</v>
        <stp/>
        <stp>3701</stp>
        <stp>PredictVolume</stp>
        <tr r="AM751" s="57"/>
      </tp>
      <tp>
        <v>0</v>
        <stp/>
        <stp>3081</stp>
        <stp>PredictVolume</stp>
        <tr r="AM942" s="57"/>
      </tp>
      <tp>
        <v>0</v>
        <stp/>
        <stp>3031</stp>
        <stp>PredictVolume</stp>
        <tr r="AM821" s="57"/>
      </tp>
      <tp>
        <v>0</v>
        <stp/>
        <stp>3021</stp>
        <stp>PredictVolume</stp>
        <tr r="AM1056" s="57"/>
      </tp>
      <tp>
        <v>0</v>
        <stp/>
        <stp>3011</stp>
        <stp>PredictVolume</stp>
        <tr r="AM1054" s="57"/>
      </tp>
      <tp>
        <v>0</v>
        <stp/>
        <stp>3071</stp>
        <stp>PredictVolume</stp>
        <tr r="AM729" s="57"/>
      </tp>
      <tp>
        <v>0</v>
        <stp/>
        <stp>3051</stp>
        <stp>PredictVolume</stp>
        <tr r="AM825" s="57"/>
      </tp>
      <tp>
        <v>0</v>
        <stp/>
        <stp>3041</stp>
        <stp>PredictVolume</stp>
        <tr r="AM10" s="115"/>
        <tr r="AM557" s="57"/>
      </tp>
      <tp>
        <v>0</v>
        <stp/>
        <stp>3191</stp>
        <stp>PredictVolume</stp>
        <tr r="AM1070" s="57"/>
      </tp>
      <tp>
        <v>0</v>
        <stp/>
        <stp>3131</stp>
        <stp>PredictVolume</stp>
        <tr r="AM1706" s="57"/>
      </tp>
      <tp>
        <v>0</v>
        <stp/>
        <stp>3171</stp>
        <stp>PredictVolume</stp>
        <tr r="AM1650" s="57"/>
      </tp>
      <tp>
        <v>0</v>
        <stp/>
        <stp>3141</stp>
        <stp>PredictVolume</stp>
        <tr r="AM563" s="57"/>
      </tp>
      <tp>
        <v>0</v>
        <stp/>
        <stp>3231</stp>
        <stp>PredictVolume</stp>
        <tr r="AM733" s="57"/>
      </tp>
      <tp>
        <v>0</v>
        <stp/>
        <stp>3221</stp>
        <stp>PredictVolume</stp>
        <tr r="AM947" s="57"/>
      </tp>
      <tp>
        <v>0</v>
        <stp/>
        <stp>3211</stp>
        <stp>PredictVolume</stp>
        <tr r="AM731" s="57"/>
      </tp>
      <tp>
        <v>0</v>
        <stp/>
        <stp>3321</stp>
        <stp>PredictVolume</stp>
        <tr r="AM1085" s="57"/>
      </tp>
      <tp>
        <v>0</v>
        <stp/>
        <stp>3311</stp>
        <stp>PredictVolume</stp>
        <tr r="AM950" s="57"/>
      </tp>
      <tp>
        <v>0</v>
        <stp/>
        <stp>1471</stp>
        <stp>PredictVolume</stp>
        <tr r="AM1015" s="57"/>
      </tp>
      <tp>
        <v>0</v>
        <stp/>
        <stp>1451</stp>
        <stp>PredictVolume</stp>
        <tr r="AM91" s="57"/>
      </tp>
      <tp>
        <v>0</v>
        <stp/>
        <stp>1441</stp>
        <stp>PredictVolume</stp>
        <tr r="AM84" s="57"/>
      </tp>
      <tp>
        <v>0</v>
        <stp/>
        <stp>1591</stp>
        <stp>PredictVolume</stp>
        <tr r="AM160" s="57"/>
      </tp>
      <tp>
        <v>0</v>
        <stp/>
        <stp>1531</stp>
        <stp>PredictVolume</stp>
        <tr r="AM144" s="57"/>
      </tp>
      <tp>
        <v>0</v>
        <stp/>
        <stp>1521</stp>
        <stp>PredictVolume</stp>
        <tr r="AM497" s="57"/>
      </tp>
      <tp>
        <v>0</v>
        <stp/>
        <stp>1541</stp>
        <stp>PredictVolume</stp>
        <tr r="AM151" s="57"/>
      </tp>
      <tp>
        <v>0</v>
        <stp/>
        <stp>1611</stp>
        <stp>PredictVolume</stp>
        <tr r="AM229" s="57"/>
      </tp>
      <tp>
        <v>0</v>
        <stp/>
        <stp>1781</stp>
        <stp>PredictVolume</stp>
        <tr r="AM302" s="57"/>
      </tp>
      <tp>
        <v>0</v>
        <stp/>
        <stp>1731</stp>
        <stp>PredictVolume</stp>
        <tr r="AM294" s="57"/>
      </tp>
      <tp>
        <v>0</v>
        <stp/>
        <stp>1721</stp>
        <stp>PredictVolume</stp>
        <tr r="AM252" s="57"/>
      </tp>
      <tp>
        <v>0</v>
        <stp/>
        <stp>1711</stp>
        <stp>PredictVolume</stp>
        <tr r="AM246" s="57"/>
      </tp>
      <tp>
        <v>0</v>
        <stp/>
        <stp>1701</stp>
        <stp>PredictVolume</stp>
        <tr r="AM291" s="57"/>
      </tp>
      <tp>
        <v>0</v>
        <stp/>
        <stp>1101</stp>
        <stp>PredictVolume</stp>
        <tr r="AM5" s="57"/>
      </tp>
      <tp>
        <v>0</v>
        <stp/>
        <stp>1231</stp>
        <stp>PredictVolume</stp>
        <tr r="AM27" s="57"/>
      </tp>
      <tp>
        <v>0</v>
        <stp/>
        <stp>1201</stp>
        <stp>PredictVolume</stp>
        <tr r="AM14" s="57"/>
      </tp>
      <tp>
        <v>0</v>
        <stp/>
        <stp>1321</stp>
        <stp>PredictVolume</stp>
        <tr r="AM56" s="57"/>
      </tp>
      <tp>
        <v>0</v>
        <stp/>
        <stp>1301</stp>
        <stp>PredictVolume</stp>
        <tr r="AM44" s="57"/>
      </tp>
      <tp>
        <v>0</v>
        <stp/>
        <stp>1341</stp>
        <stp>PredictVolume</stp>
        <tr r="AM63" s="57"/>
      </tp>
      <tp>
        <v>0</v>
        <stp/>
        <stp>8481</stp>
        <stp>PredictVolume</stp>
        <tr r="AM1383" s="57"/>
      </tp>
      <tp>
        <v>0</v>
        <stp/>
        <stp>8431</stp>
        <stp>PredictVolume</stp>
        <tr r="AM1765" s="57"/>
      </tp>
      <tp>
        <v>0</v>
        <stp/>
        <stp>8421</stp>
        <stp>PredictVolume</stp>
        <tr r="AM1365" s="57"/>
      </tp>
      <tp>
        <v>0</v>
        <stp/>
        <stp>8411</stp>
        <stp>PredictVolume</stp>
        <tr r="AM1362" s="57"/>
      </tp>
      <tp>
        <v>0</v>
        <stp/>
        <stp>8401</stp>
        <stp>PredictVolume</stp>
        <tr r="AM1360" s="57"/>
      </tp>
      <tp>
        <v>0</v>
        <stp/>
        <stp>8091</stp>
        <stp>PredictVolume</stp>
        <tr r="AM1208" s="57"/>
      </tp>
      <tp>
        <v>0</v>
        <stp/>
        <stp>8081</stp>
        <stp>PredictVolume</stp>
        <tr r="AM683" s="57"/>
      </tp>
      <tp>
        <v>0</v>
        <stp/>
        <stp>8021</stp>
        <stp>PredictVolume</stp>
        <tr r="AM1758" s="57"/>
      </tp>
      <tp>
        <v>0</v>
        <stp/>
        <stp>8011</stp>
        <stp>PredictVolume</stp>
        <tr r="AM1003" s="57"/>
      </tp>
      <tp>
        <v>0</v>
        <stp/>
        <stp>8071</stp>
        <stp>PredictVolume</stp>
        <tr r="AM1205" s="57"/>
      </tp>
      <tp>
        <v>0</v>
        <stp/>
        <stp>8131</stp>
        <stp>PredictVolume</stp>
        <tr r="AM687" s="57"/>
      </tp>
      <tp>
        <v>0</v>
        <stp/>
        <stp>8121</stp>
        <stp>PredictVolume</stp>
        <tr r="AM1212" s="57"/>
      </tp>
      <tp>
        <v>0</v>
        <stp/>
        <stp>8111</stp>
        <stp>PredictVolume</stp>
        <tr r="AM920" s="57"/>
      </tp>
      <tp>
        <v>0</v>
        <stp/>
        <stp>8101</stp>
        <stp>PredictVolume</stp>
        <tr r="AM1009" s="57"/>
      </tp>
      <tp>
        <v>0</v>
        <stp/>
        <stp>8171</stp>
        <stp>PredictVolume</stp>
        <tr r="AM1010" s="57"/>
      </tp>
      <tp>
        <v>0</v>
        <stp/>
        <stp>8291</stp>
        <stp>PredictVolume</stp>
        <tr r="AM1219" s="57"/>
      </tp>
      <tp>
        <v>0</v>
        <stp/>
        <stp>8201</stp>
        <stp>PredictVolume</stp>
        <tr r="AM1763" s="57"/>
      </tp>
      <tp>
        <v>0</v>
        <stp/>
        <stp>8271</stp>
        <stp>PredictVolume</stp>
        <tr r="AM690" s="57"/>
      </tp>
      <tp>
        <v>0</v>
        <stp/>
        <stp>8261</stp>
        <stp>PredictVolume</stp>
        <tr r="AM689" s="57"/>
      </tp>
      <tp>
        <v>0</v>
        <stp/>
        <stp>8341</stp>
        <stp>PredictVolume</stp>
        <tr r="AM1357" s="57"/>
      </tp>
      <tp>
        <v>0</v>
        <stp/>
        <stp>8931</stp>
        <stp>PredictVolume</stp>
        <tr r="AM1673" s="57"/>
      </tp>
      <tp>
        <v>0</v>
        <stp/>
        <stp>8921</stp>
        <stp>PredictVolume</stp>
        <tr r="AM1390" s="57"/>
      </tp>
      <tp>
        <v>0</v>
        <stp/>
        <stp>8941</stp>
        <stp>PredictVolume</stp>
        <tr r="AM1665" s="57"/>
      </tp>
      <tp>
        <v>0</v>
        <stp/>
        <stp>9931</stp>
        <stp>PredictVolume</stp>
        <tr r="AM1672" s="57"/>
      </tp>
      <tp>
        <v>0</v>
        <stp/>
        <stp>9921</stp>
        <stp>PredictVolume</stp>
        <tr r="AM1411" s="57"/>
      </tp>
      <tp>
        <v>0</v>
        <stp/>
        <stp>9911</stp>
        <stp>PredictVolume</stp>
        <tr r="AM1407" s="57"/>
      </tp>
      <tp>
        <v>0</v>
        <stp/>
        <stp>9951</stp>
        <stp>PredictVolume</stp>
        <tr r="AM221" s="57"/>
      </tp>
      <tp>
        <v>0</v>
        <stp/>
        <stp>9941</stp>
        <stp>PredictVolume</stp>
        <tr r="AM1424" s="57"/>
      </tp>
      <tp>
        <v>0</v>
        <stp/>
        <stp>2241</stp>
        <stp>CumulativeVolume</stp>
        <tr r="AN169" s="57"/>
      </tp>
      <tp>
        <v>0</v>
        <stp/>
        <stp>2641</stp>
        <stp>CumulativeVolume</stp>
        <tr r="AN1526" s="57"/>
      </tp>
      <tp>
        <v>0</v>
        <stp/>
        <stp>2441</stp>
        <stp>CumulativeVolume</stp>
        <tr r="AN546" s="57"/>
      </tp>
      <tp>
        <v>0</v>
        <stp/>
        <stp>2841</stp>
        <stp>CumulativeVolume</stp>
        <tr r="AN1464" s="57"/>
      </tp>
      <tp>
        <v>0</v>
        <stp/>
        <stp>3041</stp>
        <stp>CumulativeVolume</stp>
        <tr r="AN10" s="115"/>
        <tr r="AN557" s="57"/>
      </tp>
      <tp>
        <v>0</v>
        <stp/>
        <stp>3141</stp>
        <stp>CumulativeVolume</stp>
        <tr r="AN563" s="57"/>
      </tp>
      <tp>
        <v>0</v>
        <stp/>
        <stp>3441</stp>
        <stp>CumulativeVolume</stp>
        <tr r="AN839" s="57"/>
      </tp>
      <tp>
        <v>0</v>
        <stp/>
        <stp>3541</stp>
        <stp>CumulativeVolume</stp>
        <tr r="AN1718" s="57"/>
      </tp>
      <tp>
        <v>0</v>
        <stp/>
        <stp>1341</stp>
        <stp>CumulativeVolume</stp>
        <tr r="AN63" s="57"/>
      </tp>
      <tp>
        <v>0</v>
        <stp/>
        <stp>1441</stp>
        <stp>CumulativeVolume</stp>
        <tr r="AN84" s="57"/>
      </tp>
      <tp>
        <v>0</v>
        <stp/>
        <stp>1541</stp>
        <stp>CumulativeVolume</stp>
        <tr r="AN151" s="57"/>
      </tp>
      <tp>
        <v>0</v>
        <stp/>
        <stp>6241</stp>
        <stp>CumulativeVolume</stp>
        <tr r="AN987" s="57"/>
      </tp>
      <tp>
        <v>0</v>
        <stp/>
        <stp>6141</stp>
        <stp>CumulativeVolume</stp>
        <tr r="AN1156" s="57"/>
      </tp>
      <tp>
        <v>0</v>
        <stp/>
        <stp>6641</stp>
        <stp>CumulativeVolume</stp>
        <tr r="AN1347" s="57"/>
      </tp>
      <tp>
        <v>0</v>
        <stp/>
        <stp>6741</stp>
        <stp>CumulativeVolume</stp>
        <tr r="AN1801" s="57"/>
      </tp>
      <tp>
        <v>0</v>
        <stp/>
        <stp>6441</stp>
        <stp>CumulativeVolume</stp>
        <tr r="AN788" s="57"/>
      </tp>
      <tp>
        <v>0</v>
        <stp/>
        <stp>6541</stp>
        <stp>CumulativeVolume</stp>
        <tr r="AN389" s="57"/>
      </tp>
      <tp>
        <v>0</v>
        <stp/>
        <stp>4141</stp>
        <stp>CumulativeVolume</stp>
        <tr r="AN341" s="57"/>
      </tp>
      <tp>
        <v>0</v>
        <stp/>
        <stp>4741</stp>
        <stp>CumulativeVolume</stp>
        <tr r="AN276" s="57"/>
      </tp>
      <tp>
        <v>0</v>
        <stp/>
        <stp>4541</stp>
        <stp>CumulativeVolume</stp>
        <tr r="AN1324" s="57"/>
      </tp>
      <tp>
        <v>0</v>
        <stp/>
        <stp>8341</stp>
        <stp>CumulativeVolume</stp>
        <tr r="AN1357" s="57"/>
      </tp>
      <tp>
        <v>0</v>
        <stp/>
        <stp>8941</stp>
        <stp>CumulativeVolume</stp>
        <tr r="AN1665" s="57"/>
      </tp>
      <tp>
        <v>0</v>
        <stp/>
        <stp>9941</stp>
        <stp>CumulativeVolume</stp>
        <tr r="AN1424" s="57"/>
      </tp>
      <tp>
        <v>0</v>
        <stp/>
        <stp>2340</stp>
        <stp>CumulativeVolume</stp>
        <tr r="AN806" s="57"/>
      </tp>
      <tp>
        <v>0</v>
        <stp/>
        <stp>2640</stp>
        <stp>CumulativeVolume</stp>
        <tr r="AN1316" s="57"/>
      </tp>
      <tp>
        <v>0</v>
        <stp/>
        <stp>2740</stp>
        <stp>CumulativeVolume</stp>
        <tr r="AN1560" s="57"/>
      </tp>
      <tp>
        <v>0</v>
        <stp/>
        <stp>2440</stp>
        <stp>CumulativeVolume</stp>
        <tr r="AN1040" s="57"/>
      </tp>
      <tp>
        <v>0</v>
        <stp/>
        <stp>2540</stp>
        <stp>CumulativeVolume</stp>
        <tr r="AN1455" s="57"/>
      </tp>
      <tp>
        <v>0</v>
        <stp/>
        <stp>3040</stp>
        <stp>CumulativeVolume</stp>
        <tr r="AN1318" s="57"/>
      </tp>
      <tp>
        <v>0</v>
        <stp/>
        <stp>3540</stp>
        <stp>CumulativeVolume</stp>
        <tr r="AN744" s="57"/>
      </tp>
      <tp>
        <v>0</v>
        <stp/>
        <stp>1240</stp>
        <stp>CumulativeVolume</stp>
        <tr r="AN1808" s="57"/>
      </tp>
      <tp>
        <v>0</v>
        <stp/>
        <stp>1340</stp>
        <stp>CumulativeVolume</stp>
        <tr r="AN62" s="57"/>
      </tp>
      <tp>
        <v>0</v>
        <stp/>
        <stp>1440</stp>
        <stp>CumulativeVolume</stp>
        <tr r="AN83" s="57"/>
      </tp>
      <tp>
        <v>0</v>
        <stp/>
        <stp>1540</stp>
        <stp>CumulativeVolume</stp>
        <tr r="AN150" s="57"/>
      </tp>
      <tp>
        <v>0</v>
        <stp/>
        <stp>6240</stp>
        <stp>CumulativeVolume</stp>
        <tr r="AN1288" s="57"/>
      </tp>
      <tp>
        <v>0</v>
        <stp/>
        <stp>6140</stp>
        <stp>CumulativeVolume</stp>
        <tr r="AN1282" s="57"/>
      </tp>
      <tp>
        <v>0</v>
        <stp/>
        <stp>6640</stp>
        <stp>CumulativeVolume</stp>
        <tr r="AN666" s="57"/>
        <tr r="AN5" s="108"/>
      </tp>
      <tp>
        <v>0</v>
        <stp/>
        <stp>4440</stp>
        <stp>CumulativeVolume</stp>
        <tr r="AN8" s="98"/>
        <tr r="AN127" s="57"/>
      </tp>
      <tp>
        <v>0</v>
        <stp/>
        <stp>4540</stp>
        <stp>CumulativeVolume</stp>
        <tr r="AN192" s="57"/>
      </tp>
      <tp>
        <v>0</v>
        <stp/>
        <stp>5340</stp>
        <stp>CumulativeVolume</stp>
        <tr r="AN1136" s="57"/>
      </tp>
      <tp>
        <v>0</v>
        <stp/>
        <stp>8240</stp>
        <stp>CumulativeVolume</stp>
        <tr r="AN922" s="57"/>
      </tp>
      <tp>
        <v>0</v>
        <stp/>
        <stp>8040</stp>
        <stp>CumulativeVolume</stp>
        <tr r="AN681" s="57"/>
      </tp>
      <tp>
        <v>0</v>
        <stp/>
        <stp>8440</stp>
        <stp>CumulativeVolume</stp>
        <tr r="AN1372" s="57"/>
      </tp>
      <tp>
        <v>0</v>
        <stp/>
        <stp>8940</stp>
        <stp>CumulativeVolume</stp>
        <tr r="AN1580" s="57"/>
      </tp>
      <tp>
        <v>0</v>
        <stp/>
        <stp>9940</stp>
        <stp>CumulativeVolume</stp>
        <tr r="AN1423" s="57"/>
      </tp>
      <tp>
        <v>0</v>
        <stp/>
        <stp>2243</stp>
        <stp>CumulativeVolume</stp>
        <tr r="AN517" s="57"/>
      </tp>
      <tp>
        <v>0</v>
        <stp/>
        <stp>2643</stp>
        <stp>CumulativeVolume</stp>
        <tr r="AN1528" s="57"/>
      </tp>
      <tp>
        <v>0</v>
        <stp/>
        <stp>2743</stp>
        <stp>CumulativeVolume</stp>
        <tr r="AN1561" s="57"/>
      </tp>
      <tp>
        <v>0</v>
        <stp/>
        <stp>2443</stp>
        <stp>CumulativeVolume</stp>
        <tr r="AN1313" s="57"/>
      </tp>
      <tp>
        <v>0</v>
        <stp/>
        <stp>2543</stp>
        <stp>CumulativeVolume</stp>
        <tr r="AN1457" s="57"/>
      </tp>
      <tp>
        <v>0</v>
        <stp/>
        <stp>3043</stp>
        <stp>CumulativeVolume</stp>
        <tr r="AN1703" s="57"/>
      </tp>
      <tp>
        <v>0</v>
        <stp/>
        <stp>3443</stp>
        <stp>CumulativeVolume</stp>
        <tr r="AN580" s="57"/>
      </tp>
      <tp>
        <v>0</v>
        <stp/>
        <stp>3543</stp>
        <stp>CumulativeVolume</stp>
        <tr r="AN848" s="57"/>
      </tp>
      <tp>
        <v>0</v>
        <stp/>
        <stp>1443</stp>
        <stp>CumulativeVolume</stp>
        <tr r="AN85" s="57"/>
      </tp>
      <tp>
        <v>0</v>
        <stp/>
        <stp>6243</stp>
        <stp>CumulativeVolume</stp>
        <tr r="AN640" s="57"/>
      </tp>
      <tp>
        <v>0</v>
        <stp/>
        <stp>6143</stp>
        <stp>CumulativeVolume</stp>
        <tr r="AN980" s="57"/>
      </tp>
      <tp>
        <v>0</v>
        <stp/>
        <stp>6643</stp>
        <stp>CumulativeVolume</stp>
        <tr r="AN667" s="57"/>
      </tp>
      <tp>
        <v>0</v>
        <stp/>
        <stp>6743</stp>
        <stp>CumulativeVolume</stp>
        <tr r="AN1757" s="57"/>
      </tp>
      <tp>
        <v>0</v>
        <stp/>
        <stp>6443</stp>
        <stp>CumulativeVolume</stp>
        <tr r="AN906" s="57"/>
      </tp>
      <tp>
        <v>0</v>
        <stp/>
        <stp>4743</stp>
        <stp>CumulativeVolume</stp>
        <tr r="AN369" s="57"/>
        <tr r="AN12" s="28"/>
      </tp>
      <tp>
        <v>0</v>
        <stp/>
        <stp>4543</stp>
        <stp>CumulativeVolume</stp>
        <tr r="AN193" s="57"/>
      </tp>
      <tp>
        <v>0</v>
        <stp/>
        <stp>4943</stp>
        <stp>CumulativeVolume</stp>
        <tr r="AN1126" s="57"/>
      </tp>
      <tp>
        <v>0</v>
        <stp/>
        <stp>5243</stp>
        <stp>CumulativeVolume</stp>
        <tr r="AN877" s="57"/>
      </tp>
      <tp>
        <v>0</v>
        <stp/>
        <stp>5443</stp>
        <stp>CumulativeVolume</stp>
        <tr r="AN885" s="57"/>
      </tp>
      <tp>
        <v>0</v>
        <stp/>
        <stp>5543</stp>
        <stp>CumulativeVolume</stp>
        <tr r="AN1494" s="57"/>
      </tp>
      <tp>
        <v>0</v>
        <stp/>
        <stp>8043</stp>
        <stp>CumulativeVolume</stp>
        <tr r="AN1203" s="57"/>
      </tp>
      <tp>
        <v>0</v>
        <stp/>
        <stp>8443</stp>
        <stp>CumulativeVolume</stp>
        <tr r="AN1663" s="57"/>
      </tp>
      <tp>
        <v>0</v>
        <stp/>
        <stp>9943</stp>
        <stp>CumulativeVolume</stp>
        <tr r="AN1581" s="57"/>
      </tp>
      <tp>
        <v>0</v>
        <stp/>
        <stp>2342</stp>
        <stp>CumulativeVolume</stp>
        <tr r="AN535" s="57"/>
      </tp>
      <tp>
        <v>0</v>
        <stp/>
        <stp>2642</stp>
        <stp>CumulativeVolume</stp>
        <tr r="AN1527" s="57"/>
      </tp>
      <tp>
        <v>0</v>
        <stp/>
        <stp>2442</stp>
        <stp>CumulativeVolume</stp>
        <tr r="AN719" s="57"/>
      </tp>
      <tp>
        <v>0</v>
        <stp/>
        <stp>2542</stp>
        <stp>CumulativeVolume</stp>
        <tr r="AN1456" s="57"/>
      </tp>
      <tp>
        <v>0</v>
        <stp/>
        <stp>3042</stp>
        <stp>CumulativeVolume</stp>
        <tr r="AN1061" s="57"/>
      </tp>
      <tp>
        <v>0</v>
        <stp/>
        <stp>3642</stp>
        <stp>CumulativeVolume</stp>
        <tr r="AN1725" s="57"/>
      </tp>
      <tp>
        <v>0</v>
        <stp/>
        <stp>1342</stp>
        <stp>CumulativeVolume</stp>
        <tr r="AN1303" s="57"/>
      </tp>
      <tp>
        <v>0</v>
        <stp/>
        <stp>1742</stp>
        <stp>CumulativeVolume</stp>
        <tr r="AN262" s="57"/>
      </tp>
      <tp>
        <v>0</v>
        <stp/>
        <stp>1442</stp>
        <stp>CumulativeVolume</stp>
        <tr r="AN1434" s="57"/>
      </tp>
      <tp>
        <v>0</v>
        <stp/>
        <stp>6242</stp>
        <stp>CumulativeVolume</stp>
        <tr r="AN377" s="57"/>
      </tp>
      <tp>
        <v>0</v>
        <stp/>
        <stp>6142</stp>
        <stp>CumulativeVolume</stp>
        <tr r="AN979" s="57"/>
      </tp>
      <tp>
        <v>0</v>
        <stp/>
        <stp>6642</stp>
        <stp>CumulativeVolume</stp>
        <tr r="AN1194" s="57"/>
      </tp>
      <tp>
        <v>0</v>
        <stp/>
        <stp>6442</stp>
        <stp>CumulativeVolume</stp>
        <tr r="AN994" s="57"/>
      </tp>
      <tp>
        <v>0</v>
        <stp/>
        <stp>6542</stp>
        <stp>CumulativeVolume</stp>
        <tr r="AN1788" s="57"/>
      </tp>
      <tp>
        <v>0</v>
        <stp/>
        <stp>4142</stp>
        <stp>CumulativeVolume</stp>
        <tr r="AN342" s="57"/>
      </tp>
      <tp>
        <v>0</v>
        <stp/>
        <stp>4542</stp>
        <stp>CumulativeVolume</stp>
        <tr r="AN1120" s="57"/>
      </tp>
      <tp>
        <v>0</v>
        <stp/>
        <stp>4942</stp>
        <stp>CumulativeVolume</stp>
        <tr r="AN867" s="57"/>
      </tp>
      <tp>
        <v>0</v>
        <stp/>
        <stp>8342</stp>
        <stp>CumulativeVolume</stp>
        <tr r="AN1358" s="57"/>
      </tp>
      <tp>
        <v>0</v>
        <stp/>
        <stp>8042</stp>
        <stp>CumulativeVolume</stp>
        <tr r="AN1202" s="57"/>
      </tp>
      <tp>
        <v>0</v>
        <stp/>
        <stp>8442</stp>
        <stp>CumulativeVolume</stp>
        <tr r="AN1373" s="57"/>
      </tp>
      <tp>
        <v>0</v>
        <stp/>
        <stp>8942</stp>
        <stp>CumulativeVolume</stp>
        <tr r="AN1400" s="57"/>
      </tp>
      <tp>
        <v>0</v>
        <stp/>
        <stp>9942</stp>
        <stp>CumulativeVolume</stp>
        <tr r="AN1425" s="57"/>
      </tp>
      <tp>
        <v>0</v>
        <stp/>
        <stp>2345</stp>
        <stp>CumulativeVolume</stp>
        <tr r="AN928" s="57"/>
      </tp>
      <tp>
        <v>0</v>
        <stp/>
        <stp>2745</stp>
        <stp>CumulativeVolume</stp>
        <tr r="AN1562" s="57"/>
      </tp>
      <tp>
        <v>0</v>
        <stp/>
        <stp>2545</stp>
        <stp>CumulativeVolume</stp>
        <tr r="AN1458" s="57"/>
      </tp>
      <tp>
        <v>0</v>
        <stp/>
        <stp>2845</stp>
        <stp>CumulativeVolume</stp>
        <tr r="AN1594" s="57"/>
      </tp>
      <tp>
        <v>0</v>
        <stp/>
        <stp>2945</stp>
        <stp>CumulativeVolume</stp>
        <tr r="AN1648" s="57"/>
      </tp>
      <tp>
        <v>0</v>
        <stp/>
        <stp>3045</stp>
        <stp>CumulativeVolume</stp>
        <tr r="AN939" s="57"/>
      </tp>
      <tp>
        <v>0</v>
        <stp/>
        <stp>3645</stp>
        <stp>CumulativeVolume</stp>
        <tr r="AN1114" s="57"/>
      </tp>
      <tp>
        <v>0</v>
        <stp/>
        <stp>3545</stp>
        <stp>CumulativeVolume</stp>
        <tr r="AN586" s="57"/>
      </tp>
      <tp>
        <v>0</v>
        <stp/>
        <stp>1445</stp>
        <stp>CumulativeVolume</stp>
        <tr r="AN87" s="57"/>
      </tp>
      <tp>
        <v>0</v>
        <stp/>
        <stp>6245</stp>
        <stp>CumulativeVolume</stp>
        <tr r="AN988" s="57"/>
      </tp>
      <tp>
        <v>0</v>
        <stp/>
        <stp>4745</stp>
        <stp>CumulativeVolume</stp>
        <tr r="AN371" s="57"/>
      </tp>
      <tp>
        <v>0</v>
        <stp/>
        <stp>4545</stp>
        <stp>CumulativeVolume</stp>
        <tr r="AN1121" s="57"/>
      </tp>
      <tp>
        <v>0</v>
        <stp/>
        <stp>4945</stp>
        <stp>CumulativeVolume</stp>
        <tr r="AN601" s="57"/>
      </tp>
      <tp>
        <v>0</v>
        <stp/>
        <stp>5245</stp>
        <stp>CumulativeVolume</stp>
        <tr r="AN878" s="57"/>
      </tp>
      <tp>
        <v>0</v>
        <stp/>
        <stp>5345</stp>
        <stp>CumulativeVolume</stp>
        <tr r="AN1137" s="57"/>
      </tp>
      <tp>
        <v>0</v>
        <stp/>
        <stp>9945</stp>
        <stp>CumulativeVolume</stp>
        <tr r="AN1427" s="57"/>
      </tp>
      <tp>
        <v>0</v>
        <stp/>
        <stp>2344</stp>
        <stp>CumulativeVolume</stp>
        <tr r="AN536" s="57"/>
      </tp>
      <tp>
        <v>0</v>
        <stp/>
        <stp>2444</stp>
        <stp>CumulativeVolume</stp>
        <tr r="AN932" s="57"/>
      </tp>
      <tp>
        <v>0</v>
        <stp/>
        <stp>3044</stp>
        <stp>CumulativeVolume</stp>
        <tr r="AN1062" s="57"/>
      </tp>
      <tp t="s">
        <v>商品錯誤</v>
        <stp/>
        <stp>3144</stp>
        <stp>CumulativeVolume</stp>
        <tr r="AN1069" s="57"/>
      </tp>
      <tp>
        <v>0</v>
        <stp/>
        <stp>3444</stp>
        <stp>CumulativeVolume</stp>
        <tr r="AN1238" s="57"/>
      </tp>
      <tp>
        <v>0</v>
        <stp/>
        <stp>1444</stp>
        <stp>CumulativeVolume</stp>
        <tr r="AN86" s="57"/>
      </tp>
      <tp>
        <v>0</v>
        <stp/>
        <stp>6244</stp>
        <stp>CumulativeVolume</stp>
        <tr r="AN899" s="57"/>
      </tp>
      <tp>
        <v>0</v>
        <stp/>
        <stp>6144</stp>
        <stp>CumulativeVolume</stp>
        <tr r="AN1783" s="57"/>
      </tp>
      <tp>
        <v>0</v>
        <stp/>
        <stp>4744</stp>
        <stp>CumulativeVolume</stp>
        <tr r="AN370" s="57"/>
      </tp>
      <tp>
        <v>0</v>
        <stp/>
        <stp>4944</stp>
        <stp>CumulativeVolume</stp>
        <tr r="AN868" s="57"/>
      </tp>
      <tp>
        <v>0</v>
        <stp/>
        <stp>5344</stp>
        <stp>CumulativeVolume</stp>
        <tr r="AN619" s="57"/>
      </tp>
      <tp>
        <v>0</v>
        <stp/>
        <stp>8044</stp>
        <stp>CumulativeVolume</stp>
        <tr r="AN1802" s="57"/>
      </tp>
      <tp>
        <v>0</v>
        <stp/>
        <stp>8444</stp>
        <stp>CumulativeVolume</stp>
        <tr r="AN1374" s="57"/>
      </tp>
      <tp>
        <v>0</v>
        <stp/>
        <stp>9944</stp>
        <stp>CumulativeVolume</stp>
        <tr r="AN1426" s="57"/>
      </tp>
      <tp>
        <v>0</v>
        <stp/>
        <stp>2247</stp>
        <stp>CumulativeVolume</stp>
        <tr r="AN518" s="57"/>
      </tp>
      <tp>
        <v>0</v>
        <stp/>
        <stp>2347</stp>
        <stp>CumulativeVolume</stp>
        <tr r="AN1223" s="57"/>
      </tp>
      <tp>
        <v>0</v>
        <stp/>
        <stp>2547</stp>
        <stp>CumulativeVolume</stp>
        <tr r="AN1460" s="57"/>
      </tp>
      <tp>
        <v>0</v>
        <stp/>
        <stp>2947</stp>
        <stp>CumulativeVolume</stp>
        <tr r="AN1649" s="57"/>
      </tp>
      <tp>
        <v>0</v>
        <stp/>
        <stp>3047</stp>
        <stp>CumulativeVolume</stp>
        <tr r="AN940" s="57"/>
      </tp>
      <tp>
        <v>0</v>
        <stp/>
        <stp>3147</stp>
        <stp>CumulativeVolume</stp>
        <tr r="AN1300" s="57"/>
      </tp>
      <tp>
        <v>0</v>
        <stp/>
        <stp>1447</stp>
        <stp>CumulativeVolume</stp>
        <tr r="AN89" s="57"/>
      </tp>
      <tp>
        <v>0</v>
        <stp/>
        <stp>6247</stp>
        <stp>CumulativeVolume</stp>
        <tr r="AN1745" s="57"/>
      </tp>
      <tp>
        <v>0</v>
        <stp/>
        <stp>6147</stp>
        <stp>CumulativeVolume</stp>
        <tr r="AN631" s="57"/>
      </tp>
      <tp>
        <v>0</v>
        <stp/>
        <stp>6747</stp>
        <stp>CumulativeVolume</stp>
        <tr r="AN405" s="57"/>
      </tp>
      <tp>
        <v>0</v>
        <stp/>
        <stp>6547</stp>
        <stp>CumulativeVolume</stp>
        <tr r="AN390" s="57"/>
      </tp>
      <tp>
        <v>0</v>
        <stp/>
        <stp>4147</stp>
        <stp>CumulativeVolume</stp>
        <tr r="AN343" s="57"/>
      </tp>
      <tp>
        <v>0</v>
        <stp/>
        <stp>4747</stp>
        <stp>CumulativeVolume</stp>
        <tr r="AN373" s="57"/>
      </tp>
      <tp>
        <v>0</v>
        <stp/>
        <stp>5347</stp>
        <stp>CumulativeVolume</stp>
        <tr r="AN620" s="57"/>
      </tp>
      <tp>
        <v>0</v>
        <stp/>
        <stp>8047</stp>
        <stp>CumulativeVolume</stp>
        <tr r="AN1759" s="57"/>
      </tp>
      <tp>
        <v>0</v>
        <stp/>
        <stp>8147</stp>
        <stp>CumulativeVolume</stp>
        <tr r="AN1213" s="57"/>
      </tp>
      <tp>
        <v>0</v>
        <stp/>
        <stp>2546</stp>
        <stp>CumulativeVolume</stp>
        <tr r="AN1459" s="57"/>
      </tp>
      <tp>
        <v>0</v>
        <stp/>
        <stp>3346</stp>
        <stp>CumulativeVolume</stp>
        <tr r="AN521" s="57"/>
      </tp>
      <tp>
        <v>0</v>
        <stp/>
        <stp>3046</stp>
        <stp>CumulativeVolume</stp>
        <tr r="AN726" s="57"/>
      </tp>
      <tp>
        <v>0</v>
        <stp/>
        <stp>3646</stp>
        <stp>CumulativeVolume</stp>
        <tr r="AN1115" s="57"/>
      </tp>
      <tp>
        <v>0</v>
        <stp/>
        <stp>3546</stp>
        <stp>CumulativeVolume</stp>
        <tr r="AN1774" s="57"/>
        <tr r="AN9" s="74"/>
      </tp>
      <tp>
        <v>0</v>
        <stp/>
        <stp>1446</stp>
        <stp>CumulativeVolume</stp>
        <tr r="AN88" s="57"/>
      </tp>
      <tp>
        <v>0</v>
        <stp/>
        <stp>6246</stp>
        <stp>CumulativeVolume</stp>
        <tr r="AN900" s="57"/>
      </tp>
      <tp>
        <v>0</v>
        <stp/>
        <stp>6446</stp>
        <stp>CumulativeVolume</stp>
        <tr r="AN11" s="28"/>
        <tr r="AN378" s="57"/>
      </tp>
      <tp>
        <v>0</v>
        <stp/>
        <stp>4746</stp>
        <stp>CumulativeVolume</stp>
        <tr r="AN372" s="57"/>
      </tp>
      <tp>
        <v>0</v>
        <stp/>
        <stp>4946</stp>
        <stp>CumulativeVolume</stp>
        <tr r="AN1778" s="57"/>
      </tp>
      <tp>
        <v>0</v>
        <stp/>
        <stp>5546</stp>
        <stp>CumulativeVolume</stp>
        <tr r="AN1495" s="57"/>
      </tp>
      <tp>
        <v>0</v>
        <stp/>
        <stp>8046</stp>
        <stp>CumulativeVolume</stp>
        <tr r="AN1204" s="57"/>
      </tp>
      <tp>
        <v>0</v>
        <stp/>
        <stp>8446</stp>
        <stp>CumulativeVolume</stp>
        <tr r="AN1790" s="57"/>
      </tp>
      <tp>
        <v>0</v>
        <stp/>
        <stp>9946</stp>
        <stp>CumulativeVolume</stp>
        <tr r="AN1504" s="57"/>
      </tp>
      <tp>
        <v>0</v>
        <stp/>
        <stp>2349</stp>
        <stp>CumulativeVolume</stp>
        <tr r="AN807" s="57"/>
      </tp>
      <tp>
        <v>0</v>
        <stp/>
        <stp>2049</stp>
        <stp>CumulativeVolume</stp>
        <tr r="AN163" s="57"/>
      </tp>
      <tp>
        <v>0</v>
        <stp/>
        <stp>2449</stp>
        <stp>CumulativeVolume</stp>
        <tr r="AN547" s="57"/>
      </tp>
      <tp>
        <v>0</v>
        <stp/>
        <stp>2849</stp>
        <stp>CumulativeVolume</stp>
        <tr r="AN1595" s="57"/>
      </tp>
      <tp>
        <v>0</v>
        <stp/>
        <stp>3049</stp>
        <stp>CumulativeVolume</stp>
        <tr r="AN823" s="57"/>
      </tp>
      <tp>
        <v>0</v>
        <stp/>
        <stp>3149</stp>
        <stp>CumulativeVolume</stp>
        <tr r="AN829" s="57"/>
      </tp>
      <tp>
        <v>0</v>
        <stp/>
        <stp>1449</stp>
        <stp>CumulativeVolume</stp>
        <tr r="AN90" s="57"/>
      </tp>
      <tp>
        <v>0</v>
        <stp/>
        <stp>6649</stp>
        <stp>CumulativeVolume</stp>
        <tr r="AN398" s="57"/>
      </tp>
      <tp>
        <v>0</v>
        <stp/>
        <stp>6449</stp>
        <stp>CumulativeVolume</stp>
        <tr r="AN1192" s="57"/>
      </tp>
      <tp>
        <v>0</v>
        <stp/>
        <stp>4549</stp>
        <stp>CumulativeVolume</stp>
        <tr r="AN194" s="57"/>
      </tp>
      <tp>
        <v>0</v>
        <stp/>
        <stp>8249</stp>
        <stp>CumulativeVolume</stp>
        <tr r="AN1217" s="57"/>
      </tp>
      <tp>
        <v>0</v>
        <stp/>
        <stp>8349</stp>
        <stp>CumulativeVolume</stp>
        <tr r="AN472" s="57"/>
      </tp>
      <tp>
        <v>0</v>
        <stp/>
        <stp>8049</stp>
        <stp>CumulativeVolume</stp>
        <tr r="AN914" s="57"/>
      </tp>
      <tp>
        <v>0</v>
        <stp/>
        <stp>9949</stp>
        <stp>CumulativeVolume</stp>
        <tr r="AN1794" s="57"/>
      </tp>
      <tp>
        <v>0</v>
        <stp/>
        <stp>2348</stp>
        <stp>CumulativeVolume</stp>
        <tr r="AN4" s="98"/>
        <tr r="AN1311" s="57"/>
      </tp>
      <tp>
        <v>0</v>
        <stp/>
        <stp>2748</stp>
        <stp>CumulativeVolume</stp>
        <tr r="AN1563" s="57"/>
      </tp>
      <tp>
        <v>0</v>
        <stp/>
        <stp>2548</stp>
        <stp>CumulativeVolume</stp>
        <tr r="AN1461" s="57"/>
      </tp>
      <tp>
        <v>0</v>
        <stp/>
        <stp>3048</stp>
        <stp>CumulativeVolume</stp>
        <tr r="AN1231" s="57"/>
      </tp>
      <tp>
        <v>0</v>
        <stp/>
        <stp>3548</stp>
        <stp>CumulativeVolume</stp>
        <tr r="AN1105" s="57"/>
      </tp>
      <tp>
        <v>0</v>
        <stp/>
        <stp>6248</stp>
        <stp>CumulativeVolume</stp>
        <tr r="AN471" s="57"/>
      </tp>
      <tp>
        <v>0</v>
        <stp/>
        <stp>6148</stp>
        <stp>CumulativeVolume</stp>
        <tr r="AN1283" s="57"/>
      </tp>
      <tp>
        <v>0</v>
        <stp/>
        <stp>6548</stp>
        <stp>CumulativeVolume</stp>
        <tr r="AN661" s="57"/>
      </tp>
      <tp>
        <v>0</v>
        <stp/>
        <stp>4148</stp>
        <stp>CumulativeVolume</stp>
        <tr r="AN344" s="57"/>
      </tp>
      <tp>
        <v>0</v>
        <stp/>
        <stp>5348</stp>
        <stp>CumulativeVolume</stp>
        <tr r="AN974" s="57"/>
      </tp>
      <tp>
        <v>0</v>
        <stp/>
        <stp>8048</stp>
        <stp>CumulativeVolume</stp>
        <tr r="AN1005" s="57"/>
      </tp>
      <tp>
        <v>0</v>
        <stp/>
        <stp>6470</stp>
        <stp>PredictVolume</stp>
        <tr r="AM995" s="57"/>
      </tp>
      <tp>
        <v>0</v>
        <stp/>
        <stp>6590</stp>
        <stp>PredictVolume</stp>
        <tr r="AM1291" s="57"/>
      </tp>
      <tp>
        <v>0</v>
        <stp/>
        <stp>6530</stp>
        <stp>PredictVolume</stp>
        <tr r="AM998" s="57"/>
      </tp>
      <tp>
        <v>0</v>
        <stp/>
        <stp>6510</stp>
        <stp>PredictVolume</stp>
        <tr r="AM5" s="74"/>
        <tr r="AM4" s="107"/>
        <tr r="AM655" s="57"/>
      </tp>
      <tp>
        <v>0</v>
        <stp/>
        <stp>6570</stp>
        <stp>PredictVolume</stp>
        <tr r="AM789" s="57"/>
      </tp>
      <tp>
        <v>0</v>
        <stp/>
        <stp>6560</stp>
        <stp>PredictVolume</stp>
        <tr r="AM910" s="57"/>
      </tp>
      <tp>
        <v>0</v>
        <stp/>
        <stp>6690</stp>
        <stp>PredictVolume</stp>
        <tr r="AM1293" s="57"/>
      </tp>
      <tp>
        <v>0</v>
        <stp/>
        <stp>6680</stp>
        <stp>PredictVolume</stp>
        <tr r="AM794" s="57"/>
      </tp>
      <tp>
        <v>0</v>
        <stp/>
        <stp>6670</stp>
        <stp>PredictVolume</stp>
        <tr r="AM1349" s="57"/>
      </tp>
      <tp>
        <v>0</v>
        <stp/>
        <stp>6640</stp>
        <stp>PredictVolume</stp>
        <tr r="AM5" s="108"/>
        <tr r="AM666" s="57"/>
      </tp>
      <tp>
        <v>0</v>
        <stp/>
        <stp>6790</stp>
        <stp>PredictVolume</stp>
        <tr r="AM1353" s="57"/>
      </tp>
      <tp>
        <v>0</v>
        <stp/>
        <stp>6770</stp>
        <stp>PredictVolume</stp>
        <tr r="AM675" s="57"/>
      </tp>
      <tp>
        <v>0</v>
        <stp/>
        <stp>6020</stp>
        <stp>PredictVolume</stp>
        <tr r="AM1623" s="57"/>
      </tp>
      <tp>
        <v>0</v>
        <stp/>
        <stp>6190</stp>
        <stp>PredictVolume</stp>
        <tr r="AM984" s="57"/>
      </tp>
      <tp>
        <v>0</v>
        <stp/>
        <stp>6180</stp>
        <stp>PredictVolume</stp>
        <tr r="AM1785" s="57"/>
      </tp>
      <tp>
        <v>0</v>
        <stp/>
        <stp>6130</stp>
        <stp>PredictVolume</stp>
        <tr r="AM376" s="57"/>
      </tp>
      <tp>
        <v>0</v>
        <stp/>
        <stp>6120</stp>
        <stp>PredictVolume</stp>
        <tr r="AM888" s="57"/>
      </tp>
      <tp>
        <v>0</v>
        <stp/>
        <stp>6170</stp>
        <stp>PredictVolume</stp>
        <tr r="AM983" s="57"/>
      </tp>
      <tp>
        <v>0</v>
        <stp/>
        <stp>6160</stp>
        <stp>PredictVolume</stp>
        <tr r="AM776" s="57"/>
      </tp>
      <tp>
        <v>0</v>
        <stp/>
        <stp>6150</stp>
        <stp>PredictVolume</stp>
        <tr r="AM775" s="57"/>
      </tp>
      <tp>
        <v>0</v>
        <stp/>
        <stp>6140</stp>
        <stp>PredictVolume</stp>
        <tr r="AM1282" s="57"/>
      </tp>
      <tp>
        <v>0</v>
        <stp/>
        <stp>6290</stp>
        <stp>PredictVolume</stp>
        <tr r="AM1187" s="57"/>
      </tp>
      <tp>
        <v>0</v>
        <stp/>
        <stp>6230</stp>
        <stp>PredictVolume</stp>
        <tr r="AM783" s="57"/>
      </tp>
      <tp>
        <v>0</v>
        <stp/>
        <stp>6220</stp>
        <stp>PredictVolume</stp>
        <tr r="AM1177" s="57"/>
      </tp>
      <tp>
        <v>0</v>
        <stp/>
        <stp>6210</stp>
        <stp>PredictVolume</stp>
        <tr r="AM1174" s="57"/>
      </tp>
      <tp>
        <v>0</v>
        <stp/>
        <stp>6270</stp>
        <stp>PredictVolume</stp>
        <tr r="AM1248" s="57"/>
      </tp>
      <tp>
        <v>0</v>
        <stp/>
        <stp>6240</stp>
        <stp>PredictVolume</stp>
        <tr r="AM1288" s="57"/>
      </tp>
      <tp>
        <v>0</v>
        <stp/>
        <stp>4430</stp>
        <stp>PredictVolume</stp>
        <tr r="AM1321" s="57"/>
      </tp>
      <tp>
        <v>0</v>
        <stp/>
        <stp>4420</stp>
        <stp>PredictVolume</stp>
        <tr r="AM120" s="57"/>
      </tp>
      <tp>
        <v>0</v>
        <stp/>
        <stp>4440</stp>
        <stp>PredictVolume</stp>
        <tr r="AM8" s="98"/>
        <tr r="AM127" s="57"/>
      </tp>
      <tp>
        <v>0</v>
        <stp/>
        <stp>4580</stp>
        <stp>PredictVolume</stp>
        <tr r="AM208" s="57"/>
      </tp>
      <tp>
        <v>0</v>
        <stp/>
        <stp>4530</stp>
        <stp>PredictVolume</stp>
        <tr r="AM186" s="57"/>
      </tp>
      <tp>
        <v>0</v>
        <stp/>
        <stp>4510</stp>
        <stp>PredictVolume</stp>
        <tr r="AM180" s="57"/>
      </tp>
      <tp>
        <v>0</v>
        <stp/>
        <stp>4560</stp>
        <stp>PredictVolume</stp>
        <tr r="AM198" s="57"/>
      </tp>
      <tp>
        <v>0</v>
        <stp/>
        <stp>4550</stp>
        <stp>PredictVolume</stp>
        <tr r="AM195" s="57"/>
      </tp>
      <tp>
        <v>0</v>
        <stp/>
        <stp>4540</stp>
        <stp>PredictVolume</stp>
        <tr r="AM192" s="57"/>
      </tp>
      <tp>
        <v>0</v>
        <stp/>
        <stp>4720</stp>
        <stp>PredictVolume</stp>
        <tr r="AM272" s="57"/>
      </tp>
      <tp>
        <v>0</v>
        <stp/>
        <stp>4770</stp>
        <stp>PredictVolume</stp>
        <tr r="AM9" s="98"/>
        <tr r="AM283" s="57"/>
      </tp>
      <tp>
        <v>0</v>
        <stp/>
        <stp>4760</stp>
        <stp>PredictVolume</stp>
        <tr r="AM1729" s="57"/>
      </tp>
      <tp>
        <v>0</v>
        <stp/>
        <stp>4190</stp>
        <stp>PredictVolume</stp>
        <tr r="AM361" s="57"/>
      </tp>
      <tp>
        <v>0</v>
        <stp/>
        <stp>4130</stp>
        <stp>PredictVolume</stp>
        <tr r="AM35" s="28"/>
        <tr r="AM335" s="57"/>
      </tp>
      <tp>
        <v>0</v>
        <stp/>
        <stp>4120</stp>
        <stp>PredictVolume</stp>
        <tr r="AM328" s="57"/>
      </tp>
      <tp>
        <v>0</v>
        <stp/>
        <stp>4160</stp>
        <stp>PredictVolume</stp>
        <tr r="AM349" s="57"/>
      </tp>
      <tp>
        <v>0</v>
        <stp/>
        <stp>4930</stp>
        <stp>PredictVolume</stp>
        <tr r="AM239" s="57"/>
      </tp>
      <tp>
        <v>0</v>
        <stp/>
        <stp>4960</stp>
        <stp>PredictVolume</stp>
        <tr r="AM870" s="57"/>
      </tp>
      <tp>
        <v>0</v>
        <stp/>
        <stp>4950</stp>
        <stp>PredictVolume</stp>
        <tr r="AM1326" s="57"/>
      </tp>
      <tp>
        <v>0</v>
        <stp/>
        <stp>5490</stp>
        <stp>PredictVolume</stp>
        <tr r="AM770" s="57"/>
      </tp>
      <tp>
        <v>0</v>
        <stp/>
        <stp>5410</stp>
        <stp>PredictVolume</stp>
        <tr r="AM1280" s="57"/>
      </tp>
      <tp>
        <v>0</v>
        <stp/>
        <stp>5460</stp>
        <stp>PredictVolume</stp>
        <tr r="AM1142" s="57"/>
      </tp>
      <tp>
        <v>0</v>
        <stp/>
        <stp>5450</stp>
        <stp>PredictVolume</stp>
        <tr r="AM1331" s="57"/>
      </tp>
      <tp>
        <v>0</v>
        <stp/>
        <stp>5530</stp>
        <stp>PredictVolume</stp>
        <tr r="AM1333" s="57"/>
      </tp>
      <tp>
        <v>0</v>
        <stp/>
        <stp>5520</stp>
        <stp>PredictVolume</stp>
        <tr r="AM1486" s="57"/>
      </tp>
      <tp>
        <v>0</v>
        <stp/>
        <stp>5230</stp>
        <stp>PredictVolume</stp>
        <tr r="AM875" s="57"/>
      </tp>
      <tp>
        <v>0</v>
        <stp/>
        <stp>5220</stp>
        <stp>PredictVolume</stp>
        <tr r="AM874" s="57"/>
      </tp>
      <tp>
        <v>0</v>
        <stp/>
        <stp>5210</stp>
        <stp>PredictVolume</stp>
        <tr r="AM1275" s="57"/>
      </tp>
      <tp>
        <v>0</v>
        <stp/>
        <stp>5310</stp>
        <stp>PredictVolume</stp>
        <tr r="AM1278" s="57"/>
      </tp>
      <tp>
        <v>0</v>
        <stp/>
        <stp>5340</stp>
        <stp>PredictVolume</stp>
        <tr r="AM1136" s="57"/>
      </tp>
      <tp>
        <v>0</v>
        <stp/>
        <stp>5880</stp>
        <stp>PredictVolume</stp>
        <tr r="AM1619" s="57"/>
      </tp>
      <tp>
        <v>0</v>
        <stp/>
        <stp>5820</stp>
        <stp>PredictVolume</stp>
        <tr r="AM1615" s="57"/>
      </tp>
      <tp>
        <v>0</v>
        <stp/>
        <stp>2480</stp>
        <stp>PredictVolume</stp>
        <tr r="AM1265" s="57"/>
      </tp>
      <tp>
        <v>0</v>
        <stp/>
        <stp>2430</stp>
        <stp>PredictVolume</stp>
        <tr r="AM1225" s="57"/>
      </tp>
      <tp>
        <v>0</v>
        <stp/>
        <stp>2420</stp>
        <stp>PredictVolume</stp>
        <tr r="AM1035" s="57"/>
      </tp>
      <tp>
        <v>0</v>
        <stp/>
        <stp>2460</stp>
        <stp>PredictVolume</stp>
        <tr r="AM1043" s="57"/>
      </tp>
      <tp>
        <v>0</v>
        <stp/>
        <stp>2450</stp>
        <stp>PredictVolume</stp>
        <tr r="AM933" s="57"/>
      </tp>
      <tp>
        <v>0</v>
        <stp/>
        <stp>2440</stp>
        <stp>PredictVolume</stp>
        <tr r="AM1040" s="57"/>
      </tp>
      <tp>
        <v>0</v>
        <stp/>
        <stp>2530</stp>
        <stp>PredictVolume</stp>
        <tr r="AM1448" s="57"/>
      </tp>
      <tp>
        <v>0</v>
        <stp/>
        <stp>2520</stp>
        <stp>PredictVolume</stp>
        <tr r="AM1444" s="57"/>
      </tp>
      <tp>
        <v>0</v>
        <stp/>
        <stp>2540</stp>
        <stp>PredictVolume</stp>
        <tr r="AM1455" s="57"/>
      </tp>
      <tp>
        <v>0</v>
        <stp/>
        <stp>2630</stp>
        <stp>PredictVolume</stp>
        <tr r="AM1521" s="57"/>
      </tp>
      <tp>
        <v>0</v>
        <stp/>
        <stp>2610</stp>
        <stp>PredictVolume</stp>
        <tr r="AM1514" s="57"/>
      </tp>
      <tp>
        <v>0</v>
        <stp/>
        <stp>2640</stp>
        <stp>PredictVolume</stp>
        <tr r="AM1316" s="57"/>
      </tp>
      <tp>
        <v>0</v>
        <stp/>
        <stp>2740</stp>
        <stp>PredictVolume</stp>
        <tr r="AM1560" s="57"/>
      </tp>
      <tp>
        <v>0</v>
        <stp/>
        <stp>2030</stp>
        <stp>PredictVolume</stp>
        <tr r="AM450" s="57"/>
      </tp>
      <tp>
        <v>0</v>
        <stp/>
        <stp>2020</stp>
        <stp>PredictVolume</stp>
        <tr r="AM442" s="57"/>
      </tp>
      <tp>
        <v>0</v>
        <stp/>
        <stp>2010</stp>
        <stp>PredictVolume</stp>
        <tr r="AM436" s="57"/>
      </tp>
      <tp>
        <v>0</v>
        <stp/>
        <stp>2070</stp>
        <stp>PredictVolume</stp>
        <tr r="AM166" s="57"/>
      </tp>
      <tp>
        <v>0</v>
        <stp/>
        <stp>2230</stp>
        <stp>PredictVolume</stp>
        <tr r="AM167" s="57"/>
      </tp>
      <tp>
        <v>0</v>
        <stp/>
        <stp>2250</stp>
        <stp>PredictVolume</stp>
        <tr r="AM519" s="57"/>
      </tp>
      <tp>
        <v>0</v>
        <stp/>
        <stp>2390</stp>
        <stp>PredictVolume</stp>
        <tr r="AM1690" s="57"/>
      </tp>
      <tp>
        <v>0</v>
        <stp/>
        <stp>2380</stp>
        <stp>PredictVolume</stp>
        <tr r="AM709" s="57"/>
      </tp>
      <tp>
        <v>0</v>
        <stp/>
        <stp>2330</stp>
        <stp>PredictVolume</stp>
        <tr r="AM532" s="57"/>
      </tp>
      <tp>
        <v>0</v>
        <stp/>
        <stp>2360</stp>
        <stp>PredictVolume</stp>
        <tr r="AM1688" s="57"/>
      </tp>
      <tp>
        <v>0</v>
        <stp/>
        <stp>2340</stp>
        <stp>PredictVolume</stp>
        <tr r="AM806" s="57"/>
      </tp>
      <tp>
        <v>0</v>
        <stp/>
        <stp>2890</stp>
        <stp>PredictVolume</stp>
        <tr r="AM1611" s="57"/>
      </tp>
      <tp>
        <v>0</v>
        <stp/>
        <stp>2880</stp>
        <stp>PredictVolume</stp>
        <tr r="AM1601" s="57"/>
      </tp>
      <tp>
        <v>0</v>
        <stp/>
        <stp>2820</stp>
        <stp>PredictVolume</stp>
        <tr r="AM1588" s="57"/>
      </tp>
      <tp>
        <v>0</v>
        <stp/>
        <stp>2850</stp>
        <stp>PredictVolume</stp>
        <tr r="AM1596" s="57"/>
      </tp>
      <tp>
        <v>0</v>
        <stp/>
        <stp>2910</stp>
        <stp>PredictVolume</stp>
        <tr r="AM1638" s="57"/>
      </tp>
      <tp>
        <v>0</v>
        <stp/>
        <stp>3490</stp>
        <stp>PredictVolume</stp>
        <tr r="AM843" s="57"/>
      </tp>
      <tp>
        <v>0</v>
        <stp/>
        <stp>3450</stp>
        <stp>PredictVolume</stp>
        <tr r="AM1714" s="57"/>
      </tp>
      <tp>
        <v>0</v>
        <stp/>
        <stp>3580</stp>
        <stp>PredictVolume</stp>
        <tr r="AM1721" s="57"/>
      </tp>
      <tp>
        <v>0</v>
        <stp/>
        <stp>3530</stp>
        <stp>PredictVolume</stp>
        <tr r="AM583" s="57"/>
      </tp>
      <tp>
        <v>0</v>
        <stp/>
        <stp>3520</stp>
        <stp>PredictVolume</stp>
        <tr r="AM1101" s="57"/>
      </tp>
      <tp>
        <v>0</v>
        <stp/>
        <stp>3570</stp>
        <stp>PredictVolume</stp>
        <tr r="AM1268" s="57"/>
      </tp>
      <tp>
        <v>0</v>
        <stp/>
        <stp>3550</stp>
        <stp>PredictVolume</stp>
        <tr r="AM1106" s="57"/>
      </tp>
      <tp>
        <v>0</v>
        <stp/>
        <stp>3540</stp>
        <stp>PredictVolume</stp>
        <tr r="AM744" s="57"/>
      </tp>
      <tp>
        <v>0</v>
        <stp/>
        <stp>3680</stp>
        <stp>PredictVolume</stp>
        <tr r="AM596" s="57"/>
      </tp>
      <tp>
        <v>0</v>
        <stp/>
        <stp>3630</stp>
        <stp>PredictVolume</stp>
        <tr r="AM855" s="57"/>
      </tp>
      <tp>
        <v>0</v>
        <stp/>
        <stp>3710</stp>
        <stp>PredictVolume</stp>
        <tr r="AM1119" s="57"/>
      </tp>
      <tp>
        <v>0</v>
        <stp/>
        <stp>3090</stp>
        <stp>PredictVolume</stp>
        <tr r="AM1065" s="57"/>
      </tp>
      <tp>
        <v>0</v>
        <stp/>
        <stp>3030</stp>
        <stp>PredictVolume</stp>
        <tr r="AM1702" s="57"/>
      </tp>
      <tp>
        <v>0</v>
        <stp/>
        <stp>3010</stp>
        <stp>PredictVolume</stp>
        <tr r="AM1227" s="57"/>
      </tp>
      <tp>
        <v>0</v>
        <stp/>
        <stp>3060</stp>
        <stp>PredictVolume</stp>
        <tr r="AM728" s="57"/>
      </tp>
      <tp>
        <v>0</v>
        <stp/>
        <stp>3050</stp>
        <stp>PredictVolume</stp>
        <tr r="AM824" s="57"/>
      </tp>
      <tp>
        <v>0</v>
        <stp/>
        <stp>3040</stp>
        <stp>PredictVolume</stp>
        <tr r="AM1318" s="57"/>
      </tp>
      <tp>
        <v>0</v>
        <stp/>
        <stp>3130</stp>
        <stp>PredictVolume</stp>
        <tr r="AM1267" s="57"/>
      </tp>
      <tp>
        <v>0</v>
        <stp/>
        <stp>3290</stp>
        <stp>PredictVolume</stp>
        <tr r="AM1079" s="57"/>
      </tp>
      <tp>
        <v>0</v>
        <stp/>
        <stp>3230</stp>
        <stp>PredictVolume</stp>
        <tr r="AM830" s="57"/>
      </tp>
      <tp>
        <v>0</v>
        <stp/>
        <stp>3260</stp>
        <stp>PredictVolume</stp>
        <tr r="AM571" s="57"/>
      </tp>
      <tp>
        <v>0</v>
        <stp/>
        <stp>3390</stp>
        <stp>PredictVolume</stp>
        <tr r="AM1093" s="57"/>
      </tp>
      <tp>
        <v>0</v>
        <stp/>
        <stp>3380</stp>
        <stp>PredictVolume</stp>
        <tr r="AM952" s="57"/>
      </tp>
      <tp>
        <v>0</v>
        <stp/>
        <stp>3310</stp>
        <stp>PredictVolume</stp>
        <tr r="AM1083" s="57"/>
      </tp>
      <tp>
        <v>0</v>
        <stp/>
        <stp>3360</stp>
        <stp>PredictVolume</stp>
        <tr r="AM1237" s="57"/>
      </tp>
      <tp>
        <v>0</v>
        <stp/>
        <stp>1410</stp>
        <stp>PredictVolume</stp>
        <tr r="AM74" s="57"/>
      </tp>
      <tp>
        <v>0</v>
        <stp/>
        <stp>1470</stp>
        <stp>PredictVolume</stp>
        <tr r="AM106" s="57"/>
      </tp>
      <tp>
        <v>0</v>
        <stp/>
        <stp>1460</stp>
        <stp>PredictVolume</stp>
        <tr r="AM99" s="57"/>
      </tp>
      <tp>
        <v>0</v>
        <stp/>
        <stp>1440</stp>
        <stp>PredictVolume</stp>
        <tr r="AM83" s="57"/>
      </tp>
      <tp>
        <v>0</v>
        <stp/>
        <stp>1590</stp>
        <stp>PredictVolume</stp>
        <tr r="AM159" s="57"/>
      </tp>
      <tp>
        <v>0</v>
        <stp/>
        <stp>1580</stp>
        <stp>PredictVolume</stp>
        <tr r="AM155" s="57"/>
      </tp>
      <tp>
        <v>0</v>
        <stp/>
        <stp>1530</stp>
        <stp>PredictVolume</stp>
        <tr r="AM143" s="57"/>
      </tp>
      <tp>
        <v>0</v>
        <stp/>
        <stp>1570</stp>
        <stp>PredictVolume</stp>
        <tr r="AM154" s="57"/>
      </tp>
      <tp>
        <v>0</v>
        <stp/>
        <stp>1560</stp>
        <stp>PredictVolume</stp>
        <tr r="AM153" s="57"/>
      </tp>
      <tp>
        <v>0</v>
        <stp/>
        <stp>1540</stp>
        <stp>PredictVolume</stp>
        <tr r="AM150" s="57"/>
      </tp>
      <tp>
        <v>0</v>
        <stp/>
        <stp>1730</stp>
        <stp>PredictVolume</stp>
        <tr r="AM259" s="57"/>
      </tp>
      <tp>
        <v>0</v>
        <stp/>
        <stp>1720</stp>
        <stp>PredictVolume</stp>
        <tr r="AM293" s="57"/>
      </tp>
      <tp>
        <v>0</v>
        <stp/>
        <stp>1710</stp>
        <stp>PredictVolume</stp>
        <tr r="AM245" s="57"/>
      </tp>
      <tp>
        <v>0</v>
        <stp/>
        <stp>1760</stp>
        <stp>PredictVolume</stp>
        <tr r="AM299" s="57"/>
      </tp>
      <tp>
        <v>0</v>
        <stp/>
        <stp>1110</stp>
        <stp>PredictVolume</stp>
        <tr r="AM11" s="57"/>
      </tp>
      <tp>
        <v>0</v>
        <stp/>
        <stp>1220</stp>
        <stp>PredictVolume</stp>
        <tr r="AM23" s="57"/>
      </tp>
      <tp>
        <v>0</v>
        <stp/>
        <stp>1210</stp>
        <stp>PredictVolume</stp>
        <tr r="AM16" s="57"/>
      </tp>
      <tp>
        <v>0</v>
        <stp/>
        <stp>1240</stp>
        <stp>PredictVolume</stp>
        <tr r="AM1808" s="57"/>
      </tp>
      <tp>
        <v>0</v>
        <stp/>
        <stp>1310</stp>
        <stp>PredictVolume</stp>
        <tr r="AM51" s="57"/>
      </tp>
      <tp>
        <v>0</v>
        <stp/>
        <stp>1340</stp>
        <stp>PredictVolume</stp>
        <tr r="AM62" s="57"/>
      </tp>
      <tp>
        <v>0</v>
        <stp/>
        <stp>1810</stp>
        <stp>PredictVolume</stp>
        <tr r="AM419" s="57"/>
      </tp>
      <tp>
        <v>0</v>
        <stp/>
        <stp>8480</stp>
        <stp>PredictVolume</stp>
        <tr r="AM1382" s="57"/>
      </tp>
      <tp>
        <v>0</v>
        <stp/>
        <stp>8420</stp>
        <stp>PredictVolume</stp>
        <tr r="AM1364" s="57"/>
      </tp>
      <tp>
        <v>0</v>
        <stp/>
        <stp>8410</stp>
        <stp>PredictVolume</stp>
        <tr r="AM801" s="57"/>
      </tp>
      <tp>
        <v>0</v>
        <stp/>
        <stp>8450</stp>
        <stp>PredictVolume</stp>
        <tr r="AM1791" s="57"/>
      </tp>
      <tp>
        <v>0</v>
        <stp/>
        <stp>8440</stp>
        <stp>PredictVolume</stp>
        <tr r="AM1372" s="57"/>
      </tp>
      <tp>
        <v>0</v>
        <stp/>
        <stp>8080</stp>
        <stp>PredictVolume</stp>
        <tr r="AM1207" s="57"/>
      </tp>
      <tp>
        <v>0</v>
        <stp/>
        <stp>8070</stp>
        <stp>PredictVolume</stp>
        <tr r="AM1254" s="57"/>
      </tp>
      <tp>
        <v>0</v>
        <stp/>
        <stp>8050</stp>
        <stp>PredictVolume</stp>
        <tr r="AM795" s="57"/>
      </tp>
      <tp>
        <v>0</v>
        <stp/>
        <stp>8040</stp>
        <stp>PredictVolume</stp>
        <tr r="AM681" s="57"/>
      </tp>
      <tp>
        <v>0</v>
        <stp/>
        <stp>8110</stp>
        <stp>PredictVolume</stp>
        <tr r="AM686" s="57"/>
      </tp>
      <tp>
        <v>0</v>
        <stp/>
        <stp>8150</stp>
        <stp>PredictVolume</stp>
        <tr r="AM688" s="57"/>
      </tp>
      <tp>
        <v>0</v>
        <stp/>
        <stp>8210</stp>
        <stp>PredictVolume</stp>
        <tr r="AM799" s="57"/>
      </tp>
      <tp>
        <v>0</v>
        <stp/>
        <stp>8240</stp>
        <stp>PredictVolume</stp>
        <tr r="AM922" s="57"/>
      </tp>
      <tp>
        <v>0</v>
        <stp/>
        <stp>8390</stp>
        <stp>PredictVolume</stp>
        <tr r="AM1359" s="57"/>
      </tp>
      <tp>
        <v>0</v>
        <stp/>
        <stp>8930</stp>
        <stp>PredictVolume</stp>
        <tr r="AM474" s="57"/>
      </tp>
      <tp>
        <v>0</v>
        <stp/>
        <stp>8940</stp>
        <stp>PredictVolume</stp>
        <tr r="AM1580" s="57"/>
      </tp>
      <tp>
        <v>0</v>
        <stp/>
        <stp>9930</stp>
        <stp>PredictVolume</stp>
        <tr r="AM1417" s="57"/>
      </tp>
      <tp>
        <v>0</v>
        <stp/>
        <stp>9910</stp>
        <stp>PredictVolume</stp>
        <tr r="AM1406" s="57"/>
      </tp>
      <tp>
        <v>0</v>
        <stp/>
        <stp>9960</stp>
        <stp>PredictVolume</stp>
        <tr r="AM1666" s="57"/>
      </tp>
      <tp>
        <v>0</v>
        <stp/>
        <stp>9950</stp>
        <stp>PredictVolume</stp>
        <tr r="AM69" s="57"/>
      </tp>
      <tp>
        <v>0</v>
        <stp/>
        <stp>9940</stp>
        <stp>PredictVolume</stp>
        <tr r="AM1423" s="57"/>
      </tp>
      <tp>
        <v>0</v>
        <stp/>
        <stp>2351</stp>
        <stp>CumulativeVolume</stp>
        <tr r="AN537" s="57"/>
      </tp>
      <tp>
        <v>0</v>
        <stp/>
        <stp>2451</stp>
        <stp>CumulativeVolume</stp>
        <tr r="AN548" s="57"/>
      </tp>
      <tp>
        <v>0</v>
        <stp/>
        <stp>2851</stp>
        <stp>CumulativeVolume</stp>
        <tr r="AN1597" s="57"/>
      </tp>
      <tp>
        <v>0</v>
        <stp/>
        <stp>3051</stp>
        <stp>CumulativeVolume</stp>
        <tr r="AN825" s="57"/>
      </tp>
      <tp>
        <v>0</v>
        <stp/>
        <stp>3551</stp>
        <stp>CumulativeVolume</stp>
        <tr r="AN1719" s="57"/>
      </tp>
      <tp>
        <v>0</v>
        <stp/>
        <stp>1451</stp>
        <stp>CumulativeVolume</stp>
        <tr r="AN91" s="57"/>
      </tp>
      <tp>
        <v>0</v>
        <stp/>
        <stp>6251</stp>
        <stp>CumulativeVolume</stp>
        <tr r="AN1179" s="57"/>
      </tp>
      <tp>
        <v>0</v>
        <stp/>
        <stp>6151</stp>
        <stp>CumulativeVolume</stp>
        <tr r="AN1739" s="57"/>
      </tp>
      <tp>
        <v>0</v>
        <stp/>
        <stp>6651</stp>
        <stp>CumulativeVolume</stp>
        <tr r="AN668" s="57"/>
      </tp>
      <tp>
        <v>0</v>
        <stp/>
        <stp>6751</stp>
        <stp>CumulativeVolume</stp>
        <tr r="AN1295" s="57"/>
      </tp>
      <tp>
        <v>0</v>
        <stp/>
        <stp>6451</stp>
        <stp>CumulativeVolume</stp>
        <tr r="AN649" s="57"/>
      </tp>
      <tp>
        <v>0</v>
        <stp/>
        <stp>4551</stp>
        <stp>CumulativeVolume</stp>
        <tr r="AN522" s="57"/>
      </tp>
      <tp>
        <v>0</v>
        <stp/>
        <stp>5251</stp>
        <stp>CumulativeVolume</stp>
        <tr r="AN879" s="57"/>
      </tp>
      <tp>
        <v>0</v>
        <stp/>
        <stp>5351</stp>
        <stp>CumulativeVolume</stp>
        <tr r="AN621" s="57"/>
      </tp>
      <tp>
        <v>0</v>
        <stp/>
        <stp>9951</stp>
        <stp>CumulativeVolume</stp>
        <tr r="AN221" s="57"/>
      </tp>
      <tp>
        <v>0</v>
        <stp/>
        <stp>2250</stp>
        <stp>CumulativeVolume</stp>
        <tr r="AN519" s="57"/>
      </tp>
      <tp>
        <v>0</v>
        <stp/>
        <stp>2450</stp>
        <stp>CumulativeVolume</stp>
        <tr r="AN933" s="57"/>
      </tp>
      <tp>
        <v>0</v>
        <stp/>
        <stp>2850</stp>
        <stp>CumulativeVolume</stp>
        <tr r="AN1596" s="57"/>
      </tp>
      <tp>
        <v>0</v>
        <stp/>
        <stp>3050</stp>
        <stp>CumulativeVolume</stp>
        <tr r="AN824" s="57"/>
      </tp>
      <tp>
        <v>0</v>
        <stp/>
        <stp>3450</stp>
        <stp>CumulativeVolume</stp>
        <tr r="AN1714" s="57"/>
      </tp>
      <tp>
        <v>0</v>
        <stp/>
        <stp>3550</stp>
        <stp>CumulativeVolume</stp>
        <tr r="AN1106" s="57"/>
      </tp>
      <tp>
        <v>0</v>
        <stp/>
        <stp>6150</stp>
        <stp>CumulativeVolume</stp>
        <tr r="AN775" s="57"/>
      </tp>
      <tp>
        <v>0</v>
        <stp/>
        <stp>4550</stp>
        <stp>CumulativeVolume</stp>
        <tr r="AN195" s="57"/>
      </tp>
      <tp>
        <v>0</v>
        <stp/>
        <stp>4950</stp>
        <stp>CumulativeVolume</stp>
        <tr r="AN1326" s="57"/>
      </tp>
      <tp>
        <v>0</v>
        <stp/>
        <stp>5450</stp>
        <stp>CumulativeVolume</stp>
        <tr r="AN1331" s="57"/>
      </tp>
      <tp>
        <v>0</v>
        <stp/>
        <stp>8050</stp>
        <stp>CumulativeVolume</stp>
        <tr r="AN795" s="57"/>
      </tp>
      <tp>
        <v>0</v>
        <stp/>
        <stp>8150</stp>
        <stp>CumulativeVolume</stp>
        <tr r="AN688" s="57"/>
      </tp>
      <tp>
        <v>0</v>
        <stp/>
        <stp>8450</stp>
        <stp>CumulativeVolume</stp>
        <tr r="AN1791" s="57"/>
      </tp>
      <tp>
        <v>0</v>
        <stp/>
        <stp>9950</stp>
        <stp>CumulativeVolume</stp>
        <tr r="AN69" s="57"/>
      </tp>
      <tp>
        <v>0</v>
        <stp/>
        <stp>2353</stp>
        <stp>CumulativeVolume</stp>
        <tr r="AN701" s="57"/>
      </tp>
      <tp>
        <v>0</v>
        <stp/>
        <stp>2753</stp>
        <stp>CumulativeVolume</stp>
        <tr r="AN1565" s="57"/>
      </tp>
      <tp>
        <v>0</v>
        <stp/>
        <stp>2453</stp>
        <stp>CumulativeVolume</stp>
        <tr r="AN1262" s="57"/>
      </tp>
      <tp>
        <v>0</v>
        <stp/>
        <stp>3653</stp>
        <stp>CumulativeVolume</stp>
        <tr r="AN1116" s="57"/>
      </tp>
      <tp>
        <v>0</v>
        <stp/>
        <stp>1453</stp>
        <stp>CumulativeVolume</stp>
        <tr r="AN93" s="57"/>
      </tp>
      <tp>
        <v>0</v>
        <stp/>
        <stp>6153</stp>
        <stp>CumulativeVolume</stp>
        <tr r="AN1157" s="57"/>
      </tp>
      <tp>
        <v>0</v>
        <stp/>
        <stp>4153</stp>
        <stp>CumulativeVolume</stp>
        <tr r="AN345" s="57"/>
      </tp>
      <tp>
        <v>0</v>
        <stp/>
        <stp>4953</stp>
        <stp>CumulativeVolume</stp>
        <tr r="AN1269" s="57"/>
      </tp>
      <tp>
        <v>0</v>
        <stp/>
        <stp>5353</stp>
        <stp>CumulativeVolume</stp>
        <tr r="AN975" s="57"/>
      </tp>
      <tp>
        <v>0</v>
        <stp/>
        <stp>2352</stp>
        <stp>CumulativeVolume</stp>
        <tr r="AN700" s="57"/>
      </tp>
      <tp>
        <v>0</v>
        <stp/>
        <stp>2752</stp>
        <stp>CumulativeVolume</stp>
        <tr r="AN1564" s="57"/>
      </tp>
      <tp>
        <v>0</v>
        <stp/>
        <stp>2852</stp>
        <stp>CumulativeVolume</stp>
        <tr r="AN1598" s="57"/>
      </tp>
      <tp>
        <v>0</v>
        <stp/>
        <stp>3252</stp>
        <stp>CumulativeVolume</stp>
        <tr r="AN1569" s="57"/>
      </tp>
      <tp>
        <v>0</v>
        <stp/>
        <stp>3052</stp>
        <stp>CumulativeVolume</stp>
        <tr r="AN1466" s="57"/>
      </tp>
      <tp>
        <v>0</v>
        <stp/>
        <stp>3152</stp>
        <stp>CumulativeVolume</stp>
        <tr r="AN945" s="57"/>
      </tp>
      <tp>
        <v>0</v>
        <stp/>
        <stp>3652</stp>
        <stp>CumulativeVolume</stp>
        <tr r="AN749" s="57"/>
      </tp>
      <tp>
        <v>0</v>
        <stp/>
        <stp>3552</stp>
        <stp>CumulativeVolume</stp>
        <tr r="AN1720" s="57"/>
      </tp>
      <tp>
        <v>0</v>
        <stp/>
        <stp>1752</stp>
        <stp>CumulativeVolume</stp>
        <tr r="AN298" s="57"/>
      </tp>
      <tp>
        <v>0</v>
        <stp/>
        <stp>1452</stp>
        <stp>CumulativeVolume</stp>
        <tr r="AN92" s="57"/>
      </tp>
      <tp>
        <v>0</v>
        <stp/>
        <stp>6152</stp>
        <stp>CumulativeVolume</stp>
        <tr r="AN981" s="57"/>
      </tp>
      <tp>
        <v>0</v>
        <stp/>
        <stp>6752</stp>
        <stp>CumulativeVolume</stp>
        <tr r="AN1296" s="57"/>
      </tp>
      <tp>
        <v>0</v>
        <stp/>
        <stp>6552</stp>
        <stp>CumulativeVolume</stp>
        <tr r="AN662" s="57"/>
      </tp>
      <tp>
        <v>0</v>
        <stp/>
        <stp>4552</stp>
        <stp>CumulativeVolume</stp>
        <tr r="AN196" s="57"/>
      </tp>
      <tp>
        <v>0</v>
        <stp/>
        <stp>4952</stp>
        <stp>CumulativeVolume</stp>
        <tr r="AN602" s="57"/>
      </tp>
      <tp>
        <v>0</v>
        <stp/>
        <stp>5452</stp>
        <stp>CumulativeVolume</stp>
        <tr r="AN1733" s="57"/>
      </tp>
      <tp>
        <v>0</v>
        <stp/>
        <stp>2355</stp>
        <stp>CumulativeVolume</stp>
        <tr r="AN1025" s="57"/>
      </tp>
      <tp>
        <v>0</v>
        <stp/>
        <stp>2755</stp>
        <stp>CumulativeVolume</stp>
        <tr r="AN1567" s="57"/>
      </tp>
      <tp>
        <v>0</v>
        <stp/>
        <stp>2455</stp>
        <stp>CumulativeVolume</stp>
        <tr r="AN934" s="57"/>
      </tp>
      <tp>
        <v>0</v>
        <stp/>
        <stp>2855</stp>
        <stp>CumulativeVolume</stp>
        <tr r="AN1599" s="57"/>
      </tp>
      <tp>
        <v>0</v>
        <stp/>
        <stp>3055</stp>
        <stp>CumulativeVolume</stp>
        <tr r="AN1232" s="57"/>
      </tp>
      <tp>
        <v>0</v>
        <stp/>
        <stp>3455</stp>
        <stp>CumulativeVolume</stp>
        <tr r="AN55" s="28"/>
        <tr r="AN12" s="74"/>
        <tr r="AN12" s="115"/>
        <tr r="AN841" s="57"/>
      </tp>
      <tp>
        <v>0</v>
        <stp/>
        <stp>3555</stp>
        <stp>CumulativeVolume</stp>
        <tr r="AN587" s="57"/>
      </tp>
      <tp>
        <v>0</v>
        <stp/>
        <stp>1455</stp>
        <stp>CumulativeVolume</stp>
        <tr r="AN95" s="57"/>
      </tp>
      <tp>
        <v>0</v>
        <stp/>
        <stp>6155</stp>
        <stp>CumulativeVolume</stp>
        <tr r="AN1158" s="57"/>
      </tp>
      <tp>
        <v>0</v>
        <stp/>
        <stp>6655</stp>
        <stp>CumulativeVolume</stp>
        <tr r="AN1348" s="57"/>
      </tp>
      <tp>
        <v>0</v>
        <stp/>
        <stp>4155</stp>
        <stp>CumulativeVolume</stp>
        <tr r="AN347" s="57"/>
      </tp>
      <tp>
        <v>0</v>
        <stp/>
        <stp>4755</stp>
        <stp>CumulativeVolume</stp>
        <tr r="AN278" s="57"/>
      </tp>
      <tp>
        <v>0</v>
        <stp/>
        <stp>4555</stp>
        <stp>CumulativeVolume</stp>
        <tr r="AN197" s="57"/>
      </tp>
      <tp>
        <v>0</v>
        <stp/>
        <stp>5355</stp>
        <stp>CumulativeVolume</stp>
        <tr r="AN1138" s="57"/>
      </tp>
      <tp>
        <v>0</v>
        <stp/>
        <stp>5455</stp>
        <stp>CumulativeVolume</stp>
        <tr r="AN1478" s="57"/>
      </tp>
      <tp>
        <v>0</v>
        <stp/>
        <stp>8255</stp>
        <stp>CumulativeVolume</stp>
        <tr r="AN218" s="57"/>
      </tp>
      <tp>
        <v>0</v>
        <stp/>
        <stp>8155</stp>
        <stp>CumulativeVolume</stp>
        <tr r="AN1214" s="57"/>
      </tp>
      <tp>
        <v>0</v>
        <stp/>
        <stp>8455</stp>
        <stp>CumulativeVolume</stp>
        <tr r="AN1766" s="57"/>
      </tp>
      <tp>
        <v>0</v>
        <stp/>
        <stp>9955</stp>
        <stp>CumulativeVolume</stp>
        <tr r="AN1428" s="57"/>
      </tp>
      <tp>
        <v>0</v>
        <stp/>
        <stp>2354</stp>
        <stp>CumulativeVolume</stp>
        <tr r="AN1686" s="57"/>
      </tp>
      <tp>
        <v>0</v>
        <stp/>
        <stp>2754</stp>
        <stp>CumulativeVolume</stp>
        <tr r="AN1566" s="57"/>
      </tp>
      <tp>
        <v>0</v>
        <stp/>
        <stp>2454</stp>
        <stp>CumulativeVolume</stp>
        <tr r="AN549" s="57"/>
      </tp>
      <tp>
        <v>0</v>
        <stp/>
        <stp>3354</stp>
        <stp>CumulativeVolume</stp>
        <tr r="AN1089" s="57"/>
      </tp>
      <tp>
        <v>0</v>
        <stp/>
        <stp>3054</stp>
        <stp>CumulativeVolume</stp>
        <tr r="AN558" s="57"/>
      </tp>
      <tp>
        <v>0</v>
        <stp/>
        <stp>3454</stp>
        <stp>CumulativeVolume</stp>
        <tr r="AN840" s="57"/>
      </tp>
      <tp>
        <v>0</v>
        <stp/>
        <stp>1454</stp>
        <stp>CumulativeVolume</stp>
        <tr r="AN94" s="57"/>
      </tp>
      <tp>
        <v>0</v>
        <stp/>
        <stp>6154</stp>
        <stp>CumulativeVolume</stp>
        <tr r="AN1244" s="57"/>
      </tp>
      <tp>
        <v>0</v>
        <stp/>
        <stp>6654</stp>
        <stp>CumulativeVolume</stp>
        <tr r="AN1753" s="57"/>
      </tp>
      <tp>
        <v>0</v>
        <stp/>
        <stp>6754</stp>
        <stp>CumulativeVolume</stp>
        <tr r="AN1351" s="57"/>
      </tp>
      <tp>
        <v>0</v>
        <stp/>
        <stp>4154</stp>
        <stp>CumulativeVolume</stp>
        <tr r="AN346" s="57"/>
      </tp>
      <tp>
        <v>0</v>
        <stp/>
        <stp>4754</stp>
        <stp>CumulativeVolume</stp>
        <tr r="AN277" s="57"/>
      </tp>
      <tp>
        <v>0</v>
        <stp/>
        <stp>4554</stp>
        <stp>CumulativeVolume</stp>
        <tr r="AN1728" s="57"/>
      </tp>
      <tp>
        <v>0</v>
        <stp/>
        <stp>8354</stp>
        <stp>CumulativeVolume</stp>
        <tr r="AN68" s="57"/>
      </tp>
      <tp>
        <v>0</v>
        <stp/>
        <stp>8054</stp>
        <stp>CumulativeVolume</stp>
        <tr r="AN682" s="57"/>
      </tp>
      <tp>
        <v>0</v>
        <stp/>
        <stp>8454</stp>
        <stp>CumulativeVolume</stp>
        <tr r="AN1664" s="57"/>
      </tp>
      <tp>
        <v>0</v>
        <stp/>
        <stp>2357</stp>
        <stp>CumulativeVolume</stp>
        <tr r="AN703" s="57"/>
      </tp>
      <tp>
        <v>0</v>
        <stp/>
        <stp>2457</stp>
        <stp>CumulativeVolume</stp>
        <tr r="AN7" s="115"/>
        <tr r="AN1042" s="57"/>
      </tp>
      <tp>
        <v>0</v>
        <stp/>
        <stp>3257</stp>
        <stp>CumulativeVolume</stp>
        <tr r="AN569" s="57"/>
      </tp>
      <tp>
        <v>0</v>
        <stp/>
        <stp>3357</stp>
        <stp>CumulativeVolume</stp>
        <tr r="AN1090" s="57"/>
      </tp>
      <tp>
        <v>0</v>
        <stp/>
        <stp>3057</stp>
        <stp>CumulativeVolume</stp>
        <tr r="AN727" s="57"/>
      </tp>
      <tp>
        <v>0</v>
        <stp/>
        <stp>3557</stp>
        <stp>CumulativeVolume</stp>
        <tr r="AN1320" s="57"/>
      </tp>
      <tp>
        <v>0</v>
        <stp/>
        <stp>1457</stp>
        <stp>CumulativeVolume</stp>
        <tr r="AN97" s="57"/>
      </tp>
      <tp>
        <v>0</v>
        <stp/>
        <stp>6257</stp>
        <stp>CumulativeVolume</stp>
        <tr r="AN641" s="57"/>
      </tp>
      <tp>
        <v>0</v>
        <stp/>
        <stp>6457</stp>
        <stp>CumulativeVolume</stp>
        <tr r="AN650" s="57"/>
      </tp>
      <tp>
        <v>0</v>
        <stp/>
        <stp>4157</stp>
        <stp>CumulativeVolume</stp>
        <tr r="AN348" s="57"/>
      </tp>
      <tp>
        <v>0</v>
        <stp/>
        <stp>4557</stp>
        <stp>CumulativeVolume</stp>
        <tr r="AN523" s="57"/>
      </tp>
      <tp>
        <v>0</v>
        <stp/>
        <stp>5457</stp>
        <stp>CumulativeVolume</stp>
        <tr r="AN1141" s="57"/>
      </tp>
      <tp>
        <v>0</v>
        <stp/>
        <stp>2356</stp>
        <stp>CumulativeVolume</stp>
        <tr r="AN702" s="57"/>
      </tp>
      <tp t="s">
        <v>商品錯誤</v>
        <stp/>
        <stp>2456</stp>
        <stp>CumulativeVolume</stp>
        <tr r="AN1041" s="57"/>
      </tp>
      <tp>
        <v>0</v>
        <stp/>
        <stp>3356</stp>
        <stp>CumulativeVolume</stp>
        <tr r="AN833" s="57"/>
      </tp>
      <tp>
        <v>0</v>
        <stp/>
        <stp>3056</stp>
        <stp>CumulativeVolume</stp>
        <tr r="AN1467" s="57"/>
      </tp>
      <tp>
        <v>0</v>
        <stp/>
        <stp>3556</stp>
        <stp>CumulativeVolume</stp>
        <tr r="AN588" s="57"/>
      </tp>
      <tp>
        <v>0</v>
        <stp/>
        <stp>1256</stp>
        <stp>CumulativeVolume</stp>
        <tr r="AN33" s="57"/>
      </tp>
      <tp>
        <v>0</v>
        <stp/>
        <stp>1456</stp>
        <stp>CumulativeVolume</stp>
        <tr r="AN96" s="57"/>
      </tp>
      <tp>
        <v>0</v>
        <stp/>
        <stp>6156</stp>
        <stp>CumulativeVolume</stp>
        <tr r="AN1159" s="57"/>
      </tp>
      <tp>
        <v>0</v>
        <stp/>
        <stp>6756</stp>
        <stp>CumulativeVolume</stp>
        <tr r="AN674" s="57"/>
      </tp>
      <tp>
        <v>0</v>
        <stp/>
        <stp>6456</stp>
        <stp>CumulativeVolume</stp>
        <tr r="AN907" s="57"/>
      </tp>
      <tp>
        <v>0</v>
        <stp/>
        <stp>6556</stp>
        <stp>CumulativeVolume</stp>
        <tr r="AN909" s="57"/>
      </tp>
      <tp>
        <v>0</v>
        <stp/>
        <stp>7556</stp>
        <stp>CumulativeVolume</stp>
        <tr r="AN677" s="57"/>
      </tp>
      <tp>
        <v>0</v>
        <stp/>
        <stp>4556</stp>
        <stp>CumulativeVolume</stp>
        <tr r="AN1325" s="57"/>
      </tp>
      <tp>
        <v>0</v>
        <stp/>
        <stp>4956</stp>
        <stp>CumulativeVolume</stp>
        <tr r="AN869" s="57"/>
      </tp>
      <tp>
        <v>0</v>
        <stp/>
        <stp>5356</stp>
        <stp>CumulativeVolume</stp>
        <tr r="AN764" s="57"/>
      </tp>
      <tp>
        <v>0</v>
        <stp/>
        <stp>2359</stp>
        <stp>CumulativeVolume</stp>
        <tr r="AN1687" s="57"/>
      </tp>
      <tp>
        <v>0</v>
        <stp/>
        <stp>2059</stp>
        <stp>CumulativeVolume</stp>
        <tr r="AN1019" s="57"/>
      </tp>
      <tp>
        <v>0</v>
        <stp/>
        <stp>2459</stp>
        <stp>CumulativeVolume</stp>
        <tr r="AN1226" s="57"/>
      </tp>
      <tp>
        <v>0</v>
        <stp/>
        <stp>3259</stp>
        <stp>CumulativeVolume</stp>
        <tr r="AN570" s="57"/>
      </tp>
      <tp>
        <v>0</v>
        <stp/>
        <stp>3059</stp>
        <stp>CumulativeVolume</stp>
        <tr r="AN826" s="57"/>
      </tp>
      <tp>
        <v>0</v>
        <stp/>
        <stp>1259</stp>
        <stp>CumulativeVolume</stp>
        <tr r="AN1538" s="57"/>
      </tp>
      <tp>
        <v>0</v>
        <stp/>
        <stp>1459</stp>
        <stp>CumulativeVolume</stp>
        <tr r="AN98" s="57"/>
      </tp>
      <tp>
        <v>0</v>
        <stp/>
        <stp>6259</stp>
        <stp>CumulativeVolume</stp>
        <tr r="AN1180" s="57"/>
      </tp>
      <tp>
        <v>0</v>
        <stp/>
        <stp>8059</stp>
        <stp>CumulativeVolume</stp>
        <tr r="AN1006" s="57"/>
      </tp>
      <tp>
        <v>0</v>
        <stp/>
        <stp>2358</stp>
        <stp>CumulativeVolume</stp>
        <tr r="AN1312" s="57"/>
      </tp>
      <tp>
        <v>0</v>
        <stp/>
        <stp>2458</stp>
        <stp>CumulativeVolume</stp>
        <tr r="AN550" s="57"/>
      </tp>
      <tp>
        <v>0</v>
        <stp/>
        <stp>3058</stp>
        <stp>CumulativeVolume</stp>
        <tr r="AN1063" s="57"/>
      </tp>
      <tp>
        <v>0</v>
        <stp/>
        <stp>3558</stp>
        <stp>CumulativeVolume</stp>
        <tr r="AN957" s="57"/>
      </tp>
      <tp>
        <v>0</v>
        <stp/>
        <stp>1258</stp>
        <stp>CumulativeVolume</stp>
        <tr r="AN34" s="57"/>
      </tp>
      <tp>
        <v>0</v>
        <stp/>
        <stp>1558</stp>
        <stp>CumulativeVolume</stp>
        <tr r="AN152" s="57"/>
      </tp>
      <tp>
        <v>0</v>
        <stp/>
        <stp>6158</stp>
        <stp>CumulativeVolume</stp>
        <tr r="AN1160" s="57"/>
      </tp>
      <tp>
        <v>0</v>
        <stp/>
        <stp>6558</stp>
        <stp>CumulativeVolume</stp>
        <tr r="AN36" s="28"/>
        <tr r="AN1751" s="57"/>
      </tp>
      <tp>
        <v>0</v>
        <stp/>
        <stp>4958</stp>
        <stp>CumulativeVolume</stp>
        <tr r="AN28" s="28"/>
        <tr r="AN1127" s="57"/>
      </tp>
      <tp>
        <v>0</v>
        <stp/>
        <stp>5258</stp>
        <stp>CumulativeVolume</stp>
        <tr r="AN762" s="57"/>
      </tp>
      <tp>
        <v>0</v>
        <stp/>
        <stp>8358</stp>
        <stp>CumulativeVolume</stp>
        <tr r="AN1220" s="57"/>
      </tp>
      <tp>
        <v>0</v>
        <stp/>
        <stp>9958</stp>
        <stp>CumulativeVolume</stp>
        <tr r="AN475" s="57"/>
      </tp>
      <tp t="s">
        <v>無資料</v>
        <stp/>
        <stp>2342</stp>
        <stp>Price</stp>
        <tr r="Y535" s="57"/>
      </tp>
      <tp t="s">
        <v>無資料</v>
        <stp/>
        <stp>2352</stp>
        <stp>Price</stp>
        <tr r="Y700" s="57"/>
      </tp>
      <tp t="s">
        <v>無資料</v>
        <stp/>
        <stp>2362</stp>
        <stp>Price</stp>
        <tr r="Y704" s="57"/>
      </tp>
      <tp t="s">
        <v>無資料</v>
        <stp/>
        <stp>2302</stp>
        <stp>Price</stp>
        <tr r="Y529" s="57"/>
      </tp>
      <tp t="s">
        <v>無資料</v>
        <stp/>
        <stp>2312</stp>
        <stp>Price</stp>
        <tr r="Y1684" s="57"/>
      </tp>
      <tp t="s">
        <v>無資料</v>
        <stp/>
        <stp>2332</stp>
        <stp>Price</stp>
        <tr r="Y927" s="57"/>
      </tp>
      <tp t="s">
        <v>無資料</v>
        <stp/>
        <stp>2382</stp>
        <stp>Price</stp>
        <tr r="Y710" s="57"/>
      </tp>
      <tp t="s">
        <v>無資料</v>
        <stp/>
        <stp>2392</stp>
        <stp>Price</stp>
        <tr r="Y1031" s="57"/>
      </tp>
      <tp t="s">
        <v>無資料</v>
        <stp/>
        <stp>2062</stp>
        <stp>Price</stp>
        <tr r="Y1309" s="57"/>
      </tp>
      <tp t="s">
        <v>無資料</v>
        <stp/>
        <stp>2002</stp>
        <stp>Price</stp>
        <tr r="Y431" s="57"/>
      </tp>
      <tp t="s">
        <v>無資料</v>
        <stp/>
        <stp>2012</stp>
        <stp>Price</stp>
        <tr r="Y437" s="57"/>
      </tp>
      <tp t="s">
        <v>無資料</v>
        <stp/>
        <stp>2022</stp>
        <stp>Price</stp>
        <tr r="Y443" s="57"/>
      </tp>
      <tp t="s">
        <v>無資料</v>
        <stp/>
        <stp>2032</stp>
        <stp>Price</stp>
        <tr r="Y452" s="57"/>
      </tp>
      <tp t="s">
        <v>無資料</v>
        <stp/>
        <stp>2102</stp>
        <stp>Price</stp>
        <tr r="Y480" s="57"/>
      </tp>
      <tp t="s">
        <v>無資料</v>
        <stp/>
        <stp>2642</stp>
        <stp>Price</stp>
        <tr r="Y1527" s="57"/>
      </tp>
      <tp t="s">
        <v>無資料</v>
        <stp/>
        <stp>2612</stp>
        <stp>Price</stp>
        <tr r="Y1516" s="57"/>
      </tp>
      <tp t="s">
        <v>無資料</v>
        <stp/>
        <stp>2752</stp>
        <stp>Price</stp>
        <tr r="Y1564" s="57"/>
      </tp>
      <tp t="s">
        <v>無資料</v>
        <stp/>
        <stp>2702</stp>
        <stp>Price</stp>
        <tr r="Y1541" s="57"/>
      </tp>
      <tp t="s">
        <v>無資料</v>
        <stp/>
        <stp>2712</stp>
        <stp>Price</stp>
        <tr r="Y1546" s="57"/>
      </tp>
      <tp t="s">
        <v>無資料</v>
        <stp/>
        <stp>2722</stp>
        <stp>Price</stp>
        <tr r="Y1549" s="57"/>
      </tp>
      <tp t="s">
        <v>無資料</v>
        <stp/>
        <stp>2732</stp>
        <stp>Price</stp>
        <tr r="Y1556" s="57"/>
      </tp>
      <tp t="s">
        <v>無資料</v>
        <stp/>
        <stp>2442</stp>
        <stp>Price</stp>
        <tr r="Y719" s="57"/>
      </tp>
      <tp t="s">
        <v>無資料</v>
        <stp/>
        <stp>2462</stp>
        <stp>Price</stp>
        <tr r="Y1044" s="57"/>
      </tp>
      <tp t="s">
        <v>無資料</v>
        <stp/>
        <stp>2472</stp>
        <stp>Price</stp>
        <tr r="Y1046" s="57"/>
      </tp>
      <tp t="s">
        <v>無資料</v>
        <stp/>
        <stp>2402</stp>
        <stp>Price</stp>
        <tr r="Y1032" s="57"/>
      </tp>
      <tp t="s">
        <v>無資料</v>
        <stp/>
        <stp>2412</stp>
        <stp>Price</stp>
        <tr r="Y929" s="57"/>
      </tp>
      <tp t="s">
        <v>無資料</v>
        <stp/>
        <stp>2482</stp>
        <stp>Price</stp>
        <tr r="Y1698" s="57"/>
      </tp>
      <tp t="s">
        <v>無資料</v>
        <stp/>
        <stp>2492</stp>
        <stp>Price</stp>
        <tr r="Y1051" s="57"/>
      </tp>
      <tp t="s">
        <v>無資料</v>
        <stp/>
        <stp>2542</stp>
        <stp>Price</stp>
        <tr r="Y1456" s="57"/>
      </tp>
      <tp t="s">
        <v>無資料</v>
        <stp/>
        <stp>2852</stp>
        <stp>Price</stp>
        <tr r="Y1598" s="57"/>
      </tp>
      <tp t="s">
        <v>無資料</v>
        <stp/>
        <stp>2812</stp>
        <stp>Price</stp>
        <tr r="Y1586" s="57"/>
        <tr r="Y76" s="28"/>
      </tp>
      <tp t="s">
        <v>無資料</v>
        <stp/>
        <stp>2832</stp>
        <stp>Price</stp>
        <tr r="Y1590" s="57"/>
      </tp>
      <tp t="s">
        <v>無資料</v>
        <stp/>
        <stp>2882</stp>
        <stp>Price</stp>
        <tr r="Y1603" s="57"/>
      </tp>
      <tp t="s">
        <v>無資料</v>
        <stp/>
        <stp>2892</stp>
        <stp>Price</stp>
        <tr r="Y1613" s="57"/>
      </tp>
      <tp t="s">
        <v>無資料</v>
        <stp/>
        <stp>2912</stp>
        <stp>Price</stp>
        <tr r="Y1640" s="57"/>
      </tp>
      <tp t="s">
        <v>無資料</v>
        <stp/>
        <stp>3252</stp>
        <stp>Price</stp>
        <tr r="Y1569" s="57"/>
      </tp>
      <tp t="s">
        <v>無資料</v>
        <stp/>
        <stp>3272</stp>
        <stp>Price</stp>
        <tr r="Y734" s="57"/>
      </tp>
      <tp t="s">
        <v>無資料</v>
        <stp/>
        <stp>3202</stp>
        <stp>Price</stp>
        <tr r="Y1071" s="57"/>
      </tp>
      <tp t="s">
        <v>無資料</v>
        <stp/>
        <stp>3232</stp>
        <stp>Price</stp>
        <tr r="Y16" s="98"/>
        <tr r="Y1235" s="57"/>
        <tr r="Y24" s="101"/>
      </tp>
      <tp t="s">
        <v>無資料</v>
        <stp/>
        <stp>3362</stp>
        <stp>Price</stp>
        <tr r="Y834" s="57"/>
      </tp>
      <tp t="s">
        <v>無資料</v>
        <stp/>
        <stp>3372</stp>
        <stp>Price</stp>
        <tr r="Y576" s="57"/>
      </tp>
      <tp t="s">
        <v>無資料</v>
        <stp/>
        <stp>3312</stp>
        <stp>Price</stp>
        <tr r="Y1236" s="57"/>
      </tp>
      <tp t="s">
        <v>無資料</v>
        <stp/>
        <stp>3322</stp>
        <stp>Price</stp>
        <tr r="Y1086" s="57"/>
      </tp>
      <tp t="s">
        <v>無資料</v>
        <stp/>
        <stp>3332</stp>
        <stp>Price</stp>
        <tr r="Y1087" s="57"/>
      </tp>
      <tp t="s">
        <v>無資料</v>
        <stp/>
        <stp>3042</stp>
        <stp>Price</stp>
        <tr r="Y1061" s="57"/>
      </tp>
      <tp t="s">
        <v>無資料</v>
        <stp/>
        <stp>3052</stp>
        <stp>Price</stp>
        <tr r="Y1466" s="57"/>
      </tp>
      <tp t="s">
        <v>無資料</v>
        <stp/>
        <stp>3062</stp>
        <stp>Price</stp>
        <tr r="Y941" s="57"/>
      </tp>
      <tp t="s">
        <v>無資料</v>
        <stp/>
        <stp>3002</stp>
        <stp>Price</stp>
        <tr r="Y721" s="57"/>
      </tp>
      <tp t="s">
        <v>無資料</v>
        <stp/>
        <stp>3022</stp>
        <stp>Price</stp>
        <tr r="Y725" s="57"/>
      </tp>
      <tp t="s">
        <v>無資料</v>
        <stp/>
        <stp>3032</stp>
        <stp>Price</stp>
        <tr r="Y1059" s="57"/>
      </tp>
      <tp t="s">
        <v>無資料</v>
        <stp/>
        <stp>3092</stp>
        <stp>Price</stp>
        <tr r="Y6" s="101"/>
        <tr r="Y1066" s="57"/>
      </tp>
      <tp t="s">
        <v>無資料</v>
        <stp/>
        <stp>3152</stp>
        <stp>Price</stp>
        <tr r="Y945" s="57"/>
        <tr r="Y19" s="98"/>
      </tp>
      <tp t="s">
        <v>無資料</v>
        <stp/>
        <stp>3162</stp>
        <stp>Price</stp>
        <tr r="Y171" s="57"/>
        <tr r="Y27" s="28"/>
        <tr r="Y50" s="22"/>
      </tp>
      <tp t="s">
        <v>無資料</v>
        <stp/>
        <stp>3122</stp>
        <stp>Price</stp>
        <tr r="Y562" s="57"/>
      </tp>
      <tp t="s">
        <v>無資料</v>
        <stp/>
        <stp>3642</stp>
        <stp>Price</stp>
        <tr r="Y1725" s="57"/>
      </tp>
      <tp t="s">
        <v>無資料</v>
        <stp/>
        <stp>3652</stp>
        <stp>Price</stp>
        <tr r="Y749" s="57"/>
      </tp>
      <tp t="s">
        <v>無資料</v>
        <stp/>
        <stp>3672</stp>
        <stp>Price</stp>
        <tr r="Y962" s="57"/>
      </tp>
      <tp t="s">
        <v>無資料</v>
        <stp/>
        <stp>3622</stp>
        <stp>Price</stp>
        <tr r="Y853" s="57"/>
      </tp>
      <tp t="s">
        <v>無資料</v>
        <stp/>
        <stp>3632</stp>
        <stp>Price</stp>
        <tr r="Y960" s="57"/>
      </tp>
      <tp t="s">
        <v>無資料</v>
        <stp/>
        <stp>3682</stp>
        <stp>Price</stp>
        <tr r="Y963" s="57"/>
      </tp>
      <tp t="s">
        <v>無資料</v>
        <stp/>
        <stp>3702</stp>
        <stp>Price</stp>
        <tr r="Y1240" s="57"/>
      </tp>
      <tp t="s">
        <v>無資料</v>
        <stp/>
        <stp>3712</stp>
        <stp>Price</stp>
        <tr r="Y754" s="57"/>
      </tp>
      <tp t="s">
        <v>無資料</v>
        <stp/>
        <stp>3402</stp>
        <stp>Price</stp>
        <tr r="Y1713" s="57"/>
      </tp>
      <tp t="s">
        <v>無資料</v>
        <stp/>
        <stp>3432</stp>
        <stp>Price</stp>
        <tr r="Y1094" s="57"/>
      </tp>
      <tp t="s">
        <v>無資料</v>
        <stp/>
        <stp>3492</stp>
        <stp>Price</stp>
        <tr r="Y1097" s="57"/>
      </tp>
      <tp t="s">
        <v>無資料</v>
        <stp/>
        <stp>3552</stp>
        <stp>Price</stp>
        <tr r="Y1720" s="57"/>
        <tr r="Y29" s="98"/>
      </tp>
      <tp t="s">
        <v>無資料</v>
        <stp/>
        <stp>3512</stp>
        <stp>Price</stp>
        <tr r="Y1100" s="57"/>
      </tp>
      <tp t="s">
        <v>無資料</v>
        <stp/>
        <stp>3522</stp>
        <stp>Price</stp>
        <tr r="Y1570" s="57"/>
      </tp>
      <tp t="s">
        <v>無資料</v>
        <stp/>
        <stp>3532</stp>
        <stp>Price</stp>
        <tr r="Y584" s="57"/>
      </tp>
      <tp t="s">
        <v>無資料</v>
        <stp/>
        <stp>3592</stp>
        <stp>Price</stp>
        <tr r="Y65" s="28"/>
        <tr r="Y593" s="57"/>
      </tp>
      <tp t="s">
        <v>無資料</v>
        <stp/>
        <stp>1232</stp>
        <stp>Price</stp>
        <tr r="Y28" s="57"/>
      </tp>
      <tp t="s">
        <v>無資料</v>
        <stp/>
        <stp>1342</stp>
        <stp>Price</stp>
        <tr r="Y1303" s="57"/>
      </tp>
      <tp t="s">
        <v>無資料</v>
        <stp/>
        <stp>1312</stp>
        <stp>Price</stp>
        <tr r="Y52" s="57"/>
      </tp>
      <tp t="s">
        <v>無資料</v>
        <stp/>
        <stp>1102</stp>
        <stp>Price</stp>
        <tr r="Y6" s="57"/>
      </tp>
      <tp t="s">
        <v>無資料</v>
        <stp/>
        <stp>1612</stp>
        <stp>Price</stp>
        <tr r="Y230" s="57"/>
      </tp>
      <tp t="s">
        <v>無資料</v>
        <stp/>
        <stp>1742</stp>
        <stp>Price</stp>
        <tr r="Y262" s="57"/>
      </tp>
      <tp t="s">
        <v>無資料</v>
        <stp/>
        <stp>1752</stp>
        <stp>Price</stp>
        <tr r="Y298" s="57"/>
      </tp>
      <tp t="s">
        <v>無資料</v>
        <stp/>
        <stp>1762</stp>
        <stp>Price</stp>
        <tr r="Y300" s="57"/>
      </tp>
      <tp t="s">
        <v>無資料</v>
        <stp/>
        <stp>1702</stp>
        <stp>Price</stp>
        <tr r="Y36" s="57"/>
      </tp>
      <tp t="s">
        <v>無資料</v>
        <stp/>
        <stp>1712</stp>
        <stp>Price</stp>
        <tr r="Y247" s="57"/>
      </tp>
      <tp t="s">
        <v>無資料</v>
        <stp/>
        <stp>1722</stp>
        <stp>Price</stp>
        <tr r="Y253" s="57"/>
      </tp>
      <tp t="s">
        <v>無資料</v>
        <stp/>
        <stp>1732</stp>
        <stp>Price</stp>
        <tr r="Y6" s="102"/>
        <tr r="Y260" s="57"/>
        <tr r="Y10" s="28"/>
        <tr r="Y16" s="102"/>
        <tr r="Y14" s="102"/>
        <tr r="Y11" s="102"/>
      </tp>
      <tp t="s">
        <v>無資料</v>
        <stp/>
        <stp>1442</stp>
        <stp>Price</stp>
        <tr r="Y1434" s="57"/>
      </tp>
      <tp t="s">
        <v>無資料</v>
        <stp/>
        <stp>1452</stp>
        <stp>Price</stp>
        <tr r="Y92" s="57"/>
      </tp>
      <tp t="s">
        <v>無資料</v>
        <stp/>
        <stp>1472</stp>
        <stp>Price</stp>
        <tr r="Y107" s="57"/>
      </tp>
      <tp t="s">
        <v>無資料</v>
        <stp/>
        <stp>1402</stp>
        <stp>Price</stp>
        <tr r="Y72" s="57"/>
      </tp>
      <tp t="s">
        <v>無資料</v>
        <stp/>
        <stp>1432</stp>
        <stp>Price</stp>
        <tr r="Y1630" s="57"/>
        <tr r="Y79" s="28"/>
      </tp>
      <tp t="s">
        <v>無資料</v>
        <stp/>
        <stp>1512</stp>
        <stp>Price</stp>
        <tr r="Y496" s="57"/>
      </tp>
      <tp t="s">
        <v>無資料</v>
        <stp/>
        <stp>1522</stp>
        <stp>Price</stp>
        <tr r="Y498" s="57"/>
      </tp>
      <tp t="s">
        <v>無資料</v>
        <stp/>
        <stp>1532</stp>
        <stp>Price</stp>
        <tr r="Y145" s="57"/>
      </tp>
      <tp t="s">
        <v>無資料</v>
        <stp/>
        <stp>1582</stp>
        <stp>Price</stp>
        <tr r="Y1016" s="57"/>
      </tp>
      <tp t="s">
        <v>商品錯誤</v>
        <stp/>
        <stp>1592</stp>
        <stp>Price</stp>
        <tr r="Y505" s="57"/>
      </tp>
      <tp t="s">
        <v>無資料</v>
        <stp/>
        <stp>1802</stp>
        <stp>Price</stp>
        <tr r="Y416" s="57"/>
      </tp>
      <tp t="s">
        <v>無資料</v>
        <stp/>
        <stp>6242</stp>
        <stp>Price</stp>
        <tr r="Y377" s="57"/>
      </tp>
      <tp t="s">
        <v>無資料</v>
        <stp/>
        <stp>6202</stp>
        <stp>Price</stp>
        <tr r="Y634" s="57"/>
      </tp>
      <tp t="s">
        <v>無資料</v>
        <stp/>
        <stp>6212</stp>
        <stp>Price</stp>
        <tr r="Y1499" s="57"/>
      </tp>
      <tp t="s">
        <v>無資料</v>
        <stp/>
        <stp>6282</stp>
        <stp>Price</stp>
        <tr r="Y1185" s="57"/>
      </tp>
      <tp t="s">
        <v>無資料</v>
        <stp/>
        <stp>6292</stp>
        <stp>Price</stp>
        <tr r="Y1188" s="57"/>
      </tp>
      <tp t="s">
        <v>無資料</v>
        <stp/>
        <stp>6142</stp>
        <stp>Price</stp>
        <tr r="Y979" s="57"/>
      </tp>
      <tp t="s">
        <v>無資料</v>
        <stp/>
        <stp>6152</stp>
        <stp>Price</stp>
        <tr r="Y981" s="57"/>
      </tp>
      <tp t="s">
        <v>商品錯誤</v>
        <stp/>
        <stp>6172</stp>
        <stp>Price</stp>
        <tr r="Y779" s="57"/>
      </tp>
      <tp t="s">
        <v>無資料</v>
        <stp/>
        <stp>6112</stp>
        <stp>Price</stp>
        <tr r="Y1281" s="57"/>
      </tp>
      <tp t="s">
        <v>無資料</v>
        <stp/>
        <stp>6122</stp>
        <stp>Price</stp>
        <tr r="Y210" s="57"/>
      </tp>
      <tp t="s">
        <v>無資料</v>
        <stp/>
        <stp>6182</stp>
        <stp>Price</stp>
        <tr r="Y632" s="57"/>
      </tp>
      <tp t="s">
        <v>無資料</v>
        <stp/>
        <stp>6192</stp>
        <stp>Price</stp>
        <tr r="Y1741" s="57"/>
      </tp>
      <tp t="s">
        <v>無資料</v>
        <stp/>
        <stp>6642</stp>
        <stp>Price</stp>
        <tr r="Y1194" s="57"/>
      </tp>
      <tp t="s">
        <v>無資料</v>
        <stp/>
        <stp>6672</stp>
        <stp>Price</stp>
        <tr r="Y1196" s="57"/>
      </tp>
      <tp t="s">
        <v>無資料</v>
        <stp/>
        <stp>6612</stp>
        <stp>Price</stp>
        <tr r="Y396" s="57"/>
      </tp>
      <tp t="s">
        <v>無資料</v>
        <stp/>
        <stp>6752</stp>
        <stp>Price</stp>
        <tr r="Y1296" s="57"/>
      </tp>
      <tp t="s">
        <v>無資料</v>
        <stp/>
        <stp>6762</stp>
        <stp>Price</stp>
        <tr r="Y406" s="57"/>
      </tp>
      <tp t="s">
        <v>無資料</v>
        <stp/>
        <stp>6712</stp>
        <stp>Price</stp>
        <tr r="Y403" s="57"/>
      </tp>
      <tp t="s">
        <v>無資料</v>
        <stp/>
        <stp>6732</stp>
        <stp>Price</stp>
        <tr r="Y673" s="57"/>
      </tp>
      <tp t="s">
        <v>無資料</v>
        <stp/>
        <stp>6792</stp>
        <stp>Price</stp>
        <tr r="Y1002" s="57"/>
      </tp>
      <tp t="s">
        <v>無資料</v>
        <stp/>
        <stp>6442</stp>
        <stp>Price</stp>
        <tr r="Y994" s="57"/>
      </tp>
      <tp t="s">
        <v>無資料</v>
        <stp/>
        <stp>6462</stp>
        <stp>Price</stp>
        <tr r="Y3" s="107"/>
        <tr r="Y651" s="57"/>
      </tp>
      <tp t="s">
        <v>無資料</v>
        <stp/>
        <stp>6472</stp>
        <stp>Price</stp>
        <tr r="Y381" s="57"/>
      </tp>
      <tp t="s">
        <v>無資料</v>
        <stp/>
        <stp>6412</stp>
        <stp>Price</stp>
        <tr r="Y1189" s="57"/>
      </tp>
      <tp t="s">
        <v>無資料</v>
        <stp/>
        <stp>6432</stp>
        <stp>Price</stp>
        <tr r="Y1191" s="57"/>
      </tp>
      <tp t="s">
        <v>無資料</v>
        <stp/>
        <stp>6482</stp>
        <stp>Price</stp>
        <tr r="Y1787" s="57"/>
      </tp>
      <tp t="s">
        <v>無資料</v>
        <stp/>
        <stp>6492</stp>
        <stp>Price</stp>
        <tr r="Y383" s="57"/>
      </tp>
      <tp t="s">
        <v>無資料</v>
        <stp/>
        <stp>6542</stp>
        <stp>Price</stp>
        <tr r="Y1788" s="57"/>
      </tp>
      <tp t="s">
        <v>無資料</v>
        <stp/>
        <stp>6552</stp>
        <stp>Price</stp>
        <tr r="Y662" s="57"/>
      </tp>
      <tp t="s">
        <v>無資料</v>
        <stp/>
        <stp>6512</stp>
        <stp>Price</stp>
        <tr r="Y1750" s="57"/>
      </tp>
      <tp t="s">
        <v>無資料</v>
        <stp/>
        <stp>6532</stp>
        <stp>Price</stp>
        <tr r="Y659" s="57"/>
      </tp>
      <tp t="s">
        <v>無資料</v>
        <stp/>
        <stp>6582</stp>
        <stp>Price</stp>
        <tr r="Y13" s="102"/>
        <tr r="Y490" s="57"/>
        <tr r="Y4" s="102"/>
        <tr r="Y2" s="102"/>
      </tp>
      <tp t="s">
        <v>無資料</v>
        <stp/>
        <stp>6592</stp>
        <stp>Price</stp>
        <tr r="Y18" s="28"/>
        <tr r="Y1342" s="57"/>
        <tr r="Y31" s="22"/>
      </tp>
      <tp t="s">
        <v>無資料</v>
        <stp/>
        <stp>7402</stp>
        <stp>Price</stp>
        <tr r="Y913" s="57"/>
      </tp>
      <tp t="s">
        <v>無資料</v>
        <stp/>
        <stp>4142</stp>
        <stp>Price</stp>
        <tr r="Y342" s="57"/>
        <tr r="Y22" s="74"/>
      </tp>
      <tp t="s">
        <v>無資料</v>
        <stp/>
        <stp>4162</stp>
        <stp>Price</stp>
        <tr r="Y19" s="28"/>
        <tr r="Y351" s="57"/>
        <tr r="Y93" s="22"/>
      </tp>
      <tp t="s">
        <v>無資料</v>
        <stp/>
        <stp>4102</stp>
        <stp>Price</stp>
        <tr r="Y317" s="57"/>
      </tp>
      <tp t="s">
        <v>無資料</v>
        <stp/>
        <stp>4192</stp>
        <stp>Price</stp>
        <tr r="Y362" s="57"/>
      </tp>
      <tp t="s">
        <v>無資料</v>
        <stp/>
        <stp>4702</stp>
        <stp>Price</stp>
        <tr r="Y266" s="57"/>
      </tp>
      <tp t="s">
        <v>商品錯誤</v>
        <stp/>
        <stp>4712</stp>
        <stp>Price</stp>
        <tr r="Y41" s="57"/>
      </tp>
      <tp t="s">
        <v>無資料</v>
        <stp/>
        <stp>4722</stp>
        <stp>Price</stp>
        <tr r="Y274" s="57"/>
      </tp>
      <tp t="s">
        <v>無資料</v>
        <stp/>
        <stp>4402</stp>
        <stp>Price</stp>
        <tr r="Y114" s="57"/>
      </tp>
      <tp t="s">
        <v>無資料</v>
        <stp/>
        <stp>4432</stp>
        <stp>Price</stp>
        <tr r="Y133" s="22"/>
        <tr r="Y134" s="22"/>
        <tr r="Y135" s="22"/>
        <tr r="Y136" s="22"/>
        <tr r="Y137" s="22"/>
        <tr r="Y138" s="22"/>
        <tr r="Y139" s="22"/>
        <tr r="Y123" s="57"/>
        <tr r="Y37" s="28"/>
        <tr r="Y140" s="22"/>
      </tp>
      <tp t="s">
        <v>無資料</v>
        <stp/>
        <stp>4542</stp>
        <stp>Price</stp>
        <tr r="Y1120" s="57"/>
        <tr r="Y71" s="28"/>
      </tp>
      <tp t="s">
        <v>無資料</v>
        <stp/>
        <stp>4552</stp>
        <stp>Price</stp>
        <tr r="Y196" s="57"/>
      </tp>
      <tp t="s">
        <v>無資料</v>
        <stp/>
        <stp>4562</stp>
        <stp>Price</stp>
        <tr r="Y200" s="57"/>
        <tr r="Y73" s="28"/>
      </tp>
      <tp t="s">
        <v>無資料</v>
        <stp/>
        <stp>4572</stp>
        <stp>Price</stp>
        <tr r="Y206" s="57"/>
      </tp>
      <tp t="s">
        <v>無資料</v>
        <stp/>
        <stp>4502</stp>
        <stp>Price</stp>
        <tr r="Y177" s="57"/>
      </tp>
      <tp t="s">
        <v>無資料</v>
        <stp/>
        <stp>4532</stp>
        <stp>Price</stp>
        <tr r="Y187" s="57"/>
      </tp>
      <tp t="s">
        <v>無資料</v>
        <stp/>
        <stp>4942</stp>
        <stp>Price</stp>
        <tr r="Y867" s="57"/>
      </tp>
      <tp t="s">
        <v>無資料</v>
        <stp/>
        <stp>4952</stp>
        <stp>Price</stp>
        <tr r="Y602" s="57"/>
      </tp>
      <tp t="s">
        <v>無資料</v>
        <stp/>
        <stp>4972</stp>
        <stp>Price</stp>
        <tr r="Y871" s="57"/>
      </tp>
      <tp t="s">
        <v>無資料</v>
        <stp/>
        <stp>4912</stp>
        <stp>Price</stp>
        <tr r="Y1122" s="57"/>
      </tp>
      <tp t="s">
        <v>無資料</v>
        <stp/>
        <stp>5272</stp>
        <stp>Price</stp>
        <tr r="Y613" s="57"/>
      </tp>
      <tp t="s">
        <v>無資料</v>
        <stp/>
        <stp>5202</stp>
        <stp>Price</stp>
        <tr r="Y1272" s="57"/>
      </tp>
      <tp t="s">
        <v>無資料</v>
        <stp/>
        <stp>5212</stp>
        <stp>Price</stp>
        <tr r="Y1277" s="57"/>
      </tp>
      <tp t="s">
        <v>無資料</v>
        <stp/>
        <stp>5222</stp>
        <stp>Price</stp>
        <tr r="Y610" s="57"/>
      </tp>
      <tp t="s">
        <v>無資料</v>
        <stp/>
        <stp>5302</stp>
        <stp>Price</stp>
        <tr r="Y617" s="57"/>
      </tp>
      <tp t="s">
        <v>無資料</v>
        <stp/>
        <stp>5312</stp>
        <stp>Price</stp>
        <tr r="Y375" s="57"/>
      </tp>
      <tp t="s">
        <v>無資料</v>
        <stp/>
        <stp>5392</stp>
        <stp>Price</stp>
        <tr r="Y883" s="57"/>
      </tp>
      <tp t="s">
        <v>無資料</v>
        <stp/>
        <stp>5102</stp>
        <stp>Price</stp>
        <tr r="Y489" s="57"/>
      </tp>
      <tp t="s">
        <v>無資料</v>
        <stp/>
        <stp>5452</stp>
        <stp>Price</stp>
        <tr r="Y1733" s="57"/>
      </tp>
      <tp t="s">
        <v>無資料</v>
        <stp/>
        <stp>5432</stp>
        <stp>Price</stp>
        <tr r="Y884" s="57"/>
      </tp>
      <tp t="s">
        <v>無資料</v>
        <stp/>
        <stp>5512</stp>
        <stp>Price</stp>
        <tr r="Y1481" s="57"/>
      </tp>
      <tp t="s">
        <v>無資料</v>
        <stp/>
        <stp>5522</stp>
        <stp>Price</stp>
        <tr r="Y1814" s="57"/>
      </tp>
      <tp t="s">
        <v>無資料</v>
        <stp/>
        <stp>5902</stp>
        <stp>Price</stp>
        <tr r="Y1652" s="57"/>
      </tp>
      <tp t="s">
        <v>無資料</v>
        <stp/>
        <stp>8222</stp>
        <stp>Price</stp>
        <tr r="Y217" s="57"/>
      </tp>
      <tp t="s">
        <v>無資料</v>
        <stp/>
        <stp>8342</stp>
        <stp>Price</stp>
        <tr r="Y1358" s="57"/>
      </tp>
      <tp t="s">
        <v>無資料</v>
        <stp/>
        <stp>8042</stp>
        <stp>Price</stp>
        <tr r="Y1202" s="57"/>
      </tp>
      <tp t="s">
        <v>無資料</v>
        <stp/>
        <stp>8072</stp>
        <stp>Price</stp>
        <tr r="Y1255" s="57"/>
      </tp>
      <tp t="s">
        <v>無資料</v>
        <stp/>
        <stp>8032</stp>
        <stp>Price</stp>
        <tr r="Y1251" s="57"/>
      </tp>
      <tp t="s">
        <v>無資料</v>
        <stp/>
        <stp>8092</stp>
        <stp>Price</stp>
        <tr r="Y1761" s="57"/>
      </tp>
      <tp t="s">
        <v>無資料</v>
        <stp/>
        <stp>8112</stp>
        <stp>Price</stp>
        <tr r="Y1258" s="57"/>
      </tp>
      <tp t="s">
        <v>無資料</v>
        <stp/>
        <stp>8182</stp>
        <stp>Price</stp>
        <tr r="Y1215" s="57"/>
      </tp>
      <tp t="s">
        <v>無資料</v>
        <stp/>
        <stp>8442</stp>
        <stp>Price</stp>
        <tr r="Y1373" s="57"/>
      </tp>
      <tp t="s">
        <v>無資料</v>
        <stp/>
        <stp>8462</stp>
        <stp>Price</stp>
        <tr r="Y1579" s="57"/>
      </tp>
      <tp t="s">
        <v>無資料</v>
        <stp/>
        <stp>8472</stp>
        <stp>Price</stp>
        <tr r="Y1803" s="57"/>
      </tp>
      <tp t="s">
        <v>無資料</v>
        <stp/>
        <stp>8422</stp>
        <stp>Price</stp>
        <tr r="Y3" s="98"/>
        <tr r="Y1366" s="57"/>
      </tp>
      <tp t="s">
        <v>無資料</v>
        <stp/>
        <stp>8432</stp>
        <stp>Price</stp>
        <tr r="Y412" s="57"/>
      </tp>
      <tp t="s">
        <v>無資料</v>
        <stp/>
        <stp>8482</stp>
        <stp>Price</stp>
        <tr r="Y1384" s="57"/>
      </tp>
      <tp t="s">
        <v>無資料</v>
        <stp/>
        <stp>8942</stp>
        <stp>Price</stp>
        <tr r="Y1400" s="57"/>
      </tp>
      <tp t="s">
        <v>無資料</v>
        <stp/>
        <stp>8932</stp>
        <stp>Price</stp>
        <tr r="Y1394" s="57"/>
      </tp>
      <tp t="s">
        <v>無資料</v>
        <stp/>
        <stp>9802</stp>
        <stp>Price</stp>
        <tr r="Y1401" s="57"/>
      </tp>
      <tp t="s">
        <v>無資料</v>
        <stp/>
        <stp>9942</stp>
        <stp>Price</stp>
        <tr r="Y1425" s="57"/>
      </tp>
      <tp t="s">
        <v>無資料</v>
        <stp/>
        <stp>9962</stp>
        <stp>Price</stp>
        <tr r="Y476" s="57"/>
      </tp>
      <tp t="s">
        <v>無資料</v>
        <stp/>
        <stp>9902</stp>
        <stp>Price</stp>
        <tr r="Y1402" s="57"/>
      </tp>
      <tp t="s">
        <v>無資料</v>
        <stp/>
        <stp>9912</stp>
        <stp>Price</stp>
        <tr r="Y802" s="57"/>
      </tp>
      <tp t="s">
        <v>無資料</v>
        <stp/>
        <stp>2243</stp>
        <stp>Price</stp>
        <tr r="Y517" s="57"/>
      </tp>
      <tp t="s">
        <v>無資料</v>
        <stp/>
        <stp>2233</stp>
        <stp>Price</stp>
        <tr r="Y514" s="57"/>
      </tp>
      <tp t="s">
        <v>無資料</v>
        <stp/>
        <stp>2353</stp>
        <stp>Price</stp>
        <tr r="Y701" s="57"/>
      </tp>
      <tp t="s">
        <v>無資料</v>
        <stp/>
        <stp>2363</stp>
        <stp>Price</stp>
        <tr r="Y538" s="57"/>
      </tp>
      <tp t="s">
        <v>無資料</v>
        <stp/>
        <stp>2373</stp>
        <stp>Price</stp>
        <tr r="Y1689" s="57"/>
      </tp>
      <tp t="s">
        <v>無資料</v>
        <stp/>
        <stp>2303</stp>
        <stp>Price</stp>
        <tr r="Y530" s="57"/>
      </tp>
      <tp t="s">
        <v>無資料</v>
        <stp/>
        <stp>2313</stp>
        <stp>Price</stp>
        <tr r="Y1021" s="57"/>
      </tp>
      <tp t="s">
        <v>無資料</v>
        <stp/>
        <stp>2323</stp>
        <stp>Price</stp>
        <tr r="Y805" s="57"/>
      </tp>
      <tp t="s">
        <v>無資料</v>
        <stp/>
        <stp>2383</stp>
        <stp>Price</stp>
        <tr r="Y1029" s="57"/>
      </tp>
      <tp t="s">
        <v>無資料</v>
        <stp/>
        <stp>2393</stp>
        <stp>Price</stp>
        <tr r="Y809" s="57"/>
      </tp>
      <tp t="s">
        <v>無資料</v>
        <stp/>
        <stp>2063</stp>
        <stp>Price</stp>
        <tr r="Y457" s="57"/>
      </tp>
      <tp t="s">
        <v>無資料</v>
        <stp/>
        <stp>2013</stp>
        <stp>Price</stp>
        <tr r="Y438" s="57"/>
      </tp>
      <tp t="s">
        <v>無資料</v>
        <stp/>
        <stp>2023</stp>
        <stp>Price</stp>
        <tr r="Y444" s="57"/>
      </tp>
      <tp t="s">
        <v>無資料</v>
        <stp/>
        <stp>2033</stp>
        <stp>Price</stp>
        <tr r="Y453" s="57"/>
      </tp>
      <tp t="s">
        <v>無資料</v>
        <stp/>
        <stp>2103</stp>
        <stp>Price</stp>
        <tr r="Y481" s="57"/>
      </tp>
      <tp t="s">
        <v>無資料</v>
        <stp/>
        <stp>2643</stp>
        <stp>Price</stp>
        <tr r="Y1528" s="57"/>
      </tp>
      <tp t="s">
        <v>無資料</v>
        <stp/>
        <stp>2603</stp>
        <stp>Price</stp>
        <tr r="Y23" s="74"/>
        <tr r="Y6" s="94"/>
        <tr r="Y4" s="113"/>
        <tr r="Y1508" s="57"/>
        <tr r="Y8" s="94"/>
        <tr r="Y4" s="94"/>
      </tp>
      <tp t="s">
        <v>無資料</v>
        <stp/>
        <stp>2613</stp>
        <stp>Price</stp>
        <tr r="Y1517" s="57"/>
      </tp>
      <tp t="s">
        <v>無資料</v>
        <stp/>
        <stp>2633</stp>
        <stp>Price</stp>
        <tr r="Y1522" s="57"/>
      </tp>
      <tp t="s">
        <v>無資料</v>
        <stp/>
        <stp>2743</stp>
        <stp>Price</stp>
        <tr r="Y1561" s="57"/>
      </tp>
      <tp t="s">
        <v>無資料</v>
        <stp/>
        <stp>2753</stp>
        <stp>Price</stp>
        <tr r="Y18" s="98"/>
        <tr r="Y1565" s="57"/>
      </tp>
      <tp t="s">
        <v>無資料</v>
        <stp/>
        <stp>2723</stp>
        <stp>Price</stp>
        <tr r="Y1550" s="57"/>
      </tp>
      <tp t="s">
        <v>無資料</v>
        <stp/>
        <stp>2443</stp>
        <stp>Price</stp>
        <tr r="Y1313" s="57"/>
      </tp>
      <tp t="s">
        <v>無資料</v>
        <stp/>
        <stp>2453</stp>
        <stp>Price</stp>
        <tr r="Y1262" s="57"/>
      </tp>
      <tp t="s">
        <v>無資料</v>
        <stp/>
        <stp>2413</stp>
        <stp>Price</stp>
        <tr r="Y1033" s="57"/>
      </tp>
      <tp t="s">
        <v>無資料</v>
        <stp/>
        <stp>2423</stp>
        <stp>Price</stp>
        <tr r="Y1692" s="57"/>
      </tp>
      <tp t="s">
        <v>無資料</v>
        <stp/>
        <stp>2433</stp>
        <stp>Price</stp>
        <tr r="Y1693" s="57"/>
      </tp>
      <tp t="s">
        <v>無資料</v>
        <stp/>
        <stp>2483</stp>
        <stp>Price</stp>
        <tr r="Y1049" s="57"/>
      </tp>
      <tp t="s">
        <v>無資料</v>
        <stp/>
        <stp>2493</stp>
        <stp>Price</stp>
        <tr r="Y1052" s="57"/>
      </tp>
      <tp t="s">
        <v>無資料</v>
        <stp/>
        <stp>2543</stp>
        <stp>Price</stp>
        <tr r="Y1457" s="57"/>
      </tp>
      <tp t="s">
        <v>商品錯誤</v>
        <stp/>
        <stp>2823</stp>
        <stp>Price</stp>
        <tr r="Y1589" s="57"/>
      </tp>
      <tp t="s">
        <v>無資料</v>
        <stp/>
        <stp>2883</stp>
        <stp>Price</stp>
        <tr r="Y1604" s="57"/>
      </tp>
      <tp t="s">
        <v>無資料</v>
        <stp/>
        <stp>2903</stp>
        <stp>Price</stp>
        <tr r="Y1634" s="57"/>
      </tp>
      <tp t="s">
        <v>無資料</v>
        <stp/>
        <stp>2913</stp>
        <stp>Price</stp>
        <tr r="Y1641" s="57"/>
      </tp>
      <tp t="s">
        <v>無資料</v>
        <stp/>
        <stp>2923</stp>
        <stp>Price</stp>
        <tr r="Y1465" s="57"/>
      </tp>
      <tp t="s">
        <v>無資料</v>
        <stp/>
        <stp>3213</stp>
        <stp>Price</stp>
        <tr r="Y732" s="57"/>
      </tp>
      <tp t="s">
        <v>無資料</v>
        <stp/>
        <stp>3293</stp>
        <stp>Price</stp>
        <tr r="Y1773" s="57"/>
      </tp>
      <tp t="s">
        <v>無資料</v>
        <stp/>
        <stp>3363</stp>
        <stp>Price</stp>
        <tr r="Y951" s="57"/>
      </tp>
      <tp t="s">
        <v>無資料</v>
        <stp/>
        <stp>3373</stp>
        <stp>Price</stp>
        <tr r="Y1712" s="57"/>
        <tr r="Y24" s="102"/>
        <tr r="Y21" s="102"/>
        <tr r="Y30" s="101"/>
      </tp>
      <tp t="s">
        <v>無資料</v>
        <stp/>
        <stp>3303</stp>
        <stp>Price</stp>
        <tr r="Y1709" s="57"/>
      </tp>
      <tp t="s">
        <v>無資料</v>
        <stp/>
        <stp>3313</stp>
        <stp>Price</stp>
        <tr r="Y1084" s="57"/>
      </tp>
      <tp t="s">
        <v>無資料</v>
        <stp/>
        <stp>3323</stp>
        <stp>Price</stp>
        <tr r="Y736" s="57"/>
      </tp>
      <tp t="s">
        <v>無資料</v>
        <stp/>
        <stp>3383</stp>
        <stp>Price</stp>
        <tr r="Y835" s="57"/>
      </tp>
      <tp t="s">
        <v>無資料</v>
        <stp/>
        <stp>3043</stp>
        <stp>Price</stp>
        <tr r="Y1703" s="57"/>
      </tp>
      <tp t="s">
        <v>無資料</v>
        <stp/>
        <stp>3073</stp>
        <stp>Price</stp>
        <tr r="Y559" s="57"/>
      </tp>
      <tp t="s">
        <v>無資料</v>
        <stp/>
        <stp>3003</stp>
        <stp>Price</stp>
        <tr r="Y1053" s="57"/>
      </tp>
      <tp t="s">
        <v>無資料</v>
        <stp/>
        <stp>3013</stp>
        <stp>Price</stp>
        <tr r="Y723" s="57"/>
      </tp>
      <tp t="s">
        <v>無資料</v>
        <stp/>
        <stp>3023</stp>
        <stp>Price</stp>
        <tr r="Y1057" s="57"/>
      </tp>
      <tp t="s">
        <v>無資料</v>
        <stp/>
        <stp>3033</stp>
        <stp>Price</stp>
        <tr r="Y1229" s="57"/>
      </tp>
      <tp t="s">
        <v>無資料</v>
        <stp/>
        <stp>3083</stp>
        <stp>Price</stp>
        <tr r="Y1771" s="57"/>
      </tp>
      <tp t="s">
        <v>無資料</v>
        <stp/>
        <stp>3093</stp>
        <stp>Price</stp>
        <tr r="Y1705" s="57"/>
      </tp>
      <tp t="s">
        <v>無資料</v>
        <stp/>
        <stp>3163</stp>
        <stp>Price</stp>
        <tr r="Y21" s="98"/>
        <tr r="Y946" s="57"/>
      </tp>
      <tp t="s">
        <v>無資料</v>
        <stp/>
        <stp>3653</stp>
        <stp>Price</stp>
        <tr r="Y1116" s="57"/>
      </tp>
      <tp t="s">
        <v>無資料</v>
        <stp/>
        <stp>3663</stp>
        <stp>Price</stp>
        <tr r="Y1726" s="57"/>
      </tp>
      <tp t="s">
        <v>無資料</v>
        <stp/>
        <stp>3673</stp>
        <stp>Price</stp>
        <tr r="Y858" s="57"/>
      </tp>
      <tp t="s">
        <v>無資料</v>
        <stp/>
        <stp>3623</stp>
        <stp>Price</stp>
        <tr r="Y854" s="57"/>
      </tp>
      <tp t="s">
        <v>無資料</v>
        <stp/>
        <stp>3693</stp>
        <stp>Price</stp>
        <tr r="Y750" s="57"/>
      </tp>
      <tp t="s">
        <v>無資料</v>
        <stp/>
        <stp>3703</stp>
        <stp>Price</stp>
        <tr r="Y1471" s="57"/>
      </tp>
      <tp t="s">
        <v>無資料</v>
        <stp/>
        <stp>3713</stp>
        <stp>Price</stp>
        <tr r="Y32" s="28"/>
        <tr r="Y861" s="57"/>
        <tr r="Y106" s="22"/>
        <tr r="Y105" s="22"/>
      </tp>
      <tp t="s">
        <v>無資料</v>
        <stp/>
        <stp>3443</stp>
        <stp>Price</stp>
        <tr r="Y580" s="57"/>
      </tp>
      <tp t="s">
        <v>無資料</v>
        <stp/>
        <stp>3413</stp>
        <stp>Price</stp>
        <tr r="Y578" s="57"/>
      </tp>
      <tp t="s">
        <v>無資料</v>
        <stp/>
        <stp>3483</stp>
        <stp>Price</stp>
        <tr r="Y10" s="101"/>
        <tr r="Y15" s="99"/>
        <tr r="Y52" s="28"/>
        <tr r="Y740" s="57"/>
      </tp>
      <tp t="s">
        <v>無資料</v>
        <stp/>
        <stp>3543</stp>
        <stp>Price</stp>
        <tr r="Y848" s="57"/>
      </tp>
      <tp t="s">
        <v>無資料</v>
        <stp/>
        <stp>3563</stp>
        <stp>Price</stp>
        <tr r="Y849" s="57"/>
      </tp>
      <tp t="s">
        <v>無資料</v>
        <stp/>
        <stp>3533</stp>
        <stp>Price</stp>
        <tr r="Y1103" s="57"/>
      </tp>
      <tp t="s">
        <v>無資料</v>
        <stp/>
        <stp>3583</stp>
        <stp>Price</stp>
        <tr r="Y591" s="57"/>
      </tp>
      <tp t="s">
        <v>無資料</v>
        <stp/>
        <stp>3593</stp>
        <stp>Price</stp>
        <tr r="Y1107" s="57"/>
      </tp>
      <tp t="s">
        <v>無資料</v>
        <stp/>
        <stp>1203</stp>
        <stp>Price</stp>
        <tr r="Y15" s="57"/>
      </tp>
      <tp t="s">
        <v>無資料</v>
        <stp/>
        <stp>1213</stp>
        <stp>Price</stp>
        <tr r="Y17" s="57"/>
      </tp>
      <tp t="s">
        <v>無資料</v>
        <stp/>
        <stp>1233</stp>
        <stp>Price</stp>
        <tr r="Y29" s="57"/>
      </tp>
      <tp t="s">
        <v>無資料</v>
        <stp/>
        <stp>1303</stp>
        <stp>Price</stp>
        <tr r="Y45" s="57"/>
      </tp>
      <tp t="s">
        <v>無資料</v>
        <stp/>
        <stp>1313</stp>
        <stp>Price</stp>
        <tr r="Y53" s="57"/>
      </tp>
      <tp t="s">
        <v>無資料</v>
        <stp/>
        <stp>1323</stp>
        <stp>Price</stp>
        <tr r="Y57" s="57"/>
      </tp>
      <tp t="s">
        <v>無資料</v>
        <stp/>
        <stp>1103</stp>
        <stp>Price</stp>
        <tr r="Y7" s="57"/>
      </tp>
      <tp t="s">
        <v>無資料</v>
        <stp/>
        <stp>1603</stp>
        <stp>Price</stp>
        <tr r="Y224" s="57"/>
      </tp>
      <tp t="s">
        <v>無資料</v>
        <stp/>
        <stp>1773</stp>
        <stp>Price</stp>
        <tr r="Y263" s="57"/>
      </tp>
      <tp t="s">
        <v>無資料</v>
        <stp/>
        <stp>1713</stp>
        <stp>Price</stp>
        <tr r="Y248" s="57"/>
      </tp>
      <tp t="s">
        <v>無資料</v>
        <stp/>
        <stp>1723</stp>
        <stp>Price</stp>
        <tr r="Y254" s="57"/>
      </tp>
      <tp t="s">
        <v>無資料</v>
        <stp/>
        <stp>1733</stp>
        <stp>Price</stp>
        <tr r="Y295" s="57"/>
      </tp>
      <tp t="s">
        <v>無資料</v>
        <stp/>
        <stp>1783</stp>
        <stp>Price</stp>
        <tr r="Y303" s="57"/>
      </tp>
      <tp t="s">
        <v>無資料</v>
        <stp/>
        <stp>1443</stp>
        <stp>Price</stp>
        <tr r="Y85" s="57"/>
      </tp>
      <tp t="s">
        <v>無資料</v>
        <stp/>
        <stp>1453</stp>
        <stp>Price</stp>
        <tr r="Y93" s="57"/>
      </tp>
      <tp t="s">
        <v>無資料</v>
        <stp/>
        <stp>1463</stp>
        <stp>Price</stp>
        <tr r="Y100" s="57"/>
      </tp>
      <tp t="s">
        <v>無資料</v>
        <stp/>
        <stp>1473</stp>
        <stp>Price</stp>
        <tr r="Y108" s="57"/>
      </tp>
      <tp t="s">
        <v>無資料</v>
        <stp/>
        <stp>1413</stp>
        <stp>Price</stp>
        <tr r="Y75" s="57"/>
      </tp>
      <tp t="s">
        <v>無資料</v>
        <stp/>
        <stp>1423</stp>
        <stp>Price</stp>
        <tr r="Y80" s="57"/>
      </tp>
      <tp t="s">
        <v>無資料</v>
        <stp/>
        <stp>1503</stp>
        <stp>Price</stp>
        <tr r="Y130" s="57"/>
      </tp>
      <tp t="s">
        <v>無資料</v>
        <stp/>
        <stp>1513</stp>
        <stp>Price</stp>
        <tr r="Y134" s="57"/>
      </tp>
      <tp t="s">
        <v>無資料</v>
        <stp/>
        <stp>1533</stp>
        <stp>Price</stp>
        <tr r="Y501" s="57"/>
      </tp>
      <tp t="s">
        <v>無資料</v>
        <stp/>
        <stp>1583</stp>
        <stp>Price</stp>
        <tr r="Y156" s="57"/>
      </tp>
      <tp t="s">
        <v>無資料</v>
        <stp/>
        <stp>1593</stp>
        <stp>Price</stp>
        <tr r="Y289" s="57"/>
      </tp>
      <tp t="s">
        <v>無資料</v>
        <stp/>
        <stp>1813</stp>
        <stp>Price</stp>
        <tr r="Y310" s="57"/>
      </tp>
      <tp t="s">
        <v>無資料</v>
        <stp/>
        <stp>1903</stp>
        <stp>Price</stp>
        <tr r="Y423" s="57"/>
      </tp>
      <tp t="s">
        <v>無資料</v>
        <stp/>
        <stp>6243</stp>
        <stp>Price</stp>
        <tr r="Y640" s="57"/>
      </tp>
      <tp t="s">
        <v>無資料</v>
        <stp/>
        <stp>6263</stp>
        <stp>Price</stp>
        <tr r="Y989" s="57"/>
      </tp>
      <tp t="s">
        <v>無資料</v>
        <stp/>
        <stp>6203</stp>
        <stp>Price</stp>
        <tr r="Y1169" s="57"/>
      </tp>
      <tp t="s">
        <v>無資料</v>
        <stp/>
        <stp>6213</stp>
        <stp>Price</stp>
        <tr r="Y1175" s="57"/>
      </tp>
      <tp t="s">
        <v>無資料</v>
        <stp/>
        <stp>6223</stp>
        <stp>Price</stp>
        <tr r="Y12" s="99"/>
        <tr r="Y46" s="28"/>
        <tr r="Y635" s="57"/>
      </tp>
      <tp t="s">
        <v>無資料</v>
        <stp/>
        <stp>6233</stp>
        <stp>Price</stp>
        <tr r="Y637" s="57"/>
      </tp>
      <tp t="s">
        <v>無資料</v>
        <stp/>
        <stp>6283</stp>
        <stp>Price</stp>
        <tr r="Y1747" s="57"/>
      </tp>
      <tp t="s">
        <v>無資料</v>
        <stp/>
        <stp>6023</stp>
        <stp>Price</stp>
        <tr r="Y1625" s="57"/>
      </tp>
      <tp t="s">
        <v>無資料</v>
        <stp/>
        <stp>6143</stp>
        <stp>Price</stp>
        <tr r="Y980" s="57"/>
      </tp>
      <tp t="s">
        <v>無資料</v>
        <stp/>
        <stp>6153</stp>
        <stp>Price</stp>
        <tr r="Y1157" s="57"/>
      </tp>
      <tp t="s">
        <v>無資料</v>
        <stp/>
        <stp>6163</stp>
        <stp>Price</stp>
        <tr r="Y982" s="57"/>
      </tp>
      <tp t="s">
        <v>無資料</v>
        <stp/>
        <stp>6173</stp>
        <stp>Price</stp>
        <tr r="Y1162" s="57"/>
      </tp>
      <tp t="s">
        <v>無資料</v>
        <stp/>
        <stp>6103</stp>
        <stp>Price</stp>
        <tr r="Y627" s="57"/>
      </tp>
      <tp t="s">
        <v>無資料</v>
        <stp/>
        <stp>6113</stp>
        <stp>Price</stp>
        <tr r="Y1242" s="57"/>
      </tp>
      <tp t="s">
        <v>無資料</v>
        <stp/>
        <stp>6123</stp>
        <stp>Price</stp>
        <tr r="Y773" s="57"/>
      </tp>
      <tp t="s">
        <v>無資料</v>
        <stp/>
        <stp>6133</stp>
        <stp>Price</stp>
        <tr r="Y1154" s="57"/>
      </tp>
      <tp t="s">
        <v>無資料</v>
        <stp/>
        <stp>6183</stp>
        <stp>Price</stp>
        <tr r="Y1284" s="57"/>
      </tp>
      <tp t="s">
        <v>無資料</v>
        <stp/>
        <stp>6643</stp>
        <stp>Price</stp>
        <tr r="Y667" s="57"/>
      </tp>
      <tp t="s">
        <v>無資料</v>
        <stp/>
        <stp>6603</stp>
        <stp>Price</stp>
        <tr r="Y212" s="57"/>
      </tp>
      <tp t="s">
        <v>無資料</v>
        <stp/>
        <stp>6613</stp>
        <stp>Price</stp>
        <tr r="Y1752" s="57"/>
      </tp>
      <tp t="s">
        <v>無資料</v>
        <stp/>
        <stp>6683</stp>
        <stp>Price</stp>
        <tr r="Y670" s="57"/>
      </tp>
      <tp t="s">
        <v>無資料</v>
        <stp/>
        <stp>6743</stp>
        <stp>Price</stp>
        <tr r="Y1757" s="57"/>
      </tp>
      <tp t="s">
        <v>無資料</v>
        <stp/>
        <stp>6703</stp>
        <stp>Price</stp>
        <tr r="Y402" s="57"/>
      </tp>
      <tp t="s">
        <v>無資料</v>
        <stp/>
        <stp>6733</stp>
        <stp>Price</stp>
        <tr r="Y404" s="57"/>
      </tp>
      <tp t="s">
        <v>無資料</v>
        <stp/>
        <stp>6443</stp>
        <stp>Price</stp>
        <tr r="Y906" s="57"/>
      </tp>
      <tp t="s">
        <v>無資料</v>
        <stp/>
        <stp>6573</stp>
        <stp>Price</stp>
        <tr r="Y664" s="57"/>
      </tp>
      <tp t="s">
        <v>無資料</v>
        <stp/>
        <stp>6523</stp>
        <stp>Price</stp>
        <tr r="Y14" s="28"/>
        <tr r="Y10" s="22"/>
        <tr r="Y12" s="22"/>
        <tr r="Y20" s="101"/>
        <tr r="Y386" s="57"/>
        <tr r="Y11" s="22"/>
        <tr r="Y13" s="22"/>
        <tr r="Y22" s="101"/>
      </tp>
      <tp t="s">
        <v>無資料</v>
        <stp/>
        <stp>6533</stp>
        <stp>Price</stp>
        <tr r="Y660" s="57"/>
      </tp>
      <tp t="s">
        <v>無資料</v>
        <stp/>
        <stp>6593</stp>
        <stp>Price</stp>
        <tr r="Y1291" s="57"/>
        <tr r="Y1292" s="57"/>
      </tp>
      <tp t="s">
        <v>無資料</v>
        <stp/>
        <stp>6803</stp>
        <stp>Price</stp>
        <tr r="Y1354" s="57"/>
      </tp>
      <tp t="s">
        <v>無資料</v>
        <stp/>
        <stp>4303</stp>
        <stp>Price</stp>
        <tr r="Y64" s="57"/>
      </tp>
      <tp t="s">
        <v>無資料</v>
        <stp/>
        <stp>4153</stp>
        <stp>Price</stp>
        <tr r="Y345" s="57"/>
      </tp>
      <tp t="s">
        <v>無資料</v>
        <stp/>
        <stp>4163</stp>
        <stp>Price</stp>
        <tr r="Y75" s="22"/>
        <tr r="Y352" s="57"/>
        <tr r="Y29" s="28"/>
        <tr r="Y76" s="22"/>
      </tp>
      <tp t="s">
        <v>無資料</v>
        <stp/>
        <stp>4173</stp>
        <stp>Price</stp>
        <tr r="Y356" s="57"/>
      </tp>
      <tp t="s">
        <v>無資料</v>
        <stp/>
        <stp>4113</stp>
        <stp>Price</stp>
        <tr r="Y1472" s="57"/>
      </tp>
      <tp t="s">
        <v>無資料</v>
        <stp/>
        <stp>4123</stp>
        <stp>Price</stp>
        <tr r="Y330" s="57"/>
      </tp>
      <tp t="s">
        <v>無資料</v>
        <stp/>
        <stp>4133</stp>
        <stp>Price</stp>
        <tr r="Y337" s="57"/>
      </tp>
      <tp t="s">
        <v>無資料</v>
        <stp/>
        <stp>4183</stp>
        <stp>Price</stp>
        <tr r="Y359" s="57"/>
      </tp>
      <tp t="s">
        <v>無資料</v>
        <stp/>
        <stp>4743</stp>
        <stp>Price</stp>
        <tr r="Y369" s="57"/>
        <tr r="Y12" s="28"/>
      </tp>
      <tp t="s">
        <v>無資料</v>
        <stp/>
        <stp>4763</stp>
        <stp>Price</stp>
        <tr r="Y279" s="57"/>
      </tp>
      <tp t="s">
        <v>無資料</v>
        <stp/>
        <stp>4413</stp>
        <stp>Price</stp>
        <tr r="Y116" s="57"/>
      </tp>
      <tp t="s">
        <v>無資料</v>
        <stp/>
        <stp>4433</stp>
        <stp>Price</stp>
        <tr r="Y124" s="57"/>
      </tp>
      <tp t="s">
        <v>無資料</v>
        <stp/>
        <stp>4543</stp>
        <stp>Price</stp>
        <tr r="Y193" s="57"/>
      </tp>
      <tp t="s">
        <v>無資料</v>
        <stp/>
        <stp>4563</stp>
        <stp>Price</stp>
        <tr r="Y201" s="57"/>
      </tp>
      <tp t="s">
        <v>無資料</v>
        <stp/>
        <stp>4503</stp>
        <stp>Price</stp>
        <tr r="Y178" s="57"/>
      </tp>
      <tp t="s">
        <v>無資料</v>
        <stp/>
        <stp>4513</stp>
        <stp>Price</stp>
        <tr r="Y181" s="57"/>
      </tp>
      <tp t="s">
        <v>無資料</v>
        <stp/>
        <stp>4523</stp>
        <stp>Price</stp>
        <tr r="Y182" s="57"/>
      </tp>
      <tp t="s">
        <v>無資料</v>
        <stp/>
        <stp>4533</stp>
        <stp>Price</stp>
        <tr r="Y188" s="57"/>
      </tp>
      <tp t="s">
        <v>商品錯誤</v>
        <stp/>
        <stp>4803</stp>
        <stp>Price</stp>
        <tr r="Y1776" s="57"/>
      </tp>
      <tp t="s">
        <v>無資料</v>
        <stp/>
        <stp>4943</stp>
        <stp>Price</stp>
        <tr r="Y1126" s="57"/>
      </tp>
      <tp t="s">
        <v>無資料</v>
        <stp/>
        <stp>4953</stp>
        <stp>Price</stp>
        <tr r="Y1269" s="57"/>
      </tp>
      <tp t="s">
        <v>無資料</v>
        <stp/>
        <stp>4973</stp>
        <stp>Price</stp>
        <tr r="Y608" s="57"/>
      </tp>
      <tp t="s">
        <v>無資料</v>
        <stp/>
        <stp>4903</stp>
        <stp>Price</stp>
        <tr r="Y967" s="57"/>
      </tp>
      <tp t="s">
        <v>無資料</v>
        <stp/>
        <stp>4933</stp>
        <stp>Price</stp>
        <tr r="Y864" s="57"/>
      </tp>
      <tp t="s">
        <v>無資料</v>
        <stp/>
        <stp>5243</stp>
        <stp>Price</stp>
        <tr r="Y877" s="57"/>
      </tp>
      <tp t="s">
        <v>無資料</v>
        <stp/>
        <stp>5263</stp>
        <stp>Price</stp>
        <tr r="Y1779" s="57"/>
      </tp>
      <tp t="s">
        <v>無資料</v>
        <stp/>
        <stp>5203</stp>
        <stp>Price</stp>
        <tr r="Y1273" s="57"/>
      </tp>
      <tp t="s">
        <v>無資料</v>
        <stp/>
        <stp>5213</stp>
        <stp>Price</stp>
        <tr r="Y1476" s="57"/>
      </tp>
      <tp t="s">
        <v>無資料</v>
        <stp/>
        <stp>5223</stp>
        <stp>Price</stp>
        <tr r="Y17" s="28"/>
        <tr r="Y37" s="22"/>
        <tr r="Y38" s="22"/>
        <tr r="Y35" s="22"/>
        <tr r="Y761" s="57"/>
        <tr r="Y36" s="22"/>
      </tp>
      <tp t="s">
        <v>無資料</v>
        <stp/>
        <stp>5283</stp>
        <stp>Price</stp>
        <tr r="Y11" s="98"/>
        <tr r="Y240" s="57"/>
      </tp>
      <tp t="s">
        <v>無資料</v>
        <stp/>
        <stp>5353</stp>
        <stp>Price</stp>
        <tr r="Y975" s="57"/>
      </tp>
      <tp t="s">
        <v>無資料</v>
        <stp/>
        <stp>5383</stp>
        <stp>Price</stp>
        <tr r="Y1732" s="57"/>
      </tp>
      <tp t="s">
        <v>無資料</v>
        <stp/>
        <stp>5013</stp>
        <stp>Price</stp>
        <tr r="Y466" s="57"/>
      </tp>
      <tp t="s">
        <v>無資料</v>
        <stp/>
        <stp>5603</stp>
        <stp>Price</stp>
        <tr r="Y1530" s="57"/>
      </tp>
      <tp t="s">
        <v>無資料</v>
        <stp/>
        <stp>5703</stp>
        <stp>Price</stp>
        <tr r="Y1575" s="57"/>
      </tp>
      <tp t="s">
        <v>無資料</v>
        <stp/>
        <stp>5443</stp>
        <stp>Price</stp>
        <tr r="Y885" s="57"/>
      </tp>
      <tp t="s">
        <v>無資料</v>
        <stp/>
        <stp>5403</stp>
        <stp>Price</stp>
        <tr r="Y1279" s="57"/>
      </tp>
      <tp t="s">
        <v>無資料</v>
        <stp/>
        <stp>5483</stp>
        <stp>Price</stp>
        <tr r="Y625" s="57"/>
      </tp>
      <tp t="s">
        <v>無資料</v>
        <stp/>
        <stp>5493</stp>
        <stp>Price</stp>
        <tr r="Y1735" s="57"/>
      </tp>
      <tp t="s">
        <v>無資料</v>
        <stp/>
        <stp>5543</stp>
        <stp>Price</stp>
        <tr r="Y1494" s="57"/>
      </tp>
      <tp t="s">
        <v>無資料</v>
        <stp/>
        <stp>5523</stp>
        <stp>Price</stp>
        <tr r="Y1488" s="57"/>
      </tp>
      <tp t="s">
        <v>無資料</v>
        <stp/>
        <stp>5533</stp>
        <stp>Price</stp>
        <tr r="Y1492" s="57"/>
      </tp>
      <tp t="s">
        <v>無資料</v>
        <stp/>
        <stp>5903</stp>
        <stp>Price</stp>
        <tr r="Y1653" s="57"/>
      </tp>
      <tp t="s">
        <v>無資料</v>
        <stp/>
        <stp>8213</stp>
        <stp>Price</stp>
        <tr r="Y1216" s="57"/>
      </tp>
      <tp t="s">
        <v>無資料</v>
        <stp/>
        <stp>8383</stp>
        <stp>Price</stp>
        <tr r="Y1764" s="57"/>
      </tp>
      <tp t="s">
        <v>無資料</v>
        <stp/>
        <stp>8043</stp>
        <stp>Price</stp>
        <tr r="Y1203" s="57"/>
      </tp>
      <tp t="s">
        <v>無資料</v>
        <stp/>
        <stp>8033</stp>
        <stp>Price</stp>
        <tr r="Y1356" s="57"/>
      </tp>
      <tp t="s">
        <v>無資料</v>
        <stp/>
        <stp>8083</stp>
        <stp>Price</stp>
        <tr r="Y215" s="57"/>
      </tp>
      <tp t="s">
        <v>無資料</v>
        <stp/>
        <stp>8093</stp>
        <stp>Price</stp>
        <tr r="Y1209" s="57"/>
      </tp>
      <tp t="s">
        <v>無資料</v>
        <stp/>
        <stp>8163</stp>
        <stp>Price</stp>
        <tr r="Y798" s="57"/>
      </tp>
      <tp t="s">
        <v>無資料</v>
        <stp/>
        <stp>8103</stp>
        <stp>Price</stp>
        <tr r="Y1210" s="57"/>
      </tp>
      <tp t="s">
        <v>無資料</v>
        <stp/>
        <stp>8183</stp>
        <stp>Price</stp>
        <tr r="Y1762" s="57"/>
      </tp>
      <tp t="s">
        <v>無資料</v>
        <stp/>
        <stp>8443</stp>
        <stp>Price</stp>
        <tr r="Y1663" s="57"/>
      </tp>
      <tp t="s">
        <v>無資料</v>
        <stp/>
        <stp>8463</stp>
        <stp>Price</stp>
        <tr r="Y1375" s="57"/>
      </tp>
      <tp t="s">
        <v>無資料</v>
        <stp/>
        <stp>8473</stp>
        <stp>Price</stp>
        <tr r="Y1379" s="57"/>
      </tp>
      <tp t="s">
        <v>無資料</v>
        <stp/>
        <stp>8403</stp>
        <stp>Price</stp>
        <tr r="Y409" s="57"/>
      </tp>
      <tp t="s">
        <v>無資料</v>
        <stp/>
        <stp>8423</stp>
        <stp>Price</stp>
        <tr r="Y1367" s="57"/>
      </tp>
      <tp t="s">
        <v>無資料</v>
        <stp/>
        <stp>8433</stp>
        <stp>Price</stp>
        <tr r="Y1662" s="57"/>
      </tp>
      <tp t="s">
        <v>無資料</v>
        <stp/>
        <stp>8923</stp>
        <stp>Price</stp>
        <tr r="Y1793" s="57"/>
      </tp>
      <tp t="s">
        <v>無資料</v>
        <stp/>
        <stp>8933</stp>
        <stp>Price</stp>
        <tr r="Y1395" s="57"/>
      </tp>
      <tp t="s">
        <v>無資料</v>
        <stp/>
        <stp>9943</stp>
        <stp>Price</stp>
        <tr r="Y1581" s="57"/>
      </tp>
      <tp t="s">
        <v>無資料</v>
        <stp/>
        <stp>9933</stp>
        <stp>Price</stp>
        <tr r="Y1418" s="57"/>
      </tp>
      <tp t="s">
        <v>無資料</v>
        <stp/>
        <stp>$TWMC</stp>
        <stp>Price</stp>
        <tr r="T3" s="85"/>
      </tp>
      <tp>
        <v>0</v>
        <stp/>
        <stp>2481</stp>
        <stp>CumulativeVolume</stp>
        <tr r="AN551" s="57"/>
      </tp>
      <tp>
        <v>0</v>
        <stp/>
        <stp>2881</stp>
        <stp>CumulativeVolume</stp>
        <tr r="AN1602" s="57"/>
      </tp>
      <tp>
        <v>0</v>
        <stp/>
        <stp>3081</stp>
        <stp>CumulativeVolume</stp>
        <tr r="AN942" s="57"/>
      </tp>
      <tp>
        <v>0</v>
        <stp/>
        <stp>3481</stp>
        <stp>CumulativeVolume</stp>
        <tr r="AN9" s="94"/>
        <tr r="AN842" s="57"/>
        <tr r="AN5" s="94"/>
      </tp>
      <tp>
        <v>0</v>
        <stp/>
        <stp>3581</stp>
        <stp>CumulativeVolume</stp>
        <tr r="AN590" s="57"/>
      </tp>
      <tp>
        <v>0</v>
        <stp/>
        <stp>1781</stp>
        <stp>CumulativeVolume</stp>
        <tr r="AN302" s="57"/>
      </tp>
      <tp>
        <v>0</v>
        <stp/>
        <stp>6281</stp>
        <stp>CumulativeVolume</stp>
        <tr r="AN1249" s="57"/>
      </tp>
      <tp>
        <v>0</v>
        <stp/>
        <stp>6781</stp>
        <stp>CumulativeVolume</stp>
        <tr r="AN1199" s="57"/>
      </tp>
      <tp>
        <v>0</v>
        <stp/>
        <stp>6581</stp>
        <stp>CumulativeVolume</stp>
        <tr r="AN1341" s="57"/>
      </tp>
      <tp>
        <v>0</v>
        <stp/>
        <stp>4581</stp>
        <stp>CumulativeVolume</stp>
        <tr r="AN524" s="57"/>
      </tp>
      <tp>
        <v>0</v>
        <stp/>
        <stp>5281</stp>
        <stp>CumulativeVolume</stp>
        <tr r="AN880" s="57"/>
      </tp>
      <tp>
        <v>0</v>
        <stp/>
        <stp>5381</stp>
        <stp>CumulativeVolume</stp>
        <tr r="AN1139" s="57"/>
      </tp>
      <tp>
        <v>0</v>
        <stp/>
        <stp>5481</stp>
        <stp>CumulativeVolume</stp>
        <tr r="AN1332" s="57"/>
      </tp>
      <tp>
        <v>0</v>
        <stp/>
        <stp>8081</stp>
        <stp>CumulativeVolume</stp>
        <tr r="AN683" s="57"/>
      </tp>
      <tp>
        <v>0</v>
        <stp/>
        <stp>8481</stp>
        <stp>CumulativeVolume</stp>
        <tr r="AN1383" s="57"/>
      </tp>
      <tp>
        <v>0</v>
        <stp/>
        <stp>2380</stp>
        <stp>CumulativeVolume</stp>
        <tr r="AN709" s="57"/>
      </tp>
      <tp>
        <v>0</v>
        <stp/>
        <stp>2480</stp>
        <stp>CumulativeVolume</stp>
        <tr r="AN1265" s="57"/>
      </tp>
      <tp>
        <v>0</v>
        <stp/>
        <stp>2880</stp>
        <stp>CumulativeVolume</stp>
        <tr r="AN1601" s="57"/>
      </tp>
      <tp>
        <v>0</v>
        <stp/>
        <stp>3380</stp>
        <stp>CumulativeVolume</stp>
        <tr r="AN952" s="57"/>
      </tp>
      <tp>
        <v>0</v>
        <stp/>
        <stp>3680</stp>
        <stp>CumulativeVolume</stp>
        <tr r="AN596" s="57"/>
      </tp>
      <tp>
        <v>0</v>
        <stp/>
        <stp>3580</stp>
        <stp>CumulativeVolume</stp>
        <tr r="AN1721" s="57"/>
      </tp>
      <tp>
        <v>0</v>
        <stp/>
        <stp>1580</stp>
        <stp>CumulativeVolume</stp>
        <tr r="AN155" s="57"/>
      </tp>
      <tp>
        <v>0</v>
        <stp/>
        <stp>6180</stp>
        <stp>CumulativeVolume</stp>
        <tr r="AN1785" s="57"/>
      </tp>
      <tp>
        <v>0</v>
        <stp/>
        <stp>6680</stp>
        <stp>CumulativeVolume</stp>
        <tr r="AN794" s="57"/>
      </tp>
      <tp>
        <v>0</v>
        <stp/>
        <stp>4580</stp>
        <stp>CumulativeVolume</stp>
        <tr r="AN208" s="57"/>
      </tp>
      <tp>
        <v>0</v>
        <stp/>
        <stp>5880</stp>
        <stp>CumulativeVolume</stp>
        <tr r="AN1619" s="57"/>
      </tp>
      <tp>
        <v>0</v>
        <stp/>
        <stp>8080</stp>
        <stp>CumulativeVolume</stp>
        <tr r="AN1207" s="57"/>
      </tp>
      <tp>
        <v>0</v>
        <stp/>
        <stp>8480</stp>
        <stp>CumulativeVolume</stp>
        <tr r="AN1382" s="57"/>
      </tp>
      <tp>
        <v>0</v>
        <stp/>
        <stp>2383</stp>
        <stp>CumulativeVolume</stp>
        <tr r="AN1029" s="57"/>
      </tp>
      <tp>
        <v>0</v>
        <stp/>
        <stp>2483</stp>
        <stp>CumulativeVolume</stp>
        <tr r="AN1049" s="57"/>
      </tp>
      <tp>
        <v>0</v>
        <stp/>
        <stp>2883</stp>
        <stp>CumulativeVolume</stp>
        <tr r="AN1604" s="57"/>
      </tp>
      <tp>
        <v>0</v>
        <stp/>
        <stp>3383</stp>
        <stp>CumulativeVolume</stp>
        <tr r="AN835" s="57"/>
      </tp>
      <tp>
        <v>0</v>
        <stp/>
        <stp>3083</stp>
        <stp>CumulativeVolume</stp>
        <tr r="AN1771" s="57"/>
      </tp>
      <tp>
        <v>0</v>
        <stp/>
        <stp>3483</stp>
        <stp>CumulativeVolume</stp>
        <tr r="AN15" s="99"/>
        <tr r="AN52" s="28"/>
        <tr r="AN740" s="57"/>
      </tp>
      <tp>
        <v>0</v>
        <stp/>
        <stp>3583</stp>
        <stp>CumulativeVolume</stp>
        <tr r="AN591" s="57"/>
      </tp>
      <tp>
        <v>0</v>
        <stp/>
        <stp>1783</stp>
        <stp>CumulativeVolume</stp>
        <tr r="AN303" s="57"/>
      </tp>
      <tp>
        <v>0</v>
        <stp/>
        <stp>1583</stp>
        <stp>CumulativeVolume</stp>
        <tr r="AN156" s="57"/>
      </tp>
      <tp>
        <v>0</v>
        <stp/>
        <stp>6283</stp>
        <stp>CumulativeVolume</stp>
        <tr r="AN1747" s="57"/>
      </tp>
      <tp>
        <v>0</v>
        <stp/>
        <stp>6183</stp>
        <stp>CumulativeVolume</stp>
        <tr r="AN1284" s="57"/>
      </tp>
      <tp>
        <v>0</v>
        <stp/>
        <stp>6683</stp>
        <stp>CumulativeVolume</stp>
        <tr r="AN670" s="57"/>
      </tp>
      <tp>
        <v>0</v>
        <stp/>
        <stp>4183</stp>
        <stp>CumulativeVolume</stp>
        <tr r="AN359" s="57"/>
      </tp>
      <tp>
        <v>0</v>
        <stp/>
        <stp>5283</stp>
        <stp>CumulativeVolume</stp>
        <tr r="AN11" s="98"/>
        <tr r="AN240" s="57"/>
      </tp>
      <tp>
        <v>0</v>
        <stp/>
        <stp>5383</stp>
        <stp>CumulativeVolume</stp>
        <tr r="AN1732" s="57"/>
      </tp>
      <tp>
        <v>0</v>
        <stp/>
        <stp>5483</stp>
        <stp>CumulativeVolume</stp>
        <tr r="AN625" s="57"/>
      </tp>
      <tp>
        <v>0</v>
        <stp/>
        <stp>8383</stp>
        <stp>CumulativeVolume</stp>
        <tr r="AN1764" s="57"/>
      </tp>
      <tp>
        <v>0</v>
        <stp/>
        <stp>8083</stp>
        <stp>CumulativeVolume</stp>
        <tr r="AN215" s="57"/>
      </tp>
      <tp>
        <v>0</v>
        <stp/>
        <stp>8183</stp>
        <stp>CumulativeVolume</stp>
        <tr r="AN1762" s="57"/>
      </tp>
      <tp>
        <v>0</v>
        <stp/>
        <stp>2382</stp>
        <stp>CumulativeVolume</stp>
        <tr r="AN710" s="57"/>
      </tp>
      <tp>
        <v>0</v>
        <stp/>
        <stp>2482</stp>
        <stp>CumulativeVolume</stp>
        <tr r="AN1698" s="57"/>
      </tp>
      <tp>
        <v>0</v>
        <stp/>
        <stp>2882</stp>
        <stp>CumulativeVolume</stp>
        <tr r="AN1603" s="57"/>
      </tp>
      <tp>
        <v>0</v>
        <stp/>
        <stp>3682</stp>
        <stp>CumulativeVolume</stp>
        <tr r="AN963" s="57"/>
      </tp>
      <tp>
        <v>0</v>
        <stp/>
        <stp>1582</stp>
        <stp>CumulativeVolume</stp>
        <tr r="AN1016" s="57"/>
      </tp>
      <tp>
        <v>0</v>
        <stp/>
        <stp>6282</stp>
        <stp>CumulativeVolume</stp>
        <tr r="AN1185" s="57"/>
      </tp>
      <tp>
        <v>0</v>
        <stp/>
        <stp>6182</stp>
        <stp>CumulativeVolume</stp>
        <tr r="AN632" s="57"/>
      </tp>
      <tp>
        <v>0</v>
        <stp/>
        <stp>6482</stp>
        <stp>CumulativeVolume</stp>
        <tr r="AN1787" s="57"/>
      </tp>
      <tp>
        <v>0</v>
        <stp/>
        <stp>6582</stp>
        <stp>CumulativeVolume</stp>
        <tr r="AN4" s="102"/>
        <tr r="AN490" s="57"/>
        <tr r="AN2" s="102"/>
        <tr r="AN13" s="102"/>
      </tp>
      <tp>
        <v>0</v>
        <stp/>
        <stp>8182</stp>
        <stp>CumulativeVolume</stp>
        <tr r="AN1215" s="57"/>
      </tp>
      <tp>
        <v>0</v>
        <stp/>
        <stp>8482</stp>
        <stp>CumulativeVolume</stp>
        <tr r="AN1384" s="57"/>
      </tp>
      <tp>
        <v>0</v>
        <stp/>
        <stp>2385</stp>
        <stp>CumulativeVolume</stp>
        <tr r="AN1030" s="57"/>
      </tp>
      <tp>
        <v>0</v>
        <stp/>
        <stp>2485</stp>
        <stp>CumulativeVolume</stp>
        <tr r="AN935" s="57"/>
      </tp>
      <tp>
        <v>0</v>
        <stp/>
        <stp>2885</stp>
        <stp>CumulativeVolume</stp>
        <tr r="AN1606" s="57"/>
      </tp>
      <tp>
        <v>0</v>
        <stp/>
        <stp>3285</stp>
        <stp>CumulativeVolume</stp>
        <tr r="AN1707" s="57"/>
      </tp>
      <tp>
        <v>0</v>
        <stp/>
        <stp>3085</stp>
        <stp>CumulativeVolume</stp>
        <tr r="AN1797" s="57"/>
      </tp>
      <tp>
        <v>0</v>
        <stp/>
        <stp>3685</stp>
        <stp>CumulativeVolume</stp>
        <tr r="AN859" s="57"/>
      </tp>
      <tp>
        <v>0</v>
        <stp/>
        <stp>1785</stp>
        <stp>CumulativeVolume</stp>
        <tr r="AN1683" s="57"/>
      </tp>
      <tp>
        <v>0</v>
        <stp/>
        <stp>6285</stp>
        <stp>CumulativeVolume</stp>
        <tr r="AN990" s="57"/>
      </tp>
      <tp>
        <v>0</v>
        <stp/>
        <stp>6185</stp>
        <stp>CumulativeVolume</stp>
        <tr r="AN1165" s="57"/>
      </tp>
      <tp>
        <v>0</v>
        <stp/>
        <stp>6485</stp>
        <stp>CumulativeVolume</stp>
        <tr r="AN652" s="57"/>
      </tp>
      <tp>
        <v>0</v>
        <stp/>
        <stp>5285</stp>
        <stp>CumulativeVolume</stp>
        <tr r="AN615" s="57"/>
      </tp>
      <tp>
        <v>0</v>
        <stp/>
        <stp>8085</stp>
        <stp>CumulativeVolume</stp>
        <tr r="AN1760" s="57"/>
      </tp>
      <tp>
        <v>0</v>
        <stp/>
        <stp>2484</stp>
        <stp>CumulativeVolume</stp>
        <tr r="AN1050" s="57"/>
      </tp>
      <tp>
        <v>0</v>
        <stp/>
        <stp>2884</stp>
        <stp>CumulativeVolume</stp>
        <tr r="AN1605" s="57"/>
      </tp>
      <tp>
        <v>0</v>
        <stp/>
        <stp>3284</stp>
        <stp>CumulativeVolume</stp>
        <tr r="AN1319" s="57"/>
      </tp>
      <tp>
        <v>0</v>
        <stp/>
        <stp>3684</stp>
        <stp>CumulativeVolume</stp>
        <tr r="AN964" s="57"/>
      </tp>
      <tp>
        <v>0</v>
        <stp/>
        <stp>3484</stp>
        <stp>CumulativeVolume</stp>
        <tr r="AN1096" s="57"/>
      </tp>
      <tp>
        <v>0</v>
        <stp/>
        <stp>1784</stp>
        <stp>CumulativeVolume</stp>
        <tr r="AN304" s="57"/>
      </tp>
      <tp>
        <v>0</v>
        <stp/>
        <stp>1584</stp>
        <stp>CumulativeVolume</stp>
        <tr r="AN1308" s="57"/>
      </tp>
      <tp>
        <v>0</v>
        <stp/>
        <stp>6284</stp>
        <stp>CumulativeVolume</stp>
        <tr r="AN15" s="28"/>
        <tr r="AN18" s="115"/>
        <tr r="AN1186" s="57"/>
      </tp>
      <tp>
        <v>0</v>
        <stp/>
        <stp>6184</stp>
        <stp>CumulativeVolume</stp>
        <tr r="AN1336" s="57"/>
      </tp>
      <tp>
        <v>0</v>
        <stp/>
        <stp>6684</stp>
        <stp>CumulativeVolume</stp>
        <tr r="AN671" s="57"/>
      </tp>
      <tp>
        <v>0</v>
        <stp/>
        <stp>5284</stp>
        <stp>CumulativeVolume</stp>
        <tr r="AN1328" s="57"/>
      </tp>
      <tp>
        <v>0</v>
        <stp/>
        <stp>5484</stp>
        <stp>CumulativeVolume</stp>
        <tr r="AN886" s="57"/>
      </tp>
      <tp>
        <v>0</v>
        <stp/>
        <stp>8284</stp>
        <stp>CumulativeVolume</stp>
        <tr r="AN1298" s="57"/>
      </tp>
      <tp>
        <v>0</v>
        <stp/>
        <stp>8084</stp>
        <stp>CumulativeVolume</stp>
        <tr r="AN1256" s="57"/>
      </tp>
      <tp>
        <v>0</v>
        <stp/>
        <stp>2387</stp>
        <stp>CumulativeVolume</stp>
        <tr r="AN31" s="28"/>
        <tr r="AN711" s="57"/>
      </tp>
      <tp>
        <v>0</v>
        <stp/>
        <stp>2887</stp>
        <stp>CumulativeVolume</stp>
        <tr r="AN1608" s="57"/>
      </tp>
      <tp>
        <v>0</v>
        <stp/>
        <stp>3287</stp>
        <stp>CumulativeVolume</stp>
        <tr r="AN735" s="57"/>
      </tp>
      <tp>
        <v>0</v>
        <stp/>
        <stp>3687</stp>
        <stp>CumulativeVolume</stp>
        <tr r="AN1798" s="57"/>
      </tp>
      <tp>
        <v>0</v>
        <stp/>
        <stp>3587</stp>
        <stp>CumulativeVolume</stp>
        <tr r="AN1722" s="57"/>
        <tr r="AN7" s="98"/>
      </tp>
      <tp>
        <v>0</v>
        <stp/>
        <stp>1587</stp>
        <stp>CumulativeVolume</stp>
        <tr r="AN504" s="57"/>
      </tp>
      <tp>
        <v>0</v>
        <stp/>
        <stp>6287</stp>
        <stp>CumulativeVolume</stp>
        <tr r="AN644" s="57"/>
      </tp>
      <tp>
        <v>0</v>
        <stp/>
        <stp>6187</stp>
        <stp>CumulativeVolume</stp>
        <tr r="AN1740" s="57"/>
      </tp>
      <tp>
        <v>0</v>
        <stp/>
        <stp>4987</stp>
        <stp>CumulativeVolume</stp>
        <tr r="AN759" s="57"/>
      </tp>
      <tp>
        <v>0</v>
        <stp/>
        <stp>5287</stp>
        <stp>CumulativeVolume</stp>
        <tr r="AN1800" s="57"/>
      </tp>
      <tp>
        <v>0</v>
        <stp/>
        <stp>5487</stp>
        <stp>CumulativeVolume</stp>
        <tr r="AN626" s="57"/>
      </tp>
      <tp>
        <v>0</v>
        <stp/>
        <stp>8087</stp>
        <stp>CumulativeVolume</stp>
        <tr r="AN917" s="57"/>
      </tp>
      <tp>
        <v>0</v>
        <stp/>
        <stp>2486</stp>
        <stp>CumulativeVolume</stp>
        <tr r="AN815" s="57"/>
      </tp>
      <tp>
        <v>0</v>
        <stp/>
        <stp>2886</stp>
        <stp>CumulativeVolume</stp>
        <tr r="AN1607" s="57"/>
      </tp>
      <tp>
        <v>0</v>
        <stp/>
        <stp>3086</stp>
        <stp>CumulativeVolume</stp>
        <tr r="AN1772" s="57"/>
      </tp>
      <tp>
        <v>0</v>
        <stp/>
        <stp>3686</stp>
        <stp>CumulativeVolume</stp>
        <tr r="AN597" s="57"/>
      </tp>
      <tp>
        <v>0</v>
        <stp/>
        <stp>1786</stp>
        <stp>CumulativeVolume</stp>
        <tr r="AN305" s="57"/>
      </tp>
      <tp>
        <v>0</v>
        <stp/>
        <stp>1586</stp>
        <stp>CumulativeVolume</stp>
        <tr r="AN157" s="57"/>
      </tp>
      <tp>
        <v>0</v>
        <stp/>
        <stp>6186</stp>
        <stp>CumulativeVolume</stp>
        <tr r="AN1498" s="57"/>
      </tp>
      <tp>
        <v>0</v>
        <stp/>
        <stp>6486</stp>
        <stp>CumulativeVolume</stp>
        <tr r="AN996" s="57"/>
      </tp>
      <tp>
        <v>0</v>
        <stp/>
        <stp>5386</stp>
        <stp>CumulativeVolume</stp>
        <tr r="AN765" s="57"/>
        <tr r="AN4" s="101"/>
      </tp>
      <tp>
        <v>0</v>
        <stp/>
        <stp>8086</stp>
        <stp>CumulativeVolume</stp>
        <tr r="AN4" s="110"/>
        <tr r="AN684" s="57"/>
      </tp>
      <tp>
        <v>0</v>
        <stp/>
        <stp>2489</stp>
        <stp>CumulativeVolume</stp>
        <tr r="AN816" s="57"/>
      </tp>
      <tp>
        <v>0</v>
        <stp/>
        <stp>2889</stp>
        <stp>CumulativeVolume</stp>
        <tr r="AN1610" s="57"/>
      </tp>
      <tp>
        <v>0</v>
        <stp/>
        <stp>3289</stp>
        <stp>CumulativeVolume</stp>
        <tr r="AN1708" s="57"/>
      </tp>
      <tp>
        <v>0</v>
        <stp/>
        <stp>3189</stp>
        <stp>CumulativeVolume</stp>
        <tr r="AN565" s="57"/>
      </tp>
      <tp>
        <v>0</v>
        <stp/>
        <stp>3689</stp>
        <stp>CumulativeVolume</stp>
        <tr r="AN1118" s="57"/>
      </tp>
      <tp>
        <v>0</v>
        <stp/>
        <stp>3489</stp>
        <stp>CumulativeVolume</stp>
        <tr r="AN1470" s="57"/>
      </tp>
      <tp>
        <v>0</v>
        <stp/>
        <stp>1789</stp>
        <stp>CumulativeVolume</stp>
        <tr r="AN307" s="57"/>
      </tp>
      <tp>
        <v>0</v>
        <stp/>
        <stp>1589</stp>
        <stp>CumulativeVolume</stp>
        <tr r="AN158" s="57"/>
      </tp>
      <tp>
        <v>0</v>
        <stp/>
        <stp>6289</stp>
        <stp>CumulativeVolume</stp>
        <tr r="AN902" s="57"/>
      </tp>
      <tp>
        <v>0</v>
        <stp/>
        <stp>6189</stp>
        <stp>CumulativeVolume</stp>
        <tr r="AN1245" s="57"/>
      </tp>
      <tp>
        <v>0</v>
        <stp/>
        <stp>6589</stp>
        <stp>CumulativeVolume</stp>
        <tr r="AN394" s="57"/>
      </tp>
      <tp>
        <v>0</v>
        <stp/>
        <stp>4989</stp>
        <stp>CumulativeVolume</stp>
        <tr r="AN1129" s="57"/>
      </tp>
      <tp>
        <v>0</v>
        <stp/>
        <stp>5289</stp>
        <stp>CumulativeVolume</stp>
        <tr r="AN763" s="57"/>
      </tp>
      <tp>
        <v>0</v>
        <stp/>
        <stp>5489</stp>
        <stp>CumulativeVolume</stp>
        <tr r="AN1734" s="57"/>
      </tp>
      <tp>
        <v>0</v>
        <stp/>
        <stp>8289</stp>
        <stp>CumulativeVolume</stp>
        <tr r="AN1218" s="57"/>
      </tp>
      <tp>
        <v>0</v>
        <stp/>
        <stp>8089</stp>
        <stp>CumulativeVolume</stp>
        <tr r="AN1007" s="57"/>
      </tp>
      <tp>
        <v>0</v>
        <stp/>
        <stp>8489</stp>
        <stp>CumulativeVolume</stp>
        <tr r="AN1792" s="57"/>
      </tp>
      <tp>
        <v>0</v>
        <stp/>
        <stp>2388</stp>
        <stp>CumulativeVolume</stp>
        <tr r="AN541" s="57"/>
      </tp>
      <tp>
        <v>0</v>
        <stp/>
        <stp>2488</stp>
        <stp>CumulativeVolume</stp>
        <tr r="AN1699" s="57"/>
      </tp>
      <tp>
        <v>0</v>
        <stp/>
        <stp>2888</stp>
        <stp>CumulativeVolume</stp>
        <tr r="AN1609" s="57"/>
      </tp>
      <tp>
        <v>0</v>
        <stp/>
        <stp>3288</stp>
        <stp>CumulativeVolume</stp>
        <tr r="AN1078" s="57"/>
      </tp>
      <tp>
        <v>0</v>
        <stp/>
        <stp>3388</stp>
        <stp>CumulativeVolume</stp>
        <tr r="AN1092" s="57"/>
      </tp>
      <tp>
        <v>0</v>
        <stp/>
        <stp>3088</stp>
        <stp>CumulativeVolume</stp>
        <tr r="AN730" s="57"/>
      </tp>
      <tp>
        <v>0</v>
        <stp/>
        <stp>3188</stp>
        <stp>CumulativeVolume</stp>
        <tr r="AN1468" s="57"/>
      </tp>
      <tp>
        <v>0</v>
        <stp/>
        <stp>3588</stp>
        <stp>CumulativeVolume</stp>
        <tr r="AN592" s="57"/>
      </tp>
      <tp>
        <v>0</v>
        <stp/>
        <stp>1788</stp>
        <stp>CumulativeVolume</stp>
        <tr r="AN306" s="57"/>
      </tp>
      <tp>
        <v>0</v>
        <stp/>
        <stp>6288</stp>
        <stp>CumulativeVolume</stp>
        <tr r="AN525" s="57"/>
      </tp>
      <tp>
        <v>0</v>
        <stp/>
        <stp>6188</stp>
        <stp>CumulativeVolume</stp>
        <tr r="AN780" s="57"/>
      </tp>
      <tp>
        <v>0</v>
        <stp/>
        <stp>6788</stp>
        <stp>CumulativeVolume</stp>
        <tr r="AN676" s="57"/>
      </tp>
      <tp>
        <v>0</v>
        <stp/>
        <stp>6488</stp>
        <stp>CumulativeVolume</stp>
        <tr r="AN653" s="57"/>
      </tp>
      <tp>
        <v>0</v>
        <stp/>
        <stp>6588</stp>
        <stp>CumulativeVolume</stp>
        <tr r="AN1000" s="57"/>
      </tp>
      <tp>
        <v>0</v>
        <stp/>
        <stp>4188</stp>
        <stp>CumulativeVolume</stp>
        <tr r="AN360" s="57"/>
      </tp>
      <tp>
        <v>0</v>
        <stp/>
        <stp>5288</stp>
        <stp>CumulativeVolume</stp>
        <tr r="AN209" s="57"/>
      </tp>
      <tp>
        <v>0</v>
        <stp/>
        <stp>5388</stp>
        <stp>CumulativeVolume</stp>
        <tr r="AN976" s="57"/>
      </tp>
      <tp>
        <v>0</v>
        <stp/>
        <stp>5488</stp>
        <stp>CumulativeVolume</stp>
        <tr r="AN1146" s="57"/>
      </tp>
      <tp>
        <v>0</v>
        <stp/>
        <stp>8088</stp>
        <stp>CumulativeVolume</stp>
        <tr r="AN10" s="99"/>
        <tr r="AN44" s="28"/>
        <tr r="AN685" s="57"/>
      </tp>
      <tp>
        <v>0</v>
        <stp/>
        <stp>8488</stp>
        <stp>CumulativeVolume</stp>
        <tr r="AN1385" s="57"/>
      </tp>
      <tp t="s">
        <v>無資料</v>
        <stp/>
        <stp>2250</stp>
        <stp>Price</stp>
        <tr r="Y15" s="101"/>
        <tr r="Y519" s="57"/>
        <tr r="Y21" s="101"/>
      </tp>
      <tp t="s">
        <v>無資料</v>
        <stp/>
        <stp>2230</stp>
        <stp>Price</stp>
        <tr r="Y167" s="57"/>
      </tp>
      <tp t="s">
        <v>無資料</v>
        <stp/>
        <stp>2340</stp>
        <stp>Price</stp>
        <tr r="Y806" s="57"/>
      </tp>
      <tp t="s">
        <v>無資料</v>
        <stp/>
        <stp>2360</stp>
        <stp>Price</stp>
        <tr r="Y1688" s="57"/>
      </tp>
      <tp t="s">
        <v>無資料</v>
        <stp/>
        <stp>2330</stp>
        <stp>Price</stp>
        <tr r="Y532" s="57"/>
      </tp>
      <tp t="s">
        <v>無資料</v>
        <stp/>
        <stp>2380</stp>
        <stp>Price</stp>
        <tr r="Y709" s="57"/>
      </tp>
      <tp t="s">
        <v>無資料</v>
        <stp/>
        <stp>2390</stp>
        <stp>Price</stp>
        <tr r="Y1690" s="57"/>
      </tp>
      <tp t="s">
        <v>無資料</v>
        <stp/>
        <stp>2070</stp>
        <stp>Price</stp>
        <tr r="Y166" s="57"/>
      </tp>
      <tp t="s">
        <v>無資料</v>
        <stp/>
        <stp>2010</stp>
        <stp>Price</stp>
        <tr r="Y436" s="57"/>
      </tp>
      <tp t="s">
        <v>無資料</v>
        <stp/>
        <stp>2020</stp>
        <stp>Price</stp>
        <tr r="Y442" s="57"/>
      </tp>
      <tp t="s">
        <v>無資料</v>
        <stp/>
        <stp>2030</stp>
        <stp>Price</stp>
        <tr r="Y450" s="57"/>
      </tp>
      <tp t="s">
        <v>無資料</v>
        <stp/>
        <stp>2640</stp>
        <stp>Price</stp>
        <tr r="Y1316" s="57"/>
      </tp>
      <tp t="s">
        <v>無資料</v>
        <stp/>
        <stp>2610</stp>
        <stp>Price</stp>
        <tr r="Y1514" s="57"/>
      </tp>
      <tp t="s">
        <v>無資料</v>
        <stp/>
        <stp>2630</stp>
        <stp>Price</stp>
        <tr r="Y1521" s="57"/>
      </tp>
      <tp t="s">
        <v>無資料</v>
        <stp/>
        <stp>2740</stp>
        <stp>Price</stp>
        <tr r="Y1560" s="57"/>
      </tp>
      <tp t="s">
        <v>無資料</v>
        <stp/>
        <stp>2440</stp>
        <stp>Price</stp>
        <tr r="Y1040" s="57"/>
      </tp>
      <tp t="s">
        <v>無資料</v>
        <stp/>
        <stp>2450</stp>
        <stp>Price</stp>
        <tr r="Y933" s="57"/>
      </tp>
      <tp t="s">
        <v>無資料</v>
        <stp/>
        <stp>2460</stp>
        <stp>Price</stp>
        <tr r="Y1043" s="57"/>
      </tp>
      <tp t="s">
        <v>無資料</v>
        <stp/>
        <stp>2420</stp>
        <stp>Price</stp>
        <tr r="Y1035" s="57"/>
      </tp>
      <tp t="s">
        <v>無資料</v>
        <stp/>
        <stp>2430</stp>
        <stp>Price</stp>
        <tr r="Y1225" s="57"/>
      </tp>
      <tp t="s">
        <v>無資料</v>
        <stp/>
        <stp>2480</stp>
        <stp>Price</stp>
        <tr r="Y1265" s="57"/>
      </tp>
      <tp t="s">
        <v>無資料</v>
        <stp/>
        <stp>2540</stp>
        <stp>Price</stp>
        <tr r="Y1455" s="57"/>
      </tp>
      <tp t="s">
        <v>無資料</v>
        <stp/>
        <stp>2520</stp>
        <stp>Price</stp>
        <tr r="Y1444" s="57"/>
      </tp>
      <tp t="s">
        <v>無資料</v>
        <stp/>
        <stp>2530</stp>
        <stp>Price</stp>
        <tr r="Y1448" s="57"/>
      </tp>
      <tp t="s">
        <v>無資料</v>
        <stp/>
        <stp>2850</stp>
        <stp>Price</stp>
        <tr r="Y1596" s="57"/>
      </tp>
      <tp t="s">
        <v>無資料</v>
        <stp/>
        <stp>2820</stp>
        <stp>Price</stp>
        <tr r="Y1588" s="57"/>
      </tp>
      <tp t="s">
        <v>無資料</v>
        <stp/>
        <stp>2880</stp>
        <stp>Price</stp>
        <tr r="Y1601" s="57"/>
      </tp>
      <tp t="s">
        <v>無資料</v>
        <stp/>
        <stp>2890</stp>
        <stp>Price</stp>
        <tr r="Y1611" s="57"/>
      </tp>
      <tp t="s">
        <v>無資料</v>
        <stp/>
        <stp>2910</stp>
        <stp>Price</stp>
        <tr r="Y1638" s="57"/>
      </tp>
      <tp t="s">
        <v>無資料</v>
        <stp/>
        <stp>3260</stp>
        <stp>Price</stp>
        <tr r="Y571" s="57"/>
        <tr r="Y20" s="74"/>
      </tp>
      <tp t="s">
        <v>無資料</v>
        <stp/>
        <stp>3230</stp>
        <stp>Price</stp>
        <tr r="Y830" s="57"/>
      </tp>
      <tp t="s">
        <v>無資料</v>
        <stp/>
        <stp>3290</stp>
        <stp>Price</stp>
        <tr r="Y1079" s="57"/>
      </tp>
      <tp t="s">
        <v>無資料</v>
        <stp/>
        <stp>3360</stp>
        <stp>Price</stp>
        <tr r="Y1237" s="57"/>
      </tp>
      <tp t="s">
        <v>無資料</v>
        <stp/>
        <stp>3310</stp>
        <stp>Price</stp>
        <tr r="Y1083" s="57"/>
      </tp>
      <tp t="s">
        <v>無資料</v>
        <stp/>
        <stp>3380</stp>
        <stp>Price</stp>
        <tr r="Y952" s="57"/>
      </tp>
      <tp t="s">
        <v>無資料</v>
        <stp/>
        <stp>3390</stp>
        <stp>Price</stp>
        <tr r="Y1093" s="57"/>
      </tp>
      <tp t="s">
        <v>無資料</v>
        <stp/>
        <stp>3040</stp>
        <stp>Price</stp>
        <tr r="Y1318" s="57"/>
      </tp>
      <tp t="s">
        <v>無資料</v>
        <stp/>
        <stp>3050</stp>
        <stp>Price</stp>
        <tr r="Y824" s="57"/>
      </tp>
      <tp t="s">
        <v>無資料</v>
        <stp/>
        <stp>3060</stp>
        <stp>Price</stp>
        <tr r="Y728" s="57"/>
      </tp>
      <tp t="s">
        <v>無資料</v>
        <stp/>
        <stp>3010</stp>
        <stp>Price</stp>
        <tr r="Y1227" s="57"/>
      </tp>
      <tp t="s">
        <v>無資料</v>
        <stp/>
        <stp>3030</stp>
        <stp>Price</stp>
        <tr r="Y1702" s="57"/>
      </tp>
      <tp t="s">
        <v>無資料</v>
        <stp/>
        <stp>3090</stp>
        <stp>Price</stp>
        <tr r="Y1065" s="57"/>
      </tp>
      <tp t="s">
        <v>無資料</v>
        <stp/>
        <stp>3130</stp>
        <stp>Price</stp>
        <tr r="Y1267" s="57"/>
      </tp>
      <tp t="s">
        <v>無資料</v>
        <stp/>
        <stp>3630</stp>
        <stp>Price</stp>
        <tr r="Y855" s="57"/>
      </tp>
      <tp t="s">
        <v>無資料</v>
        <stp/>
        <stp>3680</stp>
        <stp>Price</stp>
        <tr r="Y596" s="57"/>
      </tp>
      <tp t="s">
        <v>無資料</v>
        <stp/>
        <stp>3710</stp>
        <stp>Price</stp>
        <tr r="Y1119" s="57"/>
      </tp>
      <tp t="s">
        <v>無資料</v>
        <stp/>
        <stp>3450</stp>
        <stp>Price</stp>
        <tr r="Y1714" s="57"/>
      </tp>
      <tp t="s">
        <v>無資料</v>
        <stp/>
        <stp>3490</stp>
        <stp>Price</stp>
        <tr r="Y843" s="57"/>
      </tp>
      <tp t="s">
        <v>無資料</v>
        <stp/>
        <stp>3540</stp>
        <stp>Price</stp>
        <tr r="Y744" s="57"/>
      </tp>
      <tp t="s">
        <v>無資料</v>
        <stp/>
        <stp>3550</stp>
        <stp>Price</stp>
        <tr r="Y1106" s="57"/>
      </tp>
      <tp t="s">
        <v>無資料</v>
        <stp/>
        <stp>3570</stp>
        <stp>Price</stp>
        <tr r="Y1268" s="57"/>
      </tp>
      <tp t="s">
        <v>無資料</v>
        <stp/>
        <stp>3520</stp>
        <stp>Price</stp>
        <tr r="Y1101" s="57"/>
      </tp>
      <tp t="s">
        <v>無資料</v>
        <stp/>
        <stp>3530</stp>
        <stp>Price</stp>
        <tr r="Y583" s="57"/>
      </tp>
      <tp t="s">
        <v>無資料</v>
        <stp/>
        <stp>3580</stp>
        <stp>Price</stp>
        <tr r="Y1721" s="57"/>
      </tp>
      <tp t="s">
        <v>無資料</v>
        <stp/>
        <stp>0050</stp>
        <stp>Price</stp>
        <tr r="Y1" s="57"/>
        <tr r="Y9" s="28"/>
      </tp>
      <tp t="s">
        <v>無資料</v>
        <stp/>
        <stp>1240</stp>
        <stp>Price</stp>
        <tr r="Y1808" s="57"/>
      </tp>
      <tp t="s">
        <v>無資料</v>
        <stp/>
        <stp>1210</stp>
        <stp>Price</stp>
        <tr r="Y16" s="57"/>
      </tp>
      <tp t="s">
        <v>無資料</v>
        <stp/>
        <stp>1220</stp>
        <stp>Price</stp>
        <tr r="Y23" s="57"/>
      </tp>
      <tp t="s">
        <v>無資料</v>
        <stp/>
        <stp>1340</stp>
        <stp>Price</stp>
        <tr r="Y62" s="57"/>
      </tp>
      <tp t="s">
        <v>無資料</v>
        <stp/>
        <stp>1310</stp>
        <stp>Price</stp>
        <tr r="Y51" s="57"/>
      </tp>
      <tp t="s">
        <v>無資料</v>
        <stp/>
        <stp>1110</stp>
        <stp>Price</stp>
        <tr r="Y11" s="57"/>
      </tp>
      <tp t="s">
        <v>無資料</v>
        <stp/>
        <stp>1760</stp>
        <stp>Price</stp>
        <tr r="Y299" s="57"/>
      </tp>
      <tp t="s">
        <v>無資料</v>
        <stp/>
        <stp>1710</stp>
        <stp>Price</stp>
        <tr r="Y245" s="57"/>
      </tp>
      <tp t="s">
        <v>無資料</v>
        <stp/>
        <stp>1720</stp>
        <stp>Price</stp>
        <tr r="Y293" s="57"/>
      </tp>
      <tp t="s">
        <v>無資料</v>
        <stp/>
        <stp>1730</stp>
        <stp>Price</stp>
        <tr r="Y259" s="57"/>
      </tp>
      <tp t="s">
        <v>無資料</v>
        <stp/>
        <stp>1440</stp>
        <stp>Price</stp>
        <tr r="Y83" s="57"/>
      </tp>
      <tp t="s">
        <v>無資料</v>
        <stp/>
        <stp>1460</stp>
        <stp>Price</stp>
        <tr r="Y99" s="57"/>
      </tp>
      <tp t="s">
        <v>無資料</v>
        <stp/>
        <stp>1470</stp>
        <stp>Price</stp>
        <tr r="Y106" s="57"/>
      </tp>
      <tp t="s">
        <v>無資料</v>
        <stp/>
        <stp>1410</stp>
        <stp>Price</stp>
        <tr r="Y74" s="57"/>
      </tp>
      <tp t="s">
        <v>無資料</v>
        <stp/>
        <stp>1540</stp>
        <stp>Price</stp>
        <tr r="Y150" s="57"/>
      </tp>
      <tp t="s">
        <v>無資料</v>
        <stp/>
        <stp>1560</stp>
        <stp>Price</stp>
        <tr r="Y153" s="57"/>
      </tp>
      <tp t="s">
        <v>無資料</v>
        <stp/>
        <stp>1570</stp>
        <stp>Price</stp>
        <tr r="Y154" s="57"/>
      </tp>
      <tp t="s">
        <v>無資料</v>
        <stp/>
        <stp>1530</stp>
        <stp>Price</stp>
        <tr r="Y143" s="57"/>
      </tp>
      <tp t="s">
        <v>無資料</v>
        <stp/>
        <stp>1580</stp>
        <stp>Price</stp>
        <tr r="Y155" s="57"/>
      </tp>
      <tp t="s">
        <v>無資料</v>
        <stp/>
        <stp>1590</stp>
        <stp>Price</stp>
        <tr r="Y159" s="57"/>
      </tp>
      <tp t="s">
        <v>無資料</v>
        <stp/>
        <stp>1810</stp>
        <stp>Price</stp>
        <tr r="Y419" s="57"/>
      </tp>
      <tp t="s">
        <v>無資料</v>
        <stp/>
        <stp>6240</stp>
        <stp>Price</stp>
        <tr r="Y1288" s="57"/>
      </tp>
      <tp t="s">
        <v>無資料</v>
        <stp/>
        <stp>6270</stp>
        <stp>Price</stp>
        <tr r="Y1248" s="57"/>
      </tp>
      <tp t="s">
        <v>無資料</v>
        <stp/>
        <stp>6210</stp>
        <stp>Price</stp>
        <tr r="Y1174" s="57"/>
      </tp>
      <tp t="s">
        <v>無資料</v>
        <stp/>
        <stp>6220</stp>
        <stp>Price</stp>
        <tr r="Y1177" s="57"/>
      </tp>
      <tp t="s">
        <v>無資料</v>
        <stp/>
        <stp>6230</stp>
        <stp>Price</stp>
        <tr r="Y783" s="57"/>
      </tp>
      <tp t="s">
        <v>無資料</v>
        <stp/>
        <stp>6290</stp>
        <stp>Price</stp>
        <tr r="Y1187" s="57"/>
      </tp>
      <tp t="s">
        <v>無資料</v>
        <stp/>
        <stp>6020</stp>
        <stp>Price</stp>
        <tr r="Y1623" s="57"/>
      </tp>
      <tp t="s">
        <v>無資料</v>
        <stp/>
        <stp>6140</stp>
        <stp>Price</stp>
        <tr r="Y1282" s="57"/>
      </tp>
      <tp t="s">
        <v>無資料</v>
        <stp/>
        <stp>6150</stp>
        <stp>Price</stp>
        <tr r="Y775" s="57"/>
      </tp>
      <tp t="s">
        <v>無資料</v>
        <stp/>
        <stp>6160</stp>
        <stp>Price</stp>
        <tr r="Y776" s="57"/>
      </tp>
      <tp t="s">
        <v>無資料</v>
        <stp/>
        <stp>6170</stp>
        <stp>Price</stp>
        <tr r="Y983" s="57"/>
      </tp>
      <tp t="s">
        <v>無資料</v>
        <stp/>
        <stp>6120</stp>
        <stp>Price</stp>
        <tr r="Y888" s="57"/>
      </tp>
      <tp t="s">
        <v>無資料</v>
        <stp/>
        <stp>6130</stp>
        <stp>Price</stp>
        <tr r="Y376" s="57"/>
      </tp>
      <tp t="s">
        <v>無資料</v>
        <stp/>
        <stp>6180</stp>
        <stp>Price</stp>
        <tr r="Y1785" s="57"/>
      </tp>
      <tp t="s">
        <v>無資料</v>
        <stp/>
        <stp>6190</stp>
        <stp>Price</stp>
        <tr r="Y984" s="57"/>
      </tp>
      <tp t="s">
        <v>無資料</v>
        <stp/>
        <stp>6640</stp>
        <stp>Price</stp>
        <tr r="Y666" s="57"/>
        <tr r="Y9" s="108"/>
        <tr r="Y5" s="108"/>
      </tp>
      <tp t="s">
        <v>無資料</v>
        <stp/>
        <stp>6670</stp>
        <stp>Price</stp>
        <tr r="Y1349" s="57"/>
      </tp>
      <tp t="s">
        <v>無資料</v>
        <stp/>
        <stp>6680</stp>
        <stp>Price</stp>
        <tr r="Y794" s="57"/>
      </tp>
      <tp t="s">
        <v>無資料</v>
        <stp/>
        <stp>6690</stp>
        <stp>Price</stp>
        <tr r="Y1293" s="57"/>
      </tp>
      <tp t="s">
        <v>無資料</v>
        <stp/>
        <stp>6770</stp>
        <stp>Price</stp>
        <tr r="Y675" s="57"/>
      </tp>
      <tp t="s">
        <v>無資料</v>
        <stp/>
        <stp>6790</stp>
        <stp>Price</stp>
        <tr r="Y1353" s="57"/>
      </tp>
      <tp t="s">
        <v>無資料</v>
        <stp/>
        <stp>6470</stp>
        <stp>Price</stp>
        <tr r="Y995" s="57"/>
      </tp>
      <tp t="s">
        <v>無資料</v>
        <stp/>
        <stp>6560</stp>
        <stp>Price</stp>
        <tr r="Y910" s="57"/>
      </tp>
      <tp t="s">
        <v>無資料</v>
        <stp/>
        <stp>6570</stp>
        <stp>Price</stp>
        <tr r="Y789" s="57"/>
      </tp>
      <tp t="s">
        <v>無資料</v>
        <stp/>
        <stp>6510</stp>
        <stp>Price</stp>
        <tr r="Y5" s="74"/>
        <tr r="Y4" s="107"/>
        <tr r="Y655" s="57"/>
        <tr r="Y15" s="107"/>
      </tp>
      <tp t="s">
        <v>無資料</v>
        <stp/>
        <stp>6530</stp>
        <stp>Price</stp>
        <tr r="Y998" s="57"/>
      </tp>
      <tp t="s">
        <v>無資料</v>
        <stp/>
        <stp>4160</stp>
        <stp>Price</stp>
        <tr r="Y349" s="57"/>
      </tp>
      <tp t="s">
        <v>無資料</v>
        <stp/>
        <stp>4120</stp>
        <stp>Price</stp>
        <tr r="Y328" s="57"/>
      </tp>
      <tp t="s">
        <v>無資料</v>
        <stp/>
        <stp>4130</stp>
        <stp>Price</stp>
        <tr r="Y35" s="28"/>
        <tr r="Y122" s="22"/>
        <tr r="Y123" s="22"/>
        <tr r="Y124" s="22"/>
        <tr r="Y335" s="57"/>
      </tp>
      <tp t="s">
        <v>無資料</v>
        <stp/>
        <stp>4190</stp>
        <stp>Price</stp>
        <tr r="Y361" s="57"/>
      </tp>
      <tp t="s">
        <v>無資料</v>
        <stp/>
        <stp>4760</stp>
        <stp>Price</stp>
        <tr r="Y1729" s="57"/>
      </tp>
      <tp t="s">
        <v>無資料</v>
        <stp/>
        <stp>4770</stp>
        <stp>Price</stp>
        <tr r="Y9" s="98"/>
        <tr r="Y82" s="28"/>
        <tr r="Y283" s="57"/>
      </tp>
      <tp t="s">
        <v>無資料</v>
        <stp/>
        <stp>4720</stp>
        <stp>Price</stp>
        <tr r="Y272" s="57"/>
      </tp>
      <tp t="s">
        <v>無資料</v>
        <stp/>
        <stp>4440</stp>
        <stp>Price</stp>
        <tr r="Y127" s="57"/>
        <tr r="Y8" s="98"/>
      </tp>
      <tp t="s">
        <v>無資料</v>
        <stp/>
        <stp>4420</stp>
        <stp>Price</stp>
        <tr r="Y120" s="57"/>
      </tp>
      <tp t="s">
        <v>無資料</v>
        <stp/>
        <stp>4430</stp>
        <stp>Price</stp>
        <tr r="Y1321" s="57"/>
      </tp>
      <tp t="s">
        <v>無資料</v>
        <stp/>
        <stp>4540</stp>
        <stp>Price</stp>
        <tr r="Y24" s="98"/>
        <tr r="Y192" s="57"/>
      </tp>
      <tp t="s">
        <v>無資料</v>
        <stp/>
        <stp>4550</stp>
        <stp>Price</stp>
        <tr r="Y191" s="57"/>
        <tr r="Y195" s="57"/>
      </tp>
      <tp t="s">
        <v>無資料</v>
        <stp/>
        <stp>4560</stp>
        <stp>Price</stp>
        <tr r="Y198" s="57"/>
      </tp>
      <tp t="s">
        <v>無資料</v>
        <stp/>
        <stp>4510</stp>
        <stp>Price</stp>
        <tr r="Y180" s="57"/>
      </tp>
      <tp t="s">
        <v>無資料</v>
        <stp/>
        <stp>4530</stp>
        <stp>Price</stp>
        <tr r="Y186" s="57"/>
      </tp>
      <tp t="s">
        <v>無資料</v>
        <stp/>
        <stp>4580</stp>
        <stp>Price</stp>
        <tr r="Y208" s="57"/>
      </tp>
      <tp t="s">
        <v>無資料</v>
        <stp/>
        <stp>4950</stp>
        <stp>Price</stp>
        <tr r="Y1326" s="57"/>
      </tp>
      <tp t="s">
        <v>無資料</v>
        <stp/>
        <stp>4960</stp>
        <stp>Price</stp>
        <tr r="Y870" s="57"/>
      </tp>
      <tp t="s">
        <v>無資料</v>
        <stp/>
        <stp>4930</stp>
        <stp>Price</stp>
        <tr r="Y239" s="57"/>
      </tp>
      <tp t="s">
        <v>無資料</v>
        <stp/>
        <stp>5210</stp>
        <stp>Price</stp>
        <tr r="Y1275" s="57"/>
      </tp>
      <tp t="s">
        <v>無資料</v>
        <stp/>
        <stp>5220</stp>
        <stp>Price</stp>
        <tr r="Y874" s="57"/>
      </tp>
      <tp t="s">
        <v>無資料</v>
        <stp/>
        <stp>5230</stp>
        <stp>Price</stp>
        <tr r="Y875" s="57"/>
      </tp>
      <tp t="s">
        <v>無資料</v>
        <stp/>
        <stp>5340</stp>
        <stp>Price</stp>
        <tr r="Y1136" s="57"/>
      </tp>
      <tp t="s">
        <v>無資料</v>
        <stp/>
        <stp>5310</stp>
        <stp>Price</stp>
        <tr r="Y1278" s="57"/>
      </tp>
      <tp t="s">
        <v>無資料</v>
        <stp/>
        <stp>5450</stp>
        <stp>Price</stp>
        <tr r="Y1331" s="57"/>
      </tp>
      <tp t="s">
        <v>無資料</v>
        <stp/>
        <stp>5460</stp>
        <stp>Price</stp>
        <tr r="Y1142" s="57"/>
      </tp>
      <tp t="s">
        <v>無資料</v>
        <stp/>
        <stp>5410</stp>
        <stp>Price</stp>
        <tr r="Y1280" s="57"/>
        <tr r="Y29" s="101"/>
        <tr r="Y28" s="101"/>
      </tp>
      <tp t="s">
        <v>無資料</v>
        <stp/>
        <stp>5490</stp>
        <stp>Price</stp>
        <tr r="Y770" s="57"/>
      </tp>
      <tp t="s">
        <v>無資料</v>
        <stp/>
        <stp>5520</stp>
        <stp>Price</stp>
        <tr r="Y1486" s="57"/>
      </tp>
      <tp t="s">
        <v>無資料</v>
        <stp/>
        <stp>5530</stp>
        <stp>Price</stp>
        <tr r="Y1333" s="57"/>
      </tp>
      <tp t="s">
        <v>無資料</v>
        <stp/>
        <stp>5820</stp>
        <stp>Price</stp>
        <tr r="Y1615" s="57"/>
      </tp>
      <tp t="s">
        <v>無資料</v>
        <stp/>
        <stp>5880</stp>
        <stp>Price</stp>
        <tr r="Y1619" s="57"/>
      </tp>
      <tp t="s">
        <v>無資料</v>
        <stp/>
        <stp>8240</stp>
        <stp>Price</stp>
        <tr r="Y922" s="57"/>
      </tp>
      <tp t="s">
        <v>無資料</v>
        <stp/>
        <stp>8210</stp>
        <stp>Price</stp>
        <tr r="Y799" s="57"/>
      </tp>
      <tp t="s">
        <v>無資料</v>
        <stp/>
        <stp>8390</stp>
        <stp>Price</stp>
        <tr r="Y1359" s="57"/>
      </tp>
      <tp t="s">
        <v>無資料</v>
        <stp/>
        <stp>8040</stp>
        <stp>Price</stp>
        <tr r="Y681" s="57"/>
      </tp>
      <tp t="s">
        <v>無資料</v>
        <stp/>
        <stp>8050</stp>
        <stp>Price</stp>
        <tr r="Y795" s="57"/>
      </tp>
      <tp t="s">
        <v>無資料</v>
        <stp/>
        <stp>8070</stp>
        <stp>Price</stp>
        <tr r="Y1254" s="57"/>
      </tp>
      <tp t="s">
        <v>無資料</v>
        <stp/>
        <stp>8080</stp>
        <stp>Price</stp>
        <tr r="Y1207" s="57"/>
      </tp>
      <tp t="s">
        <v>無資料</v>
        <stp/>
        <stp>8150</stp>
        <stp>Price</stp>
        <tr r="Y688" s="57"/>
      </tp>
      <tp t="s">
        <v>無資料</v>
        <stp/>
        <stp>8110</stp>
        <stp>Price</stp>
        <tr r="Y686" s="57"/>
      </tp>
      <tp t="s">
        <v>無資料</v>
        <stp/>
        <stp>8440</stp>
        <stp>Price</stp>
        <tr r="Y1372" s="57"/>
      </tp>
      <tp t="s">
        <v>無資料</v>
        <stp/>
        <stp>8450</stp>
        <stp>Price</stp>
        <tr r="Y1791" s="57"/>
      </tp>
      <tp t="s">
        <v>無資料</v>
        <stp/>
        <stp>8410</stp>
        <stp>Price</stp>
        <tr r="Y801" s="57"/>
      </tp>
      <tp t="s">
        <v>無資料</v>
        <stp/>
        <stp>8420</stp>
        <stp>Price</stp>
        <tr r="Y1364" s="57"/>
      </tp>
      <tp t="s">
        <v>無資料</v>
        <stp/>
        <stp>8480</stp>
        <stp>Price</stp>
        <tr r="Y1382" s="57"/>
      </tp>
      <tp t="s">
        <v>無資料</v>
        <stp/>
        <stp>8940</stp>
        <stp>Price</stp>
        <tr r="Y1580" s="57"/>
      </tp>
      <tp t="s">
        <v>無資料</v>
        <stp/>
        <stp>8930</stp>
        <stp>Price</stp>
        <tr r="Y474" s="57"/>
      </tp>
      <tp t="s">
        <v>無資料</v>
        <stp/>
        <stp>9940</stp>
        <stp>Price</stp>
        <tr r="Y1423" s="57"/>
      </tp>
      <tp t="s">
        <v>無資料</v>
        <stp/>
        <stp>9950</stp>
        <stp>Price</stp>
        <tr r="Y69" s="57"/>
      </tp>
      <tp t="s">
        <v>無資料</v>
        <stp/>
        <stp>9960</stp>
        <stp>Price</stp>
        <tr r="Y1666" s="57"/>
      </tp>
      <tp t="s">
        <v>無資料</v>
        <stp/>
        <stp>9910</stp>
        <stp>Price</stp>
        <tr r="Y1406" s="57"/>
      </tp>
      <tp t="s">
        <v>無資料</v>
        <stp/>
        <stp>9930</stp>
        <stp>Price</stp>
        <tr r="Y1417" s="57"/>
      </tp>
      <tp>
        <v>0</v>
        <stp/>
        <stp>2491</stp>
        <stp>CumulativeVolume</stp>
        <tr r="AN817" s="57"/>
      </tp>
      <tp>
        <v>0</v>
        <stp/>
        <stp>2891</stp>
        <stp>CumulativeVolume</stp>
        <tr r="AN1612" s="57"/>
      </tp>
      <tp>
        <v>0</v>
        <stp/>
        <stp>3191</stp>
        <stp>CumulativeVolume</stp>
        <tr r="AN1070" s="57"/>
      </tp>
      <tp>
        <v>0</v>
        <stp/>
        <stp>3691</stp>
        <stp>CumulativeVolume</stp>
        <tr r="AN860" s="57"/>
      </tp>
      <tp>
        <v>0</v>
        <stp/>
        <stp>3491</stp>
        <stp>CumulativeVolume</stp>
        <tr r="AN955" s="57"/>
      </tp>
      <tp>
        <v>0</v>
        <stp/>
        <stp>3591</stp>
        <stp>CumulativeVolume</stp>
        <tr r="AN851" s="57"/>
      </tp>
      <tp>
        <v>0</v>
        <stp/>
        <stp>1591</stp>
        <stp>CumulativeVolume</stp>
        <tr r="AN160" s="57"/>
      </tp>
      <tp>
        <v>0</v>
        <stp/>
        <stp>6291</stp>
        <stp>CumulativeVolume</stp>
        <tr r="AN645" s="57"/>
      </tp>
      <tp>
        <v>0</v>
        <stp/>
        <stp>6191</stp>
        <stp>CumulativeVolume</stp>
        <tr r="AN1166" s="57"/>
      </tp>
      <tp>
        <v>0</v>
        <stp/>
        <stp>6691</stp>
        <stp>CumulativeVolume</stp>
        <tr r="AN1755" s="57"/>
      </tp>
      <tp>
        <v>0</v>
        <stp/>
        <stp>6491</stp>
        <stp>CumulativeVolume</stp>
        <tr r="AN14" s="99"/>
        <tr r="AN51" s="28"/>
        <tr r="AN382" s="57"/>
      </tp>
      <tp>
        <v>0</v>
        <stp/>
        <stp>6591</stp>
        <stp>CumulativeVolume</stp>
        <tr r="AN792" s="57"/>
      </tp>
      <tp>
        <v>0</v>
        <stp/>
        <stp>4991</stp>
        <stp>CumulativeVolume</stp>
        <tr r="AN609" s="57"/>
      </tp>
      <tp>
        <v>0</v>
        <stp/>
        <stp>5291</stp>
        <stp>CumulativeVolume</stp>
        <tr r="AN1132" s="57"/>
      </tp>
      <tp>
        <v>0</v>
        <stp/>
        <stp>8291</stp>
        <stp>CumulativeVolume</stp>
        <tr r="AN1219" s="57"/>
      </tp>
      <tp>
        <v>0</v>
        <stp/>
        <stp>8091</stp>
        <stp>CumulativeVolume</stp>
        <tr r="AN1208" s="57"/>
      </tp>
      <tp>
        <v>0</v>
        <stp/>
        <stp>2390</stp>
        <stp>CumulativeVolume</stp>
        <tr r="AN1690" s="57"/>
      </tp>
      <tp>
        <v>0</v>
        <stp/>
        <stp>2890</stp>
        <stp>CumulativeVolume</stp>
        <tr r="AN1611" s="57"/>
      </tp>
      <tp>
        <v>0</v>
        <stp/>
        <stp>3290</stp>
        <stp>CumulativeVolume</stp>
        <tr r="AN1079" s="57"/>
      </tp>
      <tp>
        <v>0</v>
        <stp/>
        <stp>3390</stp>
        <stp>CumulativeVolume</stp>
        <tr r="AN1093" s="57"/>
      </tp>
      <tp>
        <v>0</v>
        <stp/>
        <stp>3090</stp>
        <stp>CumulativeVolume</stp>
        <tr r="AN1065" s="57"/>
      </tp>
      <tp>
        <v>0</v>
        <stp/>
        <stp>3490</stp>
        <stp>CumulativeVolume</stp>
        <tr r="AN843" s="57"/>
      </tp>
      <tp>
        <v>0</v>
        <stp/>
        <stp>1590</stp>
        <stp>CumulativeVolume</stp>
        <tr r="AN159" s="57"/>
      </tp>
      <tp>
        <v>0</v>
        <stp/>
        <stp>6290</stp>
        <stp>CumulativeVolume</stp>
        <tr r="AN1187" s="57"/>
      </tp>
      <tp>
        <v>0</v>
        <stp/>
        <stp>6190</stp>
        <stp>CumulativeVolume</stp>
        <tr r="AN984" s="57"/>
      </tp>
      <tp>
        <v>0</v>
        <stp/>
        <stp>6690</stp>
        <stp>CumulativeVolume</stp>
        <tr r="AN1293" s="57"/>
      </tp>
      <tp>
        <v>0</v>
        <stp/>
        <stp>6790</stp>
        <stp>CumulativeVolume</stp>
        <tr r="AN1353" s="57"/>
      </tp>
      <tp>
        <v>0</v>
        <stp/>
        <stp>6590</stp>
        <stp>CumulativeVolume</stp>
        <tr r="AN1291" s="57"/>
      </tp>
      <tp>
        <v>0</v>
        <stp/>
        <stp>4190</stp>
        <stp>CumulativeVolume</stp>
        <tr r="AN361" s="57"/>
      </tp>
      <tp>
        <v>0</v>
        <stp/>
        <stp>5490</stp>
        <stp>CumulativeVolume</stp>
        <tr r="AN770" s="57"/>
      </tp>
      <tp>
        <v>0</v>
        <stp/>
        <stp>8390</stp>
        <stp>CumulativeVolume</stp>
        <tr r="AN1359" s="57"/>
      </tp>
      <tp>
        <v>0</v>
        <stp/>
        <stp>2393</stp>
        <stp>CumulativeVolume</stp>
        <tr r="AN809" s="57"/>
      </tp>
      <tp>
        <v>0</v>
        <stp/>
        <stp>2493</stp>
        <stp>CumulativeVolume</stp>
        <tr r="AN1052" s="57"/>
      </tp>
      <tp>
        <v>0</v>
        <stp/>
        <stp>3293</stp>
        <stp>CumulativeVolume</stp>
        <tr r="AN1773" s="57"/>
      </tp>
      <tp>
        <v>0</v>
        <stp/>
        <stp>3093</stp>
        <stp>CumulativeVolume</stp>
        <tr r="AN1705" s="57"/>
      </tp>
      <tp>
        <v>0</v>
        <stp/>
        <stp>3693</stp>
        <stp>CumulativeVolume</stp>
        <tr r="AN750" s="57"/>
      </tp>
      <tp>
        <v>0</v>
        <stp/>
        <stp>3593</stp>
        <stp>CumulativeVolume</stp>
        <tr r="AN1107" s="57"/>
      </tp>
      <tp>
        <v>0</v>
        <stp/>
        <stp>1593</stp>
        <stp>CumulativeVolume</stp>
        <tr r="AN289" s="57"/>
      </tp>
      <tp>
        <v>0</v>
        <stp/>
        <stp>6593</stp>
        <stp>CumulativeVolume</stp>
        <tr r="AN1292" s="57"/>
      </tp>
      <tp>
        <v>0</v>
        <stp/>
        <stp>5493</stp>
        <stp>CumulativeVolume</stp>
        <tr r="AN1735" s="57"/>
      </tp>
      <tp>
        <v>0</v>
        <stp/>
        <stp>8093</stp>
        <stp>CumulativeVolume</stp>
        <tr r="AN1209" s="57"/>
      </tp>
      <tp>
        <v>0</v>
        <stp/>
        <stp>2392</stp>
        <stp>CumulativeVolume</stp>
        <tr r="AN1031" s="57"/>
      </tp>
      <tp>
        <v>0</v>
        <stp/>
        <stp>2492</stp>
        <stp>CumulativeVolume</stp>
        <tr r="AN1051" s="57"/>
      </tp>
      <tp>
        <v>0</v>
        <stp/>
        <stp>2892</stp>
        <stp>CumulativeVolume</stp>
        <tr r="AN1613" s="57"/>
      </tp>
      <tp>
        <v>0</v>
        <stp/>
        <stp>3092</stp>
        <stp>CumulativeVolume</stp>
        <tr r="AN1066" s="57"/>
        <tr r="AN6" s="101"/>
      </tp>
      <tp>
        <v>0</v>
        <stp/>
        <stp>3492</stp>
        <stp>CumulativeVolume</stp>
        <tr r="AN1097" s="57"/>
      </tp>
      <tp>
        <v>0</v>
        <stp/>
        <stp>3592</stp>
        <stp>CumulativeVolume</stp>
        <tr r="AN593" s="57"/>
        <tr r="AN65" s="28"/>
      </tp>
      <tp t="s">
        <v>商品錯誤</v>
        <stp/>
        <stp>1592</stp>
        <stp>CumulativeVolume</stp>
        <tr r="AN505" s="57"/>
      </tp>
      <tp>
        <v>0</v>
        <stp/>
        <stp>6292</stp>
        <stp>CumulativeVolume</stp>
        <tr r="AN1188" s="57"/>
      </tp>
      <tp>
        <v>0</v>
        <stp/>
        <stp>6192</stp>
        <stp>CumulativeVolume</stp>
        <tr r="AN1741" s="57"/>
      </tp>
      <tp>
        <v>0</v>
        <stp/>
        <stp>6792</stp>
        <stp>CumulativeVolume</stp>
        <tr r="AN1002" s="57"/>
      </tp>
      <tp>
        <v>0</v>
        <stp/>
        <stp>6492</stp>
        <stp>CumulativeVolume</stp>
        <tr r="AN383" s="57"/>
      </tp>
      <tp>
        <v>0</v>
        <stp/>
        <stp>6592</stp>
        <stp>CumulativeVolume</stp>
        <tr r="AN18" s="28"/>
        <tr r="AN1342" s="57"/>
      </tp>
      <tp>
        <v>0</v>
        <stp/>
        <stp>4192</stp>
        <stp>CumulativeVolume</stp>
        <tr r="AN362" s="57"/>
      </tp>
      <tp>
        <v>0</v>
        <stp/>
        <stp>5392</stp>
        <stp>CumulativeVolume</stp>
        <tr r="AN883" s="57"/>
      </tp>
      <tp>
        <v>0</v>
        <stp/>
        <stp>8092</stp>
        <stp>CumulativeVolume</stp>
        <tr r="AN1761" s="57"/>
      </tp>
      <tp>
        <v>0</v>
        <stp/>
        <stp>2395</stp>
        <stp>CumulativeVolume</stp>
        <tr r="AN712" s="57"/>
      </tp>
      <tp>
        <v>0</v>
        <stp/>
        <stp>2495</stp>
        <stp>CumulativeVolume</stp>
        <tr r="AN1700" s="57"/>
      </tp>
      <tp>
        <v>0</v>
        <stp/>
        <stp>3095</stp>
        <stp>CumulativeVolume</stp>
        <tr r="AN943" s="57"/>
      </tp>
      <tp>
        <v>0</v>
        <stp/>
        <stp>1795</stp>
        <stp>CumulativeVolume</stp>
        <tr r="AN308" s="57"/>
      </tp>
      <tp>
        <v>0</v>
        <stp/>
        <stp>1595</stp>
        <stp>CumulativeVolume</stp>
        <tr r="AN1017" s="57"/>
      </tp>
      <tp>
        <v>0</v>
        <stp/>
        <stp>6195</stp>
        <stp>CumulativeVolume</stp>
        <tr r="AN1658" s="57"/>
      </tp>
      <tp>
        <v>0</v>
        <stp/>
        <stp>4995</stp>
        <stp>CumulativeVolume</stp>
        <tr r="AN873" s="57"/>
      </tp>
      <tp>
        <v>0</v>
        <stp/>
        <stp>3294</stp>
        <stp>CumulativeVolume</stp>
        <tr r="AN1080" s="57"/>
      </tp>
      <tp>
        <v>0</v>
        <stp/>
        <stp>3094</stp>
        <stp>CumulativeVolume</stp>
        <tr r="AN11" s="115"/>
        <tr r="AN560" s="57"/>
      </tp>
      <tp>
        <v>0</v>
        <stp/>
        <stp>3694</stp>
        <stp>CumulativeVolume</stp>
        <tr r="AN965" s="57"/>
      </tp>
      <tp>
        <v>0</v>
        <stp/>
        <stp>3494</stp>
        <stp>CumulativeVolume</stp>
        <tr r="AN741" s="57"/>
      </tp>
      <tp>
        <v>0</v>
        <stp/>
        <stp>3594</stp>
        <stp>CumulativeVolume</stp>
        <tr r="AN746" s="57"/>
      </tp>
      <tp>
        <v>0</v>
        <stp/>
        <stp>6294</stp>
        <stp>CumulativeVolume</stp>
        <tr r="AN1786" s="57"/>
      </tp>
      <tp>
        <v>0</v>
        <stp/>
        <stp>6194</stp>
        <stp>CumulativeVolume</stp>
        <tr r="AN1167" s="57"/>
      </tp>
      <tp>
        <v>0</v>
        <stp/>
        <stp>6494</stp>
        <stp>CumulativeVolume</stp>
        <tr r="AN654" s="57"/>
      </tp>
      <tp>
        <v>0</v>
        <stp/>
        <stp>6594</stp>
        <stp>CumulativeVolume</stp>
        <tr r="AN665" s="57"/>
      </tp>
      <tp>
        <v>0</v>
        <stp/>
        <stp>4994</stp>
        <stp>CumulativeVolume</stp>
        <tr r="AN1270" s="57"/>
      </tp>
      <tp>
        <v>0</v>
        <stp/>
        <stp>2397</stp>
        <stp>CumulativeVolume</stp>
        <tr r="AN713" s="57"/>
      </tp>
      <tp>
        <v>0</v>
        <stp/>
        <stp>2497</stp>
        <stp>CumulativeVolume</stp>
        <tr r="AN520" s="57"/>
      </tp>
      <tp>
        <v>0</v>
        <stp/>
        <stp>2597</stp>
        <stp>CumulativeVolume</stp>
        <tr r="AN1463" s="57"/>
      </tp>
      <tp>
        <v>0</v>
        <stp/>
        <stp>2897</stp>
        <stp>CumulativeVolume</stp>
        <tr r="AN1614" s="57"/>
      </tp>
      <tp>
        <v>0</v>
        <stp/>
        <stp>3297</stp>
        <stp>CumulativeVolume</stp>
        <tr r="AN831" s="57"/>
      </tp>
      <tp>
        <v>0</v>
        <stp/>
        <stp>3597</stp>
        <stp>CumulativeVolume</stp>
        <tr r="AN1108" s="57"/>
      </tp>
      <tp>
        <v>0</v>
        <stp/>
        <stp>1597</stp>
        <stp>CumulativeVolume</stp>
        <tr r="AN161" s="57"/>
      </tp>
      <tp>
        <v>0</v>
        <stp/>
        <stp>6197</stp>
        <stp>CumulativeVolume</stp>
        <tr r="AN1168" s="57"/>
      </tp>
      <tp>
        <v>0</v>
        <stp/>
        <stp>6697</stp>
        <stp>CumulativeVolume</stp>
        <tr r="AN1294" s="57"/>
      </tp>
      <tp>
        <v>0</v>
        <stp/>
        <stp>8097</stp>
        <stp>CumulativeVolume</stp>
        <tr r="AN1008" s="57"/>
      </tp>
      <tp>
        <v>0</v>
        <stp/>
        <stp>2496</stp>
        <stp>CumulativeVolume</stp>
        <tr r="AN1314" s="57"/>
      </tp>
      <tp>
        <v>0</v>
        <stp/>
        <stp>2596</stp>
        <stp>CumulativeVolume</stp>
        <tr r="AN1462" s="57"/>
      </tp>
      <tp>
        <v>0</v>
        <stp/>
        <stp>3296</stp>
        <stp>CumulativeVolume</stp>
        <tr r="AN1081" s="57"/>
      </tp>
      <tp>
        <v>0</v>
        <stp/>
        <stp>3596</stp>
        <stp>CumulativeVolume</stp>
        <tr r="AN959" s="57"/>
      </tp>
      <tp>
        <v>0</v>
        <stp/>
        <stp>1796</stp>
        <stp>CumulativeVolume</stp>
        <tr r="AN38" s="57"/>
      </tp>
      <tp>
        <v>0</v>
        <stp/>
        <stp>6196</stp>
        <stp>CumulativeVolume</stp>
        <tr r="AN1742" s="57"/>
        <tr r="AN8" s="74"/>
        <tr r="AN6" s="74"/>
        <tr r="AN16" s="115"/>
      </tp>
      <tp>
        <v>0</v>
        <stp/>
        <stp>6496</stp>
        <stp>CumulativeVolume</stp>
        <tr r="AN384" s="57"/>
      </tp>
      <tp>
        <v>0</v>
        <stp/>
        <stp>6596</stp>
        <stp>CumulativeVolume</stp>
        <tr r="AN1789" s="57"/>
      </tp>
      <tp>
        <v>0</v>
        <stp/>
        <stp>8096</stp>
        <stp>CumulativeVolume</stp>
        <tr r="AN1257" s="57"/>
      </tp>
      <tp>
        <v>0</v>
        <stp/>
        <stp>8996</stp>
        <stp>CumulativeVolume</stp>
        <tr r="AN220" s="57"/>
      </tp>
      <tp>
        <v>0</v>
        <stp/>
        <stp>2399</stp>
        <stp>CumulativeVolume</stp>
        <tr r="AN35" s="101"/>
        <tr r="AN714" s="57"/>
      </tp>
      <tp>
        <v>0</v>
        <stp/>
        <stp>3499</stp>
        <stp>CumulativeVolume</stp>
        <tr r="AN956" s="57"/>
      </tp>
      <tp>
        <v>0</v>
        <stp/>
        <stp>1799</stp>
        <stp>CumulativeVolume</stp>
        <tr r="AN309" s="57"/>
      </tp>
      <tp>
        <v>0</v>
        <stp/>
        <stp>1599</stp>
        <stp>CumulativeVolume</stp>
        <tr r="AN162" s="57"/>
      </tp>
      <tp>
        <v>0</v>
        <stp/>
        <stp>6199</stp>
        <stp>CumulativeVolume</stp>
        <tr r="AN1337" s="57"/>
      </tp>
      <tp>
        <v>0</v>
        <stp/>
        <stp>6499</stp>
        <stp>CumulativeVolume</stp>
        <tr r="AN385" s="57"/>
      </tp>
      <tp>
        <v>0</v>
        <stp/>
        <stp>4999</stp>
        <stp>CumulativeVolume</stp>
        <tr r="AN1130" s="57"/>
      </tp>
      <tp>
        <v>0</v>
        <stp/>
        <stp>5299</stp>
        <stp>CumulativeVolume</stp>
        <tr r="AN616" s="57"/>
      </tp>
      <tp>
        <v>0</v>
        <stp/>
        <stp>8299</stp>
        <stp>CumulativeVolume</stp>
        <tr r="AN692" s="57"/>
        <tr r="AN2" s="74"/>
      </tp>
      <tp>
        <v>0</v>
        <stp/>
        <stp>8099</stp>
        <stp>CumulativeVolume</stp>
        <tr r="AN1297" s="57"/>
      </tp>
      <tp>
        <v>0</v>
        <stp/>
        <stp>8499</stp>
        <stp>CumulativeVolume</stp>
        <tr r="AN1386" s="57"/>
      </tp>
      <tp>
        <v>0</v>
        <stp/>
        <stp>2498</stp>
        <stp>CumulativeVolume</stp>
        <tr r="AN936" s="57"/>
      </tp>
      <tp>
        <v>0</v>
        <stp/>
        <stp>3498</stp>
        <stp>CumulativeVolume</stp>
        <tr r="AN1715" s="57"/>
      </tp>
      <tp>
        <v>0</v>
        <stp/>
        <stp>1598</stp>
        <stp>CumulativeVolume</stp>
        <tr r="AN39" s="28"/>
        <tr r="AN290" s="57"/>
      </tp>
      <tp>
        <v>0</v>
        <stp/>
        <stp>6198</stp>
        <stp>CumulativeVolume</stp>
        <tr r="AN633" s="57"/>
      </tp>
      <tp>
        <v>0</v>
        <stp/>
        <stp>6698</stp>
        <stp>CumulativeVolume</stp>
        <tr r="AN20" s="115"/>
        <tr r="AN1756" s="57"/>
      </tp>
      <tp>
        <v>0</v>
        <stp/>
        <stp>6598</stp>
        <stp>CumulativeVolume</stp>
        <tr r="AN395" s="57"/>
      </tp>
      <tp>
        <v>0</v>
        <stp/>
        <stp>4198</stp>
        <stp>CumulativeVolume</stp>
        <tr r="AN363" s="57"/>
      </tp>
      <tp>
        <v>0</v>
        <stp/>
        <stp>5398</stp>
        <stp>CumulativeVolume</stp>
        <tr r="AN1330" s="57"/>
      </tp>
      <tp>
        <v>0</v>
        <stp/>
        <stp>5498</stp>
        <stp>CumulativeVolume</stp>
        <tr r="AN1147" s="57"/>
      </tp>
      <tp t="s">
        <v>無資料</v>
        <stp/>
        <stp>2241</stp>
        <stp>Price</stp>
        <tr r="Y169" s="57"/>
      </tp>
      <tp t="s">
        <v>無資料</v>
        <stp/>
        <stp>2201</stp>
        <stp>Price</stp>
        <tr r="Y507" s="57"/>
      </tp>
      <tp t="s">
        <v>無資料</v>
        <stp/>
        <stp>2211</stp>
        <stp>Price</stp>
        <tr r="Y461" s="57"/>
      </tp>
      <tp t="s">
        <v>無資料</v>
        <stp/>
        <stp>2221</stp>
        <stp>Price</stp>
        <tr r="Y1310" s="57"/>
      </tp>
      <tp t="s">
        <v>無資料</v>
        <stp/>
        <stp>2231</stp>
        <stp>Price</stp>
        <tr r="Y513" s="57"/>
        <tr r="Y28" s="98"/>
      </tp>
      <tp t="s">
        <v>無資料</v>
        <stp/>
        <stp>2351</stp>
        <stp>Price</stp>
        <tr r="Y537" s="57"/>
      </tp>
      <tp t="s">
        <v>無資料</v>
        <stp/>
        <stp>2371</stp>
        <stp>Price</stp>
        <tr r="Y170" s="57"/>
      </tp>
      <tp t="s">
        <v>無資料</v>
        <stp/>
        <stp>2301</stp>
        <stp>Price</stp>
        <tr r="Y696" s="57"/>
      </tp>
      <tp t="s">
        <v>無資料</v>
        <stp/>
        <stp>2321</stp>
        <stp>Price</stp>
        <tr r="Y926" s="57"/>
      </tp>
      <tp t="s">
        <v>無資料</v>
        <stp/>
        <stp>2331</stp>
        <stp>Price</stp>
        <tr r="Y699" s="57"/>
      </tp>
      <tp t="s">
        <v>無資料</v>
        <stp/>
        <stp>2061</stp>
        <stp>Price</stp>
        <tr r="Y237" s="57"/>
      </tp>
      <tp t="s">
        <v>無資料</v>
        <stp/>
        <stp>2031</stp>
        <stp>Price</stp>
        <tr r="Y451" s="57"/>
      </tp>
      <tp t="s">
        <v>無資料</v>
        <stp/>
        <stp>2101</stp>
        <stp>Price</stp>
        <tr r="Y479" s="57"/>
      </tp>
      <tp t="s">
        <v>無資料</v>
        <stp/>
        <stp>2641</stp>
        <stp>Price</stp>
        <tr r="Y1526" s="57"/>
      </tp>
      <tp t="s">
        <v>無資料</v>
        <stp/>
        <stp>2601</stp>
        <stp>Price</stp>
        <tr r="Y1631" s="57"/>
      </tp>
      <tp t="s">
        <v>無資料</v>
        <stp/>
        <stp>2611</stp>
        <stp>Price</stp>
        <tr r="Y1515" s="57"/>
      </tp>
      <tp t="s">
        <v>無資料</v>
        <stp/>
        <stp>2701</stp>
        <stp>Price</stp>
        <tr r="Y1540" s="57"/>
      </tp>
      <tp t="s">
        <v>無資料</v>
        <stp/>
        <stp>2731</stp>
        <stp>Price</stp>
        <tr r="Y1555" s="57"/>
      </tp>
      <tp t="s">
        <v>無資料</v>
        <stp/>
        <stp>2441</stp>
        <stp>Price</stp>
        <tr r="Y546" s="57"/>
      </tp>
      <tp t="s">
        <v>無資料</v>
        <stp/>
        <stp>2451</stp>
        <stp>Price</stp>
        <tr r="Y548" s="57"/>
      </tp>
      <tp t="s">
        <v>無資料</v>
        <stp/>
        <stp>2461</stp>
        <stp>Price</stp>
        <tr r="Y8" s="115"/>
        <tr r="Y1694" s="57"/>
      </tp>
      <tp t="s">
        <v>無資料</v>
        <stp/>
        <stp>2471</stp>
        <stp>Price</stp>
        <tr r="Y1264" s="57"/>
      </tp>
      <tp t="s">
        <v>無資料</v>
        <stp/>
        <stp>2401</stp>
        <stp>Price</stp>
        <tr r="Y542" s="57"/>
      </tp>
      <tp t="s">
        <v>無資料</v>
        <stp/>
        <stp>2421</stp>
        <stp>Price</stp>
        <tr r="Y1036" s="57"/>
      </tp>
      <tp t="s">
        <v>無資料</v>
        <stp/>
        <stp>2431</stp>
        <stp>Price</stp>
        <tr r="Y1039" s="57"/>
      </tp>
      <tp t="s">
        <v>無資料</v>
        <stp/>
        <stp>2481</stp>
        <stp>Price</stp>
        <tr r="Y551" s="57"/>
      </tp>
      <tp t="s">
        <v>無資料</v>
        <stp/>
        <stp>2491</stp>
        <stp>Price</stp>
        <tr r="Y817" s="57"/>
      </tp>
      <tp t="s">
        <v>無資料</v>
        <stp/>
        <stp>2501</stp>
        <stp>Price</stp>
        <tr r="Y1437" s="57"/>
      </tp>
      <tp t="s">
        <v>無資料</v>
        <stp/>
        <stp>2511</stp>
        <stp>Price</stp>
        <tr r="Y1442" s="57"/>
      </tp>
      <tp t="s">
        <v>無資料</v>
        <stp/>
        <stp>2841</stp>
        <stp>Price</stp>
        <tr r="Y1464" s="57"/>
      </tp>
      <tp t="s">
        <v>無資料</v>
        <stp/>
        <stp>2851</stp>
        <stp>Price</stp>
        <tr r="Y1597" s="57"/>
      </tp>
      <tp t="s">
        <v>無資料</v>
        <stp/>
        <stp>2801</stp>
        <stp>Price</stp>
        <tr r="Y1584" s="57"/>
      </tp>
      <tp t="s">
        <v>無資料</v>
        <stp/>
        <stp>2881</stp>
        <stp>Price</stp>
        <tr r="Y1602" s="57"/>
      </tp>
      <tp t="s">
        <v>無資料</v>
        <stp/>
        <stp>2891</stp>
        <stp>Price</stp>
        <tr r="Y1612" s="57"/>
      </tp>
      <tp t="s">
        <v>無資料</v>
        <stp/>
        <stp>2901</stp>
        <stp>Price</stp>
        <tr r="Y1633" s="57"/>
      </tp>
      <tp t="s">
        <v>無資料</v>
        <stp/>
        <stp>2911</stp>
        <stp>Price</stp>
        <tr r="Y1639" s="57"/>
      </tp>
      <tp t="s">
        <v>無資料</v>
        <stp/>
        <stp>3211</stp>
        <stp>Price</stp>
        <tr r="Y731" s="57"/>
        <tr r="Y29" s="74"/>
        <tr r="Y28" s="74"/>
      </tp>
      <tp t="s">
        <v>無資料</v>
        <stp/>
        <stp>3221</stp>
        <stp>Price</stp>
        <tr r="Y947" s="57"/>
      </tp>
      <tp t="s">
        <v>無資料</v>
        <stp/>
        <stp>3231</stp>
        <stp>Price</stp>
        <tr r="Y733" s="57"/>
      </tp>
      <tp t="s">
        <v>無資料</v>
        <stp/>
        <stp>3311</stp>
        <stp>Price</stp>
        <tr r="Y950" s="57"/>
      </tp>
      <tp t="s">
        <v>無資料</v>
        <stp/>
        <stp>3321</stp>
        <stp>Price</stp>
        <tr r="Y1085" s="57"/>
      </tp>
      <tp t="s">
        <v>無資料</v>
        <stp/>
        <stp>3041</stp>
        <stp>Price</stp>
        <tr r="Y10" s="115"/>
        <tr r="Y557" s="57"/>
      </tp>
      <tp t="s">
        <v>無資料</v>
        <stp/>
        <stp>3051</stp>
        <stp>Price</stp>
        <tr r="Y825" s="57"/>
      </tp>
      <tp t="s">
        <v>無資料</v>
        <stp/>
        <stp>3071</stp>
        <stp>Price</stp>
        <tr r="Y729" s="57"/>
      </tp>
      <tp t="s">
        <v>無資料</v>
        <stp/>
        <stp>3011</stp>
        <stp>Price</stp>
        <tr r="Y1054" s="57"/>
      </tp>
      <tp t="s">
        <v>無資料</v>
        <stp/>
        <stp>3021</stp>
        <stp>Price</stp>
        <tr r="Y1056" s="57"/>
      </tp>
      <tp t="s">
        <v>無資料</v>
        <stp/>
        <stp>3031</stp>
        <stp>Price</stp>
        <tr r="Y821" s="57"/>
      </tp>
      <tp t="s">
        <v>無資料</v>
        <stp/>
        <stp>3081</stp>
        <stp>Price</stp>
        <tr r="Y942" s="57"/>
      </tp>
      <tp t="s">
        <v>無資料</v>
        <stp/>
        <stp>3141</stp>
        <stp>Price</stp>
        <tr r="Y563" s="57"/>
      </tp>
      <tp t="s">
        <v>無資料</v>
        <stp/>
        <stp>3171</stp>
        <stp>Price</stp>
        <tr r="Y1650" s="57"/>
      </tp>
      <tp t="s">
        <v>無資料</v>
        <stp/>
        <stp>3131</stp>
        <stp>Price</stp>
        <tr r="Y1706" s="57"/>
      </tp>
      <tp t="s">
        <v>無資料</v>
        <stp/>
        <stp>3191</stp>
        <stp>Price</stp>
        <tr r="Y1070" s="57"/>
      </tp>
      <tp t="s">
        <v>無資料</v>
        <stp/>
        <stp>3661</stp>
        <stp>Price</stp>
        <tr r="Y594" s="57"/>
      </tp>
      <tp t="s">
        <v>無資料</v>
        <stp/>
        <stp>3611</stp>
        <stp>Price</stp>
        <tr r="Y747" s="57"/>
      </tp>
      <tp t="s">
        <v>無資料</v>
        <stp/>
        <stp>3631</stp>
        <stp>Price</stp>
        <tr r="Y1113" s="57"/>
      </tp>
      <tp t="s">
        <v>無資料</v>
        <stp/>
        <stp>3691</stp>
        <stp>Price</stp>
        <tr r="Y860" s="57"/>
      </tp>
      <tp t="s">
        <v>無資料</v>
        <stp/>
        <stp>3701</stp>
        <stp>Price</stp>
        <tr r="Y751" s="57"/>
      </tp>
      <tp t="s">
        <v>無資料</v>
        <stp/>
        <stp>3711</stp>
        <stp>Price</stp>
        <tr r="Y599" s="57"/>
      </tp>
      <tp t="s">
        <v>無資料</v>
        <stp/>
        <stp>3441</stp>
        <stp>Price</stp>
        <tr r="Y839" s="57"/>
      </tp>
      <tp t="s">
        <v>無資料</v>
        <stp/>
        <stp>3481</stp>
        <stp>Price</stp>
        <tr r="Y5" s="94"/>
        <tr r="Y842" s="57"/>
        <tr r="Y9" s="94"/>
      </tp>
      <tp t="s">
        <v>無資料</v>
        <stp/>
        <stp>3491</stp>
        <stp>Price</stp>
        <tr r="Y955" s="57"/>
      </tp>
      <tp t="s">
        <v>無資料</v>
        <stp/>
        <stp>3541</stp>
        <stp>Price</stp>
        <tr r="Y1718" s="57"/>
      </tp>
      <tp t="s">
        <v>無資料</v>
        <stp/>
        <stp>3551</stp>
        <stp>Price</stp>
        <tr r="Y1719" s="57"/>
      </tp>
      <tp t="s">
        <v>無資料</v>
        <stp/>
        <stp>3501</stp>
        <stp>Price</stp>
        <tr r="Y1098" s="57"/>
      </tp>
      <tp t="s">
        <v>無資料</v>
        <stp/>
        <stp>3511</stp>
        <stp>Price</stp>
        <tr r="Y18" s="101"/>
        <tr r="Y1099" s="57"/>
      </tp>
      <tp t="s">
        <v>無資料</v>
        <stp/>
        <stp>3521</stp>
        <stp>Price</stp>
        <tr r="Y743" s="57"/>
      </tp>
      <tp t="s">
        <v>無資料</v>
        <stp/>
        <stp>3531</stp>
        <stp>Price</stp>
        <tr r="Y846" s="57"/>
      </tp>
      <tp t="s">
        <v>無資料</v>
        <stp/>
        <stp>3581</stp>
        <stp>Price</stp>
        <tr r="Y590" s="57"/>
      </tp>
      <tp t="s">
        <v>無資料</v>
        <stp/>
        <stp>3591</stp>
        <stp>Price</stp>
        <tr r="Y851" s="57"/>
      </tp>
      <tp t="s">
        <v>無資料</v>
        <stp/>
        <stp>1201</stp>
        <stp>Price</stp>
        <tr r="Y14" s="57"/>
      </tp>
      <tp t="s">
        <v>無資料</v>
        <stp/>
        <stp>1231</stp>
        <stp>Price</stp>
        <tr r="Y27" s="57"/>
      </tp>
      <tp t="s">
        <v>無資料</v>
        <stp/>
        <stp>1341</stp>
        <stp>Price</stp>
        <tr r="Y63" s="57"/>
      </tp>
      <tp t="s">
        <v>無資料</v>
        <stp/>
        <stp>1301</stp>
        <stp>Price</stp>
        <tr r="Y44" s="57"/>
      </tp>
      <tp t="s">
        <v>無資料</v>
        <stp/>
        <stp>1321</stp>
        <stp>Price</stp>
        <tr r="Y56" s="57"/>
      </tp>
      <tp t="s">
        <v>無資料</v>
        <stp/>
        <stp>1101</stp>
        <stp>Price</stp>
        <tr r="Y5" s="57"/>
      </tp>
      <tp t="s">
        <v>無資料</v>
        <stp/>
        <stp>1611</stp>
        <stp>Price</stp>
        <tr r="Y229" s="57"/>
      </tp>
      <tp t="s">
        <v>無資料</v>
        <stp/>
        <stp>1701</stp>
        <stp>Price</stp>
        <tr r="Y291" s="57"/>
      </tp>
      <tp t="s">
        <v>無資料</v>
        <stp/>
        <stp>1711</stp>
        <stp>Price</stp>
        <tr r="Y246" s="57"/>
      </tp>
      <tp t="s">
        <v>無資料</v>
        <stp/>
        <stp>1721</stp>
        <stp>Price</stp>
        <tr r="Y252" s="57"/>
      </tp>
      <tp t="s">
        <v>無資料</v>
        <stp/>
        <stp>1731</stp>
        <stp>Price</stp>
        <tr r="Y294" s="57"/>
      </tp>
      <tp t="s">
        <v>無資料</v>
        <stp/>
        <stp>1781</stp>
        <stp>Price</stp>
        <tr r="Y302" s="57"/>
      </tp>
      <tp t="s">
        <v>無資料</v>
        <stp/>
        <stp>1441</stp>
        <stp>Price</stp>
        <tr r="Y84" s="57"/>
      </tp>
      <tp t="s">
        <v>無資料</v>
        <stp/>
        <stp>1451</stp>
        <stp>Price</stp>
        <tr r="Y91" s="57"/>
      </tp>
      <tp t="s">
        <v>無資料</v>
        <stp/>
        <stp>1471</stp>
        <stp>Price</stp>
        <tr r="Y1015" s="57"/>
      </tp>
      <tp t="s">
        <v>無資料</v>
        <stp/>
        <stp>1541</stp>
        <stp>Price</stp>
        <tr r="Y151" s="57"/>
      </tp>
      <tp t="s">
        <v>無資料</v>
        <stp/>
        <stp>1521</stp>
        <stp>Price</stp>
        <tr r="Y497" s="57"/>
      </tp>
      <tp t="s">
        <v>無資料</v>
        <stp/>
        <stp>1531</stp>
        <stp>Price</stp>
        <tr r="Y144" s="57"/>
      </tp>
      <tp t="s">
        <v>無資料</v>
        <stp/>
        <stp>1591</stp>
        <stp>Price</stp>
        <tr r="Y160" s="57"/>
      </tp>
      <tp t="s">
        <v>無資料</v>
        <stp/>
        <stp>6241</stp>
        <stp>Price</stp>
        <tr r="Y987" s="57"/>
      </tp>
      <tp t="s">
        <v>無資料</v>
        <stp/>
        <stp>6251</stp>
        <stp>Price</stp>
        <tr r="Y1179" s="57"/>
      </tp>
      <tp t="s">
        <v>無資料</v>
        <stp/>
        <stp>6261</stp>
        <stp>Price</stp>
        <tr r="Y642" s="57"/>
      </tp>
      <tp t="s">
        <v>無資料</v>
        <stp/>
        <stp>6271</stp>
        <stp>Price</stp>
        <tr r="Y9" s="107"/>
        <tr r="Y5" s="98"/>
        <tr r="Y643" s="57"/>
      </tp>
      <tp t="s">
        <v>無資料</v>
        <stp/>
        <stp>6201</stp>
        <stp>Price</stp>
        <tr r="Y1743" s="57"/>
      </tp>
      <tp t="s">
        <v>無資料</v>
        <stp/>
        <stp>6221</stp>
        <stp>Price</stp>
        <tr r="Y1286" s="57"/>
        <tr r="Y20" s="98"/>
      </tp>
      <tp t="s">
        <v>無資料</v>
        <stp/>
        <stp>6231</stp>
        <stp>Price</stp>
        <tr r="Y1287" s="57"/>
      </tp>
      <tp t="s">
        <v>無資料</v>
        <stp/>
        <stp>6281</stp>
        <stp>Price</stp>
        <tr r="Y1249" s="57"/>
      </tp>
      <tp t="s">
        <v>無資料</v>
        <stp/>
        <stp>6291</stp>
        <stp>Price</stp>
        <tr r="Y645" s="57"/>
      </tp>
      <tp t="s">
        <v>無資料</v>
        <stp/>
        <stp>6021</stp>
        <stp>Price</stp>
        <tr r="Y1624" s="57"/>
      </tp>
      <tp t="s">
        <v>無資料</v>
        <stp/>
        <stp>6141</stp>
        <stp>Price</stp>
        <tr r="Y1156" s="57"/>
      </tp>
      <tp t="s">
        <v>無資料</v>
        <stp/>
        <stp>6151</stp>
        <stp>Price</stp>
        <tr r="Y1739" s="57"/>
      </tp>
      <tp t="s">
        <v>無資料</v>
        <stp/>
        <stp>6161</stp>
        <stp>Price</stp>
        <tr r="Y777" s="57"/>
      </tp>
      <tp t="s">
        <v>無資料</v>
        <stp/>
        <stp>6171</stp>
        <stp>Price</stp>
        <tr r="Y1496" s="57"/>
      </tp>
      <tp t="s">
        <v>無資料</v>
        <stp/>
        <stp>6101</stp>
        <stp>Price</stp>
        <tr r="Y1781" s="57"/>
      </tp>
      <tp t="s">
        <v>無資料</v>
        <stp/>
        <stp>6111</stp>
        <stp>Price</stp>
        <tr r="Y1782" s="57"/>
      </tp>
      <tp t="s">
        <v>無資料</v>
        <stp/>
        <stp>6121</stp>
        <stp>Price</stp>
        <tr r="Y772" s="57"/>
      </tp>
      <tp t="s">
        <v>無資料</v>
        <stp/>
        <stp>6191</stp>
        <stp>Price</stp>
        <tr r="Y1166" s="57"/>
      </tp>
      <tp t="s">
        <v>無資料</v>
        <stp/>
        <stp>6641</stp>
        <stp>Price</stp>
        <tr r="Y1347" s="57"/>
      </tp>
      <tp t="s">
        <v>無資料</v>
        <stp/>
        <stp>6651</stp>
        <stp>Price</stp>
        <tr r="Y668" s="57"/>
      </tp>
      <tp t="s">
        <v>無資料</v>
        <stp/>
        <stp>6661</stp>
        <stp>Price</stp>
        <tr r="Y15" s="98"/>
        <tr r="Y399" s="57"/>
      </tp>
      <tp t="s">
        <v>無資料</v>
        <stp/>
        <stp>6671</stp>
        <stp>Price</stp>
        <tr r="Y1350" s="57"/>
      </tp>
      <tp t="s">
        <v>無資料</v>
        <stp/>
        <stp>6691</stp>
        <stp>Price</stp>
        <tr r="Y1755" s="57"/>
        <tr r="Y69" s="28"/>
      </tp>
      <tp t="s">
        <v>無資料</v>
        <stp/>
        <stp>6741</stp>
        <stp>Price</stp>
        <tr r="Y1801" s="57"/>
      </tp>
      <tp t="s">
        <v>無資料</v>
        <stp/>
        <stp>6751</stp>
        <stp>Price</stp>
        <tr r="Y1295" s="57"/>
      </tp>
      <tp t="s">
        <v>無資料</v>
        <stp/>
        <stp>6761</stp>
        <stp>Price</stp>
        <tr r="Y4" s="108"/>
        <tr r="Y1198" s="57"/>
      </tp>
      <tp t="s">
        <v>無資料</v>
        <stp/>
        <stp>6781</stp>
        <stp>Price</stp>
        <tr r="Y1199" s="57"/>
      </tp>
      <tp t="s">
        <v>無資料</v>
        <stp/>
        <stp>6441</stp>
        <stp>Price</stp>
        <tr r="Y788" s="57"/>
      </tp>
      <tp t="s">
        <v>無資料</v>
        <stp/>
        <stp>6451</stp>
        <stp>Price</stp>
        <tr r="Y26" s="98"/>
        <tr r="Y649" s="57"/>
      </tp>
      <tp t="s">
        <v>無資料</v>
        <stp/>
        <stp>6461</stp>
        <stp>Price</stp>
        <tr r="Y379" s="57"/>
      </tp>
      <tp t="s">
        <v>無資料</v>
        <stp/>
        <stp>6411</stp>
        <stp>Price</stp>
        <tr r="Y646" s="57"/>
        <tr r="Y10" s="107"/>
      </tp>
      <tp t="s">
        <v>無資料</v>
        <stp/>
        <stp>6431</stp>
        <stp>Price</stp>
        <tr r="Y905" s="57"/>
      </tp>
      <tp t="s">
        <v>無資料</v>
        <stp/>
        <stp>6491</stp>
        <stp>Price</stp>
        <tr r="Y14" s="99"/>
        <tr r="Y51" s="28"/>
        <tr r="Y382" s="57"/>
      </tp>
      <tp t="s">
        <v>無資料</v>
        <stp/>
        <stp>6541</stp>
        <stp>Price</stp>
        <tr r="Y389" s="57"/>
      </tp>
      <tp t="s">
        <v>無資料</v>
        <stp/>
        <stp>6561</stp>
        <stp>Price</stp>
        <tr r="Y999" s="57"/>
      </tp>
      <tp t="s">
        <v>無資料</v>
        <stp/>
        <stp>6531</stp>
        <stp>Price</stp>
        <tr r="Y10" s="109"/>
        <tr r="Y11" s="107"/>
        <tr r="Y16" s="107"/>
        <tr r="Y11" s="99"/>
        <tr r="Y45" s="28"/>
        <tr r="Y3" s="99"/>
        <tr r="Y658" s="57"/>
        <tr r="Y12" s="109"/>
        <tr r="Y16" s="99"/>
        <tr r="Y6" s="109"/>
      </tp>
      <tp t="s">
        <v>無資料</v>
        <stp/>
        <stp>6581</stp>
        <stp>Price</stp>
        <tr r="Y1341" s="57"/>
      </tp>
      <tp t="s">
        <v>無資料</v>
        <stp/>
        <stp>6591</stp>
        <stp>Price</stp>
        <tr r="Y792" s="57"/>
      </tp>
      <tp t="s">
        <v>無資料</v>
        <stp/>
        <stp>4141</stp>
        <stp>Price</stp>
        <tr r="Y341" s="57"/>
      </tp>
      <tp t="s">
        <v>無資料</v>
        <stp/>
        <stp>4161</stp>
        <stp>Price</stp>
        <tr r="Y350" s="57"/>
      </tp>
      <tp t="s">
        <v>無資料</v>
        <stp/>
        <stp>4171</stp>
        <stp>Price</stp>
        <tr r="Y1810" s="57"/>
      </tp>
      <tp t="s">
        <v>無資料</v>
        <stp/>
        <stp>4111</stp>
        <stp>Price</stp>
        <tr r="Y324" s="57"/>
      </tp>
      <tp t="s">
        <v>無資料</v>
        <stp/>
        <stp>4121</stp>
        <stp>Price</stp>
        <tr r="Y329" s="57"/>
      </tp>
      <tp t="s">
        <v>商品錯誤</v>
        <stp/>
        <stp>4131</stp>
        <stp>Price</stp>
        <tr r="Y336" s="57"/>
      </tp>
      <tp t="s">
        <v>無資料</v>
        <stp/>
        <stp>4741</stp>
        <stp>Price</stp>
        <tr r="Y276" s="57"/>
      </tp>
      <tp t="s">
        <v>無資料</v>
        <stp/>
        <stp>4711</stp>
        <stp>Price</stp>
        <tr r="Y269" s="57"/>
      </tp>
      <tp t="s">
        <v>無資料</v>
        <stp/>
        <stp>4721</stp>
        <stp>Price</stp>
        <tr r="Y273" s="57"/>
      </tp>
      <tp t="s">
        <v>無資料</v>
        <stp/>
        <stp>4401</stp>
        <stp>Price</stp>
        <tr r="Y113" s="57"/>
      </tp>
      <tp t="s">
        <v>無資料</v>
        <stp/>
        <stp>4541</stp>
        <stp>Price</stp>
        <tr r="Y1324" s="57"/>
      </tp>
      <tp t="s">
        <v>無資料</v>
        <stp/>
        <stp>4551</stp>
        <stp>Price</stp>
        <tr r="Y522" s="57"/>
      </tp>
      <tp t="s">
        <v>無資料</v>
        <stp/>
        <stp>4561</stp>
        <stp>Price</stp>
        <tr r="Y199" s="57"/>
      </tp>
      <tp t="s">
        <v>無資料</v>
        <stp/>
        <stp>4571</stp>
        <stp>Price</stp>
        <tr r="Y205" s="57"/>
      </tp>
      <tp t="s">
        <v>無資料</v>
        <stp/>
        <stp>4581</stp>
        <stp>Price</stp>
        <tr r="Y524" s="57"/>
      </tp>
      <tp t="s">
        <v>無資料</v>
        <stp/>
        <stp>4961</stp>
        <stp>Price</stp>
        <tr r="Y603" s="57"/>
      </tp>
      <tp t="s">
        <v>無資料</v>
        <stp/>
        <stp>4971</stp>
        <stp>Price</stp>
        <tr r="Y607" s="57"/>
      </tp>
      <tp t="s">
        <v>無資料</v>
        <stp/>
        <stp>4911</stp>
        <stp>Price</stp>
        <tr r="Y374" s="57"/>
      </tp>
      <tp t="s">
        <v>無資料</v>
        <stp/>
        <stp>4931</stp>
        <stp>Price</stp>
        <tr r="Y757" s="57"/>
      </tp>
      <tp t="s">
        <v>無資料</v>
        <stp/>
        <stp>4991</stp>
        <stp>Price</stp>
        <tr r="Y609" s="57"/>
      </tp>
      <tp t="s">
        <v>無資料</v>
        <stp/>
        <stp>5251</stp>
        <stp>Price</stp>
        <tr r="Y879" s="57"/>
      </tp>
      <tp t="s">
        <v>無資料</v>
        <stp/>
        <stp>5201</stp>
        <stp>Price</stp>
        <tr r="Y1271" s="57"/>
      </tp>
      <tp t="s">
        <v>無資料</v>
        <stp/>
        <stp>5211</stp>
        <stp>Price</stp>
        <tr r="Y1276" s="57"/>
      </tp>
      <tp t="s">
        <v>無資料</v>
        <stp/>
        <stp>5281</stp>
        <stp>Price</stp>
        <tr r="Y880" s="57"/>
      </tp>
      <tp t="s">
        <v>無資料</v>
        <stp/>
        <stp>5291</stp>
        <stp>Price</stp>
        <tr r="Y1132" s="57"/>
        <tr r="Y16" s="101"/>
      </tp>
      <tp t="s">
        <v>無資料</v>
        <stp/>
        <stp>5351</stp>
        <stp>Price</stp>
        <tr r="Y621" s="57"/>
      </tp>
      <tp t="s">
        <v>無資料</v>
        <stp/>
        <stp>5371</stp>
        <stp>Price</stp>
        <tr r="Y882" s="57"/>
      </tp>
      <tp t="s">
        <v>無資料</v>
        <stp/>
        <stp>5301</stp>
        <stp>Price</stp>
        <tr r="Y1572" s="57"/>
      </tp>
      <tp t="s">
        <v>無資料</v>
        <stp/>
        <stp>5321</stp>
        <stp>Price</stp>
        <tr r="Y1134" s="57"/>
      </tp>
      <tp t="s">
        <v>無資料</v>
        <stp/>
        <stp>5381</stp>
        <stp>Price</stp>
        <tr r="Y1139" s="57"/>
      </tp>
      <tp t="s">
        <v>無資料</v>
        <stp/>
        <stp>5011</stp>
        <stp>Price</stp>
        <tr r="Y465" s="57"/>
      </tp>
      <tp t="s">
        <v>無資料</v>
        <stp/>
        <stp>5601</stp>
        <stp>Price</stp>
        <tr r="Y1529" s="57"/>
      </tp>
      <tp t="s">
        <v>無資料</v>
        <stp/>
        <stp>5701</stp>
        <stp>Price</stp>
        <tr r="Y1574" s="57"/>
      </tp>
      <tp t="s">
        <v>無資料</v>
        <stp/>
        <stp>5471</stp>
        <stp>Price</stp>
        <tr r="Y66" s="22"/>
        <tr r="Y24" s="28"/>
        <tr r="Y624" s="57"/>
        <tr r="Y67" s="22"/>
      </tp>
      <tp t="s">
        <v>無資料</v>
        <stp/>
        <stp>5481</stp>
        <stp>Price</stp>
        <tr r="Y1332" s="57"/>
      </tp>
      <tp t="s">
        <v>無資料</v>
        <stp/>
        <stp>5511</stp>
        <stp>Price</stp>
        <tr r="Y1480" s="57"/>
      </tp>
      <tp t="s">
        <v>無資料</v>
        <stp/>
        <stp>5521</stp>
        <stp>Price</stp>
        <tr r="Y1487" s="57"/>
      </tp>
      <tp t="s">
        <v>無資料</v>
        <stp/>
        <stp>5531</stp>
        <stp>Price</stp>
        <tr r="Y1491" s="57"/>
      </tp>
      <tp t="s">
        <v>無資料</v>
        <stp/>
        <stp>5871</stp>
        <stp>Price</stp>
        <tr r="Y1334" s="57"/>
      </tp>
      <tp t="s">
        <v>無資料</v>
        <stp/>
        <stp>8261</stp>
        <stp>Price</stp>
        <tr r="Y689" s="57"/>
      </tp>
      <tp t="s">
        <v>無資料</v>
        <stp/>
        <stp>8271</stp>
        <stp>Price</stp>
        <tr r="Y690" s="57"/>
      </tp>
      <tp t="s">
        <v>無資料</v>
        <stp/>
        <stp>8201</stp>
        <stp>Price</stp>
        <tr r="Y1763" s="57"/>
      </tp>
      <tp t="s">
        <v>無資料</v>
        <stp/>
        <stp>8291</stp>
        <stp>Price</stp>
        <tr r="Y1219" s="57"/>
      </tp>
      <tp t="s">
        <v>無資料</v>
        <stp/>
        <stp>8341</stp>
        <stp>Price</stp>
        <tr r="Y1357" s="57"/>
      </tp>
      <tp t="s">
        <v>無資料</v>
        <stp/>
        <stp>8071</stp>
        <stp>Price</stp>
        <tr r="Y1205" s="57"/>
      </tp>
      <tp t="s">
        <v>無資料</v>
        <stp/>
        <stp>8011</stp>
        <stp>Price</stp>
        <tr r="Y1003" s="57"/>
      </tp>
      <tp t="s">
        <v>無資料</v>
        <stp/>
        <stp>8021</stp>
        <stp>Price</stp>
        <tr r="Y1758" s="57"/>
      </tp>
      <tp t="s">
        <v>無資料</v>
        <stp/>
        <stp>8081</stp>
        <stp>Price</stp>
        <tr r="Y683" s="57"/>
      </tp>
      <tp t="s">
        <v>無資料</v>
        <stp/>
        <stp>8091</stp>
        <stp>Price</stp>
        <tr r="Y1208" s="57"/>
      </tp>
      <tp t="s">
        <v>無資料</v>
        <stp/>
        <stp>8171</stp>
        <stp>Price</stp>
        <tr r="Y1010" s="57"/>
      </tp>
      <tp t="s">
        <v>無資料</v>
        <stp/>
        <stp>8101</stp>
        <stp>Price</stp>
        <tr r="Y1009" s="57"/>
      </tp>
      <tp t="s">
        <v>無資料</v>
        <stp/>
        <stp>8111</stp>
        <stp>Price</stp>
        <tr r="Y920" s="57"/>
      </tp>
      <tp t="s">
        <v>無資料</v>
        <stp/>
        <stp>8121</stp>
        <stp>Price</stp>
        <tr r="Y1212" s="57"/>
      </tp>
      <tp t="s">
        <v>無資料</v>
        <stp/>
        <stp>8131</stp>
        <stp>Price</stp>
        <tr r="Y687" s="57"/>
      </tp>
      <tp t="s">
        <v>無資料</v>
        <stp/>
        <stp>8401</stp>
        <stp>Price</stp>
        <tr r="Y1360" s="57"/>
      </tp>
      <tp t="s">
        <v>無資料</v>
        <stp/>
        <stp>8411</stp>
        <stp>Price</stp>
        <tr r="Y1362" s="57"/>
      </tp>
      <tp t="s">
        <v>無資料</v>
        <stp/>
        <stp>8421</stp>
        <stp>Price</stp>
        <tr r="Y1365" s="57"/>
      </tp>
      <tp t="s">
        <v>無資料</v>
        <stp/>
        <stp>8431</stp>
        <stp>Price</stp>
        <tr r="Y1765" s="57"/>
        <tr r="Y19" s="101"/>
      </tp>
      <tp t="s">
        <v>無資料</v>
        <stp/>
        <stp>8481</stp>
        <stp>Price</stp>
        <tr r="Y1383" s="57"/>
      </tp>
      <tp t="s">
        <v>無資料</v>
        <stp/>
        <stp>8941</stp>
        <stp>Price</stp>
        <tr r="Y1665" s="57"/>
      </tp>
      <tp t="s">
        <v>無資料</v>
        <stp/>
        <stp>8921</stp>
        <stp>Price</stp>
        <tr r="Y1390" s="57"/>
      </tp>
      <tp t="s">
        <v>無資料</v>
        <stp/>
        <stp>8931</stp>
        <stp>Price</stp>
        <tr r="Y1673" s="57"/>
      </tp>
      <tp t="s">
        <v>無資料</v>
        <stp/>
        <stp>9941</stp>
        <stp>Price</stp>
        <tr r="Y1424" s="57"/>
      </tp>
      <tp t="s">
        <v>無資料</v>
        <stp/>
        <stp>9951</stp>
        <stp>Price</stp>
        <tr r="Y221" s="57"/>
      </tp>
      <tp t="s">
        <v>無資料</v>
        <stp/>
        <stp>9911</stp>
        <stp>Price</stp>
        <tr r="Y1407" s="57"/>
      </tp>
      <tp t="s">
        <v>無資料</v>
        <stp/>
        <stp>9921</stp>
        <stp>Price</stp>
        <tr r="Y1411" s="57"/>
      </tp>
      <tp t="s">
        <v>無資料</v>
        <stp/>
        <stp>9931</stp>
        <stp>Price</stp>
        <tr r="Y1672" s="57"/>
      </tp>
      <tp t="s">
        <v>無資料</v>
        <stp/>
        <stp>2206</stp>
        <stp>Price</stp>
        <tr r="Y509" s="57"/>
      </tp>
      <tp t="s">
        <v>無資料</v>
        <stp/>
        <stp>2236</stp>
        <stp>Price</stp>
        <tr r="Y515" s="57"/>
      </tp>
      <tp t="s">
        <v>無資料</v>
        <stp/>
        <stp>2356</stp>
        <stp>Price</stp>
        <tr r="Y702" s="57"/>
      </tp>
      <tp t="s">
        <v>無資料</v>
        <stp/>
        <stp>2376</stp>
        <stp>Price</stp>
        <tr r="Y707" s="57"/>
      </tp>
      <tp t="s">
        <v>無資料</v>
        <stp/>
        <stp>2316</stp>
        <stp>Price</stp>
        <tr r="Y1022" s="57"/>
      </tp>
      <tp t="s">
        <v>無資料</v>
        <stp/>
        <stp>2066</stp>
        <stp>Price</stp>
        <tr r="Y164" s="57"/>
      </tp>
      <tp t="s">
        <v>無資料</v>
        <stp/>
        <stp>2006</stp>
        <stp>Price</stp>
        <tr r="Y432" s="57"/>
      </tp>
      <tp t="s">
        <v>無資料</v>
        <stp/>
        <stp>2106</stp>
        <stp>Price</stp>
        <tr r="Y484" s="57"/>
      </tp>
      <tp t="s">
        <v>無資料</v>
        <stp/>
        <stp>2606</stp>
        <stp>Price</stp>
        <tr r="Y1510" s="57"/>
      </tp>
      <tp t="s">
        <v>無資料</v>
        <stp/>
        <stp>2616</stp>
        <stp>Price</stp>
        <tr r="Y1669" s="57"/>
      </tp>
      <tp t="s">
        <v>無資料</v>
        <stp/>
        <stp>2636</stp>
        <stp>Price</stp>
        <tr r="Y13" s="107"/>
        <tr r="Y1524" s="57"/>
        <tr r="Y21" s="107"/>
      </tp>
      <tp t="s">
        <v>無資料</v>
        <stp/>
        <stp>2706</stp>
        <stp>Price</stp>
        <tr r="Y1544" s="57"/>
      </tp>
      <tp t="s">
        <v>無資料</v>
        <stp/>
        <stp>2726</stp>
        <stp>Price</stp>
        <tr r="Y1552" s="57"/>
        <tr r="Y10" s="108"/>
      </tp>
      <tp t="s">
        <v>無資料</v>
        <stp/>
        <stp>2736</stp>
        <stp>Price</stp>
        <tr r="Y1558" s="57"/>
      </tp>
      <tp t="s">
        <v>商品錯誤</v>
        <stp/>
        <stp>2456</stp>
        <stp>Price</stp>
        <tr r="Y1041" s="57"/>
      </tp>
      <tp t="s">
        <v>無資料</v>
        <stp/>
        <stp>2466</stp>
        <stp>Price</stp>
        <tr r="Y814" s="57"/>
      </tp>
      <tp t="s">
        <v>無資料</v>
        <stp/>
        <stp>2476</stp>
        <stp>Price</stp>
        <tr r="Y1047" s="57"/>
      </tp>
      <tp t="s">
        <v>無資料</v>
        <stp/>
        <stp>2406</stp>
        <stp>Price</stp>
        <tr r="Y810" s="57"/>
      </tp>
      <tp t="s">
        <v>無資料</v>
        <stp/>
        <stp>2426</stp>
        <stp>Price</stp>
        <tr r="Y812" s="57"/>
      </tp>
      <tp t="s">
        <v>無資料</v>
        <stp/>
        <stp>2436</stp>
        <stp>Price</stp>
        <tr r="Y545" s="57"/>
      </tp>
      <tp t="s">
        <v>無資料</v>
        <stp/>
        <stp>2486</stp>
        <stp>Price</stp>
        <tr r="Y815" s="57"/>
      </tp>
      <tp t="s">
        <v>無資料</v>
        <stp/>
        <stp>2496</stp>
        <stp>Price</stp>
        <tr r="Y1314" s="57"/>
      </tp>
      <tp t="s">
        <v>無資料</v>
        <stp/>
        <stp>2546</stp>
        <stp>Price</stp>
        <tr r="Y1459" s="57"/>
      </tp>
      <tp t="s">
        <v>無資料</v>
        <stp/>
        <stp>2506</stp>
        <stp>Price</stp>
        <tr r="Y1440" s="57"/>
      </tp>
      <tp t="s">
        <v>無資料</v>
        <stp/>
        <stp>2516</stp>
        <stp>Price</stp>
        <tr r="Y1443" s="57"/>
      </tp>
      <tp t="s">
        <v>無資料</v>
        <stp/>
        <stp>2536</stp>
        <stp>Price</stp>
        <tr r="Y1451" s="57"/>
      </tp>
      <tp t="s">
        <v>無資料</v>
        <stp/>
        <stp>2596</stp>
        <stp>Price</stp>
        <tr r="Y1462" s="57"/>
      </tp>
      <tp t="s">
        <v>無資料</v>
        <stp/>
        <stp>2816</stp>
        <stp>Price</stp>
        <tr r="Y1587" s="57"/>
      </tp>
      <tp t="s">
        <v>無資料</v>
        <stp/>
        <stp>2836</stp>
        <stp>Price</stp>
        <tr r="Y1592" s="57"/>
      </tp>
      <tp t="s">
        <v>無資料</v>
        <stp/>
        <stp>2886</stp>
        <stp>Price</stp>
        <tr r="Y1607" s="57"/>
      </tp>
      <tp t="s">
        <v>無資料</v>
        <stp/>
        <stp>2906</stp>
        <stp>Price</stp>
        <tr r="Y1636" s="57"/>
      </tp>
      <tp t="s">
        <v>無資料</v>
        <stp/>
        <stp>2916</stp>
        <stp>Price</stp>
        <tr r="Y1643" s="57"/>
      </tp>
      <tp t="s">
        <v>無資料</v>
        <stp/>
        <stp>2926</stp>
        <stp>Price</stp>
        <tr r="Y1769" s="57"/>
      </tp>
      <tp t="s">
        <v>無資料</v>
        <stp/>
        <stp>2936</stp>
        <stp>Price</stp>
        <tr r="Y1645" s="57"/>
      </tp>
      <tp t="s">
        <v>無資料</v>
        <stp/>
        <stp>3266</stp>
        <stp>Price</stp>
        <tr r="Y1469" s="57"/>
      </tp>
      <tp t="s">
        <v>無資料</v>
        <stp/>
        <stp>3276</stp>
        <stp>Price</stp>
        <tr r="Y1077" s="57"/>
      </tp>
      <tp t="s">
        <v>無資料</v>
        <stp/>
        <stp>3206</stp>
        <stp>Price</stp>
        <tr r="Y1072" s="57"/>
      </tp>
      <tp t="s">
        <v>無資料</v>
        <stp/>
        <stp>3226</stp>
        <stp>Price</stp>
        <tr r="Y174" s="57"/>
      </tp>
      <tp t="s">
        <v>無資料</v>
        <stp/>
        <stp>3236</stp>
        <stp>Price</stp>
        <tr r="Y1076" s="57"/>
      </tp>
      <tp t="s">
        <v>無資料</v>
        <stp/>
        <stp>3296</stp>
        <stp>Price</stp>
        <tr r="Y1081" s="57"/>
      </tp>
      <tp t="s">
        <v>無資料</v>
        <stp/>
        <stp>3346</stp>
        <stp>Price</stp>
        <tr r="Y521" s="57"/>
      </tp>
      <tp t="s">
        <v>無資料</v>
        <stp/>
        <stp>3356</stp>
        <stp>Price</stp>
        <tr r="Y833" s="57"/>
      </tp>
      <tp t="s">
        <v>無資料</v>
        <stp/>
        <stp>3376</stp>
        <stp>Price</stp>
        <tr r="Y1091" s="57"/>
        <tr r="Y30" s="74"/>
      </tp>
      <tp t="s">
        <v>無資料</v>
        <stp/>
        <stp>3306</stp>
        <stp>Price</stp>
        <tr r="Y949" s="57"/>
      </tp>
      <tp t="s">
        <v>無資料</v>
        <stp/>
        <stp>3046</stp>
        <stp>Price</stp>
        <tr r="Y726" s="57"/>
      </tp>
      <tp t="s">
        <v>無資料</v>
        <stp/>
        <stp>3056</stp>
        <stp>Price</stp>
        <tr r="Y1467" s="57"/>
      </tp>
      <tp t="s">
        <v>無資料</v>
        <stp/>
        <stp>3066</stp>
        <stp>Price</stp>
        <tr r="Y827" s="57"/>
      </tp>
      <tp t="s">
        <v>無資料</v>
        <stp/>
        <stp>3006</stp>
        <stp>Price</stp>
        <tr r="Y552" s="57"/>
      </tp>
      <tp t="s">
        <v>無資料</v>
        <stp/>
        <stp>3016</stp>
        <stp>Price</stp>
        <tr r="Y554" s="57"/>
      </tp>
      <tp t="s">
        <v>無資料</v>
        <stp/>
        <stp>3026</stp>
        <stp>Price</stp>
        <tr r="Y1058" s="57"/>
      </tp>
      <tp t="s">
        <v>無資料</v>
        <stp/>
        <stp>3036</stp>
        <stp>Price</stp>
        <tr r="Y1230" s="57"/>
      </tp>
      <tp t="s">
        <v>無資料</v>
        <stp/>
        <stp>3086</stp>
        <stp>Price</stp>
        <tr r="Y1772" s="57"/>
      </tp>
      <tp t="s">
        <v>無資料</v>
        <stp/>
        <stp>3176</stp>
        <stp>Price</stp>
        <tr r="Y313" s="57"/>
      </tp>
      <tp t="s">
        <v>無資料</v>
        <stp/>
        <stp>3646</stp>
        <stp>Price</stp>
        <tr r="Y1115" s="57"/>
      </tp>
      <tp t="s">
        <v>無資料</v>
        <stp/>
        <stp>3666</stp>
        <stp>Price</stp>
        <tr r="Y2" s="99"/>
        <tr r="Y856" s="57"/>
      </tp>
      <tp t="s">
        <v>無資料</v>
        <stp/>
        <stp>3686</stp>
        <stp>Price</stp>
        <tr r="Y597" s="57"/>
      </tp>
      <tp t="s">
        <v>無資料</v>
        <stp/>
        <stp>3706</stp>
        <stp>Price</stp>
        <tr r="Y752" s="57"/>
      </tp>
      <tp t="s">
        <v>無資料</v>
        <stp/>
        <stp>3466</stp>
        <stp>Price</stp>
        <tr r="Y13" s="115"/>
        <tr r="Y954" s="57"/>
      </tp>
      <tp t="s">
        <v>無資料</v>
        <stp/>
        <stp>3406</stp>
        <stp>Price</stp>
        <tr r="Y5" s="107"/>
        <tr r="Y836" s="57"/>
      </tp>
      <tp t="s">
        <v>無資料</v>
        <stp/>
        <stp>3416</stp>
        <stp>Price</stp>
        <tr r="Y738" s="57"/>
      </tp>
      <tp t="s">
        <v>無資料</v>
        <stp/>
        <stp>3426</stp>
        <stp>Price</stp>
        <tr r="Y176" s="57"/>
      </tp>
      <tp t="s">
        <v>無資料</v>
        <stp/>
        <stp>3546</stp>
        <stp>Price</stp>
        <tr r="Y9" s="74"/>
        <tr r="Y1774" s="57"/>
      </tp>
      <tp t="s">
        <v>無資料</v>
        <stp/>
        <stp>3556</stp>
        <stp>Price</stp>
        <tr r="Y588" s="57"/>
      </tp>
      <tp t="s">
        <v>無資料</v>
        <stp/>
        <stp>3576</stp>
        <stp>Price</stp>
        <tr r="Y850" s="57"/>
      </tp>
      <tp t="s">
        <v>無資料</v>
        <stp/>
        <stp>3516</stp>
        <stp>Price</stp>
        <tr r="Y845" s="57"/>
      </tp>
      <tp t="s">
        <v>無資料</v>
        <stp/>
        <stp>3526</stp>
        <stp>Price</stp>
        <tr r="Y1102" s="57"/>
      </tp>
      <tp t="s">
        <v>無資料</v>
        <stp/>
        <stp>3536</stp>
        <stp>Price</stp>
        <tr r="Y585" s="57"/>
      </tp>
      <tp t="s">
        <v>無資料</v>
        <stp/>
        <stp>3596</stp>
        <stp>Price</stp>
        <tr r="Y959" s="57"/>
      </tp>
      <tp t="s">
        <v>無資料</v>
        <stp/>
        <stp>1256</stp>
        <stp>Price</stp>
        <tr r="Y33" s="57"/>
      </tp>
      <tp t="s">
        <v>無資料</v>
        <stp/>
        <stp>1216</stp>
        <stp>Price</stp>
        <tr r="Y19" s="57"/>
      </tp>
      <tp t="s">
        <v>無資料</v>
        <stp/>
        <stp>1236</stp>
        <stp>Price</stp>
        <tr r="Y32" s="57"/>
      </tp>
      <tp t="s">
        <v>無資料</v>
        <stp/>
        <stp>1316</stp>
        <stp>Price</stp>
        <tr r="Y1431" s="57"/>
      </tp>
      <tp t="s">
        <v>無資料</v>
        <stp/>
        <stp>1326</stp>
        <stp>Price</stp>
        <tr r="Y60" s="57"/>
      </tp>
      <tp t="s">
        <v>無資料</v>
        <stp/>
        <stp>1336</stp>
        <stp>Price</stp>
        <tr r="Y1014" s="57"/>
      </tp>
      <tp t="s">
        <v>無資料</v>
        <stp/>
        <stp>1616</stp>
        <stp>Price</stp>
        <tr r="Y233" s="57"/>
      </tp>
      <tp t="s">
        <v>無資料</v>
        <stp/>
        <stp>1626</stp>
        <stp>Price</stp>
        <tr r="Y236" s="57"/>
      </tp>
      <tp t="s">
        <v>無資料</v>
        <stp/>
        <stp>1776</stp>
        <stp>Price</stp>
        <tr r="Y264" s="57"/>
      </tp>
      <tp t="s">
        <v>無資料</v>
        <stp/>
        <stp>1726</stp>
        <stp>Price</stp>
        <tr r="Y257" s="57"/>
      </tp>
      <tp t="s">
        <v>無資料</v>
        <stp/>
        <stp>1736</stp>
        <stp>Price</stp>
        <tr r="Y297" s="57"/>
      </tp>
      <tp t="s">
        <v>無資料</v>
        <stp/>
        <stp>1786</stp>
        <stp>Price</stp>
        <tr r="Y305" s="57"/>
      </tp>
      <tp t="s">
        <v>無資料</v>
        <stp/>
        <stp>1796</stp>
        <stp>Price</stp>
        <tr r="Y38" s="57"/>
      </tp>
      <tp t="s">
        <v>無資料</v>
        <stp/>
        <stp>1446</stp>
        <stp>Price</stp>
        <tr r="Y88" s="57"/>
      </tp>
      <tp t="s">
        <v>無資料</v>
        <stp/>
        <stp>1456</stp>
        <stp>Price</stp>
        <tr r="Y96" s="57"/>
      </tp>
      <tp t="s">
        <v>無資料</v>
        <stp/>
        <stp>1466</stp>
        <stp>Price</stp>
        <tr r="Y103" s="57"/>
      </tp>
      <tp t="s">
        <v>無資料</v>
        <stp/>
        <stp>1476</stp>
        <stp>Price</stp>
        <tr r="Y111" s="57"/>
      </tp>
      <tp t="s">
        <v>無資料</v>
        <stp/>
        <stp>1436</stp>
        <stp>Price</stp>
        <tr r="Y1432" s="57"/>
      </tp>
      <tp t="s">
        <v>無資料</v>
        <stp/>
        <stp>1506</stp>
        <stp>Price</stp>
        <tr r="Y132" s="57"/>
      </tp>
      <tp t="s">
        <v>無資料</v>
        <stp/>
        <stp>1516</stp>
        <stp>Price</stp>
        <tr r="Y1304" s="57"/>
        <tr r="Y1307" s="57"/>
      </tp>
      <tp t="s">
        <v>無資料</v>
        <stp/>
        <stp>1526</stp>
        <stp>Price</stp>
        <tr r="Y139" s="57"/>
      </tp>
      <tp t="s">
        <v>無資料</v>
        <stp/>
        <stp>1536</stp>
        <stp>Price</stp>
        <tr r="Y502" s="57"/>
      </tp>
      <tp t="s">
        <v>無資料</v>
        <stp/>
        <stp>1586</stp>
        <stp>Price</stp>
        <tr r="Y157" s="57"/>
      </tp>
      <tp t="s">
        <v>無資料</v>
        <stp/>
        <stp>1806</stp>
        <stp>Price</stp>
        <tr r="Y16" s="74"/>
        <tr r="Y417" s="57"/>
      </tp>
      <tp t="s">
        <v>無資料</v>
        <stp/>
        <stp>1906</stp>
        <stp>Price</stp>
        <tr r="Y426" s="57"/>
      </tp>
      <tp t="s">
        <v>無資料</v>
        <stp/>
        <stp>6246</stp>
        <stp>Price</stp>
        <tr r="Y895" s="57"/>
        <tr r="Y900" s="57"/>
      </tp>
      <tp t="s">
        <v>無資料</v>
        <stp/>
        <stp>6266</stp>
        <stp>Price</stp>
        <tr r="Y1181" s="57"/>
      </tp>
      <tp t="s">
        <v>無資料</v>
        <stp/>
        <stp>6276</stp>
        <stp>Price</stp>
        <tr r="Y785" s="57"/>
      </tp>
      <tp t="s">
        <v>無資料</v>
        <stp/>
        <stp>6206</stp>
        <stp>Price</stp>
        <tr r="Y781" s="57"/>
      </tp>
      <tp t="s">
        <v>無資料</v>
        <stp/>
        <stp>6216</stp>
        <stp>Price</stp>
        <tr r="Y985" s="57"/>
      </tp>
      <tp t="s">
        <v>無資料</v>
        <stp/>
        <stp>6226</stp>
        <stp>Price</stp>
        <tr r="Y897" s="57"/>
      </tp>
      <tp t="s">
        <v>無資料</v>
        <stp/>
        <stp>6236</stp>
        <stp>Price</stp>
        <tr r="Y1338" s="57"/>
      </tp>
      <tp t="s">
        <v>無資料</v>
        <stp/>
        <stp>6016</stp>
        <stp>Price</stp>
        <tr r="Y1622" s="57"/>
      </tp>
      <tp t="s">
        <v>無資料</v>
        <stp/>
        <stp>6026</stp>
        <stp>Price</stp>
        <tr r="Y1627" s="57"/>
      </tp>
      <tp t="s">
        <v>無資料</v>
        <stp/>
        <stp>6146</stp>
        <stp>Price</stp>
        <tr r="Y1738" s="57"/>
      </tp>
      <tp t="s">
        <v>無資料</v>
        <stp/>
        <stp>6156</stp>
        <stp>Price</stp>
        <tr r="Y1159" s="57"/>
      </tp>
      <tp t="s">
        <v>無資料</v>
        <stp/>
        <stp>6166</stp>
        <stp>Price</stp>
        <tr r="Y778" s="57"/>
      </tp>
      <tp t="s">
        <v>無資料</v>
        <stp/>
        <stp>6176</stp>
        <stp>Price</stp>
        <tr r="Y893" s="57"/>
      </tp>
      <tp t="s">
        <v>無資料</v>
        <stp/>
        <stp>6116</stp>
        <stp>Price</stp>
        <tr r="Y887" s="57"/>
      </tp>
      <tp t="s">
        <v>無資料</v>
        <stp/>
        <stp>6126</stp>
        <stp>Price</stp>
        <tr r="Y1152" s="57"/>
      </tp>
      <tp t="s">
        <v>無資料</v>
        <stp/>
        <stp>6136</stp>
        <stp>Price</stp>
        <tr r="Y978" s="57"/>
        <tr r="Y29" s="102"/>
        <tr r="Y28" s="102"/>
      </tp>
      <tp t="s">
        <v>無資料</v>
        <stp/>
        <stp>6186</stp>
        <stp>Price</stp>
        <tr r="Y1498" s="57"/>
      </tp>
      <tp t="s">
        <v>無資料</v>
        <stp/>
        <stp>6196</stp>
        <stp>Price</stp>
        <tr r="Y16" s="115"/>
        <tr r="Y1742" s="57"/>
        <tr r="Y8" s="74"/>
        <tr r="Y6" s="74"/>
      </tp>
      <tp t="s">
        <v>無資料</v>
        <stp/>
        <stp>6666</stp>
        <stp>Price</stp>
        <tr r="Y401" s="57"/>
      </tp>
      <tp t="s">
        <v>無資料</v>
        <stp/>
        <stp>6616</stp>
        <stp>Price</stp>
        <tr r="Y1343" s="57"/>
      </tp>
      <tp t="s">
        <v>無資料</v>
        <stp/>
        <stp>6756</stp>
        <stp>Price</stp>
        <tr r="Y674" s="57"/>
      </tp>
      <tp t="s">
        <v>無資料</v>
        <stp/>
        <stp>6776</stp>
        <stp>Price</stp>
        <tr r="Y1250" s="57"/>
      </tp>
      <tp t="s">
        <v>無資料</v>
        <stp/>
        <stp>6706</stp>
        <stp>Price</stp>
        <tr r="Y912" s="57"/>
      </tp>
      <tp t="s">
        <v>無資料</v>
        <stp/>
        <stp>6716</stp>
        <stp>Price</stp>
        <tr r="Y672" s="57"/>
      </tp>
      <tp t="s">
        <v>無資料</v>
        <stp/>
        <stp>6446</stp>
        <stp>Price</stp>
        <tr r="Y378" s="57"/>
        <tr r="Y11" s="28"/>
      </tp>
      <tp t="s">
        <v>無資料</v>
        <stp/>
        <stp>6456</stp>
        <stp>Price</stp>
        <tr r="Y907" s="57"/>
      </tp>
      <tp t="s">
        <v>無資料</v>
        <stp/>
        <stp>6416</stp>
        <stp>Price</stp>
        <tr r="Y991" s="57"/>
      </tp>
      <tp t="s">
        <v>無資料</v>
        <stp/>
        <stp>6426</stp>
        <stp>Price</stp>
        <tr r="Y993" s="57"/>
      </tp>
      <tp t="s">
        <v>無資料</v>
        <stp/>
        <stp>6486</stp>
        <stp>Price</stp>
        <tr r="Y996" s="57"/>
      </tp>
      <tp t="s">
        <v>無資料</v>
        <stp/>
        <stp>6496</stp>
        <stp>Price</stp>
        <tr r="Y384" s="57"/>
      </tp>
      <tp t="s">
        <v>無資料</v>
        <stp/>
        <stp>6556</stp>
        <stp>Price</stp>
        <tr r="Y909" s="57"/>
      </tp>
      <tp t="s">
        <v>無資料</v>
        <stp/>
        <stp>6576</stp>
        <stp>Price</stp>
        <tr r="Y393" s="57"/>
      </tp>
      <tp t="s">
        <v>無資料</v>
        <stp/>
        <stp>6506</stp>
        <stp>Price</stp>
        <tr r="Y284" s="57"/>
      </tp>
      <tp t="s">
        <v>無資料</v>
        <stp/>
        <stp>6516</stp>
        <stp>Price</stp>
        <tr r="Y1290" s="57"/>
        <tr r="Y17" s="98"/>
      </tp>
      <tp t="s">
        <v>無資料</v>
        <stp/>
        <stp>6596</stp>
        <stp>Price</stp>
        <tr r="Y1789" s="57"/>
      </tp>
      <tp t="s">
        <v>無資料</v>
        <stp/>
        <stp>6806</stp>
        <stp>Price</stp>
        <tr r="Y1355" s="57"/>
      </tp>
      <tp t="s">
        <v>無資料</v>
        <stp/>
        <stp>7556</stp>
        <stp>Price</stp>
        <tr r="Y677" s="57"/>
      </tp>
      <tp t="s">
        <v>無資料</v>
        <stp/>
        <stp>4306</stp>
        <stp>Price</stp>
        <tr r="Y67" s="57"/>
      </tp>
      <tp t="s">
        <v>無資料</v>
        <stp/>
        <stp>4106</stp>
        <stp>Price</stp>
        <tr r="Y320" s="57"/>
      </tp>
      <tp t="s">
        <v>無資料</v>
        <stp/>
        <stp>4116</stp>
        <stp>Price</stp>
        <tr r="Y326" s="57"/>
      </tp>
      <tp t="s">
        <v>無資料</v>
        <stp/>
        <stp>4126</stp>
        <stp>Price</stp>
        <tr r="Y10" s="98"/>
        <tr r="Y331" s="57"/>
      </tp>
      <tp t="s">
        <v>無資料</v>
        <stp/>
        <stp>4746</stp>
        <stp>Price</stp>
        <tr r="Y372" s="57"/>
      </tp>
      <tp t="s">
        <v>無資料</v>
        <stp/>
        <stp>4766</stp>
        <stp>Price</stp>
        <tr r="Y281" s="57"/>
      </tp>
      <tp t="s">
        <v>無資料</v>
        <stp/>
        <stp>4706</stp>
        <stp>Price</stp>
        <tr r="Y267" s="57"/>
      </tp>
      <tp t="s">
        <v>無資料</v>
        <stp/>
        <stp>4716</stp>
        <stp>Price</stp>
        <tr r="Y271" s="57"/>
      </tp>
      <tp t="s">
        <v>無資料</v>
        <stp/>
        <stp>4726</stp>
        <stp>Price</stp>
        <tr r="Y364" s="57"/>
      </tp>
      <tp t="s">
        <v>無資料</v>
        <stp/>
        <stp>4736</stp>
        <stp>Price</stp>
        <tr r="Y367" s="57"/>
      </tp>
      <tp t="s">
        <v>無資料</v>
        <stp/>
        <stp>4406</stp>
        <stp>Price</stp>
        <tr r="Y115" s="57"/>
      </tp>
      <tp t="s">
        <v>無資料</v>
        <stp/>
        <stp>4416</stp>
        <stp>Price</stp>
        <tr r="Y1473" s="57"/>
      </tp>
      <tp t="s">
        <v>無資料</v>
        <stp/>
        <stp>4426</stp>
        <stp>Price</stp>
        <tr r="Y121" s="57"/>
      </tp>
      <tp t="s">
        <v>無資料</v>
        <stp/>
        <stp>4556</stp>
        <stp>Price</stp>
        <tr r="Y1325" s="57"/>
      </tp>
      <tp t="s">
        <v>無資料</v>
        <stp/>
        <stp>4566</stp>
        <stp>Price</stp>
        <tr r="Y203" s="57"/>
      </tp>
      <tp t="s">
        <v>無資料</v>
        <stp/>
        <stp>4576</stp>
        <stp>Price</stp>
        <tr r="Y207" s="57"/>
      </tp>
      <tp t="s">
        <v>無資料</v>
        <stp/>
        <stp>4506</stp>
        <stp>Price</stp>
        <tr r="Y179" s="57"/>
      </tp>
      <tp t="s">
        <v>無資料</v>
        <stp/>
        <stp>4526</stp>
        <stp>Price</stp>
        <tr r="Y183" s="57"/>
      </tp>
      <tp t="s">
        <v>無資料</v>
        <stp/>
        <stp>4536</stp>
        <stp>Price</stp>
        <tr r="Y1323" s="57"/>
      </tp>
      <tp t="s">
        <v>無資料</v>
        <stp/>
        <stp>4806</stp>
        <stp>Price</stp>
        <tr r="Y1777" s="57"/>
      </tp>
      <tp t="s">
        <v>無資料</v>
        <stp/>
        <stp>4946</stp>
        <stp>Price</stp>
        <tr r="Y1778" s="57"/>
      </tp>
      <tp t="s">
        <v>無資料</v>
        <stp/>
        <stp>4956</stp>
        <stp>Price</stp>
        <tr r="Y869" s="57"/>
      </tp>
      <tp t="s">
        <v>無資料</v>
        <stp/>
        <stp>4966</stp>
        <stp>Price</stp>
        <tr r="Y604" s="57"/>
      </tp>
      <tp t="s">
        <v>無資料</v>
        <stp/>
        <stp>4976</stp>
        <stp>Price</stp>
        <tr r="Y872" s="57"/>
      </tp>
      <tp t="s">
        <v>無資料</v>
        <stp/>
        <stp>4906</stp>
        <stp>Price</stp>
        <tr r="Y969" s="57"/>
      </tp>
      <tp t="s">
        <v>無資料</v>
        <stp/>
        <stp>4916</stp>
        <stp>Price</stp>
        <tr r="Y755" s="57"/>
      </tp>
      <tp t="s">
        <v>無資料</v>
        <stp/>
        <stp>5276</stp>
        <stp>Price</stp>
        <tr r="Y1327" s="57"/>
      </tp>
      <tp t="s">
        <v>無資料</v>
        <stp/>
        <stp>5206</stp>
        <stp>Price</stp>
        <tr r="Y1475" s="57"/>
      </tp>
      <tp t="s">
        <v>無資料</v>
        <stp/>
        <stp>5236</stp>
        <stp>Price</stp>
        <tr r="Y611" s="57"/>
      </tp>
      <tp t="s">
        <v>無資料</v>
        <stp/>
        <stp>5356</stp>
        <stp>Price</stp>
        <tr r="Y764" s="57"/>
        <tr r="Y27" s="101"/>
      </tp>
      <tp t="s">
        <v>無資料</v>
        <stp/>
        <stp>5306</stp>
        <stp>Price</stp>
        <tr r="Y1329" s="57"/>
      </tp>
      <tp t="s">
        <v>無資料</v>
        <stp/>
        <stp>5386</stp>
        <stp>Price</stp>
        <tr r="Y4" s="101"/>
        <tr r="Y765" s="57"/>
      </tp>
      <tp t="s">
        <v>無資料</v>
        <stp/>
        <stp>5016</stp>
        <stp>Price</stp>
        <tr r="Y469" s="57"/>
      </tp>
      <tp t="s">
        <v>無資料</v>
        <stp/>
        <stp>5706</stp>
        <stp>Price</stp>
        <tr r="Y1577" s="57"/>
      </tp>
      <tp t="s">
        <v>無資料</v>
        <stp/>
        <stp>5426</stp>
        <stp>Price</stp>
        <tr r="Y766" s="57"/>
      </tp>
      <tp t="s">
        <v>無資料</v>
        <stp/>
        <stp>5546</stp>
        <stp>Price</stp>
        <tr r="Y1495" s="57"/>
      </tp>
      <tp t="s">
        <v>無資料</v>
        <stp/>
        <stp>5516</stp>
        <stp>Price</stp>
        <tr r="Y1484" s="57"/>
      </tp>
      <tp t="s">
        <v>無資料</v>
        <stp/>
        <stp>5536</stp>
        <stp>Price</stp>
        <tr r="Y1736" s="57"/>
      </tp>
      <tp t="s">
        <v>無資料</v>
        <stp/>
        <stp>5876</stp>
        <stp>Price</stp>
        <tr r="Y1617" s="57"/>
      </tp>
      <tp t="s">
        <v>無資料</v>
        <stp/>
        <stp>5906</stp>
        <stp>Price</stp>
        <tr r="Y1656" s="57"/>
      </tp>
      <tp t="s">
        <v>無資料</v>
        <stp/>
        <stp>8046</stp>
        <stp>Price</stp>
        <tr r="Y1204" s="57"/>
      </tp>
      <tp t="s">
        <v>無資料</v>
        <stp/>
        <stp>8066</stp>
        <stp>Price</stp>
        <tr r="Y1660" s="57"/>
      </tp>
      <tp t="s">
        <v>無資料</v>
        <stp/>
        <stp>8076</stp>
        <stp>Price</stp>
        <tr r="Y796" s="57"/>
      </tp>
      <tp t="s">
        <v>無資料</v>
        <stp/>
        <stp>8016</stp>
        <stp>Price</stp>
        <tr r="Y8" s="107"/>
        <tr r="Y678" s="57"/>
      </tp>
      <tp t="s">
        <v>無資料</v>
        <stp/>
        <stp>8086</stp>
        <stp>Price</stp>
        <tr r="Y4" s="110"/>
        <tr r="Y684" s="57"/>
      </tp>
      <tp t="s">
        <v>無資料</v>
        <stp/>
        <stp>8096</stp>
        <stp>Price</stp>
        <tr r="Y1257" s="57"/>
      </tp>
      <tp t="s">
        <v>無資料</v>
        <stp/>
        <stp>8176</stp>
        <stp>Price</stp>
        <tr r="Y1011" s="57"/>
      </tp>
      <tp t="s">
        <v>無資料</v>
        <stp/>
        <stp>8446</stp>
        <stp>Price</stp>
        <tr r="Y1790" s="57"/>
      </tp>
      <tp t="s">
        <v>無資料</v>
        <stp/>
        <stp>8466</stp>
        <stp>Price</stp>
        <tr r="Y1377" s="57"/>
      </tp>
      <tp t="s">
        <v>無資料</v>
        <stp/>
        <stp>8476</stp>
        <stp>Price</stp>
        <tr r="Y75" s="28"/>
        <tr r="Y1380" s="57"/>
      </tp>
      <tp t="s">
        <v>無資料</v>
        <stp/>
        <stp>8406</stp>
        <stp>Price</stp>
        <tr r="Y410" s="57"/>
      </tp>
      <tp t="s">
        <v>無資料</v>
        <stp/>
        <stp>8416</stp>
        <stp>Price</stp>
        <tr r="Y1299" s="57"/>
      </tp>
      <tp t="s">
        <v>無資料</v>
        <stp/>
        <stp>8426</stp>
        <stp>Price</stp>
        <tr r="Y1368" s="57"/>
      </tp>
      <tp t="s">
        <v>無資料</v>
        <stp/>
        <stp>8436</stp>
        <stp>Price</stp>
        <tr r="Y413" s="57"/>
      </tp>
      <tp t="s">
        <v>無資料</v>
        <stp/>
        <stp>8906</stp>
        <stp>Price</stp>
        <tr r="Y1388" s="57"/>
      </tp>
      <tp t="s">
        <v>無資料</v>
        <stp/>
        <stp>8916</stp>
        <stp>Price</stp>
        <tr r="Y1389" s="57"/>
      </tp>
      <tp t="s">
        <v>無資料</v>
        <stp/>
        <stp>8926</stp>
        <stp>Price</stp>
        <tr r="Y1670" s="57"/>
      </tp>
      <tp t="s">
        <v>無資料</v>
        <stp/>
        <stp>8936</stp>
        <stp>Price</stp>
        <tr r="Y110" s="22"/>
        <tr r="Y111" s="22"/>
        <tr r="Y1397" s="57"/>
        <tr r="Y33" s="28"/>
        <tr r="Y112" s="22"/>
      </tp>
      <tp t="s">
        <v>無資料</v>
        <stp/>
        <stp>8996</stp>
        <stp>Price</stp>
        <tr r="Y220" s="57"/>
      </tp>
      <tp t="s">
        <v>無資料</v>
        <stp/>
        <stp>9946</stp>
        <stp>Price</stp>
        <tr r="Y1504" s="57"/>
      </tp>
      <tp t="s">
        <v>無資料</v>
        <stp/>
        <stp>9906</stp>
        <stp>Price</stp>
        <tr r="Y1503" s="57"/>
      </tp>
      <tp t="s">
        <v>無資料</v>
        <stp/>
        <stp>9926</stp>
        <stp>Price</stp>
        <tr r="Y1675" s="57"/>
      </tp>
      <tp t="s">
        <v>無資料</v>
        <stp/>
        <stp>2247</stp>
        <stp>Price</stp>
        <tr r="Y518" s="57"/>
      </tp>
      <tp t="s">
        <v>無資料</v>
        <stp/>
        <stp>2207</stp>
        <stp>Price</stp>
        <tr r="Y510" s="57"/>
      </tp>
      <tp t="s">
        <v>無資料</v>
        <stp/>
        <stp>2227</stp>
        <stp>Price</stp>
        <tr r="Y511" s="57"/>
      </tp>
      <tp t="s">
        <v>無資料</v>
        <stp/>
        <stp>2347</stp>
        <stp>Price</stp>
        <tr r="Y1223" s="57"/>
      </tp>
      <tp t="s">
        <v>無資料</v>
        <stp/>
        <stp>2357</stp>
        <stp>Price</stp>
        <tr r="Y703" s="57"/>
      </tp>
      <tp t="s">
        <v>無資料</v>
        <stp/>
        <stp>2367</stp>
        <stp>Price</stp>
        <tr r="Y1026" s="57"/>
      </tp>
      <tp t="s">
        <v>無資料</v>
        <stp/>
        <stp>2377</stp>
        <stp>Price</stp>
        <tr r="Y708" s="57"/>
      </tp>
      <tp t="s">
        <v>無資料</v>
        <stp/>
        <stp>2317</stp>
        <stp>Price</stp>
        <tr r="Y1685" s="57"/>
      </tp>
      <tp t="s">
        <v>無資料</v>
        <stp/>
        <stp>2327</stp>
        <stp>Price</stp>
        <tr r="Y1023" s="57"/>
      </tp>
      <tp t="s">
        <v>無資料</v>
        <stp/>
        <stp>2337</stp>
        <stp>Price</stp>
        <tr r="Y533" s="57"/>
      </tp>
      <tp t="s">
        <v>無資料</v>
        <stp/>
        <stp>2387</stp>
        <stp>Price</stp>
        <tr r="Y711" s="57"/>
        <tr r="Y31" s="28"/>
        <tr r="Y101" s="22"/>
      </tp>
      <tp t="s">
        <v>無資料</v>
        <stp/>
        <stp>2397</stp>
        <stp>Price</stp>
        <tr r="Y713" s="57"/>
      </tp>
      <tp t="s">
        <v>無資料</v>
        <stp/>
        <stp>2067</stp>
        <stp>Price</stp>
        <tr r="Y165" s="57"/>
      </tp>
      <tp t="s">
        <v>無資料</v>
        <stp/>
        <stp>2007</stp>
        <stp>Price</stp>
        <tr r="Y433" s="57"/>
      </tp>
      <tp t="s">
        <v>無資料</v>
        <stp/>
        <stp>2017</stp>
        <stp>Price</stp>
        <tr r="Y441" s="57"/>
      </tp>
      <tp t="s">
        <v>無資料</v>
        <stp/>
        <stp>2027</stp>
        <stp>Price</stp>
        <tr r="Y447" s="57"/>
      </tp>
      <tp t="s">
        <v>無資料</v>
        <stp/>
        <stp>2107</stp>
        <stp>Price</stp>
        <tr r="Y485" s="57"/>
      </tp>
      <tp t="s">
        <v>無資料</v>
        <stp/>
        <stp>2607</stp>
        <stp>Price</stp>
        <tr r="Y6" s="113"/>
        <tr r="Y1511" s="57"/>
      </tp>
      <tp t="s">
        <v>無資料</v>
        <stp/>
        <stp>2617</stp>
        <stp>Price</stp>
        <tr r="Y1519" s="57"/>
        <tr r="Y19" s="74"/>
      </tp>
      <tp t="s">
        <v>無資料</v>
        <stp/>
        <stp>2637</stp>
        <stp>Price</stp>
        <tr r="Y1525" s="57"/>
      </tp>
      <tp t="s">
        <v>無資料</v>
        <stp/>
        <stp>2707</stp>
        <stp>Price</stp>
        <tr r="Y1545" s="57"/>
      </tp>
      <tp t="s">
        <v>無資料</v>
        <stp/>
        <stp>2727</stp>
        <stp>Price</stp>
        <tr r="Y1553" s="57"/>
      </tp>
      <tp t="s">
        <v>無資料</v>
        <stp/>
        <stp>2457</stp>
        <stp>Price</stp>
        <tr r="Y7" s="115"/>
        <tr r="Y1042" s="57"/>
      </tp>
      <tp t="s">
        <v>無資料</v>
        <stp/>
        <stp>2467</stp>
        <stp>Price</stp>
        <tr r="Y1045" s="57"/>
      </tp>
      <tp t="s">
        <v>無資料</v>
        <stp/>
        <stp>2477</stp>
        <stp>Price</stp>
        <tr r="Y1697" s="57"/>
      </tp>
      <tp t="s">
        <v>無資料</v>
        <stp/>
        <stp>2417</stp>
        <stp>Price</stp>
        <tr r="Y8" s="102"/>
        <tr r="Y8" s="101"/>
        <tr r="Y5" s="102"/>
        <tr r="Y716" s="57"/>
      </tp>
      <tp t="s">
        <v>無資料</v>
        <stp/>
        <stp>2427</stp>
        <stp>Price</stp>
        <tr r="Y1261" s="57"/>
      </tp>
      <tp t="s">
        <v>無資料</v>
        <stp/>
        <stp>2497</stp>
        <stp>Price</stp>
        <tr r="Y520" s="57"/>
      </tp>
      <tp t="s">
        <v>無資料</v>
        <stp/>
        <stp>2547</stp>
        <stp>Price</stp>
        <tr r="Y1460" s="57"/>
      </tp>
      <tp t="s">
        <v>無資料</v>
        <stp/>
        <stp>2527</stp>
        <stp>Price</stp>
        <tr r="Y1446" s="57"/>
      </tp>
      <tp t="s">
        <v>無資料</v>
        <stp/>
        <stp>2537</stp>
        <stp>Price</stp>
        <tr r="Y1452" s="57"/>
      </tp>
      <tp t="s">
        <v>無資料</v>
        <stp/>
        <stp>2597</stp>
        <stp>Price</stp>
        <tr r="Y1463" s="57"/>
      </tp>
      <tp t="s">
        <v>無資料</v>
        <stp/>
        <stp>2867</stp>
        <stp>Price</stp>
        <tr r="Y1600" s="57"/>
      </tp>
      <tp t="s">
        <v>無資料</v>
        <stp/>
        <stp>2887</stp>
        <stp>Price</stp>
        <tr r="Y1608" s="57"/>
      </tp>
      <tp t="s">
        <v>無資料</v>
        <stp/>
        <stp>2897</stp>
        <stp>Price</stp>
        <tr r="Y1614" s="57"/>
      </tp>
      <tp t="s">
        <v>無資料</v>
        <stp/>
        <stp>2947</stp>
        <stp>Price</stp>
        <tr r="Y1649" s="57"/>
      </tp>
      <tp t="s">
        <v>無資料</v>
        <stp/>
        <stp>2937</stp>
        <stp>Price</stp>
        <tr r="Y1646" s="57"/>
      </tp>
      <tp t="s">
        <v>無資料</v>
        <stp/>
        <stp>3257</stp>
        <stp>Price</stp>
        <tr r="Y569" s="57"/>
      </tp>
      <tp t="s">
        <v>無資料</v>
        <stp/>
        <stp>3207</stp>
        <stp>Price</stp>
        <tr r="Y1073" s="57"/>
      </tp>
      <tp t="s">
        <v>無資料</v>
        <stp/>
        <stp>3217</stp>
        <stp>Price</stp>
        <tr r="Y1074" s="57"/>
      </tp>
      <tp t="s">
        <v>無資料</v>
        <stp/>
        <stp>3227</stp>
        <stp>Price</stp>
        <tr r="Y567" s="57"/>
      </tp>
      <tp t="s">
        <v>無資料</v>
        <stp/>
        <stp>3287</stp>
        <stp>Price</stp>
        <tr r="Y735" s="57"/>
      </tp>
      <tp t="s">
        <v>無資料</v>
        <stp/>
        <stp>3297</stp>
        <stp>Price</stp>
        <tr r="Y831" s="57"/>
      </tp>
      <tp t="s">
        <v>無資料</v>
        <stp/>
        <stp>3357</stp>
        <stp>Price</stp>
        <tr r="Y1090" s="57"/>
      </tp>
      <tp t="s">
        <v>無資料</v>
        <stp/>
        <stp>3317</stp>
        <stp>Price</stp>
        <tr r="Y575" s="57"/>
      </tp>
      <tp t="s">
        <v>無資料</v>
        <stp/>
        <stp>3047</stp>
        <stp>Price</stp>
        <tr r="Y940" s="57"/>
      </tp>
      <tp t="s">
        <v>無資料</v>
        <stp/>
        <stp>3057</stp>
        <stp>Price</stp>
        <tr r="Y727" s="57"/>
      </tp>
      <tp t="s">
        <v>無資料</v>
        <stp/>
        <stp>3067</stp>
        <stp>Price</stp>
        <tr r="Y1704" s="57"/>
      </tp>
      <tp t="s">
        <v>無資料</v>
        <stp/>
        <stp>3017</stp>
        <stp>Price</stp>
        <tr r="Y724" s="57"/>
      </tp>
      <tp t="s">
        <v>無資料</v>
        <stp/>
        <stp>3027</stp>
        <stp>Price</stp>
        <tr r="Y938" s="57"/>
      </tp>
      <tp t="s">
        <v>無資料</v>
        <stp/>
        <stp>3037</stp>
        <stp>Price</stp>
        <tr r="Y1060" s="57"/>
      </tp>
      <tp t="s">
        <v>無資料</v>
        <stp/>
        <stp>3147</stp>
        <stp>Price</stp>
        <tr r="Y1300" s="57"/>
      </tp>
      <tp t="s">
        <v>無資料</v>
        <stp/>
        <stp>3167</stp>
        <stp>Price</stp>
        <tr r="Y13" s="98"/>
        <tr r="Y172" s="57"/>
      </tp>
      <tp t="s">
        <v>無資料</v>
        <stp/>
        <stp>3607</stp>
        <stp>Price</stp>
        <tr r="Y1110" s="57"/>
      </tp>
      <tp t="s">
        <v>無資料</v>
        <stp/>
        <stp>3617</stp>
        <stp>Price</stp>
        <tr r="Y1723" s="57"/>
      </tp>
      <tp t="s">
        <v>無資料</v>
        <stp/>
        <stp>3687</stp>
        <stp>Price</stp>
        <tr r="Y1798" s="57"/>
      </tp>
      <tp t="s">
        <v>無資料</v>
        <stp/>
        <stp>3707</stp>
        <stp>Price</stp>
        <tr r="Y598" s="57"/>
      </tp>
      <tp t="s">
        <v>無資料</v>
        <stp/>
        <stp>3437</stp>
        <stp>Price</stp>
        <tr r="Y838" s="57"/>
      </tp>
      <tp t="s">
        <v>無資料</v>
        <stp/>
        <stp>3557</stp>
        <stp>Price</stp>
        <tr r="Y1320" s="57"/>
      </tp>
      <tp t="s">
        <v>無資料</v>
        <stp/>
        <stp>3567</stp>
        <stp>Price</stp>
        <tr r="Y589" s="57"/>
      </tp>
      <tp t="s">
        <v>無資料</v>
        <stp/>
        <stp>3577</stp>
        <stp>Price</stp>
        <tr r="Y745" s="57"/>
      </tp>
      <tp t="s">
        <v>無資料</v>
        <stp/>
        <stp>3527</stp>
        <stp>Price</stp>
        <tr r="Y581" s="57"/>
      </tp>
      <tp t="s">
        <v>無資料</v>
        <stp/>
        <stp>3537</stp>
        <stp>Price</stp>
        <tr r="Y1104" s="57"/>
        <tr r="Y31" s="98"/>
      </tp>
      <tp t="s">
        <v>無資料</v>
        <stp/>
        <stp>3587</stp>
        <stp>Price</stp>
        <tr r="Y1722" s="57"/>
        <tr r="Y7" s="98"/>
      </tp>
      <tp t="s">
        <v>無資料</v>
        <stp/>
        <stp>3597</stp>
        <stp>Price</stp>
        <tr r="Y1108" s="57"/>
      </tp>
      <tp t="s">
        <v>無資料</v>
        <stp/>
        <stp>1217</stp>
        <stp>Price</stp>
        <tr r="Y20" s="57"/>
      </tp>
      <tp t="s">
        <v>無資料</v>
        <stp/>
        <stp>1227</stp>
        <stp>Price</stp>
        <tr r="Y25" s="57"/>
      </tp>
      <tp t="s">
        <v>無資料</v>
        <stp/>
        <stp>1307</stp>
        <stp>Price</stp>
        <tr r="Y48" s="57"/>
      </tp>
      <tp t="s">
        <v>無資料</v>
        <stp/>
        <stp>1337</stp>
        <stp>Price</stp>
        <tr r="Y61" s="57"/>
      </tp>
      <tp t="s">
        <v>無資料</v>
        <stp/>
        <stp>1617</stp>
        <stp>Price</stp>
        <tr r="Y234" s="57"/>
      </tp>
      <tp t="s">
        <v>無資料</v>
        <stp/>
        <stp>1777</stp>
        <stp>Price</stp>
        <tr r="Y27" s="98"/>
        <tr r="Y301" s="57"/>
        <tr r="Y23" s="102"/>
        <tr r="Y20" s="102"/>
        <tr r="Y32" s="98"/>
      </tp>
      <tp t="s">
        <v>無資料</v>
        <stp/>
        <stp>1707</stp>
        <stp>Price</stp>
        <tr r="Y292" s="57"/>
      </tp>
      <tp t="s">
        <v>無資料</v>
        <stp/>
        <stp>1717</stp>
        <stp>Price</stp>
        <tr r="Y250" s="57"/>
      </tp>
      <tp t="s">
        <v>無資料</v>
        <stp/>
        <stp>1727</stp>
        <stp>Price</stp>
        <tr r="Y258" s="57"/>
      </tp>
      <tp t="s">
        <v>無資料</v>
        <stp/>
        <stp>1737</stp>
        <stp>Price</stp>
        <tr r="Y37" s="57"/>
      </tp>
      <tp t="s">
        <v>無資料</v>
        <stp/>
        <stp>1447</stp>
        <stp>Price</stp>
        <tr r="Y89" s="57"/>
      </tp>
      <tp t="s">
        <v>無資料</v>
        <stp/>
        <stp>1457</stp>
        <stp>Price</stp>
        <tr r="Y97" s="57"/>
      </tp>
      <tp t="s">
        <v>無資料</v>
        <stp/>
        <stp>1467</stp>
        <stp>Price</stp>
        <tr r="Y104" s="57"/>
      </tp>
      <tp t="s">
        <v>無資料</v>
        <stp/>
        <stp>1477</stp>
        <stp>Price</stp>
        <tr r="Y112" s="57"/>
      </tp>
      <tp t="s">
        <v>無資料</v>
        <stp/>
        <stp>1417</stp>
        <stp>Price</stp>
        <tr r="Y77" s="57"/>
      </tp>
      <tp t="s">
        <v>無資料</v>
        <stp/>
        <stp>1437</stp>
        <stp>Price</stp>
        <tr r="Y1306" s="57"/>
      </tp>
      <tp t="s">
        <v>無資料</v>
        <stp/>
        <stp>1507</stp>
        <stp>Price</stp>
        <tr r="Y133" s="57"/>
      </tp>
      <tp t="s">
        <v>無資料</v>
        <stp/>
        <stp>1517</stp>
        <stp>Price</stp>
        <tr r="Y137" s="57"/>
      </tp>
      <tp t="s">
        <v>無資料</v>
        <stp/>
        <stp>1527</stp>
        <stp>Price</stp>
        <tr r="Y140" s="57"/>
      </tp>
      <tp t="s">
        <v>無資料</v>
        <stp/>
        <stp>1537</stp>
        <stp>Price</stp>
        <tr r="Y147" s="57"/>
      </tp>
      <tp t="s">
        <v>無資料</v>
        <stp/>
        <stp>1587</stp>
        <stp>Price</stp>
        <tr r="Y504" s="57"/>
      </tp>
      <tp t="s">
        <v>無資料</v>
        <stp/>
        <stp>1597</stp>
        <stp>Price</stp>
        <tr r="Y161" s="57"/>
      </tp>
      <tp t="s">
        <v>無資料</v>
        <stp/>
        <stp>1817</stp>
        <stp>Price</stp>
        <tr r="Y420" s="57"/>
      </tp>
      <tp t="s">
        <v>無資料</v>
        <stp/>
        <stp>1907</stp>
        <stp>Price</stp>
        <tr r="Y427" s="57"/>
      </tp>
      <tp t="s">
        <v>無資料</v>
        <stp/>
        <stp>6247</stp>
        <stp>Price</stp>
        <tr r="Y1745" s="57"/>
      </tp>
      <tp t="s">
        <v>無資料</v>
        <stp/>
        <stp>6257</stp>
        <stp>Price</stp>
        <tr r="Y641" s="57"/>
      </tp>
      <tp t="s">
        <v>無資料</v>
        <stp/>
        <stp>6277</stp>
        <stp>Price</stp>
        <tr r="Y786" s="57"/>
      </tp>
      <tp t="s">
        <v>無資料</v>
        <stp/>
        <stp>6207</stp>
        <stp>Price</stp>
        <tr r="Y1172" s="57"/>
      </tp>
      <tp t="s">
        <v>無資料</v>
        <stp/>
        <stp>6217</stp>
        <stp>Price</stp>
        <tr r="Y1176" s="57"/>
      </tp>
      <tp t="s">
        <v>無資料</v>
        <stp/>
        <stp>6227</stp>
        <stp>Price</stp>
        <tr r="Y1246" s="57"/>
      </tp>
      <tp t="s">
        <v>無資料</v>
        <stp/>
        <stp>6237</stp>
        <stp>Price</stp>
        <tr r="Y11" s="101"/>
        <tr r="Y638" s="57"/>
        <tr r="Y30" s="98"/>
        <tr r="Y17" s="107"/>
      </tp>
      <tp t="s">
        <v>無資料</v>
        <stp/>
        <stp>6287</stp>
        <stp>Price</stp>
        <tr r="Y644" s="57"/>
      </tp>
      <tp t="s">
        <v>無資料</v>
        <stp/>
        <stp>6147</stp>
        <stp>Price</stp>
        <tr r="Y631" s="57"/>
      </tp>
      <tp t="s">
        <v>無資料</v>
        <stp/>
        <stp>6167</stp>
        <stp>Price</stp>
        <tr r="Y891" s="57"/>
      </tp>
      <tp t="s">
        <v>無資料</v>
        <stp/>
        <stp>6177</stp>
        <stp>Price</stp>
        <tr r="Y1497" s="57"/>
      </tp>
      <tp t="s">
        <v>無資料</v>
        <stp/>
        <stp>6117</stp>
        <stp>Price</stp>
        <tr r="Y771" s="57"/>
      </tp>
      <tp t="s">
        <v>無資料</v>
        <stp/>
        <stp>6127</stp>
        <stp>Price</stp>
        <tr r="Y1153" s="57"/>
      </tp>
      <tp t="s">
        <v>無資料</v>
        <stp/>
        <stp>6187</stp>
        <stp>Price</stp>
        <tr r="Y1740" s="57"/>
        <tr r="Y22" s="98"/>
      </tp>
      <tp t="s">
        <v>無資料</v>
        <stp/>
        <stp>6197</stp>
        <stp>Price</stp>
        <tr r="Y1168" s="57"/>
      </tp>
      <tp t="s">
        <v>無資料</v>
        <stp/>
        <stp>6667</stp>
        <stp>Price</stp>
        <tr r="Y1754" s="57"/>
      </tp>
      <tp t="s">
        <v>無資料</v>
        <stp/>
        <stp>6697</stp>
        <stp>Price</stp>
        <tr r="Y1294" s="57"/>
      </tp>
      <tp t="s">
        <v>無資料</v>
        <stp/>
        <stp>6747</stp>
        <stp>Price</stp>
        <tr r="Y405" s="57"/>
      </tp>
      <tp t="s">
        <v>無資料</v>
        <stp/>
        <stp>6767</stp>
        <stp>Price</stp>
        <tr r="Y407" s="57"/>
      </tp>
      <tp t="s">
        <v>無資料</v>
        <stp/>
        <stp>6457</stp>
        <stp>Price</stp>
        <tr r="Y650" s="57"/>
      </tp>
      <tp t="s">
        <v>無資料</v>
        <stp/>
        <stp>6477</stp>
        <stp>Price</stp>
        <tr r="Y71" s="22"/>
        <tr r="Y22" s="28"/>
        <tr r="Y5" s="110"/>
        <tr r="Y908" s="57"/>
        <tr r="Y17" s="99"/>
        <tr r="Y9" s="101"/>
        <tr r="Y5" s="99"/>
      </tp>
      <tp t="s">
        <v>無資料</v>
        <stp/>
        <stp>6417</stp>
        <stp>Price</stp>
        <tr r="Y992" s="57"/>
      </tp>
      <tp t="s">
        <v>無資料</v>
        <stp/>
        <stp>6547</stp>
        <stp>Price</stp>
        <tr r="Y390" s="57"/>
      </tp>
      <tp t="s">
        <v>無資料</v>
        <stp/>
        <stp>6577</stp>
        <stp>Price</stp>
        <tr r="Y790" s="57"/>
      </tp>
      <tp t="s">
        <v>無資料</v>
        <stp/>
        <stp>6527</stp>
        <stp>Price</stp>
        <tr r="Y387" s="57"/>
      </tp>
      <tp t="s">
        <v>無資料</v>
        <stp/>
        <stp>4207</stp>
        <stp>Price</stp>
        <tr r="Y40" s="57"/>
      </tp>
      <tp t="s">
        <v>無資料</v>
        <stp/>
        <stp>4147</stp>
        <stp>Price</stp>
        <tr r="Y343" s="57"/>
      </tp>
      <tp t="s">
        <v>無資料</v>
        <stp/>
        <stp>4157</stp>
        <stp>Price</stp>
        <tr r="Y348" s="57"/>
      </tp>
      <tp t="s">
        <v>無資料</v>
        <stp/>
        <stp>4167</stp>
        <stp>Price</stp>
        <tr r="Y354" s="57"/>
      </tp>
      <tp t="s">
        <v>無資料</v>
        <stp/>
        <stp>4107</stp>
        <stp>Price</stp>
        <tr r="Y321" s="57"/>
      </tp>
      <tp t="s">
        <v>無資料</v>
        <stp/>
        <stp>4127</stp>
        <stp>Price</stp>
        <tr r="Y332" s="57"/>
      </tp>
      <tp t="s">
        <v>無資料</v>
        <stp/>
        <stp>4137</stp>
        <stp>Price</stp>
        <tr r="Y338" s="57"/>
      </tp>
      <tp t="s">
        <v>無資料</v>
        <stp/>
        <stp>4747</stp>
        <stp>Price</stp>
        <tr r="Y373" s="57"/>
      </tp>
      <tp t="s">
        <v>無資料</v>
        <stp/>
        <stp>4767</stp>
        <stp>Price</stp>
        <tr r="Y282" s="57"/>
      </tp>
      <tp t="s">
        <v>無資料</v>
        <stp/>
        <stp>4707</stp>
        <stp>Price</stp>
        <tr r="Y268" s="57"/>
      </tp>
      <tp t="s">
        <v>無資料</v>
        <stp/>
        <stp>4737</stp>
        <stp>Price</stp>
        <tr r="Y368" s="57"/>
      </tp>
      <tp t="s">
        <v>無資料</v>
        <stp/>
        <stp>4417</stp>
        <stp>Price</stp>
        <tr r="Y118" s="57"/>
      </tp>
      <tp t="s">
        <v>無資料</v>
        <stp/>
        <stp>4557</stp>
        <stp>Price</stp>
        <tr r="Y523" s="57"/>
      </tp>
      <tp t="s">
        <v>無資料</v>
        <stp/>
        <stp>4527</stp>
        <stp>Price</stp>
        <tr r="Y184" s="57"/>
      </tp>
      <tp t="s">
        <v>無資料</v>
        <stp/>
        <stp>4807</stp>
        <stp>Price</stp>
        <tr r="Y1651" s="57"/>
      </tp>
      <tp t="s">
        <v>無資料</v>
        <stp/>
        <stp>4967</stp>
        <stp>Price</stp>
        <tr r="Y19" s="107"/>
        <tr r="Y4" s="99"/>
        <tr r="Y605" s="57"/>
        <tr r="Y25" s="98"/>
      </tp>
      <tp t="s">
        <v>無資料</v>
        <stp/>
        <stp>4977</stp>
        <stp>Price</stp>
        <tr r="Y972" s="57"/>
        <tr r="Y33" s="98"/>
        <tr r="Y26" s="74"/>
      </tp>
      <tp t="s">
        <v>無資料</v>
        <stp/>
        <stp>4907</stp>
        <stp>Price</stp>
        <tr r="Y1474" s="57"/>
      </tp>
      <tp t="s">
        <v>無資料</v>
        <stp/>
        <stp>4927</stp>
        <stp>Price</stp>
        <tr r="Y12" s="98"/>
        <tr r="Y1124" s="57"/>
      </tp>
      <tp t="s">
        <v>無資料</v>
        <stp/>
        <stp>4987</stp>
        <stp>Price</stp>
        <tr r="Y759" s="57"/>
      </tp>
      <tp t="s">
        <v>無資料</v>
        <stp/>
        <stp>5227</stp>
        <stp>Price</stp>
        <tr r="Y1131" s="57"/>
      </tp>
      <tp t="s">
        <v>無資料</v>
        <stp/>
        <stp>5287</stp>
        <stp>Price</stp>
        <tr r="Y1800" s="57"/>
      </tp>
      <tp t="s">
        <v>無資料</v>
        <stp/>
        <stp>5347</stp>
        <stp>Price</stp>
        <tr r="Y620" s="57"/>
      </tp>
      <tp t="s">
        <v>無資料</v>
        <stp/>
        <stp>5007</stp>
        <stp>Price</stp>
        <tr r="Y463" s="57"/>
      </tp>
      <tp t="s">
        <v>無資料</v>
        <stp/>
        <stp>5607</stp>
        <stp>Price</stp>
        <tr r="Y1532" s="57"/>
      </tp>
      <tp t="s">
        <v>無資料</v>
        <stp/>
        <stp>5457</stp>
        <stp>Price</stp>
        <tr r="Y1141" s="57"/>
      </tp>
      <tp t="s">
        <v>無資料</v>
        <stp/>
        <stp>5487</stp>
        <stp>Price</stp>
        <tr r="Y626" s="57"/>
      </tp>
      <tp t="s">
        <v>無資料</v>
        <stp/>
        <stp>5907</stp>
        <stp>Price</stp>
        <tr r="Y1657" s="57"/>
      </tp>
      <tp t="s">
        <v>無資料</v>
        <stp/>
        <stp>8277</stp>
        <stp>Price</stp>
        <tr r="Y691" s="57"/>
      </tp>
      <tp t="s">
        <v>無資料</v>
        <stp/>
        <stp>8367</stp>
        <stp>Price</stp>
        <tr r="Y1535" s="57"/>
      </tp>
      <tp t="s">
        <v>無資料</v>
        <stp/>
        <stp>8047</stp>
        <stp>Price</stp>
        <tr r="Y1759" s="57"/>
      </tp>
      <tp t="s">
        <v>無資料</v>
        <stp/>
        <stp>8067</stp>
        <stp>Price</stp>
        <tr r="Y1252" s="57"/>
      </tp>
      <tp t="s">
        <v>無資料</v>
        <stp/>
        <stp>8077</stp>
        <stp>Price</stp>
        <tr r="Y1578" s="57"/>
      </tp>
      <tp t="s">
        <v>無資料</v>
        <stp/>
        <stp>8027</stp>
        <stp>Price</stp>
        <tr r="Y214" s="57"/>
      </tp>
      <tp t="s">
        <v>無資料</v>
        <stp/>
        <stp>8087</stp>
        <stp>Price</stp>
        <tr r="Y917" s="57"/>
      </tp>
      <tp t="s">
        <v>無資料</v>
        <stp/>
        <stp>8097</stp>
        <stp>Price</stp>
        <tr r="Y1008" s="57"/>
      </tp>
      <tp t="s">
        <v>無資料</v>
        <stp/>
        <stp>8147</stp>
        <stp>Price</stp>
        <tr r="Y1213" s="57"/>
      </tp>
      <tp t="s">
        <v>無資料</v>
        <stp/>
        <stp>8107</stp>
        <stp>Price</stp>
        <tr r="Y216" s="57"/>
      </tp>
      <tp t="s">
        <v>無資料</v>
        <stp/>
        <stp>8467</stp>
        <stp>Price</stp>
        <tr r="Y1378" s="57"/>
      </tp>
      <tp t="s">
        <v>無資料</v>
        <stp/>
        <stp>8477</stp>
        <stp>Price</stp>
        <tr r="Y1804" s="57"/>
      </tp>
      <tp t="s">
        <v>無資料</v>
        <stp/>
        <stp>8427</stp>
        <stp>Price</stp>
        <tr r="Y1369" s="57"/>
      </tp>
      <tp t="s">
        <v>無資料</v>
        <stp/>
        <stp>8437</stp>
        <stp>Price</stp>
        <tr r="Y1371" s="57"/>
      </tp>
      <tp t="s">
        <v>無資料</v>
        <stp/>
        <stp>8917</stp>
        <stp>Price</stp>
        <tr r="Y1671" s="57"/>
      </tp>
      <tp t="s">
        <v>無資料</v>
        <stp/>
        <stp>8927</stp>
        <stp>Price</stp>
        <tr r="Y1680" s="57"/>
      </tp>
      <tp t="s">
        <v>無資料</v>
        <stp/>
        <stp>8937</stp>
        <stp>Price</stp>
        <tr r="Y1398" s="57"/>
      </tp>
      <tp t="s">
        <v>無資料</v>
        <stp/>
        <stp>9907</stp>
        <stp>Price</stp>
        <tr r="Y1405" s="57"/>
      </tp>
      <tp t="s">
        <v>無資料</v>
        <stp/>
        <stp>9917</stp>
        <stp>Price</stp>
        <tr r="Y1409" s="57"/>
      </tp>
      <tp t="s">
        <v>無資料</v>
        <stp/>
        <stp>9927</stp>
        <stp>Price</stp>
        <tr r="Y1414" s="57"/>
      </tp>
      <tp t="s">
        <v>無資料</v>
        <stp/>
        <stp>9937</stp>
        <stp>Price</stp>
        <tr r="Y1678" s="57"/>
      </tp>
      <tp>
        <v>0</v>
        <stp/>
        <stp>6499</stp>
        <stp>PredictVolume</stp>
        <tr r="AM385" s="57"/>
      </tp>
      <tp>
        <v>0</v>
        <stp/>
        <stp>6419</stp>
        <stp>PredictVolume</stp>
        <tr r="AM904" s="57"/>
      </tp>
      <tp>
        <v>0</v>
        <stp/>
        <stp>6409</stp>
        <stp>PredictVolume</stp>
        <tr r="AM1748" s="57"/>
      </tp>
      <tp>
        <v>0</v>
        <stp/>
        <stp>6469</stp>
        <stp>PredictVolume</stp>
        <tr r="AM380" s="57"/>
      </tp>
      <tp>
        <v>0</v>
        <stp/>
        <stp>6449</stp>
        <stp>PredictVolume</stp>
        <tr r="AM1192" s="57"/>
      </tp>
      <tp>
        <v>0</v>
        <stp/>
        <stp>6589</stp>
        <stp>PredictVolume</stp>
        <tr r="AM394" s="57"/>
      </tp>
      <tp>
        <v>0</v>
        <stp/>
        <stp>6509</stp>
        <stp>PredictVolume</stp>
        <tr r="AM285" s="57"/>
      </tp>
      <tp>
        <v>0</v>
        <stp/>
        <stp>6579</stp>
        <stp>PredictVolume</stp>
        <tr r="AM3" s="74"/>
        <tr r="AM791" s="57"/>
      </tp>
      <tp>
        <v>0</v>
        <stp/>
        <stp>6569</stp>
        <stp>PredictVolume</stp>
        <tr r="AM391" s="57"/>
      </tp>
      <tp>
        <v>0</v>
        <stp/>
        <stp>6629</stp>
        <stp>PredictVolume</stp>
        <tr r="AM1346" s="57"/>
      </tp>
      <tp>
        <v>0</v>
        <stp/>
        <stp>6609</stp>
        <stp>PredictVolume</stp>
        <tr r="AM213" s="57"/>
      </tp>
      <tp>
        <v>0</v>
        <stp/>
        <stp>6679</stp>
        <stp>PredictVolume</stp>
        <tr r="AM669" s="57"/>
      </tp>
      <tp>
        <v>0</v>
        <stp/>
        <stp>6669</stp>
        <stp>PredictVolume</stp>
        <tr r="AM793" s="57"/>
      </tp>
      <tp>
        <v>0</v>
        <stp/>
        <stp>6649</stp>
        <stp>PredictVolume</stp>
        <tr r="AM398" s="57"/>
      </tp>
      <tp>
        <v>0</v>
        <stp/>
        <stp>6199</stp>
        <stp>PredictVolume</stp>
        <tr r="AM1337" s="57"/>
      </tp>
      <tp>
        <v>0</v>
        <stp/>
        <stp>6189</stp>
        <stp>PredictVolume</stp>
        <tr r="AM1245" s="57"/>
      </tp>
      <tp>
        <v>0</v>
        <stp/>
        <stp>6139</stp>
        <stp>PredictVolume</stp>
        <tr r="AM1737" s="57"/>
      </tp>
      <tp>
        <v>0</v>
        <stp/>
        <stp>6129</stp>
        <stp>PredictVolume</stp>
        <tr r="AM629" s="57"/>
      </tp>
      <tp>
        <v>0</v>
        <stp/>
        <stp>6109</stp>
        <stp>PredictVolume</stp>
        <tr r="AM977" s="57"/>
      </tp>
      <tp>
        <v>0</v>
        <stp/>
        <stp>6179</stp>
        <stp>PredictVolume</stp>
        <tr r="AM26" s="28"/>
        <tr r="AM1335" s="57"/>
      </tp>
      <tp>
        <v>0</v>
        <stp/>
        <stp>6169</stp>
        <stp>PredictVolume</stp>
        <tr r="AM1784" s="57"/>
      </tp>
      <tp>
        <v>0</v>
        <stp/>
        <stp>6289</stp>
        <stp>PredictVolume</stp>
        <tr r="AM902" s="57"/>
      </tp>
      <tp>
        <v>0</v>
        <stp/>
        <stp>6239</stp>
        <stp>PredictVolume</stp>
        <tr r="AM639" s="57"/>
      </tp>
      <tp>
        <v>0</v>
        <stp/>
        <stp>6229</stp>
        <stp>PredictVolume</stp>
        <tr r="AM636" s="57"/>
      </tp>
      <tp>
        <v>0</v>
        <stp/>
        <stp>6219</stp>
        <stp>PredictVolume</stp>
        <tr r="AM1500" s="57"/>
      </tp>
      <tp>
        <v>0</v>
        <stp/>
        <stp>6209</stp>
        <stp>PredictVolume</stp>
        <tr r="AM894" s="57"/>
      </tp>
      <tp>
        <v>0</v>
        <stp/>
        <stp>6279</stp>
        <stp>PredictVolume</stp>
        <tr r="AM10" s="74"/>
        <tr r="AM1184" s="57"/>
      </tp>
      <tp>
        <v>0</v>
        <stp/>
        <stp>6269</stp>
        <stp>PredictVolume</stp>
        <tr r="AM1182" s="57"/>
      </tp>
      <tp>
        <v>0</v>
        <stp/>
        <stp>6259</stp>
        <stp>PredictVolume</stp>
        <tr r="AM1180" s="57"/>
      </tp>
      <tp>
        <v>0</v>
        <stp/>
        <stp>4439</stp>
        <stp>PredictVolume</stp>
        <tr r="AM126" s="57"/>
      </tp>
      <tp>
        <v>0</v>
        <stp/>
        <stp>4429</stp>
        <stp>PredictVolume</stp>
        <tr r="AM122" s="57"/>
      </tp>
      <tp>
        <v>0</v>
        <stp/>
        <stp>4419</stp>
        <stp>PredictVolume</stp>
        <tr r="AM119" s="57"/>
      </tp>
      <tp>
        <v>0</v>
        <stp/>
        <stp>4529</stp>
        <stp>PredictVolume</stp>
        <tr r="AM1322" s="57"/>
      </tp>
      <tp>
        <v>0</v>
        <stp/>
        <stp>4549</stp>
        <stp>PredictVolume</stp>
        <tr r="AM194" s="57"/>
      </tp>
      <tp>
        <v>0</v>
        <stp/>
        <stp>4609</stp>
        <stp>PredictVolume</stp>
        <tr r="AM238" s="57"/>
      </tp>
      <tp>
        <v>0</v>
        <stp/>
        <stp>4739</stp>
        <stp>PredictVolume</stp>
        <tr r="AM275" s="57"/>
      </tp>
      <tp>
        <v>0</v>
        <stp/>
        <stp>4729</stp>
        <stp>PredictVolume</stp>
        <tr r="AM863" s="57"/>
      </tp>
      <tp>
        <v>0</v>
        <stp/>
        <stp>4139</stp>
        <stp>PredictVolume</stp>
        <tr r="AM340" s="57"/>
      </tp>
      <tp>
        <v>0</v>
        <stp/>
        <stp>4129</stp>
        <stp>PredictVolume</stp>
        <tr r="AM334" s="57"/>
      </tp>
      <tp>
        <v>0</v>
        <stp/>
        <stp>4119</stp>
        <stp>PredictVolume</stp>
        <tr r="AM327" s="57"/>
      </tp>
      <tp>
        <v>0</v>
        <stp/>
        <stp>4109</stp>
        <stp>PredictVolume</stp>
        <tr r="AM323" s="57"/>
      </tp>
      <tp>
        <v>0</v>
        <stp/>
        <stp>4999</stp>
        <stp>PredictVolume</stp>
        <tr r="AM1130" s="57"/>
      </tp>
      <tp>
        <v>0</v>
        <stp/>
        <stp>4989</stp>
        <stp>PredictVolume</stp>
        <tr r="AM1129" s="57"/>
      </tp>
      <tp>
        <v>0</v>
        <stp/>
        <stp>4939</stp>
        <stp>PredictVolume</stp>
        <tr r="AM1125" s="57"/>
      </tp>
      <tp>
        <v>0</v>
        <stp/>
        <stp>4919</stp>
        <stp>PredictVolume</stp>
        <tr r="AM600" s="57"/>
      </tp>
      <tp>
        <v>0</v>
        <stp/>
        <stp>4909</stp>
        <stp>PredictVolume</stp>
        <tr r="AM971" s="57"/>
      </tp>
      <tp>
        <v>0</v>
        <stp/>
        <stp>4979</stp>
        <stp>PredictVolume</stp>
        <tr r="AM973" s="57"/>
      </tp>
      <tp>
        <v>0</v>
        <stp/>
        <stp>5489</stp>
        <stp>PredictVolume</stp>
        <tr r="AM1734" s="57"/>
      </tp>
      <tp>
        <v>0</v>
        <stp/>
        <stp>5439</stp>
        <stp>PredictVolume</stp>
        <tr r="AM1140" s="57"/>
      </tp>
      <tp>
        <v>0</v>
        <stp/>
        <stp>5469</stp>
        <stp>PredictVolume</stp>
        <tr r="AM1144" s="57"/>
      </tp>
      <tp>
        <v>0</v>
        <stp/>
        <stp>5529</stp>
        <stp>PredictVolume</stp>
        <tr r="AM1490" s="57"/>
      </tp>
      <tp>
        <v>0</v>
        <stp/>
        <stp>5519</stp>
        <stp>PredictVolume</stp>
        <tr r="AM1485" s="57"/>
      </tp>
      <tp>
        <v>0</v>
        <stp/>
        <stp>5609</stp>
        <stp>PredictVolume</stp>
        <tr r="AM1534" s="57"/>
      </tp>
      <tp>
        <v>0</v>
        <stp/>
        <stp>5009</stp>
        <stp>PredictVolume</stp>
        <tr r="AM464" s="57"/>
      </tp>
      <tp>
        <v>0</v>
        <stp/>
        <stp>5299</stp>
        <stp>PredictVolume</stp>
        <tr r="AM616" s="57"/>
      </tp>
      <tp>
        <v>0</v>
        <stp/>
        <stp>5289</stp>
        <stp>PredictVolume</stp>
        <tr r="AM763" s="57"/>
      </tp>
      <tp>
        <v>0</v>
        <stp/>
        <stp>5209</stp>
        <stp>PredictVolume</stp>
        <tr r="AM1274" s="57"/>
      </tp>
      <tp>
        <v>0</v>
        <stp/>
        <stp>5269</stp>
        <stp>PredictVolume</stp>
        <tr r="AM612" s="57"/>
      </tp>
      <tp>
        <v>0</v>
        <stp/>
        <stp>5309</stp>
        <stp>PredictVolume</stp>
        <tr r="AM1133" s="57"/>
      </tp>
      <tp>
        <v>0</v>
        <stp/>
        <stp>2489</stp>
        <stp>PredictVolume</stp>
        <tr r="AM816" s="57"/>
      </tp>
      <tp>
        <v>0</v>
        <stp/>
        <stp>2439</stp>
        <stp>PredictVolume</stp>
        <tr r="AM15" s="74"/>
        <tr r="AM931" s="57"/>
      </tp>
      <tp>
        <v>0</v>
        <stp/>
        <stp>2429</stp>
        <stp>PredictVolume</stp>
        <tr r="AM1038" s="57"/>
      </tp>
      <tp>
        <v>0</v>
        <stp/>
        <stp>2419</stp>
        <stp>PredictVolume</stp>
        <tr r="AM930" s="57"/>
      </tp>
      <tp>
        <v>0</v>
        <stp/>
        <stp>2409</stp>
        <stp>PredictVolume</stp>
        <tr r="AM7" s="94"/>
        <tr r="AM2" s="94"/>
        <tr r="AM811" s="57"/>
      </tp>
      <tp>
        <v>0</v>
        <stp/>
        <stp>2459</stp>
        <stp>PredictVolume</stp>
        <tr r="AM1226" s="57"/>
      </tp>
      <tp>
        <v>0</v>
        <stp/>
        <stp>2449</stp>
        <stp>PredictVolume</stp>
        <tr r="AM547" s="57"/>
      </tp>
      <tp>
        <v>0</v>
        <stp/>
        <stp>2539</stp>
        <stp>PredictVolume</stp>
        <tr r="AM1454" s="57"/>
      </tp>
      <tp>
        <v>0</v>
        <stp/>
        <stp>2509</stp>
        <stp>PredictVolume</stp>
        <tr r="AM1441" s="57"/>
      </tp>
      <tp>
        <v>0</v>
        <stp/>
        <stp>2609</stp>
        <stp>PredictVolume</stp>
        <tr r="AM1513" s="57"/>
      </tp>
      <tp>
        <v>0</v>
        <stp/>
        <stp>2739</stp>
        <stp>PredictVolume</stp>
        <tr r="AM1559" s="57"/>
      </tp>
      <tp>
        <v>0</v>
        <stp/>
        <stp>2729</stp>
        <stp>PredictVolume</stp>
        <tr r="AM1554" s="57"/>
      </tp>
      <tp>
        <v>0</v>
        <stp/>
        <stp>2719</stp>
        <stp>PredictVolume</stp>
        <tr r="AM1548" s="57"/>
      </tp>
      <tp>
        <v>0</v>
        <stp/>
        <stp>2029</stp>
        <stp>PredictVolume</stp>
        <tr r="AM449" s="57"/>
      </tp>
      <tp>
        <v>0</v>
        <stp/>
        <stp>2009</stp>
        <stp>PredictVolume</stp>
        <tr r="AM435" s="57"/>
      </tp>
      <tp>
        <v>0</v>
        <stp/>
        <stp>2069</stp>
        <stp>PredictVolume</stp>
        <tr r="AM460" s="57"/>
      </tp>
      <tp>
        <v>0</v>
        <stp/>
        <stp>2059</stp>
        <stp>PredictVolume</stp>
        <tr r="AM1019" s="57"/>
      </tp>
      <tp>
        <v>0</v>
        <stp/>
        <stp>2049</stp>
        <stp>PredictVolume</stp>
        <tr r="AM163" s="57"/>
      </tp>
      <tp>
        <v>0</v>
        <stp/>
        <stp>2109</stp>
        <stp>PredictVolume</stp>
        <tr r="AM487" s="57"/>
      </tp>
      <tp>
        <v>0</v>
        <stp/>
        <stp>2239</stp>
        <stp>PredictVolume</stp>
        <tr r="AM516" s="57"/>
      </tp>
      <tp>
        <v>0</v>
        <stp/>
        <stp>2399</stp>
        <stp>PredictVolume</stp>
        <tr r="AM35" s="101"/>
        <tr r="AM714" s="57"/>
      </tp>
      <tp>
        <v>0</v>
        <stp/>
        <stp>2329</stp>
        <stp>PredictVolume</stp>
        <tr r="AM531" s="57"/>
      </tp>
      <tp>
        <v>0</v>
        <stp/>
        <stp>2379</stp>
        <stp>PredictVolume</stp>
        <tr r="AM540" s="57"/>
      </tp>
      <tp>
        <v>0</v>
        <stp/>
        <stp>2369</stp>
        <stp>PredictVolume</stp>
        <tr r="AM539" s="57"/>
      </tp>
      <tp>
        <v>0</v>
        <stp/>
        <stp>2359</stp>
        <stp>PredictVolume</stp>
        <tr r="AM1687" s="57"/>
      </tp>
      <tp>
        <v>0</v>
        <stp/>
        <stp>2349</stp>
        <stp>PredictVolume</stp>
        <tr r="AM807" s="57"/>
      </tp>
      <tp>
        <v>0</v>
        <stp/>
        <stp>2889</stp>
        <stp>PredictVolume</stp>
        <tr r="AM1610" s="57"/>
      </tp>
      <tp>
        <v>0</v>
        <stp/>
        <stp>2809</stp>
        <stp>PredictVolume</stp>
        <tr r="AM1585" s="57"/>
      </tp>
      <tp>
        <v>0</v>
        <stp/>
        <stp>2849</stp>
        <stp>PredictVolume</stp>
        <tr r="AM1595" s="57"/>
      </tp>
      <tp>
        <v>0</v>
        <stp/>
        <stp>2939</stp>
        <stp>PredictVolume</stp>
        <tr r="AM1647" s="57"/>
      </tp>
      <tp>
        <v>0</v>
        <stp/>
        <stp>3499</stp>
        <stp>PredictVolume</stp>
        <tr r="AM956" s="57"/>
      </tp>
      <tp>
        <v>0</v>
        <stp/>
        <stp>3489</stp>
        <stp>PredictVolume</stp>
        <tr r="AM1470" s="57"/>
      </tp>
      <tp>
        <v>0</v>
        <stp/>
        <stp>3419</stp>
        <stp>PredictVolume</stp>
        <tr r="AM953" s="57"/>
      </tp>
      <tp>
        <v>0</v>
        <stp/>
        <stp>3479</stp>
        <stp>PredictVolume</stp>
        <tr r="AM739" s="57"/>
      </tp>
      <tp>
        <v>0</v>
        <stp/>
        <stp>3529</stp>
        <stp>PredictVolume</stp>
        <tr r="AM582" s="57"/>
      </tp>
      <tp>
        <v>0</v>
        <stp/>
        <stp>3689</stp>
        <stp>PredictVolume</stp>
        <tr r="AM1118" s="57"/>
      </tp>
      <tp>
        <v>0</v>
        <stp/>
        <stp>3629</stp>
        <stp>PredictVolume</stp>
        <tr r="AM1775" s="57"/>
      </tp>
      <tp>
        <v>0</v>
        <stp/>
        <stp>3609</stp>
        <stp>PredictVolume</stp>
        <tr r="AM1111" s="57"/>
      </tp>
      <tp>
        <v>0</v>
        <stp/>
        <stp>3679</stp>
        <stp>PredictVolume</stp>
        <tr r="AM1117" s="57"/>
      </tp>
      <tp>
        <v>0</v>
        <stp/>
        <stp>3669</stp>
        <stp>PredictVolume</stp>
        <tr r="AM50" s="28"/>
        <tr r="AM7" s="102"/>
        <tr r="AM11" s="109"/>
        <tr r="AM7" s="101"/>
        <tr r="AM10" s="102"/>
        <tr r="AM13" s="74"/>
        <tr r="AM9" s="109"/>
        <tr r="AM5" s="109"/>
        <tr r="AM3" s="109"/>
        <tr r="AM857" s="57"/>
      </tp>
      <tp>
        <v>0</v>
        <stp/>
        <stp>3709</stp>
        <stp>PredictVolume</stp>
        <tr r="AM753" s="57"/>
      </tp>
      <tp>
        <v>0</v>
        <stp/>
        <stp>3029</stp>
        <stp>PredictVolume</stp>
        <tr r="AM14" s="98"/>
        <tr r="AM1266" s="57"/>
      </tp>
      <tp>
        <v>0</v>
        <stp/>
        <stp>3019</stp>
        <stp>PredictVolume</stp>
        <tr r="AM819" s="57"/>
      </tp>
      <tp>
        <v>0</v>
        <stp/>
        <stp>3059</stp>
        <stp>PredictVolume</stp>
        <tr r="AM826" s="57"/>
      </tp>
      <tp>
        <v>0</v>
        <stp/>
        <stp>3049</stp>
        <stp>PredictVolume</stp>
        <tr r="AM823" s="57"/>
      </tp>
      <tp>
        <v>0</v>
        <stp/>
        <stp>3189</stp>
        <stp>PredictVolume</stp>
        <tr r="AM565" s="57"/>
      </tp>
      <tp>
        <v>0</v>
        <stp/>
        <stp>3169</stp>
        <stp>PredictVolume</stp>
        <tr r="AM564" s="57"/>
      </tp>
      <tp>
        <v>0</v>
        <stp/>
        <stp>3149</stp>
        <stp>PredictVolume</stp>
        <tr r="AM829" s="57"/>
      </tp>
      <tp>
        <v>0</v>
        <stp/>
        <stp>3289</stp>
        <stp>PredictVolume</stp>
        <tr r="AM1708" s="57"/>
      </tp>
      <tp t="s">
        <v>商品錯誤</v>
        <stp/>
        <stp>3229</stp>
        <stp>PredictVolume</stp>
        <tr r="AM1075" s="57"/>
      </tp>
      <tp>
        <v>0</v>
        <stp/>
        <stp>3219</stp>
        <stp>PredictVolume</stp>
        <tr r="AM566" s="57"/>
      </tp>
      <tp>
        <v>0</v>
        <stp/>
        <stp>3209</stp>
        <stp>PredictVolume</stp>
        <tr r="AM1233" s="57"/>
      </tp>
      <tp>
        <v>0</v>
        <stp/>
        <stp>3259</stp>
        <stp>PredictVolume</stp>
        <tr r="AM570" s="57"/>
      </tp>
      <tp>
        <v>0</v>
        <stp/>
        <stp>3339</stp>
        <stp>PredictVolume</stp>
        <tr r="AM832" s="57"/>
      </tp>
      <tp>
        <v>0</v>
        <stp/>
        <stp>3379</stp>
        <stp>PredictVolume</stp>
        <tr r="AM175" s="57"/>
      </tp>
      <tp>
        <v>0</v>
        <stp/>
        <stp>1439</stp>
        <stp>PredictVolume</stp>
        <tr r="AM82" s="57"/>
      </tp>
      <tp>
        <v>0</v>
        <stp/>
        <stp>1419</stp>
        <stp>PredictVolume</stp>
        <tr r="AM79" s="57"/>
      </tp>
      <tp>
        <v>0</v>
        <stp/>
        <stp>1409</stp>
        <stp>PredictVolume</stp>
        <tr r="AM73" s="57"/>
      </tp>
      <tp>
        <v>0</v>
        <stp/>
        <stp>1459</stp>
        <stp>PredictVolume</stp>
        <tr r="AM98" s="57"/>
      </tp>
      <tp>
        <v>0</v>
        <stp/>
        <stp>1449</stp>
        <stp>PredictVolume</stp>
        <tr r="AM90" s="57"/>
      </tp>
      <tp>
        <v>0</v>
        <stp/>
        <stp>1599</stp>
        <stp>PredictVolume</stp>
        <tr r="AM162" s="57"/>
      </tp>
      <tp>
        <v>0</v>
        <stp/>
        <stp>1589</stp>
        <stp>PredictVolume</stp>
        <tr r="AM158" s="57"/>
      </tp>
      <tp>
        <v>0</v>
        <stp/>
        <stp>1539</stp>
        <stp>PredictVolume</stp>
        <tr r="AM149" s="57"/>
      </tp>
      <tp>
        <v>0</v>
        <stp/>
        <stp>1529</stp>
        <stp>PredictVolume</stp>
        <tr r="AM142" s="57"/>
      </tp>
      <tp>
        <v>0</v>
        <stp/>
        <stp>1519</stp>
        <stp>PredictVolume</stp>
        <tr r="AM138" s="57"/>
      </tp>
      <tp>
        <v>0</v>
        <stp/>
        <stp>1569</stp>
        <stp>PredictVolume</stp>
        <tr r="AM695" s="57"/>
      </tp>
      <tp>
        <v>0</v>
        <stp/>
        <stp>1609</stp>
        <stp>PredictVolume</stp>
        <tr r="AM228" s="57"/>
      </tp>
      <tp>
        <v>0</v>
        <stp/>
        <stp>1799</stp>
        <stp>PredictVolume</stp>
        <tr r="AM309" s="57"/>
      </tp>
      <tp>
        <v>0</v>
        <stp/>
        <stp>1789</stp>
        <stp>PredictVolume</stp>
        <tr r="AM307" s="57"/>
      </tp>
      <tp>
        <v>0</v>
        <stp/>
        <stp>1709</stp>
        <stp>PredictVolume</stp>
        <tr r="AM244" s="57"/>
      </tp>
      <tp>
        <v>0</v>
        <stp/>
        <stp>1109</stp>
        <stp>PredictVolume</stp>
        <tr r="AM10" s="57"/>
      </tp>
      <tp>
        <v>0</v>
        <stp/>
        <stp>1229</stp>
        <stp>PredictVolume</stp>
        <tr r="AM26" s="57"/>
      </tp>
      <tp>
        <v>0</v>
        <stp/>
        <stp>1219</stp>
        <stp>PredictVolume</stp>
        <tr r="AM22" s="57"/>
      </tp>
      <tp>
        <v>0</v>
        <stp/>
        <stp>1259</stp>
        <stp>PredictVolume</stp>
        <tr r="AM1538" s="57"/>
      </tp>
      <tp>
        <v>0</v>
        <stp/>
        <stp>1339</stp>
        <stp>PredictVolume</stp>
        <tr r="AM495" s="57"/>
      </tp>
      <tp>
        <v>0</v>
        <stp/>
        <stp>1319</stp>
        <stp>PredictVolume</stp>
        <tr r="AM493" s="57"/>
      </tp>
      <tp>
        <v>0</v>
        <stp/>
        <stp>1309</stp>
        <stp>PredictVolume</stp>
        <tr r="AM30" s="28"/>
        <tr r="AM50" s="57"/>
      </tp>
      <tp>
        <v>0</v>
        <stp/>
        <stp>1809</stp>
        <stp>PredictVolume</stp>
        <tr r="AM418" s="57"/>
      </tp>
      <tp>
        <v>0</v>
        <stp/>
        <stp>1909</stp>
        <stp>PredictVolume</stp>
        <tr r="AM428" s="57"/>
      </tp>
      <tp>
        <v>0</v>
        <stp/>
        <stp>8499</stp>
        <stp>PredictVolume</stp>
        <tr r="AM1386" s="57"/>
      </tp>
      <tp>
        <v>0</v>
        <stp/>
        <stp>8489</stp>
        <stp>PredictVolume</stp>
        <tr r="AM1792" s="57"/>
      </tp>
      <tp>
        <v>0</v>
        <stp/>
        <stp>8429</stp>
        <stp>PredictVolume</stp>
        <tr r="AM1661" s="57"/>
      </tp>
      <tp>
        <v>0</v>
        <stp/>
        <stp>8409</stp>
        <stp>PredictVolume</stp>
        <tr r="AM411" s="57"/>
      </tp>
      <tp>
        <v>0</v>
        <stp/>
        <stp>8099</stp>
        <stp>PredictVolume</stp>
        <tr r="AM1297" s="57"/>
      </tp>
      <tp>
        <v>0</v>
        <stp/>
        <stp>8089</stp>
        <stp>PredictVolume</stp>
        <tr r="AM1007" s="57"/>
      </tp>
      <tp>
        <v>0</v>
        <stp/>
        <stp>8039</stp>
        <stp>PredictVolume</stp>
        <tr r="AM1201" s="57"/>
      </tp>
      <tp>
        <v>0</v>
        <stp/>
        <stp>8069</stp>
        <stp>PredictVolume</stp>
        <tr r="AM916" s="57"/>
      </tp>
      <tp>
        <v>0</v>
        <stp/>
        <stp>8059</stp>
        <stp>PredictVolume</stp>
        <tr r="AM1006" s="57"/>
      </tp>
      <tp>
        <v>0</v>
        <stp/>
        <stp>8049</stp>
        <stp>PredictVolume</stp>
        <tr r="AM914" s="57"/>
      </tp>
      <tp>
        <v>0</v>
        <stp/>
        <stp>8109</stp>
        <stp>PredictVolume</stp>
        <tr r="AM1211" s="57"/>
      </tp>
      <tp>
        <v>0</v>
        <stp/>
        <stp>8299</stp>
        <stp>PredictVolume</stp>
        <tr r="AM2" s="74"/>
        <tr r="AM692" s="57"/>
      </tp>
      <tp>
        <v>0</v>
        <stp/>
        <stp>8289</stp>
        <stp>PredictVolume</stp>
        <tr r="AM1218" s="57"/>
      </tp>
      <tp>
        <v>0</v>
        <stp/>
        <stp>8279</stp>
        <stp>PredictVolume</stp>
        <tr r="AM408" s="57"/>
      </tp>
      <tp>
        <v>0</v>
        <stp/>
        <stp>8249</stp>
        <stp>PredictVolume</stp>
        <tr r="AM1217" s="57"/>
      </tp>
      <tp>
        <v>0</v>
        <stp/>
        <stp>8349</stp>
        <stp>PredictVolume</stp>
        <tr r="AM472" s="57"/>
      </tp>
      <tp>
        <v>0</v>
        <stp/>
        <stp>8929</stp>
        <stp>PredictVolume</stp>
        <tr r="AM1393" s="57"/>
      </tp>
      <tp>
        <v>0</v>
        <stp/>
        <stp>9939</stp>
        <stp>PredictVolume</stp>
        <tr r="AM1422" s="57"/>
      </tp>
      <tp>
        <v>0</v>
        <stp/>
        <stp>9929</stp>
        <stp>PredictVolume</stp>
        <tr r="AM1416" s="57"/>
      </tp>
      <tp>
        <v>0</v>
        <stp/>
        <stp>9919</stp>
        <stp>PredictVolume</stp>
        <tr r="AM1410" s="57"/>
        <tr r="AM38" s="28"/>
      </tp>
      <tp>
        <v>0</v>
        <stp/>
        <stp>9949</stp>
        <stp>PredictVolume</stp>
        <tr r="AM1794" s="57"/>
      </tp>
      <tp t="s">
        <v>無資料</v>
        <stp/>
        <stp>2204</stp>
        <stp>Price</stp>
        <tr r="Y508" s="57"/>
      </tp>
      <tp t="s">
        <v>無資料</v>
        <stp/>
        <stp>2344</stp>
        <stp>Price</stp>
        <tr r="Y536" s="57"/>
      </tp>
      <tp t="s">
        <v>無資料</v>
        <stp/>
        <stp>2354</stp>
        <stp>Price</stp>
        <tr r="Y1686" s="57"/>
      </tp>
      <tp t="s">
        <v>無資料</v>
        <stp/>
        <stp>2364</stp>
        <stp>Price</stp>
        <tr r="Y705" s="57"/>
      </tp>
      <tp t="s">
        <v>無資料</v>
        <stp/>
        <stp>2374</stp>
        <stp>Price</stp>
        <tr r="Y808" s="57"/>
      </tp>
      <tp t="s">
        <v>無資料</v>
        <stp/>
        <stp>2314</stp>
        <stp>Price</stp>
        <tr r="Y925" s="57"/>
      </tp>
      <tp t="s">
        <v>無資料</v>
        <stp/>
        <stp>2324</stp>
        <stp>Price</stp>
        <tr r="Y698" s="57"/>
      </tp>
      <tp t="s">
        <v>無資料</v>
        <stp/>
        <stp>2064</stp>
        <stp>Price</stp>
        <tr r="Y458" s="57"/>
      </tp>
      <tp t="s">
        <v>無資料</v>
        <stp/>
        <stp>2014</stp>
        <stp>Price</stp>
        <tr r="Y439" s="57"/>
      </tp>
      <tp t="s">
        <v>無資料</v>
        <stp/>
        <stp>2024</stp>
        <stp>Price</stp>
        <tr r="Y445" s="57"/>
      </tp>
      <tp t="s">
        <v>無資料</v>
        <stp/>
        <stp>2034</stp>
        <stp>Price</stp>
        <tr r="Y454" s="57"/>
      </tp>
      <tp t="s">
        <v>無資料</v>
        <stp/>
        <stp>2104</stp>
        <stp>Price</stp>
        <tr r="Y482" s="57"/>
      </tp>
      <tp t="s">
        <v>無資料</v>
        <stp/>
        <stp>2114</stp>
        <stp>Price</stp>
        <tr r="Y488" s="57"/>
      </tp>
      <tp t="s">
        <v>無資料</v>
        <stp/>
        <stp>2614</stp>
        <stp>Price</stp>
        <tr r="Y2" s="113"/>
        <tr r="Y1632" s="57"/>
      </tp>
      <tp t="s">
        <v>無資料</v>
        <stp/>
        <stp>2634</stp>
        <stp>Price</stp>
        <tr r="Y1523" s="57"/>
      </tp>
      <tp t="s">
        <v>無資料</v>
        <stp/>
        <stp>2754</stp>
        <stp>Price</stp>
        <tr r="Y1566" s="57"/>
      </tp>
      <tp t="s">
        <v>無資料</v>
        <stp/>
        <stp>2704</stp>
        <stp>Price</stp>
        <tr r="Y1542" s="57"/>
      </tp>
      <tp t="s">
        <v>商品錯誤</v>
        <stp/>
        <stp>2724</stp>
        <stp>Price</stp>
        <tr r="Y1551" s="57"/>
      </tp>
      <tp t="s">
        <v>無資料</v>
        <stp/>
        <stp>2734</stp>
        <stp>Price</stp>
        <tr r="Y1557" s="57"/>
      </tp>
      <tp t="s">
        <v>無資料</v>
        <stp/>
        <stp>2444</stp>
        <stp>Price</stp>
        <tr r="Y932" s="57"/>
      </tp>
      <tp t="s">
        <v>無資料</v>
        <stp/>
        <stp>2454</stp>
        <stp>Price</stp>
        <tr r="Y549" s="57"/>
      </tp>
      <tp t="s">
        <v>無資料</v>
        <stp/>
        <stp>2464</stp>
        <stp>Price</stp>
        <tr r="Y1695" s="57"/>
      </tp>
      <tp t="s">
        <v>無資料</v>
        <stp/>
        <stp>2474</stp>
        <stp>Price</stp>
        <tr r="Y1696" s="57"/>
      </tp>
      <tp t="s">
        <v>無資料</v>
        <stp/>
        <stp>2404</stp>
        <stp>Price</stp>
        <tr r="Y53" s="28"/>
        <tr r="Y3" s="110"/>
        <tr r="Y19" s="102"/>
        <tr r="Y1691" s="57"/>
        <tr r="Y27" s="102"/>
        <tr r="Y26" s="102"/>
      </tp>
      <tp t="s">
        <v>無資料</v>
        <stp/>
        <stp>2414</stp>
        <stp>Price</stp>
        <tr r="Y1224" s="57"/>
      </tp>
      <tp t="s">
        <v>無資料</v>
        <stp/>
        <stp>2424</stp>
        <stp>Price</stp>
        <tr r="Y717" s="57"/>
      </tp>
      <tp t="s">
        <v>無資料</v>
        <stp/>
        <stp>2434</stp>
        <stp>Price</stp>
        <tr r="Y544" s="57"/>
      </tp>
      <tp t="s">
        <v>無資料</v>
        <stp/>
        <stp>2484</stp>
        <stp>Price</stp>
        <tr r="Y1050" s="57"/>
      </tp>
      <tp t="s">
        <v>無資料</v>
        <stp/>
        <stp>2504</stp>
        <stp>Price</stp>
        <tr r="Y1438" s="57"/>
      </tp>
      <tp t="s">
        <v>無資料</v>
        <stp/>
        <stp>2514</stp>
        <stp>Price</stp>
        <tr r="Y1315" s="57"/>
      </tp>
      <tp t="s">
        <v>無資料</v>
        <stp/>
        <stp>2524</stp>
        <stp>Price</stp>
        <tr r="Y1445" s="57"/>
      </tp>
      <tp t="s">
        <v>無資料</v>
        <stp/>
        <stp>2534</stp>
        <stp>Price</stp>
        <tr r="Y1449" s="57"/>
      </tp>
      <tp t="s">
        <v>無資料</v>
        <stp/>
        <stp>2834</stp>
        <stp>Price</stp>
        <tr r="Y1591" s="57"/>
      </tp>
      <tp t="s">
        <v>無資料</v>
        <stp/>
        <stp>2884</stp>
        <stp>Price</stp>
        <tr r="Y1605" s="57"/>
      </tp>
      <tp t="s">
        <v>無資料</v>
        <stp/>
        <stp>2904</stp>
        <stp>Price</stp>
        <tr r="Y1317" s="57"/>
      </tp>
      <tp t="s">
        <v>無資料</v>
        <stp/>
        <stp>2924</stp>
        <stp>Price</stp>
        <tr r="Y1644" s="57"/>
      </tp>
      <tp t="s">
        <v>無資料</v>
        <stp/>
        <stp>3264</stp>
        <stp>Price</stp>
        <tr r="Y572" s="57"/>
      </tp>
      <tp t="s">
        <v>無資料</v>
        <stp/>
        <stp>3224</stp>
        <stp>Price</stp>
        <tr r="Y1234" s="57"/>
      </tp>
      <tp t="s">
        <v>無資料</v>
        <stp/>
        <stp>3234</stp>
        <stp>Price</stp>
        <tr r="Y948" s="57"/>
      </tp>
      <tp t="s">
        <v>無資料</v>
        <stp/>
        <stp>3284</stp>
        <stp>Price</stp>
        <tr r="Y1319" s="57"/>
      </tp>
      <tp t="s">
        <v>無資料</v>
        <stp/>
        <stp>3294</stp>
        <stp>Price</stp>
        <tr r="Y1080" s="57"/>
      </tp>
      <tp t="s">
        <v>無資料</v>
        <stp/>
        <stp>3354</stp>
        <stp>Price</stp>
        <tr r="Y1089" s="57"/>
      </tp>
      <tp t="s">
        <v>無資料</v>
        <stp/>
        <stp>3374</stp>
        <stp>Price</stp>
        <tr r="Y46" s="22"/>
        <tr r="Y44" s="22"/>
        <tr r="Y577" s="57"/>
        <tr r="Y45" s="22"/>
        <tr r="Y43" s="22"/>
        <tr r="Y20" s="28"/>
        <tr r="Y42" s="22"/>
      </tp>
      <tp t="s">
        <v>無資料</v>
        <stp/>
        <stp>3324</stp>
        <stp>Price</stp>
        <tr r="Y1711" s="57"/>
      </tp>
      <tp t="s">
        <v>無資料</v>
        <stp/>
        <stp>3044</stp>
        <stp>Price</stp>
        <tr r="Y1062" s="57"/>
      </tp>
      <tp t="s">
        <v>無資料</v>
        <stp/>
        <stp>3054</stp>
        <stp>Price</stp>
        <tr r="Y558" s="57"/>
      </tp>
      <tp t="s">
        <v>無資料</v>
        <stp/>
        <stp>3064</stp>
        <stp>Price</stp>
        <tr r="Y1770" s="57"/>
      </tp>
      <tp t="s">
        <v>無資料</v>
        <stp/>
        <stp>3004</stp>
        <stp>Price</stp>
        <tr r="Y462" s="57"/>
      </tp>
      <tp t="s">
        <v>無資料</v>
        <stp/>
        <stp>3014</stp>
        <stp>Price</stp>
        <tr r="Y553" s="57"/>
      </tp>
      <tp t="s">
        <v>無資料</v>
        <stp/>
        <stp>3024</stp>
        <stp>Price</stp>
        <tr r="Y820" s="57"/>
      </tp>
      <tp t="s">
        <v>無資料</v>
        <stp/>
        <stp>3034</stp>
        <stp>Price</stp>
        <tr r="Y555" s="57"/>
      </tp>
      <tp t="s">
        <v>無資料</v>
        <stp/>
        <stp>3094</stp>
        <stp>Price</stp>
        <tr r="Y11" s="115"/>
        <tr r="Y560" s="57"/>
      </tp>
      <tp t="s">
        <v>商品錯誤</v>
        <stp/>
        <stp>3144</stp>
        <stp>Price</stp>
        <tr r="Y1069" s="57"/>
      </tp>
      <tp t="s">
        <v>無資料</v>
        <stp/>
        <stp>3164</stp>
        <stp>Price</stp>
        <tr r="Y312" s="57"/>
      </tp>
      <tp t="s">
        <v>無資料</v>
        <stp/>
        <stp>3114</stp>
        <stp>Price</stp>
        <tr r="Y9" s="99"/>
        <tr r="Y1067" s="57"/>
        <tr r="Y43" s="28"/>
      </tp>
      <tp t="s">
        <v>無資料</v>
        <stp/>
        <stp>3664</stp>
        <stp>Price</stp>
        <tr r="Y961" s="57"/>
      </tp>
      <tp t="s">
        <v>無資料</v>
        <stp/>
        <stp>3624</stp>
        <stp>Price</stp>
        <tr r="Y14" s="115"/>
        <tr r="Y1112" s="57"/>
      </tp>
      <tp t="s">
        <v>無資料</v>
        <stp/>
        <stp>3684</stp>
        <stp>Price</stp>
        <tr r="Y964" s="57"/>
      </tp>
      <tp t="s">
        <v>無資料</v>
        <stp/>
        <stp>3694</stp>
        <stp>Price</stp>
        <tr r="Y965" s="57"/>
      </tp>
      <tp t="s">
        <v>無資料</v>
        <stp/>
        <stp>3704</stp>
        <stp>Price</stp>
        <tr r="Y966" s="57"/>
      </tp>
      <tp t="s">
        <v>無資料</v>
        <stp/>
        <stp>3714</stp>
        <stp>Price</stp>
        <tr r="Y862" s="57"/>
      </tp>
      <tp t="s">
        <v>無資料</v>
        <stp/>
        <stp>3444</stp>
        <stp>Price</stp>
        <tr r="Y1238" s="57"/>
      </tp>
      <tp t="s">
        <v>無資料</v>
        <stp/>
        <stp>3454</stp>
        <stp>Price</stp>
        <tr r="Y840" s="57"/>
      </tp>
      <tp t="s">
        <v>無資料</v>
        <stp/>
        <stp>3434</stp>
        <stp>Price</stp>
        <tr r="Y837" s="57"/>
      </tp>
      <tp t="s">
        <v>無資料</v>
        <stp/>
        <stp>3484</stp>
        <stp>Price</stp>
        <tr r="Y1096" s="57"/>
      </tp>
      <tp t="s">
        <v>無資料</v>
        <stp/>
        <stp>3494</stp>
        <stp>Price</stp>
        <tr r="Y741" s="57"/>
      </tp>
      <tp t="s">
        <v>無資料</v>
        <stp/>
        <stp>3564</stp>
        <stp>Price</stp>
        <tr r="Y958" s="57"/>
      </tp>
      <tp t="s">
        <v>無資料</v>
        <stp/>
        <stp>3504</stp>
        <stp>Price</stp>
        <tr r="Y844" s="57"/>
      </tp>
      <tp t="s">
        <v>無資料</v>
        <stp/>
        <stp>3594</stp>
        <stp>Price</stp>
        <tr r="Y746" s="57"/>
      </tp>
      <tp t="s">
        <v>無資料</v>
        <stp/>
        <stp>1264</stp>
        <stp>Price</stp>
        <tr r="Y35" s="57"/>
      </tp>
      <tp t="s">
        <v>無資料</v>
        <stp/>
        <stp>1234</stp>
        <stp>Price</stp>
        <tr r="Y30" s="57"/>
      </tp>
      <tp t="s">
        <v>無資料</v>
        <stp/>
        <stp>1304</stp>
        <stp>Price</stp>
        <tr r="Y46" s="57"/>
      </tp>
      <tp t="s">
        <v>無資料</v>
        <stp/>
        <stp>1314</stp>
        <stp>Price</stp>
        <tr r="Y80" s="28"/>
        <tr r="Y54" s="57"/>
      </tp>
      <tp t="s">
        <v>無資料</v>
        <stp/>
        <stp>1324</stp>
        <stp>Price</stp>
        <tr r="Y58" s="57"/>
      </tp>
      <tp t="s">
        <v>無資料</v>
        <stp/>
        <stp>1104</stp>
        <stp>Price</stp>
        <tr r="Y8" s="57"/>
      </tp>
      <tp t="s">
        <v>無資料</v>
        <stp/>
        <stp>1604</stp>
        <stp>Price</stp>
        <tr r="Y225" s="57"/>
      </tp>
      <tp t="s">
        <v>無資料</v>
        <stp/>
        <stp>1614</stp>
        <stp>Price</stp>
        <tr r="Y231" s="57"/>
      </tp>
      <tp t="s">
        <v>無資料</v>
        <stp/>
        <stp>1714</stp>
        <stp>Price</stp>
        <tr r="Y249" s="57"/>
      </tp>
      <tp t="s">
        <v>商品錯誤</v>
        <stp/>
        <stp>1724</stp>
        <stp>Price</stp>
        <tr r="Y255" s="57"/>
      </tp>
      <tp t="s">
        <v>無資料</v>
        <stp/>
        <stp>1734</stp>
        <stp>Price</stp>
        <tr r="Y296" s="57"/>
      </tp>
      <tp t="s">
        <v>無資料</v>
        <stp/>
        <stp>1784</stp>
        <stp>Price</stp>
        <tr r="Y304" s="57"/>
      </tp>
      <tp t="s">
        <v>無資料</v>
        <stp/>
        <stp>1444</stp>
        <stp>Price</stp>
        <tr r="Y86" s="57"/>
      </tp>
      <tp t="s">
        <v>無資料</v>
        <stp/>
        <stp>1454</stp>
        <stp>Price</stp>
        <tr r="Y94" s="57"/>
      </tp>
      <tp t="s">
        <v>無資料</v>
        <stp/>
        <stp>1464</stp>
        <stp>Price</stp>
        <tr r="Y101" s="57"/>
      </tp>
      <tp t="s">
        <v>無資料</v>
        <stp/>
        <stp>1474</stp>
        <stp>Price</stp>
        <tr r="Y109" s="57"/>
      </tp>
      <tp t="s">
        <v>無資料</v>
        <stp/>
        <stp>1414</stp>
        <stp>Price</stp>
        <tr r="Y76" s="57"/>
      </tp>
      <tp t="s">
        <v>無資料</v>
        <stp/>
        <stp>1434</stp>
        <stp>Price</stp>
        <tr r="Y81" s="57"/>
      </tp>
      <tp t="s">
        <v>無資料</v>
        <stp/>
        <stp>1504</stp>
        <stp>Price</stp>
        <tr r="Y131" s="57"/>
      </tp>
      <tp t="s">
        <v>無資料</v>
        <stp/>
        <stp>1514</stp>
        <stp>Price</stp>
        <tr r="Y135" s="57"/>
      </tp>
      <tp t="s">
        <v>無資料</v>
        <stp/>
        <stp>1524</stp>
        <stp>Price</stp>
        <tr r="Y499" s="57"/>
      </tp>
      <tp t="s">
        <v>無資料</v>
        <stp/>
        <stp>1584</stp>
        <stp>Price</stp>
        <tr r="Y1308" s="57"/>
      </tp>
      <tp t="s">
        <v>無資料</v>
        <stp/>
        <stp>1904</stp>
        <stp>Price</stp>
        <tr r="Y424" s="57"/>
      </tp>
      <tp t="s">
        <v>無資料</v>
        <stp/>
        <stp>6244</stp>
        <stp>Price</stp>
        <tr r="Y899" s="57"/>
      </tp>
      <tp t="s">
        <v>無資料</v>
        <stp/>
        <stp>6264</stp>
        <stp>Price</stp>
        <tr r="Y1501" s="57"/>
      </tp>
      <tp t="s">
        <v>無資料</v>
        <stp/>
        <stp>6274</stp>
        <stp>Price</stp>
        <tr r="Y1183" s="57"/>
      </tp>
      <tp t="s">
        <v>無資料</v>
        <stp/>
        <stp>6204</stp>
        <stp>Price</stp>
        <tr r="Y1170" s="57"/>
      </tp>
      <tp t="s">
        <v>無資料</v>
        <stp/>
        <stp>6214</stp>
        <stp>Price</stp>
        <tr r="Y1285" s="57"/>
      </tp>
      <tp t="s">
        <v>無資料</v>
        <stp/>
        <stp>6224</stp>
        <stp>Price</stp>
        <tr r="Y1178" s="57"/>
      </tp>
      <tp t="s">
        <v>無資料</v>
        <stp/>
        <stp>6234</stp>
        <stp>Price</stp>
        <tr r="Y898" s="57"/>
      </tp>
      <tp t="s">
        <v>無資料</v>
        <stp/>
        <stp>6284</stp>
        <stp>Price</stp>
        <tr r="Y18" s="22"/>
        <tr r="Y1186" s="57"/>
        <tr r="Y15" s="28"/>
        <tr r="Y17" s="22"/>
        <tr r="Y18" s="115"/>
      </tp>
      <tp t="s">
        <v>無資料</v>
        <stp/>
        <stp>6294</stp>
        <stp>Price</stp>
        <tr r="Y1786" s="57"/>
      </tp>
      <tp t="s">
        <v>無資料</v>
        <stp/>
        <stp>6024</stp>
        <stp>Price</stp>
        <tr r="Y1626" s="57"/>
      </tp>
      <tp t="s">
        <v>無資料</v>
        <stp/>
        <stp>6144</stp>
        <stp>Price</stp>
        <tr r="Y1783" s="57"/>
      </tp>
      <tp t="s">
        <v>無資料</v>
        <stp/>
        <stp>6154</stp>
        <stp>Price</stp>
        <tr r="Y1244" s="57"/>
      </tp>
      <tp t="s">
        <v>無資料</v>
        <stp/>
        <stp>6164</stp>
        <stp>Price</stp>
        <tr r="Y15" s="115"/>
        <tr r="Y890" s="57"/>
      </tp>
      <tp t="s">
        <v>無資料</v>
        <stp/>
        <stp>6174</stp>
        <stp>Price</stp>
        <tr r="Y1163" s="57"/>
      </tp>
      <tp t="s">
        <v>無資料</v>
        <stp/>
        <stp>6104</stp>
        <stp>Price</stp>
        <tr r="Y14" s="107"/>
        <tr r="Y628" s="57"/>
      </tp>
      <tp t="s">
        <v>無資料</v>
        <stp/>
        <stp>6114</stp>
        <stp>Price</stp>
        <tr r="Y1149" s="57"/>
      </tp>
      <tp t="s">
        <v>無資料</v>
        <stp/>
        <stp>6124</stp>
        <stp>Price</stp>
        <tr r="Y1151" s="57"/>
      </tp>
      <tp t="s">
        <v>無資料</v>
        <stp/>
        <stp>6134</stp>
        <stp>Price</stp>
        <tr r="Y1155" s="57"/>
      </tp>
      <tp t="s">
        <v>無資料</v>
        <stp/>
        <stp>6184</stp>
        <stp>Price</stp>
        <tr r="Y1336" s="57"/>
      </tp>
      <tp t="s">
        <v>無資料</v>
        <stp/>
        <stp>6194</stp>
        <stp>Price</stp>
        <tr r="Y1167" s="57"/>
      </tp>
      <tp t="s">
        <v>無資料</v>
        <stp/>
        <stp>6654</stp>
        <stp>Price</stp>
        <tr r="Y1753" s="57"/>
      </tp>
      <tp t="s">
        <v>無資料</v>
        <stp/>
        <stp>6664</stp>
        <stp>Price</stp>
        <tr r="Y11" s="74"/>
        <tr r="Y54" s="28"/>
        <tr r="Y1195" s="57"/>
      </tp>
      <tp t="s">
        <v>無資料</v>
        <stp/>
        <stp>6674</stp>
        <stp>Price</stp>
        <tr r="Y1001" s="57"/>
      </tp>
      <tp t="s">
        <v>無資料</v>
        <stp/>
        <stp>6624</stp>
        <stp>Price</stp>
        <tr r="Y1344" s="57"/>
      </tp>
      <tp t="s">
        <v>無資料</v>
        <stp/>
        <stp>6684</stp>
        <stp>Price</stp>
        <tr r="Y671" s="57"/>
      </tp>
      <tp t="s">
        <v>無資料</v>
        <stp/>
        <stp>6754</stp>
        <stp>Price</stp>
        <tr r="Y1351" s="57"/>
      </tp>
      <tp t="s">
        <v>無資料</v>
        <stp/>
        <stp>6464</stp>
        <stp>Price</stp>
        <tr r="Y1339" s="57"/>
      </tp>
      <tp t="s">
        <v>無資料</v>
        <stp/>
        <stp>6404</stp>
        <stp>Price</stp>
        <tr r="Y1289" s="57"/>
      </tp>
      <tp t="s">
        <v>無資料</v>
        <stp/>
        <stp>6414</stp>
        <stp>Price</stp>
        <tr r="Y19" s="115"/>
        <tr r="Y67" s="28"/>
        <tr r="Y787" s="57"/>
      </tp>
      <tp t="s">
        <v>無資料</v>
        <stp/>
        <stp>6494</stp>
        <stp>Price</stp>
        <tr r="Y654" s="57"/>
      </tp>
      <tp t="s">
        <v>無資料</v>
        <stp/>
        <stp>6574</stp>
        <stp>Price</stp>
        <tr r="Y392" s="57"/>
      </tp>
      <tp t="s">
        <v>無資料</v>
        <stp/>
        <stp>6504</stp>
        <stp>Price</stp>
        <tr r="Y1340" s="57"/>
      </tp>
      <tp t="s">
        <v>無資料</v>
        <stp/>
        <stp>6514</stp>
        <stp>Price</stp>
        <tr r="Y997" s="57"/>
      </tp>
      <tp t="s">
        <v>無資料</v>
        <stp/>
        <stp>6594</stp>
        <stp>Price</stp>
        <tr r="Y665" s="57"/>
        <tr r="Y11" s="108"/>
      </tp>
      <tp t="s">
        <v>無資料</v>
        <stp/>
        <stp>4304</stp>
        <stp>Price</stp>
        <tr r="Y65" s="57"/>
      </tp>
      <tp t="s">
        <v>無資料</v>
        <stp/>
        <stp>4154</stp>
        <stp>Price</stp>
        <tr r="Y346" s="57"/>
      </tp>
      <tp t="s">
        <v>無資料</v>
        <stp/>
        <stp>4164</stp>
        <stp>Price</stp>
        <tr r="Y353" s="57"/>
      </tp>
      <tp t="s">
        <v>無資料</v>
        <stp/>
        <stp>4174</stp>
        <stp>Price</stp>
        <tr r="Y357" s="57"/>
      </tp>
      <tp t="s">
        <v>無資料</v>
        <stp/>
        <stp>4104</stp>
        <stp>Price</stp>
        <tr r="Y318" s="57"/>
      </tp>
      <tp t="s">
        <v>無資料</v>
        <stp/>
        <stp>4114</stp>
        <stp>Price</stp>
        <tr r="Y325" s="57"/>
      </tp>
      <tp t="s">
        <v>無資料</v>
        <stp/>
        <stp>4744</stp>
        <stp>Price</stp>
        <tr r="Y370" s="57"/>
      </tp>
      <tp t="s">
        <v>無資料</v>
        <stp/>
        <stp>4754</stp>
        <stp>Price</stp>
        <tr r="Y277" s="57"/>
      </tp>
      <tp t="s">
        <v>無資料</v>
        <stp/>
        <stp>4764</stp>
        <stp>Price</stp>
        <tr r="Y280" s="57"/>
      </tp>
      <tp t="s">
        <v>無資料</v>
        <stp/>
        <stp>4714</stp>
        <stp>Price</stp>
        <tr r="Y270" s="57"/>
      </tp>
      <tp t="s">
        <v>無資料</v>
        <stp/>
        <stp>4414</stp>
        <stp>Price</stp>
        <tr r="Y117" s="57"/>
      </tp>
      <tp t="s">
        <v>無資料</v>
        <stp/>
        <stp>4554</stp>
        <stp>Price</stp>
        <tr r="Y1728" s="57"/>
      </tp>
      <tp t="s">
        <v>無資料</v>
        <stp/>
        <stp>4564</stp>
        <stp>Price</stp>
        <tr r="Y202" s="57"/>
      </tp>
      <tp t="s">
        <v>無資料</v>
        <stp/>
        <stp>4534</stp>
        <stp>Price</stp>
        <tr r="Y189" s="57"/>
      </tp>
      <tp t="s">
        <v>無資料</v>
        <stp/>
        <stp>4804</stp>
        <stp>Price</stp>
        <tr r="Y1571" s="57"/>
      </tp>
      <tp t="s">
        <v>無資料</v>
        <stp/>
        <stp>4944</stp>
        <stp>Price</stp>
        <tr r="Y868" s="57"/>
      </tp>
      <tp t="s">
        <v>無資料</v>
        <stp/>
        <stp>4974</stp>
        <stp>Price</stp>
        <tr r="Y1128" s="57"/>
      </tp>
      <tp t="s">
        <v>無資料</v>
        <stp/>
        <stp>4904</stp>
        <stp>Price</stp>
        <tr r="Y968" s="57"/>
      </tp>
      <tp t="s">
        <v>無資料</v>
        <stp/>
        <stp>4924</stp>
        <stp>Price</stp>
        <tr r="Y756" s="57"/>
      </tp>
      <tp t="s">
        <v>無資料</v>
        <stp/>
        <stp>4934</stp>
        <stp>Price</stp>
        <tr r="Y865" s="57"/>
      </tp>
      <tp t="s">
        <v>無資料</v>
        <stp/>
        <stp>4994</stp>
        <stp>Price</stp>
        <tr r="Y1270" s="57"/>
      </tp>
      <tp t="s">
        <v>無資料</v>
        <stp/>
        <stp>5274</stp>
        <stp>Price</stp>
        <tr r="Y614" s="57"/>
      </tp>
      <tp t="s">
        <v>無資料</v>
        <stp/>
        <stp>5234</stp>
        <stp>Price</stp>
        <tr r="Y6" s="98"/>
        <tr r="Y876" s="57"/>
      </tp>
      <tp t="s">
        <v>無資料</v>
        <stp/>
        <stp>5284</stp>
        <stp>Price</stp>
        <tr r="Y1328" s="57"/>
      </tp>
      <tp t="s">
        <v>無資料</v>
        <stp/>
        <stp>5344</stp>
        <stp>Price</stp>
        <tr r="Y619" s="57"/>
      </tp>
      <tp t="s">
        <v>無資料</v>
        <stp/>
        <stp>5364</stp>
        <stp>Price</stp>
        <tr r="Y1573" s="57"/>
      </tp>
      <tp t="s">
        <v>無資料</v>
        <stp/>
        <stp>5314</stp>
        <stp>Price</stp>
        <tr r="Y618" s="57"/>
      </tp>
      <tp t="s">
        <v>無資料</v>
        <stp/>
        <stp>5324</stp>
        <stp>Price</stp>
        <tr r="Y1477" s="57"/>
      </tp>
      <tp t="s">
        <v>無資料</v>
        <stp/>
        <stp>5014</stp>
        <stp>Price</stp>
        <tr r="Y467" s="57"/>
      </tp>
      <tp t="s">
        <v>無資料</v>
        <stp/>
        <stp>5604</stp>
        <stp>Price</stp>
        <tr r="Y1531" s="57"/>
      </tp>
      <tp t="s">
        <v>無資料</v>
        <stp/>
        <stp>5704</stp>
        <stp>Price</stp>
        <tr r="Y1576" s="57"/>
      </tp>
      <tp t="s">
        <v>無資料</v>
        <stp/>
        <stp>5464</stp>
        <stp>Price</stp>
        <tr r="Y1143" s="57"/>
      </tp>
      <tp t="s">
        <v>無資料</v>
        <stp/>
        <stp>5474</stp>
        <stp>Price</stp>
        <tr r="Y769" s="57"/>
      </tp>
      <tp t="s">
        <v>無資料</v>
        <stp/>
        <stp>5434</stp>
        <stp>Price</stp>
        <tr r="Y1241" s="57"/>
      </tp>
      <tp t="s">
        <v>無資料</v>
        <stp/>
        <stp>5484</stp>
        <stp>Price</stp>
        <tr r="Y886" s="57"/>
      </tp>
      <tp t="s">
        <v>無資料</v>
        <stp/>
        <stp>5514</stp>
        <stp>Price</stp>
        <tr r="Y1482" s="57"/>
      </tp>
      <tp t="s">
        <v>無資料</v>
        <stp/>
        <stp>5534</stp>
        <stp>Price</stp>
        <tr r="Y1493" s="57"/>
      </tp>
      <tp t="s">
        <v>無資料</v>
        <stp/>
        <stp>5864</stp>
        <stp>Price</stp>
        <tr r="Y1616" s="57"/>
      </tp>
      <tp t="s">
        <v>無資料</v>
        <stp/>
        <stp>5904</stp>
        <stp>Price</stp>
        <tr r="Y1654" s="57"/>
      </tp>
      <tp t="s">
        <v>無資料</v>
        <stp/>
        <stp>8234</stp>
        <stp>Price</stp>
        <tr r="Y800" s="57"/>
      </tp>
      <tp t="s">
        <v>無資料</v>
        <stp/>
        <stp>8284</stp>
        <stp>Price</stp>
        <tr r="Y1298" s="57"/>
      </tp>
      <tp t="s">
        <v>無資料</v>
        <stp/>
        <stp>8354</stp>
        <stp>Price</stp>
        <tr r="Y68" s="57"/>
      </tp>
      <tp t="s">
        <v>無資料</v>
        <stp/>
        <stp>8374</stp>
        <stp>Price</stp>
        <tr r="Y219" s="57"/>
      </tp>
      <tp t="s">
        <v>無資料</v>
        <stp/>
        <stp>8044</stp>
        <stp>Price</stp>
        <tr r="Y1802" s="57"/>
      </tp>
      <tp t="s">
        <v>無資料</v>
        <stp/>
        <stp>8054</stp>
        <stp>Price</stp>
        <tr r="Y682" s="57"/>
      </tp>
      <tp t="s">
        <v>無資料</v>
        <stp/>
        <stp>8064</stp>
        <stp>Price</stp>
        <tr r="Y915" s="57"/>
      </tp>
      <tp t="s">
        <v>無資料</v>
        <stp/>
        <stp>8074</stp>
        <stp>Price</stp>
        <tr r="Y1206" s="57"/>
      </tp>
      <tp t="s">
        <v>無資料</v>
        <stp/>
        <stp>8024</stp>
        <stp>Price</stp>
        <tr r="Y679" s="57"/>
      </tp>
      <tp t="s">
        <v>無資料</v>
        <stp/>
        <stp>8034</stp>
        <stp>Price</stp>
        <tr r="Y1004" s="57"/>
      </tp>
      <tp t="s">
        <v>無資料</v>
        <stp/>
        <stp>8084</stp>
        <stp>Price</stp>
        <tr r="Y1256" s="57"/>
      </tp>
      <tp t="s">
        <v>無資料</v>
        <stp/>
        <stp>8104</stp>
        <stp>Price</stp>
        <tr r="Y918" s="57"/>
      </tp>
      <tp t="s">
        <v>無資料</v>
        <stp/>
        <stp>8114</stp>
        <stp>Price</stp>
        <tr r="Y797" s="57"/>
      </tp>
      <tp t="s">
        <v>無資料</v>
        <stp/>
        <stp>8444</stp>
        <stp>Price</stp>
        <tr r="Y1374" s="57"/>
      </tp>
      <tp t="s">
        <v>無資料</v>
        <stp/>
        <stp>8454</stp>
        <stp>Price</stp>
        <tr r="Y1664" s="57"/>
      </tp>
      <tp t="s">
        <v>無資料</v>
        <stp/>
        <stp>8464</stp>
        <stp>Price</stp>
        <tr r="Y1376" s="57"/>
      </tp>
      <tp t="s">
        <v>無資料</v>
        <stp/>
        <stp>8404</stp>
        <stp>Price</stp>
        <tr r="Y1361" s="57"/>
      </tp>
      <tp t="s">
        <v>無資料</v>
        <stp/>
        <stp>8924</stp>
        <stp>Price</stp>
        <tr r="Y1391" s="57"/>
      </tp>
      <tp t="s">
        <v>無資料</v>
        <stp/>
        <stp>9944</stp>
        <stp>Price</stp>
        <tr r="Y1426" s="57"/>
      </tp>
      <tp t="s">
        <v>無資料</v>
        <stp/>
        <stp>9904</stp>
        <stp>Price</stp>
        <tr r="Y1403" s="57"/>
      </tp>
      <tp t="s">
        <v>無資料</v>
        <stp/>
        <stp>9914</stp>
        <stp>Price</stp>
        <tr r="Y1408" s="57"/>
      </tp>
      <tp t="s">
        <v>無資料</v>
        <stp/>
        <stp>9924</stp>
        <stp>Price</stp>
        <tr r="Y1412" s="57"/>
      </tp>
      <tp t="s">
        <v>無資料</v>
        <stp/>
        <stp>9934</stp>
        <stp>Price</stp>
        <tr r="Y1419" s="57"/>
      </tp>
      <tp>
        <v>0</v>
        <stp/>
        <stp>6488</stp>
        <stp>PredictVolume</stp>
        <tr r="AM653" s="57"/>
      </tp>
      <tp>
        <v>0</v>
        <stp/>
        <stp>6438</stp>
        <stp>PredictVolume</stp>
        <tr r="AM1749" s="57"/>
        <tr r="AM14" s="74"/>
      </tp>
      <tp>
        <v>0</v>
        <stp/>
        <stp>6418</stp>
        <stp>PredictVolume</stp>
        <tr r="AM5" s="101"/>
        <tr r="AM1190" s="57"/>
      </tp>
      <tp>
        <v>0</v>
        <stp/>
        <stp>6598</stp>
        <stp>PredictVolume</stp>
        <tr r="AM395" s="57"/>
      </tp>
      <tp>
        <v>0</v>
        <stp/>
        <stp>6588</stp>
        <stp>PredictVolume</stp>
        <tr r="AM1000" s="57"/>
      </tp>
      <tp>
        <v>0</v>
        <stp/>
        <stp>6538</stp>
        <stp>PredictVolume</stp>
        <tr r="AM9" s="102"/>
        <tr r="AM8" s="99"/>
        <tr r="AM2" s="101"/>
        <tr r="AM8" s="109"/>
        <tr r="AM49" s="28"/>
        <tr r="AM7" s="109"/>
        <tr r="AM48" s="28"/>
        <tr r="AM1193" s="57"/>
        <tr r="AM3" s="112"/>
        <tr r="AM2" s="109"/>
      </tp>
      <tp>
        <v>0</v>
        <stp/>
        <stp>6508</stp>
        <stp>PredictVolume</stp>
        <tr r="AM1809" s="57"/>
      </tp>
      <tp>
        <v>0</v>
        <stp/>
        <stp>6578</stp>
        <stp>PredictVolume</stp>
        <tr r="AM1807" s="57"/>
      </tp>
      <tp>
        <v>0</v>
        <stp/>
        <stp>6568</stp>
        <stp>PredictVolume</stp>
        <tr r="AM663" s="57"/>
        <tr r="AM40" s="98"/>
      </tp>
      <tp>
        <v>0</v>
        <stp/>
        <stp>6558</stp>
        <stp>PredictVolume</stp>
        <tr r="AM36" s="28"/>
        <tr r="AM1751" s="57"/>
      </tp>
      <tp>
        <v>0</v>
        <stp/>
        <stp>6548</stp>
        <stp>PredictVolume</stp>
        <tr r="AM661" s="57"/>
      </tp>
      <tp>
        <v>0</v>
        <stp/>
        <stp>6698</stp>
        <stp>PredictVolume</stp>
        <tr r="AM20" s="115"/>
        <tr r="AM1756" s="57"/>
      </tp>
      <tp>
        <v>0</v>
        <stp/>
        <stp>6668</stp>
        <stp>PredictVolume</stp>
        <tr r="AM911" s="57"/>
      </tp>
      <tp>
        <v>0</v>
        <stp/>
        <stp>6788</stp>
        <stp>PredictVolume</stp>
        <tr r="AM676" s="57"/>
      </tp>
      <tp>
        <v>0</v>
        <stp/>
        <stp>6728</stp>
        <stp>PredictVolume</stp>
        <tr r="AM1659" s="57"/>
      </tp>
      <tp>
        <v>0</v>
        <stp/>
        <stp>6768</stp>
        <stp>PredictVolume</stp>
        <tr r="AM1352" s="57"/>
      </tp>
      <tp>
        <v>0</v>
        <stp/>
        <stp>6198</stp>
        <stp>PredictVolume</stp>
        <tr r="AM633" s="57"/>
      </tp>
      <tp>
        <v>0</v>
        <stp/>
        <stp>6188</stp>
        <stp>PredictVolume</stp>
        <tr r="AM780" s="57"/>
      </tp>
      <tp>
        <v>0</v>
        <stp/>
        <stp>6138</stp>
        <stp>PredictVolume</stp>
        <tr r="AM630" s="57"/>
      </tp>
      <tp>
        <v>0</v>
        <stp/>
        <stp>6128</stp>
        <stp>PredictVolume</stp>
        <tr r="AM774" s="57"/>
      </tp>
      <tp>
        <v>0</v>
        <stp/>
        <stp>6118</stp>
        <stp>PredictVolume</stp>
        <tr r="AM1243" s="57"/>
      </tp>
      <tp>
        <v>0</v>
        <stp/>
        <stp>6108</stp>
        <stp>PredictVolume</stp>
        <tr r="AM1148" s="57"/>
      </tp>
      <tp>
        <v>0</v>
        <stp/>
        <stp>6168</stp>
        <stp>PredictVolume</stp>
        <tr r="AM892" s="57"/>
      </tp>
      <tp>
        <v>0</v>
        <stp/>
        <stp>6158</stp>
        <stp>PredictVolume</stp>
        <tr r="AM1160" s="57"/>
      </tp>
      <tp>
        <v>0</v>
        <stp/>
        <stp>6148</stp>
        <stp>PredictVolume</stp>
        <tr r="AM1283" s="57"/>
      </tp>
      <tp>
        <v>0</v>
        <stp/>
        <stp>6288</stp>
        <stp>PredictVolume</stp>
        <tr r="AM525" s="57"/>
      </tp>
      <tp>
        <v>0</v>
        <stp/>
        <stp>6228</stp>
        <stp>PredictVolume</stp>
        <tr r="AM782" s="57"/>
      </tp>
      <tp>
        <v>0</v>
        <stp/>
        <stp>6218</stp>
        <stp>PredictVolume</stp>
        <tr r="AM986" s="57"/>
      </tp>
      <tp>
        <v>0</v>
        <stp/>
        <stp>6208</stp>
        <stp>PredictVolume</stp>
        <tr r="AM1173" s="57"/>
      </tp>
      <tp>
        <v>0</v>
        <stp/>
        <stp>6278</stp>
        <stp>PredictVolume</stp>
        <tr r="AM901" s="57"/>
      </tp>
      <tp>
        <v>0</v>
        <stp/>
        <stp>6248</stp>
        <stp>PredictVolume</stp>
        <tr r="AM471" s="57"/>
      </tp>
      <tp>
        <v>0</v>
        <stp/>
        <stp>4438</stp>
        <stp>PredictVolume</stp>
        <tr r="AM125" s="57"/>
      </tp>
      <tp>
        <v>0</v>
        <stp/>
        <stp>4538</stp>
        <stp>PredictVolume</stp>
        <tr r="AM191" s="57"/>
      </tp>
      <tp>
        <v>0</v>
        <stp/>
        <stp>4528</stp>
        <stp>PredictVolume</stp>
        <tr r="AM185" s="57"/>
      </tp>
      <tp>
        <v>0</v>
        <stp/>
        <stp>4568</stp>
        <stp>PredictVolume</stp>
        <tr r="AM204" s="57"/>
      </tp>
      <tp>
        <v>0</v>
        <stp/>
        <stp>4728</stp>
        <stp>PredictVolume</stp>
        <tr r="AM365" s="57"/>
      </tp>
      <tp>
        <v>0</v>
        <stp/>
        <stp>4198</stp>
        <stp>PredictVolume</stp>
        <tr r="AM363" s="57"/>
      </tp>
      <tp>
        <v>0</v>
        <stp/>
        <stp>4188</stp>
        <stp>PredictVolume</stp>
        <tr r="AM360" s="57"/>
      </tp>
      <tp>
        <v>0</v>
        <stp/>
        <stp>4138</stp>
        <stp>PredictVolume</stp>
        <tr r="AM339" s="57"/>
      </tp>
      <tp>
        <v>0</v>
        <stp/>
        <stp>4128</stp>
        <stp>PredictVolume</stp>
        <tr r="AM16" s="28"/>
        <tr r="AM333" s="57"/>
      </tp>
      <tp>
        <v>0</v>
        <stp/>
        <stp>4108</stp>
        <stp>PredictVolume</stp>
        <tr r="AM322" s="57"/>
      </tp>
      <tp>
        <v>0</v>
        <stp/>
        <stp>4168</stp>
        <stp>PredictVolume</stp>
        <tr r="AM355" s="57"/>
      </tp>
      <tp>
        <v>0</v>
        <stp/>
        <stp>4148</stp>
        <stp>PredictVolume</stp>
        <tr r="AM344" s="57"/>
      </tp>
      <tp>
        <v>0</v>
        <stp/>
        <stp>4938</stp>
        <stp>PredictVolume</stp>
        <tr r="AM23" s="28"/>
        <tr r="AM758" s="57"/>
      </tp>
      <tp>
        <v>0</v>
        <stp/>
        <stp>4908</stp>
        <stp>PredictVolume</stp>
        <tr r="AM970" s="57"/>
      </tp>
      <tp>
        <v>0</v>
        <stp/>
        <stp>4968</stp>
        <stp>PredictVolume</stp>
        <tr r="AM606" s="57"/>
        <tr r="AM7" s="107"/>
      </tp>
      <tp>
        <v>0</v>
        <stp/>
        <stp>4958</stp>
        <stp>PredictVolume</stp>
        <tr r="AM28" s="28"/>
        <tr r="AM1127" s="57"/>
      </tp>
      <tp>
        <v>0</v>
        <stp/>
        <stp>5498</stp>
        <stp>PredictVolume</stp>
        <tr r="AM1147" s="57"/>
      </tp>
      <tp>
        <v>0</v>
        <stp/>
        <stp>5488</stp>
        <stp>PredictVolume</stp>
        <tr r="AM1146" s="57"/>
      </tp>
      <tp>
        <v>0</v>
        <stp/>
        <stp>5438</stp>
        <stp>PredictVolume</stp>
        <tr r="AM767" s="57"/>
      </tp>
      <tp>
        <v>0</v>
        <stp/>
        <stp>5478</stp>
        <stp>PredictVolume</stp>
        <tr r="AM1780" s="57"/>
      </tp>
      <tp>
        <v>0</v>
        <stp/>
        <stp>5468</stp>
        <stp>PredictVolume</stp>
        <tr r="AM623" s="57"/>
      </tp>
      <tp>
        <v>0</v>
        <stp/>
        <stp>5538</stp>
        <stp>PredictVolume</stp>
        <tr r="AM470" s="57"/>
      </tp>
      <tp>
        <v>0</v>
        <stp/>
        <stp>5508</stp>
        <stp>PredictVolume</stp>
        <tr r="AM1479" s="57"/>
      </tp>
      <tp>
        <v>0</v>
        <stp/>
        <stp>5608</stp>
        <stp>PredictVolume</stp>
        <tr r="AM1533" s="57"/>
      </tp>
      <tp>
        <v>0</v>
        <stp/>
        <stp>5288</stp>
        <stp>PredictVolume</stp>
        <tr r="AM209" s="57"/>
      </tp>
      <tp>
        <v>0</v>
        <stp/>
        <stp>5278</stp>
        <stp>PredictVolume</stp>
        <tr r="AM1799" s="57"/>
      </tp>
      <tp>
        <v>0</v>
        <stp/>
        <stp>5258</stp>
        <stp>PredictVolume</stp>
        <tr r="AM762" s="57"/>
      </tp>
      <tp>
        <v>0</v>
        <stp/>
        <stp>5398</stp>
        <stp>PredictVolume</stp>
        <tr r="AM1330" s="57"/>
      </tp>
      <tp>
        <v>0</v>
        <stp/>
        <stp>5388</stp>
        <stp>PredictVolume</stp>
        <tr r="AM976" s="57"/>
      </tp>
      <tp>
        <v>0</v>
        <stp/>
        <stp>5328</stp>
        <stp>PredictVolume</stp>
        <tr r="AM1135" s="57"/>
      </tp>
      <tp>
        <v>0</v>
        <stp/>
        <stp>5348</stp>
        <stp>PredictVolume</stp>
        <tr r="AM974" s="57"/>
      </tp>
      <tp>
        <v>0</v>
        <stp/>
        <stp>5878</stp>
        <stp>PredictVolume</stp>
        <tr r="AM1618" s="57"/>
      </tp>
      <tp>
        <v>0</v>
        <stp/>
        <stp>2498</stp>
        <stp>PredictVolume</stp>
        <tr r="AM936" s="57"/>
      </tp>
      <tp>
        <v>0</v>
        <stp/>
        <stp>2488</stp>
        <stp>PredictVolume</stp>
        <tr r="AM1699" s="57"/>
      </tp>
      <tp>
        <v>0</v>
        <stp/>
        <stp>2438</stp>
        <stp>PredictVolume</stp>
        <tr r="AM813" s="57"/>
      </tp>
      <tp>
        <v>0</v>
        <stp/>
        <stp>2428</stp>
        <stp>PredictVolume</stp>
        <tr r="AM1037" s="57"/>
      </tp>
      <tp>
        <v>0</v>
        <stp/>
        <stp>2408</stp>
        <stp>PredictVolume</stp>
        <tr r="AM543" s="57"/>
      </tp>
      <tp>
        <v>0</v>
        <stp/>
        <stp>2478</stp>
        <stp>PredictVolume</stp>
        <tr r="AM1048" s="57"/>
      </tp>
      <tp>
        <v>0</v>
        <stp/>
        <stp>2468</stp>
        <stp>PredictVolume</stp>
        <tr r="AM1263" s="57"/>
      </tp>
      <tp>
        <v>0</v>
        <stp/>
        <stp>2458</stp>
        <stp>PredictVolume</stp>
        <tr r="AM550" s="57"/>
      </tp>
      <tp>
        <v>0</v>
        <stp/>
        <stp>2538</stp>
        <stp>PredictVolume</stp>
        <tr r="AM1453" s="57"/>
      </tp>
      <tp>
        <v>0</v>
        <stp/>
        <stp>2528</stp>
        <stp>PredictVolume</stp>
        <tr r="AM1447" s="57"/>
      </tp>
      <tp>
        <v>0</v>
        <stp/>
        <stp>2548</stp>
        <stp>PredictVolume</stp>
        <tr r="AM1461" s="57"/>
      </tp>
      <tp>
        <v>0</v>
        <stp/>
        <stp>2618</stp>
        <stp>PredictVolume</stp>
        <tr r="AM1520" s="57"/>
      </tp>
      <tp>
        <v>0</v>
        <stp/>
        <stp>2608</stp>
        <stp>PredictVolume</stp>
        <tr r="AM1512" s="57"/>
      </tp>
      <tp>
        <v>0</v>
        <stp/>
        <stp>2718</stp>
        <stp>PredictVolume</stp>
        <tr r="AM1547" s="57"/>
      </tp>
      <tp>
        <v>0</v>
        <stp/>
        <stp>2748</stp>
        <stp>PredictVolume</stp>
        <tr r="AM1563" s="57"/>
      </tp>
      <tp>
        <v>0</v>
        <stp/>
        <stp>2038</stp>
        <stp>PredictVolume</stp>
        <tr r="AM456" s="57"/>
      </tp>
      <tp>
        <v>0</v>
        <stp/>
        <stp>2028</stp>
        <stp>PredictVolume</stp>
        <tr r="AM448" s="57"/>
      </tp>
      <tp>
        <v>0</v>
        <stp/>
        <stp>2008</stp>
        <stp>PredictVolume</stp>
        <tr r="AM434" s="57"/>
      </tp>
      <tp>
        <v>0</v>
        <stp/>
        <stp>2108</stp>
        <stp>PredictVolume</stp>
        <tr r="AM486" s="57"/>
      </tp>
      <tp>
        <v>0</v>
        <stp/>
        <stp>2228</stp>
        <stp>PredictVolume</stp>
        <tr r="AM512" s="57"/>
      </tp>
      <tp>
        <v>0</v>
        <stp/>
        <stp>2208</stp>
        <stp>PredictVolume</stp>
        <tr r="AM1507" s="57"/>
      </tp>
      <tp>
        <v>0</v>
        <stp/>
        <stp>2388</stp>
        <stp>PredictVolume</stp>
        <tr r="AM541" s="57"/>
      </tp>
      <tp>
        <v>0</v>
        <stp/>
        <stp>2338</stp>
        <stp>PredictVolume</stp>
        <tr r="AM534" s="57"/>
      </tp>
      <tp>
        <v>0</v>
        <stp/>
        <stp>2328</stp>
        <stp>PredictVolume</stp>
        <tr r="AM1024" s="57"/>
      </tp>
      <tp>
        <v>0</v>
        <stp/>
        <stp>2308</stp>
        <stp>PredictVolume</stp>
        <tr r="AM1020" s="57"/>
      </tp>
      <tp>
        <v>0</v>
        <stp/>
        <stp>2368</stp>
        <stp>PredictVolume</stp>
        <tr r="AM1027" s="57"/>
      </tp>
      <tp>
        <v>0</v>
        <stp/>
        <stp>2358</stp>
        <stp>PredictVolume</stp>
        <tr r="AM1312" s="57"/>
      </tp>
      <tp>
        <v>0</v>
        <stp/>
        <stp>2348</stp>
        <stp>PredictVolume</stp>
        <tr r="AM4" s="98"/>
        <tr r="AM1311" s="57"/>
      </tp>
      <tp>
        <v>0</v>
        <stp/>
        <stp>2888</stp>
        <stp>PredictVolume</stp>
        <tr r="AM1609" s="57"/>
      </tp>
      <tp>
        <v>0</v>
        <stp/>
        <stp>2838</stp>
        <stp>PredictVolume</stp>
        <tr r="AM1593" s="57"/>
      </tp>
      <tp t="s">
        <v>商品錯誤</v>
        <stp/>
        <stp>2928</stp>
        <stp>PredictVolume</stp>
        <tr r="AM1568" s="57"/>
      </tp>
      <tp>
        <v>0</v>
        <stp/>
        <stp>2908</stp>
        <stp>PredictVolume</stp>
        <tr r="AM1637" s="57"/>
      </tp>
      <tp>
        <v>0</v>
        <stp/>
        <stp>3498</stp>
        <stp>PredictVolume</stp>
        <tr r="AM1715" s="57"/>
      </tp>
      <tp>
        <v>0</v>
        <stp/>
        <stp>3438</stp>
        <stp>PredictVolume</stp>
        <tr r="AM579" s="57"/>
      </tp>
      <tp>
        <v>0</v>
        <stp/>
        <stp>3588</stp>
        <stp>PredictVolume</stp>
        <tr r="AM592" s="57"/>
      </tp>
      <tp>
        <v>0</v>
        <stp/>
        <stp>3528</stp>
        <stp>PredictVolume</stp>
        <tr r="AM1239" s="57"/>
      </tp>
      <tp>
        <v>0</v>
        <stp/>
        <stp>3518</stp>
        <stp>PredictVolume</stp>
        <tr r="AM1717" s="57"/>
      </tp>
      <tp>
        <v>0</v>
        <stp/>
        <stp>3508</stp>
        <stp>PredictVolume</stp>
        <tr r="AM1716" s="57"/>
      </tp>
      <tp>
        <v>0</v>
        <stp/>
        <stp>3558</stp>
        <stp>PredictVolume</stp>
        <tr r="AM957" s="57"/>
      </tp>
      <tp>
        <v>0</v>
        <stp/>
        <stp>3548</stp>
        <stp>PredictVolume</stp>
        <tr r="AM1105" s="57"/>
      </tp>
      <tp>
        <v>0</v>
        <stp/>
        <stp>3708</stp>
        <stp>PredictVolume</stp>
        <tr r="AM12" s="107"/>
        <tr r="AM265" s="57"/>
      </tp>
      <tp>
        <v>0</v>
        <stp/>
        <stp>3088</stp>
        <stp>PredictVolume</stp>
        <tr r="AM730" s="57"/>
      </tp>
      <tp>
        <v>0</v>
        <stp/>
        <stp>3038</stp>
        <stp>PredictVolume</stp>
        <tr r="AM822" s="57"/>
      </tp>
      <tp>
        <v>0</v>
        <stp/>
        <stp>3028</stp>
        <stp>PredictVolume</stp>
        <tr r="AM1228" s="57"/>
      </tp>
      <tp>
        <v>0</v>
        <stp/>
        <stp>3018</stp>
        <stp>PredictVolume</stp>
        <tr r="AM1701" s="57"/>
      </tp>
      <tp>
        <v>0</v>
        <stp/>
        <stp>3008</stp>
        <stp>PredictVolume</stp>
        <tr r="AM818" s="57"/>
      </tp>
      <tp>
        <v>0</v>
        <stp/>
        <stp>3078</stp>
        <stp>PredictVolume</stp>
        <tr r="AM1064" s="57"/>
      </tp>
      <tp>
        <v>0</v>
        <stp/>
        <stp>3058</stp>
        <stp>PredictVolume</stp>
        <tr r="AM1063" s="57"/>
      </tp>
      <tp>
        <v>0</v>
        <stp/>
        <stp>3048</stp>
        <stp>PredictVolume</stp>
        <tr r="AM1231" s="57"/>
      </tp>
      <tp>
        <v>0</v>
        <stp/>
        <stp>3188</stp>
        <stp>PredictVolume</stp>
        <tr r="AM1468" s="57"/>
      </tp>
      <tp>
        <v>0</v>
        <stp/>
        <stp>3138</stp>
        <stp>PredictVolume</stp>
        <tr r="AM944" s="57"/>
      </tp>
      <tp>
        <v>0</v>
        <stp/>
        <stp>3128</stp>
        <stp>PredictVolume</stp>
        <tr r="AM828" s="57"/>
      </tp>
      <tp>
        <v>0</v>
        <stp/>
        <stp>3118</stp>
        <stp>PredictVolume</stp>
        <tr r="AM311" s="57"/>
      </tp>
      <tp>
        <v>0</v>
        <stp/>
        <stp>3178</stp>
        <stp>PredictVolume</stp>
        <tr r="AM173" s="57"/>
      </tp>
      <tp>
        <v>0</v>
        <stp/>
        <stp>3288</stp>
        <stp>PredictVolume</stp>
        <tr r="AM1078" s="57"/>
      </tp>
      <tp>
        <v>0</v>
        <stp/>
        <stp>3228</stp>
        <stp>PredictVolume</stp>
        <tr r="AM568" s="57"/>
      </tp>
      <tp>
        <v>0</v>
        <stp/>
        <stp>3218</stp>
        <stp>PredictVolume</stp>
        <tr r="AM315" s="57"/>
      </tp>
      <tp>
        <v>0</v>
        <stp/>
        <stp>3268</stp>
        <stp>PredictVolume</stp>
        <tr r="AM574" s="57"/>
      </tp>
      <tp>
        <v>0</v>
        <stp/>
        <stp>3388</stp>
        <stp>PredictVolume</stp>
        <tr r="AM1092" s="57"/>
      </tp>
      <tp>
        <v>0</v>
        <stp/>
        <stp>3338</stp>
        <stp>PredictVolume</stp>
        <tr r="AM1088" s="57"/>
      </tp>
      <tp>
        <v>0</v>
        <stp/>
        <stp>3308</stp>
        <stp>PredictVolume</stp>
        <tr r="AM1082" s="57"/>
      </tp>
      <tp>
        <v>0</v>
        <stp/>
        <stp>1438</stp>
        <stp>PredictVolume</stp>
        <tr r="AM1433" s="57"/>
      </tp>
      <tp>
        <v>0</v>
        <stp/>
        <stp>1418</stp>
        <stp>PredictVolume</stp>
        <tr r="AM78" s="57"/>
      </tp>
      <tp>
        <v>0</v>
        <stp/>
        <stp>1468</stp>
        <stp>PredictVolume</stp>
        <tr r="AM105" s="57"/>
      </tp>
      <tp>
        <v>0</v>
        <stp/>
        <stp>1598</stp>
        <stp>PredictVolume</stp>
        <tr r="AM39" s="28"/>
        <tr r="AM290" s="57"/>
      </tp>
      <tp>
        <v>0</v>
        <stp/>
        <stp>1538</stp>
        <stp>PredictVolume</stp>
        <tr r="AM148" s="57"/>
      </tp>
      <tp>
        <v>0</v>
        <stp/>
        <stp>1528</stp>
        <stp>PredictVolume</stp>
        <tr r="AM141" s="57"/>
      </tp>
      <tp>
        <v>0</v>
        <stp/>
        <stp>1568</stp>
        <stp>PredictVolume</stp>
        <tr r="AM503" s="57"/>
      </tp>
      <tp>
        <v>0</v>
        <stp/>
        <stp>1558</stp>
        <stp>PredictVolume</stp>
        <tr r="AM152" s="57"/>
      </tp>
      <tp>
        <v>0</v>
        <stp/>
        <stp>1618</stp>
        <stp>PredictVolume</stp>
        <tr r="AM235" s="57"/>
      </tp>
      <tp>
        <v>0</v>
        <stp/>
        <stp>1608</stp>
        <stp>PredictVolume</stp>
        <tr r="AM227" s="57"/>
      </tp>
      <tp>
        <v>0</v>
        <stp/>
        <stp>1788</stp>
        <stp>PredictVolume</stp>
        <tr r="AM306" s="57"/>
      </tp>
      <tp>
        <v>0</v>
        <stp/>
        <stp>1718</stp>
        <stp>PredictVolume</stp>
        <tr r="AM251" s="57"/>
      </tp>
      <tp>
        <v>0</v>
        <stp/>
        <stp>1708</stp>
        <stp>PredictVolume</stp>
        <tr r="AM243" s="57"/>
      </tp>
      <tp>
        <v>0</v>
        <stp/>
        <stp>1108</stp>
        <stp>PredictVolume</stp>
        <tr r="AM9" s="57"/>
      </tp>
      <tp>
        <v>0</v>
        <stp/>
        <stp>1218</stp>
        <stp>PredictVolume</stp>
        <tr r="AM21" s="57"/>
      </tp>
      <tp>
        <v>0</v>
        <stp/>
        <stp>1268</stp>
        <stp>PredictVolume</stp>
        <tr r="AM1539" s="57"/>
      </tp>
      <tp>
        <v>0</v>
        <stp/>
        <stp>1258</stp>
        <stp>PredictVolume</stp>
        <tr r="AM34" s="57"/>
      </tp>
      <tp>
        <v>0</v>
        <stp/>
        <stp>1338</stp>
        <stp>PredictVolume</stp>
        <tr r="AM494" s="57"/>
      </tp>
      <tp>
        <v>0</v>
        <stp/>
        <stp>1308</stp>
        <stp>PredictVolume</stp>
        <tr r="AM49" s="57"/>
      </tp>
      <tp>
        <v>0</v>
        <stp/>
        <stp>1808</stp>
        <stp>PredictVolume</stp>
        <tr r="AM1436" s="57"/>
      </tp>
      <tp>
        <v>0</v>
        <stp/>
        <stp>8488</stp>
        <stp>PredictVolume</stp>
        <tr r="AM1385" s="57"/>
      </tp>
      <tp>
        <v>0</v>
        <stp/>
        <stp>8418</stp>
        <stp>PredictVolume</stp>
        <tr r="AM1363" s="57"/>
      </tp>
      <tp>
        <v>0</v>
        <stp/>
        <stp>8478</stp>
        <stp>PredictVolume</stp>
        <tr r="AM1381" s="57"/>
      </tp>
      <tp>
        <v>0</v>
        <stp/>
        <stp>8088</stp>
        <stp>PredictVolume</stp>
        <tr r="AM10" s="99"/>
        <tr r="AM44" s="28"/>
        <tr r="AM685" s="57"/>
      </tp>
      <tp>
        <v>0</v>
        <stp/>
        <stp>8038</stp>
        <stp>PredictVolume</stp>
        <tr r="AM1200" s="57"/>
      </tp>
      <tp>
        <v>0</v>
        <stp/>
        <stp>8028</stp>
        <stp>PredictVolume</stp>
        <tr r="AM680" s="57"/>
      </tp>
      <tp>
        <v>0</v>
        <stp/>
        <stp>8068</stp>
        <stp>PredictVolume</stp>
        <tr r="AM1253" s="57"/>
      </tp>
      <tp>
        <v>0</v>
        <stp/>
        <stp>8048</stp>
        <stp>PredictVolume</stp>
        <tr r="AM1005" s="57"/>
      </tp>
      <tp>
        <v>0</v>
        <stp/>
        <stp>8358</stp>
        <stp>PredictVolume</stp>
        <tr r="AM1220" s="57"/>
      </tp>
      <tp>
        <v>0</v>
        <stp/>
        <stp>8938</stp>
        <stp>PredictVolume</stp>
        <tr r="AM1399" s="57"/>
      </tp>
      <tp>
        <v>0</v>
        <stp/>
        <stp>8928</stp>
        <stp>PredictVolume</stp>
        <tr r="AM1392" s="57"/>
      </tp>
      <tp>
        <v>0</v>
        <stp/>
        <stp>8908</stp>
        <stp>PredictVolume</stp>
        <tr r="AM1676" s="57"/>
      </tp>
      <tp>
        <v>0</v>
        <stp/>
        <stp>9938</stp>
        <stp>PredictVolume</stp>
        <tr r="AM1421" s="57"/>
      </tp>
      <tp>
        <v>0</v>
        <stp/>
        <stp>9928</stp>
        <stp>PredictVolume</stp>
        <tr r="AM1415" s="57"/>
      </tp>
      <tp>
        <v>0</v>
        <stp/>
        <stp>9918</stp>
        <stp>PredictVolume</stp>
        <tr r="AM1674" s="57"/>
      </tp>
      <tp>
        <v>0</v>
        <stp/>
        <stp>9908</stp>
        <stp>PredictVolume</stp>
        <tr r="AM1677" s="57"/>
      </tp>
      <tp>
        <v>0</v>
        <stp/>
        <stp>9958</stp>
        <stp>PredictVolume</stp>
        <tr r="AM475" s="57"/>
      </tp>
      <tp t="s">
        <v>無資料</v>
        <stp/>
        <stp>2235</stp>
        <stp>Price</stp>
        <tr r="Y168" s="57"/>
      </tp>
      <tp t="s">
        <v>無資料</v>
        <stp/>
        <stp>2345</stp>
        <stp>Price</stp>
        <tr r="Y928" s="57"/>
      </tp>
      <tp t="s">
        <v>無資料</v>
        <stp/>
        <stp>2355</stp>
        <stp>Price</stp>
        <tr r="Y1025" s="57"/>
      </tp>
      <tp t="s">
        <v>無資料</v>
        <stp/>
        <stp>2365</stp>
        <stp>Price</stp>
        <tr r="Y706" s="57"/>
      </tp>
      <tp t="s">
        <v>無資料</v>
        <stp/>
        <stp>2375</stp>
        <stp>Price</stp>
        <tr r="Y13" s="99"/>
        <tr r="Y20" s="107"/>
        <tr r="Y47" s="28"/>
        <tr r="Y1028" s="57"/>
      </tp>
      <tp t="s">
        <v>無資料</v>
        <stp/>
        <stp>2305</stp>
        <stp>Price</stp>
        <tr r="Y697" s="57"/>
      </tp>
      <tp t="s">
        <v>無資料</v>
        <stp/>
        <stp>2385</stp>
        <stp>Price</stp>
        <tr r="Y1030" s="57"/>
      </tp>
      <tp t="s">
        <v>無資料</v>
        <stp/>
        <stp>2395</stp>
        <stp>Price</stp>
        <tr r="Y712" s="57"/>
      </tp>
      <tp t="s">
        <v>無資料</v>
        <stp/>
        <stp>2065</stp>
        <stp>Price</stp>
        <tr r="Y459" s="57"/>
      </tp>
      <tp t="s">
        <v>無資料</v>
        <stp/>
        <stp>2015</stp>
        <stp>Price</stp>
        <tr r="Y440" s="57"/>
      </tp>
      <tp t="s">
        <v>無資料</v>
        <stp/>
        <stp>2025</stp>
        <stp>Price</stp>
        <tr r="Y446" s="57"/>
      </tp>
      <tp t="s">
        <v>無資料</v>
        <stp/>
        <stp>2035</stp>
        <stp>Price</stp>
        <tr r="Y455" s="57"/>
      </tp>
      <tp t="s">
        <v>無資料</v>
        <stp/>
        <stp>2105</stp>
        <stp>Price</stp>
        <tr r="Y5" s="113"/>
        <tr r="Y483" s="57"/>
      </tp>
      <tp t="s">
        <v>無資料</v>
        <stp/>
        <stp>2115</stp>
        <stp>Price</stp>
        <tr r="Y506" s="57"/>
      </tp>
      <tp t="s">
        <v>無資料</v>
        <stp/>
        <stp>2605</stp>
        <stp>Price</stp>
        <tr r="Y1509" s="57"/>
        <tr r="Y18" s="74"/>
      </tp>
      <tp t="s">
        <v>無資料</v>
        <stp/>
        <stp>2615</stp>
        <stp>Price</stp>
        <tr r="Y21" s="74"/>
        <tr r="Y1518" s="57"/>
        <tr r="Y24" s="74"/>
      </tp>
      <tp t="s">
        <v>無資料</v>
        <stp/>
        <stp>2745</stp>
        <stp>Price</stp>
        <tr r="Y1562" s="57"/>
      </tp>
      <tp t="s">
        <v>無資料</v>
        <stp/>
        <stp>2755</stp>
        <stp>Price</stp>
        <tr r="Y1567" s="57"/>
      </tp>
      <tp t="s">
        <v>無資料</v>
        <stp/>
        <stp>2705</stp>
        <stp>Price</stp>
        <tr r="Y1543" s="57"/>
      </tp>
      <tp t="s">
        <v>無資料</v>
        <stp/>
        <stp>2455</stp>
        <stp>Price</stp>
        <tr r="Y934" s="57"/>
      </tp>
      <tp t="s">
        <v>無資料</v>
        <stp/>
        <stp>2465</stp>
        <stp>Price</stp>
        <tr r="Y720" s="57"/>
      </tp>
      <tp t="s">
        <v>無資料</v>
        <stp/>
        <stp>2405</stp>
        <stp>Price</stp>
        <tr r="Y715" s="57"/>
      </tp>
      <tp t="s">
        <v>無資料</v>
        <stp/>
        <stp>2415</stp>
        <stp>Price</stp>
        <tr r="Y1034" s="57"/>
      </tp>
      <tp t="s">
        <v>無資料</v>
        <stp/>
        <stp>2425</stp>
        <stp>Price</stp>
        <tr r="Y718" s="57"/>
      </tp>
      <tp t="s">
        <v>無資料</v>
        <stp/>
        <stp>2485</stp>
        <stp>Price</stp>
        <tr r="Y935" s="57"/>
      </tp>
      <tp t="s">
        <v>無資料</v>
        <stp/>
        <stp>2495</stp>
        <stp>Price</stp>
        <tr r="Y1700" s="57"/>
      </tp>
      <tp t="s">
        <v>無資料</v>
        <stp/>
        <stp>2545</stp>
        <stp>Price</stp>
        <tr r="Y1458" s="57"/>
      </tp>
      <tp t="s">
        <v>無資料</v>
        <stp/>
        <stp>2505</stp>
        <stp>Price</stp>
        <tr r="Y1439" s="57"/>
      </tp>
      <tp t="s">
        <v>無資料</v>
        <stp/>
        <stp>2515</stp>
        <stp>Price</stp>
        <tr r="Y1813" s="57"/>
      </tp>
      <tp t="s">
        <v>無資料</v>
        <stp/>
        <stp>2535</stp>
        <stp>Price</stp>
        <tr r="Y1450" s="57"/>
      </tp>
      <tp t="s">
        <v>無資料</v>
        <stp/>
        <stp>2845</stp>
        <stp>Price</stp>
        <tr r="Y1594" s="57"/>
      </tp>
      <tp t="s">
        <v>無資料</v>
        <stp/>
        <stp>2855</stp>
        <stp>Price</stp>
        <tr r="Y1599" s="57"/>
      </tp>
      <tp t="s">
        <v>無資料</v>
        <stp/>
        <stp>2885</stp>
        <stp>Price</stp>
        <tr r="Y1606" s="57"/>
      </tp>
      <tp t="s">
        <v>無資料</v>
        <stp/>
        <stp>2945</stp>
        <stp>Price</stp>
        <tr r="Y8" s="108"/>
        <tr r="Y1648" s="57"/>
      </tp>
      <tp t="s">
        <v>無資料</v>
        <stp/>
        <stp>2905</stp>
        <stp>Price</stp>
        <tr r="Y1635" s="57"/>
      </tp>
      <tp t="s">
        <v>無資料</v>
        <stp/>
        <stp>2915</stp>
        <stp>Price</stp>
        <tr r="Y1642" s="57"/>
      </tp>
      <tp t="s">
        <v>無資料</v>
        <stp/>
        <stp>3265</stp>
        <stp>Price</stp>
        <tr r="Y89" s="22"/>
        <tr r="Y25" s="28"/>
        <tr r="Y86" s="22"/>
        <tr r="Y87" s="22"/>
        <tr r="Y573" s="57"/>
        <tr r="Y88" s="22"/>
      </tp>
      <tp t="s">
        <v>無資料</v>
        <stp/>
        <stp>3205</stp>
        <stp>Price</stp>
        <tr r="Y314" s="57"/>
      </tp>
      <tp t="s">
        <v>無資料</v>
        <stp/>
        <stp>3285</stp>
        <stp>Price</stp>
        <tr r="Y1707" s="57"/>
      </tp>
      <tp t="s">
        <v>無資料</v>
        <stp/>
        <stp>3305</stp>
        <stp>Price</stp>
        <tr r="Y1710" s="57"/>
      </tp>
      <tp t="s">
        <v>無資料</v>
        <stp/>
        <stp>3325</stp>
        <stp>Price</stp>
        <tr r="Y737" s="57"/>
        <tr r="Y23" s="101"/>
      </tp>
      <tp t="s">
        <v>無資料</v>
        <stp/>
        <stp>3045</stp>
        <stp>Price</stp>
        <tr r="Y939" s="57"/>
      </tp>
      <tp t="s">
        <v>無資料</v>
        <stp/>
        <stp>3055</stp>
        <stp>Price</stp>
        <tr r="Y1232" s="57"/>
      </tp>
      <tp t="s">
        <v>無資料</v>
        <stp/>
        <stp>3005</stp>
        <stp>Price</stp>
        <tr r="Y722" s="57"/>
      </tp>
      <tp t="s">
        <v>無資料</v>
        <stp/>
        <stp>3015</stp>
        <stp>Price</stp>
        <tr r="Y21" s="28"/>
        <tr r="Y58" s="22"/>
        <tr r="Y1055" s="57"/>
      </tp>
      <tp t="s">
        <v>無資料</v>
        <stp/>
        <stp>3025</stp>
        <stp>Price</stp>
        <tr r="Y17" s="101"/>
        <tr r="Y937" s="57"/>
      </tp>
      <tp t="s">
        <v>無資料</v>
        <stp/>
        <stp>3035</stp>
        <stp>Price</stp>
        <tr r="Y9" s="115"/>
        <tr r="Y556" s="57"/>
      </tp>
      <tp t="s">
        <v>無資料</v>
        <stp/>
        <stp>3085</stp>
        <stp>Price</stp>
        <tr r="Y1797" s="57"/>
      </tp>
      <tp t="s">
        <v>無資料</v>
        <stp/>
        <stp>3095</stp>
        <stp>Price</stp>
        <tr r="Y943" s="57"/>
      </tp>
      <tp t="s">
        <v>無資料</v>
        <stp/>
        <stp>3105</stp>
        <stp>Price</stp>
        <tr r="Y561" s="57"/>
      </tp>
      <tp t="s">
        <v>無資料</v>
        <stp/>
        <stp>3115</stp>
        <stp>Price</stp>
        <tr r="Y1068" s="57"/>
      </tp>
      <tp t="s">
        <v>無資料</v>
        <stp/>
        <stp>3645</stp>
        <stp>Price</stp>
        <tr r="Y1114" s="57"/>
      </tp>
      <tp t="s">
        <v>無資料</v>
        <stp/>
        <stp>3665</stp>
        <stp>Price</stp>
        <tr r="Y1727" s="57"/>
        <tr r="Y6" s="107"/>
      </tp>
      <tp t="s">
        <v>無資料</v>
        <stp/>
        <stp>3675</stp>
        <stp>Price</stp>
        <tr r="Y595" s="57"/>
      </tp>
      <tp t="s">
        <v>無資料</v>
        <stp/>
        <stp>3605</stp>
        <stp>Price</stp>
        <tr r="Y1109" s="57"/>
        <tr r="Y85" s="28"/>
      </tp>
      <tp t="s">
        <v>無資料</v>
        <stp/>
        <stp>3615</stp>
        <stp>Price</stp>
        <tr r="Y852" s="57"/>
      </tp>
      <tp t="s">
        <v>無資料</v>
        <stp/>
        <stp>3625</stp>
        <stp>Price</stp>
        <tr r="Y748" s="57"/>
      </tp>
      <tp t="s">
        <v>無資料</v>
        <stp/>
        <stp>3685</stp>
        <stp>Price</stp>
        <tr r="Y859" s="57"/>
      </tp>
      <tp t="s">
        <v>無資料</v>
        <stp/>
        <stp>3705</stp>
        <stp>Price</stp>
        <tr r="Y316" s="57"/>
      </tp>
      <tp t="s">
        <v>無資料</v>
        <stp/>
        <stp>3455</stp>
        <stp>Price</stp>
        <tr r="Y55" s="28"/>
        <tr r="Y12" s="115"/>
        <tr r="Y841" s="57"/>
        <tr r="Y12" s="74"/>
      </tp>
      <tp t="s">
        <v>無資料</v>
        <stp/>
        <stp>3465</stp>
        <stp>Price</stp>
        <tr r="Y1095" s="57"/>
      </tp>
      <tp t="s">
        <v>無資料</v>
        <stp/>
        <stp>3545</stp>
        <stp>Price</stp>
        <tr r="Y586" s="57"/>
        <tr r="Y6" s="99"/>
      </tp>
      <tp t="s">
        <v>無資料</v>
        <stp/>
        <stp>3555</stp>
        <stp>Price</stp>
        <tr r="Y587" s="57"/>
      </tp>
      <tp t="s">
        <v>無資料</v>
        <stp/>
        <stp>3515</stp>
        <stp>Price</stp>
        <tr r="Y742" s="57"/>
      </tp>
      <tp t="s">
        <v>無資料</v>
        <stp/>
        <stp>3535</stp>
        <stp>Price</stp>
        <tr r="Y847" s="57"/>
      </tp>
      <tp t="s">
        <v>無資料</v>
        <stp/>
        <stp>1215</stp>
        <stp>Price</stp>
        <tr r="Y18" s="57"/>
      </tp>
      <tp t="s">
        <v>無資料</v>
        <stp/>
        <stp>1225</stp>
        <stp>Price</stp>
        <tr r="Y24" s="57"/>
      </tp>
      <tp t="s">
        <v>無資料</v>
        <stp/>
        <stp>1235</stp>
        <stp>Price</stp>
        <tr r="Y31" s="57"/>
      </tp>
      <tp t="s">
        <v>無資料</v>
        <stp/>
        <stp>1305</stp>
        <stp>Price</stp>
        <tr r="Y47" s="57"/>
      </tp>
      <tp t="s">
        <v>無資料</v>
        <stp/>
        <stp>1315</stp>
        <stp>Price</stp>
        <tr r="Y55" s="57"/>
      </tp>
      <tp t="s">
        <v>無資料</v>
        <stp/>
        <stp>1325</stp>
        <stp>Price</stp>
        <tr r="Y59" s="57"/>
        <tr r="Y12" s="102"/>
        <tr r="Y40" s="28"/>
        <tr r="Y156" s="22"/>
        <tr r="Y157" s="22"/>
        <tr r="Y158" s="22"/>
        <tr r="Y159" s="22"/>
        <tr r="Y160" s="22"/>
        <tr r="Y161" s="22"/>
      </tp>
      <tp t="s">
        <v>無資料</v>
        <stp/>
        <stp>1605</stp>
        <stp>Price</stp>
        <tr r="Y226" s="57"/>
      </tp>
      <tp t="s">
        <v>無資料</v>
        <stp/>
        <stp>1615</stp>
        <stp>Price</stp>
        <tr r="Y232" s="57"/>
      </tp>
      <tp t="s">
        <v>無資料</v>
        <stp/>
        <stp>1725</stp>
        <stp>Price</stp>
        <tr r="Y256" s="57"/>
      </tp>
      <tp t="s">
        <v>無資料</v>
        <stp/>
        <stp>1735</stp>
        <stp>Price</stp>
        <tr r="Y261" s="57"/>
      </tp>
      <tp t="s">
        <v>無資料</v>
        <stp/>
        <stp>1785</stp>
        <stp>Price</stp>
        <tr r="Y1683" s="57"/>
      </tp>
      <tp t="s">
        <v>無資料</v>
        <stp/>
        <stp>1795</stp>
        <stp>Price</stp>
        <tr r="Y308" s="57"/>
      </tp>
      <tp t="s">
        <v>無資料</v>
        <stp/>
        <stp>1445</stp>
        <stp>Price</stp>
        <tr r="Y87" s="57"/>
      </tp>
      <tp t="s">
        <v>無資料</v>
        <stp/>
        <stp>1455</stp>
        <stp>Price</stp>
        <tr r="Y95" s="57"/>
      </tp>
      <tp t="s">
        <v>無資料</v>
        <stp/>
        <stp>1465</stp>
        <stp>Price</stp>
        <tr r="Y102" s="57"/>
      </tp>
      <tp t="s">
        <v>無資料</v>
        <stp/>
        <stp>1475</stp>
        <stp>Price</stp>
        <tr r="Y110" s="57"/>
      </tp>
      <tp t="s">
        <v>無資料</v>
        <stp/>
        <stp>1435</stp>
        <stp>Price</stp>
        <tr r="Y1305" s="57"/>
      </tp>
      <tp t="s">
        <v>無資料</v>
        <stp/>
        <stp>1565</stp>
        <stp>Price</stp>
        <tr r="Y288" s="57"/>
      </tp>
      <tp t="s">
        <v>無資料</v>
        <stp/>
        <stp>1515</stp>
        <stp>Price</stp>
        <tr r="Y136" s="57"/>
      </tp>
      <tp t="s">
        <v>無資料</v>
        <stp/>
        <stp>1525</stp>
        <stp>Price</stp>
        <tr r="Y500" s="57"/>
      </tp>
      <tp t="s">
        <v>無資料</v>
        <stp/>
        <stp>1535</stp>
        <stp>Price</stp>
        <tr r="Y146" s="57"/>
      </tp>
      <tp t="s">
        <v>無資料</v>
        <stp/>
        <stp>1595</stp>
        <stp>Price</stp>
        <tr r="Y1017" s="57"/>
      </tp>
      <tp t="s">
        <v>無資料</v>
        <stp/>
        <stp>1805</stp>
        <stp>Price</stp>
        <tr r="Y1435" s="57"/>
      </tp>
      <tp t="s">
        <v>無資料</v>
        <stp/>
        <stp>1815</stp>
        <stp>Price</stp>
        <tr r="Y1018" s="57"/>
      </tp>
      <tp t="s">
        <v>無資料</v>
        <stp/>
        <stp>1905</stp>
        <stp>Price</stp>
        <tr r="Y425" s="57"/>
      </tp>
      <tp t="s">
        <v>無資料</v>
        <stp/>
        <stp>6245</stp>
        <stp>Price</stp>
        <tr r="Y988" s="57"/>
      </tp>
      <tp t="s">
        <v>無資料</v>
        <stp/>
        <stp>6265</stp>
        <stp>Price</stp>
        <tr r="Y1247" s="57"/>
      </tp>
      <tp t="s">
        <v>無資料</v>
        <stp/>
        <stp>6275</stp>
        <stp>Price</stp>
        <tr r="Y1746" s="57"/>
      </tp>
      <tp t="s">
        <v>無資料</v>
        <stp/>
        <stp>6205</stp>
        <stp>Price</stp>
        <tr r="Y1171" s="57"/>
      </tp>
      <tp t="s">
        <v>無資料</v>
        <stp/>
        <stp>6215</stp>
        <stp>Price</stp>
        <tr r="Y1744" s="57"/>
      </tp>
      <tp t="s">
        <v>無資料</v>
        <stp/>
        <stp>6225</stp>
        <stp>Price</stp>
        <tr r="Y896" s="57"/>
      </tp>
      <tp t="s">
        <v>無資料</v>
        <stp/>
        <stp>6235</stp>
        <stp>Price</stp>
        <tr r="Y17" s="115"/>
        <tr r="Y784" s="57"/>
      </tp>
      <tp t="s">
        <v>無資料</v>
        <stp/>
        <stp>6285</stp>
        <stp>Price</stp>
        <tr r="Y990" s="57"/>
      </tp>
      <tp t="s">
        <v>無資料</v>
        <stp/>
        <stp>6005</stp>
        <stp>Price</stp>
        <tr r="Y1620" s="57"/>
      </tp>
      <tp t="s">
        <v>無資料</v>
        <stp/>
        <stp>6015</stp>
        <stp>Price</stp>
        <tr r="Y1621" s="57"/>
      </tp>
      <tp t="s">
        <v>無資料</v>
        <stp/>
        <stp>6155</stp>
        <stp>Price</stp>
        <tr r="Y1158" s="57"/>
      </tp>
      <tp t="s">
        <v>無資料</v>
        <stp/>
        <stp>6165</stp>
        <stp>Price</stp>
        <tr r="Y1161" s="57"/>
      </tp>
      <tp t="s">
        <v>無資料</v>
        <stp/>
        <stp>6175</stp>
        <stp>Price</stp>
        <tr r="Y1164" s="57"/>
      </tp>
      <tp t="s">
        <v>無資料</v>
        <stp/>
        <stp>6115</stp>
        <stp>Price</stp>
        <tr r="Y1150" s="57"/>
      </tp>
      <tp t="s">
        <v>無資料</v>
        <stp/>
        <stp>6125</stp>
        <stp>Price</stp>
        <tr r="Y889" s="57"/>
      </tp>
      <tp t="s">
        <v>無資料</v>
        <stp/>
        <stp>6185</stp>
        <stp>Price</stp>
        <tr r="Y1165" s="57"/>
      </tp>
      <tp t="s">
        <v>無資料</v>
        <stp/>
        <stp>6195</stp>
        <stp>Price</stp>
        <tr r="Y1658" s="57"/>
      </tp>
      <tp t="s">
        <v>無資料</v>
        <stp/>
        <stp>6655</stp>
        <stp>Price</stp>
        <tr r="Y1348" s="57"/>
      </tp>
      <tp t="s">
        <v>無資料</v>
        <stp/>
        <stp>6605</stp>
        <stp>Price</stp>
        <tr r="Y526" s="57"/>
      </tp>
      <tp t="s">
        <v>無資料</v>
        <stp/>
        <stp>6615</stp>
        <stp>Price</stp>
        <tr r="Y397" s="57"/>
        <tr r="Y398" s="57"/>
        <tr r="Y400" s="57"/>
      </tp>
      <tp t="s">
        <v>無資料</v>
        <stp/>
        <stp>6625</stp>
        <stp>Price</stp>
        <tr r="Y1345" s="57"/>
      </tp>
      <tp t="s">
        <v>無資料</v>
        <stp/>
        <stp>6715</stp>
        <stp>Price</stp>
        <tr r="Y1197" s="57"/>
      </tp>
      <tp t="s">
        <v>無資料</v>
        <stp/>
        <stp>6405</stp>
        <stp>Price</stp>
        <tr r="Y903" s="57"/>
      </tp>
      <tp t="s">
        <v>無資料</v>
        <stp/>
        <stp>6415</stp>
        <stp>Price</stp>
        <tr r="Y647" s="57"/>
      </tp>
      <tp t="s">
        <v>無資料</v>
        <stp/>
        <stp>6425</stp>
        <stp>Price</stp>
        <tr r="Y211" s="57"/>
      </tp>
      <tp t="s">
        <v>無資料</v>
        <stp/>
        <stp>6435</stp>
        <stp>Price</stp>
        <tr r="Y648" s="57"/>
      </tp>
      <tp t="s">
        <v>無資料</v>
        <stp/>
        <stp>6485</stp>
        <stp>Price</stp>
        <tr r="Y652" s="57"/>
      </tp>
      <tp t="s">
        <v>無資料</v>
        <stp/>
        <stp>6505</stp>
        <stp>Price</stp>
        <tr r="Y1679" s="57"/>
      </tp>
      <tp t="s">
        <v>無資料</v>
        <stp/>
        <stp>6515</stp>
        <stp>Price</stp>
        <tr r="Y656" s="57"/>
        <tr r="Y7" s="74"/>
      </tp>
      <tp t="s">
        <v>無資料</v>
        <stp/>
        <stp>6525</stp>
        <stp>Price</stp>
        <tr r="Y657" s="57"/>
      </tp>
      <tp t="s">
        <v>無資料</v>
        <stp/>
        <stp>6535</stp>
        <stp>Price</stp>
        <tr r="Y83" s="28"/>
        <tr r="Y388" s="57"/>
      </tp>
      <tp t="s">
        <v>無資料</v>
        <stp/>
        <stp>4205</stp>
        <stp>Price</stp>
        <tr r="Y39" s="57"/>
      </tp>
      <tp t="s">
        <v>無資料</v>
        <stp/>
        <stp>4305</stp>
        <stp>Price</stp>
        <tr r="Y66" s="57"/>
      </tp>
      <tp t="s">
        <v>無資料</v>
        <stp/>
        <stp>4155</stp>
        <stp>Price</stp>
        <tr r="Y347" s="57"/>
      </tp>
      <tp t="s">
        <v>無資料</v>
        <stp/>
        <stp>4175</stp>
        <stp>Price</stp>
        <tr r="Y358" s="57"/>
      </tp>
      <tp t="s">
        <v>無資料</v>
        <stp/>
        <stp>4105</stp>
        <stp>Price</stp>
        <tr r="Y319" s="57"/>
        <tr r="Y25" s="74"/>
      </tp>
      <tp t="s">
        <v>無資料</v>
        <stp/>
        <stp>4745</stp>
        <stp>Price</stp>
        <tr r="Y371" s="57"/>
      </tp>
      <tp t="s">
        <v>無資料</v>
        <stp/>
        <stp>4755</stp>
        <stp>Price</stp>
        <tr r="Y278" s="57"/>
      </tp>
      <tp t="s">
        <v>無資料</v>
        <stp/>
        <stp>4735</stp>
        <stp>Price</stp>
        <tr r="Y3" s="108"/>
        <tr r="Y116" s="22"/>
        <tr r="Y118" s="22"/>
        <tr r="Y6" s="108"/>
        <tr r="Y366" s="57"/>
        <tr r="Y34" s="28"/>
        <tr r="Y117" s="22"/>
      </tp>
      <tp t="s">
        <v>無資料</v>
        <stp/>
        <stp>4545</stp>
        <stp>Price</stp>
        <tr r="Y1121" s="57"/>
      </tp>
      <tp t="s">
        <v>無資料</v>
        <stp/>
        <stp>4555</stp>
        <stp>Price</stp>
        <tr r="Y197" s="57"/>
      </tp>
      <tp t="s">
        <v>無資料</v>
        <stp/>
        <stp>4535</stp>
        <stp>Price</stp>
        <tr r="Y190" s="57"/>
      </tp>
      <tp t="s">
        <v>無資料</v>
        <stp/>
        <stp>4945</stp>
        <stp>Price</stp>
        <tr r="Y601" s="57"/>
      </tp>
      <tp t="s">
        <v>無資料</v>
        <stp/>
        <stp>4915</stp>
        <stp>Price</stp>
        <tr r="Y1123" s="57"/>
      </tp>
      <tp t="s">
        <v>無資料</v>
        <stp/>
        <stp>4935</stp>
        <stp>Price</stp>
        <tr r="Y866" s="57"/>
        <tr r="Y27" s="74"/>
      </tp>
      <tp t="s">
        <v>無資料</v>
        <stp/>
        <stp>4995</stp>
        <stp>Price</stp>
        <tr r="Y873" s="57"/>
      </tp>
      <tp t="s">
        <v>無資料</v>
        <stp/>
        <stp>5245</stp>
        <stp>Price</stp>
        <tr r="Y878" s="57"/>
      </tp>
      <tp t="s">
        <v>無資料</v>
        <stp/>
        <stp>5205</stp>
        <stp>Price</stp>
        <tr r="Y1730" s="57"/>
      </tp>
      <tp t="s">
        <v>無資料</v>
        <stp/>
        <stp>5215</stp>
        <stp>Price</stp>
        <tr r="Y760" s="57"/>
      </tp>
      <tp t="s">
        <v>無資料</v>
        <stp/>
        <stp>5225</stp>
        <stp>Price</stp>
        <tr r="Y1731" s="57"/>
      </tp>
      <tp t="s">
        <v>無資料</v>
        <stp/>
        <stp>5285</stp>
        <stp>Price</stp>
        <tr r="Y615" s="57"/>
      </tp>
      <tp t="s">
        <v>無資料</v>
        <stp/>
        <stp>5345</stp>
        <stp>Price</stp>
        <tr r="Y1137" s="57"/>
      </tp>
      <tp t="s">
        <v>無資料</v>
        <stp/>
        <stp>5355</stp>
        <stp>Price</stp>
        <tr r="Y1138" s="57"/>
      </tp>
      <tp t="s">
        <v>無資料</v>
        <stp/>
        <stp>5315</stp>
        <stp>Price</stp>
        <tr r="Y881" s="57"/>
      </tp>
      <tp t="s">
        <v>無資料</v>
        <stp/>
        <stp>5015</stp>
        <stp>Price</stp>
        <tr r="Y468" s="57"/>
      </tp>
      <tp t="s">
        <v>無資料</v>
        <stp/>
        <stp>5455</stp>
        <stp>Price</stp>
        <tr r="Y1478" s="57"/>
      </tp>
      <tp t="s">
        <v>無資料</v>
        <stp/>
        <stp>5465</stp>
        <stp>Price</stp>
        <tr r="Y768" s="57"/>
      </tp>
      <tp t="s">
        <v>無資料</v>
        <stp/>
        <stp>5475</stp>
        <stp>Price</stp>
        <tr r="Y1145" s="57"/>
      </tp>
      <tp t="s">
        <v>無資料</v>
        <stp/>
        <stp>5425</stp>
        <stp>Price</stp>
        <tr r="Y622" s="57"/>
      </tp>
      <tp t="s">
        <v>無資料</v>
        <stp/>
        <stp>5515</stp>
        <stp>Price</stp>
        <tr r="Y1483" s="57"/>
      </tp>
      <tp t="s">
        <v>無資料</v>
        <stp/>
        <stp>5525</stp>
        <stp>Price</stp>
        <tr r="Y1489" s="57"/>
      </tp>
      <tp t="s">
        <v>無資料</v>
        <stp/>
        <stp>5905</stp>
        <stp>Price</stp>
        <tr r="Y1655" s="57"/>
      </tp>
      <tp t="s">
        <v>無資料</v>
        <stp/>
        <stp>8255</stp>
        <stp>Price</stp>
        <tr r="Y218" s="57"/>
      </tp>
      <tp t="s">
        <v>無資料</v>
        <stp/>
        <stp>8215</stp>
        <stp>Price</stp>
        <tr r="Y921" s="57"/>
      </tp>
      <tp t="s">
        <v>無資料</v>
        <stp/>
        <stp>8085</stp>
        <stp>Price</stp>
        <tr r="Y1760" s="57"/>
      </tp>
      <tp t="s">
        <v>無資料</v>
        <stp/>
        <stp>8155</stp>
        <stp>Price</stp>
        <tr r="Y1214" s="57"/>
      </tp>
      <tp t="s">
        <v>無資料</v>
        <stp/>
        <stp>8105</stp>
        <stp>Price</stp>
        <tr r="Y919" s="57"/>
      </tp>
      <tp t="s">
        <v>無資料</v>
        <stp/>
        <stp>8455</stp>
        <stp>Price</stp>
        <tr r="Y1766" s="57"/>
      </tp>
      <tp t="s">
        <v>無資料</v>
        <stp/>
        <stp>8415</stp>
        <stp>Price</stp>
        <tr r="Y473" s="57"/>
      </tp>
      <tp t="s">
        <v>無資料</v>
        <stp/>
        <stp>8435</stp>
        <stp>Price</stp>
        <tr r="Y1370" s="57"/>
      </tp>
      <tp t="s">
        <v>無資料</v>
        <stp/>
        <stp>8905</stp>
        <stp>Price</stp>
        <tr r="Y1387" s="57"/>
      </tp>
      <tp t="s">
        <v>無資料</v>
        <stp/>
        <stp>8935</stp>
        <stp>Price</stp>
        <tr r="Y1396" s="57"/>
      </tp>
      <tp t="s">
        <v>無資料</v>
        <stp/>
        <stp>9945</stp>
        <stp>Price</stp>
        <tr r="Y1427" s="57"/>
        <tr r="Y34" s="98"/>
      </tp>
      <tp t="s">
        <v>無資料</v>
        <stp/>
        <stp>9955</stp>
        <stp>Price</stp>
        <tr r="Y1428" s="57"/>
      </tp>
      <tp t="s">
        <v>無資料</v>
        <stp/>
        <stp>9905</stp>
        <stp>Price</stp>
        <tr r="Y1404" s="57"/>
      </tp>
      <tp t="s">
        <v>無資料</v>
        <stp/>
        <stp>9925</stp>
        <stp>Price</stp>
        <tr r="Y1413" s="57"/>
      </tp>
      <tp t="s">
        <v>無資料</v>
        <stp/>
        <stp>9935</stp>
        <stp>Price</stp>
        <tr r="Y1420" s="57"/>
      </tp>
      <tp t="s">
        <v>無資料</v>
        <stp/>
        <stp>$TWIT</stp>
        <stp>Price</stp>
        <tr r="T2" s="85"/>
      </tp>
      <tp t="s">
        <v>無資料</v>
        <stp/>
        <stp>$TWT</stp>
        <stp>Price</stp>
        <tr r="T9" s="85"/>
      </tp>
      <tp t="s">
        <v>無資料</v>
        <stp/>
        <stp>$TWO</stp>
        <stp>Price</stp>
        <tr r="T10" s="85"/>
      </tp>
      <tp t="s">
        <v>無資料</v>
        <stp/>
        <stp>$TWOIGI</stp>
        <stp>Price</stp>
        <tr r="T7" s="85"/>
      </tp>
      <tp t="s">
        <v>無資料</v>
        <stp/>
        <stp>$TWO28</stp>
        <stp>Price</stp>
        <tr r="N7" s="85"/>
      </tp>
      <tp t="s">
        <v>無資料</v>
        <stp/>
        <stp>$TWT28</stp>
        <stp>Price</stp>
        <tr r="G7" s="85"/>
      </tp>
      <tp t="s">
        <v>無資料</v>
        <stp/>
        <stp>$TWT08</stp>
        <stp>Price</stp>
        <tr r="G18" s="85"/>
      </tp>
      <tp t="s">
        <v>無資料</v>
        <stp/>
        <stp>$TWT18</stp>
        <stp>Price</stp>
        <tr r="G26" s="85"/>
      </tp>
      <tp t="s">
        <v>無資料</v>
        <stp/>
        <stp>$TWO29</stp>
        <stp>Price</stp>
        <tr r="N8" s="85"/>
      </tp>
      <tp t="s">
        <v>無資料</v>
        <stp/>
        <stp>$TWT29</stp>
        <stp>Price</stp>
        <tr r="G8" s="85"/>
      </tp>
      <tp t="s">
        <v>無資料</v>
        <stp/>
        <stp>$TWT09</stp>
        <stp>Price</stp>
        <tr r="G19" s="85"/>
      </tp>
      <tp t="s">
        <v>無資料</v>
        <stp/>
        <stp>$TWO22</stp>
        <stp>Price</stp>
        <tr r="N20" s="85"/>
      </tp>
      <tp t="s">
        <v>無資料</v>
        <stp/>
        <stp>$TWO32</stp>
        <stp>Price</stp>
        <tr r="N18" s="85"/>
      </tp>
      <tp t="s">
        <v>無資料</v>
        <stp/>
        <stp>$TWT22</stp>
        <stp>Price</stp>
        <tr r="G29" s="85"/>
      </tp>
      <tp t="s">
        <v>無資料</v>
        <stp/>
        <stp>$TWT02</stp>
        <stp>Price</stp>
        <tr r="G13" s="85"/>
      </tp>
      <tp t="s">
        <v>無資料</v>
        <stp/>
        <stp>$TWT12</stp>
        <stp>Price</stp>
        <tr r="G22" s="85"/>
      </tp>
      <tp t="s">
        <v>無資料</v>
        <stp/>
        <stp>$TWT23</stp>
        <stp>Price</stp>
        <tr r="G30" s="85"/>
      </tp>
      <tp t="s">
        <v>無資料</v>
        <stp/>
        <stp>$TWT03</stp>
        <stp>Price</stp>
        <tr r="G14" s="85"/>
      </tp>
      <tp t="s">
        <v>無資料</v>
        <stp/>
        <stp>$TWO20</stp>
        <stp>Price</stp>
        <tr r="N19" s="85"/>
      </tp>
      <tp t="s">
        <v>無資料</v>
        <stp/>
        <stp>$TWO30</stp>
        <stp>Price</stp>
        <tr r="N9" s="85"/>
      </tp>
      <tp t="s">
        <v>無資料</v>
        <stp/>
        <stp>$TWO10</stp>
        <stp>Price</stp>
        <tr r="N13" s="85"/>
      </tp>
      <tp t="s">
        <v>無資料</v>
        <stp/>
        <stp>$TWT20</stp>
        <stp>Price</stp>
        <tr r="G27" s="85"/>
      </tp>
      <tp t="s">
        <v>無資料</v>
        <stp/>
        <stp>$TWT30</stp>
        <stp>Price</stp>
        <tr r="G9" s="85"/>
      </tp>
      <tp t="s">
        <v>無資料</v>
        <stp/>
        <stp>$TWT10</stp>
        <stp>Price</stp>
        <tr r="G20" s="85"/>
      </tp>
      <tp t="s">
        <v>無資料</v>
        <stp/>
        <stp>$TWO21</stp>
        <stp>Price</stp>
        <tr r="N17" s="85"/>
      </tp>
      <tp t="s">
        <v>無資料</v>
        <stp/>
        <stp>$TWO31</stp>
        <stp>Price</stp>
        <tr r="N10" s="85"/>
      </tp>
      <tp t="s">
        <v>無資料</v>
        <stp/>
        <stp>$TWT21</stp>
        <stp>Price</stp>
        <tr r="G28" s="85"/>
      </tp>
      <tp t="s">
        <v>無資料</v>
        <stp/>
        <stp>$TWT31</stp>
        <stp>Price</stp>
        <tr r="G10" s="85"/>
      </tp>
      <tp t="s">
        <v>無資料</v>
        <stp/>
        <stp>$TWT01</stp>
        <stp>Price</stp>
        <tr r="G12" s="85"/>
      </tp>
      <tp t="s">
        <v>無資料</v>
        <stp/>
        <stp>$TWT11</stp>
        <stp>Price</stp>
        <tr r="G21" s="85"/>
      </tp>
      <tp t="s">
        <v>無資料</v>
        <stp/>
        <stp>$TWO26</stp>
        <stp>Price</stp>
        <tr r="N5" s="85"/>
      </tp>
      <tp t="s">
        <v>無資料</v>
        <stp/>
        <stp>$TWO16</stp>
        <stp>Price</stp>
        <tr r="N16" s="85"/>
      </tp>
      <tp t="s">
        <v>無資料</v>
        <stp/>
        <stp>$TWT26</stp>
        <stp>Price</stp>
        <tr r="G5" s="85"/>
      </tp>
      <tp t="s">
        <v>無資料</v>
        <stp/>
        <stp>$TWT06</stp>
        <stp>Price</stp>
        <tr r="G17" s="85"/>
      </tp>
      <tp t="s">
        <v>無資料</v>
        <stp/>
        <stp>$TWT16</stp>
        <stp>Price</stp>
        <tr r="G25" s="85"/>
      </tp>
      <tp t="s">
        <v>無資料</v>
        <stp/>
        <stp>$TWOIHD</stp>
        <stp>Price</stp>
        <tr r="T6" s="85"/>
      </tp>
      <tp t="s">
        <v>無資料</v>
        <stp/>
        <stp>$TWO27</stp>
        <stp>Price</stp>
        <tr r="N6" s="85"/>
      </tp>
      <tp t="s">
        <v>無資料</v>
        <stp/>
        <stp>$TWT27</stp>
        <stp>Price</stp>
        <tr r="G6" s="85"/>
      </tp>
      <tp t="s">
        <v>無資料</v>
        <stp/>
        <stp>$TWO24</stp>
        <stp>Price</stp>
        <tr r="N3" s="85"/>
      </tp>
      <tp t="s">
        <v>無資料</v>
        <stp/>
        <stp>$TWO04</stp>
        <stp>Price</stp>
        <tr r="N11" s="85"/>
      </tp>
      <tp t="s">
        <v>無資料</v>
        <stp/>
        <stp>$TWO14</stp>
        <stp>Price</stp>
        <tr r="N14" s="85"/>
      </tp>
      <tp t="s">
        <v>無資料</v>
        <stp/>
        <stp>$TWT24</stp>
        <stp>Price</stp>
        <tr r="G3" s="85"/>
      </tp>
      <tp t="s">
        <v>無資料</v>
        <stp/>
        <stp>$TWT04</stp>
        <stp>Price</stp>
        <tr r="G15" s="85"/>
      </tp>
      <tp t="s">
        <v>無資料</v>
        <stp/>
        <stp>$TWT14</stp>
        <stp>Price</stp>
        <tr r="G23" s="85"/>
      </tp>
      <tp t="s">
        <v>無資料</v>
        <stp/>
        <stp>$TWO25</stp>
        <stp>Price</stp>
        <tr r="N4" s="85"/>
      </tp>
      <tp t="s">
        <v>無資料</v>
        <stp/>
        <stp>$TWO05</stp>
        <stp>Price</stp>
        <tr r="N12" s="85"/>
      </tp>
      <tp t="s">
        <v>無資料</v>
        <stp/>
        <stp>$TWO15</stp>
        <stp>Price</stp>
        <tr r="N15" s="85"/>
      </tp>
      <tp t="s">
        <v>無資料</v>
        <stp/>
        <stp>$TWT25</stp>
        <stp>Price</stp>
        <tr r="G4" s="85"/>
      </tp>
      <tp t="s">
        <v>無資料</v>
        <stp/>
        <stp>$TWT05</stp>
        <stp>Price</stp>
        <tr r="G16" s="85"/>
      </tp>
      <tp t="s">
        <v>無資料</v>
        <stp/>
        <stp>$TWT15</stp>
        <stp>Price</stp>
        <tr r="G24" s="8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mailto:secretshop@163.com" TargetMode="External"/><Relationship Id="rId2" Type="http://schemas.openxmlformats.org/officeDocument/2006/relationships/hyperlink" Target="mailto:judyyuezhu@hotmail.com" TargetMode="External"/><Relationship Id="rId1" Type="http://schemas.openxmlformats.org/officeDocument/2006/relationships/hyperlink" Target="mailto:yuezhujudy@hotmail.com" TargetMode="External"/><Relationship Id="rId4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AT5415"/>
  <sheetViews>
    <sheetView topLeftCell="A156" workbookViewId="0">
      <selection activeCell="G176" sqref="G176"/>
    </sheetView>
  </sheetViews>
  <sheetFormatPr defaultColWidth="9.125" defaultRowHeight="16.2"/>
  <cols>
    <col min="1" max="1" width="5.75" style="135" customWidth="1"/>
    <col min="2" max="5" width="5.75" style="97" customWidth="1"/>
    <col min="6" max="6" width="8.75" style="66" customWidth="1"/>
    <col min="7" max="7" width="7.75" style="20" customWidth="1"/>
    <col min="8" max="8" width="5.75" style="13" customWidth="1"/>
    <col min="9" max="9" width="9.75" style="10" customWidth="1"/>
    <col min="10" max="10" width="6.75" style="32" customWidth="1"/>
    <col min="11" max="11" width="6.75" style="367" customWidth="1"/>
    <col min="12" max="12" width="6.75" style="77" customWidth="1"/>
    <col min="13" max="13" width="6.75" style="365" customWidth="1"/>
    <col min="14" max="14" width="7.75" style="367" customWidth="1"/>
    <col min="15" max="15" width="7.75" style="343" customWidth="1"/>
    <col min="16" max="16" width="5.75" style="166" customWidth="1"/>
    <col min="17" max="17" width="4.75" style="109" customWidth="1"/>
    <col min="18" max="18" width="4.75" style="31" customWidth="1"/>
    <col min="19" max="19" width="4.75" style="51" customWidth="1"/>
    <col min="20" max="20" width="5.75" style="339" customWidth="1"/>
    <col min="21" max="21" width="2.75" style="329" customWidth="1"/>
    <col min="22" max="22" width="6.75" style="371" customWidth="1"/>
    <col min="23" max="23" width="7.75" style="64" customWidth="1"/>
    <col min="24" max="24" width="7.75" style="240" customWidth="1"/>
    <col min="25" max="25" width="9.75" style="285" customWidth="1"/>
    <col min="26" max="26" width="9.75" style="72" customWidth="1"/>
    <col min="27" max="27" width="9.75" style="61" customWidth="1"/>
    <col min="28" max="28" width="8.75" style="12" customWidth="1"/>
    <col min="29" max="29" width="6.75" style="104" customWidth="1"/>
    <col min="30" max="30" width="8.75" style="10" customWidth="1"/>
    <col min="31" max="31" width="11.75" style="89" customWidth="1"/>
    <col min="32" max="32" width="11.75" style="88" customWidth="1"/>
    <col min="33" max="33" width="4.75" style="82" customWidth="1"/>
    <col min="34" max="34" width="3.75" style="284" customWidth="1"/>
    <col min="35" max="35" width="2.75" style="129" customWidth="1"/>
    <col min="36" max="36" width="2.75" style="264" customWidth="1"/>
    <col min="37" max="37" width="7.75" style="252" customWidth="1"/>
    <col min="38" max="38" width="7.75" style="266" customWidth="1"/>
    <col min="39" max="40" width="7.75" style="284" customWidth="1"/>
    <col min="41" max="16384" width="9.125" style="284"/>
  </cols>
  <sheetData>
    <row r="1" spans="1:40">
      <c r="A1" s="135" t="s">
        <v>2552</v>
      </c>
      <c r="B1" s="96" t="s">
        <v>2331</v>
      </c>
      <c r="C1" s="96" t="s">
        <v>2332</v>
      </c>
      <c r="D1" s="96" t="s">
        <v>2333</v>
      </c>
      <c r="E1" s="96" t="s">
        <v>2334</v>
      </c>
      <c r="F1" s="9" t="s">
        <v>1709</v>
      </c>
      <c r="G1" s="27" t="s">
        <v>5626</v>
      </c>
      <c r="H1" s="56" t="s">
        <v>578</v>
      </c>
      <c r="I1" s="9" t="s">
        <v>5279</v>
      </c>
      <c r="J1" s="364" t="s">
        <v>2189</v>
      </c>
      <c r="K1" s="364" t="s">
        <v>1820</v>
      </c>
      <c r="L1" s="364" t="s">
        <v>515</v>
      </c>
      <c r="M1" s="364" t="s">
        <v>1699</v>
      </c>
      <c r="N1" s="364" t="s">
        <v>6633</v>
      </c>
      <c r="O1" s="343" t="s">
        <v>6634</v>
      </c>
      <c r="P1" s="83" t="s">
        <v>5279</v>
      </c>
      <c r="Q1" s="326" t="s">
        <v>5514</v>
      </c>
      <c r="R1" s="31" t="s">
        <v>6596</v>
      </c>
      <c r="S1" s="51" t="s">
        <v>6597</v>
      </c>
      <c r="T1" s="338" t="s">
        <v>5627</v>
      </c>
      <c r="U1" s="330" t="s">
        <v>6537</v>
      </c>
      <c r="V1" s="377" t="s">
        <v>6616</v>
      </c>
      <c r="W1" s="11" t="s">
        <v>127</v>
      </c>
      <c r="X1" s="71" t="s">
        <v>6626</v>
      </c>
      <c r="Y1" s="29" t="s">
        <v>6688</v>
      </c>
      <c r="Z1" s="18" t="s">
        <v>2113</v>
      </c>
      <c r="AA1" s="15" t="s">
        <v>3598</v>
      </c>
      <c r="AB1" s="22" t="s">
        <v>2199</v>
      </c>
      <c r="AC1" s="26" t="s">
        <v>211</v>
      </c>
      <c r="AD1" s="9" t="s">
        <v>5279</v>
      </c>
      <c r="AE1" s="75" t="s">
        <v>2114</v>
      </c>
      <c r="AF1" s="76" t="s">
        <v>1826</v>
      </c>
      <c r="AG1" s="33" t="s">
        <v>1827</v>
      </c>
      <c r="AH1" s="262" t="s">
        <v>6799</v>
      </c>
      <c r="AI1" s="284"/>
      <c r="AK1" s="9" t="s">
        <v>6666</v>
      </c>
      <c r="AL1" s="5" t="s">
        <v>6667</v>
      </c>
      <c r="AM1" s="51" t="s">
        <v>5339</v>
      </c>
      <c r="AN1" s="276" t="s">
        <v>6665</v>
      </c>
    </row>
    <row r="2" spans="1:40">
      <c r="A2" s="135" t="s">
        <v>2537</v>
      </c>
      <c r="B2" s="84">
        <v>28</v>
      </c>
      <c r="C2" s="84">
        <v>80</v>
      </c>
      <c r="D2" s="85">
        <v>-3</v>
      </c>
      <c r="E2" s="84">
        <v>37</v>
      </c>
      <c r="F2" s="59">
        <v>15.8</v>
      </c>
      <c r="G2" s="84">
        <v>8299</v>
      </c>
      <c r="H2" s="212" t="s">
        <v>558</v>
      </c>
      <c r="I2" s="17" t="s">
        <v>405</v>
      </c>
      <c r="J2" s="77">
        <v>36.68</v>
      </c>
      <c r="K2" s="77">
        <v>43.16</v>
      </c>
      <c r="L2" s="77">
        <v>24.38</v>
      </c>
      <c r="M2" s="77">
        <v>18.95</v>
      </c>
      <c r="N2" s="365">
        <f t="shared" ref="N2:N3" si="0">J2+K2+L2+M2</f>
        <v>123.17</v>
      </c>
      <c r="O2" s="343">
        <f t="shared" ref="O2:O3" si="1">J2+M2</f>
        <v>55.629999999999995</v>
      </c>
      <c r="P2" s="195">
        <v>66</v>
      </c>
      <c r="Q2" s="326">
        <v>31</v>
      </c>
      <c r="R2" s="111">
        <v>25</v>
      </c>
      <c r="S2" s="51">
        <v>21</v>
      </c>
      <c r="T2" s="339">
        <f t="shared" ref="T2:T3" si="2">SUM(P2:S2)</f>
        <v>143</v>
      </c>
      <c r="U2" s="329" t="s">
        <v>6924</v>
      </c>
      <c r="V2" s="77">
        <v>2.58</v>
      </c>
      <c r="W2" s="69">
        <v>10</v>
      </c>
      <c r="X2" s="100">
        <v>51.35</v>
      </c>
      <c r="Y2" s="14" t="str">
        <f>RTD("money.excel",,"8299","Price")</f>
        <v>無資料</v>
      </c>
      <c r="Z2" s="69">
        <v>512</v>
      </c>
      <c r="AA2" s="16" t="e">
        <f t="shared" ref="AA2:AA3" si="3">Y2-Z2</f>
        <v>#VALUE!</v>
      </c>
      <c r="AB2" s="3" t="e">
        <f t="shared" ref="AB2:AB3" si="4">AA2/Z2</f>
        <v>#VALUE!</v>
      </c>
      <c r="AC2" s="177" t="s">
        <v>6926</v>
      </c>
      <c r="AD2" s="17" t="s">
        <v>405</v>
      </c>
      <c r="AE2" s="89">
        <v>44560</v>
      </c>
      <c r="AG2" s="34">
        <f t="shared" ref="AG2:AG3" si="5">AF2-AE2</f>
        <v>-44560</v>
      </c>
      <c r="AH2" s="126" t="s">
        <v>3400</v>
      </c>
      <c r="AI2" s="131"/>
      <c r="AK2" s="66">
        <f t="shared" ref="AK2:AK3" si="6">AM2/(A2*10000)</f>
        <v>0</v>
      </c>
      <c r="AL2" s="174">
        <f t="shared" ref="AL2:AL3" si="7">AN2/(A2*10000)</f>
        <v>0</v>
      </c>
      <c r="AM2" s="346">
        <f>RTD("money.excel",,$G2,"PredictVolume")</f>
        <v>0</v>
      </c>
      <c r="AN2" s="272">
        <f>RTD("money.excel",,$G2,"CumulativeVolume")</f>
        <v>0</v>
      </c>
    </row>
    <row r="3" spans="1:40">
      <c r="A3" s="151" t="s">
        <v>2598</v>
      </c>
      <c r="B3" s="85">
        <v>-44</v>
      </c>
      <c r="C3" s="85">
        <v>-44</v>
      </c>
      <c r="D3" s="84">
        <v>38</v>
      </c>
      <c r="E3" s="85">
        <v>58</v>
      </c>
      <c r="F3" s="7">
        <v>6.03</v>
      </c>
      <c r="G3" s="84">
        <v>6579</v>
      </c>
      <c r="H3" s="47" t="s">
        <v>561</v>
      </c>
      <c r="I3" s="23" t="s">
        <v>897</v>
      </c>
      <c r="J3" s="371">
        <v>89.49</v>
      </c>
      <c r="K3" s="77">
        <v>3.16</v>
      </c>
      <c r="L3" s="77">
        <v>7.0000000000000007E-2</v>
      </c>
      <c r="M3" s="371">
        <v>75.47</v>
      </c>
      <c r="N3" s="77">
        <f t="shared" si="0"/>
        <v>168.19</v>
      </c>
      <c r="O3" s="369">
        <f t="shared" si="1"/>
        <v>164.95999999999998</v>
      </c>
      <c r="P3" s="195">
        <v>2</v>
      </c>
      <c r="Q3" s="326" t="str">
        <f>IFERROR(VLOOKUP($G3,主力整理!$A$2:$G$2301,6,0),"0")</f>
        <v>0</v>
      </c>
      <c r="R3" s="111">
        <v>0</v>
      </c>
      <c r="S3" s="51">
        <v>0</v>
      </c>
      <c r="T3" s="339">
        <f t="shared" si="2"/>
        <v>2</v>
      </c>
      <c r="U3" s="329" t="s">
        <v>6925</v>
      </c>
      <c r="V3" s="77">
        <v>0.15</v>
      </c>
      <c r="W3" s="69">
        <v>3</v>
      </c>
      <c r="X3" s="100">
        <v>2.48</v>
      </c>
      <c r="Y3" s="37" t="str">
        <f>RTD("money.excel",,"6579","Price")</f>
        <v>無資料</v>
      </c>
      <c r="Z3" s="69">
        <v>69.400000000000006</v>
      </c>
      <c r="AA3" s="16" t="e">
        <f t="shared" si="3"/>
        <v>#VALUE!</v>
      </c>
      <c r="AB3" s="3" t="e">
        <f t="shared" si="4"/>
        <v>#VALUE!</v>
      </c>
      <c r="AC3" s="177" t="s">
        <v>6927</v>
      </c>
      <c r="AD3" s="23" t="s">
        <v>897</v>
      </c>
      <c r="AE3" s="89">
        <v>44560</v>
      </c>
      <c r="AG3" s="34">
        <f t="shared" si="5"/>
        <v>-44560</v>
      </c>
      <c r="AH3" s="44" t="s">
        <v>3002</v>
      </c>
      <c r="AI3" s="131"/>
      <c r="AK3" s="66">
        <f t="shared" si="6"/>
        <v>0</v>
      </c>
      <c r="AL3" s="174">
        <f t="shared" si="7"/>
        <v>0</v>
      </c>
      <c r="AM3" s="346">
        <f>RTD("money.excel",,$G3,"PredictVolume")</f>
        <v>0</v>
      </c>
      <c r="AN3" s="272">
        <f>RTD("money.excel",,$G3,"CumulativeVolume")</f>
        <v>0</v>
      </c>
    </row>
    <row r="4" spans="1:40">
      <c r="B4" s="96"/>
      <c r="C4" s="96"/>
      <c r="D4" s="96"/>
      <c r="E4" s="96"/>
      <c r="F4" s="9"/>
      <c r="G4" s="27"/>
      <c r="H4" s="56"/>
      <c r="I4" s="9"/>
      <c r="J4" s="364"/>
      <c r="K4" s="364"/>
      <c r="L4" s="364"/>
      <c r="M4" s="364"/>
      <c r="N4" s="364"/>
      <c r="P4" s="83"/>
      <c r="Q4" s="326"/>
      <c r="T4" s="338"/>
      <c r="U4" s="330"/>
      <c r="V4" s="377"/>
      <c r="W4" s="11"/>
      <c r="X4" s="71"/>
      <c r="Y4" s="29"/>
      <c r="Z4" s="18"/>
      <c r="AA4" s="15"/>
      <c r="AB4" s="22"/>
      <c r="AC4" s="26"/>
      <c r="AD4" s="9"/>
      <c r="AE4" s="75"/>
      <c r="AF4" s="76"/>
      <c r="AG4" s="33"/>
      <c r="AH4" s="262"/>
      <c r="AI4" s="284"/>
      <c r="AK4" s="9"/>
      <c r="AL4" s="5"/>
      <c r="AM4" s="51"/>
      <c r="AN4" s="276"/>
    </row>
    <row r="5" spans="1:40">
      <c r="A5" s="135" t="s">
        <v>2529</v>
      </c>
      <c r="B5" s="85">
        <v>-12</v>
      </c>
      <c r="C5" s="85">
        <v>-17</v>
      </c>
      <c r="D5" s="85">
        <v>-6</v>
      </c>
      <c r="E5" s="84">
        <v>21</v>
      </c>
      <c r="F5" s="59">
        <v>24.54</v>
      </c>
      <c r="G5" s="84">
        <v>6510</v>
      </c>
      <c r="H5" s="213" t="s">
        <v>558</v>
      </c>
      <c r="I5" s="17" t="s">
        <v>404</v>
      </c>
      <c r="J5" s="77">
        <v>42.98</v>
      </c>
      <c r="K5" s="77">
        <v>13.74</v>
      </c>
      <c r="L5" s="371">
        <v>15.66</v>
      </c>
      <c r="M5" s="371">
        <v>38.82</v>
      </c>
      <c r="N5" s="365">
        <f t="shared" ref="N5:N6" si="8">J5+K5+L5+M5</f>
        <v>111.19999999999999</v>
      </c>
      <c r="O5" s="369">
        <f t="shared" ref="O5:O6" si="9">J5+M5</f>
        <v>81.8</v>
      </c>
      <c r="P5" s="195">
        <v>33</v>
      </c>
      <c r="Q5" s="326">
        <v>2</v>
      </c>
      <c r="R5" s="111">
        <v>6</v>
      </c>
      <c r="S5" s="51">
        <v>20</v>
      </c>
      <c r="T5" s="339">
        <f t="shared" ref="T5" si="10">SUM(P5:S5)</f>
        <v>61</v>
      </c>
      <c r="U5" s="329" t="s">
        <v>6540</v>
      </c>
      <c r="V5" s="77">
        <v>5.45</v>
      </c>
      <c r="W5" s="69">
        <v>12</v>
      </c>
      <c r="X5" s="100">
        <v>25.81</v>
      </c>
      <c r="Y5" s="37" t="str">
        <f>RTD("money.excel",,"6510","Price")</f>
        <v>無資料</v>
      </c>
      <c r="Z5" s="69">
        <v>706</v>
      </c>
      <c r="AA5" s="16" t="e">
        <f t="shared" ref="AA5:AA6" si="11">Y5-Z5</f>
        <v>#VALUE!</v>
      </c>
      <c r="AB5" s="3" t="e">
        <f t="shared" ref="AB5:AB6" si="12">AA5/Z5</f>
        <v>#VALUE!</v>
      </c>
      <c r="AC5" s="177" t="s">
        <v>6907</v>
      </c>
      <c r="AD5" s="17" t="s">
        <v>404</v>
      </c>
      <c r="AE5" s="89">
        <v>44559</v>
      </c>
      <c r="AG5" s="34">
        <f t="shared" ref="AG5:AG6" si="13">AF5-AE5</f>
        <v>-44559</v>
      </c>
      <c r="AH5" s="126" t="s">
        <v>2166</v>
      </c>
      <c r="AI5" s="131"/>
      <c r="AK5" s="66">
        <f t="shared" ref="AK5:AK6" si="14">AM5/(A5*10000)</f>
        <v>0</v>
      </c>
      <c r="AL5" s="174">
        <f t="shared" ref="AL5:AL6" si="15">AN5/(A5*10000)</f>
        <v>0</v>
      </c>
      <c r="AM5" s="346">
        <f>RTD("money.excel",,$G5,"PredictVolume")</f>
        <v>0</v>
      </c>
      <c r="AN5" s="272">
        <f>RTD("money.excel",,$G5,"CumulativeVolume")</f>
        <v>0</v>
      </c>
    </row>
    <row r="6" spans="1:40" ht="17.25" customHeight="1">
      <c r="A6" s="151" t="s">
        <v>3192</v>
      </c>
      <c r="B6" s="84">
        <v>51</v>
      </c>
      <c r="C6" s="84">
        <v>34</v>
      </c>
      <c r="D6" s="84">
        <v>37</v>
      </c>
      <c r="E6" s="84">
        <v>63</v>
      </c>
      <c r="F6" s="7">
        <v>5.33</v>
      </c>
      <c r="G6" s="84">
        <v>6196</v>
      </c>
      <c r="H6" s="9" t="s">
        <v>5322</v>
      </c>
      <c r="I6" s="23" t="s">
        <v>204</v>
      </c>
      <c r="J6" s="77">
        <v>68.06</v>
      </c>
      <c r="K6" s="77">
        <v>10.35</v>
      </c>
      <c r="L6" s="371">
        <v>10.64</v>
      </c>
      <c r="M6" s="371">
        <v>59.11</v>
      </c>
      <c r="N6" s="77">
        <f t="shared" si="8"/>
        <v>148.16</v>
      </c>
      <c r="O6" s="369">
        <f t="shared" si="9"/>
        <v>127.17</v>
      </c>
      <c r="P6" s="195">
        <v>54</v>
      </c>
      <c r="Q6" s="326">
        <v>22</v>
      </c>
      <c r="R6" s="111">
        <v>25</v>
      </c>
      <c r="S6" s="51">
        <v>24</v>
      </c>
      <c r="T6" s="339">
        <f t="shared" ref="T6" si="16">SUM(P6:S6)</f>
        <v>125</v>
      </c>
      <c r="U6" s="329" t="s">
        <v>6540</v>
      </c>
      <c r="V6" s="371">
        <v>2.2400000000000002</v>
      </c>
      <c r="W6" s="69">
        <v>3.5</v>
      </c>
      <c r="X6" s="59">
        <v>6.73</v>
      </c>
      <c r="Y6" s="37" t="str">
        <f>RTD("money.excel",,"6196","Price")</f>
        <v>無資料</v>
      </c>
      <c r="Z6" s="69">
        <v>177.5</v>
      </c>
      <c r="AA6" s="16" t="e">
        <f t="shared" si="11"/>
        <v>#VALUE!</v>
      </c>
      <c r="AB6" s="3" t="e">
        <f t="shared" si="12"/>
        <v>#VALUE!</v>
      </c>
      <c r="AC6" s="177" t="s">
        <v>6908</v>
      </c>
      <c r="AD6" s="23" t="s">
        <v>204</v>
      </c>
      <c r="AE6" s="89">
        <v>44559</v>
      </c>
      <c r="AG6" s="34">
        <f t="shared" si="13"/>
        <v>-44559</v>
      </c>
      <c r="AH6" s="125" t="s">
        <v>3459</v>
      </c>
      <c r="AI6" s="131"/>
      <c r="AK6" s="66">
        <f t="shared" si="14"/>
        <v>0</v>
      </c>
      <c r="AL6" s="174">
        <f t="shared" si="15"/>
        <v>0</v>
      </c>
      <c r="AM6" s="346">
        <f>RTD("money.excel",,$G6,"PredictVolume")</f>
        <v>0</v>
      </c>
      <c r="AN6" s="272">
        <f>RTD("money.excel",,$G6,"CumulativeVolume")</f>
        <v>0</v>
      </c>
    </row>
    <row r="7" spans="1:40">
      <c r="A7" s="135" t="s">
        <v>2215</v>
      </c>
      <c r="B7" s="85">
        <v>-39</v>
      </c>
      <c r="C7" s="85">
        <v>-40</v>
      </c>
      <c r="D7" s="84">
        <v>2</v>
      </c>
      <c r="E7" s="84">
        <v>62</v>
      </c>
      <c r="F7" s="59">
        <v>16.149999999999999</v>
      </c>
      <c r="G7" s="84">
        <v>6515</v>
      </c>
      <c r="H7" s="9" t="s">
        <v>558</v>
      </c>
      <c r="I7" s="23" t="s">
        <v>3615</v>
      </c>
      <c r="J7" s="371">
        <v>30.56</v>
      </c>
      <c r="K7" s="77">
        <v>12.33</v>
      </c>
      <c r="L7" s="371">
        <v>9.64</v>
      </c>
      <c r="M7" s="371">
        <v>21.84</v>
      </c>
      <c r="N7" s="365">
        <f>J7+K7+L7+M7</f>
        <v>74.37</v>
      </c>
      <c r="O7" s="343">
        <f>J7+M7</f>
        <v>52.4</v>
      </c>
      <c r="P7" s="195">
        <v>9</v>
      </c>
      <c r="Q7" s="326">
        <v>1</v>
      </c>
      <c r="R7" s="111">
        <v>4</v>
      </c>
      <c r="S7" s="51">
        <v>10</v>
      </c>
      <c r="T7" s="339">
        <f>SUM(P7:S7)</f>
        <v>24</v>
      </c>
      <c r="U7" s="329" t="s">
        <v>6891</v>
      </c>
      <c r="V7" s="371">
        <v>0.76</v>
      </c>
      <c r="W7" s="69">
        <v>12.98</v>
      </c>
      <c r="X7" s="100">
        <v>15.24</v>
      </c>
      <c r="Y7" s="37" t="str">
        <f>RTD("money.excel",,"6515","Price")</f>
        <v>無資料</v>
      </c>
      <c r="Z7" s="69">
        <v>423.5</v>
      </c>
      <c r="AA7" s="16" t="e">
        <f>Y7-Z7</f>
        <v>#VALUE!</v>
      </c>
      <c r="AB7" s="3" t="e">
        <f>AA7/Z7</f>
        <v>#VALUE!</v>
      </c>
      <c r="AC7" s="177" t="s">
        <v>6894</v>
      </c>
      <c r="AD7" s="23" t="s">
        <v>3615</v>
      </c>
      <c r="AE7" s="89">
        <v>44558</v>
      </c>
      <c r="AG7" s="34">
        <f>AF7-AE7</f>
        <v>-44558</v>
      </c>
      <c r="AH7" s="126" t="s">
        <v>3617</v>
      </c>
      <c r="AI7" s="131"/>
      <c r="AK7" s="66">
        <f t="shared" ref="AK7:AK8" si="17">AM7/(A7*10000)</f>
        <v>0</v>
      </c>
      <c r="AL7" s="174">
        <f t="shared" ref="AL7:AL8" si="18">AN7/(A7*10000)</f>
        <v>0</v>
      </c>
      <c r="AM7" s="346">
        <f>RTD("money.excel",,$G7,"PredictVolume")</f>
        <v>0</v>
      </c>
      <c r="AN7" s="272">
        <f>RTD("money.excel",,$G7,"CumulativeVolume")</f>
        <v>0</v>
      </c>
    </row>
    <row r="8" spans="1:40" ht="17.25" customHeight="1">
      <c r="A8" s="151" t="s">
        <v>3192</v>
      </c>
      <c r="B8" s="84">
        <v>51</v>
      </c>
      <c r="C8" s="84">
        <v>34</v>
      </c>
      <c r="D8" s="84">
        <v>37</v>
      </c>
      <c r="E8" s="84">
        <v>63</v>
      </c>
      <c r="F8" s="7">
        <v>5.33</v>
      </c>
      <c r="G8" s="84">
        <v>6196</v>
      </c>
      <c r="H8" s="9" t="s">
        <v>5322</v>
      </c>
      <c r="I8" s="23" t="s">
        <v>204</v>
      </c>
      <c r="J8" s="77">
        <v>68.06</v>
      </c>
      <c r="K8" s="77">
        <v>10.48</v>
      </c>
      <c r="L8" s="371">
        <v>10.37</v>
      </c>
      <c r="M8" s="371">
        <v>59.11</v>
      </c>
      <c r="N8" s="77">
        <f>J8+K8+L8+M8</f>
        <v>148.02000000000001</v>
      </c>
      <c r="O8" s="369">
        <f>J8+M8</f>
        <v>127.17</v>
      </c>
      <c r="P8" s="195">
        <v>53</v>
      </c>
      <c r="Q8" s="326">
        <v>22</v>
      </c>
      <c r="R8" s="111">
        <v>25</v>
      </c>
      <c r="S8" s="51">
        <v>24</v>
      </c>
      <c r="T8" s="339">
        <f>SUM(P8:S8)</f>
        <v>124</v>
      </c>
      <c r="U8" s="329" t="s">
        <v>6892</v>
      </c>
      <c r="V8" s="371">
        <v>2.2999999999999998</v>
      </c>
      <c r="W8" s="69">
        <v>3.5</v>
      </c>
      <c r="X8" s="59">
        <v>6.73</v>
      </c>
      <c r="Y8" s="37" t="str">
        <f>RTD("money.excel",,"6196","Price")</f>
        <v>無資料</v>
      </c>
      <c r="Z8" s="69">
        <v>161.5</v>
      </c>
      <c r="AA8" s="16" t="e">
        <f>Y8-Z8</f>
        <v>#VALUE!</v>
      </c>
      <c r="AB8" s="3" t="e">
        <f>AA8/Z8</f>
        <v>#VALUE!</v>
      </c>
      <c r="AC8" s="177" t="s">
        <v>5074</v>
      </c>
      <c r="AD8" s="23" t="s">
        <v>204</v>
      </c>
      <c r="AE8" s="89">
        <v>44558</v>
      </c>
      <c r="AG8" s="34">
        <f>AF8-AE8</f>
        <v>-44558</v>
      </c>
      <c r="AH8" s="125" t="s">
        <v>3459</v>
      </c>
      <c r="AI8" s="131"/>
      <c r="AK8" s="66">
        <f t="shared" si="17"/>
        <v>0</v>
      </c>
      <c r="AL8" s="174">
        <f t="shared" si="18"/>
        <v>0</v>
      </c>
      <c r="AM8" s="346">
        <f>RTD("money.excel",,$G8,"PredictVolume")</f>
        <v>0</v>
      </c>
      <c r="AN8" s="272">
        <f>RTD("money.excel",,$G8,"CumulativeVolume")</f>
        <v>0</v>
      </c>
    </row>
    <row r="9" spans="1:40">
      <c r="A9" s="135" t="s">
        <v>6443</v>
      </c>
      <c r="B9" s="84">
        <v>16</v>
      </c>
      <c r="C9" s="84">
        <v>27</v>
      </c>
      <c r="D9" s="84">
        <v>36</v>
      </c>
      <c r="E9" s="84">
        <v>19</v>
      </c>
      <c r="F9" s="59">
        <v>23.43</v>
      </c>
      <c r="G9" s="84">
        <v>3546</v>
      </c>
      <c r="H9" s="9" t="s">
        <v>1664</v>
      </c>
      <c r="I9" s="17" t="s">
        <v>136</v>
      </c>
      <c r="J9" s="371">
        <v>21.32</v>
      </c>
      <c r="K9" s="371">
        <v>9.4600000000000009</v>
      </c>
      <c r="L9" s="77">
        <v>24.39</v>
      </c>
      <c r="M9" s="371">
        <v>10.68</v>
      </c>
      <c r="N9" s="365">
        <f>J9+K9+L9+M9</f>
        <v>65.849999999999994</v>
      </c>
      <c r="O9" s="343">
        <f>J9+M9</f>
        <v>32</v>
      </c>
      <c r="P9" s="195">
        <v>23</v>
      </c>
      <c r="Q9" s="326">
        <v>2</v>
      </c>
      <c r="R9" s="111">
        <v>16</v>
      </c>
      <c r="S9" s="51">
        <v>15</v>
      </c>
      <c r="T9" s="339">
        <f>SUM(P9:S9)</f>
        <v>56</v>
      </c>
      <c r="U9" s="329" t="s">
        <v>6540</v>
      </c>
      <c r="V9" s="77">
        <v>0.9</v>
      </c>
      <c r="W9" s="69">
        <v>5.18</v>
      </c>
      <c r="X9" s="100">
        <v>6.82</v>
      </c>
      <c r="Y9" s="37" t="str">
        <f>RTD("money.excel",,"3546","Price")</f>
        <v>無資料</v>
      </c>
      <c r="Z9" s="69">
        <v>92.6</v>
      </c>
      <c r="AA9" s="16" t="e">
        <f t="shared" ref="AA9:AA10" si="19">Y9-Z9</f>
        <v>#VALUE!</v>
      </c>
      <c r="AB9" s="3" t="e">
        <f t="shared" ref="AB9:AB10" si="20">AA9/Z9</f>
        <v>#VALUE!</v>
      </c>
      <c r="AC9" s="177" t="s">
        <v>6871</v>
      </c>
      <c r="AD9" s="17" t="s">
        <v>136</v>
      </c>
      <c r="AE9" s="89">
        <v>44557</v>
      </c>
      <c r="AG9" s="34">
        <f t="shared" ref="AG9:AG10" si="21">AF9-AE9</f>
        <v>-44557</v>
      </c>
      <c r="AH9" s="126" t="s">
        <v>4962</v>
      </c>
      <c r="AI9" s="131"/>
      <c r="AK9" s="66">
        <f t="shared" ref="AK9:AK10" si="22">AM9/(A9*10000)</f>
        <v>0</v>
      </c>
      <c r="AL9" s="174">
        <f t="shared" ref="AL9:AL10" si="23">AN9/(A9*10000)</f>
        <v>0</v>
      </c>
      <c r="AM9" s="346">
        <f>RTD("money.excel",,$G9,"PredictVolume")</f>
        <v>0</v>
      </c>
      <c r="AN9" s="272">
        <f>RTD("money.excel",,$G9,"CumulativeVolume")</f>
        <v>0</v>
      </c>
    </row>
    <row r="10" spans="1:40">
      <c r="A10" s="135" t="s">
        <v>3242</v>
      </c>
      <c r="B10" s="84">
        <v>118</v>
      </c>
      <c r="C10" s="84">
        <v>115</v>
      </c>
      <c r="D10" s="84">
        <v>5</v>
      </c>
      <c r="E10" s="84">
        <v>16</v>
      </c>
      <c r="F10" s="59">
        <v>20.75</v>
      </c>
      <c r="G10" s="84">
        <v>6279</v>
      </c>
      <c r="H10" s="9" t="s">
        <v>559</v>
      </c>
      <c r="I10" s="17" t="s">
        <v>78</v>
      </c>
      <c r="J10" s="371">
        <v>46.53</v>
      </c>
      <c r="K10" s="77">
        <v>17.239999999999998</v>
      </c>
      <c r="L10" s="371">
        <v>11.52</v>
      </c>
      <c r="M10" s="77">
        <v>22.88</v>
      </c>
      <c r="N10" s="365">
        <f t="shared" ref="N10" si="24">J10+K10+L10+M10</f>
        <v>98.169999999999987</v>
      </c>
      <c r="O10" s="343">
        <f t="shared" ref="O10" si="25">J10+M10</f>
        <v>69.41</v>
      </c>
      <c r="P10" s="195">
        <v>8</v>
      </c>
      <c r="Q10" s="326">
        <v>16</v>
      </c>
      <c r="R10" s="111">
        <v>22</v>
      </c>
      <c r="S10" s="51">
        <v>20</v>
      </c>
      <c r="T10" s="339">
        <f t="shared" ref="T10" si="26">SUM(P10:S10)</f>
        <v>66</v>
      </c>
      <c r="U10" s="329" t="s">
        <v>6870</v>
      </c>
      <c r="V10" s="371">
        <v>1.18</v>
      </c>
      <c r="W10" s="69">
        <v>4</v>
      </c>
      <c r="X10" s="100">
        <v>8.6</v>
      </c>
      <c r="Y10" s="37" t="str">
        <f>RTD("money.excel",,"6279","Price")</f>
        <v>無資料</v>
      </c>
      <c r="Z10" s="69">
        <v>142.5</v>
      </c>
      <c r="AA10" s="16" t="e">
        <f t="shared" si="19"/>
        <v>#VALUE!</v>
      </c>
      <c r="AB10" s="3" t="e">
        <f t="shared" si="20"/>
        <v>#VALUE!</v>
      </c>
      <c r="AC10" s="177" t="s">
        <v>6872</v>
      </c>
      <c r="AD10" s="17" t="s">
        <v>78</v>
      </c>
      <c r="AE10" s="89">
        <v>44557</v>
      </c>
      <c r="AG10" s="34">
        <f t="shared" si="21"/>
        <v>-44557</v>
      </c>
      <c r="AH10" s="126" t="s">
        <v>3496</v>
      </c>
      <c r="AI10" s="131"/>
      <c r="AK10" s="66">
        <f t="shared" si="22"/>
        <v>0</v>
      </c>
      <c r="AL10" s="174">
        <f t="shared" si="23"/>
        <v>0</v>
      </c>
      <c r="AM10" s="346">
        <f>RTD("money.excel",,$G10,"PredictVolume")</f>
        <v>0</v>
      </c>
      <c r="AN10" s="272">
        <f>RTD("money.excel",,$G10,"CumulativeVolume")</f>
        <v>0</v>
      </c>
    </row>
    <row r="11" spans="1:40">
      <c r="A11" s="135" t="s">
        <v>4671</v>
      </c>
      <c r="B11" s="85">
        <v>-1</v>
      </c>
      <c r="C11" s="84">
        <v>4</v>
      </c>
      <c r="D11" s="84">
        <v>1</v>
      </c>
      <c r="E11" s="84">
        <v>21</v>
      </c>
      <c r="F11" s="59">
        <v>23.35</v>
      </c>
      <c r="G11" s="84">
        <v>6664</v>
      </c>
      <c r="H11" s="9" t="s">
        <v>559</v>
      </c>
      <c r="I11" s="17" t="s">
        <v>1720</v>
      </c>
      <c r="J11" s="371">
        <v>42.88</v>
      </c>
      <c r="K11" s="77">
        <v>0.79</v>
      </c>
      <c r="L11" s="77">
        <v>8.43</v>
      </c>
      <c r="M11" s="77">
        <v>27.62</v>
      </c>
      <c r="N11" s="365">
        <f t="shared" ref="N11:N12" si="27">J11+K11+L11+M11</f>
        <v>79.72</v>
      </c>
      <c r="O11" s="343">
        <f t="shared" ref="O11:O12" si="28">J11+M11</f>
        <v>70.5</v>
      </c>
      <c r="P11" s="195">
        <v>5</v>
      </c>
      <c r="Q11" s="326" t="str">
        <f>IFERROR(VLOOKUP($G11,主力整理!$A$2:$G$2301,6,0),"0")</f>
        <v>0</v>
      </c>
      <c r="R11" s="111">
        <v>0</v>
      </c>
      <c r="S11" s="51">
        <v>0</v>
      </c>
      <c r="T11" s="339">
        <f t="shared" ref="T11:T12" si="29">SUM(P11:S11)</f>
        <v>5</v>
      </c>
      <c r="U11" s="329" t="s">
        <v>6811</v>
      </c>
      <c r="V11" s="371">
        <v>0.17</v>
      </c>
      <c r="W11" s="69">
        <v>4.3</v>
      </c>
      <c r="X11" s="100">
        <v>5.59</v>
      </c>
      <c r="Y11" s="37" t="str">
        <f>RTD("money.excel",,"6664","Price")</f>
        <v>無資料</v>
      </c>
      <c r="Z11" s="69">
        <v>72.5</v>
      </c>
      <c r="AA11" s="16" t="e">
        <f t="shared" ref="AA11:AA12" si="30">Y11-Z11</f>
        <v>#VALUE!</v>
      </c>
      <c r="AB11" s="3" t="e">
        <f t="shared" ref="AB11:AB12" si="31">AA11/Z11</f>
        <v>#VALUE!</v>
      </c>
      <c r="AC11" s="177" t="s">
        <v>6813</v>
      </c>
      <c r="AD11" s="17" t="s">
        <v>1720</v>
      </c>
      <c r="AE11" s="89">
        <v>44554</v>
      </c>
      <c r="AG11" s="34">
        <f t="shared" ref="AG11:AG12" si="32">AF11-AE11</f>
        <v>-44554</v>
      </c>
      <c r="AH11" s="63" t="s">
        <v>3662</v>
      </c>
      <c r="AI11" s="131"/>
      <c r="AK11" s="66">
        <f t="shared" ref="AK11:AK12" si="33">AM11/(A11*10000)</f>
        <v>0</v>
      </c>
      <c r="AL11" s="174">
        <f t="shared" ref="AL11:AL12" si="34">AN11/(A11*10000)</f>
        <v>0</v>
      </c>
      <c r="AM11" s="346">
        <f>RTD("money.excel",,$G11,"PredictVolume")</f>
        <v>0</v>
      </c>
      <c r="AN11" s="272">
        <f>RTD("money.excel",,$G11,"CumulativeVolume")</f>
        <v>0</v>
      </c>
    </row>
    <row r="12" spans="1:40">
      <c r="A12" s="135" t="s">
        <v>6810</v>
      </c>
      <c r="B12" s="84">
        <v>135</v>
      </c>
      <c r="C12" s="84">
        <v>168</v>
      </c>
      <c r="D12" s="85">
        <v>-6</v>
      </c>
      <c r="E12" s="84">
        <v>14</v>
      </c>
      <c r="F12" s="59">
        <v>18.399999999999999</v>
      </c>
      <c r="G12" s="84">
        <v>3455</v>
      </c>
      <c r="H12" s="9" t="s">
        <v>557</v>
      </c>
      <c r="I12" s="17" t="s">
        <v>841</v>
      </c>
      <c r="J12" s="371">
        <v>23.7</v>
      </c>
      <c r="K12" s="371">
        <v>8.67</v>
      </c>
      <c r="L12" s="371">
        <v>14.64</v>
      </c>
      <c r="M12" s="77">
        <v>9.07</v>
      </c>
      <c r="N12" s="365">
        <f t="shared" si="27"/>
        <v>56.08</v>
      </c>
      <c r="O12" s="343">
        <f t="shared" si="28"/>
        <v>32.769999999999996</v>
      </c>
      <c r="P12" s="195">
        <v>6</v>
      </c>
      <c r="Q12" s="326">
        <v>2</v>
      </c>
      <c r="R12" s="111">
        <v>15</v>
      </c>
      <c r="S12" s="51">
        <v>8</v>
      </c>
      <c r="T12" s="339">
        <f t="shared" si="29"/>
        <v>31</v>
      </c>
      <c r="U12" s="329" t="s">
        <v>6812</v>
      </c>
      <c r="V12" s="371">
        <v>0.7</v>
      </c>
      <c r="W12" s="69">
        <v>4</v>
      </c>
      <c r="X12" s="100">
        <v>6.76</v>
      </c>
      <c r="Y12" s="37" t="str">
        <f>RTD("money.excel",,"3455","Price")</f>
        <v>無資料</v>
      </c>
      <c r="Z12" s="69">
        <v>74.3</v>
      </c>
      <c r="AA12" s="16" t="e">
        <f t="shared" si="30"/>
        <v>#VALUE!</v>
      </c>
      <c r="AB12" s="3" t="e">
        <f t="shared" si="31"/>
        <v>#VALUE!</v>
      </c>
      <c r="AC12" s="177" t="s">
        <v>6814</v>
      </c>
      <c r="AD12" s="17" t="s">
        <v>841</v>
      </c>
      <c r="AE12" s="89">
        <v>44554</v>
      </c>
      <c r="AG12" s="34">
        <f t="shared" si="32"/>
        <v>-44554</v>
      </c>
      <c r="AH12" s="44" t="s">
        <v>3837</v>
      </c>
      <c r="AI12" s="131"/>
      <c r="AK12" s="66">
        <f t="shared" si="33"/>
        <v>0</v>
      </c>
      <c r="AL12" s="174">
        <f t="shared" si="34"/>
        <v>0</v>
      </c>
      <c r="AM12" s="346">
        <f>RTD("money.excel",,$G12,"PredictVolume")</f>
        <v>0</v>
      </c>
      <c r="AN12" s="272">
        <f>RTD("money.excel",,$G12,"CumulativeVolume")</f>
        <v>0</v>
      </c>
    </row>
    <row r="13" spans="1:40">
      <c r="A13" s="135" t="s">
        <v>2726</v>
      </c>
      <c r="B13" s="84">
        <v>5</v>
      </c>
      <c r="C13" s="85">
        <v>-8</v>
      </c>
      <c r="D13" s="85">
        <v>-5</v>
      </c>
      <c r="E13" s="85">
        <v>-44</v>
      </c>
      <c r="F13" s="59">
        <v>20.440000000000001</v>
      </c>
      <c r="G13" s="84">
        <v>3669</v>
      </c>
      <c r="H13" s="9" t="s">
        <v>557</v>
      </c>
      <c r="I13" s="23" t="s">
        <v>1723</v>
      </c>
      <c r="J13" s="371">
        <v>54.51</v>
      </c>
      <c r="K13" s="77">
        <v>1.41</v>
      </c>
      <c r="L13" s="77">
        <v>16.97</v>
      </c>
      <c r="M13" s="371">
        <v>36.6</v>
      </c>
      <c r="N13" s="365">
        <f t="shared" ref="N13" si="35">J13+K13+L13+M13</f>
        <v>109.48999999999998</v>
      </c>
      <c r="O13" s="369">
        <f t="shared" ref="O13" si="36">J13+M13</f>
        <v>91.11</v>
      </c>
      <c r="P13" s="195">
        <v>8</v>
      </c>
      <c r="Q13" s="326">
        <v>9</v>
      </c>
      <c r="R13" s="111">
        <v>25</v>
      </c>
      <c r="S13" s="51">
        <v>14</v>
      </c>
      <c r="T13" s="339">
        <f t="shared" ref="T13" si="37">SUM(P13:S13)</f>
        <v>56</v>
      </c>
      <c r="U13" s="329" t="s">
        <v>6539</v>
      </c>
      <c r="V13" s="371">
        <v>2.34</v>
      </c>
      <c r="W13" s="69">
        <v>5</v>
      </c>
      <c r="X13" s="59">
        <v>8.8000000000000007</v>
      </c>
      <c r="Y13" s="37" t="str">
        <f>RTD("money.excel",,"3669","Price")</f>
        <v>無資料</v>
      </c>
      <c r="Z13" s="69">
        <v>61.2</v>
      </c>
      <c r="AA13" s="16" t="e">
        <f t="shared" ref="AA13" si="38">Y13-Z13</f>
        <v>#VALUE!</v>
      </c>
      <c r="AB13" s="3" t="e">
        <f t="shared" ref="AB13" si="39">AA13/Z13</f>
        <v>#VALUE!</v>
      </c>
      <c r="AC13" s="177" t="s">
        <v>6795</v>
      </c>
      <c r="AD13" s="23" t="s">
        <v>1723</v>
      </c>
      <c r="AE13" s="89">
        <v>44554</v>
      </c>
      <c r="AG13" s="34">
        <f t="shared" ref="AG13" si="40">AF13-AE13</f>
        <v>-44554</v>
      </c>
      <c r="AH13" s="126" t="s">
        <v>3012</v>
      </c>
      <c r="AI13" s="131"/>
      <c r="AK13" s="66">
        <f t="shared" ref="AK13" si="41">AM13/(A13*10000)</f>
        <v>0</v>
      </c>
      <c r="AL13" s="174">
        <f t="shared" ref="AL13" si="42">AN13/(A13*10000)</f>
        <v>0</v>
      </c>
      <c r="AM13" s="346">
        <f>RTD("money.excel",,$G13,"PredictVolume")</f>
        <v>0</v>
      </c>
      <c r="AN13" s="272">
        <f>RTD("money.excel",,$G13,"CumulativeVolume")</f>
        <v>0</v>
      </c>
    </row>
    <row r="14" spans="1:40">
      <c r="A14" s="135" t="s">
        <v>6305</v>
      </c>
      <c r="B14" s="84">
        <v>95</v>
      </c>
      <c r="C14" s="84">
        <v>94</v>
      </c>
      <c r="D14" s="85">
        <v>-3</v>
      </c>
      <c r="E14" s="84">
        <v>15</v>
      </c>
      <c r="F14" s="59">
        <v>16.350000000000001</v>
      </c>
      <c r="G14" s="84">
        <v>6438</v>
      </c>
      <c r="H14" s="5" t="s">
        <v>566</v>
      </c>
      <c r="I14" s="23" t="s">
        <v>923</v>
      </c>
      <c r="J14" s="77">
        <v>25.76</v>
      </c>
      <c r="K14" s="77">
        <v>17.37</v>
      </c>
      <c r="L14" s="77">
        <v>13.03</v>
      </c>
      <c r="M14" s="365">
        <v>8.48</v>
      </c>
      <c r="N14" s="365">
        <f t="shared" ref="N14" si="43">J14+K14+L14+M14</f>
        <v>64.64</v>
      </c>
      <c r="O14" s="343">
        <f t="shared" ref="O14" si="44">J14+M14</f>
        <v>34.24</v>
      </c>
      <c r="P14" s="195">
        <v>7</v>
      </c>
      <c r="Q14" s="326">
        <v>19</v>
      </c>
      <c r="R14" s="111">
        <v>30</v>
      </c>
      <c r="S14" s="51">
        <v>19</v>
      </c>
      <c r="T14" s="339">
        <f t="shared" ref="T14" si="45">SUM(P14:S14)</f>
        <v>75</v>
      </c>
      <c r="U14" s="329" t="s">
        <v>6800</v>
      </c>
      <c r="V14" s="77">
        <v>5.0999999999999996</v>
      </c>
      <c r="W14" s="69">
        <v>4.1399999999999997</v>
      </c>
      <c r="X14" s="100">
        <v>9.81</v>
      </c>
      <c r="Y14" s="37" t="str">
        <f>RTD("money.excel",,"6438","Price")</f>
        <v>無資料</v>
      </c>
      <c r="Z14" s="69">
        <v>108.5</v>
      </c>
      <c r="AA14" s="16" t="e">
        <f t="shared" ref="AA14" si="46">Y14-Z14</f>
        <v>#VALUE!</v>
      </c>
      <c r="AB14" s="3" t="e">
        <f t="shared" ref="AB14" si="47">AA14/Z14</f>
        <v>#VALUE!</v>
      </c>
      <c r="AC14" s="177" t="s">
        <v>6801</v>
      </c>
      <c r="AD14" s="23" t="s">
        <v>923</v>
      </c>
      <c r="AE14" s="89">
        <v>44553</v>
      </c>
      <c r="AG14" s="34">
        <f t="shared" ref="AG14" si="48">AF14-AE14</f>
        <v>-44553</v>
      </c>
      <c r="AH14" s="63" t="s">
        <v>3684</v>
      </c>
      <c r="AI14" s="131"/>
      <c r="AK14" s="66">
        <f t="shared" ref="AK14" si="49">AM14/(A14*10000)</f>
        <v>0</v>
      </c>
      <c r="AL14" s="174">
        <f t="shared" ref="AL14" si="50">AN14/(A14*10000)</f>
        <v>0</v>
      </c>
      <c r="AM14" s="346">
        <f>RTD("money.excel",,$G14,"PredictVolume")</f>
        <v>0</v>
      </c>
      <c r="AN14" s="272">
        <f>RTD("money.excel",,$G14,"CumulativeVolume")</f>
        <v>0</v>
      </c>
    </row>
    <row r="15" spans="1:40">
      <c r="A15" s="151" t="s">
        <v>2518</v>
      </c>
      <c r="B15" s="85">
        <v>-4</v>
      </c>
      <c r="C15" s="85">
        <v>-41</v>
      </c>
      <c r="D15" s="84">
        <v>22</v>
      </c>
      <c r="E15" s="85">
        <v>-2</v>
      </c>
      <c r="F15" s="7">
        <v>1.5</v>
      </c>
      <c r="G15" s="84">
        <v>2439</v>
      </c>
      <c r="H15" s="216" t="s">
        <v>563</v>
      </c>
      <c r="I15" s="23" t="s">
        <v>385</v>
      </c>
      <c r="J15" s="371">
        <v>25.76</v>
      </c>
      <c r="K15" s="77">
        <v>17.54</v>
      </c>
      <c r="L15" s="371">
        <v>13.06</v>
      </c>
      <c r="M15" s="77">
        <v>8.48</v>
      </c>
      <c r="N15" s="365">
        <f t="shared" ref="N15" si="51">J15+K15+L15+M15</f>
        <v>64.84</v>
      </c>
      <c r="O15" s="343">
        <f t="shared" ref="O15" si="52">J15+M15</f>
        <v>34.24</v>
      </c>
      <c r="P15" s="195">
        <v>23</v>
      </c>
      <c r="Q15" s="326">
        <v>21</v>
      </c>
      <c r="R15" s="111">
        <v>31</v>
      </c>
      <c r="S15" s="51">
        <v>13</v>
      </c>
      <c r="T15" s="339">
        <f t="shared" ref="T15" si="53">SUM(P15:S15)</f>
        <v>88</v>
      </c>
      <c r="U15" s="329" t="s">
        <v>6791</v>
      </c>
      <c r="V15" s="77">
        <v>5.16</v>
      </c>
      <c r="W15" s="69">
        <v>5.07</v>
      </c>
      <c r="X15" s="100">
        <v>5.63</v>
      </c>
      <c r="Y15" s="37" t="str">
        <f>RTD("money.excel",,"2439","Price")</f>
        <v>無資料</v>
      </c>
      <c r="Z15" s="69">
        <v>94.9</v>
      </c>
      <c r="AA15" s="16" t="e">
        <f t="shared" ref="AA15" si="54">Y15-Z15</f>
        <v>#VALUE!</v>
      </c>
      <c r="AB15" s="3" t="e">
        <f t="shared" ref="AB15" si="55">AA15/Z15</f>
        <v>#VALUE!</v>
      </c>
      <c r="AC15" s="177" t="s">
        <v>6802</v>
      </c>
      <c r="AD15" s="23" t="s">
        <v>385</v>
      </c>
      <c r="AE15" s="89">
        <v>44553</v>
      </c>
      <c r="AG15" s="34">
        <f t="shared" ref="AG15" si="56">AF15-AE15</f>
        <v>-44553</v>
      </c>
      <c r="AH15" s="125" t="s">
        <v>3767</v>
      </c>
      <c r="AI15" s="131"/>
      <c r="AK15" s="66">
        <f>AM15/(A15*10000)</f>
        <v>0</v>
      </c>
      <c r="AL15" s="174">
        <f>AN15/(A15*10000)</f>
        <v>0</v>
      </c>
      <c r="AM15" s="346">
        <f>RTD("money.excel",,$G15,"PredictVolume")</f>
        <v>0</v>
      </c>
      <c r="AN15" s="272">
        <f>RTD("money.excel",,$G15,"CumulativeVolume")</f>
        <v>0</v>
      </c>
    </row>
    <row r="16" spans="1:40">
      <c r="A16" s="151" t="s">
        <v>4899</v>
      </c>
      <c r="B16" s="84">
        <v>283</v>
      </c>
      <c r="C16" s="84">
        <v>104</v>
      </c>
      <c r="D16" s="84">
        <v>8</v>
      </c>
      <c r="E16" s="84">
        <v>1</v>
      </c>
      <c r="F16" s="7">
        <v>0.85</v>
      </c>
      <c r="G16" s="84">
        <v>1806</v>
      </c>
      <c r="H16" s="9" t="s">
        <v>546</v>
      </c>
      <c r="I16" s="23" t="s">
        <v>1659</v>
      </c>
      <c r="J16" s="77">
        <v>70.5</v>
      </c>
      <c r="K16" s="77">
        <v>11.19</v>
      </c>
      <c r="L16" s="77">
        <v>8.77</v>
      </c>
      <c r="M16" s="77">
        <v>15.46</v>
      </c>
      <c r="N16" s="365">
        <f t="shared" ref="N16:N18" si="57">J16+K16+L16+M16</f>
        <v>105.91999999999999</v>
      </c>
      <c r="O16" s="369">
        <f t="shared" ref="O16:O18" si="58">J16+M16</f>
        <v>85.960000000000008</v>
      </c>
      <c r="P16" s="195">
        <v>2</v>
      </c>
      <c r="Q16" s="326">
        <v>32</v>
      </c>
      <c r="R16" s="111">
        <v>38</v>
      </c>
      <c r="S16" s="51">
        <v>26</v>
      </c>
      <c r="T16" s="339">
        <f t="shared" ref="T16" si="59">SUM(P16:S16)</f>
        <v>98</v>
      </c>
      <c r="U16" s="329" t="s">
        <v>6755</v>
      </c>
      <c r="V16" s="371">
        <v>1.18</v>
      </c>
      <c r="W16" s="35">
        <v>0</v>
      </c>
      <c r="X16" s="59">
        <v>2.4500000000000002</v>
      </c>
      <c r="Y16" s="37" t="str">
        <f>RTD("money.excel",,"1806","Price")</f>
        <v>無資料</v>
      </c>
      <c r="Z16" s="69">
        <v>12.6</v>
      </c>
      <c r="AA16" s="16" t="e">
        <f>Y16-Z16</f>
        <v>#VALUE!</v>
      </c>
      <c r="AB16" s="3" t="e">
        <f>AA16/Z16</f>
        <v>#VALUE!</v>
      </c>
      <c r="AC16" s="177" t="s">
        <v>6757</v>
      </c>
      <c r="AD16" s="23" t="s">
        <v>1659</v>
      </c>
      <c r="AE16" s="89">
        <v>44552</v>
      </c>
      <c r="AG16" s="34">
        <f t="shared" ref="AG16:AG17" si="60">AF16-AE16</f>
        <v>-44552</v>
      </c>
      <c r="AH16" s="44" t="s">
        <v>4348</v>
      </c>
      <c r="AI16" s="131"/>
      <c r="AK16" s="66"/>
      <c r="AL16" s="174"/>
      <c r="AM16" s="346"/>
      <c r="AN16" s="272"/>
    </row>
    <row r="17" spans="1:46">
      <c r="A17" s="135" t="s">
        <v>2575</v>
      </c>
      <c r="B17" s="84">
        <v>28</v>
      </c>
      <c r="C17" s="84">
        <v>29</v>
      </c>
      <c r="D17" s="84">
        <v>6</v>
      </c>
      <c r="E17" s="84">
        <v>11</v>
      </c>
      <c r="F17" s="59">
        <v>29.97</v>
      </c>
      <c r="G17" s="85">
        <v>2428</v>
      </c>
      <c r="H17" s="268" t="s">
        <v>559</v>
      </c>
      <c r="I17" s="23" t="s">
        <v>412</v>
      </c>
      <c r="J17" s="371">
        <v>58.2</v>
      </c>
      <c r="K17" s="77">
        <v>14.82</v>
      </c>
      <c r="L17" s="77">
        <v>7.89</v>
      </c>
      <c r="M17" s="371">
        <v>25.61</v>
      </c>
      <c r="N17" s="365">
        <f t="shared" si="57"/>
        <v>106.52000000000001</v>
      </c>
      <c r="O17" s="369">
        <f t="shared" si="58"/>
        <v>83.81</v>
      </c>
      <c r="P17" s="195">
        <v>23</v>
      </c>
      <c r="Q17" s="326">
        <v>14</v>
      </c>
      <c r="R17" s="111">
        <v>18</v>
      </c>
      <c r="S17" s="51">
        <v>20</v>
      </c>
      <c r="T17" s="339">
        <f t="shared" ref="T17:T18" si="61">SUM(P17:S17)</f>
        <v>75</v>
      </c>
      <c r="U17" s="329" t="s">
        <v>6756</v>
      </c>
      <c r="V17" s="77">
        <v>0.95</v>
      </c>
      <c r="W17" s="69">
        <v>5.5</v>
      </c>
      <c r="X17" s="59">
        <v>12.86</v>
      </c>
      <c r="Y17" s="37" t="str">
        <f>RTD("money.excel",,"2428","Price")</f>
        <v>無資料</v>
      </c>
      <c r="Z17" s="69">
        <v>154.5</v>
      </c>
      <c r="AA17" s="16" t="e">
        <f t="shared" ref="AA17" si="62">Y17-Z17</f>
        <v>#VALUE!</v>
      </c>
      <c r="AB17" s="3" t="e">
        <f t="shared" ref="AB17" si="63">AA17/Z17</f>
        <v>#VALUE!</v>
      </c>
      <c r="AC17" s="177" t="s">
        <v>6758</v>
      </c>
      <c r="AD17" s="23" t="s">
        <v>412</v>
      </c>
      <c r="AE17" s="89">
        <v>44552</v>
      </c>
      <c r="AG17" s="34">
        <f t="shared" si="60"/>
        <v>-44552</v>
      </c>
      <c r="AH17" s="63" t="s">
        <v>4969</v>
      </c>
      <c r="AI17" s="284"/>
      <c r="AK17" s="66"/>
      <c r="AL17" s="174"/>
      <c r="AM17" s="346"/>
      <c r="AN17" s="272"/>
    </row>
    <row r="18" spans="1:46" ht="15.75" customHeight="1">
      <c r="A18" s="135" t="s">
        <v>2777</v>
      </c>
      <c r="B18" s="84">
        <v>34</v>
      </c>
      <c r="C18" s="84">
        <v>8</v>
      </c>
      <c r="D18" s="85">
        <v>-4</v>
      </c>
      <c r="E18" s="84">
        <v>84</v>
      </c>
      <c r="F18" s="59">
        <v>19.77</v>
      </c>
      <c r="G18" s="84">
        <v>2605</v>
      </c>
      <c r="H18" s="5" t="s">
        <v>551</v>
      </c>
      <c r="I18" s="23" t="s">
        <v>1474</v>
      </c>
      <c r="J18" s="371">
        <v>35.6</v>
      </c>
      <c r="K18" s="77">
        <v>35.22</v>
      </c>
      <c r="L18" s="77">
        <v>16.059999999999999</v>
      </c>
      <c r="M18" s="371">
        <v>5.62</v>
      </c>
      <c r="N18" s="365">
        <f t="shared" si="57"/>
        <v>92.5</v>
      </c>
      <c r="O18" s="343">
        <f t="shared" si="58"/>
        <v>41.22</v>
      </c>
      <c r="P18" s="195">
        <v>23</v>
      </c>
      <c r="Q18" s="326">
        <v>48</v>
      </c>
      <c r="R18" s="111">
        <v>30</v>
      </c>
      <c r="S18" s="51">
        <v>52</v>
      </c>
      <c r="T18" s="339">
        <f t="shared" si="61"/>
        <v>153</v>
      </c>
      <c r="U18" s="329" t="s">
        <v>6756</v>
      </c>
      <c r="V18" s="371">
        <v>2.2799999999999998</v>
      </c>
      <c r="W18" s="35">
        <v>0.5</v>
      </c>
      <c r="X18" s="100">
        <v>0.39</v>
      </c>
      <c r="Y18" s="37" t="str">
        <f>RTD("money.excel",,"2605","Price")</f>
        <v>無資料</v>
      </c>
      <c r="Z18" s="69">
        <v>30.6</v>
      </c>
      <c r="AA18" s="16" t="e">
        <f>Y18-Z18</f>
        <v>#VALUE!</v>
      </c>
      <c r="AB18" s="3" t="e">
        <f>AA18/Z18</f>
        <v>#VALUE!</v>
      </c>
      <c r="AC18" s="177" t="s">
        <v>6759</v>
      </c>
      <c r="AD18" s="23" t="s">
        <v>1474</v>
      </c>
      <c r="AE18" s="89">
        <v>44552</v>
      </c>
      <c r="AG18" s="34">
        <f>AF18-AE18</f>
        <v>-44552</v>
      </c>
      <c r="AH18" s="63" t="s">
        <v>3189</v>
      </c>
      <c r="AI18" s="131"/>
      <c r="AK18" s="131"/>
      <c r="AL18" s="264"/>
    </row>
    <row r="19" spans="1:46">
      <c r="A19" s="135" t="s">
        <v>2778</v>
      </c>
      <c r="B19" s="84">
        <v>16</v>
      </c>
      <c r="C19" s="84">
        <v>148</v>
      </c>
      <c r="D19" s="85">
        <v>-1</v>
      </c>
      <c r="E19" s="84">
        <v>45</v>
      </c>
      <c r="F19" s="59">
        <v>34.19</v>
      </c>
      <c r="G19" s="84">
        <v>2617</v>
      </c>
      <c r="H19" s="5" t="s">
        <v>551</v>
      </c>
      <c r="I19" s="23" t="s">
        <v>1479</v>
      </c>
      <c r="J19" s="371">
        <v>52.37</v>
      </c>
      <c r="K19" s="77">
        <v>5.19</v>
      </c>
      <c r="L19" s="77">
        <v>14.74</v>
      </c>
      <c r="M19" s="77">
        <v>43.72</v>
      </c>
      <c r="N19" s="365">
        <f t="shared" ref="N19:N20" si="64">J19+K19+L19+M19</f>
        <v>116.02</v>
      </c>
      <c r="O19" s="369">
        <f t="shared" ref="O19:O20" si="65">J19+M19</f>
        <v>96.09</v>
      </c>
      <c r="P19" s="195">
        <v>31</v>
      </c>
      <c r="Q19" s="326">
        <v>44</v>
      </c>
      <c r="R19" s="111">
        <v>32</v>
      </c>
      <c r="S19" s="51">
        <v>54</v>
      </c>
      <c r="T19" s="339">
        <f t="shared" ref="T19:T20" si="66">SUM(P19:S19)</f>
        <v>161</v>
      </c>
      <c r="U19" s="329" t="s">
        <v>6755</v>
      </c>
      <c r="V19" s="371">
        <v>1.65</v>
      </c>
      <c r="W19" s="35">
        <v>0.9</v>
      </c>
      <c r="X19" s="59">
        <v>2.57</v>
      </c>
      <c r="Y19" s="37" t="str">
        <f>RTD("money.excel",,"2617","Price")</f>
        <v>無資料</v>
      </c>
      <c r="Z19" s="69">
        <v>38.049999999999997</v>
      </c>
      <c r="AA19" s="16" t="e">
        <f>Y19-Z19</f>
        <v>#VALUE!</v>
      </c>
      <c r="AB19" s="3" t="e">
        <f t="shared" ref="AB19:AB20" si="67">AA19/Z19</f>
        <v>#VALUE!</v>
      </c>
      <c r="AC19" s="177" t="s">
        <v>6763</v>
      </c>
      <c r="AD19" s="23" t="s">
        <v>1479</v>
      </c>
      <c r="AE19" s="89">
        <v>44552</v>
      </c>
      <c r="AG19" s="34">
        <f t="shared" ref="AG19:AG20" si="68">AF19-AE19</f>
        <v>-44552</v>
      </c>
      <c r="AH19" s="63" t="s">
        <v>5214</v>
      </c>
      <c r="AI19" s="131"/>
    </row>
    <row r="20" spans="1:46">
      <c r="A20" s="151" t="s">
        <v>3089</v>
      </c>
      <c r="B20" s="84">
        <v>116</v>
      </c>
      <c r="C20" s="84">
        <v>35</v>
      </c>
      <c r="D20" s="84">
        <v>7</v>
      </c>
      <c r="E20" s="84">
        <v>14</v>
      </c>
      <c r="F20" s="7">
        <v>7.23</v>
      </c>
      <c r="G20" s="84">
        <v>3260</v>
      </c>
      <c r="H20" s="203" t="s">
        <v>558</v>
      </c>
      <c r="I20" s="17" t="s">
        <v>396</v>
      </c>
      <c r="J20" s="371">
        <v>13.79</v>
      </c>
      <c r="K20" s="77">
        <v>2.8</v>
      </c>
      <c r="L20" s="371">
        <v>29.37</v>
      </c>
      <c r="M20" s="371">
        <v>5.48</v>
      </c>
      <c r="N20" s="365">
        <f t="shared" si="64"/>
        <v>51.44</v>
      </c>
      <c r="O20" s="343">
        <f t="shared" si="65"/>
        <v>19.27</v>
      </c>
      <c r="P20" s="195">
        <v>51</v>
      </c>
      <c r="Q20" s="326">
        <v>34</v>
      </c>
      <c r="R20" s="111">
        <v>25</v>
      </c>
      <c r="S20" s="51">
        <v>28</v>
      </c>
      <c r="T20" s="339">
        <f t="shared" si="66"/>
        <v>138</v>
      </c>
      <c r="U20" s="329" t="s">
        <v>6756</v>
      </c>
      <c r="V20" s="371">
        <v>10.46</v>
      </c>
      <c r="W20" s="69">
        <v>3.18</v>
      </c>
      <c r="X20" s="100">
        <v>10.55</v>
      </c>
      <c r="Y20" s="37" t="str">
        <f>RTD("money.excel",,"3260","Price")</f>
        <v>無資料</v>
      </c>
      <c r="Z20" s="69">
        <v>90.8</v>
      </c>
      <c r="AA20" s="16" t="e">
        <f t="shared" ref="AA20" si="69">Y20-Z20</f>
        <v>#VALUE!</v>
      </c>
      <c r="AB20" s="3" t="e">
        <f t="shared" si="67"/>
        <v>#VALUE!</v>
      </c>
      <c r="AC20" s="177" t="s">
        <v>6765</v>
      </c>
      <c r="AD20" s="17" t="s">
        <v>396</v>
      </c>
      <c r="AE20" s="89">
        <v>44552</v>
      </c>
      <c r="AG20" s="34">
        <f t="shared" si="68"/>
        <v>-44552</v>
      </c>
      <c r="AH20" s="125" t="s">
        <v>2131</v>
      </c>
      <c r="AI20" s="131"/>
      <c r="AL20" s="265"/>
      <c r="AM20" s="287"/>
      <c r="AN20" s="287"/>
    </row>
    <row r="21" spans="1:46">
      <c r="A21" s="135" t="s">
        <v>5576</v>
      </c>
      <c r="B21" s="98">
        <v>1829</v>
      </c>
      <c r="C21" s="98">
        <v>1896</v>
      </c>
      <c r="D21" s="85">
        <v>-6</v>
      </c>
      <c r="E21" s="84">
        <v>161</v>
      </c>
      <c r="F21" s="59">
        <v>53.29</v>
      </c>
      <c r="G21" s="84">
        <v>2615</v>
      </c>
      <c r="H21" s="9" t="s">
        <v>551</v>
      </c>
      <c r="I21" s="23" t="s">
        <v>256</v>
      </c>
      <c r="J21" s="371">
        <v>85.05</v>
      </c>
      <c r="K21" s="371">
        <v>44.69</v>
      </c>
      <c r="L21" s="371">
        <v>7.4</v>
      </c>
      <c r="M21" s="77">
        <v>4.5</v>
      </c>
      <c r="N21" s="77">
        <f t="shared" ref="N21:N22" si="70">J21+K21+L21+M21</f>
        <v>141.64000000000001</v>
      </c>
      <c r="O21" s="369">
        <f t="shared" ref="O21:O22" si="71">J21+M21</f>
        <v>89.55</v>
      </c>
      <c r="P21" s="195">
        <v>98</v>
      </c>
      <c r="Q21" s="326">
        <v>22</v>
      </c>
      <c r="R21" s="111">
        <v>18</v>
      </c>
      <c r="S21" s="51">
        <v>68</v>
      </c>
      <c r="T21" s="339">
        <f t="shared" ref="T21:T22" si="72">SUM(P21:S21)</f>
        <v>206</v>
      </c>
      <c r="U21" s="329" t="s">
        <v>6541</v>
      </c>
      <c r="V21" s="77">
        <v>1.79</v>
      </c>
      <c r="W21" s="35">
        <v>2</v>
      </c>
      <c r="X21" s="59">
        <v>33.86</v>
      </c>
      <c r="Y21" s="14" t="str">
        <f>RTD("money.excel",,"2615","Price")</f>
        <v>無資料</v>
      </c>
      <c r="Z21" s="69">
        <v>207</v>
      </c>
      <c r="AA21" s="16" t="e">
        <f>Y21-Z21</f>
        <v>#VALUE!</v>
      </c>
      <c r="AB21" s="3" t="e">
        <f>AA21/Z21</f>
        <v>#VALUE!</v>
      </c>
      <c r="AC21" s="177" t="s">
        <v>6745</v>
      </c>
      <c r="AD21" s="23" t="s">
        <v>256</v>
      </c>
      <c r="AE21" s="89">
        <v>44551</v>
      </c>
      <c r="AG21" s="34">
        <f>AF21-AE21</f>
        <v>-44551</v>
      </c>
      <c r="AH21" s="126" t="s">
        <v>3283</v>
      </c>
      <c r="AI21" s="131"/>
      <c r="AK21" s="131"/>
      <c r="AL21" s="264"/>
    </row>
    <row r="22" spans="1:46">
      <c r="A22" s="151" t="s">
        <v>2460</v>
      </c>
      <c r="B22" s="85">
        <v>-787</v>
      </c>
      <c r="C22" s="85">
        <v>-759</v>
      </c>
      <c r="D22" s="85">
        <v>-60</v>
      </c>
      <c r="E22" s="98">
        <v>164</v>
      </c>
      <c r="F22" s="7">
        <v>-39.39</v>
      </c>
      <c r="G22" s="85">
        <v>4142</v>
      </c>
      <c r="H22" s="5" t="s">
        <v>560</v>
      </c>
      <c r="I22" s="23" t="s">
        <v>1177</v>
      </c>
      <c r="J22" s="371">
        <v>38.24</v>
      </c>
      <c r="K22" s="77">
        <v>9.64</v>
      </c>
      <c r="L22" s="77">
        <v>17.95</v>
      </c>
      <c r="M22" s="77">
        <v>17.73</v>
      </c>
      <c r="N22" s="365">
        <f t="shared" si="70"/>
        <v>83.56</v>
      </c>
      <c r="O22" s="343">
        <f t="shared" si="71"/>
        <v>55.97</v>
      </c>
      <c r="P22" s="195">
        <v>13</v>
      </c>
      <c r="Q22" s="326">
        <v>33</v>
      </c>
      <c r="R22" s="111">
        <v>32</v>
      </c>
      <c r="S22" s="51">
        <v>29</v>
      </c>
      <c r="T22" s="339">
        <f t="shared" si="72"/>
        <v>107</v>
      </c>
      <c r="U22" s="329" t="s">
        <v>6743</v>
      </c>
      <c r="V22" s="77">
        <v>4.8899999999999997</v>
      </c>
      <c r="W22" s="35">
        <v>0.5</v>
      </c>
      <c r="X22" s="100">
        <v>2.33</v>
      </c>
      <c r="Y22" s="37" t="str">
        <f>RTD("money.excel",,"4142","Price")</f>
        <v>無資料</v>
      </c>
      <c r="Z22" s="69">
        <v>44.9</v>
      </c>
      <c r="AA22" s="16" t="e">
        <f t="shared" ref="AA22" si="73">Y22-Z22</f>
        <v>#VALUE!</v>
      </c>
      <c r="AB22" s="3" t="e">
        <f t="shared" ref="AB22" si="74">AA22/Z22</f>
        <v>#VALUE!</v>
      </c>
      <c r="AC22" s="177" t="s">
        <v>6353</v>
      </c>
      <c r="AD22" s="23" t="s">
        <v>1177</v>
      </c>
      <c r="AE22" s="89">
        <v>44551</v>
      </c>
      <c r="AG22" s="34">
        <f t="shared" ref="AG22" si="75">AF22-AE22</f>
        <v>-44551</v>
      </c>
      <c r="AH22" s="44" t="s">
        <v>4406</v>
      </c>
      <c r="AI22" s="131"/>
    </row>
    <row r="23" spans="1:46">
      <c r="A23" s="135" t="s">
        <v>5396</v>
      </c>
      <c r="B23" s="98">
        <v>1304</v>
      </c>
      <c r="C23" s="98">
        <v>1044</v>
      </c>
      <c r="D23" s="85">
        <v>-3</v>
      </c>
      <c r="E23" s="84">
        <v>159</v>
      </c>
      <c r="F23" s="59">
        <v>57.62</v>
      </c>
      <c r="G23" s="84">
        <v>2603</v>
      </c>
      <c r="H23" s="9" t="s">
        <v>551</v>
      </c>
      <c r="I23" s="23" t="s">
        <v>486</v>
      </c>
      <c r="J23" s="371">
        <v>58.98</v>
      </c>
      <c r="K23" s="77">
        <v>30.53</v>
      </c>
      <c r="L23" s="371">
        <v>21.48</v>
      </c>
      <c r="M23" s="371">
        <v>14.18</v>
      </c>
      <c r="N23" s="365">
        <f t="shared" ref="N23:N24" si="76">J23+K23+L23+M23</f>
        <v>125.16999999999999</v>
      </c>
      <c r="O23" s="343">
        <f t="shared" ref="O23:O24" si="77">J23+M23</f>
        <v>73.16</v>
      </c>
      <c r="P23" s="195">
        <v>139</v>
      </c>
      <c r="Q23" s="326">
        <v>35</v>
      </c>
      <c r="R23" s="111">
        <v>19</v>
      </c>
      <c r="S23" s="51">
        <v>64</v>
      </c>
      <c r="T23" s="339">
        <f t="shared" ref="T23:T24" si="78">SUM(P23:S23)</f>
        <v>257</v>
      </c>
      <c r="U23" s="329" t="s">
        <v>6734</v>
      </c>
      <c r="V23" s="371">
        <v>3.43</v>
      </c>
      <c r="W23" s="35">
        <v>2.4900000000000002</v>
      </c>
      <c r="X23" s="59">
        <v>33.51</v>
      </c>
      <c r="Y23" s="37" t="str">
        <f>RTD("money.excel",,"2603","Price")</f>
        <v>無資料</v>
      </c>
      <c r="Z23" s="69">
        <v>139</v>
      </c>
      <c r="AA23" s="16" t="e">
        <f>Y23-Z23</f>
        <v>#VALUE!</v>
      </c>
      <c r="AB23" s="3" t="e">
        <f>AA23/Z23</f>
        <v>#VALUE!</v>
      </c>
      <c r="AC23" s="177" t="s">
        <v>6738</v>
      </c>
      <c r="AD23" s="23" t="s">
        <v>486</v>
      </c>
      <c r="AE23" s="89">
        <v>44550</v>
      </c>
      <c r="AG23" s="34">
        <f>AF23-AE23</f>
        <v>-44550</v>
      </c>
      <c r="AH23" s="126" t="s">
        <v>5209</v>
      </c>
      <c r="AI23" s="131"/>
    </row>
    <row r="24" spans="1:46">
      <c r="A24" s="135" t="s">
        <v>5576</v>
      </c>
      <c r="B24" s="98">
        <v>1829</v>
      </c>
      <c r="C24" s="98">
        <v>1896</v>
      </c>
      <c r="D24" s="85">
        <v>-6</v>
      </c>
      <c r="E24" s="84">
        <v>161</v>
      </c>
      <c r="F24" s="59">
        <v>53.29</v>
      </c>
      <c r="G24" s="84">
        <v>2615</v>
      </c>
      <c r="H24" s="9" t="s">
        <v>551</v>
      </c>
      <c r="I24" s="23" t="s">
        <v>256</v>
      </c>
      <c r="J24" s="371">
        <v>85.05</v>
      </c>
      <c r="K24" s="77">
        <v>44.9</v>
      </c>
      <c r="L24" s="371">
        <v>7.59</v>
      </c>
      <c r="M24" s="77">
        <v>4.5</v>
      </c>
      <c r="N24" s="77">
        <f t="shared" si="76"/>
        <v>142.04</v>
      </c>
      <c r="O24" s="369">
        <f t="shared" si="77"/>
        <v>89.55</v>
      </c>
      <c r="P24" s="195">
        <v>98</v>
      </c>
      <c r="Q24" s="326">
        <v>22</v>
      </c>
      <c r="R24" s="111">
        <v>18</v>
      </c>
      <c r="S24" s="51">
        <v>68</v>
      </c>
      <c r="T24" s="339">
        <f t="shared" si="78"/>
        <v>206</v>
      </c>
      <c r="U24" s="329" t="s">
        <v>6735</v>
      </c>
      <c r="V24" s="77">
        <v>1.76</v>
      </c>
      <c r="W24" s="35">
        <v>2</v>
      </c>
      <c r="X24" s="59">
        <v>33.86</v>
      </c>
      <c r="Y24" s="14" t="str">
        <f>RTD("money.excel",,"2615","Price")</f>
        <v>無資料</v>
      </c>
      <c r="Z24" s="69">
        <v>199</v>
      </c>
      <c r="AA24" s="16" t="e">
        <f>Y24-Z24</f>
        <v>#VALUE!</v>
      </c>
      <c r="AB24" s="3" t="e">
        <f>AA24/Z24</f>
        <v>#VALUE!</v>
      </c>
      <c r="AC24" s="177" t="s">
        <v>6739</v>
      </c>
      <c r="AD24" s="23" t="s">
        <v>256</v>
      </c>
      <c r="AE24" s="89">
        <v>44550</v>
      </c>
      <c r="AG24" s="34">
        <f>AF24-AE24</f>
        <v>-44550</v>
      </c>
      <c r="AH24" s="126" t="s">
        <v>3283</v>
      </c>
      <c r="AI24" s="284"/>
    </row>
    <row r="25" spans="1:46">
      <c r="A25" s="135" t="s">
        <v>2485</v>
      </c>
      <c r="B25" s="85">
        <v>-31</v>
      </c>
      <c r="C25" s="84">
        <v>7</v>
      </c>
      <c r="D25" s="85">
        <v>-23</v>
      </c>
      <c r="E25" s="84">
        <v>37</v>
      </c>
      <c r="F25" s="59">
        <v>24.91</v>
      </c>
      <c r="G25" s="85">
        <v>4105</v>
      </c>
      <c r="H25" s="5" t="s">
        <v>560</v>
      </c>
      <c r="I25" s="17" t="s">
        <v>398</v>
      </c>
      <c r="J25" s="371">
        <v>40.24</v>
      </c>
      <c r="K25" s="77">
        <v>14.45</v>
      </c>
      <c r="L25" s="371">
        <v>4.95</v>
      </c>
      <c r="M25" s="371">
        <v>12.44</v>
      </c>
      <c r="N25" s="365">
        <f t="shared" ref="N25" si="79">J25+K25+L25+M25</f>
        <v>72.08</v>
      </c>
      <c r="O25" s="343">
        <f t="shared" ref="O25" si="80">J25+M25</f>
        <v>52.68</v>
      </c>
      <c r="P25" s="195">
        <v>8</v>
      </c>
      <c r="Q25" s="326">
        <v>1</v>
      </c>
      <c r="R25" s="111">
        <v>3</v>
      </c>
      <c r="S25" s="51">
        <v>0</v>
      </c>
      <c r="T25" s="339">
        <f t="shared" ref="T25" si="81">SUM(P25:S25)</f>
        <v>12</v>
      </c>
      <c r="U25" s="329" t="s">
        <v>6681</v>
      </c>
      <c r="V25" s="371">
        <v>2.0299999999999998</v>
      </c>
      <c r="W25" s="69">
        <v>4</v>
      </c>
      <c r="X25" s="100">
        <v>3.02</v>
      </c>
      <c r="Y25" s="37" t="str">
        <f>RTD("money.excel",,"4105","Price")</f>
        <v>無資料</v>
      </c>
      <c r="Z25" s="69">
        <v>69.900000000000006</v>
      </c>
      <c r="AA25" s="16" t="e">
        <f t="shared" ref="AA25" si="82">Y25-Z25</f>
        <v>#VALUE!</v>
      </c>
      <c r="AB25" s="3" t="e">
        <f t="shared" ref="AB25" si="83">AA25/Z25</f>
        <v>#VALUE!</v>
      </c>
      <c r="AC25" s="107" t="s">
        <v>6682</v>
      </c>
      <c r="AD25" s="17" t="s">
        <v>398</v>
      </c>
      <c r="AE25" s="89">
        <v>44546</v>
      </c>
      <c r="AG25" s="34">
        <f t="shared" ref="AG25" si="84">AF25-AE25</f>
        <v>-44546</v>
      </c>
      <c r="AH25" s="126" t="s">
        <v>3881</v>
      </c>
      <c r="AI25" s="131"/>
    </row>
    <row r="26" spans="1:46">
      <c r="A26" s="151" t="s">
        <v>2885</v>
      </c>
      <c r="B26" s="85">
        <v>-47</v>
      </c>
      <c r="C26" s="85">
        <v>-51</v>
      </c>
      <c r="D26" s="84">
        <v>4</v>
      </c>
      <c r="E26" s="85">
        <v>-42</v>
      </c>
      <c r="F26" s="7">
        <v>8.5</v>
      </c>
      <c r="G26" s="84">
        <v>4977</v>
      </c>
      <c r="H26" s="9" t="s">
        <v>563</v>
      </c>
      <c r="I26" s="23" t="s">
        <v>444</v>
      </c>
      <c r="J26" s="77">
        <v>42.43</v>
      </c>
      <c r="K26" s="77">
        <v>38.880000000000003</v>
      </c>
      <c r="L26" s="77">
        <v>12.65</v>
      </c>
      <c r="M26" s="77">
        <v>21.95</v>
      </c>
      <c r="N26" s="365">
        <f t="shared" ref="N26:N30" si="85">K26+J26+L26+M26</f>
        <v>115.91000000000001</v>
      </c>
      <c r="O26" s="343">
        <f t="shared" ref="O26:O30" si="86">J26+M26</f>
        <v>64.38</v>
      </c>
      <c r="P26" s="195">
        <v>11</v>
      </c>
      <c r="Q26" s="326" t="str">
        <f>IFERROR(VLOOKUP($G26,主力整理!$A$2:$G$2301,6,0),"0")</f>
        <v>0</v>
      </c>
      <c r="R26" s="111">
        <v>1</v>
      </c>
      <c r="S26" s="51">
        <v>0</v>
      </c>
      <c r="T26" s="339">
        <f t="shared" ref="T26:T30" si="87">SUM(P26:S26)</f>
        <v>12</v>
      </c>
      <c r="U26" s="329" t="s">
        <v>6582</v>
      </c>
      <c r="V26" s="77">
        <v>0.97</v>
      </c>
      <c r="W26" s="69">
        <v>5.81</v>
      </c>
      <c r="X26" s="100">
        <v>5.27</v>
      </c>
      <c r="Y26" s="37" t="str">
        <f>RTD("money.excel",,"4977","Price")</f>
        <v>無資料</v>
      </c>
      <c r="Z26" s="69">
        <v>86</v>
      </c>
      <c r="AA26" s="16" t="e">
        <f t="shared" ref="AA26" si="88">Y26-Z26</f>
        <v>#VALUE!</v>
      </c>
      <c r="AB26" s="3" t="e">
        <f t="shared" ref="AB26" si="89">AA26/Z26</f>
        <v>#VALUE!</v>
      </c>
      <c r="AC26" s="105" t="s">
        <v>6583</v>
      </c>
      <c r="AD26" s="23" t="s">
        <v>444</v>
      </c>
      <c r="AE26" s="89">
        <v>44539</v>
      </c>
      <c r="AG26" s="34">
        <f t="shared" ref="AG26" si="90">AF26-AE26</f>
        <v>-44539</v>
      </c>
      <c r="AH26" s="127" t="s">
        <v>3053</v>
      </c>
      <c r="AI26" s="284"/>
    </row>
    <row r="27" spans="1:46">
      <c r="A27" s="135" t="s">
        <v>3088</v>
      </c>
      <c r="B27" s="84">
        <v>4</v>
      </c>
      <c r="C27" s="85">
        <v>-9</v>
      </c>
      <c r="D27" s="85">
        <v>-16</v>
      </c>
      <c r="E27" s="85">
        <v>-22</v>
      </c>
      <c r="F27" s="59">
        <v>11.96</v>
      </c>
      <c r="G27" s="84">
        <v>4935</v>
      </c>
      <c r="H27" s="9" t="s">
        <v>557</v>
      </c>
      <c r="I27" s="23" t="s">
        <v>817</v>
      </c>
      <c r="J27" s="77">
        <v>45.98</v>
      </c>
      <c r="K27" s="371">
        <v>26.66</v>
      </c>
      <c r="L27" s="77">
        <v>12.64</v>
      </c>
      <c r="M27" s="77">
        <v>17.91</v>
      </c>
      <c r="N27" s="365">
        <f t="shared" si="85"/>
        <v>103.19</v>
      </c>
      <c r="O27" s="343">
        <f t="shared" si="86"/>
        <v>63.89</v>
      </c>
      <c r="P27" s="195">
        <v>16</v>
      </c>
      <c r="Q27" s="326" t="str">
        <f>IFERROR(VLOOKUP($G27,主力整理!$A$2:$G$2301,6,0),"0")</f>
        <v>0</v>
      </c>
      <c r="R27" s="111">
        <v>1</v>
      </c>
      <c r="S27" s="51">
        <v>1</v>
      </c>
      <c r="T27" s="339">
        <f t="shared" si="87"/>
        <v>18</v>
      </c>
      <c r="U27" s="329" t="s">
        <v>6553</v>
      </c>
      <c r="V27" s="371">
        <v>1.9</v>
      </c>
      <c r="W27" s="69">
        <v>5.5</v>
      </c>
      <c r="X27" s="100">
        <v>10.64</v>
      </c>
      <c r="Y27" s="37" t="str">
        <f>RTD("money.excel",,"4935","Price")</f>
        <v>無資料</v>
      </c>
      <c r="Z27" s="69">
        <v>80.400000000000006</v>
      </c>
      <c r="AA27" s="16" t="e">
        <f t="shared" ref="AA27" si="91">Y27-Z27</f>
        <v>#VALUE!</v>
      </c>
      <c r="AB27" s="3" t="e">
        <f t="shared" ref="AB27" si="92">AA27/Z27</f>
        <v>#VALUE!</v>
      </c>
      <c r="AC27" s="105" t="s">
        <v>6556</v>
      </c>
      <c r="AD27" s="23" t="s">
        <v>817</v>
      </c>
      <c r="AE27" s="89">
        <v>44537</v>
      </c>
      <c r="AG27" s="34">
        <f t="shared" ref="AG27" si="93">AF27-AE27</f>
        <v>-44537</v>
      </c>
      <c r="AH27" s="63" t="s">
        <v>3650</v>
      </c>
      <c r="AI27" s="131"/>
    </row>
    <row r="28" spans="1:46">
      <c r="A28" s="151" t="s">
        <v>2490</v>
      </c>
      <c r="B28" s="85">
        <v>-14</v>
      </c>
      <c r="C28" s="85">
        <v>-22</v>
      </c>
      <c r="D28" s="84">
        <v>58</v>
      </c>
      <c r="E28" s="84">
        <v>26</v>
      </c>
      <c r="F28" s="7">
        <v>4.84</v>
      </c>
      <c r="G28" s="84">
        <v>3211</v>
      </c>
      <c r="H28" s="154" t="s">
        <v>1815</v>
      </c>
      <c r="I28" s="17" t="s">
        <v>423</v>
      </c>
      <c r="J28" s="371">
        <v>24.85</v>
      </c>
      <c r="K28" s="371">
        <v>11.83</v>
      </c>
      <c r="L28" s="77">
        <v>9.42</v>
      </c>
      <c r="M28" s="77">
        <v>9.57</v>
      </c>
      <c r="N28" s="365">
        <f t="shared" si="85"/>
        <v>55.67</v>
      </c>
      <c r="O28" s="343">
        <f t="shared" si="86"/>
        <v>34.42</v>
      </c>
      <c r="P28" s="195">
        <v>9</v>
      </c>
      <c r="Q28" s="326">
        <v>2</v>
      </c>
      <c r="R28" s="111">
        <v>1</v>
      </c>
      <c r="S28" s="51">
        <v>5</v>
      </c>
      <c r="T28" s="339">
        <f t="shared" si="87"/>
        <v>17</v>
      </c>
      <c r="U28" s="329" t="s">
        <v>6549</v>
      </c>
      <c r="V28" s="371">
        <v>1.65</v>
      </c>
      <c r="W28" s="69">
        <v>6.5</v>
      </c>
      <c r="X28" s="100">
        <v>6.19</v>
      </c>
      <c r="Y28" s="37" t="str">
        <f>RTD("money.excel",,"3211","Price")</f>
        <v>無資料</v>
      </c>
      <c r="Z28" s="69">
        <v>100.5</v>
      </c>
      <c r="AA28" s="16" t="e">
        <f t="shared" ref="AA28" si="94">Y28-Z28</f>
        <v>#VALUE!</v>
      </c>
      <c r="AB28" s="3" t="e">
        <f t="shared" ref="AB28" si="95">AA28/Z28</f>
        <v>#VALUE!</v>
      </c>
      <c r="AC28" s="107" t="s">
        <v>6383</v>
      </c>
      <c r="AD28" s="17" t="s">
        <v>423</v>
      </c>
      <c r="AE28" s="89">
        <v>44536</v>
      </c>
      <c r="AG28" s="34">
        <f t="shared" ref="AG28" si="96">AF28-AE28</f>
        <v>-44536</v>
      </c>
      <c r="AH28" s="44" t="s">
        <v>3532</v>
      </c>
      <c r="AI28" s="131"/>
    </row>
    <row r="29" spans="1:46">
      <c r="A29" s="151" t="s">
        <v>2490</v>
      </c>
      <c r="B29" s="85">
        <v>-14</v>
      </c>
      <c r="C29" s="85">
        <v>-22</v>
      </c>
      <c r="D29" s="85">
        <v>-24</v>
      </c>
      <c r="E29" s="85">
        <v>-31</v>
      </c>
      <c r="F29" s="7">
        <v>4.84</v>
      </c>
      <c r="G29" s="84">
        <v>3211</v>
      </c>
      <c r="H29" s="154" t="s">
        <v>1815</v>
      </c>
      <c r="I29" s="17" t="s">
        <v>423</v>
      </c>
      <c r="J29" s="77">
        <v>25.56</v>
      </c>
      <c r="K29" s="371">
        <v>11.72</v>
      </c>
      <c r="L29" s="77">
        <v>10.06</v>
      </c>
      <c r="M29" s="77">
        <v>9.57</v>
      </c>
      <c r="N29" s="365">
        <f t="shared" si="85"/>
        <v>56.910000000000004</v>
      </c>
      <c r="O29" s="343">
        <f t="shared" si="86"/>
        <v>35.129999999999995</v>
      </c>
      <c r="P29" s="195">
        <v>8</v>
      </c>
      <c r="Q29" s="326">
        <v>2</v>
      </c>
      <c r="R29" s="111">
        <v>1</v>
      </c>
      <c r="S29" s="51">
        <v>5</v>
      </c>
      <c r="T29" s="339">
        <f t="shared" si="87"/>
        <v>16</v>
      </c>
      <c r="U29" s="329" t="s">
        <v>6540</v>
      </c>
      <c r="V29" s="371">
        <v>1.65</v>
      </c>
      <c r="W29" s="69">
        <v>6.5</v>
      </c>
      <c r="X29" s="100">
        <v>6.19</v>
      </c>
      <c r="Y29" s="37" t="str">
        <f>RTD("money.excel",,"3211","Price")</f>
        <v>無資料</v>
      </c>
      <c r="Z29" s="69">
        <v>101.5</v>
      </c>
      <c r="AA29" s="16" t="e">
        <f t="shared" ref="AA29" si="97">Y29-Z29</f>
        <v>#VALUE!</v>
      </c>
      <c r="AB29" s="3" t="e">
        <f t="shared" ref="AB29" si="98">AA29/Z29</f>
        <v>#VALUE!</v>
      </c>
      <c r="AC29" s="105" t="s">
        <v>6528</v>
      </c>
      <c r="AD29" s="17" t="s">
        <v>423</v>
      </c>
      <c r="AE29" s="89">
        <v>44531</v>
      </c>
      <c r="AG29" s="34">
        <f t="shared" ref="AG29" si="99">AF29-AE29</f>
        <v>-44531</v>
      </c>
      <c r="AH29" s="44" t="s">
        <v>3532</v>
      </c>
      <c r="AI29" s="131"/>
    </row>
    <row r="30" spans="1:46">
      <c r="A30" s="135" t="s">
        <v>3064</v>
      </c>
      <c r="B30" s="84">
        <v>2</v>
      </c>
      <c r="C30" s="85">
        <v>-1</v>
      </c>
      <c r="D30" s="85">
        <v>-1</v>
      </c>
      <c r="E30" s="85">
        <v>-47</v>
      </c>
      <c r="F30" s="59">
        <v>14.36</v>
      </c>
      <c r="G30" s="85">
        <v>3376</v>
      </c>
      <c r="H30" s="5" t="s">
        <v>559</v>
      </c>
      <c r="I30" s="23" t="s">
        <v>117</v>
      </c>
      <c r="J30" s="77">
        <v>54.88</v>
      </c>
      <c r="K30" s="77">
        <v>21.08</v>
      </c>
      <c r="L30" s="77">
        <v>11.9</v>
      </c>
      <c r="M30" s="371">
        <v>14.31</v>
      </c>
      <c r="N30" s="365">
        <f t="shared" si="85"/>
        <v>102.17000000000002</v>
      </c>
      <c r="O30" s="343">
        <f t="shared" si="86"/>
        <v>69.19</v>
      </c>
      <c r="P30" s="195">
        <v>8</v>
      </c>
      <c r="Q30" s="326" t="str">
        <f>IFERROR(VLOOKUP($G30,主力整理!$A$2:$G$2301,6,0),"0")</f>
        <v>0</v>
      </c>
      <c r="R30" s="111">
        <v>3</v>
      </c>
      <c r="S30" s="51">
        <v>8</v>
      </c>
      <c r="T30" s="339">
        <f t="shared" si="87"/>
        <v>19</v>
      </c>
      <c r="V30" s="371">
        <v>2.2000000000000002</v>
      </c>
      <c r="W30" s="69">
        <v>6.98</v>
      </c>
      <c r="X30" s="59">
        <v>8.9600000000000009</v>
      </c>
      <c r="Y30" s="37" t="str">
        <f>RTD("money.excel",,"3376","Price")</f>
        <v>無資料</v>
      </c>
      <c r="Z30" s="69">
        <v>101.5</v>
      </c>
      <c r="AA30" s="16" t="e">
        <f t="shared" ref="AA30" si="100">Y30-Z30</f>
        <v>#VALUE!</v>
      </c>
      <c r="AB30" s="3" t="e">
        <f t="shared" ref="AB30" si="101">AA30/Z30</f>
        <v>#VALUE!</v>
      </c>
      <c r="AC30" s="105" t="s">
        <v>6413</v>
      </c>
      <c r="AD30" s="23" t="s">
        <v>117</v>
      </c>
      <c r="AE30" s="89">
        <v>44501</v>
      </c>
      <c r="AG30" s="34">
        <f t="shared" ref="AG30" si="102">AF30-AE30</f>
        <v>-44501</v>
      </c>
      <c r="AH30" s="126" t="s">
        <v>3806</v>
      </c>
      <c r="AI30" s="131"/>
    </row>
    <row r="31" spans="1:46">
      <c r="A31" s="151"/>
      <c r="B31" s="99"/>
      <c r="C31" s="99"/>
      <c r="D31" s="84"/>
      <c r="E31" s="84"/>
      <c r="F31" s="48"/>
      <c r="G31" s="85"/>
      <c r="H31" s="9"/>
      <c r="I31" s="23"/>
      <c r="J31" s="371"/>
      <c r="K31" s="371"/>
      <c r="L31" s="371"/>
      <c r="M31" s="77"/>
      <c r="N31" s="365"/>
      <c r="P31" s="232"/>
      <c r="Q31" s="326"/>
      <c r="R31" s="111"/>
      <c r="W31" s="35"/>
      <c r="X31" s="100"/>
      <c r="Y31" s="37"/>
      <c r="Z31" s="46"/>
      <c r="AA31" s="16"/>
      <c r="AB31" s="3"/>
      <c r="AC31" s="107"/>
      <c r="AD31" s="23"/>
      <c r="AG31" s="34"/>
      <c r="AH31" s="44"/>
      <c r="AI31" s="131"/>
    </row>
    <row r="32" spans="1:46">
      <c r="B32" s="182"/>
      <c r="C32" s="182"/>
      <c r="D32" s="182"/>
      <c r="E32" s="182"/>
      <c r="F32" s="183"/>
      <c r="G32" s="184"/>
      <c r="H32" s="186"/>
      <c r="I32" s="185"/>
      <c r="J32" s="366"/>
      <c r="K32" s="366"/>
      <c r="L32" s="372"/>
      <c r="M32" s="373"/>
      <c r="N32" s="366">
        <v>130</v>
      </c>
      <c r="O32" s="369">
        <v>80</v>
      </c>
      <c r="V32" s="371" t="s">
        <v>6622</v>
      </c>
      <c r="W32" s="183"/>
      <c r="X32" s="4" t="s">
        <v>2189</v>
      </c>
      <c r="Y32" s="4" t="s">
        <v>1820</v>
      </c>
      <c r="Z32" s="11" t="s">
        <v>515</v>
      </c>
      <c r="AA32" s="189"/>
      <c r="AB32" s="263" t="s">
        <v>6803</v>
      </c>
      <c r="AC32" s="284"/>
      <c r="AD32" s="185"/>
      <c r="AF32" s="194"/>
      <c r="AG32" s="192">
        <f t="shared" ref="AG32" si="103">AF32-AE32</f>
        <v>0</v>
      </c>
      <c r="AH32" s="263" t="s">
        <v>6798</v>
      </c>
      <c r="AI32" s="284"/>
      <c r="AO32" s="287"/>
      <c r="AQ32" s="287"/>
      <c r="AR32" s="287"/>
      <c r="AS32" s="287"/>
      <c r="AT32" s="287"/>
    </row>
    <row r="33" spans="1:40">
      <c r="A33" s="135" t="s">
        <v>2552</v>
      </c>
      <c r="B33" s="96" t="s">
        <v>2331</v>
      </c>
      <c r="C33" s="96" t="s">
        <v>2332</v>
      </c>
      <c r="D33" s="96" t="s">
        <v>2333</v>
      </c>
      <c r="E33" s="96" t="s">
        <v>2334</v>
      </c>
      <c r="F33" s="9" t="s">
        <v>1709</v>
      </c>
      <c r="G33" s="27" t="s">
        <v>5626</v>
      </c>
      <c r="H33" s="56" t="s">
        <v>578</v>
      </c>
      <c r="I33" s="9" t="s">
        <v>5279</v>
      </c>
      <c r="J33" s="364" t="s">
        <v>2189</v>
      </c>
      <c r="K33" s="364" t="s">
        <v>1820</v>
      </c>
      <c r="L33" s="364" t="s">
        <v>515</v>
      </c>
      <c r="M33" s="364" t="s">
        <v>1699</v>
      </c>
      <c r="N33" s="364" t="s">
        <v>6633</v>
      </c>
      <c r="O33" s="343" t="s">
        <v>6634</v>
      </c>
      <c r="P33" s="83" t="s">
        <v>5279</v>
      </c>
      <c r="Q33" s="326" t="s">
        <v>5514</v>
      </c>
      <c r="R33" s="31" t="s">
        <v>6596</v>
      </c>
      <c r="S33" s="51" t="s">
        <v>6597</v>
      </c>
      <c r="T33" s="338" t="s">
        <v>5627</v>
      </c>
      <c r="U33" s="330" t="s">
        <v>6537</v>
      </c>
      <c r="V33" s="377" t="s">
        <v>6616</v>
      </c>
      <c r="W33" s="11" t="s">
        <v>127</v>
      </c>
      <c r="X33" s="71" t="s">
        <v>6626</v>
      </c>
      <c r="Y33" s="29" t="s">
        <v>6688</v>
      </c>
      <c r="Z33" s="18" t="s">
        <v>2113</v>
      </c>
      <c r="AA33" s="15" t="s">
        <v>3598</v>
      </c>
      <c r="AB33" s="22" t="s">
        <v>2199</v>
      </c>
      <c r="AC33" s="26" t="s">
        <v>211</v>
      </c>
      <c r="AD33" s="9" t="s">
        <v>5279</v>
      </c>
      <c r="AE33" s="75" t="s">
        <v>2114</v>
      </c>
      <c r="AF33" s="76" t="s">
        <v>1826</v>
      </c>
      <c r="AG33" s="33" t="s">
        <v>1827</v>
      </c>
      <c r="AH33" s="262" t="s">
        <v>6799</v>
      </c>
      <c r="AK33" s="9" t="s">
        <v>6666</v>
      </c>
      <c r="AL33" s="5" t="s">
        <v>6667</v>
      </c>
      <c r="AM33" s="51" t="s">
        <v>5339</v>
      </c>
      <c r="AN33" s="276" t="s">
        <v>6665</v>
      </c>
    </row>
    <row r="34" spans="1:40">
      <c r="B34" s="96"/>
      <c r="C34" s="96"/>
      <c r="D34" s="96"/>
      <c r="E34" s="96"/>
      <c r="F34" s="9"/>
      <c r="G34" s="27"/>
      <c r="H34" s="56"/>
      <c r="I34" s="9"/>
      <c r="J34" s="364"/>
      <c r="K34" s="364"/>
      <c r="L34" s="364"/>
      <c r="M34" s="364"/>
      <c r="N34" s="364"/>
      <c r="P34" s="83"/>
      <c r="Q34" s="326"/>
      <c r="T34" s="338"/>
      <c r="U34" s="330"/>
      <c r="V34" s="377"/>
      <c r="W34" s="11"/>
      <c r="X34" s="71"/>
      <c r="Y34" s="29"/>
      <c r="Z34" s="18"/>
      <c r="AA34" s="15"/>
      <c r="AB34" s="22"/>
      <c r="AC34" s="26"/>
      <c r="AD34" s="9"/>
      <c r="AE34" s="75"/>
      <c r="AF34" s="76"/>
      <c r="AG34" s="33"/>
      <c r="AH34" s="262"/>
      <c r="AK34" s="9"/>
      <c r="AL34" s="5"/>
      <c r="AM34" s="51"/>
      <c r="AN34" s="276"/>
    </row>
    <row r="35" spans="1:40">
      <c r="A35" s="135" t="s">
        <v>5502</v>
      </c>
      <c r="B35" s="98">
        <v>1012</v>
      </c>
      <c r="C35" s="98">
        <v>1190</v>
      </c>
      <c r="D35" s="85">
        <v>-8</v>
      </c>
      <c r="E35" s="84">
        <v>24</v>
      </c>
      <c r="F35" s="59">
        <v>32.83</v>
      </c>
      <c r="G35" s="84">
        <v>3545</v>
      </c>
      <c r="H35" s="9" t="s">
        <v>558</v>
      </c>
      <c r="I35" s="23" t="s">
        <v>631</v>
      </c>
      <c r="J35" s="77">
        <v>19.53</v>
      </c>
      <c r="K35" s="371">
        <v>20.34</v>
      </c>
      <c r="L35" s="77">
        <v>40.590000000000003</v>
      </c>
      <c r="M35" s="77">
        <v>2.5</v>
      </c>
      <c r="N35" s="365">
        <f>J35+K35+L35+M35</f>
        <v>82.960000000000008</v>
      </c>
      <c r="O35" s="343">
        <f>J35+M35</f>
        <v>22.03</v>
      </c>
      <c r="P35" s="195">
        <v>41</v>
      </c>
      <c r="Q35" s="326">
        <v>32</v>
      </c>
      <c r="R35" s="31">
        <v>23</v>
      </c>
      <c r="S35" s="51">
        <v>53</v>
      </c>
      <c r="T35" s="339">
        <f>SUM(P35:S35)</f>
        <v>149</v>
      </c>
      <c r="U35" s="329" t="s">
        <v>6893</v>
      </c>
      <c r="V35" s="77">
        <v>8.11</v>
      </c>
      <c r="W35" s="69">
        <v>3.23</v>
      </c>
      <c r="X35" s="100">
        <v>16.53</v>
      </c>
      <c r="Y35" s="37">
        <v>171</v>
      </c>
      <c r="Z35" s="69">
        <v>171</v>
      </c>
      <c r="AA35" s="16">
        <f>Y35-Z35</f>
        <v>0</v>
      </c>
      <c r="AB35" s="66">
        <f>AA35/Z35</f>
        <v>0</v>
      </c>
      <c r="AC35" s="177" t="s">
        <v>6895</v>
      </c>
      <c r="AD35" s="23" t="s">
        <v>631</v>
      </c>
      <c r="AE35" s="89">
        <v>44558</v>
      </c>
      <c r="AF35" s="88">
        <v>44559</v>
      </c>
      <c r="AG35" s="34">
        <f>AF35-AE35</f>
        <v>1</v>
      </c>
      <c r="AH35" s="63" t="s">
        <v>3725</v>
      </c>
      <c r="AI35" s="131"/>
      <c r="AK35" s="301"/>
      <c r="AL35" s="310"/>
      <c r="AM35" s="291"/>
      <c r="AN35" s="273"/>
    </row>
    <row r="36" spans="1:40">
      <c r="A36" s="151" t="s">
        <v>2780</v>
      </c>
      <c r="B36" s="84">
        <v>100</v>
      </c>
      <c r="C36" s="84">
        <v>86</v>
      </c>
      <c r="D36" s="84">
        <v>12</v>
      </c>
      <c r="E36" s="84">
        <v>1</v>
      </c>
      <c r="F36" s="7">
        <v>9.11</v>
      </c>
      <c r="G36" s="85">
        <v>1536</v>
      </c>
      <c r="H36" s="5" t="s">
        <v>2863</v>
      </c>
      <c r="I36" s="23" t="s">
        <v>243</v>
      </c>
      <c r="J36" s="371">
        <v>54.11</v>
      </c>
      <c r="K36" s="371">
        <v>13.41</v>
      </c>
      <c r="L36" s="77">
        <v>7.37</v>
      </c>
      <c r="M36" s="371">
        <v>12.91</v>
      </c>
      <c r="N36" s="365">
        <f>J36+K36+L36+M36</f>
        <v>87.8</v>
      </c>
      <c r="O36" s="343">
        <f>J36+M36</f>
        <v>67.02</v>
      </c>
      <c r="P36" s="195">
        <v>27</v>
      </c>
      <c r="Q36" s="326">
        <v>24</v>
      </c>
      <c r="R36" s="111">
        <v>24</v>
      </c>
      <c r="S36" s="51">
        <v>16</v>
      </c>
      <c r="T36" s="339">
        <f t="shared" ref="T36" si="104">SUM(P36:S36)</f>
        <v>91</v>
      </c>
      <c r="U36" s="329" t="s">
        <v>6539</v>
      </c>
      <c r="V36" s="77">
        <v>4.1399999999999997</v>
      </c>
      <c r="W36" s="35">
        <v>1.1000000000000001</v>
      </c>
      <c r="X36" s="59">
        <v>1.66</v>
      </c>
      <c r="Y36" s="37">
        <v>90.6</v>
      </c>
      <c r="Z36" s="69">
        <v>89.9</v>
      </c>
      <c r="AA36" s="16">
        <f t="shared" ref="AA36" si="105">Y36-Z36</f>
        <v>0.69999999999998863</v>
      </c>
      <c r="AB36" s="66">
        <f t="shared" ref="AB36" si="106">AA36/Z36</f>
        <v>7.7864293659620533E-3</v>
      </c>
      <c r="AC36" s="177" t="s">
        <v>6736</v>
      </c>
      <c r="AD36" s="23" t="s">
        <v>243</v>
      </c>
      <c r="AE36" s="89">
        <v>44550</v>
      </c>
      <c r="AF36" s="88">
        <v>44559</v>
      </c>
      <c r="AG36" s="34">
        <f t="shared" ref="AG36" si="107">AF36-AE36</f>
        <v>9</v>
      </c>
      <c r="AH36" s="125" t="s">
        <v>4952</v>
      </c>
      <c r="AI36" s="131"/>
    </row>
    <row r="37" spans="1:40">
      <c r="A37" s="135" t="s">
        <v>2481</v>
      </c>
      <c r="B37" s="85">
        <v>-22</v>
      </c>
      <c r="C37" s="85">
        <v>-27</v>
      </c>
      <c r="D37" s="84">
        <v>3</v>
      </c>
      <c r="E37" s="85">
        <v>-16</v>
      </c>
      <c r="F37" s="59">
        <v>50.63</v>
      </c>
      <c r="G37" s="85">
        <v>3008</v>
      </c>
      <c r="H37" s="19" t="s">
        <v>557</v>
      </c>
      <c r="I37" s="23" t="s">
        <v>7</v>
      </c>
      <c r="J37" s="209">
        <v>44.92</v>
      </c>
      <c r="K37" s="77">
        <v>42.03</v>
      </c>
      <c r="L37" s="77">
        <v>5.88</v>
      </c>
      <c r="M37" s="77">
        <v>28.45</v>
      </c>
      <c r="N37" s="365">
        <f>J37+K37+L37+M37</f>
        <v>121.28</v>
      </c>
      <c r="O37" s="343">
        <f>J37+M37</f>
        <v>73.37</v>
      </c>
      <c r="P37" s="195">
        <v>90</v>
      </c>
      <c r="Q37" s="326">
        <v>6</v>
      </c>
      <c r="R37" s="111">
        <v>8</v>
      </c>
      <c r="S37" s="51">
        <v>11</v>
      </c>
      <c r="T37" s="339">
        <f t="shared" ref="T37" si="108">SUM(P37:S37)</f>
        <v>115</v>
      </c>
      <c r="U37" s="329" t="s">
        <v>6539</v>
      </c>
      <c r="V37" s="371">
        <v>2.9</v>
      </c>
      <c r="W37" s="230">
        <v>31</v>
      </c>
      <c r="X37" s="100">
        <v>152.77000000000001</v>
      </c>
      <c r="Y37" s="67">
        <v>2405</v>
      </c>
      <c r="Z37" s="360">
        <v>2270</v>
      </c>
      <c r="AA37" s="146">
        <f t="shared" ref="AA37" si="109">Y37-Z37</f>
        <v>135</v>
      </c>
      <c r="AB37" s="66">
        <f t="shared" ref="AB37" si="110">AA37/Z37</f>
        <v>5.9471365638766517E-2</v>
      </c>
      <c r="AC37" s="177" t="s">
        <v>6691</v>
      </c>
      <c r="AD37" s="23" t="s">
        <v>7</v>
      </c>
      <c r="AE37" s="89">
        <v>44550</v>
      </c>
      <c r="AF37" s="88">
        <v>44559</v>
      </c>
      <c r="AG37" s="34">
        <f t="shared" ref="AG37" si="111">AF37-AE37</f>
        <v>9</v>
      </c>
      <c r="AH37" s="63" t="s">
        <v>4031</v>
      </c>
      <c r="AI37" s="131"/>
    </row>
    <row r="38" spans="1:40">
      <c r="A38" s="135" t="s">
        <v>2546</v>
      </c>
      <c r="B38" s="98">
        <v>1731</v>
      </c>
      <c r="C38" s="84">
        <v>490</v>
      </c>
      <c r="D38" s="85">
        <v>-2</v>
      </c>
      <c r="E38" s="84">
        <v>92</v>
      </c>
      <c r="F38" s="59">
        <v>38.93</v>
      </c>
      <c r="G38" s="84">
        <v>2637</v>
      </c>
      <c r="H38" s="9" t="s">
        <v>551</v>
      </c>
      <c r="I38" s="23" t="s">
        <v>1481</v>
      </c>
      <c r="J38" s="77">
        <v>64.39</v>
      </c>
      <c r="K38" s="77">
        <v>14.27</v>
      </c>
      <c r="L38" s="371">
        <v>10.01</v>
      </c>
      <c r="M38" s="77">
        <v>27.84</v>
      </c>
      <c r="N38" s="365">
        <f t="shared" ref="N38:N43" si="112">J38+K38+L38+M38</f>
        <v>116.51</v>
      </c>
      <c r="O38" s="369">
        <f t="shared" ref="O38:O44" si="113">J38+M38</f>
        <v>92.23</v>
      </c>
      <c r="P38" s="195">
        <v>54</v>
      </c>
      <c r="Q38" s="326">
        <v>48</v>
      </c>
      <c r="R38" s="111">
        <v>37</v>
      </c>
      <c r="S38" s="51">
        <v>46</v>
      </c>
      <c r="T38" s="339">
        <f>SUM(P38:S38)</f>
        <v>185</v>
      </c>
      <c r="U38" s="329" t="s">
        <v>6756</v>
      </c>
      <c r="V38" s="371">
        <v>1.7</v>
      </c>
      <c r="W38" s="35">
        <v>1.5</v>
      </c>
      <c r="X38" s="59">
        <v>7.48</v>
      </c>
      <c r="Y38" s="37">
        <v>81.900000000000006</v>
      </c>
      <c r="Z38" s="69">
        <v>83.5</v>
      </c>
      <c r="AA38" s="16">
        <f>Y38-Z38</f>
        <v>-1.5999999999999943</v>
      </c>
      <c r="AB38" s="80">
        <f>AA38/Z38</f>
        <v>-1.9161676646706517E-2</v>
      </c>
      <c r="AC38" s="177" t="s">
        <v>6764</v>
      </c>
      <c r="AD38" s="23" t="s">
        <v>1481</v>
      </c>
      <c r="AE38" s="89">
        <v>44552</v>
      </c>
      <c r="AF38" s="88">
        <v>44558</v>
      </c>
      <c r="AG38" s="34">
        <f>AF38-AE38</f>
        <v>6</v>
      </c>
      <c r="AH38" s="63" t="s">
        <v>3189</v>
      </c>
      <c r="AI38" s="284"/>
      <c r="AK38" s="131"/>
      <c r="AL38" s="264"/>
    </row>
    <row r="39" spans="1:40">
      <c r="A39" s="135" t="s">
        <v>4796</v>
      </c>
      <c r="B39" s="84">
        <v>573</v>
      </c>
      <c r="C39" s="84">
        <v>774</v>
      </c>
      <c r="D39" s="85">
        <v>30</v>
      </c>
      <c r="E39" s="84">
        <v>-20</v>
      </c>
      <c r="F39" s="59">
        <v>33.81</v>
      </c>
      <c r="G39" s="84">
        <v>6116</v>
      </c>
      <c r="H39" s="212" t="s">
        <v>557</v>
      </c>
      <c r="I39" s="23" t="s">
        <v>388</v>
      </c>
      <c r="J39" s="77">
        <v>44.17</v>
      </c>
      <c r="K39" s="371">
        <v>11.07</v>
      </c>
      <c r="L39" s="77">
        <v>13.2</v>
      </c>
      <c r="M39" s="77">
        <v>11.63</v>
      </c>
      <c r="N39" s="365">
        <f t="shared" si="112"/>
        <v>80.069999999999993</v>
      </c>
      <c r="O39" s="343">
        <f t="shared" si="113"/>
        <v>55.800000000000004</v>
      </c>
      <c r="P39" s="195">
        <v>35</v>
      </c>
      <c r="Q39" s="326">
        <v>48</v>
      </c>
      <c r="R39" s="111">
        <v>29</v>
      </c>
      <c r="S39" s="51">
        <v>32</v>
      </c>
      <c r="T39" s="339">
        <f>SUM(P39:S39)</f>
        <v>144</v>
      </c>
      <c r="U39" s="329" t="s">
        <v>6744</v>
      </c>
      <c r="V39" s="371">
        <v>7.31</v>
      </c>
      <c r="W39" s="35">
        <v>0.5</v>
      </c>
      <c r="X39" s="100">
        <v>3.34</v>
      </c>
      <c r="Y39" s="37">
        <v>17.8</v>
      </c>
      <c r="Z39" s="69">
        <v>17.149999999999999</v>
      </c>
      <c r="AA39" s="16">
        <f>Y39-Z39</f>
        <v>0.65000000000000213</v>
      </c>
      <c r="AB39" s="66">
        <f>AA39/Z39</f>
        <v>3.790087463556864E-2</v>
      </c>
      <c r="AC39" s="177" t="s">
        <v>5449</v>
      </c>
      <c r="AD39" s="23" t="s">
        <v>388</v>
      </c>
      <c r="AE39" s="89">
        <v>44551</v>
      </c>
      <c r="AF39" s="88">
        <v>44558</v>
      </c>
      <c r="AG39" s="34">
        <f>AF39-AE39</f>
        <v>7</v>
      </c>
      <c r="AH39" s="126" t="s">
        <v>2162</v>
      </c>
      <c r="AI39" s="131"/>
    </row>
    <row r="40" spans="1:40">
      <c r="A40" s="151" t="s">
        <v>2537</v>
      </c>
      <c r="B40" s="84">
        <v>133</v>
      </c>
      <c r="C40" s="84">
        <v>53</v>
      </c>
      <c r="D40" s="85">
        <v>-4</v>
      </c>
      <c r="E40" s="84">
        <v>27</v>
      </c>
      <c r="F40" s="7">
        <v>7.03</v>
      </c>
      <c r="G40" s="84">
        <v>2612</v>
      </c>
      <c r="H40" s="5" t="s">
        <v>551</v>
      </c>
      <c r="I40" s="23" t="s">
        <v>1477</v>
      </c>
      <c r="J40" s="77">
        <v>63.84</v>
      </c>
      <c r="K40" s="77">
        <v>4.45</v>
      </c>
      <c r="L40" s="77">
        <v>14.42</v>
      </c>
      <c r="M40" s="77">
        <v>22.74</v>
      </c>
      <c r="N40" s="365">
        <f t="shared" si="112"/>
        <v>105.45</v>
      </c>
      <c r="O40" s="369">
        <f t="shared" si="113"/>
        <v>86.58</v>
      </c>
      <c r="P40" s="195">
        <v>29</v>
      </c>
      <c r="Q40" s="326">
        <v>29</v>
      </c>
      <c r="R40" s="111">
        <v>42</v>
      </c>
      <c r="S40" s="51">
        <v>47</v>
      </c>
      <c r="T40" s="339">
        <f>SUM(P40:S40)</f>
        <v>147</v>
      </c>
      <c r="U40" s="329" t="s">
        <v>6538</v>
      </c>
      <c r="V40" s="371">
        <v>1.74</v>
      </c>
      <c r="W40" s="35">
        <v>1.6</v>
      </c>
      <c r="X40" s="59">
        <v>3.91</v>
      </c>
      <c r="Y40" s="37">
        <v>59.1</v>
      </c>
      <c r="Z40" s="69">
        <v>61.2</v>
      </c>
      <c r="AA40" s="16">
        <f t="shared" ref="AA40" si="114">Y40-Z40</f>
        <v>-2.1000000000000014</v>
      </c>
      <c r="AB40" s="80">
        <f t="shared" ref="AB40" si="115">AA40/Z40</f>
        <v>-3.4313725490196102E-2</v>
      </c>
      <c r="AC40" s="177" t="s">
        <v>6761</v>
      </c>
      <c r="AD40" s="23" t="s">
        <v>1477</v>
      </c>
      <c r="AE40" s="89">
        <v>44552</v>
      </c>
      <c r="AF40" s="88">
        <v>44557</v>
      </c>
      <c r="AG40" s="34">
        <f t="shared" ref="AG40" si="116">AF40-AE40</f>
        <v>5</v>
      </c>
      <c r="AH40" s="44" t="s">
        <v>3366</v>
      </c>
      <c r="AI40" s="131"/>
      <c r="AK40" s="131"/>
      <c r="AL40" s="264"/>
    </row>
    <row r="41" spans="1:40">
      <c r="A41" s="135" t="s">
        <v>4670</v>
      </c>
      <c r="B41" s="85">
        <v>-17</v>
      </c>
      <c r="C41" s="85">
        <v>-28</v>
      </c>
      <c r="D41" s="84">
        <v>30</v>
      </c>
      <c r="E41" s="84">
        <v>15</v>
      </c>
      <c r="F41" s="59">
        <v>12.81</v>
      </c>
      <c r="G41" s="84">
        <v>5223</v>
      </c>
      <c r="H41" s="154" t="s">
        <v>1815</v>
      </c>
      <c r="I41" s="17" t="s">
        <v>3541</v>
      </c>
      <c r="J41" s="77">
        <v>53.28</v>
      </c>
      <c r="K41" s="77">
        <v>42.8</v>
      </c>
      <c r="L41" s="77">
        <v>19.329999999999998</v>
      </c>
      <c r="M41" s="77">
        <v>43.28</v>
      </c>
      <c r="N41" s="77">
        <f t="shared" si="112"/>
        <v>158.69</v>
      </c>
      <c r="O41" s="369">
        <f t="shared" si="113"/>
        <v>96.56</v>
      </c>
      <c r="P41" s="195">
        <v>6</v>
      </c>
      <c r="Q41" s="326">
        <v>7</v>
      </c>
      <c r="R41" s="111">
        <v>10</v>
      </c>
      <c r="S41" s="51">
        <v>15</v>
      </c>
      <c r="T41" s="339">
        <f>SUM(P41:S41)</f>
        <v>38</v>
      </c>
      <c r="U41" s="329" t="s">
        <v>6762</v>
      </c>
      <c r="V41" s="371">
        <v>0.54</v>
      </c>
      <c r="W41" s="69">
        <v>3.41</v>
      </c>
      <c r="X41" s="59">
        <v>5.67</v>
      </c>
      <c r="Y41" s="14">
        <v>60.2</v>
      </c>
      <c r="Z41" s="69">
        <v>60.7</v>
      </c>
      <c r="AA41" s="16">
        <f>Y41-Z41</f>
        <v>-0.5</v>
      </c>
      <c r="AB41" s="80">
        <f>AA41/Z41</f>
        <v>-8.2372322899505763E-3</v>
      </c>
      <c r="AC41" s="177" t="s">
        <v>6766</v>
      </c>
      <c r="AD41" s="17" t="s">
        <v>3541</v>
      </c>
      <c r="AE41" s="89">
        <v>44552</v>
      </c>
      <c r="AF41" s="88">
        <v>44557</v>
      </c>
      <c r="AG41" s="34">
        <f>AF41-AE41</f>
        <v>5</v>
      </c>
      <c r="AH41" s="63" t="s">
        <v>4499</v>
      </c>
      <c r="AI41" s="131"/>
    </row>
    <row r="42" spans="1:40">
      <c r="A42" s="135" t="s">
        <v>2476</v>
      </c>
      <c r="B42" s="84">
        <v>586</v>
      </c>
      <c r="C42" s="84">
        <v>919</v>
      </c>
      <c r="D42" s="85">
        <v>-2</v>
      </c>
      <c r="E42" s="84">
        <v>71</v>
      </c>
      <c r="F42" s="59">
        <v>22.78</v>
      </c>
      <c r="G42" s="84">
        <v>2606</v>
      </c>
      <c r="H42" s="5" t="s">
        <v>551</v>
      </c>
      <c r="I42" s="23" t="s">
        <v>255</v>
      </c>
      <c r="J42" s="77">
        <v>57.55</v>
      </c>
      <c r="K42" s="77">
        <v>13.99</v>
      </c>
      <c r="L42" s="77">
        <v>11.45</v>
      </c>
      <c r="M42" s="371">
        <v>40.49</v>
      </c>
      <c r="N42" s="365">
        <f t="shared" si="112"/>
        <v>123.47999999999999</v>
      </c>
      <c r="O42" s="369">
        <f t="shared" si="113"/>
        <v>98.039999999999992</v>
      </c>
      <c r="P42" s="195">
        <v>55</v>
      </c>
      <c r="Q42" s="326">
        <v>42</v>
      </c>
      <c r="R42" s="111">
        <v>32</v>
      </c>
      <c r="S42" s="51">
        <v>44</v>
      </c>
      <c r="T42" s="339">
        <f>SUM(P42:S42)</f>
        <v>173</v>
      </c>
      <c r="U42" s="329" t="s">
        <v>6756</v>
      </c>
      <c r="V42" s="371">
        <v>3.06</v>
      </c>
      <c r="W42" s="35">
        <v>1.2</v>
      </c>
      <c r="X42" s="59">
        <v>4.2300000000000004</v>
      </c>
      <c r="Y42" s="37">
        <v>62</v>
      </c>
      <c r="Z42" s="69">
        <v>64.3</v>
      </c>
      <c r="AA42" s="16">
        <f>Y42-Z42</f>
        <v>-2.2999999999999972</v>
      </c>
      <c r="AB42" s="80">
        <f>AA42/Z42</f>
        <v>-3.5769828926905091E-2</v>
      </c>
      <c r="AC42" s="177" t="s">
        <v>6760</v>
      </c>
      <c r="AD42" s="23" t="s">
        <v>255</v>
      </c>
      <c r="AE42" s="89">
        <v>44552</v>
      </c>
      <c r="AF42" s="88">
        <v>44554</v>
      </c>
      <c r="AG42" s="34">
        <f>AF42-AE42</f>
        <v>2</v>
      </c>
      <c r="AH42" s="126" t="s">
        <v>5210</v>
      </c>
      <c r="AI42" s="131"/>
      <c r="AK42" s="131"/>
      <c r="AL42" s="264"/>
    </row>
    <row r="43" spans="1:40">
      <c r="A43" s="135" t="s">
        <v>2658</v>
      </c>
      <c r="B43" s="98">
        <v>2378</v>
      </c>
      <c r="C43" s="98">
        <v>1707</v>
      </c>
      <c r="D43" s="85">
        <v>-5</v>
      </c>
      <c r="E43" s="84">
        <v>52</v>
      </c>
      <c r="F43" s="59">
        <v>13.52</v>
      </c>
      <c r="G43" s="84">
        <v>2014</v>
      </c>
      <c r="H43" s="9" t="s">
        <v>548</v>
      </c>
      <c r="I43" s="23" t="s">
        <v>1436</v>
      </c>
      <c r="J43" s="77">
        <v>53.81</v>
      </c>
      <c r="K43" s="77">
        <v>8.49</v>
      </c>
      <c r="L43" s="77">
        <v>16.29</v>
      </c>
      <c r="M43" s="371">
        <v>40.590000000000003</v>
      </c>
      <c r="N43" s="365">
        <f t="shared" si="112"/>
        <v>119.18</v>
      </c>
      <c r="O43" s="369">
        <f t="shared" si="113"/>
        <v>94.4</v>
      </c>
      <c r="P43" s="195">
        <v>69</v>
      </c>
      <c r="Q43" s="326">
        <v>41</v>
      </c>
      <c r="R43" s="111">
        <v>27</v>
      </c>
      <c r="S43" s="51">
        <v>48</v>
      </c>
      <c r="T43" s="339">
        <f t="shared" ref="T43" si="117">SUM(P43:S43)</f>
        <v>185</v>
      </c>
      <c r="U43" s="329" t="s">
        <v>6734</v>
      </c>
      <c r="V43" s="77">
        <v>3.77</v>
      </c>
      <c r="W43" s="35">
        <v>0.3</v>
      </c>
      <c r="X43" s="59">
        <v>4.33</v>
      </c>
      <c r="Y43" s="37">
        <v>42.55</v>
      </c>
      <c r="Z43" s="69">
        <v>44.05</v>
      </c>
      <c r="AA43" s="16">
        <f>Y43-Z43</f>
        <v>-1.5</v>
      </c>
      <c r="AB43" s="80">
        <f>AA43/Z43</f>
        <v>-3.4052213393870601E-2</v>
      </c>
      <c r="AC43" s="177" t="s">
        <v>6737</v>
      </c>
      <c r="AD43" s="23" t="s">
        <v>1436</v>
      </c>
      <c r="AE43" s="89">
        <v>44550</v>
      </c>
      <c r="AF43" s="88">
        <v>44554</v>
      </c>
      <c r="AG43" s="34">
        <f>AF43-AE43</f>
        <v>4</v>
      </c>
      <c r="AH43" s="63" t="s">
        <v>2659</v>
      </c>
      <c r="AI43" s="128"/>
    </row>
    <row r="44" spans="1:40">
      <c r="A44" s="151" t="s">
        <v>3097</v>
      </c>
      <c r="B44" s="84">
        <v>46</v>
      </c>
      <c r="C44" s="84">
        <v>39</v>
      </c>
      <c r="D44" s="84">
        <v>16</v>
      </c>
      <c r="E44" s="84">
        <v>28</v>
      </c>
      <c r="F44" s="7">
        <v>1.82</v>
      </c>
      <c r="G44" s="84">
        <v>3702</v>
      </c>
      <c r="H44" s="5" t="s">
        <v>596</v>
      </c>
      <c r="I44" s="23" t="s">
        <v>36</v>
      </c>
      <c r="J44" s="371">
        <v>72.760000000000005</v>
      </c>
      <c r="K44" s="371">
        <v>36.24</v>
      </c>
      <c r="L44" s="77">
        <v>0.82</v>
      </c>
      <c r="M44" s="371">
        <v>7.19</v>
      </c>
      <c r="N44" s="365">
        <f>K44+J44+L44+M44</f>
        <v>117.00999999999999</v>
      </c>
      <c r="O44" s="343">
        <f t="shared" si="113"/>
        <v>79.95</v>
      </c>
      <c r="P44" s="195">
        <v>18</v>
      </c>
      <c r="Q44" s="326">
        <v>30</v>
      </c>
      <c r="R44" s="111">
        <v>1</v>
      </c>
      <c r="S44" s="51">
        <v>5</v>
      </c>
      <c r="T44" s="339">
        <f>SUM(P44:S44)</f>
        <v>54</v>
      </c>
      <c r="U44" s="329" t="s">
        <v>6539</v>
      </c>
      <c r="V44" s="77">
        <v>2.29</v>
      </c>
      <c r="W44" s="69">
        <v>3.1</v>
      </c>
      <c r="X44" s="59">
        <v>6.48</v>
      </c>
      <c r="Y44" s="37">
        <v>50.7</v>
      </c>
      <c r="Z44" s="69">
        <v>50.4</v>
      </c>
      <c r="AA44" s="16">
        <f t="shared" ref="AA44" si="118">Y44-Z44</f>
        <v>0.30000000000000426</v>
      </c>
      <c r="AB44" s="66">
        <f t="shared" ref="AB44" si="119">AA44/Z44</f>
        <v>5.9523809523810371E-3</v>
      </c>
      <c r="AC44" s="105" t="s">
        <v>6580</v>
      </c>
      <c r="AD44" s="23" t="s">
        <v>36</v>
      </c>
      <c r="AE44" s="89">
        <v>44540</v>
      </c>
      <c r="AF44" s="88">
        <v>44552</v>
      </c>
      <c r="AG44" s="34">
        <f t="shared" ref="AG44" si="120">AF44-AE44</f>
        <v>12</v>
      </c>
      <c r="AH44" s="125" t="s">
        <v>4489</v>
      </c>
      <c r="AI44" s="284"/>
    </row>
    <row r="45" spans="1:40">
      <c r="A45" s="151" t="s">
        <v>2468</v>
      </c>
      <c r="B45" s="85">
        <v>-30</v>
      </c>
      <c r="C45" s="85">
        <v>-11</v>
      </c>
      <c r="D45" s="84">
        <v>6</v>
      </c>
      <c r="E45" s="85">
        <v>-1</v>
      </c>
      <c r="F45" s="7">
        <v>2.12</v>
      </c>
      <c r="G45" s="84">
        <v>2392</v>
      </c>
      <c r="H45" s="5" t="s">
        <v>559</v>
      </c>
      <c r="I45" s="23" t="s">
        <v>107</v>
      </c>
      <c r="J45" s="77">
        <v>44.23</v>
      </c>
      <c r="K45" s="77">
        <v>12.14</v>
      </c>
      <c r="L45" s="77">
        <v>4.34</v>
      </c>
      <c r="M45" s="77">
        <v>21.6</v>
      </c>
      <c r="N45" s="365">
        <f t="shared" ref="N45:N50" si="121">K45+J45+L45+M45</f>
        <v>82.31</v>
      </c>
      <c r="O45" s="343">
        <f t="shared" ref="O45:O50" si="122">J45+M45</f>
        <v>65.83</v>
      </c>
      <c r="P45" s="195">
        <v>4</v>
      </c>
      <c r="Q45" s="326">
        <v>5</v>
      </c>
      <c r="R45" s="111">
        <v>6</v>
      </c>
      <c r="S45" s="51">
        <v>3</v>
      </c>
      <c r="T45" s="339">
        <f t="shared" ref="T45:T50" si="123">SUM(P45:S45)</f>
        <v>18</v>
      </c>
      <c r="V45" s="371">
        <v>1.44</v>
      </c>
      <c r="W45" s="35">
        <v>2.5</v>
      </c>
      <c r="X45" s="100">
        <v>2.48</v>
      </c>
      <c r="Y45" s="37">
        <v>38.799999999999997</v>
      </c>
      <c r="Z45" s="69">
        <v>39.049999999999997</v>
      </c>
      <c r="AA45" s="16">
        <f t="shared" ref="AA45" si="124">Y45-Z45</f>
        <v>-0.25</v>
      </c>
      <c r="AB45" s="80">
        <f t="shared" ref="AB45" si="125">AA45/Z45</f>
        <v>-6.4020486555697829E-3</v>
      </c>
      <c r="AC45" s="107" t="s">
        <v>6473</v>
      </c>
      <c r="AD45" s="23" t="s">
        <v>107</v>
      </c>
      <c r="AE45" s="89">
        <v>44523</v>
      </c>
      <c r="AF45" s="88">
        <v>44545</v>
      </c>
      <c r="AG45" s="34">
        <f t="shared" ref="AG45" si="126">AF45-AE45</f>
        <v>22</v>
      </c>
      <c r="AH45" s="125" t="s">
        <v>4073</v>
      </c>
      <c r="AI45" s="131"/>
    </row>
    <row r="46" spans="1:40">
      <c r="A46" s="151" t="s">
        <v>2485</v>
      </c>
      <c r="B46" s="84">
        <v>78</v>
      </c>
      <c r="C46" s="84">
        <v>27</v>
      </c>
      <c r="D46" s="84">
        <v>16</v>
      </c>
      <c r="E46" s="85">
        <v>-11</v>
      </c>
      <c r="F46" s="7">
        <v>1.5</v>
      </c>
      <c r="G46" s="84">
        <v>3048</v>
      </c>
      <c r="H46" s="9" t="s">
        <v>596</v>
      </c>
      <c r="I46" s="23" t="s">
        <v>1410</v>
      </c>
      <c r="J46" s="371">
        <v>40.229999999999997</v>
      </c>
      <c r="K46" s="371">
        <v>6.33</v>
      </c>
      <c r="L46" s="77">
        <v>5.48</v>
      </c>
      <c r="M46" s="77">
        <v>22</v>
      </c>
      <c r="N46" s="365">
        <f t="shared" si="121"/>
        <v>74.039999999999992</v>
      </c>
      <c r="O46" s="343">
        <f t="shared" si="122"/>
        <v>62.23</v>
      </c>
      <c r="P46" s="195">
        <v>3</v>
      </c>
      <c r="Q46" s="326">
        <v>9</v>
      </c>
      <c r="R46" s="111">
        <v>4</v>
      </c>
      <c r="S46" s="51">
        <v>1</v>
      </c>
      <c r="T46" s="339">
        <f t="shared" si="123"/>
        <v>17</v>
      </c>
      <c r="U46" s="329" t="s">
        <v>6592</v>
      </c>
      <c r="V46" s="371">
        <v>1.1299999999999999</v>
      </c>
      <c r="W46" s="35">
        <v>2.9</v>
      </c>
      <c r="X46" s="100">
        <v>4.5999999999999996</v>
      </c>
      <c r="Y46" s="37">
        <v>31.6</v>
      </c>
      <c r="Z46" s="69">
        <v>31.7</v>
      </c>
      <c r="AA46" s="16">
        <f>Y46-Z46</f>
        <v>-9.9999999999997868E-2</v>
      </c>
      <c r="AB46" s="80">
        <f>AA46/Z46</f>
        <v>-3.1545741324920462E-3</v>
      </c>
      <c r="AC46" s="107" t="s">
        <v>6594</v>
      </c>
      <c r="AD46" s="23" t="s">
        <v>1410</v>
      </c>
      <c r="AE46" s="89">
        <v>44540</v>
      </c>
      <c r="AF46" s="88">
        <v>44544</v>
      </c>
      <c r="AG46" s="34">
        <f>AF46-AE46</f>
        <v>4</v>
      </c>
      <c r="AH46" s="44" t="s">
        <v>4488</v>
      </c>
      <c r="AI46" s="131"/>
    </row>
    <row r="47" spans="1:40">
      <c r="A47" s="151" t="s">
        <v>2688</v>
      </c>
      <c r="B47" s="85">
        <v>-6</v>
      </c>
      <c r="C47" s="85">
        <v>-26</v>
      </c>
      <c r="D47" s="85">
        <v>-7</v>
      </c>
      <c r="E47" s="85">
        <v>-1</v>
      </c>
      <c r="F47" s="7">
        <v>1.1200000000000001</v>
      </c>
      <c r="G47" s="85">
        <v>4938</v>
      </c>
      <c r="H47" s="212" t="s">
        <v>1815</v>
      </c>
      <c r="I47" s="23" t="s">
        <v>22</v>
      </c>
      <c r="J47" s="77">
        <v>65.17</v>
      </c>
      <c r="K47" s="371">
        <v>32.799999999999997</v>
      </c>
      <c r="L47" s="77">
        <v>2.04</v>
      </c>
      <c r="M47" s="371">
        <v>4.3600000000000003</v>
      </c>
      <c r="N47" s="365">
        <f t="shared" si="121"/>
        <v>104.37</v>
      </c>
      <c r="O47" s="343">
        <f t="shared" si="122"/>
        <v>69.53</v>
      </c>
      <c r="P47" s="195">
        <v>85</v>
      </c>
      <c r="Q47" s="326">
        <v>27</v>
      </c>
      <c r="R47" s="111">
        <v>2</v>
      </c>
      <c r="S47" s="51">
        <v>13</v>
      </c>
      <c r="T47" s="339">
        <f t="shared" si="123"/>
        <v>127</v>
      </c>
      <c r="U47" s="329" t="s">
        <v>6539</v>
      </c>
      <c r="V47" s="156">
        <v>4.01</v>
      </c>
      <c r="W47" s="69">
        <v>4.49</v>
      </c>
      <c r="X47" s="59">
        <v>6.58</v>
      </c>
      <c r="Y47" s="37">
        <v>67.5</v>
      </c>
      <c r="Z47" s="69">
        <v>66.900000000000006</v>
      </c>
      <c r="AA47" s="16">
        <f>Y47-Z47</f>
        <v>0.59999999999999432</v>
      </c>
      <c r="AB47" s="66">
        <f>AA47/Z47</f>
        <v>8.9686098654707669E-3</v>
      </c>
      <c r="AC47" s="105" t="s">
        <v>6527</v>
      </c>
      <c r="AD47" s="23" t="s">
        <v>22</v>
      </c>
      <c r="AE47" s="89">
        <v>44531</v>
      </c>
      <c r="AF47" s="88">
        <v>44544</v>
      </c>
      <c r="AG47" s="34">
        <f>AF47-AE47</f>
        <v>13</v>
      </c>
      <c r="AH47" s="125" t="s">
        <v>4278</v>
      </c>
      <c r="AI47" s="131"/>
    </row>
    <row r="48" spans="1:40">
      <c r="A48" s="151" t="s">
        <v>2688</v>
      </c>
      <c r="B48" s="85">
        <v>-6</v>
      </c>
      <c r="C48" s="85">
        <v>-26</v>
      </c>
      <c r="D48" s="85">
        <v>-7</v>
      </c>
      <c r="E48" s="85">
        <v>-1</v>
      </c>
      <c r="F48" s="7">
        <v>1.1200000000000001</v>
      </c>
      <c r="G48" s="85">
        <v>4938</v>
      </c>
      <c r="H48" s="212" t="s">
        <v>1815</v>
      </c>
      <c r="I48" s="23" t="s">
        <v>22</v>
      </c>
      <c r="J48" s="77">
        <v>65.17</v>
      </c>
      <c r="K48" s="371">
        <v>32.86</v>
      </c>
      <c r="L48" s="371">
        <v>2.04</v>
      </c>
      <c r="M48" s="371">
        <v>4.3600000000000003</v>
      </c>
      <c r="N48" s="365">
        <f t="shared" si="121"/>
        <v>104.43</v>
      </c>
      <c r="O48" s="343">
        <f t="shared" si="122"/>
        <v>69.53</v>
      </c>
      <c r="P48" s="195">
        <v>84</v>
      </c>
      <c r="Q48" s="326">
        <v>27</v>
      </c>
      <c r="R48" s="111">
        <v>2</v>
      </c>
      <c r="S48" s="51">
        <v>13</v>
      </c>
      <c r="T48" s="339">
        <f t="shared" si="123"/>
        <v>126</v>
      </c>
      <c r="V48" s="156">
        <v>4.01</v>
      </c>
      <c r="W48" s="69">
        <v>4.49</v>
      </c>
      <c r="X48" s="59">
        <v>6.58</v>
      </c>
      <c r="Y48" s="37">
        <v>67.5</v>
      </c>
      <c r="Z48" s="69">
        <v>66.599999999999994</v>
      </c>
      <c r="AA48" s="16">
        <f t="shared" ref="AA48" si="127">Y48-Z48</f>
        <v>0.90000000000000568</v>
      </c>
      <c r="AB48" s="66">
        <f t="shared" ref="AB48" si="128">AA48/Z48</f>
        <v>1.3513513513513599E-2</v>
      </c>
      <c r="AC48" s="105" t="s">
        <v>6511</v>
      </c>
      <c r="AD48" s="23" t="s">
        <v>22</v>
      </c>
      <c r="AE48" s="89">
        <v>44530</v>
      </c>
      <c r="AF48" s="88">
        <v>44544</v>
      </c>
      <c r="AG48" s="34">
        <f t="shared" ref="AG48" si="129">AF48-AE48</f>
        <v>14</v>
      </c>
      <c r="AH48" s="125" t="s">
        <v>4278</v>
      </c>
      <c r="AI48" s="131"/>
    </row>
    <row r="49" spans="1:35">
      <c r="A49" s="151" t="s">
        <v>2688</v>
      </c>
      <c r="B49" s="85">
        <v>-6</v>
      </c>
      <c r="C49" s="85">
        <v>-26</v>
      </c>
      <c r="D49" s="85">
        <v>-7</v>
      </c>
      <c r="E49" s="85">
        <v>-1</v>
      </c>
      <c r="F49" s="7">
        <v>1.1200000000000001</v>
      </c>
      <c r="G49" s="84">
        <v>4938</v>
      </c>
      <c r="H49" s="212" t="s">
        <v>1815</v>
      </c>
      <c r="I49" s="23" t="s">
        <v>22</v>
      </c>
      <c r="J49" s="371">
        <v>65.16</v>
      </c>
      <c r="K49" s="77">
        <v>33.04</v>
      </c>
      <c r="L49" s="371">
        <v>2.13</v>
      </c>
      <c r="M49" s="371">
        <v>4.3600000000000003</v>
      </c>
      <c r="N49" s="365">
        <f t="shared" si="121"/>
        <v>104.68999999999998</v>
      </c>
      <c r="O49" s="343">
        <f t="shared" si="122"/>
        <v>69.52</v>
      </c>
      <c r="P49" s="195">
        <v>31</v>
      </c>
      <c r="Q49" s="326">
        <v>25</v>
      </c>
      <c r="R49" s="111">
        <v>2</v>
      </c>
      <c r="S49" s="51">
        <v>13</v>
      </c>
      <c r="T49" s="339">
        <f t="shared" si="123"/>
        <v>71</v>
      </c>
      <c r="V49" s="156">
        <v>4.01</v>
      </c>
      <c r="W49" s="69">
        <v>4.49</v>
      </c>
      <c r="X49" s="59">
        <v>6.58</v>
      </c>
      <c r="Y49" s="37">
        <v>67.5</v>
      </c>
      <c r="Z49" s="69">
        <v>68</v>
      </c>
      <c r="AA49" s="16">
        <f t="shared" ref="AA49" si="130">Y49-Z49</f>
        <v>-0.5</v>
      </c>
      <c r="AB49" s="80">
        <f t="shared" ref="AB49" si="131">AA49/Z49</f>
        <v>-7.3529411764705881E-3</v>
      </c>
      <c r="AC49" s="105" t="s">
        <v>6449</v>
      </c>
      <c r="AD49" s="23" t="s">
        <v>22</v>
      </c>
      <c r="AE49" s="89">
        <v>44517</v>
      </c>
      <c r="AF49" s="88">
        <v>44544</v>
      </c>
      <c r="AG49" s="34">
        <f t="shared" ref="AG49" si="132">AF49-AE49</f>
        <v>27</v>
      </c>
      <c r="AH49" s="125" t="s">
        <v>4278</v>
      </c>
      <c r="AI49" s="131"/>
    </row>
    <row r="50" spans="1:35">
      <c r="A50" s="151" t="s">
        <v>2688</v>
      </c>
      <c r="B50" s="85">
        <v>-6</v>
      </c>
      <c r="C50" s="85">
        <v>-26</v>
      </c>
      <c r="D50" s="85">
        <v>-7</v>
      </c>
      <c r="E50" s="85">
        <v>-1</v>
      </c>
      <c r="F50" s="7">
        <v>1.1200000000000001</v>
      </c>
      <c r="G50" s="84">
        <v>4938</v>
      </c>
      <c r="H50" s="212" t="s">
        <v>1815</v>
      </c>
      <c r="I50" s="23" t="s">
        <v>22</v>
      </c>
      <c r="J50" s="77">
        <v>65.28</v>
      </c>
      <c r="K50" s="371">
        <v>33.06</v>
      </c>
      <c r="L50" s="371">
        <v>2.15</v>
      </c>
      <c r="M50" s="371">
        <v>4.3600000000000003</v>
      </c>
      <c r="N50" s="365">
        <f t="shared" si="121"/>
        <v>104.85000000000001</v>
      </c>
      <c r="O50" s="343">
        <f t="shared" si="122"/>
        <v>69.64</v>
      </c>
      <c r="P50" s="195">
        <v>29</v>
      </c>
      <c r="Q50" s="326">
        <v>24</v>
      </c>
      <c r="R50" s="111">
        <v>2</v>
      </c>
      <c r="S50" s="51">
        <v>13</v>
      </c>
      <c r="T50" s="339">
        <f t="shared" si="123"/>
        <v>68</v>
      </c>
      <c r="V50" s="156">
        <v>4.01</v>
      </c>
      <c r="W50" s="69">
        <v>4.49</v>
      </c>
      <c r="X50" s="59">
        <v>6.58</v>
      </c>
      <c r="Y50" s="37">
        <v>67.5</v>
      </c>
      <c r="Z50" s="69">
        <v>67.7</v>
      </c>
      <c r="AA50" s="16">
        <f t="shared" ref="AA50" si="133">Y50-Z50</f>
        <v>-0.20000000000000284</v>
      </c>
      <c r="AB50" s="80">
        <f t="shared" ref="AB50" si="134">AA50/Z50</f>
        <v>-2.9542097488922132E-3</v>
      </c>
      <c r="AC50" s="105" t="s">
        <v>6438</v>
      </c>
      <c r="AD50" s="23" t="s">
        <v>22</v>
      </c>
      <c r="AE50" s="89">
        <v>44512</v>
      </c>
      <c r="AF50" s="88">
        <v>44544</v>
      </c>
      <c r="AG50" s="34">
        <f t="shared" ref="AG50" si="135">AF50-AE50</f>
        <v>32</v>
      </c>
      <c r="AH50" s="125" t="s">
        <v>4278</v>
      </c>
      <c r="AI50" s="284"/>
    </row>
    <row r="51" spans="1:35">
      <c r="A51" s="151" t="s">
        <v>2459</v>
      </c>
      <c r="B51" s="84">
        <v>85</v>
      </c>
      <c r="C51" s="84">
        <v>48</v>
      </c>
      <c r="D51" s="84">
        <v>5</v>
      </c>
      <c r="E51" s="84">
        <v>15</v>
      </c>
      <c r="F51" s="7">
        <v>1.0900000000000001</v>
      </c>
      <c r="G51" s="84">
        <v>2324</v>
      </c>
      <c r="H51" s="213" t="s">
        <v>1815</v>
      </c>
      <c r="I51" s="23" t="s">
        <v>30</v>
      </c>
      <c r="J51" s="371">
        <v>67.069999999999993</v>
      </c>
      <c r="K51" s="77">
        <v>56.27</v>
      </c>
      <c r="L51" s="77">
        <v>0.71</v>
      </c>
      <c r="M51" s="371">
        <v>6.11</v>
      </c>
      <c r="N51" s="77">
        <f t="shared" ref="N51:N76" si="136">K51+J51+L51+M51</f>
        <v>130.16</v>
      </c>
      <c r="O51" s="343">
        <f t="shared" ref="O51:O76" si="137">J51+M51</f>
        <v>73.179999999999993</v>
      </c>
      <c r="P51" s="195">
        <v>79</v>
      </c>
      <c r="Q51" s="326">
        <v>24</v>
      </c>
      <c r="R51" s="111">
        <v>1</v>
      </c>
      <c r="S51" s="51">
        <v>9</v>
      </c>
      <c r="T51" s="339">
        <f t="shared" ref="T51:T76" si="138">SUM(P51:S51)</f>
        <v>113</v>
      </c>
      <c r="U51" s="329" t="s">
        <v>6593</v>
      </c>
      <c r="V51" s="156">
        <v>4.3099999999999996</v>
      </c>
      <c r="W51" s="35">
        <v>1.6</v>
      </c>
      <c r="X51" s="59">
        <v>3.22</v>
      </c>
      <c r="Y51" s="14">
        <v>24.05</v>
      </c>
      <c r="Z51" s="69">
        <v>24.3</v>
      </c>
      <c r="AA51" s="16">
        <f>Y51-Z51</f>
        <v>-0.25</v>
      </c>
      <c r="AB51" s="80">
        <f>AA51/Z51</f>
        <v>-1.0288065843621399E-2</v>
      </c>
      <c r="AC51" s="107" t="s">
        <v>6595</v>
      </c>
      <c r="AD51" s="23" t="s">
        <v>30</v>
      </c>
      <c r="AE51" s="89">
        <v>44540</v>
      </c>
      <c r="AF51" s="88">
        <v>44543</v>
      </c>
      <c r="AG51" s="34">
        <f>AF51-AE51</f>
        <v>3</v>
      </c>
      <c r="AH51" s="125" t="s">
        <v>4256</v>
      </c>
      <c r="AI51" s="131"/>
    </row>
    <row r="52" spans="1:35">
      <c r="A52" s="151" t="s">
        <v>3016</v>
      </c>
      <c r="B52" s="84">
        <v>5</v>
      </c>
      <c r="C52" s="84">
        <v>70</v>
      </c>
      <c r="D52" s="84">
        <v>1</v>
      </c>
      <c r="E52" s="84">
        <v>5</v>
      </c>
      <c r="F52" s="7">
        <v>4.54</v>
      </c>
      <c r="G52" s="84">
        <v>3015</v>
      </c>
      <c r="H52" s="9" t="s">
        <v>559</v>
      </c>
      <c r="I52" s="23" t="s">
        <v>704</v>
      </c>
      <c r="J52" s="77">
        <v>54.32</v>
      </c>
      <c r="K52" s="371">
        <v>12.24</v>
      </c>
      <c r="L52" s="77">
        <v>5.84</v>
      </c>
      <c r="M52" s="371">
        <v>24.25</v>
      </c>
      <c r="N52" s="365">
        <f t="shared" si="136"/>
        <v>96.65</v>
      </c>
      <c r="O52" s="343">
        <f t="shared" si="137"/>
        <v>78.569999999999993</v>
      </c>
      <c r="P52" s="195">
        <v>2</v>
      </c>
      <c r="Q52" s="326" t="str">
        <f>IFERROR(VLOOKUP($G52,主力整理!$A$2:$G$2301,6,0),"0")</f>
        <v>0</v>
      </c>
      <c r="R52" s="111">
        <v>2</v>
      </c>
      <c r="S52" s="51">
        <v>0</v>
      </c>
      <c r="T52" s="339">
        <f t="shared" si="138"/>
        <v>4</v>
      </c>
      <c r="U52" s="329" t="s">
        <v>6573</v>
      </c>
      <c r="V52" s="371">
        <v>1.02</v>
      </c>
      <c r="W52" s="69">
        <v>3</v>
      </c>
      <c r="X52" s="59">
        <v>3.68</v>
      </c>
      <c r="Y52" s="37">
        <v>44.3</v>
      </c>
      <c r="Z52" s="69">
        <v>44.3</v>
      </c>
      <c r="AA52" s="16">
        <f t="shared" ref="AA52" si="139">Y52-Z52</f>
        <v>0</v>
      </c>
      <c r="AB52" s="66">
        <f t="shared" ref="AB52" si="140">AA52/Z52</f>
        <v>0</v>
      </c>
      <c r="AC52" s="105" t="s">
        <v>6574</v>
      </c>
      <c r="AD52" s="23" t="s">
        <v>704</v>
      </c>
      <c r="AE52" s="89">
        <v>44538</v>
      </c>
      <c r="AF52" s="88">
        <v>44540</v>
      </c>
      <c r="AG52" s="34">
        <f t="shared" ref="AG52" si="141">AF52-AE52</f>
        <v>2</v>
      </c>
      <c r="AH52" s="44" t="s">
        <v>3761</v>
      </c>
      <c r="AI52" s="131"/>
    </row>
    <row r="53" spans="1:35">
      <c r="A53" s="151" t="s">
        <v>3233</v>
      </c>
      <c r="B53" s="85">
        <v>-68</v>
      </c>
      <c r="C53" s="85">
        <v>-4</v>
      </c>
      <c r="D53" s="85">
        <v>-4</v>
      </c>
      <c r="E53" s="84">
        <v>6</v>
      </c>
      <c r="F53" s="7">
        <v>2.09</v>
      </c>
      <c r="G53" s="84">
        <v>4906</v>
      </c>
      <c r="H53" s="9" t="s">
        <v>563</v>
      </c>
      <c r="I53" s="23" t="s">
        <v>351</v>
      </c>
      <c r="J53" s="371">
        <v>15.62</v>
      </c>
      <c r="K53" s="77">
        <v>5.66</v>
      </c>
      <c r="L53" s="77">
        <v>14.94</v>
      </c>
      <c r="M53" s="371">
        <v>4.4800000000000004</v>
      </c>
      <c r="N53" s="365">
        <f t="shared" si="136"/>
        <v>40.700000000000003</v>
      </c>
      <c r="O53" s="343">
        <f t="shared" si="137"/>
        <v>20.100000000000001</v>
      </c>
      <c r="P53" s="195">
        <v>9</v>
      </c>
      <c r="Q53" s="326">
        <v>9</v>
      </c>
      <c r="R53" s="111">
        <v>1</v>
      </c>
      <c r="S53" s="51">
        <v>0</v>
      </c>
      <c r="T53" s="339">
        <f t="shared" si="138"/>
        <v>19</v>
      </c>
      <c r="U53" s="329" t="s">
        <v>6554</v>
      </c>
      <c r="V53" s="156">
        <v>7.18</v>
      </c>
      <c r="W53" s="73">
        <v>1.96</v>
      </c>
      <c r="X53" s="100">
        <v>1.45</v>
      </c>
      <c r="Y53" s="37">
        <v>29.2</v>
      </c>
      <c r="Z53" s="69">
        <v>28.7</v>
      </c>
      <c r="AA53" s="16">
        <f>Y53-Z53</f>
        <v>0.5</v>
      </c>
      <c r="AB53" s="66">
        <f>AA53/Z53</f>
        <v>1.7421602787456445E-2</v>
      </c>
      <c r="AC53" s="107" t="s">
        <v>6463</v>
      </c>
      <c r="AD53" s="23" t="s">
        <v>351</v>
      </c>
      <c r="AE53" s="89">
        <v>44537</v>
      </c>
      <c r="AF53" s="88">
        <v>44540</v>
      </c>
      <c r="AG53" s="34">
        <f>AF53-AE53</f>
        <v>3</v>
      </c>
      <c r="AH53" s="127" t="s">
        <v>3299</v>
      </c>
      <c r="AI53" s="131"/>
    </row>
    <row r="54" spans="1:35">
      <c r="A54" s="151" t="s">
        <v>5232</v>
      </c>
      <c r="B54" s="84">
        <v>9</v>
      </c>
      <c r="C54" s="85">
        <v>-3</v>
      </c>
      <c r="D54" s="85">
        <v>8</v>
      </c>
      <c r="E54" s="84">
        <v>23</v>
      </c>
      <c r="F54" s="7">
        <v>7.9</v>
      </c>
      <c r="G54" s="84">
        <v>2385</v>
      </c>
      <c r="H54" s="9" t="s">
        <v>559</v>
      </c>
      <c r="I54" s="23" t="s">
        <v>382</v>
      </c>
      <c r="J54" s="77">
        <v>68.319999999999993</v>
      </c>
      <c r="K54" s="77">
        <v>43.02</v>
      </c>
      <c r="L54" s="77">
        <v>1.97</v>
      </c>
      <c r="M54" s="371">
        <v>11.58</v>
      </c>
      <c r="N54" s="365">
        <f t="shared" si="136"/>
        <v>124.89</v>
      </c>
      <c r="O54" s="343">
        <f t="shared" si="137"/>
        <v>79.899999999999991</v>
      </c>
      <c r="P54" s="195">
        <v>25</v>
      </c>
      <c r="Q54" s="326">
        <v>24</v>
      </c>
      <c r="R54" s="111">
        <v>0</v>
      </c>
      <c r="S54" s="51">
        <v>7</v>
      </c>
      <c r="T54" s="339">
        <f t="shared" si="138"/>
        <v>56</v>
      </c>
      <c r="U54" s="329" t="s">
        <v>6541</v>
      </c>
      <c r="V54" s="371">
        <v>1.83</v>
      </c>
      <c r="W54" s="69">
        <v>5.5</v>
      </c>
      <c r="X54" s="59">
        <v>8.14</v>
      </c>
      <c r="Y54" s="14">
        <v>81.3</v>
      </c>
      <c r="Z54" s="69">
        <v>81.7</v>
      </c>
      <c r="AA54" s="16">
        <f>Y54-Z54</f>
        <v>-0.40000000000000568</v>
      </c>
      <c r="AB54" s="80">
        <f>AA54/Z54</f>
        <v>-4.8959608323134113E-3</v>
      </c>
      <c r="AC54" s="105" t="s">
        <v>6555</v>
      </c>
      <c r="AD54" s="23" t="s">
        <v>382</v>
      </c>
      <c r="AE54" s="89">
        <v>44537</v>
      </c>
      <c r="AF54" s="88">
        <v>44540</v>
      </c>
      <c r="AG54" s="34">
        <f>AF54-AE54</f>
        <v>3</v>
      </c>
      <c r="AH54" s="125" t="s">
        <v>4017</v>
      </c>
      <c r="AI54" s="131"/>
    </row>
    <row r="55" spans="1:35">
      <c r="A55" s="151" t="s">
        <v>5228</v>
      </c>
      <c r="B55" s="84">
        <v>95</v>
      </c>
      <c r="C55" s="84">
        <v>112</v>
      </c>
      <c r="D55" s="84">
        <v>73</v>
      </c>
      <c r="E55" s="84">
        <v>48</v>
      </c>
      <c r="F55" s="7">
        <v>2.17</v>
      </c>
      <c r="G55" s="84">
        <v>8112</v>
      </c>
      <c r="H55" s="5" t="s">
        <v>596</v>
      </c>
      <c r="I55" s="23" t="s">
        <v>236</v>
      </c>
      <c r="J55" s="77">
        <v>28.71</v>
      </c>
      <c r="K55" s="77">
        <v>22.21</v>
      </c>
      <c r="L55" s="77">
        <v>8.0399999999999991</v>
      </c>
      <c r="M55" s="77">
        <v>6.61</v>
      </c>
      <c r="N55" s="365">
        <f t="shared" si="136"/>
        <v>65.570000000000007</v>
      </c>
      <c r="O55" s="343">
        <f t="shared" si="137"/>
        <v>35.32</v>
      </c>
      <c r="P55" s="195">
        <v>5</v>
      </c>
      <c r="Q55" s="326">
        <v>19</v>
      </c>
      <c r="R55" s="111">
        <v>0</v>
      </c>
      <c r="S55" s="51">
        <v>9</v>
      </c>
      <c r="T55" s="339">
        <f t="shared" si="138"/>
        <v>33</v>
      </c>
      <c r="U55" s="329" t="s">
        <v>6539</v>
      </c>
      <c r="V55" s="371">
        <v>1.55</v>
      </c>
      <c r="W55" s="69">
        <v>3</v>
      </c>
      <c r="X55" s="100">
        <v>6.83</v>
      </c>
      <c r="Y55" s="37">
        <v>47.2</v>
      </c>
      <c r="Z55" s="69">
        <v>46.8</v>
      </c>
      <c r="AA55" s="16">
        <f>Y55-Z55</f>
        <v>0.40000000000000568</v>
      </c>
      <c r="AB55" s="66">
        <f>AA55/Z55</f>
        <v>8.5470085470086693E-3</v>
      </c>
      <c r="AC55" s="105" t="s">
        <v>6551</v>
      </c>
      <c r="AD55" s="23" t="s">
        <v>236</v>
      </c>
      <c r="AE55" s="89">
        <v>44537</v>
      </c>
      <c r="AF55" s="88">
        <v>44540</v>
      </c>
      <c r="AG55" s="34">
        <f>AF55-AE55</f>
        <v>3</v>
      </c>
      <c r="AH55" s="125" t="s">
        <v>3066</v>
      </c>
      <c r="AI55" s="284"/>
    </row>
    <row r="56" spans="1:35">
      <c r="A56" s="135" t="s">
        <v>2519</v>
      </c>
      <c r="B56" s="84">
        <v>6</v>
      </c>
      <c r="C56" s="85">
        <v>-2</v>
      </c>
      <c r="D56" s="84">
        <v>0</v>
      </c>
      <c r="E56" s="85">
        <v>-8</v>
      </c>
      <c r="F56" s="59">
        <v>13.03</v>
      </c>
      <c r="G56" s="84">
        <v>6176</v>
      </c>
      <c r="H56" s="212" t="s">
        <v>557</v>
      </c>
      <c r="I56" s="23" t="s">
        <v>471</v>
      </c>
      <c r="J56" s="77">
        <v>48.33</v>
      </c>
      <c r="K56" s="371">
        <v>45.75</v>
      </c>
      <c r="L56" s="77">
        <v>3.66</v>
      </c>
      <c r="M56" s="77">
        <v>4.4400000000000004</v>
      </c>
      <c r="N56" s="365">
        <f t="shared" si="136"/>
        <v>102.17999999999999</v>
      </c>
      <c r="O56" s="343">
        <f t="shared" si="137"/>
        <v>52.769999999999996</v>
      </c>
      <c r="P56" s="195">
        <v>40</v>
      </c>
      <c r="Q56" s="326">
        <v>6</v>
      </c>
      <c r="R56" s="111">
        <v>0</v>
      </c>
      <c r="S56" s="51">
        <v>4</v>
      </c>
      <c r="T56" s="339">
        <f t="shared" si="138"/>
        <v>50</v>
      </c>
      <c r="U56" s="329" t="s">
        <v>6548</v>
      </c>
      <c r="V56" s="371">
        <v>2.48</v>
      </c>
      <c r="W56" s="69">
        <v>8</v>
      </c>
      <c r="X56" s="100">
        <v>11.79</v>
      </c>
      <c r="Y56" s="14">
        <v>97.3</v>
      </c>
      <c r="Z56" s="69">
        <v>97.1</v>
      </c>
      <c r="AA56" s="16">
        <f>Y56-Z56</f>
        <v>0.20000000000000284</v>
      </c>
      <c r="AB56" s="66">
        <f>AA56/Z56</f>
        <v>2.0597322348095042E-3</v>
      </c>
      <c r="AC56" s="105" t="s">
        <v>6550</v>
      </c>
      <c r="AD56" s="23" t="s">
        <v>471</v>
      </c>
      <c r="AE56" s="89">
        <v>44536</v>
      </c>
      <c r="AF56" s="88">
        <v>44540</v>
      </c>
      <c r="AG56" s="34">
        <f>AF56-AE56</f>
        <v>4</v>
      </c>
      <c r="AH56" s="126" t="s">
        <v>3840</v>
      </c>
      <c r="AI56" s="131"/>
    </row>
    <row r="57" spans="1:35">
      <c r="A57" s="135" t="s">
        <v>3448</v>
      </c>
      <c r="B57" s="84">
        <v>20</v>
      </c>
      <c r="C57" s="84">
        <v>26</v>
      </c>
      <c r="D57" s="85">
        <v>-3</v>
      </c>
      <c r="E57" s="84">
        <v>86</v>
      </c>
      <c r="F57" s="59">
        <v>10.61</v>
      </c>
      <c r="G57" s="84">
        <v>5536</v>
      </c>
      <c r="H57" s="9" t="s">
        <v>5322</v>
      </c>
      <c r="I57" s="17" t="s">
        <v>290</v>
      </c>
      <c r="J57" s="371">
        <v>18.75</v>
      </c>
      <c r="K57" s="77">
        <v>18.02</v>
      </c>
      <c r="L57" s="77">
        <v>1.69</v>
      </c>
      <c r="M57" s="77">
        <v>10.27</v>
      </c>
      <c r="N57" s="365">
        <f t="shared" si="136"/>
        <v>48.72999999999999</v>
      </c>
      <c r="O57" s="343">
        <f t="shared" si="137"/>
        <v>29.02</v>
      </c>
      <c r="P57" s="195">
        <v>4</v>
      </c>
      <c r="Q57" s="326" t="str">
        <f>IFERROR(VLOOKUP($G57,主力整理!$A$2:$G$2301,6,0),"0")</f>
        <v>0</v>
      </c>
      <c r="R57" s="111">
        <v>0</v>
      </c>
      <c r="S57" s="51">
        <v>5</v>
      </c>
      <c r="T57" s="339">
        <f t="shared" si="138"/>
        <v>9</v>
      </c>
      <c r="V57" s="371">
        <v>0.84</v>
      </c>
      <c r="W57" s="69">
        <v>12</v>
      </c>
      <c r="X57" s="100">
        <v>19.7</v>
      </c>
      <c r="Y57" s="37">
        <v>198</v>
      </c>
      <c r="Z57" s="69">
        <v>196.5</v>
      </c>
      <c r="AA57" s="16">
        <f t="shared" ref="AA57" si="142">Y57-Z57</f>
        <v>1.5</v>
      </c>
      <c r="AB57" s="66">
        <f t="shared" ref="AB57" si="143">AA57/Z57</f>
        <v>7.6335877862595417E-3</v>
      </c>
      <c r="AC57" s="107" t="s">
        <v>6458</v>
      </c>
      <c r="AD57" s="17" t="s">
        <v>290</v>
      </c>
      <c r="AE57" s="89">
        <v>44519</v>
      </c>
      <c r="AF57" s="88">
        <v>44540</v>
      </c>
      <c r="AG57" s="34">
        <f t="shared" ref="AG57" si="144">AF57-AE57</f>
        <v>21</v>
      </c>
      <c r="AH57" s="126" t="s">
        <v>2168</v>
      </c>
      <c r="AI57" s="131"/>
    </row>
    <row r="58" spans="1:35">
      <c r="A58" s="135" t="s">
        <v>4784</v>
      </c>
      <c r="B58" s="84">
        <v>691</v>
      </c>
      <c r="C58" s="84">
        <v>515</v>
      </c>
      <c r="D58" s="85">
        <v>-2</v>
      </c>
      <c r="E58" s="84">
        <v>174</v>
      </c>
      <c r="F58" s="59">
        <v>11.81</v>
      </c>
      <c r="G58" s="85">
        <v>2636</v>
      </c>
      <c r="H58" s="5" t="s">
        <v>551</v>
      </c>
      <c r="I58" s="23" t="s">
        <v>2987</v>
      </c>
      <c r="J58" s="371">
        <v>37.69</v>
      </c>
      <c r="K58" s="77">
        <v>14.27</v>
      </c>
      <c r="L58" s="371">
        <v>36.25</v>
      </c>
      <c r="M58" s="371">
        <v>19.34</v>
      </c>
      <c r="N58" s="365">
        <f t="shared" si="136"/>
        <v>107.55</v>
      </c>
      <c r="O58" s="343">
        <f t="shared" si="137"/>
        <v>57.03</v>
      </c>
      <c r="P58" s="195">
        <v>11</v>
      </c>
      <c r="Q58" s="326">
        <v>20</v>
      </c>
      <c r="R58" s="111">
        <v>25</v>
      </c>
      <c r="S58" s="51">
        <v>6</v>
      </c>
      <c r="T58" s="339">
        <f t="shared" si="138"/>
        <v>62</v>
      </c>
      <c r="V58" s="156">
        <v>4.7699999999999996</v>
      </c>
      <c r="W58" s="46">
        <v>3.02</v>
      </c>
      <c r="X58" s="100">
        <v>24.5</v>
      </c>
      <c r="Y58" s="37">
        <v>142.5</v>
      </c>
      <c r="Z58" s="46">
        <v>136</v>
      </c>
      <c r="AA58" s="16">
        <f>Y58-Z58</f>
        <v>6.5</v>
      </c>
      <c r="AB58" s="66">
        <f>AA58/Z58</f>
        <v>4.779411764705882E-2</v>
      </c>
      <c r="AC58" s="105" t="s">
        <v>6437</v>
      </c>
      <c r="AD58" s="23" t="s">
        <v>2987</v>
      </c>
      <c r="AE58" s="89">
        <v>44512</v>
      </c>
      <c r="AF58" s="88">
        <v>44539</v>
      </c>
      <c r="AG58" s="34">
        <f>AF58-AE58</f>
        <v>27</v>
      </c>
      <c r="AH58" s="63" t="s">
        <v>3188</v>
      </c>
      <c r="AI58" s="131"/>
    </row>
    <row r="59" spans="1:35">
      <c r="A59" s="135" t="s">
        <v>4784</v>
      </c>
      <c r="B59" s="84">
        <v>691</v>
      </c>
      <c r="C59" s="84">
        <v>515</v>
      </c>
      <c r="D59" s="84">
        <v>10</v>
      </c>
      <c r="E59" s="84">
        <v>193</v>
      </c>
      <c r="F59" s="59">
        <v>11.81</v>
      </c>
      <c r="G59" s="85">
        <v>2636</v>
      </c>
      <c r="H59" s="5" t="s">
        <v>551</v>
      </c>
      <c r="I59" s="23" t="s">
        <v>2987</v>
      </c>
      <c r="J59" s="77">
        <v>38.96</v>
      </c>
      <c r="K59" s="371">
        <v>14.23</v>
      </c>
      <c r="L59" s="77">
        <v>39.61</v>
      </c>
      <c r="M59" s="371">
        <v>19.34</v>
      </c>
      <c r="N59" s="365">
        <f t="shared" si="136"/>
        <v>112.14</v>
      </c>
      <c r="O59" s="343">
        <f t="shared" si="137"/>
        <v>58.3</v>
      </c>
      <c r="P59" s="195">
        <v>10</v>
      </c>
      <c r="Q59" s="326">
        <v>19</v>
      </c>
      <c r="R59" s="111">
        <v>25</v>
      </c>
      <c r="S59" s="51">
        <v>6</v>
      </c>
      <c r="T59" s="339">
        <f t="shared" si="138"/>
        <v>60</v>
      </c>
      <c r="V59" s="156">
        <v>4.7699999999999996</v>
      </c>
      <c r="W59" s="46">
        <v>3.02</v>
      </c>
      <c r="X59" s="100">
        <v>24.5</v>
      </c>
      <c r="Y59" s="37">
        <v>142.5</v>
      </c>
      <c r="Z59" s="46">
        <v>134</v>
      </c>
      <c r="AA59" s="16">
        <f>Y59-Z59</f>
        <v>8.5</v>
      </c>
      <c r="AB59" s="66">
        <f>AA59/Z59</f>
        <v>6.3432835820895525E-2</v>
      </c>
      <c r="AC59" s="105" t="s">
        <v>6430</v>
      </c>
      <c r="AD59" s="23" t="s">
        <v>2987</v>
      </c>
      <c r="AE59" s="89">
        <v>44505</v>
      </c>
      <c r="AF59" s="88">
        <v>44539</v>
      </c>
      <c r="AG59" s="34">
        <f>AF59-AE59</f>
        <v>34</v>
      </c>
      <c r="AH59" s="63" t="s">
        <v>3188</v>
      </c>
      <c r="AI59" s="284"/>
    </row>
    <row r="60" spans="1:35">
      <c r="A60" s="151" t="s">
        <v>5259</v>
      </c>
      <c r="B60" s="84">
        <v>65</v>
      </c>
      <c r="C60" s="84">
        <v>38</v>
      </c>
      <c r="D60" s="85">
        <v>-27</v>
      </c>
      <c r="E60" s="85">
        <v>-14</v>
      </c>
      <c r="F60" s="7">
        <v>8.57</v>
      </c>
      <c r="G60" s="84">
        <v>4967</v>
      </c>
      <c r="H60" s="9" t="s">
        <v>558</v>
      </c>
      <c r="I60" s="23" t="s">
        <v>2657</v>
      </c>
      <c r="J60" s="371">
        <v>8.65</v>
      </c>
      <c r="K60" s="77">
        <v>3.82</v>
      </c>
      <c r="L60" s="371">
        <v>56.25</v>
      </c>
      <c r="M60" s="371">
        <v>4.84</v>
      </c>
      <c r="N60" s="365">
        <f t="shared" si="136"/>
        <v>73.56</v>
      </c>
      <c r="O60" s="343">
        <f t="shared" si="137"/>
        <v>13.49</v>
      </c>
      <c r="P60" s="195">
        <v>7</v>
      </c>
      <c r="Q60" s="326">
        <f>IFERROR(VLOOKUP($G60,主力整理!$A$2:$G$2301,6,0),"0")</f>
        <v>4</v>
      </c>
      <c r="R60" s="111">
        <v>7</v>
      </c>
      <c r="S60" s="51">
        <v>4</v>
      </c>
      <c r="T60" s="339">
        <f t="shared" si="138"/>
        <v>22</v>
      </c>
      <c r="V60" s="156">
        <v>7.51</v>
      </c>
      <c r="W60" s="73">
        <v>1.1000000000000001</v>
      </c>
      <c r="X60" s="100">
        <v>3.54</v>
      </c>
      <c r="Y60" s="37">
        <v>45.1</v>
      </c>
      <c r="Z60" s="46">
        <v>54</v>
      </c>
      <c r="AA60" s="16">
        <f>Y60-Z60</f>
        <v>-8.8999999999999986</v>
      </c>
      <c r="AB60" s="80">
        <f>AA60/Z60</f>
        <v>-0.16481481481481478</v>
      </c>
      <c r="AC60" s="107" t="s">
        <v>5559</v>
      </c>
      <c r="AD60" s="23" t="s">
        <v>2657</v>
      </c>
      <c r="AE60" s="89">
        <v>44440</v>
      </c>
      <c r="AF60" s="88">
        <v>44539</v>
      </c>
      <c r="AG60" s="34">
        <f>AF60-AE60</f>
        <v>99</v>
      </c>
      <c r="AH60" s="44" t="s">
        <v>2131</v>
      </c>
      <c r="AI60" s="131"/>
    </row>
    <row r="61" spans="1:35">
      <c r="A61" s="151" t="s">
        <v>2347</v>
      </c>
      <c r="B61" s="85">
        <v>-38</v>
      </c>
      <c r="C61" s="84">
        <v>9</v>
      </c>
      <c r="D61" s="85">
        <v>-19</v>
      </c>
      <c r="E61" s="84">
        <v>17</v>
      </c>
      <c r="F61" s="7">
        <v>2.1</v>
      </c>
      <c r="G61" s="85">
        <v>3548</v>
      </c>
      <c r="H61" s="9" t="s">
        <v>5404</v>
      </c>
      <c r="I61" s="17" t="s">
        <v>270</v>
      </c>
      <c r="J61" s="77">
        <v>31.26</v>
      </c>
      <c r="K61" s="77">
        <v>5.0599999999999996</v>
      </c>
      <c r="L61" s="77">
        <v>44.56</v>
      </c>
      <c r="M61" s="77">
        <v>21.72</v>
      </c>
      <c r="N61" s="365">
        <f t="shared" si="136"/>
        <v>102.6</v>
      </c>
      <c r="O61" s="343">
        <f t="shared" si="137"/>
        <v>52.980000000000004</v>
      </c>
      <c r="P61" s="195">
        <v>5</v>
      </c>
      <c r="Q61" s="326" t="str">
        <f>IFERROR(VLOOKUP($G61,主力整理!$A$2:$G$2301,6,0),"0")</f>
        <v>0</v>
      </c>
      <c r="R61" s="111">
        <v>1</v>
      </c>
      <c r="S61" s="51">
        <v>1</v>
      </c>
      <c r="T61" s="339">
        <f t="shared" si="138"/>
        <v>7</v>
      </c>
      <c r="V61" s="371">
        <v>1.39</v>
      </c>
      <c r="W61" s="35">
        <v>2.5</v>
      </c>
      <c r="X61" s="100">
        <v>4.2300000000000004</v>
      </c>
      <c r="Y61" s="37">
        <v>62</v>
      </c>
      <c r="Z61" s="46">
        <v>64.3</v>
      </c>
      <c r="AA61" s="16">
        <f>Y61-Z61</f>
        <v>-2.2999999999999972</v>
      </c>
      <c r="AB61" s="80">
        <f>AA61/Z61</f>
        <v>-3.5769828926905091E-2</v>
      </c>
      <c r="AC61" s="107" t="s">
        <v>5529</v>
      </c>
      <c r="AD61" s="17" t="s">
        <v>270</v>
      </c>
      <c r="AE61" s="89">
        <v>44440</v>
      </c>
      <c r="AF61" s="88">
        <v>44538</v>
      </c>
      <c r="AG61" s="34">
        <f>AF61-AE61</f>
        <v>98</v>
      </c>
      <c r="AH61" s="125" t="s">
        <v>4503</v>
      </c>
      <c r="AI61" s="131"/>
    </row>
    <row r="62" spans="1:35">
      <c r="A62" s="135" t="s">
        <v>6420</v>
      </c>
      <c r="B62" s="84">
        <v>509</v>
      </c>
      <c r="C62" s="84">
        <v>556</v>
      </c>
      <c r="D62" s="85">
        <v>-14</v>
      </c>
      <c r="E62" s="84">
        <v>89</v>
      </c>
      <c r="F62" s="59">
        <v>35.78</v>
      </c>
      <c r="G62" s="85">
        <v>6531</v>
      </c>
      <c r="H62" s="5" t="s">
        <v>558</v>
      </c>
      <c r="I62" s="23" t="s">
        <v>639</v>
      </c>
      <c r="J62" s="371">
        <v>55.08</v>
      </c>
      <c r="K62" s="371">
        <v>18.96</v>
      </c>
      <c r="L62" s="77">
        <v>41.16</v>
      </c>
      <c r="M62" s="371">
        <v>18.64</v>
      </c>
      <c r="N62" s="77">
        <f t="shared" si="136"/>
        <v>133.83999999999997</v>
      </c>
      <c r="O62" s="343">
        <f t="shared" si="137"/>
        <v>73.72</v>
      </c>
      <c r="P62" s="195">
        <v>4</v>
      </c>
      <c r="Q62" s="326">
        <v>11</v>
      </c>
      <c r="R62" s="111">
        <v>17</v>
      </c>
      <c r="S62" s="51">
        <v>8</v>
      </c>
      <c r="T62" s="339">
        <f t="shared" si="138"/>
        <v>40</v>
      </c>
      <c r="V62" s="156">
        <v>12.96</v>
      </c>
      <c r="W62" s="69">
        <v>5</v>
      </c>
      <c r="X62" s="59">
        <v>11.12</v>
      </c>
      <c r="Y62" s="37">
        <v>513</v>
      </c>
      <c r="Z62" s="46">
        <v>540</v>
      </c>
      <c r="AA62" s="16">
        <f t="shared" ref="AA62" si="145">Y62-Z62</f>
        <v>-27</v>
      </c>
      <c r="AB62" s="80">
        <f t="shared" ref="AB62" si="146">AA62/Z62</f>
        <v>-0.05</v>
      </c>
      <c r="AC62" s="105" t="s">
        <v>6422</v>
      </c>
      <c r="AD62" s="23" t="s">
        <v>639</v>
      </c>
      <c r="AE62" s="89">
        <v>44503</v>
      </c>
      <c r="AF62" s="88">
        <v>44537</v>
      </c>
      <c r="AG62" s="34">
        <f t="shared" ref="AG62" si="147">AF62-AE62</f>
        <v>34</v>
      </c>
      <c r="AH62" s="63" t="s">
        <v>3400</v>
      </c>
      <c r="AI62" s="131"/>
    </row>
    <row r="63" spans="1:35">
      <c r="A63" s="151" t="s">
        <v>2499</v>
      </c>
      <c r="B63" s="85">
        <v>-61</v>
      </c>
      <c r="C63" s="85">
        <v>-46</v>
      </c>
      <c r="D63" s="84">
        <v>20</v>
      </c>
      <c r="E63" s="85">
        <v>-18</v>
      </c>
      <c r="F63" s="7">
        <v>2.73</v>
      </c>
      <c r="G63" s="84">
        <v>3708</v>
      </c>
      <c r="H63" s="9" t="s">
        <v>1308</v>
      </c>
      <c r="I63" s="23" t="s">
        <v>528</v>
      </c>
      <c r="J63" s="371">
        <v>38.950000000000003</v>
      </c>
      <c r="K63" s="77">
        <v>10.96</v>
      </c>
      <c r="L63" s="371">
        <v>28.95</v>
      </c>
      <c r="M63" s="371">
        <v>10.039999999999999</v>
      </c>
      <c r="N63" s="365">
        <f t="shared" si="136"/>
        <v>88.9</v>
      </c>
      <c r="O63" s="343">
        <f t="shared" si="137"/>
        <v>48.99</v>
      </c>
      <c r="P63" s="195">
        <v>3</v>
      </c>
      <c r="Q63" s="326">
        <v>3</v>
      </c>
      <c r="R63" s="111">
        <v>7</v>
      </c>
      <c r="S63" s="51">
        <v>8</v>
      </c>
      <c r="T63" s="339">
        <f t="shared" si="138"/>
        <v>21</v>
      </c>
      <c r="V63" s="156">
        <v>6.05</v>
      </c>
      <c r="W63" s="46">
        <v>3.5</v>
      </c>
      <c r="X63" s="100">
        <v>4.59</v>
      </c>
      <c r="Y63" s="37">
        <v>89.3</v>
      </c>
      <c r="Z63" s="46">
        <v>96</v>
      </c>
      <c r="AA63" s="16">
        <f>Y63-Z63</f>
        <v>-6.7000000000000028</v>
      </c>
      <c r="AB63" s="80">
        <f>AA63/Z63</f>
        <v>-6.9791666666666696E-2</v>
      </c>
      <c r="AC63" s="105" t="s">
        <v>6396</v>
      </c>
      <c r="AD63" s="23" t="s">
        <v>528</v>
      </c>
      <c r="AE63" s="89">
        <v>44494</v>
      </c>
      <c r="AF63" s="88">
        <v>44537</v>
      </c>
      <c r="AG63" s="34">
        <f>AF63-AE63</f>
        <v>43</v>
      </c>
      <c r="AH63" s="44" t="s">
        <v>4388</v>
      </c>
      <c r="AI63" s="131"/>
    </row>
    <row r="64" spans="1:35">
      <c r="A64" s="135" t="s">
        <v>2898</v>
      </c>
      <c r="B64" s="84">
        <v>621</v>
      </c>
      <c r="C64" s="84">
        <v>733</v>
      </c>
      <c r="D64" s="85">
        <v>-9</v>
      </c>
      <c r="E64" s="84">
        <v>178</v>
      </c>
      <c r="F64" s="59">
        <v>49.91</v>
      </c>
      <c r="G64" s="84">
        <v>2108</v>
      </c>
      <c r="H64" s="5" t="s">
        <v>5042</v>
      </c>
      <c r="I64" s="23" t="s">
        <v>1554</v>
      </c>
      <c r="J64" s="77">
        <v>68.569999999999993</v>
      </c>
      <c r="K64" s="371">
        <v>15.54</v>
      </c>
      <c r="L64" s="371">
        <v>6.29</v>
      </c>
      <c r="M64" s="371">
        <v>41.01</v>
      </c>
      <c r="N64" s="365">
        <f t="shared" si="136"/>
        <v>131.41</v>
      </c>
      <c r="O64" s="369">
        <f t="shared" si="137"/>
        <v>109.57999999999998</v>
      </c>
      <c r="P64" s="232"/>
      <c r="Q64" s="326">
        <f>IFERROR(VLOOKUP($G64,主力整理!$A$2:$G$2301,6,0),"0")</f>
        <v>9</v>
      </c>
      <c r="R64" s="111">
        <v>8</v>
      </c>
      <c r="S64" s="51">
        <v>15</v>
      </c>
      <c r="T64" s="339">
        <f t="shared" si="138"/>
        <v>32</v>
      </c>
      <c r="V64" s="156">
        <v>6.98</v>
      </c>
      <c r="W64" s="46">
        <v>4</v>
      </c>
      <c r="X64" s="59">
        <v>11.92</v>
      </c>
      <c r="Y64" s="37">
        <v>89.5</v>
      </c>
      <c r="Z64" s="69">
        <v>121.5</v>
      </c>
      <c r="AA64" s="16">
        <f t="shared" ref="AA64" si="148">Y64-Z64</f>
        <v>-32</v>
      </c>
      <c r="AB64" s="80">
        <f t="shared" ref="AB64" si="149">AA64/Z64</f>
        <v>-0.26337448559670784</v>
      </c>
      <c r="AC64" s="105" t="s">
        <v>5360</v>
      </c>
      <c r="AD64" s="23" t="s">
        <v>1554</v>
      </c>
      <c r="AE64" s="89">
        <v>44405</v>
      </c>
      <c r="AF64" s="88">
        <v>44529</v>
      </c>
      <c r="AG64" s="81">
        <f t="shared" ref="AG64" si="150">AF64-AE64</f>
        <v>124</v>
      </c>
      <c r="AH64" s="63" t="s">
        <v>3998</v>
      </c>
      <c r="AI64" s="131"/>
    </row>
    <row r="65" spans="1:42">
      <c r="A65" s="135" t="s">
        <v>2449</v>
      </c>
      <c r="B65" s="84">
        <v>147</v>
      </c>
      <c r="C65" s="84">
        <v>176</v>
      </c>
      <c r="D65" s="84">
        <v>6</v>
      </c>
      <c r="E65" s="84">
        <v>22</v>
      </c>
      <c r="F65" s="59">
        <v>22.88</v>
      </c>
      <c r="G65" s="85">
        <v>3042</v>
      </c>
      <c r="H65" s="5" t="s">
        <v>559</v>
      </c>
      <c r="I65" s="23" t="s">
        <v>231</v>
      </c>
      <c r="J65" s="371">
        <v>40.97</v>
      </c>
      <c r="K65" s="371">
        <v>22.27</v>
      </c>
      <c r="L65" s="371">
        <v>17.059999999999999</v>
      </c>
      <c r="M65" s="371">
        <v>6.72</v>
      </c>
      <c r="N65" s="365">
        <f t="shared" si="136"/>
        <v>87.02</v>
      </c>
      <c r="O65" s="343">
        <f t="shared" si="137"/>
        <v>47.69</v>
      </c>
      <c r="P65" s="195">
        <v>20</v>
      </c>
      <c r="Q65" s="326">
        <v>6</v>
      </c>
      <c r="R65" s="111">
        <v>2</v>
      </c>
      <c r="S65" s="51">
        <v>11</v>
      </c>
      <c r="T65" s="339">
        <f t="shared" si="138"/>
        <v>39</v>
      </c>
      <c r="V65" s="156">
        <v>5.51</v>
      </c>
      <c r="W65" s="69">
        <v>3.8</v>
      </c>
      <c r="X65" s="100">
        <v>7.6</v>
      </c>
      <c r="Y65" s="37">
        <v>107.5</v>
      </c>
      <c r="Z65" s="69">
        <v>96.4</v>
      </c>
      <c r="AA65" s="16">
        <f t="shared" ref="AA65" si="151">Y65-Z65</f>
        <v>11.099999999999994</v>
      </c>
      <c r="AB65" s="66">
        <f t="shared" ref="AB65" si="152">AA65/Z65</f>
        <v>0.11514522821576757</v>
      </c>
      <c r="AC65" s="105" t="s">
        <v>6366</v>
      </c>
      <c r="AD65" s="23" t="s">
        <v>231</v>
      </c>
      <c r="AE65" s="89">
        <v>44482</v>
      </c>
      <c r="AF65" s="88">
        <v>44523</v>
      </c>
      <c r="AG65" s="34">
        <f t="shared" ref="AG65" si="153">AF65-AE65</f>
        <v>41</v>
      </c>
      <c r="AH65" s="126" t="s">
        <v>2666</v>
      </c>
      <c r="AI65" s="284"/>
    </row>
    <row r="66" spans="1:42">
      <c r="A66" s="151" t="s">
        <v>2673</v>
      </c>
      <c r="B66" s="84">
        <v>30</v>
      </c>
      <c r="C66" s="84">
        <v>67</v>
      </c>
      <c r="D66" s="84">
        <v>2</v>
      </c>
      <c r="E66" s="84">
        <v>10</v>
      </c>
      <c r="F66" s="7">
        <v>6.11</v>
      </c>
      <c r="G66" s="85">
        <v>5243</v>
      </c>
      <c r="H66" s="268" t="s">
        <v>557</v>
      </c>
      <c r="I66" s="23" t="s">
        <v>435</v>
      </c>
      <c r="J66" s="371">
        <v>51.29</v>
      </c>
      <c r="K66" s="371">
        <v>52.52</v>
      </c>
      <c r="L66" s="371">
        <v>17.059999999999999</v>
      </c>
      <c r="M66" s="371">
        <v>35.6</v>
      </c>
      <c r="N66" s="77">
        <f t="shared" si="136"/>
        <v>156.47</v>
      </c>
      <c r="O66" s="369">
        <f t="shared" si="137"/>
        <v>86.89</v>
      </c>
      <c r="P66" s="195">
        <v>5</v>
      </c>
      <c r="Q66" s="326">
        <f>IFERROR(VLOOKUP($G66,主力整理!$A$2:$G$2301,6,0),"0")</f>
        <v>2</v>
      </c>
      <c r="R66" s="111">
        <v>8</v>
      </c>
      <c r="S66" s="51">
        <v>4</v>
      </c>
      <c r="T66" s="339">
        <f t="shared" si="138"/>
        <v>19</v>
      </c>
      <c r="V66" s="156">
        <v>3.63</v>
      </c>
      <c r="W66" s="35">
        <v>1.7</v>
      </c>
      <c r="X66" s="59">
        <v>3.07</v>
      </c>
      <c r="Y66" s="14">
        <v>70.8</v>
      </c>
      <c r="Z66" s="69">
        <v>59.5</v>
      </c>
      <c r="AA66" s="16">
        <f t="shared" ref="AA66" si="154">Y66-Z66</f>
        <v>11.299999999999997</v>
      </c>
      <c r="AB66" s="66">
        <f t="shared" ref="AB66" si="155">AA66/Z66</f>
        <v>0.18991596638655459</v>
      </c>
      <c r="AC66" s="107" t="s">
        <v>5595</v>
      </c>
      <c r="AD66" s="23" t="s">
        <v>435</v>
      </c>
      <c r="AE66" s="89">
        <v>44463</v>
      </c>
      <c r="AF66" s="88">
        <v>44522</v>
      </c>
      <c r="AG66" s="34">
        <f t="shared" ref="AG66" si="156">AF66-AE66</f>
        <v>59</v>
      </c>
      <c r="AH66" s="125" t="s">
        <v>3458</v>
      </c>
      <c r="AI66" s="284"/>
      <c r="AO66" s="34"/>
      <c r="AP66" s="34"/>
    </row>
    <row r="67" spans="1:42">
      <c r="A67" s="135" t="s">
        <v>2529</v>
      </c>
      <c r="B67" s="85">
        <v>-6</v>
      </c>
      <c r="C67" s="85">
        <v>-12</v>
      </c>
      <c r="D67" s="84">
        <v>1</v>
      </c>
      <c r="E67" s="85">
        <v>-3</v>
      </c>
      <c r="F67" s="59">
        <v>24.09</v>
      </c>
      <c r="G67" s="84">
        <v>6510</v>
      </c>
      <c r="H67" s="212" t="s">
        <v>558</v>
      </c>
      <c r="I67" s="17" t="s">
        <v>404</v>
      </c>
      <c r="J67" s="371">
        <v>39.229999999999997</v>
      </c>
      <c r="K67" s="371">
        <v>15.61</v>
      </c>
      <c r="L67" s="371">
        <v>13.49</v>
      </c>
      <c r="M67" s="371">
        <v>38.82</v>
      </c>
      <c r="N67" s="365">
        <f t="shared" si="136"/>
        <v>107.15</v>
      </c>
      <c r="O67" s="343">
        <f t="shared" si="137"/>
        <v>78.05</v>
      </c>
      <c r="P67" s="195">
        <v>9</v>
      </c>
      <c r="Q67" s="326" t="str">
        <f>IFERROR(VLOOKUP($G67,主力整理!$A$2:$G$2301,6,0),"0")</f>
        <v>0</v>
      </c>
      <c r="R67" s="111">
        <v>7</v>
      </c>
      <c r="S67" s="51">
        <v>6</v>
      </c>
      <c r="T67" s="339">
        <f t="shared" si="138"/>
        <v>22</v>
      </c>
      <c r="V67" s="156">
        <v>5.68</v>
      </c>
      <c r="W67" s="69">
        <v>12</v>
      </c>
      <c r="X67" s="100">
        <v>27.62</v>
      </c>
      <c r="Y67" s="37">
        <v>718</v>
      </c>
      <c r="Z67" s="69">
        <v>710</v>
      </c>
      <c r="AA67" s="16">
        <f t="shared" ref="AA67" si="157">Y67-Z67</f>
        <v>8</v>
      </c>
      <c r="AB67" s="66">
        <f t="shared" ref="AB67" si="158">AA67/Z67</f>
        <v>1.1267605633802818E-2</v>
      </c>
      <c r="AC67" s="105" t="s">
        <v>6380</v>
      </c>
      <c r="AD67" s="17" t="s">
        <v>404</v>
      </c>
      <c r="AE67" s="89">
        <v>44488</v>
      </c>
      <c r="AF67" s="88">
        <v>44519</v>
      </c>
      <c r="AG67" s="34">
        <f t="shared" ref="AG67" si="159">AF67-AE67</f>
        <v>31</v>
      </c>
      <c r="AH67" s="126" t="s">
        <v>2166</v>
      </c>
      <c r="AI67" s="131"/>
    </row>
    <row r="68" spans="1:42">
      <c r="A68" s="151" t="s">
        <v>2507</v>
      </c>
      <c r="B68" s="84">
        <v>242</v>
      </c>
      <c r="C68" s="84">
        <v>187</v>
      </c>
      <c r="D68" s="85">
        <v>-4</v>
      </c>
      <c r="E68" s="84">
        <v>49</v>
      </c>
      <c r="F68" s="7">
        <v>9.02</v>
      </c>
      <c r="G68" s="84">
        <v>2012</v>
      </c>
      <c r="H68" s="5" t="s">
        <v>4989</v>
      </c>
      <c r="I68" s="23" t="s">
        <v>1435</v>
      </c>
      <c r="J68" s="77">
        <v>71.040000000000006</v>
      </c>
      <c r="K68" s="77">
        <v>1.75</v>
      </c>
      <c r="L68" s="371">
        <v>4.93</v>
      </c>
      <c r="M68" s="371">
        <v>29.34</v>
      </c>
      <c r="N68" s="365">
        <f t="shared" si="136"/>
        <v>107.06</v>
      </c>
      <c r="O68" s="369">
        <f t="shared" si="137"/>
        <v>100.38000000000001</v>
      </c>
      <c r="P68" s="232"/>
      <c r="Q68" s="326">
        <f>IFERROR(VLOOKUP($G68,主力整理!$A$2:$G$2301,6,0),"0")</f>
        <v>4</v>
      </c>
      <c r="R68" s="111">
        <v>15</v>
      </c>
      <c r="S68" s="51">
        <v>1</v>
      </c>
      <c r="T68" s="339">
        <f t="shared" si="138"/>
        <v>20</v>
      </c>
      <c r="V68" s="371">
        <v>0.73</v>
      </c>
      <c r="W68" s="35">
        <v>0.6</v>
      </c>
      <c r="X68" s="59">
        <v>1.77</v>
      </c>
      <c r="Y68" s="37">
        <v>31.35</v>
      </c>
      <c r="Z68" s="69">
        <v>31.35</v>
      </c>
      <c r="AA68" s="16">
        <f>Y68-Z68</f>
        <v>0</v>
      </c>
      <c r="AB68" s="66">
        <f>AA68/Z68</f>
        <v>0</v>
      </c>
      <c r="AC68" s="107" t="s">
        <v>5486</v>
      </c>
      <c r="AD68" s="23" t="s">
        <v>1435</v>
      </c>
      <c r="AE68" s="89">
        <v>44426</v>
      </c>
      <c r="AF68" s="88">
        <v>44512</v>
      </c>
      <c r="AG68" s="34">
        <f>AF68-AE68</f>
        <v>86</v>
      </c>
      <c r="AH68" s="44" t="s">
        <v>2796</v>
      </c>
      <c r="AI68" s="131"/>
    </row>
    <row r="69" spans="1:42">
      <c r="A69" s="151" t="s">
        <v>3310</v>
      </c>
      <c r="B69" s="84">
        <v>53</v>
      </c>
      <c r="C69" s="84">
        <v>135</v>
      </c>
      <c r="D69" s="84">
        <v>18</v>
      </c>
      <c r="E69" s="85">
        <v>-25</v>
      </c>
      <c r="F69" s="7">
        <v>0.42</v>
      </c>
      <c r="G69" s="84">
        <v>2727</v>
      </c>
      <c r="H69" s="5" t="s">
        <v>552</v>
      </c>
      <c r="I69" s="23" t="s">
        <v>173</v>
      </c>
      <c r="J69" s="371">
        <v>23.33</v>
      </c>
      <c r="K69" s="77">
        <v>7.98</v>
      </c>
      <c r="L69" s="371">
        <v>7.45</v>
      </c>
      <c r="M69" s="77">
        <v>8.39</v>
      </c>
      <c r="N69" s="365">
        <f t="shared" si="136"/>
        <v>47.15</v>
      </c>
      <c r="O69" s="343">
        <f t="shared" si="137"/>
        <v>31.72</v>
      </c>
      <c r="P69" s="195">
        <v>5</v>
      </c>
      <c r="Q69" s="326">
        <f>IFERROR(VLOOKUP($G69,主力整理!$A$2:$G$2301,6,0),"0")</f>
        <v>4</v>
      </c>
      <c r="R69" s="111">
        <v>7</v>
      </c>
      <c r="S69" s="51">
        <v>13</v>
      </c>
      <c r="T69" s="339">
        <f t="shared" si="138"/>
        <v>29</v>
      </c>
      <c r="V69" s="156">
        <v>3.61</v>
      </c>
      <c r="W69" s="46">
        <v>4.3600000000000003</v>
      </c>
      <c r="X69" s="100">
        <v>4.76</v>
      </c>
      <c r="Y69" s="37">
        <v>144</v>
      </c>
      <c r="Z69" s="69">
        <v>139.5</v>
      </c>
      <c r="AA69" s="16">
        <f t="shared" ref="AA69" si="160">Y69-Z69</f>
        <v>4.5</v>
      </c>
      <c r="AB69" s="66">
        <f t="shared" ref="AB69" si="161">AA69/Z69</f>
        <v>3.2258064516129031E-2</v>
      </c>
      <c r="AC69" s="105" t="s">
        <v>5589</v>
      </c>
      <c r="AD69" s="23" t="s">
        <v>173</v>
      </c>
      <c r="AE69" s="89">
        <v>44449</v>
      </c>
      <c r="AF69" s="88">
        <v>44515</v>
      </c>
      <c r="AG69" s="34">
        <f t="shared" ref="AG69" si="162">AF69-AE69</f>
        <v>66</v>
      </c>
      <c r="AH69" s="125" t="s">
        <v>4211</v>
      </c>
      <c r="AI69" s="131"/>
    </row>
    <row r="70" spans="1:42">
      <c r="A70" s="135" t="s">
        <v>3634</v>
      </c>
      <c r="B70" s="84">
        <v>437</v>
      </c>
      <c r="C70" s="84">
        <v>524</v>
      </c>
      <c r="D70" s="84">
        <v>19</v>
      </c>
      <c r="E70" s="84">
        <v>206</v>
      </c>
      <c r="F70" s="59">
        <v>25.1</v>
      </c>
      <c r="G70" s="85">
        <v>6472</v>
      </c>
      <c r="H70" s="5" t="s">
        <v>560</v>
      </c>
      <c r="I70" s="17" t="s">
        <v>1147</v>
      </c>
      <c r="J70" s="371">
        <v>45.08</v>
      </c>
      <c r="K70" s="371">
        <v>8.89</v>
      </c>
      <c r="L70" s="77">
        <v>10.47</v>
      </c>
      <c r="M70" s="77">
        <v>30.93</v>
      </c>
      <c r="N70" s="365">
        <f t="shared" si="136"/>
        <v>95.37</v>
      </c>
      <c r="O70" s="343">
        <f t="shared" si="137"/>
        <v>76.009999999999991</v>
      </c>
      <c r="P70" s="195">
        <v>3</v>
      </c>
      <c r="Q70" s="326" t="str">
        <f>IFERROR(VLOOKUP($G70,主力整理!$A$2:$G$2301,6,0),"0")</f>
        <v>0</v>
      </c>
      <c r="R70" s="111">
        <v>11</v>
      </c>
      <c r="S70" s="51">
        <v>1</v>
      </c>
      <c r="T70" s="339">
        <f t="shared" si="138"/>
        <v>15</v>
      </c>
      <c r="V70" s="371">
        <v>2.4900000000000002</v>
      </c>
      <c r="W70" s="46">
        <v>4.47</v>
      </c>
      <c r="X70" s="100">
        <v>18.91</v>
      </c>
      <c r="Y70" s="37">
        <v>217</v>
      </c>
      <c r="Z70" s="69">
        <v>204.5</v>
      </c>
      <c r="AA70" s="16">
        <f t="shared" ref="AA70" si="163">Y70-Z70</f>
        <v>12.5</v>
      </c>
      <c r="AB70" s="66">
        <f t="shared" ref="AB70" si="164">AA70/Z70</f>
        <v>6.1124694376528114E-2</v>
      </c>
      <c r="AC70" s="107" t="s">
        <v>6335</v>
      </c>
      <c r="AD70" s="17" t="s">
        <v>1147</v>
      </c>
      <c r="AE70" s="89">
        <v>44475</v>
      </c>
      <c r="AF70" s="88">
        <v>44505</v>
      </c>
      <c r="AG70" s="34">
        <f t="shared" ref="AG70" si="165">AF70-AE70</f>
        <v>30</v>
      </c>
      <c r="AH70" s="63" t="s">
        <v>4396</v>
      </c>
      <c r="AI70" s="131"/>
    </row>
    <row r="71" spans="1:42">
      <c r="A71" s="135" t="s">
        <v>5587</v>
      </c>
      <c r="B71" s="84">
        <v>437</v>
      </c>
      <c r="C71" s="84">
        <v>524</v>
      </c>
      <c r="D71" s="84">
        <v>19</v>
      </c>
      <c r="E71" s="84">
        <v>206</v>
      </c>
      <c r="F71" s="59">
        <v>25.1</v>
      </c>
      <c r="G71" s="84">
        <v>6472</v>
      </c>
      <c r="H71" s="5" t="s">
        <v>560</v>
      </c>
      <c r="I71" s="17" t="s">
        <v>1147</v>
      </c>
      <c r="J71" s="371">
        <v>45.1</v>
      </c>
      <c r="K71" s="371">
        <v>9.9</v>
      </c>
      <c r="L71" s="371">
        <v>9.74</v>
      </c>
      <c r="M71" s="371">
        <v>30.93</v>
      </c>
      <c r="N71" s="365">
        <f t="shared" si="136"/>
        <v>95.669999999999987</v>
      </c>
      <c r="O71" s="343">
        <f t="shared" si="137"/>
        <v>76.03</v>
      </c>
      <c r="P71" s="195">
        <v>2</v>
      </c>
      <c r="Q71" s="326" t="str">
        <f>IFERROR(VLOOKUP($G71,主力整理!$A$2:$G$2301,6,0),"0")</f>
        <v>0</v>
      </c>
      <c r="R71" s="111">
        <v>11</v>
      </c>
      <c r="S71" s="51">
        <v>1</v>
      </c>
      <c r="T71" s="339">
        <f t="shared" si="138"/>
        <v>14</v>
      </c>
      <c r="V71" s="371">
        <v>2.4900000000000002</v>
      </c>
      <c r="W71" s="46">
        <v>4.47</v>
      </c>
      <c r="X71" s="100">
        <v>18.91</v>
      </c>
      <c r="Y71" s="37">
        <v>217</v>
      </c>
      <c r="Z71" s="69">
        <v>233</v>
      </c>
      <c r="AA71" s="16">
        <f>Y71-Z71</f>
        <v>-16</v>
      </c>
      <c r="AB71" s="80">
        <f>AA71/Z71</f>
        <v>-6.8669527896995708E-2</v>
      </c>
      <c r="AC71" s="105" t="s">
        <v>5588</v>
      </c>
      <c r="AD71" s="17" t="s">
        <v>1147</v>
      </c>
      <c r="AE71" s="89">
        <v>44449</v>
      </c>
      <c r="AF71" s="88">
        <v>44505</v>
      </c>
      <c r="AG71" s="34">
        <f>AF71-AE71</f>
        <v>56</v>
      </c>
      <c r="AH71" s="63" t="s">
        <v>4396</v>
      </c>
      <c r="AI71" s="131"/>
    </row>
    <row r="72" spans="1:42">
      <c r="A72" s="151" t="s">
        <v>5337</v>
      </c>
      <c r="B72" s="84">
        <v>144</v>
      </c>
      <c r="C72" s="84">
        <v>137</v>
      </c>
      <c r="D72" s="84">
        <v>9</v>
      </c>
      <c r="E72" s="85">
        <v>-13</v>
      </c>
      <c r="F72" s="7">
        <v>1.76</v>
      </c>
      <c r="G72" s="85">
        <v>3346</v>
      </c>
      <c r="H72" s="5" t="s">
        <v>2863</v>
      </c>
      <c r="I72" s="23" t="s">
        <v>1063</v>
      </c>
      <c r="J72" s="371">
        <v>28.92</v>
      </c>
      <c r="K72" s="371">
        <v>3.06</v>
      </c>
      <c r="L72" s="77">
        <v>25.13</v>
      </c>
      <c r="M72" s="371">
        <v>11.73</v>
      </c>
      <c r="N72" s="365">
        <f t="shared" si="136"/>
        <v>68.84</v>
      </c>
      <c r="O72" s="343">
        <f t="shared" si="137"/>
        <v>40.650000000000006</v>
      </c>
      <c r="P72" s="232"/>
      <c r="Q72" s="326">
        <f>IFERROR(VLOOKUP($G72,主力整理!$A$2:$G$2301,6,0),"0")</f>
        <v>1</v>
      </c>
      <c r="R72" s="111">
        <v>14</v>
      </c>
      <c r="S72" s="51">
        <v>0</v>
      </c>
      <c r="T72" s="339">
        <f t="shared" si="138"/>
        <v>15</v>
      </c>
      <c r="V72" s="371">
        <v>2.17</v>
      </c>
      <c r="W72" s="35">
        <v>0.16</v>
      </c>
      <c r="X72" s="100">
        <v>2</v>
      </c>
      <c r="Y72" s="37">
        <v>44.55</v>
      </c>
      <c r="Z72" s="46">
        <v>41.1</v>
      </c>
      <c r="AA72" s="16">
        <f>Y72-Z72</f>
        <v>3.4499999999999957</v>
      </c>
      <c r="AB72" s="66">
        <f>AA72/Z72</f>
        <v>8.3941605839415956E-2</v>
      </c>
      <c r="AC72" s="107" t="s">
        <v>5548</v>
      </c>
      <c r="AD72" s="23" t="s">
        <v>1063</v>
      </c>
      <c r="AE72" s="89">
        <v>44438</v>
      </c>
      <c r="AF72" s="88">
        <v>44502</v>
      </c>
      <c r="AG72" s="34">
        <f>AF72-AE72</f>
        <v>64</v>
      </c>
      <c r="AH72" s="44" t="s">
        <v>3336</v>
      </c>
      <c r="AI72" s="131"/>
    </row>
    <row r="73" spans="1:42">
      <c r="A73" s="135" t="s">
        <v>2778</v>
      </c>
      <c r="B73" s="84">
        <v>52</v>
      </c>
      <c r="C73" s="84">
        <v>154</v>
      </c>
      <c r="D73" s="84">
        <v>10</v>
      </c>
      <c r="E73" s="84">
        <v>29</v>
      </c>
      <c r="F73" s="59">
        <v>32.119999999999997</v>
      </c>
      <c r="G73" s="84">
        <v>2617</v>
      </c>
      <c r="H73" s="9" t="s">
        <v>551</v>
      </c>
      <c r="I73" s="23" t="s">
        <v>1479</v>
      </c>
      <c r="J73" s="371">
        <v>55.15</v>
      </c>
      <c r="K73" s="371">
        <v>4.8099999999999996</v>
      </c>
      <c r="L73" s="371">
        <v>19.72</v>
      </c>
      <c r="M73" s="77">
        <v>43.72</v>
      </c>
      <c r="N73" s="365">
        <f t="shared" si="136"/>
        <v>123.4</v>
      </c>
      <c r="O73" s="369">
        <f t="shared" si="137"/>
        <v>98.87</v>
      </c>
      <c r="P73" s="232"/>
      <c r="Q73" s="326">
        <f>IFERROR(VLOOKUP($G73,主力整理!$A$2:$G$2301,6,0),"0")</f>
        <v>6</v>
      </c>
      <c r="R73" s="111">
        <v>20</v>
      </c>
      <c r="S73" s="51">
        <v>3</v>
      </c>
      <c r="T73" s="339">
        <f t="shared" si="138"/>
        <v>29</v>
      </c>
      <c r="V73" s="371">
        <v>1.72</v>
      </c>
      <c r="W73" s="35">
        <v>0.9</v>
      </c>
      <c r="X73" s="59">
        <v>1.59</v>
      </c>
      <c r="Y73" s="37">
        <v>38.950000000000003</v>
      </c>
      <c r="Z73" s="69">
        <v>54</v>
      </c>
      <c r="AA73" s="16">
        <f t="shared" ref="AA73" si="166">Y73-Z73</f>
        <v>-15.049999999999997</v>
      </c>
      <c r="AB73" s="80">
        <f t="shared" ref="AB73" si="167">AA73/Z73</f>
        <v>-0.27870370370370368</v>
      </c>
      <c r="AC73" s="107" t="s">
        <v>5531</v>
      </c>
      <c r="AD73" s="23" t="s">
        <v>1479</v>
      </c>
      <c r="AE73" s="89">
        <v>44433</v>
      </c>
      <c r="AF73" s="88">
        <v>44539</v>
      </c>
      <c r="AG73" s="81">
        <f t="shared" ref="AG73" si="168">AF73-AE73</f>
        <v>106</v>
      </c>
      <c r="AH73" s="63" t="s">
        <v>5214</v>
      </c>
      <c r="AI73" s="131"/>
    </row>
    <row r="74" spans="1:42">
      <c r="A74" s="135" t="s">
        <v>2778</v>
      </c>
      <c r="B74" s="84">
        <v>52</v>
      </c>
      <c r="C74" s="84">
        <v>154</v>
      </c>
      <c r="D74" s="84">
        <v>10</v>
      </c>
      <c r="E74" s="84">
        <v>29</v>
      </c>
      <c r="F74" s="59">
        <v>32.119999999999997</v>
      </c>
      <c r="G74" s="84">
        <v>2617</v>
      </c>
      <c r="H74" s="9" t="s">
        <v>5527</v>
      </c>
      <c r="I74" s="23" t="s">
        <v>1479</v>
      </c>
      <c r="J74" s="371">
        <v>55.15</v>
      </c>
      <c r="K74" s="77">
        <v>5.14</v>
      </c>
      <c r="L74" s="77">
        <v>21.52</v>
      </c>
      <c r="M74" s="77">
        <v>43.72</v>
      </c>
      <c r="N74" s="365">
        <f t="shared" si="136"/>
        <v>125.53</v>
      </c>
      <c r="O74" s="369">
        <f t="shared" si="137"/>
        <v>98.87</v>
      </c>
      <c r="P74" s="232"/>
      <c r="Q74" s="326">
        <f>IFERROR(VLOOKUP($G74,主力整理!$A$2:$G$2301,6,0),"0")</f>
        <v>6</v>
      </c>
      <c r="R74" s="111">
        <v>20</v>
      </c>
      <c r="S74" s="51">
        <v>3</v>
      </c>
      <c r="T74" s="339">
        <f t="shared" si="138"/>
        <v>29</v>
      </c>
      <c r="V74" s="371">
        <v>1.72</v>
      </c>
      <c r="W74" s="35">
        <v>0.9</v>
      </c>
      <c r="X74" s="59">
        <v>1.59</v>
      </c>
      <c r="Y74" s="37">
        <v>38.950000000000003</v>
      </c>
      <c r="Z74" s="46">
        <v>53.5</v>
      </c>
      <c r="AA74" s="16">
        <f>Y74-Z74</f>
        <v>-14.549999999999997</v>
      </c>
      <c r="AB74" s="80">
        <f>AA74/Z74</f>
        <v>-0.27196261682242984</v>
      </c>
      <c r="AC74" s="107" t="s">
        <v>5519</v>
      </c>
      <c r="AD74" s="23" t="s">
        <v>1479</v>
      </c>
      <c r="AE74" s="89">
        <v>44432</v>
      </c>
      <c r="AF74" s="88">
        <v>44539</v>
      </c>
      <c r="AG74" s="81">
        <f>AF74-AE74</f>
        <v>107</v>
      </c>
      <c r="AH74" s="63" t="s">
        <v>5214</v>
      </c>
      <c r="AI74" s="131"/>
    </row>
    <row r="75" spans="1:42">
      <c r="A75" s="151" t="s">
        <v>3144</v>
      </c>
      <c r="B75" s="98">
        <v>2687</v>
      </c>
      <c r="C75" s="98">
        <v>9950</v>
      </c>
      <c r="D75" s="84">
        <v>0</v>
      </c>
      <c r="E75" s="84">
        <v>98</v>
      </c>
      <c r="F75" s="7">
        <v>11.06</v>
      </c>
      <c r="G75" s="84">
        <v>2029</v>
      </c>
      <c r="H75" s="5" t="s">
        <v>4989</v>
      </c>
      <c r="I75" s="23" t="s">
        <v>187</v>
      </c>
      <c r="J75" s="371">
        <v>68.56</v>
      </c>
      <c r="K75" s="77">
        <v>69.7</v>
      </c>
      <c r="L75" s="371">
        <v>14.2</v>
      </c>
      <c r="M75" s="77">
        <v>65.78</v>
      </c>
      <c r="N75" s="77">
        <f t="shared" si="136"/>
        <v>218.23999999999998</v>
      </c>
      <c r="O75" s="369">
        <f t="shared" si="137"/>
        <v>134.34</v>
      </c>
      <c r="P75" s="232"/>
      <c r="Q75" s="326">
        <f>IFERROR(VLOOKUP($G75,主力整理!$A$2:$G$2301,6,0),"0")</f>
        <v>3</v>
      </c>
      <c r="R75" s="111">
        <v>10</v>
      </c>
      <c r="S75" s="51">
        <v>3</v>
      </c>
      <c r="T75" s="339">
        <f t="shared" si="138"/>
        <v>16</v>
      </c>
      <c r="V75" s="371">
        <v>2.02</v>
      </c>
      <c r="W75" s="35">
        <v>0.5</v>
      </c>
      <c r="X75" s="59">
        <v>2.77</v>
      </c>
      <c r="Y75" s="14">
        <v>42.85</v>
      </c>
      <c r="Z75" s="69">
        <v>42.45</v>
      </c>
      <c r="AA75" s="16">
        <f>Y75-Z75</f>
        <v>0.39999999999999858</v>
      </c>
      <c r="AB75" s="66">
        <f>AA75/Z75</f>
        <v>9.4228504122496719E-3</v>
      </c>
      <c r="AC75" s="107" t="s">
        <v>5360</v>
      </c>
      <c r="AD75" s="23" t="s">
        <v>187</v>
      </c>
      <c r="AE75" s="89">
        <v>44426</v>
      </c>
      <c r="AF75" s="88">
        <v>44441</v>
      </c>
      <c r="AG75" s="34">
        <f>AF75-AE75</f>
        <v>15</v>
      </c>
      <c r="AH75" s="125" t="s">
        <v>3145</v>
      </c>
      <c r="AI75" s="131"/>
    </row>
    <row r="76" spans="1:42">
      <c r="A76" s="151" t="s">
        <v>2460</v>
      </c>
      <c r="B76" s="99">
        <v>-1015</v>
      </c>
      <c r="C76" s="99">
        <v>-1322</v>
      </c>
      <c r="D76" s="84">
        <v>765</v>
      </c>
      <c r="E76" s="84">
        <v>169</v>
      </c>
      <c r="F76" s="48">
        <v>-4009</v>
      </c>
      <c r="G76" s="85">
        <v>4142</v>
      </c>
      <c r="H76" s="9" t="s">
        <v>560</v>
      </c>
      <c r="I76" s="23" t="s">
        <v>1177</v>
      </c>
      <c r="J76" s="371">
        <v>36.17</v>
      </c>
      <c r="K76" s="371">
        <v>7.04</v>
      </c>
      <c r="L76" s="371">
        <v>20.56</v>
      </c>
      <c r="M76" s="77">
        <v>17.73</v>
      </c>
      <c r="N76" s="365">
        <f t="shared" si="136"/>
        <v>81.5</v>
      </c>
      <c r="O76" s="343">
        <f t="shared" si="137"/>
        <v>53.900000000000006</v>
      </c>
      <c r="P76" s="232"/>
      <c r="Q76" s="326">
        <f>IFERROR(VLOOKUP($G76,主力整理!$A$2:$G$2301,6,0),"0")</f>
        <v>8</v>
      </c>
      <c r="R76" s="111">
        <v>19</v>
      </c>
      <c r="S76" s="51">
        <v>2</v>
      </c>
      <c r="T76" s="339">
        <f t="shared" si="138"/>
        <v>29</v>
      </c>
      <c r="V76" s="156">
        <v>5.04</v>
      </c>
      <c r="W76" s="35">
        <v>0.5</v>
      </c>
      <c r="X76" s="100">
        <v>2.41</v>
      </c>
      <c r="Y76" s="37">
        <v>51.8</v>
      </c>
      <c r="Z76" s="46">
        <v>51.3</v>
      </c>
      <c r="AA76" s="16">
        <f t="shared" ref="AA76" si="169">Y76-Z76</f>
        <v>0.5</v>
      </c>
      <c r="AB76" s="66">
        <f t="shared" ref="AB76" si="170">AA76/Z76</f>
        <v>9.7465886939571162E-3</v>
      </c>
      <c r="AC76" s="107" t="s">
        <v>5118</v>
      </c>
      <c r="AD76" s="23" t="s">
        <v>1177</v>
      </c>
      <c r="AE76" s="89">
        <v>44386</v>
      </c>
      <c r="AF76" s="88">
        <v>44440</v>
      </c>
      <c r="AG76" s="34">
        <f>AF76-AE76</f>
        <v>54</v>
      </c>
      <c r="AH76" s="44" t="s">
        <v>4406</v>
      </c>
    </row>
    <row r="77" spans="1:42">
      <c r="A77" s="135" t="s">
        <v>6443</v>
      </c>
      <c r="B77" s="84">
        <v>16</v>
      </c>
      <c r="C77" s="84">
        <v>27</v>
      </c>
      <c r="D77" s="85">
        <v>-16</v>
      </c>
      <c r="E77" s="84">
        <v>38</v>
      </c>
      <c r="F77" s="59">
        <v>23.43</v>
      </c>
      <c r="G77" s="85">
        <v>3546</v>
      </c>
      <c r="H77" s="5" t="s">
        <v>1664</v>
      </c>
      <c r="I77" s="17" t="s">
        <v>136</v>
      </c>
      <c r="J77" s="371">
        <v>21.32</v>
      </c>
      <c r="K77" s="371">
        <v>12.89</v>
      </c>
      <c r="L77" s="77">
        <v>14.76</v>
      </c>
      <c r="N77" s="365">
        <f t="shared" ref="N77" si="171">K77+J77+L77</f>
        <v>48.97</v>
      </c>
      <c r="P77" s="195">
        <v>9</v>
      </c>
      <c r="Q77" s="326" t="str">
        <f>IFERROR(VLOOKUP($G77,主力整理!$A$2:$G$2301,6,0),"0")</f>
        <v>0</v>
      </c>
      <c r="R77" s="111">
        <v>8</v>
      </c>
      <c r="S77" s="51">
        <v>2</v>
      </c>
      <c r="T77" s="339">
        <f t="shared" ref="T77:T140" si="172">SUM(P77:S77)</f>
        <v>19</v>
      </c>
      <c r="V77" s="371">
        <v>0.17</v>
      </c>
      <c r="W77" s="69">
        <v>5.18</v>
      </c>
      <c r="X77" s="100">
        <v>6.83</v>
      </c>
      <c r="Y77" s="37">
        <v>83</v>
      </c>
      <c r="Z77" s="69">
        <v>81.900000000000006</v>
      </c>
      <c r="AA77" s="16">
        <f t="shared" ref="AA77" si="173">Y77-Z77</f>
        <v>1.0999999999999943</v>
      </c>
      <c r="AB77" s="66">
        <f t="shared" ref="AB77" si="174">AA77/Z77</f>
        <v>1.3431013431013361E-2</v>
      </c>
      <c r="AC77" s="105" t="s">
        <v>6446</v>
      </c>
      <c r="AD77" s="17" t="s">
        <v>136</v>
      </c>
      <c r="AE77" s="89">
        <v>44515</v>
      </c>
      <c r="AF77" s="88">
        <v>44538</v>
      </c>
      <c r="AG77" s="34">
        <f t="shared" ref="AG77" si="175">AF77-AE77</f>
        <v>23</v>
      </c>
      <c r="AH77" s="126" t="s">
        <v>4962</v>
      </c>
      <c r="AI77" s="131"/>
    </row>
    <row r="78" spans="1:42">
      <c r="A78" s="135" t="s">
        <v>2481</v>
      </c>
      <c r="B78" s="85">
        <v>-29</v>
      </c>
      <c r="C78" s="85">
        <v>-27</v>
      </c>
      <c r="D78" s="84">
        <v>0</v>
      </c>
      <c r="E78" s="85">
        <v>-18</v>
      </c>
      <c r="F78" s="59">
        <v>50.63</v>
      </c>
      <c r="G78" s="85">
        <v>3008</v>
      </c>
      <c r="H78" s="19" t="s">
        <v>557</v>
      </c>
      <c r="I78" s="23" t="s">
        <v>7</v>
      </c>
      <c r="J78" s="374">
        <v>43.01</v>
      </c>
      <c r="K78" s="371">
        <v>42.22</v>
      </c>
      <c r="L78" s="77">
        <v>5.81</v>
      </c>
      <c r="N78" s="365">
        <f t="shared" ref="N78" si="176">K78+J78+L78</f>
        <v>91.039999999999992</v>
      </c>
      <c r="P78" s="195">
        <v>28</v>
      </c>
      <c r="Q78" s="326">
        <v>3</v>
      </c>
      <c r="R78" s="111">
        <v>2</v>
      </c>
      <c r="S78" s="51">
        <v>8</v>
      </c>
      <c r="T78" s="339">
        <f t="shared" si="172"/>
        <v>41</v>
      </c>
      <c r="V78" s="371">
        <v>1.08</v>
      </c>
      <c r="W78" s="230">
        <v>31</v>
      </c>
      <c r="X78" s="100">
        <v>152.77000000000001</v>
      </c>
      <c r="Y78" s="67">
        <v>2060</v>
      </c>
      <c r="Z78" s="68">
        <v>2050</v>
      </c>
      <c r="AA78" s="146">
        <f t="shared" ref="AA78" si="177">Y78-Z78</f>
        <v>10</v>
      </c>
      <c r="AB78" s="66">
        <f t="shared" ref="AB78" si="178">AA78/Z78</f>
        <v>4.8780487804878049E-3</v>
      </c>
      <c r="AC78" s="105" t="s">
        <v>6431</v>
      </c>
      <c r="AD78" s="23" t="s">
        <v>7</v>
      </c>
      <c r="AE78" s="89">
        <v>44508</v>
      </c>
      <c r="AF78" s="88">
        <v>44538</v>
      </c>
      <c r="AG78" s="34">
        <f t="shared" ref="AG78" si="179">AF78-AE78</f>
        <v>30</v>
      </c>
      <c r="AH78" s="63" t="s">
        <v>4031</v>
      </c>
      <c r="AI78" s="131"/>
    </row>
    <row r="79" spans="1:42">
      <c r="A79" s="135" t="s">
        <v>2481</v>
      </c>
      <c r="B79" s="85">
        <v>-29</v>
      </c>
      <c r="C79" s="85">
        <v>-25</v>
      </c>
      <c r="D79" s="84">
        <v>3</v>
      </c>
      <c r="E79" s="85">
        <v>-18</v>
      </c>
      <c r="F79" s="59">
        <v>51.97</v>
      </c>
      <c r="G79" s="85">
        <v>3008</v>
      </c>
      <c r="H79" s="19" t="s">
        <v>557</v>
      </c>
      <c r="I79" s="23" t="s">
        <v>7</v>
      </c>
      <c r="J79" s="374">
        <v>43.94</v>
      </c>
      <c r="K79" s="77">
        <v>43.54</v>
      </c>
      <c r="L79" s="371">
        <v>4.63</v>
      </c>
      <c r="N79" s="365">
        <f t="shared" ref="N79" si="180">K79+J79+L79</f>
        <v>92.109999999999985</v>
      </c>
      <c r="P79" s="195">
        <v>27</v>
      </c>
      <c r="Q79" s="326">
        <v>3</v>
      </c>
      <c r="R79" s="111">
        <v>2</v>
      </c>
      <c r="S79" s="51">
        <v>8</v>
      </c>
      <c r="T79" s="339">
        <f t="shared" si="172"/>
        <v>40</v>
      </c>
      <c r="V79" s="371">
        <v>1.61</v>
      </c>
      <c r="W79" s="230">
        <v>91.5</v>
      </c>
      <c r="X79" s="100">
        <v>157.30000000000001</v>
      </c>
      <c r="Y79" s="67">
        <v>2060</v>
      </c>
      <c r="Z79" s="68">
        <v>2160</v>
      </c>
      <c r="AA79" s="146">
        <f t="shared" ref="AA79" si="181">Y79-Z79</f>
        <v>-100</v>
      </c>
      <c r="AB79" s="80">
        <f t="shared" ref="AB79" si="182">AA79/Z79</f>
        <v>-4.6296296296296294E-2</v>
      </c>
      <c r="AC79" s="105" t="s">
        <v>6398</v>
      </c>
      <c r="AD79" s="23" t="s">
        <v>7</v>
      </c>
      <c r="AE79" s="89">
        <v>44495</v>
      </c>
      <c r="AF79" s="88">
        <v>44538</v>
      </c>
      <c r="AG79" s="34">
        <f t="shared" ref="AG79" si="183">AF79-AE79</f>
        <v>43</v>
      </c>
      <c r="AH79" s="63" t="s">
        <v>4031</v>
      </c>
      <c r="AI79" s="131"/>
    </row>
    <row r="80" spans="1:42">
      <c r="A80" s="135" t="s">
        <v>2658</v>
      </c>
      <c r="B80" s="84">
        <v>914</v>
      </c>
      <c r="C80" s="84">
        <v>873</v>
      </c>
      <c r="D80" s="84">
        <v>2</v>
      </c>
      <c r="E80" s="84">
        <v>66</v>
      </c>
      <c r="F80" s="59">
        <v>14.87</v>
      </c>
      <c r="G80" s="85">
        <v>2014</v>
      </c>
      <c r="H80" s="5" t="s">
        <v>548</v>
      </c>
      <c r="I80" s="23" t="s">
        <v>1436</v>
      </c>
      <c r="J80" s="371">
        <v>54.7</v>
      </c>
      <c r="K80" s="77">
        <v>7.87</v>
      </c>
      <c r="L80" s="371">
        <v>16.16</v>
      </c>
      <c r="N80" s="365">
        <f>K80+J80+L80</f>
        <v>78.73</v>
      </c>
      <c r="P80" s="195">
        <v>27</v>
      </c>
      <c r="Q80" s="326">
        <v>7</v>
      </c>
      <c r="R80" s="111">
        <v>18</v>
      </c>
      <c r="S80" s="51">
        <v>5</v>
      </c>
      <c r="T80" s="339">
        <f t="shared" si="172"/>
        <v>57</v>
      </c>
      <c r="V80" s="371">
        <v>11.12</v>
      </c>
      <c r="W80" s="73">
        <v>0.3</v>
      </c>
      <c r="X80" s="59">
        <v>3.48</v>
      </c>
      <c r="Y80" s="37">
        <v>39.15</v>
      </c>
      <c r="Z80" s="69">
        <v>41.75</v>
      </c>
      <c r="AA80" s="16">
        <f>Y80-Z80</f>
        <v>-2.6000000000000014</v>
      </c>
      <c r="AB80" s="80">
        <f>AA80/Z80</f>
        <v>-6.2275449101796443E-2</v>
      </c>
      <c r="AC80" s="107" t="s">
        <v>6277</v>
      </c>
      <c r="AD80" s="23" t="s">
        <v>1436</v>
      </c>
      <c r="AE80" s="89">
        <v>44463</v>
      </c>
      <c r="AF80" s="88">
        <v>44538</v>
      </c>
      <c r="AG80" s="34">
        <f>AF80-AE80</f>
        <v>75</v>
      </c>
      <c r="AH80" s="63" t="s">
        <v>2659</v>
      </c>
      <c r="AI80" s="284"/>
    </row>
    <row r="81" spans="1:35">
      <c r="A81" s="135" t="s">
        <v>2658</v>
      </c>
      <c r="B81" s="84">
        <v>914</v>
      </c>
      <c r="C81" s="84">
        <v>873</v>
      </c>
      <c r="D81" s="84">
        <v>2</v>
      </c>
      <c r="E81" s="84">
        <v>66</v>
      </c>
      <c r="F81" s="59">
        <v>14.87</v>
      </c>
      <c r="G81" s="84">
        <v>2014</v>
      </c>
      <c r="H81" s="9" t="s">
        <v>4989</v>
      </c>
      <c r="I81" s="23" t="s">
        <v>1436</v>
      </c>
      <c r="J81" s="371">
        <v>55.1</v>
      </c>
      <c r="K81" s="371">
        <v>7.89</v>
      </c>
      <c r="L81" s="77">
        <v>16.38</v>
      </c>
      <c r="N81" s="365">
        <f t="shared" ref="N81" si="184">K81+J81+L81</f>
        <v>79.37</v>
      </c>
      <c r="P81" s="195">
        <v>27</v>
      </c>
      <c r="Q81" s="326">
        <f>IFERROR(VLOOKUP($G81,主力整理!$A$2:$G$2301,6,0),"0")</f>
        <v>6</v>
      </c>
      <c r="R81" s="111">
        <v>18</v>
      </c>
      <c r="S81" s="51">
        <v>5</v>
      </c>
      <c r="T81" s="339">
        <f t="shared" si="172"/>
        <v>56</v>
      </c>
      <c r="V81" s="371">
        <v>4.2</v>
      </c>
      <c r="W81" s="35">
        <v>0.3</v>
      </c>
      <c r="X81" s="59">
        <v>3.48</v>
      </c>
      <c r="Y81" s="37">
        <v>39.15</v>
      </c>
      <c r="Z81" s="69">
        <v>43.7</v>
      </c>
      <c r="AA81" s="16">
        <f t="shared" ref="AA81" si="185">Y81-Z81</f>
        <v>-4.5500000000000043</v>
      </c>
      <c r="AB81" s="80">
        <f t="shared" ref="AB81" si="186">AA81/Z81</f>
        <v>-0.10411899313501154</v>
      </c>
      <c r="AC81" s="107" t="s">
        <v>5582</v>
      </c>
      <c r="AD81" s="23" t="s">
        <v>1436</v>
      </c>
      <c r="AE81" s="89">
        <v>44447</v>
      </c>
      <c r="AF81" s="88">
        <v>44538</v>
      </c>
      <c r="AG81" s="34">
        <f t="shared" ref="AG81" si="187">AF81-AE81</f>
        <v>91</v>
      </c>
      <c r="AH81" s="63" t="s">
        <v>2659</v>
      </c>
      <c r="AI81" s="131"/>
    </row>
    <row r="82" spans="1:35">
      <c r="A82" s="135" t="s">
        <v>2658</v>
      </c>
      <c r="B82" s="84">
        <v>914</v>
      </c>
      <c r="C82" s="84">
        <v>873</v>
      </c>
      <c r="D82" s="84">
        <v>7</v>
      </c>
      <c r="E82" s="84">
        <v>99</v>
      </c>
      <c r="F82" s="59">
        <v>14.87</v>
      </c>
      <c r="G82" s="84">
        <v>2014</v>
      </c>
      <c r="H82" s="5" t="s">
        <v>4989</v>
      </c>
      <c r="I82" s="23" t="s">
        <v>1436</v>
      </c>
      <c r="J82" s="77">
        <v>56.25</v>
      </c>
      <c r="K82" s="371">
        <v>7.79</v>
      </c>
      <c r="L82" s="371">
        <v>15.36</v>
      </c>
      <c r="N82" s="365">
        <f>K82+J82+L82</f>
        <v>79.400000000000006</v>
      </c>
      <c r="P82" s="232"/>
      <c r="Q82" s="326">
        <f>IFERROR(VLOOKUP($G82,主力整理!$A$2:$G$2301,6,0),"0")</f>
        <v>6</v>
      </c>
      <c r="R82" s="111">
        <v>18</v>
      </c>
      <c r="S82" s="51">
        <v>4</v>
      </c>
      <c r="T82" s="339">
        <f t="shared" si="172"/>
        <v>28</v>
      </c>
      <c r="V82" s="371">
        <v>2.64</v>
      </c>
      <c r="W82" s="35">
        <v>0.3</v>
      </c>
      <c r="X82" s="59">
        <v>3.48</v>
      </c>
      <c r="Y82" s="37">
        <v>39.15</v>
      </c>
      <c r="Z82" s="69">
        <v>43.4</v>
      </c>
      <c r="AA82" s="16">
        <f>Y82-Z82</f>
        <v>-4.25</v>
      </c>
      <c r="AB82" s="80">
        <f>AA82/Z82</f>
        <v>-9.7926267281105997E-2</v>
      </c>
      <c r="AC82" s="107" t="s">
        <v>5360</v>
      </c>
      <c r="AD82" s="23" t="s">
        <v>1436</v>
      </c>
      <c r="AE82" s="89">
        <v>44428</v>
      </c>
      <c r="AF82" s="88">
        <v>44538</v>
      </c>
      <c r="AG82" s="81">
        <f>AF82-AE82</f>
        <v>110</v>
      </c>
      <c r="AH82" s="63" t="s">
        <v>2659</v>
      </c>
      <c r="AI82" s="284"/>
    </row>
    <row r="83" spans="1:35">
      <c r="A83" s="135" t="s">
        <v>2601</v>
      </c>
      <c r="B83" s="84">
        <v>197</v>
      </c>
      <c r="C83" s="84">
        <v>226</v>
      </c>
      <c r="D83" s="84">
        <v>6</v>
      </c>
      <c r="E83" s="84">
        <v>50</v>
      </c>
      <c r="F83" s="59">
        <v>16.78</v>
      </c>
      <c r="G83" s="85">
        <v>1305</v>
      </c>
      <c r="H83" s="5" t="s">
        <v>542</v>
      </c>
      <c r="I83" s="23" t="s">
        <v>1080</v>
      </c>
      <c r="J83" s="371">
        <v>49.9</v>
      </c>
      <c r="K83" s="371">
        <v>12.08</v>
      </c>
      <c r="L83" s="77">
        <v>12.39</v>
      </c>
      <c r="N83" s="365">
        <f t="shared" ref="N83" si="188">K83+J83+L83</f>
        <v>74.37</v>
      </c>
      <c r="P83" s="195">
        <v>35</v>
      </c>
      <c r="Q83" s="326">
        <v>18</v>
      </c>
      <c r="R83" s="111">
        <v>5</v>
      </c>
      <c r="S83" s="51">
        <v>9</v>
      </c>
      <c r="T83" s="339">
        <f t="shared" si="172"/>
        <v>67</v>
      </c>
      <c r="V83" s="371">
        <v>0.73</v>
      </c>
      <c r="W83" s="35">
        <v>2.2999999999999998</v>
      </c>
      <c r="X83" s="59">
        <v>5.09</v>
      </c>
      <c r="Y83" s="37">
        <v>35.1</v>
      </c>
      <c r="Z83" s="69">
        <v>34.15</v>
      </c>
      <c r="AA83" s="16">
        <f t="shared" ref="AA83" si="189">Y83-Z83</f>
        <v>0.95000000000000284</v>
      </c>
      <c r="AB83" s="66">
        <f t="shared" ref="AB83" si="190">AA83/Z83</f>
        <v>2.7818448023426146E-2</v>
      </c>
      <c r="AC83" s="107" t="s">
        <v>6508</v>
      </c>
      <c r="AD83" s="23" t="s">
        <v>1080</v>
      </c>
      <c r="AE83" s="89">
        <v>44529</v>
      </c>
      <c r="AF83" s="88">
        <v>44537</v>
      </c>
      <c r="AG83" s="34">
        <f t="shared" ref="AG83" si="191">AF83-AE83</f>
        <v>8</v>
      </c>
      <c r="AH83" s="63" t="s">
        <v>6493</v>
      </c>
      <c r="AI83" s="131"/>
    </row>
    <row r="84" spans="1:35">
      <c r="A84" s="135" t="s">
        <v>4677</v>
      </c>
      <c r="B84" s="85">
        <v>-6</v>
      </c>
      <c r="C84" s="85">
        <v>-11</v>
      </c>
      <c r="D84" s="85">
        <v>-4</v>
      </c>
      <c r="E84" s="85">
        <v>-31</v>
      </c>
      <c r="F84" s="59">
        <v>22.93</v>
      </c>
      <c r="G84" s="84">
        <v>5215</v>
      </c>
      <c r="H84" s="212" t="s">
        <v>1815</v>
      </c>
      <c r="I84" s="23" t="s">
        <v>891</v>
      </c>
      <c r="J84" s="371">
        <v>48.16</v>
      </c>
      <c r="K84" s="77">
        <v>25.08</v>
      </c>
      <c r="L84" s="77">
        <v>13.77</v>
      </c>
      <c r="N84" s="365">
        <f t="shared" ref="N84" si="192">K84+J84+L84</f>
        <v>87.009999999999991</v>
      </c>
      <c r="P84" s="195">
        <v>12</v>
      </c>
      <c r="Q84" s="326" t="str">
        <f>IFERROR(VLOOKUP($G84,主力整理!$A$2:$G$2301,6,0),"0")</f>
        <v>0</v>
      </c>
      <c r="R84" s="111">
        <v>2</v>
      </c>
      <c r="S84" s="51">
        <v>0</v>
      </c>
      <c r="T84" s="339">
        <f t="shared" si="172"/>
        <v>14</v>
      </c>
      <c r="U84" s="329" t="s">
        <v>6540</v>
      </c>
      <c r="V84" s="371">
        <v>3.79</v>
      </c>
      <c r="W84" s="69">
        <v>8</v>
      </c>
      <c r="X84" s="100">
        <v>11.64</v>
      </c>
      <c r="Y84" s="37">
        <v>89.1</v>
      </c>
      <c r="Z84" s="69">
        <v>86.2</v>
      </c>
      <c r="AA84" s="16">
        <f t="shared" ref="AA84" si="193">Y84-Z84</f>
        <v>2.8999999999999915</v>
      </c>
      <c r="AB84" s="66">
        <f t="shared" ref="AB84" si="194">AA84/Z84</f>
        <v>3.3642691415313127E-2</v>
      </c>
      <c r="AC84" s="105" t="s">
        <v>6536</v>
      </c>
      <c r="AD84" s="23" t="s">
        <v>891</v>
      </c>
      <c r="AE84" s="89">
        <v>44533</v>
      </c>
      <c r="AF84" s="88">
        <v>44536</v>
      </c>
      <c r="AG84" s="34">
        <f t="shared" ref="AG84" si="195">AF84-AE84</f>
        <v>3</v>
      </c>
      <c r="AH84" s="63" t="s">
        <v>3650</v>
      </c>
      <c r="AI84" s="284"/>
    </row>
    <row r="85" spans="1:35">
      <c r="A85" s="151" t="s">
        <v>2464</v>
      </c>
      <c r="B85" s="84">
        <v>87</v>
      </c>
      <c r="C85" s="84">
        <v>109</v>
      </c>
      <c r="D85" s="85">
        <v>-19</v>
      </c>
      <c r="E85" s="84">
        <v>13</v>
      </c>
      <c r="F85" s="7">
        <v>9.5</v>
      </c>
      <c r="G85" s="84">
        <v>2357</v>
      </c>
      <c r="H85" s="212" t="s">
        <v>1815</v>
      </c>
      <c r="I85" s="23" t="s">
        <v>379</v>
      </c>
      <c r="J85" s="371">
        <v>59.43</v>
      </c>
      <c r="K85" s="371">
        <v>59.32</v>
      </c>
      <c r="L85" s="77">
        <v>1.69</v>
      </c>
      <c r="N85" s="365">
        <f t="shared" ref="N85" si="196">K85+J85+L85</f>
        <v>120.44</v>
      </c>
      <c r="P85" s="195">
        <v>28</v>
      </c>
      <c r="Q85" s="326">
        <v>12</v>
      </c>
      <c r="R85" s="111">
        <v>1</v>
      </c>
      <c r="S85" s="51">
        <v>11</v>
      </c>
      <c r="T85" s="339">
        <f t="shared" si="172"/>
        <v>52</v>
      </c>
      <c r="V85" s="371">
        <v>1.88</v>
      </c>
      <c r="W85" s="69">
        <v>26</v>
      </c>
      <c r="X85" s="59">
        <v>57</v>
      </c>
      <c r="Y85" s="14">
        <v>365.5</v>
      </c>
      <c r="Z85" s="69">
        <v>354.5</v>
      </c>
      <c r="AA85" s="16">
        <f t="shared" ref="AA85" si="197">Y85-Z85</f>
        <v>11</v>
      </c>
      <c r="AB85" s="66">
        <f t="shared" ref="AB85" si="198">AA85/Z85</f>
        <v>3.1029619181946404E-2</v>
      </c>
      <c r="AC85" s="105" t="s">
        <v>6444</v>
      </c>
      <c r="AD85" s="23" t="s">
        <v>379</v>
      </c>
      <c r="AE85" s="89">
        <v>44516</v>
      </c>
      <c r="AF85" s="88">
        <v>44533</v>
      </c>
      <c r="AG85" s="34">
        <f t="shared" ref="AG85" si="199">AF85-AE85</f>
        <v>17</v>
      </c>
      <c r="AH85" s="125" t="s">
        <v>3865</v>
      </c>
      <c r="AI85" s="131"/>
    </row>
    <row r="86" spans="1:35">
      <c r="A86" s="151" t="s">
        <v>2464</v>
      </c>
      <c r="B86" s="84">
        <v>87</v>
      </c>
      <c r="C86" s="84">
        <v>109</v>
      </c>
      <c r="D86" s="85">
        <v>-19</v>
      </c>
      <c r="E86" s="84">
        <v>13</v>
      </c>
      <c r="F86" s="7">
        <v>9.5</v>
      </c>
      <c r="G86" s="84">
        <v>2357</v>
      </c>
      <c r="H86" s="212" t="s">
        <v>1815</v>
      </c>
      <c r="I86" s="23" t="s">
        <v>379</v>
      </c>
      <c r="J86" s="371">
        <v>59.43</v>
      </c>
      <c r="K86" s="371">
        <v>59.44</v>
      </c>
      <c r="L86" s="77">
        <v>1.66</v>
      </c>
      <c r="N86" s="365">
        <f>K86+J86+L86</f>
        <v>120.53</v>
      </c>
      <c r="P86" s="195">
        <v>27</v>
      </c>
      <c r="Q86" s="326">
        <v>12</v>
      </c>
      <c r="R86" s="111">
        <v>1</v>
      </c>
      <c r="S86" s="51">
        <v>11</v>
      </c>
      <c r="T86" s="339">
        <f t="shared" si="172"/>
        <v>51</v>
      </c>
      <c r="V86" s="371">
        <v>2.02</v>
      </c>
      <c r="W86" s="69">
        <v>26</v>
      </c>
      <c r="X86" s="59">
        <v>57</v>
      </c>
      <c r="Y86" s="14">
        <v>365.5</v>
      </c>
      <c r="Z86" s="69">
        <v>359</v>
      </c>
      <c r="AA86" s="16">
        <f>Y86-Z86</f>
        <v>6.5</v>
      </c>
      <c r="AB86" s="66">
        <f>AA86/Z86</f>
        <v>1.8105849582172703E-2</v>
      </c>
      <c r="AC86" s="105" t="s">
        <v>6444</v>
      </c>
      <c r="AD86" s="23" t="s">
        <v>379</v>
      </c>
      <c r="AE86" s="89">
        <v>44515</v>
      </c>
      <c r="AF86" s="88">
        <v>44533</v>
      </c>
      <c r="AG86" s="34">
        <f>AF86-AE86</f>
        <v>18</v>
      </c>
      <c r="AH86" s="125" t="s">
        <v>3865</v>
      </c>
      <c r="AI86" s="131"/>
    </row>
    <row r="87" spans="1:35">
      <c r="A87" s="135" t="s">
        <v>5576</v>
      </c>
      <c r="B87" s="98">
        <v>1798</v>
      </c>
      <c r="C87" s="98">
        <v>1685</v>
      </c>
      <c r="D87" s="84">
        <v>21</v>
      </c>
      <c r="E87" s="84">
        <v>278</v>
      </c>
      <c r="F87" s="59">
        <v>46.67</v>
      </c>
      <c r="G87" s="85">
        <v>2615</v>
      </c>
      <c r="H87" s="5" t="s">
        <v>551</v>
      </c>
      <c r="I87" s="23" t="s">
        <v>256</v>
      </c>
      <c r="J87" s="77">
        <v>84.27</v>
      </c>
      <c r="K87" s="371">
        <v>43.45</v>
      </c>
      <c r="L87" s="77">
        <v>8.17</v>
      </c>
      <c r="N87" s="365">
        <f>K87+J87+L87</f>
        <v>135.88999999999999</v>
      </c>
      <c r="P87" s="195">
        <v>62</v>
      </c>
      <c r="Q87" s="326">
        <v>5</v>
      </c>
      <c r="R87" s="111">
        <v>35</v>
      </c>
      <c r="S87" s="51">
        <v>20</v>
      </c>
      <c r="T87" s="339">
        <f t="shared" si="172"/>
        <v>122</v>
      </c>
      <c r="V87" s="371">
        <v>27.94</v>
      </c>
      <c r="W87" s="35">
        <v>2</v>
      </c>
      <c r="X87" s="59">
        <v>19.5</v>
      </c>
      <c r="Y87" s="14">
        <v>164.5</v>
      </c>
      <c r="Z87" s="69">
        <v>183.5</v>
      </c>
      <c r="AA87" s="16">
        <f>Y87-Z87</f>
        <v>-19</v>
      </c>
      <c r="AB87" s="80">
        <f>AA87/Z87</f>
        <v>-0.10354223433242507</v>
      </c>
      <c r="AC87" s="107" t="s">
        <v>6313</v>
      </c>
      <c r="AD87" s="23" t="s">
        <v>256</v>
      </c>
      <c r="AE87" s="89">
        <v>44470</v>
      </c>
      <c r="AF87" s="88">
        <v>44533</v>
      </c>
      <c r="AG87" s="34">
        <f>AF87-AE87</f>
        <v>63</v>
      </c>
      <c r="AH87" s="126" t="s">
        <v>3283</v>
      </c>
      <c r="AI87" s="131"/>
    </row>
    <row r="88" spans="1:35">
      <c r="A88" s="135" t="s">
        <v>5576</v>
      </c>
      <c r="B88" s="98">
        <v>1798</v>
      </c>
      <c r="C88" s="98">
        <v>1685</v>
      </c>
      <c r="D88" s="84">
        <v>21</v>
      </c>
      <c r="E88" s="84">
        <v>278</v>
      </c>
      <c r="F88" s="59">
        <v>46.67</v>
      </c>
      <c r="G88" s="85">
        <v>2615</v>
      </c>
      <c r="H88" s="5" t="s">
        <v>551</v>
      </c>
      <c r="I88" s="23" t="s">
        <v>256</v>
      </c>
      <c r="J88" s="371">
        <v>83.97</v>
      </c>
      <c r="K88" s="77">
        <v>43.67</v>
      </c>
      <c r="L88" s="371">
        <v>7.86</v>
      </c>
      <c r="N88" s="365">
        <f t="shared" ref="N88:N90" si="200">K88+J88+L88</f>
        <v>135.5</v>
      </c>
      <c r="P88" s="195">
        <v>60</v>
      </c>
      <c r="Q88" s="326">
        <f>IFERROR(VLOOKUP($G88,主力整理!$A$2:$G$2301,6,0),"0")</f>
        <v>4</v>
      </c>
      <c r="R88" s="111">
        <v>35</v>
      </c>
      <c r="S88" s="51">
        <v>20</v>
      </c>
      <c r="T88" s="339">
        <f t="shared" si="172"/>
        <v>119</v>
      </c>
      <c r="V88" s="371">
        <v>25.87</v>
      </c>
      <c r="W88" s="73">
        <v>2</v>
      </c>
      <c r="X88" s="59">
        <v>19.5</v>
      </c>
      <c r="Y88" s="14">
        <v>164.5</v>
      </c>
      <c r="Z88" s="69">
        <v>203</v>
      </c>
      <c r="AA88" s="16">
        <f t="shared" ref="AA88:AA90" si="201">Y88-Z88</f>
        <v>-38.5</v>
      </c>
      <c r="AB88" s="80">
        <f t="shared" ref="AB88:AB90" si="202">AA88/Z88</f>
        <v>-0.18965517241379309</v>
      </c>
      <c r="AC88" s="107" t="s">
        <v>5617</v>
      </c>
      <c r="AD88" s="23" t="s">
        <v>256</v>
      </c>
      <c r="AE88" s="89">
        <v>44461</v>
      </c>
      <c r="AF88" s="88">
        <v>44533</v>
      </c>
      <c r="AG88" s="34">
        <f t="shared" ref="AG88:AG90" si="203">AF88-AE88</f>
        <v>72</v>
      </c>
      <c r="AH88" s="126" t="s">
        <v>3283</v>
      </c>
      <c r="AI88" s="131"/>
    </row>
    <row r="89" spans="1:35">
      <c r="A89" s="135" t="s">
        <v>5576</v>
      </c>
      <c r="B89" s="98">
        <v>1798</v>
      </c>
      <c r="C89" s="98">
        <v>1685</v>
      </c>
      <c r="D89" s="84">
        <v>21</v>
      </c>
      <c r="E89" s="84">
        <v>278</v>
      </c>
      <c r="F89" s="59">
        <v>46.67</v>
      </c>
      <c r="G89" s="84">
        <v>2615</v>
      </c>
      <c r="H89" s="5" t="s">
        <v>551</v>
      </c>
      <c r="I89" s="23" t="s">
        <v>256</v>
      </c>
      <c r="J89" s="371">
        <v>84.37</v>
      </c>
      <c r="K89" s="371">
        <v>43.16</v>
      </c>
      <c r="L89" s="77">
        <v>8.08</v>
      </c>
      <c r="N89" s="365">
        <f t="shared" si="200"/>
        <v>135.61000000000001</v>
      </c>
      <c r="P89" s="195">
        <v>60</v>
      </c>
      <c r="Q89" s="326">
        <f>IFERROR(VLOOKUP($G89,主力整理!$A$2:$G$2301,6,0),"0")</f>
        <v>4</v>
      </c>
      <c r="R89" s="111">
        <v>35</v>
      </c>
      <c r="S89" s="51">
        <v>20</v>
      </c>
      <c r="T89" s="339">
        <f t="shared" si="172"/>
        <v>119</v>
      </c>
      <c r="V89" s="371">
        <v>25.72</v>
      </c>
      <c r="W89" s="73">
        <v>2</v>
      </c>
      <c r="X89" s="59">
        <v>19.5</v>
      </c>
      <c r="Y89" s="14">
        <v>164.5</v>
      </c>
      <c r="Z89" s="69">
        <v>205</v>
      </c>
      <c r="AA89" s="16">
        <f t="shared" si="201"/>
        <v>-40.5</v>
      </c>
      <c r="AB89" s="80">
        <f t="shared" si="202"/>
        <v>-0.19756097560975611</v>
      </c>
      <c r="AC89" s="107" t="s">
        <v>5617</v>
      </c>
      <c r="AD89" s="23" t="s">
        <v>256</v>
      </c>
      <c r="AE89" s="89">
        <v>44454</v>
      </c>
      <c r="AF89" s="88">
        <v>44533</v>
      </c>
      <c r="AG89" s="34">
        <f t="shared" si="203"/>
        <v>79</v>
      </c>
      <c r="AH89" s="126" t="s">
        <v>3283</v>
      </c>
      <c r="AI89" s="131"/>
    </row>
    <row r="90" spans="1:35">
      <c r="A90" s="135" t="s">
        <v>5576</v>
      </c>
      <c r="B90" s="98">
        <v>1798</v>
      </c>
      <c r="C90" s="98">
        <v>1685</v>
      </c>
      <c r="D90" s="84">
        <v>21</v>
      </c>
      <c r="E90" s="84">
        <v>278</v>
      </c>
      <c r="F90" s="59">
        <v>46.67</v>
      </c>
      <c r="G90" s="84">
        <v>2615</v>
      </c>
      <c r="H90" s="5" t="s">
        <v>551</v>
      </c>
      <c r="I90" s="23" t="s">
        <v>256</v>
      </c>
      <c r="J90" s="371">
        <v>84.37</v>
      </c>
      <c r="K90" s="371">
        <v>43.33</v>
      </c>
      <c r="L90" s="371">
        <v>8.01</v>
      </c>
      <c r="N90" s="365">
        <f t="shared" si="200"/>
        <v>135.71</v>
      </c>
      <c r="P90" s="195">
        <v>59</v>
      </c>
      <c r="Q90" s="326">
        <f>IFERROR(VLOOKUP($G90,主力整理!$A$2:$G$2301,6,0),"0")</f>
        <v>4</v>
      </c>
      <c r="R90" s="111">
        <v>35</v>
      </c>
      <c r="S90" s="51">
        <v>20</v>
      </c>
      <c r="T90" s="339">
        <f t="shared" si="172"/>
        <v>118</v>
      </c>
      <c r="V90" s="371">
        <v>26.66</v>
      </c>
      <c r="W90" s="73">
        <v>2</v>
      </c>
      <c r="X90" s="59">
        <v>19.5</v>
      </c>
      <c r="Y90" s="14">
        <v>164.5</v>
      </c>
      <c r="Z90" s="69">
        <v>201.5</v>
      </c>
      <c r="AA90" s="16">
        <f t="shared" si="201"/>
        <v>-37</v>
      </c>
      <c r="AB90" s="80">
        <f t="shared" si="202"/>
        <v>-0.18362282878411912</v>
      </c>
      <c r="AC90" s="107" t="s">
        <v>5608</v>
      </c>
      <c r="AD90" s="23" t="s">
        <v>256</v>
      </c>
      <c r="AE90" s="89">
        <v>44453</v>
      </c>
      <c r="AF90" s="88">
        <v>44533</v>
      </c>
      <c r="AG90" s="34">
        <f t="shared" si="203"/>
        <v>80</v>
      </c>
      <c r="AH90" s="126" t="s">
        <v>3283</v>
      </c>
      <c r="AI90" s="131"/>
    </row>
    <row r="91" spans="1:35">
      <c r="A91" s="135" t="s">
        <v>5576</v>
      </c>
      <c r="B91" s="98">
        <v>1798</v>
      </c>
      <c r="C91" s="98">
        <v>1685</v>
      </c>
      <c r="D91" s="84">
        <v>13</v>
      </c>
      <c r="E91" s="84">
        <v>234</v>
      </c>
      <c r="F91" s="59">
        <v>46.67</v>
      </c>
      <c r="G91" s="84">
        <v>2615</v>
      </c>
      <c r="H91" s="5" t="s">
        <v>551</v>
      </c>
      <c r="I91" s="23" t="s">
        <v>256</v>
      </c>
      <c r="J91" s="371">
        <v>85.26</v>
      </c>
      <c r="K91" s="77">
        <v>43.49</v>
      </c>
      <c r="L91" s="371">
        <v>7.2</v>
      </c>
      <c r="N91" s="365">
        <f t="shared" ref="N91" si="204">K91+J91+L91</f>
        <v>135.94999999999999</v>
      </c>
      <c r="P91" s="195">
        <v>58</v>
      </c>
      <c r="Q91" s="326">
        <f>IFERROR(VLOOKUP($G91,主力整理!$A$2:$G$2301,6,0),"0")</f>
        <v>4</v>
      </c>
      <c r="R91" s="111">
        <v>34</v>
      </c>
      <c r="S91" s="51">
        <v>20</v>
      </c>
      <c r="T91" s="339">
        <f t="shared" si="172"/>
        <v>116</v>
      </c>
      <c r="V91" s="371">
        <v>21.9</v>
      </c>
      <c r="W91" s="73">
        <v>2</v>
      </c>
      <c r="X91" s="59">
        <v>19.5</v>
      </c>
      <c r="Y91" s="14">
        <v>164.5</v>
      </c>
      <c r="Z91" s="69">
        <v>213</v>
      </c>
      <c r="AA91" s="16">
        <f t="shared" ref="AA91" si="205">Y91-Z91</f>
        <v>-48.5</v>
      </c>
      <c r="AB91" s="80">
        <f t="shared" ref="AB91" si="206">AA91/Z91</f>
        <v>-0.22769953051643194</v>
      </c>
      <c r="AC91" s="107" t="s">
        <v>5578</v>
      </c>
      <c r="AD91" s="23" t="s">
        <v>256</v>
      </c>
      <c r="AE91" s="89">
        <v>44447</v>
      </c>
      <c r="AF91" s="88">
        <v>44533</v>
      </c>
      <c r="AG91" s="34">
        <f t="shared" ref="AG91" si="207">AF91-AE91</f>
        <v>86</v>
      </c>
      <c r="AH91" s="126" t="s">
        <v>3283</v>
      </c>
      <c r="AI91" s="131"/>
    </row>
    <row r="92" spans="1:35">
      <c r="A92" s="135" t="s">
        <v>2871</v>
      </c>
      <c r="B92" s="98">
        <v>1798</v>
      </c>
      <c r="C92" s="98">
        <v>1685</v>
      </c>
      <c r="D92" s="84">
        <v>13</v>
      </c>
      <c r="E92" s="84">
        <v>234</v>
      </c>
      <c r="F92" s="59">
        <v>46.67</v>
      </c>
      <c r="G92" s="84">
        <v>2615</v>
      </c>
      <c r="H92" s="5" t="s">
        <v>551</v>
      </c>
      <c r="I92" s="23" t="s">
        <v>256</v>
      </c>
      <c r="J92" s="371">
        <v>85.26</v>
      </c>
      <c r="K92" s="371">
        <v>43.3</v>
      </c>
      <c r="L92" s="371">
        <v>7.52</v>
      </c>
      <c r="N92" s="365">
        <f>K92+J92+L92</f>
        <v>136.08000000000001</v>
      </c>
      <c r="P92" s="195">
        <v>57</v>
      </c>
      <c r="Q92" s="326">
        <f>IFERROR(VLOOKUP($G92,主力整理!$A$2:$G$2301,6,0),"0")</f>
        <v>4</v>
      </c>
      <c r="R92" s="111">
        <v>34</v>
      </c>
      <c r="S92" s="51">
        <v>20</v>
      </c>
      <c r="T92" s="339">
        <f t="shared" si="172"/>
        <v>115</v>
      </c>
      <c r="V92" s="371">
        <v>0</v>
      </c>
      <c r="W92" s="35">
        <v>2</v>
      </c>
      <c r="X92" s="59">
        <v>19.5</v>
      </c>
      <c r="Y92" s="14">
        <v>164.5</v>
      </c>
      <c r="Z92" s="69">
        <v>211</v>
      </c>
      <c r="AA92" s="16">
        <f>Y92-Z92</f>
        <v>-46.5</v>
      </c>
      <c r="AB92" s="80">
        <f>AA92/Z92</f>
        <v>-0.22037914691943128</v>
      </c>
      <c r="AC92" s="107" t="s">
        <v>5477</v>
      </c>
      <c r="AD92" s="23" t="s">
        <v>256</v>
      </c>
      <c r="AE92" s="89">
        <v>44445</v>
      </c>
      <c r="AF92" s="88">
        <v>44533</v>
      </c>
      <c r="AG92" s="34">
        <f>AF92-AE92</f>
        <v>88</v>
      </c>
      <c r="AH92" s="126" t="s">
        <v>3283</v>
      </c>
      <c r="AI92" s="131"/>
    </row>
    <row r="93" spans="1:35">
      <c r="A93" s="135" t="s">
        <v>2871</v>
      </c>
      <c r="B93" s="98">
        <v>1798</v>
      </c>
      <c r="C93" s="98">
        <v>1685</v>
      </c>
      <c r="D93" s="84">
        <v>13</v>
      </c>
      <c r="E93" s="84">
        <v>234</v>
      </c>
      <c r="F93" s="59">
        <v>46.67</v>
      </c>
      <c r="G93" s="84">
        <v>2615</v>
      </c>
      <c r="H93" s="9" t="s">
        <v>551</v>
      </c>
      <c r="I93" s="23" t="s">
        <v>256</v>
      </c>
      <c r="J93" s="77">
        <v>85.44</v>
      </c>
      <c r="K93" s="77">
        <v>44.04</v>
      </c>
      <c r="L93" s="77">
        <v>9.5399999999999991</v>
      </c>
      <c r="N93" s="365">
        <f>K93+J93+L93</f>
        <v>139.01999999999998</v>
      </c>
      <c r="P93" s="195"/>
      <c r="Q93" s="326">
        <f>IFERROR(VLOOKUP($G93,主力整理!$A$2:$G$2301,6,0),"0")</f>
        <v>4</v>
      </c>
      <c r="R93" s="111">
        <v>33</v>
      </c>
      <c r="S93" s="51">
        <v>19</v>
      </c>
      <c r="T93" s="339">
        <f t="shared" si="172"/>
        <v>56</v>
      </c>
      <c r="V93" s="371">
        <v>25.71</v>
      </c>
      <c r="W93" s="73">
        <v>2</v>
      </c>
      <c r="X93" s="59">
        <v>19.5</v>
      </c>
      <c r="Y93" s="14">
        <v>164.5</v>
      </c>
      <c r="Z93" s="69">
        <v>244</v>
      </c>
      <c r="AA93" s="16">
        <f>Y93-Z93</f>
        <v>-79.5</v>
      </c>
      <c r="AB93" s="80">
        <f>AA93/Z93</f>
        <v>-0.32581967213114754</v>
      </c>
      <c r="AC93" s="107" t="s">
        <v>5515</v>
      </c>
      <c r="AD93" s="23" t="s">
        <v>256</v>
      </c>
      <c r="AE93" s="89">
        <v>44432</v>
      </c>
      <c r="AF93" s="88">
        <v>44533</v>
      </c>
      <c r="AG93" s="81">
        <f>AF93-AE93</f>
        <v>101</v>
      </c>
      <c r="AH93" s="126" t="s">
        <v>3283</v>
      </c>
      <c r="AI93" s="131"/>
    </row>
    <row r="94" spans="1:35">
      <c r="A94" s="151" t="s">
        <v>4785</v>
      </c>
      <c r="B94" s="85">
        <v>-20</v>
      </c>
      <c r="C94" s="85">
        <v>-11</v>
      </c>
      <c r="D94" s="85">
        <v>-1</v>
      </c>
      <c r="E94" s="85">
        <v>-3</v>
      </c>
      <c r="F94" s="7">
        <v>1.77</v>
      </c>
      <c r="G94" s="85">
        <v>6456</v>
      </c>
      <c r="H94" s="213" t="s">
        <v>557</v>
      </c>
      <c r="I94" s="23" t="s">
        <v>473</v>
      </c>
      <c r="J94" s="371">
        <v>53</v>
      </c>
      <c r="K94" s="77">
        <v>55.73</v>
      </c>
      <c r="L94" s="77">
        <v>10.15</v>
      </c>
      <c r="N94" s="365">
        <f t="shared" ref="N94" si="208">K94+J94+L94</f>
        <v>118.88</v>
      </c>
      <c r="P94" s="195">
        <v>18</v>
      </c>
      <c r="Q94" s="326">
        <v>6</v>
      </c>
      <c r="R94" s="111">
        <v>4</v>
      </c>
      <c r="S94" s="51">
        <v>10</v>
      </c>
      <c r="T94" s="339">
        <f t="shared" si="172"/>
        <v>38</v>
      </c>
      <c r="V94" s="371">
        <v>0.41</v>
      </c>
      <c r="W94" s="69">
        <v>4</v>
      </c>
      <c r="X94" s="59">
        <v>9.85</v>
      </c>
      <c r="Y94" s="14">
        <v>104.5</v>
      </c>
      <c r="Z94" s="69">
        <v>98.6</v>
      </c>
      <c r="AA94" s="16">
        <f t="shared" ref="AA94" si="209">Y94-Z94</f>
        <v>5.9000000000000057</v>
      </c>
      <c r="AB94" s="66">
        <f t="shared" ref="AB94" si="210">AA94/Z94</f>
        <v>5.9837728194726228E-2</v>
      </c>
      <c r="AC94" s="105" t="s">
        <v>6403</v>
      </c>
      <c r="AD94" s="23" t="s">
        <v>473</v>
      </c>
      <c r="AE94" s="89">
        <v>44497</v>
      </c>
      <c r="AF94" s="88">
        <v>44532</v>
      </c>
      <c r="AG94" s="34">
        <f t="shared" ref="AG94" si="211">AF94-AE94</f>
        <v>35</v>
      </c>
      <c r="AH94" s="125" t="s">
        <v>2132</v>
      </c>
      <c r="AI94" s="284"/>
    </row>
    <row r="95" spans="1:35">
      <c r="A95" s="135" t="s">
        <v>4821</v>
      </c>
      <c r="B95" s="84">
        <v>76</v>
      </c>
      <c r="C95" s="84">
        <v>123</v>
      </c>
      <c r="D95" s="85">
        <v>-40</v>
      </c>
      <c r="E95" s="85">
        <v>-10</v>
      </c>
      <c r="F95" s="59">
        <v>17.45</v>
      </c>
      <c r="G95" s="85">
        <v>4571</v>
      </c>
      <c r="H95" s="5" t="s">
        <v>544</v>
      </c>
      <c r="I95" s="23" t="s">
        <v>2599</v>
      </c>
      <c r="J95" s="77">
        <v>55.4</v>
      </c>
      <c r="K95" s="371">
        <v>72.069999999999993</v>
      </c>
      <c r="L95" s="371">
        <v>6.5</v>
      </c>
      <c r="N95" s="365">
        <f t="shared" ref="N95" si="212">K95+J95+L95</f>
        <v>133.97</v>
      </c>
      <c r="P95" s="195">
        <v>5</v>
      </c>
      <c r="Q95" s="326" t="str">
        <f>IFERROR(VLOOKUP($G95,主力整理!$A$2:$G$2301,6,0),"0")</f>
        <v>0</v>
      </c>
      <c r="R95" s="111">
        <v>9</v>
      </c>
      <c r="S95" s="51">
        <v>0</v>
      </c>
      <c r="T95" s="339">
        <f t="shared" si="172"/>
        <v>14</v>
      </c>
      <c r="V95" s="371">
        <v>0</v>
      </c>
      <c r="W95" s="69">
        <v>3.6</v>
      </c>
      <c r="X95" s="59">
        <v>7.87</v>
      </c>
      <c r="Y95" s="14">
        <v>103</v>
      </c>
      <c r="Z95" s="69">
        <v>97.5</v>
      </c>
      <c r="AA95" s="16">
        <f t="shared" ref="AA95" si="213">Y95-Z95</f>
        <v>5.5</v>
      </c>
      <c r="AB95" s="66">
        <f t="shared" ref="AB95" si="214">AA95/Z95</f>
        <v>5.6410256410256411E-2</v>
      </c>
      <c r="AC95" s="105" t="s">
        <v>6355</v>
      </c>
      <c r="AD95" s="23" t="s">
        <v>2599</v>
      </c>
      <c r="AE95" s="89">
        <v>44481</v>
      </c>
      <c r="AF95" s="88">
        <v>44532</v>
      </c>
      <c r="AG95" s="34">
        <f t="shared" ref="AG95" si="215">AF95-AE95</f>
        <v>51</v>
      </c>
      <c r="AH95" s="63" t="s">
        <v>3112</v>
      </c>
      <c r="AI95" s="131"/>
    </row>
    <row r="96" spans="1:35">
      <c r="A96" s="135" t="s">
        <v>4821</v>
      </c>
      <c r="B96" s="84">
        <v>76</v>
      </c>
      <c r="C96" s="84">
        <v>123</v>
      </c>
      <c r="D96" s="84">
        <v>1</v>
      </c>
      <c r="E96" s="84">
        <v>52</v>
      </c>
      <c r="F96" s="59">
        <v>17.45</v>
      </c>
      <c r="G96" s="85">
        <v>4571</v>
      </c>
      <c r="H96" s="5" t="s">
        <v>544</v>
      </c>
      <c r="I96" s="23" t="s">
        <v>2599</v>
      </c>
      <c r="J96" s="77">
        <v>55.39</v>
      </c>
      <c r="K96" s="371">
        <v>72.08</v>
      </c>
      <c r="L96" s="77">
        <v>6.54</v>
      </c>
      <c r="N96" s="365">
        <f t="shared" ref="N96" si="216">K96+J96+L96</f>
        <v>134.01</v>
      </c>
      <c r="P96" s="195">
        <v>4</v>
      </c>
      <c r="Q96" s="326" t="str">
        <f>IFERROR(VLOOKUP($G96,主力整理!$A$2:$G$2301,6,0),"0")</f>
        <v>0</v>
      </c>
      <c r="R96" s="111">
        <v>9</v>
      </c>
      <c r="S96" s="51">
        <v>0</v>
      </c>
      <c r="T96" s="339">
        <f t="shared" si="172"/>
        <v>13</v>
      </c>
      <c r="V96" s="371">
        <v>0</v>
      </c>
      <c r="W96" s="69">
        <v>3.6</v>
      </c>
      <c r="X96" s="59">
        <v>7.87</v>
      </c>
      <c r="Y96" s="14">
        <v>103</v>
      </c>
      <c r="Z96" s="69">
        <v>100.5</v>
      </c>
      <c r="AA96" s="16">
        <f t="shared" ref="AA96" si="217">Y96-Z96</f>
        <v>2.5</v>
      </c>
      <c r="AB96" s="66">
        <f t="shared" ref="AB96" si="218">AA96/Z96</f>
        <v>2.4875621890547265E-2</v>
      </c>
      <c r="AC96" s="105" t="s">
        <v>5611</v>
      </c>
      <c r="AD96" s="23" t="s">
        <v>2599</v>
      </c>
      <c r="AE96" s="89">
        <v>44473</v>
      </c>
      <c r="AF96" s="88">
        <v>44532</v>
      </c>
      <c r="AG96" s="34">
        <f t="shared" ref="AG96" si="219">AF96-AE96</f>
        <v>59</v>
      </c>
      <c r="AH96" s="63" t="s">
        <v>3112</v>
      </c>
      <c r="AI96" s="131"/>
    </row>
    <row r="97" spans="1:35">
      <c r="A97" s="135" t="s">
        <v>3317</v>
      </c>
      <c r="B97" s="84">
        <v>312</v>
      </c>
      <c r="C97" s="84">
        <v>112</v>
      </c>
      <c r="D97" s="85">
        <v>-30</v>
      </c>
      <c r="E97" s="84">
        <v>10</v>
      </c>
      <c r="F97" s="59">
        <v>19.34</v>
      </c>
      <c r="G97" s="84">
        <v>8406</v>
      </c>
      <c r="H97" s="5" t="s">
        <v>560</v>
      </c>
      <c r="I97" s="17" t="s">
        <v>82</v>
      </c>
      <c r="J97" s="371">
        <v>60.12</v>
      </c>
      <c r="K97" s="77">
        <v>71.78</v>
      </c>
      <c r="L97" s="371">
        <v>6.84</v>
      </c>
      <c r="N97" s="365">
        <f>K97+J97+L97</f>
        <v>138.74</v>
      </c>
      <c r="P97" s="232"/>
      <c r="Q97" s="326">
        <f>IFERROR(VLOOKUP($G97,主力整理!$A$2:$G$2301,6,0),"0")</f>
        <v>3</v>
      </c>
      <c r="R97" s="111">
        <v>3</v>
      </c>
      <c r="S97" s="51">
        <v>4</v>
      </c>
      <c r="T97" s="339">
        <f t="shared" si="172"/>
        <v>10</v>
      </c>
      <c r="V97" s="371">
        <v>0.48</v>
      </c>
      <c r="W97" s="69">
        <v>6</v>
      </c>
      <c r="X97" s="59">
        <v>12.46</v>
      </c>
      <c r="Y97" s="14">
        <v>268.5</v>
      </c>
      <c r="Z97" s="69">
        <v>203</v>
      </c>
      <c r="AA97" s="16">
        <f>Y97-Z97</f>
        <v>65.5</v>
      </c>
      <c r="AB97" s="66">
        <f>AA97/Z97</f>
        <v>0.32266009852216748</v>
      </c>
      <c r="AC97" s="107" t="s">
        <v>5486</v>
      </c>
      <c r="AD97" s="17" t="s">
        <v>82</v>
      </c>
      <c r="AE97" s="89">
        <v>44431</v>
      </c>
      <c r="AF97" s="88">
        <v>44532</v>
      </c>
      <c r="AG97" s="81">
        <f>AF97-AE97</f>
        <v>101</v>
      </c>
      <c r="AH97" s="126" t="s">
        <v>4965</v>
      </c>
      <c r="AI97" s="131"/>
    </row>
    <row r="98" spans="1:35">
      <c r="A98" s="135" t="s">
        <v>2919</v>
      </c>
      <c r="B98" s="84">
        <v>-2</v>
      </c>
      <c r="C98" s="84">
        <v>-1</v>
      </c>
      <c r="D98" s="84">
        <v>6</v>
      </c>
      <c r="E98" s="84">
        <v>18</v>
      </c>
      <c r="F98" s="59">
        <v>24.6</v>
      </c>
      <c r="G98" s="85">
        <v>3217</v>
      </c>
      <c r="H98" s="5" t="s">
        <v>559</v>
      </c>
      <c r="I98" s="17" t="s">
        <v>736</v>
      </c>
      <c r="J98" s="371">
        <v>45.36</v>
      </c>
      <c r="K98" s="77">
        <v>5.97</v>
      </c>
      <c r="L98" s="77">
        <v>12.05</v>
      </c>
      <c r="N98" s="365">
        <f t="shared" ref="N98" si="220">K98+J98+L98</f>
        <v>63.379999999999995</v>
      </c>
      <c r="P98" s="195">
        <v>2</v>
      </c>
      <c r="Q98" s="326" t="str">
        <f>IFERROR(VLOOKUP($G98,主力整理!$A$2:$G$2301,6,0),"0")</f>
        <v>0</v>
      </c>
      <c r="R98" s="111">
        <v>7</v>
      </c>
      <c r="S98" s="51">
        <v>16</v>
      </c>
      <c r="T98" s="339">
        <f t="shared" si="172"/>
        <v>25</v>
      </c>
      <c r="V98" s="371">
        <v>1.58</v>
      </c>
      <c r="W98" s="69">
        <v>5.6</v>
      </c>
      <c r="X98" s="100">
        <v>6.92</v>
      </c>
      <c r="Y98" s="37">
        <v>108</v>
      </c>
      <c r="Z98" s="69">
        <v>88</v>
      </c>
      <c r="AA98" s="16">
        <f t="shared" ref="AA98" si="221">Y98-Z98</f>
        <v>20</v>
      </c>
      <c r="AB98" s="66">
        <f t="shared" ref="AB98" si="222">AA98/Z98</f>
        <v>0.22727272727272727</v>
      </c>
      <c r="AC98" s="107" t="s">
        <v>6348</v>
      </c>
      <c r="AD98" s="17" t="s">
        <v>736</v>
      </c>
      <c r="AE98" s="89">
        <v>44477</v>
      </c>
      <c r="AF98" s="88">
        <v>44526</v>
      </c>
      <c r="AG98" s="34">
        <f t="shared" ref="AG98" si="223">AF98-AE98</f>
        <v>49</v>
      </c>
      <c r="AH98" s="63" t="s">
        <v>4549</v>
      </c>
      <c r="AI98" s="131"/>
    </row>
    <row r="99" spans="1:35">
      <c r="A99" s="151" t="s">
        <v>6317</v>
      </c>
      <c r="B99" s="85">
        <v>-28</v>
      </c>
      <c r="C99" s="85">
        <v>-33</v>
      </c>
      <c r="D99" s="84">
        <v>5</v>
      </c>
      <c r="E99" s="84">
        <v>5</v>
      </c>
      <c r="F99" s="7">
        <v>5.01</v>
      </c>
      <c r="G99" s="85">
        <v>6269</v>
      </c>
      <c r="H99" s="268" t="s">
        <v>559</v>
      </c>
      <c r="I99" s="23" t="s">
        <v>95</v>
      </c>
      <c r="J99" s="371">
        <v>46.56</v>
      </c>
      <c r="K99" s="371">
        <v>24.85</v>
      </c>
      <c r="L99" s="77">
        <v>14.03</v>
      </c>
      <c r="N99" s="365">
        <f>K99+J99+L99</f>
        <v>85.44</v>
      </c>
      <c r="P99" s="195">
        <v>12</v>
      </c>
      <c r="Q99" s="326">
        <v>13</v>
      </c>
      <c r="R99" s="111">
        <v>3</v>
      </c>
      <c r="S99" s="51">
        <v>10</v>
      </c>
      <c r="T99" s="339">
        <f t="shared" si="172"/>
        <v>38</v>
      </c>
      <c r="V99" s="371">
        <v>1.78</v>
      </c>
      <c r="W99" s="69">
        <v>5.12</v>
      </c>
      <c r="X99" s="100">
        <v>7.68</v>
      </c>
      <c r="Y99" s="37">
        <v>103.5</v>
      </c>
      <c r="Z99" s="69">
        <v>97.7</v>
      </c>
      <c r="AA99" s="16">
        <f>Y99-Z99</f>
        <v>5.7999999999999972</v>
      </c>
      <c r="AB99" s="66">
        <f>AA99/Z99</f>
        <v>5.9365404298874075E-2</v>
      </c>
      <c r="AC99" s="105" t="s">
        <v>6402</v>
      </c>
      <c r="AD99" s="23" t="s">
        <v>95</v>
      </c>
      <c r="AE99" s="89">
        <v>44497</v>
      </c>
      <c r="AF99" s="88">
        <v>44525</v>
      </c>
      <c r="AG99" s="34">
        <f>AF99-AE99</f>
        <v>28</v>
      </c>
      <c r="AH99" s="125" t="s">
        <v>3801</v>
      </c>
      <c r="AI99" s="131"/>
    </row>
    <row r="100" spans="1:35">
      <c r="A100" s="151" t="s">
        <v>6317</v>
      </c>
      <c r="B100" s="85">
        <v>-28</v>
      </c>
      <c r="C100" s="85">
        <v>-33</v>
      </c>
      <c r="D100" s="84">
        <v>5</v>
      </c>
      <c r="E100" s="84">
        <v>5</v>
      </c>
      <c r="F100" s="7">
        <v>5.01</v>
      </c>
      <c r="G100" s="85">
        <v>6269</v>
      </c>
      <c r="H100" s="268" t="s">
        <v>559</v>
      </c>
      <c r="I100" s="23" t="s">
        <v>95</v>
      </c>
      <c r="J100" s="371">
        <v>46.56</v>
      </c>
      <c r="K100" s="371">
        <v>24.96</v>
      </c>
      <c r="L100" s="77">
        <v>13.82</v>
      </c>
      <c r="N100" s="365">
        <f t="shared" ref="N100" si="224">K100+J100+L100</f>
        <v>85.34</v>
      </c>
      <c r="P100" s="195">
        <v>11</v>
      </c>
      <c r="Q100" s="326">
        <v>13</v>
      </c>
      <c r="R100" s="111">
        <v>3</v>
      </c>
      <c r="S100" s="51">
        <v>10</v>
      </c>
      <c r="T100" s="339">
        <f t="shared" si="172"/>
        <v>37</v>
      </c>
      <c r="V100" s="371">
        <v>1.99</v>
      </c>
      <c r="W100" s="69">
        <v>5.12</v>
      </c>
      <c r="X100" s="100">
        <v>7.68</v>
      </c>
      <c r="Y100" s="37">
        <v>103.5</v>
      </c>
      <c r="Z100" s="69">
        <v>93.2</v>
      </c>
      <c r="AA100" s="16">
        <f t="shared" ref="AA100" si="225">Y100-Z100</f>
        <v>10.299999999999997</v>
      </c>
      <c r="AB100" s="66">
        <f t="shared" ref="AB100" si="226">AA100/Z100</f>
        <v>0.11051502145922744</v>
      </c>
      <c r="AC100" s="105" t="s">
        <v>6394</v>
      </c>
      <c r="AD100" s="23" t="s">
        <v>95</v>
      </c>
      <c r="AE100" s="89">
        <v>44494</v>
      </c>
      <c r="AF100" s="88">
        <v>44525</v>
      </c>
      <c r="AG100" s="34">
        <f t="shared" ref="AG100" si="227">AF100-AE100</f>
        <v>31</v>
      </c>
      <c r="AH100" s="125" t="s">
        <v>3801</v>
      </c>
      <c r="AI100" s="284"/>
    </row>
    <row r="101" spans="1:35">
      <c r="A101" s="151" t="s">
        <v>6317</v>
      </c>
      <c r="B101" s="85">
        <v>-28</v>
      </c>
      <c r="C101" s="85">
        <v>-33</v>
      </c>
      <c r="D101" s="84">
        <v>5</v>
      </c>
      <c r="E101" s="84">
        <v>5</v>
      </c>
      <c r="F101" s="7">
        <v>5.01</v>
      </c>
      <c r="G101" s="85">
        <v>6269</v>
      </c>
      <c r="H101" s="268" t="s">
        <v>559</v>
      </c>
      <c r="I101" s="23" t="s">
        <v>95</v>
      </c>
      <c r="J101" s="371">
        <v>48.34</v>
      </c>
      <c r="K101" s="371">
        <v>26.27</v>
      </c>
      <c r="L101" s="371">
        <v>14.4</v>
      </c>
      <c r="N101" s="365">
        <f>K101+J101+L101</f>
        <v>89.01</v>
      </c>
      <c r="P101" s="195">
        <v>10</v>
      </c>
      <c r="Q101" s="326">
        <v>11</v>
      </c>
      <c r="R101" s="111">
        <v>3</v>
      </c>
      <c r="S101" s="51">
        <v>10</v>
      </c>
      <c r="T101" s="339">
        <f t="shared" si="172"/>
        <v>34</v>
      </c>
      <c r="V101" s="371">
        <v>7.74</v>
      </c>
      <c r="W101" s="69">
        <v>5.12</v>
      </c>
      <c r="X101" s="100">
        <v>7.68</v>
      </c>
      <c r="Y101" s="37">
        <v>103.5</v>
      </c>
      <c r="Z101" s="69">
        <v>98.5</v>
      </c>
      <c r="AA101" s="16">
        <f>Y101-Z101</f>
        <v>5</v>
      </c>
      <c r="AB101" s="66">
        <f>AA101/Z101</f>
        <v>5.0761421319796954E-2</v>
      </c>
      <c r="AC101" s="105" t="s">
        <v>6349</v>
      </c>
      <c r="AD101" s="23" t="s">
        <v>95</v>
      </c>
      <c r="AE101" s="89">
        <v>44477</v>
      </c>
      <c r="AF101" s="88">
        <v>44525</v>
      </c>
      <c r="AG101" s="34">
        <f>AF101-AE101</f>
        <v>48</v>
      </c>
      <c r="AH101" s="125" t="s">
        <v>3801</v>
      </c>
      <c r="AI101" s="131"/>
    </row>
    <row r="102" spans="1:35">
      <c r="A102" s="151" t="s">
        <v>4657</v>
      </c>
      <c r="B102" s="85">
        <v>-60</v>
      </c>
      <c r="C102" s="85">
        <v>-70</v>
      </c>
      <c r="D102" s="85">
        <v>-11</v>
      </c>
      <c r="E102" s="84">
        <v>18</v>
      </c>
      <c r="F102" s="7">
        <v>8.93</v>
      </c>
      <c r="G102" s="85">
        <v>3406</v>
      </c>
      <c r="H102" s="5" t="s">
        <v>557</v>
      </c>
      <c r="I102" s="23" t="s">
        <v>93</v>
      </c>
      <c r="J102" s="371">
        <v>37.1</v>
      </c>
      <c r="K102" s="77">
        <v>27.39</v>
      </c>
      <c r="L102" s="371">
        <v>29.86</v>
      </c>
      <c r="N102" s="365">
        <f t="shared" ref="N102" si="228">K102+J102+L102</f>
        <v>94.350000000000009</v>
      </c>
      <c r="P102" s="195">
        <v>14</v>
      </c>
      <c r="Q102" s="326">
        <v>5</v>
      </c>
      <c r="R102" s="111">
        <v>5</v>
      </c>
      <c r="S102" s="51">
        <v>20</v>
      </c>
      <c r="T102" s="339">
        <f t="shared" si="172"/>
        <v>44</v>
      </c>
      <c r="V102" s="371">
        <v>12.59</v>
      </c>
      <c r="W102" s="46">
        <v>9.99</v>
      </c>
      <c r="X102" s="100">
        <v>21.93</v>
      </c>
      <c r="Y102" s="37">
        <v>514</v>
      </c>
      <c r="Z102" s="46">
        <v>418.5</v>
      </c>
      <c r="AA102" s="16">
        <f t="shared" ref="AA102" si="229">Y102-Z102</f>
        <v>95.5</v>
      </c>
      <c r="AB102" s="66">
        <f t="shared" ref="AB102" si="230">AA102/Z102</f>
        <v>0.22819593787335724</v>
      </c>
      <c r="AC102" s="105" t="s">
        <v>6436</v>
      </c>
      <c r="AD102" s="23" t="s">
        <v>93</v>
      </c>
      <c r="AE102" s="89">
        <v>44511</v>
      </c>
      <c r="AF102" s="88">
        <v>44523</v>
      </c>
      <c r="AG102" s="34">
        <f t="shared" ref="AG102" si="231">AF102-AE102</f>
        <v>12</v>
      </c>
      <c r="AH102" s="125" t="s">
        <v>4061</v>
      </c>
      <c r="AI102" s="131"/>
    </row>
    <row r="103" spans="1:35">
      <c r="A103" s="135" t="s">
        <v>2967</v>
      </c>
      <c r="B103" s="84">
        <v>12</v>
      </c>
      <c r="C103" s="85">
        <v>-5</v>
      </c>
      <c r="D103" s="85">
        <v>-1</v>
      </c>
      <c r="E103" s="85">
        <v>-31</v>
      </c>
      <c r="F103" s="59">
        <v>31.97</v>
      </c>
      <c r="G103" s="85">
        <v>5269</v>
      </c>
      <c r="H103" s="5" t="s">
        <v>558</v>
      </c>
      <c r="I103" s="23" t="s">
        <v>106</v>
      </c>
      <c r="J103" s="77">
        <v>64.959999999999994</v>
      </c>
      <c r="K103" s="371">
        <v>25.91</v>
      </c>
      <c r="L103" s="77">
        <v>4.99</v>
      </c>
      <c r="N103" s="365">
        <f t="shared" ref="N103" si="232">K103+J103+L103</f>
        <v>95.859999999999985</v>
      </c>
      <c r="P103" s="195">
        <v>12</v>
      </c>
      <c r="Q103" s="326">
        <v>6</v>
      </c>
      <c r="R103" s="111">
        <v>11</v>
      </c>
      <c r="S103" s="51">
        <v>5</v>
      </c>
      <c r="T103" s="339">
        <f t="shared" si="172"/>
        <v>34</v>
      </c>
      <c r="V103" s="371">
        <v>14.72</v>
      </c>
      <c r="W103" s="46">
        <v>24</v>
      </c>
      <c r="X103" s="59">
        <v>45.19</v>
      </c>
      <c r="Y103" s="37">
        <v>1955</v>
      </c>
      <c r="Z103" s="69">
        <v>1705</v>
      </c>
      <c r="AA103" s="146">
        <f t="shared" ref="AA103" si="233">Y103-Z103</f>
        <v>250</v>
      </c>
      <c r="AB103" s="66">
        <f t="shared" ref="AB103" si="234">AA103/Z103</f>
        <v>0.1466275659824047</v>
      </c>
      <c r="AC103" s="105" t="s">
        <v>6434</v>
      </c>
      <c r="AD103" s="23" t="s">
        <v>106</v>
      </c>
      <c r="AE103" s="89">
        <v>44509</v>
      </c>
      <c r="AF103" s="88">
        <v>44523</v>
      </c>
      <c r="AG103" s="34">
        <f t="shared" ref="AG103" si="235">AF103-AE103</f>
        <v>14</v>
      </c>
      <c r="AH103" s="126" t="s">
        <v>3274</v>
      </c>
      <c r="AI103" s="284"/>
    </row>
    <row r="104" spans="1:35">
      <c r="A104" s="135" t="s">
        <v>2967</v>
      </c>
      <c r="B104" s="84">
        <v>12</v>
      </c>
      <c r="C104" s="85">
        <v>-5</v>
      </c>
      <c r="D104" s="85">
        <v>-1</v>
      </c>
      <c r="E104" s="85">
        <v>-31</v>
      </c>
      <c r="F104" s="59">
        <v>31.97</v>
      </c>
      <c r="G104" s="85">
        <v>5269</v>
      </c>
      <c r="H104" s="5" t="s">
        <v>558</v>
      </c>
      <c r="I104" s="23" t="s">
        <v>106</v>
      </c>
      <c r="J104" s="77">
        <v>64.959999999999994</v>
      </c>
      <c r="K104" s="371">
        <v>25.91</v>
      </c>
      <c r="L104" s="77">
        <v>4.99</v>
      </c>
      <c r="N104" s="365">
        <f>K104+J104+L104</f>
        <v>95.859999999999985</v>
      </c>
      <c r="P104" s="195">
        <v>11</v>
      </c>
      <c r="Q104" s="326">
        <v>6</v>
      </c>
      <c r="R104" s="111">
        <v>11</v>
      </c>
      <c r="S104" s="51">
        <v>5</v>
      </c>
      <c r="T104" s="339">
        <f t="shared" si="172"/>
        <v>33</v>
      </c>
      <c r="V104" s="371">
        <v>14.72</v>
      </c>
      <c r="W104" s="46">
        <v>24</v>
      </c>
      <c r="X104" s="59">
        <v>45.19</v>
      </c>
      <c r="Y104" s="37">
        <v>1955</v>
      </c>
      <c r="Z104" s="69">
        <v>1620</v>
      </c>
      <c r="AA104" s="146">
        <f>Y104-Z104</f>
        <v>335</v>
      </c>
      <c r="AB104" s="66">
        <f>AA104/Z104</f>
        <v>0.20679012345679013</v>
      </c>
      <c r="AC104" s="105" t="s">
        <v>6391</v>
      </c>
      <c r="AD104" s="23" t="s">
        <v>106</v>
      </c>
      <c r="AE104" s="89">
        <v>44494</v>
      </c>
      <c r="AF104" s="88">
        <v>44523</v>
      </c>
      <c r="AG104" s="34">
        <f>AF104-AE104</f>
        <v>29</v>
      </c>
      <c r="AH104" s="126" t="s">
        <v>3274</v>
      </c>
      <c r="AI104" s="131"/>
    </row>
    <row r="105" spans="1:35">
      <c r="A105" s="135" t="s">
        <v>2967</v>
      </c>
      <c r="B105" s="84">
        <v>12</v>
      </c>
      <c r="C105" s="85">
        <v>-5</v>
      </c>
      <c r="D105" s="85">
        <v>-1</v>
      </c>
      <c r="E105" s="85">
        <v>-31</v>
      </c>
      <c r="F105" s="59">
        <v>31.97</v>
      </c>
      <c r="G105" s="85">
        <v>5269</v>
      </c>
      <c r="H105" s="5" t="s">
        <v>558</v>
      </c>
      <c r="I105" s="23" t="s">
        <v>106</v>
      </c>
      <c r="J105" s="371">
        <v>64.86</v>
      </c>
      <c r="K105" s="77">
        <v>26.67</v>
      </c>
      <c r="L105" s="371">
        <v>4.12</v>
      </c>
      <c r="N105" s="365">
        <f>K105+J105+L105</f>
        <v>95.65</v>
      </c>
      <c r="P105" s="195">
        <v>10</v>
      </c>
      <c r="Q105" s="326">
        <v>5</v>
      </c>
      <c r="R105" s="111">
        <v>11</v>
      </c>
      <c r="S105" s="51">
        <v>5</v>
      </c>
      <c r="T105" s="339">
        <f t="shared" si="172"/>
        <v>31</v>
      </c>
      <c r="V105" s="371">
        <v>15.01</v>
      </c>
      <c r="W105" s="46">
        <v>24</v>
      </c>
      <c r="X105" s="59">
        <v>45.19</v>
      </c>
      <c r="Y105" s="37">
        <v>1955</v>
      </c>
      <c r="Z105" s="69">
        <v>1620</v>
      </c>
      <c r="AA105" s="146">
        <f>Y105-Z105</f>
        <v>335</v>
      </c>
      <c r="AB105" s="66">
        <f>AA105/Z105</f>
        <v>0.20679012345679013</v>
      </c>
      <c r="AC105" s="105" t="s">
        <v>6376</v>
      </c>
      <c r="AD105" s="23" t="s">
        <v>106</v>
      </c>
      <c r="AE105" s="89">
        <v>44488</v>
      </c>
      <c r="AF105" s="88">
        <v>44523</v>
      </c>
      <c r="AG105" s="34">
        <f>AF105-AE105</f>
        <v>35</v>
      </c>
      <c r="AH105" s="126" t="s">
        <v>3274</v>
      </c>
      <c r="AI105" s="131"/>
    </row>
    <row r="106" spans="1:35">
      <c r="A106" s="135" t="s">
        <v>2967</v>
      </c>
      <c r="B106" s="84">
        <v>12</v>
      </c>
      <c r="C106" s="85">
        <v>-5</v>
      </c>
      <c r="D106" s="85">
        <v>-1</v>
      </c>
      <c r="E106" s="85">
        <v>-31</v>
      </c>
      <c r="F106" s="59">
        <v>30.87</v>
      </c>
      <c r="G106" s="85">
        <v>5269</v>
      </c>
      <c r="H106" s="5" t="s">
        <v>558</v>
      </c>
      <c r="I106" s="23" t="s">
        <v>106</v>
      </c>
      <c r="J106" s="77">
        <v>64.86</v>
      </c>
      <c r="K106" s="77">
        <v>26.62</v>
      </c>
      <c r="L106" s="371">
        <v>4.26</v>
      </c>
      <c r="N106" s="365">
        <f t="shared" ref="N106" si="236">K106+J106+L106</f>
        <v>95.740000000000009</v>
      </c>
      <c r="P106" s="195">
        <v>9</v>
      </c>
      <c r="Q106" s="326">
        <v>4</v>
      </c>
      <c r="R106" s="111">
        <v>11</v>
      </c>
      <c r="S106" s="51">
        <v>5</v>
      </c>
      <c r="T106" s="339">
        <f t="shared" si="172"/>
        <v>29</v>
      </c>
      <c r="V106" s="371">
        <v>14.23</v>
      </c>
      <c r="W106" s="46">
        <v>24</v>
      </c>
      <c r="X106" s="59">
        <v>45.19</v>
      </c>
      <c r="Y106" s="37">
        <v>1955</v>
      </c>
      <c r="Z106" s="69">
        <v>1545</v>
      </c>
      <c r="AA106" s="146">
        <f t="shared" ref="AA106" si="237">Y106-Z106</f>
        <v>410</v>
      </c>
      <c r="AB106" s="66">
        <f t="shared" ref="AB106" si="238">AA106/Z106</f>
        <v>0.26537216828478966</v>
      </c>
      <c r="AC106" s="105" t="s">
        <v>6376</v>
      </c>
      <c r="AD106" s="23" t="s">
        <v>106</v>
      </c>
      <c r="AE106" s="89">
        <v>44487</v>
      </c>
      <c r="AF106" s="88">
        <v>44523</v>
      </c>
      <c r="AG106" s="34">
        <f t="shared" ref="AG106" si="239">AF106-AE106</f>
        <v>36</v>
      </c>
      <c r="AH106" s="126" t="s">
        <v>3274</v>
      </c>
      <c r="AI106" s="131"/>
    </row>
    <row r="107" spans="1:35">
      <c r="A107" s="135" t="s">
        <v>6316</v>
      </c>
      <c r="B107" s="84">
        <v>100</v>
      </c>
      <c r="C107" s="84">
        <v>102</v>
      </c>
      <c r="D107" s="84">
        <v>0</v>
      </c>
      <c r="E107" s="84">
        <v>28</v>
      </c>
      <c r="F107" s="59">
        <v>27.14</v>
      </c>
      <c r="G107" s="85">
        <v>2327</v>
      </c>
      <c r="H107" s="213" t="s">
        <v>559</v>
      </c>
      <c r="I107" s="23" t="s">
        <v>86</v>
      </c>
      <c r="J107" s="77">
        <v>47.53</v>
      </c>
      <c r="K107" s="371">
        <v>51.8</v>
      </c>
      <c r="L107" s="77">
        <v>11.27</v>
      </c>
      <c r="N107" s="365">
        <f>K107+J107+L107</f>
        <v>110.6</v>
      </c>
      <c r="P107" s="195">
        <v>47</v>
      </c>
      <c r="Q107" s="326">
        <v>7</v>
      </c>
      <c r="R107" s="111">
        <v>5</v>
      </c>
      <c r="S107" s="51">
        <v>24</v>
      </c>
      <c r="T107" s="339">
        <f t="shared" si="172"/>
        <v>83</v>
      </c>
      <c r="V107" s="371">
        <v>10.9</v>
      </c>
      <c r="W107" s="46">
        <v>10.08</v>
      </c>
      <c r="X107" s="100">
        <v>38.29</v>
      </c>
      <c r="Y107" s="14">
        <v>463</v>
      </c>
      <c r="Z107" s="69">
        <v>438.5</v>
      </c>
      <c r="AA107" s="16">
        <f>Y107-Z107</f>
        <v>24.5</v>
      </c>
      <c r="AB107" s="66">
        <f>AA107/Z107</f>
        <v>5.5872291904218926E-2</v>
      </c>
      <c r="AC107" s="105" t="s">
        <v>6401</v>
      </c>
      <c r="AD107" s="23" t="s">
        <v>86</v>
      </c>
      <c r="AE107" s="89">
        <v>44497</v>
      </c>
      <c r="AF107" s="88">
        <v>44523</v>
      </c>
      <c r="AG107" s="34">
        <f>AF107-AE107</f>
        <v>26</v>
      </c>
      <c r="AH107" s="126" t="s">
        <v>2676</v>
      </c>
      <c r="AI107" s="131"/>
    </row>
    <row r="108" spans="1:35">
      <c r="A108" s="135" t="s">
        <v>6316</v>
      </c>
      <c r="B108" s="84">
        <v>100</v>
      </c>
      <c r="C108" s="84">
        <v>102</v>
      </c>
      <c r="D108" s="84">
        <v>0</v>
      </c>
      <c r="E108" s="84">
        <v>28</v>
      </c>
      <c r="F108" s="59">
        <v>27.14</v>
      </c>
      <c r="G108" s="85">
        <v>2327</v>
      </c>
      <c r="H108" s="213" t="s">
        <v>559</v>
      </c>
      <c r="I108" s="23" t="s">
        <v>86</v>
      </c>
      <c r="J108" s="77">
        <v>47.53</v>
      </c>
      <c r="K108" s="371">
        <v>52.03</v>
      </c>
      <c r="L108" s="371">
        <v>10.86</v>
      </c>
      <c r="N108" s="365">
        <f>K108+J108+L108</f>
        <v>110.42</v>
      </c>
      <c r="P108" s="195">
        <v>46</v>
      </c>
      <c r="Q108" s="326">
        <v>7</v>
      </c>
      <c r="R108" s="111">
        <v>5</v>
      </c>
      <c r="S108" s="51">
        <v>24</v>
      </c>
      <c r="T108" s="339">
        <f t="shared" si="172"/>
        <v>82</v>
      </c>
      <c r="V108" s="371">
        <v>9.99</v>
      </c>
      <c r="W108" s="69">
        <v>10.08</v>
      </c>
      <c r="X108" s="100">
        <v>38.29</v>
      </c>
      <c r="Y108" s="14">
        <v>463</v>
      </c>
      <c r="Z108" s="69">
        <v>427</v>
      </c>
      <c r="AA108" s="16">
        <f>Y108-Z108</f>
        <v>36</v>
      </c>
      <c r="AB108" s="66">
        <f>AA108/Z108</f>
        <v>8.4309133489461355E-2</v>
      </c>
      <c r="AC108" s="105" t="s">
        <v>6392</v>
      </c>
      <c r="AD108" s="23" t="s">
        <v>86</v>
      </c>
      <c r="AE108" s="89">
        <v>44494</v>
      </c>
      <c r="AF108" s="88">
        <v>44523</v>
      </c>
      <c r="AG108" s="34">
        <f>AF108-AE108</f>
        <v>29</v>
      </c>
      <c r="AH108" s="126" t="s">
        <v>2676</v>
      </c>
      <c r="AI108" s="131"/>
    </row>
    <row r="109" spans="1:35">
      <c r="A109" s="151" t="s">
        <v>2580</v>
      </c>
      <c r="B109" s="85">
        <v>-12</v>
      </c>
      <c r="C109" s="85">
        <v>-9</v>
      </c>
      <c r="D109" s="84">
        <v>2</v>
      </c>
      <c r="E109" s="84">
        <v>7</v>
      </c>
      <c r="F109" s="7">
        <v>8.93</v>
      </c>
      <c r="G109" s="85">
        <v>3324</v>
      </c>
      <c r="H109" s="5" t="s">
        <v>5322</v>
      </c>
      <c r="I109" s="17" t="s">
        <v>414</v>
      </c>
      <c r="J109" s="77">
        <v>24.29</v>
      </c>
      <c r="K109" s="77">
        <v>10.89</v>
      </c>
      <c r="L109" s="371">
        <v>37.36</v>
      </c>
      <c r="N109" s="365">
        <f t="shared" ref="N109" si="240">K109+J109+L109</f>
        <v>72.539999999999992</v>
      </c>
      <c r="P109" s="195">
        <v>16</v>
      </c>
      <c r="Q109" s="326">
        <f>IFERROR(VLOOKUP($G109,主力整理!$A$2:$G$2301,6,0),"0")</f>
        <v>1</v>
      </c>
      <c r="R109" s="111">
        <v>3</v>
      </c>
      <c r="S109" s="51">
        <v>16</v>
      </c>
      <c r="T109" s="339">
        <f t="shared" si="172"/>
        <v>36</v>
      </c>
      <c r="V109" s="371">
        <v>2.0499999999999998</v>
      </c>
      <c r="W109" s="69">
        <v>5.6</v>
      </c>
      <c r="X109" s="100">
        <v>12.07</v>
      </c>
      <c r="Y109" s="37">
        <v>185</v>
      </c>
      <c r="Z109" s="46">
        <v>160.5</v>
      </c>
      <c r="AA109" s="16">
        <f t="shared" ref="AA109" si="241">Y109-Z109</f>
        <v>24.5</v>
      </c>
      <c r="AB109" s="66">
        <f t="shared" ref="AB109" si="242">AA109/Z109</f>
        <v>0.15264797507788161</v>
      </c>
      <c r="AC109" s="107" t="s">
        <v>6382</v>
      </c>
      <c r="AD109" s="17" t="s">
        <v>414</v>
      </c>
      <c r="AE109" s="89">
        <v>44489</v>
      </c>
      <c r="AF109" s="88">
        <v>44523</v>
      </c>
      <c r="AG109" s="34">
        <f t="shared" ref="AG109" si="243">AF109-AE109</f>
        <v>34</v>
      </c>
      <c r="AH109" s="44" t="s">
        <v>4550</v>
      </c>
      <c r="AI109" s="131"/>
    </row>
    <row r="110" spans="1:35">
      <c r="A110" s="135" t="s">
        <v>3115</v>
      </c>
      <c r="B110" s="84">
        <v>87</v>
      </c>
      <c r="C110" s="84">
        <v>73</v>
      </c>
      <c r="D110" s="85">
        <v>-26</v>
      </c>
      <c r="E110" s="84">
        <v>3</v>
      </c>
      <c r="F110" s="59">
        <v>33.82</v>
      </c>
      <c r="G110" s="85">
        <v>1590</v>
      </c>
      <c r="H110" s="213" t="s">
        <v>544</v>
      </c>
      <c r="I110" s="23" t="s">
        <v>244</v>
      </c>
      <c r="J110" s="77">
        <v>58.89</v>
      </c>
      <c r="K110" s="77">
        <v>82</v>
      </c>
      <c r="L110" s="371">
        <v>1.04</v>
      </c>
      <c r="N110" s="365">
        <f>K110+J110+L110</f>
        <v>141.92999999999998</v>
      </c>
      <c r="P110" s="195">
        <v>15</v>
      </c>
      <c r="Q110" s="326">
        <v>4</v>
      </c>
      <c r="R110" s="111">
        <v>5</v>
      </c>
      <c r="S110" s="51">
        <v>6</v>
      </c>
      <c r="T110" s="339">
        <f t="shared" si="172"/>
        <v>30</v>
      </c>
      <c r="V110" s="371">
        <v>5.01</v>
      </c>
      <c r="W110" s="69">
        <v>9.06</v>
      </c>
      <c r="X110" s="59">
        <v>33.64</v>
      </c>
      <c r="Y110" s="160">
        <v>833</v>
      </c>
      <c r="Z110" s="69">
        <v>799</v>
      </c>
      <c r="AA110" s="146">
        <f t="shared" ref="AA110:AA119" si="244">Y110-Z110</f>
        <v>34</v>
      </c>
      <c r="AB110" s="66">
        <f t="shared" ref="AB110:AB119" si="245">AA110/Z110</f>
        <v>4.2553191489361701E-2</v>
      </c>
      <c r="AC110" s="105" t="s">
        <v>6415</v>
      </c>
      <c r="AD110" s="23" t="s">
        <v>244</v>
      </c>
      <c r="AE110" s="89">
        <v>44508</v>
      </c>
      <c r="AF110" s="88">
        <v>44518</v>
      </c>
      <c r="AG110" s="34">
        <f t="shared" ref="AG110:AG119" si="246">AF110-AE110</f>
        <v>10</v>
      </c>
      <c r="AH110" s="126" t="s">
        <v>3995</v>
      </c>
      <c r="AI110" s="131"/>
    </row>
    <row r="111" spans="1:35">
      <c r="A111" s="151" t="s">
        <v>3089</v>
      </c>
      <c r="B111" s="84">
        <v>209</v>
      </c>
      <c r="C111" s="84">
        <v>41</v>
      </c>
      <c r="D111" s="84">
        <v>3</v>
      </c>
      <c r="E111" s="84">
        <v>14</v>
      </c>
      <c r="F111" s="7">
        <v>8.89</v>
      </c>
      <c r="G111" s="85">
        <v>3260</v>
      </c>
      <c r="H111" s="203" t="s">
        <v>558</v>
      </c>
      <c r="I111" s="17" t="s">
        <v>396</v>
      </c>
      <c r="J111" s="371">
        <v>14.33</v>
      </c>
      <c r="K111" s="371">
        <v>7.75</v>
      </c>
      <c r="L111" s="77">
        <v>30.57</v>
      </c>
      <c r="N111" s="365">
        <f t="shared" ref="N111" si="247">K111+J111+L111</f>
        <v>52.65</v>
      </c>
      <c r="P111" s="195">
        <v>23</v>
      </c>
      <c r="Q111" s="326">
        <v>12</v>
      </c>
      <c r="R111" s="111">
        <v>8</v>
      </c>
      <c r="S111" s="51">
        <v>13</v>
      </c>
      <c r="T111" s="339">
        <f t="shared" si="172"/>
        <v>56</v>
      </c>
      <c r="V111" s="371">
        <v>47.3</v>
      </c>
      <c r="W111" s="46">
        <v>3.18</v>
      </c>
      <c r="X111" s="100">
        <v>12.09</v>
      </c>
      <c r="Y111" s="37">
        <v>88.5</v>
      </c>
      <c r="Z111" s="46">
        <v>85.2</v>
      </c>
      <c r="AA111" s="16">
        <f t="shared" si="244"/>
        <v>3.2999999999999972</v>
      </c>
      <c r="AB111" s="66">
        <f t="shared" si="245"/>
        <v>3.8732394366197145E-2</v>
      </c>
      <c r="AC111" s="105" t="s">
        <v>6432</v>
      </c>
      <c r="AD111" s="17" t="s">
        <v>396</v>
      </c>
      <c r="AE111" s="89">
        <v>44508</v>
      </c>
      <c r="AF111" s="88">
        <v>44518</v>
      </c>
      <c r="AG111" s="34">
        <f t="shared" si="246"/>
        <v>10</v>
      </c>
      <c r="AH111" s="125" t="s">
        <v>2131</v>
      </c>
      <c r="AI111" s="131"/>
    </row>
    <row r="112" spans="1:35">
      <c r="A112" s="135" t="s">
        <v>2474</v>
      </c>
      <c r="B112" s="84">
        <v>71</v>
      </c>
      <c r="C112" s="84">
        <v>56</v>
      </c>
      <c r="D112" s="85">
        <v>-7</v>
      </c>
      <c r="E112" s="85">
        <v>-3</v>
      </c>
      <c r="F112" s="59">
        <v>22.93</v>
      </c>
      <c r="G112" s="85">
        <v>2492</v>
      </c>
      <c r="H112" s="268" t="s">
        <v>559</v>
      </c>
      <c r="I112" s="23" t="s">
        <v>344</v>
      </c>
      <c r="J112" s="371">
        <v>55.65</v>
      </c>
      <c r="K112" s="371">
        <v>22.59</v>
      </c>
      <c r="L112" s="77">
        <v>11.11</v>
      </c>
      <c r="N112" s="365">
        <f t="shared" ref="N112:N119" si="248">K112+J112+L112</f>
        <v>89.35</v>
      </c>
      <c r="P112" s="195">
        <v>24</v>
      </c>
      <c r="Q112" s="326">
        <v>12</v>
      </c>
      <c r="R112" s="111">
        <v>7</v>
      </c>
      <c r="S112" s="51">
        <v>10</v>
      </c>
      <c r="T112" s="339">
        <f t="shared" si="172"/>
        <v>53</v>
      </c>
      <c r="V112" s="371">
        <v>6.57</v>
      </c>
      <c r="W112" s="69">
        <v>6.01</v>
      </c>
      <c r="X112" s="59">
        <v>17.21</v>
      </c>
      <c r="Y112" s="37">
        <v>175</v>
      </c>
      <c r="Z112" s="69">
        <v>158</v>
      </c>
      <c r="AA112" s="16">
        <f t="shared" si="244"/>
        <v>17</v>
      </c>
      <c r="AB112" s="66">
        <f t="shared" si="245"/>
        <v>0.10759493670886076</v>
      </c>
      <c r="AC112" s="105" t="s">
        <v>6421</v>
      </c>
      <c r="AD112" s="23" t="s">
        <v>344</v>
      </c>
      <c r="AE112" s="89">
        <v>44503</v>
      </c>
      <c r="AF112" s="88">
        <v>44518</v>
      </c>
      <c r="AG112" s="34">
        <f t="shared" si="246"/>
        <v>15</v>
      </c>
      <c r="AH112" s="50" t="s">
        <v>4081</v>
      </c>
      <c r="AI112" s="131"/>
    </row>
    <row r="113" spans="1:35">
      <c r="A113" s="135" t="s">
        <v>5502</v>
      </c>
      <c r="B113" s="98">
        <v>1729</v>
      </c>
      <c r="C113" s="98">
        <v>1563</v>
      </c>
      <c r="D113" s="85">
        <v>-1</v>
      </c>
      <c r="E113" s="84">
        <v>55</v>
      </c>
      <c r="F113" s="59">
        <v>29.29</v>
      </c>
      <c r="G113" s="85">
        <v>3545</v>
      </c>
      <c r="H113" s="5" t="s">
        <v>558</v>
      </c>
      <c r="I113" s="23" t="s">
        <v>631</v>
      </c>
      <c r="J113" s="371">
        <v>21.71</v>
      </c>
      <c r="K113" s="371">
        <v>25.63</v>
      </c>
      <c r="L113" s="371">
        <v>39.58</v>
      </c>
      <c r="N113" s="365">
        <f t="shared" si="248"/>
        <v>86.92</v>
      </c>
      <c r="P113" s="195">
        <v>13</v>
      </c>
      <c r="Q113" s="326">
        <v>7</v>
      </c>
      <c r="R113" s="31">
        <v>20</v>
      </c>
      <c r="S113" s="51">
        <v>15</v>
      </c>
      <c r="T113" s="339">
        <f t="shared" si="172"/>
        <v>55</v>
      </c>
      <c r="V113" s="371">
        <v>11.99</v>
      </c>
      <c r="W113" s="46">
        <v>3.23</v>
      </c>
      <c r="X113" s="100">
        <v>16.53</v>
      </c>
      <c r="Y113" s="37">
        <v>173.5</v>
      </c>
      <c r="Z113" s="46">
        <v>150</v>
      </c>
      <c r="AA113" s="16">
        <f t="shared" si="244"/>
        <v>23.5</v>
      </c>
      <c r="AB113" s="66">
        <f t="shared" si="245"/>
        <v>0.15666666666666668</v>
      </c>
      <c r="AC113" s="105" t="s">
        <v>6414</v>
      </c>
      <c r="AD113" s="23" t="s">
        <v>631</v>
      </c>
      <c r="AE113" s="89">
        <v>44501</v>
      </c>
      <c r="AF113" s="88">
        <v>44518</v>
      </c>
      <c r="AG113" s="34">
        <f t="shared" si="246"/>
        <v>17</v>
      </c>
      <c r="AH113" s="63" t="s">
        <v>3725</v>
      </c>
      <c r="AI113" s="131"/>
    </row>
    <row r="114" spans="1:35">
      <c r="A114" s="135" t="s">
        <v>3309</v>
      </c>
      <c r="B114" s="84">
        <v>360</v>
      </c>
      <c r="C114" s="84">
        <v>271</v>
      </c>
      <c r="D114" s="84">
        <v>1</v>
      </c>
      <c r="E114" s="84">
        <v>38</v>
      </c>
      <c r="F114" s="59">
        <v>17.16</v>
      </c>
      <c r="G114" s="85">
        <v>2049</v>
      </c>
      <c r="H114" s="9" t="s">
        <v>544</v>
      </c>
      <c r="I114" s="23" t="s">
        <v>35</v>
      </c>
      <c r="J114" s="77">
        <v>60.65</v>
      </c>
      <c r="K114" s="371">
        <v>49.82</v>
      </c>
      <c r="L114" s="77">
        <v>1.57</v>
      </c>
      <c r="N114" s="365">
        <f t="shared" si="248"/>
        <v>112.03999999999999</v>
      </c>
      <c r="P114" s="195">
        <v>36</v>
      </c>
      <c r="Q114" s="326">
        <f>IFERROR(VLOOKUP($G114,主力整理!$A$2:$G$2301,6,0),"0")</f>
        <v>3</v>
      </c>
      <c r="R114" s="111">
        <v>3</v>
      </c>
      <c r="S114" s="51">
        <v>17</v>
      </c>
      <c r="T114" s="339">
        <f t="shared" si="172"/>
        <v>59</v>
      </c>
      <c r="V114" s="371">
        <v>4.46</v>
      </c>
      <c r="W114" s="35">
        <v>2.2999999999999998</v>
      </c>
      <c r="X114" s="59">
        <v>9.4700000000000006</v>
      </c>
      <c r="Y114" s="14">
        <v>293.5</v>
      </c>
      <c r="Z114" s="69">
        <v>341.5</v>
      </c>
      <c r="AA114" s="16">
        <f t="shared" si="244"/>
        <v>-48</v>
      </c>
      <c r="AB114" s="80">
        <f t="shared" si="245"/>
        <v>-0.14055636896046853</v>
      </c>
      <c r="AC114" s="107" t="s">
        <v>5360</v>
      </c>
      <c r="AD114" s="23" t="s">
        <v>35</v>
      </c>
      <c r="AE114" s="89">
        <v>44446</v>
      </c>
      <c r="AF114" s="88">
        <v>44518</v>
      </c>
      <c r="AG114" s="34">
        <f t="shared" si="246"/>
        <v>72</v>
      </c>
      <c r="AH114" s="126" t="s">
        <v>3724</v>
      </c>
      <c r="AI114" s="131"/>
    </row>
    <row r="115" spans="1:35">
      <c r="A115" s="151" t="s">
        <v>2463</v>
      </c>
      <c r="B115" s="85">
        <v>-22</v>
      </c>
      <c r="C115" s="85">
        <v>-7</v>
      </c>
      <c r="D115" s="85">
        <v>-5</v>
      </c>
      <c r="E115" s="84">
        <v>13</v>
      </c>
      <c r="F115" s="7">
        <v>0.95</v>
      </c>
      <c r="G115" s="84">
        <v>2356</v>
      </c>
      <c r="H115" s="212" t="s">
        <v>1815</v>
      </c>
      <c r="I115" s="23" t="s">
        <v>34</v>
      </c>
      <c r="J115" s="77">
        <v>77.8</v>
      </c>
      <c r="K115" s="77">
        <v>36.42</v>
      </c>
      <c r="L115" s="371">
        <v>0.32</v>
      </c>
      <c r="N115" s="365">
        <f t="shared" si="248"/>
        <v>114.53999999999999</v>
      </c>
      <c r="P115" s="195">
        <v>15</v>
      </c>
      <c r="Q115" s="326">
        <v>24</v>
      </c>
      <c r="R115" s="111">
        <v>1</v>
      </c>
      <c r="S115" s="51">
        <v>18</v>
      </c>
      <c r="T115" s="339">
        <f t="shared" si="172"/>
        <v>58</v>
      </c>
      <c r="V115" s="371">
        <v>13.45</v>
      </c>
      <c r="W115" s="73">
        <v>1.85</v>
      </c>
      <c r="X115" s="59">
        <v>1.67</v>
      </c>
      <c r="Y115" s="37">
        <v>26.85</v>
      </c>
      <c r="Z115" s="69">
        <v>26.65</v>
      </c>
      <c r="AA115" s="16">
        <f t="shared" si="244"/>
        <v>0.20000000000000284</v>
      </c>
      <c r="AB115" s="66">
        <f t="shared" si="245"/>
        <v>7.5046904315198065E-3</v>
      </c>
      <c r="AC115" s="105" t="s">
        <v>6445</v>
      </c>
      <c r="AD115" s="23" t="s">
        <v>34</v>
      </c>
      <c r="AE115" s="89">
        <v>44515</v>
      </c>
      <c r="AF115" s="88">
        <v>44517</v>
      </c>
      <c r="AG115" s="34">
        <f t="shared" si="246"/>
        <v>2</v>
      </c>
      <c r="AH115" s="125" t="s">
        <v>1697</v>
      </c>
      <c r="AI115" s="131"/>
    </row>
    <row r="116" spans="1:35">
      <c r="A116" s="151" t="s">
        <v>2467</v>
      </c>
      <c r="B116" s="84">
        <v>49</v>
      </c>
      <c r="C116" s="84">
        <v>20</v>
      </c>
      <c r="D116" s="84">
        <v>22</v>
      </c>
      <c r="E116" s="84">
        <v>11</v>
      </c>
      <c r="F116" s="7">
        <v>3.41</v>
      </c>
      <c r="G116" s="84">
        <v>2382</v>
      </c>
      <c r="H116" s="212" t="s">
        <v>1815</v>
      </c>
      <c r="I116" s="23" t="s">
        <v>381</v>
      </c>
      <c r="J116" s="77">
        <v>86.08</v>
      </c>
      <c r="K116" s="77">
        <v>31.64</v>
      </c>
      <c r="L116" s="77">
        <v>0.49</v>
      </c>
      <c r="N116" s="365">
        <f t="shared" si="248"/>
        <v>118.21</v>
      </c>
      <c r="P116" s="195">
        <v>49</v>
      </c>
      <c r="Q116" s="326">
        <v>21</v>
      </c>
      <c r="R116" s="111">
        <v>0</v>
      </c>
      <c r="S116" s="51">
        <v>8</v>
      </c>
      <c r="T116" s="339">
        <f t="shared" si="172"/>
        <v>78</v>
      </c>
      <c r="V116" s="371">
        <v>0.75</v>
      </c>
      <c r="W116" s="69">
        <v>5.2</v>
      </c>
      <c r="X116" s="59">
        <v>8.56</v>
      </c>
      <c r="Y116" s="37">
        <v>88.5</v>
      </c>
      <c r="Z116" s="69">
        <v>86</v>
      </c>
      <c r="AA116" s="16">
        <f t="shared" si="244"/>
        <v>2.5</v>
      </c>
      <c r="AB116" s="66">
        <f t="shared" si="245"/>
        <v>2.9069767441860465E-2</v>
      </c>
      <c r="AC116" s="105" t="s">
        <v>6440</v>
      </c>
      <c r="AD116" s="23" t="s">
        <v>381</v>
      </c>
      <c r="AE116" s="89">
        <v>44515</v>
      </c>
      <c r="AF116" s="88">
        <v>44517</v>
      </c>
      <c r="AG116" s="34">
        <f t="shared" si="246"/>
        <v>2</v>
      </c>
      <c r="AH116" s="125" t="s">
        <v>4262</v>
      </c>
      <c r="AI116" s="131"/>
    </row>
    <row r="117" spans="1:35">
      <c r="A117" s="135" t="s">
        <v>5466</v>
      </c>
      <c r="B117" s="84">
        <v>145</v>
      </c>
      <c r="C117" s="84">
        <v>167</v>
      </c>
      <c r="D117" s="85">
        <v>3</v>
      </c>
      <c r="E117" s="84">
        <v>50</v>
      </c>
      <c r="F117" s="59">
        <v>34.590000000000003</v>
      </c>
      <c r="G117" s="85">
        <v>6716</v>
      </c>
      <c r="H117" s="213" t="s">
        <v>558</v>
      </c>
      <c r="I117" s="17" t="s">
        <v>2890</v>
      </c>
      <c r="J117" s="77">
        <v>28.86</v>
      </c>
      <c r="K117" s="77">
        <v>1.78</v>
      </c>
      <c r="L117" s="371"/>
      <c r="N117" s="365">
        <f t="shared" si="248"/>
        <v>30.64</v>
      </c>
      <c r="P117" s="195">
        <v>1</v>
      </c>
      <c r="Q117" s="326" t="str">
        <f>IFERROR(VLOOKUP($G117,主力整理!$A$2:$G$2301,6,0),"0")</f>
        <v>0</v>
      </c>
      <c r="R117" s="111">
        <v>24</v>
      </c>
      <c r="S117" s="51">
        <v>0</v>
      </c>
      <c r="T117" s="339">
        <f t="shared" si="172"/>
        <v>25</v>
      </c>
      <c r="W117" s="69">
        <v>5</v>
      </c>
      <c r="X117" s="100">
        <v>8.7200000000000006</v>
      </c>
      <c r="Y117" s="37">
        <v>170</v>
      </c>
      <c r="Z117" s="69">
        <v>146.5</v>
      </c>
      <c r="AA117" s="16">
        <f t="shared" si="244"/>
        <v>23.5</v>
      </c>
      <c r="AB117" s="66">
        <f t="shared" si="245"/>
        <v>0.16040955631399317</v>
      </c>
      <c r="AC117" s="107" t="s">
        <v>6350</v>
      </c>
      <c r="AD117" s="17" t="s">
        <v>2890</v>
      </c>
      <c r="AE117" s="89">
        <v>44477</v>
      </c>
      <c r="AF117" s="88">
        <v>44517</v>
      </c>
      <c r="AG117" s="34">
        <f t="shared" si="246"/>
        <v>40</v>
      </c>
      <c r="AH117" s="63" t="s">
        <v>3691</v>
      </c>
      <c r="AI117" s="131"/>
    </row>
    <row r="118" spans="1:35">
      <c r="A118" s="151" t="s">
        <v>2497</v>
      </c>
      <c r="B118" s="84">
        <v>59</v>
      </c>
      <c r="C118" s="84">
        <v>68</v>
      </c>
      <c r="D118" s="85">
        <v>-4</v>
      </c>
      <c r="E118" s="85">
        <v>-13</v>
      </c>
      <c r="F118" s="7">
        <v>9.6199999999999992</v>
      </c>
      <c r="G118" s="85">
        <v>6121</v>
      </c>
      <c r="H118" s="203" t="s">
        <v>1815</v>
      </c>
      <c r="I118" s="17" t="s">
        <v>481</v>
      </c>
      <c r="J118" s="371">
        <v>50.91</v>
      </c>
      <c r="K118" s="371">
        <v>53.27</v>
      </c>
      <c r="L118" s="77">
        <v>4.29</v>
      </c>
      <c r="N118" s="365">
        <f t="shared" si="248"/>
        <v>108.47000000000001</v>
      </c>
      <c r="P118" s="195">
        <v>13</v>
      </c>
      <c r="Q118" s="326">
        <v>1</v>
      </c>
      <c r="R118" s="111">
        <v>0</v>
      </c>
      <c r="S118" s="51">
        <v>8</v>
      </c>
      <c r="T118" s="339">
        <f t="shared" si="172"/>
        <v>22</v>
      </c>
      <c r="V118" s="371">
        <v>0.5</v>
      </c>
      <c r="W118" s="69">
        <v>19.100000000000001</v>
      </c>
      <c r="X118" s="59">
        <v>35.18</v>
      </c>
      <c r="Y118" s="14">
        <v>330</v>
      </c>
      <c r="Z118" s="69">
        <v>299</v>
      </c>
      <c r="AA118" s="16">
        <f t="shared" si="244"/>
        <v>31</v>
      </c>
      <c r="AB118" s="66">
        <f t="shared" si="245"/>
        <v>0.10367892976588629</v>
      </c>
      <c r="AC118" s="105" t="s">
        <v>6439</v>
      </c>
      <c r="AD118" s="17" t="s">
        <v>481</v>
      </c>
      <c r="AE118" s="89">
        <v>44512</v>
      </c>
      <c r="AF118" s="88">
        <v>44516</v>
      </c>
      <c r="AG118" s="34">
        <f t="shared" si="246"/>
        <v>4</v>
      </c>
      <c r="AH118" s="125" t="s">
        <v>4022</v>
      </c>
      <c r="AI118" s="131"/>
    </row>
    <row r="119" spans="1:35">
      <c r="A119" s="135" t="s">
        <v>2555</v>
      </c>
      <c r="B119" s="84">
        <v>54</v>
      </c>
      <c r="C119" s="84">
        <v>48</v>
      </c>
      <c r="D119" s="84">
        <v>0</v>
      </c>
      <c r="E119" s="84">
        <v>35</v>
      </c>
      <c r="F119" s="59">
        <v>20.7</v>
      </c>
      <c r="G119" s="85">
        <v>3357</v>
      </c>
      <c r="H119" s="5" t="s">
        <v>559</v>
      </c>
      <c r="I119" s="17" t="s">
        <v>5165</v>
      </c>
      <c r="J119" s="77">
        <v>45.58</v>
      </c>
      <c r="K119" s="77">
        <v>11.02</v>
      </c>
      <c r="L119" s="371"/>
      <c r="N119" s="365">
        <f t="shared" si="248"/>
        <v>56.599999999999994</v>
      </c>
      <c r="P119" s="195">
        <v>6</v>
      </c>
      <c r="Q119" s="326" t="str">
        <f>IFERROR(VLOOKUP($G119,主力整理!$A$2:$G$2301,6,0),"0")</f>
        <v>0</v>
      </c>
      <c r="R119" s="111">
        <v>5</v>
      </c>
      <c r="S119" s="51">
        <v>0</v>
      </c>
      <c r="T119" s="339">
        <f t="shared" si="172"/>
        <v>11</v>
      </c>
      <c r="W119" s="69">
        <v>4.0999999999999996</v>
      </c>
      <c r="X119" s="100">
        <v>10.07</v>
      </c>
      <c r="Y119" s="37">
        <v>125.5</v>
      </c>
      <c r="Z119" s="69">
        <v>120</v>
      </c>
      <c r="AA119" s="16">
        <f t="shared" si="244"/>
        <v>5.5</v>
      </c>
      <c r="AB119" s="66">
        <f t="shared" si="245"/>
        <v>4.583333333333333E-2</v>
      </c>
      <c r="AC119" s="107" t="s">
        <v>6351</v>
      </c>
      <c r="AD119" s="17" t="s">
        <v>5165</v>
      </c>
      <c r="AE119" s="89">
        <v>44477</v>
      </c>
      <c r="AF119" s="88">
        <v>44512</v>
      </c>
      <c r="AG119" s="34">
        <f t="shared" si="246"/>
        <v>35</v>
      </c>
      <c r="AH119" s="63" t="s">
        <v>5166</v>
      </c>
      <c r="AI119" s="131"/>
    </row>
    <row r="120" spans="1:35">
      <c r="A120" s="135" t="s">
        <v>2546</v>
      </c>
      <c r="B120" s="84">
        <v>668</v>
      </c>
      <c r="C120" s="84">
        <v>684</v>
      </c>
      <c r="D120" s="84">
        <v>2</v>
      </c>
      <c r="E120" s="84">
        <v>58</v>
      </c>
      <c r="F120" s="59">
        <v>34.39</v>
      </c>
      <c r="G120" s="85">
        <v>2637</v>
      </c>
      <c r="H120" s="5" t="s">
        <v>551</v>
      </c>
      <c r="I120" s="23" t="s">
        <v>1481</v>
      </c>
      <c r="J120" s="371">
        <v>61.2</v>
      </c>
      <c r="K120" s="371">
        <v>10.76</v>
      </c>
      <c r="L120" s="77">
        <v>12.52</v>
      </c>
      <c r="N120" s="365">
        <f t="shared" ref="N120" si="249">K120+J120+L120</f>
        <v>84.48</v>
      </c>
      <c r="P120" s="195">
        <v>37</v>
      </c>
      <c r="Q120" s="326">
        <f>IFERROR(VLOOKUP($G120,主力整理!$A$2:$G$2301,6,0),"0")</f>
        <v>6</v>
      </c>
      <c r="R120" s="111">
        <v>15</v>
      </c>
      <c r="S120" s="51">
        <v>6</v>
      </c>
      <c r="T120" s="339">
        <f t="shared" si="172"/>
        <v>64</v>
      </c>
      <c r="V120" s="371">
        <v>0.52</v>
      </c>
      <c r="W120" s="35">
        <v>1.5</v>
      </c>
      <c r="X120" s="59">
        <v>4.04</v>
      </c>
      <c r="Y120" s="37">
        <v>72.599999999999994</v>
      </c>
      <c r="Z120" s="69">
        <v>78.900000000000006</v>
      </c>
      <c r="AA120" s="16">
        <f t="shared" ref="AA120" si="250">Y120-Z120</f>
        <v>-6.3000000000000114</v>
      </c>
      <c r="AB120" s="80">
        <f t="shared" ref="AB120" si="251">AA120/Z120</f>
        <v>-7.984790874524729E-2</v>
      </c>
      <c r="AC120" s="107" t="s">
        <v>6275</v>
      </c>
      <c r="AD120" s="23" t="s">
        <v>1481</v>
      </c>
      <c r="AE120" s="89">
        <v>44462</v>
      </c>
      <c r="AF120" s="88">
        <v>44510</v>
      </c>
      <c r="AG120" s="34">
        <f t="shared" ref="AG120" si="252">AF120-AE120</f>
        <v>48</v>
      </c>
      <c r="AH120" s="63" t="s">
        <v>3189</v>
      </c>
      <c r="AI120" s="131"/>
    </row>
    <row r="121" spans="1:35">
      <c r="A121" s="135" t="s">
        <v>2546</v>
      </c>
      <c r="B121" s="84">
        <v>668</v>
      </c>
      <c r="C121" s="84">
        <v>684</v>
      </c>
      <c r="D121" s="84">
        <v>2</v>
      </c>
      <c r="E121" s="84">
        <v>58</v>
      </c>
      <c r="F121" s="59">
        <v>34.39</v>
      </c>
      <c r="G121" s="84">
        <v>2637</v>
      </c>
      <c r="H121" s="5" t="s">
        <v>551</v>
      </c>
      <c r="I121" s="23" t="s">
        <v>1481</v>
      </c>
      <c r="J121" s="77">
        <v>62.97</v>
      </c>
      <c r="K121" s="371">
        <v>10.65</v>
      </c>
      <c r="L121" s="77">
        <v>12.97</v>
      </c>
      <c r="N121" s="365">
        <f>K121+J121+L121</f>
        <v>86.59</v>
      </c>
      <c r="P121" s="195">
        <v>36</v>
      </c>
      <c r="Q121" s="326">
        <f>IFERROR(VLOOKUP($G121,主力整理!$A$2:$G$2301,6,0),"0")</f>
        <v>6</v>
      </c>
      <c r="R121" s="111">
        <v>15</v>
      </c>
      <c r="S121" s="51">
        <v>6</v>
      </c>
      <c r="T121" s="339">
        <f t="shared" si="172"/>
        <v>63</v>
      </c>
      <c r="V121" s="371">
        <v>7.39</v>
      </c>
      <c r="W121" s="35">
        <v>1.5</v>
      </c>
      <c r="X121" s="59">
        <v>4.04</v>
      </c>
      <c r="Y121" s="37">
        <v>72.599999999999994</v>
      </c>
      <c r="Z121" s="69">
        <v>77.7</v>
      </c>
      <c r="AA121" s="16">
        <f>Y121-Z121</f>
        <v>-5.1000000000000085</v>
      </c>
      <c r="AB121" s="80">
        <f>AA121/Z121</f>
        <v>-6.5637065637065742E-2</v>
      </c>
      <c r="AC121" s="107" t="s">
        <v>5452</v>
      </c>
      <c r="AD121" s="23" t="s">
        <v>1481</v>
      </c>
      <c r="AE121" s="89">
        <v>44445</v>
      </c>
      <c r="AF121" s="88">
        <v>44510</v>
      </c>
      <c r="AG121" s="34">
        <f>AF121-AE121</f>
        <v>65</v>
      </c>
      <c r="AH121" s="63" t="s">
        <v>3189</v>
      </c>
      <c r="AI121" s="131"/>
    </row>
    <row r="122" spans="1:35">
      <c r="A122" s="151" t="s">
        <v>6368</v>
      </c>
      <c r="B122" s="84">
        <v>71</v>
      </c>
      <c r="C122" s="84">
        <v>66</v>
      </c>
      <c r="D122" s="84">
        <v>6</v>
      </c>
      <c r="E122" s="84">
        <v>22</v>
      </c>
      <c r="F122" s="7">
        <v>9.77</v>
      </c>
      <c r="G122" s="85">
        <v>3711</v>
      </c>
      <c r="H122" s="5" t="s">
        <v>558</v>
      </c>
      <c r="I122" s="23" t="s">
        <v>20</v>
      </c>
      <c r="J122" s="371">
        <v>84.85</v>
      </c>
      <c r="K122" s="371">
        <v>81.680000000000007</v>
      </c>
      <c r="L122" s="77">
        <v>0.87</v>
      </c>
      <c r="N122" s="365">
        <f t="shared" ref="N122" si="253">K122+J122+L122</f>
        <v>167.4</v>
      </c>
      <c r="P122" s="195">
        <v>48</v>
      </c>
      <c r="Q122" s="326">
        <v>10</v>
      </c>
      <c r="R122" s="111">
        <v>1</v>
      </c>
      <c r="S122" s="51">
        <v>25</v>
      </c>
      <c r="T122" s="339">
        <f t="shared" si="172"/>
        <v>84</v>
      </c>
      <c r="V122" s="371">
        <v>11.08</v>
      </c>
      <c r="W122" s="46">
        <v>4.1900000000000004</v>
      </c>
      <c r="X122" s="59">
        <v>8.3000000000000007</v>
      </c>
      <c r="Y122" s="14">
        <v>105</v>
      </c>
      <c r="Z122" s="69">
        <v>96.2</v>
      </c>
      <c r="AA122" s="16">
        <f t="shared" ref="AA122" si="254">Y122-Z122</f>
        <v>8.7999999999999972</v>
      </c>
      <c r="AB122" s="66">
        <f t="shared" ref="AB122" si="255">AA122/Z122</f>
        <v>9.147609147609144E-2</v>
      </c>
      <c r="AC122" s="105" t="s">
        <v>6371</v>
      </c>
      <c r="AD122" s="23" t="s">
        <v>20</v>
      </c>
      <c r="AE122" s="89">
        <v>44484</v>
      </c>
      <c r="AF122" s="88">
        <v>44509</v>
      </c>
      <c r="AG122" s="34">
        <f t="shared" ref="AG122" si="256">AF122-AE122</f>
        <v>25</v>
      </c>
      <c r="AH122" s="125" t="s">
        <v>3786</v>
      </c>
      <c r="AI122" s="131"/>
    </row>
    <row r="123" spans="1:35">
      <c r="A123" s="135" t="s">
        <v>5371</v>
      </c>
      <c r="B123" s="98">
        <v>7708</v>
      </c>
      <c r="C123" s="98">
        <v>8234</v>
      </c>
      <c r="D123" s="84">
        <v>11</v>
      </c>
      <c r="E123" s="84">
        <v>151</v>
      </c>
      <c r="F123" s="59">
        <v>52.7</v>
      </c>
      <c r="G123" s="85">
        <v>2609</v>
      </c>
      <c r="H123" s="5" t="s">
        <v>551</v>
      </c>
      <c r="I123" s="23" t="s">
        <v>1475</v>
      </c>
      <c r="J123" s="77">
        <v>55.24</v>
      </c>
      <c r="K123" s="371">
        <v>13.58</v>
      </c>
      <c r="L123" s="77">
        <v>25.51</v>
      </c>
      <c r="N123" s="365">
        <f t="shared" ref="N123:N151" si="257">K123+J123+L123</f>
        <v>94.330000000000013</v>
      </c>
      <c r="P123" s="195">
        <v>76</v>
      </c>
      <c r="Q123" s="326">
        <v>4</v>
      </c>
      <c r="R123" s="111">
        <v>34</v>
      </c>
      <c r="S123" s="51">
        <v>9</v>
      </c>
      <c r="T123" s="339">
        <f t="shared" si="172"/>
        <v>123</v>
      </c>
      <c r="V123" s="371">
        <v>7.42</v>
      </c>
      <c r="W123" s="35">
        <v>0</v>
      </c>
      <c r="X123" s="59">
        <v>24.24</v>
      </c>
      <c r="Y123" s="37">
        <v>116</v>
      </c>
      <c r="Z123" s="46">
        <v>108</v>
      </c>
      <c r="AA123" s="16">
        <f t="shared" ref="AA123:AA151" si="258">Y123-Z123</f>
        <v>8</v>
      </c>
      <c r="AB123" s="66">
        <f t="shared" ref="AB123:AB151" si="259">AA123/Z123</f>
        <v>7.407407407407407E-2</v>
      </c>
      <c r="AC123" s="107" t="s">
        <v>6300</v>
      </c>
      <c r="AD123" s="23" t="s">
        <v>1475</v>
      </c>
      <c r="AE123" s="89">
        <v>44470</v>
      </c>
      <c r="AF123" s="88">
        <v>44509</v>
      </c>
      <c r="AG123" s="34">
        <f t="shared" ref="AG123:AG151" si="260">AF123-AE123</f>
        <v>39</v>
      </c>
      <c r="AH123" s="63" t="s">
        <v>5209</v>
      </c>
      <c r="AI123" s="131"/>
    </row>
    <row r="124" spans="1:35">
      <c r="A124" s="135" t="s">
        <v>5371</v>
      </c>
      <c r="B124" s="98">
        <v>7708</v>
      </c>
      <c r="C124" s="98">
        <v>8234</v>
      </c>
      <c r="D124" s="84">
        <v>11</v>
      </c>
      <c r="E124" s="84">
        <v>151</v>
      </c>
      <c r="F124" s="59">
        <v>52.7</v>
      </c>
      <c r="G124" s="85">
        <v>2609</v>
      </c>
      <c r="H124" s="5" t="s">
        <v>551</v>
      </c>
      <c r="I124" s="23" t="s">
        <v>1475</v>
      </c>
      <c r="J124" s="371">
        <v>54.81</v>
      </c>
      <c r="K124" s="77">
        <v>13.89</v>
      </c>
      <c r="L124" s="371">
        <v>25.3</v>
      </c>
      <c r="N124" s="365">
        <f t="shared" si="257"/>
        <v>94</v>
      </c>
      <c r="P124" s="195">
        <v>75</v>
      </c>
      <c r="Q124" s="326">
        <f>IFERROR(VLOOKUP($G124,主力整理!$A$2:$G$2301,6,0),"0")</f>
        <v>2</v>
      </c>
      <c r="R124" s="111">
        <v>34</v>
      </c>
      <c r="S124" s="51">
        <v>9</v>
      </c>
      <c r="T124" s="339">
        <f t="shared" si="172"/>
        <v>120</v>
      </c>
      <c r="V124" s="371">
        <v>1.83</v>
      </c>
      <c r="W124" s="35">
        <v>0</v>
      </c>
      <c r="X124" s="59">
        <v>24.24</v>
      </c>
      <c r="Y124" s="37">
        <v>116</v>
      </c>
      <c r="Z124" s="46">
        <v>119.5</v>
      </c>
      <c r="AA124" s="16">
        <f t="shared" si="258"/>
        <v>-3.5</v>
      </c>
      <c r="AB124" s="80">
        <f t="shared" si="259"/>
        <v>-2.9288702928870293E-2</v>
      </c>
      <c r="AC124" s="107" t="s">
        <v>6268</v>
      </c>
      <c r="AD124" s="23" t="s">
        <v>1475</v>
      </c>
      <c r="AE124" s="89">
        <v>44461</v>
      </c>
      <c r="AF124" s="88">
        <v>44509</v>
      </c>
      <c r="AG124" s="34">
        <f t="shared" si="260"/>
        <v>48</v>
      </c>
      <c r="AH124" s="63" t="s">
        <v>5209</v>
      </c>
      <c r="AI124" s="131"/>
    </row>
    <row r="125" spans="1:35">
      <c r="A125" s="135" t="s">
        <v>5371</v>
      </c>
      <c r="B125" s="98">
        <v>7708</v>
      </c>
      <c r="C125" s="98">
        <v>8234</v>
      </c>
      <c r="D125" s="84">
        <v>11</v>
      </c>
      <c r="E125" s="84">
        <v>151</v>
      </c>
      <c r="F125" s="59">
        <v>52.7</v>
      </c>
      <c r="G125" s="84">
        <v>2609</v>
      </c>
      <c r="H125" s="5" t="s">
        <v>551</v>
      </c>
      <c r="I125" s="23" t="s">
        <v>1475</v>
      </c>
      <c r="J125" s="77">
        <v>54.9</v>
      </c>
      <c r="K125" s="371">
        <v>13.25</v>
      </c>
      <c r="L125" s="77">
        <v>25.61</v>
      </c>
      <c r="N125" s="365">
        <f t="shared" si="257"/>
        <v>93.76</v>
      </c>
      <c r="P125" s="195">
        <v>74</v>
      </c>
      <c r="Q125" s="326">
        <f>IFERROR(VLOOKUP($G125,主力整理!$A$2:$G$2301,6,0),"0")</f>
        <v>2</v>
      </c>
      <c r="R125" s="111">
        <v>34</v>
      </c>
      <c r="S125" s="51">
        <v>9</v>
      </c>
      <c r="T125" s="339">
        <f t="shared" si="172"/>
        <v>119</v>
      </c>
      <c r="V125" s="371">
        <v>6.44</v>
      </c>
      <c r="W125" s="35">
        <v>0</v>
      </c>
      <c r="X125" s="59">
        <v>24.24</v>
      </c>
      <c r="Y125" s="37">
        <v>116</v>
      </c>
      <c r="Z125" s="46">
        <v>117.5</v>
      </c>
      <c r="AA125" s="16">
        <f t="shared" si="258"/>
        <v>-1.5</v>
      </c>
      <c r="AB125" s="80">
        <f t="shared" si="259"/>
        <v>-1.276595744680851E-2</v>
      </c>
      <c r="AC125" s="107" t="s">
        <v>5607</v>
      </c>
      <c r="AD125" s="23" t="s">
        <v>1475</v>
      </c>
      <c r="AE125" s="89">
        <v>44453</v>
      </c>
      <c r="AF125" s="88">
        <v>44509</v>
      </c>
      <c r="AG125" s="34">
        <f t="shared" si="260"/>
        <v>56</v>
      </c>
      <c r="AH125" s="63" t="s">
        <v>5209</v>
      </c>
      <c r="AI125" s="131"/>
    </row>
    <row r="126" spans="1:35">
      <c r="A126" s="135" t="s">
        <v>5371</v>
      </c>
      <c r="B126" s="98">
        <v>7708</v>
      </c>
      <c r="C126" s="98">
        <v>8234</v>
      </c>
      <c r="D126" s="84">
        <v>6</v>
      </c>
      <c r="E126" s="84">
        <v>140</v>
      </c>
      <c r="F126" s="59">
        <v>52.7</v>
      </c>
      <c r="G126" s="84">
        <v>2609</v>
      </c>
      <c r="H126" s="5" t="s">
        <v>551</v>
      </c>
      <c r="I126" s="23" t="s">
        <v>1475</v>
      </c>
      <c r="J126" s="371">
        <v>54.86</v>
      </c>
      <c r="K126" s="77">
        <v>12.84</v>
      </c>
      <c r="L126" s="371">
        <v>24.92</v>
      </c>
      <c r="N126" s="365">
        <f t="shared" si="257"/>
        <v>92.62</v>
      </c>
      <c r="P126" s="195">
        <v>73</v>
      </c>
      <c r="Q126" s="326">
        <f>IFERROR(VLOOKUP($G126,主力整理!$A$2:$G$2301,6,0),"0")</f>
        <v>2</v>
      </c>
      <c r="R126" s="111">
        <v>34</v>
      </c>
      <c r="S126" s="51">
        <v>9</v>
      </c>
      <c r="T126" s="339">
        <f t="shared" si="172"/>
        <v>118</v>
      </c>
      <c r="V126" s="371">
        <v>7.65</v>
      </c>
      <c r="W126" s="35">
        <v>0</v>
      </c>
      <c r="X126" s="59">
        <v>24.24</v>
      </c>
      <c r="Y126" s="37">
        <v>116</v>
      </c>
      <c r="Z126" s="46">
        <v>122</v>
      </c>
      <c r="AA126" s="16">
        <f t="shared" si="258"/>
        <v>-6</v>
      </c>
      <c r="AB126" s="80">
        <f t="shared" si="259"/>
        <v>-4.9180327868852458E-2</v>
      </c>
      <c r="AC126" s="107" t="s">
        <v>5580</v>
      </c>
      <c r="AD126" s="23" t="s">
        <v>1475</v>
      </c>
      <c r="AE126" s="89">
        <v>44447</v>
      </c>
      <c r="AF126" s="88">
        <v>44509</v>
      </c>
      <c r="AG126" s="34">
        <f t="shared" si="260"/>
        <v>62</v>
      </c>
      <c r="AH126" s="63" t="s">
        <v>5209</v>
      </c>
      <c r="AI126" s="131"/>
    </row>
    <row r="127" spans="1:35">
      <c r="A127" s="135" t="s">
        <v>5371</v>
      </c>
      <c r="B127" s="98">
        <v>7708</v>
      </c>
      <c r="C127" s="98">
        <v>8234</v>
      </c>
      <c r="D127" s="84">
        <v>6</v>
      </c>
      <c r="E127" s="84">
        <v>140</v>
      </c>
      <c r="F127" s="59">
        <v>52.7</v>
      </c>
      <c r="G127" s="84">
        <v>2609</v>
      </c>
      <c r="H127" s="5" t="s">
        <v>551</v>
      </c>
      <c r="I127" s="23" t="s">
        <v>1475</v>
      </c>
      <c r="J127" s="371">
        <v>54.86</v>
      </c>
      <c r="K127" s="371">
        <v>12.54</v>
      </c>
      <c r="L127" s="371">
        <v>25.58</v>
      </c>
      <c r="N127" s="365">
        <f t="shared" si="257"/>
        <v>92.98</v>
      </c>
      <c r="P127" s="195">
        <v>72</v>
      </c>
      <c r="Q127" s="326">
        <f>IFERROR(VLOOKUP($G127,主力整理!$A$2:$G$2301,6,0),"0")</f>
        <v>2</v>
      </c>
      <c r="R127" s="111">
        <v>34</v>
      </c>
      <c r="S127" s="51">
        <v>9</v>
      </c>
      <c r="T127" s="339">
        <f t="shared" si="172"/>
        <v>117</v>
      </c>
      <c r="V127" s="371">
        <v>7.6</v>
      </c>
      <c r="W127" s="35">
        <v>0</v>
      </c>
      <c r="X127" s="59">
        <v>24.24</v>
      </c>
      <c r="Y127" s="37">
        <v>116</v>
      </c>
      <c r="Z127" s="46">
        <v>113</v>
      </c>
      <c r="AA127" s="16">
        <f t="shared" si="258"/>
        <v>3</v>
      </c>
      <c r="AB127" s="66">
        <f t="shared" si="259"/>
        <v>2.6548672566371681E-2</v>
      </c>
      <c r="AC127" s="107" t="s">
        <v>5566</v>
      </c>
      <c r="AD127" s="23" t="s">
        <v>1475</v>
      </c>
      <c r="AE127" s="89">
        <v>44445</v>
      </c>
      <c r="AF127" s="88">
        <v>44509</v>
      </c>
      <c r="AG127" s="34">
        <f t="shared" si="260"/>
        <v>64</v>
      </c>
      <c r="AH127" s="63" t="s">
        <v>5209</v>
      </c>
      <c r="AI127" s="131"/>
    </row>
    <row r="128" spans="1:35">
      <c r="A128" s="135" t="s">
        <v>5371</v>
      </c>
      <c r="B128" s="98">
        <v>7708</v>
      </c>
      <c r="C128" s="98">
        <v>8234</v>
      </c>
      <c r="D128" s="84">
        <v>6</v>
      </c>
      <c r="E128" s="84">
        <v>140</v>
      </c>
      <c r="F128" s="59">
        <v>52.7</v>
      </c>
      <c r="G128" s="84">
        <v>2609</v>
      </c>
      <c r="H128" s="5" t="s">
        <v>551</v>
      </c>
      <c r="I128" s="23" t="s">
        <v>1475</v>
      </c>
      <c r="J128" s="77">
        <v>56</v>
      </c>
      <c r="K128" s="77">
        <v>12.83</v>
      </c>
      <c r="L128" s="371">
        <v>27.04</v>
      </c>
      <c r="N128" s="365">
        <f t="shared" si="257"/>
        <v>95.87</v>
      </c>
      <c r="P128" s="195">
        <v>71</v>
      </c>
      <c r="Q128" s="326">
        <f>IFERROR(VLOOKUP($G128,主力整理!$A$2:$G$2301,6,0),"0")</f>
        <v>2</v>
      </c>
      <c r="R128" s="111">
        <v>34</v>
      </c>
      <c r="S128" s="51">
        <v>9</v>
      </c>
      <c r="T128" s="339">
        <f t="shared" si="172"/>
        <v>116</v>
      </c>
      <c r="V128" s="371">
        <v>7.42</v>
      </c>
      <c r="W128" s="35">
        <v>0</v>
      </c>
      <c r="X128" s="59">
        <v>24.24</v>
      </c>
      <c r="Y128" s="37">
        <v>116</v>
      </c>
      <c r="Z128" s="46">
        <v>125</v>
      </c>
      <c r="AA128" s="16">
        <f t="shared" si="258"/>
        <v>-9</v>
      </c>
      <c r="AB128" s="80">
        <f t="shared" si="259"/>
        <v>-7.1999999999999995E-2</v>
      </c>
      <c r="AC128" s="107" t="s">
        <v>5455</v>
      </c>
      <c r="AD128" s="23" t="s">
        <v>1475</v>
      </c>
      <c r="AE128" s="89">
        <v>44440</v>
      </c>
      <c r="AF128" s="88">
        <v>44509</v>
      </c>
      <c r="AG128" s="34">
        <f t="shared" si="260"/>
        <v>69</v>
      </c>
      <c r="AH128" s="63" t="s">
        <v>5209</v>
      </c>
      <c r="AI128" s="131"/>
    </row>
    <row r="129" spans="1:35">
      <c r="A129" s="135" t="s">
        <v>5371</v>
      </c>
      <c r="B129" s="98">
        <v>7708</v>
      </c>
      <c r="C129" s="98">
        <v>8234</v>
      </c>
      <c r="D129" s="84">
        <v>6</v>
      </c>
      <c r="E129" s="84">
        <v>140</v>
      </c>
      <c r="F129" s="59">
        <v>52.7</v>
      </c>
      <c r="G129" s="84">
        <v>2609</v>
      </c>
      <c r="H129" s="9" t="s">
        <v>551</v>
      </c>
      <c r="I129" s="23" t="s">
        <v>1475</v>
      </c>
      <c r="J129" s="77">
        <v>56</v>
      </c>
      <c r="K129" s="77">
        <v>12.73</v>
      </c>
      <c r="L129" s="371">
        <v>27.59</v>
      </c>
      <c r="N129" s="365">
        <f t="shared" si="257"/>
        <v>96.320000000000007</v>
      </c>
      <c r="P129" s="232"/>
      <c r="Q129" s="326">
        <f>IFERROR(VLOOKUP($G129,主力整理!$A$2:$G$2301,6,0),"0")</f>
        <v>2</v>
      </c>
      <c r="R129" s="111">
        <v>34</v>
      </c>
      <c r="S129" s="51">
        <v>9</v>
      </c>
      <c r="T129" s="339">
        <f t="shared" si="172"/>
        <v>45</v>
      </c>
      <c r="V129" s="371">
        <v>7.26</v>
      </c>
      <c r="W129" s="35">
        <v>0</v>
      </c>
      <c r="X129" s="59">
        <v>24.24</v>
      </c>
      <c r="Y129" s="37">
        <v>116</v>
      </c>
      <c r="Z129" s="46">
        <v>136</v>
      </c>
      <c r="AA129" s="16">
        <f t="shared" si="258"/>
        <v>-20</v>
      </c>
      <c r="AB129" s="80">
        <f t="shared" si="259"/>
        <v>-0.14705882352941177</v>
      </c>
      <c r="AC129" s="107" t="s">
        <v>5544</v>
      </c>
      <c r="AD129" s="23" t="s">
        <v>1475</v>
      </c>
      <c r="AE129" s="89">
        <v>44438</v>
      </c>
      <c r="AF129" s="88">
        <v>44509</v>
      </c>
      <c r="AG129" s="34">
        <f t="shared" si="260"/>
        <v>71</v>
      </c>
      <c r="AH129" s="63" t="s">
        <v>5209</v>
      </c>
      <c r="AI129" s="131"/>
    </row>
    <row r="130" spans="1:35">
      <c r="A130" s="135" t="s">
        <v>5371</v>
      </c>
      <c r="B130" s="98">
        <v>7708</v>
      </c>
      <c r="C130" s="98">
        <v>8234</v>
      </c>
      <c r="D130" s="84">
        <v>6</v>
      </c>
      <c r="E130" s="84">
        <v>140</v>
      </c>
      <c r="F130" s="59">
        <v>52.7</v>
      </c>
      <c r="G130" s="84">
        <v>2609</v>
      </c>
      <c r="H130" s="9" t="s">
        <v>551</v>
      </c>
      <c r="I130" s="23" t="s">
        <v>1475</v>
      </c>
      <c r="J130" s="371">
        <v>55.53</v>
      </c>
      <c r="K130" s="77">
        <v>13.14</v>
      </c>
      <c r="L130" s="77">
        <v>27.8</v>
      </c>
      <c r="N130" s="365">
        <f t="shared" si="257"/>
        <v>96.47</v>
      </c>
      <c r="P130" s="232"/>
      <c r="Q130" s="326">
        <f>IFERROR(VLOOKUP($G130,主力整理!$A$2:$G$2301,6,0),"0")</f>
        <v>2</v>
      </c>
      <c r="R130" s="111">
        <v>34</v>
      </c>
      <c r="S130" s="51">
        <v>9</v>
      </c>
      <c r="T130" s="339">
        <f t="shared" si="172"/>
        <v>45</v>
      </c>
      <c r="V130" s="371">
        <v>6.69</v>
      </c>
      <c r="W130" s="35">
        <v>0</v>
      </c>
      <c r="X130" s="59">
        <v>24.24</v>
      </c>
      <c r="Y130" s="37">
        <v>116</v>
      </c>
      <c r="Z130" s="46">
        <v>134.5</v>
      </c>
      <c r="AA130" s="16">
        <f t="shared" si="258"/>
        <v>-18.5</v>
      </c>
      <c r="AB130" s="80">
        <f t="shared" si="259"/>
        <v>-0.13754646840148699</v>
      </c>
      <c r="AC130" s="107" t="s">
        <v>5510</v>
      </c>
      <c r="AD130" s="23" t="s">
        <v>1475</v>
      </c>
      <c r="AE130" s="89">
        <v>44432</v>
      </c>
      <c r="AF130" s="88">
        <v>44509</v>
      </c>
      <c r="AG130" s="34">
        <f t="shared" si="260"/>
        <v>77</v>
      </c>
      <c r="AH130" s="63" t="s">
        <v>5209</v>
      </c>
      <c r="AI130" s="131"/>
    </row>
    <row r="131" spans="1:35">
      <c r="A131" s="135" t="s">
        <v>5371</v>
      </c>
      <c r="B131" s="98">
        <v>7708</v>
      </c>
      <c r="C131" s="98">
        <v>8234</v>
      </c>
      <c r="D131" s="84">
        <v>6</v>
      </c>
      <c r="E131" s="84">
        <v>140</v>
      </c>
      <c r="F131" s="59">
        <v>52.7</v>
      </c>
      <c r="G131" s="84">
        <v>2609</v>
      </c>
      <c r="H131" s="9" t="s">
        <v>551</v>
      </c>
      <c r="I131" s="23" t="s">
        <v>1475</v>
      </c>
      <c r="J131" s="371">
        <v>55.53</v>
      </c>
      <c r="K131" s="77">
        <v>12.5</v>
      </c>
      <c r="L131" s="77">
        <v>26.95</v>
      </c>
      <c r="N131" s="365">
        <f t="shared" si="257"/>
        <v>94.98</v>
      </c>
      <c r="P131" s="232"/>
      <c r="Q131" s="326">
        <f>IFERROR(VLOOKUP($G131,主力整理!$A$2:$G$2301,6,0),"0")</f>
        <v>2</v>
      </c>
      <c r="R131" s="111">
        <v>33</v>
      </c>
      <c r="S131" s="51">
        <v>8</v>
      </c>
      <c r="T131" s="339">
        <f t="shared" si="172"/>
        <v>43</v>
      </c>
      <c r="V131" s="371">
        <v>7.5</v>
      </c>
      <c r="W131" s="35">
        <v>0</v>
      </c>
      <c r="X131" s="59">
        <v>24.24</v>
      </c>
      <c r="Y131" s="37">
        <v>116</v>
      </c>
      <c r="Z131" s="46">
        <v>139.5</v>
      </c>
      <c r="AA131" s="16">
        <f t="shared" si="258"/>
        <v>-23.5</v>
      </c>
      <c r="AB131" s="80">
        <f t="shared" si="259"/>
        <v>-0.16845878136200718</v>
      </c>
      <c r="AC131" s="107" t="s">
        <v>5510</v>
      </c>
      <c r="AD131" s="23" t="s">
        <v>1475</v>
      </c>
      <c r="AE131" s="89">
        <v>44431</v>
      </c>
      <c r="AF131" s="88">
        <v>44509</v>
      </c>
      <c r="AG131" s="34">
        <f t="shared" si="260"/>
        <v>78</v>
      </c>
      <c r="AH131" s="63" t="s">
        <v>5209</v>
      </c>
      <c r="AI131" s="131"/>
    </row>
    <row r="132" spans="1:35">
      <c r="A132" s="135" t="s">
        <v>5371</v>
      </c>
      <c r="B132" s="98">
        <v>7708</v>
      </c>
      <c r="C132" s="98">
        <v>8234</v>
      </c>
      <c r="D132" s="84">
        <v>6</v>
      </c>
      <c r="E132" s="84">
        <v>140</v>
      </c>
      <c r="F132" s="59">
        <v>52.7</v>
      </c>
      <c r="G132" s="84">
        <v>2609</v>
      </c>
      <c r="H132" s="9" t="s">
        <v>551</v>
      </c>
      <c r="I132" s="23" t="s">
        <v>1475</v>
      </c>
      <c r="J132" s="77">
        <v>56.53</v>
      </c>
      <c r="K132" s="77">
        <v>12.78</v>
      </c>
      <c r="L132" s="77">
        <v>27.59</v>
      </c>
      <c r="N132" s="365">
        <f t="shared" si="257"/>
        <v>96.9</v>
      </c>
      <c r="P132" s="232"/>
      <c r="Q132" s="326">
        <f>IFERROR(VLOOKUP($G132,主力整理!$A$2:$G$2301,6,0),"0")</f>
        <v>2</v>
      </c>
      <c r="R132" s="111">
        <v>33</v>
      </c>
      <c r="S132" s="51">
        <v>7</v>
      </c>
      <c r="T132" s="339">
        <f t="shared" si="172"/>
        <v>42</v>
      </c>
      <c r="V132" s="371">
        <v>7.29</v>
      </c>
      <c r="W132" s="35">
        <v>0</v>
      </c>
      <c r="X132" s="59">
        <v>24.24</v>
      </c>
      <c r="Y132" s="37">
        <v>116</v>
      </c>
      <c r="Z132" s="46">
        <v>126.5</v>
      </c>
      <c r="AA132" s="16">
        <f t="shared" si="258"/>
        <v>-10.5</v>
      </c>
      <c r="AB132" s="80">
        <f t="shared" si="259"/>
        <v>-8.3003952569169967E-2</v>
      </c>
      <c r="AC132" s="107" t="s">
        <v>5498</v>
      </c>
      <c r="AD132" s="23" t="s">
        <v>1475</v>
      </c>
      <c r="AE132" s="89">
        <v>44426</v>
      </c>
      <c r="AF132" s="88">
        <v>44509</v>
      </c>
      <c r="AG132" s="34">
        <f t="shared" si="260"/>
        <v>83</v>
      </c>
      <c r="AH132" s="63" t="s">
        <v>5209</v>
      </c>
      <c r="AI132" s="131"/>
    </row>
    <row r="133" spans="1:35">
      <c r="A133" s="135" t="s">
        <v>5371</v>
      </c>
      <c r="B133" s="98">
        <v>7708</v>
      </c>
      <c r="C133" s="98">
        <v>8234</v>
      </c>
      <c r="D133" s="84">
        <v>6</v>
      </c>
      <c r="E133" s="84">
        <v>140</v>
      </c>
      <c r="F133" s="59">
        <v>52.7</v>
      </c>
      <c r="G133" s="84">
        <v>2609</v>
      </c>
      <c r="H133" s="9" t="s">
        <v>551</v>
      </c>
      <c r="I133" s="23" t="s">
        <v>1475</v>
      </c>
      <c r="J133" s="77">
        <v>56.53</v>
      </c>
      <c r="K133" s="77">
        <v>12.29</v>
      </c>
      <c r="L133" s="371">
        <v>25.95</v>
      </c>
      <c r="N133" s="365">
        <f t="shared" si="257"/>
        <v>94.77</v>
      </c>
      <c r="P133" s="232"/>
      <c r="Q133" s="326">
        <f>IFERROR(VLOOKUP($G133,主力整理!$A$2:$G$2301,6,0),"0")</f>
        <v>2</v>
      </c>
      <c r="R133" s="111">
        <v>33</v>
      </c>
      <c r="S133" s="51">
        <v>6</v>
      </c>
      <c r="T133" s="339">
        <f t="shared" si="172"/>
        <v>41</v>
      </c>
      <c r="V133" s="371">
        <v>7.67</v>
      </c>
      <c r="W133" s="35">
        <v>0</v>
      </c>
      <c r="X133" s="59">
        <v>24.24</v>
      </c>
      <c r="Y133" s="37">
        <v>116</v>
      </c>
      <c r="Z133" s="46">
        <v>136.5</v>
      </c>
      <c r="AA133" s="16">
        <f t="shared" si="258"/>
        <v>-20.5</v>
      </c>
      <c r="AB133" s="80">
        <f t="shared" si="259"/>
        <v>-0.15018315018315018</v>
      </c>
      <c r="AC133" s="107" t="s">
        <v>5471</v>
      </c>
      <c r="AD133" s="23" t="s">
        <v>1475</v>
      </c>
      <c r="AE133" s="89">
        <v>44426</v>
      </c>
      <c r="AF133" s="88">
        <v>44509</v>
      </c>
      <c r="AG133" s="34">
        <f t="shared" si="260"/>
        <v>83</v>
      </c>
      <c r="AH133" s="63" t="s">
        <v>5209</v>
      </c>
      <c r="AI133" s="131"/>
    </row>
    <row r="134" spans="1:35">
      <c r="A134" s="135" t="s">
        <v>5371</v>
      </c>
      <c r="B134" s="98">
        <v>7708</v>
      </c>
      <c r="C134" s="98">
        <v>8234</v>
      </c>
      <c r="D134" s="84">
        <v>6</v>
      </c>
      <c r="E134" s="84">
        <v>140</v>
      </c>
      <c r="F134" s="59">
        <v>52.7</v>
      </c>
      <c r="G134" s="84">
        <v>2609</v>
      </c>
      <c r="H134" s="9" t="s">
        <v>551</v>
      </c>
      <c r="I134" s="23" t="s">
        <v>1475</v>
      </c>
      <c r="J134" s="77">
        <v>56.53</v>
      </c>
      <c r="K134" s="371">
        <v>12.26</v>
      </c>
      <c r="L134" s="371">
        <v>26.51</v>
      </c>
      <c r="N134" s="365">
        <f t="shared" si="257"/>
        <v>95.300000000000011</v>
      </c>
      <c r="P134" s="232"/>
      <c r="Q134" s="326">
        <f>IFERROR(VLOOKUP($G134,主力整理!$A$2:$G$2301,6,0),"0")</f>
        <v>2</v>
      </c>
      <c r="R134" s="111">
        <v>33</v>
      </c>
      <c r="S134" s="51">
        <v>6</v>
      </c>
      <c r="T134" s="339">
        <f t="shared" si="172"/>
        <v>41</v>
      </c>
      <c r="V134" s="371">
        <v>7.82</v>
      </c>
      <c r="W134" s="35">
        <v>0</v>
      </c>
      <c r="X134" s="59">
        <v>24.24</v>
      </c>
      <c r="Y134" s="37">
        <v>116</v>
      </c>
      <c r="Z134" s="46">
        <v>124.5</v>
      </c>
      <c r="AA134" s="16">
        <f t="shared" si="258"/>
        <v>-8.5</v>
      </c>
      <c r="AB134" s="80">
        <f t="shared" si="259"/>
        <v>-6.8273092369477914E-2</v>
      </c>
      <c r="AC134" s="107" t="s">
        <v>5484</v>
      </c>
      <c r="AD134" s="23" t="s">
        <v>1475</v>
      </c>
      <c r="AE134" s="89">
        <v>44425</v>
      </c>
      <c r="AF134" s="88">
        <v>44509</v>
      </c>
      <c r="AG134" s="34">
        <f t="shared" si="260"/>
        <v>84</v>
      </c>
      <c r="AH134" s="63" t="s">
        <v>5209</v>
      </c>
      <c r="AI134" s="131"/>
    </row>
    <row r="135" spans="1:35">
      <c r="A135" s="135" t="s">
        <v>5371</v>
      </c>
      <c r="B135" s="98">
        <v>3355</v>
      </c>
      <c r="C135" s="246">
        <v>12352</v>
      </c>
      <c r="D135" s="84">
        <v>6</v>
      </c>
      <c r="E135" s="84">
        <v>140</v>
      </c>
      <c r="F135" s="59">
        <v>46.7</v>
      </c>
      <c r="G135" s="84">
        <v>2609</v>
      </c>
      <c r="H135" s="9" t="s">
        <v>551</v>
      </c>
      <c r="I135" s="23" t="s">
        <v>1475</v>
      </c>
      <c r="J135" s="77">
        <v>55.76</v>
      </c>
      <c r="K135" s="371">
        <v>12.76</v>
      </c>
      <c r="L135" s="77">
        <v>25.38</v>
      </c>
      <c r="N135" s="365">
        <f t="shared" si="257"/>
        <v>93.899999999999991</v>
      </c>
      <c r="P135" s="232"/>
      <c r="Q135" s="326">
        <f>IFERROR(VLOOKUP($G135,主力整理!$A$2:$G$2301,6,0),"0")</f>
        <v>2</v>
      </c>
      <c r="R135" s="111">
        <v>33</v>
      </c>
      <c r="S135" s="51">
        <v>6</v>
      </c>
      <c r="T135" s="339">
        <f t="shared" si="172"/>
        <v>41</v>
      </c>
      <c r="V135" s="371">
        <v>8.68</v>
      </c>
      <c r="W135" s="35">
        <v>0</v>
      </c>
      <c r="X135" s="59">
        <v>13.4</v>
      </c>
      <c r="Y135" s="37">
        <v>116</v>
      </c>
      <c r="Z135" s="46">
        <v>133</v>
      </c>
      <c r="AA135" s="16">
        <f t="shared" si="258"/>
        <v>-17</v>
      </c>
      <c r="AB135" s="80">
        <f t="shared" si="259"/>
        <v>-0.12781954887218044</v>
      </c>
      <c r="AC135" s="107" t="s">
        <v>5473</v>
      </c>
      <c r="AD135" s="23" t="s">
        <v>1475</v>
      </c>
      <c r="AE135" s="89">
        <v>44421</v>
      </c>
      <c r="AF135" s="88">
        <v>44509</v>
      </c>
      <c r="AG135" s="34">
        <f t="shared" si="260"/>
        <v>88</v>
      </c>
      <c r="AH135" s="63" t="s">
        <v>5209</v>
      </c>
      <c r="AI135" s="131"/>
    </row>
    <row r="136" spans="1:35">
      <c r="A136" s="135" t="s">
        <v>5371</v>
      </c>
      <c r="B136" s="98">
        <v>3355</v>
      </c>
      <c r="C136" s="246">
        <v>12352</v>
      </c>
      <c r="D136" s="84">
        <v>14</v>
      </c>
      <c r="E136" s="84">
        <v>152</v>
      </c>
      <c r="F136" s="59">
        <v>46.7</v>
      </c>
      <c r="G136" s="84">
        <v>2609</v>
      </c>
      <c r="H136" s="9" t="s">
        <v>551</v>
      </c>
      <c r="I136" s="23" t="s">
        <v>1475</v>
      </c>
      <c r="J136" s="77">
        <v>55.76</v>
      </c>
      <c r="K136" s="371">
        <v>12.84</v>
      </c>
      <c r="L136" s="371">
        <v>23.2</v>
      </c>
      <c r="N136" s="365">
        <f t="shared" si="257"/>
        <v>91.8</v>
      </c>
      <c r="P136" s="232"/>
      <c r="Q136" s="326">
        <f>IFERROR(VLOOKUP($G136,主力整理!$A$2:$G$2301,6,0),"0")</f>
        <v>2</v>
      </c>
      <c r="R136" s="111">
        <v>33</v>
      </c>
      <c r="S136" s="51">
        <v>6</v>
      </c>
      <c r="T136" s="339">
        <f t="shared" si="172"/>
        <v>41</v>
      </c>
      <c r="V136" s="371">
        <v>4.55</v>
      </c>
      <c r="W136" s="35">
        <v>0</v>
      </c>
      <c r="X136" s="59">
        <v>13.4</v>
      </c>
      <c r="Y136" s="37">
        <v>116</v>
      </c>
      <c r="Z136" s="46">
        <v>125</v>
      </c>
      <c r="AA136" s="16">
        <f t="shared" si="258"/>
        <v>-9</v>
      </c>
      <c r="AB136" s="80">
        <f t="shared" si="259"/>
        <v>-7.1999999999999995E-2</v>
      </c>
      <c r="AC136" s="107" t="s">
        <v>5467</v>
      </c>
      <c r="AD136" s="23" t="s">
        <v>1475</v>
      </c>
      <c r="AE136" s="89">
        <v>44419</v>
      </c>
      <c r="AF136" s="88">
        <v>44509</v>
      </c>
      <c r="AG136" s="34">
        <f t="shared" si="260"/>
        <v>90</v>
      </c>
      <c r="AH136" s="63" t="s">
        <v>5209</v>
      </c>
      <c r="AI136" s="131"/>
    </row>
    <row r="137" spans="1:35">
      <c r="A137" s="135" t="s">
        <v>5371</v>
      </c>
      <c r="B137" s="98">
        <v>3355</v>
      </c>
      <c r="C137" s="246">
        <v>12352</v>
      </c>
      <c r="D137" s="84">
        <v>14</v>
      </c>
      <c r="E137" s="84">
        <v>152</v>
      </c>
      <c r="F137" s="59">
        <v>46.7</v>
      </c>
      <c r="G137" s="84">
        <v>2609</v>
      </c>
      <c r="H137" s="9" t="s">
        <v>551</v>
      </c>
      <c r="I137" s="23" t="s">
        <v>1475</v>
      </c>
      <c r="J137" s="77">
        <v>55.76</v>
      </c>
      <c r="K137" s="371">
        <v>12.83</v>
      </c>
      <c r="L137" s="371">
        <v>23.69</v>
      </c>
      <c r="N137" s="365">
        <f t="shared" si="257"/>
        <v>92.28</v>
      </c>
      <c r="P137" s="232"/>
      <c r="Q137" s="326">
        <f>IFERROR(VLOOKUP($G137,主力整理!$A$2:$G$2301,6,0),"0")</f>
        <v>2</v>
      </c>
      <c r="R137" s="111">
        <v>33</v>
      </c>
      <c r="S137" s="51">
        <v>6</v>
      </c>
      <c r="T137" s="339">
        <f t="shared" si="172"/>
        <v>41</v>
      </c>
      <c r="V137" s="371">
        <v>4.83</v>
      </c>
      <c r="W137" s="35">
        <v>0</v>
      </c>
      <c r="X137" s="59">
        <v>13.4</v>
      </c>
      <c r="Y137" s="37">
        <v>116</v>
      </c>
      <c r="Z137" s="46">
        <v>130</v>
      </c>
      <c r="AA137" s="16">
        <f t="shared" si="258"/>
        <v>-14</v>
      </c>
      <c r="AB137" s="80">
        <f t="shared" si="259"/>
        <v>-0.1076923076923077</v>
      </c>
      <c r="AC137" s="105" t="s">
        <v>5449</v>
      </c>
      <c r="AD137" s="23" t="s">
        <v>1475</v>
      </c>
      <c r="AE137" s="89">
        <v>44418</v>
      </c>
      <c r="AF137" s="88">
        <v>44509</v>
      </c>
      <c r="AG137" s="34">
        <f t="shared" si="260"/>
        <v>91</v>
      </c>
      <c r="AH137" s="63" t="s">
        <v>5209</v>
      </c>
      <c r="AI137" s="131"/>
    </row>
    <row r="138" spans="1:35">
      <c r="A138" s="135" t="s">
        <v>5371</v>
      </c>
      <c r="B138" s="98">
        <v>3355</v>
      </c>
      <c r="C138" s="246">
        <v>12352</v>
      </c>
      <c r="D138" s="84">
        <v>14</v>
      </c>
      <c r="E138" s="84">
        <v>152</v>
      </c>
      <c r="F138" s="59">
        <v>46.7</v>
      </c>
      <c r="G138" s="84">
        <v>2609</v>
      </c>
      <c r="H138" s="9" t="s">
        <v>551</v>
      </c>
      <c r="I138" s="23" t="s">
        <v>1475</v>
      </c>
      <c r="J138" s="77">
        <v>55.76</v>
      </c>
      <c r="K138" s="77">
        <v>13</v>
      </c>
      <c r="L138" s="371">
        <v>23.86</v>
      </c>
      <c r="N138" s="365">
        <f t="shared" si="257"/>
        <v>92.61999999999999</v>
      </c>
      <c r="P138" s="232"/>
      <c r="Q138" s="326">
        <f>IFERROR(VLOOKUP($G138,主力整理!$A$2:$G$2301,6,0),"0")</f>
        <v>2</v>
      </c>
      <c r="R138" s="111">
        <v>33</v>
      </c>
      <c r="S138" s="51">
        <v>6</v>
      </c>
      <c r="T138" s="339">
        <f t="shared" si="172"/>
        <v>41</v>
      </c>
      <c r="V138" s="371">
        <v>4.71</v>
      </c>
      <c r="W138" s="35">
        <v>0</v>
      </c>
      <c r="X138" s="59">
        <v>13.4</v>
      </c>
      <c r="Y138" s="37">
        <v>116</v>
      </c>
      <c r="Z138" s="46">
        <v>132.5</v>
      </c>
      <c r="AA138" s="16">
        <f t="shared" si="258"/>
        <v>-16.5</v>
      </c>
      <c r="AB138" s="80">
        <f t="shared" si="259"/>
        <v>-0.12452830188679245</v>
      </c>
      <c r="AC138" s="107" t="s">
        <v>5449</v>
      </c>
      <c r="AD138" s="23" t="s">
        <v>1475</v>
      </c>
      <c r="AE138" s="89">
        <v>44417</v>
      </c>
      <c r="AF138" s="88">
        <v>44509</v>
      </c>
      <c r="AG138" s="34">
        <f t="shared" si="260"/>
        <v>92</v>
      </c>
      <c r="AH138" s="63" t="s">
        <v>5209</v>
      </c>
      <c r="AI138" s="131"/>
    </row>
    <row r="139" spans="1:35">
      <c r="A139" s="135" t="s">
        <v>5371</v>
      </c>
      <c r="B139" s="98">
        <v>3355</v>
      </c>
      <c r="C139" s="246">
        <v>12352</v>
      </c>
      <c r="D139" s="84">
        <v>14</v>
      </c>
      <c r="E139" s="84">
        <v>152</v>
      </c>
      <c r="F139" s="59">
        <v>46.7</v>
      </c>
      <c r="G139" s="84">
        <v>2609</v>
      </c>
      <c r="H139" s="5" t="s">
        <v>551</v>
      </c>
      <c r="I139" s="23" t="s">
        <v>1475</v>
      </c>
      <c r="J139" s="371">
        <v>55.69</v>
      </c>
      <c r="K139" s="371">
        <v>12.91</v>
      </c>
      <c r="L139" s="371">
        <v>24.15</v>
      </c>
      <c r="N139" s="365">
        <f t="shared" si="257"/>
        <v>92.75</v>
      </c>
      <c r="P139" s="232"/>
      <c r="Q139" s="326">
        <f>IFERROR(VLOOKUP($G139,主力整理!$A$2:$G$2301,6,0),"0")</f>
        <v>2</v>
      </c>
      <c r="R139" s="111">
        <v>33</v>
      </c>
      <c r="S139" s="51">
        <v>6</v>
      </c>
      <c r="T139" s="339">
        <f t="shared" si="172"/>
        <v>41</v>
      </c>
      <c r="V139" s="371">
        <v>4.67</v>
      </c>
      <c r="W139" s="35">
        <v>0</v>
      </c>
      <c r="X139" s="59">
        <v>13.4</v>
      </c>
      <c r="Y139" s="37">
        <v>116</v>
      </c>
      <c r="Z139" s="46">
        <v>131</v>
      </c>
      <c r="AA139" s="16">
        <f t="shared" si="258"/>
        <v>-15</v>
      </c>
      <c r="AB139" s="80">
        <f t="shared" si="259"/>
        <v>-0.11450381679389313</v>
      </c>
      <c r="AC139" s="107" t="s">
        <v>5442</v>
      </c>
      <c r="AD139" s="23" t="s">
        <v>1475</v>
      </c>
      <c r="AE139" s="89">
        <v>44414</v>
      </c>
      <c r="AF139" s="88">
        <v>44509</v>
      </c>
      <c r="AG139" s="34">
        <f t="shared" si="260"/>
        <v>95</v>
      </c>
      <c r="AH139" s="63" t="s">
        <v>5209</v>
      </c>
      <c r="AI139" s="131"/>
    </row>
    <row r="140" spans="1:35">
      <c r="A140" s="135" t="s">
        <v>5396</v>
      </c>
      <c r="B140" s="98">
        <v>2783</v>
      </c>
      <c r="C140" s="98">
        <v>1586</v>
      </c>
      <c r="D140" s="84">
        <v>9</v>
      </c>
      <c r="E140" s="84">
        <v>164</v>
      </c>
      <c r="F140" s="59">
        <v>50.54</v>
      </c>
      <c r="G140" s="85">
        <v>2603</v>
      </c>
      <c r="H140" s="5" t="s">
        <v>551</v>
      </c>
      <c r="I140" s="23" t="s">
        <v>486</v>
      </c>
      <c r="J140" s="77">
        <v>56.93</v>
      </c>
      <c r="K140" s="371">
        <v>28.24</v>
      </c>
      <c r="L140" s="77">
        <v>22.45</v>
      </c>
      <c r="N140" s="365">
        <f t="shared" si="257"/>
        <v>107.62</v>
      </c>
      <c r="P140" s="195">
        <v>80</v>
      </c>
      <c r="Q140" s="326">
        <v>8</v>
      </c>
      <c r="R140" s="111">
        <v>23</v>
      </c>
      <c r="S140" s="51">
        <v>35</v>
      </c>
      <c r="T140" s="339">
        <f t="shared" si="172"/>
        <v>146</v>
      </c>
      <c r="V140" s="371">
        <v>2.46</v>
      </c>
      <c r="W140" s="35">
        <v>2.4900000000000002</v>
      </c>
      <c r="X140" s="59">
        <v>19.93</v>
      </c>
      <c r="Y140" s="37">
        <v>122</v>
      </c>
      <c r="Z140" s="46">
        <v>113.5</v>
      </c>
      <c r="AA140" s="16">
        <f t="shared" si="258"/>
        <v>8.5</v>
      </c>
      <c r="AB140" s="66">
        <f t="shared" si="259"/>
        <v>7.4889867841409691E-2</v>
      </c>
      <c r="AC140" s="107" t="s">
        <v>6312</v>
      </c>
      <c r="AD140" s="23" t="s">
        <v>486</v>
      </c>
      <c r="AE140" s="89">
        <v>44470</v>
      </c>
      <c r="AF140" s="88">
        <v>44509</v>
      </c>
      <c r="AG140" s="34">
        <f t="shared" si="260"/>
        <v>39</v>
      </c>
      <c r="AH140" s="126" t="s">
        <v>5209</v>
      </c>
      <c r="AI140" s="284"/>
    </row>
    <row r="141" spans="1:35">
      <c r="A141" s="135" t="s">
        <v>5396</v>
      </c>
      <c r="B141" s="98">
        <v>2783</v>
      </c>
      <c r="C141" s="98">
        <v>1586</v>
      </c>
      <c r="D141" s="84">
        <v>9</v>
      </c>
      <c r="E141" s="84">
        <v>164</v>
      </c>
      <c r="F141" s="59">
        <v>50.54</v>
      </c>
      <c r="G141" s="85">
        <v>2603</v>
      </c>
      <c r="H141" s="5" t="s">
        <v>551</v>
      </c>
      <c r="I141" s="23" t="s">
        <v>486</v>
      </c>
      <c r="J141" s="371">
        <v>56.53</v>
      </c>
      <c r="K141" s="77">
        <v>28.61</v>
      </c>
      <c r="L141" s="371">
        <v>21.63</v>
      </c>
      <c r="N141" s="365">
        <f t="shared" si="257"/>
        <v>106.77</v>
      </c>
      <c r="P141" s="195">
        <v>78</v>
      </c>
      <c r="Q141" s="326">
        <f>IFERROR(VLOOKUP($G141,主力整理!$A$2:$G$2301,6,0),"0")</f>
        <v>6</v>
      </c>
      <c r="R141" s="111">
        <v>23</v>
      </c>
      <c r="S141" s="51">
        <v>36</v>
      </c>
      <c r="T141" s="339">
        <f t="shared" ref="T141:T204" si="261">SUM(P141:S141)</f>
        <v>143</v>
      </c>
      <c r="V141" s="371">
        <v>2.56</v>
      </c>
      <c r="W141" s="35">
        <v>2.4900000000000002</v>
      </c>
      <c r="X141" s="59">
        <v>19.93</v>
      </c>
      <c r="Y141" s="37">
        <v>122</v>
      </c>
      <c r="Z141" s="46">
        <v>125</v>
      </c>
      <c r="AA141" s="16">
        <f t="shared" si="258"/>
        <v>-3</v>
      </c>
      <c r="AB141" s="80">
        <f t="shared" si="259"/>
        <v>-2.4E-2</v>
      </c>
      <c r="AC141" s="107" t="s">
        <v>5584</v>
      </c>
      <c r="AD141" s="23" t="s">
        <v>486</v>
      </c>
      <c r="AE141" s="89">
        <v>44461</v>
      </c>
      <c r="AF141" s="88">
        <v>44509</v>
      </c>
      <c r="AG141" s="34">
        <f t="shared" si="260"/>
        <v>48</v>
      </c>
      <c r="AH141" s="126" t="s">
        <v>5209</v>
      </c>
      <c r="AI141" s="131"/>
    </row>
    <row r="142" spans="1:35">
      <c r="A142" s="135" t="s">
        <v>5370</v>
      </c>
      <c r="B142" s="98">
        <v>2783</v>
      </c>
      <c r="C142" s="98">
        <v>1586</v>
      </c>
      <c r="D142" s="84">
        <v>9</v>
      </c>
      <c r="E142" s="84">
        <v>164</v>
      </c>
      <c r="F142" s="59">
        <v>50.54</v>
      </c>
      <c r="G142" s="84">
        <v>2603</v>
      </c>
      <c r="H142" s="5" t="s">
        <v>551</v>
      </c>
      <c r="I142" s="23" t="s">
        <v>486</v>
      </c>
      <c r="J142" s="371">
        <v>56.87</v>
      </c>
      <c r="K142" s="371">
        <v>28.69</v>
      </c>
      <c r="L142" s="371">
        <v>22.09</v>
      </c>
      <c r="N142" s="365">
        <f t="shared" si="257"/>
        <v>107.65</v>
      </c>
      <c r="P142" s="195">
        <v>78</v>
      </c>
      <c r="Q142" s="326">
        <f>IFERROR(VLOOKUP($G142,主力整理!$A$2:$G$2301,6,0),"0")</f>
        <v>6</v>
      </c>
      <c r="R142" s="111">
        <v>23</v>
      </c>
      <c r="S142" s="51">
        <v>36</v>
      </c>
      <c r="T142" s="339">
        <f t="shared" si="261"/>
        <v>143</v>
      </c>
      <c r="V142" s="371">
        <v>2.72</v>
      </c>
      <c r="W142" s="35">
        <v>2.4900000000000002</v>
      </c>
      <c r="X142" s="59">
        <v>19.93</v>
      </c>
      <c r="Y142" s="37">
        <v>122</v>
      </c>
      <c r="Z142" s="46">
        <v>123.5</v>
      </c>
      <c r="AA142" s="16">
        <f t="shared" si="258"/>
        <v>-1.5</v>
      </c>
      <c r="AB142" s="80">
        <f t="shared" si="259"/>
        <v>-1.2145748987854251E-2</v>
      </c>
      <c r="AC142" s="107" t="s">
        <v>5592</v>
      </c>
      <c r="AD142" s="23" t="s">
        <v>486</v>
      </c>
      <c r="AE142" s="89">
        <v>44453</v>
      </c>
      <c r="AF142" s="88">
        <v>44509</v>
      </c>
      <c r="AG142" s="34">
        <f t="shared" si="260"/>
        <v>56</v>
      </c>
      <c r="AH142" s="126" t="s">
        <v>5209</v>
      </c>
      <c r="AI142" s="131"/>
    </row>
    <row r="143" spans="1:35">
      <c r="A143" s="135" t="s">
        <v>5370</v>
      </c>
      <c r="B143" s="98">
        <v>2783</v>
      </c>
      <c r="C143" s="98">
        <v>1586</v>
      </c>
      <c r="D143" s="84">
        <v>9</v>
      </c>
      <c r="E143" s="84">
        <v>164</v>
      </c>
      <c r="F143" s="59">
        <v>50.54</v>
      </c>
      <c r="G143" s="84">
        <v>2603</v>
      </c>
      <c r="H143" s="5" t="s">
        <v>551</v>
      </c>
      <c r="I143" s="23" t="s">
        <v>486</v>
      </c>
      <c r="J143" s="371">
        <v>57.04</v>
      </c>
      <c r="K143" s="77">
        <v>28.49</v>
      </c>
      <c r="L143" s="77">
        <v>21.63</v>
      </c>
      <c r="N143" s="365">
        <f t="shared" si="257"/>
        <v>107.16</v>
      </c>
      <c r="P143" s="195">
        <v>77</v>
      </c>
      <c r="Q143" s="326">
        <f>IFERROR(VLOOKUP($G143,主力整理!$A$2:$G$2301,6,0),"0")</f>
        <v>6</v>
      </c>
      <c r="R143" s="111">
        <v>23</v>
      </c>
      <c r="S143" s="51">
        <v>36</v>
      </c>
      <c r="T143" s="339">
        <f t="shared" si="261"/>
        <v>142</v>
      </c>
      <c r="V143" s="371">
        <v>2.57</v>
      </c>
      <c r="W143" s="35">
        <v>2.4900000000000002</v>
      </c>
      <c r="X143" s="59">
        <v>19.93</v>
      </c>
      <c r="Y143" s="37">
        <v>122</v>
      </c>
      <c r="Z143" s="46">
        <v>126.5</v>
      </c>
      <c r="AA143" s="16">
        <f t="shared" si="258"/>
        <v>-4.5</v>
      </c>
      <c r="AB143" s="80">
        <f t="shared" si="259"/>
        <v>-3.5573122529644272E-2</v>
      </c>
      <c r="AC143" s="107" t="s">
        <v>5584</v>
      </c>
      <c r="AD143" s="23" t="s">
        <v>486</v>
      </c>
      <c r="AE143" s="89">
        <v>44448</v>
      </c>
      <c r="AF143" s="88">
        <v>44509</v>
      </c>
      <c r="AG143" s="34">
        <f t="shared" si="260"/>
        <v>61</v>
      </c>
      <c r="AH143" s="126" t="s">
        <v>5209</v>
      </c>
      <c r="AI143" s="131"/>
    </row>
    <row r="144" spans="1:35">
      <c r="A144" s="135" t="s">
        <v>5370</v>
      </c>
      <c r="B144" s="98">
        <v>2783</v>
      </c>
      <c r="C144" s="98">
        <v>1586</v>
      </c>
      <c r="D144" s="84">
        <v>21</v>
      </c>
      <c r="E144" s="84">
        <v>168</v>
      </c>
      <c r="F144" s="59">
        <v>50.54</v>
      </c>
      <c r="G144" s="84">
        <v>2603</v>
      </c>
      <c r="H144" s="5" t="s">
        <v>551</v>
      </c>
      <c r="I144" s="23" t="s">
        <v>486</v>
      </c>
      <c r="J144" s="371">
        <v>57.04</v>
      </c>
      <c r="K144" s="77">
        <v>28.66</v>
      </c>
      <c r="L144" s="77">
        <v>21.3</v>
      </c>
      <c r="N144" s="365">
        <f t="shared" si="257"/>
        <v>107</v>
      </c>
      <c r="P144" s="195">
        <v>76</v>
      </c>
      <c r="Q144" s="326">
        <f>IFERROR(VLOOKUP($G144,主力整理!$A$2:$G$2301,6,0),"0")</f>
        <v>6</v>
      </c>
      <c r="R144" s="111">
        <v>23</v>
      </c>
      <c r="S144" s="51">
        <v>36</v>
      </c>
      <c r="T144" s="339">
        <f t="shared" si="261"/>
        <v>141</v>
      </c>
      <c r="V144" s="371">
        <v>2.63</v>
      </c>
      <c r="W144" s="35">
        <v>2.4900000000000002</v>
      </c>
      <c r="X144" s="59">
        <v>19.93</v>
      </c>
      <c r="Y144" s="37">
        <v>122</v>
      </c>
      <c r="Z144" s="46">
        <v>126</v>
      </c>
      <c r="AA144" s="16">
        <f t="shared" si="258"/>
        <v>-4</v>
      </c>
      <c r="AB144" s="80">
        <f t="shared" si="259"/>
        <v>-3.1746031746031744E-2</v>
      </c>
      <c r="AC144" s="107" t="s">
        <v>5577</v>
      </c>
      <c r="AD144" s="23" t="s">
        <v>486</v>
      </c>
      <c r="AE144" s="89">
        <v>44447</v>
      </c>
      <c r="AF144" s="88">
        <v>44509</v>
      </c>
      <c r="AG144" s="34">
        <f t="shared" si="260"/>
        <v>62</v>
      </c>
      <c r="AH144" s="126" t="s">
        <v>5209</v>
      </c>
      <c r="AI144" s="131"/>
    </row>
    <row r="145" spans="1:35">
      <c r="A145" s="135" t="s">
        <v>5370</v>
      </c>
      <c r="B145" s="98">
        <v>2783</v>
      </c>
      <c r="C145" s="98">
        <v>1586</v>
      </c>
      <c r="D145" s="84">
        <v>21</v>
      </c>
      <c r="E145" s="84">
        <v>168</v>
      </c>
      <c r="F145" s="59">
        <v>50.54</v>
      </c>
      <c r="G145" s="84">
        <v>2603</v>
      </c>
      <c r="H145" s="5" t="s">
        <v>551</v>
      </c>
      <c r="I145" s="23" t="s">
        <v>486</v>
      </c>
      <c r="J145" s="371">
        <v>57.04</v>
      </c>
      <c r="K145" s="371">
        <v>28.29</v>
      </c>
      <c r="L145" s="371">
        <v>21.27</v>
      </c>
      <c r="N145" s="365">
        <f t="shared" si="257"/>
        <v>106.6</v>
      </c>
      <c r="P145" s="195">
        <v>75</v>
      </c>
      <c r="Q145" s="326">
        <f>IFERROR(VLOOKUP($G145,主力整理!$A$2:$G$2301,6,0),"0")</f>
        <v>6</v>
      </c>
      <c r="R145" s="111">
        <v>23</v>
      </c>
      <c r="S145" s="51">
        <v>36</v>
      </c>
      <c r="T145" s="339">
        <f t="shared" si="261"/>
        <v>140</v>
      </c>
      <c r="V145" s="371">
        <v>3.1</v>
      </c>
      <c r="W145" s="35">
        <v>2.4900000000000002</v>
      </c>
      <c r="X145" s="59">
        <v>19.93</v>
      </c>
      <c r="Y145" s="37">
        <v>122</v>
      </c>
      <c r="Z145" s="46">
        <v>118</v>
      </c>
      <c r="AA145" s="16">
        <f t="shared" si="258"/>
        <v>4</v>
      </c>
      <c r="AB145" s="66">
        <f t="shared" si="259"/>
        <v>3.3898305084745763E-2</v>
      </c>
      <c r="AC145" s="107" t="s">
        <v>5567</v>
      </c>
      <c r="AD145" s="23" t="s">
        <v>486</v>
      </c>
      <c r="AE145" s="89">
        <v>44445</v>
      </c>
      <c r="AF145" s="88">
        <v>44509</v>
      </c>
      <c r="AG145" s="34">
        <f t="shared" si="260"/>
        <v>64</v>
      </c>
      <c r="AH145" s="126" t="s">
        <v>5209</v>
      </c>
      <c r="AI145" s="131"/>
    </row>
    <row r="146" spans="1:35">
      <c r="A146" s="135" t="s">
        <v>5370</v>
      </c>
      <c r="B146" s="98">
        <v>2783</v>
      </c>
      <c r="C146" s="98">
        <v>1586</v>
      </c>
      <c r="D146" s="84">
        <v>21</v>
      </c>
      <c r="E146" s="84">
        <v>168</v>
      </c>
      <c r="F146" s="59">
        <v>50.54</v>
      </c>
      <c r="G146" s="84">
        <v>2603</v>
      </c>
      <c r="H146" s="9" t="s">
        <v>551</v>
      </c>
      <c r="I146" s="23" t="s">
        <v>486</v>
      </c>
      <c r="J146" s="77">
        <v>57.81</v>
      </c>
      <c r="K146" s="371">
        <v>29.32</v>
      </c>
      <c r="L146" s="371">
        <v>22.02</v>
      </c>
      <c r="N146" s="365">
        <f t="shared" si="257"/>
        <v>109.14999999999999</v>
      </c>
      <c r="P146" s="195">
        <v>73</v>
      </c>
      <c r="Q146" s="326">
        <f>IFERROR(VLOOKUP($G146,主力整理!$A$2:$G$2301,6,0),"0")</f>
        <v>6</v>
      </c>
      <c r="R146" s="111">
        <v>23</v>
      </c>
      <c r="S146" s="51">
        <v>36</v>
      </c>
      <c r="T146" s="339">
        <f t="shared" si="261"/>
        <v>138</v>
      </c>
      <c r="V146" s="371">
        <v>1.89</v>
      </c>
      <c r="W146" s="35">
        <v>2.4900000000000002</v>
      </c>
      <c r="X146" s="59">
        <v>19.93</v>
      </c>
      <c r="Y146" s="37">
        <v>122</v>
      </c>
      <c r="Z146" s="46">
        <v>128.5</v>
      </c>
      <c r="AA146" s="16">
        <f t="shared" si="258"/>
        <v>-6.5</v>
      </c>
      <c r="AB146" s="80">
        <f t="shared" si="259"/>
        <v>-5.0583657587548639E-2</v>
      </c>
      <c r="AC146" s="107" t="s">
        <v>5556</v>
      </c>
      <c r="AD146" s="23" t="s">
        <v>486</v>
      </c>
      <c r="AE146" s="89">
        <v>44440</v>
      </c>
      <c r="AF146" s="88">
        <v>44509</v>
      </c>
      <c r="AG146" s="34">
        <f t="shared" si="260"/>
        <v>69</v>
      </c>
      <c r="AH146" s="126" t="s">
        <v>5209</v>
      </c>
      <c r="AI146" s="131"/>
    </row>
    <row r="147" spans="1:35">
      <c r="A147" s="135" t="s">
        <v>5370</v>
      </c>
      <c r="B147" s="98">
        <v>2783</v>
      </c>
      <c r="C147" s="98">
        <v>1586</v>
      </c>
      <c r="D147" s="84">
        <v>21</v>
      </c>
      <c r="E147" s="84">
        <v>168</v>
      </c>
      <c r="F147" s="59">
        <v>50.54</v>
      </c>
      <c r="G147" s="84">
        <v>2603</v>
      </c>
      <c r="H147" s="9" t="s">
        <v>551</v>
      </c>
      <c r="I147" s="23" t="s">
        <v>486</v>
      </c>
      <c r="J147" s="77">
        <v>57.81</v>
      </c>
      <c r="K147" s="77">
        <v>29.41</v>
      </c>
      <c r="L147" s="371">
        <v>22.32</v>
      </c>
      <c r="N147" s="365">
        <f t="shared" si="257"/>
        <v>109.53999999999999</v>
      </c>
      <c r="P147" s="195">
        <v>70</v>
      </c>
      <c r="Q147" s="326">
        <f>IFERROR(VLOOKUP($G147,主力整理!$A$2:$G$2301,6,0),"0")</f>
        <v>6</v>
      </c>
      <c r="R147" s="111">
        <v>23</v>
      </c>
      <c r="S147" s="51">
        <v>36</v>
      </c>
      <c r="T147" s="339">
        <f t="shared" si="261"/>
        <v>135</v>
      </c>
      <c r="V147" s="371">
        <v>2.11</v>
      </c>
      <c r="W147" s="35">
        <v>2.4900000000000002</v>
      </c>
      <c r="X147" s="59">
        <v>19.93</v>
      </c>
      <c r="Y147" s="37">
        <v>122</v>
      </c>
      <c r="Z147" s="69">
        <v>136</v>
      </c>
      <c r="AA147" s="16">
        <f t="shared" si="258"/>
        <v>-14</v>
      </c>
      <c r="AB147" s="80">
        <f t="shared" si="259"/>
        <v>-0.10294117647058823</v>
      </c>
      <c r="AC147" s="107" t="s">
        <v>5545</v>
      </c>
      <c r="AD147" s="23" t="s">
        <v>486</v>
      </c>
      <c r="AE147" s="89">
        <v>44439</v>
      </c>
      <c r="AF147" s="88">
        <v>44509</v>
      </c>
      <c r="AG147" s="34">
        <f t="shared" si="260"/>
        <v>70</v>
      </c>
      <c r="AH147" s="126" t="s">
        <v>5209</v>
      </c>
      <c r="AI147" s="131"/>
    </row>
    <row r="148" spans="1:35">
      <c r="A148" s="135" t="s">
        <v>5396</v>
      </c>
      <c r="B148" s="98">
        <v>2783</v>
      </c>
      <c r="C148" s="98">
        <v>1586</v>
      </c>
      <c r="D148" s="84">
        <v>21</v>
      </c>
      <c r="E148" s="84">
        <v>168</v>
      </c>
      <c r="F148" s="59">
        <v>50.54</v>
      </c>
      <c r="G148" s="84">
        <v>2603</v>
      </c>
      <c r="H148" s="9" t="s">
        <v>551</v>
      </c>
      <c r="I148" s="23" t="s">
        <v>486</v>
      </c>
      <c r="J148" s="77">
        <v>57.81</v>
      </c>
      <c r="K148" s="77">
        <v>29.55</v>
      </c>
      <c r="L148" s="371">
        <v>23</v>
      </c>
      <c r="N148" s="365">
        <f t="shared" si="257"/>
        <v>110.36</v>
      </c>
      <c r="P148" s="195"/>
      <c r="Q148" s="326">
        <f>IFERROR(VLOOKUP($G148,主力整理!$A$2:$G$2301,6,0),"0")</f>
        <v>6</v>
      </c>
      <c r="R148" s="111">
        <v>23</v>
      </c>
      <c r="S148" s="51">
        <v>36</v>
      </c>
      <c r="T148" s="339">
        <f t="shared" si="261"/>
        <v>65</v>
      </c>
      <c r="V148" s="371">
        <v>2.17</v>
      </c>
      <c r="W148" s="35">
        <v>2.4900000000000002</v>
      </c>
      <c r="X148" s="59">
        <v>19.93</v>
      </c>
      <c r="Y148" s="37">
        <v>122</v>
      </c>
      <c r="Z148" s="46">
        <v>140</v>
      </c>
      <c r="AA148" s="16">
        <f t="shared" si="258"/>
        <v>-18</v>
      </c>
      <c r="AB148" s="80">
        <f t="shared" si="259"/>
        <v>-0.12857142857142856</v>
      </c>
      <c r="AC148" s="107" t="s">
        <v>5545</v>
      </c>
      <c r="AD148" s="23" t="s">
        <v>486</v>
      </c>
      <c r="AE148" s="89">
        <v>44438</v>
      </c>
      <c r="AF148" s="88">
        <v>44509</v>
      </c>
      <c r="AG148" s="34">
        <f t="shared" si="260"/>
        <v>71</v>
      </c>
      <c r="AH148" s="126" t="s">
        <v>5209</v>
      </c>
      <c r="AI148" s="131"/>
    </row>
    <row r="149" spans="1:35">
      <c r="A149" s="135" t="s">
        <v>5396</v>
      </c>
      <c r="B149" s="98">
        <v>2783</v>
      </c>
      <c r="C149" s="98">
        <v>1586</v>
      </c>
      <c r="D149" s="84">
        <v>21</v>
      </c>
      <c r="E149" s="84">
        <v>168</v>
      </c>
      <c r="F149" s="59">
        <v>50.54</v>
      </c>
      <c r="G149" s="84">
        <v>2603</v>
      </c>
      <c r="H149" s="5" t="s">
        <v>551</v>
      </c>
      <c r="I149" s="23" t="s">
        <v>486</v>
      </c>
      <c r="J149" s="371">
        <v>57.24</v>
      </c>
      <c r="K149" s="77">
        <v>30.08</v>
      </c>
      <c r="L149" s="77">
        <v>22.53</v>
      </c>
      <c r="N149" s="365">
        <f t="shared" si="257"/>
        <v>109.85</v>
      </c>
      <c r="P149" s="195"/>
      <c r="Q149" s="326">
        <f>IFERROR(VLOOKUP($G149,主力整理!$A$2:$G$2301,6,0),"0")</f>
        <v>6</v>
      </c>
      <c r="R149" s="111">
        <v>23</v>
      </c>
      <c r="S149" s="51">
        <v>36</v>
      </c>
      <c r="T149" s="339">
        <f t="shared" si="261"/>
        <v>65</v>
      </c>
      <c r="V149" s="371">
        <v>2.54</v>
      </c>
      <c r="W149" s="35">
        <v>2.4900000000000002</v>
      </c>
      <c r="X149" s="59">
        <v>19.93</v>
      </c>
      <c r="Y149" s="37">
        <v>122</v>
      </c>
      <c r="Z149" s="46">
        <v>140</v>
      </c>
      <c r="AA149" s="16">
        <f t="shared" si="258"/>
        <v>-18</v>
      </c>
      <c r="AB149" s="80">
        <f t="shared" si="259"/>
        <v>-0.12857142857142856</v>
      </c>
      <c r="AC149" s="107" t="s">
        <v>5511</v>
      </c>
      <c r="AD149" s="23" t="s">
        <v>486</v>
      </c>
      <c r="AE149" s="89">
        <v>44432</v>
      </c>
      <c r="AF149" s="88">
        <v>44509</v>
      </c>
      <c r="AG149" s="34">
        <f t="shared" si="260"/>
        <v>77</v>
      </c>
      <c r="AH149" s="126" t="s">
        <v>5209</v>
      </c>
      <c r="AI149" s="131"/>
    </row>
    <row r="150" spans="1:35">
      <c r="A150" s="135" t="s">
        <v>2484</v>
      </c>
      <c r="B150" s="84">
        <v>241</v>
      </c>
      <c r="C150" s="84">
        <v>242</v>
      </c>
      <c r="D150" s="85">
        <v>-2</v>
      </c>
      <c r="E150" s="84">
        <v>66</v>
      </c>
      <c r="F150" s="59">
        <v>34.729999999999997</v>
      </c>
      <c r="G150" s="85">
        <v>3034</v>
      </c>
      <c r="H150" s="5" t="s">
        <v>558</v>
      </c>
      <c r="I150" s="23" t="s">
        <v>38</v>
      </c>
      <c r="J150" s="77">
        <v>49.1</v>
      </c>
      <c r="K150" s="371">
        <v>61.46</v>
      </c>
      <c r="L150" s="77">
        <v>7.13</v>
      </c>
      <c r="N150" s="365">
        <f t="shared" si="257"/>
        <v>117.69</v>
      </c>
      <c r="P150" s="195">
        <v>37</v>
      </c>
      <c r="Q150" s="326">
        <v>10</v>
      </c>
      <c r="R150" s="111">
        <v>4</v>
      </c>
      <c r="S150" s="51">
        <v>21</v>
      </c>
      <c r="T150" s="339">
        <f t="shared" si="261"/>
        <v>72</v>
      </c>
      <c r="V150" s="371">
        <v>15.08</v>
      </c>
      <c r="W150" s="46">
        <v>15.6</v>
      </c>
      <c r="X150" s="100">
        <v>51.89</v>
      </c>
      <c r="Y150" s="14">
        <v>456.5</v>
      </c>
      <c r="Z150" s="69">
        <v>448</v>
      </c>
      <c r="AA150" s="16">
        <f t="shared" si="258"/>
        <v>8.5</v>
      </c>
      <c r="AB150" s="66">
        <f t="shared" si="259"/>
        <v>1.8973214285714284E-2</v>
      </c>
      <c r="AC150" s="105" t="s">
        <v>6429</v>
      </c>
      <c r="AD150" s="23" t="s">
        <v>38</v>
      </c>
      <c r="AE150" s="89">
        <v>44505</v>
      </c>
      <c r="AF150" s="88">
        <v>44508</v>
      </c>
      <c r="AG150" s="34">
        <f t="shared" si="260"/>
        <v>3</v>
      </c>
      <c r="AH150" s="126" t="s">
        <v>4028</v>
      </c>
      <c r="AI150" s="131"/>
    </row>
    <row r="151" spans="1:35">
      <c r="A151" s="151" t="s">
        <v>4589</v>
      </c>
      <c r="B151" s="85">
        <v>-34</v>
      </c>
      <c r="C151" s="85">
        <v>-44</v>
      </c>
      <c r="D151" s="85">
        <v>-14</v>
      </c>
      <c r="E151" s="84">
        <v>15</v>
      </c>
      <c r="F151" s="7">
        <v>8.75</v>
      </c>
      <c r="G151" s="85">
        <v>3680</v>
      </c>
      <c r="H151" s="203" t="s">
        <v>558</v>
      </c>
      <c r="I151" s="17" t="s">
        <v>656</v>
      </c>
      <c r="J151" s="371">
        <v>44.02</v>
      </c>
      <c r="K151" s="371">
        <v>13.16</v>
      </c>
      <c r="L151" s="371">
        <v>10.18</v>
      </c>
      <c r="N151" s="365">
        <f t="shared" si="257"/>
        <v>67.360000000000014</v>
      </c>
      <c r="P151" s="195">
        <v>11</v>
      </c>
      <c r="Q151" s="326" t="str">
        <f>IFERROR(VLOOKUP($G151,主力整理!$A$2:$G$2301,6,0),"0")</f>
        <v>0</v>
      </c>
      <c r="R151" s="111">
        <v>5</v>
      </c>
      <c r="S151" s="51">
        <v>15</v>
      </c>
      <c r="T151" s="339">
        <f t="shared" si="261"/>
        <v>31</v>
      </c>
      <c r="V151" s="371">
        <v>11.73</v>
      </c>
      <c r="W151" s="46">
        <v>3.5</v>
      </c>
      <c r="X151" s="100">
        <v>5.12</v>
      </c>
      <c r="Y151" s="37">
        <v>270</v>
      </c>
      <c r="Z151" s="69">
        <v>215</v>
      </c>
      <c r="AA151" s="16">
        <f t="shared" si="258"/>
        <v>55</v>
      </c>
      <c r="AB151" s="66">
        <f t="shared" si="259"/>
        <v>0.2558139534883721</v>
      </c>
      <c r="AC151" s="107" t="s">
        <v>6336</v>
      </c>
      <c r="AD151" s="17" t="s">
        <v>656</v>
      </c>
      <c r="AE151" s="89">
        <v>44475</v>
      </c>
      <c r="AF151" s="88">
        <v>44508</v>
      </c>
      <c r="AG151" s="34">
        <f t="shared" si="260"/>
        <v>33</v>
      </c>
      <c r="AH151" s="44" t="s">
        <v>534</v>
      </c>
      <c r="AI151" s="131"/>
    </row>
    <row r="152" spans="1:35">
      <c r="A152" s="135" t="s">
        <v>2466</v>
      </c>
      <c r="B152" s="84">
        <v>155</v>
      </c>
      <c r="C152" s="84">
        <v>158</v>
      </c>
      <c r="D152" s="84">
        <v>3</v>
      </c>
      <c r="E152" s="84">
        <v>40</v>
      </c>
      <c r="F152" s="59">
        <v>10.77</v>
      </c>
      <c r="G152" s="84">
        <v>2377</v>
      </c>
      <c r="H152" s="212" t="s">
        <v>1815</v>
      </c>
      <c r="I152" s="23" t="s">
        <v>45</v>
      </c>
      <c r="J152" s="371">
        <v>71.48</v>
      </c>
      <c r="K152" s="77">
        <v>48.34</v>
      </c>
      <c r="L152" s="77">
        <v>2.66</v>
      </c>
      <c r="N152" s="365">
        <f t="shared" ref="N152:N157" si="262">K152+J152+L152</f>
        <v>122.48</v>
      </c>
      <c r="P152" s="195">
        <v>23</v>
      </c>
      <c r="Q152" s="326">
        <v>9</v>
      </c>
      <c r="R152" s="111">
        <v>1</v>
      </c>
      <c r="S152" s="51">
        <v>20</v>
      </c>
      <c r="T152" s="339">
        <f t="shared" si="261"/>
        <v>53</v>
      </c>
      <c r="V152" s="371">
        <v>2.94</v>
      </c>
      <c r="W152" s="69">
        <v>6.1</v>
      </c>
      <c r="X152" s="59">
        <v>15.6</v>
      </c>
      <c r="Y152" s="14">
        <v>151.5</v>
      </c>
      <c r="Z152" s="69">
        <v>144</v>
      </c>
      <c r="AA152" s="16">
        <f t="shared" ref="AA152:AA157" si="263">Y152-Z152</f>
        <v>7.5</v>
      </c>
      <c r="AB152" s="66">
        <f t="shared" ref="AB152:AB157" si="264">AA152/Z152</f>
        <v>5.2083333333333336E-2</v>
      </c>
      <c r="AC152" s="105" t="s">
        <v>5594</v>
      </c>
      <c r="AD152" s="23" t="s">
        <v>45</v>
      </c>
      <c r="AE152" s="89">
        <v>44487</v>
      </c>
      <c r="AF152" s="88">
        <v>44505</v>
      </c>
      <c r="AG152" s="34">
        <f t="shared" ref="AG152:AG157" si="265">AF152-AE152</f>
        <v>18</v>
      </c>
      <c r="AH152" s="63" t="s">
        <v>4264</v>
      </c>
      <c r="AI152" s="131"/>
    </row>
    <row r="153" spans="1:35">
      <c r="A153" s="135" t="s">
        <v>2466</v>
      </c>
      <c r="B153" s="84">
        <v>155</v>
      </c>
      <c r="C153" s="84">
        <v>158</v>
      </c>
      <c r="D153" s="84">
        <v>3</v>
      </c>
      <c r="E153" s="84">
        <v>40</v>
      </c>
      <c r="F153" s="59">
        <v>10.77</v>
      </c>
      <c r="G153" s="85">
        <v>2377</v>
      </c>
      <c r="H153" s="212" t="s">
        <v>1815</v>
      </c>
      <c r="I153" s="23" t="s">
        <v>45</v>
      </c>
      <c r="J153" s="371">
        <v>71.430000000000007</v>
      </c>
      <c r="K153" s="77">
        <v>48.3</v>
      </c>
      <c r="L153" s="77">
        <v>2.57</v>
      </c>
      <c r="N153" s="365">
        <f t="shared" si="262"/>
        <v>122.3</v>
      </c>
      <c r="P153" s="195">
        <v>22</v>
      </c>
      <c r="Q153" s="326">
        <v>9</v>
      </c>
      <c r="R153" s="111">
        <v>1</v>
      </c>
      <c r="S153" s="51">
        <v>20</v>
      </c>
      <c r="T153" s="339">
        <f t="shared" si="261"/>
        <v>52</v>
      </c>
      <c r="V153" s="371">
        <v>2.5</v>
      </c>
      <c r="W153" s="69">
        <v>6.1</v>
      </c>
      <c r="X153" s="59">
        <v>15.6</v>
      </c>
      <c r="Y153" s="14">
        <v>151.5</v>
      </c>
      <c r="Z153" s="69">
        <v>136.5</v>
      </c>
      <c r="AA153" s="16">
        <f t="shared" si="263"/>
        <v>15</v>
      </c>
      <c r="AB153" s="66">
        <f t="shared" si="264"/>
        <v>0.10989010989010989</v>
      </c>
      <c r="AC153" s="105" t="s">
        <v>6354</v>
      </c>
      <c r="AD153" s="23" t="s">
        <v>45</v>
      </c>
      <c r="AE153" s="89">
        <v>44481</v>
      </c>
      <c r="AF153" s="88">
        <v>44505</v>
      </c>
      <c r="AG153" s="34">
        <f t="shared" si="265"/>
        <v>24</v>
      </c>
      <c r="AH153" s="63" t="s">
        <v>4264</v>
      </c>
      <c r="AI153" s="131"/>
    </row>
    <row r="154" spans="1:35">
      <c r="A154" s="135" t="s">
        <v>2466</v>
      </c>
      <c r="B154" s="84">
        <v>155</v>
      </c>
      <c r="C154" s="84">
        <v>158</v>
      </c>
      <c r="D154" s="84">
        <v>27</v>
      </c>
      <c r="E154" s="84">
        <v>39</v>
      </c>
      <c r="F154" s="59">
        <v>10.77</v>
      </c>
      <c r="G154" s="85">
        <v>2377</v>
      </c>
      <c r="H154" s="212" t="s">
        <v>561</v>
      </c>
      <c r="I154" s="23" t="s">
        <v>45</v>
      </c>
      <c r="J154" s="371">
        <v>71.540000000000006</v>
      </c>
      <c r="K154" s="371">
        <v>48.26</v>
      </c>
      <c r="L154" s="371">
        <v>2.41</v>
      </c>
      <c r="N154" s="365">
        <f t="shared" si="262"/>
        <v>122.21000000000001</v>
      </c>
      <c r="P154" s="195">
        <v>21</v>
      </c>
      <c r="Q154" s="326">
        <v>9</v>
      </c>
      <c r="R154" s="111">
        <v>1</v>
      </c>
      <c r="S154" s="51">
        <v>20</v>
      </c>
      <c r="T154" s="339">
        <f t="shared" si="261"/>
        <v>51</v>
      </c>
      <c r="V154" s="371">
        <v>2.46</v>
      </c>
      <c r="W154" s="69">
        <v>6.1</v>
      </c>
      <c r="X154" s="59">
        <v>15.6</v>
      </c>
      <c r="Y154" s="14">
        <v>151.5</v>
      </c>
      <c r="Z154" s="69">
        <v>127</v>
      </c>
      <c r="AA154" s="16">
        <f t="shared" si="263"/>
        <v>24.5</v>
      </c>
      <c r="AB154" s="66">
        <f t="shared" si="264"/>
        <v>0.19291338582677164</v>
      </c>
      <c r="AC154" s="105" t="s">
        <v>5536</v>
      </c>
      <c r="AD154" s="23" t="s">
        <v>45</v>
      </c>
      <c r="AE154" s="89">
        <v>44473</v>
      </c>
      <c r="AF154" s="88">
        <v>44505</v>
      </c>
      <c r="AG154" s="34">
        <f t="shared" si="265"/>
        <v>32</v>
      </c>
      <c r="AH154" s="63" t="s">
        <v>4264</v>
      </c>
      <c r="AI154" s="131"/>
    </row>
    <row r="155" spans="1:35">
      <c r="A155" s="151" t="s">
        <v>2534</v>
      </c>
      <c r="B155" s="84">
        <v>979</v>
      </c>
      <c r="C155" s="84">
        <v>413</v>
      </c>
      <c r="D155" s="84">
        <v>9</v>
      </c>
      <c r="E155" s="84">
        <v>191</v>
      </c>
      <c r="F155" s="7">
        <v>9.67</v>
      </c>
      <c r="G155" s="85">
        <v>2636</v>
      </c>
      <c r="H155" s="5" t="s">
        <v>551</v>
      </c>
      <c r="I155" s="23" t="s">
        <v>2987</v>
      </c>
      <c r="J155" s="371">
        <v>35.29</v>
      </c>
      <c r="K155" s="77">
        <v>15.25</v>
      </c>
      <c r="L155" s="77">
        <v>36.21</v>
      </c>
      <c r="N155" s="365">
        <f t="shared" si="262"/>
        <v>86.75</v>
      </c>
      <c r="P155" s="195">
        <v>9</v>
      </c>
      <c r="Q155" s="326">
        <v>9</v>
      </c>
      <c r="R155" s="111">
        <v>23</v>
      </c>
      <c r="S155" s="51">
        <v>6</v>
      </c>
      <c r="T155" s="339">
        <f t="shared" si="261"/>
        <v>47</v>
      </c>
      <c r="V155" s="371">
        <v>25.47</v>
      </c>
      <c r="W155" s="46">
        <v>3.02</v>
      </c>
      <c r="X155" s="100">
        <v>20.28</v>
      </c>
      <c r="Y155" s="37">
        <v>139</v>
      </c>
      <c r="Z155" s="46">
        <v>149</v>
      </c>
      <c r="AA155" s="16">
        <f t="shared" si="263"/>
        <v>-10</v>
      </c>
      <c r="AB155" s="80">
        <f t="shared" si="264"/>
        <v>-6.7114093959731544E-2</v>
      </c>
      <c r="AC155" s="105" t="s">
        <v>6283</v>
      </c>
      <c r="AD155" s="23" t="s">
        <v>2987</v>
      </c>
      <c r="AE155" s="89">
        <v>44466</v>
      </c>
      <c r="AF155" s="88">
        <v>44504</v>
      </c>
      <c r="AG155" s="34">
        <f t="shared" si="265"/>
        <v>38</v>
      </c>
      <c r="AH155" s="44" t="s">
        <v>3188</v>
      </c>
      <c r="AI155" s="131"/>
    </row>
    <row r="156" spans="1:35">
      <c r="A156" s="151" t="s">
        <v>2481</v>
      </c>
      <c r="B156" s="84">
        <v>979</v>
      </c>
      <c r="C156" s="84">
        <v>413</v>
      </c>
      <c r="D156" s="84">
        <v>6</v>
      </c>
      <c r="E156" s="84">
        <v>176</v>
      </c>
      <c r="F156" s="7">
        <v>9.67</v>
      </c>
      <c r="G156" s="84">
        <v>2636</v>
      </c>
      <c r="H156" s="5" t="s">
        <v>551</v>
      </c>
      <c r="I156" s="23" t="s">
        <v>2987</v>
      </c>
      <c r="J156" s="77">
        <v>36.39</v>
      </c>
      <c r="K156" s="371">
        <v>11.18</v>
      </c>
      <c r="L156" s="371">
        <v>41.67</v>
      </c>
      <c r="N156" s="365">
        <f t="shared" si="262"/>
        <v>89.240000000000009</v>
      </c>
      <c r="P156" s="232"/>
      <c r="Q156" s="326">
        <f>IFERROR(VLOOKUP($G156,主力整理!$A$2:$G$2301,6,0),"0")</f>
        <v>7</v>
      </c>
      <c r="R156" s="111">
        <v>23</v>
      </c>
      <c r="S156" s="51">
        <v>5</v>
      </c>
      <c r="T156" s="339">
        <f t="shared" si="261"/>
        <v>35</v>
      </c>
      <c r="V156" s="371">
        <v>11.82</v>
      </c>
      <c r="W156" s="46">
        <v>3.02</v>
      </c>
      <c r="X156" s="100">
        <v>20.28</v>
      </c>
      <c r="Y156" s="37">
        <v>139</v>
      </c>
      <c r="Z156" s="46">
        <v>191.5</v>
      </c>
      <c r="AA156" s="16">
        <f t="shared" si="263"/>
        <v>-52.5</v>
      </c>
      <c r="AB156" s="80">
        <f t="shared" si="264"/>
        <v>-0.27415143603133157</v>
      </c>
      <c r="AC156" s="107" t="s">
        <v>5488</v>
      </c>
      <c r="AD156" s="23" t="s">
        <v>2987</v>
      </c>
      <c r="AE156" s="89">
        <v>44426</v>
      </c>
      <c r="AF156" s="88">
        <v>44504</v>
      </c>
      <c r="AG156" s="34">
        <f t="shared" si="265"/>
        <v>78</v>
      </c>
      <c r="AH156" s="44" t="s">
        <v>3188</v>
      </c>
      <c r="AI156" s="131"/>
    </row>
    <row r="157" spans="1:35">
      <c r="A157" s="151" t="s">
        <v>2481</v>
      </c>
      <c r="B157" s="98">
        <v>1739</v>
      </c>
      <c r="C157" s="84">
        <v>993</v>
      </c>
      <c r="D157" s="84">
        <v>6</v>
      </c>
      <c r="E157" s="84">
        <v>176</v>
      </c>
      <c r="F157" s="7">
        <v>7.63</v>
      </c>
      <c r="G157" s="84">
        <v>2636</v>
      </c>
      <c r="H157" s="9" t="s">
        <v>551</v>
      </c>
      <c r="I157" s="23" t="s">
        <v>2987</v>
      </c>
      <c r="J157" s="371">
        <v>35.659999999999997</v>
      </c>
      <c r="K157" s="371">
        <v>11.38</v>
      </c>
      <c r="L157" s="77">
        <v>45.16</v>
      </c>
      <c r="N157" s="365">
        <f t="shared" si="262"/>
        <v>92.199999999999989</v>
      </c>
      <c r="P157" s="232"/>
      <c r="Q157" s="326">
        <f>IFERROR(VLOOKUP($G157,主力整理!$A$2:$G$2301,6,0),"0")</f>
        <v>7</v>
      </c>
      <c r="R157" s="111">
        <v>23</v>
      </c>
      <c r="S157" s="51">
        <v>5</v>
      </c>
      <c r="T157" s="339">
        <f t="shared" si="261"/>
        <v>35</v>
      </c>
      <c r="V157" s="371">
        <v>7.58</v>
      </c>
      <c r="W157" s="46">
        <v>3.2</v>
      </c>
      <c r="X157" s="100">
        <v>7.78</v>
      </c>
      <c r="Y157" s="37">
        <v>139</v>
      </c>
      <c r="Z157" s="46">
        <v>187</v>
      </c>
      <c r="AA157" s="16">
        <f t="shared" si="263"/>
        <v>-48</v>
      </c>
      <c r="AB157" s="80">
        <f t="shared" si="264"/>
        <v>-0.25668449197860965</v>
      </c>
      <c r="AC157" s="105" t="s">
        <v>5407</v>
      </c>
      <c r="AD157" s="23" t="s">
        <v>2987</v>
      </c>
      <c r="AE157" s="89">
        <v>44418</v>
      </c>
      <c r="AF157" s="88">
        <v>44504</v>
      </c>
      <c r="AG157" s="34">
        <f t="shared" si="265"/>
        <v>86</v>
      </c>
      <c r="AH157" s="44" t="s">
        <v>3188</v>
      </c>
      <c r="AI157" s="131"/>
    </row>
    <row r="158" spans="1:35">
      <c r="A158" s="151" t="s">
        <v>5619</v>
      </c>
      <c r="B158" s="84">
        <v>145</v>
      </c>
      <c r="C158" s="84">
        <v>101</v>
      </c>
      <c r="D158" s="84">
        <v>6</v>
      </c>
      <c r="E158" s="84">
        <v>13</v>
      </c>
      <c r="F158" s="7">
        <v>0.04</v>
      </c>
      <c r="G158" s="84">
        <v>2614</v>
      </c>
      <c r="H158" s="9" t="s">
        <v>562</v>
      </c>
      <c r="I158" s="23" t="s">
        <v>1378</v>
      </c>
      <c r="J158" s="371">
        <v>41.37</v>
      </c>
      <c r="K158" s="371">
        <v>5.26</v>
      </c>
      <c r="L158" s="77">
        <v>15.55</v>
      </c>
      <c r="N158" s="365">
        <f t="shared" ref="N158" si="266">K158+J158+L158</f>
        <v>62.179999999999993</v>
      </c>
      <c r="P158" s="195">
        <v>4</v>
      </c>
      <c r="Q158" s="326">
        <f>IFERROR(VLOOKUP($G158,主力整理!$A$2:$G$2301,6,0),"0")</f>
        <v>1</v>
      </c>
      <c r="R158" s="111">
        <v>15</v>
      </c>
      <c r="S158" s="51">
        <v>1</v>
      </c>
      <c r="T158" s="339">
        <f t="shared" si="261"/>
        <v>21</v>
      </c>
      <c r="V158" s="371">
        <v>12.93</v>
      </c>
      <c r="W158" s="73">
        <v>0.8</v>
      </c>
      <c r="X158" s="100">
        <v>1.23</v>
      </c>
      <c r="Y158" s="37">
        <v>37.200000000000003</v>
      </c>
      <c r="Z158" s="69">
        <v>37.75</v>
      </c>
      <c r="AA158" s="16">
        <f t="shared" ref="AA158" si="267">Y158-Z158</f>
        <v>-0.54999999999999716</v>
      </c>
      <c r="AB158" s="80">
        <f t="shared" ref="AB158" si="268">AA158/Z158</f>
        <v>-1.4569536423840984E-2</v>
      </c>
      <c r="AC158" s="107" t="s">
        <v>5622</v>
      </c>
      <c r="AD158" s="23" t="s">
        <v>1378</v>
      </c>
      <c r="AE158" s="89">
        <v>44455</v>
      </c>
      <c r="AF158" s="88">
        <v>44504</v>
      </c>
      <c r="AG158" s="34">
        <f t="shared" ref="AG158" si="269">AF158-AE158</f>
        <v>49</v>
      </c>
      <c r="AH158" s="44" t="s">
        <v>4469</v>
      </c>
      <c r="AI158" s="131"/>
    </row>
    <row r="159" spans="1:35">
      <c r="A159" s="151" t="s">
        <v>2445</v>
      </c>
      <c r="B159" s="84">
        <v>49</v>
      </c>
      <c r="C159" s="84">
        <v>40</v>
      </c>
      <c r="D159" s="84">
        <v>11</v>
      </c>
      <c r="E159" s="84">
        <v>91</v>
      </c>
      <c r="F159" s="7">
        <v>6.29</v>
      </c>
      <c r="G159" s="85">
        <v>5609</v>
      </c>
      <c r="H159" s="5" t="s">
        <v>551</v>
      </c>
      <c r="I159" s="17" t="s">
        <v>1473</v>
      </c>
      <c r="J159" s="77">
        <v>42.17</v>
      </c>
      <c r="K159" s="371">
        <v>20.22</v>
      </c>
      <c r="L159" s="77">
        <v>15.27</v>
      </c>
      <c r="N159" s="365">
        <f t="shared" ref="N159" si="270">K159+J159+L159</f>
        <v>77.66</v>
      </c>
      <c r="P159" s="195">
        <v>5</v>
      </c>
      <c r="Q159" s="326">
        <v>7</v>
      </c>
      <c r="R159" s="111">
        <v>13</v>
      </c>
      <c r="S159" s="51">
        <v>2</v>
      </c>
      <c r="T159" s="339">
        <f t="shared" si="261"/>
        <v>27</v>
      </c>
      <c r="V159" s="371">
        <v>1.46</v>
      </c>
      <c r="W159" s="69">
        <v>6</v>
      </c>
      <c r="X159" s="100">
        <v>10.94</v>
      </c>
      <c r="Y159" s="37">
        <v>92.8</v>
      </c>
      <c r="Z159" s="69">
        <v>101</v>
      </c>
      <c r="AA159" s="16">
        <f t="shared" ref="AA159" si="271">Y159-Z159</f>
        <v>-8.2000000000000028</v>
      </c>
      <c r="AB159" s="80">
        <f t="shared" ref="AB159" si="272">AA159/Z159</f>
        <v>-8.1188118811881219E-2</v>
      </c>
      <c r="AC159" s="105" t="s">
        <v>5335</v>
      </c>
      <c r="AD159" s="17" t="s">
        <v>1473</v>
      </c>
      <c r="AE159" s="89">
        <v>44466</v>
      </c>
      <c r="AF159" s="88">
        <v>44503</v>
      </c>
      <c r="AG159" s="34">
        <f t="shared" ref="AG159" si="273">AF159-AE159</f>
        <v>37</v>
      </c>
      <c r="AH159" s="44" t="s">
        <v>4394</v>
      </c>
      <c r="AI159" s="131"/>
    </row>
    <row r="160" spans="1:35">
      <c r="A160" s="151" t="s">
        <v>2531</v>
      </c>
      <c r="B160" s="84">
        <v>10</v>
      </c>
      <c r="C160" s="84">
        <v>11</v>
      </c>
      <c r="D160" s="84">
        <v>16</v>
      </c>
      <c r="E160" s="85">
        <v>-1</v>
      </c>
      <c r="F160" s="7">
        <v>6.01</v>
      </c>
      <c r="G160" s="85">
        <v>6669</v>
      </c>
      <c r="H160" s="321" t="s">
        <v>1815</v>
      </c>
      <c r="I160" s="23" t="s">
        <v>2365</v>
      </c>
      <c r="J160" s="371">
        <v>64.06</v>
      </c>
      <c r="K160" s="371">
        <v>30.72</v>
      </c>
      <c r="L160" s="77">
        <v>1.2</v>
      </c>
      <c r="N160" s="365">
        <f>K160+J160+L160</f>
        <v>95.98</v>
      </c>
      <c r="P160" s="195">
        <v>22</v>
      </c>
      <c r="Q160" s="326" t="str">
        <f>IFERROR(VLOOKUP($G160,主力整理!$A$2:$G$2301,6,0),"0")</f>
        <v>0</v>
      </c>
      <c r="R160" s="111">
        <v>1</v>
      </c>
      <c r="S160" s="51">
        <v>6</v>
      </c>
      <c r="T160" s="339">
        <f t="shared" si="261"/>
        <v>29</v>
      </c>
      <c r="V160" s="371">
        <v>9.35</v>
      </c>
      <c r="W160" s="69">
        <v>32</v>
      </c>
      <c r="X160" s="59">
        <v>51.39</v>
      </c>
      <c r="Y160" s="37">
        <v>886</v>
      </c>
      <c r="Z160" s="69">
        <v>784</v>
      </c>
      <c r="AA160" s="16">
        <f>Y160-Z160</f>
        <v>102</v>
      </c>
      <c r="AB160" s="66">
        <f>AA160/Z160</f>
        <v>0.13010204081632654</v>
      </c>
      <c r="AC160" s="105" t="s">
        <v>6375</v>
      </c>
      <c r="AD160" s="23" t="s">
        <v>2365</v>
      </c>
      <c r="AE160" s="89">
        <v>44487</v>
      </c>
      <c r="AF160" s="88">
        <v>44502</v>
      </c>
      <c r="AG160" s="34">
        <f>AF160-AE160</f>
        <v>15</v>
      </c>
      <c r="AH160" s="44" t="s">
        <v>3789</v>
      </c>
      <c r="AI160" s="131"/>
    </row>
    <row r="161" spans="1:42">
      <c r="A161" s="151" t="s">
        <v>2518</v>
      </c>
      <c r="B161" s="85">
        <v>-40</v>
      </c>
      <c r="C161" s="85">
        <v>-154</v>
      </c>
      <c r="D161" s="84">
        <v>35</v>
      </c>
      <c r="E161" s="85">
        <v>-30</v>
      </c>
      <c r="F161" s="7">
        <v>-0.8</v>
      </c>
      <c r="G161" s="85">
        <v>2439</v>
      </c>
      <c r="H161" s="268" t="s">
        <v>563</v>
      </c>
      <c r="I161" s="23" t="s">
        <v>385</v>
      </c>
      <c r="J161" s="371">
        <v>27.49</v>
      </c>
      <c r="K161" s="371">
        <v>17.55</v>
      </c>
      <c r="L161" s="77">
        <v>13.2</v>
      </c>
      <c r="N161" s="365">
        <f t="shared" ref="N161" si="274">K161+J161+L161</f>
        <v>58.239999999999995</v>
      </c>
      <c r="P161" s="195">
        <v>4</v>
      </c>
      <c r="Q161" s="326" t="str">
        <f>IFERROR(VLOOKUP($G161,主力整理!$A$2:$G$2301,6,0),"0")</f>
        <v>0</v>
      </c>
      <c r="R161" s="111">
        <v>1</v>
      </c>
      <c r="S161" s="51">
        <v>10</v>
      </c>
      <c r="T161" s="339">
        <f t="shared" si="261"/>
        <v>15</v>
      </c>
      <c r="V161" s="371">
        <v>7.39</v>
      </c>
      <c r="W161" s="69">
        <v>5.07</v>
      </c>
      <c r="X161" s="100">
        <v>5.33</v>
      </c>
      <c r="Y161" s="37">
        <v>95.7</v>
      </c>
      <c r="Z161" s="69">
        <v>79.400000000000006</v>
      </c>
      <c r="AA161" s="16">
        <f t="shared" ref="AA161" si="275">Y161-Z161</f>
        <v>16.299999999999997</v>
      </c>
      <c r="AB161" s="66">
        <f t="shared" ref="AB161" si="276">AA161/Z161</f>
        <v>0.20528967254408056</v>
      </c>
      <c r="AC161" s="105" t="s">
        <v>6369</v>
      </c>
      <c r="AD161" s="23" t="s">
        <v>385</v>
      </c>
      <c r="AE161" s="89">
        <v>44484</v>
      </c>
      <c r="AF161" s="88">
        <v>44502</v>
      </c>
      <c r="AG161" s="34">
        <f t="shared" ref="AG161" si="277">AF161-AE161</f>
        <v>18</v>
      </c>
      <c r="AH161" s="125" t="s">
        <v>3767</v>
      </c>
      <c r="AI161" s="131"/>
    </row>
    <row r="162" spans="1:42">
      <c r="A162" s="151" t="s">
        <v>6318</v>
      </c>
      <c r="B162" s="85">
        <v>-40</v>
      </c>
      <c r="C162" s="85">
        <v>-154</v>
      </c>
      <c r="D162" s="84">
        <v>2</v>
      </c>
      <c r="E162" s="85">
        <v>-4</v>
      </c>
      <c r="F162" s="7">
        <v>-0.8</v>
      </c>
      <c r="G162" s="85">
        <v>2439</v>
      </c>
      <c r="H162" s="268" t="s">
        <v>563</v>
      </c>
      <c r="I162" s="23" t="s">
        <v>385</v>
      </c>
      <c r="J162" s="371">
        <v>28.21</v>
      </c>
      <c r="K162" s="371">
        <v>16.71</v>
      </c>
      <c r="L162" s="77">
        <v>12.99</v>
      </c>
      <c r="N162" s="365">
        <f>K162+J162+L162</f>
        <v>57.910000000000004</v>
      </c>
      <c r="P162" s="195">
        <v>3</v>
      </c>
      <c r="Q162" s="326" t="str">
        <f>IFERROR(VLOOKUP($G162,主力整理!$A$2:$G$2301,6,0),"0")</f>
        <v>0</v>
      </c>
      <c r="R162" s="111">
        <v>1</v>
      </c>
      <c r="S162" s="51">
        <v>10</v>
      </c>
      <c r="T162" s="339">
        <f t="shared" si="261"/>
        <v>14</v>
      </c>
      <c r="V162" s="371">
        <v>9.64</v>
      </c>
      <c r="W162" s="69">
        <v>5.07</v>
      </c>
      <c r="X162" s="100">
        <v>5.33</v>
      </c>
      <c r="Y162" s="37">
        <v>95.7</v>
      </c>
      <c r="Z162" s="69">
        <v>83</v>
      </c>
      <c r="AA162" s="16">
        <f>Y162-Z162</f>
        <v>12.700000000000003</v>
      </c>
      <c r="AB162" s="66">
        <f>AA162/Z162</f>
        <v>0.15301204819277112</v>
      </c>
      <c r="AC162" s="105" t="s">
        <v>6320</v>
      </c>
      <c r="AD162" s="23" t="s">
        <v>385</v>
      </c>
      <c r="AE162" s="89">
        <v>44473</v>
      </c>
      <c r="AF162" s="88">
        <v>44502</v>
      </c>
      <c r="AG162" s="34">
        <f>AF162-AE162</f>
        <v>29</v>
      </c>
      <c r="AH162" s="125" t="s">
        <v>3767</v>
      </c>
      <c r="AI162" s="131"/>
    </row>
    <row r="163" spans="1:42">
      <c r="A163" s="151" t="s">
        <v>5409</v>
      </c>
      <c r="B163" s="85">
        <v>-40</v>
      </c>
      <c r="C163" s="85">
        <v>-154</v>
      </c>
      <c r="D163" s="84">
        <v>2</v>
      </c>
      <c r="E163" s="85">
        <v>-4</v>
      </c>
      <c r="F163" s="7">
        <v>-0.8</v>
      </c>
      <c r="G163" s="85">
        <v>2439</v>
      </c>
      <c r="H163" s="268" t="s">
        <v>563</v>
      </c>
      <c r="I163" s="23" t="s">
        <v>385</v>
      </c>
      <c r="J163" s="77">
        <v>29.62</v>
      </c>
      <c r="K163" s="371">
        <v>17.010000000000002</v>
      </c>
      <c r="L163" s="371">
        <v>11.53</v>
      </c>
      <c r="N163" s="365">
        <f>K163+J163+L163</f>
        <v>58.160000000000004</v>
      </c>
      <c r="P163" s="195">
        <v>2</v>
      </c>
      <c r="Q163" s="326" t="str">
        <f>IFERROR(VLOOKUP($G163,主力整理!$A$2:$G$2301,6,0),"0")</f>
        <v>0</v>
      </c>
      <c r="R163" s="111">
        <v>1</v>
      </c>
      <c r="S163" s="51">
        <v>10</v>
      </c>
      <c r="T163" s="339">
        <f t="shared" si="261"/>
        <v>13</v>
      </c>
      <c r="V163" s="371">
        <v>7.49</v>
      </c>
      <c r="W163" s="69">
        <v>5.07</v>
      </c>
      <c r="X163" s="100">
        <v>5.33</v>
      </c>
      <c r="Y163" s="37">
        <v>95.7</v>
      </c>
      <c r="Z163" s="69">
        <v>95.5</v>
      </c>
      <c r="AA163" s="16">
        <f>Y163-Z163</f>
        <v>0.20000000000000284</v>
      </c>
      <c r="AB163" s="66">
        <f>AA163/Z163</f>
        <v>2.0942408376963648E-3</v>
      </c>
      <c r="AC163" s="105" t="s">
        <v>5413</v>
      </c>
      <c r="AD163" s="23" t="s">
        <v>385</v>
      </c>
      <c r="AE163" s="89">
        <v>44447</v>
      </c>
      <c r="AF163" s="88">
        <v>44502</v>
      </c>
      <c r="AG163" s="34">
        <f>AF163-AE163</f>
        <v>55</v>
      </c>
      <c r="AH163" s="125" t="s">
        <v>3767</v>
      </c>
      <c r="AI163" s="131"/>
    </row>
    <row r="164" spans="1:42">
      <c r="A164" s="135" t="s">
        <v>2488</v>
      </c>
      <c r="B164" s="85">
        <v>-37</v>
      </c>
      <c r="C164" s="85">
        <v>-34</v>
      </c>
      <c r="D164" s="84">
        <v>2</v>
      </c>
      <c r="E164" s="84">
        <v>3</v>
      </c>
      <c r="F164" s="59">
        <v>21.34</v>
      </c>
      <c r="G164" s="84">
        <v>3105</v>
      </c>
      <c r="H164" s="203" t="s">
        <v>558</v>
      </c>
      <c r="I164" s="17" t="s">
        <v>476</v>
      </c>
      <c r="J164" s="371">
        <v>58.14</v>
      </c>
      <c r="K164" s="77">
        <v>48.02</v>
      </c>
      <c r="L164" s="77">
        <v>5.58</v>
      </c>
      <c r="N164" s="365">
        <f t="shared" ref="N164" si="278">K164+J164+L164</f>
        <v>111.74</v>
      </c>
      <c r="P164" s="195">
        <v>20</v>
      </c>
      <c r="Q164" s="326">
        <v>6</v>
      </c>
      <c r="R164" s="111">
        <v>2</v>
      </c>
      <c r="S164" s="51">
        <v>13</v>
      </c>
      <c r="T164" s="339">
        <f t="shared" si="261"/>
        <v>41</v>
      </c>
      <c r="V164" s="371">
        <v>7.49</v>
      </c>
      <c r="W164" s="69">
        <v>10</v>
      </c>
      <c r="X164" s="59">
        <v>12.79</v>
      </c>
      <c r="Y164" s="14">
        <v>358.5</v>
      </c>
      <c r="Z164" s="69">
        <v>357.5</v>
      </c>
      <c r="AA164" s="16">
        <f t="shared" ref="AA164" si="279">Y164-Z164</f>
        <v>1</v>
      </c>
      <c r="AB164" s="66">
        <f t="shared" ref="AB164" si="280">AA164/Z164</f>
        <v>2.7972027972027972E-3</v>
      </c>
      <c r="AC164" s="105" t="s">
        <v>6415</v>
      </c>
      <c r="AD164" s="17" t="s">
        <v>476</v>
      </c>
      <c r="AE164" s="89">
        <v>44498</v>
      </c>
      <c r="AF164" s="88">
        <v>44501</v>
      </c>
      <c r="AG164" s="34">
        <f t="shared" ref="AG164" si="281">AF164-AE164</f>
        <v>3</v>
      </c>
      <c r="AH164" s="126" t="s">
        <v>3701</v>
      </c>
      <c r="AI164" s="131"/>
    </row>
    <row r="165" spans="1:42">
      <c r="A165" s="135" t="s">
        <v>6273</v>
      </c>
      <c r="B165" s="84">
        <v>428</v>
      </c>
      <c r="C165" s="84">
        <v>503</v>
      </c>
      <c r="D165" s="85">
        <v>-2</v>
      </c>
      <c r="E165" s="84">
        <v>28</v>
      </c>
      <c r="F165" s="59">
        <v>21.83</v>
      </c>
      <c r="G165" s="85">
        <v>3481</v>
      </c>
      <c r="H165" s="5" t="s">
        <v>557</v>
      </c>
      <c r="I165" s="23" t="s">
        <v>387</v>
      </c>
      <c r="J165" s="77">
        <v>45.03</v>
      </c>
      <c r="K165" s="77">
        <v>30.2</v>
      </c>
      <c r="L165" s="371">
        <v>19.239999999999998</v>
      </c>
      <c r="N165" s="365">
        <f t="shared" ref="N165" si="282">K165+J165+L165</f>
        <v>94.47</v>
      </c>
      <c r="P165" s="195">
        <v>57</v>
      </c>
      <c r="Q165" s="326">
        <v>3</v>
      </c>
      <c r="R165" s="111">
        <v>7</v>
      </c>
      <c r="S165" s="51">
        <v>31</v>
      </c>
      <c r="T165" s="339">
        <f t="shared" si="261"/>
        <v>98</v>
      </c>
      <c r="V165" s="371">
        <v>4.0199999999999996</v>
      </c>
      <c r="W165" s="35">
        <v>0.4</v>
      </c>
      <c r="X165" s="100">
        <v>4.49</v>
      </c>
      <c r="Y165" s="37">
        <v>16.55</v>
      </c>
      <c r="Z165" s="69">
        <v>16.850000000000001</v>
      </c>
      <c r="AA165" s="16">
        <f t="shared" ref="AA165" si="283">Y165-Z165</f>
        <v>-0.30000000000000071</v>
      </c>
      <c r="AB165" s="80">
        <f t="shared" ref="AB165" si="284">AA165/Z165</f>
        <v>-1.7804154302670665E-2</v>
      </c>
      <c r="AC165" s="107" t="s">
        <v>6314</v>
      </c>
      <c r="AD165" s="23" t="s">
        <v>387</v>
      </c>
      <c r="AE165" s="89">
        <v>44470</v>
      </c>
      <c r="AF165" s="88">
        <v>44501</v>
      </c>
      <c r="AG165" s="34">
        <f t="shared" ref="AG165" si="285">AF165-AE165</f>
        <v>31</v>
      </c>
      <c r="AH165" s="126" t="s">
        <v>2176</v>
      </c>
      <c r="AI165" s="131"/>
    </row>
    <row r="166" spans="1:42">
      <c r="A166" s="151" t="s">
        <v>2490</v>
      </c>
      <c r="B166" s="85">
        <v>-15</v>
      </c>
      <c r="C166" s="85">
        <v>-8</v>
      </c>
      <c r="D166" s="85">
        <v>-14</v>
      </c>
      <c r="E166" s="85">
        <v>-9</v>
      </c>
      <c r="F166" s="7">
        <v>5.16</v>
      </c>
      <c r="G166" s="85">
        <v>3211</v>
      </c>
      <c r="H166" s="203" t="s">
        <v>1815</v>
      </c>
      <c r="I166" s="17" t="s">
        <v>423</v>
      </c>
      <c r="J166" s="77">
        <v>26.92</v>
      </c>
      <c r="K166" s="371">
        <v>12.98</v>
      </c>
      <c r="L166" s="77">
        <v>8.7899999999999991</v>
      </c>
      <c r="N166" s="365">
        <f>K166+J166+L166</f>
        <v>48.690000000000005</v>
      </c>
      <c r="P166" s="195">
        <v>3</v>
      </c>
      <c r="Q166" s="326" t="str">
        <f>IFERROR(VLOOKUP($G166,主力整理!$A$2:$G$2301,6,0),"0")</f>
        <v>0</v>
      </c>
      <c r="R166" s="111">
        <v>1</v>
      </c>
      <c r="S166" s="51">
        <v>3</v>
      </c>
      <c r="T166" s="339">
        <f t="shared" si="261"/>
        <v>7</v>
      </c>
      <c r="V166" s="371">
        <v>0.71</v>
      </c>
      <c r="W166" s="69">
        <v>6.5</v>
      </c>
      <c r="X166" s="100">
        <v>6.44</v>
      </c>
      <c r="Y166" s="37">
        <v>96</v>
      </c>
      <c r="Z166" s="69">
        <v>94.5</v>
      </c>
      <c r="AA166" s="16">
        <f>Y166-Z166</f>
        <v>1.5</v>
      </c>
      <c r="AB166" s="66">
        <f>AA166/Z166</f>
        <v>1.5873015873015872E-2</v>
      </c>
      <c r="AC166" s="105" t="s">
        <v>6393</v>
      </c>
      <c r="AD166" s="17" t="s">
        <v>423</v>
      </c>
      <c r="AE166" s="89">
        <v>44494</v>
      </c>
      <c r="AF166" s="88">
        <v>44498</v>
      </c>
      <c r="AG166" s="34">
        <f>AF166-AE166</f>
        <v>4</v>
      </c>
      <c r="AH166" s="44" t="s">
        <v>3532</v>
      </c>
      <c r="AI166" s="131"/>
    </row>
    <row r="167" spans="1:42">
      <c r="A167" s="135" t="s">
        <v>2496</v>
      </c>
      <c r="B167" s="84">
        <v>131</v>
      </c>
      <c r="C167" s="84">
        <v>132</v>
      </c>
      <c r="D167" s="85">
        <v>-1</v>
      </c>
      <c r="E167" s="84">
        <v>34</v>
      </c>
      <c r="F167" s="59">
        <v>20.62</v>
      </c>
      <c r="G167" s="85">
        <v>6679</v>
      </c>
      <c r="H167" s="213" t="s">
        <v>558</v>
      </c>
      <c r="I167" s="17" t="s">
        <v>2567</v>
      </c>
      <c r="J167" s="77">
        <v>33.54</v>
      </c>
      <c r="K167" s="77">
        <v>22.24</v>
      </c>
      <c r="L167" s="77">
        <v>9.94</v>
      </c>
      <c r="N167" s="365">
        <f t="shared" ref="N167" si="286">K167+J167+L167</f>
        <v>65.72</v>
      </c>
      <c r="P167" s="195">
        <v>14</v>
      </c>
      <c r="Q167" s="326" t="str">
        <f>IFERROR(VLOOKUP($G167,主力整理!$A$2:$G$2301,6,0),"0")</f>
        <v>0</v>
      </c>
      <c r="R167" s="111">
        <v>10</v>
      </c>
      <c r="S167" s="51">
        <v>15</v>
      </c>
      <c r="T167" s="339">
        <f t="shared" si="261"/>
        <v>39</v>
      </c>
      <c r="V167" s="371">
        <v>3.42</v>
      </c>
      <c r="W167" s="69">
        <v>4.99</v>
      </c>
      <c r="X167" s="100">
        <v>11.61</v>
      </c>
      <c r="Y167" s="37">
        <v>317</v>
      </c>
      <c r="Z167" s="69">
        <v>278</v>
      </c>
      <c r="AA167" s="16">
        <f t="shared" ref="AA167" si="287">Y167-Z167</f>
        <v>39</v>
      </c>
      <c r="AB167" s="66">
        <f t="shared" ref="AB167" si="288">AA167/Z167</f>
        <v>0.14028776978417265</v>
      </c>
      <c r="AC167" s="105" t="s">
        <v>6377</v>
      </c>
      <c r="AD167" s="17" t="s">
        <v>2567</v>
      </c>
      <c r="AE167" s="89">
        <v>44487</v>
      </c>
      <c r="AF167" s="88">
        <v>44498</v>
      </c>
      <c r="AG167" s="34">
        <f t="shared" ref="AG167" si="289">AF167-AE167</f>
        <v>11</v>
      </c>
      <c r="AH167" s="63" t="s">
        <v>3726</v>
      </c>
      <c r="AI167" s="131"/>
    </row>
    <row r="168" spans="1:42">
      <c r="A168" s="135" t="s">
        <v>2469</v>
      </c>
      <c r="B168" s="84">
        <v>453</v>
      </c>
      <c r="C168" s="84">
        <v>464</v>
      </c>
      <c r="D168" s="85">
        <v>-1</v>
      </c>
      <c r="E168" s="84">
        <v>34</v>
      </c>
      <c r="F168" s="59">
        <v>18.09</v>
      </c>
      <c r="G168" s="85">
        <v>2409</v>
      </c>
      <c r="H168" s="5" t="s">
        <v>557</v>
      </c>
      <c r="I168" s="23" t="s">
        <v>384</v>
      </c>
      <c r="J168" s="371">
        <v>52.43</v>
      </c>
      <c r="K168" s="77">
        <v>30.61</v>
      </c>
      <c r="L168" s="77">
        <v>12.89</v>
      </c>
      <c r="N168" s="365">
        <f>K168+J168+L168</f>
        <v>95.929999999999993</v>
      </c>
      <c r="P168" s="195">
        <v>59</v>
      </c>
      <c r="Q168" s="326">
        <v>8</v>
      </c>
      <c r="R168" s="111">
        <v>8</v>
      </c>
      <c r="S168" s="51">
        <v>29</v>
      </c>
      <c r="T168" s="339">
        <f t="shared" si="261"/>
        <v>104</v>
      </c>
      <c r="V168" s="371">
        <v>6.89</v>
      </c>
      <c r="W168" s="35">
        <v>0.3</v>
      </c>
      <c r="X168" s="59">
        <v>4.49</v>
      </c>
      <c r="Y168" s="37">
        <v>19.2</v>
      </c>
      <c r="Z168" s="69">
        <v>17.25</v>
      </c>
      <c r="AA168" s="16">
        <f>Y168-Z168</f>
        <v>1.9499999999999993</v>
      </c>
      <c r="AB168" s="66">
        <f>AA168/Z168</f>
        <v>0.11304347826086952</v>
      </c>
      <c r="AC168" s="107" t="s">
        <v>5553</v>
      </c>
      <c r="AD168" s="23" t="s">
        <v>384</v>
      </c>
      <c r="AE168" s="89">
        <v>44470</v>
      </c>
      <c r="AF168" s="88">
        <v>44498</v>
      </c>
      <c r="AG168" s="34">
        <f>AF168-AE168</f>
        <v>28</v>
      </c>
      <c r="AH168" s="126" t="s">
        <v>4053</v>
      </c>
      <c r="AI168" s="131"/>
    </row>
    <row r="169" spans="1:42">
      <c r="A169" s="135" t="s">
        <v>2488</v>
      </c>
      <c r="B169" s="85">
        <v>-37</v>
      </c>
      <c r="C169" s="85">
        <v>-34</v>
      </c>
      <c r="D169" s="84">
        <v>2</v>
      </c>
      <c r="E169" s="84">
        <v>3</v>
      </c>
      <c r="F169" s="59">
        <v>21.34</v>
      </c>
      <c r="G169" s="85">
        <v>3105</v>
      </c>
      <c r="H169" s="203" t="s">
        <v>558</v>
      </c>
      <c r="I169" s="17" t="s">
        <v>476</v>
      </c>
      <c r="J169" s="371">
        <v>58.14</v>
      </c>
      <c r="K169" s="371">
        <v>47.8</v>
      </c>
      <c r="L169" s="77">
        <v>4.75</v>
      </c>
      <c r="N169" s="365">
        <f>K169+J169+L169</f>
        <v>110.69</v>
      </c>
      <c r="P169" s="195">
        <v>19</v>
      </c>
      <c r="Q169" s="326">
        <v>6</v>
      </c>
      <c r="R169" s="111">
        <v>2</v>
      </c>
      <c r="S169" s="51">
        <v>13</v>
      </c>
      <c r="T169" s="339">
        <f t="shared" si="261"/>
        <v>40</v>
      </c>
      <c r="V169" s="371">
        <v>8.2200000000000006</v>
      </c>
      <c r="W169" s="69">
        <v>10</v>
      </c>
      <c r="X169" s="59">
        <v>12.79</v>
      </c>
      <c r="Y169" s="14">
        <v>325</v>
      </c>
      <c r="Z169" s="69">
        <v>329</v>
      </c>
      <c r="AA169" s="16">
        <f>Y169-Z169</f>
        <v>-4</v>
      </c>
      <c r="AB169" s="80">
        <f>AA169/Z169</f>
        <v>-1.2158054711246201E-2</v>
      </c>
      <c r="AC169" s="105" t="s">
        <v>6399</v>
      </c>
      <c r="AD169" s="17" t="s">
        <v>476</v>
      </c>
      <c r="AE169" s="89">
        <v>44496</v>
      </c>
      <c r="AF169" s="88">
        <v>44497</v>
      </c>
      <c r="AG169" s="34">
        <f>AF169-AE169</f>
        <v>1</v>
      </c>
      <c r="AH169" s="126" t="s">
        <v>3701</v>
      </c>
    </row>
    <row r="170" spans="1:42">
      <c r="A170" s="135" t="s">
        <v>2488</v>
      </c>
      <c r="B170" s="85">
        <v>-37</v>
      </c>
      <c r="C170" s="85">
        <v>-34</v>
      </c>
      <c r="D170" s="84">
        <v>2</v>
      </c>
      <c r="E170" s="84">
        <v>3</v>
      </c>
      <c r="F170" s="59">
        <v>21.34</v>
      </c>
      <c r="G170" s="85">
        <v>3105</v>
      </c>
      <c r="H170" s="203" t="s">
        <v>558</v>
      </c>
      <c r="I170" s="17" t="s">
        <v>476</v>
      </c>
      <c r="J170" s="371">
        <v>57.4</v>
      </c>
      <c r="K170" s="371">
        <v>48.38</v>
      </c>
      <c r="L170" s="371">
        <v>4.59</v>
      </c>
      <c r="N170" s="365">
        <f t="shared" ref="N170" si="290">K170+J170+L170</f>
        <v>110.37</v>
      </c>
      <c r="P170" s="195">
        <v>18</v>
      </c>
      <c r="Q170" s="326">
        <f>IFERROR(VLOOKUP($G170,主力整理!$A$2:$G$2301,6,0),"0")</f>
        <v>4</v>
      </c>
      <c r="R170" s="111">
        <v>2</v>
      </c>
      <c r="S170" s="51">
        <v>13</v>
      </c>
      <c r="T170" s="339">
        <f t="shared" si="261"/>
        <v>37</v>
      </c>
      <c r="V170" s="371">
        <v>5.08</v>
      </c>
      <c r="W170" s="69">
        <v>10</v>
      </c>
      <c r="X170" s="59">
        <v>12.79</v>
      </c>
      <c r="Y170" s="14">
        <v>325</v>
      </c>
      <c r="Z170" s="69">
        <v>311.5</v>
      </c>
      <c r="AA170" s="16">
        <f t="shared" ref="AA170" si="291">Y170-Z170</f>
        <v>13.5</v>
      </c>
      <c r="AB170" s="66">
        <f t="shared" ref="AB170" si="292">AA170/Z170</f>
        <v>4.3338683788121987E-2</v>
      </c>
      <c r="AC170" s="105" t="s">
        <v>5335</v>
      </c>
      <c r="AD170" s="17" t="s">
        <v>476</v>
      </c>
      <c r="AE170" s="89">
        <v>44476</v>
      </c>
      <c r="AF170" s="88">
        <v>44497</v>
      </c>
      <c r="AG170" s="34">
        <f t="shared" ref="AG170" si="293">AF170-AE170</f>
        <v>21</v>
      </c>
      <c r="AH170" s="126" t="s">
        <v>3701</v>
      </c>
      <c r="AI170" s="131"/>
    </row>
    <row r="171" spans="1:42">
      <c r="A171" s="135" t="s">
        <v>2488</v>
      </c>
      <c r="B171" s="85">
        <v>-37</v>
      </c>
      <c r="C171" s="85">
        <v>-34</v>
      </c>
      <c r="D171" s="84">
        <v>2</v>
      </c>
      <c r="E171" s="84">
        <v>2</v>
      </c>
      <c r="F171" s="59">
        <v>21.34</v>
      </c>
      <c r="G171" s="85">
        <v>3105</v>
      </c>
      <c r="H171" s="203" t="s">
        <v>558</v>
      </c>
      <c r="I171" s="17" t="s">
        <v>476</v>
      </c>
      <c r="J171" s="77">
        <v>58.13</v>
      </c>
      <c r="K171" s="371">
        <v>49.31</v>
      </c>
      <c r="L171" s="77">
        <v>4.74</v>
      </c>
      <c r="N171" s="365">
        <f t="shared" ref="N171" si="294">K171+J171+L171</f>
        <v>112.17999999999999</v>
      </c>
      <c r="P171" s="195">
        <v>17</v>
      </c>
      <c r="Q171" s="326">
        <f>IFERROR(VLOOKUP($G171,主力整理!$A$2:$G$2301,6,0),"0")</f>
        <v>4</v>
      </c>
      <c r="R171" s="111">
        <v>2</v>
      </c>
      <c r="S171" s="51">
        <v>13</v>
      </c>
      <c r="T171" s="339">
        <f t="shared" si="261"/>
        <v>36</v>
      </c>
      <c r="V171" s="371">
        <v>11.79</v>
      </c>
      <c r="W171" s="46">
        <v>10</v>
      </c>
      <c r="X171" s="59">
        <v>12.79</v>
      </c>
      <c r="Y171" s="14">
        <v>325</v>
      </c>
      <c r="Z171" s="69">
        <v>320.5</v>
      </c>
      <c r="AA171" s="16">
        <f t="shared" ref="AA171" si="295">Y171-Z171</f>
        <v>4.5</v>
      </c>
      <c r="AB171" s="66">
        <f t="shared" ref="AB171" si="296">AA171/Z171</f>
        <v>1.4040561622464899E-2</v>
      </c>
      <c r="AC171" s="107" t="s">
        <v>5360</v>
      </c>
      <c r="AD171" s="17" t="s">
        <v>476</v>
      </c>
      <c r="AE171" s="89">
        <v>44453</v>
      </c>
      <c r="AF171" s="88">
        <v>44497</v>
      </c>
      <c r="AG171" s="34">
        <f t="shared" ref="AG171" si="297">AF171-AE171</f>
        <v>44</v>
      </c>
      <c r="AH171" s="126" t="s">
        <v>3701</v>
      </c>
      <c r="AI171" s="131"/>
    </row>
    <row r="172" spans="1:42">
      <c r="A172" s="151" t="s">
        <v>4657</v>
      </c>
      <c r="B172" s="85">
        <v>-60</v>
      </c>
      <c r="C172" s="85">
        <v>-70</v>
      </c>
      <c r="D172" s="84">
        <v>8</v>
      </c>
      <c r="E172" s="84">
        <v>19</v>
      </c>
      <c r="F172" s="7">
        <v>8.93</v>
      </c>
      <c r="G172" s="85">
        <v>3406</v>
      </c>
      <c r="H172" s="5" t="s">
        <v>557</v>
      </c>
      <c r="I172" s="23" t="s">
        <v>93</v>
      </c>
      <c r="J172" s="371">
        <v>39.32</v>
      </c>
      <c r="K172" s="77">
        <v>26.79</v>
      </c>
      <c r="L172" s="371">
        <v>29.38</v>
      </c>
      <c r="N172" s="365">
        <f t="shared" ref="N172" si="298">K172+J172+L172</f>
        <v>95.49</v>
      </c>
      <c r="P172" s="195">
        <v>13</v>
      </c>
      <c r="Q172" s="326">
        <v>4</v>
      </c>
      <c r="R172" s="111">
        <v>6</v>
      </c>
      <c r="S172" s="51">
        <v>20</v>
      </c>
      <c r="T172" s="339">
        <f t="shared" si="261"/>
        <v>43</v>
      </c>
      <c r="V172" s="371">
        <v>10.76</v>
      </c>
      <c r="W172" s="46">
        <v>9.99</v>
      </c>
      <c r="X172" s="100">
        <v>21.93</v>
      </c>
      <c r="Y172" s="37">
        <v>427</v>
      </c>
      <c r="Z172" s="46">
        <v>440</v>
      </c>
      <c r="AA172" s="16">
        <f t="shared" ref="AA172" si="299">Y172-Z172</f>
        <v>-13</v>
      </c>
      <c r="AB172" s="80">
        <f t="shared" ref="AB172" si="300">AA172/Z172</f>
        <v>-2.9545454545454545E-2</v>
      </c>
      <c r="AC172" s="105" t="s">
        <v>6400</v>
      </c>
      <c r="AD172" s="23" t="s">
        <v>93</v>
      </c>
      <c r="AE172" s="89">
        <v>44496</v>
      </c>
      <c r="AF172" s="88">
        <v>44497</v>
      </c>
      <c r="AG172" s="34">
        <f t="shared" ref="AG172" si="301">AF172-AE172</f>
        <v>1</v>
      </c>
      <c r="AH172" s="125" t="s">
        <v>4061</v>
      </c>
      <c r="AI172" s="131"/>
    </row>
    <row r="173" spans="1:42">
      <c r="A173" s="151" t="s">
        <v>6390</v>
      </c>
      <c r="B173" s="85">
        <v>141</v>
      </c>
      <c r="C173" s="85">
        <v>-139</v>
      </c>
      <c r="D173" s="85">
        <v>-41</v>
      </c>
      <c r="E173" s="84">
        <v>24</v>
      </c>
      <c r="F173" s="7">
        <v>-4.13</v>
      </c>
      <c r="G173" s="85">
        <v>2915</v>
      </c>
      <c r="H173" s="5" t="s">
        <v>562</v>
      </c>
      <c r="I173" s="23" t="s">
        <v>51</v>
      </c>
      <c r="J173" s="371">
        <v>62.23</v>
      </c>
      <c r="K173" s="371">
        <v>17.420000000000002</v>
      </c>
      <c r="L173" s="371">
        <v>5.26</v>
      </c>
      <c r="N173" s="365">
        <f>K173+J173+L173</f>
        <v>84.910000000000011</v>
      </c>
      <c r="P173" s="195">
        <v>5</v>
      </c>
      <c r="Q173" s="326">
        <v>5</v>
      </c>
      <c r="R173" s="111">
        <v>1</v>
      </c>
      <c r="S173" s="51">
        <v>7</v>
      </c>
      <c r="T173" s="339">
        <f t="shared" si="261"/>
        <v>18</v>
      </c>
      <c r="V173" s="371">
        <v>38.159999999999997</v>
      </c>
      <c r="W173" s="46">
        <v>5</v>
      </c>
      <c r="X173" s="59">
        <v>26.39</v>
      </c>
      <c r="Y173" s="37">
        <v>104.5</v>
      </c>
      <c r="Z173" s="69">
        <v>93.2</v>
      </c>
      <c r="AA173" s="16">
        <f>Y173-Z173</f>
        <v>11.299999999999997</v>
      </c>
      <c r="AB173" s="66">
        <f>AA173/Z173</f>
        <v>0.12124463519313301</v>
      </c>
      <c r="AC173" s="105" t="s">
        <v>6395</v>
      </c>
      <c r="AD173" s="23" t="s">
        <v>51</v>
      </c>
      <c r="AE173" s="89">
        <v>44494</v>
      </c>
      <c r="AF173" s="88">
        <v>44497</v>
      </c>
      <c r="AG173" s="34">
        <f>AF173-AE173</f>
        <v>3</v>
      </c>
      <c r="AH173" s="125" t="s">
        <v>3281</v>
      </c>
      <c r="AI173" s="131"/>
    </row>
    <row r="174" spans="1:42">
      <c r="A174" s="135" t="s">
        <v>2978</v>
      </c>
      <c r="B174" s="84">
        <v>16</v>
      </c>
      <c r="C174" s="84">
        <v>21</v>
      </c>
      <c r="D174" s="84">
        <v>-17</v>
      </c>
      <c r="E174" s="84">
        <v>5</v>
      </c>
      <c r="F174" s="59">
        <v>31.44</v>
      </c>
      <c r="G174" s="85">
        <v>6732</v>
      </c>
      <c r="H174" s="213" t="s">
        <v>558</v>
      </c>
      <c r="I174" s="17" t="s">
        <v>2981</v>
      </c>
      <c r="J174" s="77">
        <v>56.93</v>
      </c>
      <c r="K174" s="371">
        <v>14.84</v>
      </c>
      <c r="L174" s="371">
        <v>4.82</v>
      </c>
      <c r="N174" s="365">
        <f>K174+J174+L174</f>
        <v>76.59</v>
      </c>
      <c r="P174" s="195">
        <v>5</v>
      </c>
      <c r="Q174" s="326">
        <v>2</v>
      </c>
      <c r="R174" s="111">
        <v>1</v>
      </c>
      <c r="S174" s="51">
        <v>10</v>
      </c>
      <c r="T174" s="339">
        <f t="shared" si="261"/>
        <v>18</v>
      </c>
      <c r="V174" s="371">
        <v>18</v>
      </c>
      <c r="W174" s="46">
        <v>22.5</v>
      </c>
      <c r="X174" s="59">
        <v>30.35</v>
      </c>
      <c r="Y174" s="37">
        <v>598</v>
      </c>
      <c r="Z174" s="69">
        <v>556</v>
      </c>
      <c r="AA174" s="16">
        <f>Y174-Z174</f>
        <v>42</v>
      </c>
      <c r="AB174" s="66">
        <f>AA174/Z174</f>
        <v>7.5539568345323743E-2</v>
      </c>
      <c r="AC174" s="107" t="s">
        <v>6344</v>
      </c>
      <c r="AD174" s="17" t="s">
        <v>2981</v>
      </c>
      <c r="AE174" s="89">
        <v>44477</v>
      </c>
      <c r="AF174" s="88">
        <v>44497</v>
      </c>
      <c r="AG174" s="34">
        <f>AF174-AE174</f>
        <v>20</v>
      </c>
      <c r="AH174" s="63" t="s">
        <v>4003</v>
      </c>
      <c r="AI174" s="131"/>
    </row>
    <row r="175" spans="1:42">
      <c r="A175" s="135" t="s">
        <v>2808</v>
      </c>
      <c r="B175" s="84">
        <v>49</v>
      </c>
      <c r="C175" s="84">
        <v>55</v>
      </c>
      <c r="D175" s="85">
        <v>-1</v>
      </c>
      <c r="E175" s="84">
        <v>31</v>
      </c>
      <c r="F175" s="59">
        <v>52.14</v>
      </c>
      <c r="G175" s="85">
        <v>3293</v>
      </c>
      <c r="H175" s="5" t="s">
        <v>1664</v>
      </c>
      <c r="I175" s="17" t="s">
        <v>479</v>
      </c>
      <c r="J175" s="77">
        <v>28.35</v>
      </c>
      <c r="K175" s="371">
        <v>29.16</v>
      </c>
      <c r="L175" s="77">
        <v>11.91</v>
      </c>
      <c r="N175" s="365">
        <f t="shared" ref="N175" si="302">K175+J175+L175</f>
        <v>69.42</v>
      </c>
      <c r="P175" s="195">
        <v>12</v>
      </c>
      <c r="Q175" s="326">
        <f>IFERROR(VLOOKUP($G175,主力整理!$A$2:$G$2301,6,0),"0")</f>
        <v>1</v>
      </c>
      <c r="R175" s="111">
        <v>7</v>
      </c>
      <c r="S175" s="51">
        <v>13</v>
      </c>
      <c r="T175" s="339">
        <f t="shared" si="261"/>
        <v>33</v>
      </c>
      <c r="V175" s="371">
        <v>1.53</v>
      </c>
      <c r="W175" s="69">
        <v>42</v>
      </c>
      <c r="X175" s="100">
        <v>59.47</v>
      </c>
      <c r="Y175" s="37">
        <v>715</v>
      </c>
      <c r="Z175" s="69">
        <v>690</v>
      </c>
      <c r="AA175" s="16">
        <f t="shared" ref="AA175" si="303">Y175-Z175</f>
        <v>25</v>
      </c>
      <c r="AB175" s="66">
        <f t="shared" ref="AB175" si="304">AA175/Z175</f>
        <v>3.6231884057971016E-2</v>
      </c>
      <c r="AC175" s="107" t="s">
        <v>6311</v>
      </c>
      <c r="AD175" s="17" t="s">
        <v>479</v>
      </c>
      <c r="AE175" s="89">
        <v>44470</v>
      </c>
      <c r="AF175" s="88">
        <v>44497</v>
      </c>
      <c r="AG175" s="34">
        <f t="shared" ref="AG175" si="305">AF175-AE175</f>
        <v>27</v>
      </c>
      <c r="AH175" s="126" t="s">
        <v>3694</v>
      </c>
    </row>
    <row r="176" spans="1:42">
      <c r="A176" s="151" t="s">
        <v>2900</v>
      </c>
      <c r="B176" s="84">
        <v>2</v>
      </c>
      <c r="C176" s="84">
        <v>2</v>
      </c>
      <c r="D176" s="84">
        <v>23</v>
      </c>
      <c r="E176" s="84">
        <v>6</v>
      </c>
      <c r="F176" s="7">
        <v>3.54</v>
      </c>
      <c r="G176" s="85">
        <v>6414</v>
      </c>
      <c r="H176" s="213" t="s">
        <v>1815</v>
      </c>
      <c r="I176" s="23" t="s">
        <v>389</v>
      </c>
      <c r="J176" s="371">
        <v>45.86</v>
      </c>
      <c r="K176" s="371">
        <v>7.92</v>
      </c>
      <c r="L176" s="77">
        <v>13.38</v>
      </c>
      <c r="N176" s="365">
        <f>K176+J176+L176</f>
        <v>67.16</v>
      </c>
      <c r="P176" s="195">
        <v>9</v>
      </c>
      <c r="Q176" s="326" t="str">
        <f>IFERROR(VLOOKUP($G176,主力整理!$A$2:$G$2301,6,0),"0")</f>
        <v>0</v>
      </c>
      <c r="R176" s="111">
        <v>7</v>
      </c>
      <c r="S176" s="51">
        <v>5</v>
      </c>
      <c r="T176" s="339">
        <f t="shared" si="261"/>
        <v>21</v>
      </c>
      <c r="V176" s="371">
        <v>1.05</v>
      </c>
      <c r="W176" s="69">
        <v>5</v>
      </c>
      <c r="X176" s="100">
        <v>11.98</v>
      </c>
      <c r="Y176" s="37">
        <v>185</v>
      </c>
      <c r="Z176" s="69">
        <v>178.5</v>
      </c>
      <c r="AA176" s="16">
        <f>Y176-Z176</f>
        <v>6.5</v>
      </c>
      <c r="AB176" s="66">
        <f>AA176/Z176</f>
        <v>3.6414565826330535E-2</v>
      </c>
      <c r="AC176" s="105" t="s">
        <v>6388</v>
      </c>
      <c r="AD176" s="23" t="s">
        <v>389</v>
      </c>
      <c r="AE176" s="89">
        <v>44490</v>
      </c>
      <c r="AF176" s="88">
        <v>44495</v>
      </c>
      <c r="AG176" s="34">
        <f>AF176-AE176</f>
        <v>5</v>
      </c>
      <c r="AH176" s="125" t="s">
        <v>2254</v>
      </c>
      <c r="AI176" s="131"/>
      <c r="AO176" s="34"/>
      <c r="AP176" s="34"/>
    </row>
    <row r="177" spans="1:42">
      <c r="A177" s="151" t="s">
        <v>2900</v>
      </c>
      <c r="B177" s="84">
        <v>2</v>
      </c>
      <c r="C177" s="84">
        <v>2</v>
      </c>
      <c r="D177" s="84">
        <v>23</v>
      </c>
      <c r="E177" s="84">
        <v>6</v>
      </c>
      <c r="F177" s="7">
        <v>3.54</v>
      </c>
      <c r="G177" s="85">
        <v>6414</v>
      </c>
      <c r="H177" s="213" t="s">
        <v>1815</v>
      </c>
      <c r="I177" s="23" t="s">
        <v>389</v>
      </c>
      <c r="J177" s="371">
        <v>45.96</v>
      </c>
      <c r="K177" s="371">
        <v>8.4</v>
      </c>
      <c r="L177" s="77">
        <v>12.65</v>
      </c>
      <c r="N177" s="365">
        <f>K177+J177+L177</f>
        <v>67.010000000000005</v>
      </c>
      <c r="P177" s="195">
        <v>8</v>
      </c>
      <c r="Q177" s="326" t="str">
        <f>IFERROR(VLOOKUP($G177,主力整理!$A$2:$G$2301,6,0),"0")</f>
        <v>0</v>
      </c>
      <c r="R177" s="111">
        <v>7</v>
      </c>
      <c r="S177" s="51">
        <v>5</v>
      </c>
      <c r="T177" s="339">
        <f t="shared" si="261"/>
        <v>20</v>
      </c>
      <c r="V177" s="371">
        <v>1.4</v>
      </c>
      <c r="W177" s="69">
        <v>5</v>
      </c>
      <c r="X177" s="100">
        <v>11.98</v>
      </c>
      <c r="Y177" s="37">
        <v>185</v>
      </c>
      <c r="Z177" s="69">
        <v>185.5</v>
      </c>
      <c r="AA177" s="16">
        <f>Y177-Z177</f>
        <v>-0.5</v>
      </c>
      <c r="AB177" s="80">
        <f>AA177/Z177</f>
        <v>-2.6954177897574125E-3</v>
      </c>
      <c r="AC177" s="105" t="s">
        <v>6370</v>
      </c>
      <c r="AD177" s="23" t="s">
        <v>389</v>
      </c>
      <c r="AE177" s="89">
        <v>44484</v>
      </c>
      <c r="AF177" s="88">
        <v>44495</v>
      </c>
      <c r="AG177" s="34">
        <f>AF177-AE177</f>
        <v>11</v>
      </c>
      <c r="AH177" s="125" t="s">
        <v>2254</v>
      </c>
      <c r="AI177" s="131"/>
      <c r="AO177" s="34"/>
      <c r="AP177" s="34"/>
    </row>
    <row r="178" spans="1:42">
      <c r="A178" s="135" t="s">
        <v>3178</v>
      </c>
      <c r="B178" s="84">
        <v>11</v>
      </c>
      <c r="C178" s="84">
        <v>13</v>
      </c>
      <c r="D178" s="84">
        <v>19</v>
      </c>
      <c r="E178" s="84">
        <v>51</v>
      </c>
      <c r="F178" s="59">
        <v>14.13</v>
      </c>
      <c r="G178" s="85">
        <v>2211</v>
      </c>
      <c r="H178" s="5" t="s">
        <v>4989</v>
      </c>
      <c r="I178" s="23" t="s">
        <v>5005</v>
      </c>
      <c r="J178" s="371">
        <v>77.84</v>
      </c>
      <c r="K178" s="77">
        <v>0.71</v>
      </c>
      <c r="N178" s="365">
        <f>K178+J178+L178</f>
        <v>78.55</v>
      </c>
      <c r="P178" s="195">
        <v>1</v>
      </c>
      <c r="Q178" s="326" t="str">
        <f>IFERROR(VLOOKUP($G178,主力整理!$A$2:$G$2301,6,0),"0")</f>
        <v>0</v>
      </c>
      <c r="R178" s="111">
        <v>4</v>
      </c>
      <c r="S178" s="51">
        <v>0</v>
      </c>
      <c r="T178" s="339">
        <f t="shared" si="261"/>
        <v>5</v>
      </c>
      <c r="W178" s="35">
        <v>2.09</v>
      </c>
      <c r="X178" s="59">
        <v>2.82</v>
      </c>
      <c r="Y178" s="37">
        <v>49.2</v>
      </c>
      <c r="Z178" s="69">
        <v>51.6</v>
      </c>
      <c r="AA178" s="16">
        <f>Y178-Z178</f>
        <v>-2.3999999999999986</v>
      </c>
      <c r="AB178" s="80">
        <f>AA178/Z178</f>
        <v>-4.6511627906976716E-2</v>
      </c>
      <c r="AC178" s="107" t="s">
        <v>5591</v>
      </c>
      <c r="AD178" s="23" t="s">
        <v>5005</v>
      </c>
      <c r="AE178" s="89">
        <v>44449</v>
      </c>
      <c r="AF178" s="88">
        <v>44491</v>
      </c>
      <c r="AG178" s="34">
        <f>AF178-AE178</f>
        <v>42</v>
      </c>
      <c r="AH178" s="63" t="s">
        <v>5006</v>
      </c>
      <c r="AI178" s="131"/>
    </row>
    <row r="179" spans="1:42">
      <c r="A179" s="135" t="s">
        <v>3064</v>
      </c>
      <c r="B179" s="84">
        <v>2</v>
      </c>
      <c r="C179" s="85">
        <v>-1</v>
      </c>
      <c r="D179" s="85">
        <v>-1</v>
      </c>
      <c r="E179" s="85">
        <v>-47</v>
      </c>
      <c r="F179" s="59">
        <v>14.36</v>
      </c>
      <c r="G179" s="85">
        <v>3376</v>
      </c>
      <c r="H179" s="5" t="s">
        <v>559</v>
      </c>
      <c r="I179" s="23" t="s">
        <v>117</v>
      </c>
      <c r="J179" s="371">
        <v>55.59</v>
      </c>
      <c r="K179" s="77">
        <v>20.39</v>
      </c>
      <c r="L179" s="371">
        <v>11.75</v>
      </c>
      <c r="N179" s="365">
        <f>K179+J179+L179</f>
        <v>87.73</v>
      </c>
      <c r="P179" s="195">
        <v>7</v>
      </c>
      <c r="Q179" s="326" t="str">
        <f>IFERROR(VLOOKUP($G179,主力整理!$A$2:$G$2301,6,0),"0")</f>
        <v>0</v>
      </c>
      <c r="R179" s="111">
        <v>3</v>
      </c>
      <c r="S179" s="51">
        <v>11</v>
      </c>
      <c r="T179" s="339">
        <f t="shared" si="261"/>
        <v>21</v>
      </c>
      <c r="V179" s="371">
        <v>1.65</v>
      </c>
      <c r="W179" s="69">
        <v>6.98</v>
      </c>
      <c r="X179" s="59">
        <v>8.9600000000000009</v>
      </c>
      <c r="Y179" s="37">
        <v>103</v>
      </c>
      <c r="Z179" s="69">
        <v>99.6</v>
      </c>
      <c r="AA179" s="16">
        <f>Y179-Z179</f>
        <v>3.4000000000000057</v>
      </c>
      <c r="AB179" s="66">
        <f>AA179/Z179</f>
        <v>3.4136546184739013E-2</v>
      </c>
      <c r="AC179" s="105" t="s">
        <v>5414</v>
      </c>
      <c r="AD179" s="23" t="s">
        <v>117</v>
      </c>
      <c r="AE179" s="89">
        <v>44484</v>
      </c>
      <c r="AF179" s="88">
        <v>44490</v>
      </c>
      <c r="AG179" s="34">
        <f>AF179-AE179</f>
        <v>6</v>
      </c>
      <c r="AH179" s="126" t="s">
        <v>3806</v>
      </c>
      <c r="AI179" s="131"/>
    </row>
    <row r="180" spans="1:42">
      <c r="A180" s="135" t="s">
        <v>2481</v>
      </c>
      <c r="B180" s="85">
        <v>-29</v>
      </c>
      <c r="C180" s="85">
        <v>-25</v>
      </c>
      <c r="D180" s="84">
        <v>3</v>
      </c>
      <c r="E180" s="85">
        <v>-18</v>
      </c>
      <c r="F180" s="59">
        <v>51.97</v>
      </c>
      <c r="G180" s="85">
        <v>3008</v>
      </c>
      <c r="H180" s="19" t="s">
        <v>557</v>
      </c>
      <c r="I180" s="23" t="s">
        <v>7</v>
      </c>
      <c r="J180" s="374">
        <v>45.47</v>
      </c>
      <c r="K180" s="77">
        <v>43.71</v>
      </c>
      <c r="L180" s="77">
        <v>4.66</v>
      </c>
      <c r="N180" s="365">
        <f t="shared" ref="N180" si="306">K180+J180+L180</f>
        <v>93.84</v>
      </c>
      <c r="P180" s="195">
        <v>26</v>
      </c>
      <c r="Q180" s="326">
        <v>1</v>
      </c>
      <c r="R180" s="111">
        <v>2</v>
      </c>
      <c r="S180" s="51">
        <v>8</v>
      </c>
      <c r="T180" s="339">
        <f t="shared" si="261"/>
        <v>37</v>
      </c>
      <c r="V180" s="371">
        <v>1.28</v>
      </c>
      <c r="W180" s="230">
        <v>91.5</v>
      </c>
      <c r="X180" s="100">
        <v>157.30000000000001</v>
      </c>
      <c r="Y180" s="67">
        <v>2045</v>
      </c>
      <c r="Z180" s="68">
        <v>2005</v>
      </c>
      <c r="AA180" s="146">
        <f t="shared" ref="AA180" si="307">Y180-Z180</f>
        <v>40</v>
      </c>
      <c r="AB180" s="66">
        <f t="shared" ref="AB180" si="308">AA180/Z180</f>
        <v>1.9950124688279301E-2</v>
      </c>
      <c r="AC180" s="105" t="s">
        <v>6343</v>
      </c>
      <c r="AD180" s="23" t="s">
        <v>7</v>
      </c>
      <c r="AE180" s="89">
        <v>44477</v>
      </c>
      <c r="AF180" s="88">
        <v>44490</v>
      </c>
      <c r="AG180" s="34">
        <f t="shared" ref="AG180" si="309">AF180-AE180</f>
        <v>13</v>
      </c>
      <c r="AH180" s="63" t="s">
        <v>4031</v>
      </c>
      <c r="AI180" s="131"/>
    </row>
    <row r="181" spans="1:42">
      <c r="A181" s="135" t="s">
        <v>2537</v>
      </c>
      <c r="B181" s="84">
        <v>28</v>
      </c>
      <c r="C181" s="84">
        <v>52</v>
      </c>
      <c r="D181" s="84">
        <v>0</v>
      </c>
      <c r="E181" s="84">
        <v>32</v>
      </c>
      <c r="F181" s="59">
        <v>15.18</v>
      </c>
      <c r="G181" s="85">
        <v>8299</v>
      </c>
      <c r="H181" s="213" t="s">
        <v>558</v>
      </c>
      <c r="I181" s="17" t="s">
        <v>405</v>
      </c>
      <c r="J181" s="371">
        <v>31.92</v>
      </c>
      <c r="K181" s="371">
        <v>49.49</v>
      </c>
      <c r="L181" s="77">
        <v>13.4</v>
      </c>
      <c r="N181" s="365">
        <f>K181+J181+L181</f>
        <v>94.81</v>
      </c>
      <c r="P181" s="195">
        <v>30</v>
      </c>
      <c r="Q181" s="326">
        <v>3</v>
      </c>
      <c r="R181" s="111">
        <v>6</v>
      </c>
      <c r="S181" s="51">
        <v>21</v>
      </c>
      <c r="T181" s="339">
        <f t="shared" si="261"/>
        <v>60</v>
      </c>
      <c r="V181" s="371">
        <v>9.56</v>
      </c>
      <c r="W181" s="46">
        <v>10</v>
      </c>
      <c r="X181" s="100">
        <v>48.56</v>
      </c>
      <c r="Y181" s="14">
        <v>379.5</v>
      </c>
      <c r="Z181" s="69">
        <v>376.5</v>
      </c>
      <c r="AA181" s="16">
        <f>Y181-Z181</f>
        <v>3</v>
      </c>
      <c r="AB181" s="66">
        <f>AA181/Z181</f>
        <v>7.9681274900398405E-3</v>
      </c>
      <c r="AC181" s="107" t="s">
        <v>6346</v>
      </c>
      <c r="AD181" s="17" t="s">
        <v>405</v>
      </c>
      <c r="AE181" s="89">
        <v>44477</v>
      </c>
      <c r="AF181" s="88">
        <v>44490</v>
      </c>
      <c r="AG181" s="34">
        <f>AF181-AE181</f>
        <v>13</v>
      </c>
      <c r="AH181" s="126" t="s">
        <v>3400</v>
      </c>
      <c r="AI181" s="131"/>
    </row>
    <row r="182" spans="1:42">
      <c r="A182" s="135" t="s">
        <v>2537</v>
      </c>
      <c r="B182" s="84">
        <v>28</v>
      </c>
      <c r="C182" s="84">
        <v>52</v>
      </c>
      <c r="D182" s="84">
        <v>4</v>
      </c>
      <c r="E182" s="84">
        <v>52</v>
      </c>
      <c r="F182" s="59">
        <v>15.18</v>
      </c>
      <c r="G182" s="84">
        <v>8299</v>
      </c>
      <c r="H182" s="5" t="s">
        <v>551</v>
      </c>
      <c r="I182" s="17" t="s">
        <v>405</v>
      </c>
      <c r="J182" s="371">
        <v>33.83</v>
      </c>
      <c r="K182" s="371">
        <v>51.16</v>
      </c>
      <c r="L182" s="371">
        <v>13.39</v>
      </c>
      <c r="N182" s="365">
        <f>K182+J182+L182</f>
        <v>98.38</v>
      </c>
      <c r="P182" s="195">
        <v>29</v>
      </c>
      <c r="Q182" s="326">
        <f>IFERROR(VLOOKUP($G182,主力整理!$A$2:$G$2301,6,0),"0")</f>
        <v>1</v>
      </c>
      <c r="R182" s="111">
        <v>6</v>
      </c>
      <c r="S182" s="51">
        <v>21</v>
      </c>
      <c r="T182" s="339">
        <f t="shared" si="261"/>
        <v>57</v>
      </c>
      <c r="V182" s="371">
        <v>7.41</v>
      </c>
      <c r="W182" s="69">
        <v>10</v>
      </c>
      <c r="X182" s="100">
        <v>48.56</v>
      </c>
      <c r="Y182" s="14">
        <v>379.5</v>
      </c>
      <c r="Z182" s="69">
        <v>421</v>
      </c>
      <c r="AA182" s="16">
        <f>Y182-Z182</f>
        <v>-41.5</v>
      </c>
      <c r="AB182" s="80">
        <f>AA182/Z182</f>
        <v>-9.8574821852731587E-2</v>
      </c>
      <c r="AC182" s="107" t="s">
        <v>5465</v>
      </c>
      <c r="AD182" s="17" t="s">
        <v>405</v>
      </c>
      <c r="AE182" s="89">
        <v>44446</v>
      </c>
      <c r="AF182" s="88">
        <v>44490</v>
      </c>
      <c r="AG182" s="34">
        <f>AF182-AE182</f>
        <v>44</v>
      </c>
      <c r="AH182" s="126" t="s">
        <v>3400</v>
      </c>
      <c r="AI182" s="131"/>
    </row>
    <row r="183" spans="1:42">
      <c r="A183" s="135" t="s">
        <v>3033</v>
      </c>
      <c r="B183" s="84">
        <v>204</v>
      </c>
      <c r="C183" s="84">
        <v>246</v>
      </c>
      <c r="D183" s="85">
        <v>-2</v>
      </c>
      <c r="E183" s="84">
        <v>66</v>
      </c>
      <c r="F183" s="59">
        <v>33.75</v>
      </c>
      <c r="G183" s="85">
        <v>8016</v>
      </c>
      <c r="H183" s="268" t="s">
        <v>558</v>
      </c>
      <c r="I183" s="23" t="s">
        <v>206</v>
      </c>
      <c r="J183" s="77">
        <v>25.87</v>
      </c>
      <c r="K183" s="371">
        <v>42.52</v>
      </c>
      <c r="L183" s="371">
        <v>22.88</v>
      </c>
      <c r="N183" s="365">
        <f>K183+J183+L183</f>
        <v>91.27</v>
      </c>
      <c r="P183" s="195">
        <v>8</v>
      </c>
      <c r="Q183" s="326">
        <v>5</v>
      </c>
      <c r="R183" s="111">
        <v>5</v>
      </c>
      <c r="S183" s="51">
        <v>12</v>
      </c>
      <c r="T183" s="339">
        <f t="shared" si="261"/>
        <v>30</v>
      </c>
      <c r="V183" s="371">
        <v>17.88</v>
      </c>
      <c r="W183" s="46">
        <v>7.5</v>
      </c>
      <c r="X183" s="100">
        <v>26.21</v>
      </c>
      <c r="Y183" s="14">
        <v>238.5</v>
      </c>
      <c r="Z183" s="46">
        <v>234</v>
      </c>
      <c r="AA183" s="16">
        <f>Y183-Z183</f>
        <v>4.5</v>
      </c>
      <c r="AB183" s="66">
        <f>AA183/Z183</f>
        <v>1.9230769230769232E-2</v>
      </c>
      <c r="AC183" s="105" t="s">
        <v>6347</v>
      </c>
      <c r="AD183" s="23" t="s">
        <v>206</v>
      </c>
      <c r="AE183" s="89">
        <v>44477</v>
      </c>
      <c r="AF183" s="88">
        <v>44490</v>
      </c>
      <c r="AG183" s="34">
        <f>AF183-AE183</f>
        <v>13</v>
      </c>
      <c r="AH183" s="126" t="s">
        <v>4344</v>
      </c>
      <c r="AI183" s="131"/>
      <c r="AO183" s="34"/>
      <c r="AP183" s="34"/>
    </row>
    <row r="184" spans="1:42">
      <c r="A184" s="135" t="s">
        <v>2474</v>
      </c>
      <c r="B184" s="84">
        <v>71</v>
      </c>
      <c r="C184" s="84">
        <v>56</v>
      </c>
      <c r="D184" s="85">
        <v>-4</v>
      </c>
      <c r="E184" s="84">
        <v>8</v>
      </c>
      <c r="F184" s="59">
        <v>22.93</v>
      </c>
      <c r="G184" s="85">
        <v>2492</v>
      </c>
      <c r="H184" s="268" t="s">
        <v>559</v>
      </c>
      <c r="I184" s="23" t="s">
        <v>344</v>
      </c>
      <c r="J184" s="371">
        <v>57.56</v>
      </c>
      <c r="K184" s="371">
        <v>22.81</v>
      </c>
      <c r="L184" s="77">
        <v>10.88</v>
      </c>
      <c r="N184" s="365">
        <f t="shared" ref="N184" si="310">K184+J184+L184</f>
        <v>91.25</v>
      </c>
      <c r="P184" s="195">
        <v>23</v>
      </c>
      <c r="Q184" s="326">
        <f>IFERROR(VLOOKUP($G184,主力整理!$A$2:$G$2301,6,0),"0")</f>
        <v>5</v>
      </c>
      <c r="R184" s="111">
        <v>7</v>
      </c>
      <c r="S184" s="51">
        <v>10</v>
      </c>
      <c r="T184" s="339">
        <f t="shared" si="261"/>
        <v>45</v>
      </c>
      <c r="V184" s="371">
        <v>0.15</v>
      </c>
      <c r="W184" s="69">
        <v>6.01</v>
      </c>
      <c r="X184" s="59">
        <v>17.21</v>
      </c>
      <c r="Y184" s="37">
        <v>147.5</v>
      </c>
      <c r="Z184" s="69">
        <v>165</v>
      </c>
      <c r="AA184" s="16">
        <f t="shared" ref="AA184" si="311">Y184-Z184</f>
        <v>-17.5</v>
      </c>
      <c r="AB184" s="80">
        <f t="shared" ref="AB184" si="312">AA184/Z184</f>
        <v>-0.10606060606060606</v>
      </c>
      <c r="AC184" s="105" t="s">
        <v>6269</v>
      </c>
      <c r="AD184" s="23" t="s">
        <v>344</v>
      </c>
      <c r="AE184" s="89">
        <v>44461</v>
      </c>
      <c r="AF184" s="88">
        <v>44490</v>
      </c>
      <c r="AG184" s="34">
        <f t="shared" ref="AG184" si="313">AF184-AE184</f>
        <v>29</v>
      </c>
      <c r="AH184" s="50" t="s">
        <v>4081</v>
      </c>
      <c r="AI184" s="131"/>
    </row>
    <row r="185" spans="1:42">
      <c r="A185" s="135" t="s">
        <v>2474</v>
      </c>
      <c r="B185" s="84">
        <v>71</v>
      </c>
      <c r="C185" s="84">
        <v>56</v>
      </c>
      <c r="D185" s="84">
        <v>3</v>
      </c>
      <c r="E185" s="84">
        <v>14</v>
      </c>
      <c r="F185" s="59">
        <v>22.93</v>
      </c>
      <c r="G185" s="85">
        <v>2492</v>
      </c>
      <c r="H185" s="216" t="s">
        <v>559</v>
      </c>
      <c r="I185" s="23" t="s">
        <v>344</v>
      </c>
      <c r="J185" s="77">
        <v>57.47</v>
      </c>
      <c r="K185" s="77">
        <v>22.64</v>
      </c>
      <c r="L185" s="371">
        <v>10.93</v>
      </c>
      <c r="N185" s="365">
        <f>K185+J185+L185</f>
        <v>91.039999999999992</v>
      </c>
      <c r="P185" s="195">
        <v>21</v>
      </c>
      <c r="Q185" s="326">
        <f>IFERROR(VLOOKUP($G185,主力整理!$A$2:$G$2301,6,0),"0")</f>
        <v>5</v>
      </c>
      <c r="R185" s="111">
        <v>7</v>
      </c>
      <c r="S185" s="51">
        <v>10</v>
      </c>
      <c r="T185" s="339">
        <f t="shared" si="261"/>
        <v>43</v>
      </c>
      <c r="V185" s="371">
        <v>0.11</v>
      </c>
      <c r="W185" s="69">
        <v>6.01</v>
      </c>
      <c r="X185" s="59">
        <v>17.21</v>
      </c>
      <c r="Y185" s="37">
        <v>147.5</v>
      </c>
      <c r="Z185" s="69">
        <v>180.5</v>
      </c>
      <c r="AA185" s="16">
        <f>Y185-Z185</f>
        <v>-33</v>
      </c>
      <c r="AB185" s="80">
        <f>AA185/Z185</f>
        <v>-0.18282548476454294</v>
      </c>
      <c r="AC185" s="105" t="s">
        <v>5552</v>
      </c>
      <c r="AD185" s="23" t="s">
        <v>344</v>
      </c>
      <c r="AE185" s="89">
        <v>44439</v>
      </c>
      <c r="AF185" s="88">
        <v>44490</v>
      </c>
      <c r="AG185" s="34">
        <f>AF185-AE185</f>
        <v>51</v>
      </c>
      <c r="AH185" s="50" t="s">
        <v>4081</v>
      </c>
      <c r="AI185" s="131"/>
    </row>
    <row r="186" spans="1:42">
      <c r="A186" s="151" t="s">
        <v>3993</v>
      </c>
      <c r="B186" s="84">
        <v>21</v>
      </c>
      <c r="C186" s="84">
        <v>25</v>
      </c>
      <c r="D186" s="84">
        <v>14</v>
      </c>
      <c r="E186" s="84">
        <v>66</v>
      </c>
      <c r="F186" s="7">
        <v>6.15</v>
      </c>
      <c r="G186" s="85">
        <v>2643</v>
      </c>
      <c r="H186" s="5" t="s">
        <v>551</v>
      </c>
      <c r="I186" s="17" t="s">
        <v>1470</v>
      </c>
      <c r="J186" s="77">
        <v>54.07</v>
      </c>
      <c r="K186" s="77">
        <v>2.78</v>
      </c>
      <c r="L186" s="371">
        <v>12.27</v>
      </c>
      <c r="N186" s="365">
        <f>K186+J186+L186</f>
        <v>69.12</v>
      </c>
      <c r="P186" s="195">
        <v>2</v>
      </c>
      <c r="Q186" s="326" t="str">
        <f>IFERROR(VLOOKUP($G186,主力整理!$A$2:$G$2301,6,0),"0")</f>
        <v>0</v>
      </c>
      <c r="R186" s="111">
        <v>13</v>
      </c>
      <c r="S186" s="51">
        <v>0</v>
      </c>
      <c r="T186" s="339">
        <f t="shared" si="261"/>
        <v>15</v>
      </c>
      <c r="V186" s="371">
        <v>0.87</v>
      </c>
      <c r="W186" s="69">
        <v>4</v>
      </c>
      <c r="X186" s="59">
        <v>7.77</v>
      </c>
      <c r="Y186" s="37">
        <v>66.7</v>
      </c>
      <c r="Z186" s="69">
        <v>76.900000000000006</v>
      </c>
      <c r="AA186" s="16">
        <f>Y186-Z186</f>
        <v>-10.200000000000003</v>
      </c>
      <c r="AB186" s="80">
        <f>AA186/Z186</f>
        <v>-0.1326397919375813</v>
      </c>
      <c r="AC186" s="105" t="s">
        <v>5586</v>
      </c>
      <c r="AD186" s="17" t="s">
        <v>1470</v>
      </c>
      <c r="AE186" s="89">
        <v>44466</v>
      </c>
      <c r="AF186" s="88">
        <v>44489</v>
      </c>
      <c r="AG186" s="34">
        <f>AF186-AE186</f>
        <v>23</v>
      </c>
      <c r="AH186" s="44" t="s">
        <v>4199</v>
      </c>
      <c r="AI186" s="131"/>
    </row>
    <row r="187" spans="1:42">
      <c r="A187" s="135" t="s">
        <v>2542</v>
      </c>
      <c r="B187" s="84">
        <v>46</v>
      </c>
      <c r="C187" s="84">
        <v>76</v>
      </c>
      <c r="D187" s="85">
        <v>-1</v>
      </c>
      <c r="E187" s="84">
        <v>87</v>
      </c>
      <c r="F187" s="59">
        <v>13.24</v>
      </c>
      <c r="G187" s="85">
        <v>2375</v>
      </c>
      <c r="H187" s="268" t="s">
        <v>5404</v>
      </c>
      <c r="I187" s="24" t="s">
        <v>457</v>
      </c>
      <c r="J187" s="77">
        <v>17.36</v>
      </c>
      <c r="K187" s="371">
        <v>6.47</v>
      </c>
      <c r="L187" s="77">
        <v>35.99</v>
      </c>
      <c r="N187" s="365">
        <f>K187+J187+L187</f>
        <v>59.82</v>
      </c>
      <c r="P187" s="195">
        <v>7</v>
      </c>
      <c r="Q187" s="326">
        <f>IFERROR(VLOOKUP($G187,主力整理!$A$2:$G$2301,6,0),"0")</f>
        <v>3</v>
      </c>
      <c r="R187" s="111">
        <v>12</v>
      </c>
      <c r="S187" s="51">
        <v>7</v>
      </c>
      <c r="T187" s="339">
        <f t="shared" si="261"/>
        <v>29</v>
      </c>
      <c r="V187" s="371">
        <v>0.46</v>
      </c>
      <c r="W187" s="35">
        <v>2</v>
      </c>
      <c r="X187" s="100">
        <v>6.1</v>
      </c>
      <c r="Y187" s="37">
        <v>82.9</v>
      </c>
      <c r="Z187" s="46">
        <v>89.4</v>
      </c>
      <c r="AA187" s="16">
        <f>Y187-Z187</f>
        <v>-6.5</v>
      </c>
      <c r="AB187" s="80">
        <f>AA187/Z187</f>
        <v>-7.2706935123042507E-2</v>
      </c>
      <c r="AC187" s="107" t="s">
        <v>5618</v>
      </c>
      <c r="AD187" s="24" t="s">
        <v>457</v>
      </c>
      <c r="AE187" s="89">
        <v>44454</v>
      </c>
      <c r="AF187" s="88">
        <v>44489</v>
      </c>
      <c r="AG187" s="34">
        <f>AF187-AE187</f>
        <v>35</v>
      </c>
      <c r="AH187" s="50" t="s">
        <v>3378</v>
      </c>
      <c r="AI187" s="284"/>
      <c r="AO187" s="12"/>
      <c r="AP187" s="12"/>
    </row>
    <row r="188" spans="1:42">
      <c r="A188" s="135" t="s">
        <v>2542</v>
      </c>
      <c r="B188" s="84">
        <v>46</v>
      </c>
      <c r="C188" s="84">
        <v>76</v>
      </c>
      <c r="D188" s="85">
        <v>-1</v>
      </c>
      <c r="E188" s="84">
        <v>87</v>
      </c>
      <c r="F188" s="59">
        <v>13.24</v>
      </c>
      <c r="G188" s="85">
        <v>2375</v>
      </c>
      <c r="H188" s="268" t="s">
        <v>5404</v>
      </c>
      <c r="I188" s="24" t="s">
        <v>457</v>
      </c>
      <c r="J188" s="371">
        <v>16.18</v>
      </c>
      <c r="K188" s="371">
        <v>7.2</v>
      </c>
      <c r="L188" s="77">
        <v>35.950000000000003</v>
      </c>
      <c r="N188" s="365">
        <f>K188+J188+L188</f>
        <v>59.33</v>
      </c>
      <c r="P188" s="195">
        <v>6</v>
      </c>
      <c r="Q188" s="326">
        <f>IFERROR(VLOOKUP($G188,主力整理!$A$2:$G$2301,6,0),"0")</f>
        <v>3</v>
      </c>
      <c r="R188" s="111">
        <v>12</v>
      </c>
      <c r="S188" s="51">
        <v>7</v>
      </c>
      <c r="T188" s="339">
        <f t="shared" si="261"/>
        <v>28</v>
      </c>
      <c r="V188" s="371">
        <v>1.89</v>
      </c>
      <c r="W188" s="35">
        <v>2</v>
      </c>
      <c r="X188" s="100">
        <v>6.1</v>
      </c>
      <c r="Y188" s="37">
        <v>82.9</v>
      </c>
      <c r="Z188" s="46">
        <v>89.9</v>
      </c>
      <c r="AA188" s="16">
        <f>Y188-Z188</f>
        <v>-7</v>
      </c>
      <c r="AB188" s="80">
        <f>AA188/Z188</f>
        <v>-7.7864293659621803E-2</v>
      </c>
      <c r="AC188" s="107" t="s">
        <v>5581</v>
      </c>
      <c r="AD188" s="24" t="s">
        <v>457</v>
      </c>
      <c r="AE188" s="89">
        <v>44447</v>
      </c>
      <c r="AF188" s="88">
        <v>44489</v>
      </c>
      <c r="AG188" s="34">
        <f>AF188-AE188</f>
        <v>42</v>
      </c>
      <c r="AH188" s="50" t="s">
        <v>3378</v>
      </c>
      <c r="AI188" s="131"/>
      <c r="AO188" s="12"/>
      <c r="AP188" s="12"/>
    </row>
    <row r="189" spans="1:42">
      <c r="A189" s="151" t="s">
        <v>2473</v>
      </c>
      <c r="B189" s="84">
        <v>140</v>
      </c>
      <c r="C189" s="84">
        <v>123</v>
      </c>
      <c r="D189" s="85">
        <v>-9</v>
      </c>
      <c r="E189" s="85">
        <v>-5</v>
      </c>
      <c r="F189" s="7">
        <v>0.56000000000000005</v>
      </c>
      <c r="G189" s="85">
        <v>1736</v>
      </c>
      <c r="H189" s="213" t="s">
        <v>5543</v>
      </c>
      <c r="I189" s="23" t="s">
        <v>1166</v>
      </c>
      <c r="J189" s="371">
        <v>77.53</v>
      </c>
      <c r="K189" s="371">
        <v>7.8</v>
      </c>
      <c r="L189" s="77">
        <v>3.34</v>
      </c>
      <c r="N189" s="365">
        <f>K189+J189+L189</f>
        <v>88.67</v>
      </c>
      <c r="P189" s="232"/>
      <c r="Q189" s="326" t="str">
        <f>IFERROR(VLOOKUP($G189,主力整理!$A$2:$G$2301,6,0),"0")</f>
        <v>0</v>
      </c>
      <c r="R189" s="111">
        <v>3</v>
      </c>
      <c r="S189" s="51">
        <v>11</v>
      </c>
      <c r="T189" s="339">
        <f t="shared" si="261"/>
        <v>14</v>
      </c>
      <c r="V189" s="371">
        <v>2.37</v>
      </c>
      <c r="W189" s="35">
        <v>1.1200000000000001</v>
      </c>
      <c r="X189" s="59">
        <v>3.34</v>
      </c>
      <c r="Y189" s="37">
        <v>58</v>
      </c>
      <c r="Z189" s="69">
        <v>68.7</v>
      </c>
      <c r="AA189" s="16">
        <f>Y189-Z189</f>
        <v>-10.700000000000003</v>
      </c>
      <c r="AB189" s="80">
        <f>AA189/Z189</f>
        <v>-0.15574963609898113</v>
      </c>
      <c r="AC189" s="107" t="s">
        <v>5547</v>
      </c>
      <c r="AD189" s="23" t="s">
        <v>1166</v>
      </c>
      <c r="AE189" s="89">
        <v>44438</v>
      </c>
      <c r="AF189" s="88">
        <v>44489</v>
      </c>
      <c r="AG189" s="34">
        <f>AF189-AE189</f>
        <v>51</v>
      </c>
      <c r="AH189" s="44" t="s">
        <v>3086</v>
      </c>
    </row>
    <row r="190" spans="1:42">
      <c r="A190" s="151" t="s">
        <v>4691</v>
      </c>
      <c r="B190" s="85">
        <v>-133</v>
      </c>
      <c r="C190" s="85">
        <v>-129</v>
      </c>
      <c r="D190" s="84">
        <v>61</v>
      </c>
      <c r="E190" s="85">
        <v>-32</v>
      </c>
      <c r="F190" s="59">
        <v>-8.33</v>
      </c>
      <c r="G190" s="85">
        <v>6462</v>
      </c>
      <c r="H190" s="203" t="s">
        <v>558</v>
      </c>
      <c r="I190" s="17" t="s">
        <v>403</v>
      </c>
      <c r="J190" s="77">
        <v>16.47</v>
      </c>
      <c r="K190" s="77">
        <v>22.86</v>
      </c>
      <c r="L190" s="371">
        <v>29.27</v>
      </c>
      <c r="N190" s="365">
        <f t="shared" ref="N190" si="314">K190+J190+L190</f>
        <v>68.599999999999994</v>
      </c>
      <c r="P190" s="195">
        <v>3</v>
      </c>
      <c r="Q190" s="326">
        <f>IFERROR(VLOOKUP($G190,主力整理!$A$2:$G$2301,6,0),"0")</f>
        <v>2</v>
      </c>
      <c r="R190" s="111">
        <v>1</v>
      </c>
      <c r="S190" s="51">
        <v>1</v>
      </c>
      <c r="T190" s="339">
        <f t="shared" si="261"/>
        <v>7</v>
      </c>
      <c r="V190" s="371">
        <v>6.59</v>
      </c>
      <c r="W190" s="69">
        <v>15</v>
      </c>
      <c r="X190" s="100">
        <v>1.47</v>
      </c>
      <c r="Y190" s="37">
        <v>116.5</v>
      </c>
      <c r="Z190" s="46">
        <v>116</v>
      </c>
      <c r="AA190" s="16">
        <f t="shared" ref="AA190" si="315">Y190-Z190</f>
        <v>0.5</v>
      </c>
      <c r="AB190" s="66">
        <f t="shared" ref="AB190" si="316">AA190/Z190</f>
        <v>4.3103448275862068E-3</v>
      </c>
      <c r="AC190" s="107" t="s">
        <v>6345</v>
      </c>
      <c r="AD190" s="17" t="s">
        <v>403</v>
      </c>
      <c r="AE190" s="89">
        <v>44477</v>
      </c>
      <c r="AF190" s="88">
        <v>44488</v>
      </c>
      <c r="AG190" s="34">
        <f t="shared" ref="AG190" si="317">AF190-AE190</f>
        <v>11</v>
      </c>
      <c r="AH190" s="125" t="s">
        <v>2165</v>
      </c>
      <c r="AI190" s="131"/>
    </row>
    <row r="191" spans="1:42">
      <c r="A191" s="135" t="s">
        <v>4697</v>
      </c>
      <c r="B191" s="84">
        <v>33</v>
      </c>
      <c r="C191" s="84">
        <v>43</v>
      </c>
      <c r="D191" s="85">
        <v>-9</v>
      </c>
      <c r="E191" s="84">
        <v>6</v>
      </c>
      <c r="F191" s="59">
        <v>10.64</v>
      </c>
      <c r="G191" s="85">
        <v>3138</v>
      </c>
      <c r="H191" s="5" t="s">
        <v>5524</v>
      </c>
      <c r="I191" s="23" t="s">
        <v>3372</v>
      </c>
      <c r="J191" s="371">
        <v>21.5</v>
      </c>
      <c r="K191" s="77">
        <v>0.68</v>
      </c>
      <c r="L191" s="371"/>
      <c r="N191" s="365">
        <f t="shared" ref="N191:N196" si="318">K191+J191+L191</f>
        <v>22.18</v>
      </c>
      <c r="P191" s="195">
        <v>1</v>
      </c>
      <c r="Q191" s="326" t="str">
        <f>IFERROR(VLOOKUP($G191,主力整理!$A$2:$G$2301,6,0),"0")</f>
        <v>0</v>
      </c>
      <c r="R191" s="111">
        <v>31</v>
      </c>
      <c r="S191" s="51">
        <v>0</v>
      </c>
      <c r="T191" s="339">
        <f t="shared" si="261"/>
        <v>32</v>
      </c>
      <c r="W191" s="35">
        <v>1.6</v>
      </c>
      <c r="X191" s="100">
        <v>2.78</v>
      </c>
      <c r="Y191" s="37">
        <v>186</v>
      </c>
      <c r="Z191" s="69">
        <v>175.5</v>
      </c>
      <c r="AA191" s="16">
        <f t="shared" ref="AA191:AA196" si="319">Y191-Z191</f>
        <v>10.5</v>
      </c>
      <c r="AB191" s="66">
        <f t="shared" ref="AB191:AB196" si="320">AA191/Z191</f>
        <v>5.9829059829059832E-2</v>
      </c>
      <c r="AC191" s="107" t="s">
        <v>5621</v>
      </c>
      <c r="AD191" s="23" t="s">
        <v>3372</v>
      </c>
      <c r="AE191" s="89">
        <v>44455</v>
      </c>
      <c r="AF191" s="88">
        <v>44488</v>
      </c>
      <c r="AG191" s="34">
        <f t="shared" ref="AG191:AG196" si="321">AF191-AE191</f>
        <v>33</v>
      </c>
      <c r="AH191" s="126" t="s">
        <v>4287</v>
      </c>
      <c r="AI191" s="131"/>
    </row>
    <row r="192" spans="1:42">
      <c r="A192" s="135" t="s">
        <v>2484</v>
      </c>
      <c r="B192" s="84">
        <v>228</v>
      </c>
      <c r="C192" s="84">
        <v>232</v>
      </c>
      <c r="D192" s="84">
        <v>0</v>
      </c>
      <c r="E192" s="84">
        <v>62</v>
      </c>
      <c r="F192" s="59">
        <v>31.75</v>
      </c>
      <c r="G192" s="85">
        <v>3034</v>
      </c>
      <c r="H192" s="5" t="s">
        <v>558</v>
      </c>
      <c r="I192" s="23" t="s">
        <v>38</v>
      </c>
      <c r="J192" s="77">
        <v>49.87</v>
      </c>
      <c r="K192" s="371">
        <v>62.44</v>
      </c>
      <c r="L192" s="371">
        <v>6.72</v>
      </c>
      <c r="N192" s="365">
        <f t="shared" si="318"/>
        <v>119.03</v>
      </c>
      <c r="P192" s="195">
        <v>36</v>
      </c>
      <c r="Q192" s="326">
        <v>8</v>
      </c>
      <c r="R192" s="111">
        <v>4</v>
      </c>
      <c r="S192" s="51">
        <v>21</v>
      </c>
      <c r="T192" s="339">
        <f t="shared" si="261"/>
        <v>69</v>
      </c>
      <c r="V192" s="371">
        <v>21.96</v>
      </c>
      <c r="W192" s="46">
        <v>15.6</v>
      </c>
      <c r="X192" s="100">
        <v>37.32</v>
      </c>
      <c r="Y192" s="14">
        <v>387</v>
      </c>
      <c r="Z192" s="69">
        <v>396</v>
      </c>
      <c r="AA192" s="16">
        <f t="shared" si="319"/>
        <v>-9</v>
      </c>
      <c r="AB192" s="80">
        <f t="shared" si="320"/>
        <v>-2.2727272727272728E-2</v>
      </c>
      <c r="AC192" s="105" t="s">
        <v>6339</v>
      </c>
      <c r="AD192" s="23" t="s">
        <v>38</v>
      </c>
      <c r="AE192" s="89">
        <v>44476</v>
      </c>
      <c r="AF192" s="88">
        <v>44487</v>
      </c>
      <c r="AG192" s="34">
        <f t="shared" si="321"/>
        <v>11</v>
      </c>
      <c r="AH192" s="126" t="s">
        <v>4028</v>
      </c>
      <c r="AI192" s="131"/>
    </row>
    <row r="193" spans="1:35">
      <c r="A193" s="135" t="s">
        <v>2484</v>
      </c>
      <c r="B193" s="84">
        <v>228</v>
      </c>
      <c r="C193" s="84">
        <v>232</v>
      </c>
      <c r="D193" s="84">
        <v>3</v>
      </c>
      <c r="E193" s="84">
        <v>77</v>
      </c>
      <c r="F193" s="59">
        <v>31.75</v>
      </c>
      <c r="G193" s="85">
        <v>3034</v>
      </c>
      <c r="H193" s="5" t="s">
        <v>558</v>
      </c>
      <c r="I193" s="23" t="s">
        <v>38</v>
      </c>
      <c r="J193" s="371">
        <v>50.26</v>
      </c>
      <c r="K193" s="371">
        <v>62.58</v>
      </c>
      <c r="L193" s="371">
        <v>6.76</v>
      </c>
      <c r="N193" s="365">
        <f t="shared" si="318"/>
        <v>119.60000000000001</v>
      </c>
      <c r="P193" s="195">
        <v>35</v>
      </c>
      <c r="Q193" s="326">
        <f>IFERROR(VLOOKUP($G193,主力整理!$A$2:$G$2301,6,0),"0")</f>
        <v>5</v>
      </c>
      <c r="R193" s="111">
        <v>4</v>
      </c>
      <c r="S193" s="51">
        <v>21</v>
      </c>
      <c r="T193" s="339">
        <f t="shared" si="261"/>
        <v>65</v>
      </c>
      <c r="V193" s="371">
        <v>19.510000000000002</v>
      </c>
      <c r="W193" s="46">
        <v>15.6</v>
      </c>
      <c r="X193" s="59">
        <v>37.32</v>
      </c>
      <c r="Y193" s="14">
        <v>387</v>
      </c>
      <c r="Z193" s="69">
        <v>431</v>
      </c>
      <c r="AA193" s="16">
        <f t="shared" si="319"/>
        <v>-44</v>
      </c>
      <c r="AB193" s="80">
        <f t="shared" si="320"/>
        <v>-0.10208816705336426</v>
      </c>
      <c r="AC193" s="107" t="s">
        <v>5574</v>
      </c>
      <c r="AD193" s="23" t="s">
        <v>38</v>
      </c>
      <c r="AE193" s="89">
        <v>44446</v>
      </c>
      <c r="AF193" s="88">
        <v>44487</v>
      </c>
      <c r="AG193" s="34">
        <f t="shared" si="321"/>
        <v>41</v>
      </c>
      <c r="AH193" s="126" t="s">
        <v>4028</v>
      </c>
      <c r="AI193" s="131"/>
    </row>
    <row r="194" spans="1:35">
      <c r="A194" s="151" t="s">
        <v>4750</v>
      </c>
      <c r="B194" s="84">
        <v>521</v>
      </c>
      <c r="C194" s="84">
        <v>446</v>
      </c>
      <c r="D194" s="84">
        <v>20</v>
      </c>
      <c r="E194" s="84">
        <v>12</v>
      </c>
      <c r="F194" s="7">
        <v>6.46</v>
      </c>
      <c r="G194" s="84">
        <v>5603</v>
      </c>
      <c r="H194" s="216" t="s">
        <v>5570</v>
      </c>
      <c r="I194" s="17" t="s">
        <v>155</v>
      </c>
      <c r="J194" s="77">
        <v>51.73</v>
      </c>
      <c r="K194" s="77">
        <v>8.89</v>
      </c>
      <c r="L194" s="371">
        <v>19.850000000000001</v>
      </c>
      <c r="N194" s="365">
        <f t="shared" si="318"/>
        <v>80.47</v>
      </c>
      <c r="P194" s="195">
        <v>1</v>
      </c>
      <c r="Q194" s="326" t="str">
        <f>IFERROR(VLOOKUP($G194,主力整理!$A$2:$G$2301,6,0),"0")</f>
        <v>0</v>
      </c>
      <c r="R194" s="111">
        <v>16</v>
      </c>
      <c r="S194" s="51">
        <v>0</v>
      </c>
      <c r="T194" s="339">
        <f t="shared" si="261"/>
        <v>17</v>
      </c>
      <c r="V194" s="371">
        <v>0.8</v>
      </c>
      <c r="W194" s="35">
        <v>1.3</v>
      </c>
      <c r="X194" s="59">
        <v>2.68</v>
      </c>
      <c r="Y194" s="37">
        <v>27.65</v>
      </c>
      <c r="Z194" s="69">
        <v>30.3</v>
      </c>
      <c r="AA194" s="16">
        <f t="shared" si="319"/>
        <v>-2.6500000000000021</v>
      </c>
      <c r="AB194" s="80">
        <f t="shared" si="320"/>
        <v>-8.7458745874587532E-2</v>
      </c>
      <c r="AC194" s="107" t="s">
        <v>5501</v>
      </c>
      <c r="AD194" s="17" t="s">
        <v>155</v>
      </c>
      <c r="AE194" s="89">
        <v>44445</v>
      </c>
      <c r="AF194" s="88">
        <v>44487</v>
      </c>
      <c r="AG194" s="34">
        <f t="shared" si="321"/>
        <v>42</v>
      </c>
      <c r="AH194" s="125" t="s">
        <v>4201</v>
      </c>
      <c r="AI194" s="131"/>
    </row>
    <row r="195" spans="1:35">
      <c r="A195" s="135" t="s">
        <v>2536</v>
      </c>
      <c r="B195" s="84">
        <v>181</v>
      </c>
      <c r="C195" s="84">
        <v>202</v>
      </c>
      <c r="D195" s="84">
        <v>16</v>
      </c>
      <c r="E195" s="84">
        <v>13</v>
      </c>
      <c r="F195" s="59">
        <v>26.72</v>
      </c>
      <c r="G195" s="85">
        <v>3374</v>
      </c>
      <c r="H195" s="154" t="s">
        <v>4925</v>
      </c>
      <c r="I195" s="17" t="s">
        <v>323</v>
      </c>
      <c r="J195" s="77">
        <v>49.95</v>
      </c>
      <c r="K195" s="77">
        <v>6.91</v>
      </c>
      <c r="L195" s="371">
        <v>17.850000000000001</v>
      </c>
      <c r="N195" s="365">
        <f t="shared" si="318"/>
        <v>74.710000000000008</v>
      </c>
      <c r="P195" s="195"/>
      <c r="Q195" s="326">
        <f>IFERROR(VLOOKUP($G195,主力整理!$A$2:$G$2301,6,0),"0")</f>
        <v>6</v>
      </c>
      <c r="R195" s="111">
        <v>10</v>
      </c>
      <c r="S195" s="51">
        <v>33</v>
      </c>
      <c r="T195" s="339">
        <f t="shared" si="261"/>
        <v>49</v>
      </c>
      <c r="V195" s="371">
        <v>0</v>
      </c>
      <c r="W195" s="35">
        <v>2.5</v>
      </c>
      <c r="X195" s="100">
        <v>8.36</v>
      </c>
      <c r="Y195" s="37">
        <v>134.5</v>
      </c>
      <c r="Z195" s="69">
        <v>143.5</v>
      </c>
      <c r="AA195" s="16">
        <f t="shared" si="319"/>
        <v>-9</v>
      </c>
      <c r="AB195" s="80">
        <f t="shared" si="320"/>
        <v>-6.2717770034843204E-2</v>
      </c>
      <c r="AC195" s="107" t="s">
        <v>5546</v>
      </c>
      <c r="AD195" s="17" t="s">
        <v>323</v>
      </c>
      <c r="AE195" s="89">
        <v>44438</v>
      </c>
      <c r="AF195" s="88">
        <v>44487</v>
      </c>
      <c r="AG195" s="34">
        <f t="shared" si="321"/>
        <v>49</v>
      </c>
      <c r="AH195" s="126" t="s">
        <v>3698</v>
      </c>
      <c r="AI195" s="131"/>
    </row>
    <row r="196" spans="1:35">
      <c r="A196" s="135" t="s">
        <v>2536</v>
      </c>
      <c r="B196" s="84">
        <v>181</v>
      </c>
      <c r="C196" s="84">
        <v>202</v>
      </c>
      <c r="D196" s="84">
        <v>16</v>
      </c>
      <c r="E196" s="84">
        <v>13</v>
      </c>
      <c r="F196" s="59">
        <v>26.72</v>
      </c>
      <c r="G196" s="85">
        <v>3374</v>
      </c>
      <c r="H196" s="203" t="s">
        <v>558</v>
      </c>
      <c r="I196" s="17" t="s">
        <v>323</v>
      </c>
      <c r="J196" s="77">
        <v>49.18</v>
      </c>
      <c r="K196" s="77">
        <v>7.91</v>
      </c>
      <c r="L196" s="371">
        <v>20.29</v>
      </c>
      <c r="N196" s="365">
        <f t="shared" si="318"/>
        <v>77.38</v>
      </c>
      <c r="P196" s="195"/>
      <c r="Q196" s="326">
        <f>IFERROR(VLOOKUP($G196,主力整理!$A$2:$G$2301,6,0),"0")</f>
        <v>6</v>
      </c>
      <c r="R196" s="111">
        <v>12</v>
      </c>
      <c r="S196" s="51">
        <v>33</v>
      </c>
      <c r="T196" s="339">
        <f t="shared" si="261"/>
        <v>51</v>
      </c>
      <c r="V196" s="371">
        <v>13.53</v>
      </c>
      <c r="W196" s="73">
        <v>2.5</v>
      </c>
      <c r="X196" s="100">
        <v>8.36</v>
      </c>
      <c r="Y196" s="37">
        <v>134.5</v>
      </c>
      <c r="Z196" s="46">
        <v>134.5</v>
      </c>
      <c r="AA196" s="16">
        <f t="shared" si="319"/>
        <v>0</v>
      </c>
      <c r="AB196" s="66">
        <f t="shared" si="320"/>
        <v>0</v>
      </c>
      <c r="AC196" s="107" t="s">
        <v>5479</v>
      </c>
      <c r="AD196" s="17" t="s">
        <v>323</v>
      </c>
      <c r="AE196" s="89">
        <v>44424</v>
      </c>
      <c r="AF196" s="88">
        <v>44487</v>
      </c>
      <c r="AG196" s="34">
        <f t="shared" si="321"/>
        <v>63</v>
      </c>
      <c r="AH196" s="126" t="s">
        <v>3698</v>
      </c>
      <c r="AI196" s="131"/>
    </row>
    <row r="197" spans="1:35">
      <c r="A197" s="135" t="s">
        <v>2566</v>
      </c>
      <c r="B197" s="84">
        <v>166</v>
      </c>
      <c r="C197" s="84">
        <v>166</v>
      </c>
      <c r="D197" s="85">
        <v>-17</v>
      </c>
      <c r="E197" s="84">
        <v>10</v>
      </c>
      <c r="F197" s="59">
        <v>14.12</v>
      </c>
      <c r="G197" s="85">
        <v>6670</v>
      </c>
      <c r="H197" s="5" t="s">
        <v>429</v>
      </c>
      <c r="I197" s="23" t="s">
        <v>1756</v>
      </c>
      <c r="J197" s="77">
        <v>73.36</v>
      </c>
      <c r="K197" s="77">
        <v>21.19</v>
      </c>
      <c r="L197" s="77">
        <v>0.9</v>
      </c>
      <c r="N197" s="365">
        <f t="shared" ref="N197" si="322">K197+J197+L197</f>
        <v>95.45</v>
      </c>
      <c r="P197" s="195">
        <v>8</v>
      </c>
      <c r="Q197" s="326" t="str">
        <f>IFERROR(VLOOKUP($G197,主力整理!$A$2:$G$2301,6,0),"0")</f>
        <v>0</v>
      </c>
      <c r="R197" s="111">
        <v>2</v>
      </c>
      <c r="S197" s="51">
        <v>7</v>
      </c>
      <c r="T197" s="339">
        <f t="shared" si="261"/>
        <v>17</v>
      </c>
      <c r="V197" s="371">
        <v>0.34</v>
      </c>
      <c r="W197" s="69">
        <v>6.6</v>
      </c>
      <c r="X197" s="59">
        <v>14.92</v>
      </c>
      <c r="Y197" s="37">
        <v>185</v>
      </c>
      <c r="Z197" s="69">
        <v>180.5</v>
      </c>
      <c r="AA197" s="16">
        <f t="shared" ref="AA197" si="323">Y197-Z197</f>
        <v>4.5</v>
      </c>
      <c r="AB197" s="66">
        <f t="shared" ref="AB197" si="324">AA197/Z197</f>
        <v>2.4930747922437674E-2</v>
      </c>
      <c r="AC197" s="105" t="s">
        <v>6353</v>
      </c>
      <c r="AD197" s="23" t="s">
        <v>1756</v>
      </c>
      <c r="AE197" s="89">
        <v>44481</v>
      </c>
      <c r="AF197" s="88">
        <v>44484</v>
      </c>
      <c r="AG197" s="34">
        <f t="shared" ref="AG197" si="325">AF197-AE197</f>
        <v>3</v>
      </c>
      <c r="AH197" s="63" t="s">
        <v>4949</v>
      </c>
      <c r="AI197" s="131"/>
    </row>
    <row r="198" spans="1:35">
      <c r="A198" s="135" t="s">
        <v>3026</v>
      </c>
      <c r="B198" s="85">
        <v>-44</v>
      </c>
      <c r="C198" s="85">
        <v>-31</v>
      </c>
      <c r="D198" s="84">
        <v>41</v>
      </c>
      <c r="E198" s="85">
        <v>-61</v>
      </c>
      <c r="F198" s="59">
        <v>15.4</v>
      </c>
      <c r="G198" s="85">
        <v>6477</v>
      </c>
      <c r="H198" s="5" t="s">
        <v>557</v>
      </c>
      <c r="I198" s="23" t="s">
        <v>833</v>
      </c>
      <c r="J198" s="371">
        <v>43.48</v>
      </c>
      <c r="K198" s="371">
        <v>7.68</v>
      </c>
      <c r="L198" s="77">
        <v>18.04</v>
      </c>
      <c r="N198" s="365">
        <f>K198+J198+L198</f>
        <v>69.199999999999989</v>
      </c>
      <c r="P198" s="195">
        <v>3</v>
      </c>
      <c r="Q198" s="326" t="str">
        <f>IFERROR(VLOOKUP($G198,主力整理!$A$2:$G$2301,6,0),"0")</f>
        <v>0</v>
      </c>
      <c r="R198" s="111">
        <v>14</v>
      </c>
      <c r="S198" s="51">
        <v>0</v>
      </c>
      <c r="T198" s="339">
        <f t="shared" si="261"/>
        <v>17</v>
      </c>
      <c r="V198" s="371">
        <v>3.43</v>
      </c>
      <c r="W198" s="35">
        <v>1.1399999999999999</v>
      </c>
      <c r="X198" s="100">
        <v>2.08</v>
      </c>
      <c r="Y198" s="37">
        <v>39</v>
      </c>
      <c r="Z198" s="69">
        <v>33.15</v>
      </c>
      <c r="AA198" s="16">
        <f>Y198-Z198</f>
        <v>5.8500000000000014</v>
      </c>
      <c r="AB198" s="66">
        <f>AA198/Z198</f>
        <v>0.17647058823529416</v>
      </c>
      <c r="AC198" s="107" t="s">
        <v>5625</v>
      </c>
      <c r="AD198" s="23" t="s">
        <v>833</v>
      </c>
      <c r="AE198" s="89">
        <v>44456</v>
      </c>
      <c r="AF198" s="88">
        <v>44483</v>
      </c>
      <c r="AG198" s="34">
        <f>AF198-AE198</f>
        <v>27</v>
      </c>
      <c r="AH198" s="44" t="s">
        <v>4960</v>
      </c>
      <c r="AI198" s="131"/>
    </row>
    <row r="199" spans="1:35">
      <c r="A199" s="151" t="s">
        <v>4657</v>
      </c>
      <c r="B199" s="85">
        <v>-60</v>
      </c>
      <c r="C199" s="85">
        <v>-70</v>
      </c>
      <c r="D199" s="84">
        <v>23</v>
      </c>
      <c r="E199" s="84">
        <v>14</v>
      </c>
      <c r="F199" s="7">
        <v>8.93</v>
      </c>
      <c r="G199" s="85">
        <v>3406</v>
      </c>
      <c r="H199" s="5" t="s">
        <v>557</v>
      </c>
      <c r="I199" s="23" t="s">
        <v>93</v>
      </c>
      <c r="J199" s="371">
        <v>39.32</v>
      </c>
      <c r="K199" s="371">
        <v>26.79</v>
      </c>
      <c r="L199" s="77">
        <v>29.38</v>
      </c>
      <c r="N199" s="365">
        <f>K199+J199+L199</f>
        <v>95.49</v>
      </c>
      <c r="P199" s="195">
        <v>12</v>
      </c>
      <c r="Q199" s="326">
        <f>IFERROR(VLOOKUP($G199,主力整理!$A$2:$G$2301,6,0),"0")</f>
        <v>1</v>
      </c>
      <c r="R199" s="111">
        <v>6</v>
      </c>
      <c r="S199" s="51">
        <v>20</v>
      </c>
      <c r="T199" s="339">
        <f t="shared" si="261"/>
        <v>39</v>
      </c>
      <c r="V199" s="371">
        <v>10.76</v>
      </c>
      <c r="W199" s="46">
        <v>9.99</v>
      </c>
      <c r="X199" s="100">
        <v>21.93</v>
      </c>
      <c r="Y199" s="37">
        <v>386</v>
      </c>
      <c r="Z199" s="69">
        <v>413</v>
      </c>
      <c r="AA199" s="16">
        <f>Y199-Z199</f>
        <v>-27</v>
      </c>
      <c r="AB199" s="80">
        <f>AA199/Z199</f>
        <v>-6.5375302663438259E-2</v>
      </c>
      <c r="AC199" s="105" t="s">
        <v>6340</v>
      </c>
      <c r="AD199" s="23" t="s">
        <v>93</v>
      </c>
      <c r="AE199" s="89">
        <v>44476</v>
      </c>
      <c r="AF199" s="88" t="s">
        <v>6352</v>
      </c>
      <c r="AG199" s="34" t="e">
        <f>AF199-AE199</f>
        <v>#VALUE!</v>
      </c>
      <c r="AH199" s="125" t="s">
        <v>4061</v>
      </c>
      <c r="AI199" s="131"/>
    </row>
    <row r="200" spans="1:35">
      <c r="A200" s="151" t="s">
        <v>4657</v>
      </c>
      <c r="B200" s="85">
        <v>-60</v>
      </c>
      <c r="C200" s="85">
        <v>-70</v>
      </c>
      <c r="D200" s="84">
        <v>23</v>
      </c>
      <c r="E200" s="84">
        <v>14</v>
      </c>
      <c r="F200" s="7">
        <v>8.93</v>
      </c>
      <c r="G200" s="85">
        <v>3406</v>
      </c>
      <c r="H200" s="5" t="s">
        <v>557</v>
      </c>
      <c r="I200" s="23" t="s">
        <v>93</v>
      </c>
      <c r="J200" s="77">
        <v>40.78</v>
      </c>
      <c r="K200" s="371">
        <v>27.82</v>
      </c>
      <c r="L200" s="371">
        <v>29.02</v>
      </c>
      <c r="N200" s="365">
        <f t="shared" ref="N200" si="326">K200+J200+L200</f>
        <v>97.61999999999999</v>
      </c>
      <c r="P200" s="195">
        <v>10</v>
      </c>
      <c r="Q200" s="326">
        <f>IFERROR(VLOOKUP($G200,主力整理!$A$2:$G$2301,6,0),"0")</f>
        <v>1</v>
      </c>
      <c r="R200" s="111">
        <v>5</v>
      </c>
      <c r="S200" s="51">
        <v>20</v>
      </c>
      <c r="T200" s="339">
        <f t="shared" si="261"/>
        <v>36</v>
      </c>
      <c r="V200" s="371">
        <v>10.98</v>
      </c>
      <c r="W200" s="46">
        <v>9.99</v>
      </c>
      <c r="X200" s="100">
        <v>21.93</v>
      </c>
      <c r="Y200" s="37">
        <v>386</v>
      </c>
      <c r="Z200" s="46">
        <v>412</v>
      </c>
      <c r="AA200" s="16">
        <f t="shared" ref="AA200" si="327">Y200-Z200</f>
        <v>-26</v>
      </c>
      <c r="AB200" s="80">
        <f t="shared" ref="AB200" si="328">AA200/Z200</f>
        <v>-6.3106796116504854E-2</v>
      </c>
      <c r="AC200" s="107" t="s">
        <v>6297</v>
      </c>
      <c r="AD200" s="23" t="s">
        <v>93</v>
      </c>
      <c r="AE200" s="89">
        <v>44469</v>
      </c>
      <c r="AF200" s="88" t="s">
        <v>6352</v>
      </c>
      <c r="AG200" s="34" t="e">
        <f t="shared" ref="AG200" si="329">AF200-AE200</f>
        <v>#VALUE!</v>
      </c>
      <c r="AH200" s="125" t="s">
        <v>4061</v>
      </c>
      <c r="AI200" s="131"/>
    </row>
    <row r="201" spans="1:35">
      <c r="A201" s="151" t="s">
        <v>5154</v>
      </c>
      <c r="B201" s="84">
        <v>15</v>
      </c>
      <c r="C201" s="84">
        <v>18</v>
      </c>
      <c r="D201" s="84">
        <v>7</v>
      </c>
      <c r="E201" s="84">
        <v>23</v>
      </c>
      <c r="F201" s="7">
        <v>8.8000000000000007</v>
      </c>
      <c r="G201" s="85">
        <v>3665</v>
      </c>
      <c r="H201" s="213" t="s">
        <v>5322</v>
      </c>
      <c r="I201" s="23" t="s">
        <v>492</v>
      </c>
      <c r="J201" s="77">
        <v>50.26</v>
      </c>
      <c r="K201" s="371">
        <v>46.25</v>
      </c>
      <c r="L201" s="77">
        <v>11.59</v>
      </c>
      <c r="N201" s="365">
        <f t="shared" ref="N201" si="330">K201+J201+L201</f>
        <v>108.1</v>
      </c>
      <c r="P201" s="195">
        <v>9</v>
      </c>
      <c r="Q201" s="326">
        <f>IFERROR(VLOOKUP($G201,主力整理!$A$2:$G$2301,6,0),"0")</f>
        <v>2</v>
      </c>
      <c r="R201" s="111">
        <v>3</v>
      </c>
      <c r="S201" s="51">
        <v>12</v>
      </c>
      <c r="T201" s="339">
        <f t="shared" si="261"/>
        <v>26</v>
      </c>
      <c r="V201" s="371">
        <v>8.99</v>
      </c>
      <c r="W201" s="69">
        <v>8.1</v>
      </c>
      <c r="X201" s="59">
        <v>14.8</v>
      </c>
      <c r="Y201" s="14">
        <v>255.5</v>
      </c>
      <c r="Z201" s="69">
        <v>245.5</v>
      </c>
      <c r="AA201" s="16">
        <f t="shared" ref="AA201" si="331">Y201-Z201</f>
        <v>10</v>
      </c>
      <c r="AB201" s="66">
        <f t="shared" ref="AB201" si="332">AA201/Z201</f>
        <v>4.0733197556008148E-2</v>
      </c>
      <c r="AC201" s="105" t="s">
        <v>6319</v>
      </c>
      <c r="AD201" s="23" t="s">
        <v>492</v>
      </c>
      <c r="AE201" s="89">
        <v>44473</v>
      </c>
      <c r="AF201" s="88" t="s">
        <v>6352</v>
      </c>
      <c r="AG201" s="34" t="e">
        <f t="shared" ref="AG201" si="333">AF201-AE201</f>
        <v>#VALUE!</v>
      </c>
      <c r="AH201" s="125" t="s">
        <v>3686</v>
      </c>
    </row>
    <row r="202" spans="1:35">
      <c r="A202" s="135" t="s">
        <v>3161</v>
      </c>
      <c r="B202" s="84">
        <v>502</v>
      </c>
      <c r="C202" s="84">
        <v>574</v>
      </c>
      <c r="D202" s="85">
        <v>-9</v>
      </c>
      <c r="E202" s="84">
        <v>62</v>
      </c>
      <c r="F202" s="59">
        <v>11.12</v>
      </c>
      <c r="G202" s="85">
        <v>5285</v>
      </c>
      <c r="H202" s="5" t="s">
        <v>558</v>
      </c>
      <c r="I202" s="23" t="s">
        <v>635</v>
      </c>
      <c r="J202" s="77">
        <v>48.54</v>
      </c>
      <c r="K202" s="371">
        <v>7.95</v>
      </c>
      <c r="L202" s="77">
        <v>24.77</v>
      </c>
      <c r="N202" s="365">
        <f t="shared" ref="N202" si="334">K202+J202+L202</f>
        <v>81.260000000000005</v>
      </c>
      <c r="P202" s="195">
        <v>13</v>
      </c>
      <c r="Q202" s="326">
        <f>IFERROR(VLOOKUP($G202,主力整理!$A$2:$G$2301,6,0),"0")</f>
        <v>2</v>
      </c>
      <c r="R202" s="111">
        <v>8</v>
      </c>
      <c r="S202" s="51">
        <v>5</v>
      </c>
      <c r="T202" s="339">
        <f t="shared" si="261"/>
        <v>28</v>
      </c>
      <c r="V202" s="371">
        <v>6.51</v>
      </c>
      <c r="W202" s="35">
        <v>2.41</v>
      </c>
      <c r="X202" s="100">
        <v>3.66</v>
      </c>
      <c r="Y202" s="37">
        <v>108.5</v>
      </c>
      <c r="Z202" s="46">
        <v>97.3</v>
      </c>
      <c r="AA202" s="16">
        <f t="shared" ref="AA202" si="335">Y202-Z202</f>
        <v>11.200000000000003</v>
      </c>
      <c r="AB202" s="66">
        <f t="shared" ref="AB202" si="336">AA202/Z202</f>
        <v>0.11510791366906478</v>
      </c>
      <c r="AC202" s="107" t="s">
        <v>5517</v>
      </c>
      <c r="AD202" s="23" t="s">
        <v>635</v>
      </c>
      <c r="AE202" s="89">
        <v>44467</v>
      </c>
      <c r="AF202" s="88" t="s">
        <v>6352</v>
      </c>
      <c r="AG202" s="34" t="e">
        <f t="shared" ref="AG202" si="337">AF202-AE202</f>
        <v>#VALUE!</v>
      </c>
      <c r="AH202" s="63" t="s">
        <v>4905</v>
      </c>
      <c r="AI202" s="131"/>
    </row>
    <row r="203" spans="1:35">
      <c r="A203" s="135" t="s">
        <v>2476</v>
      </c>
      <c r="B203" s="84">
        <v>584</v>
      </c>
      <c r="C203" s="84">
        <v>714</v>
      </c>
      <c r="D203" s="85">
        <v>-8</v>
      </c>
      <c r="E203" s="84">
        <v>49</v>
      </c>
      <c r="F203" s="59">
        <v>18.739999999999998</v>
      </c>
      <c r="G203" s="85">
        <v>2606</v>
      </c>
      <c r="H203" s="5" t="s">
        <v>551</v>
      </c>
      <c r="I203" s="23" t="s">
        <v>255</v>
      </c>
      <c r="J203" s="77">
        <v>54.85</v>
      </c>
      <c r="K203" s="371">
        <v>9.92</v>
      </c>
      <c r="L203" s="77">
        <v>13.83</v>
      </c>
      <c r="N203" s="365">
        <f>K203+J203+L203</f>
        <v>78.599999999999994</v>
      </c>
      <c r="P203" s="195">
        <v>31</v>
      </c>
      <c r="Q203" s="326">
        <f>IFERROR(VLOOKUP($G203,主力整理!$A$2:$G$2301,6,0),"0")</f>
        <v>4</v>
      </c>
      <c r="R203" s="111">
        <v>13</v>
      </c>
      <c r="S203" s="51">
        <v>15</v>
      </c>
      <c r="T203" s="339">
        <f t="shared" si="261"/>
        <v>63</v>
      </c>
      <c r="V203" s="371">
        <v>0.67</v>
      </c>
      <c r="W203" s="35">
        <v>1.2</v>
      </c>
      <c r="X203" s="59">
        <v>3</v>
      </c>
      <c r="Y203" s="37">
        <v>72.900000000000006</v>
      </c>
      <c r="Z203" s="69">
        <v>64</v>
      </c>
      <c r="AA203" s="16">
        <f>Y203-Z203</f>
        <v>8.9000000000000057</v>
      </c>
      <c r="AB203" s="66">
        <f>AA203/Z203</f>
        <v>0.13906250000000009</v>
      </c>
      <c r="AC203" s="107" t="s">
        <v>6276</v>
      </c>
      <c r="AD203" s="23" t="s">
        <v>255</v>
      </c>
      <c r="AE203" s="89">
        <v>44462</v>
      </c>
      <c r="AF203" s="88" t="s">
        <v>6352</v>
      </c>
      <c r="AG203" s="34" t="e">
        <f>AF203-AE203</f>
        <v>#VALUE!</v>
      </c>
      <c r="AH203" s="126" t="s">
        <v>5210</v>
      </c>
      <c r="AI203" s="131"/>
    </row>
    <row r="204" spans="1:35">
      <c r="A204" s="135" t="s">
        <v>2473</v>
      </c>
      <c r="B204" s="84">
        <v>154</v>
      </c>
      <c r="C204" s="84">
        <v>92</v>
      </c>
      <c r="D204" s="85">
        <v>-1</v>
      </c>
      <c r="E204" s="84">
        <v>8</v>
      </c>
      <c r="F204" s="59">
        <v>31.12</v>
      </c>
      <c r="G204" s="85">
        <v>2458</v>
      </c>
      <c r="H204" s="5" t="s">
        <v>558</v>
      </c>
      <c r="I204" s="23" t="s">
        <v>113</v>
      </c>
      <c r="J204" s="77">
        <v>44.72</v>
      </c>
      <c r="K204" s="371">
        <v>35.97</v>
      </c>
      <c r="L204" s="77">
        <v>9.23</v>
      </c>
      <c r="N204" s="365">
        <f t="shared" ref="N204" si="338">K204+J204+L204</f>
        <v>89.92</v>
      </c>
      <c r="P204" s="195">
        <v>12</v>
      </c>
      <c r="Q204" s="326">
        <f>IFERROR(VLOOKUP($G204,主力整理!$A$2:$G$2301,6,0),"0")</f>
        <v>9</v>
      </c>
      <c r="R204" s="111">
        <v>2</v>
      </c>
      <c r="S204" s="51">
        <v>20</v>
      </c>
      <c r="T204" s="339">
        <f t="shared" si="261"/>
        <v>43</v>
      </c>
      <c r="V204" s="371">
        <v>12.21</v>
      </c>
      <c r="W204" s="46">
        <v>9</v>
      </c>
      <c r="X204" s="100">
        <v>16.11</v>
      </c>
      <c r="Y204" s="37">
        <v>157</v>
      </c>
      <c r="Z204" s="69">
        <v>156.5</v>
      </c>
      <c r="AA204" s="16">
        <f t="shared" ref="AA204" si="339">Y204-Z204</f>
        <v>0.5</v>
      </c>
      <c r="AB204" s="66">
        <f t="shared" ref="AB204" si="340">AA204/Z204</f>
        <v>3.1948881789137379E-3</v>
      </c>
      <c r="AC204" s="105" t="s">
        <v>5583</v>
      </c>
      <c r="AD204" s="23" t="s">
        <v>113</v>
      </c>
      <c r="AE204" s="89">
        <v>44454</v>
      </c>
      <c r="AF204" s="88" t="s">
        <v>6352</v>
      </c>
      <c r="AG204" s="34" t="e">
        <f t="shared" ref="AG204" si="341">AF204-AE204</f>
        <v>#VALUE!</v>
      </c>
      <c r="AH204" s="126" t="s">
        <v>3725</v>
      </c>
      <c r="AI204" s="131"/>
    </row>
    <row r="205" spans="1:35">
      <c r="A205" s="151" t="s">
        <v>2593</v>
      </c>
      <c r="B205" s="84">
        <v>41</v>
      </c>
      <c r="C205" s="84">
        <v>74</v>
      </c>
      <c r="D205" s="84">
        <v>44</v>
      </c>
      <c r="E205" s="84">
        <v>43</v>
      </c>
      <c r="F205" s="7">
        <v>8.23</v>
      </c>
      <c r="G205" s="84">
        <v>6667</v>
      </c>
      <c r="H205" s="5" t="s">
        <v>5322</v>
      </c>
      <c r="I205" s="17" t="s">
        <v>1732</v>
      </c>
      <c r="J205" s="77">
        <v>51.31</v>
      </c>
      <c r="K205" s="77">
        <v>1.86</v>
      </c>
      <c r="L205" s="77">
        <v>17.920000000000002</v>
      </c>
      <c r="N205" s="365">
        <f t="shared" ref="N205" si="342">K205+J205+L205</f>
        <v>71.09</v>
      </c>
      <c r="P205" s="195">
        <v>5</v>
      </c>
      <c r="Q205" s="326" t="str">
        <f>IFERROR(VLOOKUP($G205,主力整理!$A$2:$G$2301,6,0),"0")</f>
        <v>0</v>
      </c>
      <c r="R205" s="111">
        <v>6</v>
      </c>
      <c r="S205" s="51">
        <v>0</v>
      </c>
      <c r="T205" s="339">
        <f t="shared" ref="T205:T268" si="343">SUM(P205:S205)</f>
        <v>11</v>
      </c>
      <c r="V205" s="371">
        <v>0.51</v>
      </c>
      <c r="W205" s="35">
        <v>1.66</v>
      </c>
      <c r="X205" s="59">
        <v>2.57</v>
      </c>
      <c r="Y205" s="37">
        <v>64.599999999999994</v>
      </c>
      <c r="Z205" s="69">
        <v>68.8</v>
      </c>
      <c r="AA205" s="16">
        <f t="shared" ref="AA205" si="344">Y205-Z205</f>
        <v>-4.2000000000000028</v>
      </c>
      <c r="AB205" s="80">
        <f t="shared" ref="AB205" si="345">AA205/Z205</f>
        <v>-6.1046511627907023E-2</v>
      </c>
      <c r="AC205" s="107" t="s">
        <v>5596</v>
      </c>
      <c r="AD205" s="17" t="s">
        <v>1732</v>
      </c>
      <c r="AE205" s="89">
        <v>44452</v>
      </c>
      <c r="AF205" s="88" t="s">
        <v>6352</v>
      </c>
      <c r="AG205" s="34" t="e">
        <f t="shared" ref="AG205" si="346">AF205-AE205</f>
        <v>#VALUE!</v>
      </c>
      <c r="AH205" s="44" t="s">
        <v>3986</v>
      </c>
      <c r="AI205" s="131"/>
    </row>
    <row r="206" spans="1:35">
      <c r="A206" s="151" t="s">
        <v>4897</v>
      </c>
      <c r="B206" s="84">
        <v>209</v>
      </c>
      <c r="C206" s="84">
        <v>41</v>
      </c>
      <c r="D206" s="85">
        <v>-3</v>
      </c>
      <c r="E206" s="84">
        <v>20</v>
      </c>
      <c r="F206" s="7">
        <v>8.89</v>
      </c>
      <c r="G206" s="84">
        <v>3260</v>
      </c>
      <c r="H206" s="203" t="s">
        <v>558</v>
      </c>
      <c r="I206" s="17" t="s">
        <v>396</v>
      </c>
      <c r="J206" s="371">
        <v>15.22</v>
      </c>
      <c r="K206" s="371">
        <v>7.72</v>
      </c>
      <c r="L206" s="371">
        <v>35.36</v>
      </c>
      <c r="N206" s="365">
        <f>K206+J206+L206</f>
        <v>58.3</v>
      </c>
      <c r="P206" s="232"/>
      <c r="Q206" s="326">
        <f>IFERROR(VLOOKUP($G206,主力整理!$A$2:$G$2301,6,0),"0")</f>
        <v>4</v>
      </c>
      <c r="R206" s="111">
        <v>8</v>
      </c>
      <c r="S206" s="51">
        <v>13</v>
      </c>
      <c r="T206" s="339">
        <f t="shared" si="343"/>
        <v>25</v>
      </c>
      <c r="V206" s="371">
        <v>25.6</v>
      </c>
      <c r="W206" s="46">
        <v>3.18</v>
      </c>
      <c r="X206" s="100">
        <v>12.09</v>
      </c>
      <c r="Y206" s="37">
        <v>79.2</v>
      </c>
      <c r="Z206" s="46">
        <v>91.3</v>
      </c>
      <c r="AA206" s="16">
        <f>Y206-Z206</f>
        <v>-12.099999999999994</v>
      </c>
      <c r="AB206" s="80">
        <f>AA206/Z206</f>
        <v>-0.13253012048192767</v>
      </c>
      <c r="AC206" s="107" t="s">
        <v>5517</v>
      </c>
      <c r="AD206" s="17" t="s">
        <v>396</v>
      </c>
      <c r="AE206" s="89">
        <v>44431</v>
      </c>
      <c r="AF206" s="88" t="s">
        <v>6352</v>
      </c>
      <c r="AG206" s="34" t="e">
        <f>AF206-AE206</f>
        <v>#VALUE!</v>
      </c>
      <c r="AH206" s="125" t="s">
        <v>2131</v>
      </c>
      <c r="AI206" s="131"/>
    </row>
    <row r="207" spans="1:35">
      <c r="A207" s="135" t="s">
        <v>2555</v>
      </c>
      <c r="B207" s="84">
        <v>54</v>
      </c>
      <c r="C207" s="84">
        <v>48</v>
      </c>
      <c r="D207" s="84">
        <v>1</v>
      </c>
      <c r="E207" s="84">
        <v>34</v>
      </c>
      <c r="F207" s="59">
        <v>20.7</v>
      </c>
      <c r="G207" s="84">
        <v>3357</v>
      </c>
      <c r="H207" s="5" t="s">
        <v>559</v>
      </c>
      <c r="I207" s="17" t="s">
        <v>5165</v>
      </c>
      <c r="J207" s="371">
        <v>45.48</v>
      </c>
      <c r="K207" s="371">
        <v>11.12</v>
      </c>
      <c r="L207" s="371"/>
      <c r="N207" s="365">
        <f>K207+J207+L207</f>
        <v>56.599999999999994</v>
      </c>
      <c r="P207" s="232"/>
      <c r="Q207" s="326" t="str">
        <f>IFERROR(VLOOKUP($G207,主力整理!$A$2:$G$2301,6,0),"0")</f>
        <v>0</v>
      </c>
      <c r="R207" s="111">
        <v>5</v>
      </c>
      <c r="S207" s="51">
        <v>0</v>
      </c>
      <c r="T207" s="339">
        <f t="shared" si="343"/>
        <v>5</v>
      </c>
      <c r="W207" s="69">
        <v>4.0999999999999996</v>
      </c>
      <c r="X207" s="100">
        <v>10.07</v>
      </c>
      <c r="Y207" s="37">
        <v>120</v>
      </c>
      <c r="Z207" s="69">
        <v>153</v>
      </c>
      <c r="AA207" s="16">
        <f>Y207-Z207</f>
        <v>-33</v>
      </c>
      <c r="AB207" s="80">
        <f>AA207/Z207</f>
        <v>-0.21568627450980393</v>
      </c>
      <c r="AC207" s="107" t="s">
        <v>5490</v>
      </c>
      <c r="AD207" s="17" t="s">
        <v>5165</v>
      </c>
      <c r="AE207" s="89">
        <v>44426</v>
      </c>
      <c r="AF207" s="88" t="s">
        <v>6352</v>
      </c>
      <c r="AG207" s="34" t="e">
        <f>AF207-AE207</f>
        <v>#VALUE!</v>
      </c>
      <c r="AH207" s="63" t="s">
        <v>5166</v>
      </c>
      <c r="AI207" s="131"/>
    </row>
    <row r="208" spans="1:35">
      <c r="A208" s="151" t="s">
        <v>4818</v>
      </c>
      <c r="B208" s="84">
        <v>806</v>
      </c>
      <c r="C208" s="84">
        <v>228</v>
      </c>
      <c r="D208" s="84">
        <v>3</v>
      </c>
      <c r="E208" s="84">
        <v>24</v>
      </c>
      <c r="F208" s="7">
        <v>8.81</v>
      </c>
      <c r="G208" s="85">
        <v>4540</v>
      </c>
      <c r="H208" s="5" t="s">
        <v>544</v>
      </c>
      <c r="I208" s="23" t="s">
        <v>1738</v>
      </c>
      <c r="J208" s="77">
        <v>49.28</v>
      </c>
      <c r="K208" s="77">
        <v>2.67</v>
      </c>
      <c r="L208" s="371">
        <v>8.67</v>
      </c>
      <c r="N208" s="365">
        <f>K208+J208+L208</f>
        <v>60.620000000000005</v>
      </c>
      <c r="P208" s="195">
        <v>6</v>
      </c>
      <c r="Q208" s="326" t="str">
        <f>IFERROR(VLOOKUP($G208,主力整理!$A$2:$G$2301,6,0),"0")</f>
        <v>0</v>
      </c>
      <c r="R208" s="111">
        <v>5</v>
      </c>
      <c r="S208" s="51">
        <v>2</v>
      </c>
      <c r="T208" s="339">
        <f t="shared" si="343"/>
        <v>13</v>
      </c>
      <c r="V208" s="371">
        <v>0</v>
      </c>
      <c r="W208" s="35">
        <v>0.8</v>
      </c>
      <c r="X208" s="100">
        <v>0.96</v>
      </c>
      <c r="Y208" s="37">
        <v>47.5</v>
      </c>
      <c r="Z208" s="69">
        <v>50</v>
      </c>
      <c r="AA208" s="16">
        <f>Y208-Z208</f>
        <v>-2.5</v>
      </c>
      <c r="AB208" s="80">
        <f>AA208/Z208</f>
        <v>-0.05</v>
      </c>
      <c r="AC208" s="107" t="s">
        <v>5357</v>
      </c>
      <c r="AD208" s="23" t="s">
        <v>1738</v>
      </c>
      <c r="AE208" s="89">
        <v>44441</v>
      </c>
      <c r="AF208" s="88">
        <v>44476</v>
      </c>
      <c r="AG208" s="34">
        <f>AF208-AE208</f>
        <v>35</v>
      </c>
      <c r="AH208" s="44" t="s">
        <v>2259</v>
      </c>
      <c r="AI208" s="131"/>
    </row>
    <row r="209" spans="1:42">
      <c r="A209" s="135" t="s">
        <v>3357</v>
      </c>
      <c r="B209" s="84">
        <v>4</v>
      </c>
      <c r="C209" s="84">
        <v>6</v>
      </c>
      <c r="D209" s="84">
        <v>54</v>
      </c>
      <c r="E209" s="84">
        <v>18</v>
      </c>
      <c r="F209" s="59">
        <v>11.49</v>
      </c>
      <c r="G209" s="84">
        <v>6690</v>
      </c>
      <c r="H209" s="9" t="s">
        <v>565</v>
      </c>
      <c r="I209" s="17" t="s">
        <v>2963</v>
      </c>
      <c r="J209" s="371">
        <v>64.540000000000006</v>
      </c>
      <c r="K209" s="371">
        <v>0.34</v>
      </c>
      <c r="L209" s="371"/>
      <c r="N209" s="365">
        <f t="shared" ref="N209:N214" si="347">K209+J209+L209</f>
        <v>64.88000000000001</v>
      </c>
      <c r="P209" s="232"/>
      <c r="Q209" s="326" t="str">
        <f>IFERROR(VLOOKUP($G209,主力整理!$A$2:$G$2301,6,0),"0")</f>
        <v>0</v>
      </c>
      <c r="R209" s="111">
        <v>0</v>
      </c>
      <c r="S209" s="51">
        <v>0</v>
      </c>
      <c r="T209" s="339">
        <f t="shared" si="343"/>
        <v>0</v>
      </c>
      <c r="W209" s="69">
        <v>3.5</v>
      </c>
      <c r="X209" s="59">
        <v>5</v>
      </c>
      <c r="Y209" s="37">
        <v>112</v>
      </c>
      <c r="Z209" s="69">
        <v>122</v>
      </c>
      <c r="AA209" s="16">
        <f t="shared" ref="AA209:AA214" si="348">Y209-Z209</f>
        <v>-10</v>
      </c>
      <c r="AB209" s="80">
        <f t="shared" ref="AB209:AB214" si="349">AA209/Z209</f>
        <v>-8.1967213114754092E-2</v>
      </c>
      <c r="AC209" s="107" t="s">
        <v>5360</v>
      </c>
      <c r="AD209" s="17" t="s">
        <v>2963</v>
      </c>
      <c r="AE209" s="89">
        <v>44392</v>
      </c>
      <c r="AF209" s="88">
        <v>44468</v>
      </c>
      <c r="AG209" s="34">
        <f t="shared" ref="AG209:AG214" si="350">AF209-AE209</f>
        <v>76</v>
      </c>
      <c r="AH209" s="63" t="s">
        <v>2964</v>
      </c>
      <c r="AI209" s="131"/>
    </row>
    <row r="210" spans="1:42">
      <c r="A210" s="135" t="s">
        <v>2469</v>
      </c>
      <c r="B210" s="84">
        <v>453</v>
      </c>
      <c r="C210" s="84">
        <v>464</v>
      </c>
      <c r="D210" s="85">
        <v>-1</v>
      </c>
      <c r="E210" s="84">
        <v>34</v>
      </c>
      <c r="F210" s="59">
        <v>18.09</v>
      </c>
      <c r="G210" s="85">
        <v>2409</v>
      </c>
      <c r="H210" s="5" t="s">
        <v>557</v>
      </c>
      <c r="I210" s="23" t="s">
        <v>384</v>
      </c>
      <c r="J210" s="371">
        <v>52.61</v>
      </c>
      <c r="K210" s="371">
        <v>30.57</v>
      </c>
      <c r="L210" s="371">
        <v>12.94</v>
      </c>
      <c r="N210" s="365">
        <f t="shared" si="347"/>
        <v>96.12</v>
      </c>
      <c r="P210" s="195">
        <v>58</v>
      </c>
      <c r="Q210" s="326">
        <f>IFERROR(VLOOKUP($G210,主力整理!$A$2:$G$2301,6,0),"0")</f>
        <v>6</v>
      </c>
      <c r="R210" s="111">
        <v>8</v>
      </c>
      <c r="S210" s="51">
        <v>29</v>
      </c>
      <c r="T210" s="339">
        <f t="shared" si="343"/>
        <v>101</v>
      </c>
      <c r="V210" s="371">
        <v>1.3</v>
      </c>
      <c r="W210" s="35">
        <v>0.3</v>
      </c>
      <c r="X210" s="59">
        <v>4.49</v>
      </c>
      <c r="Y210" s="37">
        <v>17.95</v>
      </c>
      <c r="Z210" s="69">
        <v>16.95</v>
      </c>
      <c r="AA210" s="16">
        <f t="shared" si="348"/>
        <v>1</v>
      </c>
      <c r="AB210" s="66">
        <f t="shared" si="349"/>
        <v>5.8997050147492625E-2</v>
      </c>
      <c r="AC210" s="107" t="s">
        <v>6270</v>
      </c>
      <c r="AD210" s="23" t="s">
        <v>384</v>
      </c>
      <c r="AE210" s="89">
        <v>44461</v>
      </c>
      <c r="AF210" s="88">
        <v>44467</v>
      </c>
      <c r="AG210" s="34">
        <f t="shared" si="350"/>
        <v>6</v>
      </c>
      <c r="AH210" s="126" t="s">
        <v>4053</v>
      </c>
      <c r="AI210" s="131"/>
    </row>
    <row r="211" spans="1:42">
      <c r="A211" s="135" t="s">
        <v>2469</v>
      </c>
      <c r="B211" s="84">
        <v>453</v>
      </c>
      <c r="C211" s="84">
        <v>464</v>
      </c>
      <c r="D211" s="85">
        <v>-1</v>
      </c>
      <c r="E211" s="84">
        <v>34</v>
      </c>
      <c r="F211" s="59">
        <v>18.09</v>
      </c>
      <c r="G211" s="85">
        <v>2409</v>
      </c>
      <c r="H211" s="9" t="s">
        <v>557</v>
      </c>
      <c r="I211" s="23" t="s">
        <v>384</v>
      </c>
      <c r="J211" s="77">
        <v>53.29</v>
      </c>
      <c r="K211" s="371">
        <v>30.63</v>
      </c>
      <c r="L211" s="371">
        <v>12.9</v>
      </c>
      <c r="N211" s="365">
        <f t="shared" si="347"/>
        <v>96.820000000000007</v>
      </c>
      <c r="P211" s="195">
        <v>55</v>
      </c>
      <c r="Q211" s="326">
        <f>IFERROR(VLOOKUP($G211,主力整理!$A$2:$G$2301,6,0),"0")</f>
        <v>6</v>
      </c>
      <c r="R211" s="111">
        <v>8</v>
      </c>
      <c r="S211" s="51">
        <v>29</v>
      </c>
      <c r="T211" s="339">
        <f t="shared" si="343"/>
        <v>98</v>
      </c>
      <c r="V211" s="371">
        <v>9.18</v>
      </c>
      <c r="W211" s="35">
        <v>0.3</v>
      </c>
      <c r="X211" s="59">
        <v>4.49</v>
      </c>
      <c r="Y211" s="37">
        <v>17.95</v>
      </c>
      <c r="Z211" s="69">
        <v>17.45</v>
      </c>
      <c r="AA211" s="16">
        <f t="shared" si="348"/>
        <v>0.5</v>
      </c>
      <c r="AB211" s="66">
        <f t="shared" si="349"/>
        <v>2.865329512893983E-2</v>
      </c>
      <c r="AC211" s="107" t="s">
        <v>5564</v>
      </c>
      <c r="AD211" s="23" t="s">
        <v>384</v>
      </c>
      <c r="AE211" s="89">
        <v>44456</v>
      </c>
      <c r="AF211" s="88">
        <v>44467</v>
      </c>
      <c r="AG211" s="34">
        <f t="shared" si="350"/>
        <v>11</v>
      </c>
      <c r="AH211" s="126" t="s">
        <v>4053</v>
      </c>
      <c r="AI211" s="131"/>
    </row>
    <row r="212" spans="1:42">
      <c r="A212" s="135" t="s">
        <v>2469</v>
      </c>
      <c r="B212" s="84">
        <v>453</v>
      </c>
      <c r="C212" s="84">
        <v>464</v>
      </c>
      <c r="D212" s="85">
        <v>-1</v>
      </c>
      <c r="E212" s="84">
        <v>45</v>
      </c>
      <c r="F212" s="59">
        <v>18.09</v>
      </c>
      <c r="G212" s="85">
        <v>2409</v>
      </c>
      <c r="H212" s="5" t="s">
        <v>557</v>
      </c>
      <c r="I212" s="23" t="s">
        <v>384</v>
      </c>
      <c r="J212" s="371">
        <v>53.32</v>
      </c>
      <c r="K212" s="371">
        <v>30.86</v>
      </c>
      <c r="L212" s="77">
        <v>13.89</v>
      </c>
      <c r="N212" s="365">
        <f t="shared" si="347"/>
        <v>98.070000000000007</v>
      </c>
      <c r="P212" s="195">
        <v>55</v>
      </c>
      <c r="Q212" s="326">
        <f>IFERROR(VLOOKUP($G212,主力整理!$A$2:$G$2301,6,0),"0")</f>
        <v>6</v>
      </c>
      <c r="R212" s="111">
        <v>8</v>
      </c>
      <c r="S212" s="51">
        <v>29</v>
      </c>
      <c r="T212" s="339">
        <f t="shared" si="343"/>
        <v>98</v>
      </c>
      <c r="V212" s="371">
        <v>10.62</v>
      </c>
      <c r="W212" s="73">
        <v>0.3</v>
      </c>
      <c r="X212" s="59">
        <v>4.49</v>
      </c>
      <c r="Y212" s="37">
        <v>17.95</v>
      </c>
      <c r="Z212" s="69">
        <v>17.8</v>
      </c>
      <c r="AA212" s="16">
        <f t="shared" si="348"/>
        <v>0.14999999999999858</v>
      </c>
      <c r="AB212" s="66">
        <f t="shared" si="349"/>
        <v>8.4269662921347514E-3</v>
      </c>
      <c r="AC212" s="107" t="s">
        <v>5558</v>
      </c>
      <c r="AD212" s="23" t="s">
        <v>384</v>
      </c>
      <c r="AE212" s="89">
        <v>44440</v>
      </c>
      <c r="AF212" s="88">
        <v>44467</v>
      </c>
      <c r="AG212" s="34">
        <f t="shared" si="350"/>
        <v>27</v>
      </c>
      <c r="AH212" s="126" t="s">
        <v>4053</v>
      </c>
      <c r="AI212" s="131"/>
    </row>
    <row r="213" spans="1:42">
      <c r="A213" s="135" t="s">
        <v>2469</v>
      </c>
      <c r="B213" s="84">
        <v>453</v>
      </c>
      <c r="C213" s="84">
        <v>464</v>
      </c>
      <c r="D213" s="85">
        <v>-1</v>
      </c>
      <c r="E213" s="84">
        <v>45</v>
      </c>
      <c r="F213" s="59">
        <v>18.09</v>
      </c>
      <c r="G213" s="85">
        <v>2409</v>
      </c>
      <c r="H213" s="5" t="s">
        <v>2910</v>
      </c>
      <c r="I213" s="23" t="s">
        <v>384</v>
      </c>
      <c r="J213" s="371">
        <v>53.32</v>
      </c>
      <c r="K213" s="371">
        <v>31.09</v>
      </c>
      <c r="L213" s="371">
        <v>13.77</v>
      </c>
      <c r="N213" s="365">
        <f t="shared" si="347"/>
        <v>98.179999999999993</v>
      </c>
      <c r="P213" s="195">
        <v>53</v>
      </c>
      <c r="Q213" s="326">
        <f>IFERROR(VLOOKUP($G213,主力整理!$A$2:$G$2301,6,0),"0")</f>
        <v>6</v>
      </c>
      <c r="R213" s="111">
        <v>8</v>
      </c>
      <c r="S213" s="51">
        <v>29</v>
      </c>
      <c r="T213" s="339">
        <f t="shared" si="343"/>
        <v>96</v>
      </c>
      <c r="V213" s="371">
        <v>7.62</v>
      </c>
      <c r="W213" s="35">
        <v>0.3</v>
      </c>
      <c r="X213" s="59">
        <v>4.49</v>
      </c>
      <c r="Y213" s="37">
        <v>17.95</v>
      </c>
      <c r="Z213" s="69">
        <v>17.600000000000001</v>
      </c>
      <c r="AA213" s="16">
        <f t="shared" si="348"/>
        <v>0.34999999999999787</v>
      </c>
      <c r="AB213" s="66">
        <f t="shared" si="349"/>
        <v>1.9886363636363515E-2</v>
      </c>
      <c r="AC213" s="107" t="s">
        <v>5553</v>
      </c>
      <c r="AD213" s="23" t="s">
        <v>384</v>
      </c>
      <c r="AE213" s="89">
        <v>44439</v>
      </c>
      <c r="AF213" s="88">
        <v>44467</v>
      </c>
      <c r="AG213" s="34">
        <f t="shared" si="350"/>
        <v>28</v>
      </c>
      <c r="AH213" s="126" t="s">
        <v>4053</v>
      </c>
      <c r="AI213" s="131"/>
    </row>
    <row r="214" spans="1:42">
      <c r="A214" s="135" t="s">
        <v>2469</v>
      </c>
      <c r="B214" s="84">
        <v>304</v>
      </c>
      <c r="C214" s="84">
        <v>320</v>
      </c>
      <c r="D214" s="84">
        <v>5</v>
      </c>
      <c r="E214" s="84">
        <v>57</v>
      </c>
      <c r="F214" s="59">
        <v>14.49</v>
      </c>
      <c r="G214" s="84">
        <v>2409</v>
      </c>
      <c r="H214" s="9" t="s">
        <v>557</v>
      </c>
      <c r="I214" s="23" t="s">
        <v>384</v>
      </c>
      <c r="J214" s="77">
        <v>56.09</v>
      </c>
      <c r="K214" s="371">
        <v>33.340000000000003</v>
      </c>
      <c r="L214" s="77">
        <v>14.53</v>
      </c>
      <c r="N214" s="365">
        <f t="shared" si="347"/>
        <v>103.96000000000001</v>
      </c>
      <c r="P214" s="195"/>
      <c r="Q214" s="326">
        <f>IFERROR(VLOOKUP($G214,主力整理!$A$2:$G$2301,6,0),"0")</f>
        <v>6</v>
      </c>
      <c r="R214" s="111">
        <v>8</v>
      </c>
      <c r="S214" s="51">
        <v>29</v>
      </c>
      <c r="T214" s="339">
        <f t="shared" si="343"/>
        <v>43</v>
      </c>
      <c r="V214" s="371">
        <v>5.95</v>
      </c>
      <c r="W214" s="35">
        <v>0.3</v>
      </c>
      <c r="X214" s="59">
        <v>2.13</v>
      </c>
      <c r="Y214" s="37">
        <v>17.95</v>
      </c>
      <c r="Z214" s="69">
        <v>21.6</v>
      </c>
      <c r="AA214" s="16">
        <f t="shared" si="348"/>
        <v>-3.6500000000000021</v>
      </c>
      <c r="AB214" s="80">
        <f t="shared" si="349"/>
        <v>-0.16898148148148157</v>
      </c>
      <c r="AC214" s="107" t="s">
        <v>5457</v>
      </c>
      <c r="AD214" s="23" t="s">
        <v>384</v>
      </c>
      <c r="AE214" s="89">
        <v>44417</v>
      </c>
      <c r="AF214" s="88">
        <v>44467</v>
      </c>
      <c r="AG214" s="34">
        <f t="shared" si="350"/>
        <v>50</v>
      </c>
      <c r="AH214" s="126" t="s">
        <v>4053</v>
      </c>
      <c r="AI214" s="131"/>
    </row>
    <row r="215" spans="1:42">
      <c r="A215" s="135" t="s">
        <v>5376</v>
      </c>
      <c r="B215" s="84">
        <v>428</v>
      </c>
      <c r="C215" s="84">
        <v>503</v>
      </c>
      <c r="D215" s="85">
        <v>-2</v>
      </c>
      <c r="E215" s="84">
        <v>28</v>
      </c>
      <c r="F215" s="59">
        <v>21.83</v>
      </c>
      <c r="G215" s="85">
        <v>3481</v>
      </c>
      <c r="H215" s="5" t="s">
        <v>557</v>
      </c>
      <c r="I215" s="23" t="s">
        <v>387</v>
      </c>
      <c r="J215" s="371">
        <v>45.01</v>
      </c>
      <c r="K215" s="371">
        <v>28.38</v>
      </c>
      <c r="L215" s="77">
        <v>19.54</v>
      </c>
      <c r="N215" s="365">
        <f t="shared" ref="N215" si="351">K215+J215+L215</f>
        <v>92.93</v>
      </c>
      <c r="P215" s="195">
        <v>56</v>
      </c>
      <c r="Q215" s="326">
        <f>IFERROR(VLOOKUP($G215,主力整理!$A$2:$G$2301,6,0),"0")</f>
        <v>1</v>
      </c>
      <c r="R215" s="111">
        <v>7</v>
      </c>
      <c r="S215" s="51">
        <v>30</v>
      </c>
      <c r="T215" s="339">
        <f t="shared" si="343"/>
        <v>94</v>
      </c>
      <c r="V215" s="371">
        <v>1.07</v>
      </c>
      <c r="W215" s="35">
        <v>0.4</v>
      </c>
      <c r="X215" s="100">
        <v>4.49</v>
      </c>
      <c r="Y215" s="37">
        <v>17.05</v>
      </c>
      <c r="Z215" s="69">
        <v>16.5</v>
      </c>
      <c r="AA215" s="16">
        <f t="shared" ref="AA215" si="352">Y215-Z215</f>
        <v>0.55000000000000071</v>
      </c>
      <c r="AB215" s="66">
        <f t="shared" ref="AB215" si="353">AA215/Z215</f>
        <v>3.3333333333333375E-2</v>
      </c>
      <c r="AC215" s="107" t="s">
        <v>6271</v>
      </c>
      <c r="AD215" s="23" t="s">
        <v>387</v>
      </c>
      <c r="AE215" s="89">
        <v>44461</v>
      </c>
      <c r="AF215" s="88">
        <v>44467</v>
      </c>
      <c r="AG215" s="34">
        <f t="shared" ref="AG215" si="354">AF215-AE215</f>
        <v>6</v>
      </c>
      <c r="AH215" s="126" t="s">
        <v>2176</v>
      </c>
      <c r="AI215" s="131"/>
    </row>
    <row r="216" spans="1:42">
      <c r="A216" s="135" t="s">
        <v>5376</v>
      </c>
      <c r="B216" s="84">
        <v>428</v>
      </c>
      <c r="C216" s="84">
        <v>503</v>
      </c>
      <c r="D216" s="85">
        <v>-2</v>
      </c>
      <c r="E216" s="84">
        <v>28</v>
      </c>
      <c r="F216" s="59">
        <v>21.83</v>
      </c>
      <c r="G216" s="85">
        <v>3481</v>
      </c>
      <c r="H216" s="9" t="s">
        <v>557</v>
      </c>
      <c r="I216" s="23" t="s">
        <v>387</v>
      </c>
      <c r="J216" s="77">
        <v>45.34</v>
      </c>
      <c r="K216" s="371">
        <v>28.43</v>
      </c>
      <c r="L216" s="77">
        <v>19.53</v>
      </c>
      <c r="N216" s="365">
        <f t="shared" ref="N216:N221" si="355">K216+J216+L216</f>
        <v>93.300000000000011</v>
      </c>
      <c r="P216" s="195">
        <v>55</v>
      </c>
      <c r="Q216" s="326">
        <f>IFERROR(VLOOKUP($G216,主力整理!$A$2:$G$2301,6,0),"0")</f>
        <v>1</v>
      </c>
      <c r="R216" s="111">
        <v>7</v>
      </c>
      <c r="S216" s="51">
        <v>30</v>
      </c>
      <c r="T216" s="339">
        <f t="shared" si="343"/>
        <v>93</v>
      </c>
      <c r="V216" s="371">
        <v>4.7</v>
      </c>
      <c r="W216" s="35">
        <v>0.4</v>
      </c>
      <c r="X216" s="100">
        <v>4.49</v>
      </c>
      <c r="Y216" s="37">
        <v>17.05</v>
      </c>
      <c r="Z216" s="69">
        <v>16.399999999999999</v>
      </c>
      <c r="AA216" s="16">
        <f t="shared" ref="AA216:AA221" si="356">Y216-Z216</f>
        <v>0.65000000000000213</v>
      </c>
      <c r="AB216" s="66">
        <f t="shared" ref="AB216:AB221" si="357">AA216/Z216</f>
        <v>3.9634146341463547E-2</v>
      </c>
      <c r="AC216" s="107" t="s">
        <v>5620</v>
      </c>
      <c r="AD216" s="23" t="s">
        <v>387</v>
      </c>
      <c r="AE216" s="89">
        <v>44455</v>
      </c>
      <c r="AF216" s="88">
        <v>44467</v>
      </c>
      <c r="AG216" s="34">
        <f t="shared" ref="AG216:AG221" si="358">AF216-AE216</f>
        <v>12</v>
      </c>
      <c r="AH216" s="126" t="s">
        <v>2176</v>
      </c>
      <c r="AI216" s="131"/>
    </row>
    <row r="217" spans="1:42">
      <c r="A217" s="135" t="s">
        <v>5376</v>
      </c>
      <c r="B217" s="84">
        <v>428</v>
      </c>
      <c r="C217" s="84">
        <v>503</v>
      </c>
      <c r="D217" s="84">
        <v>2</v>
      </c>
      <c r="E217" s="84">
        <v>35</v>
      </c>
      <c r="F217" s="59">
        <v>21.83</v>
      </c>
      <c r="G217" s="84">
        <v>3481</v>
      </c>
      <c r="H217" s="5" t="s">
        <v>557</v>
      </c>
      <c r="I217" s="23" t="s">
        <v>387</v>
      </c>
      <c r="J217" s="371">
        <v>45.45</v>
      </c>
      <c r="K217" s="371">
        <v>28.37</v>
      </c>
      <c r="L217" s="371">
        <v>20.51</v>
      </c>
      <c r="N217" s="365">
        <f t="shared" si="355"/>
        <v>94.330000000000013</v>
      </c>
      <c r="P217" s="195">
        <v>53</v>
      </c>
      <c r="Q217" s="326">
        <f>IFERROR(VLOOKUP($G217,主力整理!$A$2:$G$2301,6,0),"0")</f>
        <v>1</v>
      </c>
      <c r="R217" s="111">
        <v>7</v>
      </c>
      <c r="S217" s="51">
        <v>30</v>
      </c>
      <c r="T217" s="339">
        <f t="shared" si="343"/>
        <v>91</v>
      </c>
      <c r="V217" s="371">
        <v>5.51</v>
      </c>
      <c r="W217" s="35">
        <v>0.4</v>
      </c>
      <c r="X217" s="100">
        <v>4.49</v>
      </c>
      <c r="Y217" s="37">
        <v>17.05</v>
      </c>
      <c r="Z217" s="46">
        <v>17.2</v>
      </c>
      <c r="AA217" s="16">
        <f t="shared" si="356"/>
        <v>-0.14999999999999858</v>
      </c>
      <c r="AB217" s="80">
        <f t="shared" si="357"/>
        <v>-8.7209302325580579E-3</v>
      </c>
      <c r="AC217" s="107" t="s">
        <v>5473</v>
      </c>
      <c r="AD217" s="23" t="s">
        <v>387</v>
      </c>
      <c r="AE217" s="89">
        <v>44440</v>
      </c>
      <c r="AF217" s="88">
        <v>44467</v>
      </c>
      <c r="AG217" s="34">
        <f t="shared" si="358"/>
        <v>27</v>
      </c>
      <c r="AH217" s="126" t="s">
        <v>2176</v>
      </c>
      <c r="AI217" s="131"/>
    </row>
    <row r="218" spans="1:42">
      <c r="A218" s="135" t="s">
        <v>5376</v>
      </c>
      <c r="B218" s="84">
        <v>319</v>
      </c>
      <c r="C218" s="84">
        <v>339</v>
      </c>
      <c r="D218" s="84">
        <v>2</v>
      </c>
      <c r="E218" s="84">
        <v>35</v>
      </c>
      <c r="F218" s="59">
        <v>17.75</v>
      </c>
      <c r="G218" s="84">
        <v>3481</v>
      </c>
      <c r="H218" s="9" t="s">
        <v>557</v>
      </c>
      <c r="I218" s="23" t="s">
        <v>387</v>
      </c>
      <c r="J218" s="77">
        <v>47.52</v>
      </c>
      <c r="K218" s="371">
        <v>28.16</v>
      </c>
      <c r="L218" s="77">
        <v>23.01</v>
      </c>
      <c r="N218" s="365">
        <f t="shared" si="355"/>
        <v>98.690000000000012</v>
      </c>
      <c r="P218" s="195"/>
      <c r="Q218" s="326">
        <f>IFERROR(VLOOKUP($G218,主力整理!$A$2:$G$2301,6,0),"0")</f>
        <v>1</v>
      </c>
      <c r="R218" s="111">
        <v>7</v>
      </c>
      <c r="S218" s="51">
        <v>29</v>
      </c>
      <c r="T218" s="339">
        <f t="shared" si="343"/>
        <v>37</v>
      </c>
      <c r="V218" s="371">
        <v>2.72</v>
      </c>
      <c r="W218" s="35">
        <v>0.4</v>
      </c>
      <c r="X218" s="100">
        <v>1.9</v>
      </c>
      <c r="Y218" s="37">
        <v>17.05</v>
      </c>
      <c r="Z218" s="46">
        <v>20.100000000000001</v>
      </c>
      <c r="AA218" s="16">
        <f t="shared" si="356"/>
        <v>-3.0500000000000007</v>
      </c>
      <c r="AB218" s="80">
        <f t="shared" si="357"/>
        <v>-0.15174129353233834</v>
      </c>
      <c r="AC218" s="107" t="s">
        <v>5458</v>
      </c>
      <c r="AD218" s="23" t="s">
        <v>387</v>
      </c>
      <c r="AE218" s="89">
        <v>44417</v>
      </c>
      <c r="AF218" s="88">
        <v>44467</v>
      </c>
      <c r="AG218" s="34">
        <f t="shared" si="358"/>
        <v>50</v>
      </c>
      <c r="AH218" s="126" t="s">
        <v>2176</v>
      </c>
      <c r="AI218" s="131"/>
    </row>
    <row r="219" spans="1:42" ht="17.25" customHeight="1">
      <c r="A219" s="135" t="s">
        <v>2521</v>
      </c>
      <c r="B219" s="98">
        <v>2372</v>
      </c>
      <c r="C219" s="98">
        <v>3235</v>
      </c>
      <c r="D219" s="84">
        <v>4</v>
      </c>
      <c r="E219" s="84">
        <v>134</v>
      </c>
      <c r="F219" s="59">
        <v>33.07</v>
      </c>
      <c r="G219" s="84">
        <v>4961</v>
      </c>
      <c r="H219" s="5" t="s">
        <v>558</v>
      </c>
      <c r="I219" s="23" t="s">
        <v>1713</v>
      </c>
      <c r="J219" s="371">
        <v>40.700000000000003</v>
      </c>
      <c r="K219" s="371">
        <v>8.5</v>
      </c>
      <c r="L219" s="77">
        <v>27.07</v>
      </c>
      <c r="N219" s="365">
        <f t="shared" si="355"/>
        <v>76.27000000000001</v>
      </c>
      <c r="P219" s="195">
        <v>9</v>
      </c>
      <c r="Q219" s="326">
        <f>IFERROR(VLOOKUP($G219,主力整理!$A$2:$G$2301,6,0),"0")</f>
        <v>3</v>
      </c>
      <c r="R219" s="111">
        <v>26</v>
      </c>
      <c r="S219" s="51">
        <v>16</v>
      </c>
      <c r="T219" s="339">
        <f t="shared" si="343"/>
        <v>54</v>
      </c>
      <c r="V219" s="371">
        <v>31.56</v>
      </c>
      <c r="W219" s="73">
        <v>2.5</v>
      </c>
      <c r="X219" s="100">
        <v>18.850000000000001</v>
      </c>
      <c r="Y219" s="37">
        <v>208.5</v>
      </c>
      <c r="Z219" s="46">
        <v>210</v>
      </c>
      <c r="AA219" s="16">
        <f t="shared" si="356"/>
        <v>-1.5</v>
      </c>
      <c r="AB219" s="80">
        <f t="shared" si="357"/>
        <v>-7.1428571428571426E-3</v>
      </c>
      <c r="AC219" s="107" t="s">
        <v>5609</v>
      </c>
      <c r="AD219" s="23" t="s">
        <v>1713</v>
      </c>
      <c r="AE219" s="89">
        <v>44453</v>
      </c>
      <c r="AF219" s="88">
        <v>44467</v>
      </c>
      <c r="AG219" s="34">
        <f t="shared" si="358"/>
        <v>14</v>
      </c>
      <c r="AH219" s="63" t="s">
        <v>5506</v>
      </c>
      <c r="AI219" s="131"/>
    </row>
    <row r="220" spans="1:42">
      <c r="A220" s="135" t="s">
        <v>2521</v>
      </c>
      <c r="B220" s="98">
        <v>1208</v>
      </c>
      <c r="C220" s="98">
        <v>1541</v>
      </c>
      <c r="D220" s="84">
        <v>4</v>
      </c>
      <c r="E220" s="84">
        <v>142</v>
      </c>
      <c r="F220" s="59">
        <v>26</v>
      </c>
      <c r="G220" s="84">
        <v>4961</v>
      </c>
      <c r="H220" s="5" t="s">
        <v>558</v>
      </c>
      <c r="I220" s="23" t="s">
        <v>1713</v>
      </c>
      <c r="J220" s="371">
        <v>41.87</v>
      </c>
      <c r="K220" s="371">
        <v>12.99</v>
      </c>
      <c r="L220" s="371">
        <v>33.270000000000003</v>
      </c>
      <c r="N220" s="365">
        <f t="shared" si="355"/>
        <v>88.13</v>
      </c>
      <c r="P220" s="232"/>
      <c r="Q220" s="326">
        <f>IFERROR(VLOOKUP($G220,主力整理!$A$2:$G$2301,6,0),"0")</f>
        <v>3</v>
      </c>
      <c r="R220" s="111">
        <v>26</v>
      </c>
      <c r="S220" s="51">
        <v>16</v>
      </c>
      <c r="T220" s="339">
        <f t="shared" si="343"/>
        <v>45</v>
      </c>
      <c r="V220" s="371">
        <v>14.79</v>
      </c>
      <c r="W220" s="73">
        <v>2.5</v>
      </c>
      <c r="X220" s="100">
        <v>8.4700000000000006</v>
      </c>
      <c r="Y220" s="37">
        <v>208.5</v>
      </c>
      <c r="Z220" s="46">
        <v>263.5</v>
      </c>
      <c r="AA220" s="16">
        <f t="shared" si="356"/>
        <v>-55</v>
      </c>
      <c r="AB220" s="80">
        <f t="shared" si="357"/>
        <v>-0.20872865275142316</v>
      </c>
      <c r="AC220" s="107" t="s">
        <v>5475</v>
      </c>
      <c r="AD220" s="23" t="s">
        <v>1713</v>
      </c>
      <c r="AE220" s="89">
        <v>44424</v>
      </c>
      <c r="AF220" s="88">
        <v>44467</v>
      </c>
      <c r="AG220" s="34">
        <f t="shared" si="358"/>
        <v>43</v>
      </c>
      <c r="AH220" s="63" t="s">
        <v>4556</v>
      </c>
      <c r="AI220" s="131"/>
    </row>
    <row r="221" spans="1:42">
      <c r="A221" s="151" t="s">
        <v>3032</v>
      </c>
      <c r="B221" s="85">
        <v>-41</v>
      </c>
      <c r="C221" s="85">
        <v>-46</v>
      </c>
      <c r="D221" s="85">
        <v>-11</v>
      </c>
      <c r="E221" s="84">
        <v>22</v>
      </c>
      <c r="F221" s="7">
        <v>7.28</v>
      </c>
      <c r="G221" s="84">
        <v>3178</v>
      </c>
      <c r="H221" s="9" t="s">
        <v>5324</v>
      </c>
      <c r="I221" s="17" t="s">
        <v>1749</v>
      </c>
      <c r="J221" s="77">
        <v>60.82</v>
      </c>
      <c r="K221" s="77">
        <v>0.94</v>
      </c>
      <c r="L221" s="77">
        <v>12.35</v>
      </c>
      <c r="N221" s="365">
        <f t="shared" si="355"/>
        <v>74.11</v>
      </c>
      <c r="P221" s="232"/>
      <c r="Q221" s="326" t="str">
        <f>IFERROR(VLOOKUP($G221,主力整理!$A$2:$G$2301,6,0),"0")</f>
        <v>0</v>
      </c>
      <c r="R221" s="111">
        <v>18</v>
      </c>
      <c r="S221" s="51">
        <v>0</v>
      </c>
      <c r="T221" s="339">
        <f t="shared" si="343"/>
        <v>18</v>
      </c>
      <c r="V221" s="371">
        <v>1.73</v>
      </c>
      <c r="W221" s="35">
        <v>1.2</v>
      </c>
      <c r="X221" s="59">
        <v>1.69</v>
      </c>
      <c r="Y221" s="37">
        <v>73.7</v>
      </c>
      <c r="Z221" s="69">
        <v>67</v>
      </c>
      <c r="AA221" s="16">
        <f t="shared" si="356"/>
        <v>6.7000000000000028</v>
      </c>
      <c r="AB221" s="66">
        <f t="shared" si="357"/>
        <v>0.10000000000000005</v>
      </c>
      <c r="AC221" s="107" t="s">
        <v>5538</v>
      </c>
      <c r="AD221" s="17" t="s">
        <v>1749</v>
      </c>
      <c r="AE221" s="89">
        <v>44434</v>
      </c>
      <c r="AF221" s="88">
        <v>44467</v>
      </c>
      <c r="AG221" s="34">
        <f t="shared" si="358"/>
        <v>33</v>
      </c>
      <c r="AH221" s="44" t="s">
        <v>4389</v>
      </c>
      <c r="AI221" s="131"/>
    </row>
    <row r="222" spans="1:42">
      <c r="A222" s="135" t="s">
        <v>3033</v>
      </c>
      <c r="B222" s="84">
        <v>119</v>
      </c>
      <c r="C222" s="84">
        <v>141</v>
      </c>
      <c r="D222" s="84">
        <v>12</v>
      </c>
      <c r="E222" s="85">
        <v>-16</v>
      </c>
      <c r="F222" s="59">
        <v>16.7</v>
      </c>
      <c r="G222" s="85">
        <v>3515</v>
      </c>
      <c r="H222" s="212" t="s">
        <v>561</v>
      </c>
      <c r="I222" s="23" t="s">
        <v>888</v>
      </c>
      <c r="J222" s="371">
        <v>65.28</v>
      </c>
      <c r="K222" s="371">
        <v>6.51</v>
      </c>
      <c r="L222" s="371">
        <v>7.69</v>
      </c>
      <c r="N222" s="365">
        <f t="shared" ref="N222" si="359">K222+J222+L222</f>
        <v>79.48</v>
      </c>
      <c r="P222" s="195">
        <v>15</v>
      </c>
      <c r="Q222" s="326" t="str">
        <f>IFERROR(VLOOKUP($G222,主力整理!$A$2:$G$2301,6,0),"0")</f>
        <v>0</v>
      </c>
      <c r="R222" s="111">
        <v>8</v>
      </c>
      <c r="S222" s="51">
        <v>12</v>
      </c>
      <c r="T222" s="339">
        <f t="shared" si="343"/>
        <v>35</v>
      </c>
      <c r="V222" s="371">
        <v>3.28</v>
      </c>
      <c r="W222" s="69">
        <v>8</v>
      </c>
      <c r="X222" s="59">
        <v>17.739999999999998</v>
      </c>
      <c r="Y222" s="37">
        <v>157.5</v>
      </c>
      <c r="Z222" s="69">
        <v>145.5</v>
      </c>
      <c r="AA222" s="16">
        <f t="shared" ref="AA222" si="360">Y222-Z222</f>
        <v>12</v>
      </c>
      <c r="AB222" s="66">
        <f t="shared" ref="AB222" si="361">AA222/Z222</f>
        <v>8.247422680412371E-2</v>
      </c>
      <c r="AC222" s="105" t="s">
        <v>5593</v>
      </c>
      <c r="AD222" s="23" t="s">
        <v>888</v>
      </c>
      <c r="AE222" s="89">
        <v>44452</v>
      </c>
      <c r="AF222" s="88">
        <v>44466</v>
      </c>
      <c r="AG222" s="34">
        <f t="shared" ref="AG222" si="362">AF222-AE222</f>
        <v>14</v>
      </c>
      <c r="AH222" s="63" t="s">
        <v>4265</v>
      </c>
      <c r="AI222" s="131"/>
    </row>
    <row r="223" spans="1:42">
      <c r="A223" s="135" t="s">
        <v>3033</v>
      </c>
      <c r="B223" s="84">
        <v>119</v>
      </c>
      <c r="C223" s="84">
        <v>141</v>
      </c>
      <c r="D223" s="85">
        <v>-19</v>
      </c>
      <c r="E223" s="85">
        <v>-31</v>
      </c>
      <c r="F223" s="59">
        <v>16.7</v>
      </c>
      <c r="G223" s="85">
        <v>3515</v>
      </c>
      <c r="H223" s="213" t="s">
        <v>1815</v>
      </c>
      <c r="I223" s="23" t="s">
        <v>888</v>
      </c>
      <c r="J223" s="371">
        <v>65.290000000000006</v>
      </c>
      <c r="K223" s="371">
        <v>6.91</v>
      </c>
      <c r="L223" s="77">
        <v>6.96</v>
      </c>
      <c r="N223" s="365">
        <f t="shared" ref="N223:N228" si="363">K223+J223+L223</f>
        <v>79.16</v>
      </c>
      <c r="P223" s="232"/>
      <c r="Q223" s="326" t="str">
        <f>IFERROR(VLOOKUP($G223,主力整理!$A$2:$G$2301,6,0),"0")</f>
        <v>0</v>
      </c>
      <c r="R223" s="111">
        <v>8</v>
      </c>
      <c r="S223" s="51">
        <v>15</v>
      </c>
      <c r="T223" s="339">
        <f t="shared" si="343"/>
        <v>23</v>
      </c>
      <c r="V223" s="371">
        <v>4.1900000000000004</v>
      </c>
      <c r="W223" s="69">
        <v>8</v>
      </c>
      <c r="X223" s="59">
        <v>17.739999999999998</v>
      </c>
      <c r="Y223" s="37">
        <v>157.5</v>
      </c>
      <c r="Z223" s="69">
        <v>134.5</v>
      </c>
      <c r="AA223" s="16">
        <f t="shared" ref="AA223:AA228" si="364">Y223-Z223</f>
        <v>23</v>
      </c>
      <c r="AB223" s="66">
        <f t="shared" ref="AB223:AB228" si="365">AA223/Z223</f>
        <v>0.17100371747211895</v>
      </c>
      <c r="AC223" s="105" t="s">
        <v>5516</v>
      </c>
      <c r="AD223" s="23" t="s">
        <v>888</v>
      </c>
      <c r="AE223" s="89">
        <v>44431</v>
      </c>
      <c r="AF223" s="88">
        <v>44466</v>
      </c>
      <c r="AG223" s="34">
        <f t="shared" ref="AG223:AG228" si="366">AF223-AE223</f>
        <v>35</v>
      </c>
      <c r="AH223" s="63" t="s">
        <v>4265</v>
      </c>
      <c r="AI223" s="131"/>
    </row>
    <row r="224" spans="1:42">
      <c r="A224" s="151" t="s">
        <v>2900</v>
      </c>
      <c r="B224" s="84">
        <v>2</v>
      </c>
      <c r="C224" s="84">
        <v>2</v>
      </c>
      <c r="D224" s="84">
        <v>6</v>
      </c>
      <c r="E224" s="84">
        <v>6</v>
      </c>
      <c r="F224" s="7">
        <v>3.54</v>
      </c>
      <c r="G224" s="85">
        <v>6414</v>
      </c>
      <c r="H224" s="213" t="s">
        <v>561</v>
      </c>
      <c r="I224" s="23" t="s">
        <v>389</v>
      </c>
      <c r="J224" s="371">
        <v>47.38</v>
      </c>
      <c r="K224" s="77">
        <v>9.41</v>
      </c>
      <c r="L224" s="77">
        <v>12.92</v>
      </c>
      <c r="N224" s="365">
        <f t="shared" si="363"/>
        <v>69.710000000000008</v>
      </c>
      <c r="P224" s="195">
        <v>7</v>
      </c>
      <c r="Q224" s="326" t="str">
        <f>IFERROR(VLOOKUP($G224,主力整理!$A$2:$G$2301,6,0),"0")</f>
        <v>0</v>
      </c>
      <c r="R224" s="111">
        <v>7</v>
      </c>
      <c r="S224" s="51">
        <v>5</v>
      </c>
      <c r="T224" s="339">
        <f t="shared" si="343"/>
        <v>19</v>
      </c>
      <c r="V224" s="371">
        <v>1.82</v>
      </c>
      <c r="W224" s="69">
        <v>5</v>
      </c>
      <c r="X224" s="100">
        <v>11.98</v>
      </c>
      <c r="Y224" s="37">
        <v>197.5</v>
      </c>
      <c r="Z224" s="69">
        <v>191</v>
      </c>
      <c r="AA224" s="16">
        <f t="shared" si="364"/>
        <v>6.5</v>
      </c>
      <c r="AB224" s="66">
        <f t="shared" si="365"/>
        <v>3.4031413612565446E-2</v>
      </c>
      <c r="AC224" s="105" t="s">
        <v>5478</v>
      </c>
      <c r="AD224" s="23" t="s">
        <v>389</v>
      </c>
      <c r="AE224" s="89">
        <v>44452</v>
      </c>
      <c r="AF224" s="88">
        <v>44466</v>
      </c>
      <c r="AG224" s="34">
        <f t="shared" si="366"/>
        <v>14</v>
      </c>
      <c r="AH224" s="125" t="s">
        <v>2254</v>
      </c>
      <c r="AI224" s="131"/>
      <c r="AO224" s="34"/>
      <c r="AP224" s="34"/>
    </row>
    <row r="225" spans="1:42">
      <c r="A225" s="151" t="s">
        <v>2900</v>
      </c>
      <c r="B225" s="84">
        <v>2</v>
      </c>
      <c r="C225" s="84">
        <v>2</v>
      </c>
      <c r="D225" s="85">
        <v>-17</v>
      </c>
      <c r="E225" s="84">
        <v>11</v>
      </c>
      <c r="F225" s="7">
        <v>3.54</v>
      </c>
      <c r="G225" s="85">
        <v>6414</v>
      </c>
      <c r="H225" s="213" t="s">
        <v>561</v>
      </c>
      <c r="I225" s="23" t="s">
        <v>389</v>
      </c>
      <c r="J225" s="371">
        <v>47.63</v>
      </c>
      <c r="K225" s="371">
        <v>9.4499999999999993</v>
      </c>
      <c r="L225" s="77">
        <v>13</v>
      </c>
      <c r="N225" s="365">
        <f t="shared" si="363"/>
        <v>70.08</v>
      </c>
      <c r="P225" s="195">
        <v>6</v>
      </c>
      <c r="Q225" s="326" t="str">
        <f>IFERROR(VLOOKUP($G225,主力整理!$A$2:$G$2301,6,0),"0")</f>
        <v>0</v>
      </c>
      <c r="R225" s="111">
        <v>7</v>
      </c>
      <c r="S225" s="51">
        <v>5</v>
      </c>
      <c r="T225" s="339">
        <f t="shared" si="343"/>
        <v>18</v>
      </c>
      <c r="V225" s="371">
        <v>2.4500000000000002</v>
      </c>
      <c r="W225" s="69">
        <v>5</v>
      </c>
      <c r="X225" s="100">
        <v>11.98</v>
      </c>
      <c r="Y225" s="37">
        <v>197.5</v>
      </c>
      <c r="Z225" s="69">
        <v>187.5</v>
      </c>
      <c r="AA225" s="16">
        <f t="shared" si="364"/>
        <v>10</v>
      </c>
      <c r="AB225" s="66">
        <f t="shared" si="365"/>
        <v>5.3333333333333337E-2</v>
      </c>
      <c r="AC225" s="105" t="s">
        <v>5432</v>
      </c>
      <c r="AD225" s="23" t="s">
        <v>389</v>
      </c>
      <c r="AE225" s="89">
        <v>44447</v>
      </c>
      <c r="AF225" s="88">
        <v>44466</v>
      </c>
      <c r="AG225" s="34">
        <f t="shared" si="366"/>
        <v>19</v>
      </c>
      <c r="AH225" s="125" t="s">
        <v>2254</v>
      </c>
      <c r="AI225" s="131"/>
      <c r="AO225" s="34"/>
      <c r="AP225" s="34"/>
    </row>
    <row r="226" spans="1:42">
      <c r="A226" s="151" t="s">
        <v>3073</v>
      </c>
      <c r="B226" s="84">
        <v>68</v>
      </c>
      <c r="C226" s="84">
        <v>56</v>
      </c>
      <c r="D226" s="84">
        <v>6</v>
      </c>
      <c r="E226" s="84">
        <v>0</v>
      </c>
      <c r="F226" s="7">
        <v>6.86</v>
      </c>
      <c r="G226" s="85">
        <v>2387</v>
      </c>
      <c r="H226" s="213" t="s">
        <v>1815</v>
      </c>
      <c r="I226" s="23" t="s">
        <v>428</v>
      </c>
      <c r="J226" s="371">
        <v>68.349999999999994</v>
      </c>
      <c r="K226" s="371">
        <v>6.62</v>
      </c>
      <c r="L226" s="77">
        <v>15.52</v>
      </c>
      <c r="N226" s="365">
        <f t="shared" si="363"/>
        <v>90.49</v>
      </c>
      <c r="P226" s="232"/>
      <c r="Q226" s="326" t="str">
        <f>IFERROR(VLOOKUP($G226,主力整理!$A$2:$G$2301,6,0),"0")</f>
        <v>0</v>
      </c>
      <c r="R226" s="111">
        <v>7</v>
      </c>
      <c r="S226" s="51">
        <v>9</v>
      </c>
      <c r="T226" s="339">
        <f t="shared" si="343"/>
        <v>16</v>
      </c>
      <c r="V226" s="371">
        <v>0.75</v>
      </c>
      <c r="W226" s="35">
        <v>2</v>
      </c>
      <c r="X226" s="59">
        <v>7.58</v>
      </c>
      <c r="Y226" s="37">
        <v>47.35</v>
      </c>
      <c r="Z226" s="69">
        <v>51.7</v>
      </c>
      <c r="AA226" s="16">
        <f t="shared" si="364"/>
        <v>-4.3500000000000014</v>
      </c>
      <c r="AB226" s="80">
        <f t="shared" si="365"/>
        <v>-8.4139264990328838E-2</v>
      </c>
      <c r="AC226" s="107" t="s">
        <v>5360</v>
      </c>
      <c r="AD226" s="23" t="s">
        <v>428</v>
      </c>
      <c r="AE226" s="89">
        <v>44418</v>
      </c>
      <c r="AF226" s="88">
        <v>44466</v>
      </c>
      <c r="AG226" s="34">
        <f t="shared" si="366"/>
        <v>48</v>
      </c>
      <c r="AH226" s="44" t="s">
        <v>3650</v>
      </c>
      <c r="AI226" s="131"/>
    </row>
    <row r="227" spans="1:42">
      <c r="A227" s="151" t="s">
        <v>3363</v>
      </c>
      <c r="B227" s="84">
        <v>10</v>
      </c>
      <c r="C227" s="84">
        <v>9</v>
      </c>
      <c r="D227" s="84">
        <v>3</v>
      </c>
      <c r="E227" s="84">
        <v>19</v>
      </c>
      <c r="F227" s="7">
        <v>4.8899999999999997</v>
      </c>
      <c r="G227" s="85">
        <v>4958</v>
      </c>
      <c r="H227" s="216" t="s">
        <v>559</v>
      </c>
      <c r="I227" s="23" t="s">
        <v>47</v>
      </c>
      <c r="J227" s="371">
        <v>68.19</v>
      </c>
      <c r="K227" s="77">
        <v>59.21</v>
      </c>
      <c r="L227" s="371">
        <v>5.99</v>
      </c>
      <c r="N227" s="365">
        <f t="shared" si="363"/>
        <v>133.39000000000001</v>
      </c>
      <c r="P227" s="195"/>
      <c r="Q227" s="326">
        <f>IFERROR(VLOOKUP($G227,主力整理!$A$2:$G$2301,6,0),"0")</f>
        <v>4</v>
      </c>
      <c r="R227" s="111">
        <v>1</v>
      </c>
      <c r="S227" s="51">
        <v>16</v>
      </c>
      <c r="T227" s="339">
        <f t="shared" si="343"/>
        <v>21</v>
      </c>
      <c r="V227" s="371">
        <v>0.04</v>
      </c>
      <c r="W227" s="69">
        <v>4.5</v>
      </c>
      <c r="X227" s="59">
        <v>8.93</v>
      </c>
      <c r="Y227" s="14">
        <v>101.5</v>
      </c>
      <c r="Z227" s="69">
        <v>105</v>
      </c>
      <c r="AA227" s="16">
        <f t="shared" si="364"/>
        <v>-3.5</v>
      </c>
      <c r="AB227" s="80">
        <f t="shared" si="365"/>
        <v>-3.3333333333333333E-2</v>
      </c>
      <c r="AC227" s="105" t="s">
        <v>5365</v>
      </c>
      <c r="AD227" s="23" t="s">
        <v>47</v>
      </c>
      <c r="AE227" s="89">
        <v>44386</v>
      </c>
      <c r="AF227" s="88">
        <v>44466</v>
      </c>
      <c r="AG227" s="34">
        <f t="shared" si="366"/>
        <v>80</v>
      </c>
      <c r="AH227" s="125" t="s">
        <v>3679</v>
      </c>
      <c r="AI227" s="131"/>
    </row>
    <row r="228" spans="1:42">
      <c r="A228" s="151" t="s">
        <v>3363</v>
      </c>
      <c r="B228" s="84">
        <v>10</v>
      </c>
      <c r="C228" s="84">
        <v>9</v>
      </c>
      <c r="D228" s="84">
        <v>4</v>
      </c>
      <c r="E228" s="84">
        <v>22</v>
      </c>
      <c r="F228" s="7">
        <v>4.8899999999999997</v>
      </c>
      <c r="G228" s="85">
        <v>4958</v>
      </c>
      <c r="H228" s="216" t="s">
        <v>559</v>
      </c>
      <c r="I228" s="23" t="s">
        <v>47</v>
      </c>
      <c r="J228" s="77">
        <v>68.62</v>
      </c>
      <c r="K228" s="371">
        <v>59.04</v>
      </c>
      <c r="L228" s="77">
        <v>6.74</v>
      </c>
      <c r="N228" s="365">
        <f t="shared" si="363"/>
        <v>134.4</v>
      </c>
      <c r="P228" s="195"/>
      <c r="Q228" s="326">
        <f>IFERROR(VLOOKUP($G228,主力整理!$A$2:$G$2301,6,0),"0")</f>
        <v>4</v>
      </c>
      <c r="R228" s="111">
        <v>1</v>
      </c>
      <c r="S228" s="51">
        <v>16</v>
      </c>
      <c r="T228" s="339">
        <f t="shared" si="343"/>
        <v>21</v>
      </c>
      <c r="V228" s="371">
        <v>0.08</v>
      </c>
      <c r="W228" s="69">
        <v>4.5</v>
      </c>
      <c r="X228" s="59">
        <v>8.93</v>
      </c>
      <c r="Y228" s="14">
        <v>101.5</v>
      </c>
      <c r="Z228" s="69">
        <v>104</v>
      </c>
      <c r="AA228" s="16">
        <f t="shared" si="364"/>
        <v>-2.5</v>
      </c>
      <c r="AB228" s="80">
        <f t="shared" si="365"/>
        <v>-2.403846153846154E-2</v>
      </c>
      <c r="AC228" s="107" t="s">
        <v>5348</v>
      </c>
      <c r="AD228" s="23" t="s">
        <v>47</v>
      </c>
      <c r="AE228" s="89">
        <v>44379</v>
      </c>
      <c r="AF228" s="88">
        <v>44466</v>
      </c>
      <c r="AG228" s="34">
        <f t="shared" si="366"/>
        <v>87</v>
      </c>
      <c r="AH228" s="125" t="s">
        <v>3679</v>
      </c>
      <c r="AI228" s="131"/>
    </row>
    <row r="229" spans="1:42">
      <c r="A229" s="135" t="s">
        <v>2465</v>
      </c>
      <c r="B229" s="84">
        <v>229</v>
      </c>
      <c r="C229" s="84">
        <v>295</v>
      </c>
      <c r="D229" s="84">
        <v>25</v>
      </c>
      <c r="E229" s="84">
        <v>48</v>
      </c>
      <c r="F229" s="59">
        <v>11.68</v>
      </c>
      <c r="G229" s="85">
        <v>2376</v>
      </c>
      <c r="H229" s="212" t="s">
        <v>561</v>
      </c>
      <c r="I229" s="23" t="s">
        <v>380</v>
      </c>
      <c r="J229" s="77">
        <v>56.46</v>
      </c>
      <c r="K229" s="371">
        <v>35.11</v>
      </c>
      <c r="L229" s="77">
        <v>8.59</v>
      </c>
      <c r="N229" s="365">
        <f t="shared" ref="N229" si="367">K229+J229+L229</f>
        <v>100.16</v>
      </c>
      <c r="P229" s="195">
        <v>13</v>
      </c>
      <c r="Q229" s="326">
        <f>IFERROR(VLOOKUP($G229,主力整理!$A$2:$G$2301,6,0),"0")</f>
        <v>4</v>
      </c>
      <c r="R229" s="111">
        <v>2</v>
      </c>
      <c r="S229" s="51">
        <v>20</v>
      </c>
      <c r="T229" s="339">
        <f t="shared" si="343"/>
        <v>39</v>
      </c>
      <c r="V229" s="371">
        <v>4.9000000000000004</v>
      </c>
      <c r="W229" s="69">
        <v>5</v>
      </c>
      <c r="X229" s="59">
        <v>10.15</v>
      </c>
      <c r="Y229" s="37">
        <v>92.1</v>
      </c>
      <c r="Z229" s="69">
        <v>90.1</v>
      </c>
      <c r="AA229" s="16">
        <f t="shared" ref="AA229" si="368">Y229-Z229</f>
        <v>2</v>
      </c>
      <c r="AB229" s="66">
        <f t="shared" ref="AB229" si="369">AA229/Z229</f>
        <v>2.2197558268590458E-2</v>
      </c>
      <c r="AC229" s="105" t="s">
        <v>5595</v>
      </c>
      <c r="AD229" s="23" t="s">
        <v>380</v>
      </c>
      <c r="AE229" s="89">
        <v>44452</v>
      </c>
      <c r="AF229" s="88">
        <v>44463</v>
      </c>
      <c r="AG229" s="34">
        <f t="shared" ref="AG229" si="370">AF229-AE229</f>
        <v>11</v>
      </c>
      <c r="AH229" s="63" t="s">
        <v>4264</v>
      </c>
      <c r="AI229" s="131"/>
    </row>
    <row r="230" spans="1:42">
      <c r="A230" s="135" t="s">
        <v>2465</v>
      </c>
      <c r="B230" s="84">
        <v>229</v>
      </c>
      <c r="C230" s="84">
        <v>295</v>
      </c>
      <c r="D230" s="85">
        <v>-10</v>
      </c>
      <c r="E230" s="84">
        <v>1</v>
      </c>
      <c r="F230" s="59">
        <v>11.68</v>
      </c>
      <c r="G230" s="84">
        <v>2376</v>
      </c>
      <c r="H230" s="212" t="s">
        <v>561</v>
      </c>
      <c r="I230" s="23" t="s">
        <v>380</v>
      </c>
      <c r="J230" s="371">
        <v>56.46</v>
      </c>
      <c r="K230" s="77">
        <v>36.020000000000003</v>
      </c>
      <c r="L230" s="371">
        <v>8.5399999999999991</v>
      </c>
      <c r="N230" s="365">
        <f t="shared" ref="N230:N235" si="371">K230+J230+L230</f>
        <v>101.02000000000001</v>
      </c>
      <c r="P230" s="195">
        <v>12</v>
      </c>
      <c r="Q230" s="326">
        <f>IFERROR(VLOOKUP($G230,主力整理!$A$2:$G$2301,6,0),"0")</f>
        <v>4</v>
      </c>
      <c r="R230" s="111">
        <v>2</v>
      </c>
      <c r="S230" s="51">
        <v>20</v>
      </c>
      <c r="T230" s="339">
        <f t="shared" si="343"/>
        <v>38</v>
      </c>
      <c r="V230" s="371">
        <v>4.53</v>
      </c>
      <c r="W230" s="69">
        <v>5</v>
      </c>
      <c r="X230" s="59">
        <v>10.15</v>
      </c>
      <c r="Y230" s="37">
        <v>92.1</v>
      </c>
      <c r="Z230" s="69">
        <v>88.8</v>
      </c>
      <c r="AA230" s="16">
        <f t="shared" ref="AA230:AA235" si="372">Y230-Z230</f>
        <v>3.2999999999999972</v>
      </c>
      <c r="AB230" s="66">
        <f t="shared" ref="AB230:AB235" si="373">AA230/Z230</f>
        <v>3.716216216216213E-2</v>
      </c>
      <c r="AC230" s="105" t="s">
        <v>5562</v>
      </c>
      <c r="AD230" s="23" t="s">
        <v>380</v>
      </c>
      <c r="AE230" s="89">
        <v>44441</v>
      </c>
      <c r="AF230" s="88">
        <v>44463</v>
      </c>
      <c r="AG230" s="34">
        <f t="shared" ref="AG230:AG235" si="374">AF230-AE230</f>
        <v>22</v>
      </c>
      <c r="AH230" s="63" t="s">
        <v>4264</v>
      </c>
      <c r="AI230" s="131"/>
    </row>
    <row r="231" spans="1:42">
      <c r="A231" s="135" t="s">
        <v>2466</v>
      </c>
      <c r="B231" s="84">
        <v>155</v>
      </c>
      <c r="C231" s="84">
        <v>158</v>
      </c>
      <c r="D231" s="84">
        <v>27</v>
      </c>
      <c r="E231" s="84">
        <v>39</v>
      </c>
      <c r="F231" s="59">
        <v>10.77</v>
      </c>
      <c r="G231" s="85">
        <v>2377</v>
      </c>
      <c r="H231" s="212" t="s">
        <v>561</v>
      </c>
      <c r="I231" s="23" t="s">
        <v>45</v>
      </c>
      <c r="J231" s="77">
        <v>71.349999999999994</v>
      </c>
      <c r="K231" s="77">
        <v>48.42</v>
      </c>
      <c r="L231" s="371">
        <v>2.2200000000000002</v>
      </c>
      <c r="N231" s="365">
        <f t="shared" si="371"/>
        <v>121.99</v>
      </c>
      <c r="P231" s="195">
        <v>19</v>
      </c>
      <c r="Q231" s="326">
        <f>IFERROR(VLOOKUP($G231,主力整理!$A$2:$G$2301,6,0),"0")</f>
        <v>7</v>
      </c>
      <c r="R231" s="111">
        <v>1</v>
      </c>
      <c r="S231" s="51">
        <v>20</v>
      </c>
      <c r="T231" s="339">
        <f t="shared" si="343"/>
        <v>47</v>
      </c>
      <c r="V231" s="371">
        <v>3.93</v>
      </c>
      <c r="W231" s="69">
        <v>6.1</v>
      </c>
      <c r="X231" s="59">
        <v>15.6</v>
      </c>
      <c r="Y231" s="14">
        <v>145</v>
      </c>
      <c r="Z231" s="69">
        <v>139</v>
      </c>
      <c r="AA231" s="16">
        <f t="shared" si="372"/>
        <v>6</v>
      </c>
      <c r="AB231" s="66">
        <f t="shared" si="373"/>
        <v>4.3165467625899283E-2</v>
      </c>
      <c r="AC231" s="105" t="s">
        <v>5509</v>
      </c>
      <c r="AD231" s="23" t="s">
        <v>45</v>
      </c>
      <c r="AE231" s="89">
        <v>44456</v>
      </c>
      <c r="AF231" s="88">
        <v>44462</v>
      </c>
      <c r="AG231" s="34">
        <f t="shared" si="374"/>
        <v>6</v>
      </c>
      <c r="AH231" s="63" t="s">
        <v>4264</v>
      </c>
      <c r="AI231" s="131"/>
    </row>
    <row r="232" spans="1:42">
      <c r="A232" s="135" t="s">
        <v>2466</v>
      </c>
      <c r="B232" s="84">
        <v>155</v>
      </c>
      <c r="C232" s="84">
        <v>158</v>
      </c>
      <c r="D232" s="84">
        <v>27</v>
      </c>
      <c r="E232" s="84">
        <v>39</v>
      </c>
      <c r="F232" s="59">
        <v>10.77</v>
      </c>
      <c r="G232" s="85">
        <v>2377</v>
      </c>
      <c r="H232" s="212" t="s">
        <v>561</v>
      </c>
      <c r="I232" s="23" t="s">
        <v>45</v>
      </c>
      <c r="J232" s="77">
        <v>71.349999999999994</v>
      </c>
      <c r="K232" s="77">
        <v>48.29</v>
      </c>
      <c r="L232" s="371">
        <v>2.27</v>
      </c>
      <c r="N232" s="365">
        <f t="shared" si="371"/>
        <v>121.90999999999998</v>
      </c>
      <c r="P232" s="195">
        <v>19</v>
      </c>
      <c r="Q232" s="326">
        <f>IFERROR(VLOOKUP($G232,主力整理!$A$2:$G$2301,6,0),"0")</f>
        <v>7</v>
      </c>
      <c r="R232" s="111">
        <v>1</v>
      </c>
      <c r="S232" s="51">
        <v>20</v>
      </c>
      <c r="T232" s="339">
        <f t="shared" si="343"/>
        <v>47</v>
      </c>
      <c r="V232" s="371">
        <v>3.74</v>
      </c>
      <c r="W232" s="69">
        <v>6.1</v>
      </c>
      <c r="X232" s="59">
        <v>15.6</v>
      </c>
      <c r="Y232" s="14">
        <v>145</v>
      </c>
      <c r="Z232" s="69">
        <v>136.5</v>
      </c>
      <c r="AA232" s="16">
        <f t="shared" si="372"/>
        <v>8.5</v>
      </c>
      <c r="AB232" s="66">
        <f t="shared" si="373"/>
        <v>6.2271062271062272E-2</v>
      </c>
      <c r="AC232" s="105" t="s">
        <v>5465</v>
      </c>
      <c r="AD232" s="23" t="s">
        <v>45</v>
      </c>
      <c r="AE232" s="89">
        <v>44454</v>
      </c>
      <c r="AF232" s="88">
        <v>44462</v>
      </c>
      <c r="AG232" s="34">
        <f t="shared" si="374"/>
        <v>8</v>
      </c>
      <c r="AH232" s="63" t="s">
        <v>4264</v>
      </c>
      <c r="AI232" s="131"/>
    </row>
    <row r="233" spans="1:42">
      <c r="A233" s="135" t="s">
        <v>2466</v>
      </c>
      <c r="B233" s="84">
        <v>155</v>
      </c>
      <c r="C233" s="84">
        <v>158</v>
      </c>
      <c r="D233" s="84">
        <v>27</v>
      </c>
      <c r="E233" s="84">
        <v>39</v>
      </c>
      <c r="F233" s="59">
        <v>10.77</v>
      </c>
      <c r="G233" s="85">
        <v>2377</v>
      </c>
      <c r="H233" s="212" t="s">
        <v>561</v>
      </c>
      <c r="I233" s="23" t="s">
        <v>45</v>
      </c>
      <c r="J233" s="77">
        <v>71.349999999999994</v>
      </c>
      <c r="K233" s="77">
        <v>48.27</v>
      </c>
      <c r="L233" s="77">
        <v>2.27</v>
      </c>
      <c r="N233" s="365">
        <f t="shared" si="371"/>
        <v>121.89</v>
      </c>
      <c r="P233" s="195">
        <v>18</v>
      </c>
      <c r="Q233" s="326">
        <f>IFERROR(VLOOKUP($G233,主力整理!$A$2:$G$2301,6,0),"0")</f>
        <v>7</v>
      </c>
      <c r="R233" s="111">
        <v>1</v>
      </c>
      <c r="S233" s="51">
        <v>20</v>
      </c>
      <c r="T233" s="339">
        <f t="shared" si="343"/>
        <v>46</v>
      </c>
      <c r="V233" s="371">
        <v>3.36</v>
      </c>
      <c r="W233" s="69">
        <v>6.1</v>
      </c>
      <c r="X233" s="59">
        <v>15.6</v>
      </c>
      <c r="Y233" s="14">
        <v>145</v>
      </c>
      <c r="Z233" s="69">
        <v>139</v>
      </c>
      <c r="AA233" s="16">
        <f t="shared" si="372"/>
        <v>6</v>
      </c>
      <c r="AB233" s="66">
        <f t="shared" si="373"/>
        <v>4.3165467625899283E-2</v>
      </c>
      <c r="AC233" s="105" t="s">
        <v>5594</v>
      </c>
      <c r="AD233" s="23" t="s">
        <v>45</v>
      </c>
      <c r="AE233" s="89">
        <v>44452</v>
      </c>
      <c r="AF233" s="88">
        <v>44462</v>
      </c>
      <c r="AG233" s="34">
        <f t="shared" si="374"/>
        <v>10</v>
      </c>
      <c r="AH233" s="63" t="s">
        <v>4264</v>
      </c>
      <c r="AI233" s="131"/>
    </row>
    <row r="234" spans="1:42">
      <c r="A234" s="135" t="s">
        <v>2529</v>
      </c>
      <c r="B234" s="85">
        <v>-6</v>
      </c>
      <c r="C234" s="85">
        <v>-12</v>
      </c>
      <c r="D234" s="84">
        <v>19</v>
      </c>
      <c r="E234" s="85">
        <v>-4</v>
      </c>
      <c r="F234" s="59">
        <v>24.09</v>
      </c>
      <c r="G234" s="85">
        <v>6510</v>
      </c>
      <c r="H234" s="212" t="s">
        <v>558</v>
      </c>
      <c r="I234" s="17" t="s">
        <v>404</v>
      </c>
      <c r="J234" s="371">
        <v>39.32</v>
      </c>
      <c r="K234" s="371">
        <v>12.01</v>
      </c>
      <c r="L234" s="371">
        <v>14.87</v>
      </c>
      <c r="N234" s="365">
        <f t="shared" si="371"/>
        <v>66.2</v>
      </c>
      <c r="P234" s="195">
        <v>7</v>
      </c>
      <c r="Q234" s="326" t="str">
        <f>IFERROR(VLOOKUP($G234,主力整理!$A$2:$G$2301,6,0),"0")</f>
        <v>0</v>
      </c>
      <c r="R234" s="111">
        <v>7</v>
      </c>
      <c r="S234" s="51">
        <v>11</v>
      </c>
      <c r="T234" s="339">
        <f t="shared" si="343"/>
        <v>25</v>
      </c>
      <c r="V234" s="371">
        <v>2.54</v>
      </c>
      <c r="W234" s="69">
        <v>12</v>
      </c>
      <c r="X234" s="100">
        <v>27.62</v>
      </c>
      <c r="Y234" s="37">
        <v>674</v>
      </c>
      <c r="Z234" s="69">
        <v>572</v>
      </c>
      <c r="AA234" s="16">
        <f t="shared" si="372"/>
        <v>102</v>
      </c>
      <c r="AB234" s="66">
        <f t="shared" si="373"/>
        <v>0.17832167832167833</v>
      </c>
      <c r="AC234" s="107" t="s">
        <v>5569</v>
      </c>
      <c r="AD234" s="17" t="s">
        <v>404</v>
      </c>
      <c r="AE234" s="89">
        <v>44445</v>
      </c>
      <c r="AF234" s="88">
        <v>44456</v>
      </c>
      <c r="AG234" s="34">
        <f t="shared" si="374"/>
        <v>11</v>
      </c>
      <c r="AH234" s="126" t="s">
        <v>2166</v>
      </c>
      <c r="AI234" s="131"/>
    </row>
    <row r="235" spans="1:42">
      <c r="A235" s="135" t="s">
        <v>2937</v>
      </c>
      <c r="B235" s="84">
        <v>245</v>
      </c>
      <c r="C235" s="84">
        <v>95</v>
      </c>
      <c r="D235" s="85">
        <v>-9</v>
      </c>
      <c r="E235" s="84">
        <v>63</v>
      </c>
      <c r="F235" s="59">
        <v>10.35</v>
      </c>
      <c r="G235" s="84">
        <v>1612</v>
      </c>
      <c r="H235" s="9" t="s">
        <v>545</v>
      </c>
      <c r="I235" s="23" t="s">
        <v>1566</v>
      </c>
      <c r="J235" s="77">
        <v>52.04</v>
      </c>
      <c r="K235" s="77">
        <v>10.75</v>
      </c>
      <c r="L235" s="371">
        <v>5.94</v>
      </c>
      <c r="N235" s="365">
        <f t="shared" si="371"/>
        <v>68.73</v>
      </c>
      <c r="P235" s="232"/>
      <c r="Q235" s="326">
        <f>IFERROR(VLOOKUP($G235,主力整理!$A$2:$G$2301,6,0),"0")</f>
        <v>1</v>
      </c>
      <c r="R235" s="111">
        <v>4</v>
      </c>
      <c r="S235" s="51">
        <v>0</v>
      </c>
      <c r="T235" s="339">
        <f t="shared" si="343"/>
        <v>5</v>
      </c>
      <c r="V235" s="371">
        <v>0.94</v>
      </c>
      <c r="W235" s="35">
        <v>1.2</v>
      </c>
      <c r="X235" s="59">
        <v>2.44</v>
      </c>
      <c r="Y235" s="37">
        <v>24.6</v>
      </c>
      <c r="Z235" s="69">
        <v>22.95</v>
      </c>
      <c r="AA235" s="16">
        <f t="shared" si="372"/>
        <v>1.6500000000000021</v>
      </c>
      <c r="AB235" s="66">
        <f t="shared" si="373"/>
        <v>7.1895424836601399E-2</v>
      </c>
      <c r="AC235" s="107" t="s">
        <v>5537</v>
      </c>
      <c r="AD235" s="23" t="s">
        <v>1566</v>
      </c>
      <c r="AE235" s="89">
        <v>44434</v>
      </c>
      <c r="AF235" s="88">
        <v>44453</v>
      </c>
      <c r="AG235" s="34">
        <f t="shared" si="374"/>
        <v>19</v>
      </c>
      <c r="AH235" s="63" t="s">
        <v>1686</v>
      </c>
      <c r="AI235" s="131"/>
    </row>
    <row r="236" spans="1:42">
      <c r="A236" s="135" t="s">
        <v>3500</v>
      </c>
      <c r="B236" s="84">
        <v>25</v>
      </c>
      <c r="C236" s="84">
        <v>38</v>
      </c>
      <c r="D236" s="84">
        <v>7</v>
      </c>
      <c r="E236" s="84">
        <v>7</v>
      </c>
      <c r="F236" s="59">
        <v>39.340000000000003</v>
      </c>
      <c r="G236" s="85">
        <v>8499</v>
      </c>
      <c r="H236" s="216" t="s">
        <v>429</v>
      </c>
      <c r="I236" s="23" t="s">
        <v>346</v>
      </c>
      <c r="J236" s="371">
        <v>72.11</v>
      </c>
      <c r="K236" s="371">
        <v>69.83</v>
      </c>
      <c r="L236" s="371">
        <v>6.1</v>
      </c>
      <c r="N236" s="365">
        <f t="shared" ref="N236:N242" si="375">K236+J236+L236</f>
        <v>148.04</v>
      </c>
      <c r="P236" s="195">
        <v>1</v>
      </c>
      <c r="Q236" s="326" t="str">
        <f>IFERROR(VLOOKUP($G236,主力整理!$A$2:$G$2301,6,0),"0")</f>
        <v>0</v>
      </c>
      <c r="R236" s="111">
        <v>5</v>
      </c>
      <c r="S236" s="51">
        <v>2</v>
      </c>
      <c r="T236" s="339">
        <f t="shared" si="343"/>
        <v>8</v>
      </c>
      <c r="V236" s="371">
        <v>2.5299999999999998</v>
      </c>
      <c r="W236" s="69">
        <v>8</v>
      </c>
      <c r="X236" s="59">
        <v>13.09</v>
      </c>
      <c r="Y236" s="14">
        <v>127.5</v>
      </c>
      <c r="Z236" s="69">
        <v>127</v>
      </c>
      <c r="AA236" s="16">
        <f t="shared" ref="AA236:AA242" si="376">Y236-Z236</f>
        <v>0.5</v>
      </c>
      <c r="AB236" s="66">
        <f t="shared" ref="AB236:AB242" si="377">AA236/Z236</f>
        <v>3.937007874015748E-3</v>
      </c>
      <c r="AC236" s="105" t="s">
        <v>5512</v>
      </c>
      <c r="AD236" s="23" t="s">
        <v>346</v>
      </c>
      <c r="AE236" s="89">
        <v>44449</v>
      </c>
      <c r="AF236" s="88">
        <v>44452</v>
      </c>
      <c r="AG236" s="34">
        <f t="shared" ref="AG236:AG242" si="378">AF236-AE236</f>
        <v>3</v>
      </c>
      <c r="AH236" s="50" t="s">
        <v>2916</v>
      </c>
      <c r="AI236" s="131"/>
    </row>
    <row r="237" spans="1:42">
      <c r="A237" s="151" t="s">
        <v>5469</v>
      </c>
      <c r="B237" s="84">
        <v>22</v>
      </c>
      <c r="C237" s="84">
        <v>3</v>
      </c>
      <c r="D237" s="84">
        <v>4</v>
      </c>
      <c r="E237" s="85">
        <v>-28</v>
      </c>
      <c r="F237" s="7">
        <v>3.37</v>
      </c>
      <c r="G237" s="85">
        <v>2732</v>
      </c>
      <c r="H237" s="5" t="s">
        <v>552</v>
      </c>
      <c r="I237" s="17" t="s">
        <v>144</v>
      </c>
      <c r="J237" s="371">
        <v>40.130000000000003</v>
      </c>
      <c r="K237" s="77">
        <v>7.42</v>
      </c>
      <c r="L237" s="371">
        <v>4.3</v>
      </c>
      <c r="N237" s="365">
        <f t="shared" si="375"/>
        <v>51.85</v>
      </c>
      <c r="P237" s="195">
        <v>5</v>
      </c>
      <c r="Q237" s="326" t="str">
        <f>IFERROR(VLOOKUP($G237,主力整理!$A$2:$G$2301,6,0),"0")</f>
        <v>0</v>
      </c>
      <c r="R237" s="111">
        <v>6</v>
      </c>
      <c r="S237" s="51">
        <v>7</v>
      </c>
      <c r="T237" s="339">
        <f t="shared" si="343"/>
        <v>18</v>
      </c>
      <c r="V237" s="371">
        <v>8.35</v>
      </c>
      <c r="W237" s="35">
        <v>2.98</v>
      </c>
      <c r="X237" s="100">
        <v>3.47</v>
      </c>
      <c r="Y237" s="37">
        <v>100</v>
      </c>
      <c r="Z237" s="69">
        <v>99.2</v>
      </c>
      <c r="AA237" s="16">
        <f t="shared" si="376"/>
        <v>0.79999999999999716</v>
      </c>
      <c r="AB237" s="66">
        <f t="shared" si="377"/>
        <v>8.0645161290322284E-3</v>
      </c>
      <c r="AC237" s="107" t="s">
        <v>5590</v>
      </c>
      <c r="AD237" s="17" t="s">
        <v>144</v>
      </c>
      <c r="AE237" s="89">
        <v>44449</v>
      </c>
      <c r="AF237" s="88">
        <v>44452</v>
      </c>
      <c r="AG237" s="34">
        <f t="shared" si="378"/>
        <v>3</v>
      </c>
      <c r="AH237" s="125" t="s">
        <v>4559</v>
      </c>
      <c r="AI237" s="131"/>
    </row>
    <row r="238" spans="1:42">
      <c r="A238" s="151" t="s">
        <v>5469</v>
      </c>
      <c r="B238" s="84">
        <v>812</v>
      </c>
      <c r="C238" s="84">
        <v>118</v>
      </c>
      <c r="D238" s="85">
        <v>-1</v>
      </c>
      <c r="E238" s="85">
        <v>-27</v>
      </c>
      <c r="F238" s="7">
        <v>3.96</v>
      </c>
      <c r="G238" s="85">
        <v>2732</v>
      </c>
      <c r="H238" s="5" t="s">
        <v>552</v>
      </c>
      <c r="I238" s="17" t="s">
        <v>144</v>
      </c>
      <c r="J238" s="371">
        <v>55.76</v>
      </c>
      <c r="K238" s="77">
        <v>12.78</v>
      </c>
      <c r="L238" s="371">
        <v>22.85</v>
      </c>
      <c r="N238" s="365">
        <f t="shared" si="375"/>
        <v>91.389999999999986</v>
      </c>
      <c r="P238" s="232"/>
      <c r="Q238" s="326" t="str">
        <f>IFERROR(VLOOKUP($G238,主力整理!$A$2:$G$2301,6,0),"0")</f>
        <v>0</v>
      </c>
      <c r="R238" s="111">
        <v>6</v>
      </c>
      <c r="S238" s="51">
        <v>7</v>
      </c>
      <c r="T238" s="339">
        <f t="shared" si="343"/>
        <v>13</v>
      </c>
      <c r="V238" s="371">
        <v>4.62</v>
      </c>
      <c r="W238" s="35">
        <v>2.98</v>
      </c>
      <c r="X238" s="59">
        <v>3.45</v>
      </c>
      <c r="Y238" s="37">
        <v>100</v>
      </c>
      <c r="Z238" s="46">
        <v>102</v>
      </c>
      <c r="AA238" s="16">
        <f t="shared" si="376"/>
        <v>-2</v>
      </c>
      <c r="AB238" s="80">
        <f t="shared" si="377"/>
        <v>-1.9607843137254902E-2</v>
      </c>
      <c r="AC238" s="107" t="s">
        <v>5470</v>
      </c>
      <c r="AD238" s="17" t="s">
        <v>144</v>
      </c>
      <c r="AE238" s="89">
        <v>44420</v>
      </c>
      <c r="AF238" s="88">
        <v>44452</v>
      </c>
      <c r="AG238" s="34">
        <f t="shared" si="378"/>
        <v>32</v>
      </c>
      <c r="AH238" s="125" t="s">
        <v>4559</v>
      </c>
      <c r="AI238" s="131"/>
    </row>
    <row r="239" spans="1:42">
      <c r="A239" s="151" t="s">
        <v>2580</v>
      </c>
      <c r="B239" s="85">
        <v>-12</v>
      </c>
      <c r="C239" s="85">
        <v>-9</v>
      </c>
      <c r="D239" s="84">
        <v>8</v>
      </c>
      <c r="E239" s="85">
        <v>-3</v>
      </c>
      <c r="F239" s="7">
        <v>8.93</v>
      </c>
      <c r="G239" s="85">
        <v>3324</v>
      </c>
      <c r="H239" s="9" t="s">
        <v>5322</v>
      </c>
      <c r="I239" s="17" t="s">
        <v>414</v>
      </c>
      <c r="J239" s="371">
        <v>24.38</v>
      </c>
      <c r="K239" s="77">
        <v>8.94</v>
      </c>
      <c r="L239" s="77">
        <v>38.840000000000003</v>
      </c>
      <c r="N239" s="365">
        <f t="shared" si="375"/>
        <v>72.16</v>
      </c>
      <c r="P239" s="195">
        <v>13</v>
      </c>
      <c r="Q239" s="326">
        <f>IFERROR(VLOOKUP($G239,主力整理!$A$2:$G$2301,6,0),"0")</f>
        <v>1</v>
      </c>
      <c r="R239" s="111">
        <v>3</v>
      </c>
      <c r="S239" s="51">
        <v>14</v>
      </c>
      <c r="T239" s="339">
        <f t="shared" si="343"/>
        <v>31</v>
      </c>
      <c r="V239" s="371">
        <v>1.36</v>
      </c>
      <c r="W239" s="69">
        <v>5.6</v>
      </c>
      <c r="X239" s="100">
        <v>12.07</v>
      </c>
      <c r="Y239" s="37">
        <v>169</v>
      </c>
      <c r="Z239" s="46">
        <v>186.5</v>
      </c>
      <c r="AA239" s="16">
        <f t="shared" si="376"/>
        <v>-17.5</v>
      </c>
      <c r="AB239" s="80">
        <f t="shared" si="377"/>
        <v>-9.3833780160857902E-2</v>
      </c>
      <c r="AC239" s="107" t="s">
        <v>5555</v>
      </c>
      <c r="AD239" s="17" t="s">
        <v>414</v>
      </c>
      <c r="AE239" s="89">
        <v>44440</v>
      </c>
      <c r="AF239" s="88">
        <v>44452</v>
      </c>
      <c r="AG239" s="34">
        <f t="shared" si="378"/>
        <v>12</v>
      </c>
      <c r="AH239" s="44" t="s">
        <v>4550</v>
      </c>
      <c r="AI239" s="131"/>
    </row>
    <row r="240" spans="1:42">
      <c r="A240" s="151" t="s">
        <v>2580</v>
      </c>
      <c r="B240" s="85">
        <v>-12</v>
      </c>
      <c r="C240" s="85">
        <v>-9</v>
      </c>
      <c r="D240" s="84">
        <v>8</v>
      </c>
      <c r="E240" s="85">
        <v>-3</v>
      </c>
      <c r="F240" s="7">
        <v>8.93</v>
      </c>
      <c r="G240" s="85">
        <v>3324</v>
      </c>
      <c r="H240" s="9" t="s">
        <v>5322</v>
      </c>
      <c r="I240" s="17" t="s">
        <v>414</v>
      </c>
      <c r="J240" s="371">
        <v>25.67</v>
      </c>
      <c r="K240" s="371">
        <v>8.4600000000000009</v>
      </c>
      <c r="L240" s="77">
        <v>38.020000000000003</v>
      </c>
      <c r="N240" s="365">
        <f t="shared" si="375"/>
        <v>72.150000000000006</v>
      </c>
      <c r="P240" s="232"/>
      <c r="Q240" s="326">
        <f>IFERROR(VLOOKUP($G240,主力整理!$A$2:$G$2301,6,0),"0")</f>
        <v>1</v>
      </c>
      <c r="R240" s="111">
        <v>3</v>
      </c>
      <c r="S240" s="51">
        <v>13</v>
      </c>
      <c r="T240" s="339">
        <f t="shared" si="343"/>
        <v>17</v>
      </c>
      <c r="V240" s="371">
        <v>1.77</v>
      </c>
      <c r="W240" s="69">
        <v>5.6</v>
      </c>
      <c r="X240" s="100">
        <v>12.06</v>
      </c>
      <c r="Y240" s="37">
        <v>169</v>
      </c>
      <c r="Z240" s="46">
        <v>173</v>
      </c>
      <c r="AA240" s="16">
        <f t="shared" si="376"/>
        <v>-4</v>
      </c>
      <c r="AB240" s="80">
        <f t="shared" si="377"/>
        <v>-2.3121387283236993E-2</v>
      </c>
      <c r="AC240" s="107" t="s">
        <v>5530</v>
      </c>
      <c r="AD240" s="17" t="s">
        <v>414</v>
      </c>
      <c r="AE240" s="89">
        <v>44433</v>
      </c>
      <c r="AF240" s="88">
        <v>44452</v>
      </c>
      <c r="AG240" s="34">
        <f t="shared" si="378"/>
        <v>19</v>
      </c>
      <c r="AH240" s="44" t="s">
        <v>4550</v>
      </c>
      <c r="AI240" s="131"/>
    </row>
    <row r="241" spans="1:35">
      <c r="A241" s="135" t="s">
        <v>2408</v>
      </c>
      <c r="B241" s="84">
        <v>87</v>
      </c>
      <c r="C241" s="84">
        <v>73</v>
      </c>
      <c r="D241" s="85">
        <v>-5</v>
      </c>
      <c r="E241" s="84">
        <v>28</v>
      </c>
      <c r="F241" s="59">
        <v>33.82</v>
      </c>
      <c r="G241" s="85">
        <v>1590</v>
      </c>
      <c r="H241" s="213" t="s">
        <v>544</v>
      </c>
      <c r="I241" s="23" t="s">
        <v>244</v>
      </c>
      <c r="J241" s="371">
        <v>55.72</v>
      </c>
      <c r="K241" s="371">
        <v>76.680000000000007</v>
      </c>
      <c r="L241" s="77">
        <v>0.99</v>
      </c>
      <c r="N241" s="365">
        <f t="shared" si="375"/>
        <v>133.39000000000001</v>
      </c>
      <c r="P241" s="195">
        <v>12</v>
      </c>
      <c r="Q241" s="326">
        <f>IFERROR(VLOOKUP($G241,主力整理!$A$2:$G$2301,6,0),"0")</f>
        <v>1</v>
      </c>
      <c r="R241" s="111">
        <v>5</v>
      </c>
      <c r="S241" s="51">
        <v>6</v>
      </c>
      <c r="T241" s="339">
        <f t="shared" si="343"/>
        <v>24</v>
      </c>
      <c r="V241" s="371">
        <v>8.15</v>
      </c>
      <c r="W241" s="69">
        <v>9.06</v>
      </c>
      <c r="X241" s="59">
        <v>25.63</v>
      </c>
      <c r="Y241" s="160">
        <v>924</v>
      </c>
      <c r="Z241" s="69">
        <v>876</v>
      </c>
      <c r="AA241" s="146">
        <f t="shared" si="376"/>
        <v>48</v>
      </c>
      <c r="AB241" s="66">
        <f t="shared" si="377"/>
        <v>5.4794520547945202E-2</v>
      </c>
      <c r="AC241" s="105" t="s">
        <v>5557</v>
      </c>
      <c r="AD241" s="23" t="s">
        <v>244</v>
      </c>
      <c r="AE241" s="89">
        <v>44440</v>
      </c>
      <c r="AF241" s="88">
        <v>44448</v>
      </c>
      <c r="AG241" s="34">
        <f t="shared" si="378"/>
        <v>8</v>
      </c>
      <c r="AH241" s="126" t="s">
        <v>3995</v>
      </c>
      <c r="AI241" s="131"/>
    </row>
    <row r="242" spans="1:35">
      <c r="A242" s="135" t="s">
        <v>2530</v>
      </c>
      <c r="B242" s="85">
        <v>-20</v>
      </c>
      <c r="C242" s="85">
        <v>-11</v>
      </c>
      <c r="D242" s="85">
        <v>-8</v>
      </c>
      <c r="E242" s="85">
        <v>-26</v>
      </c>
      <c r="F242" s="59">
        <v>30.55</v>
      </c>
      <c r="G242" s="85">
        <v>6643</v>
      </c>
      <c r="H242" s="212" t="s">
        <v>558</v>
      </c>
      <c r="I242" s="17" t="s">
        <v>2366</v>
      </c>
      <c r="J242" s="77">
        <v>40.68</v>
      </c>
      <c r="K242" s="77">
        <v>9.73</v>
      </c>
      <c r="L242" s="77">
        <v>23.92</v>
      </c>
      <c r="N242" s="365">
        <f t="shared" si="375"/>
        <v>74.33</v>
      </c>
      <c r="P242" s="195">
        <v>4</v>
      </c>
      <c r="Q242" s="326">
        <f>IFERROR(VLOOKUP($G242,主力整理!$A$2:$G$2301,6,0),"0")</f>
        <v>1</v>
      </c>
      <c r="R242" s="111">
        <v>9</v>
      </c>
      <c r="S242" s="51">
        <v>5</v>
      </c>
      <c r="T242" s="339">
        <f t="shared" si="343"/>
        <v>19</v>
      </c>
      <c r="V242" s="371">
        <v>0.16</v>
      </c>
      <c r="W242" s="69">
        <v>8</v>
      </c>
      <c r="X242" s="100">
        <v>9.52</v>
      </c>
      <c r="Y242" s="37">
        <v>395.5</v>
      </c>
      <c r="Z242" s="46">
        <v>369.5</v>
      </c>
      <c r="AA242" s="16">
        <f t="shared" si="376"/>
        <v>26</v>
      </c>
      <c r="AB242" s="66">
        <f t="shared" si="377"/>
        <v>7.0365358592692828E-2</v>
      </c>
      <c r="AC242" s="107" t="s">
        <v>5563</v>
      </c>
      <c r="AD242" s="17" t="s">
        <v>2366</v>
      </c>
      <c r="AE242" s="89">
        <v>44441</v>
      </c>
      <c r="AF242" s="88">
        <v>44446</v>
      </c>
      <c r="AG242" s="34">
        <f t="shared" si="378"/>
        <v>5</v>
      </c>
      <c r="AH242" s="126" t="s">
        <v>4548</v>
      </c>
      <c r="AI242" s="131"/>
    </row>
    <row r="243" spans="1:35">
      <c r="A243" s="135" t="s">
        <v>2466</v>
      </c>
      <c r="B243" s="84">
        <v>155</v>
      </c>
      <c r="C243" s="84">
        <v>158</v>
      </c>
      <c r="D243" s="85">
        <v>-6</v>
      </c>
      <c r="E243" s="84">
        <v>4</v>
      </c>
      <c r="F243" s="59">
        <v>10.77</v>
      </c>
      <c r="G243" s="85">
        <v>2377</v>
      </c>
      <c r="H243" s="212" t="s">
        <v>561</v>
      </c>
      <c r="I243" s="23" t="s">
        <v>45</v>
      </c>
      <c r="J243" s="77">
        <v>70.97</v>
      </c>
      <c r="K243" s="77">
        <v>48.31</v>
      </c>
      <c r="L243" s="371">
        <v>2.5</v>
      </c>
      <c r="N243" s="365">
        <f t="shared" ref="N243:N275" si="379">K243+J243+L243</f>
        <v>121.78</v>
      </c>
      <c r="P243" s="195">
        <v>16</v>
      </c>
      <c r="Q243" s="326">
        <f>IFERROR(VLOOKUP($G243,主力整理!$A$2:$G$2301,6,0),"0")</f>
        <v>7</v>
      </c>
      <c r="R243" s="111">
        <v>1</v>
      </c>
      <c r="S243" s="51">
        <v>20</v>
      </c>
      <c r="T243" s="339">
        <f t="shared" si="343"/>
        <v>44</v>
      </c>
      <c r="V243" s="371">
        <v>1.71</v>
      </c>
      <c r="W243" s="69">
        <v>6.1</v>
      </c>
      <c r="X243" s="59">
        <v>15.6</v>
      </c>
      <c r="Y243" s="14">
        <v>136.5</v>
      </c>
      <c r="Z243" s="69">
        <v>133.5</v>
      </c>
      <c r="AA243" s="16">
        <f t="shared" ref="AA243:AA275" si="380">Y243-Z243</f>
        <v>3</v>
      </c>
      <c r="AB243" s="66">
        <f t="shared" ref="AB243:AB275" si="381">AA243/Z243</f>
        <v>2.247191011235955E-2</v>
      </c>
      <c r="AC243" s="105" t="s">
        <v>5560</v>
      </c>
      <c r="AD243" s="23" t="s">
        <v>45</v>
      </c>
      <c r="AE243" s="89">
        <v>44441</v>
      </c>
      <c r="AF243" s="88">
        <v>44445</v>
      </c>
      <c r="AG243" s="34">
        <f t="shared" ref="AG243:AG275" si="382">AF243-AE243</f>
        <v>4</v>
      </c>
      <c r="AH243" s="63" t="s">
        <v>4264</v>
      </c>
      <c r="AI243" s="131"/>
    </row>
    <row r="244" spans="1:35">
      <c r="A244" s="135" t="s">
        <v>3064</v>
      </c>
      <c r="B244" s="84">
        <v>2</v>
      </c>
      <c r="C244" s="85">
        <v>-1</v>
      </c>
      <c r="D244" s="84">
        <v>0</v>
      </c>
      <c r="E244" s="85">
        <v>-34</v>
      </c>
      <c r="F244" s="59">
        <v>14.36</v>
      </c>
      <c r="G244" s="85">
        <v>3376</v>
      </c>
      <c r="H244" s="5" t="s">
        <v>5404</v>
      </c>
      <c r="I244" s="23" t="s">
        <v>117</v>
      </c>
      <c r="J244" s="77">
        <v>53.26</v>
      </c>
      <c r="K244" s="77">
        <v>20.6</v>
      </c>
      <c r="L244" s="371">
        <v>12.6</v>
      </c>
      <c r="N244" s="365">
        <f t="shared" si="379"/>
        <v>86.46</v>
      </c>
      <c r="P244" s="195">
        <v>6</v>
      </c>
      <c r="Q244" s="326" t="str">
        <f>IFERROR(VLOOKUP($G244,主力整理!$A$2:$G$2301,6,0),"0")</f>
        <v>0</v>
      </c>
      <c r="R244" s="111">
        <v>3</v>
      </c>
      <c r="S244" s="51">
        <v>10</v>
      </c>
      <c r="T244" s="339">
        <f t="shared" si="343"/>
        <v>19</v>
      </c>
      <c r="V244" s="371">
        <v>1.37</v>
      </c>
      <c r="W244" s="69">
        <v>6.98</v>
      </c>
      <c r="X244" s="59">
        <v>8.9600000000000009</v>
      </c>
      <c r="Y244" s="37">
        <v>106</v>
      </c>
      <c r="Z244" s="69">
        <v>108</v>
      </c>
      <c r="AA244" s="16">
        <f t="shared" si="380"/>
        <v>-2</v>
      </c>
      <c r="AB244" s="80">
        <f t="shared" si="381"/>
        <v>-1.8518518518518517E-2</v>
      </c>
      <c r="AC244" s="105" t="s">
        <v>5476</v>
      </c>
      <c r="AD244" s="23" t="s">
        <v>117</v>
      </c>
      <c r="AE244" s="89">
        <v>44440</v>
      </c>
      <c r="AF244" s="88">
        <v>44441</v>
      </c>
      <c r="AG244" s="34">
        <f t="shared" si="382"/>
        <v>1</v>
      </c>
      <c r="AH244" s="126" t="s">
        <v>3806</v>
      </c>
      <c r="AI244" s="131"/>
    </row>
    <row r="245" spans="1:35">
      <c r="A245" s="135" t="s">
        <v>3154</v>
      </c>
      <c r="B245" s="84">
        <v>72</v>
      </c>
      <c r="C245" s="84">
        <v>99</v>
      </c>
      <c r="D245" s="84">
        <v>4</v>
      </c>
      <c r="E245" s="84">
        <v>62</v>
      </c>
      <c r="F245" s="59">
        <v>25</v>
      </c>
      <c r="G245" s="85">
        <v>2408</v>
      </c>
      <c r="H245" s="19" t="s">
        <v>558</v>
      </c>
      <c r="I245" s="23" t="s">
        <v>383</v>
      </c>
      <c r="J245" s="77">
        <v>81.819999999999993</v>
      </c>
      <c r="K245" s="371">
        <v>18.440000000000001</v>
      </c>
      <c r="L245" s="371">
        <v>3.43</v>
      </c>
      <c r="N245" s="365">
        <f t="shared" si="379"/>
        <v>103.69</v>
      </c>
      <c r="P245" s="195"/>
      <c r="Q245" s="326">
        <f>IFERROR(VLOOKUP($G245,主力整理!$A$2:$G$2301,6,0),"0")</f>
        <v>8</v>
      </c>
      <c r="R245" s="111">
        <v>1</v>
      </c>
      <c r="S245" s="51">
        <v>15</v>
      </c>
      <c r="T245" s="339">
        <f t="shared" si="343"/>
        <v>24</v>
      </c>
      <c r="V245" s="371">
        <v>5.86</v>
      </c>
      <c r="W245" s="35">
        <v>1.3</v>
      </c>
      <c r="X245" s="59">
        <v>3.71</v>
      </c>
      <c r="Y245" s="37">
        <v>66.2</v>
      </c>
      <c r="Z245" s="69">
        <v>66.8</v>
      </c>
      <c r="AA245" s="16">
        <f t="shared" si="380"/>
        <v>-0.59999999999999432</v>
      </c>
      <c r="AB245" s="80">
        <f t="shared" si="381"/>
        <v>-8.9820359281436273E-3</v>
      </c>
      <c r="AC245" s="107" t="s">
        <v>5522</v>
      </c>
      <c r="AD245" s="23" t="s">
        <v>383</v>
      </c>
      <c r="AE245" s="89">
        <v>44431</v>
      </c>
      <c r="AF245" s="88">
        <v>44441</v>
      </c>
      <c r="AG245" s="34">
        <f t="shared" si="382"/>
        <v>10</v>
      </c>
      <c r="AH245" s="126" t="s">
        <v>4026</v>
      </c>
      <c r="AI245" s="131"/>
    </row>
    <row r="246" spans="1:35">
      <c r="A246" s="135" t="s">
        <v>2537</v>
      </c>
      <c r="B246" s="84">
        <v>28</v>
      </c>
      <c r="C246" s="84">
        <v>52</v>
      </c>
      <c r="D246" s="84">
        <v>7</v>
      </c>
      <c r="E246" s="84">
        <v>42</v>
      </c>
      <c r="F246" s="59">
        <v>15.18</v>
      </c>
      <c r="G246" s="84">
        <v>8299</v>
      </c>
      <c r="H246" s="213" t="s">
        <v>558</v>
      </c>
      <c r="I246" s="17" t="s">
        <v>405</v>
      </c>
      <c r="J246" s="371">
        <v>36.619999999999997</v>
      </c>
      <c r="K246" s="371">
        <v>51</v>
      </c>
      <c r="L246" s="371">
        <v>12.71</v>
      </c>
      <c r="N246" s="365">
        <f t="shared" si="379"/>
        <v>100.33000000000001</v>
      </c>
      <c r="P246" s="195"/>
      <c r="Q246" s="326">
        <f>IFERROR(VLOOKUP($G246,主力整理!$A$2:$G$2301,6,0),"0")</f>
        <v>1</v>
      </c>
      <c r="R246" s="111">
        <v>6</v>
      </c>
      <c r="S246" s="51">
        <v>21</v>
      </c>
      <c r="T246" s="339">
        <f t="shared" si="343"/>
        <v>28</v>
      </c>
      <c r="V246" s="371">
        <v>11.36</v>
      </c>
      <c r="W246" s="46">
        <v>10</v>
      </c>
      <c r="X246" s="100">
        <v>48.56</v>
      </c>
      <c r="Y246" s="14">
        <v>424</v>
      </c>
      <c r="Z246" s="69">
        <v>443</v>
      </c>
      <c r="AA246" s="16">
        <f t="shared" si="380"/>
        <v>-19</v>
      </c>
      <c r="AB246" s="80">
        <f t="shared" si="381"/>
        <v>-4.2889390519187359E-2</v>
      </c>
      <c r="AC246" s="107" t="s">
        <v>5478</v>
      </c>
      <c r="AD246" s="17" t="s">
        <v>405</v>
      </c>
      <c r="AE246" s="89">
        <v>44426</v>
      </c>
      <c r="AF246" s="88">
        <v>44441</v>
      </c>
      <c r="AG246" s="34">
        <f t="shared" si="382"/>
        <v>15</v>
      </c>
      <c r="AH246" s="126" t="s">
        <v>3400</v>
      </c>
      <c r="AI246" s="131"/>
    </row>
    <row r="247" spans="1:35">
      <c r="A247" s="151" t="s">
        <v>2538</v>
      </c>
      <c r="B247" s="85">
        <v>-60</v>
      </c>
      <c r="C247" s="85">
        <v>-70</v>
      </c>
      <c r="D247" s="84">
        <v>45</v>
      </c>
      <c r="E247" s="85">
        <v>5</v>
      </c>
      <c r="F247" s="7">
        <v>8.93</v>
      </c>
      <c r="G247" s="85">
        <v>3406</v>
      </c>
      <c r="H247" s="9" t="s">
        <v>2910</v>
      </c>
      <c r="I247" s="23" t="s">
        <v>93</v>
      </c>
      <c r="J247" s="371">
        <v>41.11</v>
      </c>
      <c r="K247" s="371">
        <v>32.64</v>
      </c>
      <c r="L247" s="371">
        <v>28.18</v>
      </c>
      <c r="N247" s="365">
        <f t="shared" si="379"/>
        <v>101.93</v>
      </c>
      <c r="P247" s="232"/>
      <c r="Q247" s="326">
        <f>IFERROR(VLOOKUP($G247,主力整理!$A$2:$G$2301,6,0),"0")</f>
        <v>1</v>
      </c>
      <c r="R247" s="111">
        <v>5</v>
      </c>
      <c r="S247" s="51">
        <v>21</v>
      </c>
      <c r="T247" s="339">
        <f t="shared" si="343"/>
        <v>27</v>
      </c>
      <c r="V247" s="371">
        <v>6.36</v>
      </c>
      <c r="W247" s="69">
        <v>9.99</v>
      </c>
      <c r="X247" s="100">
        <v>21.93</v>
      </c>
      <c r="Y247" s="37">
        <v>516</v>
      </c>
      <c r="Z247" s="46">
        <v>486</v>
      </c>
      <c r="AA247" s="16">
        <f t="shared" si="380"/>
        <v>30</v>
      </c>
      <c r="AB247" s="66">
        <f t="shared" si="381"/>
        <v>6.1728395061728392E-2</v>
      </c>
      <c r="AC247" s="107" t="s">
        <v>5487</v>
      </c>
      <c r="AD247" s="23" t="s">
        <v>93</v>
      </c>
      <c r="AE247" s="89">
        <v>44426</v>
      </c>
      <c r="AF247" s="88">
        <v>44441</v>
      </c>
      <c r="AG247" s="34">
        <f t="shared" si="382"/>
        <v>15</v>
      </c>
      <c r="AH247" s="125" t="s">
        <v>4061</v>
      </c>
      <c r="AI247" s="131"/>
    </row>
    <row r="248" spans="1:35">
      <c r="A248" s="135" t="s">
        <v>2733</v>
      </c>
      <c r="B248" s="85">
        <v>-13</v>
      </c>
      <c r="C248" s="85">
        <v>-8</v>
      </c>
      <c r="D248" s="85">
        <v>-1</v>
      </c>
      <c r="E248" s="84">
        <v>18</v>
      </c>
      <c r="F248" s="59">
        <v>14.2</v>
      </c>
      <c r="G248" s="85">
        <v>1342</v>
      </c>
      <c r="H248" s="5" t="s">
        <v>3057</v>
      </c>
      <c r="I248" s="23" t="s">
        <v>3319</v>
      </c>
      <c r="J248" s="371">
        <v>80.02</v>
      </c>
      <c r="K248" s="77">
        <v>53.49</v>
      </c>
      <c r="L248" s="371">
        <v>0.38</v>
      </c>
      <c r="N248" s="365">
        <f t="shared" si="379"/>
        <v>133.88999999999999</v>
      </c>
      <c r="P248" s="232"/>
      <c r="Q248" s="326" t="str">
        <f>IFERROR(VLOOKUP($G248,主力整理!$A$2:$G$2301,6,0),"0")</f>
        <v>0</v>
      </c>
      <c r="R248" s="111">
        <v>0</v>
      </c>
      <c r="S248" s="51">
        <v>0</v>
      </c>
      <c r="T248" s="339">
        <f t="shared" si="343"/>
        <v>0</v>
      </c>
      <c r="V248" s="371">
        <v>0</v>
      </c>
      <c r="W248" s="35">
        <v>2.5</v>
      </c>
      <c r="X248" s="59">
        <v>2.97</v>
      </c>
      <c r="Y248" s="14">
        <v>52</v>
      </c>
      <c r="Z248" s="69">
        <v>52.2</v>
      </c>
      <c r="AA248" s="16">
        <f t="shared" si="380"/>
        <v>-0.20000000000000284</v>
      </c>
      <c r="AB248" s="80">
        <f t="shared" si="381"/>
        <v>-3.8314176245211272E-3</v>
      </c>
      <c r="AC248" s="107" t="s">
        <v>5314</v>
      </c>
      <c r="AD248" s="23" t="s">
        <v>3319</v>
      </c>
      <c r="AE248" s="89">
        <v>44362</v>
      </c>
      <c r="AF248" s="88">
        <v>44435</v>
      </c>
      <c r="AG248" s="34">
        <f t="shared" si="382"/>
        <v>73</v>
      </c>
      <c r="AH248" s="63" t="s">
        <v>4326</v>
      </c>
      <c r="AI248" s="131"/>
    </row>
    <row r="249" spans="1:35">
      <c r="A249" s="135" t="s">
        <v>3144</v>
      </c>
      <c r="B249" s="98">
        <v>1523</v>
      </c>
      <c r="C249" s="98">
        <v>5275</v>
      </c>
      <c r="D249" s="84">
        <v>0</v>
      </c>
      <c r="E249" s="84">
        <v>29</v>
      </c>
      <c r="F249" s="59">
        <v>17.739999999999998</v>
      </c>
      <c r="G249" s="84">
        <v>2031</v>
      </c>
      <c r="H249" s="5" t="s">
        <v>4989</v>
      </c>
      <c r="I249" s="23" t="s">
        <v>523</v>
      </c>
      <c r="J249" s="371">
        <v>45.41</v>
      </c>
      <c r="K249" s="77">
        <v>9.85</v>
      </c>
      <c r="L249" s="371">
        <v>24.93</v>
      </c>
      <c r="N249" s="365">
        <f t="shared" si="379"/>
        <v>80.19</v>
      </c>
      <c r="P249" s="232"/>
      <c r="Q249" s="326">
        <f>IFERROR(VLOOKUP($G249,主力整理!$A$2:$G$2301,6,0),"0")</f>
        <v>1</v>
      </c>
      <c r="R249" s="111">
        <v>9</v>
      </c>
      <c r="S249" s="51">
        <v>11</v>
      </c>
      <c r="T249" s="339">
        <f t="shared" si="343"/>
        <v>21</v>
      </c>
      <c r="V249" s="371">
        <v>2.56</v>
      </c>
      <c r="W249" s="35">
        <v>1.92</v>
      </c>
      <c r="X249" s="100">
        <v>7.44</v>
      </c>
      <c r="Y249" s="37">
        <v>69</v>
      </c>
      <c r="Z249" s="46">
        <v>65.8</v>
      </c>
      <c r="AA249" s="16">
        <f t="shared" si="380"/>
        <v>3.2000000000000028</v>
      </c>
      <c r="AB249" s="66">
        <f t="shared" si="381"/>
        <v>4.8632218844984851E-2</v>
      </c>
      <c r="AC249" s="107" t="s">
        <v>5518</v>
      </c>
      <c r="AD249" s="23" t="s">
        <v>523</v>
      </c>
      <c r="AE249" s="89">
        <v>44431</v>
      </c>
      <c r="AF249" s="88">
        <v>44434</v>
      </c>
      <c r="AG249" s="34">
        <f t="shared" si="382"/>
        <v>3</v>
      </c>
      <c r="AH249" s="63" t="s">
        <v>3343</v>
      </c>
      <c r="AI249" s="131"/>
    </row>
    <row r="250" spans="1:35">
      <c r="A250" s="135" t="s">
        <v>3064</v>
      </c>
      <c r="B250" s="84">
        <v>2</v>
      </c>
      <c r="C250" s="85">
        <v>-1</v>
      </c>
      <c r="D250" s="84">
        <v>0</v>
      </c>
      <c r="E250" s="85">
        <v>-34</v>
      </c>
      <c r="F250" s="59">
        <v>14.36</v>
      </c>
      <c r="G250" s="85">
        <v>3376</v>
      </c>
      <c r="H250" s="5" t="s">
        <v>559</v>
      </c>
      <c r="I250" s="23" t="s">
        <v>117</v>
      </c>
      <c r="J250" s="77">
        <v>52.23</v>
      </c>
      <c r="K250" s="77">
        <v>20.76</v>
      </c>
      <c r="L250" s="371">
        <v>12.29</v>
      </c>
      <c r="N250" s="365">
        <f t="shared" si="379"/>
        <v>85.28</v>
      </c>
      <c r="P250" s="232"/>
      <c r="Q250" s="326" t="str">
        <f>IFERROR(VLOOKUP($G250,主力整理!$A$2:$G$2301,6,0),"0")</f>
        <v>0</v>
      </c>
      <c r="R250" s="111">
        <v>3</v>
      </c>
      <c r="S250" s="51">
        <v>11</v>
      </c>
      <c r="T250" s="339">
        <f t="shared" si="343"/>
        <v>14</v>
      </c>
      <c r="V250" s="371">
        <v>0.98</v>
      </c>
      <c r="W250" s="69">
        <v>6.98</v>
      </c>
      <c r="X250" s="59">
        <v>8.9600000000000009</v>
      </c>
      <c r="Y250" s="37">
        <v>103.5</v>
      </c>
      <c r="Z250" s="69">
        <v>101.5</v>
      </c>
      <c r="AA250" s="16">
        <f t="shared" si="380"/>
        <v>2</v>
      </c>
      <c r="AB250" s="66">
        <f t="shared" si="381"/>
        <v>1.9704433497536946E-2</v>
      </c>
      <c r="AC250" s="105" t="s">
        <v>5476</v>
      </c>
      <c r="AD250" s="23" t="s">
        <v>117</v>
      </c>
      <c r="AE250" s="89">
        <v>44425</v>
      </c>
      <c r="AF250" s="88">
        <v>44434</v>
      </c>
      <c r="AG250" s="34">
        <f t="shared" si="382"/>
        <v>9</v>
      </c>
      <c r="AH250" s="126" t="s">
        <v>3806</v>
      </c>
      <c r="AI250" s="131"/>
    </row>
    <row r="251" spans="1:35">
      <c r="A251" s="135" t="s">
        <v>3064</v>
      </c>
      <c r="B251" s="84">
        <v>14</v>
      </c>
      <c r="C251" s="84">
        <v>84</v>
      </c>
      <c r="D251" s="85">
        <v>-7</v>
      </c>
      <c r="E251" s="85">
        <v>-32</v>
      </c>
      <c r="F251" s="59">
        <v>14.64</v>
      </c>
      <c r="G251" s="85">
        <v>3376</v>
      </c>
      <c r="H251" s="5" t="s">
        <v>559</v>
      </c>
      <c r="I251" s="23" t="s">
        <v>117</v>
      </c>
      <c r="J251" s="77">
        <v>51.75</v>
      </c>
      <c r="K251" s="371">
        <v>21.34</v>
      </c>
      <c r="L251" s="371">
        <v>12.29</v>
      </c>
      <c r="N251" s="365">
        <f t="shared" si="379"/>
        <v>85.38</v>
      </c>
      <c r="P251" s="232"/>
      <c r="Q251" s="326" t="str">
        <f>IFERROR(VLOOKUP($G251,主力整理!$A$2:$G$2301,6,0),"0")</f>
        <v>0</v>
      </c>
      <c r="R251" s="111">
        <v>3</v>
      </c>
      <c r="S251" s="51">
        <v>11</v>
      </c>
      <c r="T251" s="339">
        <f t="shared" si="343"/>
        <v>14</v>
      </c>
      <c r="V251" s="371">
        <v>0.39</v>
      </c>
      <c r="W251" s="69">
        <v>6.98</v>
      </c>
      <c r="X251" s="59">
        <v>9.1999999999999993</v>
      </c>
      <c r="Y251" s="37">
        <v>103.5</v>
      </c>
      <c r="Z251" s="69">
        <v>105</v>
      </c>
      <c r="AA251" s="16">
        <f t="shared" si="380"/>
        <v>-1.5</v>
      </c>
      <c r="AB251" s="80">
        <f t="shared" si="381"/>
        <v>-1.4285714285714285E-2</v>
      </c>
      <c r="AC251" s="105" t="s">
        <v>5359</v>
      </c>
      <c r="AD251" s="23" t="s">
        <v>117</v>
      </c>
      <c r="AE251" s="89">
        <v>44417</v>
      </c>
      <c r="AF251" s="88">
        <v>44434</v>
      </c>
      <c r="AG251" s="34">
        <f t="shared" si="382"/>
        <v>17</v>
      </c>
      <c r="AH251" s="126" t="s">
        <v>3806</v>
      </c>
      <c r="AI251" s="131"/>
    </row>
    <row r="252" spans="1:35">
      <c r="A252" s="135" t="s">
        <v>3064</v>
      </c>
      <c r="B252" s="84">
        <v>14</v>
      </c>
      <c r="C252" s="84">
        <v>84</v>
      </c>
      <c r="D252" s="85">
        <v>-17</v>
      </c>
      <c r="E252" s="85">
        <v>-32</v>
      </c>
      <c r="F252" s="59">
        <v>14.64</v>
      </c>
      <c r="G252" s="85">
        <v>3376</v>
      </c>
      <c r="H252" s="5" t="s">
        <v>559</v>
      </c>
      <c r="I252" s="23" t="s">
        <v>117</v>
      </c>
      <c r="J252" s="371">
        <v>51.44</v>
      </c>
      <c r="K252" s="371">
        <v>21.49</v>
      </c>
      <c r="L252" s="77">
        <v>12.82</v>
      </c>
      <c r="N252" s="365">
        <f t="shared" si="379"/>
        <v>85.75</v>
      </c>
      <c r="P252" s="232"/>
      <c r="Q252" s="326" t="str">
        <f>IFERROR(VLOOKUP($G252,主力整理!$A$2:$G$2301,6,0),"0")</f>
        <v>0</v>
      </c>
      <c r="R252" s="111">
        <v>3</v>
      </c>
      <c r="S252" s="51">
        <v>11</v>
      </c>
      <c r="T252" s="339">
        <f t="shared" si="343"/>
        <v>14</v>
      </c>
      <c r="V252" s="371">
        <v>0.05</v>
      </c>
      <c r="W252" s="69">
        <v>6.98</v>
      </c>
      <c r="X252" s="59">
        <v>9.1999999999999993</v>
      </c>
      <c r="Y252" s="37">
        <v>103.5</v>
      </c>
      <c r="Z252" s="69">
        <v>108</v>
      </c>
      <c r="AA252" s="16">
        <f t="shared" si="380"/>
        <v>-4.5</v>
      </c>
      <c r="AB252" s="80">
        <f t="shared" si="381"/>
        <v>-4.1666666666666664E-2</v>
      </c>
      <c r="AC252" s="105" t="s">
        <v>5432</v>
      </c>
      <c r="AD252" s="23" t="s">
        <v>117</v>
      </c>
      <c r="AE252" s="89">
        <v>44411</v>
      </c>
      <c r="AF252" s="88">
        <v>44434</v>
      </c>
      <c r="AG252" s="34">
        <f t="shared" si="382"/>
        <v>23</v>
      </c>
      <c r="AH252" s="126" t="s">
        <v>3806</v>
      </c>
      <c r="AI252" s="131"/>
    </row>
    <row r="253" spans="1:35">
      <c r="A253" s="135" t="s">
        <v>2474</v>
      </c>
      <c r="B253" s="84">
        <v>212</v>
      </c>
      <c r="C253" s="84">
        <v>111</v>
      </c>
      <c r="D253" s="85">
        <v>-6</v>
      </c>
      <c r="E253" s="84">
        <v>17</v>
      </c>
      <c r="F253" s="59">
        <v>20.239999999999998</v>
      </c>
      <c r="G253" s="85">
        <v>2492</v>
      </c>
      <c r="H253" s="268" t="s">
        <v>559</v>
      </c>
      <c r="I253" s="23" t="s">
        <v>344</v>
      </c>
      <c r="J253" s="77">
        <v>57.48</v>
      </c>
      <c r="K253" s="77">
        <v>23.85</v>
      </c>
      <c r="L253" s="371">
        <v>11.74</v>
      </c>
      <c r="N253" s="365">
        <f t="shared" si="379"/>
        <v>93.07</v>
      </c>
      <c r="P253" s="195"/>
      <c r="Q253" s="326">
        <f>IFERROR(VLOOKUP($G253,主力整理!$A$2:$G$2301,6,0),"0")</f>
        <v>5</v>
      </c>
      <c r="R253" s="111">
        <v>7</v>
      </c>
      <c r="S253" s="51">
        <v>10</v>
      </c>
      <c r="T253" s="339">
        <f t="shared" si="343"/>
        <v>22</v>
      </c>
      <c r="V253" s="371">
        <v>2.41</v>
      </c>
      <c r="W253" s="69">
        <v>6</v>
      </c>
      <c r="X253" s="59">
        <v>16.37</v>
      </c>
      <c r="Y253" s="37">
        <v>185</v>
      </c>
      <c r="Z253" s="69">
        <v>209</v>
      </c>
      <c r="AA253" s="16">
        <f t="shared" si="380"/>
        <v>-24</v>
      </c>
      <c r="AB253" s="80">
        <f t="shared" si="381"/>
        <v>-0.11483253588516747</v>
      </c>
      <c r="AC253" s="105" t="s">
        <v>5424</v>
      </c>
      <c r="AD253" s="23" t="s">
        <v>344</v>
      </c>
      <c r="AE253" s="89">
        <v>44410</v>
      </c>
      <c r="AF253" s="88">
        <v>44434</v>
      </c>
      <c r="AG253" s="34">
        <f t="shared" si="382"/>
        <v>24</v>
      </c>
      <c r="AH253" s="50" t="s">
        <v>4081</v>
      </c>
      <c r="AI253" s="131"/>
    </row>
    <row r="254" spans="1:35">
      <c r="A254" s="151" t="s">
        <v>3079</v>
      </c>
      <c r="B254" s="84">
        <v>171</v>
      </c>
      <c r="C254" s="84">
        <v>194</v>
      </c>
      <c r="D254" s="85">
        <v>-19</v>
      </c>
      <c r="E254" s="85">
        <v>-23</v>
      </c>
      <c r="F254" s="7">
        <v>6.68</v>
      </c>
      <c r="G254" s="85">
        <v>6558</v>
      </c>
      <c r="H254" s="5" t="s">
        <v>5322</v>
      </c>
      <c r="I254" s="23" t="s">
        <v>1718</v>
      </c>
      <c r="J254" s="371">
        <v>40.03</v>
      </c>
      <c r="K254" s="77">
        <v>2.59</v>
      </c>
      <c r="L254" s="77">
        <v>17.010000000000002</v>
      </c>
      <c r="N254" s="365">
        <f t="shared" si="379"/>
        <v>59.63000000000001</v>
      </c>
      <c r="P254" s="232"/>
      <c r="Q254" s="326" t="str">
        <f>IFERROR(VLOOKUP($G254,主力整理!$A$2:$G$2301,6,0),"0")</f>
        <v>0</v>
      </c>
      <c r="R254" s="111">
        <v>14</v>
      </c>
      <c r="S254" s="51">
        <v>1</v>
      </c>
      <c r="T254" s="339">
        <f t="shared" si="343"/>
        <v>15</v>
      </c>
      <c r="V254" s="371">
        <v>0</v>
      </c>
      <c r="W254" s="35">
        <v>0.3</v>
      </c>
      <c r="X254" s="100">
        <v>1.42</v>
      </c>
      <c r="Y254" s="37">
        <v>34.4</v>
      </c>
      <c r="Z254" s="69">
        <v>39.700000000000003</v>
      </c>
      <c r="AA254" s="16">
        <f t="shared" si="380"/>
        <v>-5.3000000000000043</v>
      </c>
      <c r="AB254" s="80">
        <f t="shared" si="381"/>
        <v>-0.13350125944584393</v>
      </c>
      <c r="AC254" s="107" t="s">
        <v>5408</v>
      </c>
      <c r="AD254" s="23" t="s">
        <v>1718</v>
      </c>
      <c r="AE254" s="89">
        <v>44404</v>
      </c>
      <c r="AF254" s="88">
        <v>44433</v>
      </c>
      <c r="AG254" s="34">
        <f t="shared" si="382"/>
        <v>29</v>
      </c>
      <c r="AH254" s="44" t="s">
        <v>3081</v>
      </c>
      <c r="AI254" s="131"/>
    </row>
    <row r="255" spans="1:35">
      <c r="A255" s="151" t="s">
        <v>3079</v>
      </c>
      <c r="B255" s="84">
        <v>171</v>
      </c>
      <c r="C255" s="84">
        <v>194</v>
      </c>
      <c r="D255" s="85">
        <v>-11</v>
      </c>
      <c r="E255" s="84">
        <v>3</v>
      </c>
      <c r="F255" s="7">
        <v>6.68</v>
      </c>
      <c r="G255" s="85">
        <v>6558</v>
      </c>
      <c r="H255" s="5" t="s">
        <v>5322</v>
      </c>
      <c r="I255" s="23" t="s">
        <v>1718</v>
      </c>
      <c r="J255" s="371">
        <v>41.73</v>
      </c>
      <c r="K255" s="77">
        <v>3.43</v>
      </c>
      <c r="L255" s="77">
        <v>14.35</v>
      </c>
      <c r="N255" s="365">
        <f>K255+J255+L255</f>
        <v>59.51</v>
      </c>
      <c r="P255" s="232"/>
      <c r="Q255" s="326" t="str">
        <f>IFERROR(VLOOKUP($G255,主力整理!$A$2:$G$2301,6,0),"0")</f>
        <v>0</v>
      </c>
      <c r="R255" s="111">
        <v>14</v>
      </c>
      <c r="S255" s="51">
        <v>1</v>
      </c>
      <c r="T255" s="339">
        <f t="shared" si="343"/>
        <v>15</v>
      </c>
      <c r="V255" s="371">
        <v>0.45</v>
      </c>
      <c r="W255" s="35">
        <v>0.3</v>
      </c>
      <c r="X255" s="100">
        <v>1.42</v>
      </c>
      <c r="Y255" s="37">
        <v>34.4</v>
      </c>
      <c r="Z255" s="69">
        <v>42</v>
      </c>
      <c r="AA255" s="16">
        <f>Y255-Z255</f>
        <v>-7.6000000000000014</v>
      </c>
      <c r="AB255" s="80">
        <f>AA255/Z255</f>
        <v>-0.18095238095238098</v>
      </c>
      <c r="AC255" s="107" t="s">
        <v>5321</v>
      </c>
      <c r="AD255" s="23" t="s">
        <v>1718</v>
      </c>
      <c r="AE255" s="89">
        <v>44363</v>
      </c>
      <c r="AF255" s="88">
        <v>44433</v>
      </c>
      <c r="AG255" s="34">
        <f>AF255-AE255</f>
        <v>70</v>
      </c>
      <c r="AH255" s="44" t="s">
        <v>3081</v>
      </c>
      <c r="AI255" s="131"/>
    </row>
    <row r="256" spans="1:35">
      <c r="A256" s="135" t="s">
        <v>2476</v>
      </c>
      <c r="B256" s="84">
        <v>584</v>
      </c>
      <c r="C256" s="84">
        <v>714</v>
      </c>
      <c r="D256" s="84">
        <v>17</v>
      </c>
      <c r="E256" s="84">
        <v>66</v>
      </c>
      <c r="F256" s="59">
        <v>18.739999999999998</v>
      </c>
      <c r="G256" s="84">
        <v>2606</v>
      </c>
      <c r="H256" s="5" t="s">
        <v>551</v>
      </c>
      <c r="I256" s="23" t="s">
        <v>255</v>
      </c>
      <c r="J256" s="371">
        <v>55.35</v>
      </c>
      <c r="K256" s="77">
        <v>11</v>
      </c>
      <c r="L256" s="371">
        <v>11.47</v>
      </c>
      <c r="N256" s="365">
        <f t="shared" si="379"/>
        <v>77.819999999999993</v>
      </c>
      <c r="P256" s="232"/>
      <c r="Q256" s="326">
        <f>IFERROR(VLOOKUP($G256,主力整理!$A$2:$G$2301,6,0),"0")</f>
        <v>4</v>
      </c>
      <c r="R256" s="111">
        <v>12</v>
      </c>
      <c r="S256" s="51">
        <v>15</v>
      </c>
      <c r="T256" s="339">
        <f t="shared" si="343"/>
        <v>31</v>
      </c>
      <c r="V256" s="371">
        <v>5.54</v>
      </c>
      <c r="W256" s="35">
        <v>1.2</v>
      </c>
      <c r="X256" s="59">
        <v>3</v>
      </c>
      <c r="Y256" s="37">
        <v>72.8</v>
      </c>
      <c r="Z256" s="69">
        <v>70.099999999999994</v>
      </c>
      <c r="AA256" s="16">
        <f t="shared" si="380"/>
        <v>2.7000000000000028</v>
      </c>
      <c r="AB256" s="66">
        <f t="shared" si="381"/>
        <v>3.851640513552073E-2</v>
      </c>
      <c r="AC256" s="107" t="s">
        <v>5508</v>
      </c>
      <c r="AD256" s="23" t="s">
        <v>255</v>
      </c>
      <c r="AE256" s="89">
        <v>44431</v>
      </c>
      <c r="AF256" s="88">
        <v>44432</v>
      </c>
      <c r="AG256" s="34">
        <f t="shared" si="382"/>
        <v>1</v>
      </c>
      <c r="AH256" s="126" t="s">
        <v>5210</v>
      </c>
      <c r="AI256" s="131"/>
    </row>
    <row r="257" spans="1:35">
      <c r="A257" s="135" t="s">
        <v>2476</v>
      </c>
      <c r="B257" s="84">
        <v>584</v>
      </c>
      <c r="C257" s="84">
        <v>714</v>
      </c>
      <c r="D257" s="84">
        <v>17</v>
      </c>
      <c r="E257" s="84">
        <v>66</v>
      </c>
      <c r="F257" s="59">
        <v>18.739999999999998</v>
      </c>
      <c r="G257" s="84">
        <v>2606</v>
      </c>
      <c r="H257" s="5" t="s">
        <v>551</v>
      </c>
      <c r="I257" s="23" t="s">
        <v>255</v>
      </c>
      <c r="J257" s="77">
        <v>56.15</v>
      </c>
      <c r="K257" s="77">
        <v>10.58</v>
      </c>
      <c r="L257" s="77">
        <v>12.39</v>
      </c>
      <c r="N257" s="365">
        <f t="shared" si="379"/>
        <v>79.12</v>
      </c>
      <c r="P257" s="232"/>
      <c r="Q257" s="326">
        <f>IFERROR(VLOOKUP($G257,主力整理!$A$2:$G$2301,6,0),"0")</f>
        <v>4</v>
      </c>
      <c r="R257" s="111">
        <v>12</v>
      </c>
      <c r="S257" s="51">
        <v>15</v>
      </c>
      <c r="T257" s="339">
        <f t="shared" si="343"/>
        <v>31</v>
      </c>
      <c r="V257" s="371">
        <v>2.97</v>
      </c>
      <c r="W257" s="35">
        <v>1.2</v>
      </c>
      <c r="X257" s="59">
        <v>3</v>
      </c>
      <c r="Y257" s="37">
        <v>72.8</v>
      </c>
      <c r="Z257" s="69">
        <v>60.4</v>
      </c>
      <c r="AA257" s="16">
        <f t="shared" si="380"/>
        <v>12.399999999999999</v>
      </c>
      <c r="AB257" s="66">
        <f t="shared" si="381"/>
        <v>0.20529801324503311</v>
      </c>
      <c r="AC257" s="107" t="s">
        <v>5499</v>
      </c>
      <c r="AD257" s="23" t="s">
        <v>255</v>
      </c>
      <c r="AE257" s="89">
        <v>44426</v>
      </c>
      <c r="AF257" s="88">
        <v>44432</v>
      </c>
      <c r="AG257" s="34">
        <f t="shared" si="382"/>
        <v>6</v>
      </c>
      <c r="AH257" s="126" t="s">
        <v>5210</v>
      </c>
      <c r="AI257" s="131"/>
    </row>
    <row r="258" spans="1:35">
      <c r="A258" s="135" t="s">
        <v>2476</v>
      </c>
      <c r="B258" s="84">
        <v>584</v>
      </c>
      <c r="C258" s="84">
        <v>714</v>
      </c>
      <c r="D258" s="84">
        <v>17</v>
      </c>
      <c r="E258" s="84">
        <v>66</v>
      </c>
      <c r="F258" s="59">
        <v>18.739999999999998</v>
      </c>
      <c r="G258" s="84">
        <v>2606</v>
      </c>
      <c r="H258" s="9" t="s">
        <v>551</v>
      </c>
      <c r="I258" s="23" t="s">
        <v>255</v>
      </c>
      <c r="J258" s="371">
        <v>55.97</v>
      </c>
      <c r="K258" s="371">
        <v>10.14</v>
      </c>
      <c r="L258" s="371">
        <v>12.36</v>
      </c>
      <c r="N258" s="365">
        <f t="shared" si="379"/>
        <v>78.47</v>
      </c>
      <c r="P258" s="232"/>
      <c r="Q258" s="326">
        <f>IFERROR(VLOOKUP($G258,主力整理!$A$2:$G$2301,6,0),"0")</f>
        <v>4</v>
      </c>
      <c r="R258" s="111">
        <v>12</v>
      </c>
      <c r="S258" s="51">
        <v>15</v>
      </c>
      <c r="T258" s="339">
        <f t="shared" si="343"/>
        <v>31</v>
      </c>
      <c r="V258" s="371">
        <v>2.35</v>
      </c>
      <c r="W258" s="35">
        <v>1.2</v>
      </c>
      <c r="X258" s="59">
        <v>3</v>
      </c>
      <c r="Y258" s="37">
        <v>72.8</v>
      </c>
      <c r="Z258" s="69">
        <v>62.3</v>
      </c>
      <c r="AA258" s="16">
        <f t="shared" si="380"/>
        <v>10.5</v>
      </c>
      <c r="AB258" s="66">
        <f t="shared" si="381"/>
        <v>0.16853932584269662</v>
      </c>
      <c r="AC258" s="107" t="s">
        <v>5456</v>
      </c>
      <c r="AD258" s="23" t="s">
        <v>255</v>
      </c>
      <c r="AE258" s="89">
        <v>44418</v>
      </c>
      <c r="AF258" s="88">
        <v>44432</v>
      </c>
      <c r="AG258" s="34">
        <f t="shared" si="382"/>
        <v>14</v>
      </c>
      <c r="AH258" s="126" t="s">
        <v>5210</v>
      </c>
      <c r="AI258" s="131"/>
    </row>
    <row r="259" spans="1:35">
      <c r="A259" s="151" t="s">
        <v>2476</v>
      </c>
      <c r="B259" s="84">
        <v>188</v>
      </c>
      <c r="C259" s="84">
        <v>463</v>
      </c>
      <c r="D259" s="84">
        <v>11</v>
      </c>
      <c r="E259" s="84">
        <v>108</v>
      </c>
      <c r="F259" s="7">
        <v>9.44</v>
      </c>
      <c r="G259" s="84">
        <v>2606</v>
      </c>
      <c r="H259" s="5" t="s">
        <v>551</v>
      </c>
      <c r="I259" s="23" t="s">
        <v>255</v>
      </c>
      <c r="J259" s="371">
        <v>56.37</v>
      </c>
      <c r="K259" s="371">
        <v>10.42</v>
      </c>
      <c r="L259" s="371">
        <v>12.43</v>
      </c>
      <c r="N259" s="365">
        <f t="shared" si="379"/>
        <v>79.22</v>
      </c>
      <c r="P259" s="232"/>
      <c r="Q259" s="326">
        <f>IFERROR(VLOOKUP($G259,主力整理!$A$2:$G$2301,6,0),"0")</f>
        <v>4</v>
      </c>
      <c r="R259" s="111">
        <v>11</v>
      </c>
      <c r="S259" s="51">
        <v>15</v>
      </c>
      <c r="T259" s="339">
        <f t="shared" si="343"/>
        <v>30</v>
      </c>
      <c r="V259" s="371">
        <v>0</v>
      </c>
      <c r="W259" s="35">
        <v>1.2</v>
      </c>
      <c r="X259" s="59">
        <v>3</v>
      </c>
      <c r="Y259" s="37">
        <v>72.8</v>
      </c>
      <c r="Z259" s="69">
        <v>67.2</v>
      </c>
      <c r="AA259" s="16">
        <f t="shared" si="380"/>
        <v>5.5999999999999943</v>
      </c>
      <c r="AB259" s="66">
        <f t="shared" si="381"/>
        <v>8.3333333333333245E-2</v>
      </c>
      <c r="AC259" s="107" t="s">
        <v>5416</v>
      </c>
      <c r="AD259" s="23" t="s">
        <v>255</v>
      </c>
      <c r="AE259" s="89">
        <v>44406</v>
      </c>
      <c r="AF259" s="88">
        <v>44432</v>
      </c>
      <c r="AG259" s="34">
        <f t="shared" si="382"/>
        <v>26</v>
      </c>
      <c r="AH259" s="125" t="s">
        <v>5210</v>
      </c>
      <c r="AI259" s="131"/>
    </row>
    <row r="260" spans="1:35">
      <c r="A260" s="135" t="s">
        <v>2546</v>
      </c>
      <c r="B260" s="84">
        <v>803</v>
      </c>
      <c r="C260" s="84">
        <v>337</v>
      </c>
      <c r="D260" s="84">
        <v>11</v>
      </c>
      <c r="E260" s="84">
        <v>62</v>
      </c>
      <c r="F260" s="59">
        <v>27.96</v>
      </c>
      <c r="G260" s="84">
        <v>2637</v>
      </c>
      <c r="H260" s="5" t="s">
        <v>551</v>
      </c>
      <c r="I260" s="23" t="s">
        <v>1481</v>
      </c>
      <c r="J260" s="77">
        <v>61.96</v>
      </c>
      <c r="K260" s="77">
        <v>9.64</v>
      </c>
      <c r="L260" s="77">
        <v>12.7</v>
      </c>
      <c r="N260" s="365">
        <f t="shared" si="379"/>
        <v>84.3</v>
      </c>
      <c r="P260" s="232"/>
      <c r="Q260" s="326">
        <f>IFERROR(VLOOKUP($G260,主力整理!$A$2:$G$2301,6,0),"0")</f>
        <v>6</v>
      </c>
      <c r="R260" s="111">
        <v>14</v>
      </c>
      <c r="S260" s="51">
        <v>5</v>
      </c>
      <c r="T260" s="339">
        <f t="shared" si="343"/>
        <v>25</v>
      </c>
      <c r="V260" s="371">
        <v>6.8</v>
      </c>
      <c r="W260" s="35">
        <v>1.5</v>
      </c>
      <c r="X260" s="59">
        <v>1.53</v>
      </c>
      <c r="Y260" s="37">
        <v>87</v>
      </c>
      <c r="Z260" s="69">
        <v>87.3</v>
      </c>
      <c r="AA260" s="16">
        <f t="shared" si="380"/>
        <v>-0.29999999999999716</v>
      </c>
      <c r="AB260" s="80">
        <f t="shared" si="381"/>
        <v>-3.4364261168384554E-3</v>
      </c>
      <c r="AC260" s="107" t="s">
        <v>5520</v>
      </c>
      <c r="AD260" s="23" t="s">
        <v>1481</v>
      </c>
      <c r="AE260" s="89">
        <v>44431</v>
      </c>
      <c r="AF260" s="88">
        <v>44432</v>
      </c>
      <c r="AG260" s="34">
        <f t="shared" si="382"/>
        <v>1</v>
      </c>
      <c r="AH260" s="63" t="s">
        <v>3189</v>
      </c>
      <c r="AI260" s="131"/>
    </row>
    <row r="261" spans="1:35">
      <c r="A261" s="135" t="s">
        <v>2546</v>
      </c>
      <c r="B261" s="84">
        <v>803</v>
      </c>
      <c r="C261" s="84">
        <v>337</v>
      </c>
      <c r="D261" s="84">
        <v>11</v>
      </c>
      <c r="E261" s="84">
        <v>62</v>
      </c>
      <c r="F261" s="59">
        <v>27.96</v>
      </c>
      <c r="G261" s="84">
        <v>2637</v>
      </c>
      <c r="H261" s="5" t="s">
        <v>551</v>
      </c>
      <c r="I261" s="23" t="s">
        <v>1481</v>
      </c>
      <c r="J261" s="77">
        <v>61.66</v>
      </c>
      <c r="K261" s="77">
        <v>10.27</v>
      </c>
      <c r="L261" s="77">
        <v>11.93</v>
      </c>
      <c r="N261" s="365">
        <f t="shared" si="379"/>
        <v>83.859999999999985</v>
      </c>
      <c r="P261" s="232"/>
      <c r="Q261" s="326">
        <f>IFERROR(VLOOKUP($G261,主力整理!$A$2:$G$2301,6,0),"0")</f>
        <v>6</v>
      </c>
      <c r="R261" s="111">
        <v>13</v>
      </c>
      <c r="S261" s="51">
        <v>5</v>
      </c>
      <c r="T261" s="339">
        <f t="shared" si="343"/>
        <v>24</v>
      </c>
      <c r="V261" s="371">
        <v>6.78</v>
      </c>
      <c r="W261" s="35">
        <v>1.5</v>
      </c>
      <c r="X261" s="59">
        <v>1.53</v>
      </c>
      <c r="Y261" s="37">
        <v>87</v>
      </c>
      <c r="Z261" s="69">
        <v>76.7</v>
      </c>
      <c r="AA261" s="16">
        <f t="shared" si="380"/>
        <v>10.299999999999997</v>
      </c>
      <c r="AB261" s="66">
        <f t="shared" si="381"/>
        <v>0.13428943937418508</v>
      </c>
      <c r="AC261" s="107" t="s">
        <v>5497</v>
      </c>
      <c r="AD261" s="23" t="s">
        <v>1481</v>
      </c>
      <c r="AE261" s="89">
        <v>44426</v>
      </c>
      <c r="AF261" s="88">
        <v>44432</v>
      </c>
      <c r="AG261" s="34">
        <f t="shared" si="382"/>
        <v>6</v>
      </c>
      <c r="AH261" s="63" t="s">
        <v>3189</v>
      </c>
      <c r="AI261" s="131"/>
    </row>
    <row r="262" spans="1:35">
      <c r="A262" s="135" t="s">
        <v>2546</v>
      </c>
      <c r="B262" s="84">
        <v>803</v>
      </c>
      <c r="C262" s="84">
        <v>337</v>
      </c>
      <c r="D262" s="84">
        <v>11</v>
      </c>
      <c r="E262" s="84">
        <v>62</v>
      </c>
      <c r="F262" s="59">
        <v>27.96</v>
      </c>
      <c r="G262" s="84">
        <v>2637</v>
      </c>
      <c r="H262" s="9" t="s">
        <v>551</v>
      </c>
      <c r="I262" s="23" t="s">
        <v>1481</v>
      </c>
      <c r="J262" s="371">
        <v>61.56</v>
      </c>
      <c r="K262" s="371">
        <v>9.5</v>
      </c>
      <c r="L262" s="371">
        <v>12.19</v>
      </c>
      <c r="N262" s="365">
        <f t="shared" si="379"/>
        <v>83.25</v>
      </c>
      <c r="P262" s="232"/>
      <c r="Q262" s="326">
        <f>IFERROR(VLOOKUP($G262,主力整理!$A$2:$G$2301,6,0),"0")</f>
        <v>6</v>
      </c>
      <c r="R262" s="111">
        <v>13</v>
      </c>
      <c r="S262" s="51">
        <v>4</v>
      </c>
      <c r="T262" s="339">
        <f t="shared" si="343"/>
        <v>23</v>
      </c>
      <c r="V262" s="371">
        <v>5.01</v>
      </c>
      <c r="W262" s="35">
        <v>1.5</v>
      </c>
      <c r="X262" s="59">
        <v>1.53</v>
      </c>
      <c r="Y262" s="37">
        <v>87</v>
      </c>
      <c r="Z262" s="69">
        <v>77.099999999999994</v>
      </c>
      <c r="AA262" s="16">
        <f t="shared" si="380"/>
        <v>9.9000000000000057</v>
      </c>
      <c r="AB262" s="66">
        <f t="shared" si="381"/>
        <v>0.12840466926070046</v>
      </c>
      <c r="AC262" s="107" t="s">
        <v>5459</v>
      </c>
      <c r="AD262" s="23" t="s">
        <v>1481</v>
      </c>
      <c r="AE262" s="89">
        <v>44418</v>
      </c>
      <c r="AF262" s="88">
        <v>44432</v>
      </c>
      <c r="AG262" s="34">
        <f t="shared" si="382"/>
        <v>14</v>
      </c>
      <c r="AH262" s="63" t="s">
        <v>3189</v>
      </c>
      <c r="AI262" s="131"/>
    </row>
    <row r="263" spans="1:35">
      <c r="A263" s="135" t="s">
        <v>2546</v>
      </c>
      <c r="B263" s="84">
        <v>803</v>
      </c>
      <c r="C263" s="84">
        <v>337</v>
      </c>
      <c r="D263" s="84">
        <v>11</v>
      </c>
      <c r="E263" s="84">
        <v>62</v>
      </c>
      <c r="F263" s="59">
        <v>27.96</v>
      </c>
      <c r="G263" s="84">
        <v>2637</v>
      </c>
      <c r="H263" s="9" t="s">
        <v>551</v>
      </c>
      <c r="I263" s="23" t="s">
        <v>1481</v>
      </c>
      <c r="J263" s="77">
        <v>62.47</v>
      </c>
      <c r="K263" s="77">
        <v>9.99</v>
      </c>
      <c r="L263" s="371">
        <v>11.34</v>
      </c>
      <c r="N263" s="365">
        <f t="shared" si="379"/>
        <v>83.8</v>
      </c>
      <c r="P263" s="232"/>
      <c r="Q263" s="326">
        <f>IFERROR(VLOOKUP($G263,主力整理!$A$2:$G$2301,6,0),"0")</f>
        <v>6</v>
      </c>
      <c r="R263" s="111">
        <v>13</v>
      </c>
      <c r="S263" s="51">
        <v>4</v>
      </c>
      <c r="T263" s="339">
        <f t="shared" si="343"/>
        <v>23</v>
      </c>
      <c r="V263" s="371">
        <v>3.98</v>
      </c>
      <c r="W263" s="35">
        <v>1.5</v>
      </c>
      <c r="X263" s="59">
        <v>1.53</v>
      </c>
      <c r="Y263" s="37">
        <v>87</v>
      </c>
      <c r="Z263" s="69">
        <v>79.2</v>
      </c>
      <c r="AA263" s="16">
        <f t="shared" si="380"/>
        <v>7.7999999999999972</v>
      </c>
      <c r="AB263" s="66">
        <f t="shared" si="381"/>
        <v>9.8484848484848439E-2</v>
      </c>
      <c r="AC263" s="107" t="s">
        <v>5441</v>
      </c>
      <c r="AD263" s="23" t="s">
        <v>1481</v>
      </c>
      <c r="AE263" s="89">
        <v>44413</v>
      </c>
      <c r="AF263" s="88">
        <v>44432</v>
      </c>
      <c r="AG263" s="34">
        <f t="shared" si="382"/>
        <v>19</v>
      </c>
      <c r="AH263" s="63" t="s">
        <v>3189</v>
      </c>
      <c r="AI263" s="284"/>
    </row>
    <row r="264" spans="1:35">
      <c r="A264" s="135" t="s">
        <v>2546</v>
      </c>
      <c r="B264" s="84">
        <v>803</v>
      </c>
      <c r="C264" s="84">
        <v>337</v>
      </c>
      <c r="D264" s="84">
        <v>3</v>
      </c>
      <c r="E264" s="84">
        <v>66</v>
      </c>
      <c r="F264" s="59">
        <v>27.96</v>
      </c>
      <c r="G264" s="84">
        <v>2637</v>
      </c>
      <c r="H264" s="5" t="s">
        <v>551</v>
      </c>
      <c r="I264" s="23" t="s">
        <v>1481</v>
      </c>
      <c r="J264" s="371">
        <v>62.17</v>
      </c>
      <c r="K264" s="77">
        <v>10.35</v>
      </c>
      <c r="L264" s="371">
        <v>11.47</v>
      </c>
      <c r="N264" s="365">
        <f t="shared" si="379"/>
        <v>83.99</v>
      </c>
      <c r="P264" s="232"/>
      <c r="Q264" s="326">
        <f>IFERROR(VLOOKUP($G264,主力整理!$A$2:$G$2301,6,0),"0")</f>
        <v>6</v>
      </c>
      <c r="R264" s="111">
        <v>12</v>
      </c>
      <c r="S264" s="51">
        <v>4</v>
      </c>
      <c r="T264" s="339">
        <f t="shared" si="343"/>
        <v>22</v>
      </c>
      <c r="V264" s="371">
        <v>2.4500000000000002</v>
      </c>
      <c r="W264" s="35">
        <v>1.5</v>
      </c>
      <c r="X264" s="59">
        <v>1.53</v>
      </c>
      <c r="Y264" s="37">
        <v>87</v>
      </c>
      <c r="Z264" s="69">
        <v>83.2</v>
      </c>
      <c r="AA264" s="16">
        <f t="shared" si="380"/>
        <v>3.7999999999999972</v>
      </c>
      <c r="AB264" s="66">
        <f t="shared" si="381"/>
        <v>4.5673076923076886E-2</v>
      </c>
      <c r="AC264" s="107" t="s">
        <v>5386</v>
      </c>
      <c r="AD264" s="23" t="s">
        <v>1481</v>
      </c>
      <c r="AE264" s="89">
        <v>44406</v>
      </c>
      <c r="AF264" s="88">
        <v>44432</v>
      </c>
      <c r="AG264" s="34">
        <f t="shared" si="382"/>
        <v>26</v>
      </c>
      <c r="AH264" s="63" t="s">
        <v>3189</v>
      </c>
      <c r="AI264" s="131"/>
    </row>
    <row r="265" spans="1:35">
      <c r="A265" s="151" t="s">
        <v>4813</v>
      </c>
      <c r="B265" s="84">
        <v>82</v>
      </c>
      <c r="C265" s="84">
        <v>99</v>
      </c>
      <c r="D265" s="85">
        <v>-24</v>
      </c>
      <c r="E265" s="85">
        <v>-31</v>
      </c>
      <c r="F265" s="7">
        <v>2.23</v>
      </c>
      <c r="G265" s="85">
        <v>3380</v>
      </c>
      <c r="H265" s="5" t="s">
        <v>563</v>
      </c>
      <c r="I265" s="23" t="s">
        <v>175</v>
      </c>
      <c r="J265" s="371">
        <v>68.34</v>
      </c>
      <c r="K265" s="371">
        <v>4.0199999999999996</v>
      </c>
      <c r="L265" s="371">
        <v>4.62</v>
      </c>
      <c r="N265" s="365">
        <f t="shared" si="379"/>
        <v>76.98</v>
      </c>
      <c r="P265" s="232"/>
      <c r="Q265" s="326" t="str">
        <f>IFERROR(VLOOKUP($G265,主力整理!$A$2:$G$2301,6,0),"0")</f>
        <v>0</v>
      </c>
      <c r="R265" s="111">
        <v>6</v>
      </c>
      <c r="S265" s="51">
        <v>0</v>
      </c>
      <c r="T265" s="339">
        <f t="shared" si="343"/>
        <v>6</v>
      </c>
      <c r="V265" s="371">
        <v>2.37</v>
      </c>
      <c r="W265" s="35">
        <v>1</v>
      </c>
      <c r="X265" s="59">
        <v>1.3</v>
      </c>
      <c r="Y265" s="37">
        <v>26.1</v>
      </c>
      <c r="Z265" s="69">
        <v>24.55</v>
      </c>
      <c r="AA265" s="16">
        <f t="shared" si="380"/>
        <v>1.5500000000000007</v>
      </c>
      <c r="AB265" s="66">
        <f t="shared" si="381"/>
        <v>6.3136456211812658E-2</v>
      </c>
      <c r="AC265" s="107" t="s">
        <v>5485</v>
      </c>
      <c r="AD265" s="23" t="s">
        <v>175</v>
      </c>
      <c r="AE265" s="89">
        <v>44425</v>
      </c>
      <c r="AF265" s="88">
        <v>44432</v>
      </c>
      <c r="AG265" s="34">
        <f t="shared" si="382"/>
        <v>7</v>
      </c>
      <c r="AH265" s="125" t="s">
        <v>2163</v>
      </c>
      <c r="AI265" s="131"/>
    </row>
    <row r="266" spans="1:35">
      <c r="A266" s="151" t="s">
        <v>3501</v>
      </c>
      <c r="B266" s="85">
        <v>-29</v>
      </c>
      <c r="C266" s="85">
        <v>-23</v>
      </c>
      <c r="D266" s="84">
        <v>4</v>
      </c>
      <c r="E266" s="84">
        <v>20</v>
      </c>
      <c r="F266" s="7">
        <v>9.57</v>
      </c>
      <c r="G266" s="84">
        <v>6104</v>
      </c>
      <c r="H266" s="203" t="s">
        <v>558</v>
      </c>
      <c r="I266" s="17" t="s">
        <v>664</v>
      </c>
      <c r="J266" s="371">
        <v>22.7</v>
      </c>
      <c r="K266" s="77">
        <v>20.440000000000001</v>
      </c>
      <c r="L266" s="371">
        <v>60.5</v>
      </c>
      <c r="N266" s="365">
        <f t="shared" si="379"/>
        <v>103.64</v>
      </c>
      <c r="P266" s="232"/>
      <c r="Q266" s="326">
        <f>IFERROR(VLOOKUP($G266,主力整理!$A$2:$G$2301,6,0),"0")</f>
        <v>2</v>
      </c>
      <c r="R266" s="111">
        <v>12</v>
      </c>
      <c r="S266" s="51">
        <v>5</v>
      </c>
      <c r="T266" s="339">
        <f t="shared" si="343"/>
        <v>19</v>
      </c>
      <c r="V266" s="371">
        <v>4.7</v>
      </c>
      <c r="W266" s="69">
        <v>3</v>
      </c>
      <c r="X266" s="100">
        <v>3.57</v>
      </c>
      <c r="Y266" s="37">
        <v>124</v>
      </c>
      <c r="Z266" s="46">
        <v>102.5</v>
      </c>
      <c r="AA266" s="16">
        <f t="shared" si="380"/>
        <v>21.5</v>
      </c>
      <c r="AB266" s="66">
        <f t="shared" si="381"/>
        <v>0.2097560975609756</v>
      </c>
      <c r="AC266" s="107" t="s">
        <v>5480</v>
      </c>
      <c r="AD266" s="17" t="s">
        <v>664</v>
      </c>
      <c r="AE266" s="89">
        <v>44424</v>
      </c>
      <c r="AF266" s="88">
        <v>44432</v>
      </c>
      <c r="AG266" s="34">
        <f t="shared" si="382"/>
        <v>8</v>
      </c>
      <c r="AH266" s="44" t="s">
        <v>4933</v>
      </c>
      <c r="AI266" s="131"/>
    </row>
    <row r="267" spans="1:35">
      <c r="A267" s="135" t="s">
        <v>2871</v>
      </c>
      <c r="B267" s="98">
        <v>1798</v>
      </c>
      <c r="C267" s="98">
        <v>1685</v>
      </c>
      <c r="D267" s="84">
        <v>13</v>
      </c>
      <c r="E267" s="84">
        <v>234</v>
      </c>
      <c r="F267" s="59">
        <v>46.67</v>
      </c>
      <c r="G267" s="84">
        <v>2615</v>
      </c>
      <c r="H267" s="5" t="s">
        <v>551</v>
      </c>
      <c r="I267" s="23" t="s">
        <v>256</v>
      </c>
      <c r="J267" s="77">
        <v>85.44</v>
      </c>
      <c r="K267" s="77">
        <v>43.61</v>
      </c>
      <c r="L267" s="371">
        <v>8.31</v>
      </c>
      <c r="N267" s="365">
        <f t="shared" si="379"/>
        <v>137.36000000000001</v>
      </c>
      <c r="P267" s="195"/>
      <c r="Q267" s="326">
        <f>IFERROR(VLOOKUP($G267,主力整理!$A$2:$G$2301,6,0),"0")</f>
        <v>4</v>
      </c>
      <c r="R267" s="111">
        <v>33</v>
      </c>
      <c r="S267" s="51">
        <v>18</v>
      </c>
      <c r="T267" s="339">
        <f t="shared" si="343"/>
        <v>55</v>
      </c>
      <c r="V267" s="371">
        <v>27.69</v>
      </c>
      <c r="W267" s="73">
        <v>2</v>
      </c>
      <c r="X267" s="59">
        <v>19.5</v>
      </c>
      <c r="Y267" s="14">
        <v>244</v>
      </c>
      <c r="Z267" s="69">
        <v>248</v>
      </c>
      <c r="AA267" s="16">
        <f t="shared" si="380"/>
        <v>-4</v>
      </c>
      <c r="AB267" s="80">
        <f t="shared" si="381"/>
        <v>-1.6129032258064516E-2</v>
      </c>
      <c r="AC267" s="107" t="s">
        <v>5515</v>
      </c>
      <c r="AD267" s="23" t="s">
        <v>256</v>
      </c>
      <c r="AE267" s="89">
        <v>44431</v>
      </c>
      <c r="AF267" s="88">
        <v>44432</v>
      </c>
      <c r="AG267" s="34">
        <f t="shared" si="382"/>
        <v>1</v>
      </c>
      <c r="AH267" s="126" t="s">
        <v>3283</v>
      </c>
      <c r="AI267" s="131"/>
    </row>
    <row r="268" spans="1:35">
      <c r="A268" s="135" t="s">
        <v>2871</v>
      </c>
      <c r="B268" s="98">
        <v>1798</v>
      </c>
      <c r="C268" s="98">
        <v>1685</v>
      </c>
      <c r="D268" s="84">
        <v>13</v>
      </c>
      <c r="E268" s="84">
        <v>234</v>
      </c>
      <c r="F268" s="59">
        <v>46.67</v>
      </c>
      <c r="G268" s="84">
        <v>2615</v>
      </c>
      <c r="H268" s="5" t="s">
        <v>551</v>
      </c>
      <c r="I268" s="23" t="s">
        <v>256</v>
      </c>
      <c r="J268" s="77">
        <v>84.96</v>
      </c>
      <c r="K268" s="77">
        <v>43.88</v>
      </c>
      <c r="L268" s="77">
        <v>8.0299999999999994</v>
      </c>
      <c r="N268" s="365">
        <f t="shared" si="379"/>
        <v>136.87</v>
      </c>
      <c r="P268" s="195"/>
      <c r="Q268" s="326">
        <f>IFERROR(VLOOKUP($G268,主力整理!$A$2:$G$2301,6,0),"0")</f>
        <v>4</v>
      </c>
      <c r="R268" s="111">
        <v>32</v>
      </c>
      <c r="S268" s="51">
        <v>18</v>
      </c>
      <c r="T268" s="339">
        <f t="shared" si="343"/>
        <v>54</v>
      </c>
      <c r="V268" s="371">
        <v>32.770000000000003</v>
      </c>
      <c r="W268" s="73">
        <v>2</v>
      </c>
      <c r="X268" s="59">
        <v>19.5</v>
      </c>
      <c r="Y268" s="14">
        <v>244</v>
      </c>
      <c r="Z268" s="69">
        <v>213</v>
      </c>
      <c r="AA268" s="16">
        <f t="shared" si="380"/>
        <v>31</v>
      </c>
      <c r="AB268" s="66">
        <f t="shared" si="381"/>
        <v>0.14553990610328638</v>
      </c>
      <c r="AC268" s="107" t="s">
        <v>5496</v>
      </c>
      <c r="AD268" s="23" t="s">
        <v>256</v>
      </c>
      <c r="AE268" s="89">
        <v>44426</v>
      </c>
      <c r="AF268" s="88">
        <v>44432</v>
      </c>
      <c r="AG268" s="34">
        <f t="shared" si="382"/>
        <v>6</v>
      </c>
      <c r="AH268" s="126" t="s">
        <v>3283</v>
      </c>
      <c r="AI268" s="131"/>
    </row>
    <row r="269" spans="1:35">
      <c r="A269" s="135" t="s">
        <v>2871</v>
      </c>
      <c r="B269" s="98">
        <v>1798</v>
      </c>
      <c r="C269" s="98">
        <v>1685</v>
      </c>
      <c r="D269" s="84">
        <v>13</v>
      </c>
      <c r="E269" s="84">
        <v>234</v>
      </c>
      <c r="F269" s="59">
        <v>46.67</v>
      </c>
      <c r="G269" s="84">
        <v>2615</v>
      </c>
      <c r="H269" s="5" t="s">
        <v>551</v>
      </c>
      <c r="I269" s="23" t="s">
        <v>256</v>
      </c>
      <c r="J269" s="77">
        <v>84.96</v>
      </c>
      <c r="K269" s="77">
        <v>43.32</v>
      </c>
      <c r="L269" s="77">
        <v>7.92</v>
      </c>
      <c r="N269" s="365">
        <f t="shared" si="379"/>
        <v>136.19999999999999</v>
      </c>
      <c r="P269" s="195"/>
      <c r="Q269" s="326">
        <f>IFERROR(VLOOKUP($G269,主力整理!$A$2:$G$2301,6,0),"0")</f>
        <v>4</v>
      </c>
      <c r="R269" s="111">
        <v>32</v>
      </c>
      <c r="S269" s="51">
        <v>18</v>
      </c>
      <c r="T269" s="339">
        <f t="shared" ref="T269:T332" si="383">SUM(P269:S269)</f>
        <v>54</v>
      </c>
      <c r="V269" s="371">
        <v>29.94</v>
      </c>
      <c r="W269" s="73">
        <v>2</v>
      </c>
      <c r="X269" s="59">
        <v>19.5</v>
      </c>
      <c r="Y269" s="14">
        <v>244</v>
      </c>
      <c r="Z269" s="69">
        <v>226</v>
      </c>
      <c r="AA269" s="16">
        <f t="shared" si="380"/>
        <v>18</v>
      </c>
      <c r="AB269" s="66">
        <f t="shared" si="381"/>
        <v>7.9646017699115043E-2</v>
      </c>
      <c r="AC269" s="107" t="s">
        <v>5489</v>
      </c>
      <c r="AD269" s="23" t="s">
        <v>256</v>
      </c>
      <c r="AE269" s="89">
        <v>44426</v>
      </c>
      <c r="AF269" s="88">
        <v>44432</v>
      </c>
      <c r="AG269" s="34">
        <f t="shared" si="382"/>
        <v>6</v>
      </c>
      <c r="AH269" s="126" t="s">
        <v>3283</v>
      </c>
      <c r="AI269" s="131"/>
    </row>
    <row r="270" spans="1:35">
      <c r="A270" s="135" t="s">
        <v>2871</v>
      </c>
      <c r="B270" s="246">
        <v>15743</v>
      </c>
      <c r="C270" s="98">
        <v>2786</v>
      </c>
      <c r="D270" s="84">
        <v>13</v>
      </c>
      <c r="E270" s="84">
        <v>234</v>
      </c>
      <c r="F270" s="59">
        <v>45.57</v>
      </c>
      <c r="G270" s="84">
        <v>2615</v>
      </c>
      <c r="H270" s="5" t="s">
        <v>551</v>
      </c>
      <c r="I270" s="23" t="s">
        <v>256</v>
      </c>
      <c r="J270" s="371">
        <v>84.93</v>
      </c>
      <c r="K270" s="77">
        <v>43.53</v>
      </c>
      <c r="L270" s="77">
        <v>8.24</v>
      </c>
      <c r="N270" s="365">
        <f t="shared" si="379"/>
        <v>136.70000000000002</v>
      </c>
      <c r="P270" s="195"/>
      <c r="Q270" s="326">
        <f>IFERROR(VLOOKUP($G270,主力整理!$A$2:$G$2301,6,0),"0")</f>
        <v>4</v>
      </c>
      <c r="R270" s="111">
        <v>32</v>
      </c>
      <c r="S270" s="51">
        <v>18</v>
      </c>
      <c r="T270" s="339">
        <f t="shared" si="383"/>
        <v>54</v>
      </c>
      <c r="V270" s="371">
        <v>28.32</v>
      </c>
      <c r="W270" s="73">
        <v>2</v>
      </c>
      <c r="X270" s="59">
        <v>11.69</v>
      </c>
      <c r="Y270" s="14">
        <v>244</v>
      </c>
      <c r="Z270" s="69">
        <v>215</v>
      </c>
      <c r="AA270" s="16">
        <f t="shared" si="380"/>
        <v>29</v>
      </c>
      <c r="AB270" s="66">
        <f t="shared" si="381"/>
        <v>0.13488372093023257</v>
      </c>
      <c r="AC270" s="107" t="s">
        <v>5472</v>
      </c>
      <c r="AD270" s="23" t="s">
        <v>256</v>
      </c>
      <c r="AE270" s="89">
        <v>44421</v>
      </c>
      <c r="AF270" s="88">
        <v>44432</v>
      </c>
      <c r="AG270" s="34">
        <f t="shared" si="382"/>
        <v>11</v>
      </c>
      <c r="AH270" s="126" t="s">
        <v>3283</v>
      </c>
      <c r="AI270" s="131"/>
    </row>
    <row r="271" spans="1:35">
      <c r="A271" s="135" t="s">
        <v>2871</v>
      </c>
      <c r="B271" s="246">
        <v>15743</v>
      </c>
      <c r="C271" s="98">
        <v>2786</v>
      </c>
      <c r="D271" s="84">
        <v>17</v>
      </c>
      <c r="E271" s="84">
        <v>217</v>
      </c>
      <c r="F271" s="59">
        <v>45.57</v>
      </c>
      <c r="G271" s="84">
        <v>2615</v>
      </c>
      <c r="H271" s="9" t="s">
        <v>551</v>
      </c>
      <c r="I271" s="23" t="s">
        <v>256</v>
      </c>
      <c r="J271" s="371">
        <v>84.93</v>
      </c>
      <c r="K271" s="371">
        <v>43.17</v>
      </c>
      <c r="L271" s="371">
        <v>8.58</v>
      </c>
      <c r="N271" s="365">
        <f t="shared" si="379"/>
        <v>136.68000000000004</v>
      </c>
      <c r="P271" s="195"/>
      <c r="Q271" s="326">
        <f>IFERROR(VLOOKUP($G271,主力整理!$A$2:$G$2301,6,0),"0")</f>
        <v>4</v>
      </c>
      <c r="R271" s="111">
        <v>32</v>
      </c>
      <c r="S271" s="51">
        <v>17</v>
      </c>
      <c r="T271" s="339">
        <f t="shared" si="383"/>
        <v>53</v>
      </c>
      <c r="V271" s="371">
        <v>25.98</v>
      </c>
      <c r="W271" s="73">
        <v>2</v>
      </c>
      <c r="X271" s="59">
        <v>11.69</v>
      </c>
      <c r="Y271" s="14">
        <v>244</v>
      </c>
      <c r="Z271" s="69">
        <v>217</v>
      </c>
      <c r="AA271" s="16">
        <f t="shared" si="380"/>
        <v>27</v>
      </c>
      <c r="AB271" s="66">
        <f t="shared" si="381"/>
        <v>0.12442396313364056</v>
      </c>
      <c r="AC271" s="107" t="s">
        <v>5440</v>
      </c>
      <c r="AD271" s="23" t="s">
        <v>256</v>
      </c>
      <c r="AE271" s="89">
        <v>44419</v>
      </c>
      <c r="AF271" s="88">
        <v>44432</v>
      </c>
      <c r="AG271" s="34">
        <f t="shared" si="382"/>
        <v>13</v>
      </c>
      <c r="AH271" s="126" t="s">
        <v>3283</v>
      </c>
      <c r="AI271" s="52"/>
    </row>
    <row r="272" spans="1:35">
      <c r="A272" s="135" t="s">
        <v>2871</v>
      </c>
      <c r="B272" s="246">
        <v>15743</v>
      </c>
      <c r="C272" s="98">
        <v>2786</v>
      </c>
      <c r="D272" s="84">
        <v>17</v>
      </c>
      <c r="E272" s="84">
        <v>217</v>
      </c>
      <c r="F272" s="59">
        <v>45.57</v>
      </c>
      <c r="G272" s="84">
        <v>2615</v>
      </c>
      <c r="H272" s="9" t="s">
        <v>551</v>
      </c>
      <c r="I272" s="23" t="s">
        <v>256</v>
      </c>
      <c r="J272" s="371">
        <v>84.93</v>
      </c>
      <c r="K272" s="371">
        <v>43.3</v>
      </c>
      <c r="L272" s="77">
        <v>8.68</v>
      </c>
      <c r="N272" s="365">
        <f t="shared" si="379"/>
        <v>136.91000000000003</v>
      </c>
      <c r="P272" s="195"/>
      <c r="Q272" s="326">
        <f>IFERROR(VLOOKUP($G272,主力整理!$A$2:$G$2301,6,0),"0")</f>
        <v>4</v>
      </c>
      <c r="R272" s="111">
        <v>32</v>
      </c>
      <c r="S272" s="51">
        <v>17</v>
      </c>
      <c r="T272" s="339">
        <f t="shared" si="383"/>
        <v>53</v>
      </c>
      <c r="V272" s="371">
        <v>24.82</v>
      </c>
      <c r="W272" s="73">
        <v>2</v>
      </c>
      <c r="X272" s="59">
        <v>11.69</v>
      </c>
      <c r="Y272" s="14">
        <v>244</v>
      </c>
      <c r="Z272" s="69">
        <v>225</v>
      </c>
      <c r="AA272" s="16">
        <f t="shared" si="380"/>
        <v>19</v>
      </c>
      <c r="AB272" s="66">
        <f t="shared" si="381"/>
        <v>8.4444444444444447E-2</v>
      </c>
      <c r="AC272" s="107" t="s">
        <v>5451</v>
      </c>
      <c r="AD272" s="23" t="s">
        <v>256</v>
      </c>
      <c r="AE272" s="89">
        <v>44418</v>
      </c>
      <c r="AF272" s="88">
        <v>44432</v>
      </c>
      <c r="AG272" s="34">
        <f t="shared" si="382"/>
        <v>14</v>
      </c>
      <c r="AH272" s="126" t="s">
        <v>3283</v>
      </c>
      <c r="AI272" s="131"/>
    </row>
    <row r="273" spans="1:35">
      <c r="A273" s="135" t="s">
        <v>2871</v>
      </c>
      <c r="B273" s="246">
        <v>15743</v>
      </c>
      <c r="C273" s="98">
        <v>2786</v>
      </c>
      <c r="D273" s="84">
        <v>17</v>
      </c>
      <c r="E273" s="84">
        <v>217</v>
      </c>
      <c r="F273" s="59">
        <v>45.57</v>
      </c>
      <c r="G273" s="84">
        <v>2615</v>
      </c>
      <c r="H273" s="9" t="s">
        <v>551</v>
      </c>
      <c r="I273" s="23" t="s">
        <v>256</v>
      </c>
      <c r="J273" s="371">
        <v>84.93</v>
      </c>
      <c r="K273" s="77">
        <v>43.54</v>
      </c>
      <c r="L273" s="77">
        <v>8.39</v>
      </c>
      <c r="N273" s="365">
        <f t="shared" si="379"/>
        <v>136.86000000000001</v>
      </c>
      <c r="P273" s="195"/>
      <c r="Q273" s="326">
        <f>IFERROR(VLOOKUP($G273,主力整理!$A$2:$G$2301,6,0),"0")</f>
        <v>4</v>
      </c>
      <c r="R273" s="111">
        <v>32</v>
      </c>
      <c r="S273" s="51">
        <v>17</v>
      </c>
      <c r="T273" s="339">
        <f t="shared" si="383"/>
        <v>53</v>
      </c>
      <c r="V273" s="371">
        <v>27.62</v>
      </c>
      <c r="W273" s="73">
        <v>2</v>
      </c>
      <c r="X273" s="59">
        <v>11.69</v>
      </c>
      <c r="Y273" s="14">
        <v>244</v>
      </c>
      <c r="Z273" s="69">
        <v>229</v>
      </c>
      <c r="AA273" s="16">
        <f t="shared" si="380"/>
        <v>15</v>
      </c>
      <c r="AB273" s="66">
        <f t="shared" si="381"/>
        <v>6.5502183406113537E-2</v>
      </c>
      <c r="AC273" s="107" t="s">
        <v>5451</v>
      </c>
      <c r="AD273" s="23" t="s">
        <v>256</v>
      </c>
      <c r="AE273" s="89">
        <v>44417</v>
      </c>
      <c r="AF273" s="88">
        <v>44432</v>
      </c>
      <c r="AG273" s="34">
        <f t="shared" si="382"/>
        <v>15</v>
      </c>
      <c r="AH273" s="126" t="s">
        <v>3283</v>
      </c>
      <c r="AI273" s="131"/>
    </row>
    <row r="274" spans="1:35">
      <c r="A274" s="135" t="s">
        <v>2871</v>
      </c>
      <c r="B274" s="246">
        <v>15743</v>
      </c>
      <c r="C274" s="98">
        <v>2786</v>
      </c>
      <c r="D274" s="84">
        <v>17</v>
      </c>
      <c r="E274" s="84">
        <v>217</v>
      </c>
      <c r="F274" s="59">
        <v>45.57</v>
      </c>
      <c r="G274" s="84">
        <v>2615</v>
      </c>
      <c r="H274" s="9" t="s">
        <v>551</v>
      </c>
      <c r="I274" s="23" t="s">
        <v>256</v>
      </c>
      <c r="J274" s="77">
        <v>85.85</v>
      </c>
      <c r="K274" s="371">
        <v>43.16</v>
      </c>
      <c r="L274" s="77">
        <v>8.16</v>
      </c>
      <c r="N274" s="365">
        <f t="shared" si="379"/>
        <v>137.16999999999999</v>
      </c>
      <c r="P274" s="195"/>
      <c r="Q274" s="326">
        <f>IFERROR(VLOOKUP($G274,主力整理!$A$2:$G$2301,6,0),"0")</f>
        <v>4</v>
      </c>
      <c r="R274" s="111">
        <v>32</v>
      </c>
      <c r="S274" s="51">
        <v>17</v>
      </c>
      <c r="T274" s="339">
        <f t="shared" si="383"/>
        <v>53</v>
      </c>
      <c r="V274" s="371">
        <v>25.37</v>
      </c>
      <c r="W274" s="73">
        <v>2</v>
      </c>
      <c r="X274" s="59">
        <v>11.69</v>
      </c>
      <c r="Y274" s="14">
        <v>244</v>
      </c>
      <c r="Z274" s="69">
        <v>231</v>
      </c>
      <c r="AA274" s="16">
        <f t="shared" si="380"/>
        <v>13</v>
      </c>
      <c r="AB274" s="66">
        <f t="shared" si="381"/>
        <v>5.627705627705628E-2</v>
      </c>
      <c r="AC274" s="107" t="s">
        <v>5444</v>
      </c>
      <c r="AD274" s="23" t="s">
        <v>256</v>
      </c>
      <c r="AE274" s="89">
        <v>44414</v>
      </c>
      <c r="AF274" s="88">
        <v>44432</v>
      </c>
      <c r="AG274" s="34">
        <f t="shared" si="382"/>
        <v>18</v>
      </c>
      <c r="AH274" s="126" t="s">
        <v>3283</v>
      </c>
      <c r="AI274" s="131"/>
    </row>
    <row r="275" spans="1:35">
      <c r="A275" s="135" t="s">
        <v>2871</v>
      </c>
      <c r="B275" s="246">
        <v>15743</v>
      </c>
      <c r="C275" s="98">
        <v>2786</v>
      </c>
      <c r="D275" s="84">
        <v>17</v>
      </c>
      <c r="E275" s="84">
        <v>217</v>
      </c>
      <c r="F275" s="59">
        <v>45.57</v>
      </c>
      <c r="G275" s="84">
        <v>2615</v>
      </c>
      <c r="H275" s="9" t="s">
        <v>551</v>
      </c>
      <c r="I275" s="23" t="s">
        <v>256</v>
      </c>
      <c r="J275" s="77">
        <v>85.85</v>
      </c>
      <c r="K275" s="371">
        <v>43.41</v>
      </c>
      <c r="L275" s="371">
        <v>7.75</v>
      </c>
      <c r="N275" s="365">
        <f t="shared" si="379"/>
        <v>137.01</v>
      </c>
      <c r="P275" s="195"/>
      <c r="Q275" s="326">
        <f>IFERROR(VLOOKUP($G275,主力整理!$A$2:$G$2301,6,0),"0")</f>
        <v>4</v>
      </c>
      <c r="R275" s="111">
        <v>32</v>
      </c>
      <c r="S275" s="51">
        <v>16</v>
      </c>
      <c r="T275" s="339">
        <f t="shared" si="383"/>
        <v>52</v>
      </c>
      <c r="V275" s="371">
        <v>28.46</v>
      </c>
      <c r="W275" s="73">
        <v>2</v>
      </c>
      <c r="X275" s="59">
        <v>11.69</v>
      </c>
      <c r="Y275" s="14">
        <v>244</v>
      </c>
      <c r="Z275" s="69">
        <v>233</v>
      </c>
      <c r="AA275" s="16">
        <f t="shared" si="380"/>
        <v>11</v>
      </c>
      <c r="AB275" s="66">
        <f t="shared" si="381"/>
        <v>4.7210300429184553E-2</v>
      </c>
      <c r="AC275" s="107" t="s">
        <v>5438</v>
      </c>
      <c r="AD275" s="23" t="s">
        <v>256</v>
      </c>
      <c r="AE275" s="89">
        <v>44411</v>
      </c>
      <c r="AF275" s="88">
        <v>44432</v>
      </c>
      <c r="AG275" s="34">
        <f t="shared" si="382"/>
        <v>21</v>
      </c>
      <c r="AH275" s="126" t="s">
        <v>3283</v>
      </c>
      <c r="AI275" s="131"/>
    </row>
    <row r="276" spans="1:35">
      <c r="A276" s="135" t="s">
        <v>2871</v>
      </c>
      <c r="B276" s="246">
        <v>15743</v>
      </c>
      <c r="C276" s="98">
        <v>2786</v>
      </c>
      <c r="D276" s="84">
        <v>17</v>
      </c>
      <c r="E276" s="84">
        <v>217</v>
      </c>
      <c r="F276" s="59">
        <v>45.57</v>
      </c>
      <c r="G276" s="84">
        <v>2615</v>
      </c>
      <c r="H276" s="9" t="s">
        <v>551</v>
      </c>
      <c r="I276" s="23" t="s">
        <v>256</v>
      </c>
      <c r="J276" s="77">
        <v>85.85</v>
      </c>
      <c r="K276" s="77">
        <v>43.57</v>
      </c>
      <c r="L276" s="77">
        <v>7.88</v>
      </c>
      <c r="N276" s="365">
        <f t="shared" ref="N276:N307" si="384">K276+J276+L276</f>
        <v>137.29999999999998</v>
      </c>
      <c r="P276" s="195"/>
      <c r="Q276" s="326">
        <f>IFERROR(VLOOKUP($G276,主力整理!$A$2:$G$2301,6,0),"0")</f>
        <v>4</v>
      </c>
      <c r="R276" s="111">
        <v>32</v>
      </c>
      <c r="S276" s="51">
        <v>16</v>
      </c>
      <c r="T276" s="339">
        <f t="shared" si="383"/>
        <v>52</v>
      </c>
      <c r="V276" s="371">
        <v>32.08</v>
      </c>
      <c r="W276" s="73">
        <v>2</v>
      </c>
      <c r="X276" s="59">
        <v>11.69</v>
      </c>
      <c r="Y276" s="14">
        <v>244</v>
      </c>
      <c r="Z276" s="69">
        <v>229</v>
      </c>
      <c r="AA276" s="16">
        <f t="shared" ref="AA276:AA307" si="385">Y276-Z276</f>
        <v>15</v>
      </c>
      <c r="AB276" s="66">
        <f t="shared" ref="AB276:AB307" si="386">AA276/Z276</f>
        <v>6.5502183406113537E-2</v>
      </c>
      <c r="AC276" s="107" t="s">
        <v>5427</v>
      </c>
      <c r="AD276" s="23" t="s">
        <v>256</v>
      </c>
      <c r="AE276" s="89">
        <v>44411</v>
      </c>
      <c r="AF276" s="88">
        <v>44432</v>
      </c>
      <c r="AG276" s="34">
        <f t="shared" ref="AG276:AG307" si="387">AF276-AE276</f>
        <v>21</v>
      </c>
      <c r="AH276" s="126" t="s">
        <v>3283</v>
      </c>
      <c r="AI276" s="131"/>
    </row>
    <row r="277" spans="1:35">
      <c r="A277" s="135" t="s">
        <v>2871</v>
      </c>
      <c r="B277" s="246">
        <v>15743</v>
      </c>
      <c r="C277" s="98">
        <v>2786</v>
      </c>
      <c r="D277" s="84">
        <v>17</v>
      </c>
      <c r="E277" s="84">
        <v>217</v>
      </c>
      <c r="F277" s="59">
        <v>45.57</v>
      </c>
      <c r="G277" s="84">
        <v>2615</v>
      </c>
      <c r="H277" s="9" t="s">
        <v>551</v>
      </c>
      <c r="I277" s="23" t="s">
        <v>256</v>
      </c>
      <c r="J277" s="77">
        <v>85.85</v>
      </c>
      <c r="K277" s="77">
        <v>43.57</v>
      </c>
      <c r="L277" s="371">
        <v>7.72</v>
      </c>
      <c r="N277" s="365">
        <f t="shared" si="384"/>
        <v>137.13999999999999</v>
      </c>
      <c r="P277" s="195"/>
      <c r="Q277" s="326">
        <f>IFERROR(VLOOKUP($G277,主力整理!$A$2:$G$2301,6,0),"0")</f>
        <v>4</v>
      </c>
      <c r="R277" s="111">
        <v>32</v>
      </c>
      <c r="S277" s="51">
        <v>16</v>
      </c>
      <c r="T277" s="339">
        <f t="shared" si="383"/>
        <v>52</v>
      </c>
      <c r="V277" s="371">
        <v>35.03</v>
      </c>
      <c r="W277" s="73">
        <v>2</v>
      </c>
      <c r="X277" s="59">
        <v>11.69</v>
      </c>
      <c r="Y277" s="14">
        <v>244</v>
      </c>
      <c r="Z277" s="69">
        <v>232</v>
      </c>
      <c r="AA277" s="16">
        <f t="shared" si="385"/>
        <v>12</v>
      </c>
      <c r="AB277" s="66">
        <f t="shared" si="386"/>
        <v>5.1724137931034482E-2</v>
      </c>
      <c r="AC277" s="107" t="s">
        <v>5427</v>
      </c>
      <c r="AD277" s="23" t="s">
        <v>256</v>
      </c>
      <c r="AE277" s="89">
        <v>44410</v>
      </c>
      <c r="AF277" s="88">
        <v>44432</v>
      </c>
      <c r="AG277" s="34">
        <f t="shared" si="387"/>
        <v>22</v>
      </c>
      <c r="AH277" s="126" t="s">
        <v>3283</v>
      </c>
      <c r="AI277" s="131"/>
    </row>
    <row r="278" spans="1:35">
      <c r="A278" s="135" t="s">
        <v>5396</v>
      </c>
      <c r="B278" s="98">
        <v>2783</v>
      </c>
      <c r="C278" s="98">
        <v>1586</v>
      </c>
      <c r="D278" s="84">
        <v>21</v>
      </c>
      <c r="E278" s="84">
        <v>168</v>
      </c>
      <c r="F278" s="59">
        <v>50.54</v>
      </c>
      <c r="G278" s="84">
        <v>2603</v>
      </c>
      <c r="H278" s="5" t="s">
        <v>551</v>
      </c>
      <c r="I278" s="23" t="s">
        <v>486</v>
      </c>
      <c r="J278" s="371">
        <v>57.24</v>
      </c>
      <c r="K278" s="77">
        <v>29.47</v>
      </c>
      <c r="L278" s="77">
        <v>21.27</v>
      </c>
      <c r="N278" s="365">
        <f t="shared" si="384"/>
        <v>107.98</v>
      </c>
      <c r="P278" s="195"/>
      <c r="Q278" s="326">
        <f>IFERROR(VLOOKUP($G278,主力整理!$A$2:$G$2301,6,0),"0")</f>
        <v>6</v>
      </c>
      <c r="R278" s="111">
        <v>23</v>
      </c>
      <c r="S278" s="51">
        <v>35</v>
      </c>
      <c r="T278" s="339">
        <f t="shared" si="383"/>
        <v>64</v>
      </c>
      <c r="V278" s="371">
        <v>2.74</v>
      </c>
      <c r="W278" s="35">
        <v>2.4900000000000002</v>
      </c>
      <c r="X278" s="59">
        <v>19.93</v>
      </c>
      <c r="Y278" s="37">
        <v>140</v>
      </c>
      <c r="Z278" s="46">
        <v>144</v>
      </c>
      <c r="AA278" s="16">
        <f t="shared" si="385"/>
        <v>-4</v>
      </c>
      <c r="AB278" s="80">
        <f t="shared" si="386"/>
        <v>-2.7777777777777776E-2</v>
      </c>
      <c r="AC278" s="107" t="s">
        <v>5511</v>
      </c>
      <c r="AD278" s="23" t="s">
        <v>486</v>
      </c>
      <c r="AE278" s="89">
        <v>44431</v>
      </c>
      <c r="AF278" s="88">
        <v>44432</v>
      </c>
      <c r="AG278" s="34">
        <f t="shared" si="387"/>
        <v>1</v>
      </c>
      <c r="AH278" s="126" t="s">
        <v>5209</v>
      </c>
      <c r="AI278" s="131"/>
    </row>
    <row r="279" spans="1:35">
      <c r="A279" s="135" t="s">
        <v>5396</v>
      </c>
      <c r="B279" s="98">
        <v>2783</v>
      </c>
      <c r="C279" s="98">
        <v>1586</v>
      </c>
      <c r="D279" s="84">
        <v>21</v>
      </c>
      <c r="E279" s="84">
        <v>168</v>
      </c>
      <c r="F279" s="59">
        <v>50.54</v>
      </c>
      <c r="G279" s="84">
        <v>2603</v>
      </c>
      <c r="H279" s="5" t="s">
        <v>551</v>
      </c>
      <c r="I279" s="23" t="s">
        <v>486</v>
      </c>
      <c r="J279" s="371">
        <v>57.76</v>
      </c>
      <c r="K279" s="77">
        <v>29.47</v>
      </c>
      <c r="L279" s="77">
        <v>21.96</v>
      </c>
      <c r="N279" s="365">
        <f t="shared" si="384"/>
        <v>109.19</v>
      </c>
      <c r="P279" s="195"/>
      <c r="Q279" s="326">
        <f>IFERROR(VLOOKUP($G279,主力整理!$A$2:$G$2301,6,0),"0")</f>
        <v>6</v>
      </c>
      <c r="R279" s="111">
        <v>22</v>
      </c>
      <c r="S279" s="51">
        <v>34</v>
      </c>
      <c r="T279" s="339">
        <f t="shared" si="383"/>
        <v>62</v>
      </c>
      <c r="V279" s="371">
        <v>1.93</v>
      </c>
      <c r="W279" s="35">
        <v>2.4900000000000002</v>
      </c>
      <c r="X279" s="59">
        <v>19.93</v>
      </c>
      <c r="Y279" s="37">
        <v>140</v>
      </c>
      <c r="Z279" s="46">
        <v>128</v>
      </c>
      <c r="AA279" s="16">
        <f t="shared" si="385"/>
        <v>12</v>
      </c>
      <c r="AB279" s="66">
        <f t="shared" si="386"/>
        <v>9.375E-2</v>
      </c>
      <c r="AC279" s="107" t="s">
        <v>5411</v>
      </c>
      <c r="AD279" s="23" t="s">
        <v>486</v>
      </c>
      <c r="AE279" s="89">
        <v>44426</v>
      </c>
      <c r="AF279" s="88">
        <v>44432</v>
      </c>
      <c r="AG279" s="34">
        <f t="shared" si="387"/>
        <v>6</v>
      </c>
      <c r="AH279" s="126" t="s">
        <v>5209</v>
      </c>
      <c r="AI279" s="131"/>
    </row>
    <row r="280" spans="1:35">
      <c r="A280" s="135" t="s">
        <v>5396</v>
      </c>
      <c r="B280" s="98">
        <v>2783</v>
      </c>
      <c r="C280" s="98">
        <v>1586</v>
      </c>
      <c r="D280" s="84">
        <v>21</v>
      </c>
      <c r="E280" s="84">
        <v>168</v>
      </c>
      <c r="F280" s="59">
        <v>50.54</v>
      </c>
      <c r="G280" s="84">
        <v>2603</v>
      </c>
      <c r="H280" s="9" t="s">
        <v>551</v>
      </c>
      <c r="I280" s="23" t="s">
        <v>486</v>
      </c>
      <c r="J280" s="371">
        <v>57.76</v>
      </c>
      <c r="K280" s="371">
        <v>29.07</v>
      </c>
      <c r="L280" s="371">
        <v>20.76</v>
      </c>
      <c r="N280" s="365">
        <f t="shared" si="384"/>
        <v>107.59</v>
      </c>
      <c r="P280" s="195"/>
      <c r="Q280" s="326">
        <f>IFERROR(VLOOKUP($G280,主力整理!$A$2:$G$2301,6,0),"0")</f>
        <v>6</v>
      </c>
      <c r="R280" s="111">
        <v>22</v>
      </c>
      <c r="S280" s="51">
        <v>34</v>
      </c>
      <c r="T280" s="339">
        <f t="shared" si="383"/>
        <v>62</v>
      </c>
      <c r="V280" s="371">
        <v>0</v>
      </c>
      <c r="W280" s="35">
        <v>2.4900000000000002</v>
      </c>
      <c r="X280" s="59">
        <v>19.93</v>
      </c>
      <c r="Y280" s="37">
        <v>140</v>
      </c>
      <c r="Z280" s="46">
        <v>136</v>
      </c>
      <c r="AA280" s="16">
        <f t="shared" si="385"/>
        <v>4</v>
      </c>
      <c r="AB280" s="66">
        <f t="shared" si="386"/>
        <v>2.9411764705882353E-2</v>
      </c>
      <c r="AC280" s="107" t="s">
        <v>5483</v>
      </c>
      <c r="AD280" s="23" t="s">
        <v>486</v>
      </c>
      <c r="AE280" s="89">
        <v>44426</v>
      </c>
      <c r="AF280" s="88">
        <v>44432</v>
      </c>
      <c r="AG280" s="34">
        <f t="shared" si="387"/>
        <v>6</v>
      </c>
      <c r="AH280" s="126" t="s">
        <v>5209</v>
      </c>
      <c r="AI280" s="131"/>
    </row>
    <row r="281" spans="1:35">
      <c r="A281" s="135" t="s">
        <v>5396</v>
      </c>
      <c r="B281" s="98">
        <v>2783</v>
      </c>
      <c r="C281" s="98">
        <v>1586</v>
      </c>
      <c r="D281" s="84">
        <v>21</v>
      </c>
      <c r="E281" s="84">
        <v>168</v>
      </c>
      <c r="F281" s="59">
        <v>50.54</v>
      </c>
      <c r="G281" s="84">
        <v>2603</v>
      </c>
      <c r="H281" s="9" t="s">
        <v>551</v>
      </c>
      <c r="I281" s="23" t="s">
        <v>486</v>
      </c>
      <c r="J281" s="371">
        <v>58.33</v>
      </c>
      <c r="K281" s="77">
        <v>28.95</v>
      </c>
      <c r="L281" s="77">
        <v>22.17</v>
      </c>
      <c r="N281" s="365">
        <f t="shared" si="384"/>
        <v>109.45</v>
      </c>
      <c r="P281" s="195"/>
      <c r="Q281" s="326">
        <f>IFERROR(VLOOKUP($G281,主力整理!$A$2:$G$2301,6,0),"0")</f>
        <v>6</v>
      </c>
      <c r="R281" s="111">
        <v>22</v>
      </c>
      <c r="S281" s="51">
        <v>34</v>
      </c>
      <c r="T281" s="339">
        <f t="shared" si="383"/>
        <v>62</v>
      </c>
      <c r="V281" s="371">
        <v>0.02</v>
      </c>
      <c r="W281" s="35">
        <v>2.4900000000000002</v>
      </c>
      <c r="X281" s="59">
        <v>19.93</v>
      </c>
      <c r="Y281" s="37">
        <v>140</v>
      </c>
      <c r="Z281" s="46">
        <v>130.5</v>
      </c>
      <c r="AA281" s="16">
        <f t="shared" si="385"/>
        <v>9.5</v>
      </c>
      <c r="AB281" s="66">
        <f t="shared" si="386"/>
        <v>7.2796934865900387E-2</v>
      </c>
      <c r="AC281" s="107" t="s">
        <v>5426</v>
      </c>
      <c r="AD281" s="23" t="s">
        <v>486</v>
      </c>
      <c r="AE281" s="89">
        <v>44421</v>
      </c>
      <c r="AF281" s="88">
        <v>44432</v>
      </c>
      <c r="AG281" s="34">
        <f t="shared" si="387"/>
        <v>11</v>
      </c>
      <c r="AH281" s="126" t="s">
        <v>5209</v>
      </c>
      <c r="AI281" s="131"/>
    </row>
    <row r="282" spans="1:35">
      <c r="A282" s="135" t="s">
        <v>5396</v>
      </c>
      <c r="B282" s="98">
        <v>2783</v>
      </c>
      <c r="C282" s="98">
        <v>1586</v>
      </c>
      <c r="D282" s="84">
        <v>21</v>
      </c>
      <c r="E282" s="84">
        <v>168</v>
      </c>
      <c r="F282" s="59">
        <v>50.54</v>
      </c>
      <c r="G282" s="84">
        <v>2603</v>
      </c>
      <c r="H282" s="9" t="s">
        <v>551</v>
      </c>
      <c r="I282" s="23" t="s">
        <v>486</v>
      </c>
      <c r="J282" s="77">
        <v>55.76</v>
      </c>
      <c r="K282" s="371">
        <v>12.83</v>
      </c>
      <c r="L282" s="371">
        <v>23.69</v>
      </c>
      <c r="N282" s="365">
        <f t="shared" si="384"/>
        <v>92.28</v>
      </c>
      <c r="P282" s="195"/>
      <c r="Q282" s="326">
        <f>IFERROR(VLOOKUP($G282,主力整理!$A$2:$G$2301,6,0),"0")</f>
        <v>6</v>
      </c>
      <c r="R282" s="111">
        <v>22</v>
      </c>
      <c r="S282" s="51">
        <v>34</v>
      </c>
      <c r="T282" s="339">
        <f t="shared" si="383"/>
        <v>62</v>
      </c>
      <c r="V282" s="371">
        <v>4.58</v>
      </c>
      <c r="W282" s="35">
        <v>2.4900000000000002</v>
      </c>
      <c r="X282" s="59">
        <v>12.45</v>
      </c>
      <c r="Y282" s="37">
        <v>140</v>
      </c>
      <c r="Z282" s="46">
        <v>139.5</v>
      </c>
      <c r="AA282" s="16">
        <f t="shared" si="385"/>
        <v>0.5</v>
      </c>
      <c r="AB282" s="66">
        <f t="shared" si="386"/>
        <v>3.5842293906810036E-3</v>
      </c>
      <c r="AC282" s="107" t="s">
        <v>5450</v>
      </c>
      <c r="AD282" s="23" t="s">
        <v>486</v>
      </c>
      <c r="AE282" s="89">
        <v>44418</v>
      </c>
      <c r="AF282" s="88">
        <v>44432</v>
      </c>
      <c r="AG282" s="34">
        <f t="shared" si="387"/>
        <v>14</v>
      </c>
      <c r="AH282" s="126" t="s">
        <v>5209</v>
      </c>
      <c r="AI282" s="131"/>
    </row>
    <row r="283" spans="1:35">
      <c r="A283" s="135" t="s">
        <v>5396</v>
      </c>
      <c r="B283" s="98">
        <v>5673</v>
      </c>
      <c r="C283" s="98">
        <v>8760</v>
      </c>
      <c r="D283" s="84">
        <v>9</v>
      </c>
      <c r="E283" s="84">
        <v>140</v>
      </c>
      <c r="F283" s="59">
        <v>48.9</v>
      </c>
      <c r="G283" s="84">
        <v>2603</v>
      </c>
      <c r="H283" s="9" t="s">
        <v>551</v>
      </c>
      <c r="I283" s="23" t="s">
        <v>486</v>
      </c>
      <c r="J283" s="371">
        <v>58.33</v>
      </c>
      <c r="K283" s="77">
        <v>29.69</v>
      </c>
      <c r="L283" s="77">
        <v>22.49</v>
      </c>
      <c r="N283" s="365">
        <f t="shared" si="384"/>
        <v>110.50999999999999</v>
      </c>
      <c r="P283" s="195"/>
      <c r="Q283" s="326">
        <f>IFERROR(VLOOKUP($G283,主力整理!$A$2:$G$2301,6,0),"0")</f>
        <v>6</v>
      </c>
      <c r="R283" s="111">
        <v>22</v>
      </c>
      <c r="S283" s="51">
        <v>34</v>
      </c>
      <c r="T283" s="339">
        <f t="shared" si="383"/>
        <v>62</v>
      </c>
      <c r="V283" s="371">
        <v>3.31</v>
      </c>
      <c r="W283" s="35">
        <v>2.4900000000000002</v>
      </c>
      <c r="X283" s="59">
        <v>12.45</v>
      </c>
      <c r="Y283" s="37">
        <v>140</v>
      </c>
      <c r="Z283" s="46">
        <v>142.5</v>
      </c>
      <c r="AA283" s="16">
        <f t="shared" si="385"/>
        <v>-2.5</v>
      </c>
      <c r="AB283" s="80">
        <f t="shared" si="386"/>
        <v>-1.7543859649122806E-2</v>
      </c>
      <c r="AC283" s="107" t="s">
        <v>5450</v>
      </c>
      <c r="AD283" s="23" t="s">
        <v>486</v>
      </c>
      <c r="AE283" s="89">
        <v>44417</v>
      </c>
      <c r="AF283" s="88">
        <v>44432</v>
      </c>
      <c r="AG283" s="34">
        <f t="shared" si="387"/>
        <v>15</v>
      </c>
      <c r="AH283" s="126" t="s">
        <v>5209</v>
      </c>
      <c r="AI283" s="131"/>
    </row>
    <row r="284" spans="1:35">
      <c r="A284" s="135" t="s">
        <v>5396</v>
      </c>
      <c r="B284" s="98">
        <v>5673</v>
      </c>
      <c r="C284" s="98">
        <v>8760</v>
      </c>
      <c r="D284" s="84">
        <v>9</v>
      </c>
      <c r="E284" s="84">
        <v>140</v>
      </c>
      <c r="F284" s="59">
        <v>48.9</v>
      </c>
      <c r="G284" s="84">
        <v>2603</v>
      </c>
      <c r="H284" s="9" t="s">
        <v>551</v>
      </c>
      <c r="I284" s="23" t="s">
        <v>486</v>
      </c>
      <c r="J284" s="77">
        <v>60.05</v>
      </c>
      <c r="K284" s="371">
        <v>29.34</v>
      </c>
      <c r="L284" s="77">
        <v>22.44</v>
      </c>
      <c r="N284" s="365">
        <f t="shared" si="384"/>
        <v>111.83</v>
      </c>
      <c r="P284" s="195"/>
      <c r="Q284" s="326">
        <f>IFERROR(VLOOKUP($G284,主力整理!$A$2:$G$2301,6,0),"0")</f>
        <v>6</v>
      </c>
      <c r="R284" s="111">
        <v>22</v>
      </c>
      <c r="S284" s="51">
        <v>34</v>
      </c>
      <c r="T284" s="339">
        <f t="shared" si="383"/>
        <v>62</v>
      </c>
      <c r="V284" s="371">
        <v>3.62</v>
      </c>
      <c r="W284" s="35">
        <v>2.4900000000000002</v>
      </c>
      <c r="X284" s="59">
        <v>12.45</v>
      </c>
      <c r="Y284" s="37">
        <v>140</v>
      </c>
      <c r="Z284" s="46">
        <v>142</v>
      </c>
      <c r="AA284" s="16">
        <f t="shared" si="385"/>
        <v>-2</v>
      </c>
      <c r="AB284" s="80">
        <f t="shared" si="386"/>
        <v>-1.4084507042253521E-2</v>
      </c>
      <c r="AC284" s="107" t="s">
        <v>5443</v>
      </c>
      <c r="AD284" s="23" t="s">
        <v>486</v>
      </c>
      <c r="AE284" s="89">
        <v>44414</v>
      </c>
      <c r="AF284" s="88">
        <v>44432</v>
      </c>
      <c r="AG284" s="34">
        <f t="shared" si="387"/>
        <v>18</v>
      </c>
      <c r="AH284" s="126" t="s">
        <v>5209</v>
      </c>
      <c r="AI284" s="131"/>
    </row>
    <row r="285" spans="1:35">
      <c r="A285" s="135" t="s">
        <v>5396</v>
      </c>
      <c r="B285" s="98">
        <v>5673</v>
      </c>
      <c r="C285" s="98">
        <v>8760</v>
      </c>
      <c r="D285" s="84">
        <v>9</v>
      </c>
      <c r="E285" s="84">
        <v>140</v>
      </c>
      <c r="F285" s="59">
        <v>48.9</v>
      </c>
      <c r="G285" s="84">
        <v>2603</v>
      </c>
      <c r="H285" s="5" t="s">
        <v>551</v>
      </c>
      <c r="I285" s="23" t="s">
        <v>486</v>
      </c>
      <c r="J285" s="77">
        <v>60.05</v>
      </c>
      <c r="K285" s="371">
        <v>29.61</v>
      </c>
      <c r="L285" s="371">
        <v>22.04</v>
      </c>
      <c r="N285" s="365">
        <f t="shared" si="384"/>
        <v>111.69999999999999</v>
      </c>
      <c r="P285" s="195"/>
      <c r="Q285" s="326">
        <f>IFERROR(VLOOKUP($G285,主力整理!$A$2:$G$2301,6,0),"0")</f>
        <v>6</v>
      </c>
      <c r="R285" s="111">
        <v>22</v>
      </c>
      <c r="S285" s="51">
        <v>34</v>
      </c>
      <c r="T285" s="339">
        <f t="shared" si="383"/>
        <v>62</v>
      </c>
      <c r="V285" s="371">
        <v>4.03</v>
      </c>
      <c r="W285" s="35">
        <v>2.4900000000000002</v>
      </c>
      <c r="X285" s="59">
        <v>12.45</v>
      </c>
      <c r="Y285" s="37">
        <v>140</v>
      </c>
      <c r="Z285" s="46">
        <v>143.5</v>
      </c>
      <c r="AA285" s="16">
        <f t="shared" si="385"/>
        <v>-3.5</v>
      </c>
      <c r="AB285" s="80">
        <f t="shared" si="386"/>
        <v>-2.4390243902439025E-2</v>
      </c>
      <c r="AC285" s="107" t="s">
        <v>5437</v>
      </c>
      <c r="AD285" s="23" t="s">
        <v>486</v>
      </c>
      <c r="AE285" s="89">
        <v>44411</v>
      </c>
      <c r="AF285" s="88">
        <v>44432</v>
      </c>
      <c r="AG285" s="34">
        <f t="shared" si="387"/>
        <v>21</v>
      </c>
      <c r="AH285" s="126" t="s">
        <v>5209</v>
      </c>
      <c r="AI285" s="131"/>
    </row>
    <row r="286" spans="1:35">
      <c r="A286" s="135" t="s">
        <v>5396</v>
      </c>
      <c r="B286" s="98">
        <v>5673</v>
      </c>
      <c r="C286" s="98">
        <v>8760</v>
      </c>
      <c r="D286" s="84">
        <v>9</v>
      </c>
      <c r="E286" s="84">
        <v>140</v>
      </c>
      <c r="F286" s="59">
        <v>48.9</v>
      </c>
      <c r="G286" s="84">
        <v>2603</v>
      </c>
      <c r="H286" s="5" t="s">
        <v>551</v>
      </c>
      <c r="I286" s="23" t="s">
        <v>486</v>
      </c>
      <c r="J286" s="77">
        <v>60.05</v>
      </c>
      <c r="K286" s="77">
        <v>29.87</v>
      </c>
      <c r="L286" s="77">
        <v>22.37</v>
      </c>
      <c r="N286" s="365">
        <f t="shared" si="384"/>
        <v>112.29</v>
      </c>
      <c r="P286" s="195"/>
      <c r="Q286" s="326">
        <f>IFERROR(VLOOKUP($G286,主力整理!$A$2:$G$2301,6,0),"0")</f>
        <v>6</v>
      </c>
      <c r="R286" s="111">
        <v>22</v>
      </c>
      <c r="S286" s="51">
        <v>34</v>
      </c>
      <c r="T286" s="339">
        <f t="shared" si="383"/>
        <v>62</v>
      </c>
      <c r="V286" s="371">
        <v>4.04</v>
      </c>
      <c r="W286" s="35">
        <v>2.4900000000000002</v>
      </c>
      <c r="X286" s="59">
        <v>12.45</v>
      </c>
      <c r="Y286" s="37">
        <v>140</v>
      </c>
      <c r="Z286" s="46">
        <v>141</v>
      </c>
      <c r="AA286" s="16">
        <f t="shared" si="385"/>
        <v>-1</v>
      </c>
      <c r="AB286" s="80">
        <f t="shared" si="386"/>
        <v>-7.0921985815602835E-3</v>
      </c>
      <c r="AC286" s="107" t="s">
        <v>5426</v>
      </c>
      <c r="AD286" s="23" t="s">
        <v>486</v>
      </c>
      <c r="AE286" s="89">
        <v>44411</v>
      </c>
      <c r="AF286" s="88">
        <v>44432</v>
      </c>
      <c r="AG286" s="34">
        <f t="shared" si="387"/>
        <v>21</v>
      </c>
      <c r="AH286" s="126" t="s">
        <v>5209</v>
      </c>
      <c r="AI286" s="131"/>
    </row>
    <row r="287" spans="1:35">
      <c r="A287" s="135" t="s">
        <v>5396</v>
      </c>
      <c r="B287" s="98">
        <v>5673</v>
      </c>
      <c r="C287" s="98">
        <v>8760</v>
      </c>
      <c r="D287" s="84">
        <v>9</v>
      </c>
      <c r="E287" s="84">
        <v>140</v>
      </c>
      <c r="F287" s="59">
        <v>48.9</v>
      </c>
      <c r="G287" s="84">
        <v>2603</v>
      </c>
      <c r="H287" s="5" t="s">
        <v>551</v>
      </c>
      <c r="I287" s="23" t="s">
        <v>486</v>
      </c>
      <c r="J287" s="77">
        <v>60.05</v>
      </c>
      <c r="K287" s="77">
        <v>29.87</v>
      </c>
      <c r="L287" s="371">
        <v>21.15</v>
      </c>
      <c r="N287" s="365">
        <f t="shared" si="384"/>
        <v>111.07</v>
      </c>
      <c r="P287" s="195"/>
      <c r="Q287" s="326">
        <f>IFERROR(VLOOKUP($G287,主力整理!$A$2:$G$2301,6,0),"0")</f>
        <v>6</v>
      </c>
      <c r="R287" s="111">
        <v>22</v>
      </c>
      <c r="S287" s="51">
        <v>34</v>
      </c>
      <c r="T287" s="339">
        <f t="shared" si="383"/>
        <v>62</v>
      </c>
      <c r="V287" s="371">
        <v>4.6500000000000004</v>
      </c>
      <c r="W287" s="35">
        <v>2.4900000000000002</v>
      </c>
      <c r="X287" s="59">
        <v>12.45</v>
      </c>
      <c r="Y287" s="37">
        <v>140</v>
      </c>
      <c r="Z287" s="46">
        <v>141.5</v>
      </c>
      <c r="AA287" s="16">
        <f t="shared" si="385"/>
        <v>-1.5</v>
      </c>
      <c r="AB287" s="80">
        <f t="shared" si="386"/>
        <v>-1.0600706713780919E-2</v>
      </c>
      <c r="AC287" s="107" t="s">
        <v>5426</v>
      </c>
      <c r="AD287" s="23" t="s">
        <v>486</v>
      </c>
      <c r="AE287" s="89">
        <v>44410</v>
      </c>
      <c r="AF287" s="88">
        <v>44432</v>
      </c>
      <c r="AG287" s="34">
        <f t="shared" si="387"/>
        <v>22</v>
      </c>
      <c r="AH287" s="126" t="s">
        <v>5209</v>
      </c>
      <c r="AI287" s="131"/>
    </row>
    <row r="288" spans="1:35">
      <c r="A288" s="135" t="s">
        <v>5396</v>
      </c>
      <c r="B288" s="98">
        <v>5673</v>
      </c>
      <c r="C288" s="98">
        <v>8760</v>
      </c>
      <c r="D288" s="84">
        <v>9</v>
      </c>
      <c r="E288" s="84">
        <v>140</v>
      </c>
      <c r="F288" s="59">
        <v>48.9</v>
      </c>
      <c r="G288" s="84">
        <v>2603</v>
      </c>
      <c r="H288" s="5" t="s">
        <v>551</v>
      </c>
      <c r="I288" s="23" t="s">
        <v>486</v>
      </c>
      <c r="J288" s="371">
        <v>59.42</v>
      </c>
      <c r="K288" s="77">
        <v>30.45</v>
      </c>
      <c r="L288" s="77">
        <v>21.66</v>
      </c>
      <c r="N288" s="365">
        <f t="shared" si="384"/>
        <v>111.53</v>
      </c>
      <c r="P288" s="195"/>
      <c r="Q288" s="326">
        <f>IFERROR(VLOOKUP($G288,主力整理!$A$2:$G$2301,6,0),"0")</f>
        <v>6</v>
      </c>
      <c r="R288" s="111">
        <v>21</v>
      </c>
      <c r="S288" s="51">
        <v>34</v>
      </c>
      <c r="T288" s="339">
        <f t="shared" si="383"/>
        <v>61</v>
      </c>
      <c r="V288" s="371">
        <v>3.1</v>
      </c>
      <c r="W288" s="35">
        <v>2.4900000000000002</v>
      </c>
      <c r="X288" s="59">
        <v>12.45</v>
      </c>
      <c r="Y288" s="37">
        <v>140</v>
      </c>
      <c r="Z288" s="46">
        <v>144.5</v>
      </c>
      <c r="AA288" s="16">
        <f t="shared" si="385"/>
        <v>-4.5</v>
      </c>
      <c r="AB288" s="80">
        <f t="shared" si="386"/>
        <v>-3.1141868512110725E-2</v>
      </c>
      <c r="AC288" s="107" t="s">
        <v>5411</v>
      </c>
      <c r="AD288" s="23" t="s">
        <v>486</v>
      </c>
      <c r="AE288" s="89">
        <v>44406</v>
      </c>
      <c r="AF288" s="88">
        <v>44432</v>
      </c>
      <c r="AG288" s="34">
        <f t="shared" si="387"/>
        <v>26</v>
      </c>
      <c r="AH288" s="126" t="s">
        <v>5209</v>
      </c>
      <c r="AI288" s="131"/>
    </row>
    <row r="289" spans="1:35">
      <c r="A289" s="135" t="s">
        <v>5396</v>
      </c>
      <c r="B289" s="98">
        <v>5673</v>
      </c>
      <c r="C289" s="98">
        <v>8760</v>
      </c>
      <c r="D289" s="84">
        <v>9</v>
      </c>
      <c r="E289" s="84">
        <v>140</v>
      </c>
      <c r="F289" s="59">
        <v>48.9</v>
      </c>
      <c r="G289" s="84">
        <v>2603</v>
      </c>
      <c r="H289" s="5" t="s">
        <v>551</v>
      </c>
      <c r="I289" s="23" t="s">
        <v>486</v>
      </c>
      <c r="J289" s="371">
        <v>59.42</v>
      </c>
      <c r="K289" s="77">
        <v>30.82</v>
      </c>
      <c r="L289" s="77">
        <v>20.75</v>
      </c>
      <c r="N289" s="365">
        <f t="shared" si="384"/>
        <v>110.99000000000001</v>
      </c>
      <c r="P289" s="195"/>
      <c r="Q289" s="326">
        <f>IFERROR(VLOOKUP($G289,主力整理!$A$2:$G$2301,6,0),"0")</f>
        <v>6</v>
      </c>
      <c r="R289" s="111">
        <v>21</v>
      </c>
      <c r="S289" s="51">
        <v>34</v>
      </c>
      <c r="T289" s="339">
        <f t="shared" si="383"/>
        <v>61</v>
      </c>
      <c r="V289" s="371">
        <v>3.99</v>
      </c>
      <c r="W289" s="35">
        <v>2.4900000000000002</v>
      </c>
      <c r="X289" s="59">
        <v>12.45</v>
      </c>
      <c r="Y289" s="37">
        <v>140</v>
      </c>
      <c r="Z289" s="46">
        <v>140.5</v>
      </c>
      <c r="AA289" s="16">
        <f t="shared" si="385"/>
        <v>-0.5</v>
      </c>
      <c r="AB289" s="80">
        <f t="shared" si="386"/>
        <v>-3.5587188612099642E-3</v>
      </c>
      <c r="AC289" s="107" t="s">
        <v>5402</v>
      </c>
      <c r="AD289" s="23" t="s">
        <v>486</v>
      </c>
      <c r="AE289" s="89">
        <v>44403</v>
      </c>
      <c r="AF289" s="88">
        <v>44432</v>
      </c>
      <c r="AG289" s="34">
        <f t="shared" si="387"/>
        <v>29</v>
      </c>
      <c r="AH289" s="126" t="s">
        <v>5209</v>
      </c>
      <c r="AI289" s="131"/>
    </row>
    <row r="290" spans="1:35">
      <c r="A290" s="135" t="s">
        <v>5396</v>
      </c>
      <c r="B290" s="98">
        <v>5673</v>
      </c>
      <c r="C290" s="98">
        <v>8760</v>
      </c>
      <c r="D290" s="84">
        <v>9</v>
      </c>
      <c r="E290" s="84">
        <v>140</v>
      </c>
      <c r="F290" s="59">
        <v>48.9</v>
      </c>
      <c r="G290" s="84">
        <v>2603</v>
      </c>
      <c r="H290" s="5" t="s">
        <v>551</v>
      </c>
      <c r="I290" s="23" t="s">
        <v>486</v>
      </c>
      <c r="J290" s="371">
        <v>61.45</v>
      </c>
      <c r="K290" s="77">
        <v>30.63</v>
      </c>
      <c r="L290" s="77">
        <v>19.95</v>
      </c>
      <c r="N290" s="365">
        <f t="shared" si="384"/>
        <v>112.03</v>
      </c>
      <c r="P290" s="195"/>
      <c r="Q290" s="326">
        <f>IFERROR(VLOOKUP($G290,主力整理!$A$2:$G$2301,6,0),"0")</f>
        <v>6</v>
      </c>
      <c r="R290" s="111">
        <v>21</v>
      </c>
      <c r="S290" s="51">
        <v>34</v>
      </c>
      <c r="T290" s="339">
        <f t="shared" si="383"/>
        <v>61</v>
      </c>
      <c r="V290" s="371">
        <v>3.93</v>
      </c>
      <c r="W290" s="35">
        <v>2.4900000000000002</v>
      </c>
      <c r="X290" s="59">
        <v>12.45</v>
      </c>
      <c r="Y290" s="37">
        <v>140</v>
      </c>
      <c r="Z290" s="69">
        <v>154</v>
      </c>
      <c r="AA290" s="16">
        <f t="shared" si="385"/>
        <v>-14</v>
      </c>
      <c r="AB290" s="80">
        <f t="shared" si="386"/>
        <v>-9.0909090909090912E-2</v>
      </c>
      <c r="AC290" s="107" t="s">
        <v>5398</v>
      </c>
      <c r="AD290" s="23" t="s">
        <v>486</v>
      </c>
      <c r="AE290" s="89">
        <v>44400</v>
      </c>
      <c r="AF290" s="88">
        <v>44432</v>
      </c>
      <c r="AG290" s="34">
        <f t="shared" si="387"/>
        <v>32</v>
      </c>
      <c r="AH290" s="126" t="s">
        <v>5209</v>
      </c>
      <c r="AI290" s="131"/>
    </row>
    <row r="291" spans="1:35">
      <c r="A291" s="135" t="s">
        <v>5370</v>
      </c>
      <c r="B291" s="98">
        <v>5673</v>
      </c>
      <c r="C291" s="98">
        <v>8760</v>
      </c>
      <c r="D291" s="84">
        <v>9</v>
      </c>
      <c r="E291" s="84">
        <v>140</v>
      </c>
      <c r="F291" s="59">
        <v>48.9</v>
      </c>
      <c r="G291" s="84">
        <v>2603</v>
      </c>
      <c r="H291" s="5" t="s">
        <v>551</v>
      </c>
      <c r="I291" s="23" t="s">
        <v>486</v>
      </c>
      <c r="J291" s="371">
        <v>61.45</v>
      </c>
      <c r="K291" s="371">
        <v>30.61</v>
      </c>
      <c r="L291" s="77">
        <v>19.920000000000002</v>
      </c>
      <c r="N291" s="365">
        <f t="shared" si="384"/>
        <v>111.98</v>
      </c>
      <c r="P291" s="195"/>
      <c r="Q291" s="326">
        <f>IFERROR(VLOOKUP($G291,主力整理!$A$2:$G$2301,6,0),"0")</f>
        <v>6</v>
      </c>
      <c r="R291" s="111">
        <v>21</v>
      </c>
      <c r="S291" s="51">
        <v>34</v>
      </c>
      <c r="T291" s="339">
        <f t="shared" si="383"/>
        <v>61</v>
      </c>
      <c r="V291" s="371">
        <v>4.84</v>
      </c>
      <c r="W291" s="35">
        <v>2.5</v>
      </c>
      <c r="X291" s="59">
        <v>12.45</v>
      </c>
      <c r="Y291" s="37">
        <v>140</v>
      </c>
      <c r="Z291" s="69">
        <v>143.5</v>
      </c>
      <c r="AA291" s="16">
        <f t="shared" si="385"/>
        <v>-3.5</v>
      </c>
      <c r="AB291" s="80">
        <f t="shared" si="386"/>
        <v>-2.4390243902439025E-2</v>
      </c>
      <c r="AC291" s="107" t="s">
        <v>5360</v>
      </c>
      <c r="AD291" s="23" t="s">
        <v>486</v>
      </c>
      <c r="AE291" s="89">
        <v>44399</v>
      </c>
      <c r="AF291" s="88">
        <v>44432</v>
      </c>
      <c r="AG291" s="34">
        <f t="shared" si="387"/>
        <v>33</v>
      </c>
      <c r="AH291" s="126" t="s">
        <v>5209</v>
      </c>
      <c r="AI291" s="131"/>
    </row>
    <row r="292" spans="1:35">
      <c r="A292" s="135" t="s">
        <v>2778</v>
      </c>
      <c r="B292" s="84">
        <v>52</v>
      </c>
      <c r="C292" s="84">
        <v>154</v>
      </c>
      <c r="D292" s="84">
        <v>10</v>
      </c>
      <c r="E292" s="84">
        <v>29</v>
      </c>
      <c r="F292" s="59">
        <v>32.119999999999997</v>
      </c>
      <c r="G292" s="84">
        <v>2617</v>
      </c>
      <c r="H292" s="9" t="s">
        <v>551</v>
      </c>
      <c r="I292" s="23" t="s">
        <v>1479</v>
      </c>
      <c r="J292" s="371">
        <v>55.15</v>
      </c>
      <c r="K292" s="371">
        <v>5.08</v>
      </c>
      <c r="L292" s="371">
        <v>18.850000000000001</v>
      </c>
      <c r="N292" s="365">
        <f t="shared" si="384"/>
        <v>79.08</v>
      </c>
      <c r="P292" s="232"/>
      <c r="Q292" s="326">
        <f>IFERROR(VLOOKUP($G292,主力整理!$A$2:$G$2301,6,0),"0")</f>
        <v>6</v>
      </c>
      <c r="R292" s="111">
        <v>20</v>
      </c>
      <c r="S292" s="51">
        <v>3</v>
      </c>
      <c r="T292" s="339">
        <f t="shared" si="383"/>
        <v>29</v>
      </c>
      <c r="V292" s="371">
        <v>5.84</v>
      </c>
      <c r="W292" s="35">
        <v>0.9</v>
      </c>
      <c r="X292" s="59">
        <v>1.59</v>
      </c>
      <c r="Y292" s="37">
        <v>53.5</v>
      </c>
      <c r="Z292" s="69">
        <v>52.9</v>
      </c>
      <c r="AA292" s="16">
        <f t="shared" si="385"/>
        <v>0.60000000000000142</v>
      </c>
      <c r="AB292" s="66">
        <f t="shared" si="386"/>
        <v>1.1342155009451823E-2</v>
      </c>
      <c r="AC292" s="107" t="s">
        <v>5519</v>
      </c>
      <c r="AD292" s="23" t="s">
        <v>1479</v>
      </c>
      <c r="AE292" s="89">
        <v>44431</v>
      </c>
      <c r="AF292" s="88">
        <v>44432</v>
      </c>
      <c r="AG292" s="34">
        <f t="shared" si="387"/>
        <v>1</v>
      </c>
      <c r="AH292" s="63" t="s">
        <v>5214</v>
      </c>
      <c r="AI292" s="131"/>
    </row>
    <row r="293" spans="1:35">
      <c r="A293" s="151" t="s">
        <v>2537</v>
      </c>
      <c r="B293" s="84">
        <v>655</v>
      </c>
      <c r="C293" s="85">
        <v>-62</v>
      </c>
      <c r="D293" s="84">
        <v>7</v>
      </c>
      <c r="E293" s="84">
        <v>11</v>
      </c>
      <c r="F293" s="7">
        <v>2.1800000000000002</v>
      </c>
      <c r="G293" s="84">
        <v>2612</v>
      </c>
      <c r="H293" s="5" t="s">
        <v>551</v>
      </c>
      <c r="I293" s="23" t="s">
        <v>1477</v>
      </c>
      <c r="J293" s="371">
        <v>63.09</v>
      </c>
      <c r="K293" s="371">
        <v>1.01</v>
      </c>
      <c r="L293" s="77">
        <v>14.14</v>
      </c>
      <c r="N293" s="365">
        <f t="shared" si="384"/>
        <v>78.240000000000009</v>
      </c>
      <c r="P293" s="232"/>
      <c r="Q293" s="326">
        <f>IFERROR(VLOOKUP($G293,主力整理!$A$2:$G$2301,6,0),"0")</f>
        <v>2</v>
      </c>
      <c r="R293" s="111">
        <v>18</v>
      </c>
      <c r="S293" s="51">
        <v>1</v>
      </c>
      <c r="T293" s="339">
        <f t="shared" si="383"/>
        <v>21</v>
      </c>
      <c r="V293" s="371">
        <v>8.8699999999999992</v>
      </c>
      <c r="W293" s="35">
        <v>1.6</v>
      </c>
      <c r="X293" s="59">
        <v>6.18</v>
      </c>
      <c r="Y293" s="37">
        <v>73.8</v>
      </c>
      <c r="Z293" s="69">
        <v>61</v>
      </c>
      <c r="AA293" s="16">
        <f t="shared" si="385"/>
        <v>12.799999999999997</v>
      </c>
      <c r="AB293" s="66">
        <f t="shared" si="386"/>
        <v>0.20983606557377044</v>
      </c>
      <c r="AC293" s="107" t="s">
        <v>5453</v>
      </c>
      <c r="AD293" s="23" t="s">
        <v>1477</v>
      </c>
      <c r="AE293" s="89">
        <v>44418</v>
      </c>
      <c r="AF293" s="88">
        <v>44428</v>
      </c>
      <c r="AG293" s="34">
        <f t="shared" si="387"/>
        <v>10</v>
      </c>
      <c r="AH293" s="44" t="s">
        <v>3366</v>
      </c>
      <c r="AI293" s="131"/>
    </row>
    <row r="294" spans="1:35">
      <c r="A294" s="151" t="s">
        <v>2537</v>
      </c>
      <c r="B294" s="98">
        <v>8097</v>
      </c>
      <c r="C294" s="85">
        <v>-29</v>
      </c>
      <c r="D294" s="84">
        <v>5</v>
      </c>
      <c r="E294" s="84">
        <v>14</v>
      </c>
      <c r="F294" s="7">
        <v>4.7699999999999996</v>
      </c>
      <c r="G294" s="84">
        <v>2612</v>
      </c>
      <c r="H294" s="9" t="s">
        <v>551</v>
      </c>
      <c r="I294" s="23" t="s">
        <v>1477</v>
      </c>
      <c r="J294" s="371">
        <v>63.09</v>
      </c>
      <c r="K294" s="371">
        <v>1.44</v>
      </c>
      <c r="L294" s="77">
        <v>16.37</v>
      </c>
      <c r="N294" s="365">
        <f t="shared" si="384"/>
        <v>80.900000000000006</v>
      </c>
      <c r="P294" s="232"/>
      <c r="Q294" s="326">
        <f>IFERROR(VLOOKUP($G294,主力整理!$A$2:$G$2301,6,0),"0")</f>
        <v>2</v>
      </c>
      <c r="R294" s="111">
        <v>17</v>
      </c>
      <c r="S294" s="51">
        <v>1</v>
      </c>
      <c r="T294" s="339">
        <f t="shared" si="383"/>
        <v>20</v>
      </c>
      <c r="V294" s="371">
        <v>7.95</v>
      </c>
      <c r="W294" s="35">
        <v>1.6</v>
      </c>
      <c r="X294" s="59">
        <v>2.77</v>
      </c>
      <c r="Y294" s="37">
        <v>73.8</v>
      </c>
      <c r="Z294" s="69">
        <v>64.8</v>
      </c>
      <c r="AA294" s="16">
        <f t="shared" si="385"/>
        <v>9</v>
      </c>
      <c r="AB294" s="66">
        <f t="shared" si="386"/>
        <v>0.1388888888888889</v>
      </c>
      <c r="AC294" s="107" t="s">
        <v>5417</v>
      </c>
      <c r="AD294" s="23" t="s">
        <v>1477</v>
      </c>
      <c r="AE294" s="89">
        <v>44406</v>
      </c>
      <c r="AF294" s="88">
        <v>44428</v>
      </c>
      <c r="AG294" s="34">
        <f t="shared" si="387"/>
        <v>22</v>
      </c>
      <c r="AH294" s="44" t="s">
        <v>3366</v>
      </c>
      <c r="AI294" s="131"/>
    </row>
    <row r="295" spans="1:35">
      <c r="A295" s="135" t="s">
        <v>2778</v>
      </c>
      <c r="B295" s="84">
        <v>52</v>
      </c>
      <c r="C295" s="84">
        <v>154</v>
      </c>
      <c r="D295" s="84">
        <v>10</v>
      </c>
      <c r="E295" s="84">
        <v>29</v>
      </c>
      <c r="F295" s="59">
        <v>32.119999999999997</v>
      </c>
      <c r="G295" s="84">
        <v>2617</v>
      </c>
      <c r="H295" s="9" t="s">
        <v>551</v>
      </c>
      <c r="I295" s="23" t="s">
        <v>1479</v>
      </c>
      <c r="J295" s="77">
        <v>55.78</v>
      </c>
      <c r="K295" s="371">
        <v>6.69</v>
      </c>
      <c r="L295" s="77">
        <v>18.13</v>
      </c>
      <c r="N295" s="365">
        <f t="shared" si="384"/>
        <v>80.599999999999994</v>
      </c>
      <c r="P295" s="232"/>
      <c r="Q295" s="326">
        <f>IFERROR(VLOOKUP($G295,主力整理!$A$2:$G$2301,6,0),"0")</f>
        <v>6</v>
      </c>
      <c r="R295" s="111">
        <v>19</v>
      </c>
      <c r="S295" s="51">
        <v>3</v>
      </c>
      <c r="T295" s="339">
        <f t="shared" si="383"/>
        <v>28</v>
      </c>
      <c r="V295" s="371">
        <v>8.7200000000000006</v>
      </c>
      <c r="W295" s="35">
        <v>0.9</v>
      </c>
      <c r="X295" s="59">
        <v>1.59</v>
      </c>
      <c r="Y295" s="37">
        <v>49.25</v>
      </c>
      <c r="Z295" s="69">
        <v>49.25</v>
      </c>
      <c r="AA295" s="16">
        <f t="shared" si="385"/>
        <v>0</v>
      </c>
      <c r="AB295" s="66">
        <f t="shared" si="386"/>
        <v>0</v>
      </c>
      <c r="AC295" s="107" t="s">
        <v>5500</v>
      </c>
      <c r="AD295" s="23" t="s">
        <v>1479</v>
      </c>
      <c r="AE295" s="89">
        <v>44426</v>
      </c>
      <c r="AF295" s="88">
        <v>44427</v>
      </c>
      <c r="AG295" s="34">
        <f t="shared" si="387"/>
        <v>1</v>
      </c>
      <c r="AH295" s="63" t="s">
        <v>5214</v>
      </c>
      <c r="AI295" s="131"/>
    </row>
    <row r="296" spans="1:35">
      <c r="A296" s="135" t="s">
        <v>2778</v>
      </c>
      <c r="B296" s="85">
        <v>-4</v>
      </c>
      <c r="C296" s="84">
        <v>65</v>
      </c>
      <c r="D296" s="85">
        <v>-4</v>
      </c>
      <c r="E296" s="84">
        <v>36</v>
      </c>
      <c r="F296" s="59">
        <v>24.91</v>
      </c>
      <c r="G296" s="84">
        <v>2617</v>
      </c>
      <c r="H296" s="5" t="s">
        <v>551</v>
      </c>
      <c r="I296" s="23" t="s">
        <v>1479</v>
      </c>
      <c r="J296" s="371">
        <v>55.85</v>
      </c>
      <c r="K296" s="77">
        <v>7.15</v>
      </c>
      <c r="L296" s="371">
        <v>18.079999999999998</v>
      </c>
      <c r="N296" s="365">
        <f t="shared" si="384"/>
        <v>81.08</v>
      </c>
      <c r="P296" s="232"/>
      <c r="Q296" s="326">
        <f>IFERROR(VLOOKUP($G296,主力整理!$A$2:$G$2301,6,0),"0")</f>
        <v>6</v>
      </c>
      <c r="R296" s="111">
        <v>19</v>
      </c>
      <c r="S296" s="51">
        <v>3</v>
      </c>
      <c r="T296" s="339">
        <f t="shared" si="383"/>
        <v>28</v>
      </c>
      <c r="V296" s="371">
        <v>0.7</v>
      </c>
      <c r="W296" s="35">
        <v>0.9</v>
      </c>
      <c r="X296" s="59">
        <v>1.22</v>
      </c>
      <c r="Y296" s="37">
        <v>49.25</v>
      </c>
      <c r="Z296" s="69">
        <v>47.95</v>
      </c>
      <c r="AA296" s="16">
        <f t="shared" si="385"/>
        <v>1.2999999999999972</v>
      </c>
      <c r="AB296" s="66">
        <f t="shared" si="386"/>
        <v>2.711157455682997E-2</v>
      </c>
      <c r="AC296" s="107" t="s">
        <v>5419</v>
      </c>
      <c r="AD296" s="23" t="s">
        <v>1479</v>
      </c>
      <c r="AE296" s="89">
        <v>44406</v>
      </c>
      <c r="AF296" s="88">
        <v>44427</v>
      </c>
      <c r="AG296" s="34">
        <f t="shared" si="387"/>
        <v>21</v>
      </c>
      <c r="AH296" s="63" t="s">
        <v>5214</v>
      </c>
      <c r="AI296" s="131"/>
    </row>
    <row r="297" spans="1:35">
      <c r="A297" s="151" t="s">
        <v>2580</v>
      </c>
      <c r="B297" s="84">
        <v>109</v>
      </c>
      <c r="C297" s="84">
        <v>94</v>
      </c>
      <c r="D297" s="84">
        <v>4</v>
      </c>
      <c r="E297" s="85">
        <v>-3</v>
      </c>
      <c r="F297" s="7">
        <v>9.9600000000000009</v>
      </c>
      <c r="G297" s="85">
        <v>3324</v>
      </c>
      <c r="H297" s="5" t="s">
        <v>5322</v>
      </c>
      <c r="I297" s="17" t="s">
        <v>414</v>
      </c>
      <c r="J297" s="77">
        <v>25.14</v>
      </c>
      <c r="K297" s="77">
        <v>8.42</v>
      </c>
      <c r="L297" s="77">
        <v>41.02</v>
      </c>
      <c r="N297" s="365">
        <f t="shared" si="384"/>
        <v>74.580000000000013</v>
      </c>
      <c r="P297" s="232"/>
      <c r="Q297" s="326">
        <f>IFERROR(VLOOKUP($G297,主力整理!$A$2:$G$2301,6,0),"0")</f>
        <v>1</v>
      </c>
      <c r="R297" s="111">
        <v>3</v>
      </c>
      <c r="S297" s="51">
        <v>16</v>
      </c>
      <c r="T297" s="339">
        <f t="shared" si="383"/>
        <v>20</v>
      </c>
      <c r="V297" s="371">
        <v>3.33</v>
      </c>
      <c r="W297" s="69">
        <v>5.6</v>
      </c>
      <c r="X297" s="100">
        <v>14.61</v>
      </c>
      <c r="Y297" s="37">
        <v>188.5</v>
      </c>
      <c r="Z297" s="46">
        <v>190</v>
      </c>
      <c r="AA297" s="16">
        <f t="shared" si="385"/>
        <v>-1.5</v>
      </c>
      <c r="AB297" s="80">
        <f t="shared" si="386"/>
        <v>-7.8947368421052634E-3</v>
      </c>
      <c r="AC297" s="107" t="s">
        <v>5436</v>
      </c>
      <c r="AD297" s="17" t="s">
        <v>414</v>
      </c>
      <c r="AE297" s="89">
        <v>44412</v>
      </c>
      <c r="AF297" s="88">
        <v>44413</v>
      </c>
      <c r="AG297" s="34">
        <f t="shared" si="387"/>
        <v>1</v>
      </c>
      <c r="AH297" s="44" t="s">
        <v>4550</v>
      </c>
      <c r="AI297" s="131"/>
    </row>
    <row r="298" spans="1:35">
      <c r="A298" s="151" t="s">
        <v>2580</v>
      </c>
      <c r="B298" s="84">
        <v>109</v>
      </c>
      <c r="C298" s="84">
        <v>94</v>
      </c>
      <c r="D298" s="84">
        <v>4</v>
      </c>
      <c r="E298" s="85">
        <v>-3</v>
      </c>
      <c r="F298" s="7">
        <v>9.9600000000000009</v>
      </c>
      <c r="G298" s="85">
        <v>3324</v>
      </c>
      <c r="H298" s="5" t="s">
        <v>5322</v>
      </c>
      <c r="I298" s="17" t="s">
        <v>414</v>
      </c>
      <c r="J298" s="371">
        <v>26.23</v>
      </c>
      <c r="K298" s="77">
        <v>8.8800000000000008</v>
      </c>
      <c r="L298" s="371">
        <v>41.36</v>
      </c>
      <c r="N298" s="365">
        <f t="shared" si="384"/>
        <v>76.47</v>
      </c>
      <c r="P298" s="232"/>
      <c r="Q298" s="326">
        <f>IFERROR(VLOOKUP($G298,主力整理!$A$2:$G$2301,6,0),"0")</f>
        <v>1</v>
      </c>
      <c r="R298" s="111">
        <v>3</v>
      </c>
      <c r="S298" s="51">
        <v>16</v>
      </c>
      <c r="T298" s="339">
        <f t="shared" si="383"/>
        <v>20</v>
      </c>
      <c r="V298" s="371">
        <v>3.44</v>
      </c>
      <c r="W298" s="69">
        <v>5.5</v>
      </c>
      <c r="X298" s="100">
        <v>14.61</v>
      </c>
      <c r="Y298" s="37">
        <v>188.5</v>
      </c>
      <c r="Z298" s="46">
        <v>184</v>
      </c>
      <c r="AA298" s="16">
        <f t="shared" si="385"/>
        <v>4.5</v>
      </c>
      <c r="AB298" s="66">
        <f t="shared" si="386"/>
        <v>2.4456521739130436E-2</v>
      </c>
      <c r="AC298" s="107" t="s">
        <v>5392</v>
      </c>
      <c r="AD298" s="17" t="s">
        <v>414</v>
      </c>
      <c r="AE298" s="89">
        <v>44398</v>
      </c>
      <c r="AF298" s="88">
        <v>44413</v>
      </c>
      <c r="AG298" s="34">
        <f t="shared" si="387"/>
        <v>15</v>
      </c>
      <c r="AH298" s="44" t="s">
        <v>4550</v>
      </c>
      <c r="AI298" s="131"/>
    </row>
    <row r="299" spans="1:35">
      <c r="A299" s="135" t="s">
        <v>5371</v>
      </c>
      <c r="B299" s="98">
        <v>3355</v>
      </c>
      <c r="C299" s="246">
        <v>12352</v>
      </c>
      <c r="D299" s="84">
        <v>14</v>
      </c>
      <c r="E299" s="84">
        <v>152</v>
      </c>
      <c r="F299" s="59">
        <v>46.7</v>
      </c>
      <c r="G299" s="84">
        <v>2609</v>
      </c>
      <c r="H299" s="5" t="s">
        <v>551</v>
      </c>
      <c r="I299" s="23" t="s">
        <v>1475</v>
      </c>
      <c r="J299" s="371">
        <v>55.69</v>
      </c>
      <c r="K299" s="371">
        <v>12.95</v>
      </c>
      <c r="L299" s="371">
        <v>24.59</v>
      </c>
      <c r="N299" s="365">
        <f t="shared" si="384"/>
        <v>93.23</v>
      </c>
      <c r="P299" s="232"/>
      <c r="Q299" s="326">
        <f>IFERROR(VLOOKUP($G299,主力整理!$A$2:$G$2301,6,0),"0")</f>
        <v>2</v>
      </c>
      <c r="R299" s="111">
        <v>33</v>
      </c>
      <c r="S299" s="51">
        <v>6</v>
      </c>
      <c r="T299" s="339">
        <f t="shared" si="383"/>
        <v>41</v>
      </c>
      <c r="V299" s="371">
        <v>4.71</v>
      </c>
      <c r="W299" s="35">
        <v>0</v>
      </c>
      <c r="X299" s="59">
        <v>13.4</v>
      </c>
      <c r="Y299" s="37">
        <v>125.5</v>
      </c>
      <c r="Z299" s="46">
        <v>129</v>
      </c>
      <c r="AA299" s="16">
        <f t="shared" si="385"/>
        <v>-3.5</v>
      </c>
      <c r="AB299" s="80">
        <f t="shared" si="386"/>
        <v>-2.7131782945736434E-2</v>
      </c>
      <c r="AC299" s="107" t="s">
        <v>5434</v>
      </c>
      <c r="AD299" s="23" t="s">
        <v>1475</v>
      </c>
      <c r="AE299" s="89">
        <v>44411</v>
      </c>
      <c r="AF299" s="88">
        <v>44413</v>
      </c>
      <c r="AG299" s="34">
        <f t="shared" si="387"/>
        <v>2</v>
      </c>
      <c r="AH299" s="63" t="s">
        <v>5209</v>
      </c>
      <c r="AI299" s="131"/>
    </row>
    <row r="300" spans="1:35">
      <c r="A300" s="135" t="s">
        <v>5371</v>
      </c>
      <c r="B300" s="98">
        <v>3355</v>
      </c>
      <c r="C300" s="246">
        <v>12352</v>
      </c>
      <c r="D300" s="84">
        <v>14</v>
      </c>
      <c r="E300" s="84">
        <v>152</v>
      </c>
      <c r="F300" s="59">
        <v>46.7</v>
      </c>
      <c r="G300" s="84">
        <v>2609</v>
      </c>
      <c r="H300" s="5" t="s">
        <v>551</v>
      </c>
      <c r="I300" s="23" t="s">
        <v>1475</v>
      </c>
      <c r="J300" s="371">
        <v>55.69</v>
      </c>
      <c r="K300" s="77">
        <v>13.03</v>
      </c>
      <c r="L300" s="371">
        <v>24.88</v>
      </c>
      <c r="N300" s="365">
        <f t="shared" si="384"/>
        <v>93.6</v>
      </c>
      <c r="P300" s="232"/>
      <c r="Q300" s="326">
        <f>IFERROR(VLOOKUP($G300,主力整理!$A$2:$G$2301,6,0),"0")</f>
        <v>2</v>
      </c>
      <c r="R300" s="111">
        <v>33</v>
      </c>
      <c r="S300" s="51">
        <v>6</v>
      </c>
      <c r="T300" s="339">
        <f t="shared" si="383"/>
        <v>41</v>
      </c>
      <c r="V300" s="371">
        <v>4.6500000000000004</v>
      </c>
      <c r="W300" s="35">
        <v>0</v>
      </c>
      <c r="X300" s="59">
        <v>13.4</v>
      </c>
      <c r="Y300" s="37">
        <v>125.5</v>
      </c>
      <c r="Z300" s="46">
        <v>126</v>
      </c>
      <c r="AA300" s="16">
        <f t="shared" si="385"/>
        <v>-0.5</v>
      </c>
      <c r="AB300" s="80">
        <f t="shared" si="386"/>
        <v>-3.968253968253968E-3</v>
      </c>
      <c r="AC300" s="107" t="s">
        <v>5431</v>
      </c>
      <c r="AD300" s="23" t="s">
        <v>1475</v>
      </c>
      <c r="AE300" s="89">
        <v>44411</v>
      </c>
      <c r="AF300" s="88">
        <v>44413</v>
      </c>
      <c r="AG300" s="34">
        <f t="shared" si="387"/>
        <v>2</v>
      </c>
      <c r="AH300" s="63" t="s">
        <v>5209</v>
      </c>
      <c r="AI300" s="131"/>
    </row>
    <row r="301" spans="1:35">
      <c r="A301" s="135" t="s">
        <v>5371</v>
      </c>
      <c r="B301" s="98">
        <v>3355</v>
      </c>
      <c r="C301" s="246">
        <v>12352</v>
      </c>
      <c r="D301" s="84">
        <v>14</v>
      </c>
      <c r="E301" s="84">
        <v>152</v>
      </c>
      <c r="F301" s="59">
        <v>46.7</v>
      </c>
      <c r="G301" s="84">
        <v>2609</v>
      </c>
      <c r="H301" s="5" t="s">
        <v>551</v>
      </c>
      <c r="I301" s="23" t="s">
        <v>1475</v>
      </c>
      <c r="J301" s="371">
        <v>55.69</v>
      </c>
      <c r="K301" s="77">
        <v>12.99</v>
      </c>
      <c r="L301" s="371">
        <v>25.28</v>
      </c>
      <c r="N301" s="365">
        <f t="shared" si="384"/>
        <v>93.96</v>
      </c>
      <c r="P301" s="232"/>
      <c r="Q301" s="326">
        <f>IFERROR(VLOOKUP($G301,主力整理!$A$2:$G$2301,6,0),"0")</f>
        <v>2</v>
      </c>
      <c r="R301" s="111">
        <v>33</v>
      </c>
      <c r="S301" s="51">
        <v>6</v>
      </c>
      <c r="T301" s="339">
        <f t="shared" si="383"/>
        <v>41</v>
      </c>
      <c r="V301" s="371">
        <v>4.83</v>
      </c>
      <c r="W301" s="35">
        <v>0</v>
      </c>
      <c r="X301" s="59">
        <v>13.4</v>
      </c>
      <c r="Y301" s="37">
        <v>125.5</v>
      </c>
      <c r="Z301" s="46">
        <v>120</v>
      </c>
      <c r="AA301" s="16">
        <f t="shared" si="385"/>
        <v>5.5</v>
      </c>
      <c r="AB301" s="66">
        <f t="shared" si="386"/>
        <v>4.583333333333333E-2</v>
      </c>
      <c r="AC301" s="107" t="s">
        <v>5425</v>
      </c>
      <c r="AD301" s="23" t="s">
        <v>1475</v>
      </c>
      <c r="AE301" s="89">
        <v>44410</v>
      </c>
      <c r="AF301" s="88">
        <v>44413</v>
      </c>
      <c r="AG301" s="34">
        <f t="shared" si="387"/>
        <v>3</v>
      </c>
      <c r="AH301" s="63" t="s">
        <v>5209</v>
      </c>
      <c r="AI301" s="284"/>
    </row>
    <row r="302" spans="1:35">
      <c r="A302" s="135" t="s">
        <v>5371</v>
      </c>
      <c r="B302" s="98">
        <v>3355</v>
      </c>
      <c r="C302" s="246">
        <v>12352</v>
      </c>
      <c r="D302" s="84">
        <v>14</v>
      </c>
      <c r="E302" s="84">
        <v>152</v>
      </c>
      <c r="F302" s="59">
        <v>46.7</v>
      </c>
      <c r="G302" s="84">
        <v>2609</v>
      </c>
      <c r="H302" s="5" t="s">
        <v>551</v>
      </c>
      <c r="I302" s="23" t="s">
        <v>1475</v>
      </c>
      <c r="J302" s="371">
        <v>55.76</v>
      </c>
      <c r="K302" s="77">
        <v>12.85</v>
      </c>
      <c r="L302" s="77">
        <v>27.1</v>
      </c>
      <c r="N302" s="365">
        <f t="shared" si="384"/>
        <v>95.710000000000008</v>
      </c>
      <c r="P302" s="232"/>
      <c r="Q302" s="326">
        <f>IFERROR(VLOOKUP($G302,主力整理!$A$2:$G$2301,6,0),"0")</f>
        <v>2</v>
      </c>
      <c r="R302" s="111">
        <v>33</v>
      </c>
      <c r="S302" s="51">
        <v>6</v>
      </c>
      <c r="T302" s="339">
        <f t="shared" si="383"/>
        <v>41</v>
      </c>
      <c r="V302" s="371">
        <v>7.72</v>
      </c>
      <c r="W302" s="35">
        <v>0</v>
      </c>
      <c r="X302" s="59">
        <v>13.4</v>
      </c>
      <c r="Y302" s="37">
        <v>125.5</v>
      </c>
      <c r="Z302" s="46">
        <v>129.5</v>
      </c>
      <c r="AA302" s="16">
        <f t="shared" si="385"/>
        <v>-4</v>
      </c>
      <c r="AB302" s="80">
        <f t="shared" si="386"/>
        <v>-3.0888030888030889E-2</v>
      </c>
      <c r="AC302" s="107" t="s">
        <v>5415</v>
      </c>
      <c r="AD302" s="23" t="s">
        <v>1475</v>
      </c>
      <c r="AE302" s="89">
        <v>44406</v>
      </c>
      <c r="AF302" s="88">
        <v>44413</v>
      </c>
      <c r="AG302" s="34">
        <f t="shared" si="387"/>
        <v>7</v>
      </c>
      <c r="AH302" s="63" t="s">
        <v>5209</v>
      </c>
      <c r="AI302" s="131"/>
    </row>
    <row r="303" spans="1:35">
      <c r="A303" s="135" t="s">
        <v>5371</v>
      </c>
      <c r="B303" s="98">
        <v>3355</v>
      </c>
      <c r="C303" s="246">
        <v>12352</v>
      </c>
      <c r="D303" s="84">
        <v>14</v>
      </c>
      <c r="E303" s="84">
        <v>152</v>
      </c>
      <c r="F303" s="59">
        <v>46.7</v>
      </c>
      <c r="G303" s="84">
        <v>2609</v>
      </c>
      <c r="H303" s="5" t="s">
        <v>551</v>
      </c>
      <c r="I303" s="23" t="s">
        <v>1475</v>
      </c>
      <c r="J303" s="371">
        <v>55.76</v>
      </c>
      <c r="K303" s="77">
        <v>12.59</v>
      </c>
      <c r="L303" s="77">
        <v>26.58</v>
      </c>
      <c r="N303" s="365">
        <f t="shared" si="384"/>
        <v>94.929999999999993</v>
      </c>
      <c r="P303" s="232"/>
      <c r="Q303" s="326">
        <f>IFERROR(VLOOKUP($G303,主力整理!$A$2:$G$2301,6,0),"0")</f>
        <v>2</v>
      </c>
      <c r="R303" s="111">
        <v>33</v>
      </c>
      <c r="S303" s="51">
        <v>6</v>
      </c>
      <c r="T303" s="339">
        <f t="shared" si="383"/>
        <v>41</v>
      </c>
      <c r="V303" s="371">
        <v>7.41</v>
      </c>
      <c r="W303" s="35">
        <v>0</v>
      </c>
      <c r="X303" s="59">
        <v>13.4</v>
      </c>
      <c r="Y303" s="37">
        <v>125.5</v>
      </c>
      <c r="Z303" s="46">
        <v>136</v>
      </c>
      <c r="AA303" s="16">
        <f t="shared" si="385"/>
        <v>-10.5</v>
      </c>
      <c r="AB303" s="80">
        <f t="shared" si="386"/>
        <v>-7.720588235294118E-2</v>
      </c>
      <c r="AC303" s="107" t="s">
        <v>5405</v>
      </c>
      <c r="AD303" s="23" t="s">
        <v>1475</v>
      </c>
      <c r="AE303" s="89">
        <v>44403</v>
      </c>
      <c r="AF303" s="88">
        <v>44413</v>
      </c>
      <c r="AG303" s="34">
        <f t="shared" si="387"/>
        <v>10</v>
      </c>
      <c r="AH303" s="63" t="s">
        <v>5209</v>
      </c>
    </row>
    <row r="304" spans="1:35">
      <c r="A304" s="135" t="s">
        <v>5371</v>
      </c>
      <c r="B304" s="98">
        <v>3355</v>
      </c>
      <c r="C304" s="246">
        <v>12352</v>
      </c>
      <c r="D304" s="84">
        <v>14</v>
      </c>
      <c r="E304" s="84">
        <v>152</v>
      </c>
      <c r="F304" s="59">
        <v>46.7</v>
      </c>
      <c r="G304" s="84">
        <v>2609</v>
      </c>
      <c r="H304" s="5" t="s">
        <v>551</v>
      </c>
      <c r="I304" s="23" t="s">
        <v>1475</v>
      </c>
      <c r="J304" s="371">
        <v>57.53</v>
      </c>
      <c r="K304" s="371">
        <v>12.26</v>
      </c>
      <c r="L304" s="77">
        <v>26.22</v>
      </c>
      <c r="N304" s="365">
        <f t="shared" si="384"/>
        <v>96.01</v>
      </c>
      <c r="P304" s="232"/>
      <c r="Q304" s="326">
        <f>IFERROR(VLOOKUP($G304,主力整理!$A$2:$G$2301,6,0),"0")</f>
        <v>2</v>
      </c>
      <c r="R304" s="111">
        <v>33</v>
      </c>
      <c r="S304" s="51">
        <v>6</v>
      </c>
      <c r="T304" s="339">
        <f t="shared" si="383"/>
        <v>41</v>
      </c>
      <c r="V304" s="371">
        <v>6.96</v>
      </c>
      <c r="W304" s="35">
        <v>0</v>
      </c>
      <c r="X304" s="59">
        <v>13.4</v>
      </c>
      <c r="Y304" s="37">
        <v>125.5</v>
      </c>
      <c r="Z304" s="46">
        <v>145.5</v>
      </c>
      <c r="AA304" s="16">
        <f t="shared" si="385"/>
        <v>-20</v>
      </c>
      <c r="AB304" s="80">
        <f t="shared" si="386"/>
        <v>-0.13745704467353953</v>
      </c>
      <c r="AC304" s="107" t="s">
        <v>5397</v>
      </c>
      <c r="AD304" s="23" t="s">
        <v>1475</v>
      </c>
      <c r="AE304" s="89">
        <v>44400</v>
      </c>
      <c r="AF304" s="88">
        <v>44413</v>
      </c>
      <c r="AG304" s="34">
        <f t="shared" si="387"/>
        <v>13</v>
      </c>
      <c r="AH304" s="63" t="s">
        <v>5209</v>
      </c>
      <c r="AI304" s="131"/>
    </row>
    <row r="305" spans="1:35">
      <c r="A305" s="135" t="s">
        <v>5376</v>
      </c>
      <c r="B305" s="84">
        <v>319</v>
      </c>
      <c r="C305" s="84">
        <v>339</v>
      </c>
      <c r="D305" s="84">
        <v>0</v>
      </c>
      <c r="E305" s="84">
        <v>30</v>
      </c>
      <c r="F305" s="59">
        <v>17.75</v>
      </c>
      <c r="G305" s="84">
        <v>3481</v>
      </c>
      <c r="H305" s="5" t="s">
        <v>557</v>
      </c>
      <c r="I305" s="23" t="s">
        <v>387</v>
      </c>
      <c r="J305" s="371">
        <v>47.35</v>
      </c>
      <c r="K305" s="371">
        <v>29.24</v>
      </c>
      <c r="L305" s="77">
        <v>19.47</v>
      </c>
      <c r="N305" s="365">
        <f t="shared" si="384"/>
        <v>96.06</v>
      </c>
      <c r="P305" s="195"/>
      <c r="Q305" s="326">
        <f>IFERROR(VLOOKUP($G305,主力整理!$A$2:$G$2301,6,0),"0")</f>
        <v>1</v>
      </c>
      <c r="R305" s="111">
        <v>7</v>
      </c>
      <c r="S305" s="51">
        <v>28</v>
      </c>
      <c r="T305" s="339">
        <f t="shared" si="383"/>
        <v>36</v>
      </c>
      <c r="V305" s="371">
        <v>2.12</v>
      </c>
      <c r="W305" s="35">
        <v>0.4</v>
      </c>
      <c r="X305" s="100">
        <v>1.9</v>
      </c>
      <c r="Y305" s="37">
        <v>20.6</v>
      </c>
      <c r="Z305" s="69">
        <v>20.95</v>
      </c>
      <c r="AA305" s="16">
        <f t="shared" si="385"/>
        <v>-0.34999999999999787</v>
      </c>
      <c r="AB305" s="80">
        <f t="shared" si="386"/>
        <v>-1.6706443914081045E-2</v>
      </c>
      <c r="AC305" s="107" t="s">
        <v>5439</v>
      </c>
      <c r="AD305" s="23" t="s">
        <v>387</v>
      </c>
      <c r="AE305" s="89">
        <v>44411</v>
      </c>
      <c r="AF305" s="88">
        <v>44413</v>
      </c>
      <c r="AG305" s="34">
        <f t="shared" si="387"/>
        <v>2</v>
      </c>
      <c r="AH305" s="126" t="s">
        <v>2176</v>
      </c>
      <c r="AI305" s="131"/>
    </row>
    <row r="306" spans="1:35">
      <c r="A306" s="135" t="s">
        <v>2469</v>
      </c>
      <c r="B306" s="84">
        <v>304</v>
      </c>
      <c r="C306" s="84">
        <v>320</v>
      </c>
      <c r="D306" s="84">
        <v>5</v>
      </c>
      <c r="E306" s="84">
        <v>57</v>
      </c>
      <c r="F306" s="59">
        <v>14.49</v>
      </c>
      <c r="G306" s="84">
        <v>2409</v>
      </c>
      <c r="H306" s="9" t="s">
        <v>557</v>
      </c>
      <c r="I306" s="23" t="s">
        <v>384</v>
      </c>
      <c r="J306" s="77">
        <v>56.01</v>
      </c>
      <c r="K306" s="77">
        <v>33.869999999999997</v>
      </c>
      <c r="L306" s="371">
        <v>12.72</v>
      </c>
      <c r="N306" s="365">
        <f t="shared" si="384"/>
        <v>102.6</v>
      </c>
      <c r="P306" s="195"/>
      <c r="Q306" s="326">
        <f>IFERROR(VLOOKUP($G306,主力整理!$A$2:$G$2301,6,0),"0")</f>
        <v>6</v>
      </c>
      <c r="R306" s="111">
        <v>8</v>
      </c>
      <c r="S306" s="51">
        <v>29</v>
      </c>
      <c r="T306" s="339">
        <f t="shared" si="383"/>
        <v>43</v>
      </c>
      <c r="V306" s="371">
        <v>5.77</v>
      </c>
      <c r="W306" s="35">
        <v>0.3</v>
      </c>
      <c r="X306" s="59">
        <v>2.13</v>
      </c>
      <c r="Y306" s="37">
        <v>22.3</v>
      </c>
      <c r="Z306" s="69">
        <v>21.35</v>
      </c>
      <c r="AA306" s="16">
        <f t="shared" si="385"/>
        <v>0.94999999999999929</v>
      </c>
      <c r="AB306" s="66">
        <f t="shared" si="386"/>
        <v>4.4496487119437905E-2</v>
      </c>
      <c r="AC306" s="107" t="s">
        <v>5433</v>
      </c>
      <c r="AD306" s="23" t="s">
        <v>384</v>
      </c>
      <c r="AE306" s="89">
        <v>44411</v>
      </c>
      <c r="AF306" s="88">
        <v>44413</v>
      </c>
      <c r="AG306" s="34">
        <f t="shared" si="387"/>
        <v>2</v>
      </c>
      <c r="AH306" s="126" t="s">
        <v>4053</v>
      </c>
      <c r="AI306" s="131"/>
    </row>
    <row r="307" spans="1:35">
      <c r="A307" s="135" t="s">
        <v>4796</v>
      </c>
      <c r="B307" s="98">
        <v>1713</v>
      </c>
      <c r="C307" s="98">
        <v>1413</v>
      </c>
      <c r="D307" s="85">
        <v>-11</v>
      </c>
      <c r="E307" s="84">
        <v>81</v>
      </c>
      <c r="F307" s="59">
        <v>40.520000000000003</v>
      </c>
      <c r="G307" s="84">
        <v>6116</v>
      </c>
      <c r="H307" s="213" t="s">
        <v>557</v>
      </c>
      <c r="I307" s="23" t="s">
        <v>388</v>
      </c>
      <c r="J307" s="371">
        <v>44.95</v>
      </c>
      <c r="K307" s="371">
        <v>11.45</v>
      </c>
      <c r="L307" s="371">
        <v>19.14</v>
      </c>
      <c r="N307" s="365">
        <f t="shared" si="384"/>
        <v>75.540000000000006</v>
      </c>
      <c r="P307" s="232"/>
      <c r="Q307" s="326">
        <f>IFERROR(VLOOKUP($G307,主力整理!$A$2:$G$2301,6,0),"0")</f>
        <v>7</v>
      </c>
      <c r="R307" s="111">
        <v>12</v>
      </c>
      <c r="S307" s="51">
        <v>8</v>
      </c>
      <c r="T307" s="339">
        <f t="shared" si="383"/>
        <v>27</v>
      </c>
      <c r="V307" s="371">
        <v>1.56</v>
      </c>
      <c r="W307" s="35">
        <v>0.5</v>
      </c>
      <c r="X307" s="100">
        <v>2.29</v>
      </c>
      <c r="Y307" s="37">
        <v>20.75</v>
      </c>
      <c r="Z307" s="69">
        <v>18.95</v>
      </c>
      <c r="AA307" s="16">
        <f t="shared" si="385"/>
        <v>1.8000000000000007</v>
      </c>
      <c r="AB307" s="66">
        <f t="shared" si="386"/>
        <v>9.4986807387862832E-2</v>
      </c>
      <c r="AC307" s="107" t="s">
        <v>5422</v>
      </c>
      <c r="AD307" s="23" t="s">
        <v>388</v>
      </c>
      <c r="AE307" s="89">
        <v>44407</v>
      </c>
      <c r="AF307" s="88">
        <v>44413</v>
      </c>
      <c r="AG307" s="34">
        <f t="shared" si="387"/>
        <v>6</v>
      </c>
      <c r="AH307" s="126" t="s">
        <v>2162</v>
      </c>
      <c r="AI307" s="131"/>
    </row>
    <row r="308" spans="1:35">
      <c r="A308" s="151" t="s">
        <v>3618</v>
      </c>
      <c r="B308" s="84">
        <v>22</v>
      </c>
      <c r="C308" s="84">
        <v>52</v>
      </c>
      <c r="D308" s="84">
        <v>1</v>
      </c>
      <c r="E308" s="84">
        <v>1</v>
      </c>
      <c r="F308" s="7">
        <v>8.64</v>
      </c>
      <c r="G308" s="85">
        <v>6205</v>
      </c>
      <c r="H308" s="5" t="s">
        <v>559</v>
      </c>
      <c r="I308" s="23" t="s">
        <v>725</v>
      </c>
      <c r="J308" s="371">
        <v>42.47</v>
      </c>
      <c r="K308" s="371">
        <v>3.25</v>
      </c>
      <c r="L308" s="371">
        <v>8.2100000000000009</v>
      </c>
      <c r="N308" s="365">
        <f t="shared" ref="N308:N339" si="388">K308+J308+L308</f>
        <v>53.93</v>
      </c>
      <c r="P308" s="232"/>
      <c r="Q308" s="326" t="str">
        <f>IFERROR(VLOOKUP($G308,主力整理!$A$2:$G$2301,6,0),"0")</f>
        <v>0</v>
      </c>
      <c r="R308" s="111">
        <v>7</v>
      </c>
      <c r="S308" s="51">
        <v>0</v>
      </c>
      <c r="T308" s="339">
        <f t="shared" si="383"/>
        <v>7</v>
      </c>
      <c r="V308" s="371">
        <v>0</v>
      </c>
      <c r="W308" s="35">
        <v>1.5</v>
      </c>
      <c r="X308" s="100">
        <v>2.06</v>
      </c>
      <c r="Y308" s="37">
        <v>32.700000000000003</v>
      </c>
      <c r="Z308" s="69">
        <v>32.200000000000003</v>
      </c>
      <c r="AA308" s="16">
        <f t="shared" ref="AA308:AA339" si="389">Y308-Z308</f>
        <v>0.5</v>
      </c>
      <c r="AB308" s="66">
        <f t="shared" ref="AB308:AB339" si="390">AA308/Z308</f>
        <v>1.5527950310559004E-2</v>
      </c>
      <c r="AC308" s="107" t="s">
        <v>5418</v>
      </c>
      <c r="AD308" s="23" t="s">
        <v>725</v>
      </c>
      <c r="AE308" s="89">
        <v>44406</v>
      </c>
      <c r="AF308" s="88">
        <v>44413</v>
      </c>
      <c r="AG308" s="34">
        <f t="shared" ref="AG308:AG339" si="391">AF308-AE308</f>
        <v>7</v>
      </c>
      <c r="AH308" s="44" t="s">
        <v>2961</v>
      </c>
      <c r="AI308" s="131"/>
    </row>
    <row r="309" spans="1:35">
      <c r="A309" s="135" t="s">
        <v>2529</v>
      </c>
      <c r="B309" s="85">
        <v>-6</v>
      </c>
      <c r="C309" s="85">
        <v>-12</v>
      </c>
      <c r="D309" s="85">
        <v>-5</v>
      </c>
      <c r="E309" s="85">
        <v>-6</v>
      </c>
      <c r="F309" s="59">
        <v>24.09</v>
      </c>
      <c r="G309" s="85">
        <v>6510</v>
      </c>
      <c r="H309" s="213" t="s">
        <v>558</v>
      </c>
      <c r="I309" s="17" t="s">
        <v>404</v>
      </c>
      <c r="J309" s="371">
        <v>39.450000000000003</v>
      </c>
      <c r="K309" s="371">
        <v>13.4</v>
      </c>
      <c r="L309" s="77">
        <v>16.86</v>
      </c>
      <c r="N309" s="365">
        <f t="shared" si="388"/>
        <v>69.710000000000008</v>
      </c>
      <c r="P309" s="195"/>
      <c r="Q309" s="326" t="str">
        <f>IFERROR(VLOOKUP($G309,主力整理!$A$2:$G$2301,6,0),"0")</f>
        <v>0</v>
      </c>
      <c r="R309" s="111">
        <v>7</v>
      </c>
      <c r="S309" s="51">
        <v>11</v>
      </c>
      <c r="T309" s="339">
        <f t="shared" si="383"/>
        <v>18</v>
      </c>
      <c r="V309" s="371">
        <v>0.51</v>
      </c>
      <c r="W309" s="69">
        <v>12</v>
      </c>
      <c r="X309" s="100">
        <v>27.63</v>
      </c>
      <c r="Y309" s="37">
        <v>673</v>
      </c>
      <c r="Z309" s="69">
        <v>632</v>
      </c>
      <c r="AA309" s="16">
        <f t="shared" si="389"/>
        <v>41</v>
      </c>
      <c r="AB309" s="66">
        <f t="shared" si="390"/>
        <v>6.4873417721518986E-2</v>
      </c>
      <c r="AC309" s="107" t="s">
        <v>5414</v>
      </c>
      <c r="AD309" s="17" t="s">
        <v>404</v>
      </c>
      <c r="AE309" s="89">
        <v>44406</v>
      </c>
      <c r="AF309" s="88">
        <v>44411</v>
      </c>
      <c r="AG309" s="34">
        <f t="shared" si="391"/>
        <v>5</v>
      </c>
      <c r="AH309" s="126" t="s">
        <v>2166</v>
      </c>
      <c r="AI309" s="131"/>
    </row>
    <row r="310" spans="1:35">
      <c r="A310" s="135" t="s">
        <v>2871</v>
      </c>
      <c r="B310" s="246">
        <v>15743</v>
      </c>
      <c r="C310" s="98">
        <v>2786</v>
      </c>
      <c r="D310" s="84">
        <v>17</v>
      </c>
      <c r="E310" s="84">
        <v>217</v>
      </c>
      <c r="F310" s="59">
        <v>45.57</v>
      </c>
      <c r="G310" s="84">
        <v>2615</v>
      </c>
      <c r="H310" s="5" t="s">
        <v>551</v>
      </c>
      <c r="I310" s="23" t="s">
        <v>256</v>
      </c>
      <c r="J310" s="371">
        <v>85.69</v>
      </c>
      <c r="K310" s="371">
        <v>43.75</v>
      </c>
      <c r="L310" s="77">
        <v>8.15</v>
      </c>
      <c r="N310" s="365">
        <f t="shared" si="388"/>
        <v>137.59</v>
      </c>
      <c r="P310" s="195"/>
      <c r="Q310" s="326">
        <f>IFERROR(VLOOKUP($G310,主力整理!$A$2:$G$2301,6,0),"0")</f>
        <v>4</v>
      </c>
      <c r="R310" s="111">
        <v>30</v>
      </c>
      <c r="S310" s="51">
        <v>16</v>
      </c>
      <c r="T310" s="339">
        <f t="shared" si="383"/>
        <v>50</v>
      </c>
      <c r="V310" s="371">
        <v>24.63</v>
      </c>
      <c r="W310" s="73">
        <v>2</v>
      </c>
      <c r="X310" s="59">
        <v>11.69</v>
      </c>
      <c r="Y310" s="14">
        <v>223.5</v>
      </c>
      <c r="Z310" s="69">
        <v>248</v>
      </c>
      <c r="AA310" s="16">
        <f t="shared" si="389"/>
        <v>-24.5</v>
      </c>
      <c r="AB310" s="80">
        <f t="shared" si="390"/>
        <v>-9.8790322580645157E-2</v>
      </c>
      <c r="AC310" s="107" t="s">
        <v>5412</v>
      </c>
      <c r="AD310" s="23" t="s">
        <v>256</v>
      </c>
      <c r="AE310" s="89">
        <v>44406</v>
      </c>
      <c r="AF310" s="88">
        <v>44407</v>
      </c>
      <c r="AG310" s="34">
        <f t="shared" si="391"/>
        <v>1</v>
      </c>
      <c r="AH310" s="126" t="s">
        <v>3283</v>
      </c>
      <c r="AI310" s="131"/>
    </row>
    <row r="311" spans="1:35">
      <c r="A311" s="135" t="s">
        <v>2871</v>
      </c>
      <c r="B311" s="246">
        <v>15743</v>
      </c>
      <c r="C311" s="98">
        <v>2786</v>
      </c>
      <c r="D311" s="84">
        <v>17</v>
      </c>
      <c r="E311" s="84">
        <v>217</v>
      </c>
      <c r="F311" s="59">
        <v>45.57</v>
      </c>
      <c r="G311" s="84">
        <v>2615</v>
      </c>
      <c r="H311" s="5" t="s">
        <v>551</v>
      </c>
      <c r="I311" s="23" t="s">
        <v>256</v>
      </c>
      <c r="J311" s="371">
        <v>85.69</v>
      </c>
      <c r="K311" s="371">
        <v>43.7</v>
      </c>
      <c r="L311" s="371">
        <v>7.88</v>
      </c>
      <c r="N311" s="365">
        <f t="shared" si="388"/>
        <v>137.26999999999998</v>
      </c>
      <c r="P311" s="195"/>
      <c r="Q311" s="326">
        <f>IFERROR(VLOOKUP($G311,主力整理!$A$2:$G$2301,6,0),"0")</f>
        <v>4</v>
      </c>
      <c r="R311" s="111">
        <v>30</v>
      </c>
      <c r="S311" s="51">
        <v>16</v>
      </c>
      <c r="T311" s="339">
        <f t="shared" si="383"/>
        <v>50</v>
      </c>
      <c r="V311" s="371">
        <v>26.92</v>
      </c>
      <c r="W311" s="73">
        <v>2</v>
      </c>
      <c r="X311" s="59">
        <v>11.69</v>
      </c>
      <c r="Y311" s="14">
        <v>223.5</v>
      </c>
      <c r="Z311" s="69">
        <v>216.5</v>
      </c>
      <c r="AA311" s="16">
        <f t="shared" si="389"/>
        <v>7</v>
      </c>
      <c r="AB311" s="66">
        <f t="shared" si="390"/>
        <v>3.2332563510392612E-2</v>
      </c>
      <c r="AC311" s="107" t="s">
        <v>5406</v>
      </c>
      <c r="AD311" s="23" t="s">
        <v>256</v>
      </c>
      <c r="AE311" s="89">
        <v>44403</v>
      </c>
      <c r="AF311" s="88">
        <v>44407</v>
      </c>
      <c r="AG311" s="34">
        <f t="shared" si="391"/>
        <v>4</v>
      </c>
      <c r="AH311" s="126" t="s">
        <v>3283</v>
      </c>
      <c r="AI311" s="131"/>
    </row>
    <row r="312" spans="1:35">
      <c r="A312" s="135" t="s">
        <v>2871</v>
      </c>
      <c r="B312" s="246">
        <v>15743</v>
      </c>
      <c r="C312" s="98">
        <v>2786</v>
      </c>
      <c r="D312" s="84">
        <v>17</v>
      </c>
      <c r="E312" s="84">
        <v>217</v>
      </c>
      <c r="F312" s="59">
        <v>45.57</v>
      </c>
      <c r="G312" s="84">
        <v>2615</v>
      </c>
      <c r="H312" s="5" t="s">
        <v>551</v>
      </c>
      <c r="I312" s="23" t="s">
        <v>256</v>
      </c>
      <c r="J312" s="371">
        <v>86.49</v>
      </c>
      <c r="K312" s="77">
        <v>43.88</v>
      </c>
      <c r="L312" s="371">
        <v>7.95</v>
      </c>
      <c r="N312" s="365">
        <f t="shared" si="388"/>
        <v>138.32</v>
      </c>
      <c r="P312" s="195"/>
      <c r="Q312" s="326">
        <f>IFERROR(VLOOKUP($G312,主力整理!$A$2:$G$2301,6,0),"0")</f>
        <v>4</v>
      </c>
      <c r="R312" s="111">
        <v>30</v>
      </c>
      <c r="S312" s="51">
        <v>16</v>
      </c>
      <c r="T312" s="339">
        <f t="shared" si="383"/>
        <v>50</v>
      </c>
      <c r="V312" s="371">
        <v>25.68</v>
      </c>
      <c r="W312" s="73">
        <v>2</v>
      </c>
      <c r="X312" s="59">
        <v>11.69</v>
      </c>
      <c r="Y312" s="14">
        <v>223.5</v>
      </c>
      <c r="Z312" s="69">
        <v>240</v>
      </c>
      <c r="AA312" s="16">
        <f t="shared" si="389"/>
        <v>-16.5</v>
      </c>
      <c r="AB312" s="80">
        <f t="shared" si="390"/>
        <v>-6.8750000000000006E-2</v>
      </c>
      <c r="AC312" s="107" t="s">
        <v>5399</v>
      </c>
      <c r="AD312" s="23" t="s">
        <v>256</v>
      </c>
      <c r="AE312" s="89">
        <v>44400</v>
      </c>
      <c r="AF312" s="88">
        <v>44407</v>
      </c>
      <c r="AG312" s="34">
        <f t="shared" si="391"/>
        <v>7</v>
      </c>
      <c r="AH312" s="126" t="s">
        <v>3283</v>
      </c>
      <c r="AI312" s="131"/>
    </row>
    <row r="313" spans="1:35">
      <c r="A313" s="135" t="s">
        <v>2555</v>
      </c>
      <c r="B313" s="84">
        <v>61</v>
      </c>
      <c r="C313" s="84">
        <v>61</v>
      </c>
      <c r="D313" s="84">
        <v>2</v>
      </c>
      <c r="E313" s="84">
        <v>50</v>
      </c>
      <c r="F313" s="59">
        <v>18.36</v>
      </c>
      <c r="G313" s="84">
        <v>3357</v>
      </c>
      <c r="H313" s="5" t="s">
        <v>5404</v>
      </c>
      <c r="I313" s="17" t="s">
        <v>5165</v>
      </c>
      <c r="J313" s="371">
        <v>45.51</v>
      </c>
      <c r="K313" s="77">
        <v>11.36</v>
      </c>
      <c r="N313" s="365">
        <f t="shared" si="388"/>
        <v>56.87</v>
      </c>
      <c r="P313" s="232"/>
      <c r="Q313" s="326" t="str">
        <f>IFERROR(VLOOKUP($G313,主力整理!$A$2:$G$2301,6,0),"0")</f>
        <v>0</v>
      </c>
      <c r="R313" s="111">
        <v>5</v>
      </c>
      <c r="S313" s="51">
        <v>0</v>
      </c>
      <c r="T313" s="339">
        <f t="shared" si="383"/>
        <v>5</v>
      </c>
      <c r="W313" s="69">
        <v>4.0999999999999996</v>
      </c>
      <c r="X313" s="100">
        <v>9.0399999999999991</v>
      </c>
      <c r="Y313" s="37">
        <v>168.5</v>
      </c>
      <c r="Z313" s="69">
        <v>181</v>
      </c>
      <c r="AA313" s="16">
        <f t="shared" si="389"/>
        <v>-12.5</v>
      </c>
      <c r="AB313" s="80">
        <f t="shared" si="390"/>
        <v>-6.9060773480662987E-2</v>
      </c>
      <c r="AC313" s="107" t="s">
        <v>5387</v>
      </c>
      <c r="AD313" s="17" t="s">
        <v>5165</v>
      </c>
      <c r="AE313" s="89">
        <v>44403</v>
      </c>
      <c r="AF313" s="88">
        <v>44404</v>
      </c>
      <c r="AG313" s="34">
        <f t="shared" si="391"/>
        <v>1</v>
      </c>
      <c r="AH313" s="63" t="s">
        <v>5166</v>
      </c>
      <c r="AI313" s="131"/>
    </row>
    <row r="314" spans="1:35">
      <c r="A314" s="135" t="s">
        <v>2555</v>
      </c>
      <c r="B314" s="84">
        <v>61</v>
      </c>
      <c r="C314" s="84">
        <v>61</v>
      </c>
      <c r="D314" s="84">
        <v>2</v>
      </c>
      <c r="E314" s="84">
        <v>50</v>
      </c>
      <c r="F314" s="59">
        <v>18.36</v>
      </c>
      <c r="G314" s="84">
        <v>3357</v>
      </c>
      <c r="H314" s="9" t="s">
        <v>559</v>
      </c>
      <c r="I314" s="17" t="s">
        <v>5165</v>
      </c>
      <c r="J314" s="371">
        <v>45.51</v>
      </c>
      <c r="K314" s="371">
        <v>10.52</v>
      </c>
      <c r="N314" s="365">
        <f t="shared" si="388"/>
        <v>56.03</v>
      </c>
      <c r="P314" s="232"/>
      <c r="Q314" s="326" t="str">
        <f>IFERROR(VLOOKUP($G314,主力整理!$A$2:$G$2301,6,0),"0")</f>
        <v>0</v>
      </c>
      <c r="R314" s="111">
        <v>5</v>
      </c>
      <c r="S314" s="51">
        <v>0</v>
      </c>
      <c r="T314" s="339">
        <f t="shared" si="383"/>
        <v>5</v>
      </c>
      <c r="W314" s="69">
        <v>4.0999999999999996</v>
      </c>
      <c r="X314" s="100">
        <v>9.0399999999999991</v>
      </c>
      <c r="Y314" s="37">
        <v>168.5</v>
      </c>
      <c r="Z314" s="69">
        <v>165.5</v>
      </c>
      <c r="AA314" s="16">
        <f t="shared" si="389"/>
        <v>3</v>
      </c>
      <c r="AB314" s="66">
        <f t="shared" si="390"/>
        <v>1.812688821752266E-2</v>
      </c>
      <c r="AC314" s="107" t="s">
        <v>5359</v>
      </c>
      <c r="AD314" s="17" t="s">
        <v>5165</v>
      </c>
      <c r="AE314" s="89">
        <v>44384</v>
      </c>
      <c r="AF314" s="88">
        <v>44404</v>
      </c>
      <c r="AG314" s="34">
        <f t="shared" si="391"/>
        <v>20</v>
      </c>
      <c r="AH314" s="63" t="s">
        <v>5166</v>
      </c>
      <c r="AI314" s="131"/>
    </row>
    <row r="315" spans="1:35">
      <c r="A315" s="135" t="s">
        <v>2469</v>
      </c>
      <c r="B315" s="84">
        <v>304</v>
      </c>
      <c r="C315" s="84">
        <v>320</v>
      </c>
      <c r="D315" s="84">
        <v>5</v>
      </c>
      <c r="E315" s="84">
        <v>57</v>
      </c>
      <c r="F315" s="59">
        <v>14.49</v>
      </c>
      <c r="G315" s="84">
        <v>2409</v>
      </c>
      <c r="H315" s="5" t="s">
        <v>557</v>
      </c>
      <c r="I315" s="23" t="s">
        <v>384</v>
      </c>
      <c r="J315" s="371">
        <v>55.97</v>
      </c>
      <c r="K315" s="77">
        <v>34.619999999999997</v>
      </c>
      <c r="L315" s="371">
        <v>12.58</v>
      </c>
      <c r="N315" s="365">
        <f t="shared" si="388"/>
        <v>103.17</v>
      </c>
      <c r="P315" s="195"/>
      <c r="Q315" s="326">
        <f>IFERROR(VLOOKUP($G315,主力整理!$A$2:$G$2301,6,0),"0")</f>
        <v>6</v>
      </c>
      <c r="R315" s="111">
        <v>8</v>
      </c>
      <c r="S315" s="51">
        <v>29</v>
      </c>
      <c r="T315" s="339">
        <f t="shared" si="383"/>
        <v>43</v>
      </c>
      <c r="V315" s="371">
        <v>4.93</v>
      </c>
      <c r="W315" s="35">
        <v>0.3</v>
      </c>
      <c r="X315" s="59">
        <v>2.13</v>
      </c>
      <c r="Y315" s="37">
        <v>20.5</v>
      </c>
      <c r="Z315" s="69">
        <v>21.15</v>
      </c>
      <c r="AA315" s="16">
        <f t="shared" si="389"/>
        <v>-0.64999999999999858</v>
      </c>
      <c r="AB315" s="80">
        <f t="shared" si="390"/>
        <v>-3.0732860520094496E-2</v>
      </c>
      <c r="AC315" s="107" t="s">
        <v>5403</v>
      </c>
      <c r="AD315" s="23" t="s">
        <v>384</v>
      </c>
      <c r="AE315" s="89">
        <v>44400</v>
      </c>
      <c r="AF315" s="88">
        <v>44404</v>
      </c>
      <c r="AG315" s="34">
        <f t="shared" si="391"/>
        <v>4</v>
      </c>
      <c r="AH315" s="126" t="s">
        <v>4053</v>
      </c>
      <c r="AI315" s="131"/>
    </row>
    <row r="316" spans="1:35">
      <c r="A316" s="135" t="s">
        <v>2469</v>
      </c>
      <c r="B316" s="84">
        <v>304</v>
      </c>
      <c r="C316" s="84">
        <v>320</v>
      </c>
      <c r="D316" s="84">
        <v>5</v>
      </c>
      <c r="E316" s="84">
        <v>57</v>
      </c>
      <c r="F316" s="59">
        <v>14.49</v>
      </c>
      <c r="G316" s="84">
        <v>2409</v>
      </c>
      <c r="H316" s="5" t="s">
        <v>557</v>
      </c>
      <c r="I316" s="23" t="s">
        <v>384</v>
      </c>
      <c r="J316" s="371">
        <v>56.74</v>
      </c>
      <c r="K316" s="371">
        <v>34.22</v>
      </c>
      <c r="L316" s="77">
        <v>12.62</v>
      </c>
      <c r="N316" s="365">
        <f t="shared" si="388"/>
        <v>103.58000000000001</v>
      </c>
      <c r="P316" s="195"/>
      <c r="Q316" s="326">
        <f>IFERROR(VLOOKUP($G316,主力整理!$A$2:$G$2301,6,0),"0")</f>
        <v>6</v>
      </c>
      <c r="R316" s="111">
        <v>8</v>
      </c>
      <c r="S316" s="51">
        <v>29</v>
      </c>
      <c r="T316" s="339">
        <f t="shared" si="383"/>
        <v>43</v>
      </c>
      <c r="V316" s="371">
        <v>9.19</v>
      </c>
      <c r="W316" s="35">
        <v>0.3</v>
      </c>
      <c r="X316" s="59">
        <v>2.13</v>
      </c>
      <c r="Y316" s="37">
        <v>20.5</v>
      </c>
      <c r="Z316" s="69">
        <v>20.7</v>
      </c>
      <c r="AA316" s="16">
        <f t="shared" si="389"/>
        <v>-0.19999999999999929</v>
      </c>
      <c r="AB316" s="80">
        <f t="shared" si="390"/>
        <v>-9.6618357487922371E-3</v>
      </c>
      <c r="AC316" s="107" t="s">
        <v>5400</v>
      </c>
      <c r="AD316" s="23" t="s">
        <v>384</v>
      </c>
      <c r="AE316" s="89">
        <v>44400</v>
      </c>
      <c r="AF316" s="88">
        <v>44404</v>
      </c>
      <c r="AG316" s="34">
        <f t="shared" si="391"/>
        <v>4</v>
      </c>
      <c r="AH316" s="126" t="s">
        <v>4053</v>
      </c>
      <c r="AI316" s="131"/>
    </row>
    <row r="317" spans="1:35">
      <c r="A317" s="135" t="s">
        <v>2469</v>
      </c>
      <c r="B317" s="84">
        <v>304</v>
      </c>
      <c r="C317" s="84">
        <v>320</v>
      </c>
      <c r="D317" s="84">
        <v>5</v>
      </c>
      <c r="E317" s="84">
        <v>57</v>
      </c>
      <c r="F317" s="59">
        <v>14.49</v>
      </c>
      <c r="G317" s="84">
        <v>2409</v>
      </c>
      <c r="H317" s="5" t="s">
        <v>557</v>
      </c>
      <c r="I317" s="23" t="s">
        <v>384</v>
      </c>
      <c r="J317" s="371">
        <v>56.74</v>
      </c>
      <c r="K317" s="371">
        <v>34.32</v>
      </c>
      <c r="L317" s="371">
        <v>12.87</v>
      </c>
      <c r="N317" s="365">
        <f t="shared" si="388"/>
        <v>103.93</v>
      </c>
      <c r="P317" s="195"/>
      <c r="Q317" s="326">
        <f>IFERROR(VLOOKUP($G317,主力整理!$A$2:$G$2301,6,0),"0")</f>
        <v>6</v>
      </c>
      <c r="R317" s="111">
        <v>8</v>
      </c>
      <c r="S317" s="51">
        <v>29</v>
      </c>
      <c r="T317" s="339">
        <f t="shared" si="383"/>
        <v>43</v>
      </c>
      <c r="V317" s="371">
        <v>5.95</v>
      </c>
      <c r="W317" s="35">
        <v>0.3</v>
      </c>
      <c r="X317" s="59">
        <v>2.13</v>
      </c>
      <c r="Y317" s="37">
        <v>20.5</v>
      </c>
      <c r="Z317" s="69">
        <v>19.149999999999999</v>
      </c>
      <c r="AA317" s="16">
        <f t="shared" si="389"/>
        <v>1.3500000000000014</v>
      </c>
      <c r="AB317" s="66">
        <f t="shared" si="390"/>
        <v>7.0496083550913913E-2</v>
      </c>
      <c r="AC317" s="107" t="s">
        <v>5393</v>
      </c>
      <c r="AD317" s="23" t="s">
        <v>384</v>
      </c>
      <c r="AE317" s="89">
        <v>44398</v>
      </c>
      <c r="AF317" s="88">
        <v>44404</v>
      </c>
      <c r="AG317" s="34">
        <f t="shared" si="391"/>
        <v>6</v>
      </c>
      <c r="AH317" s="126" t="s">
        <v>4053</v>
      </c>
      <c r="AI317" s="131"/>
    </row>
    <row r="318" spans="1:35">
      <c r="A318" s="135" t="s">
        <v>2469</v>
      </c>
      <c r="B318" s="84">
        <v>304</v>
      </c>
      <c r="C318" s="84">
        <v>320</v>
      </c>
      <c r="D318" s="84">
        <v>5</v>
      </c>
      <c r="E318" s="84">
        <v>57</v>
      </c>
      <c r="F318" s="59">
        <v>14.49</v>
      </c>
      <c r="G318" s="84">
        <v>2409</v>
      </c>
      <c r="H318" s="5" t="s">
        <v>557</v>
      </c>
      <c r="I318" s="23" t="s">
        <v>384</v>
      </c>
      <c r="J318" s="371">
        <v>56.74</v>
      </c>
      <c r="K318" s="371">
        <v>34.5</v>
      </c>
      <c r="L318" s="77">
        <v>12.98</v>
      </c>
      <c r="N318" s="365">
        <f t="shared" si="388"/>
        <v>104.22000000000001</v>
      </c>
      <c r="P318" s="195"/>
      <c r="Q318" s="326">
        <f>IFERROR(VLOOKUP($G318,主力整理!$A$2:$G$2301,6,0),"0")</f>
        <v>6</v>
      </c>
      <c r="R318" s="111">
        <v>8</v>
      </c>
      <c r="S318" s="51">
        <v>29</v>
      </c>
      <c r="T318" s="339">
        <f t="shared" si="383"/>
        <v>43</v>
      </c>
      <c r="V318" s="371">
        <v>4.9000000000000004</v>
      </c>
      <c r="W318" s="35">
        <v>0.3</v>
      </c>
      <c r="X318" s="59">
        <v>2.13</v>
      </c>
      <c r="Y318" s="37">
        <v>20.5</v>
      </c>
      <c r="Z318" s="69">
        <v>20.100000000000001</v>
      </c>
      <c r="AA318" s="16">
        <f t="shared" si="389"/>
        <v>0.39999999999999858</v>
      </c>
      <c r="AB318" s="66">
        <f t="shared" si="390"/>
        <v>1.9900497512437738E-2</v>
      </c>
      <c r="AC318" s="107" t="s">
        <v>5388</v>
      </c>
      <c r="AD318" s="23" t="s">
        <v>384</v>
      </c>
      <c r="AE318" s="89">
        <v>44397</v>
      </c>
      <c r="AF318" s="88">
        <v>44404</v>
      </c>
      <c r="AG318" s="34">
        <f t="shared" si="391"/>
        <v>7</v>
      </c>
      <c r="AH318" s="126" t="s">
        <v>4053</v>
      </c>
      <c r="AI318" s="131"/>
    </row>
    <row r="319" spans="1:35">
      <c r="A319" s="135" t="s">
        <v>2469</v>
      </c>
      <c r="B319" s="84">
        <v>304</v>
      </c>
      <c r="C319" s="84">
        <v>320</v>
      </c>
      <c r="D319" s="84">
        <v>8</v>
      </c>
      <c r="E319" s="84">
        <v>47</v>
      </c>
      <c r="F319" s="59">
        <v>14.49</v>
      </c>
      <c r="G319" s="84">
        <v>2409</v>
      </c>
      <c r="H319" s="5" t="s">
        <v>557</v>
      </c>
      <c r="I319" s="23" t="s">
        <v>384</v>
      </c>
      <c r="J319" s="371">
        <v>58.44</v>
      </c>
      <c r="K319" s="77">
        <v>33.520000000000003</v>
      </c>
      <c r="L319" s="371">
        <v>12.35</v>
      </c>
      <c r="N319" s="365">
        <f t="shared" si="388"/>
        <v>104.31</v>
      </c>
      <c r="P319" s="195"/>
      <c r="Q319" s="326">
        <f>IFERROR(VLOOKUP($G319,主力整理!$A$2:$G$2301,6,0),"0")</f>
        <v>6</v>
      </c>
      <c r="R319" s="111">
        <v>8</v>
      </c>
      <c r="S319" s="51">
        <v>29</v>
      </c>
      <c r="T319" s="339">
        <f t="shared" si="383"/>
        <v>43</v>
      </c>
      <c r="V319" s="371">
        <v>0</v>
      </c>
      <c r="W319" s="35">
        <v>0.3</v>
      </c>
      <c r="X319" s="59">
        <v>2.13</v>
      </c>
      <c r="Y319" s="37">
        <v>20.5</v>
      </c>
      <c r="Z319" s="69">
        <v>24.2</v>
      </c>
      <c r="AA319" s="16">
        <f t="shared" si="389"/>
        <v>-3.6999999999999993</v>
      </c>
      <c r="AB319" s="80">
        <f t="shared" si="390"/>
        <v>-0.15289256198347104</v>
      </c>
      <c r="AC319" s="107" t="s">
        <v>5334</v>
      </c>
      <c r="AD319" s="23" t="s">
        <v>384</v>
      </c>
      <c r="AE319" s="89">
        <v>44370</v>
      </c>
      <c r="AF319" s="88">
        <v>44404</v>
      </c>
      <c r="AG319" s="34">
        <f t="shared" si="391"/>
        <v>34</v>
      </c>
      <c r="AH319" s="126" t="s">
        <v>4053</v>
      </c>
      <c r="AI319" s="284"/>
    </row>
    <row r="320" spans="1:35">
      <c r="A320" s="135" t="s">
        <v>2469</v>
      </c>
      <c r="B320" s="84">
        <v>304</v>
      </c>
      <c r="C320" s="84">
        <v>320</v>
      </c>
      <c r="D320" s="84">
        <v>8</v>
      </c>
      <c r="E320" s="84">
        <v>47</v>
      </c>
      <c r="F320" s="59">
        <v>14.49</v>
      </c>
      <c r="G320" s="84">
        <v>2409</v>
      </c>
      <c r="H320" s="5" t="s">
        <v>5333</v>
      </c>
      <c r="I320" s="23" t="s">
        <v>384</v>
      </c>
      <c r="J320" s="371">
        <v>58.44</v>
      </c>
      <c r="K320" s="371">
        <v>33.22</v>
      </c>
      <c r="L320" s="371">
        <v>13.1</v>
      </c>
      <c r="N320" s="365">
        <f t="shared" si="388"/>
        <v>104.75999999999999</v>
      </c>
      <c r="P320" s="195"/>
      <c r="Q320" s="326">
        <f>IFERROR(VLOOKUP($G320,主力整理!$A$2:$G$2301,6,0),"0")</f>
        <v>6</v>
      </c>
      <c r="R320" s="111">
        <v>8</v>
      </c>
      <c r="S320" s="51">
        <v>29</v>
      </c>
      <c r="T320" s="339">
        <f t="shared" si="383"/>
        <v>43</v>
      </c>
      <c r="V320" s="371">
        <v>0.02</v>
      </c>
      <c r="W320" s="35">
        <v>0.3</v>
      </c>
      <c r="X320" s="59">
        <v>2.13</v>
      </c>
      <c r="Y320" s="37">
        <v>20.5</v>
      </c>
      <c r="Z320" s="69">
        <v>23.1</v>
      </c>
      <c r="AA320" s="16">
        <f t="shared" si="389"/>
        <v>-2.6000000000000014</v>
      </c>
      <c r="AB320" s="80">
        <f t="shared" si="390"/>
        <v>-0.11255411255411261</v>
      </c>
      <c r="AC320" s="107" t="s">
        <v>5332</v>
      </c>
      <c r="AD320" s="23" t="s">
        <v>384</v>
      </c>
      <c r="AE320" s="89">
        <v>44368</v>
      </c>
      <c r="AF320" s="88">
        <v>44404</v>
      </c>
      <c r="AG320" s="34">
        <f t="shared" si="391"/>
        <v>36</v>
      </c>
      <c r="AH320" s="126" t="s">
        <v>4053</v>
      </c>
      <c r="AI320" s="131"/>
    </row>
    <row r="321" spans="1:35">
      <c r="A321" s="135" t="s">
        <v>2469</v>
      </c>
      <c r="B321" s="84">
        <v>304</v>
      </c>
      <c r="C321" s="84">
        <v>320</v>
      </c>
      <c r="D321" s="84">
        <v>8</v>
      </c>
      <c r="E321" s="84">
        <v>47</v>
      </c>
      <c r="F321" s="59">
        <v>14.49</v>
      </c>
      <c r="G321" s="84">
        <v>2409</v>
      </c>
      <c r="H321" s="5" t="s">
        <v>557</v>
      </c>
      <c r="I321" s="23" t="s">
        <v>384</v>
      </c>
      <c r="J321" s="371">
        <v>58.59</v>
      </c>
      <c r="K321" s="371">
        <v>33.33</v>
      </c>
      <c r="L321" s="77">
        <v>13.44</v>
      </c>
      <c r="N321" s="365">
        <f t="shared" si="388"/>
        <v>105.36</v>
      </c>
      <c r="P321" s="195"/>
      <c r="Q321" s="326">
        <f>IFERROR(VLOOKUP($G321,主力整理!$A$2:$G$2301,6,0),"0")</f>
        <v>6</v>
      </c>
      <c r="R321" s="111">
        <v>8</v>
      </c>
      <c r="S321" s="51">
        <v>29</v>
      </c>
      <c r="T321" s="339">
        <f t="shared" si="383"/>
        <v>43</v>
      </c>
      <c r="V321" s="371">
        <v>2.08</v>
      </c>
      <c r="W321" s="35">
        <v>0.3</v>
      </c>
      <c r="X321" s="59">
        <v>2.13</v>
      </c>
      <c r="Y321" s="37">
        <v>20.5</v>
      </c>
      <c r="Z321" s="69">
        <v>22.5</v>
      </c>
      <c r="AA321" s="16">
        <f t="shared" si="389"/>
        <v>-2</v>
      </c>
      <c r="AB321" s="80">
        <f t="shared" si="390"/>
        <v>-8.8888888888888892E-2</v>
      </c>
      <c r="AC321" s="105" t="s">
        <v>5327</v>
      </c>
      <c r="AD321" s="23" t="s">
        <v>384</v>
      </c>
      <c r="AE321" s="89">
        <v>44365</v>
      </c>
      <c r="AF321" s="88">
        <v>44404</v>
      </c>
      <c r="AG321" s="34">
        <f t="shared" si="391"/>
        <v>39</v>
      </c>
      <c r="AH321" s="126" t="s">
        <v>4053</v>
      </c>
      <c r="AI321" s="131"/>
    </row>
    <row r="322" spans="1:35">
      <c r="A322" s="135" t="s">
        <v>5376</v>
      </c>
      <c r="B322" s="84">
        <v>319</v>
      </c>
      <c r="C322" s="84">
        <v>339</v>
      </c>
      <c r="D322" s="84">
        <v>0</v>
      </c>
      <c r="E322" s="84">
        <v>30</v>
      </c>
      <c r="F322" s="59">
        <v>17.75</v>
      </c>
      <c r="G322" s="84">
        <v>3481</v>
      </c>
      <c r="H322" s="5" t="s">
        <v>557</v>
      </c>
      <c r="I322" s="23" t="s">
        <v>387</v>
      </c>
      <c r="J322" s="371">
        <v>49.04</v>
      </c>
      <c r="K322" s="77">
        <v>29</v>
      </c>
      <c r="L322" s="371">
        <v>18.23</v>
      </c>
      <c r="N322" s="365">
        <f t="shared" si="388"/>
        <v>96.27</v>
      </c>
      <c r="P322" s="195"/>
      <c r="Q322" s="326">
        <f>IFERROR(VLOOKUP($G322,主力整理!$A$2:$G$2301,6,0),"0")</f>
        <v>1</v>
      </c>
      <c r="R322" s="111">
        <v>7</v>
      </c>
      <c r="S322" s="51">
        <v>28</v>
      </c>
      <c r="T322" s="339">
        <f t="shared" si="383"/>
        <v>36</v>
      </c>
      <c r="V322" s="371">
        <v>0</v>
      </c>
      <c r="W322" s="35">
        <v>0.4</v>
      </c>
      <c r="X322" s="100">
        <v>1.9</v>
      </c>
      <c r="Y322" s="37">
        <v>19.55</v>
      </c>
      <c r="Z322" s="69">
        <v>19.45</v>
      </c>
      <c r="AA322" s="16">
        <f t="shared" si="389"/>
        <v>0.10000000000000142</v>
      </c>
      <c r="AB322" s="66">
        <f t="shared" si="390"/>
        <v>5.1413881748072713E-3</v>
      </c>
      <c r="AC322" s="107" t="s">
        <v>5395</v>
      </c>
      <c r="AD322" s="23" t="s">
        <v>387</v>
      </c>
      <c r="AE322" s="89">
        <v>44400</v>
      </c>
      <c r="AF322" s="88">
        <v>44403</v>
      </c>
      <c r="AG322" s="34">
        <f t="shared" si="391"/>
        <v>3</v>
      </c>
      <c r="AH322" s="126" t="s">
        <v>2176</v>
      </c>
      <c r="AI322" s="131"/>
    </row>
    <row r="323" spans="1:35">
      <c r="A323" s="135" t="s">
        <v>5376</v>
      </c>
      <c r="B323" s="84">
        <v>319</v>
      </c>
      <c r="C323" s="84">
        <v>339</v>
      </c>
      <c r="D323" s="84">
        <v>0</v>
      </c>
      <c r="E323" s="84">
        <v>30</v>
      </c>
      <c r="F323" s="59">
        <v>17.75</v>
      </c>
      <c r="G323" s="84">
        <v>3481</v>
      </c>
      <c r="H323" s="5" t="s">
        <v>557</v>
      </c>
      <c r="I323" s="23" t="s">
        <v>387</v>
      </c>
      <c r="J323" s="371">
        <v>49.04</v>
      </c>
      <c r="K323" s="371">
        <v>28.39</v>
      </c>
      <c r="L323" s="77">
        <v>20.12</v>
      </c>
      <c r="N323" s="365">
        <f t="shared" si="388"/>
        <v>97.550000000000011</v>
      </c>
      <c r="P323" s="195"/>
      <c r="Q323" s="326">
        <f>IFERROR(VLOOKUP($G323,主力整理!$A$2:$G$2301,6,0),"0")</f>
        <v>1</v>
      </c>
      <c r="R323" s="111">
        <v>7</v>
      </c>
      <c r="S323" s="51">
        <v>28</v>
      </c>
      <c r="T323" s="339">
        <f t="shared" si="383"/>
        <v>36</v>
      </c>
      <c r="V323" s="371">
        <v>1.58</v>
      </c>
      <c r="W323" s="35">
        <v>0.4</v>
      </c>
      <c r="X323" s="100">
        <v>1.9</v>
      </c>
      <c r="Y323" s="37">
        <v>19.55</v>
      </c>
      <c r="Z323" s="46">
        <v>18.8</v>
      </c>
      <c r="AA323" s="16">
        <f t="shared" si="389"/>
        <v>0.75</v>
      </c>
      <c r="AB323" s="66">
        <f t="shared" si="390"/>
        <v>3.9893617021276591E-2</v>
      </c>
      <c r="AC323" s="107" t="s">
        <v>5389</v>
      </c>
      <c r="AD323" s="23" t="s">
        <v>387</v>
      </c>
      <c r="AE323" s="89">
        <v>44397</v>
      </c>
      <c r="AF323" s="88">
        <v>44403</v>
      </c>
      <c r="AG323" s="34">
        <f t="shared" si="391"/>
        <v>6</v>
      </c>
      <c r="AH323" s="126" t="s">
        <v>2176</v>
      </c>
      <c r="AI323" s="131"/>
    </row>
    <row r="324" spans="1:35">
      <c r="A324" s="135" t="s">
        <v>5328</v>
      </c>
      <c r="B324" s="84">
        <v>319</v>
      </c>
      <c r="C324" s="84">
        <v>339</v>
      </c>
      <c r="D324" s="84">
        <v>3</v>
      </c>
      <c r="E324" s="84">
        <v>42</v>
      </c>
      <c r="F324" s="59">
        <v>17.75</v>
      </c>
      <c r="G324" s="84">
        <v>3481</v>
      </c>
      <c r="H324" s="9" t="s">
        <v>557</v>
      </c>
      <c r="I324" s="23" t="s">
        <v>387</v>
      </c>
      <c r="J324" s="371">
        <v>50.28</v>
      </c>
      <c r="K324" s="371">
        <v>29.82</v>
      </c>
      <c r="L324" s="77">
        <v>19.850000000000001</v>
      </c>
      <c r="N324" s="365">
        <f t="shared" si="388"/>
        <v>99.949999999999989</v>
      </c>
      <c r="P324" s="195"/>
      <c r="Q324" s="326">
        <f>IFERROR(VLOOKUP($G324,主力整理!$A$2:$G$2301,6,0),"0")</f>
        <v>1</v>
      </c>
      <c r="R324" s="111">
        <v>7</v>
      </c>
      <c r="S324" s="51">
        <v>28</v>
      </c>
      <c r="T324" s="339">
        <f t="shared" si="383"/>
        <v>36</v>
      </c>
      <c r="V324" s="371">
        <v>0.96</v>
      </c>
      <c r="W324" s="35">
        <v>0.4</v>
      </c>
      <c r="X324" s="59">
        <v>1.9</v>
      </c>
      <c r="Y324" s="37">
        <v>19.55</v>
      </c>
      <c r="Z324" s="69">
        <v>21.25</v>
      </c>
      <c r="AA324" s="16">
        <f t="shared" si="389"/>
        <v>-1.6999999999999993</v>
      </c>
      <c r="AB324" s="80">
        <f t="shared" si="390"/>
        <v>-7.999999999999996E-2</v>
      </c>
      <c r="AC324" s="107" t="s">
        <v>5349</v>
      </c>
      <c r="AD324" s="23" t="s">
        <v>387</v>
      </c>
      <c r="AE324" s="89">
        <v>44379</v>
      </c>
      <c r="AF324" s="88">
        <v>44403</v>
      </c>
      <c r="AG324" s="34">
        <f t="shared" si="391"/>
        <v>24</v>
      </c>
      <c r="AH324" s="126" t="s">
        <v>2176</v>
      </c>
      <c r="AI324" s="131"/>
    </row>
    <row r="325" spans="1:35">
      <c r="A325" s="135" t="s">
        <v>5328</v>
      </c>
      <c r="B325" s="84">
        <v>319</v>
      </c>
      <c r="C325" s="84">
        <v>339</v>
      </c>
      <c r="D325" s="84">
        <v>3</v>
      </c>
      <c r="E325" s="84">
        <v>42</v>
      </c>
      <c r="F325" s="59">
        <v>17.75</v>
      </c>
      <c r="G325" s="84">
        <v>3481</v>
      </c>
      <c r="H325" s="5" t="s">
        <v>557</v>
      </c>
      <c r="I325" s="23" t="s">
        <v>387</v>
      </c>
      <c r="J325" s="371">
        <v>51.07</v>
      </c>
      <c r="K325" s="371">
        <v>29.59</v>
      </c>
      <c r="L325" s="77">
        <v>19.190000000000001</v>
      </c>
      <c r="N325" s="365">
        <f t="shared" si="388"/>
        <v>99.85</v>
      </c>
      <c r="P325" s="195"/>
      <c r="Q325" s="326">
        <f>IFERROR(VLOOKUP($G325,主力整理!$A$2:$G$2301,6,0),"0")</f>
        <v>1</v>
      </c>
      <c r="R325" s="111">
        <v>7</v>
      </c>
      <c r="S325" s="51">
        <v>28</v>
      </c>
      <c r="T325" s="339">
        <f t="shared" si="383"/>
        <v>36</v>
      </c>
      <c r="V325" s="371">
        <v>1.27</v>
      </c>
      <c r="W325" s="35">
        <v>0.4</v>
      </c>
      <c r="X325" s="59">
        <v>1.9</v>
      </c>
      <c r="Y325" s="37">
        <v>19.55</v>
      </c>
      <c r="Z325" s="69">
        <v>21.5</v>
      </c>
      <c r="AA325" s="16">
        <f t="shared" si="389"/>
        <v>-1.9499999999999993</v>
      </c>
      <c r="AB325" s="80">
        <f t="shared" si="390"/>
        <v>-9.0697674418604615E-2</v>
      </c>
      <c r="AC325" s="107" t="s">
        <v>5335</v>
      </c>
      <c r="AD325" s="23" t="s">
        <v>387</v>
      </c>
      <c r="AE325" s="89">
        <v>44370</v>
      </c>
      <c r="AF325" s="88">
        <v>44403</v>
      </c>
      <c r="AG325" s="34">
        <f t="shared" si="391"/>
        <v>33</v>
      </c>
      <c r="AH325" s="126" t="s">
        <v>2176</v>
      </c>
      <c r="AI325" s="131"/>
    </row>
    <row r="326" spans="1:35">
      <c r="A326" s="135" t="s">
        <v>5328</v>
      </c>
      <c r="B326" s="84">
        <v>319</v>
      </c>
      <c r="C326" s="84">
        <v>339</v>
      </c>
      <c r="D326" s="84">
        <v>3</v>
      </c>
      <c r="E326" s="84">
        <v>42</v>
      </c>
      <c r="F326" s="59">
        <v>17.75</v>
      </c>
      <c r="G326" s="84">
        <v>3481</v>
      </c>
      <c r="H326" s="5" t="s">
        <v>5333</v>
      </c>
      <c r="I326" s="23" t="s">
        <v>387</v>
      </c>
      <c r="J326" s="371">
        <v>51.07</v>
      </c>
      <c r="K326" s="371">
        <v>29.89</v>
      </c>
      <c r="L326" s="371">
        <v>19.329999999999998</v>
      </c>
      <c r="N326" s="365">
        <f t="shared" si="388"/>
        <v>100.29</v>
      </c>
      <c r="P326" s="195"/>
      <c r="Q326" s="326">
        <f>IFERROR(VLOOKUP($G326,主力整理!$A$2:$G$2301,6,0),"0")</f>
        <v>1</v>
      </c>
      <c r="R326" s="111">
        <v>7</v>
      </c>
      <c r="S326" s="51">
        <v>28</v>
      </c>
      <c r="T326" s="339">
        <f t="shared" si="383"/>
        <v>36</v>
      </c>
      <c r="V326" s="371">
        <v>1.17</v>
      </c>
      <c r="W326" s="35">
        <v>0.4</v>
      </c>
      <c r="X326" s="59">
        <v>1.9</v>
      </c>
      <c r="Y326" s="37">
        <v>19.55</v>
      </c>
      <c r="Z326" s="69">
        <v>20.75</v>
      </c>
      <c r="AA326" s="16">
        <f t="shared" si="389"/>
        <v>-1.1999999999999993</v>
      </c>
      <c r="AB326" s="80">
        <f t="shared" si="390"/>
        <v>-5.7831325301204786E-2</v>
      </c>
      <c r="AC326" s="107" t="s">
        <v>5332</v>
      </c>
      <c r="AD326" s="23" t="s">
        <v>387</v>
      </c>
      <c r="AE326" s="89">
        <v>44368</v>
      </c>
      <c r="AF326" s="88">
        <v>44403</v>
      </c>
      <c r="AG326" s="34">
        <f t="shared" si="391"/>
        <v>35</v>
      </c>
      <c r="AH326" s="126" t="s">
        <v>2176</v>
      </c>
      <c r="AI326" s="131"/>
    </row>
    <row r="327" spans="1:35">
      <c r="A327" s="135" t="s">
        <v>5328</v>
      </c>
      <c r="B327" s="84">
        <v>319</v>
      </c>
      <c r="C327" s="84">
        <v>339</v>
      </c>
      <c r="D327" s="84">
        <v>3</v>
      </c>
      <c r="E327" s="84">
        <v>42</v>
      </c>
      <c r="F327" s="59">
        <v>17.75</v>
      </c>
      <c r="G327" s="84">
        <v>3481</v>
      </c>
      <c r="H327" s="5" t="s">
        <v>557</v>
      </c>
      <c r="I327" s="23" t="s">
        <v>387</v>
      </c>
      <c r="J327" s="371">
        <v>52.48</v>
      </c>
      <c r="K327" s="77">
        <v>30.33</v>
      </c>
      <c r="L327" s="77">
        <v>19.84</v>
      </c>
      <c r="N327" s="365">
        <f t="shared" si="388"/>
        <v>102.65</v>
      </c>
      <c r="P327" s="195"/>
      <c r="Q327" s="326">
        <f>IFERROR(VLOOKUP($G327,主力整理!$A$2:$G$2301,6,0),"0")</f>
        <v>1</v>
      </c>
      <c r="R327" s="111">
        <v>7</v>
      </c>
      <c r="S327" s="51">
        <v>28</v>
      </c>
      <c r="T327" s="339">
        <f t="shared" si="383"/>
        <v>36</v>
      </c>
      <c r="V327" s="371">
        <v>1.72</v>
      </c>
      <c r="W327" s="35">
        <v>0.4</v>
      </c>
      <c r="X327" s="59">
        <v>1.9</v>
      </c>
      <c r="Y327" s="37">
        <v>19.55</v>
      </c>
      <c r="Z327" s="69">
        <v>20.6</v>
      </c>
      <c r="AA327" s="16">
        <f t="shared" si="389"/>
        <v>-1.0500000000000007</v>
      </c>
      <c r="AB327" s="80">
        <f t="shared" si="390"/>
        <v>-5.09708737864078E-2</v>
      </c>
      <c r="AC327" s="107" t="s">
        <v>5329</v>
      </c>
      <c r="AD327" s="23" t="s">
        <v>387</v>
      </c>
      <c r="AE327" s="89">
        <v>44365</v>
      </c>
      <c r="AF327" s="88">
        <v>44403</v>
      </c>
      <c r="AG327" s="34">
        <f t="shared" si="391"/>
        <v>38</v>
      </c>
      <c r="AH327" s="126" t="s">
        <v>2176</v>
      </c>
      <c r="AI327" s="131"/>
    </row>
    <row r="328" spans="1:35">
      <c r="A328" s="135" t="s">
        <v>5371</v>
      </c>
      <c r="B328" s="98">
        <v>3355</v>
      </c>
      <c r="C328" s="246">
        <v>12352</v>
      </c>
      <c r="D328" s="84">
        <v>14</v>
      </c>
      <c r="E328" s="84">
        <v>152</v>
      </c>
      <c r="F328" s="59">
        <v>46.7</v>
      </c>
      <c r="G328" s="84">
        <v>2609</v>
      </c>
      <c r="H328" s="5" t="s">
        <v>551</v>
      </c>
      <c r="I328" s="23" t="s">
        <v>1475</v>
      </c>
      <c r="J328" s="371">
        <v>58.01</v>
      </c>
      <c r="K328" s="371">
        <v>12.11</v>
      </c>
      <c r="L328" s="77">
        <v>27.98</v>
      </c>
      <c r="N328" s="365">
        <f t="shared" si="388"/>
        <v>98.100000000000009</v>
      </c>
      <c r="P328" s="232"/>
      <c r="Q328" s="326">
        <f>IFERROR(VLOOKUP($G328,主力整理!$A$2:$G$2301,6,0),"0")</f>
        <v>2</v>
      </c>
      <c r="R328" s="111">
        <v>32</v>
      </c>
      <c r="S328" s="51">
        <v>6</v>
      </c>
      <c r="T328" s="339">
        <f t="shared" si="383"/>
        <v>40</v>
      </c>
      <c r="V328" s="371">
        <v>22.21</v>
      </c>
      <c r="W328" s="73">
        <v>0</v>
      </c>
      <c r="X328" s="59">
        <v>13.4</v>
      </c>
      <c r="Y328" s="37">
        <v>188</v>
      </c>
      <c r="Z328" s="46">
        <v>179</v>
      </c>
      <c r="AA328" s="16">
        <f t="shared" si="389"/>
        <v>9</v>
      </c>
      <c r="AB328" s="66">
        <f t="shared" si="390"/>
        <v>5.027932960893855E-2</v>
      </c>
      <c r="AC328" s="107" t="s">
        <v>5360</v>
      </c>
      <c r="AD328" s="23" t="s">
        <v>1475</v>
      </c>
      <c r="AE328" s="89">
        <v>44392</v>
      </c>
      <c r="AF328" s="88">
        <v>44396</v>
      </c>
      <c r="AG328" s="34">
        <f t="shared" si="391"/>
        <v>4</v>
      </c>
      <c r="AH328" s="63" t="s">
        <v>5209</v>
      </c>
      <c r="AI328" s="131"/>
    </row>
    <row r="329" spans="1:35">
      <c r="A329" s="151" t="s">
        <v>2481</v>
      </c>
      <c r="B329" s="98">
        <v>8051</v>
      </c>
      <c r="C329" s="98">
        <v>8406</v>
      </c>
      <c r="D329" s="85">
        <v>-4</v>
      </c>
      <c r="E329" s="84">
        <v>17</v>
      </c>
      <c r="F329" s="7">
        <v>8.76</v>
      </c>
      <c r="G329" s="85">
        <v>1598</v>
      </c>
      <c r="H329" s="5" t="s">
        <v>560</v>
      </c>
      <c r="I329" s="23" t="s">
        <v>1162</v>
      </c>
      <c r="J329" s="77">
        <v>51.45</v>
      </c>
      <c r="K329" s="371">
        <v>6.73</v>
      </c>
      <c r="L329" s="77">
        <v>29.83</v>
      </c>
      <c r="N329" s="365">
        <f t="shared" si="388"/>
        <v>88.01</v>
      </c>
      <c r="P329" s="232"/>
      <c r="Q329" s="326" t="str">
        <f>IFERROR(VLOOKUP($G329,主力整理!$A$2:$G$2301,6,0),"0")</f>
        <v>0</v>
      </c>
      <c r="R329" s="111">
        <v>5</v>
      </c>
      <c r="S329" s="51">
        <v>3</v>
      </c>
      <c r="T329" s="339">
        <f t="shared" si="383"/>
        <v>8</v>
      </c>
      <c r="V329" s="371">
        <v>1.98</v>
      </c>
      <c r="W329" s="69">
        <v>7.47</v>
      </c>
      <c r="X329" s="59">
        <v>13.82</v>
      </c>
      <c r="Y329" s="37">
        <v>88</v>
      </c>
      <c r="Z329" s="46">
        <v>98.4</v>
      </c>
      <c r="AA329" s="16">
        <f t="shared" si="389"/>
        <v>-10.400000000000006</v>
      </c>
      <c r="AB329" s="80">
        <f t="shared" si="390"/>
        <v>-0.10569105691056915</v>
      </c>
      <c r="AC329" s="105" t="s">
        <v>5340</v>
      </c>
      <c r="AD329" s="23" t="s">
        <v>1162</v>
      </c>
      <c r="AE329" s="89">
        <v>44376</v>
      </c>
      <c r="AF329" s="88">
        <v>44396</v>
      </c>
      <c r="AG329" s="34">
        <f t="shared" si="391"/>
        <v>20</v>
      </c>
      <c r="AH329" s="44" t="s">
        <v>3086</v>
      </c>
      <c r="AI329" s="131"/>
    </row>
    <row r="330" spans="1:35">
      <c r="A330" s="151" t="s">
        <v>3073</v>
      </c>
      <c r="B330" s="84">
        <v>348</v>
      </c>
      <c r="C330" s="84">
        <v>679</v>
      </c>
      <c r="D330" s="85">
        <v>-3</v>
      </c>
      <c r="E330" s="84">
        <v>4</v>
      </c>
      <c r="F330" s="7">
        <v>5.76</v>
      </c>
      <c r="G330" s="85">
        <v>2387</v>
      </c>
      <c r="H330" s="213" t="s">
        <v>1815</v>
      </c>
      <c r="I330" s="23" t="s">
        <v>428</v>
      </c>
      <c r="J330" s="77">
        <v>69.84</v>
      </c>
      <c r="K330" s="371">
        <v>7.49</v>
      </c>
      <c r="L330" s="371">
        <v>10.62</v>
      </c>
      <c r="N330" s="365">
        <f t="shared" si="388"/>
        <v>87.95</v>
      </c>
      <c r="P330" s="232"/>
      <c r="Q330" s="326" t="str">
        <f>IFERROR(VLOOKUP($G330,主力整理!$A$2:$G$2301,6,0),"0")</f>
        <v>0</v>
      </c>
      <c r="R330" s="111">
        <v>7</v>
      </c>
      <c r="S330" s="51">
        <v>9</v>
      </c>
      <c r="T330" s="339">
        <f t="shared" si="383"/>
        <v>16</v>
      </c>
      <c r="V330" s="371">
        <v>0.77</v>
      </c>
      <c r="W330" s="35">
        <v>2</v>
      </c>
      <c r="X330" s="59">
        <v>7.81</v>
      </c>
      <c r="Y330" s="37">
        <v>54.6</v>
      </c>
      <c r="Z330" s="69">
        <v>52.5</v>
      </c>
      <c r="AA330" s="16">
        <f t="shared" si="389"/>
        <v>2.1000000000000014</v>
      </c>
      <c r="AB330" s="66">
        <f t="shared" si="390"/>
        <v>4.0000000000000029E-2</v>
      </c>
      <c r="AC330" s="107" t="s">
        <v>5360</v>
      </c>
      <c r="AD330" s="23" t="s">
        <v>428</v>
      </c>
      <c r="AE330" s="89">
        <v>44390</v>
      </c>
      <c r="AF330" s="88">
        <v>44393</v>
      </c>
      <c r="AG330" s="34">
        <f t="shared" si="391"/>
        <v>3</v>
      </c>
      <c r="AH330" s="44" t="s">
        <v>3650</v>
      </c>
      <c r="AI330" s="131"/>
    </row>
    <row r="331" spans="1:35">
      <c r="A331" s="151" t="s">
        <v>3073</v>
      </c>
      <c r="B331" s="84">
        <v>348</v>
      </c>
      <c r="C331" s="84">
        <v>679</v>
      </c>
      <c r="D331" s="85">
        <v>-6</v>
      </c>
      <c r="E331" s="84">
        <v>22</v>
      </c>
      <c r="F331" s="7">
        <v>5.76</v>
      </c>
      <c r="G331" s="85">
        <v>2387</v>
      </c>
      <c r="H331" s="213" t="s">
        <v>1815</v>
      </c>
      <c r="I331" s="23" t="s">
        <v>428</v>
      </c>
      <c r="J331" s="371">
        <v>70.819999999999993</v>
      </c>
      <c r="K331" s="77">
        <v>8.18</v>
      </c>
      <c r="L331" s="77">
        <v>11.77</v>
      </c>
      <c r="N331" s="365">
        <f t="shared" si="388"/>
        <v>90.77</v>
      </c>
      <c r="P331" s="232"/>
      <c r="Q331" s="326" t="str">
        <f>IFERROR(VLOOKUP($G331,主力整理!$A$2:$G$2301,6,0),"0")</f>
        <v>0</v>
      </c>
      <c r="R331" s="111">
        <v>7</v>
      </c>
      <c r="S331" s="51">
        <v>9</v>
      </c>
      <c r="T331" s="339">
        <f t="shared" si="383"/>
        <v>16</v>
      </c>
      <c r="V331" s="371">
        <v>1.97</v>
      </c>
      <c r="W331" s="35">
        <v>2</v>
      </c>
      <c r="X331" s="59">
        <v>7.81</v>
      </c>
      <c r="Y331" s="37">
        <v>54.6</v>
      </c>
      <c r="Z331" s="69">
        <v>54.2</v>
      </c>
      <c r="AA331" s="16">
        <f t="shared" si="389"/>
        <v>0.39999999999999858</v>
      </c>
      <c r="AB331" s="66">
        <f t="shared" si="390"/>
        <v>7.3800738007379811E-3</v>
      </c>
      <c r="AC331" s="107" t="s">
        <v>5330</v>
      </c>
      <c r="AD331" s="23" t="s">
        <v>428</v>
      </c>
      <c r="AE331" s="89">
        <v>44365</v>
      </c>
      <c r="AF331" s="88">
        <v>44393</v>
      </c>
      <c r="AG331" s="34">
        <f t="shared" si="391"/>
        <v>28</v>
      </c>
      <c r="AH331" s="44" t="s">
        <v>3650</v>
      </c>
      <c r="AI331" s="131"/>
    </row>
    <row r="332" spans="1:35">
      <c r="A332" s="151" t="s">
        <v>2593</v>
      </c>
      <c r="B332" s="84">
        <v>344</v>
      </c>
      <c r="C332" s="84">
        <v>210</v>
      </c>
      <c r="D332" s="84">
        <v>42</v>
      </c>
      <c r="E332" s="84">
        <v>19</v>
      </c>
      <c r="F332" s="7">
        <v>3.91</v>
      </c>
      <c r="G332" s="84">
        <v>6667</v>
      </c>
      <c r="H332" s="5" t="s">
        <v>5322</v>
      </c>
      <c r="I332" s="17" t="s">
        <v>1732</v>
      </c>
      <c r="J332" s="77">
        <v>51.2</v>
      </c>
      <c r="K332" s="371">
        <v>2.19</v>
      </c>
      <c r="L332" s="371">
        <v>17.07</v>
      </c>
      <c r="N332" s="365">
        <f t="shared" si="388"/>
        <v>70.460000000000008</v>
      </c>
      <c r="P332" s="232"/>
      <c r="Q332" s="326" t="str">
        <f>IFERROR(VLOOKUP($G332,主力整理!$A$2:$G$2301,6,0),"0")</f>
        <v>0</v>
      </c>
      <c r="R332" s="111">
        <v>10</v>
      </c>
      <c r="S332" s="51">
        <v>0</v>
      </c>
      <c r="T332" s="339">
        <f t="shared" si="383"/>
        <v>10</v>
      </c>
      <c r="V332" s="371">
        <v>0.18</v>
      </c>
      <c r="W332" s="35">
        <v>1.66</v>
      </c>
      <c r="X332" s="100">
        <v>2.57</v>
      </c>
      <c r="Y332" s="37">
        <v>73.7</v>
      </c>
      <c r="Z332" s="69">
        <v>64.7</v>
      </c>
      <c r="AA332" s="16">
        <f t="shared" si="389"/>
        <v>9</v>
      </c>
      <c r="AB332" s="66">
        <f t="shared" si="390"/>
        <v>0.13910355486862441</v>
      </c>
      <c r="AC332" s="107" t="s">
        <v>5360</v>
      </c>
      <c r="AD332" s="17" t="s">
        <v>1732</v>
      </c>
      <c r="AE332" s="89">
        <v>44384</v>
      </c>
      <c r="AF332" s="88">
        <v>44393</v>
      </c>
      <c r="AG332" s="34">
        <f t="shared" si="391"/>
        <v>9</v>
      </c>
      <c r="AH332" s="44" t="s">
        <v>3986</v>
      </c>
      <c r="AI332" s="131"/>
    </row>
    <row r="333" spans="1:35">
      <c r="A333" s="135" t="s">
        <v>3064</v>
      </c>
      <c r="B333" s="84">
        <v>14</v>
      </c>
      <c r="C333" s="84">
        <v>84</v>
      </c>
      <c r="D333" s="85">
        <v>-17</v>
      </c>
      <c r="E333" s="85">
        <v>-27</v>
      </c>
      <c r="F333" s="59">
        <v>14.64</v>
      </c>
      <c r="G333" s="85">
        <v>3376</v>
      </c>
      <c r="H333" s="5" t="s">
        <v>559</v>
      </c>
      <c r="I333" s="23" t="s">
        <v>117</v>
      </c>
      <c r="J333" s="77">
        <v>53.66</v>
      </c>
      <c r="K333" s="371">
        <v>20.54</v>
      </c>
      <c r="L333" s="77">
        <v>11.79</v>
      </c>
      <c r="N333" s="365">
        <f t="shared" si="388"/>
        <v>85.989999999999981</v>
      </c>
      <c r="P333" s="232"/>
      <c r="Q333" s="326" t="str">
        <f>IFERROR(VLOOKUP($G333,主力整理!$A$2:$G$2301,6,0),"0")</f>
        <v>0</v>
      </c>
      <c r="R333" s="111">
        <v>3</v>
      </c>
      <c r="S333" s="51">
        <v>11</v>
      </c>
      <c r="T333" s="339">
        <f t="shared" ref="T333:T348" si="392">SUM(P333:S333)</f>
        <v>14</v>
      </c>
      <c r="V333" s="371">
        <v>0.79</v>
      </c>
      <c r="W333" s="69">
        <v>7</v>
      </c>
      <c r="X333" s="59">
        <v>9.1999999999999993</v>
      </c>
      <c r="Y333" s="37">
        <v>128.5</v>
      </c>
      <c r="Z333" s="69">
        <v>117</v>
      </c>
      <c r="AA333" s="16">
        <f t="shared" si="389"/>
        <v>11.5</v>
      </c>
      <c r="AB333" s="66">
        <f t="shared" si="390"/>
        <v>9.8290598290598288E-2</v>
      </c>
      <c r="AC333" s="105" t="s">
        <v>5344</v>
      </c>
      <c r="AD333" s="23" t="s">
        <v>117</v>
      </c>
      <c r="AE333" s="89">
        <v>44377</v>
      </c>
      <c r="AF333" s="88">
        <v>44393</v>
      </c>
      <c r="AG333" s="34">
        <f t="shared" si="391"/>
        <v>16</v>
      </c>
      <c r="AH333" s="126" t="s">
        <v>3806</v>
      </c>
      <c r="AI333" s="131"/>
    </row>
    <row r="334" spans="1:35">
      <c r="A334" s="135" t="s">
        <v>2967</v>
      </c>
      <c r="B334" s="84">
        <v>44</v>
      </c>
      <c r="C334" s="85">
        <v>-16</v>
      </c>
      <c r="D334" s="84">
        <v>11</v>
      </c>
      <c r="E334" s="84">
        <v>46</v>
      </c>
      <c r="F334" s="59">
        <v>30.87</v>
      </c>
      <c r="G334" s="85">
        <v>5269</v>
      </c>
      <c r="H334" s="5" t="s">
        <v>558</v>
      </c>
      <c r="I334" s="23" t="s">
        <v>106</v>
      </c>
      <c r="J334" s="77">
        <v>67.78</v>
      </c>
      <c r="K334" s="77">
        <v>25.13</v>
      </c>
      <c r="L334" s="371">
        <v>5.85</v>
      </c>
      <c r="N334" s="365">
        <f t="shared" si="388"/>
        <v>98.759999999999991</v>
      </c>
      <c r="P334" s="195"/>
      <c r="Q334" s="326">
        <f>IFERROR(VLOOKUP($G334,主力整理!$A$2:$G$2301,6,0),"0")</f>
        <v>2</v>
      </c>
      <c r="R334" s="111">
        <v>9</v>
      </c>
      <c r="T334" s="339">
        <f t="shared" si="392"/>
        <v>11</v>
      </c>
      <c r="V334" s="371">
        <v>3.85</v>
      </c>
      <c r="W334" s="69">
        <v>24</v>
      </c>
      <c r="X334" s="59">
        <v>46.41</v>
      </c>
      <c r="Y334" s="37">
        <v>1820</v>
      </c>
      <c r="Z334" s="69">
        <v>1345</v>
      </c>
      <c r="AA334" s="146">
        <f t="shared" si="389"/>
        <v>475</v>
      </c>
      <c r="AB334" s="66">
        <f t="shared" si="390"/>
        <v>0.35315985130111527</v>
      </c>
      <c r="AC334" s="105" t="s">
        <v>5346</v>
      </c>
      <c r="AD334" s="23" t="s">
        <v>106</v>
      </c>
      <c r="AE334" s="89">
        <v>44378</v>
      </c>
      <c r="AF334" s="88">
        <v>44391</v>
      </c>
      <c r="AG334" s="34">
        <f t="shared" si="391"/>
        <v>13</v>
      </c>
      <c r="AH334" s="126" t="s">
        <v>3274</v>
      </c>
      <c r="AI334" s="131"/>
    </row>
    <row r="335" spans="1:35">
      <c r="A335" s="135" t="s">
        <v>2967</v>
      </c>
      <c r="B335" s="84">
        <v>44</v>
      </c>
      <c r="C335" s="85">
        <v>-16</v>
      </c>
      <c r="D335" s="84">
        <v>11</v>
      </c>
      <c r="E335" s="84">
        <v>46</v>
      </c>
      <c r="F335" s="59">
        <v>30.87</v>
      </c>
      <c r="G335" s="85">
        <v>5269</v>
      </c>
      <c r="H335" s="5" t="s">
        <v>558</v>
      </c>
      <c r="I335" s="23" t="s">
        <v>106</v>
      </c>
      <c r="J335" s="77">
        <v>67.78</v>
      </c>
      <c r="K335" s="77">
        <v>25.3</v>
      </c>
      <c r="L335" s="371">
        <v>5.26</v>
      </c>
      <c r="N335" s="365">
        <f t="shared" si="388"/>
        <v>98.34</v>
      </c>
      <c r="P335" s="195"/>
      <c r="Q335" s="326">
        <f>IFERROR(VLOOKUP($G335,主力整理!$A$2:$G$2301,6,0),"0")</f>
        <v>2</v>
      </c>
      <c r="R335" s="111">
        <v>9</v>
      </c>
      <c r="T335" s="339">
        <f t="shared" si="392"/>
        <v>11</v>
      </c>
      <c r="V335" s="371">
        <v>9.5500000000000007</v>
      </c>
      <c r="W335" s="69">
        <v>24</v>
      </c>
      <c r="X335" s="59">
        <v>46.41</v>
      </c>
      <c r="Y335" s="37">
        <v>1820</v>
      </c>
      <c r="Z335" s="69">
        <v>1435</v>
      </c>
      <c r="AA335" s="146">
        <f t="shared" si="389"/>
        <v>385</v>
      </c>
      <c r="AB335" s="66">
        <f t="shared" si="390"/>
        <v>0.26829268292682928</v>
      </c>
      <c r="AC335" s="105" t="s">
        <v>5341</v>
      </c>
      <c r="AD335" s="23" t="s">
        <v>106</v>
      </c>
      <c r="AE335" s="89">
        <v>44371</v>
      </c>
      <c r="AF335" s="88">
        <v>44391</v>
      </c>
      <c r="AG335" s="34">
        <f t="shared" si="391"/>
        <v>20</v>
      </c>
      <c r="AH335" s="126" t="s">
        <v>3274</v>
      </c>
      <c r="AI335" s="131"/>
    </row>
    <row r="336" spans="1:35">
      <c r="A336" s="151" t="s">
        <v>3557</v>
      </c>
      <c r="B336" s="84">
        <v>137</v>
      </c>
      <c r="C336" s="84">
        <v>142</v>
      </c>
      <c r="D336" s="84">
        <v>6</v>
      </c>
      <c r="E336" s="84">
        <v>32</v>
      </c>
      <c r="F336" s="7">
        <v>3.87</v>
      </c>
      <c r="G336" s="84">
        <v>3122</v>
      </c>
      <c r="H336" s="154" t="s">
        <v>558</v>
      </c>
      <c r="I336" s="17" t="s">
        <v>645</v>
      </c>
      <c r="J336" s="371">
        <v>16.149999999999999</v>
      </c>
      <c r="K336" s="77">
        <v>3.33</v>
      </c>
      <c r="L336" s="77">
        <v>40.369999999999997</v>
      </c>
      <c r="N336" s="365">
        <f t="shared" si="388"/>
        <v>59.849999999999994</v>
      </c>
      <c r="P336" s="232"/>
      <c r="Q336" s="326" t="str">
        <f>IFERROR(VLOOKUP($G336,主力整理!$A$2:$G$2301,6,0),"0")</f>
        <v>0</v>
      </c>
      <c r="R336" s="111">
        <v>28</v>
      </c>
      <c r="T336" s="339">
        <f t="shared" si="392"/>
        <v>28</v>
      </c>
      <c r="V336" s="371">
        <v>6.75</v>
      </c>
      <c r="W336" s="35">
        <v>0</v>
      </c>
      <c r="X336" s="100">
        <v>0.13</v>
      </c>
      <c r="Y336" s="37">
        <v>49.9</v>
      </c>
      <c r="Z336" s="46">
        <v>40</v>
      </c>
      <c r="AA336" s="16">
        <f t="shared" si="389"/>
        <v>9.8999999999999986</v>
      </c>
      <c r="AB336" s="66">
        <f t="shared" si="390"/>
        <v>0.24749999999999997</v>
      </c>
      <c r="AC336" s="107" t="s">
        <v>5313</v>
      </c>
      <c r="AD336" s="17" t="s">
        <v>645</v>
      </c>
      <c r="AE336" s="89">
        <v>44358</v>
      </c>
      <c r="AF336" s="88">
        <v>44390</v>
      </c>
      <c r="AG336" s="34">
        <f t="shared" si="391"/>
        <v>32</v>
      </c>
      <c r="AH336" s="44" t="s">
        <v>3740</v>
      </c>
      <c r="AI336" s="131"/>
    </row>
    <row r="337" spans="1:35">
      <c r="A337" s="135" t="s">
        <v>2555</v>
      </c>
      <c r="B337" s="84">
        <v>61</v>
      </c>
      <c r="C337" s="84">
        <v>61</v>
      </c>
      <c r="D337" s="84">
        <v>5</v>
      </c>
      <c r="E337" s="84">
        <v>34</v>
      </c>
      <c r="F337" s="59">
        <v>18.36</v>
      </c>
      <c r="G337" s="84">
        <v>3357</v>
      </c>
      <c r="H337" s="9" t="s">
        <v>559</v>
      </c>
      <c r="I337" s="17" t="s">
        <v>5165</v>
      </c>
      <c r="J337" s="371">
        <v>45.51</v>
      </c>
      <c r="K337" s="371">
        <v>10.45</v>
      </c>
      <c r="L337" s="371"/>
      <c r="N337" s="365">
        <f t="shared" si="388"/>
        <v>55.959999999999994</v>
      </c>
      <c r="P337" s="232"/>
      <c r="Q337" s="326" t="str">
        <f>IFERROR(VLOOKUP($G337,主力整理!$A$2:$G$2301,6,0),"0")</f>
        <v>0</v>
      </c>
      <c r="R337" s="111">
        <v>4</v>
      </c>
      <c r="T337" s="339">
        <f t="shared" si="392"/>
        <v>4</v>
      </c>
      <c r="W337" s="69">
        <v>4.0999999999999996</v>
      </c>
      <c r="X337" s="100">
        <v>9.0399999999999991</v>
      </c>
      <c r="Y337" s="37">
        <v>165</v>
      </c>
      <c r="Z337" s="69">
        <v>155.5</v>
      </c>
      <c r="AA337" s="16">
        <f t="shared" si="389"/>
        <v>9.5</v>
      </c>
      <c r="AB337" s="66">
        <f t="shared" si="390"/>
        <v>6.1093247588424437E-2</v>
      </c>
      <c r="AC337" s="107" t="s">
        <v>5347</v>
      </c>
      <c r="AD337" s="17" t="s">
        <v>5165</v>
      </c>
      <c r="AE337" s="89">
        <v>44379</v>
      </c>
      <c r="AF337" s="88">
        <v>44383</v>
      </c>
      <c r="AG337" s="34">
        <f t="shared" si="391"/>
        <v>4</v>
      </c>
      <c r="AH337" s="63" t="s">
        <v>5166</v>
      </c>
      <c r="AI337" s="131"/>
    </row>
    <row r="338" spans="1:35">
      <c r="A338" s="135" t="s">
        <v>3063</v>
      </c>
      <c r="B338" s="84">
        <v>237</v>
      </c>
      <c r="C338" s="84">
        <v>275</v>
      </c>
      <c r="D338" s="84">
        <v>1</v>
      </c>
      <c r="E338" s="84">
        <v>62</v>
      </c>
      <c r="F338" s="59">
        <v>13</v>
      </c>
      <c r="G338" s="84">
        <v>1309</v>
      </c>
      <c r="H338" s="9" t="s">
        <v>5284</v>
      </c>
      <c r="I338" s="23" t="s">
        <v>570</v>
      </c>
      <c r="J338" s="371">
        <v>51.6</v>
      </c>
      <c r="K338" s="77">
        <v>6.86</v>
      </c>
      <c r="L338" s="371">
        <v>24.47</v>
      </c>
      <c r="N338" s="365">
        <f t="shared" si="388"/>
        <v>82.93</v>
      </c>
      <c r="P338" s="232"/>
      <c r="Q338" s="326">
        <f>IFERROR(VLOOKUP($G338,主力整理!$A$2:$G$2301,6,0),"0")</f>
        <v>3</v>
      </c>
      <c r="R338" s="111">
        <v>11</v>
      </c>
      <c r="T338" s="339">
        <f t="shared" si="392"/>
        <v>14</v>
      </c>
      <c r="V338" s="371">
        <v>3.72</v>
      </c>
      <c r="W338" s="69">
        <v>3</v>
      </c>
      <c r="X338" s="59">
        <v>6.58</v>
      </c>
      <c r="Y338" s="37">
        <v>43.3</v>
      </c>
      <c r="Z338" s="46">
        <v>42.95</v>
      </c>
      <c r="AA338" s="16">
        <f t="shared" si="389"/>
        <v>0.34999999999999432</v>
      </c>
      <c r="AB338" s="66">
        <f t="shared" si="390"/>
        <v>8.1490104772990526E-3</v>
      </c>
      <c r="AC338" s="105" t="s">
        <v>2929</v>
      </c>
      <c r="AD338" s="23" t="s">
        <v>570</v>
      </c>
      <c r="AE338" s="89">
        <v>44349</v>
      </c>
      <c r="AF338" s="88">
        <v>44376</v>
      </c>
      <c r="AG338" s="34">
        <f t="shared" si="391"/>
        <v>27</v>
      </c>
      <c r="AH338" s="63" t="s">
        <v>4317</v>
      </c>
      <c r="AI338" s="131"/>
    </row>
    <row r="339" spans="1:35">
      <c r="A339" s="151" t="s">
        <v>5319</v>
      </c>
      <c r="B339" s="84">
        <v>125</v>
      </c>
      <c r="C339" s="84">
        <v>27</v>
      </c>
      <c r="D339" s="85">
        <v>-9</v>
      </c>
      <c r="E339" s="84">
        <v>10</v>
      </c>
      <c r="F339" s="7">
        <v>3.18</v>
      </c>
      <c r="G339" s="85">
        <v>3691</v>
      </c>
      <c r="H339" s="203" t="s">
        <v>557</v>
      </c>
      <c r="I339" s="17" t="s">
        <v>69</v>
      </c>
      <c r="J339" s="371">
        <v>54.18</v>
      </c>
      <c r="K339" s="77">
        <v>16.46</v>
      </c>
      <c r="L339" s="371">
        <v>12.15</v>
      </c>
      <c r="N339" s="365">
        <f t="shared" si="388"/>
        <v>82.79</v>
      </c>
      <c r="P339" s="232"/>
      <c r="Q339" s="326" t="str">
        <f>IFERROR(VLOOKUP($G339,主力整理!$A$2:$G$2301,6,0),"0")</f>
        <v>0</v>
      </c>
      <c r="R339" s="111">
        <v>12</v>
      </c>
      <c r="T339" s="339">
        <f t="shared" si="392"/>
        <v>12</v>
      </c>
      <c r="V339" s="371">
        <v>17.55</v>
      </c>
      <c r="W339" s="73">
        <v>2</v>
      </c>
      <c r="X339" s="59">
        <v>4.7300000000000004</v>
      </c>
      <c r="Y339" s="37">
        <v>188</v>
      </c>
      <c r="Z339" s="69">
        <v>176</v>
      </c>
      <c r="AA339" s="16">
        <f t="shared" si="389"/>
        <v>12</v>
      </c>
      <c r="AB339" s="66">
        <f t="shared" si="390"/>
        <v>6.8181818181818177E-2</v>
      </c>
      <c r="AC339" s="107" t="s">
        <v>5320</v>
      </c>
      <c r="AD339" s="17" t="s">
        <v>69</v>
      </c>
      <c r="AE339" s="89">
        <v>44363</v>
      </c>
      <c r="AF339" s="88">
        <v>44364</v>
      </c>
      <c r="AG339" s="34">
        <f t="shared" si="391"/>
        <v>1</v>
      </c>
      <c r="AH339" s="125" t="s">
        <v>2181</v>
      </c>
      <c r="AI339" s="131"/>
    </row>
    <row r="340" spans="1:35">
      <c r="A340" s="151" t="s">
        <v>4576</v>
      </c>
      <c r="B340" s="84">
        <v>193</v>
      </c>
      <c r="C340" s="98">
        <v>6133</v>
      </c>
      <c r="D340" s="85">
        <v>-1</v>
      </c>
      <c r="E340" s="84">
        <v>7</v>
      </c>
      <c r="F340" s="7">
        <v>4.97</v>
      </c>
      <c r="G340" s="85">
        <v>6552</v>
      </c>
      <c r="H340" s="9" t="s">
        <v>558</v>
      </c>
      <c r="I340" s="23" t="s">
        <v>641</v>
      </c>
      <c r="J340" s="371">
        <v>54.81</v>
      </c>
      <c r="K340" s="77">
        <v>2.4300000000000002</v>
      </c>
      <c r="L340" s="77">
        <v>12.05</v>
      </c>
      <c r="N340" s="365">
        <f t="shared" ref="N340:N348" si="393">K340+J340+L340</f>
        <v>69.290000000000006</v>
      </c>
      <c r="P340" s="232"/>
      <c r="Q340" s="326" t="str">
        <f>IFERROR(VLOOKUP($G340,主力整理!$A$2:$G$2301,6,0),"0")</f>
        <v>0</v>
      </c>
      <c r="R340" s="111">
        <v>6</v>
      </c>
      <c r="T340" s="339">
        <f t="shared" si="392"/>
        <v>6</v>
      </c>
      <c r="V340" s="371">
        <v>1.4</v>
      </c>
      <c r="W340" s="35">
        <v>1.5</v>
      </c>
      <c r="X340" s="59">
        <v>1.85</v>
      </c>
      <c r="Y340" s="37">
        <v>53</v>
      </c>
      <c r="Z340" s="69">
        <v>53.3</v>
      </c>
      <c r="AA340" s="16">
        <f t="shared" ref="AA340:AA348" si="394">Y340-Z340</f>
        <v>-0.29999999999999716</v>
      </c>
      <c r="AB340" s="80">
        <f t="shared" ref="AB340:AB348" si="395">AA340/Z340</f>
        <v>-5.6285178236397219E-3</v>
      </c>
      <c r="AC340" s="107" t="s">
        <v>5316</v>
      </c>
      <c r="AD340" s="23" t="s">
        <v>641</v>
      </c>
      <c r="AE340" s="89">
        <v>44362</v>
      </c>
      <c r="AF340" s="88">
        <v>44363</v>
      </c>
      <c r="AG340" s="34">
        <f t="shared" ref="AG340:AG348" si="396">AF340-AE340</f>
        <v>1</v>
      </c>
      <c r="AH340" s="44" t="s">
        <v>3999</v>
      </c>
      <c r="AI340" s="131"/>
    </row>
    <row r="341" spans="1:35">
      <c r="A341" s="151" t="s">
        <v>3094</v>
      </c>
      <c r="B341" s="85">
        <v>-19</v>
      </c>
      <c r="C341" s="85">
        <v>-122</v>
      </c>
      <c r="D341" s="85"/>
      <c r="E341" s="85">
        <v>-100</v>
      </c>
      <c r="F341" s="48">
        <v>-9009</v>
      </c>
      <c r="G341" s="84">
        <v>6547</v>
      </c>
      <c r="H341" s="5" t="s">
        <v>560</v>
      </c>
      <c r="I341" s="17" t="s">
        <v>1753</v>
      </c>
      <c r="J341" s="371">
        <v>31.51</v>
      </c>
      <c r="K341" s="77">
        <v>6.76</v>
      </c>
      <c r="N341" s="365">
        <f t="shared" si="393"/>
        <v>38.270000000000003</v>
      </c>
      <c r="P341" s="195"/>
      <c r="Q341" s="326">
        <f>IFERROR(VLOOKUP($G341,主力整理!$A$2:$G$2301,6,0),"0")</f>
        <v>1</v>
      </c>
      <c r="R341" s="111">
        <v>36</v>
      </c>
      <c r="T341" s="339">
        <f t="shared" si="392"/>
        <v>37</v>
      </c>
      <c r="W341" s="35">
        <v>0</v>
      </c>
      <c r="X341" s="100">
        <v>-3.63</v>
      </c>
      <c r="Y341" s="37">
        <v>283</v>
      </c>
      <c r="Z341" s="69">
        <v>275.5</v>
      </c>
      <c r="AA341" s="16">
        <f t="shared" si="394"/>
        <v>7.5</v>
      </c>
      <c r="AB341" s="66">
        <f t="shared" si="395"/>
        <v>2.7223230490018149E-2</v>
      </c>
      <c r="AC341" s="107" t="s">
        <v>5312</v>
      </c>
      <c r="AD341" s="17" t="s">
        <v>1753</v>
      </c>
      <c r="AE341" s="89">
        <v>44358</v>
      </c>
      <c r="AF341" s="88">
        <v>44362</v>
      </c>
      <c r="AG341" s="34">
        <f t="shared" si="396"/>
        <v>4</v>
      </c>
      <c r="AH341" s="44" t="s">
        <v>3345</v>
      </c>
      <c r="AI341" s="131"/>
    </row>
    <row r="342" spans="1:35">
      <c r="A342" s="135" t="s">
        <v>5294</v>
      </c>
      <c r="B342" s="98">
        <v>5673</v>
      </c>
      <c r="C342" s="98">
        <v>8760</v>
      </c>
      <c r="D342" s="85">
        <v>-13</v>
      </c>
      <c r="E342" s="84">
        <v>95</v>
      </c>
      <c r="F342" s="59">
        <v>48.9</v>
      </c>
      <c r="G342" s="84">
        <v>2603</v>
      </c>
      <c r="H342" s="5" t="s">
        <v>551</v>
      </c>
      <c r="I342" s="23" t="s">
        <v>486</v>
      </c>
      <c r="J342" s="371">
        <v>64.83</v>
      </c>
      <c r="K342" s="77">
        <v>34.36</v>
      </c>
      <c r="L342" s="77">
        <v>20.86</v>
      </c>
      <c r="N342" s="365">
        <f t="shared" si="393"/>
        <v>120.05</v>
      </c>
      <c r="P342" s="195"/>
      <c r="Q342" s="326">
        <f>IFERROR(VLOOKUP($G342,主力整理!$A$2:$G$2301,6,0),"0")</f>
        <v>6</v>
      </c>
      <c r="R342" s="111">
        <v>14</v>
      </c>
      <c r="T342" s="339">
        <f t="shared" si="392"/>
        <v>20</v>
      </c>
      <c r="V342" s="371">
        <v>9.43</v>
      </c>
      <c r="W342" s="35">
        <v>2.5</v>
      </c>
      <c r="X342" s="59">
        <v>12.45</v>
      </c>
      <c r="Y342" s="37">
        <v>98.6</v>
      </c>
      <c r="Z342" s="46">
        <v>87</v>
      </c>
      <c r="AA342" s="16">
        <f t="shared" si="394"/>
        <v>11.599999999999994</v>
      </c>
      <c r="AB342" s="66">
        <f t="shared" si="395"/>
        <v>0.13333333333333328</v>
      </c>
      <c r="AC342" s="107" t="s">
        <v>2648</v>
      </c>
      <c r="AD342" s="23" t="s">
        <v>486</v>
      </c>
      <c r="AE342" s="89">
        <v>44343</v>
      </c>
      <c r="AF342" s="88">
        <v>44347</v>
      </c>
      <c r="AG342" s="34">
        <f t="shared" si="396"/>
        <v>4</v>
      </c>
      <c r="AH342" s="126" t="s">
        <v>5209</v>
      </c>
      <c r="AI342" s="131"/>
    </row>
    <row r="343" spans="1:35">
      <c r="A343" s="135" t="s">
        <v>5294</v>
      </c>
      <c r="B343" s="98">
        <v>5673</v>
      </c>
      <c r="C343" s="98">
        <v>8760</v>
      </c>
      <c r="D343" s="85">
        <v>-13</v>
      </c>
      <c r="E343" s="84">
        <v>95</v>
      </c>
      <c r="F343" s="59">
        <v>48.9</v>
      </c>
      <c r="G343" s="84">
        <v>2603</v>
      </c>
      <c r="H343" s="5" t="s">
        <v>551</v>
      </c>
      <c r="I343" s="23" t="s">
        <v>486</v>
      </c>
      <c r="J343" s="371">
        <v>64.83</v>
      </c>
      <c r="K343" s="371">
        <v>34.25</v>
      </c>
      <c r="L343" s="371">
        <v>19.47</v>
      </c>
      <c r="N343" s="365">
        <f t="shared" si="393"/>
        <v>118.55</v>
      </c>
      <c r="P343" s="195"/>
      <c r="Q343" s="326">
        <f>IFERROR(VLOOKUP($G343,主力整理!$A$2:$G$2301,6,0),"0")</f>
        <v>6</v>
      </c>
      <c r="R343" s="111">
        <v>14</v>
      </c>
      <c r="T343" s="339">
        <f t="shared" si="392"/>
        <v>20</v>
      </c>
      <c r="V343" s="371">
        <v>9.43</v>
      </c>
      <c r="W343" s="35">
        <v>2.5</v>
      </c>
      <c r="X343" s="59">
        <v>12.45</v>
      </c>
      <c r="Y343" s="37">
        <v>98.6</v>
      </c>
      <c r="Z343" s="69">
        <v>85.6</v>
      </c>
      <c r="AA343" s="16">
        <f t="shared" si="394"/>
        <v>13</v>
      </c>
      <c r="AB343" s="66">
        <f t="shared" si="395"/>
        <v>0.15186915887850469</v>
      </c>
      <c r="AC343" s="107" t="s">
        <v>2648</v>
      </c>
      <c r="AD343" s="23" t="s">
        <v>486</v>
      </c>
      <c r="AE343" s="89">
        <v>44342</v>
      </c>
      <c r="AF343" s="88">
        <v>44347</v>
      </c>
      <c r="AG343" s="34">
        <f t="shared" si="396"/>
        <v>5</v>
      </c>
      <c r="AH343" s="126" t="s">
        <v>5209</v>
      </c>
      <c r="AI343" s="131"/>
    </row>
    <row r="344" spans="1:35">
      <c r="A344" s="151" t="s">
        <v>4781</v>
      </c>
      <c r="B344" s="98">
        <v>5535</v>
      </c>
      <c r="C344" s="85">
        <v>-709</v>
      </c>
      <c r="D344" s="85">
        <v>-14</v>
      </c>
      <c r="E344" s="84">
        <v>4</v>
      </c>
      <c r="F344" s="7">
        <v>-31.32</v>
      </c>
      <c r="G344" s="84">
        <v>2388</v>
      </c>
      <c r="H344" s="18" t="s">
        <v>558</v>
      </c>
      <c r="I344" s="23" t="s">
        <v>524</v>
      </c>
      <c r="J344" s="371">
        <v>70.94</v>
      </c>
      <c r="K344" s="77">
        <v>8.3800000000000008</v>
      </c>
      <c r="L344" s="77">
        <v>3.87</v>
      </c>
      <c r="N344" s="365">
        <f t="shared" si="393"/>
        <v>83.19</v>
      </c>
      <c r="P344" s="232"/>
      <c r="Q344" s="326">
        <f>IFERROR(VLOOKUP($G344,主力整理!$A$2:$G$2301,6,0),"0")</f>
        <v>1</v>
      </c>
      <c r="R344" s="111">
        <v>14</v>
      </c>
      <c r="T344" s="339">
        <f t="shared" si="392"/>
        <v>15</v>
      </c>
      <c r="V344" s="371">
        <v>0.15</v>
      </c>
      <c r="W344" s="35">
        <v>0.8</v>
      </c>
      <c r="X344" s="59">
        <v>12.94</v>
      </c>
      <c r="Y344" s="37">
        <v>48.3</v>
      </c>
      <c r="Z344" s="69">
        <v>48.3</v>
      </c>
      <c r="AA344" s="16">
        <f t="shared" si="394"/>
        <v>0</v>
      </c>
      <c r="AB344" s="66">
        <f t="shared" si="395"/>
        <v>0</v>
      </c>
      <c r="AC344" s="107" t="s">
        <v>2648</v>
      </c>
      <c r="AD344" s="23" t="s">
        <v>524</v>
      </c>
      <c r="AE344" s="89">
        <v>44344</v>
      </c>
      <c r="AF344" s="88">
        <v>44344</v>
      </c>
      <c r="AG344" s="34">
        <f t="shared" si="396"/>
        <v>0</v>
      </c>
      <c r="AH344" s="44" t="s">
        <v>3292</v>
      </c>
      <c r="AI344" s="131"/>
    </row>
    <row r="345" spans="1:35">
      <c r="A345" s="135" t="s">
        <v>5293</v>
      </c>
      <c r="B345" s="98">
        <v>3355</v>
      </c>
      <c r="C345" s="246">
        <v>12352</v>
      </c>
      <c r="D345" s="84">
        <v>3</v>
      </c>
      <c r="E345" s="84">
        <v>103</v>
      </c>
      <c r="F345" s="59">
        <v>46.7</v>
      </c>
      <c r="G345" s="84">
        <v>2609</v>
      </c>
      <c r="H345" s="9" t="s">
        <v>551</v>
      </c>
      <c r="I345" s="23" t="s">
        <v>1475</v>
      </c>
      <c r="J345" s="77">
        <v>58.39</v>
      </c>
      <c r="K345" s="77">
        <v>14.75</v>
      </c>
      <c r="L345" s="77">
        <v>25.82</v>
      </c>
      <c r="N345" s="365">
        <f t="shared" si="393"/>
        <v>98.960000000000008</v>
      </c>
      <c r="P345" s="232"/>
      <c r="Q345" s="326">
        <f>IFERROR(VLOOKUP($G345,主力整理!$A$2:$G$2301,6,0),"0")</f>
        <v>2</v>
      </c>
      <c r="R345" s="111">
        <v>27</v>
      </c>
      <c r="T345" s="339">
        <f t="shared" si="392"/>
        <v>29</v>
      </c>
      <c r="V345" s="371">
        <v>4.09</v>
      </c>
      <c r="W345" s="73">
        <v>0</v>
      </c>
      <c r="X345" s="59">
        <v>13.4</v>
      </c>
      <c r="Y345" s="37">
        <v>108</v>
      </c>
      <c r="Z345" s="46">
        <v>103</v>
      </c>
      <c r="AA345" s="16">
        <f t="shared" si="394"/>
        <v>5</v>
      </c>
      <c r="AB345" s="66">
        <f t="shared" si="395"/>
        <v>4.8543689320388349E-2</v>
      </c>
      <c r="AC345" s="107" t="s">
        <v>2648</v>
      </c>
      <c r="AD345" s="23" t="s">
        <v>1475</v>
      </c>
      <c r="AE345" s="89">
        <v>44343</v>
      </c>
      <c r="AF345" s="88">
        <v>44344</v>
      </c>
      <c r="AG345" s="34">
        <f t="shared" si="396"/>
        <v>1</v>
      </c>
      <c r="AH345" s="63" t="s">
        <v>5209</v>
      </c>
      <c r="AI345" s="131"/>
    </row>
    <row r="346" spans="1:35">
      <c r="A346" s="135" t="s">
        <v>5293</v>
      </c>
      <c r="B346" s="98">
        <v>3355</v>
      </c>
      <c r="C346" s="246">
        <v>12352</v>
      </c>
      <c r="D346" s="84">
        <v>3</v>
      </c>
      <c r="E346" s="84">
        <v>103</v>
      </c>
      <c r="F346" s="59">
        <v>46.7</v>
      </c>
      <c r="G346" s="84">
        <v>2609</v>
      </c>
      <c r="H346" s="9" t="s">
        <v>551</v>
      </c>
      <c r="I346" s="23" t="s">
        <v>1475</v>
      </c>
      <c r="J346" s="77">
        <v>58.39</v>
      </c>
      <c r="K346" s="77">
        <v>13.48</v>
      </c>
      <c r="L346" s="371">
        <v>22.32</v>
      </c>
      <c r="N346" s="365">
        <f t="shared" si="393"/>
        <v>94.19</v>
      </c>
      <c r="P346" s="232"/>
      <c r="Q346" s="326">
        <f>IFERROR(VLOOKUP($G346,主力整理!$A$2:$G$2301,6,0),"0")</f>
        <v>2</v>
      </c>
      <c r="R346" s="111">
        <v>27</v>
      </c>
      <c r="T346" s="339">
        <f t="shared" si="392"/>
        <v>29</v>
      </c>
      <c r="V346" s="371">
        <v>3.58</v>
      </c>
      <c r="W346" s="73">
        <v>0</v>
      </c>
      <c r="X346" s="59">
        <v>13.4</v>
      </c>
      <c r="Y346" s="37">
        <v>108</v>
      </c>
      <c r="Z346" s="46">
        <v>98.8</v>
      </c>
      <c r="AA346" s="16">
        <f t="shared" si="394"/>
        <v>9.2000000000000028</v>
      </c>
      <c r="AB346" s="66">
        <f t="shared" si="395"/>
        <v>9.3117408906882623E-2</v>
      </c>
      <c r="AC346" s="107" t="s">
        <v>2648</v>
      </c>
      <c r="AD346" s="23" t="s">
        <v>1475</v>
      </c>
      <c r="AE346" s="89">
        <v>44342</v>
      </c>
      <c r="AF346" s="88">
        <v>44344</v>
      </c>
      <c r="AG346" s="34">
        <f t="shared" si="396"/>
        <v>2</v>
      </c>
      <c r="AH346" s="63" t="s">
        <v>5209</v>
      </c>
      <c r="AI346" s="131"/>
    </row>
    <row r="347" spans="1:35">
      <c r="A347" s="135" t="s">
        <v>3221</v>
      </c>
      <c r="B347" s="98">
        <v>1309</v>
      </c>
      <c r="C347" s="98">
        <v>1208</v>
      </c>
      <c r="D347" s="84">
        <v>25</v>
      </c>
      <c r="E347" s="84">
        <v>102</v>
      </c>
      <c r="F347" s="59">
        <v>21.28</v>
      </c>
      <c r="G347" s="84">
        <v>3545</v>
      </c>
      <c r="H347" s="5" t="s">
        <v>558</v>
      </c>
      <c r="I347" s="23" t="s">
        <v>631</v>
      </c>
      <c r="J347" s="371">
        <v>29.65</v>
      </c>
      <c r="K347" s="77">
        <v>31.36</v>
      </c>
      <c r="L347" s="77">
        <v>44.43</v>
      </c>
      <c r="N347" s="365">
        <f t="shared" si="393"/>
        <v>105.44</v>
      </c>
      <c r="P347" s="232"/>
      <c r="Q347" s="326">
        <f>IFERROR(VLOOKUP($G347,主力整理!$A$2:$G$2301,6,0),"0")</f>
        <v>2</v>
      </c>
      <c r="R347" s="31">
        <v>18</v>
      </c>
      <c r="T347" s="339">
        <f t="shared" si="392"/>
        <v>20</v>
      </c>
      <c r="V347" s="371">
        <v>5.04</v>
      </c>
      <c r="W347" s="46">
        <v>3.32</v>
      </c>
      <c r="X347" s="100">
        <v>3.77</v>
      </c>
      <c r="Y347" s="37">
        <v>169</v>
      </c>
      <c r="Z347" s="46">
        <v>169</v>
      </c>
      <c r="AA347" s="16">
        <f t="shared" si="394"/>
        <v>0</v>
      </c>
      <c r="AB347" s="66">
        <f t="shared" si="395"/>
        <v>0</v>
      </c>
      <c r="AC347" s="105" t="s">
        <v>2929</v>
      </c>
      <c r="AD347" s="23" t="s">
        <v>631</v>
      </c>
      <c r="AE347" s="89">
        <v>44336</v>
      </c>
      <c r="AF347" s="88">
        <v>44336</v>
      </c>
      <c r="AG347" s="34">
        <f t="shared" si="396"/>
        <v>0</v>
      </c>
      <c r="AH347" s="63" t="s">
        <v>3725</v>
      </c>
      <c r="AI347" s="284"/>
    </row>
    <row r="348" spans="1:35">
      <c r="A348" s="135" t="s">
        <v>3270</v>
      </c>
      <c r="B348" s="84">
        <v>146</v>
      </c>
      <c r="C348" s="84">
        <v>151</v>
      </c>
      <c r="D348" s="84">
        <v>12</v>
      </c>
      <c r="E348" s="84">
        <v>90</v>
      </c>
      <c r="F348" s="59">
        <v>23.15</v>
      </c>
      <c r="G348" s="84">
        <v>6491</v>
      </c>
      <c r="H348" s="213" t="s">
        <v>560</v>
      </c>
      <c r="I348" s="23" t="s">
        <v>2572</v>
      </c>
      <c r="J348" s="371">
        <v>56.34</v>
      </c>
      <c r="K348" s="77">
        <v>20.6</v>
      </c>
      <c r="L348" s="77">
        <v>3.09</v>
      </c>
      <c r="N348" s="365">
        <f t="shared" si="393"/>
        <v>80.03</v>
      </c>
      <c r="P348" s="232"/>
      <c r="Q348" s="326">
        <f>IFERROR(VLOOKUP($G348,主力整理!$A$2:$G$2301,6,0),"0")</f>
        <v>1</v>
      </c>
      <c r="R348" s="31">
        <v>11</v>
      </c>
      <c r="T348" s="339">
        <f t="shared" si="392"/>
        <v>12</v>
      </c>
      <c r="V348" s="371">
        <v>0.18</v>
      </c>
      <c r="W348" s="69">
        <v>5</v>
      </c>
      <c r="X348" s="59">
        <v>10.220000000000001</v>
      </c>
      <c r="Y348" s="37">
        <v>446</v>
      </c>
      <c r="Z348" s="69">
        <v>446</v>
      </c>
      <c r="AA348" s="16">
        <f t="shared" si="394"/>
        <v>0</v>
      </c>
      <c r="AB348" s="66">
        <f t="shared" si="395"/>
        <v>0</v>
      </c>
      <c r="AC348" s="105" t="s">
        <v>2929</v>
      </c>
      <c r="AD348" s="23" t="s">
        <v>2572</v>
      </c>
      <c r="AE348" s="89">
        <v>44336</v>
      </c>
      <c r="AF348" s="88">
        <v>44336</v>
      </c>
      <c r="AG348" s="34">
        <f t="shared" si="396"/>
        <v>0</v>
      </c>
      <c r="AH348" s="126" t="s">
        <v>4964</v>
      </c>
      <c r="AI348" s="131"/>
    </row>
    <row r="349" spans="1:35">
      <c r="AI349" s="131"/>
    </row>
    <row r="350" spans="1:35">
      <c r="AI350" s="131"/>
    </row>
    <row r="351" spans="1:35">
      <c r="AI351" s="131"/>
    </row>
    <row r="352" spans="1:35">
      <c r="AI352" s="131"/>
    </row>
    <row r="353" spans="35:35">
      <c r="AI353" s="131"/>
    </row>
    <row r="354" spans="35:35">
      <c r="AI354" s="131"/>
    </row>
    <row r="355" spans="35:35">
      <c r="AI355" s="131"/>
    </row>
    <row r="356" spans="35:35">
      <c r="AI356" s="131"/>
    </row>
    <row r="357" spans="35:35">
      <c r="AI357" s="131"/>
    </row>
    <row r="358" spans="35:35">
      <c r="AI358" s="131"/>
    </row>
    <row r="359" spans="35:35">
      <c r="AI359" s="131"/>
    </row>
    <row r="360" spans="35:35">
      <c r="AI360" s="131"/>
    </row>
    <row r="361" spans="35:35">
      <c r="AI361" s="131"/>
    </row>
    <row r="362" spans="35:35">
      <c r="AI362" s="131"/>
    </row>
    <row r="363" spans="35:35">
      <c r="AI363" s="131"/>
    </row>
    <row r="364" spans="35:35">
      <c r="AI364" s="131"/>
    </row>
    <row r="365" spans="35:35">
      <c r="AI365" s="284"/>
    </row>
    <row r="366" spans="35:35">
      <c r="AI366" s="131"/>
    </row>
    <row r="367" spans="35:35">
      <c r="AI367" s="284"/>
    </row>
    <row r="368" spans="35:35">
      <c r="AI368" s="131"/>
    </row>
    <row r="369" spans="35:35">
      <c r="AI369" s="131"/>
    </row>
    <row r="370" spans="35:35">
      <c r="AI370" s="131"/>
    </row>
    <row r="371" spans="35:35">
      <c r="AI371" s="131"/>
    </row>
    <row r="372" spans="35:35">
      <c r="AI372" s="131"/>
    </row>
    <row r="373" spans="35:35">
      <c r="AI373" s="131"/>
    </row>
    <row r="374" spans="35:35">
      <c r="AI374" s="131"/>
    </row>
    <row r="375" spans="35:35">
      <c r="AI375" s="131"/>
    </row>
    <row r="376" spans="35:35">
      <c r="AI376" s="131"/>
    </row>
    <row r="377" spans="35:35">
      <c r="AI377" s="131"/>
    </row>
    <row r="378" spans="35:35">
      <c r="AI378" s="131"/>
    </row>
    <row r="379" spans="35:35">
      <c r="AI379" s="131"/>
    </row>
    <row r="380" spans="35:35">
      <c r="AI380" s="131"/>
    </row>
    <row r="381" spans="35:35">
      <c r="AI381" s="131"/>
    </row>
    <row r="382" spans="35:35">
      <c r="AI382" s="131"/>
    </row>
    <row r="383" spans="35:35">
      <c r="AI383" s="131"/>
    </row>
    <row r="384" spans="35:35">
      <c r="AI384" s="131"/>
    </row>
    <row r="385" spans="35:35">
      <c r="AI385" s="131"/>
    </row>
    <row r="386" spans="35:35">
      <c r="AI386" s="131"/>
    </row>
    <row r="387" spans="35:35">
      <c r="AI387" s="131"/>
    </row>
    <row r="388" spans="35:35">
      <c r="AI388" s="131"/>
    </row>
    <row r="389" spans="35:35">
      <c r="AI389" s="131"/>
    </row>
    <row r="390" spans="35:35">
      <c r="AI390" s="131"/>
    </row>
    <row r="391" spans="35:35">
      <c r="AI391" s="131"/>
    </row>
    <row r="392" spans="35:35">
      <c r="AI392" s="131"/>
    </row>
    <row r="393" spans="35:35">
      <c r="AI393" s="131"/>
    </row>
    <row r="394" spans="35:35">
      <c r="AI394" s="131"/>
    </row>
    <row r="395" spans="35:35">
      <c r="AI395" s="131"/>
    </row>
    <row r="396" spans="35:35">
      <c r="AI396" s="131"/>
    </row>
    <row r="397" spans="35:35">
      <c r="AI397" s="131"/>
    </row>
    <row r="398" spans="35:35">
      <c r="AI398" s="131"/>
    </row>
    <row r="399" spans="35:35">
      <c r="AI399" s="131"/>
    </row>
    <row r="400" spans="35:35">
      <c r="AI400" s="131"/>
    </row>
    <row r="401" spans="35:35">
      <c r="AI401" s="131"/>
    </row>
    <row r="402" spans="35:35">
      <c r="AI402" s="284"/>
    </row>
    <row r="403" spans="35:35">
      <c r="AI403" s="131"/>
    </row>
    <row r="404" spans="35:35">
      <c r="AI404" s="131"/>
    </row>
    <row r="405" spans="35:35">
      <c r="AI405" s="131"/>
    </row>
    <row r="406" spans="35:35">
      <c r="AI406" s="131"/>
    </row>
    <row r="407" spans="35:35">
      <c r="AI407" s="131"/>
    </row>
    <row r="408" spans="35:35">
      <c r="AI408" s="131"/>
    </row>
    <row r="409" spans="35:35">
      <c r="AI409" s="131"/>
    </row>
    <row r="410" spans="35:35">
      <c r="AI410" s="131"/>
    </row>
    <row r="411" spans="35:35">
      <c r="AI411" s="131"/>
    </row>
    <row r="412" spans="35:35">
      <c r="AI412" s="131"/>
    </row>
    <row r="413" spans="35:35">
      <c r="AI413" s="131"/>
    </row>
    <row r="414" spans="35:35">
      <c r="AI414" s="131"/>
    </row>
    <row r="415" spans="35:35">
      <c r="AI415" s="131"/>
    </row>
    <row r="416" spans="35:35">
      <c r="AI416" s="131"/>
    </row>
    <row r="417" spans="35:35">
      <c r="AI417" s="131"/>
    </row>
    <row r="418" spans="35:35">
      <c r="AI418" s="131"/>
    </row>
    <row r="419" spans="35:35">
      <c r="AI419" s="131"/>
    </row>
    <row r="420" spans="35:35">
      <c r="AI420" s="131"/>
    </row>
    <row r="421" spans="35:35">
      <c r="AI421" s="131"/>
    </row>
    <row r="422" spans="35:35">
      <c r="AI422" s="131"/>
    </row>
    <row r="423" spans="35:35">
      <c r="AI423" s="131"/>
    </row>
    <row r="424" spans="35:35">
      <c r="AI424" s="131"/>
    </row>
    <row r="425" spans="35:35">
      <c r="AI425" s="131"/>
    </row>
    <row r="426" spans="35:35">
      <c r="AI426" s="131"/>
    </row>
    <row r="427" spans="35:35">
      <c r="AI427" s="131"/>
    </row>
    <row r="428" spans="35:35">
      <c r="AI428" s="131"/>
    </row>
    <row r="429" spans="35:35">
      <c r="AI429" s="131"/>
    </row>
    <row r="430" spans="35:35">
      <c r="AI430" s="131"/>
    </row>
    <row r="431" spans="35:35">
      <c r="AI431" s="131"/>
    </row>
    <row r="432" spans="35:35">
      <c r="AI432" s="131"/>
    </row>
    <row r="433" spans="20:35">
      <c r="AI433" s="131"/>
    </row>
    <row r="434" spans="20:35">
      <c r="AI434" s="131"/>
    </row>
    <row r="435" spans="20:35">
      <c r="AI435" s="131"/>
    </row>
    <row r="436" spans="20:35">
      <c r="AI436" s="131"/>
    </row>
    <row r="437" spans="20:35">
      <c r="AI437" s="131"/>
    </row>
    <row r="438" spans="20:35">
      <c r="AI438" s="131"/>
    </row>
    <row r="439" spans="20:35">
      <c r="AI439" s="131"/>
    </row>
    <row r="440" spans="20:35">
      <c r="AI440" s="131"/>
    </row>
    <row r="441" spans="20:35">
      <c r="AI441" s="131"/>
    </row>
    <row r="442" spans="20:35">
      <c r="AI442" s="131"/>
    </row>
    <row r="443" spans="20:35">
      <c r="AI443" s="131"/>
    </row>
    <row r="444" spans="20:35">
      <c r="AI444" s="131"/>
    </row>
    <row r="445" spans="20:35">
      <c r="AI445" s="131"/>
    </row>
    <row r="446" spans="20:35">
      <c r="T446" s="338"/>
      <c r="AI446" s="131"/>
    </row>
    <row r="447" spans="20:35">
      <c r="AI447" s="286"/>
    </row>
    <row r="448" spans="20:35">
      <c r="AI448" s="131"/>
    </row>
    <row r="449" spans="35:35">
      <c r="AI449" s="131"/>
    </row>
    <row r="450" spans="35:35">
      <c r="AI450" s="131"/>
    </row>
    <row r="451" spans="35:35">
      <c r="AI451" s="131"/>
    </row>
    <row r="452" spans="35:35">
      <c r="AI452" s="131"/>
    </row>
    <row r="453" spans="35:35">
      <c r="AI453" s="131"/>
    </row>
    <row r="454" spans="35:35">
      <c r="AI454" s="131"/>
    </row>
    <row r="455" spans="35:35">
      <c r="AI455" s="131"/>
    </row>
    <row r="456" spans="35:35">
      <c r="AI456" s="131"/>
    </row>
    <row r="457" spans="35:35">
      <c r="AI457" s="131"/>
    </row>
    <row r="458" spans="35:35">
      <c r="AI458" s="131"/>
    </row>
    <row r="459" spans="35:35">
      <c r="AI459" s="131"/>
    </row>
    <row r="460" spans="35:35">
      <c r="AI460" s="131"/>
    </row>
    <row r="461" spans="35:35">
      <c r="AI461" s="131"/>
    </row>
    <row r="462" spans="35:35">
      <c r="AI462" s="131"/>
    </row>
    <row r="463" spans="35:35">
      <c r="AI463" s="131"/>
    </row>
    <row r="464" spans="35:35">
      <c r="AI464" s="131"/>
    </row>
    <row r="465" spans="35:35">
      <c r="AI465" s="131"/>
    </row>
    <row r="466" spans="35:35">
      <c r="AI466" s="131"/>
    </row>
    <row r="467" spans="35:35">
      <c r="AI467" s="131"/>
    </row>
    <row r="468" spans="35:35">
      <c r="AI468" s="131"/>
    </row>
    <row r="469" spans="35:35">
      <c r="AI469" s="131"/>
    </row>
    <row r="470" spans="35:35">
      <c r="AI470" s="131"/>
    </row>
    <row r="471" spans="35:35">
      <c r="AI471" s="131"/>
    </row>
    <row r="472" spans="35:35">
      <c r="AI472" s="131"/>
    </row>
    <row r="473" spans="35:35">
      <c r="AI473" s="131"/>
    </row>
    <row r="474" spans="35:35">
      <c r="AI474" s="131"/>
    </row>
    <row r="475" spans="35:35">
      <c r="AI475" s="131"/>
    </row>
    <row r="476" spans="35:35">
      <c r="AI476" s="131"/>
    </row>
    <row r="477" spans="35:35">
      <c r="AI477" s="131"/>
    </row>
    <row r="478" spans="35:35">
      <c r="AI478" s="131"/>
    </row>
    <row r="479" spans="35:35">
      <c r="AI479" s="131"/>
    </row>
    <row r="480" spans="35:35">
      <c r="AI480" s="131"/>
    </row>
    <row r="481" spans="35:35">
      <c r="AI481" s="131"/>
    </row>
    <row r="482" spans="35:35">
      <c r="AI482" s="131"/>
    </row>
    <row r="483" spans="35:35">
      <c r="AI483" s="131"/>
    </row>
    <row r="484" spans="35:35">
      <c r="AI484" s="131"/>
    </row>
    <row r="485" spans="35:35">
      <c r="AI485" s="131"/>
    </row>
    <row r="486" spans="35:35">
      <c r="AI486" s="131"/>
    </row>
    <row r="487" spans="35:35">
      <c r="AI487" s="131"/>
    </row>
    <row r="488" spans="35:35">
      <c r="AI488" s="34"/>
    </row>
    <row r="489" spans="35:35">
      <c r="AI489" s="131"/>
    </row>
    <row r="490" spans="35:35">
      <c r="AI490" s="131"/>
    </row>
    <row r="491" spans="35:35">
      <c r="AI491" s="284"/>
    </row>
    <row r="492" spans="35:35">
      <c r="AI492" s="131"/>
    </row>
    <row r="493" spans="35:35">
      <c r="AI493" s="131"/>
    </row>
    <row r="494" spans="35:35">
      <c r="AI494" s="131"/>
    </row>
    <row r="495" spans="35:35">
      <c r="AI495" s="131"/>
    </row>
    <row r="496" spans="35:35">
      <c r="AI496" s="131"/>
    </row>
    <row r="497" spans="35:35">
      <c r="AI497" s="284"/>
    </row>
    <row r="498" spans="35:35">
      <c r="AI498" s="131"/>
    </row>
    <row r="499" spans="35:35">
      <c r="AI499" s="131"/>
    </row>
    <row r="500" spans="35:35">
      <c r="AI500" s="131"/>
    </row>
    <row r="501" spans="35:35">
      <c r="AI501" s="131"/>
    </row>
    <row r="502" spans="35:35">
      <c r="AI502" s="131"/>
    </row>
    <row r="503" spans="35:35">
      <c r="AI503" s="131"/>
    </row>
    <row r="504" spans="35:35">
      <c r="AI504" s="131"/>
    </row>
    <row r="505" spans="35:35">
      <c r="AI505" s="131"/>
    </row>
    <row r="506" spans="35:35">
      <c r="AI506" s="131"/>
    </row>
    <row r="507" spans="35:35">
      <c r="AI507" s="131"/>
    </row>
    <row r="508" spans="35:35">
      <c r="AI508" s="284"/>
    </row>
    <row r="509" spans="35:35">
      <c r="AI509" s="131"/>
    </row>
    <row r="510" spans="35:35">
      <c r="AI510" s="131"/>
    </row>
    <row r="511" spans="35:35">
      <c r="AI511" s="131"/>
    </row>
    <row r="512" spans="35:35">
      <c r="AI512" s="131"/>
    </row>
    <row r="513" spans="35:35">
      <c r="AI513" s="131"/>
    </row>
    <row r="514" spans="35:35">
      <c r="AI514" s="131"/>
    </row>
    <row r="515" spans="35:35">
      <c r="AI515" s="131"/>
    </row>
    <row r="516" spans="35:35">
      <c r="AI516" s="131"/>
    </row>
    <row r="517" spans="35:35">
      <c r="AI517" s="131"/>
    </row>
    <row r="518" spans="35:35">
      <c r="AI518" s="284"/>
    </row>
    <row r="519" spans="35:35">
      <c r="AI519" s="131"/>
    </row>
    <row r="520" spans="35:35">
      <c r="AI520" s="131"/>
    </row>
    <row r="521" spans="35:35">
      <c r="AI521" s="131"/>
    </row>
    <row r="522" spans="35:35">
      <c r="AI522" s="131"/>
    </row>
    <row r="523" spans="35:35">
      <c r="AI523" s="131"/>
    </row>
    <row r="524" spans="35:35">
      <c r="AI524" s="131"/>
    </row>
    <row r="525" spans="35:35">
      <c r="AI525" s="131"/>
    </row>
    <row r="526" spans="35:35">
      <c r="AI526" s="284"/>
    </row>
    <row r="527" spans="35:35">
      <c r="AI527" s="131"/>
    </row>
    <row r="528" spans="35:35">
      <c r="AI528" s="131"/>
    </row>
    <row r="529" spans="35:35">
      <c r="AI529" s="131"/>
    </row>
    <row r="530" spans="35:35">
      <c r="AI530" s="131"/>
    </row>
    <row r="531" spans="35:35">
      <c r="AI531" s="131"/>
    </row>
    <row r="532" spans="35:35">
      <c r="AI532" s="131"/>
    </row>
    <row r="533" spans="35:35">
      <c r="AI533" s="131"/>
    </row>
    <row r="534" spans="35:35">
      <c r="AI534" s="131"/>
    </row>
    <row r="535" spans="35:35">
      <c r="AI535" s="131"/>
    </row>
    <row r="536" spans="35:35">
      <c r="AI536" s="284"/>
    </row>
    <row r="537" spans="35:35">
      <c r="AI537" s="131"/>
    </row>
    <row r="538" spans="35:35">
      <c r="AI538" s="131"/>
    </row>
    <row r="539" spans="35:35">
      <c r="AI539" s="131"/>
    </row>
    <row r="540" spans="35:35">
      <c r="AI540" s="131"/>
    </row>
    <row r="541" spans="35:35">
      <c r="AI541" s="131"/>
    </row>
    <row r="542" spans="35:35">
      <c r="AI542" s="131"/>
    </row>
    <row r="543" spans="35:35">
      <c r="AI543" s="131"/>
    </row>
    <row r="544" spans="35:35">
      <c r="AI544" s="131"/>
    </row>
    <row r="545" spans="35:35">
      <c r="AI545" s="131"/>
    </row>
    <row r="546" spans="35:35">
      <c r="AI546" s="131"/>
    </row>
    <row r="547" spans="35:35">
      <c r="AI547" s="131"/>
    </row>
    <row r="548" spans="35:35">
      <c r="AI548" s="131"/>
    </row>
    <row r="549" spans="35:35">
      <c r="AI549" s="131"/>
    </row>
    <row r="550" spans="35:35">
      <c r="AI550" s="131"/>
    </row>
    <row r="551" spans="35:35">
      <c r="AI551" s="131"/>
    </row>
    <row r="552" spans="35:35">
      <c r="AI552" s="131"/>
    </row>
    <row r="553" spans="35:35">
      <c r="AI553" s="131"/>
    </row>
    <row r="554" spans="35:35">
      <c r="AI554" s="131"/>
    </row>
    <row r="555" spans="35:35">
      <c r="AI555" s="131"/>
    </row>
    <row r="556" spans="35:35">
      <c r="AI556" s="131"/>
    </row>
    <row r="557" spans="35:35">
      <c r="AI557" s="284"/>
    </row>
    <row r="558" spans="35:35">
      <c r="AI558" s="131"/>
    </row>
    <row r="559" spans="35:35">
      <c r="AI559" s="131"/>
    </row>
    <row r="560" spans="35:35">
      <c r="AI560" s="131"/>
    </row>
    <row r="562" spans="35:35">
      <c r="AI562" s="131"/>
    </row>
    <row r="563" spans="35:35">
      <c r="AI563" s="131"/>
    </row>
    <row r="564" spans="35:35">
      <c r="AI564" s="131"/>
    </row>
    <row r="565" spans="35:35">
      <c r="AI565" s="131"/>
    </row>
    <row r="566" spans="35:35">
      <c r="AI566" s="131"/>
    </row>
    <row r="567" spans="35:35">
      <c r="AI567" s="131"/>
    </row>
    <row r="568" spans="35:35">
      <c r="AI568" s="131"/>
    </row>
    <row r="569" spans="35:35">
      <c r="AI569" s="131"/>
    </row>
    <row r="570" spans="35:35">
      <c r="AI570" s="284"/>
    </row>
    <row r="571" spans="35:35">
      <c r="AI571" s="131"/>
    </row>
    <row r="572" spans="35:35">
      <c r="AI572" s="131"/>
    </row>
    <row r="573" spans="35:35">
      <c r="AI573" s="131"/>
    </row>
    <row r="574" spans="35:35">
      <c r="AI574" s="284"/>
    </row>
    <row r="575" spans="35:35">
      <c r="AI575" s="131"/>
    </row>
    <row r="576" spans="35:35">
      <c r="AI576" s="131"/>
    </row>
    <row r="577" spans="35:35">
      <c r="AI577" s="131"/>
    </row>
    <row r="578" spans="35:35">
      <c r="AI578" s="131"/>
    </row>
    <row r="579" spans="35:35">
      <c r="AI579" s="131"/>
    </row>
    <row r="580" spans="35:35">
      <c r="AI580" s="131"/>
    </row>
    <row r="581" spans="35:35">
      <c r="AI581" s="131"/>
    </row>
    <row r="582" spans="35:35">
      <c r="AI582" s="131"/>
    </row>
    <row r="583" spans="35:35">
      <c r="AI583" s="131"/>
    </row>
    <row r="584" spans="35:35">
      <c r="AI584" s="131"/>
    </row>
    <row r="585" spans="35:35">
      <c r="AI585" s="131"/>
    </row>
    <row r="586" spans="35:35">
      <c r="AI586" s="131"/>
    </row>
    <row r="587" spans="35:35">
      <c r="AI587" s="131"/>
    </row>
    <row r="588" spans="35:35">
      <c r="AI588" s="131"/>
    </row>
    <row r="589" spans="35:35">
      <c r="AI589" s="131"/>
    </row>
    <row r="590" spans="35:35">
      <c r="AI590" s="131"/>
    </row>
    <row r="591" spans="35:35">
      <c r="AI591" s="131"/>
    </row>
    <row r="592" spans="35:35">
      <c r="AI592" s="131"/>
    </row>
    <row r="593" spans="35:35">
      <c r="AI593" s="131"/>
    </row>
    <row r="594" spans="35:35">
      <c r="AI594" s="131"/>
    </row>
    <row r="595" spans="35:35">
      <c r="AI595" s="131"/>
    </row>
    <row r="596" spans="35:35">
      <c r="AI596" s="131"/>
    </row>
    <row r="597" spans="35:35">
      <c r="AI597" s="131"/>
    </row>
    <row r="598" spans="35:35">
      <c r="AI598" s="131"/>
    </row>
    <row r="599" spans="35:35">
      <c r="AI599" s="131"/>
    </row>
    <row r="600" spans="35:35">
      <c r="AI600" s="131"/>
    </row>
    <row r="601" spans="35:35">
      <c r="AI601" s="131"/>
    </row>
    <row r="602" spans="35:35">
      <c r="AI602" s="131"/>
    </row>
    <row r="603" spans="35:35">
      <c r="AI603" s="131"/>
    </row>
    <row r="604" spans="35:35">
      <c r="AI604" s="131"/>
    </row>
    <row r="605" spans="35:35">
      <c r="AI605" s="131"/>
    </row>
    <row r="606" spans="35:35">
      <c r="AI606" s="131"/>
    </row>
    <row r="607" spans="35:35">
      <c r="AI607" s="131"/>
    </row>
    <row r="608" spans="35:35">
      <c r="AI608" s="131"/>
    </row>
    <row r="609" spans="35:35">
      <c r="AI609" s="131"/>
    </row>
    <row r="610" spans="35:35">
      <c r="AI610" s="131"/>
    </row>
    <row r="611" spans="35:35">
      <c r="AI611" s="131"/>
    </row>
    <row r="612" spans="35:35">
      <c r="AI612" s="131"/>
    </row>
    <row r="613" spans="35:35">
      <c r="AI613" s="131"/>
    </row>
    <row r="614" spans="35:35">
      <c r="AI614" s="131"/>
    </row>
    <row r="615" spans="35:35">
      <c r="AI615" s="131"/>
    </row>
    <row r="616" spans="35:35">
      <c r="AI616" s="131"/>
    </row>
    <row r="617" spans="35:35">
      <c r="AI617" s="131"/>
    </row>
    <row r="618" spans="35:35">
      <c r="AI618" s="131"/>
    </row>
    <row r="619" spans="35:35">
      <c r="AI619" s="28"/>
    </row>
    <row r="620" spans="35:35">
      <c r="AI620" s="131"/>
    </row>
    <row r="621" spans="35:35">
      <c r="AI621" s="131"/>
    </row>
    <row r="622" spans="35:35">
      <c r="AI622" s="131"/>
    </row>
    <row r="623" spans="35:35">
      <c r="AI623" s="131"/>
    </row>
    <row r="624" spans="35:35">
      <c r="AI624" s="131"/>
    </row>
    <row r="625" spans="35:35">
      <c r="AI625" s="131"/>
    </row>
    <row r="626" spans="35:35">
      <c r="AI626" s="131"/>
    </row>
    <row r="627" spans="35:35">
      <c r="AI627" s="131"/>
    </row>
    <row r="628" spans="35:35">
      <c r="AI628" s="131"/>
    </row>
    <row r="629" spans="35:35">
      <c r="AI629" s="131"/>
    </row>
    <row r="630" spans="35:35">
      <c r="AI630" s="131"/>
    </row>
    <row r="631" spans="35:35">
      <c r="AI631" s="131"/>
    </row>
    <row r="632" spans="35:35">
      <c r="AI632" s="131"/>
    </row>
    <row r="633" spans="35:35">
      <c r="AI633" s="131"/>
    </row>
    <row r="634" spans="35:35">
      <c r="AI634" s="131"/>
    </row>
    <row r="635" spans="35:35">
      <c r="AI635" s="131"/>
    </row>
    <row r="636" spans="35:35">
      <c r="AI636" s="131"/>
    </row>
    <row r="637" spans="35:35">
      <c r="AI637" s="131"/>
    </row>
    <row r="638" spans="35:35">
      <c r="AI638" s="131"/>
    </row>
    <row r="639" spans="35:35">
      <c r="AI639" s="131"/>
    </row>
    <row r="640" spans="35:35">
      <c r="AI640" s="131"/>
    </row>
    <row r="641" spans="35:35">
      <c r="AI641" s="131"/>
    </row>
    <row r="642" spans="35:35">
      <c r="AI642" s="131"/>
    </row>
    <row r="643" spans="35:35">
      <c r="AI643" s="131"/>
    </row>
    <row r="644" spans="35:35">
      <c r="AI644" s="131"/>
    </row>
    <row r="645" spans="35:35">
      <c r="AI645" s="131"/>
    </row>
    <row r="646" spans="35:35">
      <c r="AI646" s="131"/>
    </row>
    <row r="647" spans="35:35">
      <c r="AI647" s="131"/>
    </row>
    <row r="648" spans="35:35">
      <c r="AI648" s="131"/>
    </row>
    <row r="649" spans="35:35">
      <c r="AI649" s="131"/>
    </row>
    <row r="650" spans="35:35">
      <c r="AI650" s="131"/>
    </row>
    <row r="651" spans="35:35">
      <c r="AI651" s="131"/>
    </row>
    <row r="652" spans="35:35">
      <c r="AI652" s="284"/>
    </row>
    <row r="653" spans="35:35">
      <c r="AI653" s="284"/>
    </row>
    <row r="654" spans="35:35">
      <c r="AI654" s="131"/>
    </row>
    <row r="655" spans="35:35">
      <c r="AI655" s="131"/>
    </row>
    <row r="656" spans="35:35">
      <c r="AI656" s="131"/>
    </row>
    <row r="657" spans="35:35">
      <c r="AI657" s="131"/>
    </row>
    <row r="658" spans="35:35">
      <c r="AI658" s="131"/>
    </row>
    <row r="659" spans="35:35">
      <c r="AI659" s="131"/>
    </row>
    <row r="660" spans="35:35">
      <c r="AI660" s="131"/>
    </row>
    <row r="661" spans="35:35">
      <c r="AI661" s="131"/>
    </row>
    <row r="662" spans="35:35">
      <c r="AI662" s="131"/>
    </row>
    <row r="663" spans="35:35">
      <c r="AI663" s="131"/>
    </row>
    <row r="664" spans="35:35">
      <c r="AI664" s="131"/>
    </row>
    <row r="665" spans="35:35">
      <c r="AI665" s="131"/>
    </row>
    <row r="666" spans="35:35">
      <c r="AI666" s="131"/>
    </row>
    <row r="667" spans="35:35">
      <c r="AI667" s="131"/>
    </row>
    <row r="668" spans="35:35">
      <c r="AI668" s="131"/>
    </row>
    <row r="669" spans="35:35">
      <c r="AI669" s="131"/>
    </row>
    <row r="670" spans="35:35">
      <c r="AI670" s="131"/>
    </row>
    <row r="671" spans="35:35">
      <c r="AI671" s="131"/>
    </row>
    <row r="672" spans="35:35">
      <c r="AI672" s="131"/>
    </row>
    <row r="673" spans="35:35">
      <c r="AI673" s="131"/>
    </row>
    <row r="674" spans="35:35">
      <c r="AI674" s="131"/>
    </row>
    <row r="675" spans="35:35">
      <c r="AI675" s="131"/>
    </row>
    <row r="676" spans="35:35">
      <c r="AI676" s="131"/>
    </row>
    <row r="677" spans="35:35">
      <c r="AI677" s="131"/>
    </row>
    <row r="678" spans="35:35">
      <c r="AI678" s="131"/>
    </row>
    <row r="679" spans="35:35">
      <c r="AI679" s="131"/>
    </row>
    <row r="680" spans="35:35">
      <c r="AI680" s="131"/>
    </row>
    <row r="681" spans="35:35">
      <c r="AI681" s="131"/>
    </row>
    <row r="682" spans="35:35">
      <c r="AI682" s="131"/>
    </row>
    <row r="683" spans="35:35">
      <c r="AI683" s="131"/>
    </row>
    <row r="684" spans="35:35">
      <c r="AI684" s="131"/>
    </row>
    <row r="685" spans="35:35">
      <c r="AI685" s="131"/>
    </row>
    <row r="686" spans="35:35">
      <c r="AI686" s="131"/>
    </row>
    <row r="687" spans="35:35">
      <c r="AI687" s="131"/>
    </row>
    <row r="688" spans="35:35">
      <c r="AI688" s="131"/>
    </row>
    <row r="689" spans="35:35">
      <c r="AI689" s="131"/>
    </row>
    <row r="690" spans="35:35">
      <c r="AI690" s="131"/>
    </row>
    <row r="691" spans="35:35">
      <c r="AI691" s="131"/>
    </row>
    <row r="692" spans="35:35">
      <c r="AI692" s="284"/>
    </row>
    <row r="693" spans="35:35">
      <c r="AI693" s="131"/>
    </row>
    <row r="694" spans="35:35">
      <c r="AI694" s="131"/>
    </row>
    <row r="695" spans="35:35">
      <c r="AI695" s="131"/>
    </row>
    <row r="696" spans="35:35">
      <c r="AI696" s="131"/>
    </row>
    <row r="697" spans="35:35">
      <c r="AI697" s="131"/>
    </row>
    <row r="698" spans="35:35">
      <c r="AI698" s="131"/>
    </row>
    <row r="699" spans="35:35">
      <c r="AI699" s="131"/>
    </row>
    <row r="700" spans="35:35">
      <c r="AI700" s="131"/>
    </row>
    <row r="701" spans="35:35">
      <c r="AI701" s="131"/>
    </row>
    <row r="702" spans="35:35">
      <c r="AI702" s="131"/>
    </row>
    <row r="703" spans="35:35">
      <c r="AI703" s="131"/>
    </row>
    <row r="704" spans="35:35">
      <c r="AI704" s="131"/>
    </row>
    <row r="705" spans="35:35">
      <c r="AI705" s="131"/>
    </row>
    <row r="706" spans="35:35">
      <c r="AI706" s="131"/>
    </row>
    <row r="707" spans="35:35">
      <c r="AI707" s="131"/>
    </row>
    <row r="708" spans="35:35">
      <c r="AI708" s="131"/>
    </row>
    <row r="709" spans="35:35">
      <c r="AI709" s="131"/>
    </row>
    <row r="710" spans="35:35">
      <c r="AI710" s="131"/>
    </row>
    <row r="711" spans="35:35">
      <c r="AI711" s="131"/>
    </row>
    <row r="712" spans="35:35">
      <c r="AI712" s="131"/>
    </row>
    <row r="713" spans="35:35">
      <c r="AI713" s="131"/>
    </row>
    <row r="714" spans="35:35">
      <c r="AI714" s="131"/>
    </row>
    <row r="715" spans="35:35">
      <c r="AI715" s="131"/>
    </row>
    <row r="716" spans="35:35">
      <c r="AI716" s="131"/>
    </row>
    <row r="717" spans="35:35">
      <c r="AI717" s="131"/>
    </row>
    <row r="718" spans="35:35">
      <c r="AI718" s="131"/>
    </row>
    <row r="719" spans="35:35">
      <c r="AI719" s="131"/>
    </row>
    <row r="720" spans="35:35">
      <c r="AI720" s="131"/>
    </row>
    <row r="721" spans="35:35">
      <c r="AI721" s="131"/>
    </row>
    <row r="722" spans="35:35">
      <c r="AI722" s="131"/>
    </row>
    <row r="723" spans="35:35">
      <c r="AI723" s="131"/>
    </row>
    <row r="724" spans="35:35">
      <c r="AI724" s="131"/>
    </row>
    <row r="725" spans="35:35">
      <c r="AI725" s="131"/>
    </row>
    <row r="726" spans="35:35">
      <c r="AI726" s="131"/>
    </row>
    <row r="727" spans="35:35">
      <c r="AI727" s="131"/>
    </row>
    <row r="728" spans="35:35">
      <c r="AI728" s="131"/>
    </row>
    <row r="729" spans="35:35">
      <c r="AI729" s="131"/>
    </row>
    <row r="730" spans="35:35">
      <c r="AI730" s="131"/>
    </row>
    <row r="731" spans="35:35">
      <c r="AI731" s="131"/>
    </row>
    <row r="732" spans="35:35">
      <c r="AI732" s="131"/>
    </row>
    <row r="733" spans="35:35">
      <c r="AI733" s="131"/>
    </row>
    <row r="734" spans="35:35">
      <c r="AI734" s="131"/>
    </row>
    <row r="735" spans="35:35">
      <c r="AI735" s="131"/>
    </row>
    <row r="736" spans="35:35">
      <c r="AI736" s="131"/>
    </row>
    <row r="737" spans="35:35">
      <c r="AI737" s="131"/>
    </row>
    <row r="738" spans="35:35">
      <c r="AI738" s="131"/>
    </row>
    <row r="739" spans="35:35">
      <c r="AI739" s="131"/>
    </row>
    <row r="740" spans="35:35">
      <c r="AI740" s="131"/>
    </row>
    <row r="741" spans="35:35">
      <c r="AI741" s="131"/>
    </row>
    <row r="742" spans="35:35">
      <c r="AI742" s="131"/>
    </row>
    <row r="743" spans="35:35">
      <c r="AI743" s="131"/>
    </row>
    <row r="744" spans="35:35">
      <c r="AI744" s="131"/>
    </row>
    <row r="745" spans="35:35">
      <c r="AI745" s="131"/>
    </row>
    <row r="746" spans="35:35">
      <c r="AI746" s="131"/>
    </row>
    <row r="747" spans="35:35">
      <c r="AI747" s="131"/>
    </row>
    <row r="748" spans="35:35">
      <c r="AI748" s="131"/>
    </row>
    <row r="749" spans="35:35">
      <c r="AI749" s="131"/>
    </row>
    <row r="750" spans="35:35">
      <c r="AI750" s="284"/>
    </row>
    <row r="751" spans="35:35">
      <c r="AI751" s="131"/>
    </row>
    <row r="752" spans="35:35">
      <c r="AI752" s="131"/>
    </row>
    <row r="753" spans="35:35">
      <c r="AI753" s="131"/>
    </row>
    <row r="754" spans="35:35">
      <c r="AI754" s="131"/>
    </row>
    <row r="755" spans="35:35">
      <c r="AI755" s="131"/>
    </row>
    <row r="756" spans="35:35">
      <c r="AI756" s="131"/>
    </row>
    <row r="757" spans="35:35">
      <c r="AI757" s="131"/>
    </row>
    <row r="758" spans="35:35">
      <c r="AI758" s="131"/>
    </row>
    <row r="759" spans="35:35">
      <c r="AI759" s="131"/>
    </row>
    <row r="760" spans="35:35">
      <c r="AI760" s="131"/>
    </row>
    <row r="761" spans="35:35">
      <c r="AI761" s="131"/>
    </row>
    <row r="762" spans="35:35">
      <c r="AI762" s="131"/>
    </row>
    <row r="763" spans="35:35">
      <c r="AI763" s="131"/>
    </row>
    <row r="764" spans="35:35">
      <c r="AI764" s="131"/>
    </row>
    <row r="765" spans="35:35">
      <c r="AI765" s="131"/>
    </row>
    <row r="766" spans="35:35">
      <c r="AI766" s="131"/>
    </row>
    <row r="767" spans="35:35">
      <c r="AI767" s="131"/>
    </row>
    <row r="768" spans="35:35">
      <c r="AI768" s="131"/>
    </row>
    <row r="769" spans="35:35">
      <c r="AI769" s="131"/>
    </row>
    <row r="770" spans="35:35">
      <c r="AI770" s="131"/>
    </row>
    <row r="771" spans="35:35">
      <c r="AI771" s="131"/>
    </row>
    <row r="772" spans="35:35">
      <c r="AI772" s="131"/>
    </row>
    <row r="773" spans="35:35">
      <c r="AI773" s="131"/>
    </row>
    <row r="774" spans="35:35">
      <c r="AI774" s="131"/>
    </row>
    <row r="775" spans="35:35">
      <c r="AI775" s="131"/>
    </row>
    <row r="776" spans="35:35">
      <c r="AI776" s="131"/>
    </row>
    <row r="777" spans="35:35">
      <c r="AI777" s="131"/>
    </row>
    <row r="778" spans="35:35">
      <c r="AI778" s="131"/>
    </row>
    <row r="779" spans="35:35">
      <c r="AI779" s="131"/>
    </row>
    <row r="780" spans="35:35">
      <c r="AI780" s="131"/>
    </row>
    <row r="781" spans="35:35">
      <c r="AI781" s="131"/>
    </row>
    <row r="782" spans="35:35">
      <c r="AI782" s="131"/>
    </row>
    <row r="783" spans="35:35">
      <c r="AI783" s="131"/>
    </row>
    <row r="784" spans="35:35">
      <c r="AI784" s="131"/>
    </row>
    <row r="785" spans="35:35">
      <c r="AI785" s="131"/>
    </row>
    <row r="786" spans="35:35">
      <c r="AI786" s="131"/>
    </row>
    <row r="787" spans="35:35">
      <c r="AI787" s="131"/>
    </row>
    <row r="788" spans="35:35">
      <c r="AI788" s="131"/>
    </row>
    <row r="789" spans="35:35">
      <c r="AI789" s="131"/>
    </row>
    <row r="790" spans="35:35">
      <c r="AI790" s="131"/>
    </row>
    <row r="791" spans="35:35">
      <c r="AI791" s="131"/>
    </row>
    <row r="792" spans="35:35">
      <c r="AI792" s="131"/>
    </row>
    <row r="793" spans="35:35">
      <c r="AI793" s="131"/>
    </row>
    <row r="794" spans="35:35">
      <c r="AI794" s="131"/>
    </row>
    <row r="795" spans="35:35">
      <c r="AI795" s="131"/>
    </row>
    <row r="796" spans="35:35">
      <c r="AI796" s="131"/>
    </row>
    <row r="797" spans="35:35">
      <c r="AI797" s="131"/>
    </row>
    <row r="798" spans="35:35">
      <c r="AI798" s="131"/>
    </row>
    <row r="799" spans="35:35">
      <c r="AI799" s="131"/>
    </row>
    <row r="800" spans="35:35">
      <c r="AI800" s="131"/>
    </row>
    <row r="801" spans="35:35">
      <c r="AI801" s="131"/>
    </row>
    <row r="802" spans="35:35">
      <c r="AI802" s="131"/>
    </row>
    <row r="803" spans="35:35">
      <c r="AI803" s="131"/>
    </row>
    <row r="804" spans="35:35">
      <c r="AI804" s="131"/>
    </row>
    <row r="805" spans="35:35">
      <c r="AI805" s="131"/>
    </row>
    <row r="806" spans="35:35">
      <c r="AI806" s="131"/>
    </row>
    <row r="807" spans="35:35">
      <c r="AI807" s="284"/>
    </row>
    <row r="808" spans="35:35">
      <c r="AI808" s="131"/>
    </row>
    <row r="809" spans="35:35">
      <c r="AI809" s="131"/>
    </row>
    <row r="810" spans="35:35">
      <c r="AI810" s="131"/>
    </row>
    <row r="811" spans="35:35">
      <c r="AI811" s="131"/>
    </row>
    <row r="812" spans="35:35">
      <c r="AI812" s="131"/>
    </row>
    <row r="813" spans="35:35">
      <c r="AI813" s="131"/>
    </row>
    <row r="814" spans="35:35">
      <c r="AI814" s="131"/>
    </row>
    <row r="815" spans="35:35">
      <c r="AI815" s="131"/>
    </row>
    <row r="816" spans="35:35">
      <c r="AI816" s="131"/>
    </row>
    <row r="817" spans="35:35">
      <c r="AI817" s="131"/>
    </row>
    <row r="818" spans="35:35">
      <c r="AI818" s="131"/>
    </row>
    <row r="819" spans="35:35">
      <c r="AI819" s="131"/>
    </row>
    <row r="820" spans="35:35">
      <c r="AI820" s="131"/>
    </row>
    <row r="821" spans="35:35">
      <c r="AI821" s="131"/>
    </row>
    <row r="822" spans="35:35">
      <c r="AI822" s="131"/>
    </row>
    <row r="823" spans="35:35">
      <c r="AI823" s="131"/>
    </row>
    <row r="824" spans="35:35">
      <c r="AI824" s="131"/>
    </row>
    <row r="825" spans="35:35">
      <c r="AI825" s="131"/>
    </row>
    <row r="826" spans="35:35">
      <c r="AI826" s="131"/>
    </row>
    <row r="827" spans="35:35">
      <c r="AI827" s="131"/>
    </row>
    <row r="828" spans="35:35">
      <c r="AI828" s="131"/>
    </row>
    <row r="829" spans="35:35">
      <c r="AI829" s="131"/>
    </row>
    <row r="830" spans="35:35">
      <c r="AI830" s="131"/>
    </row>
    <row r="831" spans="35:35">
      <c r="AI831" s="131"/>
    </row>
    <row r="832" spans="35:35">
      <c r="AI832" s="131"/>
    </row>
    <row r="833" spans="35:35">
      <c r="AI833" s="131"/>
    </row>
    <row r="834" spans="35:35">
      <c r="AI834" s="131"/>
    </row>
    <row r="835" spans="35:35">
      <c r="AI835" s="253"/>
    </row>
    <row r="836" spans="35:35">
      <c r="AI836" s="131"/>
    </row>
    <row r="837" spans="35:35">
      <c r="AI837" s="131"/>
    </row>
    <row r="838" spans="35:35">
      <c r="AI838" s="131"/>
    </row>
    <row r="839" spans="35:35">
      <c r="AI839" s="131"/>
    </row>
    <row r="840" spans="35:35">
      <c r="AI840" s="131"/>
    </row>
    <row r="841" spans="35:35">
      <c r="AI841" s="131"/>
    </row>
    <row r="842" spans="35:35">
      <c r="AI842" s="131"/>
    </row>
    <row r="843" spans="35:35">
      <c r="AI843" s="131"/>
    </row>
    <row r="844" spans="35:35">
      <c r="AI844" s="131"/>
    </row>
    <row r="845" spans="35:35">
      <c r="AI845" s="131"/>
    </row>
    <row r="846" spans="35:35">
      <c r="AI846" s="131"/>
    </row>
    <row r="847" spans="35:35">
      <c r="AI847" s="131"/>
    </row>
    <row r="848" spans="35:35">
      <c r="AI848" s="131"/>
    </row>
    <row r="849" spans="35:35">
      <c r="AI849" s="284"/>
    </row>
    <row r="850" spans="35:35">
      <c r="AI850" s="131"/>
    </row>
    <row r="851" spans="35:35">
      <c r="AI851" s="131"/>
    </row>
    <row r="852" spans="35:35">
      <c r="AI852" s="131"/>
    </row>
    <row r="853" spans="35:35">
      <c r="AI853" s="131"/>
    </row>
    <row r="854" spans="35:35">
      <c r="AI854" s="131"/>
    </row>
    <row r="855" spans="35:35">
      <c r="AI855" s="131"/>
    </row>
    <row r="856" spans="35:35">
      <c r="AI856" s="131"/>
    </row>
    <row r="857" spans="35:35">
      <c r="AI857" s="131"/>
    </row>
    <row r="859" spans="35:35">
      <c r="AI859" s="131"/>
    </row>
    <row r="860" spans="35:35">
      <c r="AI860" s="131"/>
    </row>
    <row r="861" spans="35:35">
      <c r="AI861" s="284"/>
    </row>
    <row r="862" spans="35:35">
      <c r="AI862" s="131"/>
    </row>
    <row r="863" spans="35:35">
      <c r="AI863" s="284"/>
    </row>
    <row r="864" spans="35:35">
      <c r="AI864" s="131"/>
    </row>
    <row r="865" spans="35:35">
      <c r="AI865" s="131"/>
    </row>
    <row r="866" spans="35:35">
      <c r="AI866" s="131"/>
    </row>
    <row r="867" spans="35:35">
      <c r="AI867" s="284"/>
    </row>
    <row r="868" spans="35:35">
      <c r="AI868" s="128"/>
    </row>
    <row r="870" spans="35:35">
      <c r="AI870" s="131"/>
    </row>
    <row r="871" spans="35:35">
      <c r="AI871" s="284"/>
    </row>
    <row r="872" spans="35:35">
      <c r="AI872" s="131"/>
    </row>
    <row r="873" spans="35:35">
      <c r="AI873" s="131"/>
    </row>
    <row r="874" spans="35:35">
      <c r="AI874" s="284"/>
    </row>
    <row r="875" spans="35:35">
      <c r="AI875" s="131"/>
    </row>
    <row r="876" spans="35:35">
      <c r="AI876" s="131"/>
    </row>
    <row r="877" spans="35:35">
      <c r="AI877" s="131"/>
    </row>
    <row r="878" spans="35:35">
      <c r="AI878" s="131"/>
    </row>
    <row r="879" spans="35:35">
      <c r="AI879" s="131"/>
    </row>
    <row r="880" spans="35:35">
      <c r="AI880" s="284"/>
    </row>
    <row r="881" spans="35:35">
      <c r="AI881" s="131"/>
    </row>
    <row r="882" spans="35:35">
      <c r="AI882" s="131"/>
    </row>
    <row r="883" spans="35:35">
      <c r="AI883" s="131"/>
    </row>
    <row r="884" spans="35:35">
      <c r="AI884" s="131"/>
    </row>
    <row r="886" spans="35:35">
      <c r="AI886" s="284"/>
    </row>
    <row r="887" spans="35:35">
      <c r="AI887" s="131"/>
    </row>
    <row r="888" spans="35:35">
      <c r="AI888" s="131"/>
    </row>
    <row r="889" spans="35:35">
      <c r="AI889" s="131"/>
    </row>
    <row r="890" spans="35:35">
      <c r="AI890" s="131"/>
    </row>
    <row r="891" spans="35:35">
      <c r="AI891" s="131"/>
    </row>
    <row r="892" spans="35:35">
      <c r="AI892" s="131"/>
    </row>
    <row r="893" spans="35:35">
      <c r="AI893" s="131"/>
    </row>
    <row r="894" spans="35:35">
      <c r="AI894" s="131"/>
    </row>
    <row r="895" spans="35:35">
      <c r="AI895" s="27"/>
    </row>
    <row r="896" spans="35:35">
      <c r="AI896" s="131"/>
    </row>
    <row r="897" spans="35:35">
      <c r="AI897" s="131"/>
    </row>
    <row r="898" spans="35:35">
      <c r="AI898" s="131"/>
    </row>
    <row r="899" spans="35:35">
      <c r="AI899" s="131"/>
    </row>
    <row r="900" spans="35:35">
      <c r="AI900" s="131"/>
    </row>
    <row r="901" spans="35:35">
      <c r="AI901" s="131"/>
    </row>
    <row r="902" spans="35:35">
      <c r="AI902" s="131"/>
    </row>
    <row r="903" spans="35:35">
      <c r="AI903" s="284"/>
    </row>
    <row r="904" spans="35:35">
      <c r="AI904" s="131"/>
    </row>
    <row r="905" spans="35:35">
      <c r="AI905" s="131"/>
    </row>
    <row r="906" spans="35:35">
      <c r="AI906" s="131"/>
    </row>
    <row r="907" spans="35:35">
      <c r="AI907" s="131"/>
    </row>
    <row r="908" spans="35:35">
      <c r="AI908" s="131"/>
    </row>
    <row r="909" spans="35:35">
      <c r="AI909" s="131"/>
    </row>
    <row r="910" spans="35:35">
      <c r="AI910" s="284"/>
    </row>
    <row r="911" spans="35:35">
      <c r="AI911" s="131"/>
    </row>
    <row r="912" spans="35:35">
      <c r="AI912" s="131"/>
    </row>
    <row r="913" spans="35:35">
      <c r="AI913" s="131"/>
    </row>
    <row r="914" spans="35:35">
      <c r="AI914" s="131"/>
    </row>
    <row r="915" spans="35:35">
      <c r="AI915" s="131"/>
    </row>
    <row r="916" spans="35:35">
      <c r="AI916" s="131"/>
    </row>
    <row r="917" spans="35:35">
      <c r="AI917" s="131"/>
    </row>
    <row r="918" spans="35:35">
      <c r="AI918" s="284"/>
    </row>
    <row r="919" spans="35:35">
      <c r="AI919" s="131"/>
    </row>
    <row r="920" spans="35:35">
      <c r="AI920" s="131"/>
    </row>
    <row r="921" spans="35:35">
      <c r="AI921" s="131"/>
    </row>
    <row r="922" spans="35:35">
      <c r="AI922" s="131"/>
    </row>
    <row r="923" spans="35:35">
      <c r="AI923" s="131"/>
    </row>
    <row r="924" spans="35:35">
      <c r="AI924" s="131"/>
    </row>
    <row r="925" spans="35:35">
      <c r="AI925" s="131"/>
    </row>
    <row r="926" spans="35:35">
      <c r="AI926" s="131"/>
    </row>
    <row r="927" spans="35:35">
      <c r="AI927" s="131"/>
    </row>
    <row r="928" spans="35:35">
      <c r="AI928" s="128"/>
    </row>
    <row r="929" spans="35:35">
      <c r="AI929" s="128"/>
    </row>
    <row r="930" spans="35:35">
      <c r="AI930" s="131"/>
    </row>
    <row r="931" spans="35:35">
      <c r="AI931" s="131"/>
    </row>
    <row r="932" spans="35:35">
      <c r="AI932" s="131"/>
    </row>
    <row r="933" spans="35:35">
      <c r="AI933" s="131"/>
    </row>
    <row r="934" spans="35:35">
      <c r="AI934" s="131"/>
    </row>
    <row r="935" spans="35:35">
      <c r="AI935" s="131"/>
    </row>
    <row r="936" spans="35:35">
      <c r="AI936" s="131"/>
    </row>
    <row r="937" spans="35:35">
      <c r="AI937" s="131"/>
    </row>
    <row r="938" spans="35:35">
      <c r="AI938" s="131"/>
    </row>
    <row r="939" spans="35:35">
      <c r="AI939" s="131"/>
    </row>
    <row r="940" spans="35:35">
      <c r="AI940" s="131"/>
    </row>
    <row r="941" spans="35:35">
      <c r="AI941" s="284"/>
    </row>
    <row r="942" spans="35:35">
      <c r="AI942" s="131"/>
    </row>
    <row r="943" spans="35:35">
      <c r="AI943" s="131"/>
    </row>
    <row r="944" spans="35:35">
      <c r="AI944" s="284"/>
    </row>
    <row r="945" spans="35:35">
      <c r="AI945" s="131"/>
    </row>
    <row r="946" spans="35:35">
      <c r="AI946" s="131"/>
    </row>
    <row r="947" spans="35:35">
      <c r="AI947" s="131"/>
    </row>
    <row r="948" spans="35:35">
      <c r="AI948" s="44"/>
    </row>
    <row r="950" spans="35:35">
      <c r="AI950" s="131"/>
    </row>
    <row r="951" spans="35:35">
      <c r="AI951" s="131"/>
    </row>
    <row r="952" spans="35:35">
      <c r="AI952" s="131"/>
    </row>
    <row r="953" spans="35:35">
      <c r="AI953" s="131"/>
    </row>
    <row r="954" spans="35:35">
      <c r="AI954" s="131"/>
    </row>
    <row r="955" spans="35:35">
      <c r="AI955" s="131"/>
    </row>
    <row r="956" spans="35:35">
      <c r="AI956" s="131"/>
    </row>
    <row r="957" spans="35:35">
      <c r="AI957" s="131"/>
    </row>
    <row r="958" spans="35:35">
      <c r="AI958" s="128"/>
    </row>
    <row r="959" spans="35:35">
      <c r="AI959" s="131"/>
    </row>
    <row r="960" spans="35:35">
      <c r="AI960" s="131"/>
    </row>
    <row r="961" spans="35:35">
      <c r="AI961" s="131"/>
    </row>
    <row r="962" spans="35:35">
      <c r="AI962" s="131"/>
    </row>
    <row r="963" spans="35:35">
      <c r="AI963" s="131"/>
    </row>
    <row r="964" spans="35:35">
      <c r="AI964" s="131"/>
    </row>
    <row r="965" spans="35:35">
      <c r="AI965" s="131"/>
    </row>
    <row r="966" spans="35:35">
      <c r="AI966" s="131"/>
    </row>
    <row r="968" spans="35:35">
      <c r="AI968" s="131"/>
    </row>
    <row r="969" spans="35:35">
      <c r="AI969" s="131"/>
    </row>
    <row r="970" spans="35:35">
      <c r="AI970" s="131"/>
    </row>
    <row r="971" spans="35:35">
      <c r="AI971" s="131"/>
    </row>
    <row r="972" spans="35:35">
      <c r="AI972" s="284"/>
    </row>
    <row r="973" spans="35:35">
      <c r="AI973" s="131"/>
    </row>
    <row r="974" spans="35:35">
      <c r="AI974" s="131"/>
    </row>
    <row r="975" spans="35:35">
      <c r="AI975" s="131"/>
    </row>
    <row r="976" spans="35:35">
      <c r="AI976" s="131"/>
    </row>
    <row r="977" spans="35:35">
      <c r="AI977" s="131"/>
    </row>
    <row r="978" spans="35:35">
      <c r="AI978" s="131"/>
    </row>
    <row r="979" spans="35:35">
      <c r="AI979" s="128"/>
    </row>
    <row r="980" spans="35:35">
      <c r="AI980" s="131"/>
    </row>
    <row r="981" spans="35:35">
      <c r="AI981" s="284"/>
    </row>
    <row r="982" spans="35:35">
      <c r="AI982" s="131"/>
    </row>
    <row r="983" spans="35:35">
      <c r="AI983" s="131"/>
    </row>
    <row r="984" spans="35:35">
      <c r="AI984" s="131"/>
    </row>
    <row r="985" spans="35:35">
      <c r="AI985" s="131"/>
    </row>
    <row r="986" spans="35:35">
      <c r="AI986" s="131"/>
    </row>
    <row r="987" spans="35:35">
      <c r="AI987" s="131"/>
    </row>
    <row r="988" spans="35:35">
      <c r="AI988" s="131"/>
    </row>
    <row r="989" spans="35:35">
      <c r="AI989" s="131"/>
    </row>
    <row r="990" spans="35:35">
      <c r="AI990" s="131"/>
    </row>
    <row r="991" spans="35:35">
      <c r="AI991" s="131"/>
    </row>
    <row r="992" spans="35:35">
      <c r="AI992" s="131"/>
    </row>
    <row r="993" spans="35:35">
      <c r="AI993" s="131"/>
    </row>
    <row r="994" spans="35:35">
      <c r="AI994" s="131"/>
    </row>
    <row r="995" spans="35:35">
      <c r="AI995" s="131"/>
    </row>
    <row r="996" spans="35:35">
      <c r="AI996" s="131"/>
    </row>
    <row r="997" spans="35:35">
      <c r="AI997" s="131"/>
    </row>
    <row r="998" spans="35:35">
      <c r="AI998" s="131"/>
    </row>
    <row r="999" spans="35:35">
      <c r="AI999" s="131"/>
    </row>
    <row r="1000" spans="35:35">
      <c r="AI1000" s="128"/>
    </row>
    <row r="1001" spans="35:35">
      <c r="AI1001" s="131"/>
    </row>
    <row r="1002" spans="35:35">
      <c r="AI1002" s="131"/>
    </row>
    <row r="1003" spans="35:35">
      <c r="AI1003" s="131"/>
    </row>
    <row r="1004" spans="35:35">
      <c r="AI1004" s="131"/>
    </row>
    <row r="1005" spans="35:35">
      <c r="AI1005" s="131"/>
    </row>
    <row r="1006" spans="35:35">
      <c r="AI1006" s="28"/>
    </row>
    <row r="1007" spans="35:35">
      <c r="AI1007" s="128"/>
    </row>
    <row r="1008" spans="35:35">
      <c r="AI1008" s="284"/>
    </row>
    <row r="1009" spans="35:35">
      <c r="AI1009" s="284"/>
    </row>
    <row r="1010" spans="35:35">
      <c r="AI1010" s="131"/>
    </row>
    <row r="1011" spans="35:35">
      <c r="AI1011" s="128"/>
    </row>
    <row r="1012" spans="35:35">
      <c r="AI1012" s="131"/>
    </row>
    <row r="1013" spans="35:35">
      <c r="AI1013" s="131"/>
    </row>
    <row r="1014" spans="35:35">
      <c r="AI1014" s="131"/>
    </row>
    <row r="1015" spans="35:35">
      <c r="AI1015" s="44"/>
    </row>
    <row r="1016" spans="35:35">
      <c r="AI1016" s="131"/>
    </row>
    <row r="1018" spans="35:35">
      <c r="AI1018" s="131"/>
    </row>
    <row r="1019" spans="35:35">
      <c r="AI1019" s="128"/>
    </row>
    <row r="1020" spans="35:35">
      <c r="AI1020" s="131"/>
    </row>
    <row r="1021" spans="35:35">
      <c r="AI1021" s="131"/>
    </row>
    <row r="1022" spans="35:35">
      <c r="AI1022" s="128"/>
    </row>
    <row r="1023" spans="35:35">
      <c r="AI1023" s="131"/>
    </row>
    <row r="1024" spans="35:35">
      <c r="AI1024" s="131"/>
    </row>
    <row r="1025" spans="35:36">
      <c r="AI1025" s="131"/>
    </row>
    <row r="1026" spans="35:36">
      <c r="AI1026" s="131"/>
    </row>
    <row r="1027" spans="35:36">
      <c r="AI1027" s="131"/>
    </row>
    <row r="1028" spans="35:36">
      <c r="AI1028" s="131"/>
    </row>
    <row r="1029" spans="35:36">
      <c r="AI1029" s="131"/>
    </row>
    <row r="1030" spans="35:36">
      <c r="AI1030" s="131"/>
    </row>
    <row r="1031" spans="35:36">
      <c r="AI1031" s="131"/>
    </row>
    <row r="1032" spans="35:36">
      <c r="AI1032" s="131"/>
    </row>
    <row r="1033" spans="35:36">
      <c r="AI1033" s="284"/>
    </row>
    <row r="1034" spans="35:36">
      <c r="AI1034" s="131"/>
    </row>
    <row r="1035" spans="35:36">
      <c r="AI1035" s="131"/>
    </row>
    <row r="1036" spans="35:36">
      <c r="AI1036" s="131"/>
    </row>
    <row r="1037" spans="35:36">
      <c r="AI1037" s="131"/>
    </row>
    <row r="1038" spans="35:36">
      <c r="AI1038" s="131"/>
      <c r="AJ1038" s="264" t="s">
        <v>5277</v>
      </c>
    </row>
    <row r="1039" spans="35:36">
      <c r="AI1039" s="131"/>
    </row>
    <row r="1040" spans="35:36">
      <c r="AI1040" s="128"/>
    </row>
    <row r="1041" spans="35:35">
      <c r="AI1041" s="131"/>
    </row>
    <row r="1042" spans="35:35">
      <c r="AI1042" s="131"/>
    </row>
    <row r="1043" spans="35:35">
      <c r="AI1043" s="131"/>
    </row>
    <row r="1044" spans="35:35">
      <c r="AI1044" s="131"/>
    </row>
    <row r="1045" spans="35:35">
      <c r="AI1045" s="284"/>
    </row>
    <row r="1047" spans="35:35">
      <c r="AI1047" s="131"/>
    </row>
    <row r="1048" spans="35:35">
      <c r="AI1048" s="131"/>
    </row>
    <row r="1049" spans="35:35">
      <c r="AI1049" s="131"/>
    </row>
    <row r="1050" spans="35:35">
      <c r="AI1050" s="28"/>
    </row>
    <row r="1051" spans="35:35">
      <c r="AI1051" s="131"/>
    </row>
    <row r="1052" spans="35:35">
      <c r="AI1052" s="284"/>
    </row>
    <row r="1053" spans="35:35">
      <c r="AI1053" s="128"/>
    </row>
    <row r="1054" spans="35:35">
      <c r="AI1054" s="131"/>
    </row>
    <row r="1055" spans="35:35">
      <c r="AI1055" s="131"/>
    </row>
    <row r="1056" spans="35:35">
      <c r="AI1056" s="131"/>
    </row>
    <row r="1057" spans="35:35">
      <c r="AI1057" s="131"/>
    </row>
    <row r="1058" spans="35:35">
      <c r="AI1058" s="131"/>
    </row>
    <row r="1059" spans="35:35">
      <c r="AI1059" s="131"/>
    </row>
    <row r="1060" spans="35:35">
      <c r="AI1060" s="131"/>
    </row>
    <row r="1061" spans="35:35">
      <c r="AI1061" s="131"/>
    </row>
    <row r="1062" spans="35:35">
      <c r="AI1062" s="131"/>
    </row>
    <row r="1063" spans="35:35">
      <c r="AI1063" s="131"/>
    </row>
    <row r="1064" spans="35:35">
      <c r="AI1064" s="131"/>
    </row>
    <row r="1065" spans="35:35">
      <c r="AI1065" s="131"/>
    </row>
    <row r="1066" spans="35:35">
      <c r="AI1066" s="131"/>
    </row>
    <row r="1067" spans="35:35">
      <c r="AI1067" s="284"/>
    </row>
    <row r="1069" spans="35:35">
      <c r="AI1069" s="131"/>
    </row>
    <row r="1070" spans="35:35">
      <c r="AI1070" s="131"/>
    </row>
    <row r="1071" spans="35:35">
      <c r="AI1071" s="131"/>
    </row>
    <row r="1072" spans="35:35">
      <c r="AI1072" s="131"/>
    </row>
    <row r="1073" spans="35:35">
      <c r="AI1073" s="131"/>
    </row>
    <row r="1074" spans="35:35">
      <c r="AI1074" s="131"/>
    </row>
    <row r="1075" spans="35:35">
      <c r="AI1075" s="131"/>
    </row>
    <row r="1076" spans="35:35">
      <c r="AI1076" s="131"/>
    </row>
    <row r="1077" spans="35:35">
      <c r="AI1077" s="131"/>
    </row>
    <row r="1078" spans="35:35">
      <c r="AI1078" s="131"/>
    </row>
    <row r="1079" spans="35:35">
      <c r="AI1079" s="131"/>
    </row>
    <row r="1080" spans="35:35">
      <c r="AI1080" s="131"/>
    </row>
    <row r="1081" spans="35:35">
      <c r="AI1081" s="131"/>
    </row>
    <row r="1082" spans="35:35">
      <c r="AI1082" s="131"/>
    </row>
    <row r="1084" spans="35:35">
      <c r="AI1084" s="131"/>
    </row>
    <row r="1085" spans="35:35">
      <c r="AI1085" s="128"/>
    </row>
    <row r="1086" spans="35:35">
      <c r="AI1086" s="131"/>
    </row>
    <row r="1087" spans="35:35">
      <c r="AI1087" s="131"/>
    </row>
    <row r="1088" spans="35:35">
      <c r="AI1088" s="131"/>
    </row>
    <row r="1089" spans="35:35">
      <c r="AI1089" s="131"/>
    </row>
    <row r="1090" spans="35:35">
      <c r="AI1090" s="131"/>
    </row>
    <row r="1091" spans="35:35">
      <c r="AI1091" s="131"/>
    </row>
    <row r="1093" spans="35:35">
      <c r="AI1093" s="131"/>
    </row>
    <row r="1094" spans="35:35">
      <c r="AI1094" s="131"/>
    </row>
    <row r="1095" spans="35:35">
      <c r="AI1095" s="131"/>
    </row>
    <row r="1096" spans="35:35">
      <c r="AI1096" s="131"/>
    </row>
    <row r="1097" spans="35:35">
      <c r="AI1097" s="131"/>
    </row>
    <row r="1098" spans="35:35">
      <c r="AI1098" s="131"/>
    </row>
    <row r="1099" spans="35:35">
      <c r="AI1099" s="131"/>
    </row>
    <row r="1100" spans="35:35">
      <c r="AI1100" s="131"/>
    </row>
    <row r="1101" spans="35:35">
      <c r="AI1101" s="131"/>
    </row>
    <row r="1102" spans="35:35">
      <c r="AI1102" s="128"/>
    </row>
    <row r="1103" spans="35:35">
      <c r="AI1103" s="131"/>
    </row>
    <row r="1104" spans="35:35">
      <c r="AI1104" s="131"/>
    </row>
    <row r="1105" spans="35:35">
      <c r="AI1105" s="131"/>
    </row>
    <row r="1107" spans="35:35">
      <c r="AI1107" s="131"/>
    </row>
    <row r="1108" spans="35:35">
      <c r="AI1108" s="131"/>
    </row>
    <row r="1109" spans="35:35">
      <c r="AI1109" s="284"/>
    </row>
    <row r="1110" spans="35:35">
      <c r="AI1110" s="131"/>
    </row>
    <row r="1111" spans="35:35">
      <c r="AI1111" s="284"/>
    </row>
    <row r="1112" spans="35:35">
      <c r="AI1112" s="131"/>
    </row>
    <row r="1113" spans="35:35">
      <c r="AI1113" s="131"/>
    </row>
    <row r="1114" spans="35:35">
      <c r="AI1114" s="131"/>
    </row>
    <row r="1115" spans="35:35">
      <c r="AI1115" s="284"/>
    </row>
    <row r="1116" spans="35:35">
      <c r="AI1116" s="284"/>
    </row>
    <row r="1117" spans="35:35">
      <c r="AI1117" s="131"/>
    </row>
    <row r="1118" spans="35:35">
      <c r="AI1118" s="131"/>
    </row>
    <row r="1119" spans="35:35">
      <c r="AI1119" s="131"/>
    </row>
    <row r="1120" spans="35:35">
      <c r="AI1120" s="131"/>
    </row>
    <row r="1121" spans="35:35">
      <c r="AI1121" s="284"/>
    </row>
    <row r="1122" spans="35:35">
      <c r="AI1122" s="131"/>
    </row>
    <row r="1123" spans="35:35">
      <c r="AI1123" s="284"/>
    </row>
    <row r="1124" spans="35:35">
      <c r="AI1124" s="131"/>
    </row>
    <row r="1125" spans="35:35">
      <c r="AI1125" s="284"/>
    </row>
    <row r="1126" spans="35:35">
      <c r="AI1126" s="131"/>
    </row>
    <row r="1127" spans="35:35">
      <c r="AI1127" s="131"/>
    </row>
    <row r="1128" spans="35:35">
      <c r="AI1128" s="131"/>
    </row>
    <row r="1129" spans="35:35">
      <c r="AI1129" s="131"/>
    </row>
    <row r="1130" spans="35:35">
      <c r="AI1130" s="131"/>
    </row>
    <row r="1131" spans="35:35">
      <c r="AI1131" s="131"/>
    </row>
    <row r="1132" spans="35:35">
      <c r="AI1132" s="131"/>
    </row>
    <row r="1133" spans="35:35">
      <c r="AI1133" s="131"/>
    </row>
    <row r="1134" spans="35:35">
      <c r="AI1134" s="131"/>
    </row>
    <row r="1135" spans="35:35">
      <c r="AI1135" s="131"/>
    </row>
    <row r="1136" spans="35:35">
      <c r="AI1136" s="131"/>
    </row>
    <row r="1137" spans="35:35">
      <c r="AI1137" s="131"/>
    </row>
    <row r="1138" spans="35:35">
      <c r="AI1138" s="131"/>
    </row>
    <row r="1139" spans="35:35">
      <c r="AI1139" s="131"/>
    </row>
    <row r="1140" spans="35:35">
      <c r="AI1140" s="131"/>
    </row>
    <row r="1141" spans="35:35">
      <c r="AI1141" s="131"/>
    </row>
    <row r="1142" spans="35:35">
      <c r="AI1142" s="284"/>
    </row>
    <row r="1143" spans="35:35">
      <c r="AI1143" s="131"/>
    </row>
    <row r="1144" spans="35:35">
      <c r="AI1144" s="131"/>
    </row>
    <row r="1145" spans="35:35">
      <c r="AI1145" s="131"/>
    </row>
    <row r="1146" spans="35:35">
      <c r="AI1146" s="131"/>
    </row>
    <row r="1147" spans="35:35">
      <c r="AI1147" s="131"/>
    </row>
    <row r="1148" spans="35:35">
      <c r="AI1148" s="131"/>
    </row>
    <row r="1149" spans="35:35">
      <c r="AI1149" s="131"/>
    </row>
    <row r="1150" spans="35:35">
      <c r="AI1150" s="284"/>
    </row>
    <row r="1151" spans="35:35">
      <c r="AI1151" s="131"/>
    </row>
    <row r="1152" spans="35:35">
      <c r="AI1152" s="131"/>
    </row>
    <row r="1153" spans="35:35">
      <c r="AI1153" s="131"/>
    </row>
    <row r="1154" spans="35:35">
      <c r="AI1154" s="131"/>
    </row>
    <row r="1155" spans="35:35">
      <c r="AI1155" s="131"/>
    </row>
    <row r="1156" spans="35:35">
      <c r="AI1156" s="131"/>
    </row>
    <row r="1157" spans="35:35">
      <c r="AI1157" s="131"/>
    </row>
    <row r="1158" spans="35:35">
      <c r="AI1158" s="131"/>
    </row>
    <row r="1159" spans="35:35">
      <c r="AI1159" s="131"/>
    </row>
    <row r="1160" spans="35:35">
      <c r="AI1160" s="131"/>
    </row>
    <row r="1161" spans="35:35">
      <c r="AI1161" s="128"/>
    </row>
    <row r="1162" spans="35:35">
      <c r="AI1162" s="131"/>
    </row>
    <row r="1163" spans="35:35">
      <c r="AI1163" s="131"/>
    </row>
    <row r="1164" spans="35:35">
      <c r="AI1164" s="284"/>
    </row>
    <row r="1165" spans="35:35">
      <c r="AI1165" s="131"/>
    </row>
    <row r="1166" spans="35:35">
      <c r="AI1166" s="131"/>
    </row>
    <row r="1167" spans="35:35">
      <c r="AI1167" s="131"/>
    </row>
    <row r="1168" spans="35:35">
      <c r="AI1168" s="131"/>
    </row>
    <row r="1169" spans="35:35">
      <c r="AI1169" s="131"/>
    </row>
    <row r="1170" spans="35:35">
      <c r="AI1170" s="131"/>
    </row>
    <row r="1171" spans="35:35">
      <c r="AI1171" s="131"/>
    </row>
    <row r="1172" spans="35:35">
      <c r="AI1172" s="284"/>
    </row>
    <row r="1173" spans="35:35">
      <c r="AI1173" s="284"/>
    </row>
    <row r="1174" spans="35:35">
      <c r="AI1174" s="131"/>
    </row>
    <row r="1175" spans="35:35">
      <c r="AI1175" s="284"/>
    </row>
    <row r="1176" spans="35:35">
      <c r="AI1176" s="131"/>
    </row>
    <row r="1177" spans="35:35">
      <c r="AI1177" s="131"/>
    </row>
    <row r="1178" spans="35:35">
      <c r="AI1178" s="131"/>
    </row>
    <row r="1179" spans="35:35">
      <c r="AI1179" s="131"/>
    </row>
    <row r="1180" spans="35:35">
      <c r="AI1180" s="131"/>
    </row>
    <row r="1181" spans="35:35">
      <c r="AI1181" s="131"/>
    </row>
    <row r="1182" spans="35:35">
      <c r="AI1182" s="131"/>
    </row>
    <row r="1183" spans="35:35">
      <c r="AI1183" s="284"/>
    </row>
    <row r="1184" spans="35:35">
      <c r="AI1184" s="131"/>
    </row>
    <row r="1185" spans="35:35">
      <c r="AI1185" s="131"/>
    </row>
    <row r="1186" spans="35:35">
      <c r="AI1186" s="131"/>
    </row>
    <row r="1187" spans="35:35">
      <c r="AI1187" s="131"/>
    </row>
    <row r="1188" spans="35:35">
      <c r="AI1188" s="131"/>
    </row>
    <row r="1189" spans="35:35">
      <c r="AI1189" s="131"/>
    </row>
    <row r="1190" spans="35:35">
      <c r="AI1190" s="131"/>
    </row>
    <row r="1191" spans="35:35">
      <c r="AI1191" s="131"/>
    </row>
    <row r="1192" spans="35:35">
      <c r="AI1192" s="131"/>
    </row>
    <row r="1193" spans="35:35">
      <c r="AI1193" s="131"/>
    </row>
    <row r="1194" spans="35:35">
      <c r="AI1194" s="131"/>
    </row>
    <row r="1195" spans="35:35">
      <c r="AI1195" s="132"/>
    </row>
    <row r="1196" spans="35:35">
      <c r="AI1196" s="131"/>
    </row>
    <row r="1197" spans="35:35">
      <c r="AI1197" s="131"/>
    </row>
    <row r="1198" spans="35:35">
      <c r="AI1198" s="131"/>
    </row>
    <row r="1199" spans="35:35">
      <c r="AI1199" s="131"/>
    </row>
    <row r="1200" spans="35:35">
      <c r="AI1200" s="131"/>
    </row>
    <row r="1201" spans="35:35">
      <c r="AI1201" s="131"/>
    </row>
    <row r="1202" spans="35:35">
      <c r="AI1202" s="131"/>
    </row>
    <row r="1203" spans="35:35">
      <c r="AI1203" s="284"/>
    </row>
    <row r="1204" spans="35:35">
      <c r="AI1204" s="131"/>
    </row>
    <row r="1205" spans="35:35">
      <c r="AI1205" s="131"/>
    </row>
    <row r="1206" spans="35:35">
      <c r="AI1206" s="131"/>
    </row>
    <row r="1207" spans="35:35">
      <c r="AI1207" s="131"/>
    </row>
    <row r="1208" spans="35:35">
      <c r="AI1208" s="131"/>
    </row>
    <row r="1209" spans="35:35">
      <c r="AI1209" s="131"/>
    </row>
    <row r="1210" spans="35:35">
      <c r="AI1210" s="131"/>
    </row>
    <row r="1211" spans="35:35">
      <c r="AI1211" s="131"/>
    </row>
    <row r="1212" spans="35:35">
      <c r="AI1212" s="131"/>
    </row>
    <row r="1213" spans="35:35">
      <c r="AI1213" s="131"/>
    </row>
    <row r="1214" spans="35:35">
      <c r="AI1214" s="131"/>
    </row>
    <row r="1215" spans="35:35">
      <c r="AI1215" s="131"/>
    </row>
    <row r="1216" spans="35:35">
      <c r="AI1216" s="131"/>
    </row>
    <row r="1217" spans="35:35">
      <c r="AI1217" s="131"/>
    </row>
    <row r="1218" spans="35:35">
      <c r="AI1218" s="284"/>
    </row>
    <row r="1219" spans="35:35">
      <c r="AI1219" s="284"/>
    </row>
    <row r="1220" spans="35:35">
      <c r="AI1220" s="131"/>
    </row>
    <row r="1221" spans="35:35">
      <c r="AI1221" s="131"/>
    </row>
    <row r="1222" spans="35:35">
      <c r="AI1222" s="131"/>
    </row>
    <row r="1223" spans="35:35">
      <c r="AI1223" s="131"/>
    </row>
    <row r="1224" spans="35:35">
      <c r="AI1224" s="131"/>
    </row>
    <row r="1225" spans="35:35">
      <c r="AI1225" s="131"/>
    </row>
    <row r="1226" spans="35:35">
      <c r="AI1226" s="131"/>
    </row>
    <row r="1227" spans="35:35">
      <c r="AI1227" s="131"/>
    </row>
    <row r="1228" spans="35:35">
      <c r="AI1228" s="131"/>
    </row>
    <row r="1229" spans="35:35">
      <c r="AI1229" s="284"/>
    </row>
    <row r="1230" spans="35:35">
      <c r="AI1230" s="131"/>
    </row>
    <row r="1231" spans="35:35">
      <c r="AI1231" s="131"/>
    </row>
    <row r="1232" spans="35:35">
      <c r="AI1232" s="131"/>
    </row>
    <row r="1233" spans="35:35">
      <c r="AI1233" s="131"/>
    </row>
    <row r="1234" spans="35:35">
      <c r="AI1234" s="131"/>
    </row>
    <row r="1235" spans="35:35">
      <c r="AI1235" s="131"/>
    </row>
    <row r="1236" spans="35:35">
      <c r="AI1236" s="128"/>
    </row>
    <row r="1237" spans="35:35">
      <c r="AI1237" s="131"/>
    </row>
    <row r="1239" spans="35:35">
      <c r="AI1239" s="131"/>
    </row>
    <row r="1240" spans="35:35">
      <c r="AI1240" s="284"/>
    </row>
    <row r="1241" spans="35:35">
      <c r="AI1241" s="131"/>
    </row>
    <row r="1242" spans="35:35">
      <c r="AI1242" s="131"/>
    </row>
    <row r="1243" spans="35:35">
      <c r="AI1243" s="131"/>
    </row>
    <row r="1244" spans="35:35">
      <c r="AI1244" s="131"/>
    </row>
    <row r="1245" spans="35:35">
      <c r="AI1245" s="131"/>
    </row>
    <row r="1246" spans="35:35">
      <c r="AI1246" s="131"/>
    </row>
    <row r="1247" spans="35:35">
      <c r="AI1247" s="131"/>
    </row>
    <row r="1248" spans="35:35">
      <c r="AI1248" s="131"/>
    </row>
    <row r="1249" spans="35:35">
      <c r="AI1249" s="131"/>
    </row>
    <row r="1250" spans="35:35">
      <c r="AI1250" s="131"/>
    </row>
    <row r="1251" spans="35:35">
      <c r="AI1251" s="131"/>
    </row>
    <row r="1252" spans="35:35">
      <c r="AI1252" s="131"/>
    </row>
    <row r="1253" spans="35:35">
      <c r="AI1253" s="131"/>
    </row>
    <row r="1254" spans="35:35">
      <c r="AI1254" s="131"/>
    </row>
    <row r="1255" spans="35:35">
      <c r="AI1255" s="131"/>
    </row>
    <row r="1256" spans="35:35">
      <c r="AI1256" s="131"/>
    </row>
    <row r="1257" spans="35:35">
      <c r="AI1257" s="131"/>
    </row>
    <row r="1258" spans="35:35">
      <c r="AI1258" s="131"/>
    </row>
    <row r="1259" spans="35:35">
      <c r="AI1259" s="131"/>
    </row>
    <row r="1260" spans="35:35">
      <c r="AI1260" s="131"/>
    </row>
    <row r="1261" spans="35:35">
      <c r="AI1261" s="131"/>
    </row>
    <row r="1262" spans="35:35">
      <c r="AI1262" s="131"/>
    </row>
    <row r="1263" spans="35:35">
      <c r="AI1263" s="131"/>
    </row>
    <row r="1265" spans="35:35">
      <c r="AI1265" s="131"/>
    </row>
    <row r="1266" spans="35:35">
      <c r="AI1266" s="131"/>
    </row>
    <row r="1267" spans="35:35">
      <c r="AI1267" s="131"/>
    </row>
    <row r="1268" spans="35:35">
      <c r="AI1268" s="131"/>
    </row>
    <row r="1269" spans="35:35">
      <c r="AI1269" s="131"/>
    </row>
    <row r="1270" spans="35:35">
      <c r="AI1270" s="131"/>
    </row>
    <row r="1271" spans="35:35">
      <c r="AI1271" s="131"/>
    </row>
    <row r="1272" spans="35:35">
      <c r="AI1272" s="131"/>
    </row>
    <row r="1273" spans="35:35">
      <c r="AI1273" s="52"/>
    </row>
    <row r="1274" spans="35:35">
      <c r="AI1274" s="131"/>
    </row>
    <row r="1275" spans="35:35">
      <c r="AI1275" s="131"/>
    </row>
    <row r="1276" spans="35:35">
      <c r="AI1276" s="131"/>
    </row>
    <row r="1277" spans="35:35">
      <c r="AI1277" s="131"/>
    </row>
    <row r="1278" spans="35:35">
      <c r="AI1278" s="131"/>
    </row>
    <row r="1279" spans="35:35">
      <c r="AI1279" s="131"/>
    </row>
    <row r="1280" spans="35:35">
      <c r="AI1280" s="131"/>
    </row>
    <row r="1281" spans="35:35">
      <c r="AI1281" s="131"/>
    </row>
    <row r="1282" spans="35:35">
      <c r="AI1282" s="131"/>
    </row>
    <row r="1283" spans="35:35">
      <c r="AI1283" s="131"/>
    </row>
    <row r="1284" spans="35:35">
      <c r="AI1284" s="284"/>
    </row>
    <row r="1285" spans="35:35">
      <c r="AI1285" s="27"/>
    </row>
    <row r="1286" spans="35:35">
      <c r="AI1286" s="284"/>
    </row>
    <row r="1287" spans="35:35">
      <c r="AI1287" s="131"/>
    </row>
    <row r="1288" spans="35:35">
      <c r="AI1288" s="131"/>
    </row>
    <row r="1289" spans="35:35">
      <c r="AI1289" s="131"/>
    </row>
    <row r="1290" spans="35:35">
      <c r="AI1290" s="131"/>
    </row>
    <row r="1291" spans="35:35">
      <c r="AI1291" s="131"/>
    </row>
    <row r="1292" spans="35:35">
      <c r="AI1292" s="131"/>
    </row>
    <row r="1293" spans="35:35">
      <c r="AI1293" s="131"/>
    </row>
    <row r="1294" spans="35:35">
      <c r="AI1294" s="131"/>
    </row>
    <row r="1295" spans="35:35">
      <c r="AI1295" s="131"/>
    </row>
    <row r="1296" spans="35:35">
      <c r="AI1296" s="131"/>
    </row>
    <row r="1297" spans="15:35">
      <c r="AI1297" s="131"/>
    </row>
    <row r="1298" spans="15:35">
      <c r="AI1298" s="131"/>
    </row>
    <row r="1299" spans="15:35">
      <c r="AI1299" s="131"/>
    </row>
    <row r="1300" spans="15:35">
      <c r="AI1300" s="131"/>
    </row>
    <row r="1301" spans="15:35">
      <c r="AI1301" s="131"/>
    </row>
    <row r="1302" spans="15:35">
      <c r="AI1302" s="131"/>
    </row>
    <row r="1303" spans="15:35">
      <c r="AI1303" s="131"/>
    </row>
    <row r="1304" spans="15:35">
      <c r="AI1304" s="131"/>
    </row>
    <row r="1305" spans="15:35">
      <c r="AI1305" s="131"/>
    </row>
    <row r="1306" spans="15:35">
      <c r="AI1306" s="131"/>
    </row>
    <row r="1307" spans="15:35">
      <c r="AI1307" s="131"/>
    </row>
    <row r="1308" spans="15:35">
      <c r="AI1308" s="284"/>
    </row>
    <row r="1309" spans="15:35">
      <c r="AI1309" s="284"/>
    </row>
    <row r="1310" spans="15:35">
      <c r="AI1310" s="28"/>
    </row>
    <row r="1311" spans="15:35">
      <c r="O1311" s="370"/>
      <c r="AI1311" s="131"/>
    </row>
    <row r="1312" spans="15:35">
      <c r="AI1312" s="131"/>
    </row>
    <row r="1313" spans="15:35">
      <c r="AI1313" s="131"/>
    </row>
    <row r="1314" spans="15:35">
      <c r="AI1314" s="131"/>
    </row>
    <row r="1315" spans="15:35">
      <c r="AI1315" s="131"/>
    </row>
    <row r="1316" spans="15:35">
      <c r="AI1316" s="131"/>
    </row>
    <row r="1317" spans="15:35">
      <c r="AI1317" s="131"/>
    </row>
    <row r="1318" spans="15:35">
      <c r="AI1318" s="131"/>
    </row>
    <row r="1319" spans="15:35">
      <c r="AI1319" s="131"/>
    </row>
    <row r="1320" spans="15:35">
      <c r="AI1320" s="131"/>
    </row>
    <row r="1321" spans="15:35">
      <c r="O1321" s="370"/>
      <c r="AI1321" s="131"/>
    </row>
    <row r="1322" spans="15:35">
      <c r="AI1322" s="131"/>
    </row>
    <row r="1323" spans="15:35">
      <c r="AI1323" s="131"/>
    </row>
    <row r="1324" spans="15:35">
      <c r="AI1324" s="284"/>
    </row>
    <row r="1325" spans="15:35">
      <c r="O1325" s="370"/>
      <c r="AI1325" s="131"/>
    </row>
    <row r="1326" spans="15:35">
      <c r="AI1326" s="131"/>
    </row>
    <row r="1327" spans="15:35">
      <c r="AI1327" s="131"/>
    </row>
    <row r="1328" spans="15:35">
      <c r="AI1328" s="131"/>
    </row>
    <row r="1329" spans="15:35">
      <c r="AI1329" s="131"/>
    </row>
    <row r="1330" spans="15:35">
      <c r="O1330" s="370"/>
      <c r="AI1330" s="131"/>
    </row>
    <row r="1331" spans="15:35">
      <c r="O1331" s="370"/>
      <c r="AI1331" s="131"/>
    </row>
    <row r="1332" spans="15:35">
      <c r="O1332" s="370"/>
      <c r="AI1332" s="131"/>
    </row>
    <row r="1333" spans="15:35">
      <c r="AI1333" s="131"/>
    </row>
    <row r="1334" spans="15:35">
      <c r="O1334" s="370"/>
      <c r="AI1334" s="131"/>
    </row>
    <row r="1335" spans="15:35">
      <c r="O1335" s="370"/>
      <c r="AI1335" s="131"/>
    </row>
    <row r="1336" spans="15:35">
      <c r="AI1336" s="28"/>
    </row>
    <row r="1337" spans="15:35">
      <c r="O1337" s="370"/>
      <c r="AI1337" s="131"/>
    </row>
    <row r="1338" spans="15:35">
      <c r="AI1338" s="131"/>
    </row>
    <row r="1339" spans="15:35">
      <c r="O1339" s="370"/>
      <c r="AI1339" s="131"/>
    </row>
    <row r="1340" spans="15:35">
      <c r="O1340" s="370"/>
      <c r="AI1340" s="131"/>
    </row>
    <row r="1341" spans="15:35">
      <c r="O1341" s="370"/>
      <c r="AI1341" s="131"/>
    </row>
    <row r="1342" spans="15:35">
      <c r="O1342" s="370"/>
      <c r="AI1342" s="131"/>
    </row>
    <row r="1343" spans="15:35">
      <c r="O1343" s="370"/>
      <c r="AI1343" s="128"/>
    </row>
    <row r="1344" spans="15:35">
      <c r="O1344" s="370"/>
      <c r="AI1344" s="131"/>
    </row>
    <row r="1345" spans="15:35">
      <c r="O1345" s="370"/>
      <c r="AI1345" s="131"/>
    </row>
    <row r="1346" spans="15:35">
      <c r="O1346" s="370"/>
      <c r="AI1346" s="131"/>
    </row>
    <row r="1347" spans="15:35">
      <c r="AI1347" s="131"/>
    </row>
    <row r="1348" spans="15:35">
      <c r="AI1348" s="131"/>
    </row>
    <row r="1349" spans="15:35">
      <c r="AI1349" s="131"/>
    </row>
    <row r="1350" spans="15:35">
      <c r="AI1350" s="131"/>
    </row>
    <row r="1351" spans="15:35">
      <c r="AI1351" s="131"/>
    </row>
    <row r="1352" spans="15:35">
      <c r="AI1352" s="131"/>
    </row>
    <row r="1353" spans="15:35">
      <c r="AI1353" s="131"/>
    </row>
    <row r="1354" spans="15:35">
      <c r="AI1354" s="131"/>
    </row>
    <row r="1355" spans="15:35">
      <c r="O1355" s="370"/>
      <c r="AI1355" s="131"/>
    </row>
    <row r="1356" spans="15:35">
      <c r="O1356" s="370"/>
      <c r="AI1356" s="131"/>
    </row>
    <row r="1357" spans="15:35">
      <c r="O1357" s="370"/>
      <c r="AI1357" s="131"/>
    </row>
    <row r="1358" spans="15:35">
      <c r="AI1358" s="131"/>
    </row>
    <row r="1359" spans="15:35">
      <c r="O1359" s="370"/>
      <c r="AI1359" s="131"/>
    </row>
    <row r="1360" spans="15:35">
      <c r="O1360" s="370"/>
      <c r="AI1360" s="131"/>
    </row>
    <row r="1361" spans="15:35">
      <c r="O1361" s="370"/>
      <c r="AI1361" s="131"/>
    </row>
    <row r="1362" spans="15:35">
      <c r="O1362" s="370"/>
      <c r="AI1362" s="131"/>
    </row>
    <row r="1363" spans="15:35">
      <c r="AI1363" s="131"/>
    </row>
    <row r="1364" spans="15:35">
      <c r="AI1364" s="131"/>
    </row>
    <row r="1365" spans="15:35">
      <c r="AI1365" s="131"/>
    </row>
    <row r="1366" spans="15:35">
      <c r="AI1366" s="131"/>
    </row>
    <row r="1367" spans="15:35">
      <c r="AI1367" s="131"/>
    </row>
    <row r="1368" spans="15:35">
      <c r="AI1368" s="131"/>
    </row>
    <row r="1369" spans="15:35">
      <c r="AI1369" s="131"/>
    </row>
    <row r="1370" spans="15:35">
      <c r="AI1370" s="131"/>
    </row>
    <row r="1371" spans="15:35">
      <c r="AI1371" s="131"/>
    </row>
    <row r="1372" spans="15:35">
      <c r="AI1372" s="131"/>
    </row>
    <row r="1373" spans="15:35">
      <c r="AI1373" s="131"/>
    </row>
    <row r="1374" spans="15:35">
      <c r="AI1374" s="131"/>
    </row>
    <row r="1375" spans="15:35">
      <c r="AI1375" s="131"/>
    </row>
    <row r="1376" spans="15:35">
      <c r="AI1376" s="131"/>
    </row>
    <row r="1377" spans="35:35">
      <c r="AI1377" s="131"/>
    </row>
    <row r="1378" spans="35:35">
      <c r="AI1378" s="131"/>
    </row>
    <row r="1379" spans="35:35">
      <c r="AI1379" s="131"/>
    </row>
    <row r="1380" spans="35:35">
      <c r="AI1380" s="131"/>
    </row>
    <row r="1381" spans="35:35">
      <c r="AI1381" s="131"/>
    </row>
    <row r="1382" spans="35:35">
      <c r="AI1382" s="131"/>
    </row>
    <row r="1383" spans="35:35">
      <c r="AI1383" s="284"/>
    </row>
    <row r="1384" spans="35:35">
      <c r="AI1384" s="131"/>
    </row>
    <row r="1385" spans="35:35">
      <c r="AI1385" s="131"/>
    </row>
    <row r="1386" spans="35:35">
      <c r="AI1386" s="131"/>
    </row>
    <row r="1387" spans="35:35">
      <c r="AI1387" s="131"/>
    </row>
    <row r="1388" spans="35:35">
      <c r="AI1388" s="286"/>
    </row>
    <row r="1389" spans="35:35">
      <c r="AI1389" s="131"/>
    </row>
    <row r="1390" spans="35:35">
      <c r="AI1390" s="131"/>
    </row>
    <row r="1391" spans="35:35">
      <c r="AI1391" s="131"/>
    </row>
    <row r="1392" spans="35:35">
      <c r="AI1392" s="131"/>
    </row>
    <row r="1393" spans="35:35">
      <c r="AI1393" s="131"/>
    </row>
    <row r="1394" spans="35:35">
      <c r="AI1394" s="131"/>
    </row>
    <row r="1395" spans="35:35">
      <c r="AI1395" s="236"/>
    </row>
    <row r="1396" spans="35:35">
      <c r="AI1396" s="131"/>
    </row>
    <row r="1397" spans="35:35">
      <c r="AI1397" s="131"/>
    </row>
    <row r="1398" spans="35:35">
      <c r="AI1398" s="131"/>
    </row>
    <row r="1399" spans="35:35">
      <c r="AI1399" s="131"/>
    </row>
    <row r="1400" spans="35:35">
      <c r="AI1400" s="131"/>
    </row>
    <row r="1401" spans="35:35">
      <c r="AI1401" s="131"/>
    </row>
    <row r="1402" spans="35:35">
      <c r="AI1402" s="131"/>
    </row>
    <row r="1403" spans="35:35">
      <c r="AI1403" s="131"/>
    </row>
    <row r="1404" spans="35:35">
      <c r="AI1404" s="131"/>
    </row>
    <row r="1405" spans="35:35">
      <c r="AI1405" s="131"/>
    </row>
    <row r="1406" spans="35:35">
      <c r="AI1406" s="284"/>
    </row>
    <row r="1407" spans="35:35">
      <c r="AI1407" s="131"/>
    </row>
    <row r="1408" spans="35:35">
      <c r="AI1408" s="131"/>
    </row>
    <row r="1409" spans="35:35">
      <c r="AI1409" s="131"/>
    </row>
    <row r="1410" spans="35:35">
      <c r="AI1410" s="131"/>
    </row>
    <row r="1411" spans="35:35">
      <c r="AI1411" s="131"/>
    </row>
    <row r="1412" spans="35:35">
      <c r="AI1412" s="131"/>
    </row>
    <row r="1413" spans="35:35">
      <c r="AI1413" s="131"/>
    </row>
    <row r="1414" spans="35:35">
      <c r="AI1414" s="131"/>
    </row>
    <row r="1415" spans="35:35">
      <c r="AI1415" s="131"/>
    </row>
    <row r="1416" spans="35:35">
      <c r="AI1416" s="131"/>
    </row>
    <row r="1417" spans="35:35">
      <c r="AI1417" s="131"/>
    </row>
    <row r="1418" spans="35:35">
      <c r="AI1418" s="284"/>
    </row>
    <row r="1419" spans="35:35">
      <c r="AI1419" s="131"/>
    </row>
    <row r="1420" spans="35:35">
      <c r="AI1420" s="28"/>
    </row>
    <row r="1421" spans="35:35">
      <c r="AI1421" s="284"/>
    </row>
    <row r="1422" spans="35:35">
      <c r="AI1422" s="131"/>
    </row>
    <row r="1423" spans="35:35">
      <c r="AI1423" s="131"/>
    </row>
    <row r="1424" spans="35:35">
      <c r="AI1424" s="131"/>
    </row>
    <row r="1425" spans="35:35">
      <c r="AI1425" s="131"/>
    </row>
    <row r="1426" spans="35:35">
      <c r="AI1426" s="284"/>
    </row>
    <row r="1427" spans="35:35">
      <c r="AI1427" s="131"/>
    </row>
    <row r="1428" spans="35:35">
      <c r="AI1428" s="131"/>
    </row>
    <row r="1429" spans="35:35">
      <c r="AI1429" s="131"/>
    </row>
    <row r="1430" spans="35:35">
      <c r="AI1430" s="131"/>
    </row>
    <row r="1431" spans="35:35">
      <c r="AI1431" s="131"/>
    </row>
    <row r="1432" spans="35:35">
      <c r="AI1432" s="131"/>
    </row>
    <row r="1433" spans="35:35">
      <c r="AI1433" s="131"/>
    </row>
    <row r="1434" spans="35:35">
      <c r="AI1434" s="131"/>
    </row>
    <row r="1435" spans="35:35">
      <c r="AI1435" s="131"/>
    </row>
    <row r="1436" spans="35:35">
      <c r="AI1436" s="131"/>
    </row>
    <row r="1437" spans="35:35">
      <c r="AI1437" s="131"/>
    </row>
    <row r="1438" spans="35:35">
      <c r="AI1438" s="131"/>
    </row>
    <row r="1439" spans="35:35">
      <c r="AI1439" s="131"/>
    </row>
    <row r="1440" spans="35:35">
      <c r="AI1440" s="131"/>
    </row>
    <row r="1441" spans="35:35">
      <c r="AI1441" s="131"/>
    </row>
    <row r="1442" spans="35:35">
      <c r="AI1442" s="131"/>
    </row>
    <row r="1443" spans="35:35">
      <c r="AI1443" s="131"/>
    </row>
    <row r="1444" spans="35:35">
      <c r="AI1444" s="131"/>
    </row>
    <row r="1445" spans="35:35">
      <c r="AI1445" s="131"/>
    </row>
    <row r="1446" spans="35:35">
      <c r="AI1446" s="284"/>
    </row>
    <row r="1447" spans="35:35">
      <c r="AI1447" s="131"/>
    </row>
    <row r="1448" spans="35:35">
      <c r="AI1448" s="131"/>
    </row>
    <row r="1449" spans="35:35">
      <c r="AI1449" s="131"/>
    </row>
    <row r="1450" spans="35:35">
      <c r="AI1450" s="131"/>
    </row>
    <row r="1451" spans="35:35">
      <c r="AI1451" s="131"/>
    </row>
    <row r="1452" spans="35:35">
      <c r="AI1452" s="131"/>
    </row>
    <row r="1453" spans="35:35">
      <c r="AI1453" s="131"/>
    </row>
    <row r="1454" spans="35:35">
      <c r="AI1454" s="131"/>
    </row>
    <row r="1455" spans="35:35">
      <c r="AI1455" s="131"/>
    </row>
    <row r="1456" spans="35:35">
      <c r="AI1456" s="131"/>
    </row>
    <row r="1457" spans="35:35">
      <c r="AI1457" s="131"/>
    </row>
    <row r="1458" spans="35:35">
      <c r="AI1458" s="131"/>
    </row>
    <row r="1459" spans="35:35">
      <c r="AI1459" s="131"/>
    </row>
    <row r="1460" spans="35:35">
      <c r="AI1460" s="131"/>
    </row>
    <row r="1461" spans="35:35">
      <c r="AI1461" s="131"/>
    </row>
    <row r="1462" spans="35:35">
      <c r="AI1462" s="131"/>
    </row>
    <row r="1463" spans="35:35">
      <c r="AI1463" s="131"/>
    </row>
    <row r="1464" spans="35:35">
      <c r="AI1464" s="131"/>
    </row>
    <row r="1465" spans="35:35">
      <c r="AI1465" s="131"/>
    </row>
    <row r="1466" spans="35:35">
      <c r="AI1466" s="131"/>
    </row>
    <row r="1467" spans="35:35">
      <c r="AI1467" s="131"/>
    </row>
    <row r="1468" spans="35:35">
      <c r="AI1468" s="131"/>
    </row>
    <row r="1469" spans="35:35">
      <c r="AI1469" s="131"/>
    </row>
    <row r="1470" spans="35:35">
      <c r="AI1470" s="131"/>
    </row>
    <row r="1471" spans="35:35">
      <c r="AI1471" s="131"/>
    </row>
    <row r="1472" spans="35:35">
      <c r="AI1472" s="131"/>
    </row>
    <row r="1473" spans="15:35">
      <c r="AI1473" s="131"/>
    </row>
    <row r="1474" spans="15:35">
      <c r="AI1474" s="131"/>
    </row>
    <row r="1475" spans="15:35">
      <c r="AI1475" s="131"/>
    </row>
    <row r="1476" spans="15:35">
      <c r="AI1476" s="131"/>
    </row>
    <row r="1477" spans="15:35">
      <c r="AI1477" s="131"/>
    </row>
    <row r="1478" spans="15:35">
      <c r="AI1478" s="131"/>
    </row>
    <row r="1479" spans="15:35">
      <c r="AI1479" s="131"/>
    </row>
    <row r="1480" spans="15:35">
      <c r="AI1480" s="131"/>
    </row>
    <row r="1481" spans="15:35">
      <c r="AI1481" s="131"/>
    </row>
    <row r="1482" spans="15:35">
      <c r="AI1482" s="131"/>
    </row>
    <row r="1483" spans="15:35">
      <c r="AI1483" s="131"/>
    </row>
    <row r="1484" spans="15:35">
      <c r="AI1484" s="131"/>
    </row>
    <row r="1485" spans="15:35">
      <c r="AI1485" s="284"/>
    </row>
    <row r="1486" spans="15:35">
      <c r="AI1486" s="131"/>
    </row>
    <row r="1487" spans="15:35">
      <c r="AI1487" s="131"/>
    </row>
    <row r="1488" spans="15:35">
      <c r="O1488" s="370"/>
      <c r="AI1488" s="131"/>
    </row>
    <row r="1489" spans="15:35">
      <c r="AI1489" s="131"/>
    </row>
    <row r="1490" spans="15:35">
      <c r="AI1490" s="131"/>
    </row>
    <row r="1491" spans="15:35">
      <c r="AI1491" s="131"/>
    </row>
    <row r="1492" spans="15:35">
      <c r="AI1492" s="131"/>
    </row>
    <row r="1493" spans="15:35">
      <c r="AI1493" s="131"/>
    </row>
    <row r="1494" spans="15:35">
      <c r="AI1494" s="131"/>
    </row>
    <row r="1495" spans="15:35">
      <c r="AI1495" s="131"/>
    </row>
    <row r="1496" spans="15:35">
      <c r="AI1496" s="131"/>
    </row>
    <row r="1497" spans="15:35">
      <c r="AI1497" s="131"/>
    </row>
    <row r="1498" spans="15:35">
      <c r="O1498" s="370"/>
      <c r="AI1498" s="131"/>
    </row>
    <row r="1499" spans="15:35">
      <c r="AI1499" s="131"/>
    </row>
    <row r="1500" spans="15:35">
      <c r="AI1500" s="131"/>
    </row>
    <row r="1501" spans="15:35">
      <c r="AI1501" s="131"/>
    </row>
    <row r="1502" spans="15:35">
      <c r="O1502" s="370"/>
      <c r="AI1502" s="131"/>
    </row>
    <row r="1503" spans="15:35">
      <c r="AI1503" s="131"/>
    </row>
    <row r="1504" spans="15:35">
      <c r="T1504" s="349"/>
      <c r="AI1504" s="131"/>
    </row>
    <row r="1505" spans="15:35">
      <c r="AI1505" s="131"/>
    </row>
    <row r="1506" spans="15:35">
      <c r="AI1506" s="131"/>
    </row>
    <row r="1507" spans="15:35">
      <c r="O1507" s="370"/>
      <c r="AI1507" s="131"/>
    </row>
    <row r="1508" spans="15:35">
      <c r="O1508" s="370"/>
      <c r="AI1508" s="131"/>
    </row>
    <row r="1509" spans="15:35">
      <c r="O1509" s="370"/>
      <c r="AI1509" s="131"/>
    </row>
    <row r="1510" spans="15:35">
      <c r="AI1510" s="131"/>
    </row>
    <row r="1511" spans="15:35">
      <c r="O1511" s="370"/>
      <c r="AI1511" s="131"/>
    </row>
    <row r="1512" spans="15:35">
      <c r="O1512" s="370"/>
      <c r="AI1512" s="131"/>
    </row>
    <row r="1513" spans="15:35">
      <c r="AI1513" s="131"/>
    </row>
    <row r="1514" spans="15:35">
      <c r="O1514" s="370"/>
      <c r="T1514" s="349"/>
      <c r="AI1514" s="131"/>
    </row>
    <row r="1515" spans="15:35">
      <c r="AI1515" s="131"/>
    </row>
    <row r="1516" spans="15:35">
      <c r="O1516" s="370"/>
      <c r="AI1516" s="131"/>
    </row>
    <row r="1517" spans="15:35">
      <c r="O1517" s="370"/>
      <c r="AI1517" s="131"/>
    </row>
    <row r="1518" spans="15:35">
      <c r="O1518" s="370"/>
      <c r="T1518" s="349"/>
      <c r="AI1518" s="128"/>
    </row>
    <row r="1519" spans="15:35">
      <c r="O1519" s="370"/>
      <c r="AI1519" s="131"/>
    </row>
    <row r="1520" spans="15:35">
      <c r="O1520" s="370"/>
      <c r="AI1520" s="131"/>
    </row>
    <row r="1521" spans="15:35">
      <c r="O1521" s="370"/>
      <c r="AI1521" s="131"/>
    </row>
    <row r="1522" spans="15:35">
      <c r="O1522" s="370"/>
      <c r="AI1522" s="131"/>
    </row>
    <row r="1523" spans="15:35">
      <c r="O1523" s="370"/>
      <c r="T1523" s="349"/>
      <c r="AI1523" s="131"/>
    </row>
    <row r="1524" spans="15:35">
      <c r="O1524" s="370"/>
      <c r="T1524" s="349"/>
      <c r="AI1524" s="131"/>
    </row>
    <row r="1525" spans="15:35">
      <c r="O1525" s="370"/>
      <c r="T1525" s="349"/>
      <c r="AI1525" s="131"/>
    </row>
    <row r="1526" spans="15:35">
      <c r="AI1526" s="131"/>
    </row>
    <row r="1527" spans="15:35">
      <c r="O1527" s="370"/>
      <c r="T1527" s="349"/>
      <c r="AI1527" s="131"/>
    </row>
    <row r="1528" spans="15:35">
      <c r="O1528" s="370"/>
      <c r="T1528" s="349"/>
      <c r="AI1528" s="131"/>
    </row>
    <row r="1529" spans="15:35">
      <c r="O1529" s="370"/>
      <c r="AI1529" s="131"/>
    </row>
    <row r="1530" spans="15:35">
      <c r="O1530" s="370"/>
      <c r="T1530" s="349"/>
      <c r="AI1530" s="131"/>
    </row>
    <row r="1531" spans="15:35">
      <c r="O1531" s="370"/>
      <c r="AI1531" s="131"/>
    </row>
    <row r="1532" spans="15:35">
      <c r="O1532" s="370"/>
      <c r="T1532" s="349"/>
      <c r="AI1532" s="284"/>
    </row>
    <row r="1533" spans="15:35">
      <c r="O1533" s="370"/>
      <c r="T1533" s="349"/>
      <c r="AI1533" s="131"/>
    </row>
    <row r="1534" spans="15:35">
      <c r="O1534" s="370"/>
      <c r="T1534" s="349"/>
      <c r="AI1534" s="131"/>
    </row>
    <row r="1535" spans="15:35">
      <c r="T1535" s="349"/>
      <c r="AI1535" s="131"/>
    </row>
    <row r="1536" spans="15:35">
      <c r="O1536" s="370"/>
      <c r="T1536" s="349"/>
      <c r="AI1536" s="131"/>
    </row>
    <row r="1537" spans="15:35">
      <c r="O1537" s="370"/>
      <c r="T1537" s="349"/>
      <c r="AI1537" s="131"/>
    </row>
    <row r="1538" spans="15:35">
      <c r="O1538" s="370"/>
      <c r="T1538" s="349"/>
      <c r="AI1538" s="131"/>
    </row>
    <row r="1539" spans="15:35">
      <c r="O1539" s="370"/>
      <c r="T1539" s="349"/>
      <c r="AI1539" s="131"/>
    </row>
    <row r="1540" spans="15:35">
      <c r="O1540" s="370"/>
      <c r="AI1540" s="131"/>
    </row>
    <row r="1541" spans="15:35">
      <c r="O1541" s="370"/>
      <c r="AI1541" s="131"/>
    </row>
    <row r="1542" spans="15:35">
      <c r="O1542" s="370"/>
      <c r="AI1542" s="131"/>
    </row>
    <row r="1543" spans="15:35">
      <c r="O1543" s="370"/>
      <c r="AI1543" s="131"/>
    </row>
    <row r="1544" spans="15:35">
      <c r="O1544" s="370"/>
      <c r="AI1544" s="131"/>
    </row>
    <row r="1545" spans="15:35">
      <c r="O1545" s="370"/>
      <c r="AI1545" s="131"/>
    </row>
    <row r="1546" spans="15:35">
      <c r="O1546" s="370"/>
      <c r="AI1546" s="131"/>
    </row>
    <row r="1547" spans="15:35">
      <c r="AI1547" s="28"/>
    </row>
    <row r="1548" spans="15:35">
      <c r="O1548" s="370"/>
      <c r="T1548" s="349"/>
      <c r="AI1548" s="131"/>
    </row>
    <row r="1549" spans="15:35">
      <c r="O1549" s="370"/>
      <c r="T1549" s="349"/>
      <c r="AI1549" s="131"/>
    </row>
    <row r="1550" spans="15:35">
      <c r="O1550" s="370"/>
      <c r="T1550" s="349"/>
      <c r="AI1550" s="131"/>
    </row>
    <row r="1551" spans="15:35">
      <c r="O1551" s="370"/>
      <c r="AI1551" s="131"/>
    </row>
    <row r="1552" spans="15:35">
      <c r="O1552" s="370"/>
      <c r="T1552" s="349"/>
      <c r="AI1552" s="131"/>
    </row>
    <row r="1553" spans="15:35">
      <c r="O1553" s="370"/>
      <c r="T1553" s="349"/>
      <c r="AI1553" s="131"/>
    </row>
    <row r="1554" spans="15:35">
      <c r="O1554" s="370"/>
      <c r="T1554" s="349"/>
      <c r="AI1554" s="131"/>
    </row>
    <row r="1555" spans="15:35">
      <c r="O1555" s="370"/>
      <c r="T1555" s="349"/>
      <c r="AI1555" s="131"/>
    </row>
    <row r="1556" spans="15:35">
      <c r="AI1556" s="131"/>
    </row>
    <row r="1557" spans="15:35">
      <c r="O1557" s="370"/>
      <c r="AI1557" s="131"/>
    </row>
    <row r="1558" spans="15:35">
      <c r="O1558" s="370"/>
      <c r="AI1558" s="131"/>
    </row>
    <row r="1559" spans="15:35">
      <c r="O1559" s="370"/>
      <c r="AI1559" s="131"/>
    </row>
    <row r="1560" spans="15:35">
      <c r="O1560" s="370"/>
      <c r="AI1560" s="131"/>
    </row>
    <row r="1561" spans="15:35">
      <c r="O1561" s="370"/>
      <c r="AI1561" s="284"/>
    </row>
    <row r="1562" spans="15:35">
      <c r="O1562" s="370"/>
      <c r="AI1562" s="131"/>
    </row>
    <row r="1563" spans="15:35">
      <c r="O1563" s="370"/>
      <c r="AI1563" s="131"/>
    </row>
    <row r="1564" spans="15:35">
      <c r="O1564" s="370"/>
      <c r="AI1564" s="131"/>
    </row>
    <row r="1565" spans="15:35">
      <c r="O1565" s="370"/>
      <c r="AI1565" s="131"/>
    </row>
    <row r="1566" spans="15:35">
      <c r="O1566" s="370"/>
      <c r="AI1566" s="131"/>
    </row>
    <row r="1567" spans="15:35">
      <c r="O1567" s="370"/>
      <c r="AI1567" s="131"/>
    </row>
    <row r="1568" spans="15:35">
      <c r="O1568" s="370"/>
      <c r="AI1568" s="131"/>
    </row>
    <row r="1569" spans="15:35">
      <c r="O1569" s="370"/>
      <c r="AI1569" s="131"/>
    </row>
    <row r="1570" spans="15:35">
      <c r="O1570" s="370"/>
      <c r="AI1570" s="131"/>
    </row>
    <row r="1571" spans="15:35">
      <c r="O1571" s="370"/>
      <c r="AI1571" s="131"/>
    </row>
    <row r="1572" spans="15:35">
      <c r="O1572" s="370"/>
      <c r="AI1572" s="284"/>
    </row>
    <row r="1573" spans="15:35">
      <c r="O1573" s="370"/>
      <c r="AI1573" s="131"/>
    </row>
    <row r="1574" spans="15:35">
      <c r="O1574" s="370"/>
      <c r="AI1574" s="131"/>
    </row>
    <row r="1575" spans="15:35">
      <c r="O1575" s="370"/>
      <c r="AI1575" s="284"/>
    </row>
    <row r="1576" spans="15:35">
      <c r="O1576" s="370"/>
      <c r="AI1576" s="131"/>
    </row>
    <row r="1577" spans="15:35">
      <c r="O1577" s="370"/>
      <c r="AI1577" s="131"/>
    </row>
    <row r="1578" spans="15:35">
      <c r="O1578" s="370"/>
      <c r="AI1578" s="131"/>
    </row>
    <row r="1579" spans="15:35">
      <c r="O1579" s="370"/>
      <c r="AI1579" s="131"/>
    </row>
    <row r="1580" spans="15:35">
      <c r="O1580" s="370"/>
      <c r="AI1580" s="131"/>
    </row>
    <row r="1581" spans="15:35">
      <c r="O1581" s="370"/>
      <c r="AI1581" s="131"/>
    </row>
    <row r="1582" spans="15:35">
      <c r="O1582" s="370"/>
      <c r="AI1582" s="131"/>
    </row>
    <row r="1583" spans="15:35">
      <c r="O1583" s="370"/>
      <c r="AI1583" s="131"/>
    </row>
    <row r="1584" spans="15:35">
      <c r="O1584" s="370"/>
      <c r="AI1584" s="131"/>
    </row>
    <row r="1585" spans="1:35">
      <c r="O1585" s="370"/>
      <c r="AI1585" s="131"/>
    </row>
    <row r="1586" spans="1:35" ht="26.4">
      <c r="A1586" s="284"/>
      <c r="B1586" s="284"/>
      <c r="C1586" s="284"/>
      <c r="D1586" s="284"/>
      <c r="E1586" s="284"/>
      <c r="F1586" s="284"/>
      <c r="H1586" s="284"/>
      <c r="I1586" s="284"/>
      <c r="J1586" s="375"/>
      <c r="K1586" s="375"/>
      <c r="L1586" s="375"/>
      <c r="M1586" s="368"/>
      <c r="N1586" s="368"/>
      <c r="O1586" s="370"/>
      <c r="V1586" s="378"/>
      <c r="W1586" s="64" ph="1"/>
      <c r="X1586" s="241"/>
      <c r="AA1586" s="284"/>
      <c r="AB1586" s="284"/>
      <c r="AC1586" s="284"/>
      <c r="AD1586" s="284"/>
      <c r="AE1586" s="284"/>
      <c r="AF1586" s="284"/>
      <c r="AG1586" s="8"/>
      <c r="AI1586" s="131"/>
    </row>
    <row r="1587" spans="1:35">
      <c r="A1587" s="284"/>
      <c r="O1587" s="370"/>
      <c r="Y1587" s="284"/>
      <c r="Z1587" s="207"/>
      <c r="AI1587" s="131"/>
    </row>
    <row r="1588" spans="1:35">
      <c r="O1588" s="370"/>
      <c r="AI1588" s="131"/>
    </row>
    <row r="1589" spans="1:35">
      <c r="O1589" s="370"/>
      <c r="AI1589" s="131"/>
    </row>
    <row r="1590" spans="1:35">
      <c r="O1590" s="370"/>
      <c r="AI1590" s="131"/>
    </row>
    <row r="1591" spans="1:35">
      <c r="O1591" s="370"/>
      <c r="AI1591" s="131"/>
    </row>
    <row r="1592" spans="1:35">
      <c r="O1592" s="370"/>
      <c r="AI1592" s="131"/>
    </row>
    <row r="1593" spans="1:35">
      <c r="A1593" s="284"/>
      <c r="G1593" s="284"/>
      <c r="O1593" s="370"/>
      <c r="AI1593" s="131"/>
    </row>
    <row r="1594" spans="1:35">
      <c r="O1594" s="370"/>
      <c r="AI1594" s="131"/>
    </row>
    <row r="1595" spans="1:35">
      <c r="O1595" s="370"/>
      <c r="AI1595" s="131"/>
    </row>
    <row r="1596" spans="1:35" ht="26.4">
      <c r="A1596" s="284"/>
      <c r="B1596" s="284"/>
      <c r="C1596" s="284"/>
      <c r="D1596" s="284"/>
      <c r="E1596" s="284"/>
      <c r="F1596" s="284"/>
      <c r="H1596" s="284"/>
      <c r="I1596" s="284"/>
      <c r="J1596" s="375"/>
      <c r="K1596" s="375"/>
      <c r="L1596" s="375"/>
      <c r="M1596" s="368"/>
      <c r="N1596" s="368"/>
      <c r="O1596" s="370"/>
      <c r="V1596" s="378"/>
      <c r="W1596" s="64" ph="1"/>
      <c r="X1596" s="241"/>
      <c r="AA1596" s="284"/>
      <c r="AB1596" s="284"/>
      <c r="AC1596" s="284"/>
      <c r="AD1596" s="284"/>
      <c r="AE1596" s="284"/>
      <c r="AF1596" s="284"/>
      <c r="AG1596" s="8"/>
      <c r="AI1596" s="131"/>
    </row>
    <row r="1597" spans="1:35">
      <c r="A1597" s="284"/>
      <c r="O1597" s="370"/>
      <c r="Y1597" s="284"/>
      <c r="Z1597" s="207"/>
      <c r="AI1597" s="131"/>
    </row>
    <row r="1598" spans="1:35">
      <c r="O1598" s="370"/>
      <c r="AI1598" s="284"/>
    </row>
    <row r="1599" spans="1:35">
      <c r="O1599" s="370"/>
      <c r="AI1599" s="131"/>
    </row>
    <row r="1600" spans="1:35" ht="26.4">
      <c r="A1600" s="284"/>
      <c r="B1600" s="284"/>
      <c r="C1600" s="284"/>
      <c r="D1600" s="284"/>
      <c r="E1600" s="284"/>
      <c r="F1600" s="284"/>
      <c r="H1600" s="284"/>
      <c r="I1600" s="284"/>
      <c r="J1600" s="375"/>
      <c r="K1600" s="375"/>
      <c r="L1600" s="375"/>
      <c r="M1600" s="368"/>
      <c r="N1600" s="368"/>
      <c r="O1600" s="370"/>
      <c r="V1600" s="378"/>
      <c r="W1600" s="64" ph="1"/>
      <c r="X1600" s="241"/>
      <c r="AA1600" s="284"/>
      <c r="AB1600" s="284"/>
      <c r="AC1600" s="284"/>
      <c r="AD1600" s="284"/>
      <c r="AE1600" s="284"/>
      <c r="AF1600" s="284"/>
      <c r="AG1600" s="8"/>
      <c r="AI1600" s="131"/>
    </row>
    <row r="1601" spans="1:35">
      <c r="A1601" s="284"/>
      <c r="O1601" s="370"/>
      <c r="Y1601" s="284"/>
      <c r="Z1601" s="207"/>
      <c r="AI1601" s="131"/>
    </row>
    <row r="1602" spans="1:35">
      <c r="O1602" s="370"/>
      <c r="AI1602" s="131"/>
    </row>
    <row r="1603" spans="1:35">
      <c r="A1603" s="284"/>
      <c r="G1603" s="284"/>
      <c r="O1603" s="370"/>
      <c r="AI1603" s="131"/>
    </row>
    <row r="1604" spans="1:35">
      <c r="O1604" s="370"/>
      <c r="AI1604" s="131"/>
    </row>
    <row r="1605" spans="1:35" ht="26.4">
      <c r="A1605" s="284"/>
      <c r="B1605" s="284"/>
      <c r="C1605" s="284"/>
      <c r="D1605" s="284"/>
      <c r="E1605" s="284"/>
      <c r="F1605" s="284"/>
      <c r="H1605" s="284"/>
      <c r="I1605" s="284"/>
      <c r="J1605" s="375"/>
      <c r="K1605" s="375"/>
      <c r="L1605" s="375"/>
      <c r="M1605" s="368"/>
      <c r="N1605" s="368"/>
      <c r="O1605" s="370"/>
      <c r="V1605" s="378"/>
      <c r="W1605" s="64" ph="1"/>
      <c r="X1605" s="241"/>
      <c r="AA1605" s="284"/>
      <c r="AB1605" s="284"/>
      <c r="AC1605" s="284"/>
      <c r="AD1605" s="284"/>
      <c r="AE1605" s="284"/>
      <c r="AF1605" s="284"/>
      <c r="AG1605" s="8"/>
      <c r="AI1605" s="131"/>
    </row>
    <row r="1606" spans="1:35" ht="26.4">
      <c r="A1606" s="284"/>
      <c r="B1606" s="284"/>
      <c r="C1606" s="284"/>
      <c r="D1606" s="284"/>
      <c r="E1606" s="284"/>
      <c r="F1606" s="284"/>
      <c r="H1606" s="284"/>
      <c r="I1606" s="284"/>
      <c r="J1606" s="375"/>
      <c r="K1606" s="375"/>
      <c r="L1606" s="375"/>
      <c r="M1606" s="368"/>
      <c r="N1606" s="368"/>
      <c r="O1606" s="370"/>
      <c r="V1606" s="378"/>
      <c r="W1606" s="64" ph="1"/>
      <c r="X1606" s="241"/>
      <c r="Y1606" s="284"/>
      <c r="Z1606" s="207"/>
      <c r="AA1606" s="284"/>
      <c r="AB1606" s="284"/>
      <c r="AC1606" s="284"/>
      <c r="AD1606" s="284"/>
      <c r="AE1606" s="284"/>
      <c r="AF1606" s="284"/>
      <c r="AG1606" s="8"/>
      <c r="AI1606" s="131"/>
    </row>
    <row r="1607" spans="1:35" ht="26.4">
      <c r="A1607" s="284"/>
      <c r="B1607" s="284"/>
      <c r="C1607" s="284"/>
      <c r="D1607" s="284"/>
      <c r="E1607" s="284"/>
      <c r="F1607" s="284"/>
      <c r="G1607" s="284"/>
      <c r="H1607" s="284"/>
      <c r="I1607" s="284"/>
      <c r="J1607" s="375"/>
      <c r="K1607" s="375"/>
      <c r="L1607" s="375"/>
      <c r="M1607" s="368"/>
      <c r="N1607" s="368"/>
      <c r="O1607" s="370"/>
      <c r="V1607" s="378"/>
      <c r="W1607" s="64" ph="1"/>
      <c r="X1607" s="241"/>
      <c r="Y1607" s="284"/>
      <c r="Z1607" s="207"/>
      <c r="AA1607" s="284"/>
      <c r="AB1607" s="284"/>
      <c r="AC1607" s="284"/>
      <c r="AD1607" s="284"/>
      <c r="AE1607" s="284"/>
      <c r="AF1607" s="284"/>
      <c r="AG1607" s="8"/>
      <c r="AI1607" s="131"/>
    </row>
    <row r="1608" spans="1:35">
      <c r="A1608" s="284"/>
      <c r="O1608" s="370"/>
      <c r="Y1608" s="284"/>
      <c r="Z1608" s="207"/>
      <c r="AI1608" s="131"/>
    </row>
    <row r="1609" spans="1:35" ht="26.4">
      <c r="A1609" s="284"/>
      <c r="B1609" s="284"/>
      <c r="C1609" s="284"/>
      <c r="D1609" s="284"/>
      <c r="E1609" s="284"/>
      <c r="F1609" s="284"/>
      <c r="H1609" s="284"/>
      <c r="I1609" s="284"/>
      <c r="J1609" s="375"/>
      <c r="K1609" s="375"/>
      <c r="L1609" s="375"/>
      <c r="M1609" s="368"/>
      <c r="N1609" s="368"/>
      <c r="O1609" s="370"/>
      <c r="V1609" s="378"/>
      <c r="W1609" s="64" ph="1"/>
      <c r="X1609" s="241"/>
      <c r="AA1609" s="284"/>
      <c r="AB1609" s="284"/>
      <c r="AC1609" s="284"/>
      <c r="AD1609" s="284"/>
      <c r="AE1609" s="284"/>
      <c r="AF1609" s="284"/>
      <c r="AG1609" s="8"/>
      <c r="AI1609" s="131"/>
    </row>
    <row r="1610" spans="1:35" ht="26.4">
      <c r="A1610" s="284"/>
      <c r="B1610" s="284"/>
      <c r="C1610" s="284"/>
      <c r="D1610" s="284"/>
      <c r="E1610" s="284"/>
      <c r="F1610" s="284"/>
      <c r="H1610" s="284"/>
      <c r="I1610" s="284"/>
      <c r="J1610" s="375"/>
      <c r="K1610" s="375"/>
      <c r="L1610" s="375"/>
      <c r="M1610" s="368"/>
      <c r="N1610" s="368"/>
      <c r="O1610" s="370"/>
      <c r="V1610" s="378"/>
      <c r="W1610" s="64" ph="1"/>
      <c r="X1610" s="241"/>
      <c r="Y1610" s="284"/>
      <c r="Z1610" s="207"/>
      <c r="AA1610" s="284"/>
      <c r="AB1610" s="284"/>
      <c r="AC1610" s="284"/>
      <c r="AD1610" s="284"/>
      <c r="AE1610" s="284"/>
      <c r="AF1610" s="284"/>
      <c r="AG1610" s="8"/>
      <c r="AI1610" s="131"/>
    </row>
    <row r="1611" spans="1:35">
      <c r="A1611" s="284"/>
      <c r="O1611" s="370"/>
      <c r="Y1611" s="284"/>
      <c r="Z1611" s="207"/>
      <c r="AI1611" s="131"/>
    </row>
    <row r="1612" spans="1:35" ht="26.4">
      <c r="A1612" s="284"/>
      <c r="B1612" s="284"/>
      <c r="C1612" s="284"/>
      <c r="D1612" s="284"/>
      <c r="E1612" s="284"/>
      <c r="F1612" s="284"/>
      <c r="G1612" s="284"/>
      <c r="H1612" s="284"/>
      <c r="I1612" s="284"/>
      <c r="J1612" s="375"/>
      <c r="K1612" s="375"/>
      <c r="L1612" s="375"/>
      <c r="M1612" s="368"/>
      <c r="N1612" s="368"/>
      <c r="O1612" s="370"/>
      <c r="V1612" s="378"/>
      <c r="W1612" s="64" ph="1"/>
      <c r="X1612" s="241"/>
      <c r="AA1612" s="284"/>
      <c r="AB1612" s="284"/>
      <c r="AC1612" s="284"/>
      <c r="AD1612" s="284"/>
      <c r="AE1612" s="284"/>
      <c r="AF1612" s="284"/>
      <c r="AG1612" s="8"/>
      <c r="AI1612" s="131"/>
    </row>
    <row r="1613" spans="1:35">
      <c r="A1613" s="284"/>
      <c r="G1613" s="284"/>
      <c r="O1613" s="370"/>
      <c r="Y1613" s="284"/>
      <c r="Z1613" s="207"/>
      <c r="AI1613" s="131"/>
    </row>
    <row r="1614" spans="1:35" ht="26.4">
      <c r="A1614" s="284"/>
      <c r="B1614" s="284"/>
      <c r="C1614" s="284"/>
      <c r="D1614" s="284"/>
      <c r="E1614" s="284"/>
      <c r="F1614" s="284"/>
      <c r="G1614" s="284"/>
      <c r="H1614" s="284"/>
      <c r="I1614" s="284"/>
      <c r="J1614" s="375"/>
      <c r="K1614" s="375"/>
      <c r="L1614" s="375"/>
      <c r="M1614" s="368"/>
      <c r="N1614" s="368"/>
      <c r="O1614" s="370"/>
      <c r="V1614" s="378"/>
      <c r="W1614" s="64" ph="1"/>
      <c r="X1614" s="241"/>
      <c r="AA1614" s="284"/>
      <c r="AB1614" s="284"/>
      <c r="AC1614" s="284"/>
      <c r="AD1614" s="284"/>
      <c r="AE1614" s="284"/>
      <c r="AF1614" s="284"/>
      <c r="AG1614" s="8"/>
      <c r="AI1614" s="131"/>
    </row>
    <row r="1615" spans="1:35" ht="26.4">
      <c r="A1615" s="284"/>
      <c r="B1615" s="284"/>
      <c r="C1615" s="284"/>
      <c r="D1615" s="284"/>
      <c r="E1615" s="284"/>
      <c r="F1615" s="284"/>
      <c r="H1615" s="284"/>
      <c r="I1615" s="284"/>
      <c r="J1615" s="375"/>
      <c r="K1615" s="375"/>
      <c r="L1615" s="375"/>
      <c r="M1615" s="368"/>
      <c r="N1615" s="368"/>
      <c r="O1615" s="370"/>
      <c r="V1615" s="378"/>
      <c r="W1615" s="64" ph="1"/>
      <c r="X1615" s="241"/>
      <c r="Y1615" s="284"/>
      <c r="Z1615" s="207"/>
      <c r="AA1615" s="284"/>
      <c r="AB1615" s="284"/>
      <c r="AC1615" s="284"/>
      <c r="AD1615" s="284"/>
      <c r="AE1615" s="284"/>
      <c r="AF1615" s="284"/>
      <c r="AG1615" s="8"/>
      <c r="AI1615" s="131"/>
    </row>
    <row r="1616" spans="1:35" ht="26.4">
      <c r="A1616" s="284"/>
      <c r="B1616" s="284"/>
      <c r="C1616" s="284"/>
      <c r="D1616" s="284"/>
      <c r="E1616" s="284"/>
      <c r="F1616" s="284"/>
      <c r="G1616" s="284"/>
      <c r="H1616" s="284"/>
      <c r="I1616" s="284"/>
      <c r="J1616" s="375"/>
      <c r="K1616" s="375"/>
      <c r="L1616" s="375"/>
      <c r="M1616" s="368"/>
      <c r="N1616" s="368"/>
      <c r="O1616" s="370"/>
      <c r="V1616" s="378"/>
      <c r="W1616" s="64" ph="1"/>
      <c r="X1616" s="241"/>
      <c r="Y1616" s="284"/>
      <c r="Z1616" s="207"/>
      <c r="AA1616" s="284"/>
      <c r="AB1616" s="284"/>
      <c r="AC1616" s="284"/>
      <c r="AD1616" s="284"/>
      <c r="AE1616" s="284"/>
      <c r="AF1616" s="284"/>
      <c r="AG1616" s="8"/>
      <c r="AI1616" s="131"/>
    </row>
    <row r="1617" spans="1:35" ht="26.4">
      <c r="A1617" s="284"/>
      <c r="B1617" s="284"/>
      <c r="C1617" s="284"/>
      <c r="D1617" s="284"/>
      <c r="E1617" s="284"/>
      <c r="F1617" s="284"/>
      <c r="G1617" s="284"/>
      <c r="H1617" s="284"/>
      <c r="I1617" s="284"/>
      <c r="J1617" s="375"/>
      <c r="K1617" s="375"/>
      <c r="L1617" s="375"/>
      <c r="M1617" s="368"/>
      <c r="N1617" s="368"/>
      <c r="O1617" s="370"/>
      <c r="V1617" s="378"/>
      <c r="W1617" s="64" ph="1"/>
      <c r="X1617" s="241"/>
      <c r="Y1617" s="284"/>
      <c r="Z1617" s="207"/>
      <c r="AA1617" s="284"/>
      <c r="AB1617" s="284"/>
      <c r="AC1617" s="284"/>
      <c r="AD1617" s="284"/>
      <c r="AE1617" s="284"/>
      <c r="AF1617" s="284"/>
      <c r="AG1617" s="8"/>
      <c r="AI1617" s="131"/>
    </row>
    <row r="1618" spans="1:35" ht="26.4">
      <c r="A1618" s="284"/>
      <c r="B1618" s="284"/>
      <c r="C1618" s="284"/>
      <c r="D1618" s="284"/>
      <c r="E1618" s="284"/>
      <c r="F1618" s="284"/>
      <c r="H1618" s="284"/>
      <c r="I1618" s="284"/>
      <c r="J1618" s="375"/>
      <c r="K1618" s="375"/>
      <c r="L1618" s="375"/>
      <c r="M1618" s="368"/>
      <c r="N1618" s="368"/>
      <c r="O1618" s="370"/>
      <c r="V1618" s="378"/>
      <c r="W1618" s="64" ph="1"/>
      <c r="X1618" s="241"/>
      <c r="Y1618" s="284"/>
      <c r="Z1618" s="207"/>
      <c r="AA1618" s="284"/>
      <c r="AB1618" s="284"/>
      <c r="AC1618" s="284"/>
      <c r="AD1618" s="284"/>
      <c r="AE1618" s="284"/>
      <c r="AF1618" s="284"/>
      <c r="AG1618" s="8"/>
      <c r="AI1618" s="131"/>
    </row>
    <row r="1619" spans="1:35" ht="26.4">
      <c r="A1619" s="284"/>
      <c r="B1619" s="284"/>
      <c r="C1619" s="284"/>
      <c r="D1619" s="284"/>
      <c r="E1619" s="284"/>
      <c r="F1619" s="284"/>
      <c r="G1619" s="284"/>
      <c r="H1619" s="284"/>
      <c r="I1619" s="284"/>
      <c r="J1619" s="375"/>
      <c r="K1619" s="375"/>
      <c r="L1619" s="375"/>
      <c r="M1619" s="368"/>
      <c r="N1619" s="368"/>
      <c r="O1619" s="370"/>
      <c r="V1619" s="378"/>
      <c r="W1619" s="64" ph="1"/>
      <c r="X1619" s="241"/>
      <c r="Y1619" s="284"/>
      <c r="Z1619" s="207"/>
      <c r="AA1619" s="284"/>
      <c r="AB1619" s="284"/>
      <c r="AC1619" s="284"/>
      <c r="AD1619" s="284"/>
      <c r="AE1619" s="284"/>
      <c r="AF1619" s="284"/>
      <c r="AG1619" s="8"/>
      <c r="AI1619" s="131"/>
    </row>
    <row r="1620" spans="1:35" ht="26.4">
      <c r="A1620" s="284"/>
      <c r="B1620" s="284"/>
      <c r="C1620" s="284"/>
      <c r="D1620" s="284"/>
      <c r="E1620" s="284"/>
      <c r="F1620" s="284"/>
      <c r="H1620" s="284"/>
      <c r="I1620" s="284"/>
      <c r="J1620" s="375"/>
      <c r="K1620" s="375"/>
      <c r="L1620" s="375"/>
      <c r="M1620" s="368"/>
      <c r="N1620" s="368"/>
      <c r="O1620" s="370"/>
      <c r="V1620" s="378"/>
      <c r="W1620" s="64" ph="1"/>
      <c r="X1620" s="241"/>
      <c r="Y1620" s="284"/>
      <c r="Z1620" s="207"/>
      <c r="AA1620" s="284"/>
      <c r="AB1620" s="284"/>
      <c r="AC1620" s="284"/>
      <c r="AD1620" s="284"/>
      <c r="AE1620" s="284"/>
      <c r="AF1620" s="284"/>
      <c r="AG1620" s="8"/>
      <c r="AI1620" s="131"/>
    </row>
    <row r="1621" spans="1:35" ht="26.4">
      <c r="A1621" s="284"/>
      <c r="B1621" s="284"/>
      <c r="C1621" s="284"/>
      <c r="D1621" s="284"/>
      <c r="E1621" s="284"/>
      <c r="F1621" s="284"/>
      <c r="G1621" s="284"/>
      <c r="H1621" s="284"/>
      <c r="I1621" s="284"/>
      <c r="J1621" s="375"/>
      <c r="K1621" s="375"/>
      <c r="L1621" s="375"/>
      <c r="M1621" s="368"/>
      <c r="N1621" s="368"/>
      <c r="O1621" s="370"/>
      <c r="V1621" s="378"/>
      <c r="W1621" s="64" ph="1"/>
      <c r="X1621" s="241"/>
      <c r="Y1621" s="284"/>
      <c r="Z1621" s="207"/>
      <c r="AA1621" s="284"/>
      <c r="AB1621" s="284"/>
      <c r="AC1621" s="284"/>
      <c r="AD1621" s="284"/>
      <c r="AE1621" s="284"/>
      <c r="AF1621" s="284"/>
      <c r="AG1621" s="8"/>
      <c r="AI1621" s="131"/>
    </row>
    <row r="1622" spans="1:35" ht="26.4">
      <c r="A1622" s="284"/>
      <c r="G1622" s="284"/>
      <c r="O1622" s="370"/>
      <c r="W1622" s="64" ph="1"/>
      <c r="Y1622" s="284"/>
      <c r="Z1622" s="207"/>
      <c r="AI1622" s="131"/>
    </row>
    <row r="1623" spans="1:35" ht="26.4">
      <c r="A1623" s="284"/>
      <c r="G1623" s="284"/>
      <c r="O1623" s="370"/>
      <c r="W1623" s="64" ph="1"/>
      <c r="AI1623" s="131"/>
    </row>
    <row r="1624" spans="1:35">
      <c r="A1624" s="284"/>
      <c r="G1624" s="284"/>
      <c r="O1624" s="370"/>
      <c r="AI1624" s="131"/>
    </row>
    <row r="1625" spans="1:35" ht="26.4">
      <c r="A1625" s="284"/>
      <c r="G1625" s="284"/>
      <c r="O1625" s="370"/>
      <c r="W1625" s="64" ph="1"/>
      <c r="AI1625" s="131"/>
    </row>
    <row r="1626" spans="1:35" ht="26.4">
      <c r="A1626" s="284"/>
      <c r="G1626" s="284"/>
      <c r="O1626" s="370"/>
      <c r="W1626" s="64" ph="1"/>
      <c r="AI1626" s="131"/>
    </row>
    <row r="1627" spans="1:35" ht="26.4">
      <c r="A1627" s="284"/>
      <c r="G1627" s="284"/>
      <c r="O1627" s="370"/>
      <c r="W1627" s="64" ph="1"/>
      <c r="AI1627" s="131"/>
    </row>
    <row r="1628" spans="1:35" ht="26.4">
      <c r="A1628" s="284"/>
      <c r="G1628" s="284"/>
      <c r="O1628" s="370"/>
      <c r="W1628" s="64" ph="1"/>
      <c r="AI1628" s="131"/>
    </row>
    <row r="1629" spans="1:35" ht="26.4">
      <c r="A1629" s="284"/>
      <c r="O1629" s="370"/>
      <c r="W1629" s="64" ph="1"/>
      <c r="AI1629" s="131"/>
    </row>
    <row r="1630" spans="1:35" ht="26.4">
      <c r="A1630" s="284"/>
      <c r="B1630" s="284"/>
      <c r="C1630" s="284"/>
      <c r="D1630" s="284"/>
      <c r="E1630" s="284"/>
      <c r="F1630" s="284"/>
      <c r="G1630" s="284"/>
      <c r="H1630" s="284"/>
      <c r="I1630" s="284"/>
      <c r="J1630" s="375"/>
      <c r="K1630" s="375"/>
      <c r="L1630" s="375"/>
      <c r="M1630" s="368"/>
      <c r="N1630" s="368"/>
      <c r="O1630" s="370"/>
      <c r="V1630" s="378"/>
      <c r="W1630" s="64" ph="1"/>
      <c r="X1630" s="241"/>
      <c r="Y1630" s="284"/>
      <c r="Z1630" s="207"/>
      <c r="AA1630" s="284"/>
      <c r="AB1630" s="284"/>
      <c r="AC1630" s="284"/>
      <c r="AD1630" s="284"/>
      <c r="AE1630" s="284"/>
      <c r="AF1630" s="284"/>
      <c r="AG1630" s="284"/>
      <c r="AI1630" s="131"/>
    </row>
    <row r="1631" spans="1:35" ht="26.4">
      <c r="A1631" s="284"/>
      <c r="B1631" s="284"/>
      <c r="C1631" s="284"/>
      <c r="D1631" s="284"/>
      <c r="E1631" s="284"/>
      <c r="F1631" s="284"/>
      <c r="G1631" s="284"/>
      <c r="H1631" s="284"/>
      <c r="I1631" s="284"/>
      <c r="J1631" s="375"/>
      <c r="K1631" s="375"/>
      <c r="L1631" s="375"/>
      <c r="M1631" s="368"/>
      <c r="N1631" s="368"/>
      <c r="O1631" s="370"/>
      <c r="V1631" s="378"/>
      <c r="W1631" s="64" ph="1"/>
      <c r="X1631" s="241"/>
      <c r="Y1631" s="284"/>
      <c r="Z1631" s="207"/>
      <c r="AA1631" s="284"/>
      <c r="AB1631" s="284"/>
      <c r="AC1631" s="284"/>
      <c r="AD1631" s="284"/>
      <c r="AE1631" s="284"/>
      <c r="AF1631" s="284"/>
      <c r="AG1631" s="284"/>
      <c r="AI1631" s="284"/>
    </row>
    <row r="1632" spans="1:35" ht="26.4">
      <c r="A1632" s="284"/>
      <c r="B1632" s="284"/>
      <c r="C1632" s="284"/>
      <c r="D1632" s="284"/>
      <c r="E1632" s="284"/>
      <c r="F1632" s="284"/>
      <c r="G1632" s="284"/>
      <c r="H1632" s="284"/>
      <c r="I1632" s="284"/>
      <c r="J1632" s="375"/>
      <c r="K1632" s="375"/>
      <c r="L1632" s="375"/>
      <c r="M1632" s="368"/>
      <c r="N1632" s="368"/>
      <c r="O1632" s="370"/>
      <c r="V1632" s="378"/>
      <c r="W1632" s="64" ph="1"/>
      <c r="X1632" s="241"/>
      <c r="Y1632" s="284"/>
      <c r="Z1632" s="207"/>
      <c r="AA1632" s="284"/>
      <c r="AB1632" s="284"/>
      <c r="AC1632" s="284"/>
      <c r="AD1632" s="284"/>
      <c r="AE1632" s="284"/>
      <c r="AF1632" s="284"/>
      <c r="AG1632" s="284"/>
      <c r="AI1632" s="284"/>
    </row>
    <row r="1633" spans="1:35">
      <c r="O1633" s="370"/>
      <c r="AI1633" s="131"/>
    </row>
    <row r="1634" spans="1:35" ht="26.4">
      <c r="A1634" s="284"/>
      <c r="B1634" s="284"/>
      <c r="C1634" s="284"/>
      <c r="D1634" s="284"/>
      <c r="E1634" s="284"/>
      <c r="F1634" s="284"/>
      <c r="G1634" s="284"/>
      <c r="H1634" s="284"/>
      <c r="I1634" s="284"/>
      <c r="J1634" s="375"/>
      <c r="K1634" s="375"/>
      <c r="L1634" s="375"/>
      <c r="M1634" s="368"/>
      <c r="N1634" s="368"/>
      <c r="O1634" s="370"/>
      <c r="V1634" s="378"/>
      <c r="W1634" s="64" ph="1"/>
      <c r="X1634" s="241"/>
      <c r="Y1634" s="284"/>
      <c r="Z1634" s="207"/>
      <c r="AA1634" s="284"/>
      <c r="AB1634" s="284"/>
      <c r="AC1634" s="284"/>
      <c r="AD1634" s="284"/>
      <c r="AE1634" s="284"/>
      <c r="AF1634" s="284"/>
      <c r="AG1634" s="284"/>
      <c r="AI1634" s="131"/>
    </row>
    <row r="1635" spans="1:35" ht="26.4">
      <c r="A1635" s="284"/>
      <c r="B1635" s="284"/>
      <c r="C1635" s="284"/>
      <c r="D1635" s="284"/>
      <c r="E1635" s="284"/>
      <c r="F1635" s="284"/>
      <c r="G1635" s="284"/>
      <c r="H1635" s="284"/>
      <c r="I1635" s="284"/>
      <c r="J1635" s="375"/>
      <c r="K1635" s="375"/>
      <c r="L1635" s="375"/>
      <c r="M1635" s="368"/>
      <c r="N1635" s="368"/>
      <c r="O1635" s="370"/>
      <c r="V1635" s="378"/>
      <c r="W1635" s="64" ph="1"/>
      <c r="X1635" s="241"/>
      <c r="Y1635" s="284"/>
      <c r="Z1635" s="207"/>
      <c r="AA1635" s="284"/>
      <c r="AB1635" s="284"/>
      <c r="AC1635" s="284"/>
      <c r="AD1635" s="284"/>
      <c r="AE1635" s="284"/>
      <c r="AF1635" s="284"/>
      <c r="AG1635" s="284"/>
      <c r="AI1635" s="131"/>
    </row>
    <row r="1636" spans="1:35" ht="26.4">
      <c r="A1636" s="284"/>
      <c r="B1636" s="284"/>
      <c r="C1636" s="284"/>
      <c r="D1636" s="284"/>
      <c r="E1636" s="284"/>
      <c r="F1636" s="284"/>
      <c r="G1636" s="284"/>
      <c r="H1636" s="284"/>
      <c r="I1636" s="284"/>
      <c r="J1636" s="375"/>
      <c r="K1636" s="375"/>
      <c r="L1636" s="375"/>
      <c r="M1636" s="368"/>
      <c r="N1636" s="368"/>
      <c r="O1636" s="370"/>
      <c r="V1636" s="378"/>
      <c r="W1636" s="64" ph="1"/>
      <c r="X1636" s="241"/>
      <c r="Y1636" s="284"/>
      <c r="Z1636" s="207"/>
      <c r="AA1636" s="284"/>
      <c r="AB1636" s="284"/>
      <c r="AC1636" s="284"/>
      <c r="AD1636" s="284"/>
      <c r="AE1636" s="284"/>
      <c r="AF1636" s="284"/>
      <c r="AG1636" s="284"/>
      <c r="AI1636" s="131"/>
    </row>
    <row r="1637" spans="1:35" ht="26.4">
      <c r="A1637" s="284"/>
      <c r="B1637" s="284"/>
      <c r="C1637" s="284"/>
      <c r="D1637" s="284"/>
      <c r="E1637" s="284"/>
      <c r="F1637" s="284"/>
      <c r="G1637" s="284"/>
      <c r="H1637" s="284"/>
      <c r="I1637" s="284"/>
      <c r="J1637" s="375"/>
      <c r="K1637" s="375"/>
      <c r="L1637" s="375"/>
      <c r="M1637" s="368"/>
      <c r="N1637" s="368"/>
      <c r="O1637" s="370"/>
      <c r="V1637" s="378"/>
      <c r="W1637" s="64" ph="1"/>
      <c r="X1637" s="241"/>
      <c r="Y1637" s="284"/>
      <c r="Z1637" s="207"/>
      <c r="AA1637" s="284"/>
      <c r="AB1637" s="284"/>
      <c r="AC1637" s="284"/>
      <c r="AD1637" s="284"/>
      <c r="AE1637" s="284"/>
      <c r="AF1637" s="284"/>
      <c r="AG1637" s="284"/>
      <c r="AI1637" s="131"/>
    </row>
    <row r="1638" spans="1:35">
      <c r="O1638" s="370"/>
      <c r="AI1638" s="131"/>
    </row>
    <row r="1639" spans="1:35">
      <c r="O1639" s="370"/>
      <c r="AI1639" s="131"/>
    </row>
    <row r="1640" spans="1:35">
      <c r="O1640" s="370"/>
      <c r="AI1640" s="131"/>
    </row>
    <row r="1641" spans="1:35">
      <c r="O1641" s="370"/>
      <c r="AI1641" s="284"/>
    </row>
    <row r="1642" spans="1:35">
      <c r="O1642" s="370"/>
      <c r="AI1642" s="131"/>
    </row>
    <row r="1643" spans="1:35">
      <c r="O1643" s="370"/>
      <c r="AI1643" s="131"/>
    </row>
    <row r="1644" spans="1:35">
      <c r="O1644" s="370"/>
      <c r="AI1644" s="131"/>
    </row>
    <row r="1645" spans="1:35">
      <c r="O1645" s="370"/>
      <c r="AI1645" s="131"/>
    </row>
    <row r="1646" spans="1:35">
      <c r="O1646" s="370"/>
      <c r="AI1646" s="131"/>
    </row>
    <row r="1647" spans="1:35">
      <c r="O1647" s="370"/>
      <c r="AI1647" s="131"/>
    </row>
    <row r="1648" spans="1:35">
      <c r="O1648" s="370"/>
      <c r="AI1648" s="131"/>
    </row>
    <row r="1649" spans="15:35">
      <c r="O1649" s="370"/>
      <c r="AI1649" s="131"/>
    </row>
    <row r="1650" spans="15:35">
      <c r="O1650" s="370"/>
      <c r="AI1650" s="131"/>
    </row>
    <row r="1651" spans="15:35">
      <c r="O1651" s="370"/>
      <c r="AI1651" s="284"/>
    </row>
    <row r="1652" spans="15:35">
      <c r="O1652" s="370"/>
      <c r="AI1652" s="131"/>
    </row>
    <row r="1653" spans="15:35">
      <c r="O1653" s="370"/>
      <c r="AI1653" s="131"/>
    </row>
    <row r="1654" spans="15:35">
      <c r="O1654" s="370"/>
      <c r="AI1654" s="131"/>
    </row>
    <row r="1655" spans="15:35">
      <c r="O1655" s="370"/>
      <c r="AI1655" s="284"/>
    </row>
    <row r="1656" spans="15:35">
      <c r="O1656" s="370"/>
      <c r="AI1656" s="131"/>
    </row>
    <row r="1657" spans="15:35">
      <c r="O1657" s="370"/>
      <c r="AI1657" s="131"/>
    </row>
    <row r="1658" spans="15:35">
      <c r="O1658" s="370"/>
      <c r="AI1658" s="131"/>
    </row>
    <row r="1659" spans="15:35">
      <c r="O1659" s="370"/>
      <c r="AI1659" s="131"/>
    </row>
    <row r="1660" spans="15:35">
      <c r="O1660" s="370"/>
      <c r="AI1660" s="131"/>
    </row>
    <row r="1661" spans="15:35">
      <c r="O1661" s="370"/>
      <c r="AI1661" s="131"/>
    </row>
    <row r="1662" spans="15:35">
      <c r="O1662" s="370"/>
      <c r="AI1662" s="131"/>
    </row>
    <row r="1663" spans="15:35">
      <c r="O1663" s="370"/>
      <c r="AI1663" s="131"/>
    </row>
    <row r="1664" spans="15:35">
      <c r="O1664" s="370"/>
      <c r="AI1664" s="131"/>
    </row>
    <row r="1665" spans="15:35">
      <c r="O1665" s="370"/>
      <c r="AI1665" s="131"/>
    </row>
    <row r="1666" spans="15:35">
      <c r="O1666" s="370"/>
      <c r="AI1666" s="131"/>
    </row>
    <row r="1667" spans="15:35">
      <c r="O1667" s="370"/>
      <c r="AI1667" s="131"/>
    </row>
    <row r="1668" spans="15:35">
      <c r="O1668" s="370"/>
      <c r="AI1668" s="131"/>
    </row>
    <row r="1669" spans="15:35">
      <c r="O1669" s="370"/>
      <c r="AI1669" s="131"/>
    </row>
    <row r="1670" spans="15:35">
      <c r="O1670" s="370"/>
      <c r="AI1670" s="131"/>
    </row>
    <row r="1671" spans="15:35">
      <c r="O1671" s="370"/>
      <c r="AI1671" s="131"/>
    </row>
    <row r="1672" spans="15:35">
      <c r="O1672" s="370"/>
      <c r="AI1672" s="131"/>
    </row>
    <row r="1673" spans="15:35">
      <c r="O1673" s="370"/>
      <c r="AI1673" s="131"/>
    </row>
    <row r="1674" spans="15:35">
      <c r="O1674" s="370"/>
      <c r="AI1674" s="131"/>
    </row>
    <row r="1675" spans="15:35">
      <c r="O1675" s="370"/>
      <c r="AI1675" s="131"/>
    </row>
    <row r="1676" spans="15:35">
      <c r="O1676" s="370"/>
      <c r="AI1676" s="131"/>
    </row>
    <row r="1677" spans="15:35">
      <c r="O1677" s="370"/>
    </row>
    <row r="1678" spans="15:35">
      <c r="O1678" s="370"/>
      <c r="AI1678" s="131"/>
    </row>
    <row r="1679" spans="15:35">
      <c r="O1679" s="370"/>
      <c r="AI1679" s="131"/>
    </row>
    <row r="1680" spans="15:35">
      <c r="O1680" s="370"/>
      <c r="AI1680" s="131"/>
    </row>
    <row r="1681" spans="15:35">
      <c r="O1681" s="370"/>
      <c r="T1681" s="349"/>
      <c r="AI1681" s="131"/>
    </row>
    <row r="1682" spans="15:35">
      <c r="O1682" s="370"/>
      <c r="AI1682" s="131"/>
    </row>
    <row r="1683" spans="15:35">
      <c r="O1683" s="370"/>
      <c r="AI1683" s="131"/>
    </row>
    <row r="1684" spans="15:35">
      <c r="O1684" s="370"/>
      <c r="AI1684" s="131"/>
    </row>
    <row r="1685" spans="15:35">
      <c r="O1685" s="370"/>
      <c r="AI1685" s="131"/>
    </row>
    <row r="1686" spans="15:35">
      <c r="O1686" s="370"/>
      <c r="AI1686" s="131"/>
    </row>
    <row r="1687" spans="15:35">
      <c r="O1687" s="370"/>
      <c r="AI1687" s="131"/>
    </row>
    <row r="1688" spans="15:35">
      <c r="O1688" s="370"/>
      <c r="AI1688" s="131"/>
    </row>
    <row r="1689" spans="15:35">
      <c r="O1689" s="370"/>
      <c r="AI1689" s="131"/>
    </row>
    <row r="1690" spans="15:35">
      <c r="O1690" s="370"/>
      <c r="AI1690" s="131"/>
    </row>
    <row r="1691" spans="15:35">
      <c r="O1691" s="370"/>
      <c r="T1691" s="349"/>
      <c r="AI1691" s="131"/>
    </row>
    <row r="1692" spans="15:35">
      <c r="O1692" s="370"/>
      <c r="AI1692" s="131"/>
    </row>
    <row r="1693" spans="15:35">
      <c r="O1693" s="370"/>
      <c r="AI1693" s="131"/>
    </row>
    <row r="1694" spans="15:35">
      <c r="O1694" s="370"/>
      <c r="AI1694" s="131"/>
    </row>
    <row r="1695" spans="15:35">
      <c r="O1695" s="370"/>
      <c r="T1695" s="349"/>
      <c r="AI1695" s="131"/>
    </row>
    <row r="1696" spans="15:35">
      <c r="O1696" s="370"/>
      <c r="AI1696" s="131"/>
    </row>
    <row r="1697" spans="15:35">
      <c r="O1697" s="370"/>
      <c r="AI1697" s="131"/>
    </row>
    <row r="1698" spans="15:35">
      <c r="O1698" s="370"/>
      <c r="AI1698" s="131"/>
    </row>
    <row r="1699" spans="15:35">
      <c r="O1699" s="370"/>
      <c r="AI1699" s="131"/>
    </row>
    <row r="1700" spans="15:35">
      <c r="O1700" s="370"/>
      <c r="T1700" s="349"/>
      <c r="AI1700" s="131"/>
    </row>
    <row r="1701" spans="15:35">
      <c r="O1701" s="370"/>
      <c r="T1701" s="349"/>
      <c r="AI1701" s="131"/>
    </row>
    <row r="1702" spans="15:35">
      <c r="O1702" s="370"/>
      <c r="T1702" s="349"/>
      <c r="AI1702" s="131"/>
    </row>
    <row r="1703" spans="15:35">
      <c r="O1703" s="370"/>
      <c r="AI1703" s="131"/>
    </row>
    <row r="1704" spans="15:35">
      <c r="O1704" s="370"/>
      <c r="T1704" s="349"/>
      <c r="AI1704" s="131"/>
    </row>
    <row r="1705" spans="15:35">
      <c r="O1705" s="370"/>
      <c r="T1705" s="349"/>
      <c r="AI1705" s="131"/>
    </row>
    <row r="1706" spans="15:35">
      <c r="O1706" s="370"/>
      <c r="AI1706" s="131"/>
    </row>
    <row r="1707" spans="15:35">
      <c r="O1707" s="370"/>
      <c r="T1707" s="349"/>
      <c r="AI1707" s="131"/>
    </row>
    <row r="1708" spans="15:35">
      <c r="O1708" s="370"/>
      <c r="AI1708" s="131"/>
    </row>
    <row r="1709" spans="15:35">
      <c r="O1709" s="370"/>
      <c r="T1709" s="349"/>
      <c r="AI1709" s="131"/>
    </row>
    <row r="1710" spans="15:35">
      <c r="O1710" s="370"/>
      <c r="T1710" s="349"/>
      <c r="AI1710" s="131"/>
    </row>
    <row r="1711" spans="15:35">
      <c r="O1711" s="370"/>
      <c r="T1711" s="349"/>
      <c r="AI1711" s="131"/>
    </row>
    <row r="1712" spans="15:35">
      <c r="O1712" s="370"/>
      <c r="T1712" s="349"/>
      <c r="AI1712" s="131"/>
    </row>
    <row r="1713" spans="15:35">
      <c r="O1713" s="370"/>
      <c r="T1713" s="349"/>
      <c r="AI1713" s="131"/>
    </row>
    <row r="1714" spans="15:35">
      <c r="O1714" s="370"/>
      <c r="T1714" s="349"/>
      <c r="AI1714" s="131"/>
    </row>
    <row r="1715" spans="15:35">
      <c r="O1715" s="370"/>
      <c r="T1715" s="349"/>
      <c r="AI1715" s="131"/>
    </row>
    <row r="1716" spans="15:35">
      <c r="O1716" s="370"/>
      <c r="T1716" s="349"/>
      <c r="AI1716" s="131"/>
    </row>
    <row r="1717" spans="15:35">
      <c r="O1717" s="370"/>
      <c r="T1717" s="349"/>
      <c r="AI1717" s="131"/>
    </row>
    <row r="1718" spans="15:35">
      <c r="O1718" s="370"/>
      <c r="T1718" s="349"/>
      <c r="AI1718" s="131"/>
    </row>
    <row r="1719" spans="15:35">
      <c r="O1719" s="370"/>
      <c r="AI1719" s="131"/>
    </row>
    <row r="1720" spans="15:35">
      <c r="O1720" s="370"/>
      <c r="T1720" s="349"/>
      <c r="AI1720" s="131"/>
    </row>
    <row r="1721" spans="15:35">
      <c r="O1721" s="370"/>
      <c r="T1721" s="349"/>
      <c r="AI1721" s="131"/>
    </row>
    <row r="1722" spans="15:35">
      <c r="O1722" s="370"/>
      <c r="T1722" s="349"/>
      <c r="AI1722" s="284"/>
    </row>
    <row r="1723" spans="15:35">
      <c r="O1723" s="370"/>
      <c r="T1723" s="349"/>
      <c r="AI1723" s="131"/>
    </row>
    <row r="1724" spans="15:35">
      <c r="O1724" s="370"/>
      <c r="T1724" s="349"/>
      <c r="AI1724" s="131"/>
    </row>
    <row r="1725" spans="15:35">
      <c r="O1725" s="370"/>
      <c r="T1725" s="349"/>
      <c r="AI1725" s="131"/>
    </row>
    <row r="1726" spans="15:35">
      <c r="O1726" s="370"/>
      <c r="T1726" s="349"/>
      <c r="AI1726" s="131"/>
    </row>
    <row r="1727" spans="15:35">
      <c r="O1727" s="370"/>
      <c r="T1727" s="349"/>
      <c r="AI1727" s="131"/>
    </row>
    <row r="1728" spans="15:35">
      <c r="O1728" s="370"/>
      <c r="AI1728" s="131"/>
    </row>
    <row r="1729" spans="15:35">
      <c r="O1729" s="370"/>
      <c r="T1729" s="349"/>
      <c r="AI1729" s="131"/>
    </row>
    <row r="1730" spans="15:35">
      <c r="O1730" s="370"/>
      <c r="T1730" s="349"/>
      <c r="AI1730" s="131"/>
    </row>
    <row r="1731" spans="15:35">
      <c r="O1731" s="370"/>
      <c r="T1731" s="349"/>
      <c r="AI1731" s="131"/>
    </row>
    <row r="1732" spans="15:35">
      <c r="O1732" s="370"/>
      <c r="T1732" s="349"/>
      <c r="AI1732" s="131"/>
    </row>
    <row r="1733" spans="15:35">
      <c r="O1733" s="370"/>
      <c r="T1733" s="349"/>
      <c r="AI1733" s="131"/>
    </row>
    <row r="1734" spans="15:35">
      <c r="O1734" s="370"/>
      <c r="T1734" s="349"/>
      <c r="AI1734" s="131"/>
    </row>
    <row r="1735" spans="15:35">
      <c r="O1735" s="370"/>
      <c r="T1735" s="349"/>
      <c r="AI1735" s="131"/>
    </row>
    <row r="1736" spans="15:35">
      <c r="O1736" s="370"/>
      <c r="T1736" s="349"/>
      <c r="AI1736" s="131"/>
    </row>
    <row r="1737" spans="15:35">
      <c r="O1737" s="370"/>
      <c r="T1737" s="349"/>
      <c r="AI1737" s="131"/>
    </row>
    <row r="1738" spans="15:35">
      <c r="O1738" s="370"/>
      <c r="T1738" s="349"/>
      <c r="AI1738" s="131"/>
    </row>
    <row r="1739" spans="15:35">
      <c r="O1739" s="370"/>
      <c r="T1739" s="349"/>
      <c r="AI1739" s="131"/>
    </row>
    <row r="1740" spans="15:35">
      <c r="O1740" s="370"/>
      <c r="AI1740" s="131"/>
    </row>
    <row r="1741" spans="15:35">
      <c r="O1741" s="370"/>
      <c r="T1741" s="349"/>
      <c r="AI1741" s="131"/>
    </row>
    <row r="1742" spans="15:35">
      <c r="O1742" s="370"/>
      <c r="T1742" s="349"/>
      <c r="AI1742" s="131"/>
    </row>
    <row r="1743" spans="15:35">
      <c r="O1743" s="370"/>
      <c r="T1743" s="349"/>
      <c r="AI1743" s="131"/>
    </row>
    <row r="1744" spans="15:35">
      <c r="O1744" s="370"/>
      <c r="T1744" s="349"/>
      <c r="AI1744" s="131"/>
    </row>
    <row r="1745" spans="15:35">
      <c r="O1745" s="370"/>
      <c r="T1745" s="349"/>
      <c r="AI1745" s="131"/>
    </row>
    <row r="1746" spans="15:35">
      <c r="O1746" s="370"/>
      <c r="T1746" s="349"/>
      <c r="AI1746" s="131"/>
    </row>
    <row r="1747" spans="15:35">
      <c r="O1747" s="370"/>
      <c r="T1747" s="349"/>
      <c r="AI1747" s="131"/>
    </row>
    <row r="1748" spans="15:35">
      <c r="O1748" s="370"/>
      <c r="T1748" s="349"/>
      <c r="AI1748" s="131"/>
    </row>
    <row r="1749" spans="15:35">
      <c r="O1749" s="370"/>
      <c r="AI1749" s="131"/>
    </row>
    <row r="1750" spans="15:35">
      <c r="O1750" s="370"/>
      <c r="T1750" s="349"/>
      <c r="AI1750" s="131"/>
    </row>
    <row r="1751" spans="15:35">
      <c r="O1751" s="370"/>
      <c r="T1751" s="349"/>
      <c r="AI1751" s="131"/>
    </row>
    <row r="1752" spans="15:35">
      <c r="O1752" s="370"/>
      <c r="T1752" s="349"/>
      <c r="AI1752" s="131"/>
    </row>
    <row r="1753" spans="15:35">
      <c r="O1753" s="370"/>
      <c r="T1753" s="349"/>
      <c r="AI1753" s="131"/>
    </row>
    <row r="1754" spans="15:35">
      <c r="O1754" s="370"/>
      <c r="T1754" s="349"/>
      <c r="AI1754" s="131"/>
    </row>
    <row r="1755" spans="15:35">
      <c r="O1755" s="370"/>
      <c r="T1755" s="349"/>
      <c r="AI1755" s="131"/>
    </row>
    <row r="1756" spans="15:35">
      <c r="O1756" s="370"/>
      <c r="T1756" s="349"/>
      <c r="AI1756" s="131"/>
    </row>
    <row r="1757" spans="15:35">
      <c r="O1757" s="370"/>
      <c r="T1757" s="349"/>
      <c r="AI1757" s="131"/>
    </row>
    <row r="1758" spans="15:35">
      <c r="O1758" s="370"/>
      <c r="T1758" s="349"/>
      <c r="AI1758" s="131"/>
    </row>
    <row r="1759" spans="15:35">
      <c r="O1759" s="370"/>
      <c r="T1759" s="349"/>
      <c r="AI1759" s="131"/>
    </row>
    <row r="1760" spans="15:35">
      <c r="O1760" s="370"/>
      <c r="T1760" s="349"/>
      <c r="AI1760" s="131"/>
    </row>
    <row r="1761" spans="1:35">
      <c r="O1761" s="370"/>
      <c r="T1761" s="349"/>
      <c r="AI1761" s="131"/>
    </row>
    <row r="1762" spans="1:35">
      <c r="O1762" s="370"/>
      <c r="T1762" s="349"/>
      <c r="AI1762" s="131"/>
    </row>
    <row r="1763" spans="1:35" ht="26.4">
      <c r="A1763" s="284"/>
      <c r="B1763" s="284"/>
      <c r="C1763" s="284"/>
      <c r="D1763" s="284"/>
      <c r="E1763" s="284"/>
      <c r="F1763" s="284"/>
      <c r="G1763" s="284"/>
      <c r="H1763" s="284"/>
      <c r="I1763" s="284"/>
      <c r="J1763" s="375"/>
      <c r="K1763" s="375"/>
      <c r="L1763" s="375"/>
      <c r="M1763" s="368"/>
      <c r="N1763" s="368"/>
      <c r="O1763" s="370"/>
      <c r="T1763" s="349"/>
      <c r="V1763" s="378"/>
      <c r="W1763" s="64" ph="1"/>
      <c r="X1763" s="241"/>
      <c r="Y1763" s="284"/>
      <c r="Z1763" s="207"/>
      <c r="AA1763" s="284"/>
      <c r="AB1763" s="284"/>
      <c r="AC1763" s="284"/>
      <c r="AD1763" s="284"/>
      <c r="AE1763" s="284"/>
      <c r="AF1763" s="284"/>
      <c r="AG1763" s="284"/>
      <c r="AI1763" s="131"/>
    </row>
    <row r="1764" spans="1:35">
      <c r="O1764" s="370"/>
      <c r="T1764" s="349"/>
      <c r="AI1764" s="131"/>
    </row>
    <row r="1765" spans="1:35">
      <c r="O1765" s="370"/>
      <c r="T1765" s="349"/>
      <c r="AI1765" s="284"/>
    </row>
    <row r="1766" spans="1:35">
      <c r="O1766" s="370"/>
      <c r="T1766" s="349"/>
      <c r="AI1766" s="284"/>
    </row>
    <row r="1767" spans="1:35">
      <c r="O1767" s="370"/>
      <c r="T1767" s="349"/>
      <c r="AI1767" s="131"/>
    </row>
    <row r="1768" spans="1:35">
      <c r="O1768" s="370"/>
      <c r="T1768" s="349"/>
      <c r="AI1768" s="131"/>
    </row>
    <row r="1769" spans="1:35">
      <c r="O1769" s="370"/>
      <c r="T1769" s="349"/>
      <c r="AI1769" s="131"/>
    </row>
    <row r="1770" spans="1:35">
      <c r="O1770" s="370"/>
      <c r="T1770" s="349"/>
      <c r="AI1770" s="131"/>
    </row>
    <row r="1771" spans="1:35">
      <c r="O1771" s="370"/>
      <c r="T1771" s="349"/>
      <c r="AI1771" s="131"/>
    </row>
    <row r="1772" spans="1:35">
      <c r="O1772" s="370"/>
      <c r="T1772" s="349"/>
      <c r="AI1772" s="131"/>
    </row>
    <row r="1773" spans="1:35" ht="26.4">
      <c r="A1773" s="284"/>
      <c r="B1773" s="284"/>
      <c r="C1773" s="284"/>
      <c r="D1773" s="284"/>
      <c r="E1773" s="284"/>
      <c r="F1773" s="284"/>
      <c r="G1773" s="284"/>
      <c r="H1773" s="284"/>
      <c r="I1773" s="284"/>
      <c r="J1773" s="375"/>
      <c r="K1773" s="375"/>
      <c r="L1773" s="375"/>
      <c r="M1773" s="368"/>
      <c r="N1773" s="368"/>
      <c r="O1773" s="370"/>
      <c r="T1773" s="349"/>
      <c r="V1773" s="378"/>
      <c r="W1773" s="64" ph="1"/>
      <c r="X1773" s="241"/>
      <c r="Y1773" s="284"/>
      <c r="Z1773" s="207"/>
      <c r="AA1773" s="284"/>
      <c r="AB1773" s="284"/>
      <c r="AC1773" s="284"/>
      <c r="AD1773" s="284"/>
      <c r="AE1773" s="284"/>
      <c r="AF1773" s="284"/>
      <c r="AG1773" s="284"/>
      <c r="AI1773" s="131"/>
    </row>
    <row r="1774" spans="1:35">
      <c r="O1774" s="370"/>
      <c r="T1774" s="349"/>
      <c r="AI1774" s="131"/>
    </row>
    <row r="1775" spans="1:35">
      <c r="O1775" s="370"/>
      <c r="T1775" s="349"/>
      <c r="AI1775" s="131"/>
    </row>
    <row r="1776" spans="1:35">
      <c r="O1776" s="370"/>
      <c r="T1776" s="349"/>
      <c r="AI1776" s="131"/>
    </row>
    <row r="1777" spans="1:35" ht="26.4">
      <c r="A1777" s="284"/>
      <c r="B1777" s="284"/>
      <c r="C1777" s="284"/>
      <c r="D1777" s="284"/>
      <c r="E1777" s="284"/>
      <c r="F1777" s="284"/>
      <c r="G1777" s="284"/>
      <c r="H1777" s="284"/>
      <c r="I1777" s="284"/>
      <c r="J1777" s="375"/>
      <c r="K1777" s="375"/>
      <c r="L1777" s="375"/>
      <c r="M1777" s="368"/>
      <c r="N1777" s="368"/>
      <c r="O1777" s="370"/>
      <c r="T1777" s="349"/>
      <c r="V1777" s="378"/>
      <c r="W1777" s="64" ph="1"/>
      <c r="X1777" s="241"/>
      <c r="Y1777" s="284"/>
      <c r="Z1777" s="207"/>
      <c r="AA1777" s="284"/>
      <c r="AB1777" s="284"/>
      <c r="AC1777" s="284"/>
      <c r="AD1777" s="284"/>
      <c r="AE1777" s="284"/>
      <c r="AF1777" s="284"/>
      <c r="AG1777" s="284"/>
      <c r="AI1777" s="131"/>
    </row>
    <row r="1778" spans="1:35">
      <c r="O1778" s="370"/>
      <c r="T1778" s="349"/>
      <c r="AI1778" s="131"/>
    </row>
    <row r="1779" spans="1:35">
      <c r="O1779" s="370"/>
      <c r="T1779" s="349"/>
      <c r="AI1779" s="284"/>
    </row>
    <row r="1780" spans="1:35">
      <c r="O1780" s="370"/>
      <c r="T1780" s="349"/>
      <c r="AI1780" s="131"/>
    </row>
    <row r="1781" spans="1:35">
      <c r="O1781" s="370"/>
      <c r="T1781" s="349"/>
      <c r="AI1781" s="131"/>
    </row>
    <row r="1782" spans="1:35" ht="26.4">
      <c r="A1782" s="284"/>
      <c r="B1782" s="284"/>
      <c r="C1782" s="284"/>
      <c r="D1782" s="284"/>
      <c r="E1782" s="284"/>
      <c r="F1782" s="284"/>
      <c r="G1782" s="284"/>
      <c r="H1782" s="284"/>
      <c r="I1782" s="284"/>
      <c r="J1782" s="375"/>
      <c r="K1782" s="375"/>
      <c r="L1782" s="375"/>
      <c r="M1782" s="368"/>
      <c r="N1782" s="368"/>
      <c r="O1782" s="370"/>
      <c r="T1782" s="349"/>
      <c r="V1782" s="378"/>
      <c r="W1782" s="64" ph="1"/>
      <c r="X1782" s="241"/>
      <c r="Y1782" s="284"/>
      <c r="Z1782" s="207"/>
      <c r="AA1782" s="284"/>
      <c r="AB1782" s="284"/>
      <c r="AC1782" s="284"/>
      <c r="AD1782" s="284"/>
      <c r="AE1782" s="284"/>
      <c r="AF1782" s="284"/>
      <c r="AG1782" s="284"/>
      <c r="AI1782" s="131"/>
    </row>
    <row r="1783" spans="1:35" ht="26.4">
      <c r="A1783" s="284"/>
      <c r="B1783" s="284"/>
      <c r="C1783" s="284"/>
      <c r="D1783" s="284"/>
      <c r="E1783" s="284"/>
      <c r="F1783" s="284"/>
      <c r="G1783" s="284"/>
      <c r="H1783" s="284"/>
      <c r="I1783" s="284"/>
      <c r="J1783" s="375"/>
      <c r="K1783" s="375"/>
      <c r="L1783" s="375"/>
      <c r="M1783" s="368"/>
      <c r="N1783" s="368"/>
      <c r="O1783" s="370"/>
      <c r="T1783" s="349"/>
      <c r="V1783" s="378"/>
      <c r="W1783" s="64" ph="1"/>
      <c r="X1783" s="241"/>
      <c r="Y1783" s="284"/>
      <c r="Z1783" s="207"/>
      <c r="AA1783" s="284"/>
      <c r="AB1783" s="284"/>
      <c r="AC1783" s="284"/>
      <c r="AD1783" s="284"/>
      <c r="AE1783" s="284"/>
      <c r="AF1783" s="284"/>
      <c r="AG1783" s="284"/>
      <c r="AI1783" s="131"/>
    </row>
    <row r="1784" spans="1:35" ht="26.4">
      <c r="A1784" s="284"/>
      <c r="B1784" s="284"/>
      <c r="C1784" s="284"/>
      <c r="D1784" s="284"/>
      <c r="E1784" s="284"/>
      <c r="F1784" s="284"/>
      <c r="G1784" s="284"/>
      <c r="H1784" s="284"/>
      <c r="I1784" s="284"/>
      <c r="J1784" s="375"/>
      <c r="K1784" s="375"/>
      <c r="L1784" s="375"/>
      <c r="M1784" s="368"/>
      <c r="N1784" s="368"/>
      <c r="O1784" s="370"/>
      <c r="T1784" s="349"/>
      <c r="V1784" s="378"/>
      <c r="W1784" s="64" ph="1"/>
      <c r="X1784" s="241"/>
      <c r="Y1784" s="284"/>
      <c r="Z1784" s="207"/>
      <c r="AA1784" s="284"/>
      <c r="AB1784" s="284"/>
      <c r="AC1784" s="284"/>
      <c r="AD1784" s="284"/>
      <c r="AE1784" s="284"/>
      <c r="AF1784" s="284"/>
      <c r="AG1784" s="284"/>
      <c r="AI1784" s="131"/>
    </row>
    <row r="1785" spans="1:35">
      <c r="O1785" s="370"/>
      <c r="T1785" s="349"/>
      <c r="AI1785" s="131"/>
    </row>
    <row r="1786" spans="1:35" ht="26.4">
      <c r="A1786" s="284"/>
      <c r="B1786" s="284"/>
      <c r="C1786" s="284"/>
      <c r="D1786" s="284"/>
      <c r="E1786" s="284"/>
      <c r="F1786" s="284"/>
      <c r="G1786" s="284"/>
      <c r="H1786" s="284"/>
      <c r="I1786" s="284"/>
      <c r="J1786" s="375"/>
      <c r="K1786" s="375"/>
      <c r="L1786" s="375"/>
      <c r="M1786" s="368"/>
      <c r="N1786" s="368"/>
      <c r="O1786" s="370"/>
      <c r="T1786" s="349"/>
      <c r="V1786" s="378"/>
      <c r="W1786" s="64" ph="1"/>
      <c r="X1786" s="241"/>
      <c r="Y1786" s="284"/>
      <c r="Z1786" s="207"/>
      <c r="AA1786" s="284"/>
      <c r="AB1786" s="284"/>
      <c r="AC1786" s="284"/>
      <c r="AD1786" s="284"/>
      <c r="AE1786" s="284"/>
      <c r="AF1786" s="284"/>
      <c r="AG1786" s="284"/>
      <c r="AI1786" s="52"/>
    </row>
    <row r="1787" spans="1:35" ht="26.4">
      <c r="A1787" s="284"/>
      <c r="B1787" s="284"/>
      <c r="C1787" s="284"/>
      <c r="D1787" s="284"/>
      <c r="E1787" s="284"/>
      <c r="F1787" s="284"/>
      <c r="G1787" s="284"/>
      <c r="H1787" s="284"/>
      <c r="I1787" s="284"/>
      <c r="J1787" s="375"/>
      <c r="K1787" s="375"/>
      <c r="L1787" s="375"/>
      <c r="M1787" s="368"/>
      <c r="N1787" s="368"/>
      <c r="O1787" s="370"/>
      <c r="T1787" s="349"/>
      <c r="V1787" s="378"/>
      <c r="W1787" s="64" ph="1"/>
      <c r="X1787" s="241"/>
      <c r="Y1787" s="284"/>
      <c r="Z1787" s="207"/>
      <c r="AA1787" s="284"/>
      <c r="AB1787" s="284"/>
      <c r="AC1787" s="284"/>
      <c r="AD1787" s="284"/>
      <c r="AE1787" s="284"/>
      <c r="AF1787" s="284"/>
      <c r="AG1787" s="284"/>
      <c r="AI1787" s="131"/>
    </row>
    <row r="1788" spans="1:35">
      <c r="O1788" s="370"/>
      <c r="T1788" s="349"/>
      <c r="AI1788" s="131"/>
    </row>
    <row r="1789" spans="1:35" ht="26.4">
      <c r="A1789" s="284"/>
      <c r="B1789" s="284"/>
      <c r="C1789" s="284"/>
      <c r="D1789" s="284"/>
      <c r="E1789" s="284"/>
      <c r="F1789" s="284"/>
      <c r="G1789" s="284"/>
      <c r="H1789" s="284"/>
      <c r="I1789" s="284"/>
      <c r="J1789" s="375"/>
      <c r="K1789" s="375"/>
      <c r="L1789" s="375"/>
      <c r="M1789" s="368"/>
      <c r="N1789" s="368"/>
      <c r="O1789" s="370"/>
      <c r="T1789" s="349"/>
      <c r="V1789" s="378"/>
      <c r="W1789" s="64" ph="1"/>
      <c r="X1789" s="241"/>
      <c r="Y1789" s="284"/>
      <c r="Z1789" s="207"/>
      <c r="AA1789" s="284"/>
      <c r="AB1789" s="284"/>
      <c r="AC1789" s="284"/>
      <c r="AD1789" s="284"/>
      <c r="AE1789" s="284"/>
      <c r="AF1789" s="284"/>
      <c r="AG1789" s="284"/>
      <c r="AI1789" s="131"/>
    </row>
    <row r="1790" spans="1:35">
      <c r="O1790" s="370"/>
      <c r="T1790" s="349"/>
      <c r="AI1790" s="131"/>
    </row>
    <row r="1791" spans="1:35" ht="26.4">
      <c r="A1791" s="284"/>
      <c r="B1791" s="284"/>
      <c r="C1791" s="284"/>
      <c r="D1791" s="284"/>
      <c r="E1791" s="284"/>
      <c r="F1791" s="284"/>
      <c r="G1791" s="284"/>
      <c r="H1791" s="284"/>
      <c r="I1791" s="284"/>
      <c r="J1791" s="375"/>
      <c r="K1791" s="375"/>
      <c r="L1791" s="375"/>
      <c r="M1791" s="368"/>
      <c r="N1791" s="368"/>
      <c r="O1791" s="370"/>
      <c r="T1791" s="349"/>
      <c r="V1791" s="378"/>
      <c r="W1791" s="64" ph="1"/>
      <c r="X1791" s="241"/>
      <c r="Y1791" s="284"/>
      <c r="Z1791" s="207"/>
      <c r="AA1791" s="284"/>
      <c r="AB1791" s="284"/>
      <c r="AC1791" s="284"/>
      <c r="AD1791" s="284"/>
      <c r="AE1791" s="284"/>
      <c r="AF1791" s="284"/>
      <c r="AG1791" s="284"/>
      <c r="AI1791" s="131"/>
    </row>
    <row r="1792" spans="1:35" ht="26.4">
      <c r="A1792" s="284"/>
      <c r="B1792" s="284"/>
      <c r="C1792" s="284"/>
      <c r="D1792" s="284"/>
      <c r="E1792" s="284"/>
      <c r="F1792" s="284"/>
      <c r="G1792" s="284"/>
      <c r="H1792" s="284"/>
      <c r="I1792" s="284"/>
      <c r="J1792" s="375"/>
      <c r="K1792" s="375"/>
      <c r="L1792" s="375"/>
      <c r="M1792" s="368"/>
      <c r="N1792" s="368"/>
      <c r="O1792" s="370"/>
      <c r="T1792" s="349"/>
      <c r="V1792" s="378"/>
      <c r="W1792" s="64" ph="1"/>
      <c r="X1792" s="241"/>
      <c r="Y1792" s="284"/>
      <c r="Z1792" s="207"/>
      <c r="AA1792" s="284"/>
      <c r="AB1792" s="284"/>
      <c r="AC1792" s="284"/>
      <c r="AD1792" s="284"/>
      <c r="AE1792" s="284"/>
      <c r="AF1792" s="284"/>
      <c r="AG1792" s="284"/>
      <c r="AI1792" s="131"/>
    </row>
    <row r="1793" spans="1:35" ht="26.4">
      <c r="A1793" s="284"/>
      <c r="B1793" s="284"/>
      <c r="C1793" s="284"/>
      <c r="D1793" s="284"/>
      <c r="E1793" s="284"/>
      <c r="F1793" s="284"/>
      <c r="G1793" s="284"/>
      <c r="H1793" s="284"/>
      <c r="I1793" s="284"/>
      <c r="J1793" s="375"/>
      <c r="K1793" s="375"/>
      <c r="L1793" s="375"/>
      <c r="M1793" s="368"/>
      <c r="N1793" s="368"/>
      <c r="O1793" s="370"/>
      <c r="T1793" s="349"/>
      <c r="V1793" s="378"/>
      <c r="W1793" s="64" ph="1"/>
      <c r="X1793" s="241"/>
      <c r="Y1793" s="284"/>
      <c r="Z1793" s="207"/>
      <c r="AA1793" s="284"/>
      <c r="AB1793" s="284"/>
      <c r="AC1793" s="284"/>
      <c r="AD1793" s="284"/>
      <c r="AE1793" s="284"/>
      <c r="AF1793" s="284"/>
      <c r="AG1793" s="284"/>
      <c r="AI1793" s="131"/>
    </row>
    <row r="1794" spans="1:35" ht="26.4">
      <c r="A1794" s="284"/>
      <c r="B1794" s="284"/>
      <c r="C1794" s="284"/>
      <c r="D1794" s="284"/>
      <c r="E1794" s="284"/>
      <c r="F1794" s="284"/>
      <c r="G1794" s="284"/>
      <c r="H1794" s="284"/>
      <c r="I1794" s="284"/>
      <c r="J1794" s="375"/>
      <c r="K1794" s="375"/>
      <c r="L1794" s="375"/>
      <c r="M1794" s="368"/>
      <c r="N1794" s="368"/>
      <c r="O1794" s="370"/>
      <c r="T1794" s="349"/>
      <c r="V1794" s="378"/>
      <c r="W1794" s="64" ph="1"/>
      <c r="X1794" s="241"/>
      <c r="Y1794" s="284"/>
      <c r="Z1794" s="207"/>
      <c r="AA1794" s="284"/>
      <c r="AB1794" s="284"/>
      <c r="AC1794" s="284"/>
      <c r="AD1794" s="284"/>
      <c r="AE1794" s="284"/>
      <c r="AF1794" s="284"/>
      <c r="AG1794" s="284"/>
      <c r="AI1794" s="131"/>
    </row>
    <row r="1795" spans="1:35" ht="26.4">
      <c r="A1795" s="284"/>
      <c r="B1795" s="284"/>
      <c r="C1795" s="284"/>
      <c r="D1795" s="284"/>
      <c r="E1795" s="284"/>
      <c r="F1795" s="284"/>
      <c r="G1795" s="284"/>
      <c r="H1795" s="284"/>
      <c r="I1795" s="284"/>
      <c r="J1795" s="375"/>
      <c r="K1795" s="375"/>
      <c r="L1795" s="375"/>
      <c r="M1795" s="368"/>
      <c r="N1795" s="368"/>
      <c r="O1795" s="370"/>
      <c r="T1795" s="349"/>
      <c r="V1795" s="378"/>
      <c r="W1795" s="64" ph="1"/>
      <c r="X1795" s="241"/>
      <c r="Y1795" s="284"/>
      <c r="Z1795" s="207"/>
      <c r="AA1795" s="284"/>
      <c r="AB1795" s="284"/>
      <c r="AC1795" s="284"/>
      <c r="AD1795" s="284"/>
      <c r="AE1795" s="284"/>
      <c r="AF1795" s="284"/>
      <c r="AG1795" s="284"/>
      <c r="AI1795" s="131"/>
    </row>
    <row r="1796" spans="1:35" ht="26.4">
      <c r="A1796" s="284"/>
      <c r="B1796" s="284"/>
      <c r="C1796" s="284"/>
      <c r="D1796" s="284"/>
      <c r="E1796" s="284"/>
      <c r="F1796" s="284"/>
      <c r="G1796" s="284"/>
      <c r="H1796" s="284"/>
      <c r="I1796" s="284"/>
      <c r="J1796" s="375"/>
      <c r="K1796" s="375"/>
      <c r="L1796" s="375"/>
      <c r="M1796" s="368"/>
      <c r="N1796" s="368"/>
      <c r="O1796" s="370"/>
      <c r="T1796" s="349"/>
      <c r="V1796" s="378"/>
      <c r="W1796" s="64" ph="1"/>
      <c r="X1796" s="241"/>
      <c r="Y1796" s="284"/>
      <c r="Z1796" s="207"/>
      <c r="AA1796" s="284"/>
      <c r="AB1796" s="284"/>
      <c r="AC1796" s="284"/>
      <c r="AD1796" s="284"/>
      <c r="AE1796" s="284"/>
      <c r="AF1796" s="284"/>
      <c r="AG1796" s="284"/>
      <c r="AI1796" s="131"/>
    </row>
    <row r="1797" spans="1:35" ht="26.4">
      <c r="A1797" s="284"/>
      <c r="B1797" s="284"/>
      <c r="C1797" s="284"/>
      <c r="D1797" s="284"/>
      <c r="E1797" s="284"/>
      <c r="F1797" s="284"/>
      <c r="G1797" s="284"/>
      <c r="H1797" s="284"/>
      <c r="I1797" s="284"/>
      <c r="J1797" s="375"/>
      <c r="K1797" s="375"/>
      <c r="L1797" s="375"/>
      <c r="M1797" s="368"/>
      <c r="N1797" s="368"/>
      <c r="O1797" s="370"/>
      <c r="T1797" s="349"/>
      <c r="V1797" s="378"/>
      <c r="W1797" s="64" ph="1"/>
      <c r="X1797" s="241"/>
      <c r="Y1797" s="284"/>
      <c r="Z1797" s="207"/>
      <c r="AA1797" s="284"/>
      <c r="AB1797" s="284"/>
      <c r="AC1797" s="284"/>
      <c r="AD1797" s="284"/>
      <c r="AE1797" s="284"/>
      <c r="AF1797" s="284"/>
      <c r="AG1797" s="284"/>
      <c r="AI1797" s="131"/>
    </row>
    <row r="1798" spans="1:35" ht="26.4">
      <c r="A1798" s="284"/>
      <c r="B1798" s="284"/>
      <c r="C1798" s="284"/>
      <c r="D1798" s="284"/>
      <c r="E1798" s="284"/>
      <c r="F1798" s="284"/>
      <c r="G1798" s="284"/>
      <c r="H1798" s="284"/>
      <c r="I1798" s="284"/>
      <c r="J1798" s="375"/>
      <c r="K1798" s="375"/>
      <c r="L1798" s="375"/>
      <c r="M1798" s="368"/>
      <c r="N1798" s="368"/>
      <c r="O1798" s="370"/>
      <c r="T1798" s="349"/>
      <c r="V1798" s="378"/>
      <c r="W1798" s="64" ph="1"/>
      <c r="X1798" s="241"/>
      <c r="Y1798" s="284"/>
      <c r="Z1798" s="207"/>
      <c r="AA1798" s="284"/>
      <c r="AB1798" s="284"/>
      <c r="AC1798" s="284"/>
      <c r="AD1798" s="284"/>
      <c r="AE1798" s="284"/>
      <c r="AF1798" s="284"/>
      <c r="AG1798" s="284"/>
      <c r="AI1798" s="131"/>
    </row>
    <row r="1799" spans="1:35" ht="26.4">
      <c r="A1799" s="284"/>
      <c r="B1799" s="284"/>
      <c r="C1799" s="284"/>
      <c r="D1799" s="284"/>
      <c r="E1799" s="284"/>
      <c r="F1799" s="284"/>
      <c r="G1799" s="284"/>
      <c r="H1799" s="284"/>
      <c r="I1799" s="284"/>
      <c r="J1799" s="375"/>
      <c r="K1799" s="375"/>
      <c r="L1799" s="375"/>
      <c r="M1799" s="368"/>
      <c r="N1799" s="368"/>
      <c r="O1799" s="370"/>
      <c r="T1799" s="349"/>
      <c r="V1799" s="378"/>
      <c r="W1799" s="64" ph="1"/>
      <c r="X1799" s="241"/>
      <c r="Y1799" s="284"/>
      <c r="Z1799" s="207"/>
      <c r="AA1799" s="284"/>
      <c r="AB1799" s="284"/>
      <c r="AC1799" s="284"/>
      <c r="AD1799" s="284"/>
      <c r="AE1799" s="284"/>
      <c r="AF1799" s="284"/>
      <c r="AG1799" s="284"/>
      <c r="AI1799" s="131"/>
    </row>
    <row r="1800" spans="1:35" ht="26.4">
      <c r="A1800" s="284"/>
      <c r="B1800" s="284"/>
      <c r="C1800" s="284"/>
      <c r="D1800" s="284"/>
      <c r="E1800" s="284"/>
      <c r="F1800" s="284"/>
      <c r="G1800" s="284"/>
      <c r="H1800" s="284"/>
      <c r="I1800" s="284"/>
      <c r="J1800" s="375"/>
      <c r="K1800" s="375"/>
      <c r="L1800" s="375"/>
      <c r="M1800" s="368"/>
      <c r="N1800" s="368"/>
      <c r="O1800" s="370"/>
      <c r="T1800" s="349"/>
      <c r="V1800" s="378"/>
      <c r="W1800" s="64" ph="1"/>
      <c r="X1800" s="241"/>
      <c r="Y1800" s="284"/>
      <c r="Z1800" s="207"/>
      <c r="AA1800" s="284"/>
      <c r="AB1800" s="284"/>
      <c r="AC1800" s="284"/>
      <c r="AD1800" s="284"/>
      <c r="AE1800" s="284"/>
      <c r="AF1800" s="284"/>
      <c r="AG1800" s="284"/>
      <c r="AI1800" s="131"/>
    </row>
    <row r="1801" spans="1:35">
      <c r="O1801" s="370"/>
      <c r="T1801" s="349"/>
      <c r="AI1801" s="131"/>
    </row>
    <row r="1802" spans="1:35" ht="26.4">
      <c r="A1802" s="284"/>
      <c r="B1802" s="284"/>
      <c r="C1802" s="284"/>
      <c r="D1802" s="284"/>
      <c r="E1802" s="284"/>
      <c r="F1802" s="284"/>
      <c r="G1802" s="284"/>
      <c r="H1802" s="284"/>
      <c r="I1802" s="284"/>
      <c r="J1802" s="375"/>
      <c r="K1802" s="375"/>
      <c r="L1802" s="375"/>
      <c r="M1802" s="368"/>
      <c r="N1802" s="368"/>
      <c r="O1802" s="370"/>
      <c r="T1802" s="349"/>
      <c r="V1802" s="378"/>
      <c r="W1802" s="64" ph="1"/>
      <c r="X1802" s="241"/>
      <c r="Y1802" s="284"/>
      <c r="Z1802" s="207"/>
      <c r="AA1802" s="284"/>
      <c r="AB1802" s="284"/>
      <c r="AC1802" s="284"/>
      <c r="AD1802" s="284"/>
      <c r="AE1802" s="284"/>
      <c r="AF1802" s="284"/>
      <c r="AG1802" s="284"/>
      <c r="AI1802" s="131"/>
    </row>
    <row r="1803" spans="1:35" ht="26.4">
      <c r="A1803" s="284"/>
      <c r="B1803" s="284"/>
      <c r="C1803" s="284"/>
      <c r="D1803" s="284"/>
      <c r="E1803" s="284"/>
      <c r="F1803" s="284"/>
      <c r="G1803" s="284"/>
      <c r="H1803" s="284"/>
      <c r="I1803" s="284"/>
      <c r="J1803" s="375"/>
      <c r="K1803" s="375"/>
      <c r="L1803" s="375"/>
      <c r="M1803" s="368"/>
      <c r="N1803" s="368"/>
      <c r="O1803" s="370"/>
      <c r="T1803" s="349"/>
      <c r="V1803" s="378"/>
      <c r="W1803" s="64" ph="1"/>
      <c r="X1803" s="241"/>
      <c r="Y1803" s="284"/>
      <c r="Z1803" s="207"/>
      <c r="AA1803" s="284"/>
      <c r="AB1803" s="284"/>
      <c r="AC1803" s="284"/>
      <c r="AD1803" s="284"/>
      <c r="AE1803" s="284"/>
      <c r="AF1803" s="284"/>
      <c r="AG1803" s="284"/>
      <c r="AI1803" s="131"/>
    </row>
    <row r="1804" spans="1:35" ht="26.4">
      <c r="A1804" s="284"/>
      <c r="B1804" s="284"/>
      <c r="C1804" s="284"/>
      <c r="D1804" s="284"/>
      <c r="E1804" s="284"/>
      <c r="F1804" s="284"/>
      <c r="G1804" s="284"/>
      <c r="H1804" s="284"/>
      <c r="I1804" s="284"/>
      <c r="J1804" s="375"/>
      <c r="K1804" s="375"/>
      <c r="L1804" s="375"/>
      <c r="M1804" s="368"/>
      <c r="N1804" s="368"/>
      <c r="O1804" s="370"/>
      <c r="T1804" s="349"/>
      <c r="V1804" s="378"/>
      <c r="W1804" s="64" ph="1"/>
      <c r="X1804" s="241"/>
      <c r="Y1804" s="284"/>
      <c r="Z1804" s="207"/>
      <c r="AA1804" s="284"/>
      <c r="AB1804" s="284"/>
      <c r="AC1804" s="284"/>
      <c r="AD1804" s="284"/>
      <c r="AE1804" s="284"/>
      <c r="AF1804" s="284"/>
      <c r="AG1804" s="284"/>
      <c r="AI1804" s="131"/>
    </row>
    <row r="1805" spans="1:35" ht="26.4">
      <c r="A1805" s="284"/>
      <c r="B1805" s="284"/>
      <c r="C1805" s="284"/>
      <c r="D1805" s="284"/>
      <c r="E1805" s="284"/>
      <c r="F1805" s="284"/>
      <c r="G1805" s="284"/>
      <c r="H1805" s="284"/>
      <c r="I1805" s="284"/>
      <c r="J1805" s="375"/>
      <c r="K1805" s="375"/>
      <c r="L1805" s="375"/>
      <c r="M1805" s="368"/>
      <c r="N1805" s="368"/>
      <c r="O1805" s="370"/>
      <c r="T1805" s="349"/>
      <c r="V1805" s="378"/>
      <c r="W1805" s="64" ph="1"/>
      <c r="X1805" s="241"/>
      <c r="Y1805" s="284"/>
      <c r="Z1805" s="207"/>
      <c r="AA1805" s="284"/>
      <c r="AB1805" s="284"/>
      <c r="AC1805" s="284"/>
      <c r="AD1805" s="284"/>
      <c r="AE1805" s="284"/>
      <c r="AF1805" s="284"/>
      <c r="AG1805" s="284"/>
      <c r="AI1805" s="131"/>
    </row>
    <row r="1806" spans="1:35" ht="26.4">
      <c r="A1806" s="284"/>
      <c r="B1806" s="284"/>
      <c r="C1806" s="284"/>
      <c r="D1806" s="284"/>
      <c r="E1806" s="284"/>
      <c r="F1806" s="284"/>
      <c r="G1806" s="284"/>
      <c r="H1806" s="284"/>
      <c r="I1806" s="284"/>
      <c r="J1806" s="375"/>
      <c r="K1806" s="375"/>
      <c r="L1806" s="375"/>
      <c r="M1806" s="368"/>
      <c r="N1806" s="368"/>
      <c r="O1806" s="370"/>
      <c r="T1806" s="349"/>
      <c r="V1806" s="378"/>
      <c r="W1806" s="64" ph="1"/>
      <c r="X1806" s="241"/>
      <c r="Y1806" s="284"/>
      <c r="Z1806" s="207"/>
      <c r="AA1806" s="284"/>
      <c r="AB1806" s="284"/>
      <c r="AC1806" s="284"/>
      <c r="AD1806" s="284"/>
      <c r="AE1806" s="284"/>
      <c r="AF1806" s="284"/>
      <c r="AG1806" s="284"/>
      <c r="AI1806" s="131"/>
    </row>
    <row r="1807" spans="1:35" ht="26.4">
      <c r="A1807" s="284"/>
      <c r="B1807" s="284"/>
      <c r="C1807" s="284"/>
      <c r="D1807" s="284"/>
      <c r="E1807" s="284"/>
      <c r="F1807" s="284"/>
      <c r="G1807" s="284"/>
      <c r="H1807" s="284"/>
      <c r="I1807" s="284"/>
      <c r="J1807" s="375"/>
      <c r="K1807" s="375"/>
      <c r="L1807" s="375"/>
      <c r="M1807" s="368"/>
      <c r="N1807" s="368"/>
      <c r="O1807" s="370"/>
      <c r="T1807" s="349"/>
      <c r="V1807" s="378"/>
      <c r="W1807" s="64" ph="1"/>
      <c r="X1807" s="241"/>
      <c r="Y1807" s="284"/>
      <c r="Z1807" s="207"/>
      <c r="AA1807" s="284"/>
      <c r="AB1807" s="284"/>
      <c r="AC1807" s="284"/>
      <c r="AD1807" s="284"/>
      <c r="AE1807" s="284"/>
      <c r="AF1807" s="284"/>
      <c r="AG1807" s="284"/>
      <c r="AI1807" s="131"/>
    </row>
    <row r="1808" spans="1:35" ht="26.4">
      <c r="A1808" s="284"/>
      <c r="B1808" s="284"/>
      <c r="C1808" s="284"/>
      <c r="D1808" s="284"/>
      <c r="E1808" s="284"/>
      <c r="F1808" s="284"/>
      <c r="G1808" s="284"/>
      <c r="H1808" s="284"/>
      <c r="I1808" s="284"/>
      <c r="J1808" s="375"/>
      <c r="K1808" s="375"/>
      <c r="L1808" s="375"/>
      <c r="M1808" s="368"/>
      <c r="N1808" s="368"/>
      <c r="O1808" s="370"/>
      <c r="T1808" s="349"/>
      <c r="V1808" s="378"/>
      <c r="W1808" s="64" ph="1"/>
      <c r="X1808" s="241"/>
      <c r="Y1808" s="284"/>
      <c r="Z1808" s="207"/>
      <c r="AA1808" s="284"/>
      <c r="AB1808" s="284"/>
      <c r="AC1808" s="284"/>
      <c r="AD1808" s="284"/>
      <c r="AE1808" s="284"/>
      <c r="AF1808" s="284"/>
      <c r="AG1808" s="284"/>
      <c r="AI1808" s="131"/>
    </row>
    <row r="1809" spans="1:35" ht="26.4">
      <c r="A1809" s="284"/>
      <c r="B1809" s="284"/>
      <c r="C1809" s="284"/>
      <c r="D1809" s="284"/>
      <c r="E1809" s="284"/>
      <c r="F1809" s="284"/>
      <c r="G1809" s="284"/>
      <c r="H1809" s="284"/>
      <c r="I1809" s="284"/>
      <c r="J1809" s="375"/>
      <c r="K1809" s="375"/>
      <c r="L1809" s="375"/>
      <c r="M1809" s="368"/>
      <c r="N1809" s="368"/>
      <c r="O1809" s="370"/>
      <c r="T1809" s="349"/>
      <c r="V1809" s="378"/>
      <c r="W1809" s="64" ph="1"/>
      <c r="X1809" s="241"/>
      <c r="Y1809" s="284"/>
      <c r="Z1809" s="207"/>
      <c r="AA1809" s="284"/>
      <c r="AB1809" s="284"/>
      <c r="AC1809" s="284"/>
      <c r="AD1809" s="284"/>
      <c r="AE1809" s="284"/>
      <c r="AF1809" s="284"/>
      <c r="AG1809" s="284"/>
      <c r="AI1809" s="131"/>
    </row>
    <row r="1810" spans="1:35">
      <c r="O1810" s="370"/>
      <c r="T1810" s="349"/>
      <c r="AI1810" s="131"/>
    </row>
    <row r="1811" spans="1:35" ht="26.4">
      <c r="A1811" s="284"/>
      <c r="B1811" s="284"/>
      <c r="C1811" s="284"/>
      <c r="D1811" s="284"/>
      <c r="E1811" s="284"/>
      <c r="F1811" s="284"/>
      <c r="G1811" s="284"/>
      <c r="H1811" s="284"/>
      <c r="I1811" s="284"/>
      <c r="J1811" s="375"/>
      <c r="K1811" s="375"/>
      <c r="L1811" s="375"/>
      <c r="M1811" s="368"/>
      <c r="N1811" s="368"/>
      <c r="O1811" s="370"/>
      <c r="T1811" s="349"/>
      <c r="V1811" s="378"/>
      <c r="W1811" s="64" ph="1"/>
      <c r="X1811" s="241"/>
      <c r="Y1811" s="284"/>
      <c r="Z1811" s="207"/>
      <c r="AA1811" s="284"/>
      <c r="AB1811" s="284"/>
      <c r="AC1811" s="284"/>
      <c r="AD1811" s="284"/>
      <c r="AE1811" s="284"/>
      <c r="AF1811" s="284"/>
      <c r="AG1811" s="284"/>
      <c r="AI1811" s="131"/>
    </row>
    <row r="1812" spans="1:35" ht="26.4">
      <c r="A1812" s="284"/>
      <c r="B1812" s="284"/>
      <c r="C1812" s="284"/>
      <c r="D1812" s="284"/>
      <c r="E1812" s="284"/>
      <c r="F1812" s="284"/>
      <c r="G1812" s="284"/>
      <c r="H1812" s="284"/>
      <c r="I1812" s="284"/>
      <c r="J1812" s="375"/>
      <c r="K1812" s="375"/>
      <c r="L1812" s="375"/>
      <c r="M1812" s="368"/>
      <c r="N1812" s="368"/>
      <c r="O1812" s="370"/>
      <c r="T1812" s="349"/>
      <c r="V1812" s="378"/>
      <c r="W1812" s="64" ph="1"/>
      <c r="X1812" s="241"/>
      <c r="Y1812" s="284"/>
      <c r="Z1812" s="207"/>
      <c r="AA1812" s="284"/>
      <c r="AB1812" s="284"/>
      <c r="AC1812" s="284"/>
      <c r="AD1812" s="284"/>
      <c r="AE1812" s="284"/>
      <c r="AF1812" s="284"/>
      <c r="AG1812" s="284"/>
      <c r="AI1812" s="131"/>
    </row>
    <row r="1813" spans="1:35" ht="26.4">
      <c r="A1813" s="284"/>
      <c r="B1813" s="284"/>
      <c r="C1813" s="284"/>
      <c r="D1813" s="284"/>
      <c r="E1813" s="284"/>
      <c r="F1813" s="284"/>
      <c r="G1813" s="284"/>
      <c r="H1813" s="284"/>
      <c r="I1813" s="284"/>
      <c r="J1813" s="375"/>
      <c r="K1813" s="375"/>
      <c r="L1813" s="375"/>
      <c r="M1813" s="368"/>
      <c r="N1813" s="368"/>
      <c r="O1813" s="370"/>
      <c r="T1813" s="349"/>
      <c r="V1813" s="378"/>
      <c r="W1813" s="64" ph="1"/>
      <c r="X1813" s="241"/>
      <c r="Y1813" s="284"/>
      <c r="Z1813" s="207"/>
      <c r="AA1813" s="284"/>
      <c r="AB1813" s="284"/>
      <c r="AC1813" s="284"/>
      <c r="AD1813" s="284"/>
      <c r="AE1813" s="284"/>
      <c r="AF1813" s="284"/>
      <c r="AG1813" s="284"/>
      <c r="AI1813" s="131"/>
    </row>
    <row r="1814" spans="1:35" ht="26.4">
      <c r="A1814" s="284"/>
      <c r="B1814" s="284"/>
      <c r="C1814" s="284"/>
      <c r="D1814" s="284"/>
      <c r="E1814" s="284"/>
      <c r="F1814" s="284"/>
      <c r="G1814" s="284"/>
      <c r="H1814" s="284"/>
      <c r="I1814" s="284"/>
      <c r="J1814" s="375"/>
      <c r="K1814" s="375"/>
      <c r="L1814" s="375"/>
      <c r="M1814" s="368"/>
      <c r="N1814" s="368"/>
      <c r="O1814" s="370"/>
      <c r="T1814" s="349"/>
      <c r="V1814" s="378"/>
      <c r="W1814" s="64" ph="1"/>
      <c r="X1814" s="241"/>
      <c r="Y1814" s="284"/>
      <c r="Z1814" s="207"/>
      <c r="AA1814" s="284"/>
      <c r="AB1814" s="284"/>
      <c r="AC1814" s="284"/>
      <c r="AD1814" s="284"/>
      <c r="AE1814" s="284"/>
      <c r="AF1814" s="284"/>
      <c r="AG1814" s="284"/>
      <c r="AI1814" s="131"/>
    </row>
    <row r="1815" spans="1:35" ht="26.4">
      <c r="A1815" s="284"/>
      <c r="B1815" s="284"/>
      <c r="C1815" s="284"/>
      <c r="D1815" s="284"/>
      <c r="E1815" s="284"/>
      <c r="F1815" s="284"/>
      <c r="G1815" s="284"/>
      <c r="H1815" s="284"/>
      <c r="I1815" s="284"/>
      <c r="J1815" s="375"/>
      <c r="K1815" s="375"/>
      <c r="L1815" s="375"/>
      <c r="M1815" s="368"/>
      <c r="N1815" s="368"/>
      <c r="O1815" s="370"/>
      <c r="T1815" s="349"/>
      <c r="V1815" s="378"/>
      <c r="W1815" s="64" ph="1"/>
      <c r="X1815" s="241"/>
      <c r="Y1815" s="284"/>
      <c r="Z1815" s="207"/>
      <c r="AA1815" s="284"/>
      <c r="AB1815" s="284"/>
      <c r="AC1815" s="284"/>
      <c r="AD1815" s="284"/>
      <c r="AE1815" s="284"/>
      <c r="AF1815" s="284"/>
      <c r="AG1815" s="284"/>
      <c r="AI1815" s="131"/>
    </row>
    <row r="1816" spans="1:35" ht="26.4">
      <c r="A1816" s="284"/>
      <c r="B1816" s="284"/>
      <c r="C1816" s="284"/>
      <c r="D1816" s="284"/>
      <c r="E1816" s="284"/>
      <c r="F1816" s="284"/>
      <c r="G1816" s="284"/>
      <c r="H1816" s="284"/>
      <c r="I1816" s="284"/>
      <c r="J1816" s="375"/>
      <c r="K1816" s="375"/>
      <c r="L1816" s="375"/>
      <c r="M1816" s="368"/>
      <c r="N1816" s="368"/>
      <c r="O1816" s="370"/>
      <c r="T1816" s="349"/>
      <c r="V1816" s="378"/>
      <c r="W1816" s="64" ph="1"/>
      <c r="X1816" s="241"/>
      <c r="Y1816" s="284"/>
      <c r="Z1816" s="207"/>
      <c r="AA1816" s="284"/>
      <c r="AB1816" s="284"/>
      <c r="AC1816" s="284"/>
      <c r="AD1816" s="284"/>
      <c r="AE1816" s="284"/>
      <c r="AF1816" s="284"/>
      <c r="AG1816" s="284"/>
      <c r="AI1816" s="131"/>
    </row>
    <row r="1817" spans="1:35" ht="26.4">
      <c r="A1817" s="284"/>
      <c r="B1817" s="284"/>
      <c r="C1817" s="284"/>
      <c r="D1817" s="284"/>
      <c r="E1817" s="284"/>
      <c r="F1817" s="284"/>
      <c r="G1817" s="284"/>
      <c r="H1817" s="284"/>
      <c r="I1817" s="284"/>
      <c r="J1817" s="375"/>
      <c r="K1817" s="375"/>
      <c r="L1817" s="375"/>
      <c r="M1817" s="368"/>
      <c r="N1817" s="368"/>
      <c r="O1817" s="370"/>
      <c r="T1817" s="349"/>
      <c r="V1817" s="378"/>
      <c r="W1817" s="64" ph="1"/>
      <c r="X1817" s="241"/>
      <c r="Y1817" s="284"/>
      <c r="Z1817" s="207"/>
      <c r="AA1817" s="284"/>
      <c r="AB1817" s="284"/>
      <c r="AC1817" s="284"/>
      <c r="AD1817" s="284"/>
      <c r="AE1817" s="284"/>
      <c r="AF1817" s="284"/>
      <c r="AG1817" s="284"/>
      <c r="AI1817" s="131"/>
    </row>
    <row r="1818" spans="1:35" ht="26.4">
      <c r="A1818" s="284"/>
      <c r="B1818" s="284"/>
      <c r="C1818" s="284"/>
      <c r="D1818" s="284"/>
      <c r="E1818" s="284"/>
      <c r="F1818" s="284"/>
      <c r="G1818" s="284"/>
      <c r="H1818" s="284"/>
      <c r="I1818" s="284"/>
      <c r="J1818" s="375"/>
      <c r="K1818" s="375"/>
      <c r="L1818" s="375"/>
      <c r="M1818" s="368"/>
      <c r="N1818" s="368"/>
      <c r="O1818" s="370"/>
      <c r="T1818" s="349"/>
      <c r="V1818" s="378"/>
      <c r="W1818" s="64" ph="1"/>
      <c r="X1818" s="241"/>
      <c r="Y1818" s="284"/>
      <c r="Z1818" s="207"/>
      <c r="AA1818" s="284"/>
      <c r="AB1818" s="284"/>
      <c r="AC1818" s="284"/>
      <c r="AD1818" s="284"/>
      <c r="AE1818" s="284"/>
      <c r="AF1818" s="284"/>
      <c r="AG1818" s="284"/>
      <c r="AI1818" s="131"/>
    </row>
    <row r="1819" spans="1:35" ht="26.4">
      <c r="A1819" s="284"/>
      <c r="B1819" s="284"/>
      <c r="C1819" s="284"/>
      <c r="D1819" s="284"/>
      <c r="E1819" s="284"/>
      <c r="F1819" s="284"/>
      <c r="G1819" s="284"/>
      <c r="H1819" s="284"/>
      <c r="I1819" s="284"/>
      <c r="J1819" s="375"/>
      <c r="K1819" s="375"/>
      <c r="L1819" s="375"/>
      <c r="M1819" s="368"/>
      <c r="N1819" s="368"/>
      <c r="O1819" s="370"/>
      <c r="T1819" s="349"/>
      <c r="V1819" s="378"/>
      <c r="W1819" s="64" ph="1"/>
      <c r="X1819" s="241"/>
      <c r="Y1819" s="284"/>
      <c r="Z1819" s="207"/>
      <c r="AA1819" s="284"/>
      <c r="AB1819" s="284"/>
      <c r="AC1819" s="284"/>
      <c r="AD1819" s="284"/>
      <c r="AE1819" s="284"/>
      <c r="AF1819" s="284"/>
      <c r="AG1819" s="284"/>
      <c r="AI1819" s="128"/>
    </row>
    <row r="1820" spans="1:35" ht="26.4">
      <c r="A1820" s="284"/>
      <c r="B1820" s="284"/>
      <c r="C1820" s="284"/>
      <c r="D1820" s="284"/>
      <c r="E1820" s="284"/>
      <c r="F1820" s="284"/>
      <c r="G1820" s="284"/>
      <c r="H1820" s="284"/>
      <c r="I1820" s="284"/>
      <c r="J1820" s="375"/>
      <c r="K1820" s="375"/>
      <c r="L1820" s="375"/>
      <c r="M1820" s="368"/>
      <c r="N1820" s="368"/>
      <c r="O1820" s="370"/>
      <c r="T1820" s="349"/>
      <c r="V1820" s="378"/>
      <c r="W1820" s="64" ph="1"/>
      <c r="X1820" s="241"/>
      <c r="Y1820" s="284"/>
      <c r="Z1820" s="207"/>
      <c r="AA1820" s="284"/>
      <c r="AB1820" s="284"/>
      <c r="AC1820" s="284"/>
      <c r="AD1820" s="284"/>
      <c r="AE1820" s="284"/>
      <c r="AF1820" s="284"/>
      <c r="AG1820" s="284"/>
      <c r="AI1820" s="131"/>
    </row>
    <row r="1821" spans="1:35" ht="26.4">
      <c r="A1821" s="284"/>
      <c r="B1821" s="284"/>
      <c r="C1821" s="284"/>
      <c r="D1821" s="284"/>
      <c r="E1821" s="284"/>
      <c r="F1821" s="284"/>
      <c r="G1821" s="284"/>
      <c r="H1821" s="284"/>
      <c r="I1821" s="284"/>
      <c r="J1821" s="375"/>
      <c r="K1821" s="375"/>
      <c r="L1821" s="375"/>
      <c r="M1821" s="368"/>
      <c r="N1821" s="368"/>
      <c r="O1821" s="370"/>
      <c r="T1821" s="349"/>
      <c r="V1821" s="378"/>
      <c r="W1821" s="64" ph="1"/>
      <c r="X1821" s="241"/>
      <c r="Y1821" s="284"/>
      <c r="Z1821" s="207"/>
      <c r="AA1821" s="284"/>
      <c r="AB1821" s="284"/>
      <c r="AC1821" s="284"/>
      <c r="AD1821" s="284"/>
      <c r="AE1821" s="284"/>
      <c r="AF1821" s="284"/>
      <c r="AG1821" s="284"/>
      <c r="AI1821" s="131"/>
    </row>
    <row r="1822" spans="1:35">
      <c r="O1822" s="370"/>
      <c r="T1822" s="349"/>
      <c r="AI1822" s="131"/>
    </row>
    <row r="1823" spans="1:35" ht="26.4">
      <c r="A1823" s="284"/>
      <c r="B1823" s="284"/>
      <c r="C1823" s="284"/>
      <c r="D1823" s="284"/>
      <c r="E1823" s="284"/>
      <c r="F1823" s="284"/>
      <c r="G1823" s="284"/>
      <c r="H1823" s="284"/>
      <c r="I1823" s="284"/>
      <c r="J1823" s="375"/>
      <c r="K1823" s="375"/>
      <c r="L1823" s="375"/>
      <c r="M1823" s="368"/>
      <c r="N1823" s="368"/>
      <c r="O1823" s="370"/>
      <c r="T1823" s="349"/>
      <c r="V1823" s="378"/>
      <c r="W1823" s="64" ph="1"/>
      <c r="X1823" s="241"/>
      <c r="Y1823" s="284"/>
      <c r="Z1823" s="207"/>
      <c r="AA1823" s="284"/>
      <c r="AB1823" s="284"/>
      <c r="AC1823" s="284"/>
      <c r="AD1823" s="284"/>
      <c r="AE1823" s="284"/>
      <c r="AF1823" s="284"/>
      <c r="AG1823" s="284"/>
      <c r="AI1823" s="131"/>
    </row>
    <row r="1824" spans="1:35" ht="26.4">
      <c r="A1824" s="284"/>
      <c r="B1824" s="284"/>
      <c r="C1824" s="284"/>
      <c r="D1824" s="284"/>
      <c r="E1824" s="284"/>
      <c r="F1824" s="284"/>
      <c r="G1824" s="284"/>
      <c r="H1824" s="284"/>
      <c r="I1824" s="284"/>
      <c r="J1824" s="375"/>
      <c r="K1824" s="375"/>
      <c r="L1824" s="375"/>
      <c r="M1824" s="368"/>
      <c r="N1824" s="368"/>
      <c r="O1824" s="370"/>
      <c r="T1824" s="349"/>
      <c r="V1824" s="378"/>
      <c r="W1824" s="64" ph="1"/>
      <c r="X1824" s="241"/>
      <c r="Y1824" s="284"/>
      <c r="Z1824" s="207"/>
      <c r="AA1824" s="284"/>
      <c r="AB1824" s="284"/>
      <c r="AC1824" s="284"/>
      <c r="AD1824" s="284"/>
      <c r="AE1824" s="284"/>
      <c r="AF1824" s="284"/>
      <c r="AG1824" s="284"/>
      <c r="AI1824" s="131"/>
    </row>
    <row r="1825" spans="1:35" ht="26.4">
      <c r="A1825" s="284"/>
      <c r="B1825" s="284"/>
      <c r="C1825" s="284"/>
      <c r="D1825" s="284"/>
      <c r="E1825" s="284"/>
      <c r="F1825" s="284"/>
      <c r="G1825" s="284"/>
      <c r="H1825" s="284"/>
      <c r="I1825" s="284"/>
      <c r="J1825" s="375"/>
      <c r="K1825" s="375"/>
      <c r="L1825" s="375"/>
      <c r="M1825" s="368"/>
      <c r="N1825" s="368"/>
      <c r="O1825" s="370"/>
      <c r="T1825" s="349"/>
      <c r="V1825" s="378"/>
      <c r="W1825" s="64" ph="1"/>
      <c r="X1825" s="241"/>
      <c r="Y1825" s="284"/>
      <c r="Z1825" s="207"/>
      <c r="AA1825" s="284"/>
      <c r="AB1825" s="284"/>
      <c r="AC1825" s="284"/>
      <c r="AD1825" s="284"/>
      <c r="AE1825" s="284"/>
      <c r="AF1825" s="284"/>
      <c r="AG1825" s="284"/>
      <c r="AI1825" s="131"/>
    </row>
    <row r="1826" spans="1:35" ht="26.4">
      <c r="A1826" s="284"/>
      <c r="B1826" s="284"/>
      <c r="C1826" s="284"/>
      <c r="D1826" s="284"/>
      <c r="E1826" s="284"/>
      <c r="F1826" s="284"/>
      <c r="G1826" s="284"/>
      <c r="H1826" s="284"/>
      <c r="I1826" s="284"/>
      <c r="J1826" s="375"/>
      <c r="K1826" s="375"/>
      <c r="L1826" s="375"/>
      <c r="M1826" s="368"/>
      <c r="N1826" s="368"/>
      <c r="O1826" s="370"/>
      <c r="T1826" s="349"/>
      <c r="V1826" s="378"/>
      <c r="W1826" s="64" ph="1"/>
      <c r="X1826" s="241"/>
      <c r="Y1826" s="284"/>
      <c r="Z1826" s="207"/>
      <c r="AA1826" s="284"/>
      <c r="AB1826" s="284"/>
      <c r="AC1826" s="284"/>
      <c r="AD1826" s="284"/>
      <c r="AE1826" s="284"/>
      <c r="AF1826" s="284"/>
      <c r="AG1826" s="284"/>
      <c r="AI1826" s="131"/>
    </row>
    <row r="1827" spans="1:35" ht="26.4">
      <c r="A1827" s="284"/>
      <c r="B1827" s="284"/>
      <c r="C1827" s="284"/>
      <c r="D1827" s="284"/>
      <c r="E1827" s="284"/>
      <c r="F1827" s="284"/>
      <c r="G1827" s="284"/>
      <c r="H1827" s="284"/>
      <c r="I1827" s="284"/>
      <c r="J1827" s="375"/>
      <c r="K1827" s="375"/>
      <c r="L1827" s="375"/>
      <c r="M1827" s="368"/>
      <c r="N1827" s="368"/>
      <c r="O1827" s="370"/>
      <c r="T1827" s="349"/>
      <c r="V1827" s="378"/>
      <c r="W1827" s="64" ph="1"/>
      <c r="X1827" s="241"/>
      <c r="Y1827" s="284"/>
      <c r="Z1827" s="207"/>
      <c r="AA1827" s="284"/>
      <c r="AB1827" s="284"/>
      <c r="AC1827" s="284"/>
      <c r="AD1827" s="284"/>
      <c r="AE1827" s="284"/>
      <c r="AF1827" s="284"/>
      <c r="AG1827" s="284"/>
      <c r="AI1827" s="131"/>
    </row>
    <row r="1828" spans="1:35" ht="26.4">
      <c r="A1828" s="284"/>
      <c r="B1828" s="284"/>
      <c r="C1828" s="284"/>
      <c r="D1828" s="284"/>
      <c r="E1828" s="284"/>
      <c r="F1828" s="284"/>
      <c r="G1828" s="284"/>
      <c r="H1828" s="284"/>
      <c r="I1828" s="284"/>
      <c r="J1828" s="375"/>
      <c r="K1828" s="375"/>
      <c r="L1828" s="375"/>
      <c r="M1828" s="368"/>
      <c r="N1828" s="368"/>
      <c r="O1828" s="370"/>
      <c r="T1828" s="349"/>
      <c r="V1828" s="378"/>
      <c r="W1828" s="64" ph="1"/>
      <c r="X1828" s="241"/>
      <c r="Y1828" s="284"/>
      <c r="Z1828" s="207"/>
      <c r="AA1828" s="284"/>
      <c r="AB1828" s="284"/>
      <c r="AC1828" s="284"/>
      <c r="AD1828" s="284"/>
      <c r="AE1828" s="284"/>
      <c r="AF1828" s="284"/>
      <c r="AG1828" s="284"/>
      <c r="AI1828" s="131"/>
    </row>
    <row r="1829" spans="1:35" ht="26.4">
      <c r="A1829" s="284"/>
      <c r="B1829" s="284"/>
      <c r="C1829" s="284"/>
      <c r="D1829" s="284"/>
      <c r="E1829" s="284"/>
      <c r="F1829" s="284"/>
      <c r="G1829" s="284"/>
      <c r="H1829" s="284"/>
      <c r="I1829" s="284"/>
      <c r="J1829" s="375"/>
      <c r="K1829" s="375"/>
      <c r="L1829" s="375"/>
      <c r="M1829" s="368"/>
      <c r="N1829" s="368"/>
      <c r="O1829" s="370"/>
      <c r="T1829" s="349"/>
      <c r="V1829" s="378"/>
      <c r="W1829" s="64" ph="1"/>
      <c r="X1829" s="241"/>
      <c r="Y1829" s="284"/>
      <c r="Z1829" s="207"/>
      <c r="AA1829" s="284"/>
      <c r="AB1829" s="284"/>
      <c r="AC1829" s="284"/>
      <c r="AD1829" s="284"/>
      <c r="AE1829" s="284"/>
      <c r="AF1829" s="284"/>
      <c r="AG1829" s="284"/>
      <c r="AI1829" s="131"/>
    </row>
    <row r="1830" spans="1:35" ht="26.4">
      <c r="A1830" s="284"/>
      <c r="B1830" s="284"/>
      <c r="C1830" s="284"/>
      <c r="D1830" s="284"/>
      <c r="E1830" s="284"/>
      <c r="F1830" s="284"/>
      <c r="G1830" s="284"/>
      <c r="H1830" s="284"/>
      <c r="I1830" s="284"/>
      <c r="J1830" s="375"/>
      <c r="K1830" s="375"/>
      <c r="L1830" s="375"/>
      <c r="M1830" s="368"/>
      <c r="N1830" s="368"/>
      <c r="O1830" s="370"/>
      <c r="T1830" s="349"/>
      <c r="V1830" s="378"/>
      <c r="W1830" s="64" ph="1"/>
      <c r="X1830" s="241"/>
      <c r="Y1830" s="284"/>
      <c r="Z1830" s="207"/>
      <c r="AA1830" s="284"/>
      <c r="AB1830" s="284"/>
      <c r="AC1830" s="284"/>
      <c r="AD1830" s="284"/>
      <c r="AE1830" s="284"/>
      <c r="AF1830" s="284"/>
      <c r="AG1830" s="284"/>
      <c r="AI1830" s="131"/>
    </row>
    <row r="1831" spans="1:35">
      <c r="O1831" s="370"/>
      <c r="T1831" s="349"/>
      <c r="AI1831" s="131"/>
    </row>
    <row r="1832" spans="1:35" ht="26.4">
      <c r="A1832" s="284"/>
      <c r="B1832" s="284"/>
      <c r="C1832" s="284"/>
      <c r="D1832" s="284"/>
      <c r="E1832" s="284"/>
      <c r="F1832" s="284"/>
      <c r="G1832" s="284"/>
      <c r="H1832" s="284"/>
      <c r="I1832" s="284"/>
      <c r="J1832" s="375"/>
      <c r="K1832" s="375"/>
      <c r="L1832" s="375"/>
      <c r="M1832" s="368"/>
      <c r="N1832" s="368"/>
      <c r="O1832" s="370"/>
      <c r="T1832" s="349"/>
      <c r="V1832" s="378"/>
      <c r="W1832" s="64" ph="1"/>
      <c r="X1832" s="241"/>
      <c r="Y1832" s="284"/>
      <c r="Z1832" s="207"/>
      <c r="AA1832" s="284"/>
      <c r="AB1832" s="284"/>
      <c r="AC1832" s="284"/>
      <c r="AD1832" s="284"/>
      <c r="AE1832" s="284"/>
      <c r="AF1832" s="284"/>
      <c r="AG1832" s="284"/>
      <c r="AI1832" s="131"/>
    </row>
    <row r="1833" spans="1:35" ht="26.4">
      <c r="A1833" s="284"/>
      <c r="B1833" s="284"/>
      <c r="C1833" s="284"/>
      <c r="D1833" s="284"/>
      <c r="E1833" s="284"/>
      <c r="F1833" s="284"/>
      <c r="G1833" s="284"/>
      <c r="H1833" s="284"/>
      <c r="I1833" s="284"/>
      <c r="J1833" s="375"/>
      <c r="K1833" s="375"/>
      <c r="L1833" s="375"/>
      <c r="M1833" s="368"/>
      <c r="N1833" s="368"/>
      <c r="O1833" s="370"/>
      <c r="T1833" s="349"/>
      <c r="V1833" s="378"/>
      <c r="W1833" s="64" ph="1"/>
      <c r="X1833" s="241"/>
      <c r="Y1833" s="284"/>
      <c r="Z1833" s="207"/>
      <c r="AA1833" s="284"/>
      <c r="AB1833" s="284"/>
      <c r="AC1833" s="284"/>
      <c r="AD1833" s="284"/>
      <c r="AE1833" s="284"/>
      <c r="AF1833" s="284"/>
      <c r="AG1833" s="284"/>
      <c r="AI1833" s="131"/>
    </row>
    <row r="1834" spans="1:35" ht="26.4">
      <c r="A1834" s="284"/>
      <c r="B1834" s="284"/>
      <c r="C1834" s="284"/>
      <c r="D1834" s="284"/>
      <c r="E1834" s="284"/>
      <c r="F1834" s="284"/>
      <c r="G1834" s="284"/>
      <c r="H1834" s="284"/>
      <c r="I1834" s="284"/>
      <c r="J1834" s="375"/>
      <c r="K1834" s="375"/>
      <c r="L1834" s="375"/>
      <c r="M1834" s="368"/>
      <c r="N1834" s="368"/>
      <c r="O1834" s="370"/>
      <c r="T1834" s="349"/>
      <c r="V1834" s="378"/>
      <c r="W1834" s="64" ph="1"/>
      <c r="X1834" s="241"/>
      <c r="Y1834" s="284"/>
      <c r="Z1834" s="207"/>
      <c r="AA1834" s="284"/>
      <c r="AB1834" s="284"/>
      <c r="AC1834" s="284"/>
      <c r="AD1834" s="284"/>
      <c r="AE1834" s="284"/>
      <c r="AF1834" s="284"/>
      <c r="AG1834" s="284"/>
      <c r="AI1834" s="131"/>
    </row>
    <row r="1835" spans="1:35" ht="26.4">
      <c r="A1835" s="284"/>
      <c r="B1835" s="284"/>
      <c r="C1835" s="284"/>
      <c r="D1835" s="284"/>
      <c r="E1835" s="284"/>
      <c r="F1835" s="284"/>
      <c r="G1835" s="284"/>
      <c r="H1835" s="284"/>
      <c r="I1835" s="284"/>
      <c r="J1835" s="375"/>
      <c r="K1835" s="375"/>
      <c r="L1835" s="375"/>
      <c r="M1835" s="368"/>
      <c r="N1835" s="368"/>
      <c r="O1835" s="370"/>
      <c r="T1835" s="349"/>
      <c r="V1835" s="378"/>
      <c r="W1835" s="64" ph="1"/>
      <c r="X1835" s="241"/>
      <c r="Y1835" s="284"/>
      <c r="Z1835" s="207"/>
      <c r="AA1835" s="284"/>
      <c r="AB1835" s="284"/>
      <c r="AC1835" s="284"/>
      <c r="AD1835" s="284"/>
      <c r="AE1835" s="284"/>
      <c r="AF1835" s="284"/>
      <c r="AG1835" s="284"/>
      <c r="AI1835" s="131"/>
    </row>
    <row r="1836" spans="1:35" ht="26.4">
      <c r="A1836" s="284"/>
      <c r="B1836" s="284"/>
      <c r="C1836" s="284"/>
      <c r="D1836" s="284"/>
      <c r="E1836" s="284"/>
      <c r="F1836" s="284"/>
      <c r="G1836" s="284"/>
      <c r="H1836" s="284"/>
      <c r="I1836" s="284"/>
      <c r="J1836" s="375"/>
      <c r="K1836" s="375"/>
      <c r="L1836" s="375"/>
      <c r="M1836" s="368"/>
      <c r="N1836" s="368"/>
      <c r="O1836" s="370"/>
      <c r="T1836" s="349"/>
      <c r="V1836" s="378"/>
      <c r="W1836" s="64" ph="1"/>
      <c r="X1836" s="241"/>
      <c r="Y1836" s="284"/>
      <c r="Z1836" s="207"/>
      <c r="AA1836" s="284"/>
      <c r="AB1836" s="284"/>
      <c r="AC1836" s="284"/>
      <c r="AD1836" s="284"/>
      <c r="AE1836" s="284"/>
      <c r="AF1836" s="284"/>
      <c r="AG1836" s="284"/>
      <c r="AI1836" s="131"/>
    </row>
    <row r="1837" spans="1:35" ht="26.4">
      <c r="A1837" s="284"/>
      <c r="B1837" s="284"/>
      <c r="C1837" s="284"/>
      <c r="D1837" s="284"/>
      <c r="E1837" s="284"/>
      <c r="F1837" s="284"/>
      <c r="G1837" s="284"/>
      <c r="H1837" s="284"/>
      <c r="I1837" s="284"/>
      <c r="J1837" s="375"/>
      <c r="K1837" s="375"/>
      <c r="L1837" s="375"/>
      <c r="M1837" s="368"/>
      <c r="N1837" s="368"/>
      <c r="O1837" s="370"/>
      <c r="T1837" s="349"/>
      <c r="V1837" s="378"/>
      <c r="W1837" s="64" ph="1"/>
      <c r="X1837" s="241"/>
      <c r="Y1837" s="284"/>
      <c r="Z1837" s="207"/>
      <c r="AA1837" s="284"/>
      <c r="AB1837" s="284"/>
      <c r="AC1837" s="284"/>
      <c r="AD1837" s="284"/>
      <c r="AE1837" s="284"/>
      <c r="AF1837" s="284"/>
      <c r="AG1837" s="284"/>
      <c r="AI1837" s="131"/>
    </row>
    <row r="1838" spans="1:35" ht="26.4">
      <c r="A1838" s="284"/>
      <c r="B1838" s="284"/>
      <c r="C1838" s="284"/>
      <c r="D1838" s="284"/>
      <c r="E1838" s="284"/>
      <c r="F1838" s="284"/>
      <c r="G1838" s="284"/>
      <c r="H1838" s="284"/>
      <c r="I1838" s="284"/>
      <c r="J1838" s="375"/>
      <c r="K1838" s="375"/>
      <c r="L1838" s="375"/>
      <c r="M1838" s="368"/>
      <c r="N1838" s="368"/>
      <c r="O1838" s="370"/>
      <c r="T1838" s="349"/>
      <c r="V1838" s="378"/>
      <c r="W1838" s="64" ph="1"/>
      <c r="X1838" s="241"/>
      <c r="Y1838" s="284"/>
      <c r="Z1838" s="207"/>
      <c r="AA1838" s="284"/>
      <c r="AB1838" s="284"/>
      <c r="AC1838" s="284"/>
      <c r="AD1838" s="284"/>
      <c r="AE1838" s="284"/>
      <c r="AF1838" s="284"/>
      <c r="AG1838" s="284"/>
      <c r="AI1838" s="131"/>
    </row>
    <row r="1839" spans="1:35" ht="26.4">
      <c r="A1839" s="284"/>
      <c r="B1839" s="284"/>
      <c r="C1839" s="284"/>
      <c r="D1839" s="284"/>
      <c r="E1839" s="284"/>
      <c r="F1839" s="284"/>
      <c r="G1839" s="284"/>
      <c r="H1839" s="284"/>
      <c r="I1839" s="284"/>
      <c r="J1839" s="375"/>
      <c r="K1839" s="375"/>
      <c r="L1839" s="375"/>
      <c r="M1839" s="368"/>
      <c r="N1839" s="368"/>
      <c r="O1839" s="370"/>
      <c r="T1839" s="349"/>
      <c r="V1839" s="378"/>
      <c r="W1839" s="64" ph="1"/>
      <c r="X1839" s="241"/>
      <c r="Y1839" s="284"/>
      <c r="Z1839" s="207"/>
      <c r="AA1839" s="284"/>
      <c r="AB1839" s="284"/>
      <c r="AC1839" s="284"/>
      <c r="AD1839" s="284"/>
      <c r="AE1839" s="284"/>
      <c r="AF1839" s="284"/>
      <c r="AG1839" s="284"/>
      <c r="AI1839" s="131"/>
    </row>
    <row r="1840" spans="1:35" ht="26.4">
      <c r="A1840" s="284"/>
      <c r="B1840" s="284"/>
      <c r="C1840" s="284"/>
      <c r="D1840" s="284"/>
      <c r="E1840" s="284"/>
      <c r="F1840" s="284"/>
      <c r="G1840" s="284"/>
      <c r="H1840" s="284"/>
      <c r="I1840" s="284"/>
      <c r="J1840" s="375"/>
      <c r="K1840" s="375"/>
      <c r="L1840" s="375"/>
      <c r="M1840" s="368"/>
      <c r="N1840" s="368"/>
      <c r="O1840" s="370"/>
      <c r="T1840" s="349"/>
      <c r="V1840" s="378"/>
      <c r="W1840" s="64" ph="1"/>
      <c r="X1840" s="241"/>
      <c r="Y1840" s="284"/>
      <c r="Z1840" s="207"/>
      <c r="AA1840" s="284"/>
      <c r="AB1840" s="284"/>
      <c r="AC1840" s="284"/>
      <c r="AD1840" s="284"/>
      <c r="AE1840" s="284"/>
      <c r="AF1840" s="284"/>
      <c r="AG1840" s="284"/>
      <c r="AI1840" s="131"/>
    </row>
    <row r="1841" spans="1:35" ht="26.4">
      <c r="A1841" s="284"/>
      <c r="B1841" s="284"/>
      <c r="C1841" s="284"/>
      <c r="D1841" s="284"/>
      <c r="E1841" s="284"/>
      <c r="F1841" s="284"/>
      <c r="G1841" s="284"/>
      <c r="H1841" s="284"/>
      <c r="I1841" s="284"/>
      <c r="J1841" s="375"/>
      <c r="K1841" s="375"/>
      <c r="L1841" s="375"/>
      <c r="M1841" s="368"/>
      <c r="N1841" s="368"/>
      <c r="O1841" s="370"/>
      <c r="T1841" s="349"/>
      <c r="V1841" s="378"/>
      <c r="W1841" s="64" ph="1"/>
      <c r="X1841" s="241"/>
      <c r="Y1841" s="284"/>
      <c r="Z1841" s="207"/>
      <c r="AA1841" s="284"/>
      <c r="AB1841" s="284"/>
      <c r="AC1841" s="284"/>
      <c r="AD1841" s="284"/>
      <c r="AE1841" s="284"/>
      <c r="AF1841" s="284"/>
      <c r="AG1841" s="284"/>
      <c r="AI1841" s="131"/>
    </row>
    <row r="1842" spans="1:35" ht="26.4">
      <c r="A1842" s="284"/>
      <c r="B1842" s="284"/>
      <c r="C1842" s="284"/>
      <c r="D1842" s="284"/>
      <c r="E1842" s="284"/>
      <c r="F1842" s="284"/>
      <c r="G1842" s="284"/>
      <c r="H1842" s="284"/>
      <c r="I1842" s="284"/>
      <c r="J1842" s="375"/>
      <c r="K1842" s="375"/>
      <c r="L1842" s="375"/>
      <c r="M1842" s="368"/>
      <c r="N1842" s="368"/>
      <c r="O1842" s="370"/>
      <c r="T1842" s="349"/>
      <c r="V1842" s="378"/>
      <c r="W1842" s="64" ph="1"/>
      <c r="X1842" s="241"/>
      <c r="Y1842" s="284"/>
      <c r="Z1842" s="207"/>
      <c r="AA1842" s="284"/>
      <c r="AB1842" s="284"/>
      <c r="AC1842" s="284"/>
      <c r="AD1842" s="284"/>
      <c r="AE1842" s="284"/>
      <c r="AF1842" s="284"/>
      <c r="AG1842" s="284"/>
      <c r="AI1842" s="131"/>
    </row>
    <row r="1843" spans="1:35" ht="26.4">
      <c r="A1843" s="284"/>
      <c r="B1843" s="284"/>
      <c r="C1843" s="284"/>
      <c r="D1843" s="284"/>
      <c r="E1843" s="284"/>
      <c r="F1843" s="284"/>
      <c r="G1843" s="284"/>
      <c r="H1843" s="284"/>
      <c r="I1843" s="284"/>
      <c r="J1843" s="375"/>
      <c r="K1843" s="375"/>
      <c r="L1843" s="375"/>
      <c r="M1843" s="368"/>
      <c r="N1843" s="368"/>
      <c r="O1843" s="370"/>
      <c r="T1843" s="349"/>
      <c r="V1843" s="378"/>
      <c r="W1843" s="64" ph="1"/>
      <c r="X1843" s="241"/>
      <c r="Y1843" s="284"/>
      <c r="Z1843" s="207"/>
      <c r="AA1843" s="284"/>
      <c r="AB1843" s="284"/>
      <c r="AC1843" s="284"/>
      <c r="AD1843" s="284"/>
      <c r="AE1843" s="284"/>
      <c r="AF1843" s="284"/>
      <c r="AG1843" s="284"/>
      <c r="AI1843" s="284"/>
    </row>
    <row r="1844" spans="1:35" ht="26.4">
      <c r="A1844" s="284"/>
      <c r="B1844" s="284"/>
      <c r="C1844" s="284"/>
      <c r="D1844" s="284"/>
      <c r="E1844" s="284"/>
      <c r="F1844" s="284"/>
      <c r="G1844" s="284"/>
      <c r="H1844" s="284"/>
      <c r="I1844" s="284"/>
      <c r="J1844" s="375"/>
      <c r="K1844" s="375"/>
      <c r="L1844" s="375"/>
      <c r="M1844" s="368"/>
      <c r="N1844" s="368"/>
      <c r="O1844" s="370"/>
      <c r="T1844" s="349"/>
      <c r="V1844" s="378"/>
      <c r="W1844" s="64" ph="1"/>
      <c r="X1844" s="241"/>
      <c r="Y1844" s="284"/>
      <c r="Z1844" s="207"/>
      <c r="AA1844" s="284"/>
      <c r="AB1844" s="284"/>
      <c r="AC1844" s="284"/>
      <c r="AD1844" s="284"/>
      <c r="AE1844" s="284"/>
      <c r="AF1844" s="284"/>
      <c r="AG1844" s="284"/>
      <c r="AI1844" s="131"/>
    </row>
    <row r="1845" spans="1:35" ht="26.4">
      <c r="A1845" s="284"/>
      <c r="B1845" s="284"/>
      <c r="C1845" s="284"/>
      <c r="D1845" s="284"/>
      <c r="E1845" s="284"/>
      <c r="F1845" s="284"/>
      <c r="G1845" s="284"/>
      <c r="H1845" s="284"/>
      <c r="I1845" s="284"/>
      <c r="J1845" s="375"/>
      <c r="K1845" s="375"/>
      <c r="L1845" s="375"/>
      <c r="M1845" s="368"/>
      <c r="N1845" s="368"/>
      <c r="O1845" s="370"/>
      <c r="T1845" s="349"/>
      <c r="V1845" s="378"/>
      <c r="W1845" s="64" ph="1"/>
      <c r="X1845" s="241"/>
      <c r="Y1845" s="284"/>
      <c r="Z1845" s="207"/>
      <c r="AA1845" s="284"/>
      <c r="AB1845" s="284"/>
      <c r="AC1845" s="284"/>
      <c r="AD1845" s="284"/>
      <c r="AE1845" s="284"/>
      <c r="AF1845" s="284"/>
      <c r="AG1845" s="284"/>
      <c r="AI1845" s="131"/>
    </row>
    <row r="1846" spans="1:35" ht="26.4">
      <c r="A1846" s="284"/>
      <c r="B1846" s="284"/>
      <c r="C1846" s="284"/>
      <c r="D1846" s="284"/>
      <c r="E1846" s="284"/>
      <c r="F1846" s="284"/>
      <c r="G1846" s="284"/>
      <c r="H1846" s="284"/>
      <c r="I1846" s="284"/>
      <c r="J1846" s="375"/>
      <c r="K1846" s="375"/>
      <c r="L1846" s="375"/>
      <c r="M1846" s="368"/>
      <c r="N1846" s="368"/>
      <c r="O1846" s="370"/>
      <c r="T1846" s="349"/>
      <c r="V1846" s="378"/>
      <c r="W1846" s="64" ph="1"/>
      <c r="X1846" s="241"/>
      <c r="Y1846" s="284"/>
      <c r="Z1846" s="207"/>
      <c r="AA1846" s="284"/>
      <c r="AB1846" s="284"/>
      <c r="AC1846" s="284"/>
      <c r="AD1846" s="284"/>
      <c r="AE1846" s="284"/>
      <c r="AF1846" s="284"/>
      <c r="AG1846" s="284"/>
      <c r="AI1846" s="131"/>
    </row>
    <row r="1847" spans="1:35" ht="26.4">
      <c r="A1847" s="284"/>
      <c r="B1847" s="284"/>
      <c r="C1847" s="284"/>
      <c r="D1847" s="284"/>
      <c r="E1847" s="284"/>
      <c r="F1847" s="284"/>
      <c r="G1847" s="284"/>
      <c r="H1847" s="284"/>
      <c r="I1847" s="284"/>
      <c r="J1847" s="375"/>
      <c r="K1847" s="375"/>
      <c r="L1847" s="375"/>
      <c r="M1847" s="368"/>
      <c r="N1847" s="368"/>
      <c r="O1847" s="370"/>
      <c r="T1847" s="349"/>
      <c r="V1847" s="378"/>
      <c r="W1847" s="64" ph="1"/>
      <c r="X1847" s="241"/>
      <c r="Y1847" s="284"/>
      <c r="Z1847" s="207"/>
      <c r="AA1847" s="284"/>
      <c r="AB1847" s="284"/>
      <c r="AC1847" s="284"/>
      <c r="AD1847" s="284"/>
      <c r="AE1847" s="284"/>
      <c r="AF1847" s="284"/>
      <c r="AG1847" s="284"/>
      <c r="AI1847" s="131"/>
    </row>
    <row r="1848" spans="1:35" ht="26.4">
      <c r="A1848" s="284"/>
      <c r="B1848" s="284"/>
      <c r="C1848" s="284"/>
      <c r="D1848" s="284"/>
      <c r="E1848" s="284"/>
      <c r="F1848" s="284"/>
      <c r="G1848" s="284"/>
      <c r="H1848" s="284"/>
      <c r="I1848" s="284"/>
      <c r="J1848" s="375"/>
      <c r="K1848" s="375"/>
      <c r="L1848" s="375"/>
      <c r="M1848" s="368"/>
      <c r="N1848" s="368"/>
      <c r="O1848" s="370"/>
      <c r="T1848" s="349"/>
      <c r="V1848" s="378"/>
      <c r="W1848" s="64" ph="1"/>
      <c r="X1848" s="241"/>
      <c r="Y1848" s="284"/>
      <c r="Z1848" s="207"/>
      <c r="AA1848" s="284"/>
      <c r="AB1848" s="284"/>
      <c r="AC1848" s="284"/>
      <c r="AD1848" s="284"/>
      <c r="AE1848" s="284"/>
      <c r="AF1848" s="284"/>
      <c r="AG1848" s="284"/>
      <c r="AI1848" s="284"/>
    </row>
    <row r="1849" spans="1:35" ht="26.4">
      <c r="A1849" s="284"/>
      <c r="B1849" s="284"/>
      <c r="C1849" s="284"/>
      <c r="D1849" s="284"/>
      <c r="E1849" s="284"/>
      <c r="F1849" s="284"/>
      <c r="G1849" s="284"/>
      <c r="H1849" s="284"/>
      <c r="I1849" s="284"/>
      <c r="J1849" s="375"/>
      <c r="K1849" s="375"/>
      <c r="L1849" s="375"/>
      <c r="M1849" s="368"/>
      <c r="N1849" s="368"/>
      <c r="O1849" s="370"/>
      <c r="T1849" s="349"/>
      <c r="V1849" s="378"/>
      <c r="W1849" s="64" ph="1"/>
      <c r="X1849" s="241"/>
      <c r="Y1849" s="284"/>
      <c r="Z1849" s="207"/>
      <c r="AA1849" s="284"/>
      <c r="AB1849" s="284"/>
      <c r="AC1849" s="284"/>
      <c r="AD1849" s="284"/>
      <c r="AE1849" s="284"/>
      <c r="AF1849" s="284"/>
      <c r="AG1849" s="284"/>
      <c r="AI1849" s="131"/>
    </row>
    <row r="1850" spans="1:35" ht="26.4">
      <c r="A1850" s="284"/>
      <c r="B1850" s="284"/>
      <c r="C1850" s="284"/>
      <c r="D1850" s="284"/>
      <c r="E1850" s="284"/>
      <c r="F1850" s="284"/>
      <c r="G1850" s="284"/>
      <c r="H1850" s="284"/>
      <c r="I1850" s="284"/>
      <c r="J1850" s="375"/>
      <c r="K1850" s="375"/>
      <c r="L1850" s="375"/>
      <c r="M1850" s="368"/>
      <c r="N1850" s="368"/>
      <c r="O1850" s="370"/>
      <c r="T1850" s="349"/>
      <c r="V1850" s="378"/>
      <c r="W1850" s="64" ph="1"/>
      <c r="X1850" s="241"/>
      <c r="Y1850" s="284"/>
      <c r="Z1850" s="207"/>
      <c r="AA1850" s="284"/>
      <c r="AB1850" s="284"/>
      <c r="AC1850" s="284"/>
      <c r="AD1850" s="284"/>
      <c r="AE1850" s="284"/>
      <c r="AF1850" s="284"/>
      <c r="AG1850" s="284"/>
      <c r="AI1850" s="131"/>
    </row>
    <row r="1851" spans="1:35" ht="26.4">
      <c r="A1851" s="284"/>
      <c r="B1851" s="284"/>
      <c r="C1851" s="284"/>
      <c r="D1851" s="284"/>
      <c r="E1851" s="284"/>
      <c r="F1851" s="284"/>
      <c r="G1851" s="284"/>
      <c r="H1851" s="284"/>
      <c r="I1851" s="284"/>
      <c r="J1851" s="375"/>
      <c r="K1851" s="375"/>
      <c r="L1851" s="375"/>
      <c r="M1851" s="368"/>
      <c r="N1851" s="368"/>
      <c r="O1851" s="370"/>
      <c r="T1851" s="349"/>
      <c r="V1851" s="378"/>
      <c r="W1851" s="64" ph="1"/>
      <c r="X1851" s="241"/>
      <c r="Y1851" s="284"/>
      <c r="Z1851" s="207"/>
      <c r="AA1851" s="284"/>
      <c r="AB1851" s="284"/>
      <c r="AC1851" s="284"/>
      <c r="AD1851" s="284"/>
      <c r="AE1851" s="284"/>
      <c r="AF1851" s="284"/>
      <c r="AG1851" s="284"/>
      <c r="AI1851" s="131"/>
    </row>
    <row r="1852" spans="1:35" ht="26.4">
      <c r="A1852" s="284"/>
      <c r="B1852" s="284"/>
      <c r="C1852" s="284"/>
      <c r="D1852" s="284"/>
      <c r="E1852" s="284"/>
      <c r="F1852" s="284"/>
      <c r="G1852" s="284"/>
      <c r="H1852" s="284"/>
      <c r="I1852" s="284"/>
      <c r="J1852" s="375"/>
      <c r="K1852" s="375"/>
      <c r="L1852" s="375"/>
      <c r="M1852" s="368"/>
      <c r="N1852" s="368"/>
      <c r="O1852" s="370"/>
      <c r="T1852" s="349"/>
      <c r="V1852" s="378"/>
      <c r="W1852" s="64" ph="1"/>
      <c r="X1852" s="241"/>
      <c r="Y1852" s="284"/>
      <c r="Z1852" s="207"/>
      <c r="AA1852" s="284"/>
      <c r="AB1852" s="284"/>
      <c r="AC1852" s="284"/>
      <c r="AD1852" s="284"/>
      <c r="AE1852" s="284"/>
      <c r="AF1852" s="284"/>
      <c r="AG1852" s="284"/>
      <c r="AI1852" s="131"/>
    </row>
    <row r="1853" spans="1:35" ht="26.4">
      <c r="A1853" s="284"/>
      <c r="B1853" s="284"/>
      <c r="C1853" s="284"/>
      <c r="D1853" s="284"/>
      <c r="E1853" s="284"/>
      <c r="F1853" s="284"/>
      <c r="G1853" s="284"/>
      <c r="H1853" s="284"/>
      <c r="I1853" s="284"/>
      <c r="J1853" s="375"/>
      <c r="K1853" s="375"/>
      <c r="L1853" s="375"/>
      <c r="M1853" s="368"/>
      <c r="N1853" s="368"/>
      <c r="O1853" s="370"/>
      <c r="T1853" s="349"/>
      <c r="V1853" s="378"/>
      <c r="W1853" s="64" ph="1"/>
      <c r="X1853" s="241"/>
      <c r="Y1853" s="284"/>
      <c r="Z1853" s="207"/>
      <c r="AA1853" s="284"/>
      <c r="AB1853" s="284"/>
      <c r="AC1853" s="284"/>
      <c r="AD1853" s="284"/>
      <c r="AE1853" s="284"/>
      <c r="AF1853" s="284"/>
      <c r="AG1853" s="284"/>
      <c r="AI1853" s="131"/>
    </row>
    <row r="1854" spans="1:35" ht="26.4">
      <c r="A1854" s="284"/>
      <c r="B1854" s="284"/>
      <c r="C1854" s="284"/>
      <c r="D1854" s="284"/>
      <c r="E1854" s="284"/>
      <c r="F1854" s="284"/>
      <c r="G1854" s="284"/>
      <c r="H1854" s="284"/>
      <c r="I1854" s="284"/>
      <c r="J1854" s="375"/>
      <c r="K1854" s="375"/>
      <c r="L1854" s="375"/>
      <c r="M1854" s="368"/>
      <c r="N1854" s="368"/>
      <c r="O1854" s="370"/>
      <c r="T1854" s="349"/>
      <c r="V1854" s="378"/>
      <c r="W1854" s="64" ph="1"/>
      <c r="X1854" s="241"/>
      <c r="Y1854" s="284"/>
      <c r="Z1854" s="207"/>
      <c r="AA1854" s="284"/>
      <c r="AB1854" s="284"/>
      <c r="AC1854" s="284"/>
      <c r="AD1854" s="284"/>
      <c r="AE1854" s="284"/>
      <c r="AF1854" s="284"/>
      <c r="AG1854" s="284"/>
      <c r="AI1854" s="131"/>
    </row>
    <row r="1855" spans="1:35" ht="26.4">
      <c r="A1855" s="284"/>
      <c r="B1855" s="284"/>
      <c r="C1855" s="284"/>
      <c r="D1855" s="284"/>
      <c r="E1855" s="284"/>
      <c r="F1855" s="284"/>
      <c r="G1855" s="284"/>
      <c r="H1855" s="284"/>
      <c r="I1855" s="284"/>
      <c r="J1855" s="375"/>
      <c r="K1855" s="375"/>
      <c r="L1855" s="375"/>
      <c r="M1855" s="368"/>
      <c r="N1855" s="368"/>
      <c r="O1855" s="370"/>
      <c r="T1855" s="349"/>
      <c r="V1855" s="378"/>
      <c r="W1855" s="64" ph="1"/>
      <c r="X1855" s="241"/>
      <c r="Y1855" s="284"/>
      <c r="Z1855" s="207"/>
      <c r="AA1855" s="284"/>
      <c r="AB1855" s="284"/>
      <c r="AC1855" s="284"/>
      <c r="AD1855" s="284"/>
      <c r="AE1855" s="284"/>
      <c r="AF1855" s="284"/>
      <c r="AG1855" s="284"/>
      <c r="AI1855" s="131"/>
    </row>
    <row r="1856" spans="1:35" ht="26.4">
      <c r="A1856" s="284"/>
      <c r="B1856" s="284"/>
      <c r="C1856" s="284"/>
      <c r="D1856" s="284"/>
      <c r="E1856" s="284"/>
      <c r="F1856" s="284"/>
      <c r="G1856" s="284"/>
      <c r="H1856" s="284"/>
      <c r="I1856" s="284"/>
      <c r="J1856" s="375"/>
      <c r="K1856" s="375"/>
      <c r="L1856" s="375"/>
      <c r="M1856" s="368"/>
      <c r="N1856" s="368"/>
      <c r="O1856" s="370"/>
      <c r="T1856" s="349"/>
      <c r="V1856" s="378"/>
      <c r="W1856" s="64" ph="1"/>
      <c r="X1856" s="241"/>
      <c r="Y1856" s="284"/>
      <c r="Z1856" s="207"/>
      <c r="AA1856" s="284"/>
      <c r="AB1856" s="284"/>
      <c r="AC1856" s="284"/>
      <c r="AD1856" s="284"/>
      <c r="AE1856" s="284"/>
      <c r="AF1856" s="284"/>
      <c r="AG1856" s="284"/>
      <c r="AI1856" s="131"/>
    </row>
    <row r="1857" spans="1:35" ht="26.4">
      <c r="A1857" s="284"/>
      <c r="B1857" s="284"/>
      <c r="C1857" s="284"/>
      <c r="D1857" s="284"/>
      <c r="E1857" s="284"/>
      <c r="F1857" s="284"/>
      <c r="G1857" s="284"/>
      <c r="H1857" s="284"/>
      <c r="I1857" s="284"/>
      <c r="J1857" s="375"/>
      <c r="K1857" s="375"/>
      <c r="L1857" s="375"/>
      <c r="M1857" s="368"/>
      <c r="N1857" s="368"/>
      <c r="O1857" s="370"/>
      <c r="T1857" s="349"/>
      <c r="V1857" s="378"/>
      <c r="W1857" s="64" ph="1"/>
      <c r="X1857" s="241"/>
      <c r="Y1857" s="284"/>
      <c r="Z1857" s="207"/>
      <c r="AA1857" s="284"/>
      <c r="AB1857" s="284"/>
      <c r="AC1857" s="284"/>
      <c r="AD1857" s="284"/>
      <c r="AE1857" s="284"/>
      <c r="AF1857" s="284"/>
      <c r="AG1857" s="284"/>
      <c r="AI1857" s="131"/>
    </row>
    <row r="1858" spans="1:35" ht="26.4">
      <c r="A1858" s="284"/>
      <c r="B1858" s="284"/>
      <c r="C1858" s="284"/>
      <c r="D1858" s="284"/>
      <c r="E1858" s="284"/>
      <c r="F1858" s="284"/>
      <c r="G1858" s="284"/>
      <c r="H1858" s="284"/>
      <c r="I1858" s="284"/>
      <c r="J1858" s="375"/>
      <c r="K1858" s="375"/>
      <c r="L1858" s="375"/>
      <c r="M1858" s="368"/>
      <c r="N1858" s="368"/>
      <c r="O1858" s="370"/>
      <c r="T1858" s="349"/>
      <c r="V1858" s="378"/>
      <c r="W1858" s="64" ph="1"/>
      <c r="X1858" s="241"/>
      <c r="Y1858" s="284"/>
      <c r="Z1858" s="207"/>
      <c r="AA1858" s="284"/>
      <c r="AB1858" s="284"/>
      <c r="AC1858" s="284"/>
      <c r="AD1858" s="284"/>
      <c r="AE1858" s="284"/>
      <c r="AF1858" s="284"/>
      <c r="AG1858" s="284"/>
      <c r="AI1858" s="131"/>
    </row>
    <row r="1859" spans="1:35" ht="26.4">
      <c r="A1859" s="284"/>
      <c r="B1859" s="284"/>
      <c r="C1859" s="284"/>
      <c r="D1859" s="284"/>
      <c r="E1859" s="284"/>
      <c r="F1859" s="284"/>
      <c r="G1859" s="284"/>
      <c r="H1859" s="284"/>
      <c r="I1859" s="284"/>
      <c r="J1859" s="375"/>
      <c r="K1859" s="375"/>
      <c r="L1859" s="375"/>
      <c r="M1859" s="368"/>
      <c r="N1859" s="368"/>
      <c r="O1859" s="370"/>
      <c r="T1859" s="349"/>
      <c r="V1859" s="378"/>
      <c r="W1859" s="64" ph="1"/>
      <c r="X1859" s="241"/>
      <c r="Y1859" s="284"/>
      <c r="Z1859" s="207"/>
      <c r="AA1859" s="284"/>
      <c r="AB1859" s="284"/>
      <c r="AC1859" s="284"/>
      <c r="AD1859" s="284"/>
      <c r="AE1859" s="284"/>
      <c r="AF1859" s="284"/>
      <c r="AG1859" s="284"/>
      <c r="AI1859" s="131"/>
    </row>
    <row r="1860" spans="1:35" ht="26.4">
      <c r="A1860" s="284"/>
      <c r="B1860" s="284"/>
      <c r="C1860" s="284"/>
      <c r="D1860" s="284"/>
      <c r="E1860" s="284"/>
      <c r="F1860" s="284"/>
      <c r="G1860" s="284"/>
      <c r="H1860" s="284"/>
      <c r="I1860" s="284"/>
      <c r="J1860" s="375"/>
      <c r="K1860" s="375"/>
      <c r="L1860" s="375"/>
      <c r="M1860" s="368"/>
      <c r="N1860" s="368"/>
      <c r="O1860" s="370"/>
      <c r="T1860" s="349"/>
      <c r="V1860" s="378"/>
      <c r="W1860" s="64" ph="1"/>
      <c r="X1860" s="241"/>
      <c r="Y1860" s="284"/>
      <c r="Z1860" s="207"/>
      <c r="AA1860" s="284"/>
      <c r="AB1860" s="284"/>
      <c r="AC1860" s="284"/>
      <c r="AD1860" s="284"/>
      <c r="AE1860" s="284"/>
      <c r="AF1860" s="284"/>
      <c r="AG1860" s="284"/>
      <c r="AI1860" s="284"/>
    </row>
    <row r="1861" spans="1:35" ht="26.4">
      <c r="A1861" s="284"/>
      <c r="B1861" s="284"/>
      <c r="C1861" s="284"/>
      <c r="D1861" s="284"/>
      <c r="E1861" s="284"/>
      <c r="F1861" s="284"/>
      <c r="G1861" s="284"/>
      <c r="H1861" s="284"/>
      <c r="I1861" s="284"/>
      <c r="J1861" s="375"/>
      <c r="K1861" s="375"/>
      <c r="L1861" s="375"/>
      <c r="M1861" s="368"/>
      <c r="N1861" s="368"/>
      <c r="O1861" s="370"/>
      <c r="T1861" s="349"/>
      <c r="V1861" s="378"/>
      <c r="W1861" s="64" ph="1"/>
      <c r="X1861" s="241"/>
      <c r="Y1861" s="284"/>
      <c r="Z1861" s="207"/>
      <c r="AA1861" s="284"/>
      <c r="AB1861" s="284"/>
      <c r="AC1861" s="284"/>
      <c r="AD1861" s="284"/>
      <c r="AE1861" s="284"/>
      <c r="AF1861" s="284"/>
      <c r="AG1861" s="284"/>
      <c r="AI1861" s="284"/>
    </row>
    <row r="1862" spans="1:35" ht="26.4">
      <c r="A1862" s="284"/>
      <c r="B1862" s="284"/>
      <c r="C1862" s="284"/>
      <c r="D1862" s="284"/>
      <c r="E1862" s="284"/>
      <c r="F1862" s="284"/>
      <c r="G1862" s="284"/>
      <c r="H1862" s="284"/>
      <c r="I1862" s="284"/>
      <c r="J1862" s="375"/>
      <c r="K1862" s="375"/>
      <c r="L1862" s="375"/>
      <c r="M1862" s="368"/>
      <c r="N1862" s="368"/>
      <c r="O1862" s="370"/>
      <c r="T1862" s="349"/>
      <c r="V1862" s="378"/>
      <c r="W1862" s="64" ph="1"/>
      <c r="X1862" s="241"/>
      <c r="Y1862" s="284"/>
      <c r="Z1862" s="207"/>
      <c r="AA1862" s="284"/>
      <c r="AB1862" s="284"/>
      <c r="AC1862" s="284"/>
      <c r="AD1862" s="284"/>
      <c r="AE1862" s="284"/>
      <c r="AF1862" s="284"/>
      <c r="AG1862" s="284"/>
      <c r="AI1862" s="284"/>
    </row>
    <row r="1863" spans="1:35" ht="26.4">
      <c r="A1863" s="284"/>
      <c r="B1863" s="284"/>
      <c r="C1863" s="284"/>
      <c r="D1863" s="284"/>
      <c r="E1863" s="284"/>
      <c r="F1863" s="284"/>
      <c r="G1863" s="284"/>
      <c r="H1863" s="284"/>
      <c r="I1863" s="284"/>
      <c r="J1863" s="375"/>
      <c r="K1863" s="375"/>
      <c r="L1863" s="375"/>
      <c r="M1863" s="368"/>
      <c r="N1863" s="368"/>
      <c r="O1863" s="370"/>
      <c r="T1863" s="349"/>
      <c r="V1863" s="378"/>
      <c r="W1863" s="64" ph="1"/>
      <c r="X1863" s="241"/>
      <c r="Y1863" s="284"/>
      <c r="Z1863" s="207"/>
      <c r="AA1863" s="284"/>
      <c r="AB1863" s="284"/>
      <c r="AC1863" s="284"/>
      <c r="AD1863" s="284"/>
      <c r="AE1863" s="284"/>
      <c r="AF1863" s="284"/>
      <c r="AG1863" s="284"/>
      <c r="AI1863" s="284"/>
    </row>
    <row r="1864" spans="1:35" ht="26.4">
      <c r="A1864" s="284"/>
      <c r="B1864" s="284"/>
      <c r="C1864" s="284"/>
      <c r="D1864" s="284"/>
      <c r="E1864" s="284"/>
      <c r="F1864" s="284"/>
      <c r="G1864" s="284"/>
      <c r="H1864" s="284"/>
      <c r="I1864" s="284"/>
      <c r="J1864" s="375"/>
      <c r="K1864" s="375"/>
      <c r="L1864" s="375"/>
      <c r="M1864" s="368"/>
      <c r="N1864" s="368"/>
      <c r="O1864" s="370"/>
      <c r="T1864" s="349"/>
      <c r="V1864" s="378"/>
      <c r="W1864" s="64" ph="1"/>
      <c r="X1864" s="241"/>
      <c r="Y1864" s="284"/>
      <c r="Z1864" s="207"/>
      <c r="AA1864" s="284"/>
      <c r="AB1864" s="284"/>
      <c r="AC1864" s="284"/>
      <c r="AD1864" s="284"/>
      <c r="AE1864" s="284"/>
      <c r="AF1864" s="284"/>
      <c r="AG1864" s="284"/>
      <c r="AI1864" s="284"/>
    </row>
    <row r="1865" spans="1:35" ht="26.4">
      <c r="A1865" s="284"/>
      <c r="B1865" s="284"/>
      <c r="C1865" s="284"/>
      <c r="D1865" s="284"/>
      <c r="E1865" s="284"/>
      <c r="F1865" s="284"/>
      <c r="G1865" s="284"/>
      <c r="H1865" s="284"/>
      <c r="I1865" s="284"/>
      <c r="J1865" s="375"/>
      <c r="K1865" s="375"/>
      <c r="L1865" s="375"/>
      <c r="M1865" s="368"/>
      <c r="N1865" s="368"/>
      <c r="O1865" s="370"/>
      <c r="T1865" s="349"/>
      <c r="V1865" s="378"/>
      <c r="W1865" s="64" ph="1"/>
      <c r="X1865" s="241"/>
      <c r="Y1865" s="284"/>
      <c r="Z1865" s="207"/>
      <c r="AA1865" s="284"/>
      <c r="AB1865" s="284"/>
      <c r="AC1865" s="284"/>
      <c r="AD1865" s="284"/>
      <c r="AE1865" s="284"/>
      <c r="AF1865" s="284"/>
      <c r="AG1865" s="284"/>
      <c r="AI1865" s="284"/>
    </row>
    <row r="1866" spans="1:35" ht="26.4">
      <c r="A1866" s="284"/>
      <c r="B1866" s="284"/>
      <c r="C1866" s="284"/>
      <c r="D1866" s="284"/>
      <c r="E1866" s="284"/>
      <c r="F1866" s="284"/>
      <c r="G1866" s="284"/>
      <c r="H1866" s="284"/>
      <c r="I1866" s="284"/>
      <c r="J1866" s="375"/>
      <c r="K1866" s="375"/>
      <c r="L1866" s="375"/>
      <c r="M1866" s="368"/>
      <c r="N1866" s="368"/>
      <c r="O1866" s="370"/>
      <c r="T1866" s="349"/>
      <c r="V1866" s="378"/>
      <c r="W1866" s="64" ph="1"/>
      <c r="X1866" s="241"/>
      <c r="Y1866" s="284"/>
      <c r="Z1866" s="207"/>
      <c r="AA1866" s="284"/>
      <c r="AB1866" s="284"/>
      <c r="AC1866" s="284"/>
      <c r="AD1866" s="284"/>
      <c r="AE1866" s="284"/>
      <c r="AF1866" s="284"/>
      <c r="AG1866" s="284"/>
      <c r="AI1866" s="284"/>
    </row>
    <row r="1867" spans="1:35" ht="26.4">
      <c r="A1867" s="284"/>
      <c r="B1867" s="284"/>
      <c r="C1867" s="284"/>
      <c r="D1867" s="284"/>
      <c r="E1867" s="284"/>
      <c r="F1867" s="284"/>
      <c r="G1867" s="284"/>
      <c r="H1867" s="284"/>
      <c r="I1867" s="284"/>
      <c r="J1867" s="375"/>
      <c r="K1867" s="375"/>
      <c r="L1867" s="375"/>
      <c r="M1867" s="368"/>
      <c r="N1867" s="368"/>
      <c r="O1867" s="370"/>
      <c r="T1867" s="349"/>
      <c r="V1867" s="378"/>
      <c r="W1867" s="64" ph="1"/>
      <c r="X1867" s="241"/>
      <c r="Y1867" s="284"/>
      <c r="Z1867" s="207"/>
      <c r="AA1867" s="284"/>
      <c r="AB1867" s="284"/>
      <c r="AC1867" s="284"/>
      <c r="AD1867" s="284"/>
      <c r="AE1867" s="284"/>
      <c r="AF1867" s="284"/>
      <c r="AG1867" s="284"/>
      <c r="AI1867" s="284"/>
    </row>
    <row r="1868" spans="1:35" ht="26.4">
      <c r="A1868" s="284"/>
      <c r="B1868" s="284"/>
      <c r="C1868" s="284"/>
      <c r="D1868" s="284"/>
      <c r="E1868" s="284"/>
      <c r="F1868" s="284"/>
      <c r="G1868" s="284"/>
      <c r="H1868" s="284"/>
      <c r="I1868" s="284"/>
      <c r="J1868" s="375"/>
      <c r="K1868" s="375"/>
      <c r="L1868" s="375"/>
      <c r="M1868" s="368"/>
      <c r="N1868" s="368"/>
      <c r="O1868" s="370"/>
      <c r="T1868" s="349"/>
      <c r="V1868" s="378"/>
      <c r="W1868" s="64" ph="1"/>
      <c r="X1868" s="241"/>
      <c r="Y1868" s="284"/>
      <c r="Z1868" s="207"/>
      <c r="AA1868" s="284"/>
      <c r="AB1868" s="284"/>
      <c r="AC1868" s="284"/>
      <c r="AD1868" s="284"/>
      <c r="AE1868" s="284"/>
      <c r="AF1868" s="284"/>
      <c r="AG1868" s="284"/>
      <c r="AI1868" s="284"/>
    </row>
    <row r="1869" spans="1:35" ht="26.4">
      <c r="A1869" s="284"/>
      <c r="B1869" s="284"/>
      <c r="C1869" s="284"/>
      <c r="D1869" s="284"/>
      <c r="E1869" s="284"/>
      <c r="F1869" s="284"/>
      <c r="G1869" s="284"/>
      <c r="H1869" s="284"/>
      <c r="I1869" s="284"/>
      <c r="J1869" s="375"/>
      <c r="K1869" s="375"/>
      <c r="L1869" s="375"/>
      <c r="M1869" s="368"/>
      <c r="N1869" s="368"/>
      <c r="O1869" s="370"/>
      <c r="T1869" s="349"/>
      <c r="V1869" s="378"/>
      <c r="W1869" s="64" ph="1"/>
      <c r="X1869" s="241"/>
      <c r="Y1869" s="284"/>
      <c r="Z1869" s="207"/>
      <c r="AA1869" s="284"/>
      <c r="AB1869" s="284"/>
      <c r="AC1869" s="284"/>
      <c r="AD1869" s="284"/>
      <c r="AE1869" s="284"/>
      <c r="AF1869" s="284"/>
      <c r="AG1869" s="284"/>
      <c r="AI1869" s="131"/>
    </row>
    <row r="1870" spans="1:35" ht="26.4">
      <c r="A1870" s="284"/>
      <c r="B1870" s="284"/>
      <c r="C1870" s="284"/>
      <c r="D1870" s="284"/>
      <c r="E1870" s="284"/>
      <c r="F1870" s="284"/>
      <c r="G1870" s="284"/>
      <c r="H1870" s="284"/>
      <c r="I1870" s="284"/>
      <c r="J1870" s="375"/>
      <c r="K1870" s="375"/>
      <c r="L1870" s="375"/>
      <c r="M1870" s="368"/>
      <c r="N1870" s="368"/>
      <c r="O1870" s="370"/>
      <c r="T1870" s="349"/>
      <c r="V1870" s="378"/>
      <c r="W1870" s="64" ph="1"/>
      <c r="X1870" s="241"/>
      <c r="Y1870" s="284"/>
      <c r="Z1870" s="207"/>
      <c r="AA1870" s="284"/>
      <c r="AB1870" s="284"/>
      <c r="AC1870" s="284"/>
      <c r="AD1870" s="284"/>
      <c r="AE1870" s="284"/>
      <c r="AF1870" s="284"/>
      <c r="AG1870" s="284"/>
      <c r="AI1870" s="284"/>
    </row>
    <row r="1871" spans="1:35" ht="26.4">
      <c r="A1871" s="284"/>
      <c r="B1871" s="284"/>
      <c r="C1871" s="284"/>
      <c r="D1871" s="284"/>
      <c r="E1871" s="284"/>
      <c r="F1871" s="284"/>
      <c r="G1871" s="284"/>
      <c r="H1871" s="284"/>
      <c r="I1871" s="284"/>
      <c r="J1871" s="375"/>
      <c r="K1871" s="375"/>
      <c r="L1871" s="375"/>
      <c r="M1871" s="368"/>
      <c r="N1871" s="368"/>
      <c r="O1871" s="370"/>
      <c r="T1871" s="349"/>
      <c r="V1871" s="378"/>
      <c r="W1871" s="64" ph="1"/>
      <c r="X1871" s="241"/>
      <c r="Y1871" s="284"/>
      <c r="Z1871" s="207"/>
      <c r="AA1871" s="284"/>
      <c r="AB1871" s="284"/>
      <c r="AC1871" s="284"/>
      <c r="AD1871" s="284"/>
      <c r="AE1871" s="284"/>
      <c r="AF1871" s="284"/>
      <c r="AG1871" s="284"/>
      <c r="AI1871" s="284"/>
    </row>
    <row r="1872" spans="1:35" ht="26.4">
      <c r="A1872" s="284"/>
      <c r="B1872" s="284"/>
      <c r="C1872" s="284"/>
      <c r="D1872" s="284"/>
      <c r="E1872" s="284"/>
      <c r="F1872" s="284"/>
      <c r="G1872" s="284"/>
      <c r="H1872" s="284"/>
      <c r="I1872" s="284"/>
      <c r="J1872" s="375"/>
      <c r="K1872" s="375"/>
      <c r="L1872" s="375"/>
      <c r="M1872" s="368"/>
      <c r="N1872" s="368"/>
      <c r="O1872" s="370"/>
      <c r="T1872" s="349"/>
      <c r="V1872" s="378"/>
      <c r="W1872" s="64" ph="1"/>
      <c r="X1872" s="241"/>
      <c r="Y1872" s="284"/>
      <c r="Z1872" s="207"/>
      <c r="AA1872" s="284"/>
      <c r="AB1872" s="284"/>
      <c r="AC1872" s="284"/>
      <c r="AD1872" s="284"/>
      <c r="AE1872" s="284"/>
      <c r="AF1872" s="284"/>
      <c r="AG1872" s="284"/>
      <c r="AI1872" s="284"/>
    </row>
    <row r="1873" spans="1:35" ht="26.4">
      <c r="A1873" s="284"/>
      <c r="B1873" s="284"/>
      <c r="C1873" s="284"/>
      <c r="D1873" s="284"/>
      <c r="E1873" s="284"/>
      <c r="F1873" s="284"/>
      <c r="G1873" s="284"/>
      <c r="H1873" s="284"/>
      <c r="I1873" s="284"/>
      <c r="J1873" s="375"/>
      <c r="K1873" s="375"/>
      <c r="L1873" s="375"/>
      <c r="M1873" s="368"/>
      <c r="N1873" s="368"/>
      <c r="O1873" s="370"/>
      <c r="T1873" s="349"/>
      <c r="V1873" s="378"/>
      <c r="W1873" s="64" ph="1"/>
      <c r="X1873" s="241"/>
      <c r="Y1873" s="284"/>
      <c r="Z1873" s="207"/>
      <c r="AA1873" s="284"/>
      <c r="AB1873" s="284"/>
      <c r="AC1873" s="284"/>
      <c r="AD1873" s="284"/>
      <c r="AE1873" s="284"/>
      <c r="AF1873" s="284"/>
      <c r="AG1873" s="284"/>
      <c r="AI1873" s="131"/>
    </row>
    <row r="1874" spans="1:35" ht="26.4">
      <c r="A1874" s="284"/>
      <c r="B1874" s="284"/>
      <c r="C1874" s="284"/>
      <c r="D1874" s="284"/>
      <c r="E1874" s="284"/>
      <c r="F1874" s="284"/>
      <c r="G1874" s="284"/>
      <c r="H1874" s="284"/>
      <c r="I1874" s="284"/>
      <c r="J1874" s="375"/>
      <c r="K1874" s="375"/>
      <c r="L1874" s="375"/>
      <c r="M1874" s="368"/>
      <c r="N1874" s="368"/>
      <c r="O1874" s="370"/>
      <c r="T1874" s="349"/>
      <c r="V1874" s="378"/>
      <c r="W1874" s="64" ph="1"/>
      <c r="X1874" s="241"/>
      <c r="Y1874" s="284"/>
      <c r="Z1874" s="207"/>
      <c r="AA1874" s="284"/>
      <c r="AB1874" s="284"/>
      <c r="AC1874" s="284"/>
      <c r="AD1874" s="284"/>
      <c r="AE1874" s="284"/>
      <c r="AF1874" s="284"/>
      <c r="AG1874" s="284"/>
      <c r="AI1874" s="284"/>
    </row>
    <row r="1875" spans="1:35" ht="26.4">
      <c r="A1875" s="284"/>
      <c r="B1875" s="284"/>
      <c r="C1875" s="284"/>
      <c r="D1875" s="284"/>
      <c r="E1875" s="284"/>
      <c r="F1875" s="284"/>
      <c r="G1875" s="284"/>
      <c r="H1875" s="284"/>
      <c r="I1875" s="284"/>
      <c r="J1875" s="375"/>
      <c r="K1875" s="375"/>
      <c r="L1875" s="375"/>
      <c r="M1875" s="368"/>
      <c r="N1875" s="368"/>
      <c r="O1875" s="370"/>
      <c r="T1875" s="349"/>
      <c r="V1875" s="378"/>
      <c r="W1875" s="64" ph="1"/>
      <c r="X1875" s="241"/>
      <c r="Y1875" s="284"/>
      <c r="Z1875" s="207"/>
      <c r="AA1875" s="284"/>
      <c r="AB1875" s="284"/>
      <c r="AC1875" s="284"/>
      <c r="AD1875" s="284"/>
      <c r="AE1875" s="284"/>
      <c r="AF1875" s="284"/>
      <c r="AG1875" s="284"/>
      <c r="AI1875" s="284"/>
    </row>
    <row r="1876" spans="1:35" ht="26.4">
      <c r="A1876" s="284"/>
      <c r="B1876" s="284"/>
      <c r="C1876" s="284"/>
      <c r="D1876" s="284"/>
      <c r="E1876" s="284"/>
      <c r="F1876" s="284"/>
      <c r="G1876" s="284"/>
      <c r="H1876" s="284"/>
      <c r="I1876" s="284"/>
      <c r="J1876" s="375"/>
      <c r="K1876" s="375"/>
      <c r="L1876" s="375"/>
      <c r="M1876" s="368"/>
      <c r="N1876" s="368"/>
      <c r="O1876" s="370"/>
      <c r="T1876" s="349"/>
      <c r="V1876" s="378"/>
      <c r="W1876" s="64" ph="1"/>
      <c r="X1876" s="241"/>
      <c r="Y1876" s="284"/>
      <c r="Z1876" s="207"/>
      <c r="AA1876" s="284"/>
      <c r="AB1876" s="284"/>
      <c r="AC1876" s="284"/>
      <c r="AD1876" s="284"/>
      <c r="AE1876" s="284"/>
      <c r="AF1876" s="284"/>
      <c r="AG1876" s="284"/>
      <c r="AI1876" s="131"/>
    </row>
    <row r="1877" spans="1:35" ht="26.4">
      <c r="A1877" s="284"/>
      <c r="B1877" s="284"/>
      <c r="C1877" s="284"/>
      <c r="D1877" s="284"/>
      <c r="E1877" s="284"/>
      <c r="F1877" s="284"/>
      <c r="G1877" s="284"/>
      <c r="H1877" s="284"/>
      <c r="I1877" s="284"/>
      <c r="J1877" s="375"/>
      <c r="K1877" s="375"/>
      <c r="L1877" s="375"/>
      <c r="M1877" s="368"/>
      <c r="N1877" s="368"/>
      <c r="O1877" s="370"/>
      <c r="T1877" s="349"/>
      <c r="V1877" s="378"/>
      <c r="W1877" s="64" ph="1"/>
      <c r="X1877" s="241"/>
      <c r="Y1877" s="284"/>
      <c r="Z1877" s="207"/>
      <c r="AA1877" s="284"/>
      <c r="AB1877" s="284"/>
      <c r="AC1877" s="284"/>
      <c r="AD1877" s="284"/>
      <c r="AE1877" s="284"/>
      <c r="AF1877" s="284"/>
      <c r="AG1877" s="284"/>
      <c r="AI1877" s="131"/>
    </row>
    <row r="1878" spans="1:35" ht="26.4">
      <c r="A1878" s="284"/>
      <c r="B1878" s="284"/>
      <c r="C1878" s="284"/>
      <c r="D1878" s="284"/>
      <c r="E1878" s="284"/>
      <c r="F1878" s="284"/>
      <c r="G1878" s="284"/>
      <c r="H1878" s="284"/>
      <c r="I1878" s="284"/>
      <c r="J1878" s="375"/>
      <c r="K1878" s="375"/>
      <c r="L1878" s="375"/>
      <c r="M1878" s="368"/>
      <c r="N1878" s="368"/>
      <c r="O1878" s="370"/>
      <c r="T1878" s="349"/>
      <c r="V1878" s="378"/>
      <c r="W1878" s="64" ph="1"/>
      <c r="X1878" s="241"/>
      <c r="Y1878" s="284"/>
      <c r="Z1878" s="207"/>
      <c r="AA1878" s="284"/>
      <c r="AB1878" s="284"/>
      <c r="AC1878" s="284"/>
      <c r="AD1878" s="284"/>
      <c r="AE1878" s="284"/>
      <c r="AF1878" s="284"/>
      <c r="AG1878" s="284"/>
    </row>
    <row r="1879" spans="1:35" ht="26.4">
      <c r="A1879" s="284"/>
      <c r="B1879" s="284"/>
      <c r="C1879" s="284"/>
      <c r="D1879" s="284"/>
      <c r="E1879" s="284"/>
      <c r="F1879" s="284"/>
      <c r="G1879" s="284"/>
      <c r="H1879" s="284"/>
      <c r="I1879" s="284"/>
      <c r="J1879" s="375"/>
      <c r="K1879" s="375"/>
      <c r="L1879" s="375"/>
      <c r="M1879" s="368"/>
      <c r="N1879" s="368"/>
      <c r="O1879" s="370"/>
      <c r="T1879" s="349"/>
      <c r="V1879" s="378"/>
      <c r="W1879" s="64" ph="1"/>
      <c r="X1879" s="241"/>
      <c r="Y1879" s="284"/>
      <c r="Z1879" s="207"/>
      <c r="AA1879" s="284"/>
      <c r="AB1879" s="284"/>
      <c r="AC1879" s="284"/>
      <c r="AD1879" s="284"/>
      <c r="AE1879" s="284"/>
      <c r="AF1879" s="284"/>
      <c r="AG1879" s="284"/>
    </row>
    <row r="1880" spans="1:35" ht="26.4">
      <c r="A1880" s="284"/>
      <c r="B1880" s="284"/>
      <c r="C1880" s="284"/>
      <c r="D1880" s="284"/>
      <c r="E1880" s="284"/>
      <c r="F1880" s="284"/>
      <c r="G1880" s="284"/>
      <c r="H1880" s="284"/>
      <c r="I1880" s="284"/>
      <c r="J1880" s="375"/>
      <c r="K1880" s="375"/>
      <c r="L1880" s="375"/>
      <c r="M1880" s="368"/>
      <c r="N1880" s="368"/>
      <c r="O1880" s="370"/>
      <c r="T1880" s="349"/>
      <c r="V1880" s="378"/>
      <c r="W1880" s="64" ph="1"/>
      <c r="X1880" s="241"/>
      <c r="Y1880" s="284"/>
      <c r="Z1880" s="207"/>
      <c r="AA1880" s="284"/>
      <c r="AB1880" s="284"/>
      <c r="AC1880" s="284"/>
      <c r="AD1880" s="284"/>
      <c r="AE1880" s="284"/>
      <c r="AF1880" s="284"/>
      <c r="AG1880" s="284"/>
    </row>
    <row r="1881" spans="1:35" ht="26.4">
      <c r="A1881" s="284"/>
      <c r="B1881" s="284"/>
      <c r="C1881" s="284"/>
      <c r="D1881" s="284"/>
      <c r="E1881" s="284"/>
      <c r="F1881" s="284"/>
      <c r="G1881" s="284"/>
      <c r="H1881" s="284"/>
      <c r="I1881" s="284"/>
      <c r="J1881" s="375"/>
      <c r="K1881" s="375"/>
      <c r="L1881" s="375"/>
      <c r="M1881" s="368"/>
      <c r="N1881" s="368"/>
      <c r="O1881" s="370"/>
      <c r="T1881" s="349"/>
      <c r="V1881" s="378"/>
      <c r="W1881" s="64" ph="1"/>
      <c r="X1881" s="241"/>
      <c r="Y1881" s="284"/>
      <c r="Z1881" s="207"/>
      <c r="AA1881" s="284"/>
      <c r="AB1881" s="284"/>
      <c r="AC1881" s="284"/>
      <c r="AD1881" s="284"/>
      <c r="AE1881" s="284"/>
      <c r="AF1881" s="284"/>
      <c r="AG1881" s="284"/>
    </row>
    <row r="1882" spans="1:35" ht="26.4">
      <c r="A1882" s="284"/>
      <c r="B1882" s="284"/>
      <c r="C1882" s="284"/>
      <c r="D1882" s="284"/>
      <c r="E1882" s="284"/>
      <c r="F1882" s="284"/>
      <c r="G1882" s="284"/>
      <c r="H1882" s="284"/>
      <c r="I1882" s="284"/>
      <c r="J1882" s="375"/>
      <c r="K1882" s="375"/>
      <c r="L1882" s="375"/>
      <c r="M1882" s="368"/>
      <c r="N1882" s="368"/>
      <c r="O1882" s="370"/>
      <c r="T1882" s="349"/>
      <c r="V1882" s="378"/>
      <c r="W1882" s="64" ph="1"/>
      <c r="X1882" s="241"/>
      <c r="Y1882" s="284"/>
      <c r="Z1882" s="207"/>
      <c r="AA1882" s="284"/>
      <c r="AB1882" s="284"/>
      <c r="AC1882" s="284"/>
      <c r="AD1882" s="284"/>
      <c r="AE1882" s="284"/>
      <c r="AF1882" s="284"/>
      <c r="AG1882" s="284"/>
    </row>
    <row r="1883" spans="1:35" ht="26.4">
      <c r="A1883" s="284"/>
      <c r="B1883" s="284"/>
      <c r="C1883" s="284"/>
      <c r="D1883" s="284"/>
      <c r="E1883" s="284"/>
      <c r="F1883" s="284"/>
      <c r="G1883" s="284"/>
      <c r="H1883" s="284"/>
      <c r="I1883" s="284"/>
      <c r="J1883" s="375"/>
      <c r="K1883" s="375"/>
      <c r="L1883" s="375"/>
      <c r="M1883" s="368"/>
      <c r="N1883" s="368"/>
      <c r="O1883" s="370"/>
      <c r="T1883" s="349"/>
      <c r="V1883" s="378"/>
      <c r="W1883" s="64" ph="1"/>
      <c r="X1883" s="241"/>
      <c r="Y1883" s="284"/>
      <c r="Z1883" s="207"/>
      <c r="AA1883" s="284"/>
      <c r="AB1883" s="284"/>
      <c r="AC1883" s="284"/>
      <c r="AD1883" s="284"/>
      <c r="AE1883" s="284"/>
      <c r="AF1883" s="284"/>
      <c r="AG1883" s="284"/>
    </row>
    <row r="1884" spans="1:35" ht="26.4">
      <c r="A1884" s="284"/>
      <c r="B1884" s="284"/>
      <c r="C1884" s="284"/>
      <c r="D1884" s="284"/>
      <c r="E1884" s="284"/>
      <c r="F1884" s="284"/>
      <c r="G1884" s="284"/>
      <c r="H1884" s="284"/>
      <c r="I1884" s="284"/>
      <c r="J1884" s="375"/>
      <c r="K1884" s="375"/>
      <c r="L1884" s="375"/>
      <c r="M1884" s="368"/>
      <c r="N1884" s="368"/>
      <c r="O1884" s="370"/>
      <c r="T1884" s="349"/>
      <c r="V1884" s="378"/>
      <c r="W1884" s="64" ph="1"/>
      <c r="X1884" s="241"/>
      <c r="Y1884" s="284"/>
      <c r="Z1884" s="207"/>
      <c r="AA1884" s="284"/>
      <c r="AB1884" s="284"/>
      <c r="AC1884" s="284"/>
      <c r="AD1884" s="284"/>
      <c r="AE1884" s="284"/>
      <c r="AF1884" s="284"/>
      <c r="AG1884" s="284"/>
    </row>
    <row r="1885" spans="1:35" ht="26.4">
      <c r="A1885" s="284"/>
      <c r="B1885" s="284"/>
      <c r="C1885" s="284"/>
      <c r="D1885" s="284"/>
      <c r="E1885" s="284"/>
      <c r="F1885" s="284"/>
      <c r="G1885" s="284"/>
      <c r="H1885" s="284"/>
      <c r="I1885" s="284"/>
      <c r="J1885" s="375"/>
      <c r="K1885" s="375"/>
      <c r="L1885" s="375"/>
      <c r="M1885" s="368"/>
      <c r="N1885" s="368"/>
      <c r="O1885" s="370"/>
      <c r="T1885" s="349"/>
      <c r="V1885" s="378"/>
      <c r="W1885" s="64" ph="1"/>
      <c r="X1885" s="241"/>
      <c r="Y1885" s="284"/>
      <c r="Z1885" s="207"/>
      <c r="AA1885" s="284"/>
      <c r="AB1885" s="284"/>
      <c r="AC1885" s="284"/>
      <c r="AD1885" s="284"/>
      <c r="AE1885" s="284"/>
      <c r="AF1885" s="284"/>
      <c r="AG1885" s="284"/>
    </row>
    <row r="1886" spans="1:35" ht="26.4">
      <c r="A1886" s="284"/>
      <c r="B1886" s="284"/>
      <c r="C1886" s="284"/>
      <c r="D1886" s="284"/>
      <c r="E1886" s="284"/>
      <c r="F1886" s="284"/>
      <c r="G1886" s="284"/>
      <c r="H1886" s="284"/>
      <c r="I1886" s="284"/>
      <c r="J1886" s="375"/>
      <c r="K1886" s="375"/>
      <c r="L1886" s="375"/>
      <c r="M1886" s="368"/>
      <c r="N1886" s="368"/>
      <c r="O1886" s="370"/>
      <c r="T1886" s="349"/>
      <c r="V1886" s="378"/>
      <c r="W1886" s="64" ph="1"/>
      <c r="X1886" s="241"/>
      <c r="Y1886" s="284"/>
      <c r="Z1886" s="207"/>
      <c r="AA1886" s="284"/>
      <c r="AB1886" s="284"/>
      <c r="AC1886" s="284"/>
      <c r="AD1886" s="284"/>
      <c r="AE1886" s="284"/>
      <c r="AF1886" s="284"/>
      <c r="AG1886" s="284"/>
    </row>
    <row r="1887" spans="1:35" ht="26.4">
      <c r="A1887" s="284"/>
      <c r="B1887" s="284"/>
      <c r="C1887" s="284"/>
      <c r="D1887" s="284"/>
      <c r="E1887" s="284"/>
      <c r="F1887" s="284"/>
      <c r="G1887" s="284"/>
      <c r="H1887" s="284"/>
      <c r="I1887" s="284"/>
      <c r="J1887" s="375"/>
      <c r="K1887" s="375"/>
      <c r="L1887" s="375"/>
      <c r="M1887" s="368"/>
      <c r="N1887" s="368"/>
      <c r="O1887" s="370"/>
      <c r="T1887" s="349"/>
      <c r="V1887" s="378"/>
      <c r="W1887" s="64" ph="1"/>
      <c r="X1887" s="241"/>
      <c r="Y1887" s="284"/>
      <c r="Z1887" s="207"/>
      <c r="AA1887" s="284"/>
      <c r="AB1887" s="284"/>
      <c r="AC1887" s="284"/>
      <c r="AD1887" s="284"/>
      <c r="AE1887" s="284"/>
      <c r="AF1887" s="284"/>
      <c r="AG1887" s="284"/>
    </row>
    <row r="1888" spans="1:35" ht="26.4">
      <c r="A1888" s="284"/>
      <c r="B1888" s="284"/>
      <c r="C1888" s="284"/>
      <c r="D1888" s="284"/>
      <c r="E1888" s="284"/>
      <c r="F1888" s="284"/>
      <c r="G1888" s="284"/>
      <c r="H1888" s="284"/>
      <c r="I1888" s="284"/>
      <c r="J1888" s="375"/>
      <c r="K1888" s="375"/>
      <c r="L1888" s="375"/>
      <c r="M1888" s="368"/>
      <c r="N1888" s="368"/>
      <c r="O1888" s="370"/>
      <c r="T1888" s="349"/>
      <c r="V1888" s="378"/>
      <c r="W1888" s="64" ph="1"/>
      <c r="X1888" s="241"/>
      <c r="Y1888" s="284"/>
      <c r="Z1888" s="207"/>
      <c r="AA1888" s="284"/>
      <c r="AB1888" s="284"/>
      <c r="AC1888" s="284"/>
      <c r="AD1888" s="284"/>
      <c r="AE1888" s="284"/>
      <c r="AF1888" s="284"/>
      <c r="AG1888" s="284"/>
    </row>
    <row r="1889" spans="1:33" ht="26.4">
      <c r="A1889" s="284"/>
      <c r="B1889" s="284"/>
      <c r="C1889" s="284"/>
      <c r="D1889" s="284"/>
      <c r="E1889" s="284"/>
      <c r="F1889" s="284"/>
      <c r="G1889" s="284"/>
      <c r="H1889" s="284"/>
      <c r="I1889" s="284"/>
      <c r="J1889" s="375"/>
      <c r="K1889" s="375"/>
      <c r="L1889" s="375"/>
      <c r="M1889" s="368"/>
      <c r="N1889" s="368"/>
      <c r="O1889" s="370"/>
      <c r="T1889" s="349"/>
      <c r="V1889" s="378"/>
      <c r="W1889" s="64" ph="1"/>
      <c r="X1889" s="241"/>
      <c r="Y1889" s="284"/>
      <c r="Z1889" s="207"/>
      <c r="AA1889" s="284"/>
      <c r="AB1889" s="284"/>
      <c r="AC1889" s="284"/>
      <c r="AD1889" s="284"/>
      <c r="AE1889" s="284"/>
      <c r="AF1889" s="284"/>
      <c r="AG1889" s="284"/>
    </row>
    <row r="1890" spans="1:33" ht="26.4">
      <c r="A1890" s="284"/>
      <c r="B1890" s="284"/>
      <c r="C1890" s="284"/>
      <c r="D1890" s="284"/>
      <c r="E1890" s="284"/>
      <c r="F1890" s="284"/>
      <c r="G1890" s="284"/>
      <c r="H1890" s="284"/>
      <c r="I1890" s="284"/>
      <c r="J1890" s="375"/>
      <c r="K1890" s="375"/>
      <c r="L1890" s="375"/>
      <c r="M1890" s="368"/>
      <c r="N1890" s="368"/>
      <c r="O1890" s="370"/>
      <c r="T1890" s="349"/>
      <c r="V1890" s="378"/>
      <c r="W1890" s="64" ph="1"/>
      <c r="X1890" s="241"/>
      <c r="Y1890" s="284"/>
      <c r="Z1890" s="207"/>
      <c r="AA1890" s="284"/>
      <c r="AB1890" s="284"/>
      <c r="AC1890" s="284"/>
      <c r="AD1890" s="284"/>
      <c r="AE1890" s="284"/>
      <c r="AF1890" s="284"/>
      <c r="AG1890" s="284"/>
    </row>
    <row r="1891" spans="1:33" ht="26.4">
      <c r="A1891" s="284"/>
      <c r="B1891" s="284"/>
      <c r="C1891" s="284"/>
      <c r="D1891" s="284"/>
      <c r="E1891" s="284"/>
      <c r="F1891" s="284"/>
      <c r="G1891" s="284"/>
      <c r="H1891" s="284"/>
      <c r="I1891" s="284"/>
      <c r="J1891" s="375"/>
      <c r="K1891" s="375"/>
      <c r="L1891" s="375"/>
      <c r="M1891" s="368"/>
      <c r="N1891" s="368"/>
      <c r="O1891" s="370"/>
      <c r="T1891" s="349"/>
      <c r="V1891" s="378"/>
      <c r="W1891" s="64" ph="1"/>
      <c r="X1891" s="241"/>
      <c r="Y1891" s="284"/>
      <c r="Z1891" s="207"/>
      <c r="AA1891" s="284"/>
      <c r="AB1891" s="284"/>
      <c r="AC1891" s="284"/>
      <c r="AD1891" s="284"/>
      <c r="AE1891" s="284"/>
      <c r="AF1891" s="284"/>
      <c r="AG1891" s="284"/>
    </row>
    <row r="1892" spans="1:33" ht="26.4">
      <c r="A1892" s="284"/>
      <c r="B1892" s="284"/>
      <c r="C1892" s="284"/>
      <c r="D1892" s="284"/>
      <c r="E1892" s="284"/>
      <c r="F1892" s="284"/>
      <c r="G1892" s="284"/>
      <c r="H1892" s="284"/>
      <c r="I1892" s="284"/>
      <c r="J1892" s="375"/>
      <c r="K1892" s="375"/>
      <c r="L1892" s="375"/>
      <c r="M1892" s="368"/>
      <c r="N1892" s="368"/>
      <c r="O1892" s="370"/>
      <c r="T1892" s="349"/>
      <c r="V1892" s="378"/>
      <c r="W1892" s="64" ph="1"/>
      <c r="X1892" s="241"/>
      <c r="Y1892" s="284"/>
      <c r="Z1892" s="207"/>
      <c r="AA1892" s="284"/>
      <c r="AB1892" s="284"/>
      <c r="AC1892" s="284"/>
      <c r="AD1892" s="284"/>
      <c r="AE1892" s="284"/>
      <c r="AF1892" s="284"/>
      <c r="AG1892" s="284"/>
    </row>
    <row r="1893" spans="1:33" ht="26.4">
      <c r="A1893" s="284"/>
      <c r="B1893" s="284"/>
      <c r="C1893" s="284"/>
      <c r="D1893" s="284"/>
      <c r="E1893" s="284"/>
      <c r="F1893" s="284"/>
      <c r="G1893" s="284"/>
      <c r="H1893" s="284"/>
      <c r="I1893" s="284"/>
      <c r="J1893" s="375"/>
      <c r="K1893" s="375"/>
      <c r="L1893" s="375"/>
      <c r="M1893" s="368"/>
      <c r="N1893" s="368"/>
      <c r="O1893" s="370"/>
      <c r="T1893" s="349"/>
      <c r="V1893" s="378"/>
      <c r="W1893" s="64" ph="1"/>
      <c r="X1893" s="241"/>
      <c r="Y1893" s="284"/>
      <c r="Z1893" s="207"/>
      <c r="AA1893" s="284"/>
      <c r="AB1893" s="284"/>
      <c r="AC1893" s="284"/>
      <c r="AD1893" s="284"/>
      <c r="AE1893" s="284"/>
      <c r="AF1893" s="284"/>
      <c r="AG1893" s="284"/>
    </row>
    <row r="1894" spans="1:33" ht="26.4">
      <c r="A1894" s="284"/>
      <c r="B1894" s="284"/>
      <c r="C1894" s="284"/>
      <c r="D1894" s="284"/>
      <c r="E1894" s="284"/>
      <c r="F1894" s="284"/>
      <c r="G1894" s="284"/>
      <c r="H1894" s="284"/>
      <c r="I1894" s="284"/>
      <c r="J1894" s="375"/>
      <c r="K1894" s="375"/>
      <c r="L1894" s="375"/>
      <c r="M1894" s="368"/>
      <c r="N1894" s="368"/>
      <c r="O1894" s="370"/>
      <c r="T1894" s="349"/>
      <c r="V1894" s="378"/>
      <c r="W1894" s="64" ph="1"/>
      <c r="X1894" s="241"/>
      <c r="Y1894" s="284"/>
      <c r="Z1894" s="207"/>
      <c r="AA1894" s="284"/>
      <c r="AB1894" s="284"/>
      <c r="AC1894" s="284"/>
      <c r="AD1894" s="284"/>
      <c r="AE1894" s="284"/>
      <c r="AF1894" s="284"/>
      <c r="AG1894" s="284"/>
    </row>
    <row r="1895" spans="1:33" ht="26.4">
      <c r="A1895" s="284"/>
      <c r="B1895" s="284"/>
      <c r="C1895" s="284"/>
      <c r="D1895" s="284"/>
      <c r="E1895" s="284"/>
      <c r="F1895" s="284"/>
      <c r="G1895" s="284"/>
      <c r="H1895" s="284"/>
      <c r="I1895" s="284"/>
      <c r="J1895" s="375"/>
      <c r="K1895" s="375"/>
      <c r="L1895" s="375"/>
      <c r="M1895" s="368"/>
      <c r="N1895" s="368"/>
      <c r="O1895" s="370"/>
      <c r="T1895" s="349"/>
      <c r="V1895" s="378"/>
      <c r="W1895" s="64" ph="1"/>
      <c r="X1895" s="241"/>
      <c r="Y1895" s="284"/>
      <c r="Z1895" s="207"/>
      <c r="AA1895" s="284"/>
      <c r="AB1895" s="284"/>
      <c r="AC1895" s="284"/>
      <c r="AD1895" s="284"/>
      <c r="AE1895" s="284"/>
      <c r="AF1895" s="284"/>
      <c r="AG1895" s="284"/>
    </row>
    <row r="1896" spans="1:33" ht="26.4">
      <c r="A1896" s="284"/>
      <c r="B1896" s="284"/>
      <c r="C1896" s="284"/>
      <c r="D1896" s="284"/>
      <c r="E1896" s="284"/>
      <c r="F1896" s="284"/>
      <c r="G1896" s="284"/>
      <c r="H1896" s="284"/>
      <c r="I1896" s="284"/>
      <c r="J1896" s="375"/>
      <c r="K1896" s="375"/>
      <c r="L1896" s="375"/>
      <c r="M1896" s="368"/>
      <c r="N1896" s="368"/>
      <c r="O1896" s="370"/>
      <c r="T1896" s="349"/>
      <c r="V1896" s="378"/>
      <c r="W1896" s="64" ph="1"/>
      <c r="X1896" s="241"/>
      <c r="Y1896" s="284"/>
      <c r="Z1896" s="207"/>
      <c r="AA1896" s="284"/>
      <c r="AB1896" s="284"/>
      <c r="AC1896" s="284"/>
      <c r="AD1896" s="284"/>
      <c r="AE1896" s="284"/>
      <c r="AF1896" s="284"/>
      <c r="AG1896" s="284"/>
    </row>
    <row r="1897" spans="1:33" ht="26.4">
      <c r="A1897" s="284"/>
      <c r="B1897" s="284"/>
      <c r="C1897" s="284"/>
      <c r="D1897" s="284"/>
      <c r="E1897" s="284"/>
      <c r="F1897" s="284"/>
      <c r="G1897" s="284"/>
      <c r="H1897" s="284"/>
      <c r="I1897" s="284"/>
      <c r="J1897" s="375"/>
      <c r="K1897" s="375"/>
      <c r="L1897" s="375"/>
      <c r="M1897" s="368"/>
      <c r="N1897" s="368"/>
      <c r="O1897" s="370"/>
      <c r="T1897" s="349"/>
      <c r="V1897" s="378"/>
      <c r="W1897" s="64" ph="1"/>
      <c r="X1897" s="241"/>
      <c r="Y1897" s="284"/>
      <c r="Z1897" s="207"/>
      <c r="AA1897" s="284"/>
      <c r="AB1897" s="284"/>
      <c r="AC1897" s="284"/>
      <c r="AD1897" s="284"/>
      <c r="AE1897" s="284"/>
      <c r="AF1897" s="284"/>
      <c r="AG1897" s="284"/>
    </row>
    <row r="1898" spans="1:33" ht="26.4">
      <c r="A1898" s="284"/>
      <c r="B1898" s="284"/>
      <c r="C1898" s="284"/>
      <c r="D1898" s="284"/>
      <c r="E1898" s="284"/>
      <c r="F1898" s="284"/>
      <c r="G1898" s="284"/>
      <c r="H1898" s="284"/>
      <c r="I1898" s="284"/>
      <c r="J1898" s="375"/>
      <c r="K1898" s="375"/>
      <c r="L1898" s="375"/>
      <c r="M1898" s="368"/>
      <c r="N1898" s="368"/>
      <c r="O1898" s="370"/>
      <c r="T1898" s="349"/>
      <c r="V1898" s="378"/>
      <c r="W1898" s="64" ph="1"/>
      <c r="X1898" s="241"/>
      <c r="Y1898" s="284"/>
      <c r="Z1898" s="207"/>
      <c r="AA1898" s="284"/>
      <c r="AB1898" s="284"/>
      <c r="AC1898" s="284"/>
      <c r="AD1898" s="284"/>
      <c r="AE1898" s="284"/>
      <c r="AF1898" s="284"/>
      <c r="AG1898" s="284"/>
    </row>
    <row r="1899" spans="1:33" ht="26.4">
      <c r="A1899" s="284"/>
      <c r="B1899" s="284"/>
      <c r="C1899" s="284"/>
      <c r="D1899" s="284"/>
      <c r="E1899" s="284"/>
      <c r="F1899" s="284"/>
      <c r="G1899" s="284"/>
      <c r="H1899" s="284"/>
      <c r="I1899" s="284"/>
      <c r="J1899" s="375"/>
      <c r="K1899" s="375"/>
      <c r="L1899" s="375"/>
      <c r="M1899" s="368"/>
      <c r="N1899" s="368"/>
      <c r="O1899" s="370"/>
      <c r="T1899" s="349"/>
      <c r="V1899" s="378"/>
      <c r="W1899" s="64" ph="1"/>
      <c r="X1899" s="241"/>
      <c r="Y1899" s="284"/>
      <c r="Z1899" s="207"/>
      <c r="AA1899" s="284"/>
      <c r="AB1899" s="284"/>
      <c r="AC1899" s="284"/>
      <c r="AD1899" s="284"/>
      <c r="AE1899" s="284"/>
      <c r="AF1899" s="284"/>
      <c r="AG1899" s="284"/>
    </row>
    <row r="1900" spans="1:33" ht="26.4">
      <c r="A1900" s="284"/>
      <c r="B1900" s="284"/>
      <c r="C1900" s="284"/>
      <c r="D1900" s="284"/>
      <c r="E1900" s="284"/>
      <c r="F1900" s="284"/>
      <c r="G1900" s="284"/>
      <c r="H1900" s="284"/>
      <c r="I1900" s="284"/>
      <c r="J1900" s="375"/>
      <c r="K1900" s="375"/>
      <c r="L1900" s="375"/>
      <c r="M1900" s="368"/>
      <c r="N1900" s="368"/>
      <c r="O1900" s="370"/>
      <c r="T1900" s="349"/>
      <c r="V1900" s="378"/>
      <c r="W1900" s="64" ph="1"/>
      <c r="X1900" s="241"/>
      <c r="Y1900" s="284"/>
      <c r="Z1900" s="207"/>
      <c r="AA1900" s="284"/>
      <c r="AB1900" s="284"/>
      <c r="AC1900" s="284"/>
      <c r="AD1900" s="284"/>
      <c r="AE1900" s="284"/>
      <c r="AF1900" s="284"/>
      <c r="AG1900" s="284"/>
    </row>
    <row r="1901" spans="1:33" ht="26.4">
      <c r="A1901" s="284"/>
      <c r="B1901" s="284"/>
      <c r="C1901" s="284"/>
      <c r="D1901" s="284"/>
      <c r="E1901" s="284"/>
      <c r="F1901" s="284"/>
      <c r="G1901" s="284"/>
      <c r="H1901" s="284"/>
      <c r="I1901" s="284"/>
      <c r="J1901" s="375"/>
      <c r="K1901" s="375"/>
      <c r="L1901" s="375"/>
      <c r="M1901" s="368"/>
      <c r="N1901" s="368"/>
      <c r="O1901" s="370"/>
      <c r="T1901" s="349"/>
      <c r="V1901" s="378"/>
      <c r="W1901" s="64" ph="1"/>
      <c r="X1901" s="241"/>
      <c r="Y1901" s="284"/>
      <c r="Z1901" s="207"/>
      <c r="AA1901" s="284"/>
      <c r="AB1901" s="284"/>
      <c r="AC1901" s="284"/>
      <c r="AD1901" s="284"/>
      <c r="AE1901" s="284"/>
      <c r="AF1901" s="284"/>
      <c r="AG1901" s="284"/>
    </row>
    <row r="1902" spans="1:33" ht="26.4">
      <c r="A1902" s="284"/>
      <c r="B1902" s="284"/>
      <c r="C1902" s="284"/>
      <c r="D1902" s="284"/>
      <c r="E1902" s="284"/>
      <c r="F1902" s="284"/>
      <c r="G1902" s="284"/>
      <c r="H1902" s="284"/>
      <c r="I1902" s="284"/>
      <c r="J1902" s="375"/>
      <c r="K1902" s="375"/>
      <c r="L1902" s="375"/>
      <c r="M1902" s="368"/>
      <c r="N1902" s="368"/>
      <c r="O1902" s="370"/>
      <c r="T1902" s="349"/>
      <c r="V1902" s="378"/>
      <c r="W1902" s="64" ph="1"/>
      <c r="X1902" s="241"/>
      <c r="Y1902" s="284"/>
      <c r="Z1902" s="207"/>
      <c r="AA1902" s="284"/>
      <c r="AB1902" s="284"/>
      <c r="AC1902" s="284"/>
      <c r="AD1902" s="284"/>
      <c r="AE1902" s="284"/>
      <c r="AF1902" s="284"/>
      <c r="AG1902" s="284"/>
    </row>
    <row r="1903" spans="1:33" ht="26.4">
      <c r="A1903" s="284"/>
      <c r="B1903" s="284"/>
      <c r="C1903" s="284"/>
      <c r="D1903" s="284"/>
      <c r="E1903" s="284"/>
      <c r="F1903" s="284"/>
      <c r="G1903" s="284"/>
      <c r="H1903" s="284"/>
      <c r="I1903" s="284"/>
      <c r="J1903" s="375"/>
      <c r="K1903" s="375"/>
      <c r="L1903" s="375"/>
      <c r="M1903" s="368"/>
      <c r="N1903" s="368"/>
      <c r="O1903" s="370"/>
      <c r="T1903" s="349"/>
      <c r="V1903" s="378"/>
      <c r="W1903" s="64" ph="1"/>
      <c r="X1903" s="241"/>
      <c r="Y1903" s="284"/>
      <c r="Z1903" s="207"/>
      <c r="AA1903" s="284"/>
      <c r="AB1903" s="284"/>
      <c r="AC1903" s="284"/>
      <c r="AD1903" s="284"/>
      <c r="AE1903" s="284"/>
      <c r="AF1903" s="284"/>
      <c r="AG1903" s="284"/>
    </row>
    <row r="1904" spans="1:33" ht="26.4">
      <c r="A1904" s="284"/>
      <c r="B1904" s="284"/>
      <c r="C1904" s="284"/>
      <c r="D1904" s="284"/>
      <c r="E1904" s="284"/>
      <c r="F1904" s="284"/>
      <c r="G1904" s="284"/>
      <c r="H1904" s="284"/>
      <c r="I1904" s="284"/>
      <c r="J1904" s="375"/>
      <c r="K1904" s="375"/>
      <c r="L1904" s="375"/>
      <c r="M1904" s="368"/>
      <c r="N1904" s="368"/>
      <c r="O1904" s="370"/>
      <c r="T1904" s="349"/>
      <c r="V1904" s="378"/>
      <c r="W1904" s="64" ph="1"/>
      <c r="X1904" s="241"/>
      <c r="Y1904" s="284"/>
      <c r="Z1904" s="207"/>
      <c r="AA1904" s="284"/>
      <c r="AB1904" s="284"/>
      <c r="AC1904" s="284"/>
      <c r="AD1904" s="284"/>
      <c r="AE1904" s="284"/>
      <c r="AF1904" s="284"/>
      <c r="AG1904" s="284"/>
    </row>
    <row r="1905" spans="1:33" ht="26.4">
      <c r="A1905" s="284"/>
      <c r="B1905" s="284"/>
      <c r="C1905" s="284"/>
      <c r="D1905" s="284"/>
      <c r="E1905" s="284"/>
      <c r="F1905" s="284"/>
      <c r="G1905" s="284"/>
      <c r="H1905" s="284"/>
      <c r="I1905" s="284"/>
      <c r="J1905" s="375"/>
      <c r="K1905" s="375"/>
      <c r="L1905" s="375"/>
      <c r="M1905" s="368"/>
      <c r="N1905" s="368"/>
      <c r="O1905" s="370"/>
      <c r="T1905" s="349"/>
      <c r="V1905" s="378"/>
      <c r="W1905" s="64" ph="1"/>
      <c r="X1905" s="241"/>
      <c r="Y1905" s="284"/>
      <c r="Z1905" s="207"/>
      <c r="AA1905" s="284"/>
      <c r="AB1905" s="284"/>
      <c r="AC1905" s="284"/>
      <c r="AD1905" s="284"/>
      <c r="AE1905" s="284"/>
      <c r="AF1905" s="284"/>
      <c r="AG1905" s="284"/>
    </row>
    <row r="1906" spans="1:33" ht="26.4">
      <c r="A1906" s="284"/>
      <c r="B1906" s="284"/>
      <c r="C1906" s="284"/>
      <c r="D1906" s="284"/>
      <c r="E1906" s="284"/>
      <c r="F1906" s="284"/>
      <c r="G1906" s="284"/>
      <c r="H1906" s="284"/>
      <c r="I1906" s="284"/>
      <c r="J1906" s="375"/>
      <c r="K1906" s="375"/>
      <c r="L1906" s="375"/>
      <c r="M1906" s="368"/>
      <c r="N1906" s="368"/>
      <c r="O1906" s="370"/>
      <c r="T1906" s="349"/>
      <c r="V1906" s="378"/>
      <c r="W1906" s="64" ph="1"/>
      <c r="X1906" s="241"/>
      <c r="Y1906" s="284"/>
      <c r="Z1906" s="207"/>
      <c r="AA1906" s="284"/>
      <c r="AB1906" s="284"/>
      <c r="AC1906" s="284"/>
      <c r="AD1906" s="284"/>
      <c r="AE1906" s="284"/>
      <c r="AF1906" s="284"/>
      <c r="AG1906" s="284"/>
    </row>
    <row r="1907" spans="1:33" ht="26.4">
      <c r="A1907" s="284"/>
      <c r="B1907" s="284"/>
      <c r="C1907" s="284"/>
      <c r="D1907" s="284"/>
      <c r="E1907" s="284"/>
      <c r="F1907" s="284"/>
      <c r="G1907" s="284"/>
      <c r="H1907" s="284"/>
      <c r="I1907" s="284"/>
      <c r="J1907" s="375"/>
      <c r="K1907" s="375"/>
      <c r="L1907" s="375"/>
      <c r="M1907" s="368"/>
      <c r="N1907" s="368"/>
      <c r="O1907" s="370"/>
      <c r="T1907" s="349"/>
      <c r="V1907" s="378"/>
      <c r="W1907" s="64" ph="1"/>
      <c r="X1907" s="241"/>
      <c r="Y1907" s="284"/>
      <c r="Z1907" s="207"/>
      <c r="AA1907" s="284"/>
      <c r="AB1907" s="284"/>
      <c r="AC1907" s="284"/>
      <c r="AD1907" s="284"/>
      <c r="AE1907" s="284"/>
      <c r="AF1907" s="284"/>
      <c r="AG1907" s="284"/>
    </row>
    <row r="1908" spans="1:33" ht="26.4">
      <c r="A1908" s="284"/>
      <c r="B1908" s="284"/>
      <c r="C1908" s="284"/>
      <c r="D1908" s="284"/>
      <c r="E1908" s="284"/>
      <c r="F1908" s="284"/>
      <c r="G1908" s="284"/>
      <c r="H1908" s="284"/>
      <c r="I1908" s="284"/>
      <c r="J1908" s="375"/>
      <c r="K1908" s="375"/>
      <c r="L1908" s="375"/>
      <c r="M1908" s="368"/>
      <c r="N1908" s="368"/>
      <c r="O1908" s="370"/>
      <c r="T1908" s="349"/>
      <c r="V1908" s="378"/>
      <c r="W1908" s="64" ph="1"/>
      <c r="X1908" s="241"/>
      <c r="Y1908" s="284"/>
      <c r="Z1908" s="207"/>
      <c r="AA1908" s="284"/>
      <c r="AB1908" s="284"/>
      <c r="AC1908" s="284"/>
      <c r="AD1908" s="284"/>
      <c r="AE1908" s="284"/>
      <c r="AF1908" s="284"/>
      <c r="AG1908" s="284"/>
    </row>
    <row r="1909" spans="1:33" ht="26.4">
      <c r="A1909" s="284"/>
      <c r="B1909" s="284"/>
      <c r="C1909" s="284"/>
      <c r="D1909" s="284"/>
      <c r="E1909" s="284"/>
      <c r="F1909" s="284"/>
      <c r="G1909" s="284"/>
      <c r="H1909" s="284"/>
      <c r="I1909" s="284"/>
      <c r="J1909" s="375"/>
      <c r="K1909" s="375"/>
      <c r="L1909" s="375"/>
      <c r="M1909" s="368"/>
      <c r="N1909" s="368"/>
      <c r="O1909" s="370"/>
      <c r="T1909" s="349"/>
      <c r="V1909" s="378"/>
      <c r="W1909" s="64" ph="1"/>
      <c r="X1909" s="241"/>
      <c r="Y1909" s="284"/>
      <c r="Z1909" s="207"/>
      <c r="AA1909" s="284"/>
      <c r="AB1909" s="284"/>
      <c r="AC1909" s="284"/>
      <c r="AD1909" s="284"/>
      <c r="AE1909" s="284"/>
      <c r="AF1909" s="284"/>
      <c r="AG1909" s="284"/>
    </row>
    <row r="1910" spans="1:33" ht="26.4">
      <c r="A1910" s="284"/>
      <c r="B1910" s="284"/>
      <c r="C1910" s="284"/>
      <c r="D1910" s="284"/>
      <c r="E1910" s="284"/>
      <c r="F1910" s="284"/>
      <c r="G1910" s="284"/>
      <c r="H1910" s="284"/>
      <c r="I1910" s="284"/>
      <c r="J1910" s="375"/>
      <c r="K1910" s="375"/>
      <c r="L1910" s="375"/>
      <c r="M1910" s="368"/>
      <c r="N1910" s="368"/>
      <c r="O1910" s="370"/>
      <c r="T1910" s="349"/>
      <c r="V1910" s="378"/>
      <c r="W1910" s="64" ph="1"/>
      <c r="X1910" s="241"/>
      <c r="Y1910" s="284"/>
      <c r="Z1910" s="207"/>
      <c r="AA1910" s="284"/>
      <c r="AB1910" s="284"/>
      <c r="AC1910" s="284"/>
      <c r="AD1910" s="284"/>
      <c r="AE1910" s="284"/>
      <c r="AF1910" s="284"/>
      <c r="AG1910" s="284"/>
    </row>
    <row r="1911" spans="1:33" ht="26.4">
      <c r="A1911" s="284"/>
      <c r="B1911" s="284"/>
      <c r="C1911" s="284"/>
      <c r="D1911" s="284"/>
      <c r="E1911" s="284"/>
      <c r="F1911" s="284"/>
      <c r="G1911" s="284"/>
      <c r="H1911" s="284"/>
      <c r="I1911" s="284"/>
      <c r="J1911" s="375"/>
      <c r="K1911" s="375"/>
      <c r="L1911" s="375"/>
      <c r="M1911" s="368"/>
      <c r="N1911" s="368"/>
      <c r="O1911" s="370"/>
      <c r="T1911" s="349"/>
      <c r="V1911" s="378"/>
      <c r="W1911" s="64" ph="1"/>
      <c r="X1911" s="241"/>
      <c r="Y1911" s="284"/>
      <c r="Z1911" s="207"/>
      <c r="AA1911" s="284"/>
      <c r="AB1911" s="284"/>
      <c r="AC1911" s="284"/>
      <c r="AD1911" s="284"/>
      <c r="AE1911" s="284"/>
      <c r="AF1911" s="284"/>
      <c r="AG1911" s="284"/>
    </row>
    <row r="1912" spans="1:33" ht="26.4">
      <c r="A1912" s="284"/>
      <c r="B1912" s="284"/>
      <c r="C1912" s="284"/>
      <c r="D1912" s="284"/>
      <c r="E1912" s="284"/>
      <c r="F1912" s="284"/>
      <c r="G1912" s="284"/>
      <c r="H1912" s="284"/>
      <c r="I1912" s="284"/>
      <c r="J1912" s="375"/>
      <c r="K1912" s="375"/>
      <c r="L1912" s="375"/>
      <c r="M1912" s="368"/>
      <c r="N1912" s="368"/>
      <c r="O1912" s="370"/>
      <c r="T1912" s="349"/>
      <c r="V1912" s="378"/>
      <c r="W1912" s="64" ph="1"/>
      <c r="X1912" s="241"/>
      <c r="Y1912" s="284"/>
      <c r="Z1912" s="207"/>
      <c r="AA1912" s="284"/>
      <c r="AB1912" s="284"/>
      <c r="AC1912" s="284"/>
      <c r="AD1912" s="284"/>
      <c r="AE1912" s="284"/>
      <c r="AF1912" s="284"/>
      <c r="AG1912" s="284"/>
    </row>
    <row r="1913" spans="1:33" ht="26.4">
      <c r="A1913" s="284"/>
      <c r="B1913" s="284"/>
      <c r="C1913" s="284"/>
      <c r="D1913" s="284"/>
      <c r="E1913" s="284"/>
      <c r="F1913" s="284"/>
      <c r="G1913" s="284"/>
      <c r="H1913" s="284"/>
      <c r="I1913" s="284"/>
      <c r="J1913" s="375"/>
      <c r="K1913" s="375"/>
      <c r="L1913" s="375"/>
      <c r="M1913" s="368"/>
      <c r="N1913" s="368"/>
      <c r="O1913" s="370"/>
      <c r="T1913" s="349"/>
      <c r="V1913" s="378"/>
      <c r="W1913" s="64" ph="1"/>
      <c r="X1913" s="241"/>
      <c r="Y1913" s="284"/>
      <c r="Z1913" s="207"/>
      <c r="AA1913" s="284"/>
      <c r="AB1913" s="284"/>
      <c r="AC1913" s="284"/>
      <c r="AD1913" s="284"/>
      <c r="AE1913" s="284"/>
      <c r="AF1913" s="284"/>
      <c r="AG1913" s="284"/>
    </row>
    <row r="1914" spans="1:33" ht="26.4">
      <c r="A1914" s="284"/>
      <c r="B1914" s="284"/>
      <c r="C1914" s="284"/>
      <c r="D1914" s="284"/>
      <c r="E1914" s="284"/>
      <c r="F1914" s="284"/>
      <c r="G1914" s="284"/>
      <c r="H1914" s="284"/>
      <c r="I1914" s="284"/>
      <c r="J1914" s="375"/>
      <c r="K1914" s="375"/>
      <c r="L1914" s="375"/>
      <c r="M1914" s="368"/>
      <c r="N1914" s="368"/>
      <c r="O1914" s="370"/>
      <c r="T1914" s="349"/>
      <c r="V1914" s="378"/>
      <c r="W1914" s="64" ph="1"/>
      <c r="X1914" s="241"/>
      <c r="Y1914" s="284"/>
      <c r="Z1914" s="207"/>
      <c r="AA1914" s="284"/>
      <c r="AB1914" s="284"/>
      <c r="AC1914" s="284"/>
      <c r="AD1914" s="284"/>
      <c r="AE1914" s="284"/>
      <c r="AF1914" s="284"/>
      <c r="AG1914" s="284"/>
    </row>
    <row r="1915" spans="1:33" ht="26.4">
      <c r="A1915" s="284"/>
      <c r="B1915" s="284"/>
      <c r="C1915" s="284"/>
      <c r="D1915" s="284"/>
      <c r="E1915" s="284"/>
      <c r="F1915" s="284"/>
      <c r="G1915" s="284"/>
      <c r="H1915" s="284"/>
      <c r="I1915" s="284"/>
      <c r="J1915" s="375"/>
      <c r="K1915" s="375"/>
      <c r="L1915" s="375"/>
      <c r="M1915" s="368"/>
      <c r="N1915" s="368"/>
      <c r="O1915" s="370"/>
      <c r="T1915" s="349"/>
      <c r="V1915" s="378"/>
      <c r="W1915" s="64" ph="1"/>
      <c r="X1915" s="241"/>
      <c r="Y1915" s="284"/>
      <c r="Z1915" s="207"/>
      <c r="AA1915" s="284"/>
      <c r="AB1915" s="284"/>
      <c r="AC1915" s="284"/>
      <c r="AD1915" s="284"/>
      <c r="AE1915" s="284"/>
      <c r="AF1915" s="284"/>
      <c r="AG1915" s="284"/>
    </row>
    <row r="1916" spans="1:33" ht="26.4">
      <c r="A1916" s="284"/>
      <c r="B1916" s="284"/>
      <c r="C1916" s="284"/>
      <c r="D1916" s="284"/>
      <c r="E1916" s="284"/>
      <c r="F1916" s="284"/>
      <c r="G1916" s="284"/>
      <c r="H1916" s="284"/>
      <c r="I1916" s="284"/>
      <c r="J1916" s="375"/>
      <c r="K1916" s="375"/>
      <c r="L1916" s="375"/>
      <c r="M1916" s="368"/>
      <c r="N1916" s="368"/>
      <c r="O1916" s="370"/>
      <c r="T1916" s="349"/>
      <c r="V1916" s="378"/>
      <c r="W1916" s="64" ph="1"/>
      <c r="X1916" s="241"/>
      <c r="Y1916" s="284"/>
      <c r="Z1916" s="207"/>
      <c r="AA1916" s="284"/>
      <c r="AB1916" s="284"/>
      <c r="AC1916" s="284"/>
      <c r="AD1916" s="284"/>
      <c r="AE1916" s="284"/>
      <c r="AF1916" s="284"/>
      <c r="AG1916" s="284"/>
    </row>
    <row r="1917" spans="1:33" ht="26.4">
      <c r="A1917" s="284"/>
      <c r="B1917" s="284"/>
      <c r="C1917" s="284"/>
      <c r="D1917" s="284"/>
      <c r="E1917" s="284"/>
      <c r="F1917" s="284"/>
      <c r="G1917" s="284"/>
      <c r="H1917" s="284"/>
      <c r="I1917" s="284"/>
      <c r="J1917" s="375"/>
      <c r="K1917" s="375"/>
      <c r="L1917" s="375"/>
      <c r="M1917" s="368"/>
      <c r="N1917" s="368"/>
      <c r="O1917" s="370"/>
      <c r="T1917" s="349"/>
      <c r="V1917" s="378"/>
      <c r="W1917" s="64" ph="1"/>
      <c r="X1917" s="241"/>
      <c r="Y1917" s="284"/>
      <c r="Z1917" s="207"/>
      <c r="AA1917" s="284"/>
      <c r="AB1917" s="284"/>
      <c r="AC1917" s="284"/>
      <c r="AD1917" s="284"/>
      <c r="AE1917" s="284"/>
      <c r="AF1917" s="284"/>
      <c r="AG1917" s="284"/>
    </row>
    <row r="1918" spans="1:33" ht="26.4">
      <c r="A1918" s="284"/>
      <c r="B1918" s="284"/>
      <c r="C1918" s="284"/>
      <c r="D1918" s="284"/>
      <c r="E1918" s="284"/>
      <c r="F1918" s="284"/>
      <c r="G1918" s="284"/>
      <c r="H1918" s="284"/>
      <c r="I1918" s="284"/>
      <c r="J1918" s="375"/>
      <c r="K1918" s="375"/>
      <c r="L1918" s="375"/>
      <c r="M1918" s="368"/>
      <c r="N1918" s="368"/>
      <c r="O1918" s="370"/>
      <c r="T1918" s="349"/>
      <c r="V1918" s="378"/>
      <c r="W1918" s="64" ph="1"/>
      <c r="X1918" s="241"/>
      <c r="Y1918" s="284"/>
      <c r="Z1918" s="207"/>
      <c r="AA1918" s="284"/>
      <c r="AB1918" s="284"/>
      <c r="AC1918" s="284"/>
      <c r="AD1918" s="284"/>
      <c r="AE1918" s="284"/>
      <c r="AF1918" s="284"/>
      <c r="AG1918" s="284"/>
    </row>
    <row r="1919" spans="1:33" ht="26.4">
      <c r="A1919" s="284"/>
      <c r="B1919" s="284"/>
      <c r="C1919" s="284"/>
      <c r="D1919" s="284"/>
      <c r="E1919" s="284"/>
      <c r="F1919" s="284"/>
      <c r="G1919" s="284"/>
      <c r="H1919" s="284"/>
      <c r="I1919" s="284"/>
      <c r="J1919" s="375"/>
      <c r="K1919" s="375"/>
      <c r="L1919" s="375"/>
      <c r="M1919" s="368"/>
      <c r="N1919" s="368"/>
      <c r="O1919" s="370"/>
      <c r="T1919" s="349"/>
      <c r="V1919" s="378"/>
      <c r="W1919" s="64" ph="1"/>
      <c r="X1919" s="241"/>
      <c r="Y1919" s="284"/>
      <c r="Z1919" s="207"/>
      <c r="AA1919" s="284"/>
      <c r="AB1919" s="284"/>
      <c r="AC1919" s="284"/>
      <c r="AD1919" s="284"/>
      <c r="AE1919" s="284"/>
      <c r="AF1919" s="284"/>
      <c r="AG1919" s="284"/>
    </row>
    <row r="1920" spans="1:33" ht="26.4">
      <c r="A1920" s="284"/>
      <c r="B1920" s="284"/>
      <c r="C1920" s="284"/>
      <c r="D1920" s="284"/>
      <c r="E1920" s="284"/>
      <c r="F1920" s="284"/>
      <c r="G1920" s="284"/>
      <c r="H1920" s="284"/>
      <c r="I1920" s="284"/>
      <c r="J1920" s="375"/>
      <c r="K1920" s="375"/>
      <c r="L1920" s="375"/>
      <c r="M1920" s="368"/>
      <c r="N1920" s="368"/>
      <c r="O1920" s="370"/>
      <c r="T1920" s="349"/>
      <c r="V1920" s="378"/>
      <c r="W1920" s="64" ph="1"/>
      <c r="X1920" s="241"/>
      <c r="Y1920" s="284"/>
      <c r="Z1920" s="207"/>
      <c r="AA1920" s="284"/>
      <c r="AB1920" s="284"/>
      <c r="AC1920" s="284"/>
      <c r="AD1920" s="284"/>
      <c r="AE1920" s="284"/>
      <c r="AF1920" s="284"/>
      <c r="AG1920" s="284"/>
    </row>
    <row r="1921" spans="1:33" ht="26.4">
      <c r="A1921" s="284"/>
      <c r="B1921" s="284"/>
      <c r="C1921" s="284"/>
      <c r="D1921" s="284"/>
      <c r="E1921" s="284"/>
      <c r="F1921" s="284"/>
      <c r="G1921" s="284"/>
      <c r="H1921" s="284"/>
      <c r="I1921" s="284"/>
      <c r="J1921" s="375"/>
      <c r="K1921" s="375"/>
      <c r="L1921" s="375"/>
      <c r="M1921" s="368"/>
      <c r="N1921" s="368"/>
      <c r="O1921" s="370"/>
      <c r="T1921" s="349"/>
      <c r="V1921" s="378"/>
      <c r="W1921" s="64" ph="1"/>
      <c r="X1921" s="241"/>
      <c r="Y1921" s="284"/>
      <c r="Z1921" s="207"/>
      <c r="AA1921" s="284"/>
      <c r="AB1921" s="284"/>
      <c r="AC1921" s="284"/>
      <c r="AD1921" s="284"/>
      <c r="AE1921" s="284"/>
      <c r="AF1921" s="284"/>
      <c r="AG1921" s="284"/>
    </row>
    <row r="1922" spans="1:33" ht="26.4">
      <c r="A1922" s="284"/>
      <c r="B1922" s="284"/>
      <c r="C1922" s="284"/>
      <c r="D1922" s="284"/>
      <c r="E1922" s="284"/>
      <c r="F1922" s="284"/>
      <c r="G1922" s="284"/>
      <c r="H1922" s="284"/>
      <c r="I1922" s="284"/>
      <c r="J1922" s="375"/>
      <c r="K1922" s="375"/>
      <c r="L1922" s="375"/>
      <c r="M1922" s="368"/>
      <c r="N1922" s="368"/>
      <c r="O1922" s="370"/>
      <c r="T1922" s="349"/>
      <c r="V1922" s="378"/>
      <c r="W1922" s="64" ph="1"/>
      <c r="X1922" s="241"/>
      <c r="Y1922" s="284"/>
      <c r="Z1922" s="207"/>
      <c r="AA1922" s="284"/>
      <c r="AB1922" s="284"/>
      <c r="AC1922" s="284"/>
      <c r="AD1922" s="284"/>
      <c r="AE1922" s="284"/>
      <c r="AF1922" s="284"/>
      <c r="AG1922" s="284"/>
    </row>
    <row r="1923" spans="1:33" ht="26.4">
      <c r="A1923" s="284"/>
      <c r="B1923" s="284"/>
      <c r="C1923" s="284"/>
      <c r="D1923" s="284"/>
      <c r="E1923" s="284"/>
      <c r="F1923" s="284"/>
      <c r="G1923" s="284"/>
      <c r="H1923" s="284"/>
      <c r="I1923" s="284"/>
      <c r="J1923" s="375"/>
      <c r="K1923" s="375"/>
      <c r="L1923" s="375"/>
      <c r="M1923" s="368"/>
      <c r="N1923" s="368"/>
      <c r="O1923" s="370"/>
      <c r="T1923" s="349"/>
      <c r="V1923" s="378"/>
      <c r="W1923" s="64" ph="1"/>
      <c r="X1923" s="241"/>
      <c r="Y1923" s="284"/>
      <c r="Z1923" s="207"/>
      <c r="AA1923" s="284"/>
      <c r="AB1923" s="284"/>
      <c r="AC1923" s="284"/>
      <c r="AD1923" s="284"/>
      <c r="AE1923" s="284"/>
      <c r="AF1923" s="284"/>
      <c r="AG1923" s="284"/>
    </row>
    <row r="1924" spans="1:33" ht="26.4">
      <c r="A1924" s="284"/>
      <c r="B1924" s="284"/>
      <c r="C1924" s="284"/>
      <c r="D1924" s="284"/>
      <c r="E1924" s="284"/>
      <c r="F1924" s="284"/>
      <c r="G1924" s="284"/>
      <c r="H1924" s="284"/>
      <c r="I1924" s="284"/>
      <c r="J1924" s="375"/>
      <c r="K1924" s="375"/>
      <c r="L1924" s="375"/>
      <c r="M1924" s="368"/>
      <c r="N1924" s="368"/>
      <c r="O1924" s="370"/>
      <c r="T1924" s="349"/>
      <c r="V1924" s="378"/>
      <c r="W1924" s="64" ph="1"/>
      <c r="X1924" s="241"/>
      <c r="Y1924" s="284"/>
      <c r="Z1924" s="207"/>
      <c r="AA1924" s="284"/>
      <c r="AB1924" s="284"/>
      <c r="AC1924" s="284"/>
      <c r="AD1924" s="284"/>
      <c r="AE1924" s="284"/>
      <c r="AF1924" s="284"/>
      <c r="AG1924" s="284"/>
    </row>
    <row r="1925" spans="1:33" ht="26.4">
      <c r="A1925" s="284"/>
      <c r="B1925" s="284"/>
      <c r="C1925" s="284"/>
      <c r="D1925" s="284"/>
      <c r="E1925" s="284"/>
      <c r="F1925" s="284"/>
      <c r="G1925" s="284"/>
      <c r="H1925" s="284"/>
      <c r="I1925" s="284"/>
      <c r="J1925" s="375"/>
      <c r="K1925" s="375"/>
      <c r="L1925" s="375"/>
      <c r="M1925" s="368"/>
      <c r="N1925" s="368"/>
      <c r="O1925" s="370"/>
      <c r="T1925" s="349"/>
      <c r="V1925" s="378"/>
      <c r="W1925" s="64" ph="1"/>
      <c r="X1925" s="241"/>
      <c r="Y1925" s="284"/>
      <c r="Z1925" s="207"/>
      <c r="AA1925" s="284"/>
      <c r="AB1925" s="284"/>
      <c r="AC1925" s="284"/>
      <c r="AD1925" s="284"/>
      <c r="AE1925" s="284"/>
      <c r="AF1925" s="284"/>
      <c r="AG1925" s="284"/>
    </row>
    <row r="1926" spans="1:33" ht="26.4">
      <c r="A1926" s="284"/>
      <c r="B1926" s="284"/>
      <c r="C1926" s="284"/>
      <c r="D1926" s="284"/>
      <c r="E1926" s="284"/>
      <c r="F1926" s="284"/>
      <c r="G1926" s="284"/>
      <c r="H1926" s="284"/>
      <c r="I1926" s="284"/>
      <c r="J1926" s="375"/>
      <c r="K1926" s="375"/>
      <c r="L1926" s="375"/>
      <c r="M1926" s="368"/>
      <c r="N1926" s="368"/>
      <c r="O1926" s="370"/>
      <c r="T1926" s="349"/>
      <c r="V1926" s="378"/>
      <c r="W1926" s="64" ph="1"/>
      <c r="X1926" s="241"/>
      <c r="Y1926" s="284"/>
      <c r="Z1926" s="207"/>
      <c r="AA1926" s="284"/>
      <c r="AB1926" s="284"/>
      <c r="AC1926" s="284"/>
      <c r="AD1926" s="284"/>
      <c r="AE1926" s="284"/>
      <c r="AF1926" s="284"/>
      <c r="AG1926" s="284"/>
    </row>
    <row r="1927" spans="1:33" ht="26.4">
      <c r="A1927" s="284"/>
      <c r="B1927" s="284"/>
      <c r="C1927" s="284"/>
      <c r="D1927" s="284"/>
      <c r="E1927" s="284"/>
      <c r="F1927" s="284"/>
      <c r="G1927" s="284"/>
      <c r="H1927" s="284"/>
      <c r="I1927" s="284"/>
      <c r="J1927" s="375"/>
      <c r="K1927" s="375"/>
      <c r="L1927" s="375"/>
      <c r="M1927" s="368"/>
      <c r="N1927" s="368"/>
      <c r="O1927" s="370"/>
      <c r="T1927" s="349"/>
      <c r="V1927" s="378"/>
      <c r="W1927" s="64" ph="1"/>
      <c r="X1927" s="241"/>
      <c r="Y1927" s="284"/>
      <c r="Z1927" s="207"/>
      <c r="AA1927" s="284"/>
      <c r="AB1927" s="284"/>
      <c r="AC1927" s="284"/>
      <c r="AD1927" s="284"/>
      <c r="AE1927" s="284"/>
      <c r="AF1927" s="284"/>
      <c r="AG1927" s="284"/>
    </row>
    <row r="1928" spans="1:33" ht="26.4">
      <c r="A1928" s="284"/>
      <c r="B1928" s="284"/>
      <c r="C1928" s="284"/>
      <c r="D1928" s="284"/>
      <c r="E1928" s="284"/>
      <c r="F1928" s="284"/>
      <c r="G1928" s="284"/>
      <c r="H1928" s="284"/>
      <c r="I1928" s="284"/>
      <c r="J1928" s="375"/>
      <c r="K1928" s="375"/>
      <c r="L1928" s="375"/>
      <c r="M1928" s="368"/>
      <c r="N1928" s="368"/>
      <c r="O1928" s="370"/>
      <c r="T1928" s="349"/>
      <c r="V1928" s="378"/>
      <c r="W1928" s="64" ph="1"/>
      <c r="X1928" s="241"/>
      <c r="Y1928" s="284"/>
      <c r="Z1928" s="207"/>
      <c r="AA1928" s="284"/>
      <c r="AB1928" s="284"/>
      <c r="AC1928" s="284"/>
      <c r="AD1928" s="284"/>
      <c r="AE1928" s="284"/>
      <c r="AF1928" s="284"/>
      <c r="AG1928" s="284"/>
    </row>
    <row r="1929" spans="1:33" ht="26.4">
      <c r="A1929" s="284"/>
      <c r="B1929" s="284"/>
      <c r="C1929" s="284"/>
      <c r="D1929" s="284"/>
      <c r="E1929" s="284"/>
      <c r="F1929" s="284"/>
      <c r="G1929" s="284"/>
      <c r="H1929" s="284"/>
      <c r="I1929" s="284"/>
      <c r="J1929" s="375"/>
      <c r="K1929" s="375"/>
      <c r="L1929" s="375"/>
      <c r="M1929" s="368"/>
      <c r="N1929" s="368"/>
      <c r="O1929" s="370"/>
      <c r="T1929" s="349"/>
      <c r="V1929" s="378"/>
      <c r="W1929" s="64" ph="1"/>
      <c r="X1929" s="241"/>
      <c r="Y1929" s="284"/>
      <c r="Z1929" s="207"/>
      <c r="AA1929" s="284"/>
      <c r="AB1929" s="284"/>
      <c r="AC1929" s="284"/>
      <c r="AD1929" s="284"/>
      <c r="AE1929" s="284"/>
      <c r="AF1929" s="284"/>
      <c r="AG1929" s="284"/>
    </row>
    <row r="1930" spans="1:33" ht="26.4">
      <c r="A1930" s="284"/>
      <c r="B1930" s="284"/>
      <c r="C1930" s="284"/>
      <c r="D1930" s="284"/>
      <c r="E1930" s="284"/>
      <c r="F1930" s="284"/>
      <c r="G1930" s="284"/>
      <c r="H1930" s="284"/>
      <c r="I1930" s="284"/>
      <c r="J1930" s="375"/>
      <c r="K1930" s="375"/>
      <c r="L1930" s="375"/>
      <c r="M1930" s="368"/>
      <c r="N1930" s="368"/>
      <c r="O1930" s="370"/>
      <c r="T1930" s="349"/>
      <c r="V1930" s="378"/>
      <c r="W1930" s="64" ph="1"/>
      <c r="X1930" s="241"/>
      <c r="Y1930" s="284"/>
      <c r="Z1930" s="207"/>
      <c r="AA1930" s="284"/>
      <c r="AB1930" s="284"/>
      <c r="AC1930" s="284"/>
      <c r="AD1930" s="284"/>
      <c r="AE1930" s="284"/>
      <c r="AF1930" s="284"/>
      <c r="AG1930" s="284"/>
    </row>
    <row r="1931" spans="1:33" ht="26.4">
      <c r="A1931" s="284"/>
      <c r="B1931" s="284"/>
      <c r="C1931" s="284"/>
      <c r="D1931" s="284"/>
      <c r="E1931" s="284"/>
      <c r="F1931" s="284"/>
      <c r="G1931" s="284"/>
      <c r="H1931" s="284"/>
      <c r="I1931" s="284"/>
      <c r="J1931" s="375"/>
      <c r="K1931" s="375"/>
      <c r="L1931" s="375"/>
      <c r="M1931" s="368"/>
      <c r="N1931" s="368"/>
      <c r="O1931" s="370"/>
      <c r="T1931" s="349"/>
      <c r="V1931" s="378"/>
      <c r="W1931" s="64" ph="1"/>
      <c r="X1931" s="241"/>
      <c r="Y1931" s="284"/>
      <c r="Z1931" s="207"/>
      <c r="AA1931" s="284"/>
      <c r="AB1931" s="284"/>
      <c r="AC1931" s="284"/>
      <c r="AD1931" s="284"/>
      <c r="AE1931" s="284"/>
      <c r="AF1931" s="284"/>
      <c r="AG1931" s="284"/>
    </row>
    <row r="1932" spans="1:33" ht="26.4">
      <c r="A1932" s="284"/>
      <c r="B1932" s="284"/>
      <c r="C1932" s="284"/>
      <c r="D1932" s="284"/>
      <c r="E1932" s="284"/>
      <c r="F1932" s="284"/>
      <c r="G1932" s="284"/>
      <c r="H1932" s="284"/>
      <c r="I1932" s="284"/>
      <c r="J1932" s="375"/>
      <c r="K1932" s="375"/>
      <c r="L1932" s="375"/>
      <c r="M1932" s="368"/>
      <c r="N1932" s="368"/>
      <c r="O1932" s="370"/>
      <c r="T1932" s="349"/>
      <c r="V1932" s="378"/>
      <c r="W1932" s="64" ph="1"/>
      <c r="X1932" s="241"/>
      <c r="Y1932" s="284"/>
      <c r="Z1932" s="207"/>
      <c r="AA1932" s="284"/>
      <c r="AB1932" s="284"/>
      <c r="AC1932" s="284"/>
      <c r="AD1932" s="284"/>
      <c r="AE1932" s="284"/>
      <c r="AF1932" s="284"/>
      <c r="AG1932" s="284"/>
    </row>
    <row r="1933" spans="1:33" ht="26.4">
      <c r="A1933" s="284"/>
      <c r="B1933" s="284"/>
      <c r="C1933" s="284"/>
      <c r="D1933" s="284"/>
      <c r="E1933" s="284"/>
      <c r="F1933" s="284"/>
      <c r="G1933" s="284"/>
      <c r="H1933" s="284"/>
      <c r="I1933" s="284"/>
      <c r="J1933" s="375"/>
      <c r="K1933" s="375"/>
      <c r="L1933" s="375"/>
      <c r="M1933" s="368"/>
      <c r="N1933" s="368"/>
      <c r="O1933" s="370"/>
      <c r="T1933" s="349"/>
      <c r="V1933" s="378"/>
      <c r="W1933" s="64" ph="1"/>
      <c r="X1933" s="241"/>
      <c r="Y1933" s="284"/>
      <c r="Z1933" s="207"/>
      <c r="AA1933" s="284"/>
      <c r="AB1933" s="284"/>
      <c r="AC1933" s="284"/>
      <c r="AD1933" s="284"/>
      <c r="AE1933" s="284"/>
      <c r="AF1933" s="284"/>
      <c r="AG1933" s="284"/>
    </row>
    <row r="1934" spans="1:33" ht="26.4">
      <c r="A1934" s="284"/>
      <c r="B1934" s="284"/>
      <c r="C1934" s="284"/>
      <c r="D1934" s="284"/>
      <c r="E1934" s="284"/>
      <c r="F1934" s="284"/>
      <c r="G1934" s="284"/>
      <c r="H1934" s="284"/>
      <c r="I1934" s="284"/>
      <c r="J1934" s="375"/>
      <c r="K1934" s="375"/>
      <c r="L1934" s="375"/>
      <c r="M1934" s="368"/>
      <c r="N1934" s="368"/>
      <c r="O1934" s="370"/>
      <c r="T1934" s="349"/>
      <c r="V1934" s="378"/>
      <c r="W1934" s="64" ph="1"/>
      <c r="X1934" s="241"/>
      <c r="Y1934" s="284"/>
      <c r="Z1934" s="207"/>
      <c r="AA1934" s="284"/>
      <c r="AB1934" s="284"/>
      <c r="AC1934" s="284"/>
      <c r="AD1934" s="284"/>
      <c r="AE1934" s="284"/>
      <c r="AF1934" s="284"/>
      <c r="AG1934" s="284"/>
    </row>
    <row r="1935" spans="1:33" ht="26.4">
      <c r="A1935" s="284"/>
      <c r="B1935" s="284"/>
      <c r="C1935" s="284"/>
      <c r="D1935" s="284"/>
      <c r="E1935" s="284"/>
      <c r="F1935" s="284"/>
      <c r="G1935" s="284"/>
      <c r="H1935" s="284"/>
      <c r="I1935" s="284"/>
      <c r="J1935" s="375"/>
      <c r="K1935" s="375"/>
      <c r="L1935" s="375"/>
      <c r="M1935" s="368"/>
      <c r="N1935" s="368"/>
      <c r="O1935" s="370"/>
      <c r="T1935" s="349"/>
      <c r="V1935" s="378"/>
      <c r="W1935" s="64" ph="1"/>
      <c r="X1935" s="241"/>
      <c r="Y1935" s="284"/>
      <c r="Z1935" s="207"/>
      <c r="AA1935" s="284"/>
      <c r="AB1935" s="284"/>
      <c r="AC1935" s="284"/>
      <c r="AD1935" s="284"/>
      <c r="AE1935" s="284"/>
      <c r="AF1935" s="284"/>
      <c r="AG1935" s="284"/>
    </row>
    <row r="1936" spans="1:33" ht="26.4">
      <c r="A1936" s="284"/>
      <c r="B1936" s="284"/>
      <c r="C1936" s="284"/>
      <c r="D1936" s="284"/>
      <c r="E1936" s="284"/>
      <c r="F1936" s="284"/>
      <c r="G1936" s="284"/>
      <c r="H1936" s="284"/>
      <c r="I1936" s="284"/>
      <c r="J1936" s="375"/>
      <c r="K1936" s="375"/>
      <c r="L1936" s="375"/>
      <c r="M1936" s="368"/>
      <c r="N1936" s="368"/>
      <c r="O1936" s="370"/>
      <c r="T1936" s="349"/>
      <c r="V1936" s="378"/>
      <c r="W1936" s="64" ph="1"/>
      <c r="X1936" s="241"/>
      <c r="Y1936" s="284"/>
      <c r="Z1936" s="207"/>
      <c r="AA1936" s="284"/>
      <c r="AB1936" s="284"/>
      <c r="AC1936" s="284"/>
      <c r="AD1936" s="284"/>
      <c r="AE1936" s="284"/>
      <c r="AF1936" s="284"/>
      <c r="AG1936" s="284"/>
    </row>
    <row r="1937" spans="1:33" ht="26.4">
      <c r="A1937" s="284"/>
      <c r="B1937" s="284"/>
      <c r="C1937" s="284"/>
      <c r="D1937" s="284"/>
      <c r="E1937" s="284"/>
      <c r="F1937" s="284"/>
      <c r="G1937" s="284"/>
      <c r="H1937" s="284"/>
      <c r="I1937" s="284"/>
      <c r="J1937" s="375"/>
      <c r="K1937" s="375"/>
      <c r="L1937" s="375"/>
      <c r="M1937" s="368"/>
      <c r="N1937" s="368"/>
      <c r="O1937" s="370"/>
      <c r="T1937" s="349"/>
      <c r="V1937" s="378"/>
      <c r="W1937" s="64" ph="1"/>
      <c r="X1937" s="241"/>
      <c r="Y1937" s="284"/>
      <c r="Z1937" s="207"/>
      <c r="AA1937" s="284"/>
      <c r="AB1937" s="284"/>
      <c r="AC1937" s="284"/>
      <c r="AD1937" s="284"/>
      <c r="AE1937" s="284"/>
      <c r="AF1937" s="284"/>
      <c r="AG1937" s="284"/>
    </row>
    <row r="1938" spans="1:33" ht="26.4">
      <c r="A1938" s="284"/>
      <c r="B1938" s="284"/>
      <c r="C1938" s="284"/>
      <c r="D1938" s="284"/>
      <c r="E1938" s="284"/>
      <c r="F1938" s="284"/>
      <c r="G1938" s="284"/>
      <c r="H1938" s="284"/>
      <c r="I1938" s="284"/>
      <c r="J1938" s="375"/>
      <c r="K1938" s="375"/>
      <c r="L1938" s="375"/>
      <c r="M1938" s="368"/>
      <c r="N1938" s="368"/>
      <c r="O1938" s="370"/>
      <c r="T1938" s="349"/>
      <c r="V1938" s="378"/>
      <c r="W1938" s="64" ph="1"/>
      <c r="X1938" s="241"/>
      <c r="Y1938" s="284"/>
      <c r="Z1938" s="207"/>
      <c r="AA1938" s="284"/>
      <c r="AB1938" s="284"/>
      <c r="AC1938" s="284"/>
      <c r="AD1938" s="284"/>
      <c r="AE1938" s="284"/>
      <c r="AF1938" s="284"/>
      <c r="AG1938" s="284"/>
    </row>
    <row r="1939" spans="1:33" ht="26.4">
      <c r="A1939" s="284"/>
      <c r="B1939" s="284"/>
      <c r="C1939" s="284"/>
      <c r="D1939" s="284"/>
      <c r="E1939" s="284"/>
      <c r="F1939" s="284"/>
      <c r="G1939" s="284"/>
      <c r="H1939" s="284"/>
      <c r="I1939" s="284"/>
      <c r="J1939" s="375"/>
      <c r="K1939" s="375"/>
      <c r="L1939" s="375"/>
      <c r="M1939" s="368"/>
      <c r="N1939" s="368"/>
      <c r="O1939" s="370"/>
      <c r="T1939" s="349"/>
      <c r="V1939" s="378"/>
      <c r="W1939" s="64" ph="1"/>
      <c r="X1939" s="241"/>
      <c r="Y1939" s="284"/>
      <c r="Z1939" s="207"/>
      <c r="AA1939" s="284"/>
      <c r="AB1939" s="284"/>
      <c r="AC1939" s="284"/>
      <c r="AD1939" s="284"/>
      <c r="AE1939" s="284"/>
      <c r="AF1939" s="284"/>
      <c r="AG1939" s="284"/>
    </row>
    <row r="1940" spans="1:33" ht="26.4">
      <c r="A1940" s="284"/>
      <c r="B1940" s="284"/>
      <c r="C1940" s="284"/>
      <c r="D1940" s="284"/>
      <c r="E1940" s="284"/>
      <c r="F1940" s="284"/>
      <c r="G1940" s="284"/>
      <c r="H1940" s="284"/>
      <c r="I1940" s="284"/>
      <c r="J1940" s="375"/>
      <c r="K1940" s="375"/>
      <c r="L1940" s="375"/>
      <c r="M1940" s="368"/>
      <c r="N1940" s="368"/>
      <c r="O1940" s="370"/>
      <c r="T1940" s="349"/>
      <c r="V1940" s="378"/>
      <c r="W1940" s="64" ph="1"/>
      <c r="X1940" s="241"/>
      <c r="Y1940" s="284"/>
      <c r="Z1940" s="207"/>
      <c r="AA1940" s="284"/>
      <c r="AB1940" s="284"/>
      <c r="AC1940" s="284"/>
      <c r="AD1940" s="284"/>
      <c r="AE1940" s="284"/>
      <c r="AF1940" s="284"/>
      <c r="AG1940" s="284"/>
    </row>
    <row r="1941" spans="1:33" ht="26.4">
      <c r="A1941" s="284"/>
      <c r="B1941" s="284"/>
      <c r="C1941" s="284"/>
      <c r="D1941" s="284"/>
      <c r="E1941" s="284"/>
      <c r="F1941" s="284"/>
      <c r="G1941" s="284"/>
      <c r="H1941" s="284"/>
      <c r="I1941" s="284"/>
      <c r="J1941" s="375"/>
      <c r="K1941" s="375"/>
      <c r="L1941" s="375"/>
      <c r="M1941" s="368"/>
      <c r="N1941" s="368"/>
      <c r="O1941" s="370"/>
      <c r="T1941" s="349"/>
      <c r="V1941" s="378"/>
      <c r="W1941" s="64" ph="1"/>
      <c r="X1941" s="241"/>
      <c r="Y1941" s="284"/>
      <c r="Z1941" s="207"/>
      <c r="AA1941" s="284"/>
      <c r="AB1941" s="284"/>
      <c r="AC1941" s="284"/>
      <c r="AD1941" s="284"/>
      <c r="AE1941" s="284"/>
      <c r="AF1941" s="284"/>
      <c r="AG1941" s="284"/>
    </row>
    <row r="1942" spans="1:33" ht="26.4">
      <c r="A1942" s="284"/>
      <c r="B1942" s="284"/>
      <c r="C1942" s="284"/>
      <c r="D1942" s="284"/>
      <c r="E1942" s="284"/>
      <c r="F1942" s="284"/>
      <c r="G1942" s="284"/>
      <c r="H1942" s="284"/>
      <c r="I1942" s="284"/>
      <c r="J1942" s="375"/>
      <c r="K1942" s="375"/>
      <c r="L1942" s="375"/>
      <c r="M1942" s="368"/>
      <c r="N1942" s="368"/>
      <c r="O1942" s="370"/>
      <c r="T1942" s="349"/>
      <c r="V1942" s="378"/>
      <c r="W1942" s="64" ph="1"/>
      <c r="X1942" s="241"/>
      <c r="Y1942" s="284"/>
      <c r="Z1942" s="207"/>
      <c r="AA1942" s="284"/>
      <c r="AB1942" s="284"/>
      <c r="AC1942" s="284"/>
      <c r="AD1942" s="284"/>
      <c r="AE1942" s="284"/>
      <c r="AF1942" s="284"/>
      <c r="AG1942" s="284"/>
    </row>
    <row r="1943" spans="1:33" ht="26.4">
      <c r="A1943" s="284"/>
      <c r="B1943" s="284"/>
      <c r="C1943" s="284"/>
      <c r="D1943" s="284"/>
      <c r="E1943" s="284"/>
      <c r="F1943" s="284"/>
      <c r="G1943" s="284"/>
      <c r="H1943" s="284"/>
      <c r="I1943" s="284"/>
      <c r="J1943" s="375"/>
      <c r="K1943" s="375"/>
      <c r="L1943" s="375"/>
      <c r="M1943" s="368"/>
      <c r="N1943" s="368"/>
      <c r="O1943" s="370"/>
      <c r="T1943" s="349"/>
      <c r="V1943" s="378"/>
      <c r="W1943" s="64" ph="1"/>
      <c r="X1943" s="241"/>
      <c r="Y1943" s="284"/>
      <c r="Z1943" s="207"/>
      <c r="AA1943" s="284"/>
      <c r="AB1943" s="284"/>
      <c r="AC1943" s="284"/>
      <c r="AD1943" s="284"/>
      <c r="AE1943" s="284"/>
      <c r="AF1943" s="284"/>
      <c r="AG1943" s="284"/>
    </row>
    <row r="1944" spans="1:33" ht="26.4">
      <c r="A1944" s="284"/>
      <c r="B1944" s="284"/>
      <c r="C1944" s="284"/>
      <c r="D1944" s="284"/>
      <c r="E1944" s="284"/>
      <c r="F1944" s="284"/>
      <c r="G1944" s="284"/>
      <c r="H1944" s="284"/>
      <c r="I1944" s="284"/>
      <c r="J1944" s="375"/>
      <c r="K1944" s="375"/>
      <c r="L1944" s="375"/>
      <c r="M1944" s="368"/>
      <c r="N1944" s="368"/>
      <c r="O1944" s="370"/>
      <c r="T1944" s="349"/>
      <c r="V1944" s="378"/>
      <c r="W1944" s="64" ph="1"/>
      <c r="X1944" s="241"/>
      <c r="Y1944" s="284"/>
      <c r="Z1944" s="207"/>
      <c r="AA1944" s="284"/>
      <c r="AB1944" s="284"/>
      <c r="AC1944" s="284"/>
      <c r="AD1944" s="284"/>
      <c r="AE1944" s="284"/>
      <c r="AF1944" s="284"/>
      <c r="AG1944" s="284"/>
    </row>
    <row r="1945" spans="1:33" ht="26.4">
      <c r="A1945" s="284"/>
      <c r="B1945" s="284"/>
      <c r="C1945" s="284"/>
      <c r="D1945" s="284"/>
      <c r="E1945" s="284"/>
      <c r="F1945" s="284"/>
      <c r="G1945" s="284"/>
      <c r="H1945" s="284"/>
      <c r="I1945" s="284"/>
      <c r="J1945" s="375"/>
      <c r="K1945" s="375"/>
      <c r="L1945" s="375"/>
      <c r="M1945" s="368"/>
      <c r="N1945" s="368"/>
      <c r="O1945" s="370"/>
      <c r="T1945" s="349"/>
      <c r="V1945" s="378"/>
      <c r="W1945" s="64" ph="1"/>
      <c r="X1945" s="241"/>
      <c r="Y1945" s="284"/>
      <c r="Z1945" s="207"/>
      <c r="AA1945" s="284"/>
      <c r="AB1945" s="284"/>
      <c r="AC1945" s="284"/>
      <c r="AD1945" s="284"/>
      <c r="AE1945" s="284"/>
      <c r="AF1945" s="284"/>
      <c r="AG1945" s="284"/>
    </row>
    <row r="1946" spans="1:33" ht="26.4">
      <c r="A1946" s="284"/>
      <c r="B1946" s="284"/>
      <c r="C1946" s="284"/>
      <c r="D1946" s="284"/>
      <c r="E1946" s="284"/>
      <c r="F1946" s="284"/>
      <c r="G1946" s="284"/>
      <c r="H1946" s="284"/>
      <c r="I1946" s="284"/>
      <c r="J1946" s="375"/>
      <c r="K1946" s="375"/>
      <c r="L1946" s="375"/>
      <c r="M1946" s="368"/>
      <c r="N1946" s="368"/>
      <c r="O1946" s="370"/>
      <c r="T1946" s="349"/>
      <c r="V1946" s="378"/>
      <c r="W1946" s="64" ph="1"/>
      <c r="X1946" s="241"/>
      <c r="Y1946" s="284"/>
      <c r="Z1946" s="207"/>
      <c r="AA1946" s="284"/>
      <c r="AB1946" s="284"/>
      <c r="AC1946" s="284"/>
      <c r="AD1946" s="284"/>
      <c r="AE1946" s="284"/>
      <c r="AF1946" s="284"/>
      <c r="AG1946" s="284"/>
    </row>
    <row r="1947" spans="1:33" ht="26.4">
      <c r="A1947" s="284"/>
      <c r="B1947" s="284"/>
      <c r="C1947" s="284"/>
      <c r="D1947" s="284"/>
      <c r="E1947" s="284"/>
      <c r="F1947" s="284"/>
      <c r="G1947" s="284"/>
      <c r="H1947" s="284"/>
      <c r="I1947" s="284"/>
      <c r="J1947" s="375"/>
      <c r="K1947" s="375"/>
      <c r="L1947" s="375"/>
      <c r="M1947" s="368"/>
      <c r="N1947" s="368"/>
      <c r="O1947" s="370"/>
      <c r="T1947" s="349"/>
      <c r="V1947" s="378"/>
      <c r="W1947" s="64" ph="1"/>
      <c r="X1947" s="241"/>
      <c r="Y1947" s="284"/>
      <c r="Z1947" s="207"/>
      <c r="AA1947" s="284"/>
      <c r="AB1947" s="284"/>
      <c r="AC1947" s="284"/>
      <c r="AD1947" s="284"/>
      <c r="AE1947" s="284"/>
      <c r="AF1947" s="284"/>
      <c r="AG1947" s="284"/>
    </row>
    <row r="1948" spans="1:33" ht="26.4">
      <c r="A1948" s="284"/>
      <c r="B1948" s="284"/>
      <c r="C1948" s="284"/>
      <c r="D1948" s="284"/>
      <c r="E1948" s="284"/>
      <c r="F1948" s="284"/>
      <c r="G1948" s="284"/>
      <c r="H1948" s="284"/>
      <c r="I1948" s="284"/>
      <c r="J1948" s="375"/>
      <c r="K1948" s="375"/>
      <c r="L1948" s="375"/>
      <c r="M1948" s="368"/>
      <c r="N1948" s="368"/>
      <c r="O1948" s="370"/>
      <c r="T1948" s="349"/>
      <c r="V1948" s="378"/>
      <c r="W1948" s="64" ph="1"/>
      <c r="X1948" s="241"/>
      <c r="Y1948" s="284"/>
      <c r="Z1948" s="207"/>
      <c r="AA1948" s="284"/>
      <c r="AB1948" s="284"/>
      <c r="AC1948" s="284"/>
      <c r="AD1948" s="284"/>
      <c r="AE1948" s="284"/>
      <c r="AF1948" s="284"/>
      <c r="AG1948" s="284"/>
    </row>
    <row r="1949" spans="1:33" ht="26.4">
      <c r="A1949" s="284"/>
      <c r="B1949" s="284"/>
      <c r="C1949" s="284"/>
      <c r="D1949" s="284"/>
      <c r="E1949" s="284"/>
      <c r="F1949" s="284"/>
      <c r="G1949" s="284"/>
      <c r="H1949" s="284"/>
      <c r="I1949" s="284"/>
      <c r="J1949" s="375"/>
      <c r="K1949" s="375"/>
      <c r="L1949" s="375"/>
      <c r="M1949" s="368"/>
      <c r="N1949" s="368"/>
      <c r="O1949" s="370"/>
      <c r="T1949" s="349"/>
      <c r="V1949" s="378"/>
      <c r="W1949" s="64" ph="1"/>
      <c r="X1949" s="241"/>
      <c r="Y1949" s="284"/>
      <c r="Z1949" s="207"/>
      <c r="AA1949" s="284"/>
      <c r="AB1949" s="284"/>
      <c r="AC1949" s="284"/>
      <c r="AD1949" s="284"/>
      <c r="AE1949" s="284"/>
      <c r="AF1949" s="284"/>
      <c r="AG1949" s="284"/>
    </row>
    <row r="1950" spans="1:33" ht="26.4">
      <c r="A1950" s="284"/>
      <c r="B1950" s="284"/>
      <c r="C1950" s="284"/>
      <c r="D1950" s="284"/>
      <c r="E1950" s="284"/>
      <c r="F1950" s="284"/>
      <c r="G1950" s="284"/>
      <c r="H1950" s="284"/>
      <c r="I1950" s="284"/>
      <c r="J1950" s="375"/>
      <c r="K1950" s="375"/>
      <c r="L1950" s="375"/>
      <c r="M1950" s="368"/>
      <c r="N1950" s="368"/>
      <c r="O1950" s="370"/>
      <c r="T1950" s="349"/>
      <c r="V1950" s="378"/>
      <c r="W1950" s="64" ph="1"/>
      <c r="X1950" s="241"/>
      <c r="Y1950" s="284"/>
      <c r="Z1950" s="207"/>
      <c r="AA1950" s="284"/>
      <c r="AB1950" s="284"/>
      <c r="AC1950" s="284"/>
      <c r="AD1950" s="284"/>
      <c r="AE1950" s="284"/>
      <c r="AF1950" s="284"/>
      <c r="AG1950" s="284"/>
    </row>
    <row r="1951" spans="1:33" ht="26.4">
      <c r="A1951" s="284"/>
      <c r="B1951" s="284"/>
      <c r="C1951" s="284"/>
      <c r="D1951" s="284"/>
      <c r="E1951" s="284"/>
      <c r="F1951" s="284"/>
      <c r="G1951" s="284"/>
      <c r="H1951" s="284"/>
      <c r="I1951" s="284"/>
      <c r="J1951" s="375"/>
      <c r="K1951" s="375"/>
      <c r="L1951" s="375"/>
      <c r="M1951" s="368"/>
      <c r="N1951" s="368"/>
      <c r="O1951" s="370"/>
      <c r="T1951" s="349"/>
      <c r="V1951" s="378"/>
      <c r="W1951" s="64" ph="1"/>
      <c r="X1951" s="241"/>
      <c r="Y1951" s="284"/>
      <c r="Z1951" s="207"/>
      <c r="AA1951" s="284"/>
      <c r="AB1951" s="284"/>
      <c r="AC1951" s="284"/>
      <c r="AD1951" s="284"/>
      <c r="AE1951" s="284"/>
      <c r="AF1951" s="284"/>
      <c r="AG1951" s="284"/>
    </row>
    <row r="1952" spans="1:33" ht="26.4">
      <c r="A1952" s="284"/>
      <c r="B1952" s="284"/>
      <c r="C1952" s="284"/>
      <c r="D1952" s="284"/>
      <c r="E1952" s="284"/>
      <c r="F1952" s="284"/>
      <c r="G1952" s="284"/>
      <c r="H1952" s="284"/>
      <c r="I1952" s="284"/>
      <c r="J1952" s="375"/>
      <c r="K1952" s="375"/>
      <c r="L1952" s="375"/>
      <c r="M1952" s="368"/>
      <c r="N1952" s="368"/>
      <c r="O1952" s="370"/>
      <c r="T1952" s="349"/>
      <c r="V1952" s="378"/>
      <c r="W1952" s="64" ph="1"/>
      <c r="X1952" s="241"/>
      <c r="Y1952" s="284"/>
      <c r="Z1952" s="207"/>
      <c r="AA1952" s="284"/>
      <c r="AB1952" s="284"/>
      <c r="AC1952" s="284"/>
      <c r="AD1952" s="284"/>
      <c r="AE1952" s="284"/>
      <c r="AF1952" s="284"/>
      <c r="AG1952" s="284"/>
    </row>
    <row r="1953" spans="1:33" ht="26.4">
      <c r="A1953" s="284"/>
      <c r="B1953" s="284"/>
      <c r="C1953" s="284"/>
      <c r="D1953" s="284"/>
      <c r="E1953" s="284"/>
      <c r="F1953" s="284"/>
      <c r="G1953" s="284"/>
      <c r="H1953" s="284"/>
      <c r="I1953" s="284"/>
      <c r="J1953" s="375"/>
      <c r="K1953" s="375"/>
      <c r="L1953" s="375"/>
      <c r="M1953" s="368"/>
      <c r="N1953" s="368"/>
      <c r="O1953" s="370"/>
      <c r="T1953" s="349"/>
      <c r="V1953" s="378"/>
      <c r="W1953" s="64" ph="1"/>
      <c r="X1953" s="241"/>
      <c r="Y1953" s="284"/>
      <c r="Z1953" s="207"/>
      <c r="AA1953" s="284"/>
      <c r="AB1953" s="284"/>
      <c r="AC1953" s="284"/>
      <c r="AD1953" s="284"/>
      <c r="AE1953" s="284"/>
      <c r="AF1953" s="284"/>
      <c r="AG1953" s="284"/>
    </row>
    <row r="1954" spans="1:33" ht="26.4">
      <c r="A1954" s="284"/>
      <c r="B1954" s="284"/>
      <c r="C1954" s="284"/>
      <c r="D1954" s="284"/>
      <c r="E1954" s="284"/>
      <c r="F1954" s="284"/>
      <c r="G1954" s="284"/>
      <c r="H1954" s="284"/>
      <c r="I1954" s="284"/>
      <c r="J1954" s="375"/>
      <c r="K1954" s="375"/>
      <c r="L1954" s="375"/>
      <c r="M1954" s="368"/>
      <c r="N1954" s="368"/>
      <c r="O1954" s="370"/>
      <c r="T1954" s="349"/>
      <c r="V1954" s="378"/>
      <c r="W1954" s="64" ph="1"/>
      <c r="X1954" s="241"/>
      <c r="Y1954" s="284"/>
      <c r="Z1954" s="207"/>
      <c r="AA1954" s="284"/>
      <c r="AB1954" s="284"/>
      <c r="AC1954" s="284"/>
      <c r="AD1954" s="284"/>
      <c r="AE1954" s="284"/>
      <c r="AF1954" s="284"/>
      <c r="AG1954" s="284"/>
    </row>
    <row r="1955" spans="1:33" ht="26.4">
      <c r="A1955" s="284"/>
      <c r="B1955" s="284"/>
      <c r="C1955" s="284"/>
      <c r="D1955" s="284"/>
      <c r="E1955" s="284"/>
      <c r="F1955" s="284"/>
      <c r="G1955" s="284"/>
      <c r="H1955" s="284"/>
      <c r="I1955" s="284"/>
      <c r="J1955" s="375"/>
      <c r="K1955" s="375"/>
      <c r="L1955" s="375"/>
      <c r="M1955" s="368"/>
      <c r="N1955" s="368"/>
      <c r="O1955" s="370"/>
      <c r="T1955" s="349"/>
      <c r="V1955" s="378"/>
      <c r="W1955" s="64" ph="1"/>
      <c r="X1955" s="241"/>
      <c r="Y1955" s="284"/>
      <c r="Z1955" s="207"/>
      <c r="AA1955" s="284"/>
      <c r="AB1955" s="284"/>
      <c r="AC1955" s="284"/>
      <c r="AD1955" s="284"/>
      <c r="AE1955" s="284"/>
      <c r="AF1955" s="284"/>
      <c r="AG1955" s="284"/>
    </row>
    <row r="1956" spans="1:33" ht="26.4">
      <c r="A1956" s="284"/>
      <c r="B1956" s="284"/>
      <c r="C1956" s="284"/>
      <c r="D1956" s="284"/>
      <c r="E1956" s="284"/>
      <c r="F1956" s="284"/>
      <c r="G1956" s="284"/>
      <c r="H1956" s="284"/>
      <c r="I1956" s="284"/>
      <c r="J1956" s="375"/>
      <c r="K1956" s="375"/>
      <c r="L1956" s="375"/>
      <c r="M1956" s="368"/>
      <c r="N1956" s="368"/>
      <c r="O1956" s="370"/>
      <c r="T1956" s="349"/>
      <c r="V1956" s="378"/>
      <c r="W1956" s="64" ph="1"/>
      <c r="X1956" s="241"/>
      <c r="Y1956" s="284"/>
      <c r="Z1956" s="207"/>
      <c r="AA1956" s="284"/>
      <c r="AB1956" s="284"/>
      <c r="AC1956" s="284"/>
      <c r="AD1956" s="284"/>
      <c r="AE1956" s="284"/>
      <c r="AF1956" s="284"/>
      <c r="AG1956" s="284"/>
    </row>
    <row r="1957" spans="1:33" ht="26.4">
      <c r="A1957" s="284"/>
      <c r="B1957" s="284"/>
      <c r="C1957" s="284"/>
      <c r="D1957" s="284"/>
      <c r="E1957" s="284"/>
      <c r="F1957" s="284"/>
      <c r="G1957" s="284"/>
      <c r="H1957" s="284"/>
      <c r="I1957" s="284"/>
      <c r="J1957" s="375"/>
      <c r="K1957" s="375"/>
      <c r="L1957" s="375"/>
      <c r="M1957" s="368"/>
      <c r="N1957" s="368"/>
      <c r="O1957" s="370"/>
      <c r="T1957" s="349"/>
      <c r="V1957" s="378"/>
      <c r="W1957" s="64" ph="1"/>
      <c r="X1957" s="241"/>
      <c r="Y1957" s="284"/>
      <c r="Z1957" s="207"/>
      <c r="AA1957" s="284"/>
      <c r="AB1957" s="284"/>
      <c r="AC1957" s="284"/>
      <c r="AD1957" s="284"/>
      <c r="AE1957" s="284"/>
      <c r="AF1957" s="284"/>
      <c r="AG1957" s="284"/>
    </row>
    <row r="1958" spans="1:33" ht="26.4">
      <c r="A1958" s="284"/>
      <c r="B1958" s="284"/>
      <c r="C1958" s="284"/>
      <c r="D1958" s="284"/>
      <c r="E1958" s="284"/>
      <c r="F1958" s="284"/>
      <c r="G1958" s="284"/>
      <c r="H1958" s="284"/>
      <c r="I1958" s="284"/>
      <c r="J1958" s="375"/>
      <c r="K1958" s="375"/>
      <c r="L1958" s="375"/>
      <c r="M1958" s="368"/>
      <c r="N1958" s="368"/>
      <c r="O1958" s="370"/>
      <c r="T1958" s="349"/>
      <c r="V1958" s="378"/>
      <c r="W1958" s="64" ph="1"/>
      <c r="X1958" s="241"/>
      <c r="Y1958" s="284"/>
      <c r="Z1958" s="207"/>
      <c r="AA1958" s="284"/>
      <c r="AB1958" s="284"/>
      <c r="AC1958" s="284"/>
      <c r="AD1958" s="284"/>
      <c r="AE1958" s="284"/>
      <c r="AF1958" s="284"/>
      <c r="AG1958" s="284"/>
    </row>
    <row r="1959" spans="1:33" ht="26.4">
      <c r="A1959" s="284"/>
      <c r="B1959" s="284"/>
      <c r="C1959" s="284"/>
      <c r="D1959" s="284"/>
      <c r="E1959" s="284"/>
      <c r="F1959" s="284"/>
      <c r="G1959" s="284"/>
      <c r="H1959" s="284"/>
      <c r="I1959" s="284"/>
      <c r="J1959" s="375"/>
      <c r="K1959" s="375"/>
      <c r="L1959" s="375"/>
      <c r="M1959" s="368"/>
      <c r="N1959" s="368"/>
      <c r="O1959" s="370"/>
      <c r="T1959" s="349"/>
      <c r="V1959" s="378"/>
      <c r="W1959" s="64" ph="1"/>
      <c r="X1959" s="241"/>
      <c r="Y1959" s="284"/>
      <c r="Z1959" s="207"/>
      <c r="AA1959" s="284"/>
      <c r="AB1959" s="284"/>
      <c r="AC1959" s="284"/>
      <c r="AD1959" s="284"/>
      <c r="AE1959" s="284"/>
      <c r="AF1959" s="284"/>
      <c r="AG1959" s="284"/>
    </row>
    <row r="1960" spans="1:33" ht="26.4">
      <c r="A1960" s="284"/>
      <c r="B1960" s="284"/>
      <c r="C1960" s="284"/>
      <c r="D1960" s="284"/>
      <c r="E1960" s="284"/>
      <c r="F1960" s="284"/>
      <c r="G1960" s="284"/>
      <c r="H1960" s="284"/>
      <c r="I1960" s="284"/>
      <c r="J1960" s="375"/>
      <c r="K1960" s="375"/>
      <c r="L1960" s="375"/>
      <c r="M1960" s="368"/>
      <c r="N1960" s="368"/>
      <c r="O1960" s="370"/>
      <c r="T1960" s="349"/>
      <c r="V1960" s="378"/>
      <c r="W1960" s="64" ph="1"/>
      <c r="X1960" s="241"/>
      <c r="Y1960" s="284"/>
      <c r="Z1960" s="207"/>
      <c r="AA1960" s="284"/>
      <c r="AB1960" s="284"/>
      <c r="AC1960" s="284"/>
      <c r="AD1960" s="284"/>
      <c r="AE1960" s="284"/>
      <c r="AF1960" s="284"/>
      <c r="AG1960" s="284"/>
    </row>
    <row r="1961" spans="1:33" ht="26.4">
      <c r="A1961" s="284"/>
      <c r="B1961" s="284"/>
      <c r="C1961" s="284"/>
      <c r="D1961" s="284"/>
      <c r="E1961" s="284"/>
      <c r="F1961" s="284"/>
      <c r="G1961" s="284"/>
      <c r="H1961" s="284"/>
      <c r="I1961" s="284"/>
      <c r="J1961" s="375"/>
      <c r="K1961" s="375"/>
      <c r="L1961" s="375"/>
      <c r="M1961" s="368"/>
      <c r="N1961" s="368"/>
      <c r="O1961" s="370"/>
      <c r="T1961" s="349"/>
      <c r="V1961" s="378"/>
      <c r="W1961" s="64" ph="1"/>
      <c r="X1961" s="241"/>
      <c r="Y1961" s="284"/>
      <c r="Z1961" s="207"/>
      <c r="AA1961" s="284"/>
      <c r="AB1961" s="284"/>
      <c r="AC1961" s="284"/>
      <c r="AD1961" s="284"/>
      <c r="AE1961" s="284"/>
      <c r="AF1961" s="284"/>
      <c r="AG1961" s="284"/>
    </row>
    <row r="1962" spans="1:33" ht="26.4">
      <c r="A1962" s="284"/>
      <c r="B1962" s="284"/>
      <c r="C1962" s="284"/>
      <c r="D1962" s="284"/>
      <c r="E1962" s="284"/>
      <c r="F1962" s="284"/>
      <c r="G1962" s="284"/>
      <c r="H1962" s="284"/>
      <c r="I1962" s="284"/>
      <c r="J1962" s="375"/>
      <c r="K1962" s="375"/>
      <c r="L1962" s="375"/>
      <c r="M1962" s="368"/>
      <c r="N1962" s="368"/>
      <c r="O1962" s="370"/>
      <c r="T1962" s="349"/>
      <c r="V1962" s="378"/>
      <c r="W1962" s="64" ph="1"/>
      <c r="X1962" s="241"/>
      <c r="Y1962" s="284"/>
      <c r="Z1962" s="207"/>
      <c r="AA1962" s="284"/>
      <c r="AB1962" s="284"/>
      <c r="AC1962" s="284"/>
      <c r="AD1962" s="284"/>
      <c r="AE1962" s="284"/>
      <c r="AF1962" s="284"/>
      <c r="AG1962" s="284"/>
    </row>
    <row r="1963" spans="1:33" ht="26.4">
      <c r="A1963" s="284"/>
      <c r="B1963" s="284"/>
      <c r="C1963" s="284"/>
      <c r="D1963" s="284"/>
      <c r="E1963" s="284"/>
      <c r="F1963" s="284"/>
      <c r="G1963" s="284"/>
      <c r="H1963" s="284"/>
      <c r="I1963" s="284"/>
      <c r="J1963" s="375"/>
      <c r="K1963" s="375"/>
      <c r="L1963" s="375"/>
      <c r="M1963" s="368"/>
      <c r="N1963" s="368"/>
      <c r="O1963" s="370"/>
      <c r="T1963" s="349"/>
      <c r="V1963" s="378"/>
      <c r="W1963" s="64" ph="1"/>
      <c r="X1963" s="241"/>
      <c r="Y1963" s="284"/>
      <c r="Z1963" s="207"/>
      <c r="AA1963" s="284"/>
      <c r="AB1963" s="284"/>
      <c r="AC1963" s="284"/>
      <c r="AD1963" s="284"/>
      <c r="AE1963" s="284"/>
      <c r="AF1963" s="284"/>
      <c r="AG1963" s="284"/>
    </row>
    <row r="1964" spans="1:33" ht="26.4">
      <c r="A1964" s="284"/>
      <c r="B1964" s="284"/>
      <c r="C1964" s="284"/>
      <c r="D1964" s="284"/>
      <c r="E1964" s="284"/>
      <c r="F1964" s="284"/>
      <c r="G1964" s="284"/>
      <c r="H1964" s="284"/>
      <c r="I1964" s="284"/>
      <c r="J1964" s="375"/>
      <c r="K1964" s="375"/>
      <c r="L1964" s="375"/>
      <c r="M1964" s="368"/>
      <c r="N1964" s="368"/>
      <c r="O1964" s="370"/>
      <c r="T1964" s="349"/>
      <c r="V1964" s="378"/>
      <c r="W1964" s="64" ph="1"/>
      <c r="X1964" s="241"/>
      <c r="Y1964" s="284"/>
      <c r="Z1964" s="207"/>
      <c r="AA1964" s="284"/>
      <c r="AB1964" s="284"/>
      <c r="AC1964" s="284"/>
      <c r="AD1964" s="284"/>
      <c r="AE1964" s="284"/>
      <c r="AF1964" s="284"/>
      <c r="AG1964" s="284"/>
    </row>
    <row r="1965" spans="1:33" ht="26.4">
      <c r="A1965" s="284"/>
      <c r="B1965" s="284"/>
      <c r="C1965" s="284"/>
      <c r="D1965" s="284"/>
      <c r="E1965" s="284"/>
      <c r="F1965" s="284"/>
      <c r="G1965" s="284"/>
      <c r="H1965" s="284"/>
      <c r="I1965" s="284"/>
      <c r="J1965" s="375"/>
      <c r="K1965" s="375"/>
      <c r="L1965" s="375"/>
      <c r="M1965" s="368"/>
      <c r="N1965" s="368"/>
      <c r="O1965" s="370"/>
      <c r="T1965" s="349"/>
      <c r="V1965" s="378"/>
      <c r="W1965" s="64" ph="1"/>
      <c r="X1965" s="241"/>
      <c r="Y1965" s="284"/>
      <c r="Z1965" s="207"/>
      <c r="AA1965" s="284"/>
      <c r="AB1965" s="284"/>
      <c r="AC1965" s="284"/>
      <c r="AD1965" s="284"/>
      <c r="AE1965" s="284"/>
      <c r="AF1965" s="284"/>
      <c r="AG1965" s="284"/>
    </row>
    <row r="1966" spans="1:33" ht="26.4">
      <c r="A1966" s="284"/>
      <c r="B1966" s="284"/>
      <c r="C1966" s="284"/>
      <c r="D1966" s="284"/>
      <c r="E1966" s="284"/>
      <c r="F1966" s="284"/>
      <c r="G1966" s="284"/>
      <c r="H1966" s="284"/>
      <c r="I1966" s="284"/>
      <c r="J1966" s="375"/>
      <c r="K1966" s="375"/>
      <c r="L1966" s="375"/>
      <c r="M1966" s="368"/>
      <c r="N1966" s="368"/>
      <c r="O1966" s="370"/>
      <c r="T1966" s="349"/>
      <c r="V1966" s="378"/>
      <c r="W1966" s="64" ph="1"/>
      <c r="X1966" s="241"/>
      <c r="Y1966" s="284"/>
      <c r="Z1966" s="207"/>
      <c r="AA1966" s="284"/>
      <c r="AB1966" s="284"/>
      <c r="AC1966" s="284"/>
      <c r="AD1966" s="284"/>
      <c r="AE1966" s="284"/>
      <c r="AF1966" s="284"/>
      <c r="AG1966" s="284"/>
    </row>
    <row r="1967" spans="1:33" ht="26.4">
      <c r="A1967" s="284"/>
      <c r="B1967" s="284"/>
      <c r="C1967" s="284"/>
      <c r="D1967" s="284"/>
      <c r="E1967" s="284"/>
      <c r="F1967" s="284"/>
      <c r="G1967" s="284"/>
      <c r="H1967" s="284"/>
      <c r="I1967" s="284"/>
      <c r="J1967" s="375"/>
      <c r="K1967" s="375"/>
      <c r="L1967" s="375"/>
      <c r="M1967" s="368"/>
      <c r="N1967" s="368"/>
      <c r="O1967" s="370"/>
      <c r="T1967" s="349"/>
      <c r="V1967" s="378"/>
      <c r="W1967" s="64" ph="1"/>
      <c r="X1967" s="241"/>
      <c r="Y1967" s="284"/>
      <c r="Z1967" s="207"/>
      <c r="AA1967" s="284"/>
      <c r="AB1967" s="284"/>
      <c r="AC1967" s="284"/>
      <c r="AD1967" s="284"/>
      <c r="AE1967" s="284"/>
      <c r="AF1967" s="284"/>
      <c r="AG1967" s="284"/>
    </row>
    <row r="1968" spans="1:33" ht="26.4">
      <c r="A1968" s="284"/>
      <c r="B1968" s="284"/>
      <c r="C1968" s="284"/>
      <c r="D1968" s="284"/>
      <c r="E1968" s="284"/>
      <c r="F1968" s="284"/>
      <c r="G1968" s="284"/>
      <c r="H1968" s="284"/>
      <c r="I1968" s="284"/>
      <c r="J1968" s="375"/>
      <c r="K1968" s="375"/>
      <c r="L1968" s="375"/>
      <c r="M1968" s="368"/>
      <c r="N1968" s="368"/>
      <c r="O1968" s="370"/>
      <c r="T1968" s="349"/>
      <c r="V1968" s="378"/>
      <c r="W1968" s="64" ph="1"/>
      <c r="X1968" s="241"/>
      <c r="Y1968" s="284"/>
      <c r="Z1968" s="207"/>
      <c r="AA1968" s="284"/>
      <c r="AB1968" s="284"/>
      <c r="AC1968" s="284"/>
      <c r="AD1968" s="284"/>
      <c r="AE1968" s="284"/>
      <c r="AF1968" s="284"/>
      <c r="AG1968" s="284"/>
    </row>
    <row r="1969" spans="1:33" ht="26.4">
      <c r="A1969" s="284"/>
      <c r="B1969" s="284"/>
      <c r="C1969" s="284"/>
      <c r="D1969" s="284"/>
      <c r="E1969" s="284"/>
      <c r="F1969" s="284"/>
      <c r="G1969" s="284"/>
      <c r="H1969" s="284"/>
      <c r="I1969" s="284"/>
      <c r="J1969" s="375"/>
      <c r="K1969" s="375"/>
      <c r="L1969" s="375"/>
      <c r="M1969" s="368"/>
      <c r="N1969" s="368"/>
      <c r="O1969" s="370"/>
      <c r="T1969" s="349"/>
      <c r="V1969" s="378"/>
      <c r="W1969" s="64" ph="1"/>
      <c r="X1969" s="241"/>
      <c r="Y1969" s="284"/>
      <c r="Z1969" s="207"/>
      <c r="AA1969" s="284"/>
      <c r="AB1969" s="284"/>
      <c r="AC1969" s="284"/>
      <c r="AD1969" s="284"/>
      <c r="AE1969" s="284"/>
      <c r="AF1969" s="284"/>
      <c r="AG1969" s="284"/>
    </row>
    <row r="1970" spans="1:33" ht="26.4">
      <c r="A1970" s="284"/>
      <c r="B1970" s="284"/>
      <c r="C1970" s="284"/>
      <c r="D1970" s="284"/>
      <c r="E1970" s="284"/>
      <c r="F1970" s="284"/>
      <c r="G1970" s="284"/>
      <c r="H1970" s="284"/>
      <c r="I1970" s="284"/>
      <c r="J1970" s="375"/>
      <c r="K1970" s="375"/>
      <c r="L1970" s="375"/>
      <c r="M1970" s="368"/>
      <c r="N1970" s="368"/>
      <c r="O1970" s="370"/>
      <c r="T1970" s="349"/>
      <c r="V1970" s="378"/>
      <c r="W1970" s="64" ph="1"/>
      <c r="X1970" s="241"/>
      <c r="Y1970" s="284"/>
      <c r="Z1970" s="207"/>
      <c r="AA1970" s="284"/>
      <c r="AB1970" s="284"/>
      <c r="AC1970" s="284"/>
      <c r="AD1970" s="284"/>
      <c r="AE1970" s="284"/>
      <c r="AF1970" s="284"/>
      <c r="AG1970" s="284"/>
    </row>
    <row r="1971" spans="1:33" ht="26.4">
      <c r="A1971" s="284"/>
      <c r="B1971" s="284"/>
      <c r="C1971" s="284"/>
      <c r="D1971" s="284"/>
      <c r="E1971" s="284"/>
      <c r="F1971" s="284"/>
      <c r="G1971" s="284"/>
      <c r="H1971" s="284"/>
      <c r="I1971" s="284"/>
      <c r="J1971" s="375"/>
      <c r="K1971" s="375"/>
      <c r="L1971" s="375"/>
      <c r="M1971" s="368"/>
      <c r="N1971" s="368"/>
      <c r="O1971" s="370"/>
      <c r="T1971" s="349"/>
      <c r="V1971" s="378"/>
      <c r="W1971" s="64" ph="1"/>
      <c r="X1971" s="241"/>
      <c r="Y1971" s="284"/>
      <c r="Z1971" s="207"/>
      <c r="AA1971" s="284"/>
      <c r="AB1971" s="284"/>
      <c r="AC1971" s="284"/>
      <c r="AD1971" s="284"/>
      <c r="AE1971" s="284"/>
      <c r="AF1971" s="284"/>
      <c r="AG1971" s="284"/>
    </row>
    <row r="1972" spans="1:33" ht="26.4">
      <c r="A1972" s="284"/>
      <c r="B1972" s="284"/>
      <c r="C1972" s="284"/>
      <c r="D1972" s="284"/>
      <c r="E1972" s="284"/>
      <c r="F1972" s="284"/>
      <c r="G1972" s="284"/>
      <c r="H1972" s="284"/>
      <c r="I1972" s="284"/>
      <c r="J1972" s="375"/>
      <c r="K1972" s="375"/>
      <c r="L1972" s="375"/>
      <c r="M1972" s="368"/>
      <c r="N1972" s="368"/>
      <c r="O1972" s="370"/>
      <c r="T1972" s="349"/>
      <c r="V1972" s="378"/>
      <c r="W1972" s="64" ph="1"/>
      <c r="X1972" s="241"/>
      <c r="Y1972" s="284"/>
      <c r="Z1972" s="207"/>
      <c r="AA1972" s="284"/>
      <c r="AB1972" s="284"/>
      <c r="AC1972" s="284"/>
      <c r="AD1972" s="284"/>
      <c r="AE1972" s="284"/>
      <c r="AF1972" s="284"/>
      <c r="AG1972" s="284"/>
    </row>
    <row r="1973" spans="1:33" ht="26.4">
      <c r="A1973" s="284"/>
      <c r="B1973" s="284"/>
      <c r="C1973" s="284"/>
      <c r="D1973" s="284"/>
      <c r="E1973" s="284"/>
      <c r="F1973" s="284"/>
      <c r="G1973" s="284"/>
      <c r="H1973" s="284"/>
      <c r="I1973" s="284"/>
      <c r="J1973" s="375"/>
      <c r="K1973" s="375"/>
      <c r="L1973" s="375"/>
      <c r="M1973" s="368"/>
      <c r="N1973" s="368"/>
      <c r="O1973" s="370"/>
      <c r="T1973" s="349"/>
      <c r="V1973" s="378"/>
      <c r="W1973" s="64" ph="1"/>
      <c r="X1973" s="241"/>
      <c r="Y1973" s="284"/>
      <c r="Z1973" s="207"/>
      <c r="AA1973" s="284"/>
      <c r="AB1973" s="284"/>
      <c r="AC1973" s="284"/>
      <c r="AD1973" s="284"/>
      <c r="AE1973" s="284"/>
      <c r="AF1973" s="284"/>
      <c r="AG1973" s="284"/>
    </row>
    <row r="1974" spans="1:33" ht="26.4">
      <c r="A1974" s="284"/>
      <c r="B1974" s="284"/>
      <c r="C1974" s="284"/>
      <c r="D1974" s="284"/>
      <c r="E1974" s="284"/>
      <c r="F1974" s="284"/>
      <c r="G1974" s="284"/>
      <c r="H1974" s="284"/>
      <c r="I1974" s="284"/>
      <c r="J1974" s="375"/>
      <c r="K1974" s="375"/>
      <c r="L1974" s="375"/>
      <c r="M1974" s="368"/>
      <c r="N1974" s="368"/>
      <c r="O1974" s="370"/>
      <c r="T1974" s="349"/>
      <c r="V1974" s="378"/>
      <c r="W1974" s="64" ph="1"/>
      <c r="X1974" s="241"/>
      <c r="Y1974" s="284"/>
      <c r="Z1974" s="207"/>
      <c r="AA1974" s="284"/>
      <c r="AB1974" s="284"/>
      <c r="AC1974" s="284"/>
      <c r="AD1974" s="284"/>
      <c r="AE1974" s="284"/>
      <c r="AF1974" s="284"/>
      <c r="AG1974" s="284"/>
    </row>
    <row r="1975" spans="1:33" ht="26.4">
      <c r="A1975" s="284"/>
      <c r="B1975" s="284"/>
      <c r="C1975" s="284"/>
      <c r="D1975" s="284"/>
      <c r="E1975" s="284"/>
      <c r="F1975" s="284"/>
      <c r="G1975" s="284"/>
      <c r="H1975" s="284"/>
      <c r="I1975" s="284"/>
      <c r="J1975" s="375"/>
      <c r="K1975" s="375"/>
      <c r="L1975" s="375"/>
      <c r="M1975" s="368"/>
      <c r="N1975" s="368"/>
      <c r="O1975" s="370"/>
      <c r="T1975" s="349"/>
      <c r="V1975" s="378"/>
      <c r="W1975" s="64" ph="1"/>
      <c r="X1975" s="241"/>
      <c r="Y1975" s="284"/>
      <c r="Z1975" s="207"/>
      <c r="AA1975" s="284"/>
      <c r="AB1975" s="284"/>
      <c r="AC1975" s="284"/>
      <c r="AD1975" s="284"/>
      <c r="AE1975" s="284"/>
      <c r="AF1975" s="284"/>
      <c r="AG1975" s="284"/>
    </row>
    <row r="1976" spans="1:33" ht="26.4">
      <c r="A1976" s="284"/>
      <c r="B1976" s="284"/>
      <c r="C1976" s="284"/>
      <c r="D1976" s="284"/>
      <c r="E1976" s="284"/>
      <c r="F1976" s="284"/>
      <c r="G1976" s="284"/>
      <c r="H1976" s="284"/>
      <c r="I1976" s="284"/>
      <c r="J1976" s="375"/>
      <c r="K1976" s="375"/>
      <c r="L1976" s="375"/>
      <c r="M1976" s="368"/>
      <c r="N1976" s="368"/>
      <c r="O1976" s="370"/>
      <c r="T1976" s="349"/>
      <c r="V1976" s="378"/>
      <c r="W1976" s="64" ph="1"/>
      <c r="X1976" s="241"/>
      <c r="Y1976" s="284"/>
      <c r="Z1976" s="207"/>
      <c r="AA1976" s="284"/>
      <c r="AB1976" s="284"/>
      <c r="AC1976" s="284"/>
      <c r="AD1976" s="284"/>
      <c r="AE1976" s="284"/>
      <c r="AF1976" s="284"/>
      <c r="AG1976" s="284"/>
    </row>
    <row r="1977" spans="1:33" ht="26.4">
      <c r="A1977" s="284"/>
      <c r="B1977" s="284"/>
      <c r="C1977" s="284"/>
      <c r="D1977" s="284"/>
      <c r="E1977" s="284"/>
      <c r="F1977" s="284"/>
      <c r="G1977" s="284"/>
      <c r="H1977" s="284"/>
      <c r="I1977" s="284"/>
      <c r="J1977" s="375"/>
      <c r="K1977" s="375"/>
      <c r="L1977" s="375"/>
      <c r="M1977" s="368"/>
      <c r="N1977" s="368"/>
      <c r="O1977" s="370"/>
      <c r="T1977" s="349"/>
      <c r="V1977" s="378"/>
      <c r="W1977" s="64" ph="1"/>
      <c r="X1977" s="241"/>
      <c r="Y1977" s="284"/>
      <c r="Z1977" s="207"/>
      <c r="AA1977" s="284"/>
      <c r="AB1977" s="284"/>
      <c r="AC1977" s="284"/>
      <c r="AD1977" s="284"/>
      <c r="AE1977" s="284"/>
      <c r="AF1977" s="284"/>
      <c r="AG1977" s="284"/>
    </row>
    <row r="1978" spans="1:33" ht="26.4">
      <c r="A1978" s="284"/>
      <c r="B1978" s="284"/>
      <c r="C1978" s="284"/>
      <c r="D1978" s="284"/>
      <c r="E1978" s="284"/>
      <c r="F1978" s="284"/>
      <c r="G1978" s="284"/>
      <c r="H1978" s="284"/>
      <c r="I1978" s="284"/>
      <c r="J1978" s="375"/>
      <c r="K1978" s="375"/>
      <c r="L1978" s="375"/>
      <c r="M1978" s="368"/>
      <c r="N1978" s="368"/>
      <c r="O1978" s="370"/>
      <c r="T1978" s="349"/>
      <c r="V1978" s="378"/>
      <c r="W1978" s="64" ph="1"/>
      <c r="X1978" s="241"/>
      <c r="Y1978" s="284"/>
      <c r="Z1978" s="207"/>
      <c r="AA1978" s="284"/>
      <c r="AB1978" s="284"/>
      <c r="AC1978" s="284"/>
      <c r="AD1978" s="284"/>
      <c r="AE1978" s="284"/>
      <c r="AF1978" s="284"/>
      <c r="AG1978" s="284"/>
    </row>
    <row r="1979" spans="1:33" ht="26.4">
      <c r="A1979" s="284"/>
      <c r="B1979" s="284"/>
      <c r="C1979" s="284"/>
      <c r="D1979" s="284"/>
      <c r="E1979" s="284"/>
      <c r="F1979" s="284"/>
      <c r="G1979" s="284"/>
      <c r="H1979" s="284"/>
      <c r="I1979" s="284"/>
      <c r="J1979" s="375"/>
      <c r="K1979" s="375"/>
      <c r="L1979" s="375"/>
      <c r="M1979" s="368"/>
      <c r="N1979" s="368"/>
      <c r="O1979" s="370"/>
      <c r="T1979" s="349"/>
      <c r="V1979" s="378"/>
      <c r="W1979" s="64" ph="1"/>
      <c r="X1979" s="241"/>
      <c r="Y1979" s="284"/>
      <c r="Z1979" s="207"/>
      <c r="AA1979" s="284"/>
      <c r="AB1979" s="284"/>
      <c r="AC1979" s="284"/>
      <c r="AD1979" s="284"/>
      <c r="AE1979" s="284"/>
      <c r="AF1979" s="284"/>
      <c r="AG1979" s="284"/>
    </row>
    <row r="1980" spans="1:33" ht="26.4">
      <c r="A1980" s="284"/>
      <c r="B1980" s="284"/>
      <c r="C1980" s="284"/>
      <c r="D1980" s="284"/>
      <c r="E1980" s="284"/>
      <c r="F1980" s="284"/>
      <c r="G1980" s="284"/>
      <c r="H1980" s="284"/>
      <c r="I1980" s="284"/>
      <c r="J1980" s="375"/>
      <c r="K1980" s="375"/>
      <c r="L1980" s="375"/>
      <c r="M1980" s="368"/>
      <c r="N1980" s="368"/>
      <c r="O1980" s="370"/>
      <c r="T1980" s="349"/>
      <c r="V1980" s="378"/>
      <c r="W1980" s="64" ph="1"/>
      <c r="X1980" s="241"/>
      <c r="Y1980" s="284"/>
      <c r="Z1980" s="207"/>
      <c r="AA1980" s="284"/>
      <c r="AB1980" s="284"/>
      <c r="AC1980" s="284"/>
      <c r="AD1980" s="284"/>
      <c r="AE1980" s="284"/>
      <c r="AF1980" s="284"/>
      <c r="AG1980" s="284"/>
    </row>
    <row r="1981" spans="1:33" ht="26.4">
      <c r="A1981" s="284"/>
      <c r="B1981" s="284"/>
      <c r="C1981" s="284"/>
      <c r="D1981" s="284"/>
      <c r="E1981" s="284"/>
      <c r="F1981" s="284"/>
      <c r="G1981" s="284"/>
      <c r="H1981" s="284"/>
      <c r="I1981" s="284"/>
      <c r="J1981" s="375"/>
      <c r="K1981" s="375"/>
      <c r="L1981" s="375"/>
      <c r="M1981" s="368"/>
      <c r="N1981" s="368"/>
      <c r="O1981" s="370"/>
      <c r="T1981" s="349"/>
      <c r="V1981" s="378"/>
      <c r="W1981" s="64" ph="1"/>
      <c r="X1981" s="241"/>
      <c r="Y1981" s="284"/>
      <c r="Z1981" s="207"/>
      <c r="AA1981" s="284"/>
      <c r="AB1981" s="284"/>
      <c r="AC1981" s="284"/>
      <c r="AD1981" s="284"/>
      <c r="AE1981" s="284"/>
      <c r="AF1981" s="284"/>
      <c r="AG1981" s="284"/>
    </row>
    <row r="1982" spans="1:33" ht="26.4">
      <c r="A1982" s="284"/>
      <c r="B1982" s="284"/>
      <c r="C1982" s="284"/>
      <c r="D1982" s="284"/>
      <c r="E1982" s="284"/>
      <c r="F1982" s="284"/>
      <c r="G1982" s="284"/>
      <c r="H1982" s="284"/>
      <c r="I1982" s="284"/>
      <c r="J1982" s="375"/>
      <c r="K1982" s="375"/>
      <c r="L1982" s="375"/>
      <c r="M1982" s="368"/>
      <c r="N1982" s="368"/>
      <c r="O1982" s="370"/>
      <c r="T1982" s="349"/>
      <c r="V1982" s="378"/>
      <c r="W1982" s="64" ph="1"/>
      <c r="X1982" s="241"/>
      <c r="Y1982" s="284"/>
      <c r="Z1982" s="207"/>
      <c r="AA1982" s="284"/>
      <c r="AB1982" s="284"/>
      <c r="AC1982" s="284"/>
      <c r="AD1982" s="284"/>
      <c r="AE1982" s="284"/>
      <c r="AF1982" s="284"/>
      <c r="AG1982" s="284"/>
    </row>
    <row r="1983" spans="1:33" ht="26.4">
      <c r="A1983" s="284"/>
      <c r="B1983" s="284"/>
      <c r="C1983" s="284"/>
      <c r="D1983" s="284"/>
      <c r="E1983" s="284"/>
      <c r="F1983" s="284"/>
      <c r="G1983" s="284"/>
      <c r="H1983" s="284"/>
      <c r="I1983" s="284"/>
      <c r="J1983" s="375"/>
      <c r="K1983" s="375"/>
      <c r="L1983" s="375"/>
      <c r="M1983" s="368"/>
      <c r="N1983" s="368"/>
      <c r="O1983" s="370"/>
      <c r="T1983" s="349"/>
      <c r="V1983" s="378"/>
      <c r="W1983" s="64" ph="1"/>
      <c r="X1983" s="241"/>
      <c r="Y1983" s="284"/>
      <c r="Z1983" s="207"/>
      <c r="AA1983" s="284"/>
      <c r="AB1983" s="284"/>
      <c r="AC1983" s="284"/>
      <c r="AD1983" s="284"/>
      <c r="AE1983" s="284"/>
      <c r="AF1983" s="284"/>
      <c r="AG1983" s="284"/>
    </row>
    <row r="1984" spans="1:33" ht="26.4">
      <c r="A1984" s="284"/>
      <c r="B1984" s="284"/>
      <c r="C1984" s="284"/>
      <c r="D1984" s="284"/>
      <c r="E1984" s="284"/>
      <c r="F1984" s="284"/>
      <c r="G1984" s="284"/>
      <c r="H1984" s="284"/>
      <c r="I1984" s="284"/>
      <c r="J1984" s="375"/>
      <c r="K1984" s="375"/>
      <c r="L1984" s="375"/>
      <c r="M1984" s="368"/>
      <c r="N1984" s="368"/>
      <c r="O1984" s="370"/>
      <c r="T1984" s="349"/>
      <c r="V1984" s="378"/>
      <c r="W1984" s="64" ph="1"/>
      <c r="X1984" s="241"/>
      <c r="Y1984" s="284"/>
      <c r="Z1984" s="207"/>
      <c r="AA1984" s="284"/>
      <c r="AB1984" s="284"/>
      <c r="AC1984" s="284"/>
      <c r="AD1984" s="284"/>
      <c r="AE1984" s="284"/>
      <c r="AF1984" s="284"/>
      <c r="AG1984" s="284"/>
    </row>
    <row r="1985" spans="1:33" ht="26.4">
      <c r="A1985" s="284"/>
      <c r="B1985" s="284"/>
      <c r="C1985" s="284"/>
      <c r="D1985" s="284"/>
      <c r="E1985" s="284"/>
      <c r="F1985" s="284"/>
      <c r="G1985" s="284"/>
      <c r="H1985" s="284"/>
      <c r="I1985" s="284"/>
      <c r="J1985" s="375"/>
      <c r="K1985" s="375"/>
      <c r="L1985" s="375"/>
      <c r="M1985" s="368"/>
      <c r="N1985" s="368"/>
      <c r="O1985" s="370"/>
      <c r="T1985" s="349"/>
      <c r="V1985" s="378"/>
      <c r="W1985" s="64" ph="1"/>
      <c r="X1985" s="241"/>
      <c r="Y1985" s="284"/>
      <c r="Z1985" s="207"/>
      <c r="AA1985" s="284"/>
      <c r="AB1985" s="284"/>
      <c r="AC1985" s="284"/>
      <c r="AD1985" s="284"/>
      <c r="AE1985" s="284"/>
      <c r="AF1985" s="284"/>
      <c r="AG1985" s="284"/>
    </row>
    <row r="1986" spans="1:33" ht="26.4">
      <c r="A1986" s="284"/>
      <c r="B1986" s="284"/>
      <c r="C1986" s="284"/>
      <c r="D1986" s="284"/>
      <c r="E1986" s="284"/>
      <c r="F1986" s="284"/>
      <c r="G1986" s="284"/>
      <c r="H1986" s="284"/>
      <c r="I1986" s="284"/>
      <c r="J1986" s="375"/>
      <c r="K1986" s="375"/>
      <c r="L1986" s="375"/>
      <c r="M1986" s="368"/>
      <c r="N1986" s="368"/>
      <c r="O1986" s="370"/>
      <c r="T1986" s="349"/>
      <c r="V1986" s="378"/>
      <c r="W1986" s="64" ph="1"/>
      <c r="X1986" s="241"/>
      <c r="Y1986" s="284"/>
      <c r="Z1986" s="207"/>
      <c r="AA1986" s="284"/>
      <c r="AB1986" s="284"/>
      <c r="AC1986" s="284"/>
      <c r="AD1986" s="284"/>
      <c r="AE1986" s="284"/>
      <c r="AF1986" s="284"/>
      <c r="AG1986" s="284"/>
    </row>
    <row r="1987" spans="1:33" ht="26.4">
      <c r="A1987" s="284"/>
      <c r="B1987" s="284"/>
      <c r="C1987" s="284"/>
      <c r="D1987" s="284"/>
      <c r="E1987" s="284"/>
      <c r="F1987" s="284"/>
      <c r="G1987" s="284"/>
      <c r="H1987" s="284"/>
      <c r="I1987" s="284"/>
      <c r="J1987" s="375"/>
      <c r="K1987" s="375"/>
      <c r="L1987" s="375"/>
      <c r="M1987" s="368"/>
      <c r="N1987" s="368"/>
      <c r="O1987" s="370"/>
      <c r="T1987" s="349"/>
      <c r="V1987" s="378"/>
      <c r="W1987" s="64" ph="1"/>
      <c r="X1987" s="241"/>
      <c r="Y1987" s="284"/>
      <c r="Z1987" s="207"/>
      <c r="AA1987" s="284"/>
      <c r="AB1987" s="284"/>
      <c r="AC1987" s="284"/>
      <c r="AD1987" s="284"/>
      <c r="AE1987" s="284"/>
      <c r="AF1987" s="284"/>
      <c r="AG1987" s="284"/>
    </row>
    <row r="1988" spans="1:33" ht="26.4">
      <c r="A1988" s="284"/>
      <c r="B1988" s="284"/>
      <c r="C1988" s="284"/>
      <c r="D1988" s="284"/>
      <c r="E1988" s="284"/>
      <c r="F1988" s="284"/>
      <c r="G1988" s="284"/>
      <c r="H1988" s="284"/>
      <c r="I1988" s="284"/>
      <c r="J1988" s="375"/>
      <c r="K1988" s="375"/>
      <c r="L1988" s="375"/>
      <c r="M1988" s="368"/>
      <c r="N1988" s="368"/>
      <c r="O1988" s="370"/>
      <c r="T1988" s="349"/>
      <c r="V1988" s="378"/>
      <c r="W1988" s="64" ph="1"/>
      <c r="X1988" s="241"/>
      <c r="Y1988" s="284"/>
      <c r="Z1988" s="207"/>
      <c r="AA1988" s="284"/>
      <c r="AB1988" s="284"/>
      <c r="AC1988" s="284"/>
      <c r="AD1988" s="284"/>
      <c r="AE1988" s="284"/>
      <c r="AF1988" s="284"/>
      <c r="AG1988" s="284"/>
    </row>
    <row r="1989" spans="1:33" ht="26.4">
      <c r="A1989" s="284"/>
      <c r="B1989" s="284"/>
      <c r="C1989" s="284"/>
      <c r="D1989" s="284"/>
      <c r="E1989" s="284"/>
      <c r="F1989" s="284"/>
      <c r="G1989" s="284"/>
      <c r="H1989" s="284"/>
      <c r="I1989" s="284"/>
      <c r="J1989" s="375"/>
      <c r="K1989" s="375"/>
      <c r="L1989" s="375"/>
      <c r="M1989" s="368"/>
      <c r="N1989" s="368"/>
      <c r="O1989" s="370"/>
      <c r="T1989" s="349"/>
      <c r="V1989" s="378"/>
      <c r="W1989" s="64" ph="1"/>
      <c r="X1989" s="241"/>
      <c r="Y1989" s="284"/>
      <c r="Z1989" s="207"/>
      <c r="AA1989" s="284"/>
      <c r="AB1989" s="284"/>
      <c r="AC1989" s="284"/>
      <c r="AD1989" s="284"/>
      <c r="AE1989" s="284"/>
      <c r="AF1989" s="284"/>
      <c r="AG1989" s="284"/>
    </row>
    <row r="1990" spans="1:33" ht="26.4">
      <c r="A1990" s="284"/>
      <c r="B1990" s="284"/>
      <c r="C1990" s="284"/>
      <c r="D1990" s="284"/>
      <c r="E1990" s="284"/>
      <c r="F1990" s="284"/>
      <c r="G1990" s="284"/>
      <c r="H1990" s="284"/>
      <c r="I1990" s="284"/>
      <c r="J1990" s="375"/>
      <c r="K1990" s="375"/>
      <c r="L1990" s="375"/>
      <c r="M1990" s="368"/>
      <c r="N1990" s="368"/>
      <c r="O1990" s="370"/>
      <c r="T1990" s="349"/>
      <c r="V1990" s="378"/>
      <c r="W1990" s="64" ph="1"/>
      <c r="X1990" s="241"/>
      <c r="Y1990" s="284"/>
      <c r="Z1990" s="207"/>
      <c r="AA1990" s="284"/>
      <c r="AB1990" s="284"/>
      <c r="AC1990" s="284"/>
      <c r="AD1990" s="284"/>
      <c r="AE1990" s="284"/>
      <c r="AF1990" s="284"/>
      <c r="AG1990" s="284"/>
    </row>
    <row r="1991" spans="1:33" ht="26.4">
      <c r="A1991" s="284"/>
      <c r="B1991" s="284"/>
      <c r="C1991" s="284"/>
      <c r="D1991" s="284"/>
      <c r="E1991" s="284"/>
      <c r="F1991" s="284"/>
      <c r="G1991" s="284"/>
      <c r="H1991" s="284"/>
      <c r="I1991" s="284"/>
      <c r="J1991" s="375"/>
      <c r="K1991" s="375"/>
      <c r="L1991" s="375"/>
      <c r="M1991" s="368"/>
      <c r="N1991" s="368"/>
      <c r="O1991" s="370"/>
      <c r="T1991" s="349"/>
      <c r="V1991" s="378"/>
      <c r="W1991" s="64" ph="1"/>
      <c r="X1991" s="241"/>
      <c r="Y1991" s="284"/>
      <c r="Z1991" s="207"/>
      <c r="AA1991" s="284"/>
      <c r="AB1991" s="284"/>
      <c r="AC1991" s="284"/>
      <c r="AD1991" s="284"/>
      <c r="AE1991" s="284"/>
      <c r="AF1991" s="284"/>
      <c r="AG1991" s="284"/>
    </row>
    <row r="1992" spans="1:33" ht="26.4">
      <c r="A1992" s="284"/>
      <c r="B1992" s="284"/>
      <c r="C1992" s="284"/>
      <c r="D1992" s="284"/>
      <c r="E1992" s="284"/>
      <c r="F1992" s="284"/>
      <c r="G1992" s="284"/>
      <c r="H1992" s="284"/>
      <c r="I1992" s="284"/>
      <c r="J1992" s="375"/>
      <c r="K1992" s="375"/>
      <c r="L1992" s="375"/>
      <c r="M1992" s="368"/>
      <c r="N1992" s="368"/>
      <c r="O1992" s="370"/>
      <c r="T1992" s="349"/>
      <c r="V1992" s="378"/>
      <c r="W1992" s="64" ph="1"/>
      <c r="X1992" s="241"/>
      <c r="Y1992" s="284"/>
      <c r="Z1992" s="207"/>
      <c r="AA1992" s="284"/>
      <c r="AB1992" s="284"/>
      <c r="AC1992" s="284"/>
      <c r="AD1992" s="284"/>
      <c r="AE1992" s="284"/>
      <c r="AF1992" s="284"/>
      <c r="AG1992" s="284"/>
    </row>
    <row r="1993" spans="1:33" ht="26.4">
      <c r="A1993" s="284"/>
      <c r="B1993" s="284"/>
      <c r="C1993" s="284"/>
      <c r="D1993" s="284"/>
      <c r="E1993" s="284"/>
      <c r="F1993" s="284"/>
      <c r="G1993" s="284"/>
      <c r="H1993" s="284"/>
      <c r="I1993" s="284"/>
      <c r="J1993" s="375"/>
      <c r="K1993" s="375"/>
      <c r="L1993" s="375"/>
      <c r="M1993" s="368"/>
      <c r="N1993" s="368"/>
      <c r="O1993" s="370"/>
      <c r="T1993" s="349"/>
      <c r="V1993" s="378"/>
      <c r="W1993" s="64" ph="1"/>
      <c r="X1993" s="241"/>
      <c r="Y1993" s="284"/>
      <c r="Z1993" s="207"/>
      <c r="AA1993" s="284"/>
      <c r="AB1993" s="284"/>
      <c r="AC1993" s="284"/>
      <c r="AD1993" s="284"/>
      <c r="AE1993" s="284"/>
      <c r="AF1993" s="284"/>
      <c r="AG1993" s="284"/>
    </row>
    <row r="1994" spans="1:33" ht="26.4">
      <c r="A1994" s="284"/>
      <c r="B1994" s="284"/>
      <c r="C1994" s="284"/>
      <c r="D1994" s="284"/>
      <c r="E1994" s="284"/>
      <c r="F1994" s="284"/>
      <c r="G1994" s="284"/>
      <c r="H1994" s="284"/>
      <c r="I1994" s="284"/>
      <c r="J1994" s="375"/>
      <c r="K1994" s="375"/>
      <c r="L1994" s="375"/>
      <c r="M1994" s="368"/>
      <c r="N1994" s="368"/>
      <c r="O1994" s="370"/>
      <c r="T1994" s="349"/>
      <c r="V1994" s="378"/>
      <c r="W1994" s="64" ph="1"/>
      <c r="X1994" s="241"/>
      <c r="Y1994" s="284"/>
      <c r="Z1994" s="207"/>
      <c r="AA1994" s="284"/>
      <c r="AB1994" s="284"/>
      <c r="AC1994" s="284"/>
      <c r="AD1994" s="284"/>
      <c r="AE1994" s="284"/>
      <c r="AF1994" s="284"/>
      <c r="AG1994" s="284"/>
    </row>
    <row r="1995" spans="1:33" ht="26.4">
      <c r="A1995" s="284"/>
      <c r="B1995" s="284"/>
      <c r="C1995" s="284"/>
      <c r="D1995" s="284"/>
      <c r="E1995" s="284"/>
      <c r="F1995" s="284"/>
      <c r="G1995" s="284"/>
      <c r="H1995" s="284"/>
      <c r="I1995" s="284"/>
      <c r="J1995" s="375"/>
      <c r="K1995" s="375"/>
      <c r="L1995" s="375"/>
      <c r="M1995" s="368"/>
      <c r="N1995" s="368"/>
      <c r="O1995" s="370"/>
      <c r="T1995" s="349"/>
      <c r="V1995" s="378"/>
      <c r="W1995" s="64" ph="1"/>
      <c r="X1995" s="241"/>
      <c r="Y1995" s="284"/>
      <c r="Z1995" s="207"/>
      <c r="AA1995" s="284"/>
      <c r="AB1995" s="284"/>
      <c r="AC1995" s="284"/>
      <c r="AD1995" s="284"/>
      <c r="AE1995" s="284"/>
      <c r="AF1995" s="284"/>
      <c r="AG1995" s="284"/>
    </row>
    <row r="1996" spans="1:33" ht="26.4">
      <c r="A1996" s="284"/>
      <c r="B1996" s="284"/>
      <c r="C1996" s="284"/>
      <c r="D1996" s="284"/>
      <c r="E1996" s="284"/>
      <c r="F1996" s="284"/>
      <c r="G1996" s="284"/>
      <c r="H1996" s="284"/>
      <c r="I1996" s="284"/>
      <c r="J1996" s="375"/>
      <c r="K1996" s="375"/>
      <c r="L1996" s="375"/>
      <c r="M1996" s="368"/>
      <c r="N1996" s="368"/>
      <c r="O1996" s="370"/>
      <c r="T1996" s="349"/>
      <c r="V1996" s="378"/>
      <c r="W1996" s="64" ph="1"/>
      <c r="X1996" s="241"/>
      <c r="Y1996" s="284"/>
      <c r="Z1996" s="207"/>
      <c r="AA1996" s="284"/>
      <c r="AB1996" s="284"/>
      <c r="AC1996" s="284"/>
      <c r="AD1996" s="284"/>
      <c r="AE1996" s="284"/>
      <c r="AF1996" s="284"/>
      <c r="AG1996" s="284"/>
    </row>
    <row r="1997" spans="1:33" ht="26.4">
      <c r="A1997" s="284"/>
      <c r="B1997" s="284"/>
      <c r="C1997" s="284"/>
      <c r="D1997" s="284"/>
      <c r="E1997" s="284"/>
      <c r="F1997" s="284"/>
      <c r="G1997" s="284"/>
      <c r="H1997" s="284"/>
      <c r="I1997" s="284"/>
      <c r="J1997" s="375"/>
      <c r="K1997" s="375"/>
      <c r="L1997" s="375"/>
      <c r="M1997" s="368"/>
      <c r="N1997" s="368"/>
      <c r="O1997" s="370"/>
      <c r="T1997" s="349"/>
      <c r="V1997" s="378"/>
      <c r="W1997" s="64" ph="1"/>
      <c r="X1997" s="241"/>
      <c r="Y1997" s="284"/>
      <c r="Z1997" s="207"/>
      <c r="AA1997" s="284"/>
      <c r="AB1997" s="284"/>
      <c r="AC1997" s="284"/>
      <c r="AD1997" s="284"/>
      <c r="AE1997" s="284"/>
      <c r="AF1997" s="284"/>
      <c r="AG1997" s="284"/>
    </row>
    <row r="1998" spans="1:33" ht="26.4">
      <c r="A1998" s="284"/>
      <c r="B1998" s="284"/>
      <c r="C1998" s="284"/>
      <c r="D1998" s="284"/>
      <c r="E1998" s="284"/>
      <c r="F1998" s="284"/>
      <c r="G1998" s="284"/>
      <c r="H1998" s="284"/>
      <c r="I1998" s="284"/>
      <c r="J1998" s="375"/>
      <c r="K1998" s="375"/>
      <c r="L1998" s="375"/>
      <c r="M1998" s="368"/>
      <c r="N1998" s="368"/>
      <c r="O1998" s="370"/>
      <c r="T1998" s="349"/>
      <c r="V1998" s="378"/>
      <c r="W1998" s="64" ph="1"/>
      <c r="X1998" s="241"/>
      <c r="Y1998" s="284"/>
      <c r="Z1998" s="207"/>
      <c r="AA1998" s="284"/>
      <c r="AB1998" s="284"/>
      <c r="AC1998" s="284"/>
      <c r="AD1998" s="284"/>
      <c r="AE1998" s="284"/>
      <c r="AF1998" s="284"/>
      <c r="AG1998" s="284"/>
    </row>
    <row r="1999" spans="1:33" ht="26.4">
      <c r="A1999" s="284"/>
      <c r="B1999" s="284"/>
      <c r="C1999" s="284"/>
      <c r="D1999" s="284"/>
      <c r="E1999" s="284"/>
      <c r="F1999" s="284"/>
      <c r="G1999" s="284"/>
      <c r="H1999" s="284"/>
      <c r="I1999" s="284"/>
      <c r="J1999" s="375"/>
      <c r="K1999" s="375"/>
      <c r="L1999" s="375"/>
      <c r="M1999" s="368"/>
      <c r="N1999" s="368"/>
      <c r="O1999" s="370"/>
      <c r="T1999" s="349"/>
      <c r="V1999" s="378"/>
      <c r="W1999" s="64" ph="1"/>
      <c r="X1999" s="241"/>
      <c r="Y1999" s="284"/>
      <c r="Z1999" s="207"/>
      <c r="AA1999" s="284"/>
      <c r="AB1999" s="284"/>
      <c r="AC1999" s="284"/>
      <c r="AD1999" s="284"/>
      <c r="AE1999" s="284"/>
      <c r="AF1999" s="284"/>
      <c r="AG1999" s="284"/>
    </row>
    <row r="2000" spans="1:33" ht="26.4">
      <c r="A2000" s="284"/>
      <c r="B2000" s="284"/>
      <c r="C2000" s="284"/>
      <c r="D2000" s="284"/>
      <c r="E2000" s="284"/>
      <c r="F2000" s="284"/>
      <c r="G2000" s="284"/>
      <c r="H2000" s="284"/>
      <c r="I2000" s="284"/>
      <c r="J2000" s="375"/>
      <c r="K2000" s="375"/>
      <c r="L2000" s="375"/>
      <c r="M2000" s="368"/>
      <c r="N2000" s="368"/>
      <c r="O2000" s="370"/>
      <c r="T2000" s="349"/>
      <c r="V2000" s="378"/>
      <c r="W2000" s="64" ph="1"/>
      <c r="X2000" s="241"/>
      <c r="Y2000" s="284"/>
      <c r="Z2000" s="207"/>
      <c r="AA2000" s="284"/>
      <c r="AB2000" s="284"/>
      <c r="AC2000" s="284"/>
      <c r="AD2000" s="284"/>
      <c r="AE2000" s="284"/>
      <c r="AF2000" s="284"/>
      <c r="AG2000" s="284"/>
    </row>
    <row r="2001" spans="1:33" ht="26.4">
      <c r="A2001" s="284"/>
      <c r="B2001" s="284"/>
      <c r="C2001" s="284"/>
      <c r="D2001" s="284"/>
      <c r="E2001" s="284"/>
      <c r="F2001" s="284"/>
      <c r="G2001" s="284"/>
      <c r="H2001" s="284"/>
      <c r="I2001" s="284"/>
      <c r="J2001" s="375"/>
      <c r="K2001" s="375"/>
      <c r="L2001" s="375"/>
      <c r="M2001" s="368"/>
      <c r="N2001" s="368"/>
      <c r="O2001" s="370"/>
      <c r="T2001" s="349"/>
      <c r="V2001" s="378"/>
      <c r="W2001" s="64" ph="1"/>
      <c r="X2001" s="241"/>
      <c r="Y2001" s="284"/>
      <c r="Z2001" s="207"/>
      <c r="AA2001" s="284"/>
      <c r="AB2001" s="284"/>
      <c r="AC2001" s="284"/>
      <c r="AD2001" s="284"/>
      <c r="AE2001" s="284"/>
      <c r="AF2001" s="284"/>
      <c r="AG2001" s="284"/>
    </row>
    <row r="2002" spans="1:33" ht="26.4">
      <c r="A2002" s="284"/>
      <c r="B2002" s="284"/>
      <c r="C2002" s="284"/>
      <c r="D2002" s="284"/>
      <c r="E2002" s="284"/>
      <c r="F2002" s="284"/>
      <c r="G2002" s="284"/>
      <c r="H2002" s="284"/>
      <c r="I2002" s="284"/>
      <c r="J2002" s="375"/>
      <c r="K2002" s="375"/>
      <c r="L2002" s="375"/>
      <c r="M2002" s="368"/>
      <c r="N2002" s="368"/>
      <c r="O2002" s="370"/>
      <c r="T2002" s="349"/>
      <c r="V2002" s="378"/>
      <c r="W2002" s="64" ph="1"/>
      <c r="X2002" s="241"/>
      <c r="Y2002" s="284"/>
      <c r="Z2002" s="207"/>
      <c r="AA2002" s="284"/>
      <c r="AB2002" s="284"/>
      <c r="AC2002" s="284"/>
      <c r="AD2002" s="284"/>
      <c r="AE2002" s="284"/>
      <c r="AF2002" s="284"/>
      <c r="AG2002" s="284"/>
    </row>
    <row r="2003" spans="1:33" ht="26.4">
      <c r="A2003" s="284"/>
      <c r="B2003" s="284"/>
      <c r="C2003" s="284"/>
      <c r="D2003" s="284"/>
      <c r="E2003" s="284"/>
      <c r="F2003" s="284"/>
      <c r="G2003" s="284"/>
      <c r="H2003" s="284"/>
      <c r="I2003" s="284"/>
      <c r="J2003" s="375"/>
      <c r="K2003" s="375"/>
      <c r="L2003" s="375"/>
      <c r="M2003" s="368"/>
      <c r="N2003" s="368"/>
      <c r="O2003" s="370"/>
      <c r="T2003" s="349"/>
      <c r="V2003" s="378"/>
      <c r="W2003" s="64" ph="1"/>
      <c r="X2003" s="241"/>
      <c r="Y2003" s="284"/>
      <c r="Z2003" s="207"/>
      <c r="AA2003" s="284"/>
      <c r="AB2003" s="284"/>
      <c r="AC2003" s="284"/>
      <c r="AD2003" s="284"/>
      <c r="AE2003" s="284"/>
      <c r="AF2003" s="284"/>
      <c r="AG2003" s="284"/>
    </row>
    <row r="2004" spans="1:33" ht="26.4">
      <c r="A2004" s="284"/>
      <c r="B2004" s="284"/>
      <c r="C2004" s="284"/>
      <c r="D2004" s="284"/>
      <c r="E2004" s="284"/>
      <c r="F2004" s="284"/>
      <c r="G2004" s="284"/>
      <c r="H2004" s="284"/>
      <c r="I2004" s="284"/>
      <c r="J2004" s="375"/>
      <c r="K2004" s="375"/>
      <c r="L2004" s="375"/>
      <c r="M2004" s="368"/>
      <c r="N2004" s="368"/>
      <c r="O2004" s="370"/>
      <c r="T2004" s="349"/>
      <c r="V2004" s="378"/>
      <c r="W2004" s="64" ph="1"/>
      <c r="X2004" s="241"/>
      <c r="Y2004" s="284"/>
      <c r="Z2004" s="207"/>
      <c r="AA2004" s="284"/>
      <c r="AB2004" s="284"/>
      <c r="AC2004" s="284"/>
      <c r="AD2004" s="284"/>
      <c r="AE2004" s="284"/>
      <c r="AF2004" s="284"/>
      <c r="AG2004" s="284"/>
    </row>
    <row r="2005" spans="1:33" ht="26.4">
      <c r="A2005" s="284"/>
      <c r="B2005" s="284"/>
      <c r="C2005" s="284"/>
      <c r="D2005" s="284"/>
      <c r="E2005" s="284"/>
      <c r="F2005" s="284"/>
      <c r="G2005" s="284"/>
      <c r="H2005" s="284"/>
      <c r="I2005" s="284"/>
      <c r="J2005" s="375"/>
      <c r="K2005" s="375"/>
      <c r="L2005" s="375"/>
      <c r="M2005" s="368"/>
      <c r="N2005" s="368"/>
      <c r="O2005" s="370"/>
      <c r="T2005" s="349"/>
      <c r="V2005" s="378"/>
      <c r="W2005" s="64" ph="1"/>
      <c r="X2005" s="241"/>
      <c r="Y2005" s="284"/>
      <c r="Z2005" s="207"/>
      <c r="AA2005" s="284"/>
      <c r="AB2005" s="284"/>
      <c r="AC2005" s="284"/>
      <c r="AD2005" s="284"/>
      <c r="AE2005" s="284"/>
      <c r="AF2005" s="284"/>
      <c r="AG2005" s="284"/>
    </row>
    <row r="2006" spans="1:33" ht="26.4">
      <c r="A2006" s="284"/>
      <c r="B2006" s="284"/>
      <c r="C2006" s="284"/>
      <c r="D2006" s="284"/>
      <c r="E2006" s="284"/>
      <c r="F2006" s="284"/>
      <c r="G2006" s="284"/>
      <c r="H2006" s="284"/>
      <c r="I2006" s="284"/>
      <c r="J2006" s="375"/>
      <c r="K2006" s="375"/>
      <c r="L2006" s="375"/>
      <c r="M2006" s="368"/>
      <c r="N2006" s="368"/>
      <c r="O2006" s="370"/>
      <c r="T2006" s="349"/>
      <c r="V2006" s="378"/>
      <c r="W2006" s="64" ph="1"/>
      <c r="X2006" s="241"/>
      <c r="Y2006" s="284"/>
      <c r="Z2006" s="207"/>
      <c r="AA2006" s="284"/>
      <c r="AB2006" s="284"/>
      <c r="AC2006" s="284"/>
      <c r="AD2006" s="284"/>
      <c r="AE2006" s="284"/>
      <c r="AF2006" s="284"/>
      <c r="AG2006" s="284"/>
    </row>
    <row r="2007" spans="1:33" ht="26.4">
      <c r="A2007" s="284"/>
      <c r="B2007" s="284"/>
      <c r="C2007" s="284"/>
      <c r="D2007" s="284"/>
      <c r="E2007" s="284"/>
      <c r="F2007" s="284"/>
      <c r="G2007" s="284"/>
      <c r="H2007" s="284"/>
      <c r="I2007" s="284"/>
      <c r="J2007" s="375"/>
      <c r="K2007" s="375"/>
      <c r="L2007" s="375"/>
      <c r="M2007" s="368"/>
      <c r="N2007" s="368"/>
      <c r="O2007" s="370"/>
      <c r="T2007" s="349"/>
      <c r="V2007" s="378"/>
      <c r="W2007" s="64" ph="1"/>
      <c r="X2007" s="241"/>
      <c r="Y2007" s="284"/>
      <c r="Z2007" s="207"/>
      <c r="AA2007" s="284"/>
      <c r="AB2007" s="284"/>
      <c r="AC2007" s="284"/>
      <c r="AD2007" s="284"/>
      <c r="AE2007" s="284"/>
      <c r="AF2007" s="284"/>
      <c r="AG2007" s="284"/>
    </row>
    <row r="2008" spans="1:33" ht="26.4">
      <c r="A2008" s="284"/>
      <c r="B2008" s="284"/>
      <c r="C2008" s="284"/>
      <c r="D2008" s="284"/>
      <c r="E2008" s="284"/>
      <c r="F2008" s="284"/>
      <c r="G2008" s="284"/>
      <c r="H2008" s="284"/>
      <c r="I2008" s="284"/>
      <c r="J2008" s="375"/>
      <c r="K2008" s="375"/>
      <c r="L2008" s="375"/>
      <c r="M2008" s="368"/>
      <c r="N2008" s="368"/>
      <c r="O2008" s="370"/>
      <c r="T2008" s="349"/>
      <c r="V2008" s="378"/>
      <c r="W2008" s="64" ph="1"/>
      <c r="X2008" s="241"/>
      <c r="Y2008" s="284"/>
      <c r="Z2008" s="207"/>
      <c r="AA2008" s="284"/>
      <c r="AB2008" s="284"/>
      <c r="AC2008" s="284"/>
      <c r="AD2008" s="284"/>
      <c r="AE2008" s="284"/>
      <c r="AF2008" s="284"/>
      <c r="AG2008" s="284"/>
    </row>
    <row r="2009" spans="1:33" ht="26.4">
      <c r="A2009" s="284"/>
      <c r="B2009" s="284"/>
      <c r="C2009" s="284"/>
      <c r="D2009" s="284"/>
      <c r="E2009" s="284"/>
      <c r="F2009" s="284"/>
      <c r="G2009" s="284"/>
      <c r="H2009" s="284"/>
      <c r="I2009" s="284"/>
      <c r="J2009" s="375"/>
      <c r="K2009" s="375"/>
      <c r="L2009" s="375"/>
      <c r="M2009" s="368"/>
      <c r="N2009" s="368"/>
      <c r="O2009" s="370"/>
      <c r="T2009" s="349"/>
      <c r="V2009" s="378"/>
      <c r="W2009" s="64" ph="1"/>
      <c r="X2009" s="241"/>
      <c r="Y2009" s="284"/>
      <c r="Z2009" s="207"/>
      <c r="AA2009" s="284"/>
      <c r="AB2009" s="284"/>
      <c r="AC2009" s="284"/>
      <c r="AD2009" s="284"/>
      <c r="AE2009" s="284"/>
      <c r="AF2009" s="284"/>
      <c r="AG2009" s="284"/>
    </row>
    <row r="2010" spans="1:33" ht="26.4">
      <c r="A2010" s="284"/>
      <c r="B2010" s="284"/>
      <c r="C2010" s="284"/>
      <c r="D2010" s="284"/>
      <c r="E2010" s="284"/>
      <c r="F2010" s="284"/>
      <c r="G2010" s="284"/>
      <c r="H2010" s="284"/>
      <c r="I2010" s="284"/>
      <c r="J2010" s="375"/>
      <c r="K2010" s="375"/>
      <c r="L2010" s="375"/>
      <c r="M2010" s="368"/>
      <c r="N2010" s="368"/>
      <c r="O2010" s="370"/>
      <c r="T2010" s="349"/>
      <c r="V2010" s="378"/>
      <c r="W2010" s="64" ph="1"/>
      <c r="X2010" s="241"/>
      <c r="Y2010" s="284"/>
      <c r="Z2010" s="207"/>
      <c r="AA2010" s="284"/>
      <c r="AB2010" s="284"/>
      <c r="AC2010" s="284"/>
      <c r="AD2010" s="284"/>
      <c r="AE2010" s="284"/>
      <c r="AF2010" s="284"/>
      <c r="AG2010" s="284"/>
    </row>
    <row r="2011" spans="1:33" ht="26.4">
      <c r="A2011" s="284"/>
      <c r="B2011" s="284"/>
      <c r="C2011" s="284"/>
      <c r="D2011" s="284"/>
      <c r="E2011" s="284"/>
      <c r="F2011" s="284"/>
      <c r="G2011" s="284"/>
      <c r="H2011" s="284"/>
      <c r="I2011" s="284"/>
      <c r="J2011" s="375"/>
      <c r="K2011" s="375"/>
      <c r="L2011" s="375"/>
      <c r="M2011" s="368"/>
      <c r="N2011" s="368"/>
      <c r="O2011" s="370"/>
      <c r="T2011" s="349"/>
      <c r="V2011" s="378"/>
      <c r="W2011" s="64" ph="1"/>
      <c r="X2011" s="241"/>
      <c r="Y2011" s="284"/>
      <c r="Z2011" s="207"/>
      <c r="AA2011" s="284"/>
      <c r="AB2011" s="284"/>
      <c r="AC2011" s="284"/>
      <c r="AD2011" s="284"/>
      <c r="AE2011" s="284"/>
      <c r="AF2011" s="284"/>
      <c r="AG2011" s="284"/>
    </row>
    <row r="2012" spans="1:33" ht="26.4">
      <c r="A2012" s="284"/>
      <c r="B2012" s="284"/>
      <c r="C2012" s="284"/>
      <c r="D2012" s="284"/>
      <c r="E2012" s="284"/>
      <c r="F2012" s="284"/>
      <c r="G2012" s="284"/>
      <c r="H2012" s="284"/>
      <c r="I2012" s="284"/>
      <c r="J2012" s="375"/>
      <c r="K2012" s="375"/>
      <c r="L2012" s="375"/>
      <c r="M2012" s="368"/>
      <c r="N2012" s="368"/>
      <c r="O2012" s="370"/>
      <c r="T2012" s="349"/>
      <c r="V2012" s="378"/>
      <c r="W2012" s="64" ph="1"/>
      <c r="X2012" s="241"/>
      <c r="Y2012" s="284"/>
      <c r="Z2012" s="207"/>
      <c r="AA2012" s="284"/>
      <c r="AB2012" s="284"/>
      <c r="AC2012" s="284"/>
      <c r="AD2012" s="284"/>
      <c r="AE2012" s="284"/>
      <c r="AF2012" s="284"/>
      <c r="AG2012" s="284"/>
    </row>
    <row r="2013" spans="1:33" ht="26.4">
      <c r="A2013" s="284"/>
      <c r="B2013" s="284"/>
      <c r="C2013" s="284"/>
      <c r="D2013" s="284"/>
      <c r="E2013" s="284"/>
      <c r="F2013" s="284"/>
      <c r="G2013" s="284"/>
      <c r="H2013" s="284"/>
      <c r="I2013" s="284"/>
      <c r="J2013" s="375"/>
      <c r="K2013" s="375"/>
      <c r="L2013" s="375"/>
      <c r="M2013" s="368"/>
      <c r="N2013" s="368"/>
      <c r="O2013" s="370"/>
      <c r="T2013" s="349"/>
      <c r="V2013" s="378"/>
      <c r="W2013" s="64" ph="1"/>
      <c r="X2013" s="241"/>
      <c r="Y2013" s="284"/>
      <c r="Z2013" s="207"/>
      <c r="AA2013" s="284"/>
      <c r="AB2013" s="284"/>
      <c r="AC2013" s="284"/>
      <c r="AD2013" s="284"/>
      <c r="AE2013" s="284"/>
      <c r="AF2013" s="284"/>
      <c r="AG2013" s="284"/>
    </row>
    <row r="2014" spans="1:33" ht="26.4">
      <c r="A2014" s="284"/>
      <c r="B2014" s="284"/>
      <c r="C2014" s="284"/>
      <c r="D2014" s="284"/>
      <c r="E2014" s="284"/>
      <c r="F2014" s="284"/>
      <c r="G2014" s="284"/>
      <c r="H2014" s="284"/>
      <c r="I2014" s="284"/>
      <c r="J2014" s="375"/>
      <c r="K2014" s="375"/>
      <c r="L2014" s="375"/>
      <c r="M2014" s="368"/>
      <c r="N2014" s="368"/>
      <c r="O2014" s="370"/>
      <c r="T2014" s="349"/>
      <c r="V2014" s="378"/>
      <c r="W2014" s="64" ph="1"/>
      <c r="X2014" s="241"/>
      <c r="Y2014" s="284"/>
      <c r="Z2014" s="207"/>
      <c r="AA2014" s="284"/>
      <c r="AB2014" s="284"/>
      <c r="AC2014" s="284"/>
      <c r="AD2014" s="284"/>
      <c r="AE2014" s="284"/>
      <c r="AF2014" s="284"/>
      <c r="AG2014" s="284"/>
    </row>
    <row r="2015" spans="1:33" ht="26.4">
      <c r="A2015" s="284"/>
      <c r="B2015" s="284"/>
      <c r="C2015" s="284"/>
      <c r="D2015" s="284"/>
      <c r="E2015" s="284"/>
      <c r="F2015" s="284"/>
      <c r="G2015" s="284"/>
      <c r="H2015" s="284"/>
      <c r="I2015" s="284"/>
      <c r="J2015" s="375"/>
      <c r="K2015" s="375"/>
      <c r="L2015" s="375"/>
      <c r="M2015" s="368"/>
      <c r="N2015" s="368"/>
      <c r="O2015" s="370"/>
      <c r="T2015" s="349"/>
      <c r="V2015" s="378"/>
      <c r="W2015" s="64" ph="1"/>
      <c r="X2015" s="241"/>
      <c r="Y2015" s="284"/>
      <c r="Z2015" s="207"/>
      <c r="AA2015" s="284"/>
      <c r="AB2015" s="284"/>
      <c r="AC2015" s="284"/>
      <c r="AD2015" s="284"/>
      <c r="AE2015" s="284"/>
      <c r="AF2015" s="284"/>
      <c r="AG2015" s="284"/>
    </row>
    <row r="2016" spans="1:33" ht="26.4">
      <c r="A2016" s="284"/>
      <c r="B2016" s="284"/>
      <c r="C2016" s="284"/>
      <c r="D2016" s="284"/>
      <c r="E2016" s="284"/>
      <c r="F2016" s="284"/>
      <c r="G2016" s="284"/>
      <c r="H2016" s="284"/>
      <c r="I2016" s="284"/>
      <c r="J2016" s="375"/>
      <c r="K2016" s="375"/>
      <c r="L2016" s="375"/>
      <c r="M2016" s="368"/>
      <c r="N2016" s="368"/>
      <c r="O2016" s="370"/>
      <c r="T2016" s="349"/>
      <c r="V2016" s="378"/>
      <c r="W2016" s="64" ph="1"/>
      <c r="X2016" s="241"/>
      <c r="Y2016" s="284"/>
      <c r="Z2016" s="207"/>
      <c r="AA2016" s="284"/>
      <c r="AB2016" s="284"/>
      <c r="AC2016" s="284"/>
      <c r="AD2016" s="284"/>
      <c r="AE2016" s="284"/>
      <c r="AF2016" s="284"/>
      <c r="AG2016" s="284"/>
    </row>
    <row r="2017" spans="1:33" ht="26.4">
      <c r="A2017" s="284"/>
      <c r="B2017" s="284"/>
      <c r="C2017" s="284"/>
      <c r="D2017" s="284"/>
      <c r="E2017" s="284"/>
      <c r="F2017" s="284"/>
      <c r="G2017" s="284"/>
      <c r="H2017" s="284"/>
      <c r="I2017" s="284"/>
      <c r="J2017" s="375"/>
      <c r="K2017" s="375"/>
      <c r="L2017" s="375"/>
      <c r="M2017" s="368"/>
      <c r="N2017" s="368"/>
      <c r="O2017" s="370"/>
      <c r="T2017" s="349"/>
      <c r="V2017" s="378"/>
      <c r="W2017" s="64" ph="1"/>
      <c r="X2017" s="241"/>
      <c r="Y2017" s="284"/>
      <c r="Z2017" s="207"/>
      <c r="AA2017" s="284"/>
      <c r="AB2017" s="284"/>
      <c r="AC2017" s="284"/>
      <c r="AD2017" s="284"/>
      <c r="AE2017" s="284"/>
      <c r="AF2017" s="284"/>
      <c r="AG2017" s="284"/>
    </row>
    <row r="2018" spans="1:33" ht="26.4">
      <c r="A2018" s="284"/>
      <c r="B2018" s="284"/>
      <c r="C2018" s="284"/>
      <c r="D2018" s="284"/>
      <c r="E2018" s="284"/>
      <c r="F2018" s="284"/>
      <c r="G2018" s="284"/>
      <c r="H2018" s="284"/>
      <c r="I2018" s="284"/>
      <c r="J2018" s="375"/>
      <c r="K2018" s="375"/>
      <c r="L2018" s="375"/>
      <c r="M2018" s="368"/>
      <c r="N2018" s="368"/>
      <c r="O2018" s="370"/>
      <c r="T2018" s="349"/>
      <c r="V2018" s="378"/>
      <c r="W2018" s="64" ph="1"/>
      <c r="X2018" s="241"/>
      <c r="Y2018" s="284"/>
      <c r="Z2018" s="207"/>
      <c r="AA2018" s="284"/>
      <c r="AB2018" s="284"/>
      <c r="AC2018" s="284"/>
      <c r="AD2018" s="284"/>
      <c r="AE2018" s="284"/>
      <c r="AF2018" s="284"/>
      <c r="AG2018" s="284"/>
    </row>
    <row r="2019" spans="1:33" ht="26.4">
      <c r="A2019" s="284"/>
      <c r="B2019" s="284"/>
      <c r="C2019" s="284"/>
      <c r="D2019" s="284"/>
      <c r="E2019" s="284"/>
      <c r="F2019" s="284"/>
      <c r="G2019" s="284"/>
      <c r="H2019" s="284"/>
      <c r="I2019" s="284"/>
      <c r="J2019" s="375"/>
      <c r="K2019" s="375"/>
      <c r="L2019" s="375"/>
      <c r="M2019" s="368"/>
      <c r="N2019" s="368"/>
      <c r="O2019" s="370"/>
      <c r="T2019" s="349"/>
      <c r="V2019" s="378"/>
      <c r="W2019" s="64" ph="1"/>
      <c r="X2019" s="241"/>
      <c r="Y2019" s="284"/>
      <c r="Z2019" s="207"/>
      <c r="AA2019" s="284"/>
      <c r="AB2019" s="284"/>
      <c r="AC2019" s="284"/>
      <c r="AD2019" s="284"/>
      <c r="AE2019" s="284"/>
      <c r="AF2019" s="284"/>
      <c r="AG2019" s="284"/>
    </row>
    <row r="2020" spans="1:33" ht="26.4">
      <c r="A2020" s="284"/>
      <c r="B2020" s="284"/>
      <c r="C2020" s="284"/>
      <c r="D2020" s="284"/>
      <c r="E2020" s="284"/>
      <c r="F2020" s="284"/>
      <c r="G2020" s="284"/>
      <c r="H2020" s="284"/>
      <c r="I2020" s="284"/>
      <c r="J2020" s="375"/>
      <c r="K2020" s="375"/>
      <c r="L2020" s="375"/>
      <c r="M2020" s="368"/>
      <c r="N2020" s="368"/>
      <c r="O2020" s="370"/>
      <c r="T2020" s="349"/>
      <c r="V2020" s="378"/>
      <c r="W2020" s="64" ph="1"/>
      <c r="X2020" s="241"/>
      <c r="Y2020" s="284"/>
      <c r="Z2020" s="207"/>
      <c r="AA2020" s="284"/>
      <c r="AB2020" s="284"/>
      <c r="AC2020" s="284"/>
      <c r="AD2020" s="284"/>
      <c r="AE2020" s="284"/>
      <c r="AF2020" s="284"/>
      <c r="AG2020" s="284"/>
    </row>
    <row r="2021" spans="1:33" ht="26.4">
      <c r="A2021" s="284"/>
      <c r="B2021" s="284"/>
      <c r="C2021" s="284"/>
      <c r="D2021" s="284"/>
      <c r="E2021" s="284"/>
      <c r="F2021" s="284"/>
      <c r="G2021" s="284"/>
      <c r="H2021" s="284"/>
      <c r="I2021" s="284"/>
      <c r="J2021" s="375"/>
      <c r="K2021" s="375"/>
      <c r="L2021" s="375"/>
      <c r="M2021" s="368"/>
      <c r="N2021" s="368"/>
      <c r="O2021" s="370"/>
      <c r="T2021" s="349"/>
      <c r="V2021" s="378"/>
      <c r="W2021" s="64" ph="1"/>
      <c r="X2021" s="241"/>
      <c r="Y2021" s="284"/>
      <c r="Z2021" s="207"/>
      <c r="AA2021" s="284"/>
      <c r="AB2021" s="284"/>
      <c r="AC2021" s="284"/>
      <c r="AD2021" s="284"/>
      <c r="AE2021" s="284"/>
      <c r="AF2021" s="284"/>
      <c r="AG2021" s="284"/>
    </row>
    <row r="2022" spans="1:33" ht="26.4">
      <c r="A2022" s="284"/>
      <c r="B2022" s="284"/>
      <c r="C2022" s="284"/>
      <c r="D2022" s="284"/>
      <c r="E2022" s="284"/>
      <c r="F2022" s="284"/>
      <c r="G2022" s="284"/>
      <c r="H2022" s="284"/>
      <c r="I2022" s="284"/>
      <c r="J2022" s="375"/>
      <c r="K2022" s="375"/>
      <c r="L2022" s="375"/>
      <c r="M2022" s="368"/>
      <c r="N2022" s="368"/>
      <c r="O2022" s="370"/>
      <c r="T2022" s="349"/>
      <c r="V2022" s="378"/>
      <c r="W2022" s="64" ph="1"/>
      <c r="X2022" s="241"/>
      <c r="Y2022" s="284"/>
      <c r="Z2022" s="207"/>
      <c r="AA2022" s="284"/>
      <c r="AB2022" s="284"/>
      <c r="AC2022" s="284"/>
      <c r="AD2022" s="284"/>
      <c r="AE2022" s="284"/>
      <c r="AF2022" s="284"/>
      <c r="AG2022" s="284"/>
    </row>
    <row r="2023" spans="1:33" ht="26.4">
      <c r="A2023" s="284"/>
      <c r="B2023" s="284"/>
      <c r="C2023" s="284"/>
      <c r="D2023" s="284"/>
      <c r="E2023" s="284"/>
      <c r="F2023" s="284"/>
      <c r="G2023" s="284"/>
      <c r="H2023" s="284"/>
      <c r="I2023" s="284"/>
      <c r="J2023" s="375"/>
      <c r="K2023" s="375"/>
      <c r="L2023" s="375"/>
      <c r="M2023" s="368"/>
      <c r="N2023" s="368"/>
      <c r="O2023" s="370"/>
      <c r="T2023" s="349"/>
      <c r="V2023" s="378"/>
      <c r="W2023" s="64" ph="1"/>
      <c r="X2023" s="241"/>
      <c r="Y2023" s="284"/>
      <c r="Z2023" s="207"/>
      <c r="AA2023" s="284"/>
      <c r="AB2023" s="284"/>
      <c r="AC2023" s="284"/>
      <c r="AD2023" s="284"/>
      <c r="AE2023" s="284"/>
      <c r="AF2023" s="284"/>
      <c r="AG2023" s="284"/>
    </row>
    <row r="2024" spans="1:33" ht="26.4">
      <c r="A2024" s="284"/>
      <c r="B2024" s="284"/>
      <c r="C2024" s="284"/>
      <c r="D2024" s="284"/>
      <c r="E2024" s="284"/>
      <c r="F2024" s="284"/>
      <c r="G2024" s="284"/>
      <c r="H2024" s="284"/>
      <c r="I2024" s="284"/>
      <c r="J2024" s="375"/>
      <c r="K2024" s="375"/>
      <c r="L2024" s="375"/>
      <c r="M2024" s="368"/>
      <c r="N2024" s="368"/>
      <c r="O2024" s="370"/>
      <c r="T2024" s="349"/>
      <c r="V2024" s="378"/>
      <c r="W2024" s="64" ph="1"/>
      <c r="X2024" s="241"/>
      <c r="Y2024" s="284"/>
      <c r="Z2024" s="207"/>
      <c r="AA2024" s="284"/>
      <c r="AB2024" s="284"/>
      <c r="AC2024" s="284"/>
      <c r="AD2024" s="284"/>
      <c r="AE2024" s="284"/>
      <c r="AF2024" s="284"/>
      <c r="AG2024" s="284"/>
    </row>
    <row r="2025" spans="1:33" ht="26.4">
      <c r="A2025" s="284"/>
      <c r="B2025" s="284"/>
      <c r="C2025" s="284"/>
      <c r="D2025" s="284"/>
      <c r="E2025" s="284"/>
      <c r="F2025" s="284"/>
      <c r="G2025" s="284"/>
      <c r="H2025" s="284"/>
      <c r="I2025" s="284"/>
      <c r="J2025" s="375"/>
      <c r="K2025" s="375"/>
      <c r="L2025" s="375"/>
      <c r="M2025" s="368"/>
      <c r="N2025" s="368"/>
      <c r="O2025" s="370"/>
      <c r="T2025" s="349"/>
      <c r="V2025" s="378"/>
      <c r="W2025" s="64" ph="1"/>
      <c r="X2025" s="241"/>
      <c r="Y2025" s="284"/>
      <c r="Z2025" s="207"/>
      <c r="AA2025" s="284"/>
      <c r="AB2025" s="284"/>
      <c r="AC2025" s="284"/>
      <c r="AD2025" s="284"/>
      <c r="AE2025" s="284"/>
      <c r="AF2025" s="284"/>
      <c r="AG2025" s="284"/>
    </row>
    <row r="2026" spans="1:33" ht="26.4">
      <c r="A2026" s="284"/>
      <c r="B2026" s="284"/>
      <c r="C2026" s="284"/>
      <c r="D2026" s="284"/>
      <c r="E2026" s="284"/>
      <c r="F2026" s="284"/>
      <c r="G2026" s="284"/>
      <c r="H2026" s="284"/>
      <c r="I2026" s="284"/>
      <c r="J2026" s="375"/>
      <c r="K2026" s="375"/>
      <c r="L2026" s="375"/>
      <c r="M2026" s="368"/>
      <c r="N2026" s="368"/>
      <c r="O2026" s="370"/>
      <c r="T2026" s="349"/>
      <c r="V2026" s="378"/>
      <c r="W2026" s="64" ph="1"/>
      <c r="X2026" s="241"/>
      <c r="Y2026" s="284"/>
      <c r="Z2026" s="207"/>
      <c r="AA2026" s="284"/>
      <c r="AB2026" s="284"/>
      <c r="AC2026" s="284"/>
      <c r="AD2026" s="284"/>
      <c r="AE2026" s="284"/>
      <c r="AF2026" s="284"/>
      <c r="AG2026" s="284"/>
    </row>
    <row r="2027" spans="1:33" ht="26.4">
      <c r="A2027" s="284"/>
      <c r="B2027" s="284"/>
      <c r="C2027" s="284"/>
      <c r="D2027" s="284"/>
      <c r="E2027" s="284"/>
      <c r="F2027" s="284"/>
      <c r="G2027" s="284"/>
      <c r="H2027" s="284"/>
      <c r="I2027" s="284"/>
      <c r="J2027" s="375"/>
      <c r="K2027" s="375"/>
      <c r="L2027" s="375"/>
      <c r="M2027" s="368"/>
      <c r="N2027" s="368"/>
      <c r="O2027" s="370"/>
      <c r="T2027" s="349"/>
      <c r="V2027" s="378"/>
      <c r="W2027" s="64" ph="1"/>
      <c r="X2027" s="241"/>
      <c r="Y2027" s="284"/>
      <c r="Z2027" s="207"/>
      <c r="AA2027" s="284"/>
      <c r="AB2027" s="284"/>
      <c r="AC2027" s="284"/>
      <c r="AD2027" s="284"/>
      <c r="AE2027" s="284"/>
      <c r="AF2027" s="284"/>
      <c r="AG2027" s="284"/>
    </row>
    <row r="2028" spans="1:33" ht="26.4">
      <c r="A2028" s="284"/>
      <c r="B2028" s="284"/>
      <c r="C2028" s="284"/>
      <c r="D2028" s="284"/>
      <c r="E2028" s="284"/>
      <c r="F2028" s="284"/>
      <c r="G2028" s="284"/>
      <c r="H2028" s="284"/>
      <c r="I2028" s="284"/>
      <c r="J2028" s="375"/>
      <c r="K2028" s="375"/>
      <c r="L2028" s="375"/>
      <c r="M2028" s="368"/>
      <c r="N2028" s="368"/>
      <c r="O2028" s="370"/>
      <c r="T2028" s="349"/>
      <c r="V2028" s="378"/>
      <c r="W2028" s="64" ph="1"/>
      <c r="X2028" s="241"/>
      <c r="Y2028" s="284"/>
      <c r="Z2028" s="207"/>
      <c r="AA2028" s="284"/>
      <c r="AB2028" s="284"/>
      <c r="AC2028" s="284"/>
      <c r="AD2028" s="284"/>
      <c r="AE2028" s="284"/>
      <c r="AF2028" s="284"/>
      <c r="AG2028" s="284"/>
    </row>
    <row r="2029" spans="1:33" ht="26.4">
      <c r="A2029" s="284"/>
      <c r="B2029" s="284"/>
      <c r="C2029" s="284"/>
      <c r="D2029" s="284"/>
      <c r="E2029" s="284"/>
      <c r="F2029" s="284"/>
      <c r="G2029" s="284"/>
      <c r="H2029" s="284"/>
      <c r="I2029" s="284"/>
      <c r="J2029" s="375"/>
      <c r="K2029" s="375"/>
      <c r="L2029" s="375"/>
      <c r="M2029" s="368"/>
      <c r="N2029" s="368"/>
      <c r="O2029" s="370"/>
      <c r="T2029" s="349"/>
      <c r="V2029" s="378"/>
      <c r="W2029" s="64" ph="1"/>
      <c r="X2029" s="241"/>
      <c r="Y2029" s="284"/>
      <c r="Z2029" s="207"/>
      <c r="AA2029" s="284"/>
      <c r="AB2029" s="284"/>
      <c r="AC2029" s="284"/>
      <c r="AD2029" s="284"/>
      <c r="AE2029" s="284"/>
      <c r="AF2029" s="284"/>
      <c r="AG2029" s="284"/>
    </row>
    <row r="2030" spans="1:33" ht="26.4">
      <c r="A2030" s="284"/>
      <c r="B2030" s="284"/>
      <c r="C2030" s="284"/>
      <c r="D2030" s="284"/>
      <c r="E2030" s="284"/>
      <c r="F2030" s="284"/>
      <c r="G2030" s="284"/>
      <c r="H2030" s="284"/>
      <c r="I2030" s="284"/>
      <c r="J2030" s="375"/>
      <c r="K2030" s="375"/>
      <c r="L2030" s="375"/>
      <c r="M2030" s="368"/>
      <c r="N2030" s="368"/>
      <c r="O2030" s="370"/>
      <c r="T2030" s="349"/>
      <c r="V2030" s="378"/>
      <c r="W2030" s="64" ph="1"/>
      <c r="X2030" s="241"/>
      <c r="Y2030" s="284"/>
      <c r="Z2030" s="207"/>
      <c r="AA2030" s="284"/>
      <c r="AB2030" s="284"/>
      <c r="AC2030" s="284"/>
      <c r="AD2030" s="284"/>
      <c r="AE2030" s="284"/>
      <c r="AF2030" s="284"/>
      <c r="AG2030" s="284"/>
    </row>
    <row r="2031" spans="1:33" ht="26.4">
      <c r="A2031" s="284"/>
      <c r="B2031" s="284"/>
      <c r="C2031" s="284"/>
      <c r="D2031" s="284"/>
      <c r="E2031" s="284"/>
      <c r="F2031" s="284"/>
      <c r="G2031" s="284"/>
      <c r="H2031" s="284"/>
      <c r="I2031" s="284"/>
      <c r="J2031" s="375"/>
      <c r="K2031" s="375"/>
      <c r="L2031" s="375"/>
      <c r="M2031" s="368"/>
      <c r="N2031" s="368"/>
      <c r="O2031" s="370"/>
      <c r="T2031" s="349"/>
      <c r="V2031" s="378"/>
      <c r="W2031" s="64" ph="1"/>
      <c r="X2031" s="241"/>
      <c r="Y2031" s="284"/>
      <c r="Z2031" s="207"/>
      <c r="AA2031" s="284"/>
      <c r="AB2031" s="284"/>
      <c r="AC2031" s="284"/>
      <c r="AD2031" s="284"/>
      <c r="AE2031" s="284"/>
      <c r="AF2031" s="284"/>
      <c r="AG2031" s="284"/>
    </row>
    <row r="2032" spans="1:33" ht="26.4">
      <c r="A2032" s="284"/>
      <c r="B2032" s="284"/>
      <c r="C2032" s="284"/>
      <c r="D2032" s="284"/>
      <c r="E2032" s="284"/>
      <c r="F2032" s="284"/>
      <c r="G2032" s="284"/>
      <c r="H2032" s="284"/>
      <c r="I2032" s="284"/>
      <c r="J2032" s="375"/>
      <c r="K2032" s="375"/>
      <c r="L2032" s="375"/>
      <c r="M2032" s="368"/>
      <c r="N2032" s="368"/>
      <c r="O2032" s="370"/>
      <c r="T2032" s="349"/>
      <c r="V2032" s="378"/>
      <c r="W2032" s="64" ph="1"/>
      <c r="X2032" s="241"/>
      <c r="Y2032" s="284"/>
      <c r="Z2032" s="207"/>
      <c r="AA2032" s="284"/>
      <c r="AB2032" s="284"/>
      <c r="AC2032" s="284"/>
      <c r="AD2032" s="284"/>
      <c r="AE2032" s="284"/>
      <c r="AF2032" s="284"/>
      <c r="AG2032" s="284"/>
    </row>
    <row r="2033" spans="1:33" ht="26.4">
      <c r="A2033" s="284"/>
      <c r="B2033" s="284"/>
      <c r="C2033" s="284"/>
      <c r="D2033" s="284"/>
      <c r="E2033" s="284"/>
      <c r="F2033" s="284"/>
      <c r="G2033" s="284"/>
      <c r="H2033" s="284"/>
      <c r="I2033" s="284"/>
      <c r="J2033" s="375"/>
      <c r="K2033" s="375"/>
      <c r="L2033" s="375"/>
      <c r="M2033" s="368"/>
      <c r="N2033" s="368"/>
      <c r="O2033" s="370"/>
      <c r="T2033" s="349"/>
      <c r="V2033" s="378"/>
      <c r="W2033" s="64" ph="1"/>
      <c r="X2033" s="241"/>
      <c r="Y2033" s="284"/>
      <c r="Z2033" s="207"/>
      <c r="AA2033" s="284"/>
      <c r="AB2033" s="284"/>
      <c r="AC2033" s="284"/>
      <c r="AD2033" s="284"/>
      <c r="AE2033" s="284"/>
      <c r="AF2033" s="284"/>
      <c r="AG2033" s="284"/>
    </row>
    <row r="2034" spans="1:33" ht="26.4">
      <c r="A2034" s="284"/>
      <c r="B2034" s="284"/>
      <c r="C2034" s="284"/>
      <c r="D2034" s="284"/>
      <c r="E2034" s="284"/>
      <c r="F2034" s="284"/>
      <c r="G2034" s="284"/>
      <c r="H2034" s="284"/>
      <c r="I2034" s="284"/>
      <c r="J2034" s="375"/>
      <c r="K2034" s="375"/>
      <c r="L2034" s="375"/>
      <c r="M2034" s="368"/>
      <c r="N2034" s="368"/>
      <c r="O2034" s="370"/>
      <c r="T2034" s="349"/>
      <c r="V2034" s="378"/>
      <c r="W2034" s="64" ph="1"/>
      <c r="X2034" s="241"/>
      <c r="Y2034" s="284"/>
      <c r="Z2034" s="207"/>
      <c r="AA2034" s="284"/>
      <c r="AB2034" s="284"/>
      <c r="AC2034" s="284"/>
      <c r="AD2034" s="284"/>
      <c r="AE2034" s="284"/>
      <c r="AF2034" s="284"/>
      <c r="AG2034" s="284"/>
    </row>
    <row r="2035" spans="1:33" ht="26.4">
      <c r="A2035" s="284"/>
      <c r="B2035" s="284"/>
      <c r="C2035" s="284"/>
      <c r="D2035" s="284"/>
      <c r="E2035" s="284"/>
      <c r="F2035" s="284"/>
      <c r="G2035" s="284"/>
      <c r="H2035" s="284"/>
      <c r="I2035" s="284"/>
      <c r="J2035" s="375"/>
      <c r="K2035" s="375"/>
      <c r="L2035" s="375"/>
      <c r="M2035" s="368"/>
      <c r="N2035" s="368"/>
      <c r="O2035" s="370"/>
      <c r="T2035" s="349"/>
      <c r="V2035" s="378"/>
      <c r="W2035" s="64" ph="1"/>
      <c r="X2035" s="241"/>
      <c r="Y2035" s="284"/>
      <c r="Z2035" s="207"/>
      <c r="AA2035" s="284"/>
      <c r="AB2035" s="284"/>
      <c r="AC2035" s="284"/>
      <c r="AD2035" s="284"/>
      <c r="AE2035" s="284"/>
      <c r="AF2035" s="284"/>
      <c r="AG2035" s="284"/>
    </row>
    <row r="2036" spans="1:33" ht="26.4">
      <c r="A2036" s="284"/>
      <c r="B2036" s="284"/>
      <c r="C2036" s="284"/>
      <c r="D2036" s="284"/>
      <c r="E2036" s="284"/>
      <c r="F2036" s="284"/>
      <c r="G2036" s="284"/>
      <c r="H2036" s="284"/>
      <c r="I2036" s="284"/>
      <c r="J2036" s="375"/>
      <c r="K2036" s="375"/>
      <c r="L2036" s="375"/>
      <c r="M2036" s="368"/>
      <c r="N2036" s="368"/>
      <c r="O2036" s="370"/>
      <c r="T2036" s="349"/>
      <c r="V2036" s="378"/>
      <c r="W2036" s="64" ph="1"/>
      <c r="X2036" s="241"/>
      <c r="Y2036" s="284"/>
      <c r="Z2036" s="207"/>
      <c r="AA2036" s="284"/>
      <c r="AB2036" s="284"/>
      <c r="AC2036" s="284"/>
      <c r="AD2036" s="284"/>
      <c r="AE2036" s="284"/>
      <c r="AF2036" s="284"/>
      <c r="AG2036" s="284"/>
    </row>
    <row r="2037" spans="1:33" ht="26.4">
      <c r="A2037" s="284"/>
      <c r="B2037" s="284"/>
      <c r="C2037" s="284"/>
      <c r="D2037" s="284"/>
      <c r="E2037" s="284"/>
      <c r="F2037" s="284"/>
      <c r="G2037" s="284"/>
      <c r="H2037" s="284"/>
      <c r="I2037" s="284"/>
      <c r="J2037" s="375"/>
      <c r="K2037" s="375"/>
      <c r="L2037" s="375"/>
      <c r="M2037" s="368"/>
      <c r="N2037" s="368"/>
      <c r="O2037" s="370"/>
      <c r="T2037" s="349"/>
      <c r="V2037" s="378"/>
      <c r="W2037" s="64" ph="1"/>
      <c r="X2037" s="241"/>
      <c r="Y2037" s="284"/>
      <c r="Z2037" s="207"/>
      <c r="AA2037" s="284"/>
      <c r="AB2037" s="284"/>
      <c r="AC2037" s="284"/>
      <c r="AD2037" s="284"/>
      <c r="AE2037" s="284"/>
      <c r="AF2037" s="284"/>
      <c r="AG2037" s="284"/>
    </row>
    <row r="2038" spans="1:33" ht="26.4">
      <c r="A2038" s="284"/>
      <c r="B2038" s="284"/>
      <c r="C2038" s="284"/>
      <c r="D2038" s="284"/>
      <c r="E2038" s="284"/>
      <c r="F2038" s="284"/>
      <c r="G2038" s="284"/>
      <c r="H2038" s="284"/>
      <c r="I2038" s="284"/>
      <c r="J2038" s="375"/>
      <c r="K2038" s="375"/>
      <c r="L2038" s="375"/>
      <c r="M2038" s="368"/>
      <c r="N2038" s="368"/>
      <c r="O2038" s="370"/>
      <c r="T2038" s="349"/>
      <c r="V2038" s="378"/>
      <c r="W2038" s="64" ph="1"/>
      <c r="X2038" s="241"/>
      <c r="Y2038" s="284"/>
      <c r="Z2038" s="207"/>
      <c r="AA2038" s="284"/>
      <c r="AB2038" s="284"/>
      <c r="AC2038" s="284"/>
      <c r="AD2038" s="284"/>
      <c r="AE2038" s="284"/>
      <c r="AF2038" s="284"/>
      <c r="AG2038" s="284"/>
    </row>
    <row r="2039" spans="1:33" ht="26.4">
      <c r="A2039" s="284"/>
      <c r="B2039" s="284"/>
      <c r="C2039" s="284"/>
      <c r="D2039" s="284"/>
      <c r="E2039" s="284"/>
      <c r="F2039" s="284"/>
      <c r="G2039" s="284"/>
      <c r="H2039" s="284"/>
      <c r="I2039" s="284"/>
      <c r="J2039" s="375"/>
      <c r="K2039" s="375"/>
      <c r="L2039" s="375"/>
      <c r="M2039" s="368"/>
      <c r="N2039" s="368"/>
      <c r="O2039" s="370"/>
      <c r="T2039" s="349"/>
      <c r="V2039" s="378"/>
      <c r="W2039" s="64" ph="1"/>
      <c r="X2039" s="241"/>
      <c r="Y2039" s="284"/>
      <c r="Z2039" s="207"/>
      <c r="AA2039" s="284"/>
      <c r="AB2039" s="284"/>
      <c r="AC2039" s="284"/>
      <c r="AD2039" s="284"/>
      <c r="AE2039" s="284"/>
      <c r="AF2039" s="284"/>
      <c r="AG2039" s="284"/>
    </row>
    <row r="2040" spans="1:33" ht="26.4">
      <c r="A2040" s="284"/>
      <c r="B2040" s="284"/>
      <c r="C2040" s="284"/>
      <c r="D2040" s="284"/>
      <c r="E2040" s="284"/>
      <c r="F2040" s="284"/>
      <c r="G2040" s="284"/>
      <c r="H2040" s="284"/>
      <c r="I2040" s="284"/>
      <c r="J2040" s="375"/>
      <c r="K2040" s="375"/>
      <c r="L2040" s="375"/>
      <c r="M2040" s="368"/>
      <c r="N2040" s="368"/>
      <c r="O2040" s="370"/>
      <c r="T2040" s="349"/>
      <c r="V2040" s="378"/>
      <c r="W2040" s="64" ph="1"/>
      <c r="X2040" s="241"/>
      <c r="Y2040" s="284"/>
      <c r="Z2040" s="207"/>
      <c r="AA2040" s="284"/>
      <c r="AB2040" s="284"/>
      <c r="AC2040" s="284"/>
      <c r="AD2040" s="284"/>
      <c r="AE2040" s="284"/>
      <c r="AF2040" s="284"/>
      <c r="AG2040" s="284"/>
    </row>
    <row r="2041" spans="1:33" ht="26.4">
      <c r="A2041" s="284"/>
      <c r="B2041" s="284"/>
      <c r="C2041" s="284"/>
      <c r="D2041" s="284"/>
      <c r="E2041" s="284"/>
      <c r="F2041" s="284"/>
      <c r="G2041" s="284"/>
      <c r="H2041" s="284"/>
      <c r="I2041" s="284"/>
      <c r="J2041" s="375"/>
      <c r="K2041" s="375"/>
      <c r="L2041" s="375"/>
      <c r="M2041" s="368"/>
      <c r="N2041" s="368"/>
      <c r="O2041" s="370"/>
      <c r="T2041" s="349"/>
      <c r="V2041" s="378"/>
      <c r="W2041" s="64" ph="1"/>
      <c r="X2041" s="241"/>
      <c r="Y2041" s="284"/>
      <c r="Z2041" s="207"/>
      <c r="AA2041" s="284"/>
      <c r="AB2041" s="284"/>
      <c r="AC2041" s="284"/>
      <c r="AD2041" s="284"/>
      <c r="AE2041" s="284"/>
      <c r="AF2041" s="284"/>
      <c r="AG2041" s="284"/>
    </row>
    <row r="2042" spans="1:33" ht="26.4">
      <c r="A2042" s="284"/>
      <c r="B2042" s="284"/>
      <c r="C2042" s="284"/>
      <c r="D2042" s="284"/>
      <c r="E2042" s="284"/>
      <c r="F2042" s="284"/>
      <c r="G2042" s="284"/>
      <c r="H2042" s="284"/>
      <c r="I2042" s="284"/>
      <c r="J2042" s="375"/>
      <c r="K2042" s="375"/>
      <c r="L2042" s="375"/>
      <c r="M2042" s="368"/>
      <c r="N2042" s="368"/>
      <c r="O2042" s="370"/>
      <c r="T2042" s="349"/>
      <c r="V2042" s="378"/>
      <c r="W2042" s="64" ph="1"/>
      <c r="X2042" s="241"/>
      <c r="Y2042" s="284"/>
      <c r="Z2042" s="207"/>
      <c r="AA2042" s="284"/>
      <c r="AB2042" s="284"/>
      <c r="AC2042" s="284"/>
      <c r="AD2042" s="284"/>
      <c r="AE2042" s="284"/>
      <c r="AF2042" s="284"/>
      <c r="AG2042" s="284"/>
    </row>
    <row r="2043" spans="1:33" ht="26.4">
      <c r="A2043" s="284"/>
      <c r="B2043" s="284"/>
      <c r="C2043" s="284"/>
      <c r="D2043" s="284"/>
      <c r="E2043" s="284"/>
      <c r="F2043" s="284"/>
      <c r="G2043" s="284"/>
      <c r="H2043" s="284"/>
      <c r="I2043" s="284"/>
      <c r="J2043" s="375"/>
      <c r="K2043" s="375"/>
      <c r="L2043" s="375"/>
      <c r="M2043" s="368"/>
      <c r="N2043" s="368"/>
      <c r="O2043" s="370"/>
      <c r="T2043" s="349"/>
      <c r="V2043" s="378"/>
      <c r="W2043" s="64" ph="1"/>
      <c r="X2043" s="241"/>
      <c r="Y2043" s="284"/>
      <c r="Z2043" s="207"/>
      <c r="AA2043" s="284"/>
      <c r="AB2043" s="284"/>
      <c r="AC2043" s="284"/>
      <c r="AD2043" s="284"/>
      <c r="AE2043" s="284"/>
      <c r="AF2043" s="284"/>
      <c r="AG2043" s="284"/>
    </row>
    <row r="2044" spans="1:33" ht="26.4">
      <c r="A2044" s="284"/>
      <c r="B2044" s="284"/>
      <c r="C2044" s="284"/>
      <c r="D2044" s="284"/>
      <c r="E2044" s="284"/>
      <c r="F2044" s="284"/>
      <c r="G2044" s="284"/>
      <c r="H2044" s="284"/>
      <c r="I2044" s="284"/>
      <c r="J2044" s="375"/>
      <c r="K2044" s="375"/>
      <c r="L2044" s="375"/>
      <c r="M2044" s="368"/>
      <c r="N2044" s="368"/>
      <c r="O2044" s="370"/>
      <c r="T2044" s="349"/>
      <c r="V2044" s="378"/>
      <c r="W2044" s="64" ph="1"/>
      <c r="X2044" s="241"/>
      <c r="Y2044" s="284"/>
      <c r="Z2044" s="207"/>
      <c r="AA2044" s="284"/>
      <c r="AB2044" s="284"/>
      <c r="AC2044" s="284"/>
      <c r="AD2044" s="284"/>
      <c r="AE2044" s="284"/>
      <c r="AF2044" s="284"/>
      <c r="AG2044" s="284"/>
    </row>
    <row r="2045" spans="1:33" ht="26.4">
      <c r="A2045" s="284"/>
      <c r="B2045" s="284"/>
      <c r="C2045" s="284"/>
      <c r="D2045" s="284"/>
      <c r="E2045" s="284"/>
      <c r="F2045" s="284"/>
      <c r="G2045" s="284"/>
      <c r="H2045" s="284"/>
      <c r="I2045" s="284"/>
      <c r="J2045" s="375"/>
      <c r="K2045" s="375"/>
      <c r="L2045" s="375"/>
      <c r="M2045" s="368"/>
      <c r="N2045" s="368"/>
      <c r="O2045" s="370"/>
      <c r="T2045" s="349"/>
      <c r="V2045" s="378"/>
      <c r="W2045" s="64" ph="1"/>
      <c r="X2045" s="241"/>
      <c r="Y2045" s="284"/>
      <c r="Z2045" s="207"/>
      <c r="AA2045" s="284"/>
      <c r="AB2045" s="284"/>
      <c r="AC2045" s="284"/>
      <c r="AD2045" s="284"/>
      <c r="AE2045" s="284"/>
      <c r="AF2045" s="284"/>
      <c r="AG2045" s="284"/>
    </row>
    <row r="2046" spans="1:33" ht="26.4">
      <c r="A2046" s="284"/>
      <c r="B2046" s="284"/>
      <c r="C2046" s="284"/>
      <c r="D2046" s="284"/>
      <c r="E2046" s="284"/>
      <c r="F2046" s="284"/>
      <c r="G2046" s="284"/>
      <c r="H2046" s="284"/>
      <c r="I2046" s="284"/>
      <c r="J2046" s="375"/>
      <c r="K2046" s="375"/>
      <c r="L2046" s="375"/>
      <c r="M2046" s="368"/>
      <c r="N2046" s="368"/>
      <c r="O2046" s="370"/>
      <c r="T2046" s="349"/>
      <c r="V2046" s="378"/>
      <c r="W2046" s="64" ph="1"/>
      <c r="X2046" s="241"/>
      <c r="Y2046" s="284"/>
      <c r="Z2046" s="207"/>
      <c r="AA2046" s="284"/>
      <c r="AB2046" s="284"/>
      <c r="AC2046" s="284"/>
      <c r="AD2046" s="284"/>
      <c r="AE2046" s="284"/>
      <c r="AF2046" s="284"/>
      <c r="AG2046" s="284"/>
    </row>
    <row r="2047" spans="1:33" ht="26.4">
      <c r="A2047" s="284"/>
      <c r="B2047" s="284"/>
      <c r="C2047" s="284"/>
      <c r="D2047" s="284"/>
      <c r="E2047" s="284"/>
      <c r="F2047" s="284"/>
      <c r="G2047" s="284"/>
      <c r="H2047" s="284"/>
      <c r="I2047" s="284"/>
      <c r="J2047" s="375"/>
      <c r="K2047" s="375"/>
      <c r="L2047" s="375"/>
      <c r="M2047" s="368"/>
      <c r="N2047" s="368"/>
      <c r="O2047" s="370"/>
      <c r="T2047" s="349"/>
      <c r="V2047" s="378"/>
      <c r="W2047" s="64" ph="1"/>
      <c r="X2047" s="241"/>
      <c r="Y2047" s="284"/>
      <c r="Z2047" s="207"/>
      <c r="AA2047" s="284"/>
      <c r="AB2047" s="284"/>
      <c r="AC2047" s="284"/>
      <c r="AD2047" s="284"/>
      <c r="AE2047" s="284"/>
      <c r="AF2047" s="284"/>
      <c r="AG2047" s="284"/>
    </row>
    <row r="2048" spans="1:33" ht="26.4">
      <c r="A2048" s="284"/>
      <c r="B2048" s="284"/>
      <c r="C2048" s="284"/>
      <c r="D2048" s="284"/>
      <c r="E2048" s="284"/>
      <c r="F2048" s="284"/>
      <c r="G2048" s="284"/>
      <c r="H2048" s="284"/>
      <c r="I2048" s="284"/>
      <c r="J2048" s="375"/>
      <c r="K2048" s="375"/>
      <c r="L2048" s="375"/>
      <c r="M2048" s="368"/>
      <c r="N2048" s="368"/>
      <c r="O2048" s="370"/>
      <c r="T2048" s="349"/>
      <c r="V2048" s="378"/>
      <c r="W2048" s="64" ph="1"/>
      <c r="X2048" s="241"/>
      <c r="Y2048" s="284"/>
      <c r="Z2048" s="207"/>
      <c r="AA2048" s="284"/>
      <c r="AB2048" s="284"/>
      <c r="AC2048" s="284"/>
      <c r="AD2048" s="284"/>
      <c r="AE2048" s="284"/>
      <c r="AF2048" s="284"/>
      <c r="AG2048" s="284"/>
    </row>
    <row r="2049" spans="1:33" ht="26.4">
      <c r="A2049" s="284"/>
      <c r="B2049" s="284"/>
      <c r="C2049" s="284"/>
      <c r="D2049" s="284"/>
      <c r="E2049" s="284"/>
      <c r="F2049" s="284"/>
      <c r="G2049" s="284"/>
      <c r="H2049" s="284"/>
      <c r="I2049" s="284"/>
      <c r="J2049" s="375"/>
      <c r="K2049" s="375"/>
      <c r="L2049" s="375"/>
      <c r="M2049" s="368"/>
      <c r="N2049" s="368"/>
      <c r="O2049" s="370"/>
      <c r="T2049" s="349"/>
      <c r="V2049" s="378"/>
      <c r="W2049" s="64" ph="1"/>
      <c r="X2049" s="241"/>
      <c r="Y2049" s="284"/>
      <c r="Z2049" s="207"/>
      <c r="AA2049" s="284"/>
      <c r="AB2049" s="284"/>
      <c r="AC2049" s="284"/>
      <c r="AD2049" s="284"/>
      <c r="AE2049" s="284"/>
      <c r="AF2049" s="284"/>
      <c r="AG2049" s="284"/>
    </row>
    <row r="2050" spans="1:33" ht="26.4">
      <c r="A2050" s="284"/>
      <c r="B2050" s="284"/>
      <c r="C2050" s="284"/>
      <c r="D2050" s="284"/>
      <c r="E2050" s="284"/>
      <c r="F2050" s="284"/>
      <c r="G2050" s="284"/>
      <c r="H2050" s="284"/>
      <c r="I2050" s="284"/>
      <c r="J2050" s="375"/>
      <c r="K2050" s="375"/>
      <c r="L2050" s="375"/>
      <c r="M2050" s="368"/>
      <c r="N2050" s="368"/>
      <c r="O2050" s="370"/>
      <c r="T2050" s="349"/>
      <c r="V2050" s="378"/>
      <c r="W2050" s="64" ph="1"/>
      <c r="X2050" s="241"/>
      <c r="Y2050" s="284"/>
      <c r="Z2050" s="207"/>
      <c r="AA2050" s="284"/>
      <c r="AB2050" s="284"/>
      <c r="AC2050" s="284"/>
      <c r="AD2050" s="284"/>
      <c r="AE2050" s="284"/>
      <c r="AF2050" s="284"/>
      <c r="AG2050" s="284"/>
    </row>
    <row r="2051" spans="1:33" ht="26.4">
      <c r="A2051" s="284"/>
      <c r="B2051" s="284"/>
      <c r="C2051" s="284"/>
      <c r="D2051" s="284"/>
      <c r="E2051" s="284"/>
      <c r="F2051" s="284"/>
      <c r="G2051" s="284"/>
      <c r="H2051" s="284"/>
      <c r="I2051" s="284"/>
      <c r="J2051" s="375"/>
      <c r="K2051" s="375"/>
      <c r="L2051" s="375"/>
      <c r="M2051" s="368"/>
      <c r="N2051" s="368"/>
      <c r="O2051" s="370"/>
      <c r="T2051" s="349"/>
      <c r="V2051" s="378"/>
      <c r="W2051" s="64" ph="1"/>
      <c r="X2051" s="241"/>
      <c r="Y2051" s="284"/>
      <c r="Z2051" s="207"/>
      <c r="AA2051" s="284"/>
      <c r="AB2051" s="284"/>
      <c r="AC2051" s="284"/>
      <c r="AD2051" s="284"/>
      <c r="AE2051" s="284"/>
      <c r="AF2051" s="284"/>
      <c r="AG2051" s="284"/>
    </row>
    <row r="2052" spans="1:33" ht="26.4">
      <c r="A2052" s="284"/>
      <c r="B2052" s="284"/>
      <c r="C2052" s="284"/>
      <c r="D2052" s="284"/>
      <c r="E2052" s="284"/>
      <c r="F2052" s="284"/>
      <c r="G2052" s="284"/>
      <c r="H2052" s="284"/>
      <c r="I2052" s="284"/>
      <c r="J2052" s="375"/>
      <c r="K2052" s="375"/>
      <c r="L2052" s="375"/>
      <c r="M2052" s="368"/>
      <c r="N2052" s="368"/>
      <c r="O2052" s="370"/>
      <c r="T2052" s="349"/>
      <c r="V2052" s="378"/>
      <c r="W2052" s="64" ph="1"/>
      <c r="X2052" s="241"/>
      <c r="Y2052" s="284"/>
      <c r="Z2052" s="207"/>
      <c r="AA2052" s="284"/>
      <c r="AB2052" s="284"/>
      <c r="AC2052" s="284"/>
      <c r="AD2052" s="284"/>
      <c r="AE2052" s="284"/>
      <c r="AF2052" s="284"/>
      <c r="AG2052" s="284"/>
    </row>
    <row r="2053" spans="1:33" ht="26.4">
      <c r="A2053" s="284"/>
      <c r="B2053" s="284"/>
      <c r="C2053" s="284"/>
      <c r="D2053" s="284"/>
      <c r="E2053" s="284"/>
      <c r="F2053" s="284"/>
      <c r="G2053" s="284"/>
      <c r="H2053" s="284"/>
      <c r="I2053" s="284"/>
      <c r="J2053" s="375"/>
      <c r="K2053" s="375"/>
      <c r="L2053" s="375"/>
      <c r="M2053" s="368"/>
      <c r="N2053" s="368"/>
      <c r="O2053" s="370"/>
      <c r="T2053" s="349"/>
      <c r="V2053" s="378"/>
      <c r="W2053" s="64" ph="1"/>
      <c r="X2053" s="241"/>
      <c r="Y2053" s="284"/>
      <c r="Z2053" s="207"/>
      <c r="AA2053" s="284"/>
      <c r="AB2053" s="284"/>
      <c r="AC2053" s="284"/>
      <c r="AD2053" s="284"/>
      <c r="AE2053" s="284"/>
      <c r="AF2053" s="284"/>
      <c r="AG2053" s="284"/>
    </row>
    <row r="2054" spans="1:33" ht="26.4">
      <c r="A2054" s="284"/>
      <c r="B2054" s="284"/>
      <c r="C2054" s="284"/>
      <c r="D2054" s="284"/>
      <c r="E2054" s="284"/>
      <c r="F2054" s="284"/>
      <c r="G2054" s="284"/>
      <c r="H2054" s="284"/>
      <c r="I2054" s="284"/>
      <c r="J2054" s="375"/>
      <c r="K2054" s="375"/>
      <c r="L2054" s="375"/>
      <c r="M2054" s="368"/>
      <c r="N2054" s="368"/>
      <c r="O2054" s="370"/>
      <c r="T2054" s="349"/>
      <c r="V2054" s="378"/>
      <c r="W2054" s="64" ph="1"/>
      <c r="X2054" s="241"/>
      <c r="Y2054" s="284"/>
      <c r="Z2054" s="207"/>
      <c r="AA2054" s="284"/>
      <c r="AB2054" s="284"/>
      <c r="AC2054" s="284"/>
      <c r="AD2054" s="284"/>
      <c r="AE2054" s="284"/>
      <c r="AF2054" s="284"/>
      <c r="AG2054" s="284"/>
    </row>
    <row r="2055" spans="1:33" ht="26.4">
      <c r="A2055" s="284"/>
      <c r="B2055" s="284"/>
      <c r="C2055" s="284"/>
      <c r="D2055" s="284"/>
      <c r="E2055" s="284"/>
      <c r="F2055" s="284"/>
      <c r="G2055" s="284"/>
      <c r="H2055" s="284"/>
      <c r="I2055" s="284"/>
      <c r="J2055" s="375"/>
      <c r="K2055" s="375"/>
      <c r="L2055" s="375"/>
      <c r="M2055" s="368"/>
      <c r="N2055" s="368"/>
      <c r="O2055" s="370"/>
      <c r="T2055" s="349"/>
      <c r="V2055" s="378"/>
      <c r="W2055" s="64" ph="1"/>
      <c r="X2055" s="241"/>
      <c r="Y2055" s="284"/>
      <c r="Z2055" s="207"/>
      <c r="AA2055" s="284"/>
      <c r="AB2055" s="284"/>
      <c r="AC2055" s="284"/>
      <c r="AD2055" s="284"/>
      <c r="AE2055" s="284"/>
      <c r="AF2055" s="284"/>
      <c r="AG2055" s="284"/>
    </row>
    <row r="2056" spans="1:33" ht="26.4">
      <c r="A2056" s="284"/>
      <c r="B2056" s="284"/>
      <c r="C2056" s="284"/>
      <c r="D2056" s="284"/>
      <c r="E2056" s="284"/>
      <c r="F2056" s="284"/>
      <c r="G2056" s="284"/>
      <c r="H2056" s="284"/>
      <c r="I2056" s="284"/>
      <c r="J2056" s="375"/>
      <c r="K2056" s="375"/>
      <c r="L2056" s="375"/>
      <c r="M2056" s="368"/>
      <c r="N2056" s="368"/>
      <c r="O2056" s="370"/>
      <c r="T2056" s="349"/>
      <c r="V2056" s="378"/>
      <c r="W2056" s="64" ph="1"/>
      <c r="X2056" s="241"/>
      <c r="Y2056" s="284"/>
      <c r="Z2056" s="207"/>
      <c r="AA2056" s="284"/>
      <c r="AB2056" s="284"/>
      <c r="AC2056" s="284"/>
      <c r="AD2056" s="284"/>
      <c r="AE2056" s="284"/>
      <c r="AF2056" s="284"/>
      <c r="AG2056" s="284"/>
    </row>
    <row r="2057" spans="1:33" ht="26.4">
      <c r="A2057" s="284"/>
      <c r="B2057" s="284"/>
      <c r="C2057" s="284"/>
      <c r="D2057" s="284"/>
      <c r="E2057" s="284"/>
      <c r="F2057" s="284"/>
      <c r="G2057" s="284"/>
      <c r="H2057" s="284"/>
      <c r="I2057" s="284"/>
      <c r="J2057" s="375"/>
      <c r="K2057" s="375"/>
      <c r="L2057" s="375"/>
      <c r="M2057" s="368"/>
      <c r="N2057" s="368"/>
      <c r="O2057" s="370"/>
      <c r="T2057" s="349"/>
      <c r="V2057" s="378"/>
      <c r="W2057" s="64" ph="1"/>
      <c r="X2057" s="241"/>
      <c r="Y2057" s="284"/>
      <c r="Z2057" s="207"/>
      <c r="AA2057" s="284"/>
      <c r="AB2057" s="284"/>
      <c r="AC2057" s="284"/>
      <c r="AD2057" s="284"/>
      <c r="AE2057" s="284"/>
      <c r="AF2057" s="284"/>
      <c r="AG2057" s="284"/>
    </row>
    <row r="2058" spans="1:33" ht="26.4">
      <c r="A2058" s="284"/>
      <c r="B2058" s="284"/>
      <c r="C2058" s="284"/>
      <c r="D2058" s="284"/>
      <c r="E2058" s="284"/>
      <c r="F2058" s="284"/>
      <c r="G2058" s="284"/>
      <c r="H2058" s="284"/>
      <c r="I2058" s="284"/>
      <c r="J2058" s="375"/>
      <c r="K2058" s="375"/>
      <c r="L2058" s="375"/>
      <c r="M2058" s="368"/>
      <c r="N2058" s="368"/>
      <c r="O2058" s="370"/>
      <c r="T2058" s="349"/>
      <c r="V2058" s="378"/>
      <c r="W2058" s="64" ph="1"/>
      <c r="X2058" s="241"/>
      <c r="Y2058" s="284"/>
      <c r="Z2058" s="207"/>
      <c r="AA2058" s="284"/>
      <c r="AB2058" s="284"/>
      <c r="AC2058" s="284"/>
      <c r="AD2058" s="284"/>
      <c r="AE2058" s="284"/>
      <c r="AF2058" s="284"/>
      <c r="AG2058" s="284"/>
    </row>
    <row r="2059" spans="1:33" ht="26.4">
      <c r="A2059" s="284"/>
      <c r="B2059" s="284"/>
      <c r="C2059" s="284"/>
      <c r="D2059" s="284"/>
      <c r="E2059" s="284"/>
      <c r="F2059" s="284"/>
      <c r="G2059" s="284"/>
      <c r="H2059" s="284"/>
      <c r="I2059" s="284"/>
      <c r="J2059" s="375"/>
      <c r="K2059" s="375"/>
      <c r="L2059" s="375"/>
      <c r="M2059" s="368"/>
      <c r="N2059" s="368"/>
      <c r="O2059" s="370"/>
      <c r="T2059" s="349"/>
      <c r="V2059" s="378"/>
      <c r="W2059" s="64" ph="1"/>
      <c r="X2059" s="241"/>
      <c r="Y2059" s="284"/>
      <c r="Z2059" s="207"/>
      <c r="AA2059" s="284"/>
      <c r="AB2059" s="284"/>
      <c r="AC2059" s="284"/>
      <c r="AD2059" s="284"/>
      <c r="AE2059" s="284"/>
      <c r="AF2059" s="284"/>
      <c r="AG2059" s="284"/>
    </row>
    <row r="2060" spans="1:33" ht="26.4">
      <c r="A2060" s="284"/>
      <c r="B2060" s="284"/>
      <c r="C2060" s="284"/>
      <c r="D2060" s="284"/>
      <c r="E2060" s="284"/>
      <c r="F2060" s="284"/>
      <c r="G2060" s="284"/>
      <c r="H2060" s="284"/>
      <c r="I2060" s="284"/>
      <c r="J2060" s="375"/>
      <c r="K2060" s="375"/>
      <c r="L2060" s="375"/>
      <c r="M2060" s="368"/>
      <c r="N2060" s="368"/>
      <c r="O2060" s="370"/>
      <c r="T2060" s="349"/>
      <c r="V2060" s="378"/>
      <c r="W2060" s="64" ph="1"/>
      <c r="X2060" s="241"/>
      <c r="Y2060" s="284"/>
      <c r="Z2060" s="207"/>
      <c r="AA2060" s="284"/>
      <c r="AB2060" s="284"/>
      <c r="AC2060" s="284"/>
      <c r="AD2060" s="284"/>
      <c r="AE2060" s="284"/>
      <c r="AF2060" s="284"/>
      <c r="AG2060" s="284"/>
    </row>
    <row r="2061" spans="1:33" ht="26.4">
      <c r="A2061" s="284"/>
      <c r="B2061" s="284"/>
      <c r="C2061" s="284"/>
      <c r="D2061" s="284"/>
      <c r="E2061" s="284"/>
      <c r="F2061" s="284"/>
      <c r="G2061" s="284"/>
      <c r="H2061" s="284"/>
      <c r="I2061" s="284"/>
      <c r="J2061" s="375"/>
      <c r="K2061" s="375"/>
      <c r="L2061" s="375"/>
      <c r="M2061" s="368"/>
      <c r="N2061" s="368"/>
      <c r="O2061" s="370"/>
      <c r="T2061" s="349"/>
      <c r="V2061" s="378"/>
      <c r="W2061" s="64" ph="1"/>
      <c r="X2061" s="241"/>
      <c r="Y2061" s="284"/>
      <c r="Z2061" s="207"/>
      <c r="AA2061" s="284"/>
      <c r="AB2061" s="284"/>
      <c r="AC2061" s="284"/>
      <c r="AD2061" s="284"/>
      <c r="AE2061" s="284"/>
      <c r="AF2061" s="284"/>
      <c r="AG2061" s="284"/>
    </row>
    <row r="2062" spans="1:33" ht="26.4">
      <c r="A2062" s="284"/>
      <c r="B2062" s="284"/>
      <c r="C2062" s="284"/>
      <c r="D2062" s="284"/>
      <c r="E2062" s="284"/>
      <c r="F2062" s="284"/>
      <c r="G2062" s="284"/>
      <c r="H2062" s="284"/>
      <c r="I2062" s="284"/>
      <c r="J2062" s="375"/>
      <c r="K2062" s="375"/>
      <c r="L2062" s="375"/>
      <c r="M2062" s="368"/>
      <c r="N2062" s="368"/>
      <c r="O2062" s="370"/>
      <c r="T2062" s="349"/>
      <c r="V2062" s="378"/>
      <c r="W2062" s="64" ph="1"/>
      <c r="X2062" s="241"/>
      <c r="Y2062" s="284"/>
      <c r="Z2062" s="207"/>
      <c r="AA2062" s="284"/>
      <c r="AB2062" s="284"/>
      <c r="AC2062" s="284"/>
      <c r="AD2062" s="284"/>
      <c r="AE2062" s="284"/>
      <c r="AF2062" s="284"/>
      <c r="AG2062" s="284"/>
    </row>
    <row r="2063" spans="1:33" ht="26.4">
      <c r="A2063" s="284"/>
      <c r="B2063" s="284"/>
      <c r="C2063" s="284"/>
      <c r="D2063" s="284"/>
      <c r="E2063" s="284"/>
      <c r="F2063" s="284"/>
      <c r="G2063" s="284"/>
      <c r="H2063" s="284"/>
      <c r="I2063" s="284"/>
      <c r="J2063" s="375"/>
      <c r="K2063" s="375"/>
      <c r="L2063" s="375"/>
      <c r="M2063" s="368"/>
      <c r="N2063" s="368"/>
      <c r="O2063" s="370"/>
      <c r="T2063" s="349"/>
      <c r="V2063" s="378"/>
      <c r="W2063" s="64" ph="1"/>
      <c r="X2063" s="241"/>
      <c r="Y2063" s="284"/>
      <c r="Z2063" s="207"/>
      <c r="AA2063" s="284"/>
      <c r="AB2063" s="284"/>
      <c r="AC2063" s="284"/>
      <c r="AD2063" s="284"/>
      <c r="AE2063" s="284"/>
      <c r="AF2063" s="284"/>
      <c r="AG2063" s="284"/>
    </row>
    <row r="2064" spans="1:33" ht="26.4">
      <c r="A2064" s="284"/>
      <c r="B2064" s="284"/>
      <c r="C2064" s="284"/>
      <c r="D2064" s="284"/>
      <c r="E2064" s="284"/>
      <c r="F2064" s="284"/>
      <c r="G2064" s="284"/>
      <c r="H2064" s="284"/>
      <c r="I2064" s="284"/>
      <c r="J2064" s="375"/>
      <c r="K2064" s="375"/>
      <c r="L2064" s="375"/>
      <c r="M2064" s="368"/>
      <c r="N2064" s="368"/>
      <c r="O2064" s="370"/>
      <c r="T2064" s="349"/>
      <c r="V2064" s="378"/>
      <c r="W2064" s="64" ph="1"/>
      <c r="X2064" s="241"/>
      <c r="Y2064" s="284"/>
      <c r="Z2064" s="207"/>
      <c r="AA2064" s="284"/>
      <c r="AB2064" s="284"/>
      <c r="AC2064" s="284"/>
      <c r="AD2064" s="284"/>
      <c r="AE2064" s="284"/>
      <c r="AF2064" s="284"/>
      <c r="AG2064" s="284"/>
    </row>
    <row r="2065" spans="1:33" ht="26.4">
      <c r="A2065" s="284"/>
      <c r="B2065" s="284"/>
      <c r="C2065" s="284"/>
      <c r="D2065" s="284"/>
      <c r="E2065" s="284"/>
      <c r="F2065" s="284"/>
      <c r="G2065" s="284"/>
      <c r="H2065" s="284"/>
      <c r="I2065" s="284"/>
      <c r="J2065" s="375"/>
      <c r="K2065" s="375"/>
      <c r="L2065" s="375"/>
      <c r="M2065" s="368"/>
      <c r="N2065" s="368"/>
      <c r="O2065" s="370"/>
      <c r="T2065" s="349"/>
      <c r="V2065" s="378"/>
      <c r="W2065" s="64" ph="1"/>
      <c r="X2065" s="241"/>
      <c r="Y2065" s="284"/>
      <c r="Z2065" s="207"/>
      <c r="AA2065" s="284"/>
      <c r="AB2065" s="284"/>
      <c r="AC2065" s="284"/>
      <c r="AD2065" s="284"/>
      <c r="AE2065" s="284"/>
      <c r="AF2065" s="284"/>
      <c r="AG2065" s="284"/>
    </row>
    <row r="2066" spans="1:33" ht="26.4">
      <c r="A2066" s="284"/>
      <c r="B2066" s="284"/>
      <c r="C2066" s="284"/>
      <c r="D2066" s="284"/>
      <c r="E2066" s="284"/>
      <c r="F2066" s="284"/>
      <c r="G2066" s="284"/>
      <c r="H2066" s="284"/>
      <c r="I2066" s="284"/>
      <c r="J2066" s="375"/>
      <c r="K2066" s="375"/>
      <c r="L2066" s="375"/>
      <c r="M2066" s="368"/>
      <c r="N2066" s="368"/>
      <c r="O2066" s="370"/>
      <c r="T2066" s="349"/>
      <c r="V2066" s="378"/>
      <c r="W2066" s="64" ph="1"/>
      <c r="X2066" s="241"/>
      <c r="Y2066" s="284"/>
      <c r="Z2066" s="207"/>
      <c r="AA2066" s="284"/>
      <c r="AB2066" s="284"/>
      <c r="AC2066" s="284"/>
      <c r="AD2066" s="284"/>
      <c r="AE2066" s="284"/>
      <c r="AF2066" s="284"/>
      <c r="AG2066" s="284"/>
    </row>
    <row r="2067" spans="1:33" ht="26.4">
      <c r="A2067" s="284"/>
      <c r="B2067" s="284"/>
      <c r="C2067" s="284"/>
      <c r="D2067" s="284"/>
      <c r="E2067" s="284"/>
      <c r="F2067" s="284"/>
      <c r="G2067" s="284"/>
      <c r="H2067" s="284"/>
      <c r="I2067" s="284"/>
      <c r="J2067" s="375"/>
      <c r="K2067" s="375"/>
      <c r="L2067" s="375"/>
      <c r="M2067" s="368"/>
      <c r="N2067" s="368"/>
      <c r="O2067" s="370"/>
      <c r="T2067" s="349"/>
      <c r="V2067" s="378"/>
      <c r="W2067" s="64" ph="1"/>
      <c r="X2067" s="241"/>
      <c r="Y2067" s="284"/>
      <c r="Z2067" s="207"/>
      <c r="AA2067" s="284"/>
      <c r="AB2067" s="284"/>
      <c r="AC2067" s="284"/>
      <c r="AD2067" s="284"/>
      <c r="AE2067" s="284"/>
      <c r="AF2067" s="284"/>
      <c r="AG2067" s="284"/>
    </row>
    <row r="2068" spans="1:33" ht="26.4">
      <c r="A2068" s="284"/>
      <c r="B2068" s="284"/>
      <c r="C2068" s="284"/>
      <c r="D2068" s="284"/>
      <c r="E2068" s="284"/>
      <c r="F2068" s="284"/>
      <c r="G2068" s="284"/>
      <c r="H2068" s="284"/>
      <c r="I2068" s="284"/>
      <c r="J2068" s="375"/>
      <c r="K2068" s="375"/>
      <c r="L2068" s="375"/>
      <c r="M2068" s="368"/>
      <c r="N2068" s="368"/>
      <c r="O2068" s="370"/>
      <c r="T2068" s="349"/>
      <c r="V2068" s="378"/>
      <c r="W2068" s="64" ph="1"/>
      <c r="X2068" s="241"/>
      <c r="Y2068" s="284"/>
      <c r="Z2068" s="207"/>
      <c r="AA2068" s="284"/>
      <c r="AB2068" s="284"/>
      <c r="AC2068" s="284"/>
      <c r="AD2068" s="284"/>
      <c r="AE2068" s="284"/>
      <c r="AF2068" s="284"/>
      <c r="AG2068" s="284"/>
    </row>
    <row r="2069" spans="1:33" ht="26.4">
      <c r="A2069" s="284"/>
      <c r="B2069" s="284"/>
      <c r="C2069" s="284"/>
      <c r="D2069" s="284"/>
      <c r="E2069" s="284"/>
      <c r="F2069" s="284"/>
      <c r="G2069" s="284"/>
      <c r="H2069" s="284"/>
      <c r="I2069" s="284"/>
      <c r="J2069" s="375"/>
      <c r="K2069" s="375"/>
      <c r="L2069" s="375"/>
      <c r="M2069" s="368"/>
      <c r="N2069" s="368"/>
      <c r="O2069" s="370"/>
      <c r="T2069" s="349"/>
      <c r="V2069" s="378"/>
      <c r="W2069" s="64" ph="1"/>
      <c r="X2069" s="241"/>
      <c r="Y2069" s="284"/>
      <c r="Z2069" s="207"/>
      <c r="AA2069" s="284"/>
      <c r="AB2069" s="284"/>
      <c r="AC2069" s="284"/>
      <c r="AD2069" s="284"/>
      <c r="AE2069" s="284"/>
      <c r="AF2069" s="284"/>
      <c r="AG2069" s="284"/>
    </row>
    <row r="2070" spans="1:33" ht="26.4">
      <c r="A2070" s="284"/>
      <c r="B2070" s="284"/>
      <c r="C2070" s="284"/>
      <c r="D2070" s="284"/>
      <c r="E2070" s="284"/>
      <c r="F2070" s="284"/>
      <c r="G2070" s="284"/>
      <c r="H2070" s="284"/>
      <c r="I2070" s="284"/>
      <c r="J2070" s="375"/>
      <c r="K2070" s="375"/>
      <c r="L2070" s="375"/>
      <c r="M2070" s="368"/>
      <c r="N2070" s="368"/>
      <c r="O2070" s="370"/>
      <c r="T2070" s="349"/>
      <c r="V2070" s="378"/>
      <c r="W2070" s="64" ph="1"/>
      <c r="X2070" s="241"/>
      <c r="Y2070" s="284"/>
      <c r="Z2070" s="207"/>
      <c r="AA2070" s="284"/>
      <c r="AB2070" s="284"/>
      <c r="AC2070" s="284"/>
      <c r="AD2070" s="284"/>
      <c r="AE2070" s="284"/>
      <c r="AF2070" s="284"/>
      <c r="AG2070" s="284"/>
    </row>
    <row r="2071" spans="1:33" ht="26.4">
      <c r="A2071" s="284"/>
      <c r="B2071" s="284"/>
      <c r="C2071" s="284"/>
      <c r="D2071" s="284"/>
      <c r="E2071" s="284"/>
      <c r="F2071" s="284"/>
      <c r="G2071" s="284"/>
      <c r="H2071" s="284"/>
      <c r="I2071" s="284"/>
      <c r="J2071" s="375"/>
      <c r="K2071" s="375"/>
      <c r="L2071" s="375"/>
      <c r="M2071" s="368"/>
      <c r="N2071" s="368"/>
      <c r="O2071" s="370"/>
      <c r="T2071" s="349"/>
      <c r="V2071" s="378"/>
      <c r="W2071" s="64" ph="1"/>
      <c r="X2071" s="241"/>
      <c r="Y2071" s="284"/>
      <c r="Z2071" s="207"/>
      <c r="AA2071" s="284"/>
      <c r="AB2071" s="284"/>
      <c r="AC2071" s="284"/>
      <c r="AD2071" s="284"/>
      <c r="AE2071" s="284"/>
      <c r="AF2071" s="284"/>
      <c r="AG2071" s="284"/>
    </row>
    <row r="2072" spans="1:33" ht="26.4">
      <c r="A2072" s="284"/>
      <c r="B2072" s="284"/>
      <c r="C2072" s="284"/>
      <c r="D2072" s="284"/>
      <c r="E2072" s="284"/>
      <c r="F2072" s="284"/>
      <c r="G2072" s="284"/>
      <c r="H2072" s="284"/>
      <c r="I2072" s="284"/>
      <c r="J2072" s="375"/>
      <c r="K2072" s="375"/>
      <c r="L2072" s="375"/>
      <c r="M2072" s="368"/>
      <c r="N2072" s="368"/>
      <c r="O2072" s="370"/>
      <c r="T2072" s="349"/>
      <c r="V2072" s="378"/>
      <c r="W2072" s="64" ph="1"/>
      <c r="X2072" s="241"/>
      <c r="Y2072" s="284"/>
      <c r="Z2072" s="207"/>
      <c r="AA2072" s="284"/>
      <c r="AB2072" s="284"/>
      <c r="AC2072" s="284"/>
      <c r="AD2072" s="284"/>
      <c r="AE2072" s="284"/>
      <c r="AF2072" s="284"/>
      <c r="AG2072" s="284"/>
    </row>
    <row r="2073" spans="1:33" ht="26.4">
      <c r="A2073" s="284"/>
      <c r="B2073" s="284"/>
      <c r="C2073" s="284"/>
      <c r="D2073" s="284"/>
      <c r="E2073" s="284"/>
      <c r="F2073" s="284"/>
      <c r="G2073" s="284"/>
      <c r="H2073" s="284"/>
      <c r="I2073" s="284"/>
      <c r="J2073" s="375"/>
      <c r="K2073" s="375"/>
      <c r="L2073" s="375"/>
      <c r="M2073" s="368"/>
      <c r="N2073" s="368"/>
      <c r="O2073" s="370"/>
      <c r="T2073" s="349"/>
      <c r="V2073" s="378"/>
      <c r="W2073" s="64" ph="1"/>
      <c r="X2073" s="241"/>
      <c r="Y2073" s="284"/>
      <c r="Z2073" s="207"/>
      <c r="AA2073" s="284"/>
      <c r="AB2073" s="284"/>
      <c r="AC2073" s="284"/>
      <c r="AD2073" s="284"/>
      <c r="AE2073" s="284"/>
      <c r="AF2073" s="284"/>
      <c r="AG2073" s="284"/>
    </row>
    <row r="2074" spans="1:33" ht="26.4">
      <c r="A2074" s="284"/>
      <c r="B2074" s="284"/>
      <c r="C2074" s="284"/>
      <c r="D2074" s="284"/>
      <c r="E2074" s="284"/>
      <c r="F2074" s="284"/>
      <c r="G2074" s="284"/>
      <c r="H2074" s="284"/>
      <c r="I2074" s="284"/>
      <c r="J2074" s="375"/>
      <c r="K2074" s="375"/>
      <c r="L2074" s="375"/>
      <c r="M2074" s="368"/>
      <c r="N2074" s="368"/>
      <c r="O2074" s="370"/>
      <c r="T2074" s="349"/>
      <c r="V2074" s="378"/>
      <c r="W2074" s="64" ph="1"/>
      <c r="X2074" s="241"/>
      <c r="Y2074" s="284"/>
      <c r="Z2074" s="207"/>
      <c r="AA2074" s="284"/>
      <c r="AB2074" s="284"/>
      <c r="AC2074" s="284"/>
      <c r="AD2074" s="284"/>
      <c r="AE2074" s="284"/>
      <c r="AF2074" s="284"/>
      <c r="AG2074" s="284"/>
    </row>
    <row r="2075" spans="1:33" ht="26.4">
      <c r="A2075" s="284"/>
      <c r="B2075" s="284"/>
      <c r="C2075" s="284"/>
      <c r="D2075" s="284"/>
      <c r="E2075" s="284"/>
      <c r="F2075" s="284"/>
      <c r="G2075" s="284"/>
      <c r="H2075" s="284"/>
      <c r="I2075" s="284"/>
      <c r="J2075" s="375"/>
      <c r="K2075" s="375"/>
      <c r="L2075" s="375"/>
      <c r="M2075" s="368"/>
      <c r="N2075" s="368"/>
      <c r="O2075" s="370"/>
      <c r="T2075" s="349"/>
      <c r="V2075" s="378"/>
      <c r="W2075" s="64" ph="1"/>
      <c r="X2075" s="241"/>
      <c r="Y2075" s="284"/>
      <c r="Z2075" s="207"/>
      <c r="AA2075" s="284"/>
      <c r="AB2075" s="284"/>
      <c r="AC2075" s="284"/>
      <c r="AD2075" s="284"/>
      <c r="AE2075" s="284"/>
      <c r="AF2075" s="284"/>
      <c r="AG2075" s="284"/>
    </row>
    <row r="2076" spans="1:33" ht="26.4">
      <c r="A2076" s="284"/>
      <c r="B2076" s="284"/>
      <c r="C2076" s="284"/>
      <c r="D2076" s="284"/>
      <c r="E2076" s="284"/>
      <c r="F2076" s="284"/>
      <c r="G2076" s="284"/>
      <c r="H2076" s="284"/>
      <c r="I2076" s="284"/>
      <c r="J2076" s="375"/>
      <c r="K2076" s="375"/>
      <c r="L2076" s="375"/>
      <c r="M2076" s="368"/>
      <c r="N2076" s="368"/>
      <c r="O2076" s="370"/>
      <c r="T2076" s="349"/>
      <c r="V2076" s="378"/>
      <c r="W2076" s="64" ph="1"/>
      <c r="X2076" s="241"/>
      <c r="Y2076" s="284"/>
      <c r="Z2076" s="207"/>
      <c r="AA2076" s="284"/>
      <c r="AB2076" s="284"/>
      <c r="AC2076" s="284"/>
      <c r="AD2076" s="284"/>
      <c r="AE2076" s="284"/>
      <c r="AF2076" s="284"/>
      <c r="AG2076" s="284"/>
    </row>
    <row r="2077" spans="1:33" ht="26.4">
      <c r="A2077" s="284"/>
      <c r="B2077" s="284"/>
      <c r="C2077" s="284"/>
      <c r="D2077" s="284"/>
      <c r="E2077" s="284"/>
      <c r="F2077" s="284"/>
      <c r="G2077" s="284"/>
      <c r="H2077" s="284"/>
      <c r="I2077" s="284"/>
      <c r="J2077" s="375"/>
      <c r="K2077" s="375"/>
      <c r="L2077" s="375"/>
      <c r="M2077" s="368"/>
      <c r="N2077" s="368"/>
      <c r="O2077" s="370"/>
      <c r="T2077" s="349"/>
      <c r="V2077" s="378"/>
      <c r="W2077" s="64" ph="1"/>
      <c r="X2077" s="241"/>
      <c r="Y2077" s="284"/>
      <c r="Z2077" s="207"/>
      <c r="AA2077" s="284"/>
      <c r="AB2077" s="284"/>
      <c r="AC2077" s="284"/>
      <c r="AD2077" s="284"/>
      <c r="AE2077" s="284"/>
      <c r="AF2077" s="284"/>
      <c r="AG2077" s="284"/>
    </row>
    <row r="2078" spans="1:33" ht="26.4">
      <c r="A2078" s="284"/>
      <c r="B2078" s="284"/>
      <c r="C2078" s="284"/>
      <c r="D2078" s="284"/>
      <c r="E2078" s="284"/>
      <c r="F2078" s="284"/>
      <c r="G2078" s="284"/>
      <c r="H2078" s="284"/>
      <c r="I2078" s="284"/>
      <c r="J2078" s="375"/>
      <c r="K2078" s="375"/>
      <c r="L2078" s="375"/>
      <c r="M2078" s="368"/>
      <c r="N2078" s="368"/>
      <c r="O2078" s="370"/>
      <c r="T2078" s="349"/>
      <c r="V2078" s="378"/>
      <c r="W2078" s="64" ph="1"/>
      <c r="X2078" s="241"/>
      <c r="Y2078" s="284"/>
      <c r="Z2078" s="207"/>
      <c r="AA2078" s="284"/>
      <c r="AB2078" s="284"/>
      <c r="AC2078" s="284"/>
      <c r="AD2078" s="284"/>
      <c r="AE2078" s="284"/>
      <c r="AF2078" s="284"/>
      <c r="AG2078" s="284"/>
    </row>
    <row r="2079" spans="1:33" ht="26.4">
      <c r="A2079" s="284"/>
      <c r="B2079" s="284"/>
      <c r="C2079" s="284"/>
      <c r="D2079" s="284"/>
      <c r="E2079" s="284"/>
      <c r="F2079" s="284"/>
      <c r="G2079" s="284"/>
      <c r="H2079" s="284"/>
      <c r="I2079" s="284"/>
      <c r="J2079" s="375"/>
      <c r="K2079" s="375"/>
      <c r="L2079" s="375"/>
      <c r="M2079" s="368"/>
      <c r="N2079" s="368"/>
      <c r="O2079" s="370"/>
      <c r="T2079" s="349"/>
      <c r="V2079" s="378"/>
      <c r="W2079" s="64" ph="1"/>
      <c r="X2079" s="241"/>
      <c r="Y2079" s="284"/>
      <c r="Z2079" s="207"/>
      <c r="AA2079" s="284"/>
      <c r="AB2079" s="284"/>
      <c r="AC2079" s="284"/>
      <c r="AD2079" s="284"/>
      <c r="AE2079" s="284"/>
      <c r="AF2079" s="284"/>
      <c r="AG2079" s="284"/>
    </row>
    <row r="2080" spans="1:33" ht="26.4">
      <c r="A2080" s="284"/>
      <c r="B2080" s="284"/>
      <c r="C2080" s="284"/>
      <c r="D2080" s="284"/>
      <c r="E2080" s="284"/>
      <c r="F2080" s="284"/>
      <c r="G2080" s="284"/>
      <c r="H2080" s="284"/>
      <c r="I2080" s="284"/>
      <c r="J2080" s="375"/>
      <c r="K2080" s="375"/>
      <c r="L2080" s="375"/>
      <c r="M2080" s="368"/>
      <c r="N2080" s="368"/>
      <c r="O2080" s="370"/>
      <c r="T2080" s="349"/>
      <c r="V2080" s="378"/>
      <c r="W2080" s="64" ph="1"/>
      <c r="X2080" s="241"/>
      <c r="Y2080" s="284"/>
      <c r="Z2080" s="207"/>
      <c r="AA2080" s="284"/>
      <c r="AB2080" s="284"/>
      <c r="AC2080" s="284"/>
      <c r="AD2080" s="284"/>
      <c r="AE2080" s="284"/>
      <c r="AF2080" s="284"/>
      <c r="AG2080" s="284"/>
    </row>
    <row r="2081" spans="1:33" ht="26.4">
      <c r="A2081" s="284"/>
      <c r="B2081" s="284"/>
      <c r="C2081" s="284"/>
      <c r="D2081" s="284"/>
      <c r="E2081" s="284"/>
      <c r="F2081" s="284"/>
      <c r="G2081" s="284"/>
      <c r="H2081" s="284"/>
      <c r="I2081" s="284"/>
      <c r="J2081" s="375"/>
      <c r="K2081" s="375"/>
      <c r="L2081" s="375"/>
      <c r="M2081" s="368"/>
      <c r="N2081" s="368"/>
      <c r="O2081" s="370"/>
      <c r="T2081" s="349"/>
      <c r="V2081" s="378"/>
      <c r="W2081" s="64" ph="1"/>
      <c r="X2081" s="241"/>
      <c r="Y2081" s="284"/>
      <c r="Z2081" s="207"/>
      <c r="AA2081" s="284"/>
      <c r="AB2081" s="284"/>
      <c r="AC2081" s="284"/>
      <c r="AD2081" s="284"/>
      <c r="AE2081" s="284"/>
      <c r="AF2081" s="284"/>
      <c r="AG2081" s="284"/>
    </row>
    <row r="2082" spans="1:33" ht="26.4">
      <c r="A2082" s="284"/>
      <c r="B2082" s="284"/>
      <c r="C2082" s="284"/>
      <c r="D2082" s="284"/>
      <c r="E2082" s="284"/>
      <c r="F2082" s="284"/>
      <c r="G2082" s="284"/>
      <c r="H2082" s="284"/>
      <c r="I2082" s="284"/>
      <c r="J2082" s="375"/>
      <c r="K2082" s="375"/>
      <c r="L2082" s="375"/>
      <c r="M2082" s="368"/>
      <c r="N2082" s="368"/>
      <c r="O2082" s="370"/>
      <c r="T2082" s="349"/>
      <c r="V2082" s="378"/>
      <c r="W2082" s="64" ph="1"/>
      <c r="X2082" s="241"/>
      <c r="Y2082" s="284"/>
      <c r="Z2082" s="207"/>
      <c r="AA2082" s="284"/>
      <c r="AB2082" s="284"/>
      <c r="AC2082" s="284"/>
      <c r="AD2082" s="284"/>
      <c r="AE2082" s="284"/>
      <c r="AF2082" s="284"/>
      <c r="AG2082" s="284"/>
    </row>
    <row r="2083" spans="1:33" ht="26.4">
      <c r="A2083" s="284"/>
      <c r="B2083" s="284"/>
      <c r="C2083" s="284"/>
      <c r="D2083" s="284"/>
      <c r="E2083" s="284"/>
      <c r="F2083" s="284"/>
      <c r="G2083" s="284"/>
      <c r="H2083" s="284"/>
      <c r="I2083" s="284"/>
      <c r="J2083" s="375"/>
      <c r="K2083" s="375"/>
      <c r="L2083" s="375"/>
      <c r="M2083" s="368"/>
      <c r="N2083" s="368"/>
      <c r="O2083" s="370"/>
      <c r="T2083" s="349"/>
      <c r="V2083" s="378"/>
      <c r="W2083" s="64" ph="1"/>
      <c r="X2083" s="241"/>
      <c r="Y2083" s="284"/>
      <c r="Z2083" s="207"/>
      <c r="AA2083" s="284"/>
      <c r="AB2083" s="284"/>
      <c r="AC2083" s="284"/>
      <c r="AD2083" s="284"/>
      <c r="AE2083" s="284"/>
      <c r="AF2083" s="284"/>
      <c r="AG2083" s="284"/>
    </row>
    <row r="2084" spans="1:33" ht="26.4">
      <c r="A2084" s="284"/>
      <c r="B2084" s="284"/>
      <c r="C2084" s="284"/>
      <c r="D2084" s="284"/>
      <c r="E2084" s="284"/>
      <c r="F2084" s="284"/>
      <c r="G2084" s="284"/>
      <c r="H2084" s="284"/>
      <c r="I2084" s="284"/>
      <c r="J2084" s="375"/>
      <c r="K2084" s="375"/>
      <c r="L2084" s="375"/>
      <c r="M2084" s="368"/>
      <c r="N2084" s="368"/>
      <c r="O2084" s="370"/>
      <c r="T2084" s="349"/>
      <c r="V2084" s="378"/>
      <c r="W2084" s="64" ph="1"/>
      <c r="X2084" s="241"/>
      <c r="Y2084" s="284"/>
      <c r="Z2084" s="207"/>
      <c r="AA2084" s="284"/>
      <c r="AB2084" s="284"/>
      <c r="AC2084" s="284"/>
      <c r="AD2084" s="284"/>
      <c r="AE2084" s="284"/>
      <c r="AF2084" s="284"/>
      <c r="AG2084" s="284"/>
    </row>
    <row r="2085" spans="1:33" ht="26.4">
      <c r="A2085" s="284"/>
      <c r="B2085" s="284"/>
      <c r="C2085" s="284"/>
      <c r="D2085" s="284"/>
      <c r="E2085" s="284"/>
      <c r="F2085" s="284"/>
      <c r="G2085" s="284"/>
      <c r="H2085" s="284"/>
      <c r="I2085" s="284"/>
      <c r="J2085" s="375"/>
      <c r="K2085" s="375"/>
      <c r="L2085" s="375"/>
      <c r="M2085" s="368"/>
      <c r="N2085" s="368"/>
      <c r="O2085" s="370"/>
      <c r="T2085" s="349"/>
      <c r="V2085" s="378"/>
      <c r="W2085" s="64" ph="1"/>
      <c r="X2085" s="241"/>
      <c r="Y2085" s="284"/>
      <c r="Z2085" s="207"/>
      <c r="AA2085" s="284"/>
      <c r="AB2085" s="284"/>
      <c r="AC2085" s="284"/>
      <c r="AD2085" s="284"/>
      <c r="AE2085" s="284"/>
      <c r="AF2085" s="284"/>
      <c r="AG2085" s="284"/>
    </row>
    <row r="2086" spans="1:33" ht="26.4">
      <c r="A2086" s="284"/>
      <c r="B2086" s="284"/>
      <c r="C2086" s="284"/>
      <c r="D2086" s="284"/>
      <c r="E2086" s="284"/>
      <c r="F2086" s="284"/>
      <c r="G2086" s="284"/>
      <c r="H2086" s="284"/>
      <c r="I2086" s="284"/>
      <c r="J2086" s="375"/>
      <c r="K2086" s="375"/>
      <c r="L2086" s="375"/>
      <c r="M2086" s="368"/>
      <c r="N2086" s="368"/>
      <c r="O2086" s="370"/>
      <c r="T2086" s="349"/>
      <c r="V2086" s="378"/>
      <c r="W2086" s="64" ph="1"/>
      <c r="X2086" s="241"/>
      <c r="Y2086" s="284"/>
      <c r="Z2086" s="207"/>
      <c r="AA2086" s="284"/>
      <c r="AB2086" s="284"/>
      <c r="AC2086" s="284"/>
      <c r="AD2086" s="284"/>
      <c r="AE2086" s="284"/>
      <c r="AF2086" s="284"/>
      <c r="AG2086" s="284"/>
    </row>
    <row r="2087" spans="1:33" ht="26.4">
      <c r="A2087" s="284"/>
      <c r="B2087" s="284"/>
      <c r="C2087" s="284"/>
      <c r="D2087" s="284"/>
      <c r="E2087" s="284"/>
      <c r="F2087" s="284"/>
      <c r="G2087" s="284"/>
      <c r="H2087" s="284"/>
      <c r="I2087" s="284"/>
      <c r="J2087" s="375"/>
      <c r="K2087" s="375"/>
      <c r="L2087" s="375"/>
      <c r="M2087" s="368"/>
      <c r="N2087" s="368"/>
      <c r="O2087" s="370"/>
      <c r="T2087" s="349"/>
      <c r="V2087" s="378"/>
      <c r="W2087" s="64" ph="1"/>
      <c r="X2087" s="241"/>
      <c r="Y2087" s="284"/>
      <c r="Z2087" s="207"/>
      <c r="AA2087" s="284"/>
      <c r="AB2087" s="284"/>
      <c r="AC2087" s="284"/>
      <c r="AD2087" s="284"/>
      <c r="AE2087" s="284"/>
      <c r="AF2087" s="284"/>
      <c r="AG2087" s="284"/>
    </row>
    <row r="2088" spans="1:33" ht="26.4">
      <c r="A2088" s="284"/>
      <c r="B2088" s="284"/>
      <c r="C2088" s="284"/>
      <c r="D2088" s="284"/>
      <c r="E2088" s="284"/>
      <c r="F2088" s="284"/>
      <c r="G2088" s="284"/>
      <c r="H2088" s="284"/>
      <c r="I2088" s="284"/>
      <c r="J2088" s="375"/>
      <c r="K2088" s="375"/>
      <c r="L2088" s="375"/>
      <c r="M2088" s="368"/>
      <c r="N2088" s="368"/>
      <c r="O2088" s="370"/>
      <c r="T2088" s="349"/>
      <c r="V2088" s="378"/>
      <c r="W2088" s="64" ph="1"/>
      <c r="X2088" s="241"/>
      <c r="Y2088" s="284"/>
      <c r="Z2088" s="207"/>
      <c r="AA2088" s="284"/>
      <c r="AB2088" s="284"/>
      <c r="AC2088" s="284"/>
      <c r="AD2088" s="284"/>
      <c r="AE2088" s="284"/>
      <c r="AF2088" s="284"/>
      <c r="AG2088" s="284"/>
    </row>
    <row r="2089" spans="1:33" ht="26.4">
      <c r="A2089" s="284"/>
      <c r="B2089" s="284"/>
      <c r="C2089" s="284"/>
      <c r="D2089" s="284"/>
      <c r="E2089" s="284"/>
      <c r="F2089" s="284"/>
      <c r="G2089" s="284"/>
      <c r="H2089" s="284"/>
      <c r="I2089" s="284"/>
      <c r="J2089" s="375"/>
      <c r="K2089" s="375"/>
      <c r="L2089" s="375"/>
      <c r="M2089" s="368"/>
      <c r="N2089" s="368"/>
      <c r="O2089" s="370"/>
      <c r="T2089" s="349"/>
      <c r="V2089" s="378"/>
      <c r="W2089" s="64" ph="1"/>
      <c r="X2089" s="241"/>
      <c r="Y2089" s="284"/>
      <c r="Z2089" s="207"/>
      <c r="AA2089" s="284"/>
      <c r="AB2089" s="284"/>
      <c r="AC2089" s="284"/>
      <c r="AD2089" s="284"/>
      <c r="AE2089" s="284"/>
      <c r="AF2089" s="284"/>
      <c r="AG2089" s="284"/>
    </row>
    <row r="2090" spans="1:33" ht="26.4">
      <c r="A2090" s="284"/>
      <c r="B2090" s="284"/>
      <c r="C2090" s="284"/>
      <c r="D2090" s="284"/>
      <c r="E2090" s="284"/>
      <c r="F2090" s="284"/>
      <c r="G2090" s="284"/>
      <c r="H2090" s="284"/>
      <c r="I2090" s="284"/>
      <c r="J2090" s="375"/>
      <c r="K2090" s="375"/>
      <c r="L2090" s="375"/>
      <c r="M2090" s="368"/>
      <c r="N2090" s="368"/>
      <c r="O2090" s="370"/>
      <c r="T2090" s="349"/>
      <c r="V2090" s="378"/>
      <c r="W2090" s="64" ph="1"/>
      <c r="X2090" s="241"/>
      <c r="Y2090" s="284"/>
      <c r="Z2090" s="207"/>
      <c r="AA2090" s="284"/>
      <c r="AB2090" s="284"/>
      <c r="AC2090" s="284"/>
      <c r="AD2090" s="284"/>
      <c r="AE2090" s="284"/>
      <c r="AF2090" s="284"/>
      <c r="AG2090" s="284"/>
    </row>
    <row r="2091" spans="1:33" ht="26.4">
      <c r="A2091" s="284"/>
      <c r="B2091" s="284"/>
      <c r="C2091" s="284"/>
      <c r="D2091" s="284"/>
      <c r="E2091" s="284"/>
      <c r="F2091" s="284"/>
      <c r="G2091" s="284"/>
      <c r="H2091" s="284"/>
      <c r="I2091" s="284"/>
      <c r="J2091" s="375"/>
      <c r="K2091" s="375"/>
      <c r="L2091" s="375"/>
      <c r="M2091" s="368"/>
      <c r="N2091" s="368"/>
      <c r="O2091" s="370"/>
      <c r="T2091" s="349"/>
      <c r="V2091" s="378"/>
      <c r="W2091" s="64" ph="1"/>
      <c r="X2091" s="241"/>
      <c r="Y2091" s="284"/>
      <c r="Z2091" s="207"/>
      <c r="AA2091" s="284"/>
      <c r="AB2091" s="284"/>
      <c r="AC2091" s="284"/>
      <c r="AD2091" s="284"/>
      <c r="AE2091" s="284"/>
      <c r="AF2091" s="284"/>
      <c r="AG2091" s="284"/>
    </row>
    <row r="2092" spans="1:33" ht="26.4">
      <c r="A2092" s="284"/>
      <c r="B2092" s="284"/>
      <c r="C2092" s="284"/>
      <c r="D2092" s="284"/>
      <c r="E2092" s="284"/>
      <c r="F2092" s="284"/>
      <c r="G2092" s="284"/>
      <c r="H2092" s="284"/>
      <c r="I2092" s="284"/>
      <c r="J2092" s="375"/>
      <c r="K2092" s="375"/>
      <c r="L2092" s="375"/>
      <c r="M2092" s="368"/>
      <c r="N2092" s="368"/>
      <c r="O2092" s="370"/>
      <c r="T2092" s="349"/>
      <c r="V2092" s="378"/>
      <c r="W2092" s="64" ph="1"/>
      <c r="X2092" s="241"/>
      <c r="Y2092" s="284"/>
      <c r="Z2092" s="207"/>
      <c r="AA2092" s="284"/>
      <c r="AB2092" s="284"/>
      <c r="AC2092" s="284"/>
      <c r="AD2092" s="284"/>
      <c r="AE2092" s="284"/>
      <c r="AF2092" s="284"/>
      <c r="AG2092" s="284"/>
    </row>
    <row r="2093" spans="1:33" ht="26.4">
      <c r="A2093" s="284"/>
      <c r="B2093" s="284"/>
      <c r="C2093" s="284"/>
      <c r="D2093" s="284"/>
      <c r="E2093" s="284"/>
      <c r="F2093" s="284"/>
      <c r="G2093" s="284"/>
      <c r="H2093" s="284"/>
      <c r="I2093" s="284"/>
      <c r="J2093" s="375"/>
      <c r="K2093" s="375"/>
      <c r="L2093" s="375"/>
      <c r="M2093" s="368"/>
      <c r="N2093" s="368"/>
      <c r="O2093" s="370"/>
      <c r="T2093" s="349"/>
      <c r="V2093" s="378"/>
      <c r="W2093" s="64" ph="1"/>
      <c r="X2093" s="241"/>
      <c r="Y2093" s="284"/>
      <c r="Z2093" s="207"/>
      <c r="AA2093" s="284"/>
      <c r="AB2093" s="284"/>
      <c r="AC2093" s="284"/>
      <c r="AD2093" s="284"/>
      <c r="AE2093" s="284"/>
      <c r="AF2093" s="284"/>
      <c r="AG2093" s="284"/>
    </row>
    <row r="2094" spans="1:33" ht="26.4">
      <c r="A2094" s="284"/>
      <c r="B2094" s="284"/>
      <c r="C2094" s="284"/>
      <c r="D2094" s="284"/>
      <c r="E2094" s="284"/>
      <c r="F2094" s="284"/>
      <c r="G2094" s="284"/>
      <c r="H2094" s="284"/>
      <c r="I2094" s="284"/>
      <c r="J2094" s="375"/>
      <c r="K2094" s="375"/>
      <c r="L2094" s="375"/>
      <c r="M2094" s="368"/>
      <c r="N2094" s="368"/>
      <c r="O2094" s="370"/>
      <c r="T2094" s="349"/>
      <c r="V2094" s="378"/>
      <c r="W2094" s="64" ph="1"/>
      <c r="X2094" s="241"/>
      <c r="Y2094" s="284"/>
      <c r="Z2094" s="207"/>
      <c r="AA2094" s="284"/>
      <c r="AB2094" s="284"/>
      <c r="AC2094" s="284"/>
      <c r="AD2094" s="284"/>
      <c r="AE2094" s="284"/>
      <c r="AF2094" s="284"/>
      <c r="AG2094" s="284"/>
    </row>
    <row r="2095" spans="1:33" ht="26.4">
      <c r="A2095" s="284"/>
      <c r="B2095" s="284"/>
      <c r="C2095" s="284"/>
      <c r="D2095" s="284"/>
      <c r="E2095" s="284"/>
      <c r="F2095" s="284"/>
      <c r="G2095" s="284"/>
      <c r="H2095" s="284"/>
      <c r="I2095" s="284"/>
      <c r="J2095" s="375"/>
      <c r="K2095" s="375"/>
      <c r="L2095" s="375"/>
      <c r="M2095" s="368"/>
      <c r="N2095" s="368"/>
      <c r="O2095" s="370"/>
      <c r="T2095" s="349"/>
      <c r="V2095" s="378"/>
      <c r="W2095" s="64" ph="1"/>
      <c r="X2095" s="241"/>
      <c r="Y2095" s="284"/>
      <c r="Z2095" s="207"/>
      <c r="AA2095" s="284"/>
      <c r="AB2095" s="284"/>
      <c r="AC2095" s="284"/>
      <c r="AD2095" s="284"/>
      <c r="AE2095" s="284"/>
      <c r="AF2095" s="284"/>
      <c r="AG2095" s="284"/>
    </row>
    <row r="2096" spans="1:33" ht="26.4">
      <c r="A2096" s="284"/>
      <c r="B2096" s="284"/>
      <c r="C2096" s="284"/>
      <c r="D2096" s="284"/>
      <c r="E2096" s="284"/>
      <c r="F2096" s="284"/>
      <c r="G2096" s="284"/>
      <c r="H2096" s="284"/>
      <c r="I2096" s="284"/>
      <c r="J2096" s="375"/>
      <c r="K2096" s="375"/>
      <c r="L2096" s="375"/>
      <c r="M2096" s="368"/>
      <c r="N2096" s="368"/>
      <c r="O2096" s="370"/>
      <c r="T2096" s="349"/>
      <c r="V2096" s="378"/>
      <c r="W2096" s="64" ph="1"/>
      <c r="X2096" s="241"/>
      <c r="Y2096" s="284"/>
      <c r="Z2096" s="207"/>
      <c r="AA2096" s="284"/>
      <c r="AB2096" s="284"/>
      <c r="AC2096" s="284"/>
      <c r="AD2096" s="284"/>
      <c r="AE2096" s="284"/>
      <c r="AF2096" s="284"/>
      <c r="AG2096" s="284"/>
    </row>
    <row r="2097" spans="1:33" ht="26.4">
      <c r="A2097" s="284"/>
      <c r="B2097" s="284"/>
      <c r="C2097" s="284"/>
      <c r="D2097" s="284"/>
      <c r="E2097" s="284"/>
      <c r="F2097" s="284"/>
      <c r="G2097" s="284"/>
      <c r="H2097" s="284"/>
      <c r="I2097" s="284"/>
      <c r="J2097" s="375"/>
      <c r="K2097" s="375"/>
      <c r="L2097" s="375"/>
      <c r="M2097" s="368"/>
      <c r="N2097" s="368"/>
      <c r="O2097" s="370"/>
      <c r="T2097" s="349"/>
      <c r="V2097" s="378"/>
      <c r="W2097" s="64" ph="1"/>
      <c r="X2097" s="241"/>
      <c r="Y2097" s="284"/>
      <c r="Z2097" s="207"/>
      <c r="AA2097" s="284"/>
      <c r="AB2097" s="284"/>
      <c r="AC2097" s="284"/>
      <c r="AD2097" s="284"/>
      <c r="AE2097" s="284"/>
      <c r="AF2097" s="284"/>
      <c r="AG2097" s="284"/>
    </row>
    <row r="2098" spans="1:33" ht="26.4">
      <c r="A2098" s="284"/>
      <c r="B2098" s="284"/>
      <c r="C2098" s="284"/>
      <c r="D2098" s="284"/>
      <c r="E2098" s="284"/>
      <c r="F2098" s="284"/>
      <c r="G2098" s="284"/>
      <c r="H2098" s="284"/>
      <c r="I2098" s="284"/>
      <c r="J2098" s="375"/>
      <c r="K2098" s="375"/>
      <c r="L2098" s="375"/>
      <c r="M2098" s="368"/>
      <c r="N2098" s="368"/>
      <c r="O2098" s="370"/>
      <c r="T2098" s="349"/>
      <c r="V2098" s="378"/>
      <c r="W2098" s="64" ph="1"/>
      <c r="X2098" s="241"/>
      <c r="Y2098" s="284"/>
      <c r="Z2098" s="207"/>
      <c r="AA2098" s="284"/>
      <c r="AB2098" s="284"/>
      <c r="AC2098" s="284"/>
      <c r="AD2098" s="284"/>
      <c r="AE2098" s="284"/>
      <c r="AF2098" s="284"/>
      <c r="AG2098" s="284"/>
    </row>
    <row r="2099" spans="1:33" ht="26.4">
      <c r="A2099" s="284"/>
      <c r="B2099" s="284"/>
      <c r="C2099" s="284"/>
      <c r="D2099" s="284"/>
      <c r="E2099" s="284"/>
      <c r="F2099" s="284"/>
      <c r="G2099" s="284"/>
      <c r="H2099" s="284"/>
      <c r="I2099" s="284"/>
      <c r="J2099" s="375"/>
      <c r="K2099" s="375"/>
      <c r="L2099" s="375"/>
      <c r="M2099" s="368"/>
      <c r="N2099" s="368"/>
      <c r="O2099" s="370"/>
      <c r="T2099" s="349"/>
      <c r="V2099" s="378"/>
      <c r="W2099" s="64" ph="1"/>
      <c r="X2099" s="241"/>
      <c r="Y2099" s="284"/>
      <c r="Z2099" s="207"/>
      <c r="AA2099" s="284"/>
      <c r="AB2099" s="284"/>
      <c r="AC2099" s="284"/>
      <c r="AD2099" s="284"/>
      <c r="AE2099" s="284"/>
      <c r="AF2099" s="284"/>
      <c r="AG2099" s="284"/>
    </row>
    <row r="2100" spans="1:33" ht="26.4">
      <c r="A2100" s="284"/>
      <c r="B2100" s="284"/>
      <c r="C2100" s="284"/>
      <c r="D2100" s="284"/>
      <c r="E2100" s="284"/>
      <c r="F2100" s="284"/>
      <c r="G2100" s="284"/>
      <c r="H2100" s="284"/>
      <c r="I2100" s="284"/>
      <c r="J2100" s="375"/>
      <c r="K2100" s="375"/>
      <c r="L2100" s="375"/>
      <c r="M2100" s="368"/>
      <c r="N2100" s="368"/>
      <c r="O2100" s="370"/>
      <c r="T2100" s="349"/>
      <c r="V2100" s="378"/>
      <c r="W2100" s="64" ph="1"/>
      <c r="X2100" s="241"/>
      <c r="Y2100" s="284"/>
      <c r="Z2100" s="207"/>
      <c r="AA2100" s="284"/>
      <c r="AB2100" s="284"/>
      <c r="AC2100" s="284"/>
      <c r="AD2100" s="284"/>
      <c r="AE2100" s="284"/>
      <c r="AF2100" s="284"/>
      <c r="AG2100" s="284"/>
    </row>
    <row r="2101" spans="1:33" ht="26.4">
      <c r="A2101" s="284"/>
      <c r="B2101" s="284"/>
      <c r="C2101" s="284"/>
      <c r="D2101" s="284"/>
      <c r="E2101" s="284"/>
      <c r="F2101" s="284"/>
      <c r="G2101" s="284"/>
      <c r="H2101" s="284"/>
      <c r="I2101" s="284"/>
      <c r="J2101" s="375"/>
      <c r="K2101" s="375"/>
      <c r="L2101" s="375"/>
      <c r="M2101" s="368"/>
      <c r="N2101" s="368"/>
      <c r="O2101" s="370"/>
      <c r="T2101" s="349"/>
      <c r="V2101" s="378"/>
      <c r="W2101" s="64" ph="1"/>
      <c r="X2101" s="241"/>
      <c r="Y2101" s="284"/>
      <c r="Z2101" s="207"/>
      <c r="AA2101" s="284"/>
      <c r="AB2101" s="284"/>
      <c r="AC2101" s="284"/>
      <c r="AD2101" s="284"/>
      <c r="AE2101" s="284"/>
      <c r="AF2101" s="284"/>
      <c r="AG2101" s="284"/>
    </row>
    <row r="2102" spans="1:33" ht="26.4">
      <c r="A2102" s="284"/>
      <c r="B2102" s="284"/>
      <c r="C2102" s="284"/>
      <c r="D2102" s="284"/>
      <c r="E2102" s="284"/>
      <c r="F2102" s="284"/>
      <c r="G2102" s="284"/>
      <c r="H2102" s="284"/>
      <c r="I2102" s="284"/>
      <c r="J2102" s="375"/>
      <c r="K2102" s="375"/>
      <c r="L2102" s="375"/>
      <c r="M2102" s="368"/>
      <c r="N2102" s="368"/>
      <c r="O2102" s="370"/>
      <c r="T2102" s="349"/>
      <c r="V2102" s="378"/>
      <c r="W2102" s="64" ph="1"/>
      <c r="X2102" s="241"/>
      <c r="Y2102" s="284"/>
      <c r="Z2102" s="207"/>
      <c r="AA2102" s="284"/>
      <c r="AB2102" s="284"/>
      <c r="AC2102" s="284"/>
      <c r="AD2102" s="284"/>
      <c r="AE2102" s="284"/>
      <c r="AF2102" s="284"/>
      <c r="AG2102" s="284"/>
    </row>
    <row r="2103" spans="1:33" ht="26.4">
      <c r="A2103" s="284"/>
      <c r="B2103" s="284"/>
      <c r="C2103" s="284"/>
      <c r="D2103" s="284"/>
      <c r="E2103" s="284"/>
      <c r="F2103" s="284"/>
      <c r="G2103" s="284"/>
      <c r="H2103" s="284"/>
      <c r="I2103" s="284"/>
      <c r="J2103" s="375"/>
      <c r="K2103" s="375"/>
      <c r="L2103" s="375"/>
      <c r="M2103" s="368"/>
      <c r="N2103" s="368"/>
      <c r="O2103" s="370"/>
      <c r="T2103" s="349"/>
      <c r="V2103" s="378"/>
      <c r="W2103" s="64" ph="1"/>
      <c r="X2103" s="241"/>
      <c r="Y2103" s="284"/>
      <c r="Z2103" s="207"/>
      <c r="AA2103" s="284"/>
      <c r="AB2103" s="284"/>
      <c r="AC2103" s="284"/>
      <c r="AD2103" s="284"/>
      <c r="AE2103" s="284"/>
      <c r="AF2103" s="284"/>
      <c r="AG2103" s="284"/>
    </row>
    <row r="2104" spans="1:33" ht="26.4">
      <c r="A2104" s="284"/>
      <c r="B2104" s="284"/>
      <c r="C2104" s="284"/>
      <c r="D2104" s="284"/>
      <c r="E2104" s="284"/>
      <c r="F2104" s="284"/>
      <c r="G2104" s="284"/>
      <c r="H2104" s="284"/>
      <c r="I2104" s="284"/>
      <c r="J2104" s="375"/>
      <c r="K2104" s="375"/>
      <c r="L2104" s="375"/>
      <c r="M2104" s="368"/>
      <c r="N2104" s="368"/>
      <c r="O2104" s="370"/>
      <c r="T2104" s="349"/>
      <c r="V2104" s="378"/>
      <c r="W2104" s="64" ph="1"/>
      <c r="X2104" s="241"/>
      <c r="Y2104" s="284"/>
      <c r="Z2104" s="207"/>
      <c r="AA2104" s="284"/>
      <c r="AB2104" s="284"/>
      <c r="AC2104" s="284"/>
      <c r="AD2104" s="284"/>
      <c r="AE2104" s="284"/>
      <c r="AF2104" s="284"/>
      <c r="AG2104" s="284"/>
    </row>
    <row r="2105" spans="1:33" ht="26.4">
      <c r="A2105" s="284"/>
      <c r="B2105" s="284"/>
      <c r="C2105" s="284"/>
      <c r="D2105" s="284"/>
      <c r="E2105" s="284"/>
      <c r="F2105" s="284"/>
      <c r="G2105" s="284"/>
      <c r="H2105" s="284"/>
      <c r="I2105" s="284"/>
      <c r="J2105" s="375"/>
      <c r="K2105" s="375"/>
      <c r="L2105" s="375"/>
      <c r="M2105" s="368"/>
      <c r="N2105" s="368"/>
      <c r="O2105" s="370"/>
      <c r="T2105" s="349"/>
      <c r="V2105" s="378"/>
      <c r="W2105" s="64" ph="1"/>
      <c r="X2105" s="241"/>
      <c r="Y2105" s="284"/>
      <c r="Z2105" s="207"/>
      <c r="AA2105" s="284"/>
      <c r="AB2105" s="284"/>
      <c r="AC2105" s="284"/>
      <c r="AD2105" s="284"/>
      <c r="AE2105" s="284"/>
      <c r="AF2105" s="284"/>
      <c r="AG2105" s="284"/>
    </row>
    <row r="2106" spans="1:33" ht="26.4">
      <c r="A2106" s="284"/>
      <c r="B2106" s="284"/>
      <c r="C2106" s="284"/>
      <c r="D2106" s="284"/>
      <c r="E2106" s="284"/>
      <c r="F2106" s="284"/>
      <c r="G2106" s="284"/>
      <c r="H2106" s="284"/>
      <c r="I2106" s="284"/>
      <c r="J2106" s="375"/>
      <c r="K2106" s="375"/>
      <c r="L2106" s="375"/>
      <c r="M2106" s="368"/>
      <c r="N2106" s="368"/>
      <c r="O2106" s="370"/>
      <c r="T2106" s="349"/>
      <c r="V2106" s="378"/>
      <c r="W2106" s="64" ph="1"/>
      <c r="X2106" s="241"/>
      <c r="Y2106" s="284"/>
      <c r="Z2106" s="207"/>
      <c r="AA2106" s="284"/>
      <c r="AB2106" s="284"/>
      <c r="AC2106" s="284"/>
      <c r="AD2106" s="284"/>
      <c r="AE2106" s="284"/>
      <c r="AF2106" s="284"/>
      <c r="AG2106" s="284"/>
    </row>
    <row r="2107" spans="1:33" ht="26.4">
      <c r="A2107" s="284"/>
      <c r="B2107" s="284"/>
      <c r="C2107" s="284"/>
      <c r="D2107" s="284"/>
      <c r="E2107" s="284"/>
      <c r="F2107" s="284"/>
      <c r="G2107" s="284"/>
      <c r="H2107" s="284"/>
      <c r="I2107" s="284"/>
      <c r="J2107" s="375"/>
      <c r="K2107" s="375"/>
      <c r="L2107" s="375"/>
      <c r="M2107" s="368"/>
      <c r="N2107" s="368"/>
      <c r="O2107" s="370"/>
      <c r="T2107" s="349"/>
      <c r="V2107" s="378"/>
      <c r="W2107" s="64" ph="1"/>
      <c r="X2107" s="241"/>
      <c r="Y2107" s="284"/>
      <c r="Z2107" s="207"/>
      <c r="AA2107" s="284"/>
      <c r="AB2107" s="284"/>
      <c r="AC2107" s="284"/>
      <c r="AD2107" s="284"/>
      <c r="AE2107" s="284"/>
      <c r="AF2107" s="284"/>
      <c r="AG2107" s="284"/>
    </row>
    <row r="2108" spans="1:33" ht="26.4">
      <c r="A2108" s="284"/>
      <c r="B2108" s="284"/>
      <c r="C2108" s="284"/>
      <c r="D2108" s="284"/>
      <c r="E2108" s="284"/>
      <c r="F2108" s="284"/>
      <c r="G2108" s="284"/>
      <c r="H2108" s="284"/>
      <c r="I2108" s="284"/>
      <c r="J2108" s="375"/>
      <c r="K2108" s="375"/>
      <c r="L2108" s="375"/>
      <c r="M2108" s="368"/>
      <c r="N2108" s="368"/>
      <c r="O2108" s="370"/>
      <c r="T2108" s="349"/>
      <c r="V2108" s="378"/>
      <c r="W2108" s="64" ph="1"/>
      <c r="X2108" s="241"/>
      <c r="Y2108" s="284"/>
      <c r="Z2108" s="207"/>
      <c r="AA2108" s="284"/>
      <c r="AB2108" s="284"/>
      <c r="AC2108" s="284"/>
      <c r="AD2108" s="284"/>
      <c r="AE2108" s="284"/>
      <c r="AF2108" s="284"/>
      <c r="AG2108" s="284"/>
    </row>
    <row r="2109" spans="1:33" ht="26.4">
      <c r="A2109" s="284"/>
      <c r="B2109" s="284"/>
      <c r="C2109" s="284"/>
      <c r="D2109" s="284"/>
      <c r="E2109" s="284"/>
      <c r="F2109" s="284"/>
      <c r="G2109" s="284"/>
      <c r="H2109" s="284"/>
      <c r="I2109" s="284"/>
      <c r="J2109" s="375"/>
      <c r="K2109" s="375"/>
      <c r="L2109" s="375"/>
      <c r="M2109" s="368"/>
      <c r="N2109" s="368"/>
      <c r="O2109" s="370"/>
      <c r="T2109" s="349"/>
      <c r="V2109" s="378"/>
      <c r="W2109" s="64" ph="1"/>
      <c r="X2109" s="241"/>
      <c r="Y2109" s="284"/>
      <c r="Z2109" s="207"/>
      <c r="AA2109" s="284"/>
      <c r="AB2109" s="284"/>
      <c r="AC2109" s="284"/>
      <c r="AD2109" s="284"/>
      <c r="AE2109" s="284"/>
      <c r="AF2109" s="284"/>
      <c r="AG2109" s="284"/>
    </row>
    <row r="2110" spans="1:33" ht="26.4">
      <c r="A2110" s="284"/>
      <c r="B2110" s="284"/>
      <c r="C2110" s="284"/>
      <c r="D2110" s="284"/>
      <c r="E2110" s="284"/>
      <c r="F2110" s="284"/>
      <c r="G2110" s="284"/>
      <c r="H2110" s="284"/>
      <c r="I2110" s="284"/>
      <c r="J2110" s="375"/>
      <c r="K2110" s="375"/>
      <c r="L2110" s="375"/>
      <c r="M2110" s="368"/>
      <c r="N2110" s="368"/>
      <c r="O2110" s="370"/>
      <c r="T2110" s="349"/>
      <c r="V2110" s="378"/>
      <c r="W2110" s="64" ph="1"/>
      <c r="X2110" s="241"/>
      <c r="Y2110" s="284"/>
      <c r="Z2110" s="207"/>
      <c r="AA2110" s="284"/>
      <c r="AB2110" s="284"/>
      <c r="AC2110" s="284"/>
      <c r="AD2110" s="284"/>
      <c r="AE2110" s="284"/>
      <c r="AF2110" s="284"/>
      <c r="AG2110" s="284"/>
    </row>
    <row r="2111" spans="1:33" ht="26.4">
      <c r="A2111" s="284"/>
      <c r="B2111" s="284"/>
      <c r="C2111" s="284"/>
      <c r="D2111" s="284"/>
      <c r="E2111" s="284"/>
      <c r="F2111" s="284"/>
      <c r="G2111" s="284"/>
      <c r="H2111" s="284"/>
      <c r="I2111" s="284"/>
      <c r="J2111" s="375"/>
      <c r="K2111" s="375"/>
      <c r="L2111" s="375"/>
      <c r="M2111" s="368"/>
      <c r="N2111" s="368"/>
      <c r="O2111" s="370"/>
      <c r="T2111" s="349"/>
      <c r="V2111" s="378"/>
      <c r="W2111" s="64" ph="1"/>
      <c r="X2111" s="241"/>
      <c r="Y2111" s="284"/>
      <c r="Z2111" s="207"/>
      <c r="AA2111" s="284"/>
      <c r="AB2111" s="284"/>
      <c r="AC2111" s="284"/>
      <c r="AD2111" s="284"/>
      <c r="AE2111" s="284"/>
      <c r="AF2111" s="284"/>
      <c r="AG2111" s="284"/>
    </row>
    <row r="2112" spans="1:33" ht="26.4">
      <c r="A2112" s="284"/>
      <c r="B2112" s="284"/>
      <c r="C2112" s="284"/>
      <c r="D2112" s="284"/>
      <c r="E2112" s="284"/>
      <c r="F2112" s="284"/>
      <c r="G2112" s="284"/>
      <c r="H2112" s="284"/>
      <c r="I2112" s="284"/>
      <c r="J2112" s="375"/>
      <c r="K2112" s="375"/>
      <c r="L2112" s="375"/>
      <c r="M2112" s="368"/>
      <c r="N2112" s="368"/>
      <c r="O2112" s="370"/>
      <c r="T2112" s="349"/>
      <c r="V2112" s="378"/>
      <c r="W2112" s="64" ph="1"/>
      <c r="X2112" s="241"/>
      <c r="Y2112" s="284"/>
      <c r="Z2112" s="207"/>
      <c r="AA2112" s="284"/>
      <c r="AB2112" s="284"/>
      <c r="AC2112" s="284"/>
      <c r="AD2112" s="284"/>
      <c r="AE2112" s="284"/>
      <c r="AF2112" s="284"/>
      <c r="AG2112" s="284"/>
    </row>
    <row r="2113" spans="1:33" ht="26.4">
      <c r="A2113" s="284"/>
      <c r="B2113" s="284"/>
      <c r="C2113" s="284"/>
      <c r="D2113" s="284"/>
      <c r="E2113" s="284"/>
      <c r="F2113" s="284"/>
      <c r="G2113" s="284"/>
      <c r="H2113" s="284"/>
      <c r="I2113" s="284"/>
      <c r="J2113" s="375"/>
      <c r="K2113" s="375"/>
      <c r="L2113" s="375"/>
      <c r="M2113" s="368"/>
      <c r="N2113" s="368"/>
      <c r="O2113" s="370"/>
      <c r="T2113" s="349"/>
      <c r="V2113" s="378"/>
      <c r="W2113" s="64" ph="1"/>
      <c r="X2113" s="241"/>
      <c r="Y2113" s="284"/>
      <c r="Z2113" s="207"/>
      <c r="AA2113" s="284"/>
      <c r="AB2113" s="284"/>
      <c r="AC2113" s="284"/>
      <c r="AD2113" s="284"/>
      <c r="AE2113" s="284"/>
      <c r="AF2113" s="284"/>
      <c r="AG2113" s="284"/>
    </row>
    <row r="2114" spans="1:33" ht="26.4">
      <c r="A2114" s="284"/>
      <c r="B2114" s="284"/>
      <c r="C2114" s="284"/>
      <c r="D2114" s="284"/>
      <c r="E2114" s="284"/>
      <c r="F2114" s="284"/>
      <c r="G2114" s="284"/>
      <c r="H2114" s="284"/>
      <c r="I2114" s="284"/>
      <c r="J2114" s="375"/>
      <c r="K2114" s="375"/>
      <c r="L2114" s="375"/>
      <c r="M2114" s="368"/>
      <c r="N2114" s="368"/>
      <c r="O2114" s="370"/>
      <c r="T2114" s="349"/>
      <c r="V2114" s="378"/>
      <c r="W2114" s="64" ph="1"/>
      <c r="X2114" s="241"/>
      <c r="Y2114" s="284"/>
      <c r="Z2114" s="207"/>
      <c r="AA2114" s="284"/>
      <c r="AB2114" s="284"/>
      <c r="AC2114" s="284"/>
      <c r="AD2114" s="284"/>
      <c r="AE2114" s="284"/>
      <c r="AF2114" s="284"/>
      <c r="AG2114" s="284"/>
    </row>
    <row r="2115" spans="1:33" ht="26.4">
      <c r="A2115" s="284"/>
      <c r="B2115" s="284"/>
      <c r="C2115" s="284"/>
      <c r="D2115" s="284"/>
      <c r="E2115" s="284"/>
      <c r="F2115" s="284"/>
      <c r="G2115" s="284"/>
      <c r="H2115" s="284"/>
      <c r="I2115" s="284"/>
      <c r="J2115" s="375"/>
      <c r="K2115" s="375"/>
      <c r="L2115" s="375"/>
      <c r="M2115" s="368"/>
      <c r="N2115" s="368"/>
      <c r="O2115" s="370"/>
      <c r="T2115" s="349"/>
      <c r="V2115" s="378"/>
      <c r="W2115" s="64" ph="1"/>
      <c r="X2115" s="241"/>
      <c r="Y2115" s="284"/>
      <c r="Z2115" s="207"/>
      <c r="AA2115" s="284"/>
      <c r="AB2115" s="284"/>
      <c r="AC2115" s="284"/>
      <c r="AD2115" s="284"/>
      <c r="AE2115" s="284"/>
      <c r="AF2115" s="284"/>
      <c r="AG2115" s="284"/>
    </row>
    <row r="2116" spans="1:33" ht="26.4">
      <c r="A2116" s="284"/>
      <c r="B2116" s="284"/>
      <c r="C2116" s="284"/>
      <c r="D2116" s="284"/>
      <c r="E2116" s="284"/>
      <c r="F2116" s="284"/>
      <c r="G2116" s="284"/>
      <c r="H2116" s="284"/>
      <c r="I2116" s="284"/>
      <c r="J2116" s="375"/>
      <c r="K2116" s="375"/>
      <c r="L2116" s="375"/>
      <c r="M2116" s="368"/>
      <c r="N2116" s="368"/>
      <c r="O2116" s="370"/>
      <c r="T2116" s="349"/>
      <c r="V2116" s="378"/>
      <c r="W2116" s="64" ph="1"/>
      <c r="X2116" s="241"/>
      <c r="Y2116" s="284"/>
      <c r="Z2116" s="207"/>
      <c r="AA2116" s="284"/>
      <c r="AB2116" s="284"/>
      <c r="AC2116" s="284"/>
      <c r="AD2116" s="284"/>
      <c r="AE2116" s="284"/>
      <c r="AF2116" s="284"/>
      <c r="AG2116" s="284"/>
    </row>
    <row r="2117" spans="1:33" ht="26.4">
      <c r="A2117" s="284"/>
      <c r="B2117" s="284"/>
      <c r="C2117" s="284"/>
      <c r="D2117" s="284"/>
      <c r="E2117" s="284"/>
      <c r="F2117" s="284"/>
      <c r="G2117" s="284"/>
      <c r="H2117" s="284"/>
      <c r="I2117" s="284"/>
      <c r="J2117" s="375"/>
      <c r="K2117" s="375"/>
      <c r="L2117" s="375"/>
      <c r="M2117" s="368"/>
      <c r="N2117" s="368"/>
      <c r="O2117" s="370"/>
      <c r="T2117" s="349"/>
      <c r="V2117" s="378"/>
      <c r="W2117" s="64" ph="1"/>
      <c r="X2117" s="241"/>
      <c r="Y2117" s="284"/>
      <c r="Z2117" s="207"/>
      <c r="AA2117" s="284"/>
      <c r="AB2117" s="284"/>
      <c r="AC2117" s="284"/>
      <c r="AD2117" s="284"/>
      <c r="AE2117" s="284"/>
      <c r="AF2117" s="284"/>
      <c r="AG2117" s="284"/>
    </row>
    <row r="2118" spans="1:33" ht="26.4">
      <c r="A2118" s="284"/>
      <c r="B2118" s="284"/>
      <c r="C2118" s="284"/>
      <c r="D2118" s="284"/>
      <c r="E2118" s="284"/>
      <c r="F2118" s="284"/>
      <c r="G2118" s="284"/>
      <c r="H2118" s="284"/>
      <c r="I2118" s="284"/>
      <c r="J2118" s="375"/>
      <c r="K2118" s="375"/>
      <c r="L2118" s="375"/>
      <c r="M2118" s="368"/>
      <c r="N2118" s="368"/>
      <c r="O2118" s="370"/>
      <c r="T2118" s="349"/>
      <c r="V2118" s="378"/>
      <c r="W2118" s="64" ph="1"/>
      <c r="X2118" s="241"/>
      <c r="Y2118" s="284"/>
      <c r="Z2118" s="207"/>
      <c r="AA2118" s="284"/>
      <c r="AB2118" s="284"/>
      <c r="AC2118" s="284"/>
      <c r="AD2118" s="284"/>
      <c r="AE2118" s="284"/>
      <c r="AF2118" s="284"/>
      <c r="AG2118" s="284"/>
    </row>
    <row r="2119" spans="1:33" ht="26.4">
      <c r="A2119" s="284"/>
      <c r="B2119" s="284"/>
      <c r="C2119" s="284"/>
      <c r="D2119" s="284"/>
      <c r="E2119" s="284"/>
      <c r="F2119" s="284"/>
      <c r="G2119" s="284"/>
      <c r="H2119" s="284"/>
      <c r="I2119" s="284"/>
      <c r="J2119" s="375"/>
      <c r="K2119" s="375"/>
      <c r="L2119" s="375"/>
      <c r="M2119" s="368"/>
      <c r="N2119" s="368"/>
      <c r="O2119" s="370"/>
      <c r="T2119" s="349"/>
      <c r="V2119" s="378"/>
      <c r="W2119" s="64" ph="1"/>
      <c r="X2119" s="241"/>
      <c r="Y2119" s="284"/>
      <c r="Z2119" s="207"/>
      <c r="AA2119" s="284"/>
      <c r="AB2119" s="284"/>
      <c r="AC2119" s="284"/>
      <c r="AD2119" s="284"/>
      <c r="AE2119" s="284"/>
      <c r="AF2119" s="284"/>
      <c r="AG2119" s="284"/>
    </row>
    <row r="2120" spans="1:33" ht="26.4">
      <c r="A2120" s="284"/>
      <c r="B2120" s="284"/>
      <c r="C2120" s="284"/>
      <c r="D2120" s="284"/>
      <c r="E2120" s="284"/>
      <c r="F2120" s="284"/>
      <c r="G2120" s="284"/>
      <c r="H2120" s="284"/>
      <c r="I2120" s="284"/>
      <c r="J2120" s="375"/>
      <c r="K2120" s="375"/>
      <c r="L2120" s="375"/>
      <c r="M2120" s="368"/>
      <c r="N2120" s="368"/>
      <c r="O2120" s="370"/>
      <c r="T2120" s="349"/>
      <c r="V2120" s="378"/>
      <c r="W2120" s="64" ph="1"/>
      <c r="X2120" s="241"/>
      <c r="Y2120" s="284"/>
      <c r="Z2120" s="207"/>
      <c r="AA2120" s="284"/>
      <c r="AB2120" s="284"/>
      <c r="AC2120" s="284"/>
      <c r="AD2120" s="284"/>
      <c r="AE2120" s="284"/>
      <c r="AF2120" s="284"/>
      <c r="AG2120" s="284"/>
    </row>
    <row r="2121" spans="1:33" ht="26.4">
      <c r="A2121" s="284"/>
      <c r="B2121" s="284"/>
      <c r="C2121" s="284"/>
      <c r="D2121" s="284"/>
      <c r="E2121" s="284"/>
      <c r="F2121" s="284"/>
      <c r="G2121" s="284"/>
      <c r="H2121" s="284"/>
      <c r="I2121" s="284"/>
      <c r="J2121" s="375"/>
      <c r="K2121" s="375"/>
      <c r="L2121" s="375"/>
      <c r="M2121" s="368"/>
      <c r="N2121" s="368"/>
      <c r="O2121" s="370"/>
      <c r="T2121" s="349"/>
      <c r="V2121" s="378"/>
      <c r="W2121" s="64" ph="1"/>
      <c r="X2121" s="241"/>
      <c r="Y2121" s="284"/>
      <c r="Z2121" s="207"/>
      <c r="AA2121" s="284"/>
      <c r="AB2121" s="284"/>
      <c r="AC2121" s="284"/>
      <c r="AD2121" s="284"/>
      <c r="AE2121" s="284"/>
      <c r="AF2121" s="284"/>
      <c r="AG2121" s="284"/>
    </row>
    <row r="2122" spans="1:33" ht="26.4">
      <c r="A2122" s="284"/>
      <c r="B2122" s="284"/>
      <c r="C2122" s="284"/>
      <c r="D2122" s="284"/>
      <c r="E2122" s="284"/>
      <c r="F2122" s="284"/>
      <c r="G2122" s="284"/>
      <c r="H2122" s="284"/>
      <c r="I2122" s="284"/>
      <c r="J2122" s="375"/>
      <c r="K2122" s="375"/>
      <c r="L2122" s="375"/>
      <c r="M2122" s="368"/>
      <c r="N2122" s="368"/>
      <c r="O2122" s="370"/>
      <c r="T2122" s="349"/>
      <c r="V2122" s="378"/>
      <c r="W2122" s="64" ph="1"/>
      <c r="X2122" s="241"/>
      <c r="Y2122" s="284"/>
      <c r="Z2122" s="207"/>
      <c r="AA2122" s="284"/>
      <c r="AB2122" s="284"/>
      <c r="AC2122" s="284"/>
      <c r="AD2122" s="284"/>
      <c r="AE2122" s="284"/>
      <c r="AF2122" s="284"/>
      <c r="AG2122" s="284"/>
    </row>
    <row r="2123" spans="1:33" ht="26.4">
      <c r="A2123" s="284"/>
      <c r="B2123" s="284"/>
      <c r="C2123" s="284"/>
      <c r="D2123" s="284"/>
      <c r="E2123" s="284"/>
      <c r="F2123" s="284"/>
      <c r="G2123" s="284"/>
      <c r="H2123" s="284"/>
      <c r="I2123" s="284"/>
      <c r="J2123" s="375"/>
      <c r="K2123" s="375"/>
      <c r="L2123" s="375"/>
      <c r="M2123" s="368"/>
      <c r="N2123" s="368"/>
      <c r="O2123" s="370"/>
      <c r="T2123" s="349"/>
      <c r="V2123" s="378"/>
      <c r="W2123" s="64" ph="1"/>
      <c r="X2123" s="241"/>
      <c r="Y2123" s="284"/>
      <c r="Z2123" s="207"/>
      <c r="AA2123" s="284"/>
      <c r="AB2123" s="284"/>
      <c r="AC2123" s="284"/>
      <c r="AD2123" s="284"/>
      <c r="AE2123" s="284"/>
      <c r="AF2123" s="284"/>
      <c r="AG2123" s="284"/>
    </row>
    <row r="2124" spans="1:33" ht="26.4">
      <c r="A2124" s="284"/>
      <c r="B2124" s="284"/>
      <c r="C2124" s="284"/>
      <c r="D2124" s="284"/>
      <c r="E2124" s="284"/>
      <c r="F2124" s="284"/>
      <c r="G2124" s="284"/>
      <c r="H2124" s="284"/>
      <c r="I2124" s="284"/>
      <c r="J2124" s="375"/>
      <c r="K2124" s="375"/>
      <c r="L2124" s="375"/>
      <c r="M2124" s="368"/>
      <c r="N2124" s="368"/>
      <c r="O2124" s="370"/>
      <c r="T2124" s="349"/>
      <c r="V2124" s="378"/>
      <c r="W2124" s="64" ph="1"/>
      <c r="X2124" s="241"/>
      <c r="Y2124" s="284"/>
      <c r="Z2124" s="207"/>
      <c r="AA2124" s="284"/>
      <c r="AB2124" s="284"/>
      <c r="AC2124" s="284"/>
      <c r="AD2124" s="284"/>
      <c r="AE2124" s="284"/>
      <c r="AF2124" s="284"/>
      <c r="AG2124" s="284"/>
    </row>
    <row r="2125" spans="1:33" ht="26.4">
      <c r="A2125" s="284"/>
      <c r="B2125" s="284"/>
      <c r="C2125" s="284"/>
      <c r="D2125" s="284"/>
      <c r="E2125" s="284"/>
      <c r="F2125" s="284"/>
      <c r="G2125" s="284"/>
      <c r="H2125" s="284"/>
      <c r="I2125" s="284"/>
      <c r="J2125" s="375"/>
      <c r="K2125" s="375"/>
      <c r="L2125" s="375"/>
      <c r="M2125" s="368"/>
      <c r="N2125" s="368"/>
      <c r="O2125" s="370"/>
      <c r="T2125" s="349"/>
      <c r="V2125" s="378"/>
      <c r="W2125" s="64" ph="1"/>
      <c r="X2125" s="241"/>
      <c r="Y2125" s="284"/>
      <c r="Z2125" s="207"/>
      <c r="AA2125" s="284"/>
      <c r="AB2125" s="284"/>
      <c r="AC2125" s="284"/>
      <c r="AD2125" s="284"/>
      <c r="AE2125" s="284"/>
      <c r="AF2125" s="284"/>
      <c r="AG2125" s="284"/>
    </row>
    <row r="2126" spans="1:33" ht="26.4">
      <c r="A2126" s="284"/>
      <c r="B2126" s="284"/>
      <c r="C2126" s="284"/>
      <c r="D2126" s="284"/>
      <c r="E2126" s="284"/>
      <c r="F2126" s="284"/>
      <c r="G2126" s="284"/>
      <c r="H2126" s="284"/>
      <c r="I2126" s="284"/>
      <c r="J2126" s="375"/>
      <c r="K2126" s="375"/>
      <c r="L2126" s="375"/>
      <c r="M2126" s="368"/>
      <c r="N2126" s="368"/>
      <c r="O2126" s="370"/>
      <c r="T2126" s="349"/>
      <c r="V2126" s="378"/>
      <c r="W2126" s="64" ph="1"/>
      <c r="X2126" s="241"/>
      <c r="Y2126" s="284"/>
      <c r="Z2126" s="207"/>
      <c r="AA2126" s="284"/>
      <c r="AB2126" s="284"/>
      <c r="AC2126" s="284"/>
      <c r="AD2126" s="284"/>
      <c r="AE2126" s="284"/>
      <c r="AF2126" s="284"/>
      <c r="AG2126" s="284"/>
    </row>
    <row r="2127" spans="1:33" ht="26.4">
      <c r="A2127" s="284"/>
      <c r="B2127" s="284"/>
      <c r="C2127" s="284"/>
      <c r="D2127" s="284"/>
      <c r="E2127" s="284"/>
      <c r="F2127" s="284"/>
      <c r="G2127" s="284"/>
      <c r="H2127" s="284"/>
      <c r="I2127" s="284"/>
      <c r="J2127" s="375"/>
      <c r="K2127" s="375"/>
      <c r="L2127" s="375"/>
      <c r="M2127" s="368"/>
      <c r="N2127" s="368"/>
      <c r="O2127" s="370"/>
      <c r="T2127" s="349"/>
      <c r="V2127" s="378"/>
      <c r="W2127" s="64" ph="1"/>
      <c r="X2127" s="241"/>
      <c r="Y2127" s="284"/>
      <c r="Z2127" s="207"/>
      <c r="AA2127" s="284"/>
      <c r="AB2127" s="284"/>
      <c r="AC2127" s="284"/>
      <c r="AD2127" s="284"/>
      <c r="AE2127" s="284"/>
      <c r="AF2127" s="284"/>
      <c r="AG2127" s="284"/>
    </row>
    <row r="2128" spans="1:33" ht="26.4">
      <c r="A2128" s="284"/>
      <c r="B2128" s="284"/>
      <c r="C2128" s="284"/>
      <c r="D2128" s="284"/>
      <c r="E2128" s="284"/>
      <c r="F2128" s="284"/>
      <c r="G2128" s="284"/>
      <c r="H2128" s="284"/>
      <c r="I2128" s="284"/>
      <c r="J2128" s="375"/>
      <c r="K2128" s="375"/>
      <c r="L2128" s="375"/>
      <c r="M2128" s="368"/>
      <c r="N2128" s="368"/>
      <c r="O2128" s="370"/>
      <c r="T2128" s="349"/>
      <c r="V2128" s="378"/>
      <c r="W2128" s="64" ph="1"/>
      <c r="X2128" s="241"/>
      <c r="Y2128" s="284"/>
      <c r="Z2128" s="207"/>
      <c r="AA2128" s="284"/>
      <c r="AB2128" s="284"/>
      <c r="AC2128" s="284"/>
      <c r="AD2128" s="284"/>
      <c r="AE2128" s="284"/>
      <c r="AF2128" s="284"/>
      <c r="AG2128" s="284"/>
    </row>
    <row r="2129" spans="1:33" ht="26.4">
      <c r="A2129" s="284"/>
      <c r="B2129" s="284"/>
      <c r="C2129" s="284"/>
      <c r="D2129" s="284"/>
      <c r="E2129" s="284"/>
      <c r="F2129" s="284"/>
      <c r="G2129" s="284"/>
      <c r="H2129" s="284"/>
      <c r="I2129" s="284"/>
      <c r="J2129" s="375"/>
      <c r="K2129" s="375"/>
      <c r="L2129" s="375"/>
      <c r="M2129" s="368"/>
      <c r="N2129" s="368"/>
      <c r="O2129" s="370"/>
      <c r="T2129" s="349"/>
      <c r="V2129" s="378"/>
      <c r="W2129" s="64" ph="1"/>
      <c r="X2129" s="241"/>
      <c r="Y2129" s="284"/>
      <c r="Z2129" s="207"/>
      <c r="AA2129" s="284"/>
      <c r="AB2129" s="284"/>
      <c r="AC2129" s="284"/>
      <c r="AD2129" s="284"/>
      <c r="AE2129" s="284"/>
      <c r="AF2129" s="284"/>
      <c r="AG2129" s="284"/>
    </row>
    <row r="2130" spans="1:33" ht="26.4">
      <c r="A2130" s="284"/>
      <c r="B2130" s="284"/>
      <c r="C2130" s="284"/>
      <c r="D2130" s="284"/>
      <c r="E2130" s="284"/>
      <c r="F2130" s="284"/>
      <c r="G2130" s="284"/>
      <c r="H2130" s="284"/>
      <c r="I2130" s="284"/>
      <c r="J2130" s="375"/>
      <c r="K2130" s="375"/>
      <c r="L2130" s="375"/>
      <c r="M2130" s="368"/>
      <c r="N2130" s="368"/>
      <c r="O2130" s="370"/>
      <c r="T2130" s="349"/>
      <c r="V2130" s="378"/>
      <c r="W2130" s="64" ph="1"/>
      <c r="X2130" s="241"/>
      <c r="Y2130" s="284"/>
      <c r="Z2130" s="207"/>
      <c r="AA2130" s="284"/>
      <c r="AB2130" s="284"/>
      <c r="AC2130" s="284"/>
      <c r="AD2130" s="284"/>
      <c r="AE2130" s="284"/>
      <c r="AF2130" s="284"/>
      <c r="AG2130" s="284"/>
    </row>
    <row r="2131" spans="1:33" ht="26.4">
      <c r="A2131" s="284"/>
      <c r="B2131" s="284"/>
      <c r="C2131" s="284"/>
      <c r="D2131" s="284"/>
      <c r="E2131" s="284"/>
      <c r="F2131" s="284"/>
      <c r="G2131" s="284"/>
      <c r="H2131" s="284"/>
      <c r="I2131" s="284"/>
      <c r="J2131" s="375"/>
      <c r="K2131" s="375"/>
      <c r="L2131" s="375"/>
      <c r="M2131" s="368"/>
      <c r="N2131" s="368"/>
      <c r="O2131" s="370"/>
      <c r="T2131" s="349"/>
      <c r="V2131" s="378"/>
      <c r="W2131" s="64" ph="1"/>
      <c r="X2131" s="241"/>
      <c r="Y2131" s="284"/>
      <c r="Z2131" s="207"/>
      <c r="AA2131" s="284"/>
      <c r="AB2131" s="284"/>
      <c r="AC2131" s="284"/>
      <c r="AD2131" s="284"/>
      <c r="AE2131" s="284"/>
      <c r="AF2131" s="284"/>
      <c r="AG2131" s="284"/>
    </row>
    <row r="2132" spans="1:33" ht="26.4">
      <c r="A2132" s="284"/>
      <c r="B2132" s="284"/>
      <c r="C2132" s="284"/>
      <c r="D2132" s="284"/>
      <c r="E2132" s="284"/>
      <c r="F2132" s="284"/>
      <c r="G2132" s="284"/>
      <c r="H2132" s="284"/>
      <c r="I2132" s="284"/>
      <c r="J2132" s="375"/>
      <c r="K2132" s="375"/>
      <c r="L2132" s="375"/>
      <c r="M2132" s="368"/>
      <c r="N2132" s="368"/>
      <c r="O2132" s="370"/>
      <c r="T2132" s="349"/>
      <c r="V2132" s="378"/>
      <c r="W2132" s="64" ph="1"/>
      <c r="X2132" s="241"/>
      <c r="Y2132" s="284"/>
      <c r="Z2132" s="207"/>
      <c r="AA2132" s="284"/>
      <c r="AB2132" s="284"/>
      <c r="AC2132" s="284"/>
      <c r="AD2132" s="284"/>
      <c r="AE2132" s="284"/>
      <c r="AF2132" s="284"/>
      <c r="AG2132" s="284"/>
    </row>
    <row r="2133" spans="1:33" ht="26.4">
      <c r="A2133" s="284"/>
      <c r="B2133" s="284"/>
      <c r="C2133" s="284"/>
      <c r="D2133" s="284"/>
      <c r="E2133" s="284"/>
      <c r="F2133" s="284"/>
      <c r="G2133" s="284"/>
      <c r="H2133" s="284"/>
      <c r="I2133" s="284"/>
      <c r="J2133" s="375"/>
      <c r="K2133" s="375"/>
      <c r="L2133" s="375"/>
      <c r="M2133" s="368"/>
      <c r="N2133" s="368"/>
      <c r="O2133" s="370"/>
      <c r="T2133" s="349"/>
      <c r="V2133" s="378"/>
      <c r="W2133" s="64" ph="1"/>
      <c r="X2133" s="241"/>
      <c r="Y2133" s="284"/>
      <c r="Z2133" s="207"/>
      <c r="AA2133" s="284"/>
      <c r="AB2133" s="284"/>
      <c r="AC2133" s="284"/>
      <c r="AD2133" s="284"/>
      <c r="AE2133" s="284"/>
      <c r="AF2133" s="284"/>
      <c r="AG2133" s="284"/>
    </row>
    <row r="2134" spans="1:33" ht="26.4">
      <c r="A2134" s="284"/>
      <c r="B2134" s="284"/>
      <c r="C2134" s="284"/>
      <c r="D2134" s="284"/>
      <c r="E2134" s="284"/>
      <c r="F2134" s="284"/>
      <c r="G2134" s="284"/>
      <c r="H2134" s="284"/>
      <c r="I2134" s="284"/>
      <c r="J2134" s="375"/>
      <c r="K2134" s="375"/>
      <c r="L2134" s="375"/>
      <c r="M2134" s="368"/>
      <c r="N2134" s="368"/>
      <c r="O2134" s="370"/>
      <c r="T2134" s="349"/>
      <c r="V2134" s="378"/>
      <c r="W2134" s="64" ph="1"/>
      <c r="X2134" s="241"/>
      <c r="Y2134" s="284"/>
      <c r="Z2134" s="207"/>
      <c r="AA2134" s="284"/>
      <c r="AB2134" s="284"/>
      <c r="AC2134" s="284"/>
      <c r="AD2134" s="284"/>
      <c r="AE2134" s="284"/>
      <c r="AF2134" s="284"/>
      <c r="AG2134" s="284"/>
    </row>
    <row r="2135" spans="1:33" ht="26.4">
      <c r="A2135" s="284"/>
      <c r="B2135" s="284"/>
      <c r="C2135" s="284"/>
      <c r="D2135" s="284"/>
      <c r="E2135" s="284"/>
      <c r="F2135" s="284"/>
      <c r="G2135" s="284"/>
      <c r="H2135" s="284"/>
      <c r="I2135" s="284"/>
      <c r="J2135" s="375"/>
      <c r="K2135" s="375"/>
      <c r="L2135" s="375"/>
      <c r="M2135" s="368"/>
      <c r="N2135" s="368"/>
      <c r="O2135" s="370"/>
      <c r="T2135" s="349"/>
      <c r="V2135" s="378"/>
      <c r="W2135" s="64" ph="1"/>
      <c r="X2135" s="241"/>
      <c r="Y2135" s="284"/>
      <c r="Z2135" s="207"/>
      <c r="AA2135" s="284"/>
      <c r="AB2135" s="284"/>
      <c r="AC2135" s="284"/>
      <c r="AD2135" s="284"/>
      <c r="AE2135" s="284"/>
      <c r="AF2135" s="284"/>
      <c r="AG2135" s="284"/>
    </row>
    <row r="2136" spans="1:33" ht="26.4">
      <c r="A2136" s="284"/>
      <c r="B2136" s="284"/>
      <c r="C2136" s="284"/>
      <c r="D2136" s="284"/>
      <c r="E2136" s="284"/>
      <c r="F2136" s="284"/>
      <c r="G2136" s="284"/>
      <c r="H2136" s="284"/>
      <c r="I2136" s="284"/>
      <c r="J2136" s="375"/>
      <c r="K2136" s="375"/>
      <c r="L2136" s="375"/>
      <c r="M2136" s="368"/>
      <c r="N2136" s="368"/>
      <c r="O2136" s="370"/>
      <c r="T2136" s="349"/>
      <c r="V2136" s="378"/>
      <c r="W2136" s="64" ph="1"/>
      <c r="X2136" s="241"/>
      <c r="Y2136" s="284"/>
      <c r="Z2136" s="207"/>
      <c r="AA2136" s="284"/>
      <c r="AB2136" s="284"/>
      <c r="AC2136" s="284"/>
      <c r="AD2136" s="284"/>
      <c r="AE2136" s="284"/>
      <c r="AF2136" s="284"/>
      <c r="AG2136" s="284"/>
    </row>
    <row r="2137" spans="1:33" ht="26.4">
      <c r="A2137" s="284"/>
      <c r="B2137" s="284"/>
      <c r="C2137" s="284"/>
      <c r="D2137" s="284"/>
      <c r="E2137" s="284"/>
      <c r="F2137" s="284"/>
      <c r="G2137" s="284"/>
      <c r="H2137" s="284"/>
      <c r="I2137" s="284"/>
      <c r="J2137" s="375"/>
      <c r="K2137" s="375"/>
      <c r="L2137" s="375"/>
      <c r="M2137" s="368"/>
      <c r="N2137" s="368"/>
      <c r="O2137" s="370"/>
      <c r="T2137" s="349"/>
      <c r="V2137" s="378"/>
      <c r="W2137" s="64" ph="1"/>
      <c r="X2137" s="241"/>
      <c r="Y2137" s="284"/>
      <c r="Z2137" s="207"/>
      <c r="AA2137" s="284"/>
      <c r="AB2137" s="284"/>
      <c r="AC2137" s="284"/>
      <c r="AD2137" s="284"/>
      <c r="AE2137" s="284"/>
      <c r="AF2137" s="284"/>
      <c r="AG2137" s="284"/>
    </row>
    <row r="2138" spans="1:33" ht="26.4">
      <c r="A2138" s="284"/>
      <c r="B2138" s="284"/>
      <c r="C2138" s="284"/>
      <c r="D2138" s="284"/>
      <c r="E2138" s="284"/>
      <c r="F2138" s="284"/>
      <c r="G2138" s="284"/>
      <c r="H2138" s="284"/>
      <c r="I2138" s="284"/>
      <c r="J2138" s="375"/>
      <c r="K2138" s="375"/>
      <c r="L2138" s="375"/>
      <c r="M2138" s="368"/>
      <c r="N2138" s="368"/>
      <c r="O2138" s="370"/>
      <c r="T2138" s="349"/>
      <c r="V2138" s="378"/>
      <c r="W2138" s="64" ph="1"/>
      <c r="X2138" s="241"/>
      <c r="Y2138" s="284"/>
      <c r="Z2138" s="207"/>
      <c r="AA2138" s="284"/>
      <c r="AB2138" s="284"/>
      <c r="AC2138" s="284"/>
      <c r="AD2138" s="284"/>
      <c r="AE2138" s="284"/>
      <c r="AF2138" s="284"/>
      <c r="AG2138" s="284"/>
    </row>
    <row r="2139" spans="1:33" ht="26.4">
      <c r="A2139" s="284"/>
      <c r="B2139" s="284"/>
      <c r="C2139" s="284"/>
      <c r="D2139" s="284"/>
      <c r="E2139" s="284"/>
      <c r="F2139" s="284"/>
      <c r="G2139" s="284"/>
      <c r="H2139" s="284"/>
      <c r="I2139" s="284"/>
      <c r="J2139" s="375"/>
      <c r="K2139" s="375"/>
      <c r="L2139" s="375"/>
      <c r="M2139" s="368"/>
      <c r="N2139" s="368"/>
      <c r="O2139" s="370"/>
      <c r="T2139" s="349"/>
      <c r="V2139" s="378"/>
      <c r="W2139" s="64" ph="1"/>
      <c r="X2139" s="241"/>
      <c r="Y2139" s="284"/>
      <c r="Z2139" s="207"/>
      <c r="AA2139" s="284"/>
      <c r="AB2139" s="284"/>
      <c r="AC2139" s="284"/>
      <c r="AD2139" s="284"/>
      <c r="AE2139" s="284"/>
      <c r="AF2139" s="284"/>
      <c r="AG2139" s="284"/>
    </row>
    <row r="2140" spans="1:33" ht="26.4">
      <c r="A2140" s="284"/>
      <c r="B2140" s="284"/>
      <c r="C2140" s="284"/>
      <c r="D2140" s="284"/>
      <c r="E2140" s="284"/>
      <c r="F2140" s="284"/>
      <c r="G2140" s="284"/>
      <c r="H2140" s="284"/>
      <c r="I2140" s="284"/>
      <c r="J2140" s="375"/>
      <c r="K2140" s="375"/>
      <c r="L2140" s="375"/>
      <c r="M2140" s="368"/>
      <c r="N2140" s="368"/>
      <c r="O2140" s="370"/>
      <c r="T2140" s="349"/>
      <c r="V2140" s="378"/>
      <c r="W2140" s="64" ph="1"/>
      <c r="X2140" s="241"/>
      <c r="Y2140" s="284"/>
      <c r="Z2140" s="207"/>
      <c r="AA2140" s="284"/>
      <c r="AB2140" s="284"/>
      <c r="AC2140" s="284"/>
      <c r="AD2140" s="284"/>
      <c r="AE2140" s="284"/>
      <c r="AF2140" s="284"/>
      <c r="AG2140" s="284"/>
    </row>
    <row r="2141" spans="1:33" ht="26.4">
      <c r="A2141" s="284"/>
      <c r="B2141" s="284"/>
      <c r="C2141" s="284"/>
      <c r="D2141" s="284"/>
      <c r="E2141" s="284"/>
      <c r="F2141" s="284"/>
      <c r="G2141" s="284"/>
      <c r="H2141" s="284"/>
      <c r="I2141" s="284"/>
      <c r="J2141" s="375"/>
      <c r="K2141" s="375"/>
      <c r="L2141" s="375"/>
      <c r="M2141" s="368"/>
      <c r="N2141" s="368"/>
      <c r="O2141" s="370"/>
      <c r="T2141" s="349"/>
      <c r="V2141" s="378"/>
      <c r="W2141" s="64" ph="1"/>
      <c r="X2141" s="241"/>
      <c r="Y2141" s="284"/>
      <c r="Z2141" s="207"/>
      <c r="AA2141" s="284"/>
      <c r="AB2141" s="284"/>
      <c r="AC2141" s="284"/>
      <c r="AD2141" s="284"/>
      <c r="AE2141" s="284"/>
      <c r="AF2141" s="284"/>
      <c r="AG2141" s="284"/>
    </row>
    <row r="2142" spans="1:33" ht="26.4">
      <c r="A2142" s="284"/>
      <c r="B2142" s="284"/>
      <c r="C2142" s="284"/>
      <c r="D2142" s="284"/>
      <c r="E2142" s="284"/>
      <c r="F2142" s="284"/>
      <c r="G2142" s="284"/>
      <c r="H2142" s="284"/>
      <c r="I2142" s="284"/>
      <c r="J2142" s="375"/>
      <c r="K2142" s="375"/>
      <c r="L2142" s="375"/>
      <c r="M2142" s="368"/>
      <c r="N2142" s="368"/>
      <c r="O2142" s="370"/>
      <c r="T2142" s="349"/>
      <c r="V2142" s="378"/>
      <c r="W2142" s="64" ph="1"/>
      <c r="X2142" s="241"/>
      <c r="Y2142" s="284"/>
      <c r="Z2142" s="207"/>
      <c r="AA2142" s="284"/>
      <c r="AB2142" s="284"/>
      <c r="AC2142" s="284"/>
      <c r="AD2142" s="284"/>
      <c r="AE2142" s="284"/>
      <c r="AF2142" s="284"/>
      <c r="AG2142" s="284"/>
    </row>
    <row r="2143" spans="1:33" ht="26.4">
      <c r="A2143" s="284"/>
      <c r="B2143" s="284"/>
      <c r="C2143" s="284"/>
      <c r="D2143" s="284"/>
      <c r="E2143" s="284"/>
      <c r="F2143" s="284"/>
      <c r="G2143" s="284"/>
      <c r="H2143" s="284"/>
      <c r="I2143" s="284"/>
      <c r="J2143" s="375"/>
      <c r="K2143" s="375"/>
      <c r="L2143" s="375"/>
      <c r="M2143" s="368"/>
      <c r="N2143" s="368"/>
      <c r="O2143" s="370"/>
      <c r="T2143" s="349"/>
      <c r="V2143" s="378"/>
      <c r="W2143" s="64" ph="1"/>
      <c r="X2143" s="241"/>
      <c r="Y2143" s="284"/>
      <c r="Z2143" s="207"/>
      <c r="AA2143" s="284"/>
      <c r="AB2143" s="284"/>
      <c r="AC2143" s="284"/>
      <c r="AD2143" s="284"/>
      <c r="AE2143" s="284"/>
      <c r="AF2143" s="284"/>
      <c r="AG2143" s="284"/>
    </row>
    <row r="2144" spans="1:33" ht="26.4">
      <c r="A2144" s="284"/>
      <c r="B2144" s="284"/>
      <c r="C2144" s="284"/>
      <c r="D2144" s="284"/>
      <c r="E2144" s="284"/>
      <c r="F2144" s="284"/>
      <c r="G2144" s="284"/>
      <c r="H2144" s="284"/>
      <c r="I2144" s="284"/>
      <c r="J2144" s="375"/>
      <c r="K2144" s="375"/>
      <c r="L2144" s="375"/>
      <c r="M2144" s="368"/>
      <c r="N2144" s="368"/>
      <c r="O2144" s="370"/>
      <c r="T2144" s="349"/>
      <c r="V2144" s="378"/>
      <c r="W2144" s="64" ph="1"/>
      <c r="X2144" s="241"/>
      <c r="Y2144" s="284"/>
      <c r="Z2144" s="207"/>
      <c r="AA2144" s="284"/>
      <c r="AB2144" s="284"/>
      <c r="AC2144" s="284"/>
      <c r="AD2144" s="284"/>
      <c r="AE2144" s="284"/>
      <c r="AF2144" s="284"/>
      <c r="AG2144" s="284"/>
    </row>
    <row r="2145" spans="1:33" ht="26.4">
      <c r="A2145" s="284"/>
      <c r="B2145" s="284"/>
      <c r="C2145" s="284"/>
      <c r="D2145" s="284"/>
      <c r="E2145" s="284"/>
      <c r="F2145" s="284"/>
      <c r="G2145" s="284"/>
      <c r="H2145" s="284"/>
      <c r="I2145" s="284"/>
      <c r="J2145" s="375"/>
      <c r="K2145" s="375"/>
      <c r="L2145" s="375"/>
      <c r="M2145" s="368"/>
      <c r="N2145" s="368"/>
      <c r="O2145" s="370"/>
      <c r="T2145" s="349"/>
      <c r="V2145" s="378"/>
      <c r="W2145" s="64" ph="1"/>
      <c r="X2145" s="241"/>
      <c r="Y2145" s="284"/>
      <c r="Z2145" s="207"/>
      <c r="AA2145" s="284"/>
      <c r="AB2145" s="284"/>
      <c r="AC2145" s="284"/>
      <c r="AD2145" s="284"/>
      <c r="AE2145" s="284"/>
      <c r="AF2145" s="284"/>
      <c r="AG2145" s="284"/>
    </row>
    <row r="2146" spans="1:33" ht="26.4">
      <c r="A2146" s="284"/>
      <c r="B2146" s="284"/>
      <c r="C2146" s="284"/>
      <c r="D2146" s="284"/>
      <c r="E2146" s="284"/>
      <c r="F2146" s="284"/>
      <c r="G2146" s="284"/>
      <c r="H2146" s="284"/>
      <c r="I2146" s="284"/>
      <c r="J2146" s="375"/>
      <c r="K2146" s="375"/>
      <c r="L2146" s="375"/>
      <c r="M2146" s="368"/>
      <c r="N2146" s="368"/>
      <c r="O2146" s="370"/>
      <c r="T2146" s="349"/>
      <c r="V2146" s="378"/>
      <c r="W2146" s="64" ph="1"/>
      <c r="X2146" s="241"/>
      <c r="Y2146" s="284"/>
      <c r="Z2146" s="207"/>
      <c r="AA2146" s="284"/>
      <c r="AB2146" s="284"/>
      <c r="AC2146" s="284"/>
      <c r="AD2146" s="284"/>
      <c r="AE2146" s="284"/>
      <c r="AF2146" s="284"/>
      <c r="AG2146" s="284"/>
    </row>
    <row r="2147" spans="1:33" ht="26.4">
      <c r="A2147" s="284"/>
      <c r="B2147" s="284"/>
      <c r="C2147" s="284"/>
      <c r="D2147" s="284"/>
      <c r="E2147" s="284"/>
      <c r="F2147" s="284"/>
      <c r="G2147" s="284"/>
      <c r="H2147" s="284"/>
      <c r="I2147" s="284"/>
      <c r="J2147" s="375"/>
      <c r="K2147" s="375"/>
      <c r="L2147" s="375"/>
      <c r="M2147" s="368"/>
      <c r="N2147" s="368"/>
      <c r="O2147" s="370"/>
      <c r="T2147" s="349"/>
      <c r="V2147" s="378"/>
      <c r="W2147" s="64" ph="1"/>
      <c r="X2147" s="241"/>
      <c r="Y2147" s="284"/>
      <c r="Z2147" s="207"/>
      <c r="AA2147" s="284"/>
      <c r="AB2147" s="284"/>
      <c r="AC2147" s="284"/>
      <c r="AD2147" s="284"/>
      <c r="AE2147" s="284"/>
      <c r="AF2147" s="284"/>
      <c r="AG2147" s="284"/>
    </row>
    <row r="2148" spans="1:33" ht="26.4">
      <c r="A2148" s="284"/>
      <c r="B2148" s="284"/>
      <c r="C2148" s="284"/>
      <c r="D2148" s="284"/>
      <c r="E2148" s="284"/>
      <c r="F2148" s="284"/>
      <c r="G2148" s="284"/>
      <c r="H2148" s="284"/>
      <c r="I2148" s="284"/>
      <c r="J2148" s="375"/>
      <c r="K2148" s="375"/>
      <c r="L2148" s="375"/>
      <c r="M2148" s="368"/>
      <c r="N2148" s="368"/>
      <c r="O2148" s="370"/>
      <c r="T2148" s="349"/>
      <c r="V2148" s="378"/>
      <c r="W2148" s="64" ph="1"/>
      <c r="X2148" s="241"/>
      <c r="Y2148" s="284"/>
      <c r="Z2148" s="207"/>
      <c r="AA2148" s="284"/>
      <c r="AB2148" s="284"/>
      <c r="AC2148" s="284"/>
      <c r="AD2148" s="284"/>
      <c r="AE2148" s="284"/>
      <c r="AF2148" s="284"/>
      <c r="AG2148" s="284"/>
    </row>
    <row r="2149" spans="1:33" ht="26.4">
      <c r="A2149" s="284"/>
      <c r="B2149" s="284"/>
      <c r="C2149" s="284"/>
      <c r="D2149" s="284"/>
      <c r="E2149" s="284"/>
      <c r="F2149" s="284"/>
      <c r="G2149" s="284"/>
      <c r="H2149" s="284"/>
      <c r="I2149" s="284"/>
      <c r="J2149" s="375"/>
      <c r="K2149" s="375"/>
      <c r="L2149" s="375"/>
      <c r="M2149" s="368"/>
      <c r="N2149" s="368"/>
      <c r="O2149" s="370"/>
      <c r="T2149" s="349"/>
      <c r="V2149" s="378"/>
      <c r="W2149" s="64" ph="1"/>
      <c r="X2149" s="241"/>
      <c r="Y2149" s="284"/>
      <c r="Z2149" s="207"/>
      <c r="AA2149" s="284"/>
      <c r="AB2149" s="284"/>
      <c r="AC2149" s="284"/>
      <c r="AD2149" s="284"/>
      <c r="AE2149" s="284"/>
      <c r="AF2149" s="284"/>
      <c r="AG2149" s="284"/>
    </row>
    <row r="2150" spans="1:33" ht="26.4">
      <c r="A2150" s="284"/>
      <c r="B2150" s="284"/>
      <c r="C2150" s="284"/>
      <c r="D2150" s="284"/>
      <c r="E2150" s="284"/>
      <c r="F2150" s="284"/>
      <c r="G2150" s="284"/>
      <c r="H2150" s="284"/>
      <c r="I2150" s="284"/>
      <c r="J2150" s="375"/>
      <c r="K2150" s="375"/>
      <c r="L2150" s="375"/>
      <c r="M2150" s="368"/>
      <c r="N2150" s="368"/>
      <c r="O2150" s="370"/>
      <c r="T2150" s="349"/>
      <c r="V2150" s="378"/>
      <c r="W2150" s="64" ph="1"/>
      <c r="X2150" s="241"/>
      <c r="Y2150" s="284"/>
      <c r="Z2150" s="207"/>
      <c r="AA2150" s="284"/>
      <c r="AB2150" s="284"/>
      <c r="AC2150" s="284"/>
      <c r="AD2150" s="284"/>
      <c r="AE2150" s="284"/>
      <c r="AF2150" s="284"/>
      <c r="AG2150" s="284"/>
    </row>
    <row r="2151" spans="1:33" ht="26.4">
      <c r="A2151" s="284"/>
      <c r="B2151" s="284"/>
      <c r="C2151" s="284"/>
      <c r="D2151" s="284"/>
      <c r="E2151" s="284"/>
      <c r="F2151" s="284"/>
      <c r="G2151" s="284"/>
      <c r="H2151" s="284"/>
      <c r="I2151" s="284"/>
      <c r="J2151" s="375"/>
      <c r="K2151" s="375"/>
      <c r="L2151" s="375"/>
      <c r="M2151" s="368"/>
      <c r="N2151" s="368"/>
      <c r="O2151" s="370"/>
      <c r="T2151" s="349"/>
      <c r="V2151" s="378"/>
      <c r="W2151" s="64" ph="1"/>
      <c r="X2151" s="241"/>
      <c r="Y2151" s="284"/>
      <c r="Z2151" s="207"/>
      <c r="AA2151" s="284"/>
      <c r="AB2151" s="284"/>
      <c r="AC2151" s="284"/>
      <c r="AD2151" s="284"/>
      <c r="AE2151" s="284"/>
      <c r="AF2151" s="284"/>
      <c r="AG2151" s="284"/>
    </row>
    <row r="2152" spans="1:33" ht="26.4">
      <c r="A2152" s="284"/>
      <c r="B2152" s="284"/>
      <c r="C2152" s="284"/>
      <c r="D2152" s="284"/>
      <c r="E2152" s="284"/>
      <c r="F2152" s="284"/>
      <c r="G2152" s="284"/>
      <c r="H2152" s="284"/>
      <c r="I2152" s="284"/>
      <c r="J2152" s="375"/>
      <c r="K2152" s="375"/>
      <c r="L2152" s="375"/>
      <c r="M2152" s="368"/>
      <c r="N2152" s="368"/>
      <c r="O2152" s="370"/>
      <c r="T2152" s="349"/>
      <c r="V2152" s="378"/>
      <c r="W2152" s="64" ph="1"/>
      <c r="X2152" s="241"/>
      <c r="Y2152" s="284"/>
      <c r="Z2152" s="207"/>
      <c r="AA2152" s="284"/>
      <c r="AB2152" s="284"/>
      <c r="AC2152" s="284"/>
      <c r="AD2152" s="284"/>
      <c r="AE2152" s="284"/>
      <c r="AF2152" s="284"/>
      <c r="AG2152" s="284"/>
    </row>
    <row r="2153" spans="1:33" ht="26.4">
      <c r="A2153" s="284"/>
      <c r="B2153" s="284"/>
      <c r="C2153" s="284"/>
      <c r="D2153" s="284"/>
      <c r="E2153" s="284"/>
      <c r="F2153" s="284"/>
      <c r="G2153" s="284"/>
      <c r="H2153" s="284"/>
      <c r="I2153" s="284"/>
      <c r="J2153" s="375"/>
      <c r="K2153" s="375"/>
      <c r="L2153" s="375"/>
      <c r="M2153" s="368"/>
      <c r="N2153" s="368"/>
      <c r="O2153" s="370"/>
      <c r="T2153" s="349"/>
      <c r="V2153" s="378"/>
      <c r="W2153" s="64" ph="1"/>
      <c r="X2153" s="241"/>
      <c r="Y2153" s="284"/>
      <c r="Z2153" s="207"/>
      <c r="AA2153" s="284"/>
      <c r="AB2153" s="284"/>
      <c r="AC2153" s="284"/>
      <c r="AD2153" s="284"/>
      <c r="AE2153" s="284"/>
      <c r="AF2153" s="284"/>
      <c r="AG2153" s="284"/>
    </row>
    <row r="2154" spans="1:33" ht="26.4">
      <c r="A2154" s="284"/>
      <c r="B2154" s="284"/>
      <c r="C2154" s="284"/>
      <c r="D2154" s="284"/>
      <c r="E2154" s="284"/>
      <c r="F2154" s="284"/>
      <c r="G2154" s="284"/>
      <c r="H2154" s="284"/>
      <c r="I2154" s="284"/>
      <c r="J2154" s="375"/>
      <c r="K2154" s="375"/>
      <c r="L2154" s="375"/>
      <c r="M2154" s="368"/>
      <c r="N2154" s="368"/>
      <c r="O2154" s="370"/>
      <c r="T2154" s="349"/>
      <c r="V2154" s="378"/>
      <c r="W2154" s="64" ph="1"/>
      <c r="X2154" s="241"/>
      <c r="Y2154" s="284"/>
      <c r="Z2154" s="207"/>
      <c r="AA2154" s="284"/>
      <c r="AB2154" s="284"/>
      <c r="AC2154" s="284"/>
      <c r="AD2154" s="284"/>
      <c r="AE2154" s="284"/>
      <c r="AF2154" s="284"/>
      <c r="AG2154" s="284"/>
    </row>
    <row r="2155" spans="1:33" ht="26.4">
      <c r="A2155" s="284"/>
      <c r="B2155" s="284"/>
      <c r="C2155" s="284"/>
      <c r="D2155" s="284"/>
      <c r="E2155" s="284"/>
      <c r="F2155" s="284"/>
      <c r="G2155" s="284"/>
      <c r="H2155" s="284"/>
      <c r="I2155" s="284"/>
      <c r="J2155" s="375"/>
      <c r="K2155" s="375"/>
      <c r="L2155" s="375"/>
      <c r="M2155" s="368"/>
      <c r="N2155" s="368"/>
      <c r="O2155" s="370"/>
      <c r="T2155" s="349"/>
      <c r="V2155" s="378"/>
      <c r="W2155" s="64" ph="1"/>
      <c r="X2155" s="241"/>
      <c r="Y2155" s="284"/>
      <c r="Z2155" s="207"/>
      <c r="AA2155" s="284"/>
      <c r="AB2155" s="284"/>
      <c r="AC2155" s="284"/>
      <c r="AD2155" s="284"/>
      <c r="AE2155" s="284"/>
      <c r="AF2155" s="284"/>
      <c r="AG2155" s="284"/>
    </row>
    <row r="2156" spans="1:33" ht="26.4">
      <c r="A2156" s="284"/>
      <c r="B2156" s="284"/>
      <c r="C2156" s="284"/>
      <c r="D2156" s="284"/>
      <c r="E2156" s="284"/>
      <c r="F2156" s="284"/>
      <c r="G2156" s="284"/>
      <c r="H2156" s="284"/>
      <c r="I2156" s="284"/>
      <c r="J2156" s="375"/>
      <c r="K2156" s="375"/>
      <c r="L2156" s="375"/>
      <c r="M2156" s="368"/>
      <c r="N2156" s="368"/>
      <c r="O2156" s="370"/>
      <c r="T2156" s="349"/>
      <c r="V2156" s="378"/>
      <c r="W2156" s="64" ph="1"/>
      <c r="X2156" s="241"/>
      <c r="Y2156" s="284"/>
      <c r="Z2156" s="207"/>
      <c r="AA2156" s="284"/>
      <c r="AB2156" s="284"/>
      <c r="AC2156" s="284"/>
      <c r="AD2156" s="284"/>
      <c r="AE2156" s="284"/>
      <c r="AF2156" s="284"/>
      <c r="AG2156" s="284"/>
    </row>
    <row r="2157" spans="1:33" ht="26.4">
      <c r="A2157" s="284"/>
      <c r="B2157" s="284"/>
      <c r="C2157" s="284"/>
      <c r="D2157" s="284"/>
      <c r="E2157" s="284"/>
      <c r="F2157" s="284"/>
      <c r="G2157" s="284"/>
      <c r="H2157" s="284"/>
      <c r="I2157" s="284"/>
      <c r="J2157" s="375"/>
      <c r="K2157" s="375"/>
      <c r="L2157" s="375"/>
      <c r="M2157" s="368"/>
      <c r="N2157" s="368"/>
      <c r="O2157" s="370"/>
      <c r="T2157" s="349"/>
      <c r="V2157" s="378"/>
      <c r="W2157" s="64" ph="1"/>
      <c r="X2157" s="241"/>
      <c r="Y2157" s="284"/>
      <c r="Z2157" s="207"/>
      <c r="AA2157" s="284"/>
      <c r="AB2157" s="284"/>
      <c r="AC2157" s="284"/>
      <c r="AD2157" s="284"/>
      <c r="AE2157" s="284"/>
      <c r="AF2157" s="284"/>
      <c r="AG2157" s="284"/>
    </row>
    <row r="2158" spans="1:33" ht="26.4">
      <c r="A2158" s="284"/>
      <c r="B2158" s="284"/>
      <c r="C2158" s="284"/>
      <c r="D2158" s="284"/>
      <c r="E2158" s="284"/>
      <c r="F2158" s="284"/>
      <c r="G2158" s="284"/>
      <c r="H2158" s="284"/>
      <c r="I2158" s="284"/>
      <c r="J2158" s="375"/>
      <c r="K2158" s="375"/>
      <c r="L2158" s="375"/>
      <c r="M2158" s="368"/>
      <c r="N2158" s="368"/>
      <c r="O2158" s="370"/>
      <c r="T2158" s="349"/>
      <c r="V2158" s="378"/>
      <c r="W2158" s="64" ph="1"/>
      <c r="X2158" s="241"/>
      <c r="Y2158" s="284"/>
      <c r="Z2158" s="207"/>
      <c r="AA2158" s="284"/>
      <c r="AB2158" s="284"/>
      <c r="AC2158" s="284"/>
      <c r="AD2158" s="284"/>
      <c r="AE2158" s="284"/>
      <c r="AF2158" s="284"/>
      <c r="AG2158" s="284"/>
    </row>
    <row r="2159" spans="1:33" ht="26.4">
      <c r="A2159" s="284"/>
      <c r="B2159" s="284"/>
      <c r="C2159" s="284"/>
      <c r="D2159" s="284"/>
      <c r="E2159" s="284"/>
      <c r="F2159" s="284"/>
      <c r="G2159" s="284"/>
      <c r="H2159" s="284"/>
      <c r="I2159" s="284"/>
      <c r="J2159" s="375"/>
      <c r="K2159" s="375"/>
      <c r="L2159" s="375"/>
      <c r="M2159" s="368"/>
      <c r="N2159" s="368"/>
      <c r="O2159" s="370"/>
      <c r="T2159" s="349"/>
      <c r="V2159" s="378"/>
      <c r="W2159" s="64" ph="1"/>
      <c r="X2159" s="241"/>
      <c r="Y2159" s="284"/>
      <c r="Z2159" s="207"/>
      <c r="AA2159" s="284"/>
      <c r="AB2159" s="284"/>
      <c r="AC2159" s="284"/>
      <c r="AD2159" s="284"/>
      <c r="AE2159" s="284"/>
      <c r="AF2159" s="284"/>
      <c r="AG2159" s="284"/>
    </row>
    <row r="2160" spans="1:33" ht="26.4">
      <c r="A2160" s="284"/>
      <c r="B2160" s="284"/>
      <c r="C2160" s="284"/>
      <c r="D2160" s="284"/>
      <c r="E2160" s="284"/>
      <c r="F2160" s="284"/>
      <c r="G2160" s="284"/>
      <c r="H2160" s="284"/>
      <c r="I2160" s="284"/>
      <c r="J2160" s="375"/>
      <c r="K2160" s="375"/>
      <c r="L2160" s="375"/>
      <c r="M2160" s="368"/>
      <c r="N2160" s="368"/>
      <c r="O2160" s="370"/>
      <c r="T2160" s="349"/>
      <c r="V2160" s="378"/>
      <c r="W2160" s="64" ph="1"/>
      <c r="X2160" s="241"/>
      <c r="Y2160" s="284"/>
      <c r="Z2160" s="207"/>
      <c r="AA2160" s="284"/>
      <c r="AB2160" s="284"/>
      <c r="AC2160" s="284"/>
      <c r="AD2160" s="284"/>
      <c r="AE2160" s="284"/>
      <c r="AF2160" s="284"/>
      <c r="AG2160" s="284"/>
    </row>
    <row r="2161" spans="1:33" ht="26.4">
      <c r="A2161" s="284"/>
      <c r="B2161" s="284"/>
      <c r="C2161" s="284"/>
      <c r="D2161" s="284"/>
      <c r="E2161" s="284"/>
      <c r="F2161" s="284"/>
      <c r="G2161" s="284"/>
      <c r="H2161" s="284"/>
      <c r="I2161" s="284"/>
      <c r="J2161" s="375"/>
      <c r="K2161" s="375"/>
      <c r="L2161" s="375"/>
      <c r="M2161" s="368"/>
      <c r="N2161" s="368"/>
      <c r="O2161" s="370"/>
      <c r="T2161" s="349"/>
      <c r="V2161" s="378"/>
      <c r="W2161" s="64" ph="1"/>
      <c r="X2161" s="241"/>
      <c r="Y2161" s="284"/>
      <c r="Z2161" s="207"/>
      <c r="AA2161" s="284"/>
      <c r="AB2161" s="284"/>
      <c r="AC2161" s="284"/>
      <c r="AD2161" s="284"/>
      <c r="AE2161" s="284"/>
      <c r="AF2161" s="284"/>
      <c r="AG2161" s="284"/>
    </row>
    <row r="2162" spans="1:33" ht="26.4">
      <c r="A2162" s="284"/>
      <c r="B2162" s="284"/>
      <c r="C2162" s="284"/>
      <c r="D2162" s="284"/>
      <c r="E2162" s="284"/>
      <c r="F2162" s="284"/>
      <c r="G2162" s="284"/>
      <c r="H2162" s="284"/>
      <c r="I2162" s="284"/>
      <c r="J2162" s="375"/>
      <c r="K2162" s="375"/>
      <c r="L2162" s="375"/>
      <c r="M2162" s="368"/>
      <c r="N2162" s="368"/>
      <c r="O2162" s="370"/>
      <c r="T2162" s="349"/>
      <c r="V2162" s="378"/>
      <c r="W2162" s="64" ph="1"/>
      <c r="X2162" s="241"/>
      <c r="Y2162" s="284"/>
      <c r="Z2162" s="207"/>
      <c r="AA2162" s="284"/>
      <c r="AB2162" s="284"/>
      <c r="AC2162" s="284"/>
      <c r="AD2162" s="284"/>
      <c r="AE2162" s="284"/>
      <c r="AF2162" s="284"/>
      <c r="AG2162" s="284"/>
    </row>
    <row r="2163" spans="1:33" ht="26.4">
      <c r="A2163" s="284"/>
      <c r="B2163" s="284"/>
      <c r="C2163" s="284"/>
      <c r="D2163" s="284"/>
      <c r="E2163" s="284"/>
      <c r="F2163" s="284"/>
      <c r="G2163" s="284"/>
      <c r="H2163" s="284"/>
      <c r="I2163" s="284"/>
      <c r="J2163" s="375"/>
      <c r="K2163" s="375"/>
      <c r="L2163" s="375"/>
      <c r="M2163" s="368"/>
      <c r="N2163" s="368"/>
      <c r="O2163" s="370"/>
      <c r="T2163" s="349"/>
      <c r="V2163" s="378"/>
      <c r="W2163" s="64" ph="1"/>
      <c r="X2163" s="241"/>
      <c r="Y2163" s="284"/>
      <c r="Z2163" s="207"/>
      <c r="AA2163" s="284"/>
      <c r="AB2163" s="284"/>
      <c r="AC2163" s="284"/>
      <c r="AD2163" s="284"/>
      <c r="AE2163" s="284"/>
      <c r="AF2163" s="284"/>
      <c r="AG2163" s="284"/>
    </row>
    <row r="2164" spans="1:33" ht="26.4">
      <c r="A2164" s="284"/>
      <c r="B2164" s="284"/>
      <c r="C2164" s="284"/>
      <c r="D2164" s="284"/>
      <c r="E2164" s="284"/>
      <c r="F2164" s="284"/>
      <c r="G2164" s="284"/>
      <c r="H2164" s="284"/>
      <c r="I2164" s="284"/>
      <c r="J2164" s="375"/>
      <c r="K2164" s="375"/>
      <c r="L2164" s="375"/>
      <c r="M2164" s="368"/>
      <c r="N2164" s="368"/>
      <c r="O2164" s="370"/>
      <c r="T2164" s="349"/>
      <c r="V2164" s="378"/>
      <c r="W2164" s="64" ph="1"/>
      <c r="X2164" s="241"/>
      <c r="Y2164" s="284"/>
      <c r="Z2164" s="207"/>
      <c r="AA2164" s="284"/>
      <c r="AB2164" s="284"/>
      <c r="AC2164" s="284"/>
      <c r="AD2164" s="284"/>
      <c r="AE2164" s="284"/>
      <c r="AF2164" s="284"/>
      <c r="AG2164" s="284"/>
    </row>
    <row r="2165" spans="1:33" ht="26.4">
      <c r="A2165" s="284"/>
      <c r="B2165" s="284"/>
      <c r="C2165" s="284"/>
      <c r="D2165" s="284"/>
      <c r="E2165" s="284"/>
      <c r="F2165" s="284"/>
      <c r="G2165" s="284"/>
      <c r="H2165" s="284"/>
      <c r="I2165" s="284"/>
      <c r="J2165" s="375"/>
      <c r="K2165" s="375"/>
      <c r="L2165" s="375"/>
      <c r="M2165" s="368"/>
      <c r="N2165" s="368"/>
      <c r="O2165" s="370"/>
      <c r="T2165" s="349"/>
      <c r="V2165" s="378"/>
      <c r="W2165" s="64" ph="1"/>
      <c r="X2165" s="241"/>
      <c r="Y2165" s="284"/>
      <c r="Z2165" s="207"/>
      <c r="AA2165" s="284"/>
      <c r="AB2165" s="284"/>
      <c r="AC2165" s="284"/>
      <c r="AD2165" s="284"/>
      <c r="AE2165" s="284"/>
      <c r="AF2165" s="284"/>
      <c r="AG2165" s="284"/>
    </row>
    <row r="2166" spans="1:33" ht="26.4">
      <c r="A2166" s="284"/>
      <c r="B2166" s="284"/>
      <c r="C2166" s="284"/>
      <c r="D2166" s="284"/>
      <c r="E2166" s="284"/>
      <c r="F2166" s="284"/>
      <c r="G2166" s="284"/>
      <c r="H2166" s="284"/>
      <c r="I2166" s="284"/>
      <c r="J2166" s="375"/>
      <c r="K2166" s="375"/>
      <c r="L2166" s="375"/>
      <c r="M2166" s="368"/>
      <c r="N2166" s="368"/>
      <c r="O2166" s="370"/>
      <c r="T2166" s="349"/>
      <c r="V2166" s="378"/>
      <c r="W2166" s="64" ph="1"/>
      <c r="X2166" s="241"/>
      <c r="Y2166" s="284"/>
      <c r="Z2166" s="207"/>
      <c r="AA2166" s="284"/>
      <c r="AB2166" s="284"/>
      <c r="AC2166" s="284"/>
      <c r="AD2166" s="284"/>
      <c r="AE2166" s="284"/>
      <c r="AF2166" s="284"/>
      <c r="AG2166" s="284"/>
    </row>
    <row r="2167" spans="1:33" ht="26.4">
      <c r="A2167" s="284"/>
      <c r="B2167" s="284"/>
      <c r="C2167" s="284"/>
      <c r="D2167" s="284"/>
      <c r="E2167" s="284"/>
      <c r="F2167" s="284"/>
      <c r="G2167" s="284"/>
      <c r="H2167" s="284"/>
      <c r="I2167" s="284"/>
      <c r="J2167" s="375"/>
      <c r="K2167" s="375"/>
      <c r="L2167" s="375"/>
      <c r="M2167" s="368"/>
      <c r="N2167" s="368"/>
      <c r="O2167" s="370"/>
      <c r="T2167" s="349"/>
      <c r="V2167" s="378"/>
      <c r="W2167" s="64" ph="1"/>
      <c r="X2167" s="241"/>
      <c r="Y2167" s="284"/>
      <c r="Z2167" s="207"/>
      <c r="AA2167" s="284"/>
      <c r="AB2167" s="284"/>
      <c r="AC2167" s="284"/>
      <c r="AD2167" s="284"/>
      <c r="AE2167" s="284"/>
      <c r="AF2167" s="284"/>
      <c r="AG2167" s="284"/>
    </row>
    <row r="2168" spans="1:33" ht="26.4">
      <c r="A2168" s="284"/>
      <c r="B2168" s="284"/>
      <c r="C2168" s="284"/>
      <c r="D2168" s="284"/>
      <c r="E2168" s="284"/>
      <c r="F2168" s="284"/>
      <c r="G2168" s="284"/>
      <c r="H2168" s="284"/>
      <c r="I2168" s="284"/>
      <c r="J2168" s="375"/>
      <c r="K2168" s="375"/>
      <c r="L2168" s="375"/>
      <c r="M2168" s="368"/>
      <c r="N2168" s="368"/>
      <c r="O2168" s="370"/>
      <c r="T2168" s="349"/>
      <c r="V2168" s="378"/>
      <c r="W2168" s="64" ph="1"/>
      <c r="X2168" s="241"/>
      <c r="Y2168" s="284"/>
      <c r="Z2168" s="207"/>
      <c r="AA2168" s="284"/>
      <c r="AB2168" s="284"/>
      <c r="AC2168" s="284"/>
      <c r="AD2168" s="284"/>
      <c r="AE2168" s="284"/>
      <c r="AF2168" s="284"/>
      <c r="AG2168" s="284"/>
    </row>
    <row r="2169" spans="1:33" ht="26.4">
      <c r="A2169" s="284"/>
      <c r="B2169" s="284"/>
      <c r="C2169" s="284"/>
      <c r="D2169" s="284"/>
      <c r="E2169" s="284"/>
      <c r="F2169" s="284"/>
      <c r="G2169" s="284"/>
      <c r="H2169" s="284"/>
      <c r="I2169" s="284"/>
      <c r="J2169" s="375"/>
      <c r="K2169" s="375"/>
      <c r="L2169" s="375"/>
      <c r="M2169" s="368"/>
      <c r="N2169" s="368"/>
      <c r="O2169" s="370"/>
      <c r="T2169" s="349"/>
      <c r="V2169" s="378"/>
      <c r="W2169" s="64" ph="1"/>
      <c r="X2169" s="241"/>
      <c r="Y2169" s="284"/>
      <c r="Z2169" s="207"/>
      <c r="AA2169" s="284"/>
      <c r="AB2169" s="284"/>
      <c r="AC2169" s="284"/>
      <c r="AD2169" s="284"/>
      <c r="AE2169" s="284"/>
      <c r="AF2169" s="284"/>
      <c r="AG2169" s="284"/>
    </row>
    <row r="2170" spans="1:33" ht="26.4">
      <c r="A2170" s="284"/>
      <c r="B2170" s="284"/>
      <c r="C2170" s="284"/>
      <c r="D2170" s="284"/>
      <c r="E2170" s="284"/>
      <c r="F2170" s="284"/>
      <c r="G2170" s="284"/>
      <c r="H2170" s="284"/>
      <c r="I2170" s="284"/>
      <c r="J2170" s="375"/>
      <c r="K2170" s="375"/>
      <c r="L2170" s="375"/>
      <c r="M2170" s="368"/>
      <c r="N2170" s="368"/>
      <c r="O2170" s="370"/>
      <c r="T2170" s="349"/>
      <c r="V2170" s="378"/>
      <c r="W2170" s="64" ph="1"/>
      <c r="X2170" s="241"/>
      <c r="Y2170" s="284"/>
      <c r="Z2170" s="207"/>
      <c r="AA2170" s="284"/>
      <c r="AB2170" s="284"/>
      <c r="AC2170" s="284"/>
      <c r="AD2170" s="284"/>
      <c r="AE2170" s="284"/>
      <c r="AF2170" s="284"/>
      <c r="AG2170" s="284"/>
    </row>
    <row r="2171" spans="1:33" ht="26.4">
      <c r="A2171" s="284"/>
      <c r="B2171" s="284"/>
      <c r="C2171" s="284"/>
      <c r="D2171" s="284"/>
      <c r="E2171" s="284"/>
      <c r="F2171" s="284"/>
      <c r="G2171" s="284"/>
      <c r="H2171" s="284"/>
      <c r="I2171" s="284"/>
      <c r="J2171" s="375"/>
      <c r="K2171" s="375"/>
      <c r="L2171" s="375"/>
      <c r="M2171" s="368"/>
      <c r="N2171" s="368"/>
      <c r="O2171" s="370"/>
      <c r="T2171" s="349"/>
      <c r="V2171" s="378"/>
      <c r="W2171" s="64" ph="1"/>
      <c r="X2171" s="241"/>
      <c r="Y2171" s="284"/>
      <c r="Z2171" s="207"/>
      <c r="AA2171" s="284"/>
      <c r="AB2171" s="284"/>
      <c r="AC2171" s="284"/>
      <c r="AD2171" s="284"/>
      <c r="AE2171" s="284"/>
      <c r="AF2171" s="284"/>
      <c r="AG2171" s="284"/>
    </row>
    <row r="2172" spans="1:33" ht="26.4">
      <c r="A2172" s="284"/>
      <c r="B2172" s="284"/>
      <c r="C2172" s="284"/>
      <c r="D2172" s="284"/>
      <c r="E2172" s="284"/>
      <c r="F2172" s="284"/>
      <c r="G2172" s="284"/>
      <c r="H2172" s="284"/>
      <c r="I2172" s="284"/>
      <c r="J2172" s="375"/>
      <c r="K2172" s="375"/>
      <c r="L2172" s="375"/>
      <c r="M2172" s="368"/>
      <c r="N2172" s="368"/>
      <c r="O2172" s="370"/>
      <c r="T2172" s="349"/>
      <c r="V2172" s="378"/>
      <c r="W2172" s="64" ph="1"/>
      <c r="X2172" s="241"/>
      <c r="Y2172" s="284"/>
      <c r="Z2172" s="207"/>
      <c r="AA2172" s="284"/>
      <c r="AB2172" s="284"/>
      <c r="AC2172" s="284"/>
      <c r="AD2172" s="284"/>
      <c r="AE2172" s="284"/>
      <c r="AF2172" s="284"/>
      <c r="AG2172" s="284"/>
    </row>
    <row r="2173" spans="1:33" ht="26.4">
      <c r="A2173" s="284"/>
      <c r="B2173" s="284"/>
      <c r="C2173" s="284"/>
      <c r="D2173" s="284"/>
      <c r="E2173" s="284"/>
      <c r="F2173" s="284"/>
      <c r="G2173" s="284"/>
      <c r="H2173" s="284"/>
      <c r="I2173" s="284"/>
      <c r="J2173" s="375"/>
      <c r="K2173" s="375"/>
      <c r="L2173" s="375"/>
      <c r="M2173" s="368"/>
      <c r="N2173" s="368"/>
      <c r="O2173" s="370"/>
      <c r="T2173" s="349"/>
      <c r="V2173" s="378"/>
      <c r="W2173" s="64" ph="1"/>
      <c r="X2173" s="241"/>
      <c r="Y2173" s="284"/>
      <c r="Z2173" s="207"/>
      <c r="AA2173" s="284"/>
      <c r="AB2173" s="284"/>
      <c r="AC2173" s="284"/>
      <c r="AD2173" s="284"/>
      <c r="AE2173" s="284"/>
      <c r="AF2173" s="284"/>
      <c r="AG2173" s="284"/>
    </row>
    <row r="2174" spans="1:33" ht="26.4">
      <c r="A2174" s="284"/>
      <c r="B2174" s="284"/>
      <c r="C2174" s="284"/>
      <c r="D2174" s="284"/>
      <c r="E2174" s="284"/>
      <c r="F2174" s="284"/>
      <c r="G2174" s="284"/>
      <c r="H2174" s="284"/>
      <c r="I2174" s="284"/>
      <c r="J2174" s="375"/>
      <c r="K2174" s="375"/>
      <c r="L2174" s="375"/>
      <c r="M2174" s="368"/>
      <c r="N2174" s="368"/>
      <c r="O2174" s="370"/>
      <c r="T2174" s="349"/>
      <c r="V2174" s="378"/>
      <c r="W2174" s="64" ph="1"/>
      <c r="X2174" s="241"/>
      <c r="Y2174" s="284"/>
      <c r="Z2174" s="207"/>
      <c r="AA2174" s="284"/>
      <c r="AB2174" s="284"/>
      <c r="AC2174" s="284"/>
      <c r="AD2174" s="284"/>
      <c r="AE2174" s="284"/>
      <c r="AF2174" s="284"/>
      <c r="AG2174" s="284"/>
    </row>
    <row r="2175" spans="1:33" ht="26.4">
      <c r="A2175" s="284"/>
      <c r="B2175" s="284"/>
      <c r="C2175" s="284"/>
      <c r="D2175" s="284"/>
      <c r="E2175" s="284"/>
      <c r="F2175" s="284"/>
      <c r="G2175" s="284"/>
      <c r="H2175" s="284"/>
      <c r="I2175" s="284"/>
      <c r="J2175" s="375"/>
      <c r="K2175" s="375"/>
      <c r="L2175" s="375"/>
      <c r="M2175" s="368"/>
      <c r="N2175" s="368"/>
      <c r="O2175" s="370"/>
      <c r="T2175" s="349"/>
      <c r="V2175" s="378"/>
      <c r="W2175" s="64" ph="1"/>
      <c r="X2175" s="241"/>
      <c r="Y2175" s="284"/>
      <c r="Z2175" s="207"/>
      <c r="AA2175" s="284"/>
      <c r="AB2175" s="284"/>
      <c r="AC2175" s="284"/>
      <c r="AD2175" s="284"/>
      <c r="AE2175" s="284"/>
      <c r="AF2175" s="284"/>
      <c r="AG2175" s="284"/>
    </row>
    <row r="2176" spans="1:33" ht="26.4">
      <c r="A2176" s="284"/>
      <c r="B2176" s="284"/>
      <c r="C2176" s="284"/>
      <c r="D2176" s="284"/>
      <c r="E2176" s="284"/>
      <c r="F2176" s="284"/>
      <c r="G2176" s="284"/>
      <c r="H2176" s="284"/>
      <c r="I2176" s="284"/>
      <c r="J2176" s="375"/>
      <c r="K2176" s="375"/>
      <c r="L2176" s="375"/>
      <c r="M2176" s="368"/>
      <c r="N2176" s="368"/>
      <c r="O2176" s="370"/>
      <c r="T2176" s="349"/>
      <c r="V2176" s="378"/>
      <c r="W2176" s="64" ph="1"/>
      <c r="X2176" s="241"/>
      <c r="Y2176" s="284"/>
      <c r="Z2176" s="207"/>
      <c r="AA2176" s="284"/>
      <c r="AB2176" s="284"/>
      <c r="AC2176" s="284"/>
      <c r="AD2176" s="284"/>
      <c r="AE2176" s="284"/>
      <c r="AF2176" s="284"/>
      <c r="AG2176" s="284"/>
    </row>
    <row r="2177" spans="1:33" ht="26.4">
      <c r="A2177" s="284"/>
      <c r="B2177" s="284"/>
      <c r="C2177" s="284"/>
      <c r="D2177" s="284"/>
      <c r="E2177" s="284"/>
      <c r="F2177" s="284"/>
      <c r="G2177" s="284"/>
      <c r="H2177" s="284"/>
      <c r="I2177" s="284"/>
      <c r="J2177" s="375"/>
      <c r="K2177" s="375"/>
      <c r="L2177" s="375"/>
      <c r="M2177" s="368"/>
      <c r="N2177" s="368"/>
      <c r="O2177" s="370"/>
      <c r="T2177" s="349"/>
      <c r="V2177" s="378"/>
      <c r="W2177" s="64" ph="1"/>
      <c r="X2177" s="241"/>
      <c r="Y2177" s="284"/>
      <c r="Z2177" s="207"/>
      <c r="AA2177" s="284"/>
      <c r="AB2177" s="284"/>
      <c r="AC2177" s="284"/>
      <c r="AD2177" s="284"/>
      <c r="AE2177" s="284"/>
      <c r="AF2177" s="284"/>
      <c r="AG2177" s="284"/>
    </row>
    <row r="2178" spans="1:33" ht="26.4">
      <c r="A2178" s="284"/>
      <c r="B2178" s="284"/>
      <c r="C2178" s="284"/>
      <c r="D2178" s="284"/>
      <c r="E2178" s="284"/>
      <c r="F2178" s="284"/>
      <c r="G2178" s="284"/>
      <c r="H2178" s="284"/>
      <c r="I2178" s="284"/>
      <c r="J2178" s="375"/>
      <c r="K2178" s="375"/>
      <c r="L2178" s="375"/>
      <c r="M2178" s="368"/>
      <c r="N2178" s="368"/>
      <c r="O2178" s="370"/>
      <c r="T2178" s="349"/>
      <c r="V2178" s="378"/>
      <c r="W2178" s="64" ph="1"/>
      <c r="X2178" s="241"/>
      <c r="Y2178" s="284"/>
      <c r="Z2178" s="207"/>
      <c r="AA2178" s="284"/>
      <c r="AB2178" s="284"/>
      <c r="AC2178" s="284"/>
      <c r="AD2178" s="284"/>
      <c r="AE2178" s="284"/>
      <c r="AF2178" s="284"/>
      <c r="AG2178" s="284"/>
    </row>
    <row r="2179" spans="1:33" ht="26.4">
      <c r="A2179" s="284"/>
      <c r="B2179" s="284"/>
      <c r="C2179" s="284"/>
      <c r="D2179" s="284"/>
      <c r="E2179" s="284"/>
      <c r="F2179" s="284"/>
      <c r="G2179" s="284"/>
      <c r="H2179" s="284"/>
      <c r="I2179" s="284"/>
      <c r="J2179" s="375"/>
      <c r="K2179" s="375"/>
      <c r="L2179" s="375"/>
      <c r="M2179" s="368"/>
      <c r="N2179" s="368"/>
      <c r="O2179" s="370"/>
      <c r="T2179" s="349"/>
      <c r="V2179" s="378"/>
      <c r="W2179" s="64" ph="1"/>
      <c r="X2179" s="241"/>
      <c r="Y2179" s="284"/>
      <c r="Z2179" s="207"/>
      <c r="AA2179" s="284"/>
      <c r="AB2179" s="284"/>
      <c r="AC2179" s="284"/>
      <c r="AD2179" s="284"/>
      <c r="AE2179" s="284"/>
      <c r="AF2179" s="284"/>
      <c r="AG2179" s="284"/>
    </row>
    <row r="2180" spans="1:33" ht="26.4">
      <c r="A2180" s="284"/>
      <c r="B2180" s="284"/>
      <c r="C2180" s="284"/>
      <c r="D2180" s="284"/>
      <c r="E2180" s="284"/>
      <c r="F2180" s="284"/>
      <c r="G2180" s="284"/>
      <c r="H2180" s="284"/>
      <c r="I2180" s="284"/>
      <c r="J2180" s="375"/>
      <c r="K2180" s="375"/>
      <c r="L2180" s="375"/>
      <c r="M2180" s="368"/>
      <c r="N2180" s="368"/>
      <c r="O2180" s="370"/>
      <c r="T2180" s="349"/>
      <c r="V2180" s="378"/>
      <c r="W2180" s="64" ph="1"/>
      <c r="X2180" s="241"/>
      <c r="Y2180" s="284"/>
      <c r="Z2180" s="207"/>
      <c r="AA2180" s="284"/>
      <c r="AB2180" s="284"/>
      <c r="AC2180" s="284"/>
      <c r="AD2180" s="284"/>
      <c r="AE2180" s="284"/>
      <c r="AF2180" s="284"/>
      <c r="AG2180" s="284"/>
    </row>
    <row r="2181" spans="1:33" ht="26.4">
      <c r="A2181" s="284"/>
      <c r="B2181" s="284"/>
      <c r="C2181" s="284"/>
      <c r="D2181" s="284"/>
      <c r="E2181" s="284"/>
      <c r="F2181" s="284"/>
      <c r="G2181" s="284"/>
      <c r="H2181" s="284"/>
      <c r="I2181" s="284"/>
      <c r="J2181" s="375"/>
      <c r="K2181" s="375"/>
      <c r="L2181" s="375"/>
      <c r="M2181" s="368"/>
      <c r="N2181" s="368"/>
      <c r="O2181" s="370"/>
      <c r="T2181" s="349"/>
      <c r="V2181" s="378"/>
      <c r="W2181" s="64" ph="1"/>
      <c r="X2181" s="241"/>
      <c r="Y2181" s="284"/>
      <c r="Z2181" s="207"/>
      <c r="AA2181" s="284"/>
      <c r="AB2181" s="284"/>
      <c r="AC2181" s="284"/>
      <c r="AD2181" s="284"/>
      <c r="AE2181" s="284"/>
      <c r="AF2181" s="284"/>
      <c r="AG2181" s="284"/>
    </row>
    <row r="2182" spans="1:33" ht="26.4">
      <c r="A2182" s="284"/>
      <c r="B2182" s="284"/>
      <c r="C2182" s="284"/>
      <c r="D2182" s="284"/>
      <c r="E2182" s="284"/>
      <c r="F2182" s="284"/>
      <c r="G2182" s="284"/>
      <c r="H2182" s="284"/>
      <c r="I2182" s="284"/>
      <c r="J2182" s="375"/>
      <c r="K2182" s="375"/>
      <c r="L2182" s="375"/>
      <c r="M2182" s="368"/>
      <c r="N2182" s="368"/>
      <c r="O2182" s="370"/>
      <c r="T2182" s="349"/>
      <c r="V2182" s="378"/>
      <c r="W2182" s="64" ph="1"/>
      <c r="X2182" s="241"/>
      <c r="Y2182" s="284"/>
      <c r="Z2182" s="207"/>
      <c r="AA2182" s="284"/>
      <c r="AB2182" s="284"/>
      <c r="AC2182" s="284"/>
      <c r="AD2182" s="284"/>
      <c r="AE2182" s="284"/>
      <c r="AF2182" s="284"/>
      <c r="AG2182" s="284"/>
    </row>
    <row r="2183" spans="1:33" ht="26.4">
      <c r="A2183" s="284"/>
      <c r="B2183" s="284"/>
      <c r="C2183" s="284"/>
      <c r="D2183" s="284"/>
      <c r="E2183" s="284"/>
      <c r="F2183" s="284"/>
      <c r="G2183" s="284"/>
      <c r="H2183" s="284"/>
      <c r="I2183" s="284"/>
      <c r="J2183" s="375"/>
      <c r="K2183" s="375"/>
      <c r="L2183" s="375"/>
      <c r="M2183" s="368"/>
      <c r="N2183" s="368"/>
      <c r="O2183" s="370"/>
      <c r="T2183" s="349"/>
      <c r="V2183" s="378"/>
      <c r="W2183" s="64" ph="1"/>
      <c r="X2183" s="241"/>
      <c r="Y2183" s="284"/>
      <c r="Z2183" s="207"/>
      <c r="AA2183" s="284"/>
      <c r="AB2183" s="284"/>
      <c r="AC2183" s="284"/>
      <c r="AD2183" s="284"/>
      <c r="AE2183" s="284"/>
      <c r="AF2183" s="284"/>
      <c r="AG2183" s="284"/>
    </row>
    <row r="2184" spans="1:33" ht="26.4">
      <c r="A2184" s="284"/>
      <c r="B2184" s="284"/>
      <c r="C2184" s="284"/>
      <c r="D2184" s="284"/>
      <c r="E2184" s="284"/>
      <c r="F2184" s="284"/>
      <c r="G2184" s="284"/>
      <c r="H2184" s="284"/>
      <c r="I2184" s="284"/>
      <c r="J2184" s="375"/>
      <c r="K2184" s="375"/>
      <c r="L2184" s="375"/>
      <c r="M2184" s="368"/>
      <c r="N2184" s="368"/>
      <c r="O2184" s="370"/>
      <c r="T2184" s="349"/>
      <c r="V2184" s="378"/>
      <c r="W2184" s="64" ph="1"/>
      <c r="X2184" s="241"/>
      <c r="Y2184" s="284"/>
      <c r="Z2184" s="207"/>
      <c r="AA2184" s="284"/>
      <c r="AB2184" s="284"/>
      <c r="AC2184" s="284"/>
      <c r="AD2184" s="284"/>
      <c r="AE2184" s="284"/>
      <c r="AF2184" s="284"/>
      <c r="AG2184" s="284"/>
    </row>
    <row r="2185" spans="1:33" ht="26.4">
      <c r="A2185" s="284"/>
      <c r="B2185" s="284"/>
      <c r="C2185" s="284"/>
      <c r="D2185" s="284"/>
      <c r="E2185" s="284"/>
      <c r="F2185" s="284"/>
      <c r="G2185" s="284"/>
      <c r="H2185" s="284"/>
      <c r="I2185" s="284"/>
      <c r="J2185" s="375"/>
      <c r="K2185" s="375"/>
      <c r="L2185" s="375"/>
      <c r="M2185" s="368"/>
      <c r="N2185" s="368"/>
      <c r="O2185" s="370"/>
      <c r="T2185" s="349"/>
      <c r="V2185" s="378"/>
      <c r="W2185" s="64" ph="1"/>
      <c r="X2185" s="241"/>
      <c r="Y2185" s="284"/>
      <c r="Z2185" s="207"/>
      <c r="AA2185" s="284"/>
      <c r="AB2185" s="284"/>
      <c r="AC2185" s="284"/>
      <c r="AD2185" s="284"/>
      <c r="AE2185" s="284"/>
      <c r="AF2185" s="284"/>
      <c r="AG2185" s="284"/>
    </row>
    <row r="2186" spans="1:33" ht="26.4">
      <c r="A2186" s="284"/>
      <c r="B2186" s="284"/>
      <c r="C2186" s="284"/>
      <c r="D2186" s="284"/>
      <c r="E2186" s="284"/>
      <c r="F2186" s="284"/>
      <c r="G2186" s="284"/>
      <c r="H2186" s="284"/>
      <c r="I2186" s="284"/>
      <c r="J2186" s="375"/>
      <c r="K2186" s="375"/>
      <c r="L2186" s="375"/>
      <c r="M2186" s="368"/>
      <c r="N2186" s="368"/>
      <c r="O2186" s="370"/>
      <c r="T2186" s="349"/>
      <c r="V2186" s="378"/>
      <c r="W2186" s="64" ph="1"/>
      <c r="X2186" s="241"/>
      <c r="Y2186" s="284"/>
      <c r="Z2186" s="207"/>
      <c r="AA2186" s="284"/>
      <c r="AB2186" s="284"/>
      <c r="AC2186" s="284"/>
      <c r="AD2186" s="284"/>
      <c r="AE2186" s="284"/>
      <c r="AF2186" s="284"/>
      <c r="AG2186" s="284"/>
    </row>
    <row r="2187" spans="1:33" ht="26.4">
      <c r="A2187" s="284"/>
      <c r="B2187" s="284"/>
      <c r="C2187" s="284"/>
      <c r="D2187" s="284"/>
      <c r="E2187" s="284"/>
      <c r="F2187" s="284"/>
      <c r="G2187" s="284"/>
      <c r="H2187" s="284"/>
      <c r="I2187" s="284"/>
      <c r="J2187" s="375"/>
      <c r="K2187" s="375"/>
      <c r="L2187" s="375"/>
      <c r="M2187" s="368"/>
      <c r="N2187" s="368"/>
      <c r="O2187" s="370"/>
      <c r="T2187" s="349"/>
      <c r="V2187" s="378"/>
      <c r="W2187" s="64" ph="1"/>
      <c r="X2187" s="241"/>
      <c r="Y2187" s="284"/>
      <c r="Z2187" s="207"/>
      <c r="AA2187" s="284"/>
      <c r="AB2187" s="284"/>
      <c r="AC2187" s="284"/>
      <c r="AD2187" s="284"/>
      <c r="AE2187" s="284"/>
      <c r="AF2187" s="284"/>
      <c r="AG2187" s="284"/>
    </row>
    <row r="2188" spans="1:33" ht="26.4">
      <c r="A2188" s="284"/>
      <c r="B2188" s="284"/>
      <c r="C2188" s="284"/>
      <c r="D2188" s="284"/>
      <c r="E2188" s="284"/>
      <c r="F2188" s="284"/>
      <c r="G2188" s="284"/>
      <c r="H2188" s="284"/>
      <c r="I2188" s="284"/>
      <c r="J2188" s="375"/>
      <c r="K2188" s="375"/>
      <c r="L2188" s="375"/>
      <c r="M2188" s="368"/>
      <c r="N2188" s="368"/>
      <c r="O2188" s="370"/>
      <c r="T2188" s="349"/>
      <c r="V2188" s="378"/>
      <c r="W2188" s="64" ph="1"/>
      <c r="X2188" s="241"/>
      <c r="Y2188" s="284"/>
      <c r="Z2188" s="207"/>
      <c r="AA2188" s="284"/>
      <c r="AB2188" s="284"/>
      <c r="AC2188" s="284"/>
      <c r="AD2188" s="284"/>
      <c r="AE2188" s="284"/>
      <c r="AF2188" s="284"/>
      <c r="AG2188" s="284"/>
    </row>
    <row r="2189" spans="1:33" ht="26.4">
      <c r="A2189" s="284"/>
      <c r="B2189" s="284"/>
      <c r="C2189" s="284"/>
      <c r="D2189" s="284"/>
      <c r="E2189" s="284"/>
      <c r="F2189" s="284"/>
      <c r="G2189" s="284"/>
      <c r="H2189" s="284"/>
      <c r="I2189" s="284"/>
      <c r="J2189" s="375"/>
      <c r="K2189" s="375"/>
      <c r="L2189" s="375"/>
      <c r="M2189" s="368"/>
      <c r="N2189" s="368"/>
      <c r="O2189" s="370"/>
      <c r="T2189" s="349"/>
      <c r="V2189" s="378"/>
      <c r="W2189" s="64" ph="1"/>
      <c r="X2189" s="241"/>
      <c r="Y2189" s="284"/>
      <c r="Z2189" s="207"/>
      <c r="AA2189" s="284"/>
      <c r="AB2189" s="284"/>
      <c r="AC2189" s="284"/>
      <c r="AD2189" s="284"/>
      <c r="AE2189" s="284"/>
      <c r="AF2189" s="284"/>
      <c r="AG2189" s="284"/>
    </row>
    <row r="2190" spans="1:33" ht="26.4">
      <c r="A2190" s="284"/>
      <c r="B2190" s="284"/>
      <c r="C2190" s="284"/>
      <c r="D2190" s="284"/>
      <c r="E2190" s="284"/>
      <c r="F2190" s="284"/>
      <c r="G2190" s="284"/>
      <c r="H2190" s="284"/>
      <c r="I2190" s="284"/>
      <c r="J2190" s="375"/>
      <c r="K2190" s="375"/>
      <c r="L2190" s="375"/>
      <c r="M2190" s="368"/>
      <c r="N2190" s="368"/>
      <c r="O2190" s="370"/>
      <c r="T2190" s="349"/>
      <c r="V2190" s="378"/>
      <c r="W2190" s="64" ph="1"/>
      <c r="X2190" s="241"/>
      <c r="Y2190" s="284"/>
      <c r="Z2190" s="207"/>
      <c r="AA2190" s="284"/>
      <c r="AB2190" s="284"/>
      <c r="AC2190" s="284"/>
      <c r="AD2190" s="284"/>
      <c r="AE2190" s="284"/>
      <c r="AF2190" s="284"/>
      <c r="AG2190" s="284"/>
    </row>
    <row r="2191" spans="1:33" ht="26.4">
      <c r="A2191" s="284"/>
      <c r="B2191" s="284"/>
      <c r="C2191" s="284"/>
      <c r="D2191" s="284"/>
      <c r="E2191" s="284"/>
      <c r="F2191" s="284"/>
      <c r="G2191" s="284"/>
      <c r="H2191" s="284"/>
      <c r="I2191" s="284"/>
      <c r="J2191" s="375"/>
      <c r="K2191" s="375"/>
      <c r="L2191" s="375"/>
      <c r="M2191" s="368"/>
      <c r="N2191" s="368"/>
      <c r="O2191" s="370"/>
      <c r="T2191" s="349"/>
      <c r="V2191" s="378"/>
      <c r="W2191" s="64" ph="1"/>
      <c r="X2191" s="241"/>
      <c r="Y2191" s="284"/>
      <c r="Z2191" s="207"/>
      <c r="AA2191" s="284"/>
      <c r="AB2191" s="284"/>
      <c r="AC2191" s="284"/>
      <c r="AD2191" s="284"/>
      <c r="AE2191" s="284"/>
      <c r="AF2191" s="284"/>
      <c r="AG2191" s="284"/>
    </row>
    <row r="2192" spans="1:33" ht="26.4">
      <c r="A2192" s="284"/>
      <c r="B2192" s="284"/>
      <c r="C2192" s="284"/>
      <c r="D2192" s="284"/>
      <c r="E2192" s="284"/>
      <c r="F2192" s="284"/>
      <c r="G2192" s="284"/>
      <c r="H2192" s="284"/>
      <c r="I2192" s="284"/>
      <c r="J2192" s="375"/>
      <c r="K2192" s="375"/>
      <c r="L2192" s="375"/>
      <c r="M2192" s="368"/>
      <c r="N2192" s="368"/>
      <c r="O2192" s="370"/>
      <c r="T2192" s="349"/>
      <c r="V2192" s="378"/>
      <c r="W2192" s="64" ph="1"/>
      <c r="X2192" s="241"/>
      <c r="Y2192" s="284"/>
      <c r="Z2192" s="207"/>
      <c r="AA2192" s="284"/>
      <c r="AB2192" s="284"/>
      <c r="AC2192" s="284"/>
      <c r="AD2192" s="284"/>
      <c r="AE2192" s="284"/>
      <c r="AF2192" s="284"/>
      <c r="AG2192" s="284"/>
    </row>
    <row r="2193" spans="1:33" ht="26.4">
      <c r="A2193" s="284"/>
      <c r="B2193" s="284"/>
      <c r="C2193" s="284"/>
      <c r="D2193" s="284"/>
      <c r="E2193" s="284"/>
      <c r="F2193" s="284"/>
      <c r="G2193" s="284"/>
      <c r="H2193" s="284"/>
      <c r="I2193" s="284"/>
      <c r="J2193" s="375"/>
      <c r="K2193" s="375"/>
      <c r="L2193" s="375"/>
      <c r="M2193" s="368"/>
      <c r="N2193" s="368"/>
      <c r="O2193" s="370"/>
      <c r="T2193" s="349"/>
      <c r="V2193" s="378"/>
      <c r="W2193" s="64" ph="1"/>
      <c r="X2193" s="241"/>
      <c r="Y2193" s="284"/>
      <c r="Z2193" s="207"/>
      <c r="AA2193" s="284"/>
      <c r="AB2193" s="284"/>
      <c r="AC2193" s="284"/>
      <c r="AD2193" s="284"/>
      <c r="AE2193" s="284"/>
      <c r="AF2193" s="284"/>
      <c r="AG2193" s="284"/>
    </row>
    <row r="2194" spans="1:33" ht="26.4">
      <c r="A2194" s="284"/>
      <c r="B2194" s="284"/>
      <c r="C2194" s="284"/>
      <c r="D2194" s="284"/>
      <c r="E2194" s="284"/>
      <c r="F2194" s="284"/>
      <c r="G2194" s="284"/>
      <c r="H2194" s="284"/>
      <c r="I2194" s="284"/>
      <c r="J2194" s="375"/>
      <c r="K2194" s="375"/>
      <c r="L2194" s="375"/>
      <c r="M2194" s="368"/>
      <c r="N2194" s="368"/>
      <c r="O2194" s="370"/>
      <c r="T2194" s="349"/>
      <c r="V2194" s="378"/>
      <c r="W2194" s="64" ph="1"/>
      <c r="X2194" s="241"/>
      <c r="Y2194" s="284"/>
      <c r="Z2194" s="207"/>
      <c r="AA2194" s="284"/>
      <c r="AB2194" s="284"/>
      <c r="AC2194" s="284"/>
      <c r="AD2194" s="284"/>
      <c r="AE2194" s="284"/>
      <c r="AF2194" s="284"/>
      <c r="AG2194" s="284"/>
    </row>
    <row r="2195" spans="1:33" ht="26.4">
      <c r="A2195" s="284"/>
      <c r="B2195" s="284"/>
      <c r="C2195" s="284"/>
      <c r="D2195" s="284"/>
      <c r="E2195" s="284"/>
      <c r="F2195" s="284"/>
      <c r="G2195" s="284"/>
      <c r="H2195" s="284"/>
      <c r="I2195" s="284"/>
      <c r="J2195" s="375"/>
      <c r="K2195" s="375"/>
      <c r="L2195" s="375"/>
      <c r="M2195" s="368"/>
      <c r="N2195" s="368"/>
      <c r="O2195" s="370"/>
      <c r="T2195" s="349"/>
      <c r="V2195" s="378"/>
      <c r="W2195" s="64" ph="1"/>
      <c r="X2195" s="241"/>
      <c r="Y2195" s="284"/>
      <c r="Z2195" s="207"/>
      <c r="AA2195" s="284"/>
      <c r="AB2195" s="284"/>
      <c r="AC2195" s="284"/>
      <c r="AD2195" s="284"/>
      <c r="AE2195" s="284"/>
      <c r="AF2195" s="284"/>
      <c r="AG2195" s="284"/>
    </row>
    <row r="2196" spans="1:33" ht="26.4">
      <c r="A2196" s="284"/>
      <c r="B2196" s="284"/>
      <c r="C2196" s="284"/>
      <c r="D2196" s="284"/>
      <c r="E2196" s="284"/>
      <c r="F2196" s="284"/>
      <c r="G2196" s="284"/>
      <c r="H2196" s="284"/>
      <c r="I2196" s="284"/>
      <c r="J2196" s="375"/>
      <c r="K2196" s="375"/>
      <c r="L2196" s="375"/>
      <c r="M2196" s="368"/>
      <c r="N2196" s="368"/>
      <c r="O2196" s="370"/>
      <c r="T2196" s="349"/>
      <c r="V2196" s="378"/>
      <c r="W2196" s="64" ph="1"/>
      <c r="X2196" s="241"/>
      <c r="Y2196" s="284"/>
      <c r="Z2196" s="207"/>
      <c r="AA2196" s="284"/>
      <c r="AB2196" s="284"/>
      <c r="AC2196" s="284"/>
      <c r="AD2196" s="284"/>
      <c r="AE2196" s="284"/>
      <c r="AF2196" s="284"/>
      <c r="AG2196" s="284"/>
    </row>
    <row r="2197" spans="1:33" ht="26.4">
      <c r="A2197" s="284"/>
      <c r="B2197" s="284"/>
      <c r="C2197" s="284"/>
      <c r="D2197" s="284"/>
      <c r="E2197" s="284"/>
      <c r="F2197" s="284"/>
      <c r="G2197" s="284"/>
      <c r="H2197" s="284"/>
      <c r="I2197" s="284"/>
      <c r="J2197" s="375"/>
      <c r="K2197" s="375"/>
      <c r="L2197" s="375"/>
      <c r="M2197" s="368"/>
      <c r="N2197" s="368"/>
      <c r="O2197" s="370"/>
      <c r="T2197" s="349"/>
      <c r="V2197" s="378"/>
      <c r="W2197" s="64" ph="1"/>
      <c r="X2197" s="241"/>
      <c r="Y2197" s="284"/>
      <c r="Z2197" s="207"/>
      <c r="AA2197" s="284"/>
      <c r="AB2197" s="284"/>
      <c r="AC2197" s="284"/>
      <c r="AD2197" s="284"/>
      <c r="AE2197" s="284"/>
      <c r="AF2197" s="284"/>
      <c r="AG2197" s="284"/>
    </row>
    <row r="2198" spans="1:33" ht="26.4">
      <c r="A2198" s="284"/>
      <c r="B2198" s="284"/>
      <c r="C2198" s="284"/>
      <c r="D2198" s="284"/>
      <c r="E2198" s="284"/>
      <c r="F2198" s="284"/>
      <c r="G2198" s="284"/>
      <c r="H2198" s="284"/>
      <c r="I2198" s="284"/>
      <c r="J2198" s="375"/>
      <c r="K2198" s="375"/>
      <c r="L2198" s="375"/>
      <c r="M2198" s="368"/>
      <c r="N2198" s="368"/>
      <c r="O2198" s="370"/>
      <c r="T2198" s="349"/>
      <c r="V2198" s="378"/>
      <c r="W2198" s="64" ph="1"/>
      <c r="X2198" s="241"/>
      <c r="Y2198" s="284"/>
      <c r="Z2198" s="207"/>
      <c r="AA2198" s="284"/>
      <c r="AB2198" s="284"/>
      <c r="AC2198" s="284"/>
      <c r="AD2198" s="284"/>
      <c r="AE2198" s="284"/>
      <c r="AF2198" s="284"/>
      <c r="AG2198" s="284"/>
    </row>
    <row r="2199" spans="1:33" ht="26.4">
      <c r="A2199" s="284"/>
      <c r="B2199" s="284"/>
      <c r="C2199" s="284"/>
      <c r="D2199" s="284"/>
      <c r="E2199" s="284"/>
      <c r="F2199" s="284"/>
      <c r="G2199" s="284"/>
      <c r="H2199" s="284"/>
      <c r="I2199" s="284"/>
      <c r="J2199" s="375"/>
      <c r="K2199" s="375"/>
      <c r="L2199" s="375"/>
      <c r="M2199" s="368"/>
      <c r="N2199" s="368"/>
      <c r="O2199" s="370"/>
      <c r="T2199" s="349"/>
      <c r="V2199" s="378"/>
      <c r="W2199" s="64" ph="1"/>
      <c r="X2199" s="241"/>
      <c r="Y2199" s="284"/>
      <c r="Z2199" s="207"/>
      <c r="AA2199" s="284"/>
      <c r="AB2199" s="284"/>
      <c r="AC2199" s="284"/>
      <c r="AD2199" s="284"/>
      <c r="AE2199" s="284"/>
      <c r="AF2199" s="284"/>
      <c r="AG2199" s="284"/>
    </row>
    <row r="2200" spans="1:33" ht="26.4">
      <c r="A2200" s="284"/>
      <c r="B2200" s="284"/>
      <c r="C2200" s="284"/>
      <c r="D2200" s="284"/>
      <c r="E2200" s="284"/>
      <c r="F2200" s="284"/>
      <c r="G2200" s="284"/>
      <c r="H2200" s="284"/>
      <c r="I2200" s="284"/>
      <c r="J2200" s="375"/>
      <c r="K2200" s="375"/>
      <c r="L2200" s="375"/>
      <c r="M2200" s="368"/>
      <c r="N2200" s="368"/>
      <c r="O2200" s="370"/>
      <c r="T2200" s="349"/>
      <c r="V2200" s="378"/>
      <c r="W2200" s="64" ph="1"/>
      <c r="X2200" s="241"/>
      <c r="Y2200" s="284"/>
      <c r="Z2200" s="207"/>
      <c r="AA2200" s="284"/>
      <c r="AB2200" s="284"/>
      <c r="AC2200" s="284"/>
      <c r="AD2200" s="284"/>
      <c r="AE2200" s="284"/>
      <c r="AF2200" s="284"/>
      <c r="AG2200" s="284"/>
    </row>
    <row r="2201" spans="1:33" ht="26.4">
      <c r="A2201" s="284"/>
      <c r="B2201" s="284"/>
      <c r="C2201" s="284"/>
      <c r="D2201" s="284"/>
      <c r="E2201" s="284"/>
      <c r="F2201" s="284"/>
      <c r="G2201" s="284"/>
      <c r="H2201" s="284"/>
      <c r="I2201" s="284"/>
      <c r="J2201" s="375"/>
      <c r="K2201" s="375"/>
      <c r="L2201" s="375"/>
      <c r="M2201" s="368"/>
      <c r="N2201" s="368"/>
      <c r="O2201" s="370"/>
      <c r="T2201" s="349"/>
      <c r="V2201" s="378"/>
      <c r="W2201" s="64" ph="1"/>
      <c r="X2201" s="241"/>
      <c r="Y2201" s="284"/>
      <c r="Z2201" s="207"/>
      <c r="AA2201" s="284"/>
      <c r="AB2201" s="284"/>
      <c r="AC2201" s="284"/>
      <c r="AD2201" s="284"/>
      <c r="AE2201" s="284"/>
      <c r="AF2201" s="284"/>
      <c r="AG2201" s="284"/>
    </row>
    <row r="2202" spans="1:33" ht="26.4">
      <c r="A2202" s="284"/>
      <c r="B2202" s="284"/>
      <c r="C2202" s="284"/>
      <c r="D2202" s="284"/>
      <c r="E2202" s="284"/>
      <c r="F2202" s="284"/>
      <c r="G2202" s="284"/>
      <c r="H2202" s="284"/>
      <c r="I2202" s="284"/>
      <c r="J2202" s="375"/>
      <c r="K2202" s="375"/>
      <c r="L2202" s="375"/>
      <c r="M2202" s="368"/>
      <c r="N2202" s="368"/>
      <c r="O2202" s="370"/>
      <c r="T2202" s="349"/>
      <c r="V2202" s="378"/>
      <c r="W2202" s="64" ph="1"/>
      <c r="X2202" s="241"/>
      <c r="Y2202" s="284"/>
      <c r="Z2202" s="207"/>
      <c r="AA2202" s="284"/>
      <c r="AB2202" s="284"/>
      <c r="AC2202" s="284"/>
      <c r="AD2202" s="284"/>
      <c r="AE2202" s="284"/>
      <c r="AF2202" s="284"/>
      <c r="AG2202" s="284"/>
    </row>
    <row r="2203" spans="1:33" ht="26.4">
      <c r="A2203" s="284"/>
      <c r="B2203" s="284"/>
      <c r="C2203" s="284"/>
      <c r="D2203" s="284"/>
      <c r="E2203" s="284"/>
      <c r="F2203" s="284"/>
      <c r="G2203" s="284"/>
      <c r="H2203" s="284"/>
      <c r="I2203" s="284"/>
      <c r="J2203" s="375"/>
      <c r="K2203" s="375"/>
      <c r="L2203" s="375"/>
      <c r="M2203" s="368"/>
      <c r="N2203" s="368"/>
      <c r="O2203" s="370"/>
      <c r="T2203" s="349"/>
      <c r="V2203" s="378"/>
      <c r="W2203" s="64" ph="1"/>
      <c r="X2203" s="241"/>
      <c r="Y2203" s="284"/>
      <c r="Z2203" s="207"/>
      <c r="AA2203" s="284"/>
      <c r="AB2203" s="284"/>
      <c r="AC2203" s="284"/>
      <c r="AD2203" s="284"/>
      <c r="AE2203" s="284"/>
      <c r="AF2203" s="284"/>
      <c r="AG2203" s="284"/>
    </row>
    <row r="2204" spans="1:33" ht="26.4">
      <c r="A2204" s="284"/>
      <c r="B2204" s="284"/>
      <c r="C2204" s="284"/>
      <c r="D2204" s="284"/>
      <c r="E2204" s="284"/>
      <c r="F2204" s="284"/>
      <c r="G2204" s="284"/>
      <c r="H2204" s="284"/>
      <c r="I2204" s="284"/>
      <c r="J2204" s="375"/>
      <c r="K2204" s="375"/>
      <c r="L2204" s="375"/>
      <c r="M2204" s="368"/>
      <c r="N2204" s="368"/>
      <c r="O2204" s="370"/>
      <c r="T2204" s="349"/>
      <c r="V2204" s="378"/>
      <c r="W2204" s="64" ph="1"/>
      <c r="X2204" s="241"/>
      <c r="Y2204" s="284"/>
      <c r="Z2204" s="207"/>
      <c r="AA2204" s="284"/>
      <c r="AB2204" s="284"/>
      <c r="AC2204" s="284"/>
      <c r="AD2204" s="284"/>
      <c r="AE2204" s="284"/>
      <c r="AF2204" s="284"/>
      <c r="AG2204" s="284"/>
    </row>
    <row r="2205" spans="1:33" ht="26.4">
      <c r="A2205" s="284"/>
      <c r="B2205" s="284"/>
      <c r="C2205" s="284"/>
      <c r="D2205" s="284"/>
      <c r="E2205" s="284"/>
      <c r="F2205" s="284"/>
      <c r="G2205" s="284"/>
      <c r="H2205" s="284"/>
      <c r="I2205" s="284"/>
      <c r="J2205" s="375"/>
      <c r="K2205" s="375"/>
      <c r="L2205" s="375"/>
      <c r="M2205" s="368"/>
      <c r="N2205" s="368"/>
      <c r="O2205" s="370"/>
      <c r="T2205" s="349"/>
      <c r="V2205" s="378"/>
      <c r="W2205" s="64" ph="1"/>
      <c r="X2205" s="241"/>
      <c r="Y2205" s="284"/>
      <c r="Z2205" s="207"/>
      <c r="AA2205" s="284"/>
      <c r="AB2205" s="284"/>
      <c r="AC2205" s="284"/>
      <c r="AD2205" s="284"/>
      <c r="AE2205" s="284"/>
      <c r="AF2205" s="284"/>
      <c r="AG2205" s="284"/>
    </row>
    <row r="2206" spans="1:33" ht="26.4">
      <c r="A2206" s="284"/>
      <c r="B2206" s="284"/>
      <c r="C2206" s="284"/>
      <c r="D2206" s="284"/>
      <c r="E2206" s="284"/>
      <c r="F2206" s="284"/>
      <c r="G2206" s="284"/>
      <c r="H2206" s="284"/>
      <c r="I2206" s="284"/>
      <c r="J2206" s="375"/>
      <c r="K2206" s="375"/>
      <c r="L2206" s="375"/>
      <c r="M2206" s="368"/>
      <c r="N2206" s="368"/>
      <c r="O2206" s="370"/>
      <c r="T2206" s="349"/>
      <c r="V2206" s="378"/>
      <c r="W2206" s="64" ph="1"/>
      <c r="X2206" s="241"/>
      <c r="Y2206" s="284"/>
      <c r="Z2206" s="207"/>
      <c r="AA2206" s="284"/>
      <c r="AB2206" s="284"/>
      <c r="AC2206" s="284"/>
      <c r="AD2206" s="284"/>
      <c r="AE2206" s="284"/>
      <c r="AF2206" s="284"/>
      <c r="AG2206" s="284"/>
    </row>
    <row r="2207" spans="1:33" ht="26.4">
      <c r="A2207" s="284"/>
      <c r="B2207" s="284"/>
      <c r="C2207" s="284"/>
      <c r="D2207" s="284"/>
      <c r="E2207" s="284"/>
      <c r="F2207" s="284"/>
      <c r="G2207" s="284"/>
      <c r="H2207" s="284"/>
      <c r="I2207" s="284"/>
      <c r="J2207" s="375"/>
      <c r="K2207" s="375"/>
      <c r="L2207" s="375"/>
      <c r="M2207" s="368"/>
      <c r="N2207" s="368"/>
      <c r="O2207" s="370"/>
      <c r="T2207" s="349"/>
      <c r="V2207" s="378"/>
      <c r="W2207" s="64" ph="1"/>
      <c r="X2207" s="241"/>
      <c r="Y2207" s="284"/>
      <c r="Z2207" s="207"/>
      <c r="AA2207" s="284"/>
      <c r="AB2207" s="284"/>
      <c r="AC2207" s="284"/>
      <c r="AD2207" s="284"/>
      <c r="AE2207" s="284"/>
      <c r="AF2207" s="284"/>
      <c r="AG2207" s="284"/>
    </row>
    <row r="2208" spans="1:33" ht="26.4">
      <c r="A2208" s="284"/>
      <c r="B2208" s="284"/>
      <c r="C2208" s="284"/>
      <c r="D2208" s="284"/>
      <c r="E2208" s="284"/>
      <c r="F2208" s="284"/>
      <c r="G2208" s="284"/>
      <c r="H2208" s="284"/>
      <c r="I2208" s="284"/>
      <c r="J2208" s="375"/>
      <c r="K2208" s="375"/>
      <c r="L2208" s="375"/>
      <c r="M2208" s="368"/>
      <c r="N2208" s="368"/>
      <c r="O2208" s="370"/>
      <c r="T2208" s="349"/>
      <c r="V2208" s="378"/>
      <c r="W2208" s="64" ph="1"/>
      <c r="X2208" s="241"/>
      <c r="Y2208" s="284"/>
      <c r="Z2208" s="207"/>
      <c r="AA2208" s="284"/>
      <c r="AB2208" s="284"/>
      <c r="AC2208" s="284"/>
      <c r="AD2208" s="284"/>
      <c r="AE2208" s="284"/>
      <c r="AF2208" s="284"/>
      <c r="AG2208" s="284"/>
    </row>
    <row r="2209" spans="1:33" ht="26.4">
      <c r="A2209" s="284"/>
      <c r="B2209" s="284"/>
      <c r="C2209" s="284"/>
      <c r="D2209" s="284"/>
      <c r="E2209" s="284"/>
      <c r="F2209" s="284"/>
      <c r="G2209" s="284"/>
      <c r="H2209" s="284"/>
      <c r="I2209" s="284"/>
      <c r="J2209" s="375"/>
      <c r="K2209" s="375"/>
      <c r="L2209" s="375"/>
      <c r="M2209" s="368"/>
      <c r="N2209" s="368"/>
      <c r="O2209" s="370"/>
      <c r="T2209" s="349"/>
      <c r="V2209" s="378"/>
      <c r="W2209" s="64" ph="1"/>
      <c r="X2209" s="241"/>
      <c r="Y2209" s="284"/>
      <c r="Z2209" s="207"/>
      <c r="AA2209" s="284"/>
      <c r="AB2209" s="284"/>
      <c r="AC2209" s="284"/>
      <c r="AD2209" s="284"/>
      <c r="AE2209" s="284"/>
      <c r="AF2209" s="284"/>
      <c r="AG2209" s="284"/>
    </row>
    <row r="2210" spans="1:33" ht="26.4">
      <c r="A2210" s="284"/>
      <c r="B2210" s="284"/>
      <c r="C2210" s="284"/>
      <c r="D2210" s="284"/>
      <c r="E2210" s="284"/>
      <c r="F2210" s="284"/>
      <c r="G2210" s="284"/>
      <c r="H2210" s="284"/>
      <c r="I2210" s="284"/>
      <c r="J2210" s="375"/>
      <c r="K2210" s="375"/>
      <c r="L2210" s="375"/>
      <c r="M2210" s="368"/>
      <c r="N2210" s="368"/>
      <c r="O2210" s="370"/>
      <c r="T2210" s="349"/>
      <c r="V2210" s="378"/>
      <c r="W2210" s="64" ph="1"/>
      <c r="X2210" s="241"/>
      <c r="Y2210" s="284"/>
      <c r="Z2210" s="207"/>
      <c r="AA2210" s="284"/>
      <c r="AB2210" s="284"/>
      <c r="AC2210" s="284"/>
      <c r="AD2210" s="284"/>
      <c r="AE2210" s="284"/>
      <c r="AF2210" s="284"/>
      <c r="AG2210" s="284"/>
    </row>
    <row r="2211" spans="1:33" ht="26.4">
      <c r="A2211" s="284"/>
      <c r="B2211" s="284"/>
      <c r="C2211" s="284"/>
      <c r="D2211" s="284"/>
      <c r="E2211" s="284"/>
      <c r="F2211" s="284"/>
      <c r="G2211" s="284"/>
      <c r="H2211" s="284"/>
      <c r="I2211" s="284"/>
      <c r="J2211" s="375"/>
      <c r="K2211" s="375"/>
      <c r="L2211" s="375"/>
      <c r="M2211" s="368"/>
      <c r="N2211" s="368"/>
      <c r="O2211" s="370"/>
      <c r="T2211" s="349"/>
      <c r="V2211" s="378"/>
      <c r="W2211" s="64" ph="1"/>
      <c r="X2211" s="241"/>
      <c r="Y2211" s="284"/>
      <c r="Z2211" s="207"/>
      <c r="AA2211" s="284"/>
      <c r="AB2211" s="284"/>
      <c r="AC2211" s="284"/>
      <c r="AD2211" s="284"/>
      <c r="AE2211" s="284"/>
      <c r="AF2211" s="284"/>
      <c r="AG2211" s="284"/>
    </row>
    <row r="2212" spans="1:33" ht="26.4">
      <c r="A2212" s="284"/>
      <c r="B2212" s="284"/>
      <c r="C2212" s="284"/>
      <c r="D2212" s="284"/>
      <c r="E2212" s="284"/>
      <c r="F2212" s="284"/>
      <c r="G2212" s="284"/>
      <c r="H2212" s="284"/>
      <c r="I2212" s="284"/>
      <c r="J2212" s="375"/>
      <c r="K2212" s="375"/>
      <c r="L2212" s="375"/>
      <c r="M2212" s="368"/>
      <c r="N2212" s="368"/>
      <c r="O2212" s="370"/>
      <c r="T2212" s="349"/>
      <c r="V2212" s="378"/>
      <c r="W2212" s="64" ph="1"/>
      <c r="X2212" s="241"/>
      <c r="Y2212" s="284"/>
      <c r="Z2212" s="207"/>
      <c r="AA2212" s="284"/>
      <c r="AB2212" s="284"/>
      <c r="AC2212" s="284"/>
      <c r="AD2212" s="284"/>
      <c r="AE2212" s="284"/>
      <c r="AF2212" s="284"/>
      <c r="AG2212" s="284"/>
    </row>
    <row r="2213" spans="1:33" ht="26.4">
      <c r="A2213" s="284"/>
      <c r="B2213" s="284"/>
      <c r="C2213" s="284"/>
      <c r="D2213" s="284"/>
      <c r="E2213" s="284"/>
      <c r="F2213" s="284"/>
      <c r="G2213" s="284"/>
      <c r="H2213" s="284"/>
      <c r="I2213" s="284"/>
      <c r="J2213" s="375"/>
      <c r="K2213" s="375"/>
      <c r="L2213" s="375"/>
      <c r="M2213" s="368"/>
      <c r="N2213" s="368"/>
      <c r="O2213" s="370"/>
      <c r="T2213" s="349"/>
      <c r="V2213" s="378"/>
      <c r="W2213" s="64" ph="1"/>
      <c r="X2213" s="241"/>
      <c r="Y2213" s="284"/>
      <c r="Z2213" s="207"/>
      <c r="AA2213" s="284"/>
      <c r="AB2213" s="284"/>
      <c r="AC2213" s="284"/>
      <c r="AD2213" s="284"/>
      <c r="AE2213" s="284"/>
      <c r="AF2213" s="284"/>
      <c r="AG2213" s="284"/>
    </row>
    <row r="2214" spans="1:33" ht="26.4">
      <c r="A2214" s="284"/>
      <c r="B2214" s="284"/>
      <c r="C2214" s="284"/>
      <c r="D2214" s="284"/>
      <c r="E2214" s="284"/>
      <c r="F2214" s="284"/>
      <c r="G2214" s="284"/>
      <c r="H2214" s="284"/>
      <c r="I2214" s="284"/>
      <c r="J2214" s="375"/>
      <c r="K2214" s="375"/>
      <c r="L2214" s="375"/>
      <c r="M2214" s="368"/>
      <c r="N2214" s="368"/>
      <c r="O2214" s="370"/>
      <c r="T2214" s="349"/>
      <c r="V2214" s="378"/>
      <c r="W2214" s="64" ph="1"/>
      <c r="X2214" s="241"/>
      <c r="Y2214" s="284"/>
      <c r="Z2214" s="207"/>
      <c r="AA2214" s="284"/>
      <c r="AB2214" s="284"/>
      <c r="AC2214" s="284"/>
      <c r="AD2214" s="284"/>
      <c r="AE2214" s="284"/>
      <c r="AF2214" s="284"/>
      <c r="AG2214" s="284"/>
    </row>
    <row r="2215" spans="1:33" ht="26.4">
      <c r="A2215" s="284"/>
      <c r="B2215" s="284"/>
      <c r="C2215" s="284"/>
      <c r="D2215" s="284"/>
      <c r="E2215" s="284"/>
      <c r="F2215" s="284"/>
      <c r="G2215" s="284"/>
      <c r="H2215" s="284"/>
      <c r="I2215" s="284"/>
      <c r="J2215" s="375"/>
      <c r="K2215" s="375"/>
      <c r="L2215" s="375"/>
      <c r="M2215" s="368"/>
      <c r="N2215" s="368"/>
      <c r="O2215" s="370"/>
      <c r="T2215" s="349"/>
      <c r="V2215" s="378"/>
      <c r="W2215" s="64" ph="1"/>
      <c r="X2215" s="241"/>
      <c r="Y2215" s="284"/>
      <c r="Z2215" s="207"/>
      <c r="AA2215" s="284"/>
      <c r="AB2215" s="284"/>
      <c r="AC2215" s="284"/>
      <c r="AD2215" s="284"/>
      <c r="AE2215" s="284"/>
      <c r="AF2215" s="284"/>
      <c r="AG2215" s="284"/>
    </row>
    <row r="2216" spans="1:33" ht="26.4">
      <c r="A2216" s="284"/>
      <c r="B2216" s="284"/>
      <c r="C2216" s="284"/>
      <c r="D2216" s="284"/>
      <c r="E2216" s="284"/>
      <c r="F2216" s="284"/>
      <c r="G2216" s="284"/>
      <c r="H2216" s="284"/>
      <c r="I2216" s="284"/>
      <c r="J2216" s="375"/>
      <c r="K2216" s="375"/>
      <c r="L2216" s="375"/>
      <c r="M2216" s="368"/>
      <c r="N2216" s="368"/>
      <c r="O2216" s="370"/>
      <c r="T2216" s="349"/>
      <c r="V2216" s="378"/>
      <c r="W2216" s="64" ph="1"/>
      <c r="X2216" s="241"/>
      <c r="Y2216" s="284"/>
      <c r="Z2216" s="207"/>
      <c r="AA2216" s="284"/>
      <c r="AB2216" s="284"/>
      <c r="AC2216" s="284"/>
      <c r="AD2216" s="284"/>
      <c r="AE2216" s="284"/>
      <c r="AF2216" s="284"/>
      <c r="AG2216" s="284"/>
    </row>
    <row r="2217" spans="1:33" ht="26.4">
      <c r="A2217" s="284"/>
      <c r="B2217" s="284"/>
      <c r="C2217" s="284"/>
      <c r="D2217" s="284"/>
      <c r="E2217" s="284"/>
      <c r="F2217" s="284"/>
      <c r="G2217" s="284"/>
      <c r="H2217" s="284"/>
      <c r="I2217" s="284"/>
      <c r="J2217" s="375"/>
      <c r="K2217" s="375"/>
      <c r="L2217" s="375"/>
      <c r="M2217" s="368"/>
      <c r="N2217" s="368"/>
      <c r="O2217" s="370"/>
      <c r="T2217" s="349"/>
      <c r="V2217" s="378"/>
      <c r="W2217" s="64" ph="1"/>
      <c r="X2217" s="241"/>
      <c r="Y2217" s="284"/>
      <c r="Z2217" s="207"/>
      <c r="AA2217" s="284"/>
      <c r="AB2217" s="284"/>
      <c r="AC2217" s="284"/>
      <c r="AD2217" s="284"/>
      <c r="AE2217" s="284"/>
      <c r="AF2217" s="284"/>
      <c r="AG2217" s="284"/>
    </row>
    <row r="2218" spans="1:33" ht="26.4">
      <c r="A2218" s="284"/>
      <c r="B2218" s="284"/>
      <c r="C2218" s="284"/>
      <c r="D2218" s="284"/>
      <c r="E2218" s="284"/>
      <c r="F2218" s="284"/>
      <c r="G2218" s="284"/>
      <c r="H2218" s="284"/>
      <c r="I2218" s="284"/>
      <c r="J2218" s="375"/>
      <c r="K2218" s="375"/>
      <c r="L2218" s="375"/>
      <c r="M2218" s="368"/>
      <c r="N2218" s="368"/>
      <c r="O2218" s="370"/>
      <c r="T2218" s="349"/>
      <c r="V2218" s="378"/>
      <c r="W2218" s="64" ph="1"/>
      <c r="X2218" s="241"/>
      <c r="Y2218" s="284"/>
      <c r="Z2218" s="207"/>
      <c r="AA2218" s="284"/>
      <c r="AB2218" s="284"/>
      <c r="AC2218" s="284"/>
      <c r="AD2218" s="284"/>
      <c r="AE2218" s="284"/>
      <c r="AF2218" s="284"/>
      <c r="AG2218" s="284"/>
    </row>
    <row r="2219" spans="1:33" ht="26.4">
      <c r="A2219" s="284"/>
      <c r="B2219" s="284"/>
      <c r="C2219" s="284"/>
      <c r="D2219" s="284"/>
      <c r="E2219" s="284"/>
      <c r="F2219" s="284"/>
      <c r="G2219" s="284"/>
      <c r="H2219" s="284"/>
      <c r="I2219" s="284"/>
      <c r="J2219" s="375"/>
      <c r="K2219" s="375"/>
      <c r="L2219" s="375"/>
      <c r="M2219" s="368"/>
      <c r="N2219" s="368"/>
      <c r="O2219" s="370"/>
      <c r="T2219" s="349"/>
      <c r="V2219" s="378"/>
      <c r="W2219" s="64" ph="1"/>
      <c r="X2219" s="241"/>
      <c r="Y2219" s="284"/>
      <c r="Z2219" s="207"/>
      <c r="AA2219" s="284"/>
      <c r="AB2219" s="284"/>
      <c r="AC2219" s="284"/>
      <c r="AD2219" s="284"/>
      <c r="AE2219" s="284"/>
      <c r="AF2219" s="284"/>
      <c r="AG2219" s="284"/>
    </row>
    <row r="2220" spans="1:33" ht="26.4">
      <c r="A2220" s="284"/>
      <c r="B2220" s="284"/>
      <c r="C2220" s="284"/>
      <c r="D2220" s="284"/>
      <c r="E2220" s="284"/>
      <c r="F2220" s="284"/>
      <c r="G2220" s="284"/>
      <c r="H2220" s="284"/>
      <c r="I2220" s="284"/>
      <c r="J2220" s="375"/>
      <c r="K2220" s="375"/>
      <c r="L2220" s="375"/>
      <c r="M2220" s="368"/>
      <c r="N2220" s="368"/>
      <c r="O2220" s="370"/>
      <c r="T2220" s="349"/>
      <c r="V2220" s="378"/>
      <c r="W2220" s="64" ph="1"/>
      <c r="X2220" s="241"/>
      <c r="Y2220" s="284"/>
      <c r="Z2220" s="207"/>
      <c r="AA2220" s="284"/>
      <c r="AB2220" s="284"/>
      <c r="AC2220" s="284"/>
      <c r="AD2220" s="284"/>
      <c r="AE2220" s="284"/>
      <c r="AF2220" s="284"/>
      <c r="AG2220" s="284"/>
    </row>
    <row r="2221" spans="1:33" ht="26.4">
      <c r="A2221" s="284"/>
      <c r="B2221" s="284"/>
      <c r="C2221" s="284"/>
      <c r="D2221" s="284"/>
      <c r="E2221" s="284"/>
      <c r="F2221" s="284"/>
      <c r="G2221" s="284"/>
      <c r="H2221" s="284"/>
      <c r="I2221" s="284"/>
      <c r="J2221" s="375"/>
      <c r="K2221" s="375"/>
      <c r="L2221" s="375"/>
      <c r="M2221" s="368"/>
      <c r="N2221" s="368"/>
      <c r="O2221" s="370"/>
      <c r="T2221" s="349"/>
      <c r="V2221" s="378"/>
      <c r="W2221" s="64" ph="1"/>
      <c r="X2221" s="241"/>
      <c r="Y2221" s="284"/>
      <c r="Z2221" s="207"/>
      <c r="AA2221" s="284"/>
      <c r="AB2221" s="284"/>
      <c r="AC2221" s="284"/>
      <c r="AD2221" s="284"/>
      <c r="AE2221" s="284"/>
      <c r="AF2221" s="284"/>
      <c r="AG2221" s="284"/>
    </row>
    <row r="2222" spans="1:33" ht="26.4">
      <c r="A2222" s="284"/>
      <c r="B2222" s="284"/>
      <c r="C2222" s="284"/>
      <c r="D2222" s="284"/>
      <c r="E2222" s="284"/>
      <c r="F2222" s="284"/>
      <c r="G2222" s="284"/>
      <c r="H2222" s="284"/>
      <c r="I2222" s="284"/>
      <c r="J2222" s="375"/>
      <c r="K2222" s="375"/>
      <c r="L2222" s="375"/>
      <c r="M2222" s="368"/>
      <c r="N2222" s="368"/>
      <c r="O2222" s="370"/>
      <c r="T2222" s="349"/>
      <c r="V2222" s="378"/>
      <c r="W2222" s="64" ph="1"/>
      <c r="X2222" s="241"/>
      <c r="Y2222" s="284"/>
      <c r="Z2222" s="207"/>
      <c r="AA2222" s="284"/>
      <c r="AB2222" s="284"/>
      <c r="AC2222" s="284"/>
      <c r="AD2222" s="284"/>
      <c r="AE2222" s="284"/>
      <c r="AF2222" s="284"/>
      <c r="AG2222" s="284"/>
    </row>
    <row r="2223" spans="1:33" ht="26.4">
      <c r="A2223" s="284"/>
      <c r="B2223" s="284"/>
      <c r="C2223" s="284"/>
      <c r="D2223" s="284"/>
      <c r="E2223" s="284"/>
      <c r="F2223" s="284"/>
      <c r="G2223" s="284"/>
      <c r="H2223" s="284"/>
      <c r="I2223" s="284"/>
      <c r="J2223" s="375"/>
      <c r="K2223" s="375"/>
      <c r="L2223" s="375"/>
      <c r="M2223" s="368"/>
      <c r="N2223" s="368"/>
      <c r="O2223" s="370"/>
      <c r="T2223" s="349"/>
      <c r="V2223" s="378"/>
      <c r="W2223" s="64" ph="1"/>
      <c r="X2223" s="241"/>
      <c r="Y2223" s="284"/>
      <c r="Z2223" s="207"/>
      <c r="AA2223" s="284"/>
      <c r="AB2223" s="284"/>
      <c r="AC2223" s="284"/>
      <c r="AD2223" s="284"/>
      <c r="AE2223" s="284"/>
      <c r="AF2223" s="284"/>
      <c r="AG2223" s="284"/>
    </row>
    <row r="2224" spans="1:33" ht="26.4">
      <c r="A2224" s="284"/>
      <c r="B2224" s="284"/>
      <c r="C2224" s="284"/>
      <c r="D2224" s="284"/>
      <c r="E2224" s="284"/>
      <c r="F2224" s="284"/>
      <c r="G2224" s="284"/>
      <c r="H2224" s="284"/>
      <c r="I2224" s="284"/>
      <c r="J2224" s="375"/>
      <c r="K2224" s="375"/>
      <c r="L2224" s="375"/>
      <c r="M2224" s="368"/>
      <c r="N2224" s="368"/>
      <c r="O2224" s="370"/>
      <c r="T2224" s="349"/>
      <c r="V2224" s="378"/>
      <c r="W2224" s="64" ph="1"/>
      <c r="X2224" s="241"/>
      <c r="Y2224" s="284"/>
      <c r="Z2224" s="207"/>
      <c r="AA2224" s="284"/>
      <c r="AB2224" s="284"/>
      <c r="AC2224" s="284"/>
      <c r="AD2224" s="284"/>
      <c r="AE2224" s="284"/>
      <c r="AF2224" s="284"/>
      <c r="AG2224" s="284"/>
    </row>
    <row r="2225" spans="1:33" ht="26.4">
      <c r="A2225" s="284"/>
      <c r="B2225" s="284"/>
      <c r="C2225" s="284"/>
      <c r="D2225" s="284"/>
      <c r="E2225" s="284"/>
      <c r="F2225" s="284"/>
      <c r="G2225" s="284"/>
      <c r="H2225" s="284"/>
      <c r="I2225" s="284"/>
      <c r="J2225" s="375"/>
      <c r="K2225" s="375"/>
      <c r="L2225" s="375"/>
      <c r="M2225" s="368"/>
      <c r="N2225" s="368"/>
      <c r="O2225" s="370"/>
      <c r="T2225" s="349"/>
      <c r="V2225" s="378"/>
      <c r="W2225" s="64" ph="1"/>
      <c r="X2225" s="241"/>
      <c r="Y2225" s="284"/>
      <c r="Z2225" s="207"/>
      <c r="AA2225" s="284"/>
      <c r="AB2225" s="284"/>
      <c r="AC2225" s="284"/>
      <c r="AD2225" s="284"/>
      <c r="AE2225" s="284"/>
      <c r="AF2225" s="284"/>
      <c r="AG2225" s="284"/>
    </row>
    <row r="2226" spans="1:33" ht="26.4">
      <c r="A2226" s="284"/>
      <c r="B2226" s="284"/>
      <c r="C2226" s="284"/>
      <c r="D2226" s="284"/>
      <c r="E2226" s="284"/>
      <c r="F2226" s="284"/>
      <c r="G2226" s="284"/>
      <c r="H2226" s="284"/>
      <c r="I2226" s="284"/>
      <c r="J2226" s="375"/>
      <c r="K2226" s="375"/>
      <c r="L2226" s="375"/>
      <c r="M2226" s="368"/>
      <c r="N2226" s="368"/>
      <c r="O2226" s="370"/>
      <c r="T2226" s="349"/>
      <c r="V2226" s="378"/>
      <c r="W2226" s="64" ph="1"/>
      <c r="X2226" s="241"/>
      <c r="Y2226" s="284"/>
      <c r="Z2226" s="207"/>
      <c r="AA2226" s="284"/>
      <c r="AB2226" s="284"/>
      <c r="AC2226" s="284"/>
      <c r="AD2226" s="284"/>
      <c r="AE2226" s="284"/>
      <c r="AF2226" s="284"/>
      <c r="AG2226" s="284"/>
    </row>
    <row r="2227" spans="1:33" ht="26.4">
      <c r="A2227" s="284"/>
      <c r="B2227" s="284"/>
      <c r="C2227" s="284"/>
      <c r="D2227" s="284"/>
      <c r="E2227" s="284"/>
      <c r="F2227" s="284"/>
      <c r="G2227" s="284"/>
      <c r="H2227" s="284"/>
      <c r="I2227" s="284"/>
      <c r="J2227" s="375"/>
      <c r="K2227" s="375"/>
      <c r="L2227" s="375"/>
      <c r="M2227" s="368"/>
      <c r="N2227" s="368"/>
      <c r="O2227" s="370"/>
      <c r="T2227" s="349"/>
      <c r="V2227" s="378"/>
      <c r="W2227" s="64" ph="1"/>
      <c r="X2227" s="241"/>
      <c r="Y2227" s="284"/>
      <c r="Z2227" s="207"/>
      <c r="AA2227" s="284"/>
      <c r="AB2227" s="284"/>
      <c r="AC2227" s="284"/>
      <c r="AD2227" s="284"/>
      <c r="AE2227" s="284"/>
      <c r="AF2227" s="284"/>
      <c r="AG2227" s="284"/>
    </row>
    <row r="2228" spans="1:33" ht="26.4">
      <c r="A2228" s="284"/>
      <c r="B2228" s="284"/>
      <c r="C2228" s="284"/>
      <c r="D2228" s="284"/>
      <c r="E2228" s="284"/>
      <c r="F2228" s="284"/>
      <c r="G2228" s="284"/>
      <c r="H2228" s="284"/>
      <c r="I2228" s="284"/>
      <c r="J2228" s="375"/>
      <c r="K2228" s="375"/>
      <c r="L2228" s="375"/>
      <c r="M2228" s="368"/>
      <c r="N2228" s="368"/>
      <c r="O2228" s="370"/>
      <c r="T2228" s="349"/>
      <c r="V2228" s="378"/>
      <c r="W2228" s="64" ph="1"/>
      <c r="X2228" s="241"/>
      <c r="Y2228" s="284"/>
      <c r="Z2228" s="207"/>
      <c r="AA2228" s="284"/>
      <c r="AB2228" s="284"/>
      <c r="AC2228" s="284"/>
      <c r="AD2228" s="284"/>
      <c r="AE2228" s="284"/>
      <c r="AF2228" s="284"/>
      <c r="AG2228" s="284"/>
    </row>
    <row r="2229" spans="1:33" ht="26.4">
      <c r="A2229" s="284"/>
      <c r="B2229" s="284"/>
      <c r="C2229" s="284"/>
      <c r="D2229" s="284"/>
      <c r="E2229" s="284"/>
      <c r="F2229" s="284"/>
      <c r="G2229" s="284"/>
      <c r="H2229" s="284"/>
      <c r="I2229" s="284"/>
      <c r="J2229" s="375"/>
      <c r="K2229" s="375"/>
      <c r="L2229" s="375"/>
      <c r="M2229" s="368"/>
      <c r="N2229" s="368"/>
      <c r="O2229" s="370"/>
      <c r="T2229" s="349"/>
      <c r="V2229" s="378"/>
      <c r="W2229" s="64" ph="1"/>
      <c r="X2229" s="241"/>
      <c r="Y2229" s="284"/>
      <c r="Z2229" s="207"/>
      <c r="AA2229" s="284"/>
      <c r="AB2229" s="284"/>
      <c r="AC2229" s="284"/>
      <c r="AD2229" s="284"/>
      <c r="AE2229" s="284"/>
      <c r="AF2229" s="284"/>
      <c r="AG2229" s="284"/>
    </row>
    <row r="2230" spans="1:33" ht="26.4">
      <c r="A2230" s="284"/>
      <c r="B2230" s="284"/>
      <c r="C2230" s="284"/>
      <c r="D2230" s="284"/>
      <c r="E2230" s="284"/>
      <c r="F2230" s="284"/>
      <c r="G2230" s="284"/>
      <c r="H2230" s="284"/>
      <c r="I2230" s="284"/>
      <c r="J2230" s="375"/>
      <c r="K2230" s="375"/>
      <c r="L2230" s="375"/>
      <c r="M2230" s="368"/>
      <c r="N2230" s="368"/>
      <c r="O2230" s="370"/>
      <c r="T2230" s="349"/>
      <c r="V2230" s="378"/>
      <c r="W2230" s="64" ph="1"/>
      <c r="X2230" s="241"/>
      <c r="Y2230" s="284"/>
      <c r="Z2230" s="207"/>
      <c r="AA2230" s="284"/>
      <c r="AB2230" s="284"/>
      <c r="AC2230" s="284"/>
      <c r="AD2230" s="284"/>
      <c r="AE2230" s="284"/>
      <c r="AF2230" s="284"/>
      <c r="AG2230" s="284"/>
    </row>
    <row r="2231" spans="1:33" ht="26.4">
      <c r="A2231" s="284"/>
      <c r="B2231" s="284"/>
      <c r="C2231" s="284"/>
      <c r="D2231" s="284"/>
      <c r="E2231" s="284"/>
      <c r="F2231" s="284"/>
      <c r="G2231" s="284"/>
      <c r="H2231" s="284"/>
      <c r="I2231" s="284"/>
      <c r="J2231" s="375"/>
      <c r="K2231" s="375"/>
      <c r="L2231" s="375"/>
      <c r="M2231" s="368"/>
      <c r="N2231" s="368"/>
      <c r="O2231" s="370"/>
      <c r="T2231" s="349"/>
      <c r="V2231" s="378"/>
      <c r="W2231" s="64" ph="1"/>
      <c r="X2231" s="241"/>
      <c r="Y2231" s="284"/>
      <c r="Z2231" s="207"/>
      <c r="AA2231" s="284"/>
      <c r="AB2231" s="284"/>
      <c r="AC2231" s="284"/>
      <c r="AD2231" s="284"/>
      <c r="AE2231" s="284"/>
      <c r="AF2231" s="284"/>
      <c r="AG2231" s="284"/>
    </row>
    <row r="2232" spans="1:33" ht="26.4">
      <c r="A2232" s="284"/>
      <c r="B2232" s="284"/>
      <c r="C2232" s="284"/>
      <c r="D2232" s="284"/>
      <c r="E2232" s="284"/>
      <c r="F2232" s="284"/>
      <c r="G2232" s="284"/>
      <c r="H2232" s="284"/>
      <c r="I2232" s="284"/>
      <c r="J2232" s="375"/>
      <c r="K2232" s="375"/>
      <c r="L2232" s="375"/>
      <c r="M2232" s="368"/>
      <c r="N2232" s="368"/>
      <c r="O2232" s="370"/>
      <c r="T2232" s="349"/>
      <c r="V2232" s="378"/>
      <c r="W2232" s="64" ph="1"/>
      <c r="X2232" s="241"/>
      <c r="Y2232" s="284"/>
      <c r="Z2232" s="207"/>
      <c r="AA2232" s="284"/>
      <c r="AB2232" s="284"/>
      <c r="AC2232" s="284"/>
      <c r="AD2232" s="284"/>
      <c r="AE2232" s="284"/>
      <c r="AF2232" s="284"/>
      <c r="AG2232" s="284"/>
    </row>
    <row r="2233" spans="1:33" ht="26.4">
      <c r="A2233" s="284"/>
      <c r="B2233" s="284"/>
      <c r="C2233" s="284"/>
      <c r="D2233" s="284"/>
      <c r="E2233" s="284"/>
      <c r="F2233" s="284"/>
      <c r="G2233" s="284"/>
      <c r="H2233" s="284"/>
      <c r="I2233" s="284"/>
      <c r="J2233" s="375"/>
      <c r="K2233" s="375"/>
      <c r="L2233" s="375"/>
      <c r="M2233" s="368"/>
      <c r="N2233" s="368"/>
      <c r="O2233" s="370"/>
      <c r="T2233" s="349"/>
      <c r="V2233" s="378"/>
      <c r="W2233" s="64" ph="1"/>
      <c r="X2233" s="241"/>
      <c r="Y2233" s="284"/>
      <c r="Z2233" s="207"/>
      <c r="AA2233" s="284"/>
      <c r="AB2233" s="284"/>
      <c r="AC2233" s="284"/>
      <c r="AD2233" s="284"/>
      <c r="AE2233" s="284"/>
      <c r="AF2233" s="284"/>
      <c r="AG2233" s="284"/>
    </row>
    <row r="2234" spans="1:33" ht="26.4">
      <c r="A2234" s="284"/>
      <c r="B2234" s="284"/>
      <c r="C2234" s="284"/>
      <c r="D2234" s="284"/>
      <c r="E2234" s="284"/>
      <c r="F2234" s="284"/>
      <c r="G2234" s="284"/>
      <c r="H2234" s="284"/>
      <c r="I2234" s="284"/>
      <c r="J2234" s="375"/>
      <c r="K2234" s="375"/>
      <c r="L2234" s="375"/>
      <c r="M2234" s="368"/>
      <c r="N2234" s="368"/>
      <c r="O2234" s="370"/>
      <c r="T2234" s="349"/>
      <c r="V2234" s="378"/>
      <c r="W2234" s="64" ph="1"/>
      <c r="X2234" s="241"/>
      <c r="Y2234" s="284"/>
      <c r="Z2234" s="207"/>
      <c r="AA2234" s="284"/>
      <c r="AB2234" s="284"/>
      <c r="AC2234" s="284"/>
      <c r="AD2234" s="284"/>
      <c r="AE2234" s="284"/>
      <c r="AF2234" s="284"/>
      <c r="AG2234" s="284"/>
    </row>
    <row r="2235" spans="1:33" ht="26.4">
      <c r="A2235" s="284"/>
      <c r="B2235" s="284"/>
      <c r="C2235" s="284"/>
      <c r="D2235" s="284"/>
      <c r="E2235" s="284"/>
      <c r="F2235" s="284"/>
      <c r="G2235" s="284"/>
      <c r="H2235" s="284"/>
      <c r="I2235" s="284"/>
      <c r="J2235" s="375"/>
      <c r="K2235" s="375"/>
      <c r="L2235" s="375"/>
      <c r="M2235" s="368"/>
      <c r="N2235" s="368"/>
      <c r="O2235" s="370"/>
      <c r="T2235" s="349"/>
      <c r="V2235" s="378"/>
      <c r="W2235" s="64" ph="1"/>
      <c r="X2235" s="241"/>
      <c r="Y2235" s="284"/>
      <c r="Z2235" s="207"/>
      <c r="AA2235" s="284"/>
      <c r="AB2235" s="284"/>
      <c r="AC2235" s="284"/>
      <c r="AD2235" s="284"/>
      <c r="AE2235" s="284"/>
      <c r="AF2235" s="284"/>
      <c r="AG2235" s="284"/>
    </row>
    <row r="2236" spans="1:33" ht="26.4">
      <c r="A2236" s="284"/>
      <c r="B2236" s="284"/>
      <c r="C2236" s="284"/>
      <c r="D2236" s="284"/>
      <c r="E2236" s="284"/>
      <c r="F2236" s="284"/>
      <c r="G2236" s="284"/>
      <c r="H2236" s="284"/>
      <c r="I2236" s="284"/>
      <c r="J2236" s="375"/>
      <c r="K2236" s="375"/>
      <c r="L2236" s="375"/>
      <c r="M2236" s="368"/>
      <c r="N2236" s="368"/>
      <c r="O2236" s="370"/>
      <c r="T2236" s="349"/>
      <c r="V2236" s="378"/>
      <c r="W2236" s="64" ph="1"/>
      <c r="X2236" s="241"/>
      <c r="Y2236" s="284"/>
      <c r="Z2236" s="207"/>
      <c r="AA2236" s="284"/>
      <c r="AB2236" s="284"/>
      <c r="AC2236" s="284"/>
      <c r="AD2236" s="284"/>
      <c r="AE2236" s="284"/>
      <c r="AF2236" s="284"/>
      <c r="AG2236" s="284"/>
    </row>
    <row r="2237" spans="1:33" ht="26.4">
      <c r="A2237" s="284"/>
      <c r="B2237" s="284"/>
      <c r="C2237" s="284"/>
      <c r="D2237" s="284"/>
      <c r="E2237" s="284"/>
      <c r="F2237" s="284"/>
      <c r="G2237" s="284"/>
      <c r="H2237" s="284"/>
      <c r="I2237" s="284"/>
      <c r="J2237" s="375"/>
      <c r="K2237" s="375"/>
      <c r="L2237" s="375"/>
      <c r="M2237" s="368"/>
      <c r="N2237" s="368"/>
      <c r="O2237" s="370"/>
      <c r="T2237" s="349"/>
      <c r="V2237" s="378"/>
      <c r="W2237" s="64" ph="1"/>
      <c r="X2237" s="241"/>
      <c r="Y2237" s="284"/>
      <c r="Z2237" s="207"/>
      <c r="AA2237" s="284"/>
      <c r="AB2237" s="284"/>
      <c r="AC2237" s="284"/>
      <c r="AD2237" s="284"/>
      <c r="AE2237" s="284"/>
      <c r="AF2237" s="284"/>
      <c r="AG2237" s="284"/>
    </row>
    <row r="2238" spans="1:33" ht="26.4">
      <c r="A2238" s="284"/>
      <c r="B2238" s="284"/>
      <c r="C2238" s="284"/>
      <c r="D2238" s="284"/>
      <c r="E2238" s="284"/>
      <c r="F2238" s="284"/>
      <c r="G2238" s="284"/>
      <c r="H2238" s="284"/>
      <c r="I2238" s="284"/>
      <c r="J2238" s="375"/>
      <c r="K2238" s="375"/>
      <c r="L2238" s="375"/>
      <c r="M2238" s="368"/>
      <c r="N2238" s="368"/>
      <c r="O2238" s="370"/>
      <c r="T2238" s="349"/>
      <c r="V2238" s="378"/>
      <c r="W2238" s="64" ph="1"/>
      <c r="X2238" s="241"/>
      <c r="Y2238" s="284"/>
      <c r="Z2238" s="207"/>
      <c r="AA2238" s="284"/>
      <c r="AB2238" s="284"/>
      <c r="AC2238" s="284"/>
      <c r="AD2238" s="284"/>
      <c r="AE2238" s="284"/>
      <c r="AF2238" s="284"/>
      <c r="AG2238" s="284"/>
    </row>
    <row r="2239" spans="1:33" ht="26.4">
      <c r="A2239" s="284"/>
      <c r="B2239" s="284"/>
      <c r="C2239" s="284"/>
      <c r="D2239" s="284"/>
      <c r="E2239" s="284"/>
      <c r="F2239" s="284"/>
      <c r="G2239" s="284"/>
      <c r="H2239" s="284"/>
      <c r="I2239" s="284"/>
      <c r="J2239" s="375"/>
      <c r="K2239" s="375"/>
      <c r="L2239" s="375"/>
      <c r="M2239" s="368"/>
      <c r="N2239" s="368"/>
      <c r="O2239" s="370"/>
      <c r="T2239" s="349"/>
      <c r="V2239" s="378"/>
      <c r="W2239" s="64" ph="1"/>
      <c r="X2239" s="241"/>
      <c r="Y2239" s="284"/>
      <c r="Z2239" s="207"/>
      <c r="AA2239" s="284"/>
      <c r="AB2239" s="284"/>
      <c r="AC2239" s="284"/>
      <c r="AD2239" s="284"/>
      <c r="AE2239" s="284"/>
      <c r="AF2239" s="284"/>
      <c r="AG2239" s="284"/>
    </row>
    <row r="2240" spans="1:33" ht="26.4">
      <c r="A2240" s="284"/>
      <c r="B2240" s="284"/>
      <c r="C2240" s="284"/>
      <c r="D2240" s="284"/>
      <c r="E2240" s="284"/>
      <c r="F2240" s="284"/>
      <c r="G2240" s="284"/>
      <c r="H2240" s="284"/>
      <c r="I2240" s="284"/>
      <c r="J2240" s="375"/>
      <c r="K2240" s="375"/>
      <c r="L2240" s="375"/>
      <c r="M2240" s="368"/>
      <c r="N2240" s="368"/>
      <c r="O2240" s="370"/>
      <c r="T2240" s="349"/>
      <c r="V2240" s="378"/>
      <c r="W2240" s="64" ph="1"/>
      <c r="X2240" s="241"/>
      <c r="Y2240" s="284"/>
      <c r="Z2240" s="207"/>
      <c r="AA2240" s="284"/>
      <c r="AB2240" s="284"/>
      <c r="AC2240" s="284"/>
      <c r="AD2240" s="284"/>
      <c r="AE2240" s="284"/>
      <c r="AF2240" s="284"/>
      <c r="AG2240" s="284"/>
    </row>
    <row r="2241" spans="1:33" ht="26.4">
      <c r="A2241" s="284"/>
      <c r="B2241" s="284"/>
      <c r="C2241" s="284"/>
      <c r="D2241" s="284"/>
      <c r="E2241" s="284"/>
      <c r="F2241" s="284"/>
      <c r="G2241" s="284"/>
      <c r="H2241" s="284"/>
      <c r="I2241" s="284"/>
      <c r="J2241" s="375"/>
      <c r="K2241" s="375"/>
      <c r="L2241" s="375"/>
      <c r="M2241" s="368"/>
      <c r="N2241" s="368"/>
      <c r="O2241" s="370"/>
      <c r="T2241" s="349"/>
      <c r="V2241" s="378"/>
      <c r="W2241" s="64" ph="1"/>
      <c r="X2241" s="241"/>
      <c r="Y2241" s="284"/>
      <c r="Z2241" s="207"/>
      <c r="AA2241" s="284"/>
      <c r="AB2241" s="284"/>
      <c r="AC2241" s="284"/>
      <c r="AD2241" s="284"/>
      <c r="AE2241" s="284"/>
      <c r="AF2241" s="284"/>
      <c r="AG2241" s="284"/>
    </row>
    <row r="2242" spans="1:33" ht="26.4">
      <c r="A2242" s="284"/>
      <c r="B2242" s="284"/>
      <c r="C2242" s="284"/>
      <c r="D2242" s="284"/>
      <c r="E2242" s="284"/>
      <c r="F2242" s="284"/>
      <c r="G2242" s="284"/>
      <c r="H2242" s="284"/>
      <c r="I2242" s="284"/>
      <c r="J2242" s="375"/>
      <c r="K2242" s="375"/>
      <c r="L2242" s="375"/>
      <c r="M2242" s="368"/>
      <c r="N2242" s="368"/>
      <c r="O2242" s="370"/>
      <c r="T2242" s="349"/>
      <c r="V2242" s="378"/>
      <c r="W2242" s="64" ph="1"/>
      <c r="X2242" s="241"/>
      <c r="Y2242" s="284"/>
      <c r="Z2242" s="207"/>
      <c r="AA2242" s="284"/>
      <c r="AB2242" s="284"/>
      <c r="AC2242" s="284"/>
      <c r="AD2242" s="284"/>
      <c r="AE2242" s="284"/>
      <c r="AF2242" s="284"/>
      <c r="AG2242" s="284"/>
    </row>
    <row r="2243" spans="1:33" ht="26.4">
      <c r="A2243" s="284"/>
      <c r="B2243" s="284"/>
      <c r="C2243" s="284"/>
      <c r="D2243" s="284"/>
      <c r="E2243" s="284"/>
      <c r="F2243" s="284"/>
      <c r="G2243" s="284"/>
      <c r="H2243" s="284"/>
      <c r="I2243" s="284"/>
      <c r="J2243" s="375"/>
      <c r="K2243" s="375"/>
      <c r="L2243" s="375"/>
      <c r="M2243" s="368"/>
      <c r="N2243" s="368"/>
      <c r="O2243" s="370"/>
      <c r="T2243" s="349"/>
      <c r="V2243" s="378"/>
      <c r="W2243" s="64" ph="1"/>
      <c r="X2243" s="241"/>
      <c r="Y2243" s="284"/>
      <c r="Z2243" s="207"/>
      <c r="AA2243" s="284"/>
      <c r="AB2243" s="284"/>
      <c r="AC2243" s="284"/>
      <c r="AD2243" s="284"/>
      <c r="AE2243" s="284"/>
      <c r="AF2243" s="284"/>
      <c r="AG2243" s="284"/>
    </row>
    <row r="2244" spans="1:33" ht="26.4">
      <c r="A2244" s="284"/>
      <c r="B2244" s="284"/>
      <c r="C2244" s="284"/>
      <c r="D2244" s="284"/>
      <c r="E2244" s="284"/>
      <c r="F2244" s="284"/>
      <c r="G2244" s="284"/>
      <c r="H2244" s="284"/>
      <c r="I2244" s="284"/>
      <c r="J2244" s="375"/>
      <c r="K2244" s="375"/>
      <c r="L2244" s="375"/>
      <c r="M2244" s="368"/>
      <c r="N2244" s="368"/>
      <c r="O2244" s="370"/>
      <c r="T2244" s="349"/>
      <c r="V2244" s="378"/>
      <c r="W2244" s="64" ph="1"/>
      <c r="X2244" s="241"/>
      <c r="Y2244" s="284"/>
      <c r="Z2244" s="207"/>
      <c r="AA2244" s="284"/>
      <c r="AB2244" s="284"/>
      <c r="AC2244" s="284"/>
      <c r="AD2244" s="284"/>
      <c r="AE2244" s="284"/>
      <c r="AF2244" s="284"/>
      <c r="AG2244" s="284"/>
    </row>
    <row r="2245" spans="1:33" ht="26.4">
      <c r="A2245" s="284"/>
      <c r="B2245" s="284"/>
      <c r="C2245" s="284"/>
      <c r="D2245" s="284"/>
      <c r="E2245" s="284"/>
      <c r="F2245" s="284"/>
      <c r="G2245" s="284"/>
      <c r="H2245" s="284"/>
      <c r="I2245" s="284"/>
      <c r="J2245" s="375"/>
      <c r="K2245" s="375"/>
      <c r="L2245" s="375"/>
      <c r="M2245" s="368"/>
      <c r="N2245" s="368"/>
      <c r="O2245" s="370"/>
      <c r="T2245" s="349"/>
      <c r="V2245" s="378"/>
      <c r="W2245" s="64" ph="1"/>
      <c r="X2245" s="241"/>
      <c r="Y2245" s="284"/>
      <c r="Z2245" s="207"/>
      <c r="AA2245" s="284"/>
      <c r="AB2245" s="284"/>
      <c r="AC2245" s="284"/>
      <c r="AD2245" s="284"/>
      <c r="AE2245" s="284"/>
      <c r="AF2245" s="284"/>
      <c r="AG2245" s="284"/>
    </row>
    <row r="2246" spans="1:33" ht="26.4">
      <c r="A2246" s="284"/>
      <c r="B2246" s="284"/>
      <c r="C2246" s="284"/>
      <c r="D2246" s="284"/>
      <c r="E2246" s="284"/>
      <c r="F2246" s="284"/>
      <c r="G2246" s="284"/>
      <c r="H2246" s="284"/>
      <c r="I2246" s="284"/>
      <c r="J2246" s="375"/>
      <c r="K2246" s="375"/>
      <c r="L2246" s="375"/>
      <c r="M2246" s="368"/>
      <c r="N2246" s="368"/>
      <c r="O2246" s="370"/>
      <c r="T2246" s="349"/>
      <c r="V2246" s="378"/>
      <c r="W2246" s="64" ph="1"/>
      <c r="X2246" s="241"/>
      <c r="Y2246" s="284"/>
      <c r="Z2246" s="207"/>
      <c r="AA2246" s="284"/>
      <c r="AB2246" s="284"/>
      <c r="AC2246" s="284"/>
      <c r="AD2246" s="284"/>
      <c r="AE2246" s="284"/>
      <c r="AF2246" s="284"/>
      <c r="AG2246" s="284"/>
    </row>
    <row r="2247" spans="1:33" ht="26.4">
      <c r="A2247" s="284"/>
      <c r="B2247" s="284"/>
      <c r="C2247" s="284"/>
      <c r="D2247" s="284"/>
      <c r="E2247" s="284"/>
      <c r="F2247" s="284"/>
      <c r="G2247" s="284"/>
      <c r="H2247" s="284"/>
      <c r="I2247" s="284"/>
      <c r="J2247" s="375"/>
      <c r="K2247" s="375"/>
      <c r="L2247" s="375"/>
      <c r="M2247" s="368"/>
      <c r="N2247" s="368"/>
      <c r="O2247" s="370"/>
      <c r="T2247" s="349"/>
      <c r="V2247" s="378"/>
      <c r="W2247" s="64" ph="1"/>
      <c r="X2247" s="241"/>
      <c r="Y2247" s="284"/>
      <c r="Z2247" s="207"/>
      <c r="AA2247" s="284"/>
      <c r="AB2247" s="284"/>
      <c r="AC2247" s="284"/>
      <c r="AD2247" s="284"/>
      <c r="AE2247" s="284"/>
      <c r="AF2247" s="284"/>
      <c r="AG2247" s="284"/>
    </row>
    <row r="2248" spans="1:33" ht="26.4">
      <c r="A2248" s="284"/>
      <c r="B2248" s="284"/>
      <c r="C2248" s="284"/>
      <c r="D2248" s="284"/>
      <c r="E2248" s="284"/>
      <c r="F2248" s="284"/>
      <c r="G2248" s="284"/>
      <c r="H2248" s="284"/>
      <c r="I2248" s="284"/>
      <c r="J2248" s="375"/>
      <c r="K2248" s="375"/>
      <c r="L2248" s="375"/>
      <c r="M2248" s="368"/>
      <c r="N2248" s="368"/>
      <c r="O2248" s="370"/>
      <c r="T2248" s="349"/>
      <c r="V2248" s="378"/>
      <c r="W2248" s="64" ph="1"/>
      <c r="X2248" s="241"/>
      <c r="Y2248" s="284"/>
      <c r="Z2248" s="207"/>
      <c r="AA2248" s="284"/>
      <c r="AB2248" s="284"/>
      <c r="AC2248" s="284"/>
      <c r="AD2248" s="284"/>
      <c r="AE2248" s="284"/>
      <c r="AF2248" s="284"/>
      <c r="AG2248" s="284"/>
    </row>
    <row r="2249" spans="1:33" ht="26.4">
      <c r="A2249" s="284"/>
      <c r="B2249" s="284"/>
      <c r="C2249" s="284"/>
      <c r="D2249" s="284"/>
      <c r="E2249" s="284"/>
      <c r="F2249" s="284"/>
      <c r="G2249" s="284"/>
      <c r="H2249" s="284"/>
      <c r="I2249" s="284"/>
      <c r="J2249" s="375"/>
      <c r="K2249" s="375"/>
      <c r="L2249" s="375"/>
      <c r="M2249" s="368"/>
      <c r="N2249" s="368"/>
      <c r="O2249" s="370"/>
      <c r="T2249" s="349"/>
      <c r="V2249" s="378"/>
      <c r="W2249" s="64" ph="1"/>
      <c r="X2249" s="241"/>
      <c r="Y2249" s="284"/>
      <c r="Z2249" s="207"/>
      <c r="AA2249" s="284"/>
      <c r="AB2249" s="284"/>
      <c r="AC2249" s="284"/>
      <c r="AD2249" s="284"/>
      <c r="AE2249" s="284"/>
      <c r="AF2249" s="284"/>
      <c r="AG2249" s="284"/>
    </row>
    <row r="2250" spans="1:33" ht="26.4">
      <c r="A2250" s="284"/>
      <c r="B2250" s="284"/>
      <c r="C2250" s="284"/>
      <c r="D2250" s="284"/>
      <c r="E2250" s="284"/>
      <c r="F2250" s="284"/>
      <c r="G2250" s="284"/>
      <c r="H2250" s="284"/>
      <c r="I2250" s="284"/>
      <c r="J2250" s="375"/>
      <c r="K2250" s="375"/>
      <c r="L2250" s="375"/>
      <c r="M2250" s="368"/>
      <c r="N2250" s="368"/>
      <c r="O2250" s="370"/>
      <c r="T2250" s="349"/>
      <c r="V2250" s="378"/>
      <c r="W2250" s="64" ph="1"/>
      <c r="X2250" s="241"/>
      <c r="Y2250" s="284"/>
      <c r="Z2250" s="207"/>
      <c r="AA2250" s="284"/>
      <c r="AB2250" s="284"/>
      <c r="AC2250" s="284"/>
      <c r="AD2250" s="284"/>
      <c r="AE2250" s="284"/>
      <c r="AF2250" s="284"/>
      <c r="AG2250" s="284"/>
    </row>
    <row r="2251" spans="1:33" ht="26.4">
      <c r="A2251" s="284"/>
      <c r="B2251" s="284"/>
      <c r="C2251" s="284"/>
      <c r="D2251" s="284"/>
      <c r="E2251" s="284"/>
      <c r="F2251" s="284"/>
      <c r="G2251" s="284"/>
      <c r="H2251" s="284"/>
      <c r="I2251" s="284"/>
      <c r="J2251" s="375"/>
      <c r="K2251" s="375"/>
      <c r="L2251" s="375"/>
      <c r="M2251" s="368"/>
      <c r="N2251" s="368"/>
      <c r="O2251" s="370"/>
      <c r="T2251" s="349"/>
      <c r="V2251" s="378"/>
      <c r="W2251" s="64" ph="1"/>
      <c r="X2251" s="241"/>
      <c r="Y2251" s="284"/>
      <c r="Z2251" s="207"/>
      <c r="AA2251" s="284"/>
      <c r="AB2251" s="284"/>
      <c r="AC2251" s="284"/>
      <c r="AD2251" s="284"/>
      <c r="AE2251" s="284"/>
      <c r="AF2251" s="284"/>
      <c r="AG2251" s="284"/>
    </row>
    <row r="2252" spans="1:33" ht="26.4">
      <c r="A2252" s="284"/>
      <c r="B2252" s="284"/>
      <c r="C2252" s="284"/>
      <c r="D2252" s="284"/>
      <c r="E2252" s="284"/>
      <c r="F2252" s="284"/>
      <c r="G2252" s="284"/>
      <c r="H2252" s="284"/>
      <c r="I2252" s="284"/>
      <c r="J2252" s="375"/>
      <c r="K2252" s="375"/>
      <c r="L2252" s="375"/>
      <c r="M2252" s="368"/>
      <c r="N2252" s="368"/>
      <c r="O2252" s="370"/>
      <c r="T2252" s="349"/>
      <c r="V2252" s="378"/>
      <c r="W2252" s="64" ph="1"/>
      <c r="X2252" s="241"/>
      <c r="Y2252" s="284"/>
      <c r="Z2252" s="207"/>
      <c r="AA2252" s="284"/>
      <c r="AB2252" s="284"/>
      <c r="AC2252" s="284"/>
      <c r="AD2252" s="284"/>
      <c r="AE2252" s="284"/>
      <c r="AF2252" s="284"/>
      <c r="AG2252" s="284"/>
    </row>
    <row r="2253" spans="1:33" ht="26.4">
      <c r="A2253" s="284"/>
      <c r="B2253" s="284"/>
      <c r="C2253" s="284"/>
      <c r="D2253" s="284"/>
      <c r="E2253" s="284"/>
      <c r="F2253" s="284"/>
      <c r="G2253" s="284"/>
      <c r="H2253" s="284"/>
      <c r="I2253" s="284"/>
      <c r="J2253" s="375"/>
      <c r="K2253" s="375"/>
      <c r="L2253" s="375"/>
      <c r="M2253" s="368"/>
      <c r="N2253" s="368"/>
      <c r="O2253" s="370"/>
      <c r="T2253" s="349"/>
      <c r="V2253" s="378"/>
      <c r="W2253" s="64" ph="1"/>
      <c r="X2253" s="241"/>
      <c r="Y2253" s="284"/>
      <c r="Z2253" s="207"/>
      <c r="AA2253" s="284"/>
      <c r="AB2253" s="284"/>
      <c r="AC2253" s="284"/>
      <c r="AD2253" s="284"/>
      <c r="AE2253" s="284"/>
      <c r="AF2253" s="284"/>
      <c r="AG2253" s="284"/>
    </row>
    <row r="2254" spans="1:33" ht="26.4">
      <c r="A2254" s="284"/>
      <c r="B2254" s="284"/>
      <c r="C2254" s="284"/>
      <c r="D2254" s="284"/>
      <c r="E2254" s="284"/>
      <c r="F2254" s="284"/>
      <c r="G2254" s="284"/>
      <c r="H2254" s="284"/>
      <c r="I2254" s="284"/>
      <c r="J2254" s="375"/>
      <c r="K2254" s="375"/>
      <c r="L2254" s="375"/>
      <c r="M2254" s="368"/>
      <c r="N2254" s="368"/>
      <c r="O2254" s="370"/>
      <c r="T2254" s="349"/>
      <c r="V2254" s="378"/>
      <c r="W2254" s="64" ph="1"/>
      <c r="X2254" s="241"/>
      <c r="Y2254" s="284"/>
      <c r="Z2254" s="207"/>
      <c r="AA2254" s="284"/>
      <c r="AB2254" s="284"/>
      <c r="AC2254" s="284"/>
      <c r="AD2254" s="284"/>
      <c r="AE2254" s="284"/>
      <c r="AF2254" s="284"/>
      <c r="AG2254" s="284"/>
    </row>
    <row r="2255" spans="1:33" ht="26.4">
      <c r="A2255" s="284"/>
      <c r="B2255" s="284"/>
      <c r="C2255" s="284"/>
      <c r="D2255" s="284"/>
      <c r="E2255" s="284"/>
      <c r="F2255" s="284"/>
      <c r="G2255" s="284"/>
      <c r="H2255" s="284"/>
      <c r="I2255" s="284"/>
      <c r="J2255" s="375"/>
      <c r="K2255" s="375"/>
      <c r="L2255" s="375"/>
      <c r="M2255" s="368"/>
      <c r="N2255" s="368"/>
      <c r="O2255" s="370"/>
      <c r="T2255" s="349"/>
      <c r="V2255" s="378"/>
      <c r="W2255" s="64" ph="1"/>
      <c r="X2255" s="241"/>
      <c r="Y2255" s="284"/>
      <c r="Z2255" s="207"/>
      <c r="AA2255" s="284"/>
      <c r="AB2255" s="284"/>
      <c r="AC2255" s="284"/>
      <c r="AD2255" s="284"/>
      <c r="AE2255" s="284"/>
      <c r="AF2255" s="284"/>
      <c r="AG2255" s="284"/>
    </row>
    <row r="2256" spans="1:33" ht="26.4">
      <c r="A2256" s="284"/>
      <c r="B2256" s="284"/>
      <c r="C2256" s="284"/>
      <c r="D2256" s="284"/>
      <c r="E2256" s="284"/>
      <c r="F2256" s="284"/>
      <c r="G2256" s="284"/>
      <c r="H2256" s="284"/>
      <c r="I2256" s="284"/>
      <c r="J2256" s="375"/>
      <c r="K2256" s="375"/>
      <c r="L2256" s="375"/>
      <c r="M2256" s="368"/>
      <c r="N2256" s="368"/>
      <c r="O2256" s="370"/>
      <c r="T2256" s="349"/>
      <c r="V2256" s="378"/>
      <c r="W2256" s="64" ph="1"/>
      <c r="X2256" s="241"/>
      <c r="Y2256" s="284"/>
      <c r="Z2256" s="207"/>
      <c r="AA2256" s="284"/>
      <c r="AB2256" s="284"/>
      <c r="AC2256" s="284"/>
      <c r="AD2256" s="284"/>
      <c r="AE2256" s="284"/>
      <c r="AF2256" s="284"/>
      <c r="AG2256" s="284"/>
    </row>
    <row r="2257" spans="1:33" ht="26.4">
      <c r="A2257" s="284"/>
      <c r="B2257" s="284"/>
      <c r="C2257" s="284"/>
      <c r="D2257" s="284"/>
      <c r="E2257" s="284"/>
      <c r="F2257" s="284"/>
      <c r="G2257" s="284"/>
      <c r="H2257" s="284"/>
      <c r="I2257" s="284"/>
      <c r="J2257" s="375"/>
      <c r="K2257" s="375"/>
      <c r="L2257" s="375"/>
      <c r="M2257" s="368"/>
      <c r="N2257" s="368"/>
      <c r="O2257" s="370"/>
      <c r="T2257" s="349"/>
      <c r="V2257" s="378"/>
      <c r="W2257" s="64" ph="1"/>
      <c r="X2257" s="241"/>
      <c r="Y2257" s="284"/>
      <c r="Z2257" s="207"/>
      <c r="AA2257" s="284"/>
      <c r="AB2257" s="284"/>
      <c r="AC2257" s="284"/>
      <c r="AD2257" s="284"/>
      <c r="AE2257" s="284"/>
      <c r="AF2257" s="284"/>
      <c r="AG2257" s="284"/>
    </row>
    <row r="2258" spans="1:33" ht="26.4">
      <c r="A2258" s="284"/>
      <c r="B2258" s="284"/>
      <c r="C2258" s="284"/>
      <c r="D2258" s="284"/>
      <c r="E2258" s="284"/>
      <c r="F2258" s="284"/>
      <c r="G2258" s="284"/>
      <c r="H2258" s="284"/>
      <c r="I2258" s="284"/>
      <c r="J2258" s="375"/>
      <c r="K2258" s="375"/>
      <c r="L2258" s="375"/>
      <c r="M2258" s="368"/>
      <c r="N2258" s="368"/>
      <c r="O2258" s="370"/>
      <c r="T2258" s="349"/>
      <c r="V2258" s="378"/>
      <c r="W2258" s="64" ph="1"/>
      <c r="X2258" s="241"/>
      <c r="Y2258" s="284"/>
      <c r="Z2258" s="207"/>
      <c r="AA2258" s="284"/>
      <c r="AB2258" s="284"/>
      <c r="AC2258" s="284"/>
      <c r="AD2258" s="284"/>
      <c r="AE2258" s="284"/>
      <c r="AF2258" s="284"/>
      <c r="AG2258" s="284"/>
    </row>
    <row r="2259" spans="1:33" ht="26.4">
      <c r="A2259" s="284"/>
      <c r="B2259" s="284"/>
      <c r="C2259" s="284"/>
      <c r="D2259" s="284"/>
      <c r="E2259" s="284"/>
      <c r="F2259" s="284"/>
      <c r="G2259" s="284"/>
      <c r="H2259" s="284"/>
      <c r="I2259" s="284"/>
      <c r="J2259" s="375"/>
      <c r="K2259" s="375"/>
      <c r="L2259" s="375"/>
      <c r="M2259" s="368"/>
      <c r="N2259" s="368"/>
      <c r="O2259" s="370"/>
      <c r="T2259" s="349"/>
      <c r="V2259" s="378"/>
      <c r="W2259" s="64" ph="1"/>
      <c r="X2259" s="241"/>
      <c r="Y2259" s="284"/>
      <c r="Z2259" s="207"/>
      <c r="AA2259" s="284"/>
      <c r="AB2259" s="284"/>
      <c r="AC2259" s="284"/>
      <c r="AD2259" s="284"/>
      <c r="AE2259" s="284"/>
      <c r="AF2259" s="284"/>
      <c r="AG2259" s="284"/>
    </row>
    <row r="2260" spans="1:33" ht="26.4">
      <c r="A2260" s="284"/>
      <c r="B2260" s="284"/>
      <c r="C2260" s="284"/>
      <c r="D2260" s="284"/>
      <c r="E2260" s="284"/>
      <c r="F2260" s="284"/>
      <c r="G2260" s="284"/>
      <c r="H2260" s="284"/>
      <c r="I2260" s="284"/>
      <c r="J2260" s="375"/>
      <c r="K2260" s="375"/>
      <c r="L2260" s="375"/>
      <c r="M2260" s="368"/>
      <c r="N2260" s="368"/>
      <c r="O2260" s="370"/>
      <c r="T2260" s="349"/>
      <c r="V2260" s="378"/>
      <c r="W2260" s="64" ph="1"/>
      <c r="X2260" s="241"/>
      <c r="Y2260" s="284"/>
      <c r="Z2260" s="207"/>
      <c r="AA2260" s="284"/>
      <c r="AB2260" s="284"/>
      <c r="AC2260" s="284"/>
      <c r="AD2260" s="284"/>
      <c r="AE2260" s="284"/>
      <c r="AF2260" s="284"/>
      <c r="AG2260" s="284"/>
    </row>
    <row r="2261" spans="1:33" ht="26.4">
      <c r="A2261" s="284"/>
      <c r="B2261" s="284"/>
      <c r="C2261" s="284"/>
      <c r="D2261" s="284"/>
      <c r="E2261" s="284"/>
      <c r="F2261" s="284"/>
      <c r="G2261" s="284"/>
      <c r="H2261" s="284"/>
      <c r="I2261" s="284"/>
      <c r="J2261" s="375"/>
      <c r="K2261" s="375"/>
      <c r="L2261" s="375"/>
      <c r="M2261" s="368"/>
      <c r="N2261" s="368"/>
      <c r="O2261" s="370"/>
      <c r="T2261" s="349"/>
      <c r="V2261" s="378"/>
      <c r="W2261" s="64" ph="1"/>
      <c r="X2261" s="241"/>
      <c r="Y2261" s="284"/>
      <c r="Z2261" s="207"/>
      <c r="AA2261" s="284"/>
      <c r="AB2261" s="284"/>
      <c r="AC2261" s="284"/>
      <c r="AD2261" s="284"/>
      <c r="AE2261" s="284"/>
      <c r="AF2261" s="284"/>
      <c r="AG2261" s="284"/>
    </row>
    <row r="2262" spans="1:33" ht="26.4">
      <c r="A2262" s="284"/>
      <c r="B2262" s="284"/>
      <c r="C2262" s="284"/>
      <c r="D2262" s="284"/>
      <c r="E2262" s="284"/>
      <c r="F2262" s="284"/>
      <c r="G2262" s="284"/>
      <c r="H2262" s="284"/>
      <c r="I2262" s="284"/>
      <c r="J2262" s="375"/>
      <c r="K2262" s="375"/>
      <c r="L2262" s="375"/>
      <c r="M2262" s="368"/>
      <c r="N2262" s="368"/>
      <c r="O2262" s="370"/>
      <c r="T2262" s="349"/>
      <c r="V2262" s="378"/>
      <c r="W2262" s="64" ph="1"/>
      <c r="X2262" s="241"/>
      <c r="Y2262" s="284"/>
      <c r="Z2262" s="207"/>
      <c r="AA2262" s="284"/>
      <c r="AB2262" s="284"/>
      <c r="AC2262" s="284"/>
      <c r="AD2262" s="284"/>
      <c r="AE2262" s="284"/>
      <c r="AF2262" s="284"/>
      <c r="AG2262" s="284"/>
    </row>
    <row r="2263" spans="1:33" ht="26.4">
      <c r="A2263" s="284"/>
      <c r="B2263" s="284"/>
      <c r="C2263" s="284"/>
      <c r="D2263" s="284"/>
      <c r="E2263" s="284"/>
      <c r="F2263" s="284"/>
      <c r="G2263" s="284"/>
      <c r="H2263" s="284"/>
      <c r="I2263" s="284"/>
      <c r="J2263" s="375"/>
      <c r="K2263" s="375"/>
      <c r="L2263" s="375"/>
      <c r="M2263" s="368"/>
      <c r="N2263" s="368"/>
      <c r="O2263" s="370"/>
      <c r="T2263" s="349"/>
      <c r="V2263" s="378"/>
      <c r="W2263" s="64" ph="1"/>
      <c r="X2263" s="241"/>
      <c r="Y2263" s="284"/>
      <c r="Z2263" s="207"/>
      <c r="AA2263" s="284"/>
      <c r="AB2263" s="284"/>
      <c r="AC2263" s="284"/>
      <c r="AD2263" s="284"/>
      <c r="AE2263" s="284"/>
      <c r="AF2263" s="284"/>
      <c r="AG2263" s="284"/>
    </row>
    <row r="2264" spans="1:33" ht="26.4">
      <c r="A2264" s="284"/>
      <c r="B2264" s="284"/>
      <c r="C2264" s="284"/>
      <c r="D2264" s="284"/>
      <c r="E2264" s="284"/>
      <c r="F2264" s="284"/>
      <c r="G2264" s="284"/>
      <c r="H2264" s="284"/>
      <c r="I2264" s="284"/>
      <c r="J2264" s="375"/>
      <c r="K2264" s="375"/>
      <c r="L2264" s="375"/>
      <c r="M2264" s="368"/>
      <c r="N2264" s="368"/>
      <c r="O2264" s="370"/>
      <c r="T2264" s="349"/>
      <c r="V2264" s="378"/>
      <c r="W2264" s="64" ph="1"/>
      <c r="X2264" s="241"/>
      <c r="Y2264" s="284"/>
      <c r="Z2264" s="207"/>
      <c r="AA2264" s="284"/>
      <c r="AB2264" s="284"/>
      <c r="AC2264" s="284"/>
      <c r="AD2264" s="284"/>
      <c r="AE2264" s="284"/>
      <c r="AF2264" s="284"/>
      <c r="AG2264" s="284"/>
    </row>
    <row r="2265" spans="1:33" ht="26.4">
      <c r="A2265" s="284"/>
      <c r="B2265" s="284"/>
      <c r="C2265" s="284"/>
      <c r="D2265" s="284"/>
      <c r="E2265" s="284"/>
      <c r="F2265" s="284"/>
      <c r="G2265" s="284"/>
      <c r="H2265" s="284"/>
      <c r="I2265" s="284"/>
      <c r="J2265" s="375"/>
      <c r="K2265" s="375"/>
      <c r="L2265" s="375"/>
      <c r="M2265" s="368"/>
      <c r="N2265" s="368"/>
      <c r="O2265" s="370"/>
      <c r="T2265" s="349"/>
      <c r="V2265" s="378"/>
      <c r="W2265" s="64" ph="1"/>
      <c r="X2265" s="241"/>
      <c r="Y2265" s="284"/>
      <c r="Z2265" s="207"/>
      <c r="AA2265" s="284"/>
      <c r="AB2265" s="284"/>
      <c r="AC2265" s="284"/>
      <c r="AD2265" s="284"/>
      <c r="AE2265" s="284"/>
      <c r="AF2265" s="284"/>
      <c r="AG2265" s="284"/>
    </row>
    <row r="2266" spans="1:33" ht="26.4">
      <c r="A2266" s="284"/>
      <c r="B2266" s="284"/>
      <c r="C2266" s="284"/>
      <c r="D2266" s="284"/>
      <c r="E2266" s="284"/>
      <c r="F2266" s="284"/>
      <c r="G2266" s="284"/>
      <c r="H2266" s="284"/>
      <c r="I2266" s="284"/>
      <c r="J2266" s="375"/>
      <c r="K2266" s="375"/>
      <c r="L2266" s="375"/>
      <c r="M2266" s="368"/>
      <c r="N2266" s="368"/>
      <c r="O2266" s="370"/>
      <c r="T2266" s="349"/>
      <c r="V2266" s="378"/>
      <c r="W2266" s="64" ph="1"/>
      <c r="X2266" s="241"/>
      <c r="Y2266" s="284"/>
      <c r="Z2266" s="207"/>
      <c r="AA2266" s="284"/>
      <c r="AB2266" s="284"/>
      <c r="AC2266" s="284"/>
      <c r="AD2266" s="284"/>
      <c r="AE2266" s="284"/>
      <c r="AF2266" s="284"/>
      <c r="AG2266" s="284"/>
    </row>
    <row r="2267" spans="1:33" ht="26.4">
      <c r="A2267" s="284"/>
      <c r="B2267" s="284"/>
      <c r="C2267" s="284"/>
      <c r="D2267" s="284"/>
      <c r="E2267" s="284"/>
      <c r="F2267" s="284"/>
      <c r="G2267" s="284"/>
      <c r="H2267" s="284"/>
      <c r="I2267" s="284"/>
      <c r="J2267" s="375"/>
      <c r="K2267" s="375"/>
      <c r="L2267" s="375"/>
      <c r="M2267" s="368"/>
      <c r="N2267" s="368"/>
      <c r="O2267" s="370"/>
      <c r="T2267" s="349"/>
      <c r="V2267" s="378"/>
      <c r="W2267" s="64" ph="1"/>
      <c r="X2267" s="241"/>
      <c r="Y2267" s="284"/>
      <c r="Z2267" s="207"/>
      <c r="AA2267" s="284"/>
      <c r="AB2267" s="284"/>
      <c r="AC2267" s="284"/>
      <c r="AD2267" s="284"/>
      <c r="AE2267" s="284"/>
      <c r="AF2267" s="284"/>
      <c r="AG2267" s="284"/>
    </row>
    <row r="2268" spans="1:33" ht="26.4">
      <c r="A2268" s="284"/>
      <c r="B2268" s="284"/>
      <c r="C2268" s="284"/>
      <c r="D2268" s="284"/>
      <c r="E2268" s="284"/>
      <c r="F2268" s="284"/>
      <c r="G2268" s="284"/>
      <c r="H2268" s="284"/>
      <c r="I2268" s="284"/>
      <c r="J2268" s="375"/>
      <c r="K2268" s="375"/>
      <c r="L2268" s="375"/>
      <c r="M2268" s="368"/>
      <c r="N2268" s="368"/>
      <c r="O2268" s="370"/>
      <c r="T2268" s="349"/>
      <c r="V2268" s="378"/>
      <c r="W2268" s="64" ph="1"/>
      <c r="X2268" s="241"/>
      <c r="Y2268" s="284"/>
      <c r="Z2268" s="207"/>
      <c r="AA2268" s="284"/>
      <c r="AB2268" s="284"/>
      <c r="AC2268" s="284"/>
      <c r="AD2268" s="284"/>
      <c r="AE2268" s="284"/>
      <c r="AF2268" s="284"/>
      <c r="AG2268" s="284"/>
    </row>
    <row r="2269" spans="1:33" ht="26.4">
      <c r="A2269" s="284"/>
      <c r="B2269" s="284"/>
      <c r="C2269" s="284"/>
      <c r="D2269" s="284"/>
      <c r="E2269" s="284"/>
      <c r="F2269" s="284"/>
      <c r="G2269" s="284"/>
      <c r="H2269" s="284"/>
      <c r="I2269" s="284"/>
      <c r="J2269" s="375"/>
      <c r="K2269" s="375"/>
      <c r="L2269" s="375"/>
      <c r="M2269" s="368"/>
      <c r="N2269" s="368"/>
      <c r="O2269" s="370"/>
      <c r="T2269" s="349"/>
      <c r="V2269" s="378"/>
      <c r="W2269" s="64" ph="1"/>
      <c r="X2269" s="241"/>
      <c r="Y2269" s="284"/>
      <c r="Z2269" s="207"/>
      <c r="AA2269" s="284"/>
      <c r="AB2269" s="284"/>
      <c r="AC2269" s="284"/>
      <c r="AD2269" s="284"/>
      <c r="AE2269" s="284"/>
      <c r="AF2269" s="284"/>
      <c r="AG2269" s="284"/>
    </row>
    <row r="2270" spans="1:33" ht="26.4">
      <c r="A2270" s="284"/>
      <c r="B2270" s="284"/>
      <c r="C2270" s="284"/>
      <c r="D2270" s="284"/>
      <c r="E2270" s="284"/>
      <c r="F2270" s="284"/>
      <c r="G2270" s="284"/>
      <c r="H2270" s="284"/>
      <c r="I2270" s="284"/>
      <c r="J2270" s="375"/>
      <c r="K2270" s="375"/>
      <c r="L2270" s="375"/>
      <c r="M2270" s="368"/>
      <c r="N2270" s="368"/>
      <c r="O2270" s="370"/>
      <c r="T2270" s="349"/>
      <c r="V2270" s="378"/>
      <c r="W2270" s="64" ph="1"/>
      <c r="X2270" s="241"/>
      <c r="Y2270" s="284"/>
      <c r="Z2270" s="207"/>
      <c r="AA2270" s="284"/>
      <c r="AB2270" s="284"/>
      <c r="AC2270" s="284"/>
      <c r="AD2270" s="284"/>
      <c r="AE2270" s="284"/>
      <c r="AF2270" s="284"/>
      <c r="AG2270" s="284"/>
    </row>
    <row r="2271" spans="1:33" ht="26.4">
      <c r="A2271" s="284"/>
      <c r="B2271" s="284"/>
      <c r="C2271" s="284"/>
      <c r="D2271" s="284"/>
      <c r="E2271" s="284"/>
      <c r="F2271" s="284"/>
      <c r="G2271" s="284"/>
      <c r="H2271" s="284"/>
      <c r="I2271" s="284"/>
      <c r="J2271" s="375"/>
      <c r="K2271" s="375"/>
      <c r="L2271" s="375"/>
      <c r="M2271" s="368"/>
      <c r="N2271" s="368"/>
      <c r="O2271" s="370"/>
      <c r="T2271" s="349"/>
      <c r="V2271" s="378"/>
      <c r="W2271" s="64" ph="1"/>
      <c r="X2271" s="241"/>
      <c r="Y2271" s="284"/>
      <c r="Z2271" s="207"/>
      <c r="AA2271" s="284"/>
      <c r="AB2271" s="284"/>
      <c r="AC2271" s="284"/>
      <c r="AD2271" s="284"/>
      <c r="AE2271" s="284"/>
      <c r="AF2271" s="284"/>
      <c r="AG2271" s="284"/>
    </row>
    <row r="2272" spans="1:33" ht="26.4">
      <c r="A2272" s="284"/>
      <c r="B2272" s="284"/>
      <c r="C2272" s="284"/>
      <c r="D2272" s="284"/>
      <c r="E2272" s="284"/>
      <c r="F2272" s="284"/>
      <c r="G2272" s="284"/>
      <c r="H2272" s="284"/>
      <c r="I2272" s="284"/>
      <c r="J2272" s="375"/>
      <c r="K2272" s="375"/>
      <c r="L2272" s="375"/>
      <c r="M2272" s="368"/>
      <c r="N2272" s="368"/>
      <c r="O2272" s="370"/>
      <c r="T2272" s="349"/>
      <c r="V2272" s="378"/>
      <c r="W2272" s="64" ph="1"/>
      <c r="X2272" s="241"/>
      <c r="Y2272" s="284"/>
      <c r="Z2272" s="207"/>
      <c r="AA2272" s="284"/>
      <c r="AB2272" s="284"/>
      <c r="AC2272" s="284"/>
      <c r="AD2272" s="284"/>
      <c r="AE2272" s="284"/>
      <c r="AF2272" s="284"/>
      <c r="AG2272" s="284"/>
    </row>
    <row r="2273" spans="1:33" ht="26.4">
      <c r="A2273" s="284"/>
      <c r="B2273" s="284"/>
      <c r="C2273" s="284"/>
      <c r="D2273" s="284"/>
      <c r="E2273" s="284"/>
      <c r="F2273" s="284"/>
      <c r="G2273" s="284"/>
      <c r="H2273" s="284"/>
      <c r="I2273" s="284"/>
      <c r="J2273" s="375"/>
      <c r="K2273" s="375"/>
      <c r="L2273" s="375"/>
      <c r="M2273" s="368"/>
      <c r="N2273" s="368"/>
      <c r="O2273" s="370"/>
      <c r="T2273" s="349"/>
      <c r="V2273" s="378"/>
      <c r="W2273" s="64" ph="1"/>
      <c r="X2273" s="241"/>
      <c r="Y2273" s="284"/>
      <c r="Z2273" s="207"/>
      <c r="AA2273" s="284"/>
      <c r="AB2273" s="284"/>
      <c r="AC2273" s="284"/>
      <c r="AD2273" s="284"/>
      <c r="AE2273" s="284"/>
      <c r="AF2273" s="284"/>
      <c r="AG2273" s="284"/>
    </row>
    <row r="2274" spans="1:33" ht="26.4">
      <c r="A2274" s="284"/>
      <c r="B2274" s="284"/>
      <c r="C2274" s="284"/>
      <c r="D2274" s="284"/>
      <c r="E2274" s="284"/>
      <c r="F2274" s="284"/>
      <c r="G2274" s="284"/>
      <c r="H2274" s="284"/>
      <c r="I2274" s="284"/>
      <c r="J2274" s="375"/>
      <c r="K2274" s="375"/>
      <c r="L2274" s="375"/>
      <c r="M2274" s="368"/>
      <c r="N2274" s="368"/>
      <c r="O2274" s="370"/>
      <c r="T2274" s="349"/>
      <c r="V2274" s="378"/>
      <c r="W2274" s="64" ph="1"/>
      <c r="X2274" s="241"/>
      <c r="Y2274" s="284"/>
      <c r="Z2274" s="207"/>
      <c r="AA2274" s="284"/>
      <c r="AB2274" s="284"/>
      <c r="AC2274" s="284"/>
      <c r="AD2274" s="284"/>
      <c r="AE2274" s="284"/>
      <c r="AF2274" s="284"/>
      <c r="AG2274" s="284"/>
    </row>
    <row r="2275" spans="1:33" ht="26.4">
      <c r="A2275" s="284"/>
      <c r="B2275" s="284"/>
      <c r="C2275" s="284"/>
      <c r="D2275" s="284"/>
      <c r="E2275" s="284"/>
      <c r="F2275" s="284"/>
      <c r="G2275" s="284"/>
      <c r="H2275" s="284"/>
      <c r="I2275" s="284"/>
      <c r="J2275" s="375"/>
      <c r="K2275" s="375"/>
      <c r="L2275" s="375"/>
      <c r="M2275" s="368"/>
      <c r="N2275" s="368"/>
      <c r="O2275" s="370"/>
      <c r="T2275" s="349"/>
      <c r="V2275" s="378"/>
      <c r="W2275" s="64" ph="1"/>
      <c r="X2275" s="241"/>
      <c r="Y2275" s="284"/>
      <c r="Z2275" s="207"/>
      <c r="AA2275" s="284"/>
      <c r="AB2275" s="284"/>
      <c r="AC2275" s="284"/>
      <c r="AD2275" s="284"/>
      <c r="AE2275" s="284"/>
      <c r="AF2275" s="284"/>
      <c r="AG2275" s="284"/>
    </row>
    <row r="2276" spans="1:33" ht="26.4">
      <c r="A2276" s="284"/>
      <c r="B2276" s="284"/>
      <c r="C2276" s="284"/>
      <c r="D2276" s="284"/>
      <c r="E2276" s="284"/>
      <c r="F2276" s="284"/>
      <c r="G2276" s="284"/>
      <c r="H2276" s="284"/>
      <c r="I2276" s="284"/>
      <c r="J2276" s="375"/>
      <c r="K2276" s="375"/>
      <c r="L2276" s="375"/>
      <c r="M2276" s="368"/>
      <c r="N2276" s="368"/>
      <c r="O2276" s="370"/>
      <c r="T2276" s="349"/>
      <c r="V2276" s="378"/>
      <c r="W2276" s="64" ph="1"/>
      <c r="X2276" s="241"/>
      <c r="Y2276" s="284"/>
      <c r="Z2276" s="207"/>
      <c r="AA2276" s="284"/>
      <c r="AB2276" s="284"/>
      <c r="AC2276" s="284"/>
      <c r="AD2276" s="284"/>
      <c r="AE2276" s="284"/>
      <c r="AF2276" s="284"/>
      <c r="AG2276" s="284"/>
    </row>
    <row r="2277" spans="1:33" ht="26.4">
      <c r="A2277" s="284"/>
      <c r="B2277" s="284"/>
      <c r="C2277" s="284"/>
      <c r="D2277" s="284"/>
      <c r="E2277" s="284"/>
      <c r="F2277" s="284"/>
      <c r="G2277" s="284"/>
      <c r="H2277" s="284"/>
      <c r="I2277" s="284"/>
      <c r="J2277" s="375"/>
      <c r="K2277" s="375"/>
      <c r="L2277" s="375"/>
      <c r="M2277" s="368"/>
      <c r="N2277" s="368"/>
      <c r="O2277" s="370"/>
      <c r="T2277" s="349"/>
      <c r="V2277" s="378"/>
      <c r="W2277" s="64" ph="1"/>
      <c r="X2277" s="241"/>
      <c r="Y2277" s="284"/>
      <c r="Z2277" s="207"/>
      <c r="AA2277" s="284"/>
      <c r="AB2277" s="284"/>
      <c r="AC2277" s="284"/>
      <c r="AD2277" s="284"/>
      <c r="AE2277" s="284"/>
      <c r="AF2277" s="284"/>
      <c r="AG2277" s="284"/>
    </row>
    <row r="2278" spans="1:33" ht="26.4">
      <c r="A2278" s="284"/>
      <c r="B2278" s="284"/>
      <c r="C2278" s="284"/>
      <c r="D2278" s="284"/>
      <c r="E2278" s="284"/>
      <c r="F2278" s="284"/>
      <c r="G2278" s="284"/>
      <c r="H2278" s="284"/>
      <c r="I2278" s="284"/>
      <c r="J2278" s="375"/>
      <c r="K2278" s="375"/>
      <c r="L2278" s="375"/>
      <c r="M2278" s="368"/>
      <c r="N2278" s="368"/>
      <c r="O2278" s="370"/>
      <c r="T2278" s="349"/>
      <c r="V2278" s="378"/>
      <c r="W2278" s="64" ph="1"/>
      <c r="X2278" s="241"/>
      <c r="Y2278" s="284"/>
      <c r="Z2278" s="207"/>
      <c r="AA2278" s="284"/>
      <c r="AB2278" s="284"/>
      <c r="AC2278" s="284"/>
      <c r="AD2278" s="284"/>
      <c r="AE2278" s="284"/>
      <c r="AF2278" s="284"/>
      <c r="AG2278" s="284"/>
    </row>
    <row r="2279" spans="1:33" ht="26.4">
      <c r="A2279" s="284"/>
      <c r="B2279" s="284"/>
      <c r="C2279" s="284"/>
      <c r="D2279" s="284"/>
      <c r="E2279" s="284"/>
      <c r="F2279" s="284"/>
      <c r="G2279" s="284"/>
      <c r="H2279" s="284"/>
      <c r="I2279" s="284"/>
      <c r="J2279" s="375"/>
      <c r="K2279" s="375"/>
      <c r="L2279" s="375"/>
      <c r="M2279" s="368"/>
      <c r="N2279" s="368"/>
      <c r="O2279" s="370"/>
      <c r="T2279" s="349"/>
      <c r="V2279" s="378"/>
      <c r="W2279" s="64" ph="1"/>
      <c r="X2279" s="241"/>
      <c r="Y2279" s="284"/>
      <c r="Z2279" s="207"/>
      <c r="AA2279" s="284"/>
      <c r="AB2279" s="284"/>
      <c r="AC2279" s="284"/>
      <c r="AD2279" s="284"/>
      <c r="AE2279" s="284"/>
      <c r="AF2279" s="284"/>
      <c r="AG2279" s="284"/>
    </row>
    <row r="2280" spans="1:33" ht="26.4">
      <c r="A2280" s="284"/>
      <c r="B2280" s="284"/>
      <c r="C2280" s="284"/>
      <c r="D2280" s="284"/>
      <c r="E2280" s="284"/>
      <c r="F2280" s="284"/>
      <c r="G2280" s="284"/>
      <c r="H2280" s="284"/>
      <c r="I2280" s="284"/>
      <c r="J2280" s="375"/>
      <c r="K2280" s="375"/>
      <c r="L2280" s="375"/>
      <c r="M2280" s="368"/>
      <c r="N2280" s="368"/>
      <c r="O2280" s="370"/>
      <c r="T2280" s="349"/>
      <c r="V2280" s="378"/>
      <c r="W2280" s="64" ph="1"/>
      <c r="X2280" s="241"/>
      <c r="Y2280" s="284"/>
      <c r="Z2280" s="207"/>
      <c r="AA2280" s="284"/>
      <c r="AB2280" s="284"/>
      <c r="AC2280" s="284"/>
      <c r="AD2280" s="284"/>
      <c r="AE2280" s="284"/>
      <c r="AF2280" s="284"/>
      <c r="AG2280" s="284"/>
    </row>
    <row r="2281" spans="1:33" ht="26.4">
      <c r="A2281" s="284"/>
      <c r="B2281" s="284"/>
      <c r="C2281" s="284"/>
      <c r="D2281" s="284"/>
      <c r="E2281" s="284"/>
      <c r="F2281" s="284"/>
      <c r="G2281" s="284"/>
      <c r="H2281" s="284"/>
      <c r="I2281" s="284"/>
      <c r="J2281" s="375"/>
      <c r="K2281" s="375"/>
      <c r="L2281" s="375"/>
      <c r="M2281" s="368"/>
      <c r="N2281" s="368"/>
      <c r="O2281" s="370"/>
      <c r="T2281" s="349"/>
      <c r="V2281" s="378"/>
      <c r="W2281" s="64" ph="1"/>
      <c r="X2281" s="241"/>
      <c r="Y2281" s="284"/>
      <c r="Z2281" s="207"/>
      <c r="AA2281" s="284"/>
      <c r="AB2281" s="284"/>
      <c r="AC2281" s="284"/>
      <c r="AD2281" s="284"/>
      <c r="AE2281" s="284"/>
      <c r="AF2281" s="284"/>
      <c r="AG2281" s="284"/>
    </row>
    <row r="2282" spans="1:33" ht="26.4">
      <c r="A2282" s="284"/>
      <c r="B2282" s="284"/>
      <c r="C2282" s="284"/>
      <c r="D2282" s="284"/>
      <c r="E2282" s="284"/>
      <c r="F2282" s="284"/>
      <c r="G2282" s="284"/>
      <c r="H2282" s="284"/>
      <c r="I2282" s="284"/>
      <c r="J2282" s="375"/>
      <c r="K2282" s="375"/>
      <c r="L2282" s="375"/>
      <c r="M2282" s="368"/>
      <c r="N2282" s="368"/>
      <c r="O2282" s="370"/>
      <c r="T2282" s="349"/>
      <c r="V2282" s="378"/>
      <c r="W2282" s="64" ph="1"/>
      <c r="X2282" s="241"/>
      <c r="Y2282" s="284"/>
      <c r="Z2282" s="207"/>
      <c r="AA2282" s="284"/>
      <c r="AB2282" s="284"/>
      <c r="AC2282" s="284"/>
      <c r="AD2282" s="284"/>
      <c r="AE2282" s="284"/>
      <c r="AF2282" s="284"/>
      <c r="AG2282" s="284"/>
    </row>
    <row r="2283" spans="1:33" ht="26.4">
      <c r="A2283" s="284"/>
      <c r="B2283" s="284"/>
      <c r="C2283" s="284"/>
      <c r="D2283" s="284"/>
      <c r="E2283" s="284"/>
      <c r="F2283" s="284"/>
      <c r="G2283" s="284"/>
      <c r="H2283" s="284"/>
      <c r="I2283" s="284"/>
      <c r="J2283" s="375"/>
      <c r="K2283" s="375"/>
      <c r="L2283" s="375"/>
      <c r="M2283" s="368"/>
      <c r="N2283" s="368"/>
      <c r="O2283" s="370"/>
      <c r="T2283" s="349"/>
      <c r="V2283" s="378"/>
      <c r="W2283" s="64" ph="1"/>
      <c r="X2283" s="241"/>
      <c r="Y2283" s="284"/>
      <c r="Z2283" s="207"/>
      <c r="AA2283" s="284"/>
      <c r="AB2283" s="284"/>
      <c r="AC2283" s="284"/>
      <c r="AD2283" s="284"/>
      <c r="AE2283" s="284"/>
      <c r="AF2283" s="284"/>
      <c r="AG2283" s="284"/>
    </row>
    <row r="2284" spans="1:33" ht="26.4">
      <c r="A2284" s="284"/>
      <c r="B2284" s="284"/>
      <c r="C2284" s="284"/>
      <c r="D2284" s="284"/>
      <c r="E2284" s="284"/>
      <c r="F2284" s="284"/>
      <c r="G2284" s="284"/>
      <c r="H2284" s="284"/>
      <c r="I2284" s="284"/>
      <c r="J2284" s="375"/>
      <c r="K2284" s="375"/>
      <c r="L2284" s="375"/>
      <c r="M2284" s="368"/>
      <c r="N2284" s="368"/>
      <c r="O2284" s="370"/>
      <c r="T2284" s="349"/>
      <c r="V2284" s="378"/>
      <c r="W2284" s="64" ph="1"/>
      <c r="X2284" s="241"/>
      <c r="Y2284" s="284"/>
      <c r="Z2284" s="207"/>
      <c r="AA2284" s="284"/>
      <c r="AB2284" s="284"/>
      <c r="AC2284" s="284"/>
      <c r="AD2284" s="284"/>
      <c r="AE2284" s="284"/>
      <c r="AF2284" s="284"/>
      <c r="AG2284" s="284"/>
    </row>
    <row r="2285" spans="1:33" ht="26.4">
      <c r="A2285" s="284"/>
      <c r="B2285" s="284"/>
      <c r="C2285" s="284"/>
      <c r="D2285" s="284"/>
      <c r="E2285" s="284"/>
      <c r="F2285" s="284"/>
      <c r="G2285" s="284"/>
      <c r="H2285" s="284"/>
      <c r="I2285" s="284"/>
      <c r="J2285" s="375"/>
      <c r="K2285" s="375"/>
      <c r="L2285" s="375"/>
      <c r="M2285" s="368"/>
      <c r="N2285" s="368"/>
      <c r="O2285" s="370"/>
      <c r="T2285" s="349"/>
      <c r="V2285" s="378"/>
      <c r="W2285" s="64" ph="1"/>
      <c r="X2285" s="241"/>
      <c r="Y2285" s="284"/>
      <c r="Z2285" s="207"/>
      <c r="AA2285" s="284"/>
      <c r="AB2285" s="284"/>
      <c r="AC2285" s="284"/>
      <c r="AD2285" s="284"/>
      <c r="AE2285" s="284"/>
      <c r="AF2285" s="284"/>
      <c r="AG2285" s="284"/>
    </row>
    <row r="2286" spans="1:33" ht="26.4">
      <c r="A2286" s="284"/>
      <c r="B2286" s="284"/>
      <c r="C2286" s="284"/>
      <c r="D2286" s="284"/>
      <c r="E2286" s="284"/>
      <c r="F2286" s="284"/>
      <c r="G2286" s="284"/>
      <c r="H2286" s="284"/>
      <c r="I2286" s="284"/>
      <c r="J2286" s="375"/>
      <c r="K2286" s="375"/>
      <c r="L2286" s="375"/>
      <c r="M2286" s="368"/>
      <c r="N2286" s="368"/>
      <c r="O2286" s="370"/>
      <c r="T2286" s="349"/>
      <c r="V2286" s="378"/>
      <c r="W2286" s="64" ph="1"/>
      <c r="X2286" s="241"/>
      <c r="Y2286" s="284"/>
      <c r="Z2286" s="207"/>
      <c r="AA2286" s="284"/>
      <c r="AB2286" s="284"/>
      <c r="AC2286" s="284"/>
      <c r="AD2286" s="284"/>
      <c r="AE2286" s="284"/>
      <c r="AF2286" s="284"/>
      <c r="AG2286" s="284"/>
    </row>
    <row r="2287" spans="1:33" ht="26.4">
      <c r="A2287" s="284"/>
      <c r="B2287" s="284"/>
      <c r="C2287" s="284"/>
      <c r="D2287" s="284"/>
      <c r="E2287" s="284"/>
      <c r="F2287" s="284"/>
      <c r="G2287" s="284"/>
      <c r="H2287" s="284"/>
      <c r="I2287" s="284"/>
      <c r="J2287" s="375"/>
      <c r="K2287" s="375"/>
      <c r="L2287" s="375"/>
      <c r="M2287" s="368"/>
      <c r="N2287" s="368"/>
      <c r="O2287" s="370"/>
      <c r="T2287" s="349"/>
      <c r="V2287" s="378"/>
      <c r="W2287" s="64" ph="1"/>
      <c r="X2287" s="241"/>
      <c r="Y2287" s="284"/>
      <c r="Z2287" s="207"/>
      <c r="AA2287" s="284"/>
      <c r="AB2287" s="284"/>
      <c r="AC2287" s="284"/>
      <c r="AD2287" s="284"/>
      <c r="AE2287" s="284"/>
      <c r="AF2287" s="284"/>
      <c r="AG2287" s="284"/>
    </row>
    <row r="2288" spans="1:33" ht="26.4">
      <c r="A2288" s="284"/>
      <c r="B2288" s="284"/>
      <c r="C2288" s="284"/>
      <c r="D2288" s="284"/>
      <c r="E2288" s="284"/>
      <c r="F2288" s="284"/>
      <c r="G2288" s="284"/>
      <c r="H2288" s="284"/>
      <c r="I2288" s="284"/>
      <c r="J2288" s="375"/>
      <c r="K2288" s="375"/>
      <c r="L2288" s="375"/>
      <c r="M2288" s="368"/>
      <c r="N2288" s="368"/>
      <c r="O2288" s="370"/>
      <c r="T2288" s="349"/>
      <c r="V2288" s="378"/>
      <c r="W2288" s="64" ph="1"/>
      <c r="X2288" s="241"/>
      <c r="Y2288" s="284"/>
      <c r="Z2288" s="207"/>
      <c r="AA2288" s="284"/>
      <c r="AB2288" s="284"/>
      <c r="AC2288" s="284"/>
      <c r="AD2288" s="284"/>
      <c r="AE2288" s="284"/>
      <c r="AF2288" s="284"/>
      <c r="AG2288" s="284"/>
    </row>
    <row r="2289" spans="1:33" ht="26.4">
      <c r="A2289" s="284"/>
      <c r="B2289" s="284"/>
      <c r="C2289" s="284"/>
      <c r="D2289" s="284"/>
      <c r="E2289" s="284"/>
      <c r="F2289" s="284"/>
      <c r="G2289" s="284"/>
      <c r="H2289" s="284"/>
      <c r="I2289" s="284"/>
      <c r="J2289" s="375"/>
      <c r="K2289" s="375"/>
      <c r="L2289" s="375"/>
      <c r="M2289" s="368"/>
      <c r="N2289" s="368"/>
      <c r="O2289" s="370"/>
      <c r="T2289" s="349"/>
      <c r="V2289" s="378"/>
      <c r="W2289" s="64" ph="1"/>
      <c r="X2289" s="241"/>
      <c r="Y2289" s="284"/>
      <c r="Z2289" s="207"/>
      <c r="AA2289" s="284"/>
      <c r="AB2289" s="284"/>
      <c r="AC2289" s="284"/>
      <c r="AD2289" s="284"/>
      <c r="AE2289" s="284"/>
      <c r="AF2289" s="284"/>
      <c r="AG2289" s="284"/>
    </row>
    <row r="2290" spans="1:33" ht="26.4">
      <c r="A2290" s="284"/>
      <c r="B2290" s="284"/>
      <c r="C2290" s="284"/>
      <c r="D2290" s="284"/>
      <c r="E2290" s="284"/>
      <c r="F2290" s="284"/>
      <c r="G2290" s="284"/>
      <c r="H2290" s="284"/>
      <c r="I2290" s="284"/>
      <c r="J2290" s="375"/>
      <c r="K2290" s="375"/>
      <c r="L2290" s="375"/>
      <c r="M2290" s="368"/>
      <c r="N2290" s="368"/>
      <c r="O2290" s="370"/>
      <c r="T2290" s="349"/>
      <c r="V2290" s="378"/>
      <c r="W2290" s="64" ph="1"/>
      <c r="X2290" s="241"/>
      <c r="Y2290" s="284"/>
      <c r="Z2290" s="207"/>
      <c r="AA2290" s="284"/>
      <c r="AB2290" s="284"/>
      <c r="AC2290" s="284"/>
      <c r="AD2290" s="284"/>
      <c r="AE2290" s="284"/>
      <c r="AF2290" s="284"/>
      <c r="AG2290" s="284"/>
    </row>
    <row r="2291" spans="1:33" ht="26.4">
      <c r="A2291" s="284"/>
      <c r="B2291" s="284"/>
      <c r="C2291" s="284"/>
      <c r="D2291" s="284"/>
      <c r="E2291" s="284"/>
      <c r="F2291" s="284"/>
      <c r="G2291" s="284"/>
      <c r="H2291" s="284"/>
      <c r="I2291" s="284"/>
      <c r="J2291" s="375"/>
      <c r="K2291" s="375"/>
      <c r="L2291" s="375"/>
      <c r="M2291" s="368"/>
      <c r="N2291" s="368"/>
      <c r="O2291" s="370"/>
      <c r="T2291" s="349"/>
      <c r="V2291" s="378"/>
      <c r="W2291" s="64" ph="1"/>
      <c r="X2291" s="241"/>
      <c r="Y2291" s="284"/>
      <c r="Z2291" s="207"/>
      <c r="AA2291" s="284"/>
      <c r="AB2291" s="284"/>
      <c r="AC2291" s="284"/>
      <c r="AD2291" s="284"/>
      <c r="AE2291" s="284"/>
      <c r="AF2291" s="284"/>
      <c r="AG2291" s="284"/>
    </row>
    <row r="2292" spans="1:33" ht="26.4">
      <c r="A2292" s="284"/>
      <c r="B2292" s="284"/>
      <c r="C2292" s="284"/>
      <c r="D2292" s="284"/>
      <c r="E2292" s="284"/>
      <c r="F2292" s="284"/>
      <c r="G2292" s="284"/>
      <c r="H2292" s="284"/>
      <c r="I2292" s="284"/>
      <c r="J2292" s="375"/>
      <c r="K2292" s="375"/>
      <c r="L2292" s="375"/>
      <c r="M2292" s="368"/>
      <c r="N2292" s="368"/>
      <c r="O2292" s="370"/>
      <c r="T2292" s="349"/>
      <c r="V2292" s="378"/>
      <c r="W2292" s="64" ph="1"/>
      <c r="X2292" s="241"/>
      <c r="Y2292" s="284"/>
      <c r="Z2292" s="207"/>
      <c r="AA2292" s="284"/>
      <c r="AB2292" s="284"/>
      <c r="AC2292" s="284"/>
      <c r="AD2292" s="284"/>
      <c r="AE2292" s="284"/>
      <c r="AF2292" s="284"/>
      <c r="AG2292" s="284"/>
    </row>
    <row r="2293" spans="1:33" ht="26.4">
      <c r="A2293" s="284"/>
      <c r="B2293" s="284"/>
      <c r="C2293" s="284"/>
      <c r="D2293" s="284"/>
      <c r="E2293" s="284"/>
      <c r="F2293" s="284"/>
      <c r="G2293" s="284"/>
      <c r="H2293" s="284"/>
      <c r="I2293" s="284"/>
      <c r="J2293" s="375"/>
      <c r="K2293" s="375"/>
      <c r="L2293" s="375"/>
      <c r="M2293" s="368"/>
      <c r="N2293" s="368"/>
      <c r="O2293" s="370"/>
      <c r="T2293" s="349"/>
      <c r="V2293" s="378"/>
      <c r="W2293" s="64" ph="1"/>
      <c r="X2293" s="241"/>
      <c r="Y2293" s="284"/>
      <c r="Z2293" s="207"/>
      <c r="AA2293" s="284"/>
      <c r="AB2293" s="284"/>
      <c r="AC2293" s="284"/>
      <c r="AD2293" s="284"/>
      <c r="AE2293" s="284"/>
      <c r="AF2293" s="284"/>
      <c r="AG2293" s="284"/>
    </row>
    <row r="2294" spans="1:33" ht="26.4">
      <c r="A2294" s="284"/>
      <c r="B2294" s="284"/>
      <c r="C2294" s="284"/>
      <c r="D2294" s="284"/>
      <c r="E2294" s="284"/>
      <c r="F2294" s="284"/>
      <c r="G2294" s="284"/>
      <c r="H2294" s="284"/>
      <c r="I2294" s="284"/>
      <c r="J2294" s="375"/>
      <c r="K2294" s="375"/>
      <c r="L2294" s="375"/>
      <c r="M2294" s="368"/>
      <c r="N2294" s="368"/>
      <c r="O2294" s="370"/>
      <c r="T2294" s="349"/>
      <c r="V2294" s="378"/>
      <c r="W2294" s="64" ph="1"/>
      <c r="X2294" s="241"/>
      <c r="Y2294" s="284"/>
      <c r="Z2294" s="207"/>
      <c r="AA2294" s="284"/>
      <c r="AB2294" s="284"/>
      <c r="AC2294" s="284"/>
      <c r="AD2294" s="284"/>
      <c r="AE2294" s="284"/>
      <c r="AF2294" s="284"/>
      <c r="AG2294" s="284"/>
    </row>
    <row r="2295" spans="1:33" ht="26.4">
      <c r="A2295" s="284"/>
      <c r="B2295" s="284"/>
      <c r="C2295" s="284"/>
      <c r="D2295" s="284"/>
      <c r="E2295" s="284"/>
      <c r="F2295" s="284"/>
      <c r="G2295" s="284"/>
      <c r="H2295" s="284"/>
      <c r="I2295" s="284"/>
      <c r="J2295" s="375"/>
      <c r="K2295" s="375"/>
      <c r="L2295" s="375"/>
      <c r="M2295" s="368"/>
      <c r="N2295" s="368"/>
      <c r="O2295" s="370"/>
      <c r="T2295" s="349"/>
      <c r="V2295" s="378"/>
      <c r="W2295" s="64" ph="1"/>
      <c r="X2295" s="241"/>
      <c r="Y2295" s="284"/>
      <c r="Z2295" s="207"/>
      <c r="AA2295" s="284"/>
      <c r="AB2295" s="284"/>
      <c r="AC2295" s="284"/>
      <c r="AD2295" s="284"/>
      <c r="AE2295" s="284"/>
      <c r="AF2295" s="284"/>
      <c r="AG2295" s="284"/>
    </row>
    <row r="2296" spans="1:33" ht="26.4">
      <c r="A2296" s="284"/>
      <c r="B2296" s="284"/>
      <c r="C2296" s="284"/>
      <c r="D2296" s="284"/>
      <c r="E2296" s="284"/>
      <c r="F2296" s="284"/>
      <c r="G2296" s="284"/>
      <c r="H2296" s="284"/>
      <c r="I2296" s="284"/>
      <c r="J2296" s="375"/>
      <c r="K2296" s="375"/>
      <c r="L2296" s="375"/>
      <c r="M2296" s="368"/>
      <c r="N2296" s="368"/>
      <c r="O2296" s="370"/>
      <c r="T2296" s="349"/>
      <c r="V2296" s="378"/>
      <c r="W2296" s="64" ph="1"/>
      <c r="X2296" s="241"/>
      <c r="Y2296" s="284"/>
      <c r="Z2296" s="207"/>
      <c r="AA2296" s="284"/>
      <c r="AB2296" s="284"/>
      <c r="AC2296" s="284"/>
      <c r="AD2296" s="284"/>
      <c r="AE2296" s="284"/>
      <c r="AF2296" s="284"/>
      <c r="AG2296" s="284"/>
    </row>
    <row r="2297" spans="1:33" ht="26.4">
      <c r="A2297" s="284"/>
      <c r="B2297" s="284"/>
      <c r="C2297" s="284"/>
      <c r="D2297" s="284"/>
      <c r="E2297" s="284"/>
      <c r="F2297" s="284"/>
      <c r="G2297" s="284"/>
      <c r="H2297" s="284"/>
      <c r="I2297" s="284"/>
      <c r="J2297" s="375"/>
      <c r="K2297" s="375"/>
      <c r="L2297" s="375"/>
      <c r="M2297" s="368"/>
      <c r="N2297" s="368"/>
      <c r="O2297" s="370"/>
      <c r="T2297" s="349"/>
      <c r="V2297" s="378"/>
      <c r="W2297" s="64" ph="1"/>
      <c r="X2297" s="241"/>
      <c r="Y2297" s="284"/>
      <c r="Z2297" s="207"/>
      <c r="AA2297" s="284"/>
      <c r="AB2297" s="284"/>
      <c r="AC2297" s="284"/>
      <c r="AD2297" s="284"/>
      <c r="AE2297" s="284"/>
      <c r="AF2297" s="284"/>
      <c r="AG2297" s="284"/>
    </row>
    <row r="2298" spans="1:33" ht="26.4">
      <c r="A2298" s="284"/>
      <c r="B2298" s="284"/>
      <c r="C2298" s="284"/>
      <c r="D2298" s="284"/>
      <c r="E2298" s="284"/>
      <c r="F2298" s="284"/>
      <c r="G2298" s="284"/>
      <c r="H2298" s="284"/>
      <c r="I2298" s="284"/>
      <c r="J2298" s="375"/>
      <c r="K2298" s="375"/>
      <c r="L2298" s="375"/>
      <c r="M2298" s="368"/>
      <c r="N2298" s="368"/>
      <c r="O2298" s="370"/>
      <c r="T2298" s="349"/>
      <c r="V2298" s="378"/>
      <c r="W2298" s="64" ph="1"/>
      <c r="X2298" s="241"/>
      <c r="Y2298" s="284"/>
      <c r="Z2298" s="207"/>
      <c r="AA2298" s="284"/>
      <c r="AB2298" s="284"/>
      <c r="AC2298" s="284"/>
      <c r="AD2298" s="284"/>
      <c r="AE2298" s="284"/>
      <c r="AF2298" s="284"/>
      <c r="AG2298" s="284"/>
    </row>
    <row r="2299" spans="1:33" ht="26.4">
      <c r="A2299" s="284"/>
      <c r="B2299" s="284"/>
      <c r="C2299" s="284"/>
      <c r="D2299" s="284"/>
      <c r="E2299" s="284"/>
      <c r="F2299" s="284"/>
      <c r="G2299" s="284"/>
      <c r="H2299" s="284"/>
      <c r="I2299" s="284"/>
      <c r="J2299" s="375"/>
      <c r="K2299" s="375"/>
      <c r="L2299" s="375"/>
      <c r="M2299" s="368"/>
      <c r="N2299" s="368"/>
      <c r="O2299" s="370"/>
      <c r="T2299" s="349"/>
      <c r="V2299" s="378"/>
      <c r="W2299" s="64" ph="1"/>
      <c r="X2299" s="241"/>
      <c r="Y2299" s="284"/>
      <c r="Z2299" s="207"/>
      <c r="AA2299" s="284"/>
      <c r="AB2299" s="284"/>
      <c r="AC2299" s="284"/>
      <c r="AD2299" s="284"/>
      <c r="AE2299" s="284"/>
      <c r="AF2299" s="284"/>
      <c r="AG2299" s="284"/>
    </row>
    <row r="2300" spans="1:33" ht="26.4">
      <c r="A2300" s="284"/>
      <c r="B2300" s="284"/>
      <c r="C2300" s="284"/>
      <c r="D2300" s="284"/>
      <c r="E2300" s="284"/>
      <c r="F2300" s="284"/>
      <c r="G2300" s="284"/>
      <c r="H2300" s="284"/>
      <c r="I2300" s="284"/>
      <c r="J2300" s="375"/>
      <c r="K2300" s="375"/>
      <c r="L2300" s="375"/>
      <c r="M2300" s="368"/>
      <c r="N2300" s="368"/>
      <c r="O2300" s="370"/>
      <c r="T2300" s="349"/>
      <c r="V2300" s="378"/>
      <c r="W2300" s="64" ph="1"/>
      <c r="X2300" s="241"/>
      <c r="Y2300" s="284"/>
      <c r="Z2300" s="207"/>
      <c r="AA2300" s="284"/>
      <c r="AB2300" s="284"/>
      <c r="AC2300" s="284"/>
      <c r="AD2300" s="284"/>
      <c r="AE2300" s="284"/>
      <c r="AF2300" s="284"/>
      <c r="AG2300" s="284"/>
    </row>
    <row r="2301" spans="1:33" ht="26.4">
      <c r="A2301" s="284"/>
      <c r="B2301" s="284"/>
      <c r="C2301" s="284"/>
      <c r="D2301" s="284"/>
      <c r="E2301" s="284"/>
      <c r="F2301" s="284"/>
      <c r="G2301" s="284"/>
      <c r="H2301" s="284"/>
      <c r="I2301" s="284"/>
      <c r="J2301" s="375"/>
      <c r="K2301" s="375"/>
      <c r="L2301" s="375"/>
      <c r="M2301" s="368"/>
      <c r="N2301" s="368"/>
      <c r="O2301" s="370"/>
      <c r="T2301" s="349"/>
      <c r="V2301" s="378"/>
      <c r="W2301" s="64" ph="1"/>
      <c r="X2301" s="241"/>
      <c r="Y2301" s="284"/>
      <c r="Z2301" s="207"/>
      <c r="AA2301" s="284"/>
      <c r="AB2301" s="284"/>
      <c r="AC2301" s="284"/>
      <c r="AD2301" s="284"/>
      <c r="AE2301" s="284"/>
      <c r="AF2301" s="284"/>
      <c r="AG2301" s="284"/>
    </row>
    <row r="2302" spans="1:33" ht="26.4">
      <c r="A2302" s="284"/>
      <c r="B2302" s="284"/>
      <c r="C2302" s="284"/>
      <c r="D2302" s="284"/>
      <c r="E2302" s="284"/>
      <c r="F2302" s="284"/>
      <c r="G2302" s="284"/>
      <c r="H2302" s="284"/>
      <c r="I2302" s="284"/>
      <c r="J2302" s="375"/>
      <c r="K2302" s="375"/>
      <c r="L2302" s="375"/>
      <c r="M2302" s="368"/>
      <c r="N2302" s="368"/>
      <c r="O2302" s="370"/>
      <c r="T2302" s="349"/>
      <c r="V2302" s="378"/>
      <c r="W2302" s="64" ph="1"/>
      <c r="X2302" s="241"/>
      <c r="Y2302" s="284"/>
      <c r="Z2302" s="207"/>
      <c r="AA2302" s="284"/>
      <c r="AB2302" s="284"/>
      <c r="AC2302" s="284"/>
      <c r="AD2302" s="284"/>
      <c r="AE2302" s="284"/>
      <c r="AF2302" s="284"/>
      <c r="AG2302" s="284"/>
    </row>
    <row r="2303" spans="1:33" ht="26.4">
      <c r="A2303" s="284"/>
      <c r="B2303" s="284"/>
      <c r="C2303" s="284"/>
      <c r="D2303" s="284"/>
      <c r="E2303" s="284"/>
      <c r="F2303" s="284"/>
      <c r="G2303" s="284"/>
      <c r="H2303" s="284"/>
      <c r="I2303" s="284"/>
      <c r="J2303" s="375"/>
      <c r="K2303" s="375"/>
      <c r="L2303" s="375"/>
      <c r="M2303" s="368"/>
      <c r="N2303" s="368"/>
      <c r="O2303" s="370"/>
      <c r="T2303" s="349"/>
      <c r="V2303" s="378"/>
      <c r="W2303" s="64" ph="1"/>
      <c r="X2303" s="241"/>
      <c r="Y2303" s="284"/>
      <c r="Z2303" s="207"/>
      <c r="AA2303" s="284"/>
      <c r="AB2303" s="284"/>
      <c r="AC2303" s="284"/>
      <c r="AD2303" s="284"/>
      <c r="AE2303" s="284"/>
      <c r="AF2303" s="284"/>
      <c r="AG2303" s="284"/>
    </row>
    <row r="2304" spans="1:33" ht="26.4">
      <c r="A2304" s="284"/>
      <c r="B2304" s="284"/>
      <c r="C2304" s="284"/>
      <c r="D2304" s="284"/>
      <c r="E2304" s="284"/>
      <c r="F2304" s="284"/>
      <c r="G2304" s="284"/>
      <c r="H2304" s="284"/>
      <c r="I2304" s="284"/>
      <c r="J2304" s="375"/>
      <c r="K2304" s="375"/>
      <c r="L2304" s="375"/>
      <c r="M2304" s="368"/>
      <c r="N2304" s="368"/>
      <c r="O2304" s="370"/>
      <c r="T2304" s="349"/>
      <c r="V2304" s="378"/>
      <c r="W2304" s="64" ph="1"/>
      <c r="X2304" s="241"/>
      <c r="Y2304" s="284"/>
      <c r="Z2304" s="207"/>
      <c r="AA2304" s="284"/>
      <c r="AB2304" s="284"/>
      <c r="AC2304" s="284"/>
      <c r="AD2304" s="284"/>
      <c r="AE2304" s="284"/>
      <c r="AF2304" s="284"/>
      <c r="AG2304" s="284"/>
    </row>
    <row r="2305" spans="1:33" ht="26.4">
      <c r="A2305" s="284"/>
      <c r="B2305" s="284"/>
      <c r="C2305" s="284"/>
      <c r="D2305" s="284"/>
      <c r="E2305" s="284"/>
      <c r="F2305" s="284"/>
      <c r="G2305" s="284"/>
      <c r="H2305" s="284"/>
      <c r="I2305" s="284"/>
      <c r="J2305" s="375"/>
      <c r="K2305" s="375"/>
      <c r="L2305" s="375"/>
      <c r="M2305" s="368"/>
      <c r="N2305" s="368"/>
      <c r="O2305" s="370"/>
      <c r="T2305" s="349"/>
      <c r="V2305" s="378"/>
      <c r="W2305" s="64" ph="1"/>
      <c r="X2305" s="241"/>
      <c r="Y2305" s="284"/>
      <c r="Z2305" s="207"/>
      <c r="AA2305" s="284"/>
      <c r="AB2305" s="284"/>
      <c r="AC2305" s="284"/>
      <c r="AD2305" s="284"/>
      <c r="AE2305" s="284"/>
      <c r="AF2305" s="284"/>
      <c r="AG2305" s="284"/>
    </row>
    <row r="2306" spans="1:33" ht="26.4">
      <c r="A2306" s="284"/>
      <c r="B2306" s="284"/>
      <c r="C2306" s="284"/>
      <c r="D2306" s="284"/>
      <c r="E2306" s="284"/>
      <c r="F2306" s="284"/>
      <c r="G2306" s="284"/>
      <c r="H2306" s="284"/>
      <c r="I2306" s="284"/>
      <c r="J2306" s="375"/>
      <c r="K2306" s="375"/>
      <c r="L2306" s="375"/>
      <c r="M2306" s="368"/>
      <c r="N2306" s="368"/>
      <c r="O2306" s="370"/>
      <c r="T2306" s="349"/>
      <c r="V2306" s="378"/>
      <c r="W2306" s="64" ph="1"/>
      <c r="X2306" s="241"/>
      <c r="Y2306" s="284"/>
      <c r="Z2306" s="207"/>
      <c r="AA2306" s="284"/>
      <c r="AB2306" s="284"/>
      <c r="AC2306" s="284"/>
      <c r="AD2306" s="284"/>
      <c r="AE2306" s="284"/>
      <c r="AF2306" s="284"/>
      <c r="AG2306" s="284"/>
    </row>
    <row r="2307" spans="1:33" ht="26.4">
      <c r="A2307" s="284"/>
      <c r="B2307" s="284"/>
      <c r="C2307" s="284"/>
      <c r="D2307" s="284"/>
      <c r="E2307" s="284"/>
      <c r="F2307" s="284"/>
      <c r="G2307" s="284"/>
      <c r="H2307" s="284"/>
      <c r="I2307" s="284"/>
      <c r="J2307" s="375"/>
      <c r="K2307" s="375"/>
      <c r="L2307" s="375"/>
      <c r="M2307" s="368"/>
      <c r="N2307" s="368"/>
      <c r="O2307" s="370"/>
      <c r="T2307" s="349"/>
      <c r="V2307" s="378"/>
      <c r="W2307" s="64" ph="1"/>
      <c r="X2307" s="241"/>
      <c r="Y2307" s="284"/>
      <c r="Z2307" s="207"/>
      <c r="AA2307" s="284"/>
      <c r="AB2307" s="284"/>
      <c r="AC2307" s="284"/>
      <c r="AD2307" s="284"/>
      <c r="AE2307" s="284"/>
      <c r="AF2307" s="284"/>
      <c r="AG2307" s="284"/>
    </row>
    <row r="2308" spans="1:33" ht="26.4">
      <c r="A2308" s="284"/>
      <c r="B2308" s="284"/>
      <c r="C2308" s="284"/>
      <c r="D2308" s="284"/>
      <c r="E2308" s="284"/>
      <c r="F2308" s="284"/>
      <c r="G2308" s="284"/>
      <c r="H2308" s="284"/>
      <c r="I2308" s="284"/>
      <c r="J2308" s="375"/>
      <c r="K2308" s="375"/>
      <c r="L2308" s="375"/>
      <c r="M2308" s="368"/>
      <c r="N2308" s="368"/>
      <c r="O2308" s="370"/>
      <c r="T2308" s="349"/>
      <c r="V2308" s="378"/>
      <c r="W2308" s="64" ph="1"/>
      <c r="X2308" s="241"/>
      <c r="Y2308" s="284"/>
      <c r="Z2308" s="207"/>
      <c r="AA2308" s="284"/>
      <c r="AB2308" s="284"/>
      <c r="AC2308" s="284"/>
      <c r="AD2308" s="284"/>
      <c r="AE2308" s="284"/>
      <c r="AF2308" s="284"/>
      <c r="AG2308" s="284"/>
    </row>
    <row r="2309" spans="1:33" ht="26.4">
      <c r="A2309" s="284"/>
      <c r="B2309" s="284"/>
      <c r="C2309" s="284"/>
      <c r="D2309" s="284"/>
      <c r="E2309" s="284"/>
      <c r="F2309" s="284"/>
      <c r="G2309" s="284"/>
      <c r="H2309" s="284"/>
      <c r="I2309" s="284"/>
      <c r="J2309" s="375"/>
      <c r="K2309" s="375"/>
      <c r="L2309" s="375"/>
      <c r="M2309" s="368"/>
      <c r="N2309" s="368"/>
      <c r="O2309" s="370"/>
      <c r="T2309" s="349"/>
      <c r="V2309" s="378"/>
      <c r="W2309" s="64" ph="1"/>
      <c r="X2309" s="241"/>
      <c r="Y2309" s="284"/>
      <c r="Z2309" s="207"/>
      <c r="AA2309" s="284"/>
      <c r="AB2309" s="284"/>
      <c r="AC2309" s="284"/>
      <c r="AD2309" s="284"/>
      <c r="AE2309" s="284"/>
      <c r="AF2309" s="284"/>
      <c r="AG2309" s="284"/>
    </row>
    <row r="2310" spans="1:33" ht="26.4">
      <c r="A2310" s="284"/>
      <c r="B2310" s="284"/>
      <c r="C2310" s="284"/>
      <c r="D2310" s="284"/>
      <c r="E2310" s="284"/>
      <c r="F2310" s="284"/>
      <c r="G2310" s="284"/>
      <c r="H2310" s="284"/>
      <c r="I2310" s="284"/>
      <c r="J2310" s="375"/>
      <c r="K2310" s="375"/>
      <c r="L2310" s="375"/>
      <c r="M2310" s="368"/>
      <c r="N2310" s="368"/>
      <c r="O2310" s="370"/>
      <c r="T2310" s="349"/>
      <c r="V2310" s="378"/>
      <c r="W2310" s="64" ph="1"/>
      <c r="X2310" s="241"/>
      <c r="Y2310" s="284"/>
      <c r="Z2310" s="207"/>
      <c r="AA2310" s="284"/>
      <c r="AB2310" s="284"/>
      <c r="AC2310" s="284"/>
      <c r="AD2310" s="284"/>
      <c r="AE2310" s="284"/>
      <c r="AF2310" s="284"/>
      <c r="AG2310" s="284"/>
    </row>
    <row r="2311" spans="1:33" ht="26.4">
      <c r="A2311" s="284"/>
      <c r="B2311" s="284"/>
      <c r="C2311" s="284"/>
      <c r="D2311" s="284"/>
      <c r="E2311" s="284"/>
      <c r="F2311" s="284"/>
      <c r="G2311" s="284"/>
      <c r="H2311" s="284"/>
      <c r="I2311" s="284"/>
      <c r="J2311" s="375"/>
      <c r="K2311" s="375"/>
      <c r="L2311" s="375"/>
      <c r="M2311" s="368"/>
      <c r="N2311" s="368"/>
      <c r="O2311" s="370"/>
      <c r="T2311" s="349"/>
      <c r="V2311" s="378"/>
      <c r="W2311" s="64" ph="1"/>
      <c r="X2311" s="241"/>
      <c r="Y2311" s="284"/>
      <c r="Z2311" s="207"/>
      <c r="AA2311" s="284"/>
      <c r="AB2311" s="284"/>
      <c r="AC2311" s="284"/>
      <c r="AD2311" s="284"/>
      <c r="AE2311" s="284"/>
      <c r="AF2311" s="284"/>
      <c r="AG2311" s="284"/>
    </row>
    <row r="2312" spans="1:33" ht="26.4">
      <c r="A2312" s="284"/>
      <c r="B2312" s="284"/>
      <c r="C2312" s="284"/>
      <c r="D2312" s="284"/>
      <c r="E2312" s="284"/>
      <c r="F2312" s="284"/>
      <c r="G2312" s="284"/>
      <c r="H2312" s="284"/>
      <c r="I2312" s="284"/>
      <c r="J2312" s="375"/>
      <c r="K2312" s="375"/>
      <c r="L2312" s="375"/>
      <c r="M2312" s="368"/>
      <c r="N2312" s="368"/>
      <c r="O2312" s="370"/>
      <c r="T2312" s="349"/>
      <c r="V2312" s="378"/>
      <c r="W2312" s="64" ph="1"/>
      <c r="X2312" s="241"/>
      <c r="Y2312" s="284"/>
      <c r="Z2312" s="207"/>
      <c r="AA2312" s="284"/>
      <c r="AB2312" s="284"/>
      <c r="AC2312" s="284"/>
      <c r="AD2312" s="284"/>
      <c r="AE2312" s="284"/>
      <c r="AF2312" s="284"/>
      <c r="AG2312" s="284"/>
    </row>
    <row r="2313" spans="1:33" ht="26.4">
      <c r="A2313" s="284"/>
      <c r="B2313" s="284"/>
      <c r="C2313" s="284"/>
      <c r="D2313" s="284"/>
      <c r="E2313" s="284"/>
      <c r="F2313" s="284"/>
      <c r="G2313" s="284"/>
      <c r="H2313" s="284"/>
      <c r="I2313" s="284"/>
      <c r="J2313" s="375"/>
      <c r="K2313" s="375"/>
      <c r="L2313" s="375"/>
      <c r="M2313" s="368"/>
      <c r="N2313" s="368"/>
      <c r="O2313" s="370"/>
      <c r="T2313" s="349"/>
      <c r="V2313" s="378"/>
      <c r="W2313" s="64" ph="1"/>
      <c r="X2313" s="241"/>
      <c r="Y2313" s="284"/>
      <c r="Z2313" s="207"/>
      <c r="AA2313" s="284"/>
      <c r="AB2313" s="284"/>
      <c r="AC2313" s="284"/>
      <c r="AD2313" s="284"/>
      <c r="AE2313" s="284"/>
      <c r="AF2313" s="284"/>
      <c r="AG2313" s="284"/>
    </row>
    <row r="2314" spans="1:33" ht="26.4">
      <c r="A2314" s="284"/>
      <c r="B2314" s="284"/>
      <c r="C2314" s="284"/>
      <c r="D2314" s="284"/>
      <c r="E2314" s="284"/>
      <c r="F2314" s="284"/>
      <c r="G2314" s="284"/>
      <c r="H2314" s="284"/>
      <c r="I2314" s="284"/>
      <c r="J2314" s="375"/>
      <c r="K2314" s="375"/>
      <c r="L2314" s="375"/>
      <c r="M2314" s="368"/>
      <c r="N2314" s="368"/>
      <c r="O2314" s="370"/>
      <c r="T2314" s="349"/>
      <c r="V2314" s="378"/>
      <c r="W2314" s="64" ph="1"/>
      <c r="X2314" s="241"/>
      <c r="Y2314" s="284"/>
      <c r="Z2314" s="207"/>
      <c r="AA2314" s="284"/>
      <c r="AB2314" s="284"/>
      <c r="AC2314" s="284"/>
      <c r="AD2314" s="284"/>
      <c r="AE2314" s="284"/>
      <c r="AF2314" s="284"/>
      <c r="AG2314" s="284"/>
    </row>
    <row r="2315" spans="1:33" ht="26.4">
      <c r="A2315" s="284"/>
      <c r="B2315" s="284"/>
      <c r="C2315" s="284"/>
      <c r="D2315" s="284"/>
      <c r="E2315" s="284"/>
      <c r="F2315" s="284"/>
      <c r="G2315" s="284"/>
      <c r="H2315" s="284"/>
      <c r="I2315" s="284"/>
      <c r="J2315" s="375"/>
      <c r="K2315" s="375"/>
      <c r="L2315" s="375"/>
      <c r="M2315" s="368"/>
      <c r="N2315" s="368"/>
      <c r="O2315" s="370"/>
      <c r="T2315" s="349"/>
      <c r="V2315" s="378"/>
      <c r="W2315" s="64" ph="1"/>
      <c r="X2315" s="241"/>
      <c r="Y2315" s="284"/>
      <c r="Z2315" s="207"/>
      <c r="AA2315" s="284"/>
      <c r="AB2315" s="284"/>
      <c r="AC2315" s="284"/>
      <c r="AD2315" s="284"/>
      <c r="AE2315" s="284"/>
      <c r="AF2315" s="284"/>
      <c r="AG2315" s="284"/>
    </row>
    <row r="2316" spans="1:33" ht="26.4">
      <c r="A2316" s="284"/>
      <c r="B2316" s="284"/>
      <c r="C2316" s="284"/>
      <c r="D2316" s="284"/>
      <c r="E2316" s="284"/>
      <c r="F2316" s="284"/>
      <c r="G2316" s="284"/>
      <c r="H2316" s="284"/>
      <c r="I2316" s="284"/>
      <c r="J2316" s="375"/>
      <c r="K2316" s="375"/>
      <c r="L2316" s="375"/>
      <c r="M2316" s="368"/>
      <c r="N2316" s="368"/>
      <c r="O2316" s="370"/>
      <c r="T2316" s="349"/>
      <c r="V2316" s="378"/>
      <c r="W2316" s="64" ph="1"/>
      <c r="X2316" s="241"/>
      <c r="Y2316" s="284"/>
      <c r="Z2316" s="207"/>
      <c r="AA2316" s="284"/>
      <c r="AB2316" s="284"/>
      <c r="AC2316" s="284"/>
      <c r="AD2316" s="284"/>
      <c r="AE2316" s="284"/>
      <c r="AF2316" s="284"/>
      <c r="AG2316" s="284"/>
    </row>
    <row r="2317" spans="1:33" ht="26.4">
      <c r="A2317" s="284"/>
      <c r="B2317" s="284"/>
      <c r="C2317" s="284"/>
      <c r="D2317" s="284"/>
      <c r="E2317" s="284"/>
      <c r="F2317" s="284"/>
      <c r="G2317" s="284"/>
      <c r="H2317" s="284"/>
      <c r="I2317" s="284"/>
      <c r="J2317" s="375"/>
      <c r="K2317" s="375"/>
      <c r="L2317" s="375"/>
      <c r="M2317" s="368"/>
      <c r="N2317" s="368"/>
      <c r="O2317" s="370"/>
      <c r="T2317" s="349"/>
      <c r="V2317" s="378"/>
      <c r="W2317" s="64" ph="1"/>
      <c r="X2317" s="241"/>
      <c r="Y2317" s="284"/>
      <c r="Z2317" s="207"/>
      <c r="AA2317" s="284"/>
      <c r="AB2317" s="284"/>
      <c r="AC2317" s="284"/>
      <c r="AD2317" s="284"/>
      <c r="AE2317" s="284"/>
      <c r="AF2317" s="284"/>
      <c r="AG2317" s="284"/>
    </row>
    <row r="2318" spans="1:33" ht="26.4">
      <c r="A2318" s="284"/>
      <c r="B2318" s="284"/>
      <c r="C2318" s="284"/>
      <c r="D2318" s="284"/>
      <c r="E2318" s="284"/>
      <c r="F2318" s="284"/>
      <c r="G2318" s="284"/>
      <c r="H2318" s="284"/>
      <c r="I2318" s="284"/>
      <c r="J2318" s="375"/>
      <c r="K2318" s="375"/>
      <c r="L2318" s="375"/>
      <c r="M2318" s="368"/>
      <c r="N2318" s="368"/>
      <c r="O2318" s="370"/>
      <c r="T2318" s="349"/>
      <c r="V2318" s="378"/>
      <c r="W2318" s="64" ph="1"/>
      <c r="X2318" s="241"/>
      <c r="Y2318" s="284"/>
      <c r="Z2318" s="207"/>
      <c r="AA2318" s="284"/>
      <c r="AB2318" s="284"/>
      <c r="AC2318" s="284"/>
      <c r="AD2318" s="284"/>
      <c r="AE2318" s="284"/>
      <c r="AF2318" s="284"/>
      <c r="AG2318" s="284"/>
    </row>
    <row r="2319" spans="1:33" ht="26.4">
      <c r="A2319" s="284"/>
      <c r="B2319" s="284"/>
      <c r="C2319" s="284"/>
      <c r="D2319" s="284"/>
      <c r="E2319" s="284"/>
      <c r="F2319" s="284"/>
      <c r="G2319" s="284"/>
      <c r="H2319" s="284"/>
      <c r="I2319" s="284"/>
      <c r="J2319" s="375"/>
      <c r="K2319" s="375"/>
      <c r="L2319" s="375"/>
      <c r="M2319" s="368"/>
      <c r="N2319" s="368"/>
      <c r="O2319" s="370"/>
      <c r="T2319" s="349"/>
      <c r="V2319" s="378"/>
      <c r="W2319" s="64" ph="1"/>
      <c r="X2319" s="241"/>
      <c r="Y2319" s="284"/>
      <c r="Z2319" s="207"/>
      <c r="AA2319" s="284"/>
      <c r="AB2319" s="284"/>
      <c r="AC2319" s="284"/>
      <c r="AD2319" s="284"/>
      <c r="AE2319" s="284"/>
      <c r="AF2319" s="284"/>
      <c r="AG2319" s="284"/>
    </row>
    <row r="2320" spans="1:33" ht="26.4">
      <c r="A2320" s="284"/>
      <c r="B2320" s="284"/>
      <c r="C2320" s="284"/>
      <c r="D2320" s="284"/>
      <c r="E2320" s="284"/>
      <c r="F2320" s="284"/>
      <c r="G2320" s="284"/>
      <c r="H2320" s="284"/>
      <c r="I2320" s="284"/>
      <c r="J2320" s="375"/>
      <c r="K2320" s="375"/>
      <c r="L2320" s="375"/>
      <c r="M2320" s="368"/>
      <c r="N2320" s="368"/>
      <c r="O2320" s="370"/>
      <c r="T2320" s="349"/>
      <c r="V2320" s="378"/>
      <c r="W2320" s="64" ph="1"/>
      <c r="X2320" s="241"/>
      <c r="Y2320" s="284"/>
      <c r="Z2320" s="207"/>
      <c r="AA2320" s="284"/>
      <c r="AB2320" s="284"/>
      <c r="AC2320" s="284"/>
      <c r="AD2320" s="284"/>
      <c r="AE2320" s="284"/>
      <c r="AF2320" s="284"/>
      <c r="AG2320" s="284"/>
    </row>
    <row r="2321" spans="1:33" ht="26.4">
      <c r="A2321" s="284"/>
      <c r="B2321" s="284"/>
      <c r="C2321" s="284"/>
      <c r="D2321" s="284"/>
      <c r="E2321" s="284"/>
      <c r="F2321" s="284"/>
      <c r="G2321" s="284"/>
      <c r="H2321" s="284"/>
      <c r="I2321" s="284"/>
      <c r="J2321" s="375"/>
      <c r="K2321" s="375"/>
      <c r="L2321" s="375"/>
      <c r="M2321" s="368"/>
      <c r="N2321" s="368"/>
      <c r="O2321" s="370"/>
      <c r="T2321" s="349"/>
      <c r="V2321" s="378"/>
      <c r="W2321" s="64" ph="1"/>
      <c r="X2321" s="241"/>
      <c r="Y2321" s="284"/>
      <c r="Z2321" s="207"/>
      <c r="AA2321" s="284"/>
      <c r="AB2321" s="284"/>
      <c r="AC2321" s="284"/>
      <c r="AD2321" s="284"/>
      <c r="AE2321" s="284"/>
      <c r="AF2321" s="284"/>
      <c r="AG2321" s="284"/>
    </row>
    <row r="2322" spans="1:33" ht="26.4">
      <c r="A2322" s="284"/>
      <c r="B2322" s="284"/>
      <c r="C2322" s="284"/>
      <c r="D2322" s="284"/>
      <c r="E2322" s="284"/>
      <c r="F2322" s="284"/>
      <c r="G2322" s="284"/>
      <c r="H2322" s="284"/>
      <c r="I2322" s="284"/>
      <c r="J2322" s="375"/>
      <c r="K2322" s="375"/>
      <c r="L2322" s="375"/>
      <c r="M2322" s="368"/>
      <c r="N2322" s="368"/>
      <c r="O2322" s="370"/>
      <c r="T2322" s="349"/>
      <c r="V2322" s="378"/>
      <c r="W2322" s="64" ph="1"/>
      <c r="X2322" s="241"/>
      <c r="Y2322" s="284"/>
      <c r="Z2322" s="207"/>
      <c r="AA2322" s="284"/>
      <c r="AB2322" s="284"/>
      <c r="AC2322" s="284"/>
      <c r="AD2322" s="284"/>
      <c r="AE2322" s="284"/>
      <c r="AF2322" s="284"/>
      <c r="AG2322" s="284"/>
    </row>
    <row r="2323" spans="1:33" ht="26.4">
      <c r="A2323" s="284"/>
      <c r="B2323" s="284"/>
      <c r="C2323" s="284"/>
      <c r="D2323" s="284"/>
      <c r="E2323" s="284"/>
      <c r="F2323" s="284"/>
      <c r="G2323" s="284"/>
      <c r="H2323" s="284"/>
      <c r="I2323" s="284"/>
      <c r="J2323" s="375"/>
      <c r="K2323" s="375"/>
      <c r="L2323" s="375"/>
      <c r="M2323" s="368"/>
      <c r="N2323" s="368"/>
      <c r="O2323" s="370"/>
      <c r="T2323" s="349"/>
      <c r="V2323" s="378"/>
      <c r="W2323" s="64" ph="1"/>
      <c r="X2323" s="241"/>
      <c r="Y2323" s="284"/>
      <c r="Z2323" s="207"/>
      <c r="AA2323" s="284"/>
      <c r="AB2323" s="284"/>
      <c r="AC2323" s="284"/>
      <c r="AD2323" s="284"/>
      <c r="AE2323" s="284"/>
      <c r="AF2323" s="284"/>
      <c r="AG2323" s="284"/>
    </row>
    <row r="2324" spans="1:33" ht="26.4">
      <c r="A2324" s="284"/>
      <c r="B2324" s="284"/>
      <c r="C2324" s="284"/>
      <c r="D2324" s="284"/>
      <c r="E2324" s="284"/>
      <c r="F2324" s="284"/>
      <c r="G2324" s="284"/>
      <c r="H2324" s="284"/>
      <c r="I2324" s="284"/>
      <c r="J2324" s="375"/>
      <c r="K2324" s="375"/>
      <c r="L2324" s="375"/>
      <c r="M2324" s="368"/>
      <c r="N2324" s="368"/>
      <c r="T2324" s="349"/>
      <c r="V2324" s="378"/>
      <c r="W2324" s="64" ph="1"/>
      <c r="X2324" s="241"/>
      <c r="Y2324" s="284"/>
      <c r="Z2324" s="207"/>
      <c r="AA2324" s="284"/>
      <c r="AB2324" s="284"/>
      <c r="AC2324" s="284"/>
      <c r="AD2324" s="284"/>
      <c r="AE2324" s="284"/>
      <c r="AF2324" s="284"/>
      <c r="AG2324" s="284"/>
    </row>
    <row r="2325" spans="1:33" ht="26.4">
      <c r="A2325" s="284"/>
      <c r="B2325" s="284"/>
      <c r="C2325" s="284"/>
      <c r="D2325" s="284"/>
      <c r="E2325" s="284"/>
      <c r="F2325" s="284"/>
      <c r="G2325" s="284"/>
      <c r="H2325" s="284"/>
      <c r="I2325" s="284"/>
      <c r="J2325" s="375"/>
      <c r="K2325" s="375"/>
      <c r="L2325" s="375"/>
      <c r="M2325" s="368"/>
      <c r="N2325" s="368"/>
      <c r="T2325" s="349"/>
      <c r="V2325" s="378"/>
      <c r="W2325" s="64" ph="1"/>
      <c r="X2325" s="241"/>
      <c r="Y2325" s="284"/>
      <c r="Z2325" s="207"/>
      <c r="AA2325" s="284"/>
      <c r="AB2325" s="284"/>
      <c r="AC2325" s="284"/>
      <c r="AD2325" s="284"/>
      <c r="AE2325" s="284"/>
      <c r="AF2325" s="284"/>
      <c r="AG2325" s="284"/>
    </row>
    <row r="2326" spans="1:33" ht="26.4">
      <c r="A2326" s="284"/>
      <c r="B2326" s="284"/>
      <c r="C2326" s="284"/>
      <c r="D2326" s="284"/>
      <c r="E2326" s="284"/>
      <c r="F2326" s="284"/>
      <c r="G2326" s="284"/>
      <c r="H2326" s="284"/>
      <c r="I2326" s="284"/>
      <c r="J2326" s="375"/>
      <c r="K2326" s="375"/>
      <c r="L2326" s="375"/>
      <c r="M2326" s="368"/>
      <c r="N2326" s="368"/>
      <c r="T2326" s="349"/>
      <c r="V2326" s="378"/>
      <c r="W2326" s="64" ph="1"/>
      <c r="X2326" s="241"/>
      <c r="Y2326" s="284"/>
      <c r="Z2326" s="207"/>
      <c r="AA2326" s="284"/>
      <c r="AB2326" s="284"/>
      <c r="AC2326" s="284"/>
      <c r="AD2326" s="284"/>
      <c r="AE2326" s="284"/>
      <c r="AF2326" s="284"/>
      <c r="AG2326" s="284"/>
    </row>
    <row r="2327" spans="1:33" ht="26.4">
      <c r="A2327" s="284"/>
      <c r="B2327" s="284"/>
      <c r="C2327" s="284"/>
      <c r="D2327" s="284"/>
      <c r="E2327" s="284"/>
      <c r="F2327" s="284"/>
      <c r="G2327" s="284"/>
      <c r="H2327" s="284"/>
      <c r="I2327" s="284"/>
      <c r="J2327" s="375"/>
      <c r="K2327" s="375"/>
      <c r="L2327" s="375"/>
      <c r="M2327" s="368"/>
      <c r="N2327" s="368"/>
      <c r="T2327" s="349"/>
      <c r="V2327" s="378"/>
      <c r="W2327" s="64" ph="1"/>
      <c r="X2327" s="241"/>
      <c r="Y2327" s="284"/>
      <c r="Z2327" s="207"/>
      <c r="AA2327" s="284"/>
      <c r="AB2327" s="284"/>
      <c r="AC2327" s="284"/>
      <c r="AD2327" s="284"/>
      <c r="AE2327" s="284"/>
      <c r="AF2327" s="284"/>
      <c r="AG2327" s="284"/>
    </row>
    <row r="2328" spans="1:33" ht="26.4">
      <c r="A2328" s="284"/>
      <c r="B2328" s="284"/>
      <c r="C2328" s="284"/>
      <c r="D2328" s="284"/>
      <c r="E2328" s="284"/>
      <c r="F2328" s="284"/>
      <c r="G2328" s="284"/>
      <c r="H2328" s="284"/>
      <c r="I2328" s="284"/>
      <c r="J2328" s="375"/>
      <c r="K2328" s="375"/>
      <c r="L2328" s="375"/>
      <c r="M2328" s="368"/>
      <c r="N2328" s="368"/>
      <c r="T2328" s="349"/>
      <c r="V2328" s="378"/>
      <c r="W2328" s="64" ph="1"/>
      <c r="X2328" s="241"/>
      <c r="Y2328" s="284"/>
      <c r="Z2328" s="207"/>
      <c r="AA2328" s="284"/>
      <c r="AB2328" s="284"/>
      <c r="AC2328" s="284"/>
      <c r="AD2328" s="284"/>
      <c r="AE2328" s="284"/>
      <c r="AF2328" s="284"/>
      <c r="AG2328" s="284"/>
    </row>
    <row r="2329" spans="1:33" ht="26.4">
      <c r="A2329" s="284"/>
      <c r="B2329" s="284"/>
      <c r="C2329" s="284"/>
      <c r="D2329" s="284"/>
      <c r="E2329" s="284"/>
      <c r="F2329" s="284"/>
      <c r="G2329" s="284"/>
      <c r="H2329" s="284"/>
      <c r="I2329" s="284"/>
      <c r="J2329" s="375"/>
      <c r="K2329" s="375"/>
      <c r="L2329" s="375"/>
      <c r="M2329" s="368"/>
      <c r="N2329" s="368"/>
      <c r="T2329" s="349"/>
      <c r="V2329" s="378"/>
      <c r="W2329" s="64" ph="1"/>
      <c r="X2329" s="241"/>
      <c r="Y2329" s="284"/>
      <c r="Z2329" s="207"/>
      <c r="AA2329" s="284"/>
      <c r="AB2329" s="284"/>
      <c r="AC2329" s="284"/>
      <c r="AD2329" s="284"/>
      <c r="AE2329" s="284"/>
      <c r="AF2329" s="284"/>
      <c r="AG2329" s="284"/>
    </row>
    <row r="2330" spans="1:33" ht="26.4">
      <c r="A2330" s="284"/>
      <c r="B2330" s="284"/>
      <c r="C2330" s="284"/>
      <c r="D2330" s="284"/>
      <c r="E2330" s="284"/>
      <c r="F2330" s="284"/>
      <c r="G2330" s="284"/>
      <c r="H2330" s="284"/>
      <c r="I2330" s="284"/>
      <c r="J2330" s="375"/>
      <c r="K2330" s="375"/>
      <c r="L2330" s="375"/>
      <c r="M2330" s="368"/>
      <c r="N2330" s="368"/>
      <c r="T2330" s="349"/>
      <c r="V2330" s="378"/>
      <c r="W2330" s="64" ph="1"/>
      <c r="X2330" s="241"/>
      <c r="Y2330" s="284"/>
      <c r="Z2330" s="207"/>
      <c r="AA2330" s="284"/>
      <c r="AB2330" s="284"/>
      <c r="AC2330" s="284"/>
      <c r="AD2330" s="284"/>
      <c r="AE2330" s="284"/>
      <c r="AF2330" s="284"/>
      <c r="AG2330" s="284"/>
    </row>
    <row r="2331" spans="1:33" ht="26.4">
      <c r="A2331" s="284"/>
      <c r="B2331" s="284"/>
      <c r="C2331" s="284"/>
      <c r="D2331" s="284"/>
      <c r="E2331" s="284"/>
      <c r="F2331" s="284"/>
      <c r="G2331" s="284"/>
      <c r="H2331" s="284"/>
      <c r="I2331" s="284"/>
      <c r="J2331" s="375"/>
      <c r="K2331" s="375"/>
      <c r="L2331" s="375"/>
      <c r="M2331" s="368"/>
      <c r="N2331" s="368"/>
      <c r="T2331" s="349"/>
      <c r="V2331" s="378"/>
      <c r="W2331" s="64" ph="1"/>
      <c r="X2331" s="241"/>
      <c r="Y2331" s="284"/>
      <c r="Z2331" s="207"/>
      <c r="AA2331" s="284"/>
      <c r="AB2331" s="284"/>
      <c r="AC2331" s="284"/>
      <c r="AD2331" s="284"/>
      <c r="AE2331" s="284"/>
      <c r="AF2331" s="284"/>
      <c r="AG2331" s="284"/>
    </row>
    <row r="2332" spans="1:33" ht="26.4">
      <c r="A2332" s="284"/>
      <c r="B2332" s="284"/>
      <c r="C2332" s="284"/>
      <c r="D2332" s="284"/>
      <c r="E2332" s="284"/>
      <c r="F2332" s="284"/>
      <c r="G2332" s="284"/>
      <c r="H2332" s="284"/>
      <c r="I2332" s="284"/>
      <c r="J2332" s="375"/>
      <c r="K2332" s="375"/>
      <c r="L2332" s="375"/>
      <c r="M2332" s="368"/>
      <c r="N2332" s="368"/>
      <c r="T2332" s="349"/>
      <c r="V2332" s="378"/>
      <c r="W2332" s="64" ph="1"/>
      <c r="X2332" s="241"/>
      <c r="Y2332" s="284"/>
      <c r="Z2332" s="207"/>
      <c r="AA2332" s="284"/>
      <c r="AB2332" s="284"/>
      <c r="AC2332" s="284"/>
      <c r="AD2332" s="284"/>
      <c r="AE2332" s="284"/>
      <c r="AF2332" s="284"/>
      <c r="AG2332" s="284"/>
    </row>
    <row r="2333" spans="1:33" ht="26.4">
      <c r="A2333" s="284"/>
      <c r="B2333" s="284"/>
      <c r="C2333" s="284"/>
      <c r="D2333" s="284"/>
      <c r="E2333" s="284"/>
      <c r="F2333" s="284"/>
      <c r="G2333" s="284"/>
      <c r="H2333" s="284"/>
      <c r="I2333" s="284"/>
      <c r="J2333" s="375"/>
      <c r="K2333" s="375"/>
      <c r="L2333" s="375"/>
      <c r="M2333" s="368"/>
      <c r="N2333" s="368"/>
      <c r="T2333" s="349"/>
      <c r="V2333" s="378"/>
      <c r="W2333" s="64" ph="1"/>
      <c r="X2333" s="241"/>
      <c r="Y2333" s="284"/>
      <c r="Z2333" s="207"/>
      <c r="AA2333" s="284"/>
      <c r="AB2333" s="284"/>
      <c r="AC2333" s="284"/>
      <c r="AD2333" s="284"/>
      <c r="AE2333" s="284"/>
      <c r="AF2333" s="284"/>
      <c r="AG2333" s="284"/>
    </row>
    <row r="2334" spans="1:33" ht="26.4">
      <c r="A2334" s="284"/>
      <c r="B2334" s="284"/>
      <c r="C2334" s="284"/>
      <c r="D2334" s="284"/>
      <c r="E2334" s="284"/>
      <c r="F2334" s="284"/>
      <c r="G2334" s="284"/>
      <c r="H2334" s="284"/>
      <c r="I2334" s="284"/>
      <c r="J2334" s="375"/>
      <c r="K2334" s="375"/>
      <c r="L2334" s="375"/>
      <c r="M2334" s="368"/>
      <c r="N2334" s="368"/>
      <c r="T2334" s="349"/>
      <c r="V2334" s="378"/>
      <c r="W2334" s="64" ph="1"/>
      <c r="X2334" s="241"/>
      <c r="Y2334" s="284"/>
      <c r="Z2334" s="207"/>
      <c r="AA2334" s="284"/>
      <c r="AB2334" s="284"/>
      <c r="AC2334" s="284"/>
      <c r="AD2334" s="284"/>
      <c r="AE2334" s="284"/>
      <c r="AF2334" s="284"/>
      <c r="AG2334" s="284"/>
    </row>
    <row r="2335" spans="1:33" ht="26.4">
      <c r="A2335" s="284"/>
      <c r="B2335" s="284"/>
      <c r="C2335" s="284"/>
      <c r="D2335" s="284"/>
      <c r="E2335" s="284"/>
      <c r="F2335" s="284"/>
      <c r="G2335" s="284"/>
      <c r="H2335" s="284"/>
      <c r="I2335" s="284"/>
      <c r="J2335" s="375"/>
      <c r="K2335" s="375"/>
      <c r="L2335" s="375"/>
      <c r="M2335" s="368"/>
      <c r="N2335" s="368"/>
      <c r="T2335" s="349"/>
      <c r="V2335" s="378"/>
      <c r="W2335" s="64" ph="1"/>
      <c r="X2335" s="241"/>
      <c r="Y2335" s="284"/>
      <c r="Z2335" s="207"/>
      <c r="AA2335" s="284"/>
      <c r="AB2335" s="284"/>
      <c r="AC2335" s="284"/>
      <c r="AD2335" s="284"/>
      <c r="AE2335" s="284"/>
      <c r="AF2335" s="284"/>
      <c r="AG2335" s="284"/>
    </row>
    <row r="2336" spans="1:33" ht="26.4">
      <c r="A2336" s="284"/>
      <c r="B2336" s="284"/>
      <c r="C2336" s="284"/>
      <c r="D2336" s="284"/>
      <c r="E2336" s="284"/>
      <c r="F2336" s="284"/>
      <c r="G2336" s="284"/>
      <c r="H2336" s="284"/>
      <c r="I2336" s="284"/>
      <c r="J2336" s="375"/>
      <c r="K2336" s="375"/>
      <c r="L2336" s="375"/>
      <c r="M2336" s="368"/>
      <c r="N2336" s="368"/>
      <c r="T2336" s="349"/>
      <c r="V2336" s="378"/>
      <c r="W2336" s="64" ph="1"/>
      <c r="X2336" s="241"/>
      <c r="Y2336" s="284"/>
      <c r="Z2336" s="207"/>
      <c r="AA2336" s="284"/>
      <c r="AB2336" s="284"/>
      <c r="AC2336" s="284"/>
      <c r="AD2336" s="284"/>
      <c r="AE2336" s="284"/>
      <c r="AF2336" s="284"/>
      <c r="AG2336" s="284"/>
    </row>
    <row r="2337" spans="1:33" ht="26.4">
      <c r="A2337" s="284"/>
      <c r="B2337" s="284"/>
      <c r="C2337" s="284"/>
      <c r="D2337" s="284"/>
      <c r="E2337" s="284"/>
      <c r="F2337" s="284"/>
      <c r="G2337" s="284"/>
      <c r="H2337" s="284"/>
      <c r="I2337" s="284"/>
      <c r="J2337" s="375"/>
      <c r="K2337" s="375"/>
      <c r="L2337" s="375"/>
      <c r="M2337" s="368"/>
      <c r="N2337" s="368"/>
      <c r="T2337" s="349"/>
      <c r="V2337" s="378"/>
      <c r="W2337" s="64" ph="1"/>
      <c r="X2337" s="241"/>
      <c r="Y2337" s="284"/>
      <c r="Z2337" s="207"/>
      <c r="AA2337" s="284"/>
      <c r="AB2337" s="284"/>
      <c r="AC2337" s="284"/>
      <c r="AD2337" s="284"/>
      <c r="AE2337" s="284"/>
      <c r="AF2337" s="284"/>
      <c r="AG2337" s="284"/>
    </row>
    <row r="2338" spans="1:33" ht="26.4">
      <c r="A2338" s="284"/>
      <c r="B2338" s="284"/>
      <c r="C2338" s="284"/>
      <c r="D2338" s="284"/>
      <c r="E2338" s="284"/>
      <c r="F2338" s="284"/>
      <c r="G2338" s="284"/>
      <c r="H2338" s="284"/>
      <c r="I2338" s="284"/>
      <c r="J2338" s="375"/>
      <c r="K2338" s="375"/>
      <c r="L2338" s="375"/>
      <c r="M2338" s="368"/>
      <c r="N2338" s="368"/>
      <c r="T2338" s="349"/>
      <c r="V2338" s="378"/>
      <c r="W2338" s="64" ph="1"/>
      <c r="X2338" s="241"/>
      <c r="Y2338" s="284"/>
      <c r="Z2338" s="207"/>
      <c r="AA2338" s="284"/>
      <c r="AB2338" s="284"/>
      <c r="AC2338" s="284"/>
      <c r="AD2338" s="284"/>
      <c r="AE2338" s="284"/>
      <c r="AF2338" s="284"/>
      <c r="AG2338" s="284"/>
    </row>
    <row r="2339" spans="1:33" ht="26.4">
      <c r="A2339" s="284"/>
      <c r="B2339" s="284"/>
      <c r="C2339" s="284"/>
      <c r="D2339" s="284"/>
      <c r="E2339" s="284"/>
      <c r="F2339" s="284"/>
      <c r="G2339" s="284"/>
      <c r="H2339" s="284"/>
      <c r="I2339" s="284"/>
      <c r="J2339" s="375"/>
      <c r="K2339" s="375"/>
      <c r="L2339" s="375"/>
      <c r="M2339" s="368"/>
      <c r="N2339" s="368"/>
      <c r="T2339" s="349"/>
      <c r="V2339" s="378"/>
      <c r="W2339" s="64" ph="1"/>
      <c r="X2339" s="241"/>
      <c r="Y2339" s="284"/>
      <c r="Z2339" s="207"/>
      <c r="AA2339" s="284"/>
      <c r="AB2339" s="284"/>
      <c r="AC2339" s="284"/>
      <c r="AD2339" s="284"/>
      <c r="AE2339" s="284"/>
      <c r="AF2339" s="284"/>
      <c r="AG2339" s="284"/>
    </row>
    <row r="2340" spans="1:33" ht="26.4">
      <c r="A2340" s="284"/>
      <c r="B2340" s="284"/>
      <c r="C2340" s="284"/>
      <c r="D2340" s="284"/>
      <c r="E2340" s="284"/>
      <c r="F2340" s="284"/>
      <c r="G2340" s="284"/>
      <c r="H2340" s="284"/>
      <c r="I2340" s="284"/>
      <c r="J2340" s="375"/>
      <c r="K2340" s="375"/>
      <c r="L2340" s="375"/>
      <c r="M2340" s="368"/>
      <c r="N2340" s="368"/>
      <c r="T2340" s="349"/>
      <c r="V2340" s="378"/>
      <c r="W2340" s="64" ph="1"/>
      <c r="X2340" s="241"/>
      <c r="Y2340" s="284"/>
      <c r="Z2340" s="207"/>
      <c r="AA2340" s="284"/>
      <c r="AB2340" s="284"/>
      <c r="AC2340" s="284"/>
      <c r="AD2340" s="284"/>
      <c r="AE2340" s="284"/>
      <c r="AF2340" s="284"/>
      <c r="AG2340" s="284"/>
    </row>
    <row r="2341" spans="1:33" ht="26.4">
      <c r="A2341" s="284"/>
      <c r="B2341" s="284"/>
      <c r="C2341" s="284"/>
      <c r="D2341" s="284"/>
      <c r="E2341" s="284"/>
      <c r="F2341" s="284"/>
      <c r="G2341" s="284"/>
      <c r="H2341" s="284"/>
      <c r="I2341" s="284"/>
      <c r="J2341" s="375"/>
      <c r="K2341" s="375"/>
      <c r="L2341" s="375"/>
      <c r="M2341" s="368"/>
      <c r="N2341" s="368"/>
      <c r="T2341" s="349"/>
      <c r="V2341" s="378"/>
      <c r="W2341" s="64" ph="1"/>
      <c r="X2341" s="241"/>
      <c r="Y2341" s="284"/>
      <c r="Z2341" s="207"/>
      <c r="AA2341" s="284"/>
      <c r="AB2341" s="284"/>
      <c r="AC2341" s="284"/>
      <c r="AD2341" s="284"/>
      <c r="AE2341" s="284"/>
      <c r="AF2341" s="284"/>
      <c r="AG2341" s="284"/>
    </row>
    <row r="2342" spans="1:33" ht="26.4">
      <c r="A2342" s="284"/>
      <c r="B2342" s="284"/>
      <c r="C2342" s="284"/>
      <c r="D2342" s="284"/>
      <c r="E2342" s="284"/>
      <c r="F2342" s="284"/>
      <c r="G2342" s="284"/>
      <c r="H2342" s="284"/>
      <c r="I2342" s="284"/>
      <c r="J2342" s="375"/>
      <c r="K2342" s="375"/>
      <c r="L2342" s="375"/>
      <c r="M2342" s="368"/>
      <c r="N2342" s="368"/>
      <c r="T2342" s="349"/>
      <c r="V2342" s="378"/>
      <c r="W2342" s="64" ph="1"/>
      <c r="X2342" s="241"/>
      <c r="Y2342" s="284"/>
      <c r="Z2342" s="207"/>
      <c r="AA2342" s="284"/>
      <c r="AB2342" s="284"/>
      <c r="AC2342" s="284"/>
      <c r="AD2342" s="284"/>
      <c r="AE2342" s="284"/>
      <c r="AF2342" s="284"/>
      <c r="AG2342" s="284"/>
    </row>
    <row r="2343" spans="1:33" ht="26.4">
      <c r="A2343" s="284"/>
      <c r="B2343" s="284"/>
      <c r="C2343" s="284"/>
      <c r="D2343" s="284"/>
      <c r="E2343" s="284"/>
      <c r="F2343" s="284"/>
      <c r="G2343" s="284"/>
      <c r="H2343" s="284"/>
      <c r="I2343" s="284"/>
      <c r="J2343" s="375"/>
      <c r="K2343" s="375"/>
      <c r="L2343" s="375"/>
      <c r="M2343" s="368"/>
      <c r="N2343" s="368"/>
      <c r="T2343" s="349"/>
      <c r="V2343" s="378"/>
      <c r="W2343" s="64" ph="1"/>
      <c r="X2343" s="241"/>
      <c r="Y2343" s="284"/>
      <c r="Z2343" s="207"/>
      <c r="AA2343" s="284"/>
      <c r="AB2343" s="284"/>
      <c r="AC2343" s="284"/>
      <c r="AD2343" s="284"/>
      <c r="AE2343" s="284"/>
      <c r="AF2343" s="284"/>
      <c r="AG2343" s="284"/>
    </row>
    <row r="2344" spans="1:33" ht="26.4">
      <c r="A2344" s="284"/>
      <c r="B2344" s="284"/>
      <c r="C2344" s="284"/>
      <c r="D2344" s="284"/>
      <c r="E2344" s="284"/>
      <c r="F2344" s="284"/>
      <c r="G2344" s="284"/>
      <c r="H2344" s="284"/>
      <c r="I2344" s="284"/>
      <c r="J2344" s="375"/>
      <c r="K2344" s="375"/>
      <c r="L2344" s="375"/>
      <c r="M2344" s="368"/>
      <c r="N2344" s="368"/>
      <c r="T2344" s="349"/>
      <c r="V2344" s="378"/>
      <c r="W2344" s="64" ph="1"/>
      <c r="X2344" s="241"/>
      <c r="Y2344" s="284"/>
      <c r="Z2344" s="207"/>
      <c r="AA2344" s="284"/>
      <c r="AB2344" s="284"/>
      <c r="AC2344" s="284"/>
      <c r="AD2344" s="284"/>
      <c r="AE2344" s="284"/>
      <c r="AF2344" s="284"/>
      <c r="AG2344" s="284"/>
    </row>
    <row r="2345" spans="1:33" ht="26.4">
      <c r="A2345" s="284"/>
      <c r="B2345" s="284"/>
      <c r="C2345" s="284"/>
      <c r="D2345" s="284"/>
      <c r="E2345" s="284"/>
      <c r="F2345" s="284"/>
      <c r="G2345" s="284"/>
      <c r="H2345" s="284"/>
      <c r="I2345" s="284"/>
      <c r="J2345" s="375"/>
      <c r="K2345" s="375"/>
      <c r="L2345" s="375"/>
      <c r="M2345" s="368"/>
      <c r="N2345" s="368"/>
      <c r="T2345" s="349"/>
      <c r="V2345" s="378"/>
      <c r="W2345" s="64" ph="1"/>
      <c r="X2345" s="241"/>
      <c r="Y2345" s="284"/>
      <c r="Z2345" s="207"/>
      <c r="AA2345" s="284"/>
      <c r="AB2345" s="284"/>
      <c r="AC2345" s="284"/>
      <c r="AD2345" s="284"/>
      <c r="AE2345" s="284"/>
      <c r="AF2345" s="284"/>
      <c r="AG2345" s="284"/>
    </row>
    <row r="2346" spans="1:33" ht="26.4">
      <c r="A2346" s="284"/>
      <c r="B2346" s="284"/>
      <c r="C2346" s="284"/>
      <c r="D2346" s="284"/>
      <c r="E2346" s="284"/>
      <c r="F2346" s="284"/>
      <c r="G2346" s="284"/>
      <c r="H2346" s="284"/>
      <c r="I2346" s="284"/>
      <c r="J2346" s="375"/>
      <c r="K2346" s="375"/>
      <c r="L2346" s="375"/>
      <c r="M2346" s="368"/>
      <c r="N2346" s="368"/>
      <c r="T2346" s="349"/>
      <c r="V2346" s="378"/>
      <c r="W2346" s="64" ph="1"/>
      <c r="X2346" s="241"/>
      <c r="Y2346" s="284"/>
      <c r="Z2346" s="207"/>
      <c r="AA2346" s="284"/>
      <c r="AB2346" s="284"/>
      <c r="AC2346" s="284"/>
      <c r="AD2346" s="284"/>
      <c r="AE2346" s="284"/>
      <c r="AF2346" s="284"/>
      <c r="AG2346" s="284"/>
    </row>
    <row r="2347" spans="1:33" ht="26.4">
      <c r="A2347" s="284"/>
      <c r="B2347" s="284"/>
      <c r="C2347" s="284"/>
      <c r="D2347" s="284"/>
      <c r="E2347" s="284"/>
      <c r="F2347" s="284"/>
      <c r="G2347" s="284"/>
      <c r="H2347" s="284"/>
      <c r="I2347" s="284"/>
      <c r="J2347" s="375"/>
      <c r="K2347" s="375"/>
      <c r="L2347" s="375"/>
      <c r="M2347" s="368"/>
      <c r="N2347" s="368"/>
      <c r="T2347" s="349"/>
      <c r="V2347" s="378"/>
      <c r="W2347" s="64" ph="1"/>
      <c r="X2347" s="241"/>
      <c r="Y2347" s="284"/>
      <c r="Z2347" s="207"/>
      <c r="AA2347" s="284"/>
      <c r="AB2347" s="284"/>
      <c r="AC2347" s="284"/>
      <c r="AD2347" s="284"/>
      <c r="AE2347" s="284"/>
      <c r="AF2347" s="284"/>
      <c r="AG2347" s="284"/>
    </row>
    <row r="2348" spans="1:33" ht="26.4">
      <c r="A2348" s="284"/>
      <c r="B2348" s="284"/>
      <c r="C2348" s="284"/>
      <c r="D2348" s="284"/>
      <c r="E2348" s="284"/>
      <c r="F2348" s="284"/>
      <c r="G2348" s="284"/>
      <c r="H2348" s="284"/>
      <c r="I2348" s="284"/>
      <c r="J2348" s="375"/>
      <c r="K2348" s="375"/>
      <c r="L2348" s="375"/>
      <c r="M2348" s="368"/>
      <c r="N2348" s="368"/>
      <c r="T2348" s="349"/>
      <c r="V2348" s="378"/>
      <c r="W2348" s="64" ph="1"/>
      <c r="X2348" s="241"/>
      <c r="Y2348" s="284"/>
      <c r="Z2348" s="207"/>
      <c r="AA2348" s="284"/>
      <c r="AB2348" s="284"/>
      <c r="AC2348" s="284"/>
      <c r="AD2348" s="284"/>
      <c r="AE2348" s="284"/>
      <c r="AF2348" s="284"/>
      <c r="AG2348" s="284"/>
    </row>
    <row r="2349" spans="1:33" ht="26.4">
      <c r="A2349" s="284"/>
      <c r="B2349" s="284"/>
      <c r="C2349" s="284"/>
      <c r="D2349" s="284"/>
      <c r="E2349" s="284"/>
      <c r="F2349" s="284"/>
      <c r="G2349" s="284"/>
      <c r="H2349" s="284"/>
      <c r="I2349" s="284"/>
      <c r="J2349" s="375"/>
      <c r="K2349" s="375"/>
      <c r="L2349" s="375"/>
      <c r="M2349" s="368"/>
      <c r="N2349" s="368"/>
      <c r="T2349" s="349"/>
      <c r="V2349" s="378"/>
      <c r="W2349" s="64" ph="1"/>
      <c r="X2349" s="241"/>
      <c r="Y2349" s="284"/>
      <c r="Z2349" s="207"/>
      <c r="AA2349" s="284"/>
      <c r="AB2349" s="284"/>
      <c r="AC2349" s="284"/>
      <c r="AD2349" s="284"/>
      <c r="AE2349" s="284"/>
      <c r="AF2349" s="284"/>
      <c r="AG2349" s="284"/>
    </row>
    <row r="2350" spans="1:33" ht="26.4">
      <c r="A2350" s="284"/>
      <c r="B2350" s="284"/>
      <c r="C2350" s="284"/>
      <c r="D2350" s="284"/>
      <c r="E2350" s="284"/>
      <c r="F2350" s="284"/>
      <c r="G2350" s="284"/>
      <c r="H2350" s="284"/>
      <c r="I2350" s="284"/>
      <c r="J2350" s="375"/>
      <c r="K2350" s="375"/>
      <c r="L2350" s="375"/>
      <c r="M2350" s="368"/>
      <c r="N2350" s="368"/>
      <c r="T2350" s="349"/>
      <c r="V2350" s="378"/>
      <c r="W2350" s="64" ph="1"/>
      <c r="X2350" s="241"/>
      <c r="Y2350" s="284"/>
      <c r="Z2350" s="207"/>
      <c r="AA2350" s="284"/>
      <c r="AB2350" s="284"/>
      <c r="AC2350" s="284"/>
      <c r="AD2350" s="284"/>
      <c r="AE2350" s="284"/>
      <c r="AF2350" s="284"/>
      <c r="AG2350" s="284"/>
    </row>
    <row r="2351" spans="1:33" ht="26.4">
      <c r="A2351" s="284"/>
      <c r="B2351" s="284"/>
      <c r="C2351" s="284"/>
      <c r="D2351" s="284"/>
      <c r="E2351" s="284"/>
      <c r="F2351" s="284"/>
      <c r="G2351" s="284"/>
      <c r="H2351" s="284"/>
      <c r="I2351" s="284"/>
      <c r="J2351" s="375"/>
      <c r="K2351" s="375"/>
      <c r="L2351" s="375"/>
      <c r="M2351" s="368"/>
      <c r="N2351" s="368"/>
      <c r="T2351" s="349"/>
      <c r="V2351" s="378"/>
      <c r="W2351" s="64" ph="1"/>
      <c r="X2351" s="241"/>
      <c r="Y2351" s="284"/>
      <c r="Z2351" s="207"/>
      <c r="AA2351" s="284"/>
      <c r="AB2351" s="284"/>
      <c r="AC2351" s="284"/>
      <c r="AD2351" s="284"/>
      <c r="AE2351" s="284"/>
      <c r="AF2351" s="284"/>
      <c r="AG2351" s="284"/>
    </row>
    <row r="2352" spans="1:33" ht="26.4">
      <c r="A2352" s="284"/>
      <c r="B2352" s="284"/>
      <c r="C2352" s="284"/>
      <c r="D2352" s="284"/>
      <c r="E2352" s="284"/>
      <c r="F2352" s="284"/>
      <c r="G2352" s="284"/>
      <c r="H2352" s="284"/>
      <c r="I2352" s="284"/>
      <c r="J2352" s="375"/>
      <c r="K2352" s="375"/>
      <c r="L2352" s="375"/>
      <c r="M2352" s="368"/>
      <c r="N2352" s="368"/>
      <c r="T2352" s="349"/>
      <c r="V2352" s="378"/>
      <c r="W2352" s="64" ph="1"/>
      <c r="X2352" s="241"/>
      <c r="Y2352" s="284"/>
      <c r="Z2352" s="207"/>
      <c r="AA2352" s="284"/>
      <c r="AB2352" s="284"/>
      <c r="AC2352" s="284"/>
      <c r="AD2352" s="284"/>
      <c r="AE2352" s="284"/>
      <c r="AF2352" s="284"/>
      <c r="AG2352" s="284"/>
    </row>
    <row r="2353" spans="1:33" ht="26.4">
      <c r="A2353" s="284"/>
      <c r="B2353" s="284"/>
      <c r="C2353" s="284"/>
      <c r="D2353" s="284"/>
      <c r="E2353" s="284"/>
      <c r="F2353" s="284"/>
      <c r="G2353" s="284"/>
      <c r="H2353" s="284"/>
      <c r="I2353" s="284"/>
      <c r="J2353" s="375"/>
      <c r="K2353" s="375"/>
      <c r="L2353" s="375"/>
      <c r="M2353" s="368"/>
      <c r="N2353" s="368"/>
      <c r="T2353" s="349"/>
      <c r="V2353" s="378"/>
      <c r="W2353" s="64" ph="1"/>
      <c r="X2353" s="241"/>
      <c r="Y2353" s="284"/>
      <c r="Z2353" s="207"/>
      <c r="AA2353" s="284"/>
      <c r="AB2353" s="284"/>
      <c r="AC2353" s="284"/>
      <c r="AD2353" s="284"/>
      <c r="AE2353" s="284"/>
      <c r="AF2353" s="284"/>
      <c r="AG2353" s="284"/>
    </row>
    <row r="2354" spans="1:33" ht="26.4">
      <c r="A2354" s="284"/>
      <c r="B2354" s="284"/>
      <c r="C2354" s="284"/>
      <c r="D2354" s="284"/>
      <c r="E2354" s="284"/>
      <c r="F2354" s="284"/>
      <c r="G2354" s="284"/>
      <c r="H2354" s="284"/>
      <c r="I2354" s="284"/>
      <c r="J2354" s="375"/>
      <c r="K2354" s="375"/>
      <c r="L2354" s="375"/>
      <c r="M2354" s="368"/>
      <c r="N2354" s="368"/>
      <c r="T2354" s="349"/>
      <c r="V2354" s="378"/>
      <c r="W2354" s="64" ph="1"/>
      <c r="X2354" s="241"/>
      <c r="Y2354" s="284"/>
      <c r="Z2354" s="207"/>
      <c r="AA2354" s="284"/>
      <c r="AB2354" s="284"/>
      <c r="AC2354" s="284"/>
      <c r="AD2354" s="284"/>
      <c r="AE2354" s="284"/>
      <c r="AF2354" s="284"/>
      <c r="AG2354" s="284"/>
    </row>
    <row r="2355" spans="1:33" ht="26.4">
      <c r="A2355" s="284"/>
      <c r="B2355" s="284"/>
      <c r="C2355" s="284"/>
      <c r="D2355" s="284"/>
      <c r="E2355" s="284"/>
      <c r="F2355" s="284"/>
      <c r="G2355" s="284"/>
      <c r="H2355" s="284"/>
      <c r="I2355" s="284"/>
      <c r="J2355" s="375"/>
      <c r="K2355" s="375"/>
      <c r="L2355" s="375"/>
      <c r="M2355" s="368"/>
      <c r="N2355" s="368"/>
      <c r="T2355" s="349"/>
      <c r="V2355" s="378"/>
      <c r="W2355" s="64" ph="1"/>
      <c r="X2355" s="241"/>
      <c r="Y2355" s="284"/>
      <c r="Z2355" s="207"/>
      <c r="AA2355" s="284"/>
      <c r="AB2355" s="284"/>
      <c r="AC2355" s="284"/>
      <c r="AD2355" s="284"/>
      <c r="AE2355" s="284"/>
      <c r="AF2355" s="284"/>
      <c r="AG2355" s="284"/>
    </row>
    <row r="2356" spans="1:33" ht="26.4">
      <c r="A2356" s="284"/>
      <c r="B2356" s="284"/>
      <c r="C2356" s="284"/>
      <c r="D2356" s="284"/>
      <c r="E2356" s="284"/>
      <c r="F2356" s="284"/>
      <c r="G2356" s="284"/>
      <c r="H2356" s="284"/>
      <c r="I2356" s="284"/>
      <c r="J2356" s="375"/>
      <c r="K2356" s="375"/>
      <c r="L2356" s="375"/>
      <c r="M2356" s="368"/>
      <c r="N2356" s="368"/>
      <c r="T2356" s="349"/>
      <c r="V2356" s="378"/>
      <c r="W2356" s="64" ph="1"/>
      <c r="X2356" s="241"/>
      <c r="Y2356" s="284"/>
      <c r="Z2356" s="207"/>
      <c r="AA2356" s="284"/>
      <c r="AB2356" s="284"/>
      <c r="AC2356" s="284"/>
      <c r="AD2356" s="284"/>
      <c r="AE2356" s="284"/>
      <c r="AF2356" s="284"/>
      <c r="AG2356" s="284"/>
    </row>
    <row r="2357" spans="1:33" ht="26.4">
      <c r="A2357" s="284"/>
      <c r="B2357" s="284"/>
      <c r="C2357" s="284"/>
      <c r="D2357" s="284"/>
      <c r="E2357" s="284"/>
      <c r="F2357" s="284"/>
      <c r="G2357" s="284"/>
      <c r="H2357" s="284"/>
      <c r="I2357" s="284"/>
      <c r="J2357" s="375"/>
      <c r="K2357" s="375"/>
      <c r="L2357" s="375"/>
      <c r="M2357" s="368"/>
      <c r="N2357" s="368"/>
      <c r="T2357" s="349"/>
      <c r="V2357" s="378"/>
      <c r="W2357" s="64" ph="1"/>
      <c r="X2357" s="241"/>
      <c r="Y2357" s="284"/>
      <c r="Z2357" s="207"/>
      <c r="AA2357" s="284"/>
      <c r="AB2357" s="284"/>
      <c r="AC2357" s="284"/>
      <c r="AD2357" s="284"/>
      <c r="AE2357" s="284"/>
      <c r="AF2357" s="284"/>
      <c r="AG2357" s="284"/>
    </row>
    <row r="2358" spans="1:33" ht="26.4">
      <c r="A2358" s="284"/>
      <c r="B2358" s="284"/>
      <c r="C2358" s="284"/>
      <c r="D2358" s="284"/>
      <c r="E2358" s="284"/>
      <c r="F2358" s="284"/>
      <c r="G2358" s="284"/>
      <c r="H2358" s="284"/>
      <c r="I2358" s="284"/>
      <c r="J2358" s="375"/>
      <c r="K2358" s="375"/>
      <c r="L2358" s="375"/>
      <c r="M2358" s="368"/>
      <c r="N2358" s="368"/>
      <c r="T2358" s="349"/>
      <c r="V2358" s="378"/>
      <c r="W2358" s="64" ph="1"/>
      <c r="X2358" s="241"/>
      <c r="Y2358" s="284"/>
      <c r="Z2358" s="207"/>
      <c r="AA2358" s="284"/>
      <c r="AB2358" s="284"/>
      <c r="AC2358" s="284"/>
      <c r="AD2358" s="284"/>
      <c r="AE2358" s="284"/>
      <c r="AF2358" s="284"/>
      <c r="AG2358" s="284"/>
    </row>
    <row r="2359" spans="1:33" ht="26.4">
      <c r="A2359" s="284"/>
      <c r="B2359" s="284"/>
      <c r="C2359" s="284"/>
      <c r="D2359" s="284"/>
      <c r="E2359" s="284"/>
      <c r="F2359" s="284"/>
      <c r="G2359" s="284"/>
      <c r="H2359" s="284"/>
      <c r="I2359" s="284"/>
      <c r="J2359" s="375"/>
      <c r="K2359" s="375"/>
      <c r="L2359" s="375"/>
      <c r="M2359" s="368"/>
      <c r="N2359" s="368"/>
      <c r="T2359" s="349"/>
      <c r="V2359" s="378"/>
      <c r="W2359" s="64" ph="1"/>
      <c r="X2359" s="241"/>
      <c r="Y2359" s="284"/>
      <c r="Z2359" s="207"/>
      <c r="AA2359" s="284"/>
      <c r="AB2359" s="284"/>
      <c r="AC2359" s="284"/>
      <c r="AD2359" s="284"/>
      <c r="AE2359" s="284"/>
      <c r="AF2359" s="284"/>
      <c r="AG2359" s="284"/>
    </row>
    <row r="2360" spans="1:33" ht="26.4">
      <c r="A2360" s="284"/>
      <c r="B2360" s="284"/>
      <c r="C2360" s="284"/>
      <c r="D2360" s="284"/>
      <c r="E2360" s="284"/>
      <c r="F2360" s="284"/>
      <c r="G2360" s="284"/>
      <c r="H2360" s="284"/>
      <c r="I2360" s="284"/>
      <c r="J2360" s="375"/>
      <c r="K2360" s="375"/>
      <c r="L2360" s="375"/>
      <c r="M2360" s="368"/>
      <c r="N2360" s="368"/>
      <c r="T2360" s="349"/>
      <c r="V2360" s="378"/>
      <c r="W2360" s="64" ph="1"/>
      <c r="X2360" s="241"/>
      <c r="Y2360" s="284"/>
      <c r="Z2360" s="207"/>
      <c r="AA2360" s="284"/>
      <c r="AB2360" s="284"/>
      <c r="AC2360" s="284"/>
      <c r="AD2360" s="284"/>
      <c r="AE2360" s="284"/>
      <c r="AF2360" s="284"/>
      <c r="AG2360" s="284"/>
    </row>
    <row r="2361" spans="1:33" ht="26.4">
      <c r="A2361" s="284"/>
      <c r="B2361" s="284"/>
      <c r="C2361" s="284"/>
      <c r="D2361" s="284"/>
      <c r="E2361" s="284"/>
      <c r="F2361" s="284"/>
      <c r="G2361" s="284"/>
      <c r="H2361" s="284"/>
      <c r="I2361" s="284"/>
      <c r="J2361" s="375"/>
      <c r="K2361" s="375"/>
      <c r="L2361" s="375"/>
      <c r="M2361" s="368"/>
      <c r="N2361" s="368"/>
      <c r="T2361" s="349"/>
      <c r="V2361" s="378"/>
      <c r="W2361" s="64" ph="1"/>
      <c r="X2361" s="241"/>
      <c r="Y2361" s="284"/>
      <c r="Z2361" s="207"/>
      <c r="AA2361" s="284"/>
      <c r="AB2361" s="284"/>
      <c r="AC2361" s="284"/>
      <c r="AD2361" s="284"/>
      <c r="AE2361" s="284"/>
      <c r="AF2361" s="284"/>
      <c r="AG2361" s="284"/>
    </row>
    <row r="2362" spans="1:33" ht="26.4">
      <c r="A2362" s="284"/>
      <c r="B2362" s="284"/>
      <c r="C2362" s="284"/>
      <c r="D2362" s="284"/>
      <c r="E2362" s="284"/>
      <c r="F2362" s="284"/>
      <c r="G2362" s="284"/>
      <c r="H2362" s="284"/>
      <c r="I2362" s="284"/>
      <c r="J2362" s="375"/>
      <c r="K2362" s="375"/>
      <c r="L2362" s="375"/>
      <c r="M2362" s="368"/>
      <c r="N2362" s="368"/>
      <c r="T2362" s="349"/>
      <c r="V2362" s="378"/>
      <c r="W2362" s="64" ph="1"/>
      <c r="X2362" s="241"/>
      <c r="Y2362" s="284"/>
      <c r="Z2362" s="207"/>
      <c r="AA2362" s="284"/>
      <c r="AB2362" s="284"/>
      <c r="AC2362" s="284"/>
      <c r="AD2362" s="284"/>
      <c r="AE2362" s="284"/>
      <c r="AF2362" s="284"/>
      <c r="AG2362" s="284"/>
    </row>
    <row r="2363" spans="1:33" ht="26.4">
      <c r="A2363" s="284"/>
      <c r="B2363" s="284"/>
      <c r="C2363" s="284"/>
      <c r="D2363" s="284"/>
      <c r="E2363" s="284"/>
      <c r="F2363" s="284"/>
      <c r="G2363" s="284"/>
      <c r="H2363" s="284"/>
      <c r="I2363" s="284"/>
      <c r="J2363" s="375"/>
      <c r="K2363" s="375"/>
      <c r="L2363" s="375"/>
      <c r="M2363" s="368"/>
      <c r="N2363" s="368"/>
      <c r="T2363" s="349"/>
      <c r="V2363" s="378"/>
      <c r="W2363" s="64" ph="1"/>
      <c r="X2363" s="241"/>
      <c r="Y2363" s="284"/>
      <c r="Z2363" s="207"/>
      <c r="AA2363" s="284"/>
      <c r="AB2363" s="284"/>
      <c r="AC2363" s="284"/>
      <c r="AD2363" s="284"/>
      <c r="AE2363" s="284"/>
      <c r="AF2363" s="284"/>
      <c r="AG2363" s="284"/>
    </row>
    <row r="2364" spans="1:33" ht="26.4">
      <c r="A2364" s="284"/>
      <c r="B2364" s="284"/>
      <c r="C2364" s="284"/>
      <c r="D2364" s="284"/>
      <c r="E2364" s="284"/>
      <c r="F2364" s="284"/>
      <c r="G2364" s="284"/>
      <c r="H2364" s="284"/>
      <c r="I2364" s="284"/>
      <c r="J2364" s="375"/>
      <c r="K2364" s="375"/>
      <c r="L2364" s="375"/>
      <c r="M2364" s="368"/>
      <c r="N2364" s="368"/>
      <c r="T2364" s="349"/>
      <c r="V2364" s="378"/>
      <c r="W2364" s="64" ph="1"/>
      <c r="X2364" s="241"/>
      <c r="Y2364" s="284"/>
      <c r="Z2364" s="207"/>
      <c r="AA2364" s="284"/>
      <c r="AB2364" s="284"/>
      <c r="AC2364" s="284"/>
      <c r="AD2364" s="284"/>
      <c r="AE2364" s="284"/>
      <c r="AF2364" s="284"/>
      <c r="AG2364" s="284"/>
    </row>
    <row r="2365" spans="1:33" ht="26.4">
      <c r="A2365" s="284"/>
      <c r="B2365" s="284"/>
      <c r="C2365" s="284"/>
      <c r="D2365" s="284"/>
      <c r="E2365" s="284"/>
      <c r="F2365" s="284"/>
      <c r="G2365" s="284"/>
      <c r="H2365" s="284"/>
      <c r="I2365" s="284"/>
      <c r="J2365" s="375"/>
      <c r="K2365" s="375"/>
      <c r="L2365" s="375"/>
      <c r="M2365" s="368"/>
      <c r="N2365" s="368"/>
      <c r="T2365" s="349"/>
      <c r="V2365" s="378"/>
      <c r="W2365" s="64" ph="1"/>
      <c r="X2365" s="241"/>
      <c r="Y2365" s="284"/>
      <c r="Z2365" s="207"/>
      <c r="AA2365" s="284"/>
      <c r="AB2365" s="284"/>
      <c r="AC2365" s="284"/>
      <c r="AD2365" s="284"/>
      <c r="AE2365" s="284"/>
      <c r="AF2365" s="284"/>
      <c r="AG2365" s="284"/>
    </row>
    <row r="2366" spans="1:33" ht="26.4">
      <c r="A2366" s="284"/>
      <c r="B2366" s="284"/>
      <c r="C2366" s="284"/>
      <c r="D2366" s="284"/>
      <c r="E2366" s="284"/>
      <c r="F2366" s="284"/>
      <c r="G2366" s="284"/>
      <c r="H2366" s="284"/>
      <c r="I2366" s="284"/>
      <c r="J2366" s="375"/>
      <c r="K2366" s="375"/>
      <c r="L2366" s="375"/>
      <c r="M2366" s="368"/>
      <c r="N2366" s="368"/>
      <c r="T2366" s="349"/>
      <c r="V2366" s="378"/>
      <c r="W2366" s="64" ph="1"/>
      <c r="X2366" s="241"/>
      <c r="Y2366" s="284"/>
      <c r="Z2366" s="207"/>
      <c r="AA2366" s="284"/>
      <c r="AB2366" s="284"/>
      <c r="AC2366" s="284"/>
      <c r="AD2366" s="284"/>
      <c r="AE2366" s="284"/>
      <c r="AF2366" s="284"/>
      <c r="AG2366" s="284"/>
    </row>
    <row r="2367" spans="1:33" ht="26.4">
      <c r="A2367" s="284"/>
      <c r="B2367" s="284"/>
      <c r="C2367" s="284"/>
      <c r="D2367" s="284"/>
      <c r="E2367" s="284"/>
      <c r="F2367" s="284"/>
      <c r="G2367" s="284"/>
      <c r="H2367" s="284"/>
      <c r="I2367" s="284"/>
      <c r="J2367" s="375"/>
      <c r="K2367" s="375"/>
      <c r="L2367" s="375"/>
      <c r="M2367" s="368"/>
      <c r="N2367" s="368"/>
      <c r="T2367" s="349"/>
      <c r="V2367" s="378"/>
      <c r="W2367" s="64" ph="1"/>
      <c r="X2367" s="241"/>
      <c r="Y2367" s="284"/>
      <c r="Z2367" s="207"/>
      <c r="AA2367" s="284"/>
      <c r="AB2367" s="284"/>
      <c r="AC2367" s="284"/>
      <c r="AD2367" s="284"/>
      <c r="AE2367" s="284"/>
      <c r="AF2367" s="284"/>
      <c r="AG2367" s="284"/>
    </row>
    <row r="2368" spans="1:33" ht="26.4">
      <c r="A2368" s="284"/>
      <c r="B2368" s="284"/>
      <c r="C2368" s="284"/>
      <c r="D2368" s="284"/>
      <c r="E2368" s="284"/>
      <c r="F2368" s="284"/>
      <c r="G2368" s="284"/>
      <c r="H2368" s="284"/>
      <c r="I2368" s="284"/>
      <c r="J2368" s="375"/>
      <c r="K2368" s="375"/>
      <c r="L2368" s="375"/>
      <c r="M2368" s="368"/>
      <c r="N2368" s="368"/>
      <c r="T2368" s="349"/>
      <c r="V2368" s="378"/>
      <c r="W2368" s="64" ph="1"/>
      <c r="X2368" s="241"/>
      <c r="Y2368" s="284"/>
      <c r="Z2368" s="207"/>
      <c r="AA2368" s="284"/>
      <c r="AB2368" s="284"/>
      <c r="AC2368" s="284"/>
      <c r="AD2368" s="284"/>
      <c r="AE2368" s="284"/>
      <c r="AF2368" s="284"/>
      <c r="AG2368" s="284"/>
    </row>
    <row r="2369" spans="1:33" ht="26.4">
      <c r="A2369" s="284"/>
      <c r="B2369" s="284"/>
      <c r="C2369" s="284"/>
      <c r="D2369" s="284"/>
      <c r="E2369" s="284"/>
      <c r="F2369" s="284"/>
      <c r="G2369" s="284"/>
      <c r="H2369" s="284"/>
      <c r="I2369" s="284"/>
      <c r="J2369" s="375"/>
      <c r="K2369" s="375"/>
      <c r="L2369" s="375"/>
      <c r="M2369" s="368"/>
      <c r="N2369" s="368"/>
      <c r="T2369" s="349"/>
      <c r="V2369" s="378"/>
      <c r="W2369" s="64" ph="1"/>
      <c r="X2369" s="241"/>
      <c r="Y2369" s="284"/>
      <c r="Z2369" s="207"/>
      <c r="AA2369" s="284"/>
      <c r="AB2369" s="284"/>
      <c r="AC2369" s="284"/>
      <c r="AD2369" s="284"/>
      <c r="AE2369" s="284"/>
      <c r="AF2369" s="284"/>
      <c r="AG2369" s="284"/>
    </row>
    <row r="2370" spans="1:33" ht="26.4">
      <c r="A2370" s="284"/>
      <c r="B2370" s="284"/>
      <c r="C2370" s="284"/>
      <c r="D2370" s="284"/>
      <c r="E2370" s="284"/>
      <c r="F2370" s="284"/>
      <c r="G2370" s="284"/>
      <c r="H2370" s="284"/>
      <c r="I2370" s="284"/>
      <c r="J2370" s="375"/>
      <c r="K2370" s="375"/>
      <c r="L2370" s="375"/>
      <c r="M2370" s="368"/>
      <c r="N2370" s="368"/>
      <c r="T2370" s="349"/>
      <c r="V2370" s="378"/>
      <c r="W2370" s="64" ph="1"/>
      <c r="X2370" s="241"/>
      <c r="Y2370" s="284"/>
      <c r="Z2370" s="207"/>
      <c r="AA2370" s="284"/>
      <c r="AB2370" s="284"/>
      <c r="AC2370" s="284"/>
      <c r="AD2370" s="284"/>
      <c r="AE2370" s="284"/>
      <c r="AF2370" s="284"/>
      <c r="AG2370" s="284"/>
    </row>
    <row r="2371" spans="1:33" ht="26.4">
      <c r="A2371" s="284"/>
      <c r="B2371" s="284"/>
      <c r="C2371" s="284"/>
      <c r="D2371" s="284"/>
      <c r="E2371" s="284"/>
      <c r="F2371" s="284"/>
      <c r="G2371" s="284"/>
      <c r="H2371" s="284"/>
      <c r="I2371" s="284"/>
      <c r="J2371" s="375"/>
      <c r="K2371" s="375"/>
      <c r="L2371" s="375"/>
      <c r="M2371" s="368"/>
      <c r="N2371" s="368"/>
      <c r="T2371" s="349"/>
      <c r="V2371" s="378"/>
      <c r="W2371" s="64" ph="1"/>
      <c r="X2371" s="241"/>
      <c r="Y2371" s="284"/>
      <c r="Z2371" s="207"/>
      <c r="AA2371" s="284"/>
      <c r="AB2371" s="284"/>
      <c r="AC2371" s="284"/>
      <c r="AD2371" s="284"/>
      <c r="AE2371" s="284"/>
      <c r="AF2371" s="284"/>
      <c r="AG2371" s="284"/>
    </row>
    <row r="2372" spans="1:33" ht="26.4">
      <c r="A2372" s="284"/>
      <c r="B2372" s="284"/>
      <c r="C2372" s="284"/>
      <c r="D2372" s="284"/>
      <c r="E2372" s="284"/>
      <c r="F2372" s="284"/>
      <c r="G2372" s="284"/>
      <c r="H2372" s="284"/>
      <c r="I2372" s="284"/>
      <c r="J2372" s="375"/>
      <c r="K2372" s="375"/>
      <c r="L2372" s="375"/>
      <c r="M2372" s="368"/>
      <c r="N2372" s="368"/>
      <c r="T2372" s="349"/>
      <c r="V2372" s="378"/>
      <c r="W2372" s="64" ph="1"/>
      <c r="X2372" s="241"/>
      <c r="Y2372" s="284"/>
      <c r="Z2372" s="207"/>
      <c r="AA2372" s="284"/>
      <c r="AB2372" s="284"/>
      <c r="AC2372" s="284"/>
      <c r="AD2372" s="284"/>
      <c r="AE2372" s="284"/>
      <c r="AF2372" s="284"/>
      <c r="AG2372" s="284"/>
    </row>
    <row r="2373" spans="1:33" ht="26.4">
      <c r="A2373" s="284"/>
      <c r="B2373" s="284"/>
      <c r="C2373" s="284"/>
      <c r="D2373" s="284"/>
      <c r="E2373" s="284"/>
      <c r="F2373" s="284"/>
      <c r="G2373" s="284"/>
      <c r="H2373" s="284"/>
      <c r="I2373" s="284"/>
      <c r="J2373" s="375"/>
      <c r="K2373" s="375"/>
      <c r="L2373" s="375"/>
      <c r="M2373" s="368"/>
      <c r="N2373" s="368"/>
      <c r="T2373" s="349"/>
      <c r="V2373" s="378"/>
      <c r="W2373" s="64" ph="1"/>
      <c r="X2373" s="241"/>
      <c r="Y2373" s="284"/>
      <c r="Z2373" s="207"/>
      <c r="AA2373" s="284"/>
      <c r="AB2373" s="284"/>
      <c r="AC2373" s="284"/>
      <c r="AD2373" s="284"/>
      <c r="AE2373" s="284"/>
      <c r="AF2373" s="284"/>
      <c r="AG2373" s="284"/>
    </row>
    <row r="2374" spans="1:33" ht="26.4">
      <c r="A2374" s="284"/>
      <c r="B2374" s="284"/>
      <c r="C2374" s="284"/>
      <c r="D2374" s="284"/>
      <c r="E2374" s="284"/>
      <c r="F2374" s="284"/>
      <c r="G2374" s="284"/>
      <c r="H2374" s="284"/>
      <c r="I2374" s="284"/>
      <c r="J2374" s="375"/>
      <c r="K2374" s="375"/>
      <c r="L2374" s="375"/>
      <c r="M2374" s="368"/>
      <c r="N2374" s="368"/>
      <c r="T2374" s="349"/>
      <c r="V2374" s="378"/>
      <c r="W2374" s="64" ph="1"/>
      <c r="X2374" s="241"/>
      <c r="Y2374" s="284"/>
      <c r="Z2374" s="207"/>
      <c r="AA2374" s="284"/>
      <c r="AB2374" s="284"/>
      <c r="AC2374" s="284"/>
      <c r="AD2374" s="284"/>
      <c r="AE2374" s="284"/>
      <c r="AF2374" s="284"/>
      <c r="AG2374" s="284"/>
    </row>
    <row r="2375" spans="1:33" ht="26.4">
      <c r="A2375" s="284"/>
      <c r="B2375" s="284"/>
      <c r="C2375" s="284"/>
      <c r="D2375" s="284"/>
      <c r="E2375" s="284"/>
      <c r="F2375" s="284"/>
      <c r="G2375" s="284"/>
      <c r="H2375" s="284"/>
      <c r="I2375" s="284"/>
      <c r="J2375" s="375"/>
      <c r="K2375" s="375"/>
      <c r="L2375" s="375"/>
      <c r="M2375" s="368"/>
      <c r="N2375" s="368"/>
      <c r="T2375" s="349"/>
      <c r="V2375" s="378"/>
      <c r="W2375" s="64" ph="1"/>
      <c r="X2375" s="241"/>
      <c r="Y2375" s="284"/>
      <c r="Z2375" s="207"/>
      <c r="AA2375" s="284"/>
      <c r="AB2375" s="284"/>
      <c r="AC2375" s="284"/>
      <c r="AD2375" s="284"/>
      <c r="AE2375" s="284"/>
      <c r="AF2375" s="284"/>
      <c r="AG2375" s="284"/>
    </row>
    <row r="2376" spans="1:33" ht="26.4">
      <c r="A2376" s="284"/>
      <c r="B2376" s="284"/>
      <c r="C2376" s="284"/>
      <c r="D2376" s="284"/>
      <c r="E2376" s="284"/>
      <c r="F2376" s="284"/>
      <c r="G2376" s="284"/>
      <c r="H2376" s="284"/>
      <c r="I2376" s="284"/>
      <c r="J2376" s="375"/>
      <c r="K2376" s="375"/>
      <c r="L2376" s="375"/>
      <c r="M2376" s="368"/>
      <c r="N2376" s="368"/>
      <c r="T2376" s="349"/>
      <c r="V2376" s="378"/>
      <c r="W2376" s="64" ph="1"/>
      <c r="X2376" s="241"/>
      <c r="Y2376" s="284"/>
      <c r="Z2376" s="207"/>
      <c r="AA2376" s="284"/>
      <c r="AB2376" s="284"/>
      <c r="AC2376" s="284"/>
      <c r="AD2376" s="284"/>
      <c r="AE2376" s="284"/>
      <c r="AF2376" s="284"/>
      <c r="AG2376" s="284"/>
    </row>
    <row r="2377" spans="1:33" ht="26.4">
      <c r="A2377" s="284"/>
      <c r="B2377" s="284"/>
      <c r="C2377" s="284"/>
      <c r="D2377" s="284"/>
      <c r="E2377" s="284"/>
      <c r="F2377" s="284"/>
      <c r="G2377" s="284"/>
      <c r="H2377" s="284"/>
      <c r="I2377" s="284"/>
      <c r="J2377" s="375"/>
      <c r="K2377" s="375"/>
      <c r="L2377" s="375"/>
      <c r="M2377" s="368"/>
      <c r="N2377" s="368"/>
      <c r="T2377" s="349"/>
      <c r="V2377" s="378"/>
      <c r="W2377" s="64" ph="1"/>
      <c r="X2377" s="241"/>
      <c r="Y2377" s="284"/>
      <c r="Z2377" s="207"/>
      <c r="AA2377" s="284"/>
      <c r="AB2377" s="284"/>
      <c r="AC2377" s="284"/>
      <c r="AD2377" s="284"/>
      <c r="AE2377" s="284"/>
      <c r="AF2377" s="284"/>
      <c r="AG2377" s="284"/>
    </row>
    <row r="2378" spans="1:33" ht="26.4">
      <c r="A2378" s="284"/>
      <c r="B2378" s="284"/>
      <c r="C2378" s="284"/>
      <c r="D2378" s="284"/>
      <c r="E2378" s="284"/>
      <c r="F2378" s="284"/>
      <c r="G2378" s="284"/>
      <c r="H2378" s="284"/>
      <c r="I2378" s="284"/>
      <c r="J2378" s="375"/>
      <c r="K2378" s="375"/>
      <c r="L2378" s="375"/>
      <c r="M2378" s="368"/>
      <c r="N2378" s="368"/>
      <c r="T2378" s="349"/>
      <c r="V2378" s="378"/>
      <c r="W2378" s="64" ph="1"/>
      <c r="X2378" s="241"/>
      <c r="Y2378" s="284"/>
      <c r="Z2378" s="207"/>
      <c r="AA2378" s="284"/>
      <c r="AB2378" s="284"/>
      <c r="AC2378" s="284"/>
      <c r="AD2378" s="284"/>
      <c r="AE2378" s="284"/>
      <c r="AF2378" s="284"/>
      <c r="AG2378" s="284"/>
    </row>
    <row r="2379" spans="1:33" ht="26.4">
      <c r="A2379" s="284"/>
      <c r="B2379" s="284"/>
      <c r="C2379" s="284"/>
      <c r="D2379" s="284"/>
      <c r="E2379" s="284"/>
      <c r="F2379" s="284"/>
      <c r="G2379" s="284"/>
      <c r="H2379" s="284"/>
      <c r="I2379" s="284"/>
      <c r="J2379" s="375"/>
      <c r="K2379" s="375"/>
      <c r="L2379" s="375"/>
      <c r="M2379" s="368"/>
      <c r="N2379" s="368"/>
      <c r="T2379" s="349"/>
      <c r="V2379" s="378"/>
      <c r="W2379" s="64" ph="1"/>
      <c r="X2379" s="241"/>
      <c r="Y2379" s="284"/>
      <c r="Z2379" s="207"/>
      <c r="AA2379" s="284"/>
      <c r="AB2379" s="284"/>
      <c r="AC2379" s="284"/>
      <c r="AD2379" s="284"/>
      <c r="AE2379" s="284"/>
      <c r="AF2379" s="284"/>
      <c r="AG2379" s="284"/>
    </row>
    <row r="2380" spans="1:33" ht="26.4">
      <c r="A2380" s="284"/>
      <c r="B2380" s="284"/>
      <c r="C2380" s="284"/>
      <c r="D2380" s="284"/>
      <c r="E2380" s="284"/>
      <c r="F2380" s="284"/>
      <c r="G2380" s="284"/>
      <c r="H2380" s="284"/>
      <c r="I2380" s="284"/>
      <c r="J2380" s="375"/>
      <c r="K2380" s="375"/>
      <c r="L2380" s="375"/>
      <c r="M2380" s="368"/>
      <c r="N2380" s="368"/>
      <c r="T2380" s="349"/>
      <c r="V2380" s="378"/>
      <c r="W2380" s="64" ph="1"/>
      <c r="X2380" s="241"/>
      <c r="Y2380" s="284"/>
      <c r="Z2380" s="207"/>
      <c r="AA2380" s="284"/>
      <c r="AB2380" s="284"/>
      <c r="AC2380" s="284"/>
      <c r="AD2380" s="284"/>
      <c r="AE2380" s="284"/>
      <c r="AF2380" s="284"/>
      <c r="AG2380" s="284"/>
    </row>
    <row r="2381" spans="1:33" ht="26.4">
      <c r="A2381" s="284"/>
      <c r="B2381" s="284"/>
      <c r="C2381" s="284"/>
      <c r="D2381" s="284"/>
      <c r="E2381" s="284"/>
      <c r="F2381" s="284"/>
      <c r="G2381" s="284"/>
      <c r="H2381" s="284"/>
      <c r="I2381" s="284"/>
      <c r="J2381" s="375"/>
      <c r="K2381" s="375"/>
      <c r="L2381" s="375"/>
      <c r="M2381" s="368"/>
      <c r="N2381" s="368"/>
      <c r="T2381" s="349"/>
      <c r="V2381" s="378"/>
      <c r="W2381" s="64" ph="1"/>
      <c r="X2381" s="241"/>
      <c r="Y2381" s="284"/>
      <c r="Z2381" s="207"/>
      <c r="AA2381" s="284"/>
      <c r="AB2381" s="284"/>
      <c r="AC2381" s="284"/>
      <c r="AD2381" s="284"/>
      <c r="AE2381" s="284"/>
      <c r="AF2381" s="284"/>
      <c r="AG2381" s="284"/>
    </row>
    <row r="2382" spans="1:33" ht="26.4">
      <c r="A2382" s="284"/>
      <c r="B2382" s="284"/>
      <c r="C2382" s="284"/>
      <c r="D2382" s="284"/>
      <c r="E2382" s="284"/>
      <c r="F2382" s="284"/>
      <c r="G2382" s="284"/>
      <c r="H2382" s="284"/>
      <c r="I2382" s="284"/>
      <c r="J2382" s="375"/>
      <c r="K2382" s="375"/>
      <c r="L2382" s="375"/>
      <c r="M2382" s="368"/>
      <c r="N2382" s="368"/>
      <c r="T2382" s="349"/>
      <c r="V2382" s="378"/>
      <c r="W2382" s="64" ph="1"/>
      <c r="X2382" s="241"/>
      <c r="Y2382" s="284"/>
      <c r="Z2382" s="207"/>
      <c r="AA2382" s="284"/>
      <c r="AB2382" s="284"/>
      <c r="AC2382" s="284"/>
      <c r="AD2382" s="284"/>
      <c r="AE2382" s="284"/>
      <c r="AF2382" s="284"/>
      <c r="AG2382" s="284"/>
    </row>
    <row r="2383" spans="1:33" ht="26.4">
      <c r="A2383" s="284"/>
      <c r="B2383" s="284"/>
      <c r="C2383" s="284"/>
      <c r="D2383" s="284"/>
      <c r="E2383" s="284"/>
      <c r="F2383" s="284"/>
      <c r="G2383" s="284"/>
      <c r="H2383" s="284"/>
      <c r="I2383" s="284"/>
      <c r="J2383" s="375"/>
      <c r="K2383" s="375"/>
      <c r="L2383" s="375"/>
      <c r="M2383" s="368"/>
      <c r="N2383" s="368"/>
      <c r="T2383" s="349"/>
      <c r="V2383" s="378"/>
      <c r="W2383" s="64" ph="1"/>
      <c r="X2383" s="241"/>
      <c r="Y2383" s="284"/>
      <c r="Z2383" s="207"/>
      <c r="AA2383" s="284"/>
      <c r="AB2383" s="284"/>
      <c r="AC2383" s="284"/>
      <c r="AD2383" s="284"/>
      <c r="AE2383" s="284"/>
      <c r="AF2383" s="284"/>
      <c r="AG2383" s="284"/>
    </row>
    <row r="2384" spans="1:33" ht="26.4">
      <c r="A2384" s="284"/>
      <c r="B2384" s="284"/>
      <c r="C2384" s="284"/>
      <c r="D2384" s="284"/>
      <c r="E2384" s="284"/>
      <c r="F2384" s="284"/>
      <c r="G2384" s="284"/>
      <c r="H2384" s="284"/>
      <c r="I2384" s="284"/>
      <c r="J2384" s="375"/>
      <c r="K2384" s="375"/>
      <c r="L2384" s="375"/>
      <c r="M2384" s="368"/>
      <c r="N2384" s="368"/>
      <c r="T2384" s="349"/>
      <c r="V2384" s="378"/>
      <c r="W2384" s="64" ph="1"/>
      <c r="X2384" s="241"/>
      <c r="Y2384" s="284"/>
      <c r="Z2384" s="207"/>
      <c r="AA2384" s="284"/>
      <c r="AB2384" s="284"/>
      <c r="AC2384" s="284"/>
      <c r="AD2384" s="284"/>
      <c r="AE2384" s="284"/>
      <c r="AF2384" s="284"/>
      <c r="AG2384" s="284"/>
    </row>
    <row r="2385" spans="1:33" ht="26.4">
      <c r="A2385" s="284"/>
      <c r="B2385" s="284"/>
      <c r="C2385" s="284"/>
      <c r="D2385" s="284"/>
      <c r="E2385" s="284"/>
      <c r="F2385" s="284"/>
      <c r="G2385" s="284"/>
      <c r="H2385" s="284"/>
      <c r="I2385" s="284"/>
      <c r="J2385" s="375"/>
      <c r="K2385" s="375"/>
      <c r="L2385" s="375"/>
      <c r="M2385" s="368"/>
      <c r="N2385" s="368"/>
      <c r="T2385" s="349"/>
      <c r="V2385" s="378"/>
      <c r="W2385" s="64" ph="1"/>
      <c r="X2385" s="241"/>
      <c r="Y2385" s="284"/>
      <c r="Z2385" s="207"/>
      <c r="AA2385" s="284"/>
      <c r="AB2385" s="284"/>
      <c r="AC2385" s="284"/>
      <c r="AD2385" s="284"/>
      <c r="AE2385" s="284"/>
      <c r="AF2385" s="284"/>
      <c r="AG2385" s="284"/>
    </row>
    <row r="2386" spans="1:33" ht="26.4">
      <c r="A2386" s="284"/>
      <c r="B2386" s="284"/>
      <c r="C2386" s="284"/>
      <c r="D2386" s="284"/>
      <c r="E2386" s="284"/>
      <c r="F2386" s="284"/>
      <c r="G2386" s="284"/>
      <c r="H2386" s="284"/>
      <c r="I2386" s="284"/>
      <c r="J2386" s="375"/>
      <c r="K2386" s="375"/>
      <c r="L2386" s="375"/>
      <c r="M2386" s="368"/>
      <c r="N2386" s="368"/>
      <c r="T2386" s="349"/>
      <c r="V2386" s="378"/>
      <c r="W2386" s="64" ph="1"/>
      <c r="X2386" s="241"/>
      <c r="Y2386" s="284"/>
      <c r="Z2386" s="207"/>
      <c r="AA2386" s="284"/>
      <c r="AB2386" s="284"/>
      <c r="AC2386" s="284"/>
      <c r="AD2386" s="284"/>
      <c r="AE2386" s="284"/>
      <c r="AF2386" s="284"/>
      <c r="AG2386" s="284"/>
    </row>
    <row r="2387" spans="1:33" ht="26.4">
      <c r="A2387" s="284"/>
      <c r="B2387" s="284"/>
      <c r="C2387" s="284"/>
      <c r="D2387" s="284"/>
      <c r="E2387" s="284"/>
      <c r="F2387" s="284"/>
      <c r="G2387" s="284"/>
      <c r="H2387" s="284"/>
      <c r="I2387" s="284"/>
      <c r="J2387" s="375"/>
      <c r="K2387" s="375"/>
      <c r="L2387" s="375"/>
      <c r="M2387" s="368"/>
      <c r="N2387" s="368"/>
      <c r="T2387" s="349"/>
      <c r="V2387" s="378"/>
      <c r="W2387" s="64" ph="1"/>
      <c r="X2387" s="241"/>
      <c r="Y2387" s="284"/>
      <c r="Z2387" s="207"/>
      <c r="AA2387" s="284"/>
      <c r="AB2387" s="284"/>
      <c r="AC2387" s="284"/>
      <c r="AD2387" s="284"/>
      <c r="AE2387" s="284"/>
      <c r="AF2387" s="284"/>
      <c r="AG2387" s="284"/>
    </row>
    <row r="2388" spans="1:33" ht="26.4">
      <c r="A2388" s="284"/>
      <c r="B2388" s="284"/>
      <c r="C2388" s="284"/>
      <c r="D2388" s="284"/>
      <c r="E2388" s="284"/>
      <c r="F2388" s="284"/>
      <c r="G2388" s="284"/>
      <c r="H2388" s="284"/>
      <c r="I2388" s="284"/>
      <c r="J2388" s="375"/>
      <c r="K2388" s="375"/>
      <c r="L2388" s="375"/>
      <c r="M2388" s="368"/>
      <c r="N2388" s="368"/>
      <c r="T2388" s="349"/>
      <c r="V2388" s="378"/>
      <c r="W2388" s="64" ph="1"/>
      <c r="X2388" s="241"/>
      <c r="Y2388" s="284"/>
      <c r="Z2388" s="207"/>
      <c r="AA2388" s="284"/>
      <c r="AB2388" s="284"/>
      <c r="AC2388" s="284"/>
      <c r="AD2388" s="284"/>
      <c r="AE2388" s="284"/>
      <c r="AF2388" s="284"/>
      <c r="AG2388" s="284"/>
    </row>
    <row r="2389" spans="1:33" ht="26.4">
      <c r="A2389" s="284"/>
      <c r="B2389" s="284"/>
      <c r="C2389" s="284"/>
      <c r="D2389" s="284"/>
      <c r="E2389" s="284"/>
      <c r="F2389" s="284"/>
      <c r="G2389" s="284"/>
      <c r="H2389" s="284"/>
      <c r="I2389" s="284"/>
      <c r="J2389" s="375"/>
      <c r="K2389" s="375"/>
      <c r="L2389" s="375"/>
      <c r="M2389" s="368"/>
      <c r="N2389" s="368"/>
      <c r="T2389" s="349"/>
      <c r="V2389" s="378"/>
      <c r="W2389" s="64" ph="1"/>
      <c r="X2389" s="241"/>
      <c r="Y2389" s="284"/>
      <c r="Z2389" s="207"/>
      <c r="AA2389" s="284"/>
      <c r="AB2389" s="284"/>
      <c r="AC2389" s="284"/>
      <c r="AD2389" s="284"/>
      <c r="AE2389" s="284"/>
      <c r="AF2389" s="284"/>
      <c r="AG2389" s="284"/>
    </row>
    <row r="2390" spans="1:33" ht="26.4">
      <c r="A2390" s="284"/>
      <c r="B2390" s="284"/>
      <c r="C2390" s="284"/>
      <c r="D2390" s="284"/>
      <c r="E2390" s="284"/>
      <c r="F2390" s="284"/>
      <c r="G2390" s="284"/>
      <c r="H2390" s="284"/>
      <c r="I2390" s="284"/>
      <c r="J2390" s="375"/>
      <c r="K2390" s="375"/>
      <c r="L2390" s="375"/>
      <c r="M2390" s="368"/>
      <c r="N2390" s="368"/>
      <c r="T2390" s="349"/>
      <c r="V2390" s="378"/>
      <c r="W2390" s="64" ph="1"/>
      <c r="X2390" s="241"/>
      <c r="Y2390" s="284"/>
      <c r="Z2390" s="207"/>
      <c r="AA2390" s="284"/>
      <c r="AB2390" s="284"/>
      <c r="AC2390" s="284"/>
      <c r="AD2390" s="284"/>
      <c r="AE2390" s="284"/>
      <c r="AF2390" s="284"/>
      <c r="AG2390" s="284"/>
    </row>
    <row r="2391" spans="1:33" ht="26.4">
      <c r="A2391" s="284"/>
      <c r="B2391" s="284"/>
      <c r="C2391" s="284"/>
      <c r="D2391" s="284"/>
      <c r="E2391" s="284"/>
      <c r="F2391" s="284"/>
      <c r="G2391" s="284"/>
      <c r="H2391" s="284"/>
      <c r="I2391" s="284"/>
      <c r="J2391" s="375"/>
      <c r="K2391" s="375"/>
      <c r="L2391" s="375"/>
      <c r="M2391" s="368"/>
      <c r="N2391" s="368"/>
      <c r="T2391" s="349"/>
      <c r="V2391" s="378"/>
      <c r="W2391" s="64" ph="1"/>
      <c r="X2391" s="241"/>
      <c r="Y2391" s="284"/>
      <c r="Z2391" s="207"/>
      <c r="AA2391" s="284"/>
      <c r="AB2391" s="284"/>
      <c r="AC2391" s="284"/>
      <c r="AD2391" s="284"/>
      <c r="AE2391" s="284"/>
      <c r="AF2391" s="284"/>
      <c r="AG2391" s="284"/>
    </row>
    <row r="2392" spans="1:33" ht="26.4">
      <c r="A2392" s="284"/>
      <c r="B2392" s="284"/>
      <c r="C2392" s="284"/>
      <c r="D2392" s="284"/>
      <c r="E2392" s="284"/>
      <c r="F2392" s="284"/>
      <c r="G2392" s="284"/>
      <c r="H2392" s="284"/>
      <c r="I2392" s="284"/>
      <c r="J2392" s="375"/>
      <c r="K2392" s="375"/>
      <c r="L2392" s="375"/>
      <c r="M2392" s="368"/>
      <c r="N2392" s="368"/>
      <c r="T2392" s="349"/>
      <c r="V2392" s="378"/>
      <c r="W2392" s="64" ph="1"/>
      <c r="X2392" s="241"/>
      <c r="Y2392" s="284"/>
      <c r="Z2392" s="207"/>
      <c r="AA2392" s="284"/>
      <c r="AB2392" s="284"/>
      <c r="AC2392" s="284"/>
      <c r="AD2392" s="284"/>
      <c r="AE2392" s="284"/>
      <c r="AF2392" s="284"/>
      <c r="AG2392" s="284"/>
    </row>
    <row r="2393" spans="1:33" ht="26.4">
      <c r="A2393" s="284"/>
      <c r="B2393" s="284"/>
      <c r="C2393" s="284"/>
      <c r="D2393" s="284"/>
      <c r="E2393" s="284"/>
      <c r="F2393" s="284"/>
      <c r="G2393" s="284"/>
      <c r="H2393" s="284"/>
      <c r="I2393" s="284"/>
      <c r="J2393" s="375"/>
      <c r="K2393" s="375"/>
      <c r="L2393" s="375"/>
      <c r="M2393" s="368"/>
      <c r="N2393" s="368"/>
      <c r="T2393" s="349"/>
      <c r="V2393" s="378"/>
      <c r="W2393" s="64" ph="1"/>
      <c r="X2393" s="241"/>
      <c r="Y2393" s="284"/>
      <c r="Z2393" s="207"/>
      <c r="AA2393" s="284"/>
      <c r="AB2393" s="284"/>
      <c r="AC2393" s="284"/>
      <c r="AD2393" s="284"/>
      <c r="AE2393" s="284"/>
      <c r="AF2393" s="284"/>
      <c r="AG2393" s="284"/>
    </row>
    <row r="2394" spans="1:33" ht="26.4">
      <c r="A2394" s="284"/>
      <c r="B2394" s="284"/>
      <c r="C2394" s="284"/>
      <c r="D2394" s="284"/>
      <c r="E2394" s="284"/>
      <c r="F2394" s="284"/>
      <c r="G2394" s="284"/>
      <c r="H2394" s="284"/>
      <c r="I2394" s="284"/>
      <c r="J2394" s="375"/>
      <c r="K2394" s="375"/>
      <c r="L2394" s="375"/>
      <c r="M2394" s="368"/>
      <c r="N2394" s="368"/>
      <c r="T2394" s="349"/>
      <c r="V2394" s="378"/>
      <c r="W2394" s="64" ph="1"/>
      <c r="X2394" s="241"/>
      <c r="Y2394" s="284"/>
      <c r="Z2394" s="207"/>
      <c r="AA2394" s="284"/>
      <c r="AB2394" s="284"/>
      <c r="AC2394" s="284"/>
      <c r="AD2394" s="284"/>
      <c r="AE2394" s="284"/>
      <c r="AF2394" s="284"/>
      <c r="AG2394" s="284"/>
    </row>
    <row r="2395" spans="1:33" ht="26.4">
      <c r="A2395" s="284"/>
      <c r="B2395" s="284"/>
      <c r="C2395" s="284"/>
      <c r="D2395" s="284"/>
      <c r="E2395" s="284"/>
      <c r="F2395" s="284"/>
      <c r="G2395" s="284"/>
      <c r="H2395" s="284"/>
      <c r="I2395" s="284"/>
      <c r="J2395" s="375"/>
      <c r="K2395" s="375"/>
      <c r="L2395" s="375"/>
      <c r="M2395" s="368"/>
      <c r="N2395" s="368"/>
      <c r="T2395" s="349"/>
      <c r="V2395" s="378"/>
      <c r="W2395" s="64" ph="1"/>
      <c r="X2395" s="241"/>
      <c r="Y2395" s="284"/>
      <c r="Z2395" s="207"/>
      <c r="AA2395" s="284"/>
      <c r="AB2395" s="284"/>
      <c r="AC2395" s="284"/>
      <c r="AD2395" s="284"/>
      <c r="AE2395" s="284"/>
      <c r="AF2395" s="284"/>
      <c r="AG2395" s="284"/>
    </row>
    <row r="2396" spans="1:33" ht="26.4">
      <c r="A2396" s="284"/>
      <c r="B2396" s="284"/>
      <c r="C2396" s="284"/>
      <c r="D2396" s="284"/>
      <c r="E2396" s="284"/>
      <c r="F2396" s="284"/>
      <c r="G2396" s="284"/>
      <c r="H2396" s="284"/>
      <c r="I2396" s="284"/>
      <c r="J2396" s="375"/>
      <c r="K2396" s="375"/>
      <c r="L2396" s="375"/>
      <c r="M2396" s="368"/>
      <c r="N2396" s="368"/>
      <c r="T2396" s="349"/>
      <c r="V2396" s="378"/>
      <c r="W2396" s="64" ph="1"/>
      <c r="X2396" s="241"/>
      <c r="Y2396" s="284"/>
      <c r="Z2396" s="207"/>
      <c r="AA2396" s="284"/>
      <c r="AB2396" s="284"/>
      <c r="AC2396" s="284"/>
      <c r="AD2396" s="284"/>
      <c r="AE2396" s="284"/>
      <c r="AF2396" s="284"/>
      <c r="AG2396" s="284"/>
    </row>
    <row r="2397" spans="1:33" ht="26.4">
      <c r="A2397" s="284"/>
      <c r="B2397" s="284"/>
      <c r="C2397" s="284"/>
      <c r="D2397" s="284"/>
      <c r="E2397" s="284"/>
      <c r="F2397" s="284"/>
      <c r="G2397" s="284"/>
      <c r="H2397" s="284"/>
      <c r="I2397" s="284"/>
      <c r="J2397" s="375"/>
      <c r="K2397" s="375"/>
      <c r="L2397" s="375"/>
      <c r="M2397" s="368"/>
      <c r="N2397" s="368"/>
      <c r="T2397" s="349"/>
      <c r="V2397" s="378"/>
      <c r="W2397" s="64" ph="1"/>
      <c r="X2397" s="241"/>
      <c r="Y2397" s="284"/>
      <c r="Z2397" s="207"/>
      <c r="AA2397" s="284"/>
      <c r="AB2397" s="284"/>
      <c r="AC2397" s="284"/>
      <c r="AD2397" s="284"/>
      <c r="AE2397" s="284"/>
      <c r="AF2397" s="284"/>
      <c r="AG2397" s="284"/>
    </row>
    <row r="2398" spans="1:33" ht="26.4">
      <c r="A2398" s="284"/>
      <c r="B2398" s="284"/>
      <c r="C2398" s="284"/>
      <c r="D2398" s="284"/>
      <c r="E2398" s="284"/>
      <c r="F2398" s="284"/>
      <c r="G2398" s="284"/>
      <c r="H2398" s="284"/>
      <c r="I2398" s="284"/>
      <c r="J2398" s="375"/>
      <c r="K2398" s="375"/>
      <c r="L2398" s="375"/>
      <c r="M2398" s="368"/>
      <c r="N2398" s="368"/>
      <c r="T2398" s="349"/>
      <c r="V2398" s="378"/>
      <c r="W2398" s="64" ph="1"/>
      <c r="X2398" s="241"/>
      <c r="Y2398" s="284"/>
      <c r="Z2398" s="207"/>
      <c r="AA2398" s="284"/>
      <c r="AB2398" s="284"/>
      <c r="AC2398" s="284"/>
      <c r="AD2398" s="284"/>
      <c r="AE2398" s="284"/>
      <c r="AF2398" s="284"/>
      <c r="AG2398" s="284"/>
    </row>
    <row r="2399" spans="1:33" ht="26.4">
      <c r="A2399" s="284"/>
      <c r="B2399" s="284"/>
      <c r="C2399" s="284"/>
      <c r="D2399" s="284"/>
      <c r="E2399" s="284"/>
      <c r="F2399" s="284"/>
      <c r="G2399" s="284"/>
      <c r="H2399" s="284"/>
      <c r="I2399" s="284"/>
      <c r="J2399" s="375"/>
      <c r="K2399" s="375"/>
      <c r="L2399" s="375"/>
      <c r="M2399" s="368"/>
      <c r="N2399" s="368"/>
      <c r="T2399" s="349"/>
      <c r="V2399" s="378"/>
      <c r="W2399" s="64" ph="1"/>
      <c r="X2399" s="241"/>
      <c r="Y2399" s="284"/>
      <c r="Z2399" s="207"/>
      <c r="AA2399" s="284"/>
      <c r="AB2399" s="284"/>
      <c r="AC2399" s="284"/>
      <c r="AD2399" s="284"/>
      <c r="AE2399" s="284"/>
      <c r="AF2399" s="284"/>
      <c r="AG2399" s="284"/>
    </row>
    <row r="2400" spans="1:33" ht="26.4">
      <c r="A2400" s="284"/>
      <c r="B2400" s="284"/>
      <c r="C2400" s="284"/>
      <c r="D2400" s="284"/>
      <c r="E2400" s="284"/>
      <c r="F2400" s="284"/>
      <c r="G2400" s="284"/>
      <c r="H2400" s="284"/>
      <c r="I2400" s="284"/>
      <c r="J2400" s="375"/>
      <c r="K2400" s="375"/>
      <c r="L2400" s="375"/>
      <c r="M2400" s="368"/>
      <c r="N2400" s="368"/>
      <c r="T2400" s="349"/>
      <c r="V2400" s="378"/>
      <c r="W2400" s="64" ph="1"/>
      <c r="X2400" s="241"/>
      <c r="Y2400" s="284"/>
      <c r="Z2400" s="207"/>
      <c r="AA2400" s="284"/>
      <c r="AB2400" s="284"/>
      <c r="AC2400" s="284"/>
      <c r="AD2400" s="284"/>
      <c r="AE2400" s="284"/>
      <c r="AF2400" s="284"/>
      <c r="AG2400" s="284"/>
    </row>
    <row r="2401" spans="1:33" ht="26.4">
      <c r="A2401" s="284"/>
      <c r="B2401" s="284"/>
      <c r="C2401" s="284"/>
      <c r="D2401" s="284"/>
      <c r="E2401" s="284"/>
      <c r="F2401" s="284"/>
      <c r="G2401" s="284"/>
      <c r="H2401" s="284"/>
      <c r="I2401" s="284"/>
      <c r="J2401" s="375"/>
      <c r="K2401" s="375"/>
      <c r="L2401" s="375"/>
      <c r="M2401" s="368"/>
      <c r="N2401" s="368"/>
      <c r="T2401" s="349"/>
      <c r="V2401" s="378"/>
      <c r="W2401" s="64" ph="1"/>
      <c r="X2401" s="241"/>
      <c r="Y2401" s="284"/>
      <c r="Z2401" s="207"/>
      <c r="AA2401" s="284"/>
      <c r="AB2401" s="284"/>
      <c r="AC2401" s="284"/>
      <c r="AD2401" s="284"/>
      <c r="AE2401" s="284"/>
      <c r="AF2401" s="284"/>
      <c r="AG2401" s="284"/>
    </row>
    <row r="2402" spans="1:33" ht="26.4">
      <c r="A2402" s="284"/>
      <c r="B2402" s="284"/>
      <c r="C2402" s="284"/>
      <c r="D2402" s="284"/>
      <c r="E2402" s="284"/>
      <c r="F2402" s="284"/>
      <c r="G2402" s="284"/>
      <c r="H2402" s="284"/>
      <c r="I2402" s="284"/>
      <c r="J2402" s="375"/>
      <c r="K2402" s="375"/>
      <c r="L2402" s="375"/>
      <c r="M2402" s="368"/>
      <c r="N2402" s="368"/>
      <c r="T2402" s="349"/>
      <c r="V2402" s="378"/>
      <c r="W2402" s="64" ph="1"/>
      <c r="X2402" s="241"/>
      <c r="Y2402" s="284"/>
      <c r="Z2402" s="207"/>
      <c r="AA2402" s="284"/>
      <c r="AB2402" s="284"/>
      <c r="AC2402" s="284"/>
      <c r="AD2402" s="284"/>
      <c r="AE2402" s="284"/>
      <c r="AF2402" s="284"/>
      <c r="AG2402" s="284"/>
    </row>
    <row r="2403" spans="1:33" ht="26.4">
      <c r="A2403" s="284"/>
      <c r="B2403" s="284"/>
      <c r="C2403" s="284"/>
      <c r="D2403" s="284"/>
      <c r="E2403" s="284"/>
      <c r="F2403" s="284"/>
      <c r="G2403" s="284"/>
      <c r="H2403" s="284"/>
      <c r="I2403" s="284"/>
      <c r="J2403" s="375"/>
      <c r="K2403" s="375"/>
      <c r="L2403" s="375"/>
      <c r="M2403" s="368"/>
      <c r="N2403" s="368"/>
      <c r="T2403" s="349"/>
      <c r="V2403" s="378"/>
      <c r="W2403" s="64" ph="1"/>
      <c r="X2403" s="241"/>
      <c r="Y2403" s="284"/>
      <c r="Z2403" s="207"/>
      <c r="AA2403" s="284"/>
      <c r="AB2403" s="284"/>
      <c r="AC2403" s="284"/>
      <c r="AD2403" s="284"/>
      <c r="AE2403" s="284"/>
      <c r="AF2403" s="284"/>
      <c r="AG2403" s="284"/>
    </row>
    <row r="2404" spans="1:33" ht="26.4">
      <c r="A2404" s="284"/>
      <c r="B2404" s="284"/>
      <c r="C2404" s="284"/>
      <c r="D2404" s="284"/>
      <c r="E2404" s="284"/>
      <c r="F2404" s="284"/>
      <c r="G2404" s="284"/>
      <c r="H2404" s="284"/>
      <c r="I2404" s="284"/>
      <c r="J2404" s="375"/>
      <c r="K2404" s="375"/>
      <c r="L2404" s="375"/>
      <c r="M2404" s="368"/>
      <c r="N2404" s="368"/>
      <c r="T2404" s="349"/>
      <c r="V2404" s="378"/>
      <c r="W2404" s="64" ph="1"/>
      <c r="X2404" s="241"/>
      <c r="Y2404" s="284"/>
      <c r="Z2404" s="207"/>
      <c r="AA2404" s="284"/>
      <c r="AB2404" s="284"/>
      <c r="AC2404" s="284"/>
      <c r="AD2404" s="284"/>
      <c r="AE2404" s="284"/>
      <c r="AF2404" s="284"/>
      <c r="AG2404" s="284"/>
    </row>
    <row r="2405" spans="1:33" ht="26.4">
      <c r="A2405" s="284"/>
      <c r="B2405" s="284"/>
      <c r="C2405" s="284"/>
      <c r="D2405" s="284"/>
      <c r="E2405" s="284"/>
      <c r="F2405" s="284"/>
      <c r="G2405" s="284"/>
      <c r="H2405" s="284"/>
      <c r="I2405" s="284"/>
      <c r="J2405" s="375"/>
      <c r="K2405" s="375"/>
      <c r="L2405" s="375"/>
      <c r="M2405" s="368"/>
      <c r="N2405" s="368"/>
      <c r="T2405" s="349"/>
      <c r="V2405" s="378"/>
      <c r="W2405" s="64" ph="1"/>
      <c r="X2405" s="241"/>
      <c r="Y2405" s="284"/>
      <c r="Z2405" s="207"/>
      <c r="AA2405" s="284"/>
      <c r="AB2405" s="284"/>
      <c r="AC2405" s="284"/>
      <c r="AD2405" s="284"/>
      <c r="AE2405" s="284"/>
      <c r="AF2405" s="284"/>
      <c r="AG2405" s="284"/>
    </row>
    <row r="2406" spans="1:33" ht="26.4">
      <c r="A2406" s="284"/>
      <c r="B2406" s="284"/>
      <c r="C2406" s="284"/>
      <c r="D2406" s="284"/>
      <c r="E2406" s="284"/>
      <c r="F2406" s="284"/>
      <c r="G2406" s="284"/>
      <c r="H2406" s="284"/>
      <c r="I2406" s="284"/>
      <c r="J2406" s="375"/>
      <c r="K2406" s="375"/>
      <c r="L2406" s="375"/>
      <c r="M2406" s="368"/>
      <c r="N2406" s="368"/>
      <c r="T2406" s="349"/>
      <c r="V2406" s="378"/>
      <c r="W2406" s="64" ph="1"/>
      <c r="X2406" s="241"/>
      <c r="Y2406" s="284"/>
      <c r="Z2406" s="207"/>
      <c r="AA2406" s="284"/>
      <c r="AB2406" s="284"/>
      <c r="AC2406" s="284"/>
      <c r="AD2406" s="284"/>
      <c r="AE2406" s="284"/>
      <c r="AF2406" s="284"/>
      <c r="AG2406" s="284"/>
    </row>
    <row r="2407" spans="1:33" ht="26.4">
      <c r="A2407" s="284"/>
      <c r="B2407" s="284"/>
      <c r="C2407" s="284"/>
      <c r="D2407" s="284"/>
      <c r="E2407" s="284"/>
      <c r="F2407" s="284"/>
      <c r="G2407" s="284"/>
      <c r="H2407" s="284"/>
      <c r="I2407" s="284"/>
      <c r="J2407" s="375"/>
      <c r="K2407" s="375"/>
      <c r="L2407" s="375"/>
      <c r="M2407" s="368"/>
      <c r="N2407" s="368"/>
      <c r="T2407" s="349"/>
      <c r="V2407" s="378"/>
      <c r="W2407" s="64" ph="1"/>
      <c r="X2407" s="241"/>
      <c r="Y2407" s="284"/>
      <c r="Z2407" s="207"/>
      <c r="AA2407" s="284"/>
      <c r="AB2407" s="284"/>
      <c r="AC2407" s="284"/>
      <c r="AD2407" s="284"/>
      <c r="AE2407" s="284"/>
      <c r="AF2407" s="284"/>
      <c r="AG2407" s="284"/>
    </row>
    <row r="2408" spans="1:33" ht="26.4">
      <c r="A2408" s="284"/>
      <c r="B2408" s="284"/>
      <c r="C2408" s="284"/>
      <c r="D2408" s="284"/>
      <c r="E2408" s="284"/>
      <c r="F2408" s="284"/>
      <c r="G2408" s="284"/>
      <c r="H2408" s="284"/>
      <c r="I2408" s="284"/>
      <c r="J2408" s="375"/>
      <c r="K2408" s="375"/>
      <c r="L2408" s="375"/>
      <c r="M2408" s="368"/>
      <c r="N2408" s="368"/>
      <c r="T2408" s="349"/>
      <c r="V2408" s="378"/>
      <c r="W2408" s="64" ph="1"/>
      <c r="X2408" s="241"/>
      <c r="Y2408" s="284"/>
      <c r="Z2408" s="207"/>
      <c r="AA2408" s="284"/>
      <c r="AB2408" s="284"/>
      <c r="AC2408" s="284"/>
      <c r="AD2408" s="284"/>
      <c r="AE2408" s="284"/>
      <c r="AF2408" s="284"/>
      <c r="AG2408" s="284"/>
    </row>
    <row r="2409" spans="1:33" ht="26.4">
      <c r="A2409" s="284"/>
      <c r="B2409" s="284"/>
      <c r="C2409" s="284"/>
      <c r="D2409" s="284"/>
      <c r="E2409" s="284"/>
      <c r="F2409" s="284"/>
      <c r="G2409" s="284"/>
      <c r="H2409" s="284"/>
      <c r="I2409" s="284"/>
      <c r="J2409" s="375"/>
      <c r="K2409" s="375"/>
      <c r="L2409" s="375"/>
      <c r="M2409" s="368"/>
      <c r="N2409" s="368"/>
      <c r="T2409" s="349"/>
      <c r="V2409" s="378"/>
      <c r="W2409" s="64" ph="1"/>
      <c r="X2409" s="241"/>
      <c r="Y2409" s="284"/>
      <c r="Z2409" s="207"/>
      <c r="AA2409" s="284"/>
      <c r="AB2409" s="284"/>
      <c r="AC2409" s="284"/>
      <c r="AD2409" s="284"/>
      <c r="AE2409" s="284"/>
      <c r="AF2409" s="284"/>
      <c r="AG2409" s="284"/>
    </row>
    <row r="2410" spans="1:33" ht="26.4">
      <c r="A2410" s="284"/>
      <c r="B2410" s="284"/>
      <c r="C2410" s="284"/>
      <c r="D2410" s="284"/>
      <c r="E2410" s="284"/>
      <c r="F2410" s="284"/>
      <c r="G2410" s="284"/>
      <c r="H2410" s="284"/>
      <c r="I2410" s="284"/>
      <c r="J2410" s="375"/>
      <c r="K2410" s="375"/>
      <c r="L2410" s="375"/>
      <c r="M2410" s="368"/>
      <c r="N2410" s="368"/>
      <c r="T2410" s="349"/>
      <c r="V2410" s="378"/>
      <c r="W2410" s="64" ph="1"/>
      <c r="X2410" s="241"/>
      <c r="Y2410" s="284"/>
      <c r="Z2410" s="207"/>
      <c r="AA2410" s="284"/>
      <c r="AB2410" s="284"/>
      <c r="AC2410" s="284"/>
      <c r="AD2410" s="284"/>
      <c r="AE2410" s="284"/>
      <c r="AF2410" s="284"/>
      <c r="AG2410" s="284"/>
    </row>
    <row r="2411" spans="1:33" ht="26.4">
      <c r="A2411" s="284"/>
      <c r="B2411" s="284"/>
      <c r="C2411" s="284"/>
      <c r="D2411" s="284"/>
      <c r="E2411" s="284"/>
      <c r="F2411" s="284"/>
      <c r="G2411" s="284"/>
      <c r="H2411" s="284"/>
      <c r="I2411" s="284"/>
      <c r="J2411" s="375"/>
      <c r="K2411" s="375"/>
      <c r="L2411" s="375"/>
      <c r="M2411" s="368"/>
      <c r="N2411" s="368"/>
      <c r="T2411" s="349"/>
      <c r="V2411" s="378"/>
      <c r="W2411" s="64" ph="1"/>
      <c r="X2411" s="241"/>
      <c r="Y2411" s="284"/>
      <c r="Z2411" s="207"/>
      <c r="AA2411" s="284"/>
      <c r="AB2411" s="284"/>
      <c r="AC2411" s="284"/>
      <c r="AD2411" s="284"/>
      <c r="AE2411" s="284"/>
      <c r="AF2411" s="284"/>
      <c r="AG2411" s="284"/>
    </row>
    <row r="2412" spans="1:33" ht="26.4">
      <c r="A2412" s="284"/>
      <c r="B2412" s="284"/>
      <c r="C2412" s="284"/>
      <c r="D2412" s="284"/>
      <c r="E2412" s="284"/>
      <c r="F2412" s="284"/>
      <c r="G2412" s="284"/>
      <c r="H2412" s="284"/>
      <c r="I2412" s="284"/>
      <c r="J2412" s="375"/>
      <c r="K2412" s="375"/>
      <c r="L2412" s="375"/>
      <c r="M2412" s="368"/>
      <c r="N2412" s="368"/>
      <c r="T2412" s="349"/>
      <c r="V2412" s="378"/>
      <c r="W2412" s="64" ph="1"/>
      <c r="X2412" s="241"/>
      <c r="Y2412" s="284"/>
      <c r="Z2412" s="207"/>
      <c r="AA2412" s="284"/>
      <c r="AB2412" s="284"/>
      <c r="AC2412" s="284"/>
      <c r="AD2412" s="284"/>
      <c r="AE2412" s="284"/>
      <c r="AF2412" s="284"/>
      <c r="AG2412" s="284"/>
    </row>
    <row r="2413" spans="1:33" ht="26.4">
      <c r="A2413" s="284"/>
      <c r="B2413" s="284"/>
      <c r="C2413" s="284"/>
      <c r="D2413" s="284"/>
      <c r="E2413" s="284"/>
      <c r="F2413" s="284"/>
      <c r="G2413" s="284"/>
      <c r="H2413" s="284"/>
      <c r="I2413" s="284"/>
      <c r="J2413" s="375"/>
      <c r="K2413" s="375"/>
      <c r="L2413" s="375"/>
      <c r="M2413" s="368"/>
      <c r="N2413" s="368"/>
      <c r="T2413" s="349"/>
      <c r="V2413" s="378"/>
      <c r="W2413" s="64" ph="1"/>
      <c r="X2413" s="241"/>
      <c r="Y2413" s="284"/>
      <c r="Z2413" s="207"/>
      <c r="AA2413" s="284"/>
      <c r="AB2413" s="284"/>
      <c r="AC2413" s="284"/>
      <c r="AD2413" s="284"/>
      <c r="AE2413" s="284"/>
      <c r="AF2413" s="284"/>
      <c r="AG2413" s="284"/>
    </row>
    <row r="2414" spans="1:33" ht="26.4">
      <c r="A2414" s="284"/>
      <c r="B2414" s="284"/>
      <c r="C2414" s="284"/>
      <c r="D2414" s="284"/>
      <c r="E2414" s="284"/>
      <c r="F2414" s="284"/>
      <c r="G2414" s="284"/>
      <c r="H2414" s="284"/>
      <c r="I2414" s="284"/>
      <c r="J2414" s="375"/>
      <c r="K2414" s="375"/>
      <c r="L2414" s="375"/>
      <c r="M2414" s="368"/>
      <c r="N2414" s="368"/>
      <c r="T2414" s="349"/>
      <c r="V2414" s="378"/>
      <c r="W2414" s="64" ph="1"/>
      <c r="X2414" s="241"/>
      <c r="Y2414" s="284"/>
      <c r="Z2414" s="207"/>
      <c r="AA2414" s="284"/>
      <c r="AB2414" s="284"/>
      <c r="AC2414" s="284"/>
      <c r="AD2414" s="284"/>
      <c r="AE2414" s="284"/>
      <c r="AF2414" s="284"/>
      <c r="AG2414" s="284"/>
    </row>
    <row r="2415" spans="1:33" ht="26.4">
      <c r="A2415" s="284"/>
      <c r="B2415" s="284"/>
      <c r="C2415" s="284"/>
      <c r="D2415" s="284"/>
      <c r="E2415" s="284"/>
      <c r="F2415" s="284"/>
      <c r="G2415" s="284"/>
      <c r="H2415" s="284"/>
      <c r="I2415" s="284"/>
      <c r="J2415" s="375"/>
      <c r="K2415" s="375"/>
      <c r="L2415" s="375"/>
      <c r="M2415" s="368"/>
      <c r="N2415" s="368"/>
      <c r="T2415" s="349"/>
      <c r="V2415" s="378"/>
      <c r="W2415" s="64" ph="1"/>
      <c r="X2415" s="241"/>
      <c r="Y2415" s="284"/>
      <c r="Z2415" s="207"/>
      <c r="AA2415" s="284"/>
      <c r="AB2415" s="284"/>
      <c r="AC2415" s="284"/>
      <c r="AD2415" s="284"/>
      <c r="AE2415" s="284"/>
      <c r="AF2415" s="284"/>
      <c r="AG2415" s="284"/>
    </row>
    <row r="2416" spans="1:33" ht="26.4">
      <c r="A2416" s="284"/>
      <c r="B2416" s="284"/>
      <c r="C2416" s="284"/>
      <c r="D2416" s="284"/>
      <c r="E2416" s="284"/>
      <c r="F2416" s="284"/>
      <c r="G2416" s="284"/>
      <c r="H2416" s="284"/>
      <c r="I2416" s="284"/>
      <c r="J2416" s="375"/>
      <c r="K2416" s="375"/>
      <c r="L2416" s="375"/>
      <c r="M2416" s="368"/>
      <c r="N2416" s="368"/>
      <c r="T2416" s="349"/>
      <c r="V2416" s="378"/>
      <c r="W2416" s="64" ph="1"/>
      <c r="X2416" s="241"/>
      <c r="Y2416" s="284"/>
      <c r="Z2416" s="207"/>
      <c r="AA2416" s="284"/>
      <c r="AB2416" s="284"/>
      <c r="AC2416" s="284"/>
      <c r="AD2416" s="284"/>
      <c r="AE2416" s="284"/>
      <c r="AF2416" s="284"/>
      <c r="AG2416" s="284"/>
    </row>
    <row r="2417" spans="1:33" ht="26.4">
      <c r="A2417" s="284"/>
      <c r="B2417" s="284"/>
      <c r="C2417" s="284"/>
      <c r="D2417" s="284"/>
      <c r="E2417" s="284"/>
      <c r="F2417" s="284"/>
      <c r="G2417" s="284"/>
      <c r="H2417" s="284"/>
      <c r="I2417" s="284"/>
      <c r="J2417" s="375"/>
      <c r="K2417" s="375"/>
      <c r="L2417" s="375"/>
      <c r="M2417" s="368"/>
      <c r="N2417" s="368"/>
      <c r="T2417" s="349"/>
      <c r="V2417" s="378"/>
      <c r="W2417" s="64" ph="1"/>
      <c r="X2417" s="241"/>
      <c r="Y2417" s="284"/>
      <c r="Z2417" s="207"/>
      <c r="AA2417" s="284"/>
      <c r="AB2417" s="284"/>
      <c r="AC2417" s="284"/>
      <c r="AD2417" s="284"/>
      <c r="AE2417" s="284"/>
      <c r="AF2417" s="284"/>
      <c r="AG2417" s="284"/>
    </row>
    <row r="2418" spans="1:33" ht="26.4">
      <c r="A2418" s="284"/>
      <c r="B2418" s="284"/>
      <c r="C2418" s="284"/>
      <c r="D2418" s="284"/>
      <c r="E2418" s="284"/>
      <c r="F2418" s="284"/>
      <c r="G2418" s="284"/>
      <c r="H2418" s="284"/>
      <c r="I2418" s="284"/>
      <c r="J2418" s="375"/>
      <c r="K2418" s="375"/>
      <c r="L2418" s="375"/>
      <c r="M2418" s="368"/>
      <c r="N2418" s="368"/>
      <c r="T2418" s="349"/>
      <c r="V2418" s="378"/>
      <c r="W2418" s="64" ph="1"/>
      <c r="X2418" s="241"/>
      <c r="Y2418" s="284"/>
      <c r="Z2418" s="207"/>
      <c r="AA2418" s="284"/>
      <c r="AB2418" s="284"/>
      <c r="AC2418" s="284"/>
      <c r="AD2418" s="284"/>
      <c r="AE2418" s="284"/>
      <c r="AF2418" s="284"/>
      <c r="AG2418" s="284"/>
    </row>
    <row r="2419" spans="1:33" ht="26.4">
      <c r="A2419" s="284"/>
      <c r="B2419" s="284"/>
      <c r="C2419" s="284"/>
      <c r="D2419" s="284"/>
      <c r="E2419" s="284"/>
      <c r="F2419" s="284"/>
      <c r="G2419" s="284"/>
      <c r="H2419" s="284"/>
      <c r="I2419" s="284"/>
      <c r="J2419" s="375"/>
      <c r="K2419" s="375"/>
      <c r="L2419" s="375"/>
      <c r="M2419" s="368"/>
      <c r="N2419" s="368"/>
      <c r="T2419" s="349"/>
      <c r="V2419" s="378"/>
      <c r="W2419" s="64" ph="1"/>
      <c r="X2419" s="241"/>
      <c r="Y2419" s="284"/>
      <c r="Z2419" s="207"/>
      <c r="AA2419" s="284"/>
      <c r="AB2419" s="284"/>
      <c r="AC2419" s="284"/>
      <c r="AD2419" s="284"/>
      <c r="AE2419" s="284"/>
      <c r="AF2419" s="284"/>
      <c r="AG2419" s="284"/>
    </row>
    <row r="2420" spans="1:33" ht="26.4">
      <c r="A2420" s="284"/>
      <c r="B2420" s="284"/>
      <c r="C2420" s="284"/>
      <c r="D2420" s="284"/>
      <c r="E2420" s="284"/>
      <c r="F2420" s="284"/>
      <c r="G2420" s="284"/>
      <c r="H2420" s="284"/>
      <c r="I2420" s="284"/>
      <c r="J2420" s="375"/>
      <c r="K2420" s="375"/>
      <c r="L2420" s="375"/>
      <c r="M2420" s="368"/>
      <c r="N2420" s="368"/>
      <c r="T2420" s="349"/>
      <c r="V2420" s="378"/>
      <c r="W2420" s="64" ph="1"/>
      <c r="X2420" s="241"/>
      <c r="Y2420" s="284"/>
      <c r="Z2420" s="207"/>
      <c r="AA2420" s="284"/>
      <c r="AB2420" s="284"/>
      <c r="AC2420" s="284"/>
      <c r="AD2420" s="284"/>
      <c r="AE2420" s="284"/>
      <c r="AF2420" s="284"/>
      <c r="AG2420" s="284"/>
    </row>
    <row r="2421" spans="1:33" ht="26.4">
      <c r="A2421" s="284"/>
      <c r="B2421" s="284"/>
      <c r="C2421" s="284"/>
      <c r="D2421" s="284"/>
      <c r="E2421" s="284"/>
      <c r="F2421" s="284"/>
      <c r="G2421" s="284"/>
      <c r="H2421" s="284"/>
      <c r="I2421" s="284"/>
      <c r="J2421" s="375"/>
      <c r="K2421" s="375"/>
      <c r="L2421" s="375"/>
      <c r="M2421" s="368"/>
      <c r="N2421" s="368"/>
      <c r="T2421" s="349"/>
      <c r="V2421" s="378"/>
      <c r="W2421" s="64" ph="1"/>
      <c r="X2421" s="241"/>
      <c r="Y2421" s="284"/>
      <c r="Z2421" s="207"/>
      <c r="AA2421" s="284"/>
      <c r="AB2421" s="284"/>
      <c r="AC2421" s="284"/>
      <c r="AD2421" s="284"/>
      <c r="AE2421" s="284"/>
      <c r="AF2421" s="284"/>
      <c r="AG2421" s="284"/>
    </row>
    <row r="2422" spans="1:33" ht="26.4">
      <c r="A2422" s="284"/>
      <c r="B2422" s="284"/>
      <c r="C2422" s="284"/>
      <c r="D2422" s="284"/>
      <c r="E2422" s="284"/>
      <c r="F2422" s="284"/>
      <c r="G2422" s="284"/>
      <c r="H2422" s="284"/>
      <c r="I2422" s="284"/>
      <c r="J2422" s="375"/>
      <c r="K2422" s="375"/>
      <c r="L2422" s="375"/>
      <c r="M2422" s="368"/>
      <c r="N2422" s="368"/>
      <c r="T2422" s="349"/>
      <c r="V2422" s="378"/>
      <c r="W2422" s="64" ph="1"/>
      <c r="X2422" s="241"/>
      <c r="Y2422" s="284"/>
      <c r="Z2422" s="207"/>
      <c r="AA2422" s="284"/>
      <c r="AB2422" s="284"/>
      <c r="AC2422" s="284"/>
      <c r="AD2422" s="284"/>
      <c r="AE2422" s="284"/>
      <c r="AF2422" s="284"/>
      <c r="AG2422" s="284"/>
    </row>
    <row r="2423" spans="1:33" ht="26.4">
      <c r="A2423" s="284"/>
      <c r="B2423" s="284"/>
      <c r="C2423" s="284"/>
      <c r="D2423" s="284"/>
      <c r="E2423" s="284"/>
      <c r="F2423" s="284"/>
      <c r="G2423" s="284"/>
      <c r="H2423" s="284"/>
      <c r="I2423" s="284"/>
      <c r="J2423" s="375"/>
      <c r="K2423" s="375"/>
      <c r="L2423" s="375"/>
      <c r="M2423" s="368"/>
      <c r="N2423" s="368"/>
      <c r="T2423" s="349"/>
      <c r="V2423" s="378"/>
      <c r="W2423" s="64" ph="1"/>
      <c r="X2423" s="241"/>
      <c r="Y2423" s="284"/>
      <c r="Z2423" s="207"/>
      <c r="AA2423" s="284"/>
      <c r="AB2423" s="284"/>
      <c r="AC2423" s="284"/>
      <c r="AD2423" s="284"/>
      <c r="AE2423" s="284"/>
      <c r="AF2423" s="284"/>
      <c r="AG2423" s="284"/>
    </row>
    <row r="2424" spans="1:33" ht="26.4">
      <c r="A2424" s="284"/>
      <c r="B2424" s="284"/>
      <c r="C2424" s="284"/>
      <c r="D2424" s="284"/>
      <c r="E2424" s="284"/>
      <c r="F2424" s="284"/>
      <c r="G2424" s="284"/>
      <c r="H2424" s="284"/>
      <c r="I2424" s="284"/>
      <c r="J2424" s="375"/>
      <c r="K2424" s="375"/>
      <c r="L2424" s="375"/>
      <c r="M2424" s="368"/>
      <c r="N2424" s="368"/>
      <c r="T2424" s="349"/>
      <c r="V2424" s="378"/>
      <c r="W2424" s="64" ph="1"/>
      <c r="X2424" s="241"/>
      <c r="Y2424" s="284"/>
      <c r="Z2424" s="207"/>
      <c r="AA2424" s="284"/>
      <c r="AB2424" s="284"/>
      <c r="AC2424" s="284"/>
      <c r="AD2424" s="284"/>
      <c r="AE2424" s="284"/>
      <c r="AF2424" s="284"/>
      <c r="AG2424" s="284"/>
    </row>
    <row r="2425" spans="1:33" ht="26.4">
      <c r="A2425" s="284"/>
      <c r="B2425" s="284"/>
      <c r="C2425" s="284"/>
      <c r="D2425" s="284"/>
      <c r="E2425" s="284"/>
      <c r="F2425" s="284"/>
      <c r="G2425" s="284"/>
      <c r="H2425" s="284"/>
      <c r="I2425" s="284"/>
      <c r="J2425" s="375"/>
      <c r="K2425" s="375"/>
      <c r="L2425" s="375"/>
      <c r="M2425" s="368"/>
      <c r="N2425" s="368"/>
      <c r="T2425" s="349"/>
      <c r="V2425" s="378"/>
      <c r="W2425" s="64" ph="1"/>
      <c r="X2425" s="241"/>
      <c r="Y2425" s="284"/>
      <c r="Z2425" s="207"/>
      <c r="AA2425" s="284"/>
      <c r="AB2425" s="284"/>
      <c r="AC2425" s="284"/>
      <c r="AD2425" s="284"/>
      <c r="AE2425" s="284"/>
      <c r="AF2425" s="284"/>
      <c r="AG2425" s="284"/>
    </row>
    <row r="2426" spans="1:33" ht="26.4">
      <c r="A2426" s="284"/>
      <c r="B2426" s="284"/>
      <c r="C2426" s="284"/>
      <c r="D2426" s="284"/>
      <c r="E2426" s="284"/>
      <c r="F2426" s="284"/>
      <c r="G2426" s="284"/>
      <c r="H2426" s="284"/>
      <c r="I2426" s="284"/>
      <c r="J2426" s="375"/>
      <c r="K2426" s="375"/>
      <c r="L2426" s="375"/>
      <c r="M2426" s="368"/>
      <c r="N2426" s="368"/>
      <c r="T2426" s="349"/>
      <c r="V2426" s="378"/>
      <c r="W2426" s="64" ph="1"/>
      <c r="X2426" s="241"/>
      <c r="Y2426" s="284"/>
      <c r="Z2426" s="207"/>
      <c r="AA2426" s="284"/>
      <c r="AB2426" s="284"/>
      <c r="AC2426" s="284"/>
      <c r="AD2426" s="284"/>
      <c r="AE2426" s="284"/>
      <c r="AF2426" s="284"/>
      <c r="AG2426" s="284"/>
    </row>
    <row r="2427" spans="1:33" ht="26.4">
      <c r="A2427" s="284"/>
      <c r="B2427" s="284"/>
      <c r="C2427" s="284"/>
      <c r="D2427" s="284"/>
      <c r="E2427" s="284"/>
      <c r="F2427" s="284"/>
      <c r="G2427" s="284"/>
      <c r="H2427" s="284"/>
      <c r="I2427" s="284"/>
      <c r="J2427" s="375"/>
      <c r="K2427" s="375"/>
      <c r="L2427" s="375"/>
      <c r="M2427" s="368"/>
      <c r="N2427" s="368"/>
      <c r="T2427" s="349"/>
      <c r="V2427" s="378"/>
      <c r="W2427" s="64" ph="1"/>
      <c r="X2427" s="241"/>
      <c r="Y2427" s="284"/>
      <c r="Z2427" s="207"/>
      <c r="AA2427" s="284"/>
      <c r="AB2427" s="284"/>
      <c r="AC2427" s="284"/>
      <c r="AD2427" s="284"/>
      <c r="AE2427" s="284"/>
      <c r="AF2427" s="284"/>
      <c r="AG2427" s="284"/>
    </row>
    <row r="2428" spans="1:33" ht="26.4">
      <c r="A2428" s="284"/>
      <c r="B2428" s="284"/>
      <c r="C2428" s="284"/>
      <c r="D2428" s="284"/>
      <c r="E2428" s="284"/>
      <c r="F2428" s="284"/>
      <c r="G2428" s="284"/>
      <c r="H2428" s="284"/>
      <c r="I2428" s="284"/>
      <c r="J2428" s="375"/>
      <c r="K2428" s="375"/>
      <c r="L2428" s="375"/>
      <c r="M2428" s="368"/>
      <c r="N2428" s="368"/>
      <c r="T2428" s="349"/>
      <c r="V2428" s="378"/>
      <c r="W2428" s="64" ph="1"/>
      <c r="X2428" s="241"/>
      <c r="Y2428" s="284"/>
      <c r="Z2428" s="207"/>
      <c r="AA2428" s="284"/>
      <c r="AB2428" s="284"/>
      <c r="AC2428" s="284"/>
      <c r="AD2428" s="284"/>
      <c r="AE2428" s="284"/>
      <c r="AF2428" s="284"/>
      <c r="AG2428" s="284"/>
    </row>
    <row r="2429" spans="1:33" ht="26.4">
      <c r="A2429" s="284"/>
      <c r="B2429" s="284"/>
      <c r="C2429" s="284"/>
      <c r="D2429" s="284"/>
      <c r="E2429" s="284"/>
      <c r="F2429" s="284"/>
      <c r="G2429" s="284"/>
      <c r="H2429" s="284"/>
      <c r="I2429" s="284"/>
      <c r="J2429" s="375"/>
      <c r="K2429" s="375"/>
      <c r="L2429" s="375"/>
      <c r="M2429" s="368"/>
      <c r="N2429" s="368"/>
      <c r="T2429" s="349"/>
      <c r="V2429" s="378"/>
      <c r="W2429" s="64" ph="1"/>
      <c r="X2429" s="241"/>
      <c r="Y2429" s="284"/>
      <c r="Z2429" s="207"/>
      <c r="AA2429" s="284"/>
      <c r="AB2429" s="284"/>
      <c r="AC2429" s="284"/>
      <c r="AD2429" s="284"/>
      <c r="AE2429" s="284"/>
      <c r="AF2429" s="284"/>
      <c r="AG2429" s="284"/>
    </row>
    <row r="2430" spans="1:33" ht="26.4">
      <c r="A2430" s="284"/>
      <c r="B2430" s="284"/>
      <c r="C2430" s="284"/>
      <c r="D2430" s="284"/>
      <c r="E2430" s="284"/>
      <c r="F2430" s="284"/>
      <c r="G2430" s="284"/>
      <c r="H2430" s="284"/>
      <c r="I2430" s="284"/>
      <c r="J2430" s="375"/>
      <c r="K2430" s="375"/>
      <c r="L2430" s="375"/>
      <c r="M2430" s="368"/>
      <c r="N2430" s="368"/>
      <c r="T2430" s="349"/>
      <c r="V2430" s="378"/>
      <c r="W2430" s="64" ph="1"/>
      <c r="X2430" s="241"/>
      <c r="Y2430" s="284"/>
      <c r="Z2430" s="207"/>
      <c r="AA2430" s="284"/>
      <c r="AB2430" s="284"/>
      <c r="AC2430" s="284"/>
      <c r="AD2430" s="284"/>
      <c r="AE2430" s="284"/>
      <c r="AF2430" s="284"/>
      <c r="AG2430" s="284"/>
    </row>
    <row r="2431" spans="1:33" ht="26.4">
      <c r="A2431" s="284"/>
      <c r="B2431" s="284"/>
      <c r="C2431" s="284"/>
      <c r="D2431" s="284"/>
      <c r="E2431" s="284"/>
      <c r="F2431" s="284"/>
      <c r="G2431" s="284"/>
      <c r="H2431" s="284"/>
      <c r="I2431" s="284"/>
      <c r="J2431" s="375"/>
      <c r="K2431" s="375"/>
      <c r="L2431" s="375"/>
      <c r="M2431" s="368"/>
      <c r="N2431" s="368"/>
      <c r="T2431" s="349"/>
      <c r="V2431" s="378"/>
      <c r="W2431" s="64" ph="1"/>
      <c r="X2431" s="241"/>
      <c r="Y2431" s="284"/>
      <c r="Z2431" s="207"/>
      <c r="AA2431" s="284"/>
      <c r="AB2431" s="284"/>
      <c r="AC2431" s="284"/>
      <c r="AD2431" s="284"/>
      <c r="AE2431" s="284"/>
      <c r="AF2431" s="284"/>
      <c r="AG2431" s="284"/>
    </row>
    <row r="2432" spans="1:33" ht="26.4">
      <c r="A2432" s="284"/>
      <c r="B2432" s="284"/>
      <c r="C2432" s="284"/>
      <c r="D2432" s="284"/>
      <c r="E2432" s="284"/>
      <c r="F2432" s="284"/>
      <c r="G2432" s="284"/>
      <c r="H2432" s="284"/>
      <c r="I2432" s="284"/>
      <c r="J2432" s="375"/>
      <c r="K2432" s="375"/>
      <c r="L2432" s="375"/>
      <c r="M2432" s="368"/>
      <c r="N2432" s="368"/>
      <c r="T2432" s="349"/>
      <c r="V2432" s="378"/>
      <c r="W2432" s="64" ph="1"/>
      <c r="X2432" s="241"/>
      <c r="Y2432" s="284"/>
      <c r="Z2432" s="207"/>
      <c r="AA2432" s="284"/>
      <c r="AB2432" s="284"/>
      <c r="AC2432" s="284"/>
      <c r="AD2432" s="284"/>
      <c r="AE2432" s="284"/>
      <c r="AF2432" s="284"/>
      <c r="AG2432" s="284"/>
    </row>
    <row r="2433" spans="1:33" ht="26.4">
      <c r="A2433" s="284"/>
      <c r="B2433" s="284"/>
      <c r="C2433" s="284"/>
      <c r="D2433" s="284"/>
      <c r="E2433" s="284"/>
      <c r="F2433" s="284"/>
      <c r="G2433" s="284"/>
      <c r="H2433" s="284"/>
      <c r="I2433" s="284"/>
      <c r="J2433" s="375"/>
      <c r="K2433" s="375"/>
      <c r="L2433" s="375"/>
      <c r="M2433" s="368"/>
      <c r="N2433" s="368"/>
      <c r="T2433" s="349"/>
      <c r="V2433" s="378"/>
      <c r="W2433" s="64" ph="1"/>
      <c r="X2433" s="241"/>
      <c r="Y2433" s="284"/>
      <c r="Z2433" s="207"/>
      <c r="AA2433" s="284"/>
      <c r="AB2433" s="284"/>
      <c r="AC2433" s="284"/>
      <c r="AD2433" s="284"/>
      <c r="AE2433" s="284"/>
      <c r="AF2433" s="284"/>
      <c r="AG2433" s="284"/>
    </row>
    <row r="2434" spans="1:33" ht="26.4">
      <c r="A2434" s="284"/>
      <c r="B2434" s="284"/>
      <c r="C2434" s="284"/>
      <c r="D2434" s="284"/>
      <c r="E2434" s="284"/>
      <c r="F2434" s="284"/>
      <c r="G2434" s="284"/>
      <c r="H2434" s="284"/>
      <c r="I2434" s="284"/>
      <c r="J2434" s="375"/>
      <c r="K2434" s="375"/>
      <c r="L2434" s="375"/>
      <c r="M2434" s="368"/>
      <c r="N2434" s="368"/>
      <c r="T2434" s="349"/>
      <c r="V2434" s="378"/>
      <c r="W2434" s="64" ph="1"/>
      <c r="X2434" s="241"/>
      <c r="Y2434" s="284"/>
      <c r="Z2434" s="207"/>
      <c r="AA2434" s="284"/>
      <c r="AB2434" s="284"/>
      <c r="AC2434" s="284"/>
      <c r="AD2434" s="284"/>
      <c r="AE2434" s="284"/>
      <c r="AF2434" s="284"/>
      <c r="AG2434" s="284"/>
    </row>
    <row r="2435" spans="1:33" ht="26.4">
      <c r="A2435" s="284"/>
      <c r="B2435" s="284"/>
      <c r="C2435" s="284"/>
      <c r="D2435" s="284"/>
      <c r="E2435" s="284"/>
      <c r="F2435" s="284"/>
      <c r="G2435" s="284"/>
      <c r="H2435" s="284"/>
      <c r="I2435" s="284"/>
      <c r="J2435" s="375"/>
      <c r="K2435" s="375"/>
      <c r="L2435" s="375"/>
      <c r="M2435" s="368"/>
      <c r="N2435" s="368"/>
      <c r="T2435" s="349"/>
      <c r="V2435" s="378"/>
      <c r="W2435" s="64" ph="1"/>
      <c r="X2435" s="241"/>
      <c r="Y2435" s="284"/>
      <c r="Z2435" s="207"/>
      <c r="AA2435" s="284"/>
      <c r="AB2435" s="284"/>
      <c r="AC2435" s="284"/>
      <c r="AD2435" s="284"/>
      <c r="AE2435" s="284"/>
      <c r="AF2435" s="284"/>
      <c r="AG2435" s="284"/>
    </row>
    <row r="2436" spans="1:33" ht="26.4">
      <c r="A2436" s="284"/>
      <c r="B2436" s="284"/>
      <c r="C2436" s="284"/>
      <c r="D2436" s="284"/>
      <c r="E2436" s="284"/>
      <c r="F2436" s="284"/>
      <c r="G2436" s="284"/>
      <c r="H2436" s="284"/>
      <c r="I2436" s="284"/>
      <c r="J2436" s="375"/>
      <c r="K2436" s="375"/>
      <c r="L2436" s="375"/>
      <c r="M2436" s="368"/>
      <c r="N2436" s="368"/>
      <c r="T2436" s="349"/>
      <c r="V2436" s="378"/>
      <c r="W2436" s="64" ph="1"/>
      <c r="X2436" s="241"/>
      <c r="Y2436" s="284"/>
      <c r="Z2436" s="207"/>
      <c r="AA2436" s="284"/>
      <c r="AB2436" s="284"/>
      <c r="AC2436" s="284"/>
      <c r="AD2436" s="284"/>
      <c r="AE2436" s="284"/>
      <c r="AF2436" s="284"/>
      <c r="AG2436" s="284"/>
    </row>
    <row r="2437" spans="1:33" ht="26.4">
      <c r="A2437" s="284"/>
      <c r="B2437" s="284"/>
      <c r="C2437" s="284"/>
      <c r="D2437" s="284"/>
      <c r="E2437" s="284"/>
      <c r="F2437" s="284"/>
      <c r="G2437" s="284"/>
      <c r="H2437" s="284"/>
      <c r="I2437" s="284"/>
      <c r="J2437" s="375"/>
      <c r="K2437" s="375"/>
      <c r="L2437" s="375"/>
      <c r="M2437" s="368"/>
      <c r="N2437" s="368"/>
      <c r="T2437" s="349"/>
      <c r="V2437" s="378"/>
      <c r="W2437" s="64" ph="1"/>
      <c r="X2437" s="241"/>
      <c r="Y2437" s="284"/>
      <c r="Z2437" s="207"/>
      <c r="AA2437" s="284"/>
      <c r="AB2437" s="284"/>
      <c r="AC2437" s="284"/>
      <c r="AD2437" s="284"/>
      <c r="AE2437" s="284"/>
      <c r="AF2437" s="284"/>
      <c r="AG2437" s="284"/>
    </row>
    <row r="2438" spans="1:33" ht="26.4">
      <c r="A2438" s="284"/>
      <c r="B2438" s="284"/>
      <c r="C2438" s="284"/>
      <c r="D2438" s="284"/>
      <c r="E2438" s="284"/>
      <c r="F2438" s="284"/>
      <c r="G2438" s="284"/>
      <c r="H2438" s="284"/>
      <c r="I2438" s="284"/>
      <c r="J2438" s="375"/>
      <c r="K2438" s="375"/>
      <c r="L2438" s="375"/>
      <c r="M2438" s="368"/>
      <c r="N2438" s="368"/>
      <c r="T2438" s="349"/>
      <c r="V2438" s="378"/>
      <c r="W2438" s="64" ph="1"/>
      <c r="X2438" s="241"/>
      <c r="Y2438" s="284"/>
      <c r="Z2438" s="207"/>
      <c r="AA2438" s="284"/>
      <c r="AB2438" s="284"/>
      <c r="AC2438" s="284"/>
      <c r="AD2438" s="284"/>
      <c r="AE2438" s="284"/>
      <c r="AF2438" s="284"/>
      <c r="AG2438" s="284"/>
    </row>
    <row r="2439" spans="1:33" ht="26.4">
      <c r="A2439" s="284"/>
      <c r="B2439" s="284"/>
      <c r="C2439" s="284"/>
      <c r="D2439" s="284"/>
      <c r="E2439" s="284"/>
      <c r="F2439" s="284"/>
      <c r="G2439" s="284"/>
      <c r="H2439" s="284"/>
      <c r="I2439" s="284"/>
      <c r="J2439" s="375"/>
      <c r="K2439" s="375"/>
      <c r="L2439" s="375"/>
      <c r="M2439" s="368"/>
      <c r="N2439" s="368"/>
      <c r="T2439" s="349"/>
      <c r="V2439" s="378"/>
      <c r="W2439" s="64" ph="1"/>
      <c r="X2439" s="241"/>
      <c r="Y2439" s="284"/>
      <c r="Z2439" s="207"/>
      <c r="AA2439" s="284"/>
      <c r="AB2439" s="284"/>
      <c r="AC2439" s="284"/>
      <c r="AD2439" s="284"/>
      <c r="AE2439" s="284"/>
      <c r="AF2439" s="284"/>
      <c r="AG2439" s="284"/>
    </row>
    <row r="2440" spans="1:33" ht="26.4">
      <c r="A2440" s="284"/>
      <c r="B2440" s="284"/>
      <c r="C2440" s="284"/>
      <c r="D2440" s="284"/>
      <c r="E2440" s="284"/>
      <c r="F2440" s="284"/>
      <c r="G2440" s="284"/>
      <c r="H2440" s="284"/>
      <c r="I2440" s="284"/>
      <c r="J2440" s="375"/>
      <c r="K2440" s="375"/>
      <c r="L2440" s="375"/>
      <c r="M2440" s="368"/>
      <c r="N2440" s="368"/>
      <c r="T2440" s="349"/>
      <c r="V2440" s="378"/>
      <c r="W2440" s="64" ph="1"/>
      <c r="X2440" s="241"/>
      <c r="Y2440" s="284"/>
      <c r="Z2440" s="207"/>
      <c r="AA2440" s="284"/>
      <c r="AB2440" s="284"/>
      <c r="AC2440" s="284"/>
      <c r="AD2440" s="284"/>
      <c r="AE2440" s="284"/>
      <c r="AF2440" s="284"/>
      <c r="AG2440" s="284"/>
    </row>
    <row r="2441" spans="1:33" ht="26.4">
      <c r="A2441" s="284"/>
      <c r="B2441" s="284"/>
      <c r="C2441" s="284"/>
      <c r="D2441" s="284"/>
      <c r="E2441" s="284"/>
      <c r="F2441" s="284"/>
      <c r="G2441" s="284"/>
      <c r="H2441" s="284"/>
      <c r="I2441" s="284"/>
      <c r="J2441" s="375"/>
      <c r="K2441" s="375"/>
      <c r="L2441" s="375"/>
      <c r="M2441" s="368"/>
      <c r="N2441" s="368"/>
      <c r="T2441" s="349"/>
      <c r="V2441" s="378"/>
      <c r="W2441" s="64" ph="1"/>
      <c r="X2441" s="241"/>
      <c r="Y2441" s="284"/>
      <c r="Z2441" s="207"/>
      <c r="AA2441" s="284"/>
      <c r="AB2441" s="284"/>
      <c r="AC2441" s="284"/>
      <c r="AD2441" s="284"/>
      <c r="AE2441" s="284"/>
      <c r="AF2441" s="284"/>
      <c r="AG2441" s="284"/>
    </row>
    <row r="2442" spans="1:33" ht="26.4">
      <c r="A2442" s="284"/>
      <c r="B2442" s="284"/>
      <c r="C2442" s="284"/>
      <c r="D2442" s="284"/>
      <c r="E2442" s="284"/>
      <c r="F2442" s="284"/>
      <c r="G2442" s="284"/>
      <c r="H2442" s="284"/>
      <c r="I2442" s="284"/>
      <c r="J2442" s="375"/>
      <c r="K2442" s="375"/>
      <c r="L2442" s="375"/>
      <c r="M2442" s="368"/>
      <c r="N2442" s="368"/>
      <c r="T2442" s="349"/>
      <c r="V2442" s="378"/>
      <c r="W2442" s="64" ph="1"/>
      <c r="X2442" s="241"/>
      <c r="Y2442" s="284"/>
      <c r="Z2442" s="207"/>
      <c r="AA2442" s="284"/>
      <c r="AB2442" s="284"/>
      <c r="AC2442" s="284"/>
      <c r="AD2442" s="284"/>
      <c r="AE2442" s="284"/>
      <c r="AF2442" s="284"/>
      <c r="AG2442" s="284"/>
    </row>
    <row r="2443" spans="1:33" ht="26.4">
      <c r="A2443" s="284"/>
      <c r="B2443" s="284"/>
      <c r="C2443" s="284"/>
      <c r="D2443" s="284"/>
      <c r="E2443" s="284"/>
      <c r="F2443" s="284"/>
      <c r="G2443" s="284"/>
      <c r="H2443" s="284"/>
      <c r="I2443" s="284"/>
      <c r="J2443" s="375"/>
      <c r="K2443" s="375"/>
      <c r="L2443" s="375"/>
      <c r="M2443" s="368"/>
      <c r="N2443" s="368"/>
      <c r="T2443" s="349"/>
      <c r="V2443" s="378"/>
      <c r="W2443" s="64" ph="1"/>
      <c r="X2443" s="241"/>
      <c r="Y2443" s="284"/>
      <c r="Z2443" s="207"/>
      <c r="AA2443" s="284"/>
      <c r="AB2443" s="284"/>
      <c r="AC2443" s="284"/>
      <c r="AD2443" s="284"/>
      <c r="AE2443" s="284"/>
      <c r="AF2443" s="284"/>
      <c r="AG2443" s="284"/>
    </row>
    <row r="2444" spans="1:33" ht="26.4">
      <c r="A2444" s="284"/>
      <c r="B2444" s="284"/>
      <c r="C2444" s="284"/>
      <c r="D2444" s="284"/>
      <c r="E2444" s="284"/>
      <c r="F2444" s="284"/>
      <c r="G2444" s="284"/>
      <c r="H2444" s="284"/>
      <c r="I2444" s="284"/>
      <c r="J2444" s="375"/>
      <c r="K2444" s="375"/>
      <c r="L2444" s="375"/>
      <c r="M2444" s="368"/>
      <c r="N2444" s="368"/>
      <c r="T2444" s="349"/>
      <c r="V2444" s="378"/>
      <c r="W2444" s="64" ph="1"/>
      <c r="X2444" s="241"/>
      <c r="Y2444" s="284"/>
      <c r="Z2444" s="207"/>
      <c r="AA2444" s="284"/>
      <c r="AB2444" s="284"/>
      <c r="AC2444" s="284"/>
      <c r="AD2444" s="284"/>
      <c r="AE2444" s="284"/>
      <c r="AF2444" s="284"/>
      <c r="AG2444" s="284"/>
    </row>
    <row r="2445" spans="1:33" ht="26.4">
      <c r="A2445" s="284"/>
      <c r="B2445" s="284"/>
      <c r="C2445" s="284"/>
      <c r="D2445" s="284"/>
      <c r="E2445" s="284"/>
      <c r="F2445" s="284"/>
      <c r="G2445" s="284"/>
      <c r="H2445" s="284"/>
      <c r="I2445" s="284"/>
      <c r="J2445" s="375"/>
      <c r="K2445" s="375"/>
      <c r="L2445" s="375"/>
      <c r="M2445" s="368"/>
      <c r="N2445" s="368"/>
      <c r="T2445" s="349"/>
      <c r="V2445" s="378"/>
      <c r="W2445" s="64" ph="1"/>
      <c r="X2445" s="241"/>
      <c r="Y2445" s="284"/>
      <c r="Z2445" s="207"/>
      <c r="AA2445" s="284"/>
      <c r="AB2445" s="284"/>
      <c r="AC2445" s="284"/>
      <c r="AD2445" s="284"/>
      <c r="AE2445" s="284"/>
      <c r="AF2445" s="284"/>
      <c r="AG2445" s="284"/>
    </row>
    <row r="2446" spans="1:33" ht="26.4">
      <c r="A2446" s="284"/>
      <c r="B2446" s="284"/>
      <c r="C2446" s="284"/>
      <c r="D2446" s="284"/>
      <c r="E2446" s="284"/>
      <c r="F2446" s="284"/>
      <c r="G2446" s="284"/>
      <c r="H2446" s="284"/>
      <c r="I2446" s="284"/>
      <c r="J2446" s="375"/>
      <c r="K2446" s="375"/>
      <c r="L2446" s="375"/>
      <c r="M2446" s="368"/>
      <c r="N2446" s="368"/>
      <c r="T2446" s="349"/>
      <c r="V2446" s="378"/>
      <c r="W2446" s="64" ph="1"/>
      <c r="X2446" s="241"/>
      <c r="Y2446" s="284"/>
      <c r="Z2446" s="207"/>
      <c r="AA2446" s="284"/>
      <c r="AB2446" s="284"/>
      <c r="AC2446" s="284"/>
      <c r="AD2446" s="284"/>
      <c r="AE2446" s="284"/>
      <c r="AF2446" s="284"/>
      <c r="AG2446" s="284"/>
    </row>
    <row r="2447" spans="1:33" ht="26.4">
      <c r="A2447" s="284"/>
      <c r="B2447" s="284"/>
      <c r="C2447" s="284"/>
      <c r="D2447" s="284"/>
      <c r="E2447" s="284"/>
      <c r="F2447" s="284"/>
      <c r="G2447" s="284"/>
      <c r="H2447" s="284"/>
      <c r="I2447" s="284"/>
      <c r="J2447" s="375"/>
      <c r="K2447" s="375"/>
      <c r="L2447" s="375"/>
      <c r="M2447" s="368"/>
      <c r="N2447" s="368"/>
      <c r="T2447" s="349"/>
      <c r="V2447" s="378"/>
      <c r="W2447" s="64" ph="1"/>
      <c r="X2447" s="241"/>
      <c r="Y2447" s="284"/>
      <c r="Z2447" s="207"/>
      <c r="AA2447" s="284"/>
      <c r="AB2447" s="284"/>
      <c r="AC2447" s="284"/>
      <c r="AD2447" s="284"/>
      <c r="AE2447" s="284"/>
      <c r="AF2447" s="284"/>
      <c r="AG2447" s="284"/>
    </row>
    <row r="2448" spans="1:33" ht="26.4">
      <c r="A2448" s="284"/>
      <c r="B2448" s="284"/>
      <c r="C2448" s="284"/>
      <c r="D2448" s="284"/>
      <c r="E2448" s="284"/>
      <c r="F2448" s="284"/>
      <c r="G2448" s="284"/>
      <c r="H2448" s="284"/>
      <c r="I2448" s="284"/>
      <c r="J2448" s="375"/>
      <c r="K2448" s="375"/>
      <c r="L2448" s="375"/>
      <c r="M2448" s="368"/>
      <c r="N2448" s="368"/>
      <c r="T2448" s="349"/>
      <c r="V2448" s="378"/>
      <c r="W2448" s="64" ph="1"/>
      <c r="X2448" s="241"/>
      <c r="Y2448" s="284"/>
      <c r="Z2448" s="207"/>
      <c r="AA2448" s="284"/>
      <c r="AB2448" s="284"/>
      <c r="AC2448" s="284"/>
      <c r="AD2448" s="284"/>
      <c r="AE2448" s="284"/>
      <c r="AF2448" s="284"/>
      <c r="AG2448" s="284"/>
    </row>
    <row r="2449" spans="1:33" ht="26.4">
      <c r="A2449" s="284"/>
      <c r="B2449" s="284"/>
      <c r="C2449" s="284"/>
      <c r="D2449" s="284"/>
      <c r="E2449" s="284"/>
      <c r="F2449" s="284"/>
      <c r="G2449" s="284"/>
      <c r="H2449" s="284"/>
      <c r="I2449" s="284"/>
      <c r="J2449" s="375"/>
      <c r="K2449" s="375"/>
      <c r="L2449" s="375"/>
      <c r="M2449" s="368"/>
      <c r="N2449" s="368"/>
      <c r="T2449" s="349"/>
      <c r="V2449" s="378"/>
      <c r="W2449" s="64" ph="1"/>
      <c r="X2449" s="241"/>
      <c r="Y2449" s="284"/>
      <c r="Z2449" s="207"/>
      <c r="AA2449" s="284"/>
      <c r="AB2449" s="284"/>
      <c r="AC2449" s="284"/>
      <c r="AD2449" s="284"/>
      <c r="AE2449" s="284"/>
      <c r="AF2449" s="284"/>
      <c r="AG2449" s="284"/>
    </row>
    <row r="2450" spans="1:33" ht="26.4">
      <c r="A2450" s="284"/>
      <c r="B2450" s="284"/>
      <c r="C2450" s="284"/>
      <c r="D2450" s="284"/>
      <c r="E2450" s="284"/>
      <c r="F2450" s="284"/>
      <c r="G2450" s="284"/>
      <c r="H2450" s="284"/>
      <c r="I2450" s="284"/>
      <c r="J2450" s="375"/>
      <c r="K2450" s="375"/>
      <c r="L2450" s="375"/>
      <c r="M2450" s="368"/>
      <c r="N2450" s="368"/>
      <c r="T2450" s="349"/>
      <c r="V2450" s="378"/>
      <c r="W2450" s="64" ph="1"/>
      <c r="X2450" s="241"/>
      <c r="Y2450" s="284"/>
      <c r="Z2450" s="207"/>
      <c r="AA2450" s="284"/>
      <c r="AB2450" s="284"/>
      <c r="AC2450" s="284"/>
      <c r="AD2450" s="284"/>
      <c r="AE2450" s="284"/>
      <c r="AF2450" s="284"/>
      <c r="AG2450" s="284"/>
    </row>
    <row r="2451" spans="1:33" ht="26.4">
      <c r="A2451" s="284"/>
      <c r="B2451" s="284"/>
      <c r="C2451" s="284"/>
      <c r="D2451" s="284"/>
      <c r="E2451" s="284"/>
      <c r="F2451" s="284"/>
      <c r="G2451" s="284"/>
      <c r="H2451" s="284"/>
      <c r="I2451" s="284"/>
      <c r="J2451" s="375"/>
      <c r="K2451" s="375"/>
      <c r="L2451" s="375"/>
      <c r="M2451" s="368"/>
      <c r="N2451" s="368"/>
      <c r="T2451" s="349"/>
      <c r="V2451" s="378"/>
      <c r="W2451" s="64" ph="1"/>
      <c r="X2451" s="241"/>
      <c r="Y2451" s="284"/>
      <c r="Z2451" s="207"/>
      <c r="AA2451" s="284"/>
      <c r="AB2451" s="284"/>
      <c r="AC2451" s="284"/>
      <c r="AD2451" s="284"/>
      <c r="AE2451" s="284"/>
      <c r="AF2451" s="284"/>
      <c r="AG2451" s="284"/>
    </row>
    <row r="2452" spans="1:33" ht="26.4">
      <c r="A2452" s="284"/>
      <c r="B2452" s="284"/>
      <c r="C2452" s="284"/>
      <c r="D2452" s="284"/>
      <c r="E2452" s="284"/>
      <c r="F2452" s="284"/>
      <c r="G2452" s="284"/>
      <c r="H2452" s="284"/>
      <c r="I2452" s="284"/>
      <c r="J2452" s="375"/>
      <c r="K2452" s="375"/>
      <c r="L2452" s="375"/>
      <c r="M2452" s="368"/>
      <c r="N2452" s="368"/>
      <c r="T2452" s="349"/>
      <c r="V2452" s="378"/>
      <c r="W2452" s="64" ph="1"/>
      <c r="X2452" s="241"/>
      <c r="Y2452" s="284"/>
      <c r="Z2452" s="207"/>
      <c r="AA2452" s="284"/>
      <c r="AB2452" s="284"/>
      <c r="AC2452" s="284"/>
      <c r="AD2452" s="284"/>
      <c r="AE2452" s="284"/>
      <c r="AF2452" s="284"/>
      <c r="AG2452" s="284"/>
    </row>
    <row r="2453" spans="1:33" ht="26.4">
      <c r="A2453" s="284"/>
      <c r="B2453" s="284"/>
      <c r="C2453" s="284"/>
      <c r="D2453" s="284"/>
      <c r="E2453" s="284"/>
      <c r="F2453" s="284"/>
      <c r="G2453" s="284"/>
      <c r="H2453" s="284"/>
      <c r="I2453" s="284"/>
      <c r="J2453" s="375"/>
      <c r="K2453" s="375"/>
      <c r="L2453" s="375"/>
      <c r="M2453" s="368"/>
      <c r="N2453" s="368"/>
      <c r="T2453" s="349"/>
      <c r="V2453" s="378"/>
      <c r="W2453" s="64" ph="1"/>
      <c r="X2453" s="241"/>
      <c r="Y2453" s="284"/>
      <c r="Z2453" s="207"/>
      <c r="AA2453" s="284"/>
      <c r="AB2453" s="284"/>
      <c r="AC2453" s="284"/>
      <c r="AD2453" s="284"/>
      <c r="AE2453" s="284"/>
      <c r="AF2453" s="284"/>
      <c r="AG2453" s="284"/>
    </row>
    <row r="2454" spans="1:33" ht="26.4">
      <c r="A2454" s="284"/>
      <c r="B2454" s="284"/>
      <c r="C2454" s="284"/>
      <c r="D2454" s="284"/>
      <c r="E2454" s="284"/>
      <c r="F2454" s="284"/>
      <c r="G2454" s="284"/>
      <c r="H2454" s="284"/>
      <c r="I2454" s="284"/>
      <c r="J2454" s="375"/>
      <c r="K2454" s="375"/>
      <c r="L2454" s="375"/>
      <c r="M2454" s="368"/>
      <c r="N2454" s="368"/>
      <c r="T2454" s="349"/>
      <c r="V2454" s="378"/>
      <c r="W2454" s="64" ph="1"/>
      <c r="X2454" s="241"/>
      <c r="Y2454" s="284"/>
      <c r="Z2454" s="207"/>
      <c r="AA2454" s="284"/>
      <c r="AB2454" s="284"/>
      <c r="AC2454" s="284"/>
      <c r="AD2454" s="284"/>
      <c r="AE2454" s="284"/>
      <c r="AF2454" s="284"/>
      <c r="AG2454" s="284"/>
    </row>
    <row r="2455" spans="1:33" ht="26.4">
      <c r="A2455" s="284"/>
      <c r="B2455" s="284"/>
      <c r="C2455" s="284"/>
      <c r="D2455" s="284"/>
      <c r="E2455" s="284"/>
      <c r="F2455" s="284"/>
      <c r="G2455" s="284"/>
      <c r="H2455" s="284"/>
      <c r="I2455" s="284"/>
      <c r="J2455" s="375"/>
      <c r="K2455" s="375"/>
      <c r="L2455" s="375"/>
      <c r="M2455" s="368"/>
      <c r="N2455" s="368"/>
      <c r="T2455" s="349"/>
      <c r="V2455" s="378"/>
      <c r="W2455" s="64" ph="1"/>
      <c r="X2455" s="241"/>
      <c r="Y2455" s="284"/>
      <c r="Z2455" s="207"/>
      <c r="AA2455" s="284"/>
      <c r="AB2455" s="284"/>
      <c r="AC2455" s="284"/>
      <c r="AD2455" s="284"/>
      <c r="AE2455" s="284"/>
      <c r="AF2455" s="284"/>
      <c r="AG2455" s="284"/>
    </row>
    <row r="2456" spans="1:33" ht="26.4">
      <c r="A2456" s="284"/>
      <c r="B2456" s="284"/>
      <c r="C2456" s="284"/>
      <c r="D2456" s="284"/>
      <c r="E2456" s="284"/>
      <c r="F2456" s="284"/>
      <c r="G2456" s="284"/>
      <c r="H2456" s="284"/>
      <c r="I2456" s="284"/>
      <c r="J2456" s="375"/>
      <c r="K2456" s="375"/>
      <c r="L2456" s="375"/>
      <c r="M2456" s="368"/>
      <c r="N2456" s="368"/>
      <c r="T2456" s="349"/>
      <c r="V2456" s="378"/>
      <c r="W2456" s="64" ph="1"/>
      <c r="X2456" s="241"/>
      <c r="Y2456" s="284"/>
      <c r="Z2456" s="207"/>
      <c r="AA2456" s="284"/>
      <c r="AB2456" s="284"/>
      <c r="AC2456" s="284"/>
      <c r="AD2456" s="284"/>
      <c r="AE2456" s="284"/>
      <c r="AF2456" s="284"/>
      <c r="AG2456" s="284"/>
    </row>
    <row r="2457" spans="1:33" ht="26.4">
      <c r="A2457" s="284"/>
      <c r="B2457" s="284"/>
      <c r="C2457" s="284"/>
      <c r="D2457" s="284"/>
      <c r="E2457" s="284"/>
      <c r="F2457" s="284"/>
      <c r="G2457" s="284"/>
      <c r="H2457" s="284"/>
      <c r="I2457" s="284"/>
      <c r="J2457" s="375"/>
      <c r="K2457" s="375"/>
      <c r="L2457" s="375"/>
      <c r="M2457" s="368"/>
      <c r="N2457" s="368"/>
      <c r="T2457" s="349"/>
      <c r="V2457" s="378"/>
      <c r="W2457" s="64" ph="1"/>
      <c r="X2457" s="241"/>
      <c r="Y2457" s="284"/>
      <c r="Z2457" s="207"/>
      <c r="AA2457" s="284"/>
      <c r="AB2457" s="284"/>
      <c r="AC2457" s="284"/>
      <c r="AD2457" s="284"/>
      <c r="AE2457" s="284"/>
      <c r="AF2457" s="284"/>
      <c r="AG2457" s="284"/>
    </row>
    <row r="2458" spans="1:33" ht="26.4">
      <c r="A2458" s="284"/>
      <c r="B2458" s="284"/>
      <c r="C2458" s="284"/>
      <c r="D2458" s="284"/>
      <c r="E2458" s="284"/>
      <c r="F2458" s="284"/>
      <c r="G2458" s="284"/>
      <c r="H2458" s="284"/>
      <c r="I2458" s="284"/>
      <c r="J2458" s="375"/>
      <c r="K2458" s="375"/>
      <c r="L2458" s="375"/>
      <c r="M2458" s="368"/>
      <c r="N2458" s="368"/>
      <c r="T2458" s="349"/>
      <c r="V2458" s="378"/>
      <c r="W2458" s="64" ph="1"/>
      <c r="X2458" s="241"/>
      <c r="Y2458" s="284"/>
      <c r="Z2458" s="207"/>
      <c r="AA2458" s="284"/>
      <c r="AB2458" s="284"/>
      <c r="AC2458" s="284"/>
      <c r="AD2458" s="284"/>
      <c r="AE2458" s="284"/>
      <c r="AF2458" s="284"/>
      <c r="AG2458" s="284"/>
    </row>
    <row r="2459" spans="1:33" ht="26.4">
      <c r="A2459" s="284"/>
      <c r="B2459" s="284"/>
      <c r="C2459" s="284"/>
      <c r="D2459" s="284"/>
      <c r="E2459" s="284"/>
      <c r="F2459" s="284"/>
      <c r="G2459" s="284"/>
      <c r="H2459" s="284"/>
      <c r="I2459" s="284"/>
      <c r="J2459" s="375"/>
      <c r="K2459" s="375"/>
      <c r="L2459" s="375"/>
      <c r="M2459" s="368"/>
      <c r="N2459" s="368"/>
      <c r="T2459" s="349"/>
      <c r="V2459" s="378"/>
      <c r="W2459" s="64" ph="1"/>
      <c r="X2459" s="241"/>
      <c r="Y2459" s="284"/>
      <c r="Z2459" s="207"/>
      <c r="AA2459" s="284"/>
      <c r="AB2459" s="284"/>
      <c r="AC2459" s="284"/>
      <c r="AD2459" s="284"/>
      <c r="AE2459" s="284"/>
      <c r="AF2459" s="284"/>
      <c r="AG2459" s="284"/>
    </row>
    <row r="2460" spans="1:33" ht="26.4">
      <c r="A2460" s="284"/>
      <c r="B2460" s="284"/>
      <c r="C2460" s="284"/>
      <c r="D2460" s="284"/>
      <c r="E2460" s="284"/>
      <c r="F2460" s="284"/>
      <c r="G2460" s="284"/>
      <c r="H2460" s="284"/>
      <c r="I2460" s="284"/>
      <c r="J2460" s="375"/>
      <c r="K2460" s="375"/>
      <c r="L2460" s="375"/>
      <c r="M2460" s="368"/>
      <c r="N2460" s="368"/>
      <c r="T2460" s="349"/>
      <c r="V2460" s="378"/>
      <c r="W2460" s="64" ph="1"/>
      <c r="X2460" s="241"/>
      <c r="Y2460" s="284"/>
      <c r="Z2460" s="207"/>
      <c r="AA2460" s="284"/>
      <c r="AB2460" s="284"/>
      <c r="AC2460" s="284"/>
      <c r="AD2460" s="284"/>
      <c r="AE2460" s="284"/>
      <c r="AF2460" s="284"/>
      <c r="AG2460" s="284"/>
    </row>
    <row r="2461" spans="1:33" ht="26.4">
      <c r="A2461" s="284"/>
      <c r="B2461" s="284"/>
      <c r="C2461" s="284"/>
      <c r="D2461" s="284"/>
      <c r="E2461" s="284"/>
      <c r="F2461" s="284"/>
      <c r="G2461" s="284"/>
      <c r="H2461" s="284"/>
      <c r="I2461" s="284"/>
      <c r="J2461" s="375"/>
      <c r="K2461" s="375"/>
      <c r="L2461" s="375"/>
      <c r="M2461" s="368"/>
      <c r="N2461" s="368"/>
      <c r="T2461" s="349"/>
      <c r="V2461" s="378"/>
      <c r="W2461" s="64" ph="1"/>
      <c r="X2461" s="241"/>
      <c r="Y2461" s="284"/>
      <c r="Z2461" s="207"/>
      <c r="AA2461" s="284"/>
      <c r="AB2461" s="284"/>
      <c r="AC2461" s="284"/>
      <c r="AD2461" s="284"/>
      <c r="AE2461" s="284"/>
      <c r="AF2461" s="284"/>
      <c r="AG2461" s="284"/>
    </row>
    <row r="2462" spans="1:33" ht="26.4">
      <c r="A2462" s="284"/>
      <c r="B2462" s="284"/>
      <c r="C2462" s="284"/>
      <c r="D2462" s="284"/>
      <c r="E2462" s="284"/>
      <c r="F2462" s="284"/>
      <c r="G2462" s="284"/>
      <c r="H2462" s="284"/>
      <c r="I2462" s="284"/>
      <c r="J2462" s="375"/>
      <c r="K2462" s="375"/>
      <c r="L2462" s="375"/>
      <c r="M2462" s="368"/>
      <c r="N2462" s="368"/>
      <c r="T2462" s="349"/>
      <c r="V2462" s="378"/>
      <c r="W2462" s="64" ph="1"/>
      <c r="X2462" s="241"/>
      <c r="Y2462" s="284"/>
      <c r="Z2462" s="207"/>
      <c r="AA2462" s="284"/>
      <c r="AB2462" s="284"/>
      <c r="AC2462" s="284"/>
      <c r="AD2462" s="284"/>
      <c r="AE2462" s="284"/>
      <c r="AF2462" s="284"/>
      <c r="AG2462" s="284"/>
    </row>
    <row r="2463" spans="1:33" ht="26.4">
      <c r="A2463" s="284"/>
      <c r="B2463" s="284"/>
      <c r="C2463" s="284"/>
      <c r="D2463" s="284"/>
      <c r="E2463" s="284"/>
      <c r="F2463" s="284"/>
      <c r="G2463" s="284"/>
      <c r="H2463" s="284"/>
      <c r="I2463" s="284"/>
      <c r="J2463" s="375"/>
      <c r="K2463" s="375"/>
      <c r="L2463" s="375"/>
      <c r="M2463" s="368"/>
      <c r="N2463" s="368"/>
      <c r="T2463" s="349"/>
      <c r="V2463" s="378"/>
      <c r="W2463" s="64" ph="1"/>
      <c r="X2463" s="241"/>
      <c r="Y2463" s="284"/>
      <c r="Z2463" s="207"/>
      <c r="AA2463" s="284"/>
      <c r="AB2463" s="284"/>
      <c r="AC2463" s="284"/>
      <c r="AD2463" s="284"/>
      <c r="AE2463" s="284"/>
      <c r="AF2463" s="284"/>
      <c r="AG2463" s="284"/>
    </row>
    <row r="2464" spans="1:33" ht="26.4">
      <c r="A2464" s="284"/>
      <c r="B2464" s="284"/>
      <c r="C2464" s="284"/>
      <c r="D2464" s="284"/>
      <c r="E2464" s="284"/>
      <c r="F2464" s="284"/>
      <c r="G2464" s="284"/>
      <c r="H2464" s="284"/>
      <c r="I2464" s="284"/>
      <c r="J2464" s="375"/>
      <c r="K2464" s="375"/>
      <c r="L2464" s="375"/>
      <c r="M2464" s="368"/>
      <c r="N2464" s="368"/>
      <c r="T2464" s="349"/>
      <c r="V2464" s="378"/>
      <c r="W2464" s="64" ph="1"/>
      <c r="X2464" s="241"/>
      <c r="Y2464" s="284"/>
      <c r="Z2464" s="207"/>
      <c r="AA2464" s="284"/>
      <c r="AB2464" s="284"/>
      <c r="AC2464" s="284"/>
      <c r="AD2464" s="284"/>
      <c r="AE2464" s="284"/>
      <c r="AF2464" s="284"/>
      <c r="AG2464" s="284"/>
    </row>
    <row r="2465" spans="1:33" ht="26.4">
      <c r="A2465" s="284"/>
      <c r="B2465" s="284"/>
      <c r="C2465" s="284"/>
      <c r="D2465" s="284"/>
      <c r="E2465" s="284"/>
      <c r="F2465" s="284"/>
      <c r="G2465" s="284"/>
      <c r="H2465" s="284"/>
      <c r="I2465" s="284"/>
      <c r="J2465" s="375"/>
      <c r="K2465" s="375"/>
      <c r="L2465" s="375"/>
      <c r="M2465" s="368"/>
      <c r="N2465" s="368"/>
      <c r="T2465" s="349"/>
      <c r="V2465" s="378"/>
      <c r="W2465" s="64" ph="1"/>
      <c r="X2465" s="241"/>
      <c r="Y2465" s="284"/>
      <c r="Z2465" s="207"/>
      <c r="AA2465" s="284"/>
      <c r="AB2465" s="284"/>
      <c r="AC2465" s="284"/>
      <c r="AD2465" s="284"/>
      <c r="AE2465" s="284"/>
      <c r="AF2465" s="284"/>
      <c r="AG2465" s="284"/>
    </row>
    <row r="2466" spans="1:33" ht="26.4">
      <c r="A2466" s="284"/>
      <c r="B2466" s="284"/>
      <c r="C2466" s="284"/>
      <c r="D2466" s="284"/>
      <c r="E2466" s="284"/>
      <c r="F2466" s="284"/>
      <c r="G2466" s="284"/>
      <c r="H2466" s="284"/>
      <c r="I2466" s="284"/>
      <c r="J2466" s="375"/>
      <c r="K2466" s="375"/>
      <c r="L2466" s="375"/>
      <c r="M2466" s="368"/>
      <c r="N2466" s="368"/>
      <c r="T2466" s="349"/>
      <c r="V2466" s="378"/>
      <c r="W2466" s="64" ph="1"/>
      <c r="X2466" s="241"/>
      <c r="Y2466" s="284"/>
      <c r="Z2466" s="207"/>
      <c r="AA2466" s="284"/>
      <c r="AB2466" s="284"/>
      <c r="AC2466" s="284"/>
      <c r="AD2466" s="284"/>
      <c r="AE2466" s="284"/>
      <c r="AF2466" s="284"/>
      <c r="AG2466" s="284"/>
    </row>
    <row r="2467" spans="1:33" ht="26.4">
      <c r="A2467" s="284"/>
      <c r="B2467" s="284"/>
      <c r="C2467" s="284"/>
      <c r="D2467" s="284"/>
      <c r="E2467" s="284"/>
      <c r="F2467" s="284"/>
      <c r="G2467" s="284"/>
      <c r="H2467" s="284"/>
      <c r="I2467" s="284"/>
      <c r="J2467" s="375"/>
      <c r="K2467" s="375"/>
      <c r="L2467" s="375"/>
      <c r="M2467" s="368"/>
      <c r="N2467" s="368"/>
      <c r="T2467" s="349"/>
      <c r="V2467" s="378"/>
      <c r="W2467" s="64" ph="1"/>
      <c r="X2467" s="241"/>
      <c r="Y2467" s="284"/>
      <c r="Z2467" s="207"/>
      <c r="AA2467" s="284"/>
      <c r="AB2467" s="284"/>
      <c r="AC2467" s="284"/>
      <c r="AD2467" s="284"/>
      <c r="AE2467" s="284"/>
      <c r="AF2467" s="284"/>
      <c r="AG2467" s="284"/>
    </row>
    <row r="2468" spans="1:33" ht="26.4">
      <c r="A2468" s="284"/>
      <c r="B2468" s="284"/>
      <c r="C2468" s="284"/>
      <c r="D2468" s="284"/>
      <c r="E2468" s="284"/>
      <c r="F2468" s="284"/>
      <c r="G2468" s="284"/>
      <c r="H2468" s="284"/>
      <c r="I2468" s="284"/>
      <c r="J2468" s="375"/>
      <c r="K2468" s="375"/>
      <c r="L2468" s="375"/>
      <c r="M2468" s="368"/>
      <c r="N2468" s="368"/>
      <c r="T2468" s="349"/>
      <c r="V2468" s="378"/>
      <c r="W2468" s="64" ph="1"/>
      <c r="X2468" s="241"/>
      <c r="Y2468" s="284"/>
      <c r="Z2468" s="207"/>
      <c r="AA2468" s="284"/>
      <c r="AB2468" s="284"/>
      <c r="AC2468" s="284"/>
      <c r="AD2468" s="284"/>
      <c r="AE2468" s="284"/>
      <c r="AF2468" s="284"/>
      <c r="AG2468" s="284"/>
    </row>
    <row r="2469" spans="1:33" ht="26.4">
      <c r="A2469" s="284"/>
      <c r="B2469" s="284"/>
      <c r="C2469" s="284"/>
      <c r="D2469" s="284"/>
      <c r="E2469" s="284"/>
      <c r="F2469" s="284"/>
      <c r="G2469" s="284"/>
      <c r="H2469" s="284"/>
      <c r="I2469" s="284"/>
      <c r="J2469" s="375"/>
      <c r="K2469" s="375"/>
      <c r="L2469" s="375"/>
      <c r="M2469" s="368"/>
      <c r="N2469" s="368"/>
      <c r="T2469" s="349"/>
      <c r="V2469" s="378"/>
      <c r="W2469" s="64" ph="1"/>
      <c r="X2469" s="241"/>
      <c r="Y2469" s="284"/>
      <c r="Z2469" s="207"/>
      <c r="AA2469" s="284"/>
      <c r="AB2469" s="284"/>
      <c r="AC2469" s="284"/>
      <c r="AD2469" s="284"/>
      <c r="AE2469" s="284"/>
      <c r="AF2469" s="284"/>
      <c r="AG2469" s="284"/>
    </row>
    <row r="2470" spans="1:33" ht="26.4">
      <c r="A2470" s="284"/>
      <c r="B2470" s="284"/>
      <c r="C2470" s="284"/>
      <c r="D2470" s="284"/>
      <c r="E2470" s="284"/>
      <c r="F2470" s="284"/>
      <c r="G2470" s="284"/>
      <c r="H2470" s="284"/>
      <c r="I2470" s="284"/>
      <c r="J2470" s="375"/>
      <c r="K2470" s="375"/>
      <c r="L2470" s="375"/>
      <c r="M2470" s="368"/>
      <c r="N2470" s="368"/>
      <c r="T2470" s="349"/>
      <c r="V2470" s="378"/>
      <c r="W2470" s="64" ph="1"/>
      <c r="X2470" s="241"/>
      <c r="Y2470" s="284"/>
      <c r="Z2470" s="207"/>
      <c r="AA2470" s="284"/>
      <c r="AB2470" s="284"/>
      <c r="AC2470" s="284"/>
      <c r="AD2470" s="284"/>
      <c r="AE2470" s="284"/>
      <c r="AF2470" s="284"/>
      <c r="AG2470" s="284"/>
    </row>
    <row r="2471" spans="1:33" ht="26.4">
      <c r="A2471" s="284"/>
      <c r="B2471" s="284"/>
      <c r="C2471" s="284"/>
      <c r="D2471" s="284"/>
      <c r="E2471" s="284"/>
      <c r="F2471" s="284"/>
      <c r="G2471" s="284"/>
      <c r="H2471" s="284"/>
      <c r="I2471" s="284"/>
      <c r="J2471" s="375"/>
      <c r="K2471" s="375"/>
      <c r="L2471" s="375"/>
      <c r="M2471" s="368"/>
      <c r="N2471" s="368"/>
      <c r="T2471" s="349"/>
      <c r="V2471" s="378"/>
      <c r="W2471" s="64" ph="1"/>
      <c r="X2471" s="241"/>
      <c r="Y2471" s="284"/>
      <c r="Z2471" s="207"/>
      <c r="AA2471" s="284"/>
      <c r="AB2471" s="284"/>
      <c r="AC2471" s="284"/>
      <c r="AD2471" s="284"/>
      <c r="AE2471" s="284"/>
      <c r="AF2471" s="284"/>
      <c r="AG2471" s="284"/>
    </row>
    <row r="2472" spans="1:33" ht="26.4">
      <c r="A2472" s="284"/>
      <c r="B2472" s="284"/>
      <c r="C2472" s="284"/>
      <c r="D2472" s="284"/>
      <c r="E2472" s="284"/>
      <c r="F2472" s="284"/>
      <c r="G2472" s="284"/>
      <c r="H2472" s="284"/>
      <c r="I2472" s="284"/>
      <c r="J2472" s="375"/>
      <c r="K2472" s="375"/>
      <c r="L2472" s="375"/>
      <c r="M2472" s="368"/>
      <c r="N2472" s="368"/>
      <c r="T2472" s="349"/>
      <c r="V2472" s="378"/>
      <c r="W2472" s="64" ph="1"/>
      <c r="X2472" s="241"/>
      <c r="Y2472" s="284"/>
      <c r="Z2472" s="207"/>
      <c r="AA2472" s="284"/>
      <c r="AB2472" s="284"/>
      <c r="AC2472" s="284"/>
      <c r="AD2472" s="284"/>
      <c r="AE2472" s="284"/>
      <c r="AF2472" s="284"/>
      <c r="AG2472" s="284"/>
    </row>
    <row r="2473" spans="1:33" ht="26.4">
      <c r="A2473" s="284"/>
      <c r="B2473" s="284"/>
      <c r="C2473" s="284"/>
      <c r="D2473" s="284"/>
      <c r="E2473" s="284"/>
      <c r="F2473" s="284"/>
      <c r="G2473" s="284"/>
      <c r="H2473" s="284"/>
      <c r="I2473" s="284"/>
      <c r="J2473" s="375"/>
      <c r="K2473" s="375"/>
      <c r="L2473" s="375"/>
      <c r="M2473" s="368"/>
      <c r="N2473" s="368"/>
      <c r="T2473" s="349"/>
      <c r="V2473" s="378"/>
      <c r="W2473" s="64" ph="1"/>
      <c r="X2473" s="241"/>
      <c r="Y2473" s="284"/>
      <c r="Z2473" s="207"/>
      <c r="AA2473" s="284"/>
      <c r="AB2473" s="284"/>
      <c r="AC2473" s="284"/>
      <c r="AD2473" s="284"/>
      <c r="AE2473" s="284"/>
      <c r="AF2473" s="284"/>
      <c r="AG2473" s="284"/>
    </row>
    <row r="2474" spans="1:33" ht="26.4">
      <c r="A2474" s="284"/>
      <c r="B2474" s="284"/>
      <c r="C2474" s="284"/>
      <c r="D2474" s="284"/>
      <c r="E2474" s="284"/>
      <c r="F2474" s="284"/>
      <c r="G2474" s="284"/>
      <c r="H2474" s="284"/>
      <c r="I2474" s="284"/>
      <c r="J2474" s="375"/>
      <c r="K2474" s="375"/>
      <c r="L2474" s="375"/>
      <c r="M2474" s="368"/>
      <c r="N2474" s="368"/>
      <c r="T2474" s="349"/>
      <c r="V2474" s="378"/>
      <c r="W2474" s="64" ph="1"/>
      <c r="X2474" s="241"/>
      <c r="Y2474" s="284"/>
      <c r="Z2474" s="207"/>
      <c r="AA2474" s="284"/>
      <c r="AB2474" s="284"/>
      <c r="AC2474" s="284"/>
      <c r="AD2474" s="284"/>
      <c r="AE2474" s="284"/>
      <c r="AF2474" s="284"/>
      <c r="AG2474" s="284"/>
    </row>
    <row r="2475" spans="1:33" ht="26.4">
      <c r="A2475" s="284"/>
      <c r="B2475" s="284"/>
      <c r="C2475" s="284"/>
      <c r="D2475" s="284"/>
      <c r="E2475" s="284"/>
      <c r="F2475" s="284"/>
      <c r="G2475" s="284"/>
      <c r="H2475" s="284"/>
      <c r="I2475" s="284"/>
      <c r="J2475" s="375"/>
      <c r="K2475" s="375"/>
      <c r="L2475" s="375"/>
      <c r="M2475" s="368"/>
      <c r="N2475" s="368"/>
      <c r="T2475" s="349"/>
      <c r="V2475" s="378"/>
      <c r="W2475" s="64" ph="1"/>
      <c r="X2475" s="241"/>
      <c r="Y2475" s="284"/>
      <c r="Z2475" s="207"/>
      <c r="AA2475" s="284"/>
      <c r="AB2475" s="284"/>
      <c r="AC2475" s="284"/>
      <c r="AD2475" s="284"/>
      <c r="AE2475" s="284"/>
      <c r="AF2475" s="284"/>
      <c r="AG2475" s="284"/>
    </row>
    <row r="2476" spans="1:33" ht="26.4">
      <c r="A2476" s="284"/>
      <c r="B2476" s="284"/>
      <c r="C2476" s="284"/>
      <c r="D2476" s="284"/>
      <c r="E2476" s="284"/>
      <c r="F2476" s="284"/>
      <c r="G2476" s="284"/>
      <c r="H2476" s="284"/>
      <c r="I2476" s="284"/>
      <c r="J2476" s="375"/>
      <c r="K2476" s="375"/>
      <c r="L2476" s="375"/>
      <c r="M2476" s="368"/>
      <c r="N2476" s="368"/>
      <c r="T2476" s="349"/>
      <c r="V2476" s="378"/>
      <c r="W2476" s="64" ph="1"/>
      <c r="X2476" s="241"/>
      <c r="Y2476" s="284"/>
      <c r="Z2476" s="207"/>
      <c r="AA2476" s="284"/>
      <c r="AB2476" s="284"/>
      <c r="AC2476" s="284"/>
      <c r="AD2476" s="284"/>
      <c r="AE2476" s="284"/>
      <c r="AF2476" s="284"/>
      <c r="AG2476" s="284"/>
    </row>
    <row r="2477" spans="1:33" ht="26.4">
      <c r="A2477" s="284"/>
      <c r="B2477" s="284"/>
      <c r="C2477" s="284"/>
      <c r="D2477" s="284"/>
      <c r="E2477" s="284"/>
      <c r="F2477" s="284"/>
      <c r="G2477" s="284"/>
      <c r="H2477" s="284"/>
      <c r="I2477" s="284"/>
      <c r="J2477" s="375"/>
      <c r="K2477" s="375"/>
      <c r="L2477" s="375"/>
      <c r="M2477" s="368"/>
      <c r="N2477" s="368"/>
      <c r="T2477" s="349"/>
      <c r="V2477" s="378"/>
      <c r="W2477" s="64" ph="1"/>
      <c r="X2477" s="241"/>
      <c r="Y2477" s="284"/>
      <c r="Z2477" s="207"/>
      <c r="AA2477" s="284"/>
      <c r="AB2477" s="284"/>
      <c r="AC2477" s="284"/>
      <c r="AD2477" s="284"/>
      <c r="AE2477" s="284"/>
      <c r="AF2477" s="284"/>
      <c r="AG2477" s="284"/>
    </row>
    <row r="2478" spans="1:33" ht="26.4">
      <c r="A2478" s="284"/>
      <c r="B2478" s="284"/>
      <c r="C2478" s="284"/>
      <c r="D2478" s="284"/>
      <c r="E2478" s="284"/>
      <c r="F2478" s="284"/>
      <c r="G2478" s="284"/>
      <c r="H2478" s="284"/>
      <c r="I2478" s="284"/>
      <c r="J2478" s="375"/>
      <c r="K2478" s="375"/>
      <c r="L2478" s="375"/>
      <c r="M2478" s="368"/>
      <c r="N2478" s="368"/>
      <c r="T2478" s="349"/>
      <c r="V2478" s="378"/>
      <c r="W2478" s="64" ph="1"/>
      <c r="X2478" s="241"/>
      <c r="Y2478" s="284"/>
      <c r="Z2478" s="207"/>
      <c r="AA2478" s="284"/>
      <c r="AB2478" s="284"/>
      <c r="AC2478" s="284"/>
      <c r="AD2478" s="284"/>
      <c r="AE2478" s="284"/>
      <c r="AF2478" s="284"/>
      <c r="AG2478" s="284"/>
    </row>
    <row r="2479" spans="1:33" ht="26.4">
      <c r="A2479" s="284"/>
      <c r="B2479" s="284"/>
      <c r="C2479" s="284"/>
      <c r="D2479" s="284"/>
      <c r="E2479" s="284"/>
      <c r="F2479" s="284"/>
      <c r="G2479" s="284"/>
      <c r="H2479" s="284"/>
      <c r="I2479" s="284"/>
      <c r="J2479" s="375"/>
      <c r="K2479" s="375"/>
      <c r="L2479" s="375"/>
      <c r="M2479" s="368"/>
      <c r="N2479" s="368"/>
      <c r="T2479" s="349"/>
      <c r="V2479" s="378"/>
      <c r="W2479" s="64" ph="1"/>
      <c r="X2479" s="241"/>
      <c r="Y2479" s="284"/>
      <c r="Z2479" s="207"/>
      <c r="AA2479" s="284"/>
      <c r="AB2479" s="284"/>
      <c r="AC2479" s="284"/>
      <c r="AD2479" s="284"/>
      <c r="AE2479" s="284"/>
      <c r="AF2479" s="284"/>
      <c r="AG2479" s="284"/>
    </row>
    <row r="2480" spans="1:33" ht="26.4">
      <c r="A2480" s="284"/>
      <c r="B2480" s="284"/>
      <c r="C2480" s="284"/>
      <c r="D2480" s="284"/>
      <c r="E2480" s="284"/>
      <c r="F2480" s="284"/>
      <c r="G2480" s="284"/>
      <c r="H2480" s="284"/>
      <c r="I2480" s="284"/>
      <c r="J2480" s="375"/>
      <c r="K2480" s="375"/>
      <c r="L2480" s="375"/>
      <c r="M2480" s="368"/>
      <c r="N2480" s="368"/>
      <c r="T2480" s="349"/>
      <c r="V2480" s="378"/>
      <c r="W2480" s="64" ph="1"/>
      <c r="X2480" s="241"/>
      <c r="Y2480" s="284"/>
      <c r="Z2480" s="207"/>
      <c r="AA2480" s="284"/>
      <c r="AB2480" s="284"/>
      <c r="AC2480" s="284"/>
      <c r="AD2480" s="284"/>
      <c r="AE2480" s="284"/>
      <c r="AF2480" s="284"/>
      <c r="AG2480" s="284"/>
    </row>
    <row r="2481" spans="1:33" ht="26.4">
      <c r="A2481" s="284"/>
      <c r="B2481" s="284"/>
      <c r="C2481" s="284"/>
      <c r="D2481" s="284"/>
      <c r="E2481" s="284"/>
      <c r="F2481" s="284"/>
      <c r="G2481" s="284"/>
      <c r="H2481" s="284"/>
      <c r="I2481" s="284"/>
      <c r="J2481" s="375"/>
      <c r="K2481" s="375"/>
      <c r="L2481" s="375"/>
      <c r="M2481" s="368"/>
      <c r="N2481" s="368"/>
      <c r="T2481" s="349"/>
      <c r="V2481" s="378"/>
      <c r="W2481" s="64" ph="1"/>
      <c r="X2481" s="241"/>
      <c r="Y2481" s="284"/>
      <c r="Z2481" s="207"/>
      <c r="AA2481" s="284"/>
      <c r="AB2481" s="284"/>
      <c r="AC2481" s="284"/>
      <c r="AD2481" s="284"/>
      <c r="AE2481" s="284"/>
      <c r="AF2481" s="284"/>
      <c r="AG2481" s="284"/>
    </row>
    <row r="2482" spans="1:33" ht="26.4">
      <c r="A2482" s="284"/>
      <c r="B2482" s="284"/>
      <c r="C2482" s="284"/>
      <c r="D2482" s="284"/>
      <c r="E2482" s="284"/>
      <c r="F2482" s="284"/>
      <c r="G2482" s="284"/>
      <c r="H2482" s="284"/>
      <c r="I2482" s="284"/>
      <c r="J2482" s="375"/>
      <c r="K2482" s="375"/>
      <c r="L2482" s="375"/>
      <c r="M2482" s="368"/>
      <c r="N2482" s="368"/>
      <c r="T2482" s="349"/>
      <c r="V2482" s="378"/>
      <c r="W2482" s="64" ph="1"/>
      <c r="X2482" s="241"/>
      <c r="Y2482" s="284"/>
      <c r="Z2482" s="207"/>
      <c r="AA2482" s="284"/>
      <c r="AB2482" s="284"/>
      <c r="AC2482" s="284"/>
      <c r="AD2482" s="284"/>
      <c r="AE2482" s="284"/>
      <c r="AF2482" s="284"/>
      <c r="AG2482" s="284"/>
    </row>
    <row r="2483" spans="1:33" ht="26.4">
      <c r="A2483" s="284"/>
      <c r="B2483" s="284"/>
      <c r="C2483" s="284"/>
      <c r="D2483" s="284"/>
      <c r="E2483" s="284"/>
      <c r="F2483" s="284"/>
      <c r="G2483" s="284"/>
      <c r="H2483" s="284"/>
      <c r="I2483" s="284"/>
      <c r="J2483" s="375"/>
      <c r="K2483" s="375"/>
      <c r="L2483" s="375"/>
      <c r="M2483" s="368"/>
      <c r="N2483" s="368"/>
      <c r="T2483" s="349"/>
      <c r="V2483" s="378"/>
      <c r="W2483" s="64" ph="1"/>
      <c r="X2483" s="241"/>
      <c r="Y2483" s="284"/>
      <c r="Z2483" s="207"/>
      <c r="AA2483" s="284"/>
      <c r="AB2483" s="284"/>
      <c r="AC2483" s="284"/>
      <c r="AD2483" s="284"/>
      <c r="AE2483" s="284"/>
      <c r="AF2483" s="284"/>
      <c r="AG2483" s="284"/>
    </row>
    <row r="2484" spans="1:33" ht="26.4">
      <c r="A2484" s="284"/>
      <c r="B2484" s="284"/>
      <c r="C2484" s="284"/>
      <c r="D2484" s="284"/>
      <c r="E2484" s="284"/>
      <c r="F2484" s="284"/>
      <c r="G2484" s="284"/>
      <c r="H2484" s="284"/>
      <c r="I2484" s="284"/>
      <c r="J2484" s="375"/>
      <c r="K2484" s="375"/>
      <c r="L2484" s="375"/>
      <c r="M2484" s="368"/>
      <c r="N2484" s="368"/>
      <c r="T2484" s="349"/>
      <c r="V2484" s="378"/>
      <c r="W2484" s="64" ph="1"/>
      <c r="X2484" s="241"/>
      <c r="Y2484" s="284"/>
      <c r="Z2484" s="207"/>
      <c r="AA2484" s="284"/>
      <c r="AB2484" s="284"/>
      <c r="AC2484" s="284"/>
      <c r="AD2484" s="284"/>
      <c r="AE2484" s="284"/>
      <c r="AF2484" s="284"/>
      <c r="AG2484" s="284"/>
    </row>
    <row r="2485" spans="1:33" ht="26.4">
      <c r="A2485" s="284"/>
      <c r="B2485" s="284"/>
      <c r="C2485" s="284"/>
      <c r="D2485" s="284"/>
      <c r="E2485" s="284"/>
      <c r="F2485" s="284"/>
      <c r="G2485" s="284"/>
      <c r="H2485" s="284"/>
      <c r="I2485" s="284"/>
      <c r="J2485" s="375"/>
      <c r="K2485" s="375"/>
      <c r="L2485" s="375"/>
      <c r="M2485" s="368"/>
      <c r="N2485" s="368"/>
      <c r="T2485" s="349"/>
      <c r="V2485" s="378"/>
      <c r="W2485" s="64" ph="1"/>
      <c r="X2485" s="241"/>
      <c r="Y2485" s="284"/>
      <c r="Z2485" s="207"/>
      <c r="AA2485" s="284"/>
      <c r="AB2485" s="284"/>
      <c r="AC2485" s="284"/>
      <c r="AD2485" s="284"/>
      <c r="AE2485" s="284"/>
      <c r="AF2485" s="284"/>
      <c r="AG2485" s="284"/>
    </row>
    <row r="2486" spans="1:33" ht="26.4">
      <c r="A2486" s="284"/>
      <c r="B2486" s="284"/>
      <c r="C2486" s="284"/>
      <c r="D2486" s="284"/>
      <c r="E2486" s="284"/>
      <c r="F2486" s="284"/>
      <c r="G2486" s="284"/>
      <c r="H2486" s="284"/>
      <c r="I2486" s="284"/>
      <c r="J2486" s="375"/>
      <c r="K2486" s="375"/>
      <c r="L2486" s="375"/>
      <c r="M2486" s="368"/>
      <c r="N2486" s="368"/>
      <c r="T2486" s="349"/>
      <c r="V2486" s="378"/>
      <c r="W2486" s="64" ph="1"/>
      <c r="X2486" s="241"/>
      <c r="Y2486" s="284"/>
      <c r="Z2486" s="207"/>
      <c r="AA2486" s="284"/>
      <c r="AB2486" s="284"/>
      <c r="AC2486" s="284"/>
      <c r="AD2486" s="284"/>
      <c r="AE2486" s="284"/>
      <c r="AF2486" s="284"/>
      <c r="AG2486" s="284"/>
    </row>
    <row r="2487" spans="1:33" ht="26.4">
      <c r="A2487" s="284"/>
      <c r="B2487" s="284"/>
      <c r="C2487" s="284"/>
      <c r="D2487" s="284"/>
      <c r="E2487" s="284"/>
      <c r="F2487" s="284"/>
      <c r="G2487" s="284"/>
      <c r="H2487" s="284"/>
      <c r="I2487" s="284"/>
      <c r="J2487" s="375"/>
      <c r="K2487" s="375"/>
      <c r="L2487" s="375"/>
      <c r="M2487" s="368"/>
      <c r="N2487" s="368"/>
      <c r="T2487" s="349"/>
      <c r="V2487" s="378"/>
      <c r="W2487" s="64" ph="1"/>
      <c r="X2487" s="241"/>
      <c r="Y2487" s="284"/>
      <c r="Z2487" s="207"/>
      <c r="AA2487" s="284"/>
      <c r="AB2487" s="284"/>
      <c r="AC2487" s="284"/>
      <c r="AD2487" s="284"/>
      <c r="AE2487" s="284"/>
      <c r="AF2487" s="284"/>
      <c r="AG2487" s="284"/>
    </row>
    <row r="2488" spans="1:33" ht="26.4">
      <c r="A2488" s="284"/>
      <c r="B2488" s="284"/>
      <c r="C2488" s="284"/>
      <c r="D2488" s="284"/>
      <c r="E2488" s="284"/>
      <c r="F2488" s="284"/>
      <c r="G2488" s="284"/>
      <c r="H2488" s="284"/>
      <c r="I2488" s="284"/>
      <c r="J2488" s="375"/>
      <c r="K2488" s="375"/>
      <c r="L2488" s="375"/>
      <c r="M2488" s="368"/>
      <c r="N2488" s="368"/>
      <c r="T2488" s="349"/>
      <c r="V2488" s="378"/>
      <c r="W2488" s="64" ph="1"/>
      <c r="X2488" s="241"/>
      <c r="Y2488" s="284"/>
      <c r="Z2488" s="207"/>
      <c r="AA2488" s="284"/>
      <c r="AB2488" s="284"/>
      <c r="AC2488" s="284"/>
      <c r="AD2488" s="284"/>
      <c r="AE2488" s="284"/>
      <c r="AF2488" s="284"/>
      <c r="AG2488" s="284"/>
    </row>
    <row r="2489" spans="1:33" ht="26.4">
      <c r="A2489" s="284"/>
      <c r="B2489" s="284"/>
      <c r="C2489" s="284"/>
      <c r="D2489" s="284"/>
      <c r="E2489" s="284"/>
      <c r="F2489" s="284"/>
      <c r="G2489" s="284"/>
      <c r="H2489" s="284"/>
      <c r="I2489" s="284"/>
      <c r="J2489" s="375"/>
      <c r="K2489" s="375"/>
      <c r="L2489" s="375"/>
      <c r="M2489" s="368"/>
      <c r="N2489" s="368"/>
      <c r="T2489" s="349"/>
      <c r="V2489" s="378"/>
      <c r="W2489" s="64" ph="1"/>
      <c r="X2489" s="241"/>
      <c r="Y2489" s="284"/>
      <c r="Z2489" s="207"/>
      <c r="AA2489" s="284"/>
      <c r="AB2489" s="284"/>
      <c r="AC2489" s="284"/>
      <c r="AD2489" s="284"/>
      <c r="AE2489" s="284"/>
      <c r="AF2489" s="284"/>
      <c r="AG2489" s="284"/>
    </row>
    <row r="2490" spans="1:33" ht="26.4">
      <c r="A2490" s="284"/>
      <c r="B2490" s="284"/>
      <c r="C2490" s="284"/>
      <c r="D2490" s="284"/>
      <c r="E2490" s="284"/>
      <c r="F2490" s="284"/>
      <c r="G2490" s="284"/>
      <c r="H2490" s="284"/>
      <c r="I2490" s="284"/>
      <c r="J2490" s="375"/>
      <c r="K2490" s="375"/>
      <c r="L2490" s="375"/>
      <c r="M2490" s="368"/>
      <c r="N2490" s="368"/>
      <c r="T2490" s="349"/>
      <c r="V2490" s="378"/>
      <c r="W2490" s="64" ph="1"/>
      <c r="X2490" s="241"/>
      <c r="Y2490" s="284"/>
      <c r="Z2490" s="207"/>
      <c r="AA2490" s="284"/>
      <c r="AB2490" s="284"/>
      <c r="AC2490" s="284"/>
      <c r="AD2490" s="284"/>
      <c r="AE2490" s="284"/>
      <c r="AF2490" s="284"/>
      <c r="AG2490" s="284"/>
    </row>
    <row r="2491" spans="1:33" ht="26.4">
      <c r="A2491" s="284"/>
      <c r="B2491" s="284"/>
      <c r="C2491" s="284"/>
      <c r="D2491" s="284"/>
      <c r="E2491" s="284"/>
      <c r="F2491" s="284"/>
      <c r="G2491" s="284"/>
      <c r="H2491" s="284"/>
      <c r="I2491" s="284"/>
      <c r="J2491" s="375"/>
      <c r="K2491" s="375"/>
      <c r="L2491" s="375"/>
      <c r="M2491" s="368"/>
      <c r="N2491" s="368"/>
      <c r="T2491" s="349"/>
      <c r="V2491" s="378"/>
      <c r="W2491" s="64" ph="1"/>
      <c r="X2491" s="241"/>
      <c r="Y2491" s="284"/>
      <c r="Z2491" s="207"/>
      <c r="AA2491" s="284"/>
      <c r="AB2491" s="284"/>
      <c r="AC2491" s="284"/>
      <c r="AD2491" s="284"/>
      <c r="AE2491" s="284"/>
      <c r="AF2491" s="284"/>
      <c r="AG2491" s="284"/>
    </row>
    <row r="2492" spans="1:33" ht="26.4">
      <c r="A2492" s="284"/>
      <c r="B2492" s="284"/>
      <c r="C2492" s="284"/>
      <c r="D2492" s="284"/>
      <c r="E2492" s="284"/>
      <c r="F2492" s="284"/>
      <c r="G2492" s="284"/>
      <c r="H2492" s="284"/>
      <c r="I2492" s="284"/>
      <c r="J2492" s="375"/>
      <c r="K2492" s="375"/>
      <c r="L2492" s="375"/>
      <c r="M2492" s="368"/>
      <c r="N2492" s="368"/>
      <c r="T2492" s="349"/>
      <c r="V2492" s="378"/>
      <c r="W2492" s="64" ph="1"/>
      <c r="X2492" s="241"/>
      <c r="Y2492" s="284"/>
      <c r="Z2492" s="207"/>
      <c r="AA2492" s="284"/>
      <c r="AB2492" s="284"/>
      <c r="AC2492" s="284"/>
      <c r="AD2492" s="284"/>
      <c r="AE2492" s="284"/>
      <c r="AF2492" s="284"/>
      <c r="AG2492" s="284"/>
    </row>
    <row r="2493" spans="1:33" ht="26.4">
      <c r="A2493" s="284"/>
      <c r="B2493" s="284"/>
      <c r="C2493" s="284"/>
      <c r="D2493" s="284"/>
      <c r="E2493" s="284"/>
      <c r="F2493" s="284"/>
      <c r="G2493" s="284"/>
      <c r="H2493" s="284"/>
      <c r="I2493" s="284"/>
      <c r="J2493" s="375"/>
      <c r="K2493" s="375"/>
      <c r="L2493" s="375"/>
      <c r="M2493" s="368"/>
      <c r="N2493" s="368"/>
      <c r="T2493" s="349"/>
      <c r="V2493" s="378"/>
      <c r="W2493" s="64" ph="1"/>
      <c r="X2493" s="241"/>
      <c r="Y2493" s="284"/>
      <c r="Z2493" s="207"/>
      <c r="AA2493" s="284"/>
      <c r="AB2493" s="284"/>
      <c r="AC2493" s="284"/>
      <c r="AD2493" s="284"/>
      <c r="AE2493" s="284"/>
      <c r="AF2493" s="284"/>
      <c r="AG2493" s="284"/>
    </row>
    <row r="2494" spans="1:33" ht="26.4">
      <c r="A2494" s="284"/>
      <c r="B2494" s="284"/>
      <c r="C2494" s="284"/>
      <c r="D2494" s="284"/>
      <c r="E2494" s="284"/>
      <c r="F2494" s="284"/>
      <c r="G2494" s="284"/>
      <c r="H2494" s="284"/>
      <c r="I2494" s="284"/>
      <c r="J2494" s="375"/>
      <c r="K2494" s="375"/>
      <c r="L2494" s="375"/>
      <c r="M2494" s="368"/>
      <c r="N2494" s="368"/>
      <c r="T2494" s="349"/>
      <c r="V2494" s="378"/>
      <c r="W2494" s="64" ph="1"/>
      <c r="X2494" s="241"/>
      <c r="Y2494" s="284"/>
      <c r="Z2494" s="207"/>
      <c r="AA2494" s="284"/>
      <c r="AB2494" s="284"/>
      <c r="AC2494" s="284"/>
      <c r="AD2494" s="284"/>
      <c r="AE2494" s="284"/>
      <c r="AF2494" s="284"/>
      <c r="AG2494" s="284"/>
    </row>
    <row r="2495" spans="1:33" ht="26.4">
      <c r="A2495" s="284"/>
      <c r="B2495" s="284"/>
      <c r="C2495" s="284"/>
      <c r="D2495" s="284"/>
      <c r="E2495" s="284"/>
      <c r="F2495" s="284"/>
      <c r="G2495" s="284"/>
      <c r="H2495" s="284"/>
      <c r="I2495" s="284"/>
      <c r="J2495" s="375"/>
      <c r="K2495" s="375"/>
      <c r="L2495" s="375"/>
      <c r="M2495" s="368"/>
      <c r="N2495" s="368"/>
      <c r="T2495" s="349"/>
      <c r="V2495" s="378"/>
      <c r="W2495" s="64" ph="1"/>
      <c r="X2495" s="241"/>
      <c r="Y2495" s="284"/>
      <c r="Z2495" s="207"/>
      <c r="AA2495" s="284"/>
      <c r="AB2495" s="284"/>
      <c r="AC2495" s="284"/>
      <c r="AD2495" s="284"/>
      <c r="AE2495" s="284"/>
      <c r="AF2495" s="284"/>
      <c r="AG2495" s="284"/>
    </row>
    <row r="2496" spans="1:33" ht="26.4">
      <c r="A2496" s="284"/>
      <c r="B2496" s="284"/>
      <c r="C2496" s="284"/>
      <c r="D2496" s="284"/>
      <c r="E2496" s="284"/>
      <c r="F2496" s="284"/>
      <c r="G2496" s="284"/>
      <c r="H2496" s="284"/>
      <c r="I2496" s="284"/>
      <c r="J2496" s="375"/>
      <c r="K2496" s="375"/>
      <c r="L2496" s="375"/>
      <c r="M2496" s="368"/>
      <c r="N2496" s="368"/>
      <c r="T2496" s="349"/>
      <c r="V2496" s="378"/>
      <c r="W2496" s="64" ph="1"/>
      <c r="X2496" s="241"/>
      <c r="Y2496" s="284"/>
      <c r="Z2496" s="207"/>
      <c r="AA2496" s="284"/>
      <c r="AB2496" s="284"/>
      <c r="AC2496" s="284"/>
      <c r="AD2496" s="284"/>
      <c r="AE2496" s="284"/>
      <c r="AF2496" s="284"/>
      <c r="AG2496" s="284"/>
    </row>
    <row r="2497" spans="1:33" ht="26.4">
      <c r="A2497" s="284"/>
      <c r="B2497" s="284"/>
      <c r="C2497" s="284"/>
      <c r="D2497" s="284"/>
      <c r="E2497" s="284"/>
      <c r="F2497" s="284"/>
      <c r="G2497" s="284"/>
      <c r="H2497" s="284"/>
      <c r="I2497" s="284"/>
      <c r="J2497" s="375"/>
      <c r="K2497" s="375"/>
      <c r="L2497" s="375"/>
      <c r="M2497" s="368"/>
      <c r="N2497" s="368"/>
      <c r="T2497" s="349"/>
      <c r="V2497" s="378"/>
      <c r="W2497" s="64" ph="1"/>
      <c r="X2497" s="241"/>
      <c r="Y2497" s="284"/>
      <c r="Z2497" s="207"/>
      <c r="AA2497" s="284"/>
      <c r="AB2497" s="284"/>
      <c r="AC2497" s="284"/>
      <c r="AD2497" s="284"/>
      <c r="AE2497" s="284"/>
      <c r="AF2497" s="284"/>
      <c r="AG2497" s="284"/>
    </row>
    <row r="2498" spans="1:33" ht="26.4">
      <c r="A2498" s="284"/>
      <c r="B2498" s="284"/>
      <c r="C2498" s="284"/>
      <c r="D2498" s="284"/>
      <c r="E2498" s="284"/>
      <c r="F2498" s="284"/>
      <c r="G2498" s="284"/>
      <c r="H2498" s="284"/>
      <c r="I2498" s="284"/>
      <c r="J2498" s="375"/>
      <c r="K2498" s="375"/>
      <c r="L2498" s="375"/>
      <c r="M2498" s="368"/>
      <c r="N2498" s="368"/>
      <c r="T2498" s="349"/>
      <c r="V2498" s="378"/>
      <c r="W2498" s="64" ph="1"/>
      <c r="X2498" s="241"/>
      <c r="Y2498" s="284"/>
      <c r="Z2498" s="207"/>
      <c r="AA2498" s="284"/>
      <c r="AB2498" s="284"/>
      <c r="AC2498" s="284"/>
      <c r="AD2498" s="284"/>
      <c r="AE2498" s="284"/>
      <c r="AF2498" s="284"/>
      <c r="AG2498" s="284"/>
    </row>
    <row r="2499" spans="1:33" ht="26.4">
      <c r="A2499" s="284"/>
      <c r="B2499" s="284"/>
      <c r="C2499" s="284"/>
      <c r="D2499" s="284"/>
      <c r="E2499" s="284"/>
      <c r="F2499" s="284"/>
      <c r="G2499" s="284"/>
      <c r="H2499" s="284"/>
      <c r="I2499" s="284"/>
      <c r="J2499" s="375"/>
      <c r="K2499" s="375"/>
      <c r="L2499" s="375"/>
      <c r="M2499" s="368"/>
      <c r="N2499" s="368"/>
      <c r="T2499" s="349"/>
      <c r="V2499" s="378"/>
      <c r="W2499" s="64" ph="1"/>
      <c r="X2499" s="241"/>
      <c r="Y2499" s="284"/>
      <c r="Z2499" s="207"/>
      <c r="AA2499" s="284"/>
      <c r="AB2499" s="284"/>
      <c r="AC2499" s="284"/>
      <c r="AD2499" s="284"/>
      <c r="AE2499" s="284"/>
      <c r="AF2499" s="284"/>
      <c r="AG2499" s="284"/>
    </row>
    <row r="2500" spans="1:33" ht="26.4">
      <c r="A2500" s="284"/>
      <c r="B2500" s="284"/>
      <c r="C2500" s="284"/>
      <c r="D2500" s="284"/>
      <c r="E2500" s="284"/>
      <c r="F2500" s="284"/>
      <c r="G2500" s="284"/>
      <c r="H2500" s="284"/>
      <c r="I2500" s="284"/>
      <c r="J2500" s="375"/>
      <c r="K2500" s="375"/>
      <c r="L2500" s="375"/>
      <c r="M2500" s="368"/>
      <c r="N2500" s="368"/>
      <c r="T2500" s="349"/>
      <c r="V2500" s="378"/>
      <c r="W2500" s="64" ph="1"/>
      <c r="X2500" s="241"/>
      <c r="Y2500" s="284"/>
      <c r="Z2500" s="207"/>
      <c r="AA2500" s="284"/>
      <c r="AB2500" s="284"/>
      <c r="AC2500" s="284"/>
      <c r="AD2500" s="284"/>
      <c r="AE2500" s="284"/>
      <c r="AF2500" s="284"/>
      <c r="AG2500" s="284"/>
    </row>
    <row r="2501" spans="1:33" ht="26.4">
      <c r="A2501" s="284"/>
      <c r="B2501" s="284"/>
      <c r="C2501" s="284"/>
      <c r="D2501" s="284"/>
      <c r="E2501" s="284"/>
      <c r="F2501" s="284"/>
      <c r="G2501" s="284"/>
      <c r="H2501" s="284"/>
      <c r="I2501" s="284"/>
      <c r="J2501" s="375"/>
      <c r="K2501" s="375"/>
      <c r="L2501" s="375"/>
      <c r="M2501" s="368"/>
      <c r="N2501" s="368"/>
      <c r="T2501" s="349"/>
      <c r="V2501" s="378"/>
      <c r="W2501" s="64" ph="1"/>
      <c r="X2501" s="241"/>
      <c r="Y2501" s="284"/>
      <c r="Z2501" s="207"/>
      <c r="AA2501" s="284"/>
      <c r="AB2501" s="284"/>
      <c r="AC2501" s="284"/>
      <c r="AD2501" s="284"/>
      <c r="AE2501" s="284"/>
      <c r="AF2501" s="284"/>
      <c r="AG2501" s="284"/>
    </row>
    <row r="2502" spans="1:33" ht="26.4">
      <c r="A2502" s="284"/>
      <c r="B2502" s="284"/>
      <c r="C2502" s="284"/>
      <c r="D2502" s="284"/>
      <c r="E2502" s="284"/>
      <c r="F2502" s="284"/>
      <c r="G2502" s="284"/>
      <c r="H2502" s="284"/>
      <c r="I2502" s="284"/>
      <c r="J2502" s="375"/>
      <c r="K2502" s="375"/>
      <c r="L2502" s="375"/>
      <c r="M2502" s="368"/>
      <c r="N2502" s="368"/>
      <c r="T2502" s="349"/>
      <c r="V2502" s="378"/>
      <c r="W2502" s="64" ph="1"/>
      <c r="X2502" s="241"/>
      <c r="Y2502" s="284"/>
      <c r="Z2502" s="207"/>
      <c r="AA2502" s="284"/>
      <c r="AB2502" s="284"/>
      <c r="AC2502" s="284"/>
      <c r="AD2502" s="284"/>
      <c r="AE2502" s="284"/>
      <c r="AF2502" s="284"/>
      <c r="AG2502" s="284"/>
    </row>
    <row r="2503" spans="1:33" ht="26.4">
      <c r="A2503" s="284"/>
      <c r="B2503" s="284"/>
      <c r="C2503" s="284"/>
      <c r="D2503" s="284"/>
      <c r="E2503" s="284"/>
      <c r="F2503" s="284"/>
      <c r="G2503" s="284"/>
      <c r="H2503" s="284"/>
      <c r="I2503" s="284"/>
      <c r="J2503" s="375"/>
      <c r="K2503" s="375"/>
      <c r="L2503" s="375"/>
      <c r="M2503" s="368"/>
      <c r="N2503" s="368"/>
      <c r="T2503" s="349"/>
      <c r="V2503" s="378"/>
      <c r="W2503" s="64" ph="1"/>
      <c r="X2503" s="241"/>
      <c r="Y2503" s="284"/>
      <c r="Z2503" s="207"/>
      <c r="AA2503" s="284"/>
      <c r="AB2503" s="284"/>
      <c r="AC2503" s="284"/>
      <c r="AD2503" s="284"/>
      <c r="AE2503" s="284"/>
      <c r="AF2503" s="284"/>
      <c r="AG2503" s="284"/>
    </row>
    <row r="2504" spans="1:33" ht="26.4">
      <c r="A2504" s="284"/>
      <c r="B2504" s="284"/>
      <c r="C2504" s="284"/>
      <c r="D2504" s="284"/>
      <c r="E2504" s="284"/>
      <c r="F2504" s="284"/>
      <c r="G2504" s="284"/>
      <c r="H2504" s="284"/>
      <c r="I2504" s="284"/>
      <c r="J2504" s="375"/>
      <c r="K2504" s="375"/>
      <c r="L2504" s="375"/>
      <c r="M2504" s="368"/>
      <c r="N2504" s="368"/>
      <c r="T2504" s="349"/>
      <c r="V2504" s="378"/>
      <c r="W2504" s="64" ph="1"/>
      <c r="X2504" s="241"/>
      <c r="Y2504" s="284"/>
      <c r="Z2504" s="207"/>
      <c r="AA2504" s="284"/>
      <c r="AB2504" s="284"/>
      <c r="AC2504" s="284"/>
      <c r="AD2504" s="284"/>
      <c r="AE2504" s="284"/>
      <c r="AF2504" s="284"/>
      <c r="AG2504" s="284"/>
    </row>
    <row r="2505" spans="1:33" ht="26.4">
      <c r="A2505" s="284"/>
      <c r="B2505" s="284"/>
      <c r="C2505" s="284"/>
      <c r="D2505" s="284"/>
      <c r="E2505" s="284"/>
      <c r="F2505" s="284"/>
      <c r="G2505" s="284"/>
      <c r="H2505" s="284"/>
      <c r="I2505" s="284"/>
      <c r="J2505" s="375"/>
      <c r="K2505" s="375"/>
      <c r="L2505" s="375"/>
      <c r="M2505" s="368"/>
      <c r="N2505" s="368"/>
      <c r="T2505" s="349"/>
      <c r="V2505" s="378"/>
      <c r="W2505" s="64" ph="1"/>
      <c r="X2505" s="241"/>
      <c r="Y2505" s="284"/>
      <c r="Z2505" s="207"/>
      <c r="AA2505" s="284"/>
      <c r="AB2505" s="284"/>
      <c r="AC2505" s="284"/>
      <c r="AD2505" s="284"/>
      <c r="AE2505" s="284"/>
      <c r="AF2505" s="284"/>
      <c r="AG2505" s="284"/>
    </row>
    <row r="2506" spans="1:33" ht="26.4">
      <c r="A2506" s="284"/>
      <c r="B2506" s="284"/>
      <c r="C2506" s="284"/>
      <c r="D2506" s="284"/>
      <c r="E2506" s="284"/>
      <c r="F2506" s="284"/>
      <c r="G2506" s="284"/>
      <c r="H2506" s="284"/>
      <c r="I2506" s="284"/>
      <c r="J2506" s="375"/>
      <c r="K2506" s="375"/>
      <c r="L2506" s="375"/>
      <c r="M2506" s="368"/>
      <c r="N2506" s="368"/>
      <c r="T2506" s="349"/>
      <c r="V2506" s="378"/>
      <c r="W2506" s="64" ph="1"/>
      <c r="X2506" s="241"/>
      <c r="Y2506" s="284"/>
      <c r="Z2506" s="207"/>
      <c r="AA2506" s="284"/>
      <c r="AB2506" s="284"/>
      <c r="AC2506" s="284"/>
      <c r="AD2506" s="284"/>
      <c r="AE2506" s="284"/>
      <c r="AF2506" s="284"/>
      <c r="AG2506" s="284"/>
    </row>
    <row r="2507" spans="1:33" ht="26.4">
      <c r="A2507" s="284"/>
      <c r="B2507" s="284"/>
      <c r="C2507" s="284"/>
      <c r="D2507" s="284"/>
      <c r="E2507" s="284"/>
      <c r="F2507" s="284"/>
      <c r="G2507" s="284"/>
      <c r="H2507" s="284"/>
      <c r="I2507" s="284"/>
      <c r="J2507" s="375"/>
      <c r="K2507" s="375"/>
      <c r="L2507" s="375"/>
      <c r="M2507" s="368"/>
      <c r="N2507" s="368"/>
      <c r="T2507" s="349"/>
      <c r="V2507" s="378"/>
      <c r="W2507" s="64" ph="1"/>
      <c r="X2507" s="241"/>
      <c r="Y2507" s="284"/>
      <c r="Z2507" s="207"/>
      <c r="AA2507" s="284"/>
      <c r="AB2507" s="284"/>
      <c r="AC2507" s="284"/>
      <c r="AD2507" s="284"/>
      <c r="AE2507" s="284"/>
      <c r="AF2507" s="284"/>
      <c r="AG2507" s="284"/>
    </row>
    <row r="2508" spans="1:33" ht="26.4">
      <c r="A2508" s="284"/>
      <c r="B2508" s="284"/>
      <c r="C2508" s="284"/>
      <c r="D2508" s="284"/>
      <c r="E2508" s="284"/>
      <c r="F2508" s="284"/>
      <c r="G2508" s="284"/>
      <c r="H2508" s="284"/>
      <c r="I2508" s="284"/>
      <c r="J2508" s="375"/>
      <c r="K2508" s="375"/>
      <c r="L2508" s="375"/>
      <c r="M2508" s="368"/>
      <c r="N2508" s="368"/>
      <c r="T2508" s="349"/>
      <c r="V2508" s="378"/>
      <c r="W2508" s="64" ph="1"/>
      <c r="X2508" s="241"/>
      <c r="Y2508" s="284"/>
      <c r="Z2508" s="207"/>
      <c r="AA2508" s="284"/>
      <c r="AB2508" s="284"/>
      <c r="AC2508" s="284"/>
      <c r="AD2508" s="284"/>
      <c r="AE2508" s="284"/>
      <c r="AF2508" s="284"/>
      <c r="AG2508" s="284"/>
    </row>
    <row r="2509" spans="1:33" ht="26.4">
      <c r="A2509" s="284"/>
      <c r="B2509" s="284"/>
      <c r="C2509" s="284"/>
      <c r="D2509" s="284"/>
      <c r="E2509" s="284"/>
      <c r="F2509" s="284"/>
      <c r="G2509" s="284"/>
      <c r="H2509" s="284"/>
      <c r="I2509" s="284"/>
      <c r="J2509" s="375"/>
      <c r="K2509" s="375"/>
      <c r="L2509" s="375"/>
      <c r="M2509" s="368"/>
      <c r="N2509" s="368"/>
      <c r="T2509" s="349"/>
      <c r="V2509" s="378"/>
      <c r="W2509" s="64" ph="1"/>
      <c r="X2509" s="241"/>
      <c r="Y2509" s="284"/>
      <c r="Z2509" s="207"/>
      <c r="AA2509" s="284"/>
      <c r="AB2509" s="284"/>
      <c r="AC2509" s="284"/>
      <c r="AD2509" s="284"/>
      <c r="AE2509" s="284"/>
      <c r="AF2509" s="284"/>
      <c r="AG2509" s="284"/>
    </row>
    <row r="2510" spans="1:33" ht="26.4">
      <c r="A2510" s="284"/>
      <c r="B2510" s="284"/>
      <c r="C2510" s="284"/>
      <c r="D2510" s="284"/>
      <c r="E2510" s="284"/>
      <c r="F2510" s="284"/>
      <c r="G2510" s="284"/>
      <c r="H2510" s="284"/>
      <c r="I2510" s="284"/>
      <c r="J2510" s="375"/>
      <c r="K2510" s="375"/>
      <c r="L2510" s="375"/>
      <c r="M2510" s="368"/>
      <c r="N2510" s="368"/>
      <c r="T2510" s="349"/>
      <c r="V2510" s="378"/>
      <c r="W2510" s="64" ph="1"/>
      <c r="X2510" s="241"/>
      <c r="Y2510" s="284"/>
      <c r="Z2510" s="207"/>
      <c r="AA2510" s="284"/>
      <c r="AB2510" s="284"/>
      <c r="AC2510" s="284"/>
      <c r="AD2510" s="284"/>
      <c r="AE2510" s="284"/>
      <c r="AF2510" s="284"/>
      <c r="AG2510" s="284"/>
    </row>
    <row r="2511" spans="1:33" ht="26.4">
      <c r="A2511" s="284"/>
      <c r="B2511" s="284"/>
      <c r="C2511" s="284"/>
      <c r="D2511" s="284"/>
      <c r="E2511" s="284"/>
      <c r="F2511" s="284"/>
      <c r="G2511" s="284"/>
      <c r="H2511" s="284"/>
      <c r="I2511" s="284"/>
      <c r="J2511" s="375"/>
      <c r="K2511" s="375"/>
      <c r="L2511" s="375"/>
      <c r="M2511" s="368"/>
      <c r="N2511" s="368"/>
      <c r="T2511" s="349"/>
      <c r="V2511" s="378"/>
      <c r="W2511" s="64" ph="1"/>
      <c r="X2511" s="241"/>
      <c r="Y2511" s="284"/>
      <c r="Z2511" s="207"/>
      <c r="AA2511" s="284"/>
      <c r="AB2511" s="284"/>
      <c r="AC2511" s="284"/>
      <c r="AD2511" s="284"/>
      <c r="AE2511" s="284"/>
      <c r="AF2511" s="284"/>
      <c r="AG2511" s="284"/>
    </row>
    <row r="2512" spans="1:33" ht="26.4">
      <c r="A2512" s="284"/>
      <c r="B2512" s="284"/>
      <c r="C2512" s="284"/>
      <c r="D2512" s="284"/>
      <c r="E2512" s="284"/>
      <c r="F2512" s="284"/>
      <c r="G2512" s="284"/>
      <c r="H2512" s="284"/>
      <c r="I2512" s="284"/>
      <c r="J2512" s="375"/>
      <c r="K2512" s="375"/>
      <c r="L2512" s="375"/>
      <c r="M2512" s="368"/>
      <c r="N2512" s="368"/>
      <c r="T2512" s="349"/>
      <c r="V2512" s="378"/>
      <c r="W2512" s="64" ph="1"/>
      <c r="X2512" s="241"/>
      <c r="Y2512" s="284"/>
      <c r="Z2512" s="207"/>
      <c r="AA2512" s="284"/>
      <c r="AB2512" s="284"/>
      <c r="AC2512" s="284"/>
      <c r="AD2512" s="284"/>
      <c r="AE2512" s="284"/>
      <c r="AF2512" s="284"/>
      <c r="AG2512" s="284"/>
    </row>
    <row r="2513" spans="1:33" ht="26.4">
      <c r="A2513" s="284"/>
      <c r="B2513" s="284"/>
      <c r="C2513" s="284"/>
      <c r="D2513" s="284"/>
      <c r="E2513" s="284"/>
      <c r="F2513" s="284"/>
      <c r="G2513" s="284"/>
      <c r="H2513" s="284"/>
      <c r="I2513" s="284"/>
      <c r="J2513" s="375"/>
      <c r="K2513" s="375"/>
      <c r="L2513" s="375"/>
      <c r="M2513" s="368"/>
      <c r="N2513" s="368"/>
      <c r="T2513" s="349"/>
      <c r="V2513" s="378"/>
      <c r="W2513" s="64" ph="1"/>
      <c r="X2513" s="241"/>
      <c r="Y2513" s="284"/>
      <c r="Z2513" s="207"/>
      <c r="AA2513" s="284"/>
      <c r="AB2513" s="284"/>
      <c r="AC2513" s="284"/>
      <c r="AD2513" s="284"/>
      <c r="AE2513" s="284"/>
      <c r="AF2513" s="284"/>
      <c r="AG2513" s="284"/>
    </row>
    <row r="2514" spans="1:33" ht="26.4">
      <c r="A2514" s="284"/>
      <c r="B2514" s="284"/>
      <c r="C2514" s="284"/>
      <c r="D2514" s="284"/>
      <c r="E2514" s="284"/>
      <c r="F2514" s="284"/>
      <c r="G2514" s="284"/>
      <c r="H2514" s="284"/>
      <c r="I2514" s="284"/>
      <c r="J2514" s="375"/>
      <c r="K2514" s="375"/>
      <c r="L2514" s="375"/>
      <c r="M2514" s="368"/>
      <c r="N2514" s="368"/>
      <c r="T2514" s="349"/>
      <c r="V2514" s="378"/>
      <c r="W2514" s="64" ph="1"/>
      <c r="X2514" s="241"/>
      <c r="Y2514" s="284"/>
      <c r="Z2514" s="207"/>
      <c r="AA2514" s="284"/>
      <c r="AB2514" s="284"/>
      <c r="AC2514" s="284"/>
      <c r="AD2514" s="284"/>
      <c r="AE2514" s="284"/>
      <c r="AF2514" s="284"/>
      <c r="AG2514" s="284"/>
    </row>
    <row r="2515" spans="1:33" ht="26.4">
      <c r="A2515" s="284"/>
      <c r="B2515" s="284"/>
      <c r="C2515" s="284"/>
      <c r="D2515" s="284"/>
      <c r="E2515" s="284"/>
      <c r="F2515" s="284"/>
      <c r="G2515" s="284"/>
      <c r="H2515" s="284"/>
      <c r="I2515" s="284"/>
      <c r="J2515" s="375"/>
      <c r="K2515" s="375"/>
      <c r="L2515" s="375"/>
      <c r="M2515" s="368"/>
      <c r="N2515" s="368"/>
      <c r="T2515" s="349"/>
      <c r="V2515" s="378"/>
      <c r="W2515" s="64" ph="1"/>
      <c r="X2515" s="241"/>
      <c r="Y2515" s="284"/>
      <c r="Z2515" s="207"/>
      <c r="AA2515" s="284"/>
      <c r="AB2515" s="284"/>
      <c r="AC2515" s="284"/>
      <c r="AD2515" s="284"/>
      <c r="AE2515" s="284"/>
      <c r="AF2515" s="284"/>
      <c r="AG2515" s="284"/>
    </row>
    <row r="2516" spans="1:33" ht="26.4">
      <c r="A2516" s="284"/>
      <c r="B2516" s="284"/>
      <c r="C2516" s="284"/>
      <c r="D2516" s="284"/>
      <c r="E2516" s="284"/>
      <c r="F2516" s="284"/>
      <c r="G2516" s="284"/>
      <c r="H2516" s="284"/>
      <c r="I2516" s="284"/>
      <c r="J2516" s="375"/>
      <c r="K2516" s="375"/>
      <c r="L2516" s="375"/>
      <c r="M2516" s="368"/>
      <c r="N2516" s="368"/>
      <c r="T2516" s="349"/>
      <c r="V2516" s="378"/>
      <c r="W2516" s="64" ph="1"/>
      <c r="X2516" s="241"/>
      <c r="Y2516" s="284"/>
      <c r="Z2516" s="207"/>
      <c r="AA2516" s="284"/>
      <c r="AB2516" s="284"/>
      <c r="AC2516" s="284"/>
      <c r="AD2516" s="284"/>
      <c r="AE2516" s="284"/>
      <c r="AF2516" s="284"/>
      <c r="AG2516" s="284"/>
    </row>
    <row r="2517" spans="1:33" ht="26.4">
      <c r="A2517" s="284"/>
      <c r="B2517" s="284"/>
      <c r="C2517" s="284"/>
      <c r="D2517" s="284"/>
      <c r="E2517" s="284"/>
      <c r="F2517" s="284"/>
      <c r="G2517" s="284"/>
      <c r="H2517" s="284"/>
      <c r="I2517" s="284"/>
      <c r="J2517" s="375"/>
      <c r="K2517" s="375"/>
      <c r="L2517" s="375"/>
      <c r="M2517" s="368"/>
      <c r="N2517" s="368"/>
      <c r="V2517" s="378"/>
      <c r="W2517" s="64" ph="1"/>
      <c r="X2517" s="241"/>
      <c r="Y2517" s="284"/>
      <c r="Z2517" s="207"/>
      <c r="AA2517" s="284"/>
      <c r="AB2517" s="284"/>
      <c r="AC2517" s="284"/>
      <c r="AD2517" s="284"/>
      <c r="AE2517" s="284"/>
      <c r="AF2517" s="284"/>
      <c r="AG2517" s="284"/>
    </row>
    <row r="2518" spans="1:33" ht="26.4">
      <c r="A2518" s="284"/>
      <c r="B2518" s="284"/>
      <c r="C2518" s="284"/>
      <c r="D2518" s="284"/>
      <c r="E2518" s="284"/>
      <c r="F2518" s="284"/>
      <c r="G2518" s="284"/>
      <c r="H2518" s="284"/>
      <c r="I2518" s="284"/>
      <c r="J2518" s="375"/>
      <c r="K2518" s="375"/>
      <c r="L2518" s="375"/>
      <c r="M2518" s="368"/>
      <c r="N2518" s="368"/>
      <c r="V2518" s="378"/>
      <c r="W2518" s="64" ph="1"/>
      <c r="X2518" s="241"/>
      <c r="Y2518" s="284"/>
      <c r="Z2518" s="207"/>
      <c r="AA2518" s="284"/>
      <c r="AB2518" s="284"/>
      <c r="AC2518" s="284"/>
      <c r="AD2518" s="284"/>
      <c r="AE2518" s="284"/>
      <c r="AF2518" s="284"/>
      <c r="AG2518" s="284"/>
    </row>
    <row r="2519" spans="1:33" ht="26.4">
      <c r="A2519" s="284"/>
      <c r="B2519" s="284"/>
      <c r="C2519" s="284"/>
      <c r="D2519" s="284"/>
      <c r="E2519" s="284"/>
      <c r="F2519" s="284"/>
      <c r="G2519" s="284"/>
      <c r="H2519" s="284"/>
      <c r="I2519" s="284"/>
      <c r="J2519" s="375"/>
      <c r="K2519" s="375"/>
      <c r="L2519" s="375"/>
      <c r="M2519" s="368"/>
      <c r="N2519" s="368"/>
      <c r="V2519" s="378"/>
      <c r="W2519" s="64" ph="1"/>
      <c r="X2519" s="241"/>
      <c r="Y2519" s="284"/>
      <c r="Z2519" s="207"/>
      <c r="AA2519" s="284"/>
      <c r="AB2519" s="284"/>
      <c r="AC2519" s="284"/>
      <c r="AD2519" s="284"/>
      <c r="AE2519" s="284"/>
      <c r="AF2519" s="284"/>
      <c r="AG2519" s="284"/>
    </row>
    <row r="2520" spans="1:33" ht="26.4">
      <c r="A2520" s="284"/>
      <c r="B2520" s="284"/>
      <c r="C2520" s="284"/>
      <c r="D2520" s="284"/>
      <c r="E2520" s="284"/>
      <c r="F2520" s="284"/>
      <c r="G2520" s="284"/>
      <c r="H2520" s="284"/>
      <c r="I2520" s="284"/>
      <c r="J2520" s="375"/>
      <c r="K2520" s="375"/>
      <c r="L2520" s="375"/>
      <c r="M2520" s="368"/>
      <c r="N2520" s="368"/>
      <c r="V2520" s="378"/>
      <c r="W2520" s="64" ph="1"/>
      <c r="X2520" s="241"/>
      <c r="Y2520" s="284"/>
      <c r="Z2520" s="207"/>
      <c r="AA2520" s="284"/>
      <c r="AB2520" s="284"/>
      <c r="AC2520" s="284"/>
      <c r="AD2520" s="284"/>
      <c r="AE2520" s="284"/>
      <c r="AF2520" s="284"/>
      <c r="AG2520" s="284"/>
    </row>
    <row r="2521" spans="1:33" ht="26.4">
      <c r="A2521" s="284"/>
      <c r="B2521" s="284"/>
      <c r="C2521" s="284"/>
      <c r="D2521" s="284"/>
      <c r="E2521" s="284"/>
      <c r="F2521" s="284"/>
      <c r="G2521" s="284"/>
      <c r="H2521" s="284"/>
      <c r="I2521" s="284"/>
      <c r="J2521" s="375"/>
      <c r="K2521" s="375"/>
      <c r="L2521" s="375"/>
      <c r="M2521" s="368"/>
      <c r="N2521" s="368"/>
      <c r="V2521" s="378"/>
      <c r="W2521" s="64" ph="1"/>
      <c r="X2521" s="241"/>
      <c r="Y2521" s="284"/>
      <c r="Z2521" s="207"/>
      <c r="AA2521" s="284"/>
      <c r="AB2521" s="284"/>
      <c r="AC2521" s="284"/>
      <c r="AD2521" s="284"/>
      <c r="AE2521" s="284"/>
      <c r="AF2521" s="284"/>
      <c r="AG2521" s="284"/>
    </row>
    <row r="2522" spans="1:33" ht="26.4">
      <c r="A2522" s="284"/>
      <c r="B2522" s="284"/>
      <c r="C2522" s="284"/>
      <c r="D2522" s="284"/>
      <c r="E2522" s="284"/>
      <c r="F2522" s="284"/>
      <c r="G2522" s="284"/>
      <c r="H2522" s="284"/>
      <c r="I2522" s="284"/>
      <c r="J2522" s="375"/>
      <c r="K2522" s="375"/>
      <c r="L2522" s="375"/>
      <c r="M2522" s="368"/>
      <c r="N2522" s="368"/>
      <c r="V2522" s="378"/>
      <c r="W2522" s="64" ph="1"/>
      <c r="X2522" s="241"/>
      <c r="Y2522" s="284"/>
      <c r="Z2522" s="207"/>
      <c r="AA2522" s="284"/>
      <c r="AB2522" s="284"/>
      <c r="AC2522" s="284"/>
      <c r="AD2522" s="284"/>
      <c r="AE2522" s="284"/>
      <c r="AF2522" s="284"/>
      <c r="AG2522" s="284"/>
    </row>
    <row r="2523" spans="1:33" ht="26.4">
      <c r="A2523" s="284"/>
      <c r="B2523" s="284"/>
      <c r="C2523" s="284"/>
      <c r="D2523" s="284"/>
      <c r="E2523" s="284"/>
      <c r="F2523" s="284"/>
      <c r="G2523" s="284"/>
      <c r="H2523" s="284"/>
      <c r="I2523" s="284"/>
      <c r="J2523" s="375"/>
      <c r="K2523" s="375"/>
      <c r="L2523" s="375"/>
      <c r="M2523" s="368"/>
      <c r="N2523" s="368"/>
      <c r="V2523" s="378"/>
      <c r="W2523" s="64" ph="1"/>
      <c r="X2523" s="241"/>
      <c r="Y2523" s="284"/>
      <c r="Z2523" s="207"/>
      <c r="AA2523" s="284"/>
      <c r="AB2523" s="284"/>
      <c r="AC2523" s="284"/>
      <c r="AD2523" s="284"/>
      <c r="AE2523" s="284"/>
      <c r="AF2523" s="284"/>
      <c r="AG2523" s="284"/>
    </row>
    <row r="2524" spans="1:33" ht="26.4">
      <c r="A2524" s="284"/>
      <c r="B2524" s="284"/>
      <c r="C2524" s="284"/>
      <c r="D2524" s="284"/>
      <c r="E2524" s="284"/>
      <c r="F2524" s="284"/>
      <c r="G2524" s="284"/>
      <c r="H2524" s="284"/>
      <c r="I2524" s="284"/>
      <c r="J2524" s="375"/>
      <c r="K2524" s="375"/>
      <c r="L2524" s="375"/>
      <c r="M2524" s="368"/>
      <c r="N2524" s="368"/>
      <c r="V2524" s="378"/>
      <c r="W2524" s="64" ph="1"/>
      <c r="X2524" s="241"/>
      <c r="Y2524" s="284"/>
      <c r="Z2524" s="207"/>
      <c r="AA2524" s="284"/>
      <c r="AB2524" s="284"/>
      <c r="AC2524" s="284"/>
      <c r="AD2524" s="284"/>
      <c r="AE2524" s="284"/>
      <c r="AF2524" s="284"/>
      <c r="AG2524" s="284"/>
    </row>
    <row r="2525" spans="1:33" ht="26.4">
      <c r="A2525" s="284"/>
      <c r="B2525" s="284"/>
      <c r="C2525" s="284"/>
      <c r="D2525" s="284"/>
      <c r="E2525" s="284"/>
      <c r="F2525" s="284"/>
      <c r="G2525" s="284"/>
      <c r="H2525" s="284"/>
      <c r="I2525" s="284"/>
      <c r="J2525" s="375"/>
      <c r="K2525" s="375"/>
      <c r="L2525" s="375"/>
      <c r="M2525" s="368"/>
      <c r="N2525" s="368"/>
      <c r="V2525" s="378"/>
      <c r="W2525" s="64" ph="1"/>
      <c r="X2525" s="241"/>
      <c r="Y2525" s="284"/>
      <c r="Z2525" s="207"/>
      <c r="AA2525" s="284"/>
      <c r="AB2525" s="284"/>
      <c r="AC2525" s="284"/>
      <c r="AD2525" s="284"/>
      <c r="AE2525" s="284"/>
      <c r="AF2525" s="284"/>
      <c r="AG2525" s="284"/>
    </row>
    <row r="2526" spans="1:33" ht="26.4">
      <c r="A2526" s="284"/>
      <c r="B2526" s="284"/>
      <c r="C2526" s="284"/>
      <c r="D2526" s="284"/>
      <c r="E2526" s="284"/>
      <c r="F2526" s="284"/>
      <c r="G2526" s="284"/>
      <c r="H2526" s="284"/>
      <c r="I2526" s="284"/>
      <c r="J2526" s="375"/>
      <c r="K2526" s="375"/>
      <c r="L2526" s="375"/>
      <c r="M2526" s="368"/>
      <c r="N2526" s="368"/>
      <c r="V2526" s="378"/>
      <c r="W2526" s="64" ph="1"/>
      <c r="X2526" s="241"/>
      <c r="Y2526" s="284"/>
      <c r="Z2526" s="207"/>
      <c r="AA2526" s="284"/>
      <c r="AB2526" s="284"/>
      <c r="AC2526" s="284"/>
      <c r="AD2526" s="284"/>
      <c r="AE2526" s="284"/>
      <c r="AF2526" s="284"/>
      <c r="AG2526" s="284"/>
    </row>
    <row r="2527" spans="1:33" ht="26.4">
      <c r="A2527" s="284"/>
      <c r="B2527" s="284"/>
      <c r="C2527" s="284"/>
      <c r="D2527" s="284"/>
      <c r="E2527" s="284"/>
      <c r="F2527" s="284"/>
      <c r="G2527" s="284"/>
      <c r="H2527" s="284"/>
      <c r="I2527" s="284"/>
      <c r="J2527" s="375"/>
      <c r="K2527" s="375"/>
      <c r="L2527" s="375"/>
      <c r="M2527" s="368"/>
      <c r="N2527" s="368"/>
      <c r="V2527" s="378"/>
      <c r="W2527" s="64" ph="1"/>
      <c r="X2527" s="241"/>
      <c r="Y2527" s="284"/>
      <c r="Z2527" s="207"/>
      <c r="AA2527" s="284"/>
      <c r="AB2527" s="284"/>
      <c r="AC2527" s="284"/>
      <c r="AD2527" s="284"/>
      <c r="AE2527" s="284"/>
      <c r="AF2527" s="284"/>
      <c r="AG2527" s="284"/>
    </row>
    <row r="2528" spans="1:33" ht="26.4">
      <c r="A2528" s="284"/>
      <c r="B2528" s="284"/>
      <c r="C2528" s="284"/>
      <c r="D2528" s="284"/>
      <c r="E2528" s="284"/>
      <c r="F2528" s="284"/>
      <c r="G2528" s="284"/>
      <c r="H2528" s="284"/>
      <c r="I2528" s="284"/>
      <c r="J2528" s="375"/>
      <c r="K2528" s="375"/>
      <c r="L2528" s="375"/>
      <c r="M2528" s="368"/>
      <c r="N2528" s="368"/>
      <c r="V2528" s="378"/>
      <c r="W2528" s="64" ph="1"/>
      <c r="X2528" s="241"/>
      <c r="Y2528" s="284"/>
      <c r="Z2528" s="207"/>
      <c r="AA2528" s="284"/>
      <c r="AB2528" s="284"/>
      <c r="AC2528" s="284"/>
      <c r="AD2528" s="284"/>
      <c r="AE2528" s="284"/>
      <c r="AF2528" s="284"/>
      <c r="AG2528" s="284"/>
    </row>
    <row r="2529" spans="1:33" ht="26.4">
      <c r="A2529" s="284"/>
      <c r="B2529" s="284"/>
      <c r="C2529" s="284"/>
      <c r="D2529" s="284"/>
      <c r="E2529" s="284"/>
      <c r="F2529" s="284"/>
      <c r="G2529" s="284"/>
      <c r="H2529" s="284"/>
      <c r="I2529" s="284"/>
      <c r="J2529" s="375"/>
      <c r="K2529" s="375"/>
      <c r="L2529" s="375"/>
      <c r="M2529" s="368"/>
      <c r="N2529" s="368"/>
      <c r="V2529" s="378"/>
      <c r="W2529" s="64" ph="1"/>
      <c r="X2529" s="241"/>
      <c r="Y2529" s="284"/>
      <c r="Z2529" s="207"/>
      <c r="AA2529" s="284"/>
      <c r="AB2529" s="284"/>
      <c r="AC2529" s="284"/>
      <c r="AD2529" s="284"/>
      <c r="AE2529" s="284"/>
      <c r="AF2529" s="284"/>
      <c r="AG2529" s="284"/>
    </row>
    <row r="2530" spans="1:33" ht="26.4">
      <c r="A2530" s="284"/>
      <c r="B2530" s="284"/>
      <c r="C2530" s="284"/>
      <c r="D2530" s="284"/>
      <c r="E2530" s="284"/>
      <c r="F2530" s="284"/>
      <c r="G2530" s="284"/>
      <c r="H2530" s="284"/>
      <c r="I2530" s="284"/>
      <c r="J2530" s="375"/>
      <c r="K2530" s="375"/>
      <c r="L2530" s="375"/>
      <c r="M2530" s="368"/>
      <c r="N2530" s="368"/>
      <c r="V2530" s="378"/>
      <c r="W2530" s="64" ph="1"/>
      <c r="X2530" s="241"/>
      <c r="Y2530" s="284"/>
      <c r="Z2530" s="207"/>
      <c r="AA2530" s="284"/>
      <c r="AB2530" s="284"/>
      <c r="AC2530" s="284"/>
      <c r="AD2530" s="284"/>
      <c r="AE2530" s="284"/>
      <c r="AF2530" s="284"/>
      <c r="AG2530" s="284"/>
    </row>
    <row r="2531" spans="1:33" ht="26.4">
      <c r="A2531" s="284"/>
      <c r="B2531" s="284"/>
      <c r="C2531" s="284"/>
      <c r="D2531" s="284"/>
      <c r="E2531" s="284"/>
      <c r="F2531" s="284"/>
      <c r="G2531" s="284"/>
      <c r="H2531" s="284"/>
      <c r="I2531" s="284"/>
      <c r="J2531" s="375"/>
      <c r="K2531" s="375"/>
      <c r="L2531" s="375"/>
      <c r="M2531" s="368"/>
      <c r="N2531" s="368"/>
      <c r="V2531" s="378"/>
      <c r="W2531" s="64" ph="1"/>
      <c r="X2531" s="241"/>
      <c r="Y2531" s="284"/>
      <c r="Z2531" s="207"/>
      <c r="AA2531" s="284"/>
      <c r="AB2531" s="284"/>
      <c r="AC2531" s="284"/>
      <c r="AD2531" s="284"/>
      <c r="AE2531" s="284"/>
      <c r="AF2531" s="284"/>
      <c r="AG2531" s="284"/>
    </row>
    <row r="2532" spans="1:33" ht="26.4">
      <c r="A2532" s="284"/>
      <c r="B2532" s="284"/>
      <c r="C2532" s="284"/>
      <c r="D2532" s="284"/>
      <c r="E2532" s="284"/>
      <c r="F2532" s="284"/>
      <c r="G2532" s="284"/>
      <c r="H2532" s="284"/>
      <c r="I2532" s="284"/>
      <c r="J2532" s="375"/>
      <c r="K2532" s="375"/>
      <c r="L2532" s="375"/>
      <c r="M2532" s="368"/>
      <c r="N2532" s="368"/>
      <c r="V2532" s="378"/>
      <c r="W2532" s="64" ph="1"/>
      <c r="X2532" s="241"/>
      <c r="Y2532" s="284"/>
      <c r="Z2532" s="207"/>
      <c r="AA2532" s="284"/>
      <c r="AB2532" s="284"/>
      <c r="AC2532" s="284"/>
      <c r="AD2532" s="284"/>
      <c r="AE2532" s="284"/>
      <c r="AF2532" s="284"/>
      <c r="AG2532" s="284"/>
    </row>
    <row r="2533" spans="1:33" ht="26.4">
      <c r="A2533" s="284"/>
      <c r="B2533" s="284"/>
      <c r="C2533" s="284"/>
      <c r="D2533" s="284"/>
      <c r="E2533" s="284"/>
      <c r="F2533" s="284"/>
      <c r="G2533" s="284"/>
      <c r="H2533" s="284"/>
      <c r="I2533" s="284"/>
      <c r="J2533" s="375"/>
      <c r="K2533" s="375"/>
      <c r="L2533" s="375"/>
      <c r="M2533" s="368"/>
      <c r="N2533" s="368"/>
      <c r="V2533" s="378"/>
      <c r="W2533" s="64" ph="1"/>
      <c r="X2533" s="241"/>
      <c r="Y2533" s="284"/>
      <c r="Z2533" s="207"/>
      <c r="AA2533" s="284"/>
      <c r="AB2533" s="284"/>
      <c r="AC2533" s="284"/>
      <c r="AD2533" s="284"/>
      <c r="AE2533" s="284"/>
      <c r="AF2533" s="284"/>
      <c r="AG2533" s="284"/>
    </row>
    <row r="2534" spans="1:33" ht="26.4">
      <c r="A2534" s="284"/>
      <c r="B2534" s="284"/>
      <c r="C2534" s="284"/>
      <c r="D2534" s="284"/>
      <c r="E2534" s="284"/>
      <c r="F2534" s="284"/>
      <c r="G2534" s="284"/>
      <c r="H2534" s="284"/>
      <c r="I2534" s="284"/>
      <c r="J2534" s="375"/>
      <c r="K2534" s="375"/>
      <c r="L2534" s="375"/>
      <c r="M2534" s="368"/>
      <c r="N2534" s="368"/>
      <c r="V2534" s="378"/>
      <c r="W2534" s="64" ph="1"/>
      <c r="X2534" s="241"/>
      <c r="Y2534" s="284"/>
      <c r="Z2534" s="207"/>
      <c r="AA2534" s="284"/>
      <c r="AB2534" s="284"/>
      <c r="AC2534" s="284"/>
      <c r="AD2534" s="284"/>
      <c r="AE2534" s="284"/>
      <c r="AF2534" s="284"/>
      <c r="AG2534" s="284"/>
    </row>
    <row r="2535" spans="1:33" ht="26.4">
      <c r="A2535" s="284"/>
      <c r="B2535" s="284"/>
      <c r="C2535" s="284"/>
      <c r="D2535" s="284"/>
      <c r="E2535" s="284"/>
      <c r="F2535" s="284"/>
      <c r="G2535" s="284"/>
      <c r="H2535" s="284"/>
      <c r="I2535" s="284"/>
      <c r="J2535" s="375"/>
      <c r="K2535" s="375"/>
      <c r="L2535" s="375"/>
      <c r="M2535" s="368"/>
      <c r="N2535" s="368"/>
      <c r="V2535" s="378"/>
      <c r="W2535" s="64" ph="1"/>
      <c r="X2535" s="241"/>
      <c r="Y2535" s="284"/>
      <c r="Z2535" s="207"/>
      <c r="AA2535" s="284"/>
      <c r="AB2535" s="284"/>
      <c r="AC2535" s="284"/>
      <c r="AD2535" s="284"/>
      <c r="AE2535" s="284"/>
      <c r="AF2535" s="284"/>
      <c r="AG2535" s="284"/>
    </row>
    <row r="2536" spans="1:33" ht="26.4">
      <c r="A2536" s="284"/>
      <c r="B2536" s="284"/>
      <c r="C2536" s="284"/>
      <c r="D2536" s="284"/>
      <c r="E2536" s="284"/>
      <c r="F2536" s="284"/>
      <c r="G2536" s="284"/>
      <c r="H2536" s="284"/>
      <c r="I2536" s="284"/>
      <c r="J2536" s="375"/>
      <c r="K2536" s="375"/>
      <c r="L2536" s="375"/>
      <c r="M2536" s="368"/>
      <c r="N2536" s="368"/>
      <c r="V2536" s="378"/>
      <c r="W2536" s="64" ph="1"/>
      <c r="X2536" s="241"/>
      <c r="Y2536" s="284"/>
      <c r="Z2536" s="207"/>
      <c r="AA2536" s="284"/>
      <c r="AB2536" s="284"/>
      <c r="AC2536" s="284"/>
      <c r="AD2536" s="284"/>
      <c r="AE2536" s="284"/>
      <c r="AF2536" s="284"/>
      <c r="AG2536" s="284"/>
    </row>
    <row r="2537" spans="1:33" ht="26.4">
      <c r="A2537" s="284"/>
      <c r="B2537" s="284"/>
      <c r="C2537" s="284"/>
      <c r="D2537" s="284"/>
      <c r="E2537" s="284"/>
      <c r="F2537" s="284"/>
      <c r="G2537" s="284"/>
      <c r="H2537" s="284"/>
      <c r="I2537" s="284"/>
      <c r="J2537" s="375"/>
      <c r="K2537" s="375"/>
      <c r="L2537" s="375"/>
      <c r="M2537" s="368"/>
      <c r="N2537" s="368"/>
      <c r="V2537" s="378"/>
      <c r="W2537" s="64" ph="1"/>
      <c r="X2537" s="241"/>
      <c r="Y2537" s="284"/>
      <c r="Z2537" s="207"/>
      <c r="AA2537" s="284"/>
      <c r="AB2537" s="284"/>
      <c r="AC2537" s="284"/>
      <c r="AD2537" s="284"/>
      <c r="AE2537" s="284"/>
      <c r="AF2537" s="284"/>
      <c r="AG2537" s="284"/>
    </row>
    <row r="2538" spans="1:33" ht="26.4">
      <c r="A2538" s="284"/>
      <c r="B2538" s="284"/>
      <c r="C2538" s="284"/>
      <c r="D2538" s="284"/>
      <c r="E2538" s="284"/>
      <c r="F2538" s="284"/>
      <c r="G2538" s="284"/>
      <c r="H2538" s="284"/>
      <c r="I2538" s="284"/>
      <c r="J2538" s="375"/>
      <c r="K2538" s="375"/>
      <c r="L2538" s="375"/>
      <c r="M2538" s="368"/>
      <c r="N2538" s="368"/>
      <c r="V2538" s="378"/>
      <c r="W2538" s="64" ph="1"/>
      <c r="X2538" s="241"/>
      <c r="Y2538" s="284"/>
      <c r="Z2538" s="207"/>
      <c r="AA2538" s="284"/>
      <c r="AB2538" s="284"/>
      <c r="AC2538" s="284"/>
      <c r="AD2538" s="284"/>
      <c r="AE2538" s="284"/>
      <c r="AF2538" s="284"/>
      <c r="AG2538" s="284"/>
    </row>
    <row r="2539" spans="1:33" ht="26.4">
      <c r="A2539" s="284"/>
      <c r="B2539" s="284"/>
      <c r="C2539" s="284"/>
      <c r="D2539" s="284"/>
      <c r="E2539" s="284"/>
      <c r="F2539" s="284"/>
      <c r="G2539" s="284"/>
      <c r="H2539" s="284"/>
      <c r="I2539" s="284"/>
      <c r="J2539" s="375"/>
      <c r="K2539" s="375"/>
      <c r="L2539" s="375"/>
      <c r="M2539" s="368"/>
      <c r="N2539" s="368"/>
      <c r="V2539" s="378"/>
      <c r="W2539" s="64" ph="1"/>
      <c r="X2539" s="241"/>
      <c r="Y2539" s="284"/>
      <c r="Z2539" s="207"/>
      <c r="AA2539" s="284"/>
      <c r="AB2539" s="284"/>
      <c r="AC2539" s="284"/>
      <c r="AD2539" s="284"/>
      <c r="AE2539" s="284"/>
      <c r="AF2539" s="284"/>
      <c r="AG2539" s="284"/>
    </row>
    <row r="2540" spans="1:33" ht="26.4">
      <c r="A2540" s="284"/>
      <c r="B2540" s="284"/>
      <c r="C2540" s="284"/>
      <c r="D2540" s="284"/>
      <c r="E2540" s="284"/>
      <c r="F2540" s="284"/>
      <c r="G2540" s="284"/>
      <c r="H2540" s="284"/>
      <c r="I2540" s="284"/>
      <c r="J2540" s="375"/>
      <c r="K2540" s="375"/>
      <c r="L2540" s="375"/>
      <c r="M2540" s="368"/>
      <c r="N2540" s="368"/>
      <c r="V2540" s="378"/>
      <c r="W2540" s="64" ph="1"/>
      <c r="X2540" s="241"/>
      <c r="Y2540" s="284"/>
      <c r="Z2540" s="207"/>
      <c r="AA2540" s="284"/>
      <c r="AB2540" s="284"/>
      <c r="AC2540" s="284"/>
      <c r="AD2540" s="284"/>
      <c r="AE2540" s="284"/>
      <c r="AF2540" s="284"/>
      <c r="AG2540" s="284"/>
    </row>
    <row r="2541" spans="1:33" ht="26.4">
      <c r="A2541" s="284"/>
      <c r="B2541" s="284"/>
      <c r="C2541" s="284"/>
      <c r="D2541" s="284"/>
      <c r="E2541" s="284"/>
      <c r="F2541" s="284"/>
      <c r="G2541" s="284"/>
      <c r="H2541" s="284"/>
      <c r="I2541" s="284"/>
      <c r="J2541" s="375"/>
      <c r="K2541" s="375"/>
      <c r="L2541" s="375"/>
      <c r="M2541" s="368"/>
      <c r="N2541" s="368"/>
      <c r="V2541" s="378"/>
      <c r="W2541" s="64" ph="1"/>
      <c r="X2541" s="241"/>
      <c r="Y2541" s="284"/>
      <c r="Z2541" s="207"/>
      <c r="AA2541" s="284"/>
      <c r="AB2541" s="284"/>
      <c r="AC2541" s="284"/>
      <c r="AD2541" s="284"/>
      <c r="AE2541" s="284"/>
      <c r="AF2541" s="284"/>
      <c r="AG2541" s="284"/>
    </row>
    <row r="2542" spans="1:33" ht="26.4">
      <c r="A2542" s="284"/>
      <c r="B2542" s="284"/>
      <c r="C2542" s="284"/>
      <c r="D2542" s="284"/>
      <c r="E2542" s="284"/>
      <c r="F2542" s="284"/>
      <c r="G2542" s="284"/>
      <c r="H2542" s="284"/>
      <c r="I2542" s="284"/>
      <c r="J2542" s="375"/>
      <c r="K2542" s="375"/>
      <c r="L2542" s="375"/>
      <c r="M2542" s="368"/>
      <c r="N2542" s="368"/>
      <c r="V2542" s="378"/>
      <c r="W2542" s="64" ph="1"/>
      <c r="X2542" s="241"/>
      <c r="Y2542" s="284"/>
      <c r="Z2542" s="207"/>
      <c r="AA2542" s="284"/>
      <c r="AB2542" s="284"/>
      <c r="AC2542" s="284"/>
      <c r="AD2542" s="284"/>
      <c r="AE2542" s="284"/>
      <c r="AF2542" s="284"/>
      <c r="AG2542" s="284"/>
    </row>
    <row r="2543" spans="1:33" ht="26.4">
      <c r="A2543" s="284"/>
      <c r="B2543" s="284"/>
      <c r="C2543" s="284"/>
      <c r="D2543" s="284"/>
      <c r="E2543" s="284"/>
      <c r="F2543" s="284"/>
      <c r="G2543" s="284"/>
      <c r="H2543" s="284"/>
      <c r="I2543" s="284"/>
      <c r="J2543" s="375"/>
      <c r="K2543" s="375"/>
      <c r="L2543" s="375"/>
      <c r="M2543" s="368"/>
      <c r="N2543" s="368"/>
      <c r="V2543" s="378"/>
      <c r="W2543" s="64" ph="1"/>
      <c r="X2543" s="241"/>
      <c r="Y2543" s="284"/>
      <c r="Z2543" s="207"/>
      <c r="AA2543" s="284"/>
      <c r="AB2543" s="284"/>
      <c r="AC2543" s="284"/>
      <c r="AD2543" s="284"/>
      <c r="AE2543" s="284"/>
      <c r="AF2543" s="284"/>
      <c r="AG2543" s="284"/>
    </row>
    <row r="2544" spans="1:33" ht="26.4">
      <c r="A2544" s="284"/>
      <c r="B2544" s="284"/>
      <c r="C2544" s="284"/>
      <c r="D2544" s="284"/>
      <c r="E2544" s="284"/>
      <c r="F2544" s="284"/>
      <c r="G2544" s="284"/>
      <c r="H2544" s="284"/>
      <c r="I2544" s="284"/>
      <c r="J2544" s="375"/>
      <c r="K2544" s="375"/>
      <c r="L2544" s="375"/>
      <c r="M2544" s="368"/>
      <c r="N2544" s="368"/>
      <c r="V2544" s="378"/>
      <c r="W2544" s="64" ph="1"/>
      <c r="X2544" s="241"/>
      <c r="Y2544" s="284"/>
      <c r="Z2544" s="207"/>
      <c r="AA2544" s="284"/>
      <c r="AB2544" s="284"/>
      <c r="AC2544" s="284"/>
      <c r="AD2544" s="284"/>
      <c r="AE2544" s="284"/>
      <c r="AF2544" s="284"/>
      <c r="AG2544" s="284"/>
    </row>
    <row r="2545" spans="1:33" ht="26.4">
      <c r="A2545" s="284"/>
      <c r="B2545" s="284"/>
      <c r="C2545" s="284"/>
      <c r="D2545" s="284"/>
      <c r="E2545" s="284"/>
      <c r="F2545" s="284"/>
      <c r="G2545" s="284"/>
      <c r="H2545" s="284"/>
      <c r="I2545" s="284"/>
      <c r="J2545" s="375"/>
      <c r="K2545" s="375"/>
      <c r="L2545" s="375"/>
      <c r="M2545" s="368"/>
      <c r="N2545" s="368"/>
      <c r="V2545" s="378"/>
      <c r="W2545" s="64" ph="1"/>
      <c r="X2545" s="241"/>
      <c r="Y2545" s="284"/>
      <c r="Z2545" s="207"/>
      <c r="AA2545" s="284"/>
      <c r="AB2545" s="284"/>
      <c r="AC2545" s="284"/>
      <c r="AD2545" s="284"/>
      <c r="AE2545" s="284"/>
      <c r="AF2545" s="284"/>
      <c r="AG2545" s="284"/>
    </row>
    <row r="2546" spans="1:33" ht="26.4">
      <c r="A2546" s="284"/>
      <c r="B2546" s="284"/>
      <c r="C2546" s="284"/>
      <c r="D2546" s="284"/>
      <c r="E2546" s="284"/>
      <c r="F2546" s="284"/>
      <c r="G2546" s="284"/>
      <c r="H2546" s="284"/>
      <c r="I2546" s="284"/>
      <c r="J2546" s="375"/>
      <c r="K2546" s="375"/>
      <c r="L2546" s="375"/>
      <c r="M2546" s="368"/>
      <c r="N2546" s="368"/>
      <c r="V2546" s="378"/>
      <c r="W2546" s="64" ph="1"/>
      <c r="X2546" s="241"/>
      <c r="Y2546" s="284"/>
      <c r="Z2546" s="207"/>
      <c r="AA2546" s="284"/>
      <c r="AB2546" s="284"/>
      <c r="AC2546" s="284"/>
      <c r="AD2546" s="284"/>
      <c r="AE2546" s="284"/>
      <c r="AF2546" s="284"/>
      <c r="AG2546" s="284"/>
    </row>
    <row r="2547" spans="1:33" ht="26.4">
      <c r="A2547" s="284"/>
      <c r="B2547" s="284"/>
      <c r="C2547" s="284"/>
      <c r="D2547" s="284"/>
      <c r="E2547" s="284"/>
      <c r="F2547" s="284"/>
      <c r="G2547" s="284"/>
      <c r="H2547" s="284"/>
      <c r="I2547" s="284"/>
      <c r="J2547" s="375"/>
      <c r="K2547" s="375"/>
      <c r="L2547" s="375"/>
      <c r="M2547" s="368"/>
      <c r="N2547" s="368"/>
      <c r="V2547" s="378"/>
      <c r="W2547" s="64" ph="1"/>
      <c r="X2547" s="241"/>
      <c r="Y2547" s="284"/>
      <c r="Z2547" s="207"/>
      <c r="AA2547" s="284"/>
      <c r="AB2547" s="284"/>
      <c r="AC2547" s="284"/>
      <c r="AD2547" s="284"/>
      <c r="AE2547" s="284"/>
      <c r="AF2547" s="284"/>
      <c r="AG2547" s="284"/>
    </row>
    <row r="2548" spans="1:33" ht="26.4">
      <c r="A2548" s="284"/>
      <c r="B2548" s="284"/>
      <c r="C2548" s="284"/>
      <c r="D2548" s="284"/>
      <c r="E2548" s="284"/>
      <c r="F2548" s="284"/>
      <c r="G2548" s="284"/>
      <c r="H2548" s="284"/>
      <c r="I2548" s="284"/>
      <c r="J2548" s="375"/>
      <c r="K2548" s="375"/>
      <c r="L2548" s="375"/>
      <c r="M2548" s="368"/>
      <c r="N2548" s="368"/>
      <c r="V2548" s="378"/>
      <c r="W2548" s="64" ph="1"/>
      <c r="X2548" s="241"/>
      <c r="Y2548" s="284"/>
      <c r="Z2548" s="207"/>
      <c r="AA2548" s="284"/>
      <c r="AB2548" s="284"/>
      <c r="AC2548" s="284"/>
      <c r="AD2548" s="284"/>
      <c r="AE2548" s="284"/>
      <c r="AF2548" s="284"/>
      <c r="AG2548" s="284"/>
    </row>
    <row r="2549" spans="1:33" ht="26.4">
      <c r="A2549" s="284"/>
      <c r="B2549" s="284"/>
      <c r="C2549" s="284"/>
      <c r="D2549" s="284"/>
      <c r="E2549" s="284"/>
      <c r="F2549" s="284"/>
      <c r="G2549" s="284"/>
      <c r="H2549" s="284"/>
      <c r="I2549" s="284"/>
      <c r="J2549" s="375"/>
      <c r="K2549" s="375"/>
      <c r="L2549" s="375"/>
      <c r="M2549" s="368"/>
      <c r="N2549" s="368"/>
      <c r="V2549" s="378"/>
      <c r="W2549" s="64" ph="1"/>
      <c r="X2549" s="241"/>
      <c r="Y2549" s="284"/>
      <c r="Z2549" s="207"/>
      <c r="AA2549" s="284"/>
      <c r="AB2549" s="284"/>
      <c r="AC2549" s="284"/>
      <c r="AD2549" s="284"/>
      <c r="AE2549" s="284"/>
      <c r="AF2549" s="284"/>
      <c r="AG2549" s="284"/>
    </row>
    <row r="2550" spans="1:33" ht="26.4">
      <c r="A2550" s="284"/>
      <c r="B2550" s="284"/>
      <c r="C2550" s="284"/>
      <c r="D2550" s="284"/>
      <c r="E2550" s="284"/>
      <c r="F2550" s="284"/>
      <c r="G2550" s="284"/>
      <c r="H2550" s="284"/>
      <c r="I2550" s="284"/>
      <c r="J2550" s="375"/>
      <c r="K2550" s="375"/>
      <c r="L2550" s="375"/>
      <c r="M2550" s="368"/>
      <c r="N2550" s="368"/>
      <c r="V2550" s="378"/>
      <c r="W2550" s="64" ph="1"/>
      <c r="X2550" s="241"/>
      <c r="Y2550" s="284"/>
      <c r="Z2550" s="207"/>
      <c r="AA2550" s="284"/>
      <c r="AB2550" s="284"/>
      <c r="AC2550" s="284"/>
      <c r="AD2550" s="284"/>
      <c r="AE2550" s="284"/>
      <c r="AF2550" s="284"/>
      <c r="AG2550" s="284"/>
    </row>
    <row r="2551" spans="1:33" ht="26.4">
      <c r="A2551" s="284"/>
      <c r="B2551" s="284"/>
      <c r="C2551" s="284"/>
      <c r="D2551" s="284"/>
      <c r="E2551" s="284"/>
      <c r="F2551" s="284"/>
      <c r="G2551" s="284"/>
      <c r="H2551" s="284"/>
      <c r="I2551" s="284"/>
      <c r="J2551" s="375"/>
      <c r="K2551" s="375"/>
      <c r="L2551" s="375"/>
      <c r="M2551" s="368"/>
      <c r="N2551" s="368"/>
      <c r="V2551" s="378"/>
      <c r="W2551" s="64" ph="1"/>
      <c r="X2551" s="241"/>
      <c r="Y2551" s="284"/>
      <c r="Z2551" s="207"/>
      <c r="AA2551" s="284"/>
      <c r="AB2551" s="284"/>
      <c r="AC2551" s="284"/>
      <c r="AD2551" s="284"/>
      <c r="AE2551" s="284"/>
      <c r="AF2551" s="284"/>
      <c r="AG2551" s="284"/>
    </row>
    <row r="2552" spans="1:33" ht="26.4">
      <c r="A2552" s="284"/>
      <c r="B2552" s="284"/>
      <c r="C2552" s="284"/>
      <c r="D2552" s="284"/>
      <c r="E2552" s="284"/>
      <c r="F2552" s="284"/>
      <c r="G2552" s="284"/>
      <c r="H2552" s="284"/>
      <c r="I2552" s="284"/>
      <c r="J2552" s="375"/>
      <c r="K2552" s="375"/>
      <c r="L2552" s="375"/>
      <c r="M2552" s="368"/>
      <c r="N2552" s="368"/>
      <c r="V2552" s="378"/>
      <c r="W2552" s="64" ph="1"/>
      <c r="X2552" s="241"/>
      <c r="Y2552" s="284"/>
      <c r="Z2552" s="207"/>
      <c r="AA2552" s="284"/>
      <c r="AB2552" s="284"/>
      <c r="AC2552" s="284"/>
      <c r="AD2552" s="284"/>
      <c r="AE2552" s="284"/>
      <c r="AF2552" s="284"/>
      <c r="AG2552" s="284"/>
    </row>
    <row r="2553" spans="1:33" ht="26.4">
      <c r="A2553" s="284"/>
      <c r="B2553" s="284"/>
      <c r="C2553" s="284"/>
      <c r="D2553" s="284"/>
      <c r="E2553" s="284"/>
      <c r="F2553" s="284"/>
      <c r="G2553" s="284"/>
      <c r="H2553" s="284"/>
      <c r="I2553" s="284"/>
      <c r="J2553" s="375"/>
      <c r="K2553" s="375"/>
      <c r="L2553" s="375"/>
      <c r="M2553" s="368"/>
      <c r="N2553" s="368"/>
      <c r="V2553" s="378"/>
      <c r="W2553" s="64" ph="1"/>
      <c r="X2553" s="241"/>
      <c r="Y2553" s="284"/>
      <c r="Z2553" s="207"/>
      <c r="AA2553" s="284"/>
      <c r="AB2553" s="284"/>
      <c r="AC2553" s="284"/>
      <c r="AD2553" s="284"/>
      <c r="AE2553" s="284"/>
      <c r="AF2553" s="284"/>
      <c r="AG2553" s="284"/>
    </row>
    <row r="2554" spans="1:33" ht="26.4">
      <c r="A2554" s="284"/>
      <c r="B2554" s="284"/>
      <c r="C2554" s="284"/>
      <c r="D2554" s="284"/>
      <c r="E2554" s="284"/>
      <c r="F2554" s="284"/>
      <c r="G2554" s="284"/>
      <c r="H2554" s="284"/>
      <c r="I2554" s="284"/>
      <c r="J2554" s="375"/>
      <c r="K2554" s="375"/>
      <c r="L2554" s="375"/>
      <c r="M2554" s="368"/>
      <c r="N2554" s="368"/>
      <c r="V2554" s="378"/>
      <c r="W2554" s="64" ph="1"/>
      <c r="X2554" s="241"/>
      <c r="Y2554" s="284"/>
      <c r="Z2554" s="207"/>
      <c r="AA2554" s="284"/>
      <c r="AB2554" s="284"/>
      <c r="AC2554" s="284"/>
      <c r="AD2554" s="284"/>
      <c r="AE2554" s="284"/>
      <c r="AF2554" s="284"/>
      <c r="AG2554" s="284"/>
    </row>
    <row r="2555" spans="1:33" ht="26.4">
      <c r="A2555" s="284"/>
      <c r="B2555" s="284"/>
      <c r="C2555" s="284"/>
      <c r="D2555" s="284"/>
      <c r="E2555" s="284"/>
      <c r="F2555" s="284"/>
      <c r="G2555" s="284"/>
      <c r="H2555" s="284"/>
      <c r="I2555" s="284"/>
      <c r="J2555" s="375"/>
      <c r="K2555" s="375"/>
      <c r="L2555" s="375"/>
      <c r="M2555" s="368"/>
      <c r="N2555" s="368"/>
      <c r="V2555" s="378"/>
      <c r="W2555" s="64" ph="1"/>
      <c r="X2555" s="241"/>
      <c r="Y2555" s="284"/>
      <c r="Z2555" s="207"/>
      <c r="AA2555" s="284"/>
      <c r="AB2555" s="284"/>
      <c r="AC2555" s="284"/>
      <c r="AD2555" s="284"/>
      <c r="AE2555" s="284"/>
      <c r="AF2555" s="284"/>
      <c r="AG2555" s="284"/>
    </row>
    <row r="2556" spans="1:33" ht="26.4">
      <c r="A2556" s="284"/>
      <c r="B2556" s="284"/>
      <c r="C2556" s="284"/>
      <c r="D2556" s="284"/>
      <c r="E2556" s="284"/>
      <c r="F2556" s="284"/>
      <c r="G2556" s="284"/>
      <c r="H2556" s="284"/>
      <c r="I2556" s="284"/>
      <c r="J2556" s="375"/>
      <c r="K2556" s="375"/>
      <c r="L2556" s="375"/>
      <c r="M2556" s="368"/>
      <c r="N2556" s="368"/>
      <c r="V2556" s="378"/>
      <c r="W2556" s="64" ph="1"/>
      <c r="X2556" s="241"/>
      <c r="Y2556" s="284"/>
      <c r="Z2556" s="207"/>
      <c r="AA2556" s="284"/>
      <c r="AB2556" s="284"/>
      <c r="AC2556" s="284"/>
      <c r="AD2556" s="284"/>
      <c r="AE2556" s="284"/>
      <c r="AF2556" s="284"/>
      <c r="AG2556" s="284"/>
    </row>
    <row r="2557" spans="1:33" ht="26.4">
      <c r="A2557" s="284"/>
      <c r="B2557" s="284"/>
      <c r="C2557" s="284"/>
      <c r="D2557" s="284"/>
      <c r="E2557" s="284"/>
      <c r="F2557" s="284"/>
      <c r="G2557" s="284"/>
      <c r="H2557" s="284"/>
      <c r="I2557" s="284"/>
      <c r="J2557" s="375"/>
      <c r="K2557" s="375"/>
      <c r="L2557" s="375"/>
      <c r="M2557" s="368"/>
      <c r="N2557" s="368"/>
      <c r="V2557" s="378"/>
      <c r="W2557" s="64" ph="1"/>
      <c r="X2557" s="241"/>
      <c r="Y2557" s="284"/>
      <c r="Z2557" s="207"/>
      <c r="AA2557" s="284"/>
      <c r="AB2557" s="284"/>
      <c r="AC2557" s="284"/>
      <c r="AD2557" s="284"/>
      <c r="AE2557" s="284"/>
      <c r="AF2557" s="284"/>
      <c r="AG2557" s="284"/>
    </row>
    <row r="2558" spans="1:33" ht="26.4">
      <c r="A2558" s="284"/>
      <c r="B2558" s="284"/>
      <c r="C2558" s="284"/>
      <c r="D2558" s="284"/>
      <c r="E2558" s="284"/>
      <c r="F2558" s="284"/>
      <c r="G2558" s="284"/>
      <c r="H2558" s="284"/>
      <c r="I2558" s="284"/>
      <c r="J2558" s="375"/>
      <c r="K2558" s="375"/>
      <c r="L2558" s="375"/>
      <c r="M2558" s="368"/>
      <c r="N2558" s="368"/>
      <c r="V2558" s="378"/>
      <c r="W2558" s="64" ph="1"/>
      <c r="X2558" s="241"/>
      <c r="Y2558" s="284"/>
      <c r="Z2558" s="207"/>
      <c r="AA2558" s="284"/>
      <c r="AB2558" s="284"/>
      <c r="AC2558" s="284"/>
      <c r="AD2558" s="284"/>
      <c r="AE2558" s="284"/>
      <c r="AF2558" s="284"/>
      <c r="AG2558" s="284"/>
    </row>
    <row r="2559" spans="1:33" ht="26.4">
      <c r="A2559" s="284"/>
      <c r="B2559" s="284"/>
      <c r="C2559" s="284"/>
      <c r="D2559" s="284"/>
      <c r="E2559" s="284"/>
      <c r="F2559" s="284"/>
      <c r="G2559" s="284"/>
      <c r="H2559" s="284"/>
      <c r="I2559" s="284"/>
      <c r="J2559" s="375"/>
      <c r="K2559" s="375"/>
      <c r="L2559" s="375"/>
      <c r="M2559" s="368"/>
      <c r="N2559" s="368"/>
      <c r="V2559" s="378"/>
      <c r="W2559" s="64" ph="1"/>
      <c r="X2559" s="241"/>
      <c r="Y2559" s="284"/>
      <c r="Z2559" s="207"/>
      <c r="AA2559" s="284"/>
      <c r="AB2559" s="284"/>
      <c r="AC2559" s="284"/>
      <c r="AD2559" s="284"/>
      <c r="AE2559" s="284"/>
      <c r="AF2559" s="284"/>
      <c r="AG2559" s="284"/>
    </row>
    <row r="2560" spans="1:33" ht="26.4">
      <c r="A2560" s="284"/>
      <c r="B2560" s="284"/>
      <c r="C2560" s="284"/>
      <c r="D2560" s="284"/>
      <c r="E2560" s="284"/>
      <c r="F2560" s="284"/>
      <c r="G2560" s="284"/>
      <c r="H2560" s="284"/>
      <c r="I2560" s="284"/>
      <c r="J2560" s="375"/>
      <c r="K2560" s="375"/>
      <c r="L2560" s="375"/>
      <c r="M2560" s="368"/>
      <c r="N2560" s="368"/>
      <c r="V2560" s="378"/>
      <c r="W2560" s="64" ph="1"/>
      <c r="X2560" s="241"/>
      <c r="Y2560" s="284"/>
      <c r="Z2560" s="207"/>
      <c r="AA2560" s="284"/>
      <c r="AB2560" s="284"/>
      <c r="AC2560" s="284"/>
      <c r="AD2560" s="284"/>
      <c r="AE2560" s="284"/>
      <c r="AF2560" s="284"/>
      <c r="AG2560" s="284"/>
    </row>
    <row r="2561" spans="1:33" ht="26.4">
      <c r="A2561" s="284"/>
      <c r="B2561" s="284"/>
      <c r="C2561" s="284"/>
      <c r="D2561" s="284"/>
      <c r="E2561" s="284"/>
      <c r="F2561" s="284"/>
      <c r="G2561" s="284"/>
      <c r="H2561" s="284"/>
      <c r="I2561" s="284"/>
      <c r="J2561" s="375"/>
      <c r="K2561" s="375"/>
      <c r="L2561" s="375"/>
      <c r="M2561" s="368"/>
      <c r="N2561" s="368"/>
      <c r="V2561" s="378"/>
      <c r="W2561" s="64" ph="1"/>
      <c r="X2561" s="241"/>
      <c r="Y2561" s="284"/>
      <c r="Z2561" s="207"/>
      <c r="AA2561" s="284"/>
      <c r="AB2561" s="284"/>
      <c r="AC2561" s="284"/>
      <c r="AD2561" s="284"/>
      <c r="AE2561" s="284"/>
      <c r="AF2561" s="284"/>
      <c r="AG2561" s="284"/>
    </row>
    <row r="2562" spans="1:33" ht="26.4">
      <c r="A2562" s="284"/>
      <c r="B2562" s="284"/>
      <c r="C2562" s="284"/>
      <c r="D2562" s="284"/>
      <c r="E2562" s="284"/>
      <c r="F2562" s="284"/>
      <c r="G2562" s="284"/>
      <c r="H2562" s="284"/>
      <c r="I2562" s="284"/>
      <c r="J2562" s="375"/>
      <c r="K2562" s="375"/>
      <c r="L2562" s="375"/>
      <c r="M2562" s="368"/>
      <c r="N2562" s="368"/>
      <c r="V2562" s="378"/>
      <c r="W2562" s="64" ph="1"/>
      <c r="X2562" s="241"/>
      <c r="Y2562" s="284"/>
      <c r="Z2562" s="207"/>
      <c r="AA2562" s="284"/>
      <c r="AB2562" s="284"/>
      <c r="AC2562" s="284"/>
      <c r="AD2562" s="284"/>
      <c r="AE2562" s="284"/>
      <c r="AF2562" s="284"/>
      <c r="AG2562" s="284"/>
    </row>
    <row r="2563" spans="1:33" ht="26.4">
      <c r="A2563" s="284"/>
      <c r="B2563" s="284"/>
      <c r="C2563" s="284"/>
      <c r="D2563" s="284"/>
      <c r="E2563" s="284"/>
      <c r="F2563" s="284"/>
      <c r="G2563" s="284"/>
      <c r="H2563" s="284"/>
      <c r="I2563" s="284"/>
      <c r="J2563" s="375"/>
      <c r="K2563" s="375"/>
      <c r="L2563" s="375"/>
      <c r="M2563" s="368"/>
      <c r="N2563" s="368"/>
      <c r="V2563" s="378"/>
      <c r="W2563" s="64" ph="1"/>
      <c r="X2563" s="241"/>
      <c r="Y2563" s="284"/>
      <c r="Z2563" s="207"/>
      <c r="AA2563" s="284"/>
      <c r="AB2563" s="284"/>
      <c r="AC2563" s="284"/>
      <c r="AD2563" s="284"/>
      <c r="AE2563" s="284"/>
      <c r="AF2563" s="284"/>
      <c r="AG2563" s="284"/>
    </row>
    <row r="2564" spans="1:33" ht="26.4">
      <c r="A2564" s="284"/>
      <c r="B2564" s="284"/>
      <c r="C2564" s="284"/>
      <c r="D2564" s="284"/>
      <c r="E2564" s="284"/>
      <c r="F2564" s="284"/>
      <c r="G2564" s="284"/>
      <c r="H2564" s="284"/>
      <c r="I2564" s="284"/>
      <c r="J2564" s="375"/>
      <c r="K2564" s="375"/>
      <c r="L2564" s="375"/>
      <c r="M2564" s="368"/>
      <c r="N2564" s="368"/>
      <c r="V2564" s="378"/>
      <c r="W2564" s="64" ph="1"/>
      <c r="X2564" s="241"/>
      <c r="Y2564" s="284"/>
      <c r="Z2564" s="207"/>
      <c r="AA2564" s="284"/>
      <c r="AB2564" s="284"/>
      <c r="AC2564" s="284"/>
      <c r="AD2564" s="284"/>
      <c r="AE2564" s="284"/>
      <c r="AF2564" s="284"/>
      <c r="AG2564" s="284"/>
    </row>
    <row r="2565" spans="1:33" ht="26.4">
      <c r="A2565" s="284"/>
      <c r="B2565" s="284"/>
      <c r="C2565" s="284"/>
      <c r="D2565" s="284"/>
      <c r="E2565" s="284"/>
      <c r="F2565" s="284"/>
      <c r="G2565" s="284"/>
      <c r="H2565" s="284"/>
      <c r="I2565" s="284"/>
      <c r="J2565" s="375"/>
      <c r="K2565" s="375"/>
      <c r="L2565" s="375"/>
      <c r="M2565" s="368"/>
      <c r="N2565" s="368"/>
      <c r="V2565" s="378"/>
      <c r="W2565" s="64" ph="1"/>
      <c r="X2565" s="241"/>
      <c r="Y2565" s="284"/>
      <c r="Z2565" s="207"/>
      <c r="AA2565" s="284"/>
      <c r="AB2565" s="284"/>
      <c r="AC2565" s="284"/>
      <c r="AD2565" s="284"/>
      <c r="AE2565" s="284"/>
      <c r="AF2565" s="284"/>
      <c r="AG2565" s="284"/>
    </row>
    <row r="2566" spans="1:33" ht="26.4">
      <c r="A2566" s="284"/>
      <c r="B2566" s="284"/>
      <c r="C2566" s="284"/>
      <c r="D2566" s="284"/>
      <c r="E2566" s="284"/>
      <c r="F2566" s="284"/>
      <c r="G2566" s="284"/>
      <c r="H2566" s="284"/>
      <c r="I2566" s="284"/>
      <c r="J2566" s="375"/>
      <c r="K2566" s="375"/>
      <c r="L2566" s="375"/>
      <c r="M2566" s="368"/>
      <c r="N2566" s="368"/>
      <c r="V2566" s="378"/>
      <c r="W2566" s="64" ph="1"/>
      <c r="X2566" s="241"/>
      <c r="Y2566" s="284"/>
      <c r="Z2566" s="207"/>
      <c r="AA2566" s="284"/>
      <c r="AB2566" s="284"/>
      <c r="AC2566" s="284"/>
      <c r="AD2566" s="284"/>
      <c r="AE2566" s="284"/>
      <c r="AF2566" s="284"/>
      <c r="AG2566" s="284"/>
    </row>
    <row r="2567" spans="1:33" ht="26.4">
      <c r="A2567" s="284"/>
      <c r="B2567" s="284"/>
      <c r="C2567" s="284"/>
      <c r="D2567" s="284"/>
      <c r="E2567" s="284"/>
      <c r="F2567" s="284"/>
      <c r="G2567" s="284"/>
      <c r="H2567" s="284"/>
      <c r="I2567" s="284"/>
      <c r="J2567" s="375"/>
      <c r="K2567" s="375"/>
      <c r="L2567" s="375"/>
      <c r="M2567" s="368"/>
      <c r="N2567" s="368"/>
      <c r="V2567" s="378"/>
      <c r="W2567" s="64" ph="1"/>
      <c r="X2567" s="241"/>
      <c r="Y2567" s="284"/>
      <c r="Z2567" s="207"/>
      <c r="AA2567" s="284"/>
      <c r="AB2567" s="284"/>
      <c r="AC2567" s="284"/>
      <c r="AD2567" s="284"/>
      <c r="AE2567" s="284"/>
      <c r="AF2567" s="284"/>
      <c r="AG2567" s="284"/>
    </row>
    <row r="2568" spans="1:33" ht="26.4">
      <c r="A2568" s="284"/>
      <c r="B2568" s="284"/>
      <c r="C2568" s="284"/>
      <c r="D2568" s="284"/>
      <c r="E2568" s="284"/>
      <c r="F2568" s="284"/>
      <c r="G2568" s="284"/>
      <c r="H2568" s="284"/>
      <c r="I2568" s="284"/>
      <c r="J2568" s="375"/>
      <c r="K2568" s="375"/>
      <c r="L2568" s="375"/>
      <c r="M2568" s="368"/>
      <c r="N2568" s="368"/>
      <c r="V2568" s="378"/>
      <c r="W2568" s="64" ph="1"/>
      <c r="X2568" s="241"/>
      <c r="Y2568" s="284"/>
      <c r="Z2568" s="207"/>
      <c r="AA2568" s="284"/>
      <c r="AB2568" s="284"/>
      <c r="AC2568" s="284"/>
      <c r="AD2568" s="284"/>
      <c r="AE2568" s="284"/>
      <c r="AF2568" s="284"/>
      <c r="AG2568" s="284"/>
    </row>
    <row r="2569" spans="1:33" ht="26.4">
      <c r="A2569" s="284"/>
      <c r="B2569" s="284"/>
      <c r="C2569" s="284"/>
      <c r="D2569" s="284"/>
      <c r="E2569" s="284"/>
      <c r="F2569" s="284"/>
      <c r="G2569" s="284"/>
      <c r="H2569" s="284"/>
      <c r="I2569" s="284"/>
      <c r="J2569" s="375"/>
      <c r="K2569" s="375"/>
      <c r="L2569" s="375"/>
      <c r="M2569" s="368"/>
      <c r="N2569" s="368"/>
      <c r="V2569" s="378"/>
      <c r="W2569" s="64" ph="1"/>
      <c r="X2569" s="241"/>
      <c r="Y2569" s="284"/>
      <c r="Z2569" s="207"/>
      <c r="AA2569" s="284"/>
      <c r="AB2569" s="284"/>
      <c r="AC2569" s="284"/>
      <c r="AD2569" s="284"/>
      <c r="AE2569" s="284"/>
      <c r="AF2569" s="284"/>
      <c r="AG2569" s="284"/>
    </row>
    <row r="2570" spans="1:33" ht="26.4">
      <c r="A2570" s="284"/>
      <c r="B2570" s="284"/>
      <c r="C2570" s="284"/>
      <c r="D2570" s="284"/>
      <c r="E2570" s="284"/>
      <c r="F2570" s="284"/>
      <c r="G2570" s="284"/>
      <c r="H2570" s="284"/>
      <c r="I2570" s="284"/>
      <c r="J2570" s="375"/>
      <c r="K2570" s="375"/>
      <c r="L2570" s="375"/>
      <c r="M2570" s="368"/>
      <c r="N2570" s="368"/>
      <c r="V2570" s="378"/>
      <c r="W2570" s="64" ph="1"/>
      <c r="X2570" s="241"/>
      <c r="Y2570" s="284"/>
      <c r="Z2570" s="207"/>
      <c r="AA2570" s="284"/>
      <c r="AB2570" s="284"/>
      <c r="AC2570" s="284"/>
      <c r="AD2570" s="284"/>
      <c r="AE2570" s="284"/>
      <c r="AF2570" s="284"/>
      <c r="AG2570" s="284"/>
    </row>
    <row r="2571" spans="1:33" ht="26.4">
      <c r="A2571" s="284"/>
      <c r="B2571" s="284"/>
      <c r="C2571" s="284"/>
      <c r="D2571" s="284"/>
      <c r="E2571" s="284"/>
      <c r="F2571" s="284"/>
      <c r="G2571" s="284"/>
      <c r="H2571" s="284"/>
      <c r="I2571" s="284"/>
      <c r="J2571" s="375"/>
      <c r="K2571" s="375"/>
      <c r="L2571" s="375"/>
      <c r="M2571" s="368"/>
      <c r="N2571" s="368"/>
      <c r="V2571" s="378"/>
      <c r="W2571" s="64" ph="1"/>
      <c r="X2571" s="241"/>
      <c r="Y2571" s="284"/>
      <c r="Z2571" s="207"/>
      <c r="AA2571" s="284"/>
      <c r="AB2571" s="284"/>
      <c r="AC2571" s="284"/>
      <c r="AD2571" s="284"/>
      <c r="AE2571" s="284"/>
      <c r="AF2571" s="284"/>
      <c r="AG2571" s="284"/>
    </row>
    <row r="2572" spans="1:33" ht="26.4">
      <c r="A2572" s="284"/>
      <c r="B2572" s="284"/>
      <c r="C2572" s="284"/>
      <c r="D2572" s="284"/>
      <c r="E2572" s="284"/>
      <c r="F2572" s="284"/>
      <c r="G2572" s="284"/>
      <c r="H2572" s="284"/>
      <c r="I2572" s="284"/>
      <c r="J2572" s="375"/>
      <c r="K2572" s="375"/>
      <c r="L2572" s="375"/>
      <c r="M2572" s="368"/>
      <c r="N2572" s="368"/>
      <c r="V2572" s="378"/>
      <c r="W2572" s="64" ph="1"/>
      <c r="X2572" s="241"/>
      <c r="Y2572" s="284"/>
      <c r="Z2572" s="207"/>
      <c r="AA2572" s="284"/>
      <c r="AB2572" s="284"/>
      <c r="AC2572" s="284"/>
      <c r="AD2572" s="284"/>
      <c r="AE2572" s="284"/>
      <c r="AF2572" s="284"/>
      <c r="AG2572" s="284"/>
    </row>
    <row r="2573" spans="1:33" ht="26.4">
      <c r="A2573" s="284"/>
      <c r="B2573" s="284"/>
      <c r="C2573" s="284"/>
      <c r="D2573" s="284"/>
      <c r="E2573" s="284"/>
      <c r="F2573" s="284"/>
      <c r="G2573" s="284"/>
      <c r="H2573" s="284"/>
      <c r="I2573" s="284"/>
      <c r="J2573" s="375"/>
      <c r="K2573" s="375"/>
      <c r="L2573" s="375"/>
      <c r="M2573" s="368"/>
      <c r="N2573" s="368"/>
      <c r="V2573" s="378"/>
      <c r="W2573" s="64" ph="1"/>
      <c r="X2573" s="241"/>
      <c r="Y2573" s="284"/>
      <c r="Z2573" s="207"/>
      <c r="AA2573" s="284"/>
      <c r="AB2573" s="284"/>
      <c r="AC2573" s="284"/>
      <c r="AD2573" s="284"/>
      <c r="AE2573" s="284"/>
      <c r="AF2573" s="284"/>
      <c r="AG2573" s="284"/>
    </row>
    <row r="2574" spans="1:33" ht="26.4">
      <c r="A2574" s="284"/>
      <c r="B2574" s="284"/>
      <c r="C2574" s="284"/>
      <c r="D2574" s="284"/>
      <c r="E2574" s="284"/>
      <c r="F2574" s="284"/>
      <c r="G2574" s="284"/>
      <c r="H2574" s="284"/>
      <c r="I2574" s="284"/>
      <c r="J2574" s="375"/>
      <c r="K2574" s="375"/>
      <c r="L2574" s="375"/>
      <c r="M2574" s="368"/>
      <c r="N2574" s="368"/>
      <c r="V2574" s="378"/>
      <c r="W2574" s="64" ph="1"/>
      <c r="X2574" s="241"/>
      <c r="Y2574" s="284"/>
      <c r="Z2574" s="207"/>
      <c r="AA2574" s="284"/>
      <c r="AB2574" s="284"/>
      <c r="AC2574" s="284"/>
      <c r="AD2574" s="284"/>
      <c r="AE2574" s="284"/>
      <c r="AF2574" s="284"/>
      <c r="AG2574" s="284"/>
    </row>
    <row r="2575" spans="1:33" ht="26.4">
      <c r="A2575" s="284"/>
      <c r="B2575" s="284"/>
      <c r="C2575" s="284"/>
      <c r="D2575" s="284"/>
      <c r="E2575" s="284"/>
      <c r="F2575" s="284"/>
      <c r="G2575" s="284"/>
      <c r="H2575" s="284"/>
      <c r="I2575" s="284"/>
      <c r="J2575" s="375"/>
      <c r="K2575" s="375"/>
      <c r="L2575" s="375"/>
      <c r="M2575" s="368"/>
      <c r="N2575" s="368"/>
      <c r="V2575" s="378"/>
      <c r="W2575" s="64" ph="1"/>
      <c r="X2575" s="241"/>
      <c r="Y2575" s="284"/>
      <c r="Z2575" s="207"/>
      <c r="AA2575" s="284"/>
      <c r="AB2575" s="284"/>
      <c r="AC2575" s="284"/>
      <c r="AD2575" s="284"/>
      <c r="AE2575" s="284"/>
      <c r="AF2575" s="284"/>
      <c r="AG2575" s="284"/>
    </row>
    <row r="2576" spans="1:33" ht="26.4">
      <c r="A2576" s="284"/>
      <c r="B2576" s="284"/>
      <c r="C2576" s="284"/>
      <c r="D2576" s="284"/>
      <c r="E2576" s="284"/>
      <c r="F2576" s="284"/>
      <c r="G2576" s="284"/>
      <c r="H2576" s="284"/>
      <c r="I2576" s="284"/>
      <c r="J2576" s="375"/>
      <c r="K2576" s="375"/>
      <c r="L2576" s="375"/>
      <c r="M2576" s="368"/>
      <c r="N2576" s="368"/>
      <c r="V2576" s="378"/>
      <c r="W2576" s="64" ph="1"/>
      <c r="X2576" s="241"/>
      <c r="Y2576" s="284"/>
      <c r="Z2576" s="207"/>
      <c r="AA2576" s="284"/>
      <c r="AB2576" s="284"/>
      <c r="AC2576" s="284"/>
      <c r="AD2576" s="284"/>
      <c r="AE2576" s="284"/>
      <c r="AF2576" s="284"/>
      <c r="AG2576" s="284"/>
    </row>
    <row r="2577" spans="1:33" ht="26.4">
      <c r="A2577" s="284"/>
      <c r="B2577" s="284"/>
      <c r="C2577" s="284"/>
      <c r="D2577" s="284"/>
      <c r="E2577" s="284"/>
      <c r="F2577" s="284"/>
      <c r="G2577" s="284"/>
      <c r="H2577" s="284"/>
      <c r="I2577" s="284"/>
      <c r="J2577" s="375"/>
      <c r="K2577" s="375"/>
      <c r="L2577" s="375"/>
      <c r="M2577" s="368"/>
      <c r="N2577" s="368"/>
      <c r="V2577" s="378"/>
      <c r="W2577" s="64" ph="1"/>
      <c r="X2577" s="241"/>
      <c r="Y2577" s="284"/>
      <c r="Z2577" s="207"/>
      <c r="AA2577" s="284"/>
      <c r="AB2577" s="284"/>
      <c r="AC2577" s="284"/>
      <c r="AD2577" s="284"/>
      <c r="AE2577" s="284"/>
      <c r="AF2577" s="284"/>
      <c r="AG2577" s="284"/>
    </row>
    <row r="2578" spans="1:33" ht="26.4">
      <c r="A2578" s="284"/>
      <c r="B2578" s="284"/>
      <c r="C2578" s="284"/>
      <c r="D2578" s="284"/>
      <c r="E2578" s="284"/>
      <c r="F2578" s="284"/>
      <c r="G2578" s="284"/>
      <c r="H2578" s="284"/>
      <c r="I2578" s="284"/>
      <c r="J2578" s="375"/>
      <c r="K2578" s="375"/>
      <c r="L2578" s="375"/>
      <c r="M2578" s="368"/>
      <c r="N2578" s="368"/>
      <c r="V2578" s="378"/>
      <c r="W2578" s="64" ph="1"/>
      <c r="X2578" s="241"/>
      <c r="Y2578" s="284"/>
      <c r="Z2578" s="207"/>
      <c r="AA2578" s="284"/>
      <c r="AB2578" s="284"/>
      <c r="AC2578" s="284"/>
      <c r="AD2578" s="284"/>
      <c r="AE2578" s="284"/>
      <c r="AF2578" s="284"/>
      <c r="AG2578" s="284"/>
    </row>
    <row r="2579" spans="1:33" ht="26.4">
      <c r="A2579" s="284"/>
      <c r="B2579" s="284"/>
      <c r="C2579" s="284"/>
      <c r="D2579" s="284"/>
      <c r="E2579" s="284"/>
      <c r="F2579" s="284"/>
      <c r="G2579" s="284"/>
      <c r="H2579" s="284"/>
      <c r="I2579" s="284"/>
      <c r="J2579" s="375"/>
      <c r="K2579" s="375"/>
      <c r="L2579" s="375"/>
      <c r="M2579" s="368"/>
      <c r="N2579" s="368"/>
      <c r="V2579" s="378"/>
      <c r="W2579" s="64" ph="1"/>
      <c r="X2579" s="241"/>
      <c r="Y2579" s="284"/>
      <c r="Z2579" s="207"/>
      <c r="AA2579" s="284"/>
      <c r="AB2579" s="284"/>
      <c r="AC2579" s="284"/>
      <c r="AD2579" s="284"/>
      <c r="AE2579" s="284"/>
      <c r="AF2579" s="284"/>
      <c r="AG2579" s="284"/>
    </row>
    <row r="2580" spans="1:33" ht="26.4">
      <c r="A2580" s="284"/>
      <c r="B2580" s="284"/>
      <c r="C2580" s="284"/>
      <c r="D2580" s="284"/>
      <c r="E2580" s="284"/>
      <c r="F2580" s="284"/>
      <c r="G2580" s="284"/>
      <c r="H2580" s="284"/>
      <c r="I2580" s="284"/>
      <c r="J2580" s="375"/>
      <c r="K2580" s="375"/>
      <c r="L2580" s="375"/>
      <c r="M2580" s="368"/>
      <c r="N2580" s="368"/>
      <c r="V2580" s="378"/>
      <c r="W2580" s="64" ph="1"/>
      <c r="X2580" s="241"/>
      <c r="Y2580" s="284"/>
      <c r="Z2580" s="207"/>
      <c r="AA2580" s="284"/>
      <c r="AB2580" s="284"/>
      <c r="AC2580" s="284"/>
      <c r="AD2580" s="284"/>
      <c r="AE2580" s="284"/>
      <c r="AF2580" s="284"/>
      <c r="AG2580" s="284"/>
    </row>
    <row r="2581" spans="1:33" ht="26.4">
      <c r="A2581" s="284"/>
      <c r="B2581" s="284"/>
      <c r="C2581" s="284"/>
      <c r="D2581" s="284"/>
      <c r="E2581" s="284"/>
      <c r="F2581" s="284"/>
      <c r="G2581" s="284"/>
      <c r="H2581" s="284"/>
      <c r="I2581" s="284"/>
      <c r="J2581" s="375"/>
      <c r="K2581" s="375"/>
      <c r="L2581" s="375"/>
      <c r="M2581" s="368"/>
      <c r="N2581" s="368"/>
      <c r="V2581" s="378"/>
      <c r="W2581" s="64" ph="1"/>
      <c r="X2581" s="241"/>
      <c r="Y2581" s="284"/>
      <c r="Z2581" s="207"/>
      <c r="AA2581" s="284"/>
      <c r="AB2581" s="284"/>
      <c r="AC2581" s="284"/>
      <c r="AD2581" s="284"/>
      <c r="AE2581" s="284"/>
      <c r="AF2581" s="284"/>
      <c r="AG2581" s="284"/>
    </row>
    <row r="2582" spans="1:33" ht="26.4">
      <c r="A2582" s="284"/>
      <c r="B2582" s="284"/>
      <c r="C2582" s="284"/>
      <c r="D2582" s="284"/>
      <c r="E2582" s="284"/>
      <c r="F2582" s="284"/>
      <c r="G2582" s="284"/>
      <c r="H2582" s="284"/>
      <c r="I2582" s="284"/>
      <c r="J2582" s="375"/>
      <c r="K2582" s="375"/>
      <c r="L2582" s="375"/>
      <c r="M2582" s="368"/>
      <c r="N2582" s="368"/>
      <c r="V2582" s="378"/>
      <c r="W2582" s="64" ph="1"/>
      <c r="X2582" s="241"/>
      <c r="Y2582" s="284"/>
      <c r="Z2582" s="207"/>
      <c r="AA2582" s="284"/>
      <c r="AB2582" s="284"/>
      <c r="AC2582" s="284"/>
      <c r="AD2582" s="284"/>
      <c r="AE2582" s="284"/>
      <c r="AF2582" s="284"/>
      <c r="AG2582" s="284"/>
    </row>
    <row r="2583" spans="1:33" ht="26.4">
      <c r="A2583" s="284"/>
      <c r="B2583" s="284"/>
      <c r="C2583" s="284"/>
      <c r="D2583" s="284"/>
      <c r="E2583" s="284"/>
      <c r="F2583" s="284"/>
      <c r="G2583" s="284"/>
      <c r="H2583" s="284"/>
      <c r="I2583" s="284"/>
      <c r="J2583" s="375"/>
      <c r="K2583" s="375"/>
      <c r="L2583" s="375"/>
      <c r="M2583" s="368"/>
      <c r="N2583" s="368"/>
      <c r="V2583" s="378"/>
      <c r="W2583" s="64" ph="1"/>
      <c r="X2583" s="241"/>
      <c r="Y2583" s="284"/>
      <c r="Z2583" s="207"/>
      <c r="AA2583" s="284"/>
      <c r="AB2583" s="284"/>
      <c r="AC2583" s="284"/>
      <c r="AD2583" s="284"/>
      <c r="AE2583" s="284"/>
      <c r="AF2583" s="284"/>
      <c r="AG2583" s="284"/>
    </row>
    <row r="2584" spans="1:33" ht="26.4">
      <c r="A2584" s="284"/>
      <c r="B2584" s="284"/>
      <c r="C2584" s="284"/>
      <c r="D2584" s="284"/>
      <c r="E2584" s="284"/>
      <c r="F2584" s="284"/>
      <c r="G2584" s="284"/>
      <c r="H2584" s="284"/>
      <c r="I2584" s="284"/>
      <c r="J2584" s="375"/>
      <c r="K2584" s="375"/>
      <c r="L2584" s="375"/>
      <c r="M2584" s="368"/>
      <c r="N2584" s="368"/>
      <c r="V2584" s="378"/>
      <c r="W2584" s="64" ph="1"/>
      <c r="X2584" s="241"/>
      <c r="Y2584" s="284"/>
      <c r="Z2584" s="207"/>
      <c r="AA2584" s="284"/>
      <c r="AB2584" s="284"/>
      <c r="AC2584" s="284"/>
      <c r="AD2584" s="284"/>
      <c r="AE2584" s="284"/>
      <c r="AF2584" s="284"/>
      <c r="AG2584" s="284"/>
    </row>
    <row r="2585" spans="1:33" ht="26.4">
      <c r="A2585" s="284"/>
      <c r="B2585" s="284"/>
      <c r="C2585" s="284"/>
      <c r="D2585" s="284"/>
      <c r="E2585" s="284"/>
      <c r="F2585" s="284"/>
      <c r="G2585" s="284"/>
      <c r="H2585" s="284"/>
      <c r="I2585" s="284"/>
      <c r="J2585" s="375"/>
      <c r="K2585" s="375"/>
      <c r="L2585" s="375"/>
      <c r="M2585" s="368"/>
      <c r="N2585" s="368"/>
      <c r="V2585" s="378"/>
      <c r="W2585" s="64" ph="1"/>
      <c r="X2585" s="241"/>
      <c r="Y2585" s="284"/>
      <c r="Z2585" s="207"/>
      <c r="AA2585" s="284"/>
      <c r="AB2585" s="284"/>
      <c r="AC2585" s="284"/>
      <c r="AD2585" s="284"/>
      <c r="AE2585" s="284"/>
      <c r="AF2585" s="284"/>
      <c r="AG2585" s="284"/>
    </row>
    <row r="2586" spans="1:33" ht="26.4">
      <c r="A2586" s="284"/>
      <c r="B2586" s="284"/>
      <c r="C2586" s="284"/>
      <c r="D2586" s="284"/>
      <c r="E2586" s="284"/>
      <c r="F2586" s="284"/>
      <c r="G2586" s="284"/>
      <c r="H2586" s="284"/>
      <c r="I2586" s="284"/>
      <c r="J2586" s="375"/>
      <c r="K2586" s="375"/>
      <c r="L2586" s="375"/>
      <c r="M2586" s="368"/>
      <c r="N2586" s="368"/>
      <c r="V2586" s="378"/>
      <c r="W2586" s="64" ph="1"/>
      <c r="X2586" s="241"/>
      <c r="Y2586" s="284"/>
      <c r="Z2586" s="207"/>
      <c r="AA2586" s="284"/>
      <c r="AB2586" s="284"/>
      <c r="AC2586" s="284"/>
      <c r="AD2586" s="284"/>
      <c r="AE2586" s="284"/>
      <c r="AF2586" s="284"/>
      <c r="AG2586" s="284"/>
    </row>
    <row r="2587" spans="1:33" ht="26.4">
      <c r="A2587" s="284"/>
      <c r="B2587" s="284"/>
      <c r="C2587" s="284"/>
      <c r="D2587" s="284"/>
      <c r="E2587" s="284"/>
      <c r="F2587" s="284"/>
      <c r="G2587" s="284"/>
      <c r="H2587" s="284"/>
      <c r="I2587" s="284"/>
      <c r="J2587" s="375"/>
      <c r="K2587" s="375"/>
      <c r="L2587" s="375"/>
      <c r="M2587" s="368"/>
      <c r="N2587" s="368"/>
      <c r="V2587" s="378"/>
      <c r="W2587" s="64" ph="1"/>
      <c r="X2587" s="241"/>
      <c r="Y2587" s="284"/>
      <c r="Z2587" s="207"/>
      <c r="AA2587" s="284"/>
      <c r="AB2587" s="284"/>
      <c r="AC2587" s="284"/>
      <c r="AD2587" s="284"/>
      <c r="AE2587" s="284"/>
      <c r="AF2587" s="284"/>
      <c r="AG2587" s="284"/>
    </row>
    <row r="2588" spans="1:33" ht="26.4">
      <c r="A2588" s="284"/>
      <c r="B2588" s="284"/>
      <c r="C2588" s="284"/>
      <c r="D2588" s="284"/>
      <c r="E2588" s="284"/>
      <c r="F2588" s="284"/>
      <c r="G2588" s="284"/>
      <c r="H2588" s="284"/>
      <c r="I2588" s="284"/>
      <c r="J2588" s="375"/>
      <c r="K2588" s="375"/>
      <c r="L2588" s="375"/>
      <c r="M2588" s="368"/>
      <c r="N2588" s="368"/>
      <c r="V2588" s="378"/>
      <c r="W2588" s="64" ph="1"/>
      <c r="X2588" s="241"/>
      <c r="Y2588" s="284"/>
      <c r="Z2588" s="207"/>
      <c r="AA2588" s="284"/>
      <c r="AB2588" s="284"/>
      <c r="AC2588" s="284"/>
      <c r="AD2588" s="284"/>
      <c r="AE2588" s="284"/>
      <c r="AF2588" s="284"/>
      <c r="AG2588" s="284"/>
    </row>
    <row r="2589" spans="1:33" ht="26.4">
      <c r="A2589" s="284"/>
      <c r="B2589" s="284"/>
      <c r="C2589" s="284"/>
      <c r="D2589" s="284"/>
      <c r="E2589" s="284"/>
      <c r="F2589" s="284"/>
      <c r="G2589" s="284"/>
      <c r="H2589" s="284"/>
      <c r="I2589" s="284"/>
      <c r="J2589" s="375"/>
      <c r="K2589" s="375"/>
      <c r="L2589" s="375"/>
      <c r="M2589" s="368"/>
      <c r="N2589" s="368"/>
      <c r="V2589" s="378"/>
      <c r="W2589" s="64" ph="1"/>
      <c r="X2589" s="241"/>
      <c r="Y2589" s="284"/>
      <c r="Z2589" s="207"/>
      <c r="AA2589" s="284"/>
      <c r="AB2589" s="284"/>
      <c r="AC2589" s="284"/>
      <c r="AD2589" s="284"/>
      <c r="AE2589" s="284"/>
      <c r="AF2589" s="284"/>
      <c r="AG2589" s="284"/>
    </row>
    <row r="2590" spans="1:33" ht="26.4">
      <c r="A2590" s="284"/>
      <c r="B2590" s="284"/>
      <c r="C2590" s="284"/>
      <c r="D2590" s="284"/>
      <c r="E2590" s="284"/>
      <c r="F2590" s="284"/>
      <c r="G2590" s="284"/>
      <c r="H2590" s="284"/>
      <c r="I2590" s="284"/>
      <c r="J2590" s="375"/>
      <c r="K2590" s="375"/>
      <c r="L2590" s="375"/>
      <c r="M2590" s="368"/>
      <c r="N2590" s="368"/>
      <c r="V2590" s="378"/>
      <c r="W2590" s="64" ph="1"/>
      <c r="X2590" s="241"/>
      <c r="Y2590" s="284"/>
      <c r="Z2590" s="207"/>
      <c r="AA2590" s="284"/>
      <c r="AB2590" s="284"/>
      <c r="AC2590" s="284"/>
      <c r="AD2590" s="284"/>
      <c r="AE2590" s="284"/>
      <c r="AF2590" s="284"/>
      <c r="AG2590" s="284"/>
    </row>
    <row r="2591" spans="1:33" ht="26.4">
      <c r="A2591" s="284"/>
      <c r="B2591" s="284"/>
      <c r="C2591" s="284"/>
      <c r="D2591" s="284"/>
      <c r="E2591" s="284"/>
      <c r="F2591" s="284"/>
      <c r="G2591" s="284"/>
      <c r="H2591" s="284"/>
      <c r="I2591" s="284"/>
      <c r="J2591" s="375"/>
      <c r="K2591" s="375"/>
      <c r="L2591" s="375"/>
      <c r="M2591" s="368"/>
      <c r="N2591" s="368"/>
      <c r="V2591" s="378"/>
      <c r="W2591" s="64" ph="1"/>
      <c r="X2591" s="241"/>
      <c r="Y2591" s="284"/>
      <c r="Z2591" s="207"/>
      <c r="AA2591" s="284"/>
      <c r="AB2591" s="284"/>
      <c r="AC2591" s="284"/>
      <c r="AD2591" s="284"/>
      <c r="AE2591" s="284"/>
      <c r="AF2591" s="284"/>
      <c r="AG2591" s="284"/>
    </row>
    <row r="2592" spans="1:33" ht="26.4">
      <c r="A2592" s="284"/>
      <c r="B2592" s="284"/>
      <c r="C2592" s="284"/>
      <c r="D2592" s="284"/>
      <c r="E2592" s="284"/>
      <c r="F2592" s="284"/>
      <c r="G2592" s="284"/>
      <c r="H2592" s="284"/>
      <c r="I2592" s="284"/>
      <c r="J2592" s="375"/>
      <c r="K2592" s="375"/>
      <c r="L2592" s="375"/>
      <c r="M2592" s="368"/>
      <c r="N2592" s="368"/>
      <c r="V2592" s="378"/>
      <c r="W2592" s="64" ph="1"/>
      <c r="X2592" s="241"/>
      <c r="Y2592" s="284"/>
      <c r="Z2592" s="207"/>
      <c r="AA2592" s="284"/>
      <c r="AB2592" s="284"/>
      <c r="AC2592" s="284"/>
      <c r="AD2592" s="284"/>
      <c r="AE2592" s="284"/>
      <c r="AF2592" s="284"/>
      <c r="AG2592" s="284"/>
    </row>
    <row r="2593" spans="1:33" ht="26.4">
      <c r="A2593" s="284"/>
      <c r="B2593" s="284"/>
      <c r="C2593" s="284"/>
      <c r="D2593" s="284"/>
      <c r="E2593" s="284"/>
      <c r="F2593" s="284"/>
      <c r="G2593" s="284"/>
      <c r="H2593" s="284"/>
      <c r="I2593" s="284"/>
      <c r="J2593" s="375"/>
      <c r="K2593" s="375"/>
      <c r="L2593" s="375"/>
      <c r="M2593" s="368"/>
      <c r="N2593" s="368"/>
      <c r="V2593" s="378"/>
      <c r="W2593" s="64" ph="1"/>
      <c r="X2593" s="241"/>
      <c r="Y2593" s="284"/>
      <c r="Z2593" s="207"/>
      <c r="AA2593" s="284"/>
      <c r="AB2593" s="284"/>
      <c r="AC2593" s="284"/>
      <c r="AD2593" s="284"/>
      <c r="AE2593" s="284"/>
      <c r="AF2593" s="284"/>
      <c r="AG2593" s="284"/>
    </row>
    <row r="2594" spans="1:33" ht="26.4">
      <c r="A2594" s="284"/>
      <c r="B2594" s="284"/>
      <c r="C2594" s="284"/>
      <c r="D2594" s="284"/>
      <c r="E2594" s="284"/>
      <c r="F2594" s="284"/>
      <c r="G2594" s="284"/>
      <c r="H2594" s="284"/>
      <c r="I2594" s="284"/>
      <c r="J2594" s="375"/>
      <c r="K2594" s="375"/>
      <c r="L2594" s="375"/>
      <c r="M2594" s="368"/>
      <c r="N2594" s="368"/>
      <c r="V2594" s="378"/>
      <c r="W2594" s="64" ph="1"/>
      <c r="X2594" s="241"/>
      <c r="Y2594" s="284"/>
      <c r="Z2594" s="207"/>
      <c r="AA2594" s="284"/>
      <c r="AB2594" s="284"/>
      <c r="AC2594" s="284"/>
      <c r="AD2594" s="284"/>
      <c r="AE2594" s="284"/>
      <c r="AF2594" s="284"/>
      <c r="AG2594" s="284"/>
    </row>
    <row r="2595" spans="1:33" ht="26.4">
      <c r="A2595" s="284"/>
      <c r="B2595" s="284"/>
      <c r="C2595" s="284"/>
      <c r="D2595" s="284"/>
      <c r="E2595" s="284"/>
      <c r="F2595" s="284"/>
      <c r="G2595" s="284"/>
      <c r="H2595" s="284"/>
      <c r="I2595" s="284"/>
      <c r="J2595" s="375"/>
      <c r="K2595" s="375"/>
      <c r="L2595" s="375"/>
      <c r="M2595" s="368"/>
      <c r="N2595" s="368"/>
      <c r="V2595" s="378"/>
      <c r="W2595" s="64" ph="1"/>
      <c r="X2595" s="241"/>
      <c r="Y2595" s="284"/>
      <c r="Z2595" s="207"/>
      <c r="AA2595" s="284"/>
      <c r="AB2595" s="284"/>
      <c r="AC2595" s="284"/>
      <c r="AD2595" s="284"/>
      <c r="AE2595" s="284"/>
      <c r="AF2595" s="284"/>
      <c r="AG2595" s="284"/>
    </row>
    <row r="2596" spans="1:33" ht="26.4">
      <c r="A2596" s="284"/>
      <c r="B2596" s="284"/>
      <c r="C2596" s="284"/>
      <c r="D2596" s="284"/>
      <c r="E2596" s="284"/>
      <c r="F2596" s="284"/>
      <c r="G2596" s="284"/>
      <c r="H2596" s="284"/>
      <c r="I2596" s="284"/>
      <c r="J2596" s="375"/>
      <c r="K2596" s="375"/>
      <c r="L2596" s="375"/>
      <c r="M2596" s="368"/>
      <c r="N2596" s="368"/>
      <c r="V2596" s="378"/>
      <c r="W2596" s="64" ph="1"/>
      <c r="X2596" s="241"/>
      <c r="Y2596" s="284"/>
      <c r="Z2596" s="207"/>
      <c r="AA2596" s="284"/>
      <c r="AB2596" s="284"/>
      <c r="AC2596" s="284"/>
      <c r="AD2596" s="284"/>
      <c r="AE2596" s="284"/>
      <c r="AF2596" s="284"/>
      <c r="AG2596" s="284"/>
    </row>
    <row r="2597" spans="1:33" ht="26.4">
      <c r="A2597" s="284"/>
      <c r="B2597" s="284"/>
      <c r="C2597" s="284"/>
      <c r="D2597" s="284"/>
      <c r="E2597" s="284"/>
      <c r="F2597" s="284"/>
      <c r="G2597" s="284"/>
      <c r="H2597" s="284"/>
      <c r="I2597" s="284"/>
      <c r="J2597" s="375"/>
      <c r="K2597" s="375"/>
      <c r="L2597" s="375"/>
      <c r="M2597" s="368"/>
      <c r="N2597" s="368"/>
      <c r="V2597" s="378"/>
      <c r="W2597" s="64" ph="1"/>
      <c r="X2597" s="241"/>
      <c r="Y2597" s="284"/>
      <c r="Z2597" s="207"/>
      <c r="AA2597" s="284"/>
      <c r="AB2597" s="284"/>
      <c r="AC2597" s="284"/>
      <c r="AD2597" s="284"/>
      <c r="AE2597" s="284"/>
      <c r="AF2597" s="284"/>
      <c r="AG2597" s="284"/>
    </row>
    <row r="2598" spans="1:33" ht="26.4">
      <c r="A2598" s="284"/>
      <c r="B2598" s="284"/>
      <c r="C2598" s="284"/>
      <c r="D2598" s="284"/>
      <c r="E2598" s="284"/>
      <c r="F2598" s="284"/>
      <c r="G2598" s="284"/>
      <c r="H2598" s="284"/>
      <c r="I2598" s="284"/>
      <c r="J2598" s="375"/>
      <c r="K2598" s="375"/>
      <c r="L2598" s="375"/>
      <c r="M2598" s="368"/>
      <c r="N2598" s="368"/>
      <c r="V2598" s="378"/>
      <c r="W2598" s="64" ph="1"/>
      <c r="X2598" s="241"/>
      <c r="Y2598" s="284"/>
      <c r="Z2598" s="207"/>
      <c r="AA2598" s="284"/>
      <c r="AB2598" s="284"/>
      <c r="AC2598" s="284"/>
      <c r="AD2598" s="284"/>
      <c r="AE2598" s="284"/>
      <c r="AF2598" s="284"/>
      <c r="AG2598" s="284"/>
    </row>
    <row r="2599" spans="1:33" ht="26.4">
      <c r="W2599" s="64" ph="1"/>
    </row>
    <row r="2600" spans="1:33" ht="26.4">
      <c r="W2600" s="64" ph="1"/>
    </row>
    <row r="2601" spans="1:33" ht="26.4">
      <c r="W2601" s="64" ph="1"/>
    </row>
    <row r="2602" spans="1:33" ht="26.4">
      <c r="W2602" s="64" ph="1"/>
    </row>
    <row r="2603" spans="1:33" ht="26.4">
      <c r="W2603" s="64" ph="1"/>
    </row>
    <row r="2604" spans="1:33" ht="26.4">
      <c r="W2604" s="64" ph="1"/>
    </row>
    <row r="2605" spans="1:33" ht="26.4">
      <c r="W2605" s="64" ph="1"/>
    </row>
    <row r="2606" spans="1:33" ht="26.4">
      <c r="W2606" s="64" ph="1"/>
    </row>
    <row r="2607" spans="1:33" ht="26.4">
      <c r="W2607" s="64" ph="1"/>
    </row>
    <row r="2608" spans="1:33" ht="26.4">
      <c r="W2608" s="64" ph="1"/>
    </row>
    <row r="2609" spans="23:23" ht="26.4">
      <c r="W2609" s="64" ph="1"/>
    </row>
    <row r="2610" spans="23:23" ht="26.4">
      <c r="W2610" s="64" ph="1"/>
    </row>
    <row r="2611" spans="23:23" ht="26.4">
      <c r="W2611" s="64" ph="1"/>
    </row>
    <row r="2612" spans="23:23" ht="26.4">
      <c r="W2612" s="64" ph="1"/>
    </row>
    <row r="2613" spans="23:23" ht="26.4">
      <c r="W2613" s="64" ph="1"/>
    </row>
    <row r="2614" spans="23:23" ht="26.4">
      <c r="W2614" s="64" ph="1"/>
    </row>
    <row r="2615" spans="23:23" ht="26.4">
      <c r="W2615" s="64" ph="1"/>
    </row>
    <row r="2616" spans="23:23" ht="26.4">
      <c r="W2616" s="64" ph="1"/>
    </row>
    <row r="2617" spans="23:23" ht="26.4">
      <c r="W2617" s="64" ph="1"/>
    </row>
    <row r="2618" spans="23:23" ht="26.4">
      <c r="W2618" s="64" ph="1"/>
    </row>
    <row r="2619" spans="23:23" ht="26.4">
      <c r="W2619" s="64" ph="1"/>
    </row>
    <row r="2620" spans="23:23" ht="26.4">
      <c r="W2620" s="64" ph="1"/>
    </row>
    <row r="2621" spans="23:23" ht="26.4">
      <c r="W2621" s="64" ph="1"/>
    </row>
    <row r="2622" spans="23:23" ht="26.4">
      <c r="W2622" s="64" ph="1"/>
    </row>
    <row r="2623" spans="23:23" ht="26.4">
      <c r="W2623" s="64" ph="1"/>
    </row>
    <row r="2624" spans="23:23" ht="26.4">
      <c r="W2624" s="64" ph="1"/>
    </row>
    <row r="2625" spans="23:23" ht="26.4">
      <c r="W2625" s="64" ph="1"/>
    </row>
    <row r="2626" spans="23:23" ht="26.4">
      <c r="W2626" s="64" ph="1"/>
    </row>
    <row r="2627" spans="23:23" ht="26.4">
      <c r="W2627" s="64" ph="1"/>
    </row>
    <row r="2628" spans="23:23" ht="26.4">
      <c r="W2628" s="64" ph="1"/>
    </row>
    <row r="2629" spans="23:23" ht="26.4">
      <c r="W2629" s="64" ph="1"/>
    </row>
    <row r="2630" spans="23:23" ht="26.4">
      <c r="W2630" s="64" ph="1"/>
    </row>
    <row r="2631" spans="23:23" ht="26.4">
      <c r="W2631" s="64" ph="1"/>
    </row>
    <row r="2632" spans="23:23" ht="26.4">
      <c r="W2632" s="64" ph="1"/>
    </row>
    <row r="2633" spans="23:23" ht="26.4">
      <c r="W2633" s="64" ph="1"/>
    </row>
    <row r="2634" spans="23:23" ht="26.4">
      <c r="W2634" s="64" ph="1"/>
    </row>
    <row r="2635" spans="23:23" ht="26.4">
      <c r="W2635" s="64" ph="1"/>
    </row>
    <row r="2636" spans="23:23" ht="26.4">
      <c r="W2636" s="64" ph="1"/>
    </row>
    <row r="2637" spans="23:23" ht="26.4">
      <c r="W2637" s="64" ph="1"/>
    </row>
    <row r="2638" spans="23:23" ht="26.4">
      <c r="W2638" s="64" ph="1"/>
    </row>
    <row r="2639" spans="23:23" ht="26.4">
      <c r="W2639" s="64" ph="1"/>
    </row>
    <row r="2640" spans="23:23" ht="26.4">
      <c r="W2640" s="64" ph="1"/>
    </row>
    <row r="2641" spans="23:23" ht="26.4">
      <c r="W2641" s="64" ph="1"/>
    </row>
    <row r="2642" spans="23:23" ht="26.4">
      <c r="W2642" s="64" ph="1"/>
    </row>
    <row r="2643" spans="23:23" ht="26.4">
      <c r="W2643" s="64" ph="1"/>
    </row>
    <row r="2644" spans="23:23" ht="26.4">
      <c r="W2644" s="64" ph="1"/>
    </row>
    <row r="2645" spans="23:23" ht="26.4">
      <c r="W2645" s="64" ph="1"/>
    </row>
    <row r="2646" spans="23:23" ht="26.4">
      <c r="W2646" s="64" ph="1"/>
    </row>
    <row r="2647" spans="23:23" ht="26.4">
      <c r="W2647" s="64" ph="1"/>
    </row>
    <row r="2648" spans="23:23" ht="26.4">
      <c r="W2648" s="64" ph="1"/>
    </row>
    <row r="2649" spans="23:23" ht="26.4">
      <c r="W2649" s="64" ph="1"/>
    </row>
    <row r="2650" spans="23:23" ht="26.4">
      <c r="W2650" s="64" ph="1"/>
    </row>
    <row r="2651" spans="23:23" ht="26.4">
      <c r="W2651" s="64" ph="1"/>
    </row>
    <row r="2652" spans="23:23" ht="26.4">
      <c r="W2652" s="64" ph="1"/>
    </row>
    <row r="2653" spans="23:23" ht="26.4">
      <c r="W2653" s="64" ph="1"/>
    </row>
    <row r="2654" spans="23:23" ht="26.4">
      <c r="W2654" s="64" ph="1"/>
    </row>
    <row r="2655" spans="23:23" ht="26.4">
      <c r="W2655" s="64" ph="1"/>
    </row>
    <row r="2656" spans="23:23" ht="26.4">
      <c r="W2656" s="64" ph="1"/>
    </row>
    <row r="2657" spans="23:23" ht="26.4">
      <c r="W2657" s="64" ph="1"/>
    </row>
    <row r="2658" spans="23:23" ht="26.4">
      <c r="W2658" s="64" ph="1"/>
    </row>
    <row r="2659" spans="23:23" ht="26.4">
      <c r="W2659" s="64" ph="1"/>
    </row>
    <row r="2660" spans="23:23" ht="26.4">
      <c r="W2660" s="64" ph="1"/>
    </row>
    <row r="2661" spans="23:23" ht="26.4">
      <c r="W2661" s="64" ph="1"/>
    </row>
    <row r="2662" spans="23:23" ht="26.4">
      <c r="W2662" s="64" ph="1"/>
    </row>
    <row r="2663" spans="23:23" ht="26.4">
      <c r="W2663" s="64" ph="1"/>
    </row>
    <row r="2664" spans="23:23" ht="26.4">
      <c r="W2664" s="64" ph="1"/>
    </row>
    <row r="2665" spans="23:23" ht="26.4">
      <c r="W2665" s="64" ph="1"/>
    </row>
    <row r="2666" spans="23:23" ht="26.4">
      <c r="W2666" s="64" ph="1"/>
    </row>
    <row r="2667" spans="23:23" ht="26.4">
      <c r="W2667" s="64" ph="1"/>
    </row>
    <row r="2668" spans="23:23" ht="26.4">
      <c r="W2668" s="64" ph="1"/>
    </row>
    <row r="2669" spans="23:23" ht="26.4">
      <c r="W2669" s="64" ph="1"/>
    </row>
    <row r="2670" spans="23:23" ht="26.4">
      <c r="W2670" s="64" ph="1"/>
    </row>
    <row r="2671" spans="23:23" ht="26.4">
      <c r="W2671" s="64" ph="1"/>
    </row>
    <row r="2672" spans="23:23" ht="26.4">
      <c r="W2672" s="64" ph="1"/>
    </row>
    <row r="2673" spans="23:23" ht="26.4">
      <c r="W2673" s="64" ph="1"/>
    </row>
    <row r="2674" spans="23:23" ht="26.4">
      <c r="W2674" s="64" ph="1"/>
    </row>
    <row r="2675" spans="23:23" ht="26.4">
      <c r="W2675" s="64" ph="1"/>
    </row>
    <row r="2676" spans="23:23" ht="26.4">
      <c r="W2676" s="64" ph="1"/>
    </row>
    <row r="2677" spans="23:23" ht="26.4">
      <c r="W2677" s="64" ph="1"/>
    </row>
    <row r="2678" spans="23:23" ht="26.4">
      <c r="W2678" s="64" ph="1"/>
    </row>
    <row r="2679" spans="23:23" ht="26.4">
      <c r="W2679" s="64" ph="1"/>
    </row>
    <row r="2680" spans="23:23" ht="26.4">
      <c r="W2680" s="64" ph="1"/>
    </row>
    <row r="2681" spans="23:23" ht="26.4">
      <c r="W2681" s="64" ph="1"/>
    </row>
    <row r="2682" spans="23:23" ht="26.4">
      <c r="W2682" s="64" ph="1"/>
    </row>
    <row r="2683" spans="23:23" ht="26.4">
      <c r="W2683" s="64" ph="1"/>
    </row>
    <row r="2684" spans="23:23" ht="26.4">
      <c r="W2684" s="64" ph="1"/>
    </row>
    <row r="2685" spans="23:23" ht="26.4">
      <c r="W2685" s="64" ph="1"/>
    </row>
    <row r="2686" spans="23:23" ht="26.4">
      <c r="W2686" s="64" ph="1"/>
    </row>
    <row r="2687" spans="23:23" ht="26.4">
      <c r="W2687" s="64" ph="1"/>
    </row>
    <row r="2688" spans="23:23" ht="26.4">
      <c r="W2688" s="64" ph="1"/>
    </row>
    <row r="2689" spans="23:23" ht="26.4">
      <c r="W2689" s="64" ph="1"/>
    </row>
    <row r="2690" spans="23:23" ht="26.4">
      <c r="W2690" s="64" ph="1"/>
    </row>
    <row r="2691" spans="23:23" ht="26.4">
      <c r="W2691" s="64" ph="1"/>
    </row>
    <row r="2692" spans="23:23" ht="26.4">
      <c r="W2692" s="64" ph="1"/>
    </row>
    <row r="2693" spans="23:23" ht="26.4">
      <c r="W2693" s="64" ph="1"/>
    </row>
    <row r="2694" spans="23:23" ht="26.4">
      <c r="W2694" s="64" ph="1"/>
    </row>
    <row r="2695" spans="23:23" ht="26.4">
      <c r="W2695" s="64" ph="1"/>
    </row>
    <row r="2696" spans="23:23" ht="26.4">
      <c r="W2696" s="64" ph="1"/>
    </row>
    <row r="2697" spans="23:23" ht="26.4">
      <c r="W2697" s="64" ph="1"/>
    </row>
    <row r="2698" spans="23:23" ht="26.4">
      <c r="W2698" s="64" ph="1"/>
    </row>
    <row r="2699" spans="23:23" ht="26.4">
      <c r="W2699" s="64" ph="1"/>
    </row>
    <row r="2700" spans="23:23" ht="26.4">
      <c r="W2700" s="64" ph="1"/>
    </row>
    <row r="2701" spans="23:23" ht="26.4">
      <c r="W2701" s="64" ph="1"/>
    </row>
    <row r="2702" spans="23:23" ht="26.4">
      <c r="W2702" s="64" ph="1"/>
    </row>
    <row r="2703" spans="23:23" ht="26.4">
      <c r="W2703" s="64" ph="1"/>
    </row>
    <row r="2704" spans="23:23" ht="26.4">
      <c r="W2704" s="64" ph="1"/>
    </row>
    <row r="2705" spans="23:23" ht="26.4">
      <c r="W2705" s="64" ph="1"/>
    </row>
    <row r="2706" spans="23:23" ht="26.4">
      <c r="W2706" s="64" ph="1"/>
    </row>
    <row r="2707" spans="23:23" ht="26.4">
      <c r="W2707" s="64" ph="1"/>
    </row>
    <row r="2708" spans="23:23" ht="26.4">
      <c r="W2708" s="64" ph="1"/>
    </row>
    <row r="2709" spans="23:23" ht="26.4">
      <c r="W2709" s="64" ph="1"/>
    </row>
    <row r="2710" spans="23:23" ht="26.4">
      <c r="W2710" s="64" ph="1"/>
    </row>
    <row r="2711" spans="23:23" ht="26.4">
      <c r="W2711" s="64" ph="1"/>
    </row>
    <row r="2712" spans="23:23" ht="26.4">
      <c r="W2712" s="64" ph="1"/>
    </row>
    <row r="2713" spans="23:23" ht="26.4">
      <c r="W2713" s="64" ph="1"/>
    </row>
    <row r="2714" spans="23:23" ht="26.4">
      <c r="W2714" s="64" ph="1"/>
    </row>
    <row r="2715" spans="23:23" ht="26.4">
      <c r="W2715" s="64" ph="1"/>
    </row>
    <row r="2716" spans="23:23" ht="26.4">
      <c r="W2716" s="64" ph="1"/>
    </row>
    <row r="2717" spans="23:23" ht="26.4">
      <c r="W2717" s="64" ph="1"/>
    </row>
    <row r="2718" spans="23:23" ht="26.4">
      <c r="W2718" s="64" ph="1"/>
    </row>
    <row r="2719" spans="23:23" ht="26.4">
      <c r="W2719" s="64" ph="1"/>
    </row>
    <row r="2720" spans="23:23" ht="26.4">
      <c r="W2720" s="64" ph="1"/>
    </row>
    <row r="2721" spans="23:23" ht="26.4">
      <c r="W2721" s="64" ph="1"/>
    </row>
    <row r="2722" spans="23:23" ht="26.4">
      <c r="W2722" s="64" ph="1"/>
    </row>
    <row r="2723" spans="23:23" ht="26.4">
      <c r="W2723" s="64" ph="1"/>
    </row>
    <row r="2724" spans="23:23" ht="26.4">
      <c r="W2724" s="64" ph="1"/>
    </row>
    <row r="2725" spans="23:23" ht="26.4">
      <c r="W2725" s="64" ph="1"/>
    </row>
    <row r="2726" spans="23:23" ht="26.4">
      <c r="W2726" s="64" ph="1"/>
    </row>
    <row r="2727" spans="23:23" ht="26.4">
      <c r="W2727" s="64" ph="1"/>
    </row>
    <row r="2728" spans="23:23" ht="26.4">
      <c r="W2728" s="64" ph="1"/>
    </row>
    <row r="2729" spans="23:23" ht="26.4">
      <c r="W2729" s="64" ph="1"/>
    </row>
    <row r="2730" spans="23:23" ht="26.4">
      <c r="W2730" s="64" ph="1"/>
    </row>
    <row r="2731" spans="23:23" ht="26.4">
      <c r="W2731" s="64" ph="1"/>
    </row>
    <row r="2732" spans="23:23" ht="26.4">
      <c r="W2732" s="64" ph="1"/>
    </row>
    <row r="2733" spans="23:23" ht="26.4">
      <c r="W2733" s="64" ph="1"/>
    </row>
    <row r="2734" spans="23:23" ht="26.4">
      <c r="W2734" s="64" ph="1"/>
    </row>
    <row r="2735" spans="23:23" ht="26.4">
      <c r="W2735" s="64" ph="1"/>
    </row>
    <row r="2736" spans="23:23" ht="26.4">
      <c r="W2736" s="64" ph="1"/>
    </row>
    <row r="2737" spans="23:23" ht="26.4">
      <c r="W2737" s="64" ph="1"/>
    </row>
    <row r="2738" spans="23:23" ht="26.4">
      <c r="W2738" s="64" ph="1"/>
    </row>
    <row r="2739" spans="23:23" ht="26.4">
      <c r="W2739" s="64" ph="1"/>
    </row>
    <row r="2740" spans="23:23" ht="26.4">
      <c r="W2740" s="64" ph="1"/>
    </row>
    <row r="2741" spans="23:23" ht="26.4">
      <c r="W2741" s="64" ph="1"/>
    </row>
    <row r="2742" spans="23:23" ht="26.4">
      <c r="W2742" s="64" ph="1"/>
    </row>
    <row r="2743" spans="23:23" ht="26.4">
      <c r="W2743" s="64" ph="1"/>
    </row>
    <row r="2744" spans="23:23" ht="26.4">
      <c r="W2744" s="64" ph="1"/>
    </row>
    <row r="2745" spans="23:23" ht="26.4">
      <c r="W2745" s="64" ph="1"/>
    </row>
    <row r="2746" spans="23:23" ht="26.4">
      <c r="W2746" s="64" ph="1"/>
    </row>
    <row r="2747" spans="23:23" ht="26.4">
      <c r="W2747" s="64" ph="1"/>
    </row>
    <row r="2748" spans="23:23" ht="26.4">
      <c r="W2748" s="64" ph="1"/>
    </row>
    <row r="2749" spans="23:23" ht="26.4">
      <c r="W2749" s="64" ph="1"/>
    </row>
    <row r="2750" spans="23:23" ht="26.4">
      <c r="W2750" s="64" ph="1"/>
    </row>
    <row r="2751" spans="23:23" ht="26.4">
      <c r="W2751" s="64" ph="1"/>
    </row>
    <row r="2752" spans="23:23" ht="26.4">
      <c r="W2752" s="64" ph="1"/>
    </row>
    <row r="2753" spans="23:23" ht="26.4">
      <c r="W2753" s="64" ph="1"/>
    </row>
    <row r="2754" spans="23:23" ht="26.4">
      <c r="W2754" s="64" ph="1"/>
    </row>
    <row r="2755" spans="23:23" ht="26.4">
      <c r="W2755" s="64" ph="1"/>
    </row>
    <row r="2756" spans="23:23" ht="26.4">
      <c r="W2756" s="64" ph="1"/>
    </row>
    <row r="2757" spans="23:23" ht="26.4">
      <c r="W2757" s="64" ph="1"/>
    </row>
    <row r="2758" spans="23:23" ht="26.4">
      <c r="W2758" s="64" ph="1"/>
    </row>
    <row r="2759" spans="23:23" ht="26.4">
      <c r="W2759" s="64" ph="1"/>
    </row>
    <row r="2760" spans="23:23" ht="26.4">
      <c r="W2760" s="64" ph="1"/>
    </row>
    <row r="2761" spans="23:23" ht="26.4">
      <c r="W2761" s="64" ph="1"/>
    </row>
    <row r="2762" spans="23:23" ht="26.4">
      <c r="W2762" s="64" ph="1"/>
    </row>
    <row r="2763" spans="23:23" ht="26.4">
      <c r="W2763" s="64" ph="1"/>
    </row>
    <row r="2764" spans="23:23" ht="26.4">
      <c r="W2764" s="64" ph="1"/>
    </row>
    <row r="2765" spans="23:23" ht="26.4">
      <c r="W2765" s="64" ph="1"/>
    </row>
    <row r="2766" spans="23:23" ht="26.4">
      <c r="W2766" s="64" ph="1"/>
    </row>
    <row r="2767" spans="23:23" ht="26.4">
      <c r="W2767" s="64" ph="1"/>
    </row>
    <row r="2768" spans="23:23" ht="26.4">
      <c r="W2768" s="64" ph="1"/>
    </row>
    <row r="2769" spans="23:23" ht="26.4">
      <c r="W2769" s="64" ph="1"/>
    </row>
    <row r="2770" spans="23:23" ht="26.4">
      <c r="W2770" s="64" ph="1"/>
    </row>
    <row r="2771" spans="23:23" ht="26.4">
      <c r="W2771" s="64" ph="1"/>
    </row>
    <row r="2772" spans="23:23" ht="26.4">
      <c r="W2772" s="64" ph="1"/>
    </row>
    <row r="2773" spans="23:23" ht="26.4">
      <c r="W2773" s="64" ph="1"/>
    </row>
    <row r="2774" spans="23:23" ht="26.4">
      <c r="W2774" s="64" ph="1"/>
    </row>
    <row r="2775" spans="23:23" ht="26.4">
      <c r="W2775" s="64" ph="1"/>
    </row>
    <row r="2776" spans="23:23" ht="26.4">
      <c r="W2776" s="64" ph="1"/>
    </row>
    <row r="2777" spans="23:23" ht="26.4">
      <c r="W2777" s="64" ph="1"/>
    </row>
    <row r="2778" spans="23:23" ht="26.4">
      <c r="W2778" s="64" ph="1"/>
    </row>
    <row r="2779" spans="23:23" ht="26.4">
      <c r="W2779" s="64" ph="1"/>
    </row>
    <row r="2780" spans="23:23" ht="26.4">
      <c r="W2780" s="64" ph="1"/>
    </row>
    <row r="2781" spans="23:23" ht="26.4">
      <c r="W2781" s="64" ph="1"/>
    </row>
    <row r="2782" spans="23:23" ht="26.4">
      <c r="W2782" s="64" ph="1"/>
    </row>
    <row r="2783" spans="23:23" ht="26.4">
      <c r="W2783" s="64" ph="1"/>
    </row>
    <row r="2784" spans="23:23" ht="26.4">
      <c r="W2784" s="64" ph="1"/>
    </row>
    <row r="2785" spans="23:23" ht="26.4">
      <c r="W2785" s="64" ph="1"/>
    </row>
    <row r="2786" spans="23:23" ht="26.4">
      <c r="W2786" s="64" ph="1"/>
    </row>
    <row r="2787" spans="23:23" ht="26.4">
      <c r="W2787" s="64" ph="1"/>
    </row>
    <row r="2788" spans="23:23" ht="26.4">
      <c r="W2788" s="64" ph="1"/>
    </row>
    <row r="2789" spans="23:23" ht="26.4">
      <c r="W2789" s="64" ph="1"/>
    </row>
    <row r="2790" spans="23:23" ht="26.4">
      <c r="W2790" s="64" ph="1"/>
    </row>
    <row r="2791" spans="23:23" ht="26.4">
      <c r="W2791" s="64" ph="1"/>
    </row>
    <row r="2792" spans="23:23" ht="26.4">
      <c r="W2792" s="64" ph="1"/>
    </row>
    <row r="2793" spans="23:23" ht="26.4">
      <c r="W2793" s="64" ph="1"/>
    </row>
    <row r="2794" spans="23:23" ht="26.4">
      <c r="W2794" s="64" ph="1"/>
    </row>
    <row r="2795" spans="23:23" ht="26.4">
      <c r="W2795" s="64" ph="1"/>
    </row>
    <row r="2796" spans="23:23" ht="26.4">
      <c r="W2796" s="64" ph="1"/>
    </row>
    <row r="2797" spans="23:23" ht="26.4">
      <c r="W2797" s="64" ph="1"/>
    </row>
    <row r="2798" spans="23:23" ht="26.4">
      <c r="W2798" s="64" ph="1"/>
    </row>
    <row r="2799" spans="23:23" ht="26.4">
      <c r="W2799" s="64" ph="1"/>
    </row>
    <row r="2800" spans="23:23" ht="26.4">
      <c r="W2800" s="64" ph="1"/>
    </row>
    <row r="2801" spans="23:23" ht="26.4">
      <c r="W2801" s="64" ph="1"/>
    </row>
    <row r="2802" spans="23:23" ht="26.4">
      <c r="W2802" s="64" ph="1"/>
    </row>
    <row r="2803" spans="23:23" ht="26.4">
      <c r="W2803" s="64" ph="1"/>
    </row>
    <row r="2804" spans="23:23" ht="26.4">
      <c r="W2804" s="64" ph="1"/>
    </row>
    <row r="2805" spans="23:23" ht="26.4">
      <c r="W2805" s="64" ph="1"/>
    </row>
    <row r="2806" spans="23:23" ht="26.4">
      <c r="W2806" s="64" ph="1"/>
    </row>
    <row r="2807" spans="23:23" ht="26.4">
      <c r="W2807" s="64" ph="1"/>
    </row>
    <row r="2808" spans="23:23" ht="26.4">
      <c r="W2808" s="64" ph="1"/>
    </row>
    <row r="2809" spans="23:23" ht="26.4">
      <c r="W2809" s="64" ph="1"/>
    </row>
    <row r="2810" spans="23:23" ht="26.4">
      <c r="W2810" s="64" ph="1"/>
    </row>
    <row r="2811" spans="23:23" ht="26.4">
      <c r="W2811" s="64" ph="1"/>
    </row>
    <row r="2812" spans="23:23" ht="26.4">
      <c r="W2812" s="64" ph="1"/>
    </row>
    <row r="2813" spans="23:23" ht="26.4">
      <c r="W2813" s="64" ph="1"/>
    </row>
    <row r="2814" spans="23:23" ht="26.4">
      <c r="W2814" s="64" ph="1"/>
    </row>
    <row r="2815" spans="23:23" ht="26.4">
      <c r="W2815" s="64" ph="1"/>
    </row>
    <row r="2816" spans="23:23" ht="26.4">
      <c r="W2816" s="64" ph="1"/>
    </row>
    <row r="2817" spans="23:23" ht="26.4">
      <c r="W2817" s="64" ph="1"/>
    </row>
    <row r="2818" spans="23:23" ht="26.4">
      <c r="W2818" s="64" ph="1"/>
    </row>
    <row r="2819" spans="23:23" ht="26.4">
      <c r="W2819" s="64" ph="1"/>
    </row>
    <row r="2820" spans="23:23" ht="26.4">
      <c r="W2820" s="64" ph="1"/>
    </row>
    <row r="2821" spans="23:23" ht="26.4">
      <c r="W2821" s="64" ph="1"/>
    </row>
    <row r="2822" spans="23:23" ht="26.4">
      <c r="W2822" s="64" ph="1"/>
    </row>
    <row r="2823" spans="23:23" ht="26.4">
      <c r="W2823" s="64" ph="1"/>
    </row>
    <row r="2824" spans="23:23" ht="26.4">
      <c r="W2824" s="64" ph="1"/>
    </row>
    <row r="2825" spans="23:23" ht="26.4">
      <c r="W2825" s="64" ph="1"/>
    </row>
    <row r="2826" spans="23:23" ht="26.4">
      <c r="W2826" s="64" ph="1"/>
    </row>
    <row r="2827" spans="23:23" ht="26.4">
      <c r="W2827" s="64" ph="1"/>
    </row>
    <row r="2828" spans="23:23" ht="26.4">
      <c r="W2828" s="64" ph="1"/>
    </row>
    <row r="2829" spans="23:23" ht="26.4">
      <c r="W2829" s="64" ph="1"/>
    </row>
    <row r="2830" spans="23:23" ht="26.4">
      <c r="W2830" s="64" ph="1"/>
    </row>
    <row r="2831" spans="23:23" ht="26.4">
      <c r="W2831" s="64" ph="1"/>
    </row>
    <row r="2832" spans="23:23" ht="26.4">
      <c r="W2832" s="64" ph="1"/>
    </row>
    <row r="2833" spans="23:23" ht="26.4">
      <c r="W2833" s="64" ph="1"/>
    </row>
    <row r="2834" spans="23:23" ht="26.4">
      <c r="W2834" s="64" ph="1"/>
    </row>
    <row r="2835" spans="23:23" ht="26.4">
      <c r="W2835" s="64" ph="1"/>
    </row>
    <row r="2836" spans="23:23" ht="26.4">
      <c r="W2836" s="64" ph="1"/>
    </row>
    <row r="2837" spans="23:23" ht="26.4">
      <c r="W2837" s="64" ph="1"/>
    </row>
    <row r="2838" spans="23:23" ht="26.4">
      <c r="W2838" s="64" ph="1"/>
    </row>
    <row r="2839" spans="23:23" ht="26.4">
      <c r="W2839" s="64" ph="1"/>
    </row>
    <row r="2840" spans="23:23" ht="26.4">
      <c r="W2840" s="64" ph="1"/>
    </row>
    <row r="2841" spans="23:23" ht="26.4">
      <c r="W2841" s="64" ph="1"/>
    </row>
    <row r="2842" spans="23:23" ht="26.4">
      <c r="W2842" s="64" ph="1"/>
    </row>
    <row r="2843" spans="23:23" ht="26.4">
      <c r="W2843" s="64" ph="1"/>
    </row>
    <row r="2844" spans="23:23" ht="26.4">
      <c r="W2844" s="64" ph="1"/>
    </row>
    <row r="2845" spans="23:23" ht="26.4">
      <c r="W2845" s="64" ph="1"/>
    </row>
    <row r="2846" spans="23:23" ht="26.4">
      <c r="W2846" s="64" ph="1"/>
    </row>
    <row r="2847" spans="23:23" ht="26.4">
      <c r="W2847" s="64" ph="1"/>
    </row>
    <row r="2848" spans="23:23" ht="26.4">
      <c r="W2848" s="64" ph="1"/>
    </row>
    <row r="2849" spans="23:23" ht="26.4">
      <c r="W2849" s="64" ph="1"/>
    </row>
    <row r="2850" spans="23:23" ht="26.4">
      <c r="W2850" s="64" ph="1"/>
    </row>
    <row r="2851" spans="23:23" ht="26.4">
      <c r="W2851" s="64" ph="1"/>
    </row>
    <row r="2852" spans="23:23" ht="26.4">
      <c r="W2852" s="64" ph="1"/>
    </row>
    <row r="2853" spans="23:23" ht="26.4">
      <c r="W2853" s="64" ph="1"/>
    </row>
    <row r="2854" spans="23:23" ht="26.4">
      <c r="W2854" s="64" ph="1"/>
    </row>
    <row r="2855" spans="23:23" ht="26.4">
      <c r="W2855" s="64" ph="1"/>
    </row>
    <row r="2856" spans="23:23" ht="26.4">
      <c r="W2856" s="64" ph="1"/>
    </row>
    <row r="2857" spans="23:23" ht="26.4">
      <c r="W2857" s="64" ph="1"/>
    </row>
    <row r="2858" spans="23:23" ht="26.4">
      <c r="W2858" s="64" ph="1"/>
    </row>
    <row r="2859" spans="23:23" ht="26.4">
      <c r="W2859" s="64" ph="1"/>
    </row>
    <row r="2860" spans="23:23" ht="26.4">
      <c r="W2860" s="64" ph="1"/>
    </row>
    <row r="2861" spans="23:23" ht="26.4">
      <c r="W2861" s="64" ph="1"/>
    </row>
    <row r="2862" spans="23:23" ht="26.4">
      <c r="W2862" s="64" ph="1"/>
    </row>
    <row r="2863" spans="23:23" ht="26.4">
      <c r="W2863" s="64" ph="1"/>
    </row>
    <row r="2864" spans="23:23" ht="26.4">
      <c r="W2864" s="64" ph="1"/>
    </row>
    <row r="2865" spans="23:23" ht="26.4">
      <c r="W2865" s="64" ph="1"/>
    </row>
    <row r="2866" spans="23:23" ht="26.4">
      <c r="W2866" s="64" ph="1"/>
    </row>
    <row r="2867" spans="23:23" ht="26.4">
      <c r="W2867" s="64" ph="1"/>
    </row>
    <row r="2868" spans="23:23" ht="26.4">
      <c r="W2868" s="64" ph="1"/>
    </row>
    <row r="2869" spans="23:23" ht="26.4">
      <c r="W2869" s="64" ph="1"/>
    </row>
    <row r="2870" spans="23:23" ht="26.4">
      <c r="W2870" s="64" ph="1"/>
    </row>
    <row r="2871" spans="23:23" ht="26.4">
      <c r="W2871" s="64" ph="1"/>
    </row>
    <row r="2872" spans="23:23" ht="26.4">
      <c r="W2872" s="64" ph="1"/>
    </row>
    <row r="2873" spans="23:23" ht="26.4">
      <c r="W2873" s="64" ph="1"/>
    </row>
    <row r="2874" spans="23:23" ht="26.4">
      <c r="W2874" s="64" ph="1"/>
    </row>
    <row r="2875" spans="23:23" ht="26.4">
      <c r="W2875" s="64" ph="1"/>
    </row>
    <row r="2876" spans="23:23" ht="26.4">
      <c r="W2876" s="64" ph="1"/>
    </row>
    <row r="2877" spans="23:23" ht="26.4">
      <c r="W2877" s="64" ph="1"/>
    </row>
    <row r="2878" spans="23:23" ht="26.4">
      <c r="W2878" s="64" ph="1"/>
    </row>
    <row r="2879" spans="23:23" ht="26.4">
      <c r="W2879" s="64" ph="1"/>
    </row>
    <row r="2880" spans="23:23" ht="26.4">
      <c r="W2880" s="64" ph="1"/>
    </row>
    <row r="2881" spans="23:23" ht="26.4">
      <c r="W2881" s="64" ph="1"/>
    </row>
    <row r="2882" spans="23:23" ht="26.4">
      <c r="W2882" s="64" ph="1"/>
    </row>
    <row r="2883" spans="23:23" ht="26.4">
      <c r="W2883" s="64" ph="1"/>
    </row>
    <row r="2884" spans="23:23" ht="26.4">
      <c r="W2884" s="64" ph="1"/>
    </row>
    <row r="2885" spans="23:23" ht="26.4">
      <c r="W2885" s="64" ph="1"/>
    </row>
    <row r="2886" spans="23:23" ht="26.4">
      <c r="W2886" s="64" ph="1"/>
    </row>
    <row r="2887" spans="23:23" ht="26.4">
      <c r="W2887" s="64" ph="1"/>
    </row>
    <row r="2888" spans="23:23" ht="26.4">
      <c r="W2888" s="64" ph="1"/>
    </row>
    <row r="2889" spans="23:23" ht="26.4">
      <c r="W2889" s="64" ph="1"/>
    </row>
    <row r="2890" spans="23:23" ht="26.4">
      <c r="W2890" s="64" ph="1"/>
    </row>
    <row r="2891" spans="23:23" ht="26.4">
      <c r="W2891" s="64" ph="1"/>
    </row>
    <row r="2892" spans="23:23" ht="26.4">
      <c r="W2892" s="64" ph="1"/>
    </row>
    <row r="2893" spans="23:23" ht="26.4">
      <c r="W2893" s="64" ph="1"/>
    </row>
    <row r="2894" spans="23:23" ht="26.4">
      <c r="W2894" s="64" ph="1"/>
    </row>
    <row r="2895" spans="23:23" ht="26.4">
      <c r="W2895" s="64" ph="1"/>
    </row>
    <row r="2896" spans="23:23" ht="26.4">
      <c r="W2896" s="64" ph="1"/>
    </row>
    <row r="2897" spans="23:23" ht="26.4">
      <c r="W2897" s="64" ph="1"/>
    </row>
    <row r="2898" spans="23:23" ht="26.4">
      <c r="W2898" s="64" ph="1"/>
    </row>
    <row r="2899" spans="23:23" ht="26.4">
      <c r="W2899" s="64" ph="1"/>
    </row>
    <row r="2900" spans="23:23" ht="26.4">
      <c r="W2900" s="64" ph="1"/>
    </row>
    <row r="2901" spans="23:23" ht="26.4">
      <c r="W2901" s="64" ph="1"/>
    </row>
    <row r="2902" spans="23:23" ht="26.4">
      <c r="W2902" s="64" ph="1"/>
    </row>
    <row r="2903" spans="23:23" ht="26.4">
      <c r="W2903" s="64" ph="1"/>
    </row>
    <row r="2904" spans="23:23" ht="26.4">
      <c r="W2904" s="64" ph="1"/>
    </row>
    <row r="2905" spans="23:23" ht="26.4">
      <c r="W2905" s="64" ph="1"/>
    </row>
    <row r="2906" spans="23:23" ht="26.4">
      <c r="W2906" s="64" ph="1"/>
    </row>
    <row r="2907" spans="23:23" ht="26.4">
      <c r="W2907" s="64" ph="1"/>
    </row>
    <row r="2908" spans="23:23" ht="26.4">
      <c r="W2908" s="64" ph="1"/>
    </row>
    <row r="2909" spans="23:23" ht="26.4">
      <c r="W2909" s="64" ph="1"/>
    </row>
    <row r="2910" spans="23:23" ht="26.4">
      <c r="W2910" s="64" ph="1"/>
    </row>
    <row r="2911" spans="23:23" ht="26.4">
      <c r="W2911" s="64" ph="1"/>
    </row>
    <row r="2912" spans="23:23" ht="26.4">
      <c r="W2912" s="64" ph="1"/>
    </row>
    <row r="2913" spans="23:23" ht="26.4">
      <c r="W2913" s="64" ph="1"/>
    </row>
    <row r="2914" spans="23:23" ht="26.4">
      <c r="W2914" s="64" ph="1"/>
    </row>
    <row r="2915" spans="23:23" ht="26.4">
      <c r="W2915" s="64" ph="1"/>
    </row>
    <row r="2916" spans="23:23" ht="26.4">
      <c r="W2916" s="64" ph="1"/>
    </row>
    <row r="2917" spans="23:23" ht="26.4">
      <c r="W2917" s="64" ph="1"/>
    </row>
    <row r="2918" spans="23:23" ht="26.4">
      <c r="W2918" s="64" ph="1"/>
    </row>
    <row r="2919" spans="23:23" ht="26.4">
      <c r="W2919" s="64" ph="1"/>
    </row>
    <row r="2920" spans="23:23" ht="26.4">
      <c r="W2920" s="64" ph="1"/>
    </row>
    <row r="2921" spans="23:23" ht="26.4">
      <c r="W2921" s="64" ph="1"/>
    </row>
    <row r="2922" spans="23:23" ht="26.4">
      <c r="W2922" s="64" ph="1"/>
    </row>
    <row r="2923" spans="23:23" ht="26.4">
      <c r="W2923" s="64" ph="1"/>
    </row>
    <row r="2924" spans="23:23" ht="26.4">
      <c r="W2924" s="64" ph="1"/>
    </row>
    <row r="2925" spans="23:23" ht="26.4">
      <c r="W2925" s="64" ph="1"/>
    </row>
    <row r="2926" spans="23:23" ht="26.4">
      <c r="W2926" s="64" ph="1"/>
    </row>
    <row r="2927" spans="23:23" ht="26.4">
      <c r="W2927" s="64" ph="1"/>
    </row>
    <row r="2928" spans="23:23" ht="26.4">
      <c r="W2928" s="64" ph="1"/>
    </row>
    <row r="2929" spans="23:23" ht="26.4">
      <c r="W2929" s="64" ph="1"/>
    </row>
    <row r="2930" spans="23:23" ht="26.4">
      <c r="W2930" s="64" ph="1"/>
    </row>
    <row r="2931" spans="23:23" ht="26.4">
      <c r="W2931" s="64" ph="1"/>
    </row>
    <row r="2932" spans="23:23" ht="26.4">
      <c r="W2932" s="64" ph="1"/>
    </row>
    <row r="2933" spans="23:23" ht="26.4">
      <c r="W2933" s="64" ph="1"/>
    </row>
    <row r="2934" spans="23:23" ht="26.4">
      <c r="W2934" s="64" ph="1"/>
    </row>
    <row r="2935" spans="23:23" ht="26.4">
      <c r="W2935" s="64" ph="1"/>
    </row>
    <row r="2936" spans="23:23" ht="26.4">
      <c r="W2936" s="64" ph="1"/>
    </row>
    <row r="2937" spans="23:23" ht="26.4">
      <c r="W2937" s="64" ph="1"/>
    </row>
    <row r="2938" spans="23:23" ht="26.4">
      <c r="W2938" s="64" ph="1"/>
    </row>
    <row r="2939" spans="23:23" ht="26.4">
      <c r="W2939" s="64" ph="1"/>
    </row>
    <row r="2940" spans="23:23" ht="26.4">
      <c r="W2940" s="64" ph="1"/>
    </row>
    <row r="2941" spans="23:23" ht="26.4">
      <c r="W2941" s="64" ph="1"/>
    </row>
    <row r="2942" spans="23:23" ht="26.4">
      <c r="W2942" s="64" ph="1"/>
    </row>
    <row r="2943" spans="23:23" ht="26.4">
      <c r="W2943" s="64" ph="1"/>
    </row>
    <row r="2944" spans="23:23" ht="26.4">
      <c r="W2944" s="64" ph="1"/>
    </row>
    <row r="2945" spans="23:23" ht="26.4">
      <c r="W2945" s="64" ph="1"/>
    </row>
    <row r="2946" spans="23:23" ht="26.4">
      <c r="W2946" s="64" ph="1"/>
    </row>
    <row r="2947" spans="23:23" ht="26.4">
      <c r="W2947" s="64" ph="1"/>
    </row>
    <row r="2948" spans="23:23" ht="26.4">
      <c r="W2948" s="64" ph="1"/>
    </row>
    <row r="2949" spans="23:23" ht="26.4">
      <c r="W2949" s="64" ph="1"/>
    </row>
    <row r="2950" spans="23:23" ht="26.4">
      <c r="W2950" s="64" ph="1"/>
    </row>
    <row r="2951" spans="23:23" ht="26.4">
      <c r="W2951" s="64" ph="1"/>
    </row>
    <row r="2952" spans="23:23" ht="26.4">
      <c r="W2952" s="64" ph="1"/>
    </row>
    <row r="2953" spans="23:23" ht="26.4">
      <c r="W2953" s="64" ph="1"/>
    </row>
    <row r="2954" spans="23:23" ht="26.4">
      <c r="W2954" s="64" ph="1"/>
    </row>
    <row r="2955" spans="23:23" ht="26.4">
      <c r="W2955" s="64" ph="1"/>
    </row>
    <row r="2956" spans="23:23" ht="26.4">
      <c r="W2956" s="64" ph="1"/>
    </row>
    <row r="2957" spans="23:23" ht="26.4">
      <c r="W2957" s="64" ph="1"/>
    </row>
    <row r="2958" spans="23:23" ht="26.4">
      <c r="W2958" s="64" ph="1"/>
    </row>
    <row r="2959" spans="23:23" ht="26.4">
      <c r="W2959" s="64" ph="1"/>
    </row>
    <row r="2960" spans="23:23" ht="26.4">
      <c r="W2960" s="64" ph="1"/>
    </row>
    <row r="2961" spans="23:23" ht="26.4">
      <c r="W2961" s="64" ph="1"/>
    </row>
    <row r="2962" spans="23:23" ht="26.4">
      <c r="W2962" s="64" ph="1"/>
    </row>
    <row r="2963" spans="23:23" ht="26.4">
      <c r="W2963" s="64" ph="1"/>
    </row>
    <row r="2964" spans="23:23" ht="26.4">
      <c r="W2964" s="64" ph="1"/>
    </row>
    <row r="2965" spans="23:23" ht="26.4">
      <c r="W2965" s="64" ph="1"/>
    </row>
    <row r="2966" spans="23:23" ht="26.4">
      <c r="W2966" s="64" ph="1"/>
    </row>
    <row r="2967" spans="23:23" ht="26.4">
      <c r="W2967" s="64" ph="1"/>
    </row>
    <row r="2968" spans="23:23" ht="26.4">
      <c r="W2968" s="64" ph="1"/>
    </row>
    <row r="2969" spans="23:23" ht="26.4">
      <c r="W2969" s="64" ph="1"/>
    </row>
    <row r="2970" spans="23:23" ht="26.4">
      <c r="W2970" s="64" ph="1"/>
    </row>
    <row r="2971" spans="23:23" ht="26.4">
      <c r="W2971" s="64" ph="1"/>
    </row>
    <row r="2972" spans="23:23" ht="26.4">
      <c r="W2972" s="64" ph="1"/>
    </row>
    <row r="2973" spans="23:23" ht="26.4">
      <c r="W2973" s="64" ph="1"/>
    </row>
    <row r="2974" spans="23:23" ht="26.4">
      <c r="W2974" s="64" ph="1"/>
    </row>
    <row r="2975" spans="23:23" ht="26.4">
      <c r="W2975" s="64" ph="1"/>
    </row>
    <row r="2976" spans="23:23" ht="26.4">
      <c r="W2976" s="64" ph="1"/>
    </row>
    <row r="2977" spans="23:23" ht="26.4">
      <c r="W2977" s="64" ph="1"/>
    </row>
    <row r="2978" spans="23:23" ht="26.4">
      <c r="W2978" s="64" ph="1"/>
    </row>
    <row r="2979" spans="23:23" ht="26.4">
      <c r="W2979" s="64" ph="1"/>
    </row>
    <row r="2980" spans="23:23" ht="26.4">
      <c r="W2980" s="64" ph="1"/>
    </row>
    <row r="2981" spans="23:23" ht="26.4">
      <c r="W2981" s="64" ph="1"/>
    </row>
    <row r="2982" spans="23:23" ht="26.4">
      <c r="W2982" s="64" ph="1"/>
    </row>
    <row r="2983" spans="23:23" ht="26.4">
      <c r="W2983" s="64" ph="1"/>
    </row>
    <row r="2984" spans="23:23" ht="26.4">
      <c r="W2984" s="64" ph="1"/>
    </row>
    <row r="2985" spans="23:23" ht="26.4">
      <c r="W2985" s="64" ph="1"/>
    </row>
    <row r="2986" spans="23:23" ht="26.4">
      <c r="W2986" s="64" ph="1"/>
    </row>
    <row r="2987" spans="23:23" ht="26.4">
      <c r="W2987" s="64" ph="1"/>
    </row>
    <row r="2988" spans="23:23" ht="26.4">
      <c r="W2988" s="64" ph="1"/>
    </row>
    <row r="2989" spans="23:23" ht="26.4">
      <c r="W2989" s="64" ph="1"/>
    </row>
    <row r="2990" spans="23:23" ht="26.4">
      <c r="W2990" s="64" ph="1"/>
    </row>
    <row r="2991" spans="23:23" ht="26.4">
      <c r="W2991" s="64" ph="1"/>
    </row>
    <row r="2992" spans="23:23" ht="26.4">
      <c r="W2992" s="64" ph="1"/>
    </row>
    <row r="2993" spans="23:23" ht="26.4">
      <c r="W2993" s="64" ph="1"/>
    </row>
    <row r="2994" spans="23:23" ht="26.4">
      <c r="W2994" s="64" ph="1"/>
    </row>
    <row r="2995" spans="23:23" ht="26.4">
      <c r="W2995" s="64" ph="1"/>
    </row>
    <row r="2996" spans="23:23" ht="26.4">
      <c r="W2996" s="64" ph="1"/>
    </row>
    <row r="2997" spans="23:23" ht="26.4">
      <c r="W2997" s="64" ph="1"/>
    </row>
    <row r="2998" spans="23:23" ht="26.4">
      <c r="W2998" s="64" ph="1"/>
    </row>
    <row r="2999" spans="23:23" ht="26.4">
      <c r="W2999" s="64" ph="1"/>
    </row>
    <row r="3000" spans="23:23" ht="26.4">
      <c r="W3000" s="64" ph="1"/>
    </row>
    <row r="3001" spans="23:23" ht="26.4">
      <c r="W3001" s="64" ph="1"/>
    </row>
    <row r="3002" spans="23:23" ht="26.4">
      <c r="W3002" s="64" ph="1"/>
    </row>
    <row r="3003" spans="23:23" ht="26.4">
      <c r="W3003" s="64" ph="1"/>
    </row>
    <row r="3004" spans="23:23" ht="26.4">
      <c r="W3004" s="64" ph="1"/>
    </row>
    <row r="3005" spans="23:23" ht="26.4">
      <c r="W3005" s="64" ph="1"/>
    </row>
    <row r="3006" spans="23:23" ht="26.4">
      <c r="W3006" s="64" ph="1"/>
    </row>
    <row r="3007" spans="23:23" ht="26.4">
      <c r="W3007" s="64" ph="1"/>
    </row>
    <row r="3008" spans="23:23" ht="26.4">
      <c r="W3008" s="64" ph="1"/>
    </row>
    <row r="3009" spans="23:23" ht="26.4">
      <c r="W3009" s="64" ph="1"/>
    </row>
    <row r="3010" spans="23:23" ht="26.4">
      <c r="W3010" s="64" ph="1"/>
    </row>
    <row r="3011" spans="23:23" ht="26.4">
      <c r="W3011" s="64" ph="1"/>
    </row>
    <row r="3012" spans="23:23" ht="26.4">
      <c r="W3012" s="64" ph="1"/>
    </row>
    <row r="3013" spans="23:23" ht="26.4">
      <c r="W3013" s="64" ph="1"/>
    </row>
    <row r="3014" spans="23:23" ht="26.4">
      <c r="W3014" s="64" ph="1"/>
    </row>
    <row r="3015" spans="23:23" ht="26.4">
      <c r="W3015" s="64" ph="1"/>
    </row>
    <row r="3016" spans="23:23" ht="26.4">
      <c r="W3016" s="64" ph="1"/>
    </row>
    <row r="3017" spans="23:23" ht="26.4">
      <c r="W3017" s="64" ph="1"/>
    </row>
    <row r="3018" spans="23:23" ht="26.4">
      <c r="W3018" s="64" ph="1"/>
    </row>
    <row r="3019" spans="23:23" ht="26.4">
      <c r="W3019" s="64" ph="1"/>
    </row>
    <row r="3020" spans="23:23" ht="26.4">
      <c r="W3020" s="64" ph="1"/>
    </row>
    <row r="3021" spans="23:23" ht="26.4">
      <c r="W3021" s="64" ph="1"/>
    </row>
    <row r="3022" spans="23:23" ht="26.4">
      <c r="W3022" s="64" ph="1"/>
    </row>
    <row r="3023" spans="23:23" ht="26.4">
      <c r="W3023" s="64" ph="1"/>
    </row>
    <row r="3024" spans="23:23" ht="26.4">
      <c r="W3024" s="64" ph="1"/>
    </row>
    <row r="3025" spans="23:23" ht="26.4">
      <c r="W3025" s="64" ph="1"/>
    </row>
    <row r="3026" spans="23:23" ht="26.4">
      <c r="W3026" s="64" ph="1"/>
    </row>
    <row r="3027" spans="23:23" ht="26.4">
      <c r="W3027" s="64" ph="1"/>
    </row>
    <row r="3028" spans="23:23" ht="26.4">
      <c r="W3028" s="64" ph="1"/>
    </row>
    <row r="3029" spans="23:23" ht="26.4">
      <c r="W3029" s="64" ph="1"/>
    </row>
    <row r="3030" spans="23:23" ht="26.4">
      <c r="W3030" s="64" ph="1"/>
    </row>
    <row r="3031" spans="23:23" ht="26.4">
      <c r="W3031" s="64" ph="1"/>
    </row>
    <row r="3032" spans="23:23" ht="26.4">
      <c r="W3032" s="64" ph="1"/>
    </row>
    <row r="3033" spans="23:23" ht="26.4">
      <c r="W3033" s="64" ph="1"/>
    </row>
    <row r="3034" spans="23:23" ht="26.4">
      <c r="W3034" s="64" ph="1"/>
    </row>
    <row r="3035" spans="23:23" ht="26.4">
      <c r="W3035" s="64" ph="1"/>
    </row>
    <row r="3036" spans="23:23" ht="26.4">
      <c r="W3036" s="64" ph="1"/>
    </row>
    <row r="3037" spans="23:23" ht="26.4">
      <c r="W3037" s="64" ph="1"/>
    </row>
    <row r="3038" spans="23:23" ht="26.4">
      <c r="W3038" s="64" ph="1"/>
    </row>
    <row r="3039" spans="23:23" ht="26.4">
      <c r="W3039" s="64" ph="1"/>
    </row>
    <row r="3040" spans="23:23" ht="26.4">
      <c r="W3040" s="64" ph="1"/>
    </row>
    <row r="3041" spans="23:23" ht="26.4">
      <c r="W3041" s="64" ph="1"/>
    </row>
    <row r="3042" spans="23:23" ht="26.4">
      <c r="W3042" s="64" ph="1"/>
    </row>
    <row r="3043" spans="23:23" ht="26.4">
      <c r="W3043" s="64" ph="1"/>
    </row>
    <row r="3044" spans="23:23" ht="26.4">
      <c r="W3044" s="64" ph="1"/>
    </row>
    <row r="3045" spans="23:23" ht="26.4">
      <c r="W3045" s="64" ph="1"/>
    </row>
    <row r="3046" spans="23:23" ht="26.4">
      <c r="W3046" s="64" ph="1"/>
    </row>
    <row r="3047" spans="23:23" ht="26.4">
      <c r="W3047" s="64" ph="1"/>
    </row>
    <row r="3048" spans="23:23" ht="26.4">
      <c r="W3048" s="64" ph="1"/>
    </row>
    <row r="3049" spans="23:23" ht="26.4">
      <c r="W3049" s="64" ph="1"/>
    </row>
    <row r="3050" spans="23:23" ht="26.4">
      <c r="W3050" s="64" ph="1"/>
    </row>
    <row r="3051" spans="23:23" ht="26.4">
      <c r="W3051" s="64" ph="1"/>
    </row>
    <row r="3052" spans="23:23" ht="26.4">
      <c r="W3052" s="64" ph="1"/>
    </row>
    <row r="3053" spans="23:23" ht="26.4">
      <c r="W3053" s="64" ph="1"/>
    </row>
    <row r="3054" spans="23:23" ht="26.4">
      <c r="W3054" s="64" ph="1"/>
    </row>
    <row r="3055" spans="23:23" ht="26.4">
      <c r="W3055" s="64" ph="1"/>
    </row>
    <row r="3056" spans="23:23" ht="26.4">
      <c r="W3056" s="64" ph="1"/>
    </row>
    <row r="3057" spans="23:23" ht="26.4">
      <c r="W3057" s="64" ph="1"/>
    </row>
    <row r="3058" spans="23:23" ht="26.4">
      <c r="W3058" s="64" ph="1"/>
    </row>
    <row r="3059" spans="23:23" ht="26.4">
      <c r="W3059" s="64" ph="1"/>
    </row>
    <row r="3060" spans="23:23" ht="26.4">
      <c r="W3060" s="64" ph="1"/>
    </row>
    <row r="3061" spans="23:23" ht="26.4">
      <c r="W3061" s="64" ph="1"/>
    </row>
    <row r="3062" spans="23:23" ht="26.4">
      <c r="W3062" s="64" ph="1"/>
    </row>
    <row r="3063" spans="23:23" ht="26.4">
      <c r="W3063" s="64" ph="1"/>
    </row>
    <row r="3064" spans="23:23" ht="26.4">
      <c r="W3064" s="64" ph="1"/>
    </row>
    <row r="3065" spans="23:23" ht="26.4">
      <c r="W3065" s="64" ph="1"/>
    </row>
    <row r="3066" spans="23:23" ht="26.4">
      <c r="W3066" s="64" ph="1"/>
    </row>
    <row r="3067" spans="23:23" ht="26.4">
      <c r="W3067" s="64" ph="1"/>
    </row>
    <row r="3068" spans="23:23" ht="26.4">
      <c r="W3068" s="64" ph="1"/>
    </row>
    <row r="3069" spans="23:23" ht="26.4">
      <c r="W3069" s="64" ph="1"/>
    </row>
    <row r="3070" spans="23:23" ht="26.4">
      <c r="W3070" s="64" ph="1"/>
    </row>
    <row r="3071" spans="23:23" ht="26.4">
      <c r="W3071" s="64" ph="1"/>
    </row>
    <row r="3072" spans="23:23" ht="26.4">
      <c r="W3072" s="64" ph="1"/>
    </row>
    <row r="3073" spans="23:23" ht="26.4">
      <c r="W3073" s="64" ph="1"/>
    </row>
    <row r="3074" spans="23:23" ht="26.4">
      <c r="W3074" s="64" ph="1"/>
    </row>
    <row r="3075" spans="23:23" ht="26.4">
      <c r="W3075" s="64" ph="1"/>
    </row>
    <row r="3076" spans="23:23" ht="26.4">
      <c r="W3076" s="64" ph="1"/>
    </row>
    <row r="3077" spans="23:23" ht="26.4">
      <c r="W3077" s="64" ph="1"/>
    </row>
    <row r="3078" spans="23:23" ht="26.4">
      <c r="W3078" s="64" ph="1"/>
    </row>
    <row r="3079" spans="23:23" ht="26.4">
      <c r="W3079" s="64" ph="1"/>
    </row>
    <row r="3080" spans="23:23" ht="26.4">
      <c r="W3080" s="64" ph="1"/>
    </row>
    <row r="3081" spans="23:23" ht="26.4">
      <c r="W3081" s="64" ph="1"/>
    </row>
    <row r="3082" spans="23:23" ht="26.4">
      <c r="W3082" s="64" ph="1"/>
    </row>
    <row r="3083" spans="23:23" ht="26.4">
      <c r="W3083" s="64" ph="1"/>
    </row>
    <row r="3084" spans="23:23" ht="26.4">
      <c r="W3084" s="64" ph="1"/>
    </row>
    <row r="3085" spans="23:23" ht="26.4">
      <c r="W3085" s="64" ph="1"/>
    </row>
    <row r="3086" spans="23:23" ht="26.4">
      <c r="W3086" s="64" ph="1"/>
    </row>
    <row r="3087" spans="23:23" ht="26.4">
      <c r="W3087" s="64" ph="1"/>
    </row>
    <row r="3088" spans="23:23" ht="26.4">
      <c r="W3088" s="64" ph="1"/>
    </row>
    <row r="3089" spans="23:23" ht="26.4">
      <c r="W3089" s="64" ph="1"/>
    </row>
    <row r="3090" spans="23:23" ht="26.4">
      <c r="W3090" s="64" ph="1"/>
    </row>
    <row r="3091" spans="23:23" ht="26.4">
      <c r="W3091" s="64" ph="1"/>
    </row>
    <row r="3092" spans="23:23" ht="26.4">
      <c r="W3092" s="64" ph="1"/>
    </row>
    <row r="3093" spans="23:23" ht="26.4">
      <c r="W3093" s="64" ph="1"/>
    </row>
    <row r="3094" spans="23:23" ht="26.4">
      <c r="W3094" s="64" ph="1"/>
    </row>
    <row r="3095" spans="23:23" ht="26.4">
      <c r="W3095" s="64" ph="1"/>
    </row>
    <row r="3096" spans="23:23" ht="26.4">
      <c r="W3096" s="64" ph="1"/>
    </row>
    <row r="3097" spans="23:23" ht="26.4">
      <c r="W3097" s="64" ph="1"/>
    </row>
    <row r="3098" spans="23:23" ht="26.4">
      <c r="W3098" s="64" ph="1"/>
    </row>
    <row r="3099" spans="23:23" ht="26.4">
      <c r="W3099" s="64" ph="1"/>
    </row>
    <row r="3100" spans="23:23" ht="26.4">
      <c r="W3100" s="64" ph="1"/>
    </row>
    <row r="3101" spans="23:23" ht="26.4">
      <c r="W3101" s="64" ph="1"/>
    </row>
    <row r="3102" spans="23:23" ht="26.4">
      <c r="W3102" s="64" ph="1"/>
    </row>
    <row r="3103" spans="23:23" ht="26.4">
      <c r="W3103" s="64" ph="1"/>
    </row>
    <row r="3104" spans="23:23" ht="26.4">
      <c r="W3104" s="64" ph="1"/>
    </row>
    <row r="3105" spans="23:23" ht="26.4">
      <c r="W3105" s="64" ph="1"/>
    </row>
    <row r="3106" spans="23:23" ht="26.4">
      <c r="W3106" s="64" ph="1"/>
    </row>
    <row r="3107" spans="23:23" ht="26.4">
      <c r="W3107" s="64" ph="1"/>
    </row>
    <row r="3108" spans="23:23" ht="26.4">
      <c r="W3108" s="64" ph="1"/>
    </row>
    <row r="3109" spans="23:23" ht="26.4">
      <c r="W3109" s="64" ph="1"/>
    </row>
    <row r="3110" spans="23:23" ht="26.4">
      <c r="W3110" s="64" ph="1"/>
    </row>
    <row r="3111" spans="23:23" ht="26.4">
      <c r="W3111" s="64" ph="1"/>
    </row>
    <row r="3112" spans="23:23" ht="26.4">
      <c r="W3112" s="64" ph="1"/>
    </row>
    <row r="3113" spans="23:23" ht="26.4">
      <c r="W3113" s="64" ph="1"/>
    </row>
    <row r="3114" spans="23:23" ht="26.4">
      <c r="W3114" s="64" ph="1"/>
    </row>
    <row r="3115" spans="23:23" ht="26.4">
      <c r="W3115" s="64" ph="1"/>
    </row>
    <row r="3116" spans="23:23" ht="26.4">
      <c r="W3116" s="64" ph="1"/>
    </row>
    <row r="3117" spans="23:23" ht="26.4">
      <c r="W3117" s="64" ph="1"/>
    </row>
    <row r="3118" spans="23:23" ht="26.4">
      <c r="W3118" s="64" ph="1"/>
    </row>
    <row r="3119" spans="23:23" ht="26.4">
      <c r="W3119" s="64" ph="1"/>
    </row>
    <row r="3120" spans="23:23" ht="26.4">
      <c r="W3120" s="64" ph="1"/>
    </row>
    <row r="3121" spans="23:23" ht="26.4">
      <c r="W3121" s="64" ph="1"/>
    </row>
    <row r="3122" spans="23:23" ht="26.4">
      <c r="W3122" s="64" ph="1"/>
    </row>
    <row r="3123" spans="23:23" ht="26.4">
      <c r="W3123" s="64" ph="1"/>
    </row>
    <row r="3124" spans="23:23" ht="26.4">
      <c r="W3124" s="64" ph="1"/>
    </row>
    <row r="3125" spans="23:23" ht="26.4">
      <c r="W3125" s="64" ph="1"/>
    </row>
    <row r="3126" spans="23:23" ht="26.4">
      <c r="W3126" s="64" ph="1"/>
    </row>
    <row r="3127" spans="23:23" ht="26.4">
      <c r="W3127" s="64" ph="1"/>
    </row>
    <row r="3128" spans="23:23" ht="26.4">
      <c r="W3128" s="64" ph="1"/>
    </row>
    <row r="3129" spans="23:23" ht="26.4">
      <c r="W3129" s="64" ph="1"/>
    </row>
    <row r="3130" spans="23:23" ht="26.4">
      <c r="W3130" s="64" ph="1"/>
    </row>
    <row r="3131" spans="23:23" ht="26.4">
      <c r="W3131" s="64" ph="1"/>
    </row>
    <row r="3132" spans="23:23" ht="26.4">
      <c r="W3132" s="64" ph="1"/>
    </row>
    <row r="3133" spans="23:23" ht="26.4">
      <c r="W3133" s="64" ph="1"/>
    </row>
    <row r="3134" spans="23:23" ht="26.4">
      <c r="W3134" s="64" ph="1"/>
    </row>
    <row r="3135" spans="23:23" ht="26.4">
      <c r="W3135" s="64" ph="1"/>
    </row>
    <row r="3136" spans="23:23" ht="26.4">
      <c r="W3136" s="64" ph="1"/>
    </row>
    <row r="3137" spans="23:23" ht="26.4">
      <c r="W3137" s="64" ph="1"/>
    </row>
    <row r="3138" spans="23:23" ht="26.4">
      <c r="W3138" s="64" ph="1"/>
    </row>
    <row r="3139" spans="23:23" ht="26.4">
      <c r="W3139" s="64" ph="1"/>
    </row>
    <row r="3140" spans="23:23" ht="26.4">
      <c r="W3140" s="64" ph="1"/>
    </row>
    <row r="3141" spans="23:23" ht="26.4">
      <c r="W3141" s="64" ph="1"/>
    </row>
    <row r="3142" spans="23:23" ht="26.4">
      <c r="W3142" s="64" ph="1"/>
    </row>
    <row r="3143" spans="23:23" ht="26.4">
      <c r="W3143" s="64" ph="1"/>
    </row>
    <row r="3144" spans="23:23" ht="26.4">
      <c r="W3144" s="64" ph="1"/>
    </row>
    <row r="3145" spans="23:23" ht="26.4">
      <c r="W3145" s="64" ph="1"/>
    </row>
    <row r="3146" spans="23:23" ht="26.4">
      <c r="W3146" s="64" ph="1"/>
    </row>
    <row r="3147" spans="23:23" ht="26.4">
      <c r="W3147" s="64" ph="1"/>
    </row>
    <row r="3148" spans="23:23" ht="26.4">
      <c r="W3148" s="64" ph="1"/>
    </row>
    <row r="3149" spans="23:23" ht="26.4">
      <c r="W3149" s="64" ph="1"/>
    </row>
    <row r="3150" spans="23:23" ht="26.4">
      <c r="W3150" s="64" ph="1"/>
    </row>
    <row r="3151" spans="23:23" ht="26.4">
      <c r="W3151" s="64" ph="1"/>
    </row>
    <row r="3152" spans="23:23" ht="26.4">
      <c r="W3152" s="64" ph="1"/>
    </row>
    <row r="3153" spans="23:23" ht="26.4">
      <c r="W3153" s="64" ph="1"/>
    </row>
    <row r="3154" spans="23:23" ht="26.4">
      <c r="W3154" s="64" ph="1"/>
    </row>
    <row r="3155" spans="23:23" ht="26.4">
      <c r="W3155" s="64" ph="1"/>
    </row>
    <row r="3156" spans="23:23" ht="26.4">
      <c r="W3156" s="64" ph="1"/>
    </row>
    <row r="3157" spans="23:23" ht="26.4">
      <c r="W3157" s="64" ph="1"/>
    </row>
    <row r="3158" spans="23:23" ht="26.4">
      <c r="W3158" s="64" ph="1"/>
    </row>
    <row r="3159" spans="23:23" ht="26.4">
      <c r="W3159" s="64" ph="1"/>
    </row>
    <row r="3160" spans="23:23" ht="26.4">
      <c r="W3160" s="64" ph="1"/>
    </row>
    <row r="3161" spans="23:23" ht="26.4">
      <c r="W3161" s="64" ph="1"/>
    </row>
    <row r="3162" spans="23:23" ht="26.4">
      <c r="W3162" s="64" ph="1"/>
    </row>
    <row r="3163" spans="23:23" ht="26.4">
      <c r="W3163" s="64" ph="1"/>
    </row>
    <row r="3164" spans="23:23" ht="26.4">
      <c r="W3164" s="64" ph="1"/>
    </row>
    <row r="3165" spans="23:23" ht="26.4">
      <c r="W3165" s="64" ph="1"/>
    </row>
    <row r="3166" spans="23:23" ht="26.4">
      <c r="W3166" s="64" ph="1"/>
    </row>
    <row r="3167" spans="23:23" ht="26.4">
      <c r="W3167" s="64" ph="1"/>
    </row>
    <row r="3168" spans="23:23" ht="26.4">
      <c r="W3168" s="64" ph="1"/>
    </row>
    <row r="3169" spans="23:23" ht="26.4">
      <c r="W3169" s="64" ph="1"/>
    </row>
    <row r="3170" spans="23:23" ht="26.4">
      <c r="W3170" s="64" ph="1"/>
    </row>
    <row r="3171" spans="23:23" ht="26.4">
      <c r="W3171" s="64" ph="1"/>
    </row>
    <row r="3172" spans="23:23" ht="26.4">
      <c r="W3172" s="64" ph="1"/>
    </row>
    <row r="3173" spans="23:23" ht="26.4">
      <c r="W3173" s="64" ph="1"/>
    </row>
    <row r="3174" spans="23:23" ht="26.4">
      <c r="W3174" s="64" ph="1"/>
    </row>
    <row r="3175" spans="23:23" ht="26.4">
      <c r="W3175" s="64" ph="1"/>
    </row>
    <row r="3176" spans="23:23" ht="26.4">
      <c r="W3176" s="64" ph="1"/>
    </row>
    <row r="3177" spans="23:23" ht="26.4">
      <c r="W3177" s="64" ph="1"/>
    </row>
    <row r="3178" spans="23:23" ht="26.4">
      <c r="W3178" s="64" ph="1"/>
    </row>
    <row r="3179" spans="23:23" ht="26.4">
      <c r="W3179" s="64" ph="1"/>
    </row>
    <row r="3180" spans="23:23" ht="26.4">
      <c r="W3180" s="64" ph="1"/>
    </row>
    <row r="3181" spans="23:23" ht="26.4">
      <c r="W3181" s="64" ph="1"/>
    </row>
    <row r="3182" spans="23:23" ht="26.4">
      <c r="W3182" s="64" ph="1"/>
    </row>
    <row r="3183" spans="23:23" ht="26.4">
      <c r="W3183" s="64" ph="1"/>
    </row>
    <row r="3184" spans="23:23" ht="26.4">
      <c r="W3184" s="64" ph="1"/>
    </row>
    <row r="3185" spans="23:23" ht="26.4">
      <c r="W3185" s="64" ph="1"/>
    </row>
    <row r="3186" spans="23:23" ht="26.4">
      <c r="W3186" s="64" ph="1"/>
    </row>
    <row r="3187" spans="23:23" ht="26.4">
      <c r="W3187" s="64" ph="1"/>
    </row>
    <row r="3188" spans="23:23" ht="26.4">
      <c r="W3188" s="64" ph="1"/>
    </row>
    <row r="3189" spans="23:23" ht="26.4">
      <c r="W3189" s="64" ph="1"/>
    </row>
    <row r="3190" spans="23:23" ht="26.4">
      <c r="W3190" s="64" ph="1"/>
    </row>
    <row r="3191" spans="23:23" ht="26.4">
      <c r="W3191" s="64" ph="1"/>
    </row>
    <row r="3192" spans="23:23" ht="26.4">
      <c r="W3192" s="64" ph="1"/>
    </row>
    <row r="3193" spans="23:23" ht="26.4">
      <c r="W3193" s="64" ph="1"/>
    </row>
    <row r="3194" spans="23:23" ht="26.4">
      <c r="W3194" s="64" ph="1"/>
    </row>
    <row r="3195" spans="23:23" ht="26.4">
      <c r="W3195" s="64" ph="1"/>
    </row>
    <row r="3196" spans="23:23" ht="26.4">
      <c r="W3196" s="64" ph="1"/>
    </row>
    <row r="3197" spans="23:23" ht="26.4">
      <c r="W3197" s="64" ph="1"/>
    </row>
    <row r="3198" spans="23:23" ht="26.4">
      <c r="W3198" s="64" ph="1"/>
    </row>
    <row r="3199" spans="23:23" ht="26.4">
      <c r="W3199" s="64" ph="1"/>
    </row>
    <row r="3200" spans="23:23" ht="26.4">
      <c r="W3200" s="64" ph="1"/>
    </row>
    <row r="3201" spans="23:23" ht="26.4">
      <c r="W3201" s="64" ph="1"/>
    </row>
    <row r="3202" spans="23:23" ht="26.4">
      <c r="W3202" s="64" ph="1"/>
    </row>
    <row r="3203" spans="23:23" ht="26.4">
      <c r="W3203" s="64" ph="1"/>
    </row>
    <row r="3204" spans="23:23" ht="26.4">
      <c r="W3204" s="64" ph="1"/>
    </row>
    <row r="3205" spans="23:23" ht="26.4">
      <c r="W3205" s="64" ph="1"/>
    </row>
    <row r="3206" spans="23:23" ht="26.4">
      <c r="W3206" s="64" ph="1"/>
    </row>
    <row r="3207" spans="23:23" ht="26.4">
      <c r="W3207" s="64" ph="1"/>
    </row>
    <row r="3208" spans="23:23" ht="26.4">
      <c r="W3208" s="64" ph="1"/>
    </row>
    <row r="3209" spans="23:23" ht="26.4">
      <c r="W3209" s="64" ph="1"/>
    </row>
    <row r="3210" spans="23:23" ht="26.4">
      <c r="W3210" s="64" ph="1"/>
    </row>
    <row r="3211" spans="23:23" ht="26.4">
      <c r="W3211" s="64" ph="1"/>
    </row>
    <row r="3212" spans="23:23" ht="26.4">
      <c r="W3212" s="64" ph="1"/>
    </row>
    <row r="3213" spans="23:23" ht="26.4">
      <c r="W3213" s="64" ph="1"/>
    </row>
    <row r="3214" spans="23:23" ht="26.4">
      <c r="W3214" s="64" ph="1"/>
    </row>
    <row r="3215" spans="23:23" ht="26.4">
      <c r="W3215" s="64" ph="1"/>
    </row>
    <row r="3216" spans="23:23" ht="26.4">
      <c r="W3216" s="64" ph="1"/>
    </row>
    <row r="3217" spans="23:23" ht="26.4">
      <c r="W3217" s="64" ph="1"/>
    </row>
    <row r="3218" spans="23:23" ht="26.4">
      <c r="W3218" s="64" ph="1"/>
    </row>
    <row r="3219" spans="23:23" ht="26.4">
      <c r="W3219" s="64" ph="1"/>
    </row>
    <row r="3220" spans="23:23" ht="26.4">
      <c r="W3220" s="64" ph="1"/>
    </row>
    <row r="3221" spans="23:23" ht="26.4">
      <c r="W3221" s="64" ph="1"/>
    </row>
    <row r="3222" spans="23:23" ht="26.4">
      <c r="W3222" s="64" ph="1"/>
    </row>
    <row r="3223" spans="23:23" ht="26.4">
      <c r="W3223" s="64" ph="1"/>
    </row>
    <row r="3224" spans="23:23" ht="26.4">
      <c r="W3224" s="64" ph="1"/>
    </row>
    <row r="3225" spans="23:23" ht="26.4">
      <c r="W3225" s="64" ph="1"/>
    </row>
    <row r="3226" spans="23:23" ht="26.4">
      <c r="W3226" s="64" ph="1"/>
    </row>
    <row r="3227" spans="23:23" ht="26.4">
      <c r="W3227" s="64" ph="1"/>
    </row>
    <row r="3228" spans="23:23" ht="26.4">
      <c r="W3228" s="64" ph="1"/>
    </row>
    <row r="3229" spans="23:23" ht="26.4">
      <c r="W3229" s="64" ph="1"/>
    </row>
    <row r="3230" spans="23:23" ht="26.4">
      <c r="W3230" s="64" ph="1"/>
    </row>
    <row r="3231" spans="23:23" ht="26.4">
      <c r="W3231" s="64" ph="1"/>
    </row>
    <row r="3232" spans="23:23" ht="26.4">
      <c r="W3232" s="64" ph="1"/>
    </row>
    <row r="3233" spans="23:23" ht="26.4">
      <c r="W3233" s="64" ph="1"/>
    </row>
    <row r="3234" spans="23:23" ht="26.4">
      <c r="W3234" s="64" ph="1"/>
    </row>
    <row r="3235" spans="23:23" ht="26.4">
      <c r="W3235" s="64" ph="1"/>
    </row>
    <row r="3236" spans="23:23" ht="26.4">
      <c r="W3236" s="64" ph="1"/>
    </row>
    <row r="3237" spans="23:23" ht="26.4">
      <c r="W3237" s="64" ph="1"/>
    </row>
    <row r="3238" spans="23:23" ht="26.4">
      <c r="W3238" s="64" ph="1"/>
    </row>
    <row r="3239" spans="23:23" ht="26.4">
      <c r="W3239" s="64" ph="1"/>
    </row>
    <row r="3240" spans="23:23" ht="26.4">
      <c r="W3240" s="64" ph="1"/>
    </row>
    <row r="3241" spans="23:23" ht="26.4">
      <c r="W3241" s="64" ph="1"/>
    </row>
    <row r="3242" spans="23:23" ht="26.4">
      <c r="W3242" s="64" ph="1"/>
    </row>
    <row r="3243" spans="23:23" ht="26.4">
      <c r="W3243" s="64" ph="1"/>
    </row>
    <row r="3244" spans="23:23" ht="26.4">
      <c r="W3244" s="64" ph="1"/>
    </row>
    <row r="3245" spans="23:23" ht="26.4">
      <c r="W3245" s="64" ph="1"/>
    </row>
    <row r="3246" spans="23:23" ht="26.4">
      <c r="W3246" s="64" ph="1"/>
    </row>
    <row r="3247" spans="23:23" ht="26.4">
      <c r="W3247" s="64" ph="1"/>
    </row>
    <row r="3248" spans="23:23" ht="26.4">
      <c r="W3248" s="64" ph="1"/>
    </row>
    <row r="3249" spans="23:23" ht="26.4">
      <c r="W3249" s="64" ph="1"/>
    </row>
    <row r="3250" spans="23:23" ht="26.4">
      <c r="W3250" s="64" ph="1"/>
    </row>
    <row r="3251" spans="23:23" ht="26.4">
      <c r="W3251" s="64" ph="1"/>
    </row>
    <row r="3252" spans="23:23" ht="26.4">
      <c r="W3252" s="64" ph="1"/>
    </row>
    <row r="3253" spans="23:23" ht="26.4">
      <c r="W3253" s="64" ph="1"/>
    </row>
    <row r="3254" spans="23:23" ht="26.4">
      <c r="W3254" s="64" ph="1"/>
    </row>
    <row r="3255" spans="23:23" ht="26.4">
      <c r="W3255" s="64" ph="1"/>
    </row>
    <row r="3256" spans="23:23" ht="26.4">
      <c r="W3256" s="64" ph="1"/>
    </row>
    <row r="3257" spans="23:23" ht="26.4">
      <c r="W3257" s="64" ph="1"/>
    </row>
    <row r="3258" spans="23:23" ht="26.4">
      <c r="W3258" s="64" ph="1"/>
    </row>
    <row r="3259" spans="23:23" ht="26.4">
      <c r="W3259" s="64" ph="1"/>
    </row>
    <row r="3260" spans="23:23" ht="26.4">
      <c r="W3260" s="64" ph="1"/>
    </row>
    <row r="3261" spans="23:23" ht="26.4">
      <c r="W3261" s="64" ph="1"/>
    </row>
    <row r="3262" spans="23:23" ht="26.4">
      <c r="W3262" s="64" ph="1"/>
    </row>
    <row r="3263" spans="23:23" ht="26.4">
      <c r="W3263" s="64" ph="1"/>
    </row>
    <row r="3264" spans="23:23" ht="26.4">
      <c r="W3264" s="64" ph="1"/>
    </row>
    <row r="3265" spans="23:23" ht="26.4">
      <c r="W3265" s="64" ph="1"/>
    </row>
    <row r="3266" spans="23:23" ht="26.4">
      <c r="W3266" s="64" ph="1"/>
    </row>
    <row r="3267" spans="23:23" ht="26.4">
      <c r="W3267" s="64" ph="1"/>
    </row>
    <row r="3268" spans="23:23" ht="26.4">
      <c r="W3268" s="64" ph="1"/>
    </row>
    <row r="3269" spans="23:23" ht="26.4">
      <c r="W3269" s="64" ph="1"/>
    </row>
    <row r="3270" spans="23:23" ht="26.4">
      <c r="W3270" s="64" ph="1"/>
    </row>
    <row r="3271" spans="23:23" ht="26.4">
      <c r="W3271" s="64" ph="1"/>
    </row>
    <row r="3272" spans="23:23" ht="26.4">
      <c r="W3272" s="64" ph="1"/>
    </row>
    <row r="3273" spans="23:23" ht="26.4">
      <c r="W3273" s="64" ph="1"/>
    </row>
    <row r="3274" spans="23:23" ht="26.4">
      <c r="W3274" s="64" ph="1"/>
    </row>
    <row r="3275" spans="23:23" ht="26.4">
      <c r="W3275" s="64" ph="1"/>
    </row>
    <row r="3276" spans="23:23" ht="26.4">
      <c r="W3276" s="64" ph="1"/>
    </row>
    <row r="3277" spans="23:23" ht="26.4">
      <c r="W3277" s="64" ph="1"/>
    </row>
    <row r="3278" spans="23:23" ht="26.4">
      <c r="W3278" s="64" ph="1"/>
    </row>
    <row r="3279" spans="23:23" ht="26.4">
      <c r="W3279" s="64" ph="1"/>
    </row>
    <row r="3280" spans="23:23" ht="26.4">
      <c r="W3280" s="64" ph="1"/>
    </row>
    <row r="3281" spans="23:23" ht="26.4">
      <c r="W3281" s="64" ph="1"/>
    </row>
    <row r="3282" spans="23:23" ht="26.4">
      <c r="W3282" s="64" ph="1"/>
    </row>
    <row r="3283" spans="23:23" ht="26.4">
      <c r="W3283" s="64" ph="1"/>
    </row>
    <row r="3284" spans="23:23" ht="26.4">
      <c r="W3284" s="64" ph="1"/>
    </row>
    <row r="3285" spans="23:23" ht="26.4">
      <c r="W3285" s="64" ph="1"/>
    </row>
    <row r="3286" spans="23:23" ht="26.4">
      <c r="W3286" s="64" ph="1"/>
    </row>
    <row r="3287" spans="23:23" ht="26.4">
      <c r="W3287" s="64" ph="1"/>
    </row>
    <row r="3288" spans="23:23" ht="26.4">
      <c r="W3288" s="64" ph="1"/>
    </row>
    <row r="3289" spans="23:23" ht="26.4">
      <c r="W3289" s="64" ph="1"/>
    </row>
    <row r="3290" spans="23:23" ht="26.4">
      <c r="W3290" s="64" ph="1"/>
    </row>
    <row r="3291" spans="23:23" ht="26.4">
      <c r="W3291" s="64" ph="1"/>
    </row>
    <row r="3292" spans="23:23" ht="26.4">
      <c r="W3292" s="64" ph="1"/>
    </row>
    <row r="3293" spans="23:23" ht="26.4">
      <c r="W3293" s="64" ph="1"/>
    </row>
    <row r="3294" spans="23:23" ht="26.4">
      <c r="W3294" s="64" ph="1"/>
    </row>
    <row r="3295" spans="23:23" ht="26.4">
      <c r="W3295" s="64" ph="1"/>
    </row>
    <row r="3296" spans="23:23" ht="26.4">
      <c r="W3296" s="64" ph="1"/>
    </row>
    <row r="3297" spans="23:23" ht="26.4">
      <c r="W3297" s="64" ph="1"/>
    </row>
    <row r="3298" spans="23:23" ht="26.4">
      <c r="W3298" s="64" ph="1"/>
    </row>
    <row r="3299" spans="23:23" ht="26.4">
      <c r="W3299" s="64" ph="1"/>
    </row>
    <row r="3300" spans="23:23" ht="26.4">
      <c r="W3300" s="64" ph="1"/>
    </row>
    <row r="3301" spans="23:23" ht="26.4">
      <c r="W3301" s="64" ph="1"/>
    </row>
    <row r="3302" spans="23:23" ht="26.4">
      <c r="W3302" s="64" ph="1"/>
    </row>
    <row r="3303" spans="23:23" ht="26.4">
      <c r="W3303" s="64" ph="1"/>
    </row>
    <row r="3304" spans="23:23" ht="26.4">
      <c r="W3304" s="64" ph="1"/>
    </row>
    <row r="3305" spans="23:23" ht="26.4">
      <c r="W3305" s="64" ph="1"/>
    </row>
    <row r="3306" spans="23:23" ht="26.4">
      <c r="W3306" s="64" ph="1"/>
    </row>
    <row r="3307" spans="23:23" ht="26.4">
      <c r="W3307" s="64" ph="1"/>
    </row>
    <row r="3308" spans="23:23" ht="26.4">
      <c r="W3308" s="64" ph="1"/>
    </row>
    <row r="3309" spans="23:23" ht="26.4">
      <c r="W3309" s="64" ph="1"/>
    </row>
    <row r="3310" spans="23:23" ht="26.4">
      <c r="W3310" s="64" ph="1"/>
    </row>
    <row r="3311" spans="23:23" ht="26.4">
      <c r="W3311" s="64" ph="1"/>
    </row>
    <row r="3312" spans="23:23" ht="26.4">
      <c r="W3312" s="64" ph="1"/>
    </row>
    <row r="3313" spans="23:23" ht="26.4">
      <c r="W3313" s="64" ph="1"/>
    </row>
    <row r="3314" spans="23:23" ht="26.4">
      <c r="W3314" s="64" ph="1"/>
    </row>
    <row r="3315" spans="23:23" ht="26.4">
      <c r="W3315" s="64" ph="1"/>
    </row>
    <row r="3316" spans="23:23" ht="26.4">
      <c r="W3316" s="64" ph="1"/>
    </row>
    <row r="3317" spans="23:23" ht="26.4">
      <c r="W3317" s="64" ph="1"/>
    </row>
    <row r="3318" spans="23:23" ht="26.4">
      <c r="W3318" s="64" ph="1"/>
    </row>
    <row r="3319" spans="23:23" ht="26.4">
      <c r="W3319" s="64" ph="1"/>
    </row>
    <row r="3320" spans="23:23" ht="26.4">
      <c r="W3320" s="64" ph="1"/>
    </row>
    <row r="3321" spans="23:23" ht="26.4">
      <c r="W3321" s="64" ph="1"/>
    </row>
    <row r="3322" spans="23:23" ht="26.4">
      <c r="W3322" s="64" ph="1"/>
    </row>
    <row r="3323" spans="23:23" ht="26.4">
      <c r="W3323" s="64" ph="1"/>
    </row>
    <row r="3324" spans="23:23" ht="26.4">
      <c r="W3324" s="64" ph="1"/>
    </row>
    <row r="3325" spans="23:23" ht="26.4">
      <c r="W3325" s="64" ph="1"/>
    </row>
    <row r="3326" spans="23:23" ht="26.4">
      <c r="W3326" s="64" ph="1"/>
    </row>
    <row r="3327" spans="23:23" ht="26.4">
      <c r="W3327" s="64" ph="1"/>
    </row>
    <row r="3328" spans="23:23" ht="26.4">
      <c r="W3328" s="64" ph="1"/>
    </row>
    <row r="3329" spans="23:23" ht="26.4">
      <c r="W3329" s="64" ph="1"/>
    </row>
    <row r="3330" spans="23:23" ht="26.4">
      <c r="W3330" s="64" ph="1"/>
    </row>
    <row r="3331" spans="23:23" ht="26.4">
      <c r="W3331" s="64" ph="1"/>
    </row>
    <row r="3332" spans="23:23" ht="26.4">
      <c r="W3332" s="64" ph="1"/>
    </row>
    <row r="3333" spans="23:23" ht="26.4">
      <c r="W3333" s="64" ph="1"/>
    </row>
    <row r="3334" spans="23:23" ht="26.4">
      <c r="W3334" s="64" ph="1"/>
    </row>
    <row r="3335" spans="23:23" ht="26.4">
      <c r="W3335" s="64" ph="1"/>
    </row>
    <row r="3336" spans="23:23" ht="26.4">
      <c r="W3336" s="64" ph="1"/>
    </row>
    <row r="3337" spans="23:23" ht="26.4">
      <c r="W3337" s="64" ph="1"/>
    </row>
    <row r="3338" spans="23:23" ht="26.4">
      <c r="W3338" s="64" ph="1"/>
    </row>
    <row r="3339" spans="23:23" ht="26.4">
      <c r="W3339" s="64" ph="1"/>
    </row>
    <row r="3340" spans="23:23" ht="26.4">
      <c r="W3340" s="64" ph="1"/>
    </row>
    <row r="3341" spans="23:23" ht="26.4">
      <c r="W3341" s="64" ph="1"/>
    </row>
    <row r="3342" spans="23:23" ht="26.4">
      <c r="W3342" s="64" ph="1"/>
    </row>
    <row r="3343" spans="23:23" ht="26.4">
      <c r="W3343" s="64" ph="1"/>
    </row>
    <row r="3344" spans="23:23" ht="26.4">
      <c r="W3344" s="64" ph="1"/>
    </row>
    <row r="3345" spans="23:23" ht="26.4">
      <c r="W3345" s="64" ph="1"/>
    </row>
    <row r="3346" spans="23:23" ht="26.4">
      <c r="W3346" s="64" ph="1"/>
    </row>
    <row r="3347" spans="23:23" ht="26.4">
      <c r="W3347" s="64" ph="1"/>
    </row>
    <row r="3348" spans="23:23" ht="26.4">
      <c r="W3348" s="64" ph="1"/>
    </row>
    <row r="3349" spans="23:23" ht="26.4">
      <c r="W3349" s="64" ph="1"/>
    </row>
    <row r="3350" spans="23:23" ht="26.4">
      <c r="W3350" s="64" ph="1"/>
    </row>
    <row r="3351" spans="23:23" ht="26.4">
      <c r="W3351" s="64" ph="1"/>
    </row>
    <row r="3352" spans="23:23" ht="26.4">
      <c r="W3352" s="64" ph="1"/>
    </row>
    <row r="3353" spans="23:23" ht="26.4">
      <c r="W3353" s="64" ph="1"/>
    </row>
    <row r="3354" spans="23:23" ht="26.4">
      <c r="W3354" s="64" ph="1"/>
    </row>
    <row r="3355" spans="23:23" ht="26.4">
      <c r="W3355" s="64" ph="1"/>
    </row>
    <row r="3356" spans="23:23" ht="26.4">
      <c r="W3356" s="64" ph="1"/>
    </row>
    <row r="3357" spans="23:23" ht="26.4">
      <c r="W3357" s="64" ph="1"/>
    </row>
    <row r="3358" spans="23:23" ht="26.4">
      <c r="W3358" s="64" ph="1"/>
    </row>
    <row r="3359" spans="23:23" ht="26.4">
      <c r="W3359" s="64" ph="1"/>
    </row>
    <row r="3360" spans="23:23" ht="26.4">
      <c r="W3360" s="64" ph="1"/>
    </row>
    <row r="3361" spans="23:23" ht="26.4">
      <c r="W3361" s="64" ph="1"/>
    </row>
    <row r="3362" spans="23:23" ht="26.4">
      <c r="W3362" s="64" ph="1"/>
    </row>
    <row r="3363" spans="23:23" ht="26.4">
      <c r="W3363" s="64" ph="1"/>
    </row>
    <row r="3364" spans="23:23" ht="26.4">
      <c r="W3364" s="64" ph="1"/>
    </row>
    <row r="3365" spans="23:23" ht="26.4">
      <c r="W3365" s="64" ph="1"/>
    </row>
    <row r="3366" spans="23:23" ht="26.4">
      <c r="W3366" s="64" ph="1"/>
    </row>
    <row r="3367" spans="23:23" ht="26.4">
      <c r="W3367" s="64" ph="1"/>
    </row>
    <row r="3368" spans="23:23" ht="26.4">
      <c r="W3368" s="64" ph="1"/>
    </row>
    <row r="3369" spans="23:23" ht="26.4">
      <c r="W3369" s="64" ph="1"/>
    </row>
    <row r="3370" spans="23:23" ht="26.4">
      <c r="W3370" s="64" ph="1"/>
    </row>
    <row r="3371" spans="23:23" ht="26.4">
      <c r="W3371" s="64" ph="1"/>
    </row>
    <row r="3372" spans="23:23" ht="26.4">
      <c r="W3372" s="64" ph="1"/>
    </row>
    <row r="3373" spans="23:23" ht="26.4">
      <c r="W3373" s="64" ph="1"/>
    </row>
    <row r="3374" spans="23:23" ht="26.4">
      <c r="W3374" s="64" ph="1"/>
    </row>
    <row r="3375" spans="23:23" ht="26.4">
      <c r="W3375" s="64" ph="1"/>
    </row>
    <row r="3376" spans="23:23" ht="26.4">
      <c r="W3376" s="64" ph="1"/>
    </row>
    <row r="3377" spans="23:23" ht="26.4">
      <c r="W3377" s="64" ph="1"/>
    </row>
    <row r="3378" spans="23:23" ht="26.4">
      <c r="W3378" s="64" ph="1"/>
    </row>
    <row r="3379" spans="23:23" ht="26.4">
      <c r="W3379" s="64" ph="1"/>
    </row>
    <row r="3380" spans="23:23" ht="26.4">
      <c r="W3380" s="64" ph="1"/>
    </row>
    <row r="3381" spans="23:23" ht="26.4">
      <c r="W3381" s="64" ph="1"/>
    </row>
    <row r="3382" spans="23:23" ht="26.4">
      <c r="W3382" s="64" ph="1"/>
    </row>
    <row r="3383" spans="23:23" ht="26.4">
      <c r="W3383" s="64" ph="1"/>
    </row>
    <row r="3384" spans="23:23" ht="26.4">
      <c r="W3384" s="64" ph="1"/>
    </row>
    <row r="3385" spans="23:23" ht="26.4">
      <c r="W3385" s="64" ph="1"/>
    </row>
    <row r="3386" spans="23:23" ht="26.4">
      <c r="W3386" s="64" ph="1"/>
    </row>
    <row r="3387" spans="23:23" ht="26.4">
      <c r="W3387" s="64" ph="1"/>
    </row>
    <row r="3388" spans="23:23" ht="26.4">
      <c r="W3388" s="64" ph="1"/>
    </row>
    <row r="3389" spans="23:23" ht="26.4">
      <c r="W3389" s="64" ph="1"/>
    </row>
    <row r="3390" spans="23:23" ht="26.4">
      <c r="W3390" s="64" ph="1"/>
    </row>
    <row r="3391" spans="23:23" ht="26.4">
      <c r="W3391" s="64" ph="1"/>
    </row>
    <row r="3392" spans="23:23" ht="26.4">
      <c r="W3392" s="64" ph="1"/>
    </row>
    <row r="3393" spans="23:23" ht="26.4">
      <c r="W3393" s="64" ph="1"/>
    </row>
    <row r="3394" spans="23:23" ht="26.4">
      <c r="W3394" s="64" ph="1"/>
    </row>
    <row r="3395" spans="23:23" ht="26.4">
      <c r="W3395" s="64" ph="1"/>
    </row>
    <row r="3396" spans="23:23" ht="26.4">
      <c r="W3396" s="64" ph="1"/>
    </row>
    <row r="3397" spans="23:23" ht="26.4">
      <c r="W3397" s="64" ph="1"/>
    </row>
    <row r="3398" spans="23:23" ht="26.4">
      <c r="W3398" s="64" ph="1"/>
    </row>
    <row r="3399" spans="23:23" ht="26.4">
      <c r="W3399" s="64" ph="1"/>
    </row>
    <row r="3400" spans="23:23" ht="26.4">
      <c r="W3400" s="64" ph="1"/>
    </row>
    <row r="3401" spans="23:23" ht="26.4">
      <c r="W3401" s="64" ph="1"/>
    </row>
    <row r="3402" spans="23:23" ht="26.4">
      <c r="W3402" s="64" ph="1"/>
    </row>
    <row r="3403" spans="23:23" ht="26.4">
      <c r="W3403" s="64" ph="1"/>
    </row>
    <row r="3404" spans="23:23" ht="26.4">
      <c r="W3404" s="64" ph="1"/>
    </row>
    <row r="3405" spans="23:23" ht="26.4">
      <c r="W3405" s="64" ph="1"/>
    </row>
    <row r="3406" spans="23:23" ht="26.4">
      <c r="W3406" s="64" ph="1"/>
    </row>
    <row r="3407" spans="23:23" ht="26.4">
      <c r="W3407" s="64" ph="1"/>
    </row>
    <row r="3408" spans="23:23" ht="26.4">
      <c r="W3408" s="64" ph="1"/>
    </row>
    <row r="3409" spans="23:23" ht="26.4">
      <c r="W3409" s="64" ph="1"/>
    </row>
    <row r="3410" spans="23:23" ht="26.4">
      <c r="W3410" s="64" ph="1"/>
    </row>
    <row r="3411" spans="23:23" ht="26.4">
      <c r="W3411" s="64" ph="1"/>
    </row>
    <row r="3412" spans="23:23" ht="26.4">
      <c r="W3412" s="64" ph="1"/>
    </row>
    <row r="3413" spans="23:23" ht="26.4">
      <c r="W3413" s="64" ph="1"/>
    </row>
    <row r="3414" spans="23:23" ht="26.4">
      <c r="W3414" s="64" ph="1"/>
    </row>
    <row r="3415" spans="23:23" ht="26.4">
      <c r="W3415" s="64" ph="1"/>
    </row>
    <row r="3416" spans="23:23" ht="26.4">
      <c r="W3416" s="64" ph="1"/>
    </row>
    <row r="3417" spans="23:23" ht="26.4">
      <c r="W3417" s="64" ph="1"/>
    </row>
    <row r="3418" spans="23:23" ht="26.4">
      <c r="W3418" s="64" ph="1"/>
    </row>
    <row r="3419" spans="23:23" ht="26.4">
      <c r="W3419" s="64" ph="1"/>
    </row>
    <row r="3420" spans="23:23" ht="26.4">
      <c r="W3420" s="64" ph="1"/>
    </row>
    <row r="3421" spans="23:23" ht="26.4">
      <c r="W3421" s="64" ph="1"/>
    </row>
    <row r="3422" spans="23:23" ht="26.4">
      <c r="W3422" s="64" ph="1"/>
    </row>
    <row r="3423" spans="23:23" ht="26.4">
      <c r="W3423" s="64" ph="1"/>
    </row>
    <row r="3424" spans="23:23" ht="26.4">
      <c r="W3424" s="64" ph="1"/>
    </row>
    <row r="3425" spans="23:23" ht="26.4">
      <c r="W3425" s="64" ph="1"/>
    </row>
    <row r="3426" spans="23:23" ht="26.4">
      <c r="W3426" s="64" ph="1"/>
    </row>
    <row r="3427" spans="23:23" ht="26.4">
      <c r="W3427" s="64" ph="1"/>
    </row>
    <row r="3428" spans="23:23" ht="26.4">
      <c r="W3428" s="64" ph="1"/>
    </row>
    <row r="3429" spans="23:23" ht="26.4">
      <c r="W3429" s="64" ph="1"/>
    </row>
    <row r="3430" spans="23:23" ht="26.4">
      <c r="W3430" s="64" ph="1"/>
    </row>
    <row r="3431" spans="23:23" ht="26.4">
      <c r="W3431" s="64" ph="1"/>
    </row>
    <row r="3432" spans="23:23" ht="26.4">
      <c r="W3432" s="64" ph="1"/>
    </row>
    <row r="3433" spans="23:23" ht="26.4">
      <c r="W3433" s="64" ph="1"/>
    </row>
    <row r="3434" spans="23:23" ht="26.4">
      <c r="W3434" s="64" ph="1"/>
    </row>
    <row r="3435" spans="23:23" ht="26.4">
      <c r="W3435" s="64" ph="1"/>
    </row>
    <row r="3436" spans="23:23" ht="26.4">
      <c r="W3436" s="64" ph="1"/>
    </row>
    <row r="3437" spans="23:23" ht="26.4">
      <c r="W3437" s="64" ph="1"/>
    </row>
    <row r="3438" spans="23:23" ht="26.4">
      <c r="W3438" s="64" ph="1"/>
    </row>
    <row r="3439" spans="23:23" ht="26.4">
      <c r="W3439" s="64" ph="1"/>
    </row>
    <row r="3440" spans="23:23" ht="26.4">
      <c r="W3440" s="64" ph="1"/>
    </row>
    <row r="3441" spans="23:23" ht="26.4">
      <c r="W3441" s="64" ph="1"/>
    </row>
    <row r="3442" spans="23:23" ht="26.4">
      <c r="W3442" s="64" ph="1"/>
    </row>
    <row r="3443" spans="23:23" ht="26.4">
      <c r="W3443" s="64" ph="1"/>
    </row>
    <row r="3444" spans="23:23" ht="26.4">
      <c r="W3444" s="64" ph="1"/>
    </row>
    <row r="3445" spans="23:23" ht="26.4">
      <c r="W3445" s="64" ph="1"/>
    </row>
    <row r="3446" spans="23:23" ht="26.4">
      <c r="W3446" s="64" ph="1"/>
    </row>
    <row r="3447" spans="23:23" ht="26.4">
      <c r="W3447" s="64" ph="1"/>
    </row>
    <row r="3448" spans="23:23" ht="26.4">
      <c r="W3448" s="64" ph="1"/>
    </row>
    <row r="3449" spans="23:23" ht="26.4">
      <c r="W3449" s="64" ph="1"/>
    </row>
    <row r="3450" spans="23:23" ht="26.4">
      <c r="W3450" s="64" ph="1"/>
    </row>
    <row r="3451" spans="23:23" ht="26.4">
      <c r="W3451" s="64" ph="1"/>
    </row>
    <row r="3452" spans="23:23" ht="26.4">
      <c r="W3452" s="64" ph="1"/>
    </row>
    <row r="3453" spans="23:23" ht="26.4">
      <c r="W3453" s="64" ph="1"/>
    </row>
    <row r="3454" spans="23:23" ht="26.4">
      <c r="W3454" s="64" ph="1"/>
    </row>
    <row r="3455" spans="23:23" ht="26.4">
      <c r="W3455" s="64" ph="1"/>
    </row>
    <row r="3456" spans="23:23" ht="26.4">
      <c r="W3456" s="64" ph="1"/>
    </row>
    <row r="3457" spans="23:23" ht="26.4">
      <c r="W3457" s="64" ph="1"/>
    </row>
    <row r="3458" spans="23:23" ht="26.4">
      <c r="W3458" s="64" ph="1"/>
    </row>
    <row r="3459" spans="23:23" ht="26.4">
      <c r="W3459" s="64" ph="1"/>
    </row>
    <row r="3460" spans="23:23" ht="26.4">
      <c r="W3460" s="64" ph="1"/>
    </row>
    <row r="3461" spans="23:23" ht="26.4">
      <c r="W3461" s="64" ph="1"/>
    </row>
    <row r="3462" spans="23:23" ht="26.4">
      <c r="W3462" s="64" ph="1"/>
    </row>
    <row r="3463" spans="23:23" ht="26.4">
      <c r="W3463" s="64" ph="1"/>
    </row>
    <row r="3464" spans="23:23" ht="26.4">
      <c r="W3464" s="64" ph="1"/>
    </row>
    <row r="3465" spans="23:23" ht="26.4">
      <c r="W3465" s="64" ph="1"/>
    </row>
    <row r="3466" spans="23:23" ht="26.4">
      <c r="W3466" s="64" ph="1"/>
    </row>
    <row r="3467" spans="23:23" ht="26.4">
      <c r="W3467" s="64" ph="1"/>
    </row>
    <row r="3468" spans="23:23" ht="26.4">
      <c r="W3468" s="64" ph="1"/>
    </row>
    <row r="3469" spans="23:23" ht="26.4">
      <c r="W3469" s="64" ph="1"/>
    </row>
    <row r="3470" spans="23:23" ht="26.4">
      <c r="W3470" s="64" ph="1"/>
    </row>
    <row r="3471" spans="23:23" ht="26.4">
      <c r="W3471" s="64" ph="1"/>
    </row>
    <row r="3472" spans="23:23" ht="26.4">
      <c r="W3472" s="64" ph="1"/>
    </row>
    <row r="3473" spans="23:23" ht="26.4">
      <c r="W3473" s="64" ph="1"/>
    </row>
    <row r="3474" spans="23:23" ht="26.4">
      <c r="W3474" s="64" ph="1"/>
    </row>
    <row r="3475" spans="23:23" ht="26.4">
      <c r="W3475" s="64" ph="1"/>
    </row>
    <row r="3476" spans="23:23" ht="26.4">
      <c r="W3476" s="64" ph="1"/>
    </row>
    <row r="3477" spans="23:23" ht="26.4">
      <c r="W3477" s="64" ph="1"/>
    </row>
    <row r="3478" spans="23:23" ht="26.4">
      <c r="W3478" s="64" ph="1"/>
    </row>
    <row r="3479" spans="23:23" ht="26.4">
      <c r="W3479" s="64" ph="1"/>
    </row>
    <row r="3480" spans="23:23" ht="26.4">
      <c r="W3480" s="64" ph="1"/>
    </row>
    <row r="3481" spans="23:23" ht="26.4">
      <c r="W3481" s="64" ph="1"/>
    </row>
    <row r="3482" spans="23:23" ht="26.4">
      <c r="W3482" s="64" ph="1"/>
    </row>
    <row r="3483" spans="23:23" ht="26.4">
      <c r="W3483" s="64" ph="1"/>
    </row>
    <row r="3484" spans="23:23" ht="26.4">
      <c r="W3484" s="64" ph="1"/>
    </row>
    <row r="3485" spans="23:23" ht="26.4">
      <c r="W3485" s="64" ph="1"/>
    </row>
    <row r="3486" spans="23:23" ht="26.4">
      <c r="W3486" s="64" ph="1"/>
    </row>
    <row r="3487" spans="23:23" ht="26.4">
      <c r="W3487" s="64" ph="1"/>
    </row>
    <row r="3488" spans="23:23" ht="26.4">
      <c r="W3488" s="64" ph="1"/>
    </row>
    <row r="3489" spans="23:23" ht="26.4">
      <c r="W3489" s="64" ph="1"/>
    </row>
    <row r="3490" spans="23:23" ht="26.4">
      <c r="W3490" s="64" ph="1"/>
    </row>
    <row r="3491" spans="23:23" ht="26.4">
      <c r="W3491" s="64" ph="1"/>
    </row>
    <row r="3492" spans="23:23" ht="26.4">
      <c r="W3492" s="64" ph="1"/>
    </row>
    <row r="3493" spans="23:23" ht="26.4">
      <c r="W3493" s="64" ph="1"/>
    </row>
    <row r="3494" spans="23:23" ht="26.4">
      <c r="W3494" s="64" ph="1"/>
    </row>
    <row r="3495" spans="23:23" ht="26.4">
      <c r="W3495" s="64" ph="1"/>
    </row>
    <row r="3496" spans="23:23" ht="26.4">
      <c r="W3496" s="64" ph="1"/>
    </row>
    <row r="3497" spans="23:23" ht="26.4">
      <c r="W3497" s="64" ph="1"/>
    </row>
    <row r="3498" spans="23:23" ht="26.4">
      <c r="W3498" s="64" ph="1"/>
    </row>
    <row r="3499" spans="23:23" ht="26.4">
      <c r="W3499" s="64" ph="1"/>
    </row>
    <row r="3500" spans="23:23" ht="26.4">
      <c r="W3500" s="64" ph="1"/>
    </row>
    <row r="3501" spans="23:23" ht="26.4">
      <c r="W3501" s="64" ph="1"/>
    </row>
    <row r="3502" spans="23:23" ht="26.4">
      <c r="W3502" s="64" ph="1"/>
    </row>
    <row r="3503" spans="23:23" ht="26.4">
      <c r="W3503" s="64" ph="1"/>
    </row>
    <row r="3504" spans="23:23" ht="26.4">
      <c r="W3504" s="64" ph="1"/>
    </row>
    <row r="3505" spans="23:23" ht="26.4">
      <c r="W3505" s="64" ph="1"/>
    </row>
    <row r="3506" spans="23:23" ht="26.4">
      <c r="W3506" s="64" ph="1"/>
    </row>
    <row r="3507" spans="23:23" ht="26.4">
      <c r="W3507" s="64" ph="1"/>
    </row>
    <row r="3508" spans="23:23" ht="26.4">
      <c r="W3508" s="64" ph="1"/>
    </row>
    <row r="3509" spans="23:23" ht="26.4">
      <c r="W3509" s="64" ph="1"/>
    </row>
    <row r="3510" spans="23:23" ht="26.4">
      <c r="W3510" s="64" ph="1"/>
    </row>
    <row r="3511" spans="23:23" ht="26.4">
      <c r="W3511" s="64" ph="1"/>
    </row>
    <row r="3512" spans="23:23" ht="26.4">
      <c r="W3512" s="64" ph="1"/>
    </row>
    <row r="3513" spans="23:23" ht="26.4">
      <c r="W3513" s="64" ph="1"/>
    </row>
    <row r="3514" spans="23:23" ht="26.4">
      <c r="W3514" s="64" ph="1"/>
    </row>
    <row r="3515" spans="23:23" ht="26.4">
      <c r="W3515" s="64" ph="1"/>
    </row>
    <row r="3516" spans="23:23" ht="26.4">
      <c r="W3516" s="64" ph="1"/>
    </row>
    <row r="3517" spans="23:23" ht="26.4">
      <c r="W3517" s="64" ph="1"/>
    </row>
    <row r="3518" spans="23:23" ht="26.4">
      <c r="W3518" s="64" ph="1"/>
    </row>
    <row r="3519" spans="23:23" ht="26.4">
      <c r="W3519" s="64" ph="1"/>
    </row>
    <row r="3520" spans="23:23" ht="26.4">
      <c r="W3520" s="64" ph="1"/>
    </row>
    <row r="3521" spans="23:23" ht="26.4">
      <c r="W3521" s="64" ph="1"/>
    </row>
    <row r="3522" spans="23:23" ht="26.4">
      <c r="W3522" s="64" ph="1"/>
    </row>
    <row r="3523" spans="23:23" ht="26.4">
      <c r="W3523" s="64" ph="1"/>
    </row>
    <row r="3524" spans="23:23" ht="26.4">
      <c r="W3524" s="64" ph="1"/>
    </row>
    <row r="3525" spans="23:23" ht="26.4">
      <c r="W3525" s="64" ph="1"/>
    </row>
    <row r="3526" spans="23:23" ht="26.4">
      <c r="W3526" s="64" ph="1"/>
    </row>
    <row r="3527" spans="23:23" ht="26.4">
      <c r="W3527" s="64" ph="1"/>
    </row>
    <row r="3528" spans="23:23" ht="26.4">
      <c r="W3528" s="64" ph="1"/>
    </row>
    <row r="3529" spans="23:23" ht="26.4">
      <c r="W3529" s="64" ph="1"/>
    </row>
    <row r="3530" spans="23:23" ht="26.4">
      <c r="W3530" s="64" ph="1"/>
    </row>
    <row r="3531" spans="23:23" ht="26.4">
      <c r="W3531" s="64" ph="1"/>
    </row>
    <row r="3532" spans="23:23" ht="26.4">
      <c r="W3532" s="64" ph="1"/>
    </row>
    <row r="3533" spans="23:23" ht="26.4">
      <c r="W3533" s="64" ph="1"/>
    </row>
    <row r="3534" spans="23:23" ht="26.4">
      <c r="W3534" s="64" ph="1"/>
    </row>
    <row r="3535" spans="23:23" ht="26.4">
      <c r="W3535" s="64" ph="1"/>
    </row>
    <row r="3536" spans="23:23" ht="26.4">
      <c r="W3536" s="64" ph="1"/>
    </row>
    <row r="3537" spans="23:23" ht="26.4">
      <c r="W3537" s="64" ph="1"/>
    </row>
    <row r="3538" spans="23:23" ht="26.4">
      <c r="W3538" s="64" ph="1"/>
    </row>
    <row r="3539" spans="23:23" ht="26.4">
      <c r="W3539" s="64" ph="1"/>
    </row>
    <row r="3540" spans="23:23" ht="26.4">
      <c r="W3540" s="64" ph="1"/>
    </row>
    <row r="3541" spans="23:23" ht="26.4">
      <c r="W3541" s="64" ph="1"/>
    </row>
    <row r="3542" spans="23:23" ht="26.4">
      <c r="W3542" s="64" ph="1"/>
    </row>
    <row r="3543" spans="23:23" ht="26.4">
      <c r="W3543" s="64" ph="1"/>
    </row>
    <row r="3544" spans="23:23" ht="26.4">
      <c r="W3544" s="64" ph="1"/>
    </row>
    <row r="3545" spans="23:23" ht="26.4">
      <c r="W3545" s="64" ph="1"/>
    </row>
    <row r="3546" spans="23:23" ht="26.4">
      <c r="W3546" s="64" ph="1"/>
    </row>
    <row r="3547" spans="23:23" ht="26.4">
      <c r="W3547" s="64" ph="1"/>
    </row>
    <row r="3548" spans="23:23" ht="26.4">
      <c r="W3548" s="64" ph="1"/>
    </row>
    <row r="3549" spans="23:23" ht="26.4">
      <c r="W3549" s="64" ph="1"/>
    </row>
    <row r="3550" spans="23:23" ht="26.4">
      <c r="W3550" s="64" ph="1"/>
    </row>
    <row r="3551" spans="23:23" ht="26.4">
      <c r="W3551" s="64" ph="1"/>
    </row>
    <row r="3552" spans="23:23" ht="26.4">
      <c r="W3552" s="64" ph="1"/>
    </row>
    <row r="3553" spans="23:23" ht="26.4">
      <c r="W3553" s="64" ph="1"/>
    </row>
    <row r="3554" spans="23:23" ht="26.4">
      <c r="W3554" s="64" ph="1"/>
    </row>
    <row r="3555" spans="23:23" ht="26.4">
      <c r="W3555" s="64" ph="1"/>
    </row>
    <row r="3556" spans="23:23" ht="26.4">
      <c r="W3556" s="64" ph="1"/>
    </row>
    <row r="3557" spans="23:23" ht="26.4">
      <c r="W3557" s="64" ph="1"/>
    </row>
    <row r="3558" spans="23:23" ht="26.4">
      <c r="W3558" s="64" ph="1"/>
    </row>
    <row r="3559" spans="23:23" ht="26.4">
      <c r="W3559" s="64" ph="1"/>
    </row>
    <row r="3560" spans="23:23" ht="26.4">
      <c r="W3560" s="64" ph="1"/>
    </row>
    <row r="3561" spans="23:23" ht="26.4">
      <c r="W3561" s="64" ph="1"/>
    </row>
    <row r="3562" spans="23:23" ht="26.4">
      <c r="W3562" s="64" ph="1"/>
    </row>
    <row r="3563" spans="23:23" ht="26.4">
      <c r="W3563" s="64" ph="1"/>
    </row>
    <row r="3564" spans="23:23" ht="26.4">
      <c r="W3564" s="64" ph="1"/>
    </row>
    <row r="3565" spans="23:23" ht="26.4">
      <c r="W3565" s="64" ph="1"/>
    </row>
    <row r="3566" spans="23:23" ht="26.4">
      <c r="W3566" s="64" ph="1"/>
    </row>
    <row r="3567" spans="23:23" ht="26.4">
      <c r="W3567" s="64" ph="1"/>
    </row>
    <row r="3568" spans="23:23" ht="26.4">
      <c r="W3568" s="64" ph="1"/>
    </row>
    <row r="3569" spans="23:23" ht="26.4">
      <c r="W3569" s="64" ph="1"/>
    </row>
    <row r="3570" spans="23:23" ht="26.4">
      <c r="W3570" s="64" ph="1"/>
    </row>
    <row r="3571" spans="23:23" ht="26.4">
      <c r="W3571" s="64" ph="1"/>
    </row>
    <row r="3572" spans="23:23" ht="26.4">
      <c r="W3572" s="64" ph="1"/>
    </row>
    <row r="3573" spans="23:23" ht="26.4">
      <c r="W3573" s="64" ph="1"/>
    </row>
    <row r="3574" spans="23:23" ht="26.4">
      <c r="W3574" s="64" ph="1"/>
    </row>
    <row r="3575" spans="23:23" ht="26.4">
      <c r="W3575" s="64" ph="1"/>
    </row>
    <row r="3576" spans="23:23" ht="26.4">
      <c r="W3576" s="64" ph="1"/>
    </row>
    <row r="3577" spans="23:23" ht="26.4">
      <c r="W3577" s="64" ph="1"/>
    </row>
    <row r="3578" spans="23:23" ht="26.4">
      <c r="W3578" s="64" ph="1"/>
    </row>
    <row r="3579" spans="23:23" ht="26.4">
      <c r="W3579" s="64" ph="1"/>
    </row>
    <row r="3580" spans="23:23" ht="26.4">
      <c r="W3580" s="64" ph="1"/>
    </row>
    <row r="3581" spans="23:23" ht="26.4">
      <c r="W3581" s="64" ph="1"/>
    </row>
    <row r="3582" spans="23:23" ht="26.4">
      <c r="W3582" s="64" ph="1"/>
    </row>
    <row r="3583" spans="23:23" ht="26.4">
      <c r="W3583" s="64" ph="1"/>
    </row>
    <row r="3584" spans="23:23" ht="26.4">
      <c r="W3584" s="64" ph="1"/>
    </row>
    <row r="3585" spans="23:23" ht="26.4">
      <c r="W3585" s="64" ph="1"/>
    </row>
    <row r="3586" spans="23:23" ht="26.4">
      <c r="W3586" s="64" ph="1"/>
    </row>
    <row r="3587" spans="23:23" ht="26.4">
      <c r="W3587" s="64" ph="1"/>
    </row>
    <row r="3588" spans="23:23" ht="26.4">
      <c r="W3588" s="64" ph="1"/>
    </row>
    <row r="3589" spans="23:23" ht="26.4">
      <c r="W3589" s="64" ph="1"/>
    </row>
    <row r="3590" spans="23:23" ht="26.4">
      <c r="W3590" s="64" ph="1"/>
    </row>
    <row r="3591" spans="23:23" ht="26.4">
      <c r="W3591" s="64" ph="1"/>
    </row>
    <row r="3592" spans="23:23" ht="26.4">
      <c r="W3592" s="64" ph="1"/>
    </row>
    <row r="3593" spans="23:23" ht="26.4">
      <c r="W3593" s="64" ph="1"/>
    </row>
    <row r="3594" spans="23:23" ht="26.4">
      <c r="W3594" s="64" ph="1"/>
    </row>
    <row r="3595" spans="23:23" ht="26.4">
      <c r="W3595" s="64" ph="1"/>
    </row>
    <row r="3596" spans="23:23" ht="26.4">
      <c r="W3596" s="64" ph="1"/>
    </row>
    <row r="3597" spans="23:23" ht="26.4">
      <c r="W3597" s="64" ph="1"/>
    </row>
    <row r="3598" spans="23:23" ht="26.4">
      <c r="W3598" s="64" ph="1"/>
    </row>
    <row r="3599" spans="23:23" ht="26.4">
      <c r="W3599" s="64" ph="1"/>
    </row>
    <row r="3600" spans="23:23" ht="26.4">
      <c r="W3600" s="64" ph="1"/>
    </row>
    <row r="3601" spans="23:23" ht="26.4">
      <c r="W3601" s="64" ph="1"/>
    </row>
    <row r="3602" spans="23:23" ht="26.4">
      <c r="W3602" s="64" ph="1"/>
    </row>
    <row r="3603" spans="23:23" ht="26.4">
      <c r="W3603" s="64" ph="1"/>
    </row>
    <row r="3604" spans="23:23" ht="26.4">
      <c r="W3604" s="64" ph="1"/>
    </row>
    <row r="3605" spans="23:23" ht="26.4">
      <c r="W3605" s="64" ph="1"/>
    </row>
    <row r="3606" spans="23:23" ht="26.4">
      <c r="W3606" s="64" ph="1"/>
    </row>
    <row r="3607" spans="23:23" ht="26.4">
      <c r="W3607" s="64" ph="1"/>
    </row>
    <row r="3608" spans="23:23" ht="26.4">
      <c r="W3608" s="64" ph="1"/>
    </row>
    <row r="3609" spans="23:23" ht="26.4">
      <c r="W3609" s="64" ph="1"/>
    </row>
    <row r="3610" spans="23:23" ht="26.4">
      <c r="W3610" s="64" ph="1"/>
    </row>
    <row r="3611" spans="23:23" ht="26.4">
      <c r="W3611" s="64" ph="1"/>
    </row>
    <row r="3612" spans="23:23" ht="26.4">
      <c r="W3612" s="64" ph="1"/>
    </row>
    <row r="3613" spans="23:23" ht="26.4">
      <c r="W3613" s="64" ph="1"/>
    </row>
    <row r="3614" spans="23:23" ht="26.4">
      <c r="W3614" s="64" ph="1"/>
    </row>
    <row r="3615" spans="23:23" ht="26.4">
      <c r="W3615" s="64" ph="1"/>
    </row>
    <row r="3616" spans="23:23" ht="26.4">
      <c r="W3616" s="64" ph="1"/>
    </row>
    <row r="3617" spans="23:23" ht="26.4">
      <c r="W3617" s="64" ph="1"/>
    </row>
    <row r="3618" spans="23:23" ht="26.4">
      <c r="W3618" s="64" ph="1"/>
    </row>
    <row r="3619" spans="23:23" ht="26.4">
      <c r="W3619" s="64" ph="1"/>
    </row>
    <row r="3620" spans="23:23" ht="26.4">
      <c r="W3620" s="64" ph="1"/>
    </row>
    <row r="3621" spans="23:23" ht="26.4">
      <c r="W3621" s="64" ph="1"/>
    </row>
    <row r="3622" spans="23:23" ht="26.4">
      <c r="W3622" s="64" ph="1"/>
    </row>
    <row r="3623" spans="23:23" ht="26.4">
      <c r="W3623" s="64" ph="1"/>
    </row>
    <row r="3624" spans="23:23" ht="26.4">
      <c r="W3624" s="64" ph="1"/>
    </row>
    <row r="3625" spans="23:23" ht="26.4">
      <c r="W3625" s="64" ph="1"/>
    </row>
    <row r="3626" spans="23:23" ht="26.4">
      <c r="W3626" s="64" ph="1"/>
    </row>
    <row r="3627" spans="23:23" ht="26.4">
      <c r="W3627" s="64" ph="1"/>
    </row>
    <row r="3628" spans="23:23" ht="26.4">
      <c r="W3628" s="64" ph="1"/>
    </row>
    <row r="3629" spans="23:23" ht="26.4">
      <c r="W3629" s="64" ph="1"/>
    </row>
    <row r="3630" spans="23:23" ht="26.4">
      <c r="W3630" s="64" ph="1"/>
    </row>
    <row r="3631" spans="23:23" ht="26.4">
      <c r="W3631" s="64" ph="1"/>
    </row>
    <row r="3632" spans="23:23" ht="26.4">
      <c r="W3632" s="64" ph="1"/>
    </row>
    <row r="3633" spans="23:23" ht="26.4">
      <c r="W3633" s="64" ph="1"/>
    </row>
    <row r="3634" spans="23:23" ht="26.4">
      <c r="W3634" s="64" ph="1"/>
    </row>
    <row r="3635" spans="23:23" ht="26.4">
      <c r="W3635" s="64" ph="1"/>
    </row>
    <row r="3636" spans="23:23" ht="26.4">
      <c r="W3636" s="64" ph="1"/>
    </row>
    <row r="3637" spans="23:23" ht="26.4">
      <c r="W3637" s="64" ph="1"/>
    </row>
    <row r="3638" spans="23:23" ht="26.4">
      <c r="W3638" s="64" ph="1"/>
    </row>
    <row r="3639" spans="23:23" ht="26.4">
      <c r="W3639" s="64" ph="1"/>
    </row>
    <row r="3640" spans="23:23" ht="26.4">
      <c r="W3640" s="64" ph="1"/>
    </row>
    <row r="3641" spans="23:23" ht="26.4">
      <c r="W3641" s="64" ph="1"/>
    </row>
    <row r="3642" spans="23:23" ht="26.4">
      <c r="W3642" s="64" ph="1"/>
    </row>
    <row r="3643" spans="23:23" ht="26.4">
      <c r="W3643" s="64" ph="1"/>
    </row>
    <row r="3644" spans="23:23" ht="26.4">
      <c r="W3644" s="64" ph="1"/>
    </row>
    <row r="3645" spans="23:23" ht="26.4">
      <c r="W3645" s="64" ph="1"/>
    </row>
    <row r="3646" spans="23:23" ht="26.4">
      <c r="W3646" s="64" ph="1"/>
    </row>
    <row r="3647" spans="23:23" ht="26.4">
      <c r="W3647" s="64" ph="1"/>
    </row>
    <row r="3648" spans="23:23" ht="26.4">
      <c r="W3648" s="64" ph="1"/>
    </row>
    <row r="3649" spans="23:23" ht="26.4">
      <c r="W3649" s="64" ph="1"/>
    </row>
    <row r="3650" spans="23:23" ht="26.4">
      <c r="W3650" s="64" ph="1"/>
    </row>
    <row r="3651" spans="23:23" ht="26.4">
      <c r="W3651" s="64" ph="1"/>
    </row>
    <row r="3652" spans="23:23" ht="26.4">
      <c r="W3652" s="64" ph="1"/>
    </row>
    <row r="3653" spans="23:23" ht="26.4">
      <c r="W3653" s="64" ph="1"/>
    </row>
    <row r="3654" spans="23:23" ht="26.4">
      <c r="W3654" s="64" ph="1"/>
    </row>
    <row r="3655" spans="23:23" ht="26.4">
      <c r="W3655" s="64" ph="1"/>
    </row>
    <row r="3656" spans="23:23" ht="26.4">
      <c r="W3656" s="64" ph="1"/>
    </row>
    <row r="3657" spans="23:23" ht="26.4">
      <c r="W3657" s="64" ph="1"/>
    </row>
    <row r="3658" spans="23:23" ht="26.4">
      <c r="W3658" s="64" ph="1"/>
    </row>
    <row r="3659" spans="23:23" ht="26.4">
      <c r="W3659" s="64" ph="1"/>
    </row>
    <row r="3660" spans="23:23" ht="26.4">
      <c r="W3660" s="64" ph="1"/>
    </row>
    <row r="3661" spans="23:23" ht="26.4">
      <c r="W3661" s="64" ph="1"/>
    </row>
    <row r="3662" spans="23:23" ht="26.4">
      <c r="W3662" s="64" ph="1"/>
    </row>
    <row r="3663" spans="23:23" ht="26.4">
      <c r="W3663" s="64" ph="1"/>
    </row>
    <row r="3664" spans="23:23" ht="26.4">
      <c r="W3664" s="64" ph="1"/>
    </row>
    <row r="3665" spans="23:23" ht="26.4">
      <c r="W3665" s="64" ph="1"/>
    </row>
    <row r="3666" spans="23:23" ht="26.4">
      <c r="W3666" s="64" ph="1"/>
    </row>
    <row r="3667" spans="23:23" ht="26.4">
      <c r="W3667" s="64" ph="1"/>
    </row>
    <row r="3668" spans="23:23" ht="26.4">
      <c r="W3668" s="64" ph="1"/>
    </row>
    <row r="3669" spans="23:23" ht="26.4">
      <c r="W3669" s="64" ph="1"/>
    </row>
    <row r="3670" spans="23:23" ht="26.4">
      <c r="W3670" s="64" ph="1"/>
    </row>
    <row r="3671" spans="23:23" ht="26.4">
      <c r="W3671" s="64" ph="1"/>
    </row>
    <row r="3672" spans="23:23" ht="26.4">
      <c r="W3672" s="64" ph="1"/>
    </row>
    <row r="3673" spans="23:23" ht="26.4">
      <c r="W3673" s="64" ph="1"/>
    </row>
    <row r="3674" spans="23:23" ht="26.4">
      <c r="W3674" s="64" ph="1"/>
    </row>
    <row r="3675" spans="23:23" ht="26.4">
      <c r="W3675" s="64" ph="1"/>
    </row>
    <row r="3676" spans="23:23" ht="26.4">
      <c r="W3676" s="64" ph="1"/>
    </row>
    <row r="3677" spans="23:23" ht="26.4">
      <c r="W3677" s="64" ph="1"/>
    </row>
    <row r="3678" spans="23:23" ht="26.4">
      <c r="W3678" s="64" ph="1"/>
    </row>
    <row r="3679" spans="23:23" ht="26.4">
      <c r="W3679" s="64" ph="1"/>
    </row>
    <row r="3680" spans="23:23" ht="26.4">
      <c r="W3680" s="64" ph="1"/>
    </row>
    <row r="3681" spans="23:23" ht="26.4">
      <c r="W3681" s="64" ph="1"/>
    </row>
    <row r="3682" spans="23:23" ht="26.4">
      <c r="W3682" s="64" ph="1"/>
    </row>
    <row r="3683" spans="23:23" ht="26.4">
      <c r="W3683" s="64" ph="1"/>
    </row>
    <row r="3684" spans="23:23" ht="26.4">
      <c r="W3684" s="64" ph="1"/>
    </row>
    <row r="3685" spans="23:23" ht="26.4">
      <c r="W3685" s="64" ph="1"/>
    </row>
    <row r="3686" spans="23:23" ht="26.4">
      <c r="W3686" s="64" ph="1"/>
    </row>
    <row r="3687" spans="23:23" ht="26.4">
      <c r="W3687" s="64" ph="1"/>
    </row>
    <row r="3688" spans="23:23" ht="26.4">
      <c r="W3688" s="64" ph="1"/>
    </row>
    <row r="3689" spans="23:23" ht="26.4">
      <c r="W3689" s="64" ph="1"/>
    </row>
    <row r="3690" spans="23:23" ht="26.4">
      <c r="W3690" s="64" ph="1"/>
    </row>
    <row r="3691" spans="23:23" ht="26.4">
      <c r="W3691" s="64" ph="1"/>
    </row>
    <row r="3692" spans="23:23" ht="26.4">
      <c r="W3692" s="64" ph="1"/>
    </row>
    <row r="3693" spans="23:23" ht="26.4">
      <c r="W3693" s="64" ph="1"/>
    </row>
    <row r="3694" spans="23:23" ht="26.4">
      <c r="W3694" s="64" ph="1"/>
    </row>
    <row r="3695" spans="23:23" ht="26.4">
      <c r="W3695" s="64" ph="1"/>
    </row>
    <row r="3696" spans="23:23" ht="26.4">
      <c r="W3696" s="64" ph="1"/>
    </row>
    <row r="3697" spans="23:23" ht="26.4">
      <c r="W3697" s="64" ph="1"/>
    </row>
    <row r="3698" spans="23:23" ht="26.4">
      <c r="W3698" s="64" ph="1"/>
    </row>
    <row r="3699" spans="23:23" ht="26.4">
      <c r="W3699" s="64" ph="1"/>
    </row>
    <row r="3700" spans="23:23" ht="26.4">
      <c r="W3700" s="64" ph="1"/>
    </row>
    <row r="3701" spans="23:23" ht="26.4">
      <c r="W3701" s="64" ph="1"/>
    </row>
    <row r="3702" spans="23:23" ht="26.4">
      <c r="W3702" s="64" ph="1"/>
    </row>
    <row r="3703" spans="23:23" ht="26.4">
      <c r="W3703" s="64" ph="1"/>
    </row>
    <row r="3704" spans="23:23" ht="26.4">
      <c r="W3704" s="64" ph="1"/>
    </row>
    <row r="3705" spans="23:23" ht="26.4">
      <c r="W3705" s="64" ph="1"/>
    </row>
    <row r="3706" spans="23:23" ht="26.4">
      <c r="W3706" s="64" ph="1"/>
    </row>
    <row r="3707" spans="23:23" ht="26.4">
      <c r="W3707" s="64" ph="1"/>
    </row>
    <row r="3708" spans="23:23" ht="26.4">
      <c r="W3708" s="64" ph="1"/>
    </row>
    <row r="3709" spans="23:23" ht="26.4">
      <c r="W3709" s="64" ph="1"/>
    </row>
    <row r="3710" spans="23:23" ht="26.4">
      <c r="W3710" s="64" ph="1"/>
    </row>
    <row r="3711" spans="23:23" ht="26.4">
      <c r="W3711" s="64" ph="1"/>
    </row>
    <row r="3712" spans="23:23" ht="26.4">
      <c r="W3712" s="64" ph="1"/>
    </row>
    <row r="3713" spans="23:23" ht="26.4">
      <c r="W3713" s="64" ph="1"/>
    </row>
    <row r="3714" spans="23:23" ht="26.4">
      <c r="W3714" s="64" ph="1"/>
    </row>
    <row r="3715" spans="23:23" ht="26.4">
      <c r="W3715" s="64" ph="1"/>
    </row>
    <row r="3716" spans="23:23" ht="26.4">
      <c r="W3716" s="64" ph="1"/>
    </row>
    <row r="3717" spans="23:23" ht="26.4">
      <c r="W3717" s="64" ph="1"/>
    </row>
    <row r="3718" spans="23:23" ht="26.4">
      <c r="W3718" s="64" ph="1"/>
    </row>
    <row r="3719" spans="23:23" ht="26.4">
      <c r="W3719" s="64" ph="1"/>
    </row>
    <row r="3720" spans="23:23" ht="26.4">
      <c r="W3720" s="64" ph="1"/>
    </row>
    <row r="3721" spans="23:23" ht="26.4">
      <c r="W3721" s="64" ph="1"/>
    </row>
    <row r="3722" spans="23:23" ht="26.4">
      <c r="W3722" s="64" ph="1"/>
    </row>
    <row r="3723" spans="23:23" ht="26.4">
      <c r="W3723" s="64" ph="1"/>
    </row>
    <row r="3724" spans="23:23" ht="26.4">
      <c r="W3724" s="64" ph="1"/>
    </row>
    <row r="3725" spans="23:23" ht="26.4">
      <c r="W3725" s="64" ph="1"/>
    </row>
    <row r="3726" spans="23:23" ht="26.4">
      <c r="W3726" s="64" ph="1"/>
    </row>
    <row r="3727" spans="23:23" ht="26.4">
      <c r="W3727" s="64" ph="1"/>
    </row>
    <row r="3728" spans="23:23" ht="26.4">
      <c r="W3728" s="64" ph="1"/>
    </row>
    <row r="3729" spans="23:23" ht="26.4">
      <c r="W3729" s="64" ph="1"/>
    </row>
    <row r="3730" spans="23:23" ht="26.4">
      <c r="W3730" s="64" ph="1"/>
    </row>
    <row r="3731" spans="23:23" ht="26.4">
      <c r="W3731" s="64" ph="1"/>
    </row>
    <row r="3732" spans="23:23" ht="26.4">
      <c r="W3732" s="64" ph="1"/>
    </row>
    <row r="3733" spans="23:23" ht="26.4">
      <c r="W3733" s="64" ph="1"/>
    </row>
    <row r="3734" spans="23:23" ht="26.4">
      <c r="W3734" s="64" ph="1"/>
    </row>
    <row r="3735" spans="23:23" ht="26.4">
      <c r="W3735" s="64" ph="1"/>
    </row>
    <row r="3736" spans="23:23" ht="26.4">
      <c r="W3736" s="64" ph="1"/>
    </row>
    <row r="3737" spans="23:23" ht="26.4">
      <c r="W3737" s="64" ph="1"/>
    </row>
    <row r="3738" spans="23:23" ht="26.4">
      <c r="W3738" s="64" ph="1"/>
    </row>
    <row r="3739" spans="23:23" ht="26.4">
      <c r="W3739" s="64" ph="1"/>
    </row>
    <row r="3740" spans="23:23" ht="26.4">
      <c r="W3740" s="64" ph="1"/>
    </row>
    <row r="3741" spans="23:23" ht="26.4">
      <c r="W3741" s="64" ph="1"/>
    </row>
    <row r="3742" spans="23:23" ht="26.4">
      <c r="W3742" s="64" ph="1"/>
    </row>
    <row r="3743" spans="23:23" ht="26.4">
      <c r="W3743" s="64" ph="1"/>
    </row>
    <row r="3744" spans="23:23" ht="26.4">
      <c r="W3744" s="64" ph="1"/>
    </row>
    <row r="3745" spans="23:23" ht="26.4">
      <c r="W3745" s="64" ph="1"/>
    </row>
    <row r="3746" spans="23:23" ht="26.4">
      <c r="W3746" s="64" ph="1"/>
    </row>
    <row r="3747" spans="23:23" ht="26.4">
      <c r="W3747" s="64" ph="1"/>
    </row>
    <row r="3748" spans="23:23" ht="26.4">
      <c r="W3748" s="64" ph="1"/>
    </row>
    <row r="3749" spans="23:23" ht="26.4">
      <c r="W3749" s="64" ph="1"/>
    </row>
    <row r="3750" spans="23:23" ht="26.4">
      <c r="W3750" s="64" ph="1"/>
    </row>
    <row r="3751" spans="23:23" ht="26.4">
      <c r="W3751" s="64" ph="1"/>
    </row>
    <row r="3752" spans="23:23" ht="26.4">
      <c r="W3752" s="64" ph="1"/>
    </row>
    <row r="3753" spans="23:23" ht="26.4">
      <c r="W3753" s="64" ph="1"/>
    </row>
    <row r="3754" spans="23:23" ht="26.4">
      <c r="W3754" s="64" ph="1"/>
    </row>
    <row r="3755" spans="23:23" ht="26.4">
      <c r="W3755" s="64" ph="1"/>
    </row>
    <row r="3756" spans="23:23" ht="26.4">
      <c r="W3756" s="64" ph="1"/>
    </row>
    <row r="3757" spans="23:23" ht="26.4">
      <c r="W3757" s="64" ph="1"/>
    </row>
    <row r="3758" spans="23:23" ht="26.4">
      <c r="W3758" s="64" ph="1"/>
    </row>
    <row r="3759" spans="23:23" ht="26.4">
      <c r="W3759" s="64" ph="1"/>
    </row>
    <row r="3760" spans="23:23" ht="26.4">
      <c r="W3760" s="64" ph="1"/>
    </row>
    <row r="3761" spans="23:23" ht="26.4">
      <c r="W3761" s="64" ph="1"/>
    </row>
    <row r="3762" spans="23:23" ht="26.4">
      <c r="W3762" s="64" ph="1"/>
    </row>
    <row r="3763" spans="23:23" ht="26.4">
      <c r="W3763" s="64" ph="1"/>
    </row>
    <row r="3764" spans="23:23" ht="26.4">
      <c r="W3764" s="64" ph="1"/>
    </row>
    <row r="3765" spans="23:23" ht="26.4">
      <c r="W3765" s="64" ph="1"/>
    </row>
    <row r="3766" spans="23:23" ht="26.4">
      <c r="W3766" s="64" ph="1"/>
    </row>
    <row r="3767" spans="23:23" ht="26.4">
      <c r="W3767" s="64" ph="1"/>
    </row>
    <row r="3768" spans="23:23" ht="26.4">
      <c r="W3768" s="64" ph="1"/>
    </row>
    <row r="3769" spans="23:23" ht="26.4">
      <c r="W3769" s="64" ph="1"/>
    </row>
    <row r="3770" spans="23:23" ht="26.4">
      <c r="W3770" s="64" ph="1"/>
    </row>
    <row r="3771" spans="23:23" ht="26.4">
      <c r="W3771" s="64" ph="1"/>
    </row>
    <row r="3772" spans="23:23" ht="26.4">
      <c r="W3772" s="64" ph="1"/>
    </row>
    <row r="3773" spans="23:23" ht="26.4">
      <c r="W3773" s="64" ph="1"/>
    </row>
    <row r="3774" spans="23:23" ht="26.4">
      <c r="W3774" s="64" ph="1"/>
    </row>
    <row r="3775" spans="23:23" ht="26.4">
      <c r="W3775" s="64" ph="1"/>
    </row>
    <row r="3776" spans="23:23" ht="26.4">
      <c r="W3776" s="64" ph="1"/>
    </row>
    <row r="3777" spans="23:23" ht="26.4">
      <c r="W3777" s="64" ph="1"/>
    </row>
    <row r="3778" spans="23:23" ht="26.4">
      <c r="W3778" s="64" ph="1"/>
    </row>
    <row r="3779" spans="23:23" ht="26.4">
      <c r="W3779" s="64" ph="1"/>
    </row>
    <row r="3780" spans="23:23" ht="26.4">
      <c r="W3780" s="64" ph="1"/>
    </row>
    <row r="3781" spans="23:23" ht="26.4">
      <c r="W3781" s="64" ph="1"/>
    </row>
    <row r="3782" spans="23:23" ht="26.4">
      <c r="W3782" s="64" ph="1"/>
    </row>
    <row r="3783" spans="23:23" ht="26.4">
      <c r="W3783" s="64" ph="1"/>
    </row>
    <row r="3784" spans="23:23" ht="26.4">
      <c r="W3784" s="64" ph="1"/>
    </row>
    <row r="3785" spans="23:23" ht="26.4">
      <c r="W3785" s="64" ph="1"/>
    </row>
    <row r="3786" spans="23:23" ht="26.4">
      <c r="W3786" s="64" ph="1"/>
    </row>
    <row r="3787" spans="23:23" ht="26.4">
      <c r="W3787" s="64" ph="1"/>
    </row>
    <row r="3788" spans="23:23" ht="26.4">
      <c r="W3788" s="64" ph="1"/>
    </row>
    <row r="3789" spans="23:23" ht="26.4">
      <c r="W3789" s="64" ph="1"/>
    </row>
    <row r="3790" spans="23:23" ht="26.4">
      <c r="W3790" s="64" ph="1"/>
    </row>
    <row r="3791" spans="23:23" ht="26.4">
      <c r="W3791" s="64" ph="1"/>
    </row>
    <row r="3792" spans="23:23" ht="26.4">
      <c r="W3792" s="64" ph="1"/>
    </row>
    <row r="3793" spans="23:23" ht="26.4">
      <c r="W3793" s="64" ph="1"/>
    </row>
    <row r="3794" spans="23:23" ht="26.4">
      <c r="W3794" s="64" ph="1"/>
    </row>
    <row r="3795" spans="23:23" ht="26.4">
      <c r="W3795" s="64" ph="1"/>
    </row>
    <row r="3796" spans="23:23" ht="26.4">
      <c r="W3796" s="64" ph="1"/>
    </row>
    <row r="3797" spans="23:23" ht="26.4">
      <c r="W3797" s="64" ph="1"/>
    </row>
    <row r="3798" spans="23:23" ht="26.4">
      <c r="W3798" s="64" ph="1"/>
    </row>
    <row r="3799" spans="23:23" ht="26.4">
      <c r="W3799" s="64" ph="1"/>
    </row>
    <row r="3800" spans="23:23" ht="26.4">
      <c r="W3800" s="64" ph="1"/>
    </row>
    <row r="3801" spans="23:23" ht="26.4">
      <c r="W3801" s="64" ph="1"/>
    </row>
    <row r="3802" spans="23:23" ht="26.4">
      <c r="W3802" s="64" ph="1"/>
    </row>
    <row r="3803" spans="23:23" ht="26.4">
      <c r="W3803" s="64" ph="1"/>
    </row>
    <row r="3804" spans="23:23" ht="26.4">
      <c r="W3804" s="64" ph="1"/>
    </row>
    <row r="3805" spans="23:23" ht="26.4">
      <c r="W3805" s="64" ph="1"/>
    </row>
    <row r="3806" spans="23:23" ht="26.4">
      <c r="W3806" s="64" ph="1"/>
    </row>
    <row r="3807" spans="23:23" ht="26.4">
      <c r="W3807" s="64" ph="1"/>
    </row>
    <row r="3808" spans="23:23" ht="26.4">
      <c r="W3808" s="64" ph="1"/>
    </row>
    <row r="3809" spans="23:23" ht="26.4">
      <c r="W3809" s="64" ph="1"/>
    </row>
    <row r="3810" spans="23:23" ht="26.4">
      <c r="W3810" s="64" ph="1"/>
    </row>
    <row r="3811" spans="23:23" ht="26.4">
      <c r="W3811" s="64" ph="1"/>
    </row>
    <row r="3812" spans="23:23" ht="26.4">
      <c r="W3812" s="64" ph="1"/>
    </row>
    <row r="3813" spans="23:23" ht="26.4">
      <c r="W3813" s="64" ph="1"/>
    </row>
    <row r="3814" spans="23:23" ht="26.4">
      <c r="W3814" s="64" ph="1"/>
    </row>
    <row r="3815" spans="23:23" ht="26.4">
      <c r="W3815" s="64" ph="1"/>
    </row>
    <row r="3816" spans="23:23" ht="26.4">
      <c r="W3816" s="64" ph="1"/>
    </row>
    <row r="3817" spans="23:23" ht="26.4">
      <c r="W3817" s="64" ph="1"/>
    </row>
    <row r="3818" spans="23:23" ht="26.4">
      <c r="W3818" s="64" ph="1"/>
    </row>
    <row r="3819" spans="23:23" ht="26.4">
      <c r="W3819" s="64" ph="1"/>
    </row>
    <row r="3820" spans="23:23" ht="26.4">
      <c r="W3820" s="64" ph="1"/>
    </row>
    <row r="3821" spans="23:23" ht="26.4">
      <c r="W3821" s="64" ph="1"/>
    </row>
    <row r="3822" spans="23:23" ht="26.4">
      <c r="W3822" s="64" ph="1"/>
    </row>
    <row r="3823" spans="23:23" ht="26.4">
      <c r="W3823" s="64" ph="1"/>
    </row>
    <row r="3824" spans="23:23" ht="26.4">
      <c r="W3824" s="64" ph="1"/>
    </row>
    <row r="3825" spans="23:23" ht="26.4">
      <c r="W3825" s="64" ph="1"/>
    </row>
    <row r="3826" spans="23:23" ht="26.4">
      <c r="W3826" s="64" ph="1"/>
    </row>
    <row r="3827" spans="23:23" ht="26.4">
      <c r="W3827" s="64" ph="1"/>
    </row>
    <row r="3828" spans="23:23" ht="26.4">
      <c r="W3828" s="64" ph="1"/>
    </row>
    <row r="3829" spans="23:23" ht="26.4">
      <c r="W3829" s="64" ph="1"/>
    </row>
    <row r="3830" spans="23:23" ht="26.4">
      <c r="W3830" s="64" ph="1"/>
    </row>
    <row r="3831" spans="23:23" ht="26.4">
      <c r="W3831" s="64" ph="1"/>
    </row>
    <row r="3832" spans="23:23" ht="26.4">
      <c r="W3832" s="64" ph="1"/>
    </row>
    <row r="3833" spans="23:23" ht="26.4">
      <c r="W3833" s="64" ph="1"/>
    </row>
    <row r="3834" spans="23:23" ht="26.4">
      <c r="W3834" s="64" ph="1"/>
    </row>
    <row r="3835" spans="23:23" ht="26.4">
      <c r="W3835" s="64" ph="1"/>
    </row>
    <row r="3836" spans="23:23" ht="26.4">
      <c r="W3836" s="64" ph="1"/>
    </row>
    <row r="3837" spans="23:23" ht="26.4">
      <c r="W3837" s="64" ph="1"/>
    </row>
    <row r="3838" spans="23:23" ht="26.4">
      <c r="W3838" s="64" ph="1"/>
    </row>
    <row r="3839" spans="23:23" ht="26.4">
      <c r="W3839" s="64" ph="1"/>
    </row>
    <row r="3840" spans="23:23" ht="26.4">
      <c r="W3840" s="64" ph="1"/>
    </row>
    <row r="3841" spans="23:23" ht="26.4">
      <c r="W3841" s="64" ph="1"/>
    </row>
    <row r="3842" spans="23:23" ht="26.4">
      <c r="W3842" s="64" ph="1"/>
    </row>
    <row r="3843" spans="23:23" ht="26.4">
      <c r="W3843" s="64" ph="1"/>
    </row>
    <row r="3844" spans="23:23" ht="26.4">
      <c r="W3844" s="64" ph="1"/>
    </row>
    <row r="3845" spans="23:23" ht="26.4">
      <c r="W3845" s="64" ph="1"/>
    </row>
    <row r="3846" spans="23:23" ht="26.4">
      <c r="W3846" s="64" ph="1"/>
    </row>
    <row r="3847" spans="23:23" ht="26.4">
      <c r="W3847" s="64" ph="1"/>
    </row>
    <row r="3848" spans="23:23" ht="26.4">
      <c r="W3848" s="64" ph="1"/>
    </row>
    <row r="3849" spans="23:23" ht="26.4">
      <c r="W3849" s="64" ph="1"/>
    </row>
    <row r="3850" spans="23:23" ht="26.4">
      <c r="W3850" s="64" ph="1"/>
    </row>
    <row r="3851" spans="23:23" ht="26.4">
      <c r="W3851" s="64" ph="1"/>
    </row>
    <row r="3852" spans="23:23" ht="26.4">
      <c r="W3852" s="64" ph="1"/>
    </row>
    <row r="3853" spans="23:23" ht="26.4">
      <c r="W3853" s="64" ph="1"/>
    </row>
    <row r="3854" spans="23:23" ht="26.4">
      <c r="W3854" s="64" ph="1"/>
    </row>
    <row r="3855" spans="23:23" ht="26.4">
      <c r="W3855" s="64" ph="1"/>
    </row>
    <row r="3856" spans="23:23" ht="26.4">
      <c r="W3856" s="64" ph="1"/>
    </row>
    <row r="3857" spans="23:23" ht="26.4">
      <c r="W3857" s="64" ph="1"/>
    </row>
    <row r="3858" spans="23:23" ht="26.4">
      <c r="W3858" s="64" ph="1"/>
    </row>
    <row r="3859" spans="23:23" ht="26.4">
      <c r="W3859" s="64" ph="1"/>
    </row>
    <row r="3860" spans="23:23" ht="26.4">
      <c r="W3860" s="64" ph="1"/>
    </row>
    <row r="3861" spans="23:23" ht="26.4">
      <c r="W3861" s="64" ph="1"/>
    </row>
    <row r="3862" spans="23:23" ht="26.4">
      <c r="W3862" s="64" ph="1"/>
    </row>
    <row r="3863" spans="23:23" ht="26.4">
      <c r="W3863" s="64" ph="1"/>
    </row>
    <row r="3864" spans="23:23" ht="26.4">
      <c r="W3864" s="64" ph="1"/>
    </row>
    <row r="3865" spans="23:23" ht="26.4">
      <c r="W3865" s="64" ph="1"/>
    </row>
    <row r="3866" spans="23:23" ht="26.4">
      <c r="W3866" s="64" ph="1"/>
    </row>
    <row r="3867" spans="23:23" ht="26.4">
      <c r="W3867" s="64" ph="1"/>
    </row>
    <row r="3868" spans="23:23" ht="26.4">
      <c r="W3868" s="64" ph="1"/>
    </row>
    <row r="3869" spans="23:23" ht="26.4">
      <c r="W3869" s="64" ph="1"/>
    </row>
    <row r="3870" spans="23:23" ht="26.4">
      <c r="W3870" s="64" ph="1"/>
    </row>
    <row r="3871" spans="23:23" ht="26.4">
      <c r="W3871" s="64" ph="1"/>
    </row>
    <row r="3872" spans="23:23" ht="26.4">
      <c r="W3872" s="64" ph="1"/>
    </row>
    <row r="3873" spans="23:23" ht="26.4">
      <c r="W3873" s="64" ph="1"/>
    </row>
    <row r="3874" spans="23:23" ht="26.4">
      <c r="W3874" s="64" ph="1"/>
    </row>
    <row r="3875" spans="23:23" ht="26.4">
      <c r="W3875" s="64" ph="1"/>
    </row>
    <row r="3876" spans="23:23" ht="26.4">
      <c r="W3876" s="64" ph="1"/>
    </row>
    <row r="3877" spans="23:23" ht="26.4">
      <c r="W3877" s="64" ph="1"/>
    </row>
    <row r="3878" spans="23:23" ht="26.4">
      <c r="W3878" s="64" ph="1"/>
    </row>
    <row r="3879" spans="23:23" ht="26.4">
      <c r="W3879" s="64" ph="1"/>
    </row>
    <row r="3880" spans="23:23" ht="26.4">
      <c r="W3880" s="64" ph="1"/>
    </row>
    <row r="3881" spans="23:23" ht="26.4">
      <c r="W3881" s="64" ph="1"/>
    </row>
    <row r="3882" spans="23:23" ht="26.4">
      <c r="W3882" s="64" ph="1"/>
    </row>
    <row r="3883" spans="23:23" ht="26.4">
      <c r="W3883" s="64" ph="1"/>
    </row>
    <row r="3884" spans="23:23" ht="26.4">
      <c r="W3884" s="64" ph="1"/>
    </row>
    <row r="3885" spans="23:23" ht="26.4">
      <c r="W3885" s="64" ph="1"/>
    </row>
    <row r="3886" spans="23:23" ht="26.4">
      <c r="W3886" s="64" ph="1"/>
    </row>
    <row r="3887" spans="23:23" ht="26.4">
      <c r="W3887" s="64" ph="1"/>
    </row>
    <row r="3888" spans="23:23" ht="26.4">
      <c r="W3888" s="64" ph="1"/>
    </row>
    <row r="3889" spans="23:23" ht="26.4">
      <c r="W3889" s="64" ph="1"/>
    </row>
    <row r="3890" spans="23:23" ht="26.4">
      <c r="W3890" s="64" ph="1"/>
    </row>
    <row r="3891" spans="23:23" ht="26.4">
      <c r="W3891" s="64" ph="1"/>
    </row>
    <row r="3892" spans="23:23" ht="26.4">
      <c r="W3892" s="64" ph="1"/>
    </row>
    <row r="3893" spans="23:23" ht="26.4">
      <c r="W3893" s="64" ph="1"/>
    </row>
    <row r="3894" spans="23:23" ht="26.4">
      <c r="W3894" s="64" ph="1"/>
    </row>
    <row r="3895" spans="23:23" ht="26.4">
      <c r="W3895" s="64" ph="1"/>
    </row>
    <row r="3896" spans="23:23" ht="26.4">
      <c r="W3896" s="64" ph="1"/>
    </row>
    <row r="3897" spans="23:23" ht="26.4">
      <c r="W3897" s="64" ph="1"/>
    </row>
    <row r="3898" spans="23:23" ht="26.4">
      <c r="W3898" s="64" ph="1"/>
    </row>
    <row r="3899" spans="23:23" ht="26.4">
      <c r="W3899" s="64" ph="1"/>
    </row>
    <row r="3900" spans="23:23" ht="26.4">
      <c r="W3900" s="64" ph="1"/>
    </row>
    <row r="3901" spans="23:23" ht="26.4">
      <c r="W3901" s="64" ph="1"/>
    </row>
    <row r="3902" spans="23:23" ht="26.4">
      <c r="W3902" s="64" ph="1"/>
    </row>
    <row r="3903" spans="23:23" ht="26.4">
      <c r="W3903" s="64" ph="1"/>
    </row>
    <row r="3904" spans="23:23" ht="26.4">
      <c r="W3904" s="64" ph="1"/>
    </row>
    <row r="3905" spans="23:23" ht="26.4">
      <c r="W3905" s="64" ph="1"/>
    </row>
    <row r="3906" spans="23:23" ht="26.4">
      <c r="W3906" s="64" ph="1"/>
    </row>
    <row r="3907" spans="23:23" ht="26.4">
      <c r="W3907" s="64" ph="1"/>
    </row>
    <row r="3908" spans="23:23" ht="26.4">
      <c r="W3908" s="64" ph="1"/>
    </row>
    <row r="3909" spans="23:23" ht="26.4">
      <c r="W3909" s="64" ph="1"/>
    </row>
    <row r="3910" spans="23:23" ht="26.4">
      <c r="W3910" s="64" ph="1"/>
    </row>
    <row r="3911" spans="23:23" ht="26.4">
      <c r="W3911" s="64" ph="1"/>
    </row>
    <row r="3912" spans="23:23" ht="26.4">
      <c r="W3912" s="64" ph="1"/>
    </row>
    <row r="3913" spans="23:23" ht="26.4">
      <c r="W3913" s="64" ph="1"/>
    </row>
    <row r="3914" spans="23:23" ht="26.4">
      <c r="W3914" s="64" ph="1"/>
    </row>
    <row r="3915" spans="23:23" ht="26.4">
      <c r="W3915" s="64" ph="1"/>
    </row>
    <row r="3916" spans="23:23" ht="26.4">
      <c r="W3916" s="64" ph="1"/>
    </row>
    <row r="3917" spans="23:23" ht="26.4">
      <c r="W3917" s="64" ph="1"/>
    </row>
    <row r="3918" spans="23:23" ht="26.4">
      <c r="W3918" s="64" ph="1"/>
    </row>
    <row r="3919" spans="23:23" ht="26.4">
      <c r="W3919" s="64" ph="1"/>
    </row>
    <row r="3920" spans="23:23" ht="26.4">
      <c r="W3920" s="64" ph="1"/>
    </row>
    <row r="3921" spans="23:23" ht="26.4">
      <c r="W3921" s="64" ph="1"/>
    </row>
    <row r="3922" spans="23:23" ht="26.4">
      <c r="W3922" s="64" ph="1"/>
    </row>
    <row r="3923" spans="23:23" ht="26.4">
      <c r="W3923" s="64" ph="1"/>
    </row>
    <row r="3924" spans="23:23" ht="26.4">
      <c r="W3924" s="64" ph="1"/>
    </row>
    <row r="3925" spans="23:23" ht="26.4">
      <c r="W3925" s="64" ph="1"/>
    </row>
    <row r="3926" spans="23:23" ht="26.4">
      <c r="W3926" s="64" ph="1"/>
    </row>
    <row r="3927" spans="23:23" ht="26.4">
      <c r="W3927" s="64" ph="1"/>
    </row>
    <row r="3928" spans="23:23" ht="26.4">
      <c r="W3928" s="64" ph="1"/>
    </row>
    <row r="3929" spans="23:23" ht="26.4">
      <c r="W3929" s="64" ph="1"/>
    </row>
    <row r="3930" spans="23:23" ht="26.4">
      <c r="W3930" s="64" ph="1"/>
    </row>
    <row r="3931" spans="23:23" ht="26.4">
      <c r="W3931" s="64" ph="1"/>
    </row>
    <row r="3932" spans="23:23" ht="26.4">
      <c r="W3932" s="64" ph="1"/>
    </row>
    <row r="3933" spans="23:23" ht="26.4">
      <c r="W3933" s="64" ph="1"/>
    </row>
    <row r="3934" spans="23:23" ht="26.4">
      <c r="W3934" s="64" ph="1"/>
    </row>
    <row r="3935" spans="23:23" ht="26.4">
      <c r="W3935" s="64" ph="1"/>
    </row>
    <row r="3936" spans="23:23" ht="26.4">
      <c r="W3936" s="64" ph="1"/>
    </row>
    <row r="3937" spans="23:23" ht="26.4">
      <c r="W3937" s="64" ph="1"/>
    </row>
    <row r="3938" spans="23:23" ht="26.4">
      <c r="W3938" s="64" ph="1"/>
    </row>
    <row r="3939" spans="23:23" ht="26.4">
      <c r="W3939" s="64" ph="1"/>
    </row>
    <row r="3940" spans="23:23" ht="26.4">
      <c r="W3940" s="64" ph="1"/>
    </row>
    <row r="3941" spans="23:23" ht="26.4">
      <c r="W3941" s="64" ph="1"/>
    </row>
    <row r="3942" spans="23:23" ht="26.4">
      <c r="W3942" s="64" ph="1"/>
    </row>
    <row r="3943" spans="23:23" ht="26.4">
      <c r="W3943" s="64" ph="1"/>
    </row>
    <row r="3944" spans="23:23" ht="26.4">
      <c r="W3944" s="64" ph="1"/>
    </row>
    <row r="3945" spans="23:23" ht="26.4">
      <c r="W3945" s="64" ph="1"/>
    </row>
    <row r="3946" spans="23:23" ht="26.4">
      <c r="W3946" s="64" ph="1"/>
    </row>
    <row r="3947" spans="23:23" ht="26.4">
      <c r="W3947" s="64" ph="1"/>
    </row>
    <row r="3948" spans="23:23" ht="26.4">
      <c r="W3948" s="64" ph="1"/>
    </row>
    <row r="3949" spans="23:23" ht="26.4">
      <c r="W3949" s="64" ph="1"/>
    </row>
    <row r="3950" spans="23:23" ht="26.4">
      <c r="W3950" s="64" ph="1"/>
    </row>
    <row r="3951" spans="23:23" ht="26.4">
      <c r="W3951" s="64" ph="1"/>
    </row>
    <row r="3952" spans="23:23" ht="26.4">
      <c r="W3952" s="64" ph="1"/>
    </row>
    <row r="3953" spans="23:23" ht="26.4">
      <c r="W3953" s="64" ph="1"/>
    </row>
    <row r="3954" spans="23:23" ht="26.4">
      <c r="W3954" s="64" ph="1"/>
    </row>
    <row r="3955" spans="23:23" ht="26.4">
      <c r="W3955" s="64" ph="1"/>
    </row>
    <row r="3956" spans="23:23" ht="26.4">
      <c r="W3956" s="64" ph="1"/>
    </row>
    <row r="3957" spans="23:23" ht="26.4">
      <c r="W3957" s="64" ph="1"/>
    </row>
    <row r="3958" spans="23:23" ht="26.4">
      <c r="W3958" s="64" ph="1"/>
    </row>
    <row r="3959" spans="23:23" ht="26.4">
      <c r="W3959" s="64" ph="1"/>
    </row>
    <row r="3960" spans="23:23" ht="26.4">
      <c r="W3960" s="64" ph="1"/>
    </row>
    <row r="3961" spans="23:23" ht="26.4">
      <c r="W3961" s="64" ph="1"/>
    </row>
    <row r="3962" spans="23:23" ht="26.4">
      <c r="W3962" s="64" ph="1"/>
    </row>
    <row r="3963" spans="23:23" ht="26.4">
      <c r="W3963" s="64" ph="1"/>
    </row>
    <row r="3964" spans="23:23" ht="26.4">
      <c r="W3964" s="64" ph="1"/>
    </row>
    <row r="3965" spans="23:23" ht="26.4">
      <c r="W3965" s="64" ph="1"/>
    </row>
    <row r="3966" spans="23:23" ht="26.4">
      <c r="W3966" s="64" ph="1"/>
    </row>
    <row r="3967" spans="23:23" ht="26.4">
      <c r="W3967" s="64" ph="1"/>
    </row>
    <row r="3968" spans="23:23" ht="26.4">
      <c r="W3968" s="64" ph="1"/>
    </row>
    <row r="3969" spans="23:23" ht="26.4">
      <c r="W3969" s="64" ph="1"/>
    </row>
    <row r="3970" spans="23:23" ht="26.4">
      <c r="W3970" s="64" ph="1"/>
    </row>
    <row r="3971" spans="23:23" ht="26.4">
      <c r="W3971" s="64" ph="1"/>
    </row>
    <row r="3972" spans="23:23" ht="26.4">
      <c r="W3972" s="64" ph="1"/>
    </row>
    <row r="3973" spans="23:23" ht="26.4">
      <c r="W3973" s="64" ph="1"/>
    </row>
    <row r="3974" spans="23:23" ht="26.4">
      <c r="W3974" s="64" ph="1"/>
    </row>
    <row r="3975" spans="23:23" ht="26.4">
      <c r="W3975" s="64" ph="1"/>
    </row>
    <row r="3976" spans="23:23" ht="26.4">
      <c r="W3976" s="64" ph="1"/>
    </row>
    <row r="3977" spans="23:23" ht="26.4">
      <c r="W3977" s="64" ph="1"/>
    </row>
    <row r="3978" spans="23:23" ht="26.4">
      <c r="W3978" s="64" ph="1"/>
    </row>
    <row r="3979" spans="23:23" ht="26.4">
      <c r="W3979" s="64" ph="1"/>
    </row>
    <row r="3980" spans="23:23" ht="26.4">
      <c r="W3980" s="64" ph="1"/>
    </row>
    <row r="3981" spans="23:23" ht="26.4">
      <c r="W3981" s="64" ph="1"/>
    </row>
    <row r="3982" spans="23:23" ht="26.4">
      <c r="W3982" s="64" ph="1"/>
    </row>
    <row r="3983" spans="23:23" ht="26.4">
      <c r="W3983" s="64" ph="1"/>
    </row>
    <row r="3984" spans="23:23" ht="26.4">
      <c r="W3984" s="64" ph="1"/>
    </row>
    <row r="3985" spans="23:23" ht="26.4">
      <c r="W3985" s="64" ph="1"/>
    </row>
    <row r="3986" spans="23:23" ht="26.4">
      <c r="W3986" s="64" ph="1"/>
    </row>
    <row r="3987" spans="23:23" ht="26.4">
      <c r="W3987" s="64" ph="1"/>
    </row>
    <row r="3988" spans="23:23" ht="26.4">
      <c r="W3988" s="64" ph="1"/>
    </row>
    <row r="3989" spans="23:23" ht="26.4">
      <c r="W3989" s="64" ph="1"/>
    </row>
    <row r="3990" spans="23:23" ht="26.4">
      <c r="W3990" s="64" ph="1"/>
    </row>
    <row r="3991" spans="23:23" ht="26.4">
      <c r="W3991" s="64" ph="1"/>
    </row>
    <row r="3992" spans="23:23" ht="26.4">
      <c r="W3992" s="64" ph="1"/>
    </row>
    <row r="3993" spans="23:23" ht="26.4">
      <c r="W3993" s="64" ph="1"/>
    </row>
    <row r="3994" spans="23:23" ht="26.4">
      <c r="W3994" s="64" ph="1"/>
    </row>
    <row r="3995" spans="23:23" ht="26.4">
      <c r="W3995" s="64" ph="1"/>
    </row>
    <row r="3996" spans="23:23" ht="26.4">
      <c r="W3996" s="64" ph="1"/>
    </row>
    <row r="3997" spans="23:23" ht="26.4">
      <c r="W3997" s="64" ph="1"/>
    </row>
    <row r="3998" spans="23:23" ht="26.4">
      <c r="W3998" s="64" ph="1"/>
    </row>
    <row r="3999" spans="23:23" ht="26.4">
      <c r="W3999" s="64" ph="1"/>
    </row>
    <row r="4000" spans="23:23" ht="26.4">
      <c r="W4000" s="64" ph="1"/>
    </row>
    <row r="4001" spans="23:23" ht="26.4">
      <c r="W4001" s="64" ph="1"/>
    </row>
    <row r="4002" spans="23:23" ht="26.4">
      <c r="W4002" s="64" ph="1"/>
    </row>
    <row r="4003" spans="23:23" ht="26.4">
      <c r="W4003" s="64" ph="1"/>
    </row>
    <row r="4004" spans="23:23" ht="26.4">
      <c r="W4004" s="64" ph="1"/>
    </row>
    <row r="4005" spans="23:23" ht="26.4">
      <c r="W4005" s="64" ph="1"/>
    </row>
    <row r="4006" spans="23:23" ht="26.4">
      <c r="W4006" s="64" ph="1"/>
    </row>
    <row r="4007" spans="23:23" ht="26.4">
      <c r="W4007" s="64" ph="1"/>
    </row>
    <row r="4008" spans="23:23" ht="26.4">
      <c r="W4008" s="64" ph="1"/>
    </row>
    <row r="4009" spans="23:23" ht="26.4">
      <c r="W4009" s="64" ph="1"/>
    </row>
    <row r="4010" spans="23:23" ht="26.4">
      <c r="W4010" s="64" ph="1"/>
    </row>
    <row r="4011" spans="23:23" ht="26.4">
      <c r="W4011" s="64" ph="1"/>
    </row>
    <row r="4012" spans="23:23" ht="26.4">
      <c r="W4012" s="64" ph="1"/>
    </row>
    <row r="4013" spans="23:23" ht="26.4">
      <c r="W4013" s="64" ph="1"/>
    </row>
    <row r="4014" spans="23:23" ht="26.4">
      <c r="W4014" s="64" ph="1"/>
    </row>
    <row r="4015" spans="23:23" ht="26.4">
      <c r="W4015" s="64" ph="1"/>
    </row>
    <row r="4016" spans="23:23" ht="26.4">
      <c r="W4016" s="64" ph="1"/>
    </row>
    <row r="4017" spans="23:23" ht="26.4">
      <c r="W4017" s="64" ph="1"/>
    </row>
    <row r="4018" spans="23:23" ht="26.4">
      <c r="W4018" s="64" ph="1"/>
    </row>
    <row r="4019" spans="23:23" ht="26.4">
      <c r="W4019" s="64" ph="1"/>
    </row>
    <row r="4020" spans="23:23" ht="26.4">
      <c r="W4020" s="64" ph="1"/>
    </row>
    <row r="4021" spans="23:23" ht="26.4">
      <c r="W4021" s="64" ph="1"/>
    </row>
    <row r="4022" spans="23:23" ht="26.4">
      <c r="W4022" s="64" ph="1"/>
    </row>
    <row r="4023" spans="23:23" ht="26.4">
      <c r="W4023" s="64" ph="1"/>
    </row>
    <row r="4024" spans="23:23" ht="26.4">
      <c r="W4024" s="64" ph="1"/>
    </row>
    <row r="4025" spans="23:23" ht="26.4">
      <c r="W4025" s="64" ph="1"/>
    </row>
    <row r="4026" spans="23:23" ht="26.4">
      <c r="W4026" s="64" ph="1"/>
    </row>
    <row r="4027" spans="23:23" ht="26.4">
      <c r="W4027" s="64" ph="1"/>
    </row>
    <row r="4028" spans="23:23" ht="26.4">
      <c r="W4028" s="64" ph="1"/>
    </row>
    <row r="4029" spans="23:23" ht="26.4">
      <c r="W4029" s="64" ph="1"/>
    </row>
    <row r="4030" spans="23:23" ht="26.4">
      <c r="W4030" s="64" ph="1"/>
    </row>
    <row r="4031" spans="23:23" ht="26.4">
      <c r="W4031" s="64" ph="1"/>
    </row>
    <row r="4032" spans="23:23" ht="26.4">
      <c r="W4032" s="64" ph="1"/>
    </row>
    <row r="4033" spans="23:23" ht="26.4">
      <c r="W4033" s="64" ph="1"/>
    </row>
    <row r="4034" spans="23:23" ht="26.4">
      <c r="W4034" s="64" ph="1"/>
    </row>
    <row r="4035" spans="23:23" ht="26.4">
      <c r="W4035" s="64" ph="1"/>
    </row>
    <row r="4036" spans="23:23" ht="26.4">
      <c r="W4036" s="64" ph="1"/>
    </row>
    <row r="4037" spans="23:23" ht="26.4">
      <c r="W4037" s="64" ph="1"/>
    </row>
    <row r="4038" spans="23:23" ht="26.4">
      <c r="W4038" s="64" ph="1"/>
    </row>
    <row r="4039" spans="23:23" ht="26.4">
      <c r="W4039" s="64" ph="1"/>
    </row>
    <row r="4040" spans="23:23" ht="26.4">
      <c r="W4040" s="64" ph="1"/>
    </row>
    <row r="4041" spans="23:23" ht="26.4">
      <c r="W4041" s="64" ph="1"/>
    </row>
    <row r="4042" spans="23:23" ht="26.4">
      <c r="W4042" s="64" ph="1"/>
    </row>
    <row r="4043" spans="23:23" ht="26.4">
      <c r="W4043" s="64" ph="1"/>
    </row>
    <row r="4044" spans="23:23" ht="26.4">
      <c r="W4044" s="64" ph="1"/>
    </row>
    <row r="4045" spans="23:23" ht="26.4">
      <c r="W4045" s="64" ph="1"/>
    </row>
    <row r="4046" spans="23:23" ht="26.4">
      <c r="W4046" s="64" ph="1"/>
    </row>
    <row r="4047" spans="23:23" ht="26.4">
      <c r="W4047" s="64" ph="1"/>
    </row>
    <row r="4048" spans="23:23" ht="26.4">
      <c r="W4048" s="64" ph="1"/>
    </row>
    <row r="4049" spans="23:23" ht="26.4">
      <c r="W4049" s="64" ph="1"/>
    </row>
    <row r="4050" spans="23:23" ht="26.4">
      <c r="W4050" s="64" ph="1"/>
    </row>
    <row r="4051" spans="23:23" ht="26.4">
      <c r="W4051" s="64" ph="1"/>
    </row>
    <row r="4052" spans="23:23" ht="26.4">
      <c r="W4052" s="64" ph="1"/>
    </row>
    <row r="4053" spans="23:23" ht="26.4">
      <c r="W4053" s="64" ph="1"/>
    </row>
    <row r="4054" spans="23:23" ht="26.4">
      <c r="W4054" s="64" ph="1"/>
    </row>
    <row r="4055" spans="23:23" ht="26.4">
      <c r="W4055" s="64" ph="1"/>
    </row>
    <row r="4056" spans="23:23" ht="26.4">
      <c r="W4056" s="64" ph="1"/>
    </row>
    <row r="4057" spans="23:23" ht="26.4">
      <c r="W4057" s="64" ph="1"/>
    </row>
    <row r="4058" spans="23:23" ht="26.4">
      <c r="W4058" s="64" ph="1"/>
    </row>
    <row r="4059" spans="23:23" ht="26.4">
      <c r="W4059" s="64" ph="1"/>
    </row>
    <row r="4060" spans="23:23" ht="26.4">
      <c r="W4060" s="64" ph="1"/>
    </row>
    <row r="4061" spans="23:23" ht="26.4">
      <c r="W4061" s="64" ph="1"/>
    </row>
    <row r="4062" spans="23:23" ht="26.4">
      <c r="W4062" s="64" ph="1"/>
    </row>
    <row r="4063" spans="23:23" ht="26.4">
      <c r="W4063" s="64" ph="1"/>
    </row>
    <row r="4064" spans="23:23" ht="26.4">
      <c r="W4064" s="64" ph="1"/>
    </row>
    <row r="4065" spans="23:23" ht="26.4">
      <c r="W4065" s="64" ph="1"/>
    </row>
    <row r="4066" spans="23:23" ht="26.4">
      <c r="W4066" s="64" ph="1"/>
    </row>
    <row r="4067" spans="23:23" ht="26.4">
      <c r="W4067" s="64" ph="1"/>
    </row>
    <row r="4068" spans="23:23" ht="26.4">
      <c r="W4068" s="64" ph="1"/>
    </row>
    <row r="4069" spans="23:23" ht="26.4">
      <c r="W4069" s="64" ph="1"/>
    </row>
    <row r="4070" spans="23:23" ht="26.4">
      <c r="W4070" s="64" ph="1"/>
    </row>
    <row r="4071" spans="23:23" ht="26.4">
      <c r="W4071" s="64" ph="1"/>
    </row>
    <row r="4072" spans="23:23" ht="26.4">
      <c r="W4072" s="64" ph="1"/>
    </row>
    <row r="4073" spans="23:23" ht="26.4">
      <c r="W4073" s="64" ph="1"/>
    </row>
    <row r="4074" spans="23:23" ht="26.4">
      <c r="W4074" s="64" ph="1"/>
    </row>
    <row r="4075" spans="23:23" ht="26.4">
      <c r="W4075" s="64" ph="1"/>
    </row>
    <row r="4076" spans="23:23" ht="26.4">
      <c r="W4076" s="64" ph="1"/>
    </row>
    <row r="4077" spans="23:23" ht="26.4">
      <c r="W4077" s="64" ph="1"/>
    </row>
    <row r="4078" spans="23:23" ht="26.4">
      <c r="W4078" s="64" ph="1"/>
    </row>
    <row r="4079" spans="23:23" ht="26.4">
      <c r="W4079" s="64" ph="1"/>
    </row>
    <row r="4080" spans="23:23" ht="26.4">
      <c r="W4080" s="64" ph="1"/>
    </row>
    <row r="4081" spans="23:23" ht="26.4">
      <c r="W4081" s="64" ph="1"/>
    </row>
    <row r="4082" spans="23:23" ht="26.4">
      <c r="W4082" s="64" ph="1"/>
    </row>
    <row r="4083" spans="23:23" ht="26.4">
      <c r="W4083" s="64" ph="1"/>
    </row>
    <row r="4084" spans="23:23" ht="26.4">
      <c r="W4084" s="64" ph="1"/>
    </row>
    <row r="4085" spans="23:23" ht="26.4">
      <c r="W4085" s="64" ph="1"/>
    </row>
    <row r="4086" spans="23:23" ht="26.4">
      <c r="W4086" s="64" ph="1"/>
    </row>
    <row r="4087" spans="23:23" ht="26.4">
      <c r="W4087" s="64" ph="1"/>
    </row>
    <row r="4088" spans="23:23" ht="26.4">
      <c r="W4088" s="64" ph="1"/>
    </row>
    <row r="4089" spans="23:23" ht="26.4">
      <c r="W4089" s="64" ph="1"/>
    </row>
    <row r="4090" spans="23:23" ht="26.4">
      <c r="W4090" s="64" ph="1"/>
    </row>
    <row r="4091" spans="23:23" ht="26.4">
      <c r="W4091" s="64" ph="1"/>
    </row>
    <row r="4092" spans="23:23" ht="26.4">
      <c r="W4092" s="64" ph="1"/>
    </row>
    <row r="4093" spans="23:23" ht="26.4">
      <c r="W4093" s="64" ph="1"/>
    </row>
    <row r="4094" spans="23:23" ht="26.4">
      <c r="W4094" s="64" ph="1"/>
    </row>
    <row r="4095" spans="23:23" ht="26.4">
      <c r="W4095" s="64" ph="1"/>
    </row>
    <row r="4096" spans="23:23" ht="26.4">
      <c r="W4096" s="64" ph="1"/>
    </row>
    <row r="4097" spans="23:23" ht="26.4">
      <c r="W4097" s="64" ph="1"/>
    </row>
    <row r="4098" spans="23:23" ht="26.4">
      <c r="W4098" s="64" ph="1"/>
    </row>
    <row r="4099" spans="23:23" ht="26.4">
      <c r="W4099" s="64" ph="1"/>
    </row>
    <row r="4100" spans="23:23" ht="26.4">
      <c r="W4100" s="64" ph="1"/>
    </row>
    <row r="4101" spans="23:23" ht="26.4">
      <c r="W4101" s="64" ph="1"/>
    </row>
    <row r="4102" spans="23:23" ht="26.4">
      <c r="W4102" s="64" ph="1"/>
    </row>
    <row r="4103" spans="23:23" ht="26.4">
      <c r="W4103" s="64" ph="1"/>
    </row>
    <row r="4104" spans="23:23" ht="26.4">
      <c r="W4104" s="64" ph="1"/>
    </row>
    <row r="4105" spans="23:23" ht="26.4">
      <c r="W4105" s="64" ph="1"/>
    </row>
    <row r="4106" spans="23:23" ht="26.4">
      <c r="W4106" s="64" ph="1"/>
    </row>
    <row r="4107" spans="23:23" ht="26.4">
      <c r="W4107" s="64" ph="1"/>
    </row>
    <row r="4108" spans="23:23" ht="26.4">
      <c r="W4108" s="64" ph="1"/>
    </row>
    <row r="4109" spans="23:23" ht="26.4">
      <c r="W4109" s="64" ph="1"/>
    </row>
    <row r="4110" spans="23:23" ht="26.4">
      <c r="W4110" s="64" ph="1"/>
    </row>
    <row r="4111" spans="23:23" ht="26.4">
      <c r="W4111" s="64" ph="1"/>
    </row>
    <row r="4112" spans="23:23" ht="26.4">
      <c r="W4112" s="64" ph="1"/>
    </row>
    <row r="4113" spans="23:23" ht="26.4">
      <c r="W4113" s="64" ph="1"/>
    </row>
    <row r="4114" spans="23:23" ht="26.4">
      <c r="W4114" s="64" ph="1"/>
    </row>
    <row r="4115" spans="23:23" ht="26.4">
      <c r="W4115" s="64" ph="1"/>
    </row>
    <row r="4116" spans="23:23" ht="26.4">
      <c r="W4116" s="64" ph="1"/>
    </row>
    <row r="4117" spans="23:23" ht="26.4">
      <c r="W4117" s="64" ph="1"/>
    </row>
    <row r="4118" spans="23:23" ht="26.4">
      <c r="W4118" s="64" ph="1"/>
    </row>
    <row r="4119" spans="23:23" ht="26.4">
      <c r="W4119" s="64" ph="1"/>
    </row>
    <row r="4120" spans="23:23" ht="26.4">
      <c r="W4120" s="64" ph="1"/>
    </row>
    <row r="4121" spans="23:23" ht="26.4">
      <c r="W4121" s="64" ph="1"/>
    </row>
    <row r="4122" spans="23:23" ht="26.4">
      <c r="W4122" s="64" ph="1"/>
    </row>
    <row r="4123" spans="23:23" ht="26.4">
      <c r="W4123" s="64" ph="1"/>
    </row>
    <row r="4124" spans="23:23" ht="26.4">
      <c r="W4124" s="64" ph="1"/>
    </row>
    <row r="4125" spans="23:23" ht="26.4">
      <c r="W4125" s="64" ph="1"/>
    </row>
    <row r="4126" spans="23:23" ht="26.4">
      <c r="W4126" s="64" ph="1"/>
    </row>
    <row r="4127" spans="23:23" ht="26.4">
      <c r="W4127" s="64" ph="1"/>
    </row>
    <row r="4128" spans="23:23" ht="26.4">
      <c r="W4128" s="64" ph="1"/>
    </row>
    <row r="4129" spans="23:23" ht="26.4">
      <c r="W4129" s="64" ph="1"/>
    </row>
    <row r="4130" spans="23:23" ht="26.4">
      <c r="W4130" s="64" ph="1"/>
    </row>
    <row r="4131" spans="23:23" ht="26.4">
      <c r="W4131" s="64" ph="1"/>
    </row>
    <row r="4132" spans="23:23" ht="26.4">
      <c r="W4132" s="64" ph="1"/>
    </row>
    <row r="4133" spans="23:23" ht="26.4">
      <c r="W4133" s="64" ph="1"/>
    </row>
    <row r="4134" spans="23:23" ht="26.4">
      <c r="W4134" s="64" ph="1"/>
    </row>
    <row r="4135" spans="23:23" ht="26.4">
      <c r="W4135" s="64" ph="1"/>
    </row>
    <row r="4136" spans="23:23" ht="26.4">
      <c r="W4136" s="64" ph="1"/>
    </row>
    <row r="4137" spans="23:23" ht="26.4">
      <c r="W4137" s="64" ph="1"/>
    </row>
    <row r="4138" spans="23:23" ht="26.4">
      <c r="W4138" s="64" ph="1"/>
    </row>
    <row r="4139" spans="23:23" ht="26.4">
      <c r="W4139" s="64" ph="1"/>
    </row>
    <row r="4140" spans="23:23" ht="26.4">
      <c r="W4140" s="64" ph="1"/>
    </row>
    <row r="4141" spans="23:23" ht="26.4">
      <c r="W4141" s="64" ph="1"/>
    </row>
    <row r="4142" spans="23:23" ht="26.4">
      <c r="W4142" s="64" ph="1"/>
    </row>
    <row r="4143" spans="23:23" ht="26.4">
      <c r="W4143" s="64" ph="1"/>
    </row>
    <row r="4144" spans="23:23" ht="26.4">
      <c r="W4144" s="64" ph="1"/>
    </row>
    <row r="4145" spans="23:23" ht="26.4">
      <c r="W4145" s="64" ph="1"/>
    </row>
    <row r="4146" spans="23:23" ht="26.4">
      <c r="W4146" s="64" ph="1"/>
    </row>
    <row r="4147" spans="23:23" ht="26.4">
      <c r="W4147" s="64" ph="1"/>
    </row>
    <row r="4148" spans="23:23" ht="26.4">
      <c r="W4148" s="64" ph="1"/>
    </row>
    <row r="4149" spans="23:23" ht="26.4">
      <c r="W4149" s="64" ph="1"/>
    </row>
    <row r="4150" spans="23:23" ht="26.4">
      <c r="W4150" s="64" ph="1"/>
    </row>
    <row r="4151" spans="23:23" ht="26.4">
      <c r="W4151" s="64" ph="1"/>
    </row>
    <row r="4152" spans="23:23" ht="26.4">
      <c r="W4152" s="64" ph="1"/>
    </row>
    <row r="4153" spans="23:23" ht="26.4">
      <c r="W4153" s="64" ph="1"/>
    </row>
    <row r="4154" spans="23:23" ht="26.4">
      <c r="W4154" s="64" ph="1"/>
    </row>
    <row r="4155" spans="23:23" ht="26.4">
      <c r="W4155" s="64" ph="1"/>
    </row>
    <row r="4156" spans="23:23" ht="26.4">
      <c r="W4156" s="64" ph="1"/>
    </row>
    <row r="4157" spans="23:23" ht="26.4">
      <c r="W4157" s="64" ph="1"/>
    </row>
    <row r="4158" spans="23:23" ht="26.4">
      <c r="W4158" s="64" ph="1"/>
    </row>
    <row r="4159" spans="23:23" ht="26.4">
      <c r="W4159" s="64" ph="1"/>
    </row>
    <row r="4160" spans="23:23" ht="26.4">
      <c r="W4160" s="64" ph="1"/>
    </row>
    <row r="4161" spans="23:23" ht="26.4">
      <c r="W4161" s="64" ph="1"/>
    </row>
    <row r="4162" spans="23:23" ht="26.4">
      <c r="W4162" s="64" ph="1"/>
    </row>
    <row r="4163" spans="23:23" ht="26.4">
      <c r="W4163" s="64" ph="1"/>
    </row>
    <row r="4164" spans="23:23" ht="26.4">
      <c r="W4164" s="64" ph="1"/>
    </row>
    <row r="4165" spans="23:23" ht="26.4">
      <c r="W4165" s="64" ph="1"/>
    </row>
    <row r="4166" spans="23:23" ht="26.4">
      <c r="W4166" s="64" ph="1"/>
    </row>
    <row r="4167" spans="23:23" ht="26.4">
      <c r="W4167" s="64" ph="1"/>
    </row>
    <row r="4168" spans="23:23" ht="26.4">
      <c r="W4168" s="64" ph="1"/>
    </row>
    <row r="4169" spans="23:23" ht="26.4">
      <c r="W4169" s="64" ph="1"/>
    </row>
    <row r="4170" spans="23:23" ht="26.4">
      <c r="W4170" s="64" ph="1"/>
    </row>
    <row r="4171" spans="23:23" ht="26.4">
      <c r="W4171" s="64" ph="1"/>
    </row>
    <row r="4172" spans="23:23" ht="26.4">
      <c r="W4172" s="64" ph="1"/>
    </row>
    <row r="4173" spans="23:23" ht="26.4">
      <c r="W4173" s="64" ph="1"/>
    </row>
    <row r="4174" spans="23:23" ht="26.4">
      <c r="W4174" s="64" ph="1"/>
    </row>
    <row r="4175" spans="23:23" ht="26.4">
      <c r="W4175" s="64" ph="1"/>
    </row>
    <row r="4176" spans="23:23" ht="26.4">
      <c r="W4176" s="64" ph="1"/>
    </row>
    <row r="4177" spans="23:23" ht="26.4">
      <c r="W4177" s="64" ph="1"/>
    </row>
    <row r="4178" spans="23:23" ht="26.4">
      <c r="W4178" s="64" ph="1"/>
    </row>
    <row r="4179" spans="23:23" ht="26.4">
      <c r="W4179" s="64" ph="1"/>
    </row>
    <row r="4180" spans="23:23" ht="26.4">
      <c r="W4180" s="64" ph="1"/>
    </row>
    <row r="4181" spans="23:23" ht="26.4">
      <c r="W4181" s="64" ph="1"/>
    </row>
    <row r="4182" spans="23:23" ht="26.4">
      <c r="W4182" s="64" ph="1"/>
    </row>
    <row r="4183" spans="23:23" ht="26.4">
      <c r="W4183" s="64" ph="1"/>
    </row>
    <row r="4184" spans="23:23" ht="26.4">
      <c r="W4184" s="64" ph="1"/>
    </row>
    <row r="4185" spans="23:23" ht="26.4">
      <c r="W4185" s="64" ph="1"/>
    </row>
    <row r="4186" spans="23:23" ht="26.4">
      <c r="W4186" s="64" ph="1"/>
    </row>
    <row r="4187" spans="23:23" ht="26.4">
      <c r="W4187" s="64" ph="1"/>
    </row>
    <row r="4188" spans="23:23" ht="26.4">
      <c r="W4188" s="64" ph="1"/>
    </row>
    <row r="4189" spans="23:23" ht="26.4">
      <c r="W4189" s="64" ph="1"/>
    </row>
    <row r="4190" spans="23:23" ht="26.4">
      <c r="W4190" s="64" ph="1"/>
    </row>
    <row r="4191" spans="23:23" ht="26.4">
      <c r="W4191" s="64" ph="1"/>
    </row>
    <row r="4192" spans="23:23" ht="26.4">
      <c r="W4192" s="64" ph="1"/>
    </row>
    <row r="4193" spans="23:23" ht="26.4">
      <c r="W4193" s="64" ph="1"/>
    </row>
    <row r="4194" spans="23:23" ht="26.4">
      <c r="W4194" s="64" ph="1"/>
    </row>
    <row r="4195" spans="23:23" ht="26.4">
      <c r="W4195" s="64" ph="1"/>
    </row>
    <row r="4196" spans="23:23" ht="26.4">
      <c r="W4196" s="64" ph="1"/>
    </row>
    <row r="4197" spans="23:23" ht="26.4">
      <c r="W4197" s="64" ph="1"/>
    </row>
    <row r="4198" spans="23:23" ht="26.4">
      <c r="W4198" s="64" ph="1"/>
    </row>
    <row r="4199" spans="23:23" ht="26.4">
      <c r="W4199" s="64" ph="1"/>
    </row>
    <row r="4200" spans="23:23" ht="26.4">
      <c r="W4200" s="64" ph="1"/>
    </row>
    <row r="4201" spans="23:23" ht="26.4">
      <c r="W4201" s="64" ph="1"/>
    </row>
    <row r="4202" spans="23:23" ht="26.4">
      <c r="W4202" s="64" ph="1"/>
    </row>
    <row r="4203" spans="23:23" ht="26.4">
      <c r="W4203" s="64" ph="1"/>
    </row>
    <row r="4204" spans="23:23" ht="26.4">
      <c r="W4204" s="64" ph="1"/>
    </row>
    <row r="4205" spans="23:23" ht="26.4">
      <c r="W4205" s="64" ph="1"/>
    </row>
    <row r="4206" spans="23:23" ht="26.4">
      <c r="W4206" s="64" ph="1"/>
    </row>
    <row r="4207" spans="23:23" ht="26.4">
      <c r="W4207" s="64" ph="1"/>
    </row>
    <row r="4208" spans="23:23" ht="26.4">
      <c r="W4208" s="64" ph="1"/>
    </row>
    <row r="4209" spans="23:23" ht="26.4">
      <c r="W4209" s="64" ph="1"/>
    </row>
    <row r="4210" spans="23:23" ht="26.4">
      <c r="W4210" s="64" ph="1"/>
    </row>
    <row r="4211" spans="23:23" ht="26.4">
      <c r="W4211" s="64" ph="1"/>
    </row>
    <row r="4212" spans="23:23" ht="26.4">
      <c r="W4212" s="64" ph="1"/>
    </row>
    <row r="4213" spans="23:23" ht="26.4">
      <c r="W4213" s="64" ph="1"/>
    </row>
    <row r="4214" spans="23:23" ht="26.4">
      <c r="W4214" s="64" ph="1"/>
    </row>
    <row r="4215" spans="23:23" ht="26.4">
      <c r="W4215" s="64" ph="1"/>
    </row>
    <row r="4216" spans="23:23" ht="26.4">
      <c r="W4216" s="64" ph="1"/>
    </row>
    <row r="4217" spans="23:23" ht="26.4">
      <c r="W4217" s="64" ph="1"/>
    </row>
    <row r="4218" spans="23:23" ht="26.4">
      <c r="W4218" s="64" ph="1"/>
    </row>
    <row r="4219" spans="23:23" ht="26.4">
      <c r="W4219" s="64" ph="1"/>
    </row>
    <row r="4220" spans="23:23" ht="26.4">
      <c r="W4220" s="64" ph="1"/>
    </row>
    <row r="4221" spans="23:23" ht="26.4">
      <c r="W4221" s="64" ph="1"/>
    </row>
    <row r="4222" spans="23:23" ht="26.4">
      <c r="W4222" s="64" ph="1"/>
    </row>
    <row r="4223" spans="23:23" ht="26.4">
      <c r="W4223" s="64" ph="1"/>
    </row>
    <row r="4224" spans="23:23" ht="26.4">
      <c r="W4224" s="64" ph="1"/>
    </row>
    <row r="4225" spans="23:23" ht="26.4">
      <c r="W4225" s="64" ph="1"/>
    </row>
    <row r="4226" spans="23:23" ht="26.4">
      <c r="W4226" s="64" ph="1"/>
    </row>
    <row r="4227" spans="23:23" ht="26.4">
      <c r="W4227" s="64" ph="1"/>
    </row>
    <row r="4228" spans="23:23" ht="26.4">
      <c r="W4228" s="64" ph="1"/>
    </row>
    <row r="4229" spans="23:23" ht="26.4">
      <c r="W4229" s="64" ph="1"/>
    </row>
    <row r="4230" spans="23:23" ht="26.4">
      <c r="W4230" s="64" ph="1"/>
    </row>
    <row r="4231" spans="23:23" ht="26.4">
      <c r="W4231" s="64" ph="1"/>
    </row>
    <row r="4232" spans="23:23" ht="26.4">
      <c r="W4232" s="64" ph="1"/>
    </row>
    <row r="4233" spans="23:23" ht="26.4">
      <c r="W4233" s="64" ph="1"/>
    </row>
    <row r="4234" spans="23:23" ht="26.4">
      <c r="W4234" s="64" ph="1"/>
    </row>
    <row r="4235" spans="23:23" ht="26.4">
      <c r="W4235" s="64" ph="1"/>
    </row>
    <row r="4236" spans="23:23" ht="26.4">
      <c r="W4236" s="64" ph="1"/>
    </row>
    <row r="4237" spans="23:23" ht="26.4">
      <c r="W4237" s="64" ph="1"/>
    </row>
    <row r="4238" spans="23:23" ht="26.4">
      <c r="W4238" s="64" ph="1"/>
    </row>
    <row r="4239" spans="23:23" ht="26.4">
      <c r="W4239" s="64" ph="1"/>
    </row>
    <row r="4240" spans="23:23" ht="26.4">
      <c r="W4240" s="64" ph="1"/>
    </row>
    <row r="4241" spans="23:23" ht="26.4">
      <c r="W4241" s="64" ph="1"/>
    </row>
    <row r="4242" spans="23:23" ht="26.4">
      <c r="W4242" s="64" ph="1"/>
    </row>
    <row r="4243" spans="23:23" ht="26.4">
      <c r="W4243" s="64" ph="1"/>
    </row>
    <row r="4244" spans="23:23" ht="26.4">
      <c r="W4244" s="64" ph="1"/>
    </row>
    <row r="4245" spans="23:23" ht="26.4">
      <c r="W4245" s="64" ph="1"/>
    </row>
    <row r="4246" spans="23:23" ht="26.4">
      <c r="W4246" s="64" ph="1"/>
    </row>
    <row r="4247" spans="23:23" ht="26.4">
      <c r="W4247" s="64" ph="1"/>
    </row>
    <row r="4248" spans="23:23" ht="26.4">
      <c r="W4248" s="64" ph="1"/>
    </row>
    <row r="4249" spans="23:23" ht="26.4">
      <c r="W4249" s="64" ph="1"/>
    </row>
    <row r="4250" spans="23:23" ht="26.4">
      <c r="W4250" s="64" ph="1"/>
    </row>
    <row r="4251" spans="23:23" ht="26.4">
      <c r="W4251" s="64" ph="1"/>
    </row>
    <row r="4252" spans="23:23" ht="26.4">
      <c r="W4252" s="64" ph="1"/>
    </row>
    <row r="4253" spans="23:23" ht="26.4">
      <c r="W4253" s="64" ph="1"/>
    </row>
    <row r="4254" spans="23:23" ht="26.4">
      <c r="W4254" s="64" ph="1"/>
    </row>
    <row r="4255" spans="23:23" ht="26.4">
      <c r="W4255" s="64" ph="1"/>
    </row>
    <row r="4256" spans="23:23" ht="26.4">
      <c r="W4256" s="64" ph="1"/>
    </row>
    <row r="4257" spans="23:23" ht="26.4">
      <c r="W4257" s="64" ph="1"/>
    </row>
    <row r="4258" spans="23:23" ht="26.4">
      <c r="W4258" s="64" ph="1"/>
    </row>
    <row r="4259" spans="23:23" ht="26.4">
      <c r="W4259" s="64" ph="1"/>
    </row>
    <row r="4260" spans="23:23" ht="26.4">
      <c r="W4260" s="64" ph="1"/>
    </row>
    <row r="4261" spans="23:23" ht="26.4">
      <c r="W4261" s="64" ph="1"/>
    </row>
    <row r="4262" spans="23:23" ht="26.4">
      <c r="W4262" s="64" ph="1"/>
    </row>
    <row r="4263" spans="23:23" ht="26.4">
      <c r="W4263" s="64" ph="1"/>
    </row>
    <row r="4264" spans="23:23" ht="26.4">
      <c r="W4264" s="64" ph="1"/>
    </row>
    <row r="4265" spans="23:23" ht="26.4">
      <c r="W4265" s="64" ph="1"/>
    </row>
    <row r="4266" spans="23:23" ht="26.4">
      <c r="W4266" s="64" ph="1"/>
    </row>
    <row r="4267" spans="23:23" ht="26.4">
      <c r="W4267" s="64" ph="1"/>
    </row>
    <row r="4268" spans="23:23" ht="26.4">
      <c r="W4268" s="64" ph="1"/>
    </row>
    <row r="4269" spans="23:23" ht="26.4">
      <c r="W4269" s="64" ph="1"/>
    </row>
    <row r="4270" spans="23:23" ht="26.4">
      <c r="W4270" s="64" ph="1"/>
    </row>
    <row r="4271" spans="23:23" ht="26.4">
      <c r="W4271" s="64" ph="1"/>
    </row>
    <row r="4272" spans="23:23" ht="26.4">
      <c r="W4272" s="64" ph="1"/>
    </row>
    <row r="4273" spans="23:23" ht="26.4">
      <c r="W4273" s="64" ph="1"/>
    </row>
    <row r="4274" spans="23:23" ht="26.4">
      <c r="W4274" s="64" ph="1"/>
    </row>
    <row r="4275" spans="23:23" ht="26.4">
      <c r="W4275" s="64" ph="1"/>
    </row>
    <row r="4276" spans="23:23" ht="26.4">
      <c r="W4276" s="64" ph="1"/>
    </row>
    <row r="4277" spans="23:23" ht="26.4">
      <c r="W4277" s="64" ph="1"/>
    </row>
    <row r="4278" spans="23:23" ht="26.4">
      <c r="W4278" s="64" ph="1"/>
    </row>
    <row r="4279" spans="23:23" ht="26.4">
      <c r="W4279" s="64" ph="1"/>
    </row>
    <row r="4280" spans="23:23" ht="26.4">
      <c r="W4280" s="64" ph="1"/>
    </row>
    <row r="4281" spans="23:23" ht="26.4">
      <c r="W4281" s="64" ph="1"/>
    </row>
    <row r="4282" spans="23:23" ht="26.4">
      <c r="W4282" s="64" ph="1"/>
    </row>
    <row r="4283" spans="23:23" ht="26.4">
      <c r="W4283" s="64" ph="1"/>
    </row>
    <row r="4284" spans="23:23" ht="26.4">
      <c r="W4284" s="64" ph="1"/>
    </row>
    <row r="4285" spans="23:23" ht="26.4">
      <c r="W4285" s="64" ph="1"/>
    </row>
    <row r="4286" spans="23:23" ht="26.4">
      <c r="W4286" s="64" ph="1"/>
    </row>
    <row r="4287" spans="23:23" ht="26.4">
      <c r="W4287" s="64" ph="1"/>
    </row>
    <row r="4288" spans="23:23" ht="26.4">
      <c r="W4288" s="64" ph="1"/>
    </row>
    <row r="4289" spans="23:23" ht="26.4">
      <c r="W4289" s="64" ph="1"/>
    </row>
    <row r="4290" spans="23:23" ht="26.4">
      <c r="W4290" s="64" ph="1"/>
    </row>
    <row r="4291" spans="23:23" ht="26.4">
      <c r="W4291" s="64" ph="1"/>
    </row>
    <row r="4292" spans="23:23" ht="26.4">
      <c r="W4292" s="64" ph="1"/>
    </row>
    <row r="4293" spans="23:23" ht="26.4">
      <c r="W4293" s="64" ph="1"/>
    </row>
    <row r="4294" spans="23:23" ht="26.4">
      <c r="W4294" s="64" ph="1"/>
    </row>
    <row r="4295" spans="23:23" ht="26.4">
      <c r="W4295" s="64" ph="1"/>
    </row>
    <row r="4296" spans="23:23" ht="26.4">
      <c r="W4296" s="64" ph="1"/>
    </row>
    <row r="4297" spans="23:23" ht="26.4">
      <c r="W4297" s="64" ph="1"/>
    </row>
    <row r="4298" spans="23:23" ht="26.4">
      <c r="W4298" s="64" ph="1"/>
    </row>
    <row r="4299" spans="23:23" ht="26.4">
      <c r="W4299" s="64" ph="1"/>
    </row>
    <row r="4300" spans="23:23" ht="26.4">
      <c r="W4300" s="64" ph="1"/>
    </row>
    <row r="4301" spans="23:23" ht="26.4">
      <c r="W4301" s="64" ph="1"/>
    </row>
    <row r="4302" spans="23:23" ht="26.4">
      <c r="W4302" s="64" ph="1"/>
    </row>
    <row r="4303" spans="23:23" ht="26.4">
      <c r="W4303" s="64" ph="1"/>
    </row>
    <row r="4304" spans="23:23" ht="26.4">
      <c r="W4304" s="64" ph="1"/>
    </row>
    <row r="4305" spans="23:23" ht="26.4">
      <c r="W4305" s="64" ph="1"/>
    </row>
    <row r="4306" spans="23:23" ht="26.4">
      <c r="W4306" s="64" ph="1"/>
    </row>
    <row r="4307" spans="23:23" ht="26.4">
      <c r="W4307" s="64" ph="1"/>
    </row>
    <row r="4308" spans="23:23" ht="26.4">
      <c r="W4308" s="64" ph="1"/>
    </row>
    <row r="4309" spans="23:23" ht="26.4">
      <c r="W4309" s="64" ph="1"/>
    </row>
    <row r="4310" spans="23:23" ht="26.4">
      <c r="W4310" s="64" ph="1"/>
    </row>
    <row r="4311" spans="23:23" ht="26.4">
      <c r="W4311" s="64" ph="1"/>
    </row>
    <row r="4312" spans="23:23" ht="26.4">
      <c r="W4312" s="64" ph="1"/>
    </row>
    <row r="4313" spans="23:23" ht="26.4">
      <c r="W4313" s="64" ph="1"/>
    </row>
    <row r="4314" spans="23:23" ht="26.4">
      <c r="W4314" s="64" ph="1"/>
    </row>
    <row r="4315" spans="23:23" ht="26.4">
      <c r="W4315" s="64" ph="1"/>
    </row>
    <row r="4316" spans="23:23" ht="26.4">
      <c r="W4316" s="64" ph="1"/>
    </row>
    <row r="4317" spans="23:23" ht="26.4">
      <c r="W4317" s="64" ph="1"/>
    </row>
    <row r="4318" spans="23:23" ht="26.4">
      <c r="W4318" s="64" ph="1"/>
    </row>
    <row r="4319" spans="23:23" ht="26.4">
      <c r="W4319" s="64" ph="1"/>
    </row>
    <row r="4320" spans="23:23" ht="26.4">
      <c r="W4320" s="64" ph="1"/>
    </row>
    <row r="4321" spans="23:23" ht="26.4">
      <c r="W4321" s="64" ph="1"/>
    </row>
    <row r="4322" spans="23:23" ht="26.4">
      <c r="W4322" s="64" ph="1"/>
    </row>
    <row r="4323" spans="23:23" ht="26.4">
      <c r="W4323" s="64" ph="1"/>
    </row>
    <row r="4324" spans="23:23" ht="26.4">
      <c r="W4324" s="64" ph="1"/>
    </row>
    <row r="4325" spans="23:23" ht="26.4">
      <c r="W4325" s="64" ph="1"/>
    </row>
    <row r="4326" spans="23:23" ht="26.4">
      <c r="W4326" s="64" ph="1"/>
    </row>
    <row r="4327" spans="23:23" ht="26.4">
      <c r="W4327" s="64" ph="1"/>
    </row>
    <row r="4328" spans="23:23" ht="26.4">
      <c r="W4328" s="64" ph="1"/>
    </row>
    <row r="4329" spans="23:23" ht="26.4">
      <c r="W4329" s="64" ph="1"/>
    </row>
    <row r="4330" spans="23:23" ht="26.4">
      <c r="W4330" s="64" ph="1"/>
    </row>
    <row r="4331" spans="23:23" ht="26.4">
      <c r="W4331" s="64" ph="1"/>
    </row>
    <row r="4332" spans="23:23" ht="26.4">
      <c r="W4332" s="64" ph="1"/>
    </row>
    <row r="4333" spans="23:23" ht="26.4">
      <c r="W4333" s="64" ph="1"/>
    </row>
    <row r="4334" spans="23:23" ht="26.4">
      <c r="W4334" s="64" ph="1"/>
    </row>
    <row r="4335" spans="23:23" ht="26.4">
      <c r="W4335" s="64" ph="1"/>
    </row>
    <row r="4336" spans="23:23" ht="26.4">
      <c r="W4336" s="64" ph="1"/>
    </row>
    <row r="4337" spans="23:23" ht="26.4">
      <c r="W4337" s="64" ph="1"/>
    </row>
    <row r="4338" spans="23:23" ht="26.4">
      <c r="W4338" s="64" ph="1"/>
    </row>
    <row r="4339" spans="23:23" ht="26.4">
      <c r="W4339" s="64" ph="1"/>
    </row>
    <row r="4340" spans="23:23" ht="26.4">
      <c r="W4340" s="64" ph="1"/>
    </row>
    <row r="4341" spans="23:23" ht="26.4">
      <c r="W4341" s="64" ph="1"/>
    </row>
    <row r="4342" spans="23:23" ht="26.4">
      <c r="W4342" s="64" ph="1"/>
    </row>
    <row r="4343" spans="23:23" ht="26.4">
      <c r="W4343" s="64" ph="1"/>
    </row>
    <row r="4344" spans="23:23" ht="26.4">
      <c r="W4344" s="64" ph="1"/>
    </row>
    <row r="4345" spans="23:23" ht="26.4">
      <c r="W4345" s="64" ph="1"/>
    </row>
    <row r="4346" spans="23:23" ht="26.4">
      <c r="W4346" s="64" ph="1"/>
    </row>
    <row r="4347" spans="23:23" ht="26.4">
      <c r="W4347" s="64" ph="1"/>
    </row>
    <row r="4348" spans="23:23" ht="26.4">
      <c r="W4348" s="64" ph="1"/>
    </row>
    <row r="4349" spans="23:23" ht="26.4">
      <c r="W4349" s="64" ph="1"/>
    </row>
    <row r="4350" spans="23:23" ht="26.4">
      <c r="W4350" s="64" ph="1"/>
    </row>
    <row r="4351" spans="23:23" ht="26.4">
      <c r="W4351" s="64" ph="1"/>
    </row>
    <row r="4352" spans="23:23" ht="26.4">
      <c r="W4352" s="64" ph="1"/>
    </row>
    <row r="4353" spans="23:23" ht="26.4">
      <c r="W4353" s="64" ph="1"/>
    </row>
    <row r="4354" spans="23:23" ht="26.4">
      <c r="W4354" s="64" ph="1"/>
    </row>
    <row r="4355" spans="23:23" ht="26.4">
      <c r="W4355" s="64" ph="1"/>
    </row>
    <row r="4356" spans="23:23" ht="26.4">
      <c r="W4356" s="64" ph="1"/>
    </row>
    <row r="4357" spans="23:23" ht="26.4">
      <c r="W4357" s="64" ph="1"/>
    </row>
    <row r="4358" spans="23:23" ht="26.4">
      <c r="W4358" s="64" ph="1"/>
    </row>
    <row r="4359" spans="23:23" ht="26.4">
      <c r="W4359" s="64" ph="1"/>
    </row>
    <row r="4360" spans="23:23" ht="26.4">
      <c r="W4360" s="64" ph="1"/>
    </row>
    <row r="4361" spans="23:23" ht="26.4">
      <c r="W4361" s="64" ph="1"/>
    </row>
    <row r="4362" spans="23:23" ht="26.4">
      <c r="W4362" s="64" ph="1"/>
    </row>
    <row r="4363" spans="23:23" ht="26.4">
      <c r="W4363" s="64" ph="1"/>
    </row>
    <row r="4364" spans="23:23" ht="26.4">
      <c r="W4364" s="64" ph="1"/>
    </row>
    <row r="4365" spans="23:23" ht="26.4">
      <c r="W4365" s="64" ph="1"/>
    </row>
    <row r="4366" spans="23:23" ht="26.4">
      <c r="W4366" s="64" ph="1"/>
    </row>
    <row r="4367" spans="23:23" ht="26.4">
      <c r="W4367" s="64" ph="1"/>
    </row>
    <row r="4368" spans="23:23" ht="26.4">
      <c r="W4368" s="64" ph="1"/>
    </row>
    <row r="4369" spans="23:23" ht="26.4">
      <c r="W4369" s="64" ph="1"/>
    </row>
    <row r="4370" spans="23:23" ht="26.4">
      <c r="W4370" s="64" ph="1"/>
    </row>
    <row r="4371" spans="23:23" ht="26.4">
      <c r="W4371" s="64" ph="1"/>
    </row>
    <row r="4372" spans="23:23" ht="26.4">
      <c r="W4372" s="64" ph="1"/>
    </row>
    <row r="4373" spans="23:23" ht="26.4">
      <c r="W4373" s="64" ph="1"/>
    </row>
    <row r="4374" spans="23:23" ht="26.4">
      <c r="W4374" s="64" ph="1"/>
    </row>
    <row r="4375" spans="23:23" ht="26.4">
      <c r="W4375" s="64" ph="1"/>
    </row>
    <row r="4376" spans="23:23" ht="26.4">
      <c r="W4376" s="64" ph="1"/>
    </row>
    <row r="4377" spans="23:23" ht="26.4">
      <c r="W4377" s="64" ph="1"/>
    </row>
    <row r="4378" spans="23:23" ht="26.4">
      <c r="W4378" s="64" ph="1"/>
    </row>
    <row r="4379" spans="23:23" ht="26.4">
      <c r="W4379" s="64" ph="1"/>
    </row>
    <row r="4380" spans="23:23" ht="26.4">
      <c r="W4380" s="64" ph="1"/>
    </row>
    <row r="4381" spans="23:23" ht="26.4">
      <c r="W4381" s="64" ph="1"/>
    </row>
    <row r="4382" spans="23:23" ht="26.4">
      <c r="W4382" s="64" ph="1"/>
    </row>
    <row r="4383" spans="23:23" ht="26.4">
      <c r="W4383" s="64" ph="1"/>
    </row>
    <row r="4384" spans="23:23" ht="26.4">
      <c r="W4384" s="64" ph="1"/>
    </row>
    <row r="4385" spans="23:23" ht="26.4">
      <c r="W4385" s="64" ph="1"/>
    </row>
    <row r="4386" spans="23:23" ht="26.4">
      <c r="W4386" s="64" ph="1"/>
    </row>
    <row r="4387" spans="23:23" ht="26.4">
      <c r="W4387" s="64" ph="1"/>
    </row>
    <row r="4388" spans="23:23" ht="26.4">
      <c r="W4388" s="64" ph="1"/>
    </row>
    <row r="4389" spans="23:23" ht="26.4">
      <c r="W4389" s="64" ph="1"/>
    </row>
    <row r="4390" spans="23:23" ht="26.4">
      <c r="W4390" s="64" ph="1"/>
    </row>
    <row r="4391" spans="23:23" ht="26.4">
      <c r="W4391" s="64" ph="1"/>
    </row>
    <row r="4392" spans="23:23" ht="26.4">
      <c r="W4392" s="64" ph="1"/>
    </row>
    <row r="4393" spans="23:23" ht="26.4">
      <c r="W4393" s="64" ph="1"/>
    </row>
    <row r="4394" spans="23:23" ht="26.4">
      <c r="W4394" s="64" ph="1"/>
    </row>
    <row r="4395" spans="23:23" ht="26.4">
      <c r="W4395" s="64" ph="1"/>
    </row>
    <row r="4396" spans="23:23" ht="26.4">
      <c r="W4396" s="64" ph="1"/>
    </row>
    <row r="4397" spans="23:23" ht="26.4">
      <c r="W4397" s="64" ph="1"/>
    </row>
    <row r="4398" spans="23:23" ht="26.4">
      <c r="W4398" s="64" ph="1"/>
    </row>
    <row r="4399" spans="23:23" ht="26.4">
      <c r="W4399" s="64" ph="1"/>
    </row>
    <row r="4400" spans="23:23" ht="26.4">
      <c r="W4400" s="64" ph="1"/>
    </row>
    <row r="4401" spans="23:23" ht="26.4">
      <c r="W4401" s="64" ph="1"/>
    </row>
    <row r="4402" spans="23:23" ht="26.4">
      <c r="W4402" s="64" ph="1"/>
    </row>
    <row r="4403" spans="23:23" ht="26.4">
      <c r="W4403" s="64" ph="1"/>
    </row>
    <row r="4404" spans="23:23" ht="26.4">
      <c r="W4404" s="64" ph="1"/>
    </row>
    <row r="4405" spans="23:23" ht="26.4">
      <c r="W4405" s="64" ph="1"/>
    </row>
    <row r="4406" spans="23:23" ht="26.4">
      <c r="W4406" s="64" ph="1"/>
    </row>
    <row r="4407" spans="23:23" ht="26.4">
      <c r="W4407" s="64" ph="1"/>
    </row>
    <row r="4408" spans="23:23" ht="26.4">
      <c r="W4408" s="64" ph="1"/>
    </row>
    <row r="4409" spans="23:23" ht="26.4">
      <c r="W4409" s="64" ph="1"/>
    </row>
    <row r="4410" spans="23:23" ht="26.4">
      <c r="W4410" s="64" ph="1"/>
    </row>
    <row r="4411" spans="23:23" ht="26.4">
      <c r="W4411" s="64" ph="1"/>
    </row>
    <row r="4412" spans="23:23" ht="26.4">
      <c r="W4412" s="64" ph="1"/>
    </row>
    <row r="4413" spans="23:23" ht="26.4">
      <c r="W4413" s="64" ph="1"/>
    </row>
    <row r="4414" spans="23:23" ht="26.4">
      <c r="W4414" s="64" ph="1"/>
    </row>
    <row r="4415" spans="23:23" ht="26.4">
      <c r="W4415" s="64" ph="1"/>
    </row>
    <row r="4416" spans="23:23" ht="26.4">
      <c r="W4416" s="64" ph="1"/>
    </row>
    <row r="4417" spans="23:23" ht="26.4">
      <c r="W4417" s="64" ph="1"/>
    </row>
    <row r="4418" spans="23:23" ht="26.4">
      <c r="W4418" s="64" ph="1"/>
    </row>
    <row r="4419" spans="23:23" ht="26.4">
      <c r="W4419" s="64" ph="1"/>
    </row>
    <row r="4420" spans="23:23" ht="26.4">
      <c r="W4420" s="64" ph="1"/>
    </row>
    <row r="4421" spans="23:23" ht="26.4">
      <c r="W4421" s="64" ph="1"/>
    </row>
    <row r="4422" spans="23:23" ht="26.4">
      <c r="W4422" s="64" ph="1"/>
    </row>
    <row r="4423" spans="23:23" ht="26.4">
      <c r="W4423" s="64" ph="1"/>
    </row>
    <row r="4424" spans="23:23" ht="26.4">
      <c r="W4424" s="64" ph="1"/>
    </row>
    <row r="4425" spans="23:23" ht="26.4">
      <c r="W4425" s="64" ph="1"/>
    </row>
    <row r="4426" spans="23:23" ht="26.4">
      <c r="W4426" s="64" ph="1"/>
    </row>
    <row r="4427" spans="23:23" ht="26.4">
      <c r="W4427" s="64" ph="1"/>
    </row>
    <row r="4428" spans="23:23" ht="26.4">
      <c r="W4428" s="64" ph="1"/>
    </row>
    <row r="4429" spans="23:23" ht="26.4">
      <c r="W4429" s="64" ph="1"/>
    </row>
    <row r="4430" spans="23:23" ht="26.4">
      <c r="W4430" s="64" ph="1"/>
    </row>
    <row r="4431" spans="23:23" ht="26.4">
      <c r="W4431" s="64" ph="1"/>
    </row>
    <row r="4432" spans="23:23" ht="26.4">
      <c r="W4432" s="64" ph="1"/>
    </row>
    <row r="4433" spans="23:23" ht="26.4">
      <c r="W4433" s="64" ph="1"/>
    </row>
    <row r="4434" spans="23:23" ht="26.4">
      <c r="W4434" s="64" ph="1"/>
    </row>
    <row r="4435" spans="23:23" ht="26.4">
      <c r="W4435" s="64" ph="1"/>
    </row>
    <row r="4436" spans="23:23" ht="26.4">
      <c r="W4436" s="64" ph="1"/>
    </row>
    <row r="4437" spans="23:23" ht="26.4">
      <c r="W4437" s="64" ph="1"/>
    </row>
    <row r="4438" spans="23:23" ht="26.4">
      <c r="W4438" s="64" ph="1"/>
    </row>
    <row r="4439" spans="23:23" ht="26.4">
      <c r="W4439" s="64" ph="1"/>
    </row>
    <row r="4440" spans="23:23" ht="26.4">
      <c r="W4440" s="64" ph="1"/>
    </row>
    <row r="4441" spans="23:23" ht="26.4">
      <c r="W4441" s="64" ph="1"/>
    </row>
    <row r="4442" spans="23:23" ht="26.4">
      <c r="W4442" s="64" ph="1"/>
    </row>
    <row r="4443" spans="23:23" ht="26.4">
      <c r="W4443" s="64" ph="1"/>
    </row>
    <row r="4444" spans="23:23" ht="26.4">
      <c r="W4444" s="64" ph="1"/>
    </row>
    <row r="4445" spans="23:23" ht="26.4">
      <c r="W4445" s="64" ph="1"/>
    </row>
    <row r="4446" spans="23:23" ht="26.4">
      <c r="W4446" s="64" ph="1"/>
    </row>
    <row r="4447" spans="23:23" ht="26.4">
      <c r="W4447" s="64" ph="1"/>
    </row>
    <row r="4448" spans="23:23" ht="26.4">
      <c r="W4448" s="64" ph="1"/>
    </row>
    <row r="4449" spans="23:23" ht="26.4">
      <c r="W4449" s="64" ph="1"/>
    </row>
    <row r="4450" spans="23:23" ht="26.4">
      <c r="W4450" s="64" ph="1"/>
    </row>
    <row r="4451" spans="23:23" ht="26.4">
      <c r="W4451" s="64" ph="1"/>
    </row>
    <row r="4452" spans="23:23" ht="26.4">
      <c r="W4452" s="64" ph="1"/>
    </row>
    <row r="4453" spans="23:23" ht="26.4">
      <c r="W4453" s="64" ph="1"/>
    </row>
    <row r="4454" spans="23:23" ht="26.4">
      <c r="W4454" s="64" ph="1"/>
    </row>
    <row r="4455" spans="23:23" ht="26.4">
      <c r="W4455" s="64" ph="1"/>
    </row>
    <row r="4456" spans="23:23" ht="26.4">
      <c r="W4456" s="64" ph="1"/>
    </row>
    <row r="4457" spans="23:23" ht="26.4">
      <c r="W4457" s="64" ph="1"/>
    </row>
    <row r="4458" spans="23:23" ht="26.4">
      <c r="W4458" s="64" ph="1"/>
    </row>
    <row r="4459" spans="23:23" ht="26.4">
      <c r="W4459" s="64" ph="1"/>
    </row>
    <row r="4460" spans="23:23" ht="26.4">
      <c r="W4460" s="64" ph="1"/>
    </row>
    <row r="4461" spans="23:23" ht="26.4">
      <c r="W4461" s="64" ph="1"/>
    </row>
    <row r="4462" spans="23:23" ht="26.4">
      <c r="W4462" s="64" ph="1"/>
    </row>
    <row r="4463" spans="23:23" ht="26.4">
      <c r="W4463" s="64" ph="1"/>
    </row>
    <row r="4464" spans="23:23" ht="26.4">
      <c r="W4464" s="64" ph="1"/>
    </row>
    <row r="4465" spans="23:23" ht="26.4">
      <c r="W4465" s="64" ph="1"/>
    </row>
    <row r="4466" spans="23:23" ht="26.4">
      <c r="W4466" s="64" ph="1"/>
    </row>
    <row r="4467" spans="23:23" ht="26.4">
      <c r="W4467" s="64" ph="1"/>
    </row>
    <row r="4468" spans="23:23" ht="26.4">
      <c r="W4468" s="64" ph="1"/>
    </row>
    <row r="4469" spans="23:23" ht="26.4">
      <c r="W4469" s="64" ph="1"/>
    </row>
    <row r="4470" spans="23:23" ht="26.4">
      <c r="W4470" s="64" ph="1"/>
    </row>
    <row r="4471" spans="23:23" ht="26.4">
      <c r="W4471" s="64" ph="1"/>
    </row>
    <row r="4472" spans="23:23" ht="26.4">
      <c r="W4472" s="64" ph="1"/>
    </row>
    <row r="4473" spans="23:23" ht="26.4">
      <c r="W4473" s="64" ph="1"/>
    </row>
    <row r="4474" spans="23:23" ht="26.4">
      <c r="W4474" s="64" ph="1"/>
    </row>
    <row r="4475" spans="23:23" ht="26.4">
      <c r="W4475" s="64" ph="1"/>
    </row>
    <row r="4476" spans="23:23" ht="26.4">
      <c r="W4476" s="64" ph="1"/>
    </row>
    <row r="4477" spans="23:23" ht="26.4">
      <c r="W4477" s="64" ph="1"/>
    </row>
    <row r="4478" spans="23:23" ht="26.4">
      <c r="W4478" s="64" ph="1"/>
    </row>
    <row r="4479" spans="23:23" ht="26.4">
      <c r="W4479" s="64" ph="1"/>
    </row>
    <row r="4480" spans="23:23" ht="26.4">
      <c r="W4480" s="64" ph="1"/>
    </row>
    <row r="4481" spans="23:23" ht="26.4">
      <c r="W4481" s="64" ph="1"/>
    </row>
    <row r="4482" spans="23:23" ht="26.4">
      <c r="W4482" s="64" ph="1"/>
    </row>
    <row r="4483" spans="23:23" ht="26.4">
      <c r="W4483" s="64" ph="1"/>
    </row>
    <row r="4484" spans="23:23" ht="26.4">
      <c r="W4484" s="64" ph="1"/>
    </row>
    <row r="4485" spans="23:23" ht="26.4">
      <c r="W4485" s="64" ph="1"/>
    </row>
    <row r="4486" spans="23:23" ht="26.4">
      <c r="W4486" s="64" ph="1"/>
    </row>
    <row r="4487" spans="23:23" ht="26.4">
      <c r="W4487" s="64" ph="1"/>
    </row>
    <row r="4488" spans="23:23" ht="26.4">
      <c r="W4488" s="64" ph="1"/>
    </row>
    <row r="4489" spans="23:23" ht="26.4">
      <c r="W4489" s="64" ph="1"/>
    </row>
    <row r="4490" spans="23:23" ht="26.4">
      <c r="W4490" s="64" ph="1"/>
    </row>
    <row r="4491" spans="23:23" ht="26.4">
      <c r="W4491" s="64" ph="1"/>
    </row>
    <row r="4492" spans="23:23" ht="26.4">
      <c r="W4492" s="64" ph="1"/>
    </row>
    <row r="4493" spans="23:23" ht="26.4">
      <c r="W4493" s="64" ph="1"/>
    </row>
    <row r="4494" spans="23:23" ht="26.4">
      <c r="W4494" s="64" ph="1"/>
    </row>
    <row r="4495" spans="23:23" ht="26.4">
      <c r="W4495" s="64" ph="1"/>
    </row>
    <row r="4496" spans="23:23" ht="26.4">
      <c r="W4496" s="64" ph="1"/>
    </row>
    <row r="4497" spans="23:23" ht="26.4">
      <c r="W4497" s="64" ph="1"/>
    </row>
    <row r="4498" spans="23:23" ht="26.4">
      <c r="W4498" s="64" ph="1"/>
    </row>
    <row r="4499" spans="23:23" ht="26.4">
      <c r="W4499" s="64" ph="1"/>
    </row>
    <row r="4500" spans="23:23" ht="26.4">
      <c r="W4500" s="64" ph="1"/>
    </row>
    <row r="4501" spans="23:23" ht="26.4">
      <c r="W4501" s="64" ph="1"/>
    </row>
    <row r="4502" spans="23:23" ht="26.4">
      <c r="W4502" s="64" ph="1"/>
    </row>
    <row r="4503" spans="23:23" ht="26.4">
      <c r="W4503" s="64" ph="1"/>
    </row>
    <row r="4504" spans="23:23" ht="26.4">
      <c r="W4504" s="64" ph="1"/>
    </row>
    <row r="4505" spans="23:23" ht="26.4">
      <c r="W4505" s="64" ph="1"/>
    </row>
    <row r="4506" spans="23:23" ht="26.4">
      <c r="W4506" s="64" ph="1"/>
    </row>
    <row r="4507" spans="23:23" ht="26.4">
      <c r="W4507" s="64" ph="1"/>
    </row>
    <row r="4508" spans="23:23" ht="26.4">
      <c r="W4508" s="64" ph="1"/>
    </row>
    <row r="4509" spans="23:23" ht="26.4">
      <c r="W4509" s="64" ph="1"/>
    </row>
    <row r="4510" spans="23:23" ht="26.4">
      <c r="W4510" s="64" ph="1"/>
    </row>
    <row r="4511" spans="23:23" ht="26.4">
      <c r="W4511" s="64" ph="1"/>
    </row>
    <row r="4512" spans="23:23" ht="26.4">
      <c r="W4512" s="64" ph="1"/>
    </row>
    <row r="4513" spans="23:23" ht="26.4">
      <c r="W4513" s="64" ph="1"/>
    </row>
    <row r="4514" spans="23:23" ht="26.4">
      <c r="W4514" s="64" ph="1"/>
    </row>
    <row r="4515" spans="23:23" ht="26.4">
      <c r="W4515" s="64" ph="1"/>
    </row>
    <row r="4516" spans="23:23" ht="26.4">
      <c r="W4516" s="64" ph="1"/>
    </row>
    <row r="4517" spans="23:23" ht="26.4">
      <c r="W4517" s="64" ph="1"/>
    </row>
    <row r="4518" spans="23:23" ht="26.4">
      <c r="W4518" s="64" ph="1"/>
    </row>
    <row r="4519" spans="23:23" ht="26.4">
      <c r="W4519" s="64" ph="1"/>
    </row>
    <row r="4520" spans="23:23" ht="26.4">
      <c r="W4520" s="64" ph="1"/>
    </row>
    <row r="4521" spans="23:23" ht="26.4">
      <c r="W4521" s="64" ph="1"/>
    </row>
    <row r="4522" spans="23:23" ht="26.4">
      <c r="W4522" s="64" ph="1"/>
    </row>
    <row r="4523" spans="23:23" ht="26.4">
      <c r="W4523" s="64" ph="1"/>
    </row>
    <row r="4524" spans="23:23" ht="26.4">
      <c r="W4524" s="64" ph="1"/>
    </row>
    <row r="4525" spans="23:23" ht="26.4">
      <c r="W4525" s="64" ph="1"/>
    </row>
    <row r="4526" spans="23:23" ht="26.4">
      <c r="W4526" s="64" ph="1"/>
    </row>
    <row r="4527" spans="23:23" ht="26.4">
      <c r="W4527" s="64" ph="1"/>
    </row>
    <row r="4528" spans="23:23" ht="26.4">
      <c r="W4528" s="64" ph="1"/>
    </row>
    <row r="4529" spans="23:23" ht="26.4">
      <c r="W4529" s="64" ph="1"/>
    </row>
    <row r="4530" spans="23:23" ht="26.4">
      <c r="W4530" s="64" ph="1"/>
    </row>
    <row r="4531" spans="23:23" ht="26.4">
      <c r="W4531" s="64" ph="1"/>
    </row>
    <row r="4532" spans="23:23" ht="26.4">
      <c r="W4532" s="64" ph="1"/>
    </row>
    <row r="4533" spans="23:23" ht="26.4">
      <c r="W4533" s="64" ph="1"/>
    </row>
    <row r="4534" spans="23:23" ht="26.4">
      <c r="W4534" s="64" ph="1"/>
    </row>
    <row r="4535" spans="23:23" ht="26.4">
      <c r="W4535" s="64" ph="1"/>
    </row>
    <row r="4536" spans="23:23" ht="26.4">
      <c r="W4536" s="64" ph="1"/>
    </row>
    <row r="4537" spans="23:23" ht="26.4">
      <c r="W4537" s="64" ph="1"/>
    </row>
    <row r="4538" spans="23:23" ht="26.4">
      <c r="W4538" s="64" ph="1"/>
    </row>
    <row r="4539" spans="23:23" ht="26.4">
      <c r="W4539" s="64" ph="1"/>
    </row>
    <row r="4540" spans="23:23" ht="26.4">
      <c r="W4540" s="64" ph="1"/>
    </row>
    <row r="4541" spans="23:23" ht="26.4">
      <c r="W4541" s="64" ph="1"/>
    </row>
    <row r="4542" spans="23:23" ht="26.4">
      <c r="W4542" s="64" ph="1"/>
    </row>
    <row r="4543" spans="23:23" ht="26.4">
      <c r="W4543" s="64" ph="1"/>
    </row>
    <row r="4544" spans="23:23" ht="26.4">
      <c r="W4544" s="64" ph="1"/>
    </row>
    <row r="4545" spans="23:23" ht="26.4">
      <c r="W4545" s="64" ph="1"/>
    </row>
    <row r="4546" spans="23:23" ht="26.4">
      <c r="W4546" s="64" ph="1"/>
    </row>
    <row r="4547" spans="23:23" ht="26.4">
      <c r="W4547" s="64" ph="1"/>
    </row>
    <row r="4548" spans="23:23" ht="26.4">
      <c r="W4548" s="64" ph="1"/>
    </row>
    <row r="4549" spans="23:23" ht="26.4">
      <c r="W4549" s="64" ph="1"/>
    </row>
    <row r="4550" spans="23:23" ht="26.4">
      <c r="W4550" s="64" ph="1"/>
    </row>
    <row r="4551" spans="23:23" ht="26.4">
      <c r="W4551" s="64" ph="1"/>
    </row>
    <row r="4552" spans="23:23" ht="26.4">
      <c r="W4552" s="64" ph="1"/>
    </row>
    <row r="4553" spans="23:23" ht="26.4">
      <c r="W4553" s="64" ph="1"/>
    </row>
    <row r="4554" spans="23:23" ht="26.4">
      <c r="W4554" s="64" ph="1"/>
    </row>
    <row r="4555" spans="23:23" ht="26.4">
      <c r="W4555" s="64" ph="1"/>
    </row>
    <row r="4556" spans="23:23" ht="26.4">
      <c r="W4556" s="64" ph="1"/>
    </row>
    <row r="4557" spans="23:23" ht="26.4">
      <c r="W4557" s="64" ph="1"/>
    </row>
    <row r="4558" spans="23:23" ht="26.4">
      <c r="W4558" s="64" ph="1"/>
    </row>
    <row r="4559" spans="23:23" ht="26.4">
      <c r="W4559" s="64" ph="1"/>
    </row>
    <row r="4560" spans="23:23" ht="26.4">
      <c r="W4560" s="64" ph="1"/>
    </row>
    <row r="4561" spans="23:23" ht="26.4">
      <c r="W4561" s="64" ph="1"/>
    </row>
    <row r="4562" spans="23:23" ht="26.4">
      <c r="W4562" s="64" ph="1"/>
    </row>
    <row r="4563" spans="23:23" ht="26.4">
      <c r="W4563" s="64" ph="1"/>
    </row>
    <row r="4564" spans="23:23" ht="26.4">
      <c r="W4564" s="64" ph="1"/>
    </row>
    <row r="4565" spans="23:23" ht="26.4">
      <c r="W4565" s="64" ph="1"/>
    </row>
    <row r="4566" spans="23:23" ht="26.4">
      <c r="W4566" s="64" ph="1"/>
    </row>
    <row r="4567" spans="23:23" ht="26.4">
      <c r="W4567" s="64" ph="1"/>
    </row>
    <row r="4568" spans="23:23" ht="26.4">
      <c r="W4568" s="64" ph="1"/>
    </row>
    <row r="4569" spans="23:23" ht="26.4">
      <c r="W4569" s="64" ph="1"/>
    </row>
    <row r="4570" spans="23:23" ht="26.4">
      <c r="W4570" s="64" ph="1"/>
    </row>
    <row r="4571" spans="23:23" ht="26.4">
      <c r="W4571" s="64" ph="1"/>
    </row>
    <row r="4572" spans="23:23" ht="26.4">
      <c r="W4572" s="64" ph="1"/>
    </row>
    <row r="4573" spans="23:23" ht="26.4">
      <c r="W4573" s="64" ph="1"/>
    </row>
    <row r="4574" spans="23:23" ht="26.4">
      <c r="W4574" s="64" ph="1"/>
    </row>
    <row r="4575" spans="23:23" ht="26.4">
      <c r="W4575" s="64" ph="1"/>
    </row>
    <row r="4576" spans="23:23" ht="26.4">
      <c r="W4576" s="64" ph="1"/>
    </row>
    <row r="4577" spans="23:23" ht="26.4">
      <c r="W4577" s="64" ph="1"/>
    </row>
    <row r="4578" spans="23:23" ht="26.4">
      <c r="W4578" s="64" ph="1"/>
    </row>
    <row r="4579" spans="23:23" ht="26.4">
      <c r="W4579" s="64" ph="1"/>
    </row>
    <row r="4580" spans="23:23" ht="26.4">
      <c r="W4580" s="64" ph="1"/>
    </row>
    <row r="4581" spans="23:23" ht="26.4">
      <c r="W4581" s="64" ph="1"/>
    </row>
    <row r="4582" spans="23:23" ht="26.4">
      <c r="W4582" s="64" ph="1"/>
    </row>
    <row r="4583" spans="23:23" ht="26.4">
      <c r="W4583" s="64" ph="1"/>
    </row>
    <row r="4584" spans="23:23" ht="26.4">
      <c r="W4584" s="64" ph="1"/>
    </row>
    <row r="4585" spans="23:23" ht="26.4">
      <c r="W4585" s="64" ph="1"/>
    </row>
    <row r="4586" spans="23:23" ht="26.4">
      <c r="W4586" s="64" ph="1"/>
    </row>
    <row r="4587" spans="23:23" ht="26.4">
      <c r="W4587" s="64" ph="1"/>
    </row>
    <row r="4588" spans="23:23" ht="26.4">
      <c r="W4588" s="64" ph="1"/>
    </row>
    <row r="4589" spans="23:23" ht="26.4">
      <c r="W4589" s="64" ph="1"/>
    </row>
    <row r="4590" spans="23:23" ht="26.4">
      <c r="W4590" s="64" ph="1"/>
    </row>
    <row r="4591" spans="23:23" ht="26.4">
      <c r="W4591" s="64" ph="1"/>
    </row>
    <row r="4592" spans="23:23" ht="26.4">
      <c r="W4592" s="64" ph="1"/>
    </row>
    <row r="4593" spans="23:23" ht="26.4">
      <c r="W4593" s="64" ph="1"/>
    </row>
    <row r="4594" spans="23:23" ht="26.4">
      <c r="W4594" s="64" ph="1"/>
    </row>
    <row r="4595" spans="23:23" ht="26.4">
      <c r="W4595" s="64" ph="1"/>
    </row>
    <row r="4596" spans="23:23" ht="26.4">
      <c r="W4596" s="64" ph="1"/>
    </row>
    <row r="4597" spans="23:23" ht="26.4">
      <c r="W4597" s="64" ph="1"/>
    </row>
    <row r="4598" spans="23:23" ht="26.4">
      <c r="W4598" s="64" ph="1"/>
    </row>
    <row r="4599" spans="23:23" ht="26.4">
      <c r="W4599" s="64" ph="1"/>
    </row>
    <row r="4600" spans="23:23" ht="26.4">
      <c r="W4600" s="64" ph="1"/>
    </row>
    <row r="4601" spans="23:23" ht="26.4">
      <c r="W4601" s="64" ph="1"/>
    </row>
    <row r="4602" spans="23:23" ht="26.4">
      <c r="W4602" s="64" ph="1"/>
    </row>
    <row r="4603" spans="23:23" ht="26.4">
      <c r="W4603" s="64" ph="1"/>
    </row>
    <row r="4604" spans="23:23" ht="26.4">
      <c r="W4604" s="64" ph="1"/>
    </row>
    <row r="4605" spans="23:23" ht="26.4">
      <c r="W4605" s="64" ph="1"/>
    </row>
    <row r="4606" spans="23:23" ht="26.4">
      <c r="W4606" s="64" ph="1"/>
    </row>
    <row r="4607" spans="23:23" ht="26.4">
      <c r="W4607" s="64" ph="1"/>
    </row>
    <row r="4608" spans="23:23" ht="26.4">
      <c r="W4608" s="64" ph="1"/>
    </row>
    <row r="4609" spans="23:23" ht="26.4">
      <c r="W4609" s="64" ph="1"/>
    </row>
    <row r="4610" spans="23:23" ht="26.4">
      <c r="W4610" s="64" ph="1"/>
    </row>
    <row r="4611" spans="23:23" ht="26.4">
      <c r="W4611" s="64" ph="1"/>
    </row>
    <row r="4612" spans="23:23" ht="26.4">
      <c r="W4612" s="64" ph="1"/>
    </row>
    <row r="4613" spans="23:23" ht="26.4">
      <c r="W4613" s="64" ph="1"/>
    </row>
    <row r="4614" spans="23:23" ht="26.4">
      <c r="W4614" s="64" ph="1"/>
    </row>
    <row r="4615" spans="23:23" ht="26.4">
      <c r="W4615" s="64" ph="1"/>
    </row>
    <row r="4616" spans="23:23" ht="26.4">
      <c r="W4616" s="64" ph="1"/>
    </row>
    <row r="4617" spans="23:23" ht="26.4">
      <c r="W4617" s="64" ph="1"/>
    </row>
    <row r="4618" spans="23:23" ht="26.4">
      <c r="W4618" s="64" ph="1"/>
    </row>
    <row r="4619" spans="23:23" ht="26.4">
      <c r="W4619" s="64" ph="1"/>
    </row>
    <row r="4620" spans="23:23" ht="26.4">
      <c r="W4620" s="64" ph="1"/>
    </row>
    <row r="4621" spans="23:23" ht="26.4">
      <c r="W4621" s="64" ph="1"/>
    </row>
    <row r="4622" spans="23:23" ht="26.4">
      <c r="W4622" s="64" ph="1"/>
    </row>
    <row r="4623" spans="23:23" ht="26.4">
      <c r="W4623" s="64" ph="1"/>
    </row>
    <row r="4624" spans="23:23" ht="26.4">
      <c r="W4624" s="64" ph="1"/>
    </row>
    <row r="4625" spans="23:23" ht="26.4">
      <c r="W4625" s="64" ph="1"/>
    </row>
    <row r="4626" spans="23:23" ht="26.4">
      <c r="W4626" s="64" ph="1"/>
    </row>
    <row r="4627" spans="23:23" ht="26.4">
      <c r="W4627" s="64" ph="1"/>
    </row>
    <row r="4628" spans="23:23" ht="26.4">
      <c r="W4628" s="64" ph="1"/>
    </row>
    <row r="4629" spans="23:23" ht="26.4">
      <c r="W4629" s="64" ph="1"/>
    </row>
    <row r="4630" spans="23:23" ht="26.4">
      <c r="W4630" s="64" ph="1"/>
    </row>
    <row r="4631" spans="23:23" ht="26.4">
      <c r="W4631" s="64" ph="1"/>
    </row>
    <row r="4632" spans="23:23" ht="26.4">
      <c r="W4632" s="64" ph="1"/>
    </row>
    <row r="4633" spans="23:23" ht="26.4">
      <c r="W4633" s="64" ph="1"/>
    </row>
    <row r="4634" spans="23:23" ht="26.4">
      <c r="W4634" s="64" ph="1"/>
    </row>
    <row r="4635" spans="23:23" ht="26.4">
      <c r="W4635" s="64" ph="1"/>
    </row>
    <row r="4636" spans="23:23" ht="26.4">
      <c r="W4636" s="64" ph="1"/>
    </row>
    <row r="4637" spans="23:23" ht="26.4">
      <c r="W4637" s="64" ph="1"/>
    </row>
    <row r="4638" spans="23:23" ht="26.4">
      <c r="W4638" s="64" ph="1"/>
    </row>
    <row r="4639" spans="23:23" ht="26.4">
      <c r="W4639" s="64" ph="1"/>
    </row>
    <row r="4640" spans="23:23" ht="26.4">
      <c r="W4640" s="64" ph="1"/>
    </row>
    <row r="4641" spans="23:23" ht="26.4">
      <c r="W4641" s="64" ph="1"/>
    </row>
    <row r="4642" spans="23:23" ht="26.4">
      <c r="W4642" s="64" ph="1"/>
    </row>
    <row r="4643" spans="23:23" ht="26.4">
      <c r="W4643" s="64" ph="1"/>
    </row>
    <row r="4644" spans="23:23" ht="26.4">
      <c r="W4644" s="64" ph="1"/>
    </row>
    <row r="4645" spans="23:23" ht="26.4">
      <c r="W4645" s="64" ph="1"/>
    </row>
    <row r="4646" spans="23:23" ht="26.4">
      <c r="W4646" s="64" ph="1"/>
    </row>
    <row r="4647" spans="23:23" ht="26.4">
      <c r="W4647" s="64" ph="1"/>
    </row>
    <row r="4648" spans="23:23" ht="26.4">
      <c r="W4648" s="64" ph="1"/>
    </row>
    <row r="4649" spans="23:23" ht="26.4">
      <c r="W4649" s="64" ph="1"/>
    </row>
    <row r="4650" spans="23:23" ht="26.4">
      <c r="W4650" s="64" ph="1"/>
    </row>
    <row r="4651" spans="23:23" ht="26.4">
      <c r="W4651" s="64" ph="1"/>
    </row>
    <row r="4652" spans="23:23" ht="26.4">
      <c r="W4652" s="64" ph="1"/>
    </row>
    <row r="4653" spans="23:23" ht="26.4">
      <c r="W4653" s="64" ph="1"/>
    </row>
    <row r="4654" spans="23:23" ht="26.4">
      <c r="W4654" s="64" ph="1"/>
    </row>
    <row r="4655" spans="23:23" ht="26.4">
      <c r="W4655" s="64" ph="1"/>
    </row>
    <row r="4656" spans="23:23" ht="26.4">
      <c r="W4656" s="64" ph="1"/>
    </row>
    <row r="4657" spans="23:23" ht="26.4">
      <c r="W4657" s="64" ph="1"/>
    </row>
    <row r="4658" spans="23:23" ht="26.4">
      <c r="W4658" s="64" ph="1"/>
    </row>
    <row r="4659" spans="23:23" ht="26.4">
      <c r="W4659" s="64" ph="1"/>
    </row>
    <row r="4660" spans="23:23" ht="26.4">
      <c r="W4660" s="64" ph="1"/>
    </row>
    <row r="4661" spans="23:23" ht="26.4">
      <c r="W4661" s="64" ph="1"/>
    </row>
    <row r="4662" spans="23:23" ht="26.4">
      <c r="W4662" s="64" ph="1"/>
    </row>
    <row r="4663" spans="23:23" ht="26.4">
      <c r="W4663" s="64" ph="1"/>
    </row>
    <row r="4664" spans="23:23" ht="26.4">
      <c r="W4664" s="64" ph="1"/>
    </row>
    <row r="4665" spans="23:23" ht="26.4">
      <c r="W4665" s="64" ph="1"/>
    </row>
    <row r="4666" spans="23:23" ht="26.4">
      <c r="W4666" s="64" ph="1"/>
    </row>
    <row r="4667" spans="23:23" ht="26.4">
      <c r="W4667" s="64" ph="1"/>
    </row>
    <row r="4668" spans="23:23" ht="26.4">
      <c r="W4668" s="64" ph="1"/>
    </row>
    <row r="4669" spans="23:23" ht="26.4">
      <c r="W4669" s="64" ph="1"/>
    </row>
    <row r="4670" spans="23:23" ht="26.4">
      <c r="W4670" s="64" ph="1"/>
    </row>
    <row r="4671" spans="23:23" ht="26.4">
      <c r="W4671" s="64" ph="1"/>
    </row>
    <row r="4672" spans="23:23" ht="26.4">
      <c r="W4672" s="64" ph="1"/>
    </row>
    <row r="4673" spans="23:23" ht="26.4">
      <c r="W4673" s="64" ph="1"/>
    </row>
    <row r="4674" spans="23:23" ht="26.4">
      <c r="W4674" s="64" ph="1"/>
    </row>
    <row r="4675" spans="23:23" ht="26.4">
      <c r="W4675" s="64" ph="1"/>
    </row>
    <row r="4676" spans="23:23" ht="26.4">
      <c r="W4676" s="64" ph="1"/>
    </row>
    <row r="4677" spans="23:23" ht="26.4">
      <c r="W4677" s="64" ph="1"/>
    </row>
    <row r="4678" spans="23:23" ht="26.4">
      <c r="W4678" s="64" ph="1"/>
    </row>
    <row r="4679" spans="23:23" ht="26.4">
      <c r="W4679" s="64" ph="1"/>
    </row>
    <row r="4680" spans="23:23" ht="26.4">
      <c r="W4680" s="64" ph="1"/>
    </row>
    <row r="4681" spans="23:23" ht="26.4">
      <c r="W4681" s="64" ph="1"/>
    </row>
    <row r="4682" spans="23:23" ht="26.4">
      <c r="W4682" s="64" ph="1"/>
    </row>
    <row r="4683" spans="23:23" ht="26.4">
      <c r="W4683" s="64" ph="1"/>
    </row>
    <row r="4684" spans="23:23" ht="26.4">
      <c r="W4684" s="64" ph="1"/>
    </row>
    <row r="4685" spans="23:23" ht="26.4">
      <c r="W4685" s="64" ph="1"/>
    </row>
    <row r="4686" spans="23:23" ht="26.4">
      <c r="W4686" s="64" ph="1"/>
    </row>
    <row r="4687" spans="23:23" ht="26.4">
      <c r="W4687" s="64" ph="1"/>
    </row>
    <row r="4688" spans="23:23" ht="26.4">
      <c r="W4688" s="64" ph="1"/>
    </row>
    <row r="4689" spans="23:23" ht="26.4">
      <c r="W4689" s="64" ph="1"/>
    </row>
    <row r="4690" spans="23:23" ht="26.4">
      <c r="W4690" s="64" ph="1"/>
    </row>
    <row r="4691" spans="23:23" ht="26.4">
      <c r="W4691" s="64" ph="1"/>
    </row>
    <row r="4692" spans="23:23" ht="26.4">
      <c r="W4692" s="64" ph="1"/>
    </row>
    <row r="4693" spans="23:23" ht="26.4">
      <c r="W4693" s="64" ph="1"/>
    </row>
    <row r="4694" spans="23:23" ht="26.4">
      <c r="W4694" s="64" ph="1"/>
    </row>
    <row r="4695" spans="23:23" ht="26.4">
      <c r="W4695" s="64" ph="1"/>
    </row>
    <row r="4696" spans="23:23" ht="26.4">
      <c r="W4696" s="64" ph="1"/>
    </row>
    <row r="4697" spans="23:23" ht="26.4">
      <c r="W4697" s="64" ph="1"/>
    </row>
    <row r="4698" spans="23:23" ht="26.4">
      <c r="W4698" s="64" ph="1"/>
    </row>
    <row r="4699" spans="23:23" ht="26.4">
      <c r="W4699" s="64" ph="1"/>
    </row>
    <row r="4700" spans="23:23" ht="26.4">
      <c r="W4700" s="64" ph="1"/>
    </row>
    <row r="4701" spans="23:23" ht="26.4">
      <c r="W4701" s="64" ph="1"/>
    </row>
    <row r="4702" spans="23:23" ht="26.4">
      <c r="W4702" s="64" ph="1"/>
    </row>
    <row r="4703" spans="23:23" ht="26.4">
      <c r="W4703" s="64" ph="1"/>
    </row>
    <row r="4704" spans="23:23" ht="26.4">
      <c r="W4704" s="64" ph="1"/>
    </row>
    <row r="4705" spans="23:23" ht="26.4">
      <c r="W4705" s="64" ph="1"/>
    </row>
    <row r="4706" spans="23:23" ht="26.4">
      <c r="W4706" s="64" ph="1"/>
    </row>
    <row r="4707" spans="23:23" ht="26.4">
      <c r="W4707" s="64" ph="1"/>
    </row>
    <row r="4708" spans="23:23" ht="26.4">
      <c r="W4708" s="64" ph="1"/>
    </row>
    <row r="4709" spans="23:23" ht="26.4">
      <c r="W4709" s="64" ph="1"/>
    </row>
    <row r="4710" spans="23:23" ht="26.4">
      <c r="W4710" s="64" ph="1"/>
    </row>
    <row r="4711" spans="23:23" ht="26.4">
      <c r="W4711" s="64" ph="1"/>
    </row>
    <row r="4712" spans="23:23" ht="26.4">
      <c r="W4712" s="64" ph="1"/>
    </row>
    <row r="4713" spans="23:23" ht="26.4">
      <c r="W4713" s="64" ph="1"/>
    </row>
    <row r="4714" spans="23:23" ht="26.4">
      <c r="W4714" s="64" ph="1"/>
    </row>
    <row r="4715" spans="23:23" ht="26.4">
      <c r="W4715" s="64" ph="1"/>
    </row>
    <row r="4716" spans="23:23" ht="26.4">
      <c r="W4716" s="64" ph="1"/>
    </row>
    <row r="4717" spans="23:23" ht="26.4">
      <c r="W4717" s="64" ph="1"/>
    </row>
    <row r="4718" spans="23:23" ht="26.4">
      <c r="W4718" s="64" ph="1"/>
    </row>
    <row r="4719" spans="23:23" ht="26.4">
      <c r="W4719" s="64" ph="1"/>
    </row>
    <row r="4720" spans="23:23" ht="26.4">
      <c r="W4720" s="64" ph="1"/>
    </row>
    <row r="4721" spans="23:23" ht="26.4">
      <c r="W4721" s="64" ph="1"/>
    </row>
    <row r="4722" spans="23:23" ht="26.4">
      <c r="W4722" s="64" ph="1"/>
    </row>
    <row r="4723" spans="23:23" ht="26.4">
      <c r="W4723" s="64" ph="1"/>
    </row>
    <row r="4724" spans="23:23" ht="26.4">
      <c r="W4724" s="64" ph="1"/>
    </row>
    <row r="4725" spans="23:23" ht="26.4">
      <c r="W4725" s="64" ph="1"/>
    </row>
    <row r="4726" spans="23:23" ht="26.4">
      <c r="W4726" s="64" ph="1"/>
    </row>
    <row r="4727" spans="23:23" ht="26.4">
      <c r="W4727" s="64" ph="1"/>
    </row>
    <row r="4728" spans="23:23" ht="26.4">
      <c r="W4728" s="64" ph="1"/>
    </row>
    <row r="4729" spans="23:23" ht="26.4">
      <c r="W4729" s="64" ph="1"/>
    </row>
    <row r="4730" spans="23:23" ht="26.4">
      <c r="W4730" s="64" ph="1"/>
    </row>
    <row r="4731" spans="23:23" ht="26.4">
      <c r="W4731" s="64" ph="1"/>
    </row>
    <row r="4732" spans="23:23" ht="26.4">
      <c r="W4732" s="64" ph="1"/>
    </row>
    <row r="4733" spans="23:23" ht="26.4">
      <c r="W4733" s="64" ph="1"/>
    </row>
    <row r="4734" spans="23:23" ht="26.4">
      <c r="W4734" s="64" ph="1"/>
    </row>
    <row r="4735" spans="23:23" ht="26.4">
      <c r="W4735" s="64" ph="1"/>
    </row>
    <row r="4736" spans="23:23" ht="26.4">
      <c r="W4736" s="64" ph="1"/>
    </row>
    <row r="4737" spans="23:23" ht="26.4">
      <c r="W4737" s="64" ph="1"/>
    </row>
    <row r="4738" spans="23:23" ht="26.4">
      <c r="W4738" s="64" ph="1"/>
    </row>
    <row r="4739" spans="23:23" ht="26.4">
      <c r="W4739" s="64" ph="1"/>
    </row>
    <row r="4740" spans="23:23" ht="26.4">
      <c r="W4740" s="64" ph="1"/>
    </row>
    <row r="4741" spans="23:23" ht="26.4">
      <c r="W4741" s="64" ph="1"/>
    </row>
    <row r="4742" spans="23:23" ht="26.4">
      <c r="W4742" s="64" ph="1"/>
    </row>
    <row r="4743" spans="23:23" ht="26.4">
      <c r="W4743" s="64" ph="1"/>
    </row>
    <row r="4744" spans="23:23" ht="26.4">
      <c r="W4744" s="64" ph="1"/>
    </row>
    <row r="4745" spans="23:23" ht="26.4">
      <c r="W4745" s="64" ph="1"/>
    </row>
    <row r="4746" spans="23:23" ht="26.4">
      <c r="W4746" s="64" ph="1"/>
    </row>
    <row r="4747" spans="23:23" ht="26.4">
      <c r="W4747" s="64" ph="1"/>
    </row>
    <row r="4748" spans="23:23" ht="26.4">
      <c r="W4748" s="64" ph="1"/>
    </row>
    <row r="4749" spans="23:23" ht="26.4">
      <c r="W4749" s="64" ph="1"/>
    </row>
    <row r="4750" spans="23:23" ht="26.4">
      <c r="W4750" s="64" ph="1"/>
    </row>
    <row r="4751" spans="23:23" ht="26.4">
      <c r="W4751" s="64" ph="1"/>
    </row>
    <row r="4752" spans="23:23" ht="26.4">
      <c r="W4752" s="64" ph="1"/>
    </row>
    <row r="4753" spans="23:23" ht="26.4">
      <c r="W4753" s="64" ph="1"/>
    </row>
    <row r="4754" spans="23:23" ht="26.4">
      <c r="W4754" s="64" ph="1"/>
    </row>
    <row r="4755" spans="23:23" ht="26.4">
      <c r="W4755" s="64" ph="1"/>
    </row>
    <row r="4756" spans="23:23" ht="26.4">
      <c r="W4756" s="64" ph="1"/>
    </row>
    <row r="4757" spans="23:23" ht="26.4">
      <c r="W4757" s="64" ph="1"/>
    </row>
    <row r="4758" spans="23:23" ht="26.4">
      <c r="W4758" s="64" ph="1"/>
    </row>
    <row r="4759" spans="23:23" ht="26.4">
      <c r="W4759" s="64" ph="1"/>
    </row>
    <row r="4760" spans="23:23" ht="26.4">
      <c r="W4760" s="64" ph="1"/>
    </row>
    <row r="4761" spans="23:23" ht="26.4">
      <c r="W4761" s="64" ph="1"/>
    </row>
    <row r="4762" spans="23:23" ht="26.4">
      <c r="W4762" s="64" ph="1"/>
    </row>
    <row r="4763" spans="23:23" ht="26.4">
      <c r="W4763" s="64" ph="1"/>
    </row>
    <row r="4764" spans="23:23" ht="26.4">
      <c r="W4764" s="64" ph="1"/>
    </row>
    <row r="4765" spans="23:23" ht="26.4">
      <c r="W4765" s="64" ph="1"/>
    </row>
    <row r="4766" spans="23:23" ht="26.4">
      <c r="W4766" s="64" ph="1"/>
    </row>
    <row r="4767" spans="23:23" ht="26.4">
      <c r="W4767" s="64" ph="1"/>
    </row>
    <row r="4768" spans="23:23" ht="26.4">
      <c r="W4768" s="64" ph="1"/>
    </row>
    <row r="4769" spans="23:23" ht="26.4">
      <c r="W4769" s="64" ph="1"/>
    </row>
    <row r="4770" spans="23:23" ht="26.4">
      <c r="W4770" s="64" ph="1"/>
    </row>
    <row r="4771" spans="23:23" ht="26.4">
      <c r="W4771" s="64" ph="1"/>
    </row>
    <row r="4772" spans="23:23" ht="26.4">
      <c r="W4772" s="64" ph="1"/>
    </row>
    <row r="4773" spans="23:23" ht="26.4">
      <c r="W4773" s="64" ph="1"/>
    </row>
    <row r="4774" spans="23:23" ht="26.4">
      <c r="W4774" s="64" ph="1"/>
    </row>
    <row r="4775" spans="23:23" ht="26.4">
      <c r="W4775" s="64" ph="1"/>
    </row>
    <row r="4776" spans="23:23" ht="26.4">
      <c r="W4776" s="64" ph="1"/>
    </row>
    <row r="4777" spans="23:23" ht="26.4">
      <c r="W4777" s="64" ph="1"/>
    </row>
    <row r="4778" spans="23:23" ht="26.4">
      <c r="W4778" s="64" ph="1"/>
    </row>
    <row r="4779" spans="23:23" ht="26.4">
      <c r="W4779" s="64" ph="1"/>
    </row>
    <row r="4780" spans="23:23" ht="26.4">
      <c r="W4780" s="64" ph="1"/>
    </row>
    <row r="4781" spans="23:23" ht="26.4">
      <c r="W4781" s="64" ph="1"/>
    </row>
    <row r="4782" spans="23:23" ht="26.4">
      <c r="W4782" s="64" ph="1"/>
    </row>
    <row r="4783" spans="23:23" ht="26.4">
      <c r="W4783" s="64" ph="1"/>
    </row>
    <row r="4784" spans="23:23" ht="26.4">
      <c r="W4784" s="64" ph="1"/>
    </row>
    <row r="4785" spans="23:23" ht="26.4">
      <c r="W4785" s="64" ph="1"/>
    </row>
    <row r="4786" spans="23:23" ht="26.4">
      <c r="W4786" s="64" ph="1"/>
    </row>
    <row r="4787" spans="23:23" ht="26.4">
      <c r="W4787" s="64" ph="1"/>
    </row>
    <row r="4788" spans="23:23" ht="26.4">
      <c r="W4788" s="64" ph="1"/>
    </row>
    <row r="4789" spans="23:23" ht="26.4">
      <c r="W4789" s="64" ph="1"/>
    </row>
    <row r="4790" spans="23:23" ht="26.4">
      <c r="W4790" s="64" ph="1"/>
    </row>
    <row r="4791" spans="23:23" ht="26.4">
      <c r="W4791" s="64" ph="1"/>
    </row>
    <row r="4792" spans="23:23" ht="26.4">
      <c r="W4792" s="64" ph="1"/>
    </row>
    <row r="4793" spans="23:23" ht="26.4">
      <c r="W4793" s="64" ph="1"/>
    </row>
    <row r="4794" spans="23:23" ht="26.4">
      <c r="W4794" s="64" ph="1"/>
    </row>
    <row r="4795" spans="23:23" ht="26.4">
      <c r="W4795" s="64" ph="1"/>
    </row>
    <row r="4796" spans="23:23" ht="26.4">
      <c r="W4796" s="64" ph="1"/>
    </row>
    <row r="4797" spans="23:23" ht="26.4">
      <c r="W4797" s="64" ph="1"/>
    </row>
    <row r="4798" spans="23:23" ht="26.4">
      <c r="W4798" s="64" ph="1"/>
    </row>
    <row r="4799" spans="23:23" ht="26.4">
      <c r="W4799" s="64" ph="1"/>
    </row>
    <row r="4800" spans="23:23" ht="26.4">
      <c r="W4800" s="64" ph="1"/>
    </row>
    <row r="4801" spans="23:23" ht="26.4">
      <c r="W4801" s="64" ph="1"/>
    </row>
    <row r="4802" spans="23:23" ht="26.4">
      <c r="W4802" s="64" ph="1"/>
    </row>
    <row r="4803" spans="23:23" ht="26.4">
      <c r="W4803" s="64" ph="1"/>
    </row>
    <row r="4804" spans="23:23" ht="26.4">
      <c r="W4804" s="64" ph="1"/>
    </row>
    <row r="4805" spans="23:23" ht="26.4">
      <c r="W4805" s="64" ph="1"/>
    </row>
    <row r="4806" spans="23:23" ht="26.4">
      <c r="W4806" s="64" ph="1"/>
    </row>
    <row r="4807" spans="23:23" ht="26.4">
      <c r="W4807" s="64" ph="1"/>
    </row>
    <row r="4808" spans="23:23" ht="26.4">
      <c r="W4808" s="64" ph="1"/>
    </row>
    <row r="4809" spans="23:23" ht="26.4">
      <c r="W4809" s="64" ph="1"/>
    </row>
    <row r="4810" spans="23:23" ht="26.4">
      <c r="W4810" s="64" ph="1"/>
    </row>
    <row r="4811" spans="23:23" ht="26.4">
      <c r="W4811" s="64" ph="1"/>
    </row>
    <row r="4812" spans="23:23" ht="26.4">
      <c r="W4812" s="64" ph="1"/>
    </row>
    <row r="4813" spans="23:23" ht="26.4">
      <c r="W4813" s="64" ph="1"/>
    </row>
    <row r="4814" spans="23:23" ht="26.4">
      <c r="W4814" s="64" ph="1"/>
    </row>
    <row r="4815" spans="23:23" ht="26.4">
      <c r="W4815" s="64" ph="1"/>
    </row>
    <row r="4816" spans="23:23" ht="26.4">
      <c r="W4816" s="64" ph="1"/>
    </row>
    <row r="4817" spans="23:23" ht="26.4">
      <c r="W4817" s="64" ph="1"/>
    </row>
    <row r="4818" spans="23:23" ht="26.4">
      <c r="W4818" s="64" ph="1"/>
    </row>
    <row r="4819" spans="23:23" ht="26.4">
      <c r="W4819" s="64" ph="1"/>
    </row>
    <row r="4820" spans="23:23" ht="26.4">
      <c r="W4820" s="64" ph="1"/>
    </row>
    <row r="4821" spans="23:23" ht="26.4">
      <c r="W4821" s="64" ph="1"/>
    </row>
    <row r="4822" spans="23:23" ht="26.4">
      <c r="W4822" s="64" ph="1"/>
    </row>
    <row r="4823" spans="23:23" ht="26.4">
      <c r="W4823" s="64" ph="1"/>
    </row>
    <row r="4824" spans="23:23" ht="26.4">
      <c r="W4824" s="64" ph="1"/>
    </row>
    <row r="4825" spans="23:23" ht="26.4">
      <c r="W4825" s="64" ph="1"/>
    </row>
    <row r="4826" spans="23:23" ht="26.4">
      <c r="W4826" s="64" ph="1"/>
    </row>
    <row r="4827" spans="23:23" ht="26.4">
      <c r="W4827" s="64" ph="1"/>
    </row>
    <row r="4828" spans="23:23" ht="26.4">
      <c r="W4828" s="64" ph="1"/>
    </row>
    <row r="4829" spans="23:23" ht="26.4">
      <c r="W4829" s="64" ph="1"/>
    </row>
    <row r="4830" spans="23:23" ht="26.4">
      <c r="W4830" s="64" ph="1"/>
    </row>
    <row r="4831" spans="23:23" ht="26.4">
      <c r="W4831" s="64" ph="1"/>
    </row>
    <row r="4832" spans="23:23" ht="26.4">
      <c r="W4832" s="64" ph="1"/>
    </row>
    <row r="4833" spans="23:23" ht="26.4">
      <c r="W4833" s="64" ph="1"/>
    </row>
    <row r="4834" spans="23:23" ht="26.4">
      <c r="W4834" s="64" ph="1"/>
    </row>
    <row r="4835" spans="23:23" ht="26.4">
      <c r="W4835" s="64" ph="1"/>
    </row>
    <row r="4836" spans="23:23" ht="26.4">
      <c r="W4836" s="64" ph="1"/>
    </row>
    <row r="4837" spans="23:23" ht="26.4">
      <c r="W4837" s="64" ph="1"/>
    </row>
    <row r="4838" spans="23:23" ht="26.4">
      <c r="W4838" s="64" ph="1"/>
    </row>
    <row r="4839" spans="23:23" ht="26.4">
      <c r="W4839" s="64" ph="1"/>
    </row>
    <row r="4840" spans="23:23" ht="26.4">
      <c r="W4840" s="64" ph="1"/>
    </row>
    <row r="4841" spans="23:23" ht="26.4">
      <c r="W4841" s="64" ph="1"/>
    </row>
    <row r="4842" spans="23:23" ht="26.4">
      <c r="W4842" s="64" ph="1"/>
    </row>
    <row r="4843" spans="23:23" ht="26.4">
      <c r="W4843" s="64" ph="1"/>
    </row>
    <row r="4844" spans="23:23" ht="26.4">
      <c r="W4844" s="64" ph="1"/>
    </row>
    <row r="4845" spans="23:23" ht="26.4">
      <c r="W4845" s="64" ph="1"/>
    </row>
    <row r="4846" spans="23:23" ht="26.4">
      <c r="W4846" s="64" ph="1"/>
    </row>
    <row r="4847" spans="23:23" ht="26.4">
      <c r="W4847" s="64" ph="1"/>
    </row>
    <row r="4848" spans="23:23" ht="26.4">
      <c r="W4848" s="64" ph="1"/>
    </row>
    <row r="4849" spans="23:23" ht="26.4">
      <c r="W4849" s="64" ph="1"/>
    </row>
    <row r="4850" spans="23:23" ht="26.4">
      <c r="W4850" s="64" ph="1"/>
    </row>
    <row r="4851" spans="23:23" ht="26.4">
      <c r="W4851" s="64" ph="1"/>
    </row>
    <row r="4852" spans="23:23" ht="26.4">
      <c r="W4852" s="64" ph="1"/>
    </row>
    <row r="4853" spans="23:23" ht="26.4">
      <c r="W4853" s="64" ph="1"/>
    </row>
    <row r="4854" spans="23:23" ht="26.4">
      <c r="W4854" s="64" ph="1"/>
    </row>
    <row r="4855" spans="23:23" ht="26.4">
      <c r="W4855" s="64" ph="1"/>
    </row>
    <row r="4856" spans="23:23" ht="26.4">
      <c r="W4856" s="64" ph="1"/>
    </row>
    <row r="4857" spans="23:23" ht="26.4">
      <c r="W4857" s="64" ph="1"/>
    </row>
    <row r="4858" spans="23:23" ht="26.4">
      <c r="W4858" s="64" ph="1"/>
    </row>
    <row r="4859" spans="23:23" ht="26.4">
      <c r="W4859" s="64" ph="1"/>
    </row>
    <row r="4860" spans="23:23" ht="26.4">
      <c r="W4860" s="64" ph="1"/>
    </row>
    <row r="4861" spans="23:23" ht="26.4">
      <c r="W4861" s="64" ph="1"/>
    </row>
    <row r="4862" spans="23:23" ht="26.4">
      <c r="W4862" s="64" ph="1"/>
    </row>
    <row r="4863" spans="23:23" ht="26.4">
      <c r="W4863" s="64" ph="1"/>
    </row>
    <row r="4864" spans="23:23" ht="26.4">
      <c r="W4864" s="64" ph="1"/>
    </row>
    <row r="4865" spans="23:23" ht="26.4">
      <c r="W4865" s="64" ph="1"/>
    </row>
    <row r="4866" spans="23:23" ht="26.4">
      <c r="W4866" s="64" ph="1"/>
    </row>
    <row r="4867" spans="23:23" ht="26.4">
      <c r="W4867" s="64" ph="1"/>
    </row>
    <row r="4868" spans="23:23" ht="26.4">
      <c r="W4868" s="64" ph="1"/>
    </row>
    <row r="4869" spans="23:23" ht="26.4">
      <c r="W4869" s="64" ph="1"/>
    </row>
    <row r="4870" spans="23:23" ht="26.4">
      <c r="W4870" s="64" ph="1"/>
    </row>
    <row r="4871" spans="23:23" ht="26.4">
      <c r="W4871" s="64" ph="1"/>
    </row>
    <row r="4872" spans="23:23" ht="26.4">
      <c r="W4872" s="64" ph="1"/>
    </row>
    <row r="4873" spans="23:23" ht="26.4">
      <c r="W4873" s="64" ph="1"/>
    </row>
    <row r="4874" spans="23:23" ht="26.4">
      <c r="W4874" s="64" ph="1"/>
    </row>
    <row r="4875" spans="23:23" ht="26.4">
      <c r="W4875" s="64" ph="1"/>
    </row>
    <row r="4876" spans="23:23" ht="26.4">
      <c r="W4876" s="64" ph="1"/>
    </row>
    <row r="4877" spans="23:23" ht="26.4">
      <c r="W4877" s="64" ph="1"/>
    </row>
    <row r="4878" spans="23:23" ht="26.4">
      <c r="W4878" s="64" ph="1"/>
    </row>
    <row r="4879" spans="23:23" ht="26.4">
      <c r="W4879" s="64" ph="1"/>
    </row>
    <row r="4880" spans="23:23" ht="26.4">
      <c r="W4880" s="64" ph="1"/>
    </row>
    <row r="4881" spans="23:23" ht="26.4">
      <c r="W4881" s="64" ph="1"/>
    </row>
    <row r="4882" spans="23:23" ht="26.4">
      <c r="W4882" s="64" ph="1"/>
    </row>
    <row r="4883" spans="23:23" ht="26.4">
      <c r="W4883" s="64" ph="1"/>
    </row>
    <row r="4884" spans="23:23" ht="26.4">
      <c r="W4884" s="64" ph="1"/>
    </row>
    <row r="4885" spans="23:23" ht="26.4">
      <c r="W4885" s="64" ph="1"/>
    </row>
    <row r="4886" spans="23:23" ht="26.4">
      <c r="W4886" s="64" ph="1"/>
    </row>
    <row r="4887" spans="23:23" ht="26.4">
      <c r="W4887" s="64" ph="1"/>
    </row>
    <row r="4888" spans="23:23" ht="26.4">
      <c r="W4888" s="64" ph="1"/>
    </row>
    <row r="4889" spans="23:23" ht="26.4">
      <c r="W4889" s="64" ph="1"/>
    </row>
    <row r="4890" spans="23:23" ht="26.4">
      <c r="W4890" s="64" ph="1"/>
    </row>
    <row r="4891" spans="23:23" ht="26.4">
      <c r="W4891" s="64" ph="1"/>
    </row>
    <row r="4892" spans="23:23" ht="26.4">
      <c r="W4892" s="64" ph="1"/>
    </row>
    <row r="4893" spans="23:23" ht="26.4">
      <c r="W4893" s="64" ph="1"/>
    </row>
    <row r="4894" spans="23:23" ht="26.4">
      <c r="W4894" s="64" ph="1"/>
    </row>
    <row r="4895" spans="23:23" ht="26.4">
      <c r="W4895" s="64" ph="1"/>
    </row>
    <row r="4896" spans="23:23" ht="26.4">
      <c r="W4896" s="64" ph="1"/>
    </row>
    <row r="4897" spans="23:23" ht="26.4">
      <c r="W4897" s="64" ph="1"/>
    </row>
    <row r="4898" spans="23:23" ht="26.4">
      <c r="W4898" s="64" ph="1"/>
    </row>
    <row r="4899" spans="23:23" ht="26.4">
      <c r="W4899" s="64" ph="1"/>
    </row>
    <row r="4900" spans="23:23" ht="26.4">
      <c r="W4900" s="64" ph="1"/>
    </row>
    <row r="4901" spans="23:23" ht="26.4">
      <c r="W4901" s="64" ph="1"/>
    </row>
    <row r="4902" spans="23:23" ht="26.4">
      <c r="W4902" s="64" ph="1"/>
    </row>
    <row r="4903" spans="23:23" ht="26.4">
      <c r="W4903" s="64" ph="1"/>
    </row>
    <row r="4904" spans="23:23" ht="26.4">
      <c r="W4904" s="64" ph="1"/>
    </row>
    <row r="4905" spans="23:23" ht="26.4">
      <c r="W4905" s="64" ph="1"/>
    </row>
    <row r="4906" spans="23:23" ht="26.4">
      <c r="W4906" s="64" ph="1"/>
    </row>
    <row r="4907" spans="23:23" ht="26.4">
      <c r="W4907" s="64" ph="1"/>
    </row>
    <row r="4908" spans="23:23" ht="26.4">
      <c r="W4908" s="64" ph="1"/>
    </row>
    <row r="4909" spans="23:23" ht="26.4">
      <c r="W4909" s="64" ph="1"/>
    </row>
    <row r="4910" spans="23:23" ht="26.4">
      <c r="W4910" s="64" ph="1"/>
    </row>
    <row r="4911" spans="23:23" ht="26.4">
      <c r="W4911" s="64" ph="1"/>
    </row>
    <row r="4912" spans="23:23" ht="26.4">
      <c r="W4912" s="64" ph="1"/>
    </row>
    <row r="4913" spans="23:23" ht="26.4">
      <c r="W4913" s="64" ph="1"/>
    </row>
    <row r="4914" spans="23:23" ht="26.4">
      <c r="W4914" s="64" ph="1"/>
    </row>
    <row r="4915" spans="23:23" ht="26.4">
      <c r="W4915" s="64" ph="1"/>
    </row>
    <row r="4916" spans="23:23" ht="26.4">
      <c r="W4916" s="64" ph="1"/>
    </row>
    <row r="4917" spans="23:23" ht="26.4">
      <c r="W4917" s="64" ph="1"/>
    </row>
    <row r="4918" spans="23:23" ht="26.4">
      <c r="W4918" s="64" ph="1"/>
    </row>
    <row r="4919" spans="23:23" ht="26.4">
      <c r="W4919" s="64" ph="1"/>
    </row>
    <row r="4920" spans="23:23" ht="26.4">
      <c r="W4920" s="64" ph="1"/>
    </row>
    <row r="4921" spans="23:23" ht="26.4">
      <c r="W4921" s="64" ph="1"/>
    </row>
    <row r="4922" spans="23:23" ht="26.4">
      <c r="W4922" s="64" ph="1"/>
    </row>
    <row r="4923" spans="23:23" ht="26.4">
      <c r="W4923" s="64" ph="1"/>
    </row>
    <row r="4924" spans="23:23" ht="26.4">
      <c r="W4924" s="64" ph="1"/>
    </row>
    <row r="4925" spans="23:23" ht="26.4">
      <c r="W4925" s="64" ph="1"/>
    </row>
    <row r="4926" spans="23:23" ht="26.4">
      <c r="W4926" s="64" ph="1"/>
    </row>
    <row r="4927" spans="23:23" ht="26.4">
      <c r="W4927" s="64" ph="1"/>
    </row>
    <row r="4928" spans="23:23" ht="26.4">
      <c r="W4928" s="64" ph="1"/>
    </row>
    <row r="4929" spans="23:23" ht="26.4">
      <c r="W4929" s="64" ph="1"/>
    </row>
    <row r="4930" spans="23:23" ht="26.4">
      <c r="W4930" s="64" ph="1"/>
    </row>
    <row r="4931" spans="23:23" ht="26.4">
      <c r="W4931" s="64" ph="1"/>
    </row>
    <row r="4932" spans="23:23" ht="26.4">
      <c r="W4932" s="64" ph="1"/>
    </row>
    <row r="4933" spans="23:23" ht="26.4">
      <c r="W4933" s="64" ph="1"/>
    </row>
    <row r="4934" spans="23:23" ht="26.4">
      <c r="W4934" s="64" ph="1"/>
    </row>
    <row r="4935" spans="23:23" ht="26.4">
      <c r="W4935" s="64" ph="1"/>
    </row>
    <row r="4936" spans="23:23" ht="26.4">
      <c r="W4936" s="64" ph="1"/>
    </row>
    <row r="4937" spans="23:23" ht="26.4">
      <c r="W4937" s="64" ph="1"/>
    </row>
    <row r="4938" spans="23:23" ht="26.4">
      <c r="W4938" s="64" ph="1"/>
    </row>
    <row r="4939" spans="23:23" ht="26.4">
      <c r="W4939" s="64" ph="1"/>
    </row>
    <row r="4940" spans="23:23" ht="26.4">
      <c r="W4940" s="64" ph="1"/>
    </row>
    <row r="4941" spans="23:23" ht="26.4">
      <c r="W4941" s="64" ph="1"/>
    </row>
    <row r="4942" spans="23:23" ht="26.4">
      <c r="W4942" s="64" ph="1"/>
    </row>
    <row r="4943" spans="23:23" ht="26.4">
      <c r="W4943" s="64" ph="1"/>
    </row>
    <row r="4944" spans="23:23" ht="26.4">
      <c r="W4944" s="64" ph="1"/>
    </row>
    <row r="4945" spans="23:23" ht="26.4">
      <c r="W4945" s="64" ph="1"/>
    </row>
    <row r="4946" spans="23:23" ht="26.4">
      <c r="W4946" s="64" ph="1"/>
    </row>
    <row r="4947" spans="23:23" ht="26.4">
      <c r="W4947" s="64" ph="1"/>
    </row>
    <row r="4948" spans="23:23" ht="26.4">
      <c r="W4948" s="64" ph="1"/>
    </row>
    <row r="4949" spans="23:23" ht="26.4">
      <c r="W4949" s="64" ph="1"/>
    </row>
    <row r="4950" spans="23:23" ht="26.4">
      <c r="W4950" s="64" ph="1"/>
    </row>
    <row r="4951" spans="23:23" ht="26.4">
      <c r="W4951" s="64" ph="1"/>
    </row>
    <row r="4952" spans="23:23" ht="26.4">
      <c r="W4952" s="64" ph="1"/>
    </row>
    <row r="4953" spans="23:23" ht="26.4">
      <c r="W4953" s="64" ph="1"/>
    </row>
    <row r="4954" spans="23:23" ht="26.4">
      <c r="W4954" s="64" ph="1"/>
    </row>
    <row r="4955" spans="23:23" ht="26.4">
      <c r="W4955" s="64" ph="1"/>
    </row>
    <row r="4956" spans="23:23" ht="26.4">
      <c r="W4956" s="64" ph="1"/>
    </row>
    <row r="4957" spans="23:23" ht="26.4">
      <c r="W4957" s="64" ph="1"/>
    </row>
    <row r="4958" spans="23:23" ht="26.4">
      <c r="W4958" s="64" ph="1"/>
    </row>
    <row r="4959" spans="23:23" ht="26.4">
      <c r="W4959" s="64" ph="1"/>
    </row>
    <row r="4960" spans="23:23" ht="26.4">
      <c r="W4960" s="64" ph="1"/>
    </row>
    <row r="4961" spans="23:23" ht="26.4">
      <c r="W4961" s="64" ph="1"/>
    </row>
    <row r="4962" spans="23:23" ht="26.4">
      <c r="W4962" s="64" ph="1"/>
    </row>
    <row r="4963" spans="23:23" ht="26.4">
      <c r="W4963" s="64" ph="1"/>
    </row>
    <row r="4964" spans="23:23" ht="26.4">
      <c r="W4964" s="64" ph="1"/>
    </row>
    <row r="4965" spans="23:23" ht="26.4">
      <c r="W4965" s="64" ph="1"/>
    </row>
    <row r="4966" spans="23:23" ht="26.4">
      <c r="W4966" s="64" ph="1"/>
    </row>
    <row r="4967" spans="23:23" ht="26.4">
      <c r="W4967" s="64" ph="1"/>
    </row>
    <row r="4968" spans="23:23" ht="26.4">
      <c r="W4968" s="64" ph="1"/>
    </row>
    <row r="4969" spans="23:23" ht="26.4">
      <c r="W4969" s="64" ph="1"/>
    </row>
    <row r="4970" spans="23:23" ht="26.4">
      <c r="W4970" s="64" ph="1"/>
    </row>
    <row r="4971" spans="23:23" ht="26.4">
      <c r="W4971" s="64" ph="1"/>
    </row>
    <row r="4972" spans="23:23" ht="26.4">
      <c r="W4972" s="64" ph="1"/>
    </row>
    <row r="4973" spans="23:23" ht="26.4">
      <c r="W4973" s="64" ph="1"/>
    </row>
    <row r="4974" spans="23:23" ht="26.4">
      <c r="W4974" s="64" ph="1"/>
    </row>
    <row r="4975" spans="23:23" ht="26.4">
      <c r="W4975" s="64" ph="1"/>
    </row>
    <row r="4976" spans="23:23" ht="26.4">
      <c r="W4976" s="64" ph="1"/>
    </row>
    <row r="4977" spans="23:23" ht="26.4">
      <c r="W4977" s="64" ph="1"/>
    </row>
    <row r="4978" spans="23:23" ht="26.4">
      <c r="W4978" s="64" ph="1"/>
    </row>
    <row r="4979" spans="23:23" ht="26.4">
      <c r="W4979" s="64" ph="1"/>
    </row>
    <row r="4980" spans="23:23" ht="26.4">
      <c r="W4980" s="64" ph="1"/>
    </row>
    <row r="4981" spans="23:23" ht="26.4">
      <c r="W4981" s="64" ph="1"/>
    </row>
    <row r="4982" spans="23:23" ht="26.4">
      <c r="W4982" s="64" ph="1"/>
    </row>
    <row r="4983" spans="23:23" ht="26.4">
      <c r="W4983" s="64" ph="1"/>
    </row>
    <row r="4984" spans="23:23" ht="26.4">
      <c r="W4984" s="64" ph="1"/>
    </row>
    <row r="4985" spans="23:23" ht="26.4">
      <c r="W4985" s="64" ph="1"/>
    </row>
    <row r="4986" spans="23:23" ht="26.4">
      <c r="W4986" s="64" ph="1"/>
    </row>
    <row r="4987" spans="23:23" ht="26.4">
      <c r="W4987" s="64" ph="1"/>
    </row>
    <row r="4988" spans="23:23" ht="26.4">
      <c r="W4988" s="64" ph="1"/>
    </row>
    <row r="4989" spans="23:23" ht="26.4">
      <c r="W4989" s="64" ph="1"/>
    </row>
    <row r="4990" spans="23:23" ht="26.4">
      <c r="W4990" s="64" ph="1"/>
    </row>
    <row r="4991" spans="23:23" ht="26.4">
      <c r="W4991" s="64" ph="1"/>
    </row>
    <row r="4992" spans="23:23" ht="26.4">
      <c r="W4992" s="64" ph="1"/>
    </row>
    <row r="4993" spans="23:23" ht="26.4">
      <c r="W4993" s="64" ph="1"/>
    </row>
    <row r="4994" spans="23:23" ht="26.4">
      <c r="W4994" s="64" ph="1"/>
    </row>
    <row r="4995" spans="23:23" ht="26.4">
      <c r="W4995" s="64" ph="1"/>
    </row>
    <row r="4996" spans="23:23" ht="26.4">
      <c r="W4996" s="64" ph="1"/>
    </row>
    <row r="4997" spans="23:23" ht="26.4">
      <c r="W4997" s="64" ph="1"/>
    </row>
    <row r="4998" spans="23:23" ht="26.4">
      <c r="W4998" s="64" ph="1"/>
    </row>
    <row r="4999" spans="23:23" ht="26.4">
      <c r="W4999" s="64" ph="1"/>
    </row>
    <row r="5000" spans="23:23" ht="26.4">
      <c r="W5000" s="64" ph="1"/>
    </row>
    <row r="5001" spans="23:23" ht="26.4">
      <c r="W5001" s="64" ph="1"/>
    </row>
    <row r="5002" spans="23:23" ht="26.4">
      <c r="W5002" s="64" ph="1"/>
    </row>
    <row r="5003" spans="23:23" ht="26.4">
      <c r="W5003" s="64" ph="1"/>
    </row>
    <row r="5004" spans="23:23" ht="26.4">
      <c r="W5004" s="64" ph="1"/>
    </row>
    <row r="5005" spans="23:23" ht="26.4">
      <c r="W5005" s="64" ph="1"/>
    </row>
    <row r="5006" spans="23:23" ht="26.4">
      <c r="W5006" s="64" ph="1"/>
    </row>
    <row r="5007" spans="23:23" ht="26.4">
      <c r="W5007" s="64" ph="1"/>
    </row>
    <row r="5008" spans="23:23" ht="26.4">
      <c r="W5008" s="64" ph="1"/>
    </row>
    <row r="5009" spans="23:23" ht="26.4">
      <c r="W5009" s="64" ph="1"/>
    </row>
    <row r="5010" spans="23:23" ht="26.4">
      <c r="W5010" s="64" ph="1"/>
    </row>
    <row r="5011" spans="23:23" ht="26.4">
      <c r="W5011" s="64" ph="1"/>
    </row>
    <row r="5012" spans="23:23" ht="26.4">
      <c r="W5012" s="64" ph="1"/>
    </row>
    <row r="5013" spans="23:23" ht="26.4">
      <c r="W5013" s="64" ph="1"/>
    </row>
    <row r="5014" spans="23:23" ht="26.4">
      <c r="W5014" s="64" ph="1"/>
    </row>
    <row r="5015" spans="23:23" ht="26.4">
      <c r="W5015" s="64" ph="1"/>
    </row>
    <row r="5016" spans="23:23" ht="26.4">
      <c r="W5016" s="64" ph="1"/>
    </row>
    <row r="5017" spans="23:23" ht="26.4">
      <c r="W5017" s="64" ph="1"/>
    </row>
    <row r="5018" spans="23:23" ht="26.4">
      <c r="W5018" s="64" ph="1"/>
    </row>
    <row r="5019" spans="23:23" ht="26.4">
      <c r="W5019" s="64" ph="1"/>
    </row>
    <row r="5020" spans="23:23" ht="26.4">
      <c r="W5020" s="64" ph="1"/>
    </row>
    <row r="5021" spans="23:23" ht="26.4">
      <c r="W5021" s="64" ph="1"/>
    </row>
    <row r="5022" spans="23:23" ht="26.4">
      <c r="W5022" s="64" ph="1"/>
    </row>
    <row r="5023" spans="23:23" ht="26.4">
      <c r="W5023" s="64" ph="1"/>
    </row>
    <row r="5024" spans="23:23" ht="26.4">
      <c r="W5024" s="64" ph="1"/>
    </row>
    <row r="5025" spans="23:23" ht="26.4">
      <c r="W5025" s="64" ph="1"/>
    </row>
    <row r="5026" spans="23:23" ht="26.4">
      <c r="W5026" s="64" ph="1"/>
    </row>
    <row r="5027" spans="23:23" ht="26.4">
      <c r="W5027" s="64" ph="1"/>
    </row>
    <row r="5028" spans="23:23" ht="26.4">
      <c r="W5028" s="64" ph="1"/>
    </row>
    <row r="5029" spans="23:23" ht="26.4">
      <c r="W5029" s="64" ph="1"/>
    </row>
    <row r="5030" spans="23:23" ht="26.4">
      <c r="W5030" s="64" ph="1"/>
    </row>
    <row r="5031" spans="23:23" ht="26.4">
      <c r="W5031" s="64" ph="1"/>
    </row>
    <row r="5032" spans="23:23" ht="26.4">
      <c r="W5032" s="64" ph="1"/>
    </row>
    <row r="5033" spans="23:23" ht="26.4">
      <c r="W5033" s="64" ph="1"/>
    </row>
    <row r="5034" spans="23:23" ht="26.4">
      <c r="W5034" s="64" ph="1"/>
    </row>
    <row r="5035" spans="23:23" ht="26.4">
      <c r="W5035" s="64" ph="1"/>
    </row>
    <row r="5036" spans="23:23" ht="26.4">
      <c r="W5036" s="64" ph="1"/>
    </row>
    <row r="5037" spans="23:23" ht="26.4">
      <c r="W5037" s="64" ph="1"/>
    </row>
    <row r="5038" spans="23:23" ht="26.4">
      <c r="W5038" s="64" ph="1"/>
    </row>
    <row r="5039" spans="23:23" ht="26.4">
      <c r="W5039" s="64" ph="1"/>
    </row>
    <row r="5040" spans="23:23" ht="26.4">
      <c r="W5040" s="64" ph="1"/>
    </row>
    <row r="5041" spans="23:23" ht="26.4">
      <c r="W5041" s="64" ph="1"/>
    </row>
    <row r="5042" spans="23:23" ht="26.4">
      <c r="W5042" s="64" ph="1"/>
    </row>
    <row r="5043" spans="23:23" ht="26.4">
      <c r="W5043" s="64" ph="1"/>
    </row>
    <row r="5044" spans="23:23" ht="26.4">
      <c r="W5044" s="64" ph="1"/>
    </row>
    <row r="5045" spans="23:23" ht="26.4">
      <c r="W5045" s="64" ph="1"/>
    </row>
    <row r="5046" spans="23:23" ht="26.4">
      <c r="W5046" s="64" ph="1"/>
    </row>
    <row r="5047" spans="23:23" ht="26.4">
      <c r="W5047" s="64" ph="1"/>
    </row>
    <row r="5048" spans="23:23" ht="26.4">
      <c r="W5048" s="64" ph="1"/>
    </row>
    <row r="5049" spans="23:23" ht="26.4">
      <c r="W5049" s="64" ph="1"/>
    </row>
    <row r="5050" spans="23:23" ht="26.4">
      <c r="W5050" s="64" ph="1"/>
    </row>
    <row r="5051" spans="23:23" ht="26.4">
      <c r="W5051" s="64" ph="1"/>
    </row>
    <row r="5052" spans="23:23" ht="26.4">
      <c r="W5052" s="64" ph="1"/>
    </row>
    <row r="5053" spans="23:23" ht="26.4">
      <c r="W5053" s="64" ph="1"/>
    </row>
    <row r="5054" spans="23:23" ht="26.4">
      <c r="W5054" s="64" ph="1"/>
    </row>
    <row r="5055" spans="23:23" ht="26.4">
      <c r="W5055" s="64" ph="1"/>
    </row>
    <row r="5056" spans="23:23" ht="26.4">
      <c r="W5056" s="64" ph="1"/>
    </row>
    <row r="5057" spans="23:23" ht="26.4">
      <c r="W5057" s="64" ph="1"/>
    </row>
    <row r="5058" spans="23:23" ht="26.4">
      <c r="W5058" s="64" ph="1"/>
    </row>
    <row r="5059" spans="23:23" ht="26.4">
      <c r="W5059" s="64" ph="1"/>
    </row>
    <row r="5060" spans="23:23" ht="26.4">
      <c r="W5060" s="64" ph="1"/>
    </row>
    <row r="5061" spans="23:23" ht="26.4">
      <c r="W5061" s="64" ph="1"/>
    </row>
    <row r="5062" spans="23:23" ht="26.4">
      <c r="W5062" s="64" ph="1"/>
    </row>
    <row r="5063" spans="23:23" ht="26.4">
      <c r="W5063" s="64" ph="1"/>
    </row>
    <row r="5064" spans="23:23" ht="26.4">
      <c r="W5064" s="64" ph="1"/>
    </row>
    <row r="5065" spans="23:23" ht="26.4">
      <c r="W5065" s="64" ph="1"/>
    </row>
    <row r="5066" spans="23:23" ht="26.4">
      <c r="W5066" s="64" ph="1"/>
    </row>
    <row r="5067" spans="23:23" ht="26.4">
      <c r="W5067" s="64" ph="1"/>
    </row>
    <row r="5068" spans="23:23" ht="26.4">
      <c r="W5068" s="64" ph="1"/>
    </row>
    <row r="5069" spans="23:23" ht="26.4">
      <c r="W5069" s="64" ph="1"/>
    </row>
    <row r="5070" spans="23:23" ht="26.4">
      <c r="W5070" s="64" ph="1"/>
    </row>
    <row r="5071" spans="23:23" ht="26.4">
      <c r="W5071" s="64" ph="1"/>
    </row>
    <row r="5072" spans="23:23" ht="26.4">
      <c r="W5072" s="64" ph="1"/>
    </row>
    <row r="5073" spans="23:23" ht="26.4">
      <c r="W5073" s="64" ph="1"/>
    </row>
    <row r="5074" spans="23:23" ht="26.4">
      <c r="W5074" s="64" ph="1"/>
    </row>
    <row r="5075" spans="23:23" ht="26.4">
      <c r="W5075" s="64" ph="1"/>
    </row>
    <row r="5076" spans="23:23" ht="26.4">
      <c r="W5076" s="64" ph="1"/>
    </row>
    <row r="5077" spans="23:23" ht="26.4">
      <c r="W5077" s="64" ph="1"/>
    </row>
    <row r="5078" spans="23:23" ht="26.4">
      <c r="W5078" s="64" ph="1"/>
    </row>
    <row r="5079" spans="23:23" ht="26.4">
      <c r="W5079" s="64" ph="1"/>
    </row>
    <row r="5080" spans="23:23" ht="26.4">
      <c r="W5080" s="64" ph="1"/>
    </row>
    <row r="5081" spans="23:23" ht="26.4">
      <c r="W5081" s="64" ph="1"/>
    </row>
    <row r="5082" spans="23:23" ht="26.4">
      <c r="W5082" s="64" ph="1"/>
    </row>
    <row r="5083" spans="23:23" ht="26.4">
      <c r="W5083" s="64" ph="1"/>
    </row>
    <row r="5084" spans="23:23" ht="26.4">
      <c r="W5084" s="64" ph="1"/>
    </row>
    <row r="5085" spans="23:23" ht="26.4">
      <c r="W5085" s="64" ph="1"/>
    </row>
    <row r="5086" spans="23:23" ht="26.4">
      <c r="W5086" s="64" ph="1"/>
    </row>
    <row r="5087" spans="23:23" ht="26.4">
      <c r="W5087" s="64" ph="1"/>
    </row>
    <row r="5088" spans="23:23" ht="26.4">
      <c r="W5088" s="64" ph="1"/>
    </row>
    <row r="5089" spans="23:23" ht="26.4">
      <c r="W5089" s="64" ph="1"/>
    </row>
    <row r="5090" spans="23:23" ht="26.4">
      <c r="W5090" s="64" ph="1"/>
    </row>
    <row r="5091" spans="23:23" ht="26.4">
      <c r="W5091" s="64" ph="1"/>
    </row>
    <row r="5092" spans="23:23" ht="26.4">
      <c r="W5092" s="64" ph="1"/>
    </row>
    <row r="5093" spans="23:23" ht="26.4">
      <c r="W5093" s="64" ph="1"/>
    </row>
    <row r="5094" spans="23:23" ht="26.4">
      <c r="W5094" s="64" ph="1"/>
    </row>
    <row r="5095" spans="23:23" ht="26.4">
      <c r="W5095" s="64" ph="1"/>
    </row>
    <row r="5096" spans="23:23" ht="26.4">
      <c r="W5096" s="64" ph="1"/>
    </row>
    <row r="5097" spans="23:23" ht="26.4">
      <c r="W5097" s="64" ph="1"/>
    </row>
    <row r="5098" spans="23:23" ht="26.4">
      <c r="W5098" s="64" ph="1"/>
    </row>
    <row r="5099" spans="23:23" ht="26.4">
      <c r="W5099" s="64" ph="1"/>
    </row>
    <row r="5100" spans="23:23" ht="26.4">
      <c r="W5100" s="64" ph="1"/>
    </row>
    <row r="5101" spans="23:23" ht="26.4">
      <c r="W5101" s="64" ph="1"/>
    </row>
    <row r="5102" spans="23:23" ht="26.4">
      <c r="W5102" s="64" ph="1"/>
    </row>
    <row r="5103" spans="23:23" ht="26.4">
      <c r="W5103" s="64" ph="1"/>
    </row>
    <row r="5104" spans="23:23" ht="26.4">
      <c r="W5104" s="64" ph="1"/>
    </row>
    <row r="5105" spans="23:23" ht="26.4">
      <c r="W5105" s="64" ph="1"/>
    </row>
    <row r="5106" spans="23:23" ht="26.4">
      <c r="W5106" s="64" ph="1"/>
    </row>
    <row r="5107" spans="23:23" ht="26.4">
      <c r="W5107" s="64" ph="1"/>
    </row>
    <row r="5108" spans="23:23" ht="26.4">
      <c r="W5108" s="64" ph="1"/>
    </row>
    <row r="5109" spans="23:23" ht="26.4">
      <c r="W5109" s="64" ph="1"/>
    </row>
    <row r="5110" spans="23:23" ht="26.4">
      <c r="W5110" s="64" ph="1"/>
    </row>
    <row r="5111" spans="23:23" ht="26.4">
      <c r="W5111" s="64" ph="1"/>
    </row>
    <row r="5112" spans="23:23" ht="26.4">
      <c r="W5112" s="64" ph="1"/>
    </row>
    <row r="5113" spans="23:23" ht="26.4">
      <c r="W5113" s="64" ph="1"/>
    </row>
    <row r="5114" spans="23:23" ht="26.4">
      <c r="W5114" s="64" ph="1"/>
    </row>
    <row r="5115" spans="23:23" ht="26.4">
      <c r="W5115" s="64" ph="1"/>
    </row>
    <row r="5116" spans="23:23" ht="26.4">
      <c r="W5116" s="64" ph="1"/>
    </row>
    <row r="5117" spans="23:23" ht="26.4">
      <c r="W5117" s="64" ph="1"/>
    </row>
    <row r="5118" spans="23:23" ht="26.4">
      <c r="W5118" s="64" ph="1"/>
    </row>
    <row r="5119" spans="23:23" ht="26.4">
      <c r="W5119" s="64" ph="1"/>
    </row>
    <row r="5120" spans="23:23" ht="26.4">
      <c r="W5120" s="64" ph="1"/>
    </row>
    <row r="5121" spans="23:23" ht="26.4">
      <c r="W5121" s="64" ph="1"/>
    </row>
    <row r="5122" spans="23:23" ht="26.4">
      <c r="W5122" s="64" ph="1"/>
    </row>
    <row r="5123" spans="23:23" ht="26.4">
      <c r="W5123" s="64" ph="1"/>
    </row>
    <row r="5124" spans="23:23" ht="26.4">
      <c r="W5124" s="64" ph="1"/>
    </row>
    <row r="5125" spans="23:23" ht="26.4">
      <c r="W5125" s="64" ph="1"/>
    </row>
    <row r="5126" spans="23:23" ht="26.4">
      <c r="W5126" s="64" ph="1"/>
    </row>
    <row r="5127" spans="23:23" ht="26.4">
      <c r="W5127" s="64" ph="1"/>
    </row>
    <row r="5128" spans="23:23" ht="26.4">
      <c r="W5128" s="64" ph="1"/>
    </row>
    <row r="5129" spans="23:23" ht="26.4">
      <c r="W5129" s="64" ph="1"/>
    </row>
    <row r="5130" spans="23:23" ht="26.4">
      <c r="W5130" s="64" ph="1"/>
    </row>
    <row r="5131" spans="23:23" ht="26.4">
      <c r="W5131" s="64" ph="1"/>
    </row>
    <row r="5132" spans="23:23" ht="26.4">
      <c r="W5132" s="64" ph="1"/>
    </row>
    <row r="5133" spans="23:23" ht="26.4">
      <c r="W5133" s="64" ph="1"/>
    </row>
    <row r="5134" spans="23:23" ht="26.4">
      <c r="W5134" s="64" ph="1"/>
    </row>
    <row r="5135" spans="23:23" ht="26.4">
      <c r="W5135" s="64" ph="1"/>
    </row>
    <row r="5136" spans="23:23" ht="26.4">
      <c r="W5136" s="64" ph="1"/>
    </row>
    <row r="5137" spans="23:23" ht="26.4">
      <c r="W5137" s="64" ph="1"/>
    </row>
    <row r="5138" spans="23:23" ht="26.4">
      <c r="W5138" s="64" ph="1"/>
    </row>
    <row r="5139" spans="23:23" ht="26.4">
      <c r="W5139" s="64" ph="1"/>
    </row>
    <row r="5140" spans="23:23" ht="26.4">
      <c r="W5140" s="64" ph="1"/>
    </row>
    <row r="5141" spans="23:23" ht="26.4">
      <c r="W5141" s="64" ph="1"/>
    </row>
    <row r="5142" spans="23:23" ht="26.4">
      <c r="W5142" s="64" ph="1"/>
    </row>
    <row r="5143" spans="23:23" ht="26.4">
      <c r="W5143" s="64" ph="1"/>
    </row>
    <row r="5144" spans="23:23" ht="26.4">
      <c r="W5144" s="64" ph="1"/>
    </row>
    <row r="5145" spans="23:23" ht="26.4">
      <c r="W5145" s="64" ph="1"/>
    </row>
    <row r="5146" spans="23:23" ht="26.4">
      <c r="W5146" s="64" ph="1"/>
    </row>
    <row r="5147" spans="23:23" ht="26.4">
      <c r="W5147" s="64" ph="1"/>
    </row>
    <row r="5148" spans="23:23" ht="26.4">
      <c r="W5148" s="64" ph="1"/>
    </row>
    <row r="5149" spans="23:23" ht="26.4">
      <c r="W5149" s="64" ph="1"/>
    </row>
    <row r="5150" spans="23:23" ht="26.4">
      <c r="W5150" s="64" ph="1"/>
    </row>
    <row r="5151" spans="23:23" ht="26.4">
      <c r="W5151" s="64" ph="1"/>
    </row>
    <row r="5152" spans="23:23" ht="26.4">
      <c r="W5152" s="64" ph="1"/>
    </row>
    <row r="5153" spans="23:23" ht="26.4">
      <c r="W5153" s="64" ph="1"/>
    </row>
    <row r="5154" spans="23:23" ht="26.4">
      <c r="W5154" s="64" ph="1"/>
    </row>
    <row r="5155" spans="23:23" ht="26.4">
      <c r="W5155" s="64" ph="1"/>
    </row>
    <row r="5156" spans="23:23" ht="26.4">
      <c r="W5156" s="64" ph="1"/>
    </row>
    <row r="5157" spans="23:23" ht="26.4">
      <c r="W5157" s="64" ph="1"/>
    </row>
    <row r="5158" spans="23:23" ht="26.4">
      <c r="W5158" s="64" ph="1"/>
    </row>
    <row r="5159" spans="23:23" ht="26.4">
      <c r="W5159" s="64" ph="1"/>
    </row>
    <row r="5160" spans="23:23" ht="26.4">
      <c r="W5160" s="64" ph="1"/>
    </row>
    <row r="5161" spans="23:23" ht="26.4">
      <c r="W5161" s="64" ph="1"/>
    </row>
    <row r="5162" spans="23:23" ht="26.4">
      <c r="W5162" s="64" ph="1"/>
    </row>
    <row r="5163" spans="23:23" ht="26.4">
      <c r="W5163" s="64" ph="1"/>
    </row>
    <row r="5164" spans="23:23" ht="26.4">
      <c r="W5164" s="64" ph="1"/>
    </row>
    <row r="5165" spans="23:23" ht="26.4">
      <c r="W5165" s="64" ph="1"/>
    </row>
    <row r="5166" spans="23:23" ht="26.4">
      <c r="W5166" s="64" ph="1"/>
    </row>
    <row r="5167" spans="23:23" ht="26.4">
      <c r="W5167" s="64" ph="1"/>
    </row>
    <row r="5168" spans="23:23" ht="26.4">
      <c r="W5168" s="64" ph="1"/>
    </row>
    <row r="5169" spans="23:23" ht="26.4">
      <c r="W5169" s="64" ph="1"/>
    </row>
    <row r="5170" spans="23:23" ht="26.4">
      <c r="W5170" s="64" ph="1"/>
    </row>
    <row r="5171" spans="23:23" ht="26.4">
      <c r="W5171" s="64" ph="1"/>
    </row>
    <row r="5172" spans="23:23" ht="26.4">
      <c r="W5172" s="64" ph="1"/>
    </row>
    <row r="5173" spans="23:23" ht="26.4">
      <c r="W5173" s="64" ph="1"/>
    </row>
    <row r="5174" spans="23:23" ht="26.4">
      <c r="W5174" s="64" ph="1"/>
    </row>
    <row r="5175" spans="23:23" ht="26.4">
      <c r="W5175" s="64" ph="1"/>
    </row>
    <row r="5176" spans="23:23" ht="26.4">
      <c r="W5176" s="64" ph="1"/>
    </row>
    <row r="5177" spans="23:23" ht="26.4">
      <c r="W5177" s="64" ph="1"/>
    </row>
    <row r="5178" spans="23:23" ht="26.4">
      <c r="W5178" s="64" ph="1"/>
    </row>
    <row r="5179" spans="23:23" ht="26.4">
      <c r="W5179" s="64" ph="1"/>
    </row>
    <row r="5180" spans="23:23" ht="26.4">
      <c r="W5180" s="64" ph="1"/>
    </row>
    <row r="5181" spans="23:23" ht="26.4">
      <c r="W5181" s="64" ph="1"/>
    </row>
    <row r="5182" spans="23:23" ht="26.4">
      <c r="W5182" s="64" ph="1"/>
    </row>
    <row r="5183" spans="23:23" ht="26.4">
      <c r="W5183" s="64" ph="1"/>
    </row>
    <row r="5184" spans="23:23" ht="26.4">
      <c r="W5184" s="64" ph="1"/>
    </row>
    <row r="5185" spans="23:23" ht="26.4">
      <c r="W5185" s="64" ph="1"/>
    </row>
    <row r="5186" spans="23:23" ht="26.4">
      <c r="W5186" s="64" ph="1"/>
    </row>
    <row r="5187" spans="23:23" ht="26.4">
      <c r="W5187" s="64" ph="1"/>
    </row>
    <row r="5188" spans="23:23" ht="26.4">
      <c r="W5188" s="64" ph="1"/>
    </row>
    <row r="5189" spans="23:23" ht="26.4">
      <c r="W5189" s="64" ph="1"/>
    </row>
    <row r="5190" spans="23:23" ht="26.4">
      <c r="W5190" s="64" ph="1"/>
    </row>
    <row r="5191" spans="23:23" ht="26.4">
      <c r="W5191" s="64" ph="1"/>
    </row>
    <row r="5192" spans="23:23" ht="26.4">
      <c r="W5192" s="64" ph="1"/>
    </row>
    <row r="5193" spans="23:23" ht="26.4">
      <c r="W5193" s="64" ph="1"/>
    </row>
    <row r="5194" spans="23:23" ht="26.4">
      <c r="W5194" s="64" ph="1"/>
    </row>
    <row r="5195" spans="23:23" ht="26.4">
      <c r="W5195" s="64" ph="1"/>
    </row>
    <row r="5196" spans="23:23" ht="26.4">
      <c r="W5196" s="64" ph="1"/>
    </row>
    <row r="5197" spans="23:23" ht="26.4">
      <c r="W5197" s="64" ph="1"/>
    </row>
    <row r="5198" spans="23:23" ht="26.4">
      <c r="W5198" s="64" ph="1"/>
    </row>
    <row r="5199" spans="23:23" ht="26.4">
      <c r="W5199" s="64" ph="1"/>
    </row>
    <row r="5200" spans="23:23" ht="26.4">
      <c r="W5200" s="64" ph="1"/>
    </row>
    <row r="5201" spans="23:23" ht="26.4">
      <c r="W5201" s="64" ph="1"/>
    </row>
    <row r="5202" spans="23:23" ht="26.4">
      <c r="W5202" s="64" ph="1"/>
    </row>
    <row r="5203" spans="23:23" ht="26.4">
      <c r="W5203" s="64" ph="1"/>
    </row>
    <row r="5204" spans="23:23" ht="26.4">
      <c r="W5204" s="64" ph="1"/>
    </row>
    <row r="5205" spans="23:23" ht="26.4">
      <c r="W5205" s="64" ph="1"/>
    </row>
    <row r="5206" spans="23:23" ht="26.4">
      <c r="W5206" s="64" ph="1"/>
    </row>
    <row r="5207" spans="23:23" ht="26.4">
      <c r="W5207" s="64" ph="1"/>
    </row>
    <row r="5208" spans="23:23" ht="26.4">
      <c r="W5208" s="64" ph="1"/>
    </row>
    <row r="5209" spans="23:23" ht="26.4">
      <c r="W5209" s="64" ph="1"/>
    </row>
    <row r="5210" spans="23:23" ht="26.4">
      <c r="W5210" s="64" ph="1"/>
    </row>
    <row r="5211" spans="23:23" ht="26.4">
      <c r="W5211" s="64" ph="1"/>
    </row>
    <row r="5212" spans="23:23" ht="26.4">
      <c r="W5212" s="64" ph="1"/>
    </row>
    <row r="5213" spans="23:23" ht="26.4">
      <c r="W5213" s="64" ph="1"/>
    </row>
    <row r="5214" spans="23:23" ht="26.4">
      <c r="W5214" s="64" ph="1"/>
    </row>
    <row r="5215" spans="23:23" ht="26.4">
      <c r="W5215" s="64" ph="1"/>
    </row>
    <row r="5216" spans="23:23" ht="26.4">
      <c r="W5216" s="64" ph="1"/>
    </row>
    <row r="5217" spans="23:23" ht="26.4">
      <c r="W5217" s="64" ph="1"/>
    </row>
    <row r="5218" spans="23:23" ht="26.4">
      <c r="W5218" s="64" ph="1"/>
    </row>
    <row r="5219" spans="23:23" ht="26.4">
      <c r="W5219" s="64" ph="1"/>
    </row>
    <row r="5220" spans="23:23" ht="26.4">
      <c r="W5220" s="64" ph="1"/>
    </row>
    <row r="5221" spans="23:23" ht="26.4">
      <c r="W5221" s="64" ph="1"/>
    </row>
    <row r="5222" spans="23:23" ht="26.4">
      <c r="W5222" s="64" ph="1"/>
    </row>
    <row r="5223" spans="23:23" ht="26.4">
      <c r="W5223" s="64" ph="1"/>
    </row>
    <row r="5224" spans="23:23" ht="26.4">
      <c r="W5224" s="64" ph="1"/>
    </row>
    <row r="5225" spans="23:23" ht="26.4">
      <c r="W5225" s="64" ph="1"/>
    </row>
    <row r="5226" spans="23:23" ht="26.4">
      <c r="W5226" s="64" ph="1"/>
    </row>
    <row r="5227" spans="23:23" ht="26.4">
      <c r="W5227" s="64" ph="1"/>
    </row>
    <row r="5228" spans="23:23" ht="26.4">
      <c r="W5228" s="64" ph="1"/>
    </row>
    <row r="5229" spans="23:23" ht="26.4">
      <c r="W5229" s="64" ph="1"/>
    </row>
    <row r="5230" spans="23:23" ht="26.4">
      <c r="W5230" s="64" ph="1"/>
    </row>
    <row r="5231" spans="23:23" ht="26.4">
      <c r="W5231" s="64" ph="1"/>
    </row>
    <row r="5232" spans="23:23" ht="26.4">
      <c r="W5232" s="64" ph="1"/>
    </row>
    <row r="5233" spans="23:23" ht="26.4">
      <c r="W5233" s="64" ph="1"/>
    </row>
    <row r="5234" spans="23:23" ht="26.4">
      <c r="W5234" s="64" ph="1"/>
    </row>
    <row r="5235" spans="23:23" ht="26.4">
      <c r="W5235" s="64" ph="1"/>
    </row>
    <row r="5236" spans="23:23" ht="26.4">
      <c r="W5236" s="64" ph="1"/>
    </row>
    <row r="5237" spans="23:23" ht="26.4">
      <c r="W5237" s="64" ph="1"/>
    </row>
    <row r="5238" spans="23:23" ht="26.4">
      <c r="W5238" s="64" ph="1"/>
    </row>
    <row r="5239" spans="23:23" ht="26.4">
      <c r="W5239" s="64" ph="1"/>
    </row>
    <row r="5240" spans="23:23" ht="26.4">
      <c r="W5240" s="64" ph="1"/>
    </row>
    <row r="5241" spans="23:23" ht="26.4">
      <c r="W5241" s="64" ph="1"/>
    </row>
    <row r="5242" spans="23:23" ht="26.4">
      <c r="W5242" s="64" ph="1"/>
    </row>
    <row r="5243" spans="23:23" ht="26.4">
      <c r="W5243" s="64" ph="1"/>
    </row>
    <row r="5244" spans="23:23" ht="26.4">
      <c r="W5244" s="64" ph="1"/>
    </row>
    <row r="5245" spans="23:23" ht="26.4">
      <c r="W5245" s="64" ph="1"/>
    </row>
    <row r="5246" spans="23:23" ht="26.4">
      <c r="W5246" s="64" ph="1"/>
    </row>
    <row r="5247" spans="23:23" ht="26.4">
      <c r="W5247" s="64" ph="1"/>
    </row>
    <row r="5248" spans="23:23" ht="26.4">
      <c r="W5248" s="64" ph="1"/>
    </row>
    <row r="5249" spans="23:23" ht="26.4">
      <c r="W5249" s="64" ph="1"/>
    </row>
    <row r="5250" spans="23:23" ht="26.4">
      <c r="W5250" s="64" ph="1"/>
    </row>
    <row r="5251" spans="23:23" ht="26.4">
      <c r="W5251" s="64" ph="1"/>
    </row>
    <row r="5252" spans="23:23" ht="26.4">
      <c r="W5252" s="64" ph="1"/>
    </row>
    <row r="5253" spans="23:23" ht="26.4">
      <c r="W5253" s="64" ph="1"/>
    </row>
    <row r="5254" spans="23:23" ht="26.4">
      <c r="W5254" s="64" ph="1"/>
    </row>
    <row r="5255" spans="23:23" ht="26.4">
      <c r="W5255" s="64" ph="1"/>
    </row>
    <row r="5256" spans="23:23" ht="26.4">
      <c r="W5256" s="64" ph="1"/>
    </row>
    <row r="5257" spans="23:23" ht="26.4">
      <c r="W5257" s="64" ph="1"/>
    </row>
    <row r="5258" spans="23:23" ht="26.4">
      <c r="W5258" s="64" ph="1"/>
    </row>
    <row r="5259" spans="23:23" ht="26.4">
      <c r="W5259" s="64" ph="1"/>
    </row>
    <row r="5260" spans="23:23" ht="26.4">
      <c r="W5260" s="64" ph="1"/>
    </row>
    <row r="5261" spans="23:23" ht="26.4">
      <c r="W5261" s="64" ph="1"/>
    </row>
    <row r="5262" spans="23:23" ht="26.4">
      <c r="W5262" s="64" ph="1"/>
    </row>
    <row r="5263" spans="23:23" ht="26.4">
      <c r="W5263" s="64" ph="1"/>
    </row>
    <row r="5264" spans="23:23" ht="26.4">
      <c r="W5264" s="64" ph="1"/>
    </row>
    <row r="5265" spans="23:23" ht="26.4">
      <c r="W5265" s="64" ph="1"/>
    </row>
    <row r="5266" spans="23:23" ht="26.4">
      <c r="W5266" s="64" ph="1"/>
    </row>
    <row r="5267" spans="23:23" ht="26.4">
      <c r="W5267" s="64" ph="1"/>
    </row>
    <row r="5268" spans="23:23" ht="26.4">
      <c r="W5268" s="64" ph="1"/>
    </row>
    <row r="5269" spans="23:23" ht="26.4">
      <c r="W5269" s="64" ph="1"/>
    </row>
    <row r="5270" spans="23:23" ht="26.4">
      <c r="W5270" s="64" ph="1"/>
    </row>
    <row r="5271" spans="23:23" ht="26.4">
      <c r="W5271" s="64" ph="1"/>
    </row>
    <row r="5272" spans="23:23" ht="26.4">
      <c r="W5272" s="64" ph="1"/>
    </row>
    <row r="5273" spans="23:23" ht="26.4">
      <c r="W5273" s="64" ph="1"/>
    </row>
    <row r="5274" spans="23:23" ht="26.4">
      <c r="W5274" s="64" ph="1"/>
    </row>
    <row r="5275" spans="23:23" ht="26.4">
      <c r="W5275" s="64" ph="1"/>
    </row>
    <row r="5276" spans="23:23" ht="26.4">
      <c r="W5276" s="64" ph="1"/>
    </row>
    <row r="5277" spans="23:23" ht="26.4">
      <c r="W5277" s="64" ph="1"/>
    </row>
    <row r="5278" spans="23:23" ht="26.4">
      <c r="W5278" s="64" ph="1"/>
    </row>
    <row r="5279" spans="23:23" ht="26.4">
      <c r="W5279" s="64" ph="1"/>
    </row>
    <row r="5280" spans="23:23" ht="26.4">
      <c r="W5280" s="64" ph="1"/>
    </row>
    <row r="5281" spans="23:23" ht="26.4">
      <c r="W5281" s="64" ph="1"/>
    </row>
    <row r="5282" spans="23:23" ht="26.4">
      <c r="W5282" s="64" ph="1"/>
    </row>
    <row r="5283" spans="23:23" ht="26.4">
      <c r="W5283" s="64" ph="1"/>
    </row>
    <row r="5284" spans="23:23" ht="26.4">
      <c r="W5284" s="64" ph="1"/>
    </row>
    <row r="5285" spans="23:23" ht="26.4">
      <c r="W5285" s="64" ph="1"/>
    </row>
    <row r="5286" spans="23:23" ht="26.4">
      <c r="W5286" s="64" ph="1"/>
    </row>
    <row r="5287" spans="23:23" ht="26.4">
      <c r="W5287" s="64" ph="1"/>
    </row>
    <row r="5288" spans="23:23" ht="26.4">
      <c r="W5288" s="64" ph="1"/>
    </row>
    <row r="5289" spans="23:23" ht="26.4">
      <c r="W5289" s="64" ph="1"/>
    </row>
    <row r="5290" spans="23:23" ht="26.4">
      <c r="W5290" s="64" ph="1"/>
    </row>
    <row r="5291" spans="23:23" ht="26.4">
      <c r="W5291" s="64" ph="1"/>
    </row>
    <row r="5292" spans="23:23" ht="26.4">
      <c r="W5292" s="64" ph="1"/>
    </row>
    <row r="5293" spans="23:23" ht="26.4">
      <c r="W5293" s="64" ph="1"/>
    </row>
    <row r="5294" spans="23:23" ht="26.4">
      <c r="W5294" s="64" ph="1"/>
    </row>
    <row r="5295" spans="23:23" ht="26.4">
      <c r="W5295" s="64" ph="1"/>
    </row>
    <row r="5296" spans="23:23" ht="26.4">
      <c r="W5296" s="64" ph="1"/>
    </row>
    <row r="5297" spans="23:23" ht="26.4">
      <c r="W5297" s="64" ph="1"/>
    </row>
    <row r="5298" spans="23:23" ht="26.4">
      <c r="W5298" s="64" ph="1"/>
    </row>
    <row r="5299" spans="23:23" ht="26.4">
      <c r="W5299" s="64" ph="1"/>
    </row>
    <row r="5300" spans="23:23" ht="26.4">
      <c r="W5300" s="64" ph="1"/>
    </row>
    <row r="5301" spans="23:23" ht="26.4">
      <c r="W5301" s="64" ph="1"/>
    </row>
    <row r="5302" spans="23:23" ht="26.4">
      <c r="W5302" s="64" ph="1"/>
    </row>
    <row r="5303" spans="23:23" ht="26.4">
      <c r="W5303" s="64" ph="1"/>
    </row>
    <row r="5304" spans="23:23" ht="26.4">
      <c r="W5304" s="64" ph="1"/>
    </row>
    <row r="5305" spans="23:23" ht="26.4">
      <c r="W5305" s="64" ph="1"/>
    </row>
    <row r="5306" spans="23:23" ht="26.4">
      <c r="W5306" s="64" ph="1"/>
    </row>
    <row r="5307" spans="23:23" ht="26.4">
      <c r="W5307" s="64" ph="1"/>
    </row>
    <row r="5308" spans="23:23" ht="26.4">
      <c r="W5308" s="64" ph="1"/>
    </row>
    <row r="5309" spans="23:23" ht="26.4">
      <c r="W5309" s="64" ph="1"/>
    </row>
    <row r="5310" spans="23:23" ht="26.4">
      <c r="W5310" s="64" ph="1"/>
    </row>
    <row r="5311" spans="23:23" ht="26.4">
      <c r="W5311" s="64" ph="1"/>
    </row>
    <row r="5312" spans="23:23" ht="26.4">
      <c r="W5312" s="64" ph="1"/>
    </row>
    <row r="5313" spans="23:23" ht="26.4">
      <c r="W5313" s="64" ph="1"/>
    </row>
    <row r="5314" spans="23:23" ht="26.4">
      <c r="W5314" s="64" ph="1"/>
    </row>
    <row r="5315" spans="23:23" ht="26.4">
      <c r="W5315" s="64" ph="1"/>
    </row>
    <row r="5316" spans="23:23" ht="26.4">
      <c r="W5316" s="64" ph="1"/>
    </row>
    <row r="5317" spans="23:23" ht="26.4">
      <c r="W5317" s="64" ph="1"/>
    </row>
    <row r="5318" spans="23:23" ht="26.4">
      <c r="W5318" s="64" ph="1"/>
    </row>
    <row r="5319" spans="23:23" ht="26.4">
      <c r="W5319" s="64" ph="1"/>
    </row>
    <row r="5320" spans="23:23" ht="26.4">
      <c r="W5320" s="64" ph="1"/>
    </row>
    <row r="5321" spans="23:23" ht="26.4">
      <c r="W5321" s="64" ph="1"/>
    </row>
    <row r="5322" spans="23:23" ht="26.4">
      <c r="W5322" s="64" ph="1"/>
    </row>
    <row r="5323" spans="23:23" ht="26.4">
      <c r="W5323" s="64" ph="1"/>
    </row>
    <row r="5324" spans="23:23" ht="26.4">
      <c r="W5324" s="64" ph="1"/>
    </row>
    <row r="5325" spans="23:23" ht="26.4">
      <c r="W5325" s="64" ph="1"/>
    </row>
    <row r="5326" spans="23:23" ht="26.4">
      <c r="W5326" s="64" ph="1"/>
    </row>
    <row r="5327" spans="23:23" ht="26.4">
      <c r="W5327" s="64" ph="1"/>
    </row>
    <row r="5328" spans="23:23" ht="26.4">
      <c r="W5328" s="64" ph="1"/>
    </row>
    <row r="5329" spans="23:23" ht="26.4">
      <c r="W5329" s="64" ph="1"/>
    </row>
    <row r="5330" spans="23:23" ht="26.4">
      <c r="W5330" s="64" ph="1"/>
    </row>
    <row r="5331" spans="23:23" ht="26.4">
      <c r="W5331" s="64" ph="1"/>
    </row>
    <row r="5332" spans="23:23" ht="26.4">
      <c r="W5332" s="64" ph="1"/>
    </row>
    <row r="5333" spans="23:23" ht="26.4">
      <c r="W5333" s="64" ph="1"/>
    </row>
    <row r="5334" spans="23:23" ht="26.4">
      <c r="W5334" s="64" ph="1"/>
    </row>
    <row r="5335" spans="23:23" ht="26.4">
      <c r="W5335" s="64" ph="1"/>
    </row>
    <row r="5336" spans="23:23" ht="26.4">
      <c r="W5336" s="64" ph="1"/>
    </row>
    <row r="5337" spans="23:23" ht="26.4">
      <c r="W5337" s="64" ph="1"/>
    </row>
    <row r="5338" spans="23:23" ht="26.4">
      <c r="W5338" s="64" ph="1"/>
    </row>
    <row r="5339" spans="23:23" ht="26.4">
      <c r="W5339" s="64" ph="1"/>
    </row>
    <row r="5340" spans="23:23" ht="26.4">
      <c r="W5340" s="64" ph="1"/>
    </row>
    <row r="5341" spans="23:23" ht="26.4">
      <c r="W5341" s="64" ph="1"/>
    </row>
    <row r="5342" spans="23:23" ht="26.4">
      <c r="W5342" s="64" ph="1"/>
    </row>
    <row r="5343" spans="23:23" ht="26.4">
      <c r="W5343" s="64" ph="1"/>
    </row>
    <row r="5344" spans="23:23" ht="26.4">
      <c r="W5344" s="64" ph="1"/>
    </row>
    <row r="5345" spans="23:23" ht="26.4">
      <c r="W5345" s="64" ph="1"/>
    </row>
    <row r="5346" spans="23:23" ht="26.4">
      <c r="W5346" s="64" ph="1"/>
    </row>
    <row r="5347" spans="23:23" ht="26.4">
      <c r="W5347" s="64" ph="1"/>
    </row>
    <row r="5348" spans="23:23" ht="26.4">
      <c r="W5348" s="64" ph="1"/>
    </row>
    <row r="5349" spans="23:23" ht="26.4">
      <c r="W5349" s="64" ph="1"/>
    </row>
    <row r="5350" spans="23:23" ht="26.4">
      <c r="W5350" s="64" ph="1"/>
    </row>
    <row r="5351" spans="23:23" ht="26.4">
      <c r="W5351" s="64" ph="1"/>
    </row>
    <row r="5352" spans="23:23" ht="26.4">
      <c r="W5352" s="64" ph="1"/>
    </row>
    <row r="5353" spans="23:23" ht="26.4">
      <c r="W5353" s="64" ph="1"/>
    </row>
    <row r="5354" spans="23:23" ht="26.4">
      <c r="W5354" s="64" ph="1"/>
    </row>
    <row r="5355" spans="23:23" ht="26.4">
      <c r="W5355" s="64" ph="1"/>
    </row>
    <row r="5356" spans="23:23" ht="26.4">
      <c r="W5356" s="64" ph="1"/>
    </row>
    <row r="5357" spans="23:23" ht="26.4">
      <c r="W5357" s="64" ph="1"/>
    </row>
    <row r="5358" spans="23:23" ht="26.4">
      <c r="W5358" s="64" ph="1"/>
    </row>
    <row r="5359" spans="23:23" ht="26.4">
      <c r="W5359" s="64" ph="1"/>
    </row>
    <row r="5360" spans="23:23" ht="26.4">
      <c r="W5360" s="64" ph="1"/>
    </row>
    <row r="5361" spans="23:23" ht="26.4">
      <c r="W5361" s="64" ph="1"/>
    </row>
    <row r="5362" spans="23:23" ht="26.4">
      <c r="W5362" s="64" ph="1"/>
    </row>
    <row r="5363" spans="23:23" ht="26.4">
      <c r="W5363" s="64" ph="1"/>
    </row>
    <row r="5364" spans="23:23" ht="26.4">
      <c r="W5364" s="64" ph="1"/>
    </row>
    <row r="5365" spans="23:23" ht="26.4">
      <c r="W5365" s="64" ph="1"/>
    </row>
    <row r="5366" spans="23:23" ht="26.4">
      <c r="W5366" s="64" ph="1"/>
    </row>
    <row r="5367" spans="23:23" ht="26.4">
      <c r="W5367" s="64" ph="1"/>
    </row>
    <row r="5368" spans="23:23" ht="26.4">
      <c r="W5368" s="64" ph="1"/>
    </row>
    <row r="5369" spans="23:23" ht="26.4">
      <c r="W5369" s="64" ph="1"/>
    </row>
    <row r="5370" spans="23:23" ht="26.4">
      <c r="W5370" s="64" ph="1"/>
    </row>
    <row r="5371" spans="23:23" ht="26.4">
      <c r="W5371" s="64" ph="1"/>
    </row>
    <row r="5372" spans="23:23" ht="26.4">
      <c r="W5372" s="64" ph="1"/>
    </row>
    <row r="5373" spans="23:23" ht="26.4">
      <c r="W5373" s="64" ph="1"/>
    </row>
    <row r="5374" spans="23:23" ht="26.4">
      <c r="W5374" s="64" ph="1"/>
    </row>
    <row r="5375" spans="23:23" ht="26.4">
      <c r="W5375" s="64" ph="1"/>
    </row>
    <row r="5376" spans="23:23" ht="26.4">
      <c r="W5376" s="64" ph="1"/>
    </row>
    <row r="5377" spans="23:23" ht="26.4">
      <c r="W5377" s="64" ph="1"/>
    </row>
    <row r="5378" spans="23:23" ht="26.4">
      <c r="W5378" s="64" ph="1"/>
    </row>
    <row r="5379" spans="23:23" ht="26.4">
      <c r="W5379" s="64" ph="1"/>
    </row>
    <row r="5380" spans="23:23" ht="26.4">
      <c r="W5380" s="64" ph="1"/>
    </row>
    <row r="5381" spans="23:23" ht="26.4">
      <c r="W5381" s="64" ph="1"/>
    </row>
    <row r="5382" spans="23:23" ht="26.4">
      <c r="W5382" s="64" ph="1"/>
    </row>
    <row r="5383" spans="23:23" ht="26.4">
      <c r="W5383" s="64" ph="1"/>
    </row>
    <row r="5384" spans="23:23" ht="26.4">
      <c r="W5384" s="64" ph="1"/>
    </row>
    <row r="5385" spans="23:23" ht="26.4">
      <c r="W5385" s="64" ph="1"/>
    </row>
    <row r="5386" spans="23:23" ht="26.4">
      <c r="W5386" s="64" ph="1"/>
    </row>
    <row r="5387" spans="23:23" ht="26.4">
      <c r="W5387" s="64" ph="1"/>
    </row>
    <row r="5388" spans="23:23" ht="26.4">
      <c r="W5388" s="64" ph="1"/>
    </row>
    <row r="5389" spans="23:23" ht="26.4">
      <c r="W5389" s="64" ph="1"/>
    </row>
    <row r="5390" spans="23:23" ht="26.4">
      <c r="W5390" s="64" ph="1"/>
    </row>
    <row r="5391" spans="23:23" ht="26.4">
      <c r="W5391" s="64" ph="1"/>
    </row>
    <row r="5392" spans="23:23" ht="26.4">
      <c r="W5392" s="64" ph="1"/>
    </row>
    <row r="5393" spans="23:23" ht="26.4">
      <c r="W5393" s="64" ph="1"/>
    </row>
    <row r="5394" spans="23:23" ht="26.4">
      <c r="W5394" s="64" ph="1"/>
    </row>
    <row r="5395" spans="23:23" ht="26.4">
      <c r="W5395" s="64" ph="1"/>
    </row>
    <row r="5396" spans="23:23" ht="26.4">
      <c r="W5396" s="64" ph="1"/>
    </row>
    <row r="5397" spans="23:23" ht="26.4">
      <c r="W5397" s="64" ph="1"/>
    </row>
    <row r="5398" spans="23:23" ht="26.4">
      <c r="W5398" s="64" ph="1"/>
    </row>
    <row r="5399" spans="23:23" ht="26.4">
      <c r="W5399" s="64" ph="1"/>
    </row>
    <row r="5400" spans="23:23" ht="26.4">
      <c r="W5400" s="64" ph="1"/>
    </row>
    <row r="5401" spans="23:23" ht="26.4">
      <c r="W5401" s="64" ph="1"/>
    </row>
    <row r="5402" spans="23:23" ht="26.4">
      <c r="W5402" s="64" ph="1"/>
    </row>
    <row r="5403" spans="23:23" ht="26.4">
      <c r="W5403" s="64" ph="1"/>
    </row>
    <row r="5404" spans="23:23" ht="26.4">
      <c r="W5404" s="64" ph="1"/>
    </row>
    <row r="5405" spans="23:23" ht="26.4">
      <c r="W5405" s="64" ph="1"/>
    </row>
    <row r="5406" spans="23:23" ht="26.4">
      <c r="W5406" s="64" ph="1"/>
    </row>
    <row r="5407" spans="23:23" ht="26.4">
      <c r="W5407" s="64" ph="1"/>
    </row>
    <row r="5408" spans="23:23" ht="26.4">
      <c r="W5408" s="64" ph="1"/>
    </row>
    <row r="5409" spans="23:23" ht="26.4">
      <c r="W5409" s="64" ph="1"/>
    </row>
    <row r="5410" spans="23:23" ht="26.4">
      <c r="W5410" s="64" ph="1"/>
    </row>
    <row r="5411" spans="23:23" ht="26.4">
      <c r="W5411" s="64" ph="1"/>
    </row>
    <row r="5412" spans="23:23" ht="26.4">
      <c r="W5412" s="64" ph="1"/>
    </row>
    <row r="5413" spans="23:23" ht="26.4">
      <c r="W5413" s="64" ph="1"/>
    </row>
    <row r="5414" spans="23:23" ht="26.4">
      <c r="W5414" s="64" ph="1"/>
    </row>
    <row r="5415" spans="23:23" ht="26.4">
      <c r="W5415" s="64" ph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4832"/>
  <sheetViews>
    <sheetView workbookViewId="0">
      <selection activeCell="X34" sqref="X34"/>
    </sheetView>
  </sheetViews>
  <sheetFormatPr defaultColWidth="9.125" defaultRowHeight="16.2"/>
  <cols>
    <col min="1" max="1" width="5.75" style="135" customWidth="1"/>
    <col min="2" max="5" width="5.75" style="97" customWidth="1"/>
    <col min="6" max="6" width="8.75" style="66" customWidth="1"/>
    <col min="7" max="7" width="7.75" style="20" customWidth="1"/>
    <col min="8" max="8" width="5.75" style="13" customWidth="1"/>
    <col min="9" max="9" width="9.75" style="10" customWidth="1"/>
    <col min="10" max="10" width="6.75" style="32" customWidth="1"/>
    <col min="11" max="11" width="6.75" style="367" customWidth="1"/>
    <col min="12" max="12" width="6.75" style="77" customWidth="1"/>
    <col min="13" max="13" width="6.75" style="365" customWidth="1"/>
    <col min="14" max="14" width="7.75" style="367" customWidth="1"/>
    <col min="15" max="15" width="7.75" style="343" customWidth="1"/>
    <col min="16" max="16" width="5.75" style="166" customWidth="1"/>
    <col min="17" max="17" width="4.75" style="109" customWidth="1"/>
    <col min="18" max="18" width="4.75" style="31" customWidth="1"/>
    <col min="19" max="19" width="4.75" style="51" customWidth="1"/>
    <col min="20" max="20" width="5.75" style="339" customWidth="1"/>
    <col min="21" max="21" width="2.75" style="329" customWidth="1"/>
    <col min="22" max="22" width="6.75" style="371" customWidth="1"/>
    <col min="23" max="23" width="7.75" style="64" customWidth="1"/>
    <col min="24" max="24" width="7.75" style="240" customWidth="1"/>
    <col min="25" max="25" width="9.75" style="285" customWidth="1"/>
    <col min="26" max="26" width="9.75" style="72" customWidth="1"/>
    <col min="27" max="27" width="9.75" style="61" customWidth="1"/>
    <col min="28" max="28" width="8.75" style="12" customWidth="1"/>
    <col min="29" max="29" width="6.75" style="104" customWidth="1"/>
    <col min="30" max="30" width="8.75" style="10" customWidth="1"/>
    <col min="31" max="31" width="11.75" style="89" customWidth="1"/>
    <col min="32" max="32" width="11.75" style="88" customWidth="1"/>
    <col min="33" max="33" width="3.75" style="82" customWidth="1"/>
    <col min="34" max="34" width="3.75" style="284" customWidth="1"/>
    <col min="35" max="35" width="2.75" style="129" customWidth="1"/>
    <col min="36" max="36" width="2.75" style="264" customWidth="1"/>
    <col min="37" max="37" width="7.75" style="252" customWidth="1"/>
    <col min="38" max="38" width="7.75" style="266" customWidth="1"/>
    <col min="39" max="40" width="7.75" style="284" customWidth="1"/>
    <col min="41" max="41" width="12.75" style="252" customWidth="1"/>
    <col min="42" max="42" width="5.75" style="266" customWidth="1"/>
    <col min="43" max="16384" width="9.125" style="284"/>
  </cols>
  <sheetData>
    <row r="1" spans="1:50">
      <c r="A1" s="135" t="s">
        <v>2552</v>
      </c>
      <c r="B1" s="96" t="s">
        <v>2331</v>
      </c>
      <c r="C1" s="96" t="s">
        <v>2332</v>
      </c>
      <c r="D1" s="96" t="s">
        <v>2333</v>
      </c>
      <c r="E1" s="96" t="s">
        <v>2334</v>
      </c>
      <c r="F1" s="9" t="s">
        <v>1709</v>
      </c>
      <c r="G1" s="27" t="s">
        <v>5626</v>
      </c>
      <c r="H1" s="56" t="s">
        <v>578</v>
      </c>
      <c r="I1" s="51" t="s">
        <v>6953</v>
      </c>
      <c r="J1" s="364" t="s">
        <v>2189</v>
      </c>
      <c r="K1" s="364" t="s">
        <v>1820</v>
      </c>
      <c r="L1" s="364" t="s">
        <v>515</v>
      </c>
      <c r="M1" s="364" t="s">
        <v>1699</v>
      </c>
      <c r="N1" s="364" t="s">
        <v>6633</v>
      </c>
      <c r="O1" s="343" t="s">
        <v>6634</v>
      </c>
      <c r="P1" s="83" t="s">
        <v>5279</v>
      </c>
      <c r="Q1" s="326" t="s">
        <v>5514</v>
      </c>
      <c r="R1" s="31" t="s">
        <v>6596</v>
      </c>
      <c r="S1" s="51" t="s">
        <v>6597</v>
      </c>
      <c r="T1" s="338" t="s">
        <v>5627</v>
      </c>
      <c r="U1" s="330" t="s">
        <v>6537</v>
      </c>
      <c r="V1" s="377" t="s">
        <v>6616</v>
      </c>
      <c r="W1" s="11" t="s">
        <v>127</v>
      </c>
      <c r="X1" s="71" t="s">
        <v>6626</v>
      </c>
      <c r="Y1" s="29" t="s">
        <v>6688</v>
      </c>
      <c r="Z1" s="18" t="s">
        <v>2113</v>
      </c>
      <c r="AA1" s="15" t="s">
        <v>8</v>
      </c>
      <c r="AB1" s="22" t="s">
        <v>4</v>
      </c>
      <c r="AC1" s="26" t="s">
        <v>211</v>
      </c>
      <c r="AD1" s="51" t="s">
        <v>6953</v>
      </c>
      <c r="AE1" s="56" t="s">
        <v>5568</v>
      </c>
      <c r="AF1" s="114" t="s">
        <v>5575</v>
      </c>
      <c r="AG1" s="33" t="s">
        <v>1827</v>
      </c>
      <c r="AH1" s="262"/>
      <c r="AI1" s="284"/>
      <c r="AK1" s="9" t="s">
        <v>6666</v>
      </c>
      <c r="AL1" s="5" t="s">
        <v>6667</v>
      </c>
      <c r="AM1" s="51" t="s">
        <v>5339</v>
      </c>
      <c r="AN1" s="276" t="s">
        <v>6665</v>
      </c>
      <c r="AO1" s="131"/>
      <c r="AP1" s="264"/>
    </row>
    <row r="2" spans="1:50">
      <c r="B2" s="96"/>
      <c r="C2" s="96"/>
      <c r="D2" s="96"/>
      <c r="E2" s="96"/>
      <c r="F2" s="9"/>
      <c r="G2" s="27"/>
      <c r="H2" s="56"/>
      <c r="I2" s="51"/>
      <c r="J2" s="364"/>
      <c r="K2" s="364"/>
      <c r="L2" s="364"/>
      <c r="M2" s="364"/>
      <c r="N2" s="364"/>
      <c r="P2" s="83"/>
      <c r="Q2" s="326"/>
      <c r="T2" s="338"/>
      <c r="U2" s="330"/>
      <c r="V2" s="377"/>
      <c r="W2" s="11"/>
      <c r="X2" s="71"/>
      <c r="Y2" s="29"/>
      <c r="Z2" s="18"/>
      <c r="AA2" s="15"/>
      <c r="AB2" s="22"/>
      <c r="AC2" s="26"/>
      <c r="AD2" s="51"/>
      <c r="AE2" s="56"/>
      <c r="AF2" s="114"/>
      <c r="AG2" s="33"/>
      <c r="AH2" s="262"/>
      <c r="AI2" s="284"/>
      <c r="AK2" s="9"/>
      <c r="AL2" s="5"/>
      <c r="AM2" s="51"/>
      <c r="AN2" s="276"/>
      <c r="AO2" s="131"/>
      <c r="AP2" s="264"/>
    </row>
    <row r="3" spans="1:50">
      <c r="B3" s="96"/>
      <c r="C3" s="96"/>
      <c r="D3" s="96"/>
      <c r="E3" s="96"/>
      <c r="F3" s="9"/>
      <c r="G3" s="27"/>
      <c r="H3" s="56"/>
      <c r="I3" s="51"/>
      <c r="J3" s="364"/>
      <c r="K3" s="364"/>
      <c r="L3" s="364"/>
      <c r="M3" s="364"/>
      <c r="N3" s="364"/>
      <c r="P3" s="83"/>
      <c r="Q3" s="326"/>
      <c r="T3" s="338"/>
      <c r="U3" s="330"/>
      <c r="V3" s="377"/>
      <c r="W3" s="11"/>
      <c r="X3" s="71"/>
      <c r="Y3" s="29"/>
      <c r="Z3" s="18"/>
      <c r="AA3" s="15"/>
      <c r="AB3" s="22"/>
      <c r="AC3" s="26"/>
      <c r="AD3" s="51"/>
      <c r="AE3" s="56"/>
      <c r="AF3" s="114"/>
      <c r="AG3" s="33"/>
      <c r="AH3" s="262"/>
      <c r="AI3" s="284"/>
      <c r="AK3" s="9"/>
      <c r="AL3" s="5"/>
      <c r="AM3" s="51"/>
      <c r="AN3" s="276"/>
      <c r="AO3" s="131"/>
      <c r="AP3" s="264"/>
    </row>
    <row r="4" spans="1:50">
      <c r="A4" s="263"/>
      <c r="B4" s="182"/>
      <c r="C4" s="182"/>
      <c r="D4" s="182"/>
      <c r="E4" s="182"/>
      <c r="F4" s="183"/>
      <c r="G4" s="184"/>
      <c r="H4" s="186"/>
      <c r="I4" s="185"/>
      <c r="J4" s="366"/>
      <c r="K4" s="366"/>
      <c r="L4" s="372"/>
      <c r="M4" s="373"/>
      <c r="N4" s="366">
        <v>130</v>
      </c>
      <c r="O4" s="369">
        <v>80</v>
      </c>
      <c r="V4" s="371" t="s">
        <v>6622</v>
      </c>
      <c r="W4" s="183"/>
      <c r="X4" s="4" t="s">
        <v>2189</v>
      </c>
      <c r="Y4" s="4" t="s">
        <v>1820</v>
      </c>
      <c r="Z4" s="11" t="s">
        <v>515</v>
      </c>
      <c r="AA4" s="189"/>
      <c r="AB4" s="190"/>
      <c r="AC4" s="263"/>
      <c r="AD4" s="185"/>
      <c r="AF4" s="194"/>
      <c r="AG4" s="192"/>
      <c r="AH4" s="263"/>
      <c r="AI4" s="131"/>
      <c r="AK4" s="131"/>
      <c r="AL4" s="264"/>
      <c r="AP4" s="265"/>
      <c r="AQ4" s="287"/>
      <c r="AR4" s="287"/>
      <c r="AS4" s="287"/>
      <c r="AU4" s="287"/>
      <c r="AV4" s="287"/>
      <c r="AW4" s="287"/>
      <c r="AX4" s="287"/>
    </row>
    <row r="5" spans="1:50">
      <c r="A5" s="135" t="s">
        <v>2552</v>
      </c>
      <c r="B5" s="96" t="s">
        <v>2331</v>
      </c>
      <c r="C5" s="96" t="s">
        <v>2332</v>
      </c>
      <c r="D5" s="96" t="s">
        <v>2333</v>
      </c>
      <c r="E5" s="96" t="s">
        <v>2334</v>
      </c>
      <c r="F5" s="9" t="s">
        <v>1709</v>
      </c>
      <c r="G5" s="27" t="s">
        <v>5626</v>
      </c>
      <c r="H5" s="56" t="s">
        <v>578</v>
      </c>
      <c r="I5" s="51" t="s">
        <v>6953</v>
      </c>
      <c r="J5" s="364" t="s">
        <v>2189</v>
      </c>
      <c r="K5" s="364" t="s">
        <v>1820</v>
      </c>
      <c r="L5" s="364" t="s">
        <v>515</v>
      </c>
      <c r="M5" s="364" t="s">
        <v>1699</v>
      </c>
      <c r="N5" s="364" t="s">
        <v>6633</v>
      </c>
      <c r="O5" s="343" t="s">
        <v>6634</v>
      </c>
      <c r="P5" s="83" t="s">
        <v>5279</v>
      </c>
      <c r="Q5" s="326" t="s">
        <v>5514</v>
      </c>
      <c r="R5" s="31" t="s">
        <v>6596</v>
      </c>
      <c r="S5" s="51" t="s">
        <v>6597</v>
      </c>
      <c r="T5" s="338" t="s">
        <v>5627</v>
      </c>
      <c r="U5" s="330" t="s">
        <v>6537</v>
      </c>
      <c r="V5" s="377" t="s">
        <v>6616</v>
      </c>
      <c r="W5" s="11" t="s">
        <v>127</v>
      </c>
      <c r="X5" s="71" t="s">
        <v>6626</v>
      </c>
      <c r="Y5" s="29" t="s">
        <v>6688</v>
      </c>
      <c r="Z5" s="18" t="s">
        <v>2113</v>
      </c>
      <c r="AA5" s="15" t="s">
        <v>8</v>
      </c>
      <c r="AB5" s="22" t="s">
        <v>4</v>
      </c>
      <c r="AC5" s="26" t="s">
        <v>211</v>
      </c>
      <c r="AD5" s="51" t="s">
        <v>6953</v>
      </c>
      <c r="AE5" s="56" t="s">
        <v>5568</v>
      </c>
      <c r="AF5" s="114" t="s">
        <v>5575</v>
      </c>
      <c r="AG5" s="33" t="s">
        <v>1827</v>
      </c>
      <c r="AH5" s="262"/>
      <c r="AI5" s="131"/>
      <c r="AK5" s="9" t="s">
        <v>6666</v>
      </c>
      <c r="AL5" s="5" t="s">
        <v>6667</v>
      </c>
      <c r="AM5" s="51" t="s">
        <v>5339</v>
      </c>
      <c r="AN5" s="276" t="s">
        <v>6665</v>
      </c>
      <c r="AO5" s="131"/>
      <c r="AP5" s="264"/>
    </row>
    <row r="6" spans="1:50">
      <c r="B6" s="96"/>
      <c r="C6" s="96"/>
      <c r="D6" s="96"/>
      <c r="E6" s="96"/>
      <c r="F6" s="9"/>
      <c r="G6" s="27"/>
      <c r="H6" s="56"/>
      <c r="I6" s="51"/>
      <c r="J6" s="364"/>
      <c r="K6" s="364"/>
      <c r="L6" s="364"/>
      <c r="M6" s="364"/>
      <c r="N6" s="364"/>
      <c r="P6" s="83"/>
      <c r="Q6" s="326"/>
      <c r="T6" s="338"/>
      <c r="U6" s="330"/>
      <c r="V6" s="377"/>
      <c r="W6" s="11"/>
      <c r="X6" s="71"/>
      <c r="Y6" s="29"/>
      <c r="Z6" s="18"/>
      <c r="AA6" s="15"/>
      <c r="AB6" s="22"/>
      <c r="AC6" s="26"/>
      <c r="AD6" s="51"/>
      <c r="AE6" s="56"/>
      <c r="AF6" s="114"/>
      <c r="AG6" s="33"/>
      <c r="AH6" s="262"/>
      <c r="AI6" s="131"/>
      <c r="AK6" s="9"/>
      <c r="AL6" s="5"/>
      <c r="AM6" s="51"/>
      <c r="AN6" s="276"/>
      <c r="AO6" s="131"/>
      <c r="AP6" s="264"/>
    </row>
    <row r="7" spans="1:50">
      <c r="A7" s="151" t="s">
        <v>2545</v>
      </c>
      <c r="B7" s="85">
        <v>-69</v>
      </c>
      <c r="C7" s="85">
        <v>-10</v>
      </c>
      <c r="D7" s="84">
        <v>18</v>
      </c>
      <c r="E7" s="84">
        <v>14</v>
      </c>
      <c r="F7" s="7">
        <v>-3.9</v>
      </c>
      <c r="G7" s="85">
        <v>2457</v>
      </c>
      <c r="H7" s="4" t="s">
        <v>559</v>
      </c>
      <c r="I7" s="23" t="s">
        <v>694</v>
      </c>
      <c r="J7" s="77">
        <v>34.14</v>
      </c>
      <c r="K7" s="371">
        <v>8.6999999999999993</v>
      </c>
      <c r="L7" s="77">
        <v>42.19</v>
      </c>
      <c r="M7" s="371">
        <v>18.25</v>
      </c>
      <c r="N7" s="365">
        <f t="shared" ref="N7:N11" si="0">J7+K7+L7+M7</f>
        <v>103.28</v>
      </c>
      <c r="O7" s="343">
        <f t="shared" ref="O7:O11" si="1">J7+M7</f>
        <v>52.39</v>
      </c>
      <c r="P7" s="195">
        <v>2</v>
      </c>
      <c r="Q7" s="326">
        <v>29</v>
      </c>
      <c r="R7" s="111">
        <v>26</v>
      </c>
      <c r="S7" s="51">
        <v>49</v>
      </c>
      <c r="T7" s="339">
        <f t="shared" ref="T7:T11" si="2">SUM(P7:S7)</f>
        <v>106</v>
      </c>
      <c r="U7" s="329" t="s">
        <v>6540</v>
      </c>
      <c r="V7" s="371">
        <v>5.33</v>
      </c>
      <c r="W7" s="35">
        <v>0</v>
      </c>
      <c r="X7" s="100">
        <v>-0.82</v>
      </c>
      <c r="Y7" s="37" t="str">
        <f>RTD("money.excel",,"2457","Price")</f>
        <v>無資料</v>
      </c>
      <c r="Z7" s="69"/>
      <c r="AA7" s="16" t="e">
        <f t="shared" ref="AA7:AA11" si="3">Y7-Z7</f>
        <v>#VALUE!</v>
      </c>
      <c r="AB7" s="3" t="e">
        <f t="shared" ref="AB7:AB11" si="4">AA7/Z7</f>
        <v>#VALUE!</v>
      </c>
      <c r="AC7" s="177" t="s">
        <v>2648</v>
      </c>
      <c r="AD7" s="23" t="s">
        <v>694</v>
      </c>
      <c r="AG7" s="34">
        <f t="shared" ref="AG7:AG11" si="5">AF7-AE7</f>
        <v>0</v>
      </c>
      <c r="AH7" s="44" t="s">
        <v>3761</v>
      </c>
      <c r="AI7" s="131"/>
      <c r="AK7" s="66">
        <f t="shared" ref="AK7:AK9" si="6">AM7/(A7*10000)</f>
        <v>0</v>
      </c>
      <c r="AL7" s="174">
        <f t="shared" ref="AL7:AL9" si="7">AN7/(A7*10000)</f>
        <v>0</v>
      </c>
      <c r="AM7" s="346">
        <f>RTD("money.excel",,$G7,"PredictVolume")</f>
        <v>0</v>
      </c>
      <c r="AN7" s="272">
        <f>RTD("money.excel",,$G7,"CumulativeVolume")</f>
        <v>0</v>
      </c>
      <c r="AO7" s="284"/>
      <c r="AP7" s="284"/>
    </row>
    <row r="8" spans="1:50">
      <c r="A8" s="151" t="s">
        <v>2776</v>
      </c>
      <c r="B8" s="84">
        <v>179</v>
      </c>
      <c r="C8" s="84">
        <v>25</v>
      </c>
      <c r="D8" s="84">
        <v>5</v>
      </c>
      <c r="E8" s="84">
        <v>14</v>
      </c>
      <c r="F8" s="7">
        <v>5.08</v>
      </c>
      <c r="G8" s="85">
        <v>2461</v>
      </c>
      <c r="H8" s="4" t="s">
        <v>566</v>
      </c>
      <c r="I8" s="23" t="s">
        <v>937</v>
      </c>
      <c r="J8" s="371">
        <v>31.85</v>
      </c>
      <c r="K8" s="371">
        <v>7.42</v>
      </c>
      <c r="L8" s="77">
        <v>30.01</v>
      </c>
      <c r="M8" s="371">
        <v>8.23</v>
      </c>
      <c r="N8" s="365">
        <f t="shared" si="0"/>
        <v>77.510000000000005</v>
      </c>
      <c r="O8" s="343">
        <f t="shared" si="1"/>
        <v>40.08</v>
      </c>
      <c r="P8" s="195">
        <v>0</v>
      </c>
      <c r="Q8" s="326">
        <v>32</v>
      </c>
      <c r="R8" s="111">
        <v>26</v>
      </c>
      <c r="S8" s="51">
        <v>13</v>
      </c>
      <c r="T8" s="339">
        <f t="shared" si="2"/>
        <v>71</v>
      </c>
      <c r="U8" s="329" t="s">
        <v>6539</v>
      </c>
      <c r="V8" s="371">
        <v>3.23</v>
      </c>
      <c r="W8" s="35">
        <v>0.54</v>
      </c>
      <c r="X8" s="100">
        <v>2.62</v>
      </c>
      <c r="Y8" s="37" t="str">
        <f>RTD("money.excel",,"2461","Price")</f>
        <v>無資料</v>
      </c>
      <c r="Z8" s="69"/>
      <c r="AA8" s="16" t="e">
        <f t="shared" si="3"/>
        <v>#VALUE!</v>
      </c>
      <c r="AB8" s="3" t="e">
        <f t="shared" si="4"/>
        <v>#VALUE!</v>
      </c>
      <c r="AC8" s="177"/>
      <c r="AD8" s="23" t="s">
        <v>937</v>
      </c>
      <c r="AG8" s="34">
        <f t="shared" si="5"/>
        <v>0</v>
      </c>
      <c r="AH8" s="44" t="s">
        <v>4036</v>
      </c>
      <c r="AI8" s="131"/>
      <c r="AK8" s="66">
        <f t="shared" si="6"/>
        <v>0</v>
      </c>
      <c r="AL8" s="174">
        <f t="shared" si="7"/>
        <v>0</v>
      </c>
      <c r="AM8" s="346">
        <f>RTD("money.excel",,$G8,"PredictVolume")</f>
        <v>0</v>
      </c>
      <c r="AN8" s="272">
        <f>RTD("money.excel",,$G8,"CumulativeVolume")</f>
        <v>0</v>
      </c>
      <c r="AO8" s="284"/>
      <c r="AP8" s="284"/>
    </row>
    <row r="9" spans="1:50">
      <c r="A9" s="135" t="s">
        <v>2485</v>
      </c>
      <c r="B9" s="84">
        <v>225</v>
      </c>
      <c r="C9" s="84">
        <v>548</v>
      </c>
      <c r="D9" s="84">
        <v>7</v>
      </c>
      <c r="E9" s="84">
        <v>82</v>
      </c>
      <c r="F9" s="59">
        <v>14.87</v>
      </c>
      <c r="G9" s="85">
        <v>3035</v>
      </c>
      <c r="H9" s="4" t="s">
        <v>558</v>
      </c>
      <c r="I9" s="23" t="s">
        <v>198</v>
      </c>
      <c r="J9" s="371">
        <v>52.36</v>
      </c>
      <c r="K9" s="77">
        <v>49.96</v>
      </c>
      <c r="L9" s="77">
        <v>16.2</v>
      </c>
      <c r="M9" s="371">
        <v>14.36</v>
      </c>
      <c r="N9" s="77">
        <f t="shared" si="0"/>
        <v>132.88</v>
      </c>
      <c r="O9" s="343">
        <f t="shared" si="1"/>
        <v>66.72</v>
      </c>
      <c r="P9" s="195">
        <v>8</v>
      </c>
      <c r="Q9" s="326">
        <v>48</v>
      </c>
      <c r="R9" s="111">
        <v>28</v>
      </c>
      <c r="S9" s="51">
        <v>56</v>
      </c>
      <c r="T9" s="339">
        <f t="shared" si="2"/>
        <v>140</v>
      </c>
      <c r="U9" s="329" t="s">
        <v>6538</v>
      </c>
      <c r="V9" s="371">
        <v>5.79</v>
      </c>
      <c r="W9" s="35">
        <v>1</v>
      </c>
      <c r="X9" s="59">
        <v>2.82</v>
      </c>
      <c r="Y9" s="14" t="str">
        <f>RTD("money.excel",,"3035","Price")</f>
        <v>無資料</v>
      </c>
      <c r="Z9" s="69"/>
      <c r="AA9" s="16" t="e">
        <f t="shared" si="3"/>
        <v>#VALUE!</v>
      </c>
      <c r="AB9" s="3" t="e">
        <f t="shared" si="4"/>
        <v>#VALUE!</v>
      </c>
      <c r="AC9" s="177" t="s">
        <v>2648</v>
      </c>
      <c r="AD9" s="23" t="s">
        <v>198</v>
      </c>
      <c r="AG9" s="34">
        <f t="shared" si="5"/>
        <v>0</v>
      </c>
      <c r="AH9" s="126" t="s">
        <v>3690</v>
      </c>
      <c r="AI9" s="131"/>
      <c r="AK9" s="66">
        <f t="shared" si="6"/>
        <v>0</v>
      </c>
      <c r="AL9" s="174">
        <f t="shared" si="7"/>
        <v>0</v>
      </c>
      <c r="AM9" s="346">
        <f>RTD("money.excel",,$G9,"PredictVolume")</f>
        <v>0</v>
      </c>
      <c r="AN9" s="272">
        <f>RTD("money.excel",,$G9,"CumulativeVolume")</f>
        <v>0</v>
      </c>
      <c r="AO9" s="284"/>
      <c r="AP9" s="284"/>
    </row>
    <row r="10" spans="1:50">
      <c r="A10" s="151" t="s">
        <v>5235</v>
      </c>
      <c r="B10" s="84">
        <v>41</v>
      </c>
      <c r="C10" s="84">
        <v>56</v>
      </c>
      <c r="D10" s="84">
        <v>15</v>
      </c>
      <c r="E10" s="84">
        <v>27</v>
      </c>
      <c r="F10" s="7">
        <v>-5.41</v>
      </c>
      <c r="G10" s="85">
        <v>3041</v>
      </c>
      <c r="H10" s="4" t="s">
        <v>558</v>
      </c>
      <c r="I10" s="23" t="s">
        <v>625</v>
      </c>
      <c r="J10" s="371">
        <v>17.93</v>
      </c>
      <c r="K10" s="371">
        <v>11.41</v>
      </c>
      <c r="L10" s="77">
        <v>59.6</v>
      </c>
      <c r="M10" s="77">
        <v>0.98</v>
      </c>
      <c r="N10" s="365">
        <f t="shared" si="0"/>
        <v>89.92</v>
      </c>
      <c r="O10" s="343">
        <f t="shared" si="1"/>
        <v>18.91</v>
      </c>
      <c r="P10" s="195">
        <v>7</v>
      </c>
      <c r="Q10" s="326">
        <v>45</v>
      </c>
      <c r="R10" s="111">
        <v>37</v>
      </c>
      <c r="S10" s="51">
        <v>26</v>
      </c>
      <c r="T10" s="339">
        <f t="shared" si="2"/>
        <v>115</v>
      </c>
      <c r="U10" s="329" t="s">
        <v>6538</v>
      </c>
      <c r="V10" s="371">
        <v>6.88</v>
      </c>
      <c r="W10" s="35">
        <v>0</v>
      </c>
      <c r="X10" s="100">
        <v>-0.89</v>
      </c>
      <c r="Y10" s="37" t="str">
        <f>RTD("money.excel",,"3041","Price")</f>
        <v>無資料</v>
      </c>
      <c r="Z10" s="69"/>
      <c r="AA10" s="16" t="e">
        <f t="shared" si="3"/>
        <v>#VALUE!</v>
      </c>
      <c r="AB10" s="3" t="e">
        <f t="shared" si="4"/>
        <v>#VALUE!</v>
      </c>
      <c r="AC10" s="177" t="s">
        <v>2648</v>
      </c>
      <c r="AD10" s="23" t="s">
        <v>625</v>
      </c>
      <c r="AG10" s="34">
        <f t="shared" si="5"/>
        <v>0</v>
      </c>
      <c r="AH10" s="44" t="s">
        <v>2186</v>
      </c>
      <c r="AI10" s="131"/>
      <c r="AK10" s="66">
        <f t="shared" ref="AK10" si="8">AM10/(A10*10000)</f>
        <v>0</v>
      </c>
      <c r="AL10" s="174">
        <f t="shared" ref="AL10" si="9">AN10/(A10*10000)</f>
        <v>0</v>
      </c>
      <c r="AM10" s="346">
        <f>RTD("money.excel",,$G10,"PredictVolume")</f>
        <v>0</v>
      </c>
      <c r="AN10" s="272">
        <f>RTD("money.excel",,$G10,"CumulativeVolume")</f>
        <v>0</v>
      </c>
      <c r="AO10" s="284"/>
      <c r="AP10" s="284"/>
    </row>
    <row r="11" spans="1:50">
      <c r="A11" s="135" t="s">
        <v>3393</v>
      </c>
      <c r="B11" s="84">
        <v>106</v>
      </c>
      <c r="C11" s="84">
        <v>199</v>
      </c>
      <c r="D11" s="84">
        <v>6</v>
      </c>
      <c r="E11" s="84">
        <v>12</v>
      </c>
      <c r="F11" s="59">
        <v>20.85</v>
      </c>
      <c r="G11" s="85">
        <v>3094</v>
      </c>
      <c r="H11" s="4" t="s">
        <v>558</v>
      </c>
      <c r="I11" s="23" t="s">
        <v>627</v>
      </c>
      <c r="J11" s="371">
        <v>12.4</v>
      </c>
      <c r="K11" s="371">
        <v>2.0299999999999998</v>
      </c>
      <c r="L11" s="77">
        <v>59.24</v>
      </c>
      <c r="M11" s="371">
        <v>11.71</v>
      </c>
      <c r="N11" s="365">
        <f t="shared" si="0"/>
        <v>85.38</v>
      </c>
      <c r="O11" s="343">
        <f t="shared" si="1"/>
        <v>24.11</v>
      </c>
      <c r="P11" s="195">
        <v>3</v>
      </c>
      <c r="Q11" s="326">
        <v>24</v>
      </c>
      <c r="R11" s="111">
        <v>37</v>
      </c>
      <c r="S11" s="51">
        <v>39</v>
      </c>
      <c r="T11" s="339">
        <f t="shared" si="2"/>
        <v>103</v>
      </c>
      <c r="U11" s="329" t="s">
        <v>6538</v>
      </c>
      <c r="V11" s="371">
        <v>5.2</v>
      </c>
      <c r="W11" s="35">
        <v>0.8</v>
      </c>
      <c r="X11" s="100">
        <v>0.73</v>
      </c>
      <c r="Y11" s="37" t="str">
        <f>RTD("money.excel",,"3094","Price")</f>
        <v>無資料</v>
      </c>
      <c r="Z11" s="69"/>
      <c r="AA11" s="16" t="e">
        <f t="shared" si="3"/>
        <v>#VALUE!</v>
      </c>
      <c r="AB11" s="3" t="e">
        <f t="shared" si="4"/>
        <v>#VALUE!</v>
      </c>
      <c r="AC11" s="177" t="s">
        <v>2648</v>
      </c>
      <c r="AD11" s="23" t="s">
        <v>627</v>
      </c>
      <c r="AG11" s="34">
        <f t="shared" si="5"/>
        <v>0</v>
      </c>
      <c r="AH11" s="63" t="s">
        <v>3420</v>
      </c>
      <c r="AI11" s="131"/>
      <c r="AK11" s="66">
        <f t="shared" ref="AK11" si="10">AM11/(A11*10000)</f>
        <v>0</v>
      </c>
      <c r="AL11" s="174">
        <f t="shared" ref="AL11" si="11">AN11/(A11*10000)</f>
        <v>0</v>
      </c>
      <c r="AM11" s="346">
        <f>RTD("money.excel",,$G11,"PredictVolume")</f>
        <v>0</v>
      </c>
      <c r="AN11" s="272">
        <f>RTD("money.excel",,$G11,"CumulativeVolume")</f>
        <v>0</v>
      </c>
      <c r="AO11" s="284"/>
      <c r="AP11" s="284"/>
    </row>
    <row r="12" spans="1:50">
      <c r="A12" s="135" t="s">
        <v>6810</v>
      </c>
      <c r="B12" s="84">
        <v>135</v>
      </c>
      <c r="C12" s="84">
        <v>168</v>
      </c>
      <c r="D12" s="85">
        <v>-6</v>
      </c>
      <c r="E12" s="84">
        <v>14</v>
      </c>
      <c r="F12" s="59">
        <v>18.399999999999999</v>
      </c>
      <c r="G12" s="85">
        <v>3455</v>
      </c>
      <c r="H12" s="4" t="s">
        <v>557</v>
      </c>
      <c r="I12" s="17" t="s">
        <v>841</v>
      </c>
      <c r="J12" s="77">
        <v>23.5</v>
      </c>
      <c r="K12" s="371">
        <v>8.61</v>
      </c>
      <c r="L12" s="77">
        <v>18.62</v>
      </c>
      <c r="M12" s="77">
        <v>9.07</v>
      </c>
      <c r="N12" s="365">
        <f t="shared" ref="N12:N16" si="12">J12+K12+L12+M12</f>
        <v>59.800000000000004</v>
      </c>
      <c r="O12" s="343">
        <f t="shared" ref="O12:O16" si="13">J12+M12</f>
        <v>32.57</v>
      </c>
      <c r="P12" s="195">
        <v>6</v>
      </c>
      <c r="Q12" s="326">
        <v>2</v>
      </c>
      <c r="R12" s="111">
        <v>17</v>
      </c>
      <c r="S12" s="51">
        <v>10</v>
      </c>
      <c r="T12" s="339">
        <f t="shared" ref="T12:T16" si="14">SUM(P12:S12)</f>
        <v>35</v>
      </c>
      <c r="U12" s="329" t="s">
        <v>6538</v>
      </c>
      <c r="V12" s="371">
        <v>0.78</v>
      </c>
      <c r="W12" s="69">
        <v>4</v>
      </c>
      <c r="X12" s="100">
        <v>6.76</v>
      </c>
      <c r="Y12" s="37" t="str">
        <f>RTD("money.excel",,"3455","Price")</f>
        <v>無資料</v>
      </c>
      <c r="Z12" s="69"/>
      <c r="AA12" s="16" t="e">
        <f t="shared" ref="AA12:AA16" si="15">Y12-Z12</f>
        <v>#VALUE!</v>
      </c>
      <c r="AB12" s="3" t="e">
        <f t="shared" ref="AB12:AB16" si="16">AA12/Z12</f>
        <v>#VALUE!</v>
      </c>
      <c r="AC12" s="177" t="s">
        <v>2929</v>
      </c>
      <c r="AD12" s="17" t="s">
        <v>841</v>
      </c>
      <c r="AG12" s="34">
        <f t="shared" ref="AG12:AG16" si="17">AF12-AE12</f>
        <v>0</v>
      </c>
      <c r="AH12" s="63" t="s">
        <v>3837</v>
      </c>
      <c r="AI12" s="131"/>
      <c r="AK12" s="66">
        <f t="shared" ref="AK12:AK16" si="18">AM12/(A12*10000)</f>
        <v>0</v>
      </c>
      <c r="AL12" s="174">
        <f t="shared" ref="AL12:AL16" si="19">AN12/(A12*10000)</f>
        <v>0</v>
      </c>
      <c r="AM12" s="346">
        <f>RTD("money.excel",,$G12,"PredictVolume")</f>
        <v>0</v>
      </c>
      <c r="AN12" s="272">
        <f>RTD("money.excel",,$G12,"CumulativeVolume")</f>
        <v>0</v>
      </c>
      <c r="AO12" s="284"/>
      <c r="AP12" s="284"/>
    </row>
    <row r="13" spans="1:50">
      <c r="A13" s="151" t="s">
        <v>2596</v>
      </c>
      <c r="B13" s="84">
        <v>55</v>
      </c>
      <c r="C13" s="84">
        <v>8</v>
      </c>
      <c r="D13" s="84">
        <v>45</v>
      </c>
      <c r="E13" s="84">
        <v>31</v>
      </c>
      <c r="F13" s="7">
        <v>-7.07</v>
      </c>
      <c r="G13" s="85">
        <v>3466</v>
      </c>
      <c r="H13" s="4" t="s">
        <v>563</v>
      </c>
      <c r="I13" s="17" t="s">
        <v>959</v>
      </c>
      <c r="J13" s="371">
        <v>37.659999999999997</v>
      </c>
      <c r="K13" s="371">
        <v>8.7799999999999994</v>
      </c>
      <c r="L13" s="371">
        <v>12.76</v>
      </c>
      <c r="M13" s="371">
        <v>17.7</v>
      </c>
      <c r="N13" s="365">
        <f t="shared" si="12"/>
        <v>76.899999999999991</v>
      </c>
      <c r="O13" s="343">
        <f t="shared" si="13"/>
        <v>55.36</v>
      </c>
      <c r="P13" s="195">
        <v>1</v>
      </c>
      <c r="Q13" s="326">
        <v>25</v>
      </c>
      <c r="R13" s="111">
        <v>18</v>
      </c>
      <c r="S13" s="51">
        <v>25</v>
      </c>
      <c r="T13" s="339">
        <f t="shared" si="14"/>
        <v>69</v>
      </c>
      <c r="U13" s="329" t="s">
        <v>6538</v>
      </c>
      <c r="V13" s="371">
        <v>0.49</v>
      </c>
      <c r="W13" s="35">
        <v>0</v>
      </c>
      <c r="X13" s="100">
        <v>-1.37</v>
      </c>
      <c r="Y13" s="37" t="str">
        <f>RTD("money.excel",,"3466","Price")</f>
        <v>無資料</v>
      </c>
      <c r="Z13" s="69"/>
      <c r="AA13" s="16" t="e">
        <f t="shared" si="15"/>
        <v>#VALUE!</v>
      </c>
      <c r="AB13" s="3" t="e">
        <f t="shared" si="16"/>
        <v>#VALUE!</v>
      </c>
      <c r="AC13" s="177" t="s">
        <v>2648</v>
      </c>
      <c r="AD13" s="17" t="s">
        <v>959</v>
      </c>
      <c r="AG13" s="34">
        <f t="shared" si="17"/>
        <v>0</v>
      </c>
      <c r="AH13" s="44" t="s">
        <v>3121</v>
      </c>
      <c r="AI13" s="131"/>
      <c r="AK13" s="66">
        <f t="shared" si="18"/>
        <v>0</v>
      </c>
      <c r="AL13" s="174">
        <f t="shared" si="19"/>
        <v>0</v>
      </c>
      <c r="AM13" s="346">
        <f>RTD("money.excel",,$G13,"PredictVolume")</f>
        <v>0</v>
      </c>
      <c r="AN13" s="272">
        <f>RTD("money.excel",,$G13,"CumulativeVolume")</f>
        <v>0</v>
      </c>
      <c r="AO13" s="284"/>
      <c r="AP13" s="284"/>
    </row>
    <row r="14" spans="1:50">
      <c r="A14" s="135" t="s">
        <v>2764</v>
      </c>
      <c r="B14" s="84">
        <v>177</v>
      </c>
      <c r="C14" s="84">
        <v>200</v>
      </c>
      <c r="D14" s="84">
        <v>1</v>
      </c>
      <c r="E14" s="84">
        <v>46</v>
      </c>
      <c r="F14" s="59">
        <v>19.25</v>
      </c>
      <c r="G14" s="85">
        <v>3624</v>
      </c>
      <c r="H14" s="4" t="s">
        <v>559</v>
      </c>
      <c r="I14" s="17" t="s">
        <v>568</v>
      </c>
      <c r="J14" s="371">
        <v>54.79</v>
      </c>
      <c r="K14" s="371">
        <v>52.13</v>
      </c>
      <c r="L14" s="371">
        <v>23.75</v>
      </c>
      <c r="M14" s="77">
        <v>42.3</v>
      </c>
      <c r="N14" s="77">
        <f t="shared" si="12"/>
        <v>172.97000000000003</v>
      </c>
      <c r="O14" s="369">
        <f t="shared" si="13"/>
        <v>97.09</v>
      </c>
      <c r="P14" s="195">
        <v>1</v>
      </c>
      <c r="Q14" s="326">
        <v>10</v>
      </c>
      <c r="R14" s="111">
        <v>28</v>
      </c>
      <c r="S14" s="51">
        <v>33</v>
      </c>
      <c r="T14" s="339">
        <f t="shared" si="14"/>
        <v>72</v>
      </c>
      <c r="U14" s="329" t="s">
        <v>6538</v>
      </c>
      <c r="V14" s="371">
        <v>3.16</v>
      </c>
      <c r="W14" s="35">
        <v>0.8</v>
      </c>
      <c r="X14" s="59">
        <v>3.21</v>
      </c>
      <c r="Y14" s="14" t="str">
        <f>RTD("money.excel",,"3624","Price")</f>
        <v>無資料</v>
      </c>
      <c r="Z14" s="69"/>
      <c r="AA14" s="16" t="e">
        <f t="shared" si="15"/>
        <v>#VALUE!</v>
      </c>
      <c r="AB14" s="36" t="e">
        <f t="shared" si="16"/>
        <v>#VALUE!</v>
      </c>
      <c r="AC14" s="177" t="s">
        <v>2648</v>
      </c>
      <c r="AD14" s="17" t="s">
        <v>568</v>
      </c>
      <c r="AG14" s="34">
        <f t="shared" si="17"/>
        <v>0</v>
      </c>
      <c r="AH14" s="63" t="s">
        <v>3808</v>
      </c>
      <c r="AI14" s="131"/>
      <c r="AK14" s="66">
        <f t="shared" si="18"/>
        <v>0</v>
      </c>
      <c r="AL14" s="174">
        <f t="shared" si="19"/>
        <v>0</v>
      </c>
      <c r="AM14" s="346">
        <f>RTD("money.excel",,$G14,"PredictVolume")</f>
        <v>0</v>
      </c>
      <c r="AN14" s="272">
        <f>RTD("money.excel",,$G14,"CumulativeVolume")</f>
        <v>0</v>
      </c>
      <c r="AO14" s="284"/>
      <c r="AP14" s="284"/>
    </row>
    <row r="15" spans="1:50">
      <c r="A15" s="151" t="s">
        <v>3161</v>
      </c>
      <c r="B15" s="84">
        <v>151</v>
      </c>
      <c r="C15" s="84">
        <v>111</v>
      </c>
      <c r="D15" s="84">
        <v>37</v>
      </c>
      <c r="E15" s="84">
        <v>41</v>
      </c>
      <c r="F15" s="7">
        <v>0.68</v>
      </c>
      <c r="G15" s="85">
        <v>6164</v>
      </c>
      <c r="H15" s="4" t="s">
        <v>557</v>
      </c>
      <c r="I15" s="23" t="s">
        <v>823</v>
      </c>
      <c r="J15" s="371">
        <v>18.5</v>
      </c>
      <c r="K15" s="371">
        <v>1.1100000000000001</v>
      </c>
      <c r="L15" s="371">
        <v>27.86</v>
      </c>
      <c r="M15" s="371">
        <v>11.67</v>
      </c>
      <c r="N15" s="365">
        <f t="shared" si="12"/>
        <v>59.14</v>
      </c>
      <c r="O15" s="343">
        <f t="shared" si="13"/>
        <v>30.17</v>
      </c>
      <c r="P15" s="195">
        <v>1</v>
      </c>
      <c r="Q15" s="326">
        <v>37</v>
      </c>
      <c r="R15" s="111">
        <v>36</v>
      </c>
      <c r="S15" s="51">
        <v>37</v>
      </c>
      <c r="T15" s="339">
        <f t="shared" si="14"/>
        <v>111</v>
      </c>
      <c r="U15" s="329" t="s">
        <v>6538</v>
      </c>
      <c r="V15" s="371">
        <v>1.57</v>
      </c>
      <c r="W15" s="35">
        <v>0</v>
      </c>
      <c r="X15" s="100">
        <v>0.32</v>
      </c>
      <c r="Y15" s="37" t="str">
        <f>RTD("money.excel",,"6164","Price")</f>
        <v>無資料</v>
      </c>
      <c r="Z15" s="69"/>
      <c r="AA15" s="16" t="e">
        <f t="shared" si="15"/>
        <v>#VALUE!</v>
      </c>
      <c r="AB15" s="3" t="e">
        <f t="shared" si="16"/>
        <v>#VALUE!</v>
      </c>
      <c r="AC15" s="177" t="s">
        <v>2648</v>
      </c>
      <c r="AD15" s="23" t="s">
        <v>823</v>
      </c>
      <c r="AG15" s="34">
        <f t="shared" si="17"/>
        <v>0</v>
      </c>
      <c r="AH15" s="44" t="s">
        <v>2248</v>
      </c>
      <c r="AI15" s="131"/>
      <c r="AK15" s="66">
        <f t="shared" si="18"/>
        <v>0</v>
      </c>
      <c r="AL15" s="174">
        <f t="shared" si="19"/>
        <v>0</v>
      </c>
      <c r="AM15" s="346">
        <f>RTD("money.excel",,$G15,"PredictVolume")</f>
        <v>0</v>
      </c>
      <c r="AN15" s="272">
        <f>RTD("money.excel",,$G15,"CumulativeVolume")</f>
        <v>0</v>
      </c>
      <c r="AO15" s="284"/>
      <c r="AP15" s="284"/>
    </row>
    <row r="16" spans="1:50" ht="17.25" customHeight="1">
      <c r="A16" s="151" t="s">
        <v>3192</v>
      </c>
      <c r="B16" s="84">
        <v>51</v>
      </c>
      <c r="C16" s="84">
        <v>34</v>
      </c>
      <c r="D16" s="84">
        <v>37</v>
      </c>
      <c r="E16" s="84">
        <v>63</v>
      </c>
      <c r="F16" s="7">
        <v>5.33</v>
      </c>
      <c r="G16" s="85">
        <v>6196</v>
      </c>
      <c r="H16" s="4" t="s">
        <v>566</v>
      </c>
      <c r="I16" s="23" t="s">
        <v>204</v>
      </c>
      <c r="J16" s="77">
        <v>68.06</v>
      </c>
      <c r="K16" s="371">
        <v>10.92</v>
      </c>
      <c r="L16" s="77">
        <v>10.8</v>
      </c>
      <c r="M16" s="371">
        <v>59.11</v>
      </c>
      <c r="N16" s="77">
        <f t="shared" si="12"/>
        <v>148.88999999999999</v>
      </c>
      <c r="O16" s="369">
        <f t="shared" si="13"/>
        <v>127.17</v>
      </c>
      <c r="P16" s="195">
        <v>54</v>
      </c>
      <c r="Q16" s="326">
        <v>23</v>
      </c>
      <c r="R16" s="111">
        <v>27</v>
      </c>
      <c r="S16" s="51">
        <v>26</v>
      </c>
      <c r="T16" s="339">
        <f t="shared" si="14"/>
        <v>130</v>
      </c>
      <c r="U16" s="329" t="s">
        <v>6540</v>
      </c>
      <c r="V16" s="371">
        <v>2.56</v>
      </c>
      <c r="W16" s="69">
        <v>3.5</v>
      </c>
      <c r="X16" s="59">
        <v>6.73</v>
      </c>
      <c r="Y16" s="37" t="str">
        <f>RTD("money.excel",,"6196","Price")</f>
        <v>無資料</v>
      </c>
      <c r="Z16" s="69"/>
      <c r="AA16" s="16" t="e">
        <f t="shared" si="15"/>
        <v>#VALUE!</v>
      </c>
      <c r="AB16" s="3" t="e">
        <f t="shared" si="16"/>
        <v>#VALUE!</v>
      </c>
      <c r="AC16" s="177" t="s">
        <v>2929</v>
      </c>
      <c r="AD16" s="23" t="s">
        <v>204</v>
      </c>
      <c r="AG16" s="34">
        <f t="shared" si="17"/>
        <v>0</v>
      </c>
      <c r="AH16" s="125" t="s">
        <v>3459</v>
      </c>
      <c r="AI16" s="131"/>
      <c r="AK16" s="66">
        <f t="shared" si="18"/>
        <v>0</v>
      </c>
      <c r="AL16" s="174">
        <f t="shared" si="19"/>
        <v>0</v>
      </c>
      <c r="AM16" s="346">
        <f>RTD("money.excel",,$G16,"PredictVolume")</f>
        <v>0</v>
      </c>
      <c r="AN16" s="272">
        <f>RTD("money.excel",,$G16,"CumulativeVolume")</f>
        <v>0</v>
      </c>
      <c r="AO16" s="284"/>
      <c r="AP16" s="284"/>
    </row>
    <row r="17" spans="1:42">
      <c r="A17" s="151" t="s">
        <v>2503</v>
      </c>
      <c r="B17" s="85">
        <v>-86</v>
      </c>
      <c r="C17" s="84">
        <v>197</v>
      </c>
      <c r="D17" s="84">
        <v>10</v>
      </c>
      <c r="E17" s="84">
        <v>34</v>
      </c>
      <c r="F17" s="7">
        <v>3.55</v>
      </c>
      <c r="G17" s="85">
        <v>6235</v>
      </c>
      <c r="H17" s="50" t="s">
        <v>561</v>
      </c>
      <c r="I17" s="23" t="s">
        <v>896</v>
      </c>
      <c r="J17" s="371">
        <v>40.54</v>
      </c>
      <c r="K17" s="77">
        <v>4.34</v>
      </c>
      <c r="L17" s="77">
        <v>37.909999999999997</v>
      </c>
      <c r="M17" s="77">
        <v>24.47</v>
      </c>
      <c r="N17" s="365">
        <f t="shared" ref="N17:N20" si="20">J17+K17+L17+M17</f>
        <v>107.25999999999999</v>
      </c>
      <c r="O17" s="343">
        <f t="shared" ref="O17:O20" si="21">J17+M17</f>
        <v>65.009999999999991</v>
      </c>
      <c r="P17" s="195">
        <v>1</v>
      </c>
      <c r="Q17" s="326">
        <v>24</v>
      </c>
      <c r="R17" s="111">
        <v>30</v>
      </c>
      <c r="S17" s="51">
        <v>36</v>
      </c>
      <c r="T17" s="339">
        <f t="shared" ref="T17:T20" si="22">SUM(P17:S17)</f>
        <v>91</v>
      </c>
      <c r="U17" s="329" t="s">
        <v>6539</v>
      </c>
      <c r="V17" s="371">
        <v>2.14</v>
      </c>
      <c r="W17" s="35">
        <v>0.6</v>
      </c>
      <c r="X17" s="100">
        <v>0.88</v>
      </c>
      <c r="Y17" s="37" t="str">
        <f>RTD("money.excel",,"6235","Price")</f>
        <v>無資料</v>
      </c>
      <c r="Z17" s="69"/>
      <c r="AA17" s="16" t="e">
        <f t="shared" ref="AA17:AA19" si="23">Y17-Z17</f>
        <v>#VALUE!</v>
      </c>
      <c r="AB17" s="3" t="e">
        <f t="shared" ref="AB17:AB19" si="24">AA17/Z17</f>
        <v>#VALUE!</v>
      </c>
      <c r="AC17" s="177" t="s">
        <v>2648</v>
      </c>
      <c r="AD17" s="23" t="s">
        <v>896</v>
      </c>
      <c r="AG17" s="34">
        <f t="shared" ref="AG17:AG19" si="25">AF17-AE17</f>
        <v>0</v>
      </c>
      <c r="AH17" s="44" t="s">
        <v>3791</v>
      </c>
      <c r="AI17" s="131"/>
      <c r="AK17" s="66">
        <f t="shared" ref="AK17" si="26">AM17/(A17*10000)</f>
        <v>0</v>
      </c>
      <c r="AL17" s="174">
        <f t="shared" ref="AL17" si="27">AN17/(A17*10000)</f>
        <v>0</v>
      </c>
      <c r="AM17" s="346">
        <f>RTD("money.excel",,$G17,"PredictVolume")</f>
        <v>0</v>
      </c>
      <c r="AN17" s="272">
        <f>RTD("money.excel",,$G17,"CumulativeVolume")</f>
        <v>0</v>
      </c>
      <c r="AO17" s="284"/>
      <c r="AP17" s="284"/>
    </row>
    <row r="18" spans="1:42">
      <c r="A18" s="135" t="s">
        <v>3085</v>
      </c>
      <c r="B18" s="84">
        <v>49</v>
      </c>
      <c r="C18" s="84">
        <v>37</v>
      </c>
      <c r="D18" s="84">
        <v>3</v>
      </c>
      <c r="E18" s="84">
        <v>3</v>
      </c>
      <c r="F18" s="59">
        <v>10.32</v>
      </c>
      <c r="G18" s="85">
        <v>6284</v>
      </c>
      <c r="H18" s="4" t="s">
        <v>559</v>
      </c>
      <c r="I18" s="17" t="s">
        <v>532</v>
      </c>
      <c r="J18" s="371">
        <v>44.98</v>
      </c>
      <c r="K18" s="77">
        <v>3.23</v>
      </c>
      <c r="L18" s="77">
        <v>21.17</v>
      </c>
      <c r="M18" s="371">
        <v>36.08</v>
      </c>
      <c r="N18" s="365">
        <f t="shared" si="20"/>
        <v>105.46</v>
      </c>
      <c r="O18" s="369">
        <f t="shared" si="21"/>
        <v>81.06</v>
      </c>
      <c r="P18" s="195">
        <v>2</v>
      </c>
      <c r="Q18" s="326">
        <v>18</v>
      </c>
      <c r="R18" s="111">
        <v>32</v>
      </c>
      <c r="S18" s="51">
        <v>32</v>
      </c>
      <c r="T18" s="339">
        <f t="shared" si="22"/>
        <v>84</v>
      </c>
      <c r="U18" s="329" t="s">
        <v>6540</v>
      </c>
      <c r="V18" s="371">
        <v>3.19</v>
      </c>
      <c r="W18" s="35">
        <v>1</v>
      </c>
      <c r="X18" s="100">
        <v>3.64</v>
      </c>
      <c r="Y18" s="37" t="str">
        <f>RTD("money.excel",,"6284","Price")</f>
        <v>無資料</v>
      </c>
      <c r="Z18" s="69"/>
      <c r="AA18" s="16" t="e">
        <f t="shared" si="23"/>
        <v>#VALUE!</v>
      </c>
      <c r="AB18" s="3" t="e">
        <f t="shared" si="24"/>
        <v>#VALUE!</v>
      </c>
      <c r="AC18" s="177" t="s">
        <v>6557</v>
      </c>
      <c r="AD18" s="17" t="s">
        <v>532</v>
      </c>
      <c r="AG18" s="34">
        <f t="shared" si="25"/>
        <v>0</v>
      </c>
      <c r="AH18" s="393" t="s">
        <v>6507</v>
      </c>
      <c r="AI18" s="131"/>
      <c r="AK18" s="66">
        <f t="shared" ref="AK18" si="28">AM18/(A18*10000)</f>
        <v>0</v>
      </c>
      <c r="AL18" s="174">
        <f t="shared" ref="AL18" si="29">AN18/(A18*10000)</f>
        <v>0</v>
      </c>
      <c r="AM18" s="346">
        <f>RTD("money.excel",,$G18,"PredictVolume")</f>
        <v>0</v>
      </c>
      <c r="AN18" s="272">
        <f>RTD("money.excel",,$G18,"CumulativeVolume")</f>
        <v>0</v>
      </c>
      <c r="AO18" s="284"/>
      <c r="AP18" s="284"/>
    </row>
    <row r="19" spans="1:42">
      <c r="A19" s="151" t="s">
        <v>2760</v>
      </c>
      <c r="B19" s="84">
        <v>7</v>
      </c>
      <c r="C19" s="85">
        <v>-2</v>
      </c>
      <c r="D19" s="84">
        <v>25</v>
      </c>
      <c r="E19" s="84">
        <v>29</v>
      </c>
      <c r="F19" s="7">
        <v>3.65</v>
      </c>
      <c r="G19" s="85">
        <v>6414</v>
      </c>
      <c r="H19" s="53" t="s">
        <v>561</v>
      </c>
      <c r="I19" s="23" t="s">
        <v>389</v>
      </c>
      <c r="J19" s="371">
        <v>43.19</v>
      </c>
      <c r="K19" s="77">
        <v>13.17</v>
      </c>
      <c r="L19" s="371">
        <v>22.94</v>
      </c>
      <c r="M19" s="77">
        <v>34.130000000000003</v>
      </c>
      <c r="N19" s="365">
        <f t="shared" si="20"/>
        <v>113.43</v>
      </c>
      <c r="O19" s="343">
        <f t="shared" si="21"/>
        <v>77.319999999999993</v>
      </c>
      <c r="P19" s="195">
        <v>16</v>
      </c>
      <c r="Q19" s="326">
        <v>8</v>
      </c>
      <c r="R19" s="111">
        <v>19</v>
      </c>
      <c r="S19" s="51">
        <v>13</v>
      </c>
      <c r="T19" s="339">
        <f t="shared" ref="T19" si="30">SUM(P19:S19)</f>
        <v>56</v>
      </c>
      <c r="U19" s="329" t="s">
        <v>6539</v>
      </c>
      <c r="V19" s="371">
        <v>4.5</v>
      </c>
      <c r="W19" s="69">
        <v>5</v>
      </c>
      <c r="X19" s="100">
        <v>12.77</v>
      </c>
      <c r="Y19" s="37" t="str">
        <f>RTD("money.excel",,"6414","Price")</f>
        <v>無資料</v>
      </c>
      <c r="Z19" s="69"/>
      <c r="AA19" s="16" t="e">
        <f t="shared" si="23"/>
        <v>#VALUE!</v>
      </c>
      <c r="AB19" s="3" t="e">
        <f t="shared" si="24"/>
        <v>#VALUE!</v>
      </c>
      <c r="AC19" s="177" t="s">
        <v>2929</v>
      </c>
      <c r="AD19" s="23" t="s">
        <v>389</v>
      </c>
      <c r="AG19" s="34">
        <f t="shared" si="25"/>
        <v>0</v>
      </c>
      <c r="AH19" s="125" t="s">
        <v>2254</v>
      </c>
      <c r="AI19" s="131"/>
      <c r="AK19" s="66">
        <f t="shared" ref="AK19" si="31">AM19/(A19*10000)</f>
        <v>0</v>
      </c>
      <c r="AL19" s="174">
        <f t="shared" ref="AL19" si="32">AN19/(A19*10000)</f>
        <v>0</v>
      </c>
      <c r="AM19" s="346">
        <f>RTD("money.excel",,$G19,"PredictVolume")</f>
        <v>0</v>
      </c>
      <c r="AN19" s="272">
        <f>RTD("money.excel",,$G19,"CumulativeVolume")</f>
        <v>0</v>
      </c>
      <c r="AO19" s="284"/>
      <c r="AP19" s="284"/>
    </row>
    <row r="20" spans="1:42">
      <c r="A20" s="151" t="s">
        <v>2407</v>
      </c>
      <c r="B20" s="84">
        <v>258</v>
      </c>
      <c r="C20" s="84">
        <v>245</v>
      </c>
      <c r="D20" s="84">
        <v>22</v>
      </c>
      <c r="E20" s="84">
        <v>59</v>
      </c>
      <c r="F20" s="7">
        <v>4.3899999999999997</v>
      </c>
      <c r="G20" s="85">
        <v>6698</v>
      </c>
      <c r="H20" s="4" t="s">
        <v>566</v>
      </c>
      <c r="I20" s="23" t="s">
        <v>2734</v>
      </c>
      <c r="J20" s="371">
        <v>37.229999999999997</v>
      </c>
      <c r="K20" s="77">
        <v>3.77</v>
      </c>
      <c r="L20" s="77">
        <v>23.42</v>
      </c>
      <c r="M20" s="77">
        <v>36.54</v>
      </c>
      <c r="N20" s="365">
        <f t="shared" si="20"/>
        <v>100.96000000000001</v>
      </c>
      <c r="O20" s="343">
        <f t="shared" si="21"/>
        <v>73.77</v>
      </c>
      <c r="P20" s="195">
        <v>2</v>
      </c>
      <c r="Q20" s="326">
        <v>7</v>
      </c>
      <c r="R20" s="111">
        <v>11</v>
      </c>
      <c r="S20" s="51">
        <v>17</v>
      </c>
      <c r="T20" s="339">
        <f t="shared" si="22"/>
        <v>37</v>
      </c>
      <c r="U20" s="329" t="s">
        <v>6538</v>
      </c>
      <c r="V20" s="371">
        <v>1.61</v>
      </c>
      <c r="W20" s="35">
        <v>0.5</v>
      </c>
      <c r="X20" s="100">
        <v>0.53</v>
      </c>
      <c r="Y20" s="37" t="str">
        <f>RTD("money.excel",,"6698","Price")</f>
        <v>無資料</v>
      </c>
      <c r="Z20" s="69"/>
      <c r="AA20" s="16" t="e">
        <f t="shared" ref="AA20" si="33">Y20-Z20</f>
        <v>#VALUE!</v>
      </c>
      <c r="AB20" s="3" t="e">
        <f t="shared" ref="AB20" si="34">AA20/Z20</f>
        <v>#VALUE!</v>
      </c>
      <c r="AC20" s="177" t="s">
        <v>2648</v>
      </c>
      <c r="AD20" s="23" t="s">
        <v>2734</v>
      </c>
      <c r="AG20" s="34">
        <f t="shared" ref="AG20" si="35">AF20-AE20</f>
        <v>0</v>
      </c>
      <c r="AH20" s="44" t="s">
        <v>3712</v>
      </c>
      <c r="AI20" s="131"/>
      <c r="AK20" s="66">
        <f t="shared" ref="AK20" si="36">AM20/(A20*10000)</f>
        <v>0</v>
      </c>
      <c r="AL20" s="174">
        <f t="shared" ref="AL20" si="37">AN20/(A20*10000)</f>
        <v>0</v>
      </c>
      <c r="AM20" s="346">
        <f>RTD("money.excel",,$G20,"PredictVolume")</f>
        <v>0</v>
      </c>
      <c r="AN20" s="272">
        <f>RTD("money.excel",,$G20,"CumulativeVolume")</f>
        <v>0</v>
      </c>
      <c r="AO20" s="284"/>
      <c r="AP20" s="284"/>
    </row>
    <row r="21" spans="1:42">
      <c r="B21" s="98"/>
      <c r="C21" s="98"/>
      <c r="D21" s="85"/>
      <c r="E21" s="84"/>
      <c r="F21" s="59"/>
      <c r="G21" s="84"/>
      <c r="H21" s="9"/>
      <c r="I21" s="23"/>
      <c r="J21" s="77"/>
      <c r="K21" s="77"/>
      <c r="L21" s="371"/>
      <c r="M21" s="371"/>
      <c r="N21" s="365"/>
      <c r="P21" s="195"/>
      <c r="Q21" s="326"/>
      <c r="R21" s="111"/>
      <c r="V21" s="77"/>
      <c r="W21" s="35"/>
      <c r="X21" s="59"/>
      <c r="Y21" s="37"/>
      <c r="Z21" s="69"/>
      <c r="AA21" s="16"/>
      <c r="AB21" s="3"/>
      <c r="AC21" s="177"/>
      <c r="AD21" s="23"/>
      <c r="AG21" s="34"/>
      <c r="AH21" s="126"/>
      <c r="AI21" s="131"/>
      <c r="AK21" s="66"/>
      <c r="AL21" s="174"/>
      <c r="AM21" s="346"/>
      <c r="AN21" s="272"/>
      <c r="AO21" s="284"/>
      <c r="AP21" s="284"/>
    </row>
    <row r="22" spans="1:42">
      <c r="B22" s="96"/>
      <c r="C22" s="96"/>
      <c r="D22" s="96"/>
      <c r="E22" s="96"/>
      <c r="F22" s="9"/>
      <c r="G22" s="27"/>
      <c r="H22" s="56"/>
      <c r="I22" s="31"/>
      <c r="J22" s="364"/>
      <c r="K22" s="364"/>
      <c r="L22" s="364"/>
      <c r="M22" s="364"/>
      <c r="N22" s="364"/>
      <c r="P22" s="83"/>
      <c r="Q22" s="326"/>
      <c r="T22" s="338"/>
      <c r="U22" s="330"/>
      <c r="V22" s="377"/>
      <c r="W22" s="11"/>
      <c r="X22" s="71"/>
      <c r="Y22" s="29"/>
      <c r="Z22" s="18"/>
      <c r="AA22" s="15"/>
      <c r="AB22" s="22"/>
      <c r="AC22" s="26"/>
      <c r="AD22" s="31"/>
      <c r="AE22" s="56"/>
      <c r="AF22" s="114"/>
      <c r="AG22" s="33"/>
      <c r="AH22" s="262"/>
      <c r="AI22" s="284"/>
      <c r="AK22" s="131"/>
      <c r="AL22" s="264"/>
      <c r="AO22" s="131"/>
      <c r="AP22" s="264"/>
    </row>
    <row r="23" spans="1:42">
      <c r="AI23" s="131"/>
    </row>
    <row r="24" spans="1:42">
      <c r="AI24" s="131"/>
    </row>
    <row r="25" spans="1:42">
      <c r="AI25" s="131"/>
    </row>
    <row r="26" spans="1:42">
      <c r="AI26" s="284"/>
    </row>
    <row r="27" spans="1:42">
      <c r="AI27" s="131"/>
    </row>
    <row r="28" spans="1:42">
      <c r="AI28" s="131"/>
    </row>
    <row r="29" spans="1:42">
      <c r="AI29" s="131"/>
    </row>
    <row r="30" spans="1:42">
      <c r="AI30" s="131"/>
    </row>
    <row r="31" spans="1:42">
      <c r="AI31" s="284"/>
    </row>
    <row r="32" spans="1:42">
      <c r="AI32" s="131"/>
    </row>
    <row r="33" spans="35:35">
      <c r="AI33" s="131"/>
    </row>
    <row r="34" spans="35:35">
      <c r="AI34" s="131"/>
    </row>
    <row r="35" spans="35:35">
      <c r="AI35" s="284"/>
    </row>
    <row r="36" spans="35:35">
      <c r="AI36" s="131"/>
    </row>
    <row r="37" spans="35:35">
      <c r="AI37" s="131"/>
    </row>
    <row r="38" spans="35:35">
      <c r="AI38" s="131"/>
    </row>
    <row r="39" spans="35:35">
      <c r="AI39" s="131"/>
    </row>
    <row r="40" spans="35:35">
      <c r="AI40" s="131"/>
    </row>
    <row r="41" spans="35:35">
      <c r="AI41" s="284"/>
    </row>
    <row r="42" spans="35:35">
      <c r="AI42" s="284"/>
    </row>
    <row r="43" spans="35:35">
      <c r="AI43" s="131"/>
    </row>
    <row r="44" spans="35:35">
      <c r="AI44" s="131"/>
    </row>
    <row r="45" spans="35:35">
      <c r="AI45" s="131"/>
    </row>
    <row r="46" spans="35:35">
      <c r="AI46" s="131"/>
    </row>
    <row r="47" spans="35:35">
      <c r="AI47" s="131"/>
    </row>
    <row r="48" spans="35:35">
      <c r="AI48" s="131"/>
    </row>
    <row r="49" spans="35:35">
      <c r="AI49" s="131"/>
    </row>
    <row r="50" spans="35:35">
      <c r="AI50" s="131"/>
    </row>
    <row r="51" spans="35:35">
      <c r="AI51" s="131"/>
    </row>
    <row r="53" spans="35:35">
      <c r="AI53" s="131"/>
    </row>
    <row r="54" spans="35:35">
      <c r="AI54" s="131"/>
    </row>
    <row r="55" spans="35:35">
      <c r="AI55" s="131"/>
    </row>
    <row r="56" spans="35:35">
      <c r="AI56" s="284"/>
    </row>
    <row r="57" spans="35:35">
      <c r="AI57" s="131"/>
    </row>
    <row r="58" spans="35:35">
      <c r="AI58" s="284"/>
    </row>
    <row r="59" spans="35:35">
      <c r="AI59" s="131"/>
    </row>
    <row r="60" spans="35:35">
      <c r="AI60" s="284"/>
    </row>
    <row r="61" spans="35:35">
      <c r="AI61" s="131"/>
    </row>
    <row r="62" spans="35:35">
      <c r="AI62" s="131"/>
    </row>
    <row r="63" spans="35:35">
      <c r="AI63" s="131"/>
    </row>
    <row r="64" spans="35:35">
      <c r="AI64" s="131"/>
    </row>
    <row r="65" spans="35:35">
      <c r="AI65" s="131"/>
    </row>
    <row r="66" spans="35:35">
      <c r="AI66" s="131"/>
    </row>
    <row r="67" spans="35:35">
      <c r="AI67" s="131"/>
    </row>
    <row r="68" spans="35:35">
      <c r="AI68" s="131"/>
    </row>
    <row r="69" spans="35:35">
      <c r="AI69" s="131"/>
    </row>
    <row r="70" spans="35:35">
      <c r="AI70" s="284"/>
    </row>
    <row r="71" spans="35:35">
      <c r="AI71" s="131"/>
    </row>
    <row r="72" spans="35:35">
      <c r="AI72" s="131"/>
    </row>
    <row r="73" spans="35:35">
      <c r="AI73" s="131"/>
    </row>
    <row r="74" spans="35:35">
      <c r="AI74" s="131"/>
    </row>
    <row r="75" spans="35:35">
      <c r="AI75" s="131"/>
    </row>
    <row r="76" spans="35:35">
      <c r="AI76" s="284"/>
    </row>
    <row r="77" spans="35:35">
      <c r="AI77" s="131"/>
    </row>
    <row r="78" spans="35:35">
      <c r="AI78" s="131"/>
    </row>
    <row r="79" spans="35:35">
      <c r="AI79" s="284"/>
    </row>
    <row r="80" spans="35:35">
      <c r="AI80" s="131"/>
    </row>
    <row r="81" spans="35:35">
      <c r="AI81" s="131"/>
    </row>
    <row r="82" spans="35:35">
      <c r="AI82" s="131"/>
    </row>
    <row r="83" spans="35:35">
      <c r="AI83" s="131"/>
    </row>
    <row r="84" spans="35:35">
      <c r="AI84" s="131"/>
    </row>
    <row r="85" spans="35:35">
      <c r="AI85" s="131"/>
    </row>
    <row r="86" spans="35:35">
      <c r="AI86" s="131"/>
    </row>
    <row r="87" spans="35:35">
      <c r="AI87" s="131"/>
    </row>
    <row r="88" spans="35:35">
      <c r="AI88" s="131"/>
    </row>
    <row r="89" spans="35:35">
      <c r="AI89" s="131"/>
    </row>
    <row r="90" spans="35:35">
      <c r="AI90" s="131"/>
    </row>
    <row r="91" spans="35:35">
      <c r="AI91" s="131"/>
    </row>
    <row r="92" spans="35:35">
      <c r="AI92" s="131"/>
    </row>
    <row r="93" spans="35:35">
      <c r="AI93" s="131"/>
    </row>
    <row r="94" spans="35:35">
      <c r="AI94" s="131"/>
    </row>
    <row r="95" spans="35:35">
      <c r="AI95" s="131"/>
    </row>
    <row r="96" spans="35:35">
      <c r="AI96" s="131"/>
    </row>
    <row r="97" spans="35:35">
      <c r="AI97" s="131"/>
    </row>
    <row r="98" spans="35:35">
      <c r="AI98" s="131"/>
    </row>
    <row r="99" spans="35:35">
      <c r="AI99" s="131"/>
    </row>
    <row r="100" spans="35:35">
      <c r="AI100" s="131"/>
    </row>
    <row r="101" spans="35:35">
      <c r="AI101" s="131"/>
    </row>
    <row r="102" spans="35:35">
      <c r="AI102" s="131"/>
    </row>
    <row r="103" spans="35:35">
      <c r="AI103" s="131"/>
    </row>
    <row r="104" spans="35:35">
      <c r="AI104" s="131"/>
    </row>
    <row r="105" spans="35:35">
      <c r="AI105" s="131"/>
    </row>
    <row r="106" spans="35:35">
      <c r="AI106" s="131"/>
    </row>
    <row r="107" spans="35:35">
      <c r="AI107" s="131"/>
    </row>
    <row r="108" spans="35:35">
      <c r="AI108" s="131"/>
    </row>
    <row r="109" spans="35:35">
      <c r="AI109" s="131"/>
    </row>
    <row r="110" spans="35:35">
      <c r="AI110" s="131"/>
    </row>
    <row r="111" spans="35:35">
      <c r="AI111" s="131"/>
    </row>
    <row r="112" spans="35:35">
      <c r="AI112" s="131"/>
    </row>
    <row r="113" spans="35:35">
      <c r="AI113" s="131"/>
    </row>
    <row r="114" spans="35:35">
      <c r="AI114" s="131"/>
    </row>
    <row r="115" spans="35:35">
      <c r="AI115" s="131"/>
    </row>
    <row r="116" spans="35:35">
      <c r="AI116" s="284"/>
    </row>
    <row r="117" spans="35:35">
      <c r="AI117" s="131"/>
    </row>
    <row r="118" spans="35:35">
      <c r="AI118" s="131"/>
    </row>
    <row r="119" spans="35:35">
      <c r="AI119" s="131"/>
    </row>
    <row r="120" spans="35:35">
      <c r="AI120" s="131"/>
    </row>
    <row r="121" spans="35:35">
      <c r="AI121" s="131"/>
    </row>
    <row r="122" spans="35:35">
      <c r="AI122" s="131"/>
    </row>
    <row r="123" spans="35:35">
      <c r="AI123" s="131"/>
    </row>
    <row r="124" spans="35:35">
      <c r="AI124" s="131"/>
    </row>
    <row r="125" spans="35:35">
      <c r="AI125" s="131"/>
    </row>
    <row r="126" spans="35:35">
      <c r="AI126" s="131"/>
    </row>
    <row r="127" spans="35:35">
      <c r="AI127" s="131"/>
    </row>
    <row r="128" spans="35:35">
      <c r="AI128" s="131"/>
    </row>
    <row r="129" spans="35:35">
      <c r="AI129" s="131"/>
    </row>
    <row r="130" spans="35:35">
      <c r="AI130" s="131"/>
    </row>
    <row r="131" spans="35:35">
      <c r="AI131" s="131"/>
    </row>
    <row r="132" spans="35:35">
      <c r="AI132" s="131"/>
    </row>
    <row r="133" spans="35:35">
      <c r="AI133" s="131"/>
    </row>
    <row r="134" spans="35:35">
      <c r="AI134" s="131"/>
    </row>
    <row r="135" spans="35:35">
      <c r="AI135" s="131"/>
    </row>
    <row r="136" spans="35:35">
      <c r="AI136" s="131"/>
    </row>
    <row r="137" spans="35:35">
      <c r="AI137" s="131"/>
    </row>
    <row r="138" spans="35:35">
      <c r="AI138" s="131"/>
    </row>
    <row r="139" spans="35:35">
      <c r="AI139" s="131"/>
    </row>
    <row r="140" spans="35:35">
      <c r="AI140" s="131"/>
    </row>
    <row r="141" spans="35:35">
      <c r="AI141" s="131"/>
    </row>
    <row r="142" spans="35:35">
      <c r="AI142" s="131"/>
    </row>
    <row r="143" spans="35:35">
      <c r="AI143" s="131"/>
    </row>
    <row r="144" spans="35:35">
      <c r="AI144" s="131"/>
    </row>
    <row r="146" spans="35:35">
      <c r="AI146" s="131"/>
    </row>
    <row r="147" spans="35:35">
      <c r="AI147" s="131"/>
    </row>
    <row r="148" spans="35:35">
      <c r="AI148" s="131"/>
    </row>
    <row r="149" spans="35:35">
      <c r="AI149" s="131"/>
    </row>
    <row r="150" spans="35:35">
      <c r="AI150" s="131"/>
    </row>
    <row r="152" spans="35:35">
      <c r="AI152" s="131"/>
    </row>
    <row r="153" spans="35:35">
      <c r="AI153" s="131"/>
    </row>
    <row r="154" spans="35:35">
      <c r="AI154" s="131"/>
    </row>
    <row r="155" spans="35:35">
      <c r="AI155" s="131"/>
    </row>
    <row r="156" spans="35:35">
      <c r="AI156" s="131"/>
    </row>
    <row r="157" spans="35:35">
      <c r="AI157" s="131"/>
    </row>
    <row r="158" spans="35:35">
      <c r="AI158" s="131"/>
    </row>
    <row r="159" spans="35:35">
      <c r="AI159" s="131"/>
    </row>
    <row r="160" spans="35:35">
      <c r="AI160" s="131"/>
    </row>
    <row r="161" spans="35:35">
      <c r="AI161" s="131"/>
    </row>
    <row r="162" spans="35:35">
      <c r="AI162" s="131"/>
    </row>
    <row r="163" spans="35:35">
      <c r="AI163" s="284"/>
    </row>
    <row r="164" spans="35:35">
      <c r="AI164" s="131"/>
    </row>
    <row r="166" spans="35:35">
      <c r="AI166" s="131"/>
    </row>
    <row r="167" spans="35:35">
      <c r="AI167" s="131"/>
    </row>
    <row r="168" spans="35:35">
      <c r="AI168" s="131"/>
    </row>
    <row r="169" spans="35:35">
      <c r="AI169" s="131"/>
    </row>
    <row r="170" spans="35:35">
      <c r="AI170" s="131"/>
    </row>
    <row r="171" spans="35:35">
      <c r="AI171" s="131"/>
    </row>
    <row r="172" spans="35:35">
      <c r="AI172" s="131"/>
    </row>
    <row r="173" spans="35:35">
      <c r="AI173" s="131"/>
    </row>
    <row r="174" spans="35:35">
      <c r="AI174" s="131"/>
    </row>
    <row r="175" spans="35:35">
      <c r="AI175" s="131"/>
    </row>
    <row r="176" spans="35:35">
      <c r="AI176" s="131"/>
    </row>
    <row r="178" spans="35:35">
      <c r="AI178" s="131"/>
    </row>
    <row r="179" spans="35:35">
      <c r="AI179" s="131"/>
    </row>
    <row r="180" spans="35:35">
      <c r="AI180" s="131"/>
    </row>
    <row r="181" spans="35:35">
      <c r="AI181" s="131"/>
    </row>
    <row r="182" spans="35:35">
      <c r="AI182" s="131"/>
    </row>
    <row r="183" spans="35:35">
      <c r="AI183" s="131"/>
    </row>
    <row r="184" spans="35:35">
      <c r="AI184" s="131"/>
    </row>
    <row r="185" spans="35:35">
      <c r="AI185" s="131"/>
    </row>
    <row r="186" spans="35:35">
      <c r="AI186" s="131"/>
    </row>
    <row r="187" spans="35:35">
      <c r="AI187" s="131"/>
    </row>
    <row r="188" spans="35:35">
      <c r="AI188" s="131"/>
    </row>
    <row r="189" spans="35:35">
      <c r="AI189" s="131"/>
    </row>
    <row r="190" spans="35:35">
      <c r="AI190" s="131"/>
    </row>
    <row r="191" spans="35:35">
      <c r="AI191" s="131"/>
    </row>
    <row r="192" spans="35:35">
      <c r="AI192" s="131"/>
    </row>
    <row r="193" spans="35:35">
      <c r="AI193" s="131"/>
    </row>
    <row r="194" spans="35:35">
      <c r="AI194" s="131"/>
    </row>
    <row r="195" spans="35:35">
      <c r="AI195" s="131"/>
    </row>
    <row r="196" spans="35:35">
      <c r="AI196" s="131"/>
    </row>
    <row r="197" spans="35:35">
      <c r="AI197" s="131"/>
    </row>
    <row r="198" spans="35:35">
      <c r="AI198" s="131"/>
    </row>
    <row r="199" spans="35:35">
      <c r="AI199" s="131"/>
    </row>
    <row r="200" spans="35:35">
      <c r="AI200" s="131"/>
    </row>
    <row r="201" spans="35:35">
      <c r="AI201" s="131"/>
    </row>
    <row r="202" spans="35:35">
      <c r="AI202" s="131"/>
    </row>
    <row r="203" spans="35:35">
      <c r="AI203" s="131"/>
    </row>
    <row r="204" spans="35:35">
      <c r="AI204" s="131"/>
    </row>
    <row r="205" spans="35:35">
      <c r="AI205" s="131"/>
    </row>
    <row r="206" spans="35:35">
      <c r="AI206" s="131"/>
    </row>
    <row r="207" spans="35:35">
      <c r="AI207" s="131"/>
    </row>
    <row r="208" spans="35:35">
      <c r="AI208" s="131"/>
    </row>
    <row r="209" spans="35:35">
      <c r="AI209" s="131"/>
    </row>
    <row r="210" spans="35:35">
      <c r="AI210" s="131"/>
    </row>
    <row r="211" spans="35:35">
      <c r="AI211" s="131"/>
    </row>
    <row r="212" spans="35:35">
      <c r="AI212" s="131"/>
    </row>
    <row r="213" spans="35:35">
      <c r="AI213" s="131"/>
    </row>
    <row r="214" spans="35:35">
      <c r="AI214" s="131"/>
    </row>
    <row r="215" spans="35:35">
      <c r="AI215" s="131"/>
    </row>
    <row r="216" spans="35:35">
      <c r="AI216" s="131"/>
    </row>
    <row r="217" spans="35:35">
      <c r="AI217" s="131"/>
    </row>
    <row r="218" spans="35:35">
      <c r="AI218" s="131"/>
    </row>
    <row r="219" spans="35:35">
      <c r="AI219" s="131"/>
    </row>
    <row r="220" spans="35:35">
      <c r="AI220" s="131"/>
    </row>
    <row r="221" spans="35:35">
      <c r="AI221" s="131"/>
    </row>
    <row r="222" spans="35:35">
      <c r="AI222" s="131"/>
    </row>
    <row r="223" spans="35:35">
      <c r="AI223" s="131"/>
    </row>
    <row r="224" spans="35:35">
      <c r="AI224" s="131"/>
    </row>
    <row r="225" spans="35:35">
      <c r="AI225" s="131"/>
    </row>
    <row r="226" spans="35:35">
      <c r="AI226" s="131"/>
    </row>
    <row r="227" spans="35:35">
      <c r="AI227" s="131"/>
    </row>
    <row r="228" spans="35:35">
      <c r="AI228" s="131"/>
    </row>
    <row r="229" spans="35:35">
      <c r="AI229" s="131"/>
    </row>
    <row r="230" spans="35:35">
      <c r="AI230" s="131"/>
    </row>
    <row r="231" spans="35:35">
      <c r="AI231" s="131"/>
    </row>
    <row r="232" spans="35:35">
      <c r="AI232" s="131"/>
    </row>
    <row r="233" spans="35:35">
      <c r="AI233" s="131"/>
    </row>
    <row r="234" spans="35:35">
      <c r="AI234" s="131"/>
    </row>
    <row r="235" spans="35:35">
      <c r="AI235" s="131"/>
    </row>
    <row r="236" spans="35:35">
      <c r="AI236" s="131"/>
    </row>
    <row r="237" spans="35:35">
      <c r="AI237" s="131"/>
    </row>
    <row r="238" spans="35:35">
      <c r="AI238" s="131"/>
    </row>
    <row r="239" spans="35:35">
      <c r="AI239" s="284"/>
    </row>
    <row r="240" spans="35:35">
      <c r="AI240" s="131"/>
    </row>
    <row r="241" spans="35:35">
      <c r="AI241" s="131"/>
    </row>
    <row r="242" spans="35:35">
      <c r="AI242" s="131"/>
    </row>
    <row r="243" spans="35:35">
      <c r="AI243" s="131"/>
    </row>
    <row r="244" spans="35:35">
      <c r="AI244" s="131"/>
    </row>
    <row r="245" spans="35:35">
      <c r="AI245" s="131"/>
    </row>
    <row r="246" spans="35:35">
      <c r="AI246" s="131"/>
    </row>
    <row r="247" spans="35:35">
      <c r="AI247" s="52"/>
    </row>
    <row r="248" spans="35:35">
      <c r="AI248" s="131"/>
    </row>
    <row r="249" spans="35:35">
      <c r="AI249" s="131"/>
    </row>
    <row r="250" spans="35:35">
      <c r="AI250" s="131"/>
    </row>
    <row r="251" spans="35:35">
      <c r="AI251" s="131"/>
    </row>
    <row r="252" spans="35:35">
      <c r="AI252" s="131"/>
    </row>
    <row r="253" spans="35:35">
      <c r="AI253" s="131"/>
    </row>
    <row r="254" spans="35:35">
      <c r="AI254" s="131"/>
    </row>
    <row r="255" spans="35:35">
      <c r="AI255" s="131"/>
    </row>
    <row r="256" spans="35:35">
      <c r="AI256" s="131"/>
    </row>
    <row r="257" spans="35:35">
      <c r="AI257" s="131"/>
    </row>
    <row r="258" spans="35:35">
      <c r="AI258" s="131"/>
    </row>
    <row r="259" spans="35:35">
      <c r="AI259" s="131"/>
    </row>
    <row r="260" spans="35:35">
      <c r="AI260" s="131"/>
    </row>
    <row r="261" spans="35:35">
      <c r="AI261" s="131"/>
    </row>
    <row r="262" spans="35:35">
      <c r="AI262" s="131"/>
    </row>
    <row r="263" spans="35:35">
      <c r="AI263" s="131"/>
    </row>
    <row r="264" spans="35:35">
      <c r="AI264" s="131"/>
    </row>
    <row r="265" spans="35:35">
      <c r="AI265" s="131"/>
    </row>
    <row r="266" spans="35:35">
      <c r="AI266" s="131"/>
    </row>
    <row r="267" spans="35:35">
      <c r="AI267" s="131"/>
    </row>
    <row r="268" spans="35:35">
      <c r="AI268" s="131"/>
    </row>
    <row r="269" spans="35:35">
      <c r="AI269" s="131"/>
    </row>
    <row r="270" spans="35:35">
      <c r="AI270" s="131"/>
    </row>
    <row r="271" spans="35:35">
      <c r="AI271" s="131"/>
    </row>
    <row r="272" spans="35:35">
      <c r="AI272" s="131"/>
    </row>
    <row r="273" spans="35:35">
      <c r="AI273" s="131"/>
    </row>
    <row r="274" spans="35:35">
      <c r="AI274" s="131"/>
    </row>
    <row r="275" spans="35:35">
      <c r="AI275" s="131"/>
    </row>
    <row r="276" spans="35:35">
      <c r="AI276" s="131"/>
    </row>
    <row r="277" spans="35:35">
      <c r="AI277" s="284"/>
    </row>
    <row r="278" spans="35:35">
      <c r="AI278" s="131"/>
    </row>
    <row r="280" spans="35:35">
      <c r="AI280" s="131"/>
    </row>
    <row r="281" spans="35:35">
      <c r="AI281" s="131"/>
    </row>
    <row r="282" spans="35:35">
      <c r="AI282" s="131"/>
    </row>
    <row r="283" spans="35:35">
      <c r="AI283" s="131"/>
    </row>
    <row r="284" spans="35:35">
      <c r="AI284" s="131"/>
    </row>
    <row r="285" spans="35:35">
      <c r="AI285" s="131"/>
    </row>
    <row r="286" spans="35:35">
      <c r="AI286" s="131"/>
    </row>
    <row r="287" spans="35:35">
      <c r="AI287" s="131"/>
    </row>
    <row r="288" spans="35:35">
      <c r="AI288" s="131"/>
    </row>
    <row r="289" spans="35:35">
      <c r="AI289" s="131"/>
    </row>
    <row r="290" spans="35:35">
      <c r="AI290" s="131"/>
    </row>
    <row r="291" spans="35:35">
      <c r="AI291" s="131"/>
    </row>
    <row r="292" spans="35:35">
      <c r="AI292" s="131"/>
    </row>
    <row r="293" spans="35:35">
      <c r="AI293" s="131"/>
    </row>
    <row r="294" spans="35:35">
      <c r="AI294" s="131"/>
    </row>
    <row r="295" spans="35:35">
      <c r="AI295" s="284"/>
    </row>
    <row r="296" spans="35:35">
      <c r="AI296" s="131"/>
    </row>
    <row r="297" spans="35:35">
      <c r="AI297" s="131"/>
    </row>
    <row r="298" spans="35:35">
      <c r="AI298" s="131"/>
    </row>
    <row r="299" spans="35:35">
      <c r="AI299" s="131"/>
    </row>
    <row r="300" spans="35:35">
      <c r="AI300" s="131"/>
    </row>
    <row r="301" spans="35:35">
      <c r="AI301" s="131"/>
    </row>
    <row r="302" spans="35:35">
      <c r="AI302" s="131"/>
    </row>
    <row r="303" spans="35:35">
      <c r="AI303" s="131"/>
    </row>
    <row r="304" spans="35:35">
      <c r="AI304" s="131"/>
    </row>
    <row r="305" spans="35:35">
      <c r="AI305" s="131"/>
    </row>
    <row r="306" spans="35:35">
      <c r="AI306" s="131"/>
    </row>
    <row r="307" spans="35:35">
      <c r="AI307" s="131"/>
    </row>
    <row r="308" spans="35:35">
      <c r="AI308" s="131"/>
    </row>
    <row r="309" spans="35:35">
      <c r="AI309" s="131"/>
    </row>
    <row r="310" spans="35:35">
      <c r="AI310" s="131"/>
    </row>
    <row r="311" spans="35:35">
      <c r="AI311" s="131"/>
    </row>
    <row r="312" spans="35:35">
      <c r="AI312" s="131"/>
    </row>
    <row r="313" spans="35:35">
      <c r="AI313" s="131"/>
    </row>
    <row r="314" spans="35:35">
      <c r="AI314" s="131"/>
    </row>
    <row r="315" spans="35:35">
      <c r="AI315" s="131"/>
    </row>
    <row r="316" spans="35:35">
      <c r="AI316" s="131"/>
    </row>
    <row r="317" spans="35:35">
      <c r="AI317" s="131"/>
    </row>
    <row r="318" spans="35:35">
      <c r="AI318" s="131"/>
    </row>
    <row r="319" spans="35:35">
      <c r="AI319" s="131"/>
    </row>
    <row r="320" spans="35:35">
      <c r="AI320" s="131"/>
    </row>
    <row r="321" spans="35:35">
      <c r="AI321" s="131"/>
    </row>
    <row r="322" spans="35:35">
      <c r="AI322" s="131"/>
    </row>
    <row r="323" spans="35:35">
      <c r="AI323" s="284"/>
    </row>
    <row r="324" spans="35:35">
      <c r="AI324" s="131"/>
    </row>
    <row r="325" spans="35:35">
      <c r="AI325" s="131"/>
    </row>
    <row r="326" spans="35:35">
      <c r="AI326" s="131"/>
    </row>
    <row r="327" spans="35:35">
      <c r="AI327" s="131"/>
    </row>
    <row r="328" spans="35:35">
      <c r="AI328" s="131"/>
    </row>
    <row r="329" spans="35:35">
      <c r="AI329" s="131"/>
    </row>
    <row r="330" spans="35:35">
      <c r="AI330" s="131"/>
    </row>
    <row r="331" spans="35:35">
      <c r="AI331" s="131"/>
    </row>
    <row r="332" spans="35:35">
      <c r="AI332" s="131"/>
    </row>
    <row r="333" spans="35:35">
      <c r="AI333" s="131"/>
    </row>
    <row r="334" spans="35:35">
      <c r="AI334" s="131"/>
    </row>
    <row r="335" spans="35:35">
      <c r="AI335" s="131"/>
    </row>
    <row r="336" spans="35:35">
      <c r="AI336" s="131"/>
    </row>
    <row r="337" spans="35:35">
      <c r="AI337" s="131"/>
    </row>
    <row r="338" spans="35:35">
      <c r="AI338" s="131"/>
    </row>
    <row r="339" spans="35:35">
      <c r="AI339" s="131"/>
    </row>
    <row r="340" spans="35:35">
      <c r="AI340" s="131"/>
    </row>
    <row r="341" spans="35:35">
      <c r="AI341" s="284"/>
    </row>
    <row r="342" spans="35:35">
      <c r="AI342" s="131"/>
    </row>
    <row r="343" spans="35:35">
      <c r="AI343" s="284"/>
    </row>
    <row r="344" spans="35:35">
      <c r="AI344" s="131"/>
    </row>
    <row r="345" spans="35:35">
      <c r="AI345" s="131"/>
    </row>
    <row r="346" spans="35:35">
      <c r="AI346" s="131"/>
    </row>
    <row r="347" spans="35:35">
      <c r="AI347" s="131"/>
    </row>
    <row r="348" spans="35:35">
      <c r="AI348" s="131"/>
    </row>
    <row r="349" spans="35:35">
      <c r="AI349" s="131"/>
    </row>
    <row r="350" spans="35:35">
      <c r="AI350" s="131"/>
    </row>
    <row r="351" spans="35:35">
      <c r="AI351" s="131"/>
    </row>
    <row r="352" spans="35:35">
      <c r="AI352" s="131"/>
    </row>
    <row r="353" spans="35:35">
      <c r="AI353" s="131"/>
    </row>
    <row r="354" spans="35:35">
      <c r="AI354" s="131"/>
    </row>
    <row r="355" spans="35:35">
      <c r="AI355" s="131"/>
    </row>
    <row r="356" spans="35:35">
      <c r="AI356" s="131"/>
    </row>
    <row r="357" spans="35:35">
      <c r="AI357" s="131"/>
    </row>
    <row r="358" spans="35:35">
      <c r="AI358" s="131"/>
    </row>
    <row r="359" spans="35:35">
      <c r="AI359" s="131"/>
    </row>
    <row r="360" spans="35:35">
      <c r="AI360" s="131"/>
    </row>
    <row r="361" spans="35:35">
      <c r="AI361" s="131"/>
    </row>
    <row r="362" spans="35:35">
      <c r="AI362" s="131"/>
    </row>
    <row r="363" spans="35:35">
      <c r="AI363" s="131"/>
    </row>
    <row r="364" spans="35:35">
      <c r="AI364" s="131"/>
    </row>
    <row r="365" spans="35:35">
      <c r="AI365" s="131"/>
    </row>
    <row r="366" spans="35:35">
      <c r="AI366" s="131"/>
    </row>
    <row r="367" spans="35:35">
      <c r="AI367" s="131"/>
    </row>
    <row r="368" spans="35:35">
      <c r="AI368" s="131"/>
    </row>
    <row r="369" spans="35:35">
      <c r="AI369" s="131"/>
    </row>
    <row r="370" spans="35:35">
      <c r="AI370" s="131"/>
    </row>
    <row r="371" spans="35:35">
      <c r="AI371" s="131"/>
    </row>
    <row r="372" spans="35:35">
      <c r="AI372" s="131"/>
    </row>
    <row r="373" spans="35:35">
      <c r="AI373" s="131"/>
    </row>
    <row r="374" spans="35:35">
      <c r="AI374" s="131"/>
    </row>
    <row r="375" spans="35:35">
      <c r="AI375" s="131"/>
    </row>
    <row r="376" spans="35:35">
      <c r="AI376" s="131"/>
    </row>
    <row r="377" spans="35:35">
      <c r="AI377" s="131"/>
    </row>
    <row r="378" spans="35:35">
      <c r="AI378" s="284"/>
    </row>
    <row r="379" spans="35:35">
      <c r="AI379" s="131"/>
    </row>
    <row r="380" spans="35:35">
      <c r="AI380" s="131"/>
    </row>
    <row r="381" spans="35:35">
      <c r="AI381" s="131"/>
    </row>
    <row r="382" spans="35:35">
      <c r="AI382" s="131"/>
    </row>
    <row r="383" spans="35:35">
      <c r="AI383" s="131"/>
    </row>
    <row r="384" spans="35:35">
      <c r="AI384" s="131"/>
    </row>
    <row r="385" spans="35:35">
      <c r="AI385" s="131"/>
    </row>
    <row r="386" spans="35:35">
      <c r="AI386" s="131"/>
    </row>
    <row r="387" spans="35:35">
      <c r="AI387" s="131"/>
    </row>
    <row r="388" spans="35:35">
      <c r="AI388" s="131"/>
    </row>
    <row r="389" spans="35:35">
      <c r="AI389" s="131"/>
    </row>
    <row r="390" spans="35:35">
      <c r="AI390" s="131"/>
    </row>
    <row r="391" spans="35:35">
      <c r="AI391" s="131"/>
    </row>
    <row r="392" spans="35:35">
      <c r="AI392" s="131"/>
    </row>
    <row r="393" spans="35:35">
      <c r="AI393" s="131"/>
    </row>
    <row r="394" spans="35:35">
      <c r="AI394" s="131"/>
    </row>
    <row r="395" spans="35:35">
      <c r="AI395" s="131"/>
    </row>
    <row r="396" spans="35:35">
      <c r="AI396" s="131"/>
    </row>
    <row r="397" spans="35:35">
      <c r="AI397" s="131"/>
    </row>
    <row r="398" spans="35:35">
      <c r="AI398" s="131"/>
    </row>
    <row r="399" spans="35:35">
      <c r="AI399" s="131"/>
    </row>
    <row r="400" spans="35:35">
      <c r="AI400" s="131"/>
    </row>
    <row r="401" spans="35:35">
      <c r="AI401" s="131"/>
    </row>
    <row r="402" spans="35:35">
      <c r="AI402" s="131"/>
    </row>
    <row r="403" spans="35:35">
      <c r="AI403" s="131"/>
    </row>
    <row r="404" spans="35:35">
      <c r="AI404" s="131"/>
    </row>
    <row r="405" spans="35:35">
      <c r="AI405" s="131"/>
    </row>
    <row r="406" spans="35:35">
      <c r="AI406" s="131"/>
    </row>
    <row r="407" spans="35:35">
      <c r="AI407" s="131"/>
    </row>
    <row r="408" spans="35:35">
      <c r="AI408" s="131"/>
    </row>
    <row r="409" spans="35:35">
      <c r="AI409" s="131"/>
    </row>
    <row r="410" spans="35:35">
      <c r="AI410" s="131"/>
    </row>
    <row r="411" spans="35:35">
      <c r="AI411" s="131"/>
    </row>
    <row r="412" spans="35:35">
      <c r="AI412" s="131"/>
    </row>
    <row r="413" spans="35:35">
      <c r="AI413" s="131"/>
    </row>
    <row r="414" spans="35:35">
      <c r="AI414" s="131"/>
    </row>
    <row r="415" spans="35:35">
      <c r="AI415" s="131"/>
    </row>
    <row r="416" spans="35:35">
      <c r="AI416" s="131"/>
    </row>
    <row r="417" spans="35:35">
      <c r="AI417" s="131"/>
    </row>
    <row r="418" spans="35:35">
      <c r="AI418" s="131"/>
    </row>
    <row r="419" spans="35:35">
      <c r="AI419" s="131"/>
    </row>
    <row r="420" spans="35:35">
      <c r="AI420" s="131"/>
    </row>
    <row r="421" spans="35:35">
      <c r="AI421" s="131"/>
    </row>
    <row r="422" spans="35:35">
      <c r="AI422" s="131"/>
    </row>
    <row r="423" spans="35:35">
      <c r="AI423" s="286"/>
    </row>
    <row r="424" spans="35:35">
      <c r="AI424" s="131"/>
    </row>
    <row r="425" spans="35:35">
      <c r="AI425" s="131"/>
    </row>
    <row r="426" spans="35:35">
      <c r="AI426" s="131"/>
    </row>
    <row r="427" spans="35:35">
      <c r="AI427" s="131"/>
    </row>
    <row r="428" spans="35:35">
      <c r="AI428" s="131"/>
    </row>
    <row r="429" spans="35:35">
      <c r="AI429" s="131"/>
    </row>
    <row r="430" spans="35:35">
      <c r="AI430" s="131"/>
    </row>
    <row r="431" spans="35:35">
      <c r="AI431" s="131"/>
    </row>
    <row r="432" spans="35:35">
      <c r="AI432" s="131"/>
    </row>
    <row r="433" spans="35:35">
      <c r="AI433" s="131"/>
    </row>
    <row r="434" spans="35:35">
      <c r="AI434" s="131"/>
    </row>
    <row r="435" spans="35:35">
      <c r="AI435" s="131"/>
    </row>
    <row r="436" spans="35:35">
      <c r="AI436" s="131"/>
    </row>
    <row r="437" spans="35:35">
      <c r="AI437" s="131"/>
    </row>
    <row r="438" spans="35:35">
      <c r="AI438" s="131"/>
    </row>
    <row r="439" spans="35:35">
      <c r="AI439" s="131"/>
    </row>
    <row r="440" spans="35:35">
      <c r="AI440" s="131"/>
    </row>
    <row r="441" spans="35:35">
      <c r="AI441" s="131"/>
    </row>
    <row r="442" spans="35:35">
      <c r="AI442" s="131"/>
    </row>
    <row r="443" spans="35:35">
      <c r="AI443" s="131"/>
    </row>
    <row r="444" spans="35:35">
      <c r="AI444" s="131"/>
    </row>
    <row r="445" spans="35:35">
      <c r="AI445" s="131"/>
    </row>
    <row r="446" spans="35:35">
      <c r="AI446" s="131"/>
    </row>
    <row r="447" spans="35:35">
      <c r="AI447" s="131"/>
    </row>
    <row r="448" spans="35:35">
      <c r="AI448" s="131"/>
    </row>
    <row r="449" spans="35:35">
      <c r="AI449" s="131"/>
    </row>
    <row r="450" spans="35:35">
      <c r="AI450" s="131"/>
    </row>
    <row r="451" spans="35:35">
      <c r="AI451" s="131"/>
    </row>
    <row r="452" spans="35:35">
      <c r="AI452" s="131"/>
    </row>
    <row r="453" spans="35:35">
      <c r="AI453" s="131"/>
    </row>
    <row r="454" spans="35:35">
      <c r="AI454" s="131"/>
    </row>
    <row r="455" spans="35:35">
      <c r="AI455" s="131"/>
    </row>
    <row r="456" spans="35:35">
      <c r="AI456" s="131"/>
    </row>
    <row r="457" spans="35:35">
      <c r="AI457" s="131"/>
    </row>
    <row r="458" spans="35:35">
      <c r="AI458" s="131"/>
    </row>
    <row r="459" spans="35:35">
      <c r="AI459" s="131"/>
    </row>
    <row r="460" spans="35:35">
      <c r="AI460" s="131"/>
    </row>
    <row r="461" spans="35:35">
      <c r="AI461" s="131"/>
    </row>
    <row r="462" spans="35:35">
      <c r="AI462" s="131"/>
    </row>
    <row r="463" spans="35:35">
      <c r="AI463" s="131"/>
    </row>
    <row r="464" spans="35:35">
      <c r="AI464" s="34"/>
    </row>
    <row r="465" spans="35:35">
      <c r="AI465" s="131"/>
    </row>
    <row r="466" spans="35:35">
      <c r="AI466" s="131"/>
    </row>
    <row r="467" spans="35:35">
      <c r="AI467" s="284"/>
    </row>
    <row r="468" spans="35:35">
      <c r="AI468" s="131"/>
    </row>
    <row r="469" spans="35:35">
      <c r="AI469" s="131"/>
    </row>
    <row r="470" spans="35:35">
      <c r="AI470" s="131"/>
    </row>
    <row r="471" spans="35:35">
      <c r="AI471" s="131"/>
    </row>
    <row r="472" spans="35:35">
      <c r="AI472" s="131"/>
    </row>
    <row r="473" spans="35:35">
      <c r="AI473" s="284"/>
    </row>
    <row r="474" spans="35:35">
      <c r="AI474" s="131"/>
    </row>
    <row r="475" spans="35:35">
      <c r="AI475" s="131"/>
    </row>
    <row r="476" spans="35:35">
      <c r="AI476" s="131"/>
    </row>
    <row r="477" spans="35:35">
      <c r="AI477" s="131"/>
    </row>
    <row r="478" spans="35:35">
      <c r="AI478" s="131"/>
    </row>
    <row r="479" spans="35:35">
      <c r="AI479" s="131"/>
    </row>
    <row r="480" spans="35:35">
      <c r="AI480" s="131"/>
    </row>
    <row r="481" spans="35:35">
      <c r="AI481" s="131"/>
    </row>
    <row r="482" spans="35:35">
      <c r="AI482" s="131"/>
    </row>
    <row r="483" spans="35:35">
      <c r="AI483" s="131"/>
    </row>
    <row r="484" spans="35:35">
      <c r="AI484" s="284"/>
    </row>
    <row r="485" spans="35:35">
      <c r="AI485" s="131"/>
    </row>
    <row r="486" spans="35:35">
      <c r="AI486" s="131"/>
    </row>
    <row r="487" spans="35:35">
      <c r="AI487" s="131"/>
    </row>
    <row r="488" spans="35:35">
      <c r="AI488" s="131"/>
    </row>
    <row r="489" spans="35:35">
      <c r="AI489" s="131"/>
    </row>
    <row r="490" spans="35:35">
      <c r="AI490" s="131"/>
    </row>
    <row r="491" spans="35:35">
      <c r="AI491" s="131"/>
    </row>
    <row r="492" spans="35:35">
      <c r="AI492" s="131"/>
    </row>
    <row r="493" spans="35:35">
      <c r="AI493" s="131"/>
    </row>
    <row r="494" spans="35:35">
      <c r="AI494" s="284"/>
    </row>
    <row r="495" spans="35:35">
      <c r="AI495" s="131"/>
    </row>
    <row r="496" spans="35:35">
      <c r="AI496" s="131"/>
    </row>
    <row r="497" spans="35:35">
      <c r="AI497" s="131"/>
    </row>
    <row r="498" spans="35:35">
      <c r="AI498" s="131"/>
    </row>
    <row r="499" spans="35:35">
      <c r="AI499" s="131"/>
    </row>
    <row r="500" spans="35:35">
      <c r="AI500" s="131"/>
    </row>
    <row r="501" spans="35:35">
      <c r="AI501" s="131"/>
    </row>
    <row r="502" spans="35:35">
      <c r="AI502" s="284"/>
    </row>
    <row r="503" spans="35:35">
      <c r="AI503" s="131"/>
    </row>
    <row r="504" spans="35:35">
      <c r="AI504" s="131"/>
    </row>
    <row r="505" spans="35:35">
      <c r="AI505" s="131"/>
    </row>
    <row r="506" spans="35:35">
      <c r="AI506" s="131"/>
    </row>
    <row r="507" spans="35:35">
      <c r="AI507" s="131"/>
    </row>
    <row r="508" spans="35:35">
      <c r="AI508" s="131"/>
    </row>
    <row r="509" spans="35:35">
      <c r="AI509" s="131"/>
    </row>
    <row r="510" spans="35:35">
      <c r="AI510" s="131"/>
    </row>
    <row r="511" spans="35:35">
      <c r="AI511" s="131"/>
    </row>
    <row r="512" spans="35:35">
      <c r="AI512" s="284"/>
    </row>
    <row r="513" spans="35:35">
      <c r="AI513" s="131"/>
    </row>
    <row r="514" spans="35:35">
      <c r="AI514" s="131"/>
    </row>
    <row r="515" spans="35:35">
      <c r="AI515" s="131"/>
    </row>
    <row r="516" spans="35:35">
      <c r="AI516" s="131"/>
    </row>
    <row r="517" spans="35:35">
      <c r="AI517" s="131"/>
    </row>
    <row r="518" spans="35:35">
      <c r="AI518" s="131"/>
    </row>
    <row r="519" spans="35:35">
      <c r="AI519" s="131"/>
    </row>
    <row r="520" spans="35:35">
      <c r="AI520" s="131"/>
    </row>
    <row r="521" spans="35:35">
      <c r="AI521" s="131"/>
    </row>
    <row r="522" spans="35:35">
      <c r="AI522" s="131"/>
    </row>
    <row r="523" spans="35:35">
      <c r="AI523" s="131"/>
    </row>
    <row r="524" spans="35:35">
      <c r="AI524" s="131"/>
    </row>
    <row r="525" spans="35:35">
      <c r="AI525" s="131"/>
    </row>
    <row r="526" spans="35:35">
      <c r="AI526" s="131"/>
    </row>
    <row r="527" spans="35:35">
      <c r="AI527" s="131"/>
    </row>
    <row r="528" spans="35:35">
      <c r="AI528" s="131"/>
    </row>
    <row r="529" spans="35:35">
      <c r="AI529" s="131"/>
    </row>
    <row r="530" spans="35:35">
      <c r="AI530" s="131"/>
    </row>
    <row r="531" spans="35:35">
      <c r="AI531" s="131"/>
    </row>
    <row r="532" spans="35:35">
      <c r="AI532" s="131"/>
    </row>
    <row r="533" spans="35:35">
      <c r="AI533" s="284"/>
    </row>
    <row r="534" spans="35:35">
      <c r="AI534" s="131"/>
    </row>
    <row r="535" spans="35:35">
      <c r="AI535" s="131"/>
    </row>
    <row r="536" spans="35:35">
      <c r="AI536" s="131"/>
    </row>
    <row r="538" spans="35:35">
      <c r="AI538" s="131"/>
    </row>
    <row r="539" spans="35:35">
      <c r="AI539" s="131"/>
    </row>
    <row r="540" spans="35:35">
      <c r="AI540" s="131"/>
    </row>
    <row r="541" spans="35:35">
      <c r="AI541" s="131"/>
    </row>
    <row r="542" spans="35:35">
      <c r="AI542" s="131"/>
    </row>
    <row r="543" spans="35:35">
      <c r="AI543" s="131"/>
    </row>
    <row r="544" spans="35:35">
      <c r="AI544" s="131"/>
    </row>
    <row r="545" spans="35:35">
      <c r="AI545" s="131"/>
    </row>
    <row r="546" spans="35:35">
      <c r="AI546" s="284"/>
    </row>
    <row r="547" spans="35:35">
      <c r="AI547" s="131"/>
    </row>
    <row r="548" spans="35:35">
      <c r="AI548" s="131"/>
    </row>
    <row r="549" spans="35:35">
      <c r="AI549" s="131"/>
    </row>
    <row r="550" spans="35:35">
      <c r="AI550" s="284"/>
    </row>
    <row r="551" spans="35:35">
      <c r="AI551" s="131"/>
    </row>
    <row r="552" spans="35:35">
      <c r="AI552" s="131"/>
    </row>
    <row r="553" spans="35:35">
      <c r="AI553" s="131"/>
    </row>
    <row r="554" spans="35:35">
      <c r="AI554" s="131"/>
    </row>
    <row r="555" spans="35:35">
      <c r="AI555" s="131"/>
    </row>
    <row r="556" spans="35:35">
      <c r="AI556" s="131"/>
    </row>
    <row r="557" spans="35:35">
      <c r="AI557" s="131"/>
    </row>
    <row r="558" spans="35:35">
      <c r="AI558" s="131"/>
    </row>
    <row r="559" spans="35:35">
      <c r="AI559" s="131"/>
    </row>
    <row r="560" spans="35:35">
      <c r="AI560" s="131"/>
    </row>
    <row r="561" spans="35:35">
      <c r="AI561" s="131"/>
    </row>
    <row r="562" spans="35:35">
      <c r="AI562" s="131"/>
    </row>
    <row r="563" spans="35:35">
      <c r="AI563" s="131"/>
    </row>
    <row r="564" spans="35:35">
      <c r="AI564" s="131"/>
    </row>
    <row r="565" spans="35:35">
      <c r="AI565" s="131"/>
    </row>
    <row r="566" spans="35:35">
      <c r="AI566" s="131"/>
    </row>
    <row r="567" spans="35:35">
      <c r="AI567" s="131"/>
    </row>
    <row r="568" spans="35:35">
      <c r="AI568" s="131"/>
    </row>
    <row r="569" spans="35:35">
      <c r="AI569" s="131"/>
    </row>
    <row r="570" spans="35:35">
      <c r="AI570" s="131"/>
    </row>
    <row r="571" spans="35:35">
      <c r="AI571" s="131"/>
    </row>
    <row r="572" spans="35:35">
      <c r="AI572" s="131"/>
    </row>
    <row r="573" spans="35:35">
      <c r="AI573" s="131"/>
    </row>
    <row r="574" spans="35:35">
      <c r="AI574" s="131"/>
    </row>
    <row r="575" spans="35:35">
      <c r="AI575" s="131"/>
    </row>
    <row r="576" spans="35:35">
      <c r="AI576" s="131"/>
    </row>
    <row r="577" spans="35:35">
      <c r="AI577" s="131"/>
    </row>
    <row r="578" spans="35:35">
      <c r="AI578" s="131"/>
    </row>
    <row r="579" spans="35:35">
      <c r="AI579" s="131"/>
    </row>
    <row r="580" spans="35:35">
      <c r="AI580" s="131"/>
    </row>
    <row r="581" spans="35:35">
      <c r="AI581" s="131"/>
    </row>
    <row r="582" spans="35:35">
      <c r="AI582" s="131"/>
    </row>
    <row r="583" spans="35:35">
      <c r="AI583" s="131"/>
    </row>
    <row r="584" spans="35:35">
      <c r="AI584" s="131"/>
    </row>
    <row r="585" spans="35:35">
      <c r="AI585" s="131"/>
    </row>
    <row r="586" spans="35:35">
      <c r="AI586" s="131"/>
    </row>
    <row r="587" spans="35:35">
      <c r="AI587" s="131"/>
    </row>
    <row r="588" spans="35:35">
      <c r="AI588" s="131"/>
    </row>
    <row r="589" spans="35:35">
      <c r="AI589" s="131"/>
    </row>
    <row r="590" spans="35:35">
      <c r="AI590" s="131"/>
    </row>
    <row r="591" spans="35:35">
      <c r="AI591" s="131"/>
    </row>
    <row r="592" spans="35:35">
      <c r="AI592" s="131"/>
    </row>
    <row r="593" spans="35:35">
      <c r="AI593" s="131"/>
    </row>
    <row r="594" spans="35:35">
      <c r="AI594" s="131"/>
    </row>
    <row r="595" spans="35:35">
      <c r="AI595" s="28"/>
    </row>
    <row r="596" spans="35:35">
      <c r="AI596" s="131"/>
    </row>
    <row r="597" spans="35:35">
      <c r="AI597" s="131"/>
    </row>
    <row r="598" spans="35:35">
      <c r="AI598" s="131"/>
    </row>
    <row r="599" spans="35:35">
      <c r="AI599" s="131"/>
    </row>
    <row r="600" spans="35:35">
      <c r="AI600" s="131"/>
    </row>
    <row r="601" spans="35:35">
      <c r="AI601" s="131"/>
    </row>
    <row r="602" spans="35:35">
      <c r="AI602" s="131"/>
    </row>
    <row r="603" spans="35:35">
      <c r="AI603" s="131"/>
    </row>
    <row r="604" spans="35:35">
      <c r="AI604" s="131"/>
    </row>
    <row r="605" spans="35:35">
      <c r="AI605" s="131"/>
    </row>
    <row r="606" spans="35:35">
      <c r="AI606" s="131"/>
    </row>
    <row r="607" spans="35:35">
      <c r="AI607" s="131"/>
    </row>
    <row r="608" spans="35:35">
      <c r="AI608" s="131"/>
    </row>
    <row r="609" spans="35:35">
      <c r="AI609" s="131"/>
    </row>
    <row r="610" spans="35:35">
      <c r="AI610" s="131"/>
    </row>
    <row r="611" spans="35:35">
      <c r="AI611" s="131"/>
    </row>
    <row r="612" spans="35:35">
      <c r="AI612" s="131"/>
    </row>
    <row r="613" spans="35:35">
      <c r="AI613" s="131"/>
    </row>
    <row r="614" spans="35:35">
      <c r="AI614" s="131"/>
    </row>
    <row r="615" spans="35:35">
      <c r="AI615" s="131"/>
    </row>
    <row r="616" spans="35:35">
      <c r="AI616" s="131"/>
    </row>
    <row r="617" spans="35:35">
      <c r="AI617" s="131"/>
    </row>
    <row r="618" spans="35:35">
      <c r="AI618" s="131"/>
    </row>
    <row r="619" spans="35:35">
      <c r="AI619" s="131"/>
    </row>
    <row r="620" spans="35:35">
      <c r="AI620" s="131"/>
    </row>
    <row r="621" spans="35:35">
      <c r="AI621" s="131"/>
    </row>
    <row r="622" spans="35:35">
      <c r="AI622" s="131"/>
    </row>
    <row r="623" spans="35:35">
      <c r="AI623" s="131"/>
    </row>
    <row r="624" spans="35:35">
      <c r="AI624" s="131"/>
    </row>
    <row r="625" spans="35:35">
      <c r="AI625" s="131"/>
    </row>
    <row r="626" spans="35:35">
      <c r="AI626" s="131"/>
    </row>
    <row r="627" spans="35:35">
      <c r="AI627" s="131"/>
    </row>
    <row r="628" spans="35:35">
      <c r="AI628" s="284"/>
    </row>
    <row r="629" spans="35:35">
      <c r="AI629" s="284"/>
    </row>
    <row r="630" spans="35:35">
      <c r="AI630" s="131"/>
    </row>
    <row r="631" spans="35:35">
      <c r="AI631" s="131"/>
    </row>
    <row r="632" spans="35:35">
      <c r="AI632" s="131"/>
    </row>
    <row r="633" spans="35:35">
      <c r="AI633" s="131"/>
    </row>
    <row r="634" spans="35:35">
      <c r="AI634" s="131"/>
    </row>
    <row r="635" spans="35:35">
      <c r="AI635" s="131"/>
    </row>
    <row r="636" spans="35:35">
      <c r="AI636" s="131"/>
    </row>
    <row r="637" spans="35:35">
      <c r="AI637" s="131"/>
    </row>
    <row r="638" spans="35:35">
      <c r="AI638" s="131"/>
    </row>
    <row r="639" spans="35:35">
      <c r="AI639" s="131"/>
    </row>
    <row r="640" spans="35:35">
      <c r="AI640" s="131"/>
    </row>
    <row r="641" spans="35:35">
      <c r="AI641" s="131"/>
    </row>
    <row r="642" spans="35:35">
      <c r="AI642" s="131"/>
    </row>
    <row r="643" spans="35:35">
      <c r="AI643" s="131"/>
    </row>
    <row r="644" spans="35:35">
      <c r="AI644" s="131"/>
    </row>
    <row r="645" spans="35:35">
      <c r="AI645" s="131"/>
    </row>
    <row r="646" spans="35:35">
      <c r="AI646" s="131"/>
    </row>
    <row r="647" spans="35:35">
      <c r="AI647" s="131"/>
    </row>
    <row r="648" spans="35:35">
      <c r="AI648" s="131"/>
    </row>
    <row r="649" spans="35:35">
      <c r="AI649" s="131"/>
    </row>
    <row r="650" spans="35:35">
      <c r="AI650" s="131"/>
    </row>
    <row r="651" spans="35:35">
      <c r="AI651" s="131"/>
    </row>
    <row r="652" spans="35:35">
      <c r="AI652" s="131"/>
    </row>
    <row r="653" spans="35:35">
      <c r="AI653" s="131"/>
    </row>
    <row r="654" spans="35:35">
      <c r="AI654" s="131"/>
    </row>
    <row r="655" spans="35:35">
      <c r="AI655" s="131"/>
    </row>
    <row r="656" spans="35:35">
      <c r="AI656" s="131"/>
    </row>
    <row r="657" spans="35:35">
      <c r="AI657" s="131"/>
    </row>
    <row r="658" spans="35:35">
      <c r="AI658" s="131"/>
    </row>
    <row r="659" spans="35:35">
      <c r="AI659" s="131"/>
    </row>
    <row r="660" spans="35:35">
      <c r="AI660" s="131"/>
    </row>
    <row r="661" spans="35:35">
      <c r="AI661" s="131"/>
    </row>
    <row r="662" spans="35:35">
      <c r="AI662" s="131"/>
    </row>
    <row r="663" spans="35:35">
      <c r="AI663" s="131"/>
    </row>
    <row r="664" spans="35:35">
      <c r="AI664" s="131"/>
    </row>
    <row r="665" spans="35:35">
      <c r="AI665" s="131"/>
    </row>
    <row r="666" spans="35:35">
      <c r="AI666" s="131"/>
    </row>
    <row r="667" spans="35:35">
      <c r="AI667" s="131"/>
    </row>
    <row r="668" spans="35:35">
      <c r="AI668" s="284"/>
    </row>
    <row r="669" spans="35:35">
      <c r="AI669" s="131"/>
    </row>
    <row r="670" spans="35:35">
      <c r="AI670" s="131"/>
    </row>
    <row r="671" spans="35:35">
      <c r="AI671" s="131"/>
    </row>
    <row r="672" spans="35:35">
      <c r="AI672" s="131"/>
    </row>
    <row r="673" spans="35:35">
      <c r="AI673" s="131"/>
    </row>
    <row r="674" spans="35:35">
      <c r="AI674" s="131"/>
    </row>
    <row r="675" spans="35:35">
      <c r="AI675" s="131"/>
    </row>
    <row r="676" spans="35:35">
      <c r="AI676" s="131"/>
    </row>
    <row r="677" spans="35:35">
      <c r="AI677" s="131"/>
    </row>
    <row r="678" spans="35:35">
      <c r="AI678" s="131"/>
    </row>
    <row r="679" spans="35:35">
      <c r="AI679" s="131"/>
    </row>
    <row r="680" spans="35:35">
      <c r="AI680" s="131"/>
    </row>
    <row r="681" spans="35:35">
      <c r="AI681" s="131"/>
    </row>
    <row r="682" spans="35:35">
      <c r="AI682" s="131"/>
    </row>
    <row r="683" spans="35:35">
      <c r="AI683" s="131"/>
    </row>
    <row r="684" spans="35:35">
      <c r="AI684" s="131"/>
    </row>
    <row r="685" spans="35:35">
      <c r="AI685" s="131"/>
    </row>
    <row r="686" spans="35:35">
      <c r="AI686" s="131"/>
    </row>
    <row r="687" spans="35:35">
      <c r="AI687" s="131"/>
    </row>
    <row r="688" spans="35:35">
      <c r="AI688" s="131"/>
    </row>
    <row r="689" spans="35:35">
      <c r="AI689" s="131"/>
    </row>
    <row r="690" spans="35:35">
      <c r="AI690" s="131"/>
    </row>
    <row r="691" spans="35:35">
      <c r="AI691" s="131"/>
    </row>
    <row r="692" spans="35:35">
      <c r="AI692" s="131"/>
    </row>
    <row r="693" spans="35:35">
      <c r="AI693" s="131"/>
    </row>
    <row r="694" spans="35:35">
      <c r="AI694" s="131"/>
    </row>
    <row r="695" spans="35:35">
      <c r="AI695" s="131"/>
    </row>
    <row r="696" spans="35:35">
      <c r="AI696" s="131"/>
    </row>
    <row r="697" spans="35:35">
      <c r="AI697" s="131"/>
    </row>
    <row r="698" spans="35:35">
      <c r="AI698" s="131"/>
    </row>
    <row r="699" spans="35:35">
      <c r="AI699" s="131"/>
    </row>
    <row r="700" spans="35:35">
      <c r="AI700" s="131"/>
    </row>
    <row r="701" spans="35:35">
      <c r="AI701" s="131"/>
    </row>
    <row r="702" spans="35:35">
      <c r="AI702" s="131"/>
    </row>
    <row r="703" spans="35:35">
      <c r="AI703" s="131"/>
    </row>
    <row r="704" spans="35:35">
      <c r="AI704" s="131"/>
    </row>
    <row r="705" spans="35:35">
      <c r="AI705" s="131"/>
    </row>
    <row r="706" spans="35:35">
      <c r="AI706" s="131"/>
    </row>
    <row r="707" spans="35:35">
      <c r="AI707" s="131"/>
    </row>
    <row r="708" spans="35:35">
      <c r="AI708" s="131"/>
    </row>
    <row r="709" spans="35:35">
      <c r="AI709" s="131"/>
    </row>
    <row r="710" spans="35:35">
      <c r="AI710" s="131"/>
    </row>
    <row r="711" spans="35:35">
      <c r="AI711" s="131"/>
    </row>
    <row r="712" spans="35:35">
      <c r="AI712" s="131"/>
    </row>
    <row r="713" spans="35:35">
      <c r="AI713" s="131"/>
    </row>
    <row r="714" spans="35:35">
      <c r="AI714" s="131"/>
    </row>
    <row r="715" spans="35:35">
      <c r="AI715" s="131"/>
    </row>
    <row r="716" spans="35:35">
      <c r="AI716" s="131"/>
    </row>
    <row r="717" spans="35:35">
      <c r="AI717" s="131"/>
    </row>
    <row r="718" spans="35:35">
      <c r="AI718" s="131"/>
    </row>
    <row r="719" spans="35:35">
      <c r="AI719" s="131"/>
    </row>
    <row r="720" spans="35:35">
      <c r="AI720" s="131"/>
    </row>
    <row r="721" spans="35:35">
      <c r="AI721" s="131"/>
    </row>
    <row r="722" spans="35:35">
      <c r="AI722" s="131"/>
    </row>
    <row r="723" spans="35:35">
      <c r="AI723" s="131"/>
    </row>
    <row r="724" spans="35:35">
      <c r="AI724" s="131"/>
    </row>
    <row r="725" spans="35:35">
      <c r="AI725" s="131"/>
    </row>
    <row r="726" spans="35:35">
      <c r="AI726" s="284"/>
    </row>
    <row r="727" spans="35:35">
      <c r="AI727" s="131"/>
    </row>
    <row r="728" spans="35:35">
      <c r="AI728" s="131"/>
    </row>
    <row r="729" spans="35:35">
      <c r="AI729" s="131"/>
    </row>
    <row r="730" spans="35:35">
      <c r="AI730" s="131"/>
    </row>
    <row r="731" spans="35:35">
      <c r="AI731" s="131"/>
    </row>
    <row r="732" spans="35:35">
      <c r="AI732" s="131"/>
    </row>
    <row r="733" spans="35:35">
      <c r="AI733" s="131"/>
    </row>
    <row r="734" spans="35:35">
      <c r="AI734" s="131"/>
    </row>
    <row r="735" spans="35:35">
      <c r="AI735" s="131"/>
    </row>
    <row r="736" spans="35:35">
      <c r="AI736" s="131"/>
    </row>
    <row r="737" spans="35:35">
      <c r="AI737" s="131"/>
    </row>
    <row r="738" spans="35:35">
      <c r="AI738" s="131"/>
    </row>
    <row r="739" spans="35:35">
      <c r="AI739" s="131"/>
    </row>
    <row r="740" spans="35:35">
      <c r="AI740" s="131"/>
    </row>
    <row r="741" spans="35:35">
      <c r="AI741" s="131"/>
    </row>
    <row r="742" spans="35:35">
      <c r="AI742" s="131"/>
    </row>
    <row r="743" spans="35:35">
      <c r="AI743" s="131"/>
    </row>
    <row r="744" spans="35:35">
      <c r="AI744" s="131"/>
    </row>
    <row r="745" spans="35:35">
      <c r="AI745" s="131"/>
    </row>
    <row r="746" spans="35:35">
      <c r="AI746" s="131"/>
    </row>
    <row r="747" spans="35:35">
      <c r="AI747" s="131"/>
    </row>
    <row r="748" spans="35:35">
      <c r="AI748" s="131"/>
    </row>
    <row r="749" spans="35:35">
      <c r="AI749" s="131"/>
    </row>
    <row r="750" spans="35:35">
      <c r="AI750" s="131"/>
    </row>
    <row r="751" spans="35:35">
      <c r="AI751" s="131"/>
    </row>
    <row r="752" spans="35:35">
      <c r="AI752" s="131"/>
    </row>
    <row r="753" spans="35:35">
      <c r="AI753" s="131"/>
    </row>
    <row r="754" spans="35:35">
      <c r="AI754" s="131"/>
    </row>
    <row r="755" spans="35:35">
      <c r="AI755" s="131"/>
    </row>
    <row r="756" spans="35:35">
      <c r="AI756" s="131"/>
    </row>
    <row r="757" spans="35:35">
      <c r="AI757" s="131"/>
    </row>
    <row r="758" spans="35:35">
      <c r="AI758" s="131"/>
    </row>
    <row r="759" spans="35:35">
      <c r="AI759" s="131"/>
    </row>
    <row r="760" spans="35:35">
      <c r="AI760" s="131"/>
    </row>
    <row r="761" spans="35:35">
      <c r="AI761" s="131"/>
    </row>
    <row r="762" spans="35:35">
      <c r="AI762" s="131"/>
    </row>
    <row r="763" spans="35:35">
      <c r="AI763" s="131"/>
    </row>
    <row r="764" spans="35:35">
      <c r="AI764" s="131"/>
    </row>
    <row r="765" spans="35:35">
      <c r="AI765" s="131"/>
    </row>
    <row r="766" spans="35:35">
      <c r="AI766" s="131"/>
    </row>
    <row r="767" spans="35:35">
      <c r="AI767" s="131"/>
    </row>
    <row r="768" spans="35:35">
      <c r="AI768" s="131"/>
    </row>
    <row r="769" spans="35:35">
      <c r="AI769" s="131"/>
    </row>
    <row r="770" spans="35:35">
      <c r="AI770" s="131"/>
    </row>
    <row r="771" spans="35:35">
      <c r="AI771" s="131"/>
    </row>
    <row r="772" spans="35:35">
      <c r="AI772" s="131"/>
    </row>
    <row r="773" spans="35:35">
      <c r="AI773" s="131"/>
    </row>
    <row r="774" spans="35:35">
      <c r="AI774" s="131"/>
    </row>
    <row r="775" spans="35:35">
      <c r="AI775" s="131"/>
    </row>
    <row r="776" spans="35:35">
      <c r="AI776" s="131"/>
    </row>
    <row r="777" spans="35:35">
      <c r="AI777" s="131"/>
    </row>
    <row r="778" spans="35:35">
      <c r="AI778" s="131"/>
    </row>
    <row r="779" spans="35:35">
      <c r="AI779" s="131"/>
    </row>
    <row r="780" spans="35:35">
      <c r="AI780" s="131"/>
    </row>
    <row r="781" spans="35:35">
      <c r="AI781" s="131"/>
    </row>
    <row r="782" spans="35:35">
      <c r="AI782" s="131"/>
    </row>
    <row r="783" spans="35:35">
      <c r="AI783" s="284"/>
    </row>
    <row r="784" spans="35:35">
      <c r="AI784" s="131"/>
    </row>
    <row r="785" spans="35:35">
      <c r="AI785" s="131"/>
    </row>
    <row r="786" spans="35:35">
      <c r="AI786" s="131"/>
    </row>
    <row r="787" spans="35:35">
      <c r="AI787" s="131"/>
    </row>
    <row r="788" spans="35:35">
      <c r="AI788" s="131"/>
    </row>
    <row r="789" spans="35:35">
      <c r="AI789" s="131"/>
    </row>
    <row r="790" spans="35:35">
      <c r="AI790" s="131"/>
    </row>
    <row r="791" spans="35:35">
      <c r="AI791" s="131"/>
    </row>
    <row r="792" spans="35:35">
      <c r="AI792" s="131"/>
    </row>
    <row r="793" spans="35:35">
      <c r="AI793" s="131"/>
    </row>
    <row r="794" spans="35:35">
      <c r="AI794" s="131"/>
    </row>
    <row r="795" spans="35:35">
      <c r="AI795" s="131"/>
    </row>
    <row r="796" spans="35:35">
      <c r="AI796" s="131"/>
    </row>
    <row r="797" spans="35:35">
      <c r="AI797" s="131"/>
    </row>
    <row r="798" spans="35:35">
      <c r="AI798" s="131"/>
    </row>
    <row r="799" spans="35:35">
      <c r="AI799" s="131"/>
    </row>
    <row r="800" spans="35:35">
      <c r="AI800" s="131"/>
    </row>
    <row r="801" spans="35:35">
      <c r="AI801" s="131"/>
    </row>
    <row r="802" spans="35:35">
      <c r="AI802" s="131"/>
    </row>
    <row r="803" spans="35:35">
      <c r="AI803" s="131"/>
    </row>
    <row r="804" spans="35:35">
      <c r="AI804" s="131"/>
    </row>
    <row r="805" spans="35:35">
      <c r="AI805" s="131"/>
    </row>
    <row r="806" spans="35:35">
      <c r="AI806" s="131"/>
    </row>
    <row r="807" spans="35:35">
      <c r="AI807" s="131"/>
    </row>
    <row r="808" spans="35:35">
      <c r="AI808" s="131"/>
    </row>
    <row r="809" spans="35:35">
      <c r="AI809" s="131"/>
    </row>
    <row r="810" spans="35:35">
      <c r="AI810" s="131"/>
    </row>
    <row r="811" spans="35:35">
      <c r="AI811" s="253"/>
    </row>
    <row r="812" spans="35:35">
      <c r="AI812" s="131"/>
    </row>
    <row r="813" spans="35:35">
      <c r="AI813" s="131"/>
    </row>
    <row r="814" spans="35:35">
      <c r="AI814" s="131"/>
    </row>
    <row r="815" spans="35:35">
      <c r="AI815" s="131"/>
    </row>
    <row r="816" spans="35:35">
      <c r="AI816" s="131"/>
    </row>
    <row r="817" spans="35:35">
      <c r="AI817" s="131"/>
    </row>
    <row r="818" spans="35:35">
      <c r="AI818" s="131"/>
    </row>
    <row r="819" spans="35:35">
      <c r="AI819" s="131"/>
    </row>
    <row r="820" spans="35:35">
      <c r="AI820" s="131"/>
    </row>
    <row r="821" spans="35:35">
      <c r="AI821" s="131"/>
    </row>
    <row r="822" spans="35:35">
      <c r="AI822" s="131"/>
    </row>
    <row r="823" spans="35:35">
      <c r="AI823" s="131"/>
    </row>
    <row r="824" spans="35:35">
      <c r="AI824" s="131"/>
    </row>
    <row r="825" spans="35:35">
      <c r="AI825" s="284"/>
    </row>
    <row r="826" spans="35:35">
      <c r="AI826" s="131"/>
    </row>
    <row r="827" spans="35:35">
      <c r="AI827" s="131"/>
    </row>
    <row r="828" spans="35:35">
      <c r="AI828" s="131"/>
    </row>
    <row r="829" spans="35:35">
      <c r="AI829" s="131"/>
    </row>
    <row r="830" spans="35:35">
      <c r="AI830" s="131"/>
    </row>
    <row r="831" spans="35:35">
      <c r="AI831" s="131"/>
    </row>
    <row r="832" spans="35:35">
      <c r="AI832" s="131"/>
    </row>
    <row r="833" spans="35:35">
      <c r="AI833" s="131"/>
    </row>
    <row r="835" spans="35:35">
      <c r="AI835" s="131"/>
    </row>
    <row r="836" spans="35:35">
      <c r="AI836" s="131"/>
    </row>
    <row r="837" spans="35:35">
      <c r="AI837" s="284"/>
    </row>
    <row r="838" spans="35:35">
      <c r="AI838" s="131"/>
    </row>
    <row r="839" spans="35:35">
      <c r="AI839" s="284"/>
    </row>
    <row r="840" spans="35:35">
      <c r="AI840" s="131"/>
    </row>
    <row r="841" spans="35:35">
      <c r="AI841" s="131"/>
    </row>
    <row r="842" spans="35:35">
      <c r="AI842" s="131"/>
    </row>
    <row r="843" spans="35:35">
      <c r="AI843" s="284"/>
    </row>
    <row r="844" spans="35:35">
      <c r="AI844" s="128"/>
    </row>
    <row r="846" spans="35:35">
      <c r="AI846" s="131"/>
    </row>
    <row r="847" spans="35:35">
      <c r="AI847" s="284"/>
    </row>
    <row r="848" spans="35:35">
      <c r="AI848" s="131"/>
    </row>
    <row r="849" spans="35:35">
      <c r="AI849" s="131"/>
    </row>
    <row r="850" spans="35:35">
      <c r="AI850" s="284"/>
    </row>
    <row r="851" spans="35:35">
      <c r="AI851" s="131"/>
    </row>
    <row r="852" spans="35:35">
      <c r="AI852" s="131"/>
    </row>
    <row r="853" spans="35:35">
      <c r="AI853" s="131"/>
    </row>
    <row r="854" spans="35:35">
      <c r="AI854" s="131"/>
    </row>
    <row r="855" spans="35:35">
      <c r="AI855" s="131"/>
    </row>
    <row r="856" spans="35:35">
      <c r="AI856" s="284"/>
    </row>
    <row r="857" spans="35:35">
      <c r="AI857" s="131"/>
    </row>
    <row r="858" spans="35:35">
      <c r="AI858" s="131"/>
    </row>
    <row r="859" spans="35:35">
      <c r="AI859" s="131"/>
    </row>
    <row r="860" spans="35:35">
      <c r="AI860" s="131"/>
    </row>
    <row r="862" spans="35:35">
      <c r="AI862" s="284"/>
    </row>
    <row r="863" spans="35:35">
      <c r="AI863" s="131"/>
    </row>
    <row r="864" spans="35:35">
      <c r="AI864" s="131"/>
    </row>
    <row r="865" spans="35:35">
      <c r="AI865" s="131"/>
    </row>
    <row r="866" spans="35:35">
      <c r="AI866" s="131"/>
    </row>
    <row r="867" spans="35:35">
      <c r="AI867" s="131"/>
    </row>
    <row r="868" spans="35:35">
      <c r="AI868" s="131"/>
    </row>
    <row r="869" spans="35:35">
      <c r="AI869" s="131"/>
    </row>
    <row r="870" spans="35:35">
      <c r="AI870" s="131"/>
    </row>
    <row r="871" spans="35:35">
      <c r="AI871" s="27"/>
    </row>
    <row r="872" spans="35:35">
      <c r="AI872" s="131"/>
    </row>
    <row r="873" spans="35:35">
      <c r="AI873" s="131"/>
    </row>
    <row r="874" spans="35:35">
      <c r="AI874" s="131"/>
    </row>
    <row r="875" spans="35:35">
      <c r="AI875" s="131"/>
    </row>
    <row r="876" spans="35:35">
      <c r="AI876" s="131"/>
    </row>
    <row r="877" spans="35:35">
      <c r="AI877" s="131"/>
    </row>
    <row r="878" spans="35:35">
      <c r="AI878" s="131"/>
    </row>
    <row r="879" spans="35:35">
      <c r="AI879" s="284"/>
    </row>
    <row r="880" spans="35:35">
      <c r="AI880" s="131"/>
    </row>
    <row r="881" spans="35:35">
      <c r="AI881" s="131"/>
    </row>
    <row r="882" spans="35:35">
      <c r="AI882" s="131"/>
    </row>
    <row r="883" spans="35:35">
      <c r="AI883" s="131"/>
    </row>
    <row r="884" spans="35:35">
      <c r="AI884" s="131"/>
    </row>
    <row r="885" spans="35:35">
      <c r="AI885" s="131"/>
    </row>
    <row r="886" spans="35:35">
      <c r="AI886" s="284"/>
    </row>
    <row r="887" spans="35:35">
      <c r="AI887" s="131"/>
    </row>
    <row r="888" spans="35:35">
      <c r="AI888" s="131"/>
    </row>
    <row r="889" spans="35:35">
      <c r="AI889" s="131"/>
    </row>
    <row r="890" spans="35:35">
      <c r="AI890" s="131"/>
    </row>
    <row r="891" spans="35:35">
      <c r="AI891" s="131"/>
    </row>
    <row r="892" spans="35:35">
      <c r="AI892" s="131"/>
    </row>
    <row r="893" spans="35:35">
      <c r="AI893" s="131"/>
    </row>
    <row r="894" spans="35:35">
      <c r="AI894" s="284"/>
    </row>
    <row r="895" spans="35:35">
      <c r="AI895" s="131"/>
    </row>
    <row r="896" spans="35:35">
      <c r="AI896" s="131"/>
    </row>
    <row r="897" spans="35:35">
      <c r="AI897" s="131"/>
    </row>
    <row r="898" spans="35:35">
      <c r="AI898" s="131"/>
    </row>
    <row r="899" spans="35:35">
      <c r="AI899" s="131"/>
    </row>
    <row r="900" spans="35:35">
      <c r="AI900" s="131"/>
    </row>
    <row r="901" spans="35:35">
      <c r="AI901" s="131"/>
    </row>
    <row r="902" spans="35:35">
      <c r="AI902" s="131"/>
    </row>
    <row r="903" spans="35:35">
      <c r="AI903" s="131"/>
    </row>
    <row r="904" spans="35:35">
      <c r="AI904" s="128"/>
    </row>
    <row r="905" spans="35:35">
      <c r="AI905" s="128"/>
    </row>
    <row r="906" spans="35:35">
      <c r="AI906" s="131"/>
    </row>
    <row r="907" spans="35:35">
      <c r="AI907" s="131"/>
    </row>
    <row r="908" spans="35:35">
      <c r="AI908" s="131"/>
    </row>
    <row r="909" spans="35:35">
      <c r="AI909" s="131"/>
    </row>
    <row r="910" spans="35:35">
      <c r="AI910" s="131"/>
    </row>
    <row r="911" spans="35:35">
      <c r="AI911" s="131"/>
    </row>
    <row r="912" spans="35:35">
      <c r="AI912" s="131"/>
    </row>
    <row r="913" spans="35:35">
      <c r="AI913" s="131"/>
    </row>
    <row r="914" spans="35:35">
      <c r="AI914" s="131"/>
    </row>
    <row r="915" spans="35:35">
      <c r="AI915" s="131"/>
    </row>
    <row r="916" spans="35:35">
      <c r="AI916" s="131"/>
    </row>
    <row r="917" spans="35:35">
      <c r="AI917" s="284"/>
    </row>
    <row r="918" spans="35:35">
      <c r="AI918" s="131"/>
    </row>
    <row r="919" spans="35:35">
      <c r="AI919" s="131"/>
    </row>
    <row r="920" spans="35:35">
      <c r="AI920" s="284"/>
    </row>
    <row r="921" spans="35:35">
      <c r="AI921" s="131"/>
    </row>
    <row r="922" spans="35:35">
      <c r="AI922" s="131"/>
    </row>
    <row r="923" spans="35:35">
      <c r="AI923" s="131"/>
    </row>
    <row r="924" spans="35:35">
      <c r="AI924" s="44"/>
    </row>
    <row r="926" spans="35:35">
      <c r="AI926" s="131"/>
    </row>
    <row r="927" spans="35:35">
      <c r="AI927" s="131"/>
    </row>
    <row r="928" spans="35:35">
      <c r="AI928" s="131"/>
    </row>
    <row r="929" spans="35:35">
      <c r="AI929" s="131"/>
    </row>
    <row r="930" spans="35:35">
      <c r="AI930" s="131"/>
    </row>
    <row r="931" spans="35:35">
      <c r="AI931" s="131"/>
    </row>
    <row r="932" spans="35:35">
      <c r="AI932" s="131"/>
    </row>
    <row r="933" spans="35:35">
      <c r="AI933" s="131"/>
    </row>
    <row r="934" spans="35:35">
      <c r="AI934" s="128"/>
    </row>
    <row r="935" spans="35:35">
      <c r="AI935" s="131"/>
    </row>
    <row r="936" spans="35:35">
      <c r="AI936" s="131"/>
    </row>
    <row r="937" spans="35:35">
      <c r="AI937" s="131"/>
    </row>
    <row r="938" spans="35:35">
      <c r="AI938" s="131"/>
    </row>
    <row r="939" spans="35:35">
      <c r="AI939" s="131"/>
    </row>
    <row r="940" spans="35:35">
      <c r="AI940" s="131"/>
    </row>
    <row r="941" spans="35:35">
      <c r="AI941" s="131"/>
    </row>
    <row r="942" spans="35:35">
      <c r="AI942" s="131"/>
    </row>
    <row r="944" spans="35:35">
      <c r="AI944" s="131"/>
    </row>
    <row r="945" spans="35:35">
      <c r="AI945" s="131"/>
    </row>
    <row r="946" spans="35:35">
      <c r="AI946" s="131"/>
    </row>
    <row r="947" spans="35:35">
      <c r="AI947" s="131"/>
    </row>
    <row r="948" spans="35:35">
      <c r="AI948" s="284"/>
    </row>
    <row r="949" spans="35:35">
      <c r="AI949" s="131"/>
    </row>
    <row r="950" spans="35:35">
      <c r="AI950" s="131"/>
    </row>
    <row r="951" spans="35:35">
      <c r="AI951" s="131"/>
    </row>
    <row r="952" spans="35:35">
      <c r="AI952" s="131"/>
    </row>
    <row r="953" spans="35:35">
      <c r="AI953" s="131"/>
    </row>
    <row r="954" spans="35:35">
      <c r="AI954" s="131"/>
    </row>
    <row r="955" spans="35:35">
      <c r="AI955" s="128"/>
    </row>
    <row r="956" spans="35:35">
      <c r="AI956" s="131"/>
    </row>
    <row r="957" spans="35:35">
      <c r="AI957" s="284"/>
    </row>
    <row r="958" spans="35:35">
      <c r="AI958" s="131"/>
    </row>
    <row r="959" spans="35:35">
      <c r="AI959" s="131"/>
    </row>
    <row r="960" spans="35:35">
      <c r="AI960" s="131"/>
    </row>
    <row r="961" spans="35:35">
      <c r="AI961" s="131"/>
    </row>
    <row r="962" spans="35:35">
      <c r="AI962" s="131"/>
    </row>
    <row r="963" spans="35:35">
      <c r="AI963" s="131"/>
    </row>
    <row r="964" spans="35:35">
      <c r="AI964" s="131"/>
    </row>
    <row r="965" spans="35:35">
      <c r="AI965" s="131"/>
    </row>
    <row r="966" spans="35:35">
      <c r="AI966" s="131"/>
    </row>
    <row r="967" spans="35:35">
      <c r="AI967" s="131"/>
    </row>
    <row r="968" spans="35:35">
      <c r="AI968" s="131"/>
    </row>
    <row r="969" spans="35:35">
      <c r="AI969" s="131"/>
    </row>
    <row r="970" spans="35:35">
      <c r="AI970" s="131"/>
    </row>
    <row r="971" spans="35:35">
      <c r="AI971" s="131"/>
    </row>
    <row r="972" spans="35:35">
      <c r="AI972" s="131"/>
    </row>
    <row r="973" spans="35:35">
      <c r="AI973" s="131"/>
    </row>
    <row r="974" spans="35:35">
      <c r="AI974" s="131"/>
    </row>
    <row r="975" spans="35:35">
      <c r="AI975" s="131"/>
    </row>
    <row r="976" spans="35:35">
      <c r="AI976" s="128"/>
    </row>
    <row r="977" spans="35:35">
      <c r="AI977" s="131"/>
    </row>
    <row r="978" spans="35:35">
      <c r="AI978" s="131"/>
    </row>
    <row r="979" spans="35:35">
      <c r="AI979" s="131"/>
    </row>
    <row r="980" spans="35:35">
      <c r="AI980" s="131"/>
    </row>
    <row r="981" spans="35:35">
      <c r="AI981" s="131"/>
    </row>
    <row r="982" spans="35:35">
      <c r="AI982" s="28"/>
    </row>
    <row r="983" spans="35:35">
      <c r="AI983" s="128"/>
    </row>
    <row r="984" spans="35:35">
      <c r="AI984" s="284"/>
    </row>
    <row r="985" spans="35:35">
      <c r="AI985" s="284"/>
    </row>
    <row r="986" spans="35:35">
      <c r="AI986" s="131"/>
    </row>
    <row r="987" spans="35:35">
      <c r="AI987" s="128"/>
    </row>
    <row r="988" spans="35:35">
      <c r="AI988" s="131"/>
    </row>
    <row r="989" spans="35:35">
      <c r="AI989" s="131"/>
    </row>
    <row r="990" spans="35:35">
      <c r="AI990" s="131"/>
    </row>
    <row r="991" spans="35:35">
      <c r="AI991" s="44"/>
    </row>
    <row r="992" spans="35:35">
      <c r="AI992" s="131"/>
    </row>
    <row r="994" spans="35:35">
      <c r="AI994" s="131"/>
    </row>
    <row r="995" spans="35:35">
      <c r="AI995" s="128"/>
    </row>
    <row r="996" spans="35:35">
      <c r="AI996" s="131"/>
    </row>
    <row r="997" spans="35:35">
      <c r="AI997" s="131"/>
    </row>
    <row r="998" spans="35:35">
      <c r="AI998" s="128"/>
    </row>
    <row r="999" spans="35:35">
      <c r="AI999" s="131"/>
    </row>
    <row r="1000" spans="35:35">
      <c r="AI1000" s="131"/>
    </row>
    <row r="1001" spans="35:35">
      <c r="AI1001" s="131"/>
    </row>
    <row r="1002" spans="35:35">
      <c r="AI1002" s="131"/>
    </row>
    <row r="1003" spans="35:35">
      <c r="AI1003" s="131"/>
    </row>
    <row r="1004" spans="35:35">
      <c r="AI1004" s="131"/>
    </row>
    <row r="1005" spans="35:35">
      <c r="AI1005" s="131"/>
    </row>
    <row r="1006" spans="35:35">
      <c r="AI1006" s="131"/>
    </row>
    <row r="1007" spans="35:35">
      <c r="AI1007" s="131"/>
    </row>
    <row r="1008" spans="35:35">
      <c r="AI1008" s="131"/>
    </row>
    <row r="1009" spans="35:36">
      <c r="AI1009" s="284"/>
    </row>
    <row r="1010" spans="35:36">
      <c r="AI1010" s="131"/>
    </row>
    <row r="1011" spans="35:36">
      <c r="AI1011" s="131"/>
    </row>
    <row r="1012" spans="35:36">
      <c r="AI1012" s="131"/>
    </row>
    <row r="1013" spans="35:36">
      <c r="AI1013" s="131"/>
    </row>
    <row r="1014" spans="35:36">
      <c r="AI1014" s="131"/>
      <c r="AJ1014" s="264" t="s">
        <v>5277</v>
      </c>
    </row>
    <row r="1015" spans="35:36">
      <c r="AI1015" s="131"/>
    </row>
    <row r="1016" spans="35:36">
      <c r="AI1016" s="128"/>
    </row>
    <row r="1017" spans="35:36">
      <c r="AI1017" s="131"/>
    </row>
    <row r="1018" spans="35:36">
      <c r="AI1018" s="131"/>
    </row>
    <row r="1019" spans="35:36">
      <c r="AI1019" s="131"/>
    </row>
    <row r="1020" spans="35:36">
      <c r="AI1020" s="131"/>
    </row>
    <row r="1021" spans="35:36">
      <c r="AI1021" s="284"/>
    </row>
    <row r="1023" spans="35:36">
      <c r="AI1023" s="131"/>
    </row>
    <row r="1024" spans="35:36">
      <c r="AI1024" s="131"/>
    </row>
    <row r="1025" spans="35:35">
      <c r="AI1025" s="131"/>
    </row>
    <row r="1026" spans="35:35">
      <c r="AI1026" s="28"/>
    </row>
    <row r="1027" spans="35:35">
      <c r="AI1027" s="131"/>
    </row>
    <row r="1028" spans="35:35">
      <c r="AI1028" s="284"/>
    </row>
    <row r="1029" spans="35:35">
      <c r="AI1029" s="128"/>
    </row>
    <row r="1030" spans="35:35">
      <c r="AI1030" s="131"/>
    </row>
    <row r="1031" spans="35:35">
      <c r="AI1031" s="131"/>
    </row>
    <row r="1032" spans="35:35">
      <c r="AI1032" s="131"/>
    </row>
    <row r="1033" spans="35:35">
      <c r="AI1033" s="131"/>
    </row>
    <row r="1034" spans="35:35">
      <c r="AI1034" s="131"/>
    </row>
    <row r="1035" spans="35:35">
      <c r="AI1035" s="131"/>
    </row>
    <row r="1036" spans="35:35">
      <c r="AI1036" s="131"/>
    </row>
    <row r="1037" spans="35:35">
      <c r="AI1037" s="131"/>
    </row>
    <row r="1038" spans="35:35">
      <c r="AI1038" s="131"/>
    </row>
    <row r="1039" spans="35:35">
      <c r="AI1039" s="131"/>
    </row>
    <row r="1040" spans="35:35">
      <c r="AI1040" s="131"/>
    </row>
    <row r="1041" spans="35:35">
      <c r="AI1041" s="131"/>
    </row>
    <row r="1042" spans="35:35">
      <c r="AI1042" s="131"/>
    </row>
    <row r="1043" spans="35:35">
      <c r="AI1043" s="284"/>
    </row>
    <row r="1045" spans="35:35">
      <c r="AI1045" s="131"/>
    </row>
    <row r="1046" spans="35:35">
      <c r="AI1046" s="131"/>
    </row>
    <row r="1047" spans="35:35">
      <c r="AI1047" s="131"/>
    </row>
    <row r="1048" spans="35:35">
      <c r="AI1048" s="131"/>
    </row>
    <row r="1049" spans="35:35">
      <c r="AI1049" s="131"/>
    </row>
    <row r="1050" spans="35:35">
      <c r="AI1050" s="131"/>
    </row>
    <row r="1051" spans="35:35">
      <c r="AI1051" s="131"/>
    </row>
    <row r="1052" spans="35:35">
      <c r="AI1052" s="131"/>
    </row>
    <row r="1053" spans="35:35">
      <c r="AI1053" s="131"/>
    </row>
    <row r="1054" spans="35:35">
      <c r="AI1054" s="131"/>
    </row>
    <row r="1055" spans="35:35">
      <c r="AI1055" s="131"/>
    </row>
    <row r="1056" spans="35:35">
      <c r="AI1056" s="131"/>
    </row>
    <row r="1057" spans="35:35">
      <c r="AI1057" s="131"/>
    </row>
    <row r="1058" spans="35:35">
      <c r="AI1058" s="131"/>
    </row>
    <row r="1060" spans="35:35">
      <c r="AI1060" s="131"/>
    </row>
    <row r="1061" spans="35:35">
      <c r="AI1061" s="128"/>
    </row>
    <row r="1062" spans="35:35">
      <c r="AI1062" s="131"/>
    </row>
    <row r="1063" spans="35:35">
      <c r="AI1063" s="131"/>
    </row>
    <row r="1064" spans="35:35">
      <c r="AI1064" s="131"/>
    </row>
    <row r="1065" spans="35:35">
      <c r="AI1065" s="131"/>
    </row>
    <row r="1066" spans="35:35">
      <c r="AI1066" s="131"/>
    </row>
    <row r="1067" spans="35:35">
      <c r="AI1067" s="131"/>
    </row>
    <row r="1069" spans="35:35">
      <c r="AI1069" s="131"/>
    </row>
    <row r="1070" spans="35:35">
      <c r="AI1070" s="131"/>
    </row>
    <row r="1071" spans="35:35">
      <c r="AI1071" s="131"/>
    </row>
    <row r="1072" spans="35:35">
      <c r="AI1072" s="131"/>
    </row>
    <row r="1073" spans="35:35">
      <c r="AI1073" s="131"/>
    </row>
    <row r="1074" spans="35:35">
      <c r="AI1074" s="131"/>
    </row>
    <row r="1075" spans="35:35">
      <c r="AI1075" s="131"/>
    </row>
    <row r="1076" spans="35:35">
      <c r="AI1076" s="131"/>
    </row>
    <row r="1077" spans="35:35">
      <c r="AI1077" s="131"/>
    </row>
    <row r="1078" spans="35:35">
      <c r="AI1078" s="128"/>
    </row>
    <row r="1079" spans="35:35">
      <c r="AI1079" s="131"/>
    </row>
    <row r="1080" spans="35:35">
      <c r="AI1080" s="131"/>
    </row>
    <row r="1081" spans="35:35">
      <c r="AI1081" s="131"/>
    </row>
    <row r="1083" spans="35:35">
      <c r="AI1083" s="131"/>
    </row>
    <row r="1084" spans="35:35">
      <c r="AI1084" s="131"/>
    </row>
    <row r="1085" spans="35:35">
      <c r="AI1085" s="284"/>
    </row>
    <row r="1086" spans="35:35">
      <c r="AI1086" s="131"/>
    </row>
    <row r="1087" spans="35:35">
      <c r="AI1087" s="284"/>
    </row>
    <row r="1088" spans="35:35">
      <c r="AI1088" s="131"/>
    </row>
    <row r="1089" spans="35:35">
      <c r="AI1089" s="131"/>
    </row>
    <row r="1090" spans="35:35">
      <c r="AI1090" s="131"/>
    </row>
    <row r="1091" spans="35:35">
      <c r="AI1091" s="284"/>
    </row>
    <row r="1092" spans="35:35">
      <c r="AI1092" s="284"/>
    </row>
    <row r="1093" spans="35:35">
      <c r="AI1093" s="131"/>
    </row>
    <row r="1094" spans="35:35">
      <c r="AI1094" s="131"/>
    </row>
    <row r="1095" spans="35:35">
      <c r="AI1095" s="131"/>
    </row>
    <row r="1096" spans="35:35">
      <c r="AI1096" s="131"/>
    </row>
    <row r="1097" spans="35:35">
      <c r="AI1097" s="284"/>
    </row>
    <row r="1098" spans="35:35">
      <c r="AI1098" s="131"/>
    </row>
    <row r="1099" spans="35:35">
      <c r="AI1099" s="284"/>
    </row>
    <row r="1100" spans="35:35">
      <c r="AI1100" s="131"/>
    </row>
    <row r="1101" spans="35:35">
      <c r="AI1101" s="284"/>
    </row>
    <row r="1102" spans="35:35">
      <c r="AI1102" s="131"/>
    </row>
    <row r="1103" spans="35:35">
      <c r="AI1103" s="131"/>
    </row>
    <row r="1104" spans="35:35">
      <c r="AI1104" s="131"/>
    </row>
    <row r="1105" spans="35:35">
      <c r="AI1105" s="131"/>
    </row>
    <row r="1106" spans="35:35">
      <c r="AI1106" s="131"/>
    </row>
    <row r="1107" spans="35:35">
      <c r="AI1107" s="131"/>
    </row>
    <row r="1108" spans="35:35">
      <c r="AI1108" s="131"/>
    </row>
    <row r="1109" spans="35:35">
      <c r="AI1109" s="131"/>
    </row>
    <row r="1110" spans="35:35">
      <c r="AI1110" s="131"/>
    </row>
    <row r="1111" spans="35:35">
      <c r="AI1111" s="131"/>
    </row>
    <row r="1112" spans="35:35">
      <c r="AI1112" s="131"/>
    </row>
    <row r="1113" spans="35:35">
      <c r="AI1113" s="131"/>
    </row>
    <row r="1114" spans="35:35">
      <c r="AI1114" s="131"/>
    </row>
    <row r="1115" spans="35:35">
      <c r="AI1115" s="131"/>
    </row>
    <row r="1116" spans="35:35">
      <c r="AI1116" s="131"/>
    </row>
    <row r="1117" spans="35:35">
      <c r="AI1117" s="131"/>
    </row>
    <row r="1118" spans="35:35">
      <c r="AI1118" s="284"/>
    </row>
    <row r="1119" spans="35:35">
      <c r="AI1119" s="131"/>
    </row>
    <row r="1120" spans="35:35">
      <c r="AI1120" s="131"/>
    </row>
    <row r="1121" spans="35:35">
      <c r="AI1121" s="131"/>
    </row>
    <row r="1122" spans="35:35">
      <c r="AI1122" s="131"/>
    </row>
    <row r="1123" spans="35:35">
      <c r="AI1123" s="131"/>
    </row>
    <row r="1124" spans="35:35">
      <c r="AI1124" s="131"/>
    </row>
    <row r="1125" spans="35:35">
      <c r="AI1125" s="131"/>
    </row>
    <row r="1126" spans="35:35">
      <c r="AI1126" s="284"/>
    </row>
    <row r="1127" spans="35:35">
      <c r="AI1127" s="131"/>
    </row>
    <row r="1128" spans="35:35">
      <c r="AI1128" s="131"/>
    </row>
    <row r="1129" spans="35:35">
      <c r="AI1129" s="131"/>
    </row>
    <row r="1130" spans="35:35">
      <c r="AI1130" s="131"/>
    </row>
    <row r="1131" spans="35:35">
      <c r="AI1131" s="131"/>
    </row>
    <row r="1132" spans="35:35">
      <c r="AI1132" s="131"/>
    </row>
    <row r="1133" spans="35:35">
      <c r="AI1133" s="131"/>
    </row>
    <row r="1134" spans="35:35">
      <c r="AI1134" s="131"/>
    </row>
    <row r="1135" spans="35:35">
      <c r="AI1135" s="131"/>
    </row>
    <row r="1136" spans="35:35">
      <c r="AI1136" s="131"/>
    </row>
    <row r="1137" spans="35:35">
      <c r="AI1137" s="128"/>
    </row>
    <row r="1138" spans="35:35">
      <c r="AI1138" s="131"/>
    </row>
    <row r="1139" spans="35:35">
      <c r="AI1139" s="131"/>
    </row>
    <row r="1140" spans="35:35">
      <c r="AI1140" s="284"/>
    </row>
    <row r="1141" spans="35:35">
      <c r="AI1141" s="131"/>
    </row>
    <row r="1142" spans="35:35">
      <c r="AI1142" s="131"/>
    </row>
    <row r="1143" spans="35:35">
      <c r="AI1143" s="131"/>
    </row>
    <row r="1144" spans="35:35">
      <c r="AI1144" s="131"/>
    </row>
    <row r="1145" spans="35:35">
      <c r="AI1145" s="131"/>
    </row>
    <row r="1146" spans="35:35">
      <c r="AI1146" s="131"/>
    </row>
    <row r="1147" spans="35:35">
      <c r="AI1147" s="131"/>
    </row>
    <row r="1148" spans="35:35">
      <c r="AI1148" s="284"/>
    </row>
    <row r="1149" spans="35:35">
      <c r="AI1149" s="284"/>
    </row>
    <row r="1150" spans="35:35">
      <c r="AI1150" s="131"/>
    </row>
    <row r="1151" spans="35:35">
      <c r="AI1151" s="284"/>
    </row>
    <row r="1152" spans="35:35">
      <c r="AI1152" s="131"/>
    </row>
    <row r="1153" spans="35:35">
      <c r="AI1153" s="131"/>
    </row>
    <row r="1154" spans="35:35">
      <c r="AI1154" s="131"/>
    </row>
    <row r="1155" spans="35:35">
      <c r="AI1155" s="131"/>
    </row>
    <row r="1156" spans="35:35">
      <c r="AI1156" s="131"/>
    </row>
    <row r="1157" spans="35:35">
      <c r="AI1157" s="131"/>
    </row>
    <row r="1158" spans="35:35">
      <c r="AI1158" s="131"/>
    </row>
    <row r="1159" spans="35:35">
      <c r="AI1159" s="284"/>
    </row>
    <row r="1160" spans="35:35">
      <c r="AI1160" s="131"/>
    </row>
    <row r="1161" spans="35:35">
      <c r="AI1161" s="131"/>
    </row>
    <row r="1162" spans="35:35">
      <c r="AI1162" s="131"/>
    </row>
    <row r="1163" spans="35:35">
      <c r="AI1163" s="131"/>
    </row>
    <row r="1164" spans="35:35">
      <c r="AI1164" s="131"/>
    </row>
    <row r="1165" spans="35:35">
      <c r="AI1165" s="131"/>
    </row>
    <row r="1166" spans="35:35">
      <c r="AI1166" s="131"/>
    </row>
    <row r="1167" spans="35:35">
      <c r="AI1167" s="131"/>
    </row>
    <row r="1168" spans="35:35">
      <c r="AI1168" s="131"/>
    </row>
    <row r="1169" spans="35:35">
      <c r="AI1169" s="131"/>
    </row>
    <row r="1170" spans="35:35">
      <c r="AI1170" s="131"/>
    </row>
    <row r="1171" spans="35:35">
      <c r="AI1171" s="132"/>
    </row>
    <row r="1172" spans="35:35">
      <c r="AI1172" s="131"/>
    </row>
    <row r="1173" spans="35:35">
      <c r="AI1173" s="131"/>
    </row>
    <row r="1174" spans="35:35">
      <c r="AI1174" s="131"/>
    </row>
    <row r="1175" spans="35:35">
      <c r="AI1175" s="131"/>
    </row>
    <row r="1176" spans="35:35">
      <c r="AI1176" s="131"/>
    </row>
    <row r="1177" spans="35:35">
      <c r="AI1177" s="131"/>
    </row>
    <row r="1178" spans="35:35">
      <c r="AI1178" s="131"/>
    </row>
    <row r="1179" spans="35:35">
      <c r="AI1179" s="284"/>
    </row>
    <row r="1180" spans="35:35">
      <c r="AI1180" s="131"/>
    </row>
    <row r="1181" spans="35:35">
      <c r="AI1181" s="131"/>
    </row>
    <row r="1182" spans="35:35">
      <c r="AI1182" s="131"/>
    </row>
    <row r="1183" spans="35:35">
      <c r="AI1183" s="131"/>
    </row>
    <row r="1184" spans="35:35">
      <c r="AI1184" s="131"/>
    </row>
    <row r="1185" spans="35:35">
      <c r="AI1185" s="131"/>
    </row>
    <row r="1186" spans="35:35">
      <c r="AI1186" s="131"/>
    </row>
    <row r="1187" spans="35:35">
      <c r="AI1187" s="131"/>
    </row>
    <row r="1188" spans="35:35">
      <c r="AI1188" s="131"/>
    </row>
    <row r="1189" spans="35:35">
      <c r="AI1189" s="131"/>
    </row>
    <row r="1190" spans="35:35">
      <c r="AI1190" s="131"/>
    </row>
    <row r="1191" spans="35:35">
      <c r="AI1191" s="131"/>
    </row>
    <row r="1192" spans="35:35">
      <c r="AI1192" s="131"/>
    </row>
    <row r="1193" spans="35:35">
      <c r="AI1193" s="131"/>
    </row>
    <row r="1194" spans="35:35">
      <c r="AI1194" s="284"/>
    </row>
    <row r="1195" spans="35:35">
      <c r="AI1195" s="284"/>
    </row>
    <row r="1196" spans="35:35">
      <c r="AI1196" s="131"/>
    </row>
    <row r="1197" spans="35:35">
      <c r="AI1197" s="131"/>
    </row>
    <row r="1198" spans="35:35">
      <c r="AI1198" s="131"/>
    </row>
    <row r="1199" spans="35:35">
      <c r="AI1199" s="131"/>
    </row>
    <row r="1200" spans="35:35">
      <c r="AI1200" s="131"/>
    </row>
    <row r="1201" spans="35:35">
      <c r="AI1201" s="131"/>
    </row>
    <row r="1202" spans="35:35">
      <c r="AI1202" s="131"/>
    </row>
    <row r="1203" spans="35:35">
      <c r="AI1203" s="131"/>
    </row>
    <row r="1204" spans="35:35">
      <c r="AI1204" s="131"/>
    </row>
    <row r="1205" spans="35:35">
      <c r="AI1205" s="284"/>
    </row>
    <row r="1206" spans="35:35">
      <c r="AI1206" s="131"/>
    </row>
    <row r="1207" spans="35:35">
      <c r="AI1207" s="131"/>
    </row>
    <row r="1208" spans="35:35">
      <c r="AI1208" s="131"/>
    </row>
    <row r="1209" spans="35:35">
      <c r="AI1209" s="131"/>
    </row>
    <row r="1210" spans="35:35">
      <c r="AI1210" s="131"/>
    </row>
    <row r="1211" spans="35:35">
      <c r="AI1211" s="131"/>
    </row>
    <row r="1212" spans="35:35">
      <c r="AI1212" s="128"/>
    </row>
    <row r="1213" spans="35:35">
      <c r="AI1213" s="131"/>
    </row>
    <row r="1215" spans="35:35">
      <c r="AI1215" s="131"/>
    </row>
    <row r="1216" spans="35:35">
      <c r="AI1216" s="284"/>
    </row>
    <row r="1217" spans="35:35">
      <c r="AI1217" s="131"/>
    </row>
    <row r="1218" spans="35:35">
      <c r="AI1218" s="131"/>
    </row>
    <row r="1219" spans="35:35">
      <c r="AI1219" s="131"/>
    </row>
    <row r="1220" spans="35:35">
      <c r="AI1220" s="131"/>
    </row>
    <row r="1221" spans="35:35">
      <c r="AI1221" s="131"/>
    </row>
    <row r="1222" spans="35:35">
      <c r="AI1222" s="131"/>
    </row>
    <row r="1223" spans="35:35">
      <c r="AI1223" s="131"/>
    </row>
    <row r="1224" spans="35:35">
      <c r="AI1224" s="131"/>
    </row>
    <row r="1225" spans="35:35">
      <c r="AI1225" s="131"/>
    </row>
    <row r="1226" spans="35:35">
      <c r="AI1226" s="131"/>
    </row>
    <row r="1227" spans="35:35">
      <c r="AI1227" s="131"/>
    </row>
    <row r="1228" spans="35:35">
      <c r="AI1228" s="131"/>
    </row>
    <row r="1229" spans="35:35">
      <c r="AI1229" s="131"/>
    </row>
    <row r="1230" spans="35:35">
      <c r="AI1230" s="131"/>
    </row>
    <row r="1231" spans="35:35">
      <c r="AI1231" s="131"/>
    </row>
    <row r="1232" spans="35:35">
      <c r="AI1232" s="131"/>
    </row>
    <row r="1233" spans="35:35">
      <c r="AI1233" s="131"/>
    </row>
    <row r="1234" spans="35:35">
      <c r="AI1234" s="131"/>
    </row>
    <row r="1235" spans="35:35">
      <c r="AI1235" s="131"/>
    </row>
    <row r="1236" spans="35:35">
      <c r="AI1236" s="131"/>
    </row>
    <row r="1237" spans="35:35">
      <c r="AI1237" s="131"/>
    </row>
    <row r="1238" spans="35:35">
      <c r="AI1238" s="131"/>
    </row>
    <row r="1239" spans="35:35">
      <c r="AI1239" s="131"/>
    </row>
    <row r="1241" spans="35:35">
      <c r="AI1241" s="131"/>
    </row>
    <row r="1242" spans="35:35">
      <c r="AI1242" s="131"/>
    </row>
    <row r="1243" spans="35:35">
      <c r="AI1243" s="131"/>
    </row>
    <row r="1244" spans="35:35">
      <c r="AI1244" s="131"/>
    </row>
    <row r="1245" spans="35:35">
      <c r="AI1245" s="131"/>
    </row>
    <row r="1246" spans="35:35">
      <c r="AI1246" s="131"/>
    </row>
    <row r="1247" spans="35:35">
      <c r="AI1247" s="131"/>
    </row>
    <row r="1248" spans="35:35">
      <c r="AI1248" s="131"/>
    </row>
    <row r="1249" spans="1:35">
      <c r="AI1249" s="52"/>
    </row>
    <row r="1250" spans="1:35">
      <c r="AI1250" s="131"/>
    </row>
    <row r="1251" spans="1:35">
      <c r="AI1251" s="131"/>
    </row>
    <row r="1252" spans="1:35">
      <c r="AI1252" s="131"/>
    </row>
    <row r="1253" spans="1:35">
      <c r="AI1253" s="131"/>
    </row>
    <row r="1254" spans="1:35">
      <c r="AI1254" s="131"/>
    </row>
    <row r="1255" spans="1:35">
      <c r="AI1255" s="131"/>
    </row>
    <row r="1256" spans="1:35">
      <c r="AI1256" s="131"/>
    </row>
    <row r="1257" spans="1:35">
      <c r="AI1257" s="131"/>
    </row>
    <row r="1258" spans="1:35">
      <c r="AI1258" s="131"/>
    </row>
    <row r="1259" spans="1:35" ht="26.4">
      <c r="A1259" s="284"/>
      <c r="B1259" s="284"/>
      <c r="C1259" s="284"/>
      <c r="D1259" s="284"/>
      <c r="E1259" s="284"/>
      <c r="F1259" s="284"/>
      <c r="H1259" s="284"/>
      <c r="I1259" s="284"/>
      <c r="J1259" s="375"/>
      <c r="K1259" s="375"/>
      <c r="L1259" s="375"/>
      <c r="M1259" s="368"/>
      <c r="N1259" s="368"/>
      <c r="T1259" s="349"/>
      <c r="V1259" s="378"/>
      <c r="W1259" s="64" ph="1"/>
      <c r="X1259" s="241"/>
      <c r="AA1259" s="284"/>
      <c r="AB1259" s="284"/>
      <c r="AC1259" s="284"/>
      <c r="AD1259" s="284"/>
      <c r="AE1259" s="284"/>
      <c r="AF1259" s="284"/>
      <c r="AG1259" s="8"/>
      <c r="AI1259" s="131"/>
    </row>
    <row r="1260" spans="1:35">
      <c r="A1260" s="284"/>
      <c r="Y1260" s="284"/>
      <c r="Z1260" s="207"/>
      <c r="AI1260" s="284"/>
    </row>
    <row r="1261" spans="1:35">
      <c r="AI1261" s="27"/>
    </row>
    <row r="1262" spans="1:35">
      <c r="AI1262" s="284"/>
    </row>
    <row r="1263" spans="1:35">
      <c r="AI1263" s="131"/>
    </row>
    <row r="1264" spans="1:35">
      <c r="AI1264" s="131"/>
    </row>
    <row r="1265" spans="1:35">
      <c r="AI1265" s="131"/>
    </row>
    <row r="1266" spans="1:35">
      <c r="A1266" s="284"/>
      <c r="G1266" s="284"/>
      <c r="AI1266" s="131"/>
    </row>
    <row r="1267" spans="1:35">
      <c r="AI1267" s="131"/>
    </row>
    <row r="1268" spans="1:35">
      <c r="AI1268" s="131"/>
    </row>
    <row r="1269" spans="1:35" ht="26.4">
      <c r="A1269" s="284"/>
      <c r="B1269" s="284"/>
      <c r="C1269" s="284"/>
      <c r="D1269" s="284"/>
      <c r="E1269" s="284"/>
      <c r="F1269" s="284"/>
      <c r="H1269" s="284"/>
      <c r="I1269" s="284"/>
      <c r="J1269" s="375"/>
      <c r="K1269" s="375"/>
      <c r="L1269" s="375"/>
      <c r="M1269" s="368"/>
      <c r="N1269" s="368"/>
      <c r="T1269" s="349"/>
      <c r="V1269" s="378"/>
      <c r="W1269" s="64" ph="1"/>
      <c r="X1269" s="241"/>
      <c r="AA1269" s="284"/>
      <c r="AB1269" s="284"/>
      <c r="AC1269" s="284"/>
      <c r="AD1269" s="284"/>
      <c r="AE1269" s="284"/>
      <c r="AF1269" s="284"/>
      <c r="AG1269" s="8"/>
      <c r="AI1269" s="131"/>
    </row>
    <row r="1270" spans="1:35">
      <c r="A1270" s="284"/>
      <c r="Y1270" s="284"/>
      <c r="Z1270" s="207"/>
      <c r="AI1270" s="131"/>
    </row>
    <row r="1271" spans="1:35">
      <c r="O1271" s="370"/>
      <c r="AI1271" s="131"/>
    </row>
    <row r="1272" spans="1:35">
      <c r="AI1272" s="131"/>
    </row>
    <row r="1273" spans="1:35" ht="26.4">
      <c r="A1273" s="284"/>
      <c r="B1273" s="284"/>
      <c r="C1273" s="284"/>
      <c r="D1273" s="284"/>
      <c r="E1273" s="284"/>
      <c r="F1273" s="284"/>
      <c r="H1273" s="284"/>
      <c r="I1273" s="284"/>
      <c r="J1273" s="375"/>
      <c r="K1273" s="375"/>
      <c r="L1273" s="375"/>
      <c r="M1273" s="368"/>
      <c r="N1273" s="368"/>
      <c r="T1273" s="349"/>
      <c r="V1273" s="378"/>
      <c r="W1273" s="64" ph="1"/>
      <c r="X1273" s="241"/>
      <c r="AA1273" s="284"/>
      <c r="AB1273" s="284"/>
      <c r="AC1273" s="284"/>
      <c r="AD1273" s="284"/>
      <c r="AE1273" s="284"/>
      <c r="AF1273" s="284"/>
      <c r="AG1273" s="8"/>
      <c r="AI1273" s="131"/>
    </row>
    <row r="1274" spans="1:35">
      <c r="A1274" s="284"/>
      <c r="Y1274" s="284"/>
      <c r="Z1274" s="207"/>
      <c r="AI1274" s="131"/>
    </row>
    <row r="1275" spans="1:35">
      <c r="AI1275" s="131"/>
    </row>
    <row r="1276" spans="1:35">
      <c r="A1276" s="284"/>
      <c r="G1276" s="284"/>
      <c r="AI1276" s="131"/>
    </row>
    <row r="1277" spans="1:35">
      <c r="AI1277" s="131"/>
    </row>
    <row r="1278" spans="1:35" ht="26.4">
      <c r="A1278" s="284"/>
      <c r="B1278" s="284"/>
      <c r="C1278" s="284"/>
      <c r="D1278" s="284"/>
      <c r="E1278" s="284"/>
      <c r="F1278" s="284"/>
      <c r="H1278" s="284"/>
      <c r="I1278" s="284"/>
      <c r="J1278" s="375"/>
      <c r="K1278" s="375"/>
      <c r="L1278" s="375"/>
      <c r="M1278" s="368"/>
      <c r="N1278" s="368"/>
      <c r="T1278" s="349"/>
      <c r="V1278" s="378"/>
      <c r="W1278" s="64" ph="1"/>
      <c r="X1278" s="241"/>
      <c r="AA1278" s="284"/>
      <c r="AB1278" s="284"/>
      <c r="AC1278" s="284"/>
      <c r="AD1278" s="284"/>
      <c r="AE1278" s="284"/>
      <c r="AF1278" s="284"/>
      <c r="AG1278" s="8"/>
      <c r="AI1278" s="131"/>
    </row>
    <row r="1279" spans="1:35" ht="26.4">
      <c r="A1279" s="284"/>
      <c r="B1279" s="284"/>
      <c r="C1279" s="284"/>
      <c r="D1279" s="284"/>
      <c r="E1279" s="284"/>
      <c r="F1279" s="284"/>
      <c r="H1279" s="284"/>
      <c r="I1279" s="284"/>
      <c r="J1279" s="375"/>
      <c r="K1279" s="375"/>
      <c r="L1279" s="375"/>
      <c r="M1279" s="368"/>
      <c r="N1279" s="368"/>
      <c r="T1279" s="349"/>
      <c r="V1279" s="378"/>
      <c r="W1279" s="64" ph="1"/>
      <c r="X1279" s="241"/>
      <c r="Y1279" s="284"/>
      <c r="Z1279" s="207"/>
      <c r="AA1279" s="284"/>
      <c r="AB1279" s="284"/>
      <c r="AC1279" s="284"/>
      <c r="AD1279" s="284"/>
      <c r="AE1279" s="284"/>
      <c r="AF1279" s="284"/>
      <c r="AG1279" s="8"/>
      <c r="AI1279" s="131"/>
    </row>
    <row r="1280" spans="1:35" ht="26.4">
      <c r="A1280" s="284"/>
      <c r="B1280" s="284"/>
      <c r="C1280" s="284"/>
      <c r="D1280" s="284"/>
      <c r="E1280" s="284"/>
      <c r="F1280" s="284"/>
      <c r="G1280" s="284"/>
      <c r="H1280" s="284"/>
      <c r="I1280" s="284"/>
      <c r="J1280" s="375"/>
      <c r="K1280" s="375"/>
      <c r="L1280" s="375"/>
      <c r="M1280" s="368"/>
      <c r="N1280" s="368"/>
      <c r="T1280" s="349"/>
      <c r="V1280" s="378"/>
      <c r="W1280" s="64" ph="1"/>
      <c r="X1280" s="241"/>
      <c r="Y1280" s="284"/>
      <c r="Z1280" s="207"/>
      <c r="AA1280" s="284"/>
      <c r="AB1280" s="284"/>
      <c r="AC1280" s="284"/>
      <c r="AD1280" s="284"/>
      <c r="AE1280" s="284"/>
      <c r="AF1280" s="284"/>
      <c r="AG1280" s="8"/>
      <c r="AI1280" s="131"/>
    </row>
    <row r="1281" spans="1:35">
      <c r="A1281" s="284"/>
      <c r="O1281" s="370"/>
      <c r="Y1281" s="284"/>
      <c r="Z1281" s="207"/>
      <c r="AI1281" s="131"/>
    </row>
    <row r="1282" spans="1:35" ht="26.4">
      <c r="A1282" s="284"/>
      <c r="B1282" s="284"/>
      <c r="C1282" s="284"/>
      <c r="D1282" s="284"/>
      <c r="E1282" s="284"/>
      <c r="F1282" s="284"/>
      <c r="H1282" s="284"/>
      <c r="I1282" s="284"/>
      <c r="J1282" s="375"/>
      <c r="K1282" s="375"/>
      <c r="L1282" s="375"/>
      <c r="M1282" s="368"/>
      <c r="N1282" s="368"/>
      <c r="T1282" s="349"/>
      <c r="V1282" s="378"/>
      <c r="W1282" s="64" ph="1"/>
      <c r="X1282" s="241"/>
      <c r="AA1282" s="284"/>
      <c r="AB1282" s="284"/>
      <c r="AC1282" s="284"/>
      <c r="AD1282" s="284"/>
      <c r="AE1282" s="284"/>
      <c r="AF1282" s="284"/>
      <c r="AG1282" s="8"/>
      <c r="AI1282" s="131"/>
    </row>
    <row r="1283" spans="1:35" ht="26.4">
      <c r="A1283" s="284"/>
      <c r="B1283" s="284"/>
      <c r="C1283" s="284"/>
      <c r="D1283" s="284"/>
      <c r="E1283" s="284"/>
      <c r="F1283" s="284"/>
      <c r="H1283" s="284"/>
      <c r="I1283" s="284"/>
      <c r="J1283" s="375"/>
      <c r="K1283" s="375"/>
      <c r="L1283" s="375"/>
      <c r="M1283" s="368"/>
      <c r="N1283" s="368"/>
      <c r="T1283" s="349"/>
      <c r="V1283" s="378"/>
      <c r="W1283" s="64" ph="1"/>
      <c r="X1283" s="241"/>
      <c r="Y1283" s="284"/>
      <c r="Z1283" s="207"/>
      <c r="AA1283" s="284"/>
      <c r="AB1283" s="284"/>
      <c r="AC1283" s="284"/>
      <c r="AD1283" s="284"/>
      <c r="AE1283" s="284"/>
      <c r="AF1283" s="284"/>
      <c r="AG1283" s="8"/>
      <c r="AI1283" s="131"/>
    </row>
    <row r="1284" spans="1:35">
      <c r="A1284" s="284"/>
      <c r="Y1284" s="284"/>
      <c r="Z1284" s="207"/>
      <c r="AI1284" s="284"/>
    </row>
    <row r="1285" spans="1:35" ht="26.4">
      <c r="A1285" s="284"/>
      <c r="B1285" s="284"/>
      <c r="C1285" s="284"/>
      <c r="D1285" s="284"/>
      <c r="E1285" s="284"/>
      <c r="F1285" s="284"/>
      <c r="G1285" s="284"/>
      <c r="H1285" s="284"/>
      <c r="I1285" s="284"/>
      <c r="J1285" s="375"/>
      <c r="K1285" s="375"/>
      <c r="L1285" s="375"/>
      <c r="M1285" s="368"/>
      <c r="N1285" s="368"/>
      <c r="O1285" s="370"/>
      <c r="T1285" s="349"/>
      <c r="V1285" s="378"/>
      <c r="W1285" s="64" ph="1"/>
      <c r="X1285" s="241"/>
      <c r="AA1285" s="284"/>
      <c r="AB1285" s="284"/>
      <c r="AC1285" s="284"/>
      <c r="AD1285" s="284"/>
      <c r="AE1285" s="284"/>
      <c r="AF1285" s="284"/>
      <c r="AG1285" s="8"/>
      <c r="AI1285" s="284"/>
    </row>
    <row r="1286" spans="1:35">
      <c r="A1286" s="284"/>
      <c r="G1286" s="284"/>
      <c r="Y1286" s="284"/>
      <c r="Z1286" s="207"/>
      <c r="AI1286" s="28"/>
    </row>
    <row r="1287" spans="1:35" ht="26.4">
      <c r="A1287" s="284"/>
      <c r="B1287" s="284"/>
      <c r="C1287" s="284"/>
      <c r="D1287" s="284"/>
      <c r="E1287" s="284"/>
      <c r="F1287" s="284"/>
      <c r="G1287" s="284"/>
      <c r="H1287" s="284"/>
      <c r="I1287" s="284"/>
      <c r="J1287" s="375"/>
      <c r="K1287" s="375"/>
      <c r="L1287" s="375"/>
      <c r="M1287" s="368"/>
      <c r="N1287" s="368"/>
      <c r="T1287" s="349"/>
      <c r="V1287" s="378"/>
      <c r="W1287" s="64" ph="1"/>
      <c r="X1287" s="241"/>
      <c r="AA1287" s="284"/>
      <c r="AB1287" s="284"/>
      <c r="AC1287" s="284"/>
      <c r="AD1287" s="284"/>
      <c r="AE1287" s="284"/>
      <c r="AF1287" s="284"/>
      <c r="AG1287" s="8"/>
      <c r="AI1287" s="131"/>
    </row>
    <row r="1288" spans="1:35" ht="26.4">
      <c r="A1288" s="284"/>
      <c r="B1288" s="284"/>
      <c r="C1288" s="284"/>
      <c r="D1288" s="284"/>
      <c r="E1288" s="284"/>
      <c r="F1288" s="284"/>
      <c r="H1288" s="284"/>
      <c r="I1288" s="284"/>
      <c r="J1288" s="375"/>
      <c r="K1288" s="375"/>
      <c r="L1288" s="375"/>
      <c r="M1288" s="368"/>
      <c r="N1288" s="368"/>
      <c r="T1288" s="349"/>
      <c r="V1288" s="378"/>
      <c r="W1288" s="64" ph="1"/>
      <c r="X1288" s="241"/>
      <c r="Y1288" s="284"/>
      <c r="Z1288" s="207"/>
      <c r="AA1288" s="284"/>
      <c r="AB1288" s="284"/>
      <c r="AC1288" s="284"/>
      <c r="AD1288" s="284"/>
      <c r="AE1288" s="284"/>
      <c r="AF1288" s="284"/>
      <c r="AG1288" s="8"/>
      <c r="AI1288" s="131"/>
    </row>
    <row r="1289" spans="1:35" ht="26.4">
      <c r="A1289" s="284"/>
      <c r="B1289" s="284"/>
      <c r="C1289" s="284"/>
      <c r="D1289" s="284"/>
      <c r="E1289" s="284"/>
      <c r="F1289" s="284"/>
      <c r="G1289" s="284"/>
      <c r="H1289" s="284"/>
      <c r="I1289" s="284"/>
      <c r="J1289" s="375"/>
      <c r="K1289" s="375"/>
      <c r="L1289" s="375"/>
      <c r="M1289" s="368"/>
      <c r="N1289" s="368"/>
      <c r="T1289" s="349"/>
      <c r="V1289" s="378"/>
      <c r="W1289" s="64" ph="1"/>
      <c r="X1289" s="241"/>
      <c r="Y1289" s="284"/>
      <c r="Z1289" s="207"/>
      <c r="AA1289" s="284"/>
      <c r="AB1289" s="284"/>
      <c r="AC1289" s="284"/>
      <c r="AD1289" s="284"/>
      <c r="AE1289" s="284"/>
      <c r="AF1289" s="284"/>
      <c r="AG1289" s="8"/>
      <c r="AI1289" s="131"/>
    </row>
    <row r="1290" spans="1:35" ht="26.4">
      <c r="A1290" s="284"/>
      <c r="B1290" s="284"/>
      <c r="C1290" s="284"/>
      <c r="D1290" s="284"/>
      <c r="E1290" s="284"/>
      <c r="F1290" s="284"/>
      <c r="G1290" s="284"/>
      <c r="H1290" s="284"/>
      <c r="I1290" s="284"/>
      <c r="J1290" s="375"/>
      <c r="K1290" s="375"/>
      <c r="L1290" s="375"/>
      <c r="M1290" s="368"/>
      <c r="N1290" s="368"/>
      <c r="O1290" s="370"/>
      <c r="T1290" s="349"/>
      <c r="V1290" s="378"/>
      <c r="W1290" s="64" ph="1"/>
      <c r="X1290" s="241"/>
      <c r="Y1290" s="284"/>
      <c r="Z1290" s="207"/>
      <c r="AA1290" s="284"/>
      <c r="AB1290" s="284"/>
      <c r="AC1290" s="284"/>
      <c r="AD1290" s="284"/>
      <c r="AE1290" s="284"/>
      <c r="AF1290" s="284"/>
      <c r="AG1290" s="8"/>
      <c r="AI1290" s="131"/>
    </row>
    <row r="1291" spans="1:35" ht="26.4">
      <c r="A1291" s="284"/>
      <c r="B1291" s="284"/>
      <c r="C1291" s="284"/>
      <c r="D1291" s="284"/>
      <c r="E1291" s="284"/>
      <c r="F1291" s="284"/>
      <c r="H1291" s="284"/>
      <c r="I1291" s="284"/>
      <c r="J1291" s="375"/>
      <c r="K1291" s="375"/>
      <c r="L1291" s="375"/>
      <c r="M1291" s="368"/>
      <c r="N1291" s="368"/>
      <c r="O1291" s="370"/>
      <c r="T1291" s="349"/>
      <c r="V1291" s="378"/>
      <c r="W1291" s="64" ph="1"/>
      <c r="X1291" s="241"/>
      <c r="Y1291" s="284"/>
      <c r="Z1291" s="207"/>
      <c r="AA1291" s="284"/>
      <c r="AB1291" s="284"/>
      <c r="AC1291" s="284"/>
      <c r="AD1291" s="284"/>
      <c r="AE1291" s="284"/>
      <c r="AF1291" s="284"/>
      <c r="AG1291" s="8"/>
      <c r="AI1291" s="131"/>
    </row>
    <row r="1292" spans="1:35" ht="26.4">
      <c r="A1292" s="284"/>
      <c r="B1292" s="284"/>
      <c r="C1292" s="284"/>
      <c r="D1292" s="284"/>
      <c r="E1292" s="284"/>
      <c r="F1292" s="284"/>
      <c r="G1292" s="284"/>
      <c r="H1292" s="284"/>
      <c r="I1292" s="284"/>
      <c r="J1292" s="375"/>
      <c r="K1292" s="375"/>
      <c r="L1292" s="375"/>
      <c r="M1292" s="368"/>
      <c r="N1292" s="368"/>
      <c r="O1292" s="370"/>
      <c r="T1292" s="349"/>
      <c r="V1292" s="378"/>
      <c r="W1292" s="64" ph="1"/>
      <c r="X1292" s="241"/>
      <c r="Y1292" s="284"/>
      <c r="Z1292" s="207"/>
      <c r="AA1292" s="284"/>
      <c r="AB1292" s="284"/>
      <c r="AC1292" s="284"/>
      <c r="AD1292" s="284"/>
      <c r="AE1292" s="284"/>
      <c r="AF1292" s="284"/>
      <c r="AG1292" s="8"/>
      <c r="AI1292" s="131"/>
    </row>
    <row r="1293" spans="1:35" ht="26.4">
      <c r="A1293" s="284"/>
      <c r="B1293" s="284"/>
      <c r="C1293" s="284"/>
      <c r="D1293" s="284"/>
      <c r="E1293" s="284"/>
      <c r="F1293" s="284"/>
      <c r="H1293" s="284"/>
      <c r="I1293" s="284"/>
      <c r="J1293" s="375"/>
      <c r="K1293" s="375"/>
      <c r="L1293" s="375"/>
      <c r="M1293" s="368"/>
      <c r="N1293" s="368"/>
      <c r="T1293" s="349"/>
      <c r="V1293" s="378"/>
      <c r="W1293" s="64" ph="1"/>
      <c r="X1293" s="241"/>
      <c r="Y1293" s="284"/>
      <c r="Z1293" s="207"/>
      <c r="AA1293" s="284"/>
      <c r="AB1293" s="284"/>
      <c r="AC1293" s="284"/>
      <c r="AD1293" s="284"/>
      <c r="AE1293" s="284"/>
      <c r="AF1293" s="284"/>
      <c r="AG1293" s="8"/>
      <c r="AI1293" s="131"/>
    </row>
    <row r="1294" spans="1:35" ht="26.4">
      <c r="A1294" s="284"/>
      <c r="B1294" s="284"/>
      <c r="C1294" s="284"/>
      <c r="D1294" s="284"/>
      <c r="E1294" s="284"/>
      <c r="F1294" s="284"/>
      <c r="G1294" s="284"/>
      <c r="H1294" s="284"/>
      <c r="I1294" s="284"/>
      <c r="J1294" s="375"/>
      <c r="K1294" s="375"/>
      <c r="L1294" s="375"/>
      <c r="M1294" s="368"/>
      <c r="N1294" s="368"/>
      <c r="O1294" s="370"/>
      <c r="T1294" s="349"/>
      <c r="V1294" s="378"/>
      <c r="W1294" s="64" ph="1"/>
      <c r="X1294" s="241"/>
      <c r="Y1294" s="284"/>
      <c r="Z1294" s="207"/>
      <c r="AA1294" s="284"/>
      <c r="AB1294" s="284"/>
      <c r="AC1294" s="284"/>
      <c r="AD1294" s="284"/>
      <c r="AE1294" s="284"/>
      <c r="AF1294" s="284"/>
      <c r="AG1294" s="8"/>
      <c r="AI1294" s="131"/>
    </row>
    <row r="1295" spans="1:35" ht="26.4">
      <c r="A1295" s="284"/>
      <c r="G1295" s="284"/>
      <c r="O1295" s="370"/>
      <c r="W1295" s="64" ph="1"/>
      <c r="Y1295" s="284"/>
      <c r="Z1295" s="207"/>
      <c r="AI1295" s="131"/>
    </row>
    <row r="1296" spans="1:35" ht="26.4">
      <c r="A1296" s="284"/>
      <c r="G1296" s="284"/>
      <c r="W1296" s="64" ph="1"/>
      <c r="AI1296" s="131"/>
    </row>
    <row r="1297" spans="1:35">
      <c r="A1297" s="284"/>
      <c r="G1297" s="284"/>
      <c r="O1297" s="370"/>
      <c r="AI1297" s="131"/>
    </row>
    <row r="1298" spans="1:35" ht="26.4">
      <c r="A1298" s="284"/>
      <c r="G1298" s="284"/>
      <c r="W1298" s="64" ph="1"/>
      <c r="AI1298" s="131"/>
    </row>
    <row r="1299" spans="1:35" ht="26.4">
      <c r="A1299" s="284"/>
      <c r="G1299" s="284"/>
      <c r="O1299" s="370"/>
      <c r="W1299" s="64" ph="1"/>
      <c r="AI1299" s="131"/>
    </row>
    <row r="1300" spans="1:35" ht="26.4">
      <c r="A1300" s="284"/>
      <c r="G1300" s="284"/>
      <c r="O1300" s="370"/>
      <c r="W1300" s="64" ph="1"/>
      <c r="AI1300" s="284"/>
    </row>
    <row r="1301" spans="1:35" ht="26.4">
      <c r="A1301" s="284"/>
      <c r="G1301" s="284"/>
      <c r="O1301" s="370"/>
      <c r="W1301" s="64" ph="1"/>
      <c r="AI1301" s="131"/>
    </row>
    <row r="1302" spans="1:35" ht="26.4">
      <c r="A1302" s="284"/>
      <c r="O1302" s="370"/>
      <c r="W1302" s="64" ph="1"/>
      <c r="AI1302" s="131"/>
    </row>
    <row r="1303" spans="1:35" ht="26.4">
      <c r="A1303" s="284"/>
      <c r="B1303" s="284"/>
      <c r="C1303" s="284"/>
      <c r="D1303" s="284"/>
      <c r="E1303" s="284"/>
      <c r="F1303" s="284"/>
      <c r="G1303" s="284"/>
      <c r="H1303" s="284"/>
      <c r="I1303" s="284"/>
      <c r="J1303" s="375"/>
      <c r="K1303" s="375"/>
      <c r="L1303" s="375"/>
      <c r="M1303" s="368"/>
      <c r="N1303" s="368"/>
      <c r="O1303" s="370"/>
      <c r="T1303" s="349"/>
      <c r="V1303" s="378"/>
      <c r="W1303" s="64" ph="1"/>
      <c r="X1303" s="241"/>
      <c r="Y1303" s="284"/>
      <c r="Z1303" s="207"/>
      <c r="AA1303" s="284"/>
      <c r="AB1303" s="284"/>
      <c r="AC1303" s="284"/>
      <c r="AD1303" s="284"/>
      <c r="AE1303" s="284"/>
      <c r="AF1303" s="284"/>
      <c r="AG1303" s="284"/>
      <c r="AI1303" s="131"/>
    </row>
    <row r="1304" spans="1:35" ht="26.4">
      <c r="A1304" s="284"/>
      <c r="B1304" s="284"/>
      <c r="C1304" s="284"/>
      <c r="D1304" s="284"/>
      <c r="E1304" s="284"/>
      <c r="F1304" s="284"/>
      <c r="G1304" s="284"/>
      <c r="H1304" s="284"/>
      <c r="I1304" s="284"/>
      <c r="J1304" s="375"/>
      <c r="K1304" s="375"/>
      <c r="L1304" s="375"/>
      <c r="M1304" s="368"/>
      <c r="N1304" s="368"/>
      <c r="O1304" s="370"/>
      <c r="T1304" s="349"/>
      <c r="V1304" s="378"/>
      <c r="W1304" s="64" ph="1"/>
      <c r="X1304" s="241"/>
      <c r="Y1304" s="284"/>
      <c r="Z1304" s="207"/>
      <c r="AA1304" s="284"/>
      <c r="AB1304" s="284"/>
      <c r="AC1304" s="284"/>
      <c r="AD1304" s="284"/>
      <c r="AE1304" s="284"/>
      <c r="AF1304" s="284"/>
      <c r="AG1304" s="284"/>
      <c r="AI1304" s="131"/>
    </row>
    <row r="1305" spans="1:35" ht="26.4">
      <c r="A1305" s="284"/>
      <c r="B1305" s="284"/>
      <c r="C1305" s="284"/>
      <c r="D1305" s="284"/>
      <c r="E1305" s="284"/>
      <c r="F1305" s="284"/>
      <c r="G1305" s="284"/>
      <c r="H1305" s="284"/>
      <c r="I1305" s="284"/>
      <c r="J1305" s="375"/>
      <c r="K1305" s="375"/>
      <c r="L1305" s="375"/>
      <c r="M1305" s="368"/>
      <c r="N1305" s="368"/>
      <c r="O1305" s="370"/>
      <c r="T1305" s="349"/>
      <c r="V1305" s="378"/>
      <c r="W1305" s="64" ph="1"/>
      <c r="X1305" s="241"/>
      <c r="Y1305" s="284"/>
      <c r="Z1305" s="207"/>
      <c r="AA1305" s="284"/>
      <c r="AB1305" s="284"/>
      <c r="AC1305" s="284"/>
      <c r="AD1305" s="284"/>
      <c r="AE1305" s="284"/>
      <c r="AF1305" s="284"/>
      <c r="AG1305" s="284"/>
      <c r="AI1305" s="131"/>
    </row>
    <row r="1306" spans="1:35">
      <c r="O1306" s="370"/>
      <c r="AI1306" s="131"/>
    </row>
    <row r="1307" spans="1:35" ht="26.4">
      <c r="A1307" s="284"/>
      <c r="B1307" s="284"/>
      <c r="C1307" s="284"/>
      <c r="D1307" s="284"/>
      <c r="E1307" s="284"/>
      <c r="F1307" s="284"/>
      <c r="G1307" s="284"/>
      <c r="H1307" s="284"/>
      <c r="I1307" s="284"/>
      <c r="J1307" s="375"/>
      <c r="K1307" s="375"/>
      <c r="L1307" s="375"/>
      <c r="M1307" s="368"/>
      <c r="N1307" s="368"/>
      <c r="T1307" s="349"/>
      <c r="V1307" s="378"/>
      <c r="W1307" s="64" ph="1"/>
      <c r="X1307" s="241"/>
      <c r="Y1307" s="284"/>
      <c r="Z1307" s="207"/>
      <c r="AA1307" s="284"/>
      <c r="AB1307" s="284"/>
      <c r="AC1307" s="284"/>
      <c r="AD1307" s="284"/>
      <c r="AE1307" s="284"/>
      <c r="AF1307" s="284"/>
      <c r="AG1307" s="284"/>
      <c r="AI1307" s="131"/>
    </row>
    <row r="1308" spans="1:35" ht="26.4">
      <c r="A1308" s="284"/>
      <c r="B1308" s="284"/>
      <c r="C1308" s="284"/>
      <c r="D1308" s="284"/>
      <c r="E1308" s="284"/>
      <c r="F1308" s="284"/>
      <c r="G1308" s="284"/>
      <c r="H1308" s="284"/>
      <c r="I1308" s="284"/>
      <c r="J1308" s="375"/>
      <c r="K1308" s="375"/>
      <c r="L1308" s="375"/>
      <c r="M1308" s="368"/>
      <c r="N1308" s="368"/>
      <c r="T1308" s="349"/>
      <c r="V1308" s="378"/>
      <c r="W1308" s="64" ph="1"/>
      <c r="X1308" s="241"/>
      <c r="Y1308" s="284"/>
      <c r="Z1308" s="207"/>
      <c r="AA1308" s="284"/>
      <c r="AB1308" s="284"/>
      <c r="AC1308" s="284"/>
      <c r="AD1308" s="284"/>
      <c r="AE1308" s="284"/>
      <c r="AF1308" s="284"/>
      <c r="AG1308" s="284"/>
      <c r="AI1308" s="131"/>
    </row>
    <row r="1309" spans="1:35" ht="26.4">
      <c r="A1309" s="284"/>
      <c r="B1309" s="284"/>
      <c r="C1309" s="284"/>
      <c r="D1309" s="284"/>
      <c r="E1309" s="284"/>
      <c r="F1309" s="284"/>
      <c r="G1309" s="284"/>
      <c r="H1309" s="284"/>
      <c r="I1309" s="284"/>
      <c r="J1309" s="375"/>
      <c r="K1309" s="375"/>
      <c r="L1309" s="375"/>
      <c r="M1309" s="368"/>
      <c r="N1309" s="368"/>
      <c r="T1309" s="349"/>
      <c r="V1309" s="378"/>
      <c r="W1309" s="64" ph="1"/>
      <c r="X1309" s="241"/>
      <c r="Y1309" s="284"/>
      <c r="Z1309" s="207"/>
      <c r="AA1309" s="284"/>
      <c r="AB1309" s="284"/>
      <c r="AC1309" s="284"/>
      <c r="AD1309" s="284"/>
      <c r="AE1309" s="284"/>
      <c r="AF1309" s="284"/>
      <c r="AG1309" s="284"/>
      <c r="AI1309" s="131"/>
    </row>
    <row r="1310" spans="1:35" ht="26.4">
      <c r="A1310" s="284"/>
      <c r="B1310" s="284"/>
      <c r="C1310" s="284"/>
      <c r="D1310" s="284"/>
      <c r="E1310" s="284"/>
      <c r="F1310" s="284"/>
      <c r="G1310" s="284"/>
      <c r="H1310" s="284"/>
      <c r="I1310" s="284"/>
      <c r="J1310" s="375"/>
      <c r="K1310" s="375"/>
      <c r="L1310" s="375"/>
      <c r="M1310" s="368"/>
      <c r="N1310" s="368"/>
      <c r="T1310" s="349"/>
      <c r="V1310" s="378"/>
      <c r="W1310" s="64" ph="1"/>
      <c r="X1310" s="241"/>
      <c r="Y1310" s="284"/>
      <c r="Z1310" s="207"/>
      <c r="AA1310" s="284"/>
      <c r="AB1310" s="284"/>
      <c r="AC1310" s="284"/>
      <c r="AD1310" s="284"/>
      <c r="AE1310" s="284"/>
      <c r="AF1310" s="284"/>
      <c r="AG1310" s="284"/>
      <c r="AI1310" s="131"/>
    </row>
    <row r="1311" spans="1:35">
      <c r="AI1311" s="131"/>
    </row>
    <row r="1312" spans="1:35">
      <c r="AI1312" s="28"/>
    </row>
    <row r="1313" spans="15:35">
      <c r="AI1313" s="131"/>
    </row>
    <row r="1314" spans="15:35">
      <c r="AI1314" s="131"/>
    </row>
    <row r="1315" spans="15:35">
      <c r="O1315" s="370"/>
      <c r="AI1315" s="131"/>
    </row>
    <row r="1316" spans="15:35">
      <c r="O1316" s="370"/>
      <c r="AI1316" s="131"/>
    </row>
    <row r="1317" spans="15:35">
      <c r="O1317" s="370"/>
      <c r="AI1317" s="131"/>
    </row>
    <row r="1318" spans="15:35">
      <c r="AI1318" s="131"/>
    </row>
    <row r="1319" spans="15:35">
      <c r="O1319" s="370"/>
      <c r="AI1319" s="128"/>
    </row>
    <row r="1320" spans="15:35">
      <c r="O1320" s="370"/>
      <c r="AI1320" s="131"/>
    </row>
    <row r="1321" spans="15:35">
      <c r="O1321" s="370"/>
      <c r="AI1321" s="131"/>
    </row>
    <row r="1322" spans="15:35">
      <c r="O1322" s="370"/>
      <c r="AI1322" s="131"/>
    </row>
    <row r="1323" spans="15:35">
      <c r="AI1323" s="131"/>
    </row>
    <row r="1324" spans="15:35">
      <c r="AI1324" s="131"/>
    </row>
    <row r="1325" spans="15:35">
      <c r="AI1325" s="131"/>
    </row>
    <row r="1326" spans="15:35">
      <c r="AI1326" s="131"/>
    </row>
    <row r="1327" spans="15:35">
      <c r="AI1327" s="131"/>
    </row>
    <row r="1328" spans="15:35">
      <c r="AI1328" s="131"/>
    </row>
    <row r="1329" spans="35:35">
      <c r="AI1329" s="131"/>
    </row>
    <row r="1330" spans="35:35">
      <c r="AI1330" s="131"/>
    </row>
    <row r="1331" spans="35:35">
      <c r="AI1331" s="131"/>
    </row>
    <row r="1332" spans="35:35">
      <c r="AI1332" s="131"/>
    </row>
    <row r="1333" spans="35:35">
      <c r="AI1333" s="131"/>
    </row>
    <row r="1334" spans="35:35">
      <c r="AI1334" s="131"/>
    </row>
    <row r="1335" spans="35:35">
      <c r="AI1335" s="131"/>
    </row>
    <row r="1336" spans="35:35">
      <c r="AI1336" s="131"/>
    </row>
    <row r="1337" spans="35:35">
      <c r="AI1337" s="131"/>
    </row>
    <row r="1338" spans="35:35">
      <c r="AI1338" s="131"/>
    </row>
    <row r="1339" spans="35:35">
      <c r="AI1339" s="131"/>
    </row>
    <row r="1340" spans="35:35">
      <c r="AI1340" s="131"/>
    </row>
    <row r="1341" spans="35:35">
      <c r="AI1341" s="131"/>
    </row>
    <row r="1342" spans="35:35">
      <c r="AI1342" s="131"/>
    </row>
    <row r="1343" spans="35:35">
      <c r="AI1343" s="131"/>
    </row>
    <row r="1344" spans="35:35">
      <c r="AI1344" s="131"/>
    </row>
    <row r="1345" spans="35:35">
      <c r="AI1345" s="131"/>
    </row>
    <row r="1346" spans="35:35">
      <c r="AI1346" s="131"/>
    </row>
    <row r="1347" spans="35:35">
      <c r="AI1347" s="131"/>
    </row>
    <row r="1348" spans="35:35">
      <c r="AI1348" s="131"/>
    </row>
    <row r="1349" spans="35:35">
      <c r="AI1349" s="131"/>
    </row>
    <row r="1350" spans="35:35">
      <c r="AI1350" s="131"/>
    </row>
    <row r="1351" spans="35:35">
      <c r="AI1351" s="131"/>
    </row>
    <row r="1352" spans="35:35">
      <c r="AI1352" s="131"/>
    </row>
    <row r="1353" spans="35:35">
      <c r="AI1353" s="131"/>
    </row>
    <row r="1354" spans="35:35">
      <c r="AI1354" s="131"/>
    </row>
    <row r="1355" spans="35:35">
      <c r="AI1355" s="131"/>
    </row>
    <row r="1356" spans="35:35">
      <c r="AI1356" s="131"/>
    </row>
    <row r="1357" spans="35:35">
      <c r="AI1357" s="131"/>
    </row>
    <row r="1358" spans="35:35">
      <c r="AI1358" s="131"/>
    </row>
    <row r="1359" spans="35:35">
      <c r="AI1359" s="284"/>
    </row>
    <row r="1360" spans="35:35">
      <c r="AI1360" s="131"/>
    </row>
    <row r="1361" spans="35:35">
      <c r="AI1361" s="131"/>
    </row>
    <row r="1362" spans="35:35">
      <c r="AI1362" s="131"/>
    </row>
    <row r="1363" spans="35:35">
      <c r="AI1363" s="131"/>
    </row>
    <row r="1364" spans="35:35">
      <c r="AI1364" s="286"/>
    </row>
    <row r="1365" spans="35:35">
      <c r="AI1365" s="131"/>
    </row>
    <row r="1366" spans="35:35">
      <c r="AI1366" s="131"/>
    </row>
    <row r="1367" spans="35:35">
      <c r="AI1367" s="131"/>
    </row>
    <row r="1368" spans="35:35">
      <c r="AI1368" s="131"/>
    </row>
    <row r="1369" spans="35:35">
      <c r="AI1369" s="131"/>
    </row>
    <row r="1370" spans="35:35">
      <c r="AI1370" s="131"/>
    </row>
    <row r="1371" spans="35:35">
      <c r="AI1371" s="236"/>
    </row>
    <row r="1372" spans="35:35">
      <c r="AI1372" s="131"/>
    </row>
    <row r="1373" spans="35:35">
      <c r="AI1373" s="131"/>
    </row>
    <row r="1374" spans="35:35">
      <c r="AI1374" s="131"/>
    </row>
    <row r="1375" spans="35:35">
      <c r="AI1375" s="131"/>
    </row>
    <row r="1376" spans="35:35">
      <c r="AI1376" s="131"/>
    </row>
    <row r="1377" spans="35:35">
      <c r="AI1377" s="131"/>
    </row>
    <row r="1378" spans="35:35">
      <c r="AI1378" s="131"/>
    </row>
    <row r="1379" spans="35:35">
      <c r="AI1379" s="131"/>
    </row>
    <row r="1380" spans="35:35">
      <c r="AI1380" s="131"/>
    </row>
    <row r="1381" spans="35:35">
      <c r="AI1381" s="131"/>
    </row>
    <row r="1382" spans="35:35">
      <c r="AI1382" s="284"/>
    </row>
    <row r="1383" spans="35:35">
      <c r="AI1383" s="131"/>
    </row>
    <row r="1384" spans="35:35">
      <c r="AI1384" s="131"/>
    </row>
    <row r="1385" spans="35:35">
      <c r="AI1385" s="131"/>
    </row>
    <row r="1386" spans="35:35">
      <c r="AI1386" s="131"/>
    </row>
    <row r="1387" spans="35:35">
      <c r="AI1387" s="131"/>
    </row>
    <row r="1388" spans="35:35">
      <c r="AI1388" s="131"/>
    </row>
    <row r="1389" spans="35:35">
      <c r="AI1389" s="131"/>
    </row>
    <row r="1390" spans="35:35">
      <c r="AI1390" s="131"/>
    </row>
    <row r="1391" spans="35:35">
      <c r="AI1391" s="131"/>
    </row>
    <row r="1392" spans="35:35">
      <c r="AI1392" s="131"/>
    </row>
    <row r="1393" spans="35:35">
      <c r="AI1393" s="131"/>
    </row>
    <row r="1394" spans="35:35">
      <c r="AI1394" s="284"/>
    </row>
    <row r="1395" spans="35:35">
      <c r="AI1395" s="131"/>
    </row>
    <row r="1396" spans="35:35">
      <c r="AI1396" s="28"/>
    </row>
    <row r="1397" spans="35:35">
      <c r="AI1397" s="284"/>
    </row>
    <row r="1398" spans="35:35">
      <c r="AI1398" s="131"/>
    </row>
    <row r="1399" spans="35:35">
      <c r="AI1399" s="131"/>
    </row>
    <row r="1400" spans="35:35">
      <c r="AI1400" s="131"/>
    </row>
    <row r="1401" spans="35:35">
      <c r="AI1401" s="131"/>
    </row>
    <row r="1402" spans="35:35">
      <c r="AI1402" s="284"/>
    </row>
    <row r="1403" spans="35:35">
      <c r="AI1403" s="131"/>
    </row>
    <row r="1404" spans="35:35">
      <c r="AI1404" s="131"/>
    </row>
    <row r="1405" spans="35:35">
      <c r="AI1405" s="131"/>
    </row>
    <row r="1406" spans="35:35">
      <c r="AI1406" s="131"/>
    </row>
    <row r="1407" spans="35:35">
      <c r="AI1407" s="131"/>
    </row>
    <row r="1408" spans="35:35">
      <c r="AI1408" s="131"/>
    </row>
    <row r="1409" spans="35:35">
      <c r="AI1409" s="131"/>
    </row>
    <row r="1410" spans="35:35">
      <c r="AI1410" s="131"/>
    </row>
    <row r="1411" spans="35:35">
      <c r="AI1411" s="131"/>
    </row>
    <row r="1412" spans="35:35">
      <c r="AI1412" s="131"/>
    </row>
    <row r="1413" spans="35:35">
      <c r="AI1413" s="131"/>
    </row>
    <row r="1414" spans="35:35">
      <c r="AI1414" s="131"/>
    </row>
    <row r="1415" spans="35:35">
      <c r="AI1415" s="131"/>
    </row>
    <row r="1416" spans="35:35">
      <c r="AI1416" s="131"/>
    </row>
    <row r="1417" spans="35:35">
      <c r="AI1417" s="131"/>
    </row>
    <row r="1418" spans="35:35">
      <c r="AI1418" s="131"/>
    </row>
    <row r="1419" spans="35:35">
      <c r="AI1419" s="131"/>
    </row>
    <row r="1420" spans="35:35">
      <c r="AI1420" s="131"/>
    </row>
    <row r="1421" spans="35:35">
      <c r="AI1421" s="131"/>
    </row>
    <row r="1422" spans="35:35">
      <c r="AI1422" s="284"/>
    </row>
    <row r="1423" spans="35:35">
      <c r="AI1423" s="131"/>
    </row>
    <row r="1424" spans="35:35">
      <c r="AI1424" s="131"/>
    </row>
    <row r="1425" spans="1:35">
      <c r="AI1425" s="131"/>
    </row>
    <row r="1426" spans="1:35">
      <c r="AI1426" s="131"/>
    </row>
    <row r="1427" spans="1:35">
      <c r="AI1427" s="131"/>
    </row>
    <row r="1428" spans="1:35">
      <c r="AI1428" s="131"/>
    </row>
    <row r="1429" spans="1:35">
      <c r="AI1429" s="131"/>
    </row>
    <row r="1430" spans="1:35">
      <c r="AI1430" s="131"/>
    </row>
    <row r="1431" spans="1:35">
      <c r="AI1431" s="131"/>
    </row>
    <row r="1432" spans="1:35">
      <c r="AI1432" s="131"/>
    </row>
    <row r="1433" spans="1:35">
      <c r="AI1433" s="131"/>
    </row>
    <row r="1434" spans="1:35">
      <c r="AI1434" s="131"/>
    </row>
    <row r="1435" spans="1:35">
      <c r="AI1435" s="131"/>
    </row>
    <row r="1436" spans="1:35" ht="26.4">
      <c r="A1436" s="284"/>
      <c r="B1436" s="284"/>
      <c r="C1436" s="284"/>
      <c r="D1436" s="284"/>
      <c r="E1436" s="284"/>
      <c r="F1436" s="284"/>
      <c r="G1436" s="284"/>
      <c r="H1436" s="284"/>
      <c r="I1436" s="284"/>
      <c r="J1436" s="375"/>
      <c r="K1436" s="375"/>
      <c r="L1436" s="375"/>
      <c r="M1436" s="368"/>
      <c r="N1436" s="368"/>
      <c r="T1436" s="349"/>
      <c r="V1436" s="378"/>
      <c r="W1436" s="64" ph="1"/>
      <c r="X1436" s="241"/>
      <c r="Y1436" s="284"/>
      <c r="Z1436" s="207"/>
      <c r="AA1436" s="284"/>
      <c r="AB1436" s="284"/>
      <c r="AC1436" s="284"/>
      <c r="AD1436" s="284"/>
      <c r="AE1436" s="284"/>
      <c r="AF1436" s="284"/>
      <c r="AG1436" s="284"/>
      <c r="AI1436" s="131"/>
    </row>
    <row r="1437" spans="1:35">
      <c r="AI1437" s="131"/>
    </row>
    <row r="1438" spans="1:35">
      <c r="AI1438" s="131"/>
    </row>
    <row r="1439" spans="1:35">
      <c r="AI1439" s="131"/>
    </row>
    <row r="1440" spans="1:35">
      <c r="AI1440" s="131"/>
    </row>
    <row r="1441" spans="1:35">
      <c r="AI1441" s="131"/>
    </row>
    <row r="1442" spans="1:35">
      <c r="AI1442" s="131"/>
    </row>
    <row r="1443" spans="1:35">
      <c r="AI1443" s="131"/>
    </row>
    <row r="1444" spans="1:35">
      <c r="AI1444" s="131"/>
    </row>
    <row r="1445" spans="1:35">
      <c r="AI1445" s="131"/>
    </row>
    <row r="1446" spans="1:35" ht="26.4">
      <c r="A1446" s="284"/>
      <c r="B1446" s="284"/>
      <c r="C1446" s="284"/>
      <c r="D1446" s="284"/>
      <c r="E1446" s="284"/>
      <c r="F1446" s="284"/>
      <c r="G1446" s="284"/>
      <c r="H1446" s="284"/>
      <c r="I1446" s="284"/>
      <c r="J1446" s="375"/>
      <c r="K1446" s="375"/>
      <c r="L1446" s="375"/>
      <c r="M1446" s="368"/>
      <c r="N1446" s="368"/>
      <c r="T1446" s="349"/>
      <c r="V1446" s="378"/>
      <c r="W1446" s="64" ph="1"/>
      <c r="X1446" s="241"/>
      <c r="Y1446" s="284"/>
      <c r="Z1446" s="207"/>
      <c r="AA1446" s="284"/>
      <c r="AB1446" s="284"/>
      <c r="AC1446" s="284"/>
      <c r="AD1446" s="284"/>
      <c r="AE1446" s="284"/>
      <c r="AF1446" s="284"/>
      <c r="AG1446" s="284"/>
      <c r="AI1446" s="131"/>
    </row>
    <row r="1447" spans="1:35">
      <c r="AI1447" s="131"/>
    </row>
    <row r="1448" spans="1:35">
      <c r="O1448" s="370"/>
      <c r="AI1448" s="131"/>
    </row>
    <row r="1449" spans="1:35">
      <c r="AI1449" s="131"/>
    </row>
    <row r="1450" spans="1:35" ht="26.4">
      <c r="A1450" s="284"/>
      <c r="B1450" s="284"/>
      <c r="C1450" s="284"/>
      <c r="D1450" s="284"/>
      <c r="E1450" s="284"/>
      <c r="F1450" s="284"/>
      <c r="G1450" s="284"/>
      <c r="H1450" s="284"/>
      <c r="I1450" s="284"/>
      <c r="J1450" s="375"/>
      <c r="K1450" s="375"/>
      <c r="L1450" s="375"/>
      <c r="M1450" s="368"/>
      <c r="N1450" s="368"/>
      <c r="T1450" s="349"/>
      <c r="V1450" s="378"/>
      <c r="W1450" s="64" ph="1"/>
      <c r="X1450" s="241"/>
      <c r="Y1450" s="284"/>
      <c r="Z1450" s="207"/>
      <c r="AA1450" s="284"/>
      <c r="AB1450" s="284"/>
      <c r="AC1450" s="284"/>
      <c r="AD1450" s="284"/>
      <c r="AE1450" s="284"/>
      <c r="AF1450" s="284"/>
      <c r="AG1450" s="284"/>
      <c r="AI1450" s="131"/>
    </row>
    <row r="1451" spans="1:35">
      <c r="AI1451" s="131"/>
    </row>
    <row r="1452" spans="1:35">
      <c r="AI1452" s="131"/>
    </row>
    <row r="1453" spans="1:35">
      <c r="AI1453" s="131"/>
    </row>
    <row r="1454" spans="1:35">
      <c r="AI1454" s="131"/>
    </row>
    <row r="1455" spans="1:35" ht="26.4">
      <c r="A1455" s="284"/>
      <c r="B1455" s="284"/>
      <c r="C1455" s="284"/>
      <c r="D1455" s="284"/>
      <c r="E1455" s="284"/>
      <c r="F1455" s="284"/>
      <c r="G1455" s="284"/>
      <c r="H1455" s="284"/>
      <c r="I1455" s="284"/>
      <c r="J1455" s="375"/>
      <c r="K1455" s="375"/>
      <c r="L1455" s="375"/>
      <c r="M1455" s="368"/>
      <c r="N1455" s="368"/>
      <c r="T1455" s="349"/>
      <c r="V1455" s="378"/>
      <c r="W1455" s="64" ph="1"/>
      <c r="X1455" s="241"/>
      <c r="Y1455" s="284"/>
      <c r="Z1455" s="207"/>
      <c r="AA1455" s="284"/>
      <c r="AB1455" s="284"/>
      <c r="AC1455" s="284"/>
      <c r="AD1455" s="284"/>
      <c r="AE1455" s="284"/>
      <c r="AF1455" s="284"/>
      <c r="AG1455" s="284"/>
      <c r="AI1455" s="131"/>
    </row>
    <row r="1456" spans="1:35" ht="26.4">
      <c r="A1456" s="284"/>
      <c r="B1456" s="284"/>
      <c r="C1456" s="284"/>
      <c r="D1456" s="284"/>
      <c r="E1456" s="284"/>
      <c r="F1456" s="284"/>
      <c r="G1456" s="284"/>
      <c r="H1456" s="284"/>
      <c r="I1456" s="284"/>
      <c r="J1456" s="375"/>
      <c r="K1456" s="375"/>
      <c r="L1456" s="375"/>
      <c r="M1456" s="368"/>
      <c r="N1456" s="368"/>
      <c r="T1456" s="349"/>
      <c r="V1456" s="378"/>
      <c r="W1456" s="64" ph="1"/>
      <c r="X1456" s="241"/>
      <c r="Y1456" s="284"/>
      <c r="Z1456" s="207"/>
      <c r="AA1456" s="284"/>
      <c r="AB1456" s="284"/>
      <c r="AC1456" s="284"/>
      <c r="AD1456" s="284"/>
      <c r="AE1456" s="284"/>
      <c r="AF1456" s="284"/>
      <c r="AG1456" s="284"/>
      <c r="AI1456" s="131"/>
    </row>
    <row r="1457" spans="1:35" ht="26.4">
      <c r="A1457" s="284"/>
      <c r="B1457" s="284"/>
      <c r="C1457" s="284"/>
      <c r="D1457" s="284"/>
      <c r="E1457" s="284"/>
      <c r="F1457" s="284"/>
      <c r="G1457" s="284"/>
      <c r="H1457" s="284"/>
      <c r="I1457" s="284"/>
      <c r="J1457" s="375"/>
      <c r="K1457" s="375"/>
      <c r="L1457" s="375"/>
      <c r="M1457" s="368"/>
      <c r="N1457" s="368"/>
      <c r="T1457" s="349"/>
      <c r="V1457" s="378"/>
      <c r="W1457" s="64" ph="1"/>
      <c r="X1457" s="241"/>
      <c r="Y1457" s="284"/>
      <c r="Z1457" s="207"/>
      <c r="AA1457" s="284"/>
      <c r="AB1457" s="284"/>
      <c r="AC1457" s="284"/>
      <c r="AD1457" s="284"/>
      <c r="AE1457" s="284"/>
      <c r="AF1457" s="284"/>
      <c r="AG1457" s="284"/>
      <c r="AI1457" s="131"/>
    </row>
    <row r="1458" spans="1:35">
      <c r="O1458" s="370"/>
      <c r="AI1458" s="131"/>
    </row>
    <row r="1459" spans="1:35" ht="26.4">
      <c r="A1459" s="284"/>
      <c r="B1459" s="284"/>
      <c r="C1459" s="284"/>
      <c r="D1459" s="284"/>
      <c r="E1459" s="284"/>
      <c r="F1459" s="284"/>
      <c r="G1459" s="284"/>
      <c r="H1459" s="284"/>
      <c r="I1459" s="284"/>
      <c r="J1459" s="375"/>
      <c r="K1459" s="375"/>
      <c r="L1459" s="375"/>
      <c r="M1459" s="368"/>
      <c r="N1459" s="368"/>
      <c r="T1459" s="349"/>
      <c r="V1459" s="378"/>
      <c r="W1459" s="64" ph="1"/>
      <c r="X1459" s="241"/>
      <c r="Y1459" s="284"/>
      <c r="Z1459" s="207"/>
      <c r="AA1459" s="284"/>
      <c r="AB1459" s="284"/>
      <c r="AC1459" s="284"/>
      <c r="AD1459" s="284"/>
      <c r="AE1459" s="284"/>
      <c r="AF1459" s="284"/>
      <c r="AG1459" s="284"/>
      <c r="AI1459" s="131"/>
    </row>
    <row r="1460" spans="1:35" ht="26.4">
      <c r="A1460" s="284"/>
      <c r="B1460" s="284"/>
      <c r="C1460" s="284"/>
      <c r="D1460" s="284"/>
      <c r="E1460" s="284"/>
      <c r="F1460" s="284"/>
      <c r="G1460" s="284"/>
      <c r="H1460" s="284"/>
      <c r="I1460" s="284"/>
      <c r="J1460" s="375"/>
      <c r="K1460" s="375"/>
      <c r="L1460" s="375"/>
      <c r="M1460" s="368"/>
      <c r="N1460" s="368"/>
      <c r="T1460" s="349"/>
      <c r="V1460" s="378"/>
      <c r="W1460" s="64" ph="1"/>
      <c r="X1460" s="241"/>
      <c r="Y1460" s="284"/>
      <c r="Z1460" s="207"/>
      <c r="AA1460" s="284"/>
      <c r="AB1460" s="284"/>
      <c r="AC1460" s="284"/>
      <c r="AD1460" s="284"/>
      <c r="AE1460" s="284"/>
      <c r="AF1460" s="284"/>
      <c r="AG1460" s="284"/>
      <c r="AI1460" s="131"/>
    </row>
    <row r="1461" spans="1:35">
      <c r="AI1461" s="284"/>
    </row>
    <row r="1462" spans="1:35" ht="26.4">
      <c r="A1462" s="284"/>
      <c r="B1462" s="284"/>
      <c r="C1462" s="284"/>
      <c r="D1462" s="284"/>
      <c r="E1462" s="284"/>
      <c r="F1462" s="284"/>
      <c r="G1462" s="284"/>
      <c r="H1462" s="284"/>
      <c r="I1462" s="284"/>
      <c r="J1462" s="375"/>
      <c r="K1462" s="375"/>
      <c r="L1462" s="375"/>
      <c r="M1462" s="368"/>
      <c r="N1462" s="368"/>
      <c r="O1462" s="370"/>
      <c r="T1462" s="349"/>
      <c r="V1462" s="378"/>
      <c r="W1462" s="64" ph="1"/>
      <c r="X1462" s="241"/>
      <c r="Y1462" s="284"/>
      <c r="Z1462" s="207"/>
      <c r="AA1462" s="284"/>
      <c r="AB1462" s="284"/>
      <c r="AC1462" s="284"/>
      <c r="AD1462" s="284"/>
      <c r="AE1462" s="284"/>
      <c r="AF1462" s="284"/>
      <c r="AG1462" s="284"/>
      <c r="AI1462" s="131"/>
    </row>
    <row r="1463" spans="1:35">
      <c r="AI1463" s="131"/>
    </row>
    <row r="1464" spans="1:35" ht="26.4">
      <c r="A1464" s="284"/>
      <c r="B1464" s="284"/>
      <c r="C1464" s="284"/>
      <c r="D1464" s="284"/>
      <c r="E1464" s="284"/>
      <c r="F1464" s="284"/>
      <c r="G1464" s="284"/>
      <c r="H1464" s="284"/>
      <c r="I1464" s="284"/>
      <c r="J1464" s="375"/>
      <c r="K1464" s="375"/>
      <c r="L1464" s="375"/>
      <c r="M1464" s="368"/>
      <c r="N1464" s="368"/>
      <c r="T1464" s="349"/>
      <c r="V1464" s="378"/>
      <c r="W1464" s="64" ph="1"/>
      <c r="X1464" s="241"/>
      <c r="Y1464" s="284"/>
      <c r="Z1464" s="207"/>
      <c r="AA1464" s="284"/>
      <c r="AB1464" s="284"/>
      <c r="AC1464" s="284"/>
      <c r="AD1464" s="284"/>
      <c r="AE1464" s="284"/>
      <c r="AF1464" s="284"/>
      <c r="AG1464" s="284"/>
      <c r="AI1464" s="131"/>
    </row>
    <row r="1465" spans="1:35" ht="26.4">
      <c r="A1465" s="284"/>
      <c r="B1465" s="284"/>
      <c r="C1465" s="284"/>
      <c r="D1465" s="284"/>
      <c r="E1465" s="284"/>
      <c r="F1465" s="284"/>
      <c r="G1465" s="284"/>
      <c r="H1465" s="284"/>
      <c r="I1465" s="284"/>
      <c r="J1465" s="375"/>
      <c r="K1465" s="375"/>
      <c r="L1465" s="375"/>
      <c r="M1465" s="368"/>
      <c r="N1465" s="368"/>
      <c r="T1465" s="349"/>
      <c r="V1465" s="378"/>
      <c r="W1465" s="64" ph="1"/>
      <c r="X1465" s="241"/>
      <c r="Y1465" s="284"/>
      <c r="Z1465" s="207"/>
      <c r="AA1465" s="284"/>
      <c r="AB1465" s="284"/>
      <c r="AC1465" s="284"/>
      <c r="AD1465" s="284"/>
      <c r="AE1465" s="284"/>
      <c r="AF1465" s="284"/>
      <c r="AG1465" s="284"/>
      <c r="AI1465" s="131"/>
    </row>
    <row r="1466" spans="1:35" ht="26.4">
      <c r="A1466" s="284"/>
      <c r="B1466" s="284"/>
      <c r="C1466" s="284"/>
      <c r="D1466" s="284"/>
      <c r="E1466" s="284"/>
      <c r="F1466" s="284"/>
      <c r="G1466" s="284"/>
      <c r="H1466" s="284"/>
      <c r="I1466" s="284"/>
      <c r="J1466" s="375"/>
      <c r="K1466" s="375"/>
      <c r="L1466" s="375"/>
      <c r="M1466" s="368"/>
      <c r="N1466" s="368"/>
      <c r="T1466" s="349"/>
      <c r="V1466" s="378"/>
      <c r="W1466" s="64" ph="1"/>
      <c r="X1466" s="241"/>
      <c r="Y1466" s="284"/>
      <c r="Z1466" s="207"/>
      <c r="AA1466" s="284"/>
      <c r="AB1466" s="284"/>
      <c r="AC1466" s="284"/>
      <c r="AD1466" s="284"/>
      <c r="AE1466" s="284"/>
      <c r="AF1466" s="284"/>
      <c r="AG1466" s="284"/>
      <c r="AI1466" s="131"/>
    </row>
    <row r="1467" spans="1:35" ht="26.4">
      <c r="A1467" s="284"/>
      <c r="B1467" s="284"/>
      <c r="C1467" s="284"/>
      <c r="D1467" s="284"/>
      <c r="E1467" s="284"/>
      <c r="F1467" s="284"/>
      <c r="G1467" s="284"/>
      <c r="H1467" s="284"/>
      <c r="I1467" s="284"/>
      <c r="J1467" s="375"/>
      <c r="K1467" s="375"/>
      <c r="L1467" s="375"/>
      <c r="M1467" s="368"/>
      <c r="N1467" s="368"/>
      <c r="O1467" s="370"/>
      <c r="T1467" s="349"/>
      <c r="V1467" s="378"/>
      <c r="W1467" s="64" ph="1"/>
      <c r="X1467" s="241"/>
      <c r="Y1467" s="284"/>
      <c r="Z1467" s="207"/>
      <c r="AA1467" s="284"/>
      <c r="AB1467" s="284"/>
      <c r="AC1467" s="284"/>
      <c r="AD1467" s="284"/>
      <c r="AE1467" s="284"/>
      <c r="AF1467" s="284"/>
      <c r="AG1467" s="284"/>
      <c r="AI1467" s="131"/>
    </row>
    <row r="1468" spans="1:35" ht="26.4">
      <c r="A1468" s="284"/>
      <c r="B1468" s="284"/>
      <c r="C1468" s="284"/>
      <c r="D1468" s="284"/>
      <c r="E1468" s="284"/>
      <c r="F1468" s="284"/>
      <c r="G1468" s="284"/>
      <c r="H1468" s="284"/>
      <c r="I1468" s="284"/>
      <c r="J1468" s="375"/>
      <c r="K1468" s="375"/>
      <c r="L1468" s="375"/>
      <c r="M1468" s="368"/>
      <c r="N1468" s="368"/>
      <c r="O1468" s="370"/>
      <c r="T1468" s="349"/>
      <c r="V1468" s="378"/>
      <c r="W1468" s="64" ph="1"/>
      <c r="X1468" s="241"/>
      <c r="Y1468" s="284"/>
      <c r="Z1468" s="207"/>
      <c r="AA1468" s="284"/>
      <c r="AB1468" s="284"/>
      <c r="AC1468" s="284"/>
      <c r="AD1468" s="284"/>
      <c r="AE1468" s="284"/>
      <c r="AF1468" s="284"/>
      <c r="AG1468" s="284"/>
      <c r="AI1468" s="131"/>
    </row>
    <row r="1469" spans="1:35" ht="26.4">
      <c r="A1469" s="284"/>
      <c r="B1469" s="284"/>
      <c r="C1469" s="284"/>
      <c r="D1469" s="284"/>
      <c r="E1469" s="284"/>
      <c r="F1469" s="284"/>
      <c r="G1469" s="284"/>
      <c r="H1469" s="284"/>
      <c r="I1469" s="284"/>
      <c r="J1469" s="375"/>
      <c r="K1469" s="375"/>
      <c r="L1469" s="375"/>
      <c r="M1469" s="368"/>
      <c r="N1469" s="368"/>
      <c r="O1469" s="370"/>
      <c r="T1469" s="349"/>
      <c r="V1469" s="378"/>
      <c r="W1469" s="64" ph="1"/>
      <c r="X1469" s="241"/>
      <c r="Y1469" s="284"/>
      <c r="Z1469" s="207"/>
      <c r="AA1469" s="284"/>
      <c r="AB1469" s="284"/>
      <c r="AC1469" s="284"/>
      <c r="AD1469" s="284"/>
      <c r="AE1469" s="284"/>
      <c r="AF1469" s="284"/>
      <c r="AG1469" s="284"/>
      <c r="AI1469" s="131"/>
    </row>
    <row r="1470" spans="1:35" ht="26.4">
      <c r="A1470" s="284"/>
      <c r="B1470" s="284"/>
      <c r="C1470" s="284"/>
      <c r="D1470" s="284"/>
      <c r="E1470" s="284"/>
      <c r="F1470" s="284"/>
      <c r="G1470" s="284"/>
      <c r="H1470" s="284"/>
      <c r="I1470" s="284"/>
      <c r="J1470" s="375"/>
      <c r="K1470" s="375"/>
      <c r="L1470" s="375"/>
      <c r="M1470" s="368"/>
      <c r="N1470" s="368"/>
      <c r="T1470" s="349"/>
      <c r="V1470" s="378"/>
      <c r="W1470" s="64" ph="1"/>
      <c r="X1470" s="241"/>
      <c r="Y1470" s="284"/>
      <c r="Z1470" s="207"/>
      <c r="AA1470" s="284"/>
      <c r="AB1470" s="284"/>
      <c r="AC1470" s="284"/>
      <c r="AD1470" s="284"/>
      <c r="AE1470" s="284"/>
      <c r="AF1470" s="284"/>
      <c r="AG1470" s="284"/>
      <c r="AI1470" s="131"/>
    </row>
    <row r="1471" spans="1:35" ht="26.4">
      <c r="A1471" s="284"/>
      <c r="B1471" s="284"/>
      <c r="C1471" s="284"/>
      <c r="D1471" s="284"/>
      <c r="E1471" s="284"/>
      <c r="F1471" s="284"/>
      <c r="G1471" s="284"/>
      <c r="H1471" s="284"/>
      <c r="I1471" s="284"/>
      <c r="J1471" s="375"/>
      <c r="K1471" s="375"/>
      <c r="L1471" s="375"/>
      <c r="M1471" s="368"/>
      <c r="N1471" s="368"/>
      <c r="O1471" s="370"/>
      <c r="T1471" s="349"/>
      <c r="V1471" s="378"/>
      <c r="W1471" s="64" ph="1"/>
      <c r="X1471" s="241"/>
      <c r="Y1471" s="284"/>
      <c r="Z1471" s="207"/>
      <c r="AA1471" s="284"/>
      <c r="AB1471" s="284"/>
      <c r="AC1471" s="284"/>
      <c r="AD1471" s="284"/>
      <c r="AE1471" s="284"/>
      <c r="AF1471" s="284"/>
      <c r="AG1471" s="284"/>
      <c r="AI1471" s="131"/>
    </row>
    <row r="1472" spans="1:35" ht="26.4">
      <c r="A1472" s="284"/>
      <c r="B1472" s="284"/>
      <c r="C1472" s="284"/>
      <c r="D1472" s="284"/>
      <c r="E1472" s="284"/>
      <c r="F1472" s="284"/>
      <c r="G1472" s="284"/>
      <c r="H1472" s="284"/>
      <c r="I1472" s="284"/>
      <c r="J1472" s="375"/>
      <c r="K1472" s="375"/>
      <c r="L1472" s="375"/>
      <c r="M1472" s="368"/>
      <c r="N1472" s="368"/>
      <c r="O1472" s="370"/>
      <c r="T1472" s="349"/>
      <c r="V1472" s="378"/>
      <c r="W1472" s="64" ph="1"/>
      <c r="X1472" s="241"/>
      <c r="Y1472" s="284"/>
      <c r="Z1472" s="207"/>
      <c r="AA1472" s="284"/>
      <c r="AB1472" s="284"/>
      <c r="AC1472" s="284"/>
      <c r="AD1472" s="284"/>
      <c r="AE1472" s="284"/>
      <c r="AF1472" s="284"/>
      <c r="AG1472" s="284"/>
      <c r="AI1472" s="131"/>
    </row>
    <row r="1473" spans="1:35" ht="26.4">
      <c r="A1473" s="284"/>
      <c r="B1473" s="284"/>
      <c r="C1473" s="284"/>
      <c r="D1473" s="284"/>
      <c r="E1473" s="284"/>
      <c r="F1473" s="284"/>
      <c r="G1473" s="284"/>
      <c r="H1473" s="284"/>
      <c r="I1473" s="284"/>
      <c r="J1473" s="375"/>
      <c r="K1473" s="375"/>
      <c r="L1473" s="375"/>
      <c r="M1473" s="368"/>
      <c r="N1473" s="368"/>
      <c r="T1473" s="349"/>
      <c r="V1473" s="378"/>
      <c r="W1473" s="64" ph="1"/>
      <c r="X1473" s="241"/>
      <c r="Y1473" s="284"/>
      <c r="Z1473" s="207"/>
      <c r="AA1473" s="284"/>
      <c r="AB1473" s="284"/>
      <c r="AC1473" s="284"/>
      <c r="AD1473" s="284"/>
      <c r="AE1473" s="284"/>
      <c r="AF1473" s="284"/>
      <c r="AG1473" s="284"/>
      <c r="AI1473" s="131"/>
    </row>
    <row r="1474" spans="1:35">
      <c r="O1474" s="370"/>
      <c r="AI1474" s="131"/>
    </row>
    <row r="1475" spans="1:35" ht="26.4">
      <c r="A1475" s="284"/>
      <c r="B1475" s="284"/>
      <c r="C1475" s="284"/>
      <c r="D1475" s="284"/>
      <c r="E1475" s="284"/>
      <c r="F1475" s="284"/>
      <c r="G1475" s="284"/>
      <c r="H1475" s="284"/>
      <c r="I1475" s="284"/>
      <c r="J1475" s="375"/>
      <c r="K1475" s="375"/>
      <c r="L1475" s="375"/>
      <c r="M1475" s="368"/>
      <c r="N1475" s="368"/>
      <c r="T1475" s="349"/>
      <c r="V1475" s="378"/>
      <c r="W1475" s="64" ph="1"/>
      <c r="X1475" s="241"/>
      <c r="Y1475" s="284"/>
      <c r="Z1475" s="207"/>
      <c r="AA1475" s="284"/>
      <c r="AB1475" s="284"/>
      <c r="AC1475" s="284"/>
      <c r="AD1475" s="284"/>
      <c r="AE1475" s="284"/>
      <c r="AF1475" s="284"/>
      <c r="AG1475" s="284"/>
      <c r="AI1475" s="131"/>
    </row>
    <row r="1476" spans="1:35" ht="26.4">
      <c r="A1476" s="284"/>
      <c r="B1476" s="284"/>
      <c r="C1476" s="284"/>
      <c r="D1476" s="284"/>
      <c r="E1476" s="284"/>
      <c r="F1476" s="284"/>
      <c r="G1476" s="284"/>
      <c r="H1476" s="284"/>
      <c r="I1476" s="284"/>
      <c r="J1476" s="375"/>
      <c r="K1476" s="375"/>
      <c r="L1476" s="375"/>
      <c r="M1476" s="368"/>
      <c r="N1476" s="368"/>
      <c r="O1476" s="370"/>
      <c r="T1476" s="349"/>
      <c r="V1476" s="378"/>
      <c r="W1476" s="64" ph="1"/>
      <c r="X1476" s="241"/>
      <c r="Y1476" s="284"/>
      <c r="Z1476" s="207"/>
      <c r="AA1476" s="284"/>
      <c r="AB1476" s="284"/>
      <c r="AC1476" s="284"/>
      <c r="AD1476" s="284"/>
      <c r="AE1476" s="284"/>
      <c r="AF1476" s="284"/>
      <c r="AG1476" s="284"/>
      <c r="AI1476" s="131"/>
    </row>
    <row r="1477" spans="1:35" ht="26.4">
      <c r="A1477" s="284"/>
      <c r="B1477" s="284"/>
      <c r="C1477" s="284"/>
      <c r="D1477" s="284"/>
      <c r="E1477" s="284"/>
      <c r="F1477" s="284"/>
      <c r="G1477" s="284"/>
      <c r="H1477" s="284"/>
      <c r="I1477" s="284"/>
      <c r="J1477" s="375"/>
      <c r="K1477" s="375"/>
      <c r="L1477" s="375"/>
      <c r="M1477" s="368"/>
      <c r="N1477" s="368"/>
      <c r="O1477" s="370"/>
      <c r="T1477" s="349"/>
      <c r="V1477" s="378"/>
      <c r="W1477" s="64" ph="1"/>
      <c r="X1477" s="241"/>
      <c r="Y1477" s="284"/>
      <c r="Z1477" s="207"/>
      <c r="AA1477" s="284"/>
      <c r="AB1477" s="284"/>
      <c r="AC1477" s="284"/>
      <c r="AD1477" s="284"/>
      <c r="AE1477" s="284"/>
      <c r="AF1477" s="284"/>
      <c r="AG1477" s="284"/>
      <c r="AI1477" s="131"/>
    </row>
    <row r="1478" spans="1:35" ht="26.4">
      <c r="A1478" s="284"/>
      <c r="B1478" s="284"/>
      <c r="C1478" s="284"/>
      <c r="D1478" s="284"/>
      <c r="E1478" s="284"/>
      <c r="F1478" s="284"/>
      <c r="G1478" s="284"/>
      <c r="H1478" s="284"/>
      <c r="I1478" s="284"/>
      <c r="J1478" s="375"/>
      <c r="K1478" s="375"/>
      <c r="L1478" s="375"/>
      <c r="M1478" s="368"/>
      <c r="N1478" s="368"/>
      <c r="O1478" s="370"/>
      <c r="T1478" s="349"/>
      <c r="V1478" s="378"/>
      <c r="W1478" s="64" ph="1"/>
      <c r="X1478" s="241"/>
      <c r="Y1478" s="284"/>
      <c r="Z1478" s="207"/>
      <c r="AA1478" s="284"/>
      <c r="AB1478" s="284"/>
      <c r="AC1478" s="284"/>
      <c r="AD1478" s="284"/>
      <c r="AE1478" s="284"/>
      <c r="AF1478" s="284"/>
      <c r="AG1478" s="284"/>
      <c r="AI1478" s="131"/>
    </row>
    <row r="1479" spans="1:35" ht="26.4">
      <c r="A1479" s="284"/>
      <c r="B1479" s="284"/>
      <c r="C1479" s="284"/>
      <c r="D1479" s="284"/>
      <c r="E1479" s="284"/>
      <c r="F1479" s="284"/>
      <c r="G1479" s="284"/>
      <c r="H1479" s="284"/>
      <c r="I1479" s="284"/>
      <c r="J1479" s="375"/>
      <c r="K1479" s="375"/>
      <c r="L1479" s="375"/>
      <c r="M1479" s="368"/>
      <c r="N1479" s="368"/>
      <c r="O1479" s="370"/>
      <c r="T1479" s="349"/>
      <c r="V1479" s="378"/>
      <c r="W1479" s="64" ph="1"/>
      <c r="X1479" s="241"/>
      <c r="Y1479" s="284"/>
      <c r="Z1479" s="207"/>
      <c r="AA1479" s="284"/>
      <c r="AB1479" s="284"/>
      <c r="AC1479" s="284"/>
      <c r="AD1479" s="284"/>
      <c r="AE1479" s="284"/>
      <c r="AF1479" s="284"/>
      <c r="AG1479" s="284"/>
      <c r="AI1479" s="131"/>
    </row>
    <row r="1480" spans="1:35" ht="26.4">
      <c r="A1480" s="284"/>
      <c r="B1480" s="284"/>
      <c r="C1480" s="284"/>
      <c r="D1480" s="284"/>
      <c r="E1480" s="284"/>
      <c r="F1480" s="284"/>
      <c r="G1480" s="284"/>
      <c r="H1480" s="284"/>
      <c r="I1480" s="284"/>
      <c r="J1480" s="375"/>
      <c r="K1480" s="375"/>
      <c r="L1480" s="375"/>
      <c r="M1480" s="368"/>
      <c r="N1480" s="368"/>
      <c r="O1480" s="370"/>
      <c r="T1480" s="349"/>
      <c r="V1480" s="378"/>
      <c r="W1480" s="64" ph="1"/>
      <c r="X1480" s="241"/>
      <c r="Y1480" s="284"/>
      <c r="Z1480" s="207"/>
      <c r="AA1480" s="284"/>
      <c r="AB1480" s="284"/>
      <c r="AC1480" s="284"/>
      <c r="AD1480" s="284"/>
      <c r="AE1480" s="284"/>
      <c r="AF1480" s="284"/>
      <c r="AG1480" s="284"/>
      <c r="AI1480" s="131"/>
    </row>
    <row r="1481" spans="1:35" ht="26.4">
      <c r="A1481" s="284"/>
      <c r="B1481" s="284"/>
      <c r="C1481" s="284"/>
      <c r="D1481" s="284"/>
      <c r="E1481" s="284"/>
      <c r="F1481" s="284"/>
      <c r="G1481" s="284"/>
      <c r="H1481" s="284"/>
      <c r="I1481" s="284"/>
      <c r="J1481" s="375"/>
      <c r="K1481" s="375"/>
      <c r="L1481" s="375"/>
      <c r="M1481" s="368"/>
      <c r="N1481" s="368"/>
      <c r="O1481" s="370"/>
      <c r="T1481" s="349"/>
      <c r="V1481" s="378"/>
      <c r="W1481" s="64" ph="1"/>
      <c r="X1481" s="241"/>
      <c r="Y1481" s="284"/>
      <c r="Z1481" s="207"/>
      <c r="AA1481" s="284"/>
      <c r="AB1481" s="284"/>
      <c r="AC1481" s="284"/>
      <c r="AD1481" s="284"/>
      <c r="AE1481" s="284"/>
      <c r="AF1481" s="284"/>
      <c r="AG1481" s="284"/>
      <c r="AI1481" s="131"/>
    </row>
    <row r="1482" spans="1:35" ht="26.4">
      <c r="A1482" s="284"/>
      <c r="B1482" s="284"/>
      <c r="C1482" s="284"/>
      <c r="D1482" s="284"/>
      <c r="E1482" s="284"/>
      <c r="F1482" s="284"/>
      <c r="G1482" s="284"/>
      <c r="H1482" s="284"/>
      <c r="I1482" s="284"/>
      <c r="J1482" s="375"/>
      <c r="K1482" s="375"/>
      <c r="L1482" s="375"/>
      <c r="M1482" s="368"/>
      <c r="N1482" s="368"/>
      <c r="O1482" s="370"/>
      <c r="T1482" s="349"/>
      <c r="V1482" s="378"/>
      <c r="W1482" s="64" ph="1"/>
      <c r="X1482" s="241"/>
      <c r="Y1482" s="284"/>
      <c r="Z1482" s="207"/>
      <c r="AA1482" s="284"/>
      <c r="AB1482" s="284"/>
      <c r="AC1482" s="284"/>
      <c r="AD1482" s="284"/>
      <c r="AE1482" s="284"/>
      <c r="AF1482" s="284"/>
      <c r="AG1482" s="284"/>
      <c r="AI1482" s="131"/>
    </row>
    <row r="1483" spans="1:35">
      <c r="O1483" s="370"/>
      <c r="AI1483" s="131"/>
    </row>
    <row r="1484" spans="1:35" ht="26.4">
      <c r="A1484" s="284"/>
      <c r="B1484" s="284"/>
      <c r="C1484" s="284"/>
      <c r="D1484" s="284"/>
      <c r="E1484" s="284"/>
      <c r="F1484" s="284"/>
      <c r="G1484" s="284"/>
      <c r="H1484" s="284"/>
      <c r="I1484" s="284"/>
      <c r="J1484" s="375"/>
      <c r="K1484" s="375"/>
      <c r="L1484" s="375"/>
      <c r="M1484" s="368"/>
      <c r="N1484" s="368"/>
      <c r="O1484" s="370"/>
      <c r="T1484" s="349"/>
      <c r="V1484" s="378"/>
      <c r="W1484" s="64" ph="1"/>
      <c r="X1484" s="241"/>
      <c r="Y1484" s="284"/>
      <c r="Z1484" s="207"/>
      <c r="AA1484" s="284"/>
      <c r="AB1484" s="284"/>
      <c r="AC1484" s="284"/>
      <c r="AD1484" s="284"/>
      <c r="AE1484" s="284"/>
      <c r="AF1484" s="284"/>
      <c r="AG1484" s="284"/>
      <c r="AI1484" s="131"/>
    </row>
    <row r="1485" spans="1:35" ht="26.4">
      <c r="A1485" s="284"/>
      <c r="B1485" s="284"/>
      <c r="C1485" s="284"/>
      <c r="D1485" s="284"/>
      <c r="E1485" s="284"/>
      <c r="F1485" s="284"/>
      <c r="G1485" s="284"/>
      <c r="H1485" s="284"/>
      <c r="I1485" s="284"/>
      <c r="J1485" s="375"/>
      <c r="K1485" s="375"/>
      <c r="L1485" s="375"/>
      <c r="M1485" s="368"/>
      <c r="N1485" s="368"/>
      <c r="O1485" s="370"/>
      <c r="T1485" s="349"/>
      <c r="V1485" s="378"/>
      <c r="W1485" s="64" ph="1"/>
      <c r="X1485" s="241"/>
      <c r="Y1485" s="284"/>
      <c r="Z1485" s="207"/>
      <c r="AA1485" s="284"/>
      <c r="AB1485" s="284"/>
      <c r="AC1485" s="284"/>
      <c r="AD1485" s="284"/>
      <c r="AE1485" s="284"/>
      <c r="AF1485" s="284"/>
      <c r="AG1485" s="284"/>
      <c r="AI1485" s="131"/>
    </row>
    <row r="1486" spans="1:35" ht="26.4">
      <c r="A1486" s="284"/>
      <c r="B1486" s="284"/>
      <c r="C1486" s="284"/>
      <c r="D1486" s="284"/>
      <c r="E1486" s="284"/>
      <c r="F1486" s="284"/>
      <c r="G1486" s="284"/>
      <c r="H1486" s="284"/>
      <c r="I1486" s="284"/>
      <c r="J1486" s="375"/>
      <c r="K1486" s="375"/>
      <c r="L1486" s="375"/>
      <c r="M1486" s="368"/>
      <c r="N1486" s="368"/>
      <c r="T1486" s="349"/>
      <c r="V1486" s="378"/>
      <c r="W1486" s="64" ph="1"/>
      <c r="X1486" s="241"/>
      <c r="Y1486" s="284"/>
      <c r="Z1486" s="207"/>
      <c r="AA1486" s="284"/>
      <c r="AB1486" s="284"/>
      <c r="AC1486" s="284"/>
      <c r="AD1486" s="284"/>
      <c r="AE1486" s="284"/>
      <c r="AF1486" s="284"/>
      <c r="AG1486" s="284"/>
      <c r="AI1486" s="131"/>
    </row>
    <row r="1487" spans="1:35" ht="26.4">
      <c r="A1487" s="284"/>
      <c r="B1487" s="284"/>
      <c r="C1487" s="284"/>
      <c r="D1487" s="284"/>
      <c r="E1487" s="284"/>
      <c r="F1487" s="284"/>
      <c r="G1487" s="284"/>
      <c r="H1487" s="284"/>
      <c r="I1487" s="284"/>
      <c r="J1487" s="375"/>
      <c r="K1487" s="375"/>
      <c r="L1487" s="375"/>
      <c r="M1487" s="368"/>
      <c r="N1487" s="368"/>
      <c r="O1487" s="370"/>
      <c r="T1487" s="349"/>
      <c r="V1487" s="378"/>
      <c r="W1487" s="64" ph="1"/>
      <c r="X1487" s="241"/>
      <c r="Y1487" s="284"/>
      <c r="Z1487" s="207"/>
      <c r="AA1487" s="284"/>
      <c r="AB1487" s="284"/>
      <c r="AC1487" s="284"/>
      <c r="AD1487" s="284"/>
      <c r="AE1487" s="284"/>
      <c r="AF1487" s="284"/>
      <c r="AG1487" s="284"/>
      <c r="AI1487" s="131"/>
    </row>
    <row r="1488" spans="1:35" ht="26.4">
      <c r="A1488" s="284"/>
      <c r="B1488" s="284"/>
      <c r="C1488" s="284"/>
      <c r="D1488" s="284"/>
      <c r="E1488" s="284"/>
      <c r="F1488" s="284"/>
      <c r="G1488" s="284"/>
      <c r="H1488" s="284"/>
      <c r="I1488" s="284"/>
      <c r="J1488" s="375"/>
      <c r="K1488" s="375"/>
      <c r="L1488" s="375"/>
      <c r="M1488" s="368"/>
      <c r="N1488" s="368"/>
      <c r="O1488" s="370"/>
      <c r="T1488" s="349"/>
      <c r="V1488" s="378"/>
      <c r="W1488" s="64" ph="1"/>
      <c r="X1488" s="241"/>
      <c r="Y1488" s="284"/>
      <c r="Z1488" s="207"/>
      <c r="AA1488" s="284"/>
      <c r="AB1488" s="284"/>
      <c r="AC1488" s="284"/>
      <c r="AD1488" s="284"/>
      <c r="AE1488" s="284"/>
      <c r="AF1488" s="284"/>
      <c r="AG1488" s="284"/>
      <c r="AI1488" s="131"/>
    </row>
    <row r="1489" spans="1:35" ht="26.4">
      <c r="A1489" s="284"/>
      <c r="B1489" s="284"/>
      <c r="C1489" s="284"/>
      <c r="D1489" s="284"/>
      <c r="E1489" s="284"/>
      <c r="F1489" s="284"/>
      <c r="G1489" s="284"/>
      <c r="H1489" s="284"/>
      <c r="I1489" s="284"/>
      <c r="J1489" s="375"/>
      <c r="K1489" s="375"/>
      <c r="L1489" s="375"/>
      <c r="M1489" s="368"/>
      <c r="N1489" s="368"/>
      <c r="O1489" s="370"/>
      <c r="T1489" s="349"/>
      <c r="V1489" s="378"/>
      <c r="W1489" s="64" ph="1"/>
      <c r="X1489" s="241"/>
      <c r="Y1489" s="284"/>
      <c r="Z1489" s="207"/>
      <c r="AA1489" s="284"/>
      <c r="AB1489" s="284"/>
      <c r="AC1489" s="284"/>
      <c r="AD1489" s="284"/>
      <c r="AE1489" s="284"/>
      <c r="AF1489" s="284"/>
      <c r="AG1489" s="284"/>
      <c r="AI1489" s="131"/>
    </row>
    <row r="1490" spans="1:35" ht="26.4">
      <c r="A1490" s="284"/>
      <c r="B1490" s="284"/>
      <c r="C1490" s="284"/>
      <c r="D1490" s="284"/>
      <c r="E1490" s="284"/>
      <c r="F1490" s="284"/>
      <c r="G1490" s="284"/>
      <c r="H1490" s="284"/>
      <c r="I1490" s="284"/>
      <c r="J1490" s="375"/>
      <c r="K1490" s="375"/>
      <c r="L1490" s="375"/>
      <c r="M1490" s="368"/>
      <c r="N1490" s="368"/>
      <c r="O1490" s="370"/>
      <c r="T1490" s="349"/>
      <c r="V1490" s="378"/>
      <c r="W1490" s="64" ph="1"/>
      <c r="X1490" s="241"/>
      <c r="Y1490" s="284"/>
      <c r="Z1490" s="207"/>
      <c r="AA1490" s="284"/>
      <c r="AB1490" s="284"/>
      <c r="AC1490" s="284"/>
      <c r="AD1490" s="284"/>
      <c r="AE1490" s="284"/>
      <c r="AF1490" s="284"/>
      <c r="AG1490" s="284"/>
      <c r="AI1490" s="131"/>
    </row>
    <row r="1491" spans="1:35" ht="26.4">
      <c r="A1491" s="284"/>
      <c r="B1491" s="284"/>
      <c r="C1491" s="284"/>
      <c r="D1491" s="284"/>
      <c r="E1491" s="284"/>
      <c r="F1491" s="284"/>
      <c r="G1491" s="284"/>
      <c r="H1491" s="284"/>
      <c r="I1491" s="284"/>
      <c r="J1491" s="375"/>
      <c r="K1491" s="375"/>
      <c r="L1491" s="375"/>
      <c r="M1491" s="368"/>
      <c r="N1491" s="368"/>
      <c r="O1491" s="370"/>
      <c r="T1491" s="349"/>
      <c r="V1491" s="378"/>
      <c r="W1491" s="64" ph="1"/>
      <c r="X1491" s="241"/>
      <c r="Y1491" s="284"/>
      <c r="Z1491" s="207"/>
      <c r="AA1491" s="284"/>
      <c r="AB1491" s="284"/>
      <c r="AC1491" s="284"/>
      <c r="AD1491" s="284"/>
      <c r="AE1491" s="284"/>
      <c r="AF1491" s="284"/>
      <c r="AG1491" s="284"/>
      <c r="AI1491" s="131"/>
    </row>
    <row r="1492" spans="1:35" ht="26.4">
      <c r="A1492" s="284"/>
      <c r="B1492" s="284"/>
      <c r="C1492" s="284"/>
      <c r="D1492" s="284"/>
      <c r="E1492" s="284"/>
      <c r="F1492" s="284"/>
      <c r="G1492" s="284"/>
      <c r="H1492" s="284"/>
      <c r="I1492" s="284"/>
      <c r="J1492" s="375"/>
      <c r="K1492" s="375"/>
      <c r="L1492" s="375"/>
      <c r="M1492" s="368"/>
      <c r="N1492" s="368"/>
      <c r="O1492" s="370"/>
      <c r="T1492" s="349"/>
      <c r="V1492" s="378"/>
      <c r="W1492" s="64" ph="1"/>
      <c r="X1492" s="241"/>
      <c r="Y1492" s="284"/>
      <c r="Z1492" s="207"/>
      <c r="AA1492" s="284"/>
      <c r="AB1492" s="284"/>
      <c r="AC1492" s="284"/>
      <c r="AD1492" s="284"/>
      <c r="AE1492" s="284"/>
      <c r="AF1492" s="284"/>
      <c r="AG1492" s="284"/>
      <c r="AI1492" s="131"/>
    </row>
    <row r="1493" spans="1:35" ht="26.4">
      <c r="A1493" s="284"/>
      <c r="B1493" s="284"/>
      <c r="C1493" s="284"/>
      <c r="D1493" s="284"/>
      <c r="E1493" s="284"/>
      <c r="F1493" s="284"/>
      <c r="G1493" s="284"/>
      <c r="H1493" s="284"/>
      <c r="I1493" s="284"/>
      <c r="J1493" s="375"/>
      <c r="K1493" s="375"/>
      <c r="L1493" s="375"/>
      <c r="M1493" s="368"/>
      <c r="N1493" s="368"/>
      <c r="O1493" s="370"/>
      <c r="T1493" s="349"/>
      <c r="V1493" s="378"/>
      <c r="W1493" s="64" ph="1"/>
      <c r="X1493" s="241"/>
      <c r="Y1493" s="284"/>
      <c r="Z1493" s="207"/>
      <c r="AA1493" s="284"/>
      <c r="AB1493" s="284"/>
      <c r="AC1493" s="284"/>
      <c r="AD1493" s="284"/>
      <c r="AE1493" s="284"/>
      <c r="AF1493" s="284"/>
      <c r="AG1493" s="284"/>
      <c r="AI1493" s="131"/>
    </row>
    <row r="1494" spans="1:35" ht="26.4">
      <c r="A1494" s="284"/>
      <c r="B1494" s="284"/>
      <c r="C1494" s="284"/>
      <c r="D1494" s="284"/>
      <c r="E1494" s="284"/>
      <c r="F1494" s="284"/>
      <c r="G1494" s="284"/>
      <c r="H1494" s="284"/>
      <c r="I1494" s="284"/>
      <c r="J1494" s="375"/>
      <c r="K1494" s="375"/>
      <c r="L1494" s="375"/>
      <c r="M1494" s="368"/>
      <c r="N1494" s="368"/>
      <c r="O1494" s="370"/>
      <c r="T1494" s="349"/>
      <c r="V1494" s="378"/>
      <c r="W1494" s="64" ph="1"/>
      <c r="X1494" s="241"/>
      <c r="Y1494" s="284"/>
      <c r="Z1494" s="207"/>
      <c r="AA1494" s="284"/>
      <c r="AB1494" s="284"/>
      <c r="AC1494" s="284"/>
      <c r="AD1494" s="284"/>
      <c r="AE1494" s="284"/>
      <c r="AF1494" s="284"/>
      <c r="AG1494" s="284"/>
      <c r="AI1494" s="128"/>
    </row>
    <row r="1495" spans="1:35">
      <c r="AI1495" s="131"/>
    </row>
    <row r="1496" spans="1:35" ht="26.4">
      <c r="A1496" s="284"/>
      <c r="B1496" s="284"/>
      <c r="C1496" s="284"/>
      <c r="D1496" s="284"/>
      <c r="E1496" s="284"/>
      <c r="F1496" s="284"/>
      <c r="G1496" s="284"/>
      <c r="H1496" s="284"/>
      <c r="I1496" s="284"/>
      <c r="J1496" s="375"/>
      <c r="K1496" s="375"/>
      <c r="L1496" s="375"/>
      <c r="M1496" s="368"/>
      <c r="N1496" s="368"/>
      <c r="O1496" s="370"/>
      <c r="T1496" s="349"/>
      <c r="V1496" s="378"/>
      <c r="W1496" s="64" ph="1"/>
      <c r="X1496" s="241"/>
      <c r="Y1496" s="284"/>
      <c r="Z1496" s="207"/>
      <c r="AA1496" s="284"/>
      <c r="AB1496" s="284"/>
      <c r="AC1496" s="284"/>
      <c r="AD1496" s="284"/>
      <c r="AE1496" s="284"/>
      <c r="AF1496" s="284"/>
      <c r="AG1496" s="284"/>
      <c r="AI1496" s="131"/>
    </row>
    <row r="1497" spans="1:35" ht="26.4">
      <c r="A1497" s="284"/>
      <c r="B1497" s="284"/>
      <c r="C1497" s="284"/>
      <c r="D1497" s="284"/>
      <c r="E1497" s="284"/>
      <c r="F1497" s="284"/>
      <c r="G1497" s="284"/>
      <c r="H1497" s="284"/>
      <c r="I1497" s="284"/>
      <c r="J1497" s="375"/>
      <c r="K1497" s="375"/>
      <c r="L1497" s="375"/>
      <c r="M1497" s="368"/>
      <c r="N1497" s="368"/>
      <c r="O1497" s="370"/>
      <c r="T1497" s="349"/>
      <c r="V1497" s="378"/>
      <c r="W1497" s="64" ph="1"/>
      <c r="X1497" s="241"/>
      <c r="Y1497" s="284"/>
      <c r="Z1497" s="207"/>
      <c r="AA1497" s="284"/>
      <c r="AB1497" s="284"/>
      <c r="AC1497" s="284"/>
      <c r="AD1497" s="284"/>
      <c r="AE1497" s="284"/>
      <c r="AF1497" s="284"/>
      <c r="AG1497" s="284"/>
      <c r="AI1497" s="131"/>
    </row>
    <row r="1498" spans="1:35" ht="26.4">
      <c r="A1498" s="284"/>
      <c r="B1498" s="284"/>
      <c r="C1498" s="284"/>
      <c r="D1498" s="284"/>
      <c r="E1498" s="284"/>
      <c r="F1498" s="284"/>
      <c r="G1498" s="284"/>
      <c r="H1498" s="284"/>
      <c r="I1498" s="284"/>
      <c r="J1498" s="375"/>
      <c r="K1498" s="375"/>
      <c r="L1498" s="375"/>
      <c r="M1498" s="368"/>
      <c r="N1498" s="368"/>
      <c r="O1498" s="370"/>
      <c r="T1498" s="349"/>
      <c r="V1498" s="378"/>
      <c r="W1498" s="64" ph="1"/>
      <c r="X1498" s="241"/>
      <c r="Y1498" s="284"/>
      <c r="Z1498" s="207"/>
      <c r="AA1498" s="284"/>
      <c r="AB1498" s="284"/>
      <c r="AC1498" s="284"/>
      <c r="AD1498" s="284"/>
      <c r="AE1498" s="284"/>
      <c r="AF1498" s="284"/>
      <c r="AG1498" s="284"/>
      <c r="AI1498" s="131"/>
    </row>
    <row r="1499" spans="1:35" ht="26.4">
      <c r="A1499" s="284"/>
      <c r="B1499" s="284"/>
      <c r="C1499" s="284"/>
      <c r="D1499" s="284"/>
      <c r="E1499" s="284"/>
      <c r="F1499" s="284"/>
      <c r="G1499" s="284"/>
      <c r="H1499" s="284"/>
      <c r="I1499" s="284"/>
      <c r="J1499" s="375"/>
      <c r="K1499" s="375"/>
      <c r="L1499" s="375"/>
      <c r="M1499" s="368"/>
      <c r="N1499" s="368"/>
      <c r="O1499" s="370"/>
      <c r="T1499" s="349"/>
      <c r="V1499" s="378"/>
      <c r="W1499" s="64" ph="1"/>
      <c r="X1499" s="241"/>
      <c r="Y1499" s="284"/>
      <c r="Z1499" s="207"/>
      <c r="AA1499" s="284"/>
      <c r="AB1499" s="284"/>
      <c r="AC1499" s="284"/>
      <c r="AD1499" s="284"/>
      <c r="AE1499" s="284"/>
      <c r="AF1499" s="284"/>
      <c r="AG1499" s="284"/>
      <c r="AI1499" s="131"/>
    </row>
    <row r="1500" spans="1:35" ht="26.4">
      <c r="A1500" s="284"/>
      <c r="B1500" s="284"/>
      <c r="C1500" s="284"/>
      <c r="D1500" s="284"/>
      <c r="E1500" s="284"/>
      <c r="F1500" s="284"/>
      <c r="G1500" s="284"/>
      <c r="H1500" s="284"/>
      <c r="I1500" s="284"/>
      <c r="J1500" s="375"/>
      <c r="K1500" s="375"/>
      <c r="L1500" s="375"/>
      <c r="M1500" s="368"/>
      <c r="N1500" s="368"/>
      <c r="O1500" s="370"/>
      <c r="T1500" s="349"/>
      <c r="V1500" s="378"/>
      <c r="W1500" s="64" ph="1"/>
      <c r="X1500" s="241"/>
      <c r="Y1500" s="284"/>
      <c r="Z1500" s="207"/>
      <c r="AA1500" s="284"/>
      <c r="AB1500" s="284"/>
      <c r="AC1500" s="284"/>
      <c r="AD1500" s="284"/>
      <c r="AE1500" s="284"/>
      <c r="AF1500" s="284"/>
      <c r="AG1500" s="284"/>
      <c r="AI1500" s="131"/>
    </row>
    <row r="1501" spans="1:35" ht="26.4">
      <c r="A1501" s="284"/>
      <c r="B1501" s="284"/>
      <c r="C1501" s="284"/>
      <c r="D1501" s="284"/>
      <c r="E1501" s="284"/>
      <c r="F1501" s="284"/>
      <c r="G1501" s="284"/>
      <c r="H1501" s="284"/>
      <c r="I1501" s="284"/>
      <c r="J1501" s="375"/>
      <c r="K1501" s="375"/>
      <c r="L1501" s="375"/>
      <c r="M1501" s="368"/>
      <c r="N1501" s="368"/>
      <c r="O1501" s="370"/>
      <c r="T1501" s="349"/>
      <c r="V1501" s="378"/>
      <c r="W1501" s="64" ph="1"/>
      <c r="X1501" s="241"/>
      <c r="Y1501" s="284"/>
      <c r="Z1501" s="207"/>
      <c r="AA1501" s="284"/>
      <c r="AB1501" s="284"/>
      <c r="AC1501" s="284"/>
      <c r="AD1501" s="284"/>
      <c r="AE1501" s="284"/>
      <c r="AF1501" s="284"/>
      <c r="AG1501" s="284"/>
      <c r="AI1501" s="131"/>
    </row>
    <row r="1502" spans="1:35" ht="26.4">
      <c r="A1502" s="284"/>
      <c r="B1502" s="284"/>
      <c r="C1502" s="284"/>
      <c r="D1502" s="284"/>
      <c r="E1502" s="284"/>
      <c r="F1502" s="284"/>
      <c r="G1502" s="284"/>
      <c r="H1502" s="284"/>
      <c r="I1502" s="284"/>
      <c r="J1502" s="375"/>
      <c r="K1502" s="375"/>
      <c r="L1502" s="375"/>
      <c r="M1502" s="368"/>
      <c r="N1502" s="368"/>
      <c r="O1502" s="370"/>
      <c r="T1502" s="349"/>
      <c r="V1502" s="378"/>
      <c r="W1502" s="64" ph="1"/>
      <c r="X1502" s="241"/>
      <c r="Y1502" s="284"/>
      <c r="Z1502" s="207"/>
      <c r="AA1502" s="284"/>
      <c r="AB1502" s="284"/>
      <c r="AC1502" s="284"/>
      <c r="AD1502" s="284"/>
      <c r="AE1502" s="284"/>
      <c r="AF1502" s="284"/>
      <c r="AG1502" s="284"/>
      <c r="AI1502" s="131"/>
    </row>
    <row r="1503" spans="1:35" ht="26.4">
      <c r="A1503" s="284"/>
      <c r="B1503" s="284"/>
      <c r="C1503" s="284"/>
      <c r="D1503" s="284"/>
      <c r="E1503" s="284"/>
      <c r="F1503" s="284"/>
      <c r="G1503" s="284"/>
      <c r="H1503" s="284"/>
      <c r="I1503" s="284"/>
      <c r="J1503" s="375"/>
      <c r="K1503" s="375"/>
      <c r="L1503" s="375"/>
      <c r="M1503" s="368"/>
      <c r="N1503" s="368"/>
      <c r="O1503" s="370"/>
      <c r="T1503" s="349"/>
      <c r="V1503" s="378"/>
      <c r="W1503" s="64" ph="1"/>
      <c r="X1503" s="241"/>
      <c r="Y1503" s="284"/>
      <c r="Z1503" s="207"/>
      <c r="AA1503" s="284"/>
      <c r="AB1503" s="284"/>
      <c r="AC1503" s="284"/>
      <c r="AD1503" s="284"/>
      <c r="AE1503" s="284"/>
      <c r="AF1503" s="284"/>
      <c r="AG1503" s="284"/>
      <c r="AI1503" s="131"/>
    </row>
    <row r="1504" spans="1:35">
      <c r="O1504" s="370"/>
      <c r="AI1504" s="131"/>
    </row>
    <row r="1505" spans="1:35" ht="26.4">
      <c r="A1505" s="284"/>
      <c r="B1505" s="284"/>
      <c r="C1505" s="284"/>
      <c r="D1505" s="284"/>
      <c r="E1505" s="284"/>
      <c r="F1505" s="284"/>
      <c r="G1505" s="284"/>
      <c r="H1505" s="284"/>
      <c r="I1505" s="284"/>
      <c r="J1505" s="375"/>
      <c r="K1505" s="375"/>
      <c r="L1505" s="375"/>
      <c r="M1505" s="368"/>
      <c r="N1505" s="368"/>
      <c r="O1505" s="370"/>
      <c r="T1505" s="349"/>
      <c r="V1505" s="378"/>
      <c r="W1505" s="64" ph="1"/>
      <c r="X1505" s="241"/>
      <c r="Y1505" s="284"/>
      <c r="Z1505" s="207"/>
      <c r="AA1505" s="284"/>
      <c r="AB1505" s="284"/>
      <c r="AC1505" s="284"/>
      <c r="AD1505" s="284"/>
      <c r="AE1505" s="284"/>
      <c r="AF1505" s="284"/>
      <c r="AG1505" s="284"/>
      <c r="AI1505" s="131"/>
    </row>
    <row r="1506" spans="1:35" ht="26.4">
      <c r="A1506" s="284"/>
      <c r="B1506" s="284"/>
      <c r="C1506" s="284"/>
      <c r="D1506" s="284"/>
      <c r="E1506" s="284"/>
      <c r="F1506" s="284"/>
      <c r="G1506" s="284"/>
      <c r="H1506" s="284"/>
      <c r="I1506" s="284"/>
      <c r="J1506" s="375"/>
      <c r="K1506" s="375"/>
      <c r="L1506" s="375"/>
      <c r="M1506" s="368"/>
      <c r="N1506" s="368"/>
      <c r="O1506" s="370"/>
      <c r="T1506" s="349"/>
      <c r="V1506" s="378"/>
      <c r="W1506" s="64" ph="1"/>
      <c r="X1506" s="241"/>
      <c r="Y1506" s="284"/>
      <c r="Z1506" s="207"/>
      <c r="AA1506" s="284"/>
      <c r="AB1506" s="284"/>
      <c r="AC1506" s="284"/>
      <c r="AD1506" s="284"/>
      <c r="AE1506" s="284"/>
      <c r="AF1506" s="284"/>
      <c r="AG1506" s="284"/>
      <c r="AI1506" s="131"/>
    </row>
    <row r="1507" spans="1:35" ht="26.4">
      <c r="A1507" s="284"/>
      <c r="B1507" s="284"/>
      <c r="C1507" s="284"/>
      <c r="D1507" s="284"/>
      <c r="E1507" s="284"/>
      <c r="F1507" s="284"/>
      <c r="G1507" s="284"/>
      <c r="H1507" s="284"/>
      <c r="I1507" s="284"/>
      <c r="J1507" s="375"/>
      <c r="K1507" s="375"/>
      <c r="L1507" s="375"/>
      <c r="M1507" s="368"/>
      <c r="N1507" s="368"/>
      <c r="T1507" s="349"/>
      <c r="V1507" s="378"/>
      <c r="W1507" s="64" ph="1"/>
      <c r="X1507" s="241"/>
      <c r="Y1507" s="284"/>
      <c r="Z1507" s="207"/>
      <c r="AA1507" s="284"/>
      <c r="AB1507" s="284"/>
      <c r="AC1507" s="284"/>
      <c r="AD1507" s="284"/>
      <c r="AE1507" s="284"/>
      <c r="AF1507" s="284"/>
      <c r="AG1507" s="284"/>
      <c r="AI1507" s="131"/>
    </row>
    <row r="1508" spans="1:35" ht="26.4">
      <c r="A1508" s="284"/>
      <c r="B1508" s="284"/>
      <c r="C1508" s="284"/>
      <c r="D1508" s="284"/>
      <c r="E1508" s="284"/>
      <c r="F1508" s="284"/>
      <c r="G1508" s="284"/>
      <c r="H1508" s="284"/>
      <c r="I1508" s="284"/>
      <c r="J1508" s="375"/>
      <c r="K1508" s="375"/>
      <c r="L1508" s="375"/>
      <c r="M1508" s="368"/>
      <c r="N1508" s="368"/>
      <c r="O1508" s="370"/>
      <c r="T1508" s="349"/>
      <c r="V1508" s="378"/>
      <c r="W1508" s="64" ph="1"/>
      <c r="X1508" s="241"/>
      <c r="Y1508" s="284"/>
      <c r="Z1508" s="207"/>
      <c r="AA1508" s="284"/>
      <c r="AB1508" s="284"/>
      <c r="AC1508" s="284"/>
      <c r="AD1508" s="284"/>
      <c r="AE1508" s="284"/>
      <c r="AF1508" s="284"/>
      <c r="AG1508" s="284"/>
      <c r="AI1508" s="284"/>
    </row>
    <row r="1509" spans="1:35" ht="26.4">
      <c r="A1509" s="284"/>
      <c r="B1509" s="284"/>
      <c r="C1509" s="284"/>
      <c r="D1509" s="284"/>
      <c r="E1509" s="284"/>
      <c r="F1509" s="284"/>
      <c r="G1509" s="284"/>
      <c r="H1509" s="284"/>
      <c r="I1509" s="284"/>
      <c r="J1509" s="375"/>
      <c r="K1509" s="375"/>
      <c r="L1509" s="375"/>
      <c r="M1509" s="368"/>
      <c r="N1509" s="368"/>
      <c r="O1509" s="370"/>
      <c r="T1509" s="349"/>
      <c r="V1509" s="378"/>
      <c r="W1509" s="64" ph="1"/>
      <c r="X1509" s="241"/>
      <c r="Y1509" s="284"/>
      <c r="Z1509" s="207"/>
      <c r="AA1509" s="284"/>
      <c r="AB1509" s="284"/>
      <c r="AC1509" s="284"/>
      <c r="AD1509" s="284"/>
      <c r="AE1509" s="284"/>
      <c r="AF1509" s="284"/>
      <c r="AG1509" s="284"/>
      <c r="AI1509" s="131"/>
    </row>
    <row r="1510" spans="1:35" ht="26.4">
      <c r="A1510" s="284"/>
      <c r="B1510" s="284"/>
      <c r="C1510" s="284"/>
      <c r="D1510" s="284"/>
      <c r="E1510" s="284"/>
      <c r="F1510" s="284"/>
      <c r="G1510" s="284"/>
      <c r="H1510" s="284"/>
      <c r="I1510" s="284"/>
      <c r="J1510" s="375"/>
      <c r="K1510" s="375"/>
      <c r="L1510" s="375"/>
      <c r="M1510" s="368"/>
      <c r="N1510" s="368"/>
      <c r="O1510" s="370"/>
      <c r="T1510" s="349"/>
      <c r="V1510" s="378"/>
      <c r="W1510" s="64" ph="1"/>
      <c r="X1510" s="241"/>
      <c r="Y1510" s="284"/>
      <c r="Z1510" s="207"/>
      <c r="AA1510" s="284"/>
      <c r="AB1510" s="284"/>
      <c r="AC1510" s="284"/>
      <c r="AD1510" s="284"/>
      <c r="AE1510" s="284"/>
      <c r="AF1510" s="284"/>
      <c r="AG1510" s="284"/>
      <c r="AI1510" s="131"/>
    </row>
    <row r="1511" spans="1:35" ht="26.4">
      <c r="A1511" s="284"/>
      <c r="B1511" s="284"/>
      <c r="C1511" s="284"/>
      <c r="D1511" s="284"/>
      <c r="E1511" s="284"/>
      <c r="F1511" s="284"/>
      <c r="G1511" s="284"/>
      <c r="H1511" s="284"/>
      <c r="I1511" s="284"/>
      <c r="J1511" s="375"/>
      <c r="K1511" s="375"/>
      <c r="L1511" s="375"/>
      <c r="M1511" s="368"/>
      <c r="N1511" s="368"/>
      <c r="O1511" s="370"/>
      <c r="T1511" s="349"/>
      <c r="V1511" s="378"/>
      <c r="W1511" s="64" ph="1"/>
      <c r="X1511" s="241"/>
      <c r="Y1511" s="284"/>
      <c r="Z1511" s="207"/>
      <c r="AA1511" s="284"/>
      <c r="AB1511" s="284"/>
      <c r="AC1511" s="284"/>
      <c r="AD1511" s="284"/>
      <c r="AE1511" s="284"/>
      <c r="AF1511" s="284"/>
      <c r="AG1511" s="284"/>
      <c r="AI1511" s="131"/>
    </row>
    <row r="1512" spans="1:35" ht="26.4">
      <c r="A1512" s="284"/>
      <c r="B1512" s="284"/>
      <c r="C1512" s="284"/>
      <c r="D1512" s="284"/>
      <c r="E1512" s="284"/>
      <c r="F1512" s="284"/>
      <c r="G1512" s="284"/>
      <c r="H1512" s="284"/>
      <c r="I1512" s="284"/>
      <c r="J1512" s="375"/>
      <c r="K1512" s="375"/>
      <c r="L1512" s="375"/>
      <c r="M1512" s="368"/>
      <c r="N1512" s="368"/>
      <c r="O1512" s="370"/>
      <c r="T1512" s="349"/>
      <c r="V1512" s="378"/>
      <c r="W1512" s="64" ph="1"/>
      <c r="X1512" s="241"/>
      <c r="Y1512" s="284"/>
      <c r="Z1512" s="207"/>
      <c r="AA1512" s="284"/>
      <c r="AB1512" s="284"/>
      <c r="AC1512" s="284"/>
      <c r="AD1512" s="284"/>
      <c r="AE1512" s="284"/>
      <c r="AF1512" s="284"/>
      <c r="AG1512" s="284"/>
      <c r="AI1512" s="131"/>
    </row>
    <row r="1513" spans="1:35" ht="26.4">
      <c r="A1513" s="284"/>
      <c r="B1513" s="284"/>
      <c r="C1513" s="284"/>
      <c r="D1513" s="284"/>
      <c r="E1513" s="284"/>
      <c r="F1513" s="284"/>
      <c r="G1513" s="284"/>
      <c r="H1513" s="284"/>
      <c r="I1513" s="284"/>
      <c r="J1513" s="375"/>
      <c r="K1513" s="375"/>
      <c r="L1513" s="375"/>
      <c r="M1513" s="368"/>
      <c r="N1513" s="368"/>
      <c r="O1513" s="370"/>
      <c r="T1513" s="349"/>
      <c r="V1513" s="378"/>
      <c r="W1513" s="64" ph="1"/>
      <c r="X1513" s="241"/>
      <c r="Y1513" s="284"/>
      <c r="Z1513" s="207"/>
      <c r="AA1513" s="284"/>
      <c r="AB1513" s="284"/>
      <c r="AC1513" s="284"/>
      <c r="AD1513" s="284"/>
      <c r="AE1513" s="284"/>
      <c r="AF1513" s="284"/>
      <c r="AG1513" s="284"/>
      <c r="AI1513" s="131"/>
    </row>
    <row r="1514" spans="1:35" ht="26.4">
      <c r="A1514" s="284"/>
      <c r="B1514" s="284"/>
      <c r="C1514" s="284"/>
      <c r="D1514" s="284"/>
      <c r="E1514" s="284"/>
      <c r="F1514" s="284"/>
      <c r="G1514" s="284"/>
      <c r="H1514" s="284"/>
      <c r="I1514" s="284"/>
      <c r="J1514" s="375"/>
      <c r="K1514" s="375"/>
      <c r="L1514" s="375"/>
      <c r="M1514" s="368"/>
      <c r="N1514" s="368"/>
      <c r="O1514" s="370"/>
      <c r="T1514" s="349"/>
      <c r="V1514" s="378"/>
      <c r="W1514" s="64" ph="1"/>
      <c r="X1514" s="241"/>
      <c r="Y1514" s="284"/>
      <c r="Z1514" s="207"/>
      <c r="AA1514" s="284"/>
      <c r="AB1514" s="284"/>
      <c r="AC1514" s="284"/>
      <c r="AD1514" s="284"/>
      <c r="AE1514" s="284"/>
      <c r="AF1514" s="284"/>
      <c r="AG1514" s="284"/>
      <c r="AI1514" s="131"/>
    </row>
    <row r="1515" spans="1:35" ht="26.4">
      <c r="A1515" s="284"/>
      <c r="B1515" s="284"/>
      <c r="C1515" s="284"/>
      <c r="D1515" s="284"/>
      <c r="E1515" s="284"/>
      <c r="F1515" s="284"/>
      <c r="G1515" s="284"/>
      <c r="H1515" s="284"/>
      <c r="I1515" s="284"/>
      <c r="J1515" s="375"/>
      <c r="K1515" s="375"/>
      <c r="L1515" s="375"/>
      <c r="M1515" s="368"/>
      <c r="N1515" s="368"/>
      <c r="O1515" s="370"/>
      <c r="T1515" s="349"/>
      <c r="V1515" s="378"/>
      <c r="W1515" s="64" ph="1"/>
      <c r="X1515" s="241"/>
      <c r="Y1515" s="284"/>
      <c r="Z1515" s="207"/>
      <c r="AA1515" s="284"/>
      <c r="AB1515" s="284"/>
      <c r="AC1515" s="284"/>
      <c r="AD1515" s="284"/>
      <c r="AE1515" s="284"/>
      <c r="AF1515" s="284"/>
      <c r="AG1515" s="284"/>
      <c r="AI1515" s="131"/>
    </row>
    <row r="1516" spans="1:35" ht="26.4">
      <c r="A1516" s="284"/>
      <c r="B1516" s="284"/>
      <c r="C1516" s="284"/>
      <c r="D1516" s="284"/>
      <c r="E1516" s="284"/>
      <c r="F1516" s="284"/>
      <c r="G1516" s="284"/>
      <c r="H1516" s="284"/>
      <c r="I1516" s="284"/>
      <c r="J1516" s="375"/>
      <c r="K1516" s="375"/>
      <c r="L1516" s="375"/>
      <c r="M1516" s="368"/>
      <c r="N1516" s="368"/>
      <c r="T1516" s="349"/>
      <c r="V1516" s="378"/>
      <c r="W1516" s="64" ph="1"/>
      <c r="X1516" s="241"/>
      <c r="Y1516" s="284"/>
      <c r="Z1516" s="207"/>
      <c r="AA1516" s="284"/>
      <c r="AB1516" s="284"/>
      <c r="AC1516" s="284"/>
      <c r="AD1516" s="284"/>
      <c r="AE1516" s="284"/>
      <c r="AF1516" s="284"/>
      <c r="AG1516" s="284"/>
      <c r="AI1516" s="131"/>
    </row>
    <row r="1517" spans="1:35" ht="26.4">
      <c r="A1517" s="284"/>
      <c r="B1517" s="284"/>
      <c r="C1517" s="284"/>
      <c r="D1517" s="284"/>
      <c r="E1517" s="284"/>
      <c r="F1517" s="284"/>
      <c r="G1517" s="284"/>
      <c r="H1517" s="284"/>
      <c r="I1517" s="284"/>
      <c r="J1517" s="375"/>
      <c r="K1517" s="375"/>
      <c r="L1517" s="375"/>
      <c r="M1517" s="368"/>
      <c r="N1517" s="368"/>
      <c r="O1517" s="370"/>
      <c r="T1517" s="349"/>
      <c r="V1517" s="378"/>
      <c r="W1517" s="64" ph="1"/>
      <c r="X1517" s="241"/>
      <c r="Y1517" s="284"/>
      <c r="Z1517" s="207"/>
      <c r="AA1517" s="284"/>
      <c r="AB1517" s="284"/>
      <c r="AC1517" s="284"/>
      <c r="AD1517" s="284"/>
      <c r="AE1517" s="284"/>
      <c r="AF1517" s="284"/>
      <c r="AG1517" s="284"/>
      <c r="AI1517" s="131"/>
    </row>
    <row r="1518" spans="1:35" ht="26.4">
      <c r="A1518" s="284"/>
      <c r="B1518" s="284"/>
      <c r="C1518" s="284"/>
      <c r="D1518" s="284"/>
      <c r="E1518" s="284"/>
      <c r="F1518" s="284"/>
      <c r="G1518" s="284"/>
      <c r="H1518" s="284"/>
      <c r="I1518" s="284"/>
      <c r="J1518" s="375"/>
      <c r="K1518" s="375"/>
      <c r="L1518" s="375"/>
      <c r="M1518" s="368"/>
      <c r="N1518" s="368"/>
      <c r="O1518" s="370"/>
      <c r="T1518" s="349"/>
      <c r="V1518" s="378"/>
      <c r="W1518" s="64" ph="1"/>
      <c r="X1518" s="241"/>
      <c r="Y1518" s="284"/>
      <c r="Z1518" s="207"/>
      <c r="AA1518" s="284"/>
      <c r="AB1518" s="284"/>
      <c r="AC1518" s="284"/>
      <c r="AD1518" s="284"/>
      <c r="AE1518" s="284"/>
      <c r="AF1518" s="284"/>
      <c r="AG1518" s="284"/>
      <c r="AI1518" s="131"/>
    </row>
    <row r="1519" spans="1:35" ht="26.4">
      <c r="A1519" s="284"/>
      <c r="B1519" s="284"/>
      <c r="C1519" s="284"/>
      <c r="D1519" s="284"/>
      <c r="E1519" s="284"/>
      <c r="F1519" s="284"/>
      <c r="G1519" s="284"/>
      <c r="H1519" s="284"/>
      <c r="I1519" s="284"/>
      <c r="J1519" s="375"/>
      <c r="K1519" s="375"/>
      <c r="L1519" s="375"/>
      <c r="M1519" s="368"/>
      <c r="N1519" s="368"/>
      <c r="O1519" s="370"/>
      <c r="T1519" s="349"/>
      <c r="V1519" s="378"/>
      <c r="W1519" s="64" ph="1"/>
      <c r="X1519" s="241"/>
      <c r="Y1519" s="284"/>
      <c r="Z1519" s="207"/>
      <c r="AA1519" s="284"/>
      <c r="AB1519" s="284"/>
      <c r="AC1519" s="284"/>
      <c r="AD1519" s="284"/>
      <c r="AE1519" s="284"/>
      <c r="AF1519" s="284"/>
      <c r="AG1519" s="284"/>
      <c r="AI1519" s="131"/>
    </row>
    <row r="1520" spans="1:35" ht="26.4">
      <c r="A1520" s="284"/>
      <c r="B1520" s="284"/>
      <c r="C1520" s="284"/>
      <c r="D1520" s="284"/>
      <c r="E1520" s="284"/>
      <c r="F1520" s="284"/>
      <c r="G1520" s="284"/>
      <c r="H1520" s="284"/>
      <c r="I1520" s="284"/>
      <c r="J1520" s="375"/>
      <c r="K1520" s="375"/>
      <c r="L1520" s="375"/>
      <c r="M1520" s="368"/>
      <c r="N1520" s="368"/>
      <c r="O1520" s="370"/>
      <c r="T1520" s="349"/>
      <c r="V1520" s="378"/>
      <c r="W1520" s="64" ph="1"/>
      <c r="X1520" s="241"/>
      <c r="Y1520" s="284"/>
      <c r="Z1520" s="207"/>
      <c r="AA1520" s="284"/>
      <c r="AB1520" s="284"/>
      <c r="AC1520" s="284"/>
      <c r="AD1520" s="284"/>
      <c r="AE1520" s="284"/>
      <c r="AF1520" s="284"/>
      <c r="AG1520" s="284"/>
      <c r="AI1520" s="131"/>
    </row>
    <row r="1521" spans="1:35" ht="26.4">
      <c r="A1521" s="284"/>
      <c r="B1521" s="284"/>
      <c r="C1521" s="284"/>
      <c r="D1521" s="284"/>
      <c r="E1521" s="284"/>
      <c r="F1521" s="284"/>
      <c r="G1521" s="284"/>
      <c r="H1521" s="284"/>
      <c r="I1521" s="284"/>
      <c r="J1521" s="375"/>
      <c r="K1521" s="375"/>
      <c r="L1521" s="375"/>
      <c r="M1521" s="368"/>
      <c r="N1521" s="368"/>
      <c r="O1521" s="370"/>
      <c r="T1521" s="349"/>
      <c r="V1521" s="378"/>
      <c r="W1521" s="64" ph="1"/>
      <c r="X1521" s="241"/>
      <c r="Y1521" s="284"/>
      <c r="Z1521" s="207"/>
      <c r="AA1521" s="284"/>
      <c r="AB1521" s="284"/>
      <c r="AC1521" s="284"/>
      <c r="AD1521" s="284"/>
      <c r="AE1521" s="284"/>
      <c r="AF1521" s="284"/>
      <c r="AG1521" s="284"/>
      <c r="AI1521" s="131"/>
    </row>
    <row r="1522" spans="1:35" ht="26.4">
      <c r="A1522" s="284"/>
      <c r="B1522" s="284"/>
      <c r="C1522" s="284"/>
      <c r="D1522" s="284"/>
      <c r="E1522" s="284"/>
      <c r="F1522" s="284"/>
      <c r="G1522" s="284"/>
      <c r="H1522" s="284"/>
      <c r="I1522" s="284"/>
      <c r="J1522" s="375"/>
      <c r="K1522" s="375"/>
      <c r="L1522" s="375"/>
      <c r="M1522" s="368"/>
      <c r="N1522" s="368"/>
      <c r="O1522" s="370"/>
      <c r="T1522" s="349"/>
      <c r="V1522" s="378"/>
      <c r="W1522" s="64" ph="1"/>
      <c r="X1522" s="241"/>
      <c r="Y1522" s="284"/>
      <c r="Z1522" s="207"/>
      <c r="AA1522" s="284"/>
      <c r="AB1522" s="284"/>
      <c r="AC1522" s="284"/>
      <c r="AD1522" s="284"/>
      <c r="AE1522" s="284"/>
      <c r="AF1522" s="284"/>
      <c r="AG1522" s="284"/>
      <c r="AI1522" s="131"/>
    </row>
    <row r="1523" spans="1:35" ht="26.4">
      <c r="A1523" s="284"/>
      <c r="B1523" s="284"/>
      <c r="C1523" s="284"/>
      <c r="D1523" s="284"/>
      <c r="E1523" s="284"/>
      <c r="F1523" s="284"/>
      <c r="G1523" s="284"/>
      <c r="H1523" s="284"/>
      <c r="I1523" s="284"/>
      <c r="J1523" s="375"/>
      <c r="K1523" s="375"/>
      <c r="L1523" s="375"/>
      <c r="M1523" s="368"/>
      <c r="N1523" s="368"/>
      <c r="O1523" s="370"/>
      <c r="T1523" s="349"/>
      <c r="V1523" s="378"/>
      <c r="W1523" s="64" ph="1"/>
      <c r="X1523" s="241"/>
      <c r="Y1523" s="284"/>
      <c r="Z1523" s="207"/>
      <c r="AA1523" s="284"/>
      <c r="AB1523" s="284"/>
      <c r="AC1523" s="284"/>
      <c r="AD1523" s="284"/>
      <c r="AE1523" s="284"/>
      <c r="AF1523" s="284"/>
      <c r="AG1523" s="284"/>
      <c r="AI1523" s="28"/>
    </row>
    <row r="1524" spans="1:35" ht="26.4">
      <c r="A1524" s="284"/>
      <c r="B1524" s="284"/>
      <c r="C1524" s="284"/>
      <c r="D1524" s="284"/>
      <c r="E1524" s="284"/>
      <c r="F1524" s="284"/>
      <c r="G1524" s="284"/>
      <c r="H1524" s="284"/>
      <c r="I1524" s="284"/>
      <c r="J1524" s="375"/>
      <c r="K1524" s="375"/>
      <c r="L1524" s="375"/>
      <c r="M1524" s="368"/>
      <c r="N1524" s="368"/>
      <c r="O1524" s="370"/>
      <c r="T1524" s="349"/>
      <c r="V1524" s="378"/>
      <c r="W1524" s="64" ph="1"/>
      <c r="X1524" s="241"/>
      <c r="Y1524" s="284"/>
      <c r="Z1524" s="207"/>
      <c r="AA1524" s="284"/>
      <c r="AB1524" s="284"/>
      <c r="AC1524" s="284"/>
      <c r="AD1524" s="284"/>
      <c r="AE1524" s="284"/>
      <c r="AF1524" s="284"/>
      <c r="AG1524" s="284"/>
      <c r="AI1524" s="131"/>
    </row>
    <row r="1525" spans="1:35" ht="26.4">
      <c r="A1525" s="284"/>
      <c r="B1525" s="284"/>
      <c r="C1525" s="284"/>
      <c r="D1525" s="284"/>
      <c r="E1525" s="284"/>
      <c r="F1525" s="284"/>
      <c r="G1525" s="284"/>
      <c r="H1525" s="284"/>
      <c r="I1525" s="284"/>
      <c r="J1525" s="375"/>
      <c r="K1525" s="375"/>
      <c r="L1525" s="375"/>
      <c r="M1525" s="368"/>
      <c r="N1525" s="368"/>
      <c r="O1525" s="370"/>
      <c r="T1525" s="349"/>
      <c r="V1525" s="378"/>
      <c r="W1525" s="64" ph="1"/>
      <c r="X1525" s="241"/>
      <c r="Y1525" s="284"/>
      <c r="Z1525" s="207"/>
      <c r="AA1525" s="284"/>
      <c r="AB1525" s="284"/>
      <c r="AC1525" s="284"/>
      <c r="AD1525" s="284"/>
      <c r="AE1525" s="284"/>
      <c r="AF1525" s="284"/>
      <c r="AG1525" s="284"/>
      <c r="AI1525" s="131"/>
    </row>
    <row r="1526" spans="1:35" ht="26.4">
      <c r="A1526" s="284"/>
      <c r="B1526" s="284"/>
      <c r="C1526" s="284"/>
      <c r="D1526" s="284"/>
      <c r="E1526" s="284"/>
      <c r="F1526" s="284"/>
      <c r="G1526" s="284"/>
      <c r="H1526" s="284"/>
      <c r="I1526" s="284"/>
      <c r="J1526" s="375"/>
      <c r="K1526" s="375"/>
      <c r="L1526" s="375"/>
      <c r="M1526" s="368"/>
      <c r="N1526" s="368"/>
      <c r="O1526" s="370"/>
      <c r="T1526" s="349"/>
      <c r="V1526" s="378"/>
      <c r="W1526" s="64" ph="1"/>
      <c r="X1526" s="241"/>
      <c r="Y1526" s="284"/>
      <c r="Z1526" s="207"/>
      <c r="AA1526" s="284"/>
      <c r="AB1526" s="284"/>
      <c r="AC1526" s="284"/>
      <c r="AD1526" s="284"/>
      <c r="AE1526" s="284"/>
      <c r="AF1526" s="284"/>
      <c r="AG1526" s="284"/>
      <c r="AI1526" s="131"/>
    </row>
    <row r="1527" spans="1:35" ht="26.4">
      <c r="A1527" s="284"/>
      <c r="B1527" s="284"/>
      <c r="C1527" s="284"/>
      <c r="D1527" s="284"/>
      <c r="E1527" s="284"/>
      <c r="F1527" s="284"/>
      <c r="G1527" s="284"/>
      <c r="H1527" s="284"/>
      <c r="I1527" s="284"/>
      <c r="J1527" s="375"/>
      <c r="K1527" s="375"/>
      <c r="L1527" s="375"/>
      <c r="M1527" s="368"/>
      <c r="N1527" s="368"/>
      <c r="O1527" s="370"/>
      <c r="T1527" s="349"/>
      <c r="V1527" s="378"/>
      <c r="W1527" s="64" ph="1"/>
      <c r="X1527" s="241"/>
      <c r="Y1527" s="284"/>
      <c r="Z1527" s="207"/>
      <c r="AA1527" s="284"/>
      <c r="AB1527" s="284"/>
      <c r="AC1527" s="284"/>
      <c r="AD1527" s="284"/>
      <c r="AE1527" s="284"/>
      <c r="AF1527" s="284"/>
      <c r="AG1527" s="284"/>
      <c r="AI1527" s="131"/>
    </row>
    <row r="1528" spans="1:35" ht="26.4">
      <c r="A1528" s="284"/>
      <c r="B1528" s="284"/>
      <c r="C1528" s="284"/>
      <c r="D1528" s="284"/>
      <c r="E1528" s="284"/>
      <c r="F1528" s="284"/>
      <c r="G1528" s="284"/>
      <c r="H1528" s="284"/>
      <c r="I1528" s="284"/>
      <c r="J1528" s="375"/>
      <c r="K1528" s="375"/>
      <c r="L1528" s="375"/>
      <c r="M1528" s="368"/>
      <c r="N1528" s="368"/>
      <c r="O1528" s="370"/>
      <c r="T1528" s="349"/>
      <c r="V1528" s="378"/>
      <c r="W1528" s="64" ph="1"/>
      <c r="X1528" s="241"/>
      <c r="Y1528" s="284"/>
      <c r="Z1528" s="207"/>
      <c r="AA1528" s="284"/>
      <c r="AB1528" s="284"/>
      <c r="AC1528" s="284"/>
      <c r="AD1528" s="284"/>
      <c r="AE1528" s="284"/>
      <c r="AF1528" s="284"/>
      <c r="AG1528" s="284"/>
      <c r="AI1528" s="131"/>
    </row>
    <row r="1529" spans="1:35" ht="26.4">
      <c r="A1529" s="284"/>
      <c r="B1529" s="284"/>
      <c r="C1529" s="284"/>
      <c r="D1529" s="284"/>
      <c r="E1529" s="284"/>
      <c r="F1529" s="284"/>
      <c r="G1529" s="284"/>
      <c r="H1529" s="284"/>
      <c r="I1529" s="284"/>
      <c r="J1529" s="375"/>
      <c r="K1529" s="375"/>
      <c r="L1529" s="375"/>
      <c r="M1529" s="368"/>
      <c r="N1529" s="368"/>
      <c r="O1529" s="370"/>
      <c r="T1529" s="349"/>
      <c r="V1529" s="378"/>
      <c r="W1529" s="64" ph="1"/>
      <c r="X1529" s="241"/>
      <c r="Y1529" s="284"/>
      <c r="Z1529" s="207"/>
      <c r="AA1529" s="284"/>
      <c r="AB1529" s="284"/>
      <c r="AC1529" s="284"/>
      <c r="AD1529" s="284"/>
      <c r="AE1529" s="284"/>
      <c r="AF1529" s="284"/>
      <c r="AG1529" s="284"/>
      <c r="AI1529" s="131"/>
    </row>
    <row r="1530" spans="1:35" ht="26.4">
      <c r="A1530" s="284"/>
      <c r="B1530" s="284"/>
      <c r="C1530" s="284"/>
      <c r="D1530" s="284"/>
      <c r="E1530" s="284"/>
      <c r="F1530" s="284"/>
      <c r="G1530" s="284"/>
      <c r="H1530" s="284"/>
      <c r="I1530" s="284"/>
      <c r="J1530" s="375"/>
      <c r="K1530" s="375"/>
      <c r="L1530" s="375"/>
      <c r="M1530" s="368"/>
      <c r="N1530" s="368"/>
      <c r="O1530" s="370"/>
      <c r="T1530" s="349"/>
      <c r="V1530" s="378"/>
      <c r="W1530" s="64" ph="1"/>
      <c r="X1530" s="241"/>
      <c r="Y1530" s="284"/>
      <c r="Z1530" s="207"/>
      <c r="AA1530" s="284"/>
      <c r="AB1530" s="284"/>
      <c r="AC1530" s="284"/>
      <c r="AD1530" s="284"/>
      <c r="AE1530" s="284"/>
      <c r="AF1530" s="284"/>
      <c r="AG1530" s="284"/>
      <c r="AI1530" s="131"/>
    </row>
    <row r="1531" spans="1:35" ht="26.4">
      <c r="A1531" s="284"/>
      <c r="B1531" s="284"/>
      <c r="C1531" s="284"/>
      <c r="D1531" s="284"/>
      <c r="E1531" s="284"/>
      <c r="F1531" s="284"/>
      <c r="G1531" s="284"/>
      <c r="H1531" s="284"/>
      <c r="I1531" s="284"/>
      <c r="J1531" s="375"/>
      <c r="K1531" s="375"/>
      <c r="L1531" s="375"/>
      <c r="M1531" s="368"/>
      <c r="N1531" s="368"/>
      <c r="O1531" s="370"/>
      <c r="T1531" s="349"/>
      <c r="V1531" s="378"/>
      <c r="W1531" s="64" ph="1"/>
      <c r="X1531" s="241"/>
      <c r="Y1531" s="284"/>
      <c r="Z1531" s="207"/>
      <c r="AA1531" s="284"/>
      <c r="AB1531" s="284"/>
      <c r="AC1531" s="284"/>
      <c r="AD1531" s="284"/>
      <c r="AE1531" s="284"/>
      <c r="AF1531" s="284"/>
      <c r="AG1531" s="284"/>
      <c r="AI1531" s="131"/>
    </row>
    <row r="1532" spans="1:35" ht="26.4">
      <c r="A1532" s="284"/>
      <c r="B1532" s="284"/>
      <c r="C1532" s="284"/>
      <c r="D1532" s="284"/>
      <c r="E1532" s="284"/>
      <c r="F1532" s="284"/>
      <c r="G1532" s="284"/>
      <c r="H1532" s="284"/>
      <c r="I1532" s="284"/>
      <c r="J1532" s="375"/>
      <c r="K1532" s="375"/>
      <c r="L1532" s="375"/>
      <c r="M1532" s="368"/>
      <c r="N1532" s="368"/>
      <c r="O1532" s="370"/>
      <c r="T1532" s="349"/>
      <c r="V1532" s="378"/>
      <c r="W1532" s="64" ph="1"/>
      <c r="X1532" s="241"/>
      <c r="Y1532" s="284"/>
      <c r="Z1532" s="207"/>
      <c r="AA1532" s="284"/>
      <c r="AB1532" s="284"/>
      <c r="AC1532" s="284"/>
      <c r="AD1532" s="284"/>
      <c r="AE1532" s="284"/>
      <c r="AF1532" s="284"/>
      <c r="AG1532" s="284"/>
      <c r="AI1532" s="131"/>
    </row>
    <row r="1533" spans="1:35" ht="26.4">
      <c r="A1533" s="284"/>
      <c r="B1533" s="284"/>
      <c r="C1533" s="284"/>
      <c r="D1533" s="284"/>
      <c r="E1533" s="284"/>
      <c r="F1533" s="284"/>
      <c r="G1533" s="284"/>
      <c r="H1533" s="284"/>
      <c r="I1533" s="284"/>
      <c r="J1533" s="375"/>
      <c r="K1533" s="375"/>
      <c r="L1533" s="375"/>
      <c r="M1533" s="368"/>
      <c r="N1533" s="368"/>
      <c r="O1533" s="370"/>
      <c r="T1533" s="349"/>
      <c r="V1533" s="378"/>
      <c r="W1533" s="64" ph="1"/>
      <c r="X1533" s="241"/>
      <c r="Y1533" s="284"/>
      <c r="Z1533" s="207"/>
      <c r="AA1533" s="284"/>
      <c r="AB1533" s="284"/>
      <c r="AC1533" s="284"/>
      <c r="AD1533" s="284"/>
      <c r="AE1533" s="284"/>
      <c r="AF1533" s="284"/>
      <c r="AG1533" s="284"/>
      <c r="AI1533" s="131"/>
    </row>
    <row r="1534" spans="1:35" ht="26.4">
      <c r="A1534" s="284"/>
      <c r="B1534" s="284"/>
      <c r="C1534" s="284"/>
      <c r="D1534" s="284"/>
      <c r="E1534" s="284"/>
      <c r="F1534" s="284"/>
      <c r="G1534" s="284"/>
      <c r="H1534" s="284"/>
      <c r="I1534" s="284"/>
      <c r="J1534" s="375"/>
      <c r="K1534" s="375"/>
      <c r="L1534" s="375"/>
      <c r="M1534" s="368"/>
      <c r="N1534" s="368"/>
      <c r="O1534" s="370"/>
      <c r="T1534" s="349"/>
      <c r="V1534" s="378"/>
      <c r="W1534" s="64" ph="1"/>
      <c r="X1534" s="241"/>
      <c r="Y1534" s="284"/>
      <c r="Z1534" s="207"/>
      <c r="AA1534" s="284"/>
      <c r="AB1534" s="284"/>
      <c r="AC1534" s="284"/>
      <c r="AD1534" s="284"/>
      <c r="AE1534" s="284"/>
      <c r="AF1534" s="284"/>
      <c r="AG1534" s="284"/>
      <c r="AI1534" s="131"/>
    </row>
    <row r="1535" spans="1:35" ht="26.4">
      <c r="A1535" s="284"/>
      <c r="B1535" s="284"/>
      <c r="C1535" s="284"/>
      <c r="D1535" s="284"/>
      <c r="E1535" s="284"/>
      <c r="F1535" s="284"/>
      <c r="G1535" s="284"/>
      <c r="H1535" s="284"/>
      <c r="I1535" s="284"/>
      <c r="J1535" s="375"/>
      <c r="K1535" s="375"/>
      <c r="L1535" s="375"/>
      <c r="M1535" s="368"/>
      <c r="N1535" s="368"/>
      <c r="O1535" s="370"/>
      <c r="T1535" s="349"/>
      <c r="V1535" s="378"/>
      <c r="W1535" s="64" ph="1"/>
      <c r="X1535" s="241"/>
      <c r="Y1535" s="284"/>
      <c r="Z1535" s="207"/>
      <c r="AA1535" s="284"/>
      <c r="AB1535" s="284"/>
      <c r="AC1535" s="284"/>
      <c r="AD1535" s="284"/>
      <c r="AE1535" s="284"/>
      <c r="AF1535" s="284"/>
      <c r="AG1535" s="284"/>
      <c r="AI1535" s="131"/>
    </row>
    <row r="1536" spans="1:35" ht="26.4">
      <c r="A1536" s="284"/>
      <c r="B1536" s="284"/>
      <c r="C1536" s="284"/>
      <c r="D1536" s="284"/>
      <c r="E1536" s="284"/>
      <c r="F1536" s="284"/>
      <c r="G1536" s="284"/>
      <c r="H1536" s="284"/>
      <c r="I1536" s="284"/>
      <c r="J1536" s="375"/>
      <c r="K1536" s="375"/>
      <c r="L1536" s="375"/>
      <c r="M1536" s="368"/>
      <c r="N1536" s="368"/>
      <c r="O1536" s="370"/>
      <c r="T1536" s="349"/>
      <c r="V1536" s="378"/>
      <c r="W1536" s="64" ph="1"/>
      <c r="X1536" s="241"/>
      <c r="Y1536" s="284"/>
      <c r="Z1536" s="207"/>
      <c r="AA1536" s="284"/>
      <c r="AB1536" s="284"/>
      <c r="AC1536" s="284"/>
      <c r="AD1536" s="284"/>
      <c r="AE1536" s="284"/>
      <c r="AF1536" s="284"/>
      <c r="AG1536" s="284"/>
      <c r="AI1536" s="131"/>
    </row>
    <row r="1537" spans="1:35" ht="26.4">
      <c r="A1537" s="284"/>
      <c r="B1537" s="284"/>
      <c r="C1537" s="284"/>
      <c r="D1537" s="284"/>
      <c r="E1537" s="284"/>
      <c r="F1537" s="284"/>
      <c r="G1537" s="284"/>
      <c r="H1537" s="284"/>
      <c r="I1537" s="284"/>
      <c r="J1537" s="375"/>
      <c r="K1537" s="375"/>
      <c r="L1537" s="375"/>
      <c r="M1537" s="368"/>
      <c r="N1537" s="368"/>
      <c r="O1537" s="370"/>
      <c r="T1537" s="349"/>
      <c r="V1537" s="378"/>
      <c r="W1537" s="64" ph="1"/>
      <c r="X1537" s="241"/>
      <c r="Y1537" s="284"/>
      <c r="Z1537" s="207"/>
      <c r="AA1537" s="284"/>
      <c r="AB1537" s="284"/>
      <c r="AC1537" s="284"/>
      <c r="AD1537" s="284"/>
      <c r="AE1537" s="284"/>
      <c r="AF1537" s="284"/>
      <c r="AG1537" s="284"/>
      <c r="AI1537" s="284"/>
    </row>
    <row r="1538" spans="1:35" ht="26.4">
      <c r="A1538" s="284"/>
      <c r="B1538" s="284"/>
      <c r="C1538" s="284"/>
      <c r="D1538" s="284"/>
      <c r="E1538" s="284"/>
      <c r="F1538" s="284"/>
      <c r="G1538" s="284"/>
      <c r="H1538" s="284"/>
      <c r="I1538" s="284"/>
      <c r="J1538" s="375"/>
      <c r="K1538" s="375"/>
      <c r="L1538" s="375"/>
      <c r="M1538" s="368"/>
      <c r="N1538" s="368"/>
      <c r="O1538" s="370"/>
      <c r="T1538" s="349"/>
      <c r="V1538" s="378"/>
      <c r="W1538" s="64" ph="1"/>
      <c r="X1538" s="241"/>
      <c r="Y1538" s="284"/>
      <c r="Z1538" s="207"/>
      <c r="AA1538" s="284"/>
      <c r="AB1538" s="284"/>
      <c r="AC1538" s="284"/>
      <c r="AD1538" s="284"/>
      <c r="AE1538" s="284"/>
      <c r="AF1538" s="284"/>
      <c r="AG1538" s="284"/>
      <c r="AI1538" s="131"/>
    </row>
    <row r="1539" spans="1:35" ht="26.4">
      <c r="A1539" s="284"/>
      <c r="B1539" s="284"/>
      <c r="C1539" s="284"/>
      <c r="D1539" s="284"/>
      <c r="E1539" s="284"/>
      <c r="F1539" s="284"/>
      <c r="G1539" s="284"/>
      <c r="H1539" s="284"/>
      <c r="I1539" s="284"/>
      <c r="J1539" s="375"/>
      <c r="K1539" s="375"/>
      <c r="L1539" s="375"/>
      <c r="M1539" s="368"/>
      <c r="N1539" s="368"/>
      <c r="O1539" s="370"/>
      <c r="T1539" s="349"/>
      <c r="V1539" s="378"/>
      <c r="W1539" s="64" ph="1"/>
      <c r="X1539" s="241"/>
      <c r="Y1539" s="284"/>
      <c r="Z1539" s="207"/>
      <c r="AA1539" s="284"/>
      <c r="AB1539" s="284"/>
      <c r="AC1539" s="284"/>
      <c r="AD1539" s="284"/>
      <c r="AE1539" s="284"/>
      <c r="AF1539" s="284"/>
      <c r="AG1539" s="284"/>
      <c r="AI1539" s="131"/>
    </row>
    <row r="1540" spans="1:35" ht="26.4">
      <c r="A1540" s="284"/>
      <c r="B1540" s="284"/>
      <c r="C1540" s="284"/>
      <c r="D1540" s="284"/>
      <c r="E1540" s="284"/>
      <c r="F1540" s="284"/>
      <c r="G1540" s="284"/>
      <c r="H1540" s="284"/>
      <c r="I1540" s="284"/>
      <c r="J1540" s="375"/>
      <c r="K1540" s="375"/>
      <c r="L1540" s="375"/>
      <c r="M1540" s="368"/>
      <c r="N1540" s="368"/>
      <c r="O1540" s="370"/>
      <c r="T1540" s="349"/>
      <c r="V1540" s="378"/>
      <c r="W1540" s="64" ph="1"/>
      <c r="X1540" s="241"/>
      <c r="Y1540" s="284"/>
      <c r="Z1540" s="207"/>
      <c r="AA1540" s="284"/>
      <c r="AB1540" s="284"/>
      <c r="AC1540" s="284"/>
      <c r="AD1540" s="284"/>
      <c r="AE1540" s="284"/>
      <c r="AF1540" s="284"/>
      <c r="AG1540" s="284"/>
      <c r="AI1540" s="131"/>
    </row>
    <row r="1541" spans="1:35" ht="26.4">
      <c r="A1541" s="284"/>
      <c r="B1541" s="284"/>
      <c r="C1541" s="284"/>
      <c r="D1541" s="284"/>
      <c r="E1541" s="284"/>
      <c r="F1541" s="284"/>
      <c r="G1541" s="284"/>
      <c r="H1541" s="284"/>
      <c r="I1541" s="284"/>
      <c r="J1541" s="375"/>
      <c r="K1541" s="375"/>
      <c r="L1541" s="375"/>
      <c r="M1541" s="368"/>
      <c r="N1541" s="368"/>
      <c r="O1541" s="370"/>
      <c r="T1541" s="349"/>
      <c r="V1541" s="378"/>
      <c r="W1541" s="64" ph="1"/>
      <c r="X1541" s="241"/>
      <c r="Y1541" s="284"/>
      <c r="Z1541" s="207"/>
      <c r="AA1541" s="284"/>
      <c r="AB1541" s="284"/>
      <c r="AC1541" s="284"/>
      <c r="AD1541" s="284"/>
      <c r="AE1541" s="284"/>
      <c r="AF1541" s="284"/>
      <c r="AG1541" s="284"/>
      <c r="AI1541" s="131"/>
    </row>
    <row r="1542" spans="1:35" ht="26.4">
      <c r="A1542" s="284"/>
      <c r="B1542" s="284"/>
      <c r="C1542" s="284"/>
      <c r="D1542" s="284"/>
      <c r="E1542" s="284"/>
      <c r="F1542" s="284"/>
      <c r="G1542" s="284"/>
      <c r="H1542" s="284"/>
      <c r="I1542" s="284"/>
      <c r="J1542" s="375"/>
      <c r="K1542" s="375"/>
      <c r="L1542" s="375"/>
      <c r="M1542" s="368"/>
      <c r="N1542" s="368"/>
      <c r="O1542" s="370"/>
      <c r="T1542" s="349"/>
      <c r="V1542" s="378"/>
      <c r="W1542" s="64" ph="1"/>
      <c r="X1542" s="241"/>
      <c r="Y1542" s="284"/>
      <c r="Z1542" s="207"/>
      <c r="AA1542" s="284"/>
      <c r="AB1542" s="284"/>
      <c r="AC1542" s="284"/>
      <c r="AD1542" s="284"/>
      <c r="AE1542" s="284"/>
      <c r="AF1542" s="284"/>
      <c r="AG1542" s="284"/>
      <c r="AI1542" s="131"/>
    </row>
    <row r="1543" spans="1:35" ht="26.4">
      <c r="A1543" s="284"/>
      <c r="B1543" s="284"/>
      <c r="C1543" s="284"/>
      <c r="D1543" s="284"/>
      <c r="E1543" s="284"/>
      <c r="F1543" s="284"/>
      <c r="G1543" s="284"/>
      <c r="H1543" s="284"/>
      <c r="I1543" s="284"/>
      <c r="J1543" s="375"/>
      <c r="K1543" s="375"/>
      <c r="L1543" s="375"/>
      <c r="M1543" s="368"/>
      <c r="N1543" s="368"/>
      <c r="O1543" s="370"/>
      <c r="T1543" s="349"/>
      <c r="V1543" s="378"/>
      <c r="W1543" s="64" ph="1"/>
      <c r="X1543" s="241"/>
      <c r="Y1543" s="284"/>
      <c r="Z1543" s="207"/>
      <c r="AA1543" s="284"/>
      <c r="AB1543" s="284"/>
      <c r="AC1543" s="284"/>
      <c r="AD1543" s="284"/>
      <c r="AE1543" s="284"/>
      <c r="AF1543" s="284"/>
      <c r="AG1543" s="284"/>
      <c r="AI1543" s="131"/>
    </row>
    <row r="1544" spans="1:35" ht="26.4">
      <c r="A1544" s="284"/>
      <c r="B1544" s="284"/>
      <c r="C1544" s="284"/>
      <c r="D1544" s="284"/>
      <c r="E1544" s="284"/>
      <c r="F1544" s="284"/>
      <c r="G1544" s="284"/>
      <c r="H1544" s="284"/>
      <c r="I1544" s="284"/>
      <c r="J1544" s="375"/>
      <c r="K1544" s="375"/>
      <c r="L1544" s="375"/>
      <c r="M1544" s="368"/>
      <c r="N1544" s="368"/>
      <c r="O1544" s="370"/>
      <c r="T1544" s="349"/>
      <c r="V1544" s="378"/>
      <c r="W1544" s="64" ph="1"/>
      <c r="X1544" s="241"/>
      <c r="Y1544" s="284"/>
      <c r="Z1544" s="207"/>
      <c r="AA1544" s="284"/>
      <c r="AB1544" s="284"/>
      <c r="AC1544" s="284"/>
      <c r="AD1544" s="284"/>
      <c r="AE1544" s="284"/>
      <c r="AF1544" s="284"/>
      <c r="AG1544" s="284"/>
      <c r="AI1544" s="131"/>
    </row>
    <row r="1545" spans="1:35" ht="26.4">
      <c r="A1545" s="284"/>
      <c r="B1545" s="284"/>
      <c r="C1545" s="284"/>
      <c r="D1545" s="284"/>
      <c r="E1545" s="284"/>
      <c r="F1545" s="284"/>
      <c r="G1545" s="284"/>
      <c r="H1545" s="284"/>
      <c r="I1545" s="284"/>
      <c r="J1545" s="375"/>
      <c r="K1545" s="375"/>
      <c r="L1545" s="375"/>
      <c r="M1545" s="368"/>
      <c r="N1545" s="368"/>
      <c r="O1545" s="370"/>
      <c r="T1545" s="349"/>
      <c r="V1545" s="378"/>
      <c r="W1545" s="64" ph="1"/>
      <c r="X1545" s="241"/>
      <c r="Y1545" s="284"/>
      <c r="Z1545" s="207"/>
      <c r="AA1545" s="284"/>
      <c r="AB1545" s="284"/>
      <c r="AC1545" s="284"/>
      <c r="AD1545" s="284"/>
      <c r="AE1545" s="284"/>
      <c r="AF1545" s="284"/>
      <c r="AG1545" s="284"/>
      <c r="AI1545" s="131"/>
    </row>
    <row r="1546" spans="1:35" ht="26.4">
      <c r="A1546" s="284"/>
      <c r="B1546" s="284"/>
      <c r="C1546" s="284"/>
      <c r="D1546" s="284"/>
      <c r="E1546" s="284"/>
      <c r="F1546" s="284"/>
      <c r="G1546" s="284"/>
      <c r="H1546" s="284"/>
      <c r="I1546" s="284"/>
      <c r="J1546" s="375"/>
      <c r="K1546" s="375"/>
      <c r="L1546" s="375"/>
      <c r="M1546" s="368"/>
      <c r="N1546" s="368"/>
      <c r="O1546" s="370"/>
      <c r="T1546" s="349"/>
      <c r="V1546" s="378"/>
      <c r="W1546" s="64" ph="1"/>
      <c r="X1546" s="241"/>
      <c r="Y1546" s="284"/>
      <c r="Z1546" s="207"/>
      <c r="AA1546" s="284"/>
      <c r="AB1546" s="284"/>
      <c r="AC1546" s="284"/>
      <c r="AD1546" s="284"/>
      <c r="AE1546" s="284"/>
      <c r="AF1546" s="284"/>
      <c r="AG1546" s="284"/>
      <c r="AI1546" s="131"/>
    </row>
    <row r="1547" spans="1:35" ht="26.4">
      <c r="A1547" s="284"/>
      <c r="B1547" s="284"/>
      <c r="C1547" s="284"/>
      <c r="D1547" s="284"/>
      <c r="E1547" s="284"/>
      <c r="F1547" s="284"/>
      <c r="G1547" s="284"/>
      <c r="H1547" s="284"/>
      <c r="I1547" s="284"/>
      <c r="J1547" s="375"/>
      <c r="K1547" s="375"/>
      <c r="L1547" s="375"/>
      <c r="M1547" s="368"/>
      <c r="N1547" s="368"/>
      <c r="O1547" s="370"/>
      <c r="T1547" s="349"/>
      <c r="V1547" s="378"/>
      <c r="W1547" s="64" ph="1"/>
      <c r="X1547" s="241"/>
      <c r="Y1547" s="284"/>
      <c r="Z1547" s="207"/>
      <c r="AA1547" s="284"/>
      <c r="AB1547" s="284"/>
      <c r="AC1547" s="284"/>
      <c r="AD1547" s="284"/>
      <c r="AE1547" s="284"/>
      <c r="AF1547" s="284"/>
      <c r="AG1547" s="284"/>
      <c r="AI1547" s="131"/>
    </row>
    <row r="1548" spans="1:35" ht="26.4">
      <c r="A1548" s="284"/>
      <c r="B1548" s="284"/>
      <c r="C1548" s="284"/>
      <c r="D1548" s="284"/>
      <c r="E1548" s="284"/>
      <c r="F1548" s="284"/>
      <c r="G1548" s="284"/>
      <c r="H1548" s="284"/>
      <c r="I1548" s="284"/>
      <c r="J1548" s="375"/>
      <c r="K1548" s="375"/>
      <c r="L1548" s="375"/>
      <c r="M1548" s="368"/>
      <c r="N1548" s="368"/>
      <c r="O1548" s="370"/>
      <c r="T1548" s="349"/>
      <c r="V1548" s="378"/>
      <c r="W1548" s="64" ph="1"/>
      <c r="X1548" s="241"/>
      <c r="Y1548" s="284"/>
      <c r="Z1548" s="207"/>
      <c r="AA1548" s="284"/>
      <c r="AB1548" s="284"/>
      <c r="AC1548" s="284"/>
      <c r="AD1548" s="284"/>
      <c r="AE1548" s="284"/>
      <c r="AF1548" s="284"/>
      <c r="AG1548" s="284"/>
      <c r="AI1548" s="284"/>
    </row>
    <row r="1549" spans="1:35" ht="26.4">
      <c r="A1549" s="284"/>
      <c r="B1549" s="284"/>
      <c r="C1549" s="284"/>
      <c r="D1549" s="284"/>
      <c r="E1549" s="284"/>
      <c r="F1549" s="284"/>
      <c r="G1549" s="284"/>
      <c r="H1549" s="284"/>
      <c r="I1549" s="284"/>
      <c r="J1549" s="375"/>
      <c r="K1549" s="375"/>
      <c r="L1549" s="375"/>
      <c r="M1549" s="368"/>
      <c r="N1549" s="368"/>
      <c r="O1549" s="370"/>
      <c r="T1549" s="349"/>
      <c r="V1549" s="378"/>
      <c r="W1549" s="64" ph="1"/>
      <c r="X1549" s="241"/>
      <c r="Y1549" s="284"/>
      <c r="Z1549" s="207"/>
      <c r="AA1549" s="284"/>
      <c r="AB1549" s="284"/>
      <c r="AC1549" s="284"/>
      <c r="AD1549" s="284"/>
      <c r="AE1549" s="284"/>
      <c r="AF1549" s="284"/>
      <c r="AG1549" s="284"/>
      <c r="AI1549" s="131"/>
    </row>
    <row r="1550" spans="1:35" ht="26.4">
      <c r="A1550" s="284"/>
      <c r="B1550" s="284"/>
      <c r="C1550" s="284"/>
      <c r="D1550" s="284"/>
      <c r="E1550" s="284"/>
      <c r="F1550" s="284"/>
      <c r="G1550" s="284"/>
      <c r="H1550" s="284"/>
      <c r="I1550" s="284"/>
      <c r="J1550" s="375"/>
      <c r="K1550" s="375"/>
      <c r="L1550" s="375"/>
      <c r="M1550" s="368"/>
      <c r="N1550" s="368"/>
      <c r="O1550" s="370"/>
      <c r="T1550" s="349"/>
      <c r="V1550" s="378"/>
      <c r="W1550" s="64" ph="1"/>
      <c r="X1550" s="241"/>
      <c r="Y1550" s="284"/>
      <c r="Z1550" s="207"/>
      <c r="AA1550" s="284"/>
      <c r="AB1550" s="284"/>
      <c r="AC1550" s="284"/>
      <c r="AD1550" s="284"/>
      <c r="AE1550" s="284"/>
      <c r="AF1550" s="284"/>
      <c r="AG1550" s="284"/>
      <c r="AI1550" s="131"/>
    </row>
    <row r="1551" spans="1:35" ht="26.4">
      <c r="A1551" s="284"/>
      <c r="B1551" s="284"/>
      <c r="C1551" s="284"/>
      <c r="D1551" s="284"/>
      <c r="E1551" s="284"/>
      <c r="F1551" s="284"/>
      <c r="G1551" s="284"/>
      <c r="H1551" s="284"/>
      <c r="I1551" s="284"/>
      <c r="J1551" s="375"/>
      <c r="K1551" s="375"/>
      <c r="L1551" s="375"/>
      <c r="M1551" s="368"/>
      <c r="N1551" s="368"/>
      <c r="O1551" s="370"/>
      <c r="T1551" s="349"/>
      <c r="V1551" s="378"/>
      <c r="W1551" s="64" ph="1"/>
      <c r="X1551" s="241"/>
      <c r="Y1551" s="284"/>
      <c r="Z1551" s="207"/>
      <c r="AA1551" s="284"/>
      <c r="AB1551" s="284"/>
      <c r="AC1551" s="284"/>
      <c r="AD1551" s="284"/>
      <c r="AE1551" s="284"/>
      <c r="AF1551" s="284"/>
      <c r="AG1551" s="284"/>
      <c r="AI1551" s="284"/>
    </row>
    <row r="1552" spans="1:35" ht="26.4">
      <c r="A1552" s="284"/>
      <c r="B1552" s="284"/>
      <c r="C1552" s="284"/>
      <c r="D1552" s="284"/>
      <c r="E1552" s="284"/>
      <c r="F1552" s="284"/>
      <c r="G1552" s="284"/>
      <c r="H1552" s="284"/>
      <c r="I1552" s="284"/>
      <c r="J1552" s="375"/>
      <c r="K1552" s="375"/>
      <c r="L1552" s="375"/>
      <c r="M1552" s="368"/>
      <c r="N1552" s="368"/>
      <c r="O1552" s="370"/>
      <c r="T1552" s="349"/>
      <c r="V1552" s="378"/>
      <c r="W1552" s="64" ph="1"/>
      <c r="X1552" s="241"/>
      <c r="Y1552" s="284"/>
      <c r="Z1552" s="207"/>
      <c r="AA1552" s="284"/>
      <c r="AB1552" s="284"/>
      <c r="AC1552" s="284"/>
      <c r="AD1552" s="284"/>
      <c r="AE1552" s="284"/>
      <c r="AF1552" s="284"/>
      <c r="AG1552" s="284"/>
      <c r="AI1552" s="131"/>
    </row>
    <row r="1553" spans="1:35" ht="26.4">
      <c r="A1553" s="284"/>
      <c r="B1553" s="284"/>
      <c r="C1553" s="284"/>
      <c r="D1553" s="284"/>
      <c r="E1553" s="284"/>
      <c r="F1553" s="284"/>
      <c r="G1553" s="284"/>
      <c r="H1553" s="284"/>
      <c r="I1553" s="284"/>
      <c r="J1553" s="375"/>
      <c r="K1553" s="375"/>
      <c r="L1553" s="375"/>
      <c r="M1553" s="368"/>
      <c r="N1553" s="368"/>
      <c r="O1553" s="370"/>
      <c r="T1553" s="349"/>
      <c r="V1553" s="378"/>
      <c r="W1553" s="64" ph="1"/>
      <c r="X1553" s="241"/>
      <c r="Y1553" s="284"/>
      <c r="Z1553" s="207"/>
      <c r="AA1553" s="284"/>
      <c r="AB1553" s="284"/>
      <c r="AC1553" s="284"/>
      <c r="AD1553" s="284"/>
      <c r="AE1553" s="284"/>
      <c r="AF1553" s="284"/>
      <c r="AG1553" s="284"/>
      <c r="AI1553" s="131"/>
    </row>
    <row r="1554" spans="1:35" ht="26.4">
      <c r="A1554" s="284"/>
      <c r="B1554" s="284"/>
      <c r="C1554" s="284"/>
      <c r="D1554" s="284"/>
      <c r="E1554" s="284"/>
      <c r="F1554" s="284"/>
      <c r="G1554" s="284"/>
      <c r="H1554" s="284"/>
      <c r="I1554" s="284"/>
      <c r="J1554" s="375"/>
      <c r="K1554" s="375"/>
      <c r="L1554" s="375"/>
      <c r="M1554" s="368"/>
      <c r="N1554" s="368"/>
      <c r="O1554" s="370"/>
      <c r="T1554" s="349"/>
      <c r="V1554" s="378"/>
      <c r="W1554" s="64" ph="1"/>
      <c r="X1554" s="241"/>
      <c r="Y1554" s="284"/>
      <c r="Z1554" s="207"/>
      <c r="AA1554" s="284"/>
      <c r="AB1554" s="284"/>
      <c r="AC1554" s="284"/>
      <c r="AD1554" s="284"/>
      <c r="AE1554" s="284"/>
      <c r="AF1554" s="284"/>
      <c r="AG1554" s="284"/>
      <c r="AI1554" s="131"/>
    </row>
    <row r="1555" spans="1:35" ht="26.4">
      <c r="A1555" s="284"/>
      <c r="B1555" s="284"/>
      <c r="C1555" s="284"/>
      <c r="D1555" s="284"/>
      <c r="E1555" s="284"/>
      <c r="F1555" s="284"/>
      <c r="G1555" s="284"/>
      <c r="H1555" s="284"/>
      <c r="I1555" s="284"/>
      <c r="J1555" s="375"/>
      <c r="K1555" s="375"/>
      <c r="L1555" s="375"/>
      <c r="M1555" s="368"/>
      <c r="N1555" s="368"/>
      <c r="O1555" s="370"/>
      <c r="T1555" s="349"/>
      <c r="V1555" s="378"/>
      <c r="W1555" s="64" ph="1"/>
      <c r="X1555" s="241"/>
      <c r="Y1555" s="284"/>
      <c r="Z1555" s="207"/>
      <c r="AA1555" s="284"/>
      <c r="AB1555" s="284"/>
      <c r="AC1555" s="284"/>
      <c r="AD1555" s="284"/>
      <c r="AE1555" s="284"/>
      <c r="AF1555" s="284"/>
      <c r="AG1555" s="284"/>
      <c r="AI1555" s="131"/>
    </row>
    <row r="1556" spans="1:35" ht="26.4">
      <c r="A1556" s="284"/>
      <c r="B1556" s="284"/>
      <c r="C1556" s="284"/>
      <c r="D1556" s="284"/>
      <c r="E1556" s="284"/>
      <c r="F1556" s="284"/>
      <c r="G1556" s="284"/>
      <c r="H1556" s="284"/>
      <c r="I1556" s="284"/>
      <c r="J1556" s="375"/>
      <c r="K1556" s="375"/>
      <c r="L1556" s="375"/>
      <c r="M1556" s="368"/>
      <c r="N1556" s="368"/>
      <c r="O1556" s="370"/>
      <c r="T1556" s="349"/>
      <c r="V1556" s="378"/>
      <c r="W1556" s="64" ph="1"/>
      <c r="X1556" s="241"/>
      <c r="Y1556" s="284"/>
      <c r="Z1556" s="207"/>
      <c r="AA1556" s="284"/>
      <c r="AB1556" s="284"/>
      <c r="AC1556" s="284"/>
      <c r="AD1556" s="284"/>
      <c r="AE1556" s="284"/>
      <c r="AF1556" s="284"/>
      <c r="AG1556" s="284"/>
      <c r="AI1556" s="131"/>
    </row>
    <row r="1557" spans="1:35" ht="26.4">
      <c r="A1557" s="284"/>
      <c r="B1557" s="284"/>
      <c r="C1557" s="284"/>
      <c r="D1557" s="284"/>
      <c r="E1557" s="284"/>
      <c r="F1557" s="284"/>
      <c r="G1557" s="284"/>
      <c r="H1557" s="284"/>
      <c r="I1557" s="284"/>
      <c r="J1557" s="375"/>
      <c r="K1557" s="375"/>
      <c r="L1557" s="375"/>
      <c r="M1557" s="368"/>
      <c r="N1557" s="368"/>
      <c r="O1557" s="370"/>
      <c r="T1557" s="349"/>
      <c r="V1557" s="378"/>
      <c r="W1557" s="64" ph="1"/>
      <c r="X1557" s="241"/>
      <c r="Y1557" s="284"/>
      <c r="Z1557" s="207"/>
      <c r="AA1557" s="284"/>
      <c r="AB1557" s="284"/>
      <c r="AC1557" s="284"/>
      <c r="AD1557" s="284"/>
      <c r="AE1557" s="284"/>
      <c r="AF1557" s="284"/>
      <c r="AG1557" s="284"/>
      <c r="AI1557" s="131"/>
    </row>
    <row r="1558" spans="1:35" ht="26.4">
      <c r="A1558" s="284"/>
      <c r="B1558" s="284"/>
      <c r="C1558" s="284"/>
      <c r="D1558" s="284"/>
      <c r="E1558" s="284"/>
      <c r="F1558" s="284"/>
      <c r="G1558" s="284"/>
      <c r="H1558" s="284"/>
      <c r="I1558" s="284"/>
      <c r="J1558" s="375"/>
      <c r="K1558" s="375"/>
      <c r="L1558" s="375"/>
      <c r="M1558" s="368"/>
      <c r="N1558" s="368"/>
      <c r="O1558" s="370"/>
      <c r="T1558" s="349"/>
      <c r="V1558" s="378"/>
      <c r="W1558" s="64" ph="1"/>
      <c r="X1558" s="241"/>
      <c r="Y1558" s="284"/>
      <c r="Z1558" s="207"/>
      <c r="AA1558" s="284"/>
      <c r="AB1558" s="284"/>
      <c r="AC1558" s="284"/>
      <c r="AD1558" s="284"/>
      <c r="AE1558" s="284"/>
      <c r="AF1558" s="284"/>
      <c r="AG1558" s="284"/>
      <c r="AI1558" s="131"/>
    </row>
    <row r="1559" spans="1:35" ht="26.4">
      <c r="A1559" s="284"/>
      <c r="B1559" s="284"/>
      <c r="C1559" s="284"/>
      <c r="D1559" s="284"/>
      <c r="E1559" s="284"/>
      <c r="F1559" s="284"/>
      <c r="G1559" s="284"/>
      <c r="H1559" s="284"/>
      <c r="I1559" s="284"/>
      <c r="J1559" s="375"/>
      <c r="K1559" s="375"/>
      <c r="L1559" s="375"/>
      <c r="M1559" s="368"/>
      <c r="N1559" s="368"/>
      <c r="O1559" s="370"/>
      <c r="T1559" s="349"/>
      <c r="V1559" s="378"/>
      <c r="W1559" s="64" ph="1"/>
      <c r="X1559" s="241"/>
      <c r="Y1559" s="284"/>
      <c r="Z1559" s="207"/>
      <c r="AA1559" s="284"/>
      <c r="AB1559" s="284"/>
      <c r="AC1559" s="284"/>
      <c r="AD1559" s="284"/>
      <c r="AE1559" s="284"/>
      <c r="AF1559" s="284"/>
      <c r="AG1559" s="284"/>
      <c r="AI1559" s="131"/>
    </row>
    <row r="1560" spans="1:35" ht="26.4">
      <c r="A1560" s="284"/>
      <c r="B1560" s="284"/>
      <c r="C1560" s="284"/>
      <c r="D1560" s="284"/>
      <c r="E1560" s="284"/>
      <c r="F1560" s="284"/>
      <c r="G1560" s="284"/>
      <c r="H1560" s="284"/>
      <c r="I1560" s="284"/>
      <c r="J1560" s="375"/>
      <c r="K1560" s="375"/>
      <c r="L1560" s="375"/>
      <c r="M1560" s="368"/>
      <c r="N1560" s="368"/>
      <c r="O1560" s="370"/>
      <c r="T1560" s="349"/>
      <c r="V1560" s="378"/>
      <c r="W1560" s="64" ph="1"/>
      <c r="X1560" s="241"/>
      <c r="Y1560" s="284"/>
      <c r="Z1560" s="207"/>
      <c r="AA1560" s="284"/>
      <c r="AB1560" s="284"/>
      <c r="AC1560" s="284"/>
      <c r="AD1560" s="284"/>
      <c r="AE1560" s="284"/>
      <c r="AF1560" s="284"/>
      <c r="AG1560" s="284"/>
      <c r="AI1560" s="131"/>
    </row>
    <row r="1561" spans="1:35" ht="26.4">
      <c r="A1561" s="284"/>
      <c r="B1561" s="284"/>
      <c r="C1561" s="284"/>
      <c r="D1561" s="284"/>
      <c r="E1561" s="284"/>
      <c r="F1561" s="284"/>
      <c r="G1561" s="284"/>
      <c r="H1561" s="284"/>
      <c r="I1561" s="284"/>
      <c r="J1561" s="375"/>
      <c r="K1561" s="375"/>
      <c r="L1561" s="375"/>
      <c r="M1561" s="368"/>
      <c r="N1561" s="368"/>
      <c r="O1561" s="370"/>
      <c r="T1561" s="349"/>
      <c r="V1561" s="378"/>
      <c r="W1561" s="64" ph="1"/>
      <c r="X1561" s="241"/>
      <c r="Y1561" s="284"/>
      <c r="Z1561" s="207"/>
      <c r="AA1561" s="284"/>
      <c r="AB1561" s="284"/>
      <c r="AC1561" s="284"/>
      <c r="AD1561" s="284"/>
      <c r="AE1561" s="284"/>
      <c r="AF1561" s="284"/>
      <c r="AG1561" s="284"/>
      <c r="AI1561" s="131"/>
    </row>
    <row r="1562" spans="1:35" ht="26.4">
      <c r="A1562" s="284"/>
      <c r="B1562" s="284"/>
      <c r="C1562" s="284"/>
      <c r="D1562" s="284"/>
      <c r="E1562" s="284"/>
      <c r="F1562" s="284"/>
      <c r="G1562" s="284"/>
      <c r="H1562" s="284"/>
      <c r="I1562" s="284"/>
      <c r="J1562" s="375"/>
      <c r="K1562" s="375"/>
      <c r="L1562" s="375"/>
      <c r="M1562" s="368"/>
      <c r="N1562" s="368"/>
      <c r="O1562" s="370"/>
      <c r="T1562" s="349"/>
      <c r="V1562" s="378"/>
      <c r="W1562" s="64" ph="1"/>
      <c r="X1562" s="241"/>
      <c r="Y1562" s="284"/>
      <c r="Z1562" s="207"/>
      <c r="AA1562" s="284"/>
      <c r="AB1562" s="284"/>
      <c r="AC1562" s="284"/>
      <c r="AD1562" s="284"/>
      <c r="AE1562" s="284"/>
      <c r="AF1562" s="284"/>
      <c r="AG1562" s="284"/>
      <c r="AI1562" s="131"/>
    </row>
    <row r="1563" spans="1:35" ht="26.4">
      <c r="A1563" s="284"/>
      <c r="B1563" s="284"/>
      <c r="C1563" s="284"/>
      <c r="D1563" s="284"/>
      <c r="E1563" s="284"/>
      <c r="F1563" s="284"/>
      <c r="G1563" s="284"/>
      <c r="H1563" s="284"/>
      <c r="I1563" s="284"/>
      <c r="J1563" s="375"/>
      <c r="K1563" s="375"/>
      <c r="L1563" s="375"/>
      <c r="M1563" s="368"/>
      <c r="N1563" s="368"/>
      <c r="O1563" s="370"/>
      <c r="T1563" s="349"/>
      <c r="V1563" s="378"/>
      <c r="W1563" s="64" ph="1"/>
      <c r="X1563" s="241"/>
      <c r="Y1563" s="284"/>
      <c r="Z1563" s="207"/>
      <c r="AA1563" s="284"/>
      <c r="AB1563" s="284"/>
      <c r="AC1563" s="284"/>
      <c r="AD1563" s="284"/>
      <c r="AE1563" s="284"/>
      <c r="AF1563" s="284"/>
      <c r="AG1563" s="284"/>
      <c r="AI1563" s="131"/>
    </row>
    <row r="1564" spans="1:35" ht="26.4">
      <c r="A1564" s="284"/>
      <c r="B1564" s="284"/>
      <c r="C1564" s="284"/>
      <c r="D1564" s="284"/>
      <c r="E1564" s="284"/>
      <c r="F1564" s="284"/>
      <c r="G1564" s="284"/>
      <c r="H1564" s="284"/>
      <c r="I1564" s="284"/>
      <c r="J1564" s="375"/>
      <c r="K1564" s="375"/>
      <c r="L1564" s="375"/>
      <c r="M1564" s="368"/>
      <c r="N1564" s="368"/>
      <c r="O1564" s="370"/>
      <c r="T1564" s="349"/>
      <c r="V1564" s="378"/>
      <c r="W1564" s="64" ph="1"/>
      <c r="X1564" s="241"/>
      <c r="Y1564" s="284"/>
      <c r="Z1564" s="207"/>
      <c r="AA1564" s="284"/>
      <c r="AB1564" s="284"/>
      <c r="AC1564" s="284"/>
      <c r="AD1564" s="284"/>
      <c r="AE1564" s="284"/>
      <c r="AF1564" s="284"/>
      <c r="AG1564" s="284"/>
      <c r="AI1564" s="131"/>
    </row>
    <row r="1565" spans="1:35" ht="26.4">
      <c r="A1565" s="284"/>
      <c r="B1565" s="284"/>
      <c r="C1565" s="284"/>
      <c r="D1565" s="284"/>
      <c r="E1565" s="284"/>
      <c r="F1565" s="284"/>
      <c r="G1565" s="284"/>
      <c r="H1565" s="284"/>
      <c r="I1565" s="284"/>
      <c r="J1565" s="375"/>
      <c r="K1565" s="375"/>
      <c r="L1565" s="375"/>
      <c r="M1565" s="368"/>
      <c r="N1565" s="368"/>
      <c r="O1565" s="370"/>
      <c r="T1565" s="349"/>
      <c r="V1565" s="378"/>
      <c r="W1565" s="64" ph="1"/>
      <c r="X1565" s="241"/>
      <c r="Y1565" s="284"/>
      <c r="Z1565" s="207"/>
      <c r="AA1565" s="284"/>
      <c r="AB1565" s="284"/>
      <c r="AC1565" s="284"/>
      <c r="AD1565" s="284"/>
      <c r="AE1565" s="284"/>
      <c r="AF1565" s="284"/>
      <c r="AG1565" s="284"/>
      <c r="AI1565" s="131"/>
    </row>
    <row r="1566" spans="1:35" ht="26.4">
      <c r="A1566" s="284"/>
      <c r="B1566" s="284"/>
      <c r="C1566" s="284"/>
      <c r="D1566" s="284"/>
      <c r="E1566" s="284"/>
      <c r="F1566" s="284"/>
      <c r="G1566" s="284"/>
      <c r="H1566" s="284"/>
      <c r="I1566" s="284"/>
      <c r="J1566" s="375"/>
      <c r="K1566" s="375"/>
      <c r="L1566" s="375"/>
      <c r="M1566" s="368"/>
      <c r="N1566" s="368"/>
      <c r="O1566" s="370"/>
      <c r="T1566" s="349"/>
      <c r="V1566" s="378"/>
      <c r="W1566" s="64" ph="1"/>
      <c r="X1566" s="241"/>
      <c r="Y1566" s="284"/>
      <c r="Z1566" s="207"/>
      <c r="AA1566" s="284"/>
      <c r="AB1566" s="284"/>
      <c r="AC1566" s="284"/>
      <c r="AD1566" s="284"/>
      <c r="AE1566" s="284"/>
      <c r="AF1566" s="284"/>
      <c r="AG1566" s="284"/>
      <c r="AI1566" s="131"/>
    </row>
    <row r="1567" spans="1:35" ht="26.4">
      <c r="A1567" s="284"/>
      <c r="B1567" s="284"/>
      <c r="C1567" s="284"/>
      <c r="D1567" s="284"/>
      <c r="E1567" s="284"/>
      <c r="F1567" s="284"/>
      <c r="G1567" s="284"/>
      <c r="H1567" s="284"/>
      <c r="I1567" s="284"/>
      <c r="J1567" s="375"/>
      <c r="K1567" s="375"/>
      <c r="L1567" s="375"/>
      <c r="M1567" s="368"/>
      <c r="N1567" s="368"/>
      <c r="O1567" s="370"/>
      <c r="T1567" s="349"/>
      <c r="V1567" s="378"/>
      <c r="W1567" s="64" ph="1"/>
      <c r="X1567" s="241"/>
      <c r="Y1567" s="284"/>
      <c r="Z1567" s="207"/>
      <c r="AA1567" s="284"/>
      <c r="AB1567" s="284"/>
      <c r="AC1567" s="284"/>
      <c r="AD1567" s="284"/>
      <c r="AE1567" s="284"/>
      <c r="AF1567" s="284"/>
      <c r="AG1567" s="284"/>
      <c r="AI1567" s="131"/>
    </row>
    <row r="1568" spans="1:35" ht="26.4">
      <c r="A1568" s="284"/>
      <c r="B1568" s="284"/>
      <c r="C1568" s="284"/>
      <c r="D1568" s="284"/>
      <c r="E1568" s="284"/>
      <c r="F1568" s="284"/>
      <c r="G1568" s="284"/>
      <c r="H1568" s="284"/>
      <c r="I1568" s="284"/>
      <c r="J1568" s="375"/>
      <c r="K1568" s="375"/>
      <c r="L1568" s="375"/>
      <c r="M1568" s="368"/>
      <c r="N1568" s="368"/>
      <c r="O1568" s="370"/>
      <c r="T1568" s="349"/>
      <c r="V1568" s="378"/>
      <c r="W1568" s="64" ph="1"/>
      <c r="X1568" s="241"/>
      <c r="Y1568" s="284"/>
      <c r="Z1568" s="207"/>
      <c r="AA1568" s="284"/>
      <c r="AB1568" s="284"/>
      <c r="AC1568" s="284"/>
      <c r="AD1568" s="284"/>
      <c r="AE1568" s="284"/>
      <c r="AF1568" s="284"/>
      <c r="AG1568" s="284"/>
      <c r="AI1568" s="131"/>
    </row>
    <row r="1569" spans="1:35" ht="26.4">
      <c r="A1569" s="284"/>
      <c r="B1569" s="284"/>
      <c r="C1569" s="284"/>
      <c r="D1569" s="284"/>
      <c r="E1569" s="284"/>
      <c r="F1569" s="284"/>
      <c r="G1569" s="284"/>
      <c r="H1569" s="284"/>
      <c r="I1569" s="284"/>
      <c r="J1569" s="375"/>
      <c r="K1569" s="375"/>
      <c r="L1569" s="375"/>
      <c r="M1569" s="368"/>
      <c r="N1569" s="368"/>
      <c r="O1569" s="370"/>
      <c r="T1569" s="349"/>
      <c r="V1569" s="378"/>
      <c r="W1569" s="64" ph="1"/>
      <c r="X1569" s="241"/>
      <c r="Y1569" s="284"/>
      <c r="Z1569" s="207"/>
      <c r="AA1569" s="284"/>
      <c r="AB1569" s="284"/>
      <c r="AC1569" s="284"/>
      <c r="AD1569" s="284"/>
      <c r="AE1569" s="284"/>
      <c r="AF1569" s="284"/>
      <c r="AG1569" s="284"/>
      <c r="AI1569" s="131"/>
    </row>
    <row r="1570" spans="1:35" ht="26.4">
      <c r="A1570" s="284"/>
      <c r="B1570" s="284"/>
      <c r="C1570" s="284"/>
      <c r="D1570" s="284"/>
      <c r="E1570" s="284"/>
      <c r="F1570" s="284"/>
      <c r="G1570" s="284"/>
      <c r="H1570" s="284"/>
      <c r="I1570" s="284"/>
      <c r="J1570" s="375"/>
      <c r="K1570" s="375"/>
      <c r="L1570" s="375"/>
      <c r="M1570" s="368"/>
      <c r="N1570" s="368"/>
      <c r="O1570" s="370"/>
      <c r="T1570" s="349"/>
      <c r="V1570" s="378"/>
      <c r="W1570" s="64" ph="1"/>
      <c r="X1570" s="241"/>
      <c r="Y1570" s="284"/>
      <c r="Z1570" s="207"/>
      <c r="AA1570" s="284"/>
      <c r="AB1570" s="284"/>
      <c r="AC1570" s="284"/>
      <c r="AD1570" s="284"/>
      <c r="AE1570" s="284"/>
      <c r="AF1570" s="284"/>
      <c r="AG1570" s="284"/>
      <c r="AI1570" s="131"/>
    </row>
    <row r="1571" spans="1:35" ht="26.4">
      <c r="A1571" s="284"/>
      <c r="B1571" s="284"/>
      <c r="C1571" s="284"/>
      <c r="D1571" s="284"/>
      <c r="E1571" s="284"/>
      <c r="F1571" s="284"/>
      <c r="G1571" s="284"/>
      <c r="H1571" s="284"/>
      <c r="I1571" s="284"/>
      <c r="J1571" s="375"/>
      <c r="K1571" s="375"/>
      <c r="L1571" s="375"/>
      <c r="M1571" s="368"/>
      <c r="N1571" s="368"/>
      <c r="O1571" s="370"/>
      <c r="T1571" s="349"/>
      <c r="V1571" s="378"/>
      <c r="W1571" s="64" ph="1"/>
      <c r="X1571" s="241"/>
      <c r="Y1571" s="284"/>
      <c r="Z1571" s="207"/>
      <c r="AA1571" s="284"/>
      <c r="AB1571" s="284"/>
      <c r="AC1571" s="284"/>
      <c r="AD1571" s="284"/>
      <c r="AE1571" s="284"/>
      <c r="AF1571" s="284"/>
      <c r="AG1571" s="284"/>
      <c r="AI1571" s="131"/>
    </row>
    <row r="1572" spans="1:35" ht="26.4">
      <c r="A1572" s="284"/>
      <c r="B1572" s="284"/>
      <c r="C1572" s="284"/>
      <c r="D1572" s="284"/>
      <c r="E1572" s="284"/>
      <c r="F1572" s="284"/>
      <c r="G1572" s="284"/>
      <c r="H1572" s="284"/>
      <c r="I1572" s="284"/>
      <c r="J1572" s="375"/>
      <c r="K1572" s="375"/>
      <c r="L1572" s="375"/>
      <c r="M1572" s="368"/>
      <c r="N1572" s="368"/>
      <c r="O1572" s="370"/>
      <c r="T1572" s="349"/>
      <c r="V1572" s="378"/>
      <c r="W1572" s="64" ph="1"/>
      <c r="X1572" s="241"/>
      <c r="Y1572" s="284"/>
      <c r="Z1572" s="207"/>
      <c r="AA1572" s="284"/>
      <c r="AB1572" s="284"/>
      <c r="AC1572" s="284"/>
      <c r="AD1572" s="284"/>
      <c r="AE1572" s="284"/>
      <c r="AF1572" s="284"/>
      <c r="AG1572" s="284"/>
      <c r="AI1572" s="131"/>
    </row>
    <row r="1573" spans="1:35" ht="26.4">
      <c r="A1573" s="284"/>
      <c r="B1573" s="284"/>
      <c r="C1573" s="284"/>
      <c r="D1573" s="284"/>
      <c r="E1573" s="284"/>
      <c r="F1573" s="284"/>
      <c r="G1573" s="284"/>
      <c r="H1573" s="284"/>
      <c r="I1573" s="284"/>
      <c r="J1573" s="375"/>
      <c r="K1573" s="375"/>
      <c r="L1573" s="375"/>
      <c r="M1573" s="368"/>
      <c r="N1573" s="368"/>
      <c r="O1573" s="370"/>
      <c r="T1573" s="349"/>
      <c r="V1573" s="378"/>
      <c r="W1573" s="64" ph="1"/>
      <c r="X1573" s="241"/>
      <c r="Y1573" s="284"/>
      <c r="Z1573" s="207"/>
      <c r="AA1573" s="284"/>
      <c r="AB1573" s="284"/>
      <c r="AC1573" s="284"/>
      <c r="AD1573" s="284"/>
      <c r="AE1573" s="284"/>
      <c r="AF1573" s="284"/>
      <c r="AG1573" s="284"/>
      <c r="AI1573" s="131"/>
    </row>
    <row r="1574" spans="1:35" ht="26.4">
      <c r="A1574" s="284"/>
      <c r="B1574" s="284"/>
      <c r="C1574" s="284"/>
      <c r="D1574" s="284"/>
      <c r="E1574" s="284"/>
      <c r="F1574" s="284"/>
      <c r="G1574" s="284"/>
      <c r="H1574" s="284"/>
      <c r="I1574" s="284"/>
      <c r="J1574" s="375"/>
      <c r="K1574" s="375"/>
      <c r="L1574" s="375"/>
      <c r="M1574" s="368"/>
      <c r="N1574" s="368"/>
      <c r="O1574" s="370"/>
      <c r="T1574" s="349"/>
      <c r="V1574" s="378"/>
      <c r="W1574" s="64" ph="1"/>
      <c r="X1574" s="241"/>
      <c r="Y1574" s="284"/>
      <c r="Z1574" s="207"/>
      <c r="AA1574" s="284"/>
      <c r="AB1574" s="284"/>
      <c r="AC1574" s="284"/>
      <c r="AD1574" s="284"/>
      <c r="AE1574" s="284"/>
      <c r="AF1574" s="284"/>
      <c r="AG1574" s="284"/>
      <c r="AI1574" s="284"/>
    </row>
    <row r="1575" spans="1:35" ht="26.4">
      <c r="A1575" s="284"/>
      <c r="B1575" s="284"/>
      <c r="C1575" s="284"/>
      <c r="D1575" s="284"/>
      <c r="E1575" s="284"/>
      <c r="F1575" s="284"/>
      <c r="G1575" s="284"/>
      <c r="H1575" s="284"/>
      <c r="I1575" s="284"/>
      <c r="J1575" s="375"/>
      <c r="K1575" s="375"/>
      <c r="L1575" s="375"/>
      <c r="M1575" s="368"/>
      <c r="N1575" s="368"/>
      <c r="O1575" s="370"/>
      <c r="T1575" s="349"/>
      <c r="V1575" s="378"/>
      <c r="W1575" s="64" ph="1"/>
      <c r="X1575" s="241"/>
      <c r="Y1575" s="284"/>
      <c r="Z1575" s="207"/>
      <c r="AA1575" s="284"/>
      <c r="AB1575" s="284"/>
      <c r="AC1575" s="284"/>
      <c r="AD1575" s="284"/>
      <c r="AE1575" s="284"/>
      <c r="AF1575" s="284"/>
      <c r="AG1575" s="284"/>
      <c r="AI1575" s="131"/>
    </row>
    <row r="1576" spans="1:35" ht="26.4">
      <c r="A1576" s="284"/>
      <c r="B1576" s="284"/>
      <c r="C1576" s="284"/>
      <c r="D1576" s="284"/>
      <c r="E1576" s="284"/>
      <c r="F1576" s="284"/>
      <c r="G1576" s="284"/>
      <c r="H1576" s="284"/>
      <c r="I1576" s="284"/>
      <c r="J1576" s="375"/>
      <c r="K1576" s="375"/>
      <c r="L1576" s="375"/>
      <c r="M1576" s="368"/>
      <c r="N1576" s="368"/>
      <c r="O1576" s="370"/>
      <c r="T1576" s="349"/>
      <c r="V1576" s="378"/>
      <c r="W1576" s="64" ph="1"/>
      <c r="X1576" s="241"/>
      <c r="Y1576" s="284"/>
      <c r="Z1576" s="207"/>
      <c r="AA1576" s="284"/>
      <c r="AB1576" s="284"/>
      <c r="AC1576" s="284"/>
      <c r="AD1576" s="284"/>
      <c r="AE1576" s="284"/>
      <c r="AF1576" s="284"/>
      <c r="AG1576" s="284"/>
      <c r="AI1576" s="131"/>
    </row>
    <row r="1577" spans="1:35" ht="26.4">
      <c r="A1577" s="284"/>
      <c r="B1577" s="284"/>
      <c r="C1577" s="284"/>
      <c r="D1577" s="284"/>
      <c r="E1577" s="284"/>
      <c r="F1577" s="284"/>
      <c r="G1577" s="284"/>
      <c r="H1577" s="284"/>
      <c r="I1577" s="284"/>
      <c r="J1577" s="375"/>
      <c r="K1577" s="375"/>
      <c r="L1577" s="375"/>
      <c r="M1577" s="368"/>
      <c r="N1577" s="368"/>
      <c r="O1577" s="370"/>
      <c r="T1577" s="349"/>
      <c r="V1577" s="378"/>
      <c r="W1577" s="64" ph="1"/>
      <c r="X1577" s="241"/>
      <c r="Y1577" s="284"/>
      <c r="Z1577" s="207"/>
      <c r="AA1577" s="284"/>
      <c r="AB1577" s="284"/>
      <c r="AC1577" s="284"/>
      <c r="AD1577" s="284"/>
      <c r="AE1577" s="284"/>
      <c r="AF1577" s="284"/>
      <c r="AG1577" s="284"/>
      <c r="AI1577" s="131"/>
    </row>
    <row r="1578" spans="1:35" ht="26.4">
      <c r="A1578" s="284"/>
      <c r="B1578" s="284"/>
      <c r="C1578" s="284"/>
      <c r="D1578" s="284"/>
      <c r="E1578" s="284"/>
      <c r="F1578" s="284"/>
      <c r="G1578" s="284"/>
      <c r="H1578" s="284"/>
      <c r="I1578" s="284"/>
      <c r="J1578" s="375"/>
      <c r="K1578" s="375"/>
      <c r="L1578" s="375"/>
      <c r="M1578" s="368"/>
      <c r="N1578" s="368"/>
      <c r="O1578" s="370"/>
      <c r="T1578" s="349"/>
      <c r="V1578" s="378"/>
      <c r="W1578" s="64" ph="1"/>
      <c r="X1578" s="241"/>
      <c r="Y1578" s="284"/>
      <c r="Z1578" s="207"/>
      <c r="AA1578" s="284"/>
      <c r="AB1578" s="284"/>
      <c r="AC1578" s="284"/>
      <c r="AD1578" s="284"/>
      <c r="AE1578" s="284"/>
      <c r="AF1578" s="284"/>
      <c r="AG1578" s="284"/>
      <c r="AI1578" s="131"/>
    </row>
    <row r="1579" spans="1:35" ht="26.4">
      <c r="A1579" s="284"/>
      <c r="B1579" s="284"/>
      <c r="C1579" s="284"/>
      <c r="D1579" s="284"/>
      <c r="E1579" s="284"/>
      <c r="F1579" s="284"/>
      <c r="G1579" s="284"/>
      <c r="H1579" s="284"/>
      <c r="I1579" s="284"/>
      <c r="J1579" s="375"/>
      <c r="K1579" s="375"/>
      <c r="L1579" s="375"/>
      <c r="M1579" s="368"/>
      <c r="N1579" s="368"/>
      <c r="O1579" s="370"/>
      <c r="T1579" s="349"/>
      <c r="V1579" s="378"/>
      <c r="W1579" s="64" ph="1"/>
      <c r="X1579" s="241"/>
      <c r="Y1579" s="284"/>
      <c r="Z1579" s="207"/>
      <c r="AA1579" s="284"/>
      <c r="AB1579" s="284"/>
      <c r="AC1579" s="284"/>
      <c r="AD1579" s="284"/>
      <c r="AE1579" s="284"/>
      <c r="AF1579" s="284"/>
      <c r="AG1579" s="284"/>
      <c r="AI1579" s="131"/>
    </row>
    <row r="1580" spans="1:35" ht="26.4">
      <c r="A1580" s="284"/>
      <c r="B1580" s="284"/>
      <c r="C1580" s="284"/>
      <c r="D1580" s="284"/>
      <c r="E1580" s="284"/>
      <c r="F1580" s="284"/>
      <c r="G1580" s="284"/>
      <c r="H1580" s="284"/>
      <c r="I1580" s="284"/>
      <c r="J1580" s="375"/>
      <c r="K1580" s="375"/>
      <c r="L1580" s="375"/>
      <c r="M1580" s="368"/>
      <c r="N1580" s="368"/>
      <c r="O1580" s="370"/>
      <c r="T1580" s="349"/>
      <c r="V1580" s="378"/>
      <c r="W1580" s="64" ph="1"/>
      <c r="X1580" s="241"/>
      <c r="Y1580" s="284"/>
      <c r="Z1580" s="207"/>
      <c r="AA1580" s="284"/>
      <c r="AB1580" s="284"/>
      <c r="AC1580" s="284"/>
      <c r="AD1580" s="284"/>
      <c r="AE1580" s="284"/>
      <c r="AF1580" s="284"/>
      <c r="AG1580" s="284"/>
      <c r="AI1580" s="131"/>
    </row>
    <row r="1581" spans="1:35" ht="26.4">
      <c r="A1581" s="284"/>
      <c r="B1581" s="284"/>
      <c r="C1581" s="284"/>
      <c r="D1581" s="284"/>
      <c r="E1581" s="284"/>
      <c r="F1581" s="284"/>
      <c r="G1581" s="284"/>
      <c r="H1581" s="284"/>
      <c r="I1581" s="284"/>
      <c r="J1581" s="375"/>
      <c r="K1581" s="375"/>
      <c r="L1581" s="375"/>
      <c r="M1581" s="368"/>
      <c r="N1581" s="368"/>
      <c r="O1581" s="370"/>
      <c r="T1581" s="349"/>
      <c r="V1581" s="378"/>
      <c r="W1581" s="64" ph="1"/>
      <c r="X1581" s="241"/>
      <c r="Y1581" s="284"/>
      <c r="Z1581" s="207"/>
      <c r="AA1581" s="284"/>
      <c r="AB1581" s="284"/>
      <c r="AC1581" s="284"/>
      <c r="AD1581" s="284"/>
      <c r="AE1581" s="284"/>
      <c r="AF1581" s="284"/>
      <c r="AG1581" s="284"/>
      <c r="AI1581" s="131"/>
    </row>
    <row r="1582" spans="1:35" ht="26.4">
      <c r="A1582" s="284"/>
      <c r="B1582" s="284"/>
      <c r="C1582" s="284"/>
      <c r="D1582" s="284"/>
      <c r="E1582" s="284"/>
      <c r="F1582" s="284"/>
      <c r="G1582" s="284"/>
      <c r="H1582" s="284"/>
      <c r="I1582" s="284"/>
      <c r="J1582" s="375"/>
      <c r="K1582" s="375"/>
      <c r="L1582" s="375"/>
      <c r="M1582" s="368"/>
      <c r="N1582" s="368"/>
      <c r="O1582" s="370"/>
      <c r="T1582" s="349"/>
      <c r="V1582" s="378"/>
      <c r="W1582" s="64" ph="1"/>
      <c r="X1582" s="241"/>
      <c r="Y1582" s="284"/>
      <c r="Z1582" s="207"/>
      <c r="AA1582" s="284"/>
      <c r="AB1582" s="284"/>
      <c r="AC1582" s="284"/>
      <c r="AD1582" s="284"/>
      <c r="AE1582" s="284"/>
      <c r="AF1582" s="284"/>
      <c r="AG1582" s="284"/>
      <c r="AI1582" s="131"/>
    </row>
    <row r="1583" spans="1:35" ht="26.4">
      <c r="A1583" s="284"/>
      <c r="B1583" s="284"/>
      <c r="C1583" s="284"/>
      <c r="D1583" s="284"/>
      <c r="E1583" s="284"/>
      <c r="F1583" s="284"/>
      <c r="G1583" s="284"/>
      <c r="H1583" s="284"/>
      <c r="I1583" s="284"/>
      <c r="J1583" s="375"/>
      <c r="K1583" s="375"/>
      <c r="L1583" s="375"/>
      <c r="M1583" s="368"/>
      <c r="N1583" s="368"/>
      <c r="O1583" s="370"/>
      <c r="T1583" s="349"/>
      <c r="V1583" s="378"/>
      <c r="W1583" s="64" ph="1"/>
      <c r="X1583" s="241"/>
      <c r="Y1583" s="284"/>
      <c r="Z1583" s="207"/>
      <c r="AA1583" s="284"/>
      <c r="AB1583" s="284"/>
      <c r="AC1583" s="284"/>
      <c r="AD1583" s="284"/>
      <c r="AE1583" s="284"/>
      <c r="AF1583" s="284"/>
      <c r="AG1583" s="284"/>
      <c r="AI1583" s="131"/>
    </row>
    <row r="1584" spans="1:35" ht="26.4">
      <c r="A1584" s="284"/>
      <c r="B1584" s="284"/>
      <c r="C1584" s="284"/>
      <c r="D1584" s="284"/>
      <c r="E1584" s="284"/>
      <c r="F1584" s="284"/>
      <c r="G1584" s="284"/>
      <c r="H1584" s="284"/>
      <c r="I1584" s="284"/>
      <c r="J1584" s="375"/>
      <c r="K1584" s="375"/>
      <c r="L1584" s="375"/>
      <c r="M1584" s="368"/>
      <c r="N1584" s="368"/>
      <c r="O1584" s="370"/>
      <c r="T1584" s="349"/>
      <c r="V1584" s="378"/>
      <c r="W1584" s="64" ph="1"/>
      <c r="X1584" s="241"/>
      <c r="Y1584" s="284"/>
      <c r="Z1584" s="207"/>
      <c r="AA1584" s="284"/>
      <c r="AB1584" s="284"/>
      <c r="AC1584" s="284"/>
      <c r="AD1584" s="284"/>
      <c r="AE1584" s="284"/>
      <c r="AF1584" s="284"/>
      <c r="AG1584" s="284"/>
      <c r="AI1584" s="131"/>
    </row>
    <row r="1585" spans="1:35" ht="26.4">
      <c r="A1585" s="284"/>
      <c r="B1585" s="284"/>
      <c r="C1585" s="284"/>
      <c r="D1585" s="284"/>
      <c r="E1585" s="284"/>
      <c r="F1585" s="284"/>
      <c r="G1585" s="284"/>
      <c r="H1585" s="284"/>
      <c r="I1585" s="284"/>
      <c r="J1585" s="375"/>
      <c r="K1585" s="375"/>
      <c r="L1585" s="375"/>
      <c r="M1585" s="368"/>
      <c r="N1585" s="368"/>
      <c r="O1585" s="370"/>
      <c r="T1585" s="349"/>
      <c r="V1585" s="378"/>
      <c r="W1585" s="64" ph="1"/>
      <c r="X1585" s="241"/>
      <c r="Y1585" s="284"/>
      <c r="Z1585" s="207"/>
      <c r="AA1585" s="284"/>
      <c r="AB1585" s="284"/>
      <c r="AC1585" s="284"/>
      <c r="AD1585" s="284"/>
      <c r="AE1585" s="284"/>
      <c r="AF1585" s="284"/>
      <c r="AG1585" s="284"/>
      <c r="AI1585" s="131"/>
    </row>
    <row r="1586" spans="1:35" ht="26.4">
      <c r="A1586" s="284"/>
      <c r="B1586" s="284"/>
      <c r="C1586" s="284"/>
      <c r="D1586" s="284"/>
      <c r="E1586" s="284"/>
      <c r="F1586" s="284"/>
      <c r="G1586" s="284"/>
      <c r="H1586" s="284"/>
      <c r="I1586" s="284"/>
      <c r="J1586" s="375"/>
      <c r="K1586" s="375"/>
      <c r="L1586" s="375"/>
      <c r="M1586" s="368"/>
      <c r="N1586" s="368"/>
      <c r="O1586" s="370"/>
      <c r="T1586" s="349"/>
      <c r="V1586" s="378"/>
      <c r="W1586" s="64" ph="1"/>
      <c r="X1586" s="241"/>
      <c r="Y1586" s="284"/>
      <c r="Z1586" s="207"/>
      <c r="AA1586" s="284"/>
      <c r="AB1586" s="284"/>
      <c r="AC1586" s="284"/>
      <c r="AD1586" s="284"/>
      <c r="AE1586" s="284"/>
      <c r="AF1586" s="284"/>
      <c r="AG1586" s="284"/>
      <c r="AI1586" s="131"/>
    </row>
    <row r="1587" spans="1:35" ht="26.4">
      <c r="A1587" s="284"/>
      <c r="B1587" s="284"/>
      <c r="C1587" s="284"/>
      <c r="D1587" s="284"/>
      <c r="E1587" s="284"/>
      <c r="F1587" s="284"/>
      <c r="G1587" s="284"/>
      <c r="H1587" s="284"/>
      <c r="I1587" s="284"/>
      <c r="J1587" s="375"/>
      <c r="K1587" s="375"/>
      <c r="L1587" s="375"/>
      <c r="M1587" s="368"/>
      <c r="N1587" s="368"/>
      <c r="O1587" s="370"/>
      <c r="T1587" s="349"/>
      <c r="V1587" s="378"/>
      <c r="W1587" s="64" ph="1"/>
      <c r="X1587" s="241"/>
      <c r="Y1587" s="284"/>
      <c r="Z1587" s="207"/>
      <c r="AA1587" s="284"/>
      <c r="AB1587" s="284"/>
      <c r="AC1587" s="284"/>
      <c r="AD1587" s="284"/>
      <c r="AE1587" s="284"/>
      <c r="AF1587" s="284"/>
      <c r="AG1587" s="284"/>
      <c r="AI1587" s="131"/>
    </row>
    <row r="1588" spans="1:35" ht="26.4">
      <c r="A1588" s="284"/>
      <c r="B1588" s="284"/>
      <c r="C1588" s="284"/>
      <c r="D1588" s="284"/>
      <c r="E1588" s="284"/>
      <c r="F1588" s="284"/>
      <c r="G1588" s="284"/>
      <c r="H1588" s="284"/>
      <c r="I1588" s="284"/>
      <c r="J1588" s="375"/>
      <c r="K1588" s="375"/>
      <c r="L1588" s="375"/>
      <c r="M1588" s="368"/>
      <c r="N1588" s="368"/>
      <c r="O1588" s="370"/>
      <c r="T1588" s="349"/>
      <c r="V1588" s="378"/>
      <c r="W1588" s="64" ph="1"/>
      <c r="X1588" s="241"/>
      <c r="Y1588" s="284"/>
      <c r="Z1588" s="207"/>
      <c r="AA1588" s="284"/>
      <c r="AB1588" s="284"/>
      <c r="AC1588" s="284"/>
      <c r="AD1588" s="284"/>
      <c r="AE1588" s="284"/>
      <c r="AF1588" s="284"/>
      <c r="AG1588" s="284"/>
      <c r="AI1588" s="131"/>
    </row>
    <row r="1589" spans="1:35" ht="26.4">
      <c r="A1589" s="284"/>
      <c r="B1589" s="284"/>
      <c r="C1589" s="284"/>
      <c r="D1589" s="284"/>
      <c r="E1589" s="284"/>
      <c r="F1589" s="284"/>
      <c r="G1589" s="284"/>
      <c r="H1589" s="284"/>
      <c r="I1589" s="284"/>
      <c r="J1589" s="375"/>
      <c r="K1589" s="375"/>
      <c r="L1589" s="375"/>
      <c r="M1589" s="368"/>
      <c r="N1589" s="368"/>
      <c r="O1589" s="370"/>
      <c r="T1589" s="349"/>
      <c r="V1589" s="378"/>
      <c r="W1589" s="64" ph="1"/>
      <c r="X1589" s="241"/>
      <c r="Y1589" s="284"/>
      <c r="Z1589" s="207"/>
      <c r="AA1589" s="284"/>
      <c r="AB1589" s="284"/>
      <c r="AC1589" s="284"/>
      <c r="AD1589" s="284"/>
      <c r="AE1589" s="284"/>
      <c r="AF1589" s="284"/>
      <c r="AG1589" s="284"/>
      <c r="AI1589" s="131"/>
    </row>
    <row r="1590" spans="1:35" ht="26.4">
      <c r="A1590" s="284"/>
      <c r="B1590" s="284"/>
      <c r="C1590" s="284"/>
      <c r="D1590" s="284"/>
      <c r="E1590" s="284"/>
      <c r="F1590" s="284"/>
      <c r="G1590" s="284"/>
      <c r="H1590" s="284"/>
      <c r="I1590" s="284"/>
      <c r="J1590" s="375"/>
      <c r="K1590" s="375"/>
      <c r="L1590" s="375"/>
      <c r="M1590" s="368"/>
      <c r="N1590" s="368"/>
      <c r="O1590" s="370"/>
      <c r="T1590" s="349"/>
      <c r="V1590" s="378"/>
      <c r="W1590" s="64" ph="1"/>
      <c r="X1590" s="241"/>
      <c r="Y1590" s="284"/>
      <c r="Z1590" s="207"/>
      <c r="AA1590" s="284"/>
      <c r="AB1590" s="284"/>
      <c r="AC1590" s="284"/>
      <c r="AD1590" s="284"/>
      <c r="AE1590" s="284"/>
      <c r="AF1590" s="284"/>
      <c r="AG1590" s="284"/>
      <c r="AI1590" s="131"/>
    </row>
    <row r="1591" spans="1:35" ht="26.4">
      <c r="A1591" s="284"/>
      <c r="B1591" s="284"/>
      <c r="C1591" s="284"/>
      <c r="D1591" s="284"/>
      <c r="E1591" s="284"/>
      <c r="F1591" s="284"/>
      <c r="G1591" s="284"/>
      <c r="H1591" s="284"/>
      <c r="I1591" s="284"/>
      <c r="J1591" s="375"/>
      <c r="K1591" s="375"/>
      <c r="L1591" s="375"/>
      <c r="M1591" s="368"/>
      <c r="N1591" s="368"/>
      <c r="O1591" s="370"/>
      <c r="T1591" s="349"/>
      <c r="V1591" s="378"/>
      <c r="W1591" s="64" ph="1"/>
      <c r="X1591" s="241"/>
      <c r="Y1591" s="284"/>
      <c r="Z1591" s="207"/>
      <c r="AA1591" s="284"/>
      <c r="AB1591" s="284"/>
      <c r="AC1591" s="284"/>
      <c r="AD1591" s="284"/>
      <c r="AE1591" s="284"/>
      <c r="AF1591" s="284"/>
      <c r="AG1591" s="284"/>
      <c r="AI1591" s="131"/>
    </row>
    <row r="1592" spans="1:35" ht="26.4">
      <c r="A1592" s="284"/>
      <c r="B1592" s="284"/>
      <c r="C1592" s="284"/>
      <c r="D1592" s="284"/>
      <c r="E1592" s="284"/>
      <c r="F1592" s="284"/>
      <c r="G1592" s="284"/>
      <c r="H1592" s="284"/>
      <c r="I1592" s="284"/>
      <c r="J1592" s="375"/>
      <c r="K1592" s="375"/>
      <c r="L1592" s="375"/>
      <c r="M1592" s="368"/>
      <c r="N1592" s="368"/>
      <c r="O1592" s="370"/>
      <c r="T1592" s="349"/>
      <c r="V1592" s="378"/>
      <c r="W1592" s="64" ph="1"/>
      <c r="X1592" s="241"/>
      <c r="Y1592" s="284"/>
      <c r="Z1592" s="207"/>
      <c r="AA1592" s="284"/>
      <c r="AB1592" s="284"/>
      <c r="AC1592" s="284"/>
      <c r="AD1592" s="284"/>
      <c r="AE1592" s="284"/>
      <c r="AF1592" s="284"/>
      <c r="AG1592" s="284"/>
      <c r="AI1592" s="131"/>
    </row>
    <row r="1593" spans="1:35" ht="26.4">
      <c r="A1593" s="284"/>
      <c r="B1593" s="284"/>
      <c r="C1593" s="284"/>
      <c r="D1593" s="284"/>
      <c r="E1593" s="284"/>
      <c r="F1593" s="284"/>
      <c r="G1593" s="284"/>
      <c r="H1593" s="284"/>
      <c r="I1593" s="284"/>
      <c r="J1593" s="375"/>
      <c r="K1593" s="375"/>
      <c r="L1593" s="375"/>
      <c r="M1593" s="368"/>
      <c r="N1593" s="368"/>
      <c r="O1593" s="370"/>
      <c r="T1593" s="349"/>
      <c r="V1593" s="378"/>
      <c r="W1593" s="64" ph="1"/>
      <c r="X1593" s="241"/>
      <c r="Y1593" s="284"/>
      <c r="Z1593" s="207"/>
      <c r="AA1593" s="284"/>
      <c r="AB1593" s="284"/>
      <c r="AC1593" s="284"/>
      <c r="AD1593" s="284"/>
      <c r="AE1593" s="284"/>
      <c r="AF1593" s="284"/>
      <c r="AG1593" s="284"/>
      <c r="AI1593" s="131"/>
    </row>
    <row r="1594" spans="1:35" ht="26.4">
      <c r="A1594" s="284"/>
      <c r="B1594" s="284"/>
      <c r="C1594" s="284"/>
      <c r="D1594" s="284"/>
      <c r="E1594" s="284"/>
      <c r="F1594" s="284"/>
      <c r="G1594" s="284"/>
      <c r="H1594" s="284"/>
      <c r="I1594" s="284"/>
      <c r="J1594" s="375"/>
      <c r="K1594" s="375"/>
      <c r="L1594" s="375"/>
      <c r="M1594" s="368"/>
      <c r="N1594" s="368"/>
      <c r="O1594" s="370"/>
      <c r="T1594" s="349"/>
      <c r="V1594" s="378"/>
      <c r="W1594" s="64" ph="1"/>
      <c r="X1594" s="241"/>
      <c r="Y1594" s="284"/>
      <c r="Z1594" s="207"/>
      <c r="AA1594" s="284"/>
      <c r="AB1594" s="284"/>
      <c r="AC1594" s="284"/>
      <c r="AD1594" s="284"/>
      <c r="AE1594" s="284"/>
      <c r="AF1594" s="284"/>
      <c r="AG1594" s="284"/>
      <c r="AI1594" s="131"/>
    </row>
    <row r="1595" spans="1:35" ht="26.4">
      <c r="A1595" s="284"/>
      <c r="B1595" s="284"/>
      <c r="C1595" s="284"/>
      <c r="D1595" s="284"/>
      <c r="E1595" s="284"/>
      <c r="F1595" s="284"/>
      <c r="G1595" s="284"/>
      <c r="H1595" s="284"/>
      <c r="I1595" s="284"/>
      <c r="J1595" s="375"/>
      <c r="K1595" s="375"/>
      <c r="L1595" s="375"/>
      <c r="M1595" s="368"/>
      <c r="N1595" s="368"/>
      <c r="O1595" s="370"/>
      <c r="T1595" s="349"/>
      <c r="V1595" s="378"/>
      <c r="W1595" s="64" ph="1"/>
      <c r="X1595" s="241"/>
      <c r="Y1595" s="284"/>
      <c r="Z1595" s="207"/>
      <c r="AA1595" s="284"/>
      <c r="AB1595" s="284"/>
      <c r="AC1595" s="284"/>
      <c r="AD1595" s="284"/>
      <c r="AE1595" s="284"/>
      <c r="AF1595" s="284"/>
      <c r="AG1595" s="284"/>
      <c r="AI1595" s="131"/>
    </row>
    <row r="1596" spans="1:35" ht="26.4">
      <c r="A1596" s="284"/>
      <c r="B1596" s="284"/>
      <c r="C1596" s="284"/>
      <c r="D1596" s="284"/>
      <c r="E1596" s="284"/>
      <c r="F1596" s="284"/>
      <c r="G1596" s="284"/>
      <c r="H1596" s="284"/>
      <c r="I1596" s="284"/>
      <c r="J1596" s="375"/>
      <c r="K1596" s="375"/>
      <c r="L1596" s="375"/>
      <c r="M1596" s="368"/>
      <c r="N1596" s="368"/>
      <c r="O1596" s="370"/>
      <c r="T1596" s="349"/>
      <c r="V1596" s="378"/>
      <c r="W1596" s="64" ph="1"/>
      <c r="X1596" s="241"/>
      <c r="Y1596" s="284"/>
      <c r="Z1596" s="207"/>
      <c r="AA1596" s="284"/>
      <c r="AB1596" s="284"/>
      <c r="AC1596" s="284"/>
      <c r="AD1596" s="284"/>
      <c r="AE1596" s="284"/>
      <c r="AF1596" s="284"/>
      <c r="AG1596" s="284"/>
      <c r="AI1596" s="131"/>
    </row>
    <row r="1597" spans="1:35" ht="26.4">
      <c r="A1597" s="284"/>
      <c r="B1597" s="284"/>
      <c r="C1597" s="284"/>
      <c r="D1597" s="284"/>
      <c r="E1597" s="284"/>
      <c r="F1597" s="284"/>
      <c r="G1597" s="284"/>
      <c r="H1597" s="284"/>
      <c r="I1597" s="284"/>
      <c r="J1597" s="375"/>
      <c r="K1597" s="375"/>
      <c r="L1597" s="375"/>
      <c r="M1597" s="368"/>
      <c r="N1597" s="368"/>
      <c r="O1597" s="370"/>
      <c r="T1597" s="349"/>
      <c r="V1597" s="378"/>
      <c r="W1597" s="64" ph="1"/>
      <c r="X1597" s="241"/>
      <c r="Y1597" s="284"/>
      <c r="Z1597" s="207"/>
      <c r="AA1597" s="284"/>
      <c r="AB1597" s="284"/>
      <c r="AC1597" s="284"/>
      <c r="AD1597" s="284"/>
      <c r="AE1597" s="284"/>
      <c r="AF1597" s="284"/>
      <c r="AG1597" s="284"/>
      <c r="AI1597" s="131"/>
    </row>
    <row r="1598" spans="1:35" ht="26.4">
      <c r="A1598" s="284"/>
      <c r="B1598" s="284"/>
      <c r="C1598" s="284"/>
      <c r="D1598" s="284"/>
      <c r="E1598" s="284"/>
      <c r="F1598" s="284"/>
      <c r="G1598" s="284"/>
      <c r="H1598" s="284"/>
      <c r="I1598" s="284"/>
      <c r="J1598" s="375"/>
      <c r="K1598" s="375"/>
      <c r="L1598" s="375"/>
      <c r="M1598" s="368"/>
      <c r="N1598" s="368"/>
      <c r="O1598" s="370"/>
      <c r="T1598" s="349"/>
      <c r="V1598" s="378"/>
      <c r="W1598" s="64" ph="1"/>
      <c r="X1598" s="241"/>
      <c r="Y1598" s="284"/>
      <c r="Z1598" s="207"/>
      <c r="AA1598" s="284"/>
      <c r="AB1598" s="284"/>
      <c r="AC1598" s="284"/>
      <c r="AD1598" s="284"/>
      <c r="AE1598" s="284"/>
      <c r="AF1598" s="284"/>
      <c r="AG1598" s="284"/>
      <c r="AI1598" s="131"/>
    </row>
    <row r="1599" spans="1:35" ht="26.4">
      <c r="A1599" s="284"/>
      <c r="B1599" s="284"/>
      <c r="C1599" s="284"/>
      <c r="D1599" s="284"/>
      <c r="E1599" s="284"/>
      <c r="F1599" s="284"/>
      <c r="G1599" s="284"/>
      <c r="H1599" s="284"/>
      <c r="I1599" s="284"/>
      <c r="J1599" s="375"/>
      <c r="K1599" s="375"/>
      <c r="L1599" s="375"/>
      <c r="M1599" s="368"/>
      <c r="N1599" s="368"/>
      <c r="O1599" s="370"/>
      <c r="T1599" s="349"/>
      <c r="V1599" s="378"/>
      <c r="W1599" s="64" ph="1"/>
      <c r="X1599" s="241"/>
      <c r="Y1599" s="284"/>
      <c r="Z1599" s="207"/>
      <c r="AA1599" s="284"/>
      <c r="AB1599" s="284"/>
      <c r="AC1599" s="284"/>
      <c r="AD1599" s="284"/>
      <c r="AE1599" s="284"/>
      <c r="AF1599" s="284"/>
      <c r="AG1599" s="284"/>
      <c r="AI1599" s="131"/>
    </row>
    <row r="1600" spans="1:35" ht="26.4">
      <c r="A1600" s="284"/>
      <c r="B1600" s="284"/>
      <c r="C1600" s="284"/>
      <c r="D1600" s="284"/>
      <c r="E1600" s="284"/>
      <c r="F1600" s="284"/>
      <c r="G1600" s="284"/>
      <c r="H1600" s="284"/>
      <c r="I1600" s="284"/>
      <c r="J1600" s="375"/>
      <c r="K1600" s="375"/>
      <c r="L1600" s="375"/>
      <c r="M1600" s="368"/>
      <c r="N1600" s="368"/>
      <c r="O1600" s="370"/>
      <c r="T1600" s="349"/>
      <c r="V1600" s="378"/>
      <c r="W1600" s="64" ph="1"/>
      <c r="X1600" s="241"/>
      <c r="Y1600" s="284"/>
      <c r="Z1600" s="207"/>
      <c r="AA1600" s="284"/>
      <c r="AB1600" s="284"/>
      <c r="AC1600" s="284"/>
      <c r="AD1600" s="284"/>
      <c r="AE1600" s="284"/>
      <c r="AF1600" s="284"/>
      <c r="AG1600" s="284"/>
      <c r="AI1600" s="131"/>
    </row>
    <row r="1601" spans="1:35" ht="26.4">
      <c r="A1601" s="284"/>
      <c r="B1601" s="284"/>
      <c r="C1601" s="284"/>
      <c r="D1601" s="284"/>
      <c r="E1601" s="284"/>
      <c r="F1601" s="284"/>
      <c r="G1601" s="284"/>
      <c r="H1601" s="284"/>
      <c r="I1601" s="284"/>
      <c r="J1601" s="375"/>
      <c r="K1601" s="375"/>
      <c r="L1601" s="375"/>
      <c r="M1601" s="368"/>
      <c r="N1601" s="368"/>
      <c r="O1601" s="370"/>
      <c r="T1601" s="349"/>
      <c r="V1601" s="378"/>
      <c r="W1601" s="64" ph="1"/>
      <c r="X1601" s="241"/>
      <c r="Y1601" s="284"/>
      <c r="Z1601" s="207"/>
      <c r="AA1601" s="284"/>
      <c r="AB1601" s="284"/>
      <c r="AC1601" s="284"/>
      <c r="AD1601" s="284"/>
      <c r="AE1601" s="284"/>
      <c r="AF1601" s="284"/>
      <c r="AG1601" s="284"/>
      <c r="AI1601" s="131"/>
    </row>
    <row r="1602" spans="1:35" ht="26.4">
      <c r="A1602" s="284"/>
      <c r="B1602" s="284"/>
      <c r="C1602" s="284"/>
      <c r="D1602" s="284"/>
      <c r="E1602" s="284"/>
      <c r="F1602" s="284"/>
      <c r="G1602" s="284"/>
      <c r="H1602" s="284"/>
      <c r="I1602" s="284"/>
      <c r="J1602" s="375"/>
      <c r="K1602" s="375"/>
      <c r="L1602" s="375"/>
      <c r="M1602" s="368"/>
      <c r="N1602" s="368"/>
      <c r="O1602" s="370"/>
      <c r="T1602" s="349"/>
      <c r="V1602" s="378"/>
      <c r="W1602" s="64" ph="1"/>
      <c r="X1602" s="241"/>
      <c r="Y1602" s="284"/>
      <c r="Z1602" s="207"/>
      <c r="AA1602" s="284"/>
      <c r="AB1602" s="284"/>
      <c r="AC1602" s="284"/>
      <c r="AD1602" s="284"/>
      <c r="AE1602" s="284"/>
      <c r="AF1602" s="284"/>
      <c r="AG1602" s="284"/>
      <c r="AI1602" s="131"/>
    </row>
    <row r="1603" spans="1:35" ht="26.4">
      <c r="A1603" s="284"/>
      <c r="B1603" s="284"/>
      <c r="C1603" s="284"/>
      <c r="D1603" s="284"/>
      <c r="E1603" s="284"/>
      <c r="F1603" s="284"/>
      <c r="G1603" s="284"/>
      <c r="H1603" s="284"/>
      <c r="I1603" s="284"/>
      <c r="J1603" s="375"/>
      <c r="K1603" s="375"/>
      <c r="L1603" s="375"/>
      <c r="M1603" s="368"/>
      <c r="N1603" s="368"/>
      <c r="O1603" s="370"/>
      <c r="T1603" s="349"/>
      <c r="V1603" s="378"/>
      <c r="W1603" s="64" ph="1"/>
      <c r="X1603" s="241"/>
      <c r="Y1603" s="284"/>
      <c r="Z1603" s="207"/>
      <c r="AA1603" s="284"/>
      <c r="AB1603" s="284"/>
      <c r="AC1603" s="284"/>
      <c r="AD1603" s="284"/>
      <c r="AE1603" s="284"/>
      <c r="AF1603" s="284"/>
      <c r="AG1603" s="284"/>
      <c r="AI1603" s="131"/>
    </row>
    <row r="1604" spans="1:35" ht="26.4">
      <c r="A1604" s="284"/>
      <c r="B1604" s="284"/>
      <c r="C1604" s="284"/>
      <c r="D1604" s="284"/>
      <c r="E1604" s="284"/>
      <c r="F1604" s="284"/>
      <c r="G1604" s="284"/>
      <c r="H1604" s="284"/>
      <c r="I1604" s="284"/>
      <c r="J1604" s="375"/>
      <c r="K1604" s="375"/>
      <c r="L1604" s="375"/>
      <c r="M1604" s="368"/>
      <c r="N1604" s="368"/>
      <c r="O1604" s="370"/>
      <c r="T1604" s="349"/>
      <c r="V1604" s="378"/>
      <c r="W1604" s="64" ph="1"/>
      <c r="X1604" s="241"/>
      <c r="Y1604" s="284"/>
      <c r="Z1604" s="207"/>
      <c r="AA1604" s="284"/>
      <c r="AB1604" s="284"/>
      <c r="AC1604" s="284"/>
      <c r="AD1604" s="284"/>
      <c r="AE1604" s="284"/>
      <c r="AF1604" s="284"/>
      <c r="AG1604" s="284"/>
      <c r="AI1604" s="131"/>
    </row>
    <row r="1605" spans="1:35" ht="26.4">
      <c r="A1605" s="284"/>
      <c r="B1605" s="284"/>
      <c r="C1605" s="284"/>
      <c r="D1605" s="284"/>
      <c r="E1605" s="284"/>
      <c r="F1605" s="284"/>
      <c r="G1605" s="284"/>
      <c r="H1605" s="284"/>
      <c r="I1605" s="284"/>
      <c r="J1605" s="375"/>
      <c r="K1605" s="375"/>
      <c r="L1605" s="375"/>
      <c r="M1605" s="368"/>
      <c r="N1605" s="368"/>
      <c r="O1605" s="370"/>
      <c r="T1605" s="349"/>
      <c r="V1605" s="378"/>
      <c r="W1605" s="64" ph="1"/>
      <c r="X1605" s="241"/>
      <c r="Y1605" s="284"/>
      <c r="Z1605" s="207"/>
      <c r="AA1605" s="284"/>
      <c r="AB1605" s="284"/>
      <c r="AC1605" s="284"/>
      <c r="AD1605" s="284"/>
      <c r="AE1605" s="284"/>
      <c r="AF1605" s="284"/>
      <c r="AG1605" s="284"/>
      <c r="AI1605" s="131"/>
    </row>
    <row r="1606" spans="1:35" ht="26.4">
      <c r="A1606" s="284"/>
      <c r="B1606" s="284"/>
      <c r="C1606" s="284"/>
      <c r="D1606" s="284"/>
      <c r="E1606" s="284"/>
      <c r="F1606" s="284"/>
      <c r="G1606" s="284"/>
      <c r="H1606" s="284"/>
      <c r="I1606" s="284"/>
      <c r="J1606" s="375"/>
      <c r="K1606" s="375"/>
      <c r="L1606" s="375"/>
      <c r="M1606" s="368"/>
      <c r="N1606" s="368"/>
      <c r="O1606" s="370"/>
      <c r="T1606" s="349"/>
      <c r="V1606" s="378"/>
      <c r="W1606" s="64" ph="1"/>
      <c r="X1606" s="241"/>
      <c r="Y1606" s="284"/>
      <c r="Z1606" s="207"/>
      <c r="AA1606" s="284"/>
      <c r="AB1606" s="284"/>
      <c r="AC1606" s="284"/>
      <c r="AD1606" s="284"/>
      <c r="AE1606" s="284"/>
      <c r="AF1606" s="284"/>
      <c r="AG1606" s="284"/>
      <c r="AI1606" s="131"/>
    </row>
    <row r="1607" spans="1:35" ht="26.4">
      <c r="A1607" s="284"/>
      <c r="B1607" s="284"/>
      <c r="C1607" s="284"/>
      <c r="D1607" s="284"/>
      <c r="E1607" s="284"/>
      <c r="F1607" s="284"/>
      <c r="G1607" s="284"/>
      <c r="H1607" s="284"/>
      <c r="I1607" s="284"/>
      <c r="J1607" s="375"/>
      <c r="K1607" s="375"/>
      <c r="L1607" s="375"/>
      <c r="M1607" s="368"/>
      <c r="N1607" s="368"/>
      <c r="O1607" s="370"/>
      <c r="T1607" s="349"/>
      <c r="V1607" s="378"/>
      <c r="W1607" s="64" ph="1"/>
      <c r="X1607" s="241"/>
      <c r="Y1607" s="284"/>
      <c r="Z1607" s="207"/>
      <c r="AA1607" s="284"/>
      <c r="AB1607" s="284"/>
      <c r="AC1607" s="284"/>
      <c r="AD1607" s="284"/>
      <c r="AE1607" s="284"/>
      <c r="AF1607" s="284"/>
      <c r="AG1607" s="284"/>
      <c r="AI1607" s="284"/>
    </row>
    <row r="1608" spans="1:35" ht="26.4">
      <c r="A1608" s="284"/>
      <c r="B1608" s="284"/>
      <c r="C1608" s="284"/>
      <c r="D1608" s="284"/>
      <c r="E1608" s="284"/>
      <c r="F1608" s="284"/>
      <c r="G1608" s="284"/>
      <c r="H1608" s="284"/>
      <c r="I1608" s="284"/>
      <c r="J1608" s="375"/>
      <c r="K1608" s="375"/>
      <c r="L1608" s="375"/>
      <c r="M1608" s="368"/>
      <c r="N1608" s="368"/>
      <c r="O1608" s="370"/>
      <c r="T1608" s="349"/>
      <c r="V1608" s="378"/>
      <c r="W1608" s="64" ph="1"/>
      <c r="X1608" s="241"/>
      <c r="Y1608" s="284"/>
      <c r="Z1608" s="207"/>
      <c r="AA1608" s="284"/>
      <c r="AB1608" s="284"/>
      <c r="AC1608" s="284"/>
      <c r="AD1608" s="284"/>
      <c r="AE1608" s="284"/>
      <c r="AF1608" s="284"/>
      <c r="AG1608" s="284"/>
      <c r="AI1608" s="284"/>
    </row>
    <row r="1609" spans="1:35" ht="26.4">
      <c r="A1609" s="284"/>
      <c r="B1609" s="284"/>
      <c r="C1609" s="284"/>
      <c r="D1609" s="284"/>
      <c r="E1609" s="284"/>
      <c r="F1609" s="284"/>
      <c r="G1609" s="284"/>
      <c r="H1609" s="284"/>
      <c r="I1609" s="284"/>
      <c r="J1609" s="375"/>
      <c r="K1609" s="375"/>
      <c r="L1609" s="375"/>
      <c r="M1609" s="368"/>
      <c r="N1609" s="368"/>
      <c r="O1609" s="370"/>
      <c r="T1609" s="349"/>
      <c r="V1609" s="378"/>
      <c r="W1609" s="64" ph="1"/>
      <c r="X1609" s="241"/>
      <c r="Y1609" s="284"/>
      <c r="Z1609" s="207"/>
      <c r="AA1609" s="284"/>
      <c r="AB1609" s="284"/>
      <c r="AC1609" s="284"/>
      <c r="AD1609" s="284"/>
      <c r="AE1609" s="284"/>
      <c r="AF1609" s="284"/>
      <c r="AG1609" s="284"/>
      <c r="AI1609" s="131"/>
    </row>
    <row r="1610" spans="1:35" ht="26.4">
      <c r="A1610" s="284"/>
      <c r="B1610" s="284"/>
      <c r="C1610" s="284"/>
      <c r="D1610" s="284"/>
      <c r="E1610" s="284"/>
      <c r="F1610" s="284"/>
      <c r="G1610" s="284"/>
      <c r="H1610" s="284"/>
      <c r="I1610" s="284"/>
      <c r="J1610" s="375"/>
      <c r="K1610" s="375"/>
      <c r="L1610" s="375"/>
      <c r="M1610" s="368"/>
      <c r="N1610" s="368"/>
      <c r="O1610" s="370"/>
      <c r="T1610" s="349"/>
      <c r="V1610" s="378"/>
      <c r="W1610" s="64" ph="1"/>
      <c r="X1610" s="241"/>
      <c r="Y1610" s="284"/>
      <c r="Z1610" s="207"/>
      <c r="AA1610" s="284"/>
      <c r="AB1610" s="284"/>
      <c r="AC1610" s="284"/>
      <c r="AD1610" s="284"/>
      <c r="AE1610" s="284"/>
      <c r="AF1610" s="284"/>
      <c r="AG1610" s="284"/>
      <c r="AI1610" s="131"/>
    </row>
    <row r="1611" spans="1:35" ht="26.4">
      <c r="A1611" s="284"/>
      <c r="B1611" s="284"/>
      <c r="C1611" s="284"/>
      <c r="D1611" s="284"/>
      <c r="E1611" s="284"/>
      <c r="F1611" s="284"/>
      <c r="G1611" s="284"/>
      <c r="H1611" s="284"/>
      <c r="I1611" s="284"/>
      <c r="J1611" s="375"/>
      <c r="K1611" s="375"/>
      <c r="L1611" s="375"/>
      <c r="M1611" s="368"/>
      <c r="N1611" s="368"/>
      <c r="O1611" s="370"/>
      <c r="T1611" s="349"/>
      <c r="V1611" s="378"/>
      <c r="W1611" s="64" ph="1"/>
      <c r="X1611" s="241"/>
      <c r="Y1611" s="284"/>
      <c r="Z1611" s="207"/>
      <c r="AA1611" s="284"/>
      <c r="AB1611" s="284"/>
      <c r="AC1611" s="284"/>
      <c r="AD1611" s="284"/>
      <c r="AE1611" s="284"/>
      <c r="AF1611" s="284"/>
      <c r="AG1611" s="284"/>
      <c r="AI1611" s="131"/>
    </row>
    <row r="1612" spans="1:35" ht="26.4">
      <c r="A1612" s="284"/>
      <c r="B1612" s="284"/>
      <c r="C1612" s="284"/>
      <c r="D1612" s="284"/>
      <c r="E1612" s="284"/>
      <c r="F1612" s="284"/>
      <c r="G1612" s="284"/>
      <c r="H1612" s="284"/>
      <c r="I1612" s="284"/>
      <c r="J1612" s="375"/>
      <c r="K1612" s="375"/>
      <c r="L1612" s="375"/>
      <c r="M1612" s="368"/>
      <c r="N1612" s="368"/>
      <c r="O1612" s="370"/>
      <c r="T1612" s="349"/>
      <c r="V1612" s="378"/>
      <c r="W1612" s="64" ph="1"/>
      <c r="X1612" s="241"/>
      <c r="Y1612" s="284"/>
      <c r="Z1612" s="207"/>
      <c r="AA1612" s="284"/>
      <c r="AB1612" s="284"/>
      <c r="AC1612" s="284"/>
      <c r="AD1612" s="284"/>
      <c r="AE1612" s="284"/>
      <c r="AF1612" s="284"/>
      <c r="AG1612" s="284"/>
      <c r="AI1612" s="131"/>
    </row>
    <row r="1613" spans="1:35" ht="26.4">
      <c r="A1613" s="284"/>
      <c r="B1613" s="284"/>
      <c r="C1613" s="284"/>
      <c r="D1613" s="284"/>
      <c r="E1613" s="284"/>
      <c r="F1613" s="284"/>
      <c r="G1613" s="284"/>
      <c r="H1613" s="284"/>
      <c r="I1613" s="284"/>
      <c r="J1613" s="375"/>
      <c r="K1613" s="375"/>
      <c r="L1613" s="375"/>
      <c r="M1613" s="368"/>
      <c r="N1613" s="368"/>
      <c r="O1613" s="370"/>
      <c r="T1613" s="349"/>
      <c r="V1613" s="378"/>
      <c r="W1613" s="64" ph="1"/>
      <c r="X1613" s="241"/>
      <c r="Y1613" s="284"/>
      <c r="Z1613" s="207"/>
      <c r="AA1613" s="284"/>
      <c r="AB1613" s="284"/>
      <c r="AC1613" s="284"/>
      <c r="AD1613" s="284"/>
      <c r="AE1613" s="284"/>
      <c r="AF1613" s="284"/>
      <c r="AG1613" s="284"/>
      <c r="AI1613" s="131"/>
    </row>
    <row r="1614" spans="1:35" ht="26.4">
      <c r="A1614" s="284"/>
      <c r="B1614" s="284"/>
      <c r="C1614" s="284"/>
      <c r="D1614" s="284"/>
      <c r="E1614" s="284"/>
      <c r="F1614" s="284"/>
      <c r="G1614" s="284"/>
      <c r="H1614" s="284"/>
      <c r="I1614" s="284"/>
      <c r="J1614" s="375"/>
      <c r="K1614" s="375"/>
      <c r="L1614" s="375"/>
      <c r="M1614" s="368"/>
      <c r="N1614" s="368"/>
      <c r="O1614" s="370"/>
      <c r="T1614" s="349"/>
      <c r="V1614" s="378"/>
      <c r="W1614" s="64" ph="1"/>
      <c r="X1614" s="241"/>
      <c r="Y1614" s="284"/>
      <c r="Z1614" s="207"/>
      <c r="AA1614" s="284"/>
      <c r="AB1614" s="284"/>
      <c r="AC1614" s="284"/>
      <c r="AD1614" s="284"/>
      <c r="AE1614" s="284"/>
      <c r="AF1614" s="284"/>
      <c r="AG1614" s="284"/>
      <c r="AI1614" s="131"/>
    </row>
    <row r="1615" spans="1:35" ht="26.4">
      <c r="A1615" s="284"/>
      <c r="B1615" s="284"/>
      <c r="C1615" s="284"/>
      <c r="D1615" s="284"/>
      <c r="E1615" s="284"/>
      <c r="F1615" s="284"/>
      <c r="G1615" s="284"/>
      <c r="H1615" s="284"/>
      <c r="I1615" s="284"/>
      <c r="J1615" s="375"/>
      <c r="K1615" s="375"/>
      <c r="L1615" s="375"/>
      <c r="M1615" s="368"/>
      <c r="N1615" s="368"/>
      <c r="O1615" s="370"/>
      <c r="T1615" s="349"/>
      <c r="V1615" s="378"/>
      <c r="W1615" s="64" ph="1"/>
      <c r="X1615" s="241"/>
      <c r="Y1615" s="284"/>
      <c r="Z1615" s="207"/>
      <c r="AA1615" s="284"/>
      <c r="AB1615" s="284"/>
      <c r="AC1615" s="284"/>
      <c r="AD1615" s="284"/>
      <c r="AE1615" s="284"/>
      <c r="AF1615" s="284"/>
      <c r="AG1615" s="284"/>
      <c r="AI1615" s="131"/>
    </row>
    <row r="1616" spans="1:35" ht="26.4">
      <c r="A1616" s="284"/>
      <c r="B1616" s="284"/>
      <c r="C1616" s="284"/>
      <c r="D1616" s="284"/>
      <c r="E1616" s="284"/>
      <c r="F1616" s="284"/>
      <c r="G1616" s="284"/>
      <c r="H1616" s="284"/>
      <c r="I1616" s="284"/>
      <c r="J1616" s="375"/>
      <c r="K1616" s="375"/>
      <c r="L1616" s="375"/>
      <c r="M1616" s="368"/>
      <c r="N1616" s="368"/>
      <c r="O1616" s="370"/>
      <c r="T1616" s="349"/>
      <c r="V1616" s="378"/>
      <c r="W1616" s="64" ph="1"/>
      <c r="X1616" s="241"/>
      <c r="Y1616" s="284"/>
      <c r="Z1616" s="207"/>
      <c r="AA1616" s="284"/>
      <c r="AB1616" s="284"/>
      <c r="AC1616" s="284"/>
      <c r="AD1616" s="284"/>
      <c r="AE1616" s="284"/>
      <c r="AF1616" s="284"/>
      <c r="AG1616" s="284"/>
      <c r="AI1616" s="131"/>
    </row>
    <row r="1617" spans="1:35" ht="26.4">
      <c r="A1617" s="284"/>
      <c r="B1617" s="284"/>
      <c r="C1617" s="284"/>
      <c r="D1617" s="284"/>
      <c r="E1617" s="284"/>
      <c r="F1617" s="284"/>
      <c r="G1617" s="284"/>
      <c r="H1617" s="284"/>
      <c r="I1617" s="284"/>
      <c r="J1617" s="375"/>
      <c r="K1617" s="375"/>
      <c r="L1617" s="375"/>
      <c r="M1617" s="368"/>
      <c r="N1617" s="368"/>
      <c r="O1617" s="370"/>
      <c r="T1617" s="349"/>
      <c r="V1617" s="378"/>
      <c r="W1617" s="64" ph="1"/>
      <c r="X1617" s="241"/>
      <c r="Y1617" s="284"/>
      <c r="Z1617" s="207"/>
      <c r="AA1617" s="284"/>
      <c r="AB1617" s="284"/>
      <c r="AC1617" s="284"/>
      <c r="AD1617" s="284"/>
      <c r="AE1617" s="284"/>
      <c r="AF1617" s="284"/>
      <c r="AG1617" s="284"/>
      <c r="AI1617" s="284"/>
    </row>
    <row r="1618" spans="1:35" ht="26.4">
      <c r="A1618" s="284"/>
      <c r="B1618" s="284"/>
      <c r="C1618" s="284"/>
      <c r="D1618" s="284"/>
      <c r="E1618" s="284"/>
      <c r="F1618" s="284"/>
      <c r="G1618" s="284"/>
      <c r="H1618" s="284"/>
      <c r="I1618" s="284"/>
      <c r="J1618" s="375"/>
      <c r="K1618" s="375"/>
      <c r="L1618" s="375"/>
      <c r="M1618" s="368"/>
      <c r="N1618" s="368"/>
      <c r="O1618" s="370"/>
      <c r="T1618" s="349"/>
      <c r="V1618" s="378"/>
      <c r="W1618" s="64" ph="1"/>
      <c r="X1618" s="241"/>
      <c r="Y1618" s="284"/>
      <c r="Z1618" s="207"/>
      <c r="AA1618" s="284"/>
      <c r="AB1618" s="284"/>
      <c r="AC1618" s="284"/>
      <c r="AD1618" s="284"/>
      <c r="AE1618" s="284"/>
      <c r="AF1618" s="284"/>
      <c r="AG1618" s="284"/>
      <c r="AI1618" s="131"/>
    </row>
    <row r="1619" spans="1:35" ht="26.4">
      <c r="A1619" s="284"/>
      <c r="B1619" s="284"/>
      <c r="C1619" s="284"/>
      <c r="D1619" s="284"/>
      <c r="E1619" s="284"/>
      <c r="F1619" s="284"/>
      <c r="G1619" s="284"/>
      <c r="H1619" s="284"/>
      <c r="I1619" s="284"/>
      <c r="J1619" s="375"/>
      <c r="K1619" s="375"/>
      <c r="L1619" s="375"/>
      <c r="M1619" s="368"/>
      <c r="N1619" s="368"/>
      <c r="O1619" s="370"/>
      <c r="T1619" s="349"/>
      <c r="V1619" s="378"/>
      <c r="W1619" s="64" ph="1"/>
      <c r="X1619" s="241"/>
      <c r="Y1619" s="284"/>
      <c r="Z1619" s="207"/>
      <c r="AA1619" s="284"/>
      <c r="AB1619" s="284"/>
      <c r="AC1619" s="284"/>
      <c r="AD1619" s="284"/>
      <c r="AE1619" s="284"/>
      <c r="AF1619" s="284"/>
      <c r="AG1619" s="284"/>
      <c r="AI1619" s="131"/>
    </row>
    <row r="1620" spans="1:35" ht="26.4">
      <c r="A1620" s="284"/>
      <c r="B1620" s="284"/>
      <c r="C1620" s="284"/>
      <c r="D1620" s="284"/>
      <c r="E1620" s="284"/>
      <c r="F1620" s="284"/>
      <c r="G1620" s="284"/>
      <c r="H1620" s="284"/>
      <c r="I1620" s="284"/>
      <c r="J1620" s="375"/>
      <c r="K1620" s="375"/>
      <c r="L1620" s="375"/>
      <c r="M1620" s="368"/>
      <c r="N1620" s="368"/>
      <c r="O1620" s="370"/>
      <c r="T1620" s="349"/>
      <c r="V1620" s="378"/>
      <c r="W1620" s="64" ph="1"/>
      <c r="X1620" s="241"/>
      <c r="Y1620" s="284"/>
      <c r="Z1620" s="207"/>
      <c r="AA1620" s="284"/>
      <c r="AB1620" s="284"/>
      <c r="AC1620" s="284"/>
      <c r="AD1620" s="284"/>
      <c r="AE1620" s="284"/>
      <c r="AF1620" s="284"/>
      <c r="AG1620" s="284"/>
      <c r="AI1620" s="131"/>
    </row>
    <row r="1621" spans="1:35" ht="26.4">
      <c r="A1621" s="284"/>
      <c r="B1621" s="284"/>
      <c r="C1621" s="284"/>
      <c r="D1621" s="284"/>
      <c r="E1621" s="284"/>
      <c r="F1621" s="284"/>
      <c r="G1621" s="284"/>
      <c r="H1621" s="284"/>
      <c r="I1621" s="284"/>
      <c r="J1621" s="375"/>
      <c r="K1621" s="375"/>
      <c r="L1621" s="375"/>
      <c r="M1621" s="368"/>
      <c r="N1621" s="368"/>
      <c r="O1621" s="370"/>
      <c r="T1621" s="349"/>
      <c r="V1621" s="378"/>
      <c r="W1621" s="64" ph="1"/>
      <c r="X1621" s="241"/>
      <c r="Y1621" s="284"/>
      <c r="Z1621" s="207"/>
      <c r="AA1621" s="284"/>
      <c r="AB1621" s="284"/>
      <c r="AC1621" s="284"/>
      <c r="AD1621" s="284"/>
      <c r="AE1621" s="284"/>
      <c r="AF1621" s="284"/>
      <c r="AG1621" s="284"/>
      <c r="AI1621" s="131"/>
    </row>
    <row r="1622" spans="1:35" ht="26.4">
      <c r="A1622" s="284"/>
      <c r="B1622" s="284"/>
      <c r="C1622" s="284"/>
      <c r="D1622" s="284"/>
      <c r="E1622" s="284"/>
      <c r="F1622" s="284"/>
      <c r="G1622" s="284"/>
      <c r="H1622" s="284"/>
      <c r="I1622" s="284"/>
      <c r="J1622" s="375"/>
      <c r="K1622" s="375"/>
      <c r="L1622" s="375"/>
      <c r="M1622" s="368"/>
      <c r="N1622" s="368"/>
      <c r="O1622" s="370"/>
      <c r="T1622" s="349"/>
      <c r="V1622" s="378"/>
      <c r="W1622" s="64" ph="1"/>
      <c r="X1622" s="241"/>
      <c r="Y1622" s="284"/>
      <c r="Z1622" s="207"/>
      <c r="AA1622" s="284"/>
      <c r="AB1622" s="284"/>
      <c r="AC1622" s="284"/>
      <c r="AD1622" s="284"/>
      <c r="AE1622" s="284"/>
      <c r="AF1622" s="284"/>
      <c r="AG1622" s="284"/>
      <c r="AI1622" s="131"/>
    </row>
    <row r="1623" spans="1:35" ht="26.4">
      <c r="A1623" s="284"/>
      <c r="B1623" s="284"/>
      <c r="C1623" s="284"/>
      <c r="D1623" s="284"/>
      <c r="E1623" s="284"/>
      <c r="F1623" s="284"/>
      <c r="G1623" s="284"/>
      <c r="H1623" s="284"/>
      <c r="I1623" s="284"/>
      <c r="J1623" s="375"/>
      <c r="K1623" s="375"/>
      <c r="L1623" s="375"/>
      <c r="M1623" s="368"/>
      <c r="N1623" s="368"/>
      <c r="O1623" s="370"/>
      <c r="T1623" s="349"/>
      <c r="V1623" s="378"/>
      <c r="W1623" s="64" ph="1"/>
      <c r="X1623" s="241"/>
      <c r="Y1623" s="284"/>
      <c r="Z1623" s="207"/>
      <c r="AA1623" s="284"/>
      <c r="AB1623" s="284"/>
      <c r="AC1623" s="284"/>
      <c r="AD1623" s="284"/>
      <c r="AE1623" s="284"/>
      <c r="AF1623" s="284"/>
      <c r="AG1623" s="284"/>
      <c r="AI1623" s="131"/>
    </row>
    <row r="1624" spans="1:35" ht="26.4">
      <c r="A1624" s="284"/>
      <c r="B1624" s="284"/>
      <c r="C1624" s="284"/>
      <c r="D1624" s="284"/>
      <c r="E1624" s="284"/>
      <c r="F1624" s="284"/>
      <c r="G1624" s="284"/>
      <c r="H1624" s="284"/>
      <c r="I1624" s="284"/>
      <c r="J1624" s="375"/>
      <c r="K1624" s="375"/>
      <c r="L1624" s="375"/>
      <c r="M1624" s="368"/>
      <c r="N1624" s="368"/>
      <c r="O1624" s="370"/>
      <c r="T1624" s="349"/>
      <c r="V1624" s="378"/>
      <c r="W1624" s="64" ph="1"/>
      <c r="X1624" s="241"/>
      <c r="Y1624" s="284"/>
      <c r="Z1624" s="207"/>
      <c r="AA1624" s="284"/>
      <c r="AB1624" s="284"/>
      <c r="AC1624" s="284"/>
      <c r="AD1624" s="284"/>
      <c r="AE1624" s="284"/>
      <c r="AF1624" s="284"/>
      <c r="AG1624" s="284"/>
      <c r="AI1624" s="131"/>
    </row>
    <row r="1625" spans="1:35" ht="26.4">
      <c r="A1625" s="284"/>
      <c r="B1625" s="284"/>
      <c r="C1625" s="284"/>
      <c r="D1625" s="284"/>
      <c r="E1625" s="284"/>
      <c r="F1625" s="284"/>
      <c r="G1625" s="284"/>
      <c r="H1625" s="284"/>
      <c r="I1625" s="284"/>
      <c r="J1625" s="375"/>
      <c r="K1625" s="375"/>
      <c r="L1625" s="375"/>
      <c r="M1625" s="368"/>
      <c r="N1625" s="368"/>
      <c r="O1625" s="370"/>
      <c r="T1625" s="349"/>
      <c r="V1625" s="378"/>
      <c r="W1625" s="64" ph="1"/>
      <c r="X1625" s="241"/>
      <c r="Y1625" s="284"/>
      <c r="Z1625" s="207"/>
      <c r="AA1625" s="284"/>
      <c r="AB1625" s="284"/>
      <c r="AC1625" s="284"/>
      <c r="AD1625" s="284"/>
      <c r="AE1625" s="284"/>
      <c r="AF1625" s="284"/>
      <c r="AG1625" s="284"/>
      <c r="AI1625" s="131"/>
    </row>
    <row r="1626" spans="1:35" ht="26.4">
      <c r="A1626" s="284"/>
      <c r="B1626" s="284"/>
      <c r="C1626" s="284"/>
      <c r="D1626" s="284"/>
      <c r="E1626" s="284"/>
      <c r="F1626" s="284"/>
      <c r="G1626" s="284"/>
      <c r="H1626" s="284"/>
      <c r="I1626" s="284"/>
      <c r="J1626" s="375"/>
      <c r="K1626" s="375"/>
      <c r="L1626" s="375"/>
      <c r="M1626" s="368"/>
      <c r="N1626" s="368"/>
      <c r="O1626" s="370"/>
      <c r="T1626" s="349"/>
      <c r="V1626" s="378"/>
      <c r="W1626" s="64" ph="1"/>
      <c r="X1626" s="241"/>
      <c r="Y1626" s="284"/>
      <c r="Z1626" s="207"/>
      <c r="AA1626" s="284"/>
      <c r="AB1626" s="284"/>
      <c r="AC1626" s="284"/>
      <c r="AD1626" s="284"/>
      <c r="AE1626" s="284"/>
      <c r="AF1626" s="284"/>
      <c r="AG1626" s="284"/>
      <c r="AI1626" s="131"/>
    </row>
    <row r="1627" spans="1:35" ht="26.4">
      <c r="A1627" s="284"/>
      <c r="B1627" s="284"/>
      <c r="C1627" s="284"/>
      <c r="D1627" s="284"/>
      <c r="E1627" s="284"/>
      <c r="F1627" s="284"/>
      <c r="G1627" s="284"/>
      <c r="H1627" s="284"/>
      <c r="I1627" s="284"/>
      <c r="J1627" s="375"/>
      <c r="K1627" s="375"/>
      <c r="L1627" s="375"/>
      <c r="M1627" s="368"/>
      <c r="N1627" s="368"/>
      <c r="O1627" s="370"/>
      <c r="T1627" s="349"/>
      <c r="V1627" s="378"/>
      <c r="W1627" s="64" ph="1"/>
      <c r="X1627" s="241"/>
      <c r="Y1627" s="284"/>
      <c r="Z1627" s="207"/>
      <c r="AA1627" s="284"/>
      <c r="AB1627" s="284"/>
      <c r="AC1627" s="284"/>
      <c r="AD1627" s="284"/>
      <c r="AE1627" s="284"/>
      <c r="AF1627" s="284"/>
      <c r="AG1627" s="284"/>
      <c r="AI1627" s="284"/>
    </row>
    <row r="1628" spans="1:35" ht="26.4">
      <c r="A1628" s="284"/>
      <c r="B1628" s="284"/>
      <c r="C1628" s="284"/>
      <c r="D1628" s="284"/>
      <c r="E1628" s="284"/>
      <c r="F1628" s="284"/>
      <c r="G1628" s="284"/>
      <c r="H1628" s="284"/>
      <c r="I1628" s="284"/>
      <c r="J1628" s="375"/>
      <c r="K1628" s="375"/>
      <c r="L1628" s="375"/>
      <c r="M1628" s="368"/>
      <c r="N1628" s="368"/>
      <c r="O1628" s="370"/>
      <c r="T1628" s="349"/>
      <c r="V1628" s="378"/>
      <c r="W1628" s="64" ph="1"/>
      <c r="X1628" s="241"/>
      <c r="Y1628" s="284"/>
      <c r="Z1628" s="207"/>
      <c r="AA1628" s="284"/>
      <c r="AB1628" s="284"/>
      <c r="AC1628" s="284"/>
      <c r="AD1628" s="284"/>
      <c r="AE1628" s="284"/>
      <c r="AF1628" s="284"/>
      <c r="AG1628" s="284"/>
      <c r="AI1628" s="131"/>
    </row>
    <row r="1629" spans="1:35" ht="26.4">
      <c r="A1629" s="284"/>
      <c r="B1629" s="284"/>
      <c r="C1629" s="284"/>
      <c r="D1629" s="284"/>
      <c r="E1629" s="284"/>
      <c r="F1629" s="284"/>
      <c r="G1629" s="284"/>
      <c r="H1629" s="284"/>
      <c r="I1629" s="284"/>
      <c r="J1629" s="375"/>
      <c r="K1629" s="375"/>
      <c r="L1629" s="375"/>
      <c r="M1629" s="368"/>
      <c r="N1629" s="368"/>
      <c r="O1629" s="370"/>
      <c r="T1629" s="349"/>
      <c r="V1629" s="378"/>
      <c r="W1629" s="64" ph="1"/>
      <c r="X1629" s="241"/>
      <c r="Y1629" s="284"/>
      <c r="Z1629" s="207"/>
      <c r="AA1629" s="284"/>
      <c r="AB1629" s="284"/>
      <c r="AC1629" s="284"/>
      <c r="AD1629" s="284"/>
      <c r="AE1629" s="284"/>
      <c r="AF1629" s="284"/>
      <c r="AG1629" s="284"/>
      <c r="AI1629" s="131"/>
    </row>
    <row r="1630" spans="1:35" ht="26.4">
      <c r="A1630" s="284"/>
      <c r="B1630" s="284"/>
      <c r="C1630" s="284"/>
      <c r="D1630" s="284"/>
      <c r="E1630" s="284"/>
      <c r="F1630" s="284"/>
      <c r="G1630" s="284"/>
      <c r="H1630" s="284"/>
      <c r="I1630" s="284"/>
      <c r="J1630" s="375"/>
      <c r="K1630" s="375"/>
      <c r="L1630" s="375"/>
      <c r="M1630" s="368"/>
      <c r="N1630" s="368"/>
      <c r="O1630" s="370"/>
      <c r="T1630" s="349"/>
      <c r="V1630" s="378"/>
      <c r="W1630" s="64" ph="1"/>
      <c r="X1630" s="241"/>
      <c r="Y1630" s="284"/>
      <c r="Z1630" s="207"/>
      <c r="AA1630" s="284"/>
      <c r="AB1630" s="284"/>
      <c r="AC1630" s="284"/>
      <c r="AD1630" s="284"/>
      <c r="AE1630" s="284"/>
      <c r="AF1630" s="284"/>
      <c r="AG1630" s="284"/>
      <c r="AI1630" s="131"/>
    </row>
    <row r="1631" spans="1:35" ht="26.4">
      <c r="A1631" s="284"/>
      <c r="B1631" s="284"/>
      <c r="C1631" s="284"/>
      <c r="D1631" s="284"/>
      <c r="E1631" s="284"/>
      <c r="F1631" s="284"/>
      <c r="G1631" s="284"/>
      <c r="H1631" s="284"/>
      <c r="I1631" s="284"/>
      <c r="J1631" s="375"/>
      <c r="K1631" s="375"/>
      <c r="L1631" s="375"/>
      <c r="M1631" s="368"/>
      <c r="N1631" s="368"/>
      <c r="O1631" s="370"/>
      <c r="T1631" s="349"/>
      <c r="V1631" s="378"/>
      <c r="W1631" s="64" ph="1"/>
      <c r="X1631" s="241"/>
      <c r="Y1631" s="284"/>
      <c r="Z1631" s="207"/>
      <c r="AA1631" s="284"/>
      <c r="AB1631" s="284"/>
      <c r="AC1631" s="284"/>
      <c r="AD1631" s="284"/>
      <c r="AE1631" s="284"/>
      <c r="AF1631" s="284"/>
      <c r="AG1631" s="284"/>
      <c r="AI1631" s="284"/>
    </row>
    <row r="1632" spans="1:35" ht="26.4">
      <c r="A1632" s="284"/>
      <c r="B1632" s="284"/>
      <c r="C1632" s="284"/>
      <c r="D1632" s="284"/>
      <c r="E1632" s="284"/>
      <c r="F1632" s="284"/>
      <c r="G1632" s="284"/>
      <c r="H1632" s="284"/>
      <c r="I1632" s="284"/>
      <c r="J1632" s="375"/>
      <c r="K1632" s="375"/>
      <c r="L1632" s="375"/>
      <c r="M1632" s="368"/>
      <c r="N1632" s="368"/>
      <c r="O1632" s="370"/>
      <c r="T1632" s="349"/>
      <c r="V1632" s="378"/>
      <c r="W1632" s="64" ph="1"/>
      <c r="X1632" s="241"/>
      <c r="Y1632" s="284"/>
      <c r="Z1632" s="207"/>
      <c r="AA1632" s="284"/>
      <c r="AB1632" s="284"/>
      <c r="AC1632" s="284"/>
      <c r="AD1632" s="284"/>
      <c r="AE1632" s="284"/>
      <c r="AF1632" s="284"/>
      <c r="AG1632" s="284"/>
      <c r="AI1632" s="131"/>
    </row>
    <row r="1633" spans="1:35" ht="26.4">
      <c r="A1633" s="284"/>
      <c r="B1633" s="284"/>
      <c r="C1633" s="284"/>
      <c r="D1633" s="284"/>
      <c r="E1633" s="284"/>
      <c r="F1633" s="284"/>
      <c r="G1633" s="284"/>
      <c r="H1633" s="284"/>
      <c r="I1633" s="284"/>
      <c r="J1633" s="375"/>
      <c r="K1633" s="375"/>
      <c r="L1633" s="375"/>
      <c r="M1633" s="368"/>
      <c r="N1633" s="368"/>
      <c r="O1633" s="370"/>
      <c r="T1633" s="349"/>
      <c r="V1633" s="378"/>
      <c r="W1633" s="64" ph="1"/>
      <c r="X1633" s="241"/>
      <c r="Y1633" s="284"/>
      <c r="Z1633" s="207"/>
      <c r="AA1633" s="284"/>
      <c r="AB1633" s="284"/>
      <c r="AC1633" s="284"/>
      <c r="AD1633" s="284"/>
      <c r="AE1633" s="284"/>
      <c r="AF1633" s="284"/>
      <c r="AG1633" s="284"/>
      <c r="AI1633" s="131"/>
    </row>
    <row r="1634" spans="1:35" ht="26.4">
      <c r="A1634" s="284"/>
      <c r="B1634" s="284"/>
      <c r="C1634" s="284"/>
      <c r="D1634" s="284"/>
      <c r="E1634" s="284"/>
      <c r="F1634" s="284"/>
      <c r="G1634" s="284"/>
      <c r="H1634" s="284"/>
      <c r="I1634" s="284"/>
      <c r="J1634" s="375"/>
      <c r="K1634" s="375"/>
      <c r="L1634" s="375"/>
      <c r="M1634" s="368"/>
      <c r="N1634" s="368"/>
      <c r="O1634" s="370"/>
      <c r="T1634" s="349"/>
      <c r="V1634" s="378"/>
      <c r="W1634" s="64" ph="1"/>
      <c r="X1634" s="241"/>
      <c r="Y1634" s="284"/>
      <c r="Z1634" s="207"/>
      <c r="AA1634" s="284"/>
      <c r="AB1634" s="284"/>
      <c r="AC1634" s="284"/>
      <c r="AD1634" s="284"/>
      <c r="AE1634" s="284"/>
      <c r="AF1634" s="284"/>
      <c r="AG1634" s="284"/>
      <c r="AI1634" s="131"/>
    </row>
    <row r="1635" spans="1:35" ht="26.4">
      <c r="A1635" s="284"/>
      <c r="B1635" s="284"/>
      <c r="C1635" s="284"/>
      <c r="D1635" s="284"/>
      <c r="E1635" s="284"/>
      <c r="F1635" s="284"/>
      <c r="G1635" s="284"/>
      <c r="H1635" s="284"/>
      <c r="I1635" s="284"/>
      <c r="J1635" s="375"/>
      <c r="K1635" s="375"/>
      <c r="L1635" s="375"/>
      <c r="M1635" s="368"/>
      <c r="N1635" s="368"/>
      <c r="O1635" s="370"/>
      <c r="T1635" s="349"/>
      <c r="V1635" s="378"/>
      <c r="W1635" s="64" ph="1"/>
      <c r="X1635" s="241"/>
      <c r="Y1635" s="284"/>
      <c r="Z1635" s="207"/>
      <c r="AA1635" s="284"/>
      <c r="AB1635" s="284"/>
      <c r="AC1635" s="284"/>
      <c r="AD1635" s="284"/>
      <c r="AE1635" s="284"/>
      <c r="AF1635" s="284"/>
      <c r="AG1635" s="284"/>
      <c r="AI1635" s="131"/>
    </row>
    <row r="1636" spans="1:35" ht="26.4">
      <c r="A1636" s="284"/>
      <c r="B1636" s="284"/>
      <c r="C1636" s="284"/>
      <c r="D1636" s="284"/>
      <c r="E1636" s="284"/>
      <c r="F1636" s="284"/>
      <c r="G1636" s="284"/>
      <c r="H1636" s="284"/>
      <c r="I1636" s="284"/>
      <c r="J1636" s="375"/>
      <c r="K1636" s="375"/>
      <c r="L1636" s="375"/>
      <c r="M1636" s="368"/>
      <c r="N1636" s="368"/>
      <c r="O1636" s="370"/>
      <c r="T1636" s="349"/>
      <c r="V1636" s="378"/>
      <c r="W1636" s="64" ph="1"/>
      <c r="X1636" s="241"/>
      <c r="Y1636" s="284"/>
      <c r="Z1636" s="207"/>
      <c r="AA1636" s="284"/>
      <c r="AB1636" s="284"/>
      <c r="AC1636" s="284"/>
      <c r="AD1636" s="284"/>
      <c r="AE1636" s="284"/>
      <c r="AF1636" s="284"/>
      <c r="AG1636" s="284"/>
      <c r="AI1636" s="131"/>
    </row>
    <row r="1637" spans="1:35" ht="26.4">
      <c r="A1637" s="284"/>
      <c r="B1637" s="284"/>
      <c r="C1637" s="284"/>
      <c r="D1637" s="284"/>
      <c r="E1637" s="284"/>
      <c r="F1637" s="284"/>
      <c r="G1637" s="284"/>
      <c r="H1637" s="284"/>
      <c r="I1637" s="284"/>
      <c r="J1637" s="375"/>
      <c r="K1637" s="375"/>
      <c r="L1637" s="375"/>
      <c r="M1637" s="368"/>
      <c r="N1637" s="368"/>
      <c r="O1637" s="370"/>
      <c r="T1637" s="349"/>
      <c r="V1637" s="378"/>
      <c r="W1637" s="64" ph="1"/>
      <c r="X1637" s="241"/>
      <c r="Y1637" s="284"/>
      <c r="Z1637" s="207"/>
      <c r="AA1637" s="284"/>
      <c r="AB1637" s="284"/>
      <c r="AC1637" s="284"/>
      <c r="AD1637" s="284"/>
      <c r="AE1637" s="284"/>
      <c r="AF1637" s="284"/>
      <c r="AG1637" s="284"/>
      <c r="AI1637" s="131"/>
    </row>
    <row r="1638" spans="1:35" ht="26.4">
      <c r="A1638" s="284"/>
      <c r="B1638" s="284"/>
      <c r="C1638" s="284"/>
      <c r="D1638" s="284"/>
      <c r="E1638" s="284"/>
      <c r="F1638" s="284"/>
      <c r="G1638" s="284"/>
      <c r="H1638" s="284"/>
      <c r="I1638" s="284"/>
      <c r="J1638" s="375"/>
      <c r="K1638" s="375"/>
      <c r="L1638" s="375"/>
      <c r="M1638" s="368"/>
      <c r="N1638" s="368"/>
      <c r="O1638" s="370"/>
      <c r="T1638" s="349"/>
      <c r="V1638" s="378"/>
      <c r="W1638" s="64" ph="1"/>
      <c r="X1638" s="241"/>
      <c r="Y1638" s="284"/>
      <c r="Z1638" s="207"/>
      <c r="AA1638" s="284"/>
      <c r="AB1638" s="284"/>
      <c r="AC1638" s="284"/>
      <c r="AD1638" s="284"/>
      <c r="AE1638" s="284"/>
      <c r="AF1638" s="284"/>
      <c r="AG1638" s="284"/>
      <c r="AI1638" s="131"/>
    </row>
    <row r="1639" spans="1:35" ht="26.4">
      <c r="A1639" s="284"/>
      <c r="B1639" s="284"/>
      <c r="C1639" s="284"/>
      <c r="D1639" s="284"/>
      <c r="E1639" s="284"/>
      <c r="F1639" s="284"/>
      <c r="G1639" s="284"/>
      <c r="H1639" s="284"/>
      <c r="I1639" s="284"/>
      <c r="J1639" s="375"/>
      <c r="K1639" s="375"/>
      <c r="L1639" s="375"/>
      <c r="M1639" s="368"/>
      <c r="N1639" s="368"/>
      <c r="O1639" s="370"/>
      <c r="T1639" s="349"/>
      <c r="V1639" s="378"/>
      <c r="W1639" s="64" ph="1"/>
      <c r="X1639" s="241"/>
      <c r="Y1639" s="284"/>
      <c r="Z1639" s="207"/>
      <c r="AA1639" s="284"/>
      <c r="AB1639" s="284"/>
      <c r="AC1639" s="284"/>
      <c r="AD1639" s="284"/>
      <c r="AE1639" s="284"/>
      <c r="AF1639" s="284"/>
      <c r="AG1639" s="284"/>
      <c r="AI1639" s="131"/>
    </row>
    <row r="1640" spans="1:35" ht="26.4">
      <c r="A1640" s="284"/>
      <c r="B1640" s="284"/>
      <c r="C1640" s="284"/>
      <c r="D1640" s="284"/>
      <c r="E1640" s="284"/>
      <c r="F1640" s="284"/>
      <c r="G1640" s="284"/>
      <c r="H1640" s="284"/>
      <c r="I1640" s="284"/>
      <c r="J1640" s="375"/>
      <c r="K1640" s="375"/>
      <c r="L1640" s="375"/>
      <c r="M1640" s="368"/>
      <c r="N1640" s="368"/>
      <c r="O1640" s="370"/>
      <c r="T1640" s="349"/>
      <c r="V1640" s="378"/>
      <c r="W1640" s="64" ph="1"/>
      <c r="X1640" s="241"/>
      <c r="Y1640" s="284"/>
      <c r="Z1640" s="207"/>
      <c r="AA1640" s="284"/>
      <c r="AB1640" s="284"/>
      <c r="AC1640" s="284"/>
      <c r="AD1640" s="284"/>
      <c r="AE1640" s="284"/>
      <c r="AF1640" s="284"/>
      <c r="AG1640" s="284"/>
      <c r="AI1640" s="131"/>
    </row>
    <row r="1641" spans="1:35" ht="26.4">
      <c r="A1641" s="284"/>
      <c r="B1641" s="284"/>
      <c r="C1641" s="284"/>
      <c r="D1641" s="284"/>
      <c r="E1641" s="284"/>
      <c r="F1641" s="284"/>
      <c r="G1641" s="284"/>
      <c r="H1641" s="284"/>
      <c r="I1641" s="284"/>
      <c r="J1641" s="375"/>
      <c r="K1641" s="375"/>
      <c r="L1641" s="375"/>
      <c r="M1641" s="368"/>
      <c r="N1641" s="368"/>
      <c r="O1641" s="370"/>
      <c r="T1641" s="349"/>
      <c r="V1641" s="378"/>
      <c r="W1641" s="64" ph="1"/>
      <c r="X1641" s="241"/>
      <c r="Y1641" s="284"/>
      <c r="Z1641" s="207"/>
      <c r="AA1641" s="284"/>
      <c r="AB1641" s="284"/>
      <c r="AC1641" s="284"/>
      <c r="AD1641" s="284"/>
      <c r="AE1641" s="284"/>
      <c r="AF1641" s="284"/>
      <c r="AG1641" s="284"/>
      <c r="AI1641" s="131"/>
    </row>
    <row r="1642" spans="1:35" ht="26.4">
      <c r="A1642" s="284"/>
      <c r="B1642" s="284"/>
      <c r="C1642" s="284"/>
      <c r="D1642" s="284"/>
      <c r="E1642" s="284"/>
      <c r="F1642" s="284"/>
      <c r="G1642" s="284"/>
      <c r="H1642" s="284"/>
      <c r="I1642" s="284"/>
      <c r="J1642" s="375"/>
      <c r="K1642" s="375"/>
      <c r="L1642" s="375"/>
      <c r="M1642" s="368"/>
      <c r="N1642" s="368"/>
      <c r="O1642" s="370"/>
      <c r="T1642" s="349"/>
      <c r="V1642" s="378"/>
      <c r="W1642" s="64" ph="1"/>
      <c r="X1642" s="241"/>
      <c r="Y1642" s="284"/>
      <c r="Z1642" s="207"/>
      <c r="AA1642" s="284"/>
      <c r="AB1642" s="284"/>
      <c r="AC1642" s="284"/>
      <c r="AD1642" s="284"/>
      <c r="AE1642" s="284"/>
      <c r="AF1642" s="284"/>
      <c r="AG1642" s="284"/>
      <c r="AI1642" s="131"/>
    </row>
    <row r="1643" spans="1:35" ht="26.4">
      <c r="A1643" s="284"/>
      <c r="B1643" s="284"/>
      <c r="C1643" s="284"/>
      <c r="D1643" s="284"/>
      <c r="E1643" s="284"/>
      <c r="F1643" s="284"/>
      <c r="G1643" s="284"/>
      <c r="H1643" s="284"/>
      <c r="I1643" s="284"/>
      <c r="J1643" s="375"/>
      <c r="K1643" s="375"/>
      <c r="L1643" s="375"/>
      <c r="M1643" s="368"/>
      <c r="N1643" s="368"/>
      <c r="O1643" s="370"/>
      <c r="T1643" s="349"/>
      <c r="V1643" s="378"/>
      <c r="W1643" s="64" ph="1"/>
      <c r="X1643" s="241"/>
      <c r="Y1643" s="284"/>
      <c r="Z1643" s="207"/>
      <c r="AA1643" s="284"/>
      <c r="AB1643" s="284"/>
      <c r="AC1643" s="284"/>
      <c r="AD1643" s="284"/>
      <c r="AE1643" s="284"/>
      <c r="AF1643" s="284"/>
      <c r="AG1643" s="284"/>
      <c r="AI1643" s="131"/>
    </row>
    <row r="1644" spans="1:35" ht="26.4">
      <c r="A1644" s="284"/>
      <c r="B1644" s="284"/>
      <c r="C1644" s="284"/>
      <c r="D1644" s="284"/>
      <c r="E1644" s="284"/>
      <c r="F1644" s="284"/>
      <c r="G1644" s="284"/>
      <c r="H1644" s="284"/>
      <c r="I1644" s="284"/>
      <c r="J1644" s="375"/>
      <c r="K1644" s="375"/>
      <c r="L1644" s="375"/>
      <c r="M1644" s="368"/>
      <c r="N1644" s="368"/>
      <c r="O1644" s="370"/>
      <c r="T1644" s="349"/>
      <c r="V1644" s="378"/>
      <c r="W1644" s="64" ph="1"/>
      <c r="X1644" s="241"/>
      <c r="Y1644" s="284"/>
      <c r="Z1644" s="207"/>
      <c r="AA1644" s="284"/>
      <c r="AB1644" s="284"/>
      <c r="AC1644" s="284"/>
      <c r="AD1644" s="284"/>
      <c r="AE1644" s="284"/>
      <c r="AF1644" s="284"/>
      <c r="AG1644" s="284"/>
      <c r="AI1644" s="131"/>
    </row>
    <row r="1645" spans="1:35" ht="26.4">
      <c r="A1645" s="284"/>
      <c r="B1645" s="284"/>
      <c r="C1645" s="284"/>
      <c r="D1645" s="284"/>
      <c r="E1645" s="284"/>
      <c r="F1645" s="284"/>
      <c r="G1645" s="284"/>
      <c r="H1645" s="284"/>
      <c r="I1645" s="284"/>
      <c r="J1645" s="375"/>
      <c r="K1645" s="375"/>
      <c r="L1645" s="375"/>
      <c r="M1645" s="368"/>
      <c r="N1645" s="368"/>
      <c r="O1645" s="370"/>
      <c r="T1645" s="349"/>
      <c r="V1645" s="378"/>
      <c r="W1645" s="64" ph="1"/>
      <c r="X1645" s="241"/>
      <c r="Y1645" s="284"/>
      <c r="Z1645" s="207"/>
      <c r="AA1645" s="284"/>
      <c r="AB1645" s="284"/>
      <c r="AC1645" s="284"/>
      <c r="AD1645" s="284"/>
      <c r="AE1645" s="284"/>
      <c r="AF1645" s="284"/>
      <c r="AG1645" s="284"/>
      <c r="AI1645" s="131"/>
    </row>
    <row r="1646" spans="1:35" ht="26.4">
      <c r="A1646" s="284"/>
      <c r="B1646" s="284"/>
      <c r="C1646" s="284"/>
      <c r="D1646" s="284"/>
      <c r="E1646" s="284"/>
      <c r="F1646" s="284"/>
      <c r="G1646" s="284"/>
      <c r="H1646" s="284"/>
      <c r="I1646" s="284"/>
      <c r="J1646" s="375"/>
      <c r="K1646" s="375"/>
      <c r="L1646" s="375"/>
      <c r="M1646" s="368"/>
      <c r="N1646" s="368"/>
      <c r="O1646" s="370"/>
      <c r="T1646" s="349"/>
      <c r="V1646" s="378"/>
      <c r="W1646" s="64" ph="1"/>
      <c r="X1646" s="241"/>
      <c r="Y1646" s="284"/>
      <c r="Z1646" s="207"/>
      <c r="AA1646" s="284"/>
      <c r="AB1646" s="284"/>
      <c r="AC1646" s="284"/>
      <c r="AD1646" s="284"/>
      <c r="AE1646" s="284"/>
      <c r="AF1646" s="284"/>
      <c r="AG1646" s="284"/>
      <c r="AI1646" s="131"/>
    </row>
    <row r="1647" spans="1:35" ht="26.4">
      <c r="A1647" s="284"/>
      <c r="B1647" s="284"/>
      <c r="C1647" s="284"/>
      <c r="D1647" s="284"/>
      <c r="E1647" s="284"/>
      <c r="F1647" s="284"/>
      <c r="G1647" s="284"/>
      <c r="H1647" s="284"/>
      <c r="I1647" s="284"/>
      <c r="J1647" s="375"/>
      <c r="K1647" s="375"/>
      <c r="L1647" s="375"/>
      <c r="M1647" s="368"/>
      <c r="N1647" s="368"/>
      <c r="O1647" s="370"/>
      <c r="T1647" s="349"/>
      <c r="V1647" s="378"/>
      <c r="W1647" s="64" ph="1"/>
      <c r="X1647" s="241"/>
      <c r="Y1647" s="284"/>
      <c r="Z1647" s="207"/>
      <c r="AA1647" s="284"/>
      <c r="AB1647" s="284"/>
      <c r="AC1647" s="284"/>
      <c r="AD1647" s="284"/>
      <c r="AE1647" s="284"/>
      <c r="AF1647" s="284"/>
      <c r="AG1647" s="284"/>
      <c r="AI1647" s="131"/>
    </row>
    <row r="1648" spans="1:35" ht="26.4">
      <c r="A1648" s="284"/>
      <c r="B1648" s="284"/>
      <c r="C1648" s="284"/>
      <c r="D1648" s="284"/>
      <c r="E1648" s="284"/>
      <c r="F1648" s="284"/>
      <c r="G1648" s="284"/>
      <c r="H1648" s="284"/>
      <c r="I1648" s="284"/>
      <c r="J1648" s="375"/>
      <c r="K1648" s="375"/>
      <c r="L1648" s="375"/>
      <c r="M1648" s="368"/>
      <c r="N1648" s="368"/>
      <c r="O1648" s="370"/>
      <c r="T1648" s="349"/>
      <c r="V1648" s="378"/>
      <c r="W1648" s="64" ph="1"/>
      <c r="X1648" s="241"/>
      <c r="Y1648" s="284"/>
      <c r="Z1648" s="207"/>
      <c r="AA1648" s="284"/>
      <c r="AB1648" s="284"/>
      <c r="AC1648" s="284"/>
      <c r="AD1648" s="284"/>
      <c r="AE1648" s="284"/>
      <c r="AF1648" s="284"/>
      <c r="AG1648" s="284"/>
      <c r="AI1648" s="131"/>
    </row>
    <row r="1649" spans="1:35" ht="26.4">
      <c r="A1649" s="284"/>
      <c r="B1649" s="284"/>
      <c r="C1649" s="284"/>
      <c r="D1649" s="284"/>
      <c r="E1649" s="284"/>
      <c r="F1649" s="284"/>
      <c r="G1649" s="284"/>
      <c r="H1649" s="284"/>
      <c r="I1649" s="284"/>
      <c r="J1649" s="375"/>
      <c r="K1649" s="375"/>
      <c r="L1649" s="375"/>
      <c r="M1649" s="368"/>
      <c r="N1649" s="368"/>
      <c r="O1649" s="370"/>
      <c r="T1649" s="349"/>
      <c r="V1649" s="378"/>
      <c r="W1649" s="64" ph="1"/>
      <c r="X1649" s="241"/>
      <c r="Y1649" s="284"/>
      <c r="Z1649" s="207"/>
      <c r="AA1649" s="284"/>
      <c r="AB1649" s="284"/>
      <c r="AC1649" s="284"/>
      <c r="AD1649" s="284"/>
      <c r="AE1649" s="284"/>
      <c r="AF1649" s="284"/>
      <c r="AG1649" s="284"/>
      <c r="AI1649" s="131"/>
    </row>
    <row r="1650" spans="1:35" ht="26.4">
      <c r="A1650" s="284"/>
      <c r="B1650" s="284"/>
      <c r="C1650" s="284"/>
      <c r="D1650" s="284"/>
      <c r="E1650" s="284"/>
      <c r="F1650" s="284"/>
      <c r="G1650" s="284"/>
      <c r="H1650" s="284"/>
      <c r="I1650" s="284"/>
      <c r="J1650" s="375"/>
      <c r="K1650" s="375"/>
      <c r="L1650" s="375"/>
      <c r="M1650" s="368"/>
      <c r="N1650" s="368"/>
      <c r="O1650" s="370"/>
      <c r="T1650" s="349"/>
      <c r="V1650" s="378"/>
      <c r="W1650" s="64" ph="1"/>
      <c r="X1650" s="241"/>
      <c r="Y1650" s="284"/>
      <c r="Z1650" s="207"/>
      <c r="AA1650" s="284"/>
      <c r="AB1650" s="284"/>
      <c r="AC1650" s="284"/>
      <c r="AD1650" s="284"/>
      <c r="AE1650" s="284"/>
      <c r="AF1650" s="284"/>
      <c r="AG1650" s="284"/>
      <c r="AI1650" s="131"/>
    </row>
    <row r="1651" spans="1:35" ht="26.4">
      <c r="A1651" s="284"/>
      <c r="B1651" s="284"/>
      <c r="C1651" s="284"/>
      <c r="D1651" s="284"/>
      <c r="E1651" s="284"/>
      <c r="F1651" s="284"/>
      <c r="G1651" s="284"/>
      <c r="H1651" s="284"/>
      <c r="I1651" s="284"/>
      <c r="J1651" s="375"/>
      <c r="K1651" s="375"/>
      <c r="L1651" s="375"/>
      <c r="M1651" s="368"/>
      <c r="N1651" s="368"/>
      <c r="O1651" s="370"/>
      <c r="T1651" s="349"/>
      <c r="V1651" s="378"/>
      <c r="W1651" s="64" ph="1"/>
      <c r="X1651" s="241"/>
      <c r="Y1651" s="284"/>
      <c r="Z1651" s="207"/>
      <c r="AA1651" s="284"/>
      <c r="AB1651" s="284"/>
      <c r="AC1651" s="284"/>
      <c r="AD1651" s="284"/>
      <c r="AE1651" s="284"/>
      <c r="AF1651" s="284"/>
      <c r="AG1651" s="284"/>
      <c r="AI1651" s="131"/>
    </row>
    <row r="1652" spans="1:35" ht="26.4">
      <c r="A1652" s="284"/>
      <c r="B1652" s="284"/>
      <c r="C1652" s="284"/>
      <c r="D1652" s="284"/>
      <c r="E1652" s="284"/>
      <c r="F1652" s="284"/>
      <c r="G1652" s="284"/>
      <c r="H1652" s="284"/>
      <c r="I1652" s="284"/>
      <c r="J1652" s="375"/>
      <c r="K1652" s="375"/>
      <c r="L1652" s="375"/>
      <c r="M1652" s="368"/>
      <c r="N1652" s="368"/>
      <c r="O1652" s="370"/>
      <c r="T1652" s="349"/>
      <c r="V1652" s="378"/>
      <c r="W1652" s="64" ph="1"/>
      <c r="X1652" s="241"/>
      <c r="Y1652" s="284"/>
      <c r="Z1652" s="207"/>
      <c r="AA1652" s="284"/>
      <c r="AB1652" s="284"/>
      <c r="AC1652" s="284"/>
      <c r="AD1652" s="284"/>
      <c r="AE1652" s="284"/>
      <c r="AF1652" s="284"/>
      <c r="AG1652" s="284"/>
      <c r="AI1652" s="131"/>
    </row>
    <row r="1653" spans="1:35" ht="26.4">
      <c r="A1653" s="284"/>
      <c r="B1653" s="284"/>
      <c r="C1653" s="284"/>
      <c r="D1653" s="284"/>
      <c r="E1653" s="284"/>
      <c r="F1653" s="284"/>
      <c r="G1653" s="284"/>
      <c r="H1653" s="284"/>
      <c r="I1653" s="284"/>
      <c r="J1653" s="375"/>
      <c r="K1653" s="375"/>
      <c r="L1653" s="375"/>
      <c r="M1653" s="368"/>
      <c r="N1653" s="368"/>
      <c r="O1653" s="370"/>
      <c r="T1653" s="349"/>
      <c r="V1653" s="378"/>
      <c r="W1653" s="64" ph="1"/>
      <c r="X1653" s="241"/>
      <c r="Y1653" s="284"/>
      <c r="Z1653" s="207"/>
      <c r="AA1653" s="284"/>
      <c r="AB1653" s="284"/>
      <c r="AC1653" s="284"/>
      <c r="AD1653" s="284"/>
      <c r="AE1653" s="284"/>
      <c r="AF1653" s="284"/>
      <c r="AG1653" s="284"/>
    </row>
    <row r="1654" spans="1:35" ht="26.4">
      <c r="A1654" s="284"/>
      <c r="B1654" s="284"/>
      <c r="C1654" s="284"/>
      <c r="D1654" s="284"/>
      <c r="E1654" s="284"/>
      <c r="F1654" s="284"/>
      <c r="G1654" s="284"/>
      <c r="H1654" s="284"/>
      <c r="I1654" s="284"/>
      <c r="J1654" s="375"/>
      <c r="K1654" s="375"/>
      <c r="L1654" s="375"/>
      <c r="M1654" s="368"/>
      <c r="N1654" s="368"/>
      <c r="O1654" s="370"/>
      <c r="T1654" s="349"/>
      <c r="V1654" s="378"/>
      <c r="W1654" s="64" ph="1"/>
      <c r="X1654" s="241"/>
      <c r="Y1654" s="284"/>
      <c r="Z1654" s="207"/>
      <c r="AA1654" s="284"/>
      <c r="AB1654" s="284"/>
      <c r="AC1654" s="284"/>
      <c r="AD1654" s="284"/>
      <c r="AE1654" s="284"/>
      <c r="AF1654" s="284"/>
      <c r="AG1654" s="284"/>
      <c r="AI1654" s="131"/>
    </row>
    <row r="1655" spans="1:35" ht="26.4">
      <c r="A1655" s="284"/>
      <c r="B1655" s="284"/>
      <c r="C1655" s="284"/>
      <c r="D1655" s="284"/>
      <c r="E1655" s="284"/>
      <c r="F1655" s="284"/>
      <c r="G1655" s="284"/>
      <c r="H1655" s="284"/>
      <c r="I1655" s="284"/>
      <c r="J1655" s="375"/>
      <c r="K1655" s="375"/>
      <c r="L1655" s="375"/>
      <c r="M1655" s="368"/>
      <c r="N1655" s="368"/>
      <c r="O1655" s="370"/>
      <c r="T1655" s="349"/>
      <c r="V1655" s="378"/>
      <c r="W1655" s="64" ph="1"/>
      <c r="X1655" s="241"/>
      <c r="Y1655" s="284"/>
      <c r="Z1655" s="207"/>
      <c r="AA1655" s="284"/>
      <c r="AB1655" s="284"/>
      <c r="AC1655" s="284"/>
      <c r="AD1655" s="284"/>
      <c r="AE1655" s="284"/>
      <c r="AF1655" s="284"/>
      <c r="AG1655" s="284"/>
      <c r="AI1655" s="131"/>
    </row>
    <row r="1656" spans="1:35" ht="26.4">
      <c r="A1656" s="284"/>
      <c r="B1656" s="284"/>
      <c r="C1656" s="284"/>
      <c r="D1656" s="284"/>
      <c r="E1656" s="284"/>
      <c r="F1656" s="284"/>
      <c r="G1656" s="284"/>
      <c r="H1656" s="284"/>
      <c r="I1656" s="284"/>
      <c r="J1656" s="375"/>
      <c r="K1656" s="375"/>
      <c r="L1656" s="375"/>
      <c r="M1656" s="368"/>
      <c r="N1656" s="368"/>
      <c r="O1656" s="370"/>
      <c r="T1656" s="349"/>
      <c r="V1656" s="378"/>
      <c r="W1656" s="64" ph="1"/>
      <c r="X1656" s="241"/>
      <c r="Y1656" s="284"/>
      <c r="Z1656" s="207"/>
      <c r="AA1656" s="284"/>
      <c r="AB1656" s="284"/>
      <c r="AC1656" s="284"/>
      <c r="AD1656" s="284"/>
      <c r="AE1656" s="284"/>
      <c r="AF1656" s="284"/>
      <c r="AG1656" s="284"/>
      <c r="AI1656" s="131"/>
    </row>
    <row r="1657" spans="1:35" ht="26.4">
      <c r="A1657" s="284"/>
      <c r="B1657" s="284"/>
      <c r="C1657" s="284"/>
      <c r="D1657" s="284"/>
      <c r="E1657" s="284"/>
      <c r="F1657" s="284"/>
      <c r="G1657" s="284"/>
      <c r="H1657" s="284"/>
      <c r="I1657" s="284"/>
      <c r="J1657" s="375"/>
      <c r="K1657" s="375"/>
      <c r="L1657" s="375"/>
      <c r="M1657" s="368"/>
      <c r="N1657" s="368"/>
      <c r="O1657" s="370"/>
      <c r="T1657" s="349"/>
      <c r="V1657" s="378"/>
      <c r="W1657" s="64" ph="1"/>
      <c r="X1657" s="241"/>
      <c r="Y1657" s="284"/>
      <c r="Z1657" s="207"/>
      <c r="AA1657" s="284"/>
      <c r="AB1657" s="284"/>
      <c r="AC1657" s="284"/>
      <c r="AD1657" s="284"/>
      <c r="AE1657" s="284"/>
      <c r="AF1657" s="284"/>
      <c r="AG1657" s="284"/>
      <c r="AI1657" s="131"/>
    </row>
    <row r="1658" spans="1:35" ht="26.4">
      <c r="A1658" s="284"/>
      <c r="B1658" s="284"/>
      <c r="C1658" s="284"/>
      <c r="D1658" s="284"/>
      <c r="E1658" s="284"/>
      <c r="F1658" s="284"/>
      <c r="G1658" s="284"/>
      <c r="H1658" s="284"/>
      <c r="I1658" s="284"/>
      <c r="J1658" s="375"/>
      <c r="K1658" s="375"/>
      <c r="L1658" s="375"/>
      <c r="M1658" s="368"/>
      <c r="N1658" s="368"/>
      <c r="O1658" s="370"/>
      <c r="T1658" s="349"/>
      <c r="V1658" s="378"/>
      <c r="W1658" s="64" ph="1"/>
      <c r="X1658" s="241"/>
      <c r="Y1658" s="284"/>
      <c r="Z1658" s="207"/>
      <c r="AA1658" s="284"/>
      <c r="AB1658" s="284"/>
      <c r="AC1658" s="284"/>
      <c r="AD1658" s="284"/>
      <c r="AE1658" s="284"/>
      <c r="AF1658" s="284"/>
      <c r="AG1658" s="284"/>
      <c r="AI1658" s="131"/>
    </row>
    <row r="1659" spans="1:35" ht="26.4">
      <c r="A1659" s="284"/>
      <c r="B1659" s="284"/>
      <c r="C1659" s="284"/>
      <c r="D1659" s="284"/>
      <c r="E1659" s="284"/>
      <c r="F1659" s="284"/>
      <c r="G1659" s="284"/>
      <c r="H1659" s="284"/>
      <c r="I1659" s="284"/>
      <c r="J1659" s="375"/>
      <c r="K1659" s="375"/>
      <c r="L1659" s="375"/>
      <c r="M1659" s="368"/>
      <c r="N1659" s="368"/>
      <c r="O1659" s="370"/>
      <c r="T1659" s="349"/>
      <c r="V1659" s="378"/>
      <c r="W1659" s="64" ph="1"/>
      <c r="X1659" s="241"/>
      <c r="Y1659" s="284"/>
      <c r="Z1659" s="207"/>
      <c r="AA1659" s="284"/>
      <c r="AB1659" s="284"/>
      <c r="AC1659" s="284"/>
      <c r="AD1659" s="284"/>
      <c r="AE1659" s="284"/>
      <c r="AF1659" s="284"/>
      <c r="AG1659" s="284"/>
      <c r="AI1659" s="131"/>
    </row>
    <row r="1660" spans="1:35" ht="26.4">
      <c r="A1660" s="284"/>
      <c r="B1660" s="284"/>
      <c r="C1660" s="284"/>
      <c r="D1660" s="284"/>
      <c r="E1660" s="284"/>
      <c r="F1660" s="284"/>
      <c r="G1660" s="284"/>
      <c r="H1660" s="284"/>
      <c r="I1660" s="284"/>
      <c r="J1660" s="375"/>
      <c r="K1660" s="375"/>
      <c r="L1660" s="375"/>
      <c r="M1660" s="368"/>
      <c r="N1660" s="368"/>
      <c r="O1660" s="370"/>
      <c r="T1660" s="349"/>
      <c r="V1660" s="378"/>
      <c r="W1660" s="64" ph="1"/>
      <c r="X1660" s="241"/>
      <c r="Y1660" s="284"/>
      <c r="Z1660" s="207"/>
      <c r="AA1660" s="284"/>
      <c r="AB1660" s="284"/>
      <c r="AC1660" s="284"/>
      <c r="AD1660" s="284"/>
      <c r="AE1660" s="284"/>
      <c r="AF1660" s="284"/>
      <c r="AG1660" s="284"/>
      <c r="AI1660" s="131"/>
    </row>
    <row r="1661" spans="1:35" ht="26.4">
      <c r="A1661" s="284"/>
      <c r="B1661" s="284"/>
      <c r="C1661" s="284"/>
      <c r="D1661" s="284"/>
      <c r="E1661" s="284"/>
      <c r="F1661" s="284"/>
      <c r="G1661" s="284"/>
      <c r="H1661" s="284"/>
      <c r="I1661" s="284"/>
      <c r="J1661" s="375"/>
      <c r="K1661" s="375"/>
      <c r="L1661" s="375"/>
      <c r="M1661" s="368"/>
      <c r="N1661" s="368"/>
      <c r="O1661" s="370"/>
      <c r="T1661" s="349"/>
      <c r="V1661" s="378"/>
      <c r="W1661" s="64" ph="1"/>
      <c r="X1661" s="241"/>
      <c r="Y1661" s="284"/>
      <c r="Z1661" s="207"/>
      <c r="AA1661" s="284"/>
      <c r="AB1661" s="284"/>
      <c r="AC1661" s="284"/>
      <c r="AD1661" s="284"/>
      <c r="AE1661" s="284"/>
      <c r="AF1661" s="284"/>
      <c r="AG1661" s="284"/>
      <c r="AI1661" s="131"/>
    </row>
    <row r="1662" spans="1:35" ht="26.4">
      <c r="A1662" s="284"/>
      <c r="B1662" s="284"/>
      <c r="C1662" s="284"/>
      <c r="D1662" s="284"/>
      <c r="E1662" s="284"/>
      <c r="F1662" s="284"/>
      <c r="G1662" s="284"/>
      <c r="H1662" s="284"/>
      <c r="I1662" s="284"/>
      <c r="J1662" s="375"/>
      <c r="K1662" s="375"/>
      <c r="L1662" s="375"/>
      <c r="M1662" s="368"/>
      <c r="N1662" s="368"/>
      <c r="O1662" s="370"/>
      <c r="T1662" s="349"/>
      <c r="V1662" s="378"/>
      <c r="W1662" s="64" ph="1"/>
      <c r="X1662" s="241"/>
      <c r="Y1662" s="284"/>
      <c r="Z1662" s="207"/>
      <c r="AA1662" s="284"/>
      <c r="AB1662" s="284"/>
      <c r="AC1662" s="284"/>
      <c r="AD1662" s="284"/>
      <c r="AE1662" s="284"/>
      <c r="AF1662" s="284"/>
      <c r="AG1662" s="284"/>
      <c r="AI1662" s="131"/>
    </row>
    <row r="1663" spans="1:35" ht="26.4">
      <c r="A1663" s="284"/>
      <c r="B1663" s="284"/>
      <c r="C1663" s="284"/>
      <c r="D1663" s="284"/>
      <c r="E1663" s="284"/>
      <c r="F1663" s="284"/>
      <c r="G1663" s="284"/>
      <c r="H1663" s="284"/>
      <c r="I1663" s="284"/>
      <c r="J1663" s="375"/>
      <c r="K1663" s="375"/>
      <c r="L1663" s="375"/>
      <c r="M1663" s="368"/>
      <c r="N1663" s="368"/>
      <c r="O1663" s="370"/>
      <c r="T1663" s="349"/>
      <c r="V1663" s="378"/>
      <c r="W1663" s="64" ph="1"/>
      <c r="X1663" s="241"/>
      <c r="Y1663" s="284"/>
      <c r="Z1663" s="207"/>
      <c r="AA1663" s="284"/>
      <c r="AB1663" s="284"/>
      <c r="AC1663" s="284"/>
      <c r="AD1663" s="284"/>
      <c r="AE1663" s="284"/>
      <c r="AF1663" s="284"/>
      <c r="AG1663" s="284"/>
      <c r="AI1663" s="131"/>
    </row>
    <row r="1664" spans="1:35" ht="26.4">
      <c r="A1664" s="284"/>
      <c r="B1664" s="284"/>
      <c r="C1664" s="284"/>
      <c r="D1664" s="284"/>
      <c r="E1664" s="284"/>
      <c r="F1664" s="284"/>
      <c r="G1664" s="284"/>
      <c r="H1664" s="284"/>
      <c r="I1664" s="284"/>
      <c r="J1664" s="375"/>
      <c r="K1664" s="375"/>
      <c r="L1664" s="375"/>
      <c r="M1664" s="368"/>
      <c r="N1664" s="368"/>
      <c r="O1664" s="370"/>
      <c r="T1664" s="349"/>
      <c r="V1664" s="378"/>
      <c r="W1664" s="64" ph="1"/>
      <c r="X1664" s="241"/>
      <c r="Y1664" s="284"/>
      <c r="Z1664" s="207"/>
      <c r="AA1664" s="284"/>
      <c r="AB1664" s="284"/>
      <c r="AC1664" s="284"/>
      <c r="AD1664" s="284"/>
      <c r="AE1664" s="284"/>
      <c r="AF1664" s="284"/>
      <c r="AG1664" s="284"/>
      <c r="AI1664" s="131"/>
    </row>
    <row r="1665" spans="1:35" ht="26.4">
      <c r="A1665" s="284"/>
      <c r="B1665" s="284"/>
      <c r="C1665" s="284"/>
      <c r="D1665" s="284"/>
      <c r="E1665" s="284"/>
      <c r="F1665" s="284"/>
      <c r="G1665" s="284"/>
      <c r="H1665" s="284"/>
      <c r="I1665" s="284"/>
      <c r="J1665" s="375"/>
      <c r="K1665" s="375"/>
      <c r="L1665" s="375"/>
      <c r="M1665" s="368"/>
      <c r="N1665" s="368"/>
      <c r="O1665" s="370"/>
      <c r="T1665" s="349"/>
      <c r="V1665" s="378"/>
      <c r="W1665" s="64" ph="1"/>
      <c r="X1665" s="241"/>
      <c r="Y1665" s="284"/>
      <c r="Z1665" s="207"/>
      <c r="AA1665" s="284"/>
      <c r="AB1665" s="284"/>
      <c r="AC1665" s="284"/>
      <c r="AD1665" s="284"/>
      <c r="AE1665" s="284"/>
      <c r="AF1665" s="284"/>
      <c r="AG1665" s="284"/>
      <c r="AI1665" s="131"/>
    </row>
    <row r="1666" spans="1:35" ht="26.4">
      <c r="A1666" s="284"/>
      <c r="B1666" s="284"/>
      <c r="C1666" s="284"/>
      <c r="D1666" s="284"/>
      <c r="E1666" s="284"/>
      <c r="F1666" s="284"/>
      <c r="G1666" s="284"/>
      <c r="H1666" s="284"/>
      <c r="I1666" s="284"/>
      <c r="J1666" s="375"/>
      <c r="K1666" s="375"/>
      <c r="L1666" s="375"/>
      <c r="M1666" s="368"/>
      <c r="N1666" s="368"/>
      <c r="O1666" s="370"/>
      <c r="T1666" s="349"/>
      <c r="V1666" s="378"/>
      <c r="W1666" s="64" ph="1"/>
      <c r="X1666" s="241"/>
      <c r="Y1666" s="284"/>
      <c r="Z1666" s="207"/>
      <c r="AA1666" s="284"/>
      <c r="AB1666" s="284"/>
      <c r="AC1666" s="284"/>
      <c r="AD1666" s="284"/>
      <c r="AE1666" s="284"/>
      <c r="AF1666" s="284"/>
      <c r="AG1666" s="284"/>
      <c r="AI1666" s="131"/>
    </row>
    <row r="1667" spans="1:35" ht="26.4">
      <c r="A1667" s="284"/>
      <c r="B1667" s="284"/>
      <c r="C1667" s="284"/>
      <c r="D1667" s="284"/>
      <c r="E1667" s="284"/>
      <c r="F1667" s="284"/>
      <c r="G1667" s="284"/>
      <c r="H1667" s="284"/>
      <c r="I1667" s="284"/>
      <c r="J1667" s="375"/>
      <c r="K1667" s="375"/>
      <c r="L1667" s="375"/>
      <c r="M1667" s="368"/>
      <c r="N1667" s="368"/>
      <c r="O1667" s="370"/>
      <c r="T1667" s="349"/>
      <c r="V1667" s="378"/>
      <c r="W1667" s="64" ph="1"/>
      <c r="X1667" s="241"/>
      <c r="Y1667" s="284"/>
      <c r="Z1667" s="207"/>
      <c r="AA1667" s="284"/>
      <c r="AB1667" s="284"/>
      <c r="AC1667" s="284"/>
      <c r="AD1667" s="284"/>
      <c r="AE1667" s="284"/>
      <c r="AF1667" s="284"/>
      <c r="AG1667" s="284"/>
      <c r="AI1667" s="131"/>
    </row>
    <row r="1668" spans="1:35" ht="26.4">
      <c r="A1668" s="284"/>
      <c r="B1668" s="284"/>
      <c r="C1668" s="284"/>
      <c r="D1668" s="284"/>
      <c r="E1668" s="284"/>
      <c r="F1668" s="284"/>
      <c r="G1668" s="284"/>
      <c r="H1668" s="284"/>
      <c r="I1668" s="284"/>
      <c r="J1668" s="375"/>
      <c r="K1668" s="375"/>
      <c r="L1668" s="375"/>
      <c r="M1668" s="368"/>
      <c r="N1668" s="368"/>
      <c r="O1668" s="370"/>
      <c r="T1668" s="349"/>
      <c r="V1668" s="378"/>
      <c r="W1668" s="64" ph="1"/>
      <c r="X1668" s="241"/>
      <c r="Y1668" s="284"/>
      <c r="Z1668" s="207"/>
      <c r="AA1668" s="284"/>
      <c r="AB1668" s="284"/>
      <c r="AC1668" s="284"/>
      <c r="AD1668" s="284"/>
      <c r="AE1668" s="284"/>
      <c r="AF1668" s="284"/>
      <c r="AG1668" s="284"/>
      <c r="AI1668" s="131"/>
    </row>
    <row r="1669" spans="1:35" ht="26.4">
      <c r="A1669" s="284"/>
      <c r="B1669" s="284"/>
      <c r="C1669" s="284"/>
      <c r="D1669" s="284"/>
      <c r="E1669" s="284"/>
      <c r="F1669" s="284"/>
      <c r="G1669" s="284"/>
      <c r="H1669" s="284"/>
      <c r="I1669" s="284"/>
      <c r="J1669" s="375"/>
      <c r="K1669" s="375"/>
      <c r="L1669" s="375"/>
      <c r="M1669" s="368"/>
      <c r="N1669" s="368"/>
      <c r="O1669" s="370"/>
      <c r="T1669" s="349"/>
      <c r="V1669" s="378"/>
      <c r="W1669" s="64" ph="1"/>
      <c r="X1669" s="241"/>
      <c r="Y1669" s="284"/>
      <c r="Z1669" s="207"/>
      <c r="AA1669" s="284"/>
      <c r="AB1669" s="284"/>
      <c r="AC1669" s="284"/>
      <c r="AD1669" s="284"/>
      <c r="AE1669" s="284"/>
      <c r="AF1669" s="284"/>
      <c r="AG1669" s="284"/>
      <c r="AI1669" s="131"/>
    </row>
    <row r="1670" spans="1:35" ht="26.4">
      <c r="A1670" s="284"/>
      <c r="B1670" s="284"/>
      <c r="C1670" s="284"/>
      <c r="D1670" s="284"/>
      <c r="E1670" s="284"/>
      <c r="F1670" s="284"/>
      <c r="G1670" s="284"/>
      <c r="H1670" s="284"/>
      <c r="I1670" s="284"/>
      <c r="J1670" s="375"/>
      <c r="K1670" s="375"/>
      <c r="L1670" s="375"/>
      <c r="M1670" s="368"/>
      <c r="N1670" s="368"/>
      <c r="O1670" s="370"/>
      <c r="T1670" s="349"/>
      <c r="V1670" s="378"/>
      <c r="W1670" s="64" ph="1"/>
      <c r="X1670" s="241"/>
      <c r="Y1670" s="284"/>
      <c r="Z1670" s="207"/>
      <c r="AA1670" s="284"/>
      <c r="AB1670" s="284"/>
      <c r="AC1670" s="284"/>
      <c r="AD1670" s="284"/>
      <c r="AE1670" s="284"/>
      <c r="AF1670" s="284"/>
      <c r="AG1670" s="284"/>
      <c r="AI1670" s="131"/>
    </row>
    <row r="1671" spans="1:35" ht="26.4">
      <c r="A1671" s="284"/>
      <c r="B1671" s="284"/>
      <c r="C1671" s="284"/>
      <c r="D1671" s="284"/>
      <c r="E1671" s="284"/>
      <c r="F1671" s="284"/>
      <c r="G1671" s="284"/>
      <c r="H1671" s="284"/>
      <c r="I1671" s="284"/>
      <c r="J1671" s="375"/>
      <c r="K1671" s="375"/>
      <c r="L1671" s="375"/>
      <c r="M1671" s="368"/>
      <c r="N1671" s="368"/>
      <c r="O1671" s="370"/>
      <c r="T1671" s="349"/>
      <c r="V1671" s="378"/>
      <c r="W1671" s="64" ph="1"/>
      <c r="X1671" s="241"/>
      <c r="Y1671" s="284"/>
      <c r="Z1671" s="207"/>
      <c r="AA1671" s="284"/>
      <c r="AB1671" s="284"/>
      <c r="AC1671" s="284"/>
      <c r="AD1671" s="284"/>
      <c r="AE1671" s="284"/>
      <c r="AF1671" s="284"/>
      <c r="AG1671" s="284"/>
      <c r="AI1671" s="131"/>
    </row>
    <row r="1672" spans="1:35" ht="26.4">
      <c r="A1672" s="284"/>
      <c r="B1672" s="284"/>
      <c r="C1672" s="284"/>
      <c r="D1672" s="284"/>
      <c r="E1672" s="284"/>
      <c r="F1672" s="284"/>
      <c r="G1672" s="284"/>
      <c r="H1672" s="284"/>
      <c r="I1672" s="284"/>
      <c r="J1672" s="375"/>
      <c r="K1672" s="375"/>
      <c r="L1672" s="375"/>
      <c r="M1672" s="368"/>
      <c r="N1672" s="368"/>
      <c r="O1672" s="370"/>
      <c r="T1672" s="349"/>
      <c r="V1672" s="378"/>
      <c r="W1672" s="64" ph="1"/>
      <c r="X1672" s="241"/>
      <c r="Y1672" s="284"/>
      <c r="Z1672" s="207"/>
      <c r="AA1672" s="284"/>
      <c r="AB1672" s="284"/>
      <c r="AC1672" s="284"/>
      <c r="AD1672" s="284"/>
      <c r="AE1672" s="284"/>
      <c r="AF1672" s="284"/>
      <c r="AG1672" s="284"/>
      <c r="AI1672" s="131"/>
    </row>
    <row r="1673" spans="1:35" ht="26.4">
      <c r="A1673" s="284"/>
      <c r="B1673" s="284"/>
      <c r="C1673" s="284"/>
      <c r="D1673" s="284"/>
      <c r="E1673" s="284"/>
      <c r="F1673" s="284"/>
      <c r="G1673" s="284"/>
      <c r="H1673" s="284"/>
      <c r="I1673" s="284"/>
      <c r="J1673" s="375"/>
      <c r="K1673" s="375"/>
      <c r="L1673" s="375"/>
      <c r="M1673" s="368"/>
      <c r="N1673" s="368"/>
      <c r="O1673" s="370"/>
      <c r="T1673" s="349"/>
      <c r="V1673" s="378"/>
      <c r="W1673" s="64" ph="1"/>
      <c r="X1673" s="241"/>
      <c r="Y1673" s="284"/>
      <c r="Z1673" s="207"/>
      <c r="AA1673" s="284"/>
      <c r="AB1673" s="284"/>
      <c r="AC1673" s="284"/>
      <c r="AD1673" s="284"/>
      <c r="AE1673" s="284"/>
      <c r="AF1673" s="284"/>
      <c r="AG1673" s="284"/>
      <c r="AI1673" s="131"/>
    </row>
    <row r="1674" spans="1:35" ht="26.4">
      <c r="A1674" s="284"/>
      <c r="B1674" s="284"/>
      <c r="C1674" s="284"/>
      <c r="D1674" s="284"/>
      <c r="E1674" s="284"/>
      <c r="F1674" s="284"/>
      <c r="G1674" s="284"/>
      <c r="H1674" s="284"/>
      <c r="I1674" s="284"/>
      <c r="J1674" s="375"/>
      <c r="K1674" s="375"/>
      <c r="L1674" s="375"/>
      <c r="M1674" s="368"/>
      <c r="N1674" s="368"/>
      <c r="O1674" s="370"/>
      <c r="T1674" s="349"/>
      <c r="V1674" s="378"/>
      <c r="W1674" s="64" ph="1"/>
      <c r="X1674" s="241"/>
      <c r="Y1674" s="284"/>
      <c r="Z1674" s="207"/>
      <c r="AA1674" s="284"/>
      <c r="AB1674" s="284"/>
      <c r="AC1674" s="284"/>
      <c r="AD1674" s="284"/>
      <c r="AE1674" s="284"/>
      <c r="AF1674" s="284"/>
      <c r="AG1674" s="284"/>
      <c r="AI1674" s="131"/>
    </row>
    <row r="1675" spans="1:35" ht="26.4">
      <c r="A1675" s="284"/>
      <c r="B1675" s="284"/>
      <c r="C1675" s="284"/>
      <c r="D1675" s="284"/>
      <c r="E1675" s="284"/>
      <c r="F1675" s="284"/>
      <c r="G1675" s="284"/>
      <c r="H1675" s="284"/>
      <c r="I1675" s="284"/>
      <c r="J1675" s="375"/>
      <c r="K1675" s="375"/>
      <c r="L1675" s="375"/>
      <c r="M1675" s="368"/>
      <c r="N1675" s="368"/>
      <c r="O1675" s="370"/>
      <c r="T1675" s="349"/>
      <c r="V1675" s="378"/>
      <c r="W1675" s="64" ph="1"/>
      <c r="X1675" s="241"/>
      <c r="Y1675" s="284"/>
      <c r="Z1675" s="207"/>
      <c r="AA1675" s="284"/>
      <c r="AB1675" s="284"/>
      <c r="AC1675" s="284"/>
      <c r="AD1675" s="284"/>
      <c r="AE1675" s="284"/>
      <c r="AF1675" s="284"/>
      <c r="AG1675" s="284"/>
      <c r="AI1675" s="131"/>
    </row>
    <row r="1676" spans="1:35" ht="26.4">
      <c r="A1676" s="284"/>
      <c r="B1676" s="284"/>
      <c r="C1676" s="284"/>
      <c r="D1676" s="284"/>
      <c r="E1676" s="284"/>
      <c r="F1676" s="284"/>
      <c r="G1676" s="284"/>
      <c r="H1676" s="284"/>
      <c r="I1676" s="284"/>
      <c r="J1676" s="375"/>
      <c r="K1676" s="375"/>
      <c r="L1676" s="375"/>
      <c r="M1676" s="368"/>
      <c r="N1676" s="368"/>
      <c r="O1676" s="370"/>
      <c r="T1676" s="349"/>
      <c r="V1676" s="378"/>
      <c r="W1676" s="64" ph="1"/>
      <c r="X1676" s="241"/>
      <c r="Y1676" s="284"/>
      <c r="Z1676" s="207"/>
      <c r="AA1676" s="284"/>
      <c r="AB1676" s="284"/>
      <c r="AC1676" s="284"/>
      <c r="AD1676" s="284"/>
      <c r="AE1676" s="284"/>
      <c r="AF1676" s="284"/>
      <c r="AG1676" s="284"/>
      <c r="AI1676" s="131"/>
    </row>
    <row r="1677" spans="1:35" ht="26.4">
      <c r="A1677" s="284"/>
      <c r="B1677" s="284"/>
      <c r="C1677" s="284"/>
      <c r="D1677" s="284"/>
      <c r="E1677" s="284"/>
      <c r="F1677" s="284"/>
      <c r="G1677" s="284"/>
      <c r="H1677" s="284"/>
      <c r="I1677" s="284"/>
      <c r="J1677" s="375"/>
      <c r="K1677" s="375"/>
      <c r="L1677" s="375"/>
      <c r="M1677" s="368"/>
      <c r="N1677" s="368"/>
      <c r="O1677" s="370"/>
      <c r="T1677" s="349"/>
      <c r="V1677" s="378"/>
      <c r="W1677" s="64" ph="1"/>
      <c r="X1677" s="241"/>
      <c r="Y1677" s="284"/>
      <c r="Z1677" s="207"/>
      <c r="AA1677" s="284"/>
      <c r="AB1677" s="284"/>
      <c r="AC1677" s="284"/>
      <c r="AD1677" s="284"/>
      <c r="AE1677" s="284"/>
      <c r="AF1677" s="284"/>
      <c r="AG1677" s="284"/>
      <c r="AI1677" s="131"/>
    </row>
    <row r="1678" spans="1:35" ht="26.4">
      <c r="A1678" s="284"/>
      <c r="B1678" s="284"/>
      <c r="C1678" s="284"/>
      <c r="D1678" s="284"/>
      <c r="E1678" s="284"/>
      <c r="F1678" s="284"/>
      <c r="G1678" s="284"/>
      <c r="H1678" s="284"/>
      <c r="I1678" s="284"/>
      <c r="J1678" s="375"/>
      <c r="K1678" s="375"/>
      <c r="L1678" s="375"/>
      <c r="M1678" s="368"/>
      <c r="N1678" s="368"/>
      <c r="O1678" s="370"/>
      <c r="T1678" s="349"/>
      <c r="V1678" s="378"/>
      <c r="W1678" s="64" ph="1"/>
      <c r="X1678" s="241"/>
      <c r="Y1678" s="284"/>
      <c r="Z1678" s="207"/>
      <c r="AA1678" s="284"/>
      <c r="AB1678" s="284"/>
      <c r="AC1678" s="284"/>
      <c r="AD1678" s="284"/>
      <c r="AE1678" s="284"/>
      <c r="AF1678" s="284"/>
      <c r="AG1678" s="284"/>
      <c r="AI1678" s="131"/>
    </row>
    <row r="1679" spans="1:35" ht="26.4">
      <c r="A1679" s="284"/>
      <c r="B1679" s="284"/>
      <c r="C1679" s="284"/>
      <c r="D1679" s="284"/>
      <c r="E1679" s="284"/>
      <c r="F1679" s="284"/>
      <c r="G1679" s="284"/>
      <c r="H1679" s="284"/>
      <c r="I1679" s="284"/>
      <c r="J1679" s="375"/>
      <c r="K1679" s="375"/>
      <c r="L1679" s="375"/>
      <c r="M1679" s="368"/>
      <c r="N1679" s="368"/>
      <c r="O1679" s="370"/>
      <c r="T1679" s="349"/>
      <c r="V1679" s="378"/>
      <c r="W1679" s="64" ph="1"/>
      <c r="X1679" s="241"/>
      <c r="Y1679" s="284"/>
      <c r="Z1679" s="207"/>
      <c r="AA1679" s="284"/>
      <c r="AB1679" s="284"/>
      <c r="AC1679" s="284"/>
      <c r="AD1679" s="284"/>
      <c r="AE1679" s="284"/>
      <c r="AF1679" s="284"/>
      <c r="AG1679" s="284"/>
      <c r="AI1679" s="131"/>
    </row>
    <row r="1680" spans="1:35" ht="26.4">
      <c r="A1680" s="284"/>
      <c r="B1680" s="284"/>
      <c r="C1680" s="284"/>
      <c r="D1680" s="284"/>
      <c r="E1680" s="284"/>
      <c r="F1680" s="284"/>
      <c r="G1680" s="284"/>
      <c r="H1680" s="284"/>
      <c r="I1680" s="284"/>
      <c r="J1680" s="375"/>
      <c r="K1680" s="375"/>
      <c r="L1680" s="375"/>
      <c r="M1680" s="368"/>
      <c r="N1680" s="368"/>
      <c r="O1680" s="370"/>
      <c r="T1680" s="349"/>
      <c r="V1680" s="378"/>
      <c r="W1680" s="64" ph="1"/>
      <c r="X1680" s="241"/>
      <c r="Y1680" s="284"/>
      <c r="Z1680" s="207"/>
      <c r="AA1680" s="284"/>
      <c r="AB1680" s="284"/>
      <c r="AC1680" s="284"/>
      <c r="AD1680" s="284"/>
      <c r="AE1680" s="284"/>
      <c r="AF1680" s="284"/>
      <c r="AG1680" s="284"/>
      <c r="AI1680" s="131"/>
    </row>
    <row r="1681" spans="1:35" ht="26.4">
      <c r="A1681" s="284"/>
      <c r="B1681" s="284"/>
      <c r="C1681" s="284"/>
      <c r="D1681" s="284"/>
      <c r="E1681" s="284"/>
      <c r="F1681" s="284"/>
      <c r="G1681" s="284"/>
      <c r="H1681" s="284"/>
      <c r="I1681" s="284"/>
      <c r="J1681" s="375"/>
      <c r="K1681" s="375"/>
      <c r="L1681" s="375"/>
      <c r="M1681" s="368"/>
      <c r="N1681" s="368"/>
      <c r="O1681" s="370"/>
      <c r="T1681" s="349"/>
      <c r="V1681" s="378"/>
      <c r="W1681" s="64" ph="1"/>
      <c r="X1681" s="241"/>
      <c r="Y1681" s="284"/>
      <c r="Z1681" s="207"/>
      <c r="AA1681" s="284"/>
      <c r="AB1681" s="284"/>
      <c r="AC1681" s="284"/>
      <c r="AD1681" s="284"/>
      <c r="AE1681" s="284"/>
      <c r="AF1681" s="284"/>
      <c r="AG1681" s="284"/>
      <c r="AI1681" s="131"/>
    </row>
    <row r="1682" spans="1:35" ht="26.4">
      <c r="A1682" s="284"/>
      <c r="B1682" s="284"/>
      <c r="C1682" s="284"/>
      <c r="D1682" s="284"/>
      <c r="E1682" s="284"/>
      <c r="F1682" s="284"/>
      <c r="G1682" s="284"/>
      <c r="H1682" s="284"/>
      <c r="I1682" s="284"/>
      <c r="J1682" s="375"/>
      <c r="K1682" s="375"/>
      <c r="L1682" s="375"/>
      <c r="M1682" s="368"/>
      <c r="N1682" s="368"/>
      <c r="O1682" s="370"/>
      <c r="T1682" s="349"/>
      <c r="V1682" s="378"/>
      <c r="W1682" s="64" ph="1"/>
      <c r="X1682" s="241"/>
      <c r="Y1682" s="284"/>
      <c r="Z1682" s="207"/>
      <c r="AA1682" s="284"/>
      <c r="AB1682" s="284"/>
      <c r="AC1682" s="284"/>
      <c r="AD1682" s="284"/>
      <c r="AE1682" s="284"/>
      <c r="AF1682" s="284"/>
      <c r="AG1682" s="284"/>
      <c r="AI1682" s="131"/>
    </row>
    <row r="1683" spans="1:35" ht="26.4">
      <c r="A1683" s="284"/>
      <c r="B1683" s="284"/>
      <c r="C1683" s="284"/>
      <c r="D1683" s="284"/>
      <c r="E1683" s="284"/>
      <c r="F1683" s="284"/>
      <c r="G1683" s="284"/>
      <c r="H1683" s="284"/>
      <c r="I1683" s="284"/>
      <c r="J1683" s="375"/>
      <c r="K1683" s="375"/>
      <c r="L1683" s="375"/>
      <c r="M1683" s="368"/>
      <c r="N1683" s="368"/>
      <c r="O1683" s="370"/>
      <c r="T1683" s="349"/>
      <c r="V1683" s="378"/>
      <c r="W1683" s="64" ph="1"/>
      <c r="X1683" s="241"/>
      <c r="Y1683" s="284"/>
      <c r="Z1683" s="207"/>
      <c r="AA1683" s="284"/>
      <c r="AB1683" s="284"/>
      <c r="AC1683" s="284"/>
      <c r="AD1683" s="284"/>
      <c r="AE1683" s="284"/>
      <c r="AF1683" s="284"/>
      <c r="AG1683" s="284"/>
      <c r="AI1683" s="131"/>
    </row>
    <row r="1684" spans="1:35" ht="26.4">
      <c r="A1684" s="284"/>
      <c r="B1684" s="284"/>
      <c r="C1684" s="284"/>
      <c r="D1684" s="284"/>
      <c r="E1684" s="284"/>
      <c r="F1684" s="284"/>
      <c r="G1684" s="284"/>
      <c r="H1684" s="284"/>
      <c r="I1684" s="284"/>
      <c r="J1684" s="375"/>
      <c r="K1684" s="375"/>
      <c r="L1684" s="375"/>
      <c r="M1684" s="368"/>
      <c r="N1684" s="368"/>
      <c r="O1684" s="370"/>
      <c r="T1684" s="349"/>
      <c r="V1684" s="378"/>
      <c r="W1684" s="64" ph="1"/>
      <c r="X1684" s="241"/>
      <c r="Y1684" s="284"/>
      <c r="Z1684" s="207"/>
      <c r="AA1684" s="284"/>
      <c r="AB1684" s="284"/>
      <c r="AC1684" s="284"/>
      <c r="AD1684" s="284"/>
      <c r="AE1684" s="284"/>
      <c r="AF1684" s="284"/>
      <c r="AG1684" s="284"/>
      <c r="AI1684" s="131"/>
    </row>
    <row r="1685" spans="1:35" ht="26.4">
      <c r="A1685" s="284"/>
      <c r="B1685" s="284"/>
      <c r="C1685" s="284"/>
      <c r="D1685" s="284"/>
      <c r="E1685" s="284"/>
      <c r="F1685" s="284"/>
      <c r="G1685" s="284"/>
      <c r="H1685" s="284"/>
      <c r="I1685" s="284"/>
      <c r="J1685" s="375"/>
      <c r="K1685" s="375"/>
      <c r="L1685" s="375"/>
      <c r="M1685" s="368"/>
      <c r="N1685" s="368"/>
      <c r="O1685" s="370"/>
      <c r="T1685" s="349"/>
      <c r="V1685" s="378"/>
      <c r="W1685" s="64" ph="1"/>
      <c r="X1685" s="241"/>
      <c r="Y1685" s="284"/>
      <c r="Z1685" s="207"/>
      <c r="AA1685" s="284"/>
      <c r="AB1685" s="284"/>
      <c r="AC1685" s="284"/>
      <c r="AD1685" s="284"/>
      <c r="AE1685" s="284"/>
      <c r="AF1685" s="284"/>
      <c r="AG1685" s="284"/>
      <c r="AI1685" s="131"/>
    </row>
    <row r="1686" spans="1:35" ht="26.4">
      <c r="A1686" s="284"/>
      <c r="B1686" s="284"/>
      <c r="C1686" s="284"/>
      <c r="D1686" s="284"/>
      <c r="E1686" s="284"/>
      <c r="F1686" s="284"/>
      <c r="G1686" s="284"/>
      <c r="H1686" s="284"/>
      <c r="I1686" s="284"/>
      <c r="J1686" s="375"/>
      <c r="K1686" s="375"/>
      <c r="L1686" s="375"/>
      <c r="M1686" s="368"/>
      <c r="N1686" s="368"/>
      <c r="O1686" s="370"/>
      <c r="T1686" s="349"/>
      <c r="V1686" s="378"/>
      <c r="W1686" s="64" ph="1"/>
      <c r="X1686" s="241"/>
      <c r="Y1686" s="284"/>
      <c r="Z1686" s="207"/>
      <c r="AA1686" s="284"/>
      <c r="AB1686" s="284"/>
      <c r="AC1686" s="284"/>
      <c r="AD1686" s="284"/>
      <c r="AE1686" s="284"/>
      <c r="AF1686" s="284"/>
      <c r="AG1686" s="284"/>
      <c r="AI1686" s="131"/>
    </row>
    <row r="1687" spans="1:35" ht="26.4">
      <c r="A1687" s="284"/>
      <c r="B1687" s="284"/>
      <c r="C1687" s="284"/>
      <c r="D1687" s="284"/>
      <c r="E1687" s="284"/>
      <c r="F1687" s="284"/>
      <c r="G1687" s="284"/>
      <c r="H1687" s="284"/>
      <c r="I1687" s="284"/>
      <c r="J1687" s="375"/>
      <c r="K1687" s="375"/>
      <c r="L1687" s="375"/>
      <c r="M1687" s="368"/>
      <c r="N1687" s="368"/>
      <c r="O1687" s="370"/>
      <c r="T1687" s="349"/>
      <c r="V1687" s="378"/>
      <c r="W1687" s="64" ph="1"/>
      <c r="X1687" s="241"/>
      <c r="Y1687" s="284"/>
      <c r="Z1687" s="207"/>
      <c r="AA1687" s="284"/>
      <c r="AB1687" s="284"/>
      <c r="AC1687" s="284"/>
      <c r="AD1687" s="284"/>
      <c r="AE1687" s="284"/>
      <c r="AF1687" s="284"/>
      <c r="AG1687" s="284"/>
      <c r="AI1687" s="131"/>
    </row>
    <row r="1688" spans="1:35" ht="26.4">
      <c r="A1688" s="284"/>
      <c r="B1688" s="284"/>
      <c r="C1688" s="284"/>
      <c r="D1688" s="284"/>
      <c r="E1688" s="284"/>
      <c r="F1688" s="284"/>
      <c r="G1688" s="284"/>
      <c r="H1688" s="284"/>
      <c r="I1688" s="284"/>
      <c r="J1688" s="375"/>
      <c r="K1688" s="375"/>
      <c r="L1688" s="375"/>
      <c r="M1688" s="368"/>
      <c r="N1688" s="368"/>
      <c r="O1688" s="370"/>
      <c r="T1688" s="349"/>
      <c r="V1688" s="378"/>
      <c r="W1688" s="64" ph="1"/>
      <c r="X1688" s="241"/>
      <c r="Y1688" s="284"/>
      <c r="Z1688" s="207"/>
      <c r="AA1688" s="284"/>
      <c r="AB1688" s="284"/>
      <c r="AC1688" s="284"/>
      <c r="AD1688" s="284"/>
      <c r="AE1688" s="284"/>
      <c r="AF1688" s="284"/>
      <c r="AG1688" s="284"/>
      <c r="AI1688" s="131"/>
    </row>
    <row r="1689" spans="1:35" ht="26.4">
      <c r="A1689" s="284"/>
      <c r="B1689" s="284"/>
      <c r="C1689" s="284"/>
      <c r="D1689" s="284"/>
      <c r="E1689" s="284"/>
      <c r="F1689" s="284"/>
      <c r="G1689" s="284"/>
      <c r="H1689" s="284"/>
      <c r="I1689" s="284"/>
      <c r="J1689" s="375"/>
      <c r="K1689" s="375"/>
      <c r="L1689" s="375"/>
      <c r="M1689" s="368"/>
      <c r="N1689" s="368"/>
      <c r="O1689" s="370"/>
      <c r="T1689" s="349"/>
      <c r="V1689" s="378"/>
      <c r="W1689" s="64" ph="1"/>
      <c r="X1689" s="241"/>
      <c r="Y1689" s="284"/>
      <c r="Z1689" s="207"/>
      <c r="AA1689" s="284"/>
      <c r="AB1689" s="284"/>
      <c r="AC1689" s="284"/>
      <c r="AD1689" s="284"/>
      <c r="AE1689" s="284"/>
      <c r="AF1689" s="284"/>
      <c r="AG1689" s="284"/>
      <c r="AI1689" s="131"/>
    </row>
    <row r="1690" spans="1:35" ht="26.4">
      <c r="A1690" s="284"/>
      <c r="B1690" s="284"/>
      <c r="C1690" s="284"/>
      <c r="D1690" s="284"/>
      <c r="E1690" s="284"/>
      <c r="F1690" s="284"/>
      <c r="G1690" s="284"/>
      <c r="H1690" s="284"/>
      <c r="I1690" s="284"/>
      <c r="J1690" s="375"/>
      <c r="K1690" s="375"/>
      <c r="L1690" s="375"/>
      <c r="M1690" s="368"/>
      <c r="N1690" s="368"/>
      <c r="O1690" s="370"/>
      <c r="T1690" s="349"/>
      <c r="V1690" s="378"/>
      <c r="W1690" s="64" ph="1"/>
      <c r="X1690" s="241"/>
      <c r="Y1690" s="284"/>
      <c r="Z1690" s="207"/>
      <c r="AA1690" s="284"/>
      <c r="AB1690" s="284"/>
      <c r="AC1690" s="284"/>
      <c r="AD1690" s="284"/>
      <c r="AE1690" s="284"/>
      <c r="AF1690" s="284"/>
      <c r="AG1690" s="284"/>
      <c r="AI1690" s="131"/>
    </row>
    <row r="1691" spans="1:35" ht="26.4">
      <c r="A1691" s="284"/>
      <c r="B1691" s="284"/>
      <c r="C1691" s="284"/>
      <c r="D1691" s="284"/>
      <c r="E1691" s="284"/>
      <c r="F1691" s="284"/>
      <c r="G1691" s="284"/>
      <c r="H1691" s="284"/>
      <c r="I1691" s="284"/>
      <c r="J1691" s="375"/>
      <c r="K1691" s="375"/>
      <c r="L1691" s="375"/>
      <c r="M1691" s="368"/>
      <c r="N1691" s="368"/>
      <c r="O1691" s="370"/>
      <c r="T1691" s="349"/>
      <c r="V1691" s="378"/>
      <c r="W1691" s="64" ph="1"/>
      <c r="X1691" s="241"/>
      <c r="Y1691" s="284"/>
      <c r="Z1691" s="207"/>
      <c r="AA1691" s="284"/>
      <c r="AB1691" s="284"/>
      <c r="AC1691" s="284"/>
      <c r="AD1691" s="284"/>
      <c r="AE1691" s="284"/>
      <c r="AF1691" s="284"/>
      <c r="AG1691" s="284"/>
      <c r="AI1691" s="131"/>
    </row>
    <row r="1692" spans="1:35" ht="26.4">
      <c r="A1692" s="284"/>
      <c r="B1692" s="284"/>
      <c r="C1692" s="284"/>
      <c r="D1692" s="284"/>
      <c r="E1692" s="284"/>
      <c r="F1692" s="284"/>
      <c r="G1692" s="284"/>
      <c r="H1692" s="284"/>
      <c r="I1692" s="284"/>
      <c r="J1692" s="375"/>
      <c r="K1692" s="375"/>
      <c r="L1692" s="375"/>
      <c r="M1692" s="368"/>
      <c r="N1692" s="368"/>
      <c r="O1692" s="370"/>
      <c r="T1692" s="349"/>
      <c r="V1692" s="378"/>
      <c r="W1692" s="64" ph="1"/>
      <c r="X1692" s="241"/>
      <c r="Y1692" s="284"/>
      <c r="Z1692" s="207"/>
      <c r="AA1692" s="284"/>
      <c r="AB1692" s="284"/>
      <c r="AC1692" s="284"/>
      <c r="AD1692" s="284"/>
      <c r="AE1692" s="284"/>
      <c r="AF1692" s="284"/>
      <c r="AG1692" s="284"/>
      <c r="AI1692" s="131"/>
    </row>
    <row r="1693" spans="1:35" ht="26.4">
      <c r="A1693" s="284"/>
      <c r="B1693" s="284"/>
      <c r="C1693" s="284"/>
      <c r="D1693" s="284"/>
      <c r="E1693" s="284"/>
      <c r="F1693" s="284"/>
      <c r="G1693" s="284"/>
      <c r="H1693" s="284"/>
      <c r="I1693" s="284"/>
      <c r="J1693" s="375"/>
      <c r="K1693" s="375"/>
      <c r="L1693" s="375"/>
      <c r="M1693" s="368"/>
      <c r="N1693" s="368"/>
      <c r="O1693" s="370"/>
      <c r="T1693" s="349"/>
      <c r="V1693" s="378"/>
      <c r="W1693" s="64" ph="1"/>
      <c r="X1693" s="241"/>
      <c r="Y1693" s="284"/>
      <c r="Z1693" s="207"/>
      <c r="AA1693" s="284"/>
      <c r="AB1693" s="284"/>
      <c r="AC1693" s="284"/>
      <c r="AD1693" s="284"/>
      <c r="AE1693" s="284"/>
      <c r="AF1693" s="284"/>
      <c r="AG1693" s="284"/>
      <c r="AI1693" s="131"/>
    </row>
    <row r="1694" spans="1:35" ht="26.4">
      <c r="A1694" s="284"/>
      <c r="B1694" s="284"/>
      <c r="C1694" s="284"/>
      <c r="D1694" s="284"/>
      <c r="E1694" s="284"/>
      <c r="F1694" s="284"/>
      <c r="G1694" s="284"/>
      <c r="H1694" s="284"/>
      <c r="I1694" s="284"/>
      <c r="J1694" s="375"/>
      <c r="K1694" s="375"/>
      <c r="L1694" s="375"/>
      <c r="M1694" s="368"/>
      <c r="N1694" s="368"/>
      <c r="O1694" s="370"/>
      <c r="T1694" s="349"/>
      <c r="V1694" s="378"/>
      <c r="W1694" s="64" ph="1"/>
      <c r="X1694" s="241"/>
      <c r="Y1694" s="284"/>
      <c r="Z1694" s="207"/>
      <c r="AA1694" s="284"/>
      <c r="AB1694" s="284"/>
      <c r="AC1694" s="284"/>
      <c r="AD1694" s="284"/>
      <c r="AE1694" s="284"/>
      <c r="AF1694" s="284"/>
      <c r="AG1694" s="284"/>
      <c r="AI1694" s="131"/>
    </row>
    <row r="1695" spans="1:35" ht="26.4">
      <c r="A1695" s="284"/>
      <c r="B1695" s="284"/>
      <c r="C1695" s="284"/>
      <c r="D1695" s="284"/>
      <c r="E1695" s="284"/>
      <c r="F1695" s="284"/>
      <c r="G1695" s="284"/>
      <c r="H1695" s="284"/>
      <c r="I1695" s="284"/>
      <c r="J1695" s="375"/>
      <c r="K1695" s="375"/>
      <c r="L1695" s="375"/>
      <c r="M1695" s="368"/>
      <c r="N1695" s="368"/>
      <c r="O1695" s="370"/>
      <c r="T1695" s="349"/>
      <c r="V1695" s="378"/>
      <c r="W1695" s="64" ph="1"/>
      <c r="X1695" s="241"/>
      <c r="Y1695" s="284"/>
      <c r="Z1695" s="207"/>
      <c r="AA1695" s="284"/>
      <c r="AB1695" s="284"/>
      <c r="AC1695" s="284"/>
      <c r="AD1695" s="284"/>
      <c r="AE1695" s="284"/>
      <c r="AF1695" s="284"/>
      <c r="AG1695" s="284"/>
      <c r="AI1695" s="131"/>
    </row>
    <row r="1696" spans="1:35" ht="26.4">
      <c r="A1696" s="284"/>
      <c r="B1696" s="284"/>
      <c r="C1696" s="284"/>
      <c r="D1696" s="284"/>
      <c r="E1696" s="284"/>
      <c r="F1696" s="284"/>
      <c r="G1696" s="284"/>
      <c r="H1696" s="284"/>
      <c r="I1696" s="284"/>
      <c r="J1696" s="375"/>
      <c r="K1696" s="375"/>
      <c r="L1696" s="375"/>
      <c r="M1696" s="368"/>
      <c r="N1696" s="368"/>
      <c r="O1696" s="370"/>
      <c r="T1696" s="349"/>
      <c r="V1696" s="378"/>
      <c r="W1696" s="64" ph="1"/>
      <c r="X1696" s="241"/>
      <c r="Y1696" s="284"/>
      <c r="Z1696" s="207"/>
      <c r="AA1696" s="284"/>
      <c r="AB1696" s="284"/>
      <c r="AC1696" s="284"/>
      <c r="AD1696" s="284"/>
      <c r="AE1696" s="284"/>
      <c r="AF1696" s="284"/>
      <c r="AG1696" s="284"/>
      <c r="AI1696" s="131"/>
    </row>
    <row r="1697" spans="1:35" ht="26.4">
      <c r="A1697" s="284"/>
      <c r="B1697" s="284"/>
      <c r="C1697" s="284"/>
      <c r="D1697" s="284"/>
      <c r="E1697" s="284"/>
      <c r="F1697" s="284"/>
      <c r="G1697" s="284"/>
      <c r="H1697" s="284"/>
      <c r="I1697" s="284"/>
      <c r="J1697" s="375"/>
      <c r="K1697" s="375"/>
      <c r="L1697" s="375"/>
      <c r="M1697" s="368"/>
      <c r="N1697" s="368"/>
      <c r="O1697" s="370"/>
      <c r="T1697" s="349"/>
      <c r="V1697" s="378"/>
      <c r="W1697" s="64" ph="1"/>
      <c r="X1697" s="241"/>
      <c r="Y1697" s="284"/>
      <c r="Z1697" s="207"/>
      <c r="AA1697" s="284"/>
      <c r="AB1697" s="284"/>
      <c r="AC1697" s="284"/>
      <c r="AD1697" s="284"/>
      <c r="AE1697" s="284"/>
      <c r="AF1697" s="284"/>
      <c r="AG1697" s="284"/>
      <c r="AI1697" s="131"/>
    </row>
    <row r="1698" spans="1:35" ht="26.4">
      <c r="A1698" s="284"/>
      <c r="B1698" s="284"/>
      <c r="C1698" s="284"/>
      <c r="D1698" s="284"/>
      <c r="E1698" s="284"/>
      <c r="F1698" s="284"/>
      <c r="G1698" s="284"/>
      <c r="H1698" s="284"/>
      <c r="I1698" s="284"/>
      <c r="J1698" s="375"/>
      <c r="K1698" s="375"/>
      <c r="L1698" s="375"/>
      <c r="M1698" s="368"/>
      <c r="N1698" s="368"/>
      <c r="O1698" s="370"/>
      <c r="T1698" s="349"/>
      <c r="V1698" s="378"/>
      <c r="W1698" s="64" ph="1"/>
      <c r="X1698" s="241"/>
      <c r="Y1698" s="284"/>
      <c r="Z1698" s="207"/>
      <c r="AA1698" s="284"/>
      <c r="AB1698" s="284"/>
      <c r="AC1698" s="284"/>
      <c r="AD1698" s="284"/>
      <c r="AE1698" s="284"/>
      <c r="AF1698" s="284"/>
      <c r="AG1698" s="284"/>
      <c r="AI1698" s="284"/>
    </row>
    <row r="1699" spans="1:35" ht="26.4">
      <c r="A1699" s="284"/>
      <c r="B1699" s="284"/>
      <c r="C1699" s="284"/>
      <c r="D1699" s="284"/>
      <c r="E1699" s="284"/>
      <c r="F1699" s="284"/>
      <c r="G1699" s="284"/>
      <c r="H1699" s="284"/>
      <c r="I1699" s="284"/>
      <c r="J1699" s="375"/>
      <c r="K1699" s="375"/>
      <c r="L1699" s="375"/>
      <c r="M1699" s="368"/>
      <c r="N1699" s="368"/>
      <c r="O1699" s="370"/>
      <c r="T1699" s="349"/>
      <c r="V1699" s="378"/>
      <c r="W1699" s="64" ph="1"/>
      <c r="X1699" s="241"/>
      <c r="Y1699" s="284"/>
      <c r="Z1699" s="207"/>
      <c r="AA1699" s="284"/>
      <c r="AB1699" s="284"/>
      <c r="AC1699" s="284"/>
      <c r="AD1699" s="284"/>
      <c r="AE1699" s="284"/>
      <c r="AF1699" s="284"/>
      <c r="AG1699" s="284"/>
      <c r="AI1699" s="131"/>
    </row>
    <row r="1700" spans="1:35" ht="26.4">
      <c r="A1700" s="284"/>
      <c r="B1700" s="284"/>
      <c r="C1700" s="284"/>
      <c r="D1700" s="284"/>
      <c r="E1700" s="284"/>
      <c r="F1700" s="284"/>
      <c r="G1700" s="284"/>
      <c r="H1700" s="284"/>
      <c r="I1700" s="284"/>
      <c r="J1700" s="375"/>
      <c r="K1700" s="375"/>
      <c r="L1700" s="375"/>
      <c r="M1700" s="368"/>
      <c r="N1700" s="368"/>
      <c r="O1700" s="370"/>
      <c r="T1700" s="349"/>
      <c r="V1700" s="378"/>
      <c r="W1700" s="64" ph="1"/>
      <c r="X1700" s="241"/>
      <c r="Y1700" s="284"/>
      <c r="Z1700" s="207"/>
      <c r="AA1700" s="284"/>
      <c r="AB1700" s="284"/>
      <c r="AC1700" s="284"/>
      <c r="AD1700" s="284"/>
      <c r="AE1700" s="284"/>
      <c r="AF1700" s="284"/>
      <c r="AG1700" s="284"/>
      <c r="AI1700" s="131"/>
    </row>
    <row r="1701" spans="1:35" ht="26.4">
      <c r="A1701" s="284"/>
      <c r="B1701" s="284"/>
      <c r="C1701" s="284"/>
      <c r="D1701" s="284"/>
      <c r="E1701" s="284"/>
      <c r="F1701" s="284"/>
      <c r="G1701" s="284"/>
      <c r="H1701" s="284"/>
      <c r="I1701" s="284"/>
      <c r="J1701" s="375"/>
      <c r="K1701" s="375"/>
      <c r="L1701" s="375"/>
      <c r="M1701" s="368"/>
      <c r="N1701" s="368"/>
      <c r="O1701" s="370"/>
      <c r="T1701" s="349"/>
      <c r="V1701" s="378"/>
      <c r="W1701" s="64" ph="1"/>
      <c r="X1701" s="241"/>
      <c r="Y1701" s="284"/>
      <c r="Z1701" s="207"/>
      <c r="AA1701" s="284"/>
      <c r="AB1701" s="284"/>
      <c r="AC1701" s="284"/>
      <c r="AD1701" s="284"/>
      <c r="AE1701" s="284"/>
      <c r="AF1701" s="284"/>
      <c r="AG1701" s="284"/>
      <c r="AI1701" s="131"/>
    </row>
    <row r="1702" spans="1:35" ht="26.4">
      <c r="A1702" s="284"/>
      <c r="B1702" s="284"/>
      <c r="C1702" s="284"/>
      <c r="D1702" s="284"/>
      <c r="E1702" s="284"/>
      <c r="F1702" s="284"/>
      <c r="G1702" s="284"/>
      <c r="H1702" s="284"/>
      <c r="I1702" s="284"/>
      <c r="J1702" s="375"/>
      <c r="K1702" s="375"/>
      <c r="L1702" s="375"/>
      <c r="M1702" s="368"/>
      <c r="N1702" s="368"/>
      <c r="O1702" s="370"/>
      <c r="T1702" s="349"/>
      <c r="V1702" s="378"/>
      <c r="W1702" s="64" ph="1"/>
      <c r="X1702" s="241"/>
      <c r="Y1702" s="284"/>
      <c r="Z1702" s="207"/>
      <c r="AA1702" s="284"/>
      <c r="AB1702" s="284"/>
      <c r="AC1702" s="284"/>
      <c r="AD1702" s="284"/>
      <c r="AE1702" s="284"/>
      <c r="AF1702" s="284"/>
      <c r="AG1702" s="284"/>
      <c r="AI1702" s="131"/>
    </row>
    <row r="1703" spans="1:35" ht="26.4">
      <c r="A1703" s="284"/>
      <c r="B1703" s="284"/>
      <c r="C1703" s="284"/>
      <c r="D1703" s="284"/>
      <c r="E1703" s="284"/>
      <c r="F1703" s="284"/>
      <c r="G1703" s="284"/>
      <c r="H1703" s="284"/>
      <c r="I1703" s="284"/>
      <c r="J1703" s="375"/>
      <c r="K1703" s="375"/>
      <c r="L1703" s="375"/>
      <c r="M1703" s="368"/>
      <c r="N1703" s="368"/>
      <c r="O1703" s="370"/>
      <c r="T1703" s="349"/>
      <c r="V1703" s="378"/>
      <c r="W1703" s="64" ph="1"/>
      <c r="X1703" s="241"/>
      <c r="Y1703" s="284"/>
      <c r="Z1703" s="207"/>
      <c r="AA1703" s="284"/>
      <c r="AB1703" s="284"/>
      <c r="AC1703" s="284"/>
      <c r="AD1703" s="284"/>
      <c r="AE1703" s="284"/>
      <c r="AF1703" s="284"/>
      <c r="AG1703" s="284"/>
      <c r="AI1703" s="131"/>
    </row>
    <row r="1704" spans="1:35" ht="26.4">
      <c r="A1704" s="284"/>
      <c r="B1704" s="284"/>
      <c r="C1704" s="284"/>
      <c r="D1704" s="284"/>
      <c r="E1704" s="284"/>
      <c r="F1704" s="284"/>
      <c r="G1704" s="284"/>
      <c r="H1704" s="284"/>
      <c r="I1704" s="284"/>
      <c r="J1704" s="375"/>
      <c r="K1704" s="375"/>
      <c r="L1704" s="375"/>
      <c r="M1704" s="368"/>
      <c r="N1704" s="368"/>
      <c r="O1704" s="370"/>
      <c r="T1704" s="349"/>
      <c r="V1704" s="378"/>
      <c r="W1704" s="64" ph="1"/>
      <c r="X1704" s="241"/>
      <c r="Y1704" s="284"/>
      <c r="Z1704" s="207"/>
      <c r="AA1704" s="284"/>
      <c r="AB1704" s="284"/>
      <c r="AC1704" s="284"/>
      <c r="AD1704" s="284"/>
      <c r="AE1704" s="284"/>
      <c r="AF1704" s="284"/>
      <c r="AG1704" s="284"/>
      <c r="AI1704" s="131"/>
    </row>
    <row r="1705" spans="1:35" ht="26.4">
      <c r="A1705" s="284"/>
      <c r="B1705" s="284"/>
      <c r="C1705" s="284"/>
      <c r="D1705" s="284"/>
      <c r="E1705" s="284"/>
      <c r="F1705" s="284"/>
      <c r="G1705" s="284"/>
      <c r="H1705" s="284"/>
      <c r="I1705" s="284"/>
      <c r="J1705" s="375"/>
      <c r="K1705" s="375"/>
      <c r="L1705" s="375"/>
      <c r="M1705" s="368"/>
      <c r="N1705" s="368"/>
      <c r="O1705" s="370"/>
      <c r="T1705" s="349"/>
      <c r="V1705" s="378"/>
      <c r="W1705" s="64" ph="1"/>
      <c r="X1705" s="241"/>
      <c r="Y1705" s="284"/>
      <c r="Z1705" s="207"/>
      <c r="AA1705" s="284"/>
      <c r="AB1705" s="284"/>
      <c r="AC1705" s="284"/>
      <c r="AD1705" s="284"/>
      <c r="AE1705" s="284"/>
      <c r="AF1705" s="284"/>
      <c r="AG1705" s="284"/>
      <c r="AI1705" s="131"/>
    </row>
    <row r="1706" spans="1:35" ht="26.4">
      <c r="A1706" s="284"/>
      <c r="B1706" s="284"/>
      <c r="C1706" s="284"/>
      <c r="D1706" s="284"/>
      <c r="E1706" s="284"/>
      <c r="F1706" s="284"/>
      <c r="G1706" s="284"/>
      <c r="H1706" s="284"/>
      <c r="I1706" s="284"/>
      <c r="J1706" s="375"/>
      <c r="K1706" s="375"/>
      <c r="L1706" s="375"/>
      <c r="M1706" s="368"/>
      <c r="N1706" s="368"/>
      <c r="O1706" s="370"/>
      <c r="T1706" s="349"/>
      <c r="V1706" s="378"/>
      <c r="W1706" s="64" ph="1"/>
      <c r="X1706" s="241"/>
      <c r="Y1706" s="284"/>
      <c r="Z1706" s="207"/>
      <c r="AA1706" s="284"/>
      <c r="AB1706" s="284"/>
      <c r="AC1706" s="284"/>
      <c r="AD1706" s="284"/>
      <c r="AE1706" s="284"/>
      <c r="AF1706" s="284"/>
      <c r="AG1706" s="284"/>
      <c r="AI1706" s="131"/>
    </row>
    <row r="1707" spans="1:35" ht="26.4">
      <c r="A1707" s="284"/>
      <c r="B1707" s="284"/>
      <c r="C1707" s="284"/>
      <c r="D1707" s="284"/>
      <c r="E1707" s="284"/>
      <c r="F1707" s="284"/>
      <c r="G1707" s="284"/>
      <c r="H1707" s="284"/>
      <c r="I1707" s="284"/>
      <c r="J1707" s="375"/>
      <c r="K1707" s="375"/>
      <c r="L1707" s="375"/>
      <c r="M1707" s="368"/>
      <c r="N1707" s="368"/>
      <c r="O1707" s="370"/>
      <c r="T1707" s="349"/>
      <c r="V1707" s="378"/>
      <c r="W1707" s="64" ph="1"/>
      <c r="X1707" s="241"/>
      <c r="Y1707" s="284"/>
      <c r="Z1707" s="207"/>
      <c r="AA1707" s="284"/>
      <c r="AB1707" s="284"/>
      <c r="AC1707" s="284"/>
      <c r="AD1707" s="284"/>
      <c r="AE1707" s="284"/>
      <c r="AF1707" s="284"/>
      <c r="AG1707" s="284"/>
      <c r="AI1707" s="131"/>
    </row>
    <row r="1708" spans="1:35" ht="26.4">
      <c r="A1708" s="284"/>
      <c r="B1708" s="284"/>
      <c r="C1708" s="284"/>
      <c r="D1708" s="284"/>
      <c r="E1708" s="284"/>
      <c r="F1708" s="284"/>
      <c r="G1708" s="284"/>
      <c r="H1708" s="284"/>
      <c r="I1708" s="284"/>
      <c r="J1708" s="375"/>
      <c r="K1708" s="375"/>
      <c r="L1708" s="375"/>
      <c r="M1708" s="368"/>
      <c r="N1708" s="368"/>
      <c r="O1708" s="370"/>
      <c r="T1708" s="349"/>
      <c r="V1708" s="378"/>
      <c r="W1708" s="64" ph="1"/>
      <c r="X1708" s="241"/>
      <c r="Y1708" s="284"/>
      <c r="Z1708" s="207"/>
      <c r="AA1708" s="284"/>
      <c r="AB1708" s="284"/>
      <c r="AC1708" s="284"/>
      <c r="AD1708" s="284"/>
      <c r="AE1708" s="284"/>
      <c r="AF1708" s="284"/>
      <c r="AG1708" s="284"/>
      <c r="AI1708" s="131"/>
    </row>
    <row r="1709" spans="1:35" ht="26.4">
      <c r="A1709" s="284"/>
      <c r="B1709" s="284"/>
      <c r="C1709" s="284"/>
      <c r="D1709" s="284"/>
      <c r="E1709" s="284"/>
      <c r="F1709" s="284"/>
      <c r="G1709" s="284"/>
      <c r="H1709" s="284"/>
      <c r="I1709" s="284"/>
      <c r="J1709" s="375"/>
      <c r="K1709" s="375"/>
      <c r="L1709" s="375"/>
      <c r="M1709" s="368"/>
      <c r="N1709" s="368"/>
      <c r="O1709" s="370"/>
      <c r="T1709" s="349"/>
      <c r="V1709" s="378"/>
      <c r="W1709" s="64" ph="1"/>
      <c r="X1709" s="241"/>
      <c r="Y1709" s="284"/>
      <c r="Z1709" s="207"/>
      <c r="AA1709" s="284"/>
      <c r="AB1709" s="284"/>
      <c r="AC1709" s="284"/>
      <c r="AD1709" s="284"/>
      <c r="AE1709" s="284"/>
      <c r="AF1709" s="284"/>
      <c r="AG1709" s="284"/>
      <c r="AI1709" s="131"/>
    </row>
    <row r="1710" spans="1:35" ht="26.4">
      <c r="A1710" s="284"/>
      <c r="B1710" s="284"/>
      <c r="C1710" s="284"/>
      <c r="D1710" s="284"/>
      <c r="E1710" s="284"/>
      <c r="F1710" s="284"/>
      <c r="G1710" s="284"/>
      <c r="H1710" s="284"/>
      <c r="I1710" s="284"/>
      <c r="J1710" s="375"/>
      <c r="K1710" s="375"/>
      <c r="L1710" s="375"/>
      <c r="M1710" s="368"/>
      <c r="N1710" s="368"/>
      <c r="O1710" s="370"/>
      <c r="T1710" s="349"/>
      <c r="V1710" s="378"/>
      <c r="W1710" s="64" ph="1"/>
      <c r="X1710" s="241"/>
      <c r="Y1710" s="284"/>
      <c r="Z1710" s="207"/>
      <c r="AA1710" s="284"/>
      <c r="AB1710" s="284"/>
      <c r="AC1710" s="284"/>
      <c r="AD1710" s="284"/>
      <c r="AE1710" s="284"/>
      <c r="AF1710" s="284"/>
      <c r="AG1710" s="284"/>
      <c r="AI1710" s="131"/>
    </row>
    <row r="1711" spans="1:35" ht="26.4">
      <c r="A1711" s="284"/>
      <c r="B1711" s="284"/>
      <c r="C1711" s="284"/>
      <c r="D1711" s="284"/>
      <c r="E1711" s="284"/>
      <c r="F1711" s="284"/>
      <c r="G1711" s="284"/>
      <c r="H1711" s="284"/>
      <c r="I1711" s="284"/>
      <c r="J1711" s="375"/>
      <c r="K1711" s="375"/>
      <c r="L1711" s="375"/>
      <c r="M1711" s="368"/>
      <c r="N1711" s="368"/>
      <c r="O1711" s="370"/>
      <c r="T1711" s="349"/>
      <c r="V1711" s="378"/>
      <c r="W1711" s="64" ph="1"/>
      <c r="X1711" s="241"/>
      <c r="Y1711" s="284"/>
      <c r="Z1711" s="207"/>
      <c r="AA1711" s="284"/>
      <c r="AB1711" s="284"/>
      <c r="AC1711" s="284"/>
      <c r="AD1711" s="284"/>
      <c r="AE1711" s="284"/>
      <c r="AF1711" s="284"/>
      <c r="AG1711" s="284"/>
      <c r="AI1711" s="131"/>
    </row>
    <row r="1712" spans="1:35" ht="26.4">
      <c r="A1712" s="284"/>
      <c r="B1712" s="284"/>
      <c r="C1712" s="284"/>
      <c r="D1712" s="284"/>
      <c r="E1712" s="284"/>
      <c r="F1712" s="284"/>
      <c r="G1712" s="284"/>
      <c r="H1712" s="284"/>
      <c r="I1712" s="284"/>
      <c r="J1712" s="375"/>
      <c r="K1712" s="375"/>
      <c r="L1712" s="375"/>
      <c r="M1712" s="368"/>
      <c r="N1712" s="368"/>
      <c r="O1712" s="370"/>
      <c r="T1712" s="349"/>
      <c r="V1712" s="378"/>
      <c r="W1712" s="64" ph="1"/>
      <c r="X1712" s="241"/>
      <c r="Y1712" s="284"/>
      <c r="Z1712" s="207"/>
      <c r="AA1712" s="284"/>
      <c r="AB1712" s="284"/>
      <c r="AC1712" s="284"/>
      <c r="AD1712" s="284"/>
      <c r="AE1712" s="284"/>
      <c r="AF1712" s="284"/>
      <c r="AG1712" s="284"/>
      <c r="AI1712" s="131"/>
    </row>
    <row r="1713" spans="1:35" ht="26.4">
      <c r="A1713" s="284"/>
      <c r="B1713" s="284"/>
      <c r="C1713" s="284"/>
      <c r="D1713" s="284"/>
      <c r="E1713" s="284"/>
      <c r="F1713" s="284"/>
      <c r="G1713" s="284"/>
      <c r="H1713" s="284"/>
      <c r="I1713" s="284"/>
      <c r="J1713" s="375"/>
      <c r="K1713" s="375"/>
      <c r="L1713" s="375"/>
      <c r="M1713" s="368"/>
      <c r="N1713" s="368"/>
      <c r="O1713" s="370"/>
      <c r="T1713" s="349"/>
      <c r="V1713" s="378"/>
      <c r="W1713" s="64" ph="1"/>
      <c r="X1713" s="241"/>
      <c r="Y1713" s="284"/>
      <c r="Z1713" s="207"/>
      <c r="AA1713" s="284"/>
      <c r="AB1713" s="284"/>
      <c r="AC1713" s="284"/>
      <c r="AD1713" s="284"/>
      <c r="AE1713" s="284"/>
      <c r="AF1713" s="284"/>
      <c r="AG1713" s="284"/>
      <c r="AI1713" s="131"/>
    </row>
    <row r="1714" spans="1:35" ht="26.4">
      <c r="A1714" s="284"/>
      <c r="B1714" s="284"/>
      <c r="C1714" s="284"/>
      <c r="D1714" s="284"/>
      <c r="E1714" s="284"/>
      <c r="F1714" s="284"/>
      <c r="G1714" s="284"/>
      <c r="H1714" s="284"/>
      <c r="I1714" s="284"/>
      <c r="J1714" s="375"/>
      <c r="K1714" s="375"/>
      <c r="L1714" s="375"/>
      <c r="M1714" s="368"/>
      <c r="N1714" s="368"/>
      <c r="O1714" s="370"/>
      <c r="T1714" s="349"/>
      <c r="V1714" s="378"/>
      <c r="W1714" s="64" ph="1"/>
      <c r="X1714" s="241"/>
      <c r="Y1714" s="284"/>
      <c r="Z1714" s="207"/>
      <c r="AA1714" s="284"/>
      <c r="AB1714" s="284"/>
      <c r="AC1714" s="284"/>
      <c r="AD1714" s="284"/>
      <c r="AE1714" s="284"/>
      <c r="AF1714" s="284"/>
      <c r="AG1714" s="284"/>
      <c r="AI1714" s="131"/>
    </row>
    <row r="1715" spans="1:35" ht="26.4">
      <c r="A1715" s="284"/>
      <c r="B1715" s="284"/>
      <c r="C1715" s="284"/>
      <c r="D1715" s="284"/>
      <c r="E1715" s="284"/>
      <c r="F1715" s="284"/>
      <c r="G1715" s="284"/>
      <c r="H1715" s="284"/>
      <c r="I1715" s="284"/>
      <c r="J1715" s="375"/>
      <c r="K1715" s="375"/>
      <c r="L1715" s="375"/>
      <c r="M1715" s="368"/>
      <c r="N1715" s="368"/>
      <c r="O1715" s="370"/>
      <c r="T1715" s="349"/>
      <c r="V1715" s="378"/>
      <c r="W1715" s="64" ph="1"/>
      <c r="X1715" s="241"/>
      <c r="Y1715" s="284"/>
      <c r="Z1715" s="207"/>
      <c r="AA1715" s="284"/>
      <c r="AB1715" s="284"/>
      <c r="AC1715" s="284"/>
      <c r="AD1715" s="284"/>
      <c r="AE1715" s="284"/>
      <c r="AF1715" s="284"/>
      <c r="AG1715" s="284"/>
      <c r="AI1715" s="131"/>
    </row>
    <row r="1716" spans="1:35" ht="26.4">
      <c r="A1716" s="284"/>
      <c r="B1716" s="284"/>
      <c r="C1716" s="284"/>
      <c r="D1716" s="284"/>
      <c r="E1716" s="284"/>
      <c r="F1716" s="284"/>
      <c r="G1716" s="284"/>
      <c r="H1716" s="284"/>
      <c r="I1716" s="284"/>
      <c r="J1716" s="375"/>
      <c r="K1716" s="375"/>
      <c r="L1716" s="375"/>
      <c r="M1716" s="368"/>
      <c r="N1716" s="368"/>
      <c r="O1716" s="370"/>
      <c r="T1716" s="349"/>
      <c r="V1716" s="378"/>
      <c r="W1716" s="64" ph="1"/>
      <c r="X1716" s="241"/>
      <c r="Y1716" s="284"/>
      <c r="Z1716" s="207"/>
      <c r="AA1716" s="284"/>
      <c r="AB1716" s="284"/>
      <c r="AC1716" s="284"/>
      <c r="AD1716" s="284"/>
      <c r="AE1716" s="284"/>
      <c r="AF1716" s="284"/>
      <c r="AG1716" s="284"/>
      <c r="AI1716" s="131"/>
    </row>
    <row r="1717" spans="1:35" ht="26.4">
      <c r="A1717" s="284"/>
      <c r="B1717" s="284"/>
      <c r="C1717" s="284"/>
      <c r="D1717" s="284"/>
      <c r="E1717" s="284"/>
      <c r="F1717" s="284"/>
      <c r="G1717" s="284"/>
      <c r="H1717" s="284"/>
      <c r="I1717" s="284"/>
      <c r="J1717" s="375"/>
      <c r="K1717" s="375"/>
      <c r="L1717" s="375"/>
      <c r="M1717" s="368"/>
      <c r="N1717" s="368"/>
      <c r="O1717" s="370"/>
      <c r="T1717" s="349"/>
      <c r="V1717" s="378"/>
      <c r="W1717" s="64" ph="1"/>
      <c r="X1717" s="241"/>
      <c r="Y1717" s="284"/>
      <c r="Z1717" s="207"/>
      <c r="AA1717" s="284"/>
      <c r="AB1717" s="284"/>
      <c r="AC1717" s="284"/>
      <c r="AD1717" s="284"/>
      <c r="AE1717" s="284"/>
      <c r="AF1717" s="284"/>
      <c r="AG1717" s="284"/>
      <c r="AI1717" s="131"/>
    </row>
    <row r="1718" spans="1:35" ht="26.4">
      <c r="A1718" s="284"/>
      <c r="B1718" s="284"/>
      <c r="C1718" s="284"/>
      <c r="D1718" s="284"/>
      <c r="E1718" s="284"/>
      <c r="F1718" s="284"/>
      <c r="G1718" s="284"/>
      <c r="H1718" s="284"/>
      <c r="I1718" s="284"/>
      <c r="J1718" s="375"/>
      <c r="K1718" s="375"/>
      <c r="L1718" s="375"/>
      <c r="M1718" s="368"/>
      <c r="N1718" s="368"/>
      <c r="O1718" s="370"/>
      <c r="T1718" s="349"/>
      <c r="V1718" s="378"/>
      <c r="W1718" s="64" ph="1"/>
      <c r="X1718" s="241"/>
      <c r="Y1718" s="284"/>
      <c r="Z1718" s="207"/>
      <c r="AA1718" s="284"/>
      <c r="AB1718" s="284"/>
      <c r="AC1718" s="284"/>
      <c r="AD1718" s="284"/>
      <c r="AE1718" s="284"/>
      <c r="AF1718" s="284"/>
      <c r="AG1718" s="284"/>
      <c r="AI1718" s="131"/>
    </row>
    <row r="1719" spans="1:35" ht="26.4">
      <c r="A1719" s="284"/>
      <c r="B1719" s="284"/>
      <c r="C1719" s="284"/>
      <c r="D1719" s="284"/>
      <c r="E1719" s="284"/>
      <c r="F1719" s="284"/>
      <c r="G1719" s="284"/>
      <c r="H1719" s="284"/>
      <c r="I1719" s="284"/>
      <c r="J1719" s="375"/>
      <c r="K1719" s="375"/>
      <c r="L1719" s="375"/>
      <c r="M1719" s="368"/>
      <c r="N1719" s="368"/>
      <c r="O1719" s="370"/>
      <c r="T1719" s="349"/>
      <c r="V1719" s="378"/>
      <c r="W1719" s="64" ph="1"/>
      <c r="X1719" s="241"/>
      <c r="Y1719" s="284"/>
      <c r="Z1719" s="207"/>
      <c r="AA1719" s="284"/>
      <c r="AB1719" s="284"/>
      <c r="AC1719" s="284"/>
      <c r="AD1719" s="284"/>
      <c r="AE1719" s="284"/>
      <c r="AF1719" s="284"/>
      <c r="AG1719" s="284"/>
      <c r="AI1719" s="131"/>
    </row>
    <row r="1720" spans="1:35" ht="26.4">
      <c r="A1720" s="284"/>
      <c r="B1720" s="284"/>
      <c r="C1720" s="284"/>
      <c r="D1720" s="284"/>
      <c r="E1720" s="284"/>
      <c r="F1720" s="284"/>
      <c r="G1720" s="284"/>
      <c r="H1720" s="284"/>
      <c r="I1720" s="284"/>
      <c r="J1720" s="375"/>
      <c r="K1720" s="375"/>
      <c r="L1720" s="375"/>
      <c r="M1720" s="368"/>
      <c r="N1720" s="368"/>
      <c r="O1720" s="370"/>
      <c r="T1720" s="349"/>
      <c r="V1720" s="378"/>
      <c r="W1720" s="64" ph="1"/>
      <c r="X1720" s="241"/>
      <c r="Y1720" s="284"/>
      <c r="Z1720" s="207"/>
      <c r="AA1720" s="284"/>
      <c r="AB1720" s="284"/>
      <c r="AC1720" s="284"/>
      <c r="AD1720" s="284"/>
      <c r="AE1720" s="284"/>
      <c r="AF1720" s="284"/>
      <c r="AG1720" s="284"/>
      <c r="AI1720" s="131"/>
    </row>
    <row r="1721" spans="1:35" ht="26.4">
      <c r="A1721" s="284"/>
      <c r="B1721" s="284"/>
      <c r="C1721" s="284"/>
      <c r="D1721" s="284"/>
      <c r="E1721" s="284"/>
      <c r="F1721" s="284"/>
      <c r="G1721" s="284"/>
      <c r="H1721" s="284"/>
      <c r="I1721" s="284"/>
      <c r="J1721" s="375"/>
      <c r="K1721" s="375"/>
      <c r="L1721" s="375"/>
      <c r="M1721" s="368"/>
      <c r="N1721" s="368"/>
      <c r="O1721" s="370"/>
      <c r="T1721" s="349"/>
      <c r="V1721" s="378"/>
      <c r="W1721" s="64" ph="1"/>
      <c r="X1721" s="241"/>
      <c r="Y1721" s="284"/>
      <c r="Z1721" s="207"/>
      <c r="AA1721" s="284"/>
      <c r="AB1721" s="284"/>
      <c r="AC1721" s="284"/>
      <c r="AD1721" s="284"/>
      <c r="AE1721" s="284"/>
      <c r="AF1721" s="284"/>
      <c r="AG1721" s="284"/>
      <c r="AI1721" s="131"/>
    </row>
    <row r="1722" spans="1:35" ht="26.4">
      <c r="A1722" s="284"/>
      <c r="B1722" s="284"/>
      <c r="C1722" s="284"/>
      <c r="D1722" s="284"/>
      <c r="E1722" s="284"/>
      <c r="F1722" s="284"/>
      <c r="G1722" s="284"/>
      <c r="H1722" s="284"/>
      <c r="I1722" s="284"/>
      <c r="J1722" s="375"/>
      <c r="K1722" s="375"/>
      <c r="L1722" s="375"/>
      <c r="M1722" s="368"/>
      <c r="N1722" s="368"/>
      <c r="O1722" s="370"/>
      <c r="T1722" s="349"/>
      <c r="V1722" s="378"/>
      <c r="W1722" s="64" ph="1"/>
      <c r="X1722" s="241"/>
      <c r="Y1722" s="284"/>
      <c r="Z1722" s="207"/>
      <c r="AA1722" s="284"/>
      <c r="AB1722" s="284"/>
      <c r="AC1722" s="284"/>
      <c r="AD1722" s="284"/>
      <c r="AE1722" s="284"/>
      <c r="AF1722" s="284"/>
      <c r="AG1722" s="284"/>
      <c r="AI1722" s="131"/>
    </row>
    <row r="1723" spans="1:35" ht="26.4">
      <c r="A1723" s="284"/>
      <c r="B1723" s="284"/>
      <c r="C1723" s="284"/>
      <c r="D1723" s="284"/>
      <c r="E1723" s="284"/>
      <c r="F1723" s="284"/>
      <c r="G1723" s="284"/>
      <c r="H1723" s="284"/>
      <c r="I1723" s="284"/>
      <c r="J1723" s="375"/>
      <c r="K1723" s="375"/>
      <c r="L1723" s="375"/>
      <c r="M1723" s="368"/>
      <c r="N1723" s="368"/>
      <c r="O1723" s="370"/>
      <c r="T1723" s="349"/>
      <c r="V1723" s="378"/>
      <c r="W1723" s="64" ph="1"/>
      <c r="X1723" s="241"/>
      <c r="Y1723" s="284"/>
      <c r="Z1723" s="207"/>
      <c r="AA1723" s="284"/>
      <c r="AB1723" s="284"/>
      <c r="AC1723" s="284"/>
      <c r="AD1723" s="284"/>
      <c r="AE1723" s="284"/>
      <c r="AF1723" s="284"/>
      <c r="AG1723" s="284"/>
      <c r="AI1723" s="131"/>
    </row>
    <row r="1724" spans="1:35" ht="26.4">
      <c r="A1724" s="284"/>
      <c r="B1724" s="284"/>
      <c r="C1724" s="284"/>
      <c r="D1724" s="284"/>
      <c r="E1724" s="284"/>
      <c r="F1724" s="284"/>
      <c r="G1724" s="284"/>
      <c r="H1724" s="284"/>
      <c r="I1724" s="284"/>
      <c r="J1724" s="375"/>
      <c r="K1724" s="375"/>
      <c r="L1724" s="375"/>
      <c r="M1724" s="368"/>
      <c r="N1724" s="368"/>
      <c r="O1724" s="370"/>
      <c r="T1724" s="349"/>
      <c r="V1724" s="378"/>
      <c r="W1724" s="64" ph="1"/>
      <c r="X1724" s="241"/>
      <c r="Y1724" s="284"/>
      <c r="Z1724" s="207"/>
      <c r="AA1724" s="284"/>
      <c r="AB1724" s="284"/>
      <c r="AC1724" s="284"/>
      <c r="AD1724" s="284"/>
      <c r="AE1724" s="284"/>
      <c r="AF1724" s="284"/>
      <c r="AG1724" s="284"/>
      <c r="AI1724" s="131"/>
    </row>
    <row r="1725" spans="1:35" ht="26.4">
      <c r="A1725" s="284"/>
      <c r="B1725" s="284"/>
      <c r="C1725" s="284"/>
      <c r="D1725" s="284"/>
      <c r="E1725" s="284"/>
      <c r="F1725" s="284"/>
      <c r="G1725" s="284"/>
      <c r="H1725" s="284"/>
      <c r="I1725" s="284"/>
      <c r="J1725" s="375"/>
      <c r="K1725" s="375"/>
      <c r="L1725" s="375"/>
      <c r="M1725" s="368"/>
      <c r="N1725" s="368"/>
      <c r="O1725" s="370"/>
      <c r="T1725" s="349"/>
      <c r="V1725" s="378"/>
      <c r="W1725" s="64" ph="1"/>
      <c r="X1725" s="241"/>
      <c r="Y1725" s="284"/>
      <c r="Z1725" s="207"/>
      <c r="AA1725" s="284"/>
      <c r="AB1725" s="284"/>
      <c r="AC1725" s="284"/>
      <c r="AD1725" s="284"/>
      <c r="AE1725" s="284"/>
      <c r="AF1725" s="284"/>
      <c r="AG1725" s="284"/>
      <c r="AI1725" s="131"/>
    </row>
    <row r="1726" spans="1:35" ht="26.4">
      <c r="A1726" s="284"/>
      <c r="B1726" s="284"/>
      <c r="C1726" s="284"/>
      <c r="D1726" s="284"/>
      <c r="E1726" s="284"/>
      <c r="F1726" s="284"/>
      <c r="G1726" s="284"/>
      <c r="H1726" s="284"/>
      <c r="I1726" s="284"/>
      <c r="J1726" s="375"/>
      <c r="K1726" s="375"/>
      <c r="L1726" s="375"/>
      <c r="M1726" s="368"/>
      <c r="N1726" s="368"/>
      <c r="O1726" s="370"/>
      <c r="T1726" s="349"/>
      <c r="V1726" s="378"/>
      <c r="W1726" s="64" ph="1"/>
      <c r="X1726" s="241"/>
      <c r="Y1726" s="284"/>
      <c r="Z1726" s="207"/>
      <c r="AA1726" s="284"/>
      <c r="AB1726" s="284"/>
      <c r="AC1726" s="284"/>
      <c r="AD1726" s="284"/>
      <c r="AE1726" s="284"/>
      <c r="AF1726" s="284"/>
      <c r="AG1726" s="284"/>
      <c r="AI1726" s="131"/>
    </row>
    <row r="1727" spans="1:35" ht="26.4">
      <c r="A1727" s="284"/>
      <c r="B1727" s="284"/>
      <c r="C1727" s="284"/>
      <c r="D1727" s="284"/>
      <c r="E1727" s="284"/>
      <c r="F1727" s="284"/>
      <c r="G1727" s="284"/>
      <c r="H1727" s="284"/>
      <c r="I1727" s="284"/>
      <c r="J1727" s="375"/>
      <c r="K1727" s="375"/>
      <c r="L1727" s="375"/>
      <c r="M1727" s="368"/>
      <c r="N1727" s="368"/>
      <c r="O1727" s="370"/>
      <c r="T1727" s="349"/>
      <c r="V1727" s="378"/>
      <c r="W1727" s="64" ph="1"/>
      <c r="X1727" s="241"/>
      <c r="Y1727" s="284"/>
      <c r="Z1727" s="207"/>
      <c r="AA1727" s="284"/>
      <c r="AB1727" s="284"/>
      <c r="AC1727" s="284"/>
      <c r="AD1727" s="284"/>
      <c r="AE1727" s="284"/>
      <c r="AF1727" s="284"/>
      <c r="AG1727" s="284"/>
      <c r="AI1727" s="131"/>
    </row>
    <row r="1728" spans="1:35" ht="26.4">
      <c r="A1728" s="284"/>
      <c r="B1728" s="284"/>
      <c r="C1728" s="284"/>
      <c r="D1728" s="284"/>
      <c r="E1728" s="284"/>
      <c r="F1728" s="284"/>
      <c r="G1728" s="284"/>
      <c r="H1728" s="284"/>
      <c r="I1728" s="284"/>
      <c r="J1728" s="375"/>
      <c r="K1728" s="375"/>
      <c r="L1728" s="375"/>
      <c r="M1728" s="368"/>
      <c r="N1728" s="368"/>
      <c r="O1728" s="370"/>
      <c r="T1728" s="349"/>
      <c r="V1728" s="378"/>
      <c r="W1728" s="64" ph="1"/>
      <c r="X1728" s="241"/>
      <c r="Y1728" s="284"/>
      <c r="Z1728" s="207"/>
      <c r="AA1728" s="284"/>
      <c r="AB1728" s="284"/>
      <c r="AC1728" s="284"/>
      <c r="AD1728" s="284"/>
      <c r="AE1728" s="284"/>
      <c r="AF1728" s="284"/>
      <c r="AG1728" s="284"/>
      <c r="AI1728" s="131"/>
    </row>
    <row r="1729" spans="1:35" ht="26.4">
      <c r="A1729" s="284"/>
      <c r="B1729" s="284"/>
      <c r="C1729" s="284"/>
      <c r="D1729" s="284"/>
      <c r="E1729" s="284"/>
      <c r="F1729" s="284"/>
      <c r="G1729" s="284"/>
      <c r="H1729" s="284"/>
      <c r="I1729" s="284"/>
      <c r="J1729" s="375"/>
      <c r="K1729" s="375"/>
      <c r="L1729" s="375"/>
      <c r="M1729" s="368"/>
      <c r="N1729" s="368"/>
      <c r="O1729" s="370"/>
      <c r="T1729" s="349"/>
      <c r="V1729" s="378"/>
      <c r="W1729" s="64" ph="1"/>
      <c r="X1729" s="241"/>
      <c r="Y1729" s="284"/>
      <c r="Z1729" s="207"/>
      <c r="AA1729" s="284"/>
      <c r="AB1729" s="284"/>
      <c r="AC1729" s="284"/>
      <c r="AD1729" s="284"/>
      <c r="AE1729" s="284"/>
      <c r="AF1729" s="284"/>
      <c r="AG1729" s="284"/>
      <c r="AI1729" s="131"/>
    </row>
    <row r="1730" spans="1:35" ht="26.4">
      <c r="A1730" s="284"/>
      <c r="B1730" s="284"/>
      <c r="C1730" s="284"/>
      <c r="D1730" s="284"/>
      <c r="E1730" s="284"/>
      <c r="F1730" s="284"/>
      <c r="G1730" s="284"/>
      <c r="H1730" s="284"/>
      <c r="I1730" s="284"/>
      <c r="J1730" s="375"/>
      <c r="K1730" s="375"/>
      <c r="L1730" s="375"/>
      <c r="M1730" s="368"/>
      <c r="N1730" s="368"/>
      <c r="O1730" s="370"/>
      <c r="T1730" s="349"/>
      <c r="V1730" s="378"/>
      <c r="W1730" s="64" ph="1"/>
      <c r="X1730" s="241"/>
      <c r="Y1730" s="284"/>
      <c r="Z1730" s="207"/>
      <c r="AA1730" s="284"/>
      <c r="AB1730" s="284"/>
      <c r="AC1730" s="284"/>
      <c r="AD1730" s="284"/>
      <c r="AE1730" s="284"/>
      <c r="AF1730" s="284"/>
      <c r="AG1730" s="284"/>
      <c r="AI1730" s="131"/>
    </row>
    <row r="1731" spans="1:35" ht="26.4">
      <c r="A1731" s="284"/>
      <c r="B1731" s="284"/>
      <c r="C1731" s="284"/>
      <c r="D1731" s="284"/>
      <c r="E1731" s="284"/>
      <c r="F1731" s="284"/>
      <c r="G1731" s="284"/>
      <c r="H1731" s="284"/>
      <c r="I1731" s="284"/>
      <c r="J1731" s="375"/>
      <c r="K1731" s="375"/>
      <c r="L1731" s="375"/>
      <c r="M1731" s="368"/>
      <c r="N1731" s="368"/>
      <c r="O1731" s="370"/>
      <c r="T1731" s="349"/>
      <c r="V1731" s="378"/>
      <c r="W1731" s="64" ph="1"/>
      <c r="X1731" s="241"/>
      <c r="Y1731" s="284"/>
      <c r="Z1731" s="207"/>
      <c r="AA1731" s="284"/>
      <c r="AB1731" s="284"/>
      <c r="AC1731" s="284"/>
      <c r="AD1731" s="284"/>
      <c r="AE1731" s="284"/>
      <c r="AF1731" s="284"/>
      <c r="AG1731" s="284"/>
      <c r="AI1731" s="131"/>
    </row>
    <row r="1732" spans="1:35" ht="26.4">
      <c r="A1732" s="284"/>
      <c r="B1732" s="284"/>
      <c r="C1732" s="284"/>
      <c r="D1732" s="284"/>
      <c r="E1732" s="284"/>
      <c r="F1732" s="284"/>
      <c r="G1732" s="284"/>
      <c r="H1732" s="284"/>
      <c r="I1732" s="284"/>
      <c r="J1732" s="375"/>
      <c r="K1732" s="375"/>
      <c r="L1732" s="375"/>
      <c r="M1732" s="368"/>
      <c r="N1732" s="368"/>
      <c r="O1732" s="370"/>
      <c r="T1732" s="349"/>
      <c r="V1732" s="378"/>
      <c r="W1732" s="64" ph="1"/>
      <c r="X1732" s="241"/>
      <c r="Y1732" s="284"/>
      <c r="Z1732" s="207"/>
      <c r="AA1732" s="284"/>
      <c r="AB1732" s="284"/>
      <c r="AC1732" s="284"/>
      <c r="AD1732" s="284"/>
      <c r="AE1732" s="284"/>
      <c r="AF1732" s="284"/>
      <c r="AG1732" s="284"/>
      <c r="AI1732" s="131"/>
    </row>
    <row r="1733" spans="1:35" ht="26.4">
      <c r="A1733" s="284"/>
      <c r="B1733" s="284"/>
      <c r="C1733" s="284"/>
      <c r="D1733" s="284"/>
      <c r="E1733" s="284"/>
      <c r="F1733" s="284"/>
      <c r="G1733" s="284"/>
      <c r="H1733" s="284"/>
      <c r="I1733" s="284"/>
      <c r="J1733" s="375"/>
      <c r="K1733" s="375"/>
      <c r="L1733" s="375"/>
      <c r="M1733" s="368"/>
      <c r="N1733" s="368"/>
      <c r="O1733" s="370"/>
      <c r="T1733" s="349"/>
      <c r="V1733" s="378"/>
      <c r="W1733" s="64" ph="1"/>
      <c r="X1733" s="241"/>
      <c r="Y1733" s="284"/>
      <c r="Z1733" s="207"/>
      <c r="AA1733" s="284"/>
      <c r="AB1733" s="284"/>
      <c r="AC1733" s="284"/>
      <c r="AD1733" s="284"/>
      <c r="AE1733" s="284"/>
      <c r="AF1733" s="284"/>
      <c r="AG1733" s="284"/>
      <c r="AI1733" s="131"/>
    </row>
    <row r="1734" spans="1:35" ht="26.4">
      <c r="A1734" s="284"/>
      <c r="B1734" s="284"/>
      <c r="C1734" s="284"/>
      <c r="D1734" s="284"/>
      <c r="E1734" s="284"/>
      <c r="F1734" s="284"/>
      <c r="G1734" s="284"/>
      <c r="H1734" s="284"/>
      <c r="I1734" s="284"/>
      <c r="J1734" s="375"/>
      <c r="K1734" s="375"/>
      <c r="L1734" s="375"/>
      <c r="M1734" s="368"/>
      <c r="N1734" s="368"/>
      <c r="O1734" s="370"/>
      <c r="T1734" s="349"/>
      <c r="V1734" s="378"/>
      <c r="W1734" s="64" ph="1"/>
      <c r="X1734" s="241"/>
      <c r="Y1734" s="284"/>
      <c r="Z1734" s="207"/>
      <c r="AA1734" s="284"/>
      <c r="AB1734" s="284"/>
      <c r="AC1734" s="284"/>
      <c r="AD1734" s="284"/>
      <c r="AE1734" s="284"/>
      <c r="AF1734" s="284"/>
      <c r="AG1734" s="284"/>
      <c r="AI1734" s="131"/>
    </row>
    <row r="1735" spans="1:35" ht="26.4">
      <c r="A1735" s="284"/>
      <c r="B1735" s="284"/>
      <c r="C1735" s="284"/>
      <c r="D1735" s="284"/>
      <c r="E1735" s="284"/>
      <c r="F1735" s="284"/>
      <c r="G1735" s="284"/>
      <c r="H1735" s="284"/>
      <c r="I1735" s="284"/>
      <c r="J1735" s="375"/>
      <c r="K1735" s="375"/>
      <c r="L1735" s="375"/>
      <c r="M1735" s="368"/>
      <c r="N1735" s="368"/>
      <c r="O1735" s="370"/>
      <c r="T1735" s="349"/>
      <c r="V1735" s="378"/>
      <c r="W1735" s="64" ph="1"/>
      <c r="X1735" s="241"/>
      <c r="Y1735" s="284"/>
      <c r="Z1735" s="207"/>
      <c r="AA1735" s="284"/>
      <c r="AB1735" s="284"/>
      <c r="AC1735" s="284"/>
      <c r="AD1735" s="284"/>
      <c r="AE1735" s="284"/>
      <c r="AF1735" s="284"/>
      <c r="AG1735" s="284"/>
      <c r="AI1735" s="131"/>
    </row>
    <row r="1736" spans="1:35" ht="26.4">
      <c r="A1736" s="284"/>
      <c r="B1736" s="284"/>
      <c r="C1736" s="284"/>
      <c r="D1736" s="284"/>
      <c r="E1736" s="284"/>
      <c r="F1736" s="284"/>
      <c r="G1736" s="284"/>
      <c r="H1736" s="284"/>
      <c r="I1736" s="284"/>
      <c r="J1736" s="375"/>
      <c r="K1736" s="375"/>
      <c r="L1736" s="375"/>
      <c r="M1736" s="368"/>
      <c r="N1736" s="368"/>
      <c r="O1736" s="370"/>
      <c r="T1736" s="349"/>
      <c r="V1736" s="378"/>
      <c r="W1736" s="64" ph="1"/>
      <c r="X1736" s="241"/>
      <c r="Y1736" s="284"/>
      <c r="Z1736" s="207"/>
      <c r="AA1736" s="284"/>
      <c r="AB1736" s="284"/>
      <c r="AC1736" s="284"/>
      <c r="AD1736" s="284"/>
      <c r="AE1736" s="284"/>
      <c r="AF1736" s="284"/>
      <c r="AG1736" s="284"/>
      <c r="AI1736" s="131"/>
    </row>
    <row r="1737" spans="1:35" ht="26.4">
      <c r="A1737" s="284"/>
      <c r="B1737" s="284"/>
      <c r="C1737" s="284"/>
      <c r="D1737" s="284"/>
      <c r="E1737" s="284"/>
      <c r="F1737" s="284"/>
      <c r="G1737" s="284"/>
      <c r="H1737" s="284"/>
      <c r="I1737" s="284"/>
      <c r="J1737" s="375"/>
      <c r="K1737" s="375"/>
      <c r="L1737" s="375"/>
      <c r="M1737" s="368"/>
      <c r="N1737" s="368"/>
      <c r="O1737" s="370"/>
      <c r="T1737" s="349"/>
      <c r="V1737" s="378"/>
      <c r="W1737" s="64" ph="1"/>
      <c r="X1737" s="241"/>
      <c r="Y1737" s="284"/>
      <c r="Z1737" s="207"/>
      <c r="AA1737" s="284"/>
      <c r="AB1737" s="284"/>
      <c r="AC1737" s="284"/>
      <c r="AD1737" s="284"/>
      <c r="AE1737" s="284"/>
      <c r="AF1737" s="284"/>
      <c r="AG1737" s="284"/>
      <c r="AI1737" s="131"/>
    </row>
    <row r="1738" spans="1:35" ht="26.4">
      <c r="A1738" s="284"/>
      <c r="B1738" s="284"/>
      <c r="C1738" s="284"/>
      <c r="D1738" s="284"/>
      <c r="E1738" s="284"/>
      <c r="F1738" s="284"/>
      <c r="G1738" s="284"/>
      <c r="H1738" s="284"/>
      <c r="I1738" s="284"/>
      <c r="J1738" s="375"/>
      <c r="K1738" s="375"/>
      <c r="L1738" s="375"/>
      <c r="M1738" s="368"/>
      <c r="N1738" s="368"/>
      <c r="O1738" s="370"/>
      <c r="T1738" s="349"/>
      <c r="V1738" s="378"/>
      <c r="W1738" s="64" ph="1"/>
      <c r="X1738" s="241"/>
      <c r="Y1738" s="284"/>
      <c r="Z1738" s="207"/>
      <c r="AA1738" s="284"/>
      <c r="AB1738" s="284"/>
      <c r="AC1738" s="284"/>
      <c r="AD1738" s="284"/>
      <c r="AE1738" s="284"/>
      <c r="AF1738" s="284"/>
      <c r="AG1738" s="284"/>
      <c r="AI1738" s="131"/>
    </row>
    <row r="1739" spans="1:35" ht="26.4">
      <c r="A1739" s="284"/>
      <c r="B1739" s="284"/>
      <c r="C1739" s="284"/>
      <c r="D1739" s="284"/>
      <c r="E1739" s="284"/>
      <c r="F1739" s="284"/>
      <c r="G1739" s="284"/>
      <c r="H1739" s="284"/>
      <c r="I1739" s="284"/>
      <c r="J1739" s="375"/>
      <c r="K1739" s="375"/>
      <c r="L1739" s="375"/>
      <c r="M1739" s="368"/>
      <c r="N1739" s="368"/>
      <c r="O1739" s="370"/>
      <c r="T1739" s="349"/>
      <c r="V1739" s="378"/>
      <c r="W1739" s="64" ph="1"/>
      <c r="X1739" s="241"/>
      <c r="Y1739" s="284"/>
      <c r="Z1739" s="207"/>
      <c r="AA1739" s="284"/>
      <c r="AB1739" s="284"/>
      <c r="AC1739" s="284"/>
      <c r="AD1739" s="284"/>
      <c r="AE1739" s="284"/>
      <c r="AF1739" s="284"/>
      <c r="AG1739" s="284"/>
      <c r="AI1739" s="131"/>
    </row>
    <row r="1740" spans="1:35" ht="26.4">
      <c r="A1740" s="284"/>
      <c r="B1740" s="284"/>
      <c r="C1740" s="284"/>
      <c r="D1740" s="284"/>
      <c r="E1740" s="284"/>
      <c r="F1740" s="284"/>
      <c r="G1740" s="284"/>
      <c r="H1740" s="284"/>
      <c r="I1740" s="284"/>
      <c r="J1740" s="375"/>
      <c r="K1740" s="375"/>
      <c r="L1740" s="375"/>
      <c r="M1740" s="368"/>
      <c r="N1740" s="368"/>
      <c r="O1740" s="370"/>
      <c r="T1740" s="349"/>
      <c r="V1740" s="378"/>
      <c r="W1740" s="64" ph="1"/>
      <c r="X1740" s="241"/>
      <c r="Y1740" s="284"/>
      <c r="Z1740" s="207"/>
      <c r="AA1740" s="284"/>
      <c r="AB1740" s="284"/>
      <c r="AC1740" s="284"/>
      <c r="AD1740" s="284"/>
      <c r="AE1740" s="284"/>
      <c r="AF1740" s="284"/>
      <c r="AG1740" s="284"/>
      <c r="AI1740" s="131"/>
    </row>
    <row r="1741" spans="1:35" ht="26.4">
      <c r="A1741" s="284"/>
      <c r="B1741" s="284"/>
      <c r="C1741" s="284"/>
      <c r="D1741" s="284"/>
      <c r="E1741" s="284"/>
      <c r="F1741" s="284"/>
      <c r="G1741" s="284"/>
      <c r="H1741" s="284"/>
      <c r="I1741" s="284"/>
      <c r="J1741" s="375"/>
      <c r="K1741" s="375"/>
      <c r="L1741" s="375"/>
      <c r="M1741" s="368"/>
      <c r="N1741" s="368"/>
      <c r="O1741" s="370"/>
      <c r="T1741" s="349"/>
      <c r="V1741" s="378"/>
      <c r="W1741" s="64" ph="1"/>
      <c r="X1741" s="241"/>
      <c r="Y1741" s="284"/>
      <c r="Z1741" s="207"/>
      <c r="AA1741" s="284"/>
      <c r="AB1741" s="284"/>
      <c r="AC1741" s="284"/>
      <c r="AD1741" s="284"/>
      <c r="AE1741" s="284"/>
      <c r="AF1741" s="284"/>
      <c r="AG1741" s="284"/>
      <c r="AI1741" s="284"/>
    </row>
    <row r="1742" spans="1:35" ht="26.4">
      <c r="A1742" s="284"/>
      <c r="B1742" s="284"/>
      <c r="C1742" s="284"/>
      <c r="D1742" s="284"/>
      <c r="E1742" s="284"/>
      <c r="F1742" s="284"/>
      <c r="G1742" s="284"/>
      <c r="H1742" s="284"/>
      <c r="I1742" s="284"/>
      <c r="J1742" s="375"/>
      <c r="K1742" s="375"/>
      <c r="L1742" s="375"/>
      <c r="M1742" s="368"/>
      <c r="N1742" s="368"/>
      <c r="O1742" s="370"/>
      <c r="T1742" s="349"/>
      <c r="V1742" s="378"/>
      <c r="W1742" s="64" ph="1"/>
      <c r="X1742" s="241"/>
      <c r="Y1742" s="284"/>
      <c r="Z1742" s="207"/>
      <c r="AA1742" s="284"/>
      <c r="AB1742" s="284"/>
      <c r="AC1742" s="284"/>
      <c r="AD1742" s="284"/>
      <c r="AE1742" s="284"/>
      <c r="AF1742" s="284"/>
      <c r="AG1742" s="284"/>
      <c r="AI1742" s="284"/>
    </row>
    <row r="1743" spans="1:35" ht="26.4">
      <c r="A1743" s="284"/>
      <c r="B1743" s="284"/>
      <c r="C1743" s="284"/>
      <c r="D1743" s="284"/>
      <c r="E1743" s="284"/>
      <c r="F1743" s="284"/>
      <c r="G1743" s="284"/>
      <c r="H1743" s="284"/>
      <c r="I1743" s="284"/>
      <c r="J1743" s="375"/>
      <c r="K1743" s="375"/>
      <c r="L1743" s="375"/>
      <c r="M1743" s="368"/>
      <c r="N1743" s="368"/>
      <c r="O1743" s="370"/>
      <c r="T1743" s="349"/>
      <c r="V1743" s="378"/>
      <c r="W1743" s="64" ph="1"/>
      <c r="X1743" s="241"/>
      <c r="Y1743" s="284"/>
      <c r="Z1743" s="207"/>
      <c r="AA1743" s="284"/>
      <c r="AB1743" s="284"/>
      <c r="AC1743" s="284"/>
      <c r="AD1743" s="284"/>
      <c r="AE1743" s="284"/>
      <c r="AF1743" s="284"/>
      <c r="AG1743" s="284"/>
      <c r="AI1743" s="131"/>
    </row>
    <row r="1744" spans="1:35" ht="26.4">
      <c r="A1744" s="284"/>
      <c r="B1744" s="284"/>
      <c r="C1744" s="284"/>
      <c r="D1744" s="284"/>
      <c r="E1744" s="284"/>
      <c r="F1744" s="284"/>
      <c r="G1744" s="284"/>
      <c r="H1744" s="284"/>
      <c r="I1744" s="284"/>
      <c r="J1744" s="375"/>
      <c r="K1744" s="375"/>
      <c r="L1744" s="375"/>
      <c r="M1744" s="368"/>
      <c r="N1744" s="368"/>
      <c r="O1744" s="370"/>
      <c r="T1744" s="349"/>
      <c r="V1744" s="378"/>
      <c r="W1744" s="64" ph="1"/>
      <c r="X1744" s="241"/>
      <c r="Y1744" s="284"/>
      <c r="Z1744" s="207"/>
      <c r="AA1744" s="284"/>
      <c r="AB1744" s="284"/>
      <c r="AC1744" s="284"/>
      <c r="AD1744" s="284"/>
      <c r="AE1744" s="284"/>
      <c r="AF1744" s="284"/>
      <c r="AG1744" s="284"/>
      <c r="AI1744" s="131"/>
    </row>
    <row r="1745" spans="1:35" ht="26.4">
      <c r="A1745" s="284"/>
      <c r="B1745" s="284"/>
      <c r="C1745" s="284"/>
      <c r="D1745" s="284"/>
      <c r="E1745" s="284"/>
      <c r="F1745" s="284"/>
      <c r="G1745" s="284"/>
      <c r="H1745" s="284"/>
      <c r="I1745" s="284"/>
      <c r="J1745" s="375"/>
      <c r="K1745" s="375"/>
      <c r="L1745" s="375"/>
      <c r="M1745" s="368"/>
      <c r="N1745" s="368"/>
      <c r="O1745" s="370"/>
      <c r="T1745" s="349"/>
      <c r="V1745" s="378"/>
      <c r="W1745" s="64" ph="1"/>
      <c r="X1745" s="241"/>
      <c r="Y1745" s="284"/>
      <c r="Z1745" s="207"/>
      <c r="AA1745" s="284"/>
      <c r="AB1745" s="284"/>
      <c r="AC1745" s="284"/>
      <c r="AD1745" s="284"/>
      <c r="AE1745" s="284"/>
      <c r="AF1745" s="284"/>
      <c r="AG1745" s="284"/>
      <c r="AI1745" s="131"/>
    </row>
    <row r="1746" spans="1:35" ht="26.4">
      <c r="A1746" s="284"/>
      <c r="B1746" s="284"/>
      <c r="C1746" s="284"/>
      <c r="D1746" s="284"/>
      <c r="E1746" s="284"/>
      <c r="F1746" s="284"/>
      <c r="G1746" s="284"/>
      <c r="H1746" s="284"/>
      <c r="I1746" s="284"/>
      <c r="J1746" s="375"/>
      <c r="K1746" s="375"/>
      <c r="L1746" s="375"/>
      <c r="M1746" s="368"/>
      <c r="N1746" s="368"/>
      <c r="O1746" s="370"/>
      <c r="T1746" s="349"/>
      <c r="V1746" s="378"/>
      <c r="W1746" s="64" ph="1"/>
      <c r="X1746" s="241"/>
      <c r="Y1746" s="284"/>
      <c r="Z1746" s="207"/>
      <c r="AA1746" s="284"/>
      <c r="AB1746" s="284"/>
      <c r="AC1746" s="284"/>
      <c r="AD1746" s="284"/>
      <c r="AE1746" s="284"/>
      <c r="AF1746" s="284"/>
      <c r="AG1746" s="284"/>
      <c r="AI1746" s="131"/>
    </row>
    <row r="1747" spans="1:35" ht="26.4">
      <c r="A1747" s="284"/>
      <c r="B1747" s="284"/>
      <c r="C1747" s="284"/>
      <c r="D1747" s="284"/>
      <c r="E1747" s="284"/>
      <c r="F1747" s="284"/>
      <c r="G1747" s="284"/>
      <c r="H1747" s="284"/>
      <c r="I1747" s="284"/>
      <c r="J1747" s="375"/>
      <c r="K1747" s="375"/>
      <c r="L1747" s="375"/>
      <c r="M1747" s="368"/>
      <c r="N1747" s="368"/>
      <c r="O1747" s="370"/>
      <c r="T1747" s="349"/>
      <c r="V1747" s="378"/>
      <c r="W1747" s="64" ph="1"/>
      <c r="X1747" s="241"/>
      <c r="Y1747" s="284"/>
      <c r="Z1747" s="207"/>
      <c r="AA1747" s="284"/>
      <c r="AB1747" s="284"/>
      <c r="AC1747" s="284"/>
      <c r="AD1747" s="284"/>
      <c r="AE1747" s="284"/>
      <c r="AF1747" s="284"/>
      <c r="AG1747" s="284"/>
      <c r="AI1747" s="131"/>
    </row>
    <row r="1748" spans="1:35" ht="26.4">
      <c r="A1748" s="284"/>
      <c r="B1748" s="284"/>
      <c r="C1748" s="284"/>
      <c r="D1748" s="284"/>
      <c r="E1748" s="284"/>
      <c r="F1748" s="284"/>
      <c r="G1748" s="284"/>
      <c r="H1748" s="284"/>
      <c r="I1748" s="284"/>
      <c r="J1748" s="375"/>
      <c r="K1748" s="375"/>
      <c r="L1748" s="375"/>
      <c r="M1748" s="368"/>
      <c r="N1748" s="368"/>
      <c r="O1748" s="370"/>
      <c r="T1748" s="349"/>
      <c r="V1748" s="378"/>
      <c r="W1748" s="64" ph="1"/>
      <c r="X1748" s="241"/>
      <c r="Y1748" s="284"/>
      <c r="Z1748" s="207"/>
      <c r="AA1748" s="284"/>
      <c r="AB1748" s="284"/>
      <c r="AC1748" s="284"/>
      <c r="AD1748" s="284"/>
      <c r="AE1748" s="284"/>
      <c r="AF1748" s="284"/>
      <c r="AG1748" s="284"/>
      <c r="AI1748" s="131"/>
    </row>
    <row r="1749" spans="1:35" ht="26.4">
      <c r="A1749" s="284"/>
      <c r="B1749" s="284"/>
      <c r="C1749" s="284"/>
      <c r="D1749" s="284"/>
      <c r="E1749" s="284"/>
      <c r="F1749" s="284"/>
      <c r="G1749" s="284"/>
      <c r="H1749" s="284"/>
      <c r="I1749" s="284"/>
      <c r="J1749" s="375"/>
      <c r="K1749" s="375"/>
      <c r="L1749" s="375"/>
      <c r="M1749" s="368"/>
      <c r="N1749" s="368"/>
      <c r="O1749" s="370"/>
      <c r="T1749" s="349"/>
      <c r="V1749" s="378"/>
      <c r="W1749" s="64" ph="1"/>
      <c r="X1749" s="241"/>
      <c r="Y1749" s="284"/>
      <c r="Z1749" s="207"/>
      <c r="AA1749" s="284"/>
      <c r="AB1749" s="284"/>
      <c r="AC1749" s="284"/>
      <c r="AD1749" s="284"/>
      <c r="AE1749" s="284"/>
      <c r="AF1749" s="284"/>
      <c r="AG1749" s="284"/>
      <c r="AI1749" s="131"/>
    </row>
    <row r="1750" spans="1:35" ht="26.4">
      <c r="A1750" s="284"/>
      <c r="B1750" s="284"/>
      <c r="C1750" s="284"/>
      <c r="D1750" s="284"/>
      <c r="E1750" s="284"/>
      <c r="F1750" s="284"/>
      <c r="G1750" s="284"/>
      <c r="H1750" s="284"/>
      <c r="I1750" s="284"/>
      <c r="J1750" s="375"/>
      <c r="K1750" s="375"/>
      <c r="L1750" s="375"/>
      <c r="M1750" s="368"/>
      <c r="N1750" s="368"/>
      <c r="O1750" s="370"/>
      <c r="T1750" s="349"/>
      <c r="V1750" s="378"/>
      <c r="W1750" s="64" ph="1"/>
      <c r="X1750" s="241"/>
      <c r="Y1750" s="284"/>
      <c r="Z1750" s="207"/>
      <c r="AA1750" s="284"/>
      <c r="AB1750" s="284"/>
      <c r="AC1750" s="284"/>
      <c r="AD1750" s="284"/>
      <c r="AE1750" s="284"/>
      <c r="AF1750" s="284"/>
      <c r="AG1750" s="284"/>
      <c r="AI1750" s="131"/>
    </row>
    <row r="1751" spans="1:35" ht="26.4">
      <c r="A1751" s="284"/>
      <c r="B1751" s="284"/>
      <c r="C1751" s="284"/>
      <c r="D1751" s="284"/>
      <c r="E1751" s="284"/>
      <c r="F1751" s="284"/>
      <c r="G1751" s="284"/>
      <c r="H1751" s="284"/>
      <c r="I1751" s="284"/>
      <c r="J1751" s="375"/>
      <c r="K1751" s="375"/>
      <c r="L1751" s="375"/>
      <c r="M1751" s="368"/>
      <c r="N1751" s="368"/>
      <c r="O1751" s="370"/>
      <c r="T1751" s="349"/>
      <c r="V1751" s="378"/>
      <c r="W1751" s="64" ph="1"/>
      <c r="X1751" s="241"/>
      <c r="Y1751" s="284"/>
      <c r="Z1751" s="207"/>
      <c r="AA1751" s="284"/>
      <c r="AB1751" s="284"/>
      <c r="AC1751" s="284"/>
      <c r="AD1751" s="284"/>
      <c r="AE1751" s="284"/>
      <c r="AF1751" s="284"/>
      <c r="AG1751" s="284"/>
      <c r="AI1751" s="131"/>
    </row>
    <row r="1752" spans="1:35" ht="26.4">
      <c r="A1752" s="284"/>
      <c r="B1752" s="284"/>
      <c r="C1752" s="284"/>
      <c r="D1752" s="284"/>
      <c r="E1752" s="284"/>
      <c r="F1752" s="284"/>
      <c r="G1752" s="284"/>
      <c r="H1752" s="284"/>
      <c r="I1752" s="284"/>
      <c r="J1752" s="375"/>
      <c r="K1752" s="375"/>
      <c r="L1752" s="375"/>
      <c r="M1752" s="368"/>
      <c r="N1752" s="368"/>
      <c r="O1752" s="370"/>
      <c r="T1752" s="349"/>
      <c r="V1752" s="378"/>
      <c r="W1752" s="64" ph="1"/>
      <c r="X1752" s="241"/>
      <c r="Y1752" s="284"/>
      <c r="Z1752" s="207"/>
      <c r="AA1752" s="284"/>
      <c r="AB1752" s="284"/>
      <c r="AC1752" s="284"/>
      <c r="AD1752" s="284"/>
      <c r="AE1752" s="284"/>
      <c r="AF1752" s="284"/>
      <c r="AG1752" s="284"/>
      <c r="AI1752" s="131"/>
    </row>
    <row r="1753" spans="1:35" ht="26.4">
      <c r="A1753" s="284"/>
      <c r="B1753" s="284"/>
      <c r="C1753" s="284"/>
      <c r="D1753" s="284"/>
      <c r="E1753" s="284"/>
      <c r="F1753" s="284"/>
      <c r="G1753" s="284"/>
      <c r="H1753" s="284"/>
      <c r="I1753" s="284"/>
      <c r="J1753" s="375"/>
      <c r="K1753" s="375"/>
      <c r="L1753" s="375"/>
      <c r="M1753" s="368"/>
      <c r="N1753" s="368"/>
      <c r="O1753" s="370"/>
      <c r="T1753" s="349"/>
      <c r="V1753" s="378"/>
      <c r="W1753" s="64" ph="1"/>
      <c r="X1753" s="241"/>
      <c r="Y1753" s="284"/>
      <c r="Z1753" s="207"/>
      <c r="AA1753" s="284"/>
      <c r="AB1753" s="284"/>
      <c r="AC1753" s="284"/>
      <c r="AD1753" s="284"/>
      <c r="AE1753" s="284"/>
      <c r="AF1753" s="284"/>
      <c r="AG1753" s="284"/>
      <c r="AI1753" s="131"/>
    </row>
    <row r="1754" spans="1:35" ht="26.4">
      <c r="A1754" s="284"/>
      <c r="B1754" s="284"/>
      <c r="C1754" s="284"/>
      <c r="D1754" s="284"/>
      <c r="E1754" s="284"/>
      <c r="F1754" s="284"/>
      <c r="G1754" s="284"/>
      <c r="H1754" s="284"/>
      <c r="I1754" s="284"/>
      <c r="J1754" s="375"/>
      <c r="K1754" s="375"/>
      <c r="L1754" s="375"/>
      <c r="M1754" s="368"/>
      <c r="N1754" s="368"/>
      <c r="O1754" s="370"/>
      <c r="T1754" s="349"/>
      <c r="V1754" s="378"/>
      <c r="W1754" s="64" ph="1"/>
      <c r="X1754" s="241"/>
      <c r="Y1754" s="284"/>
      <c r="Z1754" s="207"/>
      <c r="AA1754" s="284"/>
      <c r="AB1754" s="284"/>
      <c r="AC1754" s="284"/>
      <c r="AD1754" s="284"/>
      <c r="AE1754" s="284"/>
      <c r="AF1754" s="284"/>
      <c r="AG1754" s="284"/>
      <c r="AI1754" s="131"/>
    </row>
    <row r="1755" spans="1:35" ht="26.4">
      <c r="A1755" s="284"/>
      <c r="B1755" s="284"/>
      <c r="C1755" s="284"/>
      <c r="D1755" s="284"/>
      <c r="E1755" s="284"/>
      <c r="F1755" s="284"/>
      <c r="G1755" s="284"/>
      <c r="H1755" s="284"/>
      <c r="I1755" s="284"/>
      <c r="J1755" s="375"/>
      <c r="K1755" s="375"/>
      <c r="L1755" s="375"/>
      <c r="M1755" s="368"/>
      <c r="N1755" s="368"/>
      <c r="O1755" s="370"/>
      <c r="T1755" s="349"/>
      <c r="V1755" s="378"/>
      <c r="W1755" s="64" ph="1"/>
      <c r="X1755" s="241"/>
      <c r="Y1755" s="284"/>
      <c r="Z1755" s="207"/>
      <c r="AA1755" s="284"/>
      <c r="AB1755" s="284"/>
      <c r="AC1755" s="284"/>
      <c r="AD1755" s="284"/>
      <c r="AE1755" s="284"/>
      <c r="AF1755" s="284"/>
      <c r="AG1755" s="284"/>
      <c r="AI1755" s="284"/>
    </row>
    <row r="1756" spans="1:35" ht="26.4">
      <c r="A1756" s="284"/>
      <c r="B1756" s="284"/>
      <c r="C1756" s="284"/>
      <c r="D1756" s="284"/>
      <c r="E1756" s="284"/>
      <c r="F1756" s="284"/>
      <c r="G1756" s="284"/>
      <c r="H1756" s="284"/>
      <c r="I1756" s="284"/>
      <c r="J1756" s="375"/>
      <c r="K1756" s="375"/>
      <c r="L1756" s="375"/>
      <c r="M1756" s="368"/>
      <c r="N1756" s="368"/>
      <c r="O1756" s="370"/>
      <c r="T1756" s="349"/>
      <c r="V1756" s="378"/>
      <c r="W1756" s="64" ph="1"/>
      <c r="X1756" s="241"/>
      <c r="Y1756" s="284"/>
      <c r="Z1756" s="207"/>
      <c r="AA1756" s="284"/>
      <c r="AB1756" s="284"/>
      <c r="AC1756" s="284"/>
      <c r="AD1756" s="284"/>
      <c r="AE1756" s="284"/>
      <c r="AF1756" s="284"/>
      <c r="AG1756" s="284"/>
      <c r="AI1756" s="131"/>
    </row>
    <row r="1757" spans="1:35" ht="26.4">
      <c r="A1757" s="284"/>
      <c r="B1757" s="284"/>
      <c r="C1757" s="284"/>
      <c r="D1757" s="284"/>
      <c r="E1757" s="284"/>
      <c r="F1757" s="284"/>
      <c r="G1757" s="284"/>
      <c r="H1757" s="284"/>
      <c r="I1757" s="284"/>
      <c r="J1757" s="375"/>
      <c r="K1757" s="375"/>
      <c r="L1757" s="375"/>
      <c r="M1757" s="368"/>
      <c r="N1757" s="368"/>
      <c r="O1757" s="370"/>
      <c r="T1757" s="349"/>
      <c r="V1757" s="378"/>
      <c r="W1757" s="64" ph="1"/>
      <c r="X1757" s="241"/>
      <c r="Y1757" s="284"/>
      <c r="Z1757" s="207"/>
      <c r="AA1757" s="284"/>
      <c r="AB1757" s="284"/>
      <c r="AC1757" s="284"/>
      <c r="AD1757" s="284"/>
      <c r="AE1757" s="284"/>
      <c r="AF1757" s="284"/>
      <c r="AG1757" s="284"/>
      <c r="AI1757" s="131"/>
    </row>
    <row r="1758" spans="1:35" ht="26.4">
      <c r="A1758" s="284"/>
      <c r="B1758" s="284"/>
      <c r="C1758" s="284"/>
      <c r="D1758" s="284"/>
      <c r="E1758" s="284"/>
      <c r="F1758" s="284"/>
      <c r="G1758" s="284"/>
      <c r="H1758" s="284"/>
      <c r="I1758" s="284"/>
      <c r="J1758" s="375"/>
      <c r="K1758" s="375"/>
      <c r="L1758" s="375"/>
      <c r="M1758" s="368"/>
      <c r="N1758" s="368"/>
      <c r="O1758" s="370"/>
      <c r="T1758" s="349"/>
      <c r="V1758" s="378"/>
      <c r="W1758" s="64" ph="1"/>
      <c r="X1758" s="241"/>
      <c r="Y1758" s="284"/>
      <c r="Z1758" s="207"/>
      <c r="AA1758" s="284"/>
      <c r="AB1758" s="284"/>
      <c r="AC1758" s="284"/>
      <c r="AD1758" s="284"/>
      <c r="AE1758" s="284"/>
      <c r="AF1758" s="284"/>
      <c r="AG1758" s="284"/>
      <c r="AI1758" s="131"/>
    </row>
    <row r="1759" spans="1:35" ht="26.4">
      <c r="A1759" s="284"/>
      <c r="B1759" s="284"/>
      <c r="C1759" s="284"/>
      <c r="D1759" s="284"/>
      <c r="E1759" s="284"/>
      <c r="F1759" s="284"/>
      <c r="G1759" s="284"/>
      <c r="H1759" s="284"/>
      <c r="I1759" s="284"/>
      <c r="J1759" s="375"/>
      <c r="K1759" s="375"/>
      <c r="L1759" s="375"/>
      <c r="M1759" s="368"/>
      <c r="N1759" s="368"/>
      <c r="O1759" s="370"/>
      <c r="T1759" s="349"/>
      <c r="V1759" s="378"/>
      <c r="W1759" s="64" ph="1"/>
      <c r="X1759" s="241"/>
      <c r="Y1759" s="284"/>
      <c r="Z1759" s="207"/>
      <c r="AA1759" s="284"/>
      <c r="AB1759" s="284"/>
      <c r="AC1759" s="284"/>
      <c r="AD1759" s="284"/>
      <c r="AE1759" s="284"/>
      <c r="AF1759" s="284"/>
      <c r="AG1759" s="284"/>
      <c r="AI1759" s="131"/>
    </row>
    <row r="1760" spans="1:35" ht="26.4">
      <c r="A1760" s="284"/>
      <c r="B1760" s="284"/>
      <c r="C1760" s="284"/>
      <c r="D1760" s="284"/>
      <c r="E1760" s="284"/>
      <c r="F1760" s="284"/>
      <c r="G1760" s="284"/>
      <c r="H1760" s="284"/>
      <c r="I1760" s="284"/>
      <c r="J1760" s="375"/>
      <c r="K1760" s="375"/>
      <c r="L1760" s="375"/>
      <c r="M1760" s="368"/>
      <c r="N1760" s="368"/>
      <c r="O1760" s="370"/>
      <c r="T1760" s="349"/>
      <c r="V1760" s="378"/>
      <c r="W1760" s="64" ph="1"/>
      <c r="X1760" s="241"/>
      <c r="Y1760" s="284"/>
      <c r="Z1760" s="207"/>
      <c r="AA1760" s="284"/>
      <c r="AB1760" s="284"/>
      <c r="AC1760" s="284"/>
      <c r="AD1760" s="284"/>
      <c r="AE1760" s="284"/>
      <c r="AF1760" s="284"/>
      <c r="AG1760" s="284"/>
      <c r="AI1760" s="131"/>
    </row>
    <row r="1761" spans="1:35" ht="26.4">
      <c r="A1761" s="284"/>
      <c r="B1761" s="284"/>
      <c r="C1761" s="284"/>
      <c r="D1761" s="284"/>
      <c r="E1761" s="284"/>
      <c r="F1761" s="284"/>
      <c r="G1761" s="284"/>
      <c r="H1761" s="284"/>
      <c r="I1761" s="284"/>
      <c r="J1761" s="375"/>
      <c r="K1761" s="375"/>
      <c r="L1761" s="375"/>
      <c r="M1761" s="368"/>
      <c r="N1761" s="368"/>
      <c r="O1761" s="370"/>
      <c r="T1761" s="349"/>
      <c r="V1761" s="378"/>
      <c r="W1761" s="64" ph="1"/>
      <c r="X1761" s="241"/>
      <c r="Y1761" s="284"/>
      <c r="Z1761" s="207"/>
      <c r="AA1761" s="284"/>
      <c r="AB1761" s="284"/>
      <c r="AC1761" s="284"/>
      <c r="AD1761" s="284"/>
      <c r="AE1761" s="284"/>
      <c r="AF1761" s="284"/>
      <c r="AG1761" s="284"/>
      <c r="AI1761" s="131"/>
    </row>
    <row r="1762" spans="1:35" ht="26.4">
      <c r="A1762" s="284"/>
      <c r="B1762" s="284"/>
      <c r="C1762" s="284"/>
      <c r="D1762" s="284"/>
      <c r="E1762" s="284"/>
      <c r="F1762" s="284"/>
      <c r="G1762" s="284"/>
      <c r="H1762" s="284"/>
      <c r="I1762" s="284"/>
      <c r="J1762" s="375"/>
      <c r="K1762" s="375"/>
      <c r="L1762" s="375"/>
      <c r="M1762" s="368"/>
      <c r="N1762" s="368"/>
      <c r="O1762" s="370"/>
      <c r="T1762" s="349"/>
      <c r="V1762" s="378"/>
      <c r="W1762" s="64" ph="1"/>
      <c r="X1762" s="241"/>
      <c r="Y1762" s="284"/>
      <c r="Z1762" s="207"/>
      <c r="AA1762" s="284"/>
      <c r="AB1762" s="284"/>
      <c r="AC1762" s="284"/>
      <c r="AD1762" s="284"/>
      <c r="AE1762" s="284"/>
      <c r="AF1762" s="284"/>
      <c r="AG1762" s="284"/>
      <c r="AI1762" s="52"/>
    </row>
    <row r="1763" spans="1:35" ht="26.4">
      <c r="A1763" s="284"/>
      <c r="B1763" s="284"/>
      <c r="C1763" s="284"/>
      <c r="D1763" s="284"/>
      <c r="E1763" s="284"/>
      <c r="F1763" s="284"/>
      <c r="G1763" s="284"/>
      <c r="H1763" s="284"/>
      <c r="I1763" s="284"/>
      <c r="J1763" s="375"/>
      <c r="K1763" s="375"/>
      <c r="L1763" s="375"/>
      <c r="M1763" s="368"/>
      <c r="N1763" s="368"/>
      <c r="O1763" s="370"/>
      <c r="T1763" s="349"/>
      <c r="V1763" s="378"/>
      <c r="W1763" s="64" ph="1"/>
      <c r="X1763" s="241"/>
      <c r="Y1763" s="284"/>
      <c r="Z1763" s="207"/>
      <c r="AA1763" s="284"/>
      <c r="AB1763" s="284"/>
      <c r="AC1763" s="284"/>
      <c r="AD1763" s="284"/>
      <c r="AE1763" s="284"/>
      <c r="AF1763" s="284"/>
      <c r="AG1763" s="284"/>
      <c r="AI1763" s="131"/>
    </row>
    <row r="1764" spans="1:35" ht="26.4">
      <c r="A1764" s="284"/>
      <c r="B1764" s="284"/>
      <c r="C1764" s="284"/>
      <c r="D1764" s="284"/>
      <c r="E1764" s="284"/>
      <c r="F1764" s="284"/>
      <c r="G1764" s="284"/>
      <c r="H1764" s="284"/>
      <c r="I1764" s="284"/>
      <c r="J1764" s="375"/>
      <c r="K1764" s="375"/>
      <c r="L1764" s="375"/>
      <c r="M1764" s="368"/>
      <c r="N1764" s="368"/>
      <c r="O1764" s="370"/>
      <c r="T1764" s="349"/>
      <c r="V1764" s="378"/>
      <c r="W1764" s="64" ph="1"/>
      <c r="X1764" s="241"/>
      <c r="Y1764" s="284"/>
      <c r="Z1764" s="207"/>
      <c r="AA1764" s="284"/>
      <c r="AB1764" s="284"/>
      <c r="AC1764" s="284"/>
      <c r="AD1764" s="284"/>
      <c r="AE1764" s="284"/>
      <c r="AF1764" s="284"/>
      <c r="AG1764" s="284"/>
      <c r="AI1764" s="131"/>
    </row>
    <row r="1765" spans="1:35" ht="26.4">
      <c r="A1765" s="284"/>
      <c r="B1765" s="284"/>
      <c r="C1765" s="284"/>
      <c r="D1765" s="284"/>
      <c r="E1765" s="284"/>
      <c r="F1765" s="284"/>
      <c r="G1765" s="284"/>
      <c r="H1765" s="284"/>
      <c r="I1765" s="284"/>
      <c r="J1765" s="375"/>
      <c r="K1765" s="375"/>
      <c r="L1765" s="375"/>
      <c r="M1765" s="368"/>
      <c r="N1765" s="368"/>
      <c r="O1765" s="370"/>
      <c r="T1765" s="349"/>
      <c r="V1765" s="378"/>
      <c r="W1765" s="64" ph="1"/>
      <c r="X1765" s="241"/>
      <c r="Y1765" s="284"/>
      <c r="Z1765" s="207"/>
      <c r="AA1765" s="284"/>
      <c r="AB1765" s="284"/>
      <c r="AC1765" s="284"/>
      <c r="AD1765" s="284"/>
      <c r="AE1765" s="284"/>
      <c r="AF1765" s="284"/>
      <c r="AG1765" s="284"/>
      <c r="AI1765" s="131"/>
    </row>
    <row r="1766" spans="1:35" ht="26.4">
      <c r="A1766" s="284"/>
      <c r="B1766" s="284"/>
      <c r="C1766" s="284"/>
      <c r="D1766" s="284"/>
      <c r="E1766" s="284"/>
      <c r="F1766" s="284"/>
      <c r="G1766" s="284"/>
      <c r="H1766" s="284"/>
      <c r="I1766" s="284"/>
      <c r="J1766" s="375"/>
      <c r="K1766" s="375"/>
      <c r="L1766" s="375"/>
      <c r="M1766" s="368"/>
      <c r="N1766" s="368"/>
      <c r="O1766" s="370"/>
      <c r="T1766" s="349"/>
      <c r="V1766" s="378"/>
      <c r="W1766" s="64" ph="1"/>
      <c r="X1766" s="241"/>
      <c r="Y1766" s="284"/>
      <c r="Z1766" s="207"/>
      <c r="AA1766" s="284"/>
      <c r="AB1766" s="284"/>
      <c r="AC1766" s="284"/>
      <c r="AD1766" s="284"/>
      <c r="AE1766" s="284"/>
      <c r="AF1766" s="284"/>
      <c r="AG1766" s="284"/>
      <c r="AI1766" s="131"/>
    </row>
    <row r="1767" spans="1:35" ht="26.4">
      <c r="A1767" s="284"/>
      <c r="B1767" s="284"/>
      <c r="C1767" s="284"/>
      <c r="D1767" s="284"/>
      <c r="E1767" s="284"/>
      <c r="F1767" s="284"/>
      <c r="G1767" s="284"/>
      <c r="H1767" s="284"/>
      <c r="I1767" s="284"/>
      <c r="J1767" s="375"/>
      <c r="K1767" s="375"/>
      <c r="L1767" s="375"/>
      <c r="M1767" s="368"/>
      <c r="N1767" s="368"/>
      <c r="O1767" s="370"/>
      <c r="T1767" s="349"/>
      <c r="V1767" s="378"/>
      <c r="W1767" s="64" ph="1"/>
      <c r="X1767" s="241"/>
      <c r="Y1767" s="284"/>
      <c r="Z1767" s="207"/>
      <c r="AA1767" s="284"/>
      <c r="AB1767" s="284"/>
      <c r="AC1767" s="284"/>
      <c r="AD1767" s="284"/>
      <c r="AE1767" s="284"/>
      <c r="AF1767" s="284"/>
      <c r="AG1767" s="284"/>
      <c r="AI1767" s="131"/>
    </row>
    <row r="1768" spans="1:35" ht="26.4">
      <c r="A1768" s="284"/>
      <c r="B1768" s="284"/>
      <c r="C1768" s="284"/>
      <c r="D1768" s="284"/>
      <c r="E1768" s="284"/>
      <c r="F1768" s="284"/>
      <c r="G1768" s="284"/>
      <c r="H1768" s="284"/>
      <c r="I1768" s="284"/>
      <c r="J1768" s="375"/>
      <c r="K1768" s="375"/>
      <c r="L1768" s="375"/>
      <c r="M1768" s="368"/>
      <c r="N1768" s="368"/>
      <c r="O1768" s="370"/>
      <c r="T1768" s="349"/>
      <c r="V1768" s="378"/>
      <c r="W1768" s="64" ph="1"/>
      <c r="X1768" s="241"/>
      <c r="Y1768" s="284"/>
      <c r="Z1768" s="207"/>
      <c r="AA1768" s="284"/>
      <c r="AB1768" s="284"/>
      <c r="AC1768" s="284"/>
      <c r="AD1768" s="284"/>
      <c r="AE1768" s="284"/>
      <c r="AF1768" s="284"/>
      <c r="AG1768" s="284"/>
      <c r="AI1768" s="131"/>
    </row>
    <row r="1769" spans="1:35" ht="26.4">
      <c r="A1769" s="284"/>
      <c r="B1769" s="284"/>
      <c r="C1769" s="284"/>
      <c r="D1769" s="284"/>
      <c r="E1769" s="284"/>
      <c r="F1769" s="284"/>
      <c r="G1769" s="284"/>
      <c r="H1769" s="284"/>
      <c r="I1769" s="284"/>
      <c r="J1769" s="375"/>
      <c r="K1769" s="375"/>
      <c r="L1769" s="375"/>
      <c r="M1769" s="368"/>
      <c r="N1769" s="368"/>
      <c r="O1769" s="370"/>
      <c r="T1769" s="349"/>
      <c r="V1769" s="378"/>
      <c r="W1769" s="64" ph="1"/>
      <c r="X1769" s="241"/>
      <c r="Y1769" s="284"/>
      <c r="Z1769" s="207"/>
      <c r="AA1769" s="284"/>
      <c r="AB1769" s="284"/>
      <c r="AC1769" s="284"/>
      <c r="AD1769" s="284"/>
      <c r="AE1769" s="284"/>
      <c r="AF1769" s="284"/>
      <c r="AG1769" s="284"/>
      <c r="AI1769" s="131"/>
    </row>
    <row r="1770" spans="1:35" ht="26.4">
      <c r="A1770" s="284"/>
      <c r="B1770" s="284"/>
      <c r="C1770" s="284"/>
      <c r="D1770" s="284"/>
      <c r="E1770" s="284"/>
      <c r="F1770" s="284"/>
      <c r="G1770" s="284"/>
      <c r="H1770" s="284"/>
      <c r="I1770" s="284"/>
      <c r="J1770" s="375"/>
      <c r="K1770" s="375"/>
      <c r="L1770" s="375"/>
      <c r="M1770" s="368"/>
      <c r="N1770" s="368"/>
      <c r="O1770" s="370"/>
      <c r="T1770" s="349"/>
      <c r="V1770" s="378"/>
      <c r="W1770" s="64" ph="1"/>
      <c r="X1770" s="241"/>
      <c r="Y1770" s="284"/>
      <c r="Z1770" s="207"/>
      <c r="AA1770" s="284"/>
      <c r="AB1770" s="284"/>
      <c r="AC1770" s="284"/>
      <c r="AD1770" s="284"/>
      <c r="AE1770" s="284"/>
      <c r="AF1770" s="284"/>
      <c r="AG1770" s="284"/>
      <c r="AI1770" s="131"/>
    </row>
    <row r="1771" spans="1:35" ht="26.4">
      <c r="A1771" s="284"/>
      <c r="B1771" s="284"/>
      <c r="C1771" s="284"/>
      <c r="D1771" s="284"/>
      <c r="E1771" s="284"/>
      <c r="F1771" s="284"/>
      <c r="G1771" s="284"/>
      <c r="H1771" s="284"/>
      <c r="I1771" s="284"/>
      <c r="J1771" s="375"/>
      <c r="K1771" s="375"/>
      <c r="L1771" s="375"/>
      <c r="M1771" s="368"/>
      <c r="N1771" s="368"/>
      <c r="O1771" s="370"/>
      <c r="T1771" s="349"/>
      <c r="V1771" s="378"/>
      <c r="W1771" s="64" ph="1"/>
      <c r="X1771" s="241"/>
      <c r="Y1771" s="284"/>
      <c r="Z1771" s="207"/>
      <c r="AA1771" s="284"/>
      <c r="AB1771" s="284"/>
      <c r="AC1771" s="284"/>
      <c r="AD1771" s="284"/>
      <c r="AE1771" s="284"/>
      <c r="AF1771" s="284"/>
      <c r="AG1771" s="284"/>
      <c r="AI1771" s="131"/>
    </row>
    <row r="1772" spans="1:35" ht="26.4">
      <c r="A1772" s="284"/>
      <c r="B1772" s="284"/>
      <c r="C1772" s="284"/>
      <c r="D1772" s="284"/>
      <c r="E1772" s="284"/>
      <c r="F1772" s="284"/>
      <c r="G1772" s="284"/>
      <c r="H1772" s="284"/>
      <c r="I1772" s="284"/>
      <c r="J1772" s="375"/>
      <c r="K1772" s="375"/>
      <c r="L1772" s="375"/>
      <c r="M1772" s="368"/>
      <c r="N1772" s="368"/>
      <c r="O1772" s="370"/>
      <c r="T1772" s="349"/>
      <c r="V1772" s="378"/>
      <c r="W1772" s="64" ph="1"/>
      <c r="X1772" s="241"/>
      <c r="Y1772" s="284"/>
      <c r="Z1772" s="207"/>
      <c r="AA1772" s="284"/>
      <c r="AB1772" s="284"/>
      <c r="AC1772" s="284"/>
      <c r="AD1772" s="284"/>
      <c r="AE1772" s="284"/>
      <c r="AF1772" s="284"/>
      <c r="AG1772" s="284"/>
      <c r="AI1772" s="131"/>
    </row>
    <row r="1773" spans="1:35" ht="26.4">
      <c r="A1773" s="284"/>
      <c r="B1773" s="284"/>
      <c r="C1773" s="284"/>
      <c r="D1773" s="284"/>
      <c r="E1773" s="284"/>
      <c r="F1773" s="284"/>
      <c r="G1773" s="284"/>
      <c r="H1773" s="284"/>
      <c r="I1773" s="284"/>
      <c r="J1773" s="375"/>
      <c r="K1773" s="375"/>
      <c r="L1773" s="375"/>
      <c r="M1773" s="368"/>
      <c r="N1773" s="368"/>
      <c r="O1773" s="370"/>
      <c r="T1773" s="349"/>
      <c r="V1773" s="378"/>
      <c r="W1773" s="64" ph="1"/>
      <c r="X1773" s="241"/>
      <c r="Y1773" s="284"/>
      <c r="Z1773" s="207"/>
      <c r="AA1773" s="284"/>
      <c r="AB1773" s="284"/>
      <c r="AC1773" s="284"/>
      <c r="AD1773" s="284"/>
      <c r="AE1773" s="284"/>
      <c r="AF1773" s="284"/>
      <c r="AG1773" s="284"/>
      <c r="AI1773" s="131"/>
    </row>
    <row r="1774" spans="1:35" ht="26.4">
      <c r="A1774" s="284"/>
      <c r="B1774" s="284"/>
      <c r="C1774" s="284"/>
      <c r="D1774" s="284"/>
      <c r="E1774" s="284"/>
      <c r="F1774" s="284"/>
      <c r="G1774" s="284"/>
      <c r="H1774" s="284"/>
      <c r="I1774" s="284"/>
      <c r="J1774" s="375"/>
      <c r="K1774" s="375"/>
      <c r="L1774" s="375"/>
      <c r="M1774" s="368"/>
      <c r="N1774" s="368"/>
      <c r="O1774" s="370"/>
      <c r="T1774" s="349"/>
      <c r="V1774" s="378"/>
      <c r="W1774" s="64" ph="1"/>
      <c r="X1774" s="241"/>
      <c r="Y1774" s="284"/>
      <c r="Z1774" s="207"/>
      <c r="AA1774" s="284"/>
      <c r="AB1774" s="284"/>
      <c r="AC1774" s="284"/>
      <c r="AD1774" s="284"/>
      <c r="AE1774" s="284"/>
      <c r="AF1774" s="284"/>
      <c r="AG1774" s="284"/>
      <c r="AI1774" s="131"/>
    </row>
    <row r="1775" spans="1:35" ht="26.4">
      <c r="A1775" s="284"/>
      <c r="B1775" s="284"/>
      <c r="C1775" s="284"/>
      <c r="D1775" s="284"/>
      <c r="E1775" s="284"/>
      <c r="F1775" s="284"/>
      <c r="G1775" s="284"/>
      <c r="H1775" s="284"/>
      <c r="I1775" s="284"/>
      <c r="J1775" s="375"/>
      <c r="K1775" s="375"/>
      <c r="L1775" s="375"/>
      <c r="M1775" s="368"/>
      <c r="N1775" s="368"/>
      <c r="O1775" s="370"/>
      <c r="T1775" s="349"/>
      <c r="V1775" s="378"/>
      <c r="W1775" s="64" ph="1"/>
      <c r="X1775" s="241"/>
      <c r="Y1775" s="284"/>
      <c r="Z1775" s="207"/>
      <c r="AA1775" s="284"/>
      <c r="AB1775" s="284"/>
      <c r="AC1775" s="284"/>
      <c r="AD1775" s="284"/>
      <c r="AE1775" s="284"/>
      <c r="AF1775" s="284"/>
      <c r="AG1775" s="284"/>
      <c r="AI1775" s="131"/>
    </row>
    <row r="1776" spans="1:35" ht="26.4">
      <c r="A1776" s="284"/>
      <c r="B1776" s="284"/>
      <c r="C1776" s="284"/>
      <c r="D1776" s="284"/>
      <c r="E1776" s="284"/>
      <c r="F1776" s="284"/>
      <c r="G1776" s="284"/>
      <c r="H1776" s="284"/>
      <c r="I1776" s="284"/>
      <c r="J1776" s="375"/>
      <c r="K1776" s="375"/>
      <c r="L1776" s="375"/>
      <c r="M1776" s="368"/>
      <c r="N1776" s="368"/>
      <c r="O1776" s="370"/>
      <c r="T1776" s="349"/>
      <c r="V1776" s="378"/>
      <c r="W1776" s="64" ph="1"/>
      <c r="X1776" s="241"/>
      <c r="Y1776" s="284"/>
      <c r="Z1776" s="207"/>
      <c r="AA1776" s="284"/>
      <c r="AB1776" s="284"/>
      <c r="AC1776" s="284"/>
      <c r="AD1776" s="284"/>
      <c r="AE1776" s="284"/>
      <c r="AF1776" s="284"/>
      <c r="AG1776" s="284"/>
      <c r="AI1776" s="131"/>
    </row>
    <row r="1777" spans="1:35" ht="26.4">
      <c r="A1777" s="284"/>
      <c r="B1777" s="284"/>
      <c r="C1777" s="284"/>
      <c r="D1777" s="284"/>
      <c r="E1777" s="284"/>
      <c r="F1777" s="284"/>
      <c r="G1777" s="284"/>
      <c r="H1777" s="284"/>
      <c r="I1777" s="284"/>
      <c r="J1777" s="375"/>
      <c r="K1777" s="375"/>
      <c r="L1777" s="375"/>
      <c r="M1777" s="368"/>
      <c r="N1777" s="368"/>
      <c r="O1777" s="370"/>
      <c r="T1777" s="349"/>
      <c r="V1777" s="378"/>
      <c r="W1777" s="64" ph="1"/>
      <c r="X1777" s="241"/>
      <c r="Y1777" s="284"/>
      <c r="Z1777" s="207"/>
      <c r="AA1777" s="284"/>
      <c r="AB1777" s="284"/>
      <c r="AC1777" s="284"/>
      <c r="AD1777" s="284"/>
      <c r="AE1777" s="284"/>
      <c r="AF1777" s="284"/>
      <c r="AG1777" s="284"/>
      <c r="AI1777" s="131"/>
    </row>
    <row r="1778" spans="1:35" ht="26.4">
      <c r="A1778" s="284"/>
      <c r="B1778" s="284"/>
      <c r="C1778" s="284"/>
      <c r="D1778" s="284"/>
      <c r="E1778" s="284"/>
      <c r="F1778" s="284"/>
      <c r="G1778" s="284"/>
      <c r="H1778" s="284"/>
      <c r="I1778" s="284"/>
      <c r="J1778" s="375"/>
      <c r="K1778" s="375"/>
      <c r="L1778" s="375"/>
      <c r="M1778" s="368"/>
      <c r="N1778" s="368"/>
      <c r="O1778" s="370"/>
      <c r="T1778" s="349"/>
      <c r="V1778" s="378"/>
      <c r="W1778" s="64" ph="1"/>
      <c r="X1778" s="241"/>
      <c r="Y1778" s="284"/>
      <c r="Z1778" s="207"/>
      <c r="AA1778" s="284"/>
      <c r="AB1778" s="284"/>
      <c r="AC1778" s="284"/>
      <c r="AD1778" s="284"/>
      <c r="AE1778" s="284"/>
      <c r="AF1778" s="284"/>
      <c r="AG1778" s="284"/>
      <c r="AI1778" s="131"/>
    </row>
    <row r="1779" spans="1:35" ht="26.4">
      <c r="A1779" s="284"/>
      <c r="B1779" s="284"/>
      <c r="C1779" s="284"/>
      <c r="D1779" s="284"/>
      <c r="E1779" s="284"/>
      <c r="F1779" s="284"/>
      <c r="G1779" s="284"/>
      <c r="H1779" s="284"/>
      <c r="I1779" s="284"/>
      <c r="J1779" s="375"/>
      <c r="K1779" s="375"/>
      <c r="L1779" s="375"/>
      <c r="M1779" s="368"/>
      <c r="N1779" s="368"/>
      <c r="O1779" s="370"/>
      <c r="T1779" s="349"/>
      <c r="V1779" s="378"/>
      <c r="W1779" s="64" ph="1"/>
      <c r="X1779" s="241"/>
      <c r="Y1779" s="284"/>
      <c r="Z1779" s="207"/>
      <c r="AA1779" s="284"/>
      <c r="AB1779" s="284"/>
      <c r="AC1779" s="284"/>
      <c r="AD1779" s="284"/>
      <c r="AE1779" s="284"/>
      <c r="AF1779" s="284"/>
      <c r="AG1779" s="284"/>
      <c r="AI1779" s="131"/>
    </row>
    <row r="1780" spans="1:35" ht="26.4">
      <c r="A1780" s="284"/>
      <c r="B1780" s="284"/>
      <c r="C1780" s="284"/>
      <c r="D1780" s="284"/>
      <c r="E1780" s="284"/>
      <c r="F1780" s="284"/>
      <c r="G1780" s="284"/>
      <c r="H1780" s="284"/>
      <c r="I1780" s="284"/>
      <c r="J1780" s="375"/>
      <c r="K1780" s="375"/>
      <c r="L1780" s="375"/>
      <c r="M1780" s="368"/>
      <c r="N1780" s="368"/>
      <c r="O1780" s="370"/>
      <c r="T1780" s="349"/>
      <c r="V1780" s="378"/>
      <c r="W1780" s="64" ph="1"/>
      <c r="X1780" s="241"/>
      <c r="Y1780" s="284"/>
      <c r="Z1780" s="207"/>
      <c r="AA1780" s="284"/>
      <c r="AB1780" s="284"/>
      <c r="AC1780" s="284"/>
      <c r="AD1780" s="284"/>
      <c r="AE1780" s="284"/>
      <c r="AF1780" s="284"/>
      <c r="AG1780" s="284"/>
      <c r="AI1780" s="131"/>
    </row>
    <row r="1781" spans="1:35" ht="26.4">
      <c r="A1781" s="284"/>
      <c r="B1781" s="284"/>
      <c r="C1781" s="284"/>
      <c r="D1781" s="284"/>
      <c r="E1781" s="284"/>
      <c r="F1781" s="284"/>
      <c r="G1781" s="284"/>
      <c r="H1781" s="284"/>
      <c r="I1781" s="284"/>
      <c r="J1781" s="375"/>
      <c r="K1781" s="375"/>
      <c r="L1781" s="375"/>
      <c r="M1781" s="368"/>
      <c r="N1781" s="368"/>
      <c r="O1781" s="370"/>
      <c r="T1781" s="349"/>
      <c r="V1781" s="378"/>
      <c r="W1781" s="64" ph="1"/>
      <c r="X1781" s="241"/>
      <c r="Y1781" s="284"/>
      <c r="Z1781" s="207"/>
      <c r="AA1781" s="284"/>
      <c r="AB1781" s="284"/>
      <c r="AC1781" s="284"/>
      <c r="AD1781" s="284"/>
      <c r="AE1781" s="284"/>
      <c r="AF1781" s="284"/>
      <c r="AG1781" s="284"/>
      <c r="AI1781" s="131"/>
    </row>
    <row r="1782" spans="1:35" ht="26.4">
      <c r="A1782" s="284"/>
      <c r="B1782" s="284"/>
      <c r="C1782" s="284"/>
      <c r="D1782" s="284"/>
      <c r="E1782" s="284"/>
      <c r="F1782" s="284"/>
      <c r="G1782" s="284"/>
      <c r="H1782" s="284"/>
      <c r="I1782" s="284"/>
      <c r="J1782" s="375"/>
      <c r="K1782" s="375"/>
      <c r="L1782" s="375"/>
      <c r="M1782" s="368"/>
      <c r="N1782" s="368"/>
      <c r="O1782" s="370"/>
      <c r="T1782" s="349"/>
      <c r="V1782" s="378"/>
      <c r="W1782" s="64" ph="1"/>
      <c r="X1782" s="241"/>
      <c r="Y1782" s="284"/>
      <c r="Z1782" s="207"/>
      <c r="AA1782" s="284"/>
      <c r="AB1782" s="284"/>
      <c r="AC1782" s="284"/>
      <c r="AD1782" s="284"/>
      <c r="AE1782" s="284"/>
      <c r="AF1782" s="284"/>
      <c r="AG1782" s="284"/>
      <c r="AI1782" s="131"/>
    </row>
    <row r="1783" spans="1:35" ht="26.4">
      <c r="A1783" s="284"/>
      <c r="B1783" s="284"/>
      <c r="C1783" s="284"/>
      <c r="D1783" s="284"/>
      <c r="E1783" s="284"/>
      <c r="F1783" s="284"/>
      <c r="G1783" s="284"/>
      <c r="H1783" s="284"/>
      <c r="I1783" s="284"/>
      <c r="J1783" s="375"/>
      <c r="K1783" s="375"/>
      <c r="L1783" s="375"/>
      <c r="M1783" s="368"/>
      <c r="N1783" s="368"/>
      <c r="O1783" s="370"/>
      <c r="T1783" s="349"/>
      <c r="V1783" s="378"/>
      <c r="W1783" s="64" ph="1"/>
      <c r="X1783" s="241"/>
      <c r="Y1783" s="284"/>
      <c r="Z1783" s="207"/>
      <c r="AA1783" s="284"/>
      <c r="AB1783" s="284"/>
      <c r="AC1783" s="284"/>
      <c r="AD1783" s="284"/>
      <c r="AE1783" s="284"/>
      <c r="AF1783" s="284"/>
      <c r="AG1783" s="284"/>
      <c r="AI1783" s="131"/>
    </row>
    <row r="1784" spans="1:35" ht="26.4">
      <c r="A1784" s="284"/>
      <c r="B1784" s="284"/>
      <c r="C1784" s="284"/>
      <c r="D1784" s="284"/>
      <c r="E1784" s="284"/>
      <c r="F1784" s="284"/>
      <c r="G1784" s="284"/>
      <c r="H1784" s="284"/>
      <c r="I1784" s="284"/>
      <c r="J1784" s="375"/>
      <c r="K1784" s="375"/>
      <c r="L1784" s="375"/>
      <c r="M1784" s="368"/>
      <c r="N1784" s="368"/>
      <c r="O1784" s="370"/>
      <c r="T1784" s="349"/>
      <c r="V1784" s="378"/>
      <c r="W1784" s="64" ph="1"/>
      <c r="X1784" s="241"/>
      <c r="Y1784" s="284"/>
      <c r="Z1784" s="207"/>
      <c r="AA1784" s="284"/>
      <c r="AB1784" s="284"/>
      <c r="AC1784" s="284"/>
      <c r="AD1784" s="284"/>
      <c r="AE1784" s="284"/>
      <c r="AF1784" s="284"/>
      <c r="AG1784" s="284"/>
      <c r="AI1784" s="131"/>
    </row>
    <row r="1785" spans="1:35" ht="26.4">
      <c r="A1785" s="284"/>
      <c r="B1785" s="284"/>
      <c r="C1785" s="284"/>
      <c r="D1785" s="284"/>
      <c r="E1785" s="284"/>
      <c r="F1785" s="284"/>
      <c r="G1785" s="284"/>
      <c r="H1785" s="284"/>
      <c r="I1785" s="284"/>
      <c r="J1785" s="375"/>
      <c r="K1785" s="375"/>
      <c r="L1785" s="375"/>
      <c r="M1785" s="368"/>
      <c r="N1785" s="368"/>
      <c r="O1785" s="370"/>
      <c r="T1785" s="349"/>
      <c r="V1785" s="378"/>
      <c r="W1785" s="64" ph="1"/>
      <c r="X1785" s="241"/>
      <c r="Y1785" s="284"/>
      <c r="Z1785" s="207"/>
      <c r="AA1785" s="284"/>
      <c r="AB1785" s="284"/>
      <c r="AC1785" s="284"/>
      <c r="AD1785" s="284"/>
      <c r="AE1785" s="284"/>
      <c r="AF1785" s="284"/>
      <c r="AG1785" s="284"/>
      <c r="AI1785" s="131"/>
    </row>
    <row r="1786" spans="1:35" ht="26.4">
      <c r="A1786" s="284"/>
      <c r="B1786" s="284"/>
      <c r="C1786" s="284"/>
      <c r="D1786" s="284"/>
      <c r="E1786" s="284"/>
      <c r="F1786" s="284"/>
      <c r="G1786" s="284"/>
      <c r="H1786" s="284"/>
      <c r="I1786" s="284"/>
      <c r="J1786" s="375"/>
      <c r="K1786" s="375"/>
      <c r="L1786" s="375"/>
      <c r="M1786" s="368"/>
      <c r="N1786" s="368"/>
      <c r="O1786" s="370"/>
      <c r="T1786" s="349"/>
      <c r="V1786" s="378"/>
      <c r="W1786" s="64" ph="1"/>
      <c r="X1786" s="241"/>
      <c r="Y1786" s="284"/>
      <c r="Z1786" s="207"/>
      <c r="AA1786" s="284"/>
      <c r="AB1786" s="284"/>
      <c r="AC1786" s="284"/>
      <c r="AD1786" s="284"/>
      <c r="AE1786" s="284"/>
      <c r="AF1786" s="284"/>
      <c r="AG1786" s="284"/>
      <c r="AI1786" s="131"/>
    </row>
    <row r="1787" spans="1:35" ht="26.4">
      <c r="A1787" s="284"/>
      <c r="B1787" s="284"/>
      <c r="C1787" s="284"/>
      <c r="D1787" s="284"/>
      <c r="E1787" s="284"/>
      <c r="F1787" s="284"/>
      <c r="G1787" s="284"/>
      <c r="H1787" s="284"/>
      <c r="I1787" s="284"/>
      <c r="J1787" s="375"/>
      <c r="K1787" s="375"/>
      <c r="L1787" s="375"/>
      <c r="M1787" s="368"/>
      <c r="N1787" s="368"/>
      <c r="O1787" s="370"/>
      <c r="T1787" s="349"/>
      <c r="V1787" s="378"/>
      <c r="W1787" s="64" ph="1"/>
      <c r="X1787" s="241"/>
      <c r="Y1787" s="284"/>
      <c r="Z1787" s="207"/>
      <c r="AA1787" s="284"/>
      <c r="AB1787" s="284"/>
      <c r="AC1787" s="284"/>
      <c r="AD1787" s="284"/>
      <c r="AE1787" s="284"/>
      <c r="AF1787" s="284"/>
      <c r="AG1787" s="284"/>
      <c r="AI1787" s="131"/>
    </row>
    <row r="1788" spans="1:35" ht="26.4">
      <c r="A1788" s="284"/>
      <c r="B1788" s="284"/>
      <c r="C1788" s="284"/>
      <c r="D1788" s="284"/>
      <c r="E1788" s="284"/>
      <c r="F1788" s="284"/>
      <c r="G1788" s="284"/>
      <c r="H1788" s="284"/>
      <c r="I1788" s="284"/>
      <c r="J1788" s="375"/>
      <c r="K1788" s="375"/>
      <c r="L1788" s="375"/>
      <c r="M1788" s="368"/>
      <c r="N1788" s="368"/>
      <c r="O1788" s="370"/>
      <c r="T1788" s="349"/>
      <c r="V1788" s="378"/>
      <c r="W1788" s="64" ph="1"/>
      <c r="X1788" s="241"/>
      <c r="Y1788" s="284"/>
      <c r="Z1788" s="207"/>
      <c r="AA1788" s="284"/>
      <c r="AB1788" s="284"/>
      <c r="AC1788" s="284"/>
      <c r="AD1788" s="284"/>
      <c r="AE1788" s="284"/>
      <c r="AF1788" s="284"/>
      <c r="AG1788" s="284"/>
      <c r="AI1788" s="131"/>
    </row>
    <row r="1789" spans="1:35" ht="26.4">
      <c r="A1789" s="284"/>
      <c r="B1789" s="284"/>
      <c r="C1789" s="284"/>
      <c r="D1789" s="284"/>
      <c r="E1789" s="284"/>
      <c r="F1789" s="284"/>
      <c r="G1789" s="284"/>
      <c r="H1789" s="284"/>
      <c r="I1789" s="284"/>
      <c r="J1789" s="375"/>
      <c r="K1789" s="375"/>
      <c r="L1789" s="375"/>
      <c r="M1789" s="368"/>
      <c r="N1789" s="368"/>
      <c r="O1789" s="370"/>
      <c r="T1789" s="349"/>
      <c r="V1789" s="378"/>
      <c r="W1789" s="64" ph="1"/>
      <c r="X1789" s="241"/>
      <c r="Y1789" s="284"/>
      <c r="Z1789" s="207"/>
      <c r="AA1789" s="284"/>
      <c r="AB1789" s="284"/>
      <c r="AC1789" s="284"/>
      <c r="AD1789" s="284"/>
      <c r="AE1789" s="284"/>
      <c r="AF1789" s="284"/>
      <c r="AG1789" s="284"/>
      <c r="AI1789" s="131"/>
    </row>
    <row r="1790" spans="1:35" ht="26.4">
      <c r="A1790" s="284"/>
      <c r="B1790" s="284"/>
      <c r="C1790" s="284"/>
      <c r="D1790" s="284"/>
      <c r="E1790" s="284"/>
      <c r="F1790" s="284"/>
      <c r="G1790" s="284"/>
      <c r="H1790" s="284"/>
      <c r="I1790" s="284"/>
      <c r="J1790" s="375"/>
      <c r="K1790" s="375"/>
      <c r="L1790" s="375"/>
      <c r="M1790" s="368"/>
      <c r="N1790" s="368"/>
      <c r="O1790" s="370"/>
      <c r="T1790" s="349"/>
      <c r="V1790" s="378"/>
      <c r="W1790" s="64" ph="1"/>
      <c r="X1790" s="241"/>
      <c r="Y1790" s="284"/>
      <c r="Z1790" s="207"/>
      <c r="AA1790" s="284"/>
      <c r="AB1790" s="284"/>
      <c r="AC1790" s="284"/>
      <c r="AD1790" s="284"/>
      <c r="AE1790" s="284"/>
      <c r="AF1790" s="284"/>
      <c r="AG1790" s="284"/>
      <c r="AI1790" s="131"/>
    </row>
    <row r="1791" spans="1:35" ht="26.4">
      <c r="A1791" s="284"/>
      <c r="B1791" s="284"/>
      <c r="C1791" s="284"/>
      <c r="D1791" s="284"/>
      <c r="E1791" s="284"/>
      <c r="F1791" s="284"/>
      <c r="G1791" s="284"/>
      <c r="H1791" s="284"/>
      <c r="I1791" s="284"/>
      <c r="J1791" s="375"/>
      <c r="K1791" s="375"/>
      <c r="L1791" s="375"/>
      <c r="M1791" s="368"/>
      <c r="N1791" s="368"/>
      <c r="O1791" s="370"/>
      <c r="T1791" s="349"/>
      <c r="V1791" s="378"/>
      <c r="W1791" s="64" ph="1"/>
      <c r="X1791" s="241"/>
      <c r="Y1791" s="284"/>
      <c r="Z1791" s="207"/>
      <c r="AA1791" s="284"/>
      <c r="AB1791" s="284"/>
      <c r="AC1791" s="284"/>
      <c r="AD1791" s="284"/>
      <c r="AE1791" s="284"/>
      <c r="AF1791" s="284"/>
      <c r="AG1791" s="284"/>
      <c r="AI1791" s="131"/>
    </row>
    <row r="1792" spans="1:35" ht="26.4">
      <c r="A1792" s="284"/>
      <c r="B1792" s="284"/>
      <c r="C1792" s="284"/>
      <c r="D1792" s="284"/>
      <c r="E1792" s="284"/>
      <c r="F1792" s="284"/>
      <c r="G1792" s="284"/>
      <c r="H1792" s="284"/>
      <c r="I1792" s="284"/>
      <c r="J1792" s="375"/>
      <c r="K1792" s="375"/>
      <c r="L1792" s="375"/>
      <c r="M1792" s="368"/>
      <c r="N1792" s="368"/>
      <c r="O1792" s="370"/>
      <c r="T1792" s="349"/>
      <c r="V1792" s="378"/>
      <c r="W1792" s="64" ph="1"/>
      <c r="X1792" s="241"/>
      <c r="Y1792" s="284"/>
      <c r="Z1792" s="207"/>
      <c r="AA1792" s="284"/>
      <c r="AB1792" s="284"/>
      <c r="AC1792" s="284"/>
      <c r="AD1792" s="284"/>
      <c r="AE1792" s="284"/>
      <c r="AF1792" s="284"/>
      <c r="AG1792" s="284"/>
      <c r="AI1792" s="131"/>
    </row>
    <row r="1793" spans="1:35" ht="26.4">
      <c r="A1793" s="284"/>
      <c r="B1793" s="284"/>
      <c r="C1793" s="284"/>
      <c r="D1793" s="284"/>
      <c r="E1793" s="284"/>
      <c r="F1793" s="284"/>
      <c r="G1793" s="284"/>
      <c r="H1793" s="284"/>
      <c r="I1793" s="284"/>
      <c r="J1793" s="375"/>
      <c r="K1793" s="375"/>
      <c r="L1793" s="375"/>
      <c r="M1793" s="368"/>
      <c r="N1793" s="368"/>
      <c r="O1793" s="370"/>
      <c r="T1793" s="349"/>
      <c r="V1793" s="378"/>
      <c r="W1793" s="64" ph="1"/>
      <c r="X1793" s="241"/>
      <c r="Y1793" s="284"/>
      <c r="Z1793" s="207"/>
      <c r="AA1793" s="284"/>
      <c r="AB1793" s="284"/>
      <c r="AC1793" s="284"/>
      <c r="AD1793" s="284"/>
      <c r="AE1793" s="284"/>
      <c r="AF1793" s="284"/>
      <c r="AG1793" s="284"/>
      <c r="AI1793" s="131"/>
    </row>
    <row r="1794" spans="1:35" ht="26.4">
      <c r="A1794" s="284"/>
      <c r="B1794" s="284"/>
      <c r="C1794" s="284"/>
      <c r="D1794" s="284"/>
      <c r="E1794" s="284"/>
      <c r="F1794" s="284"/>
      <c r="G1794" s="284"/>
      <c r="H1794" s="284"/>
      <c r="I1794" s="284"/>
      <c r="J1794" s="375"/>
      <c r="K1794" s="375"/>
      <c r="L1794" s="375"/>
      <c r="M1794" s="368"/>
      <c r="N1794" s="368"/>
      <c r="O1794" s="370"/>
      <c r="T1794" s="349"/>
      <c r="V1794" s="378"/>
      <c r="W1794" s="64" ph="1"/>
      <c r="X1794" s="241"/>
      <c r="Y1794" s="284"/>
      <c r="Z1794" s="207"/>
      <c r="AA1794" s="284"/>
      <c r="AB1794" s="284"/>
      <c r="AC1794" s="284"/>
      <c r="AD1794" s="284"/>
      <c r="AE1794" s="284"/>
      <c r="AF1794" s="284"/>
      <c r="AG1794" s="284"/>
      <c r="AI1794" s="131"/>
    </row>
    <row r="1795" spans="1:35" ht="26.4">
      <c r="A1795" s="284"/>
      <c r="B1795" s="284"/>
      <c r="C1795" s="284"/>
      <c r="D1795" s="284"/>
      <c r="E1795" s="284"/>
      <c r="F1795" s="284"/>
      <c r="G1795" s="284"/>
      <c r="H1795" s="284"/>
      <c r="I1795" s="284"/>
      <c r="J1795" s="375"/>
      <c r="K1795" s="375"/>
      <c r="L1795" s="375"/>
      <c r="M1795" s="368"/>
      <c r="N1795" s="368"/>
      <c r="O1795" s="370"/>
      <c r="T1795" s="349"/>
      <c r="V1795" s="378"/>
      <c r="W1795" s="64" ph="1"/>
      <c r="X1795" s="241"/>
      <c r="Y1795" s="284"/>
      <c r="Z1795" s="207"/>
      <c r="AA1795" s="284"/>
      <c r="AB1795" s="284"/>
      <c r="AC1795" s="284"/>
      <c r="AD1795" s="284"/>
      <c r="AE1795" s="284"/>
      <c r="AF1795" s="284"/>
      <c r="AG1795" s="284"/>
      <c r="AI1795" s="128"/>
    </row>
    <row r="1796" spans="1:35" ht="26.4">
      <c r="A1796" s="284"/>
      <c r="B1796" s="284"/>
      <c r="C1796" s="284"/>
      <c r="D1796" s="284"/>
      <c r="E1796" s="284"/>
      <c r="F1796" s="284"/>
      <c r="G1796" s="284"/>
      <c r="H1796" s="284"/>
      <c r="I1796" s="284"/>
      <c r="J1796" s="375"/>
      <c r="K1796" s="375"/>
      <c r="L1796" s="375"/>
      <c r="M1796" s="368"/>
      <c r="N1796" s="368"/>
      <c r="O1796" s="370"/>
      <c r="T1796" s="349"/>
      <c r="V1796" s="378"/>
      <c r="W1796" s="64" ph="1"/>
      <c r="X1796" s="241"/>
      <c r="Y1796" s="284"/>
      <c r="Z1796" s="207"/>
      <c r="AA1796" s="284"/>
      <c r="AB1796" s="284"/>
      <c r="AC1796" s="284"/>
      <c r="AD1796" s="284"/>
      <c r="AE1796" s="284"/>
      <c r="AF1796" s="284"/>
      <c r="AG1796" s="284"/>
      <c r="AI1796" s="131"/>
    </row>
    <row r="1797" spans="1:35" ht="26.4">
      <c r="A1797" s="284"/>
      <c r="B1797" s="284"/>
      <c r="C1797" s="284"/>
      <c r="D1797" s="284"/>
      <c r="E1797" s="284"/>
      <c r="F1797" s="284"/>
      <c r="G1797" s="284"/>
      <c r="H1797" s="284"/>
      <c r="I1797" s="284"/>
      <c r="J1797" s="375"/>
      <c r="K1797" s="375"/>
      <c r="L1797" s="375"/>
      <c r="M1797" s="368"/>
      <c r="N1797" s="368"/>
      <c r="O1797" s="370"/>
      <c r="T1797" s="349"/>
      <c r="V1797" s="378"/>
      <c r="W1797" s="64" ph="1"/>
      <c r="X1797" s="241"/>
      <c r="Y1797" s="284"/>
      <c r="Z1797" s="207"/>
      <c r="AA1797" s="284"/>
      <c r="AB1797" s="284"/>
      <c r="AC1797" s="284"/>
      <c r="AD1797" s="284"/>
      <c r="AE1797" s="284"/>
      <c r="AF1797" s="284"/>
      <c r="AG1797" s="284"/>
      <c r="AI1797" s="131"/>
    </row>
    <row r="1798" spans="1:35" ht="26.4">
      <c r="A1798" s="284"/>
      <c r="B1798" s="284"/>
      <c r="C1798" s="284"/>
      <c r="D1798" s="284"/>
      <c r="E1798" s="284"/>
      <c r="F1798" s="284"/>
      <c r="G1798" s="284"/>
      <c r="H1798" s="284"/>
      <c r="I1798" s="284"/>
      <c r="J1798" s="375"/>
      <c r="K1798" s="375"/>
      <c r="L1798" s="375"/>
      <c r="M1798" s="368"/>
      <c r="N1798" s="368"/>
      <c r="O1798" s="370"/>
      <c r="T1798" s="349"/>
      <c r="V1798" s="378"/>
      <c r="W1798" s="64" ph="1"/>
      <c r="X1798" s="241"/>
      <c r="Y1798" s="284"/>
      <c r="Z1798" s="207"/>
      <c r="AA1798" s="284"/>
      <c r="AB1798" s="284"/>
      <c r="AC1798" s="284"/>
      <c r="AD1798" s="284"/>
      <c r="AE1798" s="284"/>
      <c r="AF1798" s="284"/>
      <c r="AG1798" s="284"/>
      <c r="AI1798" s="131"/>
    </row>
    <row r="1799" spans="1:35" ht="26.4">
      <c r="A1799" s="284"/>
      <c r="B1799" s="284"/>
      <c r="C1799" s="284"/>
      <c r="D1799" s="284"/>
      <c r="E1799" s="284"/>
      <c r="F1799" s="284"/>
      <c r="G1799" s="284"/>
      <c r="H1799" s="284"/>
      <c r="I1799" s="284"/>
      <c r="J1799" s="375"/>
      <c r="K1799" s="375"/>
      <c r="L1799" s="375"/>
      <c r="M1799" s="368"/>
      <c r="N1799" s="368"/>
      <c r="O1799" s="370"/>
      <c r="T1799" s="349"/>
      <c r="V1799" s="378"/>
      <c r="W1799" s="64" ph="1"/>
      <c r="X1799" s="241"/>
      <c r="Y1799" s="284"/>
      <c r="Z1799" s="207"/>
      <c r="AA1799" s="284"/>
      <c r="AB1799" s="284"/>
      <c r="AC1799" s="284"/>
      <c r="AD1799" s="284"/>
      <c r="AE1799" s="284"/>
      <c r="AF1799" s="284"/>
      <c r="AG1799" s="284"/>
      <c r="AI1799" s="131"/>
    </row>
    <row r="1800" spans="1:35" ht="26.4">
      <c r="A1800" s="284"/>
      <c r="B1800" s="284"/>
      <c r="C1800" s="284"/>
      <c r="D1800" s="284"/>
      <c r="E1800" s="284"/>
      <c r="F1800" s="284"/>
      <c r="G1800" s="284"/>
      <c r="H1800" s="284"/>
      <c r="I1800" s="284"/>
      <c r="J1800" s="375"/>
      <c r="K1800" s="375"/>
      <c r="L1800" s="375"/>
      <c r="M1800" s="368"/>
      <c r="N1800" s="368"/>
      <c r="O1800" s="370"/>
      <c r="T1800" s="349"/>
      <c r="V1800" s="378"/>
      <c r="W1800" s="64" ph="1"/>
      <c r="X1800" s="241"/>
      <c r="Y1800" s="284"/>
      <c r="Z1800" s="207"/>
      <c r="AA1800" s="284"/>
      <c r="AB1800" s="284"/>
      <c r="AC1800" s="284"/>
      <c r="AD1800" s="284"/>
      <c r="AE1800" s="284"/>
      <c r="AF1800" s="284"/>
      <c r="AG1800" s="284"/>
      <c r="AI1800" s="131"/>
    </row>
    <row r="1801" spans="1:35" ht="26.4">
      <c r="A1801" s="284"/>
      <c r="B1801" s="284"/>
      <c r="C1801" s="284"/>
      <c r="D1801" s="284"/>
      <c r="E1801" s="284"/>
      <c r="F1801" s="284"/>
      <c r="G1801" s="284"/>
      <c r="H1801" s="284"/>
      <c r="I1801" s="284"/>
      <c r="J1801" s="375"/>
      <c r="K1801" s="375"/>
      <c r="L1801" s="375"/>
      <c r="M1801" s="368"/>
      <c r="N1801" s="368"/>
      <c r="O1801" s="370"/>
      <c r="T1801" s="349"/>
      <c r="V1801" s="378"/>
      <c r="W1801" s="64" ph="1"/>
      <c r="X1801" s="241"/>
      <c r="Y1801" s="284"/>
      <c r="Z1801" s="207"/>
      <c r="AA1801" s="284"/>
      <c r="AB1801" s="284"/>
      <c r="AC1801" s="284"/>
      <c r="AD1801" s="284"/>
      <c r="AE1801" s="284"/>
      <c r="AF1801" s="284"/>
      <c r="AG1801" s="284"/>
      <c r="AI1801" s="131"/>
    </row>
    <row r="1802" spans="1:35" ht="26.4">
      <c r="A1802" s="284"/>
      <c r="B1802" s="284"/>
      <c r="C1802" s="284"/>
      <c r="D1802" s="284"/>
      <c r="E1802" s="284"/>
      <c r="F1802" s="284"/>
      <c r="G1802" s="284"/>
      <c r="H1802" s="284"/>
      <c r="I1802" s="284"/>
      <c r="J1802" s="375"/>
      <c r="K1802" s="375"/>
      <c r="L1802" s="375"/>
      <c r="M1802" s="368"/>
      <c r="N1802" s="368"/>
      <c r="O1802" s="370"/>
      <c r="T1802" s="349"/>
      <c r="V1802" s="378"/>
      <c r="W1802" s="64" ph="1"/>
      <c r="X1802" s="241"/>
      <c r="Y1802" s="284"/>
      <c r="Z1802" s="207"/>
      <c r="AA1802" s="284"/>
      <c r="AB1802" s="284"/>
      <c r="AC1802" s="284"/>
      <c r="AD1802" s="284"/>
      <c r="AE1802" s="284"/>
      <c r="AF1802" s="284"/>
      <c r="AG1802" s="284"/>
      <c r="AI1802" s="131"/>
    </row>
    <row r="1803" spans="1:35" ht="26.4">
      <c r="A1803" s="284"/>
      <c r="B1803" s="284"/>
      <c r="C1803" s="284"/>
      <c r="D1803" s="284"/>
      <c r="E1803" s="284"/>
      <c r="F1803" s="284"/>
      <c r="G1803" s="284"/>
      <c r="H1803" s="284"/>
      <c r="I1803" s="284"/>
      <c r="J1803" s="375"/>
      <c r="K1803" s="375"/>
      <c r="L1803" s="375"/>
      <c r="M1803" s="368"/>
      <c r="N1803" s="368"/>
      <c r="O1803" s="370"/>
      <c r="T1803" s="349"/>
      <c r="V1803" s="378"/>
      <c r="W1803" s="64" ph="1"/>
      <c r="X1803" s="241"/>
      <c r="Y1803" s="284"/>
      <c r="Z1803" s="207"/>
      <c r="AA1803" s="284"/>
      <c r="AB1803" s="284"/>
      <c r="AC1803" s="284"/>
      <c r="AD1803" s="284"/>
      <c r="AE1803" s="284"/>
      <c r="AF1803" s="284"/>
      <c r="AG1803" s="284"/>
      <c r="AI1803" s="131"/>
    </row>
    <row r="1804" spans="1:35" ht="26.4">
      <c r="A1804" s="284"/>
      <c r="B1804" s="284"/>
      <c r="C1804" s="284"/>
      <c r="D1804" s="284"/>
      <c r="E1804" s="284"/>
      <c r="F1804" s="284"/>
      <c r="G1804" s="284"/>
      <c r="H1804" s="284"/>
      <c r="I1804" s="284"/>
      <c r="J1804" s="375"/>
      <c r="K1804" s="375"/>
      <c r="L1804" s="375"/>
      <c r="M1804" s="368"/>
      <c r="N1804" s="368"/>
      <c r="O1804" s="370"/>
      <c r="T1804" s="349"/>
      <c r="V1804" s="378"/>
      <c r="W1804" s="64" ph="1"/>
      <c r="X1804" s="241"/>
      <c r="Y1804" s="284"/>
      <c r="Z1804" s="207"/>
      <c r="AA1804" s="284"/>
      <c r="AB1804" s="284"/>
      <c r="AC1804" s="284"/>
      <c r="AD1804" s="284"/>
      <c r="AE1804" s="284"/>
      <c r="AF1804" s="284"/>
      <c r="AG1804" s="284"/>
      <c r="AI1804" s="131"/>
    </row>
    <row r="1805" spans="1:35" ht="26.4">
      <c r="A1805" s="284"/>
      <c r="B1805" s="284"/>
      <c r="C1805" s="284"/>
      <c r="D1805" s="284"/>
      <c r="E1805" s="284"/>
      <c r="F1805" s="284"/>
      <c r="G1805" s="284"/>
      <c r="H1805" s="284"/>
      <c r="I1805" s="284"/>
      <c r="J1805" s="375"/>
      <c r="K1805" s="375"/>
      <c r="L1805" s="375"/>
      <c r="M1805" s="368"/>
      <c r="N1805" s="368"/>
      <c r="O1805" s="370"/>
      <c r="T1805" s="349"/>
      <c r="V1805" s="378"/>
      <c r="W1805" s="64" ph="1"/>
      <c r="X1805" s="241"/>
      <c r="Y1805" s="284"/>
      <c r="Z1805" s="207"/>
      <c r="AA1805" s="284"/>
      <c r="AB1805" s="284"/>
      <c r="AC1805" s="284"/>
      <c r="AD1805" s="284"/>
      <c r="AE1805" s="284"/>
      <c r="AF1805" s="284"/>
      <c r="AG1805" s="284"/>
      <c r="AI1805" s="131"/>
    </row>
    <row r="1806" spans="1:35" ht="26.4">
      <c r="A1806" s="284"/>
      <c r="B1806" s="284"/>
      <c r="C1806" s="284"/>
      <c r="D1806" s="284"/>
      <c r="E1806" s="284"/>
      <c r="F1806" s="284"/>
      <c r="G1806" s="284"/>
      <c r="H1806" s="284"/>
      <c r="I1806" s="284"/>
      <c r="J1806" s="375"/>
      <c r="K1806" s="375"/>
      <c r="L1806" s="375"/>
      <c r="M1806" s="368"/>
      <c r="N1806" s="368"/>
      <c r="O1806" s="370"/>
      <c r="T1806" s="349"/>
      <c r="V1806" s="378"/>
      <c r="W1806" s="64" ph="1"/>
      <c r="X1806" s="241"/>
      <c r="Y1806" s="284"/>
      <c r="Z1806" s="207"/>
      <c r="AA1806" s="284"/>
      <c r="AB1806" s="284"/>
      <c r="AC1806" s="284"/>
      <c r="AD1806" s="284"/>
      <c r="AE1806" s="284"/>
      <c r="AF1806" s="284"/>
      <c r="AG1806" s="284"/>
      <c r="AI1806" s="131"/>
    </row>
    <row r="1807" spans="1:35" ht="26.4">
      <c r="A1807" s="284"/>
      <c r="B1807" s="284"/>
      <c r="C1807" s="284"/>
      <c r="D1807" s="284"/>
      <c r="E1807" s="284"/>
      <c r="F1807" s="284"/>
      <c r="G1807" s="284"/>
      <c r="H1807" s="284"/>
      <c r="I1807" s="284"/>
      <c r="J1807" s="375"/>
      <c r="K1807" s="375"/>
      <c r="L1807" s="375"/>
      <c r="M1807" s="368"/>
      <c r="N1807" s="368"/>
      <c r="O1807" s="370"/>
      <c r="T1807" s="349"/>
      <c r="V1807" s="378"/>
      <c r="W1807" s="64" ph="1"/>
      <c r="X1807" s="241"/>
      <c r="Y1807" s="284"/>
      <c r="Z1807" s="207"/>
      <c r="AA1807" s="284"/>
      <c r="AB1807" s="284"/>
      <c r="AC1807" s="284"/>
      <c r="AD1807" s="284"/>
      <c r="AE1807" s="284"/>
      <c r="AF1807" s="284"/>
      <c r="AG1807" s="284"/>
      <c r="AI1807" s="131"/>
    </row>
    <row r="1808" spans="1:35" ht="26.4">
      <c r="A1808" s="284"/>
      <c r="B1808" s="284"/>
      <c r="C1808" s="284"/>
      <c r="D1808" s="284"/>
      <c r="E1808" s="284"/>
      <c r="F1808" s="284"/>
      <c r="G1808" s="284"/>
      <c r="H1808" s="284"/>
      <c r="I1808" s="284"/>
      <c r="J1808" s="375"/>
      <c r="K1808" s="375"/>
      <c r="L1808" s="375"/>
      <c r="M1808" s="368"/>
      <c r="N1808" s="368"/>
      <c r="O1808" s="370"/>
      <c r="T1808" s="349"/>
      <c r="V1808" s="378"/>
      <c r="W1808" s="64" ph="1"/>
      <c r="X1808" s="241"/>
      <c r="Y1808" s="284"/>
      <c r="Z1808" s="207"/>
      <c r="AA1808" s="284"/>
      <c r="AB1808" s="284"/>
      <c r="AC1808" s="284"/>
      <c r="AD1808" s="284"/>
      <c r="AE1808" s="284"/>
      <c r="AF1808" s="284"/>
      <c r="AG1808" s="284"/>
      <c r="AI1808" s="131"/>
    </row>
    <row r="1809" spans="1:35" ht="26.4">
      <c r="A1809" s="284"/>
      <c r="B1809" s="284"/>
      <c r="C1809" s="284"/>
      <c r="D1809" s="284"/>
      <c r="E1809" s="284"/>
      <c r="F1809" s="284"/>
      <c r="G1809" s="284"/>
      <c r="H1809" s="284"/>
      <c r="I1809" s="284"/>
      <c r="J1809" s="375"/>
      <c r="K1809" s="375"/>
      <c r="L1809" s="375"/>
      <c r="M1809" s="368"/>
      <c r="N1809" s="368"/>
      <c r="O1809" s="370"/>
      <c r="T1809" s="349"/>
      <c r="V1809" s="378"/>
      <c r="W1809" s="64" ph="1"/>
      <c r="X1809" s="241"/>
      <c r="Y1809" s="284"/>
      <c r="Z1809" s="207"/>
      <c r="AA1809" s="284"/>
      <c r="AB1809" s="284"/>
      <c r="AC1809" s="284"/>
      <c r="AD1809" s="284"/>
      <c r="AE1809" s="284"/>
      <c r="AF1809" s="284"/>
      <c r="AG1809" s="284"/>
      <c r="AI1809" s="131"/>
    </row>
    <row r="1810" spans="1:35" ht="26.4">
      <c r="A1810" s="284"/>
      <c r="B1810" s="284"/>
      <c r="C1810" s="284"/>
      <c r="D1810" s="284"/>
      <c r="E1810" s="284"/>
      <c r="F1810" s="284"/>
      <c r="G1810" s="284"/>
      <c r="H1810" s="284"/>
      <c r="I1810" s="284"/>
      <c r="J1810" s="375"/>
      <c r="K1810" s="375"/>
      <c r="L1810" s="375"/>
      <c r="M1810" s="368"/>
      <c r="N1810" s="368"/>
      <c r="O1810" s="370"/>
      <c r="T1810" s="349"/>
      <c r="V1810" s="378"/>
      <c r="W1810" s="64" ph="1"/>
      <c r="X1810" s="241"/>
      <c r="Y1810" s="284"/>
      <c r="Z1810" s="207"/>
      <c r="AA1810" s="284"/>
      <c r="AB1810" s="284"/>
      <c r="AC1810" s="284"/>
      <c r="AD1810" s="284"/>
      <c r="AE1810" s="284"/>
      <c r="AF1810" s="284"/>
      <c r="AG1810" s="284"/>
      <c r="AI1810" s="131"/>
    </row>
    <row r="1811" spans="1:35" ht="26.4">
      <c r="A1811" s="284"/>
      <c r="B1811" s="284"/>
      <c r="C1811" s="284"/>
      <c r="D1811" s="284"/>
      <c r="E1811" s="284"/>
      <c r="F1811" s="284"/>
      <c r="G1811" s="284"/>
      <c r="H1811" s="284"/>
      <c r="I1811" s="284"/>
      <c r="J1811" s="375"/>
      <c r="K1811" s="375"/>
      <c r="L1811" s="375"/>
      <c r="M1811" s="368"/>
      <c r="N1811" s="368"/>
      <c r="O1811" s="370"/>
      <c r="T1811" s="349"/>
      <c r="V1811" s="378"/>
      <c r="W1811" s="64" ph="1"/>
      <c r="X1811" s="241"/>
      <c r="Y1811" s="284"/>
      <c r="Z1811" s="207"/>
      <c r="AA1811" s="284"/>
      <c r="AB1811" s="284"/>
      <c r="AC1811" s="284"/>
      <c r="AD1811" s="284"/>
      <c r="AE1811" s="284"/>
      <c r="AF1811" s="284"/>
      <c r="AG1811" s="284"/>
      <c r="AI1811" s="131"/>
    </row>
    <row r="1812" spans="1:35" ht="26.4">
      <c r="A1812" s="284"/>
      <c r="B1812" s="284"/>
      <c r="C1812" s="284"/>
      <c r="D1812" s="284"/>
      <c r="E1812" s="284"/>
      <c r="F1812" s="284"/>
      <c r="G1812" s="284"/>
      <c r="H1812" s="284"/>
      <c r="I1812" s="284"/>
      <c r="J1812" s="375"/>
      <c r="K1812" s="375"/>
      <c r="L1812" s="375"/>
      <c r="M1812" s="368"/>
      <c r="N1812" s="368"/>
      <c r="O1812" s="370"/>
      <c r="T1812" s="349"/>
      <c r="V1812" s="378"/>
      <c r="W1812" s="64" ph="1"/>
      <c r="X1812" s="241"/>
      <c r="Y1812" s="284"/>
      <c r="Z1812" s="207"/>
      <c r="AA1812" s="284"/>
      <c r="AB1812" s="284"/>
      <c r="AC1812" s="284"/>
      <c r="AD1812" s="284"/>
      <c r="AE1812" s="284"/>
      <c r="AF1812" s="284"/>
      <c r="AG1812" s="284"/>
      <c r="AI1812" s="131"/>
    </row>
    <row r="1813" spans="1:35" ht="26.4">
      <c r="A1813" s="284"/>
      <c r="B1813" s="284"/>
      <c r="C1813" s="284"/>
      <c r="D1813" s="284"/>
      <c r="E1813" s="284"/>
      <c r="F1813" s="284"/>
      <c r="G1813" s="284"/>
      <c r="H1813" s="284"/>
      <c r="I1813" s="284"/>
      <c r="J1813" s="375"/>
      <c r="K1813" s="375"/>
      <c r="L1813" s="375"/>
      <c r="M1813" s="368"/>
      <c r="N1813" s="368"/>
      <c r="O1813" s="370"/>
      <c r="T1813" s="349"/>
      <c r="V1813" s="378"/>
      <c r="W1813" s="64" ph="1"/>
      <c r="X1813" s="241"/>
      <c r="Y1813" s="284"/>
      <c r="Z1813" s="207"/>
      <c r="AA1813" s="284"/>
      <c r="AB1813" s="284"/>
      <c r="AC1813" s="284"/>
      <c r="AD1813" s="284"/>
      <c r="AE1813" s="284"/>
      <c r="AF1813" s="284"/>
      <c r="AG1813" s="284"/>
      <c r="AI1813" s="131"/>
    </row>
    <row r="1814" spans="1:35" ht="26.4">
      <c r="A1814" s="284"/>
      <c r="B1814" s="284"/>
      <c r="C1814" s="284"/>
      <c r="D1814" s="284"/>
      <c r="E1814" s="284"/>
      <c r="F1814" s="284"/>
      <c r="G1814" s="284"/>
      <c r="H1814" s="284"/>
      <c r="I1814" s="284"/>
      <c r="J1814" s="375"/>
      <c r="K1814" s="375"/>
      <c r="L1814" s="375"/>
      <c r="M1814" s="368"/>
      <c r="N1814" s="368"/>
      <c r="O1814" s="370"/>
      <c r="T1814" s="349"/>
      <c r="V1814" s="378"/>
      <c r="W1814" s="64" ph="1"/>
      <c r="X1814" s="241"/>
      <c r="Y1814" s="284"/>
      <c r="Z1814" s="207"/>
      <c r="AA1814" s="284"/>
      <c r="AB1814" s="284"/>
      <c r="AC1814" s="284"/>
      <c r="AD1814" s="284"/>
      <c r="AE1814" s="284"/>
      <c r="AF1814" s="284"/>
      <c r="AG1814" s="284"/>
      <c r="AI1814" s="131"/>
    </row>
    <row r="1815" spans="1:35" ht="26.4">
      <c r="A1815" s="284"/>
      <c r="B1815" s="284"/>
      <c r="C1815" s="284"/>
      <c r="D1815" s="284"/>
      <c r="E1815" s="284"/>
      <c r="F1815" s="284"/>
      <c r="G1815" s="284"/>
      <c r="H1815" s="284"/>
      <c r="I1815" s="284"/>
      <c r="J1815" s="375"/>
      <c r="K1815" s="375"/>
      <c r="L1815" s="375"/>
      <c r="M1815" s="368"/>
      <c r="N1815" s="368"/>
      <c r="O1815" s="370"/>
      <c r="T1815" s="349"/>
      <c r="V1815" s="378"/>
      <c r="W1815" s="64" ph="1"/>
      <c r="X1815" s="241"/>
      <c r="Y1815" s="284"/>
      <c r="Z1815" s="207"/>
      <c r="AA1815" s="284"/>
      <c r="AB1815" s="284"/>
      <c r="AC1815" s="284"/>
      <c r="AD1815" s="284"/>
      <c r="AE1815" s="284"/>
      <c r="AF1815" s="284"/>
      <c r="AG1815" s="284"/>
      <c r="AI1815" s="131"/>
    </row>
    <row r="1816" spans="1:35" ht="26.4">
      <c r="A1816" s="284"/>
      <c r="B1816" s="284"/>
      <c r="C1816" s="284"/>
      <c r="D1816" s="284"/>
      <c r="E1816" s="284"/>
      <c r="F1816" s="284"/>
      <c r="G1816" s="284"/>
      <c r="H1816" s="284"/>
      <c r="I1816" s="284"/>
      <c r="J1816" s="375"/>
      <c r="K1816" s="375"/>
      <c r="L1816" s="375"/>
      <c r="M1816" s="368"/>
      <c r="N1816" s="368"/>
      <c r="O1816" s="370"/>
      <c r="T1816" s="349"/>
      <c r="V1816" s="378"/>
      <c r="W1816" s="64" ph="1"/>
      <c r="X1816" s="241"/>
      <c r="Y1816" s="284"/>
      <c r="Z1816" s="207"/>
      <c r="AA1816" s="284"/>
      <c r="AB1816" s="284"/>
      <c r="AC1816" s="284"/>
      <c r="AD1816" s="284"/>
      <c r="AE1816" s="284"/>
      <c r="AF1816" s="284"/>
      <c r="AG1816" s="284"/>
      <c r="AI1816" s="131"/>
    </row>
    <row r="1817" spans="1:35" ht="26.4">
      <c r="A1817" s="284"/>
      <c r="B1817" s="284"/>
      <c r="C1817" s="284"/>
      <c r="D1817" s="284"/>
      <c r="E1817" s="284"/>
      <c r="F1817" s="284"/>
      <c r="G1817" s="284"/>
      <c r="H1817" s="284"/>
      <c r="I1817" s="284"/>
      <c r="J1817" s="375"/>
      <c r="K1817" s="375"/>
      <c r="L1817" s="375"/>
      <c r="M1817" s="368"/>
      <c r="N1817" s="368"/>
      <c r="O1817" s="370"/>
      <c r="T1817" s="349"/>
      <c r="V1817" s="378"/>
      <c r="W1817" s="64" ph="1"/>
      <c r="X1817" s="241"/>
      <c r="Y1817" s="284"/>
      <c r="Z1817" s="207"/>
      <c r="AA1817" s="284"/>
      <c r="AB1817" s="284"/>
      <c r="AC1817" s="284"/>
      <c r="AD1817" s="284"/>
      <c r="AE1817" s="284"/>
      <c r="AF1817" s="284"/>
      <c r="AG1817" s="284"/>
      <c r="AI1817" s="131"/>
    </row>
    <row r="1818" spans="1:35" ht="26.4">
      <c r="A1818" s="284"/>
      <c r="B1818" s="284"/>
      <c r="C1818" s="284"/>
      <c r="D1818" s="284"/>
      <c r="E1818" s="284"/>
      <c r="F1818" s="284"/>
      <c r="G1818" s="284"/>
      <c r="H1818" s="284"/>
      <c r="I1818" s="284"/>
      <c r="J1818" s="375"/>
      <c r="K1818" s="375"/>
      <c r="L1818" s="375"/>
      <c r="M1818" s="368"/>
      <c r="N1818" s="368"/>
      <c r="O1818" s="370"/>
      <c r="T1818" s="349"/>
      <c r="V1818" s="378"/>
      <c r="W1818" s="64" ph="1"/>
      <c r="X1818" s="241"/>
      <c r="Y1818" s="284"/>
      <c r="Z1818" s="207"/>
      <c r="AA1818" s="284"/>
      <c r="AB1818" s="284"/>
      <c r="AC1818" s="284"/>
      <c r="AD1818" s="284"/>
      <c r="AE1818" s="284"/>
      <c r="AF1818" s="284"/>
      <c r="AG1818" s="284"/>
      <c r="AI1818" s="131"/>
    </row>
    <row r="1819" spans="1:35" ht="26.4">
      <c r="A1819" s="284"/>
      <c r="B1819" s="284"/>
      <c r="C1819" s="284"/>
      <c r="D1819" s="284"/>
      <c r="E1819" s="284"/>
      <c r="F1819" s="284"/>
      <c r="G1819" s="284"/>
      <c r="H1819" s="284"/>
      <c r="I1819" s="284"/>
      <c r="J1819" s="375"/>
      <c r="K1819" s="375"/>
      <c r="L1819" s="375"/>
      <c r="M1819" s="368"/>
      <c r="N1819" s="368"/>
      <c r="O1819" s="370"/>
      <c r="T1819" s="349"/>
      <c r="V1819" s="378"/>
      <c r="W1819" s="64" ph="1"/>
      <c r="X1819" s="241"/>
      <c r="Y1819" s="284"/>
      <c r="Z1819" s="207"/>
      <c r="AA1819" s="284"/>
      <c r="AB1819" s="284"/>
      <c r="AC1819" s="284"/>
      <c r="AD1819" s="284"/>
      <c r="AE1819" s="284"/>
      <c r="AF1819" s="284"/>
      <c r="AG1819" s="284"/>
      <c r="AI1819" s="284"/>
    </row>
    <row r="1820" spans="1:35" ht="26.4">
      <c r="A1820" s="284"/>
      <c r="B1820" s="284"/>
      <c r="C1820" s="284"/>
      <c r="D1820" s="284"/>
      <c r="E1820" s="284"/>
      <c r="F1820" s="284"/>
      <c r="G1820" s="284"/>
      <c r="H1820" s="284"/>
      <c r="I1820" s="284"/>
      <c r="J1820" s="375"/>
      <c r="K1820" s="375"/>
      <c r="L1820" s="375"/>
      <c r="M1820" s="368"/>
      <c r="N1820" s="368"/>
      <c r="O1820" s="370"/>
      <c r="T1820" s="349"/>
      <c r="V1820" s="378"/>
      <c r="W1820" s="64" ph="1"/>
      <c r="X1820" s="241"/>
      <c r="Y1820" s="284"/>
      <c r="Z1820" s="207"/>
      <c r="AA1820" s="284"/>
      <c r="AB1820" s="284"/>
      <c r="AC1820" s="284"/>
      <c r="AD1820" s="284"/>
      <c r="AE1820" s="284"/>
      <c r="AF1820" s="284"/>
      <c r="AG1820" s="284"/>
      <c r="AI1820" s="131"/>
    </row>
    <row r="1821" spans="1:35" ht="26.4">
      <c r="A1821" s="284"/>
      <c r="B1821" s="284"/>
      <c r="C1821" s="284"/>
      <c r="D1821" s="284"/>
      <c r="E1821" s="284"/>
      <c r="F1821" s="284"/>
      <c r="G1821" s="284"/>
      <c r="H1821" s="284"/>
      <c r="I1821" s="284"/>
      <c r="J1821" s="375"/>
      <c r="K1821" s="375"/>
      <c r="L1821" s="375"/>
      <c r="M1821" s="368"/>
      <c r="N1821" s="368"/>
      <c r="O1821" s="370"/>
      <c r="T1821" s="349"/>
      <c r="V1821" s="378"/>
      <c r="W1821" s="64" ph="1"/>
      <c r="X1821" s="241"/>
      <c r="Y1821" s="284"/>
      <c r="Z1821" s="207"/>
      <c r="AA1821" s="284"/>
      <c r="AB1821" s="284"/>
      <c r="AC1821" s="284"/>
      <c r="AD1821" s="284"/>
      <c r="AE1821" s="284"/>
      <c r="AF1821" s="284"/>
      <c r="AG1821" s="284"/>
      <c r="AI1821" s="131"/>
    </row>
    <row r="1822" spans="1:35" ht="26.4">
      <c r="A1822" s="284"/>
      <c r="B1822" s="284"/>
      <c r="C1822" s="284"/>
      <c r="D1822" s="284"/>
      <c r="E1822" s="284"/>
      <c r="F1822" s="284"/>
      <c r="G1822" s="284"/>
      <c r="H1822" s="284"/>
      <c r="I1822" s="284"/>
      <c r="J1822" s="375"/>
      <c r="K1822" s="375"/>
      <c r="L1822" s="375"/>
      <c r="M1822" s="368"/>
      <c r="N1822" s="368"/>
      <c r="O1822" s="370"/>
      <c r="T1822" s="349"/>
      <c r="V1822" s="378"/>
      <c r="W1822" s="64" ph="1"/>
      <c r="X1822" s="241"/>
      <c r="Y1822" s="284"/>
      <c r="Z1822" s="207"/>
      <c r="AA1822" s="284"/>
      <c r="AB1822" s="284"/>
      <c r="AC1822" s="284"/>
      <c r="AD1822" s="284"/>
      <c r="AE1822" s="284"/>
      <c r="AF1822" s="284"/>
      <c r="AG1822" s="284"/>
      <c r="AI1822" s="131"/>
    </row>
    <row r="1823" spans="1:35" ht="26.4">
      <c r="A1823" s="284"/>
      <c r="B1823" s="284"/>
      <c r="C1823" s="284"/>
      <c r="D1823" s="284"/>
      <c r="E1823" s="284"/>
      <c r="F1823" s="284"/>
      <c r="G1823" s="284"/>
      <c r="H1823" s="284"/>
      <c r="I1823" s="284"/>
      <c r="J1823" s="375"/>
      <c r="K1823" s="375"/>
      <c r="L1823" s="375"/>
      <c r="M1823" s="368"/>
      <c r="N1823" s="368"/>
      <c r="O1823" s="370"/>
      <c r="T1823" s="349"/>
      <c r="V1823" s="378"/>
      <c r="W1823" s="64" ph="1"/>
      <c r="X1823" s="241"/>
      <c r="Y1823" s="284"/>
      <c r="Z1823" s="207"/>
      <c r="AA1823" s="284"/>
      <c r="AB1823" s="284"/>
      <c r="AC1823" s="284"/>
      <c r="AD1823" s="284"/>
      <c r="AE1823" s="284"/>
      <c r="AF1823" s="284"/>
      <c r="AG1823" s="284"/>
      <c r="AI1823" s="131"/>
    </row>
    <row r="1824" spans="1:35" ht="26.4">
      <c r="A1824" s="284"/>
      <c r="B1824" s="284"/>
      <c r="C1824" s="284"/>
      <c r="D1824" s="284"/>
      <c r="E1824" s="284"/>
      <c r="F1824" s="284"/>
      <c r="G1824" s="284"/>
      <c r="H1824" s="284"/>
      <c r="I1824" s="284"/>
      <c r="J1824" s="375"/>
      <c r="K1824" s="375"/>
      <c r="L1824" s="375"/>
      <c r="M1824" s="368"/>
      <c r="N1824" s="368"/>
      <c r="O1824" s="370"/>
      <c r="T1824" s="349"/>
      <c r="V1824" s="378"/>
      <c r="W1824" s="64" ph="1"/>
      <c r="X1824" s="241"/>
      <c r="Y1824" s="284"/>
      <c r="Z1824" s="207"/>
      <c r="AA1824" s="284"/>
      <c r="AB1824" s="284"/>
      <c r="AC1824" s="284"/>
      <c r="AD1824" s="284"/>
      <c r="AE1824" s="284"/>
      <c r="AF1824" s="284"/>
      <c r="AG1824" s="284"/>
      <c r="AI1824" s="284"/>
    </row>
    <row r="1825" spans="1:35" ht="26.4">
      <c r="A1825" s="284"/>
      <c r="B1825" s="284"/>
      <c r="C1825" s="284"/>
      <c r="D1825" s="284"/>
      <c r="E1825" s="284"/>
      <c r="F1825" s="284"/>
      <c r="G1825" s="284"/>
      <c r="H1825" s="284"/>
      <c r="I1825" s="284"/>
      <c r="J1825" s="375"/>
      <c r="K1825" s="375"/>
      <c r="L1825" s="375"/>
      <c r="M1825" s="368"/>
      <c r="N1825" s="368"/>
      <c r="O1825" s="370"/>
      <c r="T1825" s="349"/>
      <c r="V1825" s="378"/>
      <c r="W1825" s="64" ph="1"/>
      <c r="X1825" s="241"/>
      <c r="Y1825" s="284"/>
      <c r="Z1825" s="207"/>
      <c r="AA1825" s="284"/>
      <c r="AB1825" s="284"/>
      <c r="AC1825" s="284"/>
      <c r="AD1825" s="284"/>
      <c r="AE1825" s="284"/>
      <c r="AF1825" s="284"/>
      <c r="AG1825" s="284"/>
      <c r="AI1825" s="131"/>
    </row>
    <row r="1826" spans="1:35" ht="26.4">
      <c r="A1826" s="284"/>
      <c r="B1826" s="284"/>
      <c r="C1826" s="284"/>
      <c r="D1826" s="284"/>
      <c r="E1826" s="284"/>
      <c r="F1826" s="284"/>
      <c r="G1826" s="284"/>
      <c r="H1826" s="284"/>
      <c r="I1826" s="284"/>
      <c r="J1826" s="375"/>
      <c r="K1826" s="375"/>
      <c r="L1826" s="375"/>
      <c r="M1826" s="368"/>
      <c r="N1826" s="368"/>
      <c r="O1826" s="370"/>
      <c r="T1826" s="349"/>
      <c r="V1826" s="378"/>
      <c r="W1826" s="64" ph="1"/>
      <c r="X1826" s="241"/>
      <c r="Y1826" s="284"/>
      <c r="Z1826" s="207"/>
      <c r="AA1826" s="284"/>
      <c r="AB1826" s="284"/>
      <c r="AC1826" s="284"/>
      <c r="AD1826" s="284"/>
      <c r="AE1826" s="284"/>
      <c r="AF1826" s="284"/>
      <c r="AG1826" s="284"/>
      <c r="AI1826" s="131"/>
    </row>
    <row r="1827" spans="1:35" ht="26.4">
      <c r="A1827" s="284"/>
      <c r="B1827" s="284"/>
      <c r="C1827" s="284"/>
      <c r="D1827" s="284"/>
      <c r="E1827" s="284"/>
      <c r="F1827" s="284"/>
      <c r="G1827" s="284"/>
      <c r="H1827" s="284"/>
      <c r="I1827" s="284"/>
      <c r="J1827" s="375"/>
      <c r="K1827" s="375"/>
      <c r="L1827" s="375"/>
      <c r="M1827" s="368"/>
      <c r="N1827" s="368"/>
      <c r="O1827" s="370"/>
      <c r="T1827" s="349"/>
      <c r="V1827" s="378"/>
      <c r="W1827" s="64" ph="1"/>
      <c r="X1827" s="241"/>
      <c r="Y1827" s="284"/>
      <c r="Z1827" s="207"/>
      <c r="AA1827" s="284"/>
      <c r="AB1827" s="284"/>
      <c r="AC1827" s="284"/>
      <c r="AD1827" s="284"/>
      <c r="AE1827" s="284"/>
      <c r="AF1827" s="284"/>
      <c r="AG1827" s="284"/>
      <c r="AI1827" s="131"/>
    </row>
    <row r="1828" spans="1:35" ht="26.4">
      <c r="A1828" s="284"/>
      <c r="B1828" s="284"/>
      <c r="C1828" s="284"/>
      <c r="D1828" s="284"/>
      <c r="E1828" s="284"/>
      <c r="F1828" s="284"/>
      <c r="G1828" s="284"/>
      <c r="H1828" s="284"/>
      <c r="I1828" s="284"/>
      <c r="J1828" s="375"/>
      <c r="K1828" s="375"/>
      <c r="L1828" s="375"/>
      <c r="M1828" s="368"/>
      <c r="N1828" s="368"/>
      <c r="O1828" s="370"/>
      <c r="T1828" s="349"/>
      <c r="V1828" s="378"/>
      <c r="W1828" s="64" ph="1"/>
      <c r="X1828" s="241"/>
      <c r="Y1828" s="284"/>
      <c r="Z1828" s="207"/>
      <c r="AA1828" s="284"/>
      <c r="AB1828" s="284"/>
      <c r="AC1828" s="284"/>
      <c r="AD1828" s="284"/>
      <c r="AE1828" s="284"/>
      <c r="AF1828" s="284"/>
      <c r="AG1828" s="284"/>
      <c r="AI1828" s="131"/>
    </row>
    <row r="1829" spans="1:35" ht="26.4">
      <c r="A1829" s="284"/>
      <c r="B1829" s="284"/>
      <c r="C1829" s="284"/>
      <c r="D1829" s="284"/>
      <c r="E1829" s="284"/>
      <c r="F1829" s="284"/>
      <c r="G1829" s="284"/>
      <c r="H1829" s="284"/>
      <c r="I1829" s="284"/>
      <c r="J1829" s="375"/>
      <c r="K1829" s="375"/>
      <c r="L1829" s="375"/>
      <c r="M1829" s="368"/>
      <c r="N1829" s="368"/>
      <c r="O1829" s="370"/>
      <c r="T1829" s="349"/>
      <c r="V1829" s="378"/>
      <c r="W1829" s="64" ph="1"/>
      <c r="X1829" s="241"/>
      <c r="Y1829" s="284"/>
      <c r="Z1829" s="207"/>
      <c r="AA1829" s="284"/>
      <c r="AB1829" s="284"/>
      <c r="AC1829" s="284"/>
      <c r="AD1829" s="284"/>
      <c r="AE1829" s="284"/>
      <c r="AF1829" s="284"/>
      <c r="AG1829" s="284"/>
      <c r="AI1829" s="131"/>
    </row>
    <row r="1830" spans="1:35" ht="26.4">
      <c r="A1830" s="284"/>
      <c r="B1830" s="284"/>
      <c r="C1830" s="284"/>
      <c r="D1830" s="284"/>
      <c r="E1830" s="284"/>
      <c r="F1830" s="284"/>
      <c r="G1830" s="284"/>
      <c r="H1830" s="284"/>
      <c r="I1830" s="284"/>
      <c r="J1830" s="375"/>
      <c r="K1830" s="375"/>
      <c r="L1830" s="375"/>
      <c r="M1830" s="368"/>
      <c r="N1830" s="368"/>
      <c r="O1830" s="370"/>
      <c r="T1830" s="349"/>
      <c r="V1830" s="378"/>
      <c r="W1830" s="64" ph="1"/>
      <c r="X1830" s="241"/>
      <c r="Y1830" s="284"/>
      <c r="Z1830" s="207"/>
      <c r="AA1830" s="284"/>
      <c r="AB1830" s="284"/>
      <c r="AC1830" s="284"/>
      <c r="AD1830" s="284"/>
      <c r="AE1830" s="284"/>
      <c r="AF1830" s="284"/>
      <c r="AG1830" s="284"/>
      <c r="AI1830" s="131"/>
    </row>
    <row r="1831" spans="1:35" ht="26.4">
      <c r="A1831" s="284"/>
      <c r="B1831" s="284"/>
      <c r="C1831" s="284"/>
      <c r="D1831" s="284"/>
      <c r="E1831" s="284"/>
      <c r="F1831" s="284"/>
      <c r="G1831" s="284"/>
      <c r="H1831" s="284"/>
      <c r="I1831" s="284"/>
      <c r="J1831" s="375"/>
      <c r="K1831" s="375"/>
      <c r="L1831" s="375"/>
      <c r="M1831" s="368"/>
      <c r="N1831" s="368"/>
      <c r="O1831" s="370"/>
      <c r="T1831" s="349"/>
      <c r="V1831" s="378"/>
      <c r="W1831" s="64" ph="1"/>
      <c r="X1831" s="241"/>
      <c r="Y1831" s="284"/>
      <c r="Z1831" s="207"/>
      <c r="AA1831" s="284"/>
      <c r="AB1831" s="284"/>
      <c r="AC1831" s="284"/>
      <c r="AD1831" s="284"/>
      <c r="AE1831" s="284"/>
      <c r="AF1831" s="284"/>
      <c r="AG1831" s="284"/>
      <c r="AI1831" s="131"/>
    </row>
    <row r="1832" spans="1:35" ht="26.4">
      <c r="A1832" s="284"/>
      <c r="B1832" s="284"/>
      <c r="C1832" s="284"/>
      <c r="D1832" s="284"/>
      <c r="E1832" s="284"/>
      <c r="F1832" s="284"/>
      <c r="G1832" s="284"/>
      <c r="H1832" s="284"/>
      <c r="I1832" s="284"/>
      <c r="J1832" s="375"/>
      <c r="K1832" s="375"/>
      <c r="L1832" s="375"/>
      <c r="M1832" s="368"/>
      <c r="N1832" s="368"/>
      <c r="O1832" s="370"/>
      <c r="T1832" s="349"/>
      <c r="V1832" s="378"/>
      <c r="W1832" s="64" ph="1"/>
      <c r="X1832" s="241"/>
      <c r="Y1832" s="284"/>
      <c r="Z1832" s="207"/>
      <c r="AA1832" s="284"/>
      <c r="AB1832" s="284"/>
      <c r="AC1832" s="284"/>
      <c r="AD1832" s="284"/>
      <c r="AE1832" s="284"/>
      <c r="AF1832" s="284"/>
      <c r="AG1832" s="284"/>
      <c r="AI1832" s="131"/>
    </row>
    <row r="1833" spans="1:35" ht="26.4">
      <c r="A1833" s="284"/>
      <c r="B1833" s="284"/>
      <c r="C1833" s="284"/>
      <c r="D1833" s="284"/>
      <c r="E1833" s="284"/>
      <c r="F1833" s="284"/>
      <c r="G1833" s="284"/>
      <c r="H1833" s="284"/>
      <c r="I1833" s="284"/>
      <c r="J1833" s="375"/>
      <c r="K1833" s="375"/>
      <c r="L1833" s="375"/>
      <c r="M1833" s="368"/>
      <c r="N1833" s="368"/>
      <c r="O1833" s="370"/>
      <c r="T1833" s="349"/>
      <c r="V1833" s="378"/>
      <c r="W1833" s="64" ph="1"/>
      <c r="X1833" s="241"/>
      <c r="Y1833" s="284"/>
      <c r="Z1833" s="207"/>
      <c r="AA1833" s="284"/>
      <c r="AB1833" s="284"/>
      <c r="AC1833" s="284"/>
      <c r="AD1833" s="284"/>
      <c r="AE1833" s="284"/>
      <c r="AF1833" s="284"/>
      <c r="AG1833" s="284"/>
      <c r="AI1833" s="131"/>
    </row>
    <row r="1834" spans="1:35" ht="26.4">
      <c r="A1834" s="284"/>
      <c r="B1834" s="284"/>
      <c r="C1834" s="284"/>
      <c r="D1834" s="284"/>
      <c r="E1834" s="284"/>
      <c r="F1834" s="284"/>
      <c r="G1834" s="284"/>
      <c r="H1834" s="284"/>
      <c r="I1834" s="284"/>
      <c r="J1834" s="375"/>
      <c r="K1834" s="375"/>
      <c r="L1834" s="375"/>
      <c r="M1834" s="368"/>
      <c r="N1834" s="368"/>
      <c r="O1834" s="370"/>
      <c r="T1834" s="349"/>
      <c r="V1834" s="378"/>
      <c r="W1834" s="64" ph="1"/>
      <c r="X1834" s="241"/>
      <c r="Y1834" s="284"/>
      <c r="Z1834" s="207"/>
      <c r="AA1834" s="284"/>
      <c r="AB1834" s="284"/>
      <c r="AC1834" s="284"/>
      <c r="AD1834" s="284"/>
      <c r="AE1834" s="284"/>
      <c r="AF1834" s="284"/>
      <c r="AG1834" s="284"/>
      <c r="AI1834" s="131"/>
    </row>
    <row r="1835" spans="1:35" ht="26.4">
      <c r="A1835" s="284"/>
      <c r="B1835" s="284"/>
      <c r="C1835" s="284"/>
      <c r="D1835" s="284"/>
      <c r="E1835" s="284"/>
      <c r="F1835" s="284"/>
      <c r="G1835" s="284"/>
      <c r="H1835" s="284"/>
      <c r="I1835" s="284"/>
      <c r="J1835" s="375"/>
      <c r="K1835" s="375"/>
      <c r="L1835" s="375"/>
      <c r="M1835" s="368"/>
      <c r="N1835" s="368"/>
      <c r="O1835" s="370"/>
      <c r="T1835" s="349"/>
      <c r="V1835" s="378"/>
      <c r="W1835" s="64" ph="1"/>
      <c r="X1835" s="241"/>
      <c r="Y1835" s="284"/>
      <c r="Z1835" s="207"/>
      <c r="AA1835" s="284"/>
      <c r="AB1835" s="284"/>
      <c r="AC1835" s="284"/>
      <c r="AD1835" s="284"/>
      <c r="AE1835" s="284"/>
      <c r="AF1835" s="284"/>
      <c r="AG1835" s="284"/>
      <c r="AI1835" s="131"/>
    </row>
    <row r="1836" spans="1:35" ht="26.4">
      <c r="A1836" s="284"/>
      <c r="B1836" s="284"/>
      <c r="C1836" s="284"/>
      <c r="D1836" s="284"/>
      <c r="E1836" s="284"/>
      <c r="F1836" s="284"/>
      <c r="G1836" s="284"/>
      <c r="H1836" s="284"/>
      <c r="I1836" s="284"/>
      <c r="J1836" s="375"/>
      <c r="K1836" s="375"/>
      <c r="L1836" s="375"/>
      <c r="M1836" s="368"/>
      <c r="N1836" s="368"/>
      <c r="O1836" s="370"/>
      <c r="T1836" s="349"/>
      <c r="V1836" s="378"/>
      <c r="W1836" s="64" ph="1"/>
      <c r="X1836" s="241"/>
      <c r="Y1836" s="284"/>
      <c r="Z1836" s="207"/>
      <c r="AA1836" s="284"/>
      <c r="AB1836" s="284"/>
      <c r="AC1836" s="284"/>
      <c r="AD1836" s="284"/>
      <c r="AE1836" s="284"/>
      <c r="AF1836" s="284"/>
      <c r="AG1836" s="284"/>
      <c r="AI1836" s="284"/>
    </row>
    <row r="1837" spans="1:35" ht="26.4">
      <c r="A1837" s="284"/>
      <c r="B1837" s="284"/>
      <c r="C1837" s="284"/>
      <c r="D1837" s="284"/>
      <c r="E1837" s="284"/>
      <c r="F1837" s="284"/>
      <c r="G1837" s="284"/>
      <c r="H1837" s="284"/>
      <c r="I1837" s="284"/>
      <c r="J1837" s="375"/>
      <c r="K1837" s="375"/>
      <c r="L1837" s="375"/>
      <c r="M1837" s="368"/>
      <c r="N1837" s="368"/>
      <c r="O1837" s="370"/>
      <c r="T1837" s="349"/>
      <c r="V1837" s="378"/>
      <c r="W1837" s="64" ph="1"/>
      <c r="X1837" s="241"/>
      <c r="Y1837" s="284"/>
      <c r="Z1837" s="207"/>
      <c r="AA1837" s="284"/>
      <c r="AB1837" s="284"/>
      <c r="AC1837" s="284"/>
      <c r="AD1837" s="284"/>
      <c r="AE1837" s="284"/>
      <c r="AF1837" s="284"/>
      <c r="AG1837" s="284"/>
      <c r="AI1837" s="284"/>
    </row>
    <row r="1838" spans="1:35" ht="26.4">
      <c r="A1838" s="284"/>
      <c r="B1838" s="284"/>
      <c r="C1838" s="284"/>
      <c r="D1838" s="284"/>
      <c r="E1838" s="284"/>
      <c r="F1838" s="284"/>
      <c r="G1838" s="284"/>
      <c r="H1838" s="284"/>
      <c r="I1838" s="284"/>
      <c r="J1838" s="375"/>
      <c r="K1838" s="375"/>
      <c r="L1838" s="375"/>
      <c r="M1838" s="368"/>
      <c r="N1838" s="368"/>
      <c r="O1838" s="370"/>
      <c r="T1838" s="349"/>
      <c r="V1838" s="378"/>
      <c r="W1838" s="64" ph="1"/>
      <c r="X1838" s="241"/>
      <c r="Y1838" s="284"/>
      <c r="Z1838" s="207"/>
      <c r="AA1838" s="284"/>
      <c r="AB1838" s="284"/>
      <c r="AC1838" s="284"/>
      <c r="AD1838" s="284"/>
      <c r="AE1838" s="284"/>
      <c r="AF1838" s="284"/>
      <c r="AG1838" s="284"/>
      <c r="AI1838" s="284"/>
    </row>
    <row r="1839" spans="1:35" ht="26.4">
      <c r="A1839" s="284"/>
      <c r="B1839" s="284"/>
      <c r="C1839" s="284"/>
      <c r="D1839" s="284"/>
      <c r="E1839" s="284"/>
      <c r="F1839" s="284"/>
      <c r="G1839" s="284"/>
      <c r="H1839" s="284"/>
      <c r="I1839" s="284"/>
      <c r="J1839" s="375"/>
      <c r="K1839" s="375"/>
      <c r="L1839" s="375"/>
      <c r="M1839" s="368"/>
      <c r="N1839" s="368"/>
      <c r="O1839" s="370"/>
      <c r="T1839" s="349"/>
      <c r="V1839" s="378"/>
      <c r="W1839" s="64" ph="1"/>
      <c r="X1839" s="241"/>
      <c r="Y1839" s="284"/>
      <c r="Z1839" s="207"/>
      <c r="AA1839" s="284"/>
      <c r="AB1839" s="284"/>
      <c r="AC1839" s="284"/>
      <c r="AD1839" s="284"/>
      <c r="AE1839" s="284"/>
      <c r="AF1839" s="284"/>
      <c r="AG1839" s="284"/>
      <c r="AI1839" s="284"/>
    </row>
    <row r="1840" spans="1:35" ht="26.4">
      <c r="A1840" s="284"/>
      <c r="B1840" s="284"/>
      <c r="C1840" s="284"/>
      <c r="D1840" s="284"/>
      <c r="E1840" s="284"/>
      <c r="F1840" s="284"/>
      <c r="G1840" s="284"/>
      <c r="H1840" s="284"/>
      <c r="I1840" s="284"/>
      <c r="J1840" s="375"/>
      <c r="K1840" s="375"/>
      <c r="L1840" s="375"/>
      <c r="M1840" s="368"/>
      <c r="N1840" s="368"/>
      <c r="O1840" s="370"/>
      <c r="T1840" s="349"/>
      <c r="V1840" s="378"/>
      <c r="W1840" s="64" ph="1"/>
      <c r="X1840" s="241"/>
      <c r="Y1840" s="284"/>
      <c r="Z1840" s="207"/>
      <c r="AA1840" s="284"/>
      <c r="AB1840" s="284"/>
      <c r="AC1840" s="284"/>
      <c r="AD1840" s="284"/>
      <c r="AE1840" s="284"/>
      <c r="AF1840" s="284"/>
      <c r="AG1840" s="284"/>
      <c r="AI1840" s="284"/>
    </row>
    <row r="1841" spans="1:35" ht="26.4">
      <c r="A1841" s="284"/>
      <c r="B1841" s="284"/>
      <c r="C1841" s="284"/>
      <c r="D1841" s="284"/>
      <c r="E1841" s="284"/>
      <c r="F1841" s="284"/>
      <c r="G1841" s="284"/>
      <c r="H1841" s="284"/>
      <c r="I1841" s="284"/>
      <c r="J1841" s="375"/>
      <c r="K1841" s="375"/>
      <c r="L1841" s="375"/>
      <c r="M1841" s="368"/>
      <c r="N1841" s="368"/>
      <c r="O1841" s="370"/>
      <c r="T1841" s="349"/>
      <c r="V1841" s="378"/>
      <c r="W1841" s="64" ph="1"/>
      <c r="X1841" s="241"/>
      <c r="Y1841" s="284"/>
      <c r="Z1841" s="207"/>
      <c r="AA1841" s="284"/>
      <c r="AB1841" s="284"/>
      <c r="AC1841" s="284"/>
      <c r="AD1841" s="284"/>
      <c r="AE1841" s="284"/>
      <c r="AF1841" s="284"/>
      <c r="AG1841" s="284"/>
      <c r="AI1841" s="284"/>
    </row>
    <row r="1842" spans="1:35" ht="26.4">
      <c r="A1842" s="284"/>
      <c r="B1842" s="284"/>
      <c r="C1842" s="284"/>
      <c r="D1842" s="284"/>
      <c r="E1842" s="284"/>
      <c r="F1842" s="284"/>
      <c r="G1842" s="284"/>
      <c r="H1842" s="284"/>
      <c r="I1842" s="284"/>
      <c r="J1842" s="375"/>
      <c r="K1842" s="375"/>
      <c r="L1842" s="375"/>
      <c r="M1842" s="368"/>
      <c r="N1842" s="368"/>
      <c r="O1842" s="370"/>
      <c r="T1842" s="349"/>
      <c r="V1842" s="378"/>
      <c r="W1842" s="64" ph="1"/>
      <c r="X1842" s="241"/>
      <c r="Y1842" s="284"/>
      <c r="Z1842" s="207"/>
      <c r="AA1842" s="284"/>
      <c r="AB1842" s="284"/>
      <c r="AC1842" s="284"/>
      <c r="AD1842" s="284"/>
      <c r="AE1842" s="284"/>
      <c r="AF1842" s="284"/>
      <c r="AG1842" s="284"/>
      <c r="AI1842" s="284"/>
    </row>
    <row r="1843" spans="1:35" ht="26.4">
      <c r="A1843" s="284"/>
      <c r="B1843" s="284"/>
      <c r="C1843" s="284"/>
      <c r="D1843" s="284"/>
      <c r="E1843" s="284"/>
      <c r="F1843" s="284"/>
      <c r="G1843" s="284"/>
      <c r="H1843" s="284"/>
      <c r="I1843" s="284"/>
      <c r="J1843" s="375"/>
      <c r="K1843" s="375"/>
      <c r="L1843" s="375"/>
      <c r="M1843" s="368"/>
      <c r="N1843" s="368"/>
      <c r="O1843" s="370"/>
      <c r="T1843" s="349"/>
      <c r="V1843" s="378"/>
      <c r="W1843" s="64" ph="1"/>
      <c r="X1843" s="241"/>
      <c r="Y1843" s="284"/>
      <c r="Z1843" s="207"/>
      <c r="AA1843" s="284"/>
      <c r="AB1843" s="284"/>
      <c r="AC1843" s="284"/>
      <c r="AD1843" s="284"/>
      <c r="AE1843" s="284"/>
      <c r="AF1843" s="284"/>
      <c r="AG1843" s="284"/>
      <c r="AI1843" s="284"/>
    </row>
    <row r="1844" spans="1:35" ht="26.4">
      <c r="A1844" s="284"/>
      <c r="B1844" s="284"/>
      <c r="C1844" s="284"/>
      <c r="D1844" s="284"/>
      <c r="E1844" s="284"/>
      <c r="F1844" s="284"/>
      <c r="G1844" s="284"/>
      <c r="H1844" s="284"/>
      <c r="I1844" s="284"/>
      <c r="J1844" s="375"/>
      <c r="K1844" s="375"/>
      <c r="L1844" s="375"/>
      <c r="M1844" s="368"/>
      <c r="N1844" s="368"/>
      <c r="O1844" s="370"/>
      <c r="T1844" s="349"/>
      <c r="V1844" s="378"/>
      <c r="W1844" s="64" ph="1"/>
      <c r="X1844" s="241"/>
      <c r="Y1844" s="284"/>
      <c r="Z1844" s="207"/>
      <c r="AA1844" s="284"/>
      <c r="AB1844" s="284"/>
      <c r="AC1844" s="284"/>
      <c r="AD1844" s="284"/>
      <c r="AE1844" s="284"/>
      <c r="AF1844" s="284"/>
      <c r="AG1844" s="284"/>
      <c r="AI1844" s="284"/>
    </row>
    <row r="1845" spans="1:35" ht="26.4">
      <c r="A1845" s="284"/>
      <c r="B1845" s="284"/>
      <c r="C1845" s="284"/>
      <c r="D1845" s="284"/>
      <c r="E1845" s="284"/>
      <c r="F1845" s="284"/>
      <c r="G1845" s="284"/>
      <c r="H1845" s="284"/>
      <c r="I1845" s="284"/>
      <c r="J1845" s="375"/>
      <c r="K1845" s="375"/>
      <c r="L1845" s="375"/>
      <c r="M1845" s="368"/>
      <c r="N1845" s="368"/>
      <c r="O1845" s="370"/>
      <c r="T1845" s="349"/>
      <c r="V1845" s="378"/>
      <c r="W1845" s="64" ph="1"/>
      <c r="X1845" s="241"/>
      <c r="Y1845" s="284"/>
      <c r="Z1845" s="207"/>
      <c r="AA1845" s="284"/>
      <c r="AB1845" s="284"/>
      <c r="AC1845" s="284"/>
      <c r="AD1845" s="284"/>
      <c r="AE1845" s="284"/>
      <c r="AF1845" s="284"/>
      <c r="AG1845" s="284"/>
      <c r="AI1845" s="131"/>
    </row>
    <row r="1846" spans="1:35" ht="26.4">
      <c r="A1846" s="284"/>
      <c r="B1846" s="284"/>
      <c r="C1846" s="284"/>
      <c r="D1846" s="284"/>
      <c r="E1846" s="284"/>
      <c r="F1846" s="284"/>
      <c r="G1846" s="284"/>
      <c r="H1846" s="284"/>
      <c r="I1846" s="284"/>
      <c r="J1846" s="375"/>
      <c r="K1846" s="375"/>
      <c r="L1846" s="375"/>
      <c r="M1846" s="368"/>
      <c r="N1846" s="368"/>
      <c r="O1846" s="370"/>
      <c r="T1846" s="349"/>
      <c r="V1846" s="378"/>
      <c r="W1846" s="64" ph="1"/>
      <c r="X1846" s="241"/>
      <c r="Y1846" s="284"/>
      <c r="Z1846" s="207"/>
      <c r="AA1846" s="284"/>
      <c r="AB1846" s="284"/>
      <c r="AC1846" s="284"/>
      <c r="AD1846" s="284"/>
      <c r="AE1846" s="284"/>
      <c r="AF1846" s="284"/>
      <c r="AG1846" s="284"/>
      <c r="AI1846" s="284"/>
    </row>
    <row r="1847" spans="1:35" ht="26.4">
      <c r="A1847" s="284"/>
      <c r="B1847" s="284"/>
      <c r="C1847" s="284"/>
      <c r="D1847" s="284"/>
      <c r="E1847" s="284"/>
      <c r="F1847" s="284"/>
      <c r="G1847" s="284"/>
      <c r="H1847" s="284"/>
      <c r="I1847" s="284"/>
      <c r="J1847" s="375"/>
      <c r="K1847" s="375"/>
      <c r="L1847" s="375"/>
      <c r="M1847" s="368"/>
      <c r="N1847" s="368"/>
      <c r="O1847" s="370"/>
      <c r="T1847" s="349"/>
      <c r="V1847" s="378"/>
      <c r="W1847" s="64" ph="1"/>
      <c r="X1847" s="241"/>
      <c r="Y1847" s="284"/>
      <c r="Z1847" s="207"/>
      <c r="AA1847" s="284"/>
      <c r="AB1847" s="284"/>
      <c r="AC1847" s="284"/>
      <c r="AD1847" s="284"/>
      <c r="AE1847" s="284"/>
      <c r="AF1847" s="284"/>
      <c r="AG1847" s="284"/>
      <c r="AI1847" s="284"/>
    </row>
    <row r="1848" spans="1:35" ht="26.4">
      <c r="A1848" s="284"/>
      <c r="B1848" s="284"/>
      <c r="C1848" s="284"/>
      <c r="D1848" s="284"/>
      <c r="E1848" s="284"/>
      <c r="F1848" s="284"/>
      <c r="G1848" s="284"/>
      <c r="H1848" s="284"/>
      <c r="I1848" s="284"/>
      <c r="J1848" s="375"/>
      <c r="K1848" s="375"/>
      <c r="L1848" s="375"/>
      <c r="M1848" s="368"/>
      <c r="N1848" s="368"/>
      <c r="O1848" s="370"/>
      <c r="T1848" s="349"/>
      <c r="V1848" s="378"/>
      <c r="W1848" s="64" ph="1"/>
      <c r="X1848" s="241"/>
      <c r="Y1848" s="284"/>
      <c r="Z1848" s="207"/>
      <c r="AA1848" s="284"/>
      <c r="AB1848" s="284"/>
      <c r="AC1848" s="284"/>
      <c r="AD1848" s="284"/>
      <c r="AE1848" s="284"/>
      <c r="AF1848" s="284"/>
      <c r="AG1848" s="284"/>
      <c r="AI1848" s="284"/>
    </row>
    <row r="1849" spans="1:35" ht="26.4">
      <c r="A1849" s="284"/>
      <c r="B1849" s="284"/>
      <c r="C1849" s="284"/>
      <c r="D1849" s="284"/>
      <c r="E1849" s="284"/>
      <c r="F1849" s="284"/>
      <c r="G1849" s="284"/>
      <c r="H1849" s="284"/>
      <c r="I1849" s="284"/>
      <c r="J1849" s="375"/>
      <c r="K1849" s="375"/>
      <c r="L1849" s="375"/>
      <c r="M1849" s="368"/>
      <c r="N1849" s="368"/>
      <c r="O1849" s="370"/>
      <c r="T1849" s="349"/>
      <c r="V1849" s="378"/>
      <c r="W1849" s="64" ph="1"/>
      <c r="X1849" s="241"/>
      <c r="Y1849" s="284"/>
      <c r="Z1849" s="207"/>
      <c r="AA1849" s="284"/>
      <c r="AB1849" s="284"/>
      <c r="AC1849" s="284"/>
      <c r="AD1849" s="284"/>
      <c r="AE1849" s="284"/>
      <c r="AF1849" s="284"/>
      <c r="AG1849" s="284"/>
      <c r="AI1849" s="131"/>
    </row>
    <row r="1850" spans="1:35" ht="26.4">
      <c r="A1850" s="284"/>
      <c r="B1850" s="284"/>
      <c r="C1850" s="284"/>
      <c r="D1850" s="284"/>
      <c r="E1850" s="284"/>
      <c r="F1850" s="284"/>
      <c r="G1850" s="284"/>
      <c r="H1850" s="284"/>
      <c r="I1850" s="284"/>
      <c r="J1850" s="375"/>
      <c r="K1850" s="375"/>
      <c r="L1850" s="375"/>
      <c r="M1850" s="368"/>
      <c r="N1850" s="368"/>
      <c r="O1850" s="370"/>
      <c r="T1850" s="349"/>
      <c r="V1850" s="378"/>
      <c r="W1850" s="64" ph="1"/>
      <c r="X1850" s="241"/>
      <c r="Y1850" s="284"/>
      <c r="Z1850" s="207"/>
      <c r="AA1850" s="284"/>
      <c r="AB1850" s="284"/>
      <c r="AC1850" s="284"/>
      <c r="AD1850" s="284"/>
      <c r="AE1850" s="284"/>
      <c r="AF1850" s="284"/>
      <c r="AG1850" s="284"/>
      <c r="AI1850" s="284"/>
    </row>
    <row r="1851" spans="1:35" ht="26.4">
      <c r="A1851" s="284"/>
      <c r="B1851" s="284"/>
      <c r="C1851" s="284"/>
      <c r="D1851" s="284"/>
      <c r="E1851" s="284"/>
      <c r="F1851" s="284"/>
      <c r="G1851" s="284"/>
      <c r="H1851" s="284"/>
      <c r="I1851" s="284"/>
      <c r="J1851" s="375"/>
      <c r="K1851" s="375"/>
      <c r="L1851" s="375"/>
      <c r="M1851" s="368"/>
      <c r="N1851" s="368"/>
      <c r="O1851" s="370"/>
      <c r="T1851" s="349"/>
      <c r="V1851" s="378"/>
      <c r="W1851" s="64" ph="1"/>
      <c r="X1851" s="241"/>
      <c r="Y1851" s="284"/>
      <c r="Z1851" s="207"/>
      <c r="AA1851" s="284"/>
      <c r="AB1851" s="284"/>
      <c r="AC1851" s="284"/>
      <c r="AD1851" s="284"/>
      <c r="AE1851" s="284"/>
      <c r="AF1851" s="284"/>
      <c r="AG1851" s="284"/>
      <c r="AI1851" s="284"/>
    </row>
    <row r="1852" spans="1:35" ht="26.4">
      <c r="A1852" s="284"/>
      <c r="B1852" s="284"/>
      <c r="C1852" s="284"/>
      <c r="D1852" s="284"/>
      <c r="E1852" s="284"/>
      <c r="F1852" s="284"/>
      <c r="G1852" s="284"/>
      <c r="H1852" s="284"/>
      <c r="I1852" s="284"/>
      <c r="J1852" s="375"/>
      <c r="K1852" s="375"/>
      <c r="L1852" s="375"/>
      <c r="M1852" s="368"/>
      <c r="N1852" s="368"/>
      <c r="O1852" s="370"/>
      <c r="T1852" s="349"/>
      <c r="V1852" s="378"/>
      <c r="W1852" s="64" ph="1"/>
      <c r="X1852" s="241"/>
      <c r="Y1852" s="284"/>
      <c r="Z1852" s="207"/>
      <c r="AA1852" s="284"/>
      <c r="AB1852" s="284"/>
      <c r="AC1852" s="284"/>
      <c r="AD1852" s="284"/>
      <c r="AE1852" s="284"/>
      <c r="AF1852" s="284"/>
      <c r="AG1852" s="284"/>
      <c r="AI1852" s="131"/>
    </row>
    <row r="1853" spans="1:35" ht="26.4">
      <c r="A1853" s="284"/>
      <c r="B1853" s="284"/>
      <c r="C1853" s="284"/>
      <c r="D1853" s="284"/>
      <c r="E1853" s="284"/>
      <c r="F1853" s="284"/>
      <c r="G1853" s="284"/>
      <c r="H1853" s="284"/>
      <c r="I1853" s="284"/>
      <c r="J1853" s="375"/>
      <c r="K1853" s="375"/>
      <c r="L1853" s="375"/>
      <c r="M1853" s="368"/>
      <c r="N1853" s="368"/>
      <c r="O1853" s="370"/>
      <c r="T1853" s="349"/>
      <c r="V1853" s="378"/>
      <c r="W1853" s="64" ph="1"/>
      <c r="X1853" s="241"/>
      <c r="Y1853" s="284"/>
      <c r="Z1853" s="207"/>
      <c r="AA1853" s="284"/>
      <c r="AB1853" s="284"/>
      <c r="AC1853" s="284"/>
      <c r="AD1853" s="284"/>
      <c r="AE1853" s="284"/>
      <c r="AF1853" s="284"/>
      <c r="AG1853" s="284"/>
      <c r="AI1853" s="131"/>
    </row>
    <row r="1854" spans="1:35" ht="26.4">
      <c r="A1854" s="284"/>
      <c r="B1854" s="284"/>
      <c r="C1854" s="284"/>
      <c r="D1854" s="284"/>
      <c r="E1854" s="284"/>
      <c r="F1854" s="284"/>
      <c r="G1854" s="284"/>
      <c r="H1854" s="284"/>
      <c r="I1854" s="284"/>
      <c r="J1854" s="375"/>
      <c r="K1854" s="375"/>
      <c r="L1854" s="375"/>
      <c r="M1854" s="368"/>
      <c r="N1854" s="368"/>
      <c r="O1854" s="370"/>
      <c r="T1854" s="349"/>
      <c r="V1854" s="378"/>
      <c r="W1854" s="64" ph="1"/>
      <c r="X1854" s="241"/>
      <c r="Y1854" s="284"/>
      <c r="Z1854" s="207"/>
      <c r="AA1854" s="284"/>
      <c r="AB1854" s="284"/>
      <c r="AC1854" s="284"/>
      <c r="AD1854" s="284"/>
      <c r="AE1854" s="284"/>
      <c r="AF1854" s="284"/>
      <c r="AG1854" s="284"/>
    </row>
    <row r="1855" spans="1:35" ht="26.4">
      <c r="A1855" s="284"/>
      <c r="B1855" s="284"/>
      <c r="C1855" s="284"/>
      <c r="D1855" s="284"/>
      <c r="E1855" s="284"/>
      <c r="F1855" s="284"/>
      <c r="G1855" s="284"/>
      <c r="H1855" s="284"/>
      <c r="I1855" s="284"/>
      <c r="J1855" s="375"/>
      <c r="K1855" s="375"/>
      <c r="L1855" s="375"/>
      <c r="M1855" s="368"/>
      <c r="N1855" s="368"/>
      <c r="O1855" s="370"/>
      <c r="T1855" s="349"/>
      <c r="V1855" s="378"/>
      <c r="W1855" s="64" ph="1"/>
      <c r="X1855" s="241"/>
      <c r="Y1855" s="284"/>
      <c r="Z1855" s="207"/>
      <c r="AA1855" s="284"/>
      <c r="AB1855" s="284"/>
      <c r="AC1855" s="284"/>
      <c r="AD1855" s="284"/>
      <c r="AE1855" s="284"/>
      <c r="AF1855" s="284"/>
      <c r="AG1855" s="284"/>
    </row>
    <row r="1856" spans="1:35" ht="26.4">
      <c r="A1856" s="284"/>
      <c r="B1856" s="284"/>
      <c r="C1856" s="284"/>
      <c r="D1856" s="284"/>
      <c r="E1856" s="284"/>
      <c r="F1856" s="284"/>
      <c r="G1856" s="284"/>
      <c r="H1856" s="284"/>
      <c r="I1856" s="284"/>
      <c r="J1856" s="375"/>
      <c r="K1856" s="375"/>
      <c r="L1856" s="375"/>
      <c r="M1856" s="368"/>
      <c r="N1856" s="368"/>
      <c r="O1856" s="370"/>
      <c r="T1856" s="349"/>
      <c r="V1856" s="378"/>
      <c r="W1856" s="64" ph="1"/>
      <c r="X1856" s="241"/>
      <c r="Y1856" s="284"/>
      <c r="Z1856" s="207"/>
      <c r="AA1856" s="284"/>
      <c r="AB1856" s="284"/>
      <c r="AC1856" s="284"/>
      <c r="AD1856" s="284"/>
      <c r="AE1856" s="284"/>
      <c r="AF1856" s="284"/>
      <c r="AG1856" s="284"/>
    </row>
    <row r="1857" spans="1:33" ht="26.4">
      <c r="A1857" s="284"/>
      <c r="B1857" s="284"/>
      <c r="C1857" s="284"/>
      <c r="D1857" s="284"/>
      <c r="E1857" s="284"/>
      <c r="F1857" s="284"/>
      <c r="G1857" s="284"/>
      <c r="H1857" s="284"/>
      <c r="I1857" s="284"/>
      <c r="J1857" s="375"/>
      <c r="K1857" s="375"/>
      <c r="L1857" s="375"/>
      <c r="M1857" s="368"/>
      <c r="N1857" s="368"/>
      <c r="O1857" s="370"/>
      <c r="T1857" s="349"/>
      <c r="V1857" s="378"/>
      <c r="W1857" s="64" ph="1"/>
      <c r="X1857" s="241"/>
      <c r="Y1857" s="284"/>
      <c r="Z1857" s="207"/>
      <c r="AA1857" s="284"/>
      <c r="AB1857" s="284"/>
      <c r="AC1857" s="284"/>
      <c r="AD1857" s="284"/>
      <c r="AE1857" s="284"/>
      <c r="AF1857" s="284"/>
      <c r="AG1857" s="284"/>
    </row>
    <row r="1858" spans="1:33" ht="26.4">
      <c r="A1858" s="284"/>
      <c r="B1858" s="284"/>
      <c r="C1858" s="284"/>
      <c r="D1858" s="284"/>
      <c r="E1858" s="284"/>
      <c r="F1858" s="284"/>
      <c r="G1858" s="284"/>
      <c r="H1858" s="284"/>
      <c r="I1858" s="284"/>
      <c r="J1858" s="375"/>
      <c r="K1858" s="375"/>
      <c r="L1858" s="375"/>
      <c r="M1858" s="368"/>
      <c r="N1858" s="368"/>
      <c r="O1858" s="370"/>
      <c r="T1858" s="349"/>
      <c r="V1858" s="378"/>
      <c r="W1858" s="64" ph="1"/>
      <c r="X1858" s="241"/>
      <c r="Y1858" s="284"/>
      <c r="Z1858" s="207"/>
      <c r="AA1858" s="284"/>
      <c r="AB1858" s="284"/>
      <c r="AC1858" s="284"/>
      <c r="AD1858" s="284"/>
      <c r="AE1858" s="284"/>
      <c r="AF1858" s="284"/>
      <c r="AG1858" s="284"/>
    </row>
    <row r="1859" spans="1:33" ht="26.4">
      <c r="A1859" s="284"/>
      <c r="B1859" s="284"/>
      <c r="C1859" s="284"/>
      <c r="D1859" s="284"/>
      <c r="E1859" s="284"/>
      <c r="F1859" s="284"/>
      <c r="G1859" s="284"/>
      <c r="H1859" s="284"/>
      <c r="I1859" s="284"/>
      <c r="J1859" s="375"/>
      <c r="K1859" s="375"/>
      <c r="L1859" s="375"/>
      <c r="M1859" s="368"/>
      <c r="N1859" s="368"/>
      <c r="O1859" s="370"/>
      <c r="T1859" s="349"/>
      <c r="V1859" s="378"/>
      <c r="W1859" s="64" ph="1"/>
      <c r="X1859" s="241"/>
      <c r="Y1859" s="284"/>
      <c r="Z1859" s="207"/>
      <c r="AA1859" s="284"/>
      <c r="AB1859" s="284"/>
      <c r="AC1859" s="284"/>
      <c r="AD1859" s="284"/>
      <c r="AE1859" s="284"/>
      <c r="AF1859" s="284"/>
      <c r="AG1859" s="284"/>
    </row>
    <row r="1860" spans="1:33" ht="26.4">
      <c r="A1860" s="284"/>
      <c r="B1860" s="284"/>
      <c r="C1860" s="284"/>
      <c r="D1860" s="284"/>
      <c r="E1860" s="284"/>
      <c r="F1860" s="284"/>
      <c r="G1860" s="284"/>
      <c r="H1860" s="284"/>
      <c r="I1860" s="284"/>
      <c r="J1860" s="375"/>
      <c r="K1860" s="375"/>
      <c r="L1860" s="375"/>
      <c r="M1860" s="368"/>
      <c r="N1860" s="368"/>
      <c r="O1860" s="370"/>
      <c r="T1860" s="349"/>
      <c r="V1860" s="378"/>
      <c r="W1860" s="64" ph="1"/>
      <c r="X1860" s="241"/>
      <c r="Y1860" s="284"/>
      <c r="Z1860" s="207"/>
      <c r="AA1860" s="284"/>
      <c r="AB1860" s="284"/>
      <c r="AC1860" s="284"/>
      <c r="AD1860" s="284"/>
      <c r="AE1860" s="284"/>
      <c r="AF1860" s="284"/>
      <c r="AG1860" s="284"/>
    </row>
    <row r="1861" spans="1:33" ht="26.4">
      <c r="A1861" s="284"/>
      <c r="B1861" s="284"/>
      <c r="C1861" s="284"/>
      <c r="D1861" s="284"/>
      <c r="E1861" s="284"/>
      <c r="F1861" s="284"/>
      <c r="G1861" s="284"/>
      <c r="H1861" s="284"/>
      <c r="I1861" s="284"/>
      <c r="J1861" s="375"/>
      <c r="K1861" s="375"/>
      <c r="L1861" s="375"/>
      <c r="M1861" s="368"/>
      <c r="N1861" s="368"/>
      <c r="O1861" s="370"/>
      <c r="T1861" s="349"/>
      <c r="V1861" s="378"/>
      <c r="W1861" s="64" ph="1"/>
      <c r="X1861" s="241"/>
      <c r="Y1861" s="284"/>
      <c r="Z1861" s="207"/>
      <c r="AA1861" s="284"/>
      <c r="AB1861" s="284"/>
      <c r="AC1861" s="284"/>
      <c r="AD1861" s="284"/>
      <c r="AE1861" s="284"/>
      <c r="AF1861" s="284"/>
      <c r="AG1861" s="284"/>
    </row>
    <row r="1862" spans="1:33" ht="26.4">
      <c r="A1862" s="284"/>
      <c r="B1862" s="284"/>
      <c r="C1862" s="284"/>
      <c r="D1862" s="284"/>
      <c r="E1862" s="284"/>
      <c r="F1862" s="284"/>
      <c r="G1862" s="284"/>
      <c r="H1862" s="284"/>
      <c r="I1862" s="284"/>
      <c r="J1862" s="375"/>
      <c r="K1862" s="375"/>
      <c r="L1862" s="375"/>
      <c r="M1862" s="368"/>
      <c r="N1862" s="368"/>
      <c r="O1862" s="370"/>
      <c r="T1862" s="349"/>
      <c r="V1862" s="378"/>
      <c r="W1862" s="64" ph="1"/>
      <c r="X1862" s="241"/>
      <c r="Y1862" s="284"/>
      <c r="Z1862" s="207"/>
      <c r="AA1862" s="284"/>
      <c r="AB1862" s="284"/>
      <c r="AC1862" s="284"/>
      <c r="AD1862" s="284"/>
      <c r="AE1862" s="284"/>
      <c r="AF1862" s="284"/>
      <c r="AG1862" s="284"/>
    </row>
    <row r="1863" spans="1:33" ht="26.4">
      <c r="A1863" s="284"/>
      <c r="B1863" s="284"/>
      <c r="C1863" s="284"/>
      <c r="D1863" s="284"/>
      <c r="E1863" s="284"/>
      <c r="F1863" s="284"/>
      <c r="G1863" s="284"/>
      <c r="H1863" s="284"/>
      <c r="I1863" s="284"/>
      <c r="J1863" s="375"/>
      <c r="K1863" s="375"/>
      <c r="L1863" s="375"/>
      <c r="M1863" s="368"/>
      <c r="N1863" s="368"/>
      <c r="O1863" s="370"/>
      <c r="T1863" s="349"/>
      <c r="V1863" s="378"/>
      <c r="W1863" s="64" ph="1"/>
      <c r="X1863" s="241"/>
      <c r="Y1863" s="284"/>
      <c r="Z1863" s="207"/>
      <c r="AA1863" s="284"/>
      <c r="AB1863" s="284"/>
      <c r="AC1863" s="284"/>
      <c r="AD1863" s="284"/>
      <c r="AE1863" s="284"/>
      <c r="AF1863" s="284"/>
      <c r="AG1863" s="284"/>
    </row>
    <row r="1864" spans="1:33" ht="26.4">
      <c r="A1864" s="284"/>
      <c r="B1864" s="284"/>
      <c r="C1864" s="284"/>
      <c r="D1864" s="284"/>
      <c r="E1864" s="284"/>
      <c r="F1864" s="284"/>
      <c r="G1864" s="284"/>
      <c r="H1864" s="284"/>
      <c r="I1864" s="284"/>
      <c r="J1864" s="375"/>
      <c r="K1864" s="375"/>
      <c r="L1864" s="375"/>
      <c r="M1864" s="368"/>
      <c r="N1864" s="368"/>
      <c r="O1864" s="370"/>
      <c r="T1864" s="349"/>
      <c r="V1864" s="378"/>
      <c r="W1864" s="64" ph="1"/>
      <c r="X1864" s="241"/>
      <c r="Y1864" s="284"/>
      <c r="Z1864" s="207"/>
      <c r="AA1864" s="284"/>
      <c r="AB1864" s="284"/>
      <c r="AC1864" s="284"/>
      <c r="AD1864" s="284"/>
      <c r="AE1864" s="284"/>
      <c r="AF1864" s="284"/>
      <c r="AG1864" s="284"/>
    </row>
    <row r="1865" spans="1:33" ht="26.4">
      <c r="A1865" s="284"/>
      <c r="B1865" s="284"/>
      <c r="C1865" s="284"/>
      <c r="D1865" s="284"/>
      <c r="E1865" s="284"/>
      <c r="F1865" s="284"/>
      <c r="G1865" s="284"/>
      <c r="H1865" s="284"/>
      <c r="I1865" s="284"/>
      <c r="J1865" s="375"/>
      <c r="K1865" s="375"/>
      <c r="L1865" s="375"/>
      <c r="M1865" s="368"/>
      <c r="N1865" s="368"/>
      <c r="O1865" s="370"/>
      <c r="T1865" s="349"/>
      <c r="V1865" s="378"/>
      <c r="W1865" s="64" ph="1"/>
      <c r="X1865" s="241"/>
      <c r="Y1865" s="284"/>
      <c r="Z1865" s="207"/>
      <c r="AA1865" s="284"/>
      <c r="AB1865" s="284"/>
      <c r="AC1865" s="284"/>
      <c r="AD1865" s="284"/>
      <c r="AE1865" s="284"/>
      <c r="AF1865" s="284"/>
      <c r="AG1865" s="284"/>
    </row>
    <row r="1866" spans="1:33" ht="26.4">
      <c r="A1866" s="284"/>
      <c r="B1866" s="284"/>
      <c r="C1866" s="284"/>
      <c r="D1866" s="284"/>
      <c r="E1866" s="284"/>
      <c r="F1866" s="284"/>
      <c r="G1866" s="284"/>
      <c r="H1866" s="284"/>
      <c r="I1866" s="284"/>
      <c r="J1866" s="375"/>
      <c r="K1866" s="375"/>
      <c r="L1866" s="375"/>
      <c r="M1866" s="368"/>
      <c r="N1866" s="368"/>
      <c r="O1866" s="370"/>
      <c r="T1866" s="349"/>
      <c r="V1866" s="378"/>
      <c r="W1866" s="64" ph="1"/>
      <c r="X1866" s="241"/>
      <c r="Y1866" s="284"/>
      <c r="Z1866" s="207"/>
      <c r="AA1866" s="284"/>
      <c r="AB1866" s="284"/>
      <c r="AC1866" s="284"/>
      <c r="AD1866" s="284"/>
      <c r="AE1866" s="284"/>
      <c r="AF1866" s="284"/>
      <c r="AG1866" s="284"/>
    </row>
    <row r="1867" spans="1:33" ht="26.4">
      <c r="A1867" s="284"/>
      <c r="B1867" s="284"/>
      <c r="C1867" s="284"/>
      <c r="D1867" s="284"/>
      <c r="E1867" s="284"/>
      <c r="F1867" s="284"/>
      <c r="G1867" s="284"/>
      <c r="H1867" s="284"/>
      <c r="I1867" s="284"/>
      <c r="J1867" s="375"/>
      <c r="K1867" s="375"/>
      <c r="L1867" s="375"/>
      <c r="M1867" s="368"/>
      <c r="N1867" s="368"/>
      <c r="O1867" s="370"/>
      <c r="T1867" s="349"/>
      <c r="V1867" s="378"/>
      <c r="W1867" s="64" ph="1"/>
      <c r="X1867" s="241"/>
      <c r="Y1867" s="284"/>
      <c r="Z1867" s="207"/>
      <c r="AA1867" s="284"/>
      <c r="AB1867" s="284"/>
      <c r="AC1867" s="284"/>
      <c r="AD1867" s="284"/>
      <c r="AE1867" s="284"/>
      <c r="AF1867" s="284"/>
      <c r="AG1867" s="284"/>
    </row>
    <row r="1868" spans="1:33" ht="26.4">
      <c r="A1868" s="284"/>
      <c r="B1868" s="284"/>
      <c r="C1868" s="284"/>
      <c r="D1868" s="284"/>
      <c r="E1868" s="284"/>
      <c r="F1868" s="284"/>
      <c r="G1868" s="284"/>
      <c r="H1868" s="284"/>
      <c r="I1868" s="284"/>
      <c r="J1868" s="375"/>
      <c r="K1868" s="375"/>
      <c r="L1868" s="375"/>
      <c r="M1868" s="368"/>
      <c r="N1868" s="368"/>
      <c r="O1868" s="370"/>
      <c r="T1868" s="349"/>
      <c r="V1868" s="378"/>
      <c r="W1868" s="64" ph="1"/>
      <c r="X1868" s="241"/>
      <c r="Y1868" s="284"/>
      <c r="Z1868" s="207"/>
      <c r="AA1868" s="284"/>
      <c r="AB1868" s="284"/>
      <c r="AC1868" s="284"/>
      <c r="AD1868" s="284"/>
      <c r="AE1868" s="284"/>
      <c r="AF1868" s="284"/>
      <c r="AG1868" s="284"/>
    </row>
    <row r="1869" spans="1:33" ht="26.4">
      <c r="A1869" s="284"/>
      <c r="B1869" s="284"/>
      <c r="C1869" s="284"/>
      <c r="D1869" s="284"/>
      <c r="E1869" s="284"/>
      <c r="F1869" s="284"/>
      <c r="G1869" s="284"/>
      <c r="H1869" s="284"/>
      <c r="I1869" s="284"/>
      <c r="J1869" s="375"/>
      <c r="K1869" s="375"/>
      <c r="L1869" s="375"/>
      <c r="M1869" s="368"/>
      <c r="N1869" s="368"/>
      <c r="O1869" s="370"/>
      <c r="T1869" s="349"/>
      <c r="V1869" s="378"/>
      <c r="W1869" s="64" ph="1"/>
      <c r="X1869" s="241"/>
      <c r="Y1869" s="284"/>
      <c r="Z1869" s="207"/>
      <c r="AA1869" s="284"/>
      <c r="AB1869" s="284"/>
      <c r="AC1869" s="284"/>
      <c r="AD1869" s="284"/>
      <c r="AE1869" s="284"/>
      <c r="AF1869" s="284"/>
      <c r="AG1869" s="284"/>
    </row>
    <row r="1870" spans="1:33" ht="26.4">
      <c r="A1870" s="284"/>
      <c r="B1870" s="284"/>
      <c r="C1870" s="284"/>
      <c r="D1870" s="284"/>
      <c r="E1870" s="284"/>
      <c r="F1870" s="284"/>
      <c r="G1870" s="284"/>
      <c r="H1870" s="284"/>
      <c r="I1870" s="284"/>
      <c r="J1870" s="375"/>
      <c r="K1870" s="375"/>
      <c r="L1870" s="375"/>
      <c r="M1870" s="368"/>
      <c r="N1870" s="368"/>
      <c r="O1870" s="370"/>
      <c r="T1870" s="349"/>
      <c r="V1870" s="378"/>
      <c r="W1870" s="64" ph="1"/>
      <c r="X1870" s="241"/>
      <c r="Y1870" s="284"/>
      <c r="Z1870" s="207"/>
      <c r="AA1870" s="284"/>
      <c r="AB1870" s="284"/>
      <c r="AC1870" s="284"/>
      <c r="AD1870" s="284"/>
      <c r="AE1870" s="284"/>
      <c r="AF1870" s="284"/>
      <c r="AG1870" s="284"/>
    </row>
    <row r="1871" spans="1:33" ht="26.4">
      <c r="A1871" s="284"/>
      <c r="B1871" s="284"/>
      <c r="C1871" s="284"/>
      <c r="D1871" s="284"/>
      <c r="E1871" s="284"/>
      <c r="F1871" s="284"/>
      <c r="G1871" s="284"/>
      <c r="H1871" s="284"/>
      <c r="I1871" s="284"/>
      <c r="J1871" s="375"/>
      <c r="K1871" s="375"/>
      <c r="L1871" s="375"/>
      <c r="M1871" s="368"/>
      <c r="N1871" s="368"/>
      <c r="O1871" s="370"/>
      <c r="T1871" s="349"/>
      <c r="V1871" s="378"/>
      <c r="W1871" s="64" ph="1"/>
      <c r="X1871" s="241"/>
      <c r="Y1871" s="284"/>
      <c r="Z1871" s="207"/>
      <c r="AA1871" s="284"/>
      <c r="AB1871" s="284"/>
      <c r="AC1871" s="284"/>
      <c r="AD1871" s="284"/>
      <c r="AE1871" s="284"/>
      <c r="AF1871" s="284"/>
      <c r="AG1871" s="284"/>
    </row>
    <row r="1872" spans="1:33" ht="26.4">
      <c r="A1872" s="284"/>
      <c r="B1872" s="284"/>
      <c r="C1872" s="284"/>
      <c r="D1872" s="284"/>
      <c r="E1872" s="284"/>
      <c r="F1872" s="284"/>
      <c r="G1872" s="284"/>
      <c r="H1872" s="284"/>
      <c r="I1872" s="284"/>
      <c r="J1872" s="375"/>
      <c r="K1872" s="375"/>
      <c r="L1872" s="375"/>
      <c r="M1872" s="368"/>
      <c r="N1872" s="368"/>
      <c r="O1872" s="370"/>
      <c r="T1872" s="349"/>
      <c r="V1872" s="378"/>
      <c r="W1872" s="64" ph="1"/>
      <c r="X1872" s="241"/>
      <c r="Y1872" s="284"/>
      <c r="Z1872" s="207"/>
      <c r="AA1872" s="284"/>
      <c r="AB1872" s="284"/>
      <c r="AC1872" s="284"/>
      <c r="AD1872" s="284"/>
      <c r="AE1872" s="284"/>
      <c r="AF1872" s="284"/>
      <c r="AG1872" s="284"/>
    </row>
    <row r="1873" spans="1:33" ht="26.4">
      <c r="A1873" s="284"/>
      <c r="B1873" s="284"/>
      <c r="C1873" s="284"/>
      <c r="D1873" s="284"/>
      <c r="E1873" s="284"/>
      <c r="F1873" s="284"/>
      <c r="G1873" s="284"/>
      <c r="H1873" s="284"/>
      <c r="I1873" s="284"/>
      <c r="J1873" s="375"/>
      <c r="K1873" s="375"/>
      <c r="L1873" s="375"/>
      <c r="M1873" s="368"/>
      <c r="N1873" s="368"/>
      <c r="O1873" s="370"/>
      <c r="T1873" s="349"/>
      <c r="V1873" s="378"/>
      <c r="W1873" s="64" ph="1"/>
      <c r="X1873" s="241"/>
      <c r="Y1873" s="284"/>
      <c r="Z1873" s="207"/>
      <c r="AA1873" s="284"/>
      <c r="AB1873" s="284"/>
      <c r="AC1873" s="284"/>
      <c r="AD1873" s="284"/>
      <c r="AE1873" s="284"/>
      <c r="AF1873" s="284"/>
      <c r="AG1873" s="284"/>
    </row>
    <row r="1874" spans="1:33" ht="26.4">
      <c r="A1874" s="284"/>
      <c r="B1874" s="284"/>
      <c r="C1874" s="284"/>
      <c r="D1874" s="284"/>
      <c r="E1874" s="284"/>
      <c r="F1874" s="284"/>
      <c r="G1874" s="284"/>
      <c r="H1874" s="284"/>
      <c r="I1874" s="284"/>
      <c r="J1874" s="375"/>
      <c r="K1874" s="375"/>
      <c r="L1874" s="375"/>
      <c r="M1874" s="368"/>
      <c r="N1874" s="368"/>
      <c r="O1874" s="370"/>
      <c r="T1874" s="349"/>
      <c r="V1874" s="378"/>
      <c r="W1874" s="64" ph="1"/>
      <c r="X1874" s="241"/>
      <c r="Y1874" s="284"/>
      <c r="Z1874" s="207"/>
      <c r="AA1874" s="284"/>
      <c r="AB1874" s="284"/>
      <c r="AC1874" s="284"/>
      <c r="AD1874" s="284"/>
      <c r="AE1874" s="284"/>
      <c r="AF1874" s="284"/>
      <c r="AG1874" s="284"/>
    </row>
    <row r="1875" spans="1:33" ht="26.4">
      <c r="A1875" s="284"/>
      <c r="B1875" s="284"/>
      <c r="C1875" s="284"/>
      <c r="D1875" s="284"/>
      <c r="E1875" s="284"/>
      <c r="F1875" s="284"/>
      <c r="G1875" s="284"/>
      <c r="H1875" s="284"/>
      <c r="I1875" s="284"/>
      <c r="J1875" s="375"/>
      <c r="K1875" s="375"/>
      <c r="L1875" s="375"/>
      <c r="M1875" s="368"/>
      <c r="N1875" s="368"/>
      <c r="O1875" s="370"/>
      <c r="T1875" s="349"/>
      <c r="V1875" s="378"/>
      <c r="W1875" s="64" ph="1"/>
      <c r="X1875" s="241"/>
      <c r="Y1875" s="284"/>
      <c r="Z1875" s="207"/>
      <c r="AA1875" s="284"/>
      <c r="AB1875" s="284"/>
      <c r="AC1875" s="284"/>
      <c r="AD1875" s="284"/>
      <c r="AE1875" s="284"/>
      <c r="AF1875" s="284"/>
      <c r="AG1875" s="284"/>
    </row>
    <row r="1876" spans="1:33" ht="26.4">
      <c r="A1876" s="284"/>
      <c r="B1876" s="284"/>
      <c r="C1876" s="284"/>
      <c r="D1876" s="284"/>
      <c r="E1876" s="284"/>
      <c r="F1876" s="284"/>
      <c r="G1876" s="284"/>
      <c r="H1876" s="284"/>
      <c r="I1876" s="284"/>
      <c r="J1876" s="375"/>
      <c r="K1876" s="375"/>
      <c r="L1876" s="375"/>
      <c r="M1876" s="368"/>
      <c r="N1876" s="368"/>
      <c r="O1876" s="370"/>
      <c r="T1876" s="349"/>
      <c r="V1876" s="378"/>
      <c r="W1876" s="64" ph="1"/>
      <c r="X1876" s="241"/>
      <c r="Y1876" s="284"/>
      <c r="Z1876" s="207"/>
      <c r="AA1876" s="284"/>
      <c r="AB1876" s="284"/>
      <c r="AC1876" s="284"/>
      <c r="AD1876" s="284"/>
      <c r="AE1876" s="284"/>
      <c r="AF1876" s="284"/>
      <c r="AG1876" s="284"/>
    </row>
    <row r="1877" spans="1:33" ht="26.4">
      <c r="A1877" s="284"/>
      <c r="B1877" s="284"/>
      <c r="C1877" s="284"/>
      <c r="D1877" s="284"/>
      <c r="E1877" s="284"/>
      <c r="F1877" s="284"/>
      <c r="G1877" s="284"/>
      <c r="H1877" s="284"/>
      <c r="I1877" s="284"/>
      <c r="J1877" s="375"/>
      <c r="K1877" s="375"/>
      <c r="L1877" s="375"/>
      <c r="M1877" s="368"/>
      <c r="N1877" s="368"/>
      <c r="O1877" s="370"/>
      <c r="T1877" s="349"/>
      <c r="V1877" s="378"/>
      <c r="W1877" s="64" ph="1"/>
      <c r="X1877" s="241"/>
      <c r="Y1877" s="284"/>
      <c r="Z1877" s="207"/>
      <c r="AA1877" s="284"/>
      <c r="AB1877" s="284"/>
      <c r="AC1877" s="284"/>
      <c r="AD1877" s="284"/>
      <c r="AE1877" s="284"/>
      <c r="AF1877" s="284"/>
      <c r="AG1877" s="284"/>
    </row>
    <row r="1878" spans="1:33" ht="26.4">
      <c r="A1878" s="284"/>
      <c r="B1878" s="284"/>
      <c r="C1878" s="284"/>
      <c r="D1878" s="284"/>
      <c r="E1878" s="284"/>
      <c r="F1878" s="284"/>
      <c r="G1878" s="284"/>
      <c r="H1878" s="284"/>
      <c r="I1878" s="284"/>
      <c r="J1878" s="375"/>
      <c r="K1878" s="375"/>
      <c r="L1878" s="375"/>
      <c r="M1878" s="368"/>
      <c r="N1878" s="368"/>
      <c r="O1878" s="370"/>
      <c r="T1878" s="349"/>
      <c r="V1878" s="378"/>
      <c r="W1878" s="64" ph="1"/>
      <c r="X1878" s="241"/>
      <c r="Y1878" s="284"/>
      <c r="Z1878" s="207"/>
      <c r="AA1878" s="284"/>
      <c r="AB1878" s="284"/>
      <c r="AC1878" s="284"/>
      <c r="AD1878" s="284"/>
      <c r="AE1878" s="284"/>
      <c r="AF1878" s="284"/>
      <c r="AG1878" s="284"/>
    </row>
    <row r="1879" spans="1:33" ht="26.4">
      <c r="A1879" s="284"/>
      <c r="B1879" s="284"/>
      <c r="C1879" s="284"/>
      <c r="D1879" s="284"/>
      <c r="E1879" s="284"/>
      <c r="F1879" s="284"/>
      <c r="G1879" s="284"/>
      <c r="H1879" s="284"/>
      <c r="I1879" s="284"/>
      <c r="J1879" s="375"/>
      <c r="K1879" s="375"/>
      <c r="L1879" s="375"/>
      <c r="M1879" s="368"/>
      <c r="N1879" s="368"/>
      <c r="O1879" s="370"/>
      <c r="T1879" s="349"/>
      <c r="V1879" s="378"/>
      <c r="W1879" s="64" ph="1"/>
      <c r="X1879" s="241"/>
      <c r="Y1879" s="284"/>
      <c r="Z1879" s="207"/>
      <c r="AA1879" s="284"/>
      <c r="AB1879" s="284"/>
      <c r="AC1879" s="284"/>
      <c r="AD1879" s="284"/>
      <c r="AE1879" s="284"/>
      <c r="AF1879" s="284"/>
      <c r="AG1879" s="284"/>
    </row>
    <row r="1880" spans="1:33" ht="26.4">
      <c r="A1880" s="284"/>
      <c r="B1880" s="284"/>
      <c r="C1880" s="284"/>
      <c r="D1880" s="284"/>
      <c r="E1880" s="284"/>
      <c r="F1880" s="284"/>
      <c r="G1880" s="284"/>
      <c r="H1880" s="284"/>
      <c r="I1880" s="284"/>
      <c r="J1880" s="375"/>
      <c r="K1880" s="375"/>
      <c r="L1880" s="375"/>
      <c r="M1880" s="368"/>
      <c r="N1880" s="368"/>
      <c r="O1880" s="370"/>
      <c r="T1880" s="349"/>
      <c r="V1880" s="378"/>
      <c r="W1880" s="64" ph="1"/>
      <c r="X1880" s="241"/>
      <c r="Y1880" s="284"/>
      <c r="Z1880" s="207"/>
      <c r="AA1880" s="284"/>
      <c r="AB1880" s="284"/>
      <c r="AC1880" s="284"/>
      <c r="AD1880" s="284"/>
      <c r="AE1880" s="284"/>
      <c r="AF1880" s="284"/>
      <c r="AG1880" s="284"/>
    </row>
    <row r="1881" spans="1:33" ht="26.4">
      <c r="A1881" s="284"/>
      <c r="B1881" s="284"/>
      <c r="C1881" s="284"/>
      <c r="D1881" s="284"/>
      <c r="E1881" s="284"/>
      <c r="F1881" s="284"/>
      <c r="G1881" s="284"/>
      <c r="H1881" s="284"/>
      <c r="I1881" s="284"/>
      <c r="J1881" s="375"/>
      <c r="K1881" s="375"/>
      <c r="L1881" s="375"/>
      <c r="M1881" s="368"/>
      <c r="N1881" s="368"/>
      <c r="O1881" s="370"/>
      <c r="T1881" s="349"/>
      <c r="V1881" s="378"/>
      <c r="W1881" s="64" ph="1"/>
      <c r="X1881" s="241"/>
      <c r="Y1881" s="284"/>
      <c r="Z1881" s="207"/>
      <c r="AA1881" s="284"/>
      <c r="AB1881" s="284"/>
      <c r="AC1881" s="284"/>
      <c r="AD1881" s="284"/>
      <c r="AE1881" s="284"/>
      <c r="AF1881" s="284"/>
      <c r="AG1881" s="284"/>
    </row>
    <row r="1882" spans="1:33" ht="26.4">
      <c r="A1882" s="284"/>
      <c r="B1882" s="284"/>
      <c r="C1882" s="284"/>
      <c r="D1882" s="284"/>
      <c r="E1882" s="284"/>
      <c r="F1882" s="284"/>
      <c r="G1882" s="284"/>
      <c r="H1882" s="284"/>
      <c r="I1882" s="284"/>
      <c r="J1882" s="375"/>
      <c r="K1882" s="375"/>
      <c r="L1882" s="375"/>
      <c r="M1882" s="368"/>
      <c r="N1882" s="368"/>
      <c r="O1882" s="370"/>
      <c r="T1882" s="349"/>
      <c r="V1882" s="378"/>
      <c r="W1882" s="64" ph="1"/>
      <c r="X1882" s="241"/>
      <c r="Y1882" s="284"/>
      <c r="Z1882" s="207"/>
      <c r="AA1882" s="284"/>
      <c r="AB1882" s="284"/>
      <c r="AC1882" s="284"/>
      <c r="AD1882" s="284"/>
      <c r="AE1882" s="284"/>
      <c r="AF1882" s="284"/>
      <c r="AG1882" s="284"/>
    </row>
    <row r="1883" spans="1:33" ht="26.4">
      <c r="A1883" s="284"/>
      <c r="B1883" s="284"/>
      <c r="C1883" s="284"/>
      <c r="D1883" s="284"/>
      <c r="E1883" s="284"/>
      <c r="F1883" s="284"/>
      <c r="G1883" s="284"/>
      <c r="H1883" s="284"/>
      <c r="I1883" s="284"/>
      <c r="J1883" s="375"/>
      <c r="K1883" s="375"/>
      <c r="L1883" s="375"/>
      <c r="M1883" s="368"/>
      <c r="N1883" s="368"/>
      <c r="O1883" s="370"/>
      <c r="T1883" s="349"/>
      <c r="V1883" s="378"/>
      <c r="W1883" s="64" ph="1"/>
      <c r="X1883" s="241"/>
      <c r="Y1883" s="284"/>
      <c r="Z1883" s="207"/>
      <c r="AA1883" s="284"/>
      <c r="AB1883" s="284"/>
      <c r="AC1883" s="284"/>
      <c r="AD1883" s="284"/>
      <c r="AE1883" s="284"/>
      <c r="AF1883" s="284"/>
      <c r="AG1883" s="284"/>
    </row>
    <row r="1884" spans="1:33" ht="26.4">
      <c r="A1884" s="284"/>
      <c r="B1884" s="284"/>
      <c r="C1884" s="284"/>
      <c r="D1884" s="284"/>
      <c r="E1884" s="284"/>
      <c r="F1884" s="284"/>
      <c r="G1884" s="284"/>
      <c r="H1884" s="284"/>
      <c r="I1884" s="284"/>
      <c r="J1884" s="375"/>
      <c r="K1884" s="375"/>
      <c r="L1884" s="375"/>
      <c r="M1884" s="368"/>
      <c r="N1884" s="368"/>
      <c r="O1884" s="370"/>
      <c r="T1884" s="349"/>
      <c r="V1884" s="378"/>
      <c r="W1884" s="64" ph="1"/>
      <c r="X1884" s="241"/>
      <c r="Y1884" s="284"/>
      <c r="Z1884" s="207"/>
      <c r="AA1884" s="284"/>
      <c r="AB1884" s="284"/>
      <c r="AC1884" s="284"/>
      <c r="AD1884" s="284"/>
      <c r="AE1884" s="284"/>
      <c r="AF1884" s="284"/>
      <c r="AG1884" s="284"/>
    </row>
    <row r="1885" spans="1:33" ht="26.4">
      <c r="A1885" s="284"/>
      <c r="B1885" s="284"/>
      <c r="C1885" s="284"/>
      <c r="D1885" s="284"/>
      <c r="E1885" s="284"/>
      <c r="F1885" s="284"/>
      <c r="G1885" s="284"/>
      <c r="H1885" s="284"/>
      <c r="I1885" s="284"/>
      <c r="J1885" s="375"/>
      <c r="K1885" s="375"/>
      <c r="L1885" s="375"/>
      <c r="M1885" s="368"/>
      <c r="N1885" s="368"/>
      <c r="O1885" s="370"/>
      <c r="T1885" s="349"/>
      <c r="V1885" s="378"/>
      <c r="W1885" s="64" ph="1"/>
      <c r="X1885" s="241"/>
      <c r="Y1885" s="284"/>
      <c r="Z1885" s="207"/>
      <c r="AA1885" s="284"/>
      <c r="AB1885" s="284"/>
      <c r="AC1885" s="284"/>
      <c r="AD1885" s="284"/>
      <c r="AE1885" s="284"/>
      <c r="AF1885" s="284"/>
      <c r="AG1885" s="284"/>
    </row>
    <row r="1886" spans="1:33" ht="26.4">
      <c r="A1886" s="284"/>
      <c r="B1886" s="284"/>
      <c r="C1886" s="284"/>
      <c r="D1886" s="284"/>
      <c r="E1886" s="284"/>
      <c r="F1886" s="284"/>
      <c r="G1886" s="284"/>
      <c r="H1886" s="284"/>
      <c r="I1886" s="284"/>
      <c r="J1886" s="375"/>
      <c r="K1886" s="375"/>
      <c r="L1886" s="375"/>
      <c r="M1886" s="368"/>
      <c r="N1886" s="368"/>
      <c r="O1886" s="370"/>
      <c r="T1886" s="349"/>
      <c r="V1886" s="378"/>
      <c r="W1886" s="64" ph="1"/>
      <c r="X1886" s="241"/>
      <c r="Y1886" s="284"/>
      <c r="Z1886" s="207"/>
      <c r="AA1886" s="284"/>
      <c r="AB1886" s="284"/>
      <c r="AC1886" s="284"/>
      <c r="AD1886" s="284"/>
      <c r="AE1886" s="284"/>
      <c r="AF1886" s="284"/>
      <c r="AG1886" s="284"/>
    </row>
    <row r="1887" spans="1:33" ht="26.4">
      <c r="A1887" s="284"/>
      <c r="B1887" s="284"/>
      <c r="C1887" s="284"/>
      <c r="D1887" s="284"/>
      <c r="E1887" s="284"/>
      <c r="F1887" s="284"/>
      <c r="G1887" s="284"/>
      <c r="H1887" s="284"/>
      <c r="I1887" s="284"/>
      <c r="J1887" s="375"/>
      <c r="K1887" s="375"/>
      <c r="L1887" s="375"/>
      <c r="M1887" s="368"/>
      <c r="N1887" s="368"/>
      <c r="O1887" s="370"/>
      <c r="T1887" s="349"/>
      <c r="V1887" s="378"/>
      <c r="W1887" s="64" ph="1"/>
      <c r="X1887" s="241"/>
      <c r="Y1887" s="284"/>
      <c r="Z1887" s="207"/>
      <c r="AA1887" s="284"/>
      <c r="AB1887" s="284"/>
      <c r="AC1887" s="284"/>
      <c r="AD1887" s="284"/>
      <c r="AE1887" s="284"/>
      <c r="AF1887" s="284"/>
      <c r="AG1887" s="284"/>
    </row>
    <row r="1888" spans="1:33" ht="26.4">
      <c r="A1888" s="284"/>
      <c r="B1888" s="284"/>
      <c r="C1888" s="284"/>
      <c r="D1888" s="284"/>
      <c r="E1888" s="284"/>
      <c r="F1888" s="284"/>
      <c r="G1888" s="284"/>
      <c r="H1888" s="284"/>
      <c r="I1888" s="284"/>
      <c r="J1888" s="375"/>
      <c r="K1888" s="375"/>
      <c r="L1888" s="375"/>
      <c r="M1888" s="368"/>
      <c r="N1888" s="368"/>
      <c r="O1888" s="370"/>
      <c r="T1888" s="349"/>
      <c r="V1888" s="378"/>
      <c r="W1888" s="64" ph="1"/>
      <c r="X1888" s="241"/>
      <c r="Y1888" s="284"/>
      <c r="Z1888" s="207"/>
      <c r="AA1888" s="284"/>
      <c r="AB1888" s="284"/>
      <c r="AC1888" s="284"/>
      <c r="AD1888" s="284"/>
      <c r="AE1888" s="284"/>
      <c r="AF1888" s="284"/>
      <c r="AG1888" s="284"/>
    </row>
    <row r="1889" spans="1:33" ht="26.4">
      <c r="A1889" s="284"/>
      <c r="B1889" s="284"/>
      <c r="C1889" s="284"/>
      <c r="D1889" s="284"/>
      <c r="E1889" s="284"/>
      <c r="F1889" s="284"/>
      <c r="G1889" s="284"/>
      <c r="H1889" s="284"/>
      <c r="I1889" s="284"/>
      <c r="J1889" s="375"/>
      <c r="K1889" s="375"/>
      <c r="L1889" s="375"/>
      <c r="M1889" s="368"/>
      <c r="N1889" s="368"/>
      <c r="O1889" s="370"/>
      <c r="T1889" s="349"/>
      <c r="V1889" s="378"/>
      <c r="W1889" s="64" ph="1"/>
      <c r="X1889" s="241"/>
      <c r="Y1889" s="284"/>
      <c r="Z1889" s="207"/>
      <c r="AA1889" s="284"/>
      <c r="AB1889" s="284"/>
      <c r="AC1889" s="284"/>
      <c r="AD1889" s="284"/>
      <c r="AE1889" s="284"/>
      <c r="AF1889" s="284"/>
      <c r="AG1889" s="284"/>
    </row>
    <row r="1890" spans="1:33" ht="26.4">
      <c r="A1890" s="284"/>
      <c r="B1890" s="284"/>
      <c r="C1890" s="284"/>
      <c r="D1890" s="284"/>
      <c r="E1890" s="284"/>
      <c r="F1890" s="284"/>
      <c r="G1890" s="284"/>
      <c r="H1890" s="284"/>
      <c r="I1890" s="284"/>
      <c r="J1890" s="375"/>
      <c r="K1890" s="375"/>
      <c r="L1890" s="375"/>
      <c r="M1890" s="368"/>
      <c r="N1890" s="368"/>
      <c r="O1890" s="370"/>
      <c r="T1890" s="349"/>
      <c r="V1890" s="378"/>
      <c r="W1890" s="64" ph="1"/>
      <c r="X1890" s="241"/>
      <c r="Y1890" s="284"/>
      <c r="Z1890" s="207"/>
      <c r="AA1890" s="284"/>
      <c r="AB1890" s="284"/>
      <c r="AC1890" s="284"/>
      <c r="AD1890" s="284"/>
      <c r="AE1890" s="284"/>
      <c r="AF1890" s="284"/>
      <c r="AG1890" s="284"/>
    </row>
    <row r="1891" spans="1:33" ht="26.4">
      <c r="A1891" s="284"/>
      <c r="B1891" s="284"/>
      <c r="C1891" s="284"/>
      <c r="D1891" s="284"/>
      <c r="E1891" s="284"/>
      <c r="F1891" s="284"/>
      <c r="G1891" s="284"/>
      <c r="H1891" s="284"/>
      <c r="I1891" s="284"/>
      <c r="J1891" s="375"/>
      <c r="K1891" s="375"/>
      <c r="L1891" s="375"/>
      <c r="M1891" s="368"/>
      <c r="N1891" s="368"/>
      <c r="O1891" s="370"/>
      <c r="T1891" s="349"/>
      <c r="V1891" s="378"/>
      <c r="W1891" s="64" ph="1"/>
      <c r="X1891" s="241"/>
      <c r="Y1891" s="284"/>
      <c r="Z1891" s="207"/>
      <c r="AA1891" s="284"/>
      <c r="AB1891" s="284"/>
      <c r="AC1891" s="284"/>
      <c r="AD1891" s="284"/>
      <c r="AE1891" s="284"/>
      <c r="AF1891" s="284"/>
      <c r="AG1891" s="284"/>
    </row>
    <row r="1892" spans="1:33" ht="26.4">
      <c r="A1892" s="284"/>
      <c r="B1892" s="284"/>
      <c r="C1892" s="284"/>
      <c r="D1892" s="284"/>
      <c r="E1892" s="284"/>
      <c r="F1892" s="284"/>
      <c r="G1892" s="284"/>
      <c r="H1892" s="284"/>
      <c r="I1892" s="284"/>
      <c r="J1892" s="375"/>
      <c r="K1892" s="375"/>
      <c r="L1892" s="375"/>
      <c r="M1892" s="368"/>
      <c r="N1892" s="368"/>
      <c r="O1892" s="370"/>
      <c r="T1892" s="349"/>
      <c r="V1892" s="378"/>
      <c r="W1892" s="64" ph="1"/>
      <c r="X1892" s="241"/>
      <c r="Y1892" s="284"/>
      <c r="Z1892" s="207"/>
      <c r="AA1892" s="284"/>
      <c r="AB1892" s="284"/>
      <c r="AC1892" s="284"/>
      <c r="AD1892" s="284"/>
      <c r="AE1892" s="284"/>
      <c r="AF1892" s="284"/>
      <c r="AG1892" s="284"/>
    </row>
    <row r="1893" spans="1:33" ht="26.4">
      <c r="A1893" s="284"/>
      <c r="B1893" s="284"/>
      <c r="C1893" s="284"/>
      <c r="D1893" s="284"/>
      <c r="E1893" s="284"/>
      <c r="F1893" s="284"/>
      <c r="G1893" s="284"/>
      <c r="H1893" s="284"/>
      <c r="I1893" s="284"/>
      <c r="J1893" s="375"/>
      <c r="K1893" s="375"/>
      <c r="L1893" s="375"/>
      <c r="M1893" s="368"/>
      <c r="N1893" s="368"/>
      <c r="O1893" s="370"/>
      <c r="T1893" s="349"/>
      <c r="V1893" s="378"/>
      <c r="W1893" s="64" ph="1"/>
      <c r="X1893" s="241"/>
      <c r="Y1893" s="284"/>
      <c r="Z1893" s="207"/>
      <c r="AA1893" s="284"/>
      <c r="AB1893" s="284"/>
      <c r="AC1893" s="284"/>
      <c r="AD1893" s="284"/>
      <c r="AE1893" s="284"/>
      <c r="AF1893" s="284"/>
      <c r="AG1893" s="284"/>
    </row>
    <row r="1894" spans="1:33" ht="26.4">
      <c r="A1894" s="284"/>
      <c r="B1894" s="284"/>
      <c r="C1894" s="284"/>
      <c r="D1894" s="284"/>
      <c r="E1894" s="284"/>
      <c r="F1894" s="284"/>
      <c r="G1894" s="284"/>
      <c r="H1894" s="284"/>
      <c r="I1894" s="284"/>
      <c r="J1894" s="375"/>
      <c r="K1894" s="375"/>
      <c r="L1894" s="375"/>
      <c r="M1894" s="368"/>
      <c r="N1894" s="368"/>
      <c r="O1894" s="370"/>
      <c r="T1894" s="349"/>
      <c r="V1894" s="378"/>
      <c r="W1894" s="64" ph="1"/>
      <c r="X1894" s="241"/>
      <c r="Y1894" s="284"/>
      <c r="Z1894" s="207"/>
      <c r="AA1894" s="284"/>
      <c r="AB1894" s="284"/>
      <c r="AC1894" s="284"/>
      <c r="AD1894" s="284"/>
      <c r="AE1894" s="284"/>
      <c r="AF1894" s="284"/>
      <c r="AG1894" s="284"/>
    </row>
    <row r="1895" spans="1:33" ht="26.4">
      <c r="A1895" s="284"/>
      <c r="B1895" s="284"/>
      <c r="C1895" s="284"/>
      <c r="D1895" s="284"/>
      <c r="E1895" s="284"/>
      <c r="F1895" s="284"/>
      <c r="G1895" s="284"/>
      <c r="H1895" s="284"/>
      <c r="I1895" s="284"/>
      <c r="J1895" s="375"/>
      <c r="K1895" s="375"/>
      <c r="L1895" s="375"/>
      <c r="M1895" s="368"/>
      <c r="N1895" s="368"/>
      <c r="O1895" s="370"/>
      <c r="T1895" s="349"/>
      <c r="V1895" s="378"/>
      <c r="W1895" s="64" ph="1"/>
      <c r="X1895" s="241"/>
      <c r="Y1895" s="284"/>
      <c r="Z1895" s="207"/>
      <c r="AA1895" s="284"/>
      <c r="AB1895" s="284"/>
      <c r="AC1895" s="284"/>
      <c r="AD1895" s="284"/>
      <c r="AE1895" s="284"/>
      <c r="AF1895" s="284"/>
      <c r="AG1895" s="284"/>
    </row>
    <row r="1896" spans="1:33" ht="26.4">
      <c r="A1896" s="284"/>
      <c r="B1896" s="284"/>
      <c r="C1896" s="284"/>
      <c r="D1896" s="284"/>
      <c r="E1896" s="284"/>
      <c r="F1896" s="284"/>
      <c r="G1896" s="284"/>
      <c r="H1896" s="284"/>
      <c r="I1896" s="284"/>
      <c r="J1896" s="375"/>
      <c r="K1896" s="375"/>
      <c r="L1896" s="375"/>
      <c r="M1896" s="368"/>
      <c r="N1896" s="368"/>
      <c r="O1896" s="370"/>
      <c r="T1896" s="349"/>
      <c r="V1896" s="378"/>
      <c r="W1896" s="64" ph="1"/>
      <c r="X1896" s="241"/>
      <c r="Y1896" s="284"/>
      <c r="Z1896" s="207"/>
      <c r="AA1896" s="284"/>
      <c r="AB1896" s="284"/>
      <c r="AC1896" s="284"/>
      <c r="AD1896" s="284"/>
      <c r="AE1896" s="284"/>
      <c r="AF1896" s="284"/>
      <c r="AG1896" s="284"/>
    </row>
    <row r="1897" spans="1:33" ht="26.4">
      <c r="A1897" s="284"/>
      <c r="B1897" s="284"/>
      <c r="C1897" s="284"/>
      <c r="D1897" s="284"/>
      <c r="E1897" s="284"/>
      <c r="F1897" s="284"/>
      <c r="G1897" s="284"/>
      <c r="H1897" s="284"/>
      <c r="I1897" s="284"/>
      <c r="J1897" s="375"/>
      <c r="K1897" s="375"/>
      <c r="L1897" s="375"/>
      <c r="M1897" s="368"/>
      <c r="N1897" s="368"/>
      <c r="O1897" s="370"/>
      <c r="T1897" s="349"/>
      <c r="V1897" s="378"/>
      <c r="W1897" s="64" ph="1"/>
      <c r="X1897" s="241"/>
      <c r="Y1897" s="284"/>
      <c r="Z1897" s="207"/>
      <c r="AA1897" s="284"/>
      <c r="AB1897" s="284"/>
      <c r="AC1897" s="284"/>
      <c r="AD1897" s="284"/>
      <c r="AE1897" s="284"/>
      <c r="AF1897" s="284"/>
      <c r="AG1897" s="284"/>
    </row>
    <row r="1898" spans="1:33" ht="26.4">
      <c r="A1898" s="284"/>
      <c r="B1898" s="284"/>
      <c r="C1898" s="284"/>
      <c r="D1898" s="284"/>
      <c r="E1898" s="284"/>
      <c r="F1898" s="284"/>
      <c r="G1898" s="284"/>
      <c r="H1898" s="284"/>
      <c r="I1898" s="284"/>
      <c r="J1898" s="375"/>
      <c r="K1898" s="375"/>
      <c r="L1898" s="375"/>
      <c r="M1898" s="368"/>
      <c r="N1898" s="368"/>
      <c r="O1898" s="370"/>
      <c r="T1898" s="349"/>
      <c r="V1898" s="378"/>
      <c r="W1898" s="64" ph="1"/>
      <c r="X1898" s="241"/>
      <c r="Y1898" s="284"/>
      <c r="Z1898" s="207"/>
      <c r="AA1898" s="284"/>
      <c r="AB1898" s="284"/>
      <c r="AC1898" s="284"/>
      <c r="AD1898" s="284"/>
      <c r="AE1898" s="284"/>
      <c r="AF1898" s="284"/>
      <c r="AG1898" s="284"/>
    </row>
    <row r="1899" spans="1:33" ht="26.4">
      <c r="A1899" s="284"/>
      <c r="B1899" s="284"/>
      <c r="C1899" s="284"/>
      <c r="D1899" s="284"/>
      <c r="E1899" s="284"/>
      <c r="F1899" s="284"/>
      <c r="G1899" s="284"/>
      <c r="H1899" s="284"/>
      <c r="I1899" s="284"/>
      <c r="J1899" s="375"/>
      <c r="K1899" s="375"/>
      <c r="L1899" s="375"/>
      <c r="M1899" s="368"/>
      <c r="N1899" s="368"/>
      <c r="O1899" s="370"/>
      <c r="T1899" s="349"/>
      <c r="V1899" s="378"/>
      <c r="W1899" s="64" ph="1"/>
      <c r="X1899" s="241"/>
      <c r="Y1899" s="284"/>
      <c r="Z1899" s="207"/>
      <c r="AA1899" s="284"/>
      <c r="AB1899" s="284"/>
      <c r="AC1899" s="284"/>
      <c r="AD1899" s="284"/>
      <c r="AE1899" s="284"/>
      <c r="AF1899" s="284"/>
      <c r="AG1899" s="284"/>
    </row>
    <row r="1900" spans="1:33" ht="26.4">
      <c r="A1900" s="284"/>
      <c r="B1900" s="284"/>
      <c r="C1900" s="284"/>
      <c r="D1900" s="284"/>
      <c r="E1900" s="284"/>
      <c r="F1900" s="284"/>
      <c r="G1900" s="284"/>
      <c r="H1900" s="284"/>
      <c r="I1900" s="284"/>
      <c r="J1900" s="375"/>
      <c r="K1900" s="375"/>
      <c r="L1900" s="375"/>
      <c r="M1900" s="368"/>
      <c r="N1900" s="368"/>
      <c r="O1900" s="370"/>
      <c r="T1900" s="349"/>
      <c r="V1900" s="378"/>
      <c r="W1900" s="64" ph="1"/>
      <c r="X1900" s="241"/>
      <c r="Y1900" s="284"/>
      <c r="Z1900" s="207"/>
      <c r="AA1900" s="284"/>
      <c r="AB1900" s="284"/>
      <c r="AC1900" s="284"/>
      <c r="AD1900" s="284"/>
      <c r="AE1900" s="284"/>
      <c r="AF1900" s="284"/>
      <c r="AG1900" s="284"/>
    </row>
    <row r="1901" spans="1:33" ht="26.4">
      <c r="A1901" s="284"/>
      <c r="B1901" s="284"/>
      <c r="C1901" s="284"/>
      <c r="D1901" s="284"/>
      <c r="E1901" s="284"/>
      <c r="F1901" s="284"/>
      <c r="G1901" s="284"/>
      <c r="H1901" s="284"/>
      <c r="I1901" s="284"/>
      <c r="J1901" s="375"/>
      <c r="K1901" s="375"/>
      <c r="L1901" s="375"/>
      <c r="M1901" s="368"/>
      <c r="N1901" s="368"/>
      <c r="O1901" s="370"/>
      <c r="T1901" s="349"/>
      <c r="V1901" s="378"/>
      <c r="W1901" s="64" ph="1"/>
      <c r="X1901" s="241"/>
      <c r="Y1901" s="284"/>
      <c r="Z1901" s="207"/>
      <c r="AA1901" s="284"/>
      <c r="AB1901" s="284"/>
      <c r="AC1901" s="284"/>
      <c r="AD1901" s="284"/>
      <c r="AE1901" s="284"/>
      <c r="AF1901" s="284"/>
      <c r="AG1901" s="284"/>
    </row>
    <row r="1902" spans="1:33" ht="26.4">
      <c r="A1902" s="284"/>
      <c r="B1902" s="284"/>
      <c r="C1902" s="284"/>
      <c r="D1902" s="284"/>
      <c r="E1902" s="284"/>
      <c r="F1902" s="284"/>
      <c r="G1902" s="284"/>
      <c r="H1902" s="284"/>
      <c r="I1902" s="284"/>
      <c r="J1902" s="375"/>
      <c r="K1902" s="375"/>
      <c r="L1902" s="375"/>
      <c r="M1902" s="368"/>
      <c r="N1902" s="368"/>
      <c r="O1902" s="370"/>
      <c r="T1902" s="349"/>
      <c r="V1902" s="378"/>
      <c r="W1902" s="64" ph="1"/>
      <c r="X1902" s="241"/>
      <c r="Y1902" s="284"/>
      <c r="Z1902" s="207"/>
      <c r="AA1902" s="284"/>
      <c r="AB1902" s="284"/>
      <c r="AC1902" s="284"/>
      <c r="AD1902" s="284"/>
      <c r="AE1902" s="284"/>
      <c r="AF1902" s="284"/>
      <c r="AG1902" s="284"/>
    </row>
    <row r="1903" spans="1:33" ht="26.4">
      <c r="A1903" s="284"/>
      <c r="B1903" s="284"/>
      <c r="C1903" s="284"/>
      <c r="D1903" s="284"/>
      <c r="E1903" s="284"/>
      <c r="F1903" s="284"/>
      <c r="G1903" s="284"/>
      <c r="H1903" s="284"/>
      <c r="I1903" s="284"/>
      <c r="J1903" s="375"/>
      <c r="K1903" s="375"/>
      <c r="L1903" s="375"/>
      <c r="M1903" s="368"/>
      <c r="N1903" s="368"/>
      <c r="O1903" s="370"/>
      <c r="T1903" s="349"/>
      <c r="V1903" s="378"/>
      <c r="W1903" s="64" ph="1"/>
      <c r="X1903" s="241"/>
      <c r="Y1903" s="284"/>
      <c r="Z1903" s="207"/>
      <c r="AA1903" s="284"/>
      <c r="AB1903" s="284"/>
      <c r="AC1903" s="284"/>
      <c r="AD1903" s="284"/>
      <c r="AE1903" s="284"/>
      <c r="AF1903" s="284"/>
      <c r="AG1903" s="284"/>
    </row>
    <row r="1904" spans="1:33" ht="26.4">
      <c r="A1904" s="284"/>
      <c r="B1904" s="284"/>
      <c r="C1904" s="284"/>
      <c r="D1904" s="284"/>
      <c r="E1904" s="284"/>
      <c r="F1904" s="284"/>
      <c r="G1904" s="284"/>
      <c r="H1904" s="284"/>
      <c r="I1904" s="284"/>
      <c r="J1904" s="375"/>
      <c r="K1904" s="375"/>
      <c r="L1904" s="375"/>
      <c r="M1904" s="368"/>
      <c r="N1904" s="368"/>
      <c r="O1904" s="370"/>
      <c r="T1904" s="349"/>
      <c r="V1904" s="378"/>
      <c r="W1904" s="64" ph="1"/>
      <c r="X1904" s="241"/>
      <c r="Y1904" s="284"/>
      <c r="Z1904" s="207"/>
      <c r="AA1904" s="284"/>
      <c r="AB1904" s="284"/>
      <c r="AC1904" s="284"/>
      <c r="AD1904" s="284"/>
      <c r="AE1904" s="284"/>
      <c r="AF1904" s="284"/>
      <c r="AG1904" s="284"/>
    </row>
    <row r="1905" spans="1:33" ht="26.4">
      <c r="A1905" s="284"/>
      <c r="B1905" s="284"/>
      <c r="C1905" s="284"/>
      <c r="D1905" s="284"/>
      <c r="E1905" s="284"/>
      <c r="F1905" s="284"/>
      <c r="G1905" s="284"/>
      <c r="H1905" s="284"/>
      <c r="I1905" s="284"/>
      <c r="J1905" s="375"/>
      <c r="K1905" s="375"/>
      <c r="L1905" s="375"/>
      <c r="M1905" s="368"/>
      <c r="N1905" s="368"/>
      <c r="O1905" s="370"/>
      <c r="T1905" s="349"/>
      <c r="V1905" s="378"/>
      <c r="W1905" s="64" ph="1"/>
      <c r="X1905" s="241"/>
      <c r="Y1905" s="284"/>
      <c r="Z1905" s="207"/>
      <c r="AA1905" s="284"/>
      <c r="AB1905" s="284"/>
      <c r="AC1905" s="284"/>
      <c r="AD1905" s="284"/>
      <c r="AE1905" s="284"/>
      <c r="AF1905" s="284"/>
      <c r="AG1905" s="284"/>
    </row>
    <row r="1906" spans="1:33" ht="26.4">
      <c r="A1906" s="284"/>
      <c r="B1906" s="284"/>
      <c r="C1906" s="284"/>
      <c r="D1906" s="284"/>
      <c r="E1906" s="284"/>
      <c r="F1906" s="284"/>
      <c r="G1906" s="284"/>
      <c r="H1906" s="284"/>
      <c r="I1906" s="284"/>
      <c r="J1906" s="375"/>
      <c r="K1906" s="375"/>
      <c r="L1906" s="375"/>
      <c r="M1906" s="368"/>
      <c r="N1906" s="368"/>
      <c r="O1906" s="370"/>
      <c r="T1906" s="349"/>
      <c r="V1906" s="378"/>
      <c r="W1906" s="64" ph="1"/>
      <c r="X1906" s="241"/>
      <c r="Y1906" s="284"/>
      <c r="Z1906" s="207"/>
      <c r="AA1906" s="284"/>
      <c r="AB1906" s="284"/>
      <c r="AC1906" s="284"/>
      <c r="AD1906" s="284"/>
      <c r="AE1906" s="284"/>
      <c r="AF1906" s="284"/>
      <c r="AG1906" s="284"/>
    </row>
    <row r="1907" spans="1:33" ht="26.4">
      <c r="A1907" s="284"/>
      <c r="B1907" s="284"/>
      <c r="C1907" s="284"/>
      <c r="D1907" s="284"/>
      <c r="E1907" s="284"/>
      <c r="F1907" s="284"/>
      <c r="G1907" s="284"/>
      <c r="H1907" s="284"/>
      <c r="I1907" s="284"/>
      <c r="J1907" s="375"/>
      <c r="K1907" s="375"/>
      <c r="L1907" s="375"/>
      <c r="M1907" s="368"/>
      <c r="N1907" s="368"/>
      <c r="O1907" s="370"/>
      <c r="T1907" s="349"/>
      <c r="V1907" s="378"/>
      <c r="W1907" s="64" ph="1"/>
      <c r="X1907" s="241"/>
      <c r="Y1907" s="284"/>
      <c r="Z1907" s="207"/>
      <c r="AA1907" s="284"/>
      <c r="AB1907" s="284"/>
      <c r="AC1907" s="284"/>
      <c r="AD1907" s="284"/>
      <c r="AE1907" s="284"/>
      <c r="AF1907" s="284"/>
      <c r="AG1907" s="284"/>
    </row>
    <row r="1908" spans="1:33" ht="26.4">
      <c r="A1908" s="284"/>
      <c r="B1908" s="284"/>
      <c r="C1908" s="284"/>
      <c r="D1908" s="284"/>
      <c r="E1908" s="284"/>
      <c r="F1908" s="284"/>
      <c r="G1908" s="284"/>
      <c r="H1908" s="284"/>
      <c r="I1908" s="284"/>
      <c r="J1908" s="375"/>
      <c r="K1908" s="375"/>
      <c r="L1908" s="375"/>
      <c r="M1908" s="368"/>
      <c r="N1908" s="368"/>
      <c r="O1908" s="370"/>
      <c r="T1908" s="349"/>
      <c r="V1908" s="378"/>
      <c r="W1908" s="64" ph="1"/>
      <c r="X1908" s="241"/>
      <c r="Y1908" s="284"/>
      <c r="Z1908" s="207"/>
      <c r="AA1908" s="284"/>
      <c r="AB1908" s="284"/>
      <c r="AC1908" s="284"/>
      <c r="AD1908" s="284"/>
      <c r="AE1908" s="284"/>
      <c r="AF1908" s="284"/>
      <c r="AG1908" s="284"/>
    </row>
    <row r="1909" spans="1:33" ht="26.4">
      <c r="A1909" s="284"/>
      <c r="B1909" s="284"/>
      <c r="C1909" s="284"/>
      <c r="D1909" s="284"/>
      <c r="E1909" s="284"/>
      <c r="F1909" s="284"/>
      <c r="G1909" s="284"/>
      <c r="H1909" s="284"/>
      <c r="I1909" s="284"/>
      <c r="J1909" s="375"/>
      <c r="K1909" s="375"/>
      <c r="L1909" s="375"/>
      <c r="M1909" s="368"/>
      <c r="N1909" s="368"/>
      <c r="O1909" s="370"/>
      <c r="T1909" s="349"/>
      <c r="V1909" s="378"/>
      <c r="W1909" s="64" ph="1"/>
      <c r="X1909" s="241"/>
      <c r="Y1909" s="284"/>
      <c r="Z1909" s="207"/>
      <c r="AA1909" s="284"/>
      <c r="AB1909" s="284"/>
      <c r="AC1909" s="284"/>
      <c r="AD1909" s="284"/>
      <c r="AE1909" s="284"/>
      <c r="AF1909" s="284"/>
      <c r="AG1909" s="284"/>
    </row>
    <row r="1910" spans="1:33" ht="26.4">
      <c r="A1910" s="284"/>
      <c r="B1910" s="284"/>
      <c r="C1910" s="284"/>
      <c r="D1910" s="284"/>
      <c r="E1910" s="284"/>
      <c r="F1910" s="284"/>
      <c r="G1910" s="284"/>
      <c r="H1910" s="284"/>
      <c r="I1910" s="284"/>
      <c r="J1910" s="375"/>
      <c r="K1910" s="375"/>
      <c r="L1910" s="375"/>
      <c r="M1910" s="368"/>
      <c r="N1910" s="368"/>
      <c r="O1910" s="370"/>
      <c r="T1910" s="349"/>
      <c r="V1910" s="378"/>
      <c r="W1910" s="64" ph="1"/>
      <c r="X1910" s="241"/>
      <c r="Y1910" s="284"/>
      <c r="Z1910" s="207"/>
      <c r="AA1910" s="284"/>
      <c r="AB1910" s="284"/>
      <c r="AC1910" s="284"/>
      <c r="AD1910" s="284"/>
      <c r="AE1910" s="284"/>
      <c r="AF1910" s="284"/>
      <c r="AG1910" s="284"/>
    </row>
    <row r="1911" spans="1:33" ht="26.4">
      <c r="A1911" s="284"/>
      <c r="B1911" s="284"/>
      <c r="C1911" s="284"/>
      <c r="D1911" s="284"/>
      <c r="E1911" s="284"/>
      <c r="F1911" s="284"/>
      <c r="G1911" s="284"/>
      <c r="H1911" s="284"/>
      <c r="I1911" s="284"/>
      <c r="J1911" s="375"/>
      <c r="K1911" s="375"/>
      <c r="L1911" s="375"/>
      <c r="M1911" s="368"/>
      <c r="N1911" s="368"/>
      <c r="O1911" s="370"/>
      <c r="T1911" s="349"/>
      <c r="V1911" s="378"/>
      <c r="W1911" s="64" ph="1"/>
      <c r="X1911" s="241"/>
      <c r="Y1911" s="284"/>
      <c r="Z1911" s="207"/>
      <c r="AA1911" s="284"/>
      <c r="AB1911" s="284"/>
      <c r="AC1911" s="284"/>
      <c r="AD1911" s="284"/>
      <c r="AE1911" s="284"/>
      <c r="AF1911" s="284"/>
      <c r="AG1911" s="284"/>
    </row>
    <row r="1912" spans="1:33" ht="26.4">
      <c r="A1912" s="284"/>
      <c r="B1912" s="284"/>
      <c r="C1912" s="284"/>
      <c r="D1912" s="284"/>
      <c r="E1912" s="284"/>
      <c r="F1912" s="284"/>
      <c r="G1912" s="284"/>
      <c r="H1912" s="284"/>
      <c r="I1912" s="284"/>
      <c r="J1912" s="375"/>
      <c r="K1912" s="375"/>
      <c r="L1912" s="375"/>
      <c r="M1912" s="368"/>
      <c r="N1912" s="368"/>
      <c r="O1912" s="370"/>
      <c r="T1912" s="349"/>
      <c r="V1912" s="378"/>
      <c r="W1912" s="64" ph="1"/>
      <c r="X1912" s="241"/>
      <c r="Y1912" s="284"/>
      <c r="Z1912" s="207"/>
      <c r="AA1912" s="284"/>
      <c r="AB1912" s="284"/>
      <c r="AC1912" s="284"/>
      <c r="AD1912" s="284"/>
      <c r="AE1912" s="284"/>
      <c r="AF1912" s="284"/>
      <c r="AG1912" s="284"/>
    </row>
    <row r="1913" spans="1:33" ht="26.4">
      <c r="A1913" s="284"/>
      <c r="B1913" s="284"/>
      <c r="C1913" s="284"/>
      <c r="D1913" s="284"/>
      <c r="E1913" s="284"/>
      <c r="F1913" s="284"/>
      <c r="G1913" s="284"/>
      <c r="H1913" s="284"/>
      <c r="I1913" s="284"/>
      <c r="J1913" s="375"/>
      <c r="K1913" s="375"/>
      <c r="L1913" s="375"/>
      <c r="M1913" s="368"/>
      <c r="N1913" s="368"/>
      <c r="O1913" s="370"/>
      <c r="T1913" s="349"/>
      <c r="V1913" s="378"/>
      <c r="W1913" s="64" ph="1"/>
      <c r="X1913" s="241"/>
      <c r="Y1913" s="284"/>
      <c r="Z1913" s="207"/>
      <c r="AA1913" s="284"/>
      <c r="AB1913" s="284"/>
      <c r="AC1913" s="284"/>
      <c r="AD1913" s="284"/>
      <c r="AE1913" s="284"/>
      <c r="AF1913" s="284"/>
      <c r="AG1913" s="284"/>
    </row>
    <row r="1914" spans="1:33" ht="26.4">
      <c r="A1914" s="284"/>
      <c r="B1914" s="284"/>
      <c r="C1914" s="284"/>
      <c r="D1914" s="284"/>
      <c r="E1914" s="284"/>
      <c r="F1914" s="284"/>
      <c r="G1914" s="284"/>
      <c r="H1914" s="284"/>
      <c r="I1914" s="284"/>
      <c r="J1914" s="375"/>
      <c r="K1914" s="375"/>
      <c r="L1914" s="375"/>
      <c r="M1914" s="368"/>
      <c r="N1914" s="368"/>
      <c r="O1914" s="370"/>
      <c r="T1914" s="349"/>
      <c r="V1914" s="378"/>
      <c r="W1914" s="64" ph="1"/>
      <c r="X1914" s="241"/>
      <c r="Y1914" s="284"/>
      <c r="Z1914" s="207"/>
      <c r="AA1914" s="284"/>
      <c r="AB1914" s="284"/>
      <c r="AC1914" s="284"/>
      <c r="AD1914" s="284"/>
      <c r="AE1914" s="284"/>
      <c r="AF1914" s="284"/>
      <c r="AG1914" s="284"/>
    </row>
    <row r="1915" spans="1:33" ht="26.4">
      <c r="A1915" s="284"/>
      <c r="B1915" s="284"/>
      <c r="C1915" s="284"/>
      <c r="D1915" s="284"/>
      <c r="E1915" s="284"/>
      <c r="F1915" s="284"/>
      <c r="G1915" s="284"/>
      <c r="H1915" s="284"/>
      <c r="I1915" s="284"/>
      <c r="J1915" s="375"/>
      <c r="K1915" s="375"/>
      <c r="L1915" s="375"/>
      <c r="M1915" s="368"/>
      <c r="N1915" s="368"/>
      <c r="O1915" s="370"/>
      <c r="T1915" s="349"/>
      <c r="V1915" s="378"/>
      <c r="W1915" s="64" ph="1"/>
      <c r="X1915" s="241"/>
      <c r="Y1915" s="284"/>
      <c r="Z1915" s="207"/>
      <c r="AA1915" s="284"/>
      <c r="AB1915" s="284"/>
      <c r="AC1915" s="284"/>
      <c r="AD1915" s="284"/>
      <c r="AE1915" s="284"/>
      <c r="AF1915" s="284"/>
      <c r="AG1915" s="284"/>
    </row>
    <row r="1916" spans="1:33" ht="26.4">
      <c r="A1916" s="284"/>
      <c r="B1916" s="284"/>
      <c r="C1916" s="284"/>
      <c r="D1916" s="284"/>
      <c r="E1916" s="284"/>
      <c r="F1916" s="284"/>
      <c r="G1916" s="284"/>
      <c r="H1916" s="284"/>
      <c r="I1916" s="284"/>
      <c r="J1916" s="375"/>
      <c r="K1916" s="375"/>
      <c r="L1916" s="375"/>
      <c r="M1916" s="368"/>
      <c r="N1916" s="368"/>
      <c r="O1916" s="370"/>
      <c r="T1916" s="349"/>
      <c r="V1916" s="378"/>
      <c r="W1916" s="64" ph="1"/>
      <c r="X1916" s="241"/>
      <c r="Y1916" s="284"/>
      <c r="Z1916" s="207"/>
      <c r="AA1916" s="284"/>
      <c r="AB1916" s="284"/>
      <c r="AC1916" s="284"/>
      <c r="AD1916" s="284"/>
      <c r="AE1916" s="284"/>
      <c r="AF1916" s="284"/>
      <c r="AG1916" s="284"/>
    </row>
    <row r="1917" spans="1:33" ht="26.4">
      <c r="A1917" s="284"/>
      <c r="B1917" s="284"/>
      <c r="C1917" s="284"/>
      <c r="D1917" s="284"/>
      <c r="E1917" s="284"/>
      <c r="F1917" s="284"/>
      <c r="G1917" s="284"/>
      <c r="H1917" s="284"/>
      <c r="I1917" s="284"/>
      <c r="J1917" s="375"/>
      <c r="K1917" s="375"/>
      <c r="L1917" s="375"/>
      <c r="M1917" s="368"/>
      <c r="N1917" s="368"/>
      <c r="O1917" s="370"/>
      <c r="T1917" s="349"/>
      <c r="V1917" s="378"/>
      <c r="W1917" s="64" ph="1"/>
      <c r="X1917" s="241"/>
      <c r="Y1917" s="284"/>
      <c r="Z1917" s="207"/>
      <c r="AA1917" s="284"/>
      <c r="AB1917" s="284"/>
      <c r="AC1917" s="284"/>
      <c r="AD1917" s="284"/>
      <c r="AE1917" s="284"/>
      <c r="AF1917" s="284"/>
      <c r="AG1917" s="284"/>
    </row>
    <row r="1918" spans="1:33" ht="26.4">
      <c r="A1918" s="284"/>
      <c r="B1918" s="284"/>
      <c r="C1918" s="284"/>
      <c r="D1918" s="284"/>
      <c r="E1918" s="284"/>
      <c r="F1918" s="284"/>
      <c r="G1918" s="284"/>
      <c r="H1918" s="284"/>
      <c r="I1918" s="284"/>
      <c r="J1918" s="375"/>
      <c r="K1918" s="375"/>
      <c r="L1918" s="375"/>
      <c r="M1918" s="368"/>
      <c r="N1918" s="368"/>
      <c r="O1918" s="370"/>
      <c r="T1918" s="349"/>
      <c r="V1918" s="378"/>
      <c r="W1918" s="64" ph="1"/>
      <c r="X1918" s="241"/>
      <c r="Y1918" s="284"/>
      <c r="Z1918" s="207"/>
      <c r="AA1918" s="284"/>
      <c r="AB1918" s="284"/>
      <c r="AC1918" s="284"/>
      <c r="AD1918" s="284"/>
      <c r="AE1918" s="284"/>
      <c r="AF1918" s="284"/>
      <c r="AG1918" s="284"/>
    </row>
    <row r="1919" spans="1:33" ht="26.4">
      <c r="A1919" s="284"/>
      <c r="B1919" s="284"/>
      <c r="C1919" s="284"/>
      <c r="D1919" s="284"/>
      <c r="E1919" s="284"/>
      <c r="F1919" s="284"/>
      <c r="G1919" s="284"/>
      <c r="H1919" s="284"/>
      <c r="I1919" s="284"/>
      <c r="J1919" s="375"/>
      <c r="K1919" s="375"/>
      <c r="L1919" s="375"/>
      <c r="M1919" s="368"/>
      <c r="N1919" s="368"/>
      <c r="O1919" s="370"/>
      <c r="T1919" s="349"/>
      <c r="V1919" s="378"/>
      <c r="W1919" s="64" ph="1"/>
      <c r="X1919" s="241"/>
      <c r="Y1919" s="284"/>
      <c r="Z1919" s="207"/>
      <c r="AA1919" s="284"/>
      <c r="AB1919" s="284"/>
      <c r="AC1919" s="284"/>
      <c r="AD1919" s="284"/>
      <c r="AE1919" s="284"/>
      <c r="AF1919" s="284"/>
      <c r="AG1919" s="284"/>
    </row>
    <row r="1920" spans="1:33" ht="26.4">
      <c r="A1920" s="284"/>
      <c r="B1920" s="284"/>
      <c r="C1920" s="284"/>
      <c r="D1920" s="284"/>
      <c r="E1920" s="284"/>
      <c r="F1920" s="284"/>
      <c r="G1920" s="284"/>
      <c r="H1920" s="284"/>
      <c r="I1920" s="284"/>
      <c r="J1920" s="375"/>
      <c r="K1920" s="375"/>
      <c r="L1920" s="375"/>
      <c r="M1920" s="368"/>
      <c r="N1920" s="368"/>
      <c r="O1920" s="370"/>
      <c r="T1920" s="349"/>
      <c r="V1920" s="378"/>
      <c r="W1920" s="64" ph="1"/>
      <c r="X1920" s="241"/>
      <c r="Y1920" s="284"/>
      <c r="Z1920" s="207"/>
      <c r="AA1920" s="284"/>
      <c r="AB1920" s="284"/>
      <c r="AC1920" s="284"/>
      <c r="AD1920" s="284"/>
      <c r="AE1920" s="284"/>
      <c r="AF1920" s="284"/>
      <c r="AG1920" s="284"/>
    </row>
    <row r="1921" spans="1:33" ht="26.4">
      <c r="A1921" s="284"/>
      <c r="B1921" s="284"/>
      <c r="C1921" s="284"/>
      <c r="D1921" s="284"/>
      <c r="E1921" s="284"/>
      <c r="F1921" s="284"/>
      <c r="G1921" s="284"/>
      <c r="H1921" s="284"/>
      <c r="I1921" s="284"/>
      <c r="J1921" s="375"/>
      <c r="K1921" s="375"/>
      <c r="L1921" s="375"/>
      <c r="M1921" s="368"/>
      <c r="N1921" s="368"/>
      <c r="O1921" s="370"/>
      <c r="T1921" s="349"/>
      <c r="V1921" s="378"/>
      <c r="W1921" s="64" ph="1"/>
      <c r="X1921" s="241"/>
      <c r="Y1921" s="284"/>
      <c r="Z1921" s="207"/>
      <c r="AA1921" s="284"/>
      <c r="AB1921" s="284"/>
      <c r="AC1921" s="284"/>
      <c r="AD1921" s="284"/>
      <c r="AE1921" s="284"/>
      <c r="AF1921" s="284"/>
      <c r="AG1921" s="284"/>
    </row>
    <row r="1922" spans="1:33" ht="26.4">
      <c r="A1922" s="284"/>
      <c r="B1922" s="284"/>
      <c r="C1922" s="284"/>
      <c r="D1922" s="284"/>
      <c r="E1922" s="284"/>
      <c r="F1922" s="284"/>
      <c r="G1922" s="284"/>
      <c r="H1922" s="284"/>
      <c r="I1922" s="284"/>
      <c r="J1922" s="375"/>
      <c r="K1922" s="375"/>
      <c r="L1922" s="375"/>
      <c r="M1922" s="368"/>
      <c r="N1922" s="368"/>
      <c r="O1922" s="370"/>
      <c r="T1922" s="349"/>
      <c r="V1922" s="378"/>
      <c r="W1922" s="64" ph="1"/>
      <c r="X1922" s="241"/>
      <c r="Y1922" s="284"/>
      <c r="Z1922" s="207"/>
      <c r="AA1922" s="284"/>
      <c r="AB1922" s="284"/>
      <c r="AC1922" s="284"/>
      <c r="AD1922" s="284"/>
      <c r="AE1922" s="284"/>
      <c r="AF1922" s="284"/>
      <c r="AG1922" s="284"/>
    </row>
    <row r="1923" spans="1:33" ht="26.4">
      <c r="A1923" s="284"/>
      <c r="B1923" s="284"/>
      <c r="C1923" s="284"/>
      <c r="D1923" s="284"/>
      <c r="E1923" s="284"/>
      <c r="F1923" s="284"/>
      <c r="G1923" s="284"/>
      <c r="H1923" s="284"/>
      <c r="I1923" s="284"/>
      <c r="J1923" s="375"/>
      <c r="K1923" s="375"/>
      <c r="L1923" s="375"/>
      <c r="M1923" s="368"/>
      <c r="N1923" s="368"/>
      <c r="O1923" s="370"/>
      <c r="T1923" s="349"/>
      <c r="V1923" s="378"/>
      <c r="W1923" s="64" ph="1"/>
      <c r="X1923" s="241"/>
      <c r="Y1923" s="284"/>
      <c r="Z1923" s="207"/>
      <c r="AA1923" s="284"/>
      <c r="AB1923" s="284"/>
      <c r="AC1923" s="284"/>
      <c r="AD1923" s="284"/>
      <c r="AE1923" s="284"/>
      <c r="AF1923" s="284"/>
      <c r="AG1923" s="284"/>
    </row>
    <row r="1924" spans="1:33" ht="26.4">
      <c r="A1924" s="284"/>
      <c r="B1924" s="284"/>
      <c r="C1924" s="284"/>
      <c r="D1924" s="284"/>
      <c r="E1924" s="284"/>
      <c r="F1924" s="284"/>
      <c r="G1924" s="284"/>
      <c r="H1924" s="284"/>
      <c r="I1924" s="284"/>
      <c r="J1924" s="375"/>
      <c r="K1924" s="375"/>
      <c r="L1924" s="375"/>
      <c r="M1924" s="368"/>
      <c r="N1924" s="368"/>
      <c r="O1924" s="370"/>
      <c r="T1924" s="349"/>
      <c r="V1924" s="378"/>
      <c r="W1924" s="64" ph="1"/>
      <c r="X1924" s="241"/>
      <c r="Y1924" s="284"/>
      <c r="Z1924" s="207"/>
      <c r="AA1924" s="284"/>
      <c r="AB1924" s="284"/>
      <c r="AC1924" s="284"/>
      <c r="AD1924" s="284"/>
      <c r="AE1924" s="284"/>
      <c r="AF1924" s="284"/>
      <c r="AG1924" s="284"/>
    </row>
    <row r="1925" spans="1:33" ht="26.4">
      <c r="A1925" s="284"/>
      <c r="B1925" s="284"/>
      <c r="C1925" s="284"/>
      <c r="D1925" s="284"/>
      <c r="E1925" s="284"/>
      <c r="F1925" s="284"/>
      <c r="G1925" s="284"/>
      <c r="H1925" s="284"/>
      <c r="I1925" s="284"/>
      <c r="J1925" s="375"/>
      <c r="K1925" s="375"/>
      <c r="L1925" s="375"/>
      <c r="M1925" s="368"/>
      <c r="N1925" s="368"/>
      <c r="O1925" s="370"/>
      <c r="T1925" s="349"/>
      <c r="V1925" s="378"/>
      <c r="W1925" s="64" ph="1"/>
      <c r="X1925" s="241"/>
      <c r="Y1925" s="284"/>
      <c r="Z1925" s="207"/>
      <c r="AA1925" s="284"/>
      <c r="AB1925" s="284"/>
      <c r="AC1925" s="284"/>
      <c r="AD1925" s="284"/>
      <c r="AE1925" s="284"/>
      <c r="AF1925" s="284"/>
      <c r="AG1925" s="284"/>
    </row>
    <row r="1926" spans="1:33" ht="26.4">
      <c r="A1926" s="284"/>
      <c r="B1926" s="284"/>
      <c r="C1926" s="284"/>
      <c r="D1926" s="284"/>
      <c r="E1926" s="284"/>
      <c r="F1926" s="284"/>
      <c r="G1926" s="284"/>
      <c r="H1926" s="284"/>
      <c r="I1926" s="284"/>
      <c r="J1926" s="375"/>
      <c r="K1926" s="375"/>
      <c r="L1926" s="375"/>
      <c r="M1926" s="368"/>
      <c r="N1926" s="368"/>
      <c r="O1926" s="370"/>
      <c r="T1926" s="349"/>
      <c r="V1926" s="378"/>
      <c r="W1926" s="64" ph="1"/>
      <c r="X1926" s="241"/>
      <c r="Y1926" s="284"/>
      <c r="Z1926" s="207"/>
      <c r="AA1926" s="284"/>
      <c r="AB1926" s="284"/>
      <c r="AC1926" s="284"/>
      <c r="AD1926" s="284"/>
      <c r="AE1926" s="284"/>
      <c r="AF1926" s="284"/>
      <c r="AG1926" s="284"/>
    </row>
    <row r="1927" spans="1:33" ht="26.4">
      <c r="A1927" s="284"/>
      <c r="B1927" s="284"/>
      <c r="C1927" s="284"/>
      <c r="D1927" s="284"/>
      <c r="E1927" s="284"/>
      <c r="F1927" s="284"/>
      <c r="G1927" s="284"/>
      <c r="H1927" s="284"/>
      <c r="I1927" s="284"/>
      <c r="J1927" s="375"/>
      <c r="K1927" s="375"/>
      <c r="L1927" s="375"/>
      <c r="M1927" s="368"/>
      <c r="N1927" s="368"/>
      <c r="O1927" s="370"/>
      <c r="T1927" s="349"/>
      <c r="V1927" s="378"/>
      <c r="W1927" s="64" ph="1"/>
      <c r="X1927" s="241"/>
      <c r="Y1927" s="284"/>
      <c r="Z1927" s="207"/>
      <c r="AA1927" s="284"/>
      <c r="AB1927" s="284"/>
      <c r="AC1927" s="284"/>
      <c r="AD1927" s="284"/>
      <c r="AE1927" s="284"/>
      <c r="AF1927" s="284"/>
      <c r="AG1927" s="284"/>
    </row>
    <row r="1928" spans="1:33" ht="26.4">
      <c r="A1928" s="284"/>
      <c r="B1928" s="284"/>
      <c r="C1928" s="284"/>
      <c r="D1928" s="284"/>
      <c r="E1928" s="284"/>
      <c r="F1928" s="284"/>
      <c r="G1928" s="284"/>
      <c r="H1928" s="284"/>
      <c r="I1928" s="284"/>
      <c r="J1928" s="375"/>
      <c r="K1928" s="375"/>
      <c r="L1928" s="375"/>
      <c r="M1928" s="368"/>
      <c r="N1928" s="368"/>
      <c r="O1928" s="370"/>
      <c r="T1928" s="349"/>
      <c r="V1928" s="378"/>
      <c r="W1928" s="64" ph="1"/>
      <c r="X1928" s="241"/>
      <c r="Y1928" s="284"/>
      <c r="Z1928" s="207"/>
      <c r="AA1928" s="284"/>
      <c r="AB1928" s="284"/>
      <c r="AC1928" s="284"/>
      <c r="AD1928" s="284"/>
      <c r="AE1928" s="284"/>
      <c r="AF1928" s="284"/>
      <c r="AG1928" s="284"/>
    </row>
    <row r="1929" spans="1:33" ht="26.4">
      <c r="A1929" s="284"/>
      <c r="B1929" s="284"/>
      <c r="C1929" s="284"/>
      <c r="D1929" s="284"/>
      <c r="E1929" s="284"/>
      <c r="F1929" s="284"/>
      <c r="G1929" s="284"/>
      <c r="H1929" s="284"/>
      <c r="I1929" s="284"/>
      <c r="J1929" s="375"/>
      <c r="K1929" s="375"/>
      <c r="L1929" s="375"/>
      <c r="M1929" s="368"/>
      <c r="N1929" s="368"/>
      <c r="O1929" s="370"/>
      <c r="T1929" s="349"/>
      <c r="V1929" s="378"/>
      <c r="W1929" s="64" ph="1"/>
      <c r="X1929" s="241"/>
      <c r="Y1929" s="284"/>
      <c r="Z1929" s="207"/>
      <c r="AA1929" s="284"/>
      <c r="AB1929" s="284"/>
      <c r="AC1929" s="284"/>
      <c r="AD1929" s="284"/>
      <c r="AE1929" s="284"/>
      <c r="AF1929" s="284"/>
      <c r="AG1929" s="284"/>
    </row>
    <row r="1930" spans="1:33" ht="26.4">
      <c r="A1930" s="284"/>
      <c r="B1930" s="284"/>
      <c r="C1930" s="284"/>
      <c r="D1930" s="284"/>
      <c r="E1930" s="284"/>
      <c r="F1930" s="284"/>
      <c r="G1930" s="284"/>
      <c r="H1930" s="284"/>
      <c r="I1930" s="284"/>
      <c r="J1930" s="375"/>
      <c r="K1930" s="375"/>
      <c r="L1930" s="375"/>
      <c r="M1930" s="368"/>
      <c r="N1930" s="368"/>
      <c r="O1930" s="370"/>
      <c r="T1930" s="349"/>
      <c r="V1930" s="378"/>
      <c r="W1930" s="64" ph="1"/>
      <c r="X1930" s="241"/>
      <c r="Y1930" s="284"/>
      <c r="Z1930" s="207"/>
      <c r="AA1930" s="284"/>
      <c r="AB1930" s="284"/>
      <c r="AC1930" s="284"/>
      <c r="AD1930" s="284"/>
      <c r="AE1930" s="284"/>
      <c r="AF1930" s="284"/>
      <c r="AG1930" s="284"/>
    </row>
    <row r="1931" spans="1:33" ht="26.4">
      <c r="A1931" s="284"/>
      <c r="B1931" s="284"/>
      <c r="C1931" s="284"/>
      <c r="D1931" s="284"/>
      <c r="E1931" s="284"/>
      <c r="F1931" s="284"/>
      <c r="G1931" s="284"/>
      <c r="H1931" s="284"/>
      <c r="I1931" s="284"/>
      <c r="J1931" s="375"/>
      <c r="K1931" s="375"/>
      <c r="L1931" s="375"/>
      <c r="M1931" s="368"/>
      <c r="N1931" s="368"/>
      <c r="O1931" s="370"/>
      <c r="T1931" s="349"/>
      <c r="V1931" s="378"/>
      <c r="W1931" s="64" ph="1"/>
      <c r="X1931" s="241"/>
      <c r="Y1931" s="284"/>
      <c r="Z1931" s="207"/>
      <c r="AA1931" s="284"/>
      <c r="AB1931" s="284"/>
      <c r="AC1931" s="284"/>
      <c r="AD1931" s="284"/>
      <c r="AE1931" s="284"/>
      <c r="AF1931" s="284"/>
      <c r="AG1931" s="284"/>
    </row>
    <row r="1932" spans="1:33" ht="26.4">
      <c r="A1932" s="284"/>
      <c r="B1932" s="284"/>
      <c r="C1932" s="284"/>
      <c r="D1932" s="284"/>
      <c r="E1932" s="284"/>
      <c r="F1932" s="284"/>
      <c r="G1932" s="284"/>
      <c r="H1932" s="284"/>
      <c r="I1932" s="284"/>
      <c r="J1932" s="375"/>
      <c r="K1932" s="375"/>
      <c r="L1932" s="375"/>
      <c r="M1932" s="368"/>
      <c r="N1932" s="368"/>
      <c r="O1932" s="370"/>
      <c r="T1932" s="349"/>
      <c r="V1932" s="378"/>
      <c r="W1932" s="64" ph="1"/>
      <c r="X1932" s="241"/>
      <c r="Y1932" s="284"/>
      <c r="Z1932" s="207"/>
      <c r="AA1932" s="284"/>
      <c r="AB1932" s="284"/>
      <c r="AC1932" s="284"/>
      <c r="AD1932" s="284"/>
      <c r="AE1932" s="284"/>
      <c r="AF1932" s="284"/>
      <c r="AG1932" s="284"/>
    </row>
    <row r="1933" spans="1:33" ht="26.4">
      <c r="A1933" s="284"/>
      <c r="B1933" s="284"/>
      <c r="C1933" s="284"/>
      <c r="D1933" s="284"/>
      <c r="E1933" s="284"/>
      <c r="F1933" s="284"/>
      <c r="G1933" s="284"/>
      <c r="H1933" s="284"/>
      <c r="I1933" s="284"/>
      <c r="J1933" s="375"/>
      <c r="K1933" s="375"/>
      <c r="L1933" s="375"/>
      <c r="M1933" s="368"/>
      <c r="N1933" s="368"/>
      <c r="O1933" s="370"/>
      <c r="T1933" s="349"/>
      <c r="V1933" s="378"/>
      <c r="W1933" s="64" ph="1"/>
      <c r="X1933" s="241"/>
      <c r="Y1933" s="284"/>
      <c r="Z1933" s="207"/>
      <c r="AA1933" s="284"/>
      <c r="AB1933" s="284"/>
      <c r="AC1933" s="284"/>
      <c r="AD1933" s="284"/>
      <c r="AE1933" s="284"/>
      <c r="AF1933" s="284"/>
      <c r="AG1933" s="284"/>
    </row>
    <row r="1934" spans="1:33" ht="26.4">
      <c r="A1934" s="284"/>
      <c r="B1934" s="284"/>
      <c r="C1934" s="284"/>
      <c r="D1934" s="284"/>
      <c r="E1934" s="284"/>
      <c r="F1934" s="284"/>
      <c r="G1934" s="284"/>
      <c r="H1934" s="284"/>
      <c r="I1934" s="284"/>
      <c r="J1934" s="375"/>
      <c r="K1934" s="375"/>
      <c r="L1934" s="375"/>
      <c r="M1934" s="368"/>
      <c r="N1934" s="368"/>
      <c r="O1934" s="370"/>
      <c r="T1934" s="349"/>
      <c r="V1934" s="378"/>
      <c r="W1934" s="64" ph="1"/>
      <c r="X1934" s="241"/>
      <c r="Y1934" s="284"/>
      <c r="Z1934" s="207"/>
      <c r="AA1934" s="284"/>
      <c r="AB1934" s="284"/>
      <c r="AC1934" s="284"/>
      <c r="AD1934" s="284"/>
      <c r="AE1934" s="284"/>
      <c r="AF1934" s="284"/>
      <c r="AG1934" s="284"/>
    </row>
    <row r="1935" spans="1:33" ht="26.4">
      <c r="A1935" s="284"/>
      <c r="B1935" s="284"/>
      <c r="C1935" s="284"/>
      <c r="D1935" s="284"/>
      <c r="E1935" s="284"/>
      <c r="F1935" s="284"/>
      <c r="G1935" s="284"/>
      <c r="H1935" s="284"/>
      <c r="I1935" s="284"/>
      <c r="J1935" s="375"/>
      <c r="K1935" s="375"/>
      <c r="L1935" s="375"/>
      <c r="M1935" s="368"/>
      <c r="N1935" s="368"/>
      <c r="O1935" s="370"/>
      <c r="T1935" s="349"/>
      <c r="V1935" s="378"/>
      <c r="W1935" s="64" ph="1"/>
      <c r="X1935" s="241"/>
      <c r="Y1935" s="284"/>
      <c r="Z1935" s="207"/>
      <c r="AA1935" s="284"/>
      <c r="AB1935" s="284"/>
      <c r="AC1935" s="284"/>
      <c r="AD1935" s="284"/>
      <c r="AE1935" s="284"/>
      <c r="AF1935" s="284"/>
      <c r="AG1935" s="284"/>
    </row>
    <row r="1936" spans="1:33" ht="26.4">
      <c r="A1936" s="284"/>
      <c r="B1936" s="284"/>
      <c r="C1936" s="284"/>
      <c r="D1936" s="284"/>
      <c r="E1936" s="284"/>
      <c r="F1936" s="284"/>
      <c r="G1936" s="284"/>
      <c r="H1936" s="284"/>
      <c r="I1936" s="284"/>
      <c r="J1936" s="375"/>
      <c r="K1936" s="375"/>
      <c r="L1936" s="375"/>
      <c r="M1936" s="368"/>
      <c r="N1936" s="368"/>
      <c r="O1936" s="370"/>
      <c r="T1936" s="349"/>
      <c r="V1936" s="378"/>
      <c r="W1936" s="64" ph="1"/>
      <c r="X1936" s="241"/>
      <c r="Y1936" s="284"/>
      <c r="Z1936" s="207"/>
      <c r="AA1936" s="284"/>
      <c r="AB1936" s="284"/>
      <c r="AC1936" s="284"/>
      <c r="AD1936" s="284"/>
      <c r="AE1936" s="284"/>
      <c r="AF1936" s="284"/>
      <c r="AG1936" s="284"/>
    </row>
    <row r="1937" spans="1:33" ht="26.4">
      <c r="A1937" s="284"/>
      <c r="B1937" s="284"/>
      <c r="C1937" s="284"/>
      <c r="D1937" s="284"/>
      <c r="E1937" s="284"/>
      <c r="F1937" s="284"/>
      <c r="G1937" s="284"/>
      <c r="H1937" s="284"/>
      <c r="I1937" s="284"/>
      <c r="J1937" s="375"/>
      <c r="K1937" s="375"/>
      <c r="L1937" s="375"/>
      <c r="M1937" s="368"/>
      <c r="N1937" s="368"/>
      <c r="O1937" s="370"/>
      <c r="T1937" s="349"/>
      <c r="V1937" s="378"/>
      <c r="W1937" s="64" ph="1"/>
      <c r="X1937" s="241"/>
      <c r="Y1937" s="284"/>
      <c r="Z1937" s="207"/>
      <c r="AA1937" s="284"/>
      <c r="AB1937" s="284"/>
      <c r="AC1937" s="284"/>
      <c r="AD1937" s="284"/>
      <c r="AE1937" s="284"/>
      <c r="AF1937" s="284"/>
      <c r="AG1937" s="284"/>
    </row>
    <row r="1938" spans="1:33" ht="26.4">
      <c r="A1938" s="284"/>
      <c r="B1938" s="284"/>
      <c r="C1938" s="284"/>
      <c r="D1938" s="284"/>
      <c r="E1938" s="284"/>
      <c r="F1938" s="284"/>
      <c r="G1938" s="284"/>
      <c r="H1938" s="284"/>
      <c r="I1938" s="284"/>
      <c r="J1938" s="375"/>
      <c r="K1938" s="375"/>
      <c r="L1938" s="375"/>
      <c r="M1938" s="368"/>
      <c r="N1938" s="368"/>
      <c r="O1938" s="370"/>
      <c r="T1938" s="349"/>
      <c r="V1938" s="378"/>
      <c r="W1938" s="64" ph="1"/>
      <c r="X1938" s="241"/>
      <c r="Y1938" s="284"/>
      <c r="Z1938" s="207"/>
      <c r="AA1938" s="284"/>
      <c r="AB1938" s="284"/>
      <c r="AC1938" s="284"/>
      <c r="AD1938" s="284"/>
      <c r="AE1938" s="284"/>
      <c r="AF1938" s="284"/>
      <c r="AG1938" s="284"/>
    </row>
    <row r="1939" spans="1:33" ht="26.4">
      <c r="A1939" s="284"/>
      <c r="B1939" s="284"/>
      <c r="C1939" s="284"/>
      <c r="D1939" s="284"/>
      <c r="E1939" s="284"/>
      <c r="F1939" s="284"/>
      <c r="G1939" s="284"/>
      <c r="H1939" s="284"/>
      <c r="I1939" s="284"/>
      <c r="J1939" s="375"/>
      <c r="K1939" s="375"/>
      <c r="L1939" s="375"/>
      <c r="M1939" s="368"/>
      <c r="N1939" s="368"/>
      <c r="O1939" s="370"/>
      <c r="T1939" s="349"/>
      <c r="V1939" s="378"/>
      <c r="W1939" s="64" ph="1"/>
      <c r="X1939" s="241"/>
      <c r="Y1939" s="284"/>
      <c r="Z1939" s="207"/>
      <c r="AA1939" s="284"/>
      <c r="AB1939" s="284"/>
      <c r="AC1939" s="284"/>
      <c r="AD1939" s="284"/>
      <c r="AE1939" s="284"/>
      <c r="AF1939" s="284"/>
      <c r="AG1939" s="284"/>
    </row>
    <row r="1940" spans="1:33" ht="26.4">
      <c r="A1940" s="284"/>
      <c r="B1940" s="284"/>
      <c r="C1940" s="284"/>
      <c r="D1940" s="284"/>
      <c r="E1940" s="284"/>
      <c r="F1940" s="284"/>
      <c r="G1940" s="284"/>
      <c r="H1940" s="284"/>
      <c r="I1940" s="284"/>
      <c r="J1940" s="375"/>
      <c r="K1940" s="375"/>
      <c r="L1940" s="375"/>
      <c r="M1940" s="368"/>
      <c r="N1940" s="368"/>
      <c r="O1940" s="370"/>
      <c r="T1940" s="349"/>
      <c r="V1940" s="378"/>
      <c r="W1940" s="64" ph="1"/>
      <c r="X1940" s="241"/>
      <c r="Y1940" s="284"/>
      <c r="Z1940" s="207"/>
      <c r="AA1940" s="284"/>
      <c r="AB1940" s="284"/>
      <c r="AC1940" s="284"/>
      <c r="AD1940" s="284"/>
      <c r="AE1940" s="284"/>
      <c r="AF1940" s="284"/>
      <c r="AG1940" s="284"/>
    </row>
    <row r="1941" spans="1:33" ht="26.4">
      <c r="A1941" s="284"/>
      <c r="B1941" s="284"/>
      <c r="C1941" s="284"/>
      <c r="D1941" s="284"/>
      <c r="E1941" s="284"/>
      <c r="F1941" s="284"/>
      <c r="G1941" s="284"/>
      <c r="H1941" s="284"/>
      <c r="I1941" s="284"/>
      <c r="J1941" s="375"/>
      <c r="K1941" s="375"/>
      <c r="L1941" s="375"/>
      <c r="M1941" s="368"/>
      <c r="N1941" s="368"/>
      <c r="O1941" s="370"/>
      <c r="T1941" s="349"/>
      <c r="V1941" s="378"/>
      <c r="W1941" s="64" ph="1"/>
      <c r="X1941" s="241"/>
      <c r="Y1941" s="284"/>
      <c r="Z1941" s="207"/>
      <c r="AA1941" s="284"/>
      <c r="AB1941" s="284"/>
      <c r="AC1941" s="284"/>
      <c r="AD1941" s="284"/>
      <c r="AE1941" s="284"/>
      <c r="AF1941" s="284"/>
      <c r="AG1941" s="284"/>
    </row>
    <row r="1942" spans="1:33" ht="26.4">
      <c r="A1942" s="284"/>
      <c r="B1942" s="284"/>
      <c r="C1942" s="284"/>
      <c r="D1942" s="284"/>
      <c r="E1942" s="284"/>
      <c r="F1942" s="284"/>
      <c r="G1942" s="284"/>
      <c r="H1942" s="284"/>
      <c r="I1942" s="284"/>
      <c r="J1942" s="375"/>
      <c r="K1942" s="375"/>
      <c r="L1942" s="375"/>
      <c r="M1942" s="368"/>
      <c r="N1942" s="368"/>
      <c r="O1942" s="370"/>
      <c r="T1942" s="349"/>
      <c r="V1942" s="378"/>
      <c r="W1942" s="64" ph="1"/>
      <c r="X1942" s="241"/>
      <c r="Y1942" s="284"/>
      <c r="Z1942" s="207"/>
      <c r="AA1942" s="284"/>
      <c r="AB1942" s="284"/>
      <c r="AC1942" s="284"/>
      <c r="AD1942" s="284"/>
      <c r="AE1942" s="284"/>
      <c r="AF1942" s="284"/>
      <c r="AG1942" s="284"/>
    </row>
    <row r="1943" spans="1:33" ht="26.4">
      <c r="A1943" s="284"/>
      <c r="B1943" s="284"/>
      <c r="C1943" s="284"/>
      <c r="D1943" s="284"/>
      <c r="E1943" s="284"/>
      <c r="F1943" s="284"/>
      <c r="G1943" s="284"/>
      <c r="H1943" s="284"/>
      <c r="I1943" s="284"/>
      <c r="J1943" s="375"/>
      <c r="K1943" s="375"/>
      <c r="L1943" s="375"/>
      <c r="M1943" s="368"/>
      <c r="N1943" s="368"/>
      <c r="O1943" s="370"/>
      <c r="T1943" s="349"/>
      <c r="V1943" s="378"/>
      <c r="W1943" s="64" ph="1"/>
      <c r="X1943" s="241"/>
      <c r="Y1943" s="284"/>
      <c r="Z1943" s="207"/>
      <c r="AA1943" s="284"/>
      <c r="AB1943" s="284"/>
      <c r="AC1943" s="284"/>
      <c r="AD1943" s="284"/>
      <c r="AE1943" s="284"/>
      <c r="AF1943" s="284"/>
      <c r="AG1943" s="284"/>
    </row>
    <row r="1944" spans="1:33" ht="26.4">
      <c r="A1944" s="284"/>
      <c r="B1944" s="284"/>
      <c r="C1944" s="284"/>
      <c r="D1944" s="284"/>
      <c r="E1944" s="284"/>
      <c r="F1944" s="284"/>
      <c r="G1944" s="284"/>
      <c r="H1944" s="284"/>
      <c r="I1944" s="284"/>
      <c r="J1944" s="375"/>
      <c r="K1944" s="375"/>
      <c r="L1944" s="375"/>
      <c r="M1944" s="368"/>
      <c r="N1944" s="368"/>
      <c r="O1944" s="370"/>
      <c r="T1944" s="349"/>
      <c r="V1944" s="378"/>
      <c r="W1944" s="64" ph="1"/>
      <c r="X1944" s="241"/>
      <c r="Y1944" s="284"/>
      <c r="Z1944" s="207"/>
      <c r="AA1944" s="284"/>
      <c r="AB1944" s="284"/>
      <c r="AC1944" s="284"/>
      <c r="AD1944" s="284"/>
      <c r="AE1944" s="284"/>
      <c r="AF1944" s="284"/>
      <c r="AG1944" s="284"/>
    </row>
    <row r="1945" spans="1:33" ht="26.4">
      <c r="A1945" s="284"/>
      <c r="B1945" s="284"/>
      <c r="C1945" s="284"/>
      <c r="D1945" s="284"/>
      <c r="E1945" s="284"/>
      <c r="F1945" s="284"/>
      <c r="G1945" s="284"/>
      <c r="H1945" s="284"/>
      <c r="I1945" s="284"/>
      <c r="J1945" s="375"/>
      <c r="K1945" s="375"/>
      <c r="L1945" s="375"/>
      <c r="M1945" s="368"/>
      <c r="N1945" s="368"/>
      <c r="O1945" s="370"/>
      <c r="T1945" s="349"/>
      <c r="V1945" s="378"/>
      <c r="W1945" s="64" ph="1"/>
      <c r="X1945" s="241"/>
      <c r="Y1945" s="284"/>
      <c r="Z1945" s="207"/>
      <c r="AA1945" s="284"/>
      <c r="AB1945" s="284"/>
      <c r="AC1945" s="284"/>
      <c r="AD1945" s="284"/>
      <c r="AE1945" s="284"/>
      <c r="AF1945" s="284"/>
      <c r="AG1945" s="284"/>
    </row>
    <row r="1946" spans="1:33" ht="26.4">
      <c r="A1946" s="284"/>
      <c r="B1946" s="284"/>
      <c r="C1946" s="284"/>
      <c r="D1946" s="284"/>
      <c r="E1946" s="284"/>
      <c r="F1946" s="284"/>
      <c r="G1946" s="284"/>
      <c r="H1946" s="284"/>
      <c r="I1946" s="284"/>
      <c r="J1946" s="375"/>
      <c r="K1946" s="375"/>
      <c r="L1946" s="375"/>
      <c r="M1946" s="368"/>
      <c r="N1946" s="368"/>
      <c r="O1946" s="370"/>
      <c r="T1946" s="349"/>
      <c r="V1946" s="378"/>
      <c r="W1946" s="64" ph="1"/>
      <c r="X1946" s="241"/>
      <c r="Y1946" s="284"/>
      <c r="Z1946" s="207"/>
      <c r="AA1946" s="284"/>
      <c r="AB1946" s="284"/>
      <c r="AC1946" s="284"/>
      <c r="AD1946" s="284"/>
      <c r="AE1946" s="284"/>
      <c r="AF1946" s="284"/>
      <c r="AG1946" s="284"/>
    </row>
    <row r="1947" spans="1:33" ht="26.4">
      <c r="A1947" s="284"/>
      <c r="B1947" s="284"/>
      <c r="C1947" s="284"/>
      <c r="D1947" s="284"/>
      <c r="E1947" s="284"/>
      <c r="F1947" s="284"/>
      <c r="G1947" s="284"/>
      <c r="H1947" s="284"/>
      <c r="I1947" s="284"/>
      <c r="J1947" s="375"/>
      <c r="K1947" s="375"/>
      <c r="L1947" s="375"/>
      <c r="M1947" s="368"/>
      <c r="N1947" s="368"/>
      <c r="O1947" s="370"/>
      <c r="T1947" s="349"/>
      <c r="V1947" s="378"/>
      <c r="W1947" s="64" ph="1"/>
      <c r="X1947" s="241"/>
      <c r="Y1947" s="284"/>
      <c r="Z1947" s="207"/>
      <c r="AA1947" s="284"/>
      <c r="AB1947" s="284"/>
      <c r="AC1947" s="284"/>
      <c r="AD1947" s="284"/>
      <c r="AE1947" s="284"/>
      <c r="AF1947" s="284"/>
      <c r="AG1947" s="284"/>
    </row>
    <row r="1948" spans="1:33" ht="26.4">
      <c r="A1948" s="284"/>
      <c r="B1948" s="284"/>
      <c r="C1948" s="284"/>
      <c r="D1948" s="284"/>
      <c r="E1948" s="284"/>
      <c r="F1948" s="284"/>
      <c r="G1948" s="284"/>
      <c r="H1948" s="284"/>
      <c r="I1948" s="284"/>
      <c r="J1948" s="375"/>
      <c r="K1948" s="375"/>
      <c r="L1948" s="375"/>
      <c r="M1948" s="368"/>
      <c r="N1948" s="368"/>
      <c r="O1948" s="370"/>
      <c r="T1948" s="349"/>
      <c r="V1948" s="378"/>
      <c r="W1948" s="64" ph="1"/>
      <c r="X1948" s="241"/>
      <c r="Y1948" s="284"/>
      <c r="Z1948" s="207"/>
      <c r="AA1948" s="284"/>
      <c r="AB1948" s="284"/>
      <c r="AC1948" s="284"/>
      <c r="AD1948" s="284"/>
      <c r="AE1948" s="284"/>
      <c r="AF1948" s="284"/>
      <c r="AG1948" s="284"/>
    </row>
    <row r="1949" spans="1:33" ht="26.4">
      <c r="A1949" s="284"/>
      <c r="B1949" s="284"/>
      <c r="C1949" s="284"/>
      <c r="D1949" s="284"/>
      <c r="E1949" s="284"/>
      <c r="F1949" s="284"/>
      <c r="G1949" s="284"/>
      <c r="H1949" s="284"/>
      <c r="I1949" s="284"/>
      <c r="J1949" s="375"/>
      <c r="K1949" s="375"/>
      <c r="L1949" s="375"/>
      <c r="M1949" s="368"/>
      <c r="N1949" s="368"/>
      <c r="O1949" s="370"/>
      <c r="T1949" s="349"/>
      <c r="V1949" s="378"/>
      <c r="W1949" s="64" ph="1"/>
      <c r="X1949" s="241"/>
      <c r="Y1949" s="284"/>
      <c r="Z1949" s="207"/>
      <c r="AA1949" s="284"/>
      <c r="AB1949" s="284"/>
      <c r="AC1949" s="284"/>
      <c r="AD1949" s="284"/>
      <c r="AE1949" s="284"/>
      <c r="AF1949" s="284"/>
      <c r="AG1949" s="284"/>
    </row>
    <row r="1950" spans="1:33" ht="26.4">
      <c r="A1950" s="284"/>
      <c r="B1950" s="284"/>
      <c r="C1950" s="284"/>
      <c r="D1950" s="284"/>
      <c r="E1950" s="284"/>
      <c r="F1950" s="284"/>
      <c r="G1950" s="284"/>
      <c r="H1950" s="284"/>
      <c r="I1950" s="284"/>
      <c r="J1950" s="375"/>
      <c r="K1950" s="375"/>
      <c r="L1950" s="375"/>
      <c r="M1950" s="368"/>
      <c r="N1950" s="368"/>
      <c r="O1950" s="370"/>
      <c r="T1950" s="349"/>
      <c r="V1950" s="378"/>
      <c r="W1950" s="64" ph="1"/>
      <c r="X1950" s="241"/>
      <c r="Y1950" s="284"/>
      <c r="Z1950" s="207"/>
      <c r="AA1950" s="284"/>
      <c r="AB1950" s="284"/>
      <c r="AC1950" s="284"/>
      <c r="AD1950" s="284"/>
      <c r="AE1950" s="284"/>
      <c r="AF1950" s="284"/>
      <c r="AG1950" s="284"/>
    </row>
    <row r="1951" spans="1:33" ht="26.4">
      <c r="A1951" s="284"/>
      <c r="B1951" s="284"/>
      <c r="C1951" s="284"/>
      <c r="D1951" s="284"/>
      <c r="E1951" s="284"/>
      <c r="F1951" s="284"/>
      <c r="G1951" s="284"/>
      <c r="H1951" s="284"/>
      <c r="I1951" s="284"/>
      <c r="J1951" s="375"/>
      <c r="K1951" s="375"/>
      <c r="L1951" s="375"/>
      <c r="M1951" s="368"/>
      <c r="N1951" s="368"/>
      <c r="O1951" s="370"/>
      <c r="T1951" s="349"/>
      <c r="V1951" s="378"/>
      <c r="W1951" s="64" ph="1"/>
      <c r="X1951" s="241"/>
      <c r="Y1951" s="284"/>
      <c r="Z1951" s="207"/>
      <c r="AA1951" s="284"/>
      <c r="AB1951" s="284"/>
      <c r="AC1951" s="284"/>
      <c r="AD1951" s="284"/>
      <c r="AE1951" s="284"/>
      <c r="AF1951" s="284"/>
      <c r="AG1951" s="284"/>
    </row>
    <row r="1952" spans="1:33" ht="26.4">
      <c r="A1952" s="284"/>
      <c r="B1952" s="284"/>
      <c r="C1952" s="284"/>
      <c r="D1952" s="284"/>
      <c r="E1952" s="284"/>
      <c r="F1952" s="284"/>
      <c r="G1952" s="284"/>
      <c r="H1952" s="284"/>
      <c r="I1952" s="284"/>
      <c r="J1952" s="375"/>
      <c r="K1952" s="375"/>
      <c r="L1952" s="375"/>
      <c r="M1952" s="368"/>
      <c r="N1952" s="368"/>
      <c r="O1952" s="370"/>
      <c r="T1952" s="349"/>
      <c r="V1952" s="378"/>
      <c r="W1952" s="64" ph="1"/>
      <c r="X1952" s="241"/>
      <c r="Y1952" s="284"/>
      <c r="Z1952" s="207"/>
      <c r="AA1952" s="284"/>
      <c r="AB1952" s="284"/>
      <c r="AC1952" s="284"/>
      <c r="AD1952" s="284"/>
      <c r="AE1952" s="284"/>
      <c r="AF1952" s="284"/>
      <c r="AG1952" s="284"/>
    </row>
    <row r="1953" spans="1:33" ht="26.4">
      <c r="A1953" s="284"/>
      <c r="B1953" s="284"/>
      <c r="C1953" s="284"/>
      <c r="D1953" s="284"/>
      <c r="E1953" s="284"/>
      <c r="F1953" s="284"/>
      <c r="G1953" s="284"/>
      <c r="H1953" s="284"/>
      <c r="I1953" s="284"/>
      <c r="J1953" s="375"/>
      <c r="K1953" s="375"/>
      <c r="L1953" s="375"/>
      <c r="M1953" s="368"/>
      <c r="N1953" s="368"/>
      <c r="O1953" s="370"/>
      <c r="T1953" s="349"/>
      <c r="V1953" s="378"/>
      <c r="W1953" s="64" ph="1"/>
      <c r="X1953" s="241"/>
      <c r="Y1953" s="284"/>
      <c r="Z1953" s="207"/>
      <c r="AA1953" s="284"/>
      <c r="AB1953" s="284"/>
      <c r="AC1953" s="284"/>
      <c r="AD1953" s="284"/>
      <c r="AE1953" s="284"/>
      <c r="AF1953" s="284"/>
      <c r="AG1953" s="284"/>
    </row>
    <row r="1954" spans="1:33" ht="26.4">
      <c r="A1954" s="284"/>
      <c r="B1954" s="284"/>
      <c r="C1954" s="284"/>
      <c r="D1954" s="284"/>
      <c r="E1954" s="284"/>
      <c r="F1954" s="284"/>
      <c r="G1954" s="284"/>
      <c r="H1954" s="284"/>
      <c r="I1954" s="284"/>
      <c r="J1954" s="375"/>
      <c r="K1954" s="375"/>
      <c r="L1954" s="375"/>
      <c r="M1954" s="368"/>
      <c r="N1954" s="368"/>
      <c r="O1954" s="370"/>
      <c r="T1954" s="349"/>
      <c r="V1954" s="378"/>
      <c r="W1954" s="64" ph="1"/>
      <c r="X1954" s="241"/>
      <c r="Y1954" s="284"/>
      <c r="Z1954" s="207"/>
      <c r="AA1954" s="284"/>
      <c r="AB1954" s="284"/>
      <c r="AC1954" s="284"/>
      <c r="AD1954" s="284"/>
      <c r="AE1954" s="284"/>
      <c r="AF1954" s="284"/>
      <c r="AG1954" s="284"/>
    </row>
    <row r="1955" spans="1:33" ht="26.4">
      <c r="A1955" s="284"/>
      <c r="B1955" s="284"/>
      <c r="C1955" s="284"/>
      <c r="D1955" s="284"/>
      <c r="E1955" s="284"/>
      <c r="F1955" s="284"/>
      <c r="G1955" s="284"/>
      <c r="H1955" s="284"/>
      <c r="I1955" s="284"/>
      <c r="J1955" s="375"/>
      <c r="K1955" s="375"/>
      <c r="L1955" s="375"/>
      <c r="M1955" s="368"/>
      <c r="N1955" s="368"/>
      <c r="O1955" s="370"/>
      <c r="T1955" s="349"/>
      <c r="V1955" s="378"/>
      <c r="W1955" s="64" ph="1"/>
      <c r="X1955" s="241"/>
      <c r="Y1955" s="284"/>
      <c r="Z1955" s="207"/>
      <c r="AA1955" s="284"/>
      <c r="AB1955" s="284"/>
      <c r="AC1955" s="284"/>
      <c r="AD1955" s="284"/>
      <c r="AE1955" s="284"/>
      <c r="AF1955" s="284"/>
      <c r="AG1955" s="284"/>
    </row>
    <row r="1956" spans="1:33" ht="26.4">
      <c r="A1956" s="284"/>
      <c r="B1956" s="284"/>
      <c r="C1956" s="284"/>
      <c r="D1956" s="284"/>
      <c r="E1956" s="284"/>
      <c r="F1956" s="284"/>
      <c r="G1956" s="284"/>
      <c r="H1956" s="284"/>
      <c r="I1956" s="284"/>
      <c r="J1956" s="375"/>
      <c r="K1956" s="375"/>
      <c r="L1956" s="375"/>
      <c r="M1956" s="368"/>
      <c r="N1956" s="368"/>
      <c r="O1956" s="370"/>
      <c r="T1956" s="349"/>
      <c r="V1956" s="378"/>
      <c r="W1956" s="64" ph="1"/>
      <c r="X1956" s="241"/>
      <c r="Y1956" s="284"/>
      <c r="Z1956" s="207"/>
      <c r="AA1956" s="284"/>
      <c r="AB1956" s="284"/>
      <c r="AC1956" s="284"/>
      <c r="AD1956" s="284"/>
      <c r="AE1956" s="284"/>
      <c r="AF1956" s="284"/>
      <c r="AG1956" s="284"/>
    </row>
    <row r="1957" spans="1:33" ht="26.4">
      <c r="A1957" s="284"/>
      <c r="B1957" s="284"/>
      <c r="C1957" s="284"/>
      <c r="D1957" s="284"/>
      <c r="E1957" s="284"/>
      <c r="F1957" s="284"/>
      <c r="G1957" s="284"/>
      <c r="H1957" s="284"/>
      <c r="I1957" s="284"/>
      <c r="J1957" s="375"/>
      <c r="K1957" s="375"/>
      <c r="L1957" s="375"/>
      <c r="M1957" s="368"/>
      <c r="N1957" s="368"/>
      <c r="O1957" s="370"/>
      <c r="T1957" s="349"/>
      <c r="V1957" s="378"/>
      <c r="W1957" s="64" ph="1"/>
      <c r="X1957" s="241"/>
      <c r="Y1957" s="284"/>
      <c r="Z1957" s="207"/>
      <c r="AA1957" s="284"/>
      <c r="AB1957" s="284"/>
      <c r="AC1957" s="284"/>
      <c r="AD1957" s="284"/>
      <c r="AE1957" s="284"/>
      <c r="AF1957" s="284"/>
      <c r="AG1957" s="284"/>
    </row>
    <row r="1958" spans="1:33" ht="26.4">
      <c r="A1958" s="284"/>
      <c r="B1958" s="284"/>
      <c r="C1958" s="284"/>
      <c r="D1958" s="284"/>
      <c r="E1958" s="284"/>
      <c r="F1958" s="284"/>
      <c r="G1958" s="284"/>
      <c r="H1958" s="284"/>
      <c r="I1958" s="284"/>
      <c r="J1958" s="375"/>
      <c r="K1958" s="375"/>
      <c r="L1958" s="375"/>
      <c r="M1958" s="368"/>
      <c r="N1958" s="368"/>
      <c r="O1958" s="370"/>
      <c r="T1958" s="349"/>
      <c r="V1958" s="378"/>
      <c r="W1958" s="64" ph="1"/>
      <c r="X1958" s="241"/>
      <c r="Y1958" s="284"/>
      <c r="Z1958" s="207"/>
      <c r="AA1958" s="284"/>
      <c r="AB1958" s="284"/>
      <c r="AC1958" s="284"/>
      <c r="AD1958" s="284"/>
      <c r="AE1958" s="284"/>
      <c r="AF1958" s="284"/>
      <c r="AG1958" s="284"/>
    </row>
    <row r="1959" spans="1:33" ht="26.4">
      <c r="A1959" s="284"/>
      <c r="B1959" s="284"/>
      <c r="C1959" s="284"/>
      <c r="D1959" s="284"/>
      <c r="E1959" s="284"/>
      <c r="F1959" s="284"/>
      <c r="G1959" s="284"/>
      <c r="H1959" s="284"/>
      <c r="I1959" s="284"/>
      <c r="J1959" s="375"/>
      <c r="K1959" s="375"/>
      <c r="L1959" s="375"/>
      <c r="M1959" s="368"/>
      <c r="N1959" s="368"/>
      <c r="O1959" s="370"/>
      <c r="T1959" s="349"/>
      <c r="V1959" s="378"/>
      <c r="W1959" s="64" ph="1"/>
      <c r="X1959" s="241"/>
      <c r="Y1959" s="284"/>
      <c r="Z1959" s="207"/>
      <c r="AA1959" s="284"/>
      <c r="AB1959" s="284"/>
      <c r="AC1959" s="284"/>
      <c r="AD1959" s="284"/>
      <c r="AE1959" s="284"/>
      <c r="AF1959" s="284"/>
      <c r="AG1959" s="284"/>
    </row>
    <row r="1960" spans="1:33" ht="26.4">
      <c r="A1960" s="284"/>
      <c r="B1960" s="284"/>
      <c r="C1960" s="284"/>
      <c r="D1960" s="284"/>
      <c r="E1960" s="284"/>
      <c r="F1960" s="284"/>
      <c r="G1960" s="284"/>
      <c r="H1960" s="284"/>
      <c r="I1960" s="284"/>
      <c r="J1960" s="375"/>
      <c r="K1960" s="375"/>
      <c r="L1960" s="375"/>
      <c r="M1960" s="368"/>
      <c r="N1960" s="368"/>
      <c r="O1960" s="370"/>
      <c r="T1960" s="349"/>
      <c r="V1960" s="378"/>
      <c r="W1960" s="64" ph="1"/>
      <c r="X1960" s="241"/>
      <c r="Y1960" s="284"/>
      <c r="Z1960" s="207"/>
      <c r="AA1960" s="284"/>
      <c r="AB1960" s="284"/>
      <c r="AC1960" s="284"/>
      <c r="AD1960" s="284"/>
      <c r="AE1960" s="284"/>
      <c r="AF1960" s="284"/>
      <c r="AG1960" s="284"/>
    </row>
    <row r="1961" spans="1:33" ht="26.4">
      <c r="A1961" s="284"/>
      <c r="B1961" s="284"/>
      <c r="C1961" s="284"/>
      <c r="D1961" s="284"/>
      <c r="E1961" s="284"/>
      <c r="F1961" s="284"/>
      <c r="G1961" s="284"/>
      <c r="H1961" s="284"/>
      <c r="I1961" s="284"/>
      <c r="J1961" s="375"/>
      <c r="K1961" s="375"/>
      <c r="L1961" s="375"/>
      <c r="M1961" s="368"/>
      <c r="N1961" s="368"/>
      <c r="O1961" s="370"/>
      <c r="T1961" s="349"/>
      <c r="V1961" s="378"/>
      <c r="W1961" s="64" ph="1"/>
      <c r="X1961" s="241"/>
      <c r="Y1961" s="284"/>
      <c r="Z1961" s="207"/>
      <c r="AA1961" s="284"/>
      <c r="AB1961" s="284"/>
      <c r="AC1961" s="284"/>
      <c r="AD1961" s="284"/>
      <c r="AE1961" s="284"/>
      <c r="AF1961" s="284"/>
      <c r="AG1961" s="284"/>
    </row>
    <row r="1962" spans="1:33" ht="26.4">
      <c r="A1962" s="284"/>
      <c r="B1962" s="284"/>
      <c r="C1962" s="284"/>
      <c r="D1962" s="284"/>
      <c r="E1962" s="284"/>
      <c r="F1962" s="284"/>
      <c r="G1962" s="284"/>
      <c r="H1962" s="284"/>
      <c r="I1962" s="284"/>
      <c r="J1962" s="375"/>
      <c r="K1962" s="375"/>
      <c r="L1962" s="375"/>
      <c r="M1962" s="368"/>
      <c r="N1962" s="368"/>
      <c r="O1962" s="370"/>
      <c r="T1962" s="349"/>
      <c r="V1962" s="378"/>
      <c r="W1962" s="64" ph="1"/>
      <c r="X1962" s="241"/>
      <c r="Y1962" s="284"/>
      <c r="Z1962" s="207"/>
      <c r="AA1962" s="284"/>
      <c r="AB1962" s="284"/>
      <c r="AC1962" s="284"/>
      <c r="AD1962" s="284"/>
      <c r="AE1962" s="284"/>
      <c r="AF1962" s="284"/>
      <c r="AG1962" s="284"/>
    </row>
    <row r="1963" spans="1:33" ht="26.4">
      <c r="A1963" s="284"/>
      <c r="B1963" s="284"/>
      <c r="C1963" s="284"/>
      <c r="D1963" s="284"/>
      <c r="E1963" s="284"/>
      <c r="F1963" s="284"/>
      <c r="G1963" s="284"/>
      <c r="H1963" s="284"/>
      <c r="I1963" s="284"/>
      <c r="J1963" s="375"/>
      <c r="K1963" s="375"/>
      <c r="L1963" s="375"/>
      <c r="M1963" s="368"/>
      <c r="N1963" s="368"/>
      <c r="O1963" s="370"/>
      <c r="T1963" s="349"/>
      <c r="V1963" s="378"/>
      <c r="W1963" s="64" ph="1"/>
      <c r="X1963" s="241"/>
      <c r="Y1963" s="284"/>
      <c r="Z1963" s="207"/>
      <c r="AA1963" s="284"/>
      <c r="AB1963" s="284"/>
      <c r="AC1963" s="284"/>
      <c r="AD1963" s="284"/>
      <c r="AE1963" s="284"/>
      <c r="AF1963" s="284"/>
      <c r="AG1963" s="284"/>
    </row>
    <row r="1964" spans="1:33" ht="26.4">
      <c r="A1964" s="284"/>
      <c r="B1964" s="284"/>
      <c r="C1964" s="284"/>
      <c r="D1964" s="284"/>
      <c r="E1964" s="284"/>
      <c r="F1964" s="284"/>
      <c r="G1964" s="284"/>
      <c r="H1964" s="284"/>
      <c r="I1964" s="284"/>
      <c r="J1964" s="375"/>
      <c r="K1964" s="375"/>
      <c r="L1964" s="375"/>
      <c r="M1964" s="368"/>
      <c r="N1964" s="368"/>
      <c r="O1964" s="370"/>
      <c r="T1964" s="349"/>
      <c r="V1964" s="378"/>
      <c r="W1964" s="64" ph="1"/>
      <c r="X1964" s="241"/>
      <c r="Y1964" s="284"/>
      <c r="Z1964" s="207"/>
      <c r="AA1964" s="284"/>
      <c r="AB1964" s="284"/>
      <c r="AC1964" s="284"/>
      <c r="AD1964" s="284"/>
      <c r="AE1964" s="284"/>
      <c r="AF1964" s="284"/>
      <c r="AG1964" s="284"/>
    </row>
    <row r="1965" spans="1:33" ht="26.4">
      <c r="A1965" s="284"/>
      <c r="B1965" s="284"/>
      <c r="C1965" s="284"/>
      <c r="D1965" s="284"/>
      <c r="E1965" s="284"/>
      <c r="F1965" s="284"/>
      <c r="G1965" s="284"/>
      <c r="H1965" s="284"/>
      <c r="I1965" s="284"/>
      <c r="J1965" s="375"/>
      <c r="K1965" s="375"/>
      <c r="L1965" s="375"/>
      <c r="M1965" s="368"/>
      <c r="N1965" s="368"/>
      <c r="O1965" s="370"/>
      <c r="T1965" s="349"/>
      <c r="V1965" s="378"/>
      <c r="W1965" s="64" ph="1"/>
      <c r="X1965" s="241"/>
      <c r="Y1965" s="284"/>
      <c r="Z1965" s="207"/>
      <c r="AA1965" s="284"/>
      <c r="AB1965" s="284"/>
      <c r="AC1965" s="284"/>
      <c r="AD1965" s="284"/>
      <c r="AE1965" s="284"/>
      <c r="AF1965" s="284"/>
      <c r="AG1965" s="284"/>
    </row>
    <row r="1966" spans="1:33" ht="26.4">
      <c r="A1966" s="284"/>
      <c r="B1966" s="284"/>
      <c r="C1966" s="284"/>
      <c r="D1966" s="284"/>
      <c r="E1966" s="284"/>
      <c r="F1966" s="284"/>
      <c r="G1966" s="284"/>
      <c r="H1966" s="284"/>
      <c r="I1966" s="284"/>
      <c r="J1966" s="375"/>
      <c r="K1966" s="375"/>
      <c r="L1966" s="375"/>
      <c r="M1966" s="368"/>
      <c r="N1966" s="368"/>
      <c r="O1966" s="370"/>
      <c r="T1966" s="349"/>
      <c r="V1966" s="378"/>
      <c r="W1966" s="64" ph="1"/>
      <c r="X1966" s="241"/>
      <c r="Y1966" s="284"/>
      <c r="Z1966" s="207"/>
      <c r="AA1966" s="284"/>
      <c r="AB1966" s="284"/>
      <c r="AC1966" s="284"/>
      <c r="AD1966" s="284"/>
      <c r="AE1966" s="284"/>
      <c r="AF1966" s="284"/>
      <c r="AG1966" s="284"/>
    </row>
    <row r="1967" spans="1:33" ht="26.4">
      <c r="A1967" s="284"/>
      <c r="B1967" s="284"/>
      <c r="C1967" s="284"/>
      <c r="D1967" s="284"/>
      <c r="E1967" s="284"/>
      <c r="F1967" s="284"/>
      <c r="G1967" s="284"/>
      <c r="H1967" s="284"/>
      <c r="I1967" s="284"/>
      <c r="J1967" s="375"/>
      <c r="K1967" s="375"/>
      <c r="L1967" s="375"/>
      <c r="M1967" s="368"/>
      <c r="N1967" s="368"/>
      <c r="O1967" s="370"/>
      <c r="T1967" s="349"/>
      <c r="V1967" s="378"/>
      <c r="W1967" s="64" ph="1"/>
      <c r="X1967" s="241"/>
      <c r="Y1967" s="284"/>
      <c r="Z1967" s="207"/>
      <c r="AA1967" s="284"/>
      <c r="AB1967" s="284"/>
      <c r="AC1967" s="284"/>
      <c r="AD1967" s="284"/>
      <c r="AE1967" s="284"/>
      <c r="AF1967" s="284"/>
      <c r="AG1967" s="284"/>
    </row>
    <row r="1968" spans="1:33" ht="26.4">
      <c r="A1968" s="284"/>
      <c r="B1968" s="284"/>
      <c r="C1968" s="284"/>
      <c r="D1968" s="284"/>
      <c r="E1968" s="284"/>
      <c r="F1968" s="284"/>
      <c r="G1968" s="284"/>
      <c r="H1968" s="284"/>
      <c r="I1968" s="284"/>
      <c r="J1968" s="375"/>
      <c r="K1968" s="375"/>
      <c r="L1968" s="375"/>
      <c r="M1968" s="368"/>
      <c r="N1968" s="368"/>
      <c r="O1968" s="370"/>
      <c r="T1968" s="349"/>
      <c r="V1968" s="378"/>
      <c r="W1968" s="64" ph="1"/>
      <c r="X1968" s="241"/>
      <c r="Y1968" s="284"/>
      <c r="Z1968" s="207"/>
      <c r="AA1968" s="284"/>
      <c r="AB1968" s="284"/>
      <c r="AC1968" s="284"/>
      <c r="AD1968" s="284"/>
      <c r="AE1968" s="284"/>
      <c r="AF1968" s="284"/>
      <c r="AG1968" s="284"/>
    </row>
    <row r="1969" spans="1:33" ht="26.4">
      <c r="A1969" s="284"/>
      <c r="B1969" s="284"/>
      <c r="C1969" s="284"/>
      <c r="D1969" s="284"/>
      <c r="E1969" s="284"/>
      <c r="F1969" s="284"/>
      <c r="G1969" s="284"/>
      <c r="H1969" s="284"/>
      <c r="I1969" s="284"/>
      <c r="J1969" s="375"/>
      <c r="K1969" s="375"/>
      <c r="L1969" s="375"/>
      <c r="M1969" s="368"/>
      <c r="N1969" s="368"/>
      <c r="O1969" s="370"/>
      <c r="T1969" s="349"/>
      <c r="V1969" s="378"/>
      <c r="W1969" s="64" ph="1"/>
      <c r="X1969" s="241"/>
      <c r="Y1969" s="284"/>
      <c r="Z1969" s="207"/>
      <c r="AA1969" s="284"/>
      <c r="AB1969" s="284"/>
      <c r="AC1969" s="284"/>
      <c r="AD1969" s="284"/>
      <c r="AE1969" s="284"/>
      <c r="AF1969" s="284"/>
      <c r="AG1969" s="284"/>
    </row>
    <row r="1970" spans="1:33" ht="26.4">
      <c r="A1970" s="284"/>
      <c r="B1970" s="284"/>
      <c r="C1970" s="284"/>
      <c r="D1970" s="284"/>
      <c r="E1970" s="284"/>
      <c r="F1970" s="284"/>
      <c r="G1970" s="284"/>
      <c r="H1970" s="284"/>
      <c r="I1970" s="284"/>
      <c r="J1970" s="375"/>
      <c r="K1970" s="375"/>
      <c r="L1970" s="375"/>
      <c r="M1970" s="368"/>
      <c r="N1970" s="368"/>
      <c r="O1970" s="370"/>
      <c r="T1970" s="349"/>
      <c r="V1970" s="378"/>
      <c r="W1970" s="64" ph="1"/>
      <c r="X1970" s="241"/>
      <c r="Y1970" s="284"/>
      <c r="Z1970" s="207"/>
      <c r="AA1970" s="284"/>
      <c r="AB1970" s="284"/>
      <c r="AC1970" s="284"/>
      <c r="AD1970" s="284"/>
      <c r="AE1970" s="284"/>
      <c r="AF1970" s="284"/>
      <c r="AG1970" s="284"/>
    </row>
    <row r="1971" spans="1:33" ht="26.4">
      <c r="A1971" s="284"/>
      <c r="B1971" s="284"/>
      <c r="C1971" s="284"/>
      <c r="D1971" s="284"/>
      <c r="E1971" s="284"/>
      <c r="F1971" s="284"/>
      <c r="G1971" s="284"/>
      <c r="H1971" s="284"/>
      <c r="I1971" s="284"/>
      <c r="J1971" s="375"/>
      <c r="K1971" s="375"/>
      <c r="L1971" s="375"/>
      <c r="M1971" s="368"/>
      <c r="N1971" s="368"/>
      <c r="O1971" s="370"/>
      <c r="T1971" s="349"/>
      <c r="V1971" s="378"/>
      <c r="W1971" s="64" ph="1"/>
      <c r="X1971" s="241"/>
      <c r="Y1971" s="284"/>
      <c r="Z1971" s="207"/>
      <c r="AA1971" s="284"/>
      <c r="AB1971" s="284"/>
      <c r="AC1971" s="284"/>
      <c r="AD1971" s="284"/>
      <c r="AE1971" s="284"/>
      <c r="AF1971" s="284"/>
      <c r="AG1971" s="284"/>
    </row>
    <row r="1972" spans="1:33" ht="26.4">
      <c r="A1972" s="284"/>
      <c r="B1972" s="284"/>
      <c r="C1972" s="284"/>
      <c r="D1972" s="284"/>
      <c r="E1972" s="284"/>
      <c r="F1972" s="284"/>
      <c r="G1972" s="284"/>
      <c r="H1972" s="284"/>
      <c r="I1972" s="284"/>
      <c r="J1972" s="375"/>
      <c r="K1972" s="375"/>
      <c r="L1972" s="375"/>
      <c r="M1972" s="368"/>
      <c r="N1972" s="368"/>
      <c r="O1972" s="370"/>
      <c r="T1972" s="349"/>
      <c r="V1972" s="378"/>
      <c r="W1972" s="64" ph="1"/>
      <c r="X1972" s="241"/>
      <c r="Y1972" s="284"/>
      <c r="Z1972" s="207"/>
      <c r="AA1972" s="284"/>
      <c r="AB1972" s="284"/>
      <c r="AC1972" s="284"/>
      <c r="AD1972" s="284"/>
      <c r="AE1972" s="284"/>
      <c r="AF1972" s="284"/>
      <c r="AG1972" s="284"/>
    </row>
    <row r="1973" spans="1:33" ht="26.4">
      <c r="A1973" s="284"/>
      <c r="B1973" s="284"/>
      <c r="C1973" s="284"/>
      <c r="D1973" s="284"/>
      <c r="E1973" s="284"/>
      <c r="F1973" s="284"/>
      <c r="G1973" s="284"/>
      <c r="H1973" s="284"/>
      <c r="I1973" s="284"/>
      <c r="J1973" s="375"/>
      <c r="K1973" s="375"/>
      <c r="L1973" s="375"/>
      <c r="M1973" s="368"/>
      <c r="N1973" s="368"/>
      <c r="O1973" s="370"/>
      <c r="T1973" s="349"/>
      <c r="V1973" s="378"/>
      <c r="W1973" s="64" ph="1"/>
      <c r="X1973" s="241"/>
      <c r="Y1973" s="284"/>
      <c r="Z1973" s="207"/>
      <c r="AA1973" s="284"/>
      <c r="AB1973" s="284"/>
      <c r="AC1973" s="284"/>
      <c r="AD1973" s="284"/>
      <c r="AE1973" s="284"/>
      <c r="AF1973" s="284"/>
      <c r="AG1973" s="284"/>
    </row>
    <row r="1974" spans="1:33" ht="26.4">
      <c r="A1974" s="284"/>
      <c r="B1974" s="284"/>
      <c r="C1974" s="284"/>
      <c r="D1974" s="284"/>
      <c r="E1974" s="284"/>
      <c r="F1974" s="284"/>
      <c r="G1974" s="284"/>
      <c r="H1974" s="284"/>
      <c r="I1974" s="284"/>
      <c r="J1974" s="375"/>
      <c r="K1974" s="375"/>
      <c r="L1974" s="375"/>
      <c r="M1974" s="368"/>
      <c r="N1974" s="368"/>
      <c r="O1974" s="370"/>
      <c r="T1974" s="349"/>
      <c r="V1974" s="378"/>
      <c r="W1974" s="64" ph="1"/>
      <c r="X1974" s="241"/>
      <c r="Y1974" s="284"/>
      <c r="Z1974" s="207"/>
      <c r="AA1974" s="284"/>
      <c r="AB1974" s="284"/>
      <c r="AC1974" s="284"/>
      <c r="AD1974" s="284"/>
      <c r="AE1974" s="284"/>
      <c r="AF1974" s="284"/>
      <c r="AG1974" s="284"/>
    </row>
    <row r="1975" spans="1:33" ht="26.4">
      <c r="A1975" s="284"/>
      <c r="B1975" s="284"/>
      <c r="C1975" s="284"/>
      <c r="D1975" s="284"/>
      <c r="E1975" s="284"/>
      <c r="F1975" s="284"/>
      <c r="G1975" s="284"/>
      <c r="H1975" s="284"/>
      <c r="I1975" s="284"/>
      <c r="J1975" s="375"/>
      <c r="K1975" s="375"/>
      <c r="L1975" s="375"/>
      <c r="M1975" s="368"/>
      <c r="N1975" s="368"/>
      <c r="O1975" s="370"/>
      <c r="T1975" s="349"/>
      <c r="V1975" s="378"/>
      <c r="W1975" s="64" ph="1"/>
      <c r="X1975" s="241"/>
      <c r="Y1975" s="284"/>
      <c r="Z1975" s="207"/>
      <c r="AA1975" s="284"/>
      <c r="AB1975" s="284"/>
      <c r="AC1975" s="284"/>
      <c r="AD1975" s="284"/>
      <c r="AE1975" s="284"/>
      <c r="AF1975" s="284"/>
      <c r="AG1975" s="284"/>
    </row>
    <row r="1976" spans="1:33" ht="26.4">
      <c r="A1976" s="284"/>
      <c r="B1976" s="284"/>
      <c r="C1976" s="284"/>
      <c r="D1976" s="284"/>
      <c r="E1976" s="284"/>
      <c r="F1976" s="284"/>
      <c r="G1976" s="284"/>
      <c r="H1976" s="284"/>
      <c r="I1976" s="284"/>
      <c r="J1976" s="375"/>
      <c r="K1976" s="375"/>
      <c r="L1976" s="375"/>
      <c r="M1976" s="368"/>
      <c r="N1976" s="368"/>
      <c r="O1976" s="370"/>
      <c r="T1976" s="349"/>
      <c r="V1976" s="378"/>
      <c r="W1976" s="64" ph="1"/>
      <c r="X1976" s="241"/>
      <c r="Y1976" s="284"/>
      <c r="Z1976" s="207"/>
      <c r="AA1976" s="284"/>
      <c r="AB1976" s="284"/>
      <c r="AC1976" s="284"/>
      <c r="AD1976" s="284"/>
      <c r="AE1976" s="284"/>
      <c r="AF1976" s="284"/>
      <c r="AG1976" s="284"/>
    </row>
    <row r="1977" spans="1:33" ht="26.4">
      <c r="A1977" s="284"/>
      <c r="B1977" s="284"/>
      <c r="C1977" s="284"/>
      <c r="D1977" s="284"/>
      <c r="E1977" s="284"/>
      <c r="F1977" s="284"/>
      <c r="G1977" s="284"/>
      <c r="H1977" s="284"/>
      <c r="I1977" s="284"/>
      <c r="J1977" s="375"/>
      <c r="K1977" s="375"/>
      <c r="L1977" s="375"/>
      <c r="M1977" s="368"/>
      <c r="N1977" s="368"/>
      <c r="O1977" s="370"/>
      <c r="T1977" s="349"/>
      <c r="V1977" s="378"/>
      <c r="W1977" s="64" ph="1"/>
      <c r="X1977" s="241"/>
      <c r="Y1977" s="284"/>
      <c r="Z1977" s="207"/>
      <c r="AA1977" s="284"/>
      <c r="AB1977" s="284"/>
      <c r="AC1977" s="284"/>
      <c r="AD1977" s="284"/>
      <c r="AE1977" s="284"/>
      <c r="AF1977" s="284"/>
      <c r="AG1977" s="284"/>
    </row>
    <row r="1978" spans="1:33" ht="26.4">
      <c r="A1978" s="284"/>
      <c r="B1978" s="284"/>
      <c r="C1978" s="284"/>
      <c r="D1978" s="284"/>
      <c r="E1978" s="284"/>
      <c r="F1978" s="284"/>
      <c r="G1978" s="284"/>
      <c r="H1978" s="284"/>
      <c r="I1978" s="284"/>
      <c r="J1978" s="375"/>
      <c r="K1978" s="375"/>
      <c r="L1978" s="375"/>
      <c r="M1978" s="368"/>
      <c r="N1978" s="368"/>
      <c r="O1978" s="370"/>
      <c r="T1978" s="349"/>
      <c r="V1978" s="378"/>
      <c r="W1978" s="64" ph="1"/>
      <c r="X1978" s="241"/>
      <c r="Y1978" s="284"/>
      <c r="Z1978" s="207"/>
      <c r="AA1978" s="284"/>
      <c r="AB1978" s="284"/>
      <c r="AC1978" s="284"/>
      <c r="AD1978" s="284"/>
      <c r="AE1978" s="284"/>
      <c r="AF1978" s="284"/>
      <c r="AG1978" s="284"/>
    </row>
    <row r="1979" spans="1:33" ht="26.4">
      <c r="A1979" s="284"/>
      <c r="B1979" s="284"/>
      <c r="C1979" s="284"/>
      <c r="D1979" s="284"/>
      <c r="E1979" s="284"/>
      <c r="F1979" s="284"/>
      <c r="G1979" s="284"/>
      <c r="H1979" s="284"/>
      <c r="I1979" s="284"/>
      <c r="J1979" s="375"/>
      <c r="K1979" s="375"/>
      <c r="L1979" s="375"/>
      <c r="M1979" s="368"/>
      <c r="N1979" s="368"/>
      <c r="O1979" s="370"/>
      <c r="T1979" s="349"/>
      <c r="V1979" s="378"/>
      <c r="W1979" s="64" ph="1"/>
      <c r="X1979" s="241"/>
      <c r="Y1979" s="284"/>
      <c r="Z1979" s="207"/>
      <c r="AA1979" s="284"/>
      <c r="AB1979" s="284"/>
      <c r="AC1979" s="284"/>
      <c r="AD1979" s="284"/>
      <c r="AE1979" s="284"/>
      <c r="AF1979" s="284"/>
      <c r="AG1979" s="284"/>
    </row>
    <row r="1980" spans="1:33" ht="26.4">
      <c r="A1980" s="284"/>
      <c r="B1980" s="284"/>
      <c r="C1980" s="284"/>
      <c r="D1980" s="284"/>
      <c r="E1980" s="284"/>
      <c r="F1980" s="284"/>
      <c r="G1980" s="284"/>
      <c r="H1980" s="284"/>
      <c r="I1980" s="284"/>
      <c r="J1980" s="375"/>
      <c r="K1980" s="375"/>
      <c r="L1980" s="375"/>
      <c r="M1980" s="368"/>
      <c r="N1980" s="368"/>
      <c r="O1980" s="370"/>
      <c r="T1980" s="349"/>
      <c r="V1980" s="378"/>
      <c r="W1980" s="64" ph="1"/>
      <c r="X1980" s="241"/>
      <c r="Y1980" s="284"/>
      <c r="Z1980" s="207"/>
      <c r="AA1980" s="284"/>
      <c r="AB1980" s="284"/>
      <c r="AC1980" s="284"/>
      <c r="AD1980" s="284"/>
      <c r="AE1980" s="284"/>
      <c r="AF1980" s="284"/>
      <c r="AG1980" s="284"/>
    </row>
    <row r="1981" spans="1:33" ht="26.4">
      <c r="A1981" s="284"/>
      <c r="B1981" s="284"/>
      <c r="C1981" s="284"/>
      <c r="D1981" s="284"/>
      <c r="E1981" s="284"/>
      <c r="F1981" s="284"/>
      <c r="G1981" s="284"/>
      <c r="H1981" s="284"/>
      <c r="I1981" s="284"/>
      <c r="J1981" s="375"/>
      <c r="K1981" s="375"/>
      <c r="L1981" s="375"/>
      <c r="M1981" s="368"/>
      <c r="N1981" s="368"/>
      <c r="O1981" s="370"/>
      <c r="T1981" s="349"/>
      <c r="V1981" s="378"/>
      <c r="W1981" s="64" ph="1"/>
      <c r="X1981" s="241"/>
      <c r="Y1981" s="284"/>
      <c r="Z1981" s="207"/>
      <c r="AA1981" s="284"/>
      <c r="AB1981" s="284"/>
      <c r="AC1981" s="284"/>
      <c r="AD1981" s="284"/>
      <c r="AE1981" s="284"/>
      <c r="AF1981" s="284"/>
      <c r="AG1981" s="284"/>
    </row>
    <row r="1982" spans="1:33" ht="26.4">
      <c r="A1982" s="284"/>
      <c r="B1982" s="284"/>
      <c r="C1982" s="284"/>
      <c r="D1982" s="284"/>
      <c r="E1982" s="284"/>
      <c r="F1982" s="284"/>
      <c r="G1982" s="284"/>
      <c r="H1982" s="284"/>
      <c r="I1982" s="284"/>
      <c r="J1982" s="375"/>
      <c r="K1982" s="375"/>
      <c r="L1982" s="375"/>
      <c r="M1982" s="368"/>
      <c r="N1982" s="368"/>
      <c r="O1982" s="370"/>
      <c r="T1982" s="349"/>
      <c r="V1982" s="378"/>
      <c r="W1982" s="64" ph="1"/>
      <c r="X1982" s="241"/>
      <c r="Y1982" s="284"/>
      <c r="Z1982" s="207"/>
      <c r="AA1982" s="284"/>
      <c r="AB1982" s="284"/>
      <c r="AC1982" s="284"/>
      <c r="AD1982" s="284"/>
      <c r="AE1982" s="284"/>
      <c r="AF1982" s="284"/>
      <c r="AG1982" s="284"/>
    </row>
    <row r="1983" spans="1:33" ht="26.4">
      <c r="A1983" s="284"/>
      <c r="B1983" s="284"/>
      <c r="C1983" s="284"/>
      <c r="D1983" s="284"/>
      <c r="E1983" s="284"/>
      <c r="F1983" s="284"/>
      <c r="G1983" s="284"/>
      <c r="H1983" s="284"/>
      <c r="I1983" s="284"/>
      <c r="J1983" s="375"/>
      <c r="K1983" s="375"/>
      <c r="L1983" s="375"/>
      <c r="M1983" s="368"/>
      <c r="N1983" s="368"/>
      <c r="O1983" s="370"/>
      <c r="T1983" s="349"/>
      <c r="V1983" s="378"/>
      <c r="W1983" s="64" ph="1"/>
      <c r="X1983" s="241"/>
      <c r="Y1983" s="284"/>
      <c r="Z1983" s="207"/>
      <c r="AA1983" s="284"/>
      <c r="AB1983" s="284"/>
      <c r="AC1983" s="284"/>
      <c r="AD1983" s="284"/>
      <c r="AE1983" s="284"/>
      <c r="AF1983" s="284"/>
      <c r="AG1983" s="284"/>
    </row>
    <row r="1984" spans="1:33" ht="26.4">
      <c r="A1984" s="284"/>
      <c r="B1984" s="284"/>
      <c r="C1984" s="284"/>
      <c r="D1984" s="284"/>
      <c r="E1984" s="284"/>
      <c r="F1984" s="284"/>
      <c r="G1984" s="284"/>
      <c r="H1984" s="284"/>
      <c r="I1984" s="284"/>
      <c r="J1984" s="375"/>
      <c r="K1984" s="375"/>
      <c r="L1984" s="375"/>
      <c r="M1984" s="368"/>
      <c r="N1984" s="368"/>
      <c r="O1984" s="370"/>
      <c r="T1984" s="349"/>
      <c r="V1984" s="378"/>
      <c r="W1984" s="64" ph="1"/>
      <c r="X1984" s="241"/>
      <c r="Y1984" s="284"/>
      <c r="Z1984" s="207"/>
      <c r="AA1984" s="284"/>
      <c r="AB1984" s="284"/>
      <c r="AC1984" s="284"/>
      <c r="AD1984" s="284"/>
      <c r="AE1984" s="284"/>
      <c r="AF1984" s="284"/>
      <c r="AG1984" s="284"/>
    </row>
    <row r="1985" spans="1:33" ht="26.4">
      <c r="A1985" s="284"/>
      <c r="B1985" s="284"/>
      <c r="C1985" s="284"/>
      <c r="D1985" s="284"/>
      <c r="E1985" s="284"/>
      <c r="F1985" s="284"/>
      <c r="G1985" s="284"/>
      <c r="H1985" s="284"/>
      <c r="I1985" s="284"/>
      <c r="J1985" s="375"/>
      <c r="K1985" s="375"/>
      <c r="L1985" s="375"/>
      <c r="M1985" s="368"/>
      <c r="N1985" s="368"/>
      <c r="O1985" s="370"/>
      <c r="T1985" s="349"/>
      <c r="V1985" s="378"/>
      <c r="W1985" s="64" ph="1"/>
      <c r="X1985" s="241"/>
      <c r="Y1985" s="284"/>
      <c r="Z1985" s="207"/>
      <c r="AA1985" s="284"/>
      <c r="AB1985" s="284"/>
      <c r="AC1985" s="284"/>
      <c r="AD1985" s="284"/>
      <c r="AE1985" s="284"/>
      <c r="AF1985" s="284"/>
      <c r="AG1985" s="284"/>
    </row>
    <row r="1986" spans="1:33" ht="26.4">
      <c r="A1986" s="284"/>
      <c r="B1986" s="284"/>
      <c r="C1986" s="284"/>
      <c r="D1986" s="284"/>
      <c r="E1986" s="284"/>
      <c r="F1986" s="284"/>
      <c r="G1986" s="284"/>
      <c r="H1986" s="284"/>
      <c r="I1986" s="284"/>
      <c r="J1986" s="375"/>
      <c r="K1986" s="375"/>
      <c r="L1986" s="375"/>
      <c r="M1986" s="368"/>
      <c r="N1986" s="368"/>
      <c r="O1986" s="370"/>
      <c r="T1986" s="349"/>
      <c r="V1986" s="378"/>
      <c r="W1986" s="64" ph="1"/>
      <c r="X1986" s="241"/>
      <c r="Y1986" s="284"/>
      <c r="Z1986" s="207"/>
      <c r="AA1986" s="284"/>
      <c r="AB1986" s="284"/>
      <c r="AC1986" s="284"/>
      <c r="AD1986" s="284"/>
      <c r="AE1986" s="284"/>
      <c r="AF1986" s="284"/>
      <c r="AG1986" s="284"/>
    </row>
    <row r="1987" spans="1:33" ht="26.4">
      <c r="A1987" s="284"/>
      <c r="B1987" s="284"/>
      <c r="C1987" s="284"/>
      <c r="D1987" s="284"/>
      <c r="E1987" s="284"/>
      <c r="F1987" s="284"/>
      <c r="G1987" s="284"/>
      <c r="H1987" s="284"/>
      <c r="I1987" s="284"/>
      <c r="J1987" s="375"/>
      <c r="K1987" s="375"/>
      <c r="L1987" s="375"/>
      <c r="M1987" s="368"/>
      <c r="N1987" s="368"/>
      <c r="O1987" s="370"/>
      <c r="T1987" s="349"/>
      <c r="V1987" s="378"/>
      <c r="W1987" s="64" ph="1"/>
      <c r="X1987" s="241"/>
      <c r="Y1987" s="284"/>
      <c r="Z1987" s="207"/>
      <c r="AA1987" s="284"/>
      <c r="AB1987" s="284"/>
      <c r="AC1987" s="284"/>
      <c r="AD1987" s="284"/>
      <c r="AE1987" s="284"/>
      <c r="AF1987" s="284"/>
      <c r="AG1987" s="284"/>
    </row>
    <row r="1988" spans="1:33" ht="26.4">
      <c r="A1988" s="284"/>
      <c r="B1988" s="284"/>
      <c r="C1988" s="284"/>
      <c r="D1988" s="284"/>
      <c r="E1988" s="284"/>
      <c r="F1988" s="284"/>
      <c r="G1988" s="284"/>
      <c r="H1988" s="284"/>
      <c r="I1988" s="284"/>
      <c r="J1988" s="375"/>
      <c r="K1988" s="375"/>
      <c r="L1988" s="375"/>
      <c r="M1988" s="368"/>
      <c r="N1988" s="368"/>
      <c r="O1988" s="370"/>
      <c r="T1988" s="349"/>
      <c r="V1988" s="378"/>
      <c r="W1988" s="64" ph="1"/>
      <c r="X1988" s="241"/>
      <c r="Y1988" s="284"/>
      <c r="Z1988" s="207"/>
      <c r="AA1988" s="284"/>
      <c r="AB1988" s="284"/>
      <c r="AC1988" s="284"/>
      <c r="AD1988" s="284"/>
      <c r="AE1988" s="284"/>
      <c r="AF1988" s="284"/>
      <c r="AG1988" s="284"/>
    </row>
    <row r="1989" spans="1:33" ht="26.4">
      <c r="A1989" s="284"/>
      <c r="B1989" s="284"/>
      <c r="C1989" s="284"/>
      <c r="D1989" s="284"/>
      <c r="E1989" s="284"/>
      <c r="F1989" s="284"/>
      <c r="G1989" s="284"/>
      <c r="H1989" s="284"/>
      <c r="I1989" s="284"/>
      <c r="J1989" s="375"/>
      <c r="K1989" s="375"/>
      <c r="L1989" s="375"/>
      <c r="M1989" s="368"/>
      <c r="N1989" s="368"/>
      <c r="O1989" s="370"/>
      <c r="T1989" s="349"/>
      <c r="V1989" s="378"/>
      <c r="W1989" s="64" ph="1"/>
      <c r="X1989" s="241"/>
      <c r="Y1989" s="284"/>
      <c r="Z1989" s="207"/>
      <c r="AA1989" s="284"/>
      <c r="AB1989" s="284"/>
      <c r="AC1989" s="284"/>
      <c r="AD1989" s="284"/>
      <c r="AE1989" s="284"/>
      <c r="AF1989" s="284"/>
      <c r="AG1989" s="284"/>
    </row>
    <row r="1990" spans="1:33" ht="26.4">
      <c r="A1990" s="284"/>
      <c r="B1990" s="284"/>
      <c r="C1990" s="284"/>
      <c r="D1990" s="284"/>
      <c r="E1990" s="284"/>
      <c r="F1990" s="284"/>
      <c r="G1990" s="284"/>
      <c r="H1990" s="284"/>
      <c r="I1990" s="284"/>
      <c r="J1990" s="375"/>
      <c r="K1990" s="375"/>
      <c r="L1990" s="375"/>
      <c r="M1990" s="368"/>
      <c r="N1990" s="368"/>
      <c r="O1990" s="370"/>
      <c r="T1990" s="349"/>
      <c r="V1990" s="378"/>
      <c r="W1990" s="64" ph="1"/>
      <c r="X1990" s="241"/>
      <c r="Y1990" s="284"/>
      <c r="Z1990" s="207"/>
      <c r="AA1990" s="284"/>
      <c r="AB1990" s="284"/>
      <c r="AC1990" s="284"/>
      <c r="AD1990" s="284"/>
      <c r="AE1990" s="284"/>
      <c r="AF1990" s="284"/>
      <c r="AG1990" s="284"/>
    </row>
    <row r="1991" spans="1:33" ht="26.4">
      <c r="A1991" s="284"/>
      <c r="B1991" s="284"/>
      <c r="C1991" s="284"/>
      <c r="D1991" s="284"/>
      <c r="E1991" s="284"/>
      <c r="F1991" s="284"/>
      <c r="G1991" s="284"/>
      <c r="H1991" s="284"/>
      <c r="I1991" s="284"/>
      <c r="J1991" s="375"/>
      <c r="K1991" s="375"/>
      <c r="L1991" s="375"/>
      <c r="M1991" s="368"/>
      <c r="N1991" s="368"/>
      <c r="O1991" s="370"/>
      <c r="T1991" s="349"/>
      <c r="V1991" s="378"/>
      <c r="W1991" s="64" ph="1"/>
      <c r="X1991" s="241"/>
      <c r="Y1991" s="284"/>
      <c r="Z1991" s="207"/>
      <c r="AA1991" s="284"/>
      <c r="AB1991" s="284"/>
      <c r="AC1991" s="284"/>
      <c r="AD1991" s="284"/>
      <c r="AE1991" s="284"/>
      <c r="AF1991" s="284"/>
      <c r="AG1991" s="284"/>
    </row>
    <row r="1992" spans="1:33" ht="26.4">
      <c r="A1992" s="284"/>
      <c r="B1992" s="284"/>
      <c r="C1992" s="284"/>
      <c r="D1992" s="284"/>
      <c r="E1992" s="284"/>
      <c r="F1992" s="284"/>
      <c r="G1992" s="284"/>
      <c r="H1992" s="284"/>
      <c r="I1992" s="284"/>
      <c r="J1992" s="375"/>
      <c r="K1992" s="375"/>
      <c r="L1992" s="375"/>
      <c r="M1992" s="368"/>
      <c r="N1992" s="368"/>
      <c r="O1992" s="370"/>
      <c r="T1992" s="349"/>
      <c r="V1992" s="378"/>
      <c r="W1992" s="64" ph="1"/>
      <c r="X1992" s="241"/>
      <c r="Y1992" s="284"/>
      <c r="Z1992" s="207"/>
      <c r="AA1992" s="284"/>
      <c r="AB1992" s="284"/>
      <c r="AC1992" s="284"/>
      <c r="AD1992" s="284"/>
      <c r="AE1992" s="284"/>
      <c r="AF1992" s="284"/>
      <c r="AG1992" s="284"/>
    </row>
    <row r="1993" spans="1:33" ht="26.4">
      <c r="A1993" s="284"/>
      <c r="B1993" s="284"/>
      <c r="C1993" s="284"/>
      <c r="D1993" s="284"/>
      <c r="E1993" s="284"/>
      <c r="F1993" s="284"/>
      <c r="G1993" s="284"/>
      <c r="H1993" s="284"/>
      <c r="I1993" s="284"/>
      <c r="J1993" s="375"/>
      <c r="K1993" s="375"/>
      <c r="L1993" s="375"/>
      <c r="M1993" s="368"/>
      <c r="N1993" s="368"/>
      <c r="O1993" s="370"/>
      <c r="T1993" s="349"/>
      <c r="V1993" s="378"/>
      <c r="W1993" s="64" ph="1"/>
      <c r="X1993" s="241"/>
      <c r="Y1993" s="284"/>
      <c r="Z1993" s="207"/>
      <c r="AA1993" s="284"/>
      <c r="AB1993" s="284"/>
      <c r="AC1993" s="284"/>
      <c r="AD1993" s="284"/>
      <c r="AE1993" s="284"/>
      <c r="AF1993" s="284"/>
      <c r="AG1993" s="284"/>
    </row>
    <row r="1994" spans="1:33" ht="26.4">
      <c r="A1994" s="284"/>
      <c r="B1994" s="284"/>
      <c r="C1994" s="284"/>
      <c r="D1994" s="284"/>
      <c r="E1994" s="284"/>
      <c r="F1994" s="284"/>
      <c r="G1994" s="284"/>
      <c r="H1994" s="284"/>
      <c r="I1994" s="284"/>
      <c r="J1994" s="375"/>
      <c r="K1994" s="375"/>
      <c r="L1994" s="375"/>
      <c r="M1994" s="368"/>
      <c r="N1994" s="368"/>
      <c r="O1994" s="370"/>
      <c r="T1994" s="349"/>
      <c r="V1994" s="378"/>
      <c r="W1994" s="64" ph="1"/>
      <c r="X1994" s="241"/>
      <c r="Y1994" s="284"/>
      <c r="Z1994" s="207"/>
      <c r="AA1994" s="284"/>
      <c r="AB1994" s="284"/>
      <c r="AC1994" s="284"/>
      <c r="AD1994" s="284"/>
      <c r="AE1994" s="284"/>
      <c r="AF1994" s="284"/>
      <c r="AG1994" s="284"/>
    </row>
    <row r="1995" spans="1:33" ht="26.4">
      <c r="A1995" s="284"/>
      <c r="B1995" s="284"/>
      <c r="C1995" s="284"/>
      <c r="D1995" s="284"/>
      <c r="E1995" s="284"/>
      <c r="F1995" s="284"/>
      <c r="G1995" s="284"/>
      <c r="H1995" s="284"/>
      <c r="I1995" s="284"/>
      <c r="J1995" s="375"/>
      <c r="K1995" s="375"/>
      <c r="L1995" s="375"/>
      <c r="M1995" s="368"/>
      <c r="N1995" s="368"/>
      <c r="O1995" s="370"/>
      <c r="T1995" s="349"/>
      <c r="V1995" s="378"/>
      <c r="W1995" s="64" ph="1"/>
      <c r="X1995" s="241"/>
      <c r="Y1995" s="284"/>
      <c r="Z1995" s="207"/>
      <c r="AA1995" s="284"/>
      <c r="AB1995" s="284"/>
      <c r="AC1995" s="284"/>
      <c r="AD1995" s="284"/>
      <c r="AE1995" s="284"/>
      <c r="AF1995" s="284"/>
      <c r="AG1995" s="284"/>
    </row>
    <row r="1996" spans="1:33" ht="26.4">
      <c r="A1996" s="284"/>
      <c r="B1996" s="284"/>
      <c r="C1996" s="284"/>
      <c r="D1996" s="284"/>
      <c r="E1996" s="284"/>
      <c r="F1996" s="284"/>
      <c r="G1996" s="284"/>
      <c r="H1996" s="284"/>
      <c r="I1996" s="284"/>
      <c r="J1996" s="375"/>
      <c r="K1996" s="375"/>
      <c r="L1996" s="375"/>
      <c r="M1996" s="368"/>
      <c r="N1996" s="368"/>
      <c r="O1996" s="370"/>
      <c r="T1996" s="349"/>
      <c r="V1996" s="378"/>
      <c r="W1996" s="64" ph="1"/>
      <c r="X1996" s="241"/>
      <c r="Y1996" s="284"/>
      <c r="Z1996" s="207"/>
      <c r="AA1996" s="284"/>
      <c r="AB1996" s="284"/>
      <c r="AC1996" s="284"/>
      <c r="AD1996" s="284"/>
      <c r="AE1996" s="284"/>
      <c r="AF1996" s="284"/>
      <c r="AG1996" s="284"/>
    </row>
    <row r="1997" spans="1:33" ht="26.4">
      <c r="A1997" s="284"/>
      <c r="B1997" s="284"/>
      <c r="C1997" s="284"/>
      <c r="D1997" s="284"/>
      <c r="E1997" s="284"/>
      <c r="F1997" s="284"/>
      <c r="G1997" s="284"/>
      <c r="H1997" s="284"/>
      <c r="I1997" s="284"/>
      <c r="J1997" s="375"/>
      <c r="K1997" s="375"/>
      <c r="L1997" s="375"/>
      <c r="M1997" s="368"/>
      <c r="N1997" s="368"/>
      <c r="O1997" s="370"/>
      <c r="T1997" s="349"/>
      <c r="V1997" s="378"/>
      <c r="W1997" s="64" ph="1"/>
      <c r="X1997" s="241"/>
      <c r="Y1997" s="284"/>
      <c r="Z1997" s="207"/>
      <c r="AA1997" s="284"/>
      <c r="AB1997" s="284"/>
      <c r="AC1997" s="284"/>
      <c r="AD1997" s="284"/>
      <c r="AE1997" s="284"/>
      <c r="AF1997" s="284"/>
      <c r="AG1997" s="284"/>
    </row>
    <row r="1998" spans="1:33" ht="26.4">
      <c r="A1998" s="284"/>
      <c r="B1998" s="284"/>
      <c r="C1998" s="284"/>
      <c r="D1998" s="284"/>
      <c r="E1998" s="284"/>
      <c r="F1998" s="284"/>
      <c r="G1998" s="284"/>
      <c r="H1998" s="284"/>
      <c r="I1998" s="284"/>
      <c r="J1998" s="375"/>
      <c r="K1998" s="375"/>
      <c r="L1998" s="375"/>
      <c r="M1998" s="368"/>
      <c r="N1998" s="368"/>
      <c r="O1998" s="370"/>
      <c r="T1998" s="349"/>
      <c r="V1998" s="378"/>
      <c r="W1998" s="64" ph="1"/>
      <c r="X1998" s="241"/>
      <c r="Y1998" s="284"/>
      <c r="Z1998" s="207"/>
      <c r="AA1998" s="284"/>
      <c r="AB1998" s="284"/>
      <c r="AC1998" s="284"/>
      <c r="AD1998" s="284"/>
      <c r="AE1998" s="284"/>
      <c r="AF1998" s="284"/>
      <c r="AG1998" s="284"/>
    </row>
    <row r="1999" spans="1:33" ht="26.4">
      <c r="A1999" s="284"/>
      <c r="B1999" s="284"/>
      <c r="C1999" s="284"/>
      <c r="D1999" s="284"/>
      <c r="E1999" s="284"/>
      <c r="F1999" s="284"/>
      <c r="G1999" s="284"/>
      <c r="H1999" s="284"/>
      <c r="I1999" s="284"/>
      <c r="J1999" s="375"/>
      <c r="K1999" s="375"/>
      <c r="L1999" s="375"/>
      <c r="M1999" s="368"/>
      <c r="N1999" s="368"/>
      <c r="O1999" s="370"/>
      <c r="T1999" s="349"/>
      <c r="V1999" s="378"/>
      <c r="W1999" s="64" ph="1"/>
      <c r="X1999" s="241"/>
      <c r="Y1999" s="284"/>
      <c r="Z1999" s="207"/>
      <c r="AA1999" s="284"/>
      <c r="AB1999" s="284"/>
      <c r="AC1999" s="284"/>
      <c r="AD1999" s="284"/>
      <c r="AE1999" s="284"/>
      <c r="AF1999" s="284"/>
      <c r="AG1999" s="284"/>
    </row>
    <row r="2000" spans="1:33" ht="26.4">
      <c r="A2000" s="284"/>
      <c r="B2000" s="284"/>
      <c r="C2000" s="284"/>
      <c r="D2000" s="284"/>
      <c r="E2000" s="284"/>
      <c r="F2000" s="284"/>
      <c r="G2000" s="284"/>
      <c r="H2000" s="284"/>
      <c r="I2000" s="284"/>
      <c r="J2000" s="375"/>
      <c r="K2000" s="375"/>
      <c r="L2000" s="375"/>
      <c r="M2000" s="368"/>
      <c r="N2000" s="368"/>
      <c r="O2000" s="370"/>
      <c r="T2000" s="349"/>
      <c r="V2000" s="378"/>
      <c r="W2000" s="64" ph="1"/>
      <c r="X2000" s="241"/>
      <c r="Y2000" s="284"/>
      <c r="Z2000" s="207"/>
      <c r="AA2000" s="284"/>
      <c r="AB2000" s="284"/>
      <c r="AC2000" s="284"/>
      <c r="AD2000" s="284"/>
      <c r="AE2000" s="284"/>
      <c r="AF2000" s="284"/>
      <c r="AG2000" s="284"/>
    </row>
    <row r="2001" spans="1:33" ht="26.4">
      <c r="A2001" s="284"/>
      <c r="B2001" s="284"/>
      <c r="C2001" s="284"/>
      <c r="D2001" s="284"/>
      <c r="E2001" s="284"/>
      <c r="F2001" s="284"/>
      <c r="G2001" s="284"/>
      <c r="H2001" s="284"/>
      <c r="I2001" s="284"/>
      <c r="J2001" s="375"/>
      <c r="K2001" s="375"/>
      <c r="L2001" s="375"/>
      <c r="M2001" s="368"/>
      <c r="N2001" s="368"/>
      <c r="O2001" s="370"/>
      <c r="T2001" s="349"/>
      <c r="V2001" s="378"/>
      <c r="W2001" s="64" ph="1"/>
      <c r="X2001" s="241"/>
      <c r="Y2001" s="284"/>
      <c r="Z2001" s="207"/>
      <c r="AA2001" s="284"/>
      <c r="AB2001" s="284"/>
      <c r="AC2001" s="284"/>
      <c r="AD2001" s="284"/>
      <c r="AE2001" s="284"/>
      <c r="AF2001" s="284"/>
      <c r="AG2001" s="284"/>
    </row>
    <row r="2002" spans="1:33" ht="26.4">
      <c r="A2002" s="284"/>
      <c r="B2002" s="284"/>
      <c r="C2002" s="284"/>
      <c r="D2002" s="284"/>
      <c r="E2002" s="284"/>
      <c r="F2002" s="284"/>
      <c r="G2002" s="284"/>
      <c r="H2002" s="284"/>
      <c r="I2002" s="284"/>
      <c r="J2002" s="375"/>
      <c r="K2002" s="375"/>
      <c r="L2002" s="375"/>
      <c r="M2002" s="368"/>
      <c r="N2002" s="368"/>
      <c r="O2002" s="370"/>
      <c r="T2002" s="349"/>
      <c r="V2002" s="378"/>
      <c r="W2002" s="64" ph="1"/>
      <c r="X2002" s="241"/>
      <c r="Y2002" s="284"/>
      <c r="Z2002" s="207"/>
      <c r="AA2002" s="284"/>
      <c r="AB2002" s="284"/>
      <c r="AC2002" s="284"/>
      <c r="AD2002" s="284"/>
      <c r="AE2002" s="284"/>
      <c r="AF2002" s="284"/>
      <c r="AG2002" s="284"/>
    </row>
    <row r="2003" spans="1:33" ht="26.4">
      <c r="A2003" s="284"/>
      <c r="B2003" s="284"/>
      <c r="C2003" s="284"/>
      <c r="D2003" s="284"/>
      <c r="E2003" s="284"/>
      <c r="F2003" s="284"/>
      <c r="G2003" s="284"/>
      <c r="H2003" s="284"/>
      <c r="I2003" s="284"/>
      <c r="J2003" s="375"/>
      <c r="K2003" s="375"/>
      <c r="L2003" s="375"/>
      <c r="M2003" s="368"/>
      <c r="N2003" s="368"/>
      <c r="O2003" s="370"/>
      <c r="T2003" s="349"/>
      <c r="V2003" s="378"/>
      <c r="W2003" s="64" ph="1"/>
      <c r="X2003" s="241"/>
      <c r="Y2003" s="284"/>
      <c r="Z2003" s="207"/>
      <c r="AA2003" s="284"/>
      <c r="AB2003" s="284"/>
      <c r="AC2003" s="284"/>
      <c r="AD2003" s="284"/>
      <c r="AE2003" s="284"/>
      <c r="AF2003" s="284"/>
      <c r="AG2003" s="284"/>
    </row>
    <row r="2004" spans="1:33" ht="26.4">
      <c r="A2004" s="284"/>
      <c r="B2004" s="284"/>
      <c r="C2004" s="284"/>
      <c r="D2004" s="284"/>
      <c r="E2004" s="284"/>
      <c r="F2004" s="284"/>
      <c r="G2004" s="284"/>
      <c r="H2004" s="284"/>
      <c r="I2004" s="284"/>
      <c r="J2004" s="375"/>
      <c r="K2004" s="375"/>
      <c r="L2004" s="375"/>
      <c r="M2004" s="368"/>
      <c r="N2004" s="368"/>
      <c r="O2004" s="370"/>
      <c r="T2004" s="349"/>
      <c r="V2004" s="378"/>
      <c r="W2004" s="64" ph="1"/>
      <c r="X2004" s="241"/>
      <c r="Y2004" s="284"/>
      <c r="Z2004" s="207"/>
      <c r="AA2004" s="284"/>
      <c r="AB2004" s="284"/>
      <c r="AC2004" s="284"/>
      <c r="AD2004" s="284"/>
      <c r="AE2004" s="284"/>
      <c r="AF2004" s="284"/>
      <c r="AG2004" s="284"/>
    </row>
    <row r="2005" spans="1:33" ht="26.4">
      <c r="A2005" s="284"/>
      <c r="B2005" s="284"/>
      <c r="C2005" s="284"/>
      <c r="D2005" s="284"/>
      <c r="E2005" s="284"/>
      <c r="F2005" s="284"/>
      <c r="G2005" s="284"/>
      <c r="H2005" s="284"/>
      <c r="I2005" s="284"/>
      <c r="J2005" s="375"/>
      <c r="K2005" s="375"/>
      <c r="L2005" s="375"/>
      <c r="M2005" s="368"/>
      <c r="N2005" s="368"/>
      <c r="O2005" s="370"/>
      <c r="T2005" s="349"/>
      <c r="V2005" s="378"/>
      <c r="W2005" s="64" ph="1"/>
      <c r="X2005" s="241"/>
      <c r="Y2005" s="284"/>
      <c r="Z2005" s="207"/>
      <c r="AA2005" s="284"/>
      <c r="AB2005" s="284"/>
      <c r="AC2005" s="284"/>
      <c r="AD2005" s="284"/>
      <c r="AE2005" s="284"/>
      <c r="AF2005" s="284"/>
      <c r="AG2005" s="284"/>
    </row>
    <row r="2006" spans="1:33" ht="26.4">
      <c r="A2006" s="284"/>
      <c r="B2006" s="284"/>
      <c r="C2006" s="284"/>
      <c r="D2006" s="284"/>
      <c r="E2006" s="284"/>
      <c r="F2006" s="284"/>
      <c r="G2006" s="284"/>
      <c r="H2006" s="284"/>
      <c r="I2006" s="284"/>
      <c r="J2006" s="375"/>
      <c r="K2006" s="375"/>
      <c r="L2006" s="375"/>
      <c r="M2006" s="368"/>
      <c r="N2006" s="368"/>
      <c r="O2006" s="370"/>
      <c r="T2006" s="349"/>
      <c r="V2006" s="378"/>
      <c r="W2006" s="64" ph="1"/>
      <c r="X2006" s="241"/>
      <c r="Y2006" s="284"/>
      <c r="Z2006" s="207"/>
      <c r="AA2006" s="284"/>
      <c r="AB2006" s="284"/>
      <c r="AC2006" s="284"/>
      <c r="AD2006" s="284"/>
      <c r="AE2006" s="284"/>
      <c r="AF2006" s="284"/>
      <c r="AG2006" s="284"/>
    </row>
    <row r="2007" spans="1:33" ht="26.4">
      <c r="A2007" s="284"/>
      <c r="B2007" s="284"/>
      <c r="C2007" s="284"/>
      <c r="D2007" s="284"/>
      <c r="E2007" s="284"/>
      <c r="F2007" s="284"/>
      <c r="G2007" s="284"/>
      <c r="H2007" s="284"/>
      <c r="I2007" s="284"/>
      <c r="J2007" s="375"/>
      <c r="K2007" s="375"/>
      <c r="L2007" s="375"/>
      <c r="M2007" s="368"/>
      <c r="N2007" s="368"/>
      <c r="O2007" s="370"/>
      <c r="T2007" s="349"/>
      <c r="V2007" s="378"/>
      <c r="W2007" s="64" ph="1"/>
      <c r="X2007" s="241"/>
      <c r="Y2007" s="284"/>
      <c r="Z2007" s="207"/>
      <c r="AA2007" s="284"/>
      <c r="AB2007" s="284"/>
      <c r="AC2007" s="284"/>
      <c r="AD2007" s="284"/>
      <c r="AE2007" s="284"/>
      <c r="AF2007" s="284"/>
      <c r="AG2007" s="284"/>
    </row>
    <row r="2008" spans="1:33" ht="26.4">
      <c r="A2008" s="284"/>
      <c r="B2008" s="284"/>
      <c r="C2008" s="284"/>
      <c r="D2008" s="284"/>
      <c r="E2008" s="284"/>
      <c r="F2008" s="284"/>
      <c r="G2008" s="284"/>
      <c r="H2008" s="284"/>
      <c r="I2008" s="284"/>
      <c r="J2008" s="375"/>
      <c r="K2008" s="375"/>
      <c r="L2008" s="375"/>
      <c r="M2008" s="368"/>
      <c r="N2008" s="368"/>
      <c r="O2008" s="370"/>
      <c r="T2008" s="349"/>
      <c r="V2008" s="378"/>
      <c r="W2008" s="64" ph="1"/>
      <c r="X2008" s="241"/>
      <c r="Y2008" s="284"/>
      <c r="Z2008" s="207"/>
      <c r="AA2008" s="284"/>
      <c r="AB2008" s="284"/>
      <c r="AC2008" s="284"/>
      <c r="AD2008" s="284"/>
      <c r="AE2008" s="284"/>
      <c r="AF2008" s="284"/>
      <c r="AG2008" s="284"/>
    </row>
    <row r="2009" spans="1:33" ht="26.4">
      <c r="A2009" s="284"/>
      <c r="B2009" s="284"/>
      <c r="C2009" s="284"/>
      <c r="D2009" s="284"/>
      <c r="E2009" s="284"/>
      <c r="F2009" s="284"/>
      <c r="G2009" s="284"/>
      <c r="H2009" s="284"/>
      <c r="I2009" s="284"/>
      <c r="J2009" s="375"/>
      <c r="K2009" s="375"/>
      <c r="L2009" s="375"/>
      <c r="M2009" s="368"/>
      <c r="N2009" s="368"/>
      <c r="O2009" s="370"/>
      <c r="T2009" s="349"/>
      <c r="V2009" s="378"/>
      <c r="W2009" s="64" ph="1"/>
      <c r="X2009" s="241"/>
      <c r="Y2009" s="284"/>
      <c r="Z2009" s="207"/>
      <c r="AA2009" s="284"/>
      <c r="AB2009" s="284"/>
      <c r="AC2009" s="284"/>
      <c r="AD2009" s="284"/>
      <c r="AE2009" s="284"/>
      <c r="AF2009" s="284"/>
      <c r="AG2009" s="284"/>
    </row>
    <row r="2010" spans="1:33" ht="26.4">
      <c r="A2010" s="284"/>
      <c r="B2010" s="284"/>
      <c r="C2010" s="284"/>
      <c r="D2010" s="284"/>
      <c r="E2010" s="284"/>
      <c r="F2010" s="284"/>
      <c r="G2010" s="284"/>
      <c r="H2010" s="284"/>
      <c r="I2010" s="284"/>
      <c r="J2010" s="375"/>
      <c r="K2010" s="375"/>
      <c r="L2010" s="375"/>
      <c r="M2010" s="368"/>
      <c r="N2010" s="368"/>
      <c r="O2010" s="370"/>
      <c r="T2010" s="349"/>
      <c r="V2010" s="378"/>
      <c r="W2010" s="64" ph="1"/>
      <c r="X2010" s="241"/>
      <c r="Y2010" s="284"/>
      <c r="Z2010" s="207"/>
      <c r="AA2010" s="284"/>
      <c r="AB2010" s="284"/>
      <c r="AC2010" s="284"/>
      <c r="AD2010" s="284"/>
      <c r="AE2010" s="284"/>
      <c r="AF2010" s="284"/>
      <c r="AG2010" s="284"/>
    </row>
    <row r="2011" spans="1:33" ht="26.4">
      <c r="A2011" s="284"/>
      <c r="B2011" s="284"/>
      <c r="C2011" s="284"/>
      <c r="D2011" s="284"/>
      <c r="E2011" s="284"/>
      <c r="F2011" s="284"/>
      <c r="G2011" s="284"/>
      <c r="H2011" s="284"/>
      <c r="I2011" s="284"/>
      <c r="J2011" s="375"/>
      <c r="K2011" s="375"/>
      <c r="L2011" s="375"/>
      <c r="M2011" s="368"/>
      <c r="N2011" s="368"/>
      <c r="O2011" s="370"/>
      <c r="T2011" s="349"/>
      <c r="V2011" s="378"/>
      <c r="W2011" s="64" ph="1"/>
      <c r="X2011" s="241"/>
      <c r="Y2011" s="284"/>
      <c r="Z2011" s="207"/>
      <c r="AA2011" s="284"/>
      <c r="AB2011" s="284"/>
      <c r="AC2011" s="284"/>
      <c r="AD2011" s="284"/>
      <c r="AE2011" s="284"/>
      <c r="AF2011" s="284"/>
      <c r="AG2011" s="284"/>
    </row>
    <row r="2012" spans="1:33" ht="26.4">
      <c r="A2012" s="284"/>
      <c r="B2012" s="284"/>
      <c r="C2012" s="284"/>
      <c r="D2012" s="284"/>
      <c r="E2012" s="284"/>
      <c r="F2012" s="284"/>
      <c r="G2012" s="284"/>
      <c r="H2012" s="284"/>
      <c r="I2012" s="284"/>
      <c r="J2012" s="375"/>
      <c r="K2012" s="375"/>
      <c r="L2012" s="375"/>
      <c r="M2012" s="368"/>
      <c r="N2012" s="368"/>
      <c r="O2012" s="370"/>
      <c r="T2012" s="349"/>
      <c r="V2012" s="378"/>
      <c r="W2012" s="64" ph="1"/>
      <c r="X2012" s="241"/>
      <c r="Y2012" s="284"/>
      <c r="Z2012" s="207"/>
      <c r="AA2012" s="284"/>
      <c r="AB2012" s="284"/>
      <c r="AC2012" s="284"/>
      <c r="AD2012" s="284"/>
      <c r="AE2012" s="284"/>
      <c r="AF2012" s="284"/>
      <c r="AG2012" s="284"/>
    </row>
    <row r="2013" spans="1:33" ht="26.4">
      <c r="A2013" s="284"/>
      <c r="B2013" s="284"/>
      <c r="C2013" s="284"/>
      <c r="D2013" s="284"/>
      <c r="E2013" s="284"/>
      <c r="F2013" s="284"/>
      <c r="G2013" s="284"/>
      <c r="H2013" s="284"/>
      <c r="I2013" s="284"/>
      <c r="J2013" s="375"/>
      <c r="K2013" s="375"/>
      <c r="L2013" s="375"/>
      <c r="M2013" s="368"/>
      <c r="N2013" s="368"/>
      <c r="O2013" s="370"/>
      <c r="T2013" s="349"/>
      <c r="V2013" s="378"/>
      <c r="W2013" s="64" ph="1"/>
      <c r="X2013" s="241"/>
      <c r="Y2013" s="284"/>
      <c r="Z2013" s="207"/>
      <c r="AA2013" s="284"/>
      <c r="AB2013" s="284"/>
      <c r="AC2013" s="284"/>
      <c r="AD2013" s="284"/>
      <c r="AE2013" s="284"/>
      <c r="AF2013" s="284"/>
      <c r="AG2013" s="284"/>
    </row>
    <row r="2014" spans="1:33" ht="26.4">
      <c r="A2014" s="284"/>
      <c r="B2014" s="284"/>
      <c r="C2014" s="284"/>
      <c r="D2014" s="284"/>
      <c r="E2014" s="284"/>
      <c r="F2014" s="284"/>
      <c r="G2014" s="284"/>
      <c r="H2014" s="284"/>
      <c r="I2014" s="284"/>
      <c r="J2014" s="375"/>
      <c r="K2014" s="375"/>
      <c r="L2014" s="375"/>
      <c r="M2014" s="368"/>
      <c r="N2014" s="368"/>
      <c r="O2014" s="370"/>
      <c r="T2014" s="349"/>
      <c r="V2014" s="378"/>
      <c r="W2014" s="64" ph="1"/>
      <c r="X2014" s="241"/>
      <c r="Y2014" s="284"/>
      <c r="Z2014" s="207"/>
      <c r="AA2014" s="284"/>
      <c r="AB2014" s="284"/>
      <c r="AC2014" s="284"/>
      <c r="AD2014" s="284"/>
      <c r="AE2014" s="284"/>
      <c r="AF2014" s="284"/>
      <c r="AG2014" s="284"/>
    </row>
    <row r="2015" spans="1:33" ht="26.4">
      <c r="A2015" s="284"/>
      <c r="B2015" s="284"/>
      <c r="C2015" s="284"/>
      <c r="D2015" s="284"/>
      <c r="E2015" s="284"/>
      <c r="F2015" s="284"/>
      <c r="G2015" s="284"/>
      <c r="H2015" s="284"/>
      <c r="I2015" s="284"/>
      <c r="J2015" s="375"/>
      <c r="K2015" s="375"/>
      <c r="L2015" s="375"/>
      <c r="M2015" s="368"/>
      <c r="N2015" s="368"/>
      <c r="O2015" s="370"/>
      <c r="T2015" s="349"/>
      <c r="V2015" s="378"/>
      <c r="W2015" s="64" ph="1"/>
      <c r="X2015" s="241"/>
      <c r="Y2015" s="284"/>
      <c r="Z2015" s="207"/>
      <c r="AA2015" s="284"/>
      <c r="AB2015" s="284"/>
      <c r="AC2015" s="284"/>
      <c r="AD2015" s="284"/>
      <c r="AE2015" s="284"/>
      <c r="AF2015" s="284"/>
      <c r="AG2015" s="284"/>
    </row>
    <row r="2016" spans="1:33" ht="26.4">
      <c r="A2016" s="284"/>
      <c r="B2016" s="284"/>
      <c r="C2016" s="284"/>
      <c r="D2016" s="284"/>
      <c r="E2016" s="284"/>
      <c r="F2016" s="284"/>
      <c r="G2016" s="284"/>
      <c r="H2016" s="284"/>
      <c r="I2016" s="284"/>
      <c r="J2016" s="375"/>
      <c r="K2016" s="375"/>
      <c r="L2016" s="375"/>
      <c r="M2016" s="368"/>
      <c r="N2016" s="368"/>
      <c r="O2016" s="370"/>
      <c r="T2016" s="349"/>
      <c r="V2016" s="378"/>
      <c r="W2016" s="64" ph="1"/>
      <c r="X2016" s="241"/>
      <c r="Y2016" s="284"/>
      <c r="Z2016" s="207"/>
      <c r="AA2016" s="284"/>
      <c r="AB2016" s="284"/>
      <c r="AC2016" s="284"/>
      <c r="AD2016" s="284"/>
      <c r="AE2016" s="284"/>
      <c r="AF2016" s="284"/>
      <c r="AG2016" s="284"/>
    </row>
    <row r="2017" spans="1:33" ht="26.4">
      <c r="A2017" s="284"/>
      <c r="B2017" s="284"/>
      <c r="C2017" s="284"/>
      <c r="D2017" s="284"/>
      <c r="E2017" s="284"/>
      <c r="F2017" s="284"/>
      <c r="G2017" s="284"/>
      <c r="H2017" s="284"/>
      <c r="I2017" s="284"/>
      <c r="J2017" s="375"/>
      <c r="K2017" s="375"/>
      <c r="L2017" s="375"/>
      <c r="M2017" s="368"/>
      <c r="N2017" s="368"/>
      <c r="O2017" s="370"/>
      <c r="T2017" s="349"/>
      <c r="V2017" s="378"/>
      <c r="W2017" s="64" ph="1"/>
      <c r="X2017" s="241"/>
      <c r="Y2017" s="284"/>
      <c r="Z2017" s="207"/>
      <c r="AA2017" s="284"/>
      <c r="AB2017" s="284"/>
      <c r="AC2017" s="284"/>
      <c r="AD2017" s="284"/>
      <c r="AE2017" s="284"/>
      <c r="AF2017" s="284"/>
      <c r="AG2017" s="284"/>
    </row>
    <row r="2018" spans="1:33" ht="26.4">
      <c r="A2018" s="284"/>
      <c r="B2018" s="284"/>
      <c r="C2018" s="284"/>
      <c r="D2018" s="284"/>
      <c r="E2018" s="284"/>
      <c r="F2018" s="284"/>
      <c r="G2018" s="284"/>
      <c r="H2018" s="284"/>
      <c r="I2018" s="284"/>
      <c r="J2018" s="375"/>
      <c r="K2018" s="375"/>
      <c r="L2018" s="375"/>
      <c r="M2018" s="368"/>
      <c r="N2018" s="368"/>
      <c r="O2018" s="370"/>
      <c r="T2018" s="349"/>
      <c r="V2018" s="378"/>
      <c r="W2018" s="64" ph="1"/>
      <c r="X2018" s="241"/>
      <c r="Y2018" s="284"/>
      <c r="Z2018" s="207"/>
      <c r="AA2018" s="284"/>
      <c r="AB2018" s="284"/>
      <c r="AC2018" s="284"/>
      <c r="AD2018" s="284"/>
      <c r="AE2018" s="284"/>
      <c r="AF2018" s="284"/>
      <c r="AG2018" s="284"/>
    </row>
    <row r="2019" spans="1:33" ht="26.4">
      <c r="A2019" s="284"/>
      <c r="B2019" s="284"/>
      <c r="C2019" s="284"/>
      <c r="D2019" s="284"/>
      <c r="E2019" s="284"/>
      <c r="F2019" s="284"/>
      <c r="G2019" s="284"/>
      <c r="H2019" s="284"/>
      <c r="I2019" s="284"/>
      <c r="J2019" s="375"/>
      <c r="K2019" s="375"/>
      <c r="L2019" s="375"/>
      <c r="M2019" s="368"/>
      <c r="N2019" s="368"/>
      <c r="O2019" s="370"/>
      <c r="T2019" s="349"/>
      <c r="V2019" s="378"/>
      <c r="W2019" s="64" ph="1"/>
      <c r="X2019" s="241"/>
      <c r="Y2019" s="284"/>
      <c r="Z2019" s="207"/>
      <c r="AA2019" s="284"/>
      <c r="AB2019" s="284"/>
      <c r="AC2019" s="284"/>
      <c r="AD2019" s="284"/>
      <c r="AE2019" s="284"/>
      <c r="AF2019" s="284"/>
      <c r="AG2019" s="284"/>
    </row>
    <row r="2020" spans="1:33" ht="26.4">
      <c r="A2020" s="284"/>
      <c r="B2020" s="284"/>
      <c r="C2020" s="284"/>
      <c r="D2020" s="284"/>
      <c r="E2020" s="284"/>
      <c r="F2020" s="284"/>
      <c r="G2020" s="284"/>
      <c r="H2020" s="284"/>
      <c r="I2020" s="284"/>
      <c r="J2020" s="375"/>
      <c r="K2020" s="375"/>
      <c r="L2020" s="375"/>
      <c r="M2020" s="368"/>
      <c r="N2020" s="368"/>
      <c r="O2020" s="370"/>
      <c r="T2020" s="349"/>
      <c r="V2020" s="378"/>
      <c r="W2020" s="64" ph="1"/>
      <c r="X2020" s="241"/>
      <c r="Y2020" s="284"/>
      <c r="Z2020" s="207"/>
      <c r="AA2020" s="284"/>
      <c r="AB2020" s="284"/>
      <c r="AC2020" s="284"/>
      <c r="AD2020" s="284"/>
      <c r="AE2020" s="284"/>
      <c r="AF2020" s="284"/>
      <c r="AG2020" s="284"/>
    </row>
    <row r="2021" spans="1:33" ht="26.4">
      <c r="A2021" s="284"/>
      <c r="B2021" s="284"/>
      <c r="C2021" s="284"/>
      <c r="D2021" s="284"/>
      <c r="E2021" s="284"/>
      <c r="F2021" s="284"/>
      <c r="G2021" s="284"/>
      <c r="H2021" s="284"/>
      <c r="I2021" s="284"/>
      <c r="J2021" s="375"/>
      <c r="K2021" s="375"/>
      <c r="L2021" s="375"/>
      <c r="M2021" s="368"/>
      <c r="N2021" s="368"/>
      <c r="O2021" s="370"/>
      <c r="T2021" s="349"/>
      <c r="V2021" s="378"/>
      <c r="W2021" s="64" ph="1"/>
      <c r="X2021" s="241"/>
      <c r="Y2021" s="284"/>
      <c r="Z2021" s="207"/>
      <c r="AA2021" s="284"/>
      <c r="AB2021" s="284"/>
      <c r="AC2021" s="284"/>
      <c r="AD2021" s="284"/>
      <c r="AE2021" s="284"/>
      <c r="AF2021" s="284"/>
      <c r="AG2021" s="284"/>
    </row>
    <row r="2022" spans="1:33" ht="26.4">
      <c r="A2022" s="284"/>
      <c r="B2022" s="284"/>
      <c r="C2022" s="284"/>
      <c r="D2022" s="284"/>
      <c r="E2022" s="284"/>
      <c r="F2022" s="284"/>
      <c r="G2022" s="284"/>
      <c r="H2022" s="284"/>
      <c r="I2022" s="284"/>
      <c r="J2022" s="375"/>
      <c r="K2022" s="375"/>
      <c r="L2022" s="375"/>
      <c r="M2022" s="368"/>
      <c r="N2022" s="368"/>
      <c r="O2022" s="370"/>
      <c r="T2022" s="349"/>
      <c r="V2022" s="378"/>
      <c r="W2022" s="64" ph="1"/>
      <c r="X2022" s="241"/>
      <c r="Y2022" s="284"/>
      <c r="Z2022" s="207"/>
      <c r="AA2022" s="284"/>
      <c r="AB2022" s="284"/>
      <c r="AC2022" s="284"/>
      <c r="AD2022" s="284"/>
      <c r="AE2022" s="284"/>
      <c r="AF2022" s="284"/>
      <c r="AG2022" s="284"/>
    </row>
    <row r="2023" spans="1:33" ht="26.4">
      <c r="A2023" s="284"/>
      <c r="B2023" s="284"/>
      <c r="C2023" s="284"/>
      <c r="D2023" s="284"/>
      <c r="E2023" s="284"/>
      <c r="F2023" s="284"/>
      <c r="G2023" s="284"/>
      <c r="H2023" s="284"/>
      <c r="I2023" s="284"/>
      <c r="J2023" s="375"/>
      <c r="K2023" s="375"/>
      <c r="L2023" s="375"/>
      <c r="M2023" s="368"/>
      <c r="N2023" s="368"/>
      <c r="O2023" s="370"/>
      <c r="T2023" s="349"/>
      <c r="V2023" s="378"/>
      <c r="W2023" s="64" ph="1"/>
      <c r="X2023" s="241"/>
      <c r="Y2023" s="284"/>
      <c r="Z2023" s="207"/>
      <c r="AA2023" s="284"/>
      <c r="AB2023" s="284"/>
      <c r="AC2023" s="284"/>
      <c r="AD2023" s="284"/>
      <c r="AE2023" s="284"/>
      <c r="AF2023" s="284"/>
      <c r="AG2023" s="284"/>
    </row>
    <row r="2024" spans="1:33" ht="26.4">
      <c r="A2024" s="284"/>
      <c r="B2024" s="284"/>
      <c r="C2024" s="284"/>
      <c r="D2024" s="284"/>
      <c r="E2024" s="284"/>
      <c r="F2024" s="284"/>
      <c r="G2024" s="284"/>
      <c r="H2024" s="284"/>
      <c r="I2024" s="284"/>
      <c r="J2024" s="375"/>
      <c r="K2024" s="375"/>
      <c r="L2024" s="375"/>
      <c r="M2024" s="368"/>
      <c r="N2024" s="368"/>
      <c r="O2024" s="370"/>
      <c r="T2024" s="349"/>
      <c r="V2024" s="378"/>
      <c r="W2024" s="64" ph="1"/>
      <c r="X2024" s="241"/>
      <c r="Y2024" s="284"/>
      <c r="Z2024" s="207"/>
      <c r="AA2024" s="284"/>
      <c r="AB2024" s="284"/>
      <c r="AC2024" s="284"/>
      <c r="AD2024" s="284"/>
      <c r="AE2024" s="284"/>
      <c r="AF2024" s="284"/>
      <c r="AG2024" s="284"/>
    </row>
    <row r="2025" spans="1:33" ht="26.4">
      <c r="A2025" s="284"/>
      <c r="B2025" s="284"/>
      <c r="C2025" s="284"/>
      <c r="D2025" s="284"/>
      <c r="E2025" s="284"/>
      <c r="F2025" s="284"/>
      <c r="G2025" s="284"/>
      <c r="H2025" s="284"/>
      <c r="I2025" s="284"/>
      <c r="J2025" s="375"/>
      <c r="K2025" s="375"/>
      <c r="L2025" s="375"/>
      <c r="M2025" s="368"/>
      <c r="N2025" s="368"/>
      <c r="O2025" s="370"/>
      <c r="T2025" s="349"/>
      <c r="V2025" s="378"/>
      <c r="W2025" s="64" ph="1"/>
      <c r="X2025" s="241"/>
      <c r="Y2025" s="284"/>
      <c r="Z2025" s="207"/>
      <c r="AA2025" s="284"/>
      <c r="AB2025" s="284"/>
      <c r="AC2025" s="284"/>
      <c r="AD2025" s="284"/>
      <c r="AE2025" s="284"/>
      <c r="AF2025" s="284"/>
      <c r="AG2025" s="284"/>
    </row>
    <row r="2026" spans="1:33" ht="26.4">
      <c r="A2026" s="284"/>
      <c r="B2026" s="284"/>
      <c r="C2026" s="284"/>
      <c r="D2026" s="284"/>
      <c r="E2026" s="284"/>
      <c r="F2026" s="284"/>
      <c r="G2026" s="284"/>
      <c r="H2026" s="284"/>
      <c r="I2026" s="284"/>
      <c r="J2026" s="375"/>
      <c r="K2026" s="375"/>
      <c r="L2026" s="375"/>
      <c r="M2026" s="368"/>
      <c r="N2026" s="368"/>
      <c r="O2026" s="370"/>
      <c r="T2026" s="349"/>
      <c r="V2026" s="378"/>
      <c r="W2026" s="64" ph="1"/>
      <c r="X2026" s="241"/>
      <c r="Y2026" s="284"/>
      <c r="Z2026" s="207"/>
      <c r="AA2026" s="284"/>
      <c r="AB2026" s="284"/>
      <c r="AC2026" s="284"/>
      <c r="AD2026" s="284"/>
      <c r="AE2026" s="284"/>
      <c r="AF2026" s="284"/>
      <c r="AG2026" s="284"/>
    </row>
    <row r="2027" spans="1:33" ht="26.4">
      <c r="A2027" s="284"/>
      <c r="B2027" s="284"/>
      <c r="C2027" s="284"/>
      <c r="D2027" s="284"/>
      <c r="E2027" s="284"/>
      <c r="F2027" s="284"/>
      <c r="G2027" s="284"/>
      <c r="H2027" s="284"/>
      <c r="I2027" s="284"/>
      <c r="J2027" s="375"/>
      <c r="K2027" s="375"/>
      <c r="L2027" s="375"/>
      <c r="M2027" s="368"/>
      <c r="N2027" s="368"/>
      <c r="O2027" s="370"/>
      <c r="T2027" s="349"/>
      <c r="V2027" s="378"/>
      <c r="W2027" s="64" ph="1"/>
      <c r="X2027" s="241"/>
      <c r="Y2027" s="284"/>
      <c r="Z2027" s="207"/>
      <c r="AA2027" s="284"/>
      <c r="AB2027" s="284"/>
      <c r="AC2027" s="284"/>
      <c r="AD2027" s="284"/>
      <c r="AE2027" s="284"/>
      <c r="AF2027" s="284"/>
      <c r="AG2027" s="284"/>
    </row>
    <row r="2028" spans="1:33" ht="26.4">
      <c r="A2028" s="284"/>
      <c r="B2028" s="284"/>
      <c r="C2028" s="284"/>
      <c r="D2028" s="284"/>
      <c r="E2028" s="284"/>
      <c r="F2028" s="284"/>
      <c r="G2028" s="284"/>
      <c r="H2028" s="284"/>
      <c r="I2028" s="284"/>
      <c r="J2028" s="375"/>
      <c r="K2028" s="375"/>
      <c r="L2028" s="375"/>
      <c r="M2028" s="368"/>
      <c r="N2028" s="368"/>
      <c r="O2028" s="370"/>
      <c r="T2028" s="349"/>
      <c r="V2028" s="378"/>
      <c r="W2028" s="64" ph="1"/>
      <c r="X2028" s="241"/>
      <c r="Y2028" s="284"/>
      <c r="Z2028" s="207"/>
      <c r="AA2028" s="284"/>
      <c r="AB2028" s="284"/>
      <c r="AC2028" s="284"/>
      <c r="AD2028" s="284"/>
      <c r="AE2028" s="284"/>
      <c r="AF2028" s="284"/>
      <c r="AG2028" s="284"/>
    </row>
    <row r="2029" spans="1:33" ht="26.4">
      <c r="A2029" s="284"/>
      <c r="B2029" s="284"/>
      <c r="C2029" s="284"/>
      <c r="D2029" s="284"/>
      <c r="E2029" s="284"/>
      <c r="F2029" s="284"/>
      <c r="G2029" s="284"/>
      <c r="H2029" s="284"/>
      <c r="I2029" s="284"/>
      <c r="J2029" s="375"/>
      <c r="K2029" s="375"/>
      <c r="L2029" s="375"/>
      <c r="M2029" s="368"/>
      <c r="N2029" s="368"/>
      <c r="O2029" s="370"/>
      <c r="T2029" s="349"/>
      <c r="V2029" s="378"/>
      <c r="W2029" s="64" ph="1"/>
      <c r="X2029" s="241"/>
      <c r="Y2029" s="284"/>
      <c r="Z2029" s="207"/>
      <c r="AA2029" s="284"/>
      <c r="AB2029" s="284"/>
      <c r="AC2029" s="284"/>
      <c r="AD2029" s="284"/>
      <c r="AE2029" s="284"/>
      <c r="AF2029" s="284"/>
      <c r="AG2029" s="284"/>
    </row>
    <row r="2030" spans="1:33" ht="26.4">
      <c r="A2030" s="284"/>
      <c r="B2030" s="284"/>
      <c r="C2030" s="284"/>
      <c r="D2030" s="284"/>
      <c r="E2030" s="284"/>
      <c r="F2030" s="284"/>
      <c r="G2030" s="284"/>
      <c r="H2030" s="284"/>
      <c r="I2030" s="284"/>
      <c r="J2030" s="375"/>
      <c r="K2030" s="375"/>
      <c r="L2030" s="375"/>
      <c r="M2030" s="368"/>
      <c r="N2030" s="368"/>
      <c r="O2030" s="370"/>
      <c r="T2030" s="349"/>
      <c r="V2030" s="378"/>
      <c r="W2030" s="64" ph="1"/>
      <c r="X2030" s="241"/>
      <c r="Y2030" s="284"/>
      <c r="Z2030" s="207"/>
      <c r="AA2030" s="284"/>
      <c r="AB2030" s="284"/>
      <c r="AC2030" s="284"/>
      <c r="AD2030" s="284"/>
      <c r="AE2030" s="284"/>
      <c r="AF2030" s="284"/>
      <c r="AG2030" s="284"/>
    </row>
    <row r="2031" spans="1:33" ht="26.4">
      <c r="A2031" s="284"/>
      <c r="B2031" s="284"/>
      <c r="C2031" s="284"/>
      <c r="D2031" s="284"/>
      <c r="E2031" s="284"/>
      <c r="F2031" s="284"/>
      <c r="G2031" s="284"/>
      <c r="H2031" s="284"/>
      <c r="I2031" s="284"/>
      <c r="J2031" s="375"/>
      <c r="K2031" s="375"/>
      <c r="L2031" s="375"/>
      <c r="M2031" s="368"/>
      <c r="N2031" s="368"/>
      <c r="O2031" s="370"/>
      <c r="T2031" s="349"/>
      <c r="V2031" s="378"/>
      <c r="W2031" s="64" ph="1"/>
      <c r="X2031" s="241"/>
      <c r="Y2031" s="284"/>
      <c r="Z2031" s="207"/>
      <c r="AA2031" s="284"/>
      <c r="AB2031" s="284"/>
      <c r="AC2031" s="284"/>
      <c r="AD2031" s="284"/>
      <c r="AE2031" s="284"/>
      <c r="AF2031" s="284"/>
      <c r="AG2031" s="284"/>
    </row>
    <row r="2032" spans="1:33" ht="26.4">
      <c r="A2032" s="284"/>
      <c r="B2032" s="284"/>
      <c r="C2032" s="284"/>
      <c r="D2032" s="284"/>
      <c r="E2032" s="284"/>
      <c r="F2032" s="284"/>
      <c r="G2032" s="284"/>
      <c r="H2032" s="284"/>
      <c r="I2032" s="284"/>
      <c r="J2032" s="375"/>
      <c r="K2032" s="375"/>
      <c r="L2032" s="375"/>
      <c r="M2032" s="368"/>
      <c r="N2032" s="368"/>
      <c r="O2032" s="370"/>
      <c r="T2032" s="349"/>
      <c r="V2032" s="378"/>
      <c r="W2032" s="64" ph="1"/>
      <c r="X2032" s="241"/>
      <c r="Y2032" s="284"/>
      <c r="Z2032" s="207"/>
      <c r="AA2032" s="284"/>
      <c r="AB2032" s="284"/>
      <c r="AC2032" s="284"/>
      <c r="AD2032" s="284"/>
      <c r="AE2032" s="284"/>
      <c r="AF2032" s="284"/>
      <c r="AG2032" s="284"/>
    </row>
    <row r="2033" spans="1:33" ht="26.4">
      <c r="A2033" s="284"/>
      <c r="B2033" s="284"/>
      <c r="C2033" s="284"/>
      <c r="D2033" s="284"/>
      <c r="E2033" s="284"/>
      <c r="F2033" s="284"/>
      <c r="G2033" s="284"/>
      <c r="H2033" s="284"/>
      <c r="I2033" s="284"/>
      <c r="J2033" s="375"/>
      <c r="K2033" s="375"/>
      <c r="L2033" s="375"/>
      <c r="M2033" s="368"/>
      <c r="N2033" s="368"/>
      <c r="O2033" s="370"/>
      <c r="T2033" s="349"/>
      <c r="V2033" s="378"/>
      <c r="W2033" s="64" ph="1"/>
      <c r="X2033" s="241"/>
      <c r="Y2033" s="284"/>
      <c r="Z2033" s="207"/>
      <c r="AA2033" s="284"/>
      <c r="AB2033" s="284"/>
      <c r="AC2033" s="284"/>
      <c r="AD2033" s="284"/>
      <c r="AE2033" s="284"/>
      <c r="AF2033" s="284"/>
      <c r="AG2033" s="284"/>
    </row>
    <row r="2034" spans="1:33" ht="26.4">
      <c r="A2034" s="284"/>
      <c r="B2034" s="284"/>
      <c r="C2034" s="284"/>
      <c r="D2034" s="284"/>
      <c r="E2034" s="284"/>
      <c r="F2034" s="284"/>
      <c r="G2034" s="284"/>
      <c r="H2034" s="284"/>
      <c r="I2034" s="284"/>
      <c r="J2034" s="375"/>
      <c r="K2034" s="375"/>
      <c r="L2034" s="375"/>
      <c r="M2034" s="368"/>
      <c r="N2034" s="368"/>
      <c r="O2034" s="370"/>
      <c r="T2034" s="349"/>
      <c r="V2034" s="378"/>
      <c r="W2034" s="64" ph="1"/>
      <c r="X2034" s="241"/>
      <c r="Y2034" s="284"/>
      <c r="Z2034" s="207"/>
      <c r="AA2034" s="284"/>
      <c r="AB2034" s="284"/>
      <c r="AC2034" s="284"/>
      <c r="AD2034" s="284"/>
      <c r="AE2034" s="284"/>
      <c r="AF2034" s="284"/>
      <c r="AG2034" s="284"/>
    </row>
    <row r="2035" spans="1:33" ht="26.4">
      <c r="A2035" s="284"/>
      <c r="B2035" s="284"/>
      <c r="C2035" s="284"/>
      <c r="D2035" s="284"/>
      <c r="E2035" s="284"/>
      <c r="F2035" s="284"/>
      <c r="G2035" s="284"/>
      <c r="H2035" s="284"/>
      <c r="I2035" s="284"/>
      <c r="J2035" s="375"/>
      <c r="K2035" s="375"/>
      <c r="L2035" s="375"/>
      <c r="M2035" s="368"/>
      <c r="N2035" s="368"/>
      <c r="O2035" s="370"/>
      <c r="T2035" s="349"/>
      <c r="V2035" s="378"/>
      <c r="W2035" s="64" ph="1"/>
      <c r="X2035" s="241"/>
      <c r="Y2035" s="284"/>
      <c r="Z2035" s="207"/>
      <c r="AA2035" s="284"/>
      <c r="AB2035" s="284"/>
      <c r="AC2035" s="284"/>
      <c r="AD2035" s="284"/>
      <c r="AE2035" s="284"/>
      <c r="AF2035" s="284"/>
      <c r="AG2035" s="284"/>
    </row>
    <row r="2036" spans="1:33" ht="26.4">
      <c r="A2036" s="284"/>
      <c r="B2036" s="284"/>
      <c r="C2036" s="284"/>
      <c r="D2036" s="284"/>
      <c r="E2036" s="284"/>
      <c r="F2036" s="284"/>
      <c r="G2036" s="284"/>
      <c r="H2036" s="284"/>
      <c r="I2036" s="284"/>
      <c r="J2036" s="375"/>
      <c r="K2036" s="375"/>
      <c r="L2036" s="375"/>
      <c r="M2036" s="368"/>
      <c r="N2036" s="368"/>
      <c r="O2036" s="370"/>
      <c r="T2036" s="349"/>
      <c r="V2036" s="378"/>
      <c r="W2036" s="64" ph="1"/>
      <c r="X2036" s="241"/>
      <c r="Y2036" s="284"/>
      <c r="Z2036" s="207"/>
      <c r="AA2036" s="284"/>
      <c r="AB2036" s="284"/>
      <c r="AC2036" s="284"/>
      <c r="AD2036" s="284"/>
      <c r="AE2036" s="284"/>
      <c r="AF2036" s="284"/>
      <c r="AG2036" s="284"/>
    </row>
    <row r="2037" spans="1:33" ht="26.4">
      <c r="A2037" s="284"/>
      <c r="B2037" s="284"/>
      <c r="C2037" s="284"/>
      <c r="D2037" s="284"/>
      <c r="E2037" s="284"/>
      <c r="F2037" s="284"/>
      <c r="G2037" s="284"/>
      <c r="H2037" s="284"/>
      <c r="I2037" s="284"/>
      <c r="J2037" s="375"/>
      <c r="K2037" s="375"/>
      <c r="L2037" s="375"/>
      <c r="M2037" s="368"/>
      <c r="N2037" s="368"/>
      <c r="O2037" s="370"/>
      <c r="T2037" s="349"/>
      <c r="V2037" s="378"/>
      <c r="W2037" s="64" ph="1"/>
      <c r="X2037" s="241"/>
      <c r="Y2037" s="284"/>
      <c r="Z2037" s="207"/>
      <c r="AA2037" s="284"/>
      <c r="AB2037" s="284"/>
      <c r="AC2037" s="284"/>
      <c r="AD2037" s="284"/>
      <c r="AE2037" s="284"/>
      <c r="AF2037" s="284"/>
      <c r="AG2037" s="284"/>
    </row>
    <row r="2038" spans="1:33" ht="26.4">
      <c r="A2038" s="284"/>
      <c r="B2038" s="284"/>
      <c r="C2038" s="284"/>
      <c r="D2038" s="284"/>
      <c r="E2038" s="284"/>
      <c r="F2038" s="284"/>
      <c r="G2038" s="284"/>
      <c r="H2038" s="284"/>
      <c r="I2038" s="284"/>
      <c r="J2038" s="375"/>
      <c r="K2038" s="375"/>
      <c r="L2038" s="375"/>
      <c r="M2038" s="368"/>
      <c r="N2038" s="368"/>
      <c r="O2038" s="370"/>
      <c r="T2038" s="349"/>
      <c r="V2038" s="378"/>
      <c r="W2038" s="64" ph="1"/>
      <c r="X2038" s="241"/>
      <c r="Y2038" s="284"/>
      <c r="Z2038" s="207"/>
      <c r="AA2038" s="284"/>
      <c r="AB2038" s="284"/>
      <c r="AC2038" s="284"/>
      <c r="AD2038" s="284"/>
      <c r="AE2038" s="284"/>
      <c r="AF2038" s="284"/>
      <c r="AG2038" s="284"/>
    </row>
    <row r="2039" spans="1:33" ht="26.4">
      <c r="A2039" s="284"/>
      <c r="B2039" s="284"/>
      <c r="C2039" s="284"/>
      <c r="D2039" s="284"/>
      <c r="E2039" s="284"/>
      <c r="F2039" s="284"/>
      <c r="G2039" s="284"/>
      <c r="H2039" s="284"/>
      <c r="I2039" s="284"/>
      <c r="J2039" s="375"/>
      <c r="K2039" s="375"/>
      <c r="L2039" s="375"/>
      <c r="M2039" s="368"/>
      <c r="N2039" s="368"/>
      <c r="O2039" s="370"/>
      <c r="T2039" s="349"/>
      <c r="V2039" s="378"/>
      <c r="W2039" s="64" ph="1"/>
      <c r="X2039" s="241"/>
      <c r="Y2039" s="284"/>
      <c r="Z2039" s="207"/>
      <c r="AA2039" s="284"/>
      <c r="AB2039" s="284"/>
      <c r="AC2039" s="284"/>
      <c r="AD2039" s="284"/>
      <c r="AE2039" s="284"/>
      <c r="AF2039" s="284"/>
      <c r="AG2039" s="284"/>
    </row>
    <row r="2040" spans="1:33" ht="26.4">
      <c r="A2040" s="284"/>
      <c r="B2040" s="284"/>
      <c r="C2040" s="284"/>
      <c r="D2040" s="284"/>
      <c r="E2040" s="284"/>
      <c r="F2040" s="284"/>
      <c r="G2040" s="284"/>
      <c r="H2040" s="284"/>
      <c r="I2040" s="284"/>
      <c r="J2040" s="375"/>
      <c r="K2040" s="375"/>
      <c r="L2040" s="375"/>
      <c r="M2040" s="368"/>
      <c r="N2040" s="368"/>
      <c r="O2040" s="370"/>
      <c r="T2040" s="349"/>
      <c r="V2040" s="378"/>
      <c r="W2040" s="64" ph="1"/>
      <c r="X2040" s="241"/>
      <c r="Y2040" s="284"/>
      <c r="Z2040" s="207"/>
      <c r="AA2040" s="284"/>
      <c r="AB2040" s="284"/>
      <c r="AC2040" s="284"/>
      <c r="AD2040" s="284"/>
      <c r="AE2040" s="284"/>
      <c r="AF2040" s="284"/>
      <c r="AG2040" s="284"/>
    </row>
    <row r="2041" spans="1:33" ht="26.4">
      <c r="A2041" s="284"/>
      <c r="B2041" s="284"/>
      <c r="C2041" s="284"/>
      <c r="D2041" s="284"/>
      <c r="E2041" s="284"/>
      <c r="F2041" s="284"/>
      <c r="G2041" s="284"/>
      <c r="H2041" s="284"/>
      <c r="I2041" s="284"/>
      <c r="J2041" s="375"/>
      <c r="K2041" s="375"/>
      <c r="L2041" s="375"/>
      <c r="M2041" s="368"/>
      <c r="N2041" s="368"/>
      <c r="O2041" s="370"/>
      <c r="T2041" s="349"/>
      <c r="V2041" s="378"/>
      <c r="W2041" s="64" ph="1"/>
      <c r="X2041" s="241"/>
      <c r="Y2041" s="284"/>
      <c r="Z2041" s="207"/>
      <c r="AA2041" s="284"/>
      <c r="AB2041" s="284"/>
      <c r="AC2041" s="284"/>
      <c r="AD2041" s="284"/>
      <c r="AE2041" s="284"/>
      <c r="AF2041" s="284"/>
      <c r="AG2041" s="284"/>
    </row>
    <row r="2042" spans="1:33" ht="26.4">
      <c r="A2042" s="284"/>
      <c r="B2042" s="284"/>
      <c r="C2042" s="284"/>
      <c r="D2042" s="284"/>
      <c r="E2042" s="284"/>
      <c r="F2042" s="284"/>
      <c r="G2042" s="284"/>
      <c r="H2042" s="284"/>
      <c r="I2042" s="284"/>
      <c r="J2042" s="375"/>
      <c r="K2042" s="375"/>
      <c r="L2042" s="375"/>
      <c r="M2042" s="368"/>
      <c r="N2042" s="368"/>
      <c r="O2042" s="370"/>
      <c r="T2042" s="349"/>
      <c r="V2042" s="378"/>
      <c r="W2042" s="64" ph="1"/>
      <c r="X2042" s="241"/>
      <c r="Y2042" s="284"/>
      <c r="Z2042" s="207"/>
      <c r="AA2042" s="284"/>
      <c r="AB2042" s="284"/>
      <c r="AC2042" s="284"/>
      <c r="AD2042" s="284"/>
      <c r="AE2042" s="284"/>
      <c r="AF2042" s="284"/>
      <c r="AG2042" s="284"/>
    </row>
    <row r="2043" spans="1:33" ht="26.4">
      <c r="A2043" s="284"/>
      <c r="B2043" s="284"/>
      <c r="C2043" s="284"/>
      <c r="D2043" s="284"/>
      <c r="E2043" s="284"/>
      <c r="F2043" s="284"/>
      <c r="G2043" s="284"/>
      <c r="H2043" s="284"/>
      <c r="I2043" s="284"/>
      <c r="J2043" s="375"/>
      <c r="K2043" s="375"/>
      <c r="L2043" s="375"/>
      <c r="M2043" s="368"/>
      <c r="N2043" s="368"/>
      <c r="O2043" s="370"/>
      <c r="T2043" s="349"/>
      <c r="V2043" s="378"/>
      <c r="W2043" s="64" ph="1"/>
      <c r="X2043" s="241"/>
      <c r="Y2043" s="284"/>
      <c r="Z2043" s="207"/>
      <c r="AA2043" s="284"/>
      <c r="AB2043" s="284"/>
      <c r="AC2043" s="284"/>
      <c r="AD2043" s="284"/>
      <c r="AE2043" s="284"/>
      <c r="AF2043" s="284"/>
      <c r="AG2043" s="284"/>
    </row>
    <row r="2044" spans="1:33" ht="26.4">
      <c r="A2044" s="284"/>
      <c r="B2044" s="284"/>
      <c r="C2044" s="284"/>
      <c r="D2044" s="284"/>
      <c r="E2044" s="284"/>
      <c r="F2044" s="284"/>
      <c r="G2044" s="284"/>
      <c r="H2044" s="284"/>
      <c r="I2044" s="284"/>
      <c r="J2044" s="375"/>
      <c r="K2044" s="375"/>
      <c r="L2044" s="375"/>
      <c r="M2044" s="368"/>
      <c r="N2044" s="368"/>
      <c r="O2044" s="370"/>
      <c r="T2044" s="349"/>
      <c r="V2044" s="378"/>
      <c r="W2044" s="64" ph="1"/>
      <c r="X2044" s="241"/>
      <c r="Y2044" s="284"/>
      <c r="Z2044" s="207"/>
      <c r="AA2044" s="284"/>
      <c r="AB2044" s="284"/>
      <c r="AC2044" s="284"/>
      <c r="AD2044" s="284"/>
      <c r="AE2044" s="284"/>
      <c r="AF2044" s="284"/>
      <c r="AG2044" s="284"/>
    </row>
    <row r="2045" spans="1:33" ht="26.4">
      <c r="A2045" s="284"/>
      <c r="B2045" s="284"/>
      <c r="C2045" s="284"/>
      <c r="D2045" s="284"/>
      <c r="E2045" s="284"/>
      <c r="F2045" s="284"/>
      <c r="G2045" s="284"/>
      <c r="H2045" s="284"/>
      <c r="I2045" s="284"/>
      <c r="J2045" s="375"/>
      <c r="K2045" s="375"/>
      <c r="L2045" s="375"/>
      <c r="M2045" s="368"/>
      <c r="N2045" s="368"/>
      <c r="O2045" s="370"/>
      <c r="T2045" s="349"/>
      <c r="V2045" s="378"/>
      <c r="W2045" s="64" ph="1"/>
      <c r="X2045" s="241"/>
      <c r="Y2045" s="284"/>
      <c r="Z2045" s="207"/>
      <c r="AA2045" s="284"/>
      <c r="AB2045" s="284"/>
      <c r="AC2045" s="284"/>
      <c r="AD2045" s="284"/>
      <c r="AE2045" s="284"/>
      <c r="AF2045" s="284"/>
      <c r="AG2045" s="284"/>
    </row>
    <row r="2046" spans="1:33" ht="26.4">
      <c r="A2046" s="284"/>
      <c r="B2046" s="284"/>
      <c r="C2046" s="284"/>
      <c r="D2046" s="284"/>
      <c r="E2046" s="284"/>
      <c r="F2046" s="284"/>
      <c r="G2046" s="284"/>
      <c r="H2046" s="284"/>
      <c r="I2046" s="284"/>
      <c r="J2046" s="375"/>
      <c r="K2046" s="375"/>
      <c r="L2046" s="375"/>
      <c r="M2046" s="368"/>
      <c r="N2046" s="368"/>
      <c r="O2046" s="370"/>
      <c r="T2046" s="349"/>
      <c r="V2046" s="378"/>
      <c r="W2046" s="64" ph="1"/>
      <c r="X2046" s="241"/>
      <c r="Y2046" s="284"/>
      <c r="Z2046" s="207"/>
      <c r="AA2046" s="284"/>
      <c r="AB2046" s="284"/>
      <c r="AC2046" s="284"/>
      <c r="AD2046" s="284"/>
      <c r="AE2046" s="284"/>
      <c r="AF2046" s="284"/>
      <c r="AG2046" s="284"/>
    </row>
    <row r="2047" spans="1:33" ht="26.4">
      <c r="A2047" s="284"/>
      <c r="B2047" s="284"/>
      <c r="C2047" s="284"/>
      <c r="D2047" s="284"/>
      <c r="E2047" s="284"/>
      <c r="F2047" s="284"/>
      <c r="G2047" s="284"/>
      <c r="H2047" s="284"/>
      <c r="I2047" s="284"/>
      <c r="J2047" s="375"/>
      <c r="K2047" s="375"/>
      <c r="L2047" s="375"/>
      <c r="M2047" s="368"/>
      <c r="N2047" s="368"/>
      <c r="O2047" s="370"/>
      <c r="T2047" s="349"/>
      <c r="V2047" s="378"/>
      <c r="W2047" s="64" ph="1"/>
      <c r="X2047" s="241"/>
      <c r="Y2047" s="284"/>
      <c r="Z2047" s="207"/>
      <c r="AA2047" s="284"/>
      <c r="AB2047" s="284"/>
      <c r="AC2047" s="284"/>
      <c r="AD2047" s="284"/>
      <c r="AE2047" s="284"/>
      <c r="AF2047" s="284"/>
      <c r="AG2047" s="284"/>
    </row>
    <row r="2048" spans="1:33" ht="26.4">
      <c r="A2048" s="284"/>
      <c r="B2048" s="284"/>
      <c r="C2048" s="284"/>
      <c r="D2048" s="284"/>
      <c r="E2048" s="284"/>
      <c r="F2048" s="284"/>
      <c r="G2048" s="284"/>
      <c r="H2048" s="284"/>
      <c r="I2048" s="284"/>
      <c r="J2048" s="375"/>
      <c r="K2048" s="375"/>
      <c r="L2048" s="375"/>
      <c r="M2048" s="368"/>
      <c r="N2048" s="368"/>
      <c r="O2048" s="370"/>
      <c r="T2048" s="349"/>
      <c r="V2048" s="378"/>
      <c r="W2048" s="64" ph="1"/>
      <c r="X2048" s="241"/>
      <c r="Y2048" s="284"/>
      <c r="Z2048" s="207"/>
      <c r="AA2048" s="284"/>
      <c r="AB2048" s="284"/>
      <c r="AC2048" s="284"/>
      <c r="AD2048" s="284"/>
      <c r="AE2048" s="284"/>
      <c r="AF2048" s="284"/>
      <c r="AG2048" s="284"/>
    </row>
    <row r="2049" spans="1:33" ht="26.4">
      <c r="A2049" s="284"/>
      <c r="B2049" s="284"/>
      <c r="C2049" s="284"/>
      <c r="D2049" s="284"/>
      <c r="E2049" s="284"/>
      <c r="F2049" s="284"/>
      <c r="G2049" s="284"/>
      <c r="H2049" s="284"/>
      <c r="I2049" s="284"/>
      <c r="J2049" s="375"/>
      <c r="K2049" s="375"/>
      <c r="L2049" s="375"/>
      <c r="M2049" s="368"/>
      <c r="N2049" s="368"/>
      <c r="O2049" s="370"/>
      <c r="T2049" s="349"/>
      <c r="V2049" s="378"/>
      <c r="W2049" s="64" ph="1"/>
      <c r="X2049" s="241"/>
      <c r="Y2049" s="284"/>
      <c r="Z2049" s="207"/>
      <c r="AA2049" s="284"/>
      <c r="AB2049" s="284"/>
      <c r="AC2049" s="284"/>
      <c r="AD2049" s="284"/>
      <c r="AE2049" s="284"/>
      <c r="AF2049" s="284"/>
      <c r="AG2049" s="284"/>
    </row>
    <row r="2050" spans="1:33" ht="26.4">
      <c r="A2050" s="284"/>
      <c r="B2050" s="284"/>
      <c r="C2050" s="284"/>
      <c r="D2050" s="284"/>
      <c r="E2050" s="284"/>
      <c r="F2050" s="284"/>
      <c r="G2050" s="284"/>
      <c r="H2050" s="284"/>
      <c r="I2050" s="284"/>
      <c r="J2050" s="375"/>
      <c r="K2050" s="375"/>
      <c r="L2050" s="375"/>
      <c r="M2050" s="368"/>
      <c r="N2050" s="368"/>
      <c r="O2050" s="370"/>
      <c r="T2050" s="349"/>
      <c r="V2050" s="378"/>
      <c r="W2050" s="64" ph="1"/>
      <c r="X2050" s="241"/>
      <c r="Y2050" s="284"/>
      <c r="Z2050" s="207"/>
      <c r="AA2050" s="284"/>
      <c r="AB2050" s="284"/>
      <c r="AC2050" s="284"/>
      <c r="AD2050" s="284"/>
      <c r="AE2050" s="284"/>
      <c r="AF2050" s="284"/>
      <c r="AG2050" s="284"/>
    </row>
    <row r="2051" spans="1:33" ht="26.4">
      <c r="A2051" s="284"/>
      <c r="B2051" s="284"/>
      <c r="C2051" s="284"/>
      <c r="D2051" s="284"/>
      <c r="E2051" s="284"/>
      <c r="F2051" s="284"/>
      <c r="G2051" s="284"/>
      <c r="H2051" s="284"/>
      <c r="I2051" s="284"/>
      <c r="J2051" s="375"/>
      <c r="K2051" s="375"/>
      <c r="L2051" s="375"/>
      <c r="M2051" s="368"/>
      <c r="N2051" s="368"/>
      <c r="O2051" s="370"/>
      <c r="T2051" s="349"/>
      <c r="V2051" s="378"/>
      <c r="W2051" s="64" ph="1"/>
      <c r="X2051" s="241"/>
      <c r="Y2051" s="284"/>
      <c r="Z2051" s="207"/>
      <c r="AA2051" s="284"/>
      <c r="AB2051" s="284"/>
      <c r="AC2051" s="284"/>
      <c r="AD2051" s="284"/>
      <c r="AE2051" s="284"/>
      <c r="AF2051" s="284"/>
      <c r="AG2051" s="284"/>
    </row>
    <row r="2052" spans="1:33" ht="26.4">
      <c r="A2052" s="284"/>
      <c r="B2052" s="284"/>
      <c r="C2052" s="284"/>
      <c r="D2052" s="284"/>
      <c r="E2052" s="284"/>
      <c r="F2052" s="284"/>
      <c r="G2052" s="284"/>
      <c r="H2052" s="284"/>
      <c r="I2052" s="284"/>
      <c r="J2052" s="375"/>
      <c r="K2052" s="375"/>
      <c r="L2052" s="375"/>
      <c r="M2052" s="368"/>
      <c r="N2052" s="368"/>
      <c r="O2052" s="370"/>
      <c r="T2052" s="349"/>
      <c r="V2052" s="378"/>
      <c r="W2052" s="64" ph="1"/>
      <c r="X2052" s="241"/>
      <c r="Y2052" s="284"/>
      <c r="Z2052" s="207"/>
      <c r="AA2052" s="284"/>
      <c r="AB2052" s="284"/>
      <c r="AC2052" s="284"/>
      <c r="AD2052" s="284"/>
      <c r="AE2052" s="284"/>
      <c r="AF2052" s="284"/>
      <c r="AG2052" s="284"/>
    </row>
    <row r="2053" spans="1:33" ht="26.4">
      <c r="A2053" s="284"/>
      <c r="B2053" s="284"/>
      <c r="C2053" s="284"/>
      <c r="D2053" s="284"/>
      <c r="E2053" s="284"/>
      <c r="F2053" s="284"/>
      <c r="G2053" s="284"/>
      <c r="H2053" s="284"/>
      <c r="I2053" s="284"/>
      <c r="J2053" s="375"/>
      <c r="K2053" s="375"/>
      <c r="L2053" s="375"/>
      <c r="M2053" s="368"/>
      <c r="N2053" s="368"/>
      <c r="O2053" s="370"/>
      <c r="T2053" s="349"/>
      <c r="V2053" s="378"/>
      <c r="W2053" s="64" ph="1"/>
      <c r="X2053" s="241"/>
      <c r="Y2053" s="284"/>
      <c r="Z2053" s="207"/>
      <c r="AA2053" s="284"/>
      <c r="AB2053" s="284"/>
      <c r="AC2053" s="284"/>
      <c r="AD2053" s="284"/>
      <c r="AE2053" s="284"/>
      <c r="AF2053" s="284"/>
      <c r="AG2053" s="284"/>
    </row>
    <row r="2054" spans="1:33" ht="26.4">
      <c r="A2054" s="284"/>
      <c r="B2054" s="284"/>
      <c r="C2054" s="284"/>
      <c r="D2054" s="284"/>
      <c r="E2054" s="284"/>
      <c r="F2054" s="284"/>
      <c r="G2054" s="284"/>
      <c r="H2054" s="284"/>
      <c r="I2054" s="284"/>
      <c r="J2054" s="375"/>
      <c r="K2054" s="375"/>
      <c r="L2054" s="375"/>
      <c r="M2054" s="368"/>
      <c r="N2054" s="368"/>
      <c r="O2054" s="370"/>
      <c r="T2054" s="349"/>
      <c r="V2054" s="378"/>
      <c r="W2054" s="64" ph="1"/>
      <c r="X2054" s="241"/>
      <c r="Y2054" s="284"/>
      <c r="Z2054" s="207"/>
      <c r="AA2054" s="284"/>
      <c r="AB2054" s="284"/>
      <c r="AC2054" s="284"/>
      <c r="AD2054" s="284"/>
      <c r="AE2054" s="284"/>
      <c r="AF2054" s="284"/>
      <c r="AG2054" s="284"/>
    </row>
    <row r="2055" spans="1:33" ht="26.4">
      <c r="A2055" s="284"/>
      <c r="B2055" s="284"/>
      <c r="C2055" s="284"/>
      <c r="D2055" s="284"/>
      <c r="E2055" s="284"/>
      <c r="F2055" s="284"/>
      <c r="G2055" s="284"/>
      <c r="H2055" s="284"/>
      <c r="I2055" s="284"/>
      <c r="J2055" s="375"/>
      <c r="K2055" s="375"/>
      <c r="L2055" s="375"/>
      <c r="M2055" s="368"/>
      <c r="N2055" s="368"/>
      <c r="O2055" s="370"/>
      <c r="T2055" s="349"/>
      <c r="V2055" s="378"/>
      <c r="W2055" s="64" ph="1"/>
      <c r="X2055" s="241"/>
      <c r="Y2055" s="284"/>
      <c r="Z2055" s="207"/>
      <c r="AA2055" s="284"/>
      <c r="AB2055" s="284"/>
      <c r="AC2055" s="284"/>
      <c r="AD2055" s="284"/>
      <c r="AE2055" s="284"/>
      <c r="AF2055" s="284"/>
      <c r="AG2055" s="284"/>
    </row>
    <row r="2056" spans="1:33" ht="26.4">
      <c r="A2056" s="284"/>
      <c r="B2056" s="284"/>
      <c r="C2056" s="284"/>
      <c r="D2056" s="284"/>
      <c r="E2056" s="284"/>
      <c r="F2056" s="284"/>
      <c r="G2056" s="284"/>
      <c r="H2056" s="284"/>
      <c r="I2056" s="284"/>
      <c r="J2056" s="375"/>
      <c r="K2056" s="375"/>
      <c r="L2056" s="375"/>
      <c r="M2056" s="368"/>
      <c r="N2056" s="368"/>
      <c r="O2056" s="370"/>
      <c r="T2056" s="349"/>
      <c r="V2056" s="378"/>
      <c r="W2056" s="64" ph="1"/>
      <c r="X2056" s="241"/>
      <c r="Y2056" s="284"/>
      <c r="Z2056" s="207"/>
      <c r="AA2056" s="284"/>
      <c r="AB2056" s="284"/>
      <c r="AC2056" s="284"/>
      <c r="AD2056" s="284"/>
      <c r="AE2056" s="284"/>
      <c r="AF2056" s="284"/>
      <c r="AG2056" s="284"/>
    </row>
    <row r="2057" spans="1:33" ht="26.4">
      <c r="A2057" s="284"/>
      <c r="B2057" s="284"/>
      <c r="C2057" s="284"/>
      <c r="D2057" s="284"/>
      <c r="E2057" s="284"/>
      <c r="F2057" s="284"/>
      <c r="G2057" s="284"/>
      <c r="H2057" s="284"/>
      <c r="I2057" s="284"/>
      <c r="J2057" s="375"/>
      <c r="K2057" s="375"/>
      <c r="L2057" s="375"/>
      <c r="M2057" s="368"/>
      <c r="N2057" s="368"/>
      <c r="O2057" s="370"/>
      <c r="T2057" s="349"/>
      <c r="V2057" s="378"/>
      <c r="W2057" s="64" ph="1"/>
      <c r="X2057" s="241"/>
      <c r="Y2057" s="284"/>
      <c r="Z2057" s="207"/>
      <c r="AA2057" s="284"/>
      <c r="AB2057" s="284"/>
      <c r="AC2057" s="284"/>
      <c r="AD2057" s="284"/>
      <c r="AE2057" s="284"/>
      <c r="AF2057" s="284"/>
      <c r="AG2057" s="284"/>
    </row>
    <row r="2058" spans="1:33" ht="26.4">
      <c r="A2058" s="284"/>
      <c r="B2058" s="284"/>
      <c r="C2058" s="284"/>
      <c r="D2058" s="284"/>
      <c r="E2058" s="284"/>
      <c r="F2058" s="284"/>
      <c r="G2058" s="284"/>
      <c r="H2058" s="284"/>
      <c r="I2058" s="284"/>
      <c r="J2058" s="375"/>
      <c r="K2058" s="375"/>
      <c r="L2058" s="375"/>
      <c r="M2058" s="368"/>
      <c r="N2058" s="368"/>
      <c r="O2058" s="370"/>
      <c r="T2058" s="349"/>
      <c r="V2058" s="378"/>
      <c r="W2058" s="64" ph="1"/>
      <c r="X2058" s="241"/>
      <c r="Y2058" s="284"/>
      <c r="Z2058" s="207"/>
      <c r="AA2058" s="284"/>
      <c r="AB2058" s="284"/>
      <c r="AC2058" s="284"/>
      <c r="AD2058" s="284"/>
      <c r="AE2058" s="284"/>
      <c r="AF2058" s="284"/>
      <c r="AG2058" s="284"/>
    </row>
    <row r="2059" spans="1:33" ht="26.4">
      <c r="A2059" s="284"/>
      <c r="B2059" s="284"/>
      <c r="C2059" s="284"/>
      <c r="D2059" s="284"/>
      <c r="E2059" s="284"/>
      <c r="F2059" s="284"/>
      <c r="G2059" s="284"/>
      <c r="H2059" s="284"/>
      <c r="I2059" s="284"/>
      <c r="J2059" s="375"/>
      <c r="K2059" s="375"/>
      <c r="L2059" s="375"/>
      <c r="M2059" s="368"/>
      <c r="N2059" s="368"/>
      <c r="O2059" s="370"/>
      <c r="T2059" s="349"/>
      <c r="V2059" s="378"/>
      <c r="W2059" s="64" ph="1"/>
      <c r="X2059" s="241"/>
      <c r="Y2059" s="284"/>
      <c r="Z2059" s="207"/>
      <c r="AA2059" s="284"/>
      <c r="AB2059" s="284"/>
      <c r="AC2059" s="284"/>
      <c r="AD2059" s="284"/>
      <c r="AE2059" s="284"/>
      <c r="AF2059" s="284"/>
      <c r="AG2059" s="284"/>
    </row>
    <row r="2060" spans="1:33" ht="26.4">
      <c r="A2060" s="284"/>
      <c r="B2060" s="284"/>
      <c r="C2060" s="284"/>
      <c r="D2060" s="284"/>
      <c r="E2060" s="284"/>
      <c r="F2060" s="284"/>
      <c r="G2060" s="284"/>
      <c r="H2060" s="284"/>
      <c r="I2060" s="284"/>
      <c r="J2060" s="375"/>
      <c r="K2060" s="375"/>
      <c r="L2060" s="375"/>
      <c r="M2060" s="368"/>
      <c r="N2060" s="368"/>
      <c r="O2060" s="370"/>
      <c r="T2060" s="349"/>
      <c r="V2060" s="378"/>
      <c r="W2060" s="64" ph="1"/>
      <c r="X2060" s="241"/>
      <c r="Y2060" s="284"/>
      <c r="Z2060" s="207"/>
      <c r="AA2060" s="284"/>
      <c r="AB2060" s="284"/>
      <c r="AC2060" s="284"/>
      <c r="AD2060" s="284"/>
      <c r="AE2060" s="284"/>
      <c r="AF2060" s="284"/>
      <c r="AG2060" s="284"/>
    </row>
    <row r="2061" spans="1:33" ht="26.4">
      <c r="A2061" s="284"/>
      <c r="B2061" s="284"/>
      <c r="C2061" s="284"/>
      <c r="D2061" s="284"/>
      <c r="E2061" s="284"/>
      <c r="F2061" s="284"/>
      <c r="G2061" s="284"/>
      <c r="H2061" s="284"/>
      <c r="I2061" s="284"/>
      <c r="J2061" s="375"/>
      <c r="K2061" s="375"/>
      <c r="L2061" s="375"/>
      <c r="M2061" s="368"/>
      <c r="N2061" s="368"/>
      <c r="O2061" s="370"/>
      <c r="T2061" s="349"/>
      <c r="V2061" s="378"/>
      <c r="W2061" s="64" ph="1"/>
      <c r="X2061" s="241"/>
      <c r="Y2061" s="284"/>
      <c r="Z2061" s="207"/>
      <c r="AA2061" s="284"/>
      <c r="AB2061" s="284"/>
      <c r="AC2061" s="284"/>
      <c r="AD2061" s="284"/>
      <c r="AE2061" s="284"/>
      <c r="AF2061" s="284"/>
      <c r="AG2061" s="284"/>
    </row>
    <row r="2062" spans="1:33" ht="26.4">
      <c r="A2062" s="284"/>
      <c r="B2062" s="284"/>
      <c r="C2062" s="284"/>
      <c r="D2062" s="284"/>
      <c r="E2062" s="284"/>
      <c r="F2062" s="284"/>
      <c r="G2062" s="284"/>
      <c r="H2062" s="284"/>
      <c r="I2062" s="284"/>
      <c r="J2062" s="375"/>
      <c r="K2062" s="375"/>
      <c r="L2062" s="375"/>
      <c r="M2062" s="368"/>
      <c r="N2062" s="368"/>
      <c r="O2062" s="370"/>
      <c r="T2062" s="349"/>
      <c r="V2062" s="378"/>
      <c r="W2062" s="64" ph="1"/>
      <c r="X2062" s="241"/>
      <c r="Y2062" s="284"/>
      <c r="Z2062" s="207"/>
      <c r="AA2062" s="284"/>
      <c r="AB2062" s="284"/>
      <c r="AC2062" s="284"/>
      <c r="AD2062" s="284"/>
      <c r="AE2062" s="284"/>
      <c r="AF2062" s="284"/>
      <c r="AG2062" s="284"/>
    </row>
    <row r="2063" spans="1:33" ht="26.4">
      <c r="A2063" s="284"/>
      <c r="B2063" s="284"/>
      <c r="C2063" s="284"/>
      <c r="D2063" s="284"/>
      <c r="E2063" s="284"/>
      <c r="F2063" s="284"/>
      <c r="G2063" s="284"/>
      <c r="H2063" s="284"/>
      <c r="I2063" s="284"/>
      <c r="J2063" s="375"/>
      <c r="K2063" s="375"/>
      <c r="L2063" s="375"/>
      <c r="M2063" s="368"/>
      <c r="N2063" s="368"/>
      <c r="O2063" s="370"/>
      <c r="T2063" s="349"/>
      <c r="V2063" s="378"/>
      <c r="W2063" s="64" ph="1"/>
      <c r="X2063" s="241"/>
      <c r="Y2063" s="284"/>
      <c r="Z2063" s="207"/>
      <c r="AA2063" s="284"/>
      <c r="AB2063" s="284"/>
      <c r="AC2063" s="284"/>
      <c r="AD2063" s="284"/>
      <c r="AE2063" s="284"/>
      <c r="AF2063" s="284"/>
      <c r="AG2063" s="284"/>
    </row>
    <row r="2064" spans="1:33" ht="26.4">
      <c r="A2064" s="284"/>
      <c r="B2064" s="284"/>
      <c r="C2064" s="284"/>
      <c r="D2064" s="284"/>
      <c r="E2064" s="284"/>
      <c r="F2064" s="284"/>
      <c r="G2064" s="284"/>
      <c r="H2064" s="284"/>
      <c r="I2064" s="284"/>
      <c r="J2064" s="375"/>
      <c r="K2064" s="375"/>
      <c r="L2064" s="375"/>
      <c r="M2064" s="368"/>
      <c r="N2064" s="368"/>
      <c r="O2064" s="370"/>
      <c r="T2064" s="349"/>
      <c r="V2064" s="378"/>
      <c r="W2064" s="64" ph="1"/>
      <c r="X2064" s="241"/>
      <c r="Y2064" s="284"/>
      <c r="Z2064" s="207"/>
      <c r="AA2064" s="284"/>
      <c r="AB2064" s="284"/>
      <c r="AC2064" s="284"/>
      <c r="AD2064" s="284"/>
      <c r="AE2064" s="284"/>
      <c r="AF2064" s="284"/>
      <c r="AG2064" s="284"/>
    </row>
    <row r="2065" spans="1:33" ht="26.4">
      <c r="A2065" s="284"/>
      <c r="B2065" s="284"/>
      <c r="C2065" s="284"/>
      <c r="D2065" s="284"/>
      <c r="E2065" s="284"/>
      <c r="F2065" s="284"/>
      <c r="G2065" s="284"/>
      <c r="H2065" s="284"/>
      <c r="I2065" s="284"/>
      <c r="J2065" s="375"/>
      <c r="K2065" s="375"/>
      <c r="L2065" s="375"/>
      <c r="M2065" s="368"/>
      <c r="N2065" s="368"/>
      <c r="O2065" s="370"/>
      <c r="T2065" s="349"/>
      <c r="V2065" s="378"/>
      <c r="W2065" s="64" ph="1"/>
      <c r="X2065" s="241"/>
      <c r="Y2065" s="284"/>
      <c r="Z2065" s="207"/>
      <c r="AA2065" s="284"/>
      <c r="AB2065" s="284"/>
      <c r="AC2065" s="284"/>
      <c r="AD2065" s="284"/>
      <c r="AE2065" s="284"/>
      <c r="AF2065" s="284"/>
      <c r="AG2065" s="284"/>
    </row>
    <row r="2066" spans="1:33" ht="26.4">
      <c r="A2066" s="284"/>
      <c r="B2066" s="284"/>
      <c r="C2066" s="284"/>
      <c r="D2066" s="284"/>
      <c r="E2066" s="284"/>
      <c r="F2066" s="284"/>
      <c r="G2066" s="284"/>
      <c r="H2066" s="284"/>
      <c r="I2066" s="284"/>
      <c r="J2066" s="375"/>
      <c r="K2066" s="375"/>
      <c r="L2066" s="375"/>
      <c r="M2066" s="368"/>
      <c r="N2066" s="368"/>
      <c r="O2066" s="370"/>
      <c r="T2066" s="349"/>
      <c r="V2066" s="378"/>
      <c r="W2066" s="64" ph="1"/>
      <c r="X2066" s="241"/>
      <c r="Y2066" s="284"/>
      <c r="Z2066" s="207"/>
      <c r="AA2066" s="284"/>
      <c r="AB2066" s="284"/>
      <c r="AC2066" s="284"/>
      <c r="AD2066" s="284"/>
      <c r="AE2066" s="284"/>
      <c r="AF2066" s="284"/>
      <c r="AG2066" s="284"/>
    </row>
    <row r="2067" spans="1:33" ht="26.4">
      <c r="A2067" s="284"/>
      <c r="B2067" s="284"/>
      <c r="C2067" s="284"/>
      <c r="D2067" s="284"/>
      <c r="E2067" s="284"/>
      <c r="F2067" s="284"/>
      <c r="G2067" s="284"/>
      <c r="H2067" s="284"/>
      <c r="I2067" s="284"/>
      <c r="J2067" s="375"/>
      <c r="K2067" s="375"/>
      <c r="L2067" s="375"/>
      <c r="M2067" s="368"/>
      <c r="N2067" s="368"/>
      <c r="O2067" s="370"/>
      <c r="T2067" s="349"/>
      <c r="V2067" s="378"/>
      <c r="W2067" s="64" ph="1"/>
      <c r="X2067" s="241"/>
      <c r="Y2067" s="284"/>
      <c r="Z2067" s="207"/>
      <c r="AA2067" s="284"/>
      <c r="AB2067" s="284"/>
      <c r="AC2067" s="284"/>
      <c r="AD2067" s="284"/>
      <c r="AE2067" s="284"/>
      <c r="AF2067" s="284"/>
      <c r="AG2067" s="284"/>
    </row>
    <row r="2068" spans="1:33" ht="26.4">
      <c r="A2068" s="284"/>
      <c r="B2068" s="284"/>
      <c r="C2068" s="284"/>
      <c r="D2068" s="284"/>
      <c r="E2068" s="284"/>
      <c r="F2068" s="284"/>
      <c r="G2068" s="284"/>
      <c r="H2068" s="284"/>
      <c r="I2068" s="284"/>
      <c r="J2068" s="375"/>
      <c r="K2068" s="375"/>
      <c r="L2068" s="375"/>
      <c r="M2068" s="368"/>
      <c r="N2068" s="368"/>
      <c r="O2068" s="370"/>
      <c r="T2068" s="349"/>
      <c r="V2068" s="378"/>
      <c r="W2068" s="64" ph="1"/>
      <c r="X2068" s="241"/>
      <c r="Y2068" s="284"/>
      <c r="Z2068" s="207"/>
      <c r="AA2068" s="284"/>
      <c r="AB2068" s="284"/>
      <c r="AC2068" s="284"/>
      <c r="AD2068" s="284"/>
      <c r="AE2068" s="284"/>
      <c r="AF2068" s="284"/>
      <c r="AG2068" s="284"/>
    </row>
    <row r="2069" spans="1:33" ht="26.4">
      <c r="A2069" s="284"/>
      <c r="B2069" s="284"/>
      <c r="C2069" s="284"/>
      <c r="D2069" s="284"/>
      <c r="E2069" s="284"/>
      <c r="F2069" s="284"/>
      <c r="G2069" s="284"/>
      <c r="H2069" s="284"/>
      <c r="I2069" s="284"/>
      <c r="J2069" s="375"/>
      <c r="K2069" s="375"/>
      <c r="L2069" s="375"/>
      <c r="M2069" s="368"/>
      <c r="N2069" s="368"/>
      <c r="O2069" s="370"/>
      <c r="T2069" s="349"/>
      <c r="V2069" s="378"/>
      <c r="W2069" s="64" ph="1"/>
      <c r="X2069" s="241"/>
      <c r="Y2069" s="284"/>
      <c r="Z2069" s="207"/>
      <c r="AA2069" s="284"/>
      <c r="AB2069" s="284"/>
      <c r="AC2069" s="284"/>
      <c r="AD2069" s="284"/>
      <c r="AE2069" s="284"/>
      <c r="AF2069" s="284"/>
      <c r="AG2069" s="284"/>
    </row>
    <row r="2070" spans="1:33" ht="26.4">
      <c r="A2070" s="284"/>
      <c r="B2070" s="284"/>
      <c r="C2070" s="284"/>
      <c r="D2070" s="284"/>
      <c r="E2070" s="284"/>
      <c r="F2070" s="284"/>
      <c r="G2070" s="284"/>
      <c r="H2070" s="284"/>
      <c r="I2070" s="284"/>
      <c r="J2070" s="375"/>
      <c r="K2070" s="375"/>
      <c r="L2070" s="375"/>
      <c r="M2070" s="368"/>
      <c r="N2070" s="368"/>
      <c r="O2070" s="370"/>
      <c r="T2070" s="349"/>
      <c r="V2070" s="378"/>
      <c r="W2070" s="64" ph="1"/>
      <c r="X2070" s="241"/>
      <c r="Y2070" s="284"/>
      <c r="Z2070" s="207"/>
      <c r="AA2070" s="284"/>
      <c r="AB2070" s="284"/>
      <c r="AC2070" s="284"/>
      <c r="AD2070" s="284"/>
      <c r="AE2070" s="284"/>
      <c r="AF2070" s="284"/>
      <c r="AG2070" s="284"/>
    </row>
    <row r="2071" spans="1:33" ht="26.4">
      <c r="A2071" s="284"/>
      <c r="B2071" s="284"/>
      <c r="C2071" s="284"/>
      <c r="D2071" s="284"/>
      <c r="E2071" s="284"/>
      <c r="F2071" s="284"/>
      <c r="G2071" s="284"/>
      <c r="H2071" s="284"/>
      <c r="I2071" s="284"/>
      <c r="J2071" s="375"/>
      <c r="K2071" s="375"/>
      <c r="L2071" s="375"/>
      <c r="M2071" s="368"/>
      <c r="N2071" s="368"/>
      <c r="O2071" s="370"/>
      <c r="T2071" s="349"/>
      <c r="V2071" s="378"/>
      <c r="W2071" s="64" ph="1"/>
      <c r="X2071" s="241"/>
      <c r="Y2071" s="284"/>
      <c r="Z2071" s="207"/>
      <c r="AA2071" s="284"/>
      <c r="AB2071" s="284"/>
      <c r="AC2071" s="284"/>
      <c r="AD2071" s="284"/>
      <c r="AE2071" s="284"/>
      <c r="AF2071" s="284"/>
      <c r="AG2071" s="284"/>
    </row>
    <row r="2072" spans="1:33" ht="26.4">
      <c r="A2072" s="284"/>
      <c r="B2072" s="284"/>
      <c r="C2072" s="284"/>
      <c r="D2072" s="284"/>
      <c r="E2072" s="284"/>
      <c r="F2072" s="284"/>
      <c r="G2072" s="284"/>
      <c r="H2072" s="284"/>
      <c r="I2072" s="284"/>
      <c r="J2072" s="375"/>
      <c r="K2072" s="375"/>
      <c r="L2072" s="375"/>
      <c r="M2072" s="368"/>
      <c r="N2072" s="368"/>
      <c r="O2072" s="370"/>
      <c r="T2072" s="349"/>
      <c r="V2072" s="378"/>
      <c r="W2072" s="64" ph="1"/>
      <c r="X2072" s="241"/>
      <c r="Y2072" s="284"/>
      <c r="Z2072" s="207"/>
      <c r="AA2072" s="284"/>
      <c r="AB2072" s="284"/>
      <c r="AC2072" s="284"/>
      <c r="AD2072" s="284"/>
      <c r="AE2072" s="284"/>
      <c r="AF2072" s="284"/>
      <c r="AG2072" s="284"/>
    </row>
    <row r="2073" spans="1:33" ht="26.4">
      <c r="A2073" s="284"/>
      <c r="B2073" s="284"/>
      <c r="C2073" s="284"/>
      <c r="D2073" s="284"/>
      <c r="E2073" s="284"/>
      <c r="F2073" s="284"/>
      <c r="G2073" s="284"/>
      <c r="H2073" s="284"/>
      <c r="I2073" s="284"/>
      <c r="J2073" s="375"/>
      <c r="K2073" s="375"/>
      <c r="L2073" s="375"/>
      <c r="M2073" s="368"/>
      <c r="N2073" s="368"/>
      <c r="O2073" s="370"/>
      <c r="T2073" s="349"/>
      <c r="V2073" s="378"/>
      <c r="W2073" s="64" ph="1"/>
      <c r="X2073" s="241"/>
      <c r="Y2073" s="284"/>
      <c r="Z2073" s="207"/>
      <c r="AA2073" s="284"/>
      <c r="AB2073" s="284"/>
      <c r="AC2073" s="284"/>
      <c r="AD2073" s="284"/>
      <c r="AE2073" s="284"/>
      <c r="AF2073" s="284"/>
      <c r="AG2073" s="284"/>
    </row>
    <row r="2074" spans="1:33" ht="26.4">
      <c r="A2074" s="284"/>
      <c r="B2074" s="284"/>
      <c r="C2074" s="284"/>
      <c r="D2074" s="284"/>
      <c r="E2074" s="284"/>
      <c r="F2074" s="284"/>
      <c r="G2074" s="284"/>
      <c r="H2074" s="284"/>
      <c r="I2074" s="284"/>
      <c r="J2074" s="375"/>
      <c r="K2074" s="375"/>
      <c r="L2074" s="375"/>
      <c r="M2074" s="368"/>
      <c r="N2074" s="368"/>
      <c r="O2074" s="370"/>
      <c r="T2074" s="349"/>
      <c r="V2074" s="378"/>
      <c r="W2074" s="64" ph="1"/>
      <c r="X2074" s="241"/>
      <c r="Y2074" s="284"/>
      <c r="Z2074" s="207"/>
      <c r="AA2074" s="284"/>
      <c r="AB2074" s="284"/>
      <c r="AC2074" s="284"/>
      <c r="AD2074" s="284"/>
      <c r="AE2074" s="284"/>
      <c r="AF2074" s="284"/>
      <c r="AG2074" s="284"/>
    </row>
    <row r="2075" spans="1:33" ht="26.4">
      <c r="A2075" s="284"/>
      <c r="B2075" s="284"/>
      <c r="C2075" s="284"/>
      <c r="D2075" s="284"/>
      <c r="E2075" s="284"/>
      <c r="F2075" s="284"/>
      <c r="G2075" s="284"/>
      <c r="H2075" s="284"/>
      <c r="I2075" s="284"/>
      <c r="J2075" s="375"/>
      <c r="K2075" s="375"/>
      <c r="L2075" s="375"/>
      <c r="M2075" s="368"/>
      <c r="N2075" s="368"/>
      <c r="O2075" s="370"/>
      <c r="T2075" s="349"/>
      <c r="V2075" s="378"/>
      <c r="W2075" s="64" ph="1"/>
      <c r="X2075" s="241"/>
      <c r="Y2075" s="284"/>
      <c r="Z2075" s="207"/>
      <c r="AA2075" s="284"/>
      <c r="AB2075" s="284"/>
      <c r="AC2075" s="284"/>
      <c r="AD2075" s="284"/>
      <c r="AE2075" s="284"/>
      <c r="AF2075" s="284"/>
      <c r="AG2075" s="284"/>
    </row>
    <row r="2076" spans="1:33" ht="26.4">
      <c r="A2076" s="284"/>
      <c r="B2076" s="284"/>
      <c r="C2076" s="284"/>
      <c r="D2076" s="284"/>
      <c r="E2076" s="284"/>
      <c r="F2076" s="284"/>
      <c r="G2076" s="284"/>
      <c r="H2076" s="284"/>
      <c r="I2076" s="284"/>
      <c r="J2076" s="375"/>
      <c r="K2076" s="375"/>
      <c r="L2076" s="375"/>
      <c r="M2076" s="368"/>
      <c r="N2076" s="368"/>
      <c r="O2076" s="370"/>
      <c r="T2076" s="349"/>
      <c r="V2076" s="378"/>
      <c r="W2076" s="64" ph="1"/>
      <c r="X2076" s="241"/>
      <c r="Y2076" s="284"/>
      <c r="Z2076" s="207"/>
      <c r="AA2076" s="284"/>
      <c r="AB2076" s="284"/>
      <c r="AC2076" s="284"/>
      <c r="AD2076" s="284"/>
      <c r="AE2076" s="284"/>
      <c r="AF2076" s="284"/>
      <c r="AG2076" s="284"/>
    </row>
    <row r="2077" spans="1:33" ht="26.4">
      <c r="A2077" s="284"/>
      <c r="B2077" s="284"/>
      <c r="C2077" s="284"/>
      <c r="D2077" s="284"/>
      <c r="E2077" s="284"/>
      <c r="F2077" s="284"/>
      <c r="G2077" s="284"/>
      <c r="H2077" s="284"/>
      <c r="I2077" s="284"/>
      <c r="J2077" s="375"/>
      <c r="K2077" s="375"/>
      <c r="L2077" s="375"/>
      <c r="M2077" s="368"/>
      <c r="N2077" s="368"/>
      <c r="O2077" s="370"/>
      <c r="T2077" s="349"/>
      <c r="V2077" s="378"/>
      <c r="W2077" s="64" ph="1"/>
      <c r="X2077" s="241"/>
      <c r="Y2077" s="284"/>
      <c r="Z2077" s="207"/>
      <c r="AA2077" s="284"/>
      <c r="AB2077" s="284"/>
      <c r="AC2077" s="284"/>
      <c r="AD2077" s="284"/>
      <c r="AE2077" s="284"/>
      <c r="AF2077" s="284"/>
      <c r="AG2077" s="284"/>
    </row>
    <row r="2078" spans="1:33" ht="26.4">
      <c r="A2078" s="284"/>
      <c r="B2078" s="284"/>
      <c r="C2078" s="284"/>
      <c r="D2078" s="284"/>
      <c r="E2078" s="284"/>
      <c r="F2078" s="284"/>
      <c r="G2078" s="284"/>
      <c r="H2078" s="284"/>
      <c r="I2078" s="284"/>
      <c r="J2078" s="375"/>
      <c r="K2078" s="375"/>
      <c r="L2078" s="375"/>
      <c r="M2078" s="368"/>
      <c r="N2078" s="368"/>
      <c r="O2078" s="370"/>
      <c r="T2078" s="349"/>
      <c r="V2078" s="378"/>
      <c r="W2078" s="64" ph="1"/>
      <c r="X2078" s="241"/>
      <c r="Y2078" s="284"/>
      <c r="Z2078" s="207"/>
      <c r="AA2078" s="284"/>
      <c r="AB2078" s="284"/>
      <c r="AC2078" s="284"/>
      <c r="AD2078" s="284"/>
      <c r="AE2078" s="284"/>
      <c r="AF2078" s="284"/>
      <c r="AG2078" s="284"/>
    </row>
    <row r="2079" spans="1:33" ht="26.4">
      <c r="A2079" s="284"/>
      <c r="B2079" s="284"/>
      <c r="C2079" s="284"/>
      <c r="D2079" s="284"/>
      <c r="E2079" s="284"/>
      <c r="F2079" s="284"/>
      <c r="G2079" s="284"/>
      <c r="H2079" s="284"/>
      <c r="I2079" s="284"/>
      <c r="J2079" s="375"/>
      <c r="K2079" s="375"/>
      <c r="L2079" s="375"/>
      <c r="M2079" s="368"/>
      <c r="N2079" s="368"/>
      <c r="O2079" s="370"/>
      <c r="T2079" s="349"/>
      <c r="V2079" s="378"/>
      <c r="W2079" s="64" ph="1"/>
      <c r="X2079" s="241"/>
      <c r="Y2079" s="284"/>
      <c r="Z2079" s="207"/>
      <c r="AA2079" s="284"/>
      <c r="AB2079" s="284"/>
      <c r="AC2079" s="284"/>
      <c r="AD2079" s="284"/>
      <c r="AE2079" s="284"/>
      <c r="AF2079" s="284"/>
      <c r="AG2079" s="284"/>
    </row>
    <row r="2080" spans="1:33" ht="26.4">
      <c r="A2080" s="284"/>
      <c r="B2080" s="284"/>
      <c r="C2080" s="284"/>
      <c r="D2080" s="284"/>
      <c r="E2080" s="284"/>
      <c r="F2080" s="284"/>
      <c r="G2080" s="284"/>
      <c r="H2080" s="284"/>
      <c r="I2080" s="284"/>
      <c r="J2080" s="375"/>
      <c r="K2080" s="375"/>
      <c r="L2080" s="375"/>
      <c r="M2080" s="368"/>
      <c r="N2080" s="368"/>
      <c r="O2080" s="370"/>
      <c r="T2080" s="349"/>
      <c r="V2080" s="378"/>
      <c r="W2080" s="64" ph="1"/>
      <c r="X2080" s="241"/>
      <c r="Y2080" s="284"/>
      <c r="Z2080" s="207"/>
      <c r="AA2080" s="284"/>
      <c r="AB2080" s="284"/>
      <c r="AC2080" s="284"/>
      <c r="AD2080" s="284"/>
      <c r="AE2080" s="284"/>
      <c r="AF2080" s="284"/>
      <c r="AG2080" s="284"/>
    </row>
    <row r="2081" spans="1:33" ht="26.4">
      <c r="A2081" s="284"/>
      <c r="B2081" s="284"/>
      <c r="C2081" s="284"/>
      <c r="D2081" s="284"/>
      <c r="E2081" s="284"/>
      <c r="F2081" s="284"/>
      <c r="G2081" s="284"/>
      <c r="H2081" s="284"/>
      <c r="I2081" s="284"/>
      <c r="J2081" s="375"/>
      <c r="K2081" s="375"/>
      <c r="L2081" s="375"/>
      <c r="M2081" s="368"/>
      <c r="N2081" s="368"/>
      <c r="O2081" s="370"/>
      <c r="T2081" s="349"/>
      <c r="V2081" s="378"/>
      <c r="W2081" s="64" ph="1"/>
      <c r="X2081" s="241"/>
      <c r="Y2081" s="284"/>
      <c r="Z2081" s="207"/>
      <c r="AA2081" s="284"/>
      <c r="AB2081" s="284"/>
      <c r="AC2081" s="284"/>
      <c r="AD2081" s="284"/>
      <c r="AE2081" s="284"/>
      <c r="AF2081" s="284"/>
      <c r="AG2081" s="284"/>
    </row>
    <row r="2082" spans="1:33" ht="26.4">
      <c r="A2082" s="284"/>
      <c r="B2082" s="284"/>
      <c r="C2082" s="284"/>
      <c r="D2082" s="284"/>
      <c r="E2082" s="284"/>
      <c r="F2082" s="284"/>
      <c r="G2082" s="284"/>
      <c r="H2082" s="284"/>
      <c r="I2082" s="284"/>
      <c r="J2082" s="375"/>
      <c r="K2082" s="375"/>
      <c r="L2082" s="375"/>
      <c r="M2082" s="368"/>
      <c r="N2082" s="368"/>
      <c r="O2082" s="370"/>
      <c r="T2082" s="349"/>
      <c r="V2082" s="378"/>
      <c r="W2082" s="64" ph="1"/>
      <c r="X2082" s="241"/>
      <c r="Y2082" s="284"/>
      <c r="Z2082" s="207"/>
      <c r="AA2082" s="284"/>
      <c r="AB2082" s="284"/>
      <c r="AC2082" s="284"/>
      <c r="AD2082" s="284"/>
      <c r="AE2082" s="284"/>
      <c r="AF2082" s="284"/>
      <c r="AG2082" s="284"/>
    </row>
    <row r="2083" spans="1:33" ht="26.4">
      <c r="A2083" s="284"/>
      <c r="B2083" s="284"/>
      <c r="C2083" s="284"/>
      <c r="D2083" s="284"/>
      <c r="E2083" s="284"/>
      <c r="F2083" s="284"/>
      <c r="G2083" s="284"/>
      <c r="H2083" s="284"/>
      <c r="I2083" s="284"/>
      <c r="J2083" s="375"/>
      <c r="K2083" s="375"/>
      <c r="L2083" s="375"/>
      <c r="M2083" s="368"/>
      <c r="N2083" s="368"/>
      <c r="O2083" s="370"/>
      <c r="T2083" s="349"/>
      <c r="V2083" s="378"/>
      <c r="W2083" s="64" ph="1"/>
      <c r="X2083" s="241"/>
      <c r="Y2083" s="284"/>
      <c r="Z2083" s="207"/>
      <c r="AA2083" s="284"/>
      <c r="AB2083" s="284"/>
      <c r="AC2083" s="284"/>
      <c r="AD2083" s="284"/>
      <c r="AE2083" s="284"/>
      <c r="AF2083" s="284"/>
      <c r="AG2083" s="284"/>
    </row>
    <row r="2084" spans="1:33" ht="26.4">
      <c r="A2084" s="284"/>
      <c r="B2084" s="284"/>
      <c r="C2084" s="284"/>
      <c r="D2084" s="284"/>
      <c r="E2084" s="284"/>
      <c r="F2084" s="284"/>
      <c r="G2084" s="284"/>
      <c r="H2084" s="284"/>
      <c r="I2084" s="284"/>
      <c r="J2084" s="375"/>
      <c r="K2084" s="375"/>
      <c r="L2084" s="375"/>
      <c r="M2084" s="368"/>
      <c r="N2084" s="368"/>
      <c r="O2084" s="370"/>
      <c r="T2084" s="349"/>
      <c r="V2084" s="378"/>
      <c r="W2084" s="64" ph="1"/>
      <c r="X2084" s="241"/>
      <c r="Y2084" s="284"/>
      <c r="Z2084" s="207"/>
      <c r="AA2084" s="284"/>
      <c r="AB2084" s="284"/>
      <c r="AC2084" s="284"/>
      <c r="AD2084" s="284"/>
      <c r="AE2084" s="284"/>
      <c r="AF2084" s="284"/>
      <c r="AG2084" s="284"/>
    </row>
    <row r="2085" spans="1:33" ht="26.4">
      <c r="A2085" s="284"/>
      <c r="B2085" s="284"/>
      <c r="C2085" s="284"/>
      <c r="D2085" s="284"/>
      <c r="E2085" s="284"/>
      <c r="F2085" s="284"/>
      <c r="G2085" s="284"/>
      <c r="H2085" s="284"/>
      <c r="I2085" s="284"/>
      <c r="J2085" s="375"/>
      <c r="K2085" s="375"/>
      <c r="L2085" s="375"/>
      <c r="M2085" s="368"/>
      <c r="N2085" s="368"/>
      <c r="O2085" s="370"/>
      <c r="T2085" s="349"/>
      <c r="V2085" s="378"/>
      <c r="W2085" s="64" ph="1"/>
      <c r="X2085" s="241"/>
      <c r="Y2085" s="284"/>
      <c r="Z2085" s="207"/>
      <c r="AA2085" s="284"/>
      <c r="AB2085" s="284"/>
      <c r="AC2085" s="284"/>
      <c r="AD2085" s="284"/>
      <c r="AE2085" s="284"/>
      <c r="AF2085" s="284"/>
      <c r="AG2085" s="284"/>
    </row>
    <row r="2086" spans="1:33" ht="26.4">
      <c r="A2086" s="284"/>
      <c r="B2086" s="284"/>
      <c r="C2086" s="284"/>
      <c r="D2086" s="284"/>
      <c r="E2086" s="284"/>
      <c r="F2086" s="284"/>
      <c r="G2086" s="284"/>
      <c r="H2086" s="284"/>
      <c r="I2086" s="284"/>
      <c r="J2086" s="375"/>
      <c r="K2086" s="375"/>
      <c r="L2086" s="375"/>
      <c r="M2086" s="368"/>
      <c r="N2086" s="368"/>
      <c r="O2086" s="370"/>
      <c r="T2086" s="349"/>
      <c r="V2086" s="378"/>
      <c r="W2086" s="64" ph="1"/>
      <c r="X2086" s="241"/>
      <c r="Y2086" s="284"/>
      <c r="Z2086" s="207"/>
      <c r="AA2086" s="284"/>
      <c r="AB2086" s="284"/>
      <c r="AC2086" s="284"/>
      <c r="AD2086" s="284"/>
      <c r="AE2086" s="284"/>
      <c r="AF2086" s="284"/>
      <c r="AG2086" s="284"/>
    </row>
    <row r="2087" spans="1:33" ht="26.4">
      <c r="A2087" s="284"/>
      <c r="B2087" s="284"/>
      <c r="C2087" s="284"/>
      <c r="D2087" s="284"/>
      <c r="E2087" s="284"/>
      <c r="F2087" s="284"/>
      <c r="G2087" s="284"/>
      <c r="H2087" s="284"/>
      <c r="I2087" s="284"/>
      <c r="J2087" s="375"/>
      <c r="K2087" s="375"/>
      <c r="L2087" s="375"/>
      <c r="M2087" s="368"/>
      <c r="N2087" s="368"/>
      <c r="O2087" s="370"/>
      <c r="T2087" s="349"/>
      <c r="V2087" s="378"/>
      <c r="W2087" s="64" ph="1"/>
      <c r="X2087" s="241"/>
      <c r="Y2087" s="284"/>
      <c r="Z2087" s="207"/>
      <c r="AA2087" s="284"/>
      <c r="AB2087" s="284"/>
      <c r="AC2087" s="284"/>
      <c r="AD2087" s="284"/>
      <c r="AE2087" s="284"/>
      <c r="AF2087" s="284"/>
      <c r="AG2087" s="284"/>
    </row>
    <row r="2088" spans="1:33" ht="26.4">
      <c r="A2088" s="284"/>
      <c r="B2088" s="284"/>
      <c r="C2088" s="284"/>
      <c r="D2088" s="284"/>
      <c r="E2088" s="284"/>
      <c r="F2088" s="284"/>
      <c r="G2088" s="284"/>
      <c r="H2088" s="284"/>
      <c r="I2088" s="284"/>
      <c r="J2088" s="375"/>
      <c r="K2088" s="375"/>
      <c r="L2088" s="375"/>
      <c r="M2088" s="368"/>
      <c r="N2088" s="368"/>
      <c r="O2088" s="370"/>
      <c r="T2088" s="349"/>
      <c r="V2088" s="378"/>
      <c r="W2088" s="64" ph="1"/>
      <c r="X2088" s="241"/>
      <c r="Y2088" s="284"/>
      <c r="Z2088" s="207"/>
      <c r="AA2088" s="284"/>
      <c r="AB2088" s="284"/>
      <c r="AC2088" s="284"/>
      <c r="AD2088" s="284"/>
      <c r="AE2088" s="284"/>
      <c r="AF2088" s="284"/>
      <c r="AG2088" s="284"/>
    </row>
    <row r="2089" spans="1:33" ht="26.4">
      <c r="A2089" s="284"/>
      <c r="B2089" s="284"/>
      <c r="C2089" s="284"/>
      <c r="D2089" s="284"/>
      <c r="E2089" s="284"/>
      <c r="F2089" s="284"/>
      <c r="G2089" s="284"/>
      <c r="H2089" s="284"/>
      <c r="I2089" s="284"/>
      <c r="J2089" s="375"/>
      <c r="K2089" s="375"/>
      <c r="L2089" s="375"/>
      <c r="M2089" s="368"/>
      <c r="N2089" s="368"/>
      <c r="O2089" s="370"/>
      <c r="T2089" s="349"/>
      <c r="V2089" s="378"/>
      <c r="W2089" s="64" ph="1"/>
      <c r="X2089" s="241"/>
      <c r="Y2089" s="284"/>
      <c r="Z2089" s="207"/>
      <c r="AA2089" s="284"/>
      <c r="AB2089" s="284"/>
      <c r="AC2089" s="284"/>
      <c r="AD2089" s="284"/>
      <c r="AE2089" s="284"/>
      <c r="AF2089" s="284"/>
      <c r="AG2089" s="284"/>
    </row>
    <row r="2090" spans="1:33" ht="26.4">
      <c r="A2090" s="284"/>
      <c r="B2090" s="284"/>
      <c r="C2090" s="284"/>
      <c r="D2090" s="284"/>
      <c r="E2090" s="284"/>
      <c r="F2090" s="284"/>
      <c r="G2090" s="284"/>
      <c r="H2090" s="284"/>
      <c r="I2090" s="284"/>
      <c r="J2090" s="375"/>
      <c r="K2090" s="375"/>
      <c r="L2090" s="375"/>
      <c r="M2090" s="368"/>
      <c r="N2090" s="368"/>
      <c r="O2090" s="370"/>
      <c r="T2090" s="349"/>
      <c r="V2090" s="378"/>
      <c r="W2090" s="64" ph="1"/>
      <c r="X2090" s="241"/>
      <c r="Y2090" s="284"/>
      <c r="Z2090" s="207"/>
      <c r="AA2090" s="284"/>
      <c r="AB2090" s="284"/>
      <c r="AC2090" s="284"/>
      <c r="AD2090" s="284"/>
      <c r="AE2090" s="284"/>
      <c r="AF2090" s="284"/>
      <c r="AG2090" s="284"/>
    </row>
    <row r="2091" spans="1:33" ht="26.4">
      <c r="A2091" s="284"/>
      <c r="B2091" s="284"/>
      <c r="C2091" s="284"/>
      <c r="D2091" s="284"/>
      <c r="E2091" s="284"/>
      <c r="F2091" s="284"/>
      <c r="G2091" s="284"/>
      <c r="H2091" s="284"/>
      <c r="I2091" s="284"/>
      <c r="J2091" s="375"/>
      <c r="K2091" s="375"/>
      <c r="L2091" s="375"/>
      <c r="M2091" s="368"/>
      <c r="N2091" s="368"/>
      <c r="O2091" s="370"/>
      <c r="T2091" s="349"/>
      <c r="V2091" s="378"/>
      <c r="W2091" s="64" ph="1"/>
      <c r="X2091" s="241"/>
      <c r="Y2091" s="284"/>
      <c r="Z2091" s="207"/>
      <c r="AA2091" s="284"/>
      <c r="AB2091" s="284"/>
      <c r="AC2091" s="284"/>
      <c r="AD2091" s="284"/>
      <c r="AE2091" s="284"/>
      <c r="AF2091" s="284"/>
      <c r="AG2091" s="284"/>
    </row>
    <row r="2092" spans="1:33" ht="26.4">
      <c r="A2092" s="284"/>
      <c r="B2092" s="284"/>
      <c r="C2092" s="284"/>
      <c r="D2092" s="284"/>
      <c r="E2092" s="284"/>
      <c r="F2092" s="284"/>
      <c r="G2092" s="284"/>
      <c r="H2092" s="284"/>
      <c r="I2092" s="284"/>
      <c r="J2092" s="375"/>
      <c r="K2092" s="375"/>
      <c r="L2092" s="375"/>
      <c r="M2092" s="368"/>
      <c r="N2092" s="368"/>
      <c r="O2092" s="370"/>
      <c r="T2092" s="349"/>
      <c r="V2092" s="378"/>
      <c r="W2092" s="64" ph="1"/>
      <c r="X2092" s="241"/>
      <c r="Y2092" s="284"/>
      <c r="Z2092" s="207"/>
      <c r="AA2092" s="284"/>
      <c r="AB2092" s="284"/>
      <c r="AC2092" s="284"/>
      <c r="AD2092" s="284"/>
      <c r="AE2092" s="284"/>
      <c r="AF2092" s="284"/>
      <c r="AG2092" s="284"/>
    </row>
    <row r="2093" spans="1:33" ht="26.4">
      <c r="A2093" s="284"/>
      <c r="B2093" s="284"/>
      <c r="C2093" s="284"/>
      <c r="D2093" s="284"/>
      <c r="E2093" s="284"/>
      <c r="F2093" s="284"/>
      <c r="G2093" s="284"/>
      <c r="H2093" s="284"/>
      <c r="I2093" s="284"/>
      <c r="J2093" s="375"/>
      <c r="K2093" s="375"/>
      <c r="L2093" s="375"/>
      <c r="M2093" s="368"/>
      <c r="N2093" s="368"/>
      <c r="O2093" s="370"/>
      <c r="T2093" s="349"/>
      <c r="V2093" s="378"/>
      <c r="W2093" s="64" ph="1"/>
      <c r="X2093" s="241"/>
      <c r="Y2093" s="284"/>
      <c r="Z2093" s="207"/>
      <c r="AA2093" s="284"/>
      <c r="AB2093" s="284"/>
      <c r="AC2093" s="284"/>
      <c r="AD2093" s="284"/>
      <c r="AE2093" s="284"/>
      <c r="AF2093" s="284"/>
      <c r="AG2093" s="284"/>
    </row>
    <row r="2094" spans="1:33" ht="26.4">
      <c r="A2094" s="284"/>
      <c r="B2094" s="284"/>
      <c r="C2094" s="284"/>
      <c r="D2094" s="284"/>
      <c r="E2094" s="284"/>
      <c r="F2094" s="284"/>
      <c r="G2094" s="284"/>
      <c r="H2094" s="284"/>
      <c r="I2094" s="284"/>
      <c r="J2094" s="375"/>
      <c r="K2094" s="375"/>
      <c r="L2094" s="375"/>
      <c r="M2094" s="368"/>
      <c r="N2094" s="368"/>
      <c r="O2094" s="370"/>
      <c r="T2094" s="349"/>
      <c r="V2094" s="378"/>
      <c r="W2094" s="64" ph="1"/>
      <c r="X2094" s="241"/>
      <c r="Y2094" s="284"/>
      <c r="Z2094" s="207"/>
      <c r="AA2094" s="284"/>
      <c r="AB2094" s="284"/>
      <c r="AC2094" s="284"/>
      <c r="AD2094" s="284"/>
      <c r="AE2094" s="284"/>
      <c r="AF2094" s="284"/>
      <c r="AG2094" s="284"/>
    </row>
    <row r="2095" spans="1:33" ht="26.4">
      <c r="A2095" s="284"/>
      <c r="B2095" s="284"/>
      <c r="C2095" s="284"/>
      <c r="D2095" s="284"/>
      <c r="E2095" s="284"/>
      <c r="F2095" s="284"/>
      <c r="G2095" s="284"/>
      <c r="H2095" s="284"/>
      <c r="I2095" s="284"/>
      <c r="J2095" s="375"/>
      <c r="K2095" s="375"/>
      <c r="L2095" s="375"/>
      <c r="M2095" s="368"/>
      <c r="N2095" s="368"/>
      <c r="O2095" s="370"/>
      <c r="T2095" s="349"/>
      <c r="V2095" s="378"/>
      <c r="W2095" s="64" ph="1"/>
      <c r="X2095" s="241"/>
      <c r="Y2095" s="284"/>
      <c r="Z2095" s="207"/>
      <c r="AA2095" s="284"/>
      <c r="AB2095" s="284"/>
      <c r="AC2095" s="284"/>
      <c r="AD2095" s="284"/>
      <c r="AE2095" s="284"/>
      <c r="AF2095" s="284"/>
      <c r="AG2095" s="284"/>
    </row>
    <row r="2096" spans="1:33" ht="26.4">
      <c r="A2096" s="284"/>
      <c r="B2096" s="284"/>
      <c r="C2096" s="284"/>
      <c r="D2096" s="284"/>
      <c r="E2096" s="284"/>
      <c r="F2096" s="284"/>
      <c r="G2096" s="284"/>
      <c r="H2096" s="284"/>
      <c r="I2096" s="284"/>
      <c r="J2096" s="375"/>
      <c r="K2096" s="375"/>
      <c r="L2096" s="375"/>
      <c r="M2096" s="368"/>
      <c r="N2096" s="368"/>
      <c r="O2096" s="370"/>
      <c r="T2096" s="349"/>
      <c r="V2096" s="378"/>
      <c r="W2096" s="64" ph="1"/>
      <c r="X2096" s="241"/>
      <c r="Y2096" s="284"/>
      <c r="Z2096" s="207"/>
      <c r="AA2096" s="284"/>
      <c r="AB2096" s="284"/>
      <c r="AC2096" s="284"/>
      <c r="AD2096" s="284"/>
      <c r="AE2096" s="284"/>
      <c r="AF2096" s="284"/>
      <c r="AG2096" s="284"/>
    </row>
    <row r="2097" spans="1:33" ht="26.4">
      <c r="A2097" s="284"/>
      <c r="B2097" s="284"/>
      <c r="C2097" s="284"/>
      <c r="D2097" s="284"/>
      <c r="E2097" s="284"/>
      <c r="F2097" s="284"/>
      <c r="G2097" s="284"/>
      <c r="H2097" s="284"/>
      <c r="I2097" s="284"/>
      <c r="J2097" s="375"/>
      <c r="K2097" s="375"/>
      <c r="L2097" s="375"/>
      <c r="M2097" s="368"/>
      <c r="N2097" s="368"/>
      <c r="O2097" s="370"/>
      <c r="T2097" s="349"/>
      <c r="V2097" s="378"/>
      <c r="W2097" s="64" ph="1"/>
      <c r="X2097" s="241"/>
      <c r="Y2097" s="284"/>
      <c r="Z2097" s="207"/>
      <c r="AA2097" s="284"/>
      <c r="AB2097" s="284"/>
      <c r="AC2097" s="284"/>
      <c r="AD2097" s="284"/>
      <c r="AE2097" s="284"/>
      <c r="AF2097" s="284"/>
      <c r="AG2097" s="284"/>
    </row>
    <row r="2098" spans="1:33" ht="26.4">
      <c r="A2098" s="284"/>
      <c r="B2098" s="284"/>
      <c r="C2098" s="284"/>
      <c r="D2098" s="284"/>
      <c r="E2098" s="284"/>
      <c r="F2098" s="284"/>
      <c r="G2098" s="284"/>
      <c r="H2098" s="284"/>
      <c r="I2098" s="284"/>
      <c r="J2098" s="375"/>
      <c r="K2098" s="375"/>
      <c r="L2098" s="375"/>
      <c r="M2098" s="368"/>
      <c r="N2098" s="368"/>
      <c r="O2098" s="370"/>
      <c r="T2098" s="349"/>
      <c r="V2098" s="378"/>
      <c r="W2098" s="64" ph="1"/>
      <c r="X2098" s="241"/>
      <c r="Y2098" s="284"/>
      <c r="Z2098" s="207"/>
      <c r="AA2098" s="284"/>
      <c r="AB2098" s="284"/>
      <c r="AC2098" s="284"/>
      <c r="AD2098" s="284"/>
      <c r="AE2098" s="284"/>
      <c r="AF2098" s="284"/>
      <c r="AG2098" s="284"/>
    </row>
    <row r="2099" spans="1:33" ht="26.4">
      <c r="A2099" s="284"/>
      <c r="B2099" s="284"/>
      <c r="C2099" s="284"/>
      <c r="D2099" s="284"/>
      <c r="E2099" s="284"/>
      <c r="F2099" s="284"/>
      <c r="G2099" s="284"/>
      <c r="H2099" s="284"/>
      <c r="I2099" s="284"/>
      <c r="J2099" s="375"/>
      <c r="K2099" s="375"/>
      <c r="L2099" s="375"/>
      <c r="M2099" s="368"/>
      <c r="N2099" s="368"/>
      <c r="O2099" s="370"/>
      <c r="T2099" s="349"/>
      <c r="V2099" s="378"/>
      <c r="W2099" s="64" ph="1"/>
      <c r="X2099" s="241"/>
      <c r="Y2099" s="284"/>
      <c r="Z2099" s="207"/>
      <c r="AA2099" s="284"/>
      <c r="AB2099" s="284"/>
      <c r="AC2099" s="284"/>
      <c r="AD2099" s="284"/>
      <c r="AE2099" s="284"/>
      <c r="AF2099" s="284"/>
      <c r="AG2099" s="284"/>
    </row>
    <row r="2100" spans="1:33" ht="26.4">
      <c r="A2100" s="284"/>
      <c r="B2100" s="284"/>
      <c r="C2100" s="284"/>
      <c r="D2100" s="284"/>
      <c r="E2100" s="284"/>
      <c r="F2100" s="284"/>
      <c r="G2100" s="284"/>
      <c r="H2100" s="284"/>
      <c r="I2100" s="284"/>
      <c r="J2100" s="375"/>
      <c r="K2100" s="375"/>
      <c r="L2100" s="375"/>
      <c r="M2100" s="368"/>
      <c r="N2100" s="368"/>
      <c r="O2100" s="370"/>
      <c r="T2100" s="349"/>
      <c r="V2100" s="378"/>
      <c r="W2100" s="64" ph="1"/>
      <c r="X2100" s="241"/>
      <c r="Y2100" s="284"/>
      <c r="Z2100" s="207"/>
      <c r="AA2100" s="284"/>
      <c r="AB2100" s="284"/>
      <c r="AC2100" s="284"/>
      <c r="AD2100" s="284"/>
      <c r="AE2100" s="284"/>
      <c r="AF2100" s="284"/>
      <c r="AG2100" s="284"/>
    </row>
    <row r="2101" spans="1:33" ht="26.4">
      <c r="A2101" s="284"/>
      <c r="B2101" s="284"/>
      <c r="C2101" s="284"/>
      <c r="D2101" s="284"/>
      <c r="E2101" s="284"/>
      <c r="F2101" s="284"/>
      <c r="G2101" s="284"/>
      <c r="H2101" s="284"/>
      <c r="I2101" s="284"/>
      <c r="J2101" s="375"/>
      <c r="K2101" s="375"/>
      <c r="L2101" s="375"/>
      <c r="M2101" s="368"/>
      <c r="N2101" s="368"/>
      <c r="O2101" s="370"/>
      <c r="T2101" s="349"/>
      <c r="V2101" s="378"/>
      <c r="W2101" s="64" ph="1"/>
      <c r="X2101" s="241"/>
      <c r="Y2101" s="284"/>
      <c r="Z2101" s="207"/>
      <c r="AA2101" s="284"/>
      <c r="AB2101" s="284"/>
      <c r="AC2101" s="284"/>
      <c r="AD2101" s="284"/>
      <c r="AE2101" s="284"/>
      <c r="AF2101" s="284"/>
      <c r="AG2101" s="284"/>
    </row>
    <row r="2102" spans="1:33" ht="26.4">
      <c r="A2102" s="284"/>
      <c r="B2102" s="284"/>
      <c r="C2102" s="284"/>
      <c r="D2102" s="284"/>
      <c r="E2102" s="284"/>
      <c r="F2102" s="284"/>
      <c r="G2102" s="284"/>
      <c r="H2102" s="284"/>
      <c r="I2102" s="284"/>
      <c r="J2102" s="375"/>
      <c r="K2102" s="375"/>
      <c r="L2102" s="375"/>
      <c r="M2102" s="368"/>
      <c r="N2102" s="368"/>
      <c r="O2102" s="370"/>
      <c r="T2102" s="349"/>
      <c r="V2102" s="378"/>
      <c r="W2102" s="64" ph="1"/>
      <c r="X2102" s="241"/>
      <c r="Y2102" s="284"/>
      <c r="Z2102" s="207"/>
      <c r="AA2102" s="284"/>
      <c r="AB2102" s="284"/>
      <c r="AC2102" s="284"/>
      <c r="AD2102" s="284"/>
      <c r="AE2102" s="284"/>
      <c r="AF2102" s="284"/>
      <c r="AG2102" s="284"/>
    </row>
    <row r="2103" spans="1:33" ht="26.4">
      <c r="A2103" s="284"/>
      <c r="B2103" s="284"/>
      <c r="C2103" s="284"/>
      <c r="D2103" s="284"/>
      <c r="E2103" s="284"/>
      <c r="F2103" s="284"/>
      <c r="G2103" s="284"/>
      <c r="H2103" s="284"/>
      <c r="I2103" s="284"/>
      <c r="J2103" s="375"/>
      <c r="K2103" s="375"/>
      <c r="L2103" s="375"/>
      <c r="M2103" s="368"/>
      <c r="N2103" s="368"/>
      <c r="O2103" s="370"/>
      <c r="T2103" s="349"/>
      <c r="V2103" s="378"/>
      <c r="W2103" s="64" ph="1"/>
      <c r="X2103" s="241"/>
      <c r="Y2103" s="284"/>
      <c r="Z2103" s="207"/>
      <c r="AA2103" s="284"/>
      <c r="AB2103" s="284"/>
      <c r="AC2103" s="284"/>
      <c r="AD2103" s="284"/>
      <c r="AE2103" s="284"/>
      <c r="AF2103" s="284"/>
      <c r="AG2103" s="284"/>
    </row>
    <row r="2104" spans="1:33" ht="26.4">
      <c r="A2104" s="284"/>
      <c r="B2104" s="284"/>
      <c r="C2104" s="284"/>
      <c r="D2104" s="284"/>
      <c r="E2104" s="284"/>
      <c r="F2104" s="284"/>
      <c r="G2104" s="284"/>
      <c r="H2104" s="284"/>
      <c r="I2104" s="284"/>
      <c r="J2104" s="375"/>
      <c r="K2104" s="375"/>
      <c r="L2104" s="375"/>
      <c r="M2104" s="368"/>
      <c r="N2104" s="368"/>
      <c r="O2104" s="370"/>
      <c r="T2104" s="349"/>
      <c r="V2104" s="378"/>
      <c r="W2104" s="64" ph="1"/>
      <c r="X2104" s="241"/>
      <c r="Y2104" s="284"/>
      <c r="Z2104" s="207"/>
      <c r="AA2104" s="284"/>
      <c r="AB2104" s="284"/>
      <c r="AC2104" s="284"/>
      <c r="AD2104" s="284"/>
      <c r="AE2104" s="284"/>
      <c r="AF2104" s="284"/>
      <c r="AG2104" s="284"/>
    </row>
    <row r="2105" spans="1:33" ht="26.4">
      <c r="A2105" s="284"/>
      <c r="B2105" s="284"/>
      <c r="C2105" s="284"/>
      <c r="D2105" s="284"/>
      <c r="E2105" s="284"/>
      <c r="F2105" s="284"/>
      <c r="G2105" s="284"/>
      <c r="H2105" s="284"/>
      <c r="I2105" s="284"/>
      <c r="J2105" s="375"/>
      <c r="K2105" s="375"/>
      <c r="L2105" s="375"/>
      <c r="M2105" s="368"/>
      <c r="N2105" s="368"/>
      <c r="O2105" s="370"/>
      <c r="T2105" s="349"/>
      <c r="V2105" s="378"/>
      <c r="W2105" s="64" ph="1"/>
      <c r="X2105" s="241"/>
      <c r="Y2105" s="284"/>
      <c r="Z2105" s="207"/>
      <c r="AA2105" s="284"/>
      <c r="AB2105" s="284"/>
      <c r="AC2105" s="284"/>
      <c r="AD2105" s="284"/>
      <c r="AE2105" s="284"/>
      <c r="AF2105" s="284"/>
      <c r="AG2105" s="284"/>
    </row>
    <row r="2106" spans="1:33" ht="26.4">
      <c r="A2106" s="284"/>
      <c r="B2106" s="284"/>
      <c r="C2106" s="284"/>
      <c r="D2106" s="284"/>
      <c r="E2106" s="284"/>
      <c r="F2106" s="284"/>
      <c r="G2106" s="284"/>
      <c r="H2106" s="284"/>
      <c r="I2106" s="284"/>
      <c r="J2106" s="375"/>
      <c r="K2106" s="375"/>
      <c r="L2106" s="375"/>
      <c r="M2106" s="368"/>
      <c r="N2106" s="368"/>
      <c r="O2106" s="370"/>
      <c r="T2106" s="349"/>
      <c r="V2106" s="378"/>
      <c r="W2106" s="64" ph="1"/>
      <c r="X2106" s="241"/>
      <c r="Y2106" s="284"/>
      <c r="Z2106" s="207"/>
      <c r="AA2106" s="284"/>
      <c r="AB2106" s="284"/>
      <c r="AC2106" s="284"/>
      <c r="AD2106" s="284"/>
      <c r="AE2106" s="284"/>
      <c r="AF2106" s="284"/>
      <c r="AG2106" s="284"/>
    </row>
    <row r="2107" spans="1:33" ht="26.4">
      <c r="A2107" s="284"/>
      <c r="B2107" s="284"/>
      <c r="C2107" s="284"/>
      <c r="D2107" s="284"/>
      <c r="E2107" s="284"/>
      <c r="F2107" s="284"/>
      <c r="G2107" s="284"/>
      <c r="H2107" s="284"/>
      <c r="I2107" s="284"/>
      <c r="J2107" s="375"/>
      <c r="K2107" s="375"/>
      <c r="L2107" s="375"/>
      <c r="M2107" s="368"/>
      <c r="N2107" s="368"/>
      <c r="O2107" s="370"/>
      <c r="T2107" s="349"/>
      <c r="V2107" s="378"/>
      <c r="W2107" s="64" ph="1"/>
      <c r="X2107" s="241"/>
      <c r="Y2107" s="284"/>
      <c r="Z2107" s="207"/>
      <c r="AA2107" s="284"/>
      <c r="AB2107" s="284"/>
      <c r="AC2107" s="284"/>
      <c r="AD2107" s="284"/>
      <c r="AE2107" s="284"/>
      <c r="AF2107" s="284"/>
      <c r="AG2107" s="284"/>
    </row>
    <row r="2108" spans="1:33" ht="26.4">
      <c r="A2108" s="284"/>
      <c r="B2108" s="284"/>
      <c r="C2108" s="284"/>
      <c r="D2108" s="284"/>
      <c r="E2108" s="284"/>
      <c r="F2108" s="284"/>
      <c r="G2108" s="284"/>
      <c r="H2108" s="284"/>
      <c r="I2108" s="284"/>
      <c r="J2108" s="375"/>
      <c r="K2108" s="375"/>
      <c r="L2108" s="375"/>
      <c r="M2108" s="368"/>
      <c r="N2108" s="368"/>
      <c r="O2108" s="370"/>
      <c r="T2108" s="349"/>
      <c r="V2108" s="378"/>
      <c r="W2108" s="64" ph="1"/>
      <c r="X2108" s="241"/>
      <c r="Y2108" s="284"/>
      <c r="Z2108" s="207"/>
      <c r="AA2108" s="284"/>
      <c r="AB2108" s="284"/>
      <c r="AC2108" s="284"/>
      <c r="AD2108" s="284"/>
      <c r="AE2108" s="284"/>
      <c r="AF2108" s="284"/>
      <c r="AG2108" s="284"/>
    </row>
    <row r="2109" spans="1:33" ht="26.4">
      <c r="A2109" s="284"/>
      <c r="B2109" s="284"/>
      <c r="C2109" s="284"/>
      <c r="D2109" s="284"/>
      <c r="E2109" s="284"/>
      <c r="F2109" s="284"/>
      <c r="G2109" s="284"/>
      <c r="H2109" s="284"/>
      <c r="I2109" s="284"/>
      <c r="J2109" s="375"/>
      <c r="K2109" s="375"/>
      <c r="L2109" s="375"/>
      <c r="M2109" s="368"/>
      <c r="N2109" s="368"/>
      <c r="O2109" s="370"/>
      <c r="T2109" s="349"/>
      <c r="V2109" s="378"/>
      <c r="W2109" s="64" ph="1"/>
      <c r="X2109" s="241"/>
      <c r="Y2109" s="284"/>
      <c r="Z2109" s="207"/>
      <c r="AA2109" s="284"/>
      <c r="AB2109" s="284"/>
      <c r="AC2109" s="284"/>
      <c r="AD2109" s="284"/>
      <c r="AE2109" s="284"/>
      <c r="AF2109" s="284"/>
      <c r="AG2109" s="284"/>
    </row>
    <row r="2110" spans="1:33" ht="26.4">
      <c r="A2110" s="284"/>
      <c r="B2110" s="284"/>
      <c r="C2110" s="284"/>
      <c r="D2110" s="284"/>
      <c r="E2110" s="284"/>
      <c r="F2110" s="284"/>
      <c r="G2110" s="284"/>
      <c r="H2110" s="284"/>
      <c r="I2110" s="284"/>
      <c r="J2110" s="375"/>
      <c r="K2110" s="375"/>
      <c r="L2110" s="375"/>
      <c r="M2110" s="368"/>
      <c r="N2110" s="368"/>
      <c r="O2110" s="370"/>
      <c r="T2110" s="349"/>
      <c r="V2110" s="378"/>
      <c r="W2110" s="64" ph="1"/>
      <c r="X2110" s="241"/>
      <c r="Y2110" s="284"/>
      <c r="Z2110" s="207"/>
      <c r="AA2110" s="284"/>
      <c r="AB2110" s="284"/>
      <c r="AC2110" s="284"/>
      <c r="AD2110" s="284"/>
      <c r="AE2110" s="284"/>
      <c r="AF2110" s="284"/>
      <c r="AG2110" s="284"/>
    </row>
    <row r="2111" spans="1:33" ht="26.4">
      <c r="A2111" s="284"/>
      <c r="B2111" s="284"/>
      <c r="C2111" s="284"/>
      <c r="D2111" s="284"/>
      <c r="E2111" s="284"/>
      <c r="F2111" s="284"/>
      <c r="G2111" s="284"/>
      <c r="H2111" s="284"/>
      <c r="I2111" s="284"/>
      <c r="J2111" s="375"/>
      <c r="K2111" s="375"/>
      <c r="L2111" s="375"/>
      <c r="M2111" s="368"/>
      <c r="N2111" s="368"/>
      <c r="O2111" s="370"/>
      <c r="T2111" s="349"/>
      <c r="V2111" s="378"/>
      <c r="W2111" s="64" ph="1"/>
      <c r="X2111" s="241"/>
      <c r="Y2111" s="284"/>
      <c r="Z2111" s="207"/>
      <c r="AA2111" s="284"/>
      <c r="AB2111" s="284"/>
      <c r="AC2111" s="284"/>
      <c r="AD2111" s="284"/>
      <c r="AE2111" s="284"/>
      <c r="AF2111" s="284"/>
      <c r="AG2111" s="284"/>
    </row>
    <row r="2112" spans="1:33" ht="26.4">
      <c r="A2112" s="284"/>
      <c r="B2112" s="284"/>
      <c r="C2112" s="284"/>
      <c r="D2112" s="284"/>
      <c r="E2112" s="284"/>
      <c r="F2112" s="284"/>
      <c r="G2112" s="284"/>
      <c r="H2112" s="284"/>
      <c r="I2112" s="284"/>
      <c r="J2112" s="375"/>
      <c r="K2112" s="375"/>
      <c r="L2112" s="375"/>
      <c r="M2112" s="368"/>
      <c r="N2112" s="368"/>
      <c r="O2112" s="370"/>
      <c r="T2112" s="349"/>
      <c r="V2112" s="378"/>
      <c r="W2112" s="64" ph="1"/>
      <c r="X2112" s="241"/>
      <c r="Y2112" s="284"/>
      <c r="Z2112" s="207"/>
      <c r="AA2112" s="284"/>
      <c r="AB2112" s="284"/>
      <c r="AC2112" s="284"/>
      <c r="AD2112" s="284"/>
      <c r="AE2112" s="284"/>
      <c r="AF2112" s="284"/>
      <c r="AG2112" s="284"/>
    </row>
    <row r="2113" spans="1:33" ht="26.4">
      <c r="A2113" s="284"/>
      <c r="B2113" s="284"/>
      <c r="C2113" s="284"/>
      <c r="D2113" s="284"/>
      <c r="E2113" s="284"/>
      <c r="F2113" s="284"/>
      <c r="G2113" s="284"/>
      <c r="H2113" s="284"/>
      <c r="I2113" s="284"/>
      <c r="J2113" s="375"/>
      <c r="K2113" s="375"/>
      <c r="L2113" s="375"/>
      <c r="M2113" s="368"/>
      <c r="N2113" s="368"/>
      <c r="O2113" s="370"/>
      <c r="T2113" s="349"/>
      <c r="V2113" s="378"/>
      <c r="W2113" s="64" ph="1"/>
      <c r="X2113" s="241"/>
      <c r="Y2113" s="284"/>
      <c r="Z2113" s="207"/>
      <c r="AA2113" s="284"/>
      <c r="AB2113" s="284"/>
      <c r="AC2113" s="284"/>
      <c r="AD2113" s="284"/>
      <c r="AE2113" s="284"/>
      <c r="AF2113" s="284"/>
      <c r="AG2113" s="284"/>
    </row>
    <row r="2114" spans="1:33" ht="26.4">
      <c r="A2114" s="284"/>
      <c r="B2114" s="284"/>
      <c r="C2114" s="284"/>
      <c r="D2114" s="284"/>
      <c r="E2114" s="284"/>
      <c r="F2114" s="284"/>
      <c r="G2114" s="284"/>
      <c r="H2114" s="284"/>
      <c r="I2114" s="284"/>
      <c r="J2114" s="375"/>
      <c r="K2114" s="375"/>
      <c r="L2114" s="375"/>
      <c r="M2114" s="368"/>
      <c r="N2114" s="368"/>
      <c r="O2114" s="370"/>
      <c r="T2114" s="349"/>
      <c r="V2114" s="378"/>
      <c r="W2114" s="64" ph="1"/>
      <c r="X2114" s="241"/>
      <c r="Y2114" s="284"/>
      <c r="Z2114" s="207"/>
      <c r="AA2114" s="284"/>
      <c r="AB2114" s="284"/>
      <c r="AC2114" s="284"/>
      <c r="AD2114" s="284"/>
      <c r="AE2114" s="284"/>
      <c r="AF2114" s="284"/>
      <c r="AG2114" s="284"/>
    </row>
    <row r="2115" spans="1:33" ht="26.4">
      <c r="A2115" s="284"/>
      <c r="B2115" s="284"/>
      <c r="C2115" s="284"/>
      <c r="D2115" s="284"/>
      <c r="E2115" s="284"/>
      <c r="F2115" s="284"/>
      <c r="G2115" s="284"/>
      <c r="H2115" s="284"/>
      <c r="I2115" s="284"/>
      <c r="J2115" s="375"/>
      <c r="K2115" s="375"/>
      <c r="L2115" s="375"/>
      <c r="M2115" s="368"/>
      <c r="N2115" s="368"/>
      <c r="O2115" s="370"/>
      <c r="T2115" s="349"/>
      <c r="V2115" s="378"/>
      <c r="W2115" s="64" ph="1"/>
      <c r="X2115" s="241"/>
      <c r="Y2115" s="284"/>
      <c r="Z2115" s="207"/>
      <c r="AA2115" s="284"/>
      <c r="AB2115" s="284"/>
      <c r="AC2115" s="284"/>
      <c r="AD2115" s="284"/>
      <c r="AE2115" s="284"/>
      <c r="AF2115" s="284"/>
      <c r="AG2115" s="284"/>
    </row>
    <row r="2116" spans="1:33" ht="26.4">
      <c r="A2116" s="284"/>
      <c r="B2116" s="284"/>
      <c r="C2116" s="284"/>
      <c r="D2116" s="284"/>
      <c r="E2116" s="284"/>
      <c r="F2116" s="284"/>
      <c r="G2116" s="284"/>
      <c r="H2116" s="284"/>
      <c r="I2116" s="284"/>
      <c r="J2116" s="375"/>
      <c r="K2116" s="375"/>
      <c r="L2116" s="375"/>
      <c r="M2116" s="368"/>
      <c r="N2116" s="368"/>
      <c r="O2116" s="370"/>
      <c r="T2116" s="349"/>
      <c r="V2116" s="378"/>
      <c r="W2116" s="64" ph="1"/>
      <c r="X2116" s="241"/>
      <c r="Y2116" s="284"/>
      <c r="Z2116" s="207"/>
      <c r="AA2116" s="284"/>
      <c r="AB2116" s="284"/>
      <c r="AC2116" s="284"/>
      <c r="AD2116" s="284"/>
      <c r="AE2116" s="284"/>
      <c r="AF2116" s="284"/>
      <c r="AG2116" s="284"/>
    </row>
    <row r="2117" spans="1:33" ht="26.4">
      <c r="A2117" s="284"/>
      <c r="B2117" s="284"/>
      <c r="C2117" s="284"/>
      <c r="D2117" s="284"/>
      <c r="E2117" s="284"/>
      <c r="F2117" s="284"/>
      <c r="G2117" s="284"/>
      <c r="H2117" s="284"/>
      <c r="I2117" s="284"/>
      <c r="J2117" s="375"/>
      <c r="K2117" s="375"/>
      <c r="L2117" s="375"/>
      <c r="M2117" s="368"/>
      <c r="N2117" s="368"/>
      <c r="O2117" s="370"/>
      <c r="T2117" s="349"/>
      <c r="V2117" s="378"/>
      <c r="W2117" s="64" ph="1"/>
      <c r="X2117" s="241"/>
      <c r="Y2117" s="284"/>
      <c r="Z2117" s="207"/>
      <c r="AA2117" s="284"/>
      <c r="AB2117" s="284"/>
      <c r="AC2117" s="284"/>
      <c r="AD2117" s="284"/>
      <c r="AE2117" s="284"/>
      <c r="AF2117" s="284"/>
      <c r="AG2117" s="284"/>
    </row>
    <row r="2118" spans="1:33" ht="26.4">
      <c r="A2118" s="284"/>
      <c r="B2118" s="284"/>
      <c r="C2118" s="284"/>
      <c r="D2118" s="284"/>
      <c r="E2118" s="284"/>
      <c r="F2118" s="284"/>
      <c r="G2118" s="284"/>
      <c r="H2118" s="284"/>
      <c r="I2118" s="284"/>
      <c r="J2118" s="375"/>
      <c r="K2118" s="375"/>
      <c r="L2118" s="375"/>
      <c r="M2118" s="368"/>
      <c r="N2118" s="368"/>
      <c r="O2118" s="370"/>
      <c r="T2118" s="349"/>
      <c r="V2118" s="378"/>
      <c r="W2118" s="64" ph="1"/>
      <c r="X2118" s="241"/>
      <c r="Y2118" s="284"/>
      <c r="Z2118" s="207"/>
      <c r="AA2118" s="284"/>
      <c r="AB2118" s="284"/>
      <c r="AC2118" s="284"/>
      <c r="AD2118" s="284"/>
      <c r="AE2118" s="284"/>
      <c r="AF2118" s="284"/>
      <c r="AG2118" s="284"/>
    </row>
    <row r="2119" spans="1:33" ht="26.4">
      <c r="A2119" s="284"/>
      <c r="B2119" s="284"/>
      <c r="C2119" s="284"/>
      <c r="D2119" s="284"/>
      <c r="E2119" s="284"/>
      <c r="F2119" s="284"/>
      <c r="G2119" s="284"/>
      <c r="H2119" s="284"/>
      <c r="I2119" s="284"/>
      <c r="J2119" s="375"/>
      <c r="K2119" s="375"/>
      <c r="L2119" s="375"/>
      <c r="M2119" s="368"/>
      <c r="N2119" s="368"/>
      <c r="O2119" s="370"/>
      <c r="T2119" s="349"/>
      <c r="V2119" s="378"/>
      <c r="W2119" s="64" ph="1"/>
      <c r="X2119" s="241"/>
      <c r="Y2119" s="284"/>
      <c r="Z2119" s="207"/>
      <c r="AA2119" s="284"/>
      <c r="AB2119" s="284"/>
      <c r="AC2119" s="284"/>
      <c r="AD2119" s="284"/>
      <c r="AE2119" s="284"/>
      <c r="AF2119" s="284"/>
      <c r="AG2119" s="284"/>
    </row>
    <row r="2120" spans="1:33" ht="26.4">
      <c r="A2120" s="284"/>
      <c r="B2120" s="284"/>
      <c r="C2120" s="284"/>
      <c r="D2120" s="284"/>
      <c r="E2120" s="284"/>
      <c r="F2120" s="284"/>
      <c r="G2120" s="284"/>
      <c r="H2120" s="284"/>
      <c r="I2120" s="284"/>
      <c r="J2120" s="375"/>
      <c r="K2120" s="375"/>
      <c r="L2120" s="375"/>
      <c r="M2120" s="368"/>
      <c r="N2120" s="368"/>
      <c r="O2120" s="370"/>
      <c r="T2120" s="349"/>
      <c r="V2120" s="378"/>
      <c r="W2120" s="64" ph="1"/>
      <c r="X2120" s="241"/>
      <c r="Y2120" s="284"/>
      <c r="Z2120" s="207"/>
      <c r="AA2120" s="284"/>
      <c r="AB2120" s="284"/>
      <c r="AC2120" s="284"/>
      <c r="AD2120" s="284"/>
      <c r="AE2120" s="284"/>
      <c r="AF2120" s="284"/>
      <c r="AG2120" s="284"/>
    </row>
    <row r="2121" spans="1:33" ht="26.4">
      <c r="A2121" s="284"/>
      <c r="B2121" s="284"/>
      <c r="C2121" s="284"/>
      <c r="D2121" s="284"/>
      <c r="E2121" s="284"/>
      <c r="F2121" s="284"/>
      <c r="G2121" s="284"/>
      <c r="H2121" s="284"/>
      <c r="I2121" s="284"/>
      <c r="J2121" s="375"/>
      <c r="K2121" s="375"/>
      <c r="L2121" s="375"/>
      <c r="M2121" s="368"/>
      <c r="N2121" s="368"/>
      <c r="O2121" s="370"/>
      <c r="T2121" s="349"/>
      <c r="V2121" s="378"/>
      <c r="W2121" s="64" ph="1"/>
      <c r="X2121" s="241"/>
      <c r="Y2121" s="284"/>
      <c r="Z2121" s="207"/>
      <c r="AA2121" s="284"/>
      <c r="AB2121" s="284"/>
      <c r="AC2121" s="284"/>
      <c r="AD2121" s="284"/>
      <c r="AE2121" s="284"/>
      <c r="AF2121" s="284"/>
      <c r="AG2121" s="284"/>
    </row>
    <row r="2122" spans="1:33" ht="26.4">
      <c r="A2122" s="284"/>
      <c r="B2122" s="284"/>
      <c r="C2122" s="284"/>
      <c r="D2122" s="284"/>
      <c r="E2122" s="284"/>
      <c r="F2122" s="284"/>
      <c r="G2122" s="284"/>
      <c r="H2122" s="284"/>
      <c r="I2122" s="284"/>
      <c r="J2122" s="375"/>
      <c r="K2122" s="375"/>
      <c r="L2122" s="375"/>
      <c r="M2122" s="368"/>
      <c r="N2122" s="368"/>
      <c r="O2122" s="370"/>
      <c r="T2122" s="349"/>
      <c r="V2122" s="378"/>
      <c r="W2122" s="64" ph="1"/>
      <c r="X2122" s="241"/>
      <c r="Y2122" s="284"/>
      <c r="Z2122" s="207"/>
      <c r="AA2122" s="284"/>
      <c r="AB2122" s="284"/>
      <c r="AC2122" s="284"/>
      <c r="AD2122" s="284"/>
      <c r="AE2122" s="284"/>
      <c r="AF2122" s="284"/>
      <c r="AG2122" s="284"/>
    </row>
    <row r="2123" spans="1:33" ht="26.4">
      <c r="A2123" s="284"/>
      <c r="B2123" s="284"/>
      <c r="C2123" s="284"/>
      <c r="D2123" s="284"/>
      <c r="E2123" s="284"/>
      <c r="F2123" s="284"/>
      <c r="G2123" s="284"/>
      <c r="H2123" s="284"/>
      <c r="I2123" s="284"/>
      <c r="J2123" s="375"/>
      <c r="K2123" s="375"/>
      <c r="L2123" s="375"/>
      <c r="M2123" s="368"/>
      <c r="N2123" s="368"/>
      <c r="O2123" s="370"/>
      <c r="T2123" s="349"/>
      <c r="V2123" s="378"/>
      <c r="W2123" s="64" ph="1"/>
      <c r="X2123" s="241"/>
      <c r="Y2123" s="284"/>
      <c r="Z2123" s="207"/>
      <c r="AA2123" s="284"/>
      <c r="AB2123" s="284"/>
      <c r="AC2123" s="284"/>
      <c r="AD2123" s="284"/>
      <c r="AE2123" s="284"/>
      <c r="AF2123" s="284"/>
      <c r="AG2123" s="284"/>
    </row>
    <row r="2124" spans="1:33" ht="26.4">
      <c r="A2124" s="284"/>
      <c r="B2124" s="284"/>
      <c r="C2124" s="284"/>
      <c r="D2124" s="284"/>
      <c r="E2124" s="284"/>
      <c r="F2124" s="284"/>
      <c r="G2124" s="284"/>
      <c r="H2124" s="284"/>
      <c r="I2124" s="284"/>
      <c r="J2124" s="375"/>
      <c r="K2124" s="375"/>
      <c r="L2124" s="375"/>
      <c r="M2124" s="368"/>
      <c r="N2124" s="368"/>
      <c r="O2124" s="370"/>
      <c r="T2124" s="349"/>
      <c r="V2124" s="378"/>
      <c r="W2124" s="64" ph="1"/>
      <c r="X2124" s="241"/>
      <c r="Y2124" s="284"/>
      <c r="Z2124" s="207"/>
      <c r="AA2124" s="284"/>
      <c r="AB2124" s="284"/>
      <c r="AC2124" s="284"/>
      <c r="AD2124" s="284"/>
      <c r="AE2124" s="284"/>
      <c r="AF2124" s="284"/>
      <c r="AG2124" s="284"/>
    </row>
    <row r="2125" spans="1:33" ht="26.4">
      <c r="A2125" s="284"/>
      <c r="B2125" s="284"/>
      <c r="C2125" s="284"/>
      <c r="D2125" s="284"/>
      <c r="E2125" s="284"/>
      <c r="F2125" s="284"/>
      <c r="G2125" s="284"/>
      <c r="H2125" s="284"/>
      <c r="I2125" s="284"/>
      <c r="J2125" s="375"/>
      <c r="K2125" s="375"/>
      <c r="L2125" s="375"/>
      <c r="M2125" s="368"/>
      <c r="N2125" s="368"/>
      <c r="O2125" s="370"/>
      <c r="T2125" s="349"/>
      <c r="V2125" s="378"/>
      <c r="W2125" s="64" ph="1"/>
      <c r="X2125" s="241"/>
      <c r="Y2125" s="284"/>
      <c r="Z2125" s="207"/>
      <c r="AA2125" s="284"/>
      <c r="AB2125" s="284"/>
      <c r="AC2125" s="284"/>
      <c r="AD2125" s="284"/>
      <c r="AE2125" s="284"/>
      <c r="AF2125" s="284"/>
      <c r="AG2125" s="284"/>
    </row>
    <row r="2126" spans="1:33" ht="26.4">
      <c r="A2126" s="284"/>
      <c r="B2126" s="284"/>
      <c r="C2126" s="284"/>
      <c r="D2126" s="284"/>
      <c r="E2126" s="284"/>
      <c r="F2126" s="284"/>
      <c r="G2126" s="284"/>
      <c r="H2126" s="284"/>
      <c r="I2126" s="284"/>
      <c r="J2126" s="375"/>
      <c r="K2126" s="375"/>
      <c r="L2126" s="375"/>
      <c r="M2126" s="368"/>
      <c r="N2126" s="368"/>
      <c r="O2126" s="370"/>
      <c r="T2126" s="349"/>
      <c r="V2126" s="378"/>
      <c r="W2126" s="64" ph="1"/>
      <c r="X2126" s="241"/>
      <c r="Y2126" s="284"/>
      <c r="Z2126" s="207"/>
      <c r="AA2126" s="284"/>
      <c r="AB2126" s="284"/>
      <c r="AC2126" s="284"/>
      <c r="AD2126" s="284"/>
      <c r="AE2126" s="284"/>
      <c r="AF2126" s="284"/>
      <c r="AG2126" s="284"/>
    </row>
    <row r="2127" spans="1:33" ht="26.4">
      <c r="A2127" s="284"/>
      <c r="B2127" s="284"/>
      <c r="C2127" s="284"/>
      <c r="D2127" s="284"/>
      <c r="E2127" s="284"/>
      <c r="F2127" s="284"/>
      <c r="G2127" s="284"/>
      <c r="H2127" s="284"/>
      <c r="I2127" s="284"/>
      <c r="J2127" s="375"/>
      <c r="K2127" s="375"/>
      <c r="L2127" s="375"/>
      <c r="M2127" s="368"/>
      <c r="N2127" s="368"/>
      <c r="O2127" s="370"/>
      <c r="T2127" s="349"/>
      <c r="V2127" s="378"/>
      <c r="W2127" s="64" ph="1"/>
      <c r="X2127" s="241"/>
      <c r="Y2127" s="284"/>
      <c r="Z2127" s="207"/>
      <c r="AA2127" s="284"/>
      <c r="AB2127" s="284"/>
      <c r="AC2127" s="284"/>
      <c r="AD2127" s="284"/>
      <c r="AE2127" s="284"/>
      <c r="AF2127" s="284"/>
      <c r="AG2127" s="284"/>
    </row>
    <row r="2128" spans="1:33" ht="26.4">
      <c r="A2128" s="284"/>
      <c r="B2128" s="284"/>
      <c r="C2128" s="284"/>
      <c r="D2128" s="284"/>
      <c r="E2128" s="284"/>
      <c r="F2128" s="284"/>
      <c r="G2128" s="284"/>
      <c r="H2128" s="284"/>
      <c r="I2128" s="284"/>
      <c r="J2128" s="375"/>
      <c r="K2128" s="375"/>
      <c r="L2128" s="375"/>
      <c r="M2128" s="368"/>
      <c r="N2128" s="368"/>
      <c r="O2128" s="370"/>
      <c r="T2128" s="349"/>
      <c r="V2128" s="378"/>
      <c r="W2128" s="64" ph="1"/>
      <c r="X2128" s="241"/>
      <c r="Y2128" s="284"/>
      <c r="Z2128" s="207"/>
      <c r="AA2128" s="284"/>
      <c r="AB2128" s="284"/>
      <c r="AC2128" s="284"/>
      <c r="AD2128" s="284"/>
      <c r="AE2128" s="284"/>
      <c r="AF2128" s="284"/>
      <c r="AG2128" s="284"/>
    </row>
    <row r="2129" spans="1:33" ht="26.4">
      <c r="A2129" s="284"/>
      <c r="B2129" s="284"/>
      <c r="C2129" s="284"/>
      <c r="D2129" s="284"/>
      <c r="E2129" s="284"/>
      <c r="F2129" s="284"/>
      <c r="G2129" s="284"/>
      <c r="H2129" s="284"/>
      <c r="I2129" s="284"/>
      <c r="J2129" s="375"/>
      <c r="K2129" s="375"/>
      <c r="L2129" s="375"/>
      <c r="M2129" s="368"/>
      <c r="N2129" s="368"/>
      <c r="O2129" s="370"/>
      <c r="T2129" s="349"/>
      <c r="V2129" s="378"/>
      <c r="W2129" s="64" ph="1"/>
      <c r="X2129" s="241"/>
      <c r="Y2129" s="284"/>
      <c r="Z2129" s="207"/>
      <c r="AA2129" s="284"/>
      <c r="AB2129" s="284"/>
      <c r="AC2129" s="284"/>
      <c r="AD2129" s="284"/>
      <c r="AE2129" s="284"/>
      <c r="AF2129" s="284"/>
      <c r="AG2129" s="284"/>
    </row>
    <row r="2130" spans="1:33" ht="26.4">
      <c r="A2130" s="284"/>
      <c r="B2130" s="284"/>
      <c r="C2130" s="284"/>
      <c r="D2130" s="284"/>
      <c r="E2130" s="284"/>
      <c r="F2130" s="284"/>
      <c r="G2130" s="284"/>
      <c r="H2130" s="284"/>
      <c r="I2130" s="284"/>
      <c r="J2130" s="375"/>
      <c r="K2130" s="375"/>
      <c r="L2130" s="375"/>
      <c r="M2130" s="368"/>
      <c r="N2130" s="368"/>
      <c r="O2130" s="370"/>
      <c r="T2130" s="349"/>
      <c r="V2130" s="378"/>
      <c r="W2130" s="64" ph="1"/>
      <c r="X2130" s="241"/>
      <c r="Y2130" s="284"/>
      <c r="Z2130" s="207"/>
      <c r="AA2130" s="284"/>
      <c r="AB2130" s="284"/>
      <c r="AC2130" s="284"/>
      <c r="AD2130" s="284"/>
      <c r="AE2130" s="284"/>
      <c r="AF2130" s="284"/>
      <c r="AG2130" s="284"/>
    </row>
    <row r="2131" spans="1:33" ht="26.4">
      <c r="A2131" s="284"/>
      <c r="B2131" s="284"/>
      <c r="C2131" s="284"/>
      <c r="D2131" s="284"/>
      <c r="E2131" s="284"/>
      <c r="F2131" s="284"/>
      <c r="G2131" s="284"/>
      <c r="H2131" s="284"/>
      <c r="I2131" s="284"/>
      <c r="J2131" s="375"/>
      <c r="K2131" s="375"/>
      <c r="L2131" s="375"/>
      <c r="M2131" s="368"/>
      <c r="N2131" s="368"/>
      <c r="O2131" s="370"/>
      <c r="T2131" s="349"/>
      <c r="V2131" s="378"/>
      <c r="W2131" s="64" ph="1"/>
      <c r="X2131" s="241"/>
      <c r="Y2131" s="284"/>
      <c r="Z2131" s="207"/>
      <c r="AA2131" s="284"/>
      <c r="AB2131" s="284"/>
      <c r="AC2131" s="284"/>
      <c r="AD2131" s="284"/>
      <c r="AE2131" s="284"/>
      <c r="AF2131" s="284"/>
      <c r="AG2131" s="284"/>
    </row>
    <row r="2132" spans="1:33" ht="26.4">
      <c r="A2132" s="284"/>
      <c r="B2132" s="284"/>
      <c r="C2132" s="284"/>
      <c r="D2132" s="284"/>
      <c r="E2132" s="284"/>
      <c r="F2132" s="284"/>
      <c r="G2132" s="284"/>
      <c r="H2132" s="284"/>
      <c r="I2132" s="284"/>
      <c r="J2132" s="375"/>
      <c r="K2132" s="375"/>
      <c r="L2132" s="375"/>
      <c r="M2132" s="368"/>
      <c r="N2132" s="368"/>
      <c r="O2132" s="370"/>
      <c r="T2132" s="349"/>
      <c r="V2132" s="378"/>
      <c r="W2132" s="64" ph="1"/>
      <c r="X2132" s="241"/>
      <c r="Y2132" s="284"/>
      <c r="Z2132" s="207"/>
      <c r="AA2132" s="284"/>
      <c r="AB2132" s="284"/>
      <c r="AC2132" s="284"/>
      <c r="AD2132" s="284"/>
      <c r="AE2132" s="284"/>
      <c r="AF2132" s="284"/>
      <c r="AG2132" s="284"/>
    </row>
    <row r="2133" spans="1:33" ht="26.4">
      <c r="A2133" s="284"/>
      <c r="B2133" s="284"/>
      <c r="C2133" s="284"/>
      <c r="D2133" s="284"/>
      <c r="E2133" s="284"/>
      <c r="F2133" s="284"/>
      <c r="G2133" s="284"/>
      <c r="H2133" s="284"/>
      <c r="I2133" s="284"/>
      <c r="J2133" s="375"/>
      <c r="K2133" s="375"/>
      <c r="L2133" s="375"/>
      <c r="M2133" s="368"/>
      <c r="N2133" s="368"/>
      <c r="O2133" s="370"/>
      <c r="T2133" s="349"/>
      <c r="V2133" s="378"/>
      <c r="W2133" s="64" ph="1"/>
      <c r="X2133" s="241"/>
      <c r="Y2133" s="284"/>
      <c r="Z2133" s="207"/>
      <c r="AA2133" s="284"/>
      <c r="AB2133" s="284"/>
      <c r="AC2133" s="284"/>
      <c r="AD2133" s="284"/>
      <c r="AE2133" s="284"/>
      <c r="AF2133" s="284"/>
      <c r="AG2133" s="284"/>
    </row>
    <row r="2134" spans="1:33" ht="26.4">
      <c r="A2134" s="284"/>
      <c r="B2134" s="284"/>
      <c r="C2134" s="284"/>
      <c r="D2134" s="284"/>
      <c r="E2134" s="284"/>
      <c r="F2134" s="284"/>
      <c r="G2134" s="284"/>
      <c r="H2134" s="284"/>
      <c r="I2134" s="284"/>
      <c r="J2134" s="375"/>
      <c r="K2134" s="375"/>
      <c r="L2134" s="375"/>
      <c r="M2134" s="368"/>
      <c r="N2134" s="368"/>
      <c r="O2134" s="370"/>
      <c r="T2134" s="349"/>
      <c r="V2134" s="378"/>
      <c r="W2134" s="64" ph="1"/>
      <c r="X2134" s="241"/>
      <c r="Y2134" s="284"/>
      <c r="Z2134" s="207"/>
      <c r="AA2134" s="284"/>
      <c r="AB2134" s="284"/>
      <c r="AC2134" s="284"/>
      <c r="AD2134" s="284"/>
      <c r="AE2134" s="284"/>
      <c r="AF2134" s="284"/>
      <c r="AG2134" s="284"/>
    </row>
    <row r="2135" spans="1:33" ht="26.4">
      <c r="A2135" s="284"/>
      <c r="B2135" s="284"/>
      <c r="C2135" s="284"/>
      <c r="D2135" s="284"/>
      <c r="E2135" s="284"/>
      <c r="F2135" s="284"/>
      <c r="G2135" s="284"/>
      <c r="H2135" s="284"/>
      <c r="I2135" s="284"/>
      <c r="J2135" s="375"/>
      <c r="K2135" s="375"/>
      <c r="L2135" s="375"/>
      <c r="M2135" s="368"/>
      <c r="N2135" s="368"/>
      <c r="O2135" s="370"/>
      <c r="T2135" s="349"/>
      <c r="V2135" s="378"/>
      <c r="W2135" s="64" ph="1"/>
      <c r="X2135" s="241"/>
      <c r="Y2135" s="284"/>
      <c r="Z2135" s="207"/>
      <c r="AA2135" s="284"/>
      <c r="AB2135" s="284"/>
      <c r="AC2135" s="284"/>
      <c r="AD2135" s="284"/>
      <c r="AE2135" s="284"/>
      <c r="AF2135" s="284"/>
      <c r="AG2135" s="284"/>
    </row>
    <row r="2136" spans="1:33" ht="26.4">
      <c r="A2136" s="284"/>
      <c r="B2136" s="284"/>
      <c r="C2136" s="284"/>
      <c r="D2136" s="284"/>
      <c r="E2136" s="284"/>
      <c r="F2136" s="284"/>
      <c r="G2136" s="284"/>
      <c r="H2136" s="284"/>
      <c r="I2136" s="284"/>
      <c r="J2136" s="375"/>
      <c r="K2136" s="375"/>
      <c r="L2136" s="375"/>
      <c r="M2136" s="368"/>
      <c r="N2136" s="368"/>
      <c r="O2136" s="370"/>
      <c r="T2136" s="349"/>
      <c r="V2136" s="378"/>
      <c r="W2136" s="64" ph="1"/>
      <c r="X2136" s="241"/>
      <c r="Y2136" s="284"/>
      <c r="Z2136" s="207"/>
      <c r="AA2136" s="284"/>
      <c r="AB2136" s="284"/>
      <c r="AC2136" s="284"/>
      <c r="AD2136" s="284"/>
      <c r="AE2136" s="284"/>
      <c r="AF2136" s="284"/>
      <c r="AG2136" s="284"/>
    </row>
    <row r="2137" spans="1:33" ht="26.4">
      <c r="A2137" s="284"/>
      <c r="B2137" s="284"/>
      <c r="C2137" s="284"/>
      <c r="D2137" s="284"/>
      <c r="E2137" s="284"/>
      <c r="F2137" s="284"/>
      <c r="G2137" s="284"/>
      <c r="H2137" s="284"/>
      <c r="I2137" s="284"/>
      <c r="J2137" s="375"/>
      <c r="K2137" s="375"/>
      <c r="L2137" s="375"/>
      <c r="M2137" s="368"/>
      <c r="N2137" s="368"/>
      <c r="O2137" s="370"/>
      <c r="T2137" s="349"/>
      <c r="V2137" s="378"/>
      <c r="W2137" s="64" ph="1"/>
      <c r="X2137" s="241"/>
      <c r="Y2137" s="284"/>
      <c r="Z2137" s="207"/>
      <c r="AA2137" s="284"/>
      <c r="AB2137" s="284"/>
      <c r="AC2137" s="284"/>
      <c r="AD2137" s="284"/>
      <c r="AE2137" s="284"/>
      <c r="AF2137" s="284"/>
      <c r="AG2137" s="284"/>
    </row>
    <row r="2138" spans="1:33" ht="26.4">
      <c r="A2138" s="284"/>
      <c r="B2138" s="284"/>
      <c r="C2138" s="284"/>
      <c r="D2138" s="284"/>
      <c r="E2138" s="284"/>
      <c r="F2138" s="284"/>
      <c r="G2138" s="284"/>
      <c r="H2138" s="284"/>
      <c r="I2138" s="284"/>
      <c r="J2138" s="375"/>
      <c r="K2138" s="375"/>
      <c r="L2138" s="375"/>
      <c r="M2138" s="368"/>
      <c r="N2138" s="368"/>
      <c r="O2138" s="370"/>
      <c r="T2138" s="349"/>
      <c r="V2138" s="378"/>
      <c r="W2138" s="64" ph="1"/>
      <c r="X2138" s="241"/>
      <c r="Y2138" s="284"/>
      <c r="Z2138" s="207"/>
      <c r="AA2138" s="284"/>
      <c r="AB2138" s="284"/>
      <c r="AC2138" s="284"/>
      <c r="AD2138" s="284"/>
      <c r="AE2138" s="284"/>
      <c r="AF2138" s="284"/>
      <c r="AG2138" s="284"/>
    </row>
    <row r="2139" spans="1:33" ht="26.4">
      <c r="A2139" s="284"/>
      <c r="B2139" s="284"/>
      <c r="C2139" s="284"/>
      <c r="D2139" s="284"/>
      <c r="E2139" s="284"/>
      <c r="F2139" s="284"/>
      <c r="G2139" s="284"/>
      <c r="H2139" s="284"/>
      <c r="I2139" s="284"/>
      <c r="J2139" s="375"/>
      <c r="K2139" s="375"/>
      <c r="L2139" s="375"/>
      <c r="M2139" s="368"/>
      <c r="N2139" s="368"/>
      <c r="O2139" s="370"/>
      <c r="T2139" s="349"/>
      <c r="V2139" s="378"/>
      <c r="W2139" s="64" ph="1"/>
      <c r="X2139" s="241"/>
      <c r="Y2139" s="284"/>
      <c r="Z2139" s="207"/>
      <c r="AA2139" s="284"/>
      <c r="AB2139" s="284"/>
      <c r="AC2139" s="284"/>
      <c r="AD2139" s="284"/>
      <c r="AE2139" s="284"/>
      <c r="AF2139" s="284"/>
      <c r="AG2139" s="284"/>
    </row>
    <row r="2140" spans="1:33" ht="26.4">
      <c r="A2140" s="284"/>
      <c r="B2140" s="284"/>
      <c r="C2140" s="284"/>
      <c r="D2140" s="284"/>
      <c r="E2140" s="284"/>
      <c r="F2140" s="284"/>
      <c r="G2140" s="284"/>
      <c r="H2140" s="284"/>
      <c r="I2140" s="284"/>
      <c r="J2140" s="375"/>
      <c r="K2140" s="375"/>
      <c r="L2140" s="375"/>
      <c r="M2140" s="368"/>
      <c r="N2140" s="368"/>
      <c r="O2140" s="370"/>
      <c r="T2140" s="349"/>
      <c r="V2140" s="378"/>
      <c r="W2140" s="64" ph="1"/>
      <c r="X2140" s="241"/>
      <c r="Y2140" s="284"/>
      <c r="Z2140" s="207"/>
      <c r="AA2140" s="284"/>
      <c r="AB2140" s="284"/>
      <c r="AC2140" s="284"/>
      <c r="AD2140" s="284"/>
      <c r="AE2140" s="284"/>
      <c r="AF2140" s="284"/>
      <c r="AG2140" s="284"/>
    </row>
    <row r="2141" spans="1:33" ht="26.4">
      <c r="A2141" s="284"/>
      <c r="B2141" s="284"/>
      <c r="C2141" s="284"/>
      <c r="D2141" s="284"/>
      <c r="E2141" s="284"/>
      <c r="F2141" s="284"/>
      <c r="G2141" s="284"/>
      <c r="H2141" s="284"/>
      <c r="I2141" s="284"/>
      <c r="J2141" s="375"/>
      <c r="K2141" s="375"/>
      <c r="L2141" s="375"/>
      <c r="M2141" s="368"/>
      <c r="N2141" s="368"/>
      <c r="O2141" s="370"/>
      <c r="T2141" s="349"/>
      <c r="V2141" s="378"/>
      <c r="W2141" s="64" ph="1"/>
      <c r="X2141" s="241"/>
      <c r="Y2141" s="284"/>
      <c r="Z2141" s="207"/>
      <c r="AA2141" s="284"/>
      <c r="AB2141" s="284"/>
      <c r="AC2141" s="284"/>
      <c r="AD2141" s="284"/>
      <c r="AE2141" s="284"/>
      <c r="AF2141" s="284"/>
      <c r="AG2141" s="284"/>
    </row>
    <row r="2142" spans="1:33" ht="26.4">
      <c r="A2142" s="284"/>
      <c r="B2142" s="284"/>
      <c r="C2142" s="284"/>
      <c r="D2142" s="284"/>
      <c r="E2142" s="284"/>
      <c r="F2142" s="284"/>
      <c r="G2142" s="284"/>
      <c r="H2142" s="284"/>
      <c r="I2142" s="284"/>
      <c r="J2142" s="375"/>
      <c r="K2142" s="375"/>
      <c r="L2142" s="375"/>
      <c r="M2142" s="368"/>
      <c r="N2142" s="368"/>
      <c r="O2142" s="370"/>
      <c r="T2142" s="349"/>
      <c r="V2142" s="378"/>
      <c r="W2142" s="64" ph="1"/>
      <c r="X2142" s="241"/>
      <c r="Y2142" s="284"/>
      <c r="Z2142" s="207"/>
      <c r="AA2142" s="284"/>
      <c r="AB2142" s="284"/>
      <c r="AC2142" s="284"/>
      <c r="AD2142" s="284"/>
      <c r="AE2142" s="284"/>
      <c r="AF2142" s="284"/>
      <c r="AG2142" s="284"/>
    </row>
    <row r="2143" spans="1:33" ht="26.4">
      <c r="A2143" s="284"/>
      <c r="B2143" s="284"/>
      <c r="C2143" s="284"/>
      <c r="D2143" s="284"/>
      <c r="E2143" s="284"/>
      <c r="F2143" s="284"/>
      <c r="G2143" s="284"/>
      <c r="H2143" s="284"/>
      <c r="I2143" s="284"/>
      <c r="J2143" s="375"/>
      <c r="K2143" s="375"/>
      <c r="L2143" s="375"/>
      <c r="M2143" s="368"/>
      <c r="N2143" s="368"/>
      <c r="O2143" s="370"/>
      <c r="T2143" s="349"/>
      <c r="V2143" s="378"/>
      <c r="W2143" s="64" ph="1"/>
      <c r="X2143" s="241"/>
      <c r="Y2143" s="284"/>
      <c r="Z2143" s="207"/>
      <c r="AA2143" s="284"/>
      <c r="AB2143" s="284"/>
      <c r="AC2143" s="284"/>
      <c r="AD2143" s="284"/>
      <c r="AE2143" s="284"/>
      <c r="AF2143" s="284"/>
      <c r="AG2143" s="284"/>
    </row>
    <row r="2144" spans="1:33" ht="26.4">
      <c r="A2144" s="284"/>
      <c r="B2144" s="284"/>
      <c r="C2144" s="284"/>
      <c r="D2144" s="284"/>
      <c r="E2144" s="284"/>
      <c r="F2144" s="284"/>
      <c r="G2144" s="284"/>
      <c r="H2144" s="284"/>
      <c r="I2144" s="284"/>
      <c r="J2144" s="375"/>
      <c r="K2144" s="375"/>
      <c r="L2144" s="375"/>
      <c r="M2144" s="368"/>
      <c r="N2144" s="368"/>
      <c r="O2144" s="370"/>
      <c r="T2144" s="349"/>
      <c r="V2144" s="378"/>
      <c r="W2144" s="64" ph="1"/>
      <c r="X2144" s="241"/>
      <c r="Y2144" s="284"/>
      <c r="Z2144" s="207"/>
      <c r="AA2144" s="284"/>
      <c r="AB2144" s="284"/>
      <c r="AC2144" s="284"/>
      <c r="AD2144" s="284"/>
      <c r="AE2144" s="284"/>
      <c r="AF2144" s="284"/>
      <c r="AG2144" s="284"/>
    </row>
    <row r="2145" spans="1:33" ht="26.4">
      <c r="A2145" s="284"/>
      <c r="B2145" s="284"/>
      <c r="C2145" s="284"/>
      <c r="D2145" s="284"/>
      <c r="E2145" s="284"/>
      <c r="F2145" s="284"/>
      <c r="G2145" s="284"/>
      <c r="H2145" s="284"/>
      <c r="I2145" s="284"/>
      <c r="J2145" s="375"/>
      <c r="K2145" s="375"/>
      <c r="L2145" s="375"/>
      <c r="M2145" s="368"/>
      <c r="N2145" s="368"/>
      <c r="O2145" s="370"/>
      <c r="T2145" s="349"/>
      <c r="V2145" s="378"/>
      <c r="W2145" s="64" ph="1"/>
      <c r="X2145" s="241"/>
      <c r="Y2145" s="284"/>
      <c r="Z2145" s="207"/>
      <c r="AA2145" s="284"/>
      <c r="AB2145" s="284"/>
      <c r="AC2145" s="284"/>
      <c r="AD2145" s="284"/>
      <c r="AE2145" s="284"/>
      <c r="AF2145" s="284"/>
      <c r="AG2145" s="284"/>
    </row>
    <row r="2146" spans="1:33" ht="26.4">
      <c r="A2146" s="284"/>
      <c r="B2146" s="284"/>
      <c r="C2146" s="284"/>
      <c r="D2146" s="284"/>
      <c r="E2146" s="284"/>
      <c r="F2146" s="284"/>
      <c r="G2146" s="284"/>
      <c r="H2146" s="284"/>
      <c r="I2146" s="284"/>
      <c r="J2146" s="375"/>
      <c r="K2146" s="375"/>
      <c r="L2146" s="375"/>
      <c r="M2146" s="368"/>
      <c r="N2146" s="368"/>
      <c r="O2146" s="370"/>
      <c r="T2146" s="349"/>
      <c r="V2146" s="378"/>
      <c r="W2146" s="64" ph="1"/>
      <c r="X2146" s="241"/>
      <c r="Y2146" s="284"/>
      <c r="Z2146" s="207"/>
      <c r="AA2146" s="284"/>
      <c r="AB2146" s="284"/>
      <c r="AC2146" s="284"/>
      <c r="AD2146" s="284"/>
      <c r="AE2146" s="284"/>
      <c r="AF2146" s="284"/>
      <c r="AG2146" s="284"/>
    </row>
    <row r="2147" spans="1:33" ht="26.4">
      <c r="A2147" s="284"/>
      <c r="B2147" s="284"/>
      <c r="C2147" s="284"/>
      <c r="D2147" s="284"/>
      <c r="E2147" s="284"/>
      <c r="F2147" s="284"/>
      <c r="G2147" s="284"/>
      <c r="H2147" s="284"/>
      <c r="I2147" s="284"/>
      <c r="J2147" s="375"/>
      <c r="K2147" s="375"/>
      <c r="L2147" s="375"/>
      <c r="M2147" s="368"/>
      <c r="N2147" s="368"/>
      <c r="O2147" s="370"/>
      <c r="T2147" s="349"/>
      <c r="V2147" s="378"/>
      <c r="W2147" s="64" ph="1"/>
      <c r="X2147" s="241"/>
      <c r="Y2147" s="284"/>
      <c r="Z2147" s="207"/>
      <c r="AA2147" s="284"/>
      <c r="AB2147" s="284"/>
      <c r="AC2147" s="284"/>
      <c r="AD2147" s="284"/>
      <c r="AE2147" s="284"/>
      <c r="AF2147" s="284"/>
      <c r="AG2147" s="284"/>
    </row>
    <row r="2148" spans="1:33" ht="26.4">
      <c r="A2148" s="284"/>
      <c r="B2148" s="284"/>
      <c r="C2148" s="284"/>
      <c r="D2148" s="284"/>
      <c r="E2148" s="284"/>
      <c r="F2148" s="284"/>
      <c r="G2148" s="284"/>
      <c r="H2148" s="284"/>
      <c r="I2148" s="284"/>
      <c r="J2148" s="375"/>
      <c r="K2148" s="375"/>
      <c r="L2148" s="375"/>
      <c r="M2148" s="368"/>
      <c r="N2148" s="368"/>
      <c r="O2148" s="370"/>
      <c r="T2148" s="349"/>
      <c r="V2148" s="378"/>
      <c r="W2148" s="64" ph="1"/>
      <c r="X2148" s="241"/>
      <c r="Y2148" s="284"/>
      <c r="Z2148" s="207"/>
      <c r="AA2148" s="284"/>
      <c r="AB2148" s="284"/>
      <c r="AC2148" s="284"/>
      <c r="AD2148" s="284"/>
      <c r="AE2148" s="284"/>
      <c r="AF2148" s="284"/>
      <c r="AG2148" s="284"/>
    </row>
    <row r="2149" spans="1:33" ht="26.4">
      <c r="A2149" s="284"/>
      <c r="B2149" s="284"/>
      <c r="C2149" s="284"/>
      <c r="D2149" s="284"/>
      <c r="E2149" s="284"/>
      <c r="F2149" s="284"/>
      <c r="G2149" s="284"/>
      <c r="H2149" s="284"/>
      <c r="I2149" s="284"/>
      <c r="J2149" s="375"/>
      <c r="K2149" s="375"/>
      <c r="L2149" s="375"/>
      <c r="M2149" s="368"/>
      <c r="N2149" s="368"/>
      <c r="O2149" s="370"/>
      <c r="T2149" s="349"/>
      <c r="V2149" s="378"/>
      <c r="W2149" s="64" ph="1"/>
      <c r="X2149" s="241"/>
      <c r="Y2149" s="284"/>
      <c r="Z2149" s="207"/>
      <c r="AA2149" s="284"/>
      <c r="AB2149" s="284"/>
      <c r="AC2149" s="284"/>
      <c r="AD2149" s="284"/>
      <c r="AE2149" s="284"/>
      <c r="AF2149" s="284"/>
      <c r="AG2149" s="284"/>
    </row>
    <row r="2150" spans="1:33" ht="26.4">
      <c r="A2150" s="284"/>
      <c r="B2150" s="284"/>
      <c r="C2150" s="284"/>
      <c r="D2150" s="284"/>
      <c r="E2150" s="284"/>
      <c r="F2150" s="284"/>
      <c r="G2150" s="284"/>
      <c r="H2150" s="284"/>
      <c r="I2150" s="284"/>
      <c r="J2150" s="375"/>
      <c r="K2150" s="375"/>
      <c r="L2150" s="375"/>
      <c r="M2150" s="368"/>
      <c r="N2150" s="368"/>
      <c r="O2150" s="370"/>
      <c r="T2150" s="349"/>
      <c r="V2150" s="378"/>
      <c r="W2150" s="64" ph="1"/>
      <c r="X2150" s="241"/>
      <c r="Y2150" s="284"/>
      <c r="Z2150" s="207"/>
      <c r="AA2150" s="284"/>
      <c r="AB2150" s="284"/>
      <c r="AC2150" s="284"/>
      <c r="AD2150" s="284"/>
      <c r="AE2150" s="284"/>
      <c r="AF2150" s="284"/>
      <c r="AG2150" s="284"/>
    </row>
    <row r="2151" spans="1:33" ht="26.4">
      <c r="A2151" s="284"/>
      <c r="B2151" s="284"/>
      <c r="C2151" s="284"/>
      <c r="D2151" s="284"/>
      <c r="E2151" s="284"/>
      <c r="F2151" s="284"/>
      <c r="G2151" s="284"/>
      <c r="H2151" s="284"/>
      <c r="I2151" s="284"/>
      <c r="J2151" s="375"/>
      <c r="K2151" s="375"/>
      <c r="L2151" s="375"/>
      <c r="M2151" s="368"/>
      <c r="N2151" s="368"/>
      <c r="O2151" s="370"/>
      <c r="T2151" s="349"/>
      <c r="V2151" s="378"/>
      <c r="W2151" s="64" ph="1"/>
      <c r="X2151" s="241"/>
      <c r="Y2151" s="284"/>
      <c r="Z2151" s="207"/>
      <c r="AA2151" s="284"/>
      <c r="AB2151" s="284"/>
      <c r="AC2151" s="284"/>
      <c r="AD2151" s="284"/>
      <c r="AE2151" s="284"/>
      <c r="AF2151" s="284"/>
      <c r="AG2151" s="284"/>
    </row>
    <row r="2152" spans="1:33" ht="26.4">
      <c r="A2152" s="284"/>
      <c r="B2152" s="284"/>
      <c r="C2152" s="284"/>
      <c r="D2152" s="284"/>
      <c r="E2152" s="284"/>
      <c r="F2152" s="284"/>
      <c r="G2152" s="284"/>
      <c r="H2152" s="284"/>
      <c r="I2152" s="284"/>
      <c r="J2152" s="375"/>
      <c r="K2152" s="375"/>
      <c r="L2152" s="375"/>
      <c r="M2152" s="368"/>
      <c r="N2152" s="368"/>
      <c r="O2152" s="370"/>
      <c r="T2152" s="349"/>
      <c r="V2152" s="378"/>
      <c r="W2152" s="64" ph="1"/>
      <c r="X2152" s="241"/>
      <c r="Y2152" s="284"/>
      <c r="Z2152" s="207"/>
      <c r="AA2152" s="284"/>
      <c r="AB2152" s="284"/>
      <c r="AC2152" s="284"/>
      <c r="AD2152" s="284"/>
      <c r="AE2152" s="284"/>
      <c r="AF2152" s="284"/>
      <c r="AG2152" s="284"/>
    </row>
    <row r="2153" spans="1:33" ht="26.4">
      <c r="A2153" s="284"/>
      <c r="B2153" s="284"/>
      <c r="C2153" s="284"/>
      <c r="D2153" s="284"/>
      <c r="E2153" s="284"/>
      <c r="F2153" s="284"/>
      <c r="G2153" s="284"/>
      <c r="H2153" s="284"/>
      <c r="I2153" s="284"/>
      <c r="J2153" s="375"/>
      <c r="K2153" s="375"/>
      <c r="L2153" s="375"/>
      <c r="M2153" s="368"/>
      <c r="N2153" s="368"/>
      <c r="O2153" s="370"/>
      <c r="T2153" s="349"/>
      <c r="V2153" s="378"/>
      <c r="W2153" s="64" ph="1"/>
      <c r="X2153" s="241"/>
      <c r="Y2153" s="284"/>
      <c r="Z2153" s="207"/>
      <c r="AA2153" s="284"/>
      <c r="AB2153" s="284"/>
      <c r="AC2153" s="284"/>
      <c r="AD2153" s="284"/>
      <c r="AE2153" s="284"/>
      <c r="AF2153" s="284"/>
      <c r="AG2153" s="284"/>
    </row>
    <row r="2154" spans="1:33" ht="26.4">
      <c r="A2154" s="284"/>
      <c r="B2154" s="284"/>
      <c r="C2154" s="284"/>
      <c r="D2154" s="284"/>
      <c r="E2154" s="284"/>
      <c r="F2154" s="284"/>
      <c r="G2154" s="284"/>
      <c r="H2154" s="284"/>
      <c r="I2154" s="284"/>
      <c r="J2154" s="375"/>
      <c r="K2154" s="375"/>
      <c r="L2154" s="375"/>
      <c r="M2154" s="368"/>
      <c r="N2154" s="368"/>
      <c r="O2154" s="370"/>
      <c r="T2154" s="349"/>
      <c r="V2154" s="378"/>
      <c r="W2154" s="64" ph="1"/>
      <c r="X2154" s="241"/>
      <c r="Y2154" s="284"/>
      <c r="Z2154" s="207"/>
      <c r="AA2154" s="284"/>
      <c r="AB2154" s="284"/>
      <c r="AC2154" s="284"/>
      <c r="AD2154" s="284"/>
      <c r="AE2154" s="284"/>
      <c r="AF2154" s="284"/>
      <c r="AG2154" s="284"/>
    </row>
    <row r="2155" spans="1:33" ht="26.4">
      <c r="A2155" s="284"/>
      <c r="B2155" s="284"/>
      <c r="C2155" s="284"/>
      <c r="D2155" s="284"/>
      <c r="E2155" s="284"/>
      <c r="F2155" s="284"/>
      <c r="G2155" s="284"/>
      <c r="H2155" s="284"/>
      <c r="I2155" s="284"/>
      <c r="J2155" s="375"/>
      <c r="K2155" s="375"/>
      <c r="L2155" s="375"/>
      <c r="M2155" s="368"/>
      <c r="N2155" s="368"/>
      <c r="O2155" s="370"/>
      <c r="T2155" s="349"/>
      <c r="V2155" s="378"/>
      <c r="W2155" s="64" ph="1"/>
      <c r="X2155" s="241"/>
      <c r="Y2155" s="284"/>
      <c r="Z2155" s="207"/>
      <c r="AA2155" s="284"/>
      <c r="AB2155" s="284"/>
      <c r="AC2155" s="284"/>
      <c r="AD2155" s="284"/>
      <c r="AE2155" s="284"/>
      <c r="AF2155" s="284"/>
      <c r="AG2155" s="284"/>
    </row>
    <row r="2156" spans="1:33" ht="26.4">
      <c r="A2156" s="284"/>
      <c r="B2156" s="284"/>
      <c r="C2156" s="284"/>
      <c r="D2156" s="284"/>
      <c r="E2156" s="284"/>
      <c r="F2156" s="284"/>
      <c r="G2156" s="284"/>
      <c r="H2156" s="284"/>
      <c r="I2156" s="284"/>
      <c r="J2156" s="375"/>
      <c r="K2156" s="375"/>
      <c r="L2156" s="375"/>
      <c r="M2156" s="368"/>
      <c r="N2156" s="368"/>
      <c r="O2156" s="370"/>
      <c r="T2156" s="349"/>
      <c r="V2156" s="378"/>
      <c r="W2156" s="64" ph="1"/>
      <c r="X2156" s="241"/>
      <c r="Y2156" s="284"/>
      <c r="Z2156" s="207"/>
      <c r="AA2156" s="284"/>
      <c r="AB2156" s="284"/>
      <c r="AC2156" s="284"/>
      <c r="AD2156" s="284"/>
      <c r="AE2156" s="284"/>
      <c r="AF2156" s="284"/>
      <c r="AG2156" s="284"/>
    </row>
    <row r="2157" spans="1:33" ht="26.4">
      <c r="A2157" s="284"/>
      <c r="B2157" s="284"/>
      <c r="C2157" s="284"/>
      <c r="D2157" s="284"/>
      <c r="E2157" s="284"/>
      <c r="F2157" s="284"/>
      <c r="G2157" s="284"/>
      <c r="H2157" s="284"/>
      <c r="I2157" s="284"/>
      <c r="J2157" s="375"/>
      <c r="K2157" s="375"/>
      <c r="L2157" s="375"/>
      <c r="M2157" s="368"/>
      <c r="N2157" s="368"/>
      <c r="O2157" s="370"/>
      <c r="T2157" s="349"/>
      <c r="V2157" s="378"/>
      <c r="W2157" s="64" ph="1"/>
      <c r="X2157" s="241"/>
      <c r="Y2157" s="284"/>
      <c r="Z2157" s="207"/>
      <c r="AA2157" s="284"/>
      <c r="AB2157" s="284"/>
      <c r="AC2157" s="284"/>
      <c r="AD2157" s="284"/>
      <c r="AE2157" s="284"/>
      <c r="AF2157" s="284"/>
      <c r="AG2157" s="284"/>
    </row>
    <row r="2158" spans="1:33" ht="26.4">
      <c r="A2158" s="284"/>
      <c r="B2158" s="284"/>
      <c r="C2158" s="284"/>
      <c r="D2158" s="284"/>
      <c r="E2158" s="284"/>
      <c r="F2158" s="284"/>
      <c r="G2158" s="284"/>
      <c r="H2158" s="284"/>
      <c r="I2158" s="284"/>
      <c r="J2158" s="375"/>
      <c r="K2158" s="375"/>
      <c r="L2158" s="375"/>
      <c r="M2158" s="368"/>
      <c r="N2158" s="368"/>
      <c r="O2158" s="370"/>
      <c r="T2158" s="349"/>
      <c r="V2158" s="378"/>
      <c r="W2158" s="64" ph="1"/>
      <c r="X2158" s="241"/>
      <c r="Y2158" s="284"/>
      <c r="Z2158" s="207"/>
      <c r="AA2158" s="284"/>
      <c r="AB2158" s="284"/>
      <c r="AC2158" s="284"/>
      <c r="AD2158" s="284"/>
      <c r="AE2158" s="284"/>
      <c r="AF2158" s="284"/>
      <c r="AG2158" s="284"/>
    </row>
    <row r="2159" spans="1:33" ht="26.4">
      <c r="A2159" s="284"/>
      <c r="B2159" s="284"/>
      <c r="C2159" s="284"/>
      <c r="D2159" s="284"/>
      <c r="E2159" s="284"/>
      <c r="F2159" s="284"/>
      <c r="G2159" s="284"/>
      <c r="H2159" s="284"/>
      <c r="I2159" s="284"/>
      <c r="J2159" s="375"/>
      <c r="K2159" s="375"/>
      <c r="L2159" s="375"/>
      <c r="M2159" s="368"/>
      <c r="N2159" s="368"/>
      <c r="O2159" s="370"/>
      <c r="T2159" s="349"/>
      <c r="V2159" s="378"/>
      <c r="W2159" s="64" ph="1"/>
      <c r="X2159" s="241"/>
      <c r="Y2159" s="284"/>
      <c r="Z2159" s="207"/>
      <c r="AA2159" s="284"/>
      <c r="AB2159" s="284"/>
      <c r="AC2159" s="284"/>
      <c r="AD2159" s="284"/>
      <c r="AE2159" s="284"/>
      <c r="AF2159" s="284"/>
      <c r="AG2159" s="284"/>
    </row>
    <row r="2160" spans="1:33" ht="26.4">
      <c r="A2160" s="284"/>
      <c r="B2160" s="284"/>
      <c r="C2160" s="284"/>
      <c r="D2160" s="284"/>
      <c r="E2160" s="284"/>
      <c r="F2160" s="284"/>
      <c r="G2160" s="284"/>
      <c r="H2160" s="284"/>
      <c r="I2160" s="284"/>
      <c r="J2160" s="375"/>
      <c r="K2160" s="375"/>
      <c r="L2160" s="375"/>
      <c r="M2160" s="368"/>
      <c r="N2160" s="368"/>
      <c r="O2160" s="370"/>
      <c r="T2160" s="349"/>
      <c r="V2160" s="378"/>
      <c r="W2160" s="64" ph="1"/>
      <c r="X2160" s="241"/>
      <c r="Y2160" s="284"/>
      <c r="Z2160" s="207"/>
      <c r="AA2160" s="284"/>
      <c r="AB2160" s="284"/>
      <c r="AC2160" s="284"/>
      <c r="AD2160" s="284"/>
      <c r="AE2160" s="284"/>
      <c r="AF2160" s="284"/>
      <c r="AG2160" s="284"/>
    </row>
    <row r="2161" spans="1:33" ht="26.4">
      <c r="A2161" s="284"/>
      <c r="B2161" s="284"/>
      <c r="C2161" s="284"/>
      <c r="D2161" s="284"/>
      <c r="E2161" s="284"/>
      <c r="F2161" s="284"/>
      <c r="G2161" s="284"/>
      <c r="H2161" s="284"/>
      <c r="I2161" s="284"/>
      <c r="J2161" s="375"/>
      <c r="K2161" s="375"/>
      <c r="L2161" s="375"/>
      <c r="M2161" s="368"/>
      <c r="N2161" s="368"/>
      <c r="O2161" s="370"/>
      <c r="T2161" s="349"/>
      <c r="V2161" s="378"/>
      <c r="W2161" s="64" ph="1"/>
      <c r="X2161" s="241"/>
      <c r="Y2161" s="284"/>
      <c r="Z2161" s="207"/>
      <c r="AA2161" s="284"/>
      <c r="AB2161" s="284"/>
      <c r="AC2161" s="284"/>
      <c r="AD2161" s="284"/>
      <c r="AE2161" s="284"/>
      <c r="AF2161" s="284"/>
      <c r="AG2161" s="284"/>
    </row>
    <row r="2162" spans="1:33" ht="26.4">
      <c r="A2162" s="284"/>
      <c r="B2162" s="284"/>
      <c r="C2162" s="284"/>
      <c r="D2162" s="284"/>
      <c r="E2162" s="284"/>
      <c r="F2162" s="284"/>
      <c r="G2162" s="284"/>
      <c r="H2162" s="284"/>
      <c r="I2162" s="284"/>
      <c r="J2162" s="375"/>
      <c r="K2162" s="375"/>
      <c r="L2162" s="375"/>
      <c r="M2162" s="368"/>
      <c r="N2162" s="368"/>
      <c r="O2162" s="370"/>
      <c r="T2162" s="349"/>
      <c r="V2162" s="378"/>
      <c r="W2162" s="64" ph="1"/>
      <c r="X2162" s="241"/>
      <c r="Y2162" s="284"/>
      <c r="Z2162" s="207"/>
      <c r="AA2162" s="284"/>
      <c r="AB2162" s="284"/>
      <c r="AC2162" s="284"/>
      <c r="AD2162" s="284"/>
      <c r="AE2162" s="284"/>
      <c r="AF2162" s="284"/>
      <c r="AG2162" s="284"/>
    </row>
    <row r="2163" spans="1:33" ht="26.4">
      <c r="A2163" s="284"/>
      <c r="B2163" s="284"/>
      <c r="C2163" s="284"/>
      <c r="D2163" s="284"/>
      <c r="E2163" s="284"/>
      <c r="F2163" s="284"/>
      <c r="G2163" s="284"/>
      <c r="H2163" s="284"/>
      <c r="I2163" s="284"/>
      <c r="J2163" s="375"/>
      <c r="K2163" s="375"/>
      <c r="L2163" s="375"/>
      <c r="M2163" s="368"/>
      <c r="N2163" s="368"/>
      <c r="O2163" s="370"/>
      <c r="T2163" s="349"/>
      <c r="V2163" s="378"/>
      <c r="W2163" s="64" ph="1"/>
      <c r="X2163" s="241"/>
      <c r="Y2163" s="284"/>
      <c r="Z2163" s="207"/>
      <c r="AA2163" s="284"/>
      <c r="AB2163" s="284"/>
      <c r="AC2163" s="284"/>
      <c r="AD2163" s="284"/>
      <c r="AE2163" s="284"/>
      <c r="AF2163" s="284"/>
      <c r="AG2163" s="284"/>
    </row>
    <row r="2164" spans="1:33" ht="26.4">
      <c r="A2164" s="284"/>
      <c r="B2164" s="284"/>
      <c r="C2164" s="284"/>
      <c r="D2164" s="284"/>
      <c r="E2164" s="284"/>
      <c r="F2164" s="284"/>
      <c r="G2164" s="284"/>
      <c r="H2164" s="284"/>
      <c r="I2164" s="284"/>
      <c r="J2164" s="375"/>
      <c r="K2164" s="375"/>
      <c r="L2164" s="375"/>
      <c r="M2164" s="368"/>
      <c r="N2164" s="368"/>
      <c r="O2164" s="370"/>
      <c r="T2164" s="349"/>
      <c r="V2164" s="378"/>
      <c r="W2164" s="64" ph="1"/>
      <c r="X2164" s="241"/>
      <c r="Y2164" s="284"/>
      <c r="Z2164" s="207"/>
      <c r="AA2164" s="284"/>
      <c r="AB2164" s="284"/>
      <c r="AC2164" s="284"/>
      <c r="AD2164" s="284"/>
      <c r="AE2164" s="284"/>
      <c r="AF2164" s="284"/>
      <c r="AG2164" s="284"/>
    </row>
    <row r="2165" spans="1:33" ht="26.4">
      <c r="A2165" s="284"/>
      <c r="B2165" s="284"/>
      <c r="C2165" s="284"/>
      <c r="D2165" s="284"/>
      <c r="E2165" s="284"/>
      <c r="F2165" s="284"/>
      <c r="G2165" s="284"/>
      <c r="H2165" s="284"/>
      <c r="I2165" s="284"/>
      <c r="J2165" s="375"/>
      <c r="K2165" s="375"/>
      <c r="L2165" s="375"/>
      <c r="M2165" s="368"/>
      <c r="N2165" s="368"/>
      <c r="O2165" s="370"/>
      <c r="T2165" s="349"/>
      <c r="V2165" s="378"/>
      <c r="W2165" s="64" ph="1"/>
      <c r="X2165" s="241"/>
      <c r="Y2165" s="284"/>
      <c r="Z2165" s="207"/>
      <c r="AA2165" s="284"/>
      <c r="AB2165" s="284"/>
      <c r="AC2165" s="284"/>
      <c r="AD2165" s="284"/>
      <c r="AE2165" s="284"/>
      <c r="AF2165" s="284"/>
      <c r="AG2165" s="284"/>
    </row>
    <row r="2166" spans="1:33" ht="26.4">
      <c r="A2166" s="284"/>
      <c r="B2166" s="284"/>
      <c r="C2166" s="284"/>
      <c r="D2166" s="284"/>
      <c r="E2166" s="284"/>
      <c r="F2166" s="284"/>
      <c r="G2166" s="284"/>
      <c r="H2166" s="284"/>
      <c r="I2166" s="284"/>
      <c r="J2166" s="375"/>
      <c r="K2166" s="375"/>
      <c r="L2166" s="375"/>
      <c r="M2166" s="368"/>
      <c r="N2166" s="368"/>
      <c r="O2166" s="370"/>
      <c r="T2166" s="349"/>
      <c r="V2166" s="378"/>
      <c r="W2166" s="64" ph="1"/>
      <c r="X2166" s="241"/>
      <c r="Y2166" s="284"/>
      <c r="Z2166" s="207"/>
      <c r="AA2166" s="284"/>
      <c r="AB2166" s="284"/>
      <c r="AC2166" s="284"/>
      <c r="AD2166" s="284"/>
      <c r="AE2166" s="284"/>
      <c r="AF2166" s="284"/>
      <c r="AG2166" s="284"/>
    </row>
    <row r="2167" spans="1:33" ht="26.4">
      <c r="A2167" s="284"/>
      <c r="B2167" s="284"/>
      <c r="C2167" s="284"/>
      <c r="D2167" s="284"/>
      <c r="E2167" s="284"/>
      <c r="F2167" s="284"/>
      <c r="G2167" s="284"/>
      <c r="H2167" s="284"/>
      <c r="I2167" s="284"/>
      <c r="J2167" s="375"/>
      <c r="K2167" s="375"/>
      <c r="L2167" s="375"/>
      <c r="M2167" s="368"/>
      <c r="N2167" s="368"/>
      <c r="O2167" s="370"/>
      <c r="T2167" s="349"/>
      <c r="V2167" s="378"/>
      <c r="W2167" s="64" ph="1"/>
      <c r="X2167" s="241"/>
      <c r="Y2167" s="284"/>
      <c r="Z2167" s="207"/>
      <c r="AA2167" s="284"/>
      <c r="AB2167" s="284"/>
      <c r="AC2167" s="284"/>
      <c r="AD2167" s="284"/>
      <c r="AE2167" s="284"/>
      <c r="AF2167" s="284"/>
      <c r="AG2167" s="284"/>
    </row>
    <row r="2168" spans="1:33" ht="26.4">
      <c r="A2168" s="284"/>
      <c r="B2168" s="284"/>
      <c r="C2168" s="284"/>
      <c r="D2168" s="284"/>
      <c r="E2168" s="284"/>
      <c r="F2168" s="284"/>
      <c r="G2168" s="284"/>
      <c r="H2168" s="284"/>
      <c r="I2168" s="284"/>
      <c r="J2168" s="375"/>
      <c r="K2168" s="375"/>
      <c r="L2168" s="375"/>
      <c r="M2168" s="368"/>
      <c r="N2168" s="368"/>
      <c r="O2168" s="370"/>
      <c r="T2168" s="349"/>
      <c r="V2168" s="378"/>
      <c r="W2168" s="64" ph="1"/>
      <c r="X2168" s="241"/>
      <c r="Y2168" s="284"/>
      <c r="Z2168" s="207"/>
      <c r="AA2168" s="284"/>
      <c r="AB2168" s="284"/>
      <c r="AC2168" s="284"/>
      <c r="AD2168" s="284"/>
      <c r="AE2168" s="284"/>
      <c r="AF2168" s="284"/>
      <c r="AG2168" s="284"/>
    </row>
    <row r="2169" spans="1:33" ht="26.4">
      <c r="A2169" s="284"/>
      <c r="B2169" s="284"/>
      <c r="C2169" s="284"/>
      <c r="D2169" s="284"/>
      <c r="E2169" s="284"/>
      <c r="F2169" s="284"/>
      <c r="G2169" s="284"/>
      <c r="H2169" s="284"/>
      <c r="I2169" s="284"/>
      <c r="J2169" s="375"/>
      <c r="K2169" s="375"/>
      <c r="L2169" s="375"/>
      <c r="M2169" s="368"/>
      <c r="N2169" s="368"/>
      <c r="O2169" s="370"/>
      <c r="T2169" s="349"/>
      <c r="V2169" s="378"/>
      <c r="W2169" s="64" ph="1"/>
      <c r="X2169" s="241"/>
      <c r="Y2169" s="284"/>
      <c r="Z2169" s="207"/>
      <c r="AA2169" s="284"/>
      <c r="AB2169" s="284"/>
      <c r="AC2169" s="284"/>
      <c r="AD2169" s="284"/>
      <c r="AE2169" s="284"/>
      <c r="AF2169" s="284"/>
      <c r="AG2169" s="284"/>
    </row>
    <row r="2170" spans="1:33" ht="26.4">
      <c r="A2170" s="284"/>
      <c r="B2170" s="284"/>
      <c r="C2170" s="284"/>
      <c r="D2170" s="284"/>
      <c r="E2170" s="284"/>
      <c r="F2170" s="284"/>
      <c r="G2170" s="284"/>
      <c r="H2170" s="284"/>
      <c r="I2170" s="284"/>
      <c r="J2170" s="375"/>
      <c r="K2170" s="375"/>
      <c r="L2170" s="375"/>
      <c r="M2170" s="368"/>
      <c r="N2170" s="368"/>
      <c r="O2170" s="370"/>
      <c r="T2170" s="349"/>
      <c r="V2170" s="378"/>
      <c r="W2170" s="64" ph="1"/>
      <c r="X2170" s="241"/>
      <c r="Y2170" s="284"/>
      <c r="Z2170" s="207"/>
      <c r="AA2170" s="284"/>
      <c r="AB2170" s="284"/>
      <c r="AC2170" s="284"/>
      <c r="AD2170" s="284"/>
      <c r="AE2170" s="284"/>
      <c r="AF2170" s="284"/>
      <c r="AG2170" s="284"/>
    </row>
    <row r="2171" spans="1:33" ht="26.4">
      <c r="A2171" s="284"/>
      <c r="B2171" s="284"/>
      <c r="C2171" s="284"/>
      <c r="D2171" s="284"/>
      <c r="E2171" s="284"/>
      <c r="F2171" s="284"/>
      <c r="G2171" s="284"/>
      <c r="H2171" s="284"/>
      <c r="I2171" s="284"/>
      <c r="J2171" s="375"/>
      <c r="K2171" s="375"/>
      <c r="L2171" s="375"/>
      <c r="M2171" s="368"/>
      <c r="N2171" s="368"/>
      <c r="O2171" s="370"/>
      <c r="T2171" s="349"/>
      <c r="V2171" s="378"/>
      <c r="W2171" s="64" ph="1"/>
      <c r="X2171" s="241"/>
      <c r="Y2171" s="284"/>
      <c r="Z2171" s="207"/>
      <c r="AA2171" s="284"/>
      <c r="AB2171" s="284"/>
      <c r="AC2171" s="284"/>
      <c r="AD2171" s="284"/>
      <c r="AE2171" s="284"/>
      <c r="AF2171" s="284"/>
      <c r="AG2171" s="284"/>
    </row>
    <row r="2172" spans="1:33" ht="26.4">
      <c r="A2172" s="284"/>
      <c r="B2172" s="284"/>
      <c r="C2172" s="284"/>
      <c r="D2172" s="284"/>
      <c r="E2172" s="284"/>
      <c r="F2172" s="284"/>
      <c r="G2172" s="284"/>
      <c r="H2172" s="284"/>
      <c r="I2172" s="284"/>
      <c r="J2172" s="375"/>
      <c r="K2172" s="375"/>
      <c r="L2172" s="375"/>
      <c r="M2172" s="368"/>
      <c r="N2172" s="368"/>
      <c r="O2172" s="370"/>
      <c r="T2172" s="349"/>
      <c r="V2172" s="378"/>
      <c r="W2172" s="64" ph="1"/>
      <c r="X2172" s="241"/>
      <c r="Y2172" s="284"/>
      <c r="Z2172" s="207"/>
      <c r="AA2172" s="284"/>
      <c r="AB2172" s="284"/>
      <c r="AC2172" s="284"/>
      <c r="AD2172" s="284"/>
      <c r="AE2172" s="284"/>
      <c r="AF2172" s="284"/>
      <c r="AG2172" s="284"/>
    </row>
    <row r="2173" spans="1:33" ht="26.4">
      <c r="A2173" s="284"/>
      <c r="B2173" s="284"/>
      <c r="C2173" s="284"/>
      <c r="D2173" s="284"/>
      <c r="E2173" s="284"/>
      <c r="F2173" s="284"/>
      <c r="G2173" s="284"/>
      <c r="H2173" s="284"/>
      <c r="I2173" s="284"/>
      <c r="J2173" s="375"/>
      <c r="K2173" s="375"/>
      <c r="L2173" s="375"/>
      <c r="M2173" s="368"/>
      <c r="N2173" s="368"/>
      <c r="O2173" s="370"/>
      <c r="T2173" s="349"/>
      <c r="V2173" s="378"/>
      <c r="W2173" s="64" ph="1"/>
      <c r="X2173" s="241"/>
      <c r="Y2173" s="284"/>
      <c r="Z2173" s="207"/>
      <c r="AA2173" s="284"/>
      <c r="AB2173" s="284"/>
      <c r="AC2173" s="284"/>
      <c r="AD2173" s="284"/>
      <c r="AE2173" s="284"/>
      <c r="AF2173" s="284"/>
      <c r="AG2173" s="284"/>
    </row>
    <row r="2174" spans="1:33" ht="26.4">
      <c r="A2174" s="284"/>
      <c r="B2174" s="284"/>
      <c r="C2174" s="284"/>
      <c r="D2174" s="284"/>
      <c r="E2174" s="284"/>
      <c r="F2174" s="284"/>
      <c r="G2174" s="284"/>
      <c r="H2174" s="284"/>
      <c r="I2174" s="284"/>
      <c r="J2174" s="375"/>
      <c r="K2174" s="375"/>
      <c r="L2174" s="375"/>
      <c r="M2174" s="368"/>
      <c r="N2174" s="368"/>
      <c r="O2174" s="370"/>
      <c r="T2174" s="349"/>
      <c r="V2174" s="378"/>
      <c r="W2174" s="64" ph="1"/>
      <c r="X2174" s="241"/>
      <c r="Y2174" s="284"/>
      <c r="Z2174" s="207"/>
      <c r="AA2174" s="284"/>
      <c r="AB2174" s="284"/>
      <c r="AC2174" s="284"/>
      <c r="AD2174" s="284"/>
      <c r="AE2174" s="284"/>
      <c r="AF2174" s="284"/>
      <c r="AG2174" s="284"/>
    </row>
    <row r="2175" spans="1:33" ht="26.4">
      <c r="A2175" s="284"/>
      <c r="B2175" s="284"/>
      <c r="C2175" s="284"/>
      <c r="D2175" s="284"/>
      <c r="E2175" s="284"/>
      <c r="F2175" s="284"/>
      <c r="G2175" s="284"/>
      <c r="H2175" s="284"/>
      <c r="I2175" s="284"/>
      <c r="J2175" s="375"/>
      <c r="K2175" s="375"/>
      <c r="L2175" s="375"/>
      <c r="M2175" s="368"/>
      <c r="N2175" s="368"/>
      <c r="O2175" s="370"/>
      <c r="T2175" s="349"/>
      <c r="V2175" s="378"/>
      <c r="W2175" s="64" ph="1"/>
      <c r="X2175" s="241"/>
      <c r="Y2175" s="284"/>
      <c r="Z2175" s="207"/>
      <c r="AA2175" s="284"/>
      <c r="AB2175" s="284"/>
      <c r="AC2175" s="284"/>
      <c r="AD2175" s="284"/>
      <c r="AE2175" s="284"/>
      <c r="AF2175" s="284"/>
      <c r="AG2175" s="284"/>
    </row>
    <row r="2176" spans="1:33" ht="26.4">
      <c r="A2176" s="284"/>
      <c r="B2176" s="284"/>
      <c r="C2176" s="284"/>
      <c r="D2176" s="284"/>
      <c r="E2176" s="284"/>
      <c r="F2176" s="284"/>
      <c r="G2176" s="284"/>
      <c r="H2176" s="284"/>
      <c r="I2176" s="284"/>
      <c r="J2176" s="375"/>
      <c r="K2176" s="375"/>
      <c r="L2176" s="375"/>
      <c r="M2176" s="368"/>
      <c r="N2176" s="368"/>
      <c r="O2176" s="370"/>
      <c r="T2176" s="349"/>
      <c r="V2176" s="378"/>
      <c r="W2176" s="64" ph="1"/>
      <c r="X2176" s="241"/>
      <c r="Y2176" s="284"/>
      <c r="Z2176" s="207"/>
      <c r="AA2176" s="284"/>
      <c r="AB2176" s="284"/>
      <c r="AC2176" s="284"/>
      <c r="AD2176" s="284"/>
      <c r="AE2176" s="284"/>
      <c r="AF2176" s="284"/>
      <c r="AG2176" s="284"/>
    </row>
    <row r="2177" spans="1:33" ht="26.4">
      <c r="A2177" s="284"/>
      <c r="B2177" s="284"/>
      <c r="C2177" s="284"/>
      <c r="D2177" s="284"/>
      <c r="E2177" s="284"/>
      <c r="F2177" s="284"/>
      <c r="G2177" s="284"/>
      <c r="H2177" s="284"/>
      <c r="I2177" s="284"/>
      <c r="J2177" s="375"/>
      <c r="K2177" s="375"/>
      <c r="L2177" s="375"/>
      <c r="M2177" s="368"/>
      <c r="N2177" s="368"/>
      <c r="O2177" s="370"/>
      <c r="T2177" s="349"/>
      <c r="V2177" s="378"/>
      <c r="W2177" s="64" ph="1"/>
      <c r="X2177" s="241"/>
      <c r="Y2177" s="284"/>
      <c r="Z2177" s="207"/>
      <c r="AA2177" s="284"/>
      <c r="AB2177" s="284"/>
      <c r="AC2177" s="284"/>
      <c r="AD2177" s="284"/>
      <c r="AE2177" s="284"/>
      <c r="AF2177" s="284"/>
      <c r="AG2177" s="284"/>
    </row>
    <row r="2178" spans="1:33" ht="26.4">
      <c r="A2178" s="284"/>
      <c r="B2178" s="284"/>
      <c r="C2178" s="284"/>
      <c r="D2178" s="284"/>
      <c r="E2178" s="284"/>
      <c r="F2178" s="284"/>
      <c r="G2178" s="284"/>
      <c r="H2178" s="284"/>
      <c r="I2178" s="284"/>
      <c r="J2178" s="375"/>
      <c r="K2178" s="375"/>
      <c r="L2178" s="375"/>
      <c r="M2178" s="368"/>
      <c r="N2178" s="368"/>
      <c r="O2178" s="370"/>
      <c r="T2178" s="349"/>
      <c r="V2178" s="378"/>
      <c r="W2178" s="64" ph="1"/>
      <c r="X2178" s="241"/>
      <c r="Y2178" s="284"/>
      <c r="Z2178" s="207"/>
      <c r="AA2178" s="284"/>
      <c r="AB2178" s="284"/>
      <c r="AC2178" s="284"/>
      <c r="AD2178" s="284"/>
      <c r="AE2178" s="284"/>
      <c r="AF2178" s="284"/>
      <c r="AG2178" s="284"/>
    </row>
    <row r="2179" spans="1:33" ht="26.4">
      <c r="A2179" s="284"/>
      <c r="B2179" s="284"/>
      <c r="C2179" s="284"/>
      <c r="D2179" s="284"/>
      <c r="E2179" s="284"/>
      <c r="F2179" s="284"/>
      <c r="G2179" s="284"/>
      <c r="H2179" s="284"/>
      <c r="I2179" s="284"/>
      <c r="J2179" s="375"/>
      <c r="K2179" s="375"/>
      <c r="L2179" s="375"/>
      <c r="M2179" s="368"/>
      <c r="N2179" s="368"/>
      <c r="O2179" s="370"/>
      <c r="T2179" s="349"/>
      <c r="V2179" s="378"/>
      <c r="W2179" s="64" ph="1"/>
      <c r="X2179" s="241"/>
      <c r="Y2179" s="284"/>
      <c r="Z2179" s="207"/>
      <c r="AA2179" s="284"/>
      <c r="AB2179" s="284"/>
      <c r="AC2179" s="284"/>
      <c r="AD2179" s="284"/>
      <c r="AE2179" s="284"/>
      <c r="AF2179" s="284"/>
      <c r="AG2179" s="284"/>
    </row>
    <row r="2180" spans="1:33" ht="26.4">
      <c r="A2180" s="284"/>
      <c r="B2180" s="284"/>
      <c r="C2180" s="284"/>
      <c r="D2180" s="284"/>
      <c r="E2180" s="284"/>
      <c r="F2180" s="284"/>
      <c r="G2180" s="284"/>
      <c r="H2180" s="284"/>
      <c r="I2180" s="284"/>
      <c r="J2180" s="375"/>
      <c r="K2180" s="375"/>
      <c r="L2180" s="375"/>
      <c r="M2180" s="368"/>
      <c r="N2180" s="368"/>
      <c r="O2180" s="370"/>
      <c r="T2180" s="349"/>
      <c r="V2180" s="378"/>
      <c r="W2180" s="64" ph="1"/>
      <c r="X2180" s="241"/>
      <c r="Y2180" s="284"/>
      <c r="Z2180" s="207"/>
      <c r="AA2180" s="284"/>
      <c r="AB2180" s="284"/>
      <c r="AC2180" s="284"/>
      <c r="AD2180" s="284"/>
      <c r="AE2180" s="284"/>
      <c r="AF2180" s="284"/>
      <c r="AG2180" s="284"/>
    </row>
    <row r="2181" spans="1:33" ht="26.4">
      <c r="A2181" s="284"/>
      <c r="B2181" s="284"/>
      <c r="C2181" s="284"/>
      <c r="D2181" s="284"/>
      <c r="E2181" s="284"/>
      <c r="F2181" s="284"/>
      <c r="G2181" s="284"/>
      <c r="H2181" s="284"/>
      <c r="I2181" s="284"/>
      <c r="J2181" s="375"/>
      <c r="K2181" s="375"/>
      <c r="L2181" s="375"/>
      <c r="M2181" s="368"/>
      <c r="N2181" s="368"/>
      <c r="O2181" s="370"/>
      <c r="T2181" s="349"/>
      <c r="V2181" s="378"/>
      <c r="W2181" s="64" ph="1"/>
      <c r="X2181" s="241"/>
      <c r="Y2181" s="284"/>
      <c r="Z2181" s="207"/>
      <c r="AA2181" s="284"/>
      <c r="AB2181" s="284"/>
      <c r="AC2181" s="284"/>
      <c r="AD2181" s="284"/>
      <c r="AE2181" s="284"/>
      <c r="AF2181" s="284"/>
      <c r="AG2181" s="284"/>
    </row>
    <row r="2182" spans="1:33" ht="26.4">
      <c r="A2182" s="284"/>
      <c r="B2182" s="284"/>
      <c r="C2182" s="284"/>
      <c r="D2182" s="284"/>
      <c r="E2182" s="284"/>
      <c r="F2182" s="284"/>
      <c r="G2182" s="284"/>
      <c r="H2182" s="284"/>
      <c r="I2182" s="284"/>
      <c r="J2182" s="375"/>
      <c r="K2182" s="375"/>
      <c r="L2182" s="375"/>
      <c r="M2182" s="368"/>
      <c r="N2182" s="368"/>
      <c r="O2182" s="370"/>
      <c r="T2182" s="349"/>
      <c r="V2182" s="378"/>
      <c r="W2182" s="64" ph="1"/>
      <c r="X2182" s="241"/>
      <c r="Y2182" s="284"/>
      <c r="Z2182" s="207"/>
      <c r="AA2182" s="284"/>
      <c r="AB2182" s="284"/>
      <c r="AC2182" s="284"/>
      <c r="AD2182" s="284"/>
      <c r="AE2182" s="284"/>
      <c r="AF2182" s="284"/>
      <c r="AG2182" s="284"/>
    </row>
    <row r="2183" spans="1:33" ht="26.4">
      <c r="A2183" s="284"/>
      <c r="B2183" s="284"/>
      <c r="C2183" s="284"/>
      <c r="D2183" s="284"/>
      <c r="E2183" s="284"/>
      <c r="F2183" s="284"/>
      <c r="G2183" s="284"/>
      <c r="H2183" s="284"/>
      <c r="I2183" s="284"/>
      <c r="J2183" s="375"/>
      <c r="K2183" s="375"/>
      <c r="L2183" s="375"/>
      <c r="M2183" s="368"/>
      <c r="N2183" s="368"/>
      <c r="O2183" s="370"/>
      <c r="T2183" s="349"/>
      <c r="V2183" s="378"/>
      <c r="W2183" s="64" ph="1"/>
      <c r="X2183" s="241"/>
      <c r="Y2183" s="284"/>
      <c r="Z2183" s="207"/>
      <c r="AA2183" s="284"/>
      <c r="AB2183" s="284"/>
      <c r="AC2183" s="284"/>
      <c r="AD2183" s="284"/>
      <c r="AE2183" s="284"/>
      <c r="AF2183" s="284"/>
      <c r="AG2183" s="284"/>
    </row>
    <row r="2184" spans="1:33" ht="26.4">
      <c r="A2184" s="284"/>
      <c r="B2184" s="284"/>
      <c r="C2184" s="284"/>
      <c r="D2184" s="284"/>
      <c r="E2184" s="284"/>
      <c r="F2184" s="284"/>
      <c r="G2184" s="284"/>
      <c r="H2184" s="284"/>
      <c r="I2184" s="284"/>
      <c r="J2184" s="375"/>
      <c r="K2184" s="375"/>
      <c r="L2184" s="375"/>
      <c r="M2184" s="368"/>
      <c r="N2184" s="368"/>
      <c r="O2184" s="370"/>
      <c r="T2184" s="349"/>
      <c r="V2184" s="378"/>
      <c r="W2184" s="64" ph="1"/>
      <c r="X2184" s="241"/>
      <c r="Y2184" s="284"/>
      <c r="Z2184" s="207"/>
      <c r="AA2184" s="284"/>
      <c r="AB2184" s="284"/>
      <c r="AC2184" s="284"/>
      <c r="AD2184" s="284"/>
      <c r="AE2184" s="284"/>
      <c r="AF2184" s="284"/>
      <c r="AG2184" s="284"/>
    </row>
    <row r="2185" spans="1:33" ht="26.4">
      <c r="A2185" s="284"/>
      <c r="B2185" s="284"/>
      <c r="C2185" s="284"/>
      <c r="D2185" s="284"/>
      <c r="E2185" s="284"/>
      <c r="F2185" s="284"/>
      <c r="G2185" s="284"/>
      <c r="H2185" s="284"/>
      <c r="I2185" s="284"/>
      <c r="J2185" s="375"/>
      <c r="K2185" s="375"/>
      <c r="L2185" s="375"/>
      <c r="M2185" s="368"/>
      <c r="N2185" s="368"/>
      <c r="O2185" s="370"/>
      <c r="T2185" s="349"/>
      <c r="V2185" s="378"/>
      <c r="W2185" s="64" ph="1"/>
      <c r="X2185" s="241"/>
      <c r="Y2185" s="284"/>
      <c r="Z2185" s="207"/>
      <c r="AA2185" s="284"/>
      <c r="AB2185" s="284"/>
      <c r="AC2185" s="284"/>
      <c r="AD2185" s="284"/>
      <c r="AE2185" s="284"/>
      <c r="AF2185" s="284"/>
      <c r="AG2185" s="284"/>
    </row>
    <row r="2186" spans="1:33" ht="26.4">
      <c r="A2186" s="284"/>
      <c r="B2186" s="284"/>
      <c r="C2186" s="284"/>
      <c r="D2186" s="284"/>
      <c r="E2186" s="284"/>
      <c r="F2186" s="284"/>
      <c r="G2186" s="284"/>
      <c r="H2186" s="284"/>
      <c r="I2186" s="284"/>
      <c r="J2186" s="375"/>
      <c r="K2186" s="375"/>
      <c r="L2186" s="375"/>
      <c r="M2186" s="368"/>
      <c r="N2186" s="368"/>
      <c r="O2186" s="370"/>
      <c r="T2186" s="349"/>
      <c r="V2186" s="378"/>
      <c r="W2186" s="64" ph="1"/>
      <c r="X2186" s="241"/>
      <c r="Y2186" s="284"/>
      <c r="Z2186" s="207"/>
      <c r="AA2186" s="284"/>
      <c r="AB2186" s="284"/>
      <c r="AC2186" s="284"/>
      <c r="AD2186" s="284"/>
      <c r="AE2186" s="284"/>
      <c r="AF2186" s="284"/>
      <c r="AG2186" s="284"/>
    </row>
    <row r="2187" spans="1:33" ht="26.4">
      <c r="A2187" s="284"/>
      <c r="B2187" s="284"/>
      <c r="C2187" s="284"/>
      <c r="D2187" s="284"/>
      <c r="E2187" s="284"/>
      <c r="F2187" s="284"/>
      <c r="G2187" s="284"/>
      <c r="H2187" s="284"/>
      <c r="I2187" s="284"/>
      <c r="J2187" s="375"/>
      <c r="K2187" s="375"/>
      <c r="L2187" s="375"/>
      <c r="M2187" s="368"/>
      <c r="N2187" s="368"/>
      <c r="O2187" s="370"/>
      <c r="T2187" s="349"/>
      <c r="V2187" s="378"/>
      <c r="W2187" s="64" ph="1"/>
      <c r="X2187" s="241"/>
      <c r="Y2187" s="284"/>
      <c r="Z2187" s="207"/>
      <c r="AA2187" s="284"/>
      <c r="AB2187" s="284"/>
      <c r="AC2187" s="284"/>
      <c r="AD2187" s="284"/>
      <c r="AE2187" s="284"/>
      <c r="AF2187" s="284"/>
      <c r="AG2187" s="284"/>
    </row>
    <row r="2188" spans="1:33" ht="26.4">
      <c r="A2188" s="284"/>
      <c r="B2188" s="284"/>
      <c r="C2188" s="284"/>
      <c r="D2188" s="284"/>
      <c r="E2188" s="284"/>
      <c r="F2188" s="284"/>
      <c r="G2188" s="284"/>
      <c r="H2188" s="284"/>
      <c r="I2188" s="284"/>
      <c r="J2188" s="375"/>
      <c r="K2188" s="375"/>
      <c r="L2188" s="375"/>
      <c r="M2188" s="368"/>
      <c r="N2188" s="368"/>
      <c r="O2188" s="370"/>
      <c r="T2188" s="349"/>
      <c r="V2188" s="378"/>
      <c r="W2188" s="64" ph="1"/>
      <c r="X2188" s="241"/>
      <c r="Y2188" s="284"/>
      <c r="Z2188" s="207"/>
      <c r="AA2188" s="284"/>
      <c r="AB2188" s="284"/>
      <c r="AC2188" s="284"/>
      <c r="AD2188" s="284"/>
      <c r="AE2188" s="284"/>
      <c r="AF2188" s="284"/>
      <c r="AG2188" s="284"/>
    </row>
    <row r="2189" spans="1:33" ht="26.4">
      <c r="A2189" s="284"/>
      <c r="B2189" s="284"/>
      <c r="C2189" s="284"/>
      <c r="D2189" s="284"/>
      <c r="E2189" s="284"/>
      <c r="F2189" s="284"/>
      <c r="G2189" s="284"/>
      <c r="H2189" s="284"/>
      <c r="I2189" s="284"/>
      <c r="J2189" s="375"/>
      <c r="K2189" s="375"/>
      <c r="L2189" s="375"/>
      <c r="M2189" s="368"/>
      <c r="N2189" s="368"/>
      <c r="O2189" s="370"/>
      <c r="T2189" s="349"/>
      <c r="V2189" s="378"/>
      <c r="W2189" s="64" ph="1"/>
      <c r="X2189" s="241"/>
      <c r="Y2189" s="284"/>
      <c r="Z2189" s="207"/>
      <c r="AA2189" s="284"/>
      <c r="AB2189" s="284"/>
      <c r="AC2189" s="284"/>
      <c r="AD2189" s="284"/>
      <c r="AE2189" s="284"/>
      <c r="AF2189" s="284"/>
      <c r="AG2189" s="284"/>
    </row>
    <row r="2190" spans="1:33" ht="26.4">
      <c r="A2190" s="284"/>
      <c r="B2190" s="284"/>
      <c r="C2190" s="284"/>
      <c r="D2190" s="284"/>
      <c r="E2190" s="284"/>
      <c r="F2190" s="284"/>
      <c r="G2190" s="284"/>
      <c r="H2190" s="284"/>
      <c r="I2190" s="284"/>
      <c r="J2190" s="375"/>
      <c r="K2190" s="375"/>
      <c r="L2190" s="375"/>
      <c r="M2190" s="368"/>
      <c r="N2190" s="368"/>
      <c r="O2190" s="370"/>
      <c r="T2190" s="349"/>
      <c r="V2190" s="378"/>
      <c r="W2190" s="64" ph="1"/>
      <c r="X2190" s="241"/>
      <c r="Y2190" s="284"/>
      <c r="Z2190" s="207"/>
      <c r="AA2190" s="284"/>
      <c r="AB2190" s="284"/>
      <c r="AC2190" s="284"/>
      <c r="AD2190" s="284"/>
      <c r="AE2190" s="284"/>
      <c r="AF2190" s="284"/>
      <c r="AG2190" s="284"/>
    </row>
    <row r="2191" spans="1:33" ht="26.4">
      <c r="A2191" s="284"/>
      <c r="B2191" s="284"/>
      <c r="C2191" s="284"/>
      <c r="D2191" s="284"/>
      <c r="E2191" s="284"/>
      <c r="F2191" s="284"/>
      <c r="G2191" s="284"/>
      <c r="H2191" s="284"/>
      <c r="I2191" s="284"/>
      <c r="J2191" s="375"/>
      <c r="K2191" s="375"/>
      <c r="L2191" s="375"/>
      <c r="M2191" s="368"/>
      <c r="N2191" s="368"/>
      <c r="O2191" s="370"/>
      <c r="T2191" s="349"/>
      <c r="V2191" s="378"/>
      <c r="W2191" s="64" ph="1"/>
      <c r="X2191" s="241"/>
      <c r="Y2191" s="284"/>
      <c r="Z2191" s="207"/>
      <c r="AA2191" s="284"/>
      <c r="AB2191" s="284"/>
      <c r="AC2191" s="284"/>
      <c r="AD2191" s="284"/>
      <c r="AE2191" s="284"/>
      <c r="AF2191" s="284"/>
      <c r="AG2191" s="284"/>
    </row>
    <row r="2192" spans="1:33" ht="26.4">
      <c r="A2192" s="284"/>
      <c r="B2192" s="284"/>
      <c r="C2192" s="284"/>
      <c r="D2192" s="284"/>
      <c r="E2192" s="284"/>
      <c r="F2192" s="284"/>
      <c r="G2192" s="284"/>
      <c r="H2192" s="284"/>
      <c r="I2192" s="284"/>
      <c r="J2192" s="375"/>
      <c r="K2192" s="375"/>
      <c r="L2192" s="375"/>
      <c r="M2192" s="368"/>
      <c r="N2192" s="368"/>
      <c r="O2192" s="370"/>
      <c r="T2192" s="349"/>
      <c r="V2192" s="378"/>
      <c r="W2192" s="64" ph="1"/>
      <c r="X2192" s="241"/>
      <c r="Y2192" s="284"/>
      <c r="Z2192" s="207"/>
      <c r="AA2192" s="284"/>
      <c r="AB2192" s="284"/>
      <c r="AC2192" s="284"/>
      <c r="AD2192" s="284"/>
      <c r="AE2192" s="284"/>
      <c r="AF2192" s="284"/>
      <c r="AG2192" s="284"/>
    </row>
    <row r="2193" spans="1:33" ht="26.4">
      <c r="A2193" s="284"/>
      <c r="B2193" s="284"/>
      <c r="C2193" s="284"/>
      <c r="D2193" s="284"/>
      <c r="E2193" s="284"/>
      <c r="F2193" s="284"/>
      <c r="G2193" s="284"/>
      <c r="H2193" s="284"/>
      <c r="I2193" s="284"/>
      <c r="J2193" s="375"/>
      <c r="K2193" s="375"/>
      <c r="L2193" s="375"/>
      <c r="M2193" s="368"/>
      <c r="N2193" s="368"/>
      <c r="O2193" s="370"/>
      <c r="T2193" s="349"/>
      <c r="V2193" s="378"/>
      <c r="W2193" s="64" ph="1"/>
      <c r="X2193" s="241"/>
      <c r="Y2193" s="284"/>
      <c r="Z2193" s="207"/>
      <c r="AA2193" s="284"/>
      <c r="AB2193" s="284"/>
      <c r="AC2193" s="284"/>
      <c r="AD2193" s="284"/>
      <c r="AE2193" s="284"/>
      <c r="AF2193" s="284"/>
      <c r="AG2193" s="284"/>
    </row>
    <row r="2194" spans="1:33" ht="26.4">
      <c r="A2194" s="284"/>
      <c r="B2194" s="284"/>
      <c r="C2194" s="284"/>
      <c r="D2194" s="284"/>
      <c r="E2194" s="284"/>
      <c r="F2194" s="284"/>
      <c r="G2194" s="284"/>
      <c r="H2194" s="284"/>
      <c r="I2194" s="284"/>
      <c r="J2194" s="375"/>
      <c r="K2194" s="375"/>
      <c r="L2194" s="375"/>
      <c r="M2194" s="368"/>
      <c r="N2194" s="368"/>
      <c r="O2194" s="370"/>
      <c r="T2194" s="349"/>
      <c r="V2194" s="378"/>
      <c r="W2194" s="64" ph="1"/>
      <c r="X2194" s="241"/>
      <c r="Y2194" s="284"/>
      <c r="Z2194" s="207"/>
      <c r="AA2194" s="284"/>
      <c r="AB2194" s="284"/>
      <c r="AC2194" s="284"/>
      <c r="AD2194" s="284"/>
      <c r="AE2194" s="284"/>
      <c r="AF2194" s="284"/>
      <c r="AG2194" s="284"/>
    </row>
    <row r="2195" spans="1:33" ht="26.4">
      <c r="A2195" s="284"/>
      <c r="B2195" s="284"/>
      <c r="C2195" s="284"/>
      <c r="D2195" s="284"/>
      <c r="E2195" s="284"/>
      <c r="F2195" s="284"/>
      <c r="G2195" s="284"/>
      <c r="H2195" s="284"/>
      <c r="I2195" s="284"/>
      <c r="J2195" s="375"/>
      <c r="K2195" s="375"/>
      <c r="L2195" s="375"/>
      <c r="M2195" s="368"/>
      <c r="N2195" s="368"/>
      <c r="O2195" s="370"/>
      <c r="T2195" s="349"/>
      <c r="V2195" s="378"/>
      <c r="W2195" s="64" ph="1"/>
      <c r="X2195" s="241"/>
      <c r="Y2195" s="284"/>
      <c r="Z2195" s="207"/>
      <c r="AA2195" s="284"/>
      <c r="AB2195" s="284"/>
      <c r="AC2195" s="284"/>
      <c r="AD2195" s="284"/>
      <c r="AE2195" s="284"/>
      <c r="AF2195" s="284"/>
      <c r="AG2195" s="284"/>
    </row>
    <row r="2196" spans="1:33" ht="26.4">
      <c r="A2196" s="284"/>
      <c r="B2196" s="284"/>
      <c r="C2196" s="284"/>
      <c r="D2196" s="284"/>
      <c r="E2196" s="284"/>
      <c r="F2196" s="284"/>
      <c r="G2196" s="284"/>
      <c r="H2196" s="284"/>
      <c r="I2196" s="284"/>
      <c r="J2196" s="375"/>
      <c r="K2196" s="375"/>
      <c r="L2196" s="375"/>
      <c r="M2196" s="368"/>
      <c r="N2196" s="368"/>
      <c r="O2196" s="370"/>
      <c r="T2196" s="349"/>
      <c r="V2196" s="378"/>
      <c r="W2196" s="64" ph="1"/>
      <c r="X2196" s="241"/>
      <c r="Y2196" s="284"/>
      <c r="Z2196" s="207"/>
      <c r="AA2196" s="284"/>
      <c r="AB2196" s="284"/>
      <c r="AC2196" s="284"/>
      <c r="AD2196" s="284"/>
      <c r="AE2196" s="284"/>
      <c r="AF2196" s="284"/>
      <c r="AG2196" s="284"/>
    </row>
    <row r="2197" spans="1:33" ht="26.4">
      <c r="A2197" s="284"/>
      <c r="B2197" s="284"/>
      <c r="C2197" s="284"/>
      <c r="D2197" s="284"/>
      <c r="E2197" s="284"/>
      <c r="F2197" s="284"/>
      <c r="G2197" s="284"/>
      <c r="H2197" s="284"/>
      <c r="I2197" s="284"/>
      <c r="J2197" s="375"/>
      <c r="K2197" s="375"/>
      <c r="L2197" s="375"/>
      <c r="M2197" s="368"/>
      <c r="N2197" s="368"/>
      <c r="O2197" s="370"/>
      <c r="T2197" s="349"/>
      <c r="V2197" s="378"/>
      <c r="W2197" s="64" ph="1"/>
      <c r="X2197" s="241"/>
      <c r="Y2197" s="284"/>
      <c r="Z2197" s="207"/>
      <c r="AA2197" s="284"/>
      <c r="AB2197" s="284"/>
      <c r="AC2197" s="284"/>
      <c r="AD2197" s="284"/>
      <c r="AE2197" s="284"/>
      <c r="AF2197" s="284"/>
      <c r="AG2197" s="284"/>
    </row>
    <row r="2198" spans="1:33" ht="26.4">
      <c r="A2198" s="284"/>
      <c r="B2198" s="284"/>
      <c r="C2198" s="284"/>
      <c r="D2198" s="284"/>
      <c r="E2198" s="284"/>
      <c r="F2198" s="284"/>
      <c r="G2198" s="284"/>
      <c r="H2198" s="284"/>
      <c r="I2198" s="284"/>
      <c r="J2198" s="375"/>
      <c r="K2198" s="375"/>
      <c r="L2198" s="375"/>
      <c r="M2198" s="368"/>
      <c r="N2198" s="368"/>
      <c r="O2198" s="370"/>
      <c r="T2198" s="349"/>
      <c r="V2198" s="378"/>
      <c r="W2198" s="64" ph="1"/>
      <c r="X2198" s="241"/>
      <c r="Y2198" s="284"/>
      <c r="Z2198" s="207"/>
      <c r="AA2198" s="284"/>
      <c r="AB2198" s="284"/>
      <c r="AC2198" s="284"/>
      <c r="AD2198" s="284"/>
      <c r="AE2198" s="284"/>
      <c r="AF2198" s="284"/>
      <c r="AG2198" s="284"/>
    </row>
    <row r="2199" spans="1:33" ht="26.4">
      <c r="A2199" s="284"/>
      <c r="B2199" s="284"/>
      <c r="C2199" s="284"/>
      <c r="D2199" s="284"/>
      <c r="E2199" s="284"/>
      <c r="F2199" s="284"/>
      <c r="G2199" s="284"/>
      <c r="H2199" s="284"/>
      <c r="I2199" s="284"/>
      <c r="J2199" s="375"/>
      <c r="K2199" s="375"/>
      <c r="L2199" s="375"/>
      <c r="M2199" s="368"/>
      <c r="N2199" s="368"/>
      <c r="O2199" s="370"/>
      <c r="T2199" s="349"/>
      <c r="V2199" s="378"/>
      <c r="W2199" s="64" ph="1"/>
      <c r="X2199" s="241"/>
      <c r="Y2199" s="284"/>
      <c r="Z2199" s="207"/>
      <c r="AA2199" s="284"/>
      <c r="AB2199" s="284"/>
      <c r="AC2199" s="284"/>
      <c r="AD2199" s="284"/>
      <c r="AE2199" s="284"/>
      <c r="AF2199" s="284"/>
      <c r="AG2199" s="284"/>
    </row>
    <row r="2200" spans="1:33" ht="26.4">
      <c r="A2200" s="284"/>
      <c r="B2200" s="284"/>
      <c r="C2200" s="284"/>
      <c r="D2200" s="284"/>
      <c r="E2200" s="284"/>
      <c r="F2200" s="284"/>
      <c r="G2200" s="284"/>
      <c r="H2200" s="284"/>
      <c r="I2200" s="284"/>
      <c r="J2200" s="375"/>
      <c r="K2200" s="375"/>
      <c r="L2200" s="375"/>
      <c r="M2200" s="368"/>
      <c r="N2200" s="368"/>
      <c r="O2200" s="370"/>
      <c r="T2200" s="349"/>
      <c r="V2200" s="378"/>
      <c r="W2200" s="64" ph="1"/>
      <c r="X2200" s="241"/>
      <c r="Y2200" s="284"/>
      <c r="Z2200" s="207"/>
      <c r="AA2200" s="284"/>
      <c r="AB2200" s="284"/>
      <c r="AC2200" s="284"/>
      <c r="AD2200" s="284"/>
      <c r="AE2200" s="284"/>
      <c r="AF2200" s="284"/>
      <c r="AG2200" s="284"/>
    </row>
    <row r="2201" spans="1:33" ht="26.4">
      <c r="A2201" s="284"/>
      <c r="B2201" s="284"/>
      <c r="C2201" s="284"/>
      <c r="D2201" s="284"/>
      <c r="E2201" s="284"/>
      <c r="F2201" s="284"/>
      <c r="G2201" s="284"/>
      <c r="H2201" s="284"/>
      <c r="I2201" s="284"/>
      <c r="J2201" s="375"/>
      <c r="K2201" s="375"/>
      <c r="L2201" s="375"/>
      <c r="M2201" s="368"/>
      <c r="N2201" s="368"/>
      <c r="O2201" s="370"/>
      <c r="T2201" s="349"/>
      <c r="V2201" s="378"/>
      <c r="W2201" s="64" ph="1"/>
      <c r="X2201" s="241"/>
      <c r="Y2201" s="284"/>
      <c r="Z2201" s="207"/>
      <c r="AA2201" s="284"/>
      <c r="AB2201" s="284"/>
      <c r="AC2201" s="284"/>
      <c r="AD2201" s="284"/>
      <c r="AE2201" s="284"/>
      <c r="AF2201" s="284"/>
      <c r="AG2201" s="284"/>
    </row>
    <row r="2202" spans="1:33" ht="26.4">
      <c r="A2202" s="284"/>
      <c r="B2202" s="284"/>
      <c r="C2202" s="284"/>
      <c r="D2202" s="284"/>
      <c r="E2202" s="284"/>
      <c r="F2202" s="284"/>
      <c r="G2202" s="284"/>
      <c r="H2202" s="284"/>
      <c r="I2202" s="284"/>
      <c r="J2202" s="375"/>
      <c r="K2202" s="375"/>
      <c r="L2202" s="375"/>
      <c r="M2202" s="368"/>
      <c r="N2202" s="368"/>
      <c r="O2202" s="370"/>
      <c r="T2202" s="349"/>
      <c r="V2202" s="378"/>
      <c r="W2202" s="64" ph="1"/>
      <c r="X2202" s="241"/>
      <c r="Y2202" s="284"/>
      <c r="Z2202" s="207"/>
      <c r="AA2202" s="284"/>
      <c r="AB2202" s="284"/>
      <c r="AC2202" s="284"/>
      <c r="AD2202" s="284"/>
      <c r="AE2202" s="284"/>
      <c r="AF2202" s="284"/>
      <c r="AG2202" s="284"/>
    </row>
    <row r="2203" spans="1:33" ht="26.4">
      <c r="A2203" s="284"/>
      <c r="B2203" s="284"/>
      <c r="C2203" s="284"/>
      <c r="D2203" s="284"/>
      <c r="E2203" s="284"/>
      <c r="F2203" s="284"/>
      <c r="G2203" s="284"/>
      <c r="H2203" s="284"/>
      <c r="I2203" s="284"/>
      <c r="J2203" s="375"/>
      <c r="K2203" s="375"/>
      <c r="L2203" s="375"/>
      <c r="M2203" s="368"/>
      <c r="N2203" s="368"/>
      <c r="O2203" s="370"/>
      <c r="T2203" s="349"/>
      <c r="V2203" s="378"/>
      <c r="W2203" s="64" ph="1"/>
      <c r="X2203" s="241"/>
      <c r="Y2203" s="284"/>
      <c r="Z2203" s="207"/>
      <c r="AA2203" s="284"/>
      <c r="AB2203" s="284"/>
      <c r="AC2203" s="284"/>
      <c r="AD2203" s="284"/>
      <c r="AE2203" s="284"/>
      <c r="AF2203" s="284"/>
      <c r="AG2203" s="284"/>
    </row>
    <row r="2204" spans="1:33" ht="26.4">
      <c r="A2204" s="284"/>
      <c r="B2204" s="284"/>
      <c r="C2204" s="284"/>
      <c r="D2204" s="284"/>
      <c r="E2204" s="284"/>
      <c r="F2204" s="284"/>
      <c r="G2204" s="284"/>
      <c r="H2204" s="284"/>
      <c r="I2204" s="284"/>
      <c r="J2204" s="375"/>
      <c r="K2204" s="375"/>
      <c r="L2204" s="375"/>
      <c r="M2204" s="368"/>
      <c r="N2204" s="368"/>
      <c r="O2204" s="370"/>
      <c r="T2204" s="349"/>
      <c r="V2204" s="378"/>
      <c r="W2204" s="64" ph="1"/>
      <c r="X2204" s="241"/>
      <c r="Y2204" s="284"/>
      <c r="Z2204" s="207"/>
      <c r="AA2204" s="284"/>
      <c r="AB2204" s="284"/>
      <c r="AC2204" s="284"/>
      <c r="AD2204" s="284"/>
      <c r="AE2204" s="284"/>
      <c r="AF2204" s="284"/>
      <c r="AG2204" s="284"/>
    </row>
    <row r="2205" spans="1:33" ht="26.4">
      <c r="A2205" s="284"/>
      <c r="B2205" s="284"/>
      <c r="C2205" s="284"/>
      <c r="D2205" s="284"/>
      <c r="E2205" s="284"/>
      <c r="F2205" s="284"/>
      <c r="G2205" s="284"/>
      <c r="H2205" s="284"/>
      <c r="I2205" s="284"/>
      <c r="J2205" s="375"/>
      <c r="K2205" s="375"/>
      <c r="L2205" s="375"/>
      <c r="M2205" s="368"/>
      <c r="N2205" s="368"/>
      <c r="O2205" s="370"/>
      <c r="T2205" s="349"/>
      <c r="V2205" s="378"/>
      <c r="W2205" s="64" ph="1"/>
      <c r="X2205" s="241"/>
      <c r="Y2205" s="284"/>
      <c r="Z2205" s="207"/>
      <c r="AA2205" s="284"/>
      <c r="AB2205" s="284"/>
      <c r="AC2205" s="284"/>
      <c r="AD2205" s="284"/>
      <c r="AE2205" s="284"/>
      <c r="AF2205" s="284"/>
      <c r="AG2205" s="284"/>
    </row>
    <row r="2206" spans="1:33" ht="26.4">
      <c r="A2206" s="284"/>
      <c r="B2206" s="284"/>
      <c r="C2206" s="284"/>
      <c r="D2206" s="284"/>
      <c r="E2206" s="284"/>
      <c r="F2206" s="284"/>
      <c r="G2206" s="284"/>
      <c r="H2206" s="284"/>
      <c r="I2206" s="284"/>
      <c r="J2206" s="375"/>
      <c r="K2206" s="375"/>
      <c r="L2206" s="375"/>
      <c r="M2206" s="368"/>
      <c r="N2206" s="368"/>
      <c r="O2206" s="370"/>
      <c r="T2206" s="349"/>
      <c r="V2206" s="378"/>
      <c r="W2206" s="64" ph="1"/>
      <c r="X2206" s="241"/>
      <c r="Y2206" s="284"/>
      <c r="Z2206" s="207"/>
      <c r="AA2206" s="284"/>
      <c r="AB2206" s="284"/>
      <c r="AC2206" s="284"/>
      <c r="AD2206" s="284"/>
      <c r="AE2206" s="284"/>
      <c r="AF2206" s="284"/>
      <c r="AG2206" s="284"/>
    </row>
    <row r="2207" spans="1:33" ht="26.4">
      <c r="A2207" s="284"/>
      <c r="B2207" s="284"/>
      <c r="C2207" s="284"/>
      <c r="D2207" s="284"/>
      <c r="E2207" s="284"/>
      <c r="F2207" s="284"/>
      <c r="G2207" s="284"/>
      <c r="H2207" s="284"/>
      <c r="I2207" s="284"/>
      <c r="J2207" s="375"/>
      <c r="K2207" s="375"/>
      <c r="L2207" s="375"/>
      <c r="M2207" s="368"/>
      <c r="N2207" s="368"/>
      <c r="O2207" s="370"/>
      <c r="T2207" s="349"/>
      <c r="V2207" s="378"/>
      <c r="W2207" s="64" ph="1"/>
      <c r="X2207" s="241"/>
      <c r="Y2207" s="284"/>
      <c r="Z2207" s="207"/>
      <c r="AA2207" s="284"/>
      <c r="AB2207" s="284"/>
      <c r="AC2207" s="284"/>
      <c r="AD2207" s="284"/>
      <c r="AE2207" s="284"/>
      <c r="AF2207" s="284"/>
      <c r="AG2207" s="284"/>
    </row>
    <row r="2208" spans="1:33" ht="26.4">
      <c r="A2208" s="284"/>
      <c r="B2208" s="284"/>
      <c r="C2208" s="284"/>
      <c r="D2208" s="284"/>
      <c r="E2208" s="284"/>
      <c r="F2208" s="284"/>
      <c r="G2208" s="284"/>
      <c r="H2208" s="284"/>
      <c r="I2208" s="284"/>
      <c r="J2208" s="375"/>
      <c r="K2208" s="375"/>
      <c r="L2208" s="375"/>
      <c r="M2208" s="368"/>
      <c r="N2208" s="368"/>
      <c r="O2208" s="370"/>
      <c r="T2208" s="349"/>
      <c r="V2208" s="378"/>
      <c r="W2208" s="64" ph="1"/>
      <c r="X2208" s="241"/>
      <c r="Y2208" s="284"/>
      <c r="Z2208" s="207"/>
      <c r="AA2208" s="284"/>
      <c r="AB2208" s="284"/>
      <c r="AC2208" s="284"/>
      <c r="AD2208" s="284"/>
      <c r="AE2208" s="284"/>
      <c r="AF2208" s="284"/>
      <c r="AG2208" s="284"/>
    </row>
    <row r="2209" spans="1:33" ht="26.4">
      <c r="A2209" s="284"/>
      <c r="B2209" s="284"/>
      <c r="C2209" s="284"/>
      <c r="D2209" s="284"/>
      <c r="E2209" s="284"/>
      <c r="F2209" s="284"/>
      <c r="G2209" s="284"/>
      <c r="H2209" s="284"/>
      <c r="I2209" s="284"/>
      <c r="J2209" s="375"/>
      <c r="K2209" s="375"/>
      <c r="L2209" s="375"/>
      <c r="M2209" s="368"/>
      <c r="N2209" s="368"/>
      <c r="O2209" s="370"/>
      <c r="T2209" s="349"/>
      <c r="V2209" s="378"/>
      <c r="W2209" s="64" ph="1"/>
      <c r="X2209" s="241"/>
      <c r="Y2209" s="284"/>
      <c r="Z2209" s="207"/>
      <c r="AA2209" s="284"/>
      <c r="AB2209" s="284"/>
      <c r="AC2209" s="284"/>
      <c r="AD2209" s="284"/>
      <c r="AE2209" s="284"/>
      <c r="AF2209" s="284"/>
      <c r="AG2209" s="284"/>
    </row>
    <row r="2210" spans="1:33" ht="26.4">
      <c r="A2210" s="284"/>
      <c r="B2210" s="284"/>
      <c r="C2210" s="284"/>
      <c r="D2210" s="284"/>
      <c r="E2210" s="284"/>
      <c r="F2210" s="284"/>
      <c r="G2210" s="284"/>
      <c r="H2210" s="284"/>
      <c r="I2210" s="284"/>
      <c r="J2210" s="375"/>
      <c r="K2210" s="375"/>
      <c r="L2210" s="375"/>
      <c r="M2210" s="368"/>
      <c r="N2210" s="368"/>
      <c r="O2210" s="370"/>
      <c r="T2210" s="349"/>
      <c r="V2210" s="378"/>
      <c r="W2210" s="64" ph="1"/>
      <c r="X2210" s="241"/>
      <c r="Y2210" s="284"/>
      <c r="Z2210" s="207"/>
      <c r="AA2210" s="284"/>
      <c r="AB2210" s="284"/>
      <c r="AC2210" s="284"/>
      <c r="AD2210" s="284"/>
      <c r="AE2210" s="284"/>
      <c r="AF2210" s="284"/>
      <c r="AG2210" s="284"/>
    </row>
    <row r="2211" spans="1:33" ht="26.4">
      <c r="A2211" s="284"/>
      <c r="B2211" s="284"/>
      <c r="C2211" s="284"/>
      <c r="D2211" s="284"/>
      <c r="E2211" s="284"/>
      <c r="F2211" s="284"/>
      <c r="G2211" s="284"/>
      <c r="H2211" s="284"/>
      <c r="I2211" s="284"/>
      <c r="J2211" s="375"/>
      <c r="K2211" s="375"/>
      <c r="L2211" s="375"/>
      <c r="M2211" s="368"/>
      <c r="N2211" s="368"/>
      <c r="O2211" s="370"/>
      <c r="T2211" s="349"/>
      <c r="V2211" s="378"/>
      <c r="W2211" s="64" ph="1"/>
      <c r="X2211" s="241"/>
      <c r="Y2211" s="284"/>
      <c r="Z2211" s="207"/>
      <c r="AA2211" s="284"/>
      <c r="AB2211" s="284"/>
      <c r="AC2211" s="284"/>
      <c r="AD2211" s="284"/>
      <c r="AE2211" s="284"/>
      <c r="AF2211" s="284"/>
      <c r="AG2211" s="284"/>
    </row>
    <row r="2212" spans="1:33" ht="26.4">
      <c r="A2212" s="284"/>
      <c r="B2212" s="284"/>
      <c r="C2212" s="284"/>
      <c r="D2212" s="284"/>
      <c r="E2212" s="284"/>
      <c r="F2212" s="284"/>
      <c r="G2212" s="284"/>
      <c r="H2212" s="284"/>
      <c r="I2212" s="284"/>
      <c r="J2212" s="375"/>
      <c r="K2212" s="375"/>
      <c r="L2212" s="375"/>
      <c r="M2212" s="368"/>
      <c r="N2212" s="368"/>
      <c r="O2212" s="370"/>
      <c r="T2212" s="349"/>
      <c r="V2212" s="378"/>
      <c r="W2212" s="64" ph="1"/>
      <c r="X2212" s="241"/>
      <c r="Y2212" s="284"/>
      <c r="Z2212" s="207"/>
      <c r="AA2212" s="284"/>
      <c r="AB2212" s="284"/>
      <c r="AC2212" s="284"/>
      <c r="AD2212" s="284"/>
      <c r="AE2212" s="284"/>
      <c r="AF2212" s="284"/>
      <c r="AG2212" s="284"/>
    </row>
    <row r="2213" spans="1:33" ht="26.4">
      <c r="A2213" s="284"/>
      <c r="B2213" s="284"/>
      <c r="C2213" s="284"/>
      <c r="D2213" s="284"/>
      <c r="E2213" s="284"/>
      <c r="F2213" s="284"/>
      <c r="G2213" s="284"/>
      <c r="H2213" s="284"/>
      <c r="I2213" s="284"/>
      <c r="J2213" s="375"/>
      <c r="K2213" s="375"/>
      <c r="L2213" s="375"/>
      <c r="M2213" s="368"/>
      <c r="N2213" s="368"/>
      <c r="O2213" s="370"/>
      <c r="T2213" s="349"/>
      <c r="V2213" s="378"/>
      <c r="W2213" s="64" ph="1"/>
      <c r="X2213" s="241"/>
      <c r="Y2213" s="284"/>
      <c r="Z2213" s="207"/>
      <c r="AA2213" s="284"/>
      <c r="AB2213" s="284"/>
      <c r="AC2213" s="284"/>
      <c r="AD2213" s="284"/>
      <c r="AE2213" s="284"/>
      <c r="AF2213" s="284"/>
      <c r="AG2213" s="284"/>
    </row>
    <row r="2214" spans="1:33" ht="26.4">
      <c r="A2214" s="284"/>
      <c r="B2214" s="284"/>
      <c r="C2214" s="284"/>
      <c r="D2214" s="284"/>
      <c r="E2214" s="284"/>
      <c r="F2214" s="284"/>
      <c r="G2214" s="284"/>
      <c r="H2214" s="284"/>
      <c r="I2214" s="284"/>
      <c r="J2214" s="375"/>
      <c r="K2214" s="375"/>
      <c r="L2214" s="375"/>
      <c r="M2214" s="368"/>
      <c r="N2214" s="368"/>
      <c r="O2214" s="370"/>
      <c r="T2214" s="349"/>
      <c r="V2214" s="378"/>
      <c r="W2214" s="64" ph="1"/>
      <c r="X2214" s="241"/>
      <c r="Y2214" s="284"/>
      <c r="Z2214" s="207"/>
      <c r="AA2214" s="284"/>
      <c r="AB2214" s="284"/>
      <c r="AC2214" s="284"/>
      <c r="AD2214" s="284"/>
      <c r="AE2214" s="284"/>
      <c r="AF2214" s="284"/>
      <c r="AG2214" s="284"/>
    </row>
    <row r="2215" spans="1:33" ht="26.4">
      <c r="A2215" s="284"/>
      <c r="B2215" s="284"/>
      <c r="C2215" s="284"/>
      <c r="D2215" s="284"/>
      <c r="E2215" s="284"/>
      <c r="F2215" s="284"/>
      <c r="G2215" s="284"/>
      <c r="H2215" s="284"/>
      <c r="I2215" s="284"/>
      <c r="J2215" s="375"/>
      <c r="K2215" s="375"/>
      <c r="L2215" s="375"/>
      <c r="M2215" s="368"/>
      <c r="N2215" s="368"/>
      <c r="O2215" s="370"/>
      <c r="T2215" s="349"/>
      <c r="V2215" s="378"/>
      <c r="W2215" s="64" ph="1"/>
      <c r="X2215" s="241"/>
      <c r="Y2215" s="284"/>
      <c r="Z2215" s="207"/>
      <c r="AA2215" s="284"/>
      <c r="AB2215" s="284"/>
      <c r="AC2215" s="284"/>
      <c r="AD2215" s="284"/>
      <c r="AE2215" s="284"/>
      <c r="AF2215" s="284"/>
      <c r="AG2215" s="284"/>
    </row>
    <row r="2216" spans="1:33" ht="26.4">
      <c r="A2216" s="284"/>
      <c r="B2216" s="284"/>
      <c r="C2216" s="284"/>
      <c r="D2216" s="284"/>
      <c r="E2216" s="284"/>
      <c r="F2216" s="284"/>
      <c r="G2216" s="284"/>
      <c r="H2216" s="284"/>
      <c r="I2216" s="284"/>
      <c r="J2216" s="375"/>
      <c r="K2216" s="375"/>
      <c r="L2216" s="375"/>
      <c r="M2216" s="368"/>
      <c r="N2216" s="368"/>
      <c r="O2216" s="370"/>
      <c r="T2216" s="349"/>
      <c r="V2216" s="378"/>
      <c r="W2216" s="64" ph="1"/>
      <c r="X2216" s="241"/>
      <c r="Y2216" s="284"/>
      <c r="Z2216" s="207"/>
      <c r="AA2216" s="284"/>
      <c r="AB2216" s="284"/>
      <c r="AC2216" s="284"/>
      <c r="AD2216" s="284"/>
      <c r="AE2216" s="284"/>
      <c r="AF2216" s="284"/>
      <c r="AG2216" s="284"/>
    </row>
    <row r="2217" spans="1:33" ht="26.4">
      <c r="A2217" s="284"/>
      <c r="B2217" s="284"/>
      <c r="C2217" s="284"/>
      <c r="D2217" s="284"/>
      <c r="E2217" s="284"/>
      <c r="F2217" s="284"/>
      <c r="G2217" s="284"/>
      <c r="H2217" s="284"/>
      <c r="I2217" s="284"/>
      <c r="J2217" s="375"/>
      <c r="K2217" s="375"/>
      <c r="L2217" s="375"/>
      <c r="M2217" s="368"/>
      <c r="N2217" s="368"/>
      <c r="O2217" s="370"/>
      <c r="T2217" s="349"/>
      <c r="V2217" s="378"/>
      <c r="W2217" s="64" ph="1"/>
      <c r="X2217" s="241"/>
      <c r="Y2217" s="284"/>
      <c r="Z2217" s="207"/>
      <c r="AA2217" s="284"/>
      <c r="AB2217" s="284"/>
      <c r="AC2217" s="284"/>
      <c r="AD2217" s="284"/>
      <c r="AE2217" s="284"/>
      <c r="AF2217" s="284"/>
      <c r="AG2217" s="284"/>
    </row>
    <row r="2218" spans="1:33" ht="26.4">
      <c r="A2218" s="284"/>
      <c r="B2218" s="284"/>
      <c r="C2218" s="284"/>
      <c r="D2218" s="284"/>
      <c r="E2218" s="284"/>
      <c r="F2218" s="284"/>
      <c r="G2218" s="284"/>
      <c r="H2218" s="284"/>
      <c r="I2218" s="284"/>
      <c r="J2218" s="375"/>
      <c r="K2218" s="375"/>
      <c r="L2218" s="375"/>
      <c r="M2218" s="368"/>
      <c r="N2218" s="368"/>
      <c r="O2218" s="370"/>
      <c r="T2218" s="349"/>
      <c r="V2218" s="378"/>
      <c r="W2218" s="64" ph="1"/>
      <c r="X2218" s="241"/>
      <c r="Y2218" s="284"/>
      <c r="Z2218" s="207"/>
      <c r="AA2218" s="284"/>
      <c r="AB2218" s="284"/>
      <c r="AC2218" s="284"/>
      <c r="AD2218" s="284"/>
      <c r="AE2218" s="284"/>
      <c r="AF2218" s="284"/>
      <c r="AG2218" s="284"/>
    </row>
    <row r="2219" spans="1:33" ht="26.4">
      <c r="A2219" s="284"/>
      <c r="B2219" s="284"/>
      <c r="C2219" s="284"/>
      <c r="D2219" s="284"/>
      <c r="E2219" s="284"/>
      <c r="F2219" s="284"/>
      <c r="G2219" s="284"/>
      <c r="H2219" s="284"/>
      <c r="I2219" s="284"/>
      <c r="J2219" s="375"/>
      <c r="K2219" s="375"/>
      <c r="L2219" s="375"/>
      <c r="M2219" s="368"/>
      <c r="N2219" s="368"/>
      <c r="O2219" s="370"/>
      <c r="T2219" s="349"/>
      <c r="V2219" s="378"/>
      <c r="W2219" s="64" ph="1"/>
      <c r="X2219" s="241"/>
      <c r="Y2219" s="284"/>
      <c r="Z2219" s="207"/>
      <c r="AA2219" s="284"/>
      <c r="AB2219" s="284"/>
      <c r="AC2219" s="284"/>
      <c r="AD2219" s="284"/>
      <c r="AE2219" s="284"/>
      <c r="AF2219" s="284"/>
      <c r="AG2219" s="284"/>
    </row>
    <row r="2220" spans="1:33" ht="26.4">
      <c r="A2220" s="284"/>
      <c r="B2220" s="284"/>
      <c r="C2220" s="284"/>
      <c r="D2220" s="284"/>
      <c r="E2220" s="284"/>
      <c r="F2220" s="284"/>
      <c r="G2220" s="284"/>
      <c r="H2220" s="284"/>
      <c r="I2220" s="284"/>
      <c r="J2220" s="375"/>
      <c r="K2220" s="375"/>
      <c r="L2220" s="375"/>
      <c r="M2220" s="368"/>
      <c r="N2220" s="368"/>
      <c r="O2220" s="370"/>
      <c r="T2220" s="349"/>
      <c r="V2220" s="378"/>
      <c r="W2220" s="64" ph="1"/>
      <c r="X2220" s="241"/>
      <c r="Y2220" s="284"/>
      <c r="Z2220" s="207"/>
      <c r="AA2220" s="284"/>
      <c r="AB2220" s="284"/>
      <c r="AC2220" s="284"/>
      <c r="AD2220" s="284"/>
      <c r="AE2220" s="284"/>
      <c r="AF2220" s="284"/>
      <c r="AG2220" s="284"/>
    </row>
    <row r="2221" spans="1:33" ht="26.4">
      <c r="A2221" s="284"/>
      <c r="B2221" s="284"/>
      <c r="C2221" s="284"/>
      <c r="D2221" s="284"/>
      <c r="E2221" s="284"/>
      <c r="F2221" s="284"/>
      <c r="G2221" s="284"/>
      <c r="H2221" s="284"/>
      <c r="I2221" s="284"/>
      <c r="J2221" s="375"/>
      <c r="K2221" s="375"/>
      <c r="L2221" s="375"/>
      <c r="M2221" s="368"/>
      <c r="N2221" s="368"/>
      <c r="O2221" s="370"/>
      <c r="T2221" s="349"/>
      <c r="V2221" s="378"/>
      <c r="W2221" s="64" ph="1"/>
      <c r="X2221" s="241"/>
      <c r="Y2221" s="284"/>
      <c r="Z2221" s="207"/>
      <c r="AA2221" s="284"/>
      <c r="AB2221" s="284"/>
      <c r="AC2221" s="284"/>
      <c r="AD2221" s="284"/>
      <c r="AE2221" s="284"/>
      <c r="AF2221" s="284"/>
      <c r="AG2221" s="284"/>
    </row>
    <row r="2222" spans="1:33" ht="26.4">
      <c r="A2222" s="284"/>
      <c r="B2222" s="284"/>
      <c r="C2222" s="284"/>
      <c r="D2222" s="284"/>
      <c r="E2222" s="284"/>
      <c r="F2222" s="284"/>
      <c r="G2222" s="284"/>
      <c r="H2222" s="284"/>
      <c r="I2222" s="284"/>
      <c r="J2222" s="375"/>
      <c r="K2222" s="375"/>
      <c r="L2222" s="375"/>
      <c r="M2222" s="368"/>
      <c r="N2222" s="368"/>
      <c r="O2222" s="370"/>
      <c r="T2222" s="349"/>
      <c r="V2222" s="378"/>
      <c r="W2222" s="64" ph="1"/>
      <c r="X2222" s="241"/>
      <c r="Y2222" s="284"/>
      <c r="Z2222" s="207"/>
      <c r="AA2222" s="284"/>
      <c r="AB2222" s="284"/>
      <c r="AC2222" s="284"/>
      <c r="AD2222" s="284"/>
      <c r="AE2222" s="284"/>
      <c r="AF2222" s="284"/>
      <c r="AG2222" s="284"/>
    </row>
    <row r="2223" spans="1:33" ht="26.4">
      <c r="A2223" s="284"/>
      <c r="B2223" s="284"/>
      <c r="C2223" s="284"/>
      <c r="D2223" s="284"/>
      <c r="E2223" s="284"/>
      <c r="F2223" s="284"/>
      <c r="G2223" s="284"/>
      <c r="H2223" s="284"/>
      <c r="I2223" s="284"/>
      <c r="J2223" s="375"/>
      <c r="K2223" s="375"/>
      <c r="L2223" s="375"/>
      <c r="M2223" s="368"/>
      <c r="N2223" s="368"/>
      <c r="O2223" s="370"/>
      <c r="T2223" s="349"/>
      <c r="V2223" s="378"/>
      <c r="W2223" s="64" ph="1"/>
      <c r="X2223" s="241"/>
      <c r="Y2223" s="284"/>
      <c r="Z2223" s="207"/>
      <c r="AA2223" s="284"/>
      <c r="AB2223" s="284"/>
      <c r="AC2223" s="284"/>
      <c r="AD2223" s="284"/>
      <c r="AE2223" s="284"/>
      <c r="AF2223" s="284"/>
      <c r="AG2223" s="284"/>
    </row>
    <row r="2224" spans="1:33" ht="26.4">
      <c r="A2224" s="284"/>
      <c r="B2224" s="284"/>
      <c r="C2224" s="284"/>
      <c r="D2224" s="284"/>
      <c r="E2224" s="284"/>
      <c r="F2224" s="284"/>
      <c r="G2224" s="284"/>
      <c r="H2224" s="284"/>
      <c r="I2224" s="284"/>
      <c r="J2224" s="375"/>
      <c r="K2224" s="375"/>
      <c r="L2224" s="375"/>
      <c r="M2224" s="368"/>
      <c r="N2224" s="368"/>
      <c r="O2224" s="370"/>
      <c r="T2224" s="349"/>
      <c r="V2224" s="378"/>
      <c r="W2224" s="64" ph="1"/>
      <c r="X2224" s="241"/>
      <c r="Y2224" s="284"/>
      <c r="Z2224" s="207"/>
      <c r="AA2224" s="284"/>
      <c r="AB2224" s="284"/>
      <c r="AC2224" s="284"/>
      <c r="AD2224" s="284"/>
      <c r="AE2224" s="284"/>
      <c r="AF2224" s="284"/>
      <c r="AG2224" s="284"/>
    </row>
    <row r="2225" spans="1:33" ht="26.4">
      <c r="A2225" s="284"/>
      <c r="B2225" s="284"/>
      <c r="C2225" s="284"/>
      <c r="D2225" s="284"/>
      <c r="E2225" s="284"/>
      <c r="F2225" s="284"/>
      <c r="G2225" s="284"/>
      <c r="H2225" s="284"/>
      <c r="I2225" s="284"/>
      <c r="J2225" s="375"/>
      <c r="K2225" s="375"/>
      <c r="L2225" s="375"/>
      <c r="M2225" s="368"/>
      <c r="N2225" s="368"/>
      <c r="O2225" s="370"/>
      <c r="T2225" s="349"/>
      <c r="V2225" s="378"/>
      <c r="W2225" s="64" ph="1"/>
      <c r="X2225" s="241"/>
      <c r="Y2225" s="284"/>
      <c r="Z2225" s="207"/>
      <c r="AA2225" s="284"/>
      <c r="AB2225" s="284"/>
      <c r="AC2225" s="284"/>
      <c r="AD2225" s="284"/>
      <c r="AE2225" s="284"/>
      <c r="AF2225" s="284"/>
      <c r="AG2225" s="284"/>
    </row>
    <row r="2226" spans="1:33" ht="26.4">
      <c r="A2226" s="284"/>
      <c r="B2226" s="284"/>
      <c r="C2226" s="284"/>
      <c r="D2226" s="284"/>
      <c r="E2226" s="284"/>
      <c r="F2226" s="284"/>
      <c r="G2226" s="284"/>
      <c r="H2226" s="284"/>
      <c r="I2226" s="284"/>
      <c r="J2226" s="375"/>
      <c r="K2226" s="375"/>
      <c r="L2226" s="375"/>
      <c r="M2226" s="368"/>
      <c r="N2226" s="368"/>
      <c r="O2226" s="370"/>
      <c r="T2226" s="349"/>
      <c r="V2226" s="378"/>
      <c r="W2226" s="64" ph="1"/>
      <c r="X2226" s="241"/>
      <c r="Y2226" s="284"/>
      <c r="Z2226" s="207"/>
      <c r="AA2226" s="284"/>
      <c r="AB2226" s="284"/>
      <c r="AC2226" s="284"/>
      <c r="AD2226" s="284"/>
      <c r="AE2226" s="284"/>
      <c r="AF2226" s="284"/>
      <c r="AG2226" s="284"/>
    </row>
    <row r="2227" spans="1:33" ht="26.4">
      <c r="A2227" s="284"/>
      <c r="B2227" s="284"/>
      <c r="C2227" s="284"/>
      <c r="D2227" s="284"/>
      <c r="E2227" s="284"/>
      <c r="F2227" s="284"/>
      <c r="G2227" s="284"/>
      <c r="H2227" s="284"/>
      <c r="I2227" s="284"/>
      <c r="J2227" s="375"/>
      <c r="K2227" s="375"/>
      <c r="L2227" s="375"/>
      <c r="M2227" s="368"/>
      <c r="N2227" s="368"/>
      <c r="O2227" s="370"/>
      <c r="T2227" s="349"/>
      <c r="V2227" s="378"/>
      <c r="W2227" s="64" ph="1"/>
      <c r="X2227" s="241"/>
      <c r="Y2227" s="284"/>
      <c r="Z2227" s="207"/>
      <c r="AA2227" s="284"/>
      <c r="AB2227" s="284"/>
      <c r="AC2227" s="284"/>
      <c r="AD2227" s="284"/>
      <c r="AE2227" s="284"/>
      <c r="AF2227" s="284"/>
      <c r="AG2227" s="284"/>
    </row>
    <row r="2228" spans="1:33" ht="26.4">
      <c r="A2228" s="284"/>
      <c r="B2228" s="284"/>
      <c r="C2228" s="284"/>
      <c r="D2228" s="284"/>
      <c r="E2228" s="284"/>
      <c r="F2228" s="284"/>
      <c r="G2228" s="284"/>
      <c r="H2228" s="284"/>
      <c r="I2228" s="284"/>
      <c r="J2228" s="375"/>
      <c r="K2228" s="375"/>
      <c r="L2228" s="375"/>
      <c r="M2228" s="368"/>
      <c r="N2228" s="368"/>
      <c r="O2228" s="370"/>
      <c r="T2228" s="349"/>
      <c r="V2228" s="378"/>
      <c r="W2228" s="64" ph="1"/>
      <c r="X2228" s="241"/>
      <c r="Y2228" s="284"/>
      <c r="Z2228" s="207"/>
      <c r="AA2228" s="284"/>
      <c r="AB2228" s="284"/>
      <c r="AC2228" s="284"/>
      <c r="AD2228" s="284"/>
      <c r="AE2228" s="284"/>
      <c r="AF2228" s="284"/>
      <c r="AG2228" s="284"/>
    </row>
    <row r="2229" spans="1:33" ht="26.4">
      <c r="A2229" s="284"/>
      <c r="B2229" s="284"/>
      <c r="C2229" s="284"/>
      <c r="D2229" s="284"/>
      <c r="E2229" s="284"/>
      <c r="F2229" s="284"/>
      <c r="G2229" s="284"/>
      <c r="H2229" s="284"/>
      <c r="I2229" s="284"/>
      <c r="J2229" s="375"/>
      <c r="K2229" s="375"/>
      <c r="L2229" s="375"/>
      <c r="M2229" s="368"/>
      <c r="N2229" s="368"/>
      <c r="O2229" s="370"/>
      <c r="T2229" s="349"/>
      <c r="V2229" s="378"/>
      <c r="W2229" s="64" ph="1"/>
      <c r="X2229" s="241"/>
      <c r="Y2229" s="284"/>
      <c r="Z2229" s="207"/>
      <c r="AA2229" s="284"/>
      <c r="AB2229" s="284"/>
      <c r="AC2229" s="284"/>
      <c r="AD2229" s="284"/>
      <c r="AE2229" s="284"/>
      <c r="AF2229" s="284"/>
      <c r="AG2229" s="284"/>
    </row>
    <row r="2230" spans="1:33" ht="26.4">
      <c r="A2230" s="284"/>
      <c r="B2230" s="284"/>
      <c r="C2230" s="284"/>
      <c r="D2230" s="284"/>
      <c r="E2230" s="284"/>
      <c r="F2230" s="284"/>
      <c r="G2230" s="284"/>
      <c r="H2230" s="284"/>
      <c r="I2230" s="284"/>
      <c r="J2230" s="375"/>
      <c r="K2230" s="375"/>
      <c r="L2230" s="375"/>
      <c r="M2230" s="368"/>
      <c r="N2230" s="368"/>
      <c r="O2230" s="370"/>
      <c r="T2230" s="349"/>
      <c r="V2230" s="378"/>
      <c r="W2230" s="64" ph="1"/>
      <c r="X2230" s="241"/>
      <c r="Y2230" s="284"/>
      <c r="Z2230" s="207"/>
      <c r="AA2230" s="284"/>
      <c r="AB2230" s="284"/>
      <c r="AC2230" s="284"/>
      <c r="AD2230" s="284"/>
      <c r="AE2230" s="284"/>
      <c r="AF2230" s="284"/>
      <c r="AG2230" s="284"/>
    </row>
    <row r="2231" spans="1:33" ht="26.4">
      <c r="A2231" s="284"/>
      <c r="B2231" s="284"/>
      <c r="C2231" s="284"/>
      <c r="D2231" s="284"/>
      <c r="E2231" s="284"/>
      <c r="F2231" s="284"/>
      <c r="G2231" s="284"/>
      <c r="H2231" s="284"/>
      <c r="I2231" s="284"/>
      <c r="J2231" s="375"/>
      <c r="K2231" s="375"/>
      <c r="L2231" s="375"/>
      <c r="M2231" s="368"/>
      <c r="N2231" s="368"/>
      <c r="O2231" s="370"/>
      <c r="T2231" s="349"/>
      <c r="V2231" s="378"/>
      <c r="W2231" s="64" ph="1"/>
      <c r="X2231" s="241"/>
      <c r="Y2231" s="284"/>
      <c r="Z2231" s="207"/>
      <c r="AA2231" s="284"/>
      <c r="AB2231" s="284"/>
      <c r="AC2231" s="284"/>
      <c r="AD2231" s="284"/>
      <c r="AE2231" s="284"/>
      <c r="AF2231" s="284"/>
      <c r="AG2231" s="284"/>
    </row>
    <row r="2232" spans="1:33" ht="26.4">
      <c r="A2232" s="284"/>
      <c r="B2232" s="284"/>
      <c r="C2232" s="284"/>
      <c r="D2232" s="284"/>
      <c r="E2232" s="284"/>
      <c r="F2232" s="284"/>
      <c r="G2232" s="284"/>
      <c r="H2232" s="284"/>
      <c r="I2232" s="284"/>
      <c r="J2232" s="375"/>
      <c r="K2232" s="375"/>
      <c r="L2232" s="375"/>
      <c r="M2232" s="368"/>
      <c r="N2232" s="368"/>
      <c r="O2232" s="370"/>
      <c r="T2232" s="349"/>
      <c r="V2232" s="378"/>
      <c r="W2232" s="64" ph="1"/>
      <c r="X2232" s="241"/>
      <c r="Y2232" s="284"/>
      <c r="Z2232" s="207"/>
      <c r="AA2232" s="284"/>
      <c r="AB2232" s="284"/>
      <c r="AC2232" s="284"/>
      <c r="AD2232" s="284"/>
      <c r="AE2232" s="284"/>
      <c r="AF2232" s="284"/>
      <c r="AG2232" s="284"/>
    </row>
    <row r="2233" spans="1:33" ht="26.4">
      <c r="A2233" s="284"/>
      <c r="B2233" s="284"/>
      <c r="C2233" s="284"/>
      <c r="D2233" s="284"/>
      <c r="E2233" s="284"/>
      <c r="F2233" s="284"/>
      <c r="G2233" s="284"/>
      <c r="H2233" s="284"/>
      <c r="I2233" s="284"/>
      <c r="J2233" s="375"/>
      <c r="K2233" s="375"/>
      <c r="L2233" s="375"/>
      <c r="M2233" s="368"/>
      <c r="N2233" s="368"/>
      <c r="O2233" s="370"/>
      <c r="T2233" s="349"/>
      <c r="V2233" s="378"/>
      <c r="W2233" s="64" ph="1"/>
      <c r="X2233" s="241"/>
      <c r="Y2233" s="284"/>
      <c r="Z2233" s="207"/>
      <c r="AA2233" s="284"/>
      <c r="AB2233" s="284"/>
      <c r="AC2233" s="284"/>
      <c r="AD2233" s="284"/>
      <c r="AE2233" s="284"/>
      <c r="AF2233" s="284"/>
      <c r="AG2233" s="284"/>
    </row>
    <row r="2234" spans="1:33" ht="26.4">
      <c r="A2234" s="284"/>
      <c r="B2234" s="284"/>
      <c r="C2234" s="284"/>
      <c r="D2234" s="284"/>
      <c r="E2234" s="284"/>
      <c r="F2234" s="284"/>
      <c r="G2234" s="284"/>
      <c r="H2234" s="284"/>
      <c r="I2234" s="284"/>
      <c r="J2234" s="375"/>
      <c r="K2234" s="375"/>
      <c r="L2234" s="375"/>
      <c r="M2234" s="368"/>
      <c r="N2234" s="368"/>
      <c r="O2234" s="370"/>
      <c r="T2234" s="349"/>
      <c r="V2234" s="378"/>
      <c r="W2234" s="64" ph="1"/>
      <c r="X2234" s="241"/>
      <c r="Y2234" s="284"/>
      <c r="Z2234" s="207"/>
      <c r="AA2234" s="284"/>
      <c r="AB2234" s="284"/>
      <c r="AC2234" s="284"/>
      <c r="AD2234" s="284"/>
      <c r="AE2234" s="284"/>
      <c r="AF2234" s="284"/>
      <c r="AG2234" s="284"/>
    </row>
    <row r="2235" spans="1:33" ht="26.4">
      <c r="A2235" s="284"/>
      <c r="B2235" s="284"/>
      <c r="C2235" s="284"/>
      <c r="D2235" s="284"/>
      <c r="E2235" s="284"/>
      <c r="F2235" s="284"/>
      <c r="G2235" s="284"/>
      <c r="H2235" s="284"/>
      <c r="I2235" s="284"/>
      <c r="J2235" s="375"/>
      <c r="K2235" s="375"/>
      <c r="L2235" s="375"/>
      <c r="M2235" s="368"/>
      <c r="N2235" s="368"/>
      <c r="O2235" s="370"/>
      <c r="T2235" s="349"/>
      <c r="V2235" s="378"/>
      <c r="W2235" s="64" ph="1"/>
      <c r="X2235" s="241"/>
      <c r="Y2235" s="284"/>
      <c r="Z2235" s="207"/>
      <c r="AA2235" s="284"/>
      <c r="AB2235" s="284"/>
      <c r="AC2235" s="284"/>
      <c r="AD2235" s="284"/>
      <c r="AE2235" s="284"/>
      <c r="AF2235" s="284"/>
      <c r="AG2235" s="284"/>
    </row>
    <row r="2236" spans="1:33" ht="26.4">
      <c r="A2236" s="284"/>
      <c r="B2236" s="284"/>
      <c r="C2236" s="284"/>
      <c r="D2236" s="284"/>
      <c r="E2236" s="284"/>
      <c r="F2236" s="284"/>
      <c r="G2236" s="284"/>
      <c r="H2236" s="284"/>
      <c r="I2236" s="284"/>
      <c r="J2236" s="375"/>
      <c r="K2236" s="375"/>
      <c r="L2236" s="375"/>
      <c r="M2236" s="368"/>
      <c r="N2236" s="368"/>
      <c r="O2236" s="370"/>
      <c r="T2236" s="349"/>
      <c r="V2236" s="378"/>
      <c r="W2236" s="64" ph="1"/>
      <c r="X2236" s="241"/>
      <c r="Y2236" s="284"/>
      <c r="Z2236" s="207"/>
      <c r="AA2236" s="284"/>
      <c r="AB2236" s="284"/>
      <c r="AC2236" s="284"/>
      <c r="AD2236" s="284"/>
      <c r="AE2236" s="284"/>
      <c r="AF2236" s="284"/>
      <c r="AG2236" s="284"/>
    </row>
    <row r="2237" spans="1:33" ht="26.4">
      <c r="A2237" s="284"/>
      <c r="B2237" s="284"/>
      <c r="C2237" s="284"/>
      <c r="D2237" s="284"/>
      <c r="E2237" s="284"/>
      <c r="F2237" s="284"/>
      <c r="G2237" s="284"/>
      <c r="H2237" s="284"/>
      <c r="I2237" s="284"/>
      <c r="J2237" s="375"/>
      <c r="K2237" s="375"/>
      <c r="L2237" s="375"/>
      <c r="M2237" s="368"/>
      <c r="N2237" s="368"/>
      <c r="O2237" s="370"/>
      <c r="T2237" s="349"/>
      <c r="V2237" s="378"/>
      <c r="W2237" s="64" ph="1"/>
      <c r="X2237" s="241"/>
      <c r="Y2237" s="284"/>
      <c r="Z2237" s="207"/>
      <c r="AA2237" s="284"/>
      <c r="AB2237" s="284"/>
      <c r="AC2237" s="284"/>
      <c r="AD2237" s="284"/>
      <c r="AE2237" s="284"/>
      <c r="AF2237" s="284"/>
      <c r="AG2237" s="284"/>
    </row>
    <row r="2238" spans="1:33" ht="26.4">
      <c r="A2238" s="284"/>
      <c r="B2238" s="284"/>
      <c r="C2238" s="284"/>
      <c r="D2238" s="284"/>
      <c r="E2238" s="284"/>
      <c r="F2238" s="284"/>
      <c r="G2238" s="284"/>
      <c r="H2238" s="284"/>
      <c r="I2238" s="284"/>
      <c r="J2238" s="375"/>
      <c r="K2238" s="375"/>
      <c r="L2238" s="375"/>
      <c r="M2238" s="368"/>
      <c r="N2238" s="368"/>
      <c r="O2238" s="370"/>
      <c r="T2238" s="349"/>
      <c r="V2238" s="378"/>
      <c r="W2238" s="64" ph="1"/>
      <c r="X2238" s="241"/>
      <c r="Y2238" s="284"/>
      <c r="Z2238" s="207"/>
      <c r="AA2238" s="284"/>
      <c r="AB2238" s="284"/>
      <c r="AC2238" s="284"/>
      <c r="AD2238" s="284"/>
      <c r="AE2238" s="284"/>
      <c r="AF2238" s="284"/>
      <c r="AG2238" s="284"/>
    </row>
    <row r="2239" spans="1:33" ht="26.4">
      <c r="A2239" s="284"/>
      <c r="B2239" s="284"/>
      <c r="C2239" s="284"/>
      <c r="D2239" s="284"/>
      <c r="E2239" s="284"/>
      <c r="F2239" s="284"/>
      <c r="G2239" s="284"/>
      <c r="H2239" s="284"/>
      <c r="I2239" s="284"/>
      <c r="J2239" s="375"/>
      <c r="K2239" s="375"/>
      <c r="L2239" s="375"/>
      <c r="M2239" s="368"/>
      <c r="N2239" s="368"/>
      <c r="O2239" s="370"/>
      <c r="T2239" s="349"/>
      <c r="V2239" s="378"/>
      <c r="W2239" s="64" ph="1"/>
      <c r="X2239" s="241"/>
      <c r="Y2239" s="284"/>
      <c r="Z2239" s="207"/>
      <c r="AA2239" s="284"/>
      <c r="AB2239" s="284"/>
      <c r="AC2239" s="284"/>
      <c r="AD2239" s="284"/>
      <c r="AE2239" s="284"/>
      <c r="AF2239" s="284"/>
      <c r="AG2239" s="284"/>
    </row>
    <row r="2240" spans="1:33" ht="26.4">
      <c r="A2240" s="284"/>
      <c r="B2240" s="284"/>
      <c r="C2240" s="284"/>
      <c r="D2240" s="284"/>
      <c r="E2240" s="284"/>
      <c r="F2240" s="284"/>
      <c r="G2240" s="284"/>
      <c r="H2240" s="284"/>
      <c r="I2240" s="284"/>
      <c r="J2240" s="375"/>
      <c r="K2240" s="375"/>
      <c r="L2240" s="375"/>
      <c r="M2240" s="368"/>
      <c r="N2240" s="368"/>
      <c r="O2240" s="370"/>
      <c r="T2240" s="349"/>
      <c r="V2240" s="378"/>
      <c r="W2240" s="64" ph="1"/>
      <c r="X2240" s="241"/>
      <c r="Y2240" s="284"/>
      <c r="Z2240" s="207"/>
      <c r="AA2240" s="284"/>
      <c r="AB2240" s="284"/>
      <c r="AC2240" s="284"/>
      <c r="AD2240" s="284"/>
      <c r="AE2240" s="284"/>
      <c r="AF2240" s="284"/>
      <c r="AG2240" s="284"/>
    </row>
    <row r="2241" spans="1:33" ht="26.4">
      <c r="A2241" s="284"/>
      <c r="B2241" s="284"/>
      <c r="C2241" s="284"/>
      <c r="D2241" s="284"/>
      <c r="E2241" s="284"/>
      <c r="F2241" s="284"/>
      <c r="G2241" s="284"/>
      <c r="H2241" s="284"/>
      <c r="I2241" s="284"/>
      <c r="J2241" s="375"/>
      <c r="K2241" s="375"/>
      <c r="L2241" s="375"/>
      <c r="M2241" s="368"/>
      <c r="N2241" s="368"/>
      <c r="O2241" s="370"/>
      <c r="T2241" s="349"/>
      <c r="V2241" s="378"/>
      <c r="W2241" s="64" ph="1"/>
      <c r="X2241" s="241"/>
      <c r="Y2241" s="284"/>
      <c r="Z2241" s="207"/>
      <c r="AA2241" s="284"/>
      <c r="AB2241" s="284"/>
      <c r="AC2241" s="284"/>
      <c r="AD2241" s="284"/>
      <c r="AE2241" s="284"/>
      <c r="AF2241" s="284"/>
      <c r="AG2241" s="284"/>
    </row>
    <row r="2242" spans="1:33" ht="26.4">
      <c r="A2242" s="284"/>
      <c r="B2242" s="284"/>
      <c r="C2242" s="284"/>
      <c r="D2242" s="284"/>
      <c r="E2242" s="284"/>
      <c r="F2242" s="284"/>
      <c r="G2242" s="284"/>
      <c r="H2242" s="284"/>
      <c r="I2242" s="284"/>
      <c r="J2242" s="375"/>
      <c r="K2242" s="375"/>
      <c r="L2242" s="375"/>
      <c r="M2242" s="368"/>
      <c r="N2242" s="368"/>
      <c r="O2242" s="370"/>
      <c r="T2242" s="349"/>
      <c r="V2242" s="378"/>
      <c r="W2242" s="64" ph="1"/>
      <c r="X2242" s="241"/>
      <c r="Y2242" s="284"/>
      <c r="Z2242" s="207"/>
      <c r="AA2242" s="284"/>
      <c r="AB2242" s="284"/>
      <c r="AC2242" s="284"/>
      <c r="AD2242" s="284"/>
      <c r="AE2242" s="284"/>
      <c r="AF2242" s="284"/>
      <c r="AG2242" s="284"/>
    </row>
    <row r="2243" spans="1:33" ht="26.4">
      <c r="A2243" s="284"/>
      <c r="B2243" s="284"/>
      <c r="C2243" s="284"/>
      <c r="D2243" s="284"/>
      <c r="E2243" s="284"/>
      <c r="F2243" s="284"/>
      <c r="G2243" s="284"/>
      <c r="H2243" s="284"/>
      <c r="I2243" s="284"/>
      <c r="J2243" s="375"/>
      <c r="K2243" s="375"/>
      <c r="L2243" s="375"/>
      <c r="M2243" s="368"/>
      <c r="N2243" s="368"/>
      <c r="O2243" s="370"/>
      <c r="T2243" s="349"/>
      <c r="V2243" s="378"/>
      <c r="W2243" s="64" ph="1"/>
      <c r="X2243" s="241"/>
      <c r="Y2243" s="284"/>
      <c r="Z2243" s="207"/>
      <c r="AA2243" s="284"/>
      <c r="AB2243" s="284"/>
      <c r="AC2243" s="284"/>
      <c r="AD2243" s="284"/>
      <c r="AE2243" s="284"/>
      <c r="AF2243" s="284"/>
      <c r="AG2243" s="284"/>
    </row>
    <row r="2244" spans="1:33" ht="26.4">
      <c r="A2244" s="284"/>
      <c r="B2244" s="284"/>
      <c r="C2244" s="284"/>
      <c r="D2244" s="284"/>
      <c r="E2244" s="284"/>
      <c r="F2244" s="284"/>
      <c r="G2244" s="284"/>
      <c r="H2244" s="284"/>
      <c r="I2244" s="284"/>
      <c r="J2244" s="375"/>
      <c r="K2244" s="375"/>
      <c r="L2244" s="375"/>
      <c r="M2244" s="368"/>
      <c r="N2244" s="368"/>
      <c r="O2244" s="370"/>
      <c r="T2244" s="349"/>
      <c r="V2244" s="378"/>
      <c r="W2244" s="64" ph="1"/>
      <c r="X2244" s="241"/>
      <c r="Y2244" s="284"/>
      <c r="Z2244" s="207"/>
      <c r="AA2244" s="284"/>
      <c r="AB2244" s="284"/>
      <c r="AC2244" s="284"/>
      <c r="AD2244" s="284"/>
      <c r="AE2244" s="284"/>
      <c r="AF2244" s="284"/>
      <c r="AG2244" s="284"/>
    </row>
    <row r="2245" spans="1:33" ht="26.4">
      <c r="A2245" s="284"/>
      <c r="B2245" s="284"/>
      <c r="C2245" s="284"/>
      <c r="D2245" s="284"/>
      <c r="E2245" s="284"/>
      <c r="F2245" s="284"/>
      <c r="G2245" s="284"/>
      <c r="H2245" s="284"/>
      <c r="I2245" s="284"/>
      <c r="J2245" s="375"/>
      <c r="K2245" s="375"/>
      <c r="L2245" s="375"/>
      <c r="M2245" s="368"/>
      <c r="N2245" s="368"/>
      <c r="O2245" s="370"/>
      <c r="T2245" s="349"/>
      <c r="V2245" s="378"/>
      <c r="W2245" s="64" ph="1"/>
      <c r="X2245" s="241"/>
      <c r="Y2245" s="284"/>
      <c r="Z2245" s="207"/>
      <c r="AA2245" s="284"/>
      <c r="AB2245" s="284"/>
      <c r="AC2245" s="284"/>
      <c r="AD2245" s="284"/>
      <c r="AE2245" s="284"/>
      <c r="AF2245" s="284"/>
      <c r="AG2245" s="284"/>
    </row>
    <row r="2246" spans="1:33" ht="26.4">
      <c r="A2246" s="284"/>
      <c r="B2246" s="284"/>
      <c r="C2246" s="284"/>
      <c r="D2246" s="284"/>
      <c r="E2246" s="284"/>
      <c r="F2246" s="284"/>
      <c r="G2246" s="284"/>
      <c r="H2246" s="284"/>
      <c r="I2246" s="284"/>
      <c r="J2246" s="375"/>
      <c r="K2246" s="375"/>
      <c r="L2246" s="375"/>
      <c r="M2246" s="368"/>
      <c r="N2246" s="368"/>
      <c r="O2246" s="370"/>
      <c r="T2246" s="349"/>
      <c r="V2246" s="378"/>
      <c r="W2246" s="64" ph="1"/>
      <c r="X2246" s="241"/>
      <c r="Y2246" s="284"/>
      <c r="Z2246" s="207"/>
      <c r="AA2246" s="284"/>
      <c r="AB2246" s="284"/>
      <c r="AC2246" s="284"/>
      <c r="AD2246" s="284"/>
      <c r="AE2246" s="284"/>
      <c r="AF2246" s="284"/>
      <c r="AG2246" s="284"/>
    </row>
    <row r="2247" spans="1:33" ht="26.4">
      <c r="A2247" s="284"/>
      <c r="B2247" s="284"/>
      <c r="C2247" s="284"/>
      <c r="D2247" s="284"/>
      <c r="E2247" s="284"/>
      <c r="F2247" s="284"/>
      <c r="G2247" s="284"/>
      <c r="H2247" s="284"/>
      <c r="I2247" s="284"/>
      <c r="J2247" s="375"/>
      <c r="K2247" s="375"/>
      <c r="L2247" s="375"/>
      <c r="M2247" s="368"/>
      <c r="N2247" s="368"/>
      <c r="O2247" s="370"/>
      <c r="T2247" s="349"/>
      <c r="V2247" s="378"/>
      <c r="W2247" s="64" ph="1"/>
      <c r="X2247" s="241"/>
      <c r="Y2247" s="284"/>
      <c r="Z2247" s="207"/>
      <c r="AA2247" s="284"/>
      <c r="AB2247" s="284"/>
      <c r="AC2247" s="284"/>
      <c r="AD2247" s="284"/>
      <c r="AE2247" s="284"/>
      <c r="AF2247" s="284"/>
      <c r="AG2247" s="284"/>
    </row>
    <row r="2248" spans="1:33" ht="26.4">
      <c r="A2248" s="284"/>
      <c r="B2248" s="284"/>
      <c r="C2248" s="284"/>
      <c r="D2248" s="284"/>
      <c r="E2248" s="284"/>
      <c r="F2248" s="284"/>
      <c r="G2248" s="284"/>
      <c r="H2248" s="284"/>
      <c r="I2248" s="284"/>
      <c r="J2248" s="375"/>
      <c r="K2248" s="375"/>
      <c r="L2248" s="375"/>
      <c r="M2248" s="368"/>
      <c r="N2248" s="368"/>
      <c r="O2248" s="370"/>
      <c r="T2248" s="349"/>
      <c r="V2248" s="378"/>
      <c r="W2248" s="64" ph="1"/>
      <c r="X2248" s="241"/>
      <c r="Y2248" s="284"/>
      <c r="Z2248" s="207"/>
      <c r="AA2248" s="284"/>
      <c r="AB2248" s="284"/>
      <c r="AC2248" s="284"/>
      <c r="AD2248" s="284"/>
      <c r="AE2248" s="284"/>
      <c r="AF2248" s="284"/>
      <c r="AG2248" s="284"/>
    </row>
    <row r="2249" spans="1:33" ht="26.4">
      <c r="A2249" s="284"/>
      <c r="B2249" s="284"/>
      <c r="C2249" s="284"/>
      <c r="D2249" s="284"/>
      <c r="E2249" s="284"/>
      <c r="F2249" s="284"/>
      <c r="G2249" s="284"/>
      <c r="H2249" s="284"/>
      <c r="I2249" s="284"/>
      <c r="J2249" s="375"/>
      <c r="K2249" s="375"/>
      <c r="L2249" s="375"/>
      <c r="M2249" s="368"/>
      <c r="N2249" s="368"/>
      <c r="O2249" s="370"/>
      <c r="T2249" s="349"/>
      <c r="V2249" s="378"/>
      <c r="W2249" s="64" ph="1"/>
      <c r="X2249" s="241"/>
      <c r="Y2249" s="284"/>
      <c r="Z2249" s="207"/>
      <c r="AA2249" s="284"/>
      <c r="AB2249" s="284"/>
      <c r="AC2249" s="284"/>
      <c r="AD2249" s="284"/>
      <c r="AE2249" s="284"/>
      <c r="AF2249" s="284"/>
      <c r="AG2249" s="284"/>
    </row>
    <row r="2250" spans="1:33" ht="26.4">
      <c r="A2250" s="284"/>
      <c r="B2250" s="284"/>
      <c r="C2250" s="284"/>
      <c r="D2250" s="284"/>
      <c r="E2250" s="284"/>
      <c r="F2250" s="284"/>
      <c r="G2250" s="284"/>
      <c r="H2250" s="284"/>
      <c r="I2250" s="284"/>
      <c r="J2250" s="375"/>
      <c r="K2250" s="375"/>
      <c r="L2250" s="375"/>
      <c r="M2250" s="368"/>
      <c r="N2250" s="368"/>
      <c r="O2250" s="370"/>
      <c r="T2250" s="349"/>
      <c r="V2250" s="378"/>
      <c r="W2250" s="64" ph="1"/>
      <c r="X2250" s="241"/>
      <c r="Y2250" s="284"/>
      <c r="Z2250" s="207"/>
      <c r="AA2250" s="284"/>
      <c r="AB2250" s="284"/>
      <c r="AC2250" s="284"/>
      <c r="AD2250" s="284"/>
      <c r="AE2250" s="284"/>
      <c r="AF2250" s="284"/>
      <c r="AG2250" s="284"/>
    </row>
    <row r="2251" spans="1:33" ht="26.4">
      <c r="A2251" s="284"/>
      <c r="B2251" s="284"/>
      <c r="C2251" s="284"/>
      <c r="D2251" s="284"/>
      <c r="E2251" s="284"/>
      <c r="F2251" s="284"/>
      <c r="G2251" s="284"/>
      <c r="H2251" s="284"/>
      <c r="I2251" s="284"/>
      <c r="J2251" s="375"/>
      <c r="K2251" s="375"/>
      <c r="L2251" s="375"/>
      <c r="M2251" s="368"/>
      <c r="N2251" s="368"/>
      <c r="O2251" s="370"/>
      <c r="T2251" s="349"/>
      <c r="V2251" s="378"/>
      <c r="W2251" s="64" ph="1"/>
      <c r="X2251" s="241"/>
      <c r="Y2251" s="284"/>
      <c r="Z2251" s="207"/>
      <c r="AA2251" s="284"/>
      <c r="AB2251" s="284"/>
      <c r="AC2251" s="284"/>
      <c r="AD2251" s="284"/>
      <c r="AE2251" s="284"/>
      <c r="AF2251" s="284"/>
      <c r="AG2251" s="284"/>
    </row>
    <row r="2252" spans="1:33" ht="26.4">
      <c r="A2252" s="284"/>
      <c r="B2252" s="284"/>
      <c r="C2252" s="284"/>
      <c r="D2252" s="284"/>
      <c r="E2252" s="284"/>
      <c r="F2252" s="284"/>
      <c r="G2252" s="284"/>
      <c r="H2252" s="284"/>
      <c r="I2252" s="284"/>
      <c r="J2252" s="375"/>
      <c r="K2252" s="375"/>
      <c r="L2252" s="375"/>
      <c r="M2252" s="368"/>
      <c r="N2252" s="368"/>
      <c r="O2252" s="370"/>
      <c r="T2252" s="349"/>
      <c r="V2252" s="378"/>
      <c r="W2252" s="64" ph="1"/>
      <c r="X2252" s="241"/>
      <c r="Y2252" s="284"/>
      <c r="Z2252" s="207"/>
      <c r="AA2252" s="284"/>
      <c r="AB2252" s="284"/>
      <c r="AC2252" s="284"/>
      <c r="AD2252" s="284"/>
      <c r="AE2252" s="284"/>
      <c r="AF2252" s="284"/>
      <c r="AG2252" s="284"/>
    </row>
    <row r="2253" spans="1:33" ht="26.4">
      <c r="A2253" s="284"/>
      <c r="B2253" s="284"/>
      <c r="C2253" s="284"/>
      <c r="D2253" s="284"/>
      <c r="E2253" s="284"/>
      <c r="F2253" s="284"/>
      <c r="G2253" s="284"/>
      <c r="H2253" s="284"/>
      <c r="I2253" s="284"/>
      <c r="J2253" s="375"/>
      <c r="K2253" s="375"/>
      <c r="L2253" s="375"/>
      <c r="M2253" s="368"/>
      <c r="N2253" s="368"/>
      <c r="O2253" s="370"/>
      <c r="T2253" s="349"/>
      <c r="V2253" s="378"/>
      <c r="W2253" s="64" ph="1"/>
      <c r="X2253" s="241"/>
      <c r="Y2253" s="284"/>
      <c r="Z2253" s="207"/>
      <c r="AA2253" s="284"/>
      <c r="AB2253" s="284"/>
      <c r="AC2253" s="284"/>
      <c r="AD2253" s="284"/>
      <c r="AE2253" s="284"/>
      <c r="AF2253" s="284"/>
      <c r="AG2253" s="284"/>
    </row>
    <row r="2254" spans="1:33" ht="26.4">
      <c r="A2254" s="284"/>
      <c r="B2254" s="284"/>
      <c r="C2254" s="284"/>
      <c r="D2254" s="284"/>
      <c r="E2254" s="284"/>
      <c r="F2254" s="284"/>
      <c r="G2254" s="284"/>
      <c r="H2254" s="284"/>
      <c r="I2254" s="284"/>
      <c r="J2254" s="375"/>
      <c r="K2254" s="375"/>
      <c r="L2254" s="375"/>
      <c r="M2254" s="368"/>
      <c r="N2254" s="368"/>
      <c r="O2254" s="370"/>
      <c r="T2254" s="349"/>
      <c r="V2254" s="378"/>
      <c r="W2254" s="64" ph="1"/>
      <c r="X2254" s="241"/>
      <c r="Y2254" s="284"/>
      <c r="Z2254" s="207"/>
      <c r="AA2254" s="284"/>
      <c r="AB2254" s="284"/>
      <c r="AC2254" s="284"/>
      <c r="AD2254" s="284"/>
      <c r="AE2254" s="284"/>
      <c r="AF2254" s="284"/>
      <c r="AG2254" s="284"/>
    </row>
    <row r="2255" spans="1:33" ht="26.4">
      <c r="A2255" s="284"/>
      <c r="B2255" s="284"/>
      <c r="C2255" s="284"/>
      <c r="D2255" s="284"/>
      <c r="E2255" s="284"/>
      <c r="F2255" s="284"/>
      <c r="G2255" s="284"/>
      <c r="H2255" s="284"/>
      <c r="I2255" s="284"/>
      <c r="J2255" s="375"/>
      <c r="K2255" s="375"/>
      <c r="L2255" s="375"/>
      <c r="M2255" s="368"/>
      <c r="N2255" s="368"/>
      <c r="O2255" s="370"/>
      <c r="T2255" s="349"/>
      <c r="V2255" s="378"/>
      <c r="W2255" s="64" ph="1"/>
      <c r="X2255" s="241"/>
      <c r="Y2255" s="284"/>
      <c r="Z2255" s="207"/>
      <c r="AA2255" s="284"/>
      <c r="AB2255" s="284"/>
      <c r="AC2255" s="284"/>
      <c r="AD2255" s="284"/>
      <c r="AE2255" s="284"/>
      <c r="AF2255" s="284"/>
      <c r="AG2255" s="284"/>
    </row>
    <row r="2256" spans="1:33" ht="26.4">
      <c r="A2256" s="284"/>
      <c r="B2256" s="284"/>
      <c r="C2256" s="284"/>
      <c r="D2256" s="284"/>
      <c r="E2256" s="284"/>
      <c r="F2256" s="284"/>
      <c r="G2256" s="284"/>
      <c r="H2256" s="284"/>
      <c r="I2256" s="284"/>
      <c r="J2256" s="375"/>
      <c r="K2256" s="375"/>
      <c r="L2256" s="375"/>
      <c r="M2256" s="368"/>
      <c r="N2256" s="368"/>
      <c r="O2256" s="370"/>
      <c r="T2256" s="349"/>
      <c r="V2256" s="378"/>
      <c r="W2256" s="64" ph="1"/>
      <c r="X2256" s="241"/>
      <c r="Y2256" s="284"/>
      <c r="Z2256" s="207"/>
      <c r="AA2256" s="284"/>
      <c r="AB2256" s="284"/>
      <c r="AC2256" s="284"/>
      <c r="AD2256" s="284"/>
      <c r="AE2256" s="284"/>
      <c r="AF2256" s="284"/>
      <c r="AG2256" s="284"/>
    </row>
    <row r="2257" spans="1:33" ht="26.4">
      <c r="A2257" s="284"/>
      <c r="B2257" s="284"/>
      <c r="C2257" s="284"/>
      <c r="D2257" s="284"/>
      <c r="E2257" s="284"/>
      <c r="F2257" s="284"/>
      <c r="G2257" s="284"/>
      <c r="H2257" s="284"/>
      <c r="I2257" s="284"/>
      <c r="J2257" s="375"/>
      <c r="K2257" s="375"/>
      <c r="L2257" s="375"/>
      <c r="M2257" s="368"/>
      <c r="N2257" s="368"/>
      <c r="O2257" s="370"/>
      <c r="T2257" s="349"/>
      <c r="V2257" s="378"/>
      <c r="W2257" s="64" ph="1"/>
      <c r="X2257" s="241"/>
      <c r="Y2257" s="284"/>
      <c r="Z2257" s="207"/>
      <c r="AA2257" s="284"/>
      <c r="AB2257" s="284"/>
      <c r="AC2257" s="284"/>
      <c r="AD2257" s="284"/>
      <c r="AE2257" s="284"/>
      <c r="AF2257" s="284"/>
      <c r="AG2257" s="284"/>
    </row>
    <row r="2258" spans="1:33" ht="26.4">
      <c r="A2258" s="284"/>
      <c r="B2258" s="284"/>
      <c r="C2258" s="284"/>
      <c r="D2258" s="284"/>
      <c r="E2258" s="284"/>
      <c r="F2258" s="284"/>
      <c r="G2258" s="284"/>
      <c r="H2258" s="284"/>
      <c r="I2258" s="284"/>
      <c r="J2258" s="375"/>
      <c r="K2258" s="375"/>
      <c r="L2258" s="375"/>
      <c r="M2258" s="368"/>
      <c r="N2258" s="368"/>
      <c r="O2258" s="370"/>
      <c r="T2258" s="349"/>
      <c r="V2258" s="378"/>
      <c r="W2258" s="64" ph="1"/>
      <c r="X2258" s="241"/>
      <c r="Y2258" s="284"/>
      <c r="Z2258" s="207"/>
      <c r="AA2258" s="284"/>
      <c r="AB2258" s="284"/>
      <c r="AC2258" s="284"/>
      <c r="AD2258" s="284"/>
      <c r="AE2258" s="284"/>
      <c r="AF2258" s="284"/>
      <c r="AG2258" s="284"/>
    </row>
    <row r="2259" spans="1:33" ht="26.4">
      <c r="A2259" s="284"/>
      <c r="B2259" s="284"/>
      <c r="C2259" s="284"/>
      <c r="D2259" s="284"/>
      <c r="E2259" s="284"/>
      <c r="F2259" s="284"/>
      <c r="G2259" s="284"/>
      <c r="H2259" s="284"/>
      <c r="I2259" s="284"/>
      <c r="J2259" s="375"/>
      <c r="K2259" s="375"/>
      <c r="L2259" s="375"/>
      <c r="M2259" s="368"/>
      <c r="N2259" s="368"/>
      <c r="O2259" s="370"/>
      <c r="T2259" s="349"/>
      <c r="V2259" s="378"/>
      <c r="W2259" s="64" ph="1"/>
      <c r="X2259" s="241"/>
      <c r="Y2259" s="284"/>
      <c r="Z2259" s="207"/>
      <c r="AA2259" s="284"/>
      <c r="AB2259" s="284"/>
      <c r="AC2259" s="284"/>
      <c r="AD2259" s="284"/>
      <c r="AE2259" s="284"/>
      <c r="AF2259" s="284"/>
      <c r="AG2259" s="284"/>
    </row>
    <row r="2260" spans="1:33" ht="26.4">
      <c r="A2260" s="284"/>
      <c r="B2260" s="284"/>
      <c r="C2260" s="284"/>
      <c r="D2260" s="284"/>
      <c r="E2260" s="284"/>
      <c r="F2260" s="284"/>
      <c r="G2260" s="284"/>
      <c r="H2260" s="284"/>
      <c r="I2260" s="284"/>
      <c r="J2260" s="375"/>
      <c r="K2260" s="375"/>
      <c r="L2260" s="375"/>
      <c r="M2260" s="368"/>
      <c r="N2260" s="368"/>
      <c r="O2260" s="370"/>
      <c r="T2260" s="349"/>
      <c r="V2260" s="378"/>
      <c r="W2260" s="64" ph="1"/>
      <c r="X2260" s="241"/>
      <c r="Y2260" s="284"/>
      <c r="Z2260" s="207"/>
      <c r="AA2260" s="284"/>
      <c r="AB2260" s="284"/>
      <c r="AC2260" s="284"/>
      <c r="AD2260" s="284"/>
      <c r="AE2260" s="284"/>
      <c r="AF2260" s="284"/>
      <c r="AG2260" s="284"/>
    </row>
    <row r="2261" spans="1:33" ht="26.4">
      <c r="A2261" s="284"/>
      <c r="B2261" s="284"/>
      <c r="C2261" s="284"/>
      <c r="D2261" s="284"/>
      <c r="E2261" s="284"/>
      <c r="F2261" s="284"/>
      <c r="G2261" s="284"/>
      <c r="H2261" s="284"/>
      <c r="I2261" s="284"/>
      <c r="J2261" s="375"/>
      <c r="K2261" s="375"/>
      <c r="L2261" s="375"/>
      <c r="M2261" s="368"/>
      <c r="N2261" s="368"/>
      <c r="O2261" s="370"/>
      <c r="T2261" s="349"/>
      <c r="V2261" s="378"/>
      <c r="W2261" s="64" ph="1"/>
      <c r="X2261" s="241"/>
      <c r="Y2261" s="284"/>
      <c r="Z2261" s="207"/>
      <c r="AA2261" s="284"/>
      <c r="AB2261" s="284"/>
      <c r="AC2261" s="284"/>
      <c r="AD2261" s="284"/>
      <c r="AE2261" s="284"/>
      <c r="AF2261" s="284"/>
      <c r="AG2261" s="284"/>
    </row>
    <row r="2262" spans="1:33" ht="26.4">
      <c r="A2262" s="284"/>
      <c r="B2262" s="284"/>
      <c r="C2262" s="284"/>
      <c r="D2262" s="284"/>
      <c r="E2262" s="284"/>
      <c r="F2262" s="284"/>
      <c r="G2262" s="284"/>
      <c r="H2262" s="284"/>
      <c r="I2262" s="284"/>
      <c r="J2262" s="375"/>
      <c r="K2262" s="375"/>
      <c r="L2262" s="375"/>
      <c r="M2262" s="368"/>
      <c r="N2262" s="368"/>
      <c r="O2262" s="370"/>
      <c r="T2262" s="349"/>
      <c r="V2262" s="378"/>
      <c r="W2262" s="64" ph="1"/>
      <c r="X2262" s="241"/>
      <c r="Y2262" s="284"/>
      <c r="Z2262" s="207"/>
      <c r="AA2262" s="284"/>
      <c r="AB2262" s="284"/>
      <c r="AC2262" s="284"/>
      <c r="AD2262" s="284"/>
      <c r="AE2262" s="284"/>
      <c r="AF2262" s="284"/>
      <c r="AG2262" s="284"/>
    </row>
    <row r="2263" spans="1:33" ht="26.4">
      <c r="A2263" s="284"/>
      <c r="B2263" s="284"/>
      <c r="C2263" s="284"/>
      <c r="D2263" s="284"/>
      <c r="E2263" s="284"/>
      <c r="F2263" s="284"/>
      <c r="G2263" s="284"/>
      <c r="H2263" s="284"/>
      <c r="I2263" s="284"/>
      <c r="J2263" s="375"/>
      <c r="K2263" s="375"/>
      <c r="L2263" s="375"/>
      <c r="M2263" s="368"/>
      <c r="N2263" s="368"/>
      <c r="O2263" s="370"/>
      <c r="T2263" s="349"/>
      <c r="V2263" s="378"/>
      <c r="W2263" s="64" ph="1"/>
      <c r="X2263" s="241"/>
      <c r="Y2263" s="284"/>
      <c r="Z2263" s="207"/>
      <c r="AA2263" s="284"/>
      <c r="AB2263" s="284"/>
      <c r="AC2263" s="284"/>
      <c r="AD2263" s="284"/>
      <c r="AE2263" s="284"/>
      <c r="AF2263" s="284"/>
      <c r="AG2263" s="284"/>
    </row>
    <row r="2264" spans="1:33" ht="26.4">
      <c r="A2264" s="284"/>
      <c r="B2264" s="284"/>
      <c r="C2264" s="284"/>
      <c r="D2264" s="284"/>
      <c r="E2264" s="284"/>
      <c r="F2264" s="284"/>
      <c r="G2264" s="284"/>
      <c r="H2264" s="284"/>
      <c r="I2264" s="284"/>
      <c r="J2264" s="375"/>
      <c r="K2264" s="375"/>
      <c r="L2264" s="375"/>
      <c r="M2264" s="368"/>
      <c r="N2264" s="368"/>
      <c r="O2264" s="370"/>
      <c r="T2264" s="349"/>
      <c r="V2264" s="378"/>
      <c r="W2264" s="64" ph="1"/>
      <c r="X2264" s="241"/>
      <c r="Y2264" s="284"/>
      <c r="Z2264" s="207"/>
      <c r="AA2264" s="284"/>
      <c r="AB2264" s="284"/>
      <c r="AC2264" s="284"/>
      <c r="AD2264" s="284"/>
      <c r="AE2264" s="284"/>
      <c r="AF2264" s="284"/>
      <c r="AG2264" s="284"/>
    </row>
    <row r="2265" spans="1:33" ht="26.4">
      <c r="A2265" s="284"/>
      <c r="B2265" s="284"/>
      <c r="C2265" s="284"/>
      <c r="D2265" s="284"/>
      <c r="E2265" s="284"/>
      <c r="F2265" s="284"/>
      <c r="G2265" s="284"/>
      <c r="H2265" s="284"/>
      <c r="I2265" s="284"/>
      <c r="J2265" s="375"/>
      <c r="K2265" s="375"/>
      <c r="L2265" s="375"/>
      <c r="M2265" s="368"/>
      <c r="N2265" s="368"/>
      <c r="O2265" s="370"/>
      <c r="T2265" s="349"/>
      <c r="V2265" s="378"/>
      <c r="W2265" s="64" ph="1"/>
      <c r="X2265" s="241"/>
      <c r="Y2265" s="284"/>
      <c r="Z2265" s="207"/>
      <c r="AA2265" s="284"/>
      <c r="AB2265" s="284"/>
      <c r="AC2265" s="284"/>
      <c r="AD2265" s="284"/>
      <c r="AE2265" s="284"/>
      <c r="AF2265" s="284"/>
      <c r="AG2265" s="284"/>
    </row>
    <row r="2266" spans="1:33" ht="26.4">
      <c r="A2266" s="284"/>
      <c r="B2266" s="284"/>
      <c r="C2266" s="284"/>
      <c r="D2266" s="284"/>
      <c r="E2266" s="284"/>
      <c r="F2266" s="284"/>
      <c r="G2266" s="284"/>
      <c r="H2266" s="284"/>
      <c r="I2266" s="284"/>
      <c r="J2266" s="375"/>
      <c r="K2266" s="375"/>
      <c r="L2266" s="375"/>
      <c r="M2266" s="368"/>
      <c r="N2266" s="368"/>
      <c r="O2266" s="370"/>
      <c r="T2266" s="349"/>
      <c r="V2266" s="378"/>
      <c r="W2266" s="64" ph="1"/>
      <c r="X2266" s="241"/>
      <c r="Y2266" s="284"/>
      <c r="Z2266" s="207"/>
      <c r="AA2266" s="284"/>
      <c r="AB2266" s="284"/>
      <c r="AC2266" s="284"/>
      <c r="AD2266" s="284"/>
      <c r="AE2266" s="284"/>
      <c r="AF2266" s="284"/>
      <c r="AG2266" s="284"/>
    </row>
    <row r="2267" spans="1:33" ht="26.4">
      <c r="A2267" s="284"/>
      <c r="B2267" s="284"/>
      <c r="C2267" s="284"/>
      <c r="D2267" s="284"/>
      <c r="E2267" s="284"/>
      <c r="F2267" s="284"/>
      <c r="G2267" s="284"/>
      <c r="H2267" s="284"/>
      <c r="I2267" s="284"/>
      <c r="J2267" s="375"/>
      <c r="K2267" s="375"/>
      <c r="L2267" s="375"/>
      <c r="M2267" s="368"/>
      <c r="N2267" s="368"/>
      <c r="O2267" s="370"/>
      <c r="T2267" s="349"/>
      <c r="V2267" s="378"/>
      <c r="W2267" s="64" ph="1"/>
      <c r="X2267" s="241"/>
      <c r="Y2267" s="284"/>
      <c r="Z2267" s="207"/>
      <c r="AA2267" s="284"/>
      <c r="AB2267" s="284"/>
      <c r="AC2267" s="284"/>
      <c r="AD2267" s="284"/>
      <c r="AE2267" s="284"/>
      <c r="AF2267" s="284"/>
      <c r="AG2267" s="284"/>
    </row>
    <row r="2268" spans="1:33" ht="26.4">
      <c r="A2268" s="284"/>
      <c r="B2268" s="284"/>
      <c r="C2268" s="284"/>
      <c r="D2268" s="284"/>
      <c r="E2268" s="284"/>
      <c r="F2268" s="284"/>
      <c r="G2268" s="284"/>
      <c r="H2268" s="284"/>
      <c r="I2268" s="284"/>
      <c r="J2268" s="375"/>
      <c r="K2268" s="375"/>
      <c r="L2268" s="375"/>
      <c r="M2268" s="368"/>
      <c r="N2268" s="368"/>
      <c r="O2268" s="370"/>
      <c r="T2268" s="349"/>
      <c r="V2268" s="378"/>
      <c r="W2268" s="64" ph="1"/>
      <c r="X2268" s="241"/>
      <c r="Y2268" s="284"/>
      <c r="Z2268" s="207"/>
      <c r="AA2268" s="284"/>
      <c r="AB2268" s="284"/>
      <c r="AC2268" s="284"/>
      <c r="AD2268" s="284"/>
      <c r="AE2268" s="284"/>
      <c r="AF2268" s="284"/>
      <c r="AG2268" s="284"/>
    </row>
    <row r="2269" spans="1:33" ht="26.4">
      <c r="A2269" s="284"/>
      <c r="B2269" s="284"/>
      <c r="C2269" s="284"/>
      <c r="D2269" s="284"/>
      <c r="E2269" s="284"/>
      <c r="F2269" s="284"/>
      <c r="G2269" s="284"/>
      <c r="H2269" s="284"/>
      <c r="I2269" s="284"/>
      <c r="J2269" s="375"/>
      <c r="K2269" s="375"/>
      <c r="L2269" s="375"/>
      <c r="M2269" s="368"/>
      <c r="N2269" s="368"/>
      <c r="O2269" s="370"/>
      <c r="T2269" s="349"/>
      <c r="V2269" s="378"/>
      <c r="W2269" s="64" ph="1"/>
      <c r="X2269" s="241"/>
      <c r="Y2269" s="284"/>
      <c r="Z2269" s="207"/>
      <c r="AA2269" s="284"/>
      <c r="AB2269" s="284"/>
      <c r="AC2269" s="284"/>
      <c r="AD2269" s="284"/>
      <c r="AE2269" s="284"/>
      <c r="AF2269" s="284"/>
      <c r="AG2269" s="284"/>
    </row>
    <row r="2270" spans="1:33" ht="26.4">
      <c r="A2270" s="284"/>
      <c r="B2270" s="284"/>
      <c r="C2270" s="284"/>
      <c r="D2270" s="284"/>
      <c r="E2270" s="284"/>
      <c r="F2270" s="284"/>
      <c r="G2270" s="284"/>
      <c r="H2270" s="284"/>
      <c r="I2270" s="284"/>
      <c r="J2270" s="375"/>
      <c r="K2270" s="375"/>
      <c r="L2270" s="375"/>
      <c r="M2270" s="368"/>
      <c r="N2270" s="368"/>
      <c r="O2270" s="370"/>
      <c r="T2270" s="349"/>
      <c r="V2270" s="378"/>
      <c r="W2270" s="64" ph="1"/>
      <c r="X2270" s="241"/>
      <c r="Y2270" s="284"/>
      <c r="Z2270" s="207"/>
      <c r="AA2270" s="284"/>
      <c r="AB2270" s="284"/>
      <c r="AC2270" s="284"/>
      <c r="AD2270" s="284"/>
      <c r="AE2270" s="284"/>
      <c r="AF2270" s="284"/>
      <c r="AG2270" s="284"/>
    </row>
    <row r="2271" spans="1:33" ht="26.4">
      <c r="A2271" s="284"/>
      <c r="B2271" s="284"/>
      <c r="C2271" s="284"/>
      <c r="D2271" s="284"/>
      <c r="E2271" s="284"/>
      <c r="F2271" s="284"/>
      <c r="G2271" s="284"/>
      <c r="H2271" s="284"/>
      <c r="I2271" s="284"/>
      <c r="J2271" s="375"/>
      <c r="K2271" s="375"/>
      <c r="L2271" s="375"/>
      <c r="M2271" s="368"/>
      <c r="N2271" s="368"/>
      <c r="O2271" s="370"/>
      <c r="T2271" s="349"/>
      <c r="V2271" s="378"/>
      <c r="W2271" s="64" ph="1"/>
      <c r="X2271" s="241"/>
      <c r="Y2271" s="284"/>
      <c r="Z2271" s="207"/>
      <c r="AA2271" s="284"/>
      <c r="AB2271" s="284"/>
      <c r="AC2271" s="284"/>
      <c r="AD2271" s="284"/>
      <c r="AE2271" s="284"/>
      <c r="AF2271" s="284"/>
      <c r="AG2271" s="284"/>
    </row>
    <row r="2272" spans="1:33" ht="26.4">
      <c r="O2272" s="370"/>
      <c r="W2272" s="64" ph="1"/>
    </row>
    <row r="2273" spans="15:23" ht="26.4">
      <c r="O2273" s="370"/>
      <c r="W2273" s="64" ph="1"/>
    </row>
    <row r="2274" spans="15:23" ht="26.4">
      <c r="O2274" s="370"/>
      <c r="W2274" s="64" ph="1"/>
    </row>
    <row r="2275" spans="15:23" ht="26.4">
      <c r="O2275" s="370"/>
      <c r="W2275" s="64" ph="1"/>
    </row>
    <row r="2276" spans="15:23" ht="26.4">
      <c r="O2276" s="370"/>
      <c r="W2276" s="64" ph="1"/>
    </row>
    <row r="2277" spans="15:23" ht="26.4">
      <c r="O2277" s="370"/>
      <c r="W2277" s="64" ph="1"/>
    </row>
    <row r="2278" spans="15:23" ht="26.4">
      <c r="O2278" s="370"/>
      <c r="W2278" s="64" ph="1"/>
    </row>
    <row r="2279" spans="15:23" ht="26.4">
      <c r="O2279" s="370"/>
      <c r="W2279" s="64" ph="1"/>
    </row>
    <row r="2280" spans="15:23" ht="26.4">
      <c r="O2280" s="370"/>
      <c r="W2280" s="64" ph="1"/>
    </row>
    <row r="2281" spans="15:23" ht="26.4">
      <c r="O2281" s="370"/>
      <c r="W2281" s="64" ph="1"/>
    </row>
    <row r="2282" spans="15:23" ht="26.4">
      <c r="O2282" s="370"/>
      <c r="W2282" s="64" ph="1"/>
    </row>
    <row r="2283" spans="15:23" ht="26.4">
      <c r="O2283" s="370"/>
      <c r="W2283" s="64" ph="1"/>
    </row>
    <row r="2284" spans="15:23" ht="26.4">
      <c r="W2284" s="64" ph="1"/>
    </row>
    <row r="2285" spans="15:23" ht="26.4">
      <c r="W2285" s="64" ph="1"/>
    </row>
    <row r="2286" spans="15:23" ht="26.4">
      <c r="W2286" s="64" ph="1"/>
    </row>
    <row r="2287" spans="15:23" ht="26.4">
      <c r="W2287" s="64" ph="1"/>
    </row>
    <row r="2288" spans="15:23" ht="26.4">
      <c r="W2288" s="64" ph="1"/>
    </row>
    <row r="2289" spans="23:23" ht="26.4">
      <c r="W2289" s="64" ph="1"/>
    </row>
    <row r="2290" spans="23:23" ht="26.4">
      <c r="W2290" s="64" ph="1"/>
    </row>
    <row r="2291" spans="23:23" ht="26.4">
      <c r="W2291" s="64" ph="1"/>
    </row>
    <row r="2292" spans="23:23" ht="26.4">
      <c r="W2292" s="64" ph="1"/>
    </row>
    <row r="2293" spans="23:23" ht="26.4">
      <c r="W2293" s="64" ph="1"/>
    </row>
    <row r="2294" spans="23:23" ht="26.4">
      <c r="W2294" s="64" ph="1"/>
    </row>
    <row r="2295" spans="23:23" ht="26.4">
      <c r="W2295" s="64" ph="1"/>
    </row>
    <row r="2296" spans="23:23" ht="26.4">
      <c r="W2296" s="64" ph="1"/>
    </row>
    <row r="2297" spans="23:23" ht="26.4">
      <c r="W2297" s="64" ph="1"/>
    </row>
    <row r="2298" spans="23:23" ht="26.4">
      <c r="W2298" s="64" ph="1"/>
    </row>
    <row r="2299" spans="23:23" ht="26.4">
      <c r="W2299" s="64" ph="1"/>
    </row>
    <row r="2300" spans="23:23" ht="26.4">
      <c r="W2300" s="64" ph="1"/>
    </row>
    <row r="2301" spans="23:23" ht="26.4">
      <c r="W2301" s="64" ph="1"/>
    </row>
    <row r="2302" spans="23:23" ht="26.4">
      <c r="W2302" s="64" ph="1"/>
    </row>
    <row r="2303" spans="23:23" ht="26.4">
      <c r="W2303" s="64" ph="1"/>
    </row>
    <row r="2304" spans="23:23" ht="26.4">
      <c r="W2304" s="64" ph="1"/>
    </row>
    <row r="2305" spans="23:23" ht="26.4">
      <c r="W2305" s="64" ph="1"/>
    </row>
    <row r="2306" spans="23:23" ht="26.4">
      <c r="W2306" s="64" ph="1"/>
    </row>
    <row r="2307" spans="23:23" ht="26.4">
      <c r="W2307" s="64" ph="1"/>
    </row>
    <row r="2308" spans="23:23" ht="26.4">
      <c r="W2308" s="64" ph="1"/>
    </row>
    <row r="2309" spans="23:23" ht="26.4">
      <c r="W2309" s="64" ph="1"/>
    </row>
    <row r="2310" spans="23:23" ht="26.4">
      <c r="W2310" s="64" ph="1"/>
    </row>
    <row r="2311" spans="23:23" ht="26.4">
      <c r="W2311" s="64" ph="1"/>
    </row>
    <row r="2312" spans="23:23" ht="26.4">
      <c r="W2312" s="64" ph="1"/>
    </row>
    <row r="2313" spans="23:23" ht="26.4">
      <c r="W2313" s="64" ph="1"/>
    </row>
    <row r="2314" spans="23:23" ht="26.4">
      <c r="W2314" s="64" ph="1"/>
    </row>
    <row r="2315" spans="23:23" ht="26.4">
      <c r="W2315" s="64" ph="1"/>
    </row>
    <row r="2316" spans="23:23" ht="26.4">
      <c r="W2316" s="64" ph="1"/>
    </row>
    <row r="2317" spans="23:23" ht="26.4">
      <c r="W2317" s="64" ph="1"/>
    </row>
    <row r="2318" spans="23:23" ht="26.4">
      <c r="W2318" s="64" ph="1"/>
    </row>
    <row r="2319" spans="23:23" ht="26.4">
      <c r="W2319" s="64" ph="1"/>
    </row>
    <row r="2320" spans="23:23" ht="26.4">
      <c r="W2320" s="64" ph="1"/>
    </row>
    <row r="2321" spans="23:23" ht="26.4">
      <c r="W2321" s="64" ph="1"/>
    </row>
    <row r="2322" spans="23:23" ht="26.4">
      <c r="W2322" s="64" ph="1"/>
    </row>
    <row r="2323" spans="23:23" ht="26.4">
      <c r="W2323" s="64" ph="1"/>
    </row>
    <row r="2324" spans="23:23" ht="26.4">
      <c r="W2324" s="64" ph="1"/>
    </row>
    <row r="2325" spans="23:23" ht="26.4">
      <c r="W2325" s="64" ph="1"/>
    </row>
    <row r="2326" spans="23:23" ht="26.4">
      <c r="W2326" s="64" ph="1"/>
    </row>
    <row r="2327" spans="23:23" ht="26.4">
      <c r="W2327" s="64" ph="1"/>
    </row>
    <row r="2328" spans="23:23" ht="26.4">
      <c r="W2328" s="64" ph="1"/>
    </row>
    <row r="2329" spans="23:23" ht="26.4">
      <c r="W2329" s="64" ph="1"/>
    </row>
    <row r="2330" spans="23:23" ht="26.4">
      <c r="W2330" s="64" ph="1"/>
    </row>
    <row r="2331" spans="23:23" ht="26.4">
      <c r="W2331" s="64" ph="1"/>
    </row>
    <row r="2332" spans="23:23" ht="26.4">
      <c r="W2332" s="64" ph="1"/>
    </row>
    <row r="2333" spans="23:23" ht="26.4">
      <c r="W2333" s="64" ph="1"/>
    </row>
    <row r="2334" spans="23:23" ht="26.4">
      <c r="W2334" s="64" ph="1"/>
    </row>
    <row r="2335" spans="23:23" ht="26.4">
      <c r="W2335" s="64" ph="1"/>
    </row>
    <row r="2336" spans="23:23" ht="26.4">
      <c r="W2336" s="64" ph="1"/>
    </row>
    <row r="2337" spans="23:23" ht="26.4">
      <c r="W2337" s="64" ph="1"/>
    </row>
    <row r="2338" spans="23:23" ht="26.4">
      <c r="W2338" s="64" ph="1"/>
    </row>
    <row r="2339" spans="23:23" ht="26.4">
      <c r="W2339" s="64" ph="1"/>
    </row>
    <row r="2340" spans="23:23" ht="26.4">
      <c r="W2340" s="64" ph="1"/>
    </row>
    <row r="2341" spans="23:23" ht="26.4">
      <c r="W2341" s="64" ph="1"/>
    </row>
    <row r="2342" spans="23:23" ht="26.4">
      <c r="W2342" s="64" ph="1"/>
    </row>
    <row r="2343" spans="23:23" ht="26.4">
      <c r="W2343" s="64" ph="1"/>
    </row>
    <row r="2344" spans="23:23" ht="26.4">
      <c r="W2344" s="64" ph="1"/>
    </row>
    <row r="2345" spans="23:23" ht="26.4">
      <c r="W2345" s="64" ph="1"/>
    </row>
    <row r="2346" spans="23:23" ht="26.4">
      <c r="W2346" s="64" ph="1"/>
    </row>
    <row r="2347" spans="23:23" ht="26.4">
      <c r="W2347" s="64" ph="1"/>
    </row>
    <row r="2348" spans="23:23" ht="26.4">
      <c r="W2348" s="64" ph="1"/>
    </row>
    <row r="2349" spans="23:23" ht="26.4">
      <c r="W2349" s="64" ph="1"/>
    </row>
    <row r="2350" spans="23:23" ht="26.4">
      <c r="W2350" s="64" ph="1"/>
    </row>
    <row r="2351" spans="23:23" ht="26.4">
      <c r="W2351" s="64" ph="1"/>
    </row>
    <row r="2352" spans="23:23" ht="26.4">
      <c r="W2352" s="64" ph="1"/>
    </row>
    <row r="2353" spans="23:23" ht="26.4">
      <c r="W2353" s="64" ph="1"/>
    </row>
    <row r="2354" spans="23:23" ht="26.4">
      <c r="W2354" s="64" ph="1"/>
    </row>
    <row r="2355" spans="23:23" ht="26.4">
      <c r="W2355" s="64" ph="1"/>
    </row>
    <row r="2356" spans="23:23" ht="26.4">
      <c r="W2356" s="64" ph="1"/>
    </row>
    <row r="2357" spans="23:23" ht="26.4">
      <c r="W2357" s="64" ph="1"/>
    </row>
    <row r="2358" spans="23:23" ht="26.4">
      <c r="W2358" s="64" ph="1"/>
    </row>
    <row r="2359" spans="23:23" ht="26.4">
      <c r="W2359" s="64" ph="1"/>
    </row>
    <row r="2360" spans="23:23" ht="26.4">
      <c r="W2360" s="64" ph="1"/>
    </row>
    <row r="2361" spans="23:23" ht="26.4">
      <c r="W2361" s="64" ph="1"/>
    </row>
    <row r="2362" spans="23:23" ht="26.4">
      <c r="W2362" s="64" ph="1"/>
    </row>
    <row r="2363" spans="23:23" ht="26.4">
      <c r="W2363" s="64" ph="1"/>
    </row>
    <row r="2364" spans="23:23" ht="26.4">
      <c r="W2364" s="64" ph="1"/>
    </row>
    <row r="2365" spans="23:23" ht="26.4">
      <c r="W2365" s="64" ph="1"/>
    </row>
    <row r="2366" spans="23:23" ht="26.4">
      <c r="W2366" s="64" ph="1"/>
    </row>
    <row r="2367" spans="23:23" ht="26.4">
      <c r="W2367" s="64" ph="1"/>
    </row>
    <row r="2368" spans="23:23" ht="26.4">
      <c r="W2368" s="64" ph="1"/>
    </row>
    <row r="2369" spans="23:23" ht="26.4">
      <c r="W2369" s="64" ph="1"/>
    </row>
    <row r="2370" spans="23:23" ht="26.4">
      <c r="W2370" s="64" ph="1"/>
    </row>
    <row r="2371" spans="23:23" ht="26.4">
      <c r="W2371" s="64" ph="1"/>
    </row>
    <row r="2372" spans="23:23" ht="26.4">
      <c r="W2372" s="64" ph="1"/>
    </row>
    <row r="2373" spans="23:23" ht="26.4">
      <c r="W2373" s="64" ph="1"/>
    </row>
    <row r="2374" spans="23:23" ht="26.4">
      <c r="W2374" s="64" ph="1"/>
    </row>
    <row r="2375" spans="23:23" ht="26.4">
      <c r="W2375" s="64" ph="1"/>
    </row>
    <row r="2376" spans="23:23" ht="26.4">
      <c r="W2376" s="64" ph="1"/>
    </row>
    <row r="2377" spans="23:23" ht="26.4">
      <c r="W2377" s="64" ph="1"/>
    </row>
    <row r="2378" spans="23:23" ht="26.4">
      <c r="W2378" s="64" ph="1"/>
    </row>
    <row r="2379" spans="23:23" ht="26.4">
      <c r="W2379" s="64" ph="1"/>
    </row>
    <row r="2380" spans="23:23" ht="26.4">
      <c r="W2380" s="64" ph="1"/>
    </row>
    <row r="2381" spans="23:23" ht="26.4">
      <c r="W2381" s="64" ph="1"/>
    </row>
    <row r="2382" spans="23:23" ht="26.4">
      <c r="W2382" s="64" ph="1"/>
    </row>
    <row r="2383" spans="23:23" ht="26.4">
      <c r="W2383" s="64" ph="1"/>
    </row>
    <row r="2384" spans="23:23" ht="26.4">
      <c r="W2384" s="64" ph="1"/>
    </row>
    <row r="2385" spans="23:23" ht="26.4">
      <c r="W2385" s="64" ph="1"/>
    </row>
    <row r="2386" spans="23:23" ht="26.4">
      <c r="W2386" s="64" ph="1"/>
    </row>
    <row r="2387" spans="23:23" ht="26.4">
      <c r="W2387" s="64" ph="1"/>
    </row>
    <row r="2388" spans="23:23" ht="26.4">
      <c r="W2388" s="64" ph="1"/>
    </row>
    <row r="2389" spans="23:23" ht="26.4">
      <c r="W2389" s="64" ph="1"/>
    </row>
    <row r="2390" spans="23:23" ht="26.4">
      <c r="W2390" s="64" ph="1"/>
    </row>
    <row r="2391" spans="23:23" ht="26.4">
      <c r="W2391" s="64" ph="1"/>
    </row>
    <row r="2392" spans="23:23" ht="26.4">
      <c r="W2392" s="64" ph="1"/>
    </row>
    <row r="2393" spans="23:23" ht="26.4">
      <c r="W2393" s="64" ph="1"/>
    </row>
    <row r="2394" spans="23:23" ht="26.4">
      <c r="W2394" s="64" ph="1"/>
    </row>
    <row r="2395" spans="23:23" ht="26.4">
      <c r="W2395" s="64" ph="1"/>
    </row>
    <row r="2396" spans="23:23" ht="26.4">
      <c r="W2396" s="64" ph="1"/>
    </row>
    <row r="2397" spans="23:23" ht="26.4">
      <c r="W2397" s="64" ph="1"/>
    </row>
    <row r="2398" spans="23:23" ht="26.4">
      <c r="W2398" s="64" ph="1"/>
    </row>
    <row r="2399" spans="23:23" ht="26.4">
      <c r="W2399" s="64" ph="1"/>
    </row>
    <row r="2400" spans="23:23" ht="26.4">
      <c r="W2400" s="64" ph="1"/>
    </row>
    <row r="2401" spans="23:23" ht="26.4">
      <c r="W2401" s="64" ph="1"/>
    </row>
    <row r="2402" spans="23:23" ht="26.4">
      <c r="W2402" s="64" ph="1"/>
    </row>
    <row r="2403" spans="23:23" ht="26.4">
      <c r="W2403" s="64" ph="1"/>
    </row>
    <row r="2404" spans="23:23" ht="26.4">
      <c r="W2404" s="64" ph="1"/>
    </row>
    <row r="2405" spans="23:23" ht="26.4">
      <c r="W2405" s="64" ph="1"/>
    </row>
    <row r="2406" spans="23:23" ht="26.4">
      <c r="W2406" s="64" ph="1"/>
    </row>
    <row r="2407" spans="23:23" ht="26.4">
      <c r="W2407" s="64" ph="1"/>
    </row>
    <row r="2408" spans="23:23" ht="26.4">
      <c r="W2408" s="64" ph="1"/>
    </row>
    <row r="2409" spans="23:23" ht="26.4">
      <c r="W2409" s="64" ph="1"/>
    </row>
    <row r="2410" spans="23:23" ht="26.4">
      <c r="W2410" s="64" ph="1"/>
    </row>
    <row r="2411" spans="23:23" ht="26.4">
      <c r="W2411" s="64" ph="1"/>
    </row>
    <row r="2412" spans="23:23" ht="26.4">
      <c r="W2412" s="64" ph="1"/>
    </row>
    <row r="2413" spans="23:23" ht="26.4">
      <c r="W2413" s="64" ph="1"/>
    </row>
    <row r="2414" spans="23:23" ht="26.4">
      <c r="W2414" s="64" ph="1"/>
    </row>
    <row r="2415" spans="23:23" ht="26.4">
      <c r="W2415" s="64" ph="1"/>
    </row>
    <row r="2416" spans="23:23" ht="26.4">
      <c r="W2416" s="64" ph="1"/>
    </row>
    <row r="2417" spans="23:23" ht="26.4">
      <c r="W2417" s="64" ph="1"/>
    </row>
    <row r="2418" spans="23:23" ht="26.4">
      <c r="W2418" s="64" ph="1"/>
    </row>
    <row r="2419" spans="23:23" ht="26.4">
      <c r="W2419" s="64" ph="1"/>
    </row>
    <row r="2420" spans="23:23" ht="26.4">
      <c r="W2420" s="64" ph="1"/>
    </row>
    <row r="2421" spans="23:23" ht="26.4">
      <c r="W2421" s="64" ph="1"/>
    </row>
    <row r="2422" spans="23:23" ht="26.4">
      <c r="W2422" s="64" ph="1"/>
    </row>
    <row r="2423" spans="23:23" ht="26.4">
      <c r="W2423" s="64" ph="1"/>
    </row>
    <row r="2424" spans="23:23" ht="26.4">
      <c r="W2424" s="64" ph="1"/>
    </row>
    <row r="2425" spans="23:23" ht="26.4">
      <c r="W2425" s="64" ph="1"/>
    </row>
    <row r="2426" spans="23:23" ht="26.4">
      <c r="W2426" s="64" ph="1"/>
    </row>
    <row r="2427" spans="23:23" ht="26.4">
      <c r="W2427" s="64" ph="1"/>
    </row>
    <row r="2428" spans="23:23" ht="26.4">
      <c r="W2428" s="64" ph="1"/>
    </row>
    <row r="2429" spans="23:23" ht="26.4">
      <c r="W2429" s="64" ph="1"/>
    </row>
    <row r="2430" spans="23:23" ht="26.4">
      <c r="W2430" s="64" ph="1"/>
    </row>
    <row r="2431" spans="23:23" ht="26.4">
      <c r="W2431" s="64" ph="1"/>
    </row>
    <row r="2432" spans="23:23" ht="26.4">
      <c r="W2432" s="64" ph="1"/>
    </row>
    <row r="2433" spans="23:23" ht="26.4">
      <c r="W2433" s="64" ph="1"/>
    </row>
    <row r="2434" spans="23:23" ht="26.4">
      <c r="W2434" s="64" ph="1"/>
    </row>
    <row r="2435" spans="23:23" ht="26.4">
      <c r="W2435" s="64" ph="1"/>
    </row>
    <row r="2436" spans="23:23" ht="26.4">
      <c r="W2436" s="64" ph="1"/>
    </row>
    <row r="2437" spans="23:23" ht="26.4">
      <c r="W2437" s="64" ph="1"/>
    </row>
    <row r="2438" spans="23:23" ht="26.4">
      <c r="W2438" s="64" ph="1"/>
    </row>
    <row r="2439" spans="23:23" ht="26.4">
      <c r="W2439" s="64" ph="1"/>
    </row>
    <row r="2440" spans="23:23" ht="26.4">
      <c r="W2440" s="64" ph="1"/>
    </row>
    <row r="2441" spans="23:23" ht="26.4">
      <c r="W2441" s="64" ph="1"/>
    </row>
    <row r="2442" spans="23:23" ht="26.4">
      <c r="W2442" s="64" ph="1"/>
    </row>
    <row r="2443" spans="23:23" ht="26.4">
      <c r="W2443" s="64" ph="1"/>
    </row>
    <row r="2444" spans="23:23" ht="26.4">
      <c r="W2444" s="64" ph="1"/>
    </row>
    <row r="2445" spans="23:23" ht="26.4">
      <c r="W2445" s="64" ph="1"/>
    </row>
    <row r="2446" spans="23:23" ht="26.4">
      <c r="W2446" s="64" ph="1"/>
    </row>
    <row r="2447" spans="23:23" ht="26.4">
      <c r="W2447" s="64" ph="1"/>
    </row>
    <row r="2448" spans="23:23" ht="26.4">
      <c r="W2448" s="64" ph="1"/>
    </row>
    <row r="2449" spans="23:23" ht="26.4">
      <c r="W2449" s="64" ph="1"/>
    </row>
    <row r="2450" spans="23:23" ht="26.4">
      <c r="W2450" s="64" ph="1"/>
    </row>
    <row r="2451" spans="23:23" ht="26.4">
      <c r="W2451" s="64" ph="1"/>
    </row>
    <row r="2452" spans="23:23" ht="26.4">
      <c r="W2452" s="64" ph="1"/>
    </row>
    <row r="2453" spans="23:23" ht="26.4">
      <c r="W2453" s="64" ph="1"/>
    </row>
    <row r="2454" spans="23:23" ht="26.4">
      <c r="W2454" s="64" ph="1"/>
    </row>
    <row r="2455" spans="23:23" ht="26.4">
      <c r="W2455" s="64" ph="1"/>
    </row>
    <row r="2456" spans="23:23" ht="26.4">
      <c r="W2456" s="64" ph="1"/>
    </row>
    <row r="2457" spans="23:23" ht="26.4">
      <c r="W2457" s="64" ph="1"/>
    </row>
    <row r="2458" spans="23:23" ht="26.4">
      <c r="W2458" s="64" ph="1"/>
    </row>
    <row r="2459" spans="23:23" ht="26.4">
      <c r="W2459" s="64" ph="1"/>
    </row>
    <row r="2460" spans="23:23" ht="26.4">
      <c r="W2460" s="64" ph="1"/>
    </row>
    <row r="2461" spans="23:23" ht="26.4">
      <c r="W2461" s="64" ph="1"/>
    </row>
    <row r="2462" spans="23:23" ht="26.4">
      <c r="W2462" s="64" ph="1"/>
    </row>
    <row r="2463" spans="23:23" ht="26.4">
      <c r="W2463" s="64" ph="1"/>
    </row>
    <row r="2464" spans="23:23" ht="26.4">
      <c r="W2464" s="64" ph="1"/>
    </row>
    <row r="2465" spans="23:23" ht="26.4">
      <c r="W2465" s="64" ph="1"/>
    </row>
    <row r="2466" spans="23:23" ht="26.4">
      <c r="W2466" s="64" ph="1"/>
    </row>
    <row r="2467" spans="23:23" ht="26.4">
      <c r="W2467" s="64" ph="1"/>
    </row>
    <row r="2468" spans="23:23" ht="26.4">
      <c r="W2468" s="64" ph="1"/>
    </row>
    <row r="2469" spans="23:23" ht="26.4">
      <c r="W2469" s="64" ph="1"/>
    </row>
    <row r="2470" spans="23:23" ht="26.4">
      <c r="W2470" s="64" ph="1"/>
    </row>
    <row r="2471" spans="23:23" ht="26.4">
      <c r="W2471" s="64" ph="1"/>
    </row>
    <row r="2472" spans="23:23" ht="26.4">
      <c r="W2472" s="64" ph="1"/>
    </row>
    <row r="2473" spans="23:23" ht="26.4">
      <c r="W2473" s="64" ph="1"/>
    </row>
    <row r="2474" spans="23:23" ht="26.4">
      <c r="W2474" s="64" ph="1"/>
    </row>
    <row r="2475" spans="23:23" ht="26.4">
      <c r="W2475" s="64" ph="1"/>
    </row>
    <row r="2476" spans="23:23" ht="26.4">
      <c r="W2476" s="64" ph="1"/>
    </row>
    <row r="2477" spans="23:23" ht="26.4">
      <c r="W2477" s="64" ph="1"/>
    </row>
    <row r="2478" spans="23:23" ht="26.4">
      <c r="W2478" s="64" ph="1"/>
    </row>
    <row r="2479" spans="23:23" ht="26.4">
      <c r="W2479" s="64" ph="1"/>
    </row>
    <row r="2480" spans="23:23" ht="26.4">
      <c r="W2480" s="64" ph="1"/>
    </row>
    <row r="2481" spans="23:23" ht="26.4">
      <c r="W2481" s="64" ph="1"/>
    </row>
    <row r="2482" spans="23:23" ht="26.4">
      <c r="W2482" s="64" ph="1"/>
    </row>
    <row r="2483" spans="23:23" ht="26.4">
      <c r="W2483" s="64" ph="1"/>
    </row>
    <row r="2484" spans="23:23" ht="26.4">
      <c r="W2484" s="64" ph="1"/>
    </row>
    <row r="2485" spans="23:23" ht="26.4">
      <c r="W2485" s="64" ph="1"/>
    </row>
    <row r="2486" spans="23:23" ht="26.4">
      <c r="W2486" s="64" ph="1"/>
    </row>
    <row r="2487" spans="23:23" ht="26.4">
      <c r="W2487" s="64" ph="1"/>
    </row>
    <row r="2488" spans="23:23" ht="26.4">
      <c r="W2488" s="64" ph="1"/>
    </row>
    <row r="2489" spans="23:23" ht="26.4">
      <c r="W2489" s="64" ph="1"/>
    </row>
    <row r="2490" spans="23:23" ht="26.4">
      <c r="W2490" s="64" ph="1"/>
    </row>
    <row r="2491" spans="23:23" ht="26.4">
      <c r="W2491" s="64" ph="1"/>
    </row>
    <row r="2492" spans="23:23" ht="26.4">
      <c r="W2492" s="64" ph="1"/>
    </row>
    <row r="2493" spans="23:23" ht="26.4">
      <c r="W2493" s="64" ph="1"/>
    </row>
    <row r="2494" spans="23:23" ht="26.4">
      <c r="W2494" s="64" ph="1"/>
    </row>
    <row r="2495" spans="23:23" ht="26.4">
      <c r="W2495" s="64" ph="1"/>
    </row>
    <row r="2496" spans="23:23" ht="26.4">
      <c r="W2496" s="64" ph="1"/>
    </row>
    <row r="2497" spans="23:23" ht="26.4">
      <c r="W2497" s="64" ph="1"/>
    </row>
    <row r="2498" spans="23:23" ht="26.4">
      <c r="W2498" s="64" ph="1"/>
    </row>
    <row r="2499" spans="23:23" ht="26.4">
      <c r="W2499" s="64" ph="1"/>
    </row>
    <row r="2500" spans="23:23" ht="26.4">
      <c r="W2500" s="64" ph="1"/>
    </row>
    <row r="2501" spans="23:23" ht="26.4">
      <c r="W2501" s="64" ph="1"/>
    </row>
    <row r="2502" spans="23:23" ht="26.4">
      <c r="W2502" s="64" ph="1"/>
    </row>
    <row r="2503" spans="23:23" ht="26.4">
      <c r="W2503" s="64" ph="1"/>
    </row>
    <row r="2504" spans="23:23" ht="26.4">
      <c r="W2504" s="64" ph="1"/>
    </row>
    <row r="2505" spans="23:23" ht="26.4">
      <c r="W2505" s="64" ph="1"/>
    </row>
    <row r="2506" spans="23:23" ht="26.4">
      <c r="W2506" s="64" ph="1"/>
    </row>
    <row r="2507" spans="23:23" ht="26.4">
      <c r="W2507" s="64" ph="1"/>
    </row>
    <row r="2508" spans="23:23" ht="26.4">
      <c r="W2508" s="64" ph="1"/>
    </row>
    <row r="2509" spans="23:23" ht="26.4">
      <c r="W2509" s="64" ph="1"/>
    </row>
    <row r="2510" spans="23:23" ht="26.4">
      <c r="W2510" s="64" ph="1"/>
    </row>
    <row r="2511" spans="23:23" ht="26.4">
      <c r="W2511" s="64" ph="1"/>
    </row>
    <row r="2512" spans="23:23" ht="26.4">
      <c r="W2512" s="64" ph="1"/>
    </row>
    <row r="2513" spans="23:23" ht="26.4">
      <c r="W2513" s="64" ph="1"/>
    </row>
    <row r="2514" spans="23:23" ht="26.4">
      <c r="W2514" s="64" ph="1"/>
    </row>
    <row r="2515" spans="23:23" ht="26.4">
      <c r="W2515" s="64" ph="1"/>
    </row>
    <row r="2516" spans="23:23" ht="26.4">
      <c r="W2516" s="64" ph="1"/>
    </row>
    <row r="2517" spans="23:23" ht="26.4">
      <c r="W2517" s="64" ph="1"/>
    </row>
    <row r="2518" spans="23:23" ht="26.4">
      <c r="W2518" s="64" ph="1"/>
    </row>
    <row r="2519" spans="23:23" ht="26.4">
      <c r="W2519" s="64" ph="1"/>
    </row>
    <row r="2520" spans="23:23" ht="26.4">
      <c r="W2520" s="64" ph="1"/>
    </row>
    <row r="2521" spans="23:23" ht="26.4">
      <c r="W2521" s="64" ph="1"/>
    </row>
    <row r="2522" spans="23:23" ht="26.4">
      <c r="W2522" s="64" ph="1"/>
    </row>
    <row r="2523" spans="23:23" ht="26.4">
      <c r="W2523" s="64" ph="1"/>
    </row>
    <row r="2524" spans="23:23" ht="26.4">
      <c r="W2524" s="64" ph="1"/>
    </row>
    <row r="2525" spans="23:23" ht="26.4">
      <c r="W2525" s="64" ph="1"/>
    </row>
    <row r="2526" spans="23:23" ht="26.4">
      <c r="W2526" s="64" ph="1"/>
    </row>
    <row r="2527" spans="23:23" ht="26.4">
      <c r="W2527" s="64" ph="1"/>
    </row>
    <row r="2528" spans="23:23" ht="26.4">
      <c r="W2528" s="64" ph="1"/>
    </row>
    <row r="2529" spans="23:23" ht="26.4">
      <c r="W2529" s="64" ph="1"/>
    </row>
    <row r="2530" spans="23:23" ht="26.4">
      <c r="W2530" s="64" ph="1"/>
    </row>
    <row r="2531" spans="23:23" ht="26.4">
      <c r="W2531" s="64" ph="1"/>
    </row>
    <row r="2532" spans="23:23" ht="26.4">
      <c r="W2532" s="64" ph="1"/>
    </row>
    <row r="2533" spans="23:23" ht="26.4">
      <c r="W2533" s="64" ph="1"/>
    </row>
    <row r="2534" spans="23:23" ht="26.4">
      <c r="W2534" s="64" ph="1"/>
    </row>
    <row r="2535" spans="23:23" ht="26.4">
      <c r="W2535" s="64" ph="1"/>
    </row>
    <row r="2536" spans="23:23" ht="26.4">
      <c r="W2536" s="64" ph="1"/>
    </row>
    <row r="2537" spans="23:23" ht="26.4">
      <c r="W2537" s="64" ph="1"/>
    </row>
    <row r="2538" spans="23:23" ht="26.4">
      <c r="W2538" s="64" ph="1"/>
    </row>
    <row r="2539" spans="23:23" ht="26.4">
      <c r="W2539" s="64" ph="1"/>
    </row>
    <row r="2540" spans="23:23" ht="26.4">
      <c r="W2540" s="64" ph="1"/>
    </row>
    <row r="2541" spans="23:23" ht="26.4">
      <c r="W2541" s="64" ph="1"/>
    </row>
    <row r="2542" spans="23:23" ht="26.4">
      <c r="W2542" s="64" ph="1"/>
    </row>
    <row r="2543" spans="23:23" ht="26.4">
      <c r="W2543" s="64" ph="1"/>
    </row>
    <row r="2544" spans="23:23" ht="26.4">
      <c r="W2544" s="64" ph="1"/>
    </row>
    <row r="2545" spans="23:23" ht="26.4">
      <c r="W2545" s="64" ph="1"/>
    </row>
    <row r="2546" spans="23:23" ht="26.4">
      <c r="W2546" s="64" ph="1"/>
    </row>
    <row r="2547" spans="23:23" ht="26.4">
      <c r="W2547" s="64" ph="1"/>
    </row>
    <row r="2548" spans="23:23" ht="26.4">
      <c r="W2548" s="64" ph="1"/>
    </row>
    <row r="2549" spans="23:23" ht="26.4">
      <c r="W2549" s="64" ph="1"/>
    </row>
    <row r="2550" spans="23:23" ht="26.4">
      <c r="W2550" s="64" ph="1"/>
    </row>
    <row r="2551" spans="23:23" ht="26.4">
      <c r="W2551" s="64" ph="1"/>
    </row>
    <row r="2552" spans="23:23" ht="26.4">
      <c r="W2552" s="64" ph="1"/>
    </row>
    <row r="2553" spans="23:23" ht="26.4">
      <c r="W2553" s="64" ph="1"/>
    </row>
    <row r="2554" spans="23:23" ht="26.4">
      <c r="W2554" s="64" ph="1"/>
    </row>
    <row r="2555" spans="23:23" ht="26.4">
      <c r="W2555" s="64" ph="1"/>
    </row>
    <row r="2556" spans="23:23" ht="26.4">
      <c r="W2556" s="64" ph="1"/>
    </row>
    <row r="2557" spans="23:23" ht="26.4">
      <c r="W2557" s="64" ph="1"/>
    </row>
    <row r="2558" spans="23:23" ht="26.4">
      <c r="W2558" s="64" ph="1"/>
    </row>
    <row r="2559" spans="23:23" ht="26.4">
      <c r="W2559" s="64" ph="1"/>
    </row>
    <row r="2560" spans="23:23" ht="26.4">
      <c r="W2560" s="64" ph="1"/>
    </row>
    <row r="2561" spans="23:23" ht="26.4">
      <c r="W2561" s="64" ph="1"/>
    </row>
    <row r="2562" spans="23:23" ht="26.4">
      <c r="W2562" s="64" ph="1"/>
    </row>
    <row r="2563" spans="23:23" ht="26.4">
      <c r="W2563" s="64" ph="1"/>
    </row>
    <row r="2564" spans="23:23" ht="26.4">
      <c r="W2564" s="64" ph="1"/>
    </row>
    <row r="2565" spans="23:23" ht="26.4">
      <c r="W2565" s="64" ph="1"/>
    </row>
    <row r="2566" spans="23:23" ht="26.4">
      <c r="W2566" s="64" ph="1"/>
    </row>
    <row r="2567" spans="23:23" ht="26.4">
      <c r="W2567" s="64" ph="1"/>
    </row>
    <row r="2568" spans="23:23" ht="26.4">
      <c r="W2568" s="64" ph="1"/>
    </row>
    <row r="2569" spans="23:23" ht="26.4">
      <c r="W2569" s="64" ph="1"/>
    </row>
    <row r="2570" spans="23:23" ht="26.4">
      <c r="W2570" s="64" ph="1"/>
    </row>
    <row r="2571" spans="23:23" ht="26.4">
      <c r="W2571" s="64" ph="1"/>
    </row>
    <row r="2572" spans="23:23" ht="26.4">
      <c r="W2572" s="64" ph="1"/>
    </row>
    <row r="2573" spans="23:23" ht="26.4">
      <c r="W2573" s="64" ph="1"/>
    </row>
    <row r="2574" spans="23:23" ht="26.4">
      <c r="W2574" s="64" ph="1"/>
    </row>
    <row r="2575" spans="23:23" ht="26.4">
      <c r="W2575" s="64" ph="1"/>
    </row>
    <row r="2576" spans="23:23" ht="26.4">
      <c r="W2576" s="64" ph="1"/>
    </row>
    <row r="2577" spans="23:23" ht="26.4">
      <c r="W2577" s="64" ph="1"/>
    </row>
    <row r="2578" spans="23:23" ht="26.4">
      <c r="W2578" s="64" ph="1"/>
    </row>
    <row r="2579" spans="23:23" ht="26.4">
      <c r="W2579" s="64" ph="1"/>
    </row>
    <row r="2580" spans="23:23" ht="26.4">
      <c r="W2580" s="64" ph="1"/>
    </row>
    <row r="2581" spans="23:23" ht="26.4">
      <c r="W2581" s="64" ph="1"/>
    </row>
    <row r="2582" spans="23:23" ht="26.4">
      <c r="W2582" s="64" ph="1"/>
    </row>
    <row r="2583" spans="23:23" ht="26.4">
      <c r="W2583" s="64" ph="1"/>
    </row>
    <row r="2584" spans="23:23" ht="26.4">
      <c r="W2584" s="64" ph="1"/>
    </row>
    <row r="2585" spans="23:23" ht="26.4">
      <c r="W2585" s="64" ph="1"/>
    </row>
    <row r="2586" spans="23:23" ht="26.4">
      <c r="W2586" s="64" ph="1"/>
    </row>
    <row r="2587" spans="23:23" ht="26.4">
      <c r="W2587" s="64" ph="1"/>
    </row>
    <row r="2588" spans="23:23" ht="26.4">
      <c r="W2588" s="64" ph="1"/>
    </row>
    <row r="2589" spans="23:23" ht="26.4">
      <c r="W2589" s="64" ph="1"/>
    </row>
    <row r="2590" spans="23:23" ht="26.4">
      <c r="W2590" s="64" ph="1"/>
    </row>
    <row r="2591" spans="23:23" ht="26.4">
      <c r="W2591" s="64" ph="1"/>
    </row>
    <row r="2592" spans="23:23" ht="26.4">
      <c r="W2592" s="64" ph="1"/>
    </row>
    <row r="2593" spans="23:23" ht="26.4">
      <c r="W2593" s="64" ph="1"/>
    </row>
    <row r="2594" spans="23:23" ht="26.4">
      <c r="W2594" s="64" ph="1"/>
    </row>
    <row r="2595" spans="23:23" ht="26.4">
      <c r="W2595" s="64" ph="1"/>
    </row>
    <row r="2596" spans="23:23" ht="26.4">
      <c r="W2596" s="64" ph="1"/>
    </row>
    <row r="2597" spans="23:23" ht="26.4">
      <c r="W2597" s="64" ph="1"/>
    </row>
    <row r="2598" spans="23:23" ht="26.4">
      <c r="W2598" s="64" ph="1"/>
    </row>
    <row r="2599" spans="23:23" ht="26.4">
      <c r="W2599" s="64" ph="1"/>
    </row>
    <row r="2600" spans="23:23" ht="26.4">
      <c r="W2600" s="64" ph="1"/>
    </row>
    <row r="2601" spans="23:23" ht="26.4">
      <c r="W2601" s="64" ph="1"/>
    </row>
    <row r="2602" spans="23:23" ht="26.4">
      <c r="W2602" s="64" ph="1"/>
    </row>
    <row r="2603" spans="23:23" ht="26.4">
      <c r="W2603" s="64" ph="1"/>
    </row>
    <row r="2604" spans="23:23" ht="26.4">
      <c r="W2604" s="64" ph="1"/>
    </row>
    <row r="2605" spans="23:23" ht="26.4">
      <c r="W2605" s="64" ph="1"/>
    </row>
    <row r="2606" spans="23:23" ht="26.4">
      <c r="W2606" s="64" ph="1"/>
    </row>
    <row r="2607" spans="23:23" ht="26.4">
      <c r="W2607" s="64" ph="1"/>
    </row>
    <row r="2608" spans="23:23" ht="26.4">
      <c r="W2608" s="64" ph="1"/>
    </row>
    <row r="2609" spans="23:23" ht="26.4">
      <c r="W2609" s="64" ph="1"/>
    </row>
    <row r="2610" spans="23:23" ht="26.4">
      <c r="W2610" s="64" ph="1"/>
    </row>
    <row r="2611" spans="23:23" ht="26.4">
      <c r="W2611" s="64" ph="1"/>
    </row>
    <row r="2612" spans="23:23" ht="26.4">
      <c r="W2612" s="64" ph="1"/>
    </row>
    <row r="2613" spans="23:23" ht="26.4">
      <c r="W2613" s="64" ph="1"/>
    </row>
    <row r="2614" spans="23:23" ht="26.4">
      <c r="W2614" s="64" ph="1"/>
    </row>
    <row r="2615" spans="23:23" ht="26.4">
      <c r="W2615" s="64" ph="1"/>
    </row>
    <row r="2616" spans="23:23" ht="26.4">
      <c r="W2616" s="64" ph="1"/>
    </row>
    <row r="2617" spans="23:23" ht="26.4">
      <c r="W2617" s="64" ph="1"/>
    </row>
    <row r="2618" spans="23:23" ht="26.4">
      <c r="W2618" s="64" ph="1"/>
    </row>
    <row r="2619" spans="23:23" ht="26.4">
      <c r="W2619" s="64" ph="1"/>
    </row>
    <row r="2620" spans="23:23" ht="26.4">
      <c r="W2620" s="64" ph="1"/>
    </row>
    <row r="2621" spans="23:23" ht="26.4">
      <c r="W2621" s="64" ph="1"/>
    </row>
    <row r="2622" spans="23:23" ht="26.4">
      <c r="W2622" s="64" ph="1"/>
    </row>
    <row r="2623" spans="23:23" ht="26.4">
      <c r="W2623" s="64" ph="1"/>
    </row>
    <row r="2624" spans="23:23" ht="26.4">
      <c r="W2624" s="64" ph="1"/>
    </row>
    <row r="2625" spans="23:23" ht="26.4">
      <c r="W2625" s="64" ph="1"/>
    </row>
    <row r="2626" spans="23:23" ht="26.4">
      <c r="W2626" s="64" ph="1"/>
    </row>
    <row r="2627" spans="23:23" ht="26.4">
      <c r="W2627" s="64" ph="1"/>
    </row>
    <row r="2628" spans="23:23" ht="26.4">
      <c r="W2628" s="64" ph="1"/>
    </row>
    <row r="2629" spans="23:23" ht="26.4">
      <c r="W2629" s="64" ph="1"/>
    </row>
    <row r="2630" spans="23:23" ht="26.4">
      <c r="W2630" s="64" ph="1"/>
    </row>
    <row r="2631" spans="23:23" ht="26.4">
      <c r="W2631" s="64" ph="1"/>
    </row>
    <row r="2632" spans="23:23" ht="26.4">
      <c r="W2632" s="64" ph="1"/>
    </row>
    <row r="2633" spans="23:23" ht="26.4">
      <c r="W2633" s="64" ph="1"/>
    </row>
    <row r="2634" spans="23:23" ht="26.4">
      <c r="W2634" s="64" ph="1"/>
    </row>
    <row r="2635" spans="23:23" ht="26.4">
      <c r="W2635" s="64" ph="1"/>
    </row>
    <row r="2636" spans="23:23" ht="26.4">
      <c r="W2636" s="64" ph="1"/>
    </row>
    <row r="2637" spans="23:23" ht="26.4">
      <c r="W2637" s="64" ph="1"/>
    </row>
    <row r="2638" spans="23:23" ht="26.4">
      <c r="W2638" s="64" ph="1"/>
    </row>
    <row r="2639" spans="23:23" ht="26.4">
      <c r="W2639" s="64" ph="1"/>
    </row>
    <row r="2640" spans="23:23" ht="26.4">
      <c r="W2640" s="64" ph="1"/>
    </row>
    <row r="2641" spans="23:23" ht="26.4">
      <c r="W2641" s="64" ph="1"/>
    </row>
    <row r="2642" spans="23:23" ht="26.4">
      <c r="W2642" s="64" ph="1"/>
    </row>
    <row r="2643" spans="23:23" ht="26.4">
      <c r="W2643" s="64" ph="1"/>
    </row>
    <row r="2644" spans="23:23" ht="26.4">
      <c r="W2644" s="64" ph="1"/>
    </row>
    <row r="2645" spans="23:23" ht="26.4">
      <c r="W2645" s="64" ph="1"/>
    </row>
    <row r="2646" spans="23:23" ht="26.4">
      <c r="W2646" s="64" ph="1"/>
    </row>
    <row r="2647" spans="23:23" ht="26.4">
      <c r="W2647" s="64" ph="1"/>
    </row>
    <row r="2648" spans="23:23" ht="26.4">
      <c r="W2648" s="64" ph="1"/>
    </row>
    <row r="2649" spans="23:23" ht="26.4">
      <c r="W2649" s="64" ph="1"/>
    </row>
    <row r="2650" spans="23:23" ht="26.4">
      <c r="W2650" s="64" ph="1"/>
    </row>
    <row r="2651" spans="23:23" ht="26.4">
      <c r="W2651" s="64" ph="1"/>
    </row>
    <row r="2652" spans="23:23" ht="26.4">
      <c r="W2652" s="64" ph="1"/>
    </row>
    <row r="2653" spans="23:23" ht="26.4">
      <c r="W2653" s="64" ph="1"/>
    </row>
    <row r="2654" spans="23:23" ht="26.4">
      <c r="W2654" s="64" ph="1"/>
    </row>
    <row r="2655" spans="23:23" ht="26.4">
      <c r="W2655" s="64" ph="1"/>
    </row>
    <row r="2656" spans="23:23" ht="26.4">
      <c r="W2656" s="64" ph="1"/>
    </row>
    <row r="2657" spans="23:23" ht="26.4">
      <c r="W2657" s="64" ph="1"/>
    </row>
    <row r="2658" spans="23:23" ht="26.4">
      <c r="W2658" s="64" ph="1"/>
    </row>
    <row r="2659" spans="23:23" ht="26.4">
      <c r="W2659" s="64" ph="1"/>
    </row>
    <row r="2660" spans="23:23" ht="26.4">
      <c r="W2660" s="64" ph="1"/>
    </row>
    <row r="2661" spans="23:23" ht="26.4">
      <c r="W2661" s="64" ph="1"/>
    </row>
    <row r="2662" spans="23:23" ht="26.4">
      <c r="W2662" s="64" ph="1"/>
    </row>
    <row r="2663" spans="23:23" ht="26.4">
      <c r="W2663" s="64" ph="1"/>
    </row>
    <row r="2664" spans="23:23" ht="26.4">
      <c r="W2664" s="64" ph="1"/>
    </row>
    <row r="2665" spans="23:23" ht="26.4">
      <c r="W2665" s="64" ph="1"/>
    </row>
    <row r="2666" spans="23:23" ht="26.4">
      <c r="W2666" s="64" ph="1"/>
    </row>
    <row r="2667" spans="23:23" ht="26.4">
      <c r="W2667" s="64" ph="1"/>
    </row>
    <row r="2668" spans="23:23" ht="26.4">
      <c r="W2668" s="64" ph="1"/>
    </row>
    <row r="2669" spans="23:23" ht="26.4">
      <c r="W2669" s="64" ph="1"/>
    </row>
    <row r="2670" spans="23:23" ht="26.4">
      <c r="W2670" s="64" ph="1"/>
    </row>
    <row r="2671" spans="23:23" ht="26.4">
      <c r="W2671" s="64" ph="1"/>
    </row>
    <row r="2672" spans="23:23" ht="26.4">
      <c r="W2672" s="64" ph="1"/>
    </row>
    <row r="2673" spans="23:23" ht="26.4">
      <c r="W2673" s="64" ph="1"/>
    </row>
    <row r="2674" spans="23:23" ht="26.4">
      <c r="W2674" s="64" ph="1"/>
    </row>
    <row r="2675" spans="23:23" ht="26.4">
      <c r="W2675" s="64" ph="1"/>
    </row>
    <row r="2676" spans="23:23" ht="26.4">
      <c r="W2676" s="64" ph="1"/>
    </row>
    <row r="2677" spans="23:23" ht="26.4">
      <c r="W2677" s="64" ph="1"/>
    </row>
    <row r="2678" spans="23:23" ht="26.4">
      <c r="W2678" s="64" ph="1"/>
    </row>
    <row r="2679" spans="23:23" ht="26.4">
      <c r="W2679" s="64" ph="1"/>
    </row>
    <row r="2680" spans="23:23" ht="26.4">
      <c r="W2680" s="64" ph="1"/>
    </row>
    <row r="2681" spans="23:23" ht="26.4">
      <c r="W2681" s="64" ph="1"/>
    </row>
    <row r="2682" spans="23:23" ht="26.4">
      <c r="W2682" s="64" ph="1"/>
    </row>
    <row r="2683" spans="23:23" ht="26.4">
      <c r="W2683" s="64" ph="1"/>
    </row>
    <row r="2684" spans="23:23" ht="26.4">
      <c r="W2684" s="64" ph="1"/>
    </row>
    <row r="2685" spans="23:23" ht="26.4">
      <c r="W2685" s="64" ph="1"/>
    </row>
    <row r="2686" spans="23:23" ht="26.4">
      <c r="W2686" s="64" ph="1"/>
    </row>
    <row r="2687" spans="23:23" ht="26.4">
      <c r="W2687" s="64" ph="1"/>
    </row>
    <row r="2688" spans="23:23" ht="26.4">
      <c r="W2688" s="64" ph="1"/>
    </row>
    <row r="2689" spans="23:23" ht="26.4">
      <c r="W2689" s="64" ph="1"/>
    </row>
    <row r="2690" spans="23:23" ht="26.4">
      <c r="W2690" s="64" ph="1"/>
    </row>
    <row r="2691" spans="23:23" ht="26.4">
      <c r="W2691" s="64" ph="1"/>
    </row>
    <row r="2692" spans="23:23" ht="26.4">
      <c r="W2692" s="64" ph="1"/>
    </row>
    <row r="2693" spans="23:23" ht="26.4">
      <c r="W2693" s="64" ph="1"/>
    </row>
    <row r="2694" spans="23:23" ht="26.4">
      <c r="W2694" s="64" ph="1"/>
    </row>
    <row r="2695" spans="23:23" ht="26.4">
      <c r="W2695" s="64" ph="1"/>
    </row>
    <row r="2696" spans="23:23" ht="26.4">
      <c r="W2696" s="64" ph="1"/>
    </row>
    <row r="2697" spans="23:23" ht="26.4">
      <c r="W2697" s="64" ph="1"/>
    </row>
    <row r="2698" spans="23:23" ht="26.4">
      <c r="W2698" s="64" ph="1"/>
    </row>
    <row r="2699" spans="23:23" ht="26.4">
      <c r="W2699" s="64" ph="1"/>
    </row>
    <row r="2700" spans="23:23" ht="26.4">
      <c r="W2700" s="64" ph="1"/>
    </row>
    <row r="2701" spans="23:23" ht="26.4">
      <c r="W2701" s="64" ph="1"/>
    </row>
    <row r="2702" spans="23:23" ht="26.4">
      <c r="W2702" s="64" ph="1"/>
    </row>
    <row r="2703" spans="23:23" ht="26.4">
      <c r="W2703" s="64" ph="1"/>
    </row>
    <row r="2704" spans="23:23" ht="26.4">
      <c r="W2704" s="64" ph="1"/>
    </row>
    <row r="2705" spans="23:23" ht="26.4">
      <c r="W2705" s="64" ph="1"/>
    </row>
    <row r="2706" spans="23:23" ht="26.4">
      <c r="W2706" s="64" ph="1"/>
    </row>
    <row r="2707" spans="23:23" ht="26.4">
      <c r="W2707" s="64" ph="1"/>
    </row>
    <row r="2708" spans="23:23" ht="26.4">
      <c r="W2708" s="64" ph="1"/>
    </row>
    <row r="2709" spans="23:23" ht="26.4">
      <c r="W2709" s="64" ph="1"/>
    </row>
    <row r="2710" spans="23:23" ht="26.4">
      <c r="W2710" s="64" ph="1"/>
    </row>
    <row r="2711" spans="23:23" ht="26.4">
      <c r="W2711" s="64" ph="1"/>
    </row>
    <row r="2712" spans="23:23" ht="26.4">
      <c r="W2712" s="64" ph="1"/>
    </row>
    <row r="2713" spans="23:23" ht="26.4">
      <c r="W2713" s="64" ph="1"/>
    </row>
    <row r="2714" spans="23:23" ht="26.4">
      <c r="W2714" s="64" ph="1"/>
    </row>
    <row r="2715" spans="23:23" ht="26.4">
      <c r="W2715" s="64" ph="1"/>
    </row>
    <row r="2716" spans="23:23" ht="26.4">
      <c r="W2716" s="64" ph="1"/>
    </row>
    <row r="2717" spans="23:23" ht="26.4">
      <c r="W2717" s="64" ph="1"/>
    </row>
    <row r="2718" spans="23:23" ht="26.4">
      <c r="W2718" s="64" ph="1"/>
    </row>
    <row r="2719" spans="23:23" ht="26.4">
      <c r="W2719" s="64" ph="1"/>
    </row>
    <row r="2720" spans="23:23" ht="26.4">
      <c r="W2720" s="64" ph="1"/>
    </row>
    <row r="2721" spans="23:23" ht="26.4">
      <c r="W2721" s="64" ph="1"/>
    </row>
    <row r="2722" spans="23:23" ht="26.4">
      <c r="W2722" s="64" ph="1"/>
    </row>
    <row r="2723" spans="23:23" ht="26.4">
      <c r="W2723" s="64" ph="1"/>
    </row>
    <row r="2724" spans="23:23" ht="26.4">
      <c r="W2724" s="64" ph="1"/>
    </row>
    <row r="2725" spans="23:23" ht="26.4">
      <c r="W2725" s="64" ph="1"/>
    </row>
    <row r="2726" spans="23:23" ht="26.4">
      <c r="W2726" s="64" ph="1"/>
    </row>
    <row r="2727" spans="23:23" ht="26.4">
      <c r="W2727" s="64" ph="1"/>
    </row>
    <row r="2728" spans="23:23" ht="26.4">
      <c r="W2728" s="64" ph="1"/>
    </row>
    <row r="2729" spans="23:23" ht="26.4">
      <c r="W2729" s="64" ph="1"/>
    </row>
    <row r="2730" spans="23:23" ht="26.4">
      <c r="W2730" s="64" ph="1"/>
    </row>
    <row r="2731" spans="23:23" ht="26.4">
      <c r="W2731" s="64" ph="1"/>
    </row>
    <row r="2732" spans="23:23" ht="26.4">
      <c r="W2732" s="64" ph="1"/>
    </row>
    <row r="2733" spans="23:23" ht="26.4">
      <c r="W2733" s="64" ph="1"/>
    </row>
    <row r="2734" spans="23:23" ht="26.4">
      <c r="W2734" s="64" ph="1"/>
    </row>
    <row r="2735" spans="23:23" ht="26.4">
      <c r="W2735" s="64" ph="1"/>
    </row>
    <row r="2736" spans="23:23" ht="26.4">
      <c r="W2736" s="64" ph="1"/>
    </row>
    <row r="2737" spans="23:23" ht="26.4">
      <c r="W2737" s="64" ph="1"/>
    </row>
    <row r="2738" spans="23:23" ht="26.4">
      <c r="W2738" s="64" ph="1"/>
    </row>
    <row r="2739" spans="23:23" ht="26.4">
      <c r="W2739" s="64" ph="1"/>
    </row>
    <row r="2740" spans="23:23" ht="26.4">
      <c r="W2740" s="64" ph="1"/>
    </row>
    <row r="2741" spans="23:23" ht="26.4">
      <c r="W2741" s="64" ph="1"/>
    </row>
    <row r="2742" spans="23:23" ht="26.4">
      <c r="W2742" s="64" ph="1"/>
    </row>
    <row r="2743" spans="23:23" ht="26.4">
      <c r="W2743" s="64" ph="1"/>
    </row>
    <row r="2744" spans="23:23" ht="26.4">
      <c r="W2744" s="64" ph="1"/>
    </row>
    <row r="2745" spans="23:23" ht="26.4">
      <c r="W2745" s="64" ph="1"/>
    </row>
    <row r="2746" spans="23:23" ht="26.4">
      <c r="W2746" s="64" ph="1"/>
    </row>
    <row r="2747" spans="23:23" ht="26.4">
      <c r="W2747" s="64" ph="1"/>
    </row>
    <row r="2748" spans="23:23" ht="26.4">
      <c r="W2748" s="64" ph="1"/>
    </row>
    <row r="2749" spans="23:23" ht="26.4">
      <c r="W2749" s="64" ph="1"/>
    </row>
    <row r="2750" spans="23:23" ht="26.4">
      <c r="W2750" s="64" ph="1"/>
    </row>
    <row r="2751" spans="23:23" ht="26.4">
      <c r="W2751" s="64" ph="1"/>
    </row>
    <row r="2752" spans="23:23" ht="26.4">
      <c r="W2752" s="64" ph="1"/>
    </row>
    <row r="2753" spans="23:23" ht="26.4">
      <c r="W2753" s="64" ph="1"/>
    </row>
    <row r="2754" spans="23:23" ht="26.4">
      <c r="W2754" s="64" ph="1"/>
    </row>
    <row r="2755" spans="23:23" ht="26.4">
      <c r="W2755" s="64" ph="1"/>
    </row>
    <row r="2756" spans="23:23" ht="26.4">
      <c r="W2756" s="64" ph="1"/>
    </row>
    <row r="2757" spans="23:23" ht="26.4">
      <c r="W2757" s="64" ph="1"/>
    </row>
    <row r="2758" spans="23:23" ht="26.4">
      <c r="W2758" s="64" ph="1"/>
    </row>
    <row r="2759" spans="23:23" ht="26.4">
      <c r="W2759" s="64" ph="1"/>
    </row>
    <row r="2760" spans="23:23" ht="26.4">
      <c r="W2760" s="64" ph="1"/>
    </row>
    <row r="2761" spans="23:23" ht="26.4">
      <c r="W2761" s="64" ph="1"/>
    </row>
    <row r="2762" spans="23:23" ht="26.4">
      <c r="W2762" s="64" ph="1"/>
    </row>
    <row r="2763" spans="23:23" ht="26.4">
      <c r="W2763" s="64" ph="1"/>
    </row>
    <row r="2764" spans="23:23" ht="26.4">
      <c r="W2764" s="64" ph="1"/>
    </row>
    <row r="2765" spans="23:23" ht="26.4">
      <c r="W2765" s="64" ph="1"/>
    </row>
    <row r="2766" spans="23:23" ht="26.4">
      <c r="W2766" s="64" ph="1"/>
    </row>
    <row r="2767" spans="23:23" ht="26.4">
      <c r="W2767" s="64" ph="1"/>
    </row>
    <row r="2768" spans="23:23" ht="26.4">
      <c r="W2768" s="64" ph="1"/>
    </row>
    <row r="2769" spans="23:23" ht="26.4">
      <c r="W2769" s="64" ph="1"/>
    </row>
    <row r="2770" spans="23:23" ht="26.4">
      <c r="W2770" s="64" ph="1"/>
    </row>
    <row r="2771" spans="23:23" ht="26.4">
      <c r="W2771" s="64" ph="1"/>
    </row>
    <row r="2772" spans="23:23" ht="26.4">
      <c r="W2772" s="64" ph="1"/>
    </row>
    <row r="2773" spans="23:23" ht="26.4">
      <c r="W2773" s="64" ph="1"/>
    </row>
    <row r="2774" spans="23:23" ht="26.4">
      <c r="W2774" s="64" ph="1"/>
    </row>
    <row r="2775" spans="23:23" ht="26.4">
      <c r="W2775" s="64" ph="1"/>
    </row>
    <row r="2776" spans="23:23" ht="26.4">
      <c r="W2776" s="64" ph="1"/>
    </row>
    <row r="2777" spans="23:23" ht="26.4">
      <c r="W2777" s="64" ph="1"/>
    </row>
    <row r="2778" spans="23:23" ht="26.4">
      <c r="W2778" s="64" ph="1"/>
    </row>
    <row r="2779" spans="23:23" ht="26.4">
      <c r="W2779" s="64" ph="1"/>
    </row>
    <row r="2780" spans="23:23" ht="26.4">
      <c r="W2780" s="64" ph="1"/>
    </row>
    <row r="2781" spans="23:23" ht="26.4">
      <c r="W2781" s="64" ph="1"/>
    </row>
    <row r="2782" spans="23:23" ht="26.4">
      <c r="W2782" s="64" ph="1"/>
    </row>
    <row r="2783" spans="23:23" ht="26.4">
      <c r="W2783" s="64" ph="1"/>
    </row>
    <row r="2784" spans="23:23" ht="26.4">
      <c r="W2784" s="64" ph="1"/>
    </row>
    <row r="2785" spans="23:23" ht="26.4">
      <c r="W2785" s="64" ph="1"/>
    </row>
    <row r="2786" spans="23:23" ht="26.4">
      <c r="W2786" s="64" ph="1"/>
    </row>
    <row r="2787" spans="23:23" ht="26.4">
      <c r="W2787" s="64" ph="1"/>
    </row>
    <row r="2788" spans="23:23" ht="26.4">
      <c r="W2788" s="64" ph="1"/>
    </row>
    <row r="2789" spans="23:23" ht="26.4">
      <c r="W2789" s="64" ph="1"/>
    </row>
    <row r="2790" spans="23:23" ht="26.4">
      <c r="W2790" s="64" ph="1"/>
    </row>
    <row r="2791" spans="23:23" ht="26.4">
      <c r="W2791" s="64" ph="1"/>
    </row>
    <row r="2792" spans="23:23" ht="26.4">
      <c r="W2792" s="64" ph="1"/>
    </row>
    <row r="2793" spans="23:23" ht="26.4">
      <c r="W2793" s="64" ph="1"/>
    </row>
    <row r="2794" spans="23:23" ht="26.4">
      <c r="W2794" s="64" ph="1"/>
    </row>
    <row r="2795" spans="23:23" ht="26.4">
      <c r="W2795" s="64" ph="1"/>
    </row>
    <row r="2796" spans="23:23" ht="26.4">
      <c r="W2796" s="64" ph="1"/>
    </row>
    <row r="2797" spans="23:23" ht="26.4">
      <c r="W2797" s="64" ph="1"/>
    </row>
    <row r="2798" spans="23:23" ht="26.4">
      <c r="W2798" s="64" ph="1"/>
    </row>
    <row r="2799" spans="23:23" ht="26.4">
      <c r="W2799" s="64" ph="1"/>
    </row>
    <row r="2800" spans="23:23" ht="26.4">
      <c r="W2800" s="64" ph="1"/>
    </row>
    <row r="2801" spans="23:23" ht="26.4">
      <c r="W2801" s="64" ph="1"/>
    </row>
    <row r="2802" spans="23:23" ht="26.4">
      <c r="W2802" s="64" ph="1"/>
    </row>
    <row r="2803" spans="23:23" ht="26.4">
      <c r="W2803" s="64" ph="1"/>
    </row>
    <row r="2804" spans="23:23" ht="26.4">
      <c r="W2804" s="64" ph="1"/>
    </row>
    <row r="2805" spans="23:23" ht="26.4">
      <c r="W2805" s="64" ph="1"/>
    </row>
    <row r="2806" spans="23:23" ht="26.4">
      <c r="W2806" s="64" ph="1"/>
    </row>
    <row r="2807" spans="23:23" ht="26.4">
      <c r="W2807" s="64" ph="1"/>
    </row>
    <row r="2808" spans="23:23" ht="26.4">
      <c r="W2808" s="64" ph="1"/>
    </row>
    <row r="2809" spans="23:23" ht="26.4">
      <c r="W2809" s="64" ph="1"/>
    </row>
    <row r="2810" spans="23:23" ht="26.4">
      <c r="W2810" s="64" ph="1"/>
    </row>
    <row r="2811" spans="23:23" ht="26.4">
      <c r="W2811" s="64" ph="1"/>
    </row>
    <row r="2812" spans="23:23" ht="26.4">
      <c r="W2812" s="64" ph="1"/>
    </row>
    <row r="2813" spans="23:23" ht="26.4">
      <c r="W2813" s="64" ph="1"/>
    </row>
    <row r="2814" spans="23:23" ht="26.4">
      <c r="W2814" s="64" ph="1"/>
    </row>
    <row r="2815" spans="23:23" ht="26.4">
      <c r="W2815" s="64" ph="1"/>
    </row>
    <row r="2816" spans="23:23" ht="26.4">
      <c r="W2816" s="64" ph="1"/>
    </row>
    <row r="2817" spans="23:23" ht="26.4">
      <c r="W2817" s="64" ph="1"/>
    </row>
    <row r="2818" spans="23:23" ht="26.4">
      <c r="W2818" s="64" ph="1"/>
    </row>
    <row r="2819" spans="23:23" ht="26.4">
      <c r="W2819" s="64" ph="1"/>
    </row>
    <row r="2820" spans="23:23" ht="26.4">
      <c r="W2820" s="64" ph="1"/>
    </row>
    <row r="2821" spans="23:23" ht="26.4">
      <c r="W2821" s="64" ph="1"/>
    </row>
    <row r="2822" spans="23:23" ht="26.4">
      <c r="W2822" s="64" ph="1"/>
    </row>
    <row r="2823" spans="23:23" ht="26.4">
      <c r="W2823" s="64" ph="1"/>
    </row>
    <row r="2824" spans="23:23" ht="26.4">
      <c r="W2824" s="64" ph="1"/>
    </row>
    <row r="2825" spans="23:23" ht="26.4">
      <c r="W2825" s="64" ph="1"/>
    </row>
    <row r="2826" spans="23:23" ht="26.4">
      <c r="W2826" s="64" ph="1"/>
    </row>
    <row r="2827" spans="23:23" ht="26.4">
      <c r="W2827" s="64" ph="1"/>
    </row>
    <row r="2828" spans="23:23" ht="26.4">
      <c r="W2828" s="64" ph="1"/>
    </row>
    <row r="2829" spans="23:23" ht="26.4">
      <c r="W2829" s="64" ph="1"/>
    </row>
    <row r="2830" spans="23:23" ht="26.4">
      <c r="W2830" s="64" ph="1"/>
    </row>
    <row r="2831" spans="23:23" ht="26.4">
      <c r="W2831" s="64" ph="1"/>
    </row>
    <row r="2832" spans="23:23" ht="26.4">
      <c r="W2832" s="64" ph="1"/>
    </row>
    <row r="2833" spans="23:23" ht="26.4">
      <c r="W2833" s="64" ph="1"/>
    </row>
    <row r="2834" spans="23:23" ht="26.4">
      <c r="W2834" s="64" ph="1"/>
    </row>
    <row r="2835" spans="23:23" ht="26.4">
      <c r="W2835" s="64" ph="1"/>
    </row>
    <row r="2836" spans="23:23" ht="26.4">
      <c r="W2836" s="64" ph="1"/>
    </row>
    <row r="2837" spans="23:23" ht="26.4">
      <c r="W2837" s="64" ph="1"/>
    </row>
    <row r="2838" spans="23:23" ht="26.4">
      <c r="W2838" s="64" ph="1"/>
    </row>
    <row r="2839" spans="23:23" ht="26.4">
      <c r="W2839" s="64" ph="1"/>
    </row>
    <row r="2840" spans="23:23" ht="26.4">
      <c r="W2840" s="64" ph="1"/>
    </row>
    <row r="2841" spans="23:23" ht="26.4">
      <c r="W2841" s="64" ph="1"/>
    </row>
    <row r="2842" spans="23:23" ht="26.4">
      <c r="W2842" s="64" ph="1"/>
    </row>
    <row r="2843" spans="23:23" ht="26.4">
      <c r="W2843" s="64" ph="1"/>
    </row>
    <row r="2844" spans="23:23" ht="26.4">
      <c r="W2844" s="64" ph="1"/>
    </row>
    <row r="2845" spans="23:23" ht="26.4">
      <c r="W2845" s="64" ph="1"/>
    </row>
    <row r="2846" spans="23:23" ht="26.4">
      <c r="W2846" s="64" ph="1"/>
    </row>
    <row r="2847" spans="23:23" ht="26.4">
      <c r="W2847" s="64" ph="1"/>
    </row>
    <row r="2848" spans="23:23" ht="26.4">
      <c r="W2848" s="64" ph="1"/>
    </row>
    <row r="2849" spans="23:23" ht="26.4">
      <c r="W2849" s="64" ph="1"/>
    </row>
    <row r="2850" spans="23:23" ht="26.4">
      <c r="W2850" s="64" ph="1"/>
    </row>
    <row r="2851" spans="23:23" ht="26.4">
      <c r="W2851" s="64" ph="1"/>
    </row>
    <row r="2852" spans="23:23" ht="26.4">
      <c r="W2852" s="64" ph="1"/>
    </row>
    <row r="2853" spans="23:23" ht="26.4">
      <c r="W2853" s="64" ph="1"/>
    </row>
    <row r="2854" spans="23:23" ht="26.4">
      <c r="W2854" s="64" ph="1"/>
    </row>
    <row r="2855" spans="23:23" ht="26.4">
      <c r="W2855" s="64" ph="1"/>
    </row>
    <row r="2856" spans="23:23" ht="26.4">
      <c r="W2856" s="64" ph="1"/>
    </row>
    <row r="2857" spans="23:23" ht="26.4">
      <c r="W2857" s="64" ph="1"/>
    </row>
    <row r="2858" spans="23:23" ht="26.4">
      <c r="W2858" s="64" ph="1"/>
    </row>
    <row r="2859" spans="23:23" ht="26.4">
      <c r="W2859" s="64" ph="1"/>
    </row>
    <row r="2860" spans="23:23" ht="26.4">
      <c r="W2860" s="64" ph="1"/>
    </row>
    <row r="2861" spans="23:23" ht="26.4">
      <c r="W2861" s="64" ph="1"/>
    </row>
    <row r="2862" spans="23:23" ht="26.4">
      <c r="W2862" s="64" ph="1"/>
    </row>
    <row r="2863" spans="23:23" ht="26.4">
      <c r="W2863" s="64" ph="1"/>
    </row>
    <row r="2864" spans="23:23" ht="26.4">
      <c r="W2864" s="64" ph="1"/>
    </row>
    <row r="2865" spans="23:23" ht="26.4">
      <c r="W2865" s="64" ph="1"/>
    </row>
    <row r="2866" spans="23:23" ht="26.4">
      <c r="W2866" s="64" ph="1"/>
    </row>
    <row r="2867" spans="23:23" ht="26.4">
      <c r="W2867" s="64" ph="1"/>
    </row>
    <row r="2868" spans="23:23" ht="26.4">
      <c r="W2868" s="64" ph="1"/>
    </row>
    <row r="2869" spans="23:23" ht="26.4">
      <c r="W2869" s="64" ph="1"/>
    </row>
    <row r="2870" spans="23:23" ht="26.4">
      <c r="W2870" s="64" ph="1"/>
    </row>
    <row r="2871" spans="23:23" ht="26.4">
      <c r="W2871" s="64" ph="1"/>
    </row>
    <row r="2872" spans="23:23" ht="26.4">
      <c r="W2872" s="64" ph="1"/>
    </row>
    <row r="2873" spans="23:23" ht="26.4">
      <c r="W2873" s="64" ph="1"/>
    </row>
    <row r="2874" spans="23:23" ht="26.4">
      <c r="W2874" s="64" ph="1"/>
    </row>
    <row r="2875" spans="23:23" ht="26.4">
      <c r="W2875" s="64" ph="1"/>
    </row>
    <row r="2876" spans="23:23" ht="26.4">
      <c r="W2876" s="64" ph="1"/>
    </row>
    <row r="2877" spans="23:23" ht="26.4">
      <c r="W2877" s="64" ph="1"/>
    </row>
    <row r="2878" spans="23:23" ht="26.4">
      <c r="W2878" s="64" ph="1"/>
    </row>
    <row r="2879" spans="23:23" ht="26.4">
      <c r="W2879" s="64" ph="1"/>
    </row>
    <row r="2880" spans="23:23" ht="26.4">
      <c r="W2880" s="64" ph="1"/>
    </row>
    <row r="2881" spans="23:23" ht="26.4">
      <c r="W2881" s="64" ph="1"/>
    </row>
    <row r="2882" spans="23:23" ht="26.4">
      <c r="W2882" s="64" ph="1"/>
    </row>
    <row r="2883" spans="23:23" ht="26.4">
      <c r="W2883" s="64" ph="1"/>
    </row>
    <row r="2884" spans="23:23" ht="26.4">
      <c r="W2884" s="64" ph="1"/>
    </row>
    <row r="2885" spans="23:23" ht="26.4">
      <c r="W2885" s="64" ph="1"/>
    </row>
    <row r="2886" spans="23:23" ht="26.4">
      <c r="W2886" s="64" ph="1"/>
    </row>
    <row r="2887" spans="23:23" ht="26.4">
      <c r="W2887" s="64" ph="1"/>
    </row>
    <row r="2888" spans="23:23" ht="26.4">
      <c r="W2888" s="64" ph="1"/>
    </row>
    <row r="2889" spans="23:23" ht="26.4">
      <c r="W2889" s="64" ph="1"/>
    </row>
    <row r="2890" spans="23:23" ht="26.4">
      <c r="W2890" s="64" ph="1"/>
    </row>
    <row r="2891" spans="23:23" ht="26.4">
      <c r="W2891" s="64" ph="1"/>
    </row>
    <row r="2892" spans="23:23" ht="26.4">
      <c r="W2892" s="64" ph="1"/>
    </row>
    <row r="2893" spans="23:23" ht="26.4">
      <c r="W2893" s="64" ph="1"/>
    </row>
    <row r="2894" spans="23:23" ht="26.4">
      <c r="W2894" s="64" ph="1"/>
    </row>
    <row r="2895" spans="23:23" ht="26.4">
      <c r="W2895" s="64" ph="1"/>
    </row>
    <row r="2896" spans="23:23" ht="26.4">
      <c r="W2896" s="64" ph="1"/>
    </row>
    <row r="2897" spans="23:23" ht="26.4">
      <c r="W2897" s="64" ph="1"/>
    </row>
    <row r="2898" spans="23:23" ht="26.4">
      <c r="W2898" s="64" ph="1"/>
    </row>
    <row r="2899" spans="23:23" ht="26.4">
      <c r="W2899" s="64" ph="1"/>
    </row>
    <row r="2900" spans="23:23" ht="26.4">
      <c r="W2900" s="64" ph="1"/>
    </row>
    <row r="2901" spans="23:23" ht="26.4">
      <c r="W2901" s="64" ph="1"/>
    </row>
    <row r="2902" spans="23:23" ht="26.4">
      <c r="W2902" s="64" ph="1"/>
    </row>
    <row r="2903" spans="23:23" ht="26.4">
      <c r="W2903" s="64" ph="1"/>
    </row>
    <row r="2904" spans="23:23" ht="26.4">
      <c r="W2904" s="64" ph="1"/>
    </row>
    <row r="2905" spans="23:23" ht="26.4">
      <c r="W2905" s="64" ph="1"/>
    </row>
    <row r="2906" spans="23:23" ht="26.4">
      <c r="W2906" s="64" ph="1"/>
    </row>
    <row r="2907" spans="23:23" ht="26.4">
      <c r="W2907" s="64" ph="1"/>
    </row>
    <row r="2908" spans="23:23" ht="26.4">
      <c r="W2908" s="64" ph="1"/>
    </row>
    <row r="2909" spans="23:23" ht="26.4">
      <c r="W2909" s="64" ph="1"/>
    </row>
    <row r="2910" spans="23:23" ht="26.4">
      <c r="W2910" s="64" ph="1"/>
    </row>
    <row r="2911" spans="23:23" ht="26.4">
      <c r="W2911" s="64" ph="1"/>
    </row>
    <row r="2912" spans="23:23" ht="26.4">
      <c r="W2912" s="64" ph="1"/>
    </row>
    <row r="2913" spans="23:23" ht="26.4">
      <c r="W2913" s="64" ph="1"/>
    </row>
    <row r="2914" spans="23:23" ht="26.4">
      <c r="W2914" s="64" ph="1"/>
    </row>
    <row r="2915" spans="23:23" ht="26.4">
      <c r="W2915" s="64" ph="1"/>
    </row>
    <row r="2916" spans="23:23" ht="26.4">
      <c r="W2916" s="64" ph="1"/>
    </row>
    <row r="2917" spans="23:23" ht="26.4">
      <c r="W2917" s="64" ph="1"/>
    </row>
    <row r="2918" spans="23:23" ht="26.4">
      <c r="W2918" s="64" ph="1"/>
    </row>
    <row r="2919" spans="23:23" ht="26.4">
      <c r="W2919" s="64" ph="1"/>
    </row>
    <row r="2920" spans="23:23" ht="26.4">
      <c r="W2920" s="64" ph="1"/>
    </row>
    <row r="2921" spans="23:23" ht="26.4">
      <c r="W2921" s="64" ph="1"/>
    </row>
    <row r="2922" spans="23:23" ht="26.4">
      <c r="W2922" s="64" ph="1"/>
    </row>
    <row r="2923" spans="23:23" ht="26.4">
      <c r="W2923" s="64" ph="1"/>
    </row>
    <row r="2924" spans="23:23" ht="26.4">
      <c r="W2924" s="64" ph="1"/>
    </row>
    <row r="2925" spans="23:23" ht="26.4">
      <c r="W2925" s="64" ph="1"/>
    </row>
    <row r="2926" spans="23:23" ht="26.4">
      <c r="W2926" s="64" ph="1"/>
    </row>
    <row r="2927" spans="23:23" ht="26.4">
      <c r="W2927" s="64" ph="1"/>
    </row>
    <row r="2928" spans="23:23" ht="26.4">
      <c r="W2928" s="64" ph="1"/>
    </row>
    <row r="2929" spans="23:23" ht="26.4">
      <c r="W2929" s="64" ph="1"/>
    </row>
    <row r="2930" spans="23:23" ht="26.4">
      <c r="W2930" s="64" ph="1"/>
    </row>
    <row r="2931" spans="23:23" ht="26.4">
      <c r="W2931" s="64" ph="1"/>
    </row>
    <row r="2932" spans="23:23" ht="26.4">
      <c r="W2932" s="64" ph="1"/>
    </row>
    <row r="2933" spans="23:23" ht="26.4">
      <c r="W2933" s="64" ph="1"/>
    </row>
    <row r="2934" spans="23:23" ht="26.4">
      <c r="W2934" s="64" ph="1"/>
    </row>
    <row r="2935" spans="23:23" ht="26.4">
      <c r="W2935" s="64" ph="1"/>
    </row>
    <row r="2936" spans="23:23" ht="26.4">
      <c r="W2936" s="64" ph="1"/>
    </row>
    <row r="2937" spans="23:23" ht="26.4">
      <c r="W2937" s="64" ph="1"/>
    </row>
    <row r="2938" spans="23:23" ht="26.4">
      <c r="W2938" s="64" ph="1"/>
    </row>
    <row r="2939" spans="23:23" ht="26.4">
      <c r="W2939" s="64" ph="1"/>
    </row>
    <row r="2940" spans="23:23" ht="26.4">
      <c r="W2940" s="64" ph="1"/>
    </row>
    <row r="2941" spans="23:23" ht="26.4">
      <c r="W2941" s="64" ph="1"/>
    </row>
    <row r="2942" spans="23:23" ht="26.4">
      <c r="W2942" s="64" ph="1"/>
    </row>
    <row r="2943" spans="23:23" ht="26.4">
      <c r="W2943" s="64" ph="1"/>
    </row>
    <row r="2944" spans="23:23" ht="26.4">
      <c r="W2944" s="64" ph="1"/>
    </row>
    <row r="2945" spans="23:23" ht="26.4">
      <c r="W2945" s="64" ph="1"/>
    </row>
    <row r="2946" spans="23:23" ht="26.4">
      <c r="W2946" s="64" ph="1"/>
    </row>
    <row r="2947" spans="23:23" ht="26.4">
      <c r="W2947" s="64" ph="1"/>
    </row>
    <row r="2948" spans="23:23" ht="26.4">
      <c r="W2948" s="64" ph="1"/>
    </row>
    <row r="2949" spans="23:23" ht="26.4">
      <c r="W2949" s="64" ph="1"/>
    </row>
    <row r="2950" spans="23:23" ht="26.4">
      <c r="W2950" s="64" ph="1"/>
    </row>
    <row r="2951" spans="23:23" ht="26.4">
      <c r="W2951" s="64" ph="1"/>
    </row>
    <row r="2952" spans="23:23" ht="26.4">
      <c r="W2952" s="64" ph="1"/>
    </row>
    <row r="2953" spans="23:23" ht="26.4">
      <c r="W2953" s="64" ph="1"/>
    </row>
    <row r="2954" spans="23:23" ht="26.4">
      <c r="W2954" s="64" ph="1"/>
    </row>
    <row r="2955" spans="23:23" ht="26.4">
      <c r="W2955" s="64" ph="1"/>
    </row>
    <row r="2956" spans="23:23" ht="26.4">
      <c r="W2956" s="64" ph="1"/>
    </row>
    <row r="2957" spans="23:23" ht="26.4">
      <c r="W2957" s="64" ph="1"/>
    </row>
    <row r="2958" spans="23:23" ht="26.4">
      <c r="W2958" s="64" ph="1"/>
    </row>
    <row r="2959" spans="23:23" ht="26.4">
      <c r="W2959" s="64" ph="1"/>
    </row>
    <row r="2960" spans="23:23" ht="26.4">
      <c r="W2960" s="64" ph="1"/>
    </row>
    <row r="2961" spans="23:23" ht="26.4">
      <c r="W2961" s="64" ph="1"/>
    </row>
    <row r="2962" spans="23:23" ht="26.4">
      <c r="W2962" s="64" ph="1"/>
    </row>
    <row r="2963" spans="23:23" ht="26.4">
      <c r="W2963" s="64" ph="1"/>
    </row>
    <row r="2964" spans="23:23" ht="26.4">
      <c r="W2964" s="64" ph="1"/>
    </row>
    <row r="2965" spans="23:23" ht="26.4">
      <c r="W2965" s="64" ph="1"/>
    </row>
    <row r="2966" spans="23:23" ht="26.4">
      <c r="W2966" s="64" ph="1"/>
    </row>
    <row r="2967" spans="23:23" ht="26.4">
      <c r="W2967" s="64" ph="1"/>
    </row>
    <row r="2968" spans="23:23" ht="26.4">
      <c r="W2968" s="64" ph="1"/>
    </row>
    <row r="2969" spans="23:23" ht="26.4">
      <c r="W2969" s="64" ph="1"/>
    </row>
    <row r="2970" spans="23:23" ht="26.4">
      <c r="W2970" s="64" ph="1"/>
    </row>
    <row r="2971" spans="23:23" ht="26.4">
      <c r="W2971" s="64" ph="1"/>
    </row>
    <row r="2972" spans="23:23" ht="26.4">
      <c r="W2972" s="64" ph="1"/>
    </row>
    <row r="2973" spans="23:23" ht="26.4">
      <c r="W2973" s="64" ph="1"/>
    </row>
    <row r="2974" spans="23:23" ht="26.4">
      <c r="W2974" s="64" ph="1"/>
    </row>
    <row r="2975" spans="23:23" ht="26.4">
      <c r="W2975" s="64" ph="1"/>
    </row>
    <row r="2976" spans="23:23" ht="26.4">
      <c r="W2976" s="64" ph="1"/>
    </row>
    <row r="2977" spans="23:23" ht="26.4">
      <c r="W2977" s="64" ph="1"/>
    </row>
    <row r="2978" spans="23:23" ht="26.4">
      <c r="W2978" s="64" ph="1"/>
    </row>
    <row r="2979" spans="23:23" ht="26.4">
      <c r="W2979" s="64" ph="1"/>
    </row>
    <row r="2980" spans="23:23" ht="26.4">
      <c r="W2980" s="64" ph="1"/>
    </row>
    <row r="2981" spans="23:23" ht="26.4">
      <c r="W2981" s="64" ph="1"/>
    </row>
    <row r="2982" spans="23:23" ht="26.4">
      <c r="W2982" s="64" ph="1"/>
    </row>
    <row r="2983" spans="23:23" ht="26.4">
      <c r="W2983" s="64" ph="1"/>
    </row>
    <row r="2984" spans="23:23" ht="26.4">
      <c r="W2984" s="64" ph="1"/>
    </row>
    <row r="2985" spans="23:23" ht="26.4">
      <c r="W2985" s="64" ph="1"/>
    </row>
    <row r="2986" spans="23:23" ht="26.4">
      <c r="W2986" s="64" ph="1"/>
    </row>
    <row r="2987" spans="23:23" ht="26.4">
      <c r="W2987" s="64" ph="1"/>
    </row>
    <row r="2988" spans="23:23" ht="26.4">
      <c r="W2988" s="64" ph="1"/>
    </row>
    <row r="2989" spans="23:23" ht="26.4">
      <c r="W2989" s="64" ph="1"/>
    </row>
    <row r="2990" spans="23:23" ht="26.4">
      <c r="W2990" s="64" ph="1"/>
    </row>
    <row r="2991" spans="23:23" ht="26.4">
      <c r="W2991" s="64" ph="1"/>
    </row>
    <row r="2992" spans="23:23" ht="26.4">
      <c r="W2992" s="64" ph="1"/>
    </row>
    <row r="2993" spans="23:23" ht="26.4">
      <c r="W2993" s="64" ph="1"/>
    </row>
    <row r="2994" spans="23:23" ht="26.4">
      <c r="W2994" s="64" ph="1"/>
    </row>
    <row r="2995" spans="23:23" ht="26.4">
      <c r="W2995" s="64" ph="1"/>
    </row>
    <row r="2996" spans="23:23" ht="26.4">
      <c r="W2996" s="64" ph="1"/>
    </row>
    <row r="2997" spans="23:23" ht="26.4">
      <c r="W2997" s="64" ph="1"/>
    </row>
    <row r="2998" spans="23:23" ht="26.4">
      <c r="W2998" s="64" ph="1"/>
    </row>
    <row r="2999" spans="23:23" ht="26.4">
      <c r="W2999" s="64" ph="1"/>
    </row>
    <row r="3000" spans="23:23" ht="26.4">
      <c r="W3000" s="64" ph="1"/>
    </row>
    <row r="3001" spans="23:23" ht="26.4">
      <c r="W3001" s="64" ph="1"/>
    </row>
    <row r="3002" spans="23:23" ht="26.4">
      <c r="W3002" s="64" ph="1"/>
    </row>
    <row r="3003" spans="23:23" ht="26.4">
      <c r="W3003" s="64" ph="1"/>
    </row>
    <row r="3004" spans="23:23" ht="26.4">
      <c r="W3004" s="64" ph="1"/>
    </row>
    <row r="3005" spans="23:23" ht="26.4">
      <c r="W3005" s="64" ph="1"/>
    </row>
    <row r="3006" spans="23:23" ht="26.4">
      <c r="W3006" s="64" ph="1"/>
    </row>
    <row r="3007" spans="23:23" ht="26.4">
      <c r="W3007" s="64" ph="1"/>
    </row>
    <row r="3008" spans="23:23" ht="26.4">
      <c r="W3008" s="64" ph="1"/>
    </row>
    <row r="3009" spans="23:23" ht="26.4">
      <c r="W3009" s="64" ph="1"/>
    </row>
    <row r="3010" spans="23:23" ht="26.4">
      <c r="W3010" s="64" ph="1"/>
    </row>
    <row r="3011" spans="23:23" ht="26.4">
      <c r="W3011" s="64" ph="1"/>
    </row>
    <row r="3012" spans="23:23" ht="26.4">
      <c r="W3012" s="64" ph="1"/>
    </row>
    <row r="3013" spans="23:23" ht="26.4">
      <c r="W3013" s="64" ph="1"/>
    </row>
    <row r="3014" spans="23:23" ht="26.4">
      <c r="W3014" s="64" ph="1"/>
    </row>
    <row r="3015" spans="23:23" ht="26.4">
      <c r="W3015" s="64" ph="1"/>
    </row>
    <row r="3016" spans="23:23" ht="26.4">
      <c r="W3016" s="64" ph="1"/>
    </row>
    <row r="3017" spans="23:23" ht="26.4">
      <c r="W3017" s="64" ph="1"/>
    </row>
    <row r="3018" spans="23:23" ht="26.4">
      <c r="W3018" s="64" ph="1"/>
    </row>
    <row r="3019" spans="23:23" ht="26.4">
      <c r="W3019" s="64" ph="1"/>
    </row>
    <row r="3020" spans="23:23" ht="26.4">
      <c r="W3020" s="64" ph="1"/>
    </row>
    <row r="3021" spans="23:23" ht="26.4">
      <c r="W3021" s="64" ph="1"/>
    </row>
    <row r="3022" spans="23:23" ht="26.4">
      <c r="W3022" s="64" ph="1"/>
    </row>
    <row r="3023" spans="23:23" ht="26.4">
      <c r="W3023" s="64" ph="1"/>
    </row>
    <row r="3024" spans="23:23" ht="26.4">
      <c r="W3024" s="64" ph="1"/>
    </row>
    <row r="3025" spans="23:23" ht="26.4">
      <c r="W3025" s="64" ph="1"/>
    </row>
    <row r="3026" spans="23:23" ht="26.4">
      <c r="W3026" s="64" ph="1"/>
    </row>
    <row r="3027" spans="23:23" ht="26.4">
      <c r="W3027" s="64" ph="1"/>
    </row>
    <row r="3028" spans="23:23" ht="26.4">
      <c r="W3028" s="64" ph="1"/>
    </row>
    <row r="3029" spans="23:23" ht="26.4">
      <c r="W3029" s="64" ph="1"/>
    </row>
    <row r="3030" spans="23:23" ht="26.4">
      <c r="W3030" s="64" ph="1"/>
    </row>
    <row r="3031" spans="23:23" ht="26.4">
      <c r="W3031" s="64" ph="1"/>
    </row>
    <row r="3032" spans="23:23" ht="26.4">
      <c r="W3032" s="64" ph="1"/>
    </row>
    <row r="3033" spans="23:23" ht="26.4">
      <c r="W3033" s="64" ph="1"/>
    </row>
    <row r="3034" spans="23:23" ht="26.4">
      <c r="W3034" s="64" ph="1"/>
    </row>
    <row r="3035" spans="23:23" ht="26.4">
      <c r="W3035" s="64" ph="1"/>
    </row>
    <row r="3036" spans="23:23" ht="26.4">
      <c r="W3036" s="64" ph="1"/>
    </row>
    <row r="3037" spans="23:23" ht="26.4">
      <c r="W3037" s="64" ph="1"/>
    </row>
    <row r="3038" spans="23:23" ht="26.4">
      <c r="W3038" s="64" ph="1"/>
    </row>
    <row r="3039" spans="23:23" ht="26.4">
      <c r="W3039" s="64" ph="1"/>
    </row>
    <row r="3040" spans="23:23" ht="26.4">
      <c r="W3040" s="64" ph="1"/>
    </row>
    <row r="3041" spans="23:23" ht="26.4">
      <c r="W3041" s="64" ph="1"/>
    </row>
    <row r="3042" spans="23:23" ht="26.4">
      <c r="W3042" s="64" ph="1"/>
    </row>
    <row r="3043" spans="23:23" ht="26.4">
      <c r="W3043" s="64" ph="1"/>
    </row>
    <row r="3044" spans="23:23" ht="26.4">
      <c r="W3044" s="64" ph="1"/>
    </row>
    <row r="3045" spans="23:23" ht="26.4">
      <c r="W3045" s="64" ph="1"/>
    </row>
    <row r="3046" spans="23:23" ht="26.4">
      <c r="W3046" s="64" ph="1"/>
    </row>
    <row r="3047" spans="23:23" ht="26.4">
      <c r="W3047" s="64" ph="1"/>
    </row>
    <row r="3048" spans="23:23" ht="26.4">
      <c r="W3048" s="64" ph="1"/>
    </row>
    <row r="3049" spans="23:23" ht="26.4">
      <c r="W3049" s="64" ph="1"/>
    </row>
    <row r="3050" spans="23:23" ht="26.4">
      <c r="W3050" s="64" ph="1"/>
    </row>
    <row r="3051" spans="23:23" ht="26.4">
      <c r="W3051" s="64" ph="1"/>
    </row>
    <row r="3052" spans="23:23" ht="26.4">
      <c r="W3052" s="64" ph="1"/>
    </row>
    <row r="3053" spans="23:23" ht="26.4">
      <c r="W3053" s="64" ph="1"/>
    </row>
    <row r="3054" spans="23:23" ht="26.4">
      <c r="W3054" s="64" ph="1"/>
    </row>
    <row r="3055" spans="23:23" ht="26.4">
      <c r="W3055" s="64" ph="1"/>
    </row>
    <row r="3056" spans="23:23" ht="26.4">
      <c r="W3056" s="64" ph="1"/>
    </row>
    <row r="3057" spans="23:23" ht="26.4">
      <c r="W3057" s="64" ph="1"/>
    </row>
    <row r="3058" spans="23:23" ht="26.4">
      <c r="W3058" s="64" ph="1"/>
    </row>
    <row r="3059" spans="23:23" ht="26.4">
      <c r="W3059" s="64" ph="1"/>
    </row>
    <row r="3060" spans="23:23" ht="26.4">
      <c r="W3060" s="64" ph="1"/>
    </row>
    <row r="3061" spans="23:23" ht="26.4">
      <c r="W3061" s="64" ph="1"/>
    </row>
    <row r="3062" spans="23:23" ht="26.4">
      <c r="W3062" s="64" ph="1"/>
    </row>
    <row r="3063" spans="23:23" ht="26.4">
      <c r="W3063" s="64" ph="1"/>
    </row>
    <row r="3064" spans="23:23" ht="26.4">
      <c r="W3064" s="64" ph="1"/>
    </row>
    <row r="3065" spans="23:23" ht="26.4">
      <c r="W3065" s="64" ph="1"/>
    </row>
    <row r="3066" spans="23:23" ht="26.4">
      <c r="W3066" s="64" ph="1"/>
    </row>
    <row r="3067" spans="23:23" ht="26.4">
      <c r="W3067" s="64" ph="1"/>
    </row>
    <row r="3068" spans="23:23" ht="26.4">
      <c r="W3068" s="64" ph="1"/>
    </row>
    <row r="3069" spans="23:23" ht="26.4">
      <c r="W3069" s="64" ph="1"/>
    </row>
    <row r="3070" spans="23:23" ht="26.4">
      <c r="W3070" s="64" ph="1"/>
    </row>
    <row r="3071" spans="23:23" ht="26.4">
      <c r="W3071" s="64" ph="1"/>
    </row>
    <row r="3072" spans="23:23" ht="26.4">
      <c r="W3072" s="64" ph="1"/>
    </row>
    <row r="3073" spans="23:23" ht="26.4">
      <c r="W3073" s="64" ph="1"/>
    </row>
    <row r="3074" spans="23:23" ht="26.4">
      <c r="W3074" s="64" ph="1"/>
    </row>
    <row r="3075" spans="23:23" ht="26.4">
      <c r="W3075" s="64" ph="1"/>
    </row>
    <row r="3076" spans="23:23" ht="26.4">
      <c r="W3076" s="64" ph="1"/>
    </row>
    <row r="3077" spans="23:23" ht="26.4">
      <c r="W3077" s="64" ph="1"/>
    </row>
    <row r="3078" spans="23:23" ht="26.4">
      <c r="W3078" s="64" ph="1"/>
    </row>
    <row r="3079" spans="23:23" ht="26.4">
      <c r="W3079" s="64" ph="1"/>
    </row>
    <row r="3080" spans="23:23" ht="26.4">
      <c r="W3080" s="64" ph="1"/>
    </row>
    <row r="3081" spans="23:23" ht="26.4">
      <c r="W3081" s="64" ph="1"/>
    </row>
    <row r="3082" spans="23:23" ht="26.4">
      <c r="W3082" s="64" ph="1"/>
    </row>
    <row r="3083" spans="23:23" ht="26.4">
      <c r="W3083" s="64" ph="1"/>
    </row>
    <row r="3084" spans="23:23" ht="26.4">
      <c r="W3084" s="64" ph="1"/>
    </row>
    <row r="3085" spans="23:23" ht="26.4">
      <c r="W3085" s="64" ph="1"/>
    </row>
    <row r="3086" spans="23:23" ht="26.4">
      <c r="W3086" s="64" ph="1"/>
    </row>
    <row r="3087" spans="23:23" ht="26.4">
      <c r="W3087" s="64" ph="1"/>
    </row>
    <row r="3088" spans="23:23" ht="26.4">
      <c r="W3088" s="64" ph="1"/>
    </row>
    <row r="3089" spans="23:23" ht="26.4">
      <c r="W3089" s="64" ph="1"/>
    </row>
    <row r="3090" spans="23:23" ht="26.4">
      <c r="W3090" s="64" ph="1"/>
    </row>
    <row r="3091" spans="23:23" ht="26.4">
      <c r="W3091" s="64" ph="1"/>
    </row>
    <row r="3092" spans="23:23" ht="26.4">
      <c r="W3092" s="64" ph="1"/>
    </row>
    <row r="3093" spans="23:23" ht="26.4">
      <c r="W3093" s="64" ph="1"/>
    </row>
    <row r="3094" spans="23:23" ht="26.4">
      <c r="W3094" s="64" ph="1"/>
    </row>
    <row r="3095" spans="23:23" ht="26.4">
      <c r="W3095" s="64" ph="1"/>
    </row>
    <row r="3096" spans="23:23" ht="26.4">
      <c r="W3096" s="64" ph="1"/>
    </row>
    <row r="3097" spans="23:23" ht="26.4">
      <c r="W3097" s="64" ph="1"/>
    </row>
    <row r="3098" spans="23:23" ht="26.4">
      <c r="W3098" s="64" ph="1"/>
    </row>
    <row r="3099" spans="23:23" ht="26.4">
      <c r="W3099" s="64" ph="1"/>
    </row>
    <row r="3100" spans="23:23" ht="26.4">
      <c r="W3100" s="64" ph="1"/>
    </row>
    <row r="3101" spans="23:23" ht="26.4">
      <c r="W3101" s="64" ph="1"/>
    </row>
    <row r="3102" spans="23:23" ht="26.4">
      <c r="W3102" s="64" ph="1"/>
    </row>
    <row r="3103" spans="23:23" ht="26.4">
      <c r="W3103" s="64" ph="1"/>
    </row>
    <row r="3104" spans="23:23" ht="26.4">
      <c r="W3104" s="64" ph="1"/>
    </row>
    <row r="3105" spans="23:23" ht="26.4">
      <c r="W3105" s="64" ph="1"/>
    </row>
    <row r="3106" spans="23:23" ht="26.4">
      <c r="W3106" s="64" ph="1"/>
    </row>
    <row r="3107" spans="23:23" ht="26.4">
      <c r="W3107" s="64" ph="1"/>
    </row>
    <row r="3108" spans="23:23" ht="26.4">
      <c r="W3108" s="64" ph="1"/>
    </row>
    <row r="3109" spans="23:23" ht="26.4">
      <c r="W3109" s="64" ph="1"/>
    </row>
    <row r="3110" spans="23:23" ht="26.4">
      <c r="W3110" s="64" ph="1"/>
    </row>
    <row r="3111" spans="23:23" ht="26.4">
      <c r="W3111" s="64" ph="1"/>
    </row>
    <row r="3112" spans="23:23" ht="26.4">
      <c r="W3112" s="64" ph="1"/>
    </row>
    <row r="3113" spans="23:23" ht="26.4">
      <c r="W3113" s="64" ph="1"/>
    </row>
    <row r="3114" spans="23:23" ht="26.4">
      <c r="W3114" s="64" ph="1"/>
    </row>
    <row r="3115" spans="23:23" ht="26.4">
      <c r="W3115" s="64" ph="1"/>
    </row>
    <row r="3116" spans="23:23" ht="26.4">
      <c r="W3116" s="64" ph="1"/>
    </row>
    <row r="3117" spans="23:23" ht="26.4">
      <c r="W3117" s="64" ph="1"/>
    </row>
    <row r="3118" spans="23:23" ht="26.4">
      <c r="W3118" s="64" ph="1"/>
    </row>
    <row r="3119" spans="23:23" ht="26.4">
      <c r="W3119" s="64" ph="1"/>
    </row>
    <row r="3120" spans="23:23" ht="26.4">
      <c r="W3120" s="64" ph="1"/>
    </row>
    <row r="3121" spans="23:23" ht="26.4">
      <c r="W3121" s="64" ph="1"/>
    </row>
    <row r="3122" spans="23:23" ht="26.4">
      <c r="W3122" s="64" ph="1"/>
    </row>
    <row r="3123" spans="23:23" ht="26.4">
      <c r="W3123" s="64" ph="1"/>
    </row>
    <row r="3124" spans="23:23" ht="26.4">
      <c r="W3124" s="64" ph="1"/>
    </row>
    <row r="3125" spans="23:23" ht="26.4">
      <c r="W3125" s="64" ph="1"/>
    </row>
    <row r="3126" spans="23:23" ht="26.4">
      <c r="W3126" s="64" ph="1"/>
    </row>
    <row r="3127" spans="23:23" ht="26.4">
      <c r="W3127" s="64" ph="1"/>
    </row>
    <row r="3128" spans="23:23" ht="26.4">
      <c r="W3128" s="64" ph="1"/>
    </row>
    <row r="3129" spans="23:23" ht="26.4">
      <c r="W3129" s="64" ph="1"/>
    </row>
    <row r="3130" spans="23:23" ht="26.4">
      <c r="W3130" s="64" ph="1"/>
    </row>
    <row r="3131" spans="23:23" ht="26.4">
      <c r="W3131" s="64" ph="1"/>
    </row>
    <row r="3132" spans="23:23" ht="26.4">
      <c r="W3132" s="64" ph="1"/>
    </row>
    <row r="3133" spans="23:23" ht="26.4">
      <c r="W3133" s="64" ph="1"/>
    </row>
    <row r="3134" spans="23:23" ht="26.4">
      <c r="W3134" s="64" ph="1"/>
    </row>
    <row r="3135" spans="23:23" ht="26.4">
      <c r="W3135" s="64" ph="1"/>
    </row>
    <row r="3136" spans="23:23" ht="26.4">
      <c r="W3136" s="64" ph="1"/>
    </row>
    <row r="3137" spans="23:23" ht="26.4">
      <c r="W3137" s="64" ph="1"/>
    </row>
    <row r="3138" spans="23:23" ht="26.4">
      <c r="W3138" s="64" ph="1"/>
    </row>
    <row r="3139" spans="23:23" ht="26.4">
      <c r="W3139" s="64" ph="1"/>
    </row>
    <row r="3140" spans="23:23" ht="26.4">
      <c r="W3140" s="64" ph="1"/>
    </row>
    <row r="3141" spans="23:23" ht="26.4">
      <c r="W3141" s="64" ph="1"/>
    </row>
    <row r="3142" spans="23:23" ht="26.4">
      <c r="W3142" s="64" ph="1"/>
    </row>
    <row r="3143" spans="23:23" ht="26.4">
      <c r="W3143" s="64" ph="1"/>
    </row>
    <row r="3144" spans="23:23" ht="26.4">
      <c r="W3144" s="64" ph="1"/>
    </row>
    <row r="3145" spans="23:23" ht="26.4">
      <c r="W3145" s="64" ph="1"/>
    </row>
    <row r="3146" spans="23:23" ht="26.4">
      <c r="W3146" s="64" ph="1"/>
    </row>
    <row r="3147" spans="23:23" ht="26.4">
      <c r="W3147" s="64" ph="1"/>
    </row>
    <row r="3148" spans="23:23" ht="26.4">
      <c r="W3148" s="64" ph="1"/>
    </row>
    <row r="3149" spans="23:23" ht="26.4">
      <c r="W3149" s="64" ph="1"/>
    </row>
    <row r="3150" spans="23:23" ht="26.4">
      <c r="W3150" s="64" ph="1"/>
    </row>
    <row r="3151" spans="23:23" ht="26.4">
      <c r="W3151" s="64" ph="1"/>
    </row>
    <row r="3152" spans="23:23" ht="26.4">
      <c r="W3152" s="64" ph="1"/>
    </row>
    <row r="3153" spans="23:23" ht="26.4">
      <c r="W3153" s="64" ph="1"/>
    </row>
    <row r="3154" spans="23:23" ht="26.4">
      <c r="W3154" s="64" ph="1"/>
    </row>
    <row r="3155" spans="23:23" ht="26.4">
      <c r="W3155" s="64" ph="1"/>
    </row>
    <row r="3156" spans="23:23" ht="26.4">
      <c r="W3156" s="64" ph="1"/>
    </row>
    <row r="3157" spans="23:23" ht="26.4">
      <c r="W3157" s="64" ph="1"/>
    </row>
    <row r="3158" spans="23:23" ht="26.4">
      <c r="W3158" s="64" ph="1"/>
    </row>
    <row r="3159" spans="23:23" ht="26.4">
      <c r="W3159" s="64" ph="1"/>
    </row>
    <row r="3160" spans="23:23" ht="26.4">
      <c r="W3160" s="64" ph="1"/>
    </row>
    <row r="3161" spans="23:23" ht="26.4">
      <c r="W3161" s="64" ph="1"/>
    </row>
    <row r="3162" spans="23:23" ht="26.4">
      <c r="W3162" s="64" ph="1"/>
    </row>
    <row r="3163" spans="23:23" ht="26.4">
      <c r="W3163" s="64" ph="1"/>
    </row>
    <row r="3164" spans="23:23" ht="26.4">
      <c r="W3164" s="64" ph="1"/>
    </row>
    <row r="3165" spans="23:23" ht="26.4">
      <c r="W3165" s="64" ph="1"/>
    </row>
    <row r="3166" spans="23:23" ht="26.4">
      <c r="W3166" s="64" ph="1"/>
    </row>
    <row r="3167" spans="23:23" ht="26.4">
      <c r="W3167" s="64" ph="1"/>
    </row>
    <row r="3168" spans="23:23" ht="26.4">
      <c r="W3168" s="64" ph="1"/>
    </row>
    <row r="3169" spans="23:23" ht="26.4">
      <c r="W3169" s="64" ph="1"/>
    </row>
    <row r="3170" spans="23:23" ht="26.4">
      <c r="W3170" s="64" ph="1"/>
    </row>
    <row r="3171" spans="23:23" ht="26.4">
      <c r="W3171" s="64" ph="1"/>
    </row>
    <row r="3172" spans="23:23" ht="26.4">
      <c r="W3172" s="64" ph="1"/>
    </row>
    <row r="3173" spans="23:23" ht="26.4">
      <c r="W3173" s="64" ph="1"/>
    </row>
    <row r="3174" spans="23:23" ht="26.4">
      <c r="W3174" s="64" ph="1"/>
    </row>
    <row r="3175" spans="23:23" ht="26.4">
      <c r="W3175" s="64" ph="1"/>
    </row>
    <row r="3176" spans="23:23" ht="26.4">
      <c r="W3176" s="64" ph="1"/>
    </row>
    <row r="3177" spans="23:23" ht="26.4">
      <c r="W3177" s="64" ph="1"/>
    </row>
    <row r="3178" spans="23:23" ht="26.4">
      <c r="W3178" s="64" ph="1"/>
    </row>
    <row r="3179" spans="23:23" ht="26.4">
      <c r="W3179" s="64" ph="1"/>
    </row>
    <row r="3180" spans="23:23" ht="26.4">
      <c r="W3180" s="64" ph="1"/>
    </row>
    <row r="3181" spans="23:23" ht="26.4">
      <c r="W3181" s="64" ph="1"/>
    </row>
    <row r="3182" spans="23:23" ht="26.4">
      <c r="W3182" s="64" ph="1"/>
    </row>
    <row r="3183" spans="23:23" ht="26.4">
      <c r="W3183" s="64" ph="1"/>
    </row>
    <row r="3184" spans="23:23" ht="26.4">
      <c r="W3184" s="64" ph="1"/>
    </row>
    <row r="3185" spans="23:23" ht="26.4">
      <c r="W3185" s="64" ph="1"/>
    </row>
    <row r="3186" spans="23:23" ht="26.4">
      <c r="W3186" s="64" ph="1"/>
    </row>
    <row r="3187" spans="23:23" ht="26.4">
      <c r="W3187" s="64" ph="1"/>
    </row>
    <row r="3188" spans="23:23" ht="26.4">
      <c r="W3188" s="64" ph="1"/>
    </row>
    <row r="3189" spans="23:23" ht="26.4">
      <c r="W3189" s="64" ph="1"/>
    </row>
    <row r="3190" spans="23:23" ht="26.4">
      <c r="W3190" s="64" ph="1"/>
    </row>
    <row r="3191" spans="23:23" ht="26.4">
      <c r="W3191" s="64" ph="1"/>
    </row>
    <row r="3192" spans="23:23" ht="26.4">
      <c r="W3192" s="64" ph="1"/>
    </row>
    <row r="3193" spans="23:23" ht="26.4">
      <c r="W3193" s="64" ph="1"/>
    </row>
    <row r="3194" spans="23:23" ht="26.4">
      <c r="W3194" s="64" ph="1"/>
    </row>
    <row r="3195" spans="23:23" ht="26.4">
      <c r="W3195" s="64" ph="1"/>
    </row>
    <row r="3196" spans="23:23" ht="26.4">
      <c r="W3196" s="64" ph="1"/>
    </row>
    <row r="3197" spans="23:23" ht="26.4">
      <c r="W3197" s="64" ph="1"/>
    </row>
    <row r="3198" spans="23:23" ht="26.4">
      <c r="W3198" s="64" ph="1"/>
    </row>
    <row r="3199" spans="23:23" ht="26.4">
      <c r="W3199" s="64" ph="1"/>
    </row>
    <row r="3200" spans="23:23" ht="26.4">
      <c r="W3200" s="64" ph="1"/>
    </row>
    <row r="3201" spans="23:23" ht="26.4">
      <c r="W3201" s="64" ph="1"/>
    </row>
    <row r="3202" spans="23:23" ht="26.4">
      <c r="W3202" s="64" ph="1"/>
    </row>
    <row r="3203" spans="23:23" ht="26.4">
      <c r="W3203" s="64" ph="1"/>
    </row>
    <row r="3204" spans="23:23" ht="26.4">
      <c r="W3204" s="64" ph="1"/>
    </row>
    <row r="3205" spans="23:23" ht="26.4">
      <c r="W3205" s="64" ph="1"/>
    </row>
    <row r="3206" spans="23:23" ht="26.4">
      <c r="W3206" s="64" ph="1"/>
    </row>
    <row r="3207" spans="23:23" ht="26.4">
      <c r="W3207" s="64" ph="1"/>
    </row>
    <row r="3208" spans="23:23" ht="26.4">
      <c r="W3208" s="64" ph="1"/>
    </row>
    <row r="3209" spans="23:23" ht="26.4">
      <c r="W3209" s="64" ph="1"/>
    </row>
    <row r="3210" spans="23:23" ht="26.4">
      <c r="W3210" s="64" ph="1"/>
    </row>
    <row r="3211" spans="23:23" ht="26.4">
      <c r="W3211" s="64" ph="1"/>
    </row>
    <row r="3212" spans="23:23" ht="26.4">
      <c r="W3212" s="64" ph="1"/>
    </row>
    <row r="3213" spans="23:23" ht="26.4">
      <c r="W3213" s="64" ph="1"/>
    </row>
    <row r="3214" spans="23:23" ht="26.4">
      <c r="W3214" s="64" ph="1"/>
    </row>
    <row r="3215" spans="23:23" ht="26.4">
      <c r="W3215" s="64" ph="1"/>
    </row>
    <row r="3216" spans="23:23" ht="26.4">
      <c r="W3216" s="64" ph="1"/>
    </row>
    <row r="3217" spans="23:23" ht="26.4">
      <c r="W3217" s="64" ph="1"/>
    </row>
    <row r="3218" spans="23:23" ht="26.4">
      <c r="W3218" s="64" ph="1"/>
    </row>
    <row r="3219" spans="23:23" ht="26.4">
      <c r="W3219" s="64" ph="1"/>
    </row>
    <row r="3220" spans="23:23" ht="26.4">
      <c r="W3220" s="64" ph="1"/>
    </row>
    <row r="3221" spans="23:23" ht="26.4">
      <c r="W3221" s="64" ph="1"/>
    </row>
    <row r="3222" spans="23:23" ht="26.4">
      <c r="W3222" s="64" ph="1"/>
    </row>
    <row r="3223" spans="23:23" ht="26.4">
      <c r="W3223" s="64" ph="1"/>
    </row>
    <row r="3224" spans="23:23" ht="26.4">
      <c r="W3224" s="64" ph="1"/>
    </row>
    <row r="3225" spans="23:23" ht="26.4">
      <c r="W3225" s="64" ph="1"/>
    </row>
    <row r="3226" spans="23:23" ht="26.4">
      <c r="W3226" s="64" ph="1"/>
    </row>
    <row r="3227" spans="23:23" ht="26.4">
      <c r="W3227" s="64" ph="1"/>
    </row>
    <row r="3228" spans="23:23" ht="26.4">
      <c r="W3228" s="64" ph="1"/>
    </row>
    <row r="3229" spans="23:23" ht="26.4">
      <c r="W3229" s="64" ph="1"/>
    </row>
    <row r="3230" spans="23:23" ht="26.4">
      <c r="W3230" s="64" ph="1"/>
    </row>
    <row r="3231" spans="23:23" ht="26.4">
      <c r="W3231" s="64" ph="1"/>
    </row>
    <row r="3232" spans="23:23" ht="26.4">
      <c r="W3232" s="64" ph="1"/>
    </row>
    <row r="3233" spans="23:23" ht="26.4">
      <c r="W3233" s="64" ph="1"/>
    </row>
    <row r="3234" spans="23:23" ht="26.4">
      <c r="W3234" s="64" ph="1"/>
    </row>
    <row r="3235" spans="23:23" ht="26.4">
      <c r="W3235" s="64" ph="1"/>
    </row>
    <row r="3236" spans="23:23" ht="26.4">
      <c r="W3236" s="64" ph="1"/>
    </row>
    <row r="3237" spans="23:23" ht="26.4">
      <c r="W3237" s="64" ph="1"/>
    </row>
    <row r="3238" spans="23:23" ht="26.4">
      <c r="W3238" s="64" ph="1"/>
    </row>
    <row r="3239" spans="23:23" ht="26.4">
      <c r="W3239" s="64" ph="1"/>
    </row>
    <row r="3240" spans="23:23" ht="26.4">
      <c r="W3240" s="64" ph="1"/>
    </row>
    <row r="3241" spans="23:23" ht="26.4">
      <c r="W3241" s="64" ph="1"/>
    </row>
    <row r="3242" spans="23:23" ht="26.4">
      <c r="W3242" s="64" ph="1"/>
    </row>
    <row r="3243" spans="23:23" ht="26.4">
      <c r="W3243" s="64" ph="1"/>
    </row>
    <row r="3244" spans="23:23" ht="26.4">
      <c r="W3244" s="64" ph="1"/>
    </row>
    <row r="3245" spans="23:23" ht="26.4">
      <c r="W3245" s="64" ph="1"/>
    </row>
    <row r="3246" spans="23:23" ht="26.4">
      <c r="W3246" s="64" ph="1"/>
    </row>
    <row r="3247" spans="23:23" ht="26.4">
      <c r="W3247" s="64" ph="1"/>
    </row>
    <row r="3248" spans="23:23" ht="26.4">
      <c r="W3248" s="64" ph="1"/>
    </row>
    <row r="3249" spans="23:23" ht="26.4">
      <c r="W3249" s="64" ph="1"/>
    </row>
    <row r="3250" spans="23:23" ht="26.4">
      <c r="W3250" s="64" ph="1"/>
    </row>
    <row r="3251" spans="23:23" ht="26.4">
      <c r="W3251" s="64" ph="1"/>
    </row>
    <row r="3252" spans="23:23" ht="26.4">
      <c r="W3252" s="64" ph="1"/>
    </row>
    <row r="3253" spans="23:23" ht="26.4">
      <c r="W3253" s="64" ph="1"/>
    </row>
    <row r="3254" spans="23:23" ht="26.4">
      <c r="W3254" s="64" ph="1"/>
    </row>
    <row r="3255" spans="23:23" ht="26.4">
      <c r="W3255" s="64" ph="1"/>
    </row>
    <row r="3256" spans="23:23" ht="26.4">
      <c r="W3256" s="64" ph="1"/>
    </row>
    <row r="3257" spans="23:23" ht="26.4">
      <c r="W3257" s="64" ph="1"/>
    </row>
    <row r="3258" spans="23:23" ht="26.4">
      <c r="W3258" s="64" ph="1"/>
    </row>
    <row r="3259" spans="23:23" ht="26.4">
      <c r="W3259" s="64" ph="1"/>
    </row>
    <row r="3260" spans="23:23" ht="26.4">
      <c r="W3260" s="64" ph="1"/>
    </row>
    <row r="3261" spans="23:23" ht="26.4">
      <c r="W3261" s="64" ph="1"/>
    </row>
    <row r="3262" spans="23:23" ht="26.4">
      <c r="W3262" s="64" ph="1"/>
    </row>
    <row r="3263" spans="23:23" ht="26.4">
      <c r="W3263" s="64" ph="1"/>
    </row>
    <row r="3264" spans="23:23" ht="26.4">
      <c r="W3264" s="64" ph="1"/>
    </row>
    <row r="3265" spans="23:23" ht="26.4">
      <c r="W3265" s="64" ph="1"/>
    </row>
    <row r="3266" spans="23:23" ht="26.4">
      <c r="W3266" s="64" ph="1"/>
    </row>
    <row r="3267" spans="23:23" ht="26.4">
      <c r="W3267" s="64" ph="1"/>
    </row>
    <row r="3268" spans="23:23" ht="26.4">
      <c r="W3268" s="64" ph="1"/>
    </row>
    <row r="3269" spans="23:23" ht="26.4">
      <c r="W3269" s="64" ph="1"/>
    </row>
    <row r="3270" spans="23:23" ht="26.4">
      <c r="W3270" s="64" ph="1"/>
    </row>
    <row r="3271" spans="23:23" ht="26.4">
      <c r="W3271" s="64" ph="1"/>
    </row>
    <row r="3272" spans="23:23" ht="26.4">
      <c r="W3272" s="64" ph="1"/>
    </row>
    <row r="3273" spans="23:23" ht="26.4">
      <c r="W3273" s="64" ph="1"/>
    </row>
    <row r="3274" spans="23:23" ht="26.4">
      <c r="W3274" s="64" ph="1"/>
    </row>
    <row r="3275" spans="23:23" ht="26.4">
      <c r="W3275" s="64" ph="1"/>
    </row>
    <row r="3276" spans="23:23" ht="26.4">
      <c r="W3276" s="64" ph="1"/>
    </row>
    <row r="3277" spans="23:23" ht="26.4">
      <c r="W3277" s="64" ph="1"/>
    </row>
    <row r="3278" spans="23:23" ht="26.4">
      <c r="W3278" s="64" ph="1"/>
    </row>
    <row r="3279" spans="23:23" ht="26.4">
      <c r="W3279" s="64" ph="1"/>
    </row>
    <row r="3280" spans="23:23" ht="26.4">
      <c r="W3280" s="64" ph="1"/>
    </row>
    <row r="3281" spans="23:23" ht="26.4">
      <c r="W3281" s="64" ph="1"/>
    </row>
    <row r="3282" spans="23:23" ht="26.4">
      <c r="W3282" s="64" ph="1"/>
    </row>
    <row r="3283" spans="23:23" ht="26.4">
      <c r="W3283" s="64" ph="1"/>
    </row>
    <row r="3284" spans="23:23" ht="26.4">
      <c r="W3284" s="64" ph="1"/>
    </row>
    <row r="3285" spans="23:23" ht="26.4">
      <c r="W3285" s="64" ph="1"/>
    </row>
    <row r="3286" spans="23:23" ht="26.4">
      <c r="W3286" s="64" ph="1"/>
    </row>
    <row r="3287" spans="23:23" ht="26.4">
      <c r="W3287" s="64" ph="1"/>
    </row>
    <row r="3288" spans="23:23" ht="26.4">
      <c r="W3288" s="64" ph="1"/>
    </row>
    <row r="3289" spans="23:23" ht="26.4">
      <c r="W3289" s="64" ph="1"/>
    </row>
    <row r="3290" spans="23:23" ht="26.4">
      <c r="W3290" s="64" ph="1"/>
    </row>
    <row r="3291" spans="23:23" ht="26.4">
      <c r="W3291" s="64" ph="1"/>
    </row>
    <row r="3292" spans="23:23" ht="26.4">
      <c r="W3292" s="64" ph="1"/>
    </row>
    <row r="3293" spans="23:23" ht="26.4">
      <c r="W3293" s="64" ph="1"/>
    </row>
    <row r="3294" spans="23:23" ht="26.4">
      <c r="W3294" s="64" ph="1"/>
    </row>
    <row r="3295" spans="23:23" ht="26.4">
      <c r="W3295" s="64" ph="1"/>
    </row>
    <row r="3296" spans="23:23" ht="26.4">
      <c r="W3296" s="64" ph="1"/>
    </row>
    <row r="3297" spans="23:23" ht="26.4">
      <c r="W3297" s="64" ph="1"/>
    </row>
    <row r="3298" spans="23:23" ht="26.4">
      <c r="W3298" s="64" ph="1"/>
    </row>
    <row r="3299" spans="23:23" ht="26.4">
      <c r="W3299" s="64" ph="1"/>
    </row>
    <row r="3300" spans="23:23" ht="26.4">
      <c r="W3300" s="64" ph="1"/>
    </row>
    <row r="3301" spans="23:23" ht="26.4">
      <c r="W3301" s="64" ph="1"/>
    </row>
    <row r="3302" spans="23:23" ht="26.4">
      <c r="W3302" s="64" ph="1"/>
    </row>
    <row r="3303" spans="23:23" ht="26.4">
      <c r="W3303" s="64" ph="1"/>
    </row>
    <row r="3304" spans="23:23" ht="26.4">
      <c r="W3304" s="64" ph="1"/>
    </row>
    <row r="3305" spans="23:23" ht="26.4">
      <c r="W3305" s="64" ph="1"/>
    </row>
    <row r="3306" spans="23:23" ht="26.4">
      <c r="W3306" s="64" ph="1"/>
    </row>
    <row r="3307" spans="23:23" ht="26.4">
      <c r="W3307" s="64" ph="1"/>
    </row>
    <row r="3308" spans="23:23" ht="26.4">
      <c r="W3308" s="64" ph="1"/>
    </row>
    <row r="3309" spans="23:23" ht="26.4">
      <c r="W3309" s="64" ph="1"/>
    </row>
    <row r="3310" spans="23:23" ht="26.4">
      <c r="W3310" s="64" ph="1"/>
    </row>
    <row r="3311" spans="23:23" ht="26.4">
      <c r="W3311" s="64" ph="1"/>
    </row>
    <row r="3312" spans="23:23" ht="26.4">
      <c r="W3312" s="64" ph="1"/>
    </row>
    <row r="3313" spans="23:23" ht="26.4">
      <c r="W3313" s="64" ph="1"/>
    </row>
    <row r="3314" spans="23:23" ht="26.4">
      <c r="W3314" s="64" ph="1"/>
    </row>
    <row r="3315" spans="23:23" ht="26.4">
      <c r="W3315" s="64" ph="1"/>
    </row>
    <row r="3316" spans="23:23" ht="26.4">
      <c r="W3316" s="64" ph="1"/>
    </row>
    <row r="3317" spans="23:23" ht="26.4">
      <c r="W3317" s="64" ph="1"/>
    </row>
    <row r="3318" spans="23:23" ht="26.4">
      <c r="W3318" s="64" ph="1"/>
    </row>
    <row r="3319" spans="23:23" ht="26.4">
      <c r="W3319" s="64" ph="1"/>
    </row>
    <row r="3320" spans="23:23" ht="26.4">
      <c r="W3320" s="64" ph="1"/>
    </row>
    <row r="3321" spans="23:23" ht="26.4">
      <c r="W3321" s="64" ph="1"/>
    </row>
    <row r="3322" spans="23:23" ht="26.4">
      <c r="W3322" s="64" ph="1"/>
    </row>
    <row r="3323" spans="23:23" ht="26.4">
      <c r="W3323" s="64" ph="1"/>
    </row>
    <row r="3324" spans="23:23" ht="26.4">
      <c r="W3324" s="64" ph="1"/>
    </row>
    <row r="3325" spans="23:23" ht="26.4">
      <c r="W3325" s="64" ph="1"/>
    </row>
    <row r="3326" spans="23:23" ht="26.4">
      <c r="W3326" s="64" ph="1"/>
    </row>
    <row r="3327" spans="23:23" ht="26.4">
      <c r="W3327" s="64" ph="1"/>
    </row>
    <row r="3328" spans="23:23" ht="26.4">
      <c r="W3328" s="64" ph="1"/>
    </row>
    <row r="3329" spans="23:23" ht="26.4">
      <c r="W3329" s="64" ph="1"/>
    </row>
    <row r="3330" spans="23:23" ht="26.4">
      <c r="W3330" s="64" ph="1"/>
    </row>
    <row r="3331" spans="23:23" ht="26.4">
      <c r="W3331" s="64" ph="1"/>
    </row>
    <row r="3332" spans="23:23" ht="26.4">
      <c r="W3332" s="64" ph="1"/>
    </row>
    <row r="3333" spans="23:23" ht="26.4">
      <c r="W3333" s="64" ph="1"/>
    </row>
    <row r="3334" spans="23:23" ht="26.4">
      <c r="W3334" s="64" ph="1"/>
    </row>
    <row r="3335" spans="23:23" ht="26.4">
      <c r="W3335" s="64" ph="1"/>
    </row>
    <row r="3336" spans="23:23" ht="26.4">
      <c r="W3336" s="64" ph="1"/>
    </row>
    <row r="3337" spans="23:23" ht="26.4">
      <c r="W3337" s="64" ph="1"/>
    </row>
    <row r="3338" spans="23:23" ht="26.4">
      <c r="W3338" s="64" ph="1"/>
    </row>
    <row r="3339" spans="23:23" ht="26.4">
      <c r="W3339" s="64" ph="1"/>
    </row>
    <row r="3340" spans="23:23" ht="26.4">
      <c r="W3340" s="64" ph="1"/>
    </row>
    <row r="3341" spans="23:23" ht="26.4">
      <c r="W3341" s="64" ph="1"/>
    </row>
    <row r="3342" spans="23:23" ht="26.4">
      <c r="W3342" s="64" ph="1"/>
    </row>
    <row r="3343" spans="23:23" ht="26.4">
      <c r="W3343" s="64" ph="1"/>
    </row>
    <row r="3344" spans="23:23" ht="26.4">
      <c r="W3344" s="64" ph="1"/>
    </row>
    <row r="3345" spans="23:23" ht="26.4">
      <c r="W3345" s="64" ph="1"/>
    </row>
    <row r="3346" spans="23:23" ht="26.4">
      <c r="W3346" s="64" ph="1"/>
    </row>
    <row r="3347" spans="23:23" ht="26.4">
      <c r="W3347" s="64" ph="1"/>
    </row>
    <row r="3348" spans="23:23" ht="26.4">
      <c r="W3348" s="64" ph="1"/>
    </row>
    <row r="3349" spans="23:23" ht="26.4">
      <c r="W3349" s="64" ph="1"/>
    </row>
    <row r="3350" spans="23:23" ht="26.4">
      <c r="W3350" s="64" ph="1"/>
    </row>
    <row r="3351" spans="23:23" ht="26.4">
      <c r="W3351" s="64" ph="1"/>
    </row>
    <row r="3352" spans="23:23" ht="26.4">
      <c r="W3352" s="64" ph="1"/>
    </row>
    <row r="3353" spans="23:23" ht="26.4">
      <c r="W3353" s="64" ph="1"/>
    </row>
    <row r="3354" spans="23:23" ht="26.4">
      <c r="W3354" s="64" ph="1"/>
    </row>
    <row r="3355" spans="23:23" ht="26.4">
      <c r="W3355" s="64" ph="1"/>
    </row>
    <row r="3356" spans="23:23" ht="26.4">
      <c r="W3356" s="64" ph="1"/>
    </row>
    <row r="3357" spans="23:23" ht="26.4">
      <c r="W3357" s="64" ph="1"/>
    </row>
    <row r="3358" spans="23:23" ht="26.4">
      <c r="W3358" s="64" ph="1"/>
    </row>
    <row r="3359" spans="23:23" ht="26.4">
      <c r="W3359" s="64" ph="1"/>
    </row>
    <row r="3360" spans="23:23" ht="26.4">
      <c r="W3360" s="64" ph="1"/>
    </row>
    <row r="3361" spans="23:23" ht="26.4">
      <c r="W3361" s="64" ph="1"/>
    </row>
    <row r="3362" spans="23:23" ht="26.4">
      <c r="W3362" s="64" ph="1"/>
    </row>
    <row r="3363" spans="23:23" ht="26.4">
      <c r="W3363" s="64" ph="1"/>
    </row>
    <row r="3364" spans="23:23" ht="26.4">
      <c r="W3364" s="64" ph="1"/>
    </row>
    <row r="3365" spans="23:23" ht="26.4">
      <c r="W3365" s="64" ph="1"/>
    </row>
    <row r="3366" spans="23:23" ht="26.4">
      <c r="W3366" s="64" ph="1"/>
    </row>
    <row r="3367" spans="23:23" ht="26.4">
      <c r="W3367" s="64" ph="1"/>
    </row>
    <row r="3368" spans="23:23" ht="26.4">
      <c r="W3368" s="64" ph="1"/>
    </row>
    <row r="3369" spans="23:23" ht="26.4">
      <c r="W3369" s="64" ph="1"/>
    </row>
    <row r="3370" spans="23:23" ht="26.4">
      <c r="W3370" s="64" ph="1"/>
    </row>
    <row r="3371" spans="23:23" ht="26.4">
      <c r="W3371" s="64" ph="1"/>
    </row>
    <row r="3372" spans="23:23" ht="26.4">
      <c r="W3372" s="64" ph="1"/>
    </row>
    <row r="3373" spans="23:23" ht="26.4">
      <c r="W3373" s="64" ph="1"/>
    </row>
    <row r="3374" spans="23:23" ht="26.4">
      <c r="W3374" s="64" ph="1"/>
    </row>
    <row r="3375" spans="23:23" ht="26.4">
      <c r="W3375" s="64" ph="1"/>
    </row>
    <row r="3376" spans="23:23" ht="26.4">
      <c r="W3376" s="64" ph="1"/>
    </row>
    <row r="3377" spans="23:23" ht="26.4">
      <c r="W3377" s="64" ph="1"/>
    </row>
    <row r="3378" spans="23:23" ht="26.4">
      <c r="W3378" s="64" ph="1"/>
    </row>
    <row r="3379" spans="23:23" ht="26.4">
      <c r="W3379" s="64" ph="1"/>
    </row>
    <row r="3380" spans="23:23" ht="26.4">
      <c r="W3380" s="64" ph="1"/>
    </row>
    <row r="3381" spans="23:23" ht="26.4">
      <c r="W3381" s="64" ph="1"/>
    </row>
    <row r="3382" spans="23:23" ht="26.4">
      <c r="W3382" s="64" ph="1"/>
    </row>
    <row r="3383" spans="23:23" ht="26.4">
      <c r="W3383" s="64" ph="1"/>
    </row>
    <row r="3384" spans="23:23" ht="26.4">
      <c r="W3384" s="64" ph="1"/>
    </row>
    <row r="3385" spans="23:23" ht="26.4">
      <c r="W3385" s="64" ph="1"/>
    </row>
    <row r="3386" spans="23:23" ht="26.4">
      <c r="W3386" s="64" ph="1"/>
    </row>
    <row r="3387" spans="23:23" ht="26.4">
      <c r="W3387" s="64" ph="1"/>
    </row>
    <row r="3388" spans="23:23" ht="26.4">
      <c r="W3388" s="64" ph="1"/>
    </row>
    <row r="3389" spans="23:23" ht="26.4">
      <c r="W3389" s="64" ph="1"/>
    </row>
    <row r="3390" spans="23:23" ht="26.4">
      <c r="W3390" s="64" ph="1"/>
    </row>
    <row r="3391" spans="23:23" ht="26.4">
      <c r="W3391" s="64" ph="1"/>
    </row>
    <row r="3392" spans="23:23" ht="26.4">
      <c r="W3392" s="64" ph="1"/>
    </row>
    <row r="3393" spans="23:23" ht="26.4">
      <c r="W3393" s="64" ph="1"/>
    </row>
    <row r="3394" spans="23:23" ht="26.4">
      <c r="W3394" s="64" ph="1"/>
    </row>
    <row r="3395" spans="23:23" ht="26.4">
      <c r="W3395" s="64" ph="1"/>
    </row>
    <row r="3396" spans="23:23" ht="26.4">
      <c r="W3396" s="64" ph="1"/>
    </row>
    <row r="3397" spans="23:23" ht="26.4">
      <c r="W3397" s="64" ph="1"/>
    </row>
    <row r="3398" spans="23:23" ht="26.4">
      <c r="W3398" s="64" ph="1"/>
    </row>
    <row r="3399" spans="23:23" ht="26.4">
      <c r="W3399" s="64" ph="1"/>
    </row>
    <row r="3400" spans="23:23" ht="26.4">
      <c r="W3400" s="64" ph="1"/>
    </row>
    <row r="3401" spans="23:23" ht="26.4">
      <c r="W3401" s="64" ph="1"/>
    </row>
    <row r="3402" spans="23:23" ht="26.4">
      <c r="W3402" s="64" ph="1"/>
    </row>
    <row r="3403" spans="23:23" ht="26.4">
      <c r="W3403" s="64" ph="1"/>
    </row>
    <row r="3404" spans="23:23" ht="26.4">
      <c r="W3404" s="64" ph="1"/>
    </row>
    <row r="3405" spans="23:23" ht="26.4">
      <c r="W3405" s="64" ph="1"/>
    </row>
    <row r="3406" spans="23:23" ht="26.4">
      <c r="W3406" s="64" ph="1"/>
    </row>
    <row r="3407" spans="23:23" ht="26.4">
      <c r="W3407" s="64" ph="1"/>
    </row>
    <row r="3408" spans="23:23" ht="26.4">
      <c r="W3408" s="64" ph="1"/>
    </row>
    <row r="3409" spans="23:23" ht="26.4">
      <c r="W3409" s="64" ph="1"/>
    </row>
    <row r="3410" spans="23:23" ht="26.4">
      <c r="W3410" s="64" ph="1"/>
    </row>
    <row r="3411" spans="23:23" ht="26.4">
      <c r="W3411" s="64" ph="1"/>
    </row>
    <row r="3412" spans="23:23" ht="26.4">
      <c r="W3412" s="64" ph="1"/>
    </row>
    <row r="3413" spans="23:23" ht="26.4">
      <c r="W3413" s="64" ph="1"/>
    </row>
    <row r="3414" spans="23:23" ht="26.4">
      <c r="W3414" s="64" ph="1"/>
    </row>
    <row r="3415" spans="23:23" ht="26.4">
      <c r="W3415" s="64" ph="1"/>
    </row>
    <row r="3416" spans="23:23" ht="26.4">
      <c r="W3416" s="64" ph="1"/>
    </row>
    <row r="3417" spans="23:23" ht="26.4">
      <c r="W3417" s="64" ph="1"/>
    </row>
    <row r="3418" spans="23:23" ht="26.4">
      <c r="W3418" s="64" ph="1"/>
    </row>
    <row r="3419" spans="23:23" ht="26.4">
      <c r="W3419" s="64" ph="1"/>
    </row>
    <row r="3420" spans="23:23" ht="26.4">
      <c r="W3420" s="64" ph="1"/>
    </row>
    <row r="3421" spans="23:23" ht="26.4">
      <c r="W3421" s="64" ph="1"/>
    </row>
    <row r="3422" spans="23:23" ht="26.4">
      <c r="W3422" s="64" ph="1"/>
    </row>
    <row r="3423" spans="23:23" ht="26.4">
      <c r="W3423" s="64" ph="1"/>
    </row>
    <row r="3424" spans="23:23" ht="26.4">
      <c r="W3424" s="64" ph="1"/>
    </row>
    <row r="3425" spans="23:23" ht="26.4">
      <c r="W3425" s="64" ph="1"/>
    </row>
    <row r="3426" spans="23:23" ht="26.4">
      <c r="W3426" s="64" ph="1"/>
    </row>
    <row r="3427" spans="23:23" ht="26.4">
      <c r="W3427" s="64" ph="1"/>
    </row>
    <row r="3428" spans="23:23" ht="26.4">
      <c r="W3428" s="64" ph="1"/>
    </row>
    <row r="3429" spans="23:23" ht="26.4">
      <c r="W3429" s="64" ph="1"/>
    </row>
    <row r="3430" spans="23:23" ht="26.4">
      <c r="W3430" s="64" ph="1"/>
    </row>
    <row r="3431" spans="23:23" ht="26.4">
      <c r="W3431" s="64" ph="1"/>
    </row>
    <row r="3432" spans="23:23" ht="26.4">
      <c r="W3432" s="64" ph="1"/>
    </row>
    <row r="3433" spans="23:23" ht="26.4">
      <c r="W3433" s="64" ph="1"/>
    </row>
    <row r="3434" spans="23:23" ht="26.4">
      <c r="W3434" s="64" ph="1"/>
    </row>
    <row r="3435" spans="23:23" ht="26.4">
      <c r="W3435" s="64" ph="1"/>
    </row>
    <row r="3436" spans="23:23" ht="26.4">
      <c r="W3436" s="64" ph="1"/>
    </row>
    <row r="3437" spans="23:23" ht="26.4">
      <c r="W3437" s="64" ph="1"/>
    </row>
    <row r="3438" spans="23:23" ht="26.4">
      <c r="W3438" s="64" ph="1"/>
    </row>
    <row r="3439" spans="23:23" ht="26.4">
      <c r="W3439" s="64" ph="1"/>
    </row>
    <row r="3440" spans="23:23" ht="26.4">
      <c r="W3440" s="64" ph="1"/>
    </row>
    <row r="3441" spans="23:23" ht="26.4">
      <c r="W3441" s="64" ph="1"/>
    </row>
    <row r="3442" spans="23:23" ht="26.4">
      <c r="W3442" s="64" ph="1"/>
    </row>
    <row r="3443" spans="23:23" ht="26.4">
      <c r="W3443" s="64" ph="1"/>
    </row>
    <row r="3444" spans="23:23" ht="26.4">
      <c r="W3444" s="64" ph="1"/>
    </row>
    <row r="3445" spans="23:23" ht="26.4">
      <c r="W3445" s="64" ph="1"/>
    </row>
    <row r="3446" spans="23:23" ht="26.4">
      <c r="W3446" s="64" ph="1"/>
    </row>
    <row r="3447" spans="23:23" ht="26.4">
      <c r="W3447" s="64" ph="1"/>
    </row>
    <row r="3448" spans="23:23" ht="26.4">
      <c r="W3448" s="64" ph="1"/>
    </row>
    <row r="3449" spans="23:23" ht="26.4">
      <c r="W3449" s="64" ph="1"/>
    </row>
    <row r="3450" spans="23:23" ht="26.4">
      <c r="W3450" s="64" ph="1"/>
    </row>
    <row r="3451" spans="23:23" ht="26.4">
      <c r="W3451" s="64" ph="1"/>
    </row>
    <row r="3452" spans="23:23" ht="26.4">
      <c r="W3452" s="64" ph="1"/>
    </row>
    <row r="3453" spans="23:23" ht="26.4">
      <c r="W3453" s="64" ph="1"/>
    </row>
    <row r="3454" spans="23:23" ht="26.4">
      <c r="W3454" s="64" ph="1"/>
    </row>
    <row r="3455" spans="23:23" ht="26.4">
      <c r="W3455" s="64" ph="1"/>
    </row>
    <row r="3456" spans="23:23" ht="26.4">
      <c r="W3456" s="64" ph="1"/>
    </row>
    <row r="3457" spans="23:23" ht="26.4">
      <c r="W3457" s="64" ph="1"/>
    </row>
    <row r="3458" spans="23:23" ht="26.4">
      <c r="W3458" s="64" ph="1"/>
    </row>
    <row r="3459" spans="23:23" ht="26.4">
      <c r="W3459" s="64" ph="1"/>
    </row>
    <row r="3460" spans="23:23" ht="26.4">
      <c r="W3460" s="64" ph="1"/>
    </row>
    <row r="3461" spans="23:23" ht="26.4">
      <c r="W3461" s="64" ph="1"/>
    </row>
    <row r="3462" spans="23:23" ht="26.4">
      <c r="W3462" s="64" ph="1"/>
    </row>
    <row r="3463" spans="23:23" ht="26.4">
      <c r="W3463" s="64" ph="1"/>
    </row>
    <row r="3464" spans="23:23" ht="26.4">
      <c r="W3464" s="64" ph="1"/>
    </row>
    <row r="3465" spans="23:23" ht="26.4">
      <c r="W3465" s="64" ph="1"/>
    </row>
    <row r="3466" spans="23:23" ht="26.4">
      <c r="W3466" s="64" ph="1"/>
    </row>
    <row r="3467" spans="23:23" ht="26.4">
      <c r="W3467" s="64" ph="1"/>
    </row>
    <row r="3468" spans="23:23" ht="26.4">
      <c r="W3468" s="64" ph="1"/>
    </row>
    <row r="3469" spans="23:23" ht="26.4">
      <c r="W3469" s="64" ph="1"/>
    </row>
    <row r="3470" spans="23:23" ht="26.4">
      <c r="W3470" s="64" ph="1"/>
    </row>
    <row r="3471" spans="23:23" ht="26.4">
      <c r="W3471" s="64" ph="1"/>
    </row>
    <row r="3472" spans="23:23" ht="26.4">
      <c r="W3472" s="64" ph="1"/>
    </row>
    <row r="3473" spans="23:23" ht="26.4">
      <c r="W3473" s="64" ph="1"/>
    </row>
    <row r="3474" spans="23:23" ht="26.4">
      <c r="W3474" s="64" ph="1"/>
    </row>
    <row r="3475" spans="23:23" ht="26.4">
      <c r="W3475" s="64" ph="1"/>
    </row>
    <row r="3476" spans="23:23" ht="26.4">
      <c r="W3476" s="64" ph="1"/>
    </row>
    <row r="3477" spans="23:23" ht="26.4">
      <c r="W3477" s="64" ph="1"/>
    </row>
    <row r="3478" spans="23:23" ht="26.4">
      <c r="W3478" s="64" ph="1"/>
    </row>
    <row r="3479" spans="23:23" ht="26.4">
      <c r="W3479" s="64" ph="1"/>
    </row>
    <row r="3480" spans="23:23" ht="26.4">
      <c r="W3480" s="64" ph="1"/>
    </row>
    <row r="3481" spans="23:23" ht="26.4">
      <c r="W3481" s="64" ph="1"/>
    </row>
    <row r="3482" spans="23:23" ht="26.4">
      <c r="W3482" s="64" ph="1"/>
    </row>
    <row r="3483" spans="23:23" ht="26.4">
      <c r="W3483" s="64" ph="1"/>
    </row>
    <row r="3484" spans="23:23" ht="26.4">
      <c r="W3484" s="64" ph="1"/>
    </row>
    <row r="3485" spans="23:23" ht="26.4">
      <c r="W3485" s="64" ph="1"/>
    </row>
    <row r="3486" spans="23:23" ht="26.4">
      <c r="W3486" s="64" ph="1"/>
    </row>
    <row r="3487" spans="23:23" ht="26.4">
      <c r="W3487" s="64" ph="1"/>
    </row>
    <row r="3488" spans="23:23" ht="26.4">
      <c r="W3488" s="64" ph="1"/>
    </row>
    <row r="3489" spans="23:23" ht="26.4">
      <c r="W3489" s="64" ph="1"/>
    </row>
    <row r="3490" spans="23:23" ht="26.4">
      <c r="W3490" s="64" ph="1"/>
    </row>
    <row r="3491" spans="23:23" ht="26.4">
      <c r="W3491" s="64" ph="1"/>
    </row>
    <row r="3492" spans="23:23" ht="26.4">
      <c r="W3492" s="64" ph="1"/>
    </row>
    <row r="3493" spans="23:23" ht="26.4">
      <c r="W3493" s="64" ph="1"/>
    </row>
    <row r="3494" spans="23:23" ht="26.4">
      <c r="W3494" s="64" ph="1"/>
    </row>
    <row r="3495" spans="23:23" ht="26.4">
      <c r="W3495" s="64" ph="1"/>
    </row>
    <row r="3496" spans="23:23" ht="26.4">
      <c r="W3496" s="64" ph="1"/>
    </row>
    <row r="3497" spans="23:23" ht="26.4">
      <c r="W3497" s="64" ph="1"/>
    </row>
    <row r="3498" spans="23:23" ht="26.4">
      <c r="W3498" s="64" ph="1"/>
    </row>
    <row r="3499" spans="23:23" ht="26.4">
      <c r="W3499" s="64" ph="1"/>
    </row>
    <row r="3500" spans="23:23" ht="26.4">
      <c r="W3500" s="64" ph="1"/>
    </row>
    <row r="3501" spans="23:23" ht="26.4">
      <c r="W3501" s="64" ph="1"/>
    </row>
    <row r="3502" spans="23:23" ht="26.4">
      <c r="W3502" s="64" ph="1"/>
    </row>
    <row r="3503" spans="23:23" ht="26.4">
      <c r="W3503" s="64" ph="1"/>
    </row>
    <row r="3504" spans="23:23" ht="26.4">
      <c r="W3504" s="64" ph="1"/>
    </row>
    <row r="3505" spans="23:23" ht="26.4">
      <c r="W3505" s="64" ph="1"/>
    </row>
    <row r="3506" spans="23:23" ht="26.4">
      <c r="W3506" s="64" ph="1"/>
    </row>
    <row r="3507" spans="23:23" ht="26.4">
      <c r="W3507" s="64" ph="1"/>
    </row>
    <row r="3508" spans="23:23" ht="26.4">
      <c r="W3508" s="64" ph="1"/>
    </row>
    <row r="3509" spans="23:23" ht="26.4">
      <c r="W3509" s="64" ph="1"/>
    </row>
    <row r="3510" spans="23:23" ht="26.4">
      <c r="W3510" s="64" ph="1"/>
    </row>
    <row r="3511" spans="23:23" ht="26.4">
      <c r="W3511" s="64" ph="1"/>
    </row>
    <row r="3512" spans="23:23" ht="26.4">
      <c r="W3512" s="64" ph="1"/>
    </row>
    <row r="3513" spans="23:23" ht="26.4">
      <c r="W3513" s="64" ph="1"/>
    </row>
    <row r="3514" spans="23:23" ht="26.4">
      <c r="W3514" s="64" ph="1"/>
    </row>
    <row r="3515" spans="23:23" ht="26.4">
      <c r="W3515" s="64" ph="1"/>
    </row>
    <row r="3516" spans="23:23" ht="26.4">
      <c r="W3516" s="64" ph="1"/>
    </row>
    <row r="3517" spans="23:23" ht="26.4">
      <c r="W3517" s="64" ph="1"/>
    </row>
    <row r="3518" spans="23:23" ht="26.4">
      <c r="W3518" s="64" ph="1"/>
    </row>
    <row r="3519" spans="23:23" ht="26.4">
      <c r="W3519" s="64" ph="1"/>
    </row>
    <row r="3520" spans="23:23" ht="26.4">
      <c r="W3520" s="64" ph="1"/>
    </row>
    <row r="3521" spans="23:23" ht="26.4">
      <c r="W3521" s="64" ph="1"/>
    </row>
    <row r="3522" spans="23:23" ht="26.4">
      <c r="W3522" s="64" ph="1"/>
    </row>
    <row r="3523" spans="23:23" ht="26.4">
      <c r="W3523" s="64" ph="1"/>
    </row>
    <row r="3524" spans="23:23" ht="26.4">
      <c r="W3524" s="64" ph="1"/>
    </row>
    <row r="3525" spans="23:23" ht="26.4">
      <c r="W3525" s="64" ph="1"/>
    </row>
    <row r="3526" spans="23:23" ht="26.4">
      <c r="W3526" s="64" ph="1"/>
    </row>
    <row r="3527" spans="23:23" ht="26.4">
      <c r="W3527" s="64" ph="1"/>
    </row>
    <row r="3528" spans="23:23" ht="26.4">
      <c r="W3528" s="64" ph="1"/>
    </row>
    <row r="3529" spans="23:23" ht="26.4">
      <c r="W3529" s="64" ph="1"/>
    </row>
    <row r="3530" spans="23:23" ht="26.4">
      <c r="W3530" s="64" ph="1"/>
    </row>
    <row r="3531" spans="23:23" ht="26.4">
      <c r="W3531" s="64" ph="1"/>
    </row>
    <row r="3532" spans="23:23" ht="26.4">
      <c r="W3532" s="64" ph="1"/>
    </row>
    <row r="3533" spans="23:23" ht="26.4">
      <c r="W3533" s="64" ph="1"/>
    </row>
    <row r="3534" spans="23:23" ht="26.4">
      <c r="W3534" s="64" ph="1"/>
    </row>
    <row r="3535" spans="23:23" ht="26.4">
      <c r="W3535" s="64" ph="1"/>
    </row>
    <row r="3536" spans="23:23" ht="26.4">
      <c r="W3536" s="64" ph="1"/>
    </row>
    <row r="3537" spans="23:23" ht="26.4">
      <c r="W3537" s="64" ph="1"/>
    </row>
    <row r="3538" spans="23:23" ht="26.4">
      <c r="W3538" s="64" ph="1"/>
    </row>
    <row r="3539" spans="23:23" ht="26.4">
      <c r="W3539" s="64" ph="1"/>
    </row>
    <row r="3540" spans="23:23" ht="26.4">
      <c r="W3540" s="64" ph="1"/>
    </row>
    <row r="3541" spans="23:23" ht="26.4">
      <c r="W3541" s="64" ph="1"/>
    </row>
    <row r="3542" spans="23:23" ht="26.4">
      <c r="W3542" s="64" ph="1"/>
    </row>
    <row r="3543" spans="23:23" ht="26.4">
      <c r="W3543" s="64" ph="1"/>
    </row>
    <row r="3544" spans="23:23" ht="26.4">
      <c r="W3544" s="64" ph="1"/>
    </row>
    <row r="3545" spans="23:23" ht="26.4">
      <c r="W3545" s="64" ph="1"/>
    </row>
    <row r="3546" spans="23:23" ht="26.4">
      <c r="W3546" s="64" ph="1"/>
    </row>
    <row r="3547" spans="23:23" ht="26.4">
      <c r="W3547" s="64" ph="1"/>
    </row>
    <row r="3548" spans="23:23" ht="26.4">
      <c r="W3548" s="64" ph="1"/>
    </row>
    <row r="3549" spans="23:23" ht="26.4">
      <c r="W3549" s="64" ph="1"/>
    </row>
    <row r="3550" spans="23:23" ht="26.4">
      <c r="W3550" s="64" ph="1"/>
    </row>
    <row r="3551" spans="23:23" ht="26.4">
      <c r="W3551" s="64" ph="1"/>
    </row>
    <row r="3552" spans="23:23" ht="26.4">
      <c r="W3552" s="64" ph="1"/>
    </row>
    <row r="3553" spans="23:23" ht="26.4">
      <c r="W3553" s="64" ph="1"/>
    </row>
    <row r="3554" spans="23:23" ht="26.4">
      <c r="W3554" s="64" ph="1"/>
    </row>
    <row r="3555" spans="23:23" ht="26.4">
      <c r="W3555" s="64" ph="1"/>
    </row>
    <row r="3556" spans="23:23" ht="26.4">
      <c r="W3556" s="64" ph="1"/>
    </row>
    <row r="3557" spans="23:23" ht="26.4">
      <c r="W3557" s="64" ph="1"/>
    </row>
    <row r="3558" spans="23:23" ht="26.4">
      <c r="W3558" s="64" ph="1"/>
    </row>
    <row r="3559" spans="23:23" ht="26.4">
      <c r="W3559" s="64" ph="1"/>
    </row>
    <row r="3560" spans="23:23" ht="26.4">
      <c r="W3560" s="64" ph="1"/>
    </row>
    <row r="3561" spans="23:23" ht="26.4">
      <c r="W3561" s="64" ph="1"/>
    </row>
    <row r="3562" spans="23:23" ht="26.4">
      <c r="W3562" s="64" ph="1"/>
    </row>
    <row r="3563" spans="23:23" ht="26.4">
      <c r="W3563" s="64" ph="1"/>
    </row>
    <row r="3564" spans="23:23" ht="26.4">
      <c r="W3564" s="64" ph="1"/>
    </row>
    <row r="3565" spans="23:23" ht="26.4">
      <c r="W3565" s="64" ph="1"/>
    </row>
    <row r="3566" spans="23:23" ht="26.4">
      <c r="W3566" s="64" ph="1"/>
    </row>
    <row r="3567" spans="23:23" ht="26.4">
      <c r="W3567" s="64" ph="1"/>
    </row>
    <row r="3568" spans="23:23" ht="26.4">
      <c r="W3568" s="64" ph="1"/>
    </row>
    <row r="3569" spans="23:23" ht="26.4">
      <c r="W3569" s="64" ph="1"/>
    </row>
    <row r="3570" spans="23:23" ht="26.4">
      <c r="W3570" s="64" ph="1"/>
    </row>
    <row r="3571" spans="23:23" ht="26.4">
      <c r="W3571" s="64" ph="1"/>
    </row>
    <row r="3572" spans="23:23" ht="26.4">
      <c r="W3572" s="64" ph="1"/>
    </row>
    <row r="3573" spans="23:23" ht="26.4">
      <c r="W3573" s="64" ph="1"/>
    </row>
    <row r="3574" spans="23:23" ht="26.4">
      <c r="W3574" s="64" ph="1"/>
    </row>
    <row r="3575" spans="23:23" ht="26.4">
      <c r="W3575" s="64" ph="1"/>
    </row>
    <row r="3576" spans="23:23" ht="26.4">
      <c r="W3576" s="64" ph="1"/>
    </row>
    <row r="3577" spans="23:23" ht="26.4">
      <c r="W3577" s="64" ph="1"/>
    </row>
    <row r="3578" spans="23:23" ht="26.4">
      <c r="W3578" s="64" ph="1"/>
    </row>
    <row r="3579" spans="23:23" ht="26.4">
      <c r="W3579" s="64" ph="1"/>
    </row>
    <row r="3580" spans="23:23" ht="26.4">
      <c r="W3580" s="64" ph="1"/>
    </row>
    <row r="3581" spans="23:23" ht="26.4">
      <c r="W3581" s="64" ph="1"/>
    </row>
    <row r="3582" spans="23:23" ht="26.4">
      <c r="W3582" s="64" ph="1"/>
    </row>
    <row r="3583" spans="23:23" ht="26.4">
      <c r="W3583" s="64" ph="1"/>
    </row>
    <row r="3584" spans="23:23" ht="26.4">
      <c r="W3584" s="64" ph="1"/>
    </row>
    <row r="3585" spans="23:23" ht="26.4">
      <c r="W3585" s="64" ph="1"/>
    </row>
    <row r="3586" spans="23:23" ht="26.4">
      <c r="W3586" s="64" ph="1"/>
    </row>
    <row r="3587" spans="23:23" ht="26.4">
      <c r="W3587" s="64" ph="1"/>
    </row>
    <row r="3588" spans="23:23" ht="26.4">
      <c r="W3588" s="64" ph="1"/>
    </row>
    <row r="3589" spans="23:23" ht="26.4">
      <c r="W3589" s="64" ph="1"/>
    </row>
    <row r="3590" spans="23:23" ht="26.4">
      <c r="W3590" s="64" ph="1"/>
    </row>
    <row r="3591" spans="23:23" ht="26.4">
      <c r="W3591" s="64" ph="1"/>
    </row>
    <row r="3592" spans="23:23" ht="26.4">
      <c r="W3592" s="64" ph="1"/>
    </row>
    <row r="3593" spans="23:23" ht="26.4">
      <c r="W3593" s="64" ph="1"/>
    </row>
    <row r="3594" spans="23:23" ht="26.4">
      <c r="W3594" s="64" ph="1"/>
    </row>
    <row r="3595" spans="23:23" ht="26.4">
      <c r="W3595" s="64" ph="1"/>
    </row>
    <row r="3596" spans="23:23" ht="26.4">
      <c r="W3596" s="64" ph="1"/>
    </row>
    <row r="3597" spans="23:23" ht="26.4">
      <c r="W3597" s="64" ph="1"/>
    </row>
    <row r="3598" spans="23:23" ht="26.4">
      <c r="W3598" s="64" ph="1"/>
    </row>
    <row r="3599" spans="23:23" ht="26.4">
      <c r="W3599" s="64" ph="1"/>
    </row>
    <row r="3600" spans="23:23" ht="26.4">
      <c r="W3600" s="64" ph="1"/>
    </row>
    <row r="3601" spans="23:23" ht="26.4">
      <c r="W3601" s="64" ph="1"/>
    </row>
    <row r="3602" spans="23:23" ht="26.4">
      <c r="W3602" s="64" ph="1"/>
    </row>
    <row r="3603" spans="23:23" ht="26.4">
      <c r="W3603" s="64" ph="1"/>
    </row>
    <row r="3604" spans="23:23" ht="26.4">
      <c r="W3604" s="64" ph="1"/>
    </row>
    <row r="3605" spans="23:23" ht="26.4">
      <c r="W3605" s="64" ph="1"/>
    </row>
    <row r="3606" spans="23:23" ht="26.4">
      <c r="W3606" s="64" ph="1"/>
    </row>
    <row r="3607" spans="23:23" ht="26.4">
      <c r="W3607" s="64" ph="1"/>
    </row>
    <row r="3608" spans="23:23" ht="26.4">
      <c r="W3608" s="64" ph="1"/>
    </row>
    <row r="3609" spans="23:23" ht="26.4">
      <c r="W3609" s="64" ph="1"/>
    </row>
    <row r="3610" spans="23:23" ht="26.4">
      <c r="W3610" s="64" ph="1"/>
    </row>
    <row r="3611" spans="23:23" ht="26.4">
      <c r="W3611" s="64" ph="1"/>
    </row>
    <row r="3612" spans="23:23" ht="26.4">
      <c r="W3612" s="64" ph="1"/>
    </row>
    <row r="3613" spans="23:23" ht="26.4">
      <c r="W3613" s="64" ph="1"/>
    </row>
    <row r="3614" spans="23:23" ht="26.4">
      <c r="W3614" s="64" ph="1"/>
    </row>
    <row r="3615" spans="23:23" ht="26.4">
      <c r="W3615" s="64" ph="1"/>
    </row>
    <row r="3616" spans="23:23" ht="26.4">
      <c r="W3616" s="64" ph="1"/>
    </row>
    <row r="3617" spans="23:23" ht="26.4">
      <c r="W3617" s="64" ph="1"/>
    </row>
    <row r="3618" spans="23:23" ht="26.4">
      <c r="W3618" s="64" ph="1"/>
    </row>
    <row r="3619" spans="23:23" ht="26.4">
      <c r="W3619" s="64" ph="1"/>
    </row>
    <row r="3620" spans="23:23" ht="26.4">
      <c r="W3620" s="64" ph="1"/>
    </row>
    <row r="3621" spans="23:23" ht="26.4">
      <c r="W3621" s="64" ph="1"/>
    </row>
    <row r="3622" spans="23:23" ht="26.4">
      <c r="W3622" s="64" ph="1"/>
    </row>
    <row r="3623" spans="23:23" ht="26.4">
      <c r="W3623" s="64" ph="1"/>
    </row>
    <row r="3624" spans="23:23" ht="26.4">
      <c r="W3624" s="64" ph="1"/>
    </row>
    <row r="3625" spans="23:23" ht="26.4">
      <c r="W3625" s="64" ph="1"/>
    </row>
    <row r="3626" spans="23:23" ht="26.4">
      <c r="W3626" s="64" ph="1"/>
    </row>
    <row r="3627" spans="23:23" ht="26.4">
      <c r="W3627" s="64" ph="1"/>
    </row>
    <row r="3628" spans="23:23" ht="26.4">
      <c r="W3628" s="64" ph="1"/>
    </row>
    <row r="3629" spans="23:23" ht="26.4">
      <c r="W3629" s="64" ph="1"/>
    </row>
    <row r="3630" spans="23:23" ht="26.4">
      <c r="W3630" s="64" ph="1"/>
    </row>
    <row r="3631" spans="23:23" ht="26.4">
      <c r="W3631" s="64" ph="1"/>
    </row>
    <row r="3632" spans="23:23" ht="26.4">
      <c r="W3632" s="64" ph="1"/>
    </row>
    <row r="3633" spans="23:23" ht="26.4">
      <c r="W3633" s="64" ph="1"/>
    </row>
    <row r="3634" spans="23:23" ht="26.4">
      <c r="W3634" s="64" ph="1"/>
    </row>
    <row r="3635" spans="23:23" ht="26.4">
      <c r="W3635" s="64" ph="1"/>
    </row>
    <row r="3636" spans="23:23" ht="26.4">
      <c r="W3636" s="64" ph="1"/>
    </row>
    <row r="3637" spans="23:23" ht="26.4">
      <c r="W3637" s="64" ph="1"/>
    </row>
    <row r="3638" spans="23:23" ht="26.4">
      <c r="W3638" s="64" ph="1"/>
    </row>
    <row r="3639" spans="23:23" ht="26.4">
      <c r="W3639" s="64" ph="1"/>
    </row>
    <row r="3640" spans="23:23" ht="26.4">
      <c r="W3640" s="64" ph="1"/>
    </row>
    <row r="3641" spans="23:23" ht="26.4">
      <c r="W3641" s="64" ph="1"/>
    </row>
    <row r="3642" spans="23:23" ht="26.4">
      <c r="W3642" s="64" ph="1"/>
    </row>
    <row r="3643" spans="23:23" ht="26.4">
      <c r="W3643" s="64" ph="1"/>
    </row>
    <row r="3644" spans="23:23" ht="26.4">
      <c r="W3644" s="64" ph="1"/>
    </row>
    <row r="3645" spans="23:23" ht="26.4">
      <c r="W3645" s="64" ph="1"/>
    </row>
    <row r="3646" spans="23:23" ht="26.4">
      <c r="W3646" s="64" ph="1"/>
    </row>
    <row r="3647" spans="23:23" ht="26.4">
      <c r="W3647" s="64" ph="1"/>
    </row>
    <row r="3648" spans="23:23" ht="26.4">
      <c r="W3648" s="64" ph="1"/>
    </row>
    <row r="3649" spans="23:23" ht="26.4">
      <c r="W3649" s="64" ph="1"/>
    </row>
    <row r="3650" spans="23:23" ht="26.4">
      <c r="W3650" s="64" ph="1"/>
    </row>
    <row r="3651" spans="23:23" ht="26.4">
      <c r="W3651" s="64" ph="1"/>
    </row>
    <row r="3652" spans="23:23" ht="26.4">
      <c r="W3652" s="64" ph="1"/>
    </row>
    <row r="3653" spans="23:23" ht="26.4">
      <c r="W3653" s="64" ph="1"/>
    </row>
    <row r="3654" spans="23:23" ht="26.4">
      <c r="W3654" s="64" ph="1"/>
    </row>
    <row r="3655" spans="23:23" ht="26.4">
      <c r="W3655" s="64" ph="1"/>
    </row>
    <row r="3656" spans="23:23" ht="26.4">
      <c r="W3656" s="64" ph="1"/>
    </row>
    <row r="3657" spans="23:23" ht="26.4">
      <c r="W3657" s="64" ph="1"/>
    </row>
    <row r="3658" spans="23:23" ht="26.4">
      <c r="W3658" s="64" ph="1"/>
    </row>
    <row r="3659" spans="23:23" ht="26.4">
      <c r="W3659" s="64" ph="1"/>
    </row>
    <row r="3660" spans="23:23" ht="26.4">
      <c r="W3660" s="64" ph="1"/>
    </row>
    <row r="3661" spans="23:23" ht="26.4">
      <c r="W3661" s="64" ph="1"/>
    </row>
    <row r="3662" spans="23:23" ht="26.4">
      <c r="W3662" s="64" ph="1"/>
    </row>
    <row r="3663" spans="23:23" ht="26.4">
      <c r="W3663" s="64" ph="1"/>
    </row>
    <row r="3664" spans="23:23" ht="26.4">
      <c r="W3664" s="64" ph="1"/>
    </row>
    <row r="3665" spans="23:23" ht="26.4">
      <c r="W3665" s="64" ph="1"/>
    </row>
    <row r="3666" spans="23:23" ht="26.4">
      <c r="W3666" s="64" ph="1"/>
    </row>
    <row r="3667" spans="23:23" ht="26.4">
      <c r="W3667" s="64" ph="1"/>
    </row>
    <row r="3668" spans="23:23" ht="26.4">
      <c r="W3668" s="64" ph="1"/>
    </row>
    <row r="3669" spans="23:23" ht="26.4">
      <c r="W3669" s="64" ph="1"/>
    </row>
    <row r="3670" spans="23:23" ht="26.4">
      <c r="W3670" s="64" ph="1"/>
    </row>
    <row r="3671" spans="23:23" ht="26.4">
      <c r="W3671" s="64" ph="1"/>
    </row>
    <row r="3672" spans="23:23" ht="26.4">
      <c r="W3672" s="64" ph="1"/>
    </row>
    <row r="3673" spans="23:23" ht="26.4">
      <c r="W3673" s="64" ph="1"/>
    </row>
    <row r="3674" spans="23:23" ht="26.4">
      <c r="W3674" s="64" ph="1"/>
    </row>
    <row r="3675" spans="23:23" ht="26.4">
      <c r="W3675" s="64" ph="1"/>
    </row>
    <row r="3676" spans="23:23" ht="26.4">
      <c r="W3676" s="64" ph="1"/>
    </row>
    <row r="3677" spans="23:23" ht="26.4">
      <c r="W3677" s="64" ph="1"/>
    </row>
    <row r="3678" spans="23:23" ht="26.4">
      <c r="W3678" s="64" ph="1"/>
    </row>
    <row r="3679" spans="23:23" ht="26.4">
      <c r="W3679" s="64" ph="1"/>
    </row>
    <row r="3680" spans="23:23" ht="26.4">
      <c r="W3680" s="64" ph="1"/>
    </row>
    <row r="3681" spans="23:23" ht="26.4">
      <c r="W3681" s="64" ph="1"/>
    </row>
    <row r="3682" spans="23:23" ht="26.4">
      <c r="W3682" s="64" ph="1"/>
    </row>
    <row r="3683" spans="23:23" ht="26.4">
      <c r="W3683" s="64" ph="1"/>
    </row>
    <row r="3684" spans="23:23" ht="26.4">
      <c r="W3684" s="64" ph="1"/>
    </row>
    <row r="3685" spans="23:23" ht="26.4">
      <c r="W3685" s="64" ph="1"/>
    </row>
    <row r="3686" spans="23:23" ht="26.4">
      <c r="W3686" s="64" ph="1"/>
    </row>
    <row r="3687" spans="23:23" ht="26.4">
      <c r="W3687" s="64" ph="1"/>
    </row>
    <row r="3688" spans="23:23" ht="26.4">
      <c r="W3688" s="64" ph="1"/>
    </row>
    <row r="3689" spans="23:23" ht="26.4">
      <c r="W3689" s="64" ph="1"/>
    </row>
    <row r="3690" spans="23:23" ht="26.4">
      <c r="W3690" s="64" ph="1"/>
    </row>
    <row r="3691" spans="23:23" ht="26.4">
      <c r="W3691" s="64" ph="1"/>
    </row>
    <row r="3692" spans="23:23" ht="26.4">
      <c r="W3692" s="64" ph="1"/>
    </row>
    <row r="3693" spans="23:23" ht="26.4">
      <c r="W3693" s="64" ph="1"/>
    </row>
    <row r="3694" spans="23:23" ht="26.4">
      <c r="W3694" s="64" ph="1"/>
    </row>
    <row r="3695" spans="23:23" ht="26.4">
      <c r="W3695" s="64" ph="1"/>
    </row>
    <row r="3696" spans="23:23" ht="26.4">
      <c r="W3696" s="64" ph="1"/>
    </row>
    <row r="3697" spans="23:23" ht="26.4">
      <c r="W3697" s="64" ph="1"/>
    </row>
    <row r="3698" spans="23:23" ht="26.4">
      <c r="W3698" s="64" ph="1"/>
    </row>
    <row r="3699" spans="23:23" ht="26.4">
      <c r="W3699" s="64" ph="1"/>
    </row>
    <row r="3700" spans="23:23" ht="26.4">
      <c r="W3700" s="64" ph="1"/>
    </row>
    <row r="3701" spans="23:23" ht="26.4">
      <c r="W3701" s="64" ph="1"/>
    </row>
    <row r="3702" spans="23:23" ht="26.4">
      <c r="W3702" s="64" ph="1"/>
    </row>
    <row r="3703" spans="23:23" ht="26.4">
      <c r="W3703" s="64" ph="1"/>
    </row>
    <row r="3704" spans="23:23" ht="26.4">
      <c r="W3704" s="64" ph="1"/>
    </row>
    <row r="3705" spans="23:23" ht="26.4">
      <c r="W3705" s="64" ph="1"/>
    </row>
    <row r="3706" spans="23:23" ht="26.4">
      <c r="W3706" s="64" ph="1"/>
    </row>
    <row r="3707" spans="23:23" ht="26.4">
      <c r="W3707" s="64" ph="1"/>
    </row>
    <row r="3708" spans="23:23" ht="26.4">
      <c r="W3708" s="64" ph="1"/>
    </row>
    <row r="3709" spans="23:23" ht="26.4">
      <c r="W3709" s="64" ph="1"/>
    </row>
    <row r="3710" spans="23:23" ht="26.4">
      <c r="W3710" s="64" ph="1"/>
    </row>
    <row r="3711" spans="23:23" ht="26.4">
      <c r="W3711" s="64" ph="1"/>
    </row>
    <row r="3712" spans="23:23" ht="26.4">
      <c r="W3712" s="64" ph="1"/>
    </row>
    <row r="3713" spans="23:23" ht="26.4">
      <c r="W3713" s="64" ph="1"/>
    </row>
    <row r="3714" spans="23:23" ht="26.4">
      <c r="W3714" s="64" ph="1"/>
    </row>
    <row r="3715" spans="23:23" ht="26.4">
      <c r="W3715" s="64" ph="1"/>
    </row>
    <row r="3716" spans="23:23" ht="26.4">
      <c r="W3716" s="64" ph="1"/>
    </row>
    <row r="3717" spans="23:23" ht="26.4">
      <c r="W3717" s="64" ph="1"/>
    </row>
    <row r="3718" spans="23:23" ht="26.4">
      <c r="W3718" s="64" ph="1"/>
    </row>
    <row r="3719" spans="23:23" ht="26.4">
      <c r="W3719" s="64" ph="1"/>
    </row>
    <row r="3720" spans="23:23" ht="26.4">
      <c r="W3720" s="64" ph="1"/>
    </row>
    <row r="3721" spans="23:23" ht="26.4">
      <c r="W3721" s="64" ph="1"/>
    </row>
    <row r="3722" spans="23:23" ht="26.4">
      <c r="W3722" s="64" ph="1"/>
    </row>
    <row r="3723" spans="23:23" ht="26.4">
      <c r="W3723" s="64" ph="1"/>
    </row>
    <row r="3724" spans="23:23" ht="26.4">
      <c r="W3724" s="64" ph="1"/>
    </row>
    <row r="3725" spans="23:23" ht="26.4">
      <c r="W3725" s="64" ph="1"/>
    </row>
    <row r="3726" spans="23:23" ht="26.4">
      <c r="W3726" s="64" ph="1"/>
    </row>
    <row r="3727" spans="23:23" ht="26.4">
      <c r="W3727" s="64" ph="1"/>
    </row>
    <row r="3728" spans="23:23" ht="26.4">
      <c r="W3728" s="64" ph="1"/>
    </row>
    <row r="3729" spans="23:23" ht="26.4">
      <c r="W3729" s="64" ph="1"/>
    </row>
    <row r="3730" spans="23:23" ht="26.4">
      <c r="W3730" s="64" ph="1"/>
    </row>
    <row r="3731" spans="23:23" ht="26.4">
      <c r="W3731" s="64" ph="1"/>
    </row>
    <row r="3732" spans="23:23" ht="26.4">
      <c r="W3732" s="64" ph="1"/>
    </row>
    <row r="3733" spans="23:23" ht="26.4">
      <c r="W3733" s="64" ph="1"/>
    </row>
    <row r="3734" spans="23:23" ht="26.4">
      <c r="W3734" s="64" ph="1"/>
    </row>
    <row r="3735" spans="23:23" ht="26.4">
      <c r="W3735" s="64" ph="1"/>
    </row>
    <row r="3736" spans="23:23" ht="26.4">
      <c r="W3736" s="64" ph="1"/>
    </row>
    <row r="3737" spans="23:23" ht="26.4">
      <c r="W3737" s="64" ph="1"/>
    </row>
    <row r="3738" spans="23:23" ht="26.4">
      <c r="W3738" s="64" ph="1"/>
    </row>
    <row r="3739" spans="23:23" ht="26.4">
      <c r="W3739" s="64" ph="1"/>
    </row>
    <row r="3740" spans="23:23" ht="26.4">
      <c r="W3740" s="64" ph="1"/>
    </row>
    <row r="3741" spans="23:23" ht="26.4">
      <c r="W3741" s="64" ph="1"/>
    </row>
    <row r="3742" spans="23:23" ht="26.4">
      <c r="W3742" s="64" ph="1"/>
    </row>
    <row r="3743" spans="23:23" ht="26.4">
      <c r="W3743" s="64" ph="1"/>
    </row>
    <row r="3744" spans="23:23" ht="26.4">
      <c r="W3744" s="64" ph="1"/>
    </row>
    <row r="3745" spans="23:23" ht="26.4">
      <c r="W3745" s="64" ph="1"/>
    </row>
    <row r="3746" spans="23:23" ht="26.4">
      <c r="W3746" s="64" ph="1"/>
    </row>
    <row r="3747" spans="23:23" ht="26.4">
      <c r="W3747" s="64" ph="1"/>
    </row>
    <row r="3748" spans="23:23" ht="26.4">
      <c r="W3748" s="64" ph="1"/>
    </row>
    <row r="3749" spans="23:23" ht="26.4">
      <c r="W3749" s="64" ph="1"/>
    </row>
    <row r="3750" spans="23:23" ht="26.4">
      <c r="W3750" s="64" ph="1"/>
    </row>
    <row r="3751" spans="23:23" ht="26.4">
      <c r="W3751" s="64" ph="1"/>
    </row>
    <row r="3752" spans="23:23" ht="26.4">
      <c r="W3752" s="64" ph="1"/>
    </row>
    <row r="3753" spans="23:23" ht="26.4">
      <c r="W3753" s="64" ph="1"/>
    </row>
    <row r="3754" spans="23:23" ht="26.4">
      <c r="W3754" s="64" ph="1"/>
    </row>
    <row r="3755" spans="23:23" ht="26.4">
      <c r="W3755" s="64" ph="1"/>
    </row>
    <row r="3756" spans="23:23" ht="26.4">
      <c r="W3756" s="64" ph="1"/>
    </row>
    <row r="3757" spans="23:23" ht="26.4">
      <c r="W3757" s="64" ph="1"/>
    </row>
    <row r="3758" spans="23:23" ht="26.4">
      <c r="W3758" s="64" ph="1"/>
    </row>
    <row r="3759" spans="23:23" ht="26.4">
      <c r="W3759" s="64" ph="1"/>
    </row>
    <row r="3760" spans="23:23" ht="26.4">
      <c r="W3760" s="64" ph="1"/>
    </row>
    <row r="3761" spans="23:23" ht="26.4">
      <c r="W3761" s="64" ph="1"/>
    </row>
    <row r="3762" spans="23:23" ht="26.4">
      <c r="W3762" s="64" ph="1"/>
    </row>
    <row r="3763" spans="23:23" ht="26.4">
      <c r="W3763" s="64" ph="1"/>
    </row>
    <row r="3764" spans="23:23" ht="26.4">
      <c r="W3764" s="64" ph="1"/>
    </row>
    <row r="3765" spans="23:23" ht="26.4">
      <c r="W3765" s="64" ph="1"/>
    </row>
    <row r="3766" spans="23:23" ht="26.4">
      <c r="W3766" s="64" ph="1"/>
    </row>
    <row r="3767" spans="23:23" ht="26.4">
      <c r="W3767" s="64" ph="1"/>
    </row>
    <row r="3768" spans="23:23" ht="26.4">
      <c r="W3768" s="64" ph="1"/>
    </row>
    <row r="3769" spans="23:23" ht="26.4">
      <c r="W3769" s="64" ph="1"/>
    </row>
    <row r="3770" spans="23:23" ht="26.4">
      <c r="W3770" s="64" ph="1"/>
    </row>
    <row r="3771" spans="23:23" ht="26.4">
      <c r="W3771" s="64" ph="1"/>
    </row>
    <row r="3772" spans="23:23" ht="26.4">
      <c r="W3772" s="64" ph="1"/>
    </row>
    <row r="3773" spans="23:23" ht="26.4">
      <c r="W3773" s="64" ph="1"/>
    </row>
    <row r="3774" spans="23:23" ht="26.4">
      <c r="W3774" s="64" ph="1"/>
    </row>
    <row r="3775" spans="23:23" ht="26.4">
      <c r="W3775" s="64" ph="1"/>
    </row>
    <row r="3776" spans="23:23" ht="26.4">
      <c r="W3776" s="64" ph="1"/>
    </row>
    <row r="3777" spans="23:23" ht="26.4">
      <c r="W3777" s="64" ph="1"/>
    </row>
    <row r="3778" spans="23:23" ht="26.4">
      <c r="W3778" s="64" ph="1"/>
    </row>
    <row r="3779" spans="23:23" ht="26.4">
      <c r="W3779" s="64" ph="1"/>
    </row>
    <row r="3780" spans="23:23" ht="26.4">
      <c r="W3780" s="64" ph="1"/>
    </row>
    <row r="3781" spans="23:23" ht="26.4">
      <c r="W3781" s="64" ph="1"/>
    </row>
    <row r="3782" spans="23:23" ht="26.4">
      <c r="W3782" s="64" ph="1"/>
    </row>
    <row r="3783" spans="23:23" ht="26.4">
      <c r="W3783" s="64" ph="1"/>
    </row>
    <row r="3784" spans="23:23" ht="26.4">
      <c r="W3784" s="64" ph="1"/>
    </row>
    <row r="3785" spans="23:23" ht="26.4">
      <c r="W3785" s="64" ph="1"/>
    </row>
    <row r="3786" spans="23:23" ht="26.4">
      <c r="W3786" s="64" ph="1"/>
    </row>
    <row r="3787" spans="23:23" ht="26.4">
      <c r="W3787" s="64" ph="1"/>
    </row>
    <row r="3788" spans="23:23" ht="26.4">
      <c r="W3788" s="64" ph="1"/>
    </row>
    <row r="3789" spans="23:23" ht="26.4">
      <c r="W3789" s="64" ph="1"/>
    </row>
    <row r="3790" spans="23:23" ht="26.4">
      <c r="W3790" s="64" ph="1"/>
    </row>
    <row r="3791" spans="23:23" ht="26.4">
      <c r="W3791" s="64" ph="1"/>
    </row>
    <row r="3792" spans="23:23" ht="26.4">
      <c r="W3792" s="64" ph="1"/>
    </row>
    <row r="3793" spans="23:23" ht="26.4">
      <c r="W3793" s="64" ph="1"/>
    </row>
    <row r="3794" spans="23:23" ht="26.4">
      <c r="W3794" s="64" ph="1"/>
    </row>
    <row r="3795" spans="23:23" ht="26.4">
      <c r="W3795" s="64" ph="1"/>
    </row>
    <row r="3796" spans="23:23" ht="26.4">
      <c r="W3796" s="64" ph="1"/>
    </row>
    <row r="3797" spans="23:23" ht="26.4">
      <c r="W3797" s="64" ph="1"/>
    </row>
    <row r="3798" spans="23:23" ht="26.4">
      <c r="W3798" s="64" ph="1"/>
    </row>
    <row r="3799" spans="23:23" ht="26.4">
      <c r="W3799" s="64" ph="1"/>
    </row>
    <row r="3800" spans="23:23" ht="26.4">
      <c r="W3800" s="64" ph="1"/>
    </row>
    <row r="3801" spans="23:23" ht="26.4">
      <c r="W3801" s="64" ph="1"/>
    </row>
    <row r="3802" spans="23:23" ht="26.4">
      <c r="W3802" s="64" ph="1"/>
    </row>
    <row r="3803" spans="23:23" ht="26.4">
      <c r="W3803" s="64" ph="1"/>
    </row>
    <row r="3804" spans="23:23" ht="26.4">
      <c r="W3804" s="64" ph="1"/>
    </row>
    <row r="3805" spans="23:23" ht="26.4">
      <c r="W3805" s="64" ph="1"/>
    </row>
    <row r="3806" spans="23:23" ht="26.4">
      <c r="W3806" s="64" ph="1"/>
    </row>
    <row r="3807" spans="23:23" ht="26.4">
      <c r="W3807" s="64" ph="1"/>
    </row>
    <row r="3808" spans="23:23" ht="26.4">
      <c r="W3808" s="64" ph="1"/>
    </row>
    <row r="3809" spans="23:23" ht="26.4">
      <c r="W3809" s="64" ph="1"/>
    </row>
    <row r="3810" spans="23:23" ht="26.4">
      <c r="W3810" s="64" ph="1"/>
    </row>
    <row r="3811" spans="23:23" ht="26.4">
      <c r="W3811" s="64" ph="1"/>
    </row>
    <row r="3812" spans="23:23" ht="26.4">
      <c r="W3812" s="64" ph="1"/>
    </row>
    <row r="3813" spans="23:23" ht="26.4">
      <c r="W3813" s="64" ph="1"/>
    </row>
    <row r="3814" spans="23:23" ht="26.4">
      <c r="W3814" s="64" ph="1"/>
    </row>
    <row r="3815" spans="23:23" ht="26.4">
      <c r="W3815" s="64" ph="1"/>
    </row>
    <row r="3816" spans="23:23" ht="26.4">
      <c r="W3816" s="64" ph="1"/>
    </row>
    <row r="3817" spans="23:23" ht="26.4">
      <c r="W3817" s="64" ph="1"/>
    </row>
    <row r="3818" spans="23:23" ht="26.4">
      <c r="W3818" s="64" ph="1"/>
    </row>
    <row r="3819" spans="23:23" ht="26.4">
      <c r="W3819" s="64" ph="1"/>
    </row>
    <row r="3820" spans="23:23" ht="26.4">
      <c r="W3820" s="64" ph="1"/>
    </row>
    <row r="3821" spans="23:23" ht="26.4">
      <c r="W3821" s="64" ph="1"/>
    </row>
    <row r="3822" spans="23:23" ht="26.4">
      <c r="W3822" s="64" ph="1"/>
    </row>
    <row r="3823" spans="23:23" ht="26.4">
      <c r="W3823" s="64" ph="1"/>
    </row>
    <row r="3824" spans="23:23" ht="26.4">
      <c r="W3824" s="64" ph="1"/>
    </row>
    <row r="3825" spans="23:23" ht="26.4">
      <c r="W3825" s="64" ph="1"/>
    </row>
    <row r="3826" spans="23:23" ht="26.4">
      <c r="W3826" s="64" ph="1"/>
    </row>
    <row r="3827" spans="23:23" ht="26.4">
      <c r="W3827" s="64" ph="1"/>
    </row>
    <row r="3828" spans="23:23" ht="26.4">
      <c r="W3828" s="64" ph="1"/>
    </row>
    <row r="3829" spans="23:23" ht="26.4">
      <c r="W3829" s="64" ph="1"/>
    </row>
    <row r="3830" spans="23:23" ht="26.4">
      <c r="W3830" s="64" ph="1"/>
    </row>
    <row r="3831" spans="23:23" ht="26.4">
      <c r="W3831" s="64" ph="1"/>
    </row>
    <row r="3832" spans="23:23" ht="26.4">
      <c r="W3832" s="64" ph="1"/>
    </row>
    <row r="3833" spans="23:23" ht="26.4">
      <c r="W3833" s="64" ph="1"/>
    </row>
    <row r="3834" spans="23:23" ht="26.4">
      <c r="W3834" s="64" ph="1"/>
    </row>
    <row r="3835" spans="23:23" ht="26.4">
      <c r="W3835" s="64" ph="1"/>
    </row>
    <row r="3836" spans="23:23" ht="26.4">
      <c r="W3836" s="64" ph="1"/>
    </row>
    <row r="3837" spans="23:23" ht="26.4">
      <c r="W3837" s="64" ph="1"/>
    </row>
    <row r="3838" spans="23:23" ht="26.4">
      <c r="W3838" s="64" ph="1"/>
    </row>
    <row r="3839" spans="23:23" ht="26.4">
      <c r="W3839" s="64" ph="1"/>
    </row>
    <row r="3840" spans="23:23" ht="26.4">
      <c r="W3840" s="64" ph="1"/>
    </row>
    <row r="3841" spans="23:23" ht="26.4">
      <c r="W3841" s="64" ph="1"/>
    </row>
    <row r="3842" spans="23:23" ht="26.4">
      <c r="W3842" s="64" ph="1"/>
    </row>
    <row r="3843" spans="23:23" ht="26.4">
      <c r="W3843" s="64" ph="1"/>
    </row>
    <row r="3844" spans="23:23" ht="26.4">
      <c r="W3844" s="64" ph="1"/>
    </row>
    <row r="3845" spans="23:23" ht="26.4">
      <c r="W3845" s="64" ph="1"/>
    </row>
    <row r="3846" spans="23:23" ht="26.4">
      <c r="W3846" s="64" ph="1"/>
    </row>
    <row r="3847" spans="23:23" ht="26.4">
      <c r="W3847" s="64" ph="1"/>
    </row>
    <row r="3848" spans="23:23" ht="26.4">
      <c r="W3848" s="64" ph="1"/>
    </row>
    <row r="3849" spans="23:23" ht="26.4">
      <c r="W3849" s="64" ph="1"/>
    </row>
    <row r="3850" spans="23:23" ht="26.4">
      <c r="W3850" s="64" ph="1"/>
    </row>
    <row r="3851" spans="23:23" ht="26.4">
      <c r="W3851" s="64" ph="1"/>
    </row>
    <row r="3852" spans="23:23" ht="26.4">
      <c r="W3852" s="64" ph="1"/>
    </row>
    <row r="3853" spans="23:23" ht="26.4">
      <c r="W3853" s="64" ph="1"/>
    </row>
    <row r="3854" spans="23:23" ht="26.4">
      <c r="W3854" s="64" ph="1"/>
    </row>
    <row r="3855" spans="23:23" ht="26.4">
      <c r="W3855" s="64" ph="1"/>
    </row>
    <row r="3856" spans="23:23" ht="26.4">
      <c r="W3856" s="64" ph="1"/>
    </row>
    <row r="3857" spans="23:23" ht="26.4">
      <c r="W3857" s="64" ph="1"/>
    </row>
    <row r="3858" spans="23:23" ht="26.4">
      <c r="W3858" s="64" ph="1"/>
    </row>
    <row r="3859" spans="23:23" ht="26.4">
      <c r="W3859" s="64" ph="1"/>
    </row>
    <row r="3860" spans="23:23" ht="26.4">
      <c r="W3860" s="64" ph="1"/>
    </row>
    <row r="3861" spans="23:23" ht="26.4">
      <c r="W3861" s="64" ph="1"/>
    </row>
    <row r="3862" spans="23:23" ht="26.4">
      <c r="W3862" s="64" ph="1"/>
    </row>
    <row r="3863" spans="23:23" ht="26.4">
      <c r="W3863" s="64" ph="1"/>
    </row>
    <row r="3864" spans="23:23" ht="26.4">
      <c r="W3864" s="64" ph="1"/>
    </row>
    <row r="3865" spans="23:23" ht="26.4">
      <c r="W3865" s="64" ph="1"/>
    </row>
    <row r="3866" spans="23:23" ht="26.4">
      <c r="W3866" s="64" ph="1"/>
    </row>
    <row r="3867" spans="23:23" ht="26.4">
      <c r="W3867" s="64" ph="1"/>
    </row>
    <row r="3868" spans="23:23" ht="26.4">
      <c r="W3868" s="64" ph="1"/>
    </row>
    <row r="3869" spans="23:23" ht="26.4">
      <c r="W3869" s="64" ph="1"/>
    </row>
    <row r="3870" spans="23:23" ht="26.4">
      <c r="W3870" s="64" ph="1"/>
    </row>
    <row r="3871" spans="23:23" ht="26.4">
      <c r="W3871" s="64" ph="1"/>
    </row>
    <row r="3872" spans="23:23" ht="26.4">
      <c r="W3872" s="64" ph="1"/>
    </row>
    <row r="3873" spans="23:23" ht="26.4">
      <c r="W3873" s="64" ph="1"/>
    </row>
    <row r="3874" spans="23:23" ht="26.4">
      <c r="W3874" s="64" ph="1"/>
    </row>
    <row r="3875" spans="23:23" ht="26.4">
      <c r="W3875" s="64" ph="1"/>
    </row>
    <row r="3876" spans="23:23" ht="26.4">
      <c r="W3876" s="64" ph="1"/>
    </row>
    <row r="3877" spans="23:23" ht="26.4">
      <c r="W3877" s="64" ph="1"/>
    </row>
    <row r="3878" spans="23:23" ht="26.4">
      <c r="W3878" s="64" ph="1"/>
    </row>
    <row r="3879" spans="23:23" ht="26.4">
      <c r="W3879" s="64" ph="1"/>
    </row>
    <row r="3880" spans="23:23" ht="26.4">
      <c r="W3880" s="64" ph="1"/>
    </row>
    <row r="3881" spans="23:23" ht="26.4">
      <c r="W3881" s="64" ph="1"/>
    </row>
    <row r="3882" spans="23:23" ht="26.4">
      <c r="W3882" s="64" ph="1"/>
    </row>
    <row r="3883" spans="23:23" ht="26.4">
      <c r="W3883" s="64" ph="1"/>
    </row>
    <row r="3884" spans="23:23" ht="26.4">
      <c r="W3884" s="64" ph="1"/>
    </row>
    <row r="3885" spans="23:23" ht="26.4">
      <c r="W3885" s="64" ph="1"/>
    </row>
    <row r="3886" spans="23:23" ht="26.4">
      <c r="W3886" s="64" ph="1"/>
    </row>
    <row r="3887" spans="23:23" ht="26.4">
      <c r="W3887" s="64" ph="1"/>
    </row>
    <row r="3888" spans="23:23" ht="26.4">
      <c r="W3888" s="64" ph="1"/>
    </row>
    <row r="3889" spans="23:23" ht="26.4">
      <c r="W3889" s="64" ph="1"/>
    </row>
    <row r="3890" spans="23:23" ht="26.4">
      <c r="W3890" s="64" ph="1"/>
    </row>
    <row r="3891" spans="23:23" ht="26.4">
      <c r="W3891" s="64" ph="1"/>
    </row>
    <row r="3892" spans="23:23" ht="26.4">
      <c r="W3892" s="64" ph="1"/>
    </row>
    <row r="3893" spans="23:23" ht="26.4">
      <c r="W3893" s="64" ph="1"/>
    </row>
    <row r="3894" spans="23:23" ht="26.4">
      <c r="W3894" s="64" ph="1"/>
    </row>
    <row r="3895" spans="23:23" ht="26.4">
      <c r="W3895" s="64" ph="1"/>
    </row>
    <row r="3896" spans="23:23" ht="26.4">
      <c r="W3896" s="64" ph="1"/>
    </row>
    <row r="3897" spans="23:23" ht="26.4">
      <c r="W3897" s="64" ph="1"/>
    </row>
    <row r="3898" spans="23:23" ht="26.4">
      <c r="W3898" s="64" ph="1"/>
    </row>
    <row r="3899" spans="23:23" ht="26.4">
      <c r="W3899" s="64" ph="1"/>
    </row>
    <row r="3900" spans="23:23" ht="26.4">
      <c r="W3900" s="64" ph="1"/>
    </row>
    <row r="3901" spans="23:23" ht="26.4">
      <c r="W3901" s="64" ph="1"/>
    </row>
    <row r="3902" spans="23:23" ht="26.4">
      <c r="W3902" s="64" ph="1"/>
    </row>
    <row r="3903" spans="23:23" ht="26.4">
      <c r="W3903" s="64" ph="1"/>
    </row>
    <row r="3904" spans="23:23" ht="26.4">
      <c r="W3904" s="64" ph="1"/>
    </row>
    <row r="3905" spans="23:23" ht="26.4">
      <c r="W3905" s="64" ph="1"/>
    </row>
    <row r="3906" spans="23:23" ht="26.4">
      <c r="W3906" s="64" ph="1"/>
    </row>
    <row r="3907" spans="23:23" ht="26.4">
      <c r="W3907" s="64" ph="1"/>
    </row>
    <row r="3908" spans="23:23" ht="26.4">
      <c r="W3908" s="64" ph="1"/>
    </row>
    <row r="3909" spans="23:23" ht="26.4">
      <c r="W3909" s="64" ph="1"/>
    </row>
    <row r="3910" spans="23:23" ht="26.4">
      <c r="W3910" s="64" ph="1"/>
    </row>
    <row r="3911" spans="23:23" ht="26.4">
      <c r="W3911" s="64" ph="1"/>
    </row>
    <row r="3912" spans="23:23" ht="26.4">
      <c r="W3912" s="64" ph="1"/>
    </row>
    <row r="3913" spans="23:23" ht="26.4">
      <c r="W3913" s="64" ph="1"/>
    </row>
    <row r="3914" spans="23:23" ht="26.4">
      <c r="W3914" s="64" ph="1"/>
    </row>
    <row r="3915" spans="23:23" ht="26.4">
      <c r="W3915" s="64" ph="1"/>
    </row>
    <row r="3916" spans="23:23" ht="26.4">
      <c r="W3916" s="64" ph="1"/>
    </row>
    <row r="3917" spans="23:23" ht="26.4">
      <c r="W3917" s="64" ph="1"/>
    </row>
    <row r="3918" spans="23:23" ht="26.4">
      <c r="W3918" s="64" ph="1"/>
    </row>
    <row r="3919" spans="23:23" ht="26.4">
      <c r="W3919" s="64" ph="1"/>
    </row>
    <row r="3920" spans="23:23" ht="26.4">
      <c r="W3920" s="64" ph="1"/>
    </row>
    <row r="3921" spans="23:23" ht="26.4">
      <c r="W3921" s="64" ph="1"/>
    </row>
    <row r="3922" spans="23:23" ht="26.4">
      <c r="W3922" s="64" ph="1"/>
    </row>
    <row r="3923" spans="23:23" ht="26.4">
      <c r="W3923" s="64" ph="1"/>
    </row>
    <row r="3924" spans="23:23" ht="26.4">
      <c r="W3924" s="64" ph="1"/>
    </row>
    <row r="3925" spans="23:23" ht="26.4">
      <c r="W3925" s="64" ph="1"/>
    </row>
    <row r="3926" spans="23:23" ht="26.4">
      <c r="W3926" s="64" ph="1"/>
    </row>
    <row r="3927" spans="23:23" ht="26.4">
      <c r="W3927" s="64" ph="1"/>
    </row>
    <row r="3928" spans="23:23" ht="26.4">
      <c r="W3928" s="64" ph="1"/>
    </row>
    <row r="3929" spans="23:23" ht="26.4">
      <c r="W3929" s="64" ph="1"/>
    </row>
    <row r="3930" spans="23:23" ht="26.4">
      <c r="W3930" s="64" ph="1"/>
    </row>
    <row r="3931" spans="23:23" ht="26.4">
      <c r="W3931" s="64" ph="1"/>
    </row>
    <row r="3932" spans="23:23" ht="26.4">
      <c r="W3932" s="64" ph="1"/>
    </row>
    <row r="3933" spans="23:23" ht="26.4">
      <c r="W3933" s="64" ph="1"/>
    </row>
    <row r="3934" spans="23:23" ht="26.4">
      <c r="W3934" s="64" ph="1"/>
    </row>
    <row r="3935" spans="23:23" ht="26.4">
      <c r="W3935" s="64" ph="1"/>
    </row>
    <row r="3936" spans="23:23" ht="26.4">
      <c r="W3936" s="64" ph="1"/>
    </row>
    <row r="3937" spans="23:23" ht="26.4">
      <c r="W3937" s="64" ph="1"/>
    </row>
    <row r="3938" spans="23:23" ht="26.4">
      <c r="W3938" s="64" ph="1"/>
    </row>
    <row r="3939" spans="23:23" ht="26.4">
      <c r="W3939" s="64" ph="1"/>
    </row>
    <row r="3940" spans="23:23" ht="26.4">
      <c r="W3940" s="64" ph="1"/>
    </row>
    <row r="3941" spans="23:23" ht="26.4">
      <c r="W3941" s="64" ph="1"/>
    </row>
    <row r="3942" spans="23:23" ht="26.4">
      <c r="W3942" s="64" ph="1"/>
    </row>
    <row r="3943" spans="23:23" ht="26.4">
      <c r="W3943" s="64" ph="1"/>
    </row>
    <row r="3944" spans="23:23" ht="26.4">
      <c r="W3944" s="64" ph="1"/>
    </row>
    <row r="3945" spans="23:23" ht="26.4">
      <c r="W3945" s="64" ph="1"/>
    </row>
    <row r="3946" spans="23:23" ht="26.4">
      <c r="W3946" s="64" ph="1"/>
    </row>
    <row r="3947" spans="23:23" ht="26.4">
      <c r="W3947" s="64" ph="1"/>
    </row>
    <row r="3948" spans="23:23" ht="26.4">
      <c r="W3948" s="64" ph="1"/>
    </row>
    <row r="3949" spans="23:23" ht="26.4">
      <c r="W3949" s="64" ph="1"/>
    </row>
    <row r="3950" spans="23:23" ht="26.4">
      <c r="W3950" s="64" ph="1"/>
    </row>
    <row r="3951" spans="23:23" ht="26.4">
      <c r="W3951" s="64" ph="1"/>
    </row>
    <row r="3952" spans="23:23" ht="26.4">
      <c r="W3952" s="64" ph="1"/>
    </row>
    <row r="3953" spans="23:23" ht="26.4">
      <c r="W3953" s="64" ph="1"/>
    </row>
    <row r="3954" spans="23:23" ht="26.4">
      <c r="W3954" s="64" ph="1"/>
    </row>
    <row r="3955" spans="23:23" ht="26.4">
      <c r="W3955" s="64" ph="1"/>
    </row>
    <row r="3956" spans="23:23" ht="26.4">
      <c r="W3956" s="64" ph="1"/>
    </row>
    <row r="3957" spans="23:23" ht="26.4">
      <c r="W3957" s="64" ph="1"/>
    </row>
    <row r="3958" spans="23:23" ht="26.4">
      <c r="W3958" s="64" ph="1"/>
    </row>
    <row r="3959" spans="23:23" ht="26.4">
      <c r="W3959" s="64" ph="1"/>
    </row>
    <row r="3960" spans="23:23" ht="26.4">
      <c r="W3960" s="64" ph="1"/>
    </row>
    <row r="3961" spans="23:23" ht="26.4">
      <c r="W3961" s="64" ph="1"/>
    </row>
    <row r="3962" spans="23:23" ht="26.4">
      <c r="W3962" s="64" ph="1"/>
    </row>
    <row r="3963" spans="23:23" ht="26.4">
      <c r="W3963" s="64" ph="1"/>
    </row>
    <row r="3964" spans="23:23" ht="26.4">
      <c r="W3964" s="64" ph="1"/>
    </row>
    <row r="3965" spans="23:23" ht="26.4">
      <c r="W3965" s="64" ph="1"/>
    </row>
    <row r="3966" spans="23:23" ht="26.4">
      <c r="W3966" s="64" ph="1"/>
    </row>
    <row r="3967" spans="23:23" ht="26.4">
      <c r="W3967" s="64" ph="1"/>
    </row>
    <row r="3968" spans="23:23" ht="26.4">
      <c r="W3968" s="64" ph="1"/>
    </row>
    <row r="3969" spans="23:23" ht="26.4">
      <c r="W3969" s="64" ph="1"/>
    </row>
    <row r="3970" spans="23:23" ht="26.4">
      <c r="W3970" s="64" ph="1"/>
    </row>
    <row r="3971" spans="23:23" ht="26.4">
      <c r="W3971" s="64" ph="1"/>
    </row>
    <row r="3972" spans="23:23" ht="26.4">
      <c r="W3972" s="64" ph="1"/>
    </row>
    <row r="3973" spans="23:23" ht="26.4">
      <c r="W3973" s="64" ph="1"/>
    </row>
    <row r="3974" spans="23:23" ht="26.4">
      <c r="W3974" s="64" ph="1"/>
    </row>
    <row r="3975" spans="23:23" ht="26.4">
      <c r="W3975" s="64" ph="1"/>
    </row>
    <row r="3976" spans="23:23" ht="26.4">
      <c r="W3976" s="64" ph="1"/>
    </row>
    <row r="3977" spans="23:23" ht="26.4">
      <c r="W3977" s="64" ph="1"/>
    </row>
    <row r="3978" spans="23:23" ht="26.4">
      <c r="W3978" s="64" ph="1"/>
    </row>
    <row r="3979" spans="23:23" ht="26.4">
      <c r="W3979" s="64" ph="1"/>
    </row>
    <row r="3980" spans="23:23" ht="26.4">
      <c r="W3980" s="64" ph="1"/>
    </row>
    <row r="3981" spans="23:23" ht="26.4">
      <c r="W3981" s="64" ph="1"/>
    </row>
    <row r="3982" spans="23:23" ht="26.4">
      <c r="W3982" s="64" ph="1"/>
    </row>
    <row r="3983" spans="23:23" ht="26.4">
      <c r="W3983" s="64" ph="1"/>
    </row>
    <row r="3984" spans="23:23" ht="26.4">
      <c r="W3984" s="64" ph="1"/>
    </row>
    <row r="3985" spans="23:23" ht="26.4">
      <c r="W3985" s="64" ph="1"/>
    </row>
    <row r="3986" spans="23:23" ht="26.4">
      <c r="W3986" s="64" ph="1"/>
    </row>
    <row r="3987" spans="23:23" ht="26.4">
      <c r="W3987" s="64" ph="1"/>
    </row>
    <row r="3988" spans="23:23" ht="26.4">
      <c r="W3988" s="64" ph="1"/>
    </row>
    <row r="3989" spans="23:23" ht="26.4">
      <c r="W3989" s="64" ph="1"/>
    </row>
    <row r="3990" spans="23:23" ht="26.4">
      <c r="W3990" s="64" ph="1"/>
    </row>
    <row r="3991" spans="23:23" ht="26.4">
      <c r="W3991" s="64" ph="1"/>
    </row>
    <row r="3992" spans="23:23" ht="26.4">
      <c r="W3992" s="64" ph="1"/>
    </row>
    <row r="3993" spans="23:23" ht="26.4">
      <c r="W3993" s="64" ph="1"/>
    </row>
    <row r="3994" spans="23:23" ht="26.4">
      <c r="W3994" s="64" ph="1"/>
    </row>
    <row r="3995" spans="23:23" ht="26.4">
      <c r="W3995" s="64" ph="1"/>
    </row>
    <row r="3996" spans="23:23" ht="26.4">
      <c r="W3996" s="64" ph="1"/>
    </row>
    <row r="3997" spans="23:23" ht="26.4">
      <c r="W3997" s="64" ph="1"/>
    </row>
    <row r="3998" spans="23:23" ht="26.4">
      <c r="W3998" s="64" ph="1"/>
    </row>
    <row r="3999" spans="23:23" ht="26.4">
      <c r="W3999" s="64" ph="1"/>
    </row>
    <row r="4000" spans="23:23" ht="26.4">
      <c r="W4000" s="64" ph="1"/>
    </row>
    <row r="4001" spans="23:23" ht="26.4">
      <c r="W4001" s="64" ph="1"/>
    </row>
    <row r="4002" spans="23:23" ht="26.4">
      <c r="W4002" s="64" ph="1"/>
    </row>
    <row r="4003" spans="23:23" ht="26.4">
      <c r="W4003" s="64" ph="1"/>
    </row>
    <row r="4004" spans="23:23" ht="26.4">
      <c r="W4004" s="64" ph="1"/>
    </row>
    <row r="4005" spans="23:23" ht="26.4">
      <c r="W4005" s="64" ph="1"/>
    </row>
    <row r="4006" spans="23:23" ht="26.4">
      <c r="W4006" s="64" ph="1"/>
    </row>
    <row r="4007" spans="23:23" ht="26.4">
      <c r="W4007" s="64" ph="1"/>
    </row>
    <row r="4008" spans="23:23" ht="26.4">
      <c r="W4008" s="64" ph="1"/>
    </row>
    <row r="4009" spans="23:23" ht="26.4">
      <c r="W4009" s="64" ph="1"/>
    </row>
    <row r="4010" spans="23:23" ht="26.4">
      <c r="W4010" s="64" ph="1"/>
    </row>
    <row r="4011" spans="23:23" ht="26.4">
      <c r="W4011" s="64" ph="1"/>
    </row>
    <row r="4012" spans="23:23" ht="26.4">
      <c r="W4012" s="64" ph="1"/>
    </row>
    <row r="4013" spans="23:23" ht="26.4">
      <c r="W4013" s="64" ph="1"/>
    </row>
    <row r="4014" spans="23:23" ht="26.4">
      <c r="W4014" s="64" ph="1"/>
    </row>
    <row r="4015" spans="23:23" ht="26.4">
      <c r="W4015" s="64" ph="1"/>
    </row>
    <row r="4016" spans="23:23" ht="26.4">
      <c r="W4016" s="64" ph="1"/>
    </row>
    <row r="4017" spans="23:23" ht="26.4">
      <c r="W4017" s="64" ph="1"/>
    </row>
    <row r="4018" spans="23:23" ht="26.4">
      <c r="W4018" s="64" ph="1"/>
    </row>
    <row r="4019" spans="23:23" ht="26.4">
      <c r="W4019" s="64" ph="1"/>
    </row>
    <row r="4020" spans="23:23" ht="26.4">
      <c r="W4020" s="64" ph="1"/>
    </row>
    <row r="4021" spans="23:23" ht="26.4">
      <c r="W4021" s="64" ph="1"/>
    </row>
    <row r="4022" spans="23:23" ht="26.4">
      <c r="W4022" s="64" ph="1"/>
    </row>
    <row r="4023" spans="23:23" ht="26.4">
      <c r="W4023" s="64" ph="1"/>
    </row>
    <row r="4024" spans="23:23" ht="26.4">
      <c r="W4024" s="64" ph="1"/>
    </row>
    <row r="4025" spans="23:23" ht="26.4">
      <c r="W4025" s="64" ph="1"/>
    </row>
    <row r="4026" spans="23:23" ht="26.4">
      <c r="W4026" s="64" ph="1"/>
    </row>
    <row r="4027" spans="23:23" ht="26.4">
      <c r="W4027" s="64" ph="1"/>
    </row>
    <row r="4028" spans="23:23" ht="26.4">
      <c r="W4028" s="64" ph="1"/>
    </row>
    <row r="4029" spans="23:23" ht="26.4">
      <c r="W4029" s="64" ph="1"/>
    </row>
    <row r="4030" spans="23:23" ht="26.4">
      <c r="W4030" s="64" ph="1"/>
    </row>
    <row r="4031" spans="23:23" ht="26.4">
      <c r="W4031" s="64" ph="1"/>
    </row>
    <row r="4032" spans="23:23" ht="26.4">
      <c r="W4032" s="64" ph="1"/>
    </row>
    <row r="4033" spans="23:23" ht="26.4">
      <c r="W4033" s="64" ph="1"/>
    </row>
    <row r="4034" spans="23:23" ht="26.4">
      <c r="W4034" s="64" ph="1"/>
    </row>
    <row r="4035" spans="23:23" ht="26.4">
      <c r="W4035" s="64" ph="1"/>
    </row>
    <row r="4036" spans="23:23" ht="26.4">
      <c r="W4036" s="64" ph="1"/>
    </row>
    <row r="4037" spans="23:23" ht="26.4">
      <c r="W4037" s="64" ph="1"/>
    </row>
    <row r="4038" spans="23:23" ht="26.4">
      <c r="W4038" s="64" ph="1"/>
    </row>
    <row r="4039" spans="23:23" ht="26.4">
      <c r="W4039" s="64" ph="1"/>
    </row>
    <row r="4040" spans="23:23" ht="26.4">
      <c r="W4040" s="64" ph="1"/>
    </row>
    <row r="4041" spans="23:23" ht="26.4">
      <c r="W4041" s="64" ph="1"/>
    </row>
    <row r="4042" spans="23:23" ht="26.4">
      <c r="W4042" s="64" ph="1"/>
    </row>
    <row r="4043" spans="23:23" ht="26.4">
      <c r="W4043" s="64" ph="1"/>
    </row>
    <row r="4044" spans="23:23" ht="26.4">
      <c r="W4044" s="64" ph="1"/>
    </row>
    <row r="4045" spans="23:23" ht="26.4">
      <c r="W4045" s="64" ph="1"/>
    </row>
    <row r="4046" spans="23:23" ht="26.4">
      <c r="W4046" s="64" ph="1"/>
    </row>
    <row r="4047" spans="23:23" ht="26.4">
      <c r="W4047" s="64" ph="1"/>
    </row>
    <row r="4048" spans="23:23" ht="26.4">
      <c r="W4048" s="64" ph="1"/>
    </row>
    <row r="4049" spans="23:23" ht="26.4">
      <c r="W4049" s="64" ph="1"/>
    </row>
    <row r="4050" spans="23:23" ht="26.4">
      <c r="W4050" s="64" ph="1"/>
    </row>
    <row r="4051" spans="23:23" ht="26.4">
      <c r="W4051" s="64" ph="1"/>
    </row>
    <row r="4052" spans="23:23" ht="26.4">
      <c r="W4052" s="64" ph="1"/>
    </row>
    <row r="4053" spans="23:23" ht="26.4">
      <c r="W4053" s="64" ph="1"/>
    </row>
    <row r="4054" spans="23:23" ht="26.4">
      <c r="W4054" s="64" ph="1"/>
    </row>
    <row r="4055" spans="23:23" ht="26.4">
      <c r="W4055" s="64" ph="1"/>
    </row>
    <row r="4056" spans="23:23" ht="26.4">
      <c r="W4056" s="64" ph="1"/>
    </row>
    <row r="4057" spans="23:23" ht="26.4">
      <c r="W4057" s="64" ph="1"/>
    </row>
    <row r="4058" spans="23:23" ht="26.4">
      <c r="W4058" s="64" ph="1"/>
    </row>
    <row r="4059" spans="23:23" ht="26.4">
      <c r="W4059" s="64" ph="1"/>
    </row>
    <row r="4060" spans="23:23" ht="26.4">
      <c r="W4060" s="64" ph="1"/>
    </row>
    <row r="4061" spans="23:23" ht="26.4">
      <c r="W4061" s="64" ph="1"/>
    </row>
    <row r="4062" spans="23:23" ht="26.4">
      <c r="W4062" s="64" ph="1"/>
    </row>
    <row r="4063" spans="23:23" ht="26.4">
      <c r="W4063" s="64" ph="1"/>
    </row>
    <row r="4064" spans="23:23" ht="26.4">
      <c r="W4064" s="64" ph="1"/>
    </row>
    <row r="4065" spans="23:23" ht="26.4">
      <c r="W4065" s="64" ph="1"/>
    </row>
    <row r="4066" spans="23:23" ht="26.4">
      <c r="W4066" s="64" ph="1"/>
    </row>
    <row r="4067" spans="23:23" ht="26.4">
      <c r="W4067" s="64" ph="1"/>
    </row>
    <row r="4068" spans="23:23" ht="26.4">
      <c r="W4068" s="64" ph="1"/>
    </row>
    <row r="4069" spans="23:23" ht="26.4">
      <c r="W4069" s="64" ph="1"/>
    </row>
    <row r="4070" spans="23:23" ht="26.4">
      <c r="W4070" s="64" ph="1"/>
    </row>
    <row r="4071" spans="23:23" ht="26.4">
      <c r="W4071" s="64" ph="1"/>
    </row>
    <row r="4072" spans="23:23" ht="26.4">
      <c r="W4072" s="64" ph="1"/>
    </row>
    <row r="4073" spans="23:23" ht="26.4">
      <c r="W4073" s="64" ph="1"/>
    </row>
    <row r="4074" spans="23:23" ht="26.4">
      <c r="W4074" s="64" ph="1"/>
    </row>
    <row r="4075" spans="23:23" ht="26.4">
      <c r="W4075" s="64" ph="1"/>
    </row>
    <row r="4076" spans="23:23" ht="26.4">
      <c r="W4076" s="64" ph="1"/>
    </row>
    <row r="4077" spans="23:23" ht="26.4">
      <c r="W4077" s="64" ph="1"/>
    </row>
    <row r="4078" spans="23:23" ht="26.4">
      <c r="W4078" s="64" ph="1"/>
    </row>
    <row r="4079" spans="23:23" ht="26.4">
      <c r="W4079" s="64" ph="1"/>
    </row>
    <row r="4080" spans="23:23" ht="26.4">
      <c r="W4080" s="64" ph="1"/>
    </row>
    <row r="4081" spans="23:23" ht="26.4">
      <c r="W4081" s="64" ph="1"/>
    </row>
    <row r="4082" spans="23:23" ht="26.4">
      <c r="W4082" s="64" ph="1"/>
    </row>
    <row r="4083" spans="23:23" ht="26.4">
      <c r="W4083" s="64" ph="1"/>
    </row>
    <row r="4084" spans="23:23" ht="26.4">
      <c r="W4084" s="64" ph="1"/>
    </row>
    <row r="4085" spans="23:23" ht="26.4">
      <c r="W4085" s="64" ph="1"/>
    </row>
    <row r="4086" spans="23:23" ht="26.4">
      <c r="W4086" s="64" ph="1"/>
    </row>
    <row r="4087" spans="23:23" ht="26.4">
      <c r="W4087" s="64" ph="1"/>
    </row>
    <row r="4088" spans="23:23" ht="26.4">
      <c r="W4088" s="64" ph="1"/>
    </row>
    <row r="4089" spans="23:23" ht="26.4">
      <c r="W4089" s="64" ph="1"/>
    </row>
    <row r="4090" spans="23:23" ht="26.4">
      <c r="W4090" s="64" ph="1"/>
    </row>
    <row r="4091" spans="23:23" ht="26.4">
      <c r="W4091" s="64" ph="1"/>
    </row>
    <row r="4092" spans="23:23" ht="26.4">
      <c r="W4092" s="64" ph="1"/>
    </row>
    <row r="4093" spans="23:23" ht="26.4">
      <c r="W4093" s="64" ph="1"/>
    </row>
    <row r="4094" spans="23:23" ht="26.4">
      <c r="W4094" s="64" ph="1"/>
    </row>
    <row r="4095" spans="23:23" ht="26.4">
      <c r="W4095" s="64" ph="1"/>
    </row>
    <row r="4096" spans="23:23" ht="26.4">
      <c r="W4096" s="64" ph="1"/>
    </row>
    <row r="4097" spans="23:23" ht="26.4">
      <c r="W4097" s="64" ph="1"/>
    </row>
    <row r="4098" spans="23:23" ht="26.4">
      <c r="W4098" s="64" ph="1"/>
    </row>
    <row r="4099" spans="23:23" ht="26.4">
      <c r="W4099" s="64" ph="1"/>
    </row>
    <row r="4100" spans="23:23" ht="26.4">
      <c r="W4100" s="64" ph="1"/>
    </row>
    <row r="4101" spans="23:23" ht="26.4">
      <c r="W4101" s="64" ph="1"/>
    </row>
    <row r="4102" spans="23:23" ht="26.4">
      <c r="W4102" s="64" ph="1"/>
    </row>
    <row r="4103" spans="23:23" ht="26.4">
      <c r="W4103" s="64" ph="1"/>
    </row>
    <row r="4104" spans="23:23" ht="26.4">
      <c r="W4104" s="64" ph="1"/>
    </row>
    <row r="4105" spans="23:23" ht="26.4">
      <c r="W4105" s="64" ph="1"/>
    </row>
    <row r="4106" spans="23:23" ht="26.4">
      <c r="W4106" s="64" ph="1"/>
    </row>
    <row r="4107" spans="23:23" ht="26.4">
      <c r="W4107" s="64" ph="1"/>
    </row>
    <row r="4108" spans="23:23" ht="26.4">
      <c r="W4108" s="64" ph="1"/>
    </row>
    <row r="4109" spans="23:23" ht="26.4">
      <c r="W4109" s="64" ph="1"/>
    </row>
    <row r="4110" spans="23:23" ht="26.4">
      <c r="W4110" s="64" ph="1"/>
    </row>
    <row r="4111" spans="23:23" ht="26.4">
      <c r="W4111" s="64" ph="1"/>
    </row>
    <row r="4112" spans="23:23" ht="26.4">
      <c r="W4112" s="64" ph="1"/>
    </row>
    <row r="4113" spans="23:23" ht="26.4">
      <c r="W4113" s="64" ph="1"/>
    </row>
    <row r="4114" spans="23:23" ht="26.4">
      <c r="W4114" s="64" ph="1"/>
    </row>
    <row r="4115" spans="23:23" ht="26.4">
      <c r="W4115" s="64" ph="1"/>
    </row>
    <row r="4116" spans="23:23" ht="26.4">
      <c r="W4116" s="64" ph="1"/>
    </row>
    <row r="4117" spans="23:23" ht="26.4">
      <c r="W4117" s="64" ph="1"/>
    </row>
    <row r="4118" spans="23:23" ht="26.4">
      <c r="W4118" s="64" ph="1"/>
    </row>
    <row r="4119" spans="23:23" ht="26.4">
      <c r="W4119" s="64" ph="1"/>
    </row>
    <row r="4120" spans="23:23" ht="26.4">
      <c r="W4120" s="64" ph="1"/>
    </row>
    <row r="4121" spans="23:23" ht="26.4">
      <c r="W4121" s="64" ph="1"/>
    </row>
    <row r="4122" spans="23:23" ht="26.4">
      <c r="W4122" s="64" ph="1"/>
    </row>
    <row r="4123" spans="23:23" ht="26.4">
      <c r="W4123" s="64" ph="1"/>
    </row>
    <row r="4124" spans="23:23" ht="26.4">
      <c r="W4124" s="64" ph="1"/>
    </row>
    <row r="4125" spans="23:23" ht="26.4">
      <c r="W4125" s="64" ph="1"/>
    </row>
    <row r="4126" spans="23:23" ht="26.4">
      <c r="W4126" s="64" ph="1"/>
    </row>
    <row r="4127" spans="23:23" ht="26.4">
      <c r="W4127" s="64" ph="1"/>
    </row>
    <row r="4128" spans="23:23" ht="26.4">
      <c r="W4128" s="64" ph="1"/>
    </row>
    <row r="4129" spans="23:23" ht="26.4">
      <c r="W4129" s="64" ph="1"/>
    </row>
    <row r="4130" spans="23:23" ht="26.4">
      <c r="W4130" s="64" ph="1"/>
    </row>
    <row r="4131" spans="23:23" ht="26.4">
      <c r="W4131" s="64" ph="1"/>
    </row>
    <row r="4132" spans="23:23" ht="26.4">
      <c r="W4132" s="64" ph="1"/>
    </row>
    <row r="4133" spans="23:23" ht="26.4">
      <c r="W4133" s="64" ph="1"/>
    </row>
    <row r="4134" spans="23:23" ht="26.4">
      <c r="W4134" s="64" ph="1"/>
    </row>
    <row r="4135" spans="23:23" ht="26.4">
      <c r="W4135" s="64" ph="1"/>
    </row>
    <row r="4136" spans="23:23" ht="26.4">
      <c r="W4136" s="64" ph="1"/>
    </row>
    <row r="4137" spans="23:23" ht="26.4">
      <c r="W4137" s="64" ph="1"/>
    </row>
    <row r="4138" spans="23:23" ht="26.4">
      <c r="W4138" s="64" ph="1"/>
    </row>
    <row r="4139" spans="23:23" ht="26.4">
      <c r="W4139" s="64" ph="1"/>
    </row>
    <row r="4140" spans="23:23" ht="26.4">
      <c r="W4140" s="64" ph="1"/>
    </row>
    <row r="4141" spans="23:23" ht="26.4">
      <c r="W4141" s="64" ph="1"/>
    </row>
    <row r="4142" spans="23:23" ht="26.4">
      <c r="W4142" s="64" ph="1"/>
    </row>
    <row r="4143" spans="23:23" ht="26.4">
      <c r="W4143" s="64" ph="1"/>
    </row>
    <row r="4144" spans="23:23" ht="26.4">
      <c r="W4144" s="64" ph="1"/>
    </row>
    <row r="4145" spans="23:23" ht="26.4">
      <c r="W4145" s="64" ph="1"/>
    </row>
    <row r="4146" spans="23:23" ht="26.4">
      <c r="W4146" s="64" ph="1"/>
    </row>
    <row r="4147" spans="23:23" ht="26.4">
      <c r="W4147" s="64" ph="1"/>
    </row>
    <row r="4148" spans="23:23" ht="26.4">
      <c r="W4148" s="64" ph="1"/>
    </row>
    <row r="4149" spans="23:23" ht="26.4">
      <c r="W4149" s="64" ph="1"/>
    </row>
    <row r="4150" spans="23:23" ht="26.4">
      <c r="W4150" s="64" ph="1"/>
    </row>
    <row r="4151" spans="23:23" ht="26.4">
      <c r="W4151" s="64" ph="1"/>
    </row>
    <row r="4152" spans="23:23" ht="26.4">
      <c r="W4152" s="64" ph="1"/>
    </row>
    <row r="4153" spans="23:23" ht="26.4">
      <c r="W4153" s="64" ph="1"/>
    </row>
    <row r="4154" spans="23:23" ht="26.4">
      <c r="W4154" s="64" ph="1"/>
    </row>
    <row r="4155" spans="23:23" ht="26.4">
      <c r="W4155" s="64" ph="1"/>
    </row>
    <row r="4156" spans="23:23" ht="26.4">
      <c r="W4156" s="64" ph="1"/>
    </row>
    <row r="4157" spans="23:23" ht="26.4">
      <c r="W4157" s="64" ph="1"/>
    </row>
    <row r="4158" spans="23:23" ht="26.4">
      <c r="W4158" s="64" ph="1"/>
    </row>
    <row r="4159" spans="23:23" ht="26.4">
      <c r="W4159" s="64" ph="1"/>
    </row>
    <row r="4160" spans="23:23" ht="26.4">
      <c r="W4160" s="64" ph="1"/>
    </row>
    <row r="4161" spans="23:23" ht="26.4">
      <c r="W4161" s="64" ph="1"/>
    </row>
    <row r="4162" spans="23:23" ht="26.4">
      <c r="W4162" s="64" ph="1"/>
    </row>
    <row r="4163" spans="23:23" ht="26.4">
      <c r="W4163" s="64" ph="1"/>
    </row>
    <row r="4164" spans="23:23" ht="26.4">
      <c r="W4164" s="64" ph="1"/>
    </row>
    <row r="4165" spans="23:23" ht="26.4">
      <c r="W4165" s="64" ph="1"/>
    </row>
    <row r="4166" spans="23:23" ht="26.4">
      <c r="W4166" s="64" ph="1"/>
    </row>
    <row r="4167" spans="23:23" ht="26.4">
      <c r="W4167" s="64" ph="1"/>
    </row>
    <row r="4168" spans="23:23" ht="26.4">
      <c r="W4168" s="64" ph="1"/>
    </row>
    <row r="4169" spans="23:23" ht="26.4">
      <c r="W4169" s="64" ph="1"/>
    </row>
    <row r="4170" spans="23:23" ht="26.4">
      <c r="W4170" s="64" ph="1"/>
    </row>
    <row r="4171" spans="23:23" ht="26.4">
      <c r="W4171" s="64" ph="1"/>
    </row>
    <row r="4172" spans="23:23" ht="26.4">
      <c r="W4172" s="64" ph="1"/>
    </row>
    <row r="4173" spans="23:23" ht="26.4">
      <c r="W4173" s="64" ph="1"/>
    </row>
    <row r="4174" spans="23:23" ht="26.4">
      <c r="W4174" s="64" ph="1"/>
    </row>
    <row r="4175" spans="23:23" ht="26.4">
      <c r="W4175" s="64" ph="1"/>
    </row>
    <row r="4176" spans="23:23" ht="26.4">
      <c r="W4176" s="64" ph="1"/>
    </row>
    <row r="4177" spans="23:23" ht="26.4">
      <c r="W4177" s="64" ph="1"/>
    </row>
    <row r="4178" spans="23:23" ht="26.4">
      <c r="W4178" s="64" ph="1"/>
    </row>
    <row r="4179" spans="23:23" ht="26.4">
      <c r="W4179" s="64" ph="1"/>
    </row>
    <row r="4180" spans="23:23" ht="26.4">
      <c r="W4180" s="64" ph="1"/>
    </row>
    <row r="4181" spans="23:23" ht="26.4">
      <c r="W4181" s="64" ph="1"/>
    </row>
    <row r="4182" spans="23:23" ht="26.4">
      <c r="W4182" s="64" ph="1"/>
    </row>
    <row r="4183" spans="23:23" ht="26.4">
      <c r="W4183" s="64" ph="1"/>
    </row>
    <row r="4184" spans="23:23" ht="26.4">
      <c r="W4184" s="64" ph="1"/>
    </row>
    <row r="4185" spans="23:23" ht="26.4">
      <c r="W4185" s="64" ph="1"/>
    </row>
    <row r="4186" spans="23:23" ht="26.4">
      <c r="W4186" s="64" ph="1"/>
    </row>
    <row r="4187" spans="23:23" ht="26.4">
      <c r="W4187" s="64" ph="1"/>
    </row>
    <row r="4188" spans="23:23" ht="26.4">
      <c r="W4188" s="64" ph="1"/>
    </row>
    <row r="4189" spans="23:23" ht="26.4">
      <c r="W4189" s="64" ph="1"/>
    </row>
    <row r="4190" spans="23:23" ht="26.4">
      <c r="W4190" s="64" ph="1"/>
    </row>
    <row r="4191" spans="23:23" ht="26.4">
      <c r="W4191" s="64" ph="1"/>
    </row>
    <row r="4192" spans="23:23" ht="26.4">
      <c r="W4192" s="64" ph="1"/>
    </row>
    <row r="4193" spans="23:23" ht="26.4">
      <c r="W4193" s="64" ph="1"/>
    </row>
    <row r="4194" spans="23:23" ht="26.4">
      <c r="W4194" s="64" ph="1"/>
    </row>
    <row r="4195" spans="23:23" ht="26.4">
      <c r="W4195" s="64" ph="1"/>
    </row>
    <row r="4196" spans="23:23" ht="26.4">
      <c r="W4196" s="64" ph="1"/>
    </row>
    <row r="4197" spans="23:23" ht="26.4">
      <c r="W4197" s="64" ph="1"/>
    </row>
    <row r="4198" spans="23:23" ht="26.4">
      <c r="W4198" s="64" ph="1"/>
    </row>
    <row r="4199" spans="23:23" ht="26.4">
      <c r="W4199" s="64" ph="1"/>
    </row>
    <row r="4200" spans="23:23" ht="26.4">
      <c r="W4200" s="64" ph="1"/>
    </row>
    <row r="4201" spans="23:23" ht="26.4">
      <c r="W4201" s="64" ph="1"/>
    </row>
    <row r="4202" spans="23:23" ht="26.4">
      <c r="W4202" s="64" ph="1"/>
    </row>
    <row r="4203" spans="23:23" ht="26.4">
      <c r="W4203" s="64" ph="1"/>
    </row>
    <row r="4204" spans="23:23" ht="26.4">
      <c r="W4204" s="64" ph="1"/>
    </row>
    <row r="4205" spans="23:23" ht="26.4">
      <c r="W4205" s="64" ph="1"/>
    </row>
    <row r="4206" spans="23:23" ht="26.4">
      <c r="W4206" s="64" ph="1"/>
    </row>
    <row r="4207" spans="23:23" ht="26.4">
      <c r="W4207" s="64" ph="1"/>
    </row>
    <row r="4208" spans="23:23" ht="26.4">
      <c r="W4208" s="64" ph="1"/>
    </row>
    <row r="4209" spans="23:23" ht="26.4">
      <c r="W4209" s="64" ph="1"/>
    </row>
    <row r="4210" spans="23:23" ht="26.4">
      <c r="W4210" s="64" ph="1"/>
    </row>
    <row r="4211" spans="23:23" ht="26.4">
      <c r="W4211" s="64" ph="1"/>
    </row>
    <row r="4212" spans="23:23" ht="26.4">
      <c r="W4212" s="64" ph="1"/>
    </row>
    <row r="4213" spans="23:23" ht="26.4">
      <c r="W4213" s="64" ph="1"/>
    </row>
    <row r="4214" spans="23:23" ht="26.4">
      <c r="W4214" s="64" ph="1"/>
    </row>
    <row r="4215" spans="23:23" ht="26.4">
      <c r="W4215" s="64" ph="1"/>
    </row>
    <row r="4216" spans="23:23" ht="26.4">
      <c r="W4216" s="64" ph="1"/>
    </row>
    <row r="4217" spans="23:23" ht="26.4">
      <c r="W4217" s="64" ph="1"/>
    </row>
    <row r="4218" spans="23:23" ht="26.4">
      <c r="W4218" s="64" ph="1"/>
    </row>
    <row r="4219" spans="23:23" ht="26.4">
      <c r="W4219" s="64" ph="1"/>
    </row>
    <row r="4220" spans="23:23" ht="26.4">
      <c r="W4220" s="64" ph="1"/>
    </row>
    <row r="4221" spans="23:23" ht="26.4">
      <c r="W4221" s="64" ph="1"/>
    </row>
    <row r="4222" spans="23:23" ht="26.4">
      <c r="W4222" s="64" ph="1"/>
    </row>
    <row r="4223" spans="23:23" ht="26.4">
      <c r="W4223" s="64" ph="1"/>
    </row>
    <row r="4224" spans="23:23" ht="26.4">
      <c r="W4224" s="64" ph="1"/>
    </row>
    <row r="4225" spans="23:23" ht="26.4">
      <c r="W4225" s="64" ph="1"/>
    </row>
    <row r="4226" spans="23:23" ht="26.4">
      <c r="W4226" s="64" ph="1"/>
    </row>
    <row r="4227" spans="23:23" ht="26.4">
      <c r="W4227" s="64" ph="1"/>
    </row>
    <row r="4228" spans="23:23" ht="26.4">
      <c r="W4228" s="64" ph="1"/>
    </row>
    <row r="4229" spans="23:23" ht="26.4">
      <c r="W4229" s="64" ph="1"/>
    </row>
    <row r="4230" spans="23:23" ht="26.4">
      <c r="W4230" s="64" ph="1"/>
    </row>
    <row r="4231" spans="23:23" ht="26.4">
      <c r="W4231" s="64" ph="1"/>
    </row>
    <row r="4232" spans="23:23" ht="26.4">
      <c r="W4232" s="64" ph="1"/>
    </row>
    <row r="4233" spans="23:23" ht="26.4">
      <c r="W4233" s="64" ph="1"/>
    </row>
    <row r="4234" spans="23:23" ht="26.4">
      <c r="W4234" s="64" ph="1"/>
    </row>
    <row r="4235" spans="23:23" ht="26.4">
      <c r="W4235" s="64" ph="1"/>
    </row>
    <row r="4236" spans="23:23" ht="26.4">
      <c r="W4236" s="64" ph="1"/>
    </row>
    <row r="4237" spans="23:23" ht="26.4">
      <c r="W4237" s="64" ph="1"/>
    </row>
    <row r="4238" spans="23:23" ht="26.4">
      <c r="W4238" s="64" ph="1"/>
    </row>
    <row r="4239" spans="23:23" ht="26.4">
      <c r="W4239" s="64" ph="1"/>
    </row>
    <row r="4240" spans="23:23" ht="26.4">
      <c r="W4240" s="64" ph="1"/>
    </row>
    <row r="4241" spans="23:23" ht="26.4">
      <c r="W4241" s="64" ph="1"/>
    </row>
    <row r="4242" spans="23:23" ht="26.4">
      <c r="W4242" s="64" ph="1"/>
    </row>
    <row r="4243" spans="23:23" ht="26.4">
      <c r="W4243" s="64" ph="1"/>
    </row>
    <row r="4244" spans="23:23" ht="26.4">
      <c r="W4244" s="64" ph="1"/>
    </row>
    <row r="4245" spans="23:23" ht="26.4">
      <c r="W4245" s="64" ph="1"/>
    </row>
    <row r="4246" spans="23:23" ht="26.4">
      <c r="W4246" s="64" ph="1"/>
    </row>
    <row r="4247" spans="23:23" ht="26.4">
      <c r="W4247" s="64" ph="1"/>
    </row>
    <row r="4248" spans="23:23" ht="26.4">
      <c r="W4248" s="64" ph="1"/>
    </row>
    <row r="4249" spans="23:23" ht="26.4">
      <c r="W4249" s="64" ph="1"/>
    </row>
    <row r="4250" spans="23:23" ht="26.4">
      <c r="W4250" s="64" ph="1"/>
    </row>
    <row r="4251" spans="23:23" ht="26.4">
      <c r="W4251" s="64" ph="1"/>
    </row>
    <row r="4252" spans="23:23" ht="26.4">
      <c r="W4252" s="64" ph="1"/>
    </row>
    <row r="4253" spans="23:23" ht="26.4">
      <c r="W4253" s="64" ph="1"/>
    </row>
    <row r="4254" spans="23:23" ht="26.4">
      <c r="W4254" s="64" ph="1"/>
    </row>
    <row r="4255" spans="23:23" ht="26.4">
      <c r="W4255" s="64" ph="1"/>
    </row>
    <row r="4256" spans="23:23" ht="26.4">
      <c r="W4256" s="64" ph="1"/>
    </row>
    <row r="4257" spans="23:23" ht="26.4">
      <c r="W4257" s="64" ph="1"/>
    </row>
    <row r="4258" spans="23:23" ht="26.4">
      <c r="W4258" s="64" ph="1"/>
    </row>
    <row r="4259" spans="23:23" ht="26.4">
      <c r="W4259" s="64" ph="1"/>
    </row>
    <row r="4260" spans="23:23" ht="26.4">
      <c r="W4260" s="64" ph="1"/>
    </row>
    <row r="4261" spans="23:23" ht="26.4">
      <c r="W4261" s="64" ph="1"/>
    </row>
    <row r="4262" spans="23:23" ht="26.4">
      <c r="W4262" s="64" ph="1"/>
    </row>
    <row r="4263" spans="23:23" ht="26.4">
      <c r="W4263" s="64" ph="1"/>
    </row>
    <row r="4264" spans="23:23" ht="26.4">
      <c r="W4264" s="64" ph="1"/>
    </row>
    <row r="4265" spans="23:23" ht="26.4">
      <c r="W4265" s="64" ph="1"/>
    </row>
    <row r="4266" spans="23:23" ht="26.4">
      <c r="W4266" s="64" ph="1"/>
    </row>
    <row r="4267" spans="23:23" ht="26.4">
      <c r="W4267" s="64" ph="1"/>
    </row>
    <row r="4268" spans="23:23" ht="26.4">
      <c r="W4268" s="64" ph="1"/>
    </row>
    <row r="4269" spans="23:23" ht="26.4">
      <c r="W4269" s="64" ph="1"/>
    </row>
    <row r="4270" spans="23:23" ht="26.4">
      <c r="W4270" s="64" ph="1"/>
    </row>
    <row r="4271" spans="23:23" ht="26.4">
      <c r="W4271" s="64" ph="1"/>
    </row>
    <row r="4272" spans="23:23" ht="26.4">
      <c r="W4272" s="64" ph="1"/>
    </row>
    <row r="4273" spans="23:23" ht="26.4">
      <c r="W4273" s="64" ph="1"/>
    </row>
    <row r="4274" spans="23:23" ht="26.4">
      <c r="W4274" s="64" ph="1"/>
    </row>
    <row r="4275" spans="23:23" ht="26.4">
      <c r="W4275" s="64" ph="1"/>
    </row>
    <row r="4276" spans="23:23" ht="26.4">
      <c r="W4276" s="64" ph="1"/>
    </row>
    <row r="4277" spans="23:23" ht="26.4">
      <c r="W4277" s="64" ph="1"/>
    </row>
    <row r="4278" spans="23:23" ht="26.4">
      <c r="W4278" s="64" ph="1"/>
    </row>
    <row r="4279" spans="23:23" ht="26.4">
      <c r="W4279" s="64" ph="1"/>
    </row>
    <row r="4280" spans="23:23" ht="26.4">
      <c r="W4280" s="64" ph="1"/>
    </row>
    <row r="4281" spans="23:23" ht="26.4">
      <c r="W4281" s="64" ph="1"/>
    </row>
    <row r="4282" spans="23:23" ht="26.4">
      <c r="W4282" s="64" ph="1"/>
    </row>
    <row r="4283" spans="23:23" ht="26.4">
      <c r="W4283" s="64" ph="1"/>
    </row>
    <row r="4284" spans="23:23" ht="26.4">
      <c r="W4284" s="64" ph="1"/>
    </row>
    <row r="4285" spans="23:23" ht="26.4">
      <c r="W4285" s="64" ph="1"/>
    </row>
    <row r="4286" spans="23:23" ht="26.4">
      <c r="W4286" s="64" ph="1"/>
    </row>
    <row r="4287" spans="23:23" ht="26.4">
      <c r="W4287" s="64" ph="1"/>
    </row>
    <row r="4288" spans="23:23" ht="26.4">
      <c r="W4288" s="64" ph="1"/>
    </row>
    <row r="4289" spans="23:23" ht="26.4">
      <c r="W4289" s="64" ph="1"/>
    </row>
    <row r="4290" spans="23:23" ht="26.4">
      <c r="W4290" s="64" ph="1"/>
    </row>
    <row r="4291" spans="23:23" ht="26.4">
      <c r="W4291" s="64" ph="1"/>
    </row>
    <row r="4292" spans="23:23" ht="26.4">
      <c r="W4292" s="64" ph="1"/>
    </row>
    <row r="4293" spans="23:23" ht="26.4">
      <c r="W4293" s="64" ph="1"/>
    </row>
    <row r="4294" spans="23:23" ht="26.4">
      <c r="W4294" s="64" ph="1"/>
    </row>
    <row r="4295" spans="23:23" ht="26.4">
      <c r="W4295" s="64" ph="1"/>
    </row>
    <row r="4296" spans="23:23" ht="26.4">
      <c r="W4296" s="64" ph="1"/>
    </row>
    <row r="4297" spans="23:23" ht="26.4">
      <c r="W4297" s="64" ph="1"/>
    </row>
    <row r="4298" spans="23:23" ht="26.4">
      <c r="W4298" s="64" ph="1"/>
    </row>
    <row r="4299" spans="23:23" ht="26.4">
      <c r="W4299" s="64" ph="1"/>
    </row>
    <row r="4300" spans="23:23" ht="26.4">
      <c r="W4300" s="64" ph="1"/>
    </row>
    <row r="4301" spans="23:23" ht="26.4">
      <c r="W4301" s="64" ph="1"/>
    </row>
    <row r="4302" spans="23:23" ht="26.4">
      <c r="W4302" s="64" ph="1"/>
    </row>
    <row r="4303" spans="23:23" ht="26.4">
      <c r="W4303" s="64" ph="1"/>
    </row>
    <row r="4304" spans="23:23" ht="26.4">
      <c r="W4304" s="64" ph="1"/>
    </row>
    <row r="4305" spans="23:23" ht="26.4">
      <c r="W4305" s="64" ph="1"/>
    </row>
    <row r="4306" spans="23:23" ht="26.4">
      <c r="W4306" s="64" ph="1"/>
    </row>
    <row r="4307" spans="23:23" ht="26.4">
      <c r="W4307" s="64" ph="1"/>
    </row>
    <row r="4308" spans="23:23" ht="26.4">
      <c r="W4308" s="64" ph="1"/>
    </row>
    <row r="4309" spans="23:23" ht="26.4">
      <c r="W4309" s="64" ph="1"/>
    </row>
    <row r="4310" spans="23:23" ht="26.4">
      <c r="W4310" s="64" ph="1"/>
    </row>
    <row r="4311" spans="23:23" ht="26.4">
      <c r="W4311" s="64" ph="1"/>
    </row>
    <row r="4312" spans="23:23" ht="26.4">
      <c r="W4312" s="64" ph="1"/>
    </row>
    <row r="4313" spans="23:23" ht="26.4">
      <c r="W4313" s="64" ph="1"/>
    </row>
    <row r="4314" spans="23:23" ht="26.4">
      <c r="W4314" s="64" ph="1"/>
    </row>
    <row r="4315" spans="23:23" ht="26.4">
      <c r="W4315" s="64" ph="1"/>
    </row>
    <row r="4316" spans="23:23" ht="26.4">
      <c r="W4316" s="64" ph="1"/>
    </row>
    <row r="4317" spans="23:23" ht="26.4">
      <c r="W4317" s="64" ph="1"/>
    </row>
    <row r="4318" spans="23:23" ht="26.4">
      <c r="W4318" s="64" ph="1"/>
    </row>
    <row r="4319" spans="23:23" ht="26.4">
      <c r="W4319" s="64" ph="1"/>
    </row>
    <row r="4320" spans="23:23" ht="26.4">
      <c r="W4320" s="64" ph="1"/>
    </row>
    <row r="4321" spans="23:23" ht="26.4">
      <c r="W4321" s="64" ph="1"/>
    </row>
    <row r="4322" spans="23:23" ht="26.4">
      <c r="W4322" s="64" ph="1"/>
    </row>
    <row r="4323" spans="23:23" ht="26.4">
      <c r="W4323" s="64" ph="1"/>
    </row>
    <row r="4324" spans="23:23" ht="26.4">
      <c r="W4324" s="64" ph="1"/>
    </row>
    <row r="4325" spans="23:23" ht="26.4">
      <c r="W4325" s="64" ph="1"/>
    </row>
    <row r="4326" spans="23:23" ht="26.4">
      <c r="W4326" s="64" ph="1"/>
    </row>
    <row r="4327" spans="23:23" ht="26.4">
      <c r="W4327" s="64" ph="1"/>
    </row>
    <row r="4328" spans="23:23" ht="26.4">
      <c r="W4328" s="64" ph="1"/>
    </row>
    <row r="4329" spans="23:23" ht="26.4">
      <c r="W4329" s="64" ph="1"/>
    </row>
    <row r="4330" spans="23:23" ht="26.4">
      <c r="W4330" s="64" ph="1"/>
    </row>
    <row r="4331" spans="23:23" ht="26.4">
      <c r="W4331" s="64" ph="1"/>
    </row>
    <row r="4332" spans="23:23" ht="26.4">
      <c r="W4332" s="64" ph="1"/>
    </row>
    <row r="4333" spans="23:23" ht="26.4">
      <c r="W4333" s="64" ph="1"/>
    </row>
    <row r="4334" spans="23:23" ht="26.4">
      <c r="W4334" s="64" ph="1"/>
    </row>
    <row r="4335" spans="23:23" ht="26.4">
      <c r="W4335" s="64" ph="1"/>
    </row>
    <row r="4336" spans="23:23" ht="26.4">
      <c r="W4336" s="64" ph="1"/>
    </row>
    <row r="4337" spans="23:23" ht="26.4">
      <c r="W4337" s="64" ph="1"/>
    </row>
    <row r="4338" spans="23:23" ht="26.4">
      <c r="W4338" s="64" ph="1"/>
    </row>
    <row r="4339" spans="23:23" ht="26.4">
      <c r="W4339" s="64" ph="1"/>
    </row>
    <row r="4340" spans="23:23" ht="26.4">
      <c r="W4340" s="64" ph="1"/>
    </row>
    <row r="4341" spans="23:23" ht="26.4">
      <c r="W4341" s="64" ph="1"/>
    </row>
    <row r="4342" spans="23:23" ht="26.4">
      <c r="W4342" s="64" ph="1"/>
    </row>
    <row r="4343" spans="23:23" ht="26.4">
      <c r="W4343" s="64" ph="1"/>
    </row>
    <row r="4344" spans="23:23" ht="26.4">
      <c r="W4344" s="64" ph="1"/>
    </row>
    <row r="4345" spans="23:23" ht="26.4">
      <c r="W4345" s="64" ph="1"/>
    </row>
    <row r="4346" spans="23:23" ht="26.4">
      <c r="W4346" s="64" ph="1"/>
    </row>
    <row r="4347" spans="23:23" ht="26.4">
      <c r="W4347" s="64" ph="1"/>
    </row>
    <row r="4348" spans="23:23" ht="26.4">
      <c r="W4348" s="64" ph="1"/>
    </row>
    <row r="4349" spans="23:23" ht="26.4">
      <c r="W4349" s="64" ph="1"/>
    </row>
    <row r="4350" spans="23:23" ht="26.4">
      <c r="W4350" s="64" ph="1"/>
    </row>
    <row r="4351" spans="23:23" ht="26.4">
      <c r="W4351" s="64" ph="1"/>
    </row>
    <row r="4352" spans="23:23" ht="26.4">
      <c r="W4352" s="64" ph="1"/>
    </row>
    <row r="4353" spans="23:23" ht="26.4">
      <c r="W4353" s="64" ph="1"/>
    </row>
    <row r="4354" spans="23:23" ht="26.4">
      <c r="W4354" s="64" ph="1"/>
    </row>
    <row r="4355" spans="23:23" ht="26.4">
      <c r="W4355" s="64" ph="1"/>
    </row>
    <row r="4356" spans="23:23" ht="26.4">
      <c r="W4356" s="64" ph="1"/>
    </row>
    <row r="4357" spans="23:23" ht="26.4">
      <c r="W4357" s="64" ph="1"/>
    </row>
    <row r="4358" spans="23:23" ht="26.4">
      <c r="W4358" s="64" ph="1"/>
    </row>
    <row r="4359" spans="23:23" ht="26.4">
      <c r="W4359" s="64" ph="1"/>
    </row>
    <row r="4360" spans="23:23" ht="26.4">
      <c r="W4360" s="64" ph="1"/>
    </row>
    <row r="4361" spans="23:23" ht="26.4">
      <c r="W4361" s="64" ph="1"/>
    </row>
    <row r="4362" spans="23:23" ht="26.4">
      <c r="W4362" s="64" ph="1"/>
    </row>
    <row r="4363" spans="23:23" ht="26.4">
      <c r="W4363" s="64" ph="1"/>
    </row>
    <row r="4364" spans="23:23" ht="26.4">
      <c r="W4364" s="64" ph="1"/>
    </row>
    <row r="4365" spans="23:23" ht="26.4">
      <c r="W4365" s="64" ph="1"/>
    </row>
    <row r="4366" spans="23:23" ht="26.4">
      <c r="W4366" s="64" ph="1"/>
    </row>
    <row r="4367" spans="23:23" ht="26.4">
      <c r="W4367" s="64" ph="1"/>
    </row>
    <row r="4368" spans="23:23" ht="26.4">
      <c r="W4368" s="64" ph="1"/>
    </row>
    <row r="4369" spans="23:23" ht="26.4">
      <c r="W4369" s="64" ph="1"/>
    </row>
    <row r="4370" spans="23:23" ht="26.4">
      <c r="W4370" s="64" ph="1"/>
    </row>
    <row r="4371" spans="23:23" ht="26.4">
      <c r="W4371" s="64" ph="1"/>
    </row>
    <row r="4372" spans="23:23" ht="26.4">
      <c r="W4372" s="64" ph="1"/>
    </row>
    <row r="4373" spans="23:23" ht="26.4">
      <c r="W4373" s="64" ph="1"/>
    </row>
    <row r="4374" spans="23:23" ht="26.4">
      <c r="W4374" s="64" ph="1"/>
    </row>
    <row r="4375" spans="23:23" ht="26.4">
      <c r="W4375" s="64" ph="1"/>
    </row>
    <row r="4376" spans="23:23" ht="26.4">
      <c r="W4376" s="64" ph="1"/>
    </row>
    <row r="4377" spans="23:23" ht="26.4">
      <c r="W4377" s="64" ph="1"/>
    </row>
    <row r="4378" spans="23:23" ht="26.4">
      <c r="W4378" s="64" ph="1"/>
    </row>
    <row r="4379" spans="23:23" ht="26.4">
      <c r="W4379" s="64" ph="1"/>
    </row>
    <row r="4380" spans="23:23" ht="26.4">
      <c r="W4380" s="64" ph="1"/>
    </row>
    <row r="4381" spans="23:23" ht="26.4">
      <c r="W4381" s="64" ph="1"/>
    </row>
    <row r="4382" spans="23:23" ht="26.4">
      <c r="W4382" s="64" ph="1"/>
    </row>
    <row r="4383" spans="23:23" ht="26.4">
      <c r="W4383" s="64" ph="1"/>
    </row>
    <row r="4384" spans="23:23" ht="26.4">
      <c r="W4384" s="64" ph="1"/>
    </row>
    <row r="4385" spans="23:23" ht="26.4">
      <c r="W4385" s="64" ph="1"/>
    </row>
    <row r="4386" spans="23:23" ht="26.4">
      <c r="W4386" s="64" ph="1"/>
    </row>
    <row r="4387" spans="23:23" ht="26.4">
      <c r="W4387" s="64" ph="1"/>
    </row>
    <row r="4388" spans="23:23" ht="26.4">
      <c r="W4388" s="64" ph="1"/>
    </row>
    <row r="4389" spans="23:23" ht="26.4">
      <c r="W4389" s="64" ph="1"/>
    </row>
    <row r="4390" spans="23:23" ht="26.4">
      <c r="W4390" s="64" ph="1"/>
    </row>
    <row r="4391" spans="23:23" ht="26.4">
      <c r="W4391" s="64" ph="1"/>
    </row>
    <row r="4392" spans="23:23" ht="26.4">
      <c r="W4392" s="64" ph="1"/>
    </row>
    <row r="4393" spans="23:23" ht="26.4">
      <c r="W4393" s="64" ph="1"/>
    </row>
    <row r="4394" spans="23:23" ht="26.4">
      <c r="W4394" s="64" ph="1"/>
    </row>
    <row r="4395" spans="23:23" ht="26.4">
      <c r="W4395" s="64" ph="1"/>
    </row>
    <row r="4396" spans="23:23" ht="26.4">
      <c r="W4396" s="64" ph="1"/>
    </row>
    <row r="4397" spans="23:23" ht="26.4">
      <c r="W4397" s="64" ph="1"/>
    </row>
    <row r="4398" spans="23:23" ht="26.4">
      <c r="W4398" s="64" ph="1"/>
    </row>
    <row r="4399" spans="23:23" ht="26.4">
      <c r="W4399" s="64" ph="1"/>
    </row>
    <row r="4400" spans="23:23" ht="26.4">
      <c r="W4400" s="64" ph="1"/>
    </row>
    <row r="4401" spans="23:23" ht="26.4">
      <c r="W4401" s="64" ph="1"/>
    </row>
    <row r="4402" spans="23:23" ht="26.4">
      <c r="W4402" s="64" ph="1"/>
    </row>
    <row r="4403" spans="23:23" ht="26.4">
      <c r="W4403" s="64" ph="1"/>
    </row>
    <row r="4404" spans="23:23" ht="26.4">
      <c r="W4404" s="64" ph="1"/>
    </row>
    <row r="4405" spans="23:23" ht="26.4">
      <c r="W4405" s="64" ph="1"/>
    </row>
    <row r="4406" spans="23:23" ht="26.4">
      <c r="W4406" s="64" ph="1"/>
    </row>
    <row r="4407" spans="23:23" ht="26.4">
      <c r="W4407" s="64" ph="1"/>
    </row>
    <row r="4408" spans="23:23" ht="26.4">
      <c r="W4408" s="64" ph="1"/>
    </row>
    <row r="4409" spans="23:23" ht="26.4">
      <c r="W4409" s="64" ph="1"/>
    </row>
    <row r="4410" spans="23:23" ht="26.4">
      <c r="W4410" s="64" ph="1"/>
    </row>
    <row r="4411" spans="23:23" ht="26.4">
      <c r="W4411" s="64" ph="1"/>
    </row>
    <row r="4412" spans="23:23" ht="26.4">
      <c r="W4412" s="64" ph="1"/>
    </row>
    <row r="4413" spans="23:23" ht="26.4">
      <c r="W4413" s="64" ph="1"/>
    </row>
    <row r="4414" spans="23:23" ht="26.4">
      <c r="W4414" s="64" ph="1"/>
    </row>
    <row r="4415" spans="23:23" ht="26.4">
      <c r="W4415" s="64" ph="1"/>
    </row>
    <row r="4416" spans="23:23" ht="26.4">
      <c r="W4416" s="64" ph="1"/>
    </row>
    <row r="4417" spans="23:23" ht="26.4">
      <c r="W4417" s="64" ph="1"/>
    </row>
    <row r="4418" spans="23:23" ht="26.4">
      <c r="W4418" s="64" ph="1"/>
    </row>
    <row r="4419" spans="23:23" ht="26.4">
      <c r="W4419" s="64" ph="1"/>
    </row>
    <row r="4420" spans="23:23" ht="26.4">
      <c r="W4420" s="64" ph="1"/>
    </row>
    <row r="4421" spans="23:23" ht="26.4">
      <c r="W4421" s="64" ph="1"/>
    </row>
    <row r="4422" spans="23:23" ht="26.4">
      <c r="W4422" s="64" ph="1"/>
    </row>
    <row r="4423" spans="23:23" ht="26.4">
      <c r="W4423" s="64" ph="1"/>
    </row>
    <row r="4424" spans="23:23" ht="26.4">
      <c r="W4424" s="64" ph="1"/>
    </row>
    <row r="4425" spans="23:23" ht="26.4">
      <c r="W4425" s="64" ph="1"/>
    </row>
    <row r="4426" spans="23:23" ht="26.4">
      <c r="W4426" s="64" ph="1"/>
    </row>
    <row r="4427" spans="23:23" ht="26.4">
      <c r="W4427" s="64" ph="1"/>
    </row>
    <row r="4428" spans="23:23" ht="26.4">
      <c r="W4428" s="64" ph="1"/>
    </row>
    <row r="4429" spans="23:23" ht="26.4">
      <c r="W4429" s="64" ph="1"/>
    </row>
    <row r="4430" spans="23:23" ht="26.4">
      <c r="W4430" s="64" ph="1"/>
    </row>
    <row r="4431" spans="23:23" ht="26.4">
      <c r="W4431" s="64" ph="1"/>
    </row>
    <row r="4432" spans="23:23" ht="26.4">
      <c r="W4432" s="64" ph="1"/>
    </row>
    <row r="4433" spans="23:23" ht="26.4">
      <c r="W4433" s="64" ph="1"/>
    </row>
    <row r="4434" spans="23:23" ht="26.4">
      <c r="W4434" s="64" ph="1"/>
    </row>
    <row r="4435" spans="23:23" ht="26.4">
      <c r="W4435" s="64" ph="1"/>
    </row>
    <row r="4436" spans="23:23" ht="26.4">
      <c r="W4436" s="64" ph="1"/>
    </row>
    <row r="4437" spans="23:23" ht="26.4">
      <c r="W4437" s="64" ph="1"/>
    </row>
    <row r="4438" spans="23:23" ht="26.4">
      <c r="W4438" s="64" ph="1"/>
    </row>
    <row r="4439" spans="23:23" ht="26.4">
      <c r="W4439" s="64" ph="1"/>
    </row>
    <row r="4440" spans="23:23" ht="26.4">
      <c r="W4440" s="64" ph="1"/>
    </row>
    <row r="4441" spans="23:23" ht="26.4">
      <c r="W4441" s="64" ph="1"/>
    </row>
    <row r="4442" spans="23:23" ht="26.4">
      <c r="W4442" s="64" ph="1"/>
    </row>
    <row r="4443" spans="23:23" ht="26.4">
      <c r="W4443" s="64" ph="1"/>
    </row>
    <row r="4444" spans="23:23" ht="26.4">
      <c r="W4444" s="64" ph="1"/>
    </row>
    <row r="4445" spans="23:23" ht="26.4">
      <c r="W4445" s="64" ph="1"/>
    </row>
    <row r="4446" spans="23:23" ht="26.4">
      <c r="W4446" s="64" ph="1"/>
    </row>
    <row r="4447" spans="23:23" ht="26.4">
      <c r="W4447" s="64" ph="1"/>
    </row>
    <row r="4448" spans="23:23" ht="26.4">
      <c r="W4448" s="64" ph="1"/>
    </row>
    <row r="4449" spans="23:23" ht="26.4">
      <c r="W4449" s="64" ph="1"/>
    </row>
    <row r="4450" spans="23:23" ht="26.4">
      <c r="W4450" s="64" ph="1"/>
    </row>
    <row r="4451" spans="23:23" ht="26.4">
      <c r="W4451" s="64" ph="1"/>
    </row>
    <row r="4452" spans="23:23" ht="26.4">
      <c r="W4452" s="64" ph="1"/>
    </row>
    <row r="4453" spans="23:23" ht="26.4">
      <c r="W4453" s="64" ph="1"/>
    </row>
    <row r="4454" spans="23:23" ht="26.4">
      <c r="W4454" s="64" ph="1"/>
    </row>
    <row r="4455" spans="23:23" ht="26.4">
      <c r="W4455" s="64" ph="1"/>
    </row>
    <row r="4456" spans="23:23" ht="26.4">
      <c r="W4456" s="64" ph="1"/>
    </row>
    <row r="4457" spans="23:23" ht="26.4">
      <c r="W4457" s="64" ph="1"/>
    </row>
    <row r="4458" spans="23:23" ht="26.4">
      <c r="W4458" s="64" ph="1"/>
    </row>
    <row r="4459" spans="23:23" ht="26.4">
      <c r="W4459" s="64" ph="1"/>
    </row>
    <row r="4460" spans="23:23" ht="26.4">
      <c r="W4460" s="64" ph="1"/>
    </row>
    <row r="4461" spans="23:23" ht="26.4">
      <c r="W4461" s="64" ph="1"/>
    </row>
    <row r="4462" spans="23:23" ht="26.4">
      <c r="W4462" s="64" ph="1"/>
    </row>
    <row r="4463" spans="23:23" ht="26.4">
      <c r="W4463" s="64" ph="1"/>
    </row>
    <row r="4464" spans="23:23" ht="26.4">
      <c r="W4464" s="64" ph="1"/>
    </row>
    <row r="4465" spans="23:23" ht="26.4">
      <c r="W4465" s="64" ph="1"/>
    </row>
    <row r="4466" spans="23:23" ht="26.4">
      <c r="W4466" s="64" ph="1"/>
    </row>
    <row r="4467" spans="23:23" ht="26.4">
      <c r="W4467" s="64" ph="1"/>
    </row>
    <row r="4468" spans="23:23" ht="26.4">
      <c r="W4468" s="64" ph="1"/>
    </row>
    <row r="4469" spans="23:23" ht="26.4">
      <c r="W4469" s="64" ph="1"/>
    </row>
    <row r="4470" spans="23:23" ht="26.4">
      <c r="W4470" s="64" ph="1"/>
    </row>
    <row r="4471" spans="23:23" ht="26.4">
      <c r="W4471" s="64" ph="1"/>
    </row>
    <row r="4472" spans="23:23" ht="26.4">
      <c r="W4472" s="64" ph="1"/>
    </row>
    <row r="4473" spans="23:23" ht="26.4">
      <c r="W4473" s="64" ph="1"/>
    </row>
    <row r="4474" spans="23:23" ht="26.4">
      <c r="W4474" s="64" ph="1"/>
    </row>
    <row r="4475" spans="23:23" ht="26.4">
      <c r="W4475" s="64" ph="1"/>
    </row>
    <row r="4476" spans="23:23" ht="26.4">
      <c r="W4476" s="64" ph="1"/>
    </row>
    <row r="4477" spans="23:23" ht="26.4">
      <c r="W4477" s="64" ph="1"/>
    </row>
    <row r="4478" spans="23:23" ht="26.4">
      <c r="W4478" s="64" ph="1"/>
    </row>
    <row r="4479" spans="23:23" ht="26.4">
      <c r="W4479" s="64" ph="1"/>
    </row>
    <row r="4480" spans="23:23" ht="26.4">
      <c r="W4480" s="64" ph="1"/>
    </row>
    <row r="4481" spans="23:23" ht="26.4">
      <c r="W4481" s="64" ph="1"/>
    </row>
    <row r="4482" spans="23:23" ht="26.4">
      <c r="W4482" s="64" ph="1"/>
    </row>
    <row r="4483" spans="23:23" ht="26.4">
      <c r="W4483" s="64" ph="1"/>
    </row>
    <row r="4484" spans="23:23" ht="26.4">
      <c r="W4484" s="64" ph="1"/>
    </row>
    <row r="4485" spans="23:23" ht="26.4">
      <c r="W4485" s="64" ph="1"/>
    </row>
    <row r="4486" spans="23:23" ht="26.4">
      <c r="W4486" s="64" ph="1"/>
    </row>
    <row r="4487" spans="23:23" ht="26.4">
      <c r="W4487" s="64" ph="1"/>
    </row>
    <row r="4488" spans="23:23" ht="26.4">
      <c r="W4488" s="64" ph="1"/>
    </row>
    <row r="4489" spans="23:23" ht="26.4">
      <c r="W4489" s="64" ph="1"/>
    </row>
    <row r="4490" spans="23:23" ht="26.4">
      <c r="W4490" s="64" ph="1"/>
    </row>
    <row r="4491" spans="23:23" ht="26.4">
      <c r="W4491" s="64" ph="1"/>
    </row>
    <row r="4492" spans="23:23" ht="26.4">
      <c r="W4492" s="64" ph="1"/>
    </row>
    <row r="4493" spans="23:23" ht="26.4">
      <c r="W4493" s="64" ph="1"/>
    </row>
    <row r="4494" spans="23:23" ht="26.4">
      <c r="W4494" s="64" ph="1"/>
    </row>
    <row r="4495" spans="23:23" ht="26.4">
      <c r="W4495" s="64" ph="1"/>
    </row>
    <row r="4496" spans="23:23" ht="26.4">
      <c r="W4496" s="64" ph="1"/>
    </row>
    <row r="4497" spans="23:23" ht="26.4">
      <c r="W4497" s="64" ph="1"/>
    </row>
    <row r="4498" spans="23:23" ht="26.4">
      <c r="W4498" s="64" ph="1"/>
    </row>
    <row r="4499" spans="23:23" ht="26.4">
      <c r="W4499" s="64" ph="1"/>
    </row>
    <row r="4500" spans="23:23" ht="26.4">
      <c r="W4500" s="64" ph="1"/>
    </row>
    <row r="4501" spans="23:23" ht="26.4">
      <c r="W4501" s="64" ph="1"/>
    </row>
    <row r="4502" spans="23:23" ht="26.4">
      <c r="W4502" s="64" ph="1"/>
    </row>
    <row r="4503" spans="23:23" ht="26.4">
      <c r="W4503" s="64" ph="1"/>
    </row>
    <row r="4504" spans="23:23" ht="26.4">
      <c r="W4504" s="64" ph="1"/>
    </row>
    <row r="4505" spans="23:23" ht="26.4">
      <c r="W4505" s="64" ph="1"/>
    </row>
    <row r="4506" spans="23:23" ht="26.4">
      <c r="W4506" s="64" ph="1"/>
    </row>
    <row r="4507" spans="23:23" ht="26.4">
      <c r="W4507" s="64" ph="1"/>
    </row>
    <row r="4508" spans="23:23" ht="26.4">
      <c r="W4508" s="64" ph="1"/>
    </row>
    <row r="4509" spans="23:23" ht="26.4">
      <c r="W4509" s="64" ph="1"/>
    </row>
    <row r="4510" spans="23:23" ht="26.4">
      <c r="W4510" s="64" ph="1"/>
    </row>
    <row r="4511" spans="23:23" ht="26.4">
      <c r="W4511" s="64" ph="1"/>
    </row>
    <row r="4512" spans="23:23" ht="26.4">
      <c r="W4512" s="64" ph="1"/>
    </row>
    <row r="4513" spans="23:23" ht="26.4">
      <c r="W4513" s="64" ph="1"/>
    </row>
    <row r="4514" spans="23:23" ht="26.4">
      <c r="W4514" s="64" ph="1"/>
    </row>
    <row r="4515" spans="23:23" ht="26.4">
      <c r="W4515" s="64" ph="1"/>
    </row>
    <row r="4516" spans="23:23" ht="26.4">
      <c r="W4516" s="64" ph="1"/>
    </row>
    <row r="4517" spans="23:23" ht="26.4">
      <c r="W4517" s="64" ph="1"/>
    </row>
    <row r="4518" spans="23:23" ht="26.4">
      <c r="W4518" s="64" ph="1"/>
    </row>
    <row r="4519" spans="23:23" ht="26.4">
      <c r="W4519" s="64" ph="1"/>
    </row>
    <row r="4520" spans="23:23" ht="26.4">
      <c r="W4520" s="64" ph="1"/>
    </row>
    <row r="4521" spans="23:23" ht="26.4">
      <c r="W4521" s="64" ph="1"/>
    </row>
    <row r="4522" spans="23:23" ht="26.4">
      <c r="W4522" s="64" ph="1"/>
    </row>
    <row r="4523" spans="23:23" ht="26.4">
      <c r="W4523" s="64" ph="1"/>
    </row>
    <row r="4524" spans="23:23" ht="26.4">
      <c r="W4524" s="64" ph="1"/>
    </row>
    <row r="4525" spans="23:23" ht="26.4">
      <c r="W4525" s="64" ph="1"/>
    </row>
    <row r="4526" spans="23:23" ht="26.4">
      <c r="W4526" s="64" ph="1"/>
    </row>
    <row r="4527" spans="23:23" ht="26.4">
      <c r="W4527" s="64" ph="1"/>
    </row>
    <row r="4528" spans="23:23" ht="26.4">
      <c r="W4528" s="64" ph="1"/>
    </row>
    <row r="4529" spans="23:23" ht="26.4">
      <c r="W4529" s="64" ph="1"/>
    </row>
    <row r="4530" spans="23:23" ht="26.4">
      <c r="W4530" s="64" ph="1"/>
    </row>
    <row r="4531" spans="23:23" ht="26.4">
      <c r="W4531" s="64" ph="1"/>
    </row>
    <row r="4532" spans="23:23" ht="26.4">
      <c r="W4532" s="64" ph="1"/>
    </row>
    <row r="4533" spans="23:23" ht="26.4">
      <c r="W4533" s="64" ph="1"/>
    </row>
    <row r="4534" spans="23:23" ht="26.4">
      <c r="W4534" s="64" ph="1"/>
    </row>
    <row r="4535" spans="23:23" ht="26.4">
      <c r="W4535" s="64" ph="1"/>
    </row>
    <row r="4536" spans="23:23" ht="26.4">
      <c r="W4536" s="64" ph="1"/>
    </row>
    <row r="4537" spans="23:23" ht="26.4">
      <c r="W4537" s="64" ph="1"/>
    </row>
    <row r="4538" spans="23:23" ht="26.4">
      <c r="W4538" s="64" ph="1"/>
    </row>
    <row r="4539" spans="23:23" ht="26.4">
      <c r="W4539" s="64" ph="1"/>
    </row>
    <row r="4540" spans="23:23" ht="26.4">
      <c r="W4540" s="64" ph="1"/>
    </row>
    <row r="4541" spans="23:23" ht="26.4">
      <c r="W4541" s="64" ph="1"/>
    </row>
    <row r="4542" spans="23:23" ht="26.4">
      <c r="W4542" s="64" ph="1"/>
    </row>
    <row r="4543" spans="23:23" ht="26.4">
      <c r="W4543" s="64" ph="1"/>
    </row>
    <row r="4544" spans="23:23" ht="26.4">
      <c r="W4544" s="64" ph="1"/>
    </row>
    <row r="4545" spans="23:23" ht="26.4">
      <c r="W4545" s="64" ph="1"/>
    </row>
    <row r="4546" spans="23:23" ht="26.4">
      <c r="W4546" s="64" ph="1"/>
    </row>
    <row r="4547" spans="23:23" ht="26.4">
      <c r="W4547" s="64" ph="1"/>
    </row>
    <row r="4548" spans="23:23" ht="26.4">
      <c r="W4548" s="64" ph="1"/>
    </row>
    <row r="4549" spans="23:23" ht="26.4">
      <c r="W4549" s="64" ph="1"/>
    </row>
    <row r="4550" spans="23:23" ht="26.4">
      <c r="W4550" s="64" ph="1"/>
    </row>
    <row r="4551" spans="23:23" ht="26.4">
      <c r="W4551" s="64" ph="1"/>
    </row>
    <row r="4552" spans="23:23" ht="26.4">
      <c r="W4552" s="64" ph="1"/>
    </row>
    <row r="4553" spans="23:23" ht="26.4">
      <c r="W4553" s="64" ph="1"/>
    </row>
    <row r="4554" spans="23:23" ht="26.4">
      <c r="W4554" s="64" ph="1"/>
    </row>
    <row r="4555" spans="23:23" ht="26.4">
      <c r="W4555" s="64" ph="1"/>
    </row>
    <row r="4556" spans="23:23" ht="26.4">
      <c r="W4556" s="64" ph="1"/>
    </row>
    <row r="4557" spans="23:23" ht="26.4">
      <c r="W4557" s="64" ph="1"/>
    </row>
    <row r="4558" spans="23:23" ht="26.4">
      <c r="W4558" s="64" ph="1"/>
    </row>
    <row r="4559" spans="23:23" ht="26.4">
      <c r="W4559" s="64" ph="1"/>
    </row>
    <row r="4560" spans="23:23" ht="26.4">
      <c r="W4560" s="64" ph="1"/>
    </row>
    <row r="4561" spans="23:23" ht="26.4">
      <c r="W4561" s="64" ph="1"/>
    </row>
    <row r="4562" spans="23:23" ht="26.4">
      <c r="W4562" s="64" ph="1"/>
    </row>
    <row r="4563" spans="23:23" ht="26.4">
      <c r="W4563" s="64" ph="1"/>
    </row>
    <row r="4564" spans="23:23" ht="26.4">
      <c r="W4564" s="64" ph="1"/>
    </row>
    <row r="4565" spans="23:23" ht="26.4">
      <c r="W4565" s="64" ph="1"/>
    </row>
    <row r="4566" spans="23:23" ht="26.4">
      <c r="W4566" s="64" ph="1"/>
    </row>
    <row r="4567" spans="23:23" ht="26.4">
      <c r="W4567" s="64" ph="1"/>
    </row>
    <row r="4568" spans="23:23" ht="26.4">
      <c r="W4568" s="64" ph="1"/>
    </row>
    <row r="4569" spans="23:23" ht="26.4">
      <c r="W4569" s="64" ph="1"/>
    </row>
    <row r="4570" spans="23:23" ht="26.4">
      <c r="W4570" s="64" ph="1"/>
    </row>
    <row r="4571" spans="23:23" ht="26.4">
      <c r="W4571" s="64" ph="1"/>
    </row>
    <row r="4572" spans="23:23" ht="26.4">
      <c r="W4572" s="64" ph="1"/>
    </row>
    <row r="4573" spans="23:23" ht="26.4">
      <c r="W4573" s="64" ph="1"/>
    </row>
    <row r="4574" spans="23:23" ht="26.4">
      <c r="W4574" s="64" ph="1"/>
    </row>
    <row r="4575" spans="23:23" ht="26.4">
      <c r="W4575" s="64" ph="1"/>
    </row>
    <row r="4576" spans="23:23" ht="26.4">
      <c r="W4576" s="64" ph="1"/>
    </row>
    <row r="4577" spans="23:23" ht="26.4">
      <c r="W4577" s="64" ph="1"/>
    </row>
    <row r="4578" spans="23:23" ht="26.4">
      <c r="W4578" s="64" ph="1"/>
    </row>
    <row r="4579" spans="23:23" ht="26.4">
      <c r="W4579" s="64" ph="1"/>
    </row>
    <row r="4580" spans="23:23" ht="26.4">
      <c r="W4580" s="64" ph="1"/>
    </row>
    <row r="4581" spans="23:23" ht="26.4">
      <c r="W4581" s="64" ph="1"/>
    </row>
    <row r="4582" spans="23:23" ht="26.4">
      <c r="W4582" s="64" ph="1"/>
    </row>
    <row r="4583" spans="23:23" ht="26.4">
      <c r="W4583" s="64" ph="1"/>
    </row>
    <row r="4584" spans="23:23" ht="26.4">
      <c r="W4584" s="64" ph="1"/>
    </row>
    <row r="4585" spans="23:23" ht="26.4">
      <c r="W4585" s="64" ph="1"/>
    </row>
    <row r="4586" spans="23:23" ht="26.4">
      <c r="W4586" s="64" ph="1"/>
    </row>
    <row r="4587" spans="23:23" ht="26.4">
      <c r="W4587" s="64" ph="1"/>
    </row>
    <row r="4588" spans="23:23" ht="26.4">
      <c r="W4588" s="64" ph="1"/>
    </row>
    <row r="4589" spans="23:23" ht="26.4">
      <c r="W4589" s="64" ph="1"/>
    </row>
    <row r="4590" spans="23:23" ht="26.4">
      <c r="W4590" s="64" ph="1"/>
    </row>
    <row r="4591" spans="23:23" ht="26.4">
      <c r="W4591" s="64" ph="1"/>
    </row>
    <row r="4592" spans="23:23" ht="26.4">
      <c r="W4592" s="64" ph="1"/>
    </row>
    <row r="4593" spans="23:23" ht="26.4">
      <c r="W4593" s="64" ph="1"/>
    </row>
    <row r="4594" spans="23:23" ht="26.4">
      <c r="W4594" s="64" ph="1"/>
    </row>
    <row r="4595" spans="23:23" ht="26.4">
      <c r="W4595" s="64" ph="1"/>
    </row>
    <row r="4596" spans="23:23" ht="26.4">
      <c r="W4596" s="64" ph="1"/>
    </row>
    <row r="4597" spans="23:23" ht="26.4">
      <c r="W4597" s="64" ph="1"/>
    </row>
    <row r="4598" spans="23:23" ht="26.4">
      <c r="W4598" s="64" ph="1"/>
    </row>
    <row r="4599" spans="23:23" ht="26.4">
      <c r="W4599" s="64" ph="1"/>
    </row>
    <row r="4600" spans="23:23" ht="26.4">
      <c r="W4600" s="64" ph="1"/>
    </row>
    <row r="4601" spans="23:23" ht="26.4">
      <c r="W4601" s="64" ph="1"/>
    </row>
    <row r="4602" spans="23:23" ht="26.4">
      <c r="W4602" s="64" ph="1"/>
    </row>
    <row r="4603" spans="23:23" ht="26.4">
      <c r="W4603" s="64" ph="1"/>
    </row>
    <row r="4604" spans="23:23" ht="26.4">
      <c r="W4604" s="64" ph="1"/>
    </row>
    <row r="4605" spans="23:23" ht="26.4">
      <c r="W4605" s="64" ph="1"/>
    </row>
    <row r="4606" spans="23:23" ht="26.4">
      <c r="W4606" s="64" ph="1"/>
    </row>
    <row r="4607" spans="23:23" ht="26.4">
      <c r="W4607" s="64" ph="1"/>
    </row>
    <row r="4608" spans="23:23" ht="26.4">
      <c r="W4608" s="64" ph="1"/>
    </row>
    <row r="4609" spans="23:23" ht="26.4">
      <c r="W4609" s="64" ph="1"/>
    </row>
    <row r="4610" spans="23:23" ht="26.4">
      <c r="W4610" s="64" ph="1"/>
    </row>
    <row r="4611" spans="23:23" ht="26.4">
      <c r="W4611" s="64" ph="1"/>
    </row>
    <row r="4612" spans="23:23" ht="26.4">
      <c r="W4612" s="64" ph="1"/>
    </row>
    <row r="4613" spans="23:23" ht="26.4">
      <c r="W4613" s="64" ph="1"/>
    </row>
    <row r="4614" spans="23:23" ht="26.4">
      <c r="W4614" s="64" ph="1"/>
    </row>
    <row r="4615" spans="23:23" ht="26.4">
      <c r="W4615" s="64" ph="1"/>
    </row>
    <row r="4616" spans="23:23" ht="26.4">
      <c r="W4616" s="64" ph="1"/>
    </row>
    <row r="4617" spans="23:23" ht="26.4">
      <c r="W4617" s="64" ph="1"/>
    </row>
    <row r="4618" spans="23:23" ht="26.4">
      <c r="W4618" s="64" ph="1"/>
    </row>
    <row r="4619" spans="23:23" ht="26.4">
      <c r="W4619" s="64" ph="1"/>
    </row>
    <row r="4620" spans="23:23" ht="26.4">
      <c r="W4620" s="64" ph="1"/>
    </row>
    <row r="4621" spans="23:23" ht="26.4">
      <c r="W4621" s="64" ph="1"/>
    </row>
    <row r="4622" spans="23:23" ht="26.4">
      <c r="W4622" s="64" ph="1"/>
    </row>
    <row r="4623" spans="23:23" ht="26.4">
      <c r="W4623" s="64" ph="1"/>
    </row>
    <row r="4624" spans="23:23" ht="26.4">
      <c r="W4624" s="64" ph="1"/>
    </row>
    <row r="4625" spans="23:23" ht="26.4">
      <c r="W4625" s="64" ph="1"/>
    </row>
    <row r="4626" spans="23:23" ht="26.4">
      <c r="W4626" s="64" ph="1"/>
    </row>
    <row r="4627" spans="23:23" ht="26.4">
      <c r="W4627" s="64" ph="1"/>
    </row>
    <row r="4628" spans="23:23" ht="26.4">
      <c r="W4628" s="64" ph="1"/>
    </row>
    <row r="4629" spans="23:23" ht="26.4">
      <c r="W4629" s="64" ph="1"/>
    </row>
    <row r="4630" spans="23:23" ht="26.4">
      <c r="W4630" s="64" ph="1"/>
    </row>
    <row r="4631" spans="23:23" ht="26.4">
      <c r="W4631" s="64" ph="1"/>
    </row>
    <row r="4632" spans="23:23" ht="26.4">
      <c r="W4632" s="64" ph="1"/>
    </row>
    <row r="4633" spans="23:23" ht="26.4">
      <c r="W4633" s="64" ph="1"/>
    </row>
    <row r="4634" spans="23:23" ht="26.4">
      <c r="W4634" s="64" ph="1"/>
    </row>
    <row r="4635" spans="23:23" ht="26.4">
      <c r="W4635" s="64" ph="1"/>
    </row>
    <row r="4636" spans="23:23" ht="26.4">
      <c r="W4636" s="64" ph="1"/>
    </row>
    <row r="4637" spans="23:23" ht="26.4">
      <c r="W4637" s="64" ph="1"/>
    </row>
    <row r="4638" spans="23:23" ht="26.4">
      <c r="W4638" s="64" ph="1"/>
    </row>
    <row r="4639" spans="23:23" ht="26.4">
      <c r="W4639" s="64" ph="1"/>
    </row>
    <row r="4640" spans="23:23" ht="26.4">
      <c r="W4640" s="64" ph="1"/>
    </row>
    <row r="4641" spans="23:23" ht="26.4">
      <c r="W4641" s="64" ph="1"/>
    </row>
    <row r="4642" spans="23:23" ht="26.4">
      <c r="W4642" s="64" ph="1"/>
    </row>
    <row r="4643" spans="23:23" ht="26.4">
      <c r="W4643" s="64" ph="1"/>
    </row>
    <row r="4644" spans="23:23" ht="26.4">
      <c r="W4644" s="64" ph="1"/>
    </row>
    <row r="4645" spans="23:23" ht="26.4">
      <c r="W4645" s="64" ph="1"/>
    </row>
    <row r="4646" spans="23:23" ht="26.4">
      <c r="W4646" s="64" ph="1"/>
    </row>
    <row r="4647" spans="23:23" ht="26.4">
      <c r="W4647" s="64" ph="1"/>
    </row>
    <row r="4648" spans="23:23" ht="26.4">
      <c r="W4648" s="64" ph="1"/>
    </row>
    <row r="4649" spans="23:23" ht="26.4">
      <c r="W4649" s="64" ph="1"/>
    </row>
    <row r="4650" spans="23:23" ht="26.4">
      <c r="W4650" s="64" ph="1"/>
    </row>
    <row r="4651" spans="23:23" ht="26.4">
      <c r="W4651" s="64" ph="1"/>
    </row>
    <row r="4652" spans="23:23" ht="26.4">
      <c r="W4652" s="64" ph="1"/>
    </row>
    <row r="4653" spans="23:23" ht="26.4">
      <c r="W4653" s="64" ph="1"/>
    </row>
    <row r="4654" spans="23:23" ht="26.4">
      <c r="W4654" s="64" ph="1"/>
    </row>
    <row r="4655" spans="23:23" ht="26.4">
      <c r="W4655" s="64" ph="1"/>
    </row>
    <row r="4656" spans="23:23" ht="26.4">
      <c r="W4656" s="64" ph="1"/>
    </row>
    <row r="4657" spans="23:23" ht="26.4">
      <c r="W4657" s="64" ph="1"/>
    </row>
    <row r="4658" spans="23:23" ht="26.4">
      <c r="W4658" s="64" ph="1"/>
    </row>
    <row r="4659" spans="23:23" ht="26.4">
      <c r="W4659" s="64" ph="1"/>
    </row>
    <row r="4660" spans="23:23" ht="26.4">
      <c r="W4660" s="64" ph="1"/>
    </row>
    <row r="4661" spans="23:23" ht="26.4">
      <c r="W4661" s="64" ph="1"/>
    </row>
    <row r="4662" spans="23:23" ht="26.4">
      <c r="W4662" s="64" ph="1"/>
    </row>
    <row r="4663" spans="23:23" ht="26.4">
      <c r="W4663" s="64" ph="1"/>
    </row>
    <row r="4664" spans="23:23" ht="26.4">
      <c r="W4664" s="64" ph="1"/>
    </row>
    <row r="4665" spans="23:23" ht="26.4">
      <c r="W4665" s="64" ph="1"/>
    </row>
    <row r="4666" spans="23:23" ht="26.4">
      <c r="W4666" s="64" ph="1"/>
    </row>
    <row r="4667" spans="23:23" ht="26.4">
      <c r="W4667" s="64" ph="1"/>
    </row>
    <row r="4668" spans="23:23" ht="26.4">
      <c r="W4668" s="64" ph="1"/>
    </row>
    <row r="4669" spans="23:23" ht="26.4">
      <c r="W4669" s="64" ph="1"/>
    </row>
    <row r="4670" spans="23:23" ht="26.4">
      <c r="W4670" s="64" ph="1"/>
    </row>
    <row r="4671" spans="23:23" ht="26.4">
      <c r="W4671" s="64" ph="1"/>
    </row>
    <row r="4672" spans="23:23" ht="26.4">
      <c r="W4672" s="64" ph="1"/>
    </row>
    <row r="4673" spans="23:23" ht="26.4">
      <c r="W4673" s="64" ph="1"/>
    </row>
    <row r="4674" spans="23:23" ht="26.4">
      <c r="W4674" s="64" ph="1"/>
    </row>
    <row r="4675" spans="23:23" ht="26.4">
      <c r="W4675" s="64" ph="1"/>
    </row>
    <row r="4676" spans="23:23" ht="26.4">
      <c r="W4676" s="64" ph="1"/>
    </row>
    <row r="4677" spans="23:23" ht="26.4">
      <c r="W4677" s="64" ph="1"/>
    </row>
    <row r="4678" spans="23:23" ht="26.4">
      <c r="W4678" s="64" ph="1"/>
    </row>
    <row r="4679" spans="23:23" ht="26.4">
      <c r="W4679" s="64" ph="1"/>
    </row>
    <row r="4680" spans="23:23" ht="26.4">
      <c r="W4680" s="64" ph="1"/>
    </row>
    <row r="4681" spans="23:23" ht="26.4">
      <c r="W4681" s="64" ph="1"/>
    </row>
    <row r="4682" spans="23:23" ht="26.4">
      <c r="W4682" s="64" ph="1"/>
    </row>
    <row r="4683" spans="23:23" ht="26.4">
      <c r="W4683" s="64" ph="1"/>
    </row>
    <row r="4684" spans="23:23" ht="26.4">
      <c r="W4684" s="64" ph="1"/>
    </row>
    <row r="4685" spans="23:23" ht="26.4">
      <c r="W4685" s="64" ph="1"/>
    </row>
    <row r="4686" spans="23:23" ht="26.4">
      <c r="W4686" s="64" ph="1"/>
    </row>
    <row r="4687" spans="23:23" ht="26.4">
      <c r="W4687" s="64" ph="1"/>
    </row>
    <row r="4688" spans="23:23" ht="26.4">
      <c r="W4688" s="64" ph="1"/>
    </row>
    <row r="4689" spans="23:23" ht="26.4">
      <c r="W4689" s="64" ph="1"/>
    </row>
    <row r="4690" spans="23:23" ht="26.4">
      <c r="W4690" s="64" ph="1"/>
    </row>
    <row r="4691" spans="23:23" ht="26.4">
      <c r="W4691" s="64" ph="1"/>
    </row>
    <row r="4692" spans="23:23" ht="26.4">
      <c r="W4692" s="64" ph="1"/>
    </row>
    <row r="4693" spans="23:23" ht="26.4">
      <c r="W4693" s="64" ph="1"/>
    </row>
    <row r="4694" spans="23:23" ht="26.4">
      <c r="W4694" s="64" ph="1"/>
    </row>
    <row r="4695" spans="23:23" ht="26.4">
      <c r="W4695" s="64" ph="1"/>
    </row>
    <row r="4696" spans="23:23" ht="26.4">
      <c r="W4696" s="64" ph="1"/>
    </row>
    <row r="4697" spans="23:23" ht="26.4">
      <c r="W4697" s="64" ph="1"/>
    </row>
    <row r="4698" spans="23:23" ht="26.4">
      <c r="W4698" s="64" ph="1"/>
    </row>
    <row r="4699" spans="23:23" ht="26.4">
      <c r="W4699" s="64" ph="1"/>
    </row>
    <row r="4700" spans="23:23" ht="26.4">
      <c r="W4700" s="64" ph="1"/>
    </row>
    <row r="4701" spans="23:23" ht="26.4">
      <c r="W4701" s="64" ph="1"/>
    </row>
    <row r="4702" spans="23:23" ht="26.4">
      <c r="W4702" s="64" ph="1"/>
    </row>
    <row r="4703" spans="23:23" ht="26.4">
      <c r="W4703" s="64" ph="1"/>
    </row>
    <row r="4704" spans="23:23" ht="26.4">
      <c r="W4704" s="64" ph="1"/>
    </row>
    <row r="4705" spans="23:23" ht="26.4">
      <c r="W4705" s="64" ph="1"/>
    </row>
    <row r="4706" spans="23:23" ht="26.4">
      <c r="W4706" s="64" ph="1"/>
    </row>
    <row r="4707" spans="23:23" ht="26.4">
      <c r="W4707" s="64" ph="1"/>
    </row>
    <row r="4708" spans="23:23" ht="26.4">
      <c r="W4708" s="64" ph="1"/>
    </row>
    <row r="4709" spans="23:23" ht="26.4">
      <c r="W4709" s="64" ph="1"/>
    </row>
    <row r="4710" spans="23:23" ht="26.4">
      <c r="W4710" s="64" ph="1"/>
    </row>
    <row r="4711" spans="23:23" ht="26.4">
      <c r="W4711" s="64" ph="1"/>
    </row>
    <row r="4712" spans="23:23" ht="26.4">
      <c r="W4712" s="64" ph="1"/>
    </row>
    <row r="4713" spans="23:23" ht="26.4">
      <c r="W4713" s="64" ph="1"/>
    </row>
    <row r="4714" spans="23:23" ht="26.4">
      <c r="W4714" s="64" ph="1"/>
    </row>
    <row r="4715" spans="23:23" ht="26.4">
      <c r="W4715" s="64" ph="1"/>
    </row>
    <row r="4716" spans="23:23" ht="26.4">
      <c r="W4716" s="64" ph="1"/>
    </row>
    <row r="4717" spans="23:23" ht="26.4">
      <c r="W4717" s="64" ph="1"/>
    </row>
    <row r="4718" spans="23:23" ht="26.4">
      <c r="W4718" s="64" ph="1"/>
    </row>
    <row r="4719" spans="23:23" ht="26.4">
      <c r="W4719" s="64" ph="1"/>
    </row>
    <row r="4720" spans="23:23" ht="26.4">
      <c r="W4720" s="64" ph="1"/>
    </row>
    <row r="4721" spans="23:23" ht="26.4">
      <c r="W4721" s="64" ph="1"/>
    </row>
    <row r="4722" spans="23:23" ht="26.4">
      <c r="W4722" s="64" ph="1"/>
    </row>
    <row r="4723" spans="23:23" ht="26.4">
      <c r="W4723" s="64" ph="1"/>
    </row>
    <row r="4724" spans="23:23" ht="26.4">
      <c r="W4724" s="64" ph="1"/>
    </row>
    <row r="4725" spans="23:23" ht="26.4">
      <c r="W4725" s="64" ph="1"/>
    </row>
    <row r="4726" spans="23:23" ht="26.4">
      <c r="W4726" s="64" ph="1"/>
    </row>
    <row r="4727" spans="23:23" ht="26.4">
      <c r="W4727" s="64" ph="1"/>
    </row>
    <row r="4728" spans="23:23" ht="26.4">
      <c r="W4728" s="64" ph="1"/>
    </row>
    <row r="4729" spans="23:23" ht="26.4">
      <c r="W4729" s="64" ph="1"/>
    </row>
    <row r="4730" spans="23:23" ht="26.4">
      <c r="W4730" s="64" ph="1"/>
    </row>
    <row r="4731" spans="23:23" ht="26.4">
      <c r="W4731" s="64" ph="1"/>
    </row>
    <row r="4732" spans="23:23" ht="26.4">
      <c r="W4732" s="64" ph="1"/>
    </row>
    <row r="4733" spans="23:23" ht="26.4">
      <c r="W4733" s="64" ph="1"/>
    </row>
    <row r="4734" spans="23:23" ht="26.4">
      <c r="W4734" s="64" ph="1"/>
    </row>
    <row r="4735" spans="23:23" ht="26.4">
      <c r="W4735" s="64" ph="1"/>
    </row>
    <row r="4736" spans="23:23" ht="26.4">
      <c r="W4736" s="64" ph="1"/>
    </row>
    <row r="4737" spans="23:23" ht="26.4">
      <c r="W4737" s="64" ph="1"/>
    </row>
    <row r="4738" spans="23:23" ht="26.4">
      <c r="W4738" s="64" ph="1"/>
    </row>
    <row r="4739" spans="23:23" ht="26.4">
      <c r="W4739" s="64" ph="1"/>
    </row>
    <row r="4740" spans="23:23" ht="26.4">
      <c r="W4740" s="64" ph="1"/>
    </row>
    <row r="4741" spans="23:23" ht="26.4">
      <c r="W4741" s="64" ph="1"/>
    </row>
    <row r="4742" spans="23:23" ht="26.4">
      <c r="W4742" s="64" ph="1"/>
    </row>
    <row r="4743" spans="23:23" ht="26.4">
      <c r="W4743" s="64" ph="1"/>
    </row>
    <row r="4744" spans="23:23" ht="26.4">
      <c r="W4744" s="64" ph="1"/>
    </row>
    <row r="4745" spans="23:23" ht="26.4">
      <c r="W4745" s="64" ph="1"/>
    </row>
    <row r="4746" spans="23:23" ht="26.4">
      <c r="W4746" s="64" ph="1"/>
    </row>
    <row r="4747" spans="23:23" ht="26.4">
      <c r="W4747" s="64" ph="1"/>
    </row>
    <row r="4748" spans="23:23" ht="26.4">
      <c r="W4748" s="64" ph="1"/>
    </row>
    <row r="4749" spans="23:23" ht="26.4">
      <c r="W4749" s="64" ph="1"/>
    </row>
    <row r="4750" spans="23:23" ht="26.4">
      <c r="W4750" s="64" ph="1"/>
    </row>
    <row r="4751" spans="23:23" ht="26.4">
      <c r="W4751" s="64" ph="1"/>
    </row>
    <row r="4752" spans="23:23" ht="26.4">
      <c r="W4752" s="64" ph="1"/>
    </row>
    <row r="4753" spans="23:23" ht="26.4">
      <c r="W4753" s="64" ph="1"/>
    </row>
    <row r="4754" spans="23:23" ht="26.4">
      <c r="W4754" s="64" ph="1"/>
    </row>
    <row r="4755" spans="23:23" ht="26.4">
      <c r="W4755" s="64" ph="1"/>
    </row>
    <row r="4756" spans="23:23" ht="26.4">
      <c r="W4756" s="64" ph="1"/>
    </row>
    <row r="4757" spans="23:23" ht="26.4">
      <c r="W4757" s="64" ph="1"/>
    </row>
    <row r="4758" spans="23:23" ht="26.4">
      <c r="W4758" s="64" ph="1"/>
    </row>
    <row r="4759" spans="23:23" ht="26.4">
      <c r="W4759" s="64" ph="1"/>
    </row>
    <row r="4760" spans="23:23" ht="26.4">
      <c r="W4760" s="64" ph="1"/>
    </row>
    <row r="4761" spans="23:23" ht="26.4">
      <c r="W4761" s="64" ph="1"/>
    </row>
    <row r="4762" spans="23:23" ht="26.4">
      <c r="W4762" s="64" ph="1"/>
    </row>
    <row r="4763" spans="23:23" ht="26.4">
      <c r="W4763" s="64" ph="1"/>
    </row>
    <row r="4764" spans="23:23" ht="26.4">
      <c r="W4764" s="64" ph="1"/>
    </row>
    <row r="4765" spans="23:23" ht="26.4">
      <c r="W4765" s="64" ph="1"/>
    </row>
    <row r="4766" spans="23:23" ht="26.4">
      <c r="W4766" s="64" ph="1"/>
    </row>
    <row r="4767" spans="23:23" ht="26.4">
      <c r="W4767" s="64" ph="1"/>
    </row>
    <row r="4768" spans="23:23" ht="26.4">
      <c r="W4768" s="64" ph="1"/>
    </row>
    <row r="4769" spans="23:23" ht="26.4">
      <c r="W4769" s="64" ph="1"/>
    </row>
    <row r="4770" spans="23:23" ht="26.4">
      <c r="W4770" s="64" ph="1"/>
    </row>
    <row r="4771" spans="23:23" ht="26.4">
      <c r="W4771" s="64" ph="1"/>
    </row>
    <row r="4772" spans="23:23" ht="26.4">
      <c r="W4772" s="64" ph="1"/>
    </row>
    <row r="4773" spans="23:23" ht="26.4">
      <c r="W4773" s="64" ph="1"/>
    </row>
    <row r="4774" spans="23:23" ht="26.4">
      <c r="W4774" s="64" ph="1"/>
    </row>
    <row r="4775" spans="23:23" ht="26.4">
      <c r="W4775" s="64" ph="1"/>
    </row>
    <row r="4776" spans="23:23" ht="26.4">
      <c r="W4776" s="64" ph="1"/>
    </row>
    <row r="4777" spans="23:23" ht="26.4">
      <c r="W4777" s="64" ph="1"/>
    </row>
    <row r="4778" spans="23:23" ht="26.4">
      <c r="W4778" s="64" ph="1"/>
    </row>
    <row r="4779" spans="23:23" ht="26.4">
      <c r="W4779" s="64" ph="1"/>
    </row>
    <row r="4780" spans="23:23" ht="26.4">
      <c r="W4780" s="64" ph="1"/>
    </row>
    <row r="4781" spans="23:23" ht="26.4">
      <c r="W4781" s="64" ph="1"/>
    </row>
    <row r="4782" spans="23:23" ht="26.4">
      <c r="W4782" s="64" ph="1"/>
    </row>
    <row r="4783" spans="23:23" ht="26.4">
      <c r="W4783" s="64" ph="1"/>
    </row>
    <row r="4784" spans="23:23" ht="26.4">
      <c r="W4784" s="64" ph="1"/>
    </row>
    <row r="4785" spans="23:23" ht="26.4">
      <c r="W4785" s="64" ph="1"/>
    </row>
    <row r="4786" spans="23:23" ht="26.4">
      <c r="W4786" s="64" ph="1"/>
    </row>
    <row r="4787" spans="23:23" ht="26.4">
      <c r="W4787" s="64" ph="1"/>
    </row>
    <row r="4788" spans="23:23" ht="26.4">
      <c r="W4788" s="64" ph="1"/>
    </row>
    <row r="4789" spans="23:23" ht="26.4">
      <c r="W4789" s="64" ph="1"/>
    </row>
    <row r="4790" spans="23:23" ht="26.4">
      <c r="W4790" s="64" ph="1"/>
    </row>
    <row r="4791" spans="23:23" ht="26.4">
      <c r="W4791" s="64" ph="1"/>
    </row>
    <row r="4792" spans="23:23" ht="26.4">
      <c r="W4792" s="64" ph="1"/>
    </row>
    <row r="4793" spans="23:23" ht="26.4">
      <c r="W4793" s="64" ph="1"/>
    </row>
    <row r="4794" spans="23:23" ht="26.4">
      <c r="W4794" s="64" ph="1"/>
    </row>
    <row r="4795" spans="23:23" ht="26.4">
      <c r="W4795" s="64" ph="1"/>
    </row>
    <row r="4796" spans="23:23" ht="26.4">
      <c r="W4796" s="64" ph="1"/>
    </row>
    <row r="4797" spans="23:23" ht="26.4">
      <c r="W4797" s="64" ph="1"/>
    </row>
    <row r="4798" spans="23:23" ht="26.4">
      <c r="W4798" s="64" ph="1"/>
    </row>
    <row r="4799" spans="23:23" ht="26.4">
      <c r="W4799" s="64" ph="1"/>
    </row>
    <row r="4800" spans="23:23" ht="26.4">
      <c r="W4800" s="64" ph="1"/>
    </row>
    <row r="4801" spans="23:23" ht="26.4">
      <c r="W4801" s="64" ph="1"/>
    </row>
    <row r="4802" spans="23:23" ht="26.4">
      <c r="W4802" s="64" ph="1"/>
    </row>
    <row r="4803" spans="23:23" ht="26.4">
      <c r="W4803" s="64" ph="1"/>
    </row>
    <row r="4804" spans="23:23" ht="26.4">
      <c r="W4804" s="64" ph="1"/>
    </row>
    <row r="4805" spans="23:23" ht="26.4">
      <c r="W4805" s="64" ph="1"/>
    </row>
    <row r="4806" spans="23:23" ht="26.4">
      <c r="W4806" s="64" ph="1"/>
    </row>
    <row r="4807" spans="23:23" ht="26.4">
      <c r="W4807" s="64" ph="1"/>
    </row>
    <row r="4808" spans="23:23" ht="26.4">
      <c r="W4808" s="64" ph="1"/>
    </row>
    <row r="4809" spans="23:23" ht="26.4">
      <c r="W4809" s="64" ph="1"/>
    </row>
    <row r="4810" spans="23:23" ht="26.4">
      <c r="W4810" s="64" ph="1"/>
    </row>
    <row r="4811" spans="23:23" ht="26.4">
      <c r="W4811" s="64" ph="1"/>
    </row>
    <row r="4812" spans="23:23" ht="26.4">
      <c r="W4812" s="64" ph="1"/>
    </row>
    <row r="4813" spans="23:23" ht="26.4">
      <c r="W4813" s="64" ph="1"/>
    </row>
    <row r="4814" spans="23:23" ht="26.4">
      <c r="W4814" s="64" ph="1"/>
    </row>
    <row r="4815" spans="23:23" ht="26.4">
      <c r="W4815" s="64" ph="1"/>
    </row>
    <row r="4816" spans="23:23" ht="26.4">
      <c r="W4816" s="64" ph="1"/>
    </row>
    <row r="4817" spans="23:23" ht="26.4">
      <c r="W4817" s="64" ph="1"/>
    </row>
    <row r="4818" spans="23:23" ht="26.4">
      <c r="W4818" s="64" ph="1"/>
    </row>
    <row r="4819" spans="23:23" ht="26.4">
      <c r="W4819" s="64" ph="1"/>
    </row>
    <row r="4820" spans="23:23" ht="26.4">
      <c r="W4820" s="64" ph="1"/>
    </row>
    <row r="4821" spans="23:23" ht="26.4">
      <c r="W4821" s="64" ph="1"/>
    </row>
    <row r="4822" spans="23:23" ht="26.4">
      <c r="W4822" s="64" ph="1"/>
    </row>
    <row r="4823" spans="23:23" ht="26.4">
      <c r="W4823" s="64" ph="1"/>
    </row>
    <row r="4824" spans="23:23" ht="26.4">
      <c r="W4824" s="64" ph="1"/>
    </row>
    <row r="4825" spans="23:23" ht="26.4">
      <c r="W4825" s="64" ph="1"/>
    </row>
    <row r="4826" spans="23:23" ht="26.4">
      <c r="W4826" s="64" ph="1"/>
    </row>
    <row r="4827" spans="23:23" ht="26.4">
      <c r="W4827" s="64" ph="1"/>
    </row>
    <row r="4828" spans="23:23" ht="26.4">
      <c r="W4828" s="64" ph="1"/>
    </row>
    <row r="4829" spans="23:23" ht="26.4">
      <c r="W4829" s="64" ph="1"/>
    </row>
    <row r="4830" spans="23:23" ht="26.4">
      <c r="W4830" s="64" ph="1"/>
    </row>
    <row r="4831" spans="23:23" ht="26.4">
      <c r="W4831" s="64" ph="1"/>
    </row>
    <row r="4832" spans="23:23" ht="26.4">
      <c r="W4832" s="64" ph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FF0000"/>
  </sheetPr>
  <dimension ref="A1:AO1840"/>
  <sheetViews>
    <sheetView tabSelected="1" topLeftCell="A1682" workbookViewId="0">
      <selection activeCell="A1682" sqref="A1682"/>
    </sheetView>
  </sheetViews>
  <sheetFormatPr defaultColWidth="9.125" defaultRowHeight="16.2"/>
  <cols>
    <col min="1" max="1" width="5.75" style="135" customWidth="1"/>
    <col min="2" max="5" width="5.75" style="97" customWidth="1"/>
    <col min="6" max="6" width="8.75" style="66" customWidth="1"/>
    <col min="7" max="7" width="7.75" style="58" customWidth="1"/>
    <col min="8" max="8" width="5.75" style="13" customWidth="1"/>
    <col min="9" max="9" width="9.75" style="10" customWidth="1"/>
    <col min="10" max="10" width="6.75" style="32" customWidth="1"/>
    <col min="11" max="11" width="6.75" style="367" customWidth="1"/>
    <col min="12" max="12" width="6.75" style="77" customWidth="1"/>
    <col min="13" max="13" width="6.75" style="365" customWidth="1"/>
    <col min="14" max="14" width="7.75" style="367" customWidth="1"/>
    <col min="15" max="15" width="7.75" style="379" customWidth="1"/>
    <col min="16" max="16" width="5.75" style="232" customWidth="1"/>
    <col min="17" max="17" width="4.75" style="326" customWidth="1"/>
    <col min="18" max="18" width="4.75" style="111" customWidth="1"/>
    <col min="19" max="19" width="4.75" style="51" customWidth="1"/>
    <col min="20" max="20" width="5.75" style="339" customWidth="1"/>
    <col min="21" max="21" width="2.75" style="329" customWidth="1"/>
    <col min="22" max="22" width="6.75" style="371" customWidth="1"/>
    <col min="23" max="23" width="7.75" style="90" customWidth="1"/>
    <col min="24" max="24" width="7.75" style="240" customWidth="1"/>
    <col min="25" max="25" width="9.75" style="211" customWidth="1"/>
    <col min="26" max="26" width="9.75" style="208" customWidth="1"/>
    <col min="27" max="27" width="9.75" style="61" customWidth="1"/>
    <col min="28" max="28" width="8.75" style="12" customWidth="1"/>
    <col min="29" max="29" width="6.75" style="177" customWidth="1"/>
    <col min="30" max="30" width="8.75" style="10" customWidth="1"/>
    <col min="31" max="31" width="11.75" style="89" customWidth="1"/>
    <col min="32" max="32" width="11.75" style="88" customWidth="1"/>
    <col min="33" max="33" width="4.75" style="82" customWidth="1"/>
    <col min="34" max="34" width="9.75" style="50" customWidth="1"/>
    <col min="35" max="35" width="2.75" style="129" customWidth="1"/>
    <col min="36" max="36" width="2.75" style="264" customWidth="1"/>
    <col min="37" max="37" width="7.75" style="301" customWidth="1"/>
    <col min="38" max="38" width="7.75" style="310" customWidth="1"/>
    <col min="39" max="39" width="7.75" style="291" customWidth="1"/>
    <col min="40" max="40" width="7.75" style="273" customWidth="1"/>
    <col min="41" max="41" width="11.75" style="12" customWidth="1"/>
    <col min="42" max="16384" width="9.125" style="284"/>
  </cols>
  <sheetData>
    <row r="1" spans="1:41">
      <c r="B1" s="84"/>
      <c r="C1" s="84"/>
      <c r="D1" s="84"/>
      <c r="E1" s="84"/>
      <c r="F1" s="59"/>
      <c r="G1" s="58" t="s">
        <v>6333</v>
      </c>
      <c r="H1" s="11"/>
      <c r="I1" s="23" t="s">
        <v>6334</v>
      </c>
      <c r="J1" s="209">
        <v>55.11</v>
      </c>
      <c r="K1" s="371">
        <v>35.979999999999997</v>
      </c>
      <c r="L1" s="77">
        <v>0.41</v>
      </c>
      <c r="N1" s="365">
        <f>J1+K1+L1+M1</f>
        <v>91.5</v>
      </c>
      <c r="O1" s="343">
        <f t="shared" ref="O1" si="0">J1+M1</f>
        <v>55.11</v>
      </c>
      <c r="P1" s="313"/>
      <c r="R1" s="111">
        <v>1</v>
      </c>
      <c r="S1" s="51">
        <v>12</v>
      </c>
      <c r="T1" s="339">
        <f>SUM(R1:S1)</f>
        <v>13</v>
      </c>
      <c r="V1" s="371">
        <v>7.78</v>
      </c>
      <c r="W1" s="206">
        <v>0.35</v>
      </c>
      <c r="X1" s="59"/>
      <c r="Y1" s="14" t="str">
        <f>RTD("money.excel",,"0050","Price")</f>
        <v>無資料</v>
      </c>
      <c r="Z1" s="68"/>
      <c r="AA1" s="16" t="e">
        <f>Y1-Z1</f>
        <v>#VALUE!</v>
      </c>
      <c r="AB1" s="3" t="e">
        <f>AA1/Z1</f>
        <v>#VALUE!</v>
      </c>
      <c r="AD1" s="23" t="s">
        <v>6334</v>
      </c>
      <c r="AG1" s="34">
        <f>AF1-AE1</f>
        <v>0</v>
      </c>
      <c r="AH1" s="63"/>
      <c r="AI1" s="284"/>
      <c r="AK1" s="352"/>
      <c r="AL1" s="288"/>
      <c r="AM1" s="288"/>
      <c r="AN1" s="288"/>
      <c r="AO1" s="284"/>
    </row>
    <row r="2" spans="1:41">
      <c r="A2" s="135" t="s">
        <v>2552</v>
      </c>
      <c r="B2" s="96" t="s">
        <v>2331</v>
      </c>
      <c r="C2" s="96" t="s">
        <v>2332</v>
      </c>
      <c r="D2" s="96" t="s">
        <v>2333</v>
      </c>
      <c r="E2" s="96" t="s">
        <v>2334</v>
      </c>
      <c r="F2" s="9" t="s">
        <v>1709</v>
      </c>
      <c r="G2" s="52" t="s">
        <v>778</v>
      </c>
      <c r="H2" s="56" t="s">
        <v>578</v>
      </c>
      <c r="I2" s="51" t="s">
        <v>621</v>
      </c>
      <c r="J2" s="364" t="s">
        <v>2189</v>
      </c>
      <c r="K2" s="364" t="s">
        <v>1820</v>
      </c>
      <c r="L2" s="364" t="s">
        <v>515</v>
      </c>
      <c r="M2" s="364" t="s">
        <v>1699</v>
      </c>
      <c r="N2" s="364" t="s">
        <v>6604</v>
      </c>
      <c r="O2" s="343" t="s">
        <v>6620</v>
      </c>
      <c r="P2" s="83" t="s">
        <v>5279</v>
      </c>
      <c r="Q2" s="326" t="s">
        <v>5514</v>
      </c>
      <c r="R2" s="31" t="s">
        <v>6596</v>
      </c>
      <c r="S2" s="51" t="s">
        <v>6597</v>
      </c>
      <c r="T2" s="338" t="s">
        <v>5627</v>
      </c>
      <c r="U2" s="330" t="s">
        <v>6537</v>
      </c>
      <c r="V2" s="377" t="s">
        <v>6616</v>
      </c>
      <c r="W2" s="11" t="s">
        <v>127</v>
      </c>
      <c r="X2" s="71" t="s">
        <v>5216</v>
      </c>
      <c r="Y2" s="29" t="s">
        <v>3</v>
      </c>
      <c r="Z2" s="18" t="s">
        <v>2113</v>
      </c>
      <c r="AA2" s="15" t="s">
        <v>8</v>
      </c>
      <c r="AB2" s="22" t="s">
        <v>4</v>
      </c>
      <c r="AC2" s="358" t="s">
        <v>211</v>
      </c>
      <c r="AD2" s="51" t="s">
        <v>621</v>
      </c>
      <c r="AE2" s="75" t="s">
        <v>2114</v>
      </c>
      <c r="AF2" s="76" t="s">
        <v>1826</v>
      </c>
      <c r="AG2" s="33" t="s">
        <v>1827</v>
      </c>
      <c r="AH2" s="44"/>
      <c r="AI2" s="131"/>
      <c r="AK2" s="9" t="s">
        <v>6666</v>
      </c>
      <c r="AL2" s="5" t="s">
        <v>6667</v>
      </c>
      <c r="AM2" s="51" t="s">
        <v>5339</v>
      </c>
      <c r="AN2" s="276" t="s">
        <v>6665</v>
      </c>
      <c r="AO2" s="284"/>
    </row>
    <row r="3" spans="1:41">
      <c r="B3" s="96"/>
      <c r="C3" s="96"/>
      <c r="D3" s="96"/>
      <c r="E3" s="96"/>
      <c r="F3" s="9"/>
      <c r="G3" s="52"/>
      <c r="H3" s="56"/>
      <c r="I3" s="51"/>
      <c r="J3" s="364"/>
      <c r="K3" s="364"/>
      <c r="L3" s="364"/>
      <c r="M3" s="364"/>
      <c r="N3" s="364"/>
      <c r="O3" s="343"/>
      <c r="P3" s="83"/>
      <c r="R3" s="31"/>
      <c r="T3" s="338"/>
      <c r="U3" s="330"/>
      <c r="V3" s="377"/>
      <c r="W3" s="11"/>
      <c r="X3" s="71"/>
      <c r="Y3" s="29"/>
      <c r="Z3" s="18"/>
      <c r="AA3" s="15"/>
      <c r="AB3" s="22"/>
      <c r="AC3" s="358"/>
      <c r="AD3" s="51"/>
      <c r="AE3" s="75"/>
      <c r="AF3" s="76"/>
      <c r="AG3" s="33"/>
      <c r="AH3" s="44"/>
      <c r="AI3" s="131"/>
      <c r="AK3" s="9"/>
      <c r="AL3" s="5"/>
      <c r="AM3" s="51"/>
      <c r="AN3" s="276"/>
      <c r="AO3" s="284"/>
    </row>
    <row r="4" spans="1:41">
      <c r="A4" s="135" t="s">
        <v>2552</v>
      </c>
      <c r="B4" s="96" t="s">
        <v>2331</v>
      </c>
      <c r="C4" s="96" t="s">
        <v>2332</v>
      </c>
      <c r="D4" s="96" t="s">
        <v>2333</v>
      </c>
      <c r="E4" s="96" t="s">
        <v>2334</v>
      </c>
      <c r="F4" s="9" t="s">
        <v>1709</v>
      </c>
      <c r="G4" s="52" t="s">
        <v>1462</v>
      </c>
      <c r="H4" s="56" t="s">
        <v>578</v>
      </c>
      <c r="I4" s="9" t="s">
        <v>540</v>
      </c>
      <c r="J4" s="364" t="s">
        <v>2189</v>
      </c>
      <c r="K4" s="364" t="s">
        <v>1820</v>
      </c>
      <c r="L4" s="364" t="s">
        <v>515</v>
      </c>
      <c r="M4" s="364" t="s">
        <v>1699</v>
      </c>
      <c r="N4" s="364" t="s">
        <v>6604</v>
      </c>
      <c r="O4" s="343" t="s">
        <v>6620</v>
      </c>
      <c r="P4" s="83" t="s">
        <v>5279</v>
      </c>
      <c r="Q4" s="326" t="s">
        <v>5514</v>
      </c>
      <c r="R4" s="31" t="s">
        <v>6596</v>
      </c>
      <c r="S4" s="51" t="s">
        <v>6597</v>
      </c>
      <c r="T4" s="338" t="s">
        <v>5627</v>
      </c>
      <c r="U4" s="330" t="s">
        <v>6537</v>
      </c>
      <c r="V4" s="377" t="s">
        <v>6616</v>
      </c>
      <c r="W4" s="11" t="s">
        <v>127</v>
      </c>
      <c r="X4" s="71" t="s">
        <v>5216</v>
      </c>
      <c r="Y4" s="29" t="s">
        <v>3</v>
      </c>
      <c r="Z4" s="18" t="s">
        <v>2113</v>
      </c>
      <c r="AA4" s="15" t="s">
        <v>8</v>
      </c>
      <c r="AB4" s="22" t="s">
        <v>4</v>
      </c>
      <c r="AC4" s="358" t="s">
        <v>211</v>
      </c>
      <c r="AD4" s="9" t="s">
        <v>540</v>
      </c>
      <c r="AE4" s="75" t="s">
        <v>2114</v>
      </c>
      <c r="AF4" s="76" t="s">
        <v>1826</v>
      </c>
      <c r="AG4" s="33" t="s">
        <v>1827</v>
      </c>
      <c r="AH4" s="44"/>
      <c r="AI4" s="284"/>
      <c r="AK4" s="9" t="s">
        <v>6666</v>
      </c>
      <c r="AL4" s="5" t="s">
        <v>6667</v>
      </c>
      <c r="AM4" s="51" t="s">
        <v>5339</v>
      </c>
      <c r="AN4" s="276" t="s">
        <v>6665</v>
      </c>
      <c r="AO4" s="284"/>
    </row>
    <row r="5" spans="1:41">
      <c r="A5" s="135" t="s">
        <v>6356</v>
      </c>
      <c r="B5" s="85">
        <v>-21</v>
      </c>
      <c r="C5" s="85">
        <v>-33</v>
      </c>
      <c r="D5" s="85">
        <v>-1</v>
      </c>
      <c r="E5" s="84">
        <v>1</v>
      </c>
      <c r="F5" s="59">
        <v>19.64</v>
      </c>
      <c r="G5" s="85">
        <v>1101</v>
      </c>
      <c r="H5" s="4" t="s">
        <v>540</v>
      </c>
      <c r="I5" s="163" t="s">
        <v>504</v>
      </c>
      <c r="J5" s="371">
        <v>68.58</v>
      </c>
      <c r="K5" s="77">
        <v>25.73</v>
      </c>
      <c r="L5" s="371">
        <v>0.46</v>
      </c>
      <c r="N5" s="365">
        <f t="shared" ref="N5:N10" si="1">J5+K5+L5+M5</f>
        <v>94.77</v>
      </c>
      <c r="O5" s="343">
        <f t="shared" ref="O5:O10" si="2">J5+M5</f>
        <v>68.58</v>
      </c>
      <c r="P5" s="195">
        <v>41</v>
      </c>
      <c r="Q5" s="326">
        <f>IFERROR(VLOOKUP($G5,主力整理!$A$2:$G$2301,6,0),"0")</f>
        <v>8</v>
      </c>
      <c r="R5" s="111">
        <v>0</v>
      </c>
      <c r="S5" s="51">
        <v>13</v>
      </c>
      <c r="T5" s="339">
        <f t="shared" ref="T5:T11" si="3">SUM(P5:S5)</f>
        <v>62</v>
      </c>
      <c r="U5" s="329" t="s">
        <v>6541</v>
      </c>
      <c r="V5" s="371">
        <v>1.56</v>
      </c>
      <c r="W5" s="68">
        <v>3.37</v>
      </c>
      <c r="X5" s="59">
        <v>4.28</v>
      </c>
      <c r="Y5" s="37" t="str">
        <f>RTD("money.excel",,$G5,"Price")</f>
        <v>無資料</v>
      </c>
      <c r="Z5" s="69"/>
      <c r="AA5" s="16" t="e">
        <f t="shared" ref="AA5:AA11" si="4">Y5-Z5</f>
        <v>#VALUE!</v>
      </c>
      <c r="AB5" s="3" t="e">
        <v>#DIV/0!</v>
      </c>
      <c r="AC5" s="177" t="s">
        <v>2929</v>
      </c>
      <c r="AD5" s="23" t="s">
        <v>504</v>
      </c>
      <c r="AG5" s="34">
        <v>0</v>
      </c>
      <c r="AH5" s="126" t="s">
        <v>5206</v>
      </c>
      <c r="AI5" s="131"/>
      <c r="AK5" s="66">
        <f t="shared" ref="AK5" si="5">AM5/(A5*10000)</f>
        <v>0</v>
      </c>
      <c r="AL5" s="174">
        <f t="shared" ref="AL5" si="6">AN5/(A5*10000)</f>
        <v>0</v>
      </c>
      <c r="AM5" s="346">
        <f>RTD("money.excel",,$G5,"PredictVolume")</f>
        <v>0</v>
      </c>
      <c r="AN5" s="272">
        <f>RTD("money.excel",,$G5,"CumulativeVolume")</f>
        <v>0</v>
      </c>
      <c r="AO5" s="284"/>
    </row>
    <row r="6" spans="1:41">
      <c r="A6" s="135" t="s">
        <v>6367</v>
      </c>
      <c r="B6" s="84">
        <v>0</v>
      </c>
      <c r="C6" s="85">
        <v>-4</v>
      </c>
      <c r="D6" s="84">
        <v>20</v>
      </c>
      <c r="E6" s="84">
        <v>27</v>
      </c>
      <c r="F6" s="59">
        <v>19.13</v>
      </c>
      <c r="G6" s="85">
        <v>1102</v>
      </c>
      <c r="H6" s="4" t="s">
        <v>540</v>
      </c>
      <c r="I6" s="23" t="s">
        <v>33</v>
      </c>
      <c r="J6" s="371">
        <v>78.87</v>
      </c>
      <c r="K6" s="371">
        <v>22.18</v>
      </c>
      <c r="L6" s="371">
        <v>0.32</v>
      </c>
      <c r="N6" s="365">
        <f t="shared" si="1"/>
        <v>101.37</v>
      </c>
      <c r="O6" s="343">
        <f t="shared" si="2"/>
        <v>78.87</v>
      </c>
      <c r="P6" s="195">
        <v>27</v>
      </c>
      <c r="Q6" s="326">
        <f>IFERROR(VLOOKUP($G6,主力整理!$A$2:$G$2301,6,0),"0")</f>
        <v>4</v>
      </c>
      <c r="R6" s="111">
        <v>1</v>
      </c>
      <c r="S6" s="51">
        <v>12</v>
      </c>
      <c r="T6" s="339">
        <f t="shared" si="3"/>
        <v>44</v>
      </c>
      <c r="V6" s="371">
        <v>6.59</v>
      </c>
      <c r="W6" s="69">
        <v>3.46</v>
      </c>
      <c r="X6" s="59">
        <v>4.8899999999999997</v>
      </c>
      <c r="Y6" s="37" t="str">
        <f>RTD("money.excel",,$G6,"Price")</f>
        <v>無資料</v>
      </c>
      <c r="Z6" s="69"/>
      <c r="AA6" s="16" t="e">
        <f t="shared" si="4"/>
        <v>#VALUE!</v>
      </c>
      <c r="AB6" s="3" t="e">
        <v>#DIV/0!</v>
      </c>
      <c r="AC6" s="177" t="s">
        <v>2929</v>
      </c>
      <c r="AD6" s="23" t="s">
        <v>33</v>
      </c>
      <c r="AG6" s="34">
        <v>0</v>
      </c>
      <c r="AH6" s="126" t="s">
        <v>5207</v>
      </c>
      <c r="AI6" s="131"/>
      <c r="AK6" s="66">
        <f t="shared" ref="AK6:AK11" si="7">AM6/(A6*10000)</f>
        <v>0</v>
      </c>
      <c r="AL6" s="174">
        <f t="shared" ref="AL6:AL11" si="8">AN6/(A6*10000)</f>
        <v>0</v>
      </c>
      <c r="AM6" s="346">
        <f>RTD("money.excel",,$G6,"PredictVolume")</f>
        <v>0</v>
      </c>
      <c r="AN6" s="272">
        <f>RTD("money.excel",,$G6,"CumulativeVolume")</f>
        <v>0</v>
      </c>
      <c r="AO6" s="284"/>
    </row>
    <row r="7" spans="1:41">
      <c r="A7" s="151" t="s">
        <v>3205</v>
      </c>
      <c r="B7" s="85">
        <v>-106</v>
      </c>
      <c r="C7" s="85">
        <v>-176</v>
      </c>
      <c r="D7" s="85">
        <v>-11</v>
      </c>
      <c r="E7" s="85">
        <v>-6</v>
      </c>
      <c r="F7" s="7">
        <v>-31.99</v>
      </c>
      <c r="G7" s="85">
        <v>1103</v>
      </c>
      <c r="H7" s="4" t="s">
        <v>540</v>
      </c>
      <c r="I7" s="23" t="s">
        <v>1463</v>
      </c>
      <c r="J7" s="371">
        <v>80.23</v>
      </c>
      <c r="K7" s="371">
        <v>5.1100000000000003</v>
      </c>
      <c r="L7" s="371">
        <v>1.17</v>
      </c>
      <c r="N7" s="365">
        <f t="shared" si="1"/>
        <v>86.51</v>
      </c>
      <c r="O7" s="343">
        <f t="shared" si="2"/>
        <v>80.23</v>
      </c>
      <c r="P7" s="195">
        <v>2</v>
      </c>
      <c r="Q7" s="326">
        <f>IFERROR(VLOOKUP($G7,主力整理!$A$2:$G$2301,6,0),"0")</f>
        <v>1</v>
      </c>
      <c r="T7" s="339">
        <f t="shared" si="3"/>
        <v>3</v>
      </c>
      <c r="V7" s="371">
        <v>0.02</v>
      </c>
      <c r="W7" s="35">
        <v>1.4</v>
      </c>
      <c r="X7" s="100">
        <v>2.74</v>
      </c>
      <c r="Y7" s="37" t="str">
        <f>RTD("money.excel",,$G7,"Price")</f>
        <v>無資料</v>
      </c>
      <c r="Z7" s="69"/>
      <c r="AA7" s="16" t="e">
        <f t="shared" si="4"/>
        <v>#VALUE!</v>
      </c>
      <c r="AB7" s="3" t="e">
        <v>#DIV/0!</v>
      </c>
      <c r="AC7" s="177" t="s">
        <v>2648</v>
      </c>
      <c r="AD7" s="23" t="s">
        <v>1463</v>
      </c>
      <c r="AG7" s="34">
        <v>0</v>
      </c>
      <c r="AH7" s="44" t="s">
        <v>3207</v>
      </c>
      <c r="AI7" s="131"/>
      <c r="AK7" s="66">
        <f t="shared" si="7"/>
        <v>0</v>
      </c>
      <c r="AL7" s="174">
        <f t="shared" si="8"/>
        <v>0</v>
      </c>
      <c r="AM7" s="346">
        <f>RTD("money.excel",,$G7,"PredictVolume")</f>
        <v>0</v>
      </c>
      <c r="AN7" s="272">
        <f>RTD("money.excel",,$G7,"CumulativeVolume")</f>
        <v>0</v>
      </c>
      <c r="AO7" s="284"/>
    </row>
    <row r="8" spans="1:41">
      <c r="A8" s="151" t="s">
        <v>2889</v>
      </c>
      <c r="B8" s="84">
        <v>5</v>
      </c>
      <c r="C8" s="84">
        <v>523</v>
      </c>
      <c r="D8" s="84">
        <v>5</v>
      </c>
      <c r="E8" s="84">
        <v>19</v>
      </c>
      <c r="F8" s="7">
        <v>7.05</v>
      </c>
      <c r="G8" s="85">
        <v>1104</v>
      </c>
      <c r="H8" s="4" t="s">
        <v>540</v>
      </c>
      <c r="I8" s="23" t="s">
        <v>1464</v>
      </c>
      <c r="J8" s="77">
        <v>75.510000000000005</v>
      </c>
      <c r="K8" s="77">
        <v>11.92</v>
      </c>
      <c r="L8" s="77">
        <v>0.6</v>
      </c>
      <c r="N8" s="365">
        <f t="shared" si="1"/>
        <v>88.03</v>
      </c>
      <c r="O8" s="343">
        <f t="shared" si="2"/>
        <v>75.510000000000005</v>
      </c>
      <c r="P8" s="195">
        <v>1</v>
      </c>
      <c r="Q8" s="326" t="str">
        <f>IFERROR(VLOOKUP($G8,主力整理!$A$2:$G$2301,6,0),"0")</f>
        <v>0</v>
      </c>
      <c r="T8" s="339">
        <f t="shared" si="3"/>
        <v>1</v>
      </c>
      <c r="V8" s="371">
        <v>0.01</v>
      </c>
      <c r="W8" s="35">
        <v>1.1000000000000001</v>
      </c>
      <c r="X8" s="100">
        <v>1.91</v>
      </c>
      <c r="Y8" s="37" t="str">
        <f>RTD("money.excel",,$G8,"Price")</f>
        <v>無資料</v>
      </c>
      <c r="Z8" s="69"/>
      <c r="AA8" s="16" t="e">
        <f t="shared" si="4"/>
        <v>#VALUE!</v>
      </c>
      <c r="AB8" s="3" t="e">
        <v>#DIV/0!</v>
      </c>
      <c r="AC8" s="177" t="s">
        <v>2648</v>
      </c>
      <c r="AD8" s="23" t="s">
        <v>1464</v>
      </c>
      <c r="AG8" s="34">
        <v>0</v>
      </c>
      <c r="AH8" s="44" t="s">
        <v>5208</v>
      </c>
      <c r="AI8" s="131"/>
      <c r="AK8" s="66">
        <f t="shared" si="7"/>
        <v>0</v>
      </c>
      <c r="AL8" s="174">
        <f t="shared" si="8"/>
        <v>0</v>
      </c>
      <c r="AM8" s="346">
        <f>RTD("money.excel",,$G8,"PredictVolume")</f>
        <v>0</v>
      </c>
      <c r="AN8" s="272">
        <f>RTD("money.excel",,$G8,"CumulativeVolume")</f>
        <v>0</v>
      </c>
      <c r="AO8" s="284"/>
    </row>
    <row r="9" spans="1:41">
      <c r="A9" s="151" t="s">
        <v>4870</v>
      </c>
      <c r="B9" s="214">
        <v>36473</v>
      </c>
      <c r="C9" s="145">
        <v>1774</v>
      </c>
      <c r="D9" s="96">
        <v>7</v>
      </c>
      <c r="E9" s="96">
        <v>40</v>
      </c>
      <c r="F9" s="7">
        <v>3.26</v>
      </c>
      <c r="G9" s="85">
        <v>1108</v>
      </c>
      <c r="H9" s="4" t="s">
        <v>540</v>
      </c>
      <c r="I9" s="23" t="s">
        <v>1465</v>
      </c>
      <c r="J9" s="77">
        <v>82.69</v>
      </c>
      <c r="K9" s="77">
        <v>2.15</v>
      </c>
      <c r="L9" s="77">
        <v>0.99</v>
      </c>
      <c r="N9" s="365">
        <f t="shared" si="1"/>
        <v>85.83</v>
      </c>
      <c r="O9" s="343">
        <f t="shared" si="2"/>
        <v>82.69</v>
      </c>
      <c r="P9" s="195" t="s">
        <v>5554</v>
      </c>
      <c r="Q9" s="326" t="str">
        <f>IFERROR(VLOOKUP($G9,主力整理!$A$2:$G$2301,6,0),"0")</f>
        <v>0</v>
      </c>
      <c r="T9" s="339">
        <f t="shared" si="3"/>
        <v>0</v>
      </c>
      <c r="V9" s="371">
        <v>13.48</v>
      </c>
      <c r="W9" s="35">
        <v>0.7</v>
      </c>
      <c r="X9" s="100">
        <v>0.97</v>
      </c>
      <c r="Y9" s="37" t="str">
        <f>RTD("money.excel",,$G9,"Price")</f>
        <v>無資料</v>
      </c>
      <c r="Z9" s="69"/>
      <c r="AA9" s="16" t="e">
        <f t="shared" si="4"/>
        <v>#VALUE!</v>
      </c>
      <c r="AB9" s="3" t="e">
        <v>#DIV/0!</v>
      </c>
      <c r="AD9" s="23" t="s">
        <v>1465</v>
      </c>
      <c r="AG9" s="34">
        <v>0</v>
      </c>
      <c r="AH9" s="44" t="s">
        <v>540</v>
      </c>
      <c r="AI9" s="131"/>
      <c r="AK9" s="66">
        <f t="shared" si="7"/>
        <v>0</v>
      </c>
      <c r="AL9" s="174">
        <f t="shared" si="8"/>
        <v>0</v>
      </c>
      <c r="AM9" s="346">
        <f>RTD("money.excel",,$G9,"PredictVolume")</f>
        <v>0</v>
      </c>
      <c r="AN9" s="272">
        <f>RTD("money.excel",,$G9,"CumulativeVolume")</f>
        <v>0</v>
      </c>
      <c r="AO9" s="284"/>
    </row>
    <row r="10" spans="1:41">
      <c r="A10" s="135" t="s">
        <v>2753</v>
      </c>
      <c r="B10" s="84">
        <v>31</v>
      </c>
      <c r="C10" s="84">
        <v>32</v>
      </c>
      <c r="D10" s="84">
        <v>36</v>
      </c>
      <c r="E10" s="84">
        <v>59</v>
      </c>
      <c r="F10" s="59">
        <v>26.61</v>
      </c>
      <c r="G10" s="85">
        <v>1109</v>
      </c>
      <c r="H10" s="4" t="s">
        <v>540</v>
      </c>
      <c r="I10" s="23" t="s">
        <v>1466</v>
      </c>
      <c r="J10" s="371">
        <v>87.64</v>
      </c>
      <c r="K10" s="77">
        <v>3.73</v>
      </c>
      <c r="L10" s="77">
        <v>6.5</v>
      </c>
      <c r="N10" s="365">
        <f t="shared" si="1"/>
        <v>97.87</v>
      </c>
      <c r="O10" s="343">
        <f t="shared" si="2"/>
        <v>87.64</v>
      </c>
      <c r="P10" s="195" t="s">
        <v>5554</v>
      </c>
      <c r="Q10" s="326" t="str">
        <f>IFERROR(VLOOKUP($G10,主力整理!$A$2:$G$2301,6,0),"0")</f>
        <v>0</v>
      </c>
      <c r="T10" s="339">
        <f t="shared" si="3"/>
        <v>0</v>
      </c>
      <c r="V10" s="371">
        <v>45.18</v>
      </c>
      <c r="W10" s="35">
        <v>1.5</v>
      </c>
      <c r="X10" s="59">
        <v>2.94</v>
      </c>
      <c r="Y10" s="37" t="str">
        <f>RTD("money.excel",,$G10,"Price")</f>
        <v>無資料</v>
      </c>
      <c r="Z10" s="69"/>
      <c r="AA10" s="16" t="e">
        <f t="shared" si="4"/>
        <v>#VALUE!</v>
      </c>
      <c r="AB10" s="3" t="e">
        <v>#DIV/0!</v>
      </c>
      <c r="AC10" s="177" t="s">
        <v>2648</v>
      </c>
      <c r="AD10" s="23" t="s">
        <v>1466</v>
      </c>
      <c r="AG10" s="34">
        <v>0</v>
      </c>
      <c r="AH10" s="63" t="s">
        <v>540</v>
      </c>
      <c r="AI10" s="131"/>
      <c r="AK10" s="66">
        <f t="shared" si="7"/>
        <v>0</v>
      </c>
      <c r="AL10" s="174">
        <f t="shared" si="8"/>
        <v>0</v>
      </c>
      <c r="AM10" s="346">
        <f>RTD("money.excel",,$G10,"PredictVolume")</f>
        <v>0</v>
      </c>
      <c r="AN10" s="272">
        <f>RTD("money.excel",,$G10,"CumulativeVolume")</f>
        <v>0</v>
      </c>
      <c r="AO10" s="284"/>
    </row>
    <row r="11" spans="1:41">
      <c r="A11" s="151" t="s">
        <v>4498</v>
      </c>
      <c r="B11" s="96">
        <v>-94</v>
      </c>
      <c r="C11" s="96">
        <v>-107</v>
      </c>
      <c r="D11" s="96">
        <v>-14</v>
      </c>
      <c r="E11" s="96">
        <v>9</v>
      </c>
      <c r="F11" s="7">
        <v>-2.66</v>
      </c>
      <c r="G11" s="85">
        <v>1110</v>
      </c>
      <c r="H11" s="4" t="s">
        <v>540</v>
      </c>
      <c r="I11" s="23" t="s">
        <v>1467</v>
      </c>
      <c r="J11" s="77">
        <v>95.04</v>
      </c>
      <c r="K11" s="77">
        <v>8.33</v>
      </c>
      <c r="L11" s="77">
        <v>0.5</v>
      </c>
      <c r="N11" s="365">
        <f t="shared" ref="N11" si="9">J11+K11+L11+M11</f>
        <v>103.87</v>
      </c>
      <c r="O11" s="343">
        <f t="shared" ref="O11" si="10">J11+M11</f>
        <v>95.04</v>
      </c>
      <c r="P11" s="195">
        <v>1</v>
      </c>
      <c r="Q11" s="326">
        <f>IFERROR(VLOOKUP($G11,主力整理!$A$2:$G$2301,6,0),"0")</f>
        <v>1</v>
      </c>
      <c r="T11" s="339">
        <f t="shared" si="3"/>
        <v>2</v>
      </c>
      <c r="V11" s="371">
        <v>30.63</v>
      </c>
      <c r="W11" s="35">
        <v>0.1</v>
      </c>
      <c r="X11" s="100">
        <v>0.04</v>
      </c>
      <c r="Y11" s="37" t="str">
        <f>RTD("money.excel",,$G11,"Price")</f>
        <v>無資料</v>
      </c>
      <c r="Z11" s="69"/>
      <c r="AA11" s="16" t="e">
        <f t="shared" si="4"/>
        <v>#VALUE!</v>
      </c>
      <c r="AB11" s="3" t="e">
        <v>#DIV/0!</v>
      </c>
      <c r="AC11" s="177" t="s">
        <v>2648</v>
      </c>
      <c r="AD11" s="23" t="s">
        <v>1467</v>
      </c>
      <c r="AG11" s="34">
        <v>0</v>
      </c>
      <c r="AH11" s="44" t="s">
        <v>540</v>
      </c>
      <c r="AI11" s="131"/>
      <c r="AK11" s="66">
        <f t="shared" si="7"/>
        <v>0</v>
      </c>
      <c r="AL11" s="174">
        <f t="shared" si="8"/>
        <v>0</v>
      </c>
      <c r="AM11" s="346">
        <f>RTD("money.excel",,$G11,"PredictVolume")</f>
        <v>0</v>
      </c>
      <c r="AN11" s="272">
        <f>RTD("money.excel",,$G11,"CumulativeVolume")</f>
        <v>0</v>
      </c>
      <c r="AO11" s="284"/>
    </row>
    <row r="12" spans="1:41">
      <c r="A12" s="151"/>
      <c r="B12" s="96"/>
      <c r="C12" s="96"/>
      <c r="D12" s="96"/>
      <c r="E12" s="96"/>
      <c r="F12" s="7"/>
      <c r="G12" s="85"/>
      <c r="H12" s="4"/>
      <c r="I12" s="23"/>
      <c r="J12" s="77"/>
      <c r="K12" s="77"/>
      <c r="N12" s="365"/>
      <c r="O12" s="343"/>
      <c r="P12" s="195"/>
      <c r="W12" s="35"/>
      <c r="X12" s="100"/>
      <c r="Y12" s="14"/>
      <c r="Z12" s="69"/>
      <c r="AA12" s="16"/>
      <c r="AB12" s="3"/>
      <c r="AD12" s="23"/>
      <c r="AG12" s="34"/>
      <c r="AH12" s="44"/>
      <c r="AI12" s="131"/>
      <c r="AK12" s="66"/>
      <c r="AL12" s="174"/>
      <c r="AM12" s="346"/>
      <c r="AN12" s="272"/>
      <c r="AO12" s="284"/>
    </row>
    <row r="13" spans="1:41">
      <c r="A13" s="135" t="s">
        <v>2552</v>
      </c>
      <c r="B13" s="96" t="s">
        <v>2331</v>
      </c>
      <c r="C13" s="96" t="s">
        <v>2332</v>
      </c>
      <c r="D13" s="96" t="s">
        <v>2333</v>
      </c>
      <c r="E13" s="96" t="s">
        <v>2334</v>
      </c>
      <c r="F13" s="9" t="s">
        <v>1709</v>
      </c>
      <c r="G13" s="52" t="s">
        <v>1342</v>
      </c>
      <c r="H13" s="56" t="s">
        <v>578</v>
      </c>
      <c r="I13" s="51" t="s">
        <v>541</v>
      </c>
      <c r="J13" s="364" t="s">
        <v>2189</v>
      </c>
      <c r="K13" s="364" t="s">
        <v>462</v>
      </c>
      <c r="L13" s="364" t="s">
        <v>515</v>
      </c>
      <c r="M13" s="364" t="s">
        <v>1699</v>
      </c>
      <c r="N13" s="364" t="s">
        <v>6604</v>
      </c>
      <c r="O13" s="343" t="s">
        <v>6620</v>
      </c>
      <c r="P13" s="83" t="s">
        <v>5279</v>
      </c>
      <c r="Q13" s="326" t="s">
        <v>5514</v>
      </c>
      <c r="R13" s="31" t="s">
        <v>6596</v>
      </c>
      <c r="S13" s="51" t="s">
        <v>6597</v>
      </c>
      <c r="T13" s="338" t="s">
        <v>5627</v>
      </c>
      <c r="U13" s="330" t="s">
        <v>6537</v>
      </c>
      <c r="V13" s="377" t="s">
        <v>6616</v>
      </c>
      <c r="W13" s="11" t="s">
        <v>127</v>
      </c>
      <c r="X13" s="71" t="s">
        <v>5216</v>
      </c>
      <c r="Y13" s="29" t="s">
        <v>3</v>
      </c>
      <c r="Z13" s="18" t="s">
        <v>2113</v>
      </c>
      <c r="AA13" s="15" t="s">
        <v>8</v>
      </c>
      <c r="AB13" s="22" t="s">
        <v>4</v>
      </c>
      <c r="AC13" s="358" t="s">
        <v>211</v>
      </c>
      <c r="AD13" s="51" t="s">
        <v>541</v>
      </c>
      <c r="AE13" s="75" t="s">
        <v>2114</v>
      </c>
      <c r="AF13" s="76" t="s">
        <v>1826</v>
      </c>
      <c r="AG13" s="33" t="s">
        <v>1827</v>
      </c>
      <c r="AH13" s="44"/>
      <c r="AI13" s="131"/>
      <c r="AK13" s="9" t="s">
        <v>6666</v>
      </c>
      <c r="AL13" s="5" t="s">
        <v>6667</v>
      </c>
      <c r="AM13" s="51" t="s">
        <v>5339</v>
      </c>
      <c r="AN13" s="276" t="s">
        <v>6665</v>
      </c>
      <c r="AO13" s="284"/>
    </row>
    <row r="14" spans="1:41">
      <c r="A14" s="151" t="s">
        <v>4729</v>
      </c>
      <c r="B14" s="96">
        <v>-74</v>
      </c>
      <c r="C14" s="96">
        <v>-2</v>
      </c>
      <c r="D14" s="96">
        <v>-7</v>
      </c>
      <c r="E14" s="96">
        <v>-1</v>
      </c>
      <c r="F14" s="7">
        <v>3.47</v>
      </c>
      <c r="G14" s="85">
        <v>1201</v>
      </c>
      <c r="H14" s="4" t="s">
        <v>541</v>
      </c>
      <c r="I14" s="23" t="s">
        <v>166</v>
      </c>
      <c r="J14" s="77">
        <v>64.959999999999994</v>
      </c>
      <c r="K14" s="77">
        <v>10.06</v>
      </c>
      <c r="L14" s="77">
        <v>3.55</v>
      </c>
      <c r="N14" s="365">
        <f t="shared" ref="N14:N40" si="11">J14+K14+L14+M14</f>
        <v>78.569999999999993</v>
      </c>
      <c r="O14" s="343">
        <f t="shared" ref="O14:O40" si="12">J14+M14</f>
        <v>64.959999999999994</v>
      </c>
      <c r="P14" s="195" t="s">
        <v>5554</v>
      </c>
      <c r="Q14" s="326" t="str">
        <f>IFERROR(VLOOKUP($G14,主力整理!$A$2:$G$2301,6,0),"0")</f>
        <v>0</v>
      </c>
      <c r="T14" s="339">
        <f t="shared" ref="T14:T40" si="13">SUM(P14:S14)</f>
        <v>0</v>
      </c>
      <c r="V14" s="371">
        <v>14.56</v>
      </c>
      <c r="W14" s="35">
        <v>0.53</v>
      </c>
      <c r="X14" s="100">
        <v>1.06</v>
      </c>
      <c r="Y14" s="37" t="str">
        <f>RTD("money.excel",,$G14,"Price")</f>
        <v>無資料</v>
      </c>
      <c r="Z14" s="69"/>
      <c r="AA14" s="16" t="e">
        <f t="shared" ref="AA14:AA40" si="14">Y14-Z14</f>
        <v>#VALUE!</v>
      </c>
      <c r="AB14" s="3" t="e">
        <v>#DIV/0!</v>
      </c>
      <c r="AD14" s="23" t="s">
        <v>166</v>
      </c>
      <c r="AG14" s="34">
        <v>0</v>
      </c>
      <c r="AH14" s="125" t="s">
        <v>541</v>
      </c>
      <c r="AI14" s="131"/>
      <c r="AK14" s="66">
        <f t="shared" ref="AK14" si="15">AM14/(A14*10000)</f>
        <v>0</v>
      </c>
      <c r="AL14" s="174">
        <f t="shared" ref="AL14" si="16">AN14/(A14*10000)</f>
        <v>0</v>
      </c>
      <c r="AM14" s="346">
        <f>RTD("money.excel",,$G14,"PredictVolume")</f>
        <v>0</v>
      </c>
      <c r="AN14" s="272">
        <f>RTD("money.excel",,$G14,"CumulativeVolume")</f>
        <v>0</v>
      </c>
      <c r="AO14" s="284"/>
    </row>
    <row r="15" spans="1:41">
      <c r="A15" s="135" t="s">
        <v>4802</v>
      </c>
      <c r="B15" s="96">
        <v>5</v>
      </c>
      <c r="C15" s="96">
        <v>7</v>
      </c>
      <c r="D15" s="96">
        <v>5</v>
      </c>
      <c r="E15" s="96">
        <v>5</v>
      </c>
      <c r="F15" s="59">
        <v>16.09</v>
      </c>
      <c r="G15" s="85">
        <v>1203</v>
      </c>
      <c r="H15" s="4" t="s">
        <v>541</v>
      </c>
      <c r="I15" s="23" t="s">
        <v>1347</v>
      </c>
      <c r="J15" s="77">
        <v>84.59</v>
      </c>
      <c r="K15" s="77">
        <v>2.2400000000000002</v>
      </c>
      <c r="L15" s="77">
        <v>0.97</v>
      </c>
      <c r="N15" s="365">
        <f t="shared" si="11"/>
        <v>87.8</v>
      </c>
      <c r="O15" s="343">
        <f t="shared" si="12"/>
        <v>84.59</v>
      </c>
      <c r="P15" s="195" t="s">
        <v>5554</v>
      </c>
      <c r="Q15" s="326" t="str">
        <f>IFERROR(VLOOKUP($G15,主力整理!$A$2:$G$2301,6,0),"0")</f>
        <v>0</v>
      </c>
      <c r="T15" s="339">
        <f t="shared" si="13"/>
        <v>0</v>
      </c>
      <c r="V15" s="371">
        <v>29.26</v>
      </c>
      <c r="W15" s="35">
        <v>1.1000000000000001</v>
      </c>
      <c r="X15" s="100">
        <v>1.81</v>
      </c>
      <c r="Y15" s="37" t="str">
        <f>RTD("money.excel",,$G15,"Price")</f>
        <v>無資料</v>
      </c>
      <c r="Z15" s="69"/>
      <c r="AA15" s="16" t="e">
        <f t="shared" si="14"/>
        <v>#VALUE!</v>
      </c>
      <c r="AB15" s="3" t="e">
        <v>#DIV/0!</v>
      </c>
      <c r="AD15" s="23" t="s">
        <v>1347</v>
      </c>
      <c r="AG15" s="34">
        <v>0</v>
      </c>
      <c r="AH15" s="63" t="s">
        <v>4106</v>
      </c>
      <c r="AI15" s="131"/>
      <c r="AK15" s="66">
        <f t="shared" ref="AK15:AK17" si="17">AM15/(A15*10000)</f>
        <v>0</v>
      </c>
      <c r="AL15" s="174">
        <f t="shared" ref="AL15:AL17" si="18">AN15/(A15*10000)</f>
        <v>0</v>
      </c>
      <c r="AM15" s="346">
        <f>RTD("money.excel",,$G15,"PredictVolume")</f>
        <v>0</v>
      </c>
      <c r="AN15" s="272">
        <f>RTD("money.excel",,$G15,"CumulativeVolume")</f>
        <v>0</v>
      </c>
      <c r="AO15" s="284"/>
    </row>
    <row r="16" spans="1:41">
      <c r="A16" s="151" t="s">
        <v>3070</v>
      </c>
      <c r="B16" s="84">
        <v>37</v>
      </c>
      <c r="C16" s="84">
        <v>24</v>
      </c>
      <c r="D16" s="85">
        <v>10</v>
      </c>
      <c r="E16" s="84">
        <v>37</v>
      </c>
      <c r="F16" s="7">
        <v>5.6</v>
      </c>
      <c r="G16" s="85">
        <v>1210</v>
      </c>
      <c r="H16" s="4" t="s">
        <v>541</v>
      </c>
      <c r="I16" s="23" t="s">
        <v>1348</v>
      </c>
      <c r="J16" s="371">
        <v>64.05</v>
      </c>
      <c r="K16" s="77">
        <v>13.83</v>
      </c>
      <c r="L16" s="77">
        <v>1.67</v>
      </c>
      <c r="N16" s="365">
        <f t="shared" si="11"/>
        <v>79.55</v>
      </c>
      <c r="O16" s="343">
        <f t="shared" si="12"/>
        <v>64.05</v>
      </c>
      <c r="P16" s="195">
        <v>10</v>
      </c>
      <c r="Q16" s="326">
        <f>IFERROR(VLOOKUP($G16,主力整理!$A$2:$G$2301,6,0),"0")</f>
        <v>1</v>
      </c>
      <c r="T16" s="339">
        <f t="shared" si="13"/>
        <v>11</v>
      </c>
      <c r="V16" s="371">
        <v>0.03</v>
      </c>
      <c r="W16" s="69">
        <v>3</v>
      </c>
      <c r="X16" s="100">
        <v>3.99</v>
      </c>
      <c r="Y16" s="37" t="str">
        <f>RTD("money.excel",,$G16,"Price")</f>
        <v>無資料</v>
      </c>
      <c r="Z16" s="69"/>
      <c r="AA16" s="16" t="e">
        <f t="shared" si="14"/>
        <v>#VALUE!</v>
      </c>
      <c r="AB16" s="3" t="e">
        <v>#DIV/0!</v>
      </c>
      <c r="AC16" s="177" t="s">
        <v>2929</v>
      </c>
      <c r="AD16" s="23" t="s">
        <v>1348</v>
      </c>
      <c r="AG16" s="34">
        <v>0</v>
      </c>
      <c r="AH16" s="44" t="s">
        <v>4107</v>
      </c>
      <c r="AI16" s="131"/>
      <c r="AK16" s="66">
        <f t="shared" si="17"/>
        <v>0</v>
      </c>
      <c r="AL16" s="174">
        <f t="shared" si="18"/>
        <v>0</v>
      </c>
      <c r="AM16" s="346">
        <f>RTD("money.excel",,$G16,"PredictVolume")</f>
        <v>0</v>
      </c>
      <c r="AN16" s="272">
        <f>RTD("money.excel",,$G16,"CumulativeVolume")</f>
        <v>0</v>
      </c>
      <c r="AO16" s="284"/>
    </row>
    <row r="17" spans="1:41">
      <c r="A17" s="151" t="s">
        <v>4853</v>
      </c>
      <c r="B17" s="96">
        <v>72</v>
      </c>
      <c r="C17" s="96">
        <v>-48</v>
      </c>
      <c r="D17" s="96">
        <v>4</v>
      </c>
      <c r="E17" s="96">
        <v>2</v>
      </c>
      <c r="F17" s="7">
        <v>-12.4</v>
      </c>
      <c r="G17" s="85">
        <v>1213</v>
      </c>
      <c r="H17" s="4" t="s">
        <v>541</v>
      </c>
      <c r="I17" s="23" t="s">
        <v>1350</v>
      </c>
      <c r="J17" s="77">
        <v>72.84</v>
      </c>
      <c r="K17" s="77">
        <v>0.09</v>
      </c>
      <c r="L17" s="77">
        <v>1.1299999999999999</v>
      </c>
      <c r="N17" s="365">
        <f t="shared" si="11"/>
        <v>74.06</v>
      </c>
      <c r="O17" s="343">
        <f t="shared" si="12"/>
        <v>72.84</v>
      </c>
      <c r="P17" s="195" t="s">
        <v>5554</v>
      </c>
      <c r="Q17" s="326" t="str">
        <f>IFERROR(VLOOKUP($G17,主力整理!$A$2:$G$2301,6,0),"0")</f>
        <v>0</v>
      </c>
      <c r="T17" s="339">
        <f t="shared" si="13"/>
        <v>0</v>
      </c>
      <c r="V17" s="371">
        <v>13.66</v>
      </c>
      <c r="W17" s="35">
        <v>0</v>
      </c>
      <c r="X17" s="100">
        <v>-0.48</v>
      </c>
      <c r="Y17" s="37" t="str">
        <f>RTD("money.excel",,$G17,"Price")</f>
        <v>無資料</v>
      </c>
      <c r="Z17" s="69"/>
      <c r="AA17" s="16" t="e">
        <f t="shared" si="14"/>
        <v>#VALUE!</v>
      </c>
      <c r="AB17" s="3" t="e">
        <v>#DIV/0!</v>
      </c>
      <c r="AD17" s="23" t="s">
        <v>1350</v>
      </c>
      <c r="AG17" s="34">
        <v>0</v>
      </c>
      <c r="AH17" s="44" t="s">
        <v>2278</v>
      </c>
      <c r="AI17" s="131"/>
      <c r="AK17" s="66">
        <f t="shared" si="17"/>
        <v>0</v>
      </c>
      <c r="AL17" s="174">
        <f t="shared" si="18"/>
        <v>0</v>
      </c>
      <c r="AM17" s="346">
        <f>RTD("money.excel",,$G17,"PredictVolume")</f>
        <v>0</v>
      </c>
      <c r="AN17" s="272">
        <f>RTD("money.excel",,$G17,"CumulativeVolume")</f>
        <v>0</v>
      </c>
      <c r="AO17" s="284"/>
    </row>
    <row r="18" spans="1:41">
      <c r="A18" s="151" t="s">
        <v>2955</v>
      </c>
      <c r="B18" s="84">
        <v>6</v>
      </c>
      <c r="C18" s="85">
        <v>-6</v>
      </c>
      <c r="D18" s="84">
        <v>0</v>
      </c>
      <c r="E18" s="84">
        <v>3</v>
      </c>
      <c r="F18" s="7">
        <v>8.57</v>
      </c>
      <c r="G18" s="85">
        <v>1215</v>
      </c>
      <c r="H18" s="4" t="s">
        <v>541</v>
      </c>
      <c r="I18" s="23" t="s">
        <v>1351</v>
      </c>
      <c r="J18" s="371">
        <v>66.849999999999994</v>
      </c>
      <c r="K18" s="371">
        <v>41.28</v>
      </c>
      <c r="L18" s="371">
        <v>1.25</v>
      </c>
      <c r="N18" s="365">
        <f t="shared" si="11"/>
        <v>109.38</v>
      </c>
      <c r="O18" s="343">
        <f t="shared" si="12"/>
        <v>66.849999999999994</v>
      </c>
      <c r="P18" s="195">
        <v>7</v>
      </c>
      <c r="Q18" s="326" t="str">
        <f>IFERROR(VLOOKUP($G18,主力整理!$A$2:$G$2301,6,0),"0")</f>
        <v>0</v>
      </c>
      <c r="T18" s="339">
        <f t="shared" si="13"/>
        <v>7</v>
      </c>
      <c r="V18" s="371">
        <v>0.02</v>
      </c>
      <c r="W18" s="69">
        <v>4</v>
      </c>
      <c r="X18" s="100">
        <v>6.18</v>
      </c>
      <c r="Y18" s="37" t="str">
        <f>RTD("money.excel",,$G18,"Price")</f>
        <v>無資料</v>
      </c>
      <c r="Z18" s="69"/>
      <c r="AA18" s="16" t="e">
        <f t="shared" si="14"/>
        <v>#VALUE!</v>
      </c>
      <c r="AB18" s="3" t="e">
        <v>#DIV/0!</v>
      </c>
      <c r="AC18" s="177" t="s">
        <v>2929</v>
      </c>
      <c r="AD18" s="23" t="s">
        <v>1351</v>
      </c>
      <c r="AG18" s="34">
        <v>0</v>
      </c>
      <c r="AH18" s="44" t="s">
        <v>4107</v>
      </c>
      <c r="AI18" s="131"/>
      <c r="AK18" s="66">
        <f t="shared" ref="AK18:AK40" si="19">AM18/(A18*10000)</f>
        <v>0</v>
      </c>
      <c r="AL18" s="174">
        <f t="shared" ref="AL18:AL40" si="20">AN18/(A18*10000)</f>
        <v>0</v>
      </c>
      <c r="AM18" s="346">
        <f>RTD("money.excel",,$G18,"PredictVolume")</f>
        <v>0</v>
      </c>
      <c r="AN18" s="272">
        <f>RTD("money.excel",,$G18,"CumulativeVolume")</f>
        <v>0</v>
      </c>
      <c r="AO18" s="284"/>
    </row>
    <row r="19" spans="1:41">
      <c r="A19" s="151" t="s">
        <v>2434</v>
      </c>
      <c r="B19" s="85">
        <v>-8</v>
      </c>
      <c r="C19" s="85">
        <v>-9</v>
      </c>
      <c r="D19" s="85">
        <v>-4</v>
      </c>
      <c r="E19" s="84">
        <v>7</v>
      </c>
      <c r="F19" s="7">
        <v>6.47</v>
      </c>
      <c r="G19" s="85">
        <v>1216</v>
      </c>
      <c r="H19" s="4" t="s">
        <v>541</v>
      </c>
      <c r="I19" s="163" t="s">
        <v>18</v>
      </c>
      <c r="J19" s="371">
        <v>86.06</v>
      </c>
      <c r="K19" s="371">
        <v>45.16</v>
      </c>
      <c r="L19" s="77">
        <v>0.09</v>
      </c>
      <c r="N19" s="365">
        <f t="shared" si="11"/>
        <v>131.31</v>
      </c>
      <c r="O19" s="343">
        <f t="shared" si="12"/>
        <v>86.06</v>
      </c>
      <c r="P19" s="195">
        <v>5</v>
      </c>
      <c r="Q19" s="326">
        <f>IFERROR(VLOOKUP($G19,主力整理!$A$2:$G$2301,6,0),"0")</f>
        <v>8</v>
      </c>
      <c r="R19" s="111">
        <v>0</v>
      </c>
      <c r="S19" s="51">
        <v>14</v>
      </c>
      <c r="T19" s="339">
        <f t="shared" si="13"/>
        <v>27</v>
      </c>
      <c r="V19" s="371">
        <v>2.27</v>
      </c>
      <c r="W19" s="205">
        <v>2.7</v>
      </c>
      <c r="X19" s="59">
        <v>3.53</v>
      </c>
      <c r="Y19" s="37" t="str">
        <f>RTD("money.excel",,$G19,"Price")</f>
        <v>無資料</v>
      </c>
      <c r="Z19" s="69"/>
      <c r="AA19" s="16" t="e">
        <f t="shared" si="14"/>
        <v>#VALUE!</v>
      </c>
      <c r="AB19" s="3" t="e">
        <v>#DIV/0!</v>
      </c>
      <c r="AC19" s="177" t="s">
        <v>2648</v>
      </c>
      <c r="AD19" s="163" t="s">
        <v>18</v>
      </c>
      <c r="AG19" s="34">
        <v>0</v>
      </c>
      <c r="AH19" s="125" t="s">
        <v>541</v>
      </c>
      <c r="AI19" s="131"/>
      <c r="AK19" s="66">
        <f t="shared" si="19"/>
        <v>0</v>
      </c>
      <c r="AL19" s="174">
        <f t="shared" si="20"/>
        <v>0</v>
      </c>
      <c r="AM19" s="346">
        <f>RTD("money.excel",,$G19,"PredictVolume")</f>
        <v>0</v>
      </c>
      <c r="AN19" s="272">
        <f>RTD("money.excel",,$G19,"CumulativeVolume")</f>
        <v>0</v>
      </c>
      <c r="AO19" s="284"/>
    </row>
    <row r="20" spans="1:41">
      <c r="A20" s="151" t="s">
        <v>4781</v>
      </c>
      <c r="B20" s="96">
        <v>139</v>
      </c>
      <c r="C20" s="96">
        <v>75</v>
      </c>
      <c r="D20" s="96">
        <v>-1</v>
      </c>
      <c r="E20" s="96">
        <v>-4</v>
      </c>
      <c r="F20" s="7">
        <v>7.13</v>
      </c>
      <c r="G20" s="85">
        <v>1217</v>
      </c>
      <c r="H20" s="4" t="s">
        <v>541</v>
      </c>
      <c r="I20" s="23" t="s">
        <v>1352</v>
      </c>
      <c r="J20" s="77">
        <v>47.75</v>
      </c>
      <c r="K20" s="77">
        <v>8.07</v>
      </c>
      <c r="L20" s="77">
        <v>5.53</v>
      </c>
      <c r="N20" s="365">
        <f t="shared" si="11"/>
        <v>61.35</v>
      </c>
      <c r="O20" s="343">
        <f t="shared" si="12"/>
        <v>47.75</v>
      </c>
      <c r="P20" s="195" t="s">
        <v>5554</v>
      </c>
      <c r="Q20" s="326">
        <f>IFERROR(VLOOKUP($G20,主力整理!$A$2:$G$2301,6,0),"0")</f>
        <v>7</v>
      </c>
      <c r="T20" s="339">
        <f t="shared" si="13"/>
        <v>7</v>
      </c>
      <c r="V20" s="371">
        <v>11.32</v>
      </c>
      <c r="W20" s="35">
        <v>0</v>
      </c>
      <c r="X20" s="100">
        <v>0.47</v>
      </c>
      <c r="Y20" s="37" t="str">
        <f>RTD("money.excel",,$G20,"Price")</f>
        <v>無資料</v>
      </c>
      <c r="Z20" s="69"/>
      <c r="AA20" s="16" t="e">
        <f t="shared" si="14"/>
        <v>#VALUE!</v>
      </c>
      <c r="AB20" s="3" t="e">
        <v>#DIV/0!</v>
      </c>
      <c r="AD20" s="23" t="s">
        <v>1352</v>
      </c>
      <c r="AG20" s="34">
        <v>0</v>
      </c>
      <c r="AH20" s="44" t="s">
        <v>2279</v>
      </c>
      <c r="AI20" s="131"/>
      <c r="AK20" s="66">
        <f t="shared" si="19"/>
        <v>0</v>
      </c>
      <c r="AL20" s="174">
        <f t="shared" si="20"/>
        <v>0</v>
      </c>
      <c r="AM20" s="346">
        <f>RTD("money.excel",,$G20,"PredictVolume")</f>
        <v>0</v>
      </c>
      <c r="AN20" s="272">
        <f>RTD("money.excel",,$G20,"CumulativeVolume")</f>
        <v>0</v>
      </c>
      <c r="AO20" s="284"/>
    </row>
    <row r="21" spans="1:41">
      <c r="A21" s="151" t="s">
        <v>4855</v>
      </c>
      <c r="B21" s="96">
        <v>37</v>
      </c>
      <c r="C21" s="96">
        <v>67</v>
      </c>
      <c r="D21" s="96">
        <v>21</v>
      </c>
      <c r="E21" s="96">
        <v>14</v>
      </c>
      <c r="F21" s="7">
        <v>4.9400000000000004</v>
      </c>
      <c r="G21" s="85">
        <v>1218</v>
      </c>
      <c r="H21" s="4" t="s">
        <v>541</v>
      </c>
      <c r="I21" s="23" t="s">
        <v>1353</v>
      </c>
      <c r="J21" s="371">
        <v>76.459999999999994</v>
      </c>
      <c r="K21" s="371">
        <v>1.79</v>
      </c>
      <c r="L21" s="371">
        <v>7.62</v>
      </c>
      <c r="N21" s="365">
        <f t="shared" si="11"/>
        <v>85.87</v>
      </c>
      <c r="O21" s="343">
        <f t="shared" si="12"/>
        <v>76.459999999999994</v>
      </c>
      <c r="P21" s="195">
        <v>2</v>
      </c>
      <c r="Q21" s="326" t="str">
        <f>IFERROR(VLOOKUP($G21,主力整理!$A$2:$G$2301,6,0),"0")</f>
        <v>0</v>
      </c>
      <c r="T21" s="339">
        <f t="shared" si="13"/>
        <v>2</v>
      </c>
      <c r="V21" s="371">
        <v>3.51</v>
      </c>
      <c r="W21" s="35">
        <v>1.4</v>
      </c>
      <c r="X21" s="100">
        <v>1.75</v>
      </c>
      <c r="Y21" s="37" t="str">
        <f>RTD("money.excel",,$G21,"Price")</f>
        <v>無資料</v>
      </c>
      <c r="Z21" s="69"/>
      <c r="AA21" s="16" t="e">
        <f t="shared" si="14"/>
        <v>#VALUE!</v>
      </c>
      <c r="AB21" s="3" t="e">
        <v>#DIV/0!</v>
      </c>
      <c r="AC21" s="177" t="s">
        <v>2648</v>
      </c>
      <c r="AD21" s="23" t="s">
        <v>1353</v>
      </c>
      <c r="AG21" s="34">
        <v>0</v>
      </c>
      <c r="AH21" s="44" t="s">
        <v>4108</v>
      </c>
      <c r="AI21" s="131"/>
      <c r="AK21" s="66">
        <f t="shared" si="19"/>
        <v>0</v>
      </c>
      <c r="AL21" s="174">
        <f t="shared" si="20"/>
        <v>0</v>
      </c>
      <c r="AM21" s="346">
        <f>RTD("money.excel",,$G21,"PredictVolume")</f>
        <v>0</v>
      </c>
      <c r="AN21" s="272">
        <f>RTD("money.excel",,$G21,"CumulativeVolume")</f>
        <v>0</v>
      </c>
      <c r="AO21" s="284"/>
    </row>
    <row r="22" spans="1:41">
      <c r="A22" s="151" t="s">
        <v>4854</v>
      </c>
      <c r="B22" s="85">
        <v>-15</v>
      </c>
      <c r="C22" s="84">
        <v>267</v>
      </c>
      <c r="D22" s="84">
        <v>23</v>
      </c>
      <c r="E22" s="84">
        <v>28</v>
      </c>
      <c r="F22" s="7">
        <v>3.95</v>
      </c>
      <c r="G22" s="85">
        <v>1219</v>
      </c>
      <c r="H22" s="4" t="s">
        <v>541</v>
      </c>
      <c r="I22" s="23" t="s">
        <v>1354</v>
      </c>
      <c r="J22" s="371">
        <v>71.45</v>
      </c>
      <c r="K22" s="371">
        <v>3.7</v>
      </c>
      <c r="L22" s="77">
        <v>4.3099999999999996</v>
      </c>
      <c r="N22" s="365">
        <f t="shared" si="11"/>
        <v>79.460000000000008</v>
      </c>
      <c r="O22" s="343">
        <f t="shared" si="12"/>
        <v>71.45</v>
      </c>
      <c r="P22" s="195">
        <v>2</v>
      </c>
      <c r="Q22" s="326" t="str">
        <f>IFERROR(VLOOKUP($G22,主力整理!$A$2:$G$2301,6,0),"0")</f>
        <v>0</v>
      </c>
      <c r="R22" s="111">
        <v>5</v>
      </c>
      <c r="S22" s="51">
        <v>0</v>
      </c>
      <c r="T22" s="339">
        <f t="shared" si="13"/>
        <v>7</v>
      </c>
      <c r="V22" s="371">
        <v>0.12</v>
      </c>
      <c r="W22" s="35">
        <v>1</v>
      </c>
      <c r="X22" s="59">
        <v>1.74</v>
      </c>
      <c r="Y22" s="37" t="str">
        <f>RTD("money.excel",,$G22,"Price")</f>
        <v>無資料</v>
      </c>
      <c r="Z22" s="69"/>
      <c r="AA22" s="16" t="e">
        <f t="shared" si="14"/>
        <v>#VALUE!</v>
      </c>
      <c r="AB22" s="3" t="e">
        <v>#DIV/0!</v>
      </c>
      <c r="AC22" s="177" t="s">
        <v>2648</v>
      </c>
      <c r="AD22" s="23" t="s">
        <v>1354</v>
      </c>
      <c r="AG22" s="34">
        <v>0</v>
      </c>
      <c r="AH22" s="44" t="s">
        <v>4109</v>
      </c>
      <c r="AI22" s="131"/>
      <c r="AK22" s="66">
        <f t="shared" si="19"/>
        <v>0</v>
      </c>
      <c r="AL22" s="174">
        <f t="shared" si="20"/>
        <v>0</v>
      </c>
      <c r="AM22" s="346">
        <f>RTD("money.excel",,$G22,"PredictVolume")</f>
        <v>0</v>
      </c>
      <c r="AN22" s="272">
        <f>RTD("money.excel",,$G22,"CumulativeVolume")</f>
        <v>0</v>
      </c>
      <c r="AO22" s="284"/>
    </row>
    <row r="23" spans="1:41">
      <c r="A23" s="151" t="s">
        <v>3236</v>
      </c>
      <c r="B23" s="96">
        <v>40</v>
      </c>
      <c r="C23" s="96">
        <v>25</v>
      </c>
      <c r="D23" s="96">
        <v>1</v>
      </c>
      <c r="E23" s="96">
        <v>30</v>
      </c>
      <c r="F23" s="7">
        <v>7.28</v>
      </c>
      <c r="G23" s="85">
        <v>1220</v>
      </c>
      <c r="H23" s="4" t="s">
        <v>541</v>
      </c>
      <c r="I23" s="23" t="s">
        <v>1355</v>
      </c>
      <c r="J23" s="77">
        <v>81.040000000000006</v>
      </c>
      <c r="K23" s="77">
        <v>9.2799999999999994</v>
      </c>
      <c r="L23" s="77">
        <v>3.35</v>
      </c>
      <c r="N23" s="365">
        <f t="shared" si="11"/>
        <v>93.67</v>
      </c>
      <c r="O23" s="343">
        <f t="shared" si="12"/>
        <v>81.040000000000006</v>
      </c>
      <c r="P23" s="195" t="s">
        <v>5554</v>
      </c>
      <c r="Q23" s="326" t="str">
        <f>IFERROR(VLOOKUP($G23,主力整理!$A$2:$G$2301,6,0),"0")</f>
        <v>0</v>
      </c>
      <c r="T23" s="339">
        <f t="shared" si="13"/>
        <v>0</v>
      </c>
      <c r="V23" s="371">
        <v>25.08</v>
      </c>
      <c r="W23" s="35">
        <v>1</v>
      </c>
      <c r="X23" s="100">
        <v>1.02</v>
      </c>
      <c r="Y23" s="37" t="str">
        <f>RTD("money.excel",,$G23,"Price")</f>
        <v>無資料</v>
      </c>
      <c r="Z23" s="69"/>
      <c r="AA23" s="16" t="e">
        <f t="shared" si="14"/>
        <v>#VALUE!</v>
      </c>
      <c r="AB23" s="3" t="e">
        <v>#DIV/0!</v>
      </c>
      <c r="AD23" s="23" t="s">
        <v>1355</v>
      </c>
      <c r="AG23" s="34">
        <v>0</v>
      </c>
      <c r="AH23" s="44" t="s">
        <v>4110</v>
      </c>
      <c r="AI23" s="131"/>
      <c r="AK23" s="66">
        <f t="shared" si="19"/>
        <v>0</v>
      </c>
      <c r="AL23" s="174">
        <f t="shared" si="20"/>
        <v>0</v>
      </c>
      <c r="AM23" s="346">
        <f>RTD("money.excel",,$G23,"PredictVolume")</f>
        <v>0</v>
      </c>
      <c r="AN23" s="272">
        <f>RTD("money.excel",,$G23,"CumulativeVolume")</f>
        <v>0</v>
      </c>
      <c r="AO23" s="284"/>
    </row>
    <row r="24" spans="1:41">
      <c r="A24" s="151" t="s">
        <v>4558</v>
      </c>
      <c r="B24" s="96">
        <v>-9</v>
      </c>
      <c r="C24" s="96">
        <v>2</v>
      </c>
      <c r="D24" s="96">
        <v>6</v>
      </c>
      <c r="E24" s="96">
        <v>26</v>
      </c>
      <c r="F24" s="7">
        <v>2.67</v>
      </c>
      <c r="G24" s="85">
        <v>1225</v>
      </c>
      <c r="H24" s="4" t="s">
        <v>541</v>
      </c>
      <c r="I24" s="23" t="s">
        <v>1356</v>
      </c>
      <c r="J24" s="77">
        <v>95.36</v>
      </c>
      <c r="K24" s="77">
        <v>0.81</v>
      </c>
      <c r="L24" s="77">
        <v>19.68</v>
      </c>
      <c r="N24" s="365">
        <f t="shared" si="11"/>
        <v>115.85</v>
      </c>
      <c r="O24" s="343">
        <f t="shared" si="12"/>
        <v>95.36</v>
      </c>
      <c r="P24" s="195">
        <v>2</v>
      </c>
      <c r="Q24" s="326" t="str">
        <f>IFERROR(VLOOKUP($G24,主力整理!$A$2:$G$2301,6,0),"0")</f>
        <v>0</v>
      </c>
      <c r="T24" s="339">
        <f t="shared" si="13"/>
        <v>2</v>
      </c>
      <c r="V24" s="371">
        <v>16.89</v>
      </c>
      <c r="W24" s="35">
        <v>1.4</v>
      </c>
      <c r="X24" s="100">
        <v>1.72</v>
      </c>
      <c r="Y24" s="37" t="str">
        <f>RTD("money.excel",,$G24,"Price")</f>
        <v>無資料</v>
      </c>
      <c r="Z24" s="69"/>
      <c r="AA24" s="16" t="e">
        <f t="shared" si="14"/>
        <v>#VALUE!</v>
      </c>
      <c r="AB24" s="3" t="e">
        <v>#DIV/0!</v>
      </c>
      <c r="AC24" s="177" t="s">
        <v>2648</v>
      </c>
      <c r="AD24" s="23" t="s">
        <v>1356</v>
      </c>
      <c r="AG24" s="34">
        <v>0</v>
      </c>
      <c r="AH24" s="44" t="s">
        <v>4111</v>
      </c>
      <c r="AI24" s="131"/>
      <c r="AK24" s="66">
        <f t="shared" si="19"/>
        <v>0</v>
      </c>
      <c r="AL24" s="174">
        <f t="shared" si="20"/>
        <v>0</v>
      </c>
      <c r="AM24" s="346">
        <f>RTD("money.excel",,$G24,"PredictVolume")</f>
        <v>0</v>
      </c>
      <c r="AN24" s="272">
        <f>RTD("money.excel",,$G24,"CumulativeVolume")</f>
        <v>0</v>
      </c>
      <c r="AO24" s="284"/>
    </row>
    <row r="25" spans="1:41">
      <c r="A25" s="135" t="s">
        <v>3210</v>
      </c>
      <c r="B25" s="85">
        <v>-5</v>
      </c>
      <c r="C25" s="85">
        <v>-8</v>
      </c>
      <c r="D25" s="84">
        <v>20</v>
      </c>
      <c r="E25" s="85">
        <v>-21</v>
      </c>
      <c r="F25" s="59">
        <v>11.73</v>
      </c>
      <c r="G25" s="85">
        <v>1227</v>
      </c>
      <c r="H25" s="4" t="s">
        <v>541</v>
      </c>
      <c r="I25" s="23" t="s">
        <v>467</v>
      </c>
      <c r="J25" s="371">
        <v>69.930000000000007</v>
      </c>
      <c r="K25" s="77">
        <v>7.3</v>
      </c>
      <c r="L25" s="371">
        <v>0.95</v>
      </c>
      <c r="N25" s="365">
        <f t="shared" si="11"/>
        <v>78.180000000000007</v>
      </c>
      <c r="O25" s="343">
        <f t="shared" si="12"/>
        <v>69.930000000000007</v>
      </c>
      <c r="P25" s="195" t="s">
        <v>5554</v>
      </c>
      <c r="Q25" s="326" t="str">
        <f>IFERROR(VLOOKUP($G25,主力整理!$A$2:$G$2301,6,0),"0")</f>
        <v>0</v>
      </c>
      <c r="T25" s="339">
        <f t="shared" si="13"/>
        <v>0</v>
      </c>
      <c r="V25" s="371">
        <v>0.05</v>
      </c>
      <c r="W25" s="35">
        <v>2.5</v>
      </c>
      <c r="X25" s="59">
        <v>3.54</v>
      </c>
      <c r="Y25" s="37" t="str">
        <f>RTD("money.excel",,$G25,"Price")</f>
        <v>無資料</v>
      </c>
      <c r="Z25" s="69"/>
      <c r="AA25" s="16" t="e">
        <f t="shared" si="14"/>
        <v>#VALUE!</v>
      </c>
      <c r="AB25" s="3" t="e">
        <v>#DIV/0!</v>
      </c>
      <c r="AD25" s="23" t="s">
        <v>467</v>
      </c>
      <c r="AG25" s="34">
        <v>0</v>
      </c>
      <c r="AH25" s="126" t="s">
        <v>4112</v>
      </c>
      <c r="AI25" s="131"/>
      <c r="AK25" s="66">
        <f t="shared" si="19"/>
        <v>0</v>
      </c>
      <c r="AL25" s="174">
        <f t="shared" si="20"/>
        <v>0</v>
      </c>
      <c r="AM25" s="346">
        <f>RTD("money.excel",,$G25,"PredictVolume")</f>
        <v>0</v>
      </c>
      <c r="AN25" s="272">
        <f>RTD("money.excel",,$G25,"CumulativeVolume")</f>
        <v>0</v>
      </c>
      <c r="AO25" s="284"/>
    </row>
    <row r="26" spans="1:41">
      <c r="A26" s="135" t="s">
        <v>3209</v>
      </c>
      <c r="B26" s="84">
        <v>0</v>
      </c>
      <c r="C26" s="84">
        <v>19</v>
      </c>
      <c r="D26" s="85">
        <v>-13</v>
      </c>
      <c r="E26" s="84">
        <v>8</v>
      </c>
      <c r="F26" s="59">
        <v>14.3</v>
      </c>
      <c r="G26" s="85">
        <v>1229</v>
      </c>
      <c r="H26" s="4" t="s">
        <v>541</v>
      </c>
      <c r="I26" s="23" t="s">
        <v>1357</v>
      </c>
      <c r="J26" s="77">
        <v>64.28</v>
      </c>
      <c r="K26" s="371">
        <v>11.57</v>
      </c>
      <c r="L26" s="371">
        <v>0.37</v>
      </c>
      <c r="N26" s="365">
        <f t="shared" si="11"/>
        <v>76.22</v>
      </c>
      <c r="O26" s="343">
        <f t="shared" si="12"/>
        <v>64.28</v>
      </c>
      <c r="P26" s="195">
        <v>3</v>
      </c>
      <c r="Q26" s="326">
        <f>IFERROR(VLOOKUP($G26,主力整理!$A$2:$G$2301,6,0),"0")</f>
        <v>5</v>
      </c>
      <c r="T26" s="339">
        <f t="shared" si="13"/>
        <v>8</v>
      </c>
      <c r="V26" s="371">
        <v>0.02</v>
      </c>
      <c r="W26" s="35">
        <v>2.7</v>
      </c>
      <c r="X26" s="100">
        <v>2.61</v>
      </c>
      <c r="Y26" s="37" t="str">
        <f>RTD("money.excel",,$G26,"Price")</f>
        <v>無資料</v>
      </c>
      <c r="Z26" s="69"/>
      <c r="AA26" s="16" t="e">
        <f t="shared" si="14"/>
        <v>#VALUE!</v>
      </c>
      <c r="AB26" s="3" t="e">
        <v>#DIV/0!</v>
      </c>
      <c r="AC26" s="177" t="s">
        <v>2648</v>
      </c>
      <c r="AD26" s="23" t="s">
        <v>1357</v>
      </c>
      <c r="AG26" s="34">
        <v>0</v>
      </c>
      <c r="AH26" s="63" t="s">
        <v>4113</v>
      </c>
      <c r="AI26" s="131"/>
      <c r="AK26" s="66">
        <f t="shared" si="19"/>
        <v>0</v>
      </c>
      <c r="AL26" s="174">
        <f t="shared" si="20"/>
        <v>0</v>
      </c>
      <c r="AM26" s="346">
        <f>RTD("money.excel",,$G26,"PredictVolume")</f>
        <v>0</v>
      </c>
      <c r="AN26" s="272">
        <f>RTD("money.excel",,$G26,"CumulativeVolume")</f>
        <v>0</v>
      </c>
      <c r="AO26" s="284"/>
    </row>
    <row r="27" spans="1:41">
      <c r="A27" s="151" t="s">
        <v>4636</v>
      </c>
      <c r="B27" s="96">
        <v>1</v>
      </c>
      <c r="C27" s="96">
        <v>-2</v>
      </c>
      <c r="D27" s="96">
        <v>-25</v>
      </c>
      <c r="E27" s="96">
        <v>-13</v>
      </c>
      <c r="F27" s="7">
        <v>5.15</v>
      </c>
      <c r="G27" s="85">
        <v>1231</v>
      </c>
      <c r="H27" s="4" t="s">
        <v>541</v>
      </c>
      <c r="I27" s="23" t="s">
        <v>1358</v>
      </c>
      <c r="J27" s="77">
        <v>69.02</v>
      </c>
      <c r="K27" s="77">
        <v>4.4400000000000004</v>
      </c>
      <c r="L27" s="77">
        <v>0.41</v>
      </c>
      <c r="N27" s="365">
        <f t="shared" si="11"/>
        <v>73.86999999999999</v>
      </c>
      <c r="O27" s="343">
        <f t="shared" si="12"/>
        <v>69.02</v>
      </c>
      <c r="P27" s="195">
        <v>1</v>
      </c>
      <c r="Q27" s="326" t="str">
        <f>IFERROR(VLOOKUP($G27,主力整理!$A$2:$G$2301,6,0),"0")</f>
        <v>0</v>
      </c>
      <c r="T27" s="339">
        <f t="shared" si="13"/>
        <v>1</v>
      </c>
      <c r="V27" s="371">
        <v>24.87</v>
      </c>
      <c r="W27" s="35">
        <v>2.6</v>
      </c>
      <c r="X27" s="100">
        <v>3.78</v>
      </c>
      <c r="Y27" s="37" t="str">
        <f>RTD("money.excel",,$G27,"Price")</f>
        <v>無資料</v>
      </c>
      <c r="Z27" s="69"/>
      <c r="AA27" s="16" t="e">
        <f t="shared" si="14"/>
        <v>#VALUE!</v>
      </c>
      <c r="AB27" s="3" t="e">
        <v>#DIV/0!</v>
      </c>
      <c r="AC27" s="177" t="s">
        <v>2648</v>
      </c>
      <c r="AD27" s="23" t="s">
        <v>1358</v>
      </c>
      <c r="AG27" s="34">
        <v>0</v>
      </c>
      <c r="AH27" s="44" t="s">
        <v>4114</v>
      </c>
      <c r="AI27" s="131"/>
      <c r="AK27" s="66">
        <f t="shared" si="19"/>
        <v>0</v>
      </c>
      <c r="AL27" s="174">
        <f t="shared" si="20"/>
        <v>0</v>
      </c>
      <c r="AM27" s="346">
        <f>RTD("money.excel",,$G27,"PredictVolume")</f>
        <v>0</v>
      </c>
      <c r="AN27" s="272">
        <f>RTD("money.excel",,$G27,"CumulativeVolume")</f>
        <v>0</v>
      </c>
      <c r="AO27" s="284"/>
    </row>
    <row r="28" spans="1:41">
      <c r="A28" s="151" t="s">
        <v>3445</v>
      </c>
      <c r="B28" s="84">
        <v>17</v>
      </c>
      <c r="C28" s="84">
        <v>18</v>
      </c>
      <c r="D28" s="84">
        <v>5</v>
      </c>
      <c r="E28" s="84">
        <v>10</v>
      </c>
      <c r="F28" s="7">
        <v>8.7200000000000006</v>
      </c>
      <c r="G28" s="85">
        <v>1232</v>
      </c>
      <c r="H28" s="4" t="s">
        <v>541</v>
      </c>
      <c r="I28" s="23" t="s">
        <v>1359</v>
      </c>
      <c r="J28" s="371">
        <v>76.86</v>
      </c>
      <c r="K28" s="371">
        <v>1.63</v>
      </c>
      <c r="L28" s="371">
        <v>0.17</v>
      </c>
      <c r="N28" s="365">
        <f t="shared" si="11"/>
        <v>78.66</v>
      </c>
      <c r="O28" s="343">
        <f t="shared" si="12"/>
        <v>76.86</v>
      </c>
      <c r="P28" s="195">
        <v>2</v>
      </c>
      <c r="Q28" s="326" t="str">
        <f>IFERROR(VLOOKUP($G28,主力整理!$A$2:$G$2301,6,0),"0")</f>
        <v>0</v>
      </c>
      <c r="T28" s="339">
        <f t="shared" si="13"/>
        <v>2</v>
      </c>
      <c r="V28" s="371">
        <v>0</v>
      </c>
      <c r="W28" s="69">
        <v>6</v>
      </c>
      <c r="X28" s="100">
        <v>8.08</v>
      </c>
      <c r="Y28" s="37" t="str">
        <f>RTD("money.excel",,$G28,"Price")</f>
        <v>無資料</v>
      </c>
      <c r="Z28" s="69"/>
      <c r="AA28" s="16" t="e">
        <f t="shared" si="14"/>
        <v>#VALUE!</v>
      </c>
      <c r="AB28" s="3" t="e">
        <v>#DIV/0!</v>
      </c>
      <c r="AC28" s="177" t="s">
        <v>2929</v>
      </c>
      <c r="AD28" s="23" t="s">
        <v>1359</v>
      </c>
      <c r="AG28" s="34">
        <v>0</v>
      </c>
      <c r="AH28" s="44" t="s">
        <v>4115</v>
      </c>
      <c r="AI28" s="131"/>
      <c r="AK28" s="66">
        <f t="shared" si="19"/>
        <v>0</v>
      </c>
      <c r="AL28" s="174">
        <f t="shared" si="20"/>
        <v>0</v>
      </c>
      <c r="AM28" s="346">
        <f>RTD("money.excel",,$G28,"PredictVolume")</f>
        <v>0</v>
      </c>
      <c r="AN28" s="272">
        <f>RTD("money.excel",,$G28,"CumulativeVolume")</f>
        <v>0</v>
      </c>
      <c r="AO28" s="284"/>
    </row>
    <row r="29" spans="1:41">
      <c r="A29" s="151" t="s">
        <v>4852</v>
      </c>
      <c r="B29" s="96">
        <v>-70</v>
      </c>
      <c r="C29" s="96">
        <v>-72</v>
      </c>
      <c r="D29" s="96">
        <v>-1</v>
      </c>
      <c r="E29" s="96">
        <v>-23</v>
      </c>
      <c r="F29" s="7">
        <v>2.66</v>
      </c>
      <c r="G29" s="85">
        <v>1233</v>
      </c>
      <c r="H29" s="4" t="s">
        <v>541</v>
      </c>
      <c r="I29" s="23" t="s">
        <v>1360</v>
      </c>
      <c r="J29" s="77">
        <v>68.430000000000007</v>
      </c>
      <c r="K29" s="77">
        <v>5.36</v>
      </c>
      <c r="L29" s="77">
        <v>0.06</v>
      </c>
      <c r="N29" s="365">
        <f t="shared" si="11"/>
        <v>73.850000000000009</v>
      </c>
      <c r="O29" s="343">
        <f t="shared" si="12"/>
        <v>68.430000000000007</v>
      </c>
      <c r="P29" s="195" t="s">
        <v>5554</v>
      </c>
      <c r="Q29" s="326" t="str">
        <f>IFERROR(VLOOKUP($G29,主力整理!$A$2:$G$2301,6,0),"0")</f>
        <v>0</v>
      </c>
      <c r="T29" s="339">
        <f t="shared" si="13"/>
        <v>0</v>
      </c>
      <c r="V29" s="371">
        <v>21.36</v>
      </c>
      <c r="W29" s="35">
        <v>0.8</v>
      </c>
      <c r="X29" s="100">
        <v>0.63</v>
      </c>
      <c r="Y29" s="37" t="str">
        <f>RTD("money.excel",,$G29,"Price")</f>
        <v>無資料</v>
      </c>
      <c r="Z29" s="69"/>
      <c r="AA29" s="16" t="e">
        <f t="shared" si="14"/>
        <v>#VALUE!</v>
      </c>
      <c r="AB29" s="3" t="e">
        <v>#DIV/0!</v>
      </c>
      <c r="AD29" s="23" t="s">
        <v>1360</v>
      </c>
      <c r="AG29" s="34">
        <v>0</v>
      </c>
      <c r="AH29" s="44" t="s">
        <v>3481</v>
      </c>
      <c r="AI29" s="131"/>
      <c r="AK29" s="66">
        <f t="shared" si="19"/>
        <v>0</v>
      </c>
      <c r="AL29" s="174">
        <f t="shared" si="20"/>
        <v>0</v>
      </c>
      <c r="AM29" s="346">
        <f>RTD("money.excel",,$G29,"PredictVolume")</f>
        <v>0</v>
      </c>
      <c r="AN29" s="272">
        <f>RTD("money.excel",,$G29,"CumulativeVolume")</f>
        <v>0</v>
      </c>
      <c r="AO29" s="284"/>
    </row>
    <row r="30" spans="1:41">
      <c r="A30" s="151" t="s">
        <v>3427</v>
      </c>
      <c r="B30" s="84">
        <v>4</v>
      </c>
      <c r="C30" s="84">
        <v>45</v>
      </c>
      <c r="D30" s="85">
        <v>-2</v>
      </c>
      <c r="E30" s="85">
        <v>-1</v>
      </c>
      <c r="F30" s="7">
        <v>7.2</v>
      </c>
      <c r="G30" s="85">
        <v>1234</v>
      </c>
      <c r="H30" s="4" t="s">
        <v>541</v>
      </c>
      <c r="I30" s="23" t="s">
        <v>1361</v>
      </c>
      <c r="J30" s="77">
        <v>80.17</v>
      </c>
      <c r="K30" s="77">
        <v>4.2</v>
      </c>
      <c r="L30" s="77">
        <v>0.19</v>
      </c>
      <c r="N30" s="365">
        <f t="shared" si="11"/>
        <v>84.56</v>
      </c>
      <c r="O30" s="343">
        <f t="shared" si="12"/>
        <v>80.17</v>
      </c>
      <c r="P30" s="195" t="s">
        <v>5554</v>
      </c>
      <c r="Q30" s="326" t="str">
        <f>IFERROR(VLOOKUP($G30,主力整理!$A$2:$G$2301,6,0),"0")</f>
        <v>0</v>
      </c>
      <c r="T30" s="339">
        <f t="shared" si="13"/>
        <v>0</v>
      </c>
      <c r="V30" s="371">
        <v>0</v>
      </c>
      <c r="W30" s="35">
        <v>1.8</v>
      </c>
      <c r="X30" s="100">
        <v>2.2200000000000002</v>
      </c>
      <c r="Y30" s="37" t="str">
        <f>RTD("money.excel",,$G30,"Price")</f>
        <v>無資料</v>
      </c>
      <c r="Z30" s="69"/>
      <c r="AA30" s="16" t="e">
        <f t="shared" si="14"/>
        <v>#VALUE!</v>
      </c>
      <c r="AB30" s="3" t="e">
        <v>#DIV/0!</v>
      </c>
      <c r="AC30" s="177" t="s">
        <v>2648</v>
      </c>
      <c r="AD30" s="23" t="s">
        <v>1361</v>
      </c>
      <c r="AG30" s="34">
        <v>0</v>
      </c>
      <c r="AH30" s="44" t="s">
        <v>3428</v>
      </c>
      <c r="AI30" s="131"/>
      <c r="AK30" s="66">
        <f t="shared" si="19"/>
        <v>0</v>
      </c>
      <c r="AL30" s="174">
        <f t="shared" si="20"/>
        <v>0</v>
      </c>
      <c r="AM30" s="346">
        <f>RTD("money.excel",,$G30,"PredictVolume")</f>
        <v>0</v>
      </c>
      <c r="AN30" s="272">
        <f>RTD("money.excel",,$G30,"CumulativeVolume")</f>
        <v>0</v>
      </c>
      <c r="AO30" s="284"/>
    </row>
    <row r="31" spans="1:41">
      <c r="A31" s="135" t="s">
        <v>2626</v>
      </c>
      <c r="B31" s="96">
        <v>52</v>
      </c>
      <c r="C31" s="96">
        <v>116</v>
      </c>
      <c r="D31" s="96">
        <v>-78</v>
      </c>
      <c r="E31" s="96">
        <v>35</v>
      </c>
      <c r="F31" s="59">
        <v>47.38</v>
      </c>
      <c r="G31" s="85">
        <v>1235</v>
      </c>
      <c r="H31" s="4" t="s">
        <v>541</v>
      </c>
      <c r="I31" s="23" t="s">
        <v>1362</v>
      </c>
      <c r="J31" s="77">
        <v>90.89</v>
      </c>
      <c r="K31" s="77">
        <v>0.21</v>
      </c>
      <c r="L31" s="77">
        <v>36.28</v>
      </c>
      <c r="N31" s="365">
        <f t="shared" si="11"/>
        <v>127.38</v>
      </c>
      <c r="O31" s="343">
        <f t="shared" si="12"/>
        <v>90.89</v>
      </c>
      <c r="P31" s="195" t="s">
        <v>5554</v>
      </c>
      <c r="Q31" s="326" t="str">
        <f>IFERROR(VLOOKUP($G31,主力整理!$A$2:$G$2301,6,0),"0")</f>
        <v>0</v>
      </c>
      <c r="T31" s="339">
        <f t="shared" si="13"/>
        <v>0</v>
      </c>
      <c r="V31" s="371">
        <v>45.1</v>
      </c>
      <c r="W31" s="35">
        <v>1.1000000000000001</v>
      </c>
      <c r="X31" s="100">
        <v>0.68</v>
      </c>
      <c r="Y31" s="37" t="str">
        <f>RTD("money.excel",,$G31,"Price")</f>
        <v>無資料</v>
      </c>
      <c r="Z31" s="69"/>
      <c r="AA31" s="16" t="e">
        <f t="shared" si="14"/>
        <v>#VALUE!</v>
      </c>
      <c r="AB31" s="3" t="e">
        <v>#DIV/0!</v>
      </c>
      <c r="AD31" s="23" t="s">
        <v>1362</v>
      </c>
      <c r="AG31" s="34">
        <v>0</v>
      </c>
      <c r="AH31" s="63" t="s">
        <v>4116</v>
      </c>
      <c r="AI31" s="131"/>
      <c r="AK31" s="66">
        <f t="shared" si="19"/>
        <v>0</v>
      </c>
      <c r="AL31" s="174">
        <f t="shared" si="20"/>
        <v>0</v>
      </c>
      <c r="AM31" s="346">
        <f>RTD("money.excel",,$G31,"PredictVolume")</f>
        <v>0</v>
      </c>
      <c r="AN31" s="272">
        <f>RTD("money.excel",,$G31,"CumulativeVolume")</f>
        <v>0</v>
      </c>
      <c r="AO31" s="284"/>
    </row>
    <row r="32" spans="1:41">
      <c r="A32" s="151" t="s">
        <v>2583</v>
      </c>
      <c r="B32" s="85">
        <v>-69</v>
      </c>
      <c r="C32" s="85">
        <v>-72</v>
      </c>
      <c r="D32" s="84">
        <v>23</v>
      </c>
      <c r="E32" s="84">
        <v>3</v>
      </c>
      <c r="F32" s="7">
        <v>-3.61</v>
      </c>
      <c r="G32" s="85">
        <v>1236</v>
      </c>
      <c r="H32" s="4" t="s">
        <v>541</v>
      </c>
      <c r="I32" s="23" t="s">
        <v>1363</v>
      </c>
      <c r="J32" s="371">
        <v>80.97</v>
      </c>
      <c r="K32" s="77">
        <v>0.39</v>
      </c>
      <c r="L32" s="77">
        <v>9.34</v>
      </c>
      <c r="M32" s="77">
        <v>18.510000000000002</v>
      </c>
      <c r="N32" s="365">
        <f t="shared" si="11"/>
        <v>109.21000000000001</v>
      </c>
      <c r="O32" s="343">
        <f t="shared" si="12"/>
        <v>99.48</v>
      </c>
      <c r="P32" s="195">
        <v>0</v>
      </c>
      <c r="Q32" s="326" t="str">
        <f>IFERROR(VLOOKUP($G32,主力整理!$A$2:$G$2301,6,0),"0")</f>
        <v>0</v>
      </c>
      <c r="R32" s="111">
        <v>4</v>
      </c>
      <c r="S32" s="51">
        <v>8</v>
      </c>
      <c r="T32" s="339">
        <f t="shared" si="13"/>
        <v>12</v>
      </c>
      <c r="U32" s="329" t="s">
        <v>6539</v>
      </c>
      <c r="V32" s="371">
        <v>1.1000000000000001</v>
      </c>
      <c r="W32" s="35">
        <v>0.2</v>
      </c>
      <c r="X32" s="59">
        <v>-0.1</v>
      </c>
      <c r="Y32" s="37" t="str">
        <f>RTD("money.excel",,$G32,"Price")</f>
        <v>無資料</v>
      </c>
      <c r="Z32" s="69"/>
      <c r="AA32" s="16" t="e">
        <f t="shared" si="14"/>
        <v>#VALUE!</v>
      </c>
      <c r="AB32" s="3" t="e">
        <v>#DIV/0!</v>
      </c>
      <c r="AC32" s="177" t="s">
        <v>2648</v>
      </c>
      <c r="AD32" s="23" t="s">
        <v>1363</v>
      </c>
      <c r="AG32" s="34">
        <v>0</v>
      </c>
      <c r="AH32" s="44" t="s">
        <v>4117</v>
      </c>
      <c r="AI32" s="131"/>
      <c r="AK32" s="66">
        <f t="shared" si="19"/>
        <v>0</v>
      </c>
      <c r="AL32" s="174">
        <f t="shared" si="20"/>
        <v>0</v>
      </c>
      <c r="AM32" s="346">
        <f>RTD("money.excel",,$G32,"PredictVolume")</f>
        <v>0</v>
      </c>
      <c r="AN32" s="272">
        <f>RTD("money.excel",,$G32,"CumulativeVolume")</f>
        <v>0</v>
      </c>
      <c r="AO32" s="284"/>
    </row>
    <row r="33" spans="1:41">
      <c r="A33" s="135" t="s">
        <v>2588</v>
      </c>
      <c r="B33" s="85">
        <v>33</v>
      </c>
      <c r="C33" s="85">
        <v>25</v>
      </c>
      <c r="D33" s="84">
        <v>61</v>
      </c>
      <c r="E33" s="85">
        <v>136</v>
      </c>
      <c r="F33" s="59">
        <v>29.29</v>
      </c>
      <c r="G33" s="85">
        <v>1256</v>
      </c>
      <c r="H33" s="4" t="s">
        <v>541</v>
      </c>
      <c r="I33" s="23" t="s">
        <v>1365</v>
      </c>
      <c r="J33" s="77">
        <v>61.68</v>
      </c>
      <c r="K33" s="371">
        <v>4.0599999999999996</v>
      </c>
      <c r="L33" s="371">
        <v>1.61</v>
      </c>
      <c r="N33" s="365">
        <f t="shared" si="11"/>
        <v>67.349999999999994</v>
      </c>
      <c r="O33" s="343">
        <f t="shared" si="12"/>
        <v>61.68</v>
      </c>
      <c r="P33" s="195">
        <v>1</v>
      </c>
      <c r="Q33" s="326" t="str">
        <f>IFERROR(VLOOKUP($G33,主力整理!$A$2:$G$2301,6,0),"0")</f>
        <v>0</v>
      </c>
      <c r="T33" s="339">
        <f t="shared" si="13"/>
        <v>1</v>
      </c>
      <c r="V33" s="371">
        <v>7.0000000000000007E-2</v>
      </c>
      <c r="W33" s="69">
        <v>12</v>
      </c>
      <c r="X33" s="100">
        <v>23</v>
      </c>
      <c r="Y33" s="37" t="str">
        <f>RTD("money.excel",,$G33,"Price")</f>
        <v>無資料</v>
      </c>
      <c r="Z33" s="69"/>
      <c r="AA33" s="16" t="e">
        <f t="shared" si="14"/>
        <v>#VALUE!</v>
      </c>
      <c r="AB33" s="3" t="e">
        <v>#DIV/0!</v>
      </c>
      <c r="AC33" s="177" t="s">
        <v>2929</v>
      </c>
      <c r="AD33" s="23" t="s">
        <v>1365</v>
      </c>
      <c r="AG33" s="34">
        <v>0</v>
      </c>
      <c r="AH33" s="63" t="s">
        <v>4118</v>
      </c>
      <c r="AI33" s="131"/>
      <c r="AK33" s="66">
        <f t="shared" si="19"/>
        <v>0</v>
      </c>
      <c r="AL33" s="174">
        <f t="shared" si="20"/>
        <v>0</v>
      </c>
      <c r="AM33" s="346">
        <f>RTD("money.excel",,$G33,"PredictVolume")</f>
        <v>0</v>
      </c>
      <c r="AN33" s="272">
        <f>RTD("money.excel",,$G33,"CumulativeVolume")</f>
        <v>0</v>
      </c>
      <c r="AO33" s="284"/>
    </row>
    <row r="34" spans="1:41">
      <c r="A34" s="151" t="s">
        <v>4638</v>
      </c>
      <c r="B34" s="96">
        <v>84</v>
      </c>
      <c r="C34" s="96">
        <v>115</v>
      </c>
      <c r="D34" s="96">
        <v>1</v>
      </c>
      <c r="E34" s="96">
        <v>-25</v>
      </c>
      <c r="F34" s="7">
        <v>0.49</v>
      </c>
      <c r="G34" s="85">
        <v>1258</v>
      </c>
      <c r="H34" s="4" t="s">
        <v>541</v>
      </c>
      <c r="I34" s="17" t="s">
        <v>261</v>
      </c>
      <c r="J34" s="371">
        <v>71.75</v>
      </c>
      <c r="K34" s="371">
        <v>72.930000000000007</v>
      </c>
      <c r="L34" s="371">
        <v>3.41</v>
      </c>
      <c r="N34" s="365">
        <f t="shared" si="11"/>
        <v>148.09</v>
      </c>
      <c r="O34" s="343">
        <f t="shared" si="12"/>
        <v>71.75</v>
      </c>
      <c r="P34" s="195" t="s">
        <v>5554</v>
      </c>
      <c r="Q34" s="326" t="str">
        <f>IFERROR(VLOOKUP($G34,主力整理!$A$2:$G$2301,6,0),"0")</f>
        <v>0</v>
      </c>
      <c r="T34" s="339">
        <f t="shared" si="13"/>
        <v>0</v>
      </c>
      <c r="V34" s="371">
        <v>44.43</v>
      </c>
      <c r="W34" s="35">
        <v>0</v>
      </c>
      <c r="X34" s="59">
        <v>-0.43</v>
      </c>
      <c r="Y34" s="37" t="str">
        <f>RTD("money.excel",,$G34,"Price")</f>
        <v>無資料</v>
      </c>
      <c r="Z34" s="69"/>
      <c r="AA34" s="16" t="e">
        <f t="shared" si="14"/>
        <v>#VALUE!</v>
      </c>
      <c r="AB34" s="3" t="e">
        <v>#DIV/0!</v>
      </c>
      <c r="AD34" s="17" t="s">
        <v>261</v>
      </c>
      <c r="AG34" s="34">
        <v>0</v>
      </c>
      <c r="AH34" s="125" t="s">
        <v>4166</v>
      </c>
      <c r="AI34" s="131"/>
      <c r="AK34" s="66">
        <f t="shared" si="19"/>
        <v>0</v>
      </c>
      <c r="AL34" s="174">
        <f t="shared" si="20"/>
        <v>0</v>
      </c>
      <c r="AM34" s="346">
        <f>RTD("money.excel",,$G34,"PredictVolume")</f>
        <v>0</v>
      </c>
      <c r="AN34" s="272">
        <f>RTD("money.excel",,$G34,"CumulativeVolume")</f>
        <v>0</v>
      </c>
      <c r="AO34" s="284"/>
    </row>
    <row r="35" spans="1:41">
      <c r="A35" s="135" t="s">
        <v>2607</v>
      </c>
      <c r="B35" s="84">
        <v>7</v>
      </c>
      <c r="C35" s="84">
        <v>8</v>
      </c>
      <c r="D35" s="85">
        <v>-1</v>
      </c>
      <c r="E35" s="84">
        <v>44</v>
      </c>
      <c r="F35" s="59">
        <v>18.13</v>
      </c>
      <c r="G35" s="85">
        <v>1264</v>
      </c>
      <c r="H35" s="4" t="s">
        <v>541</v>
      </c>
      <c r="I35" s="17" t="s">
        <v>1343</v>
      </c>
      <c r="J35" s="77">
        <v>24.8</v>
      </c>
      <c r="K35" s="77">
        <v>8.42</v>
      </c>
      <c r="L35" s="371">
        <v>0.12</v>
      </c>
      <c r="N35" s="365">
        <f t="shared" si="11"/>
        <v>33.339999999999996</v>
      </c>
      <c r="O35" s="343">
        <f t="shared" si="12"/>
        <v>24.8</v>
      </c>
      <c r="P35" s="195">
        <v>1</v>
      </c>
      <c r="Q35" s="326" t="str">
        <f>IFERROR(VLOOKUP($G35,主力整理!$A$2:$G$2301,6,0),"0")</f>
        <v>0</v>
      </c>
      <c r="T35" s="339">
        <f t="shared" si="13"/>
        <v>1</v>
      </c>
      <c r="V35" s="371">
        <v>0</v>
      </c>
      <c r="W35" s="69">
        <v>12</v>
      </c>
      <c r="X35" s="100">
        <v>16</v>
      </c>
      <c r="Y35" s="37" t="str">
        <f>RTD("money.excel",,$G35,"Price")</f>
        <v>無資料</v>
      </c>
      <c r="Z35" s="69"/>
      <c r="AA35" s="16" t="e">
        <f t="shared" si="14"/>
        <v>#VALUE!</v>
      </c>
      <c r="AB35" s="3" t="e">
        <v>#DIV/0!</v>
      </c>
      <c r="AC35" s="177" t="s">
        <v>2929</v>
      </c>
      <c r="AD35" s="17" t="s">
        <v>1343</v>
      </c>
      <c r="AG35" s="34">
        <v>0</v>
      </c>
      <c r="AH35" s="63" t="s">
        <v>4167</v>
      </c>
      <c r="AI35" s="131"/>
      <c r="AK35" s="66">
        <f t="shared" si="19"/>
        <v>0</v>
      </c>
      <c r="AL35" s="174">
        <f t="shared" si="20"/>
        <v>0</v>
      </c>
      <c r="AM35" s="346">
        <f>RTD("money.excel",,$G35,"PredictVolume")</f>
        <v>0</v>
      </c>
      <c r="AN35" s="272">
        <f>RTD("money.excel",,$G35,"CumulativeVolume")</f>
        <v>0</v>
      </c>
      <c r="AO35" s="284"/>
    </row>
    <row r="36" spans="1:41">
      <c r="A36" s="151">
        <v>29.4</v>
      </c>
      <c r="B36" s="84">
        <v>2</v>
      </c>
      <c r="C36" s="85">
        <v>-3</v>
      </c>
      <c r="D36" s="84">
        <v>0</v>
      </c>
      <c r="E36" s="85">
        <v>-2</v>
      </c>
      <c r="F36" s="7">
        <v>8.85</v>
      </c>
      <c r="G36" s="85">
        <v>1702</v>
      </c>
      <c r="H36" s="11" t="s">
        <v>541</v>
      </c>
      <c r="I36" s="163" t="s">
        <v>9</v>
      </c>
      <c r="J36" s="371">
        <v>65.819999999999993</v>
      </c>
      <c r="K36" s="77">
        <v>15.88</v>
      </c>
      <c r="L36" s="371">
        <v>0.92</v>
      </c>
      <c r="N36" s="365">
        <f t="shared" si="11"/>
        <v>82.61999999999999</v>
      </c>
      <c r="O36" s="343">
        <f t="shared" si="12"/>
        <v>65.819999999999993</v>
      </c>
      <c r="P36" s="195">
        <v>6</v>
      </c>
      <c r="Q36" s="326" t="str">
        <f>IFERROR(VLOOKUP($G36,主力整理!$A$2:$G$2301,6,0),"0")</f>
        <v>0</v>
      </c>
      <c r="R36" s="111">
        <v>4</v>
      </c>
      <c r="T36" s="339">
        <f t="shared" si="13"/>
        <v>10</v>
      </c>
      <c r="V36" s="371">
        <v>0</v>
      </c>
      <c r="W36" s="205">
        <v>2</v>
      </c>
      <c r="X36" s="100">
        <v>3.84</v>
      </c>
      <c r="Y36" s="37" t="str">
        <f>RTD("money.excel",,$G36,"Price")</f>
        <v>無資料</v>
      </c>
      <c r="Z36" s="69"/>
      <c r="AA36" s="16" t="e">
        <f t="shared" si="14"/>
        <v>#VALUE!</v>
      </c>
      <c r="AB36" s="3" t="e">
        <v>#DIV/0!</v>
      </c>
      <c r="AC36" s="177" t="s">
        <v>2648</v>
      </c>
      <c r="AD36" s="23" t="s">
        <v>9</v>
      </c>
      <c r="AG36" s="34">
        <v>0</v>
      </c>
      <c r="AH36" s="44" t="s">
        <v>4119</v>
      </c>
      <c r="AI36" s="131"/>
      <c r="AK36" s="66">
        <f t="shared" si="19"/>
        <v>0</v>
      </c>
      <c r="AL36" s="174">
        <f t="shared" si="20"/>
        <v>0</v>
      </c>
      <c r="AM36" s="346">
        <f>RTD("money.excel",,$G36,"PredictVolume")</f>
        <v>0</v>
      </c>
      <c r="AN36" s="272">
        <f>RTD("money.excel",,$G36,"CumulativeVolume")</f>
        <v>0</v>
      </c>
      <c r="AO36" s="284"/>
    </row>
    <row r="37" spans="1:41">
      <c r="A37" s="135" t="s">
        <v>3115</v>
      </c>
      <c r="B37" s="85">
        <v>-20</v>
      </c>
      <c r="C37" s="85">
        <v>-6</v>
      </c>
      <c r="D37" s="85">
        <v>-10</v>
      </c>
      <c r="E37" s="85">
        <v>-4</v>
      </c>
      <c r="F37" s="59">
        <v>12.89</v>
      </c>
      <c r="G37" s="85">
        <v>1737</v>
      </c>
      <c r="H37" s="4" t="s">
        <v>541</v>
      </c>
      <c r="I37" s="23" t="s">
        <v>1366</v>
      </c>
      <c r="J37" s="77">
        <v>60.16</v>
      </c>
      <c r="K37" s="77">
        <v>10.63</v>
      </c>
      <c r="L37" s="77">
        <v>0.46</v>
      </c>
      <c r="N37" s="365">
        <f t="shared" si="11"/>
        <v>71.249999999999986</v>
      </c>
      <c r="O37" s="343">
        <f t="shared" si="12"/>
        <v>60.16</v>
      </c>
      <c r="P37" s="195" t="s">
        <v>5554</v>
      </c>
      <c r="Q37" s="326" t="str">
        <f>IFERROR(VLOOKUP($G37,主力整理!$A$2:$G$2301,6,0),"0")</f>
        <v>0</v>
      </c>
      <c r="T37" s="339">
        <f t="shared" si="13"/>
        <v>0</v>
      </c>
      <c r="W37" s="35">
        <v>1.35</v>
      </c>
      <c r="X37" s="100">
        <v>1.83</v>
      </c>
      <c r="Y37" s="37" t="str">
        <f>RTD("money.excel",,$G37,"Price")</f>
        <v>無資料</v>
      </c>
      <c r="Z37" s="69"/>
      <c r="AA37" s="16" t="e">
        <f t="shared" si="14"/>
        <v>#VALUE!</v>
      </c>
      <c r="AB37" s="3" t="e">
        <v>#DIV/0!</v>
      </c>
      <c r="AC37" s="177" t="s">
        <v>2648</v>
      </c>
      <c r="AD37" s="23" t="s">
        <v>1366</v>
      </c>
      <c r="AG37" s="34">
        <v>0</v>
      </c>
      <c r="AH37" s="63" t="s">
        <v>4120</v>
      </c>
      <c r="AI37" s="131"/>
      <c r="AK37" s="66">
        <f t="shared" si="19"/>
        <v>0</v>
      </c>
      <c r="AL37" s="174">
        <f t="shared" si="20"/>
        <v>0</v>
      </c>
      <c r="AM37" s="346">
        <f>RTD("money.excel",,$G37,"PredictVolume")</f>
        <v>0</v>
      </c>
      <c r="AN37" s="272">
        <f>RTD("money.excel",,$G37,"CumulativeVolume")</f>
        <v>0</v>
      </c>
      <c r="AO37" s="284"/>
    </row>
    <row r="38" spans="1:41">
      <c r="A38" s="151" t="s">
        <v>4642</v>
      </c>
      <c r="B38" s="96">
        <v>90</v>
      </c>
      <c r="C38" s="96">
        <v>150</v>
      </c>
      <c r="D38" s="96">
        <v>1</v>
      </c>
      <c r="E38" s="96">
        <v>73</v>
      </c>
      <c r="F38" s="7">
        <v>2.6</v>
      </c>
      <c r="G38" s="85">
        <v>1796</v>
      </c>
      <c r="H38" s="4" t="s">
        <v>541</v>
      </c>
      <c r="I38" s="17" t="s">
        <v>1781</v>
      </c>
      <c r="J38" s="77">
        <v>48.94</v>
      </c>
      <c r="K38" s="77">
        <v>0.72</v>
      </c>
      <c r="N38" s="365">
        <f t="shared" si="11"/>
        <v>49.66</v>
      </c>
      <c r="O38" s="343">
        <f t="shared" si="12"/>
        <v>48.94</v>
      </c>
      <c r="P38" s="195" t="s">
        <v>5554</v>
      </c>
      <c r="Q38" s="326" t="str">
        <f>IFERROR(VLOOKUP($G38,主力整理!$A$2:$G$2301,6,0),"0")</f>
        <v>0</v>
      </c>
      <c r="T38" s="339">
        <f t="shared" si="13"/>
        <v>0</v>
      </c>
      <c r="V38" s="371">
        <v>27.43</v>
      </c>
      <c r="W38" s="35">
        <v>0.08</v>
      </c>
      <c r="X38" s="100">
        <v>0.16</v>
      </c>
      <c r="Y38" s="37" t="str">
        <f>RTD("money.excel",,$G38,"Price")</f>
        <v>無資料</v>
      </c>
      <c r="Z38" s="69"/>
      <c r="AA38" s="16" t="e">
        <f t="shared" si="14"/>
        <v>#VALUE!</v>
      </c>
      <c r="AB38" s="3" t="e">
        <v>#DIV/0!</v>
      </c>
      <c r="AD38" s="17" t="s">
        <v>1781</v>
      </c>
      <c r="AG38" s="34">
        <v>0</v>
      </c>
      <c r="AH38" s="44" t="s">
        <v>3887</v>
      </c>
      <c r="AI38" s="131"/>
      <c r="AK38" s="66">
        <f t="shared" si="19"/>
        <v>0</v>
      </c>
      <c r="AL38" s="174">
        <f t="shared" si="20"/>
        <v>0</v>
      </c>
      <c r="AM38" s="346">
        <f>RTD("money.excel",,$G38,"PredictVolume")</f>
        <v>0</v>
      </c>
      <c r="AN38" s="272">
        <f>RTD("money.excel",,$G38,"CumulativeVolume")</f>
        <v>0</v>
      </c>
      <c r="AO38" s="284"/>
    </row>
    <row r="39" spans="1:41">
      <c r="A39" s="135" t="s">
        <v>3027</v>
      </c>
      <c r="B39" s="96">
        <v>23</v>
      </c>
      <c r="C39" s="96">
        <v>20</v>
      </c>
      <c r="D39" s="96">
        <v>6</v>
      </c>
      <c r="E39" s="96">
        <v>-1</v>
      </c>
      <c r="F39" s="59">
        <v>25.34</v>
      </c>
      <c r="G39" s="85">
        <v>4205</v>
      </c>
      <c r="H39" s="4" t="s">
        <v>541</v>
      </c>
      <c r="I39" s="17" t="s">
        <v>1344</v>
      </c>
      <c r="J39" s="77">
        <v>68.819999999999993</v>
      </c>
      <c r="K39" s="371">
        <v>0.2</v>
      </c>
      <c r="L39" s="77">
        <v>0.03</v>
      </c>
      <c r="N39" s="365">
        <f t="shared" si="11"/>
        <v>69.05</v>
      </c>
      <c r="O39" s="343">
        <f t="shared" si="12"/>
        <v>68.819999999999993</v>
      </c>
      <c r="P39" s="195" t="s">
        <v>5554</v>
      </c>
      <c r="Q39" s="326" t="str">
        <f>IFERROR(VLOOKUP($G39,主力整理!$A$2:$G$2301,6,0),"0")</f>
        <v>0</v>
      </c>
      <c r="T39" s="339">
        <f t="shared" si="13"/>
        <v>0</v>
      </c>
      <c r="V39" s="371">
        <v>33.81</v>
      </c>
      <c r="W39" s="69">
        <v>3</v>
      </c>
      <c r="X39" s="100">
        <v>4.21</v>
      </c>
      <c r="Y39" s="37" t="str">
        <f>RTD("money.excel",,$G39,"Price")</f>
        <v>無資料</v>
      </c>
      <c r="Z39" s="69"/>
      <c r="AA39" s="16" t="e">
        <f t="shared" si="14"/>
        <v>#VALUE!</v>
      </c>
      <c r="AB39" s="3" t="e">
        <v>#DIV/0!</v>
      </c>
      <c r="AC39" s="177" t="s">
        <v>2700</v>
      </c>
      <c r="AD39" s="17" t="s">
        <v>1344</v>
      </c>
      <c r="AG39" s="34">
        <v>0</v>
      </c>
      <c r="AH39" s="63" t="s">
        <v>4168</v>
      </c>
      <c r="AI39" s="131"/>
      <c r="AK39" s="66">
        <f t="shared" si="19"/>
        <v>0</v>
      </c>
      <c r="AL39" s="174">
        <f t="shared" si="20"/>
        <v>0</v>
      </c>
      <c r="AM39" s="346">
        <f>RTD("money.excel",,$G39,"PredictVolume")</f>
        <v>0</v>
      </c>
      <c r="AN39" s="272">
        <f>RTD("money.excel",,$G39,"CumulativeVolume")</f>
        <v>0</v>
      </c>
      <c r="AO39" s="284"/>
    </row>
    <row r="40" spans="1:41">
      <c r="A40" s="151" t="s">
        <v>2628</v>
      </c>
      <c r="B40" s="96">
        <v>140</v>
      </c>
      <c r="C40" s="96">
        <v>104</v>
      </c>
      <c r="D40" s="96">
        <v>9</v>
      </c>
      <c r="E40" s="96">
        <v>17</v>
      </c>
      <c r="F40" s="7">
        <v>8.7100000000000009</v>
      </c>
      <c r="G40" s="85">
        <v>4207</v>
      </c>
      <c r="H40" s="4" t="s">
        <v>541</v>
      </c>
      <c r="I40" s="17" t="s">
        <v>1345</v>
      </c>
      <c r="J40" s="77">
        <v>65.260000000000005</v>
      </c>
      <c r="K40" s="77">
        <v>0.01</v>
      </c>
      <c r="L40" s="77">
        <v>4.2699999999999996</v>
      </c>
      <c r="N40" s="365">
        <f t="shared" si="11"/>
        <v>69.540000000000006</v>
      </c>
      <c r="O40" s="343">
        <f t="shared" si="12"/>
        <v>65.260000000000005</v>
      </c>
      <c r="P40" s="195" t="s">
        <v>5554</v>
      </c>
      <c r="Q40" s="326">
        <f>IFERROR(VLOOKUP($G40,主力整理!$A$2:$G$2301,6,0),"0")</f>
        <v>1</v>
      </c>
      <c r="T40" s="339">
        <f t="shared" si="13"/>
        <v>1</v>
      </c>
      <c r="V40" s="371">
        <v>30.98</v>
      </c>
      <c r="W40" s="35">
        <v>0.37</v>
      </c>
      <c r="X40" s="100">
        <v>0.91</v>
      </c>
      <c r="Y40" s="37" t="str">
        <f>RTD("money.excel",,$G40,"Price")</f>
        <v>無資料</v>
      </c>
      <c r="Z40" s="69"/>
      <c r="AA40" s="16" t="e">
        <f t="shared" si="14"/>
        <v>#VALUE!</v>
      </c>
      <c r="AB40" s="3" t="e">
        <v>#DIV/0!</v>
      </c>
      <c r="AD40" s="17" t="s">
        <v>1345</v>
      </c>
      <c r="AG40" s="34">
        <v>0</v>
      </c>
      <c r="AH40" s="44" t="s">
        <v>4169</v>
      </c>
      <c r="AI40" s="131"/>
      <c r="AK40" s="66">
        <f t="shared" si="19"/>
        <v>0</v>
      </c>
      <c r="AL40" s="174">
        <f t="shared" si="20"/>
        <v>0</v>
      </c>
      <c r="AM40" s="346">
        <f>RTD("money.excel",,$G40,"PredictVolume")</f>
        <v>0</v>
      </c>
      <c r="AN40" s="272">
        <f>RTD("money.excel",,$G40,"CumulativeVolume")</f>
        <v>0</v>
      </c>
      <c r="AO40" s="284"/>
    </row>
    <row r="41" spans="1:41">
      <c r="A41" s="151" t="s">
        <v>2635</v>
      </c>
      <c r="B41" s="96">
        <v>73</v>
      </c>
      <c r="C41" s="96">
        <v>67</v>
      </c>
      <c r="D41" s="96">
        <v>151</v>
      </c>
      <c r="E41" s="145">
        <v>4644</v>
      </c>
      <c r="F41" s="77">
        <v>-245.15</v>
      </c>
      <c r="G41" s="85">
        <v>4712</v>
      </c>
      <c r="H41" s="4" t="s">
        <v>541</v>
      </c>
      <c r="I41" s="17" t="s">
        <v>1346</v>
      </c>
      <c r="J41" s="77">
        <v>58.32</v>
      </c>
      <c r="K41" s="77">
        <v>3.26</v>
      </c>
      <c r="N41" s="365">
        <f t="shared" ref="N41" si="21">J41+K41+L41+M41</f>
        <v>61.58</v>
      </c>
      <c r="O41" s="343">
        <f t="shared" ref="O41" si="22">J41+M41</f>
        <v>58.32</v>
      </c>
      <c r="P41" s="195" t="s">
        <v>5554</v>
      </c>
      <c r="Q41" s="326" t="str">
        <f>IFERROR(VLOOKUP($G41,主力整理!$A$2:$G$2301,6,0),"0")</f>
        <v>0</v>
      </c>
      <c r="T41" s="339">
        <f t="shared" ref="T41" si="23">SUM(P41:S41)</f>
        <v>0</v>
      </c>
      <c r="V41" s="371">
        <v>20.51</v>
      </c>
      <c r="W41" s="35">
        <v>0</v>
      </c>
      <c r="X41" s="100">
        <v>-1.56</v>
      </c>
      <c r="Y41" s="37" t="str">
        <f>RTD("money.excel",,$G41,"Price")</f>
        <v>商品錯誤</v>
      </c>
      <c r="Z41" s="69"/>
      <c r="AA41" s="16" t="e">
        <f t="shared" ref="AA41" si="24">Y41-Z41</f>
        <v>#VALUE!</v>
      </c>
      <c r="AB41" s="3" t="e">
        <v>#VALUE!</v>
      </c>
      <c r="AD41" s="17" t="s">
        <v>1346</v>
      </c>
      <c r="AG41" s="34">
        <v>0</v>
      </c>
      <c r="AH41" s="44" t="s">
        <v>4170</v>
      </c>
      <c r="AI41" s="131"/>
      <c r="AK41" s="66" t="e">
        <f t="shared" ref="AK41" si="25">AM41/(A41*10000)</f>
        <v>#VALUE!</v>
      </c>
      <c r="AL41" s="174" t="e">
        <f t="shared" ref="AL41" si="26">AN41/(A41*10000)</f>
        <v>#VALUE!</v>
      </c>
      <c r="AM41" s="346" t="str">
        <f>RTD("money.excel",,$G41,"PredictVolume")</f>
        <v>商品錯誤</v>
      </c>
      <c r="AN41" s="272" t="str">
        <f>RTD("money.excel",,$G41,"CumulativeVolume")</f>
        <v>商品錯誤</v>
      </c>
      <c r="AO41" s="284"/>
    </row>
    <row r="42" spans="1:41">
      <c r="A42" s="151"/>
      <c r="B42" s="96"/>
      <c r="C42" s="96"/>
      <c r="D42" s="96"/>
      <c r="E42" s="145"/>
      <c r="F42" s="77"/>
      <c r="G42" s="85"/>
      <c r="H42" s="4"/>
      <c r="I42" s="17"/>
      <c r="J42" s="77"/>
      <c r="K42" s="77"/>
      <c r="N42" s="365"/>
      <c r="O42" s="343"/>
      <c r="P42" s="195"/>
      <c r="W42" s="35"/>
      <c r="X42" s="100"/>
      <c r="Y42" s="14"/>
      <c r="Z42" s="69"/>
      <c r="AA42" s="16"/>
      <c r="AB42" s="3"/>
      <c r="AD42" s="17"/>
      <c r="AG42" s="34"/>
      <c r="AH42" s="44"/>
      <c r="AI42" s="131"/>
      <c r="AK42" s="66"/>
      <c r="AL42" s="174"/>
      <c r="AM42" s="346"/>
      <c r="AN42" s="272"/>
      <c r="AO42" s="284"/>
    </row>
    <row r="43" spans="1:41">
      <c r="A43" s="135" t="s">
        <v>2552</v>
      </c>
      <c r="B43" s="96" t="s">
        <v>2331</v>
      </c>
      <c r="C43" s="96" t="s">
        <v>2332</v>
      </c>
      <c r="D43" s="96" t="s">
        <v>2333</v>
      </c>
      <c r="E43" s="96" t="s">
        <v>2334</v>
      </c>
      <c r="F43" s="9" t="s">
        <v>1709</v>
      </c>
      <c r="G43" s="52" t="s">
        <v>1074</v>
      </c>
      <c r="H43" s="56" t="s">
        <v>578</v>
      </c>
      <c r="I43" s="51" t="s">
        <v>542</v>
      </c>
      <c r="J43" s="364" t="s">
        <v>2189</v>
      </c>
      <c r="K43" s="364" t="s">
        <v>1820</v>
      </c>
      <c r="L43" s="364" t="s">
        <v>515</v>
      </c>
      <c r="M43" s="364" t="s">
        <v>1699</v>
      </c>
      <c r="N43" s="364" t="s">
        <v>6604</v>
      </c>
      <c r="O43" s="343" t="s">
        <v>6620</v>
      </c>
      <c r="P43" s="83" t="s">
        <v>5279</v>
      </c>
      <c r="Q43" s="326" t="s">
        <v>5514</v>
      </c>
      <c r="R43" s="31" t="s">
        <v>6596</v>
      </c>
      <c r="S43" s="51" t="s">
        <v>6597</v>
      </c>
      <c r="T43" s="338" t="s">
        <v>5627</v>
      </c>
      <c r="U43" s="330" t="s">
        <v>6537</v>
      </c>
      <c r="V43" s="377" t="s">
        <v>6616</v>
      </c>
      <c r="W43" s="11" t="s">
        <v>127</v>
      </c>
      <c r="X43" s="71" t="s">
        <v>5216</v>
      </c>
      <c r="Y43" s="29" t="s">
        <v>3</v>
      </c>
      <c r="Z43" s="18" t="s">
        <v>2113</v>
      </c>
      <c r="AA43" s="15" t="s">
        <v>8</v>
      </c>
      <c r="AB43" s="22" t="s">
        <v>4</v>
      </c>
      <c r="AC43" s="358" t="s">
        <v>211</v>
      </c>
      <c r="AD43" s="51" t="s">
        <v>542</v>
      </c>
      <c r="AE43" s="75" t="s">
        <v>2114</v>
      </c>
      <c r="AF43" s="76" t="s">
        <v>1826</v>
      </c>
      <c r="AG43" s="33" t="s">
        <v>1827</v>
      </c>
      <c r="AH43" s="44"/>
      <c r="AI43" s="131"/>
      <c r="AK43" s="9" t="s">
        <v>6666</v>
      </c>
      <c r="AL43" s="5" t="s">
        <v>6667</v>
      </c>
      <c r="AM43" s="51" t="s">
        <v>5339</v>
      </c>
      <c r="AN43" s="276" t="s">
        <v>6665</v>
      </c>
      <c r="AO43" s="284"/>
    </row>
    <row r="44" spans="1:41">
      <c r="A44" s="135" t="s">
        <v>2437</v>
      </c>
      <c r="B44" s="98">
        <v>3535</v>
      </c>
      <c r="C44" s="98">
        <v>537</v>
      </c>
      <c r="D44" s="84">
        <v>15</v>
      </c>
      <c r="E44" s="84">
        <v>47</v>
      </c>
      <c r="F44" s="59">
        <v>23.67</v>
      </c>
      <c r="G44" s="85">
        <v>1301</v>
      </c>
      <c r="H44" s="11" t="s">
        <v>542</v>
      </c>
      <c r="I44" s="23" t="s">
        <v>128</v>
      </c>
      <c r="J44" s="374">
        <v>84.24</v>
      </c>
      <c r="K44" s="371">
        <v>39.53</v>
      </c>
      <c r="L44" s="371">
        <v>0.17</v>
      </c>
      <c r="N44" s="365">
        <f t="shared" ref="N44:N68" si="27">J44+K44+L44+M44</f>
        <v>123.94</v>
      </c>
      <c r="O44" s="343">
        <f t="shared" ref="O44:O68" si="28">J44+M44</f>
        <v>84.24</v>
      </c>
      <c r="P44" s="195">
        <v>42</v>
      </c>
      <c r="Q44" s="326">
        <f>IFERROR(VLOOKUP($G44,主力整理!$A$2:$G$2301,6,0),"0")</f>
        <v>11</v>
      </c>
      <c r="R44" s="111">
        <v>0</v>
      </c>
      <c r="S44" s="51">
        <v>28</v>
      </c>
      <c r="T44" s="339">
        <f t="shared" ref="T44:T68" si="29">SUM(P44:S44)</f>
        <v>81</v>
      </c>
      <c r="V44" s="371">
        <v>3.28</v>
      </c>
      <c r="W44" s="206">
        <v>2.4</v>
      </c>
      <c r="X44" s="59">
        <v>8.84</v>
      </c>
      <c r="Y44" s="37" t="str">
        <f>RTD("money.excel",,$G44,"Price")</f>
        <v>無資料</v>
      </c>
      <c r="Z44" s="68"/>
      <c r="AA44" s="16" t="e">
        <f t="shared" ref="AA44:AA68" si="30">Y44-Z44</f>
        <v>#VALUE!</v>
      </c>
      <c r="AB44" s="3" t="e">
        <v>#DIV/0!</v>
      </c>
      <c r="AC44" s="177" t="s">
        <v>2648</v>
      </c>
      <c r="AD44" s="23" t="s">
        <v>128</v>
      </c>
      <c r="AG44" s="34">
        <v>0</v>
      </c>
      <c r="AH44" s="63" t="s">
        <v>6492</v>
      </c>
      <c r="AI44" s="131"/>
      <c r="AK44" s="66">
        <f t="shared" ref="AK44" si="31">AM44/(A44*10000)</f>
        <v>0</v>
      </c>
      <c r="AL44" s="174">
        <f t="shared" ref="AL44" si="32">AN44/(A44*10000)</f>
        <v>0</v>
      </c>
      <c r="AM44" s="346">
        <f>RTD("money.excel",,$G44,"PredictVolume")</f>
        <v>0</v>
      </c>
      <c r="AN44" s="272">
        <f>RTD("money.excel",,$G44,"CumulativeVolume")</f>
        <v>0</v>
      </c>
      <c r="AO44" s="284"/>
    </row>
    <row r="45" spans="1:41">
      <c r="A45" s="135" t="s">
        <v>2438</v>
      </c>
      <c r="B45" s="98">
        <v>1053</v>
      </c>
      <c r="C45" s="84">
        <v>535</v>
      </c>
      <c r="D45" s="84">
        <v>4</v>
      </c>
      <c r="E45" s="84">
        <v>51</v>
      </c>
      <c r="F45" s="59">
        <v>20.25</v>
      </c>
      <c r="G45" s="85">
        <v>1303</v>
      </c>
      <c r="H45" s="11" t="s">
        <v>542</v>
      </c>
      <c r="I45" s="23" t="s">
        <v>1707</v>
      </c>
      <c r="J45" s="374">
        <v>84.21</v>
      </c>
      <c r="K45" s="77">
        <v>33.93</v>
      </c>
      <c r="L45" s="77">
        <v>0.14000000000000001</v>
      </c>
      <c r="N45" s="365">
        <f t="shared" si="27"/>
        <v>118.27999999999999</v>
      </c>
      <c r="O45" s="343">
        <f t="shared" si="28"/>
        <v>84.21</v>
      </c>
      <c r="P45" s="195">
        <v>31</v>
      </c>
      <c r="Q45" s="326">
        <f>IFERROR(VLOOKUP($G45,主力整理!$A$2:$G$2301,6,0),"0")</f>
        <v>9</v>
      </c>
      <c r="R45" s="111">
        <v>0</v>
      </c>
      <c r="S45" s="51">
        <v>31</v>
      </c>
      <c r="T45" s="339">
        <f t="shared" si="29"/>
        <v>71</v>
      </c>
      <c r="V45" s="371">
        <v>2.78</v>
      </c>
      <c r="W45" s="206">
        <v>2.4</v>
      </c>
      <c r="X45" s="59">
        <v>7.97</v>
      </c>
      <c r="Y45" s="37" t="str">
        <f>RTD("money.excel",,$G45,"Price")</f>
        <v>無資料</v>
      </c>
      <c r="Z45" s="68"/>
      <c r="AA45" s="16" t="e">
        <f t="shared" si="30"/>
        <v>#VALUE!</v>
      </c>
      <c r="AB45" s="3" t="e">
        <v>#DIV/0!</v>
      </c>
      <c r="AC45" s="177" t="s">
        <v>2648</v>
      </c>
      <c r="AD45" s="23" t="s">
        <v>1707</v>
      </c>
      <c r="AG45" s="34">
        <v>0</v>
      </c>
      <c r="AH45" s="63" t="s">
        <v>4098</v>
      </c>
      <c r="AK45" s="66">
        <f t="shared" ref="AK45:AK59" si="33">AM45/(A45*10000)</f>
        <v>0</v>
      </c>
      <c r="AL45" s="174">
        <f t="shared" ref="AL45:AL59" si="34">AN45/(A45*10000)</f>
        <v>0</v>
      </c>
      <c r="AM45" s="346">
        <f>RTD("money.excel",,$G45,"PredictVolume")</f>
        <v>0</v>
      </c>
      <c r="AN45" s="272">
        <f>RTD("money.excel",,$G45,"CumulativeVolume")</f>
        <v>0</v>
      </c>
      <c r="AO45" s="284"/>
    </row>
    <row r="46" spans="1:41">
      <c r="A46" s="135" t="s">
        <v>2897</v>
      </c>
      <c r="B46" s="84">
        <v>301</v>
      </c>
      <c r="C46" s="84">
        <v>268</v>
      </c>
      <c r="D46" s="85">
        <v>-1</v>
      </c>
      <c r="E46" s="84">
        <v>46</v>
      </c>
      <c r="F46" s="59">
        <v>18.739999999999998</v>
      </c>
      <c r="G46" s="85">
        <v>1304</v>
      </c>
      <c r="H46" s="54" t="s">
        <v>542</v>
      </c>
      <c r="I46" s="23" t="s">
        <v>123</v>
      </c>
      <c r="J46" s="77">
        <v>63.52</v>
      </c>
      <c r="K46" s="77">
        <v>36.159999999999997</v>
      </c>
      <c r="L46" s="371">
        <v>6.11</v>
      </c>
      <c r="N46" s="365">
        <f t="shared" si="27"/>
        <v>105.79</v>
      </c>
      <c r="O46" s="343">
        <f t="shared" si="28"/>
        <v>63.52</v>
      </c>
      <c r="P46" s="195">
        <v>9</v>
      </c>
      <c r="Q46" s="326">
        <f>IFERROR(VLOOKUP($G46,主力整理!$A$2:$G$2301,6,0),"0")</f>
        <v>8</v>
      </c>
      <c r="R46" s="111">
        <v>9</v>
      </c>
      <c r="S46" s="51">
        <v>6</v>
      </c>
      <c r="T46" s="339">
        <f t="shared" si="29"/>
        <v>32</v>
      </c>
      <c r="V46" s="371">
        <v>1.68</v>
      </c>
      <c r="W46" s="35">
        <v>1</v>
      </c>
      <c r="X46" s="59">
        <v>4.1500000000000004</v>
      </c>
      <c r="Y46" s="37" t="str">
        <f>RTD("money.excel",,$G46,"Price")</f>
        <v>無資料</v>
      </c>
      <c r="Z46" s="69"/>
      <c r="AA46" s="16" t="e">
        <f t="shared" si="30"/>
        <v>#VALUE!</v>
      </c>
      <c r="AB46" s="3" t="e">
        <v>#DIV/0!</v>
      </c>
      <c r="AC46" s="177" t="s">
        <v>2648</v>
      </c>
      <c r="AD46" s="23" t="s">
        <v>123</v>
      </c>
      <c r="AG46" s="34">
        <v>0</v>
      </c>
      <c r="AH46" s="126" t="s">
        <v>4015</v>
      </c>
      <c r="AI46" s="131"/>
      <c r="AK46" s="66">
        <f t="shared" si="33"/>
        <v>0</v>
      </c>
      <c r="AL46" s="174">
        <f t="shared" si="34"/>
        <v>0</v>
      </c>
      <c r="AM46" s="346">
        <f>RTD("money.excel",,$G46,"PredictVolume")</f>
        <v>0</v>
      </c>
      <c r="AN46" s="272">
        <f>RTD("money.excel",,$G46,"CumulativeVolume")</f>
        <v>0</v>
      </c>
      <c r="AO46" s="284"/>
    </row>
    <row r="47" spans="1:41">
      <c r="A47" s="135" t="s">
        <v>2601</v>
      </c>
      <c r="B47" s="84">
        <v>197</v>
      </c>
      <c r="C47" s="84">
        <v>226</v>
      </c>
      <c r="D47" s="84">
        <v>6</v>
      </c>
      <c r="E47" s="84">
        <v>50</v>
      </c>
      <c r="F47" s="59">
        <v>16.78</v>
      </c>
      <c r="G47" s="85">
        <v>1305</v>
      </c>
      <c r="H47" s="4" t="s">
        <v>542</v>
      </c>
      <c r="I47" s="23" t="s">
        <v>1080</v>
      </c>
      <c r="J47" s="371">
        <v>49.9</v>
      </c>
      <c r="K47" s="371">
        <v>12.08</v>
      </c>
      <c r="L47" s="77">
        <v>12.39</v>
      </c>
      <c r="N47" s="365">
        <f t="shared" si="27"/>
        <v>74.37</v>
      </c>
      <c r="O47" s="343">
        <f t="shared" si="28"/>
        <v>49.9</v>
      </c>
      <c r="P47" s="195">
        <v>35</v>
      </c>
      <c r="Q47" s="326">
        <f>IFERROR(VLOOKUP($G47,主力整理!$A$2:$G$2301,6,0),"0")</f>
        <v>7</v>
      </c>
      <c r="R47" s="111">
        <v>5</v>
      </c>
      <c r="S47" s="51">
        <v>9</v>
      </c>
      <c r="T47" s="339">
        <f t="shared" si="29"/>
        <v>56</v>
      </c>
      <c r="V47" s="371">
        <v>0.73</v>
      </c>
      <c r="W47" s="35">
        <v>2.2999999999999998</v>
      </c>
      <c r="X47" s="59">
        <v>5.09</v>
      </c>
      <c r="Y47" s="37" t="str">
        <f>RTD("money.excel",,$G47,"Price")</f>
        <v>無資料</v>
      </c>
      <c r="Z47" s="69"/>
      <c r="AA47" s="16" t="e">
        <f t="shared" si="30"/>
        <v>#VALUE!</v>
      </c>
      <c r="AB47" s="3" t="e">
        <v>#DIV/0!</v>
      </c>
      <c r="AC47" s="177" t="s">
        <v>2648</v>
      </c>
      <c r="AD47" s="23" t="s">
        <v>1080</v>
      </c>
      <c r="AG47" s="34">
        <v>0</v>
      </c>
      <c r="AH47" s="63" t="s">
        <v>6493</v>
      </c>
      <c r="AI47" s="131"/>
      <c r="AK47" s="66">
        <f t="shared" si="33"/>
        <v>0</v>
      </c>
      <c r="AL47" s="174">
        <f t="shared" si="34"/>
        <v>0</v>
      </c>
      <c r="AM47" s="346">
        <f>RTD("money.excel",,$G47,"PredictVolume")</f>
        <v>0</v>
      </c>
      <c r="AN47" s="272">
        <f>RTD("money.excel",,$G47,"CumulativeVolume")</f>
        <v>0</v>
      </c>
      <c r="AO47" s="284"/>
    </row>
    <row r="48" spans="1:41">
      <c r="A48" s="151" t="s">
        <v>2649</v>
      </c>
      <c r="B48" s="85">
        <v>-87</v>
      </c>
      <c r="C48" s="85">
        <v>-70</v>
      </c>
      <c r="D48" s="84">
        <v>23</v>
      </c>
      <c r="E48" s="85">
        <v>-8</v>
      </c>
      <c r="F48" s="7">
        <v>1.86</v>
      </c>
      <c r="G48" s="85">
        <v>1307</v>
      </c>
      <c r="H48" s="4" t="s">
        <v>542</v>
      </c>
      <c r="I48" s="23" t="s">
        <v>1081</v>
      </c>
      <c r="J48" s="77">
        <v>79.89</v>
      </c>
      <c r="K48" s="371">
        <v>11.16</v>
      </c>
      <c r="L48" s="371">
        <v>0.91</v>
      </c>
      <c r="N48" s="365">
        <f t="shared" si="27"/>
        <v>91.96</v>
      </c>
      <c r="O48" s="343">
        <f t="shared" si="28"/>
        <v>79.89</v>
      </c>
      <c r="P48" s="195" t="s">
        <v>5554</v>
      </c>
      <c r="Q48" s="326" t="str">
        <f>IFERROR(VLOOKUP($G48,主力整理!$A$2:$G$2301,6,0),"0")</f>
        <v>0</v>
      </c>
      <c r="R48" s="111">
        <v>7</v>
      </c>
      <c r="T48" s="339">
        <f t="shared" si="29"/>
        <v>7</v>
      </c>
      <c r="V48" s="371">
        <v>0</v>
      </c>
      <c r="W48" s="35">
        <v>0.5</v>
      </c>
      <c r="X48" s="100">
        <v>0.55000000000000004</v>
      </c>
      <c r="Y48" s="37" t="str">
        <f>RTD("money.excel",,$G48,"Price")</f>
        <v>無資料</v>
      </c>
      <c r="Z48" s="69"/>
      <c r="AA48" s="16" t="e">
        <f t="shared" si="30"/>
        <v>#VALUE!</v>
      </c>
      <c r="AB48" s="3" t="e">
        <v>#DIV/0!</v>
      </c>
      <c r="AC48" s="177" t="s">
        <v>2648</v>
      </c>
      <c r="AD48" s="23" t="s">
        <v>1081</v>
      </c>
      <c r="AG48" s="34">
        <v>0</v>
      </c>
      <c r="AH48" s="44" t="s">
        <v>4016</v>
      </c>
      <c r="AI48" s="131"/>
      <c r="AK48" s="66">
        <f t="shared" si="33"/>
        <v>0</v>
      </c>
      <c r="AL48" s="174">
        <f t="shared" si="34"/>
        <v>0</v>
      </c>
      <c r="AM48" s="346">
        <f>RTD("money.excel",,$G48,"PredictVolume")</f>
        <v>0</v>
      </c>
      <c r="AN48" s="272">
        <f>RTD("money.excel",,$G48,"CumulativeVolume")</f>
        <v>0</v>
      </c>
      <c r="AO48" s="284"/>
    </row>
    <row r="49" spans="1:41">
      <c r="A49" s="135" t="s">
        <v>3164</v>
      </c>
      <c r="B49" s="84">
        <v>7</v>
      </c>
      <c r="C49" s="84">
        <v>9</v>
      </c>
      <c r="D49" s="85">
        <v>-5</v>
      </c>
      <c r="E49" s="85">
        <v>-22</v>
      </c>
      <c r="F49" s="59">
        <v>12.57</v>
      </c>
      <c r="G49" s="85">
        <v>1308</v>
      </c>
      <c r="H49" s="4" t="s">
        <v>542</v>
      </c>
      <c r="I49" s="23" t="s">
        <v>215</v>
      </c>
      <c r="J49" s="77">
        <v>56.67</v>
      </c>
      <c r="K49" s="371">
        <v>4.59</v>
      </c>
      <c r="L49" s="371">
        <v>7.31</v>
      </c>
      <c r="N49" s="365">
        <f t="shared" si="27"/>
        <v>68.570000000000007</v>
      </c>
      <c r="O49" s="343">
        <f t="shared" si="28"/>
        <v>56.67</v>
      </c>
      <c r="P49" s="195">
        <v>4</v>
      </c>
      <c r="Q49" s="326">
        <f>IFERROR(VLOOKUP($G49,主力整理!$A$2:$G$2301,6,0),"0")</f>
        <v>7</v>
      </c>
      <c r="R49" s="111">
        <v>4</v>
      </c>
      <c r="T49" s="339">
        <f t="shared" si="29"/>
        <v>15</v>
      </c>
      <c r="V49" s="371">
        <v>0.1</v>
      </c>
      <c r="W49" s="35">
        <v>1.4</v>
      </c>
      <c r="X49" s="100">
        <v>1.92</v>
      </c>
      <c r="Y49" s="37" t="str">
        <f>RTD("money.excel",,$G49,"Price")</f>
        <v>無資料</v>
      </c>
      <c r="Z49" s="69"/>
      <c r="AA49" s="16" t="e">
        <f t="shared" si="30"/>
        <v>#VALUE!</v>
      </c>
      <c r="AB49" s="3" t="e">
        <v>#DIV/0!</v>
      </c>
      <c r="AC49" s="177" t="s">
        <v>2648</v>
      </c>
      <c r="AD49" s="23" t="s">
        <v>215</v>
      </c>
      <c r="AG49" s="34">
        <v>0</v>
      </c>
      <c r="AH49" s="126" t="s">
        <v>4316</v>
      </c>
      <c r="AI49" s="131"/>
      <c r="AK49" s="66">
        <f t="shared" si="33"/>
        <v>0</v>
      </c>
      <c r="AL49" s="174">
        <f t="shared" si="34"/>
        <v>0</v>
      </c>
      <c r="AM49" s="346">
        <f>RTD("money.excel",,$G49,"PredictVolume")</f>
        <v>0</v>
      </c>
      <c r="AN49" s="272">
        <f>RTD("money.excel",,$G49,"CumulativeVolume")</f>
        <v>0</v>
      </c>
      <c r="AO49" s="284"/>
    </row>
    <row r="50" spans="1:41">
      <c r="A50" s="135" t="s">
        <v>2664</v>
      </c>
      <c r="B50" s="84">
        <v>23</v>
      </c>
      <c r="C50" s="84">
        <v>22</v>
      </c>
      <c r="D50" s="84">
        <v>2</v>
      </c>
      <c r="E50" s="84">
        <v>30</v>
      </c>
      <c r="F50" s="59">
        <v>11.17</v>
      </c>
      <c r="G50" s="85">
        <v>1309</v>
      </c>
      <c r="H50" s="4" t="s">
        <v>542</v>
      </c>
      <c r="I50" s="23" t="s">
        <v>570</v>
      </c>
      <c r="J50" s="77">
        <v>42.24</v>
      </c>
      <c r="K50" s="371">
        <v>3.37</v>
      </c>
      <c r="L50" s="371">
        <v>8.84</v>
      </c>
      <c r="N50" s="365">
        <f t="shared" si="27"/>
        <v>54.45</v>
      </c>
      <c r="O50" s="343">
        <f t="shared" si="28"/>
        <v>42.24</v>
      </c>
      <c r="P50" s="195">
        <v>17</v>
      </c>
      <c r="Q50" s="326">
        <f>IFERROR(VLOOKUP($G50,主力整理!$A$2:$G$2301,6,0),"0")</f>
        <v>3</v>
      </c>
      <c r="R50" s="111">
        <v>12</v>
      </c>
      <c r="S50" s="51">
        <v>6</v>
      </c>
      <c r="T50" s="339">
        <f t="shared" si="29"/>
        <v>38</v>
      </c>
      <c r="V50" s="371">
        <v>16.88</v>
      </c>
      <c r="W50" s="69">
        <v>3</v>
      </c>
      <c r="X50" s="100">
        <v>6.21</v>
      </c>
      <c r="Y50" s="37" t="str">
        <f>RTD("money.excel",,$G50,"Price")</f>
        <v>無資料</v>
      </c>
      <c r="Z50" s="69"/>
      <c r="AA50" s="16" t="e">
        <f t="shared" si="30"/>
        <v>#VALUE!</v>
      </c>
      <c r="AB50" s="3" t="e">
        <v>#DIV/0!</v>
      </c>
      <c r="AC50" s="177" t="s">
        <v>2929</v>
      </c>
      <c r="AD50" s="23" t="s">
        <v>570</v>
      </c>
      <c r="AG50" s="34">
        <v>0</v>
      </c>
      <c r="AH50" s="63" t="s">
        <v>6491</v>
      </c>
      <c r="AI50" s="131"/>
      <c r="AK50" s="66">
        <f t="shared" si="33"/>
        <v>0</v>
      </c>
      <c r="AL50" s="174">
        <f t="shared" si="34"/>
        <v>0</v>
      </c>
      <c r="AM50" s="346">
        <f>RTD("money.excel",,$G50,"PredictVolume")</f>
        <v>0</v>
      </c>
      <c r="AN50" s="272">
        <f>RTD("money.excel",,$G50,"CumulativeVolume")</f>
        <v>0</v>
      </c>
      <c r="AO50" s="284"/>
    </row>
    <row r="51" spans="1:41">
      <c r="A51" s="151" t="s">
        <v>2439</v>
      </c>
      <c r="B51" s="85">
        <v>-126</v>
      </c>
      <c r="C51" s="85">
        <v>-141</v>
      </c>
      <c r="D51" s="85">
        <v>-1</v>
      </c>
      <c r="E51" s="85">
        <v>-35</v>
      </c>
      <c r="F51" s="7">
        <v>-8.2899999999999991</v>
      </c>
      <c r="G51" s="85">
        <v>1310</v>
      </c>
      <c r="H51" s="4" t="s">
        <v>542</v>
      </c>
      <c r="I51" s="23" t="s">
        <v>1082</v>
      </c>
      <c r="J51" s="77">
        <v>30.86</v>
      </c>
      <c r="K51" s="371">
        <v>9.76</v>
      </c>
      <c r="L51" s="371">
        <v>3.44</v>
      </c>
      <c r="N51" s="365">
        <f t="shared" si="27"/>
        <v>44.059999999999995</v>
      </c>
      <c r="O51" s="343">
        <f t="shared" si="28"/>
        <v>30.86</v>
      </c>
      <c r="P51" s="195">
        <v>6</v>
      </c>
      <c r="Q51" s="326">
        <f>IFERROR(VLOOKUP($G51,主力整理!$A$2:$G$2301,6,0),"0")</f>
        <v>8</v>
      </c>
      <c r="R51" s="111">
        <v>1</v>
      </c>
      <c r="T51" s="339">
        <f t="shared" si="29"/>
        <v>15</v>
      </c>
      <c r="V51" s="371">
        <v>0.19</v>
      </c>
      <c r="W51" s="35">
        <v>0.5</v>
      </c>
      <c r="X51" s="100">
        <v>0.55000000000000004</v>
      </c>
      <c r="Y51" s="37" t="str">
        <f>RTD("money.excel",,$G51,"Price")</f>
        <v>無資料</v>
      </c>
      <c r="Z51" s="69"/>
      <c r="AA51" s="16" t="e">
        <f t="shared" si="30"/>
        <v>#VALUE!</v>
      </c>
      <c r="AB51" s="3" t="e">
        <v>#DIV/0!</v>
      </c>
      <c r="AC51" s="177" t="s">
        <v>2648</v>
      </c>
      <c r="AD51" s="23" t="s">
        <v>1082</v>
      </c>
      <c r="AG51" s="34">
        <v>0</v>
      </c>
      <c r="AH51" s="44" t="s">
        <v>4318</v>
      </c>
      <c r="AI51" s="131"/>
      <c r="AK51" s="66">
        <f t="shared" si="33"/>
        <v>0</v>
      </c>
      <c r="AL51" s="174">
        <f t="shared" si="34"/>
        <v>0</v>
      </c>
      <c r="AM51" s="346">
        <f>RTD("money.excel",,$G51,"PredictVolume")</f>
        <v>0</v>
      </c>
      <c r="AN51" s="272">
        <f>RTD("money.excel",,$G51,"CumulativeVolume")</f>
        <v>0</v>
      </c>
      <c r="AO51" s="284"/>
    </row>
    <row r="52" spans="1:41">
      <c r="A52" s="151" t="s">
        <v>2556</v>
      </c>
      <c r="B52" s="85">
        <v>23</v>
      </c>
      <c r="C52" s="85">
        <v>-46</v>
      </c>
      <c r="D52" s="84">
        <v>7</v>
      </c>
      <c r="E52" s="85">
        <v>1</v>
      </c>
      <c r="F52" s="7">
        <v>5.94</v>
      </c>
      <c r="G52" s="85">
        <v>1312</v>
      </c>
      <c r="H52" s="4" t="s">
        <v>542</v>
      </c>
      <c r="I52" s="23" t="s">
        <v>352</v>
      </c>
      <c r="J52" s="371">
        <v>61.4</v>
      </c>
      <c r="K52" s="371">
        <v>43.49</v>
      </c>
      <c r="L52" s="371">
        <v>11.62</v>
      </c>
      <c r="N52" s="365">
        <f t="shared" si="27"/>
        <v>116.51</v>
      </c>
      <c r="O52" s="343">
        <f t="shared" si="28"/>
        <v>61.4</v>
      </c>
      <c r="P52" s="195">
        <v>12</v>
      </c>
      <c r="Q52" s="326">
        <f>IFERROR(VLOOKUP($G52,主力整理!$A$2:$G$2301,6,0),"0")</f>
        <v>8</v>
      </c>
      <c r="R52" s="111">
        <v>5</v>
      </c>
      <c r="T52" s="339">
        <f t="shared" si="29"/>
        <v>25</v>
      </c>
      <c r="V52" s="371">
        <v>0.64</v>
      </c>
      <c r="W52" s="35">
        <v>0</v>
      </c>
      <c r="X52" s="100">
        <v>4.53</v>
      </c>
      <c r="Y52" s="37" t="str">
        <f>RTD("money.excel",,$G52,"Price")</f>
        <v>無資料</v>
      </c>
      <c r="Z52" s="69"/>
      <c r="AA52" s="16" t="e">
        <f t="shared" si="30"/>
        <v>#VALUE!</v>
      </c>
      <c r="AB52" s="3" t="e">
        <v>#DIV/0!</v>
      </c>
      <c r="AC52" s="177" t="s">
        <v>2648</v>
      </c>
      <c r="AD52" s="23" t="s">
        <v>352</v>
      </c>
      <c r="AG52" s="34">
        <v>0</v>
      </c>
      <c r="AH52" s="44" t="s">
        <v>6494</v>
      </c>
      <c r="AI52" s="131"/>
      <c r="AK52" s="66">
        <f t="shared" si="33"/>
        <v>0</v>
      </c>
      <c r="AL52" s="174">
        <f t="shared" si="34"/>
        <v>0</v>
      </c>
      <c r="AM52" s="346">
        <f>RTD("money.excel",,$G52,"PredictVolume")</f>
        <v>0</v>
      </c>
      <c r="AN52" s="272">
        <f>RTD("money.excel",,$G52,"CumulativeVolume")</f>
        <v>0</v>
      </c>
      <c r="AO52" s="284"/>
    </row>
    <row r="53" spans="1:41">
      <c r="A53" s="151" t="s">
        <v>2680</v>
      </c>
      <c r="B53" s="98">
        <v>1491</v>
      </c>
      <c r="C53" s="84">
        <v>284</v>
      </c>
      <c r="D53" s="85">
        <v>-2</v>
      </c>
      <c r="E53" s="84">
        <v>2</v>
      </c>
      <c r="F53" s="7">
        <v>2.09</v>
      </c>
      <c r="G53" s="85">
        <v>1313</v>
      </c>
      <c r="H53" s="4" t="s">
        <v>542</v>
      </c>
      <c r="I53" s="23" t="s">
        <v>1083</v>
      </c>
      <c r="J53" s="77">
        <v>71.83</v>
      </c>
      <c r="K53" s="77">
        <v>13.64</v>
      </c>
      <c r="L53" s="77">
        <v>6.17</v>
      </c>
      <c r="N53" s="365">
        <f t="shared" si="27"/>
        <v>91.64</v>
      </c>
      <c r="O53" s="343">
        <f t="shared" si="28"/>
        <v>71.83</v>
      </c>
      <c r="P53" s="195">
        <v>6</v>
      </c>
      <c r="Q53" s="326">
        <f>IFERROR(VLOOKUP($G53,主力整理!$A$2:$G$2301,6,0),"0")</f>
        <v>6</v>
      </c>
      <c r="R53" s="111">
        <v>3</v>
      </c>
      <c r="T53" s="339">
        <f t="shared" si="29"/>
        <v>15</v>
      </c>
      <c r="V53" s="371">
        <v>0.06</v>
      </c>
      <c r="W53" s="35">
        <v>1</v>
      </c>
      <c r="X53" s="100">
        <v>1.62</v>
      </c>
      <c r="Y53" s="37" t="str">
        <f>RTD("money.excel",,$G53,"Price")</f>
        <v>無資料</v>
      </c>
      <c r="Z53" s="69"/>
      <c r="AA53" s="16" t="e">
        <f t="shared" si="30"/>
        <v>#VALUE!</v>
      </c>
      <c r="AB53" s="3" t="e">
        <v>#DIV/0!</v>
      </c>
      <c r="AC53" s="177" t="s">
        <v>2648</v>
      </c>
      <c r="AD53" s="23" t="s">
        <v>1083</v>
      </c>
      <c r="AG53" s="34">
        <v>0</v>
      </c>
      <c r="AH53" s="44" t="s">
        <v>6495</v>
      </c>
      <c r="AI53" s="131"/>
      <c r="AK53" s="66">
        <f t="shared" si="33"/>
        <v>0</v>
      </c>
      <c r="AL53" s="174">
        <f t="shared" si="34"/>
        <v>0</v>
      </c>
      <c r="AM53" s="346">
        <f>RTD("money.excel",,$G53,"PredictVolume")</f>
        <v>0</v>
      </c>
      <c r="AN53" s="272">
        <f>RTD("money.excel",,$G53,"CumulativeVolume")</f>
        <v>0</v>
      </c>
      <c r="AO53" s="284"/>
    </row>
    <row r="54" spans="1:41">
      <c r="A54" s="151" t="s">
        <v>6585</v>
      </c>
      <c r="B54" s="98">
        <v>7213</v>
      </c>
      <c r="C54" s="84">
        <v>243</v>
      </c>
      <c r="D54" s="85">
        <v>-6</v>
      </c>
      <c r="E54" s="84">
        <v>114</v>
      </c>
      <c r="F54" s="7">
        <v>8.64</v>
      </c>
      <c r="G54" s="85">
        <v>1314</v>
      </c>
      <c r="H54" s="53" t="s">
        <v>542</v>
      </c>
      <c r="I54" s="23" t="s">
        <v>240</v>
      </c>
      <c r="J54" s="371">
        <v>30.2</v>
      </c>
      <c r="K54" s="371">
        <v>11.73</v>
      </c>
      <c r="L54" s="77">
        <v>19.27</v>
      </c>
      <c r="N54" s="365">
        <f t="shared" si="27"/>
        <v>61.2</v>
      </c>
      <c r="O54" s="343">
        <f t="shared" si="28"/>
        <v>30.2</v>
      </c>
      <c r="P54" s="195">
        <v>4</v>
      </c>
      <c r="Q54" s="326">
        <f>IFERROR(VLOOKUP($G54,主力整理!$A$2:$G$2301,6,0),"0")</f>
        <v>8</v>
      </c>
      <c r="R54" s="111">
        <v>2</v>
      </c>
      <c r="S54" s="51">
        <v>0</v>
      </c>
      <c r="T54" s="339">
        <f t="shared" si="29"/>
        <v>14</v>
      </c>
      <c r="V54" s="371">
        <v>4.92</v>
      </c>
      <c r="W54" s="35">
        <v>0</v>
      </c>
      <c r="X54" s="100">
        <v>1.22</v>
      </c>
      <c r="Y54" s="37" t="str">
        <f>RTD("money.excel",,$G54,"Price")</f>
        <v>無資料</v>
      </c>
      <c r="Z54" s="69"/>
      <c r="AA54" s="16" t="e">
        <f t="shared" si="30"/>
        <v>#VALUE!</v>
      </c>
      <c r="AB54" s="3" t="e">
        <v>#DIV/0!</v>
      </c>
      <c r="AC54" s="177" t="s">
        <v>2648</v>
      </c>
      <c r="AD54" s="23" t="s">
        <v>240</v>
      </c>
      <c r="AG54" s="34">
        <v>0</v>
      </c>
      <c r="AH54" s="125" t="s">
        <v>4319</v>
      </c>
      <c r="AI54" s="131"/>
      <c r="AK54" s="66">
        <f t="shared" si="33"/>
        <v>0</v>
      </c>
      <c r="AL54" s="174">
        <f t="shared" si="34"/>
        <v>0</v>
      </c>
      <c r="AM54" s="346">
        <f>RTD("money.excel",,$G54,"PredictVolume")</f>
        <v>0</v>
      </c>
      <c r="AN54" s="272">
        <f>RTD("money.excel",,$G54,"CumulativeVolume")</f>
        <v>0</v>
      </c>
      <c r="AO54" s="284"/>
    </row>
    <row r="55" spans="1:41">
      <c r="A55" s="151" t="s">
        <v>2551</v>
      </c>
      <c r="B55" s="85">
        <v>-104</v>
      </c>
      <c r="C55" s="84">
        <v>195</v>
      </c>
      <c r="D55" s="85">
        <v>-11</v>
      </c>
      <c r="E55" s="85">
        <v>-4</v>
      </c>
      <c r="F55" s="7">
        <v>0.83</v>
      </c>
      <c r="G55" s="85">
        <v>1315</v>
      </c>
      <c r="H55" s="4" t="s">
        <v>542</v>
      </c>
      <c r="I55" s="23" t="s">
        <v>1084</v>
      </c>
      <c r="J55" s="371">
        <v>71.88</v>
      </c>
      <c r="K55" s="371">
        <v>1.68</v>
      </c>
      <c r="L55" s="371">
        <v>1.47</v>
      </c>
      <c r="N55" s="365">
        <f t="shared" si="27"/>
        <v>75.03</v>
      </c>
      <c r="O55" s="343">
        <f t="shared" si="28"/>
        <v>71.88</v>
      </c>
      <c r="P55" s="195">
        <v>0</v>
      </c>
      <c r="Q55" s="326" t="str">
        <f>IFERROR(VLOOKUP($G55,主力整理!$A$2:$G$2301,6,0),"0")</f>
        <v>0</v>
      </c>
      <c r="R55" s="111">
        <v>2</v>
      </c>
      <c r="S55" s="51">
        <v>3</v>
      </c>
      <c r="T55" s="339">
        <f t="shared" si="29"/>
        <v>5</v>
      </c>
      <c r="V55" s="371">
        <v>0</v>
      </c>
      <c r="W55" s="69">
        <v>4</v>
      </c>
      <c r="X55" s="59">
        <v>-0.28000000000000003</v>
      </c>
      <c r="Y55" s="37" t="str">
        <f>RTD("money.excel",,$G55,"Price")</f>
        <v>無資料</v>
      </c>
      <c r="Z55" s="69"/>
      <c r="AA55" s="16" t="e">
        <f t="shared" si="30"/>
        <v>#VALUE!</v>
      </c>
      <c r="AB55" s="3" t="e">
        <v>#DIV/0!</v>
      </c>
      <c r="AC55" s="177" t="s">
        <v>2700</v>
      </c>
      <c r="AD55" s="23" t="s">
        <v>1084</v>
      </c>
      <c r="AG55" s="34">
        <v>0</v>
      </c>
      <c r="AH55" s="44" t="s">
        <v>4320</v>
      </c>
      <c r="AI55" s="131"/>
      <c r="AK55" s="66">
        <f t="shared" si="33"/>
        <v>0</v>
      </c>
      <c r="AL55" s="174">
        <f t="shared" si="34"/>
        <v>0</v>
      </c>
      <c r="AM55" s="346">
        <f>RTD("money.excel",,$G55,"PredictVolume")</f>
        <v>0</v>
      </c>
      <c r="AN55" s="272">
        <f>RTD("money.excel",,$G55,"CumulativeVolume")</f>
        <v>0</v>
      </c>
      <c r="AO55" s="284"/>
    </row>
    <row r="56" spans="1:41">
      <c r="A56" s="151" t="s">
        <v>2914</v>
      </c>
      <c r="B56" s="98">
        <v>4677</v>
      </c>
      <c r="C56" s="84">
        <v>177</v>
      </c>
      <c r="D56" s="85">
        <v>-1</v>
      </c>
      <c r="E56" s="84">
        <v>4</v>
      </c>
      <c r="F56" s="7">
        <v>1.84</v>
      </c>
      <c r="G56" s="85">
        <v>1321</v>
      </c>
      <c r="H56" s="4" t="s">
        <v>542</v>
      </c>
      <c r="I56" s="23" t="s">
        <v>1085</v>
      </c>
      <c r="J56" s="77">
        <v>73.38</v>
      </c>
      <c r="K56" s="77">
        <v>2.61</v>
      </c>
      <c r="L56" s="77">
        <v>5.8</v>
      </c>
      <c r="N56" s="365">
        <f t="shared" si="27"/>
        <v>81.789999999999992</v>
      </c>
      <c r="O56" s="343">
        <f t="shared" si="28"/>
        <v>73.38</v>
      </c>
      <c r="P56" s="195">
        <v>1</v>
      </c>
      <c r="Q56" s="326">
        <f>IFERROR(VLOOKUP($G56,主力整理!$A$2:$G$2301,6,0),"0")</f>
        <v>1</v>
      </c>
      <c r="R56" s="111">
        <v>3</v>
      </c>
      <c r="T56" s="339">
        <f t="shared" si="29"/>
        <v>5</v>
      </c>
      <c r="V56" s="371">
        <v>0.05</v>
      </c>
      <c r="W56" s="35">
        <v>1</v>
      </c>
      <c r="X56" s="100">
        <v>3.24</v>
      </c>
      <c r="Y56" s="37" t="str">
        <f>RTD("money.excel",,$G56,"Price")</f>
        <v>無資料</v>
      </c>
      <c r="Z56" s="69"/>
      <c r="AA56" s="16" t="e">
        <f t="shared" si="30"/>
        <v>#VALUE!</v>
      </c>
      <c r="AB56" s="3" t="e">
        <v>#DIV/0!</v>
      </c>
      <c r="AC56" s="177" t="s">
        <v>2648</v>
      </c>
      <c r="AD56" s="23" t="s">
        <v>1085</v>
      </c>
      <c r="AG56" s="34">
        <v>0</v>
      </c>
      <c r="AH56" s="44" t="s">
        <v>4321</v>
      </c>
      <c r="AI56" s="131"/>
      <c r="AK56" s="66">
        <f t="shared" si="33"/>
        <v>0</v>
      </c>
      <c r="AL56" s="174">
        <f t="shared" si="34"/>
        <v>0</v>
      </c>
      <c r="AM56" s="346">
        <f>RTD("money.excel",,$G56,"PredictVolume")</f>
        <v>0</v>
      </c>
      <c r="AN56" s="272">
        <f>RTD("money.excel",,$G56,"CumulativeVolume")</f>
        <v>0</v>
      </c>
      <c r="AO56" s="284"/>
    </row>
    <row r="57" spans="1:41">
      <c r="A57" s="135" t="s">
        <v>4823</v>
      </c>
      <c r="B57" s="96">
        <v>1</v>
      </c>
      <c r="C57" s="96">
        <v>7</v>
      </c>
      <c r="D57" s="96">
        <v>-3</v>
      </c>
      <c r="E57" s="96">
        <v>-7</v>
      </c>
      <c r="F57" s="59">
        <v>13.51</v>
      </c>
      <c r="G57" s="85">
        <v>1323</v>
      </c>
      <c r="H57" s="4" t="s">
        <v>542</v>
      </c>
      <c r="I57" s="23" t="s">
        <v>1086</v>
      </c>
      <c r="J57" s="77">
        <v>57.41</v>
      </c>
      <c r="K57" s="77">
        <v>3.74</v>
      </c>
      <c r="L57" s="77">
        <v>20.29</v>
      </c>
      <c r="N57" s="365">
        <f t="shared" si="27"/>
        <v>81.44</v>
      </c>
      <c r="O57" s="343">
        <f t="shared" si="28"/>
        <v>57.41</v>
      </c>
      <c r="P57" s="195" t="s">
        <v>5554</v>
      </c>
      <c r="Q57" s="326" t="str">
        <f>IFERROR(VLOOKUP($G57,主力整理!$A$2:$G$2301,6,0),"0")</f>
        <v>0</v>
      </c>
      <c r="R57" s="111">
        <v>0</v>
      </c>
      <c r="T57" s="339">
        <f t="shared" si="29"/>
        <v>0</v>
      </c>
      <c r="V57" s="371">
        <v>12.45</v>
      </c>
      <c r="W57" s="35">
        <v>1.6</v>
      </c>
      <c r="X57" s="100">
        <v>3.2</v>
      </c>
      <c r="Y57" s="37" t="str">
        <f>RTD("money.excel",,$G57,"Price")</f>
        <v>無資料</v>
      </c>
      <c r="Z57" s="69"/>
      <c r="AA57" s="16" t="e">
        <f t="shared" si="30"/>
        <v>#VALUE!</v>
      </c>
      <c r="AB57" s="3" t="e">
        <v>#DIV/0!</v>
      </c>
      <c r="AD57" s="23" t="s">
        <v>1086</v>
      </c>
      <c r="AG57" s="34">
        <v>0</v>
      </c>
      <c r="AH57" s="63" t="s">
        <v>4322</v>
      </c>
      <c r="AI57" s="131"/>
      <c r="AK57" s="66">
        <f t="shared" si="33"/>
        <v>0</v>
      </c>
      <c r="AL57" s="174">
        <f t="shared" si="34"/>
        <v>0</v>
      </c>
      <c r="AM57" s="346">
        <f>RTD("money.excel",,$G57,"PredictVolume")</f>
        <v>0</v>
      </c>
      <c r="AN57" s="272">
        <f>RTD("money.excel",,$G57,"CumulativeVolume")</f>
        <v>0</v>
      </c>
      <c r="AO57" s="284"/>
    </row>
    <row r="58" spans="1:41">
      <c r="A58" s="151" t="s">
        <v>4824</v>
      </c>
      <c r="B58" s="96">
        <v>759</v>
      </c>
      <c r="C58" s="96">
        <v>301</v>
      </c>
      <c r="D58" s="96">
        <v>-20</v>
      </c>
      <c r="E58" s="96">
        <v>7</v>
      </c>
      <c r="F58" s="7">
        <v>1.1399999999999999</v>
      </c>
      <c r="G58" s="85">
        <v>1324</v>
      </c>
      <c r="H58" s="4" t="s">
        <v>542</v>
      </c>
      <c r="I58" s="23" t="s">
        <v>1087</v>
      </c>
      <c r="J58" s="77">
        <v>72.09</v>
      </c>
      <c r="K58" s="77">
        <v>0.41</v>
      </c>
      <c r="L58" s="77">
        <v>16.07</v>
      </c>
      <c r="N58" s="365">
        <f t="shared" si="27"/>
        <v>88.57</v>
      </c>
      <c r="O58" s="343">
        <f t="shared" si="28"/>
        <v>72.09</v>
      </c>
      <c r="P58" s="195" t="s">
        <v>5554</v>
      </c>
      <c r="Q58" s="326" t="str">
        <f>IFERROR(VLOOKUP($G58,主力整理!$A$2:$G$2301,6,0),"0")</f>
        <v>0</v>
      </c>
      <c r="R58" s="111">
        <v>3</v>
      </c>
      <c r="T58" s="339">
        <f t="shared" si="29"/>
        <v>3</v>
      </c>
      <c r="V58" s="371">
        <v>25</v>
      </c>
      <c r="W58" s="35">
        <v>0.3</v>
      </c>
      <c r="X58" s="100">
        <v>0.22</v>
      </c>
      <c r="Y58" s="37" t="str">
        <f>RTD("money.excel",,$G58,"Price")</f>
        <v>無資料</v>
      </c>
      <c r="Z58" s="69"/>
      <c r="AA58" s="16" t="e">
        <f t="shared" si="30"/>
        <v>#VALUE!</v>
      </c>
      <c r="AB58" s="3" t="e">
        <v>#DIV/0!</v>
      </c>
      <c r="AD58" s="23" t="s">
        <v>1087</v>
      </c>
      <c r="AG58" s="34">
        <v>0</v>
      </c>
      <c r="AH58" s="44" t="s">
        <v>4323</v>
      </c>
      <c r="AI58" s="131"/>
      <c r="AK58" s="66">
        <f t="shared" si="33"/>
        <v>0</v>
      </c>
      <c r="AL58" s="174">
        <f t="shared" si="34"/>
        <v>0</v>
      </c>
      <c r="AM58" s="346">
        <f>RTD("money.excel",,$G58,"PredictVolume")</f>
        <v>0</v>
      </c>
      <c r="AN58" s="272">
        <f>RTD("money.excel",,$G58,"CumulativeVolume")</f>
        <v>0</v>
      </c>
      <c r="AO58" s="284"/>
    </row>
    <row r="59" spans="1:41">
      <c r="A59" s="135" t="s">
        <v>2930</v>
      </c>
      <c r="B59" s="85">
        <v>-81</v>
      </c>
      <c r="C59" s="85">
        <v>-79</v>
      </c>
      <c r="D59" s="84">
        <v>0</v>
      </c>
      <c r="E59" s="85">
        <v>-83</v>
      </c>
      <c r="F59" s="59">
        <v>35.44</v>
      </c>
      <c r="G59" s="85">
        <v>1325</v>
      </c>
      <c r="H59" s="4" t="s">
        <v>542</v>
      </c>
      <c r="I59" s="23" t="s">
        <v>1089</v>
      </c>
      <c r="J59" s="371">
        <v>41.25</v>
      </c>
      <c r="K59" s="371">
        <v>8.06</v>
      </c>
      <c r="L59" s="371">
        <v>19.3</v>
      </c>
      <c r="M59" s="371">
        <v>32.81</v>
      </c>
      <c r="N59" s="365">
        <f t="shared" si="27"/>
        <v>101.42</v>
      </c>
      <c r="O59" s="343">
        <f t="shared" si="28"/>
        <v>74.06</v>
      </c>
      <c r="P59" s="195">
        <v>11</v>
      </c>
      <c r="Q59" s="326">
        <f>IFERROR(VLOOKUP($G59,主力整理!$A$2:$G$2301,6,0),"0")</f>
        <v>2</v>
      </c>
      <c r="R59" s="111">
        <v>32</v>
      </c>
      <c r="S59" s="51">
        <v>28</v>
      </c>
      <c r="T59" s="339">
        <f t="shared" si="29"/>
        <v>73</v>
      </c>
      <c r="U59" s="329" t="s">
        <v>6538</v>
      </c>
      <c r="V59" s="371">
        <v>4.59</v>
      </c>
      <c r="W59" s="69">
        <v>12</v>
      </c>
      <c r="X59" s="100">
        <v>9.64</v>
      </c>
      <c r="Y59" s="37" t="str">
        <f>RTD("money.excel",,$G59,"Price")</f>
        <v>無資料</v>
      </c>
      <c r="Z59" s="69"/>
      <c r="AA59" s="16" t="e">
        <f t="shared" si="30"/>
        <v>#VALUE!</v>
      </c>
      <c r="AB59" s="3" t="e">
        <v>#DIV/0!</v>
      </c>
      <c r="AC59" s="177" t="s">
        <v>2929</v>
      </c>
      <c r="AD59" s="23" t="s">
        <v>1089</v>
      </c>
      <c r="AG59" s="34">
        <v>0</v>
      </c>
      <c r="AH59" s="63" t="s">
        <v>3994</v>
      </c>
      <c r="AI59" s="131"/>
      <c r="AK59" s="66">
        <f t="shared" si="33"/>
        <v>0</v>
      </c>
      <c r="AL59" s="174">
        <f t="shared" si="34"/>
        <v>0</v>
      </c>
      <c r="AM59" s="346">
        <f>RTD("money.excel",,$G59,"PredictVolume")</f>
        <v>0</v>
      </c>
      <c r="AN59" s="272">
        <f>RTD("money.excel",,$G59,"CumulativeVolume")</f>
        <v>0</v>
      </c>
      <c r="AO59" s="284"/>
    </row>
    <row r="60" spans="1:41">
      <c r="A60" s="135" t="s">
        <v>2440</v>
      </c>
      <c r="B60" s="98">
        <v>1201</v>
      </c>
      <c r="C60" s="98">
        <v>4035</v>
      </c>
      <c r="D60" s="85">
        <v>-1</v>
      </c>
      <c r="E60" s="84">
        <v>46</v>
      </c>
      <c r="F60" s="59">
        <v>14.3</v>
      </c>
      <c r="G60" s="85">
        <v>1326</v>
      </c>
      <c r="H60" s="11" t="s">
        <v>542</v>
      </c>
      <c r="I60" s="23" t="s">
        <v>13</v>
      </c>
      <c r="J60" s="374">
        <v>86.13</v>
      </c>
      <c r="K60" s="371">
        <v>36.340000000000003</v>
      </c>
      <c r="L60" s="77">
        <v>0.12</v>
      </c>
      <c r="N60" s="365">
        <f t="shared" si="27"/>
        <v>122.59</v>
      </c>
      <c r="O60" s="343">
        <f t="shared" si="28"/>
        <v>86.13</v>
      </c>
      <c r="P60" s="195">
        <v>22</v>
      </c>
      <c r="Q60" s="326">
        <f>IFERROR(VLOOKUP($G60,主力整理!$A$2:$G$2301,6,0),"0")</f>
        <v>14</v>
      </c>
      <c r="R60" s="111">
        <v>0</v>
      </c>
      <c r="S60" s="51">
        <v>13</v>
      </c>
      <c r="T60" s="339">
        <f t="shared" si="29"/>
        <v>49</v>
      </c>
      <c r="V60" s="371">
        <v>0.41</v>
      </c>
      <c r="W60" s="206">
        <v>2.5</v>
      </c>
      <c r="X60" s="59">
        <v>8.26</v>
      </c>
      <c r="Y60" s="37" t="str">
        <f>RTD("money.excel",,$G60,"Price")</f>
        <v>無資料</v>
      </c>
      <c r="Z60" s="68"/>
      <c r="AA60" s="16" t="e">
        <f t="shared" si="30"/>
        <v>#VALUE!</v>
      </c>
      <c r="AB60" s="3" t="e">
        <v>#DIV/0!</v>
      </c>
      <c r="AC60" s="177" t="s">
        <v>2648</v>
      </c>
      <c r="AD60" s="23" t="s">
        <v>13</v>
      </c>
      <c r="AG60" s="34">
        <v>0</v>
      </c>
      <c r="AH60" s="63" t="s">
        <v>6496</v>
      </c>
      <c r="AI60" s="131"/>
      <c r="AK60" s="66">
        <f t="shared" ref="AK60:AK69" si="35">AM60/(A60*10000)</f>
        <v>0</v>
      </c>
      <c r="AL60" s="174">
        <f t="shared" ref="AL60:AL69" si="36">AN60/(A60*10000)</f>
        <v>0</v>
      </c>
      <c r="AM60" s="346">
        <f>RTD("money.excel",,$G60,"PredictVolume")</f>
        <v>0</v>
      </c>
      <c r="AN60" s="272">
        <f>RTD("money.excel",,$G60,"CumulativeVolume")</f>
        <v>0</v>
      </c>
      <c r="AO60" s="284"/>
    </row>
    <row r="61" spans="1:41">
      <c r="A61" s="151" t="s">
        <v>2594</v>
      </c>
      <c r="B61" s="85">
        <v>-104</v>
      </c>
      <c r="C61" s="85">
        <v>-103</v>
      </c>
      <c r="D61" s="84">
        <v>84</v>
      </c>
      <c r="E61" s="84">
        <v>11</v>
      </c>
      <c r="F61" s="77">
        <v>-133.83000000000001</v>
      </c>
      <c r="G61" s="85">
        <v>1337</v>
      </c>
      <c r="H61" s="4" t="s">
        <v>542</v>
      </c>
      <c r="I61" s="23" t="s">
        <v>1090</v>
      </c>
      <c r="J61" s="371">
        <v>28.06</v>
      </c>
      <c r="K61" s="77">
        <v>23.84</v>
      </c>
      <c r="L61" s="77">
        <v>9.8699999999999992</v>
      </c>
      <c r="N61" s="365">
        <f t="shared" si="27"/>
        <v>61.769999999999996</v>
      </c>
      <c r="O61" s="343">
        <f t="shared" si="28"/>
        <v>28.06</v>
      </c>
      <c r="P61" s="195" t="s">
        <v>5554</v>
      </c>
      <c r="Q61" s="326" t="str">
        <f>IFERROR(VLOOKUP($G61,主力整理!$A$2:$G$2301,6,0),"0")</f>
        <v>0</v>
      </c>
      <c r="R61" s="111">
        <v>13</v>
      </c>
      <c r="T61" s="339">
        <f t="shared" si="29"/>
        <v>13</v>
      </c>
      <c r="V61" s="371">
        <v>0</v>
      </c>
      <c r="W61" s="35">
        <v>0</v>
      </c>
      <c r="X61" s="100">
        <v>-4.88</v>
      </c>
      <c r="Y61" s="37" t="str">
        <f>RTD("money.excel",,$G61,"Price")</f>
        <v>無資料</v>
      </c>
      <c r="Z61" s="69"/>
      <c r="AA61" s="16" t="e">
        <f t="shared" si="30"/>
        <v>#VALUE!</v>
      </c>
      <c r="AB61" s="3" t="e">
        <v>#DIV/0!</v>
      </c>
      <c r="AC61" s="177" t="s">
        <v>2648</v>
      </c>
      <c r="AD61" s="23" t="s">
        <v>1090</v>
      </c>
      <c r="AG61" s="34">
        <v>0</v>
      </c>
      <c r="AH61" s="44" t="s">
        <v>4324</v>
      </c>
      <c r="AI61" s="284"/>
      <c r="AK61" s="66">
        <f t="shared" si="35"/>
        <v>0</v>
      </c>
      <c r="AL61" s="174">
        <f t="shared" si="36"/>
        <v>0</v>
      </c>
      <c r="AM61" s="346">
        <f>RTD("money.excel",,$G61,"PredictVolume")</f>
        <v>0</v>
      </c>
      <c r="AN61" s="272">
        <f>RTD("money.excel",,$G61,"CumulativeVolume")</f>
        <v>0</v>
      </c>
      <c r="AO61" s="284"/>
    </row>
    <row r="62" spans="1:41">
      <c r="A62" s="151" t="s">
        <v>4784</v>
      </c>
      <c r="B62" s="96">
        <v>-27</v>
      </c>
      <c r="C62" s="96">
        <v>-11</v>
      </c>
      <c r="D62" s="96">
        <v>22</v>
      </c>
      <c r="E62" s="96">
        <v>-3</v>
      </c>
      <c r="F62" s="7">
        <v>-58.64</v>
      </c>
      <c r="G62" s="85">
        <v>1340</v>
      </c>
      <c r="H62" s="4" t="s">
        <v>542</v>
      </c>
      <c r="I62" s="23" t="s">
        <v>1092</v>
      </c>
      <c r="J62" s="371">
        <v>40.479999999999997</v>
      </c>
      <c r="K62" s="371">
        <v>37.049999999999997</v>
      </c>
      <c r="L62" s="371">
        <v>8.08</v>
      </c>
      <c r="N62" s="365">
        <f t="shared" si="27"/>
        <v>85.61</v>
      </c>
      <c r="O62" s="343">
        <f t="shared" si="28"/>
        <v>40.479999999999997</v>
      </c>
      <c r="P62" s="195" t="s">
        <v>5554</v>
      </c>
      <c r="Q62" s="326" t="str">
        <f>IFERROR(VLOOKUP($G62,主力整理!$A$2:$G$2301,6,0),"0")</f>
        <v>0</v>
      </c>
      <c r="R62" s="111">
        <v>8</v>
      </c>
      <c r="T62" s="339">
        <f t="shared" si="29"/>
        <v>8</v>
      </c>
      <c r="W62" s="35">
        <v>0</v>
      </c>
      <c r="X62" s="100">
        <v>-2.5499999999999998</v>
      </c>
      <c r="Y62" s="37" t="str">
        <f>RTD("money.excel",,$G62,"Price")</f>
        <v>無資料</v>
      </c>
      <c r="Z62" s="69"/>
      <c r="AA62" s="16" t="e">
        <f t="shared" si="30"/>
        <v>#VALUE!</v>
      </c>
      <c r="AB62" s="3" t="e">
        <v>#DIV/0!</v>
      </c>
      <c r="AD62" s="23" t="s">
        <v>1092</v>
      </c>
      <c r="AG62" s="34">
        <v>0</v>
      </c>
      <c r="AH62" s="44" t="s">
        <v>3943</v>
      </c>
      <c r="AI62" s="131"/>
      <c r="AK62" s="66">
        <f t="shared" si="35"/>
        <v>0</v>
      </c>
      <c r="AL62" s="174">
        <f t="shared" si="36"/>
        <v>0</v>
      </c>
      <c r="AM62" s="346">
        <f>RTD("money.excel",,$G62,"PredictVolume")</f>
        <v>0</v>
      </c>
      <c r="AN62" s="272">
        <f>RTD("money.excel",,$G62,"CumulativeVolume")</f>
        <v>0</v>
      </c>
      <c r="AO62" s="284"/>
    </row>
    <row r="63" spans="1:41">
      <c r="A63" s="135" t="s">
        <v>2443</v>
      </c>
      <c r="B63" s="84">
        <v>93</v>
      </c>
      <c r="C63" s="84">
        <v>90</v>
      </c>
      <c r="D63" s="85">
        <v>-28</v>
      </c>
      <c r="E63" s="85">
        <v>-33</v>
      </c>
      <c r="F63" s="59">
        <v>16.149999999999999</v>
      </c>
      <c r="G63" s="85">
        <v>1341</v>
      </c>
      <c r="H63" s="4" t="s">
        <v>542</v>
      </c>
      <c r="I63" s="23" t="s">
        <v>2727</v>
      </c>
      <c r="J63" s="371">
        <v>79.67</v>
      </c>
      <c r="K63" s="371">
        <v>83.57</v>
      </c>
      <c r="L63" s="371"/>
      <c r="N63" s="365">
        <f t="shared" si="27"/>
        <v>163.24</v>
      </c>
      <c r="O63" s="343">
        <f t="shared" si="28"/>
        <v>79.67</v>
      </c>
      <c r="P63" s="232">
        <v>0</v>
      </c>
      <c r="Q63" s="326" t="str">
        <f>IFERROR(VLOOKUP($G63,主力整理!$A$2:$G$2301,6,0),"0")</f>
        <v>0</v>
      </c>
      <c r="R63" s="111">
        <v>0</v>
      </c>
      <c r="S63" s="51">
        <v>0</v>
      </c>
      <c r="T63" s="339">
        <f t="shared" si="29"/>
        <v>0</v>
      </c>
      <c r="W63" s="69">
        <v>6</v>
      </c>
      <c r="X63" s="59">
        <v>8.19</v>
      </c>
      <c r="Y63" s="37" t="str">
        <f>RTD("money.excel",,$G63,"Price")</f>
        <v>無資料</v>
      </c>
      <c r="Z63" s="69"/>
      <c r="AA63" s="16" t="e">
        <f t="shared" si="30"/>
        <v>#VALUE!</v>
      </c>
      <c r="AB63" s="3" t="e">
        <v>#DIV/0!</v>
      </c>
      <c r="AC63" s="177" t="s">
        <v>2700</v>
      </c>
      <c r="AD63" s="23" t="s">
        <v>2727</v>
      </c>
      <c r="AG63" s="34">
        <v>0</v>
      </c>
      <c r="AH63" s="63" t="s">
        <v>4325</v>
      </c>
      <c r="AI63" s="131"/>
      <c r="AK63" s="66">
        <f t="shared" si="35"/>
        <v>0</v>
      </c>
      <c r="AL63" s="174">
        <f t="shared" si="36"/>
        <v>0</v>
      </c>
      <c r="AM63" s="346">
        <f>RTD("money.excel",,$G63,"PredictVolume")</f>
        <v>0</v>
      </c>
      <c r="AN63" s="272">
        <f>RTD("money.excel",,$G63,"CumulativeVolume")</f>
        <v>0</v>
      </c>
      <c r="AO63" s="284"/>
    </row>
    <row r="64" spans="1:41">
      <c r="A64" s="151" t="s">
        <v>3270</v>
      </c>
      <c r="B64" s="96">
        <v>-135</v>
      </c>
      <c r="C64" s="96">
        <v>-13</v>
      </c>
      <c r="D64" s="96">
        <v>41</v>
      </c>
      <c r="E64" s="96">
        <v>40</v>
      </c>
      <c r="F64" s="7">
        <v>3.44</v>
      </c>
      <c r="G64" s="85">
        <v>4303</v>
      </c>
      <c r="H64" s="4" t="s">
        <v>542</v>
      </c>
      <c r="I64" s="17" t="s">
        <v>1075</v>
      </c>
      <c r="J64" s="77">
        <v>75.23</v>
      </c>
      <c r="K64" s="77">
        <v>0.05</v>
      </c>
      <c r="L64" s="77">
        <v>5.45</v>
      </c>
      <c r="N64" s="365">
        <f t="shared" si="27"/>
        <v>80.73</v>
      </c>
      <c r="O64" s="343">
        <f t="shared" si="28"/>
        <v>75.23</v>
      </c>
      <c r="P64" s="195" t="s">
        <v>5554</v>
      </c>
      <c r="Q64" s="326" t="str">
        <f>IFERROR(VLOOKUP($G64,主力整理!$A$2:$G$2301,6,0),"0")</f>
        <v>0</v>
      </c>
      <c r="T64" s="339">
        <f t="shared" si="29"/>
        <v>0</v>
      </c>
      <c r="V64" s="371">
        <v>20.97</v>
      </c>
      <c r="W64" s="35">
        <v>0.3</v>
      </c>
      <c r="X64" s="100">
        <v>-0.41</v>
      </c>
      <c r="Y64" s="37" t="str">
        <f>RTD("money.excel",,$G64,"Price")</f>
        <v>無資料</v>
      </c>
      <c r="Z64" s="69"/>
      <c r="AA64" s="16" t="e">
        <f t="shared" si="30"/>
        <v>#VALUE!</v>
      </c>
      <c r="AB64" s="3" t="e">
        <v>#DIV/0!</v>
      </c>
      <c r="AD64" s="17" t="s">
        <v>1075</v>
      </c>
      <c r="AG64" s="34">
        <v>0</v>
      </c>
      <c r="AH64" s="44" t="s">
        <v>4144</v>
      </c>
      <c r="AI64" s="131"/>
      <c r="AK64" s="66">
        <f t="shared" si="35"/>
        <v>0</v>
      </c>
      <c r="AL64" s="174">
        <f t="shared" si="36"/>
        <v>0</v>
      </c>
      <c r="AM64" s="346">
        <f>RTD("money.excel",,$G64,"PredictVolume")</f>
        <v>0</v>
      </c>
      <c r="AN64" s="272">
        <f>RTD("money.excel",,$G64,"CumulativeVolume")</f>
        <v>0</v>
      </c>
      <c r="AO64" s="284"/>
    </row>
    <row r="65" spans="1:41">
      <c r="A65" s="151" t="s">
        <v>4694</v>
      </c>
      <c r="B65" s="96">
        <v>-56</v>
      </c>
      <c r="C65" s="96">
        <v>-190</v>
      </c>
      <c r="D65" s="96">
        <v>-2</v>
      </c>
      <c r="E65" s="96">
        <v>50</v>
      </c>
      <c r="F65" s="7">
        <v>-9.68</v>
      </c>
      <c r="G65" s="85">
        <v>4304</v>
      </c>
      <c r="H65" s="4" t="s">
        <v>542</v>
      </c>
      <c r="I65" s="17" t="s">
        <v>1076</v>
      </c>
      <c r="J65" s="77">
        <v>70.47</v>
      </c>
      <c r="K65" s="77">
        <v>0</v>
      </c>
      <c r="L65" s="77">
        <v>0</v>
      </c>
      <c r="N65" s="365">
        <f t="shared" si="27"/>
        <v>70.47</v>
      </c>
      <c r="O65" s="343">
        <f t="shared" si="28"/>
        <v>70.47</v>
      </c>
      <c r="P65" s="195" t="s">
        <v>5554</v>
      </c>
      <c r="Q65" s="326" t="str">
        <f>IFERROR(VLOOKUP($G65,主力整理!$A$2:$G$2301,6,0),"0")</f>
        <v>0</v>
      </c>
      <c r="T65" s="339">
        <f t="shared" si="29"/>
        <v>0</v>
      </c>
      <c r="V65" s="371">
        <v>22.93</v>
      </c>
      <c r="W65" s="35">
        <v>0</v>
      </c>
      <c r="X65" s="100">
        <v>-1.1399999999999999</v>
      </c>
      <c r="Y65" s="37" t="str">
        <f>RTD("money.excel",,$G65,"Price")</f>
        <v>無資料</v>
      </c>
      <c r="Z65" s="69"/>
      <c r="AA65" s="16" t="e">
        <f t="shared" si="30"/>
        <v>#VALUE!</v>
      </c>
      <c r="AB65" s="3" t="e">
        <v>#DIV/0!</v>
      </c>
      <c r="AD65" s="17" t="s">
        <v>1076</v>
      </c>
      <c r="AG65" s="34">
        <v>0</v>
      </c>
      <c r="AH65" s="44" t="s">
        <v>4145</v>
      </c>
      <c r="AI65" s="131"/>
      <c r="AK65" s="66">
        <f t="shared" si="35"/>
        <v>0</v>
      </c>
      <c r="AL65" s="174">
        <f t="shared" si="36"/>
        <v>0</v>
      </c>
      <c r="AM65" s="346">
        <f>RTD("money.excel",,$G65,"PredictVolume")</f>
        <v>0</v>
      </c>
      <c r="AN65" s="272">
        <f>RTD("money.excel",,$G65,"CumulativeVolume")</f>
        <v>0</v>
      </c>
      <c r="AO65" s="284"/>
    </row>
    <row r="66" spans="1:41">
      <c r="A66" s="135" t="s">
        <v>4671</v>
      </c>
      <c r="B66" s="96">
        <v>-27</v>
      </c>
      <c r="C66" s="96">
        <v>-12</v>
      </c>
      <c r="D66" s="96">
        <v>-9</v>
      </c>
      <c r="E66" s="96">
        <v>22</v>
      </c>
      <c r="F66" s="59">
        <v>15.4</v>
      </c>
      <c r="G66" s="85">
        <v>4305</v>
      </c>
      <c r="H66" s="4" t="s">
        <v>542</v>
      </c>
      <c r="I66" s="17" t="s">
        <v>1077</v>
      </c>
      <c r="J66" s="77">
        <v>86.27</v>
      </c>
      <c r="K66" s="77">
        <v>0.01</v>
      </c>
      <c r="L66" s="77">
        <v>0.03</v>
      </c>
      <c r="N66" s="365">
        <f t="shared" si="27"/>
        <v>86.31</v>
      </c>
      <c r="O66" s="343">
        <f t="shared" si="28"/>
        <v>86.27</v>
      </c>
      <c r="P66" s="195" t="s">
        <v>5554</v>
      </c>
      <c r="Q66" s="326" t="str">
        <f>IFERROR(VLOOKUP($G66,主力整理!$A$2:$G$2301,6,0),"0")</f>
        <v>0</v>
      </c>
      <c r="T66" s="339">
        <f t="shared" si="29"/>
        <v>0</v>
      </c>
      <c r="V66" s="371">
        <v>27.75</v>
      </c>
      <c r="W66" s="35">
        <v>1.8</v>
      </c>
      <c r="X66" s="100">
        <v>2.08</v>
      </c>
      <c r="Y66" s="37" t="str">
        <f>RTD("money.excel",,$G66,"Price")</f>
        <v>無資料</v>
      </c>
      <c r="Z66" s="69"/>
      <c r="AA66" s="16" t="e">
        <f t="shared" si="30"/>
        <v>#VALUE!</v>
      </c>
      <c r="AB66" s="3" t="e">
        <v>#DIV/0!</v>
      </c>
      <c r="AD66" s="17" t="s">
        <v>1077</v>
      </c>
      <c r="AG66" s="34">
        <v>0</v>
      </c>
      <c r="AH66" s="63" t="s">
        <v>4146</v>
      </c>
      <c r="AI66" s="131"/>
      <c r="AK66" s="66">
        <f t="shared" si="35"/>
        <v>0</v>
      </c>
      <c r="AL66" s="174">
        <f t="shared" si="36"/>
        <v>0</v>
      </c>
      <c r="AM66" s="346">
        <f>RTD("money.excel",,$G66,"PredictVolume")</f>
        <v>0</v>
      </c>
      <c r="AN66" s="272">
        <f>RTD("money.excel",,$G66,"CumulativeVolume")</f>
        <v>0</v>
      </c>
      <c r="AO66" s="284"/>
    </row>
    <row r="67" spans="1:41">
      <c r="A67" s="151" t="s">
        <v>2777</v>
      </c>
      <c r="B67" s="85">
        <v>-89</v>
      </c>
      <c r="C67" s="85">
        <v>-73</v>
      </c>
      <c r="D67" s="85">
        <v>-5</v>
      </c>
      <c r="E67" s="85">
        <v>-17</v>
      </c>
      <c r="F67" s="7">
        <v>1.23</v>
      </c>
      <c r="G67" s="85">
        <v>4306</v>
      </c>
      <c r="H67" s="4" t="s">
        <v>542</v>
      </c>
      <c r="I67" s="23" t="s">
        <v>1093</v>
      </c>
      <c r="J67" s="77">
        <v>58.9</v>
      </c>
      <c r="K67" s="77">
        <v>6.39</v>
      </c>
      <c r="L67" s="77">
        <v>6.84</v>
      </c>
      <c r="N67" s="365">
        <f t="shared" si="27"/>
        <v>72.13</v>
      </c>
      <c r="O67" s="343">
        <f t="shared" si="28"/>
        <v>58.9</v>
      </c>
      <c r="P67" s="195" t="s">
        <v>5554</v>
      </c>
      <c r="Q67" s="326">
        <f>IFERROR(VLOOKUP($G67,主力整理!$A$2:$G$2301,6,0),"0")</f>
        <v>3</v>
      </c>
      <c r="R67" s="111">
        <v>1</v>
      </c>
      <c r="T67" s="339">
        <f t="shared" si="29"/>
        <v>4</v>
      </c>
      <c r="V67" s="371">
        <v>21.85</v>
      </c>
      <c r="W67" s="35">
        <v>1.03</v>
      </c>
      <c r="X67" s="100">
        <v>1.51</v>
      </c>
      <c r="Y67" s="37" t="str">
        <f>RTD("money.excel",,$G67,"Price")</f>
        <v>無資料</v>
      </c>
      <c r="Z67" s="69"/>
      <c r="AA67" s="16" t="e">
        <f t="shared" si="30"/>
        <v>#VALUE!</v>
      </c>
      <c r="AB67" s="3" t="e">
        <v>#DIV/0!</v>
      </c>
      <c r="AC67" s="177" t="s">
        <v>2648</v>
      </c>
      <c r="AD67" s="23" t="s">
        <v>1093</v>
      </c>
      <c r="AG67" s="34">
        <v>0</v>
      </c>
      <c r="AH67" s="44" t="s">
        <v>4327</v>
      </c>
      <c r="AI67" s="131"/>
      <c r="AK67" s="66">
        <f t="shared" si="35"/>
        <v>0</v>
      </c>
      <c r="AL67" s="174">
        <f t="shared" si="36"/>
        <v>0</v>
      </c>
      <c r="AM67" s="346">
        <f>RTD("money.excel",,$G67,"PredictVolume")</f>
        <v>0</v>
      </c>
      <c r="AN67" s="272">
        <f>RTD("money.excel",,$G67,"CumulativeVolume")</f>
        <v>0</v>
      </c>
      <c r="AO67" s="284"/>
    </row>
    <row r="68" spans="1:41">
      <c r="A68" s="151" t="s">
        <v>4695</v>
      </c>
      <c r="B68" s="96">
        <v>-65</v>
      </c>
      <c r="C68" s="96">
        <v>297</v>
      </c>
      <c r="D68" s="96">
        <v>10</v>
      </c>
      <c r="E68" s="96">
        <v>45</v>
      </c>
      <c r="F68" s="7">
        <v>11.3</v>
      </c>
      <c r="G68" s="85">
        <v>8354</v>
      </c>
      <c r="H68" s="4" t="s">
        <v>542</v>
      </c>
      <c r="I68" s="17" t="s">
        <v>1078</v>
      </c>
      <c r="J68" s="77">
        <v>70.59</v>
      </c>
      <c r="K68" s="77">
        <v>0.19</v>
      </c>
      <c r="L68" s="77">
        <v>4.43</v>
      </c>
      <c r="N68" s="365">
        <f t="shared" si="27"/>
        <v>75.210000000000008</v>
      </c>
      <c r="O68" s="343">
        <f t="shared" si="28"/>
        <v>70.59</v>
      </c>
      <c r="P68" s="195" t="s">
        <v>5554</v>
      </c>
      <c r="Q68" s="326" t="str">
        <f>IFERROR(VLOOKUP($G68,主力整理!$A$2:$G$2301,6,0),"0")</f>
        <v>0</v>
      </c>
      <c r="T68" s="339">
        <f t="shared" si="29"/>
        <v>0</v>
      </c>
      <c r="V68" s="371">
        <v>18.55</v>
      </c>
      <c r="W68" s="35">
        <v>0.3</v>
      </c>
      <c r="X68" s="100">
        <v>0.48</v>
      </c>
      <c r="Y68" s="37" t="str">
        <f>RTD("money.excel",,$G68,"Price")</f>
        <v>無資料</v>
      </c>
      <c r="Z68" s="69"/>
      <c r="AA68" s="16" t="e">
        <f t="shared" si="30"/>
        <v>#VALUE!</v>
      </c>
      <c r="AB68" s="3" t="e">
        <v>#DIV/0!</v>
      </c>
      <c r="AD68" s="17" t="s">
        <v>1078</v>
      </c>
      <c r="AG68" s="34">
        <v>0</v>
      </c>
      <c r="AH68" s="44" t="s">
        <v>4147</v>
      </c>
      <c r="AI68" s="131"/>
      <c r="AK68" s="66">
        <f t="shared" si="35"/>
        <v>0</v>
      </c>
      <c r="AL68" s="174">
        <f t="shared" si="36"/>
        <v>0</v>
      </c>
      <c r="AM68" s="346">
        <f>RTD("money.excel",,$G68,"PredictVolume")</f>
        <v>0</v>
      </c>
      <c r="AN68" s="272">
        <f>RTD("money.excel",,$G68,"CumulativeVolume")</f>
        <v>0</v>
      </c>
      <c r="AO68" s="284"/>
    </row>
    <row r="69" spans="1:41">
      <c r="A69" s="151" t="s">
        <v>2490</v>
      </c>
      <c r="B69" s="96">
        <v>-127</v>
      </c>
      <c r="C69" s="96">
        <v>-99</v>
      </c>
      <c r="D69" s="96">
        <v>61</v>
      </c>
      <c r="E69" s="96">
        <v>-59</v>
      </c>
      <c r="F69" s="7">
        <v>-33.42</v>
      </c>
      <c r="G69" s="85">
        <v>9950</v>
      </c>
      <c r="H69" s="4" t="s">
        <v>542</v>
      </c>
      <c r="I69" s="17" t="s">
        <v>1079</v>
      </c>
      <c r="J69" s="77">
        <v>82.1</v>
      </c>
      <c r="K69" s="77">
        <v>0</v>
      </c>
      <c r="L69" s="77">
        <v>12.38</v>
      </c>
      <c r="N69" s="365">
        <f t="shared" ref="N69" si="37">J69+K69+L69+M69</f>
        <v>94.47999999999999</v>
      </c>
      <c r="O69" s="343">
        <f t="shared" ref="O69" si="38">J69+M69</f>
        <v>82.1</v>
      </c>
      <c r="P69" s="195" t="s">
        <v>5554</v>
      </c>
      <c r="Q69" s="326" t="str">
        <f>IFERROR(VLOOKUP($G69,主力整理!$A$2:$G$2301,6,0),"0")</f>
        <v>0</v>
      </c>
      <c r="T69" s="339">
        <f t="shared" ref="T69" si="39">SUM(P69:S69)</f>
        <v>0</v>
      </c>
      <c r="V69" s="371">
        <v>43.99</v>
      </c>
      <c r="W69" s="35">
        <v>0</v>
      </c>
      <c r="X69" s="100">
        <v>-2.3199999999999998</v>
      </c>
      <c r="Y69" s="37" t="str">
        <f>RTD("money.excel",,$G69,"Price")</f>
        <v>無資料</v>
      </c>
      <c r="Z69" s="69"/>
      <c r="AA69" s="16" t="e">
        <f t="shared" ref="AA69" si="40">Y69-Z69</f>
        <v>#VALUE!</v>
      </c>
      <c r="AB69" s="3" t="e">
        <v>#DIV/0!</v>
      </c>
      <c r="AD69" s="17" t="s">
        <v>1079</v>
      </c>
      <c r="AG69" s="34">
        <v>0</v>
      </c>
      <c r="AH69" s="44" t="s">
        <v>4148</v>
      </c>
      <c r="AI69" s="131"/>
      <c r="AK69" s="66">
        <f t="shared" si="35"/>
        <v>0</v>
      </c>
      <c r="AL69" s="174">
        <f t="shared" si="36"/>
        <v>0</v>
      </c>
      <c r="AM69" s="346">
        <f>RTD("money.excel",,$G69,"PredictVolume")</f>
        <v>0</v>
      </c>
      <c r="AN69" s="272">
        <f>RTD("money.excel",,$G69,"CumulativeVolume")</f>
        <v>0</v>
      </c>
      <c r="AO69" s="284"/>
    </row>
    <row r="70" spans="1:41">
      <c r="A70" s="151"/>
      <c r="B70" s="96"/>
      <c r="C70" s="96"/>
      <c r="D70" s="96"/>
      <c r="E70" s="96"/>
      <c r="F70" s="7"/>
      <c r="G70" s="85"/>
      <c r="H70" s="4"/>
      <c r="I70" s="17"/>
      <c r="J70" s="77"/>
      <c r="K70" s="77"/>
      <c r="N70" s="365"/>
      <c r="O70" s="343"/>
      <c r="P70" s="195"/>
      <c r="W70" s="35"/>
      <c r="X70" s="100"/>
      <c r="Y70" s="37"/>
      <c r="Z70" s="69"/>
      <c r="AA70" s="16"/>
      <c r="AB70" s="3"/>
      <c r="AD70" s="17"/>
      <c r="AG70" s="34"/>
      <c r="AH70" s="44"/>
      <c r="AI70" s="131"/>
      <c r="AK70" s="66"/>
      <c r="AL70" s="174"/>
      <c r="AM70" s="346"/>
      <c r="AN70" s="272"/>
      <c r="AO70" s="284"/>
    </row>
    <row r="71" spans="1:41">
      <c r="A71" s="135" t="s">
        <v>2552</v>
      </c>
      <c r="B71" s="96" t="s">
        <v>2331</v>
      </c>
      <c r="C71" s="96" t="s">
        <v>2332</v>
      </c>
      <c r="D71" s="96" t="s">
        <v>2333</v>
      </c>
      <c r="E71" s="96" t="s">
        <v>2334</v>
      </c>
      <c r="F71" s="9" t="s">
        <v>1709</v>
      </c>
      <c r="G71" s="52" t="s">
        <v>1262</v>
      </c>
      <c r="H71" s="56" t="s">
        <v>578</v>
      </c>
      <c r="I71" s="51" t="s">
        <v>543</v>
      </c>
      <c r="J71" s="364" t="s">
        <v>2189</v>
      </c>
      <c r="K71" s="364" t="s">
        <v>1820</v>
      </c>
      <c r="L71" s="364" t="s">
        <v>515</v>
      </c>
      <c r="M71" s="364" t="s">
        <v>1699</v>
      </c>
      <c r="N71" s="364" t="s">
        <v>6604</v>
      </c>
      <c r="O71" s="343" t="s">
        <v>6620</v>
      </c>
      <c r="P71" s="83" t="s">
        <v>5279</v>
      </c>
      <c r="Q71" s="326" t="s">
        <v>5514</v>
      </c>
      <c r="R71" s="31" t="s">
        <v>6596</v>
      </c>
      <c r="S71" s="51" t="s">
        <v>6597</v>
      </c>
      <c r="T71" s="338" t="s">
        <v>5627</v>
      </c>
      <c r="U71" s="330" t="s">
        <v>6537</v>
      </c>
      <c r="V71" s="377" t="s">
        <v>6616</v>
      </c>
      <c r="W71" s="11" t="s">
        <v>127</v>
      </c>
      <c r="X71" s="71" t="s">
        <v>5216</v>
      </c>
      <c r="Y71" s="29" t="s">
        <v>3</v>
      </c>
      <c r="Z71" s="18" t="s">
        <v>2113</v>
      </c>
      <c r="AA71" s="15" t="s">
        <v>8</v>
      </c>
      <c r="AB71" s="22" t="s">
        <v>4</v>
      </c>
      <c r="AC71" s="358" t="s">
        <v>211</v>
      </c>
      <c r="AD71" s="51" t="s">
        <v>543</v>
      </c>
      <c r="AE71" s="75" t="s">
        <v>2114</v>
      </c>
      <c r="AF71" s="76" t="s">
        <v>1826</v>
      </c>
      <c r="AG71" s="33" t="s">
        <v>1827</v>
      </c>
      <c r="AH71" s="44"/>
      <c r="AI71" s="131"/>
      <c r="AK71" s="9" t="s">
        <v>6666</v>
      </c>
      <c r="AL71" s="5" t="s">
        <v>6667</v>
      </c>
      <c r="AM71" s="51" t="s">
        <v>5339</v>
      </c>
      <c r="AN71" s="276" t="s">
        <v>6665</v>
      </c>
      <c r="AO71" s="284"/>
    </row>
    <row r="72" spans="1:41">
      <c r="A72" s="151" t="s">
        <v>2441</v>
      </c>
      <c r="B72" s="85">
        <v>-19</v>
      </c>
      <c r="C72" s="85">
        <v>-35</v>
      </c>
      <c r="D72" s="84">
        <v>11</v>
      </c>
      <c r="E72" s="85">
        <v>-3</v>
      </c>
      <c r="F72" s="7">
        <v>4.93</v>
      </c>
      <c r="G72" s="85">
        <v>1402</v>
      </c>
      <c r="H72" s="4" t="s">
        <v>543</v>
      </c>
      <c r="I72" s="23" t="s">
        <v>487</v>
      </c>
      <c r="J72" s="77">
        <v>87.43</v>
      </c>
      <c r="K72" s="77">
        <v>18.48</v>
      </c>
      <c r="L72" s="77">
        <v>0.35</v>
      </c>
      <c r="N72" s="365">
        <f t="shared" ref="N72:N103" si="41">J72+K72+L72+M72</f>
        <v>106.26</v>
      </c>
      <c r="O72" s="343">
        <f t="shared" ref="O72:O103" si="42">J72+M72</f>
        <v>87.43</v>
      </c>
      <c r="P72" s="195">
        <v>7</v>
      </c>
      <c r="Q72" s="326">
        <f>IFERROR(VLOOKUP($G72,主力整理!$A$2:$G$2301,6,0),"0")</f>
        <v>10</v>
      </c>
      <c r="T72" s="339">
        <f t="shared" ref="T72:T103" si="43">SUM(P72:S72)</f>
        <v>17</v>
      </c>
      <c r="V72" s="371">
        <v>0.02</v>
      </c>
      <c r="W72" s="35">
        <v>1.35</v>
      </c>
      <c r="X72" s="100">
        <v>1.62</v>
      </c>
      <c r="Y72" s="37" t="str">
        <f>RTD("money.excel",,"1402","Price")</f>
        <v>無資料</v>
      </c>
      <c r="Z72" s="69"/>
      <c r="AA72" s="16" t="e">
        <f t="shared" ref="AA72:AA103" si="44">Y72-Z72</f>
        <v>#VALUE!</v>
      </c>
      <c r="AB72" s="3" t="e">
        <f t="shared" ref="AB72:AB103" si="45">AA72/Z72</f>
        <v>#VALUE!</v>
      </c>
      <c r="AC72" s="177" t="s">
        <v>2648</v>
      </c>
      <c r="AD72" s="23" t="s">
        <v>487</v>
      </c>
      <c r="AG72" s="34">
        <f t="shared" ref="AG72:AG103" si="46">AF72-AE72</f>
        <v>0</v>
      </c>
      <c r="AH72" s="125" t="s">
        <v>4329</v>
      </c>
      <c r="AI72" s="131"/>
      <c r="AK72" s="66">
        <f>AM72/(A72*10000)</f>
        <v>0</v>
      </c>
      <c r="AL72" s="174">
        <f>AN72/(A72*10000)</f>
        <v>0</v>
      </c>
      <c r="AM72" s="346">
        <f>RTD("money.excel",,$G72,"PredictVolume")</f>
        <v>0</v>
      </c>
      <c r="AN72" s="272">
        <f>RTD("money.excel",,$G72,"CumulativeVolume")</f>
        <v>0</v>
      </c>
      <c r="AO72" s="284"/>
    </row>
    <row r="73" spans="1:41">
      <c r="A73" s="151" t="s">
        <v>3074</v>
      </c>
      <c r="B73" s="84">
        <v>76</v>
      </c>
      <c r="C73" s="85">
        <v>-9</v>
      </c>
      <c r="D73" s="84">
        <v>1</v>
      </c>
      <c r="E73" s="85">
        <v>-27</v>
      </c>
      <c r="F73" s="7">
        <v>8.48</v>
      </c>
      <c r="G73" s="85">
        <v>1409</v>
      </c>
      <c r="H73" s="4" t="s">
        <v>543</v>
      </c>
      <c r="I73" s="23" t="s">
        <v>1271</v>
      </c>
      <c r="J73" s="77">
        <v>76.19</v>
      </c>
      <c r="K73" s="77">
        <v>13.86</v>
      </c>
      <c r="L73" s="77">
        <v>2.02</v>
      </c>
      <c r="N73" s="365">
        <f t="shared" si="41"/>
        <v>92.07</v>
      </c>
      <c r="O73" s="343">
        <f t="shared" si="42"/>
        <v>76.19</v>
      </c>
      <c r="P73" s="195">
        <v>9</v>
      </c>
      <c r="Q73" s="326">
        <f>IFERROR(VLOOKUP($G73,主力整理!$A$2:$G$2301,6,0),"0")</f>
        <v>6</v>
      </c>
      <c r="T73" s="339">
        <f t="shared" si="43"/>
        <v>15</v>
      </c>
      <c r="V73" s="371">
        <v>0.03</v>
      </c>
      <c r="W73" s="35">
        <v>1.1000000000000001</v>
      </c>
      <c r="X73" s="100">
        <v>1.79</v>
      </c>
      <c r="Y73" s="37" t="str">
        <f>RTD("money.excel",,"1409","Price")</f>
        <v>無資料</v>
      </c>
      <c r="Z73" s="69"/>
      <c r="AA73" s="16" t="e">
        <f t="shared" si="44"/>
        <v>#VALUE!</v>
      </c>
      <c r="AB73" s="3" t="e">
        <f t="shared" si="45"/>
        <v>#VALUE!</v>
      </c>
      <c r="AC73" s="177" t="s">
        <v>2648</v>
      </c>
      <c r="AD73" s="23" t="s">
        <v>1271</v>
      </c>
      <c r="AG73" s="34">
        <f t="shared" si="46"/>
        <v>0</v>
      </c>
      <c r="AH73" s="44" t="s">
        <v>4330</v>
      </c>
      <c r="AI73" s="131"/>
      <c r="AK73" s="66">
        <f t="shared" ref="AK73:AK77" si="47">AM73/(A73*10000)</f>
        <v>0</v>
      </c>
      <c r="AL73" s="174">
        <f t="shared" ref="AL73:AL77" si="48">AN73/(A73*10000)</f>
        <v>0</v>
      </c>
      <c r="AM73" s="346">
        <f>RTD("money.excel",,$G73,"PredictVolume")</f>
        <v>0</v>
      </c>
      <c r="AN73" s="272">
        <f>RTD("money.excel",,$G73,"CumulativeVolume")</f>
        <v>0</v>
      </c>
      <c r="AO73" s="284"/>
    </row>
    <row r="74" spans="1:41">
      <c r="A74" s="135" t="s">
        <v>4840</v>
      </c>
      <c r="B74" s="96">
        <v>-20</v>
      </c>
      <c r="C74" s="96">
        <v>11</v>
      </c>
      <c r="D74" s="96">
        <v>-14</v>
      </c>
      <c r="E74" s="96">
        <v>48</v>
      </c>
      <c r="F74" s="59">
        <v>19.350000000000001</v>
      </c>
      <c r="G74" s="85">
        <v>1410</v>
      </c>
      <c r="H74" s="4" t="s">
        <v>543</v>
      </c>
      <c r="I74" s="23" t="s">
        <v>1272</v>
      </c>
      <c r="J74" s="77">
        <v>72.89</v>
      </c>
      <c r="K74" s="77">
        <v>15.82</v>
      </c>
      <c r="L74" s="77">
        <v>1.44</v>
      </c>
      <c r="N74" s="365">
        <f t="shared" si="41"/>
        <v>90.15</v>
      </c>
      <c r="O74" s="343">
        <f t="shared" si="42"/>
        <v>72.89</v>
      </c>
      <c r="P74" s="195" t="s">
        <v>5554</v>
      </c>
      <c r="Q74" s="326" t="str">
        <f>IFERROR(VLOOKUP($G74,主力整理!$A$2:$G$2301,6,0),"0")</f>
        <v>0</v>
      </c>
      <c r="T74" s="339">
        <f t="shared" si="43"/>
        <v>0</v>
      </c>
      <c r="V74" s="371">
        <v>28.33</v>
      </c>
      <c r="W74" s="35">
        <v>0.9</v>
      </c>
      <c r="X74" s="100">
        <v>0.95</v>
      </c>
      <c r="Y74" s="14" t="str">
        <f>RTD("money.excel",,"1410","Price")</f>
        <v>無資料</v>
      </c>
      <c r="Z74" s="69"/>
      <c r="AA74" s="16" t="e">
        <f t="shared" si="44"/>
        <v>#VALUE!</v>
      </c>
      <c r="AB74" s="3" t="e">
        <f t="shared" si="45"/>
        <v>#VALUE!</v>
      </c>
      <c r="AD74" s="23" t="s">
        <v>1272</v>
      </c>
      <c r="AG74" s="34">
        <f t="shared" si="46"/>
        <v>0</v>
      </c>
      <c r="AH74" s="63" t="s">
        <v>3784</v>
      </c>
      <c r="AI74" s="131"/>
      <c r="AK74" s="66">
        <f t="shared" si="47"/>
        <v>0</v>
      </c>
      <c r="AL74" s="174">
        <f t="shared" si="48"/>
        <v>0</v>
      </c>
      <c r="AM74" s="346">
        <f>RTD("money.excel",,$G74,"PredictVolume")</f>
        <v>0</v>
      </c>
      <c r="AN74" s="272">
        <f>RTD("money.excel",,$G74,"CumulativeVolume")</f>
        <v>0</v>
      </c>
      <c r="AO74" s="284"/>
    </row>
    <row r="75" spans="1:41">
      <c r="A75" s="151" t="s">
        <v>2550</v>
      </c>
      <c r="B75" s="85">
        <v>-53</v>
      </c>
      <c r="C75" s="85">
        <v>-52</v>
      </c>
      <c r="D75" s="84">
        <v>19</v>
      </c>
      <c r="E75" s="85">
        <v>-36</v>
      </c>
      <c r="F75" s="7">
        <v>3.04</v>
      </c>
      <c r="G75" s="85">
        <v>1413</v>
      </c>
      <c r="H75" s="4" t="s">
        <v>543</v>
      </c>
      <c r="I75" s="23" t="s">
        <v>1273</v>
      </c>
      <c r="J75" s="371">
        <v>66.38</v>
      </c>
      <c r="K75" s="371">
        <v>0.27</v>
      </c>
      <c r="L75" s="371"/>
      <c r="N75" s="365">
        <f t="shared" si="41"/>
        <v>66.649999999999991</v>
      </c>
      <c r="O75" s="343">
        <f t="shared" si="42"/>
        <v>66.38</v>
      </c>
      <c r="P75" s="195" t="s">
        <v>5554</v>
      </c>
      <c r="Q75" s="326" t="str">
        <f>IFERROR(VLOOKUP($G75,主力整理!$A$2:$G$2301,6,0),"0")</f>
        <v>0</v>
      </c>
      <c r="T75" s="339">
        <f t="shared" si="43"/>
        <v>0</v>
      </c>
      <c r="V75" s="371">
        <v>34.67</v>
      </c>
      <c r="W75" s="35">
        <v>0</v>
      </c>
      <c r="X75" s="100">
        <v>-1.23</v>
      </c>
      <c r="Y75" s="37" t="str">
        <f>RTD("money.excel",,"1413","Price")</f>
        <v>無資料</v>
      </c>
      <c r="Z75" s="69"/>
      <c r="AA75" s="16" t="e">
        <f t="shared" si="44"/>
        <v>#VALUE!</v>
      </c>
      <c r="AB75" s="3" t="e">
        <f t="shared" si="45"/>
        <v>#VALUE!</v>
      </c>
      <c r="AC75" s="177" t="s">
        <v>2648</v>
      </c>
      <c r="AD75" s="23" t="s">
        <v>1273</v>
      </c>
      <c r="AG75" s="34">
        <f t="shared" si="46"/>
        <v>0</v>
      </c>
      <c r="AH75" s="44" t="s">
        <v>2271</v>
      </c>
      <c r="AI75" s="131"/>
      <c r="AK75" s="66">
        <f t="shared" si="47"/>
        <v>0</v>
      </c>
      <c r="AL75" s="174">
        <f t="shared" si="48"/>
        <v>0</v>
      </c>
      <c r="AM75" s="346">
        <f>RTD("money.excel",,$G75,"PredictVolume")</f>
        <v>0</v>
      </c>
      <c r="AN75" s="272">
        <f>RTD("money.excel",,$G75,"CumulativeVolume")</f>
        <v>0</v>
      </c>
      <c r="AO75" s="284"/>
    </row>
    <row r="76" spans="1:41">
      <c r="A76" s="151" t="s">
        <v>4841</v>
      </c>
      <c r="B76" s="96">
        <v>458</v>
      </c>
      <c r="C76" s="96">
        <v>55</v>
      </c>
      <c r="D76" s="96">
        <v>-20</v>
      </c>
      <c r="E76" s="96">
        <v>24</v>
      </c>
      <c r="F76" s="7">
        <v>-4.16</v>
      </c>
      <c r="G76" s="85">
        <v>1414</v>
      </c>
      <c r="H76" s="4" t="s">
        <v>543</v>
      </c>
      <c r="I76" s="23" t="s">
        <v>1274</v>
      </c>
      <c r="J76" s="77">
        <v>60.24</v>
      </c>
      <c r="K76" s="77">
        <v>1.1599999999999999</v>
      </c>
      <c r="L76" s="77">
        <v>4.6500000000000004</v>
      </c>
      <c r="N76" s="365">
        <f t="shared" si="41"/>
        <v>66.05</v>
      </c>
      <c r="O76" s="343">
        <f t="shared" si="42"/>
        <v>60.24</v>
      </c>
      <c r="P76" s="195">
        <v>1</v>
      </c>
      <c r="Q76" s="326" t="str">
        <f>IFERROR(VLOOKUP($G76,主力整理!$A$2:$G$2301,6,0),"0")</f>
        <v>0</v>
      </c>
      <c r="T76" s="339">
        <f t="shared" si="43"/>
        <v>1</v>
      </c>
      <c r="V76" s="371">
        <v>20.12</v>
      </c>
      <c r="W76" s="35">
        <v>0.2</v>
      </c>
      <c r="X76" s="100">
        <v>0.27</v>
      </c>
      <c r="Y76" s="14" t="str">
        <f>RTD("money.excel",,"1414","Price")</f>
        <v>無資料</v>
      </c>
      <c r="Z76" s="69"/>
      <c r="AA76" s="16" t="e">
        <f t="shared" si="44"/>
        <v>#VALUE!</v>
      </c>
      <c r="AB76" s="3" t="e">
        <f t="shared" si="45"/>
        <v>#VALUE!</v>
      </c>
      <c r="AD76" s="23" t="s">
        <v>1274</v>
      </c>
      <c r="AG76" s="34">
        <f t="shared" si="46"/>
        <v>0</v>
      </c>
      <c r="AH76" s="44" t="s">
        <v>4331</v>
      </c>
      <c r="AI76" s="131"/>
      <c r="AK76" s="66">
        <f t="shared" si="47"/>
        <v>0</v>
      </c>
      <c r="AL76" s="174">
        <f t="shared" si="48"/>
        <v>0</v>
      </c>
      <c r="AM76" s="346">
        <f>RTD("money.excel",,$G76,"PredictVolume")</f>
        <v>0</v>
      </c>
      <c r="AN76" s="272">
        <f>RTD("money.excel",,$G76,"CumulativeVolume")</f>
        <v>0</v>
      </c>
      <c r="AO76" s="284"/>
    </row>
    <row r="77" spans="1:41">
      <c r="A77" s="151" t="s">
        <v>2408</v>
      </c>
      <c r="B77" s="85">
        <v>-113</v>
      </c>
      <c r="C77" s="85">
        <v>-26</v>
      </c>
      <c r="D77" s="85">
        <v>-10</v>
      </c>
      <c r="E77" s="85">
        <v>-28</v>
      </c>
      <c r="F77" s="7">
        <v>-26.68</v>
      </c>
      <c r="G77" s="85">
        <v>1417</v>
      </c>
      <c r="H77" s="4" t="s">
        <v>543</v>
      </c>
      <c r="I77" s="23" t="s">
        <v>1276</v>
      </c>
      <c r="J77" s="77">
        <v>52.47</v>
      </c>
      <c r="K77" s="371">
        <v>2.82</v>
      </c>
      <c r="L77" s="77">
        <v>10.82</v>
      </c>
      <c r="N77" s="365">
        <f t="shared" si="41"/>
        <v>66.11</v>
      </c>
      <c r="O77" s="343">
        <f t="shared" si="42"/>
        <v>52.47</v>
      </c>
      <c r="P77" s="195">
        <v>2</v>
      </c>
      <c r="Q77" s="326" t="str">
        <f>IFERROR(VLOOKUP($G77,主力整理!$A$2:$G$2301,6,0),"0")</f>
        <v>0</v>
      </c>
      <c r="T77" s="339">
        <f t="shared" si="43"/>
        <v>2</v>
      </c>
      <c r="V77" s="371">
        <v>0.33</v>
      </c>
      <c r="W77" s="35">
        <v>0.3</v>
      </c>
      <c r="X77" s="100">
        <v>-1.86</v>
      </c>
      <c r="Y77" s="37" t="str">
        <f>RTD("money.excel",,"1417","Price")</f>
        <v>無資料</v>
      </c>
      <c r="Z77" s="69"/>
      <c r="AA77" s="16" t="e">
        <f t="shared" si="44"/>
        <v>#VALUE!</v>
      </c>
      <c r="AB77" s="3" t="e">
        <f t="shared" si="45"/>
        <v>#VALUE!</v>
      </c>
      <c r="AC77" s="177" t="s">
        <v>2648</v>
      </c>
      <c r="AD77" s="23" t="s">
        <v>1276</v>
      </c>
      <c r="AG77" s="34">
        <f t="shared" si="46"/>
        <v>0</v>
      </c>
      <c r="AH77" s="44" t="s">
        <v>2268</v>
      </c>
      <c r="AI77" s="131"/>
      <c r="AK77" s="66">
        <f t="shared" si="47"/>
        <v>0</v>
      </c>
      <c r="AL77" s="174">
        <f t="shared" si="48"/>
        <v>0</v>
      </c>
      <c r="AM77" s="346">
        <f>RTD("money.excel",,$G77,"PredictVolume")</f>
        <v>0</v>
      </c>
      <c r="AN77" s="272">
        <f>RTD("money.excel",,$G77,"CumulativeVolume")</f>
        <v>0</v>
      </c>
      <c r="AO77" s="284"/>
    </row>
    <row r="78" spans="1:41">
      <c r="A78" s="151" t="s">
        <v>3407</v>
      </c>
      <c r="B78" s="96">
        <v>-19</v>
      </c>
      <c r="C78" s="96">
        <v>-31</v>
      </c>
      <c r="D78" s="96">
        <v>-45</v>
      </c>
      <c r="E78" s="96">
        <v>-32</v>
      </c>
      <c r="F78" s="77">
        <v>-246.01</v>
      </c>
      <c r="G78" s="85">
        <v>1418</v>
      </c>
      <c r="H78" s="4" t="s">
        <v>543</v>
      </c>
      <c r="I78" s="23" t="s">
        <v>1277</v>
      </c>
      <c r="J78" s="77">
        <v>70.709999999999994</v>
      </c>
      <c r="K78" s="77">
        <v>0.61</v>
      </c>
      <c r="N78" s="365">
        <f t="shared" si="41"/>
        <v>71.319999999999993</v>
      </c>
      <c r="O78" s="343">
        <f t="shared" si="42"/>
        <v>70.709999999999994</v>
      </c>
      <c r="P78" s="195" t="s">
        <v>5554</v>
      </c>
      <c r="Q78" s="326" t="str">
        <f>IFERROR(VLOOKUP($G78,主力整理!$A$2:$G$2301,6,0),"0")</f>
        <v>0</v>
      </c>
      <c r="T78" s="339">
        <f t="shared" si="43"/>
        <v>0</v>
      </c>
      <c r="V78" s="371">
        <v>50.82</v>
      </c>
      <c r="W78" s="35">
        <v>0</v>
      </c>
      <c r="X78" s="100">
        <v>-4.2</v>
      </c>
      <c r="Y78" s="14" t="str">
        <f>RTD("money.excel",,"1418","Price")</f>
        <v>無資料</v>
      </c>
      <c r="Z78" s="69"/>
      <c r="AA78" s="16" t="e">
        <f t="shared" si="44"/>
        <v>#VALUE!</v>
      </c>
      <c r="AB78" s="3" t="e">
        <f t="shared" si="45"/>
        <v>#VALUE!</v>
      </c>
      <c r="AD78" s="23" t="s">
        <v>1277</v>
      </c>
      <c r="AG78" s="34">
        <f t="shared" si="46"/>
        <v>0</v>
      </c>
      <c r="AH78" s="44" t="s">
        <v>4332</v>
      </c>
      <c r="AI78" s="131"/>
      <c r="AK78" s="66">
        <f t="shared" ref="AK78:AK127" si="49">AM78/(A78*10000)</f>
        <v>0</v>
      </c>
      <c r="AL78" s="174">
        <f t="shared" ref="AL78:AL127" si="50">AN78/(A78*10000)</f>
        <v>0</v>
      </c>
      <c r="AM78" s="346">
        <f>RTD("money.excel",,$G78,"PredictVolume")</f>
        <v>0</v>
      </c>
      <c r="AN78" s="272">
        <f>RTD("money.excel",,$G78,"CumulativeVolume")</f>
        <v>0</v>
      </c>
      <c r="AO78" s="284"/>
    </row>
    <row r="79" spans="1:41">
      <c r="A79" s="151" t="s">
        <v>3623</v>
      </c>
      <c r="B79" s="96">
        <v>-16</v>
      </c>
      <c r="C79" s="96">
        <v>81</v>
      </c>
      <c r="D79" s="96">
        <v>-17</v>
      </c>
      <c r="E79" s="96">
        <v>18</v>
      </c>
      <c r="F79" s="7">
        <v>4.6399999999999997</v>
      </c>
      <c r="G79" s="85">
        <v>1419</v>
      </c>
      <c r="H79" s="4" t="s">
        <v>543</v>
      </c>
      <c r="I79" s="23" t="s">
        <v>1278</v>
      </c>
      <c r="J79" s="77">
        <v>91.62</v>
      </c>
      <c r="K79" s="77">
        <v>2.04</v>
      </c>
      <c r="L79" s="77">
        <v>0.11</v>
      </c>
      <c r="N79" s="365">
        <f t="shared" si="41"/>
        <v>93.77000000000001</v>
      </c>
      <c r="O79" s="343">
        <f t="shared" si="42"/>
        <v>91.62</v>
      </c>
      <c r="P79" s="195" t="s">
        <v>5554</v>
      </c>
      <c r="Q79" s="326" t="str">
        <f>IFERROR(VLOOKUP($G79,主力整理!$A$2:$G$2301,6,0),"0")</f>
        <v>0</v>
      </c>
      <c r="T79" s="339">
        <f t="shared" si="43"/>
        <v>0</v>
      </c>
      <c r="V79" s="371">
        <v>6.57</v>
      </c>
      <c r="W79" s="35">
        <v>1</v>
      </c>
      <c r="X79" s="100">
        <v>1.22</v>
      </c>
      <c r="Y79" s="14" t="str">
        <f>RTD("money.excel",,"1419","Price")</f>
        <v>無資料</v>
      </c>
      <c r="Z79" s="69"/>
      <c r="AA79" s="16" t="e">
        <f t="shared" si="44"/>
        <v>#VALUE!</v>
      </c>
      <c r="AB79" s="3" t="e">
        <f t="shared" si="45"/>
        <v>#VALUE!</v>
      </c>
      <c r="AD79" s="23" t="s">
        <v>1278</v>
      </c>
      <c r="AG79" s="34">
        <f t="shared" si="46"/>
        <v>0</v>
      </c>
      <c r="AH79" s="44" t="s">
        <v>4333</v>
      </c>
      <c r="AI79" s="131"/>
      <c r="AK79" s="66">
        <f t="shared" si="49"/>
        <v>0</v>
      </c>
      <c r="AL79" s="174">
        <f t="shared" si="50"/>
        <v>0</v>
      </c>
      <c r="AM79" s="346">
        <f>RTD("money.excel",,$G79,"PredictVolume")</f>
        <v>0</v>
      </c>
      <c r="AN79" s="272">
        <f>RTD("money.excel",,$G79,"CumulativeVolume")</f>
        <v>0</v>
      </c>
      <c r="AO79" s="284"/>
    </row>
    <row r="80" spans="1:41">
      <c r="A80" s="151" t="s">
        <v>2551</v>
      </c>
      <c r="B80" s="96">
        <v>-300</v>
      </c>
      <c r="C80" s="96">
        <v>-153</v>
      </c>
      <c r="D80" s="96">
        <v>44</v>
      </c>
      <c r="E80" s="96">
        <v>44</v>
      </c>
      <c r="F80" s="7">
        <v>-99.87</v>
      </c>
      <c r="G80" s="85">
        <v>1423</v>
      </c>
      <c r="H80" s="4" t="s">
        <v>543</v>
      </c>
      <c r="I80" s="23" t="s">
        <v>1279</v>
      </c>
      <c r="J80" s="77">
        <v>68.91</v>
      </c>
      <c r="K80" s="77">
        <v>1.86</v>
      </c>
      <c r="L80" s="77">
        <v>17.5</v>
      </c>
      <c r="N80" s="365">
        <f t="shared" si="41"/>
        <v>88.27</v>
      </c>
      <c r="O80" s="343">
        <f t="shared" si="42"/>
        <v>68.91</v>
      </c>
      <c r="P80" s="195" t="s">
        <v>5554</v>
      </c>
      <c r="Q80" s="326" t="str">
        <f>IFERROR(VLOOKUP($G80,主力整理!$A$2:$G$2301,6,0),"0")</f>
        <v>0</v>
      </c>
      <c r="T80" s="339">
        <f t="shared" si="43"/>
        <v>0</v>
      </c>
      <c r="V80" s="371">
        <v>17.05</v>
      </c>
      <c r="W80" s="35">
        <v>1.8</v>
      </c>
      <c r="X80" s="100">
        <v>2.56</v>
      </c>
      <c r="Y80" s="14" t="str">
        <f>RTD("money.excel",,"1423","Price")</f>
        <v>無資料</v>
      </c>
      <c r="Z80" s="69"/>
      <c r="AA80" s="16" t="e">
        <f t="shared" si="44"/>
        <v>#VALUE!</v>
      </c>
      <c r="AB80" s="3" t="e">
        <f t="shared" si="45"/>
        <v>#VALUE!</v>
      </c>
      <c r="AD80" s="23" t="s">
        <v>1279</v>
      </c>
      <c r="AG80" s="34">
        <f t="shared" si="46"/>
        <v>0</v>
      </c>
      <c r="AH80" s="44" t="s">
        <v>2269</v>
      </c>
      <c r="AI80" s="131"/>
      <c r="AK80" s="66">
        <f t="shared" si="49"/>
        <v>0</v>
      </c>
      <c r="AL80" s="174">
        <f t="shared" si="50"/>
        <v>0</v>
      </c>
      <c r="AM80" s="346">
        <f>RTD("money.excel",,$G80,"PredictVolume")</f>
        <v>0</v>
      </c>
      <c r="AN80" s="272">
        <f>RTD("money.excel",,$G80,"CumulativeVolume")</f>
        <v>0</v>
      </c>
      <c r="AO80" s="284"/>
    </row>
    <row r="81" spans="1:41">
      <c r="A81" s="151" t="s">
        <v>2563</v>
      </c>
      <c r="B81" s="85">
        <v>-52</v>
      </c>
      <c r="C81" s="85">
        <v>-83</v>
      </c>
      <c r="D81" s="84">
        <v>1</v>
      </c>
      <c r="E81" s="85">
        <v>-15</v>
      </c>
      <c r="F81" s="7">
        <v>1.59</v>
      </c>
      <c r="G81" s="85">
        <v>1434</v>
      </c>
      <c r="H81" s="4" t="s">
        <v>543</v>
      </c>
      <c r="I81" s="23" t="s">
        <v>468</v>
      </c>
      <c r="J81" s="371">
        <v>79.150000000000006</v>
      </c>
      <c r="K81" s="371">
        <v>18.22</v>
      </c>
      <c r="L81" s="371">
        <v>0.5</v>
      </c>
      <c r="N81" s="365">
        <f t="shared" si="41"/>
        <v>97.87</v>
      </c>
      <c r="O81" s="343">
        <f t="shared" si="42"/>
        <v>79.150000000000006</v>
      </c>
      <c r="P81" s="195" t="s">
        <v>5554</v>
      </c>
      <c r="Q81" s="326">
        <f>IFERROR(VLOOKUP($G81,主力整理!$A$2:$G$2301,6,0),"0")</f>
        <v>3</v>
      </c>
      <c r="T81" s="339">
        <f t="shared" si="43"/>
        <v>3</v>
      </c>
      <c r="V81" s="371">
        <v>0.01</v>
      </c>
      <c r="W81" s="35">
        <v>1</v>
      </c>
      <c r="X81" s="100">
        <v>1.25</v>
      </c>
      <c r="Y81" s="37" t="str">
        <f>RTD("money.excel",,"1434","Price")</f>
        <v>無資料</v>
      </c>
      <c r="Z81" s="69"/>
      <c r="AA81" s="16" t="e">
        <f t="shared" si="44"/>
        <v>#VALUE!</v>
      </c>
      <c r="AB81" s="3" t="e">
        <f t="shared" si="45"/>
        <v>#VALUE!</v>
      </c>
      <c r="AC81" s="177" t="s">
        <v>2648</v>
      </c>
      <c r="AD81" s="23" t="s">
        <v>468</v>
      </c>
      <c r="AG81" s="34">
        <f t="shared" si="46"/>
        <v>0</v>
      </c>
      <c r="AH81" s="125" t="s">
        <v>4334</v>
      </c>
      <c r="AI81" s="131"/>
      <c r="AK81" s="66">
        <f t="shared" si="49"/>
        <v>0</v>
      </c>
      <c r="AL81" s="174">
        <f t="shared" si="50"/>
        <v>0</v>
      </c>
      <c r="AM81" s="346">
        <f>RTD("money.excel",,$G81,"PredictVolume")</f>
        <v>0</v>
      </c>
      <c r="AN81" s="272">
        <f>RTD("money.excel",,$G81,"CumulativeVolume")</f>
        <v>0</v>
      </c>
      <c r="AO81" s="284"/>
    </row>
    <row r="82" spans="1:41">
      <c r="A82" s="151" t="s">
        <v>4842</v>
      </c>
      <c r="B82" s="98">
        <v>1497</v>
      </c>
      <c r="C82" s="84">
        <v>28</v>
      </c>
      <c r="D82" s="85">
        <v>-88</v>
      </c>
      <c r="E82" s="85">
        <v>-81</v>
      </c>
      <c r="F82" s="7">
        <v>-28.69</v>
      </c>
      <c r="G82" s="85">
        <v>1439</v>
      </c>
      <c r="H82" s="4" t="s">
        <v>543</v>
      </c>
      <c r="I82" s="23" t="s">
        <v>1280</v>
      </c>
      <c r="J82" s="371">
        <v>66.17</v>
      </c>
      <c r="K82" s="371">
        <v>1.49</v>
      </c>
      <c r="L82" s="371">
        <v>13.24</v>
      </c>
      <c r="N82" s="365">
        <f t="shared" si="41"/>
        <v>80.899999999999991</v>
      </c>
      <c r="O82" s="343">
        <f t="shared" si="42"/>
        <v>66.17</v>
      </c>
      <c r="P82" s="195" t="s">
        <v>5554</v>
      </c>
      <c r="Q82" s="326" t="str">
        <f>IFERROR(VLOOKUP($G82,主力整理!$A$2:$G$2301,6,0),"0")</f>
        <v>0</v>
      </c>
      <c r="T82" s="339">
        <f t="shared" si="43"/>
        <v>0</v>
      </c>
      <c r="V82" s="371">
        <v>2.91</v>
      </c>
      <c r="W82" s="35">
        <v>0</v>
      </c>
      <c r="X82" s="100">
        <v>-2.65</v>
      </c>
      <c r="Y82" s="37" t="str">
        <f>RTD("money.excel",,"1439","Price")</f>
        <v>無資料</v>
      </c>
      <c r="Z82" s="69"/>
      <c r="AA82" s="16" t="e">
        <f t="shared" si="44"/>
        <v>#VALUE!</v>
      </c>
      <c r="AB82" s="3" t="e">
        <f t="shared" si="45"/>
        <v>#VALUE!</v>
      </c>
      <c r="AD82" s="23" t="s">
        <v>1280</v>
      </c>
      <c r="AG82" s="34">
        <f t="shared" si="46"/>
        <v>0</v>
      </c>
      <c r="AH82" s="44" t="s">
        <v>2269</v>
      </c>
      <c r="AI82" s="131"/>
      <c r="AK82" s="66">
        <f t="shared" si="49"/>
        <v>0</v>
      </c>
      <c r="AL82" s="174">
        <f t="shared" si="50"/>
        <v>0</v>
      </c>
      <c r="AM82" s="346">
        <f>RTD("money.excel",,$G82,"PredictVolume")</f>
        <v>0</v>
      </c>
      <c r="AN82" s="272">
        <f>RTD("money.excel",,$G82,"CumulativeVolume")</f>
        <v>0</v>
      </c>
      <c r="AO82" s="284"/>
    </row>
    <row r="83" spans="1:41">
      <c r="A83" s="151" t="s">
        <v>2683</v>
      </c>
      <c r="B83" s="98">
        <v>5603</v>
      </c>
      <c r="C83" s="84">
        <v>397</v>
      </c>
      <c r="D83" s="85">
        <v>-17</v>
      </c>
      <c r="E83" s="84">
        <v>14</v>
      </c>
      <c r="F83" s="7">
        <v>8.9700000000000006</v>
      </c>
      <c r="G83" s="85">
        <v>1440</v>
      </c>
      <c r="H83" s="4" t="s">
        <v>543</v>
      </c>
      <c r="I83" s="23" t="s">
        <v>1281</v>
      </c>
      <c r="J83" s="77">
        <v>73.22</v>
      </c>
      <c r="K83" s="371">
        <v>9.23</v>
      </c>
      <c r="L83" s="371">
        <v>4.78</v>
      </c>
      <c r="N83" s="365">
        <f t="shared" si="41"/>
        <v>87.23</v>
      </c>
      <c r="O83" s="343">
        <f t="shared" si="42"/>
        <v>73.22</v>
      </c>
      <c r="P83" s="195">
        <v>7</v>
      </c>
      <c r="Q83" s="326">
        <f>IFERROR(VLOOKUP($G83,主力整理!$A$2:$G$2301,6,0),"0")</f>
        <v>5</v>
      </c>
      <c r="R83" s="111">
        <v>17</v>
      </c>
      <c r="S83" s="51">
        <v>5</v>
      </c>
      <c r="T83" s="339">
        <f t="shared" si="43"/>
        <v>34</v>
      </c>
      <c r="V83" s="371">
        <v>1.61</v>
      </c>
      <c r="W83" s="35">
        <v>0.35</v>
      </c>
      <c r="X83" s="59">
        <v>1.9</v>
      </c>
      <c r="Y83" s="37" t="str">
        <f>RTD("money.excel",,"1440","Price")</f>
        <v>無資料</v>
      </c>
      <c r="Z83" s="69"/>
      <c r="AA83" s="16" t="e">
        <f t="shared" si="44"/>
        <v>#VALUE!</v>
      </c>
      <c r="AB83" s="3" t="e">
        <f t="shared" si="45"/>
        <v>#VALUE!</v>
      </c>
      <c r="AC83" s="177" t="s">
        <v>2648</v>
      </c>
      <c r="AD83" s="23" t="s">
        <v>1281</v>
      </c>
      <c r="AG83" s="34">
        <f t="shared" si="46"/>
        <v>0</v>
      </c>
      <c r="AH83" s="44" t="s">
        <v>4328</v>
      </c>
      <c r="AI83" s="131"/>
      <c r="AK83" s="66">
        <f t="shared" si="49"/>
        <v>0</v>
      </c>
      <c r="AL83" s="174">
        <f t="shared" si="50"/>
        <v>0</v>
      </c>
      <c r="AM83" s="346">
        <f>RTD("money.excel",,$G83,"PredictVolume")</f>
        <v>0</v>
      </c>
      <c r="AN83" s="272">
        <f>RTD("money.excel",,$G83,"CumulativeVolume")</f>
        <v>0</v>
      </c>
      <c r="AO83" s="284"/>
    </row>
    <row r="84" spans="1:41">
      <c r="A84" s="151" t="s">
        <v>3161</v>
      </c>
      <c r="B84" s="85">
        <v>-123</v>
      </c>
      <c r="C84" s="85">
        <v>-43</v>
      </c>
      <c r="D84" s="84">
        <v>28</v>
      </c>
      <c r="E84" s="85">
        <v>-11</v>
      </c>
      <c r="F84" s="7">
        <v>-21.01</v>
      </c>
      <c r="G84" s="85">
        <v>1441</v>
      </c>
      <c r="H84" s="4" t="s">
        <v>543</v>
      </c>
      <c r="I84" s="23" t="s">
        <v>1282</v>
      </c>
      <c r="J84" s="77">
        <v>67.290000000000006</v>
      </c>
      <c r="K84" s="77">
        <v>1.44</v>
      </c>
      <c r="L84" s="371">
        <v>11.63</v>
      </c>
      <c r="N84" s="365">
        <f t="shared" si="41"/>
        <v>80.36</v>
      </c>
      <c r="O84" s="343">
        <f t="shared" si="42"/>
        <v>67.290000000000006</v>
      </c>
      <c r="P84" s="195">
        <v>1</v>
      </c>
      <c r="Q84" s="326" t="str">
        <f>IFERROR(VLOOKUP($G84,主力整理!$A$2:$G$2301,6,0),"0")</f>
        <v>0</v>
      </c>
      <c r="T84" s="339">
        <f t="shared" si="43"/>
        <v>1</v>
      </c>
      <c r="V84" s="371">
        <v>27.39</v>
      </c>
      <c r="W84" s="35">
        <v>0</v>
      </c>
      <c r="X84" s="100">
        <v>-2.46</v>
      </c>
      <c r="Y84" s="37" t="str">
        <f>RTD("money.excel",,"1441","Price")</f>
        <v>無資料</v>
      </c>
      <c r="Z84" s="69"/>
      <c r="AA84" s="16" t="e">
        <f t="shared" si="44"/>
        <v>#VALUE!</v>
      </c>
      <c r="AB84" s="3" t="e">
        <f t="shared" si="45"/>
        <v>#VALUE!</v>
      </c>
      <c r="AC84" s="177" t="s">
        <v>2648</v>
      </c>
      <c r="AD84" s="23" t="s">
        <v>1282</v>
      </c>
      <c r="AG84" s="34">
        <f t="shared" si="46"/>
        <v>0</v>
      </c>
      <c r="AH84" s="44" t="s">
        <v>2270</v>
      </c>
      <c r="AI84" s="131"/>
      <c r="AK84" s="66">
        <f t="shared" si="49"/>
        <v>0</v>
      </c>
      <c r="AL84" s="174">
        <f t="shared" si="50"/>
        <v>0</v>
      </c>
      <c r="AM84" s="346">
        <f>RTD("money.excel",,$G84,"PredictVolume")</f>
        <v>0</v>
      </c>
      <c r="AN84" s="272">
        <f>RTD("money.excel",,$G84,"CumulativeVolume")</f>
        <v>0</v>
      </c>
      <c r="AO84" s="284"/>
    </row>
    <row r="85" spans="1:41">
      <c r="A85" s="135" t="s">
        <v>2542</v>
      </c>
      <c r="B85" s="96">
        <v>-156</v>
      </c>
      <c r="C85" s="96">
        <v>-28</v>
      </c>
      <c r="D85" s="96">
        <v>15</v>
      </c>
      <c r="E85" s="96">
        <v>26</v>
      </c>
      <c r="F85" s="59">
        <v>13.5</v>
      </c>
      <c r="G85" s="85">
        <v>1443</v>
      </c>
      <c r="H85" s="4" t="s">
        <v>543</v>
      </c>
      <c r="I85" s="23" t="s">
        <v>1283</v>
      </c>
      <c r="J85" s="77">
        <v>77.95</v>
      </c>
      <c r="K85" s="77">
        <v>7.0000000000000007E-2</v>
      </c>
      <c r="N85" s="365">
        <f t="shared" si="41"/>
        <v>78.02</v>
      </c>
      <c r="O85" s="343">
        <f t="shared" si="42"/>
        <v>77.95</v>
      </c>
      <c r="P85" s="195" t="s">
        <v>5554</v>
      </c>
      <c r="Q85" s="326" t="str">
        <f>IFERROR(VLOOKUP($G85,主力整理!$A$2:$G$2301,6,0),"0")</f>
        <v>0</v>
      </c>
      <c r="T85" s="339">
        <f t="shared" si="43"/>
        <v>0</v>
      </c>
      <c r="V85" s="371">
        <v>14.45</v>
      </c>
      <c r="W85" s="35">
        <v>0</v>
      </c>
      <c r="X85" s="100">
        <v>-0.28999999999999998</v>
      </c>
      <c r="Y85" s="14" t="str">
        <f>RTD("money.excel",,"1443","Price")</f>
        <v>無資料</v>
      </c>
      <c r="Z85" s="69"/>
      <c r="AA85" s="16" t="e">
        <f t="shared" si="44"/>
        <v>#VALUE!</v>
      </c>
      <c r="AB85" s="3" t="e">
        <f t="shared" si="45"/>
        <v>#VALUE!</v>
      </c>
      <c r="AD85" s="23" t="s">
        <v>1283</v>
      </c>
      <c r="AG85" s="34">
        <f t="shared" si="46"/>
        <v>0</v>
      </c>
      <c r="AH85" s="63" t="s">
        <v>4335</v>
      </c>
      <c r="AI85" s="131"/>
      <c r="AK85" s="66">
        <f t="shared" si="49"/>
        <v>0</v>
      </c>
      <c r="AL85" s="174">
        <f t="shared" si="50"/>
        <v>0</v>
      </c>
      <c r="AM85" s="346">
        <f>RTD("money.excel",,$G85,"PredictVolume")</f>
        <v>0</v>
      </c>
      <c r="AN85" s="272">
        <f>RTD("money.excel",,$G85,"CumulativeVolume")</f>
        <v>0</v>
      </c>
      <c r="AO85" s="284"/>
    </row>
    <row r="86" spans="1:41">
      <c r="A86" s="151" t="s">
        <v>2732</v>
      </c>
      <c r="B86" s="85">
        <v>-369</v>
      </c>
      <c r="C86" s="85">
        <v>-183</v>
      </c>
      <c r="D86" s="84">
        <v>27</v>
      </c>
      <c r="E86" s="85">
        <v>-33</v>
      </c>
      <c r="F86" s="7">
        <v>-2.48</v>
      </c>
      <c r="G86" s="85">
        <v>1444</v>
      </c>
      <c r="H86" s="4" t="s">
        <v>543</v>
      </c>
      <c r="I86" s="23" t="s">
        <v>441</v>
      </c>
      <c r="J86" s="371">
        <v>65.83</v>
      </c>
      <c r="K86" s="371">
        <v>7.79</v>
      </c>
      <c r="L86" s="371">
        <v>5.16</v>
      </c>
      <c r="N86" s="365">
        <f t="shared" si="41"/>
        <v>78.78</v>
      </c>
      <c r="O86" s="343">
        <f t="shared" si="42"/>
        <v>65.83</v>
      </c>
      <c r="P86" s="195">
        <v>9</v>
      </c>
      <c r="Q86" s="326">
        <f>IFERROR(VLOOKUP($G86,主力整理!$A$2:$G$2301,6,0),"0")</f>
        <v>6</v>
      </c>
      <c r="T86" s="339">
        <f t="shared" si="43"/>
        <v>15</v>
      </c>
      <c r="V86" s="371">
        <v>1.49</v>
      </c>
      <c r="W86" s="35">
        <v>0</v>
      </c>
      <c r="X86" s="100">
        <v>-0.38</v>
      </c>
      <c r="Y86" s="37" t="str">
        <f>RTD("money.excel",,"1444","Price")</f>
        <v>無資料</v>
      </c>
      <c r="Z86" s="69"/>
      <c r="AA86" s="16" t="e">
        <f t="shared" si="44"/>
        <v>#VALUE!</v>
      </c>
      <c r="AB86" s="3" t="e">
        <f t="shared" si="45"/>
        <v>#VALUE!</v>
      </c>
      <c r="AC86" s="177" t="s">
        <v>2648</v>
      </c>
      <c r="AD86" s="23" t="s">
        <v>441</v>
      </c>
      <c r="AG86" s="34">
        <f t="shared" si="46"/>
        <v>0</v>
      </c>
      <c r="AH86" s="127" t="s">
        <v>2271</v>
      </c>
      <c r="AI86" s="131"/>
      <c r="AK86" s="66">
        <f t="shared" si="49"/>
        <v>0</v>
      </c>
      <c r="AL86" s="174">
        <f t="shared" si="50"/>
        <v>0</v>
      </c>
      <c r="AM86" s="346">
        <f>RTD("money.excel",,$G86,"PredictVolume")</f>
        <v>0</v>
      </c>
      <c r="AN86" s="272">
        <f>RTD("money.excel",,$G86,"CumulativeVolume")</f>
        <v>0</v>
      </c>
      <c r="AO86" s="284"/>
    </row>
    <row r="87" spans="1:41">
      <c r="A87" s="151" t="s">
        <v>3088</v>
      </c>
      <c r="B87" s="85">
        <v>-43</v>
      </c>
      <c r="C87" s="85">
        <v>-102</v>
      </c>
      <c r="D87" s="84">
        <v>11</v>
      </c>
      <c r="E87" s="85">
        <v>-1</v>
      </c>
      <c r="F87" s="7">
        <v>-13.28</v>
      </c>
      <c r="G87" s="85">
        <v>1445</v>
      </c>
      <c r="H87" s="4" t="s">
        <v>543</v>
      </c>
      <c r="I87" s="23" t="s">
        <v>1284</v>
      </c>
      <c r="J87" s="371">
        <v>60.33</v>
      </c>
      <c r="K87" s="77">
        <v>1.91</v>
      </c>
      <c r="L87" s="77">
        <v>10.92</v>
      </c>
      <c r="N87" s="365">
        <f t="shared" si="41"/>
        <v>73.16</v>
      </c>
      <c r="O87" s="343">
        <f t="shared" si="42"/>
        <v>60.33</v>
      </c>
      <c r="P87" s="195" t="s">
        <v>5554</v>
      </c>
      <c r="Q87" s="326" t="str">
        <f>IFERROR(VLOOKUP($G87,主力整理!$A$2:$G$2301,6,0),"0")</f>
        <v>0</v>
      </c>
      <c r="T87" s="339">
        <f t="shared" si="43"/>
        <v>0</v>
      </c>
      <c r="V87" s="371">
        <v>0</v>
      </c>
      <c r="W87" s="35">
        <v>0.2</v>
      </c>
      <c r="X87" s="59">
        <v>-0.44</v>
      </c>
      <c r="Y87" s="37" t="str">
        <f>RTD("money.excel",,"1445","Price")</f>
        <v>無資料</v>
      </c>
      <c r="Z87" s="69"/>
      <c r="AA87" s="16" t="e">
        <f t="shared" si="44"/>
        <v>#VALUE!</v>
      </c>
      <c r="AB87" s="3" t="e">
        <f t="shared" si="45"/>
        <v>#VALUE!</v>
      </c>
      <c r="AD87" s="23" t="s">
        <v>1284</v>
      </c>
      <c r="AG87" s="34">
        <f t="shared" si="46"/>
        <v>0</v>
      </c>
      <c r="AH87" s="44" t="s">
        <v>4336</v>
      </c>
      <c r="AI87" s="131"/>
      <c r="AK87" s="66">
        <f t="shared" si="49"/>
        <v>0</v>
      </c>
      <c r="AL87" s="174">
        <f t="shared" si="50"/>
        <v>0</v>
      </c>
      <c r="AM87" s="346">
        <f>RTD("money.excel",,$G87,"PredictVolume")</f>
        <v>0</v>
      </c>
      <c r="AN87" s="272">
        <f>RTD("money.excel",,$G87,"CumulativeVolume")</f>
        <v>0</v>
      </c>
      <c r="AO87" s="284"/>
    </row>
    <row r="88" spans="1:41">
      <c r="A88" s="151" t="s">
        <v>3301</v>
      </c>
      <c r="B88" s="96">
        <v>37</v>
      </c>
      <c r="C88" s="96">
        <v>48</v>
      </c>
      <c r="D88" s="96">
        <v>-1</v>
      </c>
      <c r="E88" s="96">
        <v>-14</v>
      </c>
      <c r="F88" s="7">
        <v>-4.4800000000000004</v>
      </c>
      <c r="G88" s="85">
        <v>1446</v>
      </c>
      <c r="H88" s="4" t="s">
        <v>543</v>
      </c>
      <c r="I88" s="23" t="s">
        <v>1285</v>
      </c>
      <c r="J88" s="77">
        <v>76.290000000000006</v>
      </c>
      <c r="K88" s="77">
        <v>1.25</v>
      </c>
      <c r="L88" s="77">
        <v>9.86</v>
      </c>
      <c r="N88" s="365">
        <f t="shared" si="41"/>
        <v>87.4</v>
      </c>
      <c r="O88" s="343">
        <f t="shared" si="42"/>
        <v>76.290000000000006</v>
      </c>
      <c r="P88" s="195" t="s">
        <v>5554</v>
      </c>
      <c r="Q88" s="326" t="str">
        <f>IFERROR(VLOOKUP($G88,主力整理!$A$2:$G$2301,6,0),"0")</f>
        <v>0</v>
      </c>
      <c r="T88" s="339">
        <f t="shared" si="43"/>
        <v>0</v>
      </c>
      <c r="V88" s="371">
        <v>14.27</v>
      </c>
      <c r="W88" s="35">
        <v>0.3</v>
      </c>
      <c r="X88" s="100">
        <v>-0.05</v>
      </c>
      <c r="Y88" s="14" t="str">
        <f>RTD("money.excel",,"1446","Price")</f>
        <v>無資料</v>
      </c>
      <c r="Z88" s="69"/>
      <c r="AA88" s="16" t="e">
        <f t="shared" si="44"/>
        <v>#VALUE!</v>
      </c>
      <c r="AB88" s="3" t="e">
        <f t="shared" si="45"/>
        <v>#VALUE!</v>
      </c>
      <c r="AD88" s="23" t="s">
        <v>1285</v>
      </c>
      <c r="AG88" s="34">
        <f t="shared" si="46"/>
        <v>0</v>
      </c>
      <c r="AH88" s="44" t="s">
        <v>4337</v>
      </c>
      <c r="AI88" s="131"/>
      <c r="AK88" s="66">
        <f t="shared" si="49"/>
        <v>0</v>
      </c>
      <c r="AL88" s="174">
        <f t="shared" si="50"/>
        <v>0</v>
      </c>
      <c r="AM88" s="346">
        <f>RTD("money.excel",,$G88,"PredictVolume")</f>
        <v>0</v>
      </c>
      <c r="AN88" s="272">
        <f>RTD("money.excel",,$G88,"CumulativeVolume")</f>
        <v>0</v>
      </c>
      <c r="AO88" s="284"/>
    </row>
    <row r="89" spans="1:41">
      <c r="A89" s="151" t="s">
        <v>3566</v>
      </c>
      <c r="B89" s="85">
        <v>-369</v>
      </c>
      <c r="C89" s="85">
        <v>-247</v>
      </c>
      <c r="D89" s="85">
        <v>-7</v>
      </c>
      <c r="E89" s="84">
        <v>80</v>
      </c>
      <c r="F89" s="7">
        <v>-5.3</v>
      </c>
      <c r="G89" s="85">
        <v>1447</v>
      </c>
      <c r="H89" s="4" t="s">
        <v>543</v>
      </c>
      <c r="I89" s="23" t="s">
        <v>1286</v>
      </c>
      <c r="J89" s="77">
        <v>68.459999999999994</v>
      </c>
      <c r="K89" s="77">
        <v>7.71</v>
      </c>
      <c r="L89" s="77">
        <v>9.7899999999999991</v>
      </c>
      <c r="N89" s="365">
        <f t="shared" si="41"/>
        <v>85.95999999999998</v>
      </c>
      <c r="O89" s="343">
        <f t="shared" si="42"/>
        <v>68.459999999999994</v>
      </c>
      <c r="P89" s="195">
        <v>2</v>
      </c>
      <c r="Q89" s="326">
        <f>IFERROR(VLOOKUP($G89,主力整理!$A$2:$G$2301,6,0),"0")</f>
        <v>8</v>
      </c>
      <c r="T89" s="339">
        <f t="shared" si="43"/>
        <v>10</v>
      </c>
      <c r="V89" s="371">
        <v>0.18</v>
      </c>
      <c r="W89" s="35">
        <v>0</v>
      </c>
      <c r="X89" s="100">
        <v>-0.48</v>
      </c>
      <c r="Y89" s="37" t="str">
        <f>RTD("money.excel",,"1447","Price")</f>
        <v>無資料</v>
      </c>
      <c r="Z89" s="69"/>
      <c r="AA89" s="16" t="e">
        <f t="shared" si="44"/>
        <v>#VALUE!</v>
      </c>
      <c r="AB89" s="3" t="e">
        <f t="shared" si="45"/>
        <v>#VALUE!</v>
      </c>
      <c r="AC89" s="177" t="s">
        <v>2648</v>
      </c>
      <c r="AD89" s="23" t="s">
        <v>1286</v>
      </c>
      <c r="AG89" s="34">
        <f t="shared" si="46"/>
        <v>0</v>
      </c>
      <c r="AH89" s="44" t="s">
        <v>4338</v>
      </c>
      <c r="AI89" s="131"/>
      <c r="AK89" s="66">
        <f t="shared" si="49"/>
        <v>0</v>
      </c>
      <c r="AL89" s="174">
        <f t="shared" si="50"/>
        <v>0</v>
      </c>
      <c r="AM89" s="346">
        <f>RTD("money.excel",,$G89,"PredictVolume")</f>
        <v>0</v>
      </c>
      <c r="AN89" s="272">
        <f>RTD("money.excel",,$G89,"CumulativeVolume")</f>
        <v>0</v>
      </c>
      <c r="AO89" s="284"/>
    </row>
    <row r="90" spans="1:41">
      <c r="A90" s="151" t="s">
        <v>3249</v>
      </c>
      <c r="B90" s="84">
        <v>73</v>
      </c>
      <c r="C90" s="84">
        <v>61</v>
      </c>
      <c r="D90" s="84">
        <v>34</v>
      </c>
      <c r="E90" s="85">
        <v>-9</v>
      </c>
      <c r="F90" s="7">
        <v>-4.38</v>
      </c>
      <c r="G90" s="85">
        <v>1449</v>
      </c>
      <c r="H90" s="4" t="s">
        <v>543</v>
      </c>
      <c r="I90" s="23" t="s">
        <v>1287</v>
      </c>
      <c r="J90" s="77">
        <v>74.260000000000005</v>
      </c>
      <c r="K90" s="371">
        <v>10.32</v>
      </c>
      <c r="N90" s="365">
        <f t="shared" si="41"/>
        <v>84.580000000000013</v>
      </c>
      <c r="O90" s="343">
        <f t="shared" si="42"/>
        <v>74.260000000000005</v>
      </c>
      <c r="P90" s="195" t="s">
        <v>5554</v>
      </c>
      <c r="Q90" s="326" t="str">
        <f>IFERROR(VLOOKUP($G90,主力整理!$A$2:$G$2301,6,0),"0")</f>
        <v>0</v>
      </c>
      <c r="T90" s="339">
        <f t="shared" si="43"/>
        <v>0</v>
      </c>
      <c r="V90" s="371">
        <v>27.78</v>
      </c>
      <c r="W90" s="35">
        <v>0</v>
      </c>
      <c r="X90" s="100">
        <v>-0.95</v>
      </c>
      <c r="Y90" s="37" t="str">
        <f>RTD("money.excel",,"1449","Price")</f>
        <v>無資料</v>
      </c>
      <c r="Z90" s="69"/>
      <c r="AA90" s="16" t="e">
        <f t="shared" si="44"/>
        <v>#VALUE!</v>
      </c>
      <c r="AB90" s="3" t="e">
        <f t="shared" si="45"/>
        <v>#VALUE!</v>
      </c>
      <c r="AD90" s="23" t="s">
        <v>1287</v>
      </c>
      <c r="AG90" s="34">
        <f t="shared" si="46"/>
        <v>0</v>
      </c>
      <c r="AH90" s="44" t="s">
        <v>2882</v>
      </c>
      <c r="AI90" s="131"/>
      <c r="AK90" s="66">
        <f t="shared" si="49"/>
        <v>0</v>
      </c>
      <c r="AL90" s="174">
        <f t="shared" si="50"/>
        <v>0</v>
      </c>
      <c r="AM90" s="346">
        <f>RTD("money.excel",,$G90,"PredictVolume")</f>
        <v>0</v>
      </c>
      <c r="AN90" s="272">
        <f>RTD("money.excel",,$G90,"CumulativeVolume")</f>
        <v>0</v>
      </c>
      <c r="AO90" s="284"/>
    </row>
    <row r="91" spans="1:41" ht="16.5" customHeight="1">
      <c r="A91" s="151" t="s">
        <v>2956</v>
      </c>
      <c r="B91" s="99">
        <v>-2381</v>
      </c>
      <c r="C91" s="85">
        <v>-380</v>
      </c>
      <c r="D91" s="85">
        <v>-5</v>
      </c>
      <c r="E91" s="85">
        <v>-6</v>
      </c>
      <c r="F91" s="7">
        <v>-6.91</v>
      </c>
      <c r="G91" s="85">
        <v>1451</v>
      </c>
      <c r="H91" s="4" t="s">
        <v>543</v>
      </c>
      <c r="I91" s="23" t="s">
        <v>1288</v>
      </c>
      <c r="J91" s="77">
        <v>60.04</v>
      </c>
      <c r="K91" s="77">
        <v>10.37</v>
      </c>
      <c r="L91" s="77">
        <v>0.72</v>
      </c>
      <c r="N91" s="365">
        <f t="shared" si="41"/>
        <v>71.13</v>
      </c>
      <c r="O91" s="343">
        <f t="shared" si="42"/>
        <v>60.04</v>
      </c>
      <c r="P91" s="195" t="s">
        <v>5554</v>
      </c>
      <c r="Q91" s="326" t="str">
        <f>IFERROR(VLOOKUP($G91,主力整理!$A$2:$G$2301,6,0),"0")</f>
        <v>0</v>
      </c>
      <c r="T91" s="339">
        <f t="shared" si="43"/>
        <v>0</v>
      </c>
      <c r="V91" s="371">
        <v>0</v>
      </c>
      <c r="W91" s="35">
        <v>0.6</v>
      </c>
      <c r="X91" s="100">
        <v>-2.14</v>
      </c>
      <c r="Y91" s="37" t="str">
        <f>RTD("money.excel",,"1451","Price")</f>
        <v>無資料</v>
      </c>
      <c r="Z91" s="69"/>
      <c r="AA91" s="16" t="e">
        <f t="shared" si="44"/>
        <v>#VALUE!</v>
      </c>
      <c r="AB91" s="3" t="e">
        <f t="shared" si="45"/>
        <v>#VALUE!</v>
      </c>
      <c r="AD91" s="23" t="s">
        <v>1288</v>
      </c>
      <c r="AG91" s="34">
        <f t="shared" si="46"/>
        <v>0</v>
      </c>
      <c r="AH91" s="44" t="s">
        <v>3204</v>
      </c>
      <c r="AI91" s="131"/>
      <c r="AK91" s="66">
        <f t="shared" si="49"/>
        <v>0</v>
      </c>
      <c r="AL91" s="174">
        <f t="shared" si="50"/>
        <v>0</v>
      </c>
      <c r="AM91" s="346">
        <f>RTD("money.excel",,$G91,"PredictVolume")</f>
        <v>0</v>
      </c>
      <c r="AN91" s="272">
        <f>RTD("money.excel",,$G91,"CumulativeVolume")</f>
        <v>0</v>
      </c>
      <c r="AO91" s="284"/>
    </row>
    <row r="92" spans="1:41">
      <c r="A92" s="151" t="s">
        <v>2550</v>
      </c>
      <c r="B92" s="85">
        <v>-117</v>
      </c>
      <c r="C92" s="85">
        <v>-108</v>
      </c>
      <c r="D92" s="84">
        <v>6</v>
      </c>
      <c r="E92" s="85">
        <v>-1</v>
      </c>
      <c r="F92" s="7">
        <v>-1.79</v>
      </c>
      <c r="G92" s="85">
        <v>1452</v>
      </c>
      <c r="H92" s="4" t="s">
        <v>543</v>
      </c>
      <c r="I92" s="23" t="s">
        <v>1289</v>
      </c>
      <c r="J92" s="371">
        <v>25.6</v>
      </c>
      <c r="K92" s="77">
        <v>3.92</v>
      </c>
      <c r="L92" s="371">
        <v>2.0099999999999998</v>
      </c>
      <c r="N92" s="365">
        <f t="shared" si="41"/>
        <v>31.53</v>
      </c>
      <c r="O92" s="343">
        <f t="shared" si="42"/>
        <v>25.6</v>
      </c>
      <c r="P92" s="195">
        <v>2</v>
      </c>
      <c r="Q92" s="326">
        <f>IFERROR(VLOOKUP($G92,主力整理!$A$2:$G$2301,6,0),"0")</f>
        <v>2</v>
      </c>
      <c r="T92" s="339">
        <f t="shared" si="43"/>
        <v>4</v>
      </c>
      <c r="V92" s="371">
        <v>0</v>
      </c>
      <c r="W92" s="35">
        <v>0.7</v>
      </c>
      <c r="X92" s="100">
        <v>0.74</v>
      </c>
      <c r="Y92" s="37" t="str">
        <f>RTD("money.excel",,"1452","Price")</f>
        <v>無資料</v>
      </c>
      <c r="Z92" s="69"/>
      <c r="AA92" s="16" t="e">
        <f t="shared" si="44"/>
        <v>#VALUE!</v>
      </c>
      <c r="AB92" s="3" t="e">
        <f t="shared" si="45"/>
        <v>#VALUE!</v>
      </c>
      <c r="AC92" s="177" t="s">
        <v>2648</v>
      </c>
      <c r="AD92" s="23" t="s">
        <v>1289</v>
      </c>
      <c r="AG92" s="34">
        <f t="shared" si="46"/>
        <v>0</v>
      </c>
      <c r="AH92" s="44" t="s">
        <v>2271</v>
      </c>
      <c r="AI92" s="131"/>
      <c r="AK92" s="66">
        <f t="shared" si="49"/>
        <v>0</v>
      </c>
      <c r="AL92" s="174">
        <f t="shared" si="50"/>
        <v>0</v>
      </c>
      <c r="AM92" s="346">
        <f>RTD("money.excel",,$G92,"PredictVolume")</f>
        <v>0</v>
      </c>
      <c r="AN92" s="272">
        <f>RTD("money.excel",,$G92,"CumulativeVolume")</f>
        <v>0</v>
      </c>
      <c r="AO92" s="284"/>
    </row>
    <row r="93" spans="1:41">
      <c r="A93" s="135" t="s">
        <v>3161</v>
      </c>
      <c r="B93" s="145">
        <v>1495</v>
      </c>
      <c r="C93" s="96">
        <v>211</v>
      </c>
      <c r="D93" s="145">
        <v>9356</v>
      </c>
      <c r="E93" s="96">
        <v>-21</v>
      </c>
      <c r="F93" s="59">
        <v>10.93</v>
      </c>
      <c r="G93" s="85">
        <v>1453</v>
      </c>
      <c r="H93" s="4" t="s">
        <v>543</v>
      </c>
      <c r="I93" s="23" t="s">
        <v>1290</v>
      </c>
      <c r="J93" s="77">
        <v>77.989999999999995</v>
      </c>
      <c r="K93" s="77">
        <v>0.08</v>
      </c>
      <c r="L93" s="77">
        <v>5.71</v>
      </c>
      <c r="N93" s="365">
        <f t="shared" si="41"/>
        <v>83.779999999999987</v>
      </c>
      <c r="O93" s="343">
        <f t="shared" si="42"/>
        <v>77.989999999999995</v>
      </c>
      <c r="P93" s="195" t="s">
        <v>5554</v>
      </c>
      <c r="Q93" s="326" t="str">
        <f>IFERROR(VLOOKUP($G93,主力整理!$A$2:$G$2301,6,0),"0")</f>
        <v>0</v>
      </c>
      <c r="T93" s="339">
        <f t="shared" si="43"/>
        <v>0</v>
      </c>
      <c r="V93" s="371">
        <v>28.68</v>
      </c>
      <c r="W93" s="35">
        <v>0</v>
      </c>
      <c r="X93" s="100">
        <v>0.15</v>
      </c>
      <c r="Y93" s="14" t="str">
        <f>RTD("money.excel",,"1453","Price")</f>
        <v>無資料</v>
      </c>
      <c r="Z93" s="69"/>
      <c r="AA93" s="16" t="e">
        <f t="shared" si="44"/>
        <v>#VALUE!</v>
      </c>
      <c r="AB93" s="3" t="e">
        <f t="shared" si="45"/>
        <v>#VALUE!</v>
      </c>
      <c r="AD93" s="23" t="s">
        <v>1290</v>
      </c>
      <c r="AG93" s="34">
        <f t="shared" si="46"/>
        <v>0</v>
      </c>
      <c r="AH93" s="63" t="s">
        <v>4339</v>
      </c>
      <c r="AI93" s="131"/>
      <c r="AK93" s="66">
        <f t="shared" si="49"/>
        <v>0</v>
      </c>
      <c r="AL93" s="174">
        <f t="shared" si="50"/>
        <v>0</v>
      </c>
      <c r="AM93" s="346">
        <f>RTD("money.excel",,$G93,"PredictVolume")</f>
        <v>0</v>
      </c>
      <c r="AN93" s="272">
        <f>RTD("money.excel",,$G93,"CumulativeVolume")</f>
        <v>0</v>
      </c>
      <c r="AO93" s="284"/>
    </row>
    <row r="94" spans="1:41">
      <c r="A94" s="151" t="s">
        <v>2413</v>
      </c>
      <c r="B94" s="96">
        <v>-218</v>
      </c>
      <c r="C94" s="96">
        <v>-410</v>
      </c>
      <c r="D94" s="96">
        <v>-7</v>
      </c>
      <c r="E94" s="96">
        <v>1</v>
      </c>
      <c r="F94" s="7">
        <v>-9.39</v>
      </c>
      <c r="G94" s="85">
        <v>1454</v>
      </c>
      <c r="H94" s="4" t="s">
        <v>543</v>
      </c>
      <c r="I94" s="23" t="s">
        <v>1291</v>
      </c>
      <c r="J94" s="77">
        <v>74.92</v>
      </c>
      <c r="K94" s="77">
        <v>0.42</v>
      </c>
      <c r="L94" s="77">
        <v>9.7799999999999994</v>
      </c>
      <c r="N94" s="365">
        <f t="shared" si="41"/>
        <v>85.12</v>
      </c>
      <c r="O94" s="343">
        <f t="shared" si="42"/>
        <v>74.92</v>
      </c>
      <c r="P94" s="195" t="s">
        <v>5554</v>
      </c>
      <c r="Q94" s="326" t="str">
        <f>IFERROR(VLOOKUP($G94,主力整理!$A$2:$G$2301,6,0),"0")</f>
        <v>0</v>
      </c>
      <c r="T94" s="339">
        <f t="shared" si="43"/>
        <v>0</v>
      </c>
      <c r="V94" s="371">
        <v>12.64</v>
      </c>
      <c r="W94" s="35">
        <v>0.2</v>
      </c>
      <c r="X94" s="100">
        <v>-0.31</v>
      </c>
      <c r="Y94" s="14" t="str">
        <f>RTD("money.excel",,"1454","Price")</f>
        <v>無資料</v>
      </c>
      <c r="Z94" s="69"/>
      <c r="AA94" s="16" t="e">
        <f t="shared" si="44"/>
        <v>#VALUE!</v>
      </c>
      <c r="AB94" s="3" t="e">
        <f t="shared" si="45"/>
        <v>#VALUE!</v>
      </c>
      <c r="AD94" s="23" t="s">
        <v>1291</v>
      </c>
      <c r="AG94" s="34">
        <f t="shared" si="46"/>
        <v>0</v>
      </c>
      <c r="AH94" s="44" t="s">
        <v>4340</v>
      </c>
      <c r="AI94" s="131"/>
      <c r="AK94" s="66">
        <f t="shared" si="49"/>
        <v>0</v>
      </c>
      <c r="AL94" s="174">
        <f t="shared" si="50"/>
        <v>0</v>
      </c>
      <c r="AM94" s="346">
        <f>RTD("money.excel",,$G94,"PredictVolume")</f>
        <v>0</v>
      </c>
      <c r="AN94" s="272">
        <f>RTD("money.excel",,$G94,"CumulativeVolume")</f>
        <v>0</v>
      </c>
      <c r="AO94" s="284"/>
    </row>
    <row r="95" spans="1:41">
      <c r="A95" s="151" t="s">
        <v>4843</v>
      </c>
      <c r="B95" s="84">
        <v>351</v>
      </c>
      <c r="C95" s="84">
        <v>214</v>
      </c>
      <c r="D95" s="85">
        <v>-2</v>
      </c>
      <c r="E95" s="84">
        <v>37</v>
      </c>
      <c r="F95" s="7">
        <v>8.9700000000000006</v>
      </c>
      <c r="G95" s="85">
        <v>1455</v>
      </c>
      <c r="H95" s="4" t="s">
        <v>543</v>
      </c>
      <c r="I95" s="23" t="s">
        <v>328</v>
      </c>
      <c r="J95" s="77">
        <v>56.05</v>
      </c>
      <c r="K95" s="77">
        <v>8.93</v>
      </c>
      <c r="L95" s="371">
        <v>15.11</v>
      </c>
      <c r="N95" s="365">
        <f t="shared" si="41"/>
        <v>80.089999999999989</v>
      </c>
      <c r="O95" s="343">
        <f t="shared" si="42"/>
        <v>56.05</v>
      </c>
      <c r="P95" s="195">
        <v>7</v>
      </c>
      <c r="Q95" s="326">
        <f>IFERROR(VLOOKUP($G95,主力整理!$A$2:$G$2301,6,0),"0")</f>
        <v>7</v>
      </c>
      <c r="R95" s="111">
        <v>11</v>
      </c>
      <c r="S95" s="51">
        <v>1</v>
      </c>
      <c r="T95" s="339">
        <f t="shared" si="43"/>
        <v>26</v>
      </c>
      <c r="V95" s="371">
        <v>2.2599999999999998</v>
      </c>
      <c r="W95" s="35">
        <v>0.3</v>
      </c>
      <c r="X95" s="59">
        <v>2.2599999999999998</v>
      </c>
      <c r="Y95" s="37" t="str">
        <f>RTD("money.excel",,"1455","Price")</f>
        <v>無資料</v>
      </c>
      <c r="Z95" s="69"/>
      <c r="AA95" s="16" t="e">
        <f t="shared" si="44"/>
        <v>#VALUE!</v>
      </c>
      <c r="AB95" s="3" t="e">
        <f t="shared" si="45"/>
        <v>#VALUE!</v>
      </c>
      <c r="AC95" s="177" t="s">
        <v>2648</v>
      </c>
      <c r="AD95" s="23" t="s">
        <v>328</v>
      </c>
      <c r="AG95" s="34">
        <f t="shared" si="46"/>
        <v>0</v>
      </c>
      <c r="AH95" s="125" t="s">
        <v>2271</v>
      </c>
      <c r="AI95" s="131"/>
      <c r="AK95" s="66">
        <f t="shared" si="49"/>
        <v>0</v>
      </c>
      <c r="AL95" s="174">
        <f t="shared" si="50"/>
        <v>0</v>
      </c>
      <c r="AM95" s="346">
        <f>RTD("money.excel",,$G95,"PredictVolume")</f>
        <v>0</v>
      </c>
      <c r="AN95" s="272">
        <f>RTD("money.excel",,$G95,"CumulativeVolume")</f>
        <v>0</v>
      </c>
      <c r="AO95" s="284"/>
    </row>
    <row r="96" spans="1:41">
      <c r="A96" s="151" t="s">
        <v>4844</v>
      </c>
      <c r="B96" s="96">
        <v>-769</v>
      </c>
      <c r="C96" s="96">
        <v>-35</v>
      </c>
      <c r="D96" s="96">
        <v>-40</v>
      </c>
      <c r="E96" s="96">
        <v>14</v>
      </c>
      <c r="F96" s="7">
        <v>6.38</v>
      </c>
      <c r="G96" s="85">
        <v>1456</v>
      </c>
      <c r="H96" s="4" t="s">
        <v>543</v>
      </c>
      <c r="I96" s="23" t="s">
        <v>1292</v>
      </c>
      <c r="J96" s="77">
        <v>85.88</v>
      </c>
      <c r="K96" s="77">
        <v>0.16</v>
      </c>
      <c r="L96" s="77">
        <v>2.7</v>
      </c>
      <c r="N96" s="365">
        <f t="shared" si="41"/>
        <v>88.74</v>
      </c>
      <c r="O96" s="343">
        <f t="shared" si="42"/>
        <v>85.88</v>
      </c>
      <c r="P96" s="195" t="s">
        <v>5554</v>
      </c>
      <c r="Q96" s="326" t="str">
        <f>IFERROR(VLOOKUP($G96,主力整理!$A$2:$G$2301,6,0),"0")</f>
        <v>0</v>
      </c>
      <c r="T96" s="339">
        <f t="shared" si="43"/>
        <v>0</v>
      </c>
      <c r="V96" s="371">
        <v>29.76</v>
      </c>
      <c r="W96" s="35">
        <v>0</v>
      </c>
      <c r="X96" s="100">
        <v>0.73</v>
      </c>
      <c r="Y96" s="14" t="str">
        <f>RTD("money.excel",,"1456","Price")</f>
        <v>無資料</v>
      </c>
      <c r="Z96" s="69"/>
      <c r="AA96" s="16" t="e">
        <f t="shared" si="44"/>
        <v>#VALUE!</v>
      </c>
      <c r="AB96" s="3" t="e">
        <f t="shared" si="45"/>
        <v>#VALUE!</v>
      </c>
      <c r="AD96" s="23" t="s">
        <v>1292</v>
      </c>
      <c r="AG96" s="34">
        <f t="shared" si="46"/>
        <v>0</v>
      </c>
      <c r="AH96" s="44" t="s">
        <v>4341</v>
      </c>
      <c r="AI96" s="131"/>
      <c r="AK96" s="66">
        <f t="shared" si="49"/>
        <v>0</v>
      </c>
      <c r="AL96" s="174">
        <f t="shared" si="50"/>
        <v>0</v>
      </c>
      <c r="AM96" s="346">
        <f>RTD("money.excel",,$G96,"PredictVolume")</f>
        <v>0</v>
      </c>
      <c r="AN96" s="272">
        <f>RTD("money.excel",,$G96,"CumulativeVolume")</f>
        <v>0</v>
      </c>
      <c r="AO96" s="284"/>
    </row>
    <row r="97" spans="1:41">
      <c r="A97" s="135" t="s">
        <v>2938</v>
      </c>
      <c r="B97" s="84">
        <v>10</v>
      </c>
      <c r="C97" s="84">
        <v>34</v>
      </c>
      <c r="D97" s="84">
        <v>9</v>
      </c>
      <c r="E97" s="85">
        <v>-11</v>
      </c>
      <c r="F97" s="59">
        <v>48.84</v>
      </c>
      <c r="G97" s="85">
        <v>1457</v>
      </c>
      <c r="H97" s="4" t="s">
        <v>543</v>
      </c>
      <c r="I97" s="23" t="s">
        <v>1293</v>
      </c>
      <c r="J97" s="77">
        <v>58.94</v>
      </c>
      <c r="K97" s="77">
        <v>2.19</v>
      </c>
      <c r="L97" s="77">
        <v>4.46</v>
      </c>
      <c r="N97" s="365">
        <f t="shared" si="41"/>
        <v>65.589999999999989</v>
      </c>
      <c r="O97" s="343">
        <f t="shared" si="42"/>
        <v>58.94</v>
      </c>
      <c r="P97" s="195">
        <v>2</v>
      </c>
      <c r="Q97" s="326" t="str">
        <f>IFERROR(VLOOKUP($G97,主力整理!$A$2:$G$2301,6,0),"0")</f>
        <v>0</v>
      </c>
      <c r="T97" s="339">
        <f t="shared" si="43"/>
        <v>2</v>
      </c>
      <c r="V97" s="371">
        <v>0.01</v>
      </c>
      <c r="W97" s="35">
        <v>1</v>
      </c>
      <c r="X97" s="100">
        <v>2.89</v>
      </c>
      <c r="Y97" s="37" t="str">
        <f>RTD("money.excel",,"1457","Price")</f>
        <v>無資料</v>
      </c>
      <c r="Z97" s="69"/>
      <c r="AA97" s="16" t="e">
        <f t="shared" si="44"/>
        <v>#VALUE!</v>
      </c>
      <c r="AB97" s="3" t="e">
        <f t="shared" si="45"/>
        <v>#VALUE!</v>
      </c>
      <c r="AC97" s="177" t="s">
        <v>2648</v>
      </c>
      <c r="AD97" s="23" t="s">
        <v>1293</v>
      </c>
      <c r="AG97" s="34">
        <f t="shared" si="46"/>
        <v>0</v>
      </c>
      <c r="AH97" s="63" t="s">
        <v>2271</v>
      </c>
      <c r="AI97" s="131"/>
      <c r="AK97" s="66">
        <f t="shared" si="49"/>
        <v>0</v>
      </c>
      <c r="AL97" s="174">
        <f t="shared" si="50"/>
        <v>0</v>
      </c>
      <c r="AM97" s="346">
        <f>RTD("money.excel",,$G97,"PredictVolume")</f>
        <v>0</v>
      </c>
      <c r="AN97" s="272">
        <f>RTD("money.excel",,$G97,"CumulativeVolume")</f>
        <v>0</v>
      </c>
      <c r="AO97" s="284"/>
    </row>
    <row r="98" spans="1:41">
      <c r="A98" s="151" t="s">
        <v>3142</v>
      </c>
      <c r="B98" s="99">
        <v>-2488</v>
      </c>
      <c r="C98" s="85">
        <v>-95</v>
      </c>
      <c r="D98" s="84">
        <v>14</v>
      </c>
      <c r="E98" s="85">
        <v>-41</v>
      </c>
      <c r="F98" s="7">
        <v>-16.96</v>
      </c>
      <c r="G98" s="85">
        <v>1459</v>
      </c>
      <c r="H98" s="4" t="s">
        <v>543</v>
      </c>
      <c r="I98" s="23" t="s">
        <v>1294</v>
      </c>
      <c r="J98" s="77">
        <v>82.9</v>
      </c>
      <c r="K98" s="77">
        <v>1.82</v>
      </c>
      <c r="L98" s="77">
        <v>0</v>
      </c>
      <c r="N98" s="365">
        <f t="shared" si="41"/>
        <v>84.72</v>
      </c>
      <c r="O98" s="343">
        <f t="shared" si="42"/>
        <v>82.9</v>
      </c>
      <c r="P98" s="195">
        <v>1</v>
      </c>
      <c r="Q98" s="326" t="str">
        <f>IFERROR(VLOOKUP($G98,主力整理!$A$2:$G$2301,6,0),"0")</f>
        <v>0</v>
      </c>
      <c r="T98" s="339">
        <f t="shared" si="43"/>
        <v>1</v>
      </c>
      <c r="W98" s="35">
        <v>0</v>
      </c>
      <c r="X98" s="100">
        <v>-0.57999999999999996</v>
      </c>
      <c r="Y98" s="37" t="str">
        <f>RTD("money.excel",,"1459","Price")</f>
        <v>無資料</v>
      </c>
      <c r="Z98" s="69"/>
      <c r="AA98" s="16" t="e">
        <f t="shared" si="44"/>
        <v>#VALUE!</v>
      </c>
      <c r="AB98" s="3" t="e">
        <f t="shared" si="45"/>
        <v>#VALUE!</v>
      </c>
      <c r="AC98" s="177" t="s">
        <v>2648</v>
      </c>
      <c r="AD98" s="23" t="s">
        <v>1294</v>
      </c>
      <c r="AG98" s="34">
        <f t="shared" si="46"/>
        <v>0</v>
      </c>
      <c r="AH98" s="44" t="s">
        <v>3143</v>
      </c>
      <c r="AI98" s="131"/>
      <c r="AK98" s="66">
        <f t="shared" si="49"/>
        <v>0</v>
      </c>
      <c r="AL98" s="174">
        <f t="shared" si="50"/>
        <v>0</v>
      </c>
      <c r="AM98" s="346">
        <f>RTD("money.excel",,$G98,"PredictVolume")</f>
        <v>0</v>
      </c>
      <c r="AN98" s="272">
        <f>RTD("money.excel",,$G98,"CumulativeVolume")</f>
        <v>0</v>
      </c>
      <c r="AO98" s="284"/>
    </row>
    <row r="99" spans="1:41">
      <c r="A99" s="151" t="s">
        <v>5573</v>
      </c>
      <c r="B99" s="84">
        <v>116</v>
      </c>
      <c r="C99" s="84">
        <v>140</v>
      </c>
      <c r="D99" s="84">
        <v>32</v>
      </c>
      <c r="E99" s="84">
        <v>53</v>
      </c>
      <c r="F99" s="7">
        <v>3.68</v>
      </c>
      <c r="G99" s="85">
        <v>1460</v>
      </c>
      <c r="H99" s="4" t="s">
        <v>543</v>
      </c>
      <c r="I99" s="23" t="s">
        <v>1295</v>
      </c>
      <c r="J99" s="371">
        <v>56.13</v>
      </c>
      <c r="K99" s="371">
        <v>3.3</v>
      </c>
      <c r="L99" s="371"/>
      <c r="N99" s="365">
        <f t="shared" si="41"/>
        <v>59.43</v>
      </c>
      <c r="O99" s="343">
        <f t="shared" si="42"/>
        <v>56.13</v>
      </c>
      <c r="P99" s="195">
        <v>3</v>
      </c>
      <c r="Q99" s="326">
        <f>IFERROR(VLOOKUP($G99,主力整理!$A$2:$G$2301,6,0),"0")</f>
        <v>4</v>
      </c>
      <c r="R99" s="111">
        <v>15</v>
      </c>
      <c r="S99" s="51">
        <v>0</v>
      </c>
      <c r="T99" s="339">
        <f t="shared" si="43"/>
        <v>22</v>
      </c>
      <c r="W99" s="35">
        <v>0</v>
      </c>
      <c r="X99" s="59">
        <v>-1.1100000000000001</v>
      </c>
      <c r="Y99" s="37" t="str">
        <f>RTD("money.excel",,"1460","Price")</f>
        <v>無資料</v>
      </c>
      <c r="Z99" s="69"/>
      <c r="AA99" s="16" t="e">
        <f t="shared" si="44"/>
        <v>#VALUE!</v>
      </c>
      <c r="AB99" s="3" t="e">
        <f t="shared" si="45"/>
        <v>#VALUE!</v>
      </c>
      <c r="AC99" s="177" t="s">
        <v>2648</v>
      </c>
      <c r="AD99" s="23" t="s">
        <v>1295</v>
      </c>
      <c r="AG99" s="34">
        <f t="shared" si="46"/>
        <v>0</v>
      </c>
      <c r="AH99" s="44" t="s">
        <v>5287</v>
      </c>
      <c r="AI99" s="131"/>
      <c r="AK99" s="66">
        <f t="shared" si="49"/>
        <v>0</v>
      </c>
      <c r="AL99" s="174">
        <f t="shared" si="50"/>
        <v>0</v>
      </c>
      <c r="AM99" s="346">
        <f>RTD("money.excel",,$G99,"PredictVolume")</f>
        <v>0</v>
      </c>
      <c r="AN99" s="272">
        <f>RTD("money.excel",,$G99,"CumulativeVolume")</f>
        <v>0</v>
      </c>
      <c r="AO99" s="284"/>
    </row>
    <row r="100" spans="1:41">
      <c r="A100" s="151" t="s">
        <v>4739</v>
      </c>
      <c r="B100" s="96">
        <v>-70</v>
      </c>
      <c r="C100" s="96">
        <v>-89</v>
      </c>
      <c r="D100" s="96">
        <v>13</v>
      </c>
      <c r="E100" s="96">
        <v>6</v>
      </c>
      <c r="F100" s="7">
        <v>1.05</v>
      </c>
      <c r="G100" s="85">
        <v>1463</v>
      </c>
      <c r="H100" s="4" t="s">
        <v>543</v>
      </c>
      <c r="I100" s="23" t="s">
        <v>1296</v>
      </c>
      <c r="J100" s="77">
        <v>51.56</v>
      </c>
      <c r="K100" s="371">
        <v>6.56</v>
      </c>
      <c r="L100" s="77">
        <v>5.59</v>
      </c>
      <c r="N100" s="365">
        <f t="shared" si="41"/>
        <v>63.710000000000008</v>
      </c>
      <c r="O100" s="343">
        <f t="shared" si="42"/>
        <v>51.56</v>
      </c>
      <c r="P100" s="195" t="s">
        <v>5554</v>
      </c>
      <c r="Q100" s="326">
        <f>IFERROR(VLOOKUP($G100,主力整理!$A$2:$G$2301,6,0),"0")</f>
        <v>1</v>
      </c>
      <c r="T100" s="339">
        <f t="shared" si="43"/>
        <v>1</v>
      </c>
      <c r="V100" s="371">
        <v>17.579999999999998</v>
      </c>
      <c r="W100" s="35">
        <v>0.3</v>
      </c>
      <c r="X100" s="100">
        <v>0.33</v>
      </c>
      <c r="Y100" s="14" t="str">
        <f>RTD("money.excel",,"1463","Price")</f>
        <v>無資料</v>
      </c>
      <c r="Z100" s="69"/>
      <c r="AA100" s="16" t="e">
        <f t="shared" si="44"/>
        <v>#VALUE!</v>
      </c>
      <c r="AB100" s="3" t="e">
        <f t="shared" si="45"/>
        <v>#VALUE!</v>
      </c>
      <c r="AD100" s="23" t="s">
        <v>1296</v>
      </c>
      <c r="AG100" s="34">
        <f t="shared" si="46"/>
        <v>0</v>
      </c>
      <c r="AH100" s="44" t="s">
        <v>3784</v>
      </c>
      <c r="AI100" s="131"/>
      <c r="AK100" s="66">
        <f t="shared" si="49"/>
        <v>0</v>
      </c>
      <c r="AL100" s="174">
        <f t="shared" si="50"/>
        <v>0</v>
      </c>
      <c r="AM100" s="346">
        <f>RTD("money.excel",,$G100,"PredictVolume")</f>
        <v>0</v>
      </c>
      <c r="AN100" s="272">
        <f>RTD("money.excel",,$G100,"CumulativeVolume")</f>
        <v>0</v>
      </c>
      <c r="AO100" s="284"/>
    </row>
    <row r="101" spans="1:41">
      <c r="A101" s="151" t="s">
        <v>3201</v>
      </c>
      <c r="B101" s="85">
        <v>-124</v>
      </c>
      <c r="C101" s="85">
        <v>-112</v>
      </c>
      <c r="D101" s="85">
        <v>-2</v>
      </c>
      <c r="E101" s="85">
        <v>-25</v>
      </c>
      <c r="F101" s="7">
        <v>-1.03</v>
      </c>
      <c r="G101" s="85">
        <v>1464</v>
      </c>
      <c r="H101" s="4" t="s">
        <v>543</v>
      </c>
      <c r="I101" s="23" t="s">
        <v>1297</v>
      </c>
      <c r="J101" s="77">
        <v>56.21</v>
      </c>
      <c r="K101" s="77">
        <v>1.75</v>
      </c>
      <c r="L101" s="77">
        <v>1.99</v>
      </c>
      <c r="N101" s="365">
        <f t="shared" si="41"/>
        <v>59.95</v>
      </c>
      <c r="O101" s="343">
        <f t="shared" si="42"/>
        <v>56.21</v>
      </c>
      <c r="P101" s="195">
        <v>1</v>
      </c>
      <c r="Q101" s="326" t="str">
        <f>IFERROR(VLOOKUP($G101,主力整理!$A$2:$G$2301,6,0),"0")</f>
        <v>0</v>
      </c>
      <c r="T101" s="339">
        <f t="shared" si="43"/>
        <v>1</v>
      </c>
      <c r="V101" s="371">
        <v>0.01</v>
      </c>
      <c r="W101" s="35">
        <v>0</v>
      </c>
      <c r="X101" s="100">
        <v>-0.54</v>
      </c>
      <c r="Y101" s="37" t="str">
        <f>RTD("money.excel",,"1464","Price")</f>
        <v>無資料</v>
      </c>
      <c r="Z101" s="69"/>
      <c r="AA101" s="16" t="e">
        <f t="shared" si="44"/>
        <v>#VALUE!</v>
      </c>
      <c r="AB101" s="3" t="e">
        <f t="shared" si="45"/>
        <v>#VALUE!</v>
      </c>
      <c r="AC101" s="177" t="s">
        <v>2648</v>
      </c>
      <c r="AD101" s="23" t="s">
        <v>1297</v>
      </c>
      <c r="AG101" s="34">
        <f t="shared" si="46"/>
        <v>0</v>
      </c>
      <c r="AH101" s="44" t="s">
        <v>3202</v>
      </c>
      <c r="AI101" s="131"/>
      <c r="AK101" s="66">
        <f t="shared" si="49"/>
        <v>0</v>
      </c>
      <c r="AL101" s="174">
        <f t="shared" si="50"/>
        <v>0</v>
      </c>
      <c r="AM101" s="346">
        <f>RTD("money.excel",,$G101,"PredictVolume")</f>
        <v>0</v>
      </c>
      <c r="AN101" s="272">
        <f>RTD("money.excel",,$G101,"CumulativeVolume")</f>
        <v>0</v>
      </c>
      <c r="AO101" s="284"/>
    </row>
    <row r="102" spans="1:41">
      <c r="A102" s="151" t="s">
        <v>2555</v>
      </c>
      <c r="B102" s="96">
        <v>-102</v>
      </c>
      <c r="C102" s="96">
        <v>85</v>
      </c>
      <c r="D102" s="96">
        <v>-38</v>
      </c>
      <c r="E102" s="96">
        <v>-23</v>
      </c>
      <c r="F102" s="7">
        <v>-2.91</v>
      </c>
      <c r="G102" s="85">
        <v>1465</v>
      </c>
      <c r="H102" s="4" t="s">
        <v>543</v>
      </c>
      <c r="I102" s="23" t="s">
        <v>1298</v>
      </c>
      <c r="J102" s="77">
        <v>67.52</v>
      </c>
      <c r="K102" s="77">
        <v>0.16</v>
      </c>
      <c r="L102" s="77">
        <v>29.14</v>
      </c>
      <c r="N102" s="365">
        <f t="shared" si="41"/>
        <v>96.82</v>
      </c>
      <c r="O102" s="343">
        <f t="shared" si="42"/>
        <v>67.52</v>
      </c>
      <c r="P102" s="195" t="s">
        <v>5554</v>
      </c>
      <c r="Q102" s="326" t="str">
        <f>IFERROR(VLOOKUP($G102,主力整理!$A$2:$G$2301,6,0),"0")</f>
        <v>0</v>
      </c>
      <c r="T102" s="339">
        <f t="shared" si="43"/>
        <v>0</v>
      </c>
      <c r="V102" s="371">
        <v>20.75</v>
      </c>
      <c r="W102" s="35">
        <v>0.3</v>
      </c>
      <c r="X102" s="100">
        <v>-0.24</v>
      </c>
      <c r="Y102" s="14" t="str">
        <f>RTD("money.excel",,"1465","Price")</f>
        <v>無資料</v>
      </c>
      <c r="Z102" s="69"/>
      <c r="AA102" s="16" t="e">
        <f t="shared" si="44"/>
        <v>#VALUE!</v>
      </c>
      <c r="AB102" s="3" t="e">
        <f t="shared" si="45"/>
        <v>#VALUE!</v>
      </c>
      <c r="AD102" s="23" t="s">
        <v>1298</v>
      </c>
      <c r="AG102" s="34">
        <f t="shared" si="46"/>
        <v>0</v>
      </c>
      <c r="AH102" s="44" t="s">
        <v>2272</v>
      </c>
      <c r="AI102" s="131"/>
      <c r="AK102" s="66">
        <f t="shared" si="49"/>
        <v>0</v>
      </c>
      <c r="AL102" s="174">
        <f t="shared" si="50"/>
        <v>0</v>
      </c>
      <c r="AM102" s="346">
        <f>RTD("money.excel",,$G102,"PredictVolume")</f>
        <v>0</v>
      </c>
      <c r="AN102" s="272">
        <f>RTD("money.excel",,$G102,"CumulativeVolume")</f>
        <v>0</v>
      </c>
      <c r="AO102" s="284"/>
    </row>
    <row r="103" spans="1:41">
      <c r="A103" s="151" t="s">
        <v>2538</v>
      </c>
      <c r="B103" s="84">
        <v>287</v>
      </c>
      <c r="C103" s="84">
        <v>320</v>
      </c>
      <c r="D103" s="85">
        <v>-3</v>
      </c>
      <c r="E103" s="84">
        <v>60</v>
      </c>
      <c r="F103" s="7">
        <v>7.57</v>
      </c>
      <c r="G103" s="85">
        <v>1466</v>
      </c>
      <c r="H103" s="4" t="s">
        <v>543</v>
      </c>
      <c r="I103" s="23" t="s">
        <v>1299</v>
      </c>
      <c r="J103" s="77">
        <v>50.65</v>
      </c>
      <c r="K103" s="77">
        <v>0.97</v>
      </c>
      <c r="L103" s="371">
        <v>20.67</v>
      </c>
      <c r="N103" s="365">
        <f t="shared" si="41"/>
        <v>72.289999999999992</v>
      </c>
      <c r="O103" s="343">
        <f t="shared" si="42"/>
        <v>50.65</v>
      </c>
      <c r="P103" s="195" t="s">
        <v>5554</v>
      </c>
      <c r="Q103" s="326" t="str">
        <f>IFERROR(VLOOKUP($G103,主力整理!$A$2:$G$2301,6,0),"0")</f>
        <v>0</v>
      </c>
      <c r="R103" s="111">
        <v>26</v>
      </c>
      <c r="S103" s="51">
        <v>0</v>
      </c>
      <c r="T103" s="339">
        <f t="shared" si="43"/>
        <v>26</v>
      </c>
      <c r="V103" s="371">
        <v>8.11</v>
      </c>
      <c r="W103" s="35">
        <v>0</v>
      </c>
      <c r="X103" s="59">
        <v>1.7</v>
      </c>
      <c r="Y103" s="37" t="str">
        <f>RTD("money.excel",,"1466","Price")</f>
        <v>無資料</v>
      </c>
      <c r="Z103" s="69"/>
      <c r="AA103" s="16" t="e">
        <f t="shared" si="44"/>
        <v>#VALUE!</v>
      </c>
      <c r="AB103" s="3" t="e">
        <f t="shared" si="45"/>
        <v>#VALUE!</v>
      </c>
      <c r="AC103" s="177" t="s">
        <v>2648</v>
      </c>
      <c r="AD103" s="23" t="s">
        <v>1299</v>
      </c>
      <c r="AG103" s="34">
        <f t="shared" si="46"/>
        <v>0</v>
      </c>
      <c r="AH103" s="44" t="s">
        <v>2271</v>
      </c>
      <c r="AI103" s="44"/>
      <c r="AK103" s="66">
        <f t="shared" si="49"/>
        <v>0</v>
      </c>
      <c r="AL103" s="174">
        <f t="shared" si="50"/>
        <v>0</v>
      </c>
      <c r="AM103" s="346">
        <f>RTD("money.excel",,$G103,"PredictVolume")</f>
        <v>0</v>
      </c>
      <c r="AN103" s="272">
        <f>RTD("money.excel",,$G103,"CumulativeVolume")</f>
        <v>0</v>
      </c>
      <c r="AO103" s="284"/>
    </row>
    <row r="104" spans="1:41">
      <c r="A104" s="151" t="s">
        <v>4845</v>
      </c>
      <c r="B104" s="84">
        <v>83</v>
      </c>
      <c r="C104" s="84">
        <v>114</v>
      </c>
      <c r="D104" s="85">
        <v>-6</v>
      </c>
      <c r="E104" s="85">
        <v>-53</v>
      </c>
      <c r="F104" s="7">
        <v>1.52</v>
      </c>
      <c r="G104" s="85">
        <v>1467</v>
      </c>
      <c r="H104" s="4" t="s">
        <v>543</v>
      </c>
      <c r="I104" s="23" t="s">
        <v>1300</v>
      </c>
      <c r="J104" s="371">
        <v>64.459999999999994</v>
      </c>
      <c r="K104" s="371">
        <v>18.850000000000001</v>
      </c>
      <c r="L104" s="77">
        <v>33.159999999999997</v>
      </c>
      <c r="N104" s="365">
        <f t="shared" ref="N104:N135" si="51">J104+K104+L104+M104</f>
        <v>116.47</v>
      </c>
      <c r="O104" s="343">
        <f t="shared" ref="O104:O127" si="52">J104+M104</f>
        <v>64.459999999999994</v>
      </c>
      <c r="P104" s="195">
        <v>0</v>
      </c>
      <c r="Q104" s="326">
        <v>6</v>
      </c>
      <c r="R104" s="111">
        <v>12</v>
      </c>
      <c r="S104" s="51">
        <v>0</v>
      </c>
      <c r="T104" s="339">
        <f t="shared" ref="T104:T135" si="53">SUM(P104:S104)</f>
        <v>18</v>
      </c>
      <c r="V104" s="371">
        <v>0</v>
      </c>
      <c r="W104" s="35">
        <v>0.7</v>
      </c>
      <c r="X104" s="59">
        <v>1.99</v>
      </c>
      <c r="Y104" s="37" t="str">
        <f>RTD("money.excel",,"1467","Price")</f>
        <v>無資料</v>
      </c>
      <c r="Z104" s="69"/>
      <c r="AA104" s="16" t="e">
        <f t="shared" ref="AA104:AA135" si="54">Y104-Z104</f>
        <v>#VALUE!</v>
      </c>
      <c r="AB104" s="3" t="e">
        <f t="shared" ref="AB104:AB135" si="55">AA104/Z104</f>
        <v>#VALUE!</v>
      </c>
      <c r="AD104" s="23" t="s">
        <v>1300</v>
      </c>
      <c r="AG104" s="34">
        <f t="shared" ref="AG104:AG135" si="56">AF104-AE104</f>
        <v>0</v>
      </c>
      <c r="AH104" s="44" t="s">
        <v>5610</v>
      </c>
      <c r="AI104" s="131"/>
      <c r="AK104" s="66">
        <f t="shared" si="49"/>
        <v>0</v>
      </c>
      <c r="AL104" s="174">
        <f t="shared" si="50"/>
        <v>0</v>
      </c>
      <c r="AM104" s="346">
        <f>RTD("money.excel",,$G104,"PredictVolume")</f>
        <v>0</v>
      </c>
      <c r="AN104" s="272">
        <f>RTD("money.excel",,$G104,"CumulativeVolume")</f>
        <v>0</v>
      </c>
      <c r="AO104" s="284"/>
    </row>
    <row r="105" spans="1:41">
      <c r="A105" s="151" t="s">
        <v>3445</v>
      </c>
      <c r="B105" s="96">
        <v>-6</v>
      </c>
      <c r="C105" s="96">
        <v>-44</v>
      </c>
      <c r="D105" s="96">
        <v>22</v>
      </c>
      <c r="E105" s="96">
        <v>61</v>
      </c>
      <c r="F105" s="7">
        <v>2.89</v>
      </c>
      <c r="G105" s="85">
        <v>1468</v>
      </c>
      <c r="H105" s="4" t="s">
        <v>543</v>
      </c>
      <c r="I105" s="23" t="s">
        <v>1301</v>
      </c>
      <c r="J105" s="77">
        <v>98.03</v>
      </c>
      <c r="K105" s="77">
        <v>1.84</v>
      </c>
      <c r="N105" s="365">
        <f t="shared" si="51"/>
        <v>99.87</v>
      </c>
      <c r="O105" s="343">
        <f t="shared" si="52"/>
        <v>98.03</v>
      </c>
      <c r="P105" s="195" t="s">
        <v>5554</v>
      </c>
      <c r="Q105" s="326" t="str">
        <f>IFERROR(VLOOKUP($G105,主力整理!$A$2:$G$2301,6,0),"0")</f>
        <v>0</v>
      </c>
      <c r="T105" s="339">
        <f t="shared" si="53"/>
        <v>0</v>
      </c>
      <c r="V105" s="371">
        <v>35.159999999999997</v>
      </c>
      <c r="W105" s="35">
        <v>0</v>
      </c>
      <c r="X105" s="100">
        <v>0.26</v>
      </c>
      <c r="Y105" s="14" t="str">
        <f>RTD("money.excel",,"1468","Price")</f>
        <v>無資料</v>
      </c>
      <c r="Z105" s="69"/>
      <c r="AA105" s="16" t="e">
        <f t="shared" si="54"/>
        <v>#VALUE!</v>
      </c>
      <c r="AB105" s="3" t="e">
        <f t="shared" si="55"/>
        <v>#VALUE!</v>
      </c>
      <c r="AD105" s="23" t="s">
        <v>1301</v>
      </c>
      <c r="AG105" s="34">
        <f t="shared" si="56"/>
        <v>0</v>
      </c>
      <c r="AH105" s="44" t="s">
        <v>2273</v>
      </c>
      <c r="AI105" s="131"/>
      <c r="AK105" s="66">
        <f t="shared" si="49"/>
        <v>0</v>
      </c>
      <c r="AL105" s="174">
        <f t="shared" si="50"/>
        <v>0</v>
      </c>
      <c r="AM105" s="346">
        <f>RTD("money.excel",,$G105,"PredictVolume")</f>
        <v>0</v>
      </c>
      <c r="AN105" s="272">
        <f>RTD("money.excel",,$G105,"CumulativeVolume")</f>
        <v>0</v>
      </c>
      <c r="AO105" s="284"/>
    </row>
    <row r="106" spans="1:41">
      <c r="A106" s="151" t="s">
        <v>4846</v>
      </c>
      <c r="B106" s="96">
        <v>-71</v>
      </c>
      <c r="C106" s="96">
        <v>-83</v>
      </c>
      <c r="D106" s="96">
        <v>0</v>
      </c>
      <c r="E106" s="96">
        <v>21</v>
      </c>
      <c r="F106" s="7">
        <v>5.8</v>
      </c>
      <c r="G106" s="85">
        <v>1470</v>
      </c>
      <c r="H106" s="4" t="s">
        <v>543</v>
      </c>
      <c r="I106" s="23" t="s">
        <v>1770</v>
      </c>
      <c r="J106" s="77">
        <v>86.95</v>
      </c>
      <c r="K106" s="77">
        <v>0.28999999999999998</v>
      </c>
      <c r="L106" s="77">
        <v>0.01</v>
      </c>
      <c r="N106" s="365">
        <f t="shared" si="51"/>
        <v>87.250000000000014</v>
      </c>
      <c r="O106" s="343">
        <f t="shared" si="52"/>
        <v>86.95</v>
      </c>
      <c r="P106" s="195" t="s">
        <v>5554</v>
      </c>
      <c r="Q106" s="326" t="str">
        <f>IFERROR(VLOOKUP($G106,主力整理!$A$2:$G$2301,6,0),"0")</f>
        <v>0</v>
      </c>
      <c r="T106" s="339">
        <f t="shared" si="53"/>
        <v>0</v>
      </c>
      <c r="V106" s="371">
        <v>20.84</v>
      </c>
      <c r="W106" s="35">
        <v>0.42</v>
      </c>
      <c r="X106" s="100">
        <v>0.41</v>
      </c>
      <c r="Y106" s="14" t="str">
        <f>RTD("money.excel",,"1470","Price")</f>
        <v>無資料</v>
      </c>
      <c r="Z106" s="69"/>
      <c r="AA106" s="16" t="e">
        <f t="shared" si="54"/>
        <v>#VALUE!</v>
      </c>
      <c r="AB106" s="3" t="e">
        <f t="shared" si="55"/>
        <v>#VALUE!</v>
      </c>
      <c r="AD106" s="23" t="s">
        <v>1770</v>
      </c>
      <c r="AG106" s="34">
        <f t="shared" si="56"/>
        <v>0</v>
      </c>
      <c r="AH106" s="44" t="s">
        <v>3784</v>
      </c>
      <c r="AI106" s="131"/>
      <c r="AK106" s="66">
        <f t="shared" si="49"/>
        <v>0</v>
      </c>
      <c r="AL106" s="174">
        <f t="shared" si="50"/>
        <v>0</v>
      </c>
      <c r="AM106" s="346">
        <f>RTD("money.excel",,$G106,"PredictVolume")</f>
        <v>0</v>
      </c>
      <c r="AN106" s="272">
        <f>RTD("money.excel",,$G106,"CumulativeVolume")</f>
        <v>0</v>
      </c>
      <c r="AO106" s="284"/>
    </row>
    <row r="107" spans="1:41">
      <c r="A107" s="151" t="s">
        <v>2785</v>
      </c>
      <c r="B107" s="96">
        <v>-426</v>
      </c>
      <c r="C107" s="96">
        <v>-237</v>
      </c>
      <c r="D107" s="96">
        <v>-25</v>
      </c>
      <c r="E107" s="96">
        <v>-35</v>
      </c>
      <c r="F107" s="7">
        <v>-12</v>
      </c>
      <c r="G107" s="85">
        <v>1472</v>
      </c>
      <c r="H107" s="4" t="s">
        <v>543</v>
      </c>
      <c r="I107" s="23" t="s">
        <v>1302</v>
      </c>
      <c r="J107" s="77">
        <v>58.02</v>
      </c>
      <c r="K107" s="77">
        <v>0.08</v>
      </c>
      <c r="N107" s="365">
        <f t="shared" si="51"/>
        <v>58.1</v>
      </c>
      <c r="O107" s="343">
        <f t="shared" si="52"/>
        <v>58.02</v>
      </c>
      <c r="P107" s="195" t="s">
        <v>5554</v>
      </c>
      <c r="Q107" s="326" t="str">
        <f>IFERROR(VLOOKUP($G107,主力整理!$A$2:$G$2301,6,0),"0")</f>
        <v>0</v>
      </c>
      <c r="T107" s="339">
        <f t="shared" si="53"/>
        <v>0</v>
      </c>
      <c r="V107" s="371">
        <v>12.96</v>
      </c>
      <c r="W107" s="35">
        <v>0</v>
      </c>
      <c r="X107" s="100">
        <v>-9.08</v>
      </c>
      <c r="Y107" s="14" t="str">
        <f>RTD("money.excel",,"1472","Price")</f>
        <v>無資料</v>
      </c>
      <c r="Z107" s="69"/>
      <c r="AA107" s="16" t="e">
        <f t="shared" si="54"/>
        <v>#VALUE!</v>
      </c>
      <c r="AB107" s="3" t="e">
        <f t="shared" si="55"/>
        <v>#VALUE!</v>
      </c>
      <c r="AD107" s="23" t="s">
        <v>1302</v>
      </c>
      <c r="AG107" s="34">
        <f t="shared" si="56"/>
        <v>0</v>
      </c>
      <c r="AH107" s="44" t="s">
        <v>3783</v>
      </c>
      <c r="AI107" s="284"/>
      <c r="AK107" s="66">
        <f t="shared" si="49"/>
        <v>0</v>
      </c>
      <c r="AL107" s="174">
        <f t="shared" si="50"/>
        <v>0</v>
      </c>
      <c r="AM107" s="346">
        <f>RTD("money.excel",,$G107,"PredictVolume")</f>
        <v>0</v>
      </c>
      <c r="AN107" s="272">
        <f>RTD("money.excel",,$G107,"CumulativeVolume")</f>
        <v>0</v>
      </c>
      <c r="AO107" s="284"/>
    </row>
    <row r="108" spans="1:41">
      <c r="A108" s="151" t="s">
        <v>2490</v>
      </c>
      <c r="B108" s="96">
        <v>-274</v>
      </c>
      <c r="C108" s="96">
        <v>-227</v>
      </c>
      <c r="D108" s="96">
        <v>23</v>
      </c>
      <c r="E108" s="96">
        <v>-24</v>
      </c>
      <c r="F108" s="7">
        <v>-0.6</v>
      </c>
      <c r="G108" s="85">
        <v>1473</v>
      </c>
      <c r="H108" s="4" t="s">
        <v>543</v>
      </c>
      <c r="I108" s="23" t="s">
        <v>1303</v>
      </c>
      <c r="J108" s="77">
        <v>63.3</v>
      </c>
      <c r="K108" s="77">
        <v>10.39</v>
      </c>
      <c r="L108" s="77">
        <v>0.56999999999999995</v>
      </c>
      <c r="N108" s="365">
        <f t="shared" si="51"/>
        <v>74.259999999999991</v>
      </c>
      <c r="O108" s="343">
        <f t="shared" si="52"/>
        <v>63.3</v>
      </c>
      <c r="P108" s="195" t="s">
        <v>5554</v>
      </c>
      <c r="Q108" s="326" t="str">
        <f>IFERROR(VLOOKUP($G108,主力整理!$A$2:$G$2301,6,0),"0")</f>
        <v>0</v>
      </c>
      <c r="T108" s="339">
        <f t="shared" si="53"/>
        <v>0</v>
      </c>
      <c r="V108" s="371">
        <v>14.36</v>
      </c>
      <c r="W108" s="35">
        <v>0.2</v>
      </c>
      <c r="X108" s="100">
        <v>-2.4500000000000002</v>
      </c>
      <c r="Y108" s="14" t="str">
        <f>RTD("money.excel",,"1473","Price")</f>
        <v>無資料</v>
      </c>
      <c r="Z108" s="69"/>
      <c r="AA108" s="16" t="e">
        <f t="shared" si="54"/>
        <v>#VALUE!</v>
      </c>
      <c r="AB108" s="3" t="e">
        <f t="shared" si="55"/>
        <v>#VALUE!</v>
      </c>
      <c r="AD108" s="23" t="s">
        <v>1303</v>
      </c>
      <c r="AG108" s="34">
        <f t="shared" si="56"/>
        <v>0</v>
      </c>
      <c r="AH108" s="44" t="s">
        <v>3778</v>
      </c>
      <c r="AI108" s="284"/>
      <c r="AK108" s="66">
        <f t="shared" si="49"/>
        <v>0</v>
      </c>
      <c r="AL108" s="174">
        <f t="shared" si="50"/>
        <v>0</v>
      </c>
      <c r="AM108" s="346">
        <f>RTD("money.excel",,$G108,"PredictVolume")</f>
        <v>0</v>
      </c>
      <c r="AN108" s="272">
        <f>RTD("money.excel",,$G108,"CumulativeVolume")</f>
        <v>0</v>
      </c>
      <c r="AO108" s="284"/>
    </row>
    <row r="109" spans="1:41">
      <c r="A109" s="151" t="s">
        <v>2413</v>
      </c>
      <c r="B109" s="98">
        <v>7158</v>
      </c>
      <c r="C109" s="84">
        <v>437</v>
      </c>
      <c r="D109" s="84">
        <v>17</v>
      </c>
      <c r="E109" s="84">
        <v>31</v>
      </c>
      <c r="F109" s="7">
        <v>6.63</v>
      </c>
      <c r="G109" s="85">
        <v>1474</v>
      </c>
      <c r="H109" s="4" t="s">
        <v>543</v>
      </c>
      <c r="I109" s="23" t="s">
        <v>1304</v>
      </c>
      <c r="J109" s="77">
        <v>43.7</v>
      </c>
      <c r="K109" s="77">
        <v>2.12</v>
      </c>
      <c r="L109" s="371">
        <v>15.79</v>
      </c>
      <c r="N109" s="365">
        <f t="shared" si="51"/>
        <v>61.61</v>
      </c>
      <c r="O109" s="343">
        <f t="shared" si="52"/>
        <v>43.7</v>
      </c>
      <c r="P109" s="195" t="s">
        <v>5554</v>
      </c>
      <c r="Q109" s="326">
        <f>IFERROR(VLOOKUP($G109,主力整理!$A$2:$G$2301,6,0),"0")</f>
        <v>1</v>
      </c>
      <c r="R109" s="111">
        <v>23</v>
      </c>
      <c r="S109" s="51">
        <v>0</v>
      </c>
      <c r="T109" s="339">
        <f t="shared" si="53"/>
        <v>24</v>
      </c>
      <c r="V109" s="371">
        <v>0.16</v>
      </c>
      <c r="W109" s="35">
        <v>0.4</v>
      </c>
      <c r="X109" s="100">
        <v>1.1499999999999999</v>
      </c>
      <c r="Y109" s="37" t="str">
        <f>RTD("money.excel",,"1474","Price")</f>
        <v>無資料</v>
      </c>
      <c r="Z109" s="69"/>
      <c r="AA109" s="16" t="e">
        <f t="shared" si="54"/>
        <v>#VALUE!</v>
      </c>
      <c r="AB109" s="3" t="e">
        <f t="shared" si="55"/>
        <v>#VALUE!</v>
      </c>
      <c r="AC109" s="177" t="s">
        <v>2648</v>
      </c>
      <c r="AD109" s="23" t="s">
        <v>1304</v>
      </c>
      <c r="AG109" s="34">
        <f t="shared" si="56"/>
        <v>0</v>
      </c>
      <c r="AH109" s="44" t="s">
        <v>2647</v>
      </c>
      <c r="AI109" s="131"/>
      <c r="AK109" s="66">
        <f t="shared" si="49"/>
        <v>0</v>
      </c>
      <c r="AL109" s="174">
        <f t="shared" si="50"/>
        <v>0</v>
      </c>
      <c r="AM109" s="346">
        <f>RTD("money.excel",,$G109,"PredictVolume")</f>
        <v>0</v>
      </c>
      <c r="AN109" s="272">
        <f>RTD("money.excel",,$G109,"CumulativeVolume")</f>
        <v>0</v>
      </c>
      <c r="AO109" s="284"/>
    </row>
    <row r="110" spans="1:41">
      <c r="A110" s="151" t="s">
        <v>4675</v>
      </c>
      <c r="B110" s="84">
        <v>396</v>
      </c>
      <c r="C110" s="84">
        <v>202</v>
      </c>
      <c r="D110" s="85">
        <v>-41</v>
      </c>
      <c r="E110" s="84">
        <v>546</v>
      </c>
      <c r="F110" s="7">
        <v>6.75</v>
      </c>
      <c r="G110" s="85">
        <v>1475</v>
      </c>
      <c r="H110" s="4" t="s">
        <v>543</v>
      </c>
      <c r="I110" s="23" t="s">
        <v>4847</v>
      </c>
      <c r="J110" s="77">
        <v>65.8</v>
      </c>
      <c r="K110" s="77">
        <v>0.25</v>
      </c>
      <c r="N110" s="365">
        <f t="shared" si="51"/>
        <v>66.05</v>
      </c>
      <c r="O110" s="343">
        <f t="shared" si="52"/>
        <v>65.8</v>
      </c>
      <c r="P110" s="195" t="s">
        <v>5554</v>
      </c>
      <c r="Q110" s="326" t="str">
        <f>IFERROR(VLOOKUP($G110,主力整理!$A$2:$G$2301,6,0),"0")</f>
        <v>0</v>
      </c>
      <c r="T110" s="339">
        <f t="shared" si="53"/>
        <v>0</v>
      </c>
      <c r="W110" s="35">
        <v>0</v>
      </c>
      <c r="X110" s="59">
        <v>0.86</v>
      </c>
      <c r="Y110" s="37" t="str">
        <f>RTD("money.excel",,"1475","Price")</f>
        <v>無資料</v>
      </c>
      <c r="Z110" s="69"/>
      <c r="AA110" s="16" t="e">
        <f t="shared" si="54"/>
        <v>#VALUE!</v>
      </c>
      <c r="AB110" s="3" t="e">
        <f t="shared" si="55"/>
        <v>#VALUE!</v>
      </c>
      <c r="AD110" s="23" t="s">
        <v>4847</v>
      </c>
      <c r="AG110" s="34">
        <f t="shared" si="56"/>
        <v>0</v>
      </c>
      <c r="AH110" s="44" t="s">
        <v>3782</v>
      </c>
      <c r="AI110" s="131"/>
      <c r="AK110" s="66">
        <f t="shared" si="49"/>
        <v>0</v>
      </c>
      <c r="AL110" s="174">
        <f t="shared" si="50"/>
        <v>0</v>
      </c>
      <c r="AM110" s="346">
        <f>RTD("money.excel",,$G110,"PredictVolume")</f>
        <v>0</v>
      </c>
      <c r="AN110" s="272">
        <f>RTD("money.excel",,$G110,"CumulativeVolume")</f>
        <v>0</v>
      </c>
      <c r="AO110" s="284"/>
    </row>
    <row r="111" spans="1:41">
      <c r="A111" s="135" t="s">
        <v>2442</v>
      </c>
      <c r="B111" s="85">
        <v>-15</v>
      </c>
      <c r="C111" s="85">
        <v>-14</v>
      </c>
      <c r="D111" s="84">
        <v>48</v>
      </c>
      <c r="E111" s="84">
        <v>35</v>
      </c>
      <c r="F111" s="59">
        <v>18.21</v>
      </c>
      <c r="G111" s="85">
        <v>1476</v>
      </c>
      <c r="H111" s="4" t="s">
        <v>543</v>
      </c>
      <c r="I111" s="23" t="s">
        <v>28</v>
      </c>
      <c r="J111" s="371">
        <v>69.03</v>
      </c>
      <c r="K111" s="371">
        <v>39.65</v>
      </c>
      <c r="L111" s="371">
        <v>3.4</v>
      </c>
      <c r="N111" s="365">
        <f t="shared" si="51"/>
        <v>112.08000000000001</v>
      </c>
      <c r="O111" s="343">
        <f t="shared" si="52"/>
        <v>69.03</v>
      </c>
      <c r="P111" s="195">
        <v>26</v>
      </c>
      <c r="Q111" s="326">
        <f>IFERROR(VLOOKUP($G111,主力整理!$A$2:$G$2301,6,0),"0")</f>
        <v>1</v>
      </c>
      <c r="R111" s="111">
        <v>2</v>
      </c>
      <c r="T111" s="339">
        <f t="shared" si="53"/>
        <v>29</v>
      </c>
      <c r="V111" s="371">
        <v>0.19</v>
      </c>
      <c r="W111" s="69">
        <v>11</v>
      </c>
      <c r="X111" s="100">
        <v>15.51</v>
      </c>
      <c r="Y111" s="37" t="str">
        <f>RTD("money.excel",,"1476","Price")</f>
        <v>無資料</v>
      </c>
      <c r="Z111" s="69"/>
      <c r="AA111" s="16" t="e">
        <f t="shared" si="54"/>
        <v>#VALUE!</v>
      </c>
      <c r="AB111" s="3" t="e">
        <f t="shared" si="55"/>
        <v>#VALUE!</v>
      </c>
      <c r="AC111" s="177" t="s">
        <v>2929</v>
      </c>
      <c r="AD111" s="23" t="s">
        <v>28</v>
      </c>
      <c r="AG111" s="34">
        <f t="shared" si="56"/>
        <v>0</v>
      </c>
      <c r="AH111" s="126" t="s">
        <v>3779</v>
      </c>
      <c r="AI111" s="131"/>
      <c r="AK111" s="66">
        <f t="shared" si="49"/>
        <v>0</v>
      </c>
      <c r="AL111" s="174">
        <f t="shared" si="50"/>
        <v>0</v>
      </c>
      <c r="AM111" s="346">
        <f>RTD("money.excel",,$G111,"PredictVolume")</f>
        <v>0</v>
      </c>
      <c r="AN111" s="272">
        <f>RTD("money.excel",,$G111,"CumulativeVolume")</f>
        <v>0</v>
      </c>
      <c r="AO111" s="284"/>
    </row>
    <row r="112" spans="1:41">
      <c r="A112" s="135" t="s">
        <v>2689</v>
      </c>
      <c r="B112" s="84">
        <v>7</v>
      </c>
      <c r="C112" s="84">
        <v>7</v>
      </c>
      <c r="D112" s="84">
        <v>45</v>
      </c>
      <c r="E112" s="84">
        <v>12</v>
      </c>
      <c r="F112" s="59">
        <v>10.7</v>
      </c>
      <c r="G112" s="85">
        <v>1477</v>
      </c>
      <c r="H112" s="4" t="s">
        <v>543</v>
      </c>
      <c r="I112" s="23" t="s">
        <v>242</v>
      </c>
      <c r="J112" s="77">
        <v>55.83</v>
      </c>
      <c r="K112" s="371">
        <v>30.44</v>
      </c>
      <c r="L112" s="371">
        <v>2.66</v>
      </c>
      <c r="N112" s="365">
        <f t="shared" si="51"/>
        <v>88.929999999999993</v>
      </c>
      <c r="O112" s="343">
        <f t="shared" si="52"/>
        <v>55.83</v>
      </c>
      <c r="P112" s="195">
        <v>16</v>
      </c>
      <c r="Q112" s="326">
        <f>IFERROR(VLOOKUP($G112,主力整理!$A$2:$G$2301,6,0),"0")</f>
        <v>3</v>
      </c>
      <c r="R112" s="111">
        <v>1</v>
      </c>
      <c r="T112" s="339">
        <f t="shared" si="53"/>
        <v>20</v>
      </c>
      <c r="V112" s="371">
        <v>0.13</v>
      </c>
      <c r="W112" s="69">
        <v>8</v>
      </c>
      <c r="X112" s="59">
        <v>9.35</v>
      </c>
      <c r="Y112" s="37" t="str">
        <f>RTD("money.excel",,"1477","Price")</f>
        <v>無資料</v>
      </c>
      <c r="Z112" s="69"/>
      <c r="AA112" s="16" t="e">
        <f t="shared" si="54"/>
        <v>#VALUE!</v>
      </c>
      <c r="AB112" s="3" t="e">
        <f t="shared" si="55"/>
        <v>#VALUE!</v>
      </c>
      <c r="AC112" s="177" t="s">
        <v>2929</v>
      </c>
      <c r="AD112" s="23" t="s">
        <v>242</v>
      </c>
      <c r="AG112" s="34">
        <f t="shared" si="56"/>
        <v>0</v>
      </c>
      <c r="AH112" s="126" t="s">
        <v>5288</v>
      </c>
      <c r="AI112" s="131"/>
      <c r="AK112" s="66">
        <f t="shared" si="49"/>
        <v>0</v>
      </c>
      <c r="AL112" s="174">
        <f t="shared" si="50"/>
        <v>0</v>
      </c>
      <c r="AM112" s="346">
        <f>RTD("money.excel",,$G112,"PredictVolume")</f>
        <v>0</v>
      </c>
      <c r="AN112" s="272">
        <f>RTD("money.excel",,$G112,"CumulativeVolume")</f>
        <v>0</v>
      </c>
      <c r="AO112" s="284"/>
    </row>
    <row r="113" spans="1:41">
      <c r="A113" s="151" t="s">
        <v>3033</v>
      </c>
      <c r="B113" s="96">
        <v>-86</v>
      </c>
      <c r="C113" s="96">
        <v>-83</v>
      </c>
      <c r="D113" s="96">
        <v>37</v>
      </c>
      <c r="E113" s="96">
        <v>66</v>
      </c>
      <c r="F113" s="7">
        <v>1.7</v>
      </c>
      <c r="G113" s="85">
        <v>4401</v>
      </c>
      <c r="H113" s="4" t="s">
        <v>543</v>
      </c>
      <c r="I113" s="17" t="s">
        <v>415</v>
      </c>
      <c r="J113" s="371">
        <v>68.14</v>
      </c>
      <c r="K113" s="371">
        <v>11.14</v>
      </c>
      <c r="L113" s="77">
        <v>10.61</v>
      </c>
      <c r="N113" s="365">
        <f t="shared" si="51"/>
        <v>89.89</v>
      </c>
      <c r="O113" s="343">
        <f t="shared" si="52"/>
        <v>68.14</v>
      </c>
      <c r="P113" s="195" t="s">
        <v>5554</v>
      </c>
      <c r="Q113" s="326" t="str">
        <f>IFERROR(VLOOKUP($G113,主力整理!$A$2:$G$2301,6,0),"0")</f>
        <v>0</v>
      </c>
      <c r="T113" s="339">
        <f t="shared" si="53"/>
        <v>0</v>
      </c>
      <c r="V113" s="371">
        <v>23.47</v>
      </c>
      <c r="W113" s="35">
        <v>1</v>
      </c>
      <c r="X113" s="100">
        <v>0.7</v>
      </c>
      <c r="Y113" s="14" t="str">
        <f>RTD("money.excel",,"4401","Price")</f>
        <v>無資料</v>
      </c>
      <c r="Z113" s="69"/>
      <c r="AA113" s="16" t="e">
        <f t="shared" si="54"/>
        <v>#VALUE!</v>
      </c>
      <c r="AB113" s="3" t="e">
        <f t="shared" si="55"/>
        <v>#VALUE!</v>
      </c>
      <c r="AD113" s="17" t="s">
        <v>415</v>
      </c>
      <c r="AG113" s="34">
        <f t="shared" si="56"/>
        <v>0</v>
      </c>
      <c r="AH113" s="44" t="s">
        <v>4149</v>
      </c>
      <c r="AI113" s="131"/>
      <c r="AK113" s="66">
        <f t="shared" si="49"/>
        <v>0</v>
      </c>
      <c r="AL113" s="174">
        <f t="shared" si="50"/>
        <v>0</v>
      </c>
      <c r="AM113" s="346">
        <f>RTD("money.excel",,$G113,"PredictVolume")</f>
        <v>0</v>
      </c>
      <c r="AN113" s="272">
        <f>RTD("money.excel",,$G113,"CumulativeVolume")</f>
        <v>0</v>
      </c>
      <c r="AO113" s="284"/>
    </row>
    <row r="114" spans="1:41">
      <c r="A114" s="151" t="s">
        <v>4727</v>
      </c>
      <c r="B114" s="96">
        <v>-110</v>
      </c>
      <c r="C114" s="96">
        <v>27</v>
      </c>
      <c r="D114" s="96">
        <v>-7</v>
      </c>
      <c r="E114" s="96">
        <v>-22</v>
      </c>
      <c r="F114" s="7">
        <v>-28.88</v>
      </c>
      <c r="G114" s="85">
        <v>4402</v>
      </c>
      <c r="H114" s="4" t="s">
        <v>543</v>
      </c>
      <c r="I114" s="17" t="s">
        <v>1263</v>
      </c>
      <c r="J114" s="77">
        <v>44</v>
      </c>
      <c r="K114" s="77">
        <v>0</v>
      </c>
      <c r="N114" s="365">
        <f t="shared" si="51"/>
        <v>44</v>
      </c>
      <c r="O114" s="343">
        <f t="shared" si="52"/>
        <v>44</v>
      </c>
      <c r="P114" s="195" t="s">
        <v>5554</v>
      </c>
      <c r="Q114" s="326" t="str">
        <f>IFERROR(VLOOKUP($G114,主力整理!$A$2:$G$2301,6,0),"0")</f>
        <v>0</v>
      </c>
      <c r="T114" s="339">
        <f t="shared" si="53"/>
        <v>0</v>
      </c>
      <c r="V114" s="371">
        <v>15.51</v>
      </c>
      <c r="W114" s="35">
        <v>0</v>
      </c>
      <c r="X114" s="100">
        <v>-1.0900000000000001</v>
      </c>
      <c r="Y114" s="37" t="str">
        <f>RTD("money.excel",,"4402","Price")</f>
        <v>無資料</v>
      </c>
      <c r="Z114" s="69"/>
      <c r="AA114" s="16" t="e">
        <f t="shared" si="54"/>
        <v>#VALUE!</v>
      </c>
      <c r="AB114" s="3" t="e">
        <f t="shared" si="55"/>
        <v>#VALUE!</v>
      </c>
      <c r="AD114" s="17" t="s">
        <v>1263</v>
      </c>
      <c r="AG114" s="34">
        <f t="shared" si="56"/>
        <v>0</v>
      </c>
      <c r="AH114" s="44" t="s">
        <v>4150</v>
      </c>
      <c r="AI114" s="131"/>
      <c r="AK114" s="66">
        <f t="shared" si="49"/>
        <v>0</v>
      </c>
      <c r="AL114" s="174">
        <f t="shared" si="50"/>
        <v>0</v>
      </c>
      <c r="AM114" s="346">
        <f>RTD("money.excel",,$G114,"PredictVolume")</f>
        <v>0</v>
      </c>
      <c r="AN114" s="272">
        <f>RTD("money.excel",,$G114,"CumulativeVolume")</f>
        <v>0</v>
      </c>
      <c r="AO114" s="284"/>
    </row>
    <row r="115" spans="1:41">
      <c r="A115" s="151" t="s">
        <v>3500</v>
      </c>
      <c r="B115" s="96">
        <v>-442</v>
      </c>
      <c r="C115" s="96">
        <v>-38</v>
      </c>
      <c r="D115" s="96">
        <v>-12</v>
      </c>
      <c r="E115" s="96">
        <v>6</v>
      </c>
      <c r="F115" s="7">
        <v>-13.61</v>
      </c>
      <c r="G115" s="85">
        <v>4406</v>
      </c>
      <c r="H115" s="4" t="s">
        <v>543</v>
      </c>
      <c r="I115" s="17" t="s">
        <v>1264</v>
      </c>
      <c r="J115" s="77">
        <v>80.510000000000005</v>
      </c>
      <c r="K115" s="77">
        <v>0.2</v>
      </c>
      <c r="L115" s="77">
        <v>0.82</v>
      </c>
      <c r="N115" s="365">
        <f t="shared" si="51"/>
        <v>81.53</v>
      </c>
      <c r="O115" s="343">
        <f t="shared" si="52"/>
        <v>80.510000000000005</v>
      </c>
      <c r="P115" s="195" t="s">
        <v>5554</v>
      </c>
      <c r="Q115" s="326" t="str">
        <f>IFERROR(VLOOKUP($G115,主力整理!$A$2:$G$2301,6,0),"0")</f>
        <v>0</v>
      </c>
      <c r="T115" s="339">
        <f t="shared" si="53"/>
        <v>0</v>
      </c>
      <c r="V115" s="371">
        <v>19.05</v>
      </c>
      <c r="W115" s="35">
        <v>0</v>
      </c>
      <c r="X115" s="100">
        <v>-0.94</v>
      </c>
      <c r="Y115" s="37" t="str">
        <f>RTD("money.excel",,"4406","Price")</f>
        <v>無資料</v>
      </c>
      <c r="Z115" s="69"/>
      <c r="AA115" s="16" t="e">
        <f t="shared" si="54"/>
        <v>#VALUE!</v>
      </c>
      <c r="AB115" s="3" t="e">
        <f t="shared" si="55"/>
        <v>#VALUE!</v>
      </c>
      <c r="AD115" s="17" t="s">
        <v>1264</v>
      </c>
      <c r="AG115" s="34">
        <f t="shared" si="56"/>
        <v>0</v>
      </c>
      <c r="AH115" s="44" t="s">
        <v>2271</v>
      </c>
      <c r="AI115" s="131"/>
      <c r="AK115" s="66">
        <f t="shared" si="49"/>
        <v>0</v>
      </c>
      <c r="AL115" s="174">
        <f t="shared" si="50"/>
        <v>0</v>
      </c>
      <c r="AM115" s="346">
        <f>RTD("money.excel",,$G115,"PredictVolume")</f>
        <v>0</v>
      </c>
      <c r="AN115" s="272">
        <f>RTD("money.excel",,$G115,"CumulativeVolume")</f>
        <v>0</v>
      </c>
      <c r="AO115" s="284"/>
    </row>
    <row r="116" spans="1:41">
      <c r="A116" s="151" t="s">
        <v>2530</v>
      </c>
      <c r="B116" s="96">
        <v>-135</v>
      </c>
      <c r="C116" s="96">
        <v>-125</v>
      </c>
      <c r="D116" s="96">
        <v>184</v>
      </c>
      <c r="E116" s="96">
        <v>130</v>
      </c>
      <c r="F116" s="7">
        <v>-1.19</v>
      </c>
      <c r="G116" s="85">
        <v>4413</v>
      </c>
      <c r="H116" s="4" t="s">
        <v>543</v>
      </c>
      <c r="I116" s="17" t="s">
        <v>1771</v>
      </c>
      <c r="J116" s="77">
        <v>70.790000000000006</v>
      </c>
      <c r="K116" s="77">
        <v>7.57</v>
      </c>
      <c r="N116" s="365">
        <f t="shared" si="51"/>
        <v>78.360000000000014</v>
      </c>
      <c r="O116" s="343">
        <f t="shared" si="52"/>
        <v>70.790000000000006</v>
      </c>
      <c r="P116" s="195" t="s">
        <v>5554</v>
      </c>
      <c r="Q116" s="326" t="str">
        <f>IFERROR(VLOOKUP($G116,主力整理!$A$2:$G$2301,6,0),"0")</f>
        <v>0</v>
      </c>
      <c r="T116" s="339">
        <f t="shared" si="53"/>
        <v>0</v>
      </c>
      <c r="V116" s="371">
        <v>22.24</v>
      </c>
      <c r="W116" s="35">
        <v>0</v>
      </c>
      <c r="X116" s="100">
        <v>-0.79</v>
      </c>
      <c r="Y116" s="14" t="str">
        <f>RTD("money.excel",,"4413","Price")</f>
        <v>無資料</v>
      </c>
      <c r="Z116" s="69"/>
      <c r="AA116" s="16" t="e">
        <f t="shared" si="54"/>
        <v>#VALUE!</v>
      </c>
      <c r="AB116" s="3" t="e">
        <f t="shared" si="55"/>
        <v>#VALUE!</v>
      </c>
      <c r="AD116" s="17" t="s">
        <v>1771</v>
      </c>
      <c r="AG116" s="34">
        <f t="shared" si="56"/>
        <v>0</v>
      </c>
      <c r="AH116" s="44" t="s">
        <v>4151</v>
      </c>
      <c r="AI116" s="131"/>
      <c r="AK116" s="66">
        <f t="shared" si="49"/>
        <v>0</v>
      </c>
      <c r="AL116" s="174">
        <f t="shared" si="50"/>
        <v>0</v>
      </c>
      <c r="AM116" s="346">
        <f>RTD("money.excel",,$G116,"PredictVolume")</f>
        <v>0</v>
      </c>
      <c r="AN116" s="272">
        <f>RTD("money.excel",,$G116,"CumulativeVolume")</f>
        <v>0</v>
      </c>
      <c r="AO116" s="284"/>
    </row>
    <row r="117" spans="1:41">
      <c r="A117" s="151" t="s">
        <v>2475</v>
      </c>
      <c r="B117" s="96">
        <v>-30</v>
      </c>
      <c r="C117" s="96">
        <v>29</v>
      </c>
      <c r="D117" s="96">
        <v>-20</v>
      </c>
      <c r="E117" s="96">
        <v>-7</v>
      </c>
      <c r="F117" s="7">
        <v>-0.99</v>
      </c>
      <c r="G117" s="85">
        <v>4414</v>
      </c>
      <c r="H117" s="4" t="s">
        <v>543</v>
      </c>
      <c r="I117" s="23" t="s">
        <v>1305</v>
      </c>
      <c r="J117" s="77">
        <v>79.47</v>
      </c>
      <c r="K117" s="77">
        <v>12.51</v>
      </c>
      <c r="L117" s="77">
        <v>27.22</v>
      </c>
      <c r="N117" s="365">
        <f t="shared" si="51"/>
        <v>119.2</v>
      </c>
      <c r="O117" s="343">
        <f t="shared" si="52"/>
        <v>79.47</v>
      </c>
      <c r="P117" s="195" t="s">
        <v>5554</v>
      </c>
      <c r="Q117" s="326">
        <f>IFERROR(VLOOKUP($G117,主力整理!$A$2:$G$2301,6,0),"0")</f>
        <v>4</v>
      </c>
      <c r="T117" s="339">
        <f t="shared" si="53"/>
        <v>4</v>
      </c>
      <c r="V117" s="371">
        <v>20.78</v>
      </c>
      <c r="W117" s="35">
        <v>0</v>
      </c>
      <c r="X117" s="100">
        <v>-0.16</v>
      </c>
      <c r="Y117" s="14" t="str">
        <f>RTD("money.excel",,"4414","Price")</f>
        <v>無資料</v>
      </c>
      <c r="Z117" s="69"/>
      <c r="AA117" s="16" t="e">
        <f t="shared" si="54"/>
        <v>#VALUE!</v>
      </c>
      <c r="AB117" s="3" t="e">
        <f t="shared" si="55"/>
        <v>#VALUE!</v>
      </c>
      <c r="AD117" s="23" t="s">
        <v>1305</v>
      </c>
      <c r="AG117" s="34">
        <f t="shared" si="56"/>
        <v>0</v>
      </c>
      <c r="AH117" s="44" t="s">
        <v>3780</v>
      </c>
      <c r="AI117" s="131"/>
      <c r="AK117" s="66">
        <f t="shared" si="49"/>
        <v>0</v>
      </c>
      <c r="AL117" s="174">
        <f t="shared" si="50"/>
        <v>0</v>
      </c>
      <c r="AM117" s="346">
        <f>RTD("money.excel",,$G117,"PredictVolume")</f>
        <v>0</v>
      </c>
      <c r="AN117" s="272">
        <f>RTD("money.excel",,$G117,"CumulativeVolume")</f>
        <v>0</v>
      </c>
      <c r="AO117" s="284"/>
    </row>
    <row r="118" spans="1:41">
      <c r="A118" s="135" t="s">
        <v>3482</v>
      </c>
      <c r="B118" s="96">
        <v>72</v>
      </c>
      <c r="C118" s="96">
        <v>4</v>
      </c>
      <c r="D118" s="96">
        <v>-7</v>
      </c>
      <c r="E118" s="96">
        <v>57</v>
      </c>
      <c r="F118" s="59">
        <v>13.72</v>
      </c>
      <c r="G118" s="85">
        <v>4417</v>
      </c>
      <c r="H118" s="4" t="s">
        <v>543</v>
      </c>
      <c r="I118" s="17" t="s">
        <v>1265</v>
      </c>
      <c r="J118" s="77">
        <v>46.56</v>
      </c>
      <c r="K118" s="77">
        <v>2.93</v>
      </c>
      <c r="L118" s="77">
        <v>1.31</v>
      </c>
      <c r="N118" s="365">
        <f t="shared" si="51"/>
        <v>50.800000000000004</v>
      </c>
      <c r="O118" s="343">
        <f t="shared" si="52"/>
        <v>46.56</v>
      </c>
      <c r="P118" s="195" t="s">
        <v>5554</v>
      </c>
      <c r="Q118" s="326" t="str">
        <f>IFERROR(VLOOKUP($G118,主力整理!$A$2:$G$2301,6,0),"0")</f>
        <v>0</v>
      </c>
      <c r="T118" s="339">
        <f t="shared" si="53"/>
        <v>0</v>
      </c>
      <c r="V118" s="371">
        <v>24.13</v>
      </c>
      <c r="W118" s="35">
        <v>2.5</v>
      </c>
      <c r="X118" s="100">
        <v>3.76</v>
      </c>
      <c r="Y118" s="37" t="str">
        <f>RTD("money.excel",,"4417","Price")</f>
        <v>無資料</v>
      </c>
      <c r="Z118" s="69"/>
      <c r="AA118" s="16" t="e">
        <f t="shared" si="54"/>
        <v>#VALUE!</v>
      </c>
      <c r="AB118" s="3" t="e">
        <f t="shared" si="55"/>
        <v>#VALUE!</v>
      </c>
      <c r="AD118" s="17" t="s">
        <v>1265</v>
      </c>
      <c r="AG118" s="34">
        <f t="shared" si="56"/>
        <v>0</v>
      </c>
      <c r="AH118" s="63" t="s">
        <v>4152</v>
      </c>
      <c r="AI118" s="131"/>
      <c r="AK118" s="66">
        <f t="shared" si="49"/>
        <v>0</v>
      </c>
      <c r="AL118" s="174">
        <f t="shared" si="50"/>
        <v>0</v>
      </c>
      <c r="AM118" s="346">
        <f>RTD("money.excel",,$G118,"PredictVolume")</f>
        <v>0</v>
      </c>
      <c r="AN118" s="272">
        <f>RTD("money.excel",,$G118,"CumulativeVolume")</f>
        <v>0</v>
      </c>
      <c r="AO118" s="284"/>
    </row>
    <row r="119" spans="1:41">
      <c r="A119" s="151" t="s">
        <v>4697</v>
      </c>
      <c r="B119" s="96">
        <v>-183</v>
      </c>
      <c r="C119" s="96">
        <v>10</v>
      </c>
      <c r="D119" s="96">
        <v>497</v>
      </c>
      <c r="E119" s="96">
        <v>633</v>
      </c>
      <c r="F119" s="7">
        <v>-31</v>
      </c>
      <c r="G119" s="85">
        <v>4419</v>
      </c>
      <c r="H119" s="4" t="s">
        <v>543</v>
      </c>
      <c r="I119" s="17" t="s">
        <v>1266</v>
      </c>
      <c r="J119" s="77">
        <v>77.37</v>
      </c>
      <c r="K119" s="77">
        <v>0.01</v>
      </c>
      <c r="N119" s="365">
        <f t="shared" si="51"/>
        <v>77.38000000000001</v>
      </c>
      <c r="O119" s="343">
        <f t="shared" si="52"/>
        <v>77.37</v>
      </c>
      <c r="P119" s="195" t="s">
        <v>5554</v>
      </c>
      <c r="Q119" s="326" t="str">
        <f>IFERROR(VLOOKUP($G119,主力整理!$A$2:$G$2301,6,0),"0")</f>
        <v>0</v>
      </c>
      <c r="T119" s="339">
        <f t="shared" si="53"/>
        <v>0</v>
      </c>
      <c r="V119" s="371">
        <v>41.31</v>
      </c>
      <c r="W119" s="35">
        <v>0</v>
      </c>
      <c r="X119" s="100">
        <v>-1.38</v>
      </c>
      <c r="Y119" s="14" t="str">
        <f>RTD("money.excel",,"4419","Price")</f>
        <v>無資料</v>
      </c>
      <c r="Z119" s="69"/>
      <c r="AA119" s="16" t="e">
        <f t="shared" si="54"/>
        <v>#VALUE!</v>
      </c>
      <c r="AB119" s="3" t="e">
        <f t="shared" si="55"/>
        <v>#VALUE!</v>
      </c>
      <c r="AD119" s="17" t="s">
        <v>1266</v>
      </c>
      <c r="AG119" s="34">
        <f t="shared" si="56"/>
        <v>0</v>
      </c>
      <c r="AH119" s="44" t="s">
        <v>2271</v>
      </c>
      <c r="AI119" s="131"/>
      <c r="AK119" s="66">
        <f t="shared" si="49"/>
        <v>0</v>
      </c>
      <c r="AL119" s="174">
        <f t="shared" si="50"/>
        <v>0</v>
      </c>
      <c r="AM119" s="346">
        <f>RTD("money.excel",,$G119,"PredictVolume")</f>
        <v>0</v>
      </c>
      <c r="AN119" s="272">
        <f>RTD("money.excel",,$G119,"CumulativeVolume")</f>
        <v>0</v>
      </c>
      <c r="AO119" s="284"/>
    </row>
    <row r="120" spans="1:41">
      <c r="A120" s="151" t="s">
        <v>4728</v>
      </c>
      <c r="B120" s="96">
        <v>-106</v>
      </c>
      <c r="C120" s="96">
        <v>-101</v>
      </c>
      <c r="D120" s="96">
        <v>-14</v>
      </c>
      <c r="E120" s="96">
        <v>45</v>
      </c>
      <c r="F120" s="7">
        <v>6.2</v>
      </c>
      <c r="G120" s="85">
        <v>4420</v>
      </c>
      <c r="H120" s="4" t="s">
        <v>543</v>
      </c>
      <c r="I120" s="17" t="s">
        <v>1267</v>
      </c>
      <c r="J120" s="77">
        <v>71.69</v>
      </c>
      <c r="K120" s="77">
        <v>0</v>
      </c>
      <c r="L120" s="77">
        <v>6.32</v>
      </c>
      <c r="N120" s="365">
        <f t="shared" si="51"/>
        <v>78.009999999999991</v>
      </c>
      <c r="O120" s="343">
        <f t="shared" si="52"/>
        <v>71.69</v>
      </c>
      <c r="P120" s="195" t="s">
        <v>5554</v>
      </c>
      <c r="Q120" s="326" t="str">
        <f>IFERROR(VLOOKUP($G120,主力整理!$A$2:$G$2301,6,0),"0")</f>
        <v>0</v>
      </c>
      <c r="T120" s="339">
        <f t="shared" si="53"/>
        <v>0</v>
      </c>
      <c r="V120" s="371">
        <v>43.68</v>
      </c>
      <c r="W120" s="35">
        <v>2</v>
      </c>
      <c r="X120" s="100">
        <v>-0.46</v>
      </c>
      <c r="Y120" s="14" t="str">
        <f>RTD("money.excel",,"4420","Price")</f>
        <v>無資料</v>
      </c>
      <c r="Z120" s="69"/>
      <c r="AA120" s="16" t="e">
        <f t="shared" si="54"/>
        <v>#VALUE!</v>
      </c>
      <c r="AB120" s="3" t="e">
        <f t="shared" si="55"/>
        <v>#VALUE!</v>
      </c>
      <c r="AD120" s="17" t="s">
        <v>1267</v>
      </c>
      <c r="AG120" s="34">
        <f t="shared" si="56"/>
        <v>0</v>
      </c>
      <c r="AH120" s="44" t="s">
        <v>4153</v>
      </c>
      <c r="AI120" s="131"/>
      <c r="AK120" s="66">
        <f t="shared" si="49"/>
        <v>0</v>
      </c>
      <c r="AL120" s="174">
        <f t="shared" si="50"/>
        <v>0</v>
      </c>
      <c r="AM120" s="346">
        <f>RTD("money.excel",,$G120,"PredictVolume")</f>
        <v>0</v>
      </c>
      <c r="AN120" s="272">
        <f>RTD("money.excel",,$G120,"CumulativeVolume")</f>
        <v>0</v>
      </c>
      <c r="AO120" s="284"/>
    </row>
    <row r="121" spans="1:41">
      <c r="A121" s="151" t="s">
        <v>2503</v>
      </c>
      <c r="B121" s="96">
        <v>16</v>
      </c>
      <c r="C121" s="96">
        <v>25</v>
      </c>
      <c r="D121" s="96">
        <v>-9</v>
      </c>
      <c r="E121" s="96">
        <v>17</v>
      </c>
      <c r="F121" s="7">
        <v>-11.71</v>
      </c>
      <c r="G121" s="85">
        <v>4426</v>
      </c>
      <c r="H121" s="4" t="s">
        <v>543</v>
      </c>
      <c r="I121" s="23" t="s">
        <v>1306</v>
      </c>
      <c r="J121" s="371">
        <v>63.11</v>
      </c>
      <c r="K121" s="371">
        <v>9.69</v>
      </c>
      <c r="L121" s="77">
        <v>13.68</v>
      </c>
      <c r="N121" s="365">
        <f t="shared" si="51"/>
        <v>86.47999999999999</v>
      </c>
      <c r="O121" s="343">
        <f t="shared" si="52"/>
        <v>63.11</v>
      </c>
      <c r="P121" s="195" t="s">
        <v>5554</v>
      </c>
      <c r="Q121" s="326" t="str">
        <f>IFERROR(VLOOKUP($G121,主力整理!$A$2:$G$2301,6,0),"0")</f>
        <v>0</v>
      </c>
      <c r="T121" s="339">
        <f t="shared" si="53"/>
        <v>0</v>
      </c>
      <c r="V121" s="371">
        <v>32.22</v>
      </c>
      <c r="W121" s="35">
        <v>0</v>
      </c>
      <c r="X121" s="59">
        <v>-0.65</v>
      </c>
      <c r="Y121" s="37" t="str">
        <f>RTD("money.excel",,"4426","Price")</f>
        <v>無資料</v>
      </c>
      <c r="Z121" s="69"/>
      <c r="AA121" s="16" t="e">
        <f t="shared" si="54"/>
        <v>#VALUE!</v>
      </c>
      <c r="AB121" s="3" t="e">
        <f t="shared" si="55"/>
        <v>#VALUE!</v>
      </c>
      <c r="AD121" s="23" t="s">
        <v>1306</v>
      </c>
      <c r="AG121" s="34">
        <f t="shared" si="56"/>
        <v>0</v>
      </c>
      <c r="AH121" s="44" t="s">
        <v>2274</v>
      </c>
      <c r="AI121" s="131"/>
      <c r="AK121" s="66">
        <f t="shared" si="49"/>
        <v>0</v>
      </c>
      <c r="AL121" s="174">
        <f t="shared" si="50"/>
        <v>0</v>
      </c>
      <c r="AM121" s="346">
        <f>RTD("money.excel",,$G121,"PredictVolume")</f>
        <v>0</v>
      </c>
      <c r="AN121" s="272">
        <f>RTD("money.excel",,$G121,"CumulativeVolume")</f>
        <v>0</v>
      </c>
      <c r="AO121" s="284"/>
    </row>
    <row r="122" spans="1:41">
      <c r="A122" s="151" t="s">
        <v>2415</v>
      </c>
      <c r="B122" s="96">
        <v>86</v>
      </c>
      <c r="C122" s="96">
        <v>-89</v>
      </c>
      <c r="D122" s="96">
        <v>-1</v>
      </c>
      <c r="E122" s="96">
        <v>4</v>
      </c>
      <c r="F122" s="7">
        <v>0.21</v>
      </c>
      <c r="G122" s="85">
        <v>4429</v>
      </c>
      <c r="H122" s="4" t="s">
        <v>543</v>
      </c>
      <c r="I122" s="17" t="s">
        <v>1268</v>
      </c>
      <c r="J122" s="77">
        <v>68.53</v>
      </c>
      <c r="K122" s="77">
        <v>1.56</v>
      </c>
      <c r="L122" s="77">
        <v>0.93</v>
      </c>
      <c r="N122" s="365">
        <f t="shared" si="51"/>
        <v>71.02000000000001</v>
      </c>
      <c r="O122" s="343">
        <f t="shared" si="52"/>
        <v>68.53</v>
      </c>
      <c r="P122" s="195" t="s">
        <v>5554</v>
      </c>
      <c r="Q122" s="326" t="str">
        <f>IFERROR(VLOOKUP($G122,主力整理!$A$2:$G$2301,6,0),"0")</f>
        <v>0</v>
      </c>
      <c r="T122" s="339">
        <f t="shared" si="53"/>
        <v>0</v>
      </c>
      <c r="V122" s="371">
        <v>18.989999999999998</v>
      </c>
      <c r="W122" s="35">
        <v>0</v>
      </c>
      <c r="X122" s="100">
        <v>-1.24</v>
      </c>
      <c r="Y122" s="14" t="str">
        <f>RTD("money.excel",,"4429","Price")</f>
        <v>無資料</v>
      </c>
      <c r="Z122" s="69"/>
      <c r="AA122" s="16" t="e">
        <f t="shared" si="54"/>
        <v>#VALUE!</v>
      </c>
      <c r="AB122" s="3" t="e">
        <f t="shared" si="55"/>
        <v>#VALUE!</v>
      </c>
      <c r="AD122" s="17" t="s">
        <v>1268</v>
      </c>
      <c r="AG122" s="34">
        <f t="shared" si="56"/>
        <v>0</v>
      </c>
      <c r="AH122" s="44" t="s">
        <v>4154</v>
      </c>
      <c r="AI122" s="284"/>
      <c r="AK122" s="66">
        <f t="shared" si="49"/>
        <v>0</v>
      </c>
      <c r="AL122" s="174">
        <f t="shared" si="50"/>
        <v>0</v>
      </c>
      <c r="AM122" s="346">
        <f>RTD("money.excel",,$G122,"PredictVolume")</f>
        <v>0</v>
      </c>
      <c r="AN122" s="272">
        <f>RTD("money.excel",,$G122,"CumulativeVolume")</f>
        <v>0</v>
      </c>
      <c r="AO122" s="284"/>
    </row>
    <row r="123" spans="1:41">
      <c r="A123" s="151" t="s">
        <v>4729</v>
      </c>
      <c r="B123" s="84">
        <v>88</v>
      </c>
      <c r="C123" s="84">
        <v>54</v>
      </c>
      <c r="D123" s="85">
        <v>-43</v>
      </c>
      <c r="E123" s="85">
        <v>-38</v>
      </c>
      <c r="F123" s="7">
        <v>-0.99</v>
      </c>
      <c r="G123" s="85">
        <v>4432</v>
      </c>
      <c r="H123" s="11" t="s">
        <v>543</v>
      </c>
      <c r="I123" s="176" t="s">
        <v>377</v>
      </c>
      <c r="J123" s="371">
        <v>46.43</v>
      </c>
      <c r="K123" s="77">
        <v>0.95</v>
      </c>
      <c r="L123" s="77">
        <v>7.88</v>
      </c>
      <c r="N123" s="365">
        <f t="shared" si="51"/>
        <v>55.260000000000005</v>
      </c>
      <c r="O123" s="343">
        <f t="shared" si="52"/>
        <v>46.43</v>
      </c>
      <c r="P123" s="195" t="s">
        <v>5554</v>
      </c>
      <c r="Q123" s="326" t="str">
        <f>IFERROR(VLOOKUP($G123,主力整理!$A$2:$G$2301,6,0),"0")</f>
        <v>0</v>
      </c>
      <c r="R123" s="111">
        <v>11</v>
      </c>
      <c r="T123" s="339">
        <f t="shared" si="53"/>
        <v>11</v>
      </c>
      <c r="V123" s="371">
        <v>0</v>
      </c>
      <c r="W123" s="205">
        <v>0</v>
      </c>
      <c r="X123" s="100">
        <v>-0.18</v>
      </c>
      <c r="Y123" s="37" t="str">
        <f>RTD("money.excel",,"4432","Price")</f>
        <v>無資料</v>
      </c>
      <c r="Z123" s="69"/>
      <c r="AA123" s="16" t="e">
        <f t="shared" si="54"/>
        <v>#VALUE!</v>
      </c>
      <c r="AB123" s="3" t="e">
        <f t="shared" si="55"/>
        <v>#VALUE!</v>
      </c>
      <c r="AD123" s="17" t="s">
        <v>377</v>
      </c>
      <c r="AG123" s="34">
        <f t="shared" si="56"/>
        <v>0</v>
      </c>
      <c r="AH123" s="44" t="s">
        <v>2172</v>
      </c>
      <c r="AI123" s="131"/>
      <c r="AK123" s="66">
        <f t="shared" si="49"/>
        <v>0</v>
      </c>
      <c r="AL123" s="174">
        <f t="shared" si="50"/>
        <v>0</v>
      </c>
      <c r="AM123" s="346">
        <f>RTD("money.excel",,$G123,"PredictVolume")</f>
        <v>0</v>
      </c>
      <c r="AN123" s="272">
        <f>RTD("money.excel",,$G123,"CumulativeVolume")</f>
        <v>0</v>
      </c>
      <c r="AO123" s="284"/>
    </row>
    <row r="124" spans="1:41">
      <c r="A124" s="151" t="s">
        <v>3257</v>
      </c>
      <c r="B124" s="98">
        <v>1721</v>
      </c>
      <c r="C124" s="84">
        <v>109</v>
      </c>
      <c r="D124" s="84">
        <v>101</v>
      </c>
      <c r="E124" s="84">
        <v>51</v>
      </c>
      <c r="F124" s="7">
        <v>4.4800000000000004</v>
      </c>
      <c r="G124" s="85">
        <v>4433</v>
      </c>
      <c r="H124" s="4" t="s">
        <v>543</v>
      </c>
      <c r="I124" s="17" t="s">
        <v>1270</v>
      </c>
      <c r="J124" s="371">
        <v>47.97</v>
      </c>
      <c r="K124" s="77">
        <v>0.75</v>
      </c>
      <c r="L124" s="77">
        <v>8.67</v>
      </c>
      <c r="N124" s="365">
        <f t="shared" si="51"/>
        <v>57.39</v>
      </c>
      <c r="O124" s="343">
        <f t="shared" si="52"/>
        <v>47.97</v>
      </c>
      <c r="P124" s="195" t="s">
        <v>5554</v>
      </c>
      <c r="Q124" s="326" t="str">
        <f>IFERROR(VLOOKUP($G124,主力整理!$A$2:$G$2301,6,0),"0")</f>
        <v>0</v>
      </c>
      <c r="R124" s="111">
        <v>14</v>
      </c>
      <c r="T124" s="339">
        <f t="shared" si="53"/>
        <v>14</v>
      </c>
      <c r="V124" s="371">
        <v>7.0000000000000007E-2</v>
      </c>
      <c r="W124" s="35">
        <v>2</v>
      </c>
      <c r="X124" s="100">
        <v>7.84</v>
      </c>
      <c r="Y124" s="37" t="str">
        <f>RTD("money.excel",,"4433","Price")</f>
        <v>無資料</v>
      </c>
      <c r="Z124" s="69"/>
      <c r="AA124" s="16" t="e">
        <f t="shared" si="54"/>
        <v>#VALUE!</v>
      </c>
      <c r="AB124" s="3" t="e">
        <f t="shared" si="55"/>
        <v>#VALUE!</v>
      </c>
      <c r="AC124" s="177" t="s">
        <v>2648</v>
      </c>
      <c r="AD124" s="17" t="s">
        <v>1270</v>
      </c>
      <c r="AG124" s="34">
        <f t="shared" si="56"/>
        <v>0</v>
      </c>
      <c r="AH124" s="44" t="s">
        <v>5281</v>
      </c>
      <c r="AI124" s="131"/>
      <c r="AK124" s="66">
        <f t="shared" si="49"/>
        <v>0</v>
      </c>
      <c r="AL124" s="174">
        <f t="shared" si="50"/>
        <v>0</v>
      </c>
      <c r="AM124" s="346">
        <f>RTD("money.excel",,$G124,"PredictVolume")</f>
        <v>0</v>
      </c>
      <c r="AN124" s="272">
        <f>RTD("money.excel",,$G124,"CumulativeVolume")</f>
        <v>0</v>
      </c>
      <c r="AO124" s="284"/>
    </row>
    <row r="125" spans="1:41">
      <c r="A125" s="151" t="s">
        <v>2555</v>
      </c>
      <c r="B125" s="96">
        <v>-54</v>
      </c>
      <c r="C125" s="96">
        <v>-65</v>
      </c>
      <c r="D125" s="96">
        <v>17</v>
      </c>
      <c r="E125" s="96">
        <v>-17</v>
      </c>
      <c r="F125" s="7">
        <v>4.3899999999999997</v>
      </c>
      <c r="G125" s="85">
        <v>4438</v>
      </c>
      <c r="H125" s="4" t="s">
        <v>543</v>
      </c>
      <c r="I125" s="23" t="s">
        <v>1307</v>
      </c>
      <c r="J125" s="77">
        <v>63.37</v>
      </c>
      <c r="K125" s="77">
        <v>3.77</v>
      </c>
      <c r="L125" s="77">
        <v>4.4000000000000004</v>
      </c>
      <c r="N125" s="365">
        <f t="shared" si="51"/>
        <v>71.540000000000006</v>
      </c>
      <c r="O125" s="343">
        <f t="shared" si="52"/>
        <v>63.37</v>
      </c>
      <c r="P125" s="195">
        <v>3</v>
      </c>
      <c r="Q125" s="326" t="str">
        <f>IFERROR(VLOOKUP($G125,主力整理!$A$2:$G$2301,6,0),"0")</f>
        <v>0</v>
      </c>
      <c r="T125" s="339">
        <f t="shared" si="53"/>
        <v>3</v>
      </c>
      <c r="V125" s="371">
        <v>46.8</v>
      </c>
      <c r="W125" s="69">
        <v>3.2</v>
      </c>
      <c r="X125" s="59">
        <v>5.2</v>
      </c>
      <c r="Y125" s="37" t="str">
        <f>RTD("money.excel",,"4438","Price")</f>
        <v>無資料</v>
      </c>
      <c r="Z125" s="69"/>
      <c r="AA125" s="16" t="e">
        <f t="shared" si="54"/>
        <v>#VALUE!</v>
      </c>
      <c r="AB125" s="3" t="e">
        <f t="shared" si="55"/>
        <v>#VALUE!</v>
      </c>
      <c r="AC125" s="177" t="s">
        <v>2929</v>
      </c>
      <c r="AD125" s="23" t="s">
        <v>1307</v>
      </c>
      <c r="AG125" s="34">
        <f t="shared" si="56"/>
        <v>0</v>
      </c>
      <c r="AH125" s="44" t="s">
        <v>4848</v>
      </c>
      <c r="AI125" s="131"/>
      <c r="AK125" s="66">
        <f t="shared" si="49"/>
        <v>0</v>
      </c>
      <c r="AL125" s="174">
        <f t="shared" si="50"/>
        <v>0</v>
      </c>
      <c r="AM125" s="346">
        <f>RTD("money.excel",,$G125,"PredictVolume")</f>
        <v>0</v>
      </c>
      <c r="AN125" s="272">
        <f>RTD("money.excel",,$G125,"CumulativeVolume")</f>
        <v>0</v>
      </c>
      <c r="AO125" s="284"/>
    </row>
    <row r="126" spans="1:41">
      <c r="A126" s="151" t="s">
        <v>2352</v>
      </c>
      <c r="B126" s="85">
        <v>-35</v>
      </c>
      <c r="C126" s="85">
        <v>-40</v>
      </c>
      <c r="D126" s="84">
        <v>17</v>
      </c>
      <c r="E126" s="85">
        <v>-13</v>
      </c>
      <c r="F126" s="7">
        <v>7.24</v>
      </c>
      <c r="G126" s="85">
        <v>4439</v>
      </c>
      <c r="H126" s="4" t="s">
        <v>543</v>
      </c>
      <c r="I126" s="23" t="s">
        <v>2743</v>
      </c>
      <c r="J126" s="77">
        <v>71.319999999999993</v>
      </c>
      <c r="K126" s="371">
        <v>63.98</v>
      </c>
      <c r="L126" s="371">
        <v>2.13</v>
      </c>
      <c r="N126" s="365">
        <f t="shared" si="51"/>
        <v>137.42999999999998</v>
      </c>
      <c r="O126" s="343">
        <f t="shared" si="52"/>
        <v>71.319999999999993</v>
      </c>
      <c r="P126" s="195">
        <v>1</v>
      </c>
      <c r="Q126" s="326" t="str">
        <f>IFERROR(VLOOKUP($G126,主力整理!$A$2:$G$2301,6,0),"0")</f>
        <v>0</v>
      </c>
      <c r="T126" s="339">
        <f t="shared" si="53"/>
        <v>1</v>
      </c>
      <c r="V126" s="371">
        <v>0</v>
      </c>
      <c r="W126" s="69">
        <v>6.5</v>
      </c>
      <c r="X126" s="100">
        <v>13.24</v>
      </c>
      <c r="Y126" s="14" t="str">
        <f>RTD("money.excel",,"4439","Price")</f>
        <v>無資料</v>
      </c>
      <c r="Z126" s="69"/>
      <c r="AA126" s="16" t="e">
        <f t="shared" si="54"/>
        <v>#VALUE!</v>
      </c>
      <c r="AB126" s="3" t="e">
        <f t="shared" si="55"/>
        <v>#VALUE!</v>
      </c>
      <c r="AC126" s="177" t="s">
        <v>2929</v>
      </c>
      <c r="AD126" s="23" t="s">
        <v>2743</v>
      </c>
      <c r="AG126" s="34">
        <f t="shared" si="56"/>
        <v>0</v>
      </c>
      <c r="AH126" s="44" t="s">
        <v>3781</v>
      </c>
      <c r="AI126" s="131"/>
      <c r="AK126" s="66">
        <f t="shared" si="49"/>
        <v>0</v>
      </c>
      <c r="AL126" s="174">
        <f t="shared" si="50"/>
        <v>0</v>
      </c>
      <c r="AM126" s="346">
        <f>RTD("money.excel",,$G126,"PredictVolume")</f>
        <v>0</v>
      </c>
      <c r="AN126" s="272">
        <f>RTD("money.excel",,$G126,"CumulativeVolume")</f>
        <v>0</v>
      </c>
      <c r="AO126" s="284"/>
    </row>
    <row r="127" spans="1:41">
      <c r="A127" s="135" t="s">
        <v>2728</v>
      </c>
      <c r="B127" s="84">
        <v>242</v>
      </c>
      <c r="C127" s="84">
        <v>182</v>
      </c>
      <c r="D127" s="84">
        <v>7</v>
      </c>
      <c r="E127" s="84">
        <v>36</v>
      </c>
      <c r="F127" s="59">
        <v>20.91</v>
      </c>
      <c r="G127" s="85">
        <v>4440</v>
      </c>
      <c r="H127" s="4" t="s">
        <v>543</v>
      </c>
      <c r="I127" s="23" t="s">
        <v>6360</v>
      </c>
      <c r="J127" s="77">
        <v>34.19</v>
      </c>
      <c r="K127" s="77">
        <v>0.7</v>
      </c>
      <c r="M127" s="77"/>
      <c r="N127" s="365">
        <f t="shared" si="51"/>
        <v>34.89</v>
      </c>
      <c r="O127" s="343">
        <f t="shared" si="52"/>
        <v>34.19</v>
      </c>
      <c r="P127" s="195">
        <v>0</v>
      </c>
      <c r="Q127" s="326" t="str">
        <f>IFERROR(VLOOKUP($G127,主力整理!$A$2:$G$2301,6,0),"0")</f>
        <v>0</v>
      </c>
      <c r="R127" s="111">
        <v>0</v>
      </c>
      <c r="S127" s="51">
        <v>2</v>
      </c>
      <c r="T127" s="339">
        <f t="shared" si="53"/>
        <v>2</v>
      </c>
      <c r="W127" s="69">
        <v>4.4000000000000004</v>
      </c>
      <c r="X127" s="100">
        <v>5.67</v>
      </c>
      <c r="Y127" s="37" t="str">
        <f>RTD("money.excel",,"4440","Price")</f>
        <v>無資料</v>
      </c>
      <c r="Z127" s="69"/>
      <c r="AA127" s="16" t="e">
        <f t="shared" si="54"/>
        <v>#VALUE!</v>
      </c>
      <c r="AB127" s="3" t="e">
        <f t="shared" si="55"/>
        <v>#VALUE!</v>
      </c>
      <c r="AC127" s="177" t="s">
        <v>2700</v>
      </c>
      <c r="AD127" s="23" t="s">
        <v>6360</v>
      </c>
      <c r="AG127" s="34">
        <f t="shared" si="56"/>
        <v>0</v>
      </c>
      <c r="AH127" s="63" t="s">
        <v>6364</v>
      </c>
      <c r="AI127" s="131"/>
      <c r="AK127" s="66">
        <f t="shared" si="49"/>
        <v>0</v>
      </c>
      <c r="AL127" s="174">
        <f t="shared" si="50"/>
        <v>0</v>
      </c>
      <c r="AM127" s="346">
        <f>RTD("money.excel",,$G127,"PredictVolume")</f>
        <v>0</v>
      </c>
      <c r="AN127" s="272">
        <f>RTD("money.excel",,$G127,"CumulativeVolume")</f>
        <v>0</v>
      </c>
      <c r="AO127" s="284"/>
    </row>
    <row r="128" spans="1:41">
      <c r="B128" s="84"/>
      <c r="C128" s="84"/>
      <c r="D128" s="84"/>
      <c r="E128" s="84"/>
      <c r="F128" s="59"/>
      <c r="G128" s="85"/>
      <c r="H128" s="4"/>
      <c r="I128" s="23"/>
      <c r="J128" s="77"/>
      <c r="K128" s="77"/>
      <c r="M128" s="77"/>
      <c r="N128" s="365"/>
      <c r="O128" s="343"/>
      <c r="P128" s="195"/>
      <c r="W128" s="69"/>
      <c r="X128" s="100"/>
      <c r="Y128" s="37"/>
      <c r="Z128" s="69"/>
      <c r="AA128" s="16"/>
      <c r="AB128" s="3"/>
      <c r="AD128" s="23"/>
      <c r="AG128" s="34"/>
      <c r="AH128" s="63"/>
      <c r="AI128" s="131"/>
      <c r="AK128" s="66"/>
      <c r="AL128" s="174"/>
      <c r="AM128" s="346"/>
      <c r="AN128" s="272"/>
      <c r="AO128" s="284"/>
    </row>
    <row r="129" spans="1:41">
      <c r="A129" s="135" t="s">
        <v>2552</v>
      </c>
      <c r="B129" s="96" t="s">
        <v>2331</v>
      </c>
      <c r="C129" s="96" t="s">
        <v>2332</v>
      </c>
      <c r="D129" s="96" t="s">
        <v>2333</v>
      </c>
      <c r="E129" s="96" t="s">
        <v>2334</v>
      </c>
      <c r="F129" s="9" t="s">
        <v>1709</v>
      </c>
      <c r="G129" s="52" t="s">
        <v>1005</v>
      </c>
      <c r="H129" s="56" t="s">
        <v>578</v>
      </c>
      <c r="I129" s="51" t="s">
        <v>544</v>
      </c>
      <c r="J129" s="364" t="s">
        <v>2189</v>
      </c>
      <c r="K129" s="364" t="s">
        <v>1820</v>
      </c>
      <c r="L129" s="364" t="s">
        <v>515</v>
      </c>
      <c r="M129" s="364" t="s">
        <v>1699</v>
      </c>
      <c r="N129" s="364" t="s">
        <v>6604</v>
      </c>
      <c r="O129" s="343" t="s">
        <v>6620</v>
      </c>
      <c r="P129" s="83" t="s">
        <v>5279</v>
      </c>
      <c r="Q129" s="326" t="s">
        <v>5514</v>
      </c>
      <c r="R129" s="31" t="s">
        <v>6596</v>
      </c>
      <c r="S129" s="51" t="s">
        <v>6597</v>
      </c>
      <c r="T129" s="338" t="s">
        <v>5627</v>
      </c>
      <c r="U129" s="330" t="s">
        <v>6537</v>
      </c>
      <c r="V129" s="377" t="s">
        <v>6616</v>
      </c>
      <c r="W129" s="11" t="s">
        <v>127</v>
      </c>
      <c r="X129" s="71" t="s">
        <v>5216</v>
      </c>
      <c r="Y129" s="29" t="s">
        <v>3</v>
      </c>
      <c r="Z129" s="18" t="s">
        <v>2113</v>
      </c>
      <c r="AA129" s="15" t="s">
        <v>8</v>
      </c>
      <c r="AB129" s="22" t="s">
        <v>4</v>
      </c>
      <c r="AC129" s="358" t="s">
        <v>211</v>
      </c>
      <c r="AD129" s="51" t="s">
        <v>544</v>
      </c>
      <c r="AE129" s="75" t="s">
        <v>2114</v>
      </c>
      <c r="AF129" s="76" t="s">
        <v>1826</v>
      </c>
      <c r="AG129" s="33" t="s">
        <v>1827</v>
      </c>
      <c r="AH129" s="44"/>
      <c r="AI129" s="131"/>
      <c r="AK129" s="9" t="s">
        <v>6666</v>
      </c>
      <c r="AL129" s="5" t="s">
        <v>6667</v>
      </c>
      <c r="AM129" s="51" t="s">
        <v>5339</v>
      </c>
      <c r="AN129" s="276" t="s">
        <v>6665</v>
      </c>
      <c r="AO129" s="284"/>
    </row>
    <row r="130" spans="1:41">
      <c r="A130" s="151" t="s">
        <v>3122</v>
      </c>
      <c r="B130" s="84">
        <v>0</v>
      </c>
      <c r="C130" s="84">
        <v>10</v>
      </c>
      <c r="D130" s="85">
        <v>-11</v>
      </c>
      <c r="E130" s="85">
        <v>-1</v>
      </c>
      <c r="F130" s="7">
        <v>9.4</v>
      </c>
      <c r="G130" s="85">
        <v>1503</v>
      </c>
      <c r="H130" s="4" t="s">
        <v>544</v>
      </c>
      <c r="I130" s="23" t="s">
        <v>1034</v>
      </c>
      <c r="J130" s="77">
        <v>86.71</v>
      </c>
      <c r="K130" s="77">
        <v>31.98</v>
      </c>
      <c r="L130" s="77">
        <v>0.21</v>
      </c>
      <c r="N130" s="365">
        <f t="shared" ref="N130:N161" si="57">J130+K130+L130+M130</f>
        <v>118.89999999999999</v>
      </c>
      <c r="O130" s="343">
        <f t="shared" ref="O130:O161" si="58">J130+M130</f>
        <v>86.71</v>
      </c>
      <c r="P130" s="195">
        <v>1</v>
      </c>
      <c r="Q130" s="326" t="str">
        <f>IFERROR(VLOOKUP($G130,主力整理!$A$2:$G$2301,6,0),"0")</f>
        <v>0</v>
      </c>
      <c r="T130" s="339">
        <f t="shared" ref="T130:T161" si="59">SUM(P130:S130)</f>
        <v>1</v>
      </c>
      <c r="V130" s="371">
        <v>0</v>
      </c>
      <c r="W130" s="35">
        <v>1.6</v>
      </c>
      <c r="X130" s="100">
        <v>2.93</v>
      </c>
      <c r="Y130" s="37" t="str">
        <f>RTD("money.excel",,"1503","Price")</f>
        <v>無資料</v>
      </c>
      <c r="Z130" s="69"/>
      <c r="AA130" s="16" t="e">
        <f t="shared" ref="AA130:AA161" si="60">Y130-Z130</f>
        <v>#VALUE!</v>
      </c>
      <c r="AB130" s="3" t="e">
        <f t="shared" ref="AB130:AB161" si="61">AA130/Z130</f>
        <v>#VALUE!</v>
      </c>
      <c r="AC130" s="177" t="s">
        <v>2648</v>
      </c>
      <c r="AD130" s="23" t="s">
        <v>1034</v>
      </c>
      <c r="AG130" s="34">
        <f t="shared" ref="AG130:AG161" si="62">AF130-AE130</f>
        <v>0</v>
      </c>
      <c r="AH130" s="44" t="s">
        <v>3123</v>
      </c>
      <c r="AI130" s="284"/>
      <c r="AK130" s="66">
        <f>AM130/(A130*10000)</f>
        <v>0</v>
      </c>
      <c r="AL130" s="174">
        <f>AN130/(A130*10000)</f>
        <v>0</v>
      </c>
      <c r="AM130" s="346">
        <f>RTD("money.excel",,$G130,"PredictVolume")</f>
        <v>0</v>
      </c>
      <c r="AN130" s="272">
        <f>RTD("money.excel",,$G130,"CumulativeVolume")</f>
        <v>0</v>
      </c>
      <c r="AO130" s="284"/>
    </row>
    <row r="131" spans="1:41">
      <c r="A131" s="151" t="s">
        <v>3630</v>
      </c>
      <c r="B131" s="84">
        <v>1</v>
      </c>
      <c r="C131" s="85">
        <v>-7</v>
      </c>
      <c r="D131" s="84">
        <v>9</v>
      </c>
      <c r="E131" s="84">
        <v>0</v>
      </c>
      <c r="F131" s="7">
        <v>0</v>
      </c>
      <c r="G131" s="85">
        <v>1504</v>
      </c>
      <c r="H131" s="4" t="s">
        <v>544</v>
      </c>
      <c r="I131" s="23" t="s">
        <v>44</v>
      </c>
      <c r="J131" s="371">
        <v>78.599999999999994</v>
      </c>
      <c r="K131" s="371">
        <v>28.95</v>
      </c>
      <c r="L131" s="371">
        <v>0.92</v>
      </c>
      <c r="N131" s="365">
        <f t="shared" si="57"/>
        <v>108.47</v>
      </c>
      <c r="O131" s="343">
        <f t="shared" si="58"/>
        <v>78.599999999999994</v>
      </c>
      <c r="P131" s="195">
        <v>8</v>
      </c>
      <c r="Q131" s="326">
        <f>IFERROR(VLOOKUP($G131,主力整理!$A$2:$G$2301,6,0),"0")</f>
        <v>8</v>
      </c>
      <c r="T131" s="339">
        <f t="shared" si="59"/>
        <v>16</v>
      </c>
      <c r="V131" s="371">
        <v>0</v>
      </c>
      <c r="W131" s="35">
        <v>1.1499999999999999</v>
      </c>
      <c r="X131" s="100">
        <v>1.81</v>
      </c>
      <c r="Y131" s="37" t="str">
        <f>RTD("money.excel",,"1504","Price")</f>
        <v>無資料</v>
      </c>
      <c r="Z131" s="69"/>
      <c r="AA131" s="16" t="e">
        <f t="shared" si="60"/>
        <v>#VALUE!</v>
      </c>
      <c r="AB131" s="3" t="e">
        <f t="shared" si="61"/>
        <v>#VALUE!</v>
      </c>
      <c r="AC131" s="177" t="s">
        <v>2648</v>
      </c>
      <c r="AD131" s="23" t="s">
        <v>44</v>
      </c>
      <c r="AG131" s="34">
        <f t="shared" si="62"/>
        <v>0</v>
      </c>
      <c r="AH131" s="125" t="s">
        <v>2129</v>
      </c>
      <c r="AI131" s="131"/>
      <c r="AK131" s="66">
        <f t="shared" ref="AK131:AK168" si="63">AM131/(A131*10000)</f>
        <v>0</v>
      </c>
      <c r="AL131" s="174">
        <f t="shared" ref="AL131:AL168" si="64">AN131/(A131*10000)</f>
        <v>0</v>
      </c>
      <c r="AM131" s="346">
        <f>RTD("money.excel",,$G131,"PredictVolume")</f>
        <v>0</v>
      </c>
      <c r="AN131" s="272">
        <f>RTD("money.excel",,$G131,"CumulativeVolume")</f>
        <v>0</v>
      </c>
      <c r="AO131" s="284"/>
    </row>
    <row r="132" spans="1:41">
      <c r="A132" s="151" t="s">
        <v>2923</v>
      </c>
      <c r="B132" s="85">
        <v>-172</v>
      </c>
      <c r="C132" s="85">
        <v>-32</v>
      </c>
      <c r="D132" s="84">
        <v>29</v>
      </c>
      <c r="E132" s="85">
        <v>-24</v>
      </c>
      <c r="F132" s="7">
        <v>-23.42</v>
      </c>
      <c r="G132" s="85">
        <v>1506</v>
      </c>
      <c r="H132" s="4" t="s">
        <v>544</v>
      </c>
      <c r="I132" s="23" t="s">
        <v>1035</v>
      </c>
      <c r="J132" s="77">
        <v>69.260000000000005</v>
      </c>
      <c r="K132" s="77">
        <v>1.1599999999999999</v>
      </c>
      <c r="L132" s="371">
        <v>0</v>
      </c>
      <c r="N132" s="365">
        <f t="shared" si="57"/>
        <v>70.42</v>
      </c>
      <c r="O132" s="343">
        <f t="shared" si="58"/>
        <v>69.260000000000005</v>
      </c>
      <c r="P132" s="195" t="s">
        <v>5554</v>
      </c>
      <c r="Q132" s="326" t="str">
        <f>IFERROR(VLOOKUP($G132,主力整理!$A$2:$G$2301,6,0),"0")</f>
        <v>0</v>
      </c>
      <c r="T132" s="339">
        <f t="shared" si="59"/>
        <v>0</v>
      </c>
      <c r="V132" s="371">
        <v>6.65</v>
      </c>
      <c r="W132" s="35">
        <v>0</v>
      </c>
      <c r="X132" s="100">
        <v>-2.2400000000000002</v>
      </c>
      <c r="Y132" s="37" t="str">
        <f>RTD("money.excel",,"1506","Price")</f>
        <v>無資料</v>
      </c>
      <c r="Z132" s="69"/>
      <c r="AA132" s="16" t="e">
        <f t="shared" si="60"/>
        <v>#VALUE!</v>
      </c>
      <c r="AB132" s="3" t="e">
        <f t="shared" si="61"/>
        <v>#VALUE!</v>
      </c>
      <c r="AD132" s="23" t="s">
        <v>1035</v>
      </c>
      <c r="AG132" s="34">
        <f t="shared" si="62"/>
        <v>0</v>
      </c>
      <c r="AH132" s="44" t="s">
        <v>4297</v>
      </c>
      <c r="AI132" s="131"/>
      <c r="AK132" s="66">
        <f t="shared" si="63"/>
        <v>0</v>
      </c>
      <c r="AL132" s="174">
        <f t="shared" si="64"/>
        <v>0</v>
      </c>
      <c r="AM132" s="346">
        <f>RTD("money.excel",,$G132,"PredictVolume")</f>
        <v>0</v>
      </c>
      <c r="AN132" s="272">
        <f>RTD("money.excel",,$G132,"CumulativeVolume")</f>
        <v>0</v>
      </c>
      <c r="AO132" s="284"/>
    </row>
    <row r="133" spans="1:41">
      <c r="A133" s="151" t="s">
        <v>3212</v>
      </c>
      <c r="B133" s="84">
        <v>119</v>
      </c>
      <c r="C133" s="84">
        <v>82</v>
      </c>
      <c r="D133" s="84">
        <v>5</v>
      </c>
      <c r="E133" s="84">
        <v>23</v>
      </c>
      <c r="F133" s="7">
        <v>8.9499999999999993</v>
      </c>
      <c r="G133" s="85">
        <v>1507</v>
      </c>
      <c r="H133" s="4" t="s">
        <v>544</v>
      </c>
      <c r="I133" s="23" t="s">
        <v>1036</v>
      </c>
      <c r="J133" s="371">
        <v>88.53</v>
      </c>
      <c r="K133" s="77">
        <v>31.06</v>
      </c>
      <c r="L133" s="371">
        <v>0.24</v>
      </c>
      <c r="N133" s="365">
        <f t="shared" si="57"/>
        <v>119.83</v>
      </c>
      <c r="O133" s="343">
        <f t="shared" si="58"/>
        <v>88.53</v>
      </c>
      <c r="P133" s="195" t="s">
        <v>5554</v>
      </c>
      <c r="Q133" s="326" t="str">
        <f>IFERROR(VLOOKUP($G133,主力整理!$A$2:$G$2301,6,0),"0")</f>
        <v>0</v>
      </c>
      <c r="T133" s="339">
        <f t="shared" si="59"/>
        <v>0</v>
      </c>
      <c r="V133" s="371">
        <v>0</v>
      </c>
      <c r="W133" s="35">
        <v>1.9</v>
      </c>
      <c r="X133" s="100">
        <v>3.2</v>
      </c>
      <c r="Y133" s="37" t="str">
        <f>RTD("money.excel",,"1507","Price")</f>
        <v>無資料</v>
      </c>
      <c r="Z133" s="69"/>
      <c r="AA133" s="16" t="e">
        <f t="shared" si="60"/>
        <v>#VALUE!</v>
      </c>
      <c r="AB133" s="3" t="e">
        <f t="shared" si="61"/>
        <v>#VALUE!</v>
      </c>
      <c r="AC133" s="177" t="s">
        <v>2648</v>
      </c>
      <c r="AD133" s="23" t="s">
        <v>1036</v>
      </c>
      <c r="AG133" s="34">
        <f t="shared" si="62"/>
        <v>0</v>
      </c>
      <c r="AH133" s="44" t="s">
        <v>4296</v>
      </c>
      <c r="AI133" s="131"/>
      <c r="AK133" s="66">
        <f t="shared" si="63"/>
        <v>0</v>
      </c>
      <c r="AL133" s="174">
        <f t="shared" si="64"/>
        <v>0</v>
      </c>
      <c r="AM133" s="346">
        <f>RTD("money.excel",,$G133,"PredictVolume")</f>
        <v>0</v>
      </c>
      <c r="AN133" s="272">
        <f>RTD("money.excel",,$G133,"CumulativeVolume")</f>
        <v>0</v>
      </c>
      <c r="AO133" s="284"/>
    </row>
    <row r="134" spans="1:41">
      <c r="A134" s="135" t="s">
        <v>3710</v>
      </c>
      <c r="B134" s="84">
        <v>146</v>
      </c>
      <c r="C134" s="84">
        <v>146</v>
      </c>
      <c r="D134" s="84">
        <v>17</v>
      </c>
      <c r="E134" s="84">
        <v>10</v>
      </c>
      <c r="F134" s="59">
        <v>14.69</v>
      </c>
      <c r="G134" s="85">
        <v>1513</v>
      </c>
      <c r="H134" s="4" t="s">
        <v>544</v>
      </c>
      <c r="I134" s="23" t="s">
        <v>1038</v>
      </c>
      <c r="J134" s="371">
        <v>41.66</v>
      </c>
      <c r="K134" s="77">
        <v>6.95</v>
      </c>
      <c r="L134" s="371">
        <v>15.23</v>
      </c>
      <c r="N134" s="365">
        <f t="shared" si="57"/>
        <v>63.84</v>
      </c>
      <c r="O134" s="343">
        <f t="shared" si="58"/>
        <v>41.66</v>
      </c>
      <c r="P134" s="195">
        <v>1</v>
      </c>
      <c r="Q134" s="326">
        <v>5</v>
      </c>
      <c r="R134" s="111">
        <v>3</v>
      </c>
      <c r="S134" s="51">
        <v>10</v>
      </c>
      <c r="T134" s="339">
        <f t="shared" si="59"/>
        <v>19</v>
      </c>
      <c r="V134" s="371">
        <v>0.05</v>
      </c>
      <c r="W134" s="35">
        <v>2.2000000000000002</v>
      </c>
      <c r="X134" s="100">
        <v>4.72</v>
      </c>
      <c r="Y134" s="37" t="str">
        <f>RTD("money.excel",,"1513","Price")</f>
        <v>無資料</v>
      </c>
      <c r="Z134" s="69"/>
      <c r="AA134" s="16" t="e">
        <f t="shared" si="60"/>
        <v>#VALUE!</v>
      </c>
      <c r="AB134" s="3" t="e">
        <f t="shared" si="61"/>
        <v>#VALUE!</v>
      </c>
      <c r="AC134" s="177" t="s">
        <v>2648</v>
      </c>
      <c r="AD134" s="23" t="s">
        <v>1038</v>
      </c>
      <c r="AG134" s="34">
        <f t="shared" si="62"/>
        <v>0</v>
      </c>
      <c r="AH134" s="63" t="s">
        <v>3711</v>
      </c>
      <c r="AI134" s="131"/>
      <c r="AK134" s="66">
        <f t="shared" si="63"/>
        <v>0</v>
      </c>
      <c r="AL134" s="174">
        <f t="shared" si="64"/>
        <v>0</v>
      </c>
      <c r="AM134" s="346">
        <f>RTD("money.excel",,$G134,"PredictVolume")</f>
        <v>0</v>
      </c>
      <c r="AN134" s="272">
        <f>RTD("money.excel",,$G134,"CumulativeVolume")</f>
        <v>0</v>
      </c>
      <c r="AO134" s="284"/>
    </row>
    <row r="135" spans="1:41">
      <c r="A135" s="151" t="s">
        <v>2518</v>
      </c>
      <c r="B135" s="84">
        <v>22</v>
      </c>
      <c r="C135" s="84">
        <v>34</v>
      </c>
      <c r="D135" s="85">
        <v>-1</v>
      </c>
      <c r="E135" s="84">
        <v>29</v>
      </c>
      <c r="F135" s="7">
        <v>7.99</v>
      </c>
      <c r="G135" s="85">
        <v>1514</v>
      </c>
      <c r="H135" s="4" t="s">
        <v>544</v>
      </c>
      <c r="I135" s="23" t="s">
        <v>1039</v>
      </c>
      <c r="J135" s="77">
        <v>55.51</v>
      </c>
      <c r="K135" s="77">
        <v>11.73</v>
      </c>
      <c r="L135" s="371">
        <v>6.98</v>
      </c>
      <c r="N135" s="365">
        <f t="shared" si="57"/>
        <v>74.22</v>
      </c>
      <c r="O135" s="343">
        <f t="shared" si="58"/>
        <v>55.51</v>
      </c>
      <c r="P135" s="195" t="s">
        <v>5554</v>
      </c>
      <c r="Q135" s="326" t="str">
        <f>IFERROR(VLOOKUP($G135,主力整理!$A$2:$G$2301,6,0),"0")</f>
        <v>0</v>
      </c>
      <c r="T135" s="339">
        <f t="shared" si="59"/>
        <v>0</v>
      </c>
      <c r="V135" s="371">
        <v>0</v>
      </c>
      <c r="W135" s="35">
        <v>1.2</v>
      </c>
      <c r="X135" s="100">
        <v>1.54</v>
      </c>
      <c r="Y135" s="37" t="str">
        <f>RTD("money.excel",,"1514","Price")</f>
        <v>無資料</v>
      </c>
      <c r="Z135" s="69"/>
      <c r="AA135" s="16" t="e">
        <f t="shared" si="60"/>
        <v>#VALUE!</v>
      </c>
      <c r="AB135" s="3" t="e">
        <f t="shared" si="61"/>
        <v>#VALUE!</v>
      </c>
      <c r="AC135" s="177" t="s">
        <v>2648</v>
      </c>
      <c r="AD135" s="23" t="s">
        <v>1039</v>
      </c>
      <c r="AG135" s="34">
        <f t="shared" si="62"/>
        <v>0</v>
      </c>
      <c r="AH135" s="44" t="s">
        <v>4298</v>
      </c>
      <c r="AI135" s="131"/>
      <c r="AK135" s="66">
        <f t="shared" si="63"/>
        <v>0</v>
      </c>
      <c r="AL135" s="174">
        <f t="shared" si="64"/>
        <v>0</v>
      </c>
      <c r="AM135" s="346">
        <f>RTD("money.excel",,$G135,"PredictVolume")</f>
        <v>0</v>
      </c>
      <c r="AN135" s="272">
        <f>RTD("money.excel",,$G135,"CumulativeVolume")</f>
        <v>0</v>
      </c>
      <c r="AO135" s="284"/>
    </row>
    <row r="136" spans="1:41">
      <c r="A136" s="151" t="s">
        <v>2511</v>
      </c>
      <c r="B136" s="84">
        <v>70</v>
      </c>
      <c r="C136" s="84">
        <v>70</v>
      </c>
      <c r="D136" s="85">
        <v>-14</v>
      </c>
      <c r="E136" s="84">
        <v>11</v>
      </c>
      <c r="F136" s="7">
        <v>8.14</v>
      </c>
      <c r="G136" s="85">
        <v>1515</v>
      </c>
      <c r="H136" s="4" t="s">
        <v>544</v>
      </c>
      <c r="I136" s="23" t="s">
        <v>966</v>
      </c>
      <c r="J136" s="371">
        <v>47.56</v>
      </c>
      <c r="K136" s="371">
        <v>8.0500000000000007</v>
      </c>
      <c r="L136" s="77">
        <v>19.16</v>
      </c>
      <c r="N136" s="365">
        <f t="shared" si="57"/>
        <v>74.77</v>
      </c>
      <c r="O136" s="343">
        <f t="shared" si="58"/>
        <v>47.56</v>
      </c>
      <c r="P136" s="195">
        <v>15</v>
      </c>
      <c r="Q136" s="326">
        <v>1</v>
      </c>
      <c r="R136" s="111">
        <v>1</v>
      </c>
      <c r="S136" s="51">
        <v>0</v>
      </c>
      <c r="T136" s="339">
        <f t="shared" si="59"/>
        <v>17</v>
      </c>
      <c r="U136" s="329" t="s">
        <v>6540</v>
      </c>
      <c r="V136" s="371">
        <v>2.15</v>
      </c>
      <c r="W136" s="69">
        <v>3.6</v>
      </c>
      <c r="X136" s="100">
        <v>6.35</v>
      </c>
      <c r="Y136" s="37" t="str">
        <f>RTD("money.excel",,"1515","Price")</f>
        <v>無資料</v>
      </c>
      <c r="Z136" s="69"/>
      <c r="AA136" s="16" t="e">
        <f t="shared" si="60"/>
        <v>#VALUE!</v>
      </c>
      <c r="AB136" s="3" t="e">
        <f t="shared" si="61"/>
        <v>#VALUE!</v>
      </c>
      <c r="AC136" s="177" t="s">
        <v>2929</v>
      </c>
      <c r="AD136" s="23" t="s">
        <v>966</v>
      </c>
      <c r="AG136" s="34">
        <f t="shared" si="62"/>
        <v>0</v>
      </c>
      <c r="AH136" s="44" t="s">
        <v>3086</v>
      </c>
      <c r="AI136" s="131"/>
      <c r="AK136" s="66">
        <f t="shared" si="63"/>
        <v>0</v>
      </c>
      <c r="AL136" s="174">
        <f t="shared" si="64"/>
        <v>0</v>
      </c>
      <c r="AM136" s="346">
        <f>RTD("money.excel",,$G136,"PredictVolume")</f>
        <v>0</v>
      </c>
      <c r="AN136" s="272">
        <f>RTD("money.excel",,$G136,"CumulativeVolume")</f>
        <v>0</v>
      </c>
      <c r="AO136" s="284"/>
    </row>
    <row r="137" spans="1:41">
      <c r="A137" s="151" t="s">
        <v>2914</v>
      </c>
      <c r="B137" s="85">
        <v>-341</v>
      </c>
      <c r="C137" s="84">
        <v>18</v>
      </c>
      <c r="D137" s="84">
        <v>7</v>
      </c>
      <c r="E137" s="84">
        <v>40</v>
      </c>
      <c r="F137" s="7">
        <v>-2.59</v>
      </c>
      <c r="G137" s="85">
        <v>1517</v>
      </c>
      <c r="H137" s="4" t="s">
        <v>544</v>
      </c>
      <c r="I137" s="23" t="s">
        <v>1040</v>
      </c>
      <c r="J137" s="77">
        <v>45.3</v>
      </c>
      <c r="K137" s="77">
        <v>2.15</v>
      </c>
      <c r="L137" s="77">
        <v>7.6</v>
      </c>
      <c r="N137" s="365">
        <f t="shared" si="57"/>
        <v>55.05</v>
      </c>
      <c r="O137" s="343">
        <f t="shared" si="58"/>
        <v>45.3</v>
      </c>
      <c r="P137" s="195">
        <v>5</v>
      </c>
      <c r="Q137" s="326">
        <f>IFERROR(VLOOKUP($G137,主力整理!$A$2:$G$2301,6,0),"0")</f>
        <v>6</v>
      </c>
      <c r="T137" s="339">
        <f t="shared" si="59"/>
        <v>11</v>
      </c>
      <c r="V137" s="371">
        <v>0.4</v>
      </c>
      <c r="W137" s="35">
        <v>0.35</v>
      </c>
      <c r="X137" s="100">
        <v>0.76</v>
      </c>
      <c r="Y137" s="37" t="str">
        <f>RTD("money.excel",,"1517","Price")</f>
        <v>無資料</v>
      </c>
      <c r="Z137" s="69"/>
      <c r="AA137" s="16" t="e">
        <f t="shared" si="60"/>
        <v>#VALUE!</v>
      </c>
      <c r="AB137" s="3" t="e">
        <f t="shared" si="61"/>
        <v>#VALUE!</v>
      </c>
      <c r="AC137" s="177" t="s">
        <v>2648</v>
      </c>
      <c r="AD137" s="23" t="s">
        <v>1040</v>
      </c>
      <c r="AG137" s="34">
        <f t="shared" si="62"/>
        <v>0</v>
      </c>
      <c r="AH137" s="44" t="s">
        <v>4299</v>
      </c>
      <c r="AI137" s="131"/>
      <c r="AK137" s="66">
        <f t="shared" si="63"/>
        <v>0</v>
      </c>
      <c r="AL137" s="174">
        <f t="shared" si="64"/>
        <v>0</v>
      </c>
      <c r="AM137" s="346">
        <f>RTD("money.excel",,$G137,"PredictVolume")</f>
        <v>0</v>
      </c>
      <c r="AN137" s="272">
        <f>RTD("money.excel",,$G137,"CumulativeVolume")</f>
        <v>0</v>
      </c>
      <c r="AO137" s="284"/>
    </row>
    <row r="138" spans="1:41">
      <c r="A138" s="151" t="s">
        <v>3089</v>
      </c>
      <c r="B138" s="85">
        <v>-43</v>
      </c>
      <c r="C138" s="85">
        <v>-26</v>
      </c>
      <c r="D138" s="85">
        <v>-33</v>
      </c>
      <c r="E138" s="84">
        <v>4</v>
      </c>
      <c r="F138" s="7">
        <v>2.72</v>
      </c>
      <c r="G138" s="85">
        <v>1519</v>
      </c>
      <c r="H138" s="4" t="s">
        <v>544</v>
      </c>
      <c r="I138" s="23" t="s">
        <v>1041</v>
      </c>
      <c r="J138" s="371">
        <v>65.67</v>
      </c>
      <c r="K138" s="77">
        <v>7.07</v>
      </c>
      <c r="L138" s="77">
        <v>7.95</v>
      </c>
      <c r="N138" s="365">
        <f t="shared" si="57"/>
        <v>80.690000000000012</v>
      </c>
      <c r="O138" s="343">
        <f t="shared" si="58"/>
        <v>65.67</v>
      </c>
      <c r="P138" s="195" t="s">
        <v>5554</v>
      </c>
      <c r="Q138" s="326">
        <f>IFERROR(VLOOKUP($G138,主力整理!$A$2:$G$2301,6,0),"0")</f>
        <v>3</v>
      </c>
      <c r="R138" s="111">
        <v>3</v>
      </c>
      <c r="S138" s="51">
        <v>5</v>
      </c>
      <c r="T138" s="339">
        <f t="shared" si="59"/>
        <v>11</v>
      </c>
      <c r="V138" s="371">
        <v>0.57999999999999996</v>
      </c>
      <c r="W138" s="35">
        <v>1.3</v>
      </c>
      <c r="X138" s="59">
        <v>1.54</v>
      </c>
      <c r="Y138" s="37" t="str">
        <f>RTD("money.excel",,"1519","Price")</f>
        <v>無資料</v>
      </c>
      <c r="Z138" s="69"/>
      <c r="AA138" s="16" t="e">
        <f t="shared" si="60"/>
        <v>#VALUE!</v>
      </c>
      <c r="AB138" s="3" t="e">
        <f t="shared" si="61"/>
        <v>#VALUE!</v>
      </c>
      <c r="AC138" s="177" t="s">
        <v>2648</v>
      </c>
      <c r="AD138" s="23" t="s">
        <v>1041</v>
      </c>
      <c r="AG138" s="34">
        <f t="shared" si="62"/>
        <v>0</v>
      </c>
      <c r="AH138" s="44" t="s">
        <v>3090</v>
      </c>
      <c r="AI138" s="131"/>
      <c r="AK138" s="66">
        <f t="shared" si="63"/>
        <v>0</v>
      </c>
      <c r="AL138" s="174">
        <f t="shared" si="64"/>
        <v>0</v>
      </c>
      <c r="AM138" s="346">
        <f>RTD("money.excel",,$G138,"PredictVolume")</f>
        <v>0</v>
      </c>
      <c r="AN138" s="272">
        <f>RTD("money.excel",,$G138,"CumulativeVolume")</f>
        <v>0</v>
      </c>
      <c r="AO138" s="284"/>
    </row>
    <row r="139" spans="1:41">
      <c r="A139" s="151" t="s">
        <v>3291</v>
      </c>
      <c r="B139" s="84">
        <v>128</v>
      </c>
      <c r="C139" s="85">
        <v>-35</v>
      </c>
      <c r="D139" s="84">
        <v>5</v>
      </c>
      <c r="E139" s="84">
        <v>36</v>
      </c>
      <c r="F139" s="7">
        <v>6.81</v>
      </c>
      <c r="G139" s="85">
        <v>1526</v>
      </c>
      <c r="H139" s="4" t="s">
        <v>544</v>
      </c>
      <c r="I139" s="23" t="s">
        <v>1044</v>
      </c>
      <c r="J139" s="77">
        <v>37.619999999999997</v>
      </c>
      <c r="K139" s="77">
        <v>2.2599999999999998</v>
      </c>
      <c r="L139" s="77">
        <v>40.68</v>
      </c>
      <c r="N139" s="365">
        <f t="shared" si="57"/>
        <v>80.56</v>
      </c>
      <c r="O139" s="343">
        <f t="shared" si="58"/>
        <v>37.619999999999997</v>
      </c>
      <c r="P139" s="195">
        <v>2</v>
      </c>
      <c r="Q139" s="326" t="str">
        <f>IFERROR(VLOOKUP($G139,主力整理!$A$2:$G$2301,6,0),"0")</f>
        <v>0</v>
      </c>
      <c r="T139" s="339">
        <f t="shared" si="59"/>
        <v>2</v>
      </c>
      <c r="V139" s="371">
        <v>3.19</v>
      </c>
      <c r="W139" s="35">
        <v>1.8</v>
      </c>
      <c r="X139" s="59">
        <v>2.97</v>
      </c>
      <c r="Y139" s="37" t="str">
        <f>RTD("money.excel",,"1526","Price")</f>
        <v>無資料</v>
      </c>
      <c r="Z139" s="69"/>
      <c r="AA139" s="16" t="e">
        <f t="shared" si="60"/>
        <v>#VALUE!</v>
      </c>
      <c r="AB139" s="3" t="e">
        <f t="shared" si="61"/>
        <v>#VALUE!</v>
      </c>
      <c r="AC139" s="177" t="s">
        <v>2648</v>
      </c>
      <c r="AD139" s="23" t="s">
        <v>1044</v>
      </c>
      <c r="AG139" s="34">
        <f t="shared" si="62"/>
        <v>0</v>
      </c>
      <c r="AH139" s="44" t="s">
        <v>4300</v>
      </c>
      <c r="AI139" s="131"/>
      <c r="AK139" s="66">
        <f t="shared" si="63"/>
        <v>0</v>
      </c>
      <c r="AL139" s="174">
        <f t="shared" si="64"/>
        <v>0</v>
      </c>
      <c r="AM139" s="346">
        <f>RTD("money.excel",,$G139,"PredictVolume")</f>
        <v>0</v>
      </c>
      <c r="AN139" s="272">
        <f>RTD("money.excel",,$G139,"CumulativeVolume")</f>
        <v>0</v>
      </c>
      <c r="AO139" s="284"/>
    </row>
    <row r="140" spans="1:41">
      <c r="A140" s="135" t="s">
        <v>2551</v>
      </c>
      <c r="B140" s="85">
        <v>-61</v>
      </c>
      <c r="C140" s="85">
        <v>-18</v>
      </c>
      <c r="D140" s="84">
        <v>5</v>
      </c>
      <c r="E140" s="84">
        <v>0</v>
      </c>
      <c r="F140" s="59">
        <v>15.39</v>
      </c>
      <c r="G140" s="85">
        <v>1527</v>
      </c>
      <c r="H140" s="4" t="s">
        <v>544</v>
      </c>
      <c r="I140" s="23" t="s">
        <v>1045</v>
      </c>
      <c r="J140" s="371">
        <v>30.56</v>
      </c>
      <c r="K140" s="371">
        <v>9.76</v>
      </c>
      <c r="L140" s="371">
        <v>4.26</v>
      </c>
      <c r="N140" s="365">
        <f t="shared" si="57"/>
        <v>44.58</v>
      </c>
      <c r="O140" s="343">
        <f t="shared" si="58"/>
        <v>30.56</v>
      </c>
      <c r="P140" s="195">
        <v>3</v>
      </c>
      <c r="Q140" s="326" t="str">
        <f>IFERROR(VLOOKUP($G140,主力整理!$A$2:$G$2301,6,0),"0")</f>
        <v>0</v>
      </c>
      <c r="T140" s="339">
        <f t="shared" si="59"/>
        <v>3</v>
      </c>
      <c r="V140" s="371">
        <v>0.03</v>
      </c>
      <c r="W140" s="35">
        <v>1.2</v>
      </c>
      <c r="X140" s="100">
        <v>2.94</v>
      </c>
      <c r="Y140" s="37" t="str">
        <f>RTD("money.excel",,"1527","Price")</f>
        <v>無資料</v>
      </c>
      <c r="Z140" s="69"/>
      <c r="AA140" s="16" t="e">
        <f t="shared" si="60"/>
        <v>#VALUE!</v>
      </c>
      <c r="AB140" s="3" t="e">
        <f t="shared" si="61"/>
        <v>#VALUE!</v>
      </c>
      <c r="AC140" s="177" t="s">
        <v>2648</v>
      </c>
      <c r="AD140" s="23" t="s">
        <v>1045</v>
      </c>
      <c r="AG140" s="34">
        <f t="shared" si="62"/>
        <v>0</v>
      </c>
      <c r="AH140" s="63" t="s">
        <v>3995</v>
      </c>
      <c r="AI140" s="131"/>
      <c r="AK140" s="66">
        <f t="shared" si="63"/>
        <v>0</v>
      </c>
      <c r="AL140" s="174">
        <f t="shared" si="64"/>
        <v>0</v>
      </c>
      <c r="AM140" s="346">
        <f>RTD("money.excel",,$G140,"PredictVolume")</f>
        <v>0</v>
      </c>
      <c r="AN140" s="272">
        <f>RTD("money.excel",,$G140,"CumulativeVolume")</f>
        <v>0</v>
      </c>
      <c r="AO140" s="284"/>
    </row>
    <row r="141" spans="1:41">
      <c r="A141" s="151" t="s">
        <v>2738</v>
      </c>
      <c r="B141" s="85">
        <v>-779</v>
      </c>
      <c r="C141" s="85">
        <v>-437</v>
      </c>
      <c r="D141" s="84">
        <v>15</v>
      </c>
      <c r="E141" s="85">
        <v>-3</v>
      </c>
      <c r="F141" s="7">
        <v>-6.94</v>
      </c>
      <c r="G141" s="85">
        <v>1528</v>
      </c>
      <c r="H141" s="4" t="s">
        <v>544</v>
      </c>
      <c r="I141" s="23" t="s">
        <v>1046</v>
      </c>
      <c r="J141" s="371">
        <v>51.79</v>
      </c>
      <c r="K141" s="371">
        <v>0.64</v>
      </c>
      <c r="L141" s="77">
        <v>3.25</v>
      </c>
      <c r="N141" s="365">
        <f t="shared" si="57"/>
        <v>55.68</v>
      </c>
      <c r="O141" s="343">
        <f t="shared" si="58"/>
        <v>51.79</v>
      </c>
      <c r="P141" s="195">
        <v>4</v>
      </c>
      <c r="Q141" s="326" t="str">
        <f>IFERROR(VLOOKUP($G141,主力整理!$A$2:$G$2301,6,0),"0")</f>
        <v>0</v>
      </c>
      <c r="T141" s="339">
        <f t="shared" si="59"/>
        <v>4</v>
      </c>
      <c r="V141" s="371">
        <v>24.37</v>
      </c>
      <c r="W141" s="35">
        <v>0.1</v>
      </c>
      <c r="X141" s="100">
        <v>-0.61</v>
      </c>
      <c r="Y141" s="37" t="str">
        <f>RTD("money.excel",,"1528","Price")</f>
        <v>無資料</v>
      </c>
      <c r="Z141" s="69"/>
      <c r="AA141" s="16" t="e">
        <f t="shared" si="60"/>
        <v>#VALUE!</v>
      </c>
      <c r="AB141" s="3" t="e">
        <f t="shared" si="61"/>
        <v>#VALUE!</v>
      </c>
      <c r="AC141" s="177" t="s">
        <v>2648</v>
      </c>
      <c r="AD141" s="23" t="s">
        <v>1046</v>
      </c>
      <c r="AG141" s="34">
        <f t="shared" si="62"/>
        <v>0</v>
      </c>
      <c r="AH141" s="44" t="s">
        <v>3693</v>
      </c>
      <c r="AI141" s="131"/>
      <c r="AK141" s="66">
        <f t="shared" si="63"/>
        <v>0</v>
      </c>
      <c r="AL141" s="174">
        <f t="shared" si="64"/>
        <v>0</v>
      </c>
      <c r="AM141" s="346">
        <f>RTD("money.excel",,$G141,"PredictVolume")</f>
        <v>0</v>
      </c>
      <c r="AN141" s="272">
        <f>RTD("money.excel",,$G141,"CumulativeVolume")</f>
        <v>0</v>
      </c>
      <c r="AO141" s="284"/>
    </row>
    <row r="142" spans="1:41">
      <c r="A142" s="135" t="s">
        <v>2445</v>
      </c>
      <c r="B142" s="84">
        <v>392</v>
      </c>
      <c r="C142" s="84">
        <v>180</v>
      </c>
      <c r="D142" s="84">
        <v>138</v>
      </c>
      <c r="E142" s="85">
        <v>-72</v>
      </c>
      <c r="F142" s="59">
        <v>28.52</v>
      </c>
      <c r="G142" s="85">
        <v>1529</v>
      </c>
      <c r="H142" s="4" t="s">
        <v>544</v>
      </c>
      <c r="I142" s="23" t="s">
        <v>1047</v>
      </c>
      <c r="J142" s="371">
        <v>66.41</v>
      </c>
      <c r="K142" s="371">
        <v>4.1500000000000004</v>
      </c>
      <c r="L142" s="371">
        <v>25.94</v>
      </c>
      <c r="N142" s="365">
        <f t="shared" si="57"/>
        <v>96.5</v>
      </c>
      <c r="O142" s="343">
        <f t="shared" si="58"/>
        <v>66.41</v>
      </c>
      <c r="P142" s="232">
        <v>0</v>
      </c>
      <c r="Q142" s="326">
        <f>IFERROR(VLOOKUP($G142,主力整理!$A$2:$G$2301,6,0),"0")</f>
        <v>2</v>
      </c>
      <c r="R142" s="111">
        <v>7</v>
      </c>
      <c r="S142" s="51">
        <v>0</v>
      </c>
      <c r="T142" s="339">
        <f t="shared" si="59"/>
        <v>9</v>
      </c>
      <c r="V142" s="371">
        <v>4.53</v>
      </c>
      <c r="W142" s="35">
        <v>0.5</v>
      </c>
      <c r="X142" s="59">
        <v>1.06</v>
      </c>
      <c r="Y142" s="37" t="str">
        <f>RTD("money.excel",,"1529","Price")</f>
        <v>無資料</v>
      </c>
      <c r="Z142" s="69"/>
      <c r="AA142" s="16" t="e">
        <f t="shared" si="60"/>
        <v>#VALUE!</v>
      </c>
      <c r="AB142" s="3" t="e">
        <f t="shared" si="61"/>
        <v>#VALUE!</v>
      </c>
      <c r="AD142" s="23" t="s">
        <v>1047</v>
      </c>
      <c r="AG142" s="34">
        <f t="shared" si="62"/>
        <v>0</v>
      </c>
      <c r="AH142" s="44" t="s">
        <v>4298</v>
      </c>
      <c r="AI142" s="131"/>
      <c r="AK142" s="66">
        <f t="shared" si="63"/>
        <v>0</v>
      </c>
      <c r="AL142" s="174">
        <f t="shared" si="64"/>
        <v>0</v>
      </c>
      <c r="AM142" s="346">
        <f>RTD("money.excel",,$G142,"PredictVolume")</f>
        <v>0</v>
      </c>
      <c r="AN142" s="272">
        <f>RTD("money.excel",,$G142,"CumulativeVolume")</f>
        <v>0</v>
      </c>
      <c r="AO142" s="284"/>
    </row>
    <row r="143" spans="1:41">
      <c r="A143" s="151" t="s">
        <v>3023</v>
      </c>
      <c r="B143" s="84">
        <v>336</v>
      </c>
      <c r="C143" s="85">
        <v>-89</v>
      </c>
      <c r="D143" s="84">
        <v>9</v>
      </c>
      <c r="E143" s="84">
        <v>16</v>
      </c>
      <c r="F143" s="7">
        <v>0.89</v>
      </c>
      <c r="G143" s="85">
        <v>1530</v>
      </c>
      <c r="H143" s="4" t="s">
        <v>544</v>
      </c>
      <c r="I143" s="23" t="s">
        <v>1048</v>
      </c>
      <c r="J143" s="77">
        <v>73.540000000000006</v>
      </c>
      <c r="K143" s="371">
        <v>0.65</v>
      </c>
      <c r="L143" s="371">
        <v>1.54</v>
      </c>
      <c r="N143" s="365">
        <f t="shared" si="57"/>
        <v>75.730000000000018</v>
      </c>
      <c r="O143" s="343">
        <f t="shared" si="58"/>
        <v>73.540000000000006</v>
      </c>
      <c r="P143" s="195">
        <v>17</v>
      </c>
      <c r="Q143" s="326" t="str">
        <f>IFERROR(VLOOKUP($G143,主力整理!$A$2:$G$2301,6,0),"0")</f>
        <v>0</v>
      </c>
      <c r="T143" s="339">
        <f t="shared" si="59"/>
        <v>17</v>
      </c>
      <c r="V143" s="371">
        <v>0</v>
      </c>
      <c r="W143" s="35">
        <v>2.5</v>
      </c>
      <c r="X143" s="100">
        <v>3.92</v>
      </c>
      <c r="Y143" s="37" t="str">
        <f>RTD("money.excel",,"1530","Price")</f>
        <v>無資料</v>
      </c>
      <c r="Z143" s="69"/>
      <c r="AA143" s="16" t="e">
        <f t="shared" si="60"/>
        <v>#VALUE!</v>
      </c>
      <c r="AB143" s="3" t="e">
        <f t="shared" si="61"/>
        <v>#VALUE!</v>
      </c>
      <c r="AC143" s="177" t="s">
        <v>2648</v>
      </c>
      <c r="AD143" s="23" t="s">
        <v>1048</v>
      </c>
      <c r="AG143" s="34">
        <f t="shared" si="62"/>
        <v>0</v>
      </c>
      <c r="AH143" s="44" t="s">
        <v>3444</v>
      </c>
      <c r="AI143" s="131"/>
      <c r="AK143" s="66">
        <f t="shared" si="63"/>
        <v>0</v>
      </c>
      <c r="AL143" s="174">
        <f t="shared" si="64"/>
        <v>0</v>
      </c>
      <c r="AM143" s="346">
        <f>RTD("money.excel",,$G143,"PredictVolume")</f>
        <v>0</v>
      </c>
      <c r="AN143" s="272">
        <f>RTD("money.excel",,$G143,"CumulativeVolume")</f>
        <v>0</v>
      </c>
      <c r="AO143" s="284"/>
    </row>
    <row r="144" spans="1:41">
      <c r="A144" s="151" t="s">
        <v>4636</v>
      </c>
      <c r="B144" s="85">
        <v>-41</v>
      </c>
      <c r="C144" s="85">
        <v>-77</v>
      </c>
      <c r="D144" s="84">
        <v>38</v>
      </c>
      <c r="E144" s="85">
        <v>-16</v>
      </c>
      <c r="F144" s="7">
        <v>1.98</v>
      </c>
      <c r="G144" s="85">
        <v>1531</v>
      </c>
      <c r="H144" s="4" t="s">
        <v>544</v>
      </c>
      <c r="I144" s="23" t="s">
        <v>1049</v>
      </c>
      <c r="J144" s="77">
        <v>69.459999999999994</v>
      </c>
      <c r="K144" s="371">
        <v>10.82</v>
      </c>
      <c r="L144" s="77">
        <v>1.66</v>
      </c>
      <c r="N144" s="365">
        <f t="shared" si="57"/>
        <v>81.94</v>
      </c>
      <c r="O144" s="343">
        <f t="shared" si="58"/>
        <v>69.459999999999994</v>
      </c>
      <c r="P144" s="195">
        <v>1</v>
      </c>
      <c r="Q144" s="326" t="str">
        <f>IFERROR(VLOOKUP($G144,主力整理!$A$2:$G$2301,6,0),"0")</f>
        <v>0</v>
      </c>
      <c r="T144" s="339">
        <f t="shared" si="59"/>
        <v>1</v>
      </c>
      <c r="V144" s="371">
        <v>42.77</v>
      </c>
      <c r="W144" s="35">
        <v>0.2</v>
      </c>
      <c r="X144" s="59">
        <v>-0.3</v>
      </c>
      <c r="Y144" s="37" t="str">
        <f>RTD("money.excel",,"1531","Price")</f>
        <v>無資料</v>
      </c>
      <c r="Z144" s="69"/>
      <c r="AA144" s="16" t="e">
        <f t="shared" si="60"/>
        <v>#VALUE!</v>
      </c>
      <c r="AB144" s="3" t="e">
        <f t="shared" si="61"/>
        <v>#VALUE!</v>
      </c>
      <c r="AC144" s="177" t="s">
        <v>2648</v>
      </c>
      <c r="AD144" s="23" t="s">
        <v>1049</v>
      </c>
      <c r="AG144" s="34">
        <f t="shared" si="62"/>
        <v>0</v>
      </c>
      <c r="AH144" s="44" t="s">
        <v>4301</v>
      </c>
      <c r="AI144" s="131"/>
      <c r="AK144" s="66">
        <f t="shared" si="63"/>
        <v>0</v>
      </c>
      <c r="AL144" s="174">
        <f t="shared" si="64"/>
        <v>0</v>
      </c>
      <c r="AM144" s="346">
        <f>RTD("money.excel",,$G144,"PredictVolume")</f>
        <v>0</v>
      </c>
      <c r="AN144" s="272">
        <f>RTD("money.excel",,$G144,"CumulativeVolume")</f>
        <v>0</v>
      </c>
      <c r="AO144" s="284"/>
    </row>
    <row r="145" spans="1:41">
      <c r="A145" s="151" t="s">
        <v>3133</v>
      </c>
      <c r="B145" s="85">
        <v>-94</v>
      </c>
      <c r="C145" s="85">
        <v>-75</v>
      </c>
      <c r="D145" s="84">
        <v>1</v>
      </c>
      <c r="E145" s="84">
        <v>17</v>
      </c>
      <c r="F145" s="7">
        <v>3.74</v>
      </c>
      <c r="G145" s="85">
        <v>1532</v>
      </c>
      <c r="H145" s="11" t="s">
        <v>544</v>
      </c>
      <c r="I145" s="23" t="s">
        <v>376</v>
      </c>
      <c r="J145" s="77">
        <v>67.03</v>
      </c>
      <c r="K145" s="371">
        <v>12.01</v>
      </c>
      <c r="L145" s="371">
        <v>6.53</v>
      </c>
      <c r="N145" s="365">
        <f t="shared" si="57"/>
        <v>85.570000000000007</v>
      </c>
      <c r="O145" s="343">
        <f t="shared" si="58"/>
        <v>67.03</v>
      </c>
      <c r="P145" s="195" t="s">
        <v>5554</v>
      </c>
      <c r="Q145" s="326" t="str">
        <f>IFERROR(VLOOKUP($G145,主力整理!$A$2:$G$2301,6,0),"0")</f>
        <v>0</v>
      </c>
      <c r="T145" s="339">
        <f t="shared" si="59"/>
        <v>0</v>
      </c>
      <c r="V145" s="371">
        <v>0.02</v>
      </c>
      <c r="W145" s="35">
        <v>1.03</v>
      </c>
      <c r="X145" s="100">
        <v>1.46</v>
      </c>
      <c r="Y145" s="37" t="str">
        <f>RTD("money.excel",,"1532","Price")</f>
        <v>無資料</v>
      </c>
      <c r="Z145" s="69"/>
      <c r="AA145" s="16" t="e">
        <f t="shared" si="60"/>
        <v>#VALUE!</v>
      </c>
      <c r="AB145" s="3" t="e">
        <f t="shared" si="61"/>
        <v>#VALUE!</v>
      </c>
      <c r="AD145" s="23" t="s">
        <v>376</v>
      </c>
      <c r="AG145" s="34">
        <f t="shared" si="62"/>
        <v>0</v>
      </c>
      <c r="AH145" s="44" t="s">
        <v>4302</v>
      </c>
      <c r="AI145" s="131"/>
      <c r="AK145" s="66">
        <f t="shared" si="63"/>
        <v>0</v>
      </c>
      <c r="AL145" s="174">
        <f t="shared" si="64"/>
        <v>0</v>
      </c>
      <c r="AM145" s="346">
        <f>RTD("money.excel",,$G145,"PredictVolume")</f>
        <v>0</v>
      </c>
      <c r="AN145" s="272">
        <f>RTD("money.excel",,$G145,"CumulativeVolume")</f>
        <v>0</v>
      </c>
      <c r="AO145" s="284"/>
    </row>
    <row r="146" spans="1:41">
      <c r="A146" s="151" t="s">
        <v>2589</v>
      </c>
      <c r="B146" s="96">
        <v>49</v>
      </c>
      <c r="C146" s="96">
        <v>51</v>
      </c>
      <c r="D146" s="96">
        <v>-22</v>
      </c>
      <c r="E146" s="96">
        <v>15</v>
      </c>
      <c r="F146" s="7">
        <v>0.54</v>
      </c>
      <c r="G146" s="85">
        <v>1535</v>
      </c>
      <c r="H146" s="4" t="s">
        <v>544</v>
      </c>
      <c r="I146" s="23" t="s">
        <v>1050</v>
      </c>
      <c r="J146" s="77">
        <v>76.069999999999993</v>
      </c>
      <c r="K146" s="77">
        <v>0.56000000000000005</v>
      </c>
      <c r="L146" s="77">
        <v>0.45</v>
      </c>
      <c r="N146" s="365">
        <f t="shared" si="57"/>
        <v>77.08</v>
      </c>
      <c r="O146" s="343">
        <f t="shared" si="58"/>
        <v>76.069999999999993</v>
      </c>
      <c r="P146" s="195" t="s">
        <v>5554</v>
      </c>
      <c r="Q146" s="326" t="str">
        <f>IFERROR(VLOOKUP($G146,主力整理!$A$2:$G$2301,6,0),"0")</f>
        <v>0</v>
      </c>
      <c r="T146" s="339">
        <f t="shared" si="59"/>
        <v>0</v>
      </c>
      <c r="V146" s="371">
        <v>68.64</v>
      </c>
      <c r="W146" s="35">
        <v>1.35</v>
      </c>
      <c r="X146" s="100">
        <v>1.6</v>
      </c>
      <c r="Y146" s="14" t="str">
        <f>RTD("money.excel",,"1535","Price")</f>
        <v>無資料</v>
      </c>
      <c r="Z146" s="69"/>
      <c r="AA146" s="16" t="e">
        <f t="shared" si="60"/>
        <v>#VALUE!</v>
      </c>
      <c r="AB146" s="3" t="e">
        <f t="shared" si="61"/>
        <v>#VALUE!</v>
      </c>
      <c r="AD146" s="23" t="s">
        <v>1050</v>
      </c>
      <c r="AG146" s="34">
        <f t="shared" si="62"/>
        <v>0</v>
      </c>
      <c r="AH146" s="44" t="s">
        <v>4303</v>
      </c>
      <c r="AI146" s="131"/>
      <c r="AK146" s="66">
        <f t="shared" si="63"/>
        <v>0</v>
      </c>
      <c r="AL146" s="174">
        <f t="shared" si="64"/>
        <v>0</v>
      </c>
      <c r="AM146" s="346">
        <f>RTD("money.excel",,$G146,"PredictVolume")</f>
        <v>0</v>
      </c>
      <c r="AN146" s="272">
        <f>RTD("money.excel",,$G146,"CumulativeVolume")</f>
        <v>0</v>
      </c>
      <c r="AO146" s="284"/>
    </row>
    <row r="147" spans="1:41">
      <c r="A147" s="135" t="s">
        <v>4738</v>
      </c>
      <c r="B147" s="84">
        <v>8</v>
      </c>
      <c r="C147" s="84">
        <v>9</v>
      </c>
      <c r="D147" s="84">
        <v>48</v>
      </c>
      <c r="E147" s="84">
        <v>2</v>
      </c>
      <c r="F147" s="59">
        <v>16.25</v>
      </c>
      <c r="G147" s="85">
        <v>1537</v>
      </c>
      <c r="H147" s="4" t="s">
        <v>544</v>
      </c>
      <c r="I147" s="23" t="s">
        <v>1051</v>
      </c>
      <c r="J147" s="77">
        <v>44.91</v>
      </c>
      <c r="K147" s="77">
        <v>21.61</v>
      </c>
      <c r="L147" s="77">
        <v>1.33</v>
      </c>
      <c r="N147" s="365">
        <f t="shared" si="57"/>
        <v>67.849999999999994</v>
      </c>
      <c r="O147" s="343">
        <f t="shared" si="58"/>
        <v>44.91</v>
      </c>
      <c r="P147" s="195">
        <v>3</v>
      </c>
      <c r="Q147" s="326" t="str">
        <f>IFERROR(VLOOKUP($G147,主力整理!$A$2:$G$2301,6,0),"0")</f>
        <v>0</v>
      </c>
      <c r="T147" s="339">
        <f t="shared" si="59"/>
        <v>3</v>
      </c>
      <c r="V147" s="371">
        <v>0</v>
      </c>
      <c r="W147" s="69">
        <v>10</v>
      </c>
      <c r="X147" s="100">
        <v>10.95</v>
      </c>
      <c r="Y147" s="37" t="str">
        <f>RTD("money.excel",,"1537","Price")</f>
        <v>無資料</v>
      </c>
      <c r="Z147" s="69"/>
      <c r="AA147" s="16" t="e">
        <f t="shared" si="60"/>
        <v>#VALUE!</v>
      </c>
      <c r="AB147" s="3" t="e">
        <f t="shared" si="61"/>
        <v>#VALUE!</v>
      </c>
      <c r="AC147" s="177" t="s">
        <v>2929</v>
      </c>
      <c r="AD147" s="23" t="s">
        <v>1051</v>
      </c>
      <c r="AG147" s="34">
        <f t="shared" si="62"/>
        <v>0</v>
      </c>
      <c r="AH147" s="63" t="s">
        <v>3584</v>
      </c>
      <c r="AI147" s="131"/>
      <c r="AK147" s="66">
        <f t="shared" si="63"/>
        <v>0</v>
      </c>
      <c r="AL147" s="174">
        <f t="shared" si="64"/>
        <v>0</v>
      </c>
      <c r="AM147" s="346">
        <f>RTD("money.excel",,$G147,"PredictVolume")</f>
        <v>0</v>
      </c>
      <c r="AN147" s="272">
        <f>RTD("money.excel",,$G147,"CumulativeVolume")</f>
        <v>0</v>
      </c>
      <c r="AO147" s="284"/>
    </row>
    <row r="148" spans="1:41">
      <c r="A148" s="151" t="s">
        <v>4683</v>
      </c>
      <c r="B148" s="96">
        <v>162</v>
      </c>
      <c r="C148" s="96">
        <v>2</v>
      </c>
      <c r="D148" s="96">
        <v>-32</v>
      </c>
      <c r="E148" s="96">
        <v>-27</v>
      </c>
      <c r="F148" s="7">
        <v>-23</v>
      </c>
      <c r="G148" s="85">
        <v>1538</v>
      </c>
      <c r="H148" s="4" t="s">
        <v>544</v>
      </c>
      <c r="I148" s="23" t="s">
        <v>1052</v>
      </c>
      <c r="J148" s="77">
        <v>32.22</v>
      </c>
      <c r="K148" s="77">
        <v>0.43</v>
      </c>
      <c r="N148" s="365">
        <f t="shared" si="57"/>
        <v>32.65</v>
      </c>
      <c r="O148" s="343">
        <f t="shared" si="58"/>
        <v>32.22</v>
      </c>
      <c r="P148" s="195" t="s">
        <v>5554</v>
      </c>
      <c r="Q148" s="326" t="str">
        <f>IFERROR(VLOOKUP($G148,主力整理!$A$2:$G$2301,6,0),"0")</f>
        <v>0</v>
      </c>
      <c r="T148" s="339">
        <f t="shared" si="59"/>
        <v>0</v>
      </c>
      <c r="V148" s="371">
        <v>10.61</v>
      </c>
      <c r="W148" s="35">
        <v>0</v>
      </c>
      <c r="X148" s="100">
        <v>-0.32</v>
      </c>
      <c r="Y148" s="37" t="str">
        <f>RTD("money.excel",,"1538","Price")</f>
        <v>無資料</v>
      </c>
      <c r="Z148" s="69"/>
      <c r="AA148" s="16" t="e">
        <f t="shared" si="60"/>
        <v>#VALUE!</v>
      </c>
      <c r="AB148" s="3" t="e">
        <f t="shared" si="61"/>
        <v>#VALUE!</v>
      </c>
      <c r="AD148" s="23" t="s">
        <v>1052</v>
      </c>
      <c r="AG148" s="34">
        <f t="shared" si="62"/>
        <v>0</v>
      </c>
      <c r="AH148" s="44" t="s">
        <v>3513</v>
      </c>
      <c r="AI148" s="131"/>
      <c r="AK148" s="66">
        <f t="shared" si="63"/>
        <v>0</v>
      </c>
      <c r="AL148" s="174">
        <f t="shared" si="64"/>
        <v>0</v>
      </c>
      <c r="AM148" s="346">
        <f>RTD("money.excel",,$G148,"PredictVolume")</f>
        <v>0</v>
      </c>
      <c r="AN148" s="272">
        <f>RTD("money.excel",,$G148,"CumulativeVolume")</f>
        <v>0</v>
      </c>
      <c r="AO148" s="284"/>
    </row>
    <row r="149" spans="1:41">
      <c r="A149" s="151" t="s">
        <v>3011</v>
      </c>
      <c r="B149" s="85">
        <v>-73</v>
      </c>
      <c r="C149" s="85">
        <v>-33</v>
      </c>
      <c r="D149" s="85">
        <v>-3</v>
      </c>
      <c r="E149" s="84">
        <v>68</v>
      </c>
      <c r="F149" s="7">
        <v>5.39</v>
      </c>
      <c r="G149" s="85">
        <v>1539</v>
      </c>
      <c r="H149" s="4" t="s">
        <v>544</v>
      </c>
      <c r="I149" s="23" t="s">
        <v>1053</v>
      </c>
      <c r="J149" s="77">
        <v>63.46</v>
      </c>
      <c r="K149" s="77">
        <v>0.38</v>
      </c>
      <c r="L149" s="77">
        <v>10.43</v>
      </c>
      <c r="N149" s="365">
        <f t="shared" si="57"/>
        <v>74.27000000000001</v>
      </c>
      <c r="O149" s="343">
        <f t="shared" si="58"/>
        <v>63.46</v>
      </c>
      <c r="P149" s="195">
        <v>1</v>
      </c>
      <c r="Q149" s="326" t="str">
        <f>IFERROR(VLOOKUP($G149,主力整理!$A$2:$G$2301,6,0),"0")</f>
        <v>0</v>
      </c>
      <c r="T149" s="339">
        <f t="shared" si="59"/>
        <v>1</v>
      </c>
      <c r="V149" s="371">
        <v>7.0000000000000007E-2</v>
      </c>
      <c r="W149" s="35">
        <v>0</v>
      </c>
      <c r="X149" s="100">
        <v>-0.28000000000000003</v>
      </c>
      <c r="Y149" s="37" t="str">
        <f>RTD("money.excel",,"1539","Price")</f>
        <v>無資料</v>
      </c>
      <c r="Z149" s="69"/>
      <c r="AA149" s="16" t="e">
        <f t="shared" si="60"/>
        <v>#VALUE!</v>
      </c>
      <c r="AB149" s="3" t="e">
        <f t="shared" si="61"/>
        <v>#VALUE!</v>
      </c>
      <c r="AC149" s="177" t="s">
        <v>2648</v>
      </c>
      <c r="AD149" s="23" t="s">
        <v>1053</v>
      </c>
      <c r="AG149" s="34">
        <f t="shared" si="62"/>
        <v>0</v>
      </c>
      <c r="AH149" s="44" t="s">
        <v>3219</v>
      </c>
      <c r="AI149" s="131"/>
      <c r="AK149" s="66">
        <f t="shared" si="63"/>
        <v>0</v>
      </c>
      <c r="AL149" s="174">
        <f t="shared" si="64"/>
        <v>0</v>
      </c>
      <c r="AM149" s="346">
        <f>RTD("money.excel",,$G149,"PredictVolume")</f>
        <v>0</v>
      </c>
      <c r="AN149" s="272">
        <f>RTD("money.excel",,$G149,"CumulativeVolume")</f>
        <v>0</v>
      </c>
      <c r="AO149" s="284"/>
    </row>
    <row r="150" spans="1:41">
      <c r="A150" s="151" t="s">
        <v>2229</v>
      </c>
      <c r="B150" s="85">
        <v>-60</v>
      </c>
      <c r="C150" s="85">
        <v>-89</v>
      </c>
      <c r="D150" s="85">
        <v>-78</v>
      </c>
      <c r="E150" s="85">
        <v>-92</v>
      </c>
      <c r="F150" s="7">
        <v>3.04</v>
      </c>
      <c r="G150" s="85">
        <v>1540</v>
      </c>
      <c r="H150" s="4" t="s">
        <v>544</v>
      </c>
      <c r="I150" s="23" t="s">
        <v>1054</v>
      </c>
      <c r="J150" s="371">
        <v>38.4</v>
      </c>
      <c r="K150" s="371">
        <v>0.3</v>
      </c>
      <c r="L150" s="371">
        <v>2.15</v>
      </c>
      <c r="N150" s="365">
        <f t="shared" si="57"/>
        <v>40.849999999999994</v>
      </c>
      <c r="O150" s="343">
        <f t="shared" si="58"/>
        <v>38.4</v>
      </c>
      <c r="P150" s="195">
        <v>2</v>
      </c>
      <c r="Q150" s="326" t="str">
        <f>IFERROR(VLOOKUP($G150,主力整理!$A$2:$G$2301,6,0),"0")</f>
        <v>0</v>
      </c>
      <c r="T150" s="339">
        <f t="shared" si="59"/>
        <v>2</v>
      </c>
      <c r="V150" s="371">
        <v>22.9</v>
      </c>
      <c r="W150" s="35">
        <v>0.5</v>
      </c>
      <c r="X150" s="100">
        <v>-0.24</v>
      </c>
      <c r="Y150" s="37" t="str">
        <f>RTD("money.excel",,"1540","Price")</f>
        <v>無資料</v>
      </c>
      <c r="Z150" s="69"/>
      <c r="AA150" s="16" t="e">
        <f t="shared" si="60"/>
        <v>#VALUE!</v>
      </c>
      <c r="AB150" s="3" t="e">
        <f t="shared" si="61"/>
        <v>#VALUE!</v>
      </c>
      <c r="AC150" s="177" t="s">
        <v>2648</v>
      </c>
      <c r="AD150" s="23" t="s">
        <v>1054</v>
      </c>
      <c r="AG150" s="34">
        <f t="shared" si="62"/>
        <v>0</v>
      </c>
      <c r="AH150" s="44" t="s">
        <v>3970</v>
      </c>
      <c r="AI150" s="131"/>
      <c r="AK150" s="66">
        <f t="shared" si="63"/>
        <v>0</v>
      </c>
      <c r="AL150" s="174">
        <f t="shared" si="64"/>
        <v>0</v>
      </c>
      <c r="AM150" s="346">
        <f>RTD("money.excel",,$G150,"PredictVolume")</f>
        <v>0</v>
      </c>
      <c r="AN150" s="272">
        <f>RTD("money.excel",,$G150,"CumulativeVolume")</f>
        <v>0</v>
      </c>
      <c r="AO150" s="284"/>
    </row>
    <row r="151" spans="1:41">
      <c r="A151" s="135" t="s">
        <v>3220</v>
      </c>
      <c r="B151" s="84">
        <v>124</v>
      </c>
      <c r="C151" s="84">
        <v>54</v>
      </c>
      <c r="D151" s="85">
        <v>-20</v>
      </c>
      <c r="E151" s="85">
        <v>-2</v>
      </c>
      <c r="F151" s="59">
        <v>13.29</v>
      </c>
      <c r="G151" s="85">
        <v>1541</v>
      </c>
      <c r="H151" s="4" t="s">
        <v>544</v>
      </c>
      <c r="I151" s="23" t="s">
        <v>1055</v>
      </c>
      <c r="J151" s="77">
        <v>84.3</v>
      </c>
      <c r="K151" s="77">
        <v>10.7</v>
      </c>
      <c r="L151" s="77">
        <v>2.78</v>
      </c>
      <c r="N151" s="365">
        <f t="shared" si="57"/>
        <v>97.78</v>
      </c>
      <c r="O151" s="343">
        <f t="shared" si="58"/>
        <v>84.3</v>
      </c>
      <c r="P151" s="195">
        <v>1</v>
      </c>
      <c r="Q151" s="326" t="str">
        <f>IFERROR(VLOOKUP($G151,主力整理!$A$2:$G$2301,6,0),"0")</f>
        <v>0</v>
      </c>
      <c r="T151" s="339">
        <f t="shared" si="59"/>
        <v>1</v>
      </c>
      <c r="V151" s="371">
        <v>0.05</v>
      </c>
      <c r="W151" s="69">
        <v>3</v>
      </c>
      <c r="X151" s="100">
        <v>5.79</v>
      </c>
      <c r="Y151" s="37" t="str">
        <f>RTD("money.excel",,"1541","Price")</f>
        <v>無資料</v>
      </c>
      <c r="Z151" s="69"/>
      <c r="AA151" s="16" t="e">
        <f t="shared" si="60"/>
        <v>#VALUE!</v>
      </c>
      <c r="AB151" s="3" t="e">
        <f t="shared" si="61"/>
        <v>#VALUE!</v>
      </c>
      <c r="AC151" s="177" t="s">
        <v>2929</v>
      </c>
      <c r="AD151" s="23" t="s">
        <v>1055</v>
      </c>
      <c r="AG151" s="34">
        <f t="shared" si="62"/>
        <v>0</v>
      </c>
      <c r="AH151" s="63" t="s">
        <v>4304</v>
      </c>
      <c r="AI151" s="131"/>
      <c r="AK151" s="66">
        <f t="shared" si="63"/>
        <v>0</v>
      </c>
      <c r="AL151" s="174">
        <f t="shared" si="64"/>
        <v>0</v>
      </c>
      <c r="AM151" s="346">
        <f>RTD("money.excel",,$G151,"PredictVolume")</f>
        <v>0</v>
      </c>
      <c r="AN151" s="272">
        <f>RTD("money.excel",,$G151,"CumulativeVolume")</f>
        <v>0</v>
      </c>
      <c r="AO151" s="284"/>
    </row>
    <row r="152" spans="1:41">
      <c r="A152" s="151" t="s">
        <v>2328</v>
      </c>
      <c r="B152" s="84">
        <v>43</v>
      </c>
      <c r="C152" s="84">
        <v>11</v>
      </c>
      <c r="D152" s="84">
        <v>68</v>
      </c>
      <c r="E152" s="84">
        <v>14</v>
      </c>
      <c r="F152" s="7">
        <v>9.1300000000000008</v>
      </c>
      <c r="G152" s="85">
        <v>1558</v>
      </c>
      <c r="H152" s="4" t="s">
        <v>544</v>
      </c>
      <c r="I152" s="23" t="s">
        <v>1056</v>
      </c>
      <c r="J152" s="77">
        <v>34.44</v>
      </c>
      <c r="K152" s="77">
        <v>8.86</v>
      </c>
      <c r="L152" s="371">
        <v>1.34</v>
      </c>
      <c r="N152" s="365">
        <f t="shared" si="57"/>
        <v>44.64</v>
      </c>
      <c r="O152" s="343">
        <f t="shared" si="58"/>
        <v>34.44</v>
      </c>
      <c r="P152" s="195">
        <v>1</v>
      </c>
      <c r="Q152" s="326" t="str">
        <f>IFERROR(VLOOKUP($G152,主力整理!$A$2:$G$2301,6,0),"0")</f>
        <v>0</v>
      </c>
      <c r="T152" s="339">
        <f t="shared" si="59"/>
        <v>1</v>
      </c>
      <c r="V152" s="371">
        <v>0</v>
      </c>
      <c r="W152" s="69">
        <v>9.5</v>
      </c>
      <c r="X152" s="100">
        <v>13.76</v>
      </c>
      <c r="Y152" s="37" t="str">
        <f>RTD("money.excel",,"1558","Price")</f>
        <v>無資料</v>
      </c>
      <c r="Z152" s="69"/>
      <c r="AA152" s="16" t="e">
        <f t="shared" si="60"/>
        <v>#VALUE!</v>
      </c>
      <c r="AB152" s="3" t="e">
        <f t="shared" si="61"/>
        <v>#VALUE!</v>
      </c>
      <c r="AC152" s="177" t="s">
        <v>2929</v>
      </c>
      <c r="AD152" s="23" t="s">
        <v>1056</v>
      </c>
      <c r="AG152" s="34">
        <f t="shared" si="62"/>
        <v>0</v>
      </c>
      <c r="AH152" s="44" t="s">
        <v>4305</v>
      </c>
      <c r="AI152" s="131"/>
      <c r="AK152" s="66">
        <f t="shared" si="63"/>
        <v>0</v>
      </c>
      <c r="AL152" s="174">
        <f t="shared" si="64"/>
        <v>0</v>
      </c>
      <c r="AM152" s="346">
        <f>RTD("money.excel",,$G152,"PredictVolume")</f>
        <v>0</v>
      </c>
      <c r="AN152" s="272">
        <f>RTD("money.excel",,$G152,"CumulativeVolume")</f>
        <v>0</v>
      </c>
      <c r="AO152" s="284"/>
    </row>
    <row r="153" spans="1:41">
      <c r="A153" s="135" t="s">
        <v>2876</v>
      </c>
      <c r="B153" s="84">
        <v>15</v>
      </c>
      <c r="C153" s="84">
        <v>25</v>
      </c>
      <c r="D153" s="84">
        <v>8</v>
      </c>
      <c r="E153" s="84">
        <v>20</v>
      </c>
      <c r="F153" s="59">
        <v>14.68</v>
      </c>
      <c r="G153" s="85">
        <v>1560</v>
      </c>
      <c r="H153" s="4" t="s">
        <v>544</v>
      </c>
      <c r="I153" s="23" t="s">
        <v>331</v>
      </c>
      <c r="J153" s="371">
        <v>45.46</v>
      </c>
      <c r="K153" s="77">
        <v>16.43</v>
      </c>
      <c r="L153" s="77">
        <v>17.95</v>
      </c>
      <c r="M153" s="77">
        <v>16.86</v>
      </c>
      <c r="N153" s="365">
        <f t="shared" si="57"/>
        <v>96.7</v>
      </c>
      <c r="O153" s="343">
        <f t="shared" si="58"/>
        <v>62.32</v>
      </c>
      <c r="P153" s="195">
        <v>7</v>
      </c>
      <c r="Q153" s="326">
        <v>13</v>
      </c>
      <c r="R153" s="111">
        <v>1</v>
      </c>
      <c r="S153" s="51">
        <v>8</v>
      </c>
      <c r="T153" s="339">
        <f t="shared" si="59"/>
        <v>29</v>
      </c>
      <c r="U153" s="329" t="s">
        <v>6538</v>
      </c>
      <c r="V153" s="371">
        <v>2.37</v>
      </c>
      <c r="W153" s="35">
        <v>2.8</v>
      </c>
      <c r="X153" s="100">
        <v>4.0199999999999996</v>
      </c>
      <c r="Y153" s="37" t="str">
        <f>RTD("money.excel",,"1560","Price")</f>
        <v>無資料</v>
      </c>
      <c r="Z153" s="69"/>
      <c r="AA153" s="16" t="e">
        <f t="shared" si="60"/>
        <v>#VALUE!</v>
      </c>
      <c r="AB153" s="3" t="e">
        <f t="shared" si="61"/>
        <v>#VALUE!</v>
      </c>
      <c r="AC153" s="177" t="s">
        <v>2648</v>
      </c>
      <c r="AD153" s="23" t="s">
        <v>331</v>
      </c>
      <c r="AG153" s="34">
        <f t="shared" si="62"/>
        <v>0</v>
      </c>
      <c r="AH153" s="126" t="s">
        <v>3163</v>
      </c>
      <c r="AI153" s="131"/>
      <c r="AK153" s="66">
        <f t="shared" si="63"/>
        <v>0</v>
      </c>
      <c r="AL153" s="174">
        <f t="shared" si="64"/>
        <v>0</v>
      </c>
      <c r="AM153" s="346">
        <f>RTD("money.excel",,$G153,"PredictVolume")</f>
        <v>0</v>
      </c>
      <c r="AN153" s="272">
        <f>RTD("money.excel",,$G153,"CumulativeVolume")</f>
        <v>0</v>
      </c>
      <c r="AO153" s="284"/>
    </row>
    <row r="154" spans="1:41">
      <c r="A154" s="135" t="s">
        <v>2382</v>
      </c>
      <c r="B154" s="96">
        <v>-32</v>
      </c>
      <c r="C154" s="96">
        <v>-23</v>
      </c>
      <c r="D154" s="96">
        <v>10</v>
      </c>
      <c r="E154" s="96">
        <v>-20</v>
      </c>
      <c r="F154" s="59">
        <v>11.19</v>
      </c>
      <c r="G154" s="85">
        <v>1570</v>
      </c>
      <c r="H154" s="4" t="s">
        <v>544</v>
      </c>
      <c r="I154" s="17" t="s">
        <v>1006</v>
      </c>
      <c r="J154" s="77">
        <v>47.98</v>
      </c>
      <c r="K154" s="77">
        <v>0.02</v>
      </c>
      <c r="L154" s="77">
        <v>23.39</v>
      </c>
      <c r="N154" s="365">
        <f t="shared" si="57"/>
        <v>71.39</v>
      </c>
      <c r="O154" s="343">
        <f t="shared" si="58"/>
        <v>47.98</v>
      </c>
      <c r="P154" s="195" t="s">
        <v>5554</v>
      </c>
      <c r="Q154" s="326" t="str">
        <f>IFERROR(VLOOKUP($G154,主力整理!$A$2:$G$2301,6,0),"0")</f>
        <v>0</v>
      </c>
      <c r="T154" s="339">
        <f t="shared" si="59"/>
        <v>0</v>
      </c>
      <c r="V154" s="371">
        <v>13.4</v>
      </c>
      <c r="W154" s="35">
        <v>0.8</v>
      </c>
      <c r="X154" s="100">
        <v>0.93</v>
      </c>
      <c r="Y154" s="37" t="str">
        <f>RTD("money.excel",,"1570","Price")</f>
        <v>無資料</v>
      </c>
      <c r="Z154" s="69"/>
      <c r="AA154" s="16" t="e">
        <f t="shared" si="60"/>
        <v>#VALUE!</v>
      </c>
      <c r="AB154" s="3" t="e">
        <f t="shared" si="61"/>
        <v>#VALUE!</v>
      </c>
      <c r="AD154" s="17" t="s">
        <v>1006</v>
      </c>
      <c r="AG154" s="34">
        <f t="shared" si="62"/>
        <v>0</v>
      </c>
      <c r="AH154" s="63" t="s">
        <v>3957</v>
      </c>
      <c r="AI154" s="131"/>
      <c r="AK154" s="66">
        <f t="shared" si="63"/>
        <v>0</v>
      </c>
      <c r="AL154" s="174">
        <f t="shared" si="64"/>
        <v>0</v>
      </c>
      <c r="AM154" s="346">
        <f>RTD("money.excel",,$G154,"PredictVolume")</f>
        <v>0</v>
      </c>
      <c r="AN154" s="272">
        <f>RTD("money.excel",,$G154,"CumulativeVolume")</f>
        <v>0</v>
      </c>
      <c r="AO154" s="284"/>
    </row>
    <row r="155" spans="1:41">
      <c r="A155" s="135" t="s">
        <v>2367</v>
      </c>
      <c r="B155" s="85">
        <v>-39</v>
      </c>
      <c r="C155" s="85">
        <v>-35</v>
      </c>
      <c r="D155" s="85">
        <v>-22</v>
      </c>
      <c r="E155" s="84">
        <v>45</v>
      </c>
      <c r="F155" s="59">
        <v>13.27</v>
      </c>
      <c r="G155" s="85">
        <v>1580</v>
      </c>
      <c r="H155" s="4" t="s">
        <v>544</v>
      </c>
      <c r="I155" s="17" t="s">
        <v>65</v>
      </c>
      <c r="J155" s="77">
        <v>33.159999999999997</v>
      </c>
      <c r="K155" s="77">
        <v>11.74</v>
      </c>
      <c r="L155" s="77">
        <v>6.23</v>
      </c>
      <c r="N155" s="365">
        <f t="shared" si="57"/>
        <v>51.129999999999995</v>
      </c>
      <c r="O155" s="343">
        <f t="shared" si="58"/>
        <v>33.159999999999997</v>
      </c>
      <c r="P155" s="195" t="s">
        <v>5554</v>
      </c>
      <c r="Q155" s="326" t="str">
        <f>IFERROR(VLOOKUP($G155,主力整理!$A$2:$G$2301,6,0),"0")</f>
        <v>0</v>
      </c>
      <c r="T155" s="339">
        <f t="shared" si="59"/>
        <v>0</v>
      </c>
      <c r="V155" s="371">
        <v>0</v>
      </c>
      <c r="W155" s="69">
        <v>6.79</v>
      </c>
      <c r="X155" s="100">
        <v>6.79</v>
      </c>
      <c r="Y155" s="37" t="str">
        <f>RTD("money.excel",,"1580","Price")</f>
        <v>無資料</v>
      </c>
      <c r="Z155" s="69"/>
      <c r="AA155" s="16" t="e">
        <f t="shared" si="60"/>
        <v>#VALUE!</v>
      </c>
      <c r="AB155" s="3" t="e">
        <f t="shared" si="61"/>
        <v>#VALUE!</v>
      </c>
      <c r="AC155" s="177" t="s">
        <v>2700</v>
      </c>
      <c r="AD155" s="17" t="s">
        <v>65</v>
      </c>
      <c r="AG155" s="34">
        <f t="shared" si="62"/>
        <v>0</v>
      </c>
      <c r="AH155" s="126" t="s">
        <v>3958</v>
      </c>
      <c r="AI155" s="131"/>
      <c r="AK155" s="66">
        <f t="shared" si="63"/>
        <v>0</v>
      </c>
      <c r="AL155" s="174">
        <f t="shared" si="64"/>
        <v>0</v>
      </c>
      <c r="AM155" s="346">
        <f>RTD("money.excel",,$G155,"PredictVolume")</f>
        <v>0</v>
      </c>
      <c r="AN155" s="272">
        <f>RTD("money.excel",,$G155,"CumulativeVolume")</f>
        <v>0</v>
      </c>
      <c r="AO155" s="284"/>
    </row>
    <row r="156" spans="1:41">
      <c r="A156" s="151" t="s">
        <v>3238</v>
      </c>
      <c r="B156" s="84">
        <v>88</v>
      </c>
      <c r="C156" s="85">
        <v>-95</v>
      </c>
      <c r="D156" s="84">
        <v>11</v>
      </c>
      <c r="E156" s="84">
        <v>9</v>
      </c>
      <c r="F156" s="7">
        <v>0.43</v>
      </c>
      <c r="G156" s="85">
        <v>1583</v>
      </c>
      <c r="H156" s="4" t="s">
        <v>544</v>
      </c>
      <c r="I156" s="23" t="s">
        <v>1058</v>
      </c>
      <c r="J156" s="77">
        <v>90.03</v>
      </c>
      <c r="K156" s="77">
        <v>0.27</v>
      </c>
      <c r="L156" s="371">
        <v>0.28999999999999998</v>
      </c>
      <c r="N156" s="365">
        <f t="shared" si="57"/>
        <v>90.59</v>
      </c>
      <c r="O156" s="343">
        <f t="shared" si="58"/>
        <v>90.03</v>
      </c>
      <c r="P156" s="195">
        <v>16</v>
      </c>
      <c r="Q156" s="326" t="str">
        <f>IFERROR(VLOOKUP($G156,主力整理!$A$2:$G$2301,6,0),"0")</f>
        <v>0</v>
      </c>
      <c r="T156" s="339">
        <f t="shared" si="59"/>
        <v>16</v>
      </c>
      <c r="V156" s="371">
        <v>0</v>
      </c>
      <c r="W156" s="69">
        <v>3</v>
      </c>
      <c r="X156" s="59">
        <v>4.3899999999999997</v>
      </c>
      <c r="Y156" s="37" t="str">
        <f>RTD("money.excel",,"1583","Price")</f>
        <v>無資料</v>
      </c>
      <c r="Z156" s="69"/>
      <c r="AA156" s="16" t="e">
        <f t="shared" si="60"/>
        <v>#VALUE!</v>
      </c>
      <c r="AB156" s="3" t="e">
        <f t="shared" si="61"/>
        <v>#VALUE!</v>
      </c>
      <c r="AC156" s="177" t="s">
        <v>2929</v>
      </c>
      <c r="AD156" s="23" t="s">
        <v>1058</v>
      </c>
      <c r="AG156" s="34">
        <f t="shared" si="62"/>
        <v>0</v>
      </c>
      <c r="AH156" s="44" t="s">
        <v>4306</v>
      </c>
      <c r="AI156" s="131"/>
      <c r="AK156" s="66">
        <f t="shared" si="63"/>
        <v>0</v>
      </c>
      <c r="AL156" s="174">
        <f t="shared" si="64"/>
        <v>0</v>
      </c>
      <c r="AM156" s="346">
        <f>RTD("money.excel",,$G156,"PredictVolume")</f>
        <v>0</v>
      </c>
      <c r="AN156" s="272">
        <f>RTD("money.excel",,$G156,"CumulativeVolume")</f>
        <v>0</v>
      </c>
      <c r="AO156" s="284"/>
    </row>
    <row r="157" spans="1:41">
      <c r="A157" s="135" t="s">
        <v>2309</v>
      </c>
      <c r="B157" s="84">
        <v>586</v>
      </c>
      <c r="C157" s="84">
        <v>273</v>
      </c>
      <c r="D157" s="84">
        <v>21</v>
      </c>
      <c r="E157" s="84">
        <v>37</v>
      </c>
      <c r="F157" s="59">
        <v>10.1</v>
      </c>
      <c r="G157" s="85">
        <v>1586</v>
      </c>
      <c r="H157" s="4" t="s">
        <v>544</v>
      </c>
      <c r="I157" s="17" t="s">
        <v>1033</v>
      </c>
      <c r="J157" s="77">
        <v>41.92</v>
      </c>
      <c r="K157" s="77">
        <v>0.78</v>
      </c>
      <c r="L157" s="77">
        <v>49.72</v>
      </c>
      <c r="N157" s="365">
        <f t="shared" si="57"/>
        <v>92.42</v>
      </c>
      <c r="O157" s="343">
        <f t="shared" si="58"/>
        <v>41.92</v>
      </c>
      <c r="P157" s="195">
        <v>4</v>
      </c>
      <c r="Q157" s="326" t="str">
        <f>IFERROR(VLOOKUP($G157,主力整理!$A$2:$G$2301,6,0),"0")</f>
        <v>0</v>
      </c>
      <c r="T157" s="339">
        <f t="shared" si="59"/>
        <v>4</v>
      </c>
      <c r="V157" s="371">
        <v>0.5</v>
      </c>
      <c r="W157" s="35">
        <v>1</v>
      </c>
      <c r="X157" s="100">
        <v>1.75</v>
      </c>
      <c r="Y157" s="37" t="str">
        <f>RTD("money.excel",,"1586","Price")</f>
        <v>無資料</v>
      </c>
      <c r="Z157" s="69"/>
      <c r="AA157" s="16" t="e">
        <f t="shared" si="60"/>
        <v>#VALUE!</v>
      </c>
      <c r="AB157" s="3" t="e">
        <f t="shared" si="61"/>
        <v>#VALUE!</v>
      </c>
      <c r="AC157" s="177" t="s">
        <v>2648</v>
      </c>
      <c r="AD157" s="17" t="s">
        <v>1033</v>
      </c>
      <c r="AG157" s="34">
        <f t="shared" si="62"/>
        <v>0</v>
      </c>
      <c r="AH157" s="63" t="s">
        <v>3703</v>
      </c>
      <c r="AI157" s="131"/>
      <c r="AK157" s="66">
        <f t="shared" si="63"/>
        <v>0</v>
      </c>
      <c r="AL157" s="174">
        <f t="shared" si="64"/>
        <v>0</v>
      </c>
      <c r="AM157" s="346">
        <f>RTD("money.excel",,$G157,"PredictVolume")</f>
        <v>0</v>
      </c>
      <c r="AN157" s="272">
        <f>RTD("money.excel",,$G157,"CumulativeVolume")</f>
        <v>0</v>
      </c>
      <c r="AO157" s="284"/>
    </row>
    <row r="158" spans="1:41">
      <c r="A158" s="151" t="s">
        <v>3238</v>
      </c>
      <c r="B158" s="84">
        <v>211</v>
      </c>
      <c r="C158" s="84">
        <v>279</v>
      </c>
      <c r="D158" s="85">
        <v>-12</v>
      </c>
      <c r="E158" s="85">
        <v>-3</v>
      </c>
      <c r="F158" s="7">
        <v>9.3000000000000007</v>
      </c>
      <c r="G158" s="85">
        <v>1589</v>
      </c>
      <c r="H158" s="4" t="s">
        <v>544</v>
      </c>
      <c r="I158" s="23" t="s">
        <v>1060</v>
      </c>
      <c r="J158" s="371">
        <v>35.35</v>
      </c>
      <c r="K158" s="77">
        <v>7.6</v>
      </c>
      <c r="L158" s="77">
        <v>30.65</v>
      </c>
      <c r="N158" s="365">
        <f t="shared" si="57"/>
        <v>73.599999999999994</v>
      </c>
      <c r="O158" s="343">
        <f t="shared" si="58"/>
        <v>35.35</v>
      </c>
      <c r="P158" s="195">
        <v>6</v>
      </c>
      <c r="Q158" s="326" t="str">
        <f>IFERROR(VLOOKUP($G158,主力整理!$A$2:$G$2301,6,0),"0")</f>
        <v>0</v>
      </c>
      <c r="R158" s="111">
        <v>0</v>
      </c>
      <c r="T158" s="339">
        <f t="shared" si="59"/>
        <v>6</v>
      </c>
      <c r="V158" s="371">
        <v>0.84</v>
      </c>
      <c r="W158" s="35">
        <v>1.5</v>
      </c>
      <c r="X158" s="100">
        <v>7.01</v>
      </c>
      <c r="Y158" s="37" t="str">
        <f>RTD("money.excel",,"1589","Price")</f>
        <v>無資料</v>
      </c>
      <c r="Z158" s="69"/>
      <c r="AA158" s="16" t="e">
        <f t="shared" si="60"/>
        <v>#VALUE!</v>
      </c>
      <c r="AB158" s="3" t="e">
        <f t="shared" si="61"/>
        <v>#VALUE!</v>
      </c>
      <c r="AC158" s="177" t="s">
        <v>2648</v>
      </c>
      <c r="AD158" s="23" t="s">
        <v>1060</v>
      </c>
      <c r="AG158" s="34">
        <f t="shared" si="62"/>
        <v>0</v>
      </c>
      <c r="AH158" s="44" t="s">
        <v>4307</v>
      </c>
      <c r="AI158" s="131"/>
      <c r="AK158" s="66">
        <f t="shared" si="63"/>
        <v>0</v>
      </c>
      <c r="AL158" s="174">
        <f t="shared" si="64"/>
        <v>0</v>
      </c>
      <c r="AM158" s="346">
        <f>RTD("money.excel",,$G158,"PredictVolume")</f>
        <v>0</v>
      </c>
      <c r="AN158" s="272">
        <f>RTD("money.excel",,$G158,"CumulativeVolume")</f>
        <v>0</v>
      </c>
      <c r="AO158" s="284"/>
    </row>
    <row r="159" spans="1:41">
      <c r="A159" s="135" t="s">
        <v>3115</v>
      </c>
      <c r="B159" s="84">
        <v>87</v>
      </c>
      <c r="C159" s="84">
        <v>73</v>
      </c>
      <c r="D159" s="85">
        <v>-26</v>
      </c>
      <c r="E159" s="84">
        <v>3</v>
      </c>
      <c r="F159" s="59">
        <v>33.82</v>
      </c>
      <c r="G159" s="85">
        <v>1590</v>
      </c>
      <c r="H159" s="53" t="s">
        <v>544</v>
      </c>
      <c r="I159" s="23" t="s">
        <v>244</v>
      </c>
      <c r="J159" s="77">
        <v>58.89</v>
      </c>
      <c r="K159" s="77">
        <v>82</v>
      </c>
      <c r="L159" s="371">
        <v>1.04</v>
      </c>
      <c r="N159" s="365">
        <f t="shared" si="57"/>
        <v>141.92999999999998</v>
      </c>
      <c r="O159" s="343">
        <f t="shared" si="58"/>
        <v>58.89</v>
      </c>
      <c r="P159" s="195">
        <v>15</v>
      </c>
      <c r="Q159" s="326">
        <v>4</v>
      </c>
      <c r="R159" s="111">
        <v>5</v>
      </c>
      <c r="S159" s="51">
        <v>6</v>
      </c>
      <c r="T159" s="339">
        <f t="shared" si="59"/>
        <v>30</v>
      </c>
      <c r="V159" s="371">
        <v>5.01</v>
      </c>
      <c r="W159" s="69">
        <v>9.06</v>
      </c>
      <c r="X159" s="59">
        <v>33.64</v>
      </c>
      <c r="Y159" s="160" t="str">
        <f>RTD("money.excel",,"1590","Price")</f>
        <v>無資料</v>
      </c>
      <c r="Z159" s="69"/>
      <c r="AA159" s="146" t="e">
        <f t="shared" si="60"/>
        <v>#VALUE!</v>
      </c>
      <c r="AB159" s="3" t="e">
        <f t="shared" si="61"/>
        <v>#VALUE!</v>
      </c>
      <c r="AC159" s="177" t="s">
        <v>2929</v>
      </c>
      <c r="AD159" s="23" t="s">
        <v>244</v>
      </c>
      <c r="AG159" s="34">
        <f t="shared" si="62"/>
        <v>0</v>
      </c>
      <c r="AH159" s="126" t="s">
        <v>3995</v>
      </c>
      <c r="AI159" s="131"/>
      <c r="AK159" s="66">
        <f t="shared" si="63"/>
        <v>0</v>
      </c>
      <c r="AL159" s="174">
        <f t="shared" si="64"/>
        <v>0</v>
      </c>
      <c r="AM159" s="346">
        <f>RTD("money.excel",,$G159,"PredictVolume")</f>
        <v>0</v>
      </c>
      <c r="AN159" s="272">
        <f>RTD("money.excel",,$G159,"CumulativeVolume")</f>
        <v>0</v>
      </c>
      <c r="AO159" s="284"/>
    </row>
    <row r="160" spans="1:41">
      <c r="A160" s="151" t="s">
        <v>2586</v>
      </c>
      <c r="B160" s="96">
        <v>107</v>
      </c>
      <c r="C160" s="96">
        <v>33</v>
      </c>
      <c r="D160" s="96">
        <v>2</v>
      </c>
      <c r="E160" s="96">
        <v>38</v>
      </c>
      <c r="F160" s="7">
        <v>2.74</v>
      </c>
      <c r="G160" s="85">
        <v>1591</v>
      </c>
      <c r="H160" s="4" t="s">
        <v>544</v>
      </c>
      <c r="I160" s="17" t="s">
        <v>1007</v>
      </c>
      <c r="J160" s="77">
        <v>65.099999999999994</v>
      </c>
      <c r="K160" s="77">
        <v>19.89</v>
      </c>
      <c r="L160" s="77">
        <v>64.17</v>
      </c>
      <c r="N160" s="365">
        <f t="shared" si="57"/>
        <v>149.16</v>
      </c>
      <c r="O160" s="343">
        <f t="shared" si="58"/>
        <v>65.099999999999994</v>
      </c>
      <c r="P160" s="195" t="s">
        <v>5554</v>
      </c>
      <c r="Q160" s="326" t="str">
        <f>IFERROR(VLOOKUP($G160,主力整理!$A$2:$G$2301,6,0),"0")</f>
        <v>0</v>
      </c>
      <c r="T160" s="339">
        <f t="shared" si="59"/>
        <v>0</v>
      </c>
      <c r="V160" s="371">
        <v>21.06</v>
      </c>
      <c r="W160" s="35">
        <v>0.5</v>
      </c>
      <c r="X160" s="100">
        <v>1.59</v>
      </c>
      <c r="Y160" s="14" t="str">
        <f>RTD("money.excel",,"1591","Price")</f>
        <v>無資料</v>
      </c>
      <c r="Z160" s="69"/>
      <c r="AA160" s="16" t="e">
        <f t="shared" si="60"/>
        <v>#VALUE!</v>
      </c>
      <c r="AB160" s="3" t="e">
        <f t="shared" si="61"/>
        <v>#VALUE!</v>
      </c>
      <c r="AD160" s="17" t="s">
        <v>1007</v>
      </c>
      <c r="AG160" s="34">
        <f t="shared" si="62"/>
        <v>0</v>
      </c>
      <c r="AH160" s="44" t="s">
        <v>3959</v>
      </c>
      <c r="AI160" s="131"/>
      <c r="AK160" s="66">
        <f t="shared" si="63"/>
        <v>0</v>
      </c>
      <c r="AL160" s="174">
        <f t="shared" si="64"/>
        <v>0</v>
      </c>
      <c r="AM160" s="346">
        <f>RTD("money.excel",,$G160,"PredictVolume")</f>
        <v>0</v>
      </c>
      <c r="AN160" s="272">
        <f>RTD("money.excel",,$G160,"CumulativeVolume")</f>
        <v>0</v>
      </c>
      <c r="AO160" s="284"/>
    </row>
    <row r="161" spans="1:41">
      <c r="A161" s="135" t="s">
        <v>2444</v>
      </c>
      <c r="B161" s="84">
        <v>52</v>
      </c>
      <c r="C161" s="84">
        <v>72</v>
      </c>
      <c r="D161" s="84">
        <v>0</v>
      </c>
      <c r="E161" s="84">
        <v>46</v>
      </c>
      <c r="F161" s="59">
        <v>24.42</v>
      </c>
      <c r="G161" s="85">
        <v>1597</v>
      </c>
      <c r="H161" s="4" t="s">
        <v>544</v>
      </c>
      <c r="I161" s="23" t="s">
        <v>329</v>
      </c>
      <c r="J161" s="371">
        <v>38.28</v>
      </c>
      <c r="K161" s="371">
        <v>5.39</v>
      </c>
      <c r="L161" s="371">
        <v>8.9700000000000006</v>
      </c>
      <c r="N161" s="365">
        <f t="shared" si="57"/>
        <v>52.64</v>
      </c>
      <c r="O161" s="343">
        <f t="shared" si="58"/>
        <v>38.28</v>
      </c>
      <c r="P161" s="195">
        <v>4</v>
      </c>
      <c r="Q161" s="326" t="str">
        <f>IFERROR(VLOOKUP($G161,主力整理!$A$2:$G$2301,6,0),"0")</f>
        <v>0</v>
      </c>
      <c r="R161" s="111">
        <v>5</v>
      </c>
      <c r="S161" s="51">
        <v>11</v>
      </c>
      <c r="T161" s="339">
        <f t="shared" si="59"/>
        <v>20</v>
      </c>
      <c r="V161" s="371">
        <v>1.21</v>
      </c>
      <c r="W161" s="35">
        <v>1.5</v>
      </c>
      <c r="X161" s="100">
        <v>3.15</v>
      </c>
      <c r="Y161" s="37" t="str">
        <f>RTD("money.excel",,"1597","Price")</f>
        <v>無資料</v>
      </c>
      <c r="Z161" s="69"/>
      <c r="AA161" s="16" t="e">
        <f t="shared" si="60"/>
        <v>#VALUE!</v>
      </c>
      <c r="AB161" s="3" t="e">
        <f t="shared" si="61"/>
        <v>#VALUE!</v>
      </c>
      <c r="AC161" s="177" t="s">
        <v>2648</v>
      </c>
      <c r="AD161" s="23" t="s">
        <v>329</v>
      </c>
      <c r="AG161" s="34">
        <f t="shared" si="62"/>
        <v>0</v>
      </c>
      <c r="AH161" s="126" t="s">
        <v>3960</v>
      </c>
      <c r="AI161" s="131"/>
      <c r="AK161" s="66">
        <f t="shared" si="63"/>
        <v>0</v>
      </c>
      <c r="AL161" s="174">
        <f t="shared" si="64"/>
        <v>0</v>
      </c>
      <c r="AM161" s="346">
        <f>RTD("money.excel",,$G161,"PredictVolume")</f>
        <v>0</v>
      </c>
      <c r="AN161" s="272">
        <f>RTD("money.excel",,$G161,"CumulativeVolume")</f>
        <v>0</v>
      </c>
      <c r="AO161" s="284"/>
    </row>
    <row r="162" spans="1:41">
      <c r="A162" s="151" t="s">
        <v>4680</v>
      </c>
      <c r="B162" s="96">
        <v>40</v>
      </c>
      <c r="C162" s="96">
        <v>29</v>
      </c>
      <c r="D162" s="96">
        <v>-1</v>
      </c>
      <c r="E162" s="96">
        <v>96</v>
      </c>
      <c r="F162" s="7">
        <v>7.93</v>
      </c>
      <c r="G162" s="85">
        <v>1599</v>
      </c>
      <c r="H162" s="4" t="s">
        <v>544</v>
      </c>
      <c r="I162" s="17" t="s">
        <v>143</v>
      </c>
      <c r="J162" s="77">
        <v>71.14</v>
      </c>
      <c r="K162" s="371">
        <v>16.43</v>
      </c>
      <c r="L162" s="77">
        <v>2.2200000000000002</v>
      </c>
      <c r="N162" s="365">
        <f t="shared" ref="N162:N193" si="65">J162+K162+L162+M162</f>
        <v>89.789999999999992</v>
      </c>
      <c r="O162" s="343">
        <f t="shared" ref="O162:O193" si="66">J162+M162</f>
        <v>71.14</v>
      </c>
      <c r="P162" s="195" t="s">
        <v>5554</v>
      </c>
      <c r="Q162" s="326" t="str">
        <f>IFERROR(VLOOKUP($G162,主力整理!$A$2:$G$2301,6,0),"0")</f>
        <v>0</v>
      </c>
      <c r="T162" s="339">
        <f t="shared" ref="T162:T193" si="67">SUM(P162:S162)</f>
        <v>0</v>
      </c>
      <c r="V162" s="371">
        <v>21.46</v>
      </c>
      <c r="W162" s="35">
        <v>2</v>
      </c>
      <c r="X162" s="100">
        <v>3.27</v>
      </c>
      <c r="Y162" s="14" t="str">
        <f>RTD("money.excel",,"1599","Price")</f>
        <v>無資料</v>
      </c>
      <c r="Z162" s="69"/>
      <c r="AA162" s="16" t="e">
        <f t="shared" ref="AA162:AA193" si="68">Y162-Z162</f>
        <v>#VALUE!</v>
      </c>
      <c r="AB162" s="3" t="e">
        <f t="shared" ref="AB162:AB193" si="69">AA162/Z162</f>
        <v>#VALUE!</v>
      </c>
      <c r="AD162" s="17" t="s">
        <v>143</v>
      </c>
      <c r="AG162" s="34">
        <f t="shared" ref="AG162:AG193" si="70">AF162-AE162</f>
        <v>0</v>
      </c>
      <c r="AH162" s="125" t="s">
        <v>3961</v>
      </c>
      <c r="AI162" s="131"/>
      <c r="AK162" s="66">
        <f t="shared" si="63"/>
        <v>0</v>
      </c>
      <c r="AL162" s="174">
        <f t="shared" si="64"/>
        <v>0</v>
      </c>
      <c r="AM162" s="346">
        <f>RTD("money.excel",,$G162,"PredictVolume")</f>
        <v>0</v>
      </c>
      <c r="AN162" s="272">
        <f>RTD("money.excel",,$G162,"CumulativeVolume")</f>
        <v>0</v>
      </c>
      <c r="AO162" s="284"/>
    </row>
    <row r="163" spans="1:41">
      <c r="A163" s="135" t="s">
        <v>6296</v>
      </c>
      <c r="B163" s="84">
        <v>360</v>
      </c>
      <c r="C163" s="84">
        <v>271</v>
      </c>
      <c r="D163" s="84">
        <v>1</v>
      </c>
      <c r="E163" s="84">
        <v>38</v>
      </c>
      <c r="F163" s="59">
        <v>17.16</v>
      </c>
      <c r="G163" s="85">
        <v>2049</v>
      </c>
      <c r="H163" s="4" t="s">
        <v>544</v>
      </c>
      <c r="I163" s="23" t="s">
        <v>35</v>
      </c>
      <c r="J163" s="77">
        <v>60.85</v>
      </c>
      <c r="K163" s="371">
        <v>50.55</v>
      </c>
      <c r="L163" s="77">
        <v>1.78</v>
      </c>
      <c r="N163" s="365">
        <f t="shared" si="65"/>
        <v>113.18</v>
      </c>
      <c r="O163" s="343">
        <f t="shared" si="66"/>
        <v>60.85</v>
      </c>
      <c r="P163" s="195">
        <v>38</v>
      </c>
      <c r="Q163" s="326">
        <v>5</v>
      </c>
      <c r="R163" s="111">
        <v>3</v>
      </c>
      <c r="S163" s="51">
        <v>17</v>
      </c>
      <c r="T163" s="339">
        <f t="shared" si="67"/>
        <v>63</v>
      </c>
      <c r="V163" s="371">
        <v>4.88</v>
      </c>
      <c r="W163" s="35">
        <v>2.2999999999999998</v>
      </c>
      <c r="X163" s="59">
        <v>9.4700000000000006</v>
      </c>
      <c r="Y163" s="14" t="str">
        <f>RTD("money.excel",,"2049","Price")</f>
        <v>無資料</v>
      </c>
      <c r="Z163" s="69"/>
      <c r="AA163" s="16" t="e">
        <f t="shared" si="68"/>
        <v>#VALUE!</v>
      </c>
      <c r="AB163" s="3" t="e">
        <f t="shared" si="69"/>
        <v>#VALUE!</v>
      </c>
      <c r="AC163" s="177" t="s">
        <v>2648</v>
      </c>
      <c r="AD163" s="23" t="s">
        <v>35</v>
      </c>
      <c r="AG163" s="34">
        <f t="shared" si="70"/>
        <v>0</v>
      </c>
      <c r="AH163" s="126" t="s">
        <v>3724</v>
      </c>
      <c r="AI163" s="284"/>
      <c r="AK163" s="66">
        <f t="shared" si="63"/>
        <v>0</v>
      </c>
      <c r="AL163" s="174">
        <f t="shared" si="64"/>
        <v>0</v>
      </c>
      <c r="AM163" s="346">
        <f>RTD("money.excel",,$G163,"PredictVolume")</f>
        <v>0</v>
      </c>
      <c r="AN163" s="272">
        <f>RTD("money.excel",,$G163,"CumulativeVolume")</f>
        <v>0</v>
      </c>
      <c r="AO163" s="284"/>
    </row>
    <row r="164" spans="1:41">
      <c r="A164" s="151" t="s">
        <v>2451</v>
      </c>
      <c r="B164" s="85">
        <v>-87</v>
      </c>
      <c r="C164" s="85">
        <v>-14</v>
      </c>
      <c r="D164" s="85">
        <v>-3</v>
      </c>
      <c r="E164" s="85">
        <v>-8</v>
      </c>
      <c r="F164" s="7">
        <v>5.56</v>
      </c>
      <c r="G164" s="85">
        <v>2066</v>
      </c>
      <c r="H164" s="4" t="s">
        <v>544</v>
      </c>
      <c r="I164" s="17" t="s">
        <v>264</v>
      </c>
      <c r="J164" s="371">
        <v>68.09</v>
      </c>
      <c r="K164" s="371">
        <v>10.25</v>
      </c>
      <c r="L164" s="371">
        <v>1.27</v>
      </c>
      <c r="N164" s="365">
        <f t="shared" si="65"/>
        <v>79.61</v>
      </c>
      <c r="O164" s="343">
        <f t="shared" si="66"/>
        <v>68.09</v>
      </c>
      <c r="P164" s="195" t="s">
        <v>5554</v>
      </c>
      <c r="Q164" s="326" t="str">
        <f>IFERROR(VLOOKUP($G164,主力整理!$A$2:$G$2301,6,0),"0")</f>
        <v>0</v>
      </c>
      <c r="T164" s="339">
        <f t="shared" si="67"/>
        <v>0</v>
      </c>
      <c r="V164" s="371">
        <v>0</v>
      </c>
      <c r="W164" s="35">
        <v>2.3199999999999998</v>
      </c>
      <c r="X164" s="100">
        <v>2.5299999999999998</v>
      </c>
      <c r="Y164" s="37" t="str">
        <f>RTD("money.excel",,"2066","Price")</f>
        <v>無資料</v>
      </c>
      <c r="Z164" s="69"/>
      <c r="AA164" s="16" t="e">
        <f t="shared" si="68"/>
        <v>#VALUE!</v>
      </c>
      <c r="AB164" s="3" t="e">
        <f t="shared" si="69"/>
        <v>#VALUE!</v>
      </c>
      <c r="AC164" s="177" t="s">
        <v>2648</v>
      </c>
      <c r="AD164" s="17" t="s">
        <v>264</v>
      </c>
      <c r="AG164" s="34">
        <f t="shared" si="70"/>
        <v>0</v>
      </c>
      <c r="AH164" s="125" t="s">
        <v>3441</v>
      </c>
      <c r="AI164" s="131"/>
      <c r="AK164" s="66">
        <f t="shared" si="63"/>
        <v>0</v>
      </c>
      <c r="AL164" s="174">
        <f t="shared" si="64"/>
        <v>0</v>
      </c>
      <c r="AM164" s="346">
        <f>RTD("money.excel",,$G164,"PredictVolume")</f>
        <v>0</v>
      </c>
      <c r="AN164" s="272">
        <f>RTD("money.excel",,$G164,"CumulativeVolume")</f>
        <v>0</v>
      </c>
      <c r="AO164" s="284"/>
    </row>
    <row r="165" spans="1:41">
      <c r="A165" s="151" t="s">
        <v>3032</v>
      </c>
      <c r="B165" s="96">
        <v>-26</v>
      </c>
      <c r="C165" s="96">
        <v>-278</v>
      </c>
      <c r="D165" s="96">
        <v>0</v>
      </c>
      <c r="E165" s="96">
        <v>36</v>
      </c>
      <c r="F165" s="7">
        <v>-10.17</v>
      </c>
      <c r="G165" s="85">
        <v>2067</v>
      </c>
      <c r="H165" s="4" t="s">
        <v>544</v>
      </c>
      <c r="I165" s="17" t="s">
        <v>1009</v>
      </c>
      <c r="J165" s="77">
        <v>68.72</v>
      </c>
      <c r="K165" s="77">
        <v>11.66</v>
      </c>
      <c r="N165" s="365">
        <f t="shared" si="65"/>
        <v>80.38</v>
      </c>
      <c r="O165" s="343">
        <f t="shared" si="66"/>
        <v>68.72</v>
      </c>
      <c r="P165" s="195" t="s">
        <v>5554</v>
      </c>
      <c r="Q165" s="326" t="str">
        <f>IFERROR(VLOOKUP($G165,主力整理!$A$2:$G$2301,6,0),"0")</f>
        <v>0</v>
      </c>
      <c r="T165" s="339">
        <f t="shared" si="67"/>
        <v>0</v>
      </c>
      <c r="V165" s="371">
        <v>29.8</v>
      </c>
      <c r="W165" s="35">
        <v>0</v>
      </c>
      <c r="X165" s="100">
        <v>-0.88</v>
      </c>
      <c r="Y165" s="14" t="str">
        <f>RTD("money.excel",,"2067","Price")</f>
        <v>無資料</v>
      </c>
      <c r="Z165" s="69"/>
      <c r="AA165" s="16" t="e">
        <f t="shared" si="68"/>
        <v>#VALUE!</v>
      </c>
      <c r="AB165" s="3" t="e">
        <f t="shared" si="69"/>
        <v>#VALUE!</v>
      </c>
      <c r="AD165" s="17" t="s">
        <v>1009</v>
      </c>
      <c r="AG165" s="34">
        <f t="shared" si="70"/>
        <v>0</v>
      </c>
      <c r="AH165" s="44" t="s">
        <v>3962</v>
      </c>
      <c r="AI165" s="131"/>
      <c r="AK165" s="66">
        <f t="shared" si="63"/>
        <v>0</v>
      </c>
      <c r="AL165" s="174">
        <f t="shared" si="64"/>
        <v>0</v>
      </c>
      <c r="AM165" s="346">
        <f>RTD("money.excel",,$G165,"PredictVolume")</f>
        <v>0</v>
      </c>
      <c r="AN165" s="272">
        <f>RTD("money.excel",,$G165,"CumulativeVolume")</f>
        <v>0</v>
      </c>
      <c r="AO165" s="284"/>
    </row>
    <row r="166" spans="1:41" ht="16.5" customHeight="1">
      <c r="A166" s="151" t="s">
        <v>2227</v>
      </c>
      <c r="B166" s="96">
        <v>-454</v>
      </c>
      <c r="C166" s="96">
        <v>-237</v>
      </c>
      <c r="D166" s="96">
        <v>-29</v>
      </c>
      <c r="E166" s="96">
        <v>-6</v>
      </c>
      <c r="F166" s="7">
        <v>-14.01</v>
      </c>
      <c r="G166" s="85">
        <v>2070</v>
      </c>
      <c r="H166" s="4" t="s">
        <v>544</v>
      </c>
      <c r="I166" s="17" t="s">
        <v>1748</v>
      </c>
      <c r="J166" s="77">
        <v>76.599999999999994</v>
      </c>
      <c r="K166" s="371">
        <v>0</v>
      </c>
      <c r="L166" s="371"/>
      <c r="N166" s="365">
        <f t="shared" si="65"/>
        <v>76.599999999999994</v>
      </c>
      <c r="O166" s="343">
        <f t="shared" si="66"/>
        <v>76.599999999999994</v>
      </c>
      <c r="P166" s="195" t="s">
        <v>5554</v>
      </c>
      <c r="Q166" s="326" t="str">
        <f>IFERROR(VLOOKUP($G166,主力整理!$A$2:$G$2301,6,0),"0")</f>
        <v>0</v>
      </c>
      <c r="T166" s="339">
        <f t="shared" si="67"/>
        <v>0</v>
      </c>
      <c r="V166" s="371">
        <v>44.81</v>
      </c>
      <c r="W166" s="35">
        <v>1</v>
      </c>
      <c r="X166" s="100">
        <v>-1.45</v>
      </c>
      <c r="Y166" s="14" t="str">
        <f>RTD("money.excel",,"2070","Price")</f>
        <v>無資料</v>
      </c>
      <c r="Z166" s="69"/>
      <c r="AA166" s="16" t="e">
        <f t="shared" si="68"/>
        <v>#VALUE!</v>
      </c>
      <c r="AB166" s="3" t="e">
        <f t="shared" si="69"/>
        <v>#VALUE!</v>
      </c>
      <c r="AD166" s="17" t="s">
        <v>1748</v>
      </c>
      <c r="AG166" s="34">
        <f t="shared" si="70"/>
        <v>0</v>
      </c>
      <c r="AH166" s="126" t="s">
        <v>3963</v>
      </c>
      <c r="AI166" s="131"/>
      <c r="AK166" s="66">
        <f t="shared" si="63"/>
        <v>0</v>
      </c>
      <c r="AL166" s="174">
        <f t="shared" si="64"/>
        <v>0</v>
      </c>
      <c r="AM166" s="346">
        <f>RTD("money.excel",,$G166,"PredictVolume")</f>
        <v>0</v>
      </c>
      <c r="AN166" s="272">
        <f>RTD("money.excel",,$G166,"CumulativeVolume")</f>
        <v>0</v>
      </c>
      <c r="AO166" s="284"/>
    </row>
    <row r="167" spans="1:41">
      <c r="A167" s="151" t="s">
        <v>4642</v>
      </c>
      <c r="B167" s="214">
        <v>-9732</v>
      </c>
      <c r="C167" s="96">
        <v>-137</v>
      </c>
      <c r="D167" s="96">
        <v>-3</v>
      </c>
      <c r="E167" s="96">
        <v>-6</v>
      </c>
      <c r="F167" s="7">
        <v>5.13</v>
      </c>
      <c r="G167" s="85">
        <v>2230</v>
      </c>
      <c r="H167" s="4" t="s">
        <v>544</v>
      </c>
      <c r="I167" s="17" t="s">
        <v>1010</v>
      </c>
      <c r="J167" s="77">
        <v>67.790000000000006</v>
      </c>
      <c r="K167" s="77">
        <v>0.02</v>
      </c>
      <c r="L167" s="77">
        <v>6.27</v>
      </c>
      <c r="N167" s="365">
        <f t="shared" si="65"/>
        <v>74.08</v>
      </c>
      <c r="O167" s="343">
        <f t="shared" si="66"/>
        <v>67.790000000000006</v>
      </c>
      <c r="P167" s="195" t="s">
        <v>5554</v>
      </c>
      <c r="Q167" s="326" t="str">
        <f>IFERROR(VLOOKUP($G167,主力整理!$A$2:$G$2301,6,0),"0")</f>
        <v>0</v>
      </c>
      <c r="T167" s="339">
        <f t="shared" si="67"/>
        <v>0</v>
      </c>
      <c r="V167" s="371">
        <v>21.82</v>
      </c>
      <c r="W167" s="35">
        <v>0.2</v>
      </c>
      <c r="X167" s="100">
        <v>-0.48</v>
      </c>
      <c r="Y167" s="14" t="str">
        <f>RTD("money.excel",,"2230","Price")</f>
        <v>無資料</v>
      </c>
      <c r="Z167" s="69"/>
      <c r="AA167" s="16" t="e">
        <f t="shared" si="68"/>
        <v>#VALUE!</v>
      </c>
      <c r="AB167" s="3" t="e">
        <f t="shared" si="69"/>
        <v>#VALUE!</v>
      </c>
      <c r="AD167" s="17" t="s">
        <v>1010</v>
      </c>
      <c r="AG167" s="34">
        <f t="shared" si="70"/>
        <v>0</v>
      </c>
      <c r="AH167" s="44" t="s">
        <v>3964</v>
      </c>
      <c r="AI167" s="131"/>
      <c r="AK167" s="66">
        <f t="shared" si="63"/>
        <v>0</v>
      </c>
      <c r="AL167" s="174">
        <f t="shared" si="64"/>
        <v>0</v>
      </c>
      <c r="AM167" s="346">
        <f>RTD("money.excel",,$G167,"PredictVolume")</f>
        <v>0</v>
      </c>
      <c r="AN167" s="272">
        <f>RTD("money.excel",,$G167,"CumulativeVolume")</f>
        <v>0</v>
      </c>
      <c r="AO167" s="284"/>
    </row>
    <row r="168" spans="1:41">
      <c r="A168" s="135" t="s">
        <v>4681</v>
      </c>
      <c r="B168" s="96">
        <v>-43</v>
      </c>
      <c r="C168" s="96">
        <v>-52</v>
      </c>
      <c r="D168" s="96">
        <v>-4</v>
      </c>
      <c r="E168" s="96">
        <v>35</v>
      </c>
      <c r="F168" s="59">
        <v>10.58</v>
      </c>
      <c r="G168" s="85">
        <v>2235</v>
      </c>
      <c r="H168" s="4" t="s">
        <v>544</v>
      </c>
      <c r="I168" s="17" t="s">
        <v>1011</v>
      </c>
      <c r="J168" s="77">
        <v>80.27</v>
      </c>
      <c r="K168" s="77">
        <v>1.17</v>
      </c>
      <c r="L168" s="77">
        <v>3.81</v>
      </c>
      <c r="N168" s="365">
        <f t="shared" si="65"/>
        <v>85.25</v>
      </c>
      <c r="O168" s="343">
        <f t="shared" si="66"/>
        <v>80.27</v>
      </c>
      <c r="P168" s="195" t="s">
        <v>5554</v>
      </c>
      <c r="Q168" s="326" t="str">
        <f>IFERROR(VLOOKUP($G168,主力整理!$A$2:$G$2301,6,0),"0")</f>
        <v>0</v>
      </c>
      <c r="T168" s="339">
        <f t="shared" si="67"/>
        <v>0</v>
      </c>
      <c r="V168" s="371">
        <v>33.83</v>
      </c>
      <c r="W168" s="35">
        <v>2</v>
      </c>
      <c r="X168" s="100">
        <v>2.0099999999999998</v>
      </c>
      <c r="Y168" s="14" t="str">
        <f>RTD("money.excel",,"2235","Price")</f>
        <v>無資料</v>
      </c>
      <c r="Z168" s="69"/>
      <c r="AA168" s="16" t="e">
        <f t="shared" si="68"/>
        <v>#VALUE!</v>
      </c>
      <c r="AB168" s="3" t="e">
        <f t="shared" si="69"/>
        <v>#VALUE!</v>
      </c>
      <c r="AD168" s="17" t="s">
        <v>1011</v>
      </c>
      <c r="AG168" s="34">
        <f t="shared" si="70"/>
        <v>0</v>
      </c>
      <c r="AH168" s="63" t="s">
        <v>3965</v>
      </c>
      <c r="AI168" s="131"/>
      <c r="AK168" s="66">
        <f t="shared" si="63"/>
        <v>0</v>
      </c>
      <c r="AL168" s="174">
        <f t="shared" si="64"/>
        <v>0</v>
      </c>
      <c r="AM168" s="346">
        <f>RTD("money.excel",,$G168,"PredictVolume")</f>
        <v>0</v>
      </c>
      <c r="AN168" s="272">
        <f>RTD("money.excel",,$G168,"CumulativeVolume")</f>
        <v>0</v>
      </c>
      <c r="AO168" s="284"/>
    </row>
    <row r="169" spans="1:41">
      <c r="A169" s="151" t="s">
        <v>4783</v>
      </c>
      <c r="B169" s="85">
        <v>-55</v>
      </c>
      <c r="C169" s="85">
        <v>-17</v>
      </c>
      <c r="D169" s="84">
        <v>14</v>
      </c>
      <c r="E169" s="85">
        <v>-11</v>
      </c>
      <c r="F169" s="7">
        <v>8.1999999999999993</v>
      </c>
      <c r="G169" s="85">
        <v>2241</v>
      </c>
      <c r="H169" s="4" t="s">
        <v>544</v>
      </c>
      <c r="I169" s="23" t="s">
        <v>3065</v>
      </c>
      <c r="J169" s="77">
        <v>57</v>
      </c>
      <c r="K169" s="77">
        <v>23</v>
      </c>
      <c r="L169" s="371"/>
      <c r="N169" s="365">
        <f t="shared" si="65"/>
        <v>80</v>
      </c>
      <c r="O169" s="343">
        <f t="shared" si="66"/>
        <v>57</v>
      </c>
      <c r="P169" s="195" t="s">
        <v>5554</v>
      </c>
      <c r="Q169" s="326" t="str">
        <f>IFERROR(VLOOKUP($G169,主力整理!$A$2:$G$2301,6,0),"0")</f>
        <v>0</v>
      </c>
      <c r="T169" s="339">
        <f t="shared" si="67"/>
        <v>0</v>
      </c>
      <c r="W169" s="35">
        <v>0.6</v>
      </c>
      <c r="X169" s="100">
        <v>0.09</v>
      </c>
      <c r="Y169" s="37" t="str">
        <f>RTD("money.excel",,"2241","Price")</f>
        <v>無資料</v>
      </c>
      <c r="Z169" s="69"/>
      <c r="AA169" s="16" t="e">
        <f t="shared" si="68"/>
        <v>#VALUE!</v>
      </c>
      <c r="AB169" s="36" t="e">
        <f t="shared" si="69"/>
        <v>#VALUE!</v>
      </c>
      <c r="AD169" s="23" t="s">
        <v>3065</v>
      </c>
      <c r="AG169" s="34">
        <f t="shared" si="70"/>
        <v>0</v>
      </c>
      <c r="AH169" s="62" t="s">
        <v>3078</v>
      </c>
      <c r="AI169" s="131"/>
      <c r="AK169" s="66">
        <f t="shared" ref="AK169:AK221" si="71">AM169/(A169*10000)</f>
        <v>0</v>
      </c>
      <c r="AL169" s="174">
        <f t="shared" ref="AL169:AL221" si="72">AN169/(A169*10000)</f>
        <v>0</v>
      </c>
      <c r="AM169" s="346">
        <f>RTD("money.excel",,$G169,"PredictVolume")</f>
        <v>0</v>
      </c>
      <c r="AN169" s="272">
        <f>RTD("money.excel",,$G169,"CumulativeVolume")</f>
        <v>0</v>
      </c>
      <c r="AO169" s="284"/>
    </row>
    <row r="170" spans="1:41">
      <c r="A170" s="151" t="s">
        <v>3467</v>
      </c>
      <c r="B170" s="84">
        <v>45</v>
      </c>
      <c r="C170" s="84">
        <v>79</v>
      </c>
      <c r="D170" s="84">
        <v>28</v>
      </c>
      <c r="E170" s="85">
        <v>-34</v>
      </c>
      <c r="F170" s="7">
        <v>-4.1399999999999997</v>
      </c>
      <c r="G170" s="85">
        <v>2371</v>
      </c>
      <c r="H170" s="4" t="s">
        <v>544</v>
      </c>
      <c r="I170" s="23" t="s">
        <v>214</v>
      </c>
      <c r="J170" s="77">
        <v>66.09</v>
      </c>
      <c r="K170" s="77">
        <v>19.68</v>
      </c>
      <c r="L170" s="77">
        <v>21.27</v>
      </c>
      <c r="N170" s="365">
        <f t="shared" si="65"/>
        <v>107.04</v>
      </c>
      <c r="O170" s="343">
        <f t="shared" si="66"/>
        <v>66.09</v>
      </c>
      <c r="P170" s="195">
        <v>3</v>
      </c>
      <c r="Q170" s="326">
        <f>IFERROR(VLOOKUP($G170,主力整理!$A$2:$G$2301,6,0),"0")</f>
        <v>6</v>
      </c>
      <c r="T170" s="339">
        <f t="shared" si="67"/>
        <v>9</v>
      </c>
      <c r="V170" s="371">
        <v>0</v>
      </c>
      <c r="W170" s="35">
        <v>0</v>
      </c>
      <c r="X170" s="59">
        <v>-0.46</v>
      </c>
      <c r="Y170" s="37" t="str">
        <f>RTD("money.excel",,"2371","Price")</f>
        <v>無資料</v>
      </c>
      <c r="Z170" s="69"/>
      <c r="AA170" s="16" t="e">
        <f t="shared" si="68"/>
        <v>#VALUE!</v>
      </c>
      <c r="AB170" s="3" t="e">
        <f t="shared" si="69"/>
        <v>#VALUE!</v>
      </c>
      <c r="AC170" s="177" t="s">
        <v>2648</v>
      </c>
      <c r="AD170" s="23" t="s">
        <v>214</v>
      </c>
      <c r="AG170" s="34">
        <f t="shared" si="70"/>
        <v>0</v>
      </c>
      <c r="AH170" s="125" t="s">
        <v>4308</v>
      </c>
      <c r="AI170" s="284"/>
      <c r="AK170" s="66">
        <f t="shared" si="71"/>
        <v>0</v>
      </c>
      <c r="AL170" s="174">
        <f t="shared" si="72"/>
        <v>0</v>
      </c>
      <c r="AM170" s="346">
        <f>RTD("money.excel",,$G170,"PredictVolume")</f>
        <v>0</v>
      </c>
      <c r="AN170" s="272">
        <f>RTD("money.excel",,$G170,"CumulativeVolume")</f>
        <v>0</v>
      </c>
      <c r="AO170" s="284"/>
    </row>
    <row r="171" spans="1:41">
      <c r="A171" s="151" t="s">
        <v>4648</v>
      </c>
      <c r="B171" s="84">
        <v>294</v>
      </c>
      <c r="C171" s="84">
        <v>351</v>
      </c>
      <c r="D171" s="85">
        <v>-28</v>
      </c>
      <c r="E171" s="84">
        <v>23</v>
      </c>
      <c r="F171" s="7">
        <v>7.57</v>
      </c>
      <c r="G171" s="85">
        <v>3162</v>
      </c>
      <c r="H171" s="4" t="s">
        <v>544</v>
      </c>
      <c r="I171" s="17" t="s">
        <v>1012</v>
      </c>
      <c r="J171" s="371">
        <v>54.21</v>
      </c>
      <c r="K171" s="371">
        <v>51.94</v>
      </c>
      <c r="L171" s="371"/>
      <c r="N171" s="365">
        <f t="shared" si="65"/>
        <v>106.15</v>
      </c>
      <c r="O171" s="343">
        <f t="shared" si="66"/>
        <v>54.21</v>
      </c>
      <c r="P171" s="195">
        <v>1</v>
      </c>
      <c r="Q171" s="326" t="str">
        <f>IFERROR(VLOOKUP($G171,主力整理!$A$2:$G$2301,6,0),"0")</f>
        <v>0</v>
      </c>
      <c r="R171" s="111">
        <v>8</v>
      </c>
      <c r="S171" s="51">
        <v>0</v>
      </c>
      <c r="T171" s="339">
        <f t="shared" si="67"/>
        <v>9</v>
      </c>
      <c r="W171" s="35">
        <v>0</v>
      </c>
      <c r="X171" s="59">
        <v>0.7</v>
      </c>
      <c r="Y171" s="14" t="str">
        <f>RTD("money.excel",,"3162","Price")</f>
        <v>無資料</v>
      </c>
      <c r="Z171" s="69"/>
      <c r="AA171" s="16" t="e">
        <f t="shared" si="68"/>
        <v>#VALUE!</v>
      </c>
      <c r="AB171" s="3" t="e">
        <f t="shared" si="69"/>
        <v>#VALUE!</v>
      </c>
      <c r="AC171" s="177" t="s">
        <v>2648</v>
      </c>
      <c r="AD171" s="17" t="s">
        <v>1012</v>
      </c>
      <c r="AG171" s="34">
        <f t="shared" si="70"/>
        <v>0</v>
      </c>
      <c r="AH171" s="44" t="s">
        <v>6278</v>
      </c>
      <c r="AI171" s="131"/>
      <c r="AK171" s="66">
        <f t="shared" si="71"/>
        <v>0</v>
      </c>
      <c r="AL171" s="174">
        <f t="shared" si="72"/>
        <v>0</v>
      </c>
      <c r="AM171" s="346">
        <f>RTD("money.excel",,$G171,"PredictVolume")</f>
        <v>0</v>
      </c>
      <c r="AN171" s="272">
        <f>RTD("money.excel",,$G171,"CumulativeVolume")</f>
        <v>0</v>
      </c>
      <c r="AO171" s="284"/>
    </row>
    <row r="172" spans="1:41">
      <c r="A172" s="135" t="s">
        <v>2489</v>
      </c>
      <c r="B172" s="84">
        <v>198</v>
      </c>
      <c r="C172" s="84">
        <v>273</v>
      </c>
      <c r="D172" s="84">
        <v>3</v>
      </c>
      <c r="E172" s="84">
        <v>17</v>
      </c>
      <c r="F172" s="59">
        <v>13.3</v>
      </c>
      <c r="G172" s="85">
        <v>3167</v>
      </c>
      <c r="H172" s="4" t="s">
        <v>544</v>
      </c>
      <c r="I172" s="23" t="s">
        <v>334</v>
      </c>
      <c r="J172" s="77">
        <v>53.91</v>
      </c>
      <c r="K172" s="77">
        <v>6.15</v>
      </c>
      <c r="L172" s="77">
        <v>25.81</v>
      </c>
      <c r="M172" s="371">
        <v>14.92</v>
      </c>
      <c r="N172" s="365">
        <f t="shared" si="65"/>
        <v>100.78999999999999</v>
      </c>
      <c r="O172" s="343">
        <f t="shared" si="66"/>
        <v>68.83</v>
      </c>
      <c r="P172" s="195">
        <v>8</v>
      </c>
      <c r="Q172" s="326">
        <v>4</v>
      </c>
      <c r="R172" s="111">
        <v>15</v>
      </c>
      <c r="S172" s="51">
        <v>21</v>
      </c>
      <c r="T172" s="339">
        <f t="shared" si="67"/>
        <v>48</v>
      </c>
      <c r="U172" s="329" t="s">
        <v>6538</v>
      </c>
      <c r="V172" s="371">
        <v>1.61</v>
      </c>
      <c r="W172" s="69">
        <v>3</v>
      </c>
      <c r="X172" s="59">
        <v>8.2100000000000009</v>
      </c>
      <c r="Y172" s="37" t="str">
        <f>RTD("money.excel",,"3167","Price")</f>
        <v>無資料</v>
      </c>
      <c r="Z172" s="69"/>
      <c r="AA172" s="16" t="e">
        <f t="shared" si="68"/>
        <v>#VALUE!</v>
      </c>
      <c r="AB172" s="3" t="e">
        <f t="shared" si="69"/>
        <v>#VALUE!</v>
      </c>
      <c r="AC172" s="177" t="s">
        <v>2929</v>
      </c>
      <c r="AD172" s="23" t="s">
        <v>334</v>
      </c>
      <c r="AG172" s="34">
        <f t="shared" si="70"/>
        <v>0</v>
      </c>
      <c r="AH172" s="44" t="s">
        <v>3376</v>
      </c>
      <c r="AI172" s="131"/>
      <c r="AK172" s="66">
        <f t="shared" si="71"/>
        <v>0</v>
      </c>
      <c r="AL172" s="174">
        <f t="shared" si="72"/>
        <v>0</v>
      </c>
      <c r="AM172" s="346">
        <f>RTD("money.excel",,$G172,"PredictVolume")</f>
        <v>0</v>
      </c>
      <c r="AN172" s="272">
        <f>RTD("money.excel",,$G172,"CumulativeVolume")</f>
        <v>0</v>
      </c>
      <c r="AO172" s="284"/>
    </row>
    <row r="173" spans="1:41">
      <c r="A173" s="151" t="s">
        <v>3032</v>
      </c>
      <c r="B173" s="85">
        <v>-41</v>
      </c>
      <c r="C173" s="85">
        <v>-46</v>
      </c>
      <c r="D173" s="85">
        <v>-11</v>
      </c>
      <c r="E173" s="84">
        <v>22</v>
      </c>
      <c r="F173" s="7">
        <v>7.28</v>
      </c>
      <c r="G173" s="85">
        <v>3178</v>
      </c>
      <c r="H173" s="4" t="s">
        <v>544</v>
      </c>
      <c r="I173" s="17" t="s">
        <v>1749</v>
      </c>
      <c r="J173" s="77">
        <v>60.82</v>
      </c>
      <c r="K173" s="77">
        <v>0.94</v>
      </c>
      <c r="L173" s="77">
        <v>12.35</v>
      </c>
      <c r="N173" s="365">
        <f t="shared" si="65"/>
        <v>74.11</v>
      </c>
      <c r="O173" s="343">
        <f t="shared" si="66"/>
        <v>60.82</v>
      </c>
      <c r="P173" s="195">
        <v>4</v>
      </c>
      <c r="Q173" s="326" t="str">
        <f>IFERROR(VLOOKUP($G173,主力整理!$A$2:$G$2301,6,0),"0")</f>
        <v>0</v>
      </c>
      <c r="R173" s="111">
        <v>18</v>
      </c>
      <c r="S173" s="51">
        <v>0</v>
      </c>
      <c r="T173" s="339">
        <f t="shared" si="67"/>
        <v>22</v>
      </c>
      <c r="V173" s="371">
        <v>1.73</v>
      </c>
      <c r="W173" s="35">
        <v>1.2</v>
      </c>
      <c r="X173" s="59">
        <v>1.69</v>
      </c>
      <c r="Y173" s="37" t="str">
        <f>RTD("money.excel",,"3178","Price")</f>
        <v>無資料</v>
      </c>
      <c r="Z173" s="69"/>
      <c r="AA173" s="16" t="e">
        <f t="shared" si="68"/>
        <v>#VALUE!</v>
      </c>
      <c r="AB173" s="3" t="e">
        <f t="shared" si="69"/>
        <v>#VALUE!</v>
      </c>
      <c r="AC173" s="177" t="s">
        <v>2648</v>
      </c>
      <c r="AD173" s="17" t="s">
        <v>1749</v>
      </c>
      <c r="AG173" s="34">
        <f t="shared" si="70"/>
        <v>0</v>
      </c>
      <c r="AH173" s="44" t="s">
        <v>4389</v>
      </c>
      <c r="AI173" s="131"/>
      <c r="AK173" s="66">
        <f t="shared" si="71"/>
        <v>0</v>
      </c>
      <c r="AL173" s="174">
        <f t="shared" si="72"/>
        <v>0</v>
      </c>
      <c r="AM173" s="346">
        <f>RTD("money.excel",,$G173,"PredictVolume")</f>
        <v>0</v>
      </c>
      <c r="AN173" s="272">
        <f>RTD("money.excel",,$G173,"CumulativeVolume")</f>
        <v>0</v>
      </c>
      <c r="AO173" s="284"/>
    </row>
    <row r="174" spans="1:41">
      <c r="A174" s="135" t="s">
        <v>4682</v>
      </c>
      <c r="B174" s="96">
        <v>-1</v>
      </c>
      <c r="C174" s="96">
        <v>13</v>
      </c>
      <c r="D174" s="96">
        <v>-28</v>
      </c>
      <c r="E174" s="96">
        <v>23</v>
      </c>
      <c r="F174" s="59">
        <v>17.739999999999998</v>
      </c>
      <c r="G174" s="85">
        <v>3226</v>
      </c>
      <c r="H174" s="4" t="s">
        <v>544</v>
      </c>
      <c r="I174" s="17" t="s">
        <v>1013</v>
      </c>
      <c r="J174" s="77">
        <v>83.4</v>
      </c>
      <c r="K174" s="77">
        <v>0</v>
      </c>
      <c r="L174" s="77">
        <v>1.27</v>
      </c>
      <c r="N174" s="365">
        <f t="shared" si="65"/>
        <v>84.67</v>
      </c>
      <c r="O174" s="343">
        <f t="shared" si="66"/>
        <v>83.4</v>
      </c>
      <c r="P174" s="195" t="s">
        <v>5554</v>
      </c>
      <c r="Q174" s="326" t="str">
        <f>IFERROR(VLOOKUP($G174,主力整理!$A$2:$G$2301,6,0),"0")</f>
        <v>0</v>
      </c>
      <c r="T174" s="339">
        <f t="shared" si="67"/>
        <v>0</v>
      </c>
      <c r="V174" s="371">
        <v>62.65</v>
      </c>
      <c r="W174" s="69">
        <v>3.5</v>
      </c>
      <c r="X174" s="100">
        <v>5.0199999999999996</v>
      </c>
      <c r="Y174" s="14" t="str">
        <f>RTD("money.excel",,"3226","Price")</f>
        <v>無資料</v>
      </c>
      <c r="Z174" s="69"/>
      <c r="AA174" s="16" t="e">
        <f t="shared" si="68"/>
        <v>#VALUE!</v>
      </c>
      <c r="AB174" s="3" t="e">
        <f t="shared" si="69"/>
        <v>#VALUE!</v>
      </c>
      <c r="AC174" s="177" t="s">
        <v>2700</v>
      </c>
      <c r="AD174" s="17" t="s">
        <v>1013</v>
      </c>
      <c r="AG174" s="34">
        <f t="shared" si="70"/>
        <v>0</v>
      </c>
      <c r="AH174" s="63" t="s">
        <v>3966</v>
      </c>
      <c r="AI174" s="131"/>
      <c r="AK174" s="66">
        <f t="shared" si="71"/>
        <v>0</v>
      </c>
      <c r="AL174" s="174">
        <f t="shared" si="72"/>
        <v>0</v>
      </c>
      <c r="AM174" s="346">
        <f>RTD("money.excel",,$G174,"PredictVolume")</f>
        <v>0</v>
      </c>
      <c r="AN174" s="272">
        <f>RTD("money.excel",,$G174,"CumulativeVolume")</f>
        <v>0</v>
      </c>
      <c r="AO174" s="284"/>
    </row>
    <row r="175" spans="1:41">
      <c r="A175" s="151" t="s">
        <v>3450</v>
      </c>
      <c r="B175" s="96">
        <v>171</v>
      </c>
      <c r="C175" s="96">
        <v>-52</v>
      </c>
      <c r="D175" s="96">
        <v>-61</v>
      </c>
      <c r="E175" s="96">
        <v>73</v>
      </c>
      <c r="F175" s="7">
        <v>-25</v>
      </c>
      <c r="G175" s="85">
        <v>3379</v>
      </c>
      <c r="H175" s="4" t="s">
        <v>544</v>
      </c>
      <c r="I175" s="17" t="s">
        <v>1014</v>
      </c>
      <c r="J175" s="77">
        <v>51.39</v>
      </c>
      <c r="K175" s="77">
        <v>0</v>
      </c>
      <c r="L175" s="77">
        <v>8.49</v>
      </c>
      <c r="N175" s="365">
        <f t="shared" si="65"/>
        <v>59.88</v>
      </c>
      <c r="O175" s="343">
        <f t="shared" si="66"/>
        <v>51.39</v>
      </c>
      <c r="P175" s="195" t="s">
        <v>5554</v>
      </c>
      <c r="Q175" s="326" t="str">
        <f>IFERROR(VLOOKUP($G175,主力整理!$A$2:$G$2301,6,0),"0")</f>
        <v>0</v>
      </c>
      <c r="T175" s="339">
        <f t="shared" si="67"/>
        <v>0</v>
      </c>
      <c r="V175" s="371">
        <v>31.97</v>
      </c>
      <c r="W175" s="35">
        <v>0.3</v>
      </c>
      <c r="X175" s="100">
        <v>0.47</v>
      </c>
      <c r="Y175" s="14" t="str">
        <f>RTD("money.excel",,"3379","Price")</f>
        <v>無資料</v>
      </c>
      <c r="Z175" s="69"/>
      <c r="AA175" s="16" t="e">
        <f t="shared" si="68"/>
        <v>#VALUE!</v>
      </c>
      <c r="AB175" s="3" t="e">
        <f t="shared" si="69"/>
        <v>#VALUE!</v>
      </c>
      <c r="AD175" s="17" t="s">
        <v>1014</v>
      </c>
      <c r="AG175" s="34">
        <f t="shared" si="70"/>
        <v>0</v>
      </c>
      <c r="AH175" s="44" t="s">
        <v>3967</v>
      </c>
      <c r="AI175" s="131"/>
      <c r="AK175" s="66">
        <f t="shared" si="71"/>
        <v>0</v>
      </c>
      <c r="AL175" s="174">
        <f t="shared" si="72"/>
        <v>0</v>
      </c>
      <c r="AM175" s="346">
        <f>RTD("money.excel",,$G175,"PredictVolume")</f>
        <v>0</v>
      </c>
      <c r="AN175" s="272">
        <f>RTD("money.excel",,$G175,"CumulativeVolume")</f>
        <v>0</v>
      </c>
      <c r="AO175" s="284"/>
    </row>
    <row r="176" spans="1:41">
      <c r="A176" s="135" t="s">
        <v>4683</v>
      </c>
      <c r="B176" s="96">
        <v>-15</v>
      </c>
      <c r="C176" s="96">
        <v>-4</v>
      </c>
      <c r="D176" s="96">
        <v>2</v>
      </c>
      <c r="E176" s="96">
        <v>20</v>
      </c>
      <c r="F176" s="59">
        <v>12.5</v>
      </c>
      <c r="G176" s="85">
        <v>3426</v>
      </c>
      <c r="H176" s="4" t="s">
        <v>544</v>
      </c>
      <c r="I176" s="17" t="s">
        <v>1015</v>
      </c>
      <c r="J176" s="77">
        <v>57.67</v>
      </c>
      <c r="K176" s="371">
        <v>0.25</v>
      </c>
      <c r="N176" s="365">
        <f t="shared" si="65"/>
        <v>57.92</v>
      </c>
      <c r="O176" s="343">
        <f t="shared" si="66"/>
        <v>57.67</v>
      </c>
      <c r="P176" s="195" t="s">
        <v>5554</v>
      </c>
      <c r="Q176" s="326" t="str">
        <f>IFERROR(VLOOKUP($G176,主力整理!$A$2:$G$2301,6,0),"0")</f>
        <v>0</v>
      </c>
      <c r="T176" s="339">
        <f t="shared" si="67"/>
        <v>0</v>
      </c>
      <c r="V176" s="371">
        <v>23.44</v>
      </c>
      <c r="W176" s="35">
        <v>2</v>
      </c>
      <c r="X176" s="100">
        <v>2.16</v>
      </c>
      <c r="Y176" s="14" t="str">
        <f>RTD("money.excel",,"3426","Price")</f>
        <v>無資料</v>
      </c>
      <c r="Z176" s="69"/>
      <c r="AA176" s="16" t="e">
        <f t="shared" si="68"/>
        <v>#VALUE!</v>
      </c>
      <c r="AB176" s="3" t="e">
        <f t="shared" si="69"/>
        <v>#VALUE!</v>
      </c>
      <c r="AD176" s="17" t="s">
        <v>1015</v>
      </c>
      <c r="AG176" s="34">
        <f t="shared" si="70"/>
        <v>0</v>
      </c>
      <c r="AH176" s="63" t="s">
        <v>2157</v>
      </c>
      <c r="AI176" s="131"/>
      <c r="AK176" s="66">
        <f t="shared" si="71"/>
        <v>0</v>
      </c>
      <c r="AL176" s="174">
        <f t="shared" si="72"/>
        <v>0</v>
      </c>
      <c r="AM176" s="346">
        <f>RTD("money.excel",,$G176,"PredictVolume")</f>
        <v>0</v>
      </c>
      <c r="AN176" s="272">
        <f>RTD("money.excel",,$G176,"CumulativeVolume")</f>
        <v>0</v>
      </c>
      <c r="AO176" s="284"/>
    </row>
    <row r="177" spans="1:41">
      <c r="A177" s="151" t="s">
        <v>4345</v>
      </c>
      <c r="B177" s="96">
        <v>-346</v>
      </c>
      <c r="C177" s="96">
        <v>-311</v>
      </c>
      <c r="D177" s="96">
        <v>15</v>
      </c>
      <c r="E177" s="96">
        <v>67</v>
      </c>
      <c r="F177" s="7">
        <v>-7.45</v>
      </c>
      <c r="G177" s="85">
        <v>4502</v>
      </c>
      <c r="H177" s="4" t="s">
        <v>544</v>
      </c>
      <c r="I177" s="17" t="s">
        <v>1016</v>
      </c>
      <c r="J177" s="77">
        <v>74.13</v>
      </c>
      <c r="K177" s="77">
        <v>0.88</v>
      </c>
      <c r="L177" s="77">
        <v>17.45</v>
      </c>
      <c r="N177" s="365">
        <f t="shared" si="65"/>
        <v>92.46</v>
      </c>
      <c r="O177" s="343">
        <f t="shared" si="66"/>
        <v>74.13</v>
      </c>
      <c r="P177" s="195" t="s">
        <v>5554</v>
      </c>
      <c r="Q177" s="326" t="str">
        <f>IFERROR(VLOOKUP($G177,主力整理!$A$2:$G$2301,6,0),"0")</f>
        <v>0</v>
      </c>
      <c r="T177" s="339">
        <f t="shared" si="67"/>
        <v>0</v>
      </c>
      <c r="V177" s="371">
        <v>25.48</v>
      </c>
      <c r="W177" s="35">
        <v>0</v>
      </c>
      <c r="X177" s="100">
        <v>-2.4300000000000002</v>
      </c>
      <c r="Y177" s="14" t="str">
        <f>RTD("money.excel",,"4502","Price")</f>
        <v>無資料</v>
      </c>
      <c r="Z177" s="69"/>
      <c r="AA177" s="16" t="e">
        <f t="shared" si="68"/>
        <v>#VALUE!</v>
      </c>
      <c r="AB177" s="3" t="e">
        <f t="shared" si="69"/>
        <v>#VALUE!</v>
      </c>
      <c r="AD177" s="17" t="s">
        <v>1016</v>
      </c>
      <c r="AG177" s="34">
        <f t="shared" si="70"/>
        <v>0</v>
      </c>
      <c r="AH177" s="44" t="s">
        <v>3968</v>
      </c>
      <c r="AI177" s="131"/>
      <c r="AK177" s="66">
        <f t="shared" si="71"/>
        <v>0</v>
      </c>
      <c r="AL177" s="174">
        <f t="shared" si="72"/>
        <v>0</v>
      </c>
      <c r="AM177" s="346">
        <f>RTD("money.excel",,$G177,"PredictVolume")</f>
        <v>0</v>
      </c>
      <c r="AN177" s="272">
        <f>RTD("money.excel",,$G177,"CumulativeVolume")</f>
        <v>0</v>
      </c>
      <c r="AO177" s="284"/>
    </row>
    <row r="178" spans="1:41">
      <c r="A178" s="151" t="s">
        <v>2592</v>
      </c>
      <c r="B178" s="96">
        <v>-111</v>
      </c>
      <c r="C178" s="96">
        <v>-127</v>
      </c>
      <c r="D178" s="96">
        <v>-21</v>
      </c>
      <c r="E178" s="96">
        <v>-56</v>
      </c>
      <c r="F178" s="7">
        <v>-3.46</v>
      </c>
      <c r="G178" s="85">
        <v>4503</v>
      </c>
      <c r="H178" s="4" t="s">
        <v>544</v>
      </c>
      <c r="I178" s="17" t="s">
        <v>1017</v>
      </c>
      <c r="J178" s="77">
        <v>63.18</v>
      </c>
      <c r="K178" s="77">
        <v>0.06</v>
      </c>
      <c r="N178" s="365">
        <f t="shared" si="65"/>
        <v>63.24</v>
      </c>
      <c r="O178" s="343">
        <f t="shared" si="66"/>
        <v>63.18</v>
      </c>
      <c r="P178" s="195" t="s">
        <v>5554</v>
      </c>
      <c r="Q178" s="326">
        <f>IFERROR(VLOOKUP($G178,主力整理!$A$2:$G$2301,6,0),"0")</f>
        <v>1</v>
      </c>
      <c r="T178" s="339">
        <f t="shared" si="67"/>
        <v>1</v>
      </c>
      <c r="V178" s="371">
        <v>18.36</v>
      </c>
      <c r="W178" s="35">
        <v>0</v>
      </c>
      <c r="X178" s="100">
        <v>-0.3</v>
      </c>
      <c r="Y178" s="14" t="str">
        <f>RTD("money.excel",,"4503","Price")</f>
        <v>無資料</v>
      </c>
      <c r="Z178" s="69"/>
      <c r="AA178" s="16" t="e">
        <f t="shared" si="68"/>
        <v>#VALUE!</v>
      </c>
      <c r="AB178" s="3" t="e">
        <f t="shared" si="69"/>
        <v>#VALUE!</v>
      </c>
      <c r="AD178" s="17" t="s">
        <v>1017</v>
      </c>
      <c r="AG178" s="34">
        <f t="shared" si="70"/>
        <v>0</v>
      </c>
      <c r="AH178" s="44" t="s">
        <v>3969</v>
      </c>
      <c r="AI178" s="131"/>
      <c r="AK178" s="66">
        <f t="shared" si="71"/>
        <v>0</v>
      </c>
      <c r="AL178" s="174">
        <f t="shared" si="72"/>
        <v>0</v>
      </c>
      <c r="AM178" s="346">
        <f>RTD("money.excel",,$G178,"PredictVolume")</f>
        <v>0</v>
      </c>
      <c r="AN178" s="272">
        <f>RTD("money.excel",,$G178,"CumulativeVolume")</f>
        <v>0</v>
      </c>
      <c r="AO178" s="284"/>
    </row>
    <row r="179" spans="1:41">
      <c r="A179" s="135" t="s">
        <v>3236</v>
      </c>
      <c r="B179" s="84">
        <v>9</v>
      </c>
      <c r="C179" s="84">
        <v>6</v>
      </c>
      <c r="D179" s="84">
        <v>1</v>
      </c>
      <c r="E179" s="85">
        <v>-9</v>
      </c>
      <c r="F179" s="59">
        <v>19.53</v>
      </c>
      <c r="G179" s="85">
        <v>4506</v>
      </c>
      <c r="H179" s="4" t="s">
        <v>544</v>
      </c>
      <c r="I179" s="17" t="s">
        <v>274</v>
      </c>
      <c r="J179" s="371">
        <v>81.040000000000006</v>
      </c>
      <c r="K179" s="371">
        <v>7.9</v>
      </c>
      <c r="L179" s="371">
        <v>0.1</v>
      </c>
      <c r="N179" s="365">
        <f t="shared" si="65"/>
        <v>89.04</v>
      </c>
      <c r="O179" s="343">
        <f t="shared" si="66"/>
        <v>81.040000000000006</v>
      </c>
      <c r="P179" s="195">
        <v>2</v>
      </c>
      <c r="Q179" s="326" t="str">
        <f>IFERROR(VLOOKUP($G179,主力整理!$A$2:$G$2301,6,0),"0")</f>
        <v>0</v>
      </c>
      <c r="T179" s="339">
        <f t="shared" si="67"/>
        <v>2</v>
      </c>
      <c r="V179" s="371">
        <v>0</v>
      </c>
      <c r="W179" s="69">
        <v>3</v>
      </c>
      <c r="X179" s="100">
        <v>4.0999999999999996</v>
      </c>
      <c r="Y179" s="37" t="str">
        <f>RTD("money.excel",,"4506","Price")</f>
        <v>無資料</v>
      </c>
      <c r="Z179" s="69"/>
      <c r="AA179" s="16" t="e">
        <f t="shared" si="68"/>
        <v>#VALUE!</v>
      </c>
      <c r="AB179" s="3" t="e">
        <f t="shared" si="69"/>
        <v>#VALUE!</v>
      </c>
      <c r="AC179" s="177" t="s">
        <v>2929</v>
      </c>
      <c r="AD179" s="17" t="s">
        <v>274</v>
      </c>
      <c r="AG179" s="34">
        <f t="shared" si="70"/>
        <v>0</v>
      </c>
      <c r="AH179" s="126" t="s">
        <v>3775</v>
      </c>
      <c r="AI179" s="27"/>
      <c r="AK179" s="66">
        <f t="shared" si="71"/>
        <v>0</v>
      </c>
      <c r="AL179" s="174">
        <f t="shared" si="72"/>
        <v>0</v>
      </c>
      <c r="AM179" s="346">
        <f>RTD("money.excel",,$G179,"PredictVolume")</f>
        <v>0</v>
      </c>
      <c r="AN179" s="272">
        <f>RTD("money.excel",,$G179,"CumulativeVolume")</f>
        <v>0</v>
      </c>
      <c r="AO179" s="31"/>
    </row>
    <row r="180" spans="1:41">
      <c r="A180" s="151" t="s">
        <v>2583</v>
      </c>
      <c r="B180" s="84">
        <v>65</v>
      </c>
      <c r="C180" s="85">
        <v>-274</v>
      </c>
      <c r="D180" s="85">
        <v>-17</v>
      </c>
      <c r="E180" s="84">
        <v>25</v>
      </c>
      <c r="F180" s="7">
        <v>-1.67</v>
      </c>
      <c r="G180" s="85">
        <v>4510</v>
      </c>
      <c r="H180" s="4" t="s">
        <v>544</v>
      </c>
      <c r="I180" s="17" t="s">
        <v>1018</v>
      </c>
      <c r="J180" s="371">
        <v>45.64</v>
      </c>
      <c r="K180" s="371">
        <v>3.45</v>
      </c>
      <c r="L180" s="371">
        <v>3.8</v>
      </c>
      <c r="N180" s="365">
        <f t="shared" si="65"/>
        <v>52.89</v>
      </c>
      <c r="O180" s="343">
        <f t="shared" si="66"/>
        <v>45.64</v>
      </c>
      <c r="P180" s="195">
        <v>7</v>
      </c>
      <c r="Q180" s="326" t="str">
        <f>IFERROR(VLOOKUP($G180,主力整理!$A$2:$G$2301,6,0),"0")</f>
        <v>0</v>
      </c>
      <c r="T180" s="339">
        <f t="shared" si="67"/>
        <v>7</v>
      </c>
      <c r="V180" s="371">
        <v>0</v>
      </c>
      <c r="W180" s="35">
        <v>0</v>
      </c>
      <c r="X180" s="100">
        <v>-0.11</v>
      </c>
      <c r="Y180" s="37" t="str">
        <f>RTD("money.excel",,"4510","Price")</f>
        <v>無資料</v>
      </c>
      <c r="Z180" s="69"/>
      <c r="AA180" s="16" t="e">
        <f t="shared" si="68"/>
        <v>#VALUE!</v>
      </c>
      <c r="AB180" s="3" t="e">
        <f t="shared" si="69"/>
        <v>#VALUE!</v>
      </c>
      <c r="AC180" s="177" t="s">
        <v>2648</v>
      </c>
      <c r="AD180" s="17" t="s">
        <v>1018</v>
      </c>
      <c r="AG180" s="34">
        <f t="shared" si="70"/>
        <v>0</v>
      </c>
      <c r="AH180" s="44" t="s">
        <v>4928</v>
      </c>
      <c r="AI180" s="131"/>
      <c r="AK180" s="66">
        <f t="shared" si="71"/>
        <v>0</v>
      </c>
      <c r="AL180" s="174">
        <f t="shared" si="72"/>
        <v>0</v>
      </c>
      <c r="AM180" s="346">
        <f>RTD("money.excel",,$G180,"PredictVolume")</f>
        <v>0</v>
      </c>
      <c r="AN180" s="272">
        <f>RTD("money.excel",,$G180,"CumulativeVolume")</f>
        <v>0</v>
      </c>
      <c r="AO180" s="284"/>
    </row>
    <row r="181" spans="1:41">
      <c r="A181" s="151" t="s">
        <v>2761</v>
      </c>
      <c r="B181" s="85">
        <v>-152</v>
      </c>
      <c r="C181" s="85">
        <v>-824</v>
      </c>
      <c r="D181" s="85">
        <v>-52</v>
      </c>
      <c r="E181" s="84">
        <v>0</v>
      </c>
      <c r="F181" s="7">
        <v>-5.58</v>
      </c>
      <c r="G181" s="85">
        <v>4513</v>
      </c>
      <c r="H181" s="4" t="s">
        <v>544</v>
      </c>
      <c r="I181" s="17" t="s">
        <v>1019</v>
      </c>
      <c r="J181" s="371">
        <v>46.14</v>
      </c>
      <c r="K181" s="371">
        <v>0.52</v>
      </c>
      <c r="L181" s="371">
        <v>9.84</v>
      </c>
      <c r="N181" s="365">
        <f t="shared" si="65"/>
        <v>56.5</v>
      </c>
      <c r="O181" s="343">
        <f t="shared" si="66"/>
        <v>46.14</v>
      </c>
      <c r="P181" s="195">
        <v>3</v>
      </c>
      <c r="Q181" s="326" t="str">
        <f>IFERROR(VLOOKUP($G181,主力整理!$A$2:$G$2301,6,0),"0")</f>
        <v>0</v>
      </c>
      <c r="T181" s="339">
        <f t="shared" si="67"/>
        <v>3</v>
      </c>
      <c r="V181" s="371">
        <v>0.03</v>
      </c>
      <c r="W181" s="35">
        <v>0</v>
      </c>
      <c r="X181" s="100">
        <v>-0.51</v>
      </c>
      <c r="Y181" s="37" t="str">
        <f>RTD("money.excel",,"4513","Price")</f>
        <v>無資料</v>
      </c>
      <c r="Z181" s="69"/>
      <c r="AA181" s="16" t="e">
        <f t="shared" si="68"/>
        <v>#VALUE!</v>
      </c>
      <c r="AB181" s="3" t="e">
        <f t="shared" si="69"/>
        <v>#VALUE!</v>
      </c>
      <c r="AC181" s="177" t="s">
        <v>2648</v>
      </c>
      <c r="AD181" s="17" t="s">
        <v>1019</v>
      </c>
      <c r="AG181" s="34">
        <f t="shared" si="70"/>
        <v>0</v>
      </c>
      <c r="AH181" s="44" t="s">
        <v>3971</v>
      </c>
      <c r="AI181" s="131"/>
      <c r="AK181" s="66">
        <f t="shared" si="71"/>
        <v>0</v>
      </c>
      <c r="AL181" s="174">
        <f t="shared" si="72"/>
        <v>0</v>
      </c>
      <c r="AM181" s="346">
        <f>RTD("money.excel",,$G181,"PredictVolume")</f>
        <v>0</v>
      </c>
      <c r="AN181" s="272">
        <f>RTD("money.excel",,$G181,"CumulativeVolume")</f>
        <v>0</v>
      </c>
      <c r="AO181" s="284"/>
    </row>
    <row r="182" spans="1:41">
      <c r="A182" s="151" t="s">
        <v>4684</v>
      </c>
      <c r="B182" s="85">
        <v>-72</v>
      </c>
      <c r="C182" s="85">
        <v>-81</v>
      </c>
      <c r="D182" s="85">
        <v>-36</v>
      </c>
      <c r="E182" s="85">
        <v>-6</v>
      </c>
      <c r="F182" s="7">
        <v>-40.86</v>
      </c>
      <c r="G182" s="85">
        <v>4523</v>
      </c>
      <c r="H182" s="4" t="s">
        <v>544</v>
      </c>
      <c r="I182" s="17" t="s">
        <v>1020</v>
      </c>
      <c r="J182" s="371">
        <v>62.43</v>
      </c>
      <c r="K182" s="77">
        <v>23.4</v>
      </c>
      <c r="L182" s="77">
        <v>65.81</v>
      </c>
      <c r="N182" s="365">
        <f t="shared" si="65"/>
        <v>151.63999999999999</v>
      </c>
      <c r="O182" s="343">
        <f t="shared" si="66"/>
        <v>62.43</v>
      </c>
      <c r="P182" s="195" t="s">
        <v>5554</v>
      </c>
      <c r="Q182" s="326" t="str">
        <f>IFERROR(VLOOKUP($G182,主力整理!$A$2:$G$2301,6,0),"0")</f>
        <v>0</v>
      </c>
      <c r="T182" s="339">
        <f t="shared" si="67"/>
        <v>0</v>
      </c>
      <c r="V182" s="371">
        <v>0.01</v>
      </c>
      <c r="W182" s="35">
        <v>0</v>
      </c>
      <c r="X182" s="59">
        <v>-4.74</v>
      </c>
      <c r="Y182" s="37" t="str">
        <f>RTD("money.excel",,"4523","Price")</f>
        <v>無資料</v>
      </c>
      <c r="Z182" s="69"/>
      <c r="AA182" s="16" t="e">
        <f t="shared" si="68"/>
        <v>#VALUE!</v>
      </c>
      <c r="AB182" s="3" t="e">
        <f t="shared" si="69"/>
        <v>#VALUE!</v>
      </c>
      <c r="AD182" s="17" t="s">
        <v>1020</v>
      </c>
      <c r="AG182" s="34">
        <f t="shared" si="70"/>
        <v>0</v>
      </c>
      <c r="AH182" s="44" t="s">
        <v>3972</v>
      </c>
      <c r="AI182" s="131"/>
      <c r="AK182" s="66">
        <f t="shared" si="71"/>
        <v>0</v>
      </c>
      <c r="AL182" s="174">
        <f t="shared" si="72"/>
        <v>0</v>
      </c>
      <c r="AM182" s="346">
        <f>RTD("money.excel",,$G182,"PredictVolume")</f>
        <v>0</v>
      </c>
      <c r="AN182" s="272">
        <f>RTD("money.excel",,$G182,"CumulativeVolume")</f>
        <v>0</v>
      </c>
      <c r="AO182" s="284"/>
    </row>
    <row r="183" spans="1:41">
      <c r="A183" s="151" t="s">
        <v>2665</v>
      </c>
      <c r="B183" s="85">
        <v>-145</v>
      </c>
      <c r="C183" s="85">
        <v>-170</v>
      </c>
      <c r="D183" s="85">
        <v>-31</v>
      </c>
      <c r="E183" s="85">
        <v>-49</v>
      </c>
      <c r="F183" s="7">
        <v>-3.68</v>
      </c>
      <c r="G183" s="85">
        <v>4526</v>
      </c>
      <c r="H183" s="4" t="s">
        <v>544</v>
      </c>
      <c r="I183" s="23" t="s">
        <v>1064</v>
      </c>
      <c r="J183" s="77">
        <v>45.22</v>
      </c>
      <c r="K183" s="77">
        <v>7.1</v>
      </c>
      <c r="L183" s="77">
        <v>4.0199999999999996</v>
      </c>
      <c r="N183" s="365">
        <f t="shared" si="65"/>
        <v>56.34</v>
      </c>
      <c r="O183" s="343">
        <f t="shared" si="66"/>
        <v>45.22</v>
      </c>
      <c r="P183" s="195">
        <v>21</v>
      </c>
      <c r="Q183" s="326" t="str">
        <f>IFERROR(VLOOKUP($G183,主力整理!$A$2:$G$2301,6,0),"0")</f>
        <v>0</v>
      </c>
      <c r="T183" s="339">
        <f t="shared" si="67"/>
        <v>21</v>
      </c>
      <c r="V183" s="371">
        <v>0.01</v>
      </c>
      <c r="W183" s="35">
        <v>0</v>
      </c>
      <c r="X183" s="100">
        <v>-1.36</v>
      </c>
      <c r="Y183" s="37" t="str">
        <f>RTD("money.excel",,"4526","Price")</f>
        <v>無資料</v>
      </c>
      <c r="Z183" s="69"/>
      <c r="AA183" s="16" t="e">
        <f t="shared" si="68"/>
        <v>#VALUE!</v>
      </c>
      <c r="AB183" s="3" t="e">
        <f t="shared" si="69"/>
        <v>#VALUE!</v>
      </c>
      <c r="AC183" s="177" t="s">
        <v>2648</v>
      </c>
      <c r="AD183" s="23" t="s">
        <v>1064</v>
      </c>
      <c r="AG183" s="34">
        <f t="shared" si="70"/>
        <v>0</v>
      </c>
      <c r="AH183" s="44" t="s">
        <v>3376</v>
      </c>
      <c r="AI183" s="131"/>
      <c r="AK183" s="66">
        <f t="shared" si="71"/>
        <v>0</v>
      </c>
      <c r="AL183" s="174">
        <f t="shared" si="72"/>
        <v>0</v>
      </c>
      <c r="AM183" s="346">
        <f>RTD("money.excel",,$G183,"PredictVolume")</f>
        <v>0</v>
      </c>
      <c r="AN183" s="272">
        <f>RTD("money.excel",,$G183,"CumulativeVolume")</f>
        <v>0</v>
      </c>
      <c r="AO183" s="284"/>
    </row>
    <row r="184" spans="1:41">
      <c r="A184" s="151" t="s">
        <v>2368</v>
      </c>
      <c r="B184" s="96">
        <v>67</v>
      </c>
      <c r="C184" s="96">
        <v>54</v>
      </c>
      <c r="D184" s="96">
        <v>-45</v>
      </c>
      <c r="E184" s="96">
        <v>31</v>
      </c>
      <c r="F184" s="7">
        <v>8.09</v>
      </c>
      <c r="G184" s="85">
        <v>4527</v>
      </c>
      <c r="H184" s="4" t="s">
        <v>544</v>
      </c>
      <c r="I184" s="17" t="s">
        <v>1021</v>
      </c>
      <c r="J184" s="77">
        <v>71.95</v>
      </c>
      <c r="K184" s="77">
        <v>7.47</v>
      </c>
      <c r="L184" s="77">
        <v>0.28000000000000003</v>
      </c>
      <c r="N184" s="365">
        <f t="shared" si="65"/>
        <v>79.7</v>
      </c>
      <c r="O184" s="343">
        <f t="shared" si="66"/>
        <v>71.95</v>
      </c>
      <c r="P184" s="195" t="s">
        <v>5554</v>
      </c>
      <c r="Q184" s="326" t="str">
        <f>IFERROR(VLOOKUP($G184,主力整理!$A$2:$G$2301,6,0),"0")</f>
        <v>0</v>
      </c>
      <c r="T184" s="339">
        <f t="shared" si="67"/>
        <v>0</v>
      </c>
      <c r="V184" s="371">
        <v>39.090000000000003</v>
      </c>
      <c r="W184" s="35">
        <v>2</v>
      </c>
      <c r="X184" s="100">
        <v>2.72</v>
      </c>
      <c r="Y184" s="14" t="str">
        <f>RTD("money.excel",,"4527","Price")</f>
        <v>無資料</v>
      </c>
      <c r="Z184" s="69"/>
      <c r="AA184" s="16" t="e">
        <f t="shared" si="68"/>
        <v>#VALUE!</v>
      </c>
      <c r="AB184" s="3" t="e">
        <f t="shared" si="69"/>
        <v>#VALUE!</v>
      </c>
      <c r="AD184" s="17" t="s">
        <v>1021</v>
      </c>
      <c r="AG184" s="34">
        <f t="shared" si="70"/>
        <v>0</v>
      </c>
      <c r="AH184" s="44" t="s">
        <v>3973</v>
      </c>
      <c r="AI184" s="131"/>
      <c r="AK184" s="66">
        <f t="shared" si="71"/>
        <v>0</v>
      </c>
      <c r="AL184" s="174">
        <f t="shared" si="72"/>
        <v>0</v>
      </c>
      <c r="AM184" s="346">
        <f>RTD("money.excel",,$G184,"PredictVolume")</f>
        <v>0</v>
      </c>
      <c r="AN184" s="272">
        <f>RTD("money.excel",,$G184,"CumulativeVolume")</f>
        <v>0</v>
      </c>
      <c r="AO184" s="284"/>
    </row>
    <row r="185" spans="1:41">
      <c r="A185" s="135" t="s">
        <v>2504</v>
      </c>
      <c r="B185" s="85">
        <v>-14</v>
      </c>
      <c r="C185" s="85">
        <v>-20</v>
      </c>
      <c r="D185" s="84">
        <v>2</v>
      </c>
      <c r="E185" s="84">
        <v>26</v>
      </c>
      <c r="F185" s="59">
        <v>12.34</v>
      </c>
      <c r="G185" s="85">
        <v>4528</v>
      </c>
      <c r="H185" s="4" t="s">
        <v>544</v>
      </c>
      <c r="I185" s="17" t="s">
        <v>309</v>
      </c>
      <c r="J185" s="371">
        <v>61.42</v>
      </c>
      <c r="K185" s="371">
        <v>1.5</v>
      </c>
      <c r="L185" s="371">
        <v>4.92</v>
      </c>
      <c r="N185" s="365">
        <f t="shared" si="65"/>
        <v>67.84</v>
      </c>
      <c r="O185" s="343">
        <f t="shared" si="66"/>
        <v>61.42</v>
      </c>
      <c r="P185" s="195">
        <v>2</v>
      </c>
      <c r="Q185" s="326" t="str">
        <f>IFERROR(VLOOKUP($G185,主力整理!$A$2:$G$2301,6,0),"0")</f>
        <v>0</v>
      </c>
      <c r="T185" s="339">
        <f t="shared" si="67"/>
        <v>2</v>
      </c>
      <c r="V185" s="371">
        <v>0.06</v>
      </c>
      <c r="W185" s="35">
        <v>1.8</v>
      </c>
      <c r="X185" s="59">
        <v>3.05</v>
      </c>
      <c r="Y185" s="37" t="str">
        <f>RTD("money.excel",,"4528","Price")</f>
        <v>無資料</v>
      </c>
      <c r="Z185" s="69"/>
      <c r="AA185" s="16" t="e">
        <f t="shared" si="68"/>
        <v>#VALUE!</v>
      </c>
      <c r="AB185" s="3" t="e">
        <f t="shared" si="69"/>
        <v>#VALUE!</v>
      </c>
      <c r="AC185" s="177" t="s">
        <v>2648</v>
      </c>
      <c r="AD185" s="17" t="s">
        <v>309</v>
      </c>
      <c r="AG185" s="34">
        <f t="shared" si="70"/>
        <v>0</v>
      </c>
      <c r="AH185" s="126" t="s">
        <v>4504</v>
      </c>
      <c r="AI185" s="128"/>
      <c r="AK185" s="66">
        <f t="shared" si="71"/>
        <v>0</v>
      </c>
      <c r="AL185" s="174">
        <f t="shared" si="72"/>
        <v>0</v>
      </c>
      <c r="AM185" s="346">
        <f>RTD("money.excel",,$G185,"PredictVolume")</f>
        <v>0</v>
      </c>
      <c r="AN185" s="272">
        <f>RTD("money.excel",,$G185,"CumulativeVolume")</f>
        <v>0</v>
      </c>
      <c r="AO185" s="284"/>
    </row>
    <row r="186" spans="1:41">
      <c r="A186" s="151" t="s">
        <v>4685</v>
      </c>
      <c r="B186" s="85">
        <v>-36</v>
      </c>
      <c r="C186" s="84">
        <v>3</v>
      </c>
      <c r="D186" s="84">
        <v>28</v>
      </c>
      <c r="E186" s="84">
        <v>398</v>
      </c>
      <c r="F186" s="7">
        <v>-38.06</v>
      </c>
      <c r="G186" s="85">
        <v>4530</v>
      </c>
      <c r="H186" s="4" t="s">
        <v>544</v>
      </c>
      <c r="I186" s="17" t="s">
        <v>1022</v>
      </c>
      <c r="J186" s="77">
        <v>39.479999999999997</v>
      </c>
      <c r="K186" s="77">
        <v>4.53</v>
      </c>
      <c r="N186" s="365">
        <f t="shared" si="65"/>
        <v>44.01</v>
      </c>
      <c r="O186" s="343">
        <f t="shared" si="66"/>
        <v>39.479999999999997</v>
      </c>
      <c r="P186" s="195" t="s">
        <v>5554</v>
      </c>
      <c r="Q186" s="326" t="str">
        <f>IFERROR(VLOOKUP($G186,主力整理!$A$2:$G$2301,6,0),"0")</f>
        <v>0</v>
      </c>
      <c r="T186" s="339">
        <f t="shared" si="67"/>
        <v>0</v>
      </c>
      <c r="W186" s="35">
        <v>0</v>
      </c>
      <c r="X186" s="100">
        <v>-0.49</v>
      </c>
      <c r="Y186" s="37" t="str">
        <f>RTD("money.excel",,"4530","Price")</f>
        <v>無資料</v>
      </c>
      <c r="Z186" s="69"/>
      <c r="AA186" s="16" t="e">
        <f t="shared" si="68"/>
        <v>#VALUE!</v>
      </c>
      <c r="AB186" s="3" t="e">
        <f t="shared" si="69"/>
        <v>#VALUE!</v>
      </c>
      <c r="AD186" s="17" t="s">
        <v>1022</v>
      </c>
      <c r="AG186" s="34">
        <f t="shared" si="70"/>
        <v>0</v>
      </c>
      <c r="AH186" s="44" t="s">
        <v>2260</v>
      </c>
      <c r="AI186" s="131"/>
      <c r="AK186" s="66">
        <f t="shared" si="71"/>
        <v>0</v>
      </c>
      <c r="AL186" s="174">
        <f t="shared" si="72"/>
        <v>0</v>
      </c>
      <c r="AM186" s="346">
        <f>RTD("money.excel",,$G186,"PredictVolume")</f>
        <v>0</v>
      </c>
      <c r="AN186" s="272">
        <f>RTD("money.excel",,$G186,"CumulativeVolume")</f>
        <v>0</v>
      </c>
      <c r="AO186" s="284"/>
    </row>
    <row r="187" spans="1:41">
      <c r="A187" s="151" t="s">
        <v>3010</v>
      </c>
      <c r="B187" s="85">
        <v>-41</v>
      </c>
      <c r="C187" s="85">
        <v>-41</v>
      </c>
      <c r="D187" s="84">
        <v>23</v>
      </c>
      <c r="E187" s="84">
        <v>4</v>
      </c>
      <c r="F187" s="7">
        <v>4.4400000000000004</v>
      </c>
      <c r="G187" s="85">
        <v>4532</v>
      </c>
      <c r="H187" s="4" t="s">
        <v>544</v>
      </c>
      <c r="I187" s="23" t="s">
        <v>1065</v>
      </c>
      <c r="J187" s="371">
        <v>66.14</v>
      </c>
      <c r="K187" s="77">
        <v>10.58</v>
      </c>
      <c r="L187" s="77">
        <v>1.03</v>
      </c>
      <c r="N187" s="365">
        <f t="shared" si="65"/>
        <v>77.75</v>
      </c>
      <c r="O187" s="343">
        <f t="shared" si="66"/>
        <v>66.14</v>
      </c>
      <c r="P187" s="195">
        <v>1</v>
      </c>
      <c r="Q187" s="326" t="str">
        <f>IFERROR(VLOOKUP($G187,主力整理!$A$2:$G$2301,6,0),"0")</f>
        <v>0</v>
      </c>
      <c r="T187" s="339">
        <f t="shared" si="67"/>
        <v>1</v>
      </c>
      <c r="V187" s="371">
        <v>0</v>
      </c>
      <c r="W187" s="35">
        <v>0.7</v>
      </c>
      <c r="X187" s="100">
        <v>1.41</v>
      </c>
      <c r="Y187" s="37" t="str">
        <f>RTD("money.excel",,"4532","Price")</f>
        <v>無資料</v>
      </c>
      <c r="Z187" s="69"/>
      <c r="AA187" s="16" t="e">
        <f t="shared" si="68"/>
        <v>#VALUE!</v>
      </c>
      <c r="AB187" s="3" t="e">
        <f t="shared" si="69"/>
        <v>#VALUE!</v>
      </c>
      <c r="AC187" s="177" t="s">
        <v>2648</v>
      </c>
      <c r="AD187" s="23" t="s">
        <v>1065</v>
      </c>
      <c r="AG187" s="34">
        <f t="shared" si="70"/>
        <v>0</v>
      </c>
      <c r="AH187" s="44" t="s">
        <v>4309</v>
      </c>
      <c r="AI187" s="131"/>
      <c r="AK187" s="66">
        <f t="shared" si="71"/>
        <v>0</v>
      </c>
      <c r="AL187" s="174">
        <f t="shared" si="72"/>
        <v>0</v>
      </c>
      <c r="AM187" s="346">
        <f>RTD("money.excel",,$G187,"PredictVolume")</f>
        <v>0</v>
      </c>
      <c r="AN187" s="272">
        <f>RTD("money.excel",,$G187,"CumulativeVolume")</f>
        <v>0</v>
      </c>
      <c r="AO187" s="284"/>
    </row>
    <row r="188" spans="1:41">
      <c r="A188" s="151" t="s">
        <v>2585</v>
      </c>
      <c r="B188" s="84">
        <v>15</v>
      </c>
      <c r="C188" s="85">
        <v>-236</v>
      </c>
      <c r="D188" s="85">
        <v>-49</v>
      </c>
      <c r="E188" s="84">
        <v>-5</v>
      </c>
      <c r="F188" s="7">
        <v>-4.33</v>
      </c>
      <c r="G188" s="85">
        <v>4533</v>
      </c>
      <c r="H188" s="4" t="s">
        <v>544</v>
      </c>
      <c r="I188" s="17" t="s">
        <v>149</v>
      </c>
      <c r="J188" s="371">
        <v>55.8</v>
      </c>
      <c r="K188" s="371">
        <v>0.46</v>
      </c>
      <c r="L188" s="77">
        <v>6.37</v>
      </c>
      <c r="N188" s="365">
        <f t="shared" si="65"/>
        <v>62.629999999999995</v>
      </c>
      <c r="O188" s="343">
        <f t="shared" si="66"/>
        <v>55.8</v>
      </c>
      <c r="P188" s="195">
        <v>7</v>
      </c>
      <c r="Q188" s="326" t="str">
        <f>IFERROR(VLOOKUP($G188,主力整理!$A$2:$G$2301,6,0),"0")</f>
        <v>0</v>
      </c>
      <c r="T188" s="339">
        <f t="shared" si="67"/>
        <v>7</v>
      </c>
      <c r="V188" s="371">
        <v>0</v>
      </c>
      <c r="W188" s="35">
        <v>0.2</v>
      </c>
      <c r="X188" s="59">
        <v>0.1</v>
      </c>
      <c r="Y188" s="37" t="str">
        <f>RTD("money.excel",,"4533","Price")</f>
        <v>無資料</v>
      </c>
      <c r="Z188" s="69"/>
      <c r="AA188" s="16" t="e">
        <f t="shared" si="68"/>
        <v>#VALUE!</v>
      </c>
      <c r="AB188" s="3" t="e">
        <f t="shared" si="69"/>
        <v>#VALUE!</v>
      </c>
      <c r="AC188" s="177" t="s">
        <v>2648</v>
      </c>
      <c r="AD188" s="17" t="s">
        <v>149</v>
      </c>
      <c r="AG188" s="34">
        <f t="shared" si="70"/>
        <v>0</v>
      </c>
      <c r="AH188" s="125" t="s">
        <v>3956</v>
      </c>
      <c r="AI188" s="131"/>
      <c r="AK188" s="66">
        <f t="shared" si="71"/>
        <v>0</v>
      </c>
      <c r="AL188" s="174">
        <f t="shared" si="72"/>
        <v>0</v>
      </c>
      <c r="AM188" s="346">
        <f>RTD("money.excel",,$G188,"PredictVolume")</f>
        <v>0</v>
      </c>
      <c r="AN188" s="272">
        <f>RTD("money.excel",,$G188,"CumulativeVolume")</f>
        <v>0</v>
      </c>
      <c r="AO188" s="284"/>
    </row>
    <row r="189" spans="1:41">
      <c r="A189" s="151" t="s">
        <v>4587</v>
      </c>
      <c r="B189" s="85">
        <v>-245</v>
      </c>
      <c r="C189" s="85">
        <v>-163</v>
      </c>
      <c r="D189" s="84">
        <v>27</v>
      </c>
      <c r="E189" s="84">
        <v>3</v>
      </c>
      <c r="F189" s="7">
        <v>-4.33</v>
      </c>
      <c r="G189" s="85">
        <v>4534</v>
      </c>
      <c r="H189" s="4" t="s">
        <v>544</v>
      </c>
      <c r="I189" s="17" t="s">
        <v>1023</v>
      </c>
      <c r="J189" s="371">
        <v>36.24</v>
      </c>
      <c r="K189" s="371">
        <v>0.12</v>
      </c>
      <c r="L189" s="77">
        <v>14.02</v>
      </c>
      <c r="N189" s="365">
        <f t="shared" si="65"/>
        <v>50.379999999999995</v>
      </c>
      <c r="O189" s="343">
        <f t="shared" si="66"/>
        <v>36.24</v>
      </c>
      <c r="P189" s="195" t="s">
        <v>5554</v>
      </c>
      <c r="Q189" s="326" t="str">
        <f>IFERROR(VLOOKUP($G189,主力整理!$A$2:$G$2301,6,0),"0")</f>
        <v>0</v>
      </c>
      <c r="T189" s="339">
        <f t="shared" si="67"/>
        <v>0</v>
      </c>
      <c r="V189" s="371">
        <v>0.09</v>
      </c>
      <c r="W189" s="35">
        <v>0</v>
      </c>
      <c r="X189" s="100">
        <v>-0.72</v>
      </c>
      <c r="Y189" s="37" t="str">
        <f>RTD("money.excel",,"4534","Price")</f>
        <v>無資料</v>
      </c>
      <c r="Z189" s="69"/>
      <c r="AA189" s="16" t="e">
        <f t="shared" si="68"/>
        <v>#VALUE!</v>
      </c>
      <c r="AB189" s="3" t="e">
        <f t="shared" si="69"/>
        <v>#VALUE!</v>
      </c>
      <c r="AD189" s="17" t="s">
        <v>1023</v>
      </c>
      <c r="AG189" s="34">
        <f t="shared" si="70"/>
        <v>0</v>
      </c>
      <c r="AH189" s="44" t="s">
        <v>4588</v>
      </c>
      <c r="AI189" s="131"/>
      <c r="AK189" s="66">
        <f t="shared" si="71"/>
        <v>0</v>
      </c>
      <c r="AL189" s="174">
        <f t="shared" si="72"/>
        <v>0</v>
      </c>
      <c r="AM189" s="346">
        <f>RTD("money.excel",,$G189,"PredictVolume")</f>
        <v>0</v>
      </c>
      <c r="AN189" s="272">
        <f>RTD("money.excel",,$G189,"CumulativeVolume")</f>
        <v>0</v>
      </c>
      <c r="AO189" s="284"/>
    </row>
    <row r="190" spans="1:41">
      <c r="A190" s="151" t="s">
        <v>4686</v>
      </c>
      <c r="B190" s="96">
        <v>-19</v>
      </c>
      <c r="C190" s="96">
        <v>-10</v>
      </c>
      <c r="D190" s="96">
        <v>14</v>
      </c>
      <c r="E190" s="96">
        <v>69</v>
      </c>
      <c r="F190" s="7">
        <v>8.2799999999999994</v>
      </c>
      <c r="G190" s="85">
        <v>4535</v>
      </c>
      <c r="H190" s="4" t="s">
        <v>544</v>
      </c>
      <c r="I190" s="17" t="s">
        <v>275</v>
      </c>
      <c r="J190" s="77">
        <v>76.86</v>
      </c>
      <c r="K190" s="77">
        <v>0.16</v>
      </c>
      <c r="L190" s="77">
        <v>0.1</v>
      </c>
      <c r="N190" s="365">
        <f t="shared" si="65"/>
        <v>77.11999999999999</v>
      </c>
      <c r="O190" s="343">
        <f t="shared" si="66"/>
        <v>76.86</v>
      </c>
      <c r="P190" s="195" t="s">
        <v>5554</v>
      </c>
      <c r="Q190" s="326" t="str">
        <f>IFERROR(VLOOKUP($G190,主力整理!$A$2:$G$2301,6,0),"0")</f>
        <v>0</v>
      </c>
      <c r="T190" s="339">
        <f t="shared" si="67"/>
        <v>0</v>
      </c>
      <c r="V190" s="371">
        <v>43.99</v>
      </c>
      <c r="W190" s="35">
        <v>0.7</v>
      </c>
      <c r="X190" s="100">
        <v>1.36</v>
      </c>
      <c r="Y190" s="14" t="str">
        <f>RTD("money.excel",,"4535","Price")</f>
        <v>無資料</v>
      </c>
      <c r="Z190" s="69"/>
      <c r="AA190" s="16" t="e">
        <f t="shared" si="68"/>
        <v>#VALUE!</v>
      </c>
      <c r="AB190" s="3" t="e">
        <f t="shared" si="69"/>
        <v>#VALUE!</v>
      </c>
      <c r="AD190" s="17" t="s">
        <v>275</v>
      </c>
      <c r="AG190" s="34">
        <f t="shared" si="70"/>
        <v>0</v>
      </c>
      <c r="AH190" s="125" t="s">
        <v>3955</v>
      </c>
      <c r="AI190" s="131"/>
      <c r="AK190" s="66">
        <f t="shared" si="71"/>
        <v>0</v>
      </c>
      <c r="AL190" s="174">
        <f t="shared" si="72"/>
        <v>0</v>
      </c>
      <c r="AM190" s="346">
        <f>RTD("money.excel",,$G190,"PredictVolume")</f>
        <v>0</v>
      </c>
      <c r="AN190" s="272">
        <f>RTD("money.excel",,$G190,"CumulativeVolume")</f>
        <v>0</v>
      </c>
      <c r="AO190" s="284"/>
    </row>
    <row r="191" spans="1:41">
      <c r="A191" s="151" t="s">
        <v>4687</v>
      </c>
      <c r="B191" s="96">
        <v>-66</v>
      </c>
      <c r="C191" s="96">
        <v>-82</v>
      </c>
      <c r="D191" s="96">
        <v>13</v>
      </c>
      <c r="E191" s="96">
        <v>83</v>
      </c>
      <c r="F191" s="7">
        <v>3.21</v>
      </c>
      <c r="G191" s="85">
        <v>4538</v>
      </c>
      <c r="H191" s="4" t="s">
        <v>544</v>
      </c>
      <c r="I191" s="17" t="s">
        <v>4688</v>
      </c>
      <c r="J191" s="77">
        <v>74.39</v>
      </c>
      <c r="K191" s="77">
        <v>0</v>
      </c>
      <c r="L191" s="77">
        <v>0.21</v>
      </c>
      <c r="N191" s="365">
        <f t="shared" si="65"/>
        <v>74.599999999999994</v>
      </c>
      <c r="O191" s="343">
        <f t="shared" si="66"/>
        <v>74.39</v>
      </c>
      <c r="P191" s="195" t="s">
        <v>5554</v>
      </c>
      <c r="Q191" s="326" t="str">
        <f>IFERROR(VLOOKUP($G191,主力整理!$A$2:$G$2301,6,0),"0")</f>
        <v>0</v>
      </c>
      <c r="T191" s="339">
        <f t="shared" si="67"/>
        <v>0</v>
      </c>
      <c r="V191" s="371">
        <v>0</v>
      </c>
      <c r="W191" s="35">
        <v>0.8</v>
      </c>
      <c r="X191" s="100">
        <v>0.5</v>
      </c>
      <c r="Y191" s="14" t="str">
        <f>RTD("money.excel",,"4550","Price")</f>
        <v>無資料</v>
      </c>
      <c r="Z191" s="69"/>
      <c r="AA191" s="16" t="e">
        <f t="shared" si="68"/>
        <v>#VALUE!</v>
      </c>
      <c r="AB191" s="3" t="e">
        <f t="shared" si="69"/>
        <v>#VALUE!</v>
      </c>
      <c r="AD191" s="17" t="s">
        <v>4688</v>
      </c>
      <c r="AG191" s="34">
        <f t="shared" si="70"/>
        <v>0</v>
      </c>
      <c r="AH191" s="44" t="s">
        <v>4689</v>
      </c>
      <c r="AI191" s="131"/>
      <c r="AK191" s="66">
        <f t="shared" si="71"/>
        <v>0</v>
      </c>
      <c r="AL191" s="174">
        <f t="shared" si="72"/>
        <v>0</v>
      </c>
      <c r="AM191" s="346">
        <f>RTD("money.excel",,$G191,"PredictVolume")</f>
        <v>0</v>
      </c>
      <c r="AN191" s="272">
        <f>RTD("money.excel",,$G191,"CumulativeVolume")</f>
        <v>0</v>
      </c>
      <c r="AO191" s="284"/>
    </row>
    <row r="192" spans="1:41">
      <c r="A192" s="151" t="s">
        <v>4818</v>
      </c>
      <c r="B192" s="84">
        <v>280</v>
      </c>
      <c r="C192" s="84">
        <v>175</v>
      </c>
      <c r="D192" s="85">
        <v>-2</v>
      </c>
      <c r="E192" s="84">
        <v>10</v>
      </c>
      <c r="F192" s="7">
        <v>8.81</v>
      </c>
      <c r="G192" s="85">
        <v>4540</v>
      </c>
      <c r="H192" s="4" t="s">
        <v>544</v>
      </c>
      <c r="I192" s="23" t="s">
        <v>1738</v>
      </c>
      <c r="J192" s="77">
        <v>50.36</v>
      </c>
      <c r="K192" s="77">
        <v>3.17</v>
      </c>
      <c r="L192" s="77">
        <v>6.62</v>
      </c>
      <c r="M192" s="371">
        <v>13.43</v>
      </c>
      <c r="N192" s="365">
        <f t="shared" si="65"/>
        <v>73.58</v>
      </c>
      <c r="O192" s="343">
        <f t="shared" si="66"/>
        <v>63.79</v>
      </c>
      <c r="P192" s="195">
        <v>14</v>
      </c>
      <c r="Q192" s="326">
        <v>2</v>
      </c>
      <c r="R192" s="111">
        <v>7</v>
      </c>
      <c r="S192" s="51">
        <v>7</v>
      </c>
      <c r="T192" s="339">
        <f t="shared" si="67"/>
        <v>30</v>
      </c>
      <c r="U192" s="329" t="s">
        <v>6539</v>
      </c>
      <c r="V192" s="371">
        <v>0.74</v>
      </c>
      <c r="W192" s="35">
        <v>0.8</v>
      </c>
      <c r="X192" s="59">
        <v>2.4900000000000002</v>
      </c>
      <c r="Y192" s="37" t="str">
        <f>RTD("money.excel",,"4540","Price")</f>
        <v>無資料</v>
      </c>
      <c r="Z192" s="69"/>
      <c r="AA192" s="16" t="e">
        <f t="shared" si="68"/>
        <v>#VALUE!</v>
      </c>
      <c r="AB192" s="3" t="e">
        <f t="shared" si="69"/>
        <v>#VALUE!</v>
      </c>
      <c r="AC192" s="177" t="s">
        <v>2648</v>
      </c>
      <c r="AD192" s="23" t="s">
        <v>1738</v>
      </c>
      <c r="AG192" s="34">
        <f t="shared" si="70"/>
        <v>0</v>
      </c>
      <c r="AH192" s="44" t="s">
        <v>2259</v>
      </c>
      <c r="AI192" s="131"/>
      <c r="AK192" s="66">
        <f t="shared" si="71"/>
        <v>0</v>
      </c>
      <c r="AL192" s="174">
        <f t="shared" si="72"/>
        <v>0</v>
      </c>
      <c r="AM192" s="346">
        <f>RTD("money.excel",,$G192,"PredictVolume")</f>
        <v>0</v>
      </c>
      <c r="AN192" s="272">
        <f>RTD("money.excel",,$G192,"CumulativeVolume")</f>
        <v>0</v>
      </c>
      <c r="AO192" s="284"/>
    </row>
    <row r="193" spans="1:41">
      <c r="A193" s="151" t="s">
        <v>4640</v>
      </c>
      <c r="B193" s="96">
        <v>-67</v>
      </c>
      <c r="C193" s="96">
        <v>-6</v>
      </c>
      <c r="D193" s="96">
        <v>8</v>
      </c>
      <c r="E193" s="96">
        <v>-27</v>
      </c>
      <c r="F193" s="7">
        <v>3.09</v>
      </c>
      <c r="G193" s="85">
        <v>4543</v>
      </c>
      <c r="H193" s="4" t="s">
        <v>544</v>
      </c>
      <c r="I193" s="17" t="s">
        <v>1024</v>
      </c>
      <c r="J193" s="77">
        <v>81.81</v>
      </c>
      <c r="K193" s="77">
        <v>6.37</v>
      </c>
      <c r="L193" s="77">
        <v>1</v>
      </c>
      <c r="N193" s="365">
        <f t="shared" si="65"/>
        <v>89.18</v>
      </c>
      <c r="O193" s="343">
        <f t="shared" si="66"/>
        <v>81.81</v>
      </c>
      <c r="P193" s="195" t="s">
        <v>5554</v>
      </c>
      <c r="Q193" s="326">
        <f>IFERROR(VLOOKUP($G193,主力整理!$A$2:$G$2301,6,0),"0")</f>
        <v>1</v>
      </c>
      <c r="T193" s="339">
        <f t="shared" si="67"/>
        <v>1</v>
      </c>
      <c r="V193" s="371">
        <v>27.51</v>
      </c>
      <c r="W193" s="35">
        <v>0</v>
      </c>
      <c r="X193" s="100">
        <v>0.19</v>
      </c>
      <c r="Y193" s="14" t="str">
        <f>RTD("money.excel",,"4543","Price")</f>
        <v>無資料</v>
      </c>
      <c r="Z193" s="69"/>
      <c r="AA193" s="16" t="e">
        <f t="shared" si="68"/>
        <v>#VALUE!</v>
      </c>
      <c r="AB193" s="3" t="e">
        <f t="shared" si="69"/>
        <v>#VALUE!</v>
      </c>
      <c r="AD193" s="17" t="s">
        <v>1024</v>
      </c>
      <c r="AG193" s="34">
        <f t="shared" si="70"/>
        <v>0</v>
      </c>
      <c r="AH193" s="63" t="s">
        <v>3954</v>
      </c>
      <c r="AI193" s="131"/>
      <c r="AK193" s="66">
        <f t="shared" si="71"/>
        <v>0</v>
      </c>
      <c r="AL193" s="174">
        <f t="shared" si="72"/>
        <v>0</v>
      </c>
      <c r="AM193" s="346">
        <f>RTD("money.excel",,$G193,"PredictVolume")</f>
        <v>0</v>
      </c>
      <c r="AN193" s="272">
        <f>RTD("money.excel",,$G193,"CumulativeVolume")</f>
        <v>0</v>
      </c>
      <c r="AO193" s="284"/>
    </row>
    <row r="194" spans="1:41">
      <c r="A194" s="135" t="s">
        <v>2496</v>
      </c>
      <c r="B194" s="85">
        <v>-52</v>
      </c>
      <c r="C194" s="85">
        <v>-61</v>
      </c>
      <c r="D194" s="85">
        <v>-2</v>
      </c>
      <c r="E194" s="85">
        <v>-20</v>
      </c>
      <c r="F194" s="59">
        <v>24.17</v>
      </c>
      <c r="G194" s="85">
        <v>4549</v>
      </c>
      <c r="H194" s="4" t="s">
        <v>544</v>
      </c>
      <c r="I194" s="17" t="s">
        <v>1025</v>
      </c>
      <c r="J194" s="371">
        <v>73.010000000000005</v>
      </c>
      <c r="K194" s="77">
        <v>4.92</v>
      </c>
      <c r="L194" s="371">
        <v>1.39</v>
      </c>
      <c r="N194" s="365">
        <f t="shared" ref="N194:N225" si="73">J194+K194+L194+M194</f>
        <v>79.320000000000007</v>
      </c>
      <c r="O194" s="343">
        <f t="shared" ref="O194:O221" si="74">J194+M194</f>
        <v>73.010000000000005</v>
      </c>
      <c r="P194" s="195" t="s">
        <v>5554</v>
      </c>
      <c r="Q194" s="326" t="str">
        <f>IFERROR(VLOOKUP($G194,主力整理!$A$2:$G$2301,6,0),"0")</f>
        <v>0</v>
      </c>
      <c r="T194" s="339">
        <f t="shared" ref="T194:T225" si="75">SUM(P194:S194)</f>
        <v>0</v>
      </c>
      <c r="V194" s="371">
        <v>0.03</v>
      </c>
      <c r="W194" s="69">
        <v>4.5</v>
      </c>
      <c r="X194" s="100">
        <v>5.49</v>
      </c>
      <c r="Y194" s="37" t="str">
        <f>RTD("money.excel",,"4549","Price")</f>
        <v>無資料</v>
      </c>
      <c r="Z194" s="69"/>
      <c r="AA194" s="16" t="e">
        <f t="shared" ref="AA194:AA225" si="76">Y194-Z194</f>
        <v>#VALUE!</v>
      </c>
      <c r="AB194" s="3" t="e">
        <f t="shared" ref="AB194:AB225" si="77">AA194/Z194</f>
        <v>#VALUE!</v>
      </c>
      <c r="AC194" s="177" t="s">
        <v>2929</v>
      </c>
      <c r="AD194" s="17" t="s">
        <v>1025</v>
      </c>
      <c r="AG194" s="34">
        <f t="shared" ref="AG194:AG225" si="78">AF194-AE194</f>
        <v>0</v>
      </c>
      <c r="AH194" s="63" t="s">
        <v>3953</v>
      </c>
      <c r="AI194" s="131"/>
      <c r="AK194" s="66">
        <f t="shared" si="71"/>
        <v>0</v>
      </c>
      <c r="AL194" s="174">
        <f t="shared" si="72"/>
        <v>0</v>
      </c>
      <c r="AM194" s="346">
        <f>RTD("money.excel",,$G194,"PredictVolume")</f>
        <v>0</v>
      </c>
      <c r="AN194" s="272">
        <f>RTD("money.excel",,$G194,"CumulativeVolume")</f>
        <v>0</v>
      </c>
      <c r="AO194" s="284"/>
    </row>
    <row r="195" spans="1:41">
      <c r="A195" s="151" t="s">
        <v>2613</v>
      </c>
      <c r="B195" s="96">
        <v>-55</v>
      </c>
      <c r="C195" s="96">
        <v>-67</v>
      </c>
      <c r="D195" s="96">
        <v>-23</v>
      </c>
      <c r="E195" s="96">
        <v>379</v>
      </c>
      <c r="F195" s="7">
        <v>4.08</v>
      </c>
      <c r="G195" s="85">
        <v>4550</v>
      </c>
      <c r="H195" s="4" t="s">
        <v>544</v>
      </c>
      <c r="I195" s="17" t="s">
        <v>1026</v>
      </c>
      <c r="J195" s="77">
        <v>67.02</v>
      </c>
      <c r="K195" s="77">
        <v>0</v>
      </c>
      <c r="L195" s="77">
        <v>4.03</v>
      </c>
      <c r="N195" s="365">
        <f t="shared" si="73"/>
        <v>71.05</v>
      </c>
      <c r="O195" s="343">
        <f t="shared" si="74"/>
        <v>67.02</v>
      </c>
      <c r="P195" s="195" t="s">
        <v>5554</v>
      </c>
      <c r="Q195" s="326" t="str">
        <f>IFERROR(VLOOKUP($G195,主力整理!$A$2:$G$2301,6,0),"0")</f>
        <v>0</v>
      </c>
      <c r="T195" s="339">
        <f t="shared" si="75"/>
        <v>0</v>
      </c>
      <c r="V195" s="371">
        <v>27.51</v>
      </c>
      <c r="W195" s="35">
        <v>1.68</v>
      </c>
      <c r="X195" s="100">
        <v>2.2799999999999998</v>
      </c>
      <c r="Y195" s="14" t="str">
        <f>RTD("money.excel",,"4550","Price")</f>
        <v>無資料</v>
      </c>
      <c r="Z195" s="69"/>
      <c r="AA195" s="16" t="e">
        <f t="shared" si="76"/>
        <v>#VALUE!</v>
      </c>
      <c r="AB195" s="3" t="e">
        <f t="shared" si="77"/>
        <v>#VALUE!</v>
      </c>
      <c r="AD195" s="17" t="s">
        <v>1026</v>
      </c>
      <c r="AG195" s="34">
        <f t="shared" si="78"/>
        <v>0</v>
      </c>
      <c r="AH195" s="44" t="s">
        <v>3952</v>
      </c>
      <c r="AI195" s="131"/>
      <c r="AK195" s="66">
        <f t="shared" si="71"/>
        <v>0</v>
      </c>
      <c r="AL195" s="174">
        <f t="shared" si="72"/>
        <v>0</v>
      </c>
      <c r="AM195" s="346">
        <f>RTD("money.excel",,$G195,"PredictVolume")</f>
        <v>0</v>
      </c>
      <c r="AN195" s="272">
        <f>RTD("money.excel",,$G195,"CumulativeVolume")</f>
        <v>0</v>
      </c>
      <c r="AO195" s="284"/>
    </row>
    <row r="196" spans="1:41">
      <c r="A196" s="151" t="s">
        <v>2624</v>
      </c>
      <c r="B196" s="96">
        <v>-59</v>
      </c>
      <c r="C196" s="96">
        <v>-59</v>
      </c>
      <c r="D196" s="96">
        <v>-10</v>
      </c>
      <c r="E196" s="96">
        <v>-21</v>
      </c>
      <c r="F196" s="7">
        <v>9.64</v>
      </c>
      <c r="G196" s="85">
        <v>4552</v>
      </c>
      <c r="H196" s="4" t="s">
        <v>544</v>
      </c>
      <c r="I196" s="23" t="s">
        <v>466</v>
      </c>
      <c r="J196" s="77">
        <v>51.02</v>
      </c>
      <c r="K196" s="371">
        <v>53.19</v>
      </c>
      <c r="L196" s="371">
        <v>6.45</v>
      </c>
      <c r="N196" s="365">
        <f t="shared" si="73"/>
        <v>110.66000000000001</v>
      </c>
      <c r="O196" s="343">
        <f t="shared" si="74"/>
        <v>51.02</v>
      </c>
      <c r="P196" s="195">
        <v>2</v>
      </c>
      <c r="Q196" s="326" t="str">
        <f>IFERROR(VLOOKUP($G196,主力整理!$A$2:$G$2301,6,0),"0")</f>
        <v>0</v>
      </c>
      <c r="T196" s="339">
        <f t="shared" si="75"/>
        <v>2</v>
      </c>
      <c r="V196" s="371">
        <v>47.94</v>
      </c>
      <c r="W196" s="35">
        <v>1.1100000000000001</v>
      </c>
      <c r="X196" s="59">
        <v>2.2200000000000002</v>
      </c>
      <c r="Y196" s="14" t="str">
        <f>RTD("money.excel",,"4552","Price")</f>
        <v>無資料</v>
      </c>
      <c r="Z196" s="69"/>
      <c r="AA196" s="16" t="e">
        <f t="shared" si="76"/>
        <v>#VALUE!</v>
      </c>
      <c r="AB196" s="3" t="e">
        <f t="shared" si="77"/>
        <v>#VALUE!</v>
      </c>
      <c r="AC196" s="177" t="s">
        <v>2648</v>
      </c>
      <c r="AD196" s="23" t="s">
        <v>466</v>
      </c>
      <c r="AG196" s="34">
        <f t="shared" si="78"/>
        <v>0</v>
      </c>
      <c r="AH196" s="44" t="s">
        <v>3398</v>
      </c>
      <c r="AI196" s="131"/>
      <c r="AK196" s="66">
        <f t="shared" si="71"/>
        <v>0</v>
      </c>
      <c r="AL196" s="174">
        <f t="shared" si="72"/>
        <v>0</v>
      </c>
      <c r="AM196" s="346">
        <f>RTD("money.excel",,$G196,"PredictVolume")</f>
        <v>0</v>
      </c>
      <c r="AN196" s="272">
        <f>RTD("money.excel",,$G196,"CumulativeVolume")</f>
        <v>0</v>
      </c>
      <c r="AO196" s="284"/>
    </row>
    <row r="197" spans="1:41">
      <c r="A197" s="135" t="s">
        <v>4817</v>
      </c>
      <c r="B197" s="84">
        <v>160</v>
      </c>
      <c r="C197" s="84">
        <v>173</v>
      </c>
      <c r="D197" s="84">
        <v>39</v>
      </c>
      <c r="E197" s="84">
        <v>17</v>
      </c>
      <c r="F197" s="59">
        <v>10.4</v>
      </c>
      <c r="G197" s="85">
        <v>4555</v>
      </c>
      <c r="H197" s="4" t="s">
        <v>544</v>
      </c>
      <c r="I197" s="23" t="s">
        <v>1066</v>
      </c>
      <c r="J197" s="77">
        <v>76.540000000000006</v>
      </c>
      <c r="K197" s="371">
        <v>0.51</v>
      </c>
      <c r="L197" s="77">
        <v>6.75</v>
      </c>
      <c r="N197" s="365">
        <f t="shared" si="73"/>
        <v>83.800000000000011</v>
      </c>
      <c r="O197" s="343">
        <f t="shared" si="74"/>
        <v>76.540000000000006</v>
      </c>
      <c r="P197" s="195">
        <v>7</v>
      </c>
      <c r="Q197" s="326" t="str">
        <f>IFERROR(VLOOKUP($G197,主力整理!$A$2:$G$2301,6,0),"0")</f>
        <v>0</v>
      </c>
      <c r="T197" s="339">
        <f t="shared" si="75"/>
        <v>7</v>
      </c>
      <c r="V197" s="371">
        <v>0</v>
      </c>
      <c r="W197" s="35">
        <v>1.5</v>
      </c>
      <c r="X197" s="59">
        <v>2.04</v>
      </c>
      <c r="Y197" s="37" t="str">
        <f>RTD("money.excel",,"4555","Price")</f>
        <v>無資料</v>
      </c>
      <c r="Z197" s="69"/>
      <c r="AA197" s="16" t="e">
        <f t="shared" si="76"/>
        <v>#VALUE!</v>
      </c>
      <c r="AB197" s="3" t="e">
        <f t="shared" si="77"/>
        <v>#VALUE!</v>
      </c>
      <c r="AC197" s="177" t="s">
        <v>2648</v>
      </c>
      <c r="AD197" s="23" t="s">
        <v>1066</v>
      </c>
      <c r="AG197" s="34">
        <f t="shared" si="78"/>
        <v>0</v>
      </c>
      <c r="AH197" s="63" t="s">
        <v>3024</v>
      </c>
      <c r="AI197" s="131"/>
      <c r="AK197" s="66">
        <f t="shared" si="71"/>
        <v>0</v>
      </c>
      <c r="AL197" s="174">
        <f t="shared" si="72"/>
        <v>0</v>
      </c>
      <c r="AM197" s="346">
        <f>RTD("money.excel",,$G197,"PredictVolume")</f>
        <v>0</v>
      </c>
      <c r="AN197" s="272">
        <f>RTD("money.excel",,$G197,"CumulativeVolume")</f>
        <v>0</v>
      </c>
      <c r="AO197" s="284"/>
    </row>
    <row r="198" spans="1:41">
      <c r="A198" s="135" t="s">
        <v>4760</v>
      </c>
      <c r="B198" s="85">
        <v>-6</v>
      </c>
      <c r="C198" s="85">
        <v>-29</v>
      </c>
      <c r="D198" s="84">
        <v>18</v>
      </c>
      <c r="E198" s="85">
        <v>-37</v>
      </c>
      <c r="F198" s="59">
        <v>18.440000000000001</v>
      </c>
      <c r="G198" s="85">
        <v>4560</v>
      </c>
      <c r="H198" s="4" t="s">
        <v>544</v>
      </c>
      <c r="I198" s="23" t="s">
        <v>1068</v>
      </c>
      <c r="J198" s="371">
        <v>83.41</v>
      </c>
      <c r="K198" s="371">
        <v>83.33</v>
      </c>
      <c r="L198" s="77">
        <v>1.59</v>
      </c>
      <c r="N198" s="365">
        <f t="shared" si="73"/>
        <v>168.33</v>
      </c>
      <c r="O198" s="343">
        <f t="shared" si="74"/>
        <v>83.41</v>
      </c>
      <c r="P198" s="195">
        <v>3</v>
      </c>
      <c r="Q198" s="326" t="str">
        <f>IFERROR(VLOOKUP($G198,主力整理!$A$2:$G$2301,6,0),"0")</f>
        <v>0</v>
      </c>
      <c r="T198" s="339">
        <f t="shared" si="75"/>
        <v>3</v>
      </c>
      <c r="V198" s="371">
        <v>40.49</v>
      </c>
      <c r="W198" s="69">
        <v>3.99</v>
      </c>
      <c r="X198" s="59">
        <v>1.1200000000000001</v>
      </c>
      <c r="Y198" s="14" t="str">
        <f>RTD("money.excel",,"4560","Price")</f>
        <v>無資料</v>
      </c>
      <c r="Z198" s="69"/>
      <c r="AA198" s="16" t="e">
        <f t="shared" si="76"/>
        <v>#VALUE!</v>
      </c>
      <c r="AB198" s="3" t="e">
        <f t="shared" si="77"/>
        <v>#VALUE!</v>
      </c>
      <c r="AC198" s="177" t="s">
        <v>2929</v>
      </c>
      <c r="AD198" s="23" t="s">
        <v>1068</v>
      </c>
      <c r="AG198" s="34">
        <f t="shared" si="78"/>
        <v>0</v>
      </c>
      <c r="AH198" s="63" t="s">
        <v>4310</v>
      </c>
      <c r="AI198" s="131"/>
      <c r="AK198" s="66">
        <f t="shared" si="71"/>
        <v>0</v>
      </c>
      <c r="AL198" s="174">
        <f t="shared" si="72"/>
        <v>0</v>
      </c>
      <c r="AM198" s="346">
        <f>RTD("money.excel",,$G198,"PredictVolume")</f>
        <v>0</v>
      </c>
      <c r="AN198" s="272">
        <f>RTD("money.excel",,$G198,"CumulativeVolume")</f>
        <v>0</v>
      </c>
      <c r="AO198" s="284"/>
    </row>
    <row r="199" spans="1:41">
      <c r="A199" s="151" t="s">
        <v>3377</v>
      </c>
      <c r="B199" s="84">
        <v>68</v>
      </c>
      <c r="C199" s="84">
        <v>2</v>
      </c>
      <c r="D199" s="85">
        <v>-32</v>
      </c>
      <c r="E199" s="84">
        <v>379</v>
      </c>
      <c r="F199" s="7">
        <v>8.18</v>
      </c>
      <c r="G199" s="85">
        <v>4561</v>
      </c>
      <c r="H199" s="4" t="s">
        <v>544</v>
      </c>
      <c r="I199" s="17" t="s">
        <v>1027</v>
      </c>
      <c r="J199" s="371">
        <v>55.1</v>
      </c>
      <c r="K199" s="77">
        <v>0.09</v>
      </c>
      <c r="L199" s="371">
        <v>4.32</v>
      </c>
      <c r="N199" s="365">
        <f t="shared" si="73"/>
        <v>59.510000000000005</v>
      </c>
      <c r="O199" s="343">
        <f t="shared" si="74"/>
        <v>55.1</v>
      </c>
      <c r="P199" s="195">
        <v>1</v>
      </c>
      <c r="Q199" s="326" t="str">
        <f>IFERROR(VLOOKUP($G199,主力整理!$A$2:$G$2301,6,0),"0")</f>
        <v>0</v>
      </c>
      <c r="T199" s="339">
        <f t="shared" si="75"/>
        <v>1</v>
      </c>
      <c r="V199" s="371">
        <v>0</v>
      </c>
      <c r="W199" s="35">
        <v>0.9</v>
      </c>
      <c r="X199" s="59">
        <v>1.46</v>
      </c>
      <c r="Y199" s="37" t="str">
        <f>RTD("money.excel",,"4561","Price")</f>
        <v>無資料</v>
      </c>
      <c r="Z199" s="69"/>
      <c r="AA199" s="16" t="e">
        <f t="shared" si="76"/>
        <v>#VALUE!</v>
      </c>
      <c r="AB199" s="3" t="e">
        <f t="shared" si="77"/>
        <v>#VALUE!</v>
      </c>
      <c r="AC199" s="177" t="s">
        <v>2648</v>
      </c>
      <c r="AD199" s="17" t="s">
        <v>1027</v>
      </c>
      <c r="AG199" s="34">
        <f t="shared" si="78"/>
        <v>0</v>
      </c>
      <c r="AH199" s="44" t="s">
        <v>3951</v>
      </c>
      <c r="AI199" s="128"/>
      <c r="AK199" s="66">
        <f t="shared" si="71"/>
        <v>0</v>
      </c>
      <c r="AL199" s="174">
        <f t="shared" si="72"/>
        <v>0</v>
      </c>
      <c r="AM199" s="346">
        <f>RTD("money.excel",,$G199,"PredictVolume")</f>
        <v>0</v>
      </c>
      <c r="AN199" s="272">
        <f>RTD("money.excel",,$G199,"CumulativeVolume")</f>
        <v>0</v>
      </c>
      <c r="AO199" s="34"/>
    </row>
    <row r="200" spans="1:41">
      <c r="A200" s="151" t="s">
        <v>6674</v>
      </c>
      <c r="B200" s="84">
        <v>0</v>
      </c>
      <c r="C200" s="84">
        <v>6</v>
      </c>
      <c r="D200" s="85">
        <v>-3</v>
      </c>
      <c r="E200" s="84">
        <v>19</v>
      </c>
      <c r="F200" s="7">
        <v>-11.72</v>
      </c>
      <c r="G200" s="85">
        <v>4562</v>
      </c>
      <c r="H200" s="4" t="s">
        <v>544</v>
      </c>
      <c r="I200" s="23" t="s">
        <v>1069</v>
      </c>
      <c r="J200" s="371">
        <v>61.85</v>
      </c>
      <c r="K200" s="371">
        <v>1.62</v>
      </c>
      <c r="L200" s="371">
        <v>4.0599999999999996</v>
      </c>
      <c r="M200" s="371">
        <v>30.76</v>
      </c>
      <c r="N200" s="365">
        <f t="shared" si="73"/>
        <v>98.29</v>
      </c>
      <c r="O200" s="369">
        <f t="shared" si="74"/>
        <v>92.61</v>
      </c>
      <c r="P200" s="195">
        <v>0</v>
      </c>
      <c r="Q200" s="326" t="str">
        <f>IFERROR(VLOOKUP($G200,主力整理!$A$2:$G$2301,6,0),"0")</f>
        <v>0</v>
      </c>
      <c r="R200" s="111">
        <v>0</v>
      </c>
      <c r="S200" s="51">
        <v>0</v>
      </c>
      <c r="T200" s="339">
        <f t="shared" si="75"/>
        <v>0</v>
      </c>
      <c r="U200" s="329" t="s">
        <v>6539</v>
      </c>
      <c r="V200" s="371">
        <v>0.11</v>
      </c>
      <c r="W200" s="35">
        <v>0</v>
      </c>
      <c r="X200" s="59">
        <v>-2.2400000000000002</v>
      </c>
      <c r="Y200" s="37" t="str">
        <f>RTD("money.excel",,"4562","Price")</f>
        <v>無資料</v>
      </c>
      <c r="Z200" s="69"/>
      <c r="AA200" s="16" t="e">
        <f t="shared" si="76"/>
        <v>#VALUE!</v>
      </c>
      <c r="AB200" s="3" t="e">
        <f t="shared" si="77"/>
        <v>#VALUE!</v>
      </c>
      <c r="AD200" s="23" t="s">
        <v>1069</v>
      </c>
      <c r="AG200" s="34">
        <f t="shared" si="78"/>
        <v>0</v>
      </c>
      <c r="AH200" s="44" t="s">
        <v>4311</v>
      </c>
      <c r="AI200" s="131"/>
      <c r="AK200" s="66">
        <f t="shared" si="71"/>
        <v>0</v>
      </c>
      <c r="AL200" s="174">
        <f t="shared" si="72"/>
        <v>0</v>
      </c>
      <c r="AM200" s="346">
        <f>RTD("money.excel",,$G200,"PredictVolume")</f>
        <v>0</v>
      </c>
      <c r="AN200" s="272">
        <f>RTD("money.excel",,$G200,"CumulativeVolume")</f>
        <v>0</v>
      </c>
      <c r="AO200" s="284"/>
    </row>
    <row r="201" spans="1:41">
      <c r="A201" s="151" t="s">
        <v>4671</v>
      </c>
      <c r="B201" s="85">
        <v>-288</v>
      </c>
      <c r="C201" s="85">
        <v>-184</v>
      </c>
      <c r="D201" s="84">
        <v>35</v>
      </c>
      <c r="E201" s="85">
        <v>-25</v>
      </c>
      <c r="F201" s="7">
        <v>-10.09</v>
      </c>
      <c r="G201" s="85">
        <v>4563</v>
      </c>
      <c r="H201" s="4" t="s">
        <v>544</v>
      </c>
      <c r="I201" s="17" t="s">
        <v>1028</v>
      </c>
      <c r="J201" s="371">
        <v>63.19</v>
      </c>
      <c r="K201" s="77">
        <v>3.64</v>
      </c>
      <c r="L201" s="77">
        <v>1.68</v>
      </c>
      <c r="N201" s="365">
        <f t="shared" si="73"/>
        <v>68.510000000000005</v>
      </c>
      <c r="O201" s="343">
        <f t="shared" si="74"/>
        <v>63.19</v>
      </c>
      <c r="P201" s="195">
        <v>2</v>
      </c>
      <c r="Q201" s="326" t="str">
        <f>IFERROR(VLOOKUP($G201,主力整理!$A$2:$G$2301,6,0),"0")</f>
        <v>0</v>
      </c>
      <c r="T201" s="339">
        <f t="shared" si="75"/>
        <v>2</v>
      </c>
      <c r="V201" s="371">
        <v>0</v>
      </c>
      <c r="W201" s="35">
        <v>0</v>
      </c>
      <c r="X201" s="59">
        <v>-6.78</v>
      </c>
      <c r="Y201" s="37" t="str">
        <f>RTD("money.excel",,"4563","Price")</f>
        <v>無資料</v>
      </c>
      <c r="Z201" s="69"/>
      <c r="AA201" s="16" t="e">
        <f t="shared" si="76"/>
        <v>#VALUE!</v>
      </c>
      <c r="AB201" s="3" t="e">
        <f t="shared" si="77"/>
        <v>#VALUE!</v>
      </c>
      <c r="AC201" s="177" t="s">
        <v>2648</v>
      </c>
      <c r="AD201" s="17" t="s">
        <v>1028</v>
      </c>
      <c r="AG201" s="34">
        <f t="shared" si="78"/>
        <v>0</v>
      </c>
      <c r="AH201" s="44" t="s">
        <v>2894</v>
      </c>
      <c r="AI201" s="131"/>
      <c r="AK201" s="66">
        <f t="shared" si="71"/>
        <v>0</v>
      </c>
      <c r="AL201" s="174">
        <f t="shared" si="72"/>
        <v>0</v>
      </c>
      <c r="AM201" s="346">
        <f>RTD("money.excel",,$G201,"PredictVolume")</f>
        <v>0</v>
      </c>
      <c r="AN201" s="272">
        <f>RTD("money.excel",,$G201,"CumulativeVolume")</f>
        <v>0</v>
      </c>
      <c r="AO201" s="284"/>
    </row>
    <row r="202" spans="1:41">
      <c r="A202" s="135" t="s">
        <v>2650</v>
      </c>
      <c r="B202" s="96">
        <v>-53</v>
      </c>
      <c r="C202" s="96">
        <v>-48</v>
      </c>
      <c r="D202" s="96">
        <v>1</v>
      </c>
      <c r="E202" s="96">
        <v>75</v>
      </c>
      <c r="F202" s="59">
        <v>19.59</v>
      </c>
      <c r="G202" s="85">
        <v>4564</v>
      </c>
      <c r="H202" s="4" t="s">
        <v>544</v>
      </c>
      <c r="I202" s="23" t="s">
        <v>4819</v>
      </c>
      <c r="J202" s="77">
        <v>41.4</v>
      </c>
      <c r="K202" s="77">
        <v>1.73</v>
      </c>
      <c r="L202" s="77">
        <v>6.65</v>
      </c>
      <c r="N202" s="365">
        <f t="shared" si="73"/>
        <v>49.779999999999994</v>
      </c>
      <c r="O202" s="343">
        <f t="shared" si="74"/>
        <v>41.4</v>
      </c>
      <c r="P202" s="195" t="s">
        <v>5554</v>
      </c>
      <c r="Q202" s="326">
        <f>IFERROR(VLOOKUP($G202,主力整理!$A$2:$G$2301,6,0),"0")</f>
        <v>1</v>
      </c>
      <c r="T202" s="339">
        <f t="shared" si="75"/>
        <v>1</v>
      </c>
      <c r="V202" s="371">
        <v>0.01</v>
      </c>
      <c r="W202" s="35">
        <v>1.3</v>
      </c>
      <c r="X202" s="100">
        <v>1.65</v>
      </c>
      <c r="Y202" s="14" t="str">
        <f>RTD("money.excel",,"4564","Price")</f>
        <v>無資料</v>
      </c>
      <c r="Z202" s="69"/>
      <c r="AA202" s="16" t="e">
        <f t="shared" si="76"/>
        <v>#VALUE!</v>
      </c>
      <c r="AB202" s="3" t="e">
        <f t="shared" si="77"/>
        <v>#VALUE!</v>
      </c>
      <c r="AD202" s="23" t="s">
        <v>4819</v>
      </c>
      <c r="AG202" s="34">
        <f t="shared" si="78"/>
        <v>0</v>
      </c>
      <c r="AH202" s="63" t="s">
        <v>4820</v>
      </c>
      <c r="AI202" s="131"/>
      <c r="AK202" s="66">
        <f t="shared" si="71"/>
        <v>0</v>
      </c>
      <c r="AL202" s="174">
        <f t="shared" si="72"/>
        <v>0</v>
      </c>
      <c r="AM202" s="346">
        <f>RTD("money.excel",,$G202,"PredictVolume")</f>
        <v>0</v>
      </c>
      <c r="AN202" s="272">
        <f>RTD("money.excel",,$G202,"CumulativeVolume")</f>
        <v>0</v>
      </c>
      <c r="AO202" s="284"/>
    </row>
    <row r="203" spans="1:41">
      <c r="A203" s="151" t="s">
        <v>3634</v>
      </c>
      <c r="B203" s="84">
        <v>10</v>
      </c>
      <c r="C203" s="84">
        <v>13</v>
      </c>
      <c r="D203" s="84">
        <v>21</v>
      </c>
      <c r="E203" s="85">
        <v>-24</v>
      </c>
      <c r="F203" s="7">
        <v>5.53</v>
      </c>
      <c r="G203" s="85">
        <v>4566</v>
      </c>
      <c r="H203" s="4" t="s">
        <v>544</v>
      </c>
      <c r="I203" s="23" t="s">
        <v>1747</v>
      </c>
      <c r="J203" s="371">
        <v>63.41</v>
      </c>
      <c r="K203" s="77">
        <v>3.95</v>
      </c>
      <c r="L203" s="371">
        <v>5.33</v>
      </c>
      <c r="N203" s="365">
        <f t="shared" si="73"/>
        <v>72.69</v>
      </c>
      <c r="O203" s="343">
        <f t="shared" si="74"/>
        <v>63.41</v>
      </c>
      <c r="P203" s="195" t="s">
        <v>5554</v>
      </c>
      <c r="Q203" s="326" t="str">
        <f>IFERROR(VLOOKUP($G203,主力整理!$A$2:$G$2301,6,0),"0")</f>
        <v>0</v>
      </c>
      <c r="T203" s="339">
        <f t="shared" si="75"/>
        <v>0</v>
      </c>
      <c r="V203" s="371">
        <v>0.15</v>
      </c>
      <c r="W203" s="35">
        <v>1.2</v>
      </c>
      <c r="X203" s="100">
        <v>1.49</v>
      </c>
      <c r="Y203" s="37" t="str">
        <f>RTD("money.excel",,"4566","Price")</f>
        <v>無資料</v>
      </c>
      <c r="Z203" s="69"/>
      <c r="AA203" s="16" t="e">
        <f t="shared" si="76"/>
        <v>#VALUE!</v>
      </c>
      <c r="AB203" s="3" t="e">
        <f t="shared" si="77"/>
        <v>#VALUE!</v>
      </c>
      <c r="AC203" s="177" t="s">
        <v>2648</v>
      </c>
      <c r="AD203" s="23" t="s">
        <v>1747</v>
      </c>
      <c r="AG203" s="34">
        <f t="shared" si="78"/>
        <v>0</v>
      </c>
      <c r="AH203" s="44" t="s">
        <v>4307</v>
      </c>
      <c r="AI203" s="131"/>
      <c r="AK203" s="66">
        <f t="shared" si="71"/>
        <v>0</v>
      </c>
      <c r="AL203" s="174">
        <f t="shared" si="72"/>
        <v>0</v>
      </c>
      <c r="AM203" s="346">
        <f>RTD("money.excel",,$G203,"PredictVolume")</f>
        <v>0</v>
      </c>
      <c r="AN203" s="272">
        <f>RTD("money.excel",,$G203,"CumulativeVolume")</f>
        <v>0</v>
      </c>
      <c r="AO203" s="284"/>
    </row>
    <row r="204" spans="1:41">
      <c r="A204" s="135" t="s">
        <v>4690</v>
      </c>
      <c r="B204" s="84">
        <v>7</v>
      </c>
      <c r="C204" s="84">
        <v>33</v>
      </c>
      <c r="D204" s="84">
        <v>88</v>
      </c>
      <c r="E204" s="84">
        <v>99</v>
      </c>
      <c r="F204" s="59">
        <v>16.82</v>
      </c>
      <c r="G204" s="85">
        <v>4568</v>
      </c>
      <c r="H204" s="4" t="s">
        <v>544</v>
      </c>
      <c r="I204" s="17" t="s">
        <v>1744</v>
      </c>
      <c r="J204" s="77">
        <v>58.41</v>
      </c>
      <c r="K204" s="77">
        <v>6.63</v>
      </c>
      <c r="L204" s="77">
        <v>5.01</v>
      </c>
      <c r="N204" s="365">
        <f t="shared" si="73"/>
        <v>70.05</v>
      </c>
      <c r="O204" s="343">
        <f t="shared" si="74"/>
        <v>58.41</v>
      </c>
      <c r="P204" s="195" t="s">
        <v>5554</v>
      </c>
      <c r="Q204" s="326" t="str">
        <f>IFERROR(VLOOKUP($G204,主力整理!$A$2:$G$2301,6,0),"0")</f>
        <v>0</v>
      </c>
      <c r="T204" s="339">
        <f t="shared" si="75"/>
        <v>0</v>
      </c>
      <c r="V204" s="371">
        <v>0</v>
      </c>
      <c r="W204" s="69">
        <v>4</v>
      </c>
      <c r="X204" s="59">
        <v>4.93</v>
      </c>
      <c r="Y204" s="37" t="str">
        <f>RTD("money.excel",,"4568","Price")</f>
        <v>無資料</v>
      </c>
      <c r="Z204" s="69"/>
      <c r="AA204" s="16" t="e">
        <f t="shared" si="76"/>
        <v>#VALUE!</v>
      </c>
      <c r="AB204" s="3" t="e">
        <f t="shared" si="77"/>
        <v>#VALUE!</v>
      </c>
      <c r="AC204" s="177" t="s">
        <v>2929</v>
      </c>
      <c r="AD204" s="17" t="s">
        <v>1744</v>
      </c>
      <c r="AG204" s="34">
        <f t="shared" si="78"/>
        <v>0</v>
      </c>
      <c r="AH204" s="63" t="s">
        <v>3102</v>
      </c>
      <c r="AI204" s="131"/>
      <c r="AK204" s="66">
        <f t="shared" si="71"/>
        <v>0</v>
      </c>
      <c r="AL204" s="174">
        <f t="shared" si="72"/>
        <v>0</v>
      </c>
      <c r="AM204" s="346">
        <f>RTD("money.excel",,$G204,"PredictVolume")</f>
        <v>0</v>
      </c>
      <c r="AN204" s="272">
        <f>RTD("money.excel",,$G204,"CumulativeVolume")</f>
        <v>0</v>
      </c>
      <c r="AO204" s="284"/>
    </row>
    <row r="205" spans="1:41">
      <c r="A205" s="135" t="s">
        <v>6447</v>
      </c>
      <c r="B205" s="84">
        <v>76</v>
      </c>
      <c r="C205" s="84">
        <v>70</v>
      </c>
      <c r="D205" s="84">
        <v>7</v>
      </c>
      <c r="E205" s="85">
        <v>-14</v>
      </c>
      <c r="F205" s="59">
        <v>17.43</v>
      </c>
      <c r="G205" s="85">
        <v>4571</v>
      </c>
      <c r="H205" s="4" t="s">
        <v>544</v>
      </c>
      <c r="I205" s="23" t="s">
        <v>2599</v>
      </c>
      <c r="J205" s="371">
        <v>55.59</v>
      </c>
      <c r="K205" s="77">
        <v>66.77</v>
      </c>
      <c r="L205" s="371">
        <v>5.78</v>
      </c>
      <c r="N205" s="365">
        <f t="shared" si="73"/>
        <v>128.13999999999999</v>
      </c>
      <c r="O205" s="343">
        <f t="shared" si="74"/>
        <v>55.59</v>
      </c>
      <c r="P205" s="195">
        <v>5</v>
      </c>
      <c r="Q205" s="326" t="str">
        <f>IFERROR(VLOOKUP($G205,主力整理!$A$2:$G$2301,6,0),"0")</f>
        <v>0</v>
      </c>
      <c r="R205" s="111">
        <v>8</v>
      </c>
      <c r="S205" s="51">
        <v>0</v>
      </c>
      <c r="T205" s="339">
        <f t="shared" si="75"/>
        <v>13</v>
      </c>
      <c r="V205" s="371">
        <v>0.39</v>
      </c>
      <c r="W205" s="69">
        <v>3.6</v>
      </c>
      <c r="X205" s="59">
        <v>9.1199999999999992</v>
      </c>
      <c r="Y205" s="14" t="str">
        <f>RTD("money.excel",,"4571","Price")</f>
        <v>無資料</v>
      </c>
      <c r="Z205" s="69"/>
      <c r="AA205" s="16" t="e">
        <f t="shared" si="76"/>
        <v>#VALUE!</v>
      </c>
      <c r="AB205" s="3" t="e">
        <f t="shared" si="77"/>
        <v>#VALUE!</v>
      </c>
      <c r="AC205" s="177" t="s">
        <v>2929</v>
      </c>
      <c r="AD205" s="23" t="s">
        <v>2599</v>
      </c>
      <c r="AG205" s="34">
        <f t="shared" si="78"/>
        <v>0</v>
      </c>
      <c r="AH205" s="63" t="s">
        <v>3112</v>
      </c>
      <c r="AI205" s="131"/>
      <c r="AK205" s="66">
        <f t="shared" si="71"/>
        <v>0</v>
      </c>
      <c r="AL205" s="174">
        <f t="shared" si="72"/>
        <v>0</v>
      </c>
      <c r="AM205" s="346">
        <f>RTD("money.excel",,$G205,"PredictVolume")</f>
        <v>0</v>
      </c>
      <c r="AN205" s="272">
        <f>RTD("money.excel",,$G205,"CumulativeVolume")</f>
        <v>0</v>
      </c>
      <c r="AO205" s="284"/>
    </row>
    <row r="206" spans="1:41">
      <c r="A206" s="135" t="s">
        <v>2227</v>
      </c>
      <c r="B206" s="85">
        <v>-83</v>
      </c>
      <c r="C206" s="85">
        <v>-80</v>
      </c>
      <c r="D206" s="85">
        <v>-32</v>
      </c>
      <c r="E206" s="85">
        <v>-67</v>
      </c>
      <c r="F206" s="59">
        <v>15.32</v>
      </c>
      <c r="G206" s="85">
        <v>4572</v>
      </c>
      <c r="H206" s="4" t="s">
        <v>544</v>
      </c>
      <c r="I206" s="23" t="s">
        <v>2600</v>
      </c>
      <c r="J206" s="371">
        <v>42.07</v>
      </c>
      <c r="K206" s="77">
        <v>0.42</v>
      </c>
      <c r="L206" s="77">
        <v>3.46</v>
      </c>
      <c r="N206" s="365">
        <f t="shared" si="73"/>
        <v>45.95</v>
      </c>
      <c r="O206" s="343">
        <f t="shared" si="74"/>
        <v>42.07</v>
      </c>
      <c r="P206" s="195" t="s">
        <v>5554</v>
      </c>
      <c r="Q206" s="326" t="str">
        <f>IFERROR(VLOOKUP($G206,主力整理!$A$2:$G$2301,6,0),"0")</f>
        <v>0</v>
      </c>
      <c r="T206" s="339">
        <f t="shared" si="75"/>
        <v>0</v>
      </c>
      <c r="V206" s="371">
        <v>0.04</v>
      </c>
      <c r="W206" s="69">
        <v>5</v>
      </c>
      <c r="X206" s="100">
        <v>0.92</v>
      </c>
      <c r="Y206" s="37" t="str">
        <f>RTD("money.excel",,"4572","Price")</f>
        <v>無資料</v>
      </c>
      <c r="Z206" s="69"/>
      <c r="AA206" s="16" t="e">
        <f t="shared" si="76"/>
        <v>#VALUE!</v>
      </c>
      <c r="AB206" s="3" t="e">
        <f t="shared" si="77"/>
        <v>#VALUE!</v>
      </c>
      <c r="AC206" s="177" t="s">
        <v>2700</v>
      </c>
      <c r="AD206" s="23" t="s">
        <v>2600</v>
      </c>
      <c r="AG206" s="34">
        <f t="shared" si="78"/>
        <v>0</v>
      </c>
      <c r="AH206" s="63" t="s">
        <v>4312</v>
      </c>
      <c r="AI206" s="131"/>
      <c r="AK206" s="66">
        <f t="shared" si="71"/>
        <v>0</v>
      </c>
      <c r="AL206" s="174">
        <f t="shared" si="72"/>
        <v>0</v>
      </c>
      <c r="AM206" s="346">
        <f>RTD("money.excel",,$G206,"PredictVolume")</f>
        <v>0</v>
      </c>
      <c r="AN206" s="272">
        <f>RTD("money.excel",,$G206,"CumulativeVolume")</f>
        <v>0</v>
      </c>
      <c r="AO206" s="284"/>
    </row>
    <row r="207" spans="1:41">
      <c r="A207" s="151" t="s">
        <v>2498</v>
      </c>
      <c r="B207" s="84">
        <v>283</v>
      </c>
      <c r="C207" s="84">
        <v>869</v>
      </c>
      <c r="D207" s="84">
        <v>45</v>
      </c>
      <c r="E207" s="84">
        <v>13</v>
      </c>
      <c r="F207" s="7">
        <v>7.68</v>
      </c>
      <c r="G207" s="85">
        <v>4576</v>
      </c>
      <c r="H207" s="4" t="s">
        <v>544</v>
      </c>
      <c r="I207" s="23" t="s">
        <v>2813</v>
      </c>
      <c r="J207" s="77">
        <v>63.15</v>
      </c>
      <c r="K207" s="77">
        <v>3.15</v>
      </c>
      <c r="L207" s="77">
        <v>7.56</v>
      </c>
      <c r="N207" s="365">
        <f t="shared" si="73"/>
        <v>73.86</v>
      </c>
      <c r="O207" s="343">
        <f t="shared" si="74"/>
        <v>63.15</v>
      </c>
      <c r="P207" s="195">
        <v>8</v>
      </c>
      <c r="Q207" s="326" t="str">
        <f>IFERROR(VLOOKUP($G207,主力整理!$A$2:$G$2301,6,0),"0")</f>
        <v>0</v>
      </c>
      <c r="T207" s="339">
        <f t="shared" si="75"/>
        <v>8</v>
      </c>
      <c r="V207" s="371">
        <v>0.15</v>
      </c>
      <c r="W207" s="35">
        <v>0.4</v>
      </c>
      <c r="X207" s="59">
        <v>1.1399999999999999</v>
      </c>
      <c r="Y207" s="37" t="str">
        <f>RTD("money.excel",,"4576","Price")</f>
        <v>無資料</v>
      </c>
      <c r="Z207" s="69"/>
      <c r="AA207" s="16" t="e">
        <f t="shared" si="76"/>
        <v>#VALUE!</v>
      </c>
      <c r="AB207" s="3" t="e">
        <f t="shared" si="77"/>
        <v>#VALUE!</v>
      </c>
      <c r="AC207" s="177" t="s">
        <v>2648</v>
      </c>
      <c r="AD207" s="23" t="s">
        <v>2813</v>
      </c>
      <c r="AG207" s="34">
        <f t="shared" si="78"/>
        <v>0</v>
      </c>
      <c r="AH207" s="44" t="s">
        <v>3716</v>
      </c>
      <c r="AI207" s="131"/>
      <c r="AK207" s="66">
        <f t="shared" si="71"/>
        <v>0</v>
      </c>
      <c r="AL207" s="174">
        <f t="shared" si="72"/>
        <v>0</v>
      </c>
      <c r="AM207" s="346">
        <f>RTD("money.excel",,$G207,"PredictVolume")</f>
        <v>0</v>
      </c>
      <c r="AN207" s="272">
        <f>RTD("money.excel",,$G207,"CumulativeVolume")</f>
        <v>0</v>
      </c>
      <c r="AO207" s="284"/>
    </row>
    <row r="208" spans="1:41">
      <c r="A208" s="135" t="s">
        <v>2859</v>
      </c>
      <c r="B208" s="84">
        <v>3</v>
      </c>
      <c r="C208" s="84">
        <v>6</v>
      </c>
      <c r="D208" s="84">
        <v>10</v>
      </c>
      <c r="E208" s="85">
        <v>-22</v>
      </c>
      <c r="F208" s="59">
        <v>17.88</v>
      </c>
      <c r="G208" s="85">
        <v>4580</v>
      </c>
      <c r="H208" s="4" t="s">
        <v>544</v>
      </c>
      <c r="I208" s="17" t="s">
        <v>2741</v>
      </c>
      <c r="J208" s="371">
        <v>46.86</v>
      </c>
      <c r="K208" s="77">
        <v>2.82</v>
      </c>
      <c r="L208" s="77">
        <v>1.31</v>
      </c>
      <c r="N208" s="365">
        <f t="shared" si="73"/>
        <v>50.99</v>
      </c>
      <c r="O208" s="343">
        <f t="shared" si="74"/>
        <v>46.86</v>
      </c>
      <c r="P208" s="195">
        <v>1</v>
      </c>
      <c r="Q208" s="326" t="str">
        <f>IFERROR(VLOOKUP($G208,主力整理!$A$2:$G$2301,6,0),"0")</f>
        <v>0</v>
      </c>
      <c r="T208" s="339">
        <f t="shared" si="75"/>
        <v>1</v>
      </c>
      <c r="V208" s="371">
        <v>0</v>
      </c>
      <c r="W208" s="69">
        <v>5.1100000000000003</v>
      </c>
      <c r="X208" s="100">
        <v>7.55</v>
      </c>
      <c r="Y208" s="37" t="str">
        <f>RTD("money.excel",,"4580","Price")</f>
        <v>無資料</v>
      </c>
      <c r="Z208" s="69"/>
      <c r="AA208" s="16" t="e">
        <f t="shared" si="76"/>
        <v>#VALUE!</v>
      </c>
      <c r="AB208" s="3" t="e">
        <f t="shared" si="77"/>
        <v>#VALUE!</v>
      </c>
      <c r="AC208" s="177" t="s">
        <v>2929</v>
      </c>
      <c r="AD208" s="17" t="s">
        <v>2741</v>
      </c>
      <c r="AG208" s="34">
        <f t="shared" si="78"/>
        <v>0</v>
      </c>
      <c r="AH208" s="50" t="s">
        <v>2742</v>
      </c>
      <c r="AI208" s="131"/>
      <c r="AK208" s="66">
        <f t="shared" si="71"/>
        <v>0</v>
      </c>
      <c r="AL208" s="174">
        <f t="shared" si="72"/>
        <v>0</v>
      </c>
      <c r="AM208" s="346">
        <f>RTD("money.excel",,$G208,"PredictVolume")</f>
        <v>0</v>
      </c>
      <c r="AN208" s="272">
        <f>RTD("money.excel",,$G208,"CumulativeVolume")</f>
        <v>0</v>
      </c>
      <c r="AO208" s="284"/>
    </row>
    <row r="209" spans="1:41">
      <c r="A209" s="151" t="s">
        <v>2208</v>
      </c>
      <c r="B209" s="85">
        <v>-51</v>
      </c>
      <c r="C209" s="85">
        <v>-49</v>
      </c>
      <c r="D209" s="85">
        <v>-6</v>
      </c>
      <c r="E209" s="85">
        <v>-1</v>
      </c>
      <c r="F209" s="7">
        <v>8.6199999999999992</v>
      </c>
      <c r="G209" s="85">
        <v>5288</v>
      </c>
      <c r="H209" s="4" t="s">
        <v>544</v>
      </c>
      <c r="I209" s="23" t="s">
        <v>1070</v>
      </c>
      <c r="J209" s="371">
        <v>66.569999999999993</v>
      </c>
      <c r="K209" s="371">
        <v>64.88</v>
      </c>
      <c r="L209" s="371">
        <v>3.91</v>
      </c>
      <c r="N209" s="365">
        <f t="shared" si="73"/>
        <v>135.35999999999999</v>
      </c>
      <c r="O209" s="343">
        <f t="shared" si="74"/>
        <v>66.569999999999993</v>
      </c>
      <c r="P209" s="195" t="s">
        <v>5554</v>
      </c>
      <c r="Q209" s="326" t="str">
        <f>IFERROR(VLOOKUP($G209,主力整理!$A$2:$G$2301,6,0),"0")</f>
        <v>0</v>
      </c>
      <c r="T209" s="339">
        <f t="shared" si="75"/>
        <v>0</v>
      </c>
      <c r="V209" s="371">
        <v>0.01</v>
      </c>
      <c r="W209" s="69">
        <v>4</v>
      </c>
      <c r="X209" s="100">
        <v>8.4</v>
      </c>
      <c r="Y209" s="14" t="str">
        <f>RTD("money.excel",,"5288","Price")</f>
        <v>無資料</v>
      </c>
      <c r="Z209" s="69"/>
      <c r="AA209" s="16" t="e">
        <f t="shared" si="76"/>
        <v>#VALUE!</v>
      </c>
      <c r="AB209" s="3" t="e">
        <f t="shared" si="77"/>
        <v>#VALUE!</v>
      </c>
      <c r="AC209" s="177" t="s">
        <v>2700</v>
      </c>
      <c r="AD209" s="23" t="s">
        <v>1070</v>
      </c>
      <c r="AG209" s="34">
        <f t="shared" si="78"/>
        <v>0</v>
      </c>
      <c r="AH209" s="44" t="s">
        <v>4313</v>
      </c>
      <c r="AI209" s="131"/>
      <c r="AK209" s="66">
        <f t="shared" si="71"/>
        <v>0</v>
      </c>
      <c r="AL209" s="174">
        <f t="shared" si="72"/>
        <v>0</v>
      </c>
      <c r="AM209" s="346">
        <f>RTD("money.excel",,$G209,"PredictVolume")</f>
        <v>0</v>
      </c>
      <c r="AN209" s="272">
        <f>RTD("money.excel",,$G209,"CumulativeVolume")</f>
        <v>0</v>
      </c>
      <c r="AO209" s="284"/>
    </row>
    <row r="210" spans="1:41">
      <c r="A210" s="151" t="s">
        <v>4691</v>
      </c>
      <c r="B210" s="85">
        <v>-90</v>
      </c>
      <c r="C210" s="85">
        <v>-29</v>
      </c>
      <c r="D210" s="84">
        <v>69</v>
      </c>
      <c r="E210" s="85">
        <v>-45</v>
      </c>
      <c r="F210" s="7">
        <v>1.73</v>
      </c>
      <c r="G210" s="85">
        <v>6122</v>
      </c>
      <c r="H210" s="4" t="s">
        <v>544</v>
      </c>
      <c r="I210" s="17" t="s">
        <v>1029</v>
      </c>
      <c r="J210" s="77">
        <v>23.66</v>
      </c>
      <c r="K210" s="77">
        <v>0.94</v>
      </c>
      <c r="L210" s="77">
        <v>13.4</v>
      </c>
      <c r="N210" s="365">
        <f t="shared" si="73"/>
        <v>38</v>
      </c>
      <c r="O210" s="343">
        <f t="shared" si="74"/>
        <v>23.66</v>
      </c>
      <c r="P210" s="195" t="s">
        <v>5554</v>
      </c>
      <c r="Q210" s="326" t="str">
        <f>IFERROR(VLOOKUP($G210,主力整理!$A$2:$G$2301,6,0),"0")</f>
        <v>0</v>
      </c>
      <c r="T210" s="339">
        <f t="shared" si="75"/>
        <v>0</v>
      </c>
      <c r="V210" s="371">
        <v>0</v>
      </c>
      <c r="W210" s="35">
        <v>0.3</v>
      </c>
      <c r="X210" s="100">
        <v>0.23</v>
      </c>
      <c r="Y210" s="37" t="str">
        <f>RTD("money.excel",,"6122","Price")</f>
        <v>無資料</v>
      </c>
      <c r="Z210" s="69"/>
      <c r="AA210" s="16" t="e">
        <f t="shared" si="76"/>
        <v>#VALUE!</v>
      </c>
      <c r="AB210" s="3" t="e">
        <f t="shared" si="77"/>
        <v>#VALUE!</v>
      </c>
      <c r="AD210" s="17" t="s">
        <v>1029</v>
      </c>
      <c r="AG210" s="34">
        <f t="shared" si="78"/>
        <v>0</v>
      </c>
      <c r="AH210" s="44" t="s">
        <v>3950</v>
      </c>
      <c r="AI210" s="131"/>
      <c r="AK210" s="66">
        <f t="shared" si="71"/>
        <v>0</v>
      </c>
      <c r="AL210" s="174">
        <f t="shared" si="72"/>
        <v>0</v>
      </c>
      <c r="AM210" s="346">
        <f>RTD("money.excel",,$G210,"PredictVolume")</f>
        <v>0</v>
      </c>
      <c r="AN210" s="272">
        <f>RTD("money.excel",,$G210,"CumulativeVolume")</f>
        <v>0</v>
      </c>
      <c r="AO210" s="284"/>
    </row>
    <row r="211" spans="1:41">
      <c r="A211" s="151" t="s">
        <v>4693</v>
      </c>
      <c r="B211" s="84">
        <v>69</v>
      </c>
      <c r="C211" s="84">
        <v>72</v>
      </c>
      <c r="D211" s="84">
        <v>55</v>
      </c>
      <c r="E211" s="84">
        <v>20</v>
      </c>
      <c r="F211" s="7">
        <v>-2.91</v>
      </c>
      <c r="G211" s="85">
        <v>6425</v>
      </c>
      <c r="H211" s="4" t="s">
        <v>544</v>
      </c>
      <c r="I211" s="17" t="s">
        <v>4692</v>
      </c>
      <c r="J211" s="371">
        <v>44.65</v>
      </c>
      <c r="K211" s="77">
        <v>0.97</v>
      </c>
      <c r="L211" s="77">
        <v>9.57</v>
      </c>
      <c r="N211" s="365">
        <f t="shared" si="73"/>
        <v>55.19</v>
      </c>
      <c r="O211" s="343">
        <f t="shared" si="74"/>
        <v>44.65</v>
      </c>
      <c r="P211" s="195" t="s">
        <v>5554</v>
      </c>
      <c r="Q211" s="326" t="str">
        <f>IFERROR(VLOOKUP($G211,主力整理!$A$2:$G$2301,6,0),"0")</f>
        <v>0</v>
      </c>
      <c r="T211" s="339">
        <f t="shared" si="75"/>
        <v>0</v>
      </c>
      <c r="V211" s="371">
        <v>0</v>
      </c>
      <c r="W211" s="35">
        <v>0.5</v>
      </c>
      <c r="X211" s="100">
        <v>-1.01</v>
      </c>
      <c r="Y211" s="37" t="str">
        <f>RTD("money.excel",,"6425","Price")</f>
        <v>無資料</v>
      </c>
      <c r="Z211" s="69"/>
      <c r="AA211" s="16" t="e">
        <f t="shared" si="76"/>
        <v>#VALUE!</v>
      </c>
      <c r="AB211" s="3" t="e">
        <f t="shared" si="77"/>
        <v>#VALUE!</v>
      </c>
      <c r="AD211" s="17" t="s">
        <v>4692</v>
      </c>
      <c r="AG211" s="34">
        <f t="shared" si="78"/>
        <v>0</v>
      </c>
      <c r="AH211" s="44" t="s">
        <v>5194</v>
      </c>
      <c r="AI211" s="131"/>
      <c r="AK211" s="66">
        <f t="shared" si="71"/>
        <v>0</v>
      </c>
      <c r="AL211" s="174">
        <f t="shared" si="72"/>
        <v>0</v>
      </c>
      <c r="AM211" s="346">
        <f>RTD("money.excel",,$G211,"PredictVolume")</f>
        <v>0</v>
      </c>
      <c r="AN211" s="272">
        <f>RTD("money.excel",,$G211,"CumulativeVolume")</f>
        <v>0</v>
      </c>
      <c r="AO211" s="284"/>
    </row>
    <row r="212" spans="1:41">
      <c r="A212" s="151" t="s">
        <v>2598</v>
      </c>
      <c r="B212" s="85">
        <v>-720</v>
      </c>
      <c r="C212" s="85">
        <v>-162</v>
      </c>
      <c r="D212" s="85">
        <v>-1</v>
      </c>
      <c r="E212" s="84">
        <v>117</v>
      </c>
      <c r="F212" s="7">
        <v>-1.99</v>
      </c>
      <c r="G212" s="85">
        <v>6603</v>
      </c>
      <c r="H212" s="4" t="s">
        <v>544</v>
      </c>
      <c r="I212" s="17" t="s">
        <v>1030</v>
      </c>
      <c r="J212" s="371">
        <v>42.54</v>
      </c>
      <c r="K212" s="77">
        <v>0.6</v>
      </c>
      <c r="L212" s="371">
        <v>13.79</v>
      </c>
      <c r="N212" s="365">
        <f t="shared" si="73"/>
        <v>56.93</v>
      </c>
      <c r="O212" s="343">
        <f t="shared" si="74"/>
        <v>42.54</v>
      </c>
      <c r="P212" s="195">
        <v>1</v>
      </c>
      <c r="Q212" s="326">
        <f>IFERROR(VLOOKUP($G212,主力整理!$A$2:$G$2301,6,0),"0")</f>
        <v>1</v>
      </c>
      <c r="T212" s="339">
        <f t="shared" si="75"/>
        <v>2</v>
      </c>
      <c r="V212" s="371">
        <v>0.17</v>
      </c>
      <c r="W212" s="35">
        <v>0.1</v>
      </c>
      <c r="X212" s="100">
        <v>0.08</v>
      </c>
      <c r="Y212" s="37" t="str">
        <f>RTD("money.excel",,"6603","Price")</f>
        <v>無資料</v>
      </c>
      <c r="Z212" s="69"/>
      <c r="AA212" s="16" t="e">
        <f t="shared" si="76"/>
        <v>#VALUE!</v>
      </c>
      <c r="AB212" s="3" t="e">
        <f t="shared" si="77"/>
        <v>#VALUE!</v>
      </c>
      <c r="AC212" s="177" t="s">
        <v>2648</v>
      </c>
      <c r="AD212" s="17" t="s">
        <v>1030</v>
      </c>
      <c r="AG212" s="34">
        <f t="shared" si="78"/>
        <v>0</v>
      </c>
      <c r="AH212" s="44" t="s">
        <v>3949</v>
      </c>
      <c r="AI212" s="131"/>
      <c r="AK212" s="66">
        <f t="shared" si="71"/>
        <v>0</v>
      </c>
      <c r="AL212" s="174">
        <f t="shared" si="72"/>
        <v>0</v>
      </c>
      <c r="AM212" s="346">
        <f>RTD("money.excel",,$G212,"PredictVolume")</f>
        <v>0</v>
      </c>
      <c r="AN212" s="272">
        <f>RTD("money.excel",,$G212,"CumulativeVolume")</f>
        <v>0</v>
      </c>
      <c r="AO212" s="284"/>
    </row>
    <row r="213" spans="1:41">
      <c r="A213" s="151" t="s">
        <v>2432</v>
      </c>
      <c r="B213" s="85">
        <v>-97</v>
      </c>
      <c r="C213" s="85">
        <v>-72</v>
      </c>
      <c r="D213" s="85">
        <v>-3</v>
      </c>
      <c r="E213" s="84">
        <v>2</v>
      </c>
      <c r="F213" s="7">
        <v>2.77</v>
      </c>
      <c r="G213" s="85">
        <v>6609</v>
      </c>
      <c r="H213" s="4" t="s">
        <v>544</v>
      </c>
      <c r="I213" s="17" t="s">
        <v>1031</v>
      </c>
      <c r="J213" s="371">
        <v>55.97</v>
      </c>
      <c r="K213" s="371">
        <v>52.53</v>
      </c>
      <c r="L213" s="371">
        <v>1.61</v>
      </c>
      <c r="N213" s="365">
        <f t="shared" si="73"/>
        <v>110.11</v>
      </c>
      <c r="O213" s="343">
        <f t="shared" si="74"/>
        <v>55.97</v>
      </c>
      <c r="P213" s="195">
        <v>12</v>
      </c>
      <c r="Q213" s="326" t="str">
        <f>IFERROR(VLOOKUP($G213,主力整理!$A$2:$G$2301,6,0),"0")</f>
        <v>0</v>
      </c>
      <c r="T213" s="339">
        <f t="shared" si="75"/>
        <v>12</v>
      </c>
      <c r="V213" s="371">
        <v>0.02</v>
      </c>
      <c r="W213" s="35">
        <v>0.8</v>
      </c>
      <c r="X213" s="59">
        <v>0.27</v>
      </c>
      <c r="Y213" s="14" t="str">
        <f>RTD("money.excel",,"6609","Price")</f>
        <v>無資料</v>
      </c>
      <c r="Z213" s="69"/>
      <c r="AA213" s="16" t="e">
        <f t="shared" si="76"/>
        <v>#VALUE!</v>
      </c>
      <c r="AB213" s="3" t="e">
        <f t="shared" si="77"/>
        <v>#VALUE!</v>
      </c>
      <c r="AC213" s="177" t="s">
        <v>2648</v>
      </c>
      <c r="AD213" s="17" t="s">
        <v>1031</v>
      </c>
      <c r="AG213" s="34">
        <f t="shared" si="78"/>
        <v>0</v>
      </c>
      <c r="AH213" s="44" t="s">
        <v>4547</v>
      </c>
      <c r="AI213" s="131"/>
      <c r="AK213" s="66">
        <f t="shared" si="71"/>
        <v>0</v>
      </c>
      <c r="AL213" s="174">
        <f t="shared" si="72"/>
        <v>0</v>
      </c>
      <c r="AM213" s="346">
        <f>RTD("money.excel",,$G213,"PredictVolume")</f>
        <v>0</v>
      </c>
      <c r="AN213" s="272">
        <f>RTD("money.excel",,$G213,"CumulativeVolume")</f>
        <v>0</v>
      </c>
      <c r="AO213" s="284"/>
    </row>
    <row r="214" spans="1:41" ht="15.75" customHeight="1">
      <c r="A214" s="135" t="s">
        <v>3161</v>
      </c>
      <c r="B214" s="84">
        <v>278</v>
      </c>
      <c r="C214" s="84">
        <v>332</v>
      </c>
      <c r="D214" s="85">
        <v>-19</v>
      </c>
      <c r="E214" s="84">
        <v>0</v>
      </c>
      <c r="F214" s="59">
        <v>14.53</v>
      </c>
      <c r="G214" s="85">
        <v>8027</v>
      </c>
      <c r="H214" s="4" t="s">
        <v>544</v>
      </c>
      <c r="I214" s="17" t="s">
        <v>1032</v>
      </c>
      <c r="J214" s="371">
        <v>26.29</v>
      </c>
      <c r="K214" s="77">
        <v>5.89</v>
      </c>
      <c r="L214" s="371">
        <v>45.4</v>
      </c>
      <c r="N214" s="365">
        <f t="shared" si="73"/>
        <v>77.58</v>
      </c>
      <c r="O214" s="343">
        <f t="shared" si="74"/>
        <v>26.29</v>
      </c>
      <c r="P214" s="195" t="s">
        <v>5554</v>
      </c>
      <c r="Q214" s="326" t="str">
        <f>IFERROR(VLOOKUP($G214,主力整理!$A$2:$G$2301,6,0),"0")</f>
        <v>0</v>
      </c>
      <c r="R214" s="111">
        <v>9</v>
      </c>
      <c r="S214" s="51">
        <v>1</v>
      </c>
      <c r="T214" s="339">
        <f t="shared" si="75"/>
        <v>10</v>
      </c>
      <c r="V214" s="371">
        <v>1.58</v>
      </c>
      <c r="W214" s="35">
        <v>1.19</v>
      </c>
      <c r="X214" s="100">
        <v>3.18</v>
      </c>
      <c r="Y214" s="37" t="str">
        <f>RTD("money.excel",,"8027","Price")</f>
        <v>無資料</v>
      </c>
      <c r="Z214" s="69"/>
      <c r="AA214" s="16" t="e">
        <f t="shared" si="76"/>
        <v>#VALUE!</v>
      </c>
      <c r="AB214" s="3" t="e">
        <f t="shared" si="77"/>
        <v>#VALUE!</v>
      </c>
      <c r="AC214" s="177" t="s">
        <v>2648</v>
      </c>
      <c r="AD214" s="17" t="s">
        <v>1032</v>
      </c>
      <c r="AG214" s="34">
        <f t="shared" si="78"/>
        <v>0</v>
      </c>
      <c r="AH214" s="63" t="s">
        <v>4505</v>
      </c>
      <c r="AI214" s="131"/>
      <c r="AK214" s="66">
        <f t="shared" si="71"/>
        <v>0</v>
      </c>
      <c r="AL214" s="174">
        <f t="shared" si="72"/>
        <v>0</v>
      </c>
      <c r="AM214" s="346">
        <f>RTD("money.excel",,$G214,"PredictVolume")</f>
        <v>0</v>
      </c>
      <c r="AN214" s="272">
        <f>RTD("money.excel",,$G214,"CumulativeVolume")</f>
        <v>0</v>
      </c>
      <c r="AO214" s="284"/>
    </row>
    <row r="215" spans="1:41">
      <c r="A215" s="135" t="s">
        <v>2228</v>
      </c>
      <c r="B215" s="84">
        <v>4</v>
      </c>
      <c r="C215" s="84">
        <v>16</v>
      </c>
      <c r="D215" s="85">
        <v>-13</v>
      </c>
      <c r="E215" s="84">
        <v>41</v>
      </c>
      <c r="F215" s="59">
        <v>27.4</v>
      </c>
      <c r="G215" s="85">
        <v>8083</v>
      </c>
      <c r="H215" s="55" t="s">
        <v>544</v>
      </c>
      <c r="I215" s="17" t="s">
        <v>315</v>
      </c>
      <c r="J215" s="77">
        <v>39.770000000000003</v>
      </c>
      <c r="K215" s="371">
        <v>0.94</v>
      </c>
      <c r="L215" s="371">
        <v>1.1599999999999999</v>
      </c>
      <c r="N215" s="365">
        <f t="shared" si="73"/>
        <v>41.87</v>
      </c>
      <c r="O215" s="343">
        <f t="shared" si="74"/>
        <v>39.770000000000003</v>
      </c>
      <c r="P215" s="195" t="s">
        <v>5554</v>
      </c>
      <c r="Q215" s="326" t="str">
        <f>IFERROR(VLOOKUP($G215,主力整理!$A$2:$G$2301,6,0),"0")</f>
        <v>0</v>
      </c>
      <c r="T215" s="339">
        <f t="shared" si="75"/>
        <v>0</v>
      </c>
      <c r="V215" s="371">
        <v>0</v>
      </c>
      <c r="W215" s="69">
        <v>10</v>
      </c>
      <c r="X215" s="100">
        <v>11.1</v>
      </c>
      <c r="Y215" s="37" t="str">
        <f>RTD("money.excel",,"8083","Price")</f>
        <v>無資料</v>
      </c>
      <c r="Z215" s="69"/>
      <c r="AA215" s="16" t="e">
        <f t="shared" si="76"/>
        <v>#VALUE!</v>
      </c>
      <c r="AB215" s="3" t="e">
        <f t="shared" si="77"/>
        <v>#VALUE!</v>
      </c>
      <c r="AC215" s="177" t="s">
        <v>2700</v>
      </c>
      <c r="AD215" s="17" t="s">
        <v>315</v>
      </c>
      <c r="AG215" s="34">
        <f t="shared" si="78"/>
        <v>0</v>
      </c>
      <c r="AH215" s="126" t="s">
        <v>3948</v>
      </c>
      <c r="AI215" s="131"/>
      <c r="AK215" s="66">
        <f t="shared" si="71"/>
        <v>0</v>
      </c>
      <c r="AL215" s="174">
        <f t="shared" si="72"/>
        <v>0</v>
      </c>
      <c r="AM215" s="346">
        <f>RTD("money.excel",,$G215,"PredictVolume")</f>
        <v>0</v>
      </c>
      <c r="AN215" s="272">
        <f>RTD("money.excel",,$G215,"CumulativeVolume")</f>
        <v>0</v>
      </c>
      <c r="AO215" s="284"/>
    </row>
    <row r="216" spans="1:41">
      <c r="A216" s="151" t="s">
        <v>3229</v>
      </c>
      <c r="B216" s="96">
        <v>-117</v>
      </c>
      <c r="C216" s="96">
        <v>-266</v>
      </c>
      <c r="D216" s="96">
        <v>-12</v>
      </c>
      <c r="E216" s="96">
        <v>51</v>
      </c>
      <c r="F216" s="7">
        <v>-12.41</v>
      </c>
      <c r="G216" s="85">
        <v>8107</v>
      </c>
      <c r="H216" s="4" t="s">
        <v>544</v>
      </c>
      <c r="I216" s="17" t="s">
        <v>5087</v>
      </c>
      <c r="J216" s="371">
        <v>53.89</v>
      </c>
      <c r="K216" s="77">
        <v>1.89</v>
      </c>
      <c r="L216" s="371">
        <v>23.58</v>
      </c>
      <c r="N216" s="365">
        <f t="shared" si="73"/>
        <v>79.36</v>
      </c>
      <c r="O216" s="343">
        <f t="shared" si="74"/>
        <v>53.89</v>
      </c>
      <c r="P216" s="195" t="s">
        <v>5554</v>
      </c>
      <c r="Q216" s="326" t="str">
        <f>IFERROR(VLOOKUP($G216,主力整理!$A$2:$G$2301,6,0),"0")</f>
        <v>0</v>
      </c>
      <c r="T216" s="339">
        <f t="shared" si="75"/>
        <v>0</v>
      </c>
      <c r="V216" s="371">
        <v>12.7</v>
      </c>
      <c r="W216" s="35">
        <v>7.0000000000000007E-2</v>
      </c>
      <c r="X216" s="100">
        <v>0.06</v>
      </c>
      <c r="Y216" s="14" t="str">
        <f>RTD("money.excel",,"8107","Price")</f>
        <v>無資料</v>
      </c>
      <c r="Z216" s="69"/>
      <c r="AA216" s="16" t="e">
        <f t="shared" si="76"/>
        <v>#VALUE!</v>
      </c>
      <c r="AB216" s="3" t="e">
        <f t="shared" si="77"/>
        <v>#VALUE!</v>
      </c>
      <c r="AD216" s="17" t="s">
        <v>5087</v>
      </c>
      <c r="AG216" s="34">
        <f t="shared" si="78"/>
        <v>0</v>
      </c>
      <c r="AH216" s="44" t="s">
        <v>3947</v>
      </c>
      <c r="AI216" s="131"/>
      <c r="AK216" s="66">
        <f t="shared" si="71"/>
        <v>0</v>
      </c>
      <c r="AL216" s="174">
        <f t="shared" si="72"/>
        <v>0</v>
      </c>
      <c r="AM216" s="346">
        <f>RTD("money.excel",,$G216,"PredictVolume")</f>
        <v>0</v>
      </c>
      <c r="AN216" s="272">
        <f>RTD("money.excel",,$G216,"CumulativeVolume")</f>
        <v>0</v>
      </c>
      <c r="AO216" s="284"/>
    </row>
    <row r="217" spans="1:41">
      <c r="A217" s="151" t="s">
        <v>4822</v>
      </c>
      <c r="B217" s="96">
        <v>-134</v>
      </c>
      <c r="C217" s="96">
        <v>-190</v>
      </c>
      <c r="D217" s="96">
        <v>55</v>
      </c>
      <c r="E217" s="96">
        <v>-63</v>
      </c>
      <c r="F217" s="7">
        <v>-9.52</v>
      </c>
      <c r="G217" s="85">
        <v>8222</v>
      </c>
      <c r="H217" s="4" t="s">
        <v>544</v>
      </c>
      <c r="I217" s="23" t="s">
        <v>1071</v>
      </c>
      <c r="J217" s="77">
        <v>44.79</v>
      </c>
      <c r="K217" s="77">
        <v>0.31</v>
      </c>
      <c r="L217" s="77">
        <v>6.92</v>
      </c>
      <c r="N217" s="365">
        <f t="shared" si="73"/>
        <v>52.02</v>
      </c>
      <c r="O217" s="343">
        <f t="shared" si="74"/>
        <v>44.79</v>
      </c>
      <c r="P217" s="195" t="s">
        <v>5554</v>
      </c>
      <c r="Q217" s="326" t="str">
        <f>IFERROR(VLOOKUP($G217,主力整理!$A$2:$G$2301,6,0),"0")</f>
        <v>0</v>
      </c>
      <c r="T217" s="339">
        <f t="shared" si="75"/>
        <v>0</v>
      </c>
      <c r="V217" s="371">
        <v>23.24</v>
      </c>
      <c r="W217" s="35">
        <v>0</v>
      </c>
      <c r="X217" s="100">
        <v>-0.57999999999999996</v>
      </c>
      <c r="Y217" s="37" t="str">
        <f>RTD("money.excel",,"8222","Price")</f>
        <v>無資料</v>
      </c>
      <c r="Z217" s="69"/>
      <c r="AA217" s="16" t="e">
        <f t="shared" si="76"/>
        <v>#VALUE!</v>
      </c>
      <c r="AB217" s="3" t="e">
        <f t="shared" si="77"/>
        <v>#VALUE!</v>
      </c>
      <c r="AD217" s="23" t="s">
        <v>1071</v>
      </c>
      <c r="AG217" s="34">
        <f t="shared" si="78"/>
        <v>0</v>
      </c>
      <c r="AH217" s="44" t="s">
        <v>4314</v>
      </c>
      <c r="AI217" s="131"/>
      <c r="AK217" s="66">
        <f t="shared" si="71"/>
        <v>0</v>
      </c>
      <c r="AL217" s="174">
        <f t="shared" si="72"/>
        <v>0</v>
      </c>
      <c r="AM217" s="346">
        <f>RTD("money.excel",,$G217,"PredictVolume")</f>
        <v>0</v>
      </c>
      <c r="AN217" s="272">
        <f>RTD("money.excel",,$G217,"CumulativeVolume")</f>
        <v>0</v>
      </c>
      <c r="AO217" s="284"/>
    </row>
    <row r="218" spans="1:41">
      <c r="A218" s="151" t="s">
        <v>2236</v>
      </c>
      <c r="B218" s="85">
        <v>-44</v>
      </c>
      <c r="C218" s="85">
        <v>-62</v>
      </c>
      <c r="D218" s="84">
        <v>9</v>
      </c>
      <c r="E218" s="84">
        <v>23</v>
      </c>
      <c r="F218" s="7">
        <v>4.41</v>
      </c>
      <c r="G218" s="85">
        <v>8255</v>
      </c>
      <c r="H218" s="4" t="s">
        <v>544</v>
      </c>
      <c r="I218" s="17" t="s">
        <v>296</v>
      </c>
      <c r="J218" s="371">
        <v>42.79</v>
      </c>
      <c r="K218" s="77">
        <v>3.4</v>
      </c>
      <c r="L218" s="77">
        <v>13.56</v>
      </c>
      <c r="N218" s="365">
        <f t="shared" si="73"/>
        <v>59.75</v>
      </c>
      <c r="O218" s="343">
        <f t="shared" si="74"/>
        <v>42.79</v>
      </c>
      <c r="P218" s="195">
        <v>5</v>
      </c>
      <c r="Q218" s="326">
        <f>IFERROR(VLOOKUP($G218,主力整理!$A$2:$G$2301,6,0),"0")</f>
        <v>2</v>
      </c>
      <c r="R218" s="111">
        <v>3</v>
      </c>
      <c r="T218" s="339">
        <f t="shared" si="75"/>
        <v>10</v>
      </c>
      <c r="V218" s="371">
        <v>0.13</v>
      </c>
      <c r="W218" s="69">
        <v>3</v>
      </c>
      <c r="X218" s="100">
        <v>3.09</v>
      </c>
      <c r="Y218" s="37" t="str">
        <f>RTD("money.excel",,"8255","Price")</f>
        <v>無資料</v>
      </c>
      <c r="Z218" s="69"/>
      <c r="AA218" s="16" t="e">
        <f t="shared" si="76"/>
        <v>#VALUE!</v>
      </c>
      <c r="AB218" s="3" t="e">
        <f t="shared" si="77"/>
        <v>#VALUE!</v>
      </c>
      <c r="AC218" s="177" t="s">
        <v>2929</v>
      </c>
      <c r="AD218" s="17" t="s">
        <v>296</v>
      </c>
      <c r="AG218" s="34">
        <f t="shared" si="78"/>
        <v>0</v>
      </c>
      <c r="AH218" s="125" t="s">
        <v>3721</v>
      </c>
      <c r="AI218" s="131"/>
      <c r="AK218" s="66">
        <f t="shared" si="71"/>
        <v>0</v>
      </c>
      <c r="AL218" s="174">
        <f t="shared" si="72"/>
        <v>0</v>
      </c>
      <c r="AM218" s="346">
        <f>RTD("money.excel",,$G218,"PredictVolume")</f>
        <v>0</v>
      </c>
      <c r="AN218" s="272">
        <f>RTD("money.excel",,$G218,"CumulativeVolume")</f>
        <v>0</v>
      </c>
      <c r="AO218" s="284"/>
    </row>
    <row r="219" spans="1:41">
      <c r="A219" s="151" t="s">
        <v>4657</v>
      </c>
      <c r="B219" s="96">
        <v>289</v>
      </c>
      <c r="C219" s="96">
        <v>451</v>
      </c>
      <c r="D219" s="96">
        <v>19</v>
      </c>
      <c r="E219" s="96">
        <v>91</v>
      </c>
      <c r="F219" s="7">
        <v>6.7</v>
      </c>
      <c r="G219" s="85">
        <v>8374</v>
      </c>
      <c r="H219" s="4" t="s">
        <v>544</v>
      </c>
      <c r="I219" s="23" t="s">
        <v>1072</v>
      </c>
      <c r="J219" s="77">
        <v>54.02</v>
      </c>
      <c r="K219" s="77">
        <v>4.4000000000000004</v>
      </c>
      <c r="L219" s="77">
        <v>10.24</v>
      </c>
      <c r="N219" s="365">
        <f t="shared" si="73"/>
        <v>68.66</v>
      </c>
      <c r="O219" s="343">
        <f t="shared" si="74"/>
        <v>54.02</v>
      </c>
      <c r="P219" s="195" t="s">
        <v>5554</v>
      </c>
      <c r="Q219" s="326" t="str">
        <f>IFERROR(VLOOKUP($G219,主力整理!$A$2:$G$2301,6,0),"0")</f>
        <v>0</v>
      </c>
      <c r="T219" s="339">
        <f t="shared" si="75"/>
        <v>0</v>
      </c>
      <c r="V219" s="371">
        <v>21.89</v>
      </c>
      <c r="W219" s="35">
        <v>0.3</v>
      </c>
      <c r="X219" s="100">
        <v>0.78</v>
      </c>
      <c r="Y219" s="14" t="str">
        <f>RTD("money.excel",,"8374","Price")</f>
        <v>無資料</v>
      </c>
      <c r="Z219" s="69"/>
      <c r="AA219" s="16" t="e">
        <f t="shared" si="76"/>
        <v>#VALUE!</v>
      </c>
      <c r="AB219" s="3" t="e">
        <f t="shared" si="77"/>
        <v>#VALUE!</v>
      </c>
      <c r="AD219" s="23" t="s">
        <v>1072</v>
      </c>
      <c r="AG219" s="34">
        <f t="shared" si="78"/>
        <v>0</v>
      </c>
      <c r="AH219" s="44" t="s">
        <v>4315</v>
      </c>
      <c r="AI219" s="131"/>
      <c r="AK219" s="66">
        <f t="shared" si="71"/>
        <v>0</v>
      </c>
      <c r="AL219" s="174">
        <f t="shared" si="72"/>
        <v>0</v>
      </c>
      <c r="AM219" s="346">
        <f>RTD("money.excel",,$G219,"PredictVolume")</f>
        <v>0</v>
      </c>
      <c r="AN219" s="272">
        <f>RTD("money.excel",,$G219,"CumulativeVolume")</f>
        <v>0</v>
      </c>
      <c r="AO219" s="284"/>
    </row>
    <row r="220" spans="1:41">
      <c r="A220" s="151" t="s">
        <v>2768</v>
      </c>
      <c r="B220" s="84">
        <v>8</v>
      </c>
      <c r="C220" s="85">
        <v>-5</v>
      </c>
      <c r="D220" s="85">
        <v>-15</v>
      </c>
      <c r="E220" s="85">
        <v>-26</v>
      </c>
      <c r="F220" s="7">
        <v>8.02</v>
      </c>
      <c r="G220" s="85">
        <v>8996</v>
      </c>
      <c r="H220" s="4" t="s">
        <v>544</v>
      </c>
      <c r="I220" s="23" t="s">
        <v>1073</v>
      </c>
      <c r="J220" s="371">
        <v>43.55</v>
      </c>
      <c r="K220" s="371">
        <v>3.57</v>
      </c>
      <c r="L220" s="371">
        <v>36.659999999999997</v>
      </c>
      <c r="N220" s="365">
        <f t="shared" si="73"/>
        <v>83.78</v>
      </c>
      <c r="O220" s="343">
        <f t="shared" si="74"/>
        <v>43.55</v>
      </c>
      <c r="P220" s="195">
        <v>1</v>
      </c>
      <c r="Q220" s="326" t="str">
        <f>IFERROR(VLOOKUP($G220,主力整理!$A$2:$G$2301,6,0),"0")</f>
        <v>0</v>
      </c>
      <c r="T220" s="339">
        <f t="shared" si="75"/>
        <v>1</v>
      </c>
      <c r="V220" s="371">
        <v>1.53</v>
      </c>
      <c r="W220" s="35">
        <v>1.7</v>
      </c>
      <c r="X220" s="100">
        <v>1.26</v>
      </c>
      <c r="Y220" s="37" t="str">
        <f>RTD("money.excel",,"8996","Price")</f>
        <v>無資料</v>
      </c>
      <c r="Z220" s="69"/>
      <c r="AA220" s="16" t="e">
        <f t="shared" si="76"/>
        <v>#VALUE!</v>
      </c>
      <c r="AB220" s="3" t="e">
        <f t="shared" si="77"/>
        <v>#VALUE!</v>
      </c>
      <c r="AC220" s="177" t="s">
        <v>2648</v>
      </c>
      <c r="AD220" s="23" t="s">
        <v>1073</v>
      </c>
      <c r="AG220" s="34">
        <f t="shared" si="78"/>
        <v>0</v>
      </c>
      <c r="AH220" s="44" t="s">
        <v>4958</v>
      </c>
      <c r="AI220" s="131"/>
      <c r="AK220" s="66">
        <f t="shared" si="71"/>
        <v>0</v>
      </c>
      <c r="AL220" s="174">
        <f t="shared" si="72"/>
        <v>0</v>
      </c>
      <c r="AM220" s="346">
        <f>RTD("money.excel",,$G220,"PredictVolume")</f>
        <v>0</v>
      </c>
      <c r="AN220" s="272">
        <f>RTD("money.excel",,$G220,"CumulativeVolume")</f>
        <v>0</v>
      </c>
      <c r="AO220" s="284"/>
    </row>
    <row r="221" spans="1:41">
      <c r="A221" s="151" t="s">
        <v>2547</v>
      </c>
      <c r="B221" s="85">
        <v>-27</v>
      </c>
      <c r="C221" s="85">
        <v>-36</v>
      </c>
      <c r="D221" s="85">
        <v>-28</v>
      </c>
      <c r="E221" s="84">
        <v>9</v>
      </c>
      <c r="F221" s="7">
        <v>9.76</v>
      </c>
      <c r="G221" s="85">
        <v>9951</v>
      </c>
      <c r="H221" s="4" t="s">
        <v>544</v>
      </c>
      <c r="I221" s="17" t="s">
        <v>409</v>
      </c>
      <c r="J221" s="77">
        <v>43.6</v>
      </c>
      <c r="K221" s="77">
        <v>9.99</v>
      </c>
      <c r="L221" s="77">
        <v>12.62</v>
      </c>
      <c r="N221" s="365">
        <f t="shared" si="73"/>
        <v>66.210000000000008</v>
      </c>
      <c r="O221" s="343">
        <f t="shared" si="74"/>
        <v>43.6</v>
      </c>
      <c r="P221" s="195" t="s">
        <v>5554</v>
      </c>
      <c r="Q221" s="326" t="str">
        <f>IFERROR(VLOOKUP($G221,主力整理!$A$2:$G$2301,6,0),"0")</f>
        <v>0</v>
      </c>
      <c r="T221" s="339">
        <f t="shared" si="75"/>
        <v>0</v>
      </c>
      <c r="V221" s="371">
        <v>0.01</v>
      </c>
      <c r="W221" s="69">
        <v>4.7</v>
      </c>
      <c r="X221" s="100">
        <v>6.69</v>
      </c>
      <c r="Y221" s="37" t="str">
        <f>RTD("money.excel",,"9951","Price")</f>
        <v>無資料</v>
      </c>
      <c r="Z221" s="69"/>
      <c r="AA221" s="16" t="e">
        <f t="shared" si="76"/>
        <v>#VALUE!</v>
      </c>
      <c r="AB221" s="3" t="e">
        <f t="shared" si="77"/>
        <v>#VALUE!</v>
      </c>
      <c r="AC221" s="177" t="s">
        <v>2929</v>
      </c>
      <c r="AD221" s="17" t="s">
        <v>409</v>
      </c>
      <c r="AG221" s="34">
        <f t="shared" si="78"/>
        <v>0</v>
      </c>
      <c r="AH221" s="125" t="s">
        <v>4006</v>
      </c>
      <c r="AI221" s="131"/>
      <c r="AK221" s="66">
        <f t="shared" si="71"/>
        <v>0</v>
      </c>
      <c r="AL221" s="174">
        <f t="shared" si="72"/>
        <v>0</v>
      </c>
      <c r="AM221" s="346">
        <f>RTD("money.excel",,$G221,"PredictVolume")</f>
        <v>0</v>
      </c>
      <c r="AN221" s="272">
        <f>RTD("money.excel",,$G221,"CumulativeVolume")</f>
        <v>0</v>
      </c>
      <c r="AO221" s="284"/>
    </row>
    <row r="222" spans="1:41">
      <c r="A222" s="151"/>
      <c r="B222" s="85"/>
      <c r="C222" s="85"/>
      <c r="D222" s="85"/>
      <c r="E222" s="84"/>
      <c r="F222" s="7"/>
      <c r="G222" s="85"/>
      <c r="H222" s="4"/>
      <c r="I222" s="17"/>
      <c r="J222" s="77"/>
      <c r="K222" s="77"/>
      <c r="N222" s="365"/>
      <c r="O222" s="343"/>
      <c r="P222" s="195"/>
      <c r="W222" s="69"/>
      <c r="X222" s="100"/>
      <c r="Y222" s="37"/>
      <c r="Z222" s="69"/>
      <c r="AA222" s="16"/>
      <c r="AB222" s="3"/>
      <c r="AD222" s="17"/>
      <c r="AG222" s="34"/>
      <c r="AH222" s="125"/>
      <c r="AI222" s="131"/>
      <c r="AK222" s="66"/>
      <c r="AL222" s="174"/>
      <c r="AM222" s="346"/>
      <c r="AN222" s="272"/>
      <c r="AO222" s="284"/>
    </row>
    <row r="223" spans="1:41">
      <c r="A223" s="135" t="s">
        <v>2552</v>
      </c>
      <c r="B223" s="96" t="s">
        <v>2331</v>
      </c>
      <c r="C223" s="96" t="s">
        <v>2332</v>
      </c>
      <c r="D223" s="96" t="s">
        <v>2333</v>
      </c>
      <c r="E223" s="96" t="s">
        <v>2334</v>
      </c>
      <c r="F223" s="9" t="s">
        <v>1709</v>
      </c>
      <c r="G223" s="52" t="s">
        <v>1558</v>
      </c>
      <c r="H223" s="56" t="s">
        <v>578</v>
      </c>
      <c r="I223" s="51" t="s">
        <v>545</v>
      </c>
      <c r="J223" s="364" t="s">
        <v>2189</v>
      </c>
      <c r="K223" s="364" t="s">
        <v>1820</v>
      </c>
      <c r="L223" s="364" t="s">
        <v>515</v>
      </c>
      <c r="M223" s="364" t="s">
        <v>1699</v>
      </c>
      <c r="N223" s="364" t="s">
        <v>6604</v>
      </c>
      <c r="O223" s="343" t="s">
        <v>6620</v>
      </c>
      <c r="P223" s="83" t="s">
        <v>5279</v>
      </c>
      <c r="Q223" s="326" t="s">
        <v>5514</v>
      </c>
      <c r="R223" s="31" t="s">
        <v>6596</v>
      </c>
      <c r="S223" s="51" t="s">
        <v>6597</v>
      </c>
      <c r="T223" s="338" t="s">
        <v>5627</v>
      </c>
      <c r="U223" s="330" t="s">
        <v>6537</v>
      </c>
      <c r="V223" s="377" t="s">
        <v>6616</v>
      </c>
      <c r="W223" s="11" t="s">
        <v>127</v>
      </c>
      <c r="X223" s="71" t="s">
        <v>5216</v>
      </c>
      <c r="Y223" s="29" t="s">
        <v>3</v>
      </c>
      <c r="Z223" s="18" t="s">
        <v>2113</v>
      </c>
      <c r="AA223" s="15" t="s">
        <v>8</v>
      </c>
      <c r="AB223" s="22" t="s">
        <v>4</v>
      </c>
      <c r="AC223" s="358" t="s">
        <v>211</v>
      </c>
      <c r="AD223" s="51" t="s">
        <v>545</v>
      </c>
      <c r="AE223" s="75" t="s">
        <v>2114</v>
      </c>
      <c r="AF223" s="76" t="s">
        <v>1826</v>
      </c>
      <c r="AG223" s="33" t="s">
        <v>1827</v>
      </c>
      <c r="AH223" s="44"/>
      <c r="AI223" s="131"/>
      <c r="AK223" s="9" t="s">
        <v>6666</v>
      </c>
      <c r="AL223" s="5" t="s">
        <v>6667</v>
      </c>
      <c r="AM223" s="51" t="s">
        <v>5339</v>
      </c>
      <c r="AN223" s="276" t="s">
        <v>6665</v>
      </c>
      <c r="AO223" s="284"/>
    </row>
    <row r="224" spans="1:41">
      <c r="A224" s="151" t="s">
        <v>3041</v>
      </c>
      <c r="B224" s="84">
        <v>3</v>
      </c>
      <c r="C224" s="85">
        <v>-6</v>
      </c>
      <c r="D224" s="85">
        <v>-1</v>
      </c>
      <c r="E224" s="85">
        <v>-52</v>
      </c>
      <c r="F224" s="7">
        <v>6.51</v>
      </c>
      <c r="G224" s="85">
        <v>1603</v>
      </c>
      <c r="H224" s="4" t="s">
        <v>545</v>
      </c>
      <c r="I224" s="23" t="s">
        <v>1561</v>
      </c>
      <c r="J224" s="77">
        <v>85.23</v>
      </c>
      <c r="K224" s="77">
        <v>1.62</v>
      </c>
      <c r="L224" s="77">
        <v>5.43</v>
      </c>
      <c r="N224" s="365">
        <f t="shared" ref="N224:N240" si="79">J224+K224+L224+M224</f>
        <v>92.28</v>
      </c>
      <c r="O224" s="343">
        <f t="shared" ref="O224:O240" si="80">J224+M224</f>
        <v>85.23</v>
      </c>
      <c r="P224" s="195">
        <v>1</v>
      </c>
      <c r="Q224" s="326" t="str">
        <f>IFERROR(VLOOKUP($G224,主力整理!$A$2:$G$2301,6,0),"0")</f>
        <v>0</v>
      </c>
      <c r="T224" s="339">
        <f t="shared" ref="T224:T240" si="81">SUM(P224:S224)</f>
        <v>1</v>
      </c>
      <c r="V224" s="371">
        <v>0</v>
      </c>
      <c r="W224" s="35">
        <v>0.5</v>
      </c>
      <c r="X224" s="100">
        <v>2.0499999999999998</v>
      </c>
      <c r="Y224" s="37" t="str">
        <f>RTD("money.excel",,"1603","Price")</f>
        <v>無資料</v>
      </c>
      <c r="Z224" s="69"/>
      <c r="AA224" s="16" t="e">
        <f t="shared" ref="AA224:AA240" si="82">Y224-Z224</f>
        <v>#VALUE!</v>
      </c>
      <c r="AB224" s="3" t="e">
        <f t="shared" ref="AB224:AB240" si="83">AA224/Z224</f>
        <v>#VALUE!</v>
      </c>
      <c r="AC224" s="177" t="s">
        <v>2648</v>
      </c>
      <c r="AD224" s="23" t="s">
        <v>1561</v>
      </c>
      <c r="AG224" s="34">
        <f t="shared" ref="AG224:AG240" si="84">AF224-AE224</f>
        <v>0</v>
      </c>
      <c r="AH224" s="44" t="s">
        <v>4378</v>
      </c>
      <c r="AI224" s="131"/>
      <c r="AK224" s="66">
        <f>AM224/(A224*10000)</f>
        <v>0</v>
      </c>
      <c r="AL224" s="174">
        <f>AN224/(A224*10000)</f>
        <v>0</v>
      </c>
      <c r="AM224" s="346">
        <f>RTD("money.excel",,$G224,"PredictVolume")</f>
        <v>0</v>
      </c>
      <c r="AN224" s="272">
        <f>RTD("money.excel",,$G224,"CumulativeVolume")</f>
        <v>0</v>
      </c>
      <c r="AO224" s="284"/>
    </row>
    <row r="225" spans="1:41">
      <c r="A225" s="151" t="s">
        <v>2493</v>
      </c>
      <c r="B225" s="84">
        <v>35</v>
      </c>
      <c r="C225" s="84">
        <v>51</v>
      </c>
      <c r="D225" s="85">
        <v>-3</v>
      </c>
      <c r="E225" s="84">
        <v>14</v>
      </c>
      <c r="F225" s="7">
        <v>8.9600000000000009</v>
      </c>
      <c r="G225" s="85">
        <v>1604</v>
      </c>
      <c r="H225" s="4" t="s">
        <v>545</v>
      </c>
      <c r="I225" s="23" t="s">
        <v>1562</v>
      </c>
      <c r="J225" s="77">
        <v>51.5</v>
      </c>
      <c r="K225" s="77">
        <v>10.69</v>
      </c>
      <c r="L225" s="77">
        <v>0.98</v>
      </c>
      <c r="N225" s="365">
        <f t="shared" si="79"/>
        <v>63.169999999999995</v>
      </c>
      <c r="O225" s="343">
        <f t="shared" si="80"/>
        <v>51.5</v>
      </c>
      <c r="P225" s="195">
        <v>1</v>
      </c>
      <c r="Q225" s="326">
        <v>17</v>
      </c>
      <c r="R225" s="111">
        <v>1</v>
      </c>
      <c r="S225" s="51">
        <v>3</v>
      </c>
      <c r="T225" s="339">
        <f t="shared" si="81"/>
        <v>22</v>
      </c>
      <c r="V225" s="371">
        <v>2.84</v>
      </c>
      <c r="W225" s="35">
        <v>2.5</v>
      </c>
      <c r="X225" s="100">
        <v>5.12</v>
      </c>
      <c r="Y225" s="37" t="str">
        <f>RTD("money.excel",,"1604","Price")</f>
        <v>無資料</v>
      </c>
      <c r="Z225" s="69"/>
      <c r="AA225" s="16" t="e">
        <f t="shared" si="82"/>
        <v>#VALUE!</v>
      </c>
      <c r="AB225" s="3" t="e">
        <f t="shared" si="83"/>
        <v>#VALUE!</v>
      </c>
      <c r="AC225" s="177" t="s">
        <v>2648</v>
      </c>
      <c r="AD225" s="23" t="s">
        <v>1562</v>
      </c>
      <c r="AG225" s="34">
        <f t="shared" si="84"/>
        <v>0</v>
      </c>
      <c r="AH225" s="44" t="s">
        <v>4379</v>
      </c>
      <c r="AI225" s="284"/>
      <c r="AK225" s="66">
        <f t="shared" ref="AK225:AK240" si="85">AM225/(A225*10000)</f>
        <v>0</v>
      </c>
      <c r="AL225" s="174">
        <f t="shared" ref="AL225:AL240" si="86">AN225/(A225*10000)</f>
        <v>0</v>
      </c>
      <c r="AM225" s="346">
        <f>RTD("money.excel",,$G225,"PredictVolume")</f>
        <v>0</v>
      </c>
      <c r="AN225" s="272">
        <f>RTD("money.excel",,$G225,"CumulativeVolume")</f>
        <v>0</v>
      </c>
      <c r="AO225" s="284"/>
    </row>
    <row r="226" spans="1:41">
      <c r="A226" s="151" t="s">
        <v>3629</v>
      </c>
      <c r="B226" s="84">
        <v>95</v>
      </c>
      <c r="C226" s="84">
        <v>161</v>
      </c>
      <c r="D226" s="85">
        <v>-1</v>
      </c>
      <c r="E226" s="85">
        <v>6</v>
      </c>
      <c r="F226" s="7">
        <v>6.07</v>
      </c>
      <c r="G226" s="85">
        <v>1605</v>
      </c>
      <c r="H226" s="53" t="s">
        <v>545</v>
      </c>
      <c r="I226" s="23" t="s">
        <v>217</v>
      </c>
      <c r="J226" s="77">
        <v>72.709999999999994</v>
      </c>
      <c r="K226" s="77">
        <v>28.99</v>
      </c>
      <c r="L226" s="77">
        <v>5.01</v>
      </c>
      <c r="N226" s="365">
        <f t="shared" si="79"/>
        <v>106.71</v>
      </c>
      <c r="O226" s="343">
        <f t="shared" si="80"/>
        <v>72.709999999999994</v>
      </c>
      <c r="P226" s="195">
        <v>8</v>
      </c>
      <c r="Q226" s="326">
        <f>IFERROR(VLOOKUP($G226,主力整理!$A$2:$G$2301,6,0),"0")</f>
        <v>9</v>
      </c>
      <c r="T226" s="339">
        <f t="shared" si="81"/>
        <v>17</v>
      </c>
      <c r="V226" s="371">
        <v>0.1</v>
      </c>
      <c r="W226" s="35">
        <v>0.9</v>
      </c>
      <c r="X226" s="100">
        <v>2.04</v>
      </c>
      <c r="Y226" s="37" t="str">
        <f>RTD("money.excel",,"1605","Price")</f>
        <v>無資料</v>
      </c>
      <c r="Z226" s="69"/>
      <c r="AA226" s="16" t="e">
        <f t="shared" si="82"/>
        <v>#VALUE!</v>
      </c>
      <c r="AB226" s="3" t="e">
        <f t="shared" si="83"/>
        <v>#VALUE!</v>
      </c>
      <c r="AC226" s="177" t="s">
        <v>2648</v>
      </c>
      <c r="AD226" s="23" t="s">
        <v>217</v>
      </c>
      <c r="AG226" s="34">
        <f t="shared" si="84"/>
        <v>0</v>
      </c>
      <c r="AH226" s="125" t="s">
        <v>3652</v>
      </c>
      <c r="AI226" s="131"/>
      <c r="AK226" s="66">
        <f t="shared" si="85"/>
        <v>0</v>
      </c>
      <c r="AL226" s="174">
        <f t="shared" si="86"/>
        <v>0</v>
      </c>
      <c r="AM226" s="346">
        <f>RTD("money.excel",,$G226,"PredictVolume")</f>
        <v>0</v>
      </c>
      <c r="AN226" s="272">
        <f>RTD("money.excel",,$G226,"CumulativeVolume")</f>
        <v>0</v>
      </c>
      <c r="AO226" s="284"/>
    </row>
    <row r="227" spans="1:41">
      <c r="A227" s="151" t="s">
        <v>3321</v>
      </c>
      <c r="B227" s="84">
        <v>359</v>
      </c>
      <c r="C227" s="84">
        <v>958</v>
      </c>
      <c r="D227" s="85">
        <v>-10</v>
      </c>
      <c r="E227" s="84">
        <v>41</v>
      </c>
      <c r="F227" s="7">
        <v>8.4499999999999993</v>
      </c>
      <c r="G227" s="85">
        <v>1608</v>
      </c>
      <c r="H227" s="4" t="s">
        <v>545</v>
      </c>
      <c r="I227" s="23" t="s">
        <v>1564</v>
      </c>
      <c r="J227" s="77">
        <v>62.09</v>
      </c>
      <c r="K227" s="371">
        <v>2.85</v>
      </c>
      <c r="L227" s="371">
        <v>8.6199999999999992</v>
      </c>
      <c r="N227" s="365">
        <f t="shared" si="79"/>
        <v>73.56</v>
      </c>
      <c r="O227" s="343">
        <f t="shared" si="80"/>
        <v>62.09</v>
      </c>
      <c r="P227" s="195">
        <v>1</v>
      </c>
      <c r="Q227" s="326">
        <v>9</v>
      </c>
      <c r="R227" s="111">
        <v>13</v>
      </c>
      <c r="S227" s="51">
        <v>0</v>
      </c>
      <c r="T227" s="339">
        <f t="shared" si="81"/>
        <v>23</v>
      </c>
      <c r="V227" s="371">
        <v>0.2</v>
      </c>
      <c r="W227" s="35">
        <v>0.7</v>
      </c>
      <c r="X227" s="59">
        <v>3.84</v>
      </c>
      <c r="Y227" s="37" t="str">
        <f>RTD("money.excel",,"1608","Price")</f>
        <v>無資料</v>
      </c>
      <c r="Z227" s="69"/>
      <c r="AA227" s="16" t="e">
        <f t="shared" si="82"/>
        <v>#VALUE!</v>
      </c>
      <c r="AB227" s="3" t="e">
        <f t="shared" si="83"/>
        <v>#VALUE!</v>
      </c>
      <c r="AC227" s="177" t="s">
        <v>2648</v>
      </c>
      <c r="AD227" s="23" t="s">
        <v>1564</v>
      </c>
      <c r="AG227" s="34">
        <f t="shared" si="84"/>
        <v>0</v>
      </c>
      <c r="AH227" s="44" t="s">
        <v>4380</v>
      </c>
      <c r="AI227" s="131"/>
      <c r="AK227" s="66">
        <f t="shared" si="85"/>
        <v>0</v>
      </c>
      <c r="AL227" s="174">
        <f t="shared" si="86"/>
        <v>0</v>
      </c>
      <c r="AM227" s="346">
        <f>RTD("money.excel",,$G227,"PredictVolume")</f>
        <v>0</v>
      </c>
      <c r="AN227" s="272">
        <f>RTD("money.excel",,$G227,"CumulativeVolume")</f>
        <v>0</v>
      </c>
      <c r="AO227" s="284"/>
    </row>
    <row r="228" spans="1:41">
      <c r="A228" s="151" t="s">
        <v>6435</v>
      </c>
      <c r="B228" s="84">
        <v>32</v>
      </c>
      <c r="C228" s="84">
        <v>363</v>
      </c>
      <c r="D228" s="85">
        <v>-4</v>
      </c>
      <c r="E228" s="84">
        <v>46</v>
      </c>
      <c r="F228" s="7">
        <v>5.61</v>
      </c>
      <c r="G228" s="85">
        <v>1609</v>
      </c>
      <c r="H228" s="4" t="s">
        <v>545</v>
      </c>
      <c r="I228" s="23" t="s">
        <v>1565</v>
      </c>
      <c r="J228" s="77">
        <v>29.1</v>
      </c>
      <c r="K228" s="371">
        <v>7.62</v>
      </c>
      <c r="L228" s="371">
        <v>12.72</v>
      </c>
      <c r="N228" s="365">
        <f t="shared" si="79"/>
        <v>49.44</v>
      </c>
      <c r="O228" s="343">
        <f t="shared" si="80"/>
        <v>29.1</v>
      </c>
      <c r="P228" s="195">
        <v>10</v>
      </c>
      <c r="Q228" s="326">
        <v>20</v>
      </c>
      <c r="R228" s="111">
        <v>4</v>
      </c>
      <c r="S228" s="51">
        <v>2</v>
      </c>
      <c r="T228" s="339">
        <f t="shared" si="81"/>
        <v>36</v>
      </c>
      <c r="U228" s="329" t="s">
        <v>6538</v>
      </c>
      <c r="V228" s="371">
        <v>0.72</v>
      </c>
      <c r="W228" s="35">
        <v>0.7</v>
      </c>
      <c r="X228" s="100">
        <v>1.74</v>
      </c>
      <c r="Y228" s="37" t="str">
        <f>RTD("money.excel",,"1609","Price")</f>
        <v>無資料</v>
      </c>
      <c r="Z228" s="69"/>
      <c r="AA228" s="16" t="e">
        <f t="shared" si="82"/>
        <v>#VALUE!</v>
      </c>
      <c r="AB228" s="3" t="e">
        <f t="shared" si="83"/>
        <v>#VALUE!</v>
      </c>
      <c r="AC228" s="177" t="s">
        <v>2648</v>
      </c>
      <c r="AD228" s="23" t="s">
        <v>1565</v>
      </c>
      <c r="AG228" s="34">
        <f t="shared" si="84"/>
        <v>0</v>
      </c>
      <c r="AH228" s="44" t="s">
        <v>4381</v>
      </c>
      <c r="AI228" s="131"/>
      <c r="AK228" s="66">
        <f t="shared" si="85"/>
        <v>0</v>
      </c>
      <c r="AL228" s="174">
        <f t="shared" si="86"/>
        <v>0</v>
      </c>
      <c r="AM228" s="346">
        <f>RTD("money.excel",,$G228,"PredictVolume")</f>
        <v>0</v>
      </c>
      <c r="AN228" s="272">
        <f>RTD("money.excel",,$G228,"CumulativeVolume")</f>
        <v>0</v>
      </c>
      <c r="AO228" s="284"/>
    </row>
    <row r="229" spans="1:41">
      <c r="A229" s="151" t="s">
        <v>4892</v>
      </c>
      <c r="B229" s="96">
        <v>197</v>
      </c>
      <c r="C229" s="96">
        <v>3</v>
      </c>
      <c r="D229" s="96">
        <v>5</v>
      </c>
      <c r="E229" s="96">
        <v>5</v>
      </c>
      <c r="F229" s="7">
        <v>5.37</v>
      </c>
      <c r="G229" s="85">
        <v>1611</v>
      </c>
      <c r="H229" s="4" t="s">
        <v>545</v>
      </c>
      <c r="I229" s="23" t="s">
        <v>212</v>
      </c>
      <c r="J229" s="77">
        <v>67.55</v>
      </c>
      <c r="K229" s="77">
        <v>11.46</v>
      </c>
      <c r="L229" s="77">
        <v>5.16</v>
      </c>
      <c r="N229" s="365">
        <f t="shared" si="79"/>
        <v>84.169999999999987</v>
      </c>
      <c r="O229" s="343">
        <f t="shared" si="80"/>
        <v>67.55</v>
      </c>
      <c r="P229" s="195" t="s">
        <v>5554</v>
      </c>
      <c r="Q229" s="326" t="str">
        <f>IFERROR(VLOOKUP($G229,主力整理!$A$2:$G$2301,6,0),"0")</f>
        <v>0</v>
      </c>
      <c r="T229" s="339">
        <f t="shared" si="81"/>
        <v>0</v>
      </c>
      <c r="V229" s="371">
        <v>10.45</v>
      </c>
      <c r="W229" s="35">
        <v>0.3</v>
      </c>
      <c r="X229" s="100">
        <v>0.23</v>
      </c>
      <c r="Y229" s="14" t="str">
        <f>RTD("money.excel",,"1611","Price")</f>
        <v>無資料</v>
      </c>
      <c r="Z229" s="69"/>
      <c r="AA229" s="16" t="e">
        <f t="shared" si="82"/>
        <v>#VALUE!</v>
      </c>
      <c r="AB229" s="3" t="e">
        <f t="shared" si="83"/>
        <v>#VALUE!</v>
      </c>
      <c r="AD229" s="23" t="s">
        <v>212</v>
      </c>
      <c r="AG229" s="34">
        <f t="shared" si="84"/>
        <v>0</v>
      </c>
      <c r="AH229" s="44" t="s">
        <v>4382</v>
      </c>
      <c r="AI229" s="131"/>
      <c r="AK229" s="66">
        <f t="shared" si="85"/>
        <v>0</v>
      </c>
      <c r="AL229" s="174">
        <f t="shared" si="86"/>
        <v>0</v>
      </c>
      <c r="AM229" s="346">
        <f>RTD("money.excel",,$G229,"PredictVolume")</f>
        <v>0</v>
      </c>
      <c r="AN229" s="272">
        <f>RTD("money.excel",,$G229,"CumulativeVolume")</f>
        <v>0</v>
      </c>
      <c r="AO229" s="284"/>
    </row>
    <row r="230" spans="1:41">
      <c r="A230" s="135" t="s">
        <v>2937</v>
      </c>
      <c r="B230" s="84">
        <v>245</v>
      </c>
      <c r="C230" s="84">
        <v>95</v>
      </c>
      <c r="D230" s="85">
        <v>-9</v>
      </c>
      <c r="E230" s="84">
        <v>63</v>
      </c>
      <c r="F230" s="59">
        <v>10.35</v>
      </c>
      <c r="G230" s="85">
        <v>1612</v>
      </c>
      <c r="H230" s="4" t="s">
        <v>545</v>
      </c>
      <c r="I230" s="23" t="s">
        <v>1566</v>
      </c>
      <c r="J230" s="77">
        <v>52.34</v>
      </c>
      <c r="K230" s="77">
        <v>10.9</v>
      </c>
      <c r="L230" s="371">
        <v>5.86</v>
      </c>
      <c r="N230" s="365">
        <f t="shared" si="79"/>
        <v>69.100000000000009</v>
      </c>
      <c r="O230" s="343">
        <f t="shared" si="80"/>
        <v>52.34</v>
      </c>
      <c r="P230" s="195">
        <v>1</v>
      </c>
      <c r="Q230" s="326">
        <f>IFERROR(VLOOKUP($G230,主力整理!$A$2:$G$2301,6,0),"0")</f>
        <v>1</v>
      </c>
      <c r="R230" s="111">
        <v>4</v>
      </c>
      <c r="S230" s="51">
        <v>0</v>
      </c>
      <c r="T230" s="339">
        <f t="shared" si="81"/>
        <v>6</v>
      </c>
      <c r="V230" s="371">
        <v>0.86</v>
      </c>
      <c r="W230" s="35">
        <v>1.2</v>
      </c>
      <c r="X230" s="59">
        <v>2.44</v>
      </c>
      <c r="Y230" s="37" t="str">
        <f>RTD("money.excel",,"1612","Price")</f>
        <v>無資料</v>
      </c>
      <c r="Z230" s="69"/>
      <c r="AA230" s="16" t="e">
        <f t="shared" si="82"/>
        <v>#VALUE!</v>
      </c>
      <c r="AB230" s="3" t="e">
        <f t="shared" si="83"/>
        <v>#VALUE!</v>
      </c>
      <c r="AC230" s="177" t="s">
        <v>2648</v>
      </c>
      <c r="AD230" s="23" t="s">
        <v>1566</v>
      </c>
      <c r="AG230" s="34">
        <f t="shared" si="84"/>
        <v>0</v>
      </c>
      <c r="AH230" s="63" t="s">
        <v>1686</v>
      </c>
      <c r="AI230" s="131"/>
      <c r="AK230" s="66">
        <f t="shared" si="85"/>
        <v>0</v>
      </c>
      <c r="AL230" s="174">
        <f t="shared" si="86"/>
        <v>0</v>
      </c>
      <c r="AM230" s="346">
        <f>RTD("money.excel",,$G230,"PredictVolume")</f>
        <v>0</v>
      </c>
      <c r="AN230" s="272">
        <f>RTD("money.excel",,$G230,"CumulativeVolume")</f>
        <v>0</v>
      </c>
      <c r="AO230" s="284"/>
    </row>
    <row r="231" spans="1:41">
      <c r="A231" s="151" t="s">
        <v>2594</v>
      </c>
      <c r="B231" s="84">
        <v>60</v>
      </c>
      <c r="C231" s="84">
        <v>69</v>
      </c>
      <c r="D231" s="84">
        <v>12</v>
      </c>
      <c r="E231" s="84">
        <v>20</v>
      </c>
      <c r="F231" s="7">
        <v>6.43</v>
      </c>
      <c r="G231" s="85">
        <v>1614</v>
      </c>
      <c r="H231" s="4" t="s">
        <v>545</v>
      </c>
      <c r="I231" s="23" t="s">
        <v>1567</v>
      </c>
      <c r="J231" s="77">
        <v>82.32</v>
      </c>
      <c r="K231" s="77">
        <v>2.11</v>
      </c>
      <c r="L231" s="77">
        <v>1.02</v>
      </c>
      <c r="N231" s="365">
        <f t="shared" si="79"/>
        <v>85.449999999999989</v>
      </c>
      <c r="O231" s="343">
        <f t="shared" si="80"/>
        <v>82.32</v>
      </c>
      <c r="P231" s="195" t="s">
        <v>5554</v>
      </c>
      <c r="Q231" s="326" t="str">
        <f>IFERROR(VLOOKUP($G231,主力整理!$A$2:$G$2301,6,0),"0")</f>
        <v>0</v>
      </c>
      <c r="T231" s="339">
        <f t="shared" si="81"/>
        <v>0</v>
      </c>
      <c r="V231" s="371">
        <v>0</v>
      </c>
      <c r="W231" s="35">
        <v>0.95</v>
      </c>
      <c r="X231" s="100">
        <v>1.36</v>
      </c>
      <c r="Y231" s="37" t="str">
        <f>RTD("money.excel",,"1614","Price")</f>
        <v>無資料</v>
      </c>
      <c r="Z231" s="69"/>
      <c r="AA231" s="16" t="e">
        <f t="shared" si="82"/>
        <v>#VALUE!</v>
      </c>
      <c r="AB231" s="3" t="e">
        <f t="shared" si="83"/>
        <v>#VALUE!</v>
      </c>
      <c r="AC231" s="177" t="s">
        <v>2648</v>
      </c>
      <c r="AD231" s="23" t="s">
        <v>1567</v>
      </c>
      <c r="AG231" s="34">
        <f t="shared" si="84"/>
        <v>0</v>
      </c>
      <c r="AH231" s="44" t="s">
        <v>4379</v>
      </c>
      <c r="AI231" s="131"/>
      <c r="AK231" s="66">
        <f t="shared" si="85"/>
        <v>0</v>
      </c>
      <c r="AL231" s="174">
        <f t="shared" si="86"/>
        <v>0</v>
      </c>
      <c r="AM231" s="346">
        <f>RTD("money.excel",,$G231,"PredictVolume")</f>
        <v>0</v>
      </c>
      <c r="AN231" s="272">
        <f>RTD("money.excel",,$G231,"CumulativeVolume")</f>
        <v>0</v>
      </c>
      <c r="AO231" s="284"/>
    </row>
    <row r="232" spans="1:41">
      <c r="A232" s="151" t="s">
        <v>2589</v>
      </c>
      <c r="B232" s="96">
        <v>44</v>
      </c>
      <c r="C232" s="96">
        <v>51</v>
      </c>
      <c r="D232" s="96">
        <v>-26</v>
      </c>
      <c r="E232" s="96">
        <v>48</v>
      </c>
      <c r="F232" s="59">
        <v>11.39</v>
      </c>
      <c r="G232" s="85">
        <v>1615</v>
      </c>
      <c r="H232" s="4" t="s">
        <v>545</v>
      </c>
      <c r="I232" s="23" t="s">
        <v>1568</v>
      </c>
      <c r="J232" s="77">
        <v>81.81</v>
      </c>
      <c r="K232" s="77">
        <v>0.09</v>
      </c>
      <c r="L232" s="77">
        <v>3.43</v>
      </c>
      <c r="N232" s="365">
        <f t="shared" si="79"/>
        <v>85.330000000000013</v>
      </c>
      <c r="O232" s="343">
        <f t="shared" si="80"/>
        <v>81.81</v>
      </c>
      <c r="P232" s="195">
        <v>1</v>
      </c>
      <c r="Q232" s="326" t="str">
        <f>IFERROR(VLOOKUP($G232,主力整理!$A$2:$G$2301,6,0),"0")</f>
        <v>0</v>
      </c>
      <c r="T232" s="339">
        <f t="shared" si="81"/>
        <v>1</v>
      </c>
      <c r="V232" s="371">
        <v>37.770000000000003</v>
      </c>
      <c r="W232" s="35">
        <v>2</v>
      </c>
      <c r="X232" s="100">
        <v>2.73</v>
      </c>
      <c r="Y232" s="14" t="str">
        <f>RTD("money.excel",,"1615","Price")</f>
        <v>無資料</v>
      </c>
      <c r="Z232" s="69"/>
      <c r="AA232" s="16" t="e">
        <f t="shared" si="82"/>
        <v>#VALUE!</v>
      </c>
      <c r="AB232" s="3" t="e">
        <f t="shared" si="83"/>
        <v>#VALUE!</v>
      </c>
      <c r="AC232" s="177" t="s">
        <v>2648</v>
      </c>
      <c r="AD232" s="23" t="s">
        <v>1568</v>
      </c>
      <c r="AG232" s="34">
        <f t="shared" si="84"/>
        <v>0</v>
      </c>
      <c r="AH232" s="44" t="s">
        <v>4381</v>
      </c>
      <c r="AI232" s="131"/>
      <c r="AK232" s="66">
        <f t="shared" si="85"/>
        <v>0</v>
      </c>
      <c r="AL232" s="174">
        <f t="shared" si="86"/>
        <v>0</v>
      </c>
      <c r="AM232" s="346">
        <f>RTD("money.excel",,$G232,"PredictVolume")</f>
        <v>0</v>
      </c>
      <c r="AN232" s="272">
        <f>RTD("money.excel",,$G232,"CumulativeVolume")</f>
        <v>0</v>
      </c>
      <c r="AO232" s="284"/>
    </row>
    <row r="233" spans="1:41">
      <c r="A233" s="151" t="s">
        <v>2509</v>
      </c>
      <c r="B233" s="96">
        <v>116</v>
      </c>
      <c r="C233" s="96">
        <v>40</v>
      </c>
      <c r="D233" s="96">
        <v>-29</v>
      </c>
      <c r="E233" s="96">
        <v>16</v>
      </c>
      <c r="F233" s="7">
        <v>0.94</v>
      </c>
      <c r="G233" s="85">
        <v>1616</v>
      </c>
      <c r="H233" s="4" t="s">
        <v>545</v>
      </c>
      <c r="I233" s="23" t="s">
        <v>1569</v>
      </c>
      <c r="J233" s="77">
        <v>67.05</v>
      </c>
      <c r="K233" s="77">
        <v>0.09</v>
      </c>
      <c r="L233" s="77">
        <v>0</v>
      </c>
      <c r="N233" s="365">
        <f t="shared" si="79"/>
        <v>67.14</v>
      </c>
      <c r="O233" s="343">
        <f t="shared" si="80"/>
        <v>67.05</v>
      </c>
      <c r="P233" s="195">
        <v>1</v>
      </c>
      <c r="Q233" s="326" t="str">
        <f>IFERROR(VLOOKUP($G233,主力整理!$A$2:$G$2301,6,0),"0")</f>
        <v>0</v>
      </c>
      <c r="T233" s="339">
        <f t="shared" si="81"/>
        <v>1</v>
      </c>
      <c r="V233" s="371">
        <v>30.15</v>
      </c>
      <c r="W233" s="35">
        <v>0</v>
      </c>
      <c r="X233" s="100">
        <v>0.01</v>
      </c>
      <c r="Y233" s="14" t="str">
        <f>RTD("money.excel",,"1616","Price")</f>
        <v>無資料</v>
      </c>
      <c r="Z233" s="69"/>
      <c r="AA233" s="16" t="e">
        <f t="shared" si="82"/>
        <v>#VALUE!</v>
      </c>
      <c r="AB233" s="3" t="e">
        <f t="shared" si="83"/>
        <v>#VALUE!</v>
      </c>
      <c r="AC233" s="177" t="s">
        <v>2648</v>
      </c>
      <c r="AD233" s="23" t="s">
        <v>1569</v>
      </c>
      <c r="AG233" s="34">
        <f t="shared" si="84"/>
        <v>0</v>
      </c>
      <c r="AH233" s="44" t="s">
        <v>4381</v>
      </c>
      <c r="AI233" s="131"/>
      <c r="AK233" s="66">
        <f t="shared" si="85"/>
        <v>0</v>
      </c>
      <c r="AL233" s="174">
        <f t="shared" si="86"/>
        <v>0</v>
      </c>
      <c r="AM233" s="346">
        <f>RTD("money.excel",,$G233,"PredictVolume")</f>
        <v>0</v>
      </c>
      <c r="AN233" s="272">
        <f>RTD("money.excel",,$G233,"CumulativeVolume")</f>
        <v>0</v>
      </c>
      <c r="AO233" s="284"/>
    </row>
    <row r="234" spans="1:41">
      <c r="A234" s="151" t="s">
        <v>2534</v>
      </c>
      <c r="B234" s="84">
        <v>39</v>
      </c>
      <c r="C234" s="84">
        <v>54</v>
      </c>
      <c r="D234" s="85">
        <v>-7</v>
      </c>
      <c r="E234" s="84">
        <v>20</v>
      </c>
      <c r="F234" s="7">
        <v>6.5</v>
      </c>
      <c r="G234" s="85">
        <v>1617</v>
      </c>
      <c r="H234" s="4" t="s">
        <v>545</v>
      </c>
      <c r="I234" s="23" t="s">
        <v>1570</v>
      </c>
      <c r="J234" s="77">
        <v>76.7</v>
      </c>
      <c r="K234" s="77">
        <v>21.41</v>
      </c>
      <c r="L234" s="77">
        <v>1.62</v>
      </c>
      <c r="M234" s="77">
        <v>50.48</v>
      </c>
      <c r="N234" s="77">
        <f t="shared" si="79"/>
        <v>150.21</v>
      </c>
      <c r="O234" s="369">
        <f t="shared" si="80"/>
        <v>127.18</v>
      </c>
      <c r="P234" s="195">
        <v>2</v>
      </c>
      <c r="Q234" s="326" t="str">
        <f>IFERROR(VLOOKUP($G234,主力整理!$A$2:$G$2301,6,0),"0")</f>
        <v>0</v>
      </c>
      <c r="R234" s="111">
        <v>0</v>
      </c>
      <c r="S234" s="51">
        <v>0</v>
      </c>
      <c r="T234" s="339">
        <f t="shared" si="81"/>
        <v>2</v>
      </c>
      <c r="U234" s="329" t="s">
        <v>6538</v>
      </c>
      <c r="V234" s="371">
        <v>0.03</v>
      </c>
      <c r="W234" s="35">
        <v>0.6</v>
      </c>
      <c r="X234" s="59">
        <v>1.39</v>
      </c>
      <c r="Y234" s="37" t="str">
        <f>RTD("money.excel",,"1617","Price")</f>
        <v>無資料</v>
      </c>
      <c r="Z234" s="69"/>
      <c r="AA234" s="16" t="e">
        <f t="shared" si="82"/>
        <v>#VALUE!</v>
      </c>
      <c r="AB234" s="3" t="e">
        <f t="shared" si="83"/>
        <v>#VALUE!</v>
      </c>
      <c r="AC234" s="177" t="s">
        <v>2648</v>
      </c>
      <c r="AD234" s="23" t="s">
        <v>1570</v>
      </c>
      <c r="AG234" s="34">
        <f t="shared" si="84"/>
        <v>0</v>
      </c>
      <c r="AH234" s="44" t="s">
        <v>4209</v>
      </c>
      <c r="AI234" s="131"/>
      <c r="AK234" s="66">
        <f t="shared" si="85"/>
        <v>0</v>
      </c>
      <c r="AL234" s="174">
        <f t="shared" si="86"/>
        <v>0</v>
      </c>
      <c r="AM234" s="346">
        <f>RTD("money.excel",,$G234,"PredictVolume")</f>
        <v>0</v>
      </c>
      <c r="AN234" s="272">
        <f>RTD("money.excel",,$G234,"CumulativeVolume")</f>
        <v>0</v>
      </c>
      <c r="AO234" s="284"/>
    </row>
    <row r="235" spans="1:41">
      <c r="A235" s="151" t="s">
        <v>4802</v>
      </c>
      <c r="B235" s="96">
        <v>641</v>
      </c>
      <c r="C235" s="145">
        <v>1258</v>
      </c>
      <c r="D235" s="96">
        <v>74</v>
      </c>
      <c r="E235" s="96">
        <v>185</v>
      </c>
      <c r="F235" s="7">
        <v>2.79</v>
      </c>
      <c r="G235" s="85">
        <v>1618</v>
      </c>
      <c r="H235" s="4" t="s">
        <v>545</v>
      </c>
      <c r="I235" s="23" t="s">
        <v>1571</v>
      </c>
      <c r="J235" s="77">
        <v>68.239999999999995</v>
      </c>
      <c r="K235" s="77">
        <v>1.24</v>
      </c>
      <c r="L235" s="77">
        <v>21.11</v>
      </c>
      <c r="N235" s="365">
        <f t="shared" si="79"/>
        <v>90.589999999999989</v>
      </c>
      <c r="O235" s="343">
        <f t="shared" si="80"/>
        <v>68.239999999999995</v>
      </c>
      <c r="P235" s="195">
        <v>1</v>
      </c>
      <c r="Q235" s="326" t="str">
        <f>IFERROR(VLOOKUP($G235,主力整理!$A$2:$G$2301,6,0),"0")</f>
        <v>0</v>
      </c>
      <c r="T235" s="339">
        <f t="shared" si="81"/>
        <v>1</v>
      </c>
      <c r="V235" s="371">
        <v>35.56</v>
      </c>
      <c r="W235" s="35">
        <v>0.3</v>
      </c>
      <c r="X235" s="100">
        <v>1.01</v>
      </c>
      <c r="Y235" s="14" t="str">
        <f>RTD("money.excel",,"1618","Price")</f>
        <v>無資料</v>
      </c>
      <c r="Z235" s="69"/>
      <c r="AA235" s="16" t="e">
        <f t="shared" si="82"/>
        <v>#VALUE!</v>
      </c>
      <c r="AB235" s="3" t="e">
        <f t="shared" si="83"/>
        <v>#VALUE!</v>
      </c>
      <c r="AC235" s="177" t="s">
        <v>2648</v>
      </c>
      <c r="AD235" s="23" t="s">
        <v>1571</v>
      </c>
      <c r="AG235" s="34">
        <f t="shared" si="84"/>
        <v>0</v>
      </c>
      <c r="AH235" s="44" t="s">
        <v>4381</v>
      </c>
      <c r="AI235" s="131"/>
      <c r="AK235" s="66">
        <f t="shared" si="85"/>
        <v>0</v>
      </c>
      <c r="AL235" s="174">
        <f t="shared" si="86"/>
        <v>0</v>
      </c>
      <c r="AM235" s="346">
        <f>RTD("money.excel",,$G235,"PredictVolume")</f>
        <v>0</v>
      </c>
      <c r="AN235" s="272">
        <f>RTD("money.excel",,$G235,"CumulativeVolume")</f>
        <v>0</v>
      </c>
      <c r="AO235" s="284"/>
    </row>
    <row r="236" spans="1:41">
      <c r="A236" s="151" t="s">
        <v>2878</v>
      </c>
      <c r="B236" s="85">
        <v>-26</v>
      </c>
      <c r="C236" s="85">
        <v>-15</v>
      </c>
      <c r="D236" s="85">
        <v>-49</v>
      </c>
      <c r="E236" s="84">
        <v>40</v>
      </c>
      <c r="F236" s="7">
        <v>5</v>
      </c>
      <c r="G236" s="85">
        <v>1626</v>
      </c>
      <c r="H236" s="4" t="s">
        <v>545</v>
      </c>
      <c r="I236" s="23" t="s">
        <v>1786</v>
      </c>
      <c r="J236" s="371">
        <v>73.849999999999994</v>
      </c>
      <c r="K236" s="371">
        <v>48.46</v>
      </c>
      <c r="L236" s="77">
        <v>12.64</v>
      </c>
      <c r="N236" s="365">
        <f t="shared" si="79"/>
        <v>134.94999999999999</v>
      </c>
      <c r="O236" s="343">
        <f t="shared" si="80"/>
        <v>73.849999999999994</v>
      </c>
      <c r="P236" s="195" t="s">
        <v>5554</v>
      </c>
      <c r="Q236" s="326" t="str">
        <f>IFERROR(VLOOKUP($G236,主力整理!$A$2:$G$2301,6,0),"0")</f>
        <v>0</v>
      </c>
      <c r="T236" s="339">
        <f t="shared" si="81"/>
        <v>0</v>
      </c>
      <c r="V236" s="371">
        <v>7.0000000000000007E-2</v>
      </c>
      <c r="W236" s="35">
        <v>1</v>
      </c>
      <c r="X236" s="100">
        <v>1.1299999999999999</v>
      </c>
      <c r="Y236" s="14" t="str">
        <f>RTD("money.excel",,"1626","Price")</f>
        <v>無資料</v>
      </c>
      <c r="Z236" s="69"/>
      <c r="AA236" s="16" t="e">
        <f t="shared" si="82"/>
        <v>#VALUE!</v>
      </c>
      <c r="AB236" s="3" t="e">
        <f t="shared" si="83"/>
        <v>#VALUE!</v>
      </c>
      <c r="AC236" s="177" t="s">
        <v>2648</v>
      </c>
      <c r="AD236" s="23" t="s">
        <v>1786</v>
      </c>
      <c r="AG236" s="34">
        <f t="shared" si="84"/>
        <v>0</v>
      </c>
      <c r="AH236" s="44" t="s">
        <v>4048</v>
      </c>
      <c r="AI236" s="131"/>
      <c r="AK236" s="66">
        <f t="shared" si="85"/>
        <v>0</v>
      </c>
      <c r="AL236" s="174">
        <f t="shared" si="86"/>
        <v>0</v>
      </c>
      <c r="AM236" s="346">
        <f>RTD("money.excel",,$G236,"PredictVolume")</f>
        <v>0</v>
      </c>
      <c r="AN236" s="272">
        <f>RTD("money.excel",,$G236,"CumulativeVolume")</f>
        <v>0</v>
      </c>
      <c r="AO236" s="284"/>
    </row>
    <row r="237" spans="1:41">
      <c r="A237" s="151" t="s">
        <v>2962</v>
      </c>
      <c r="B237" s="84">
        <v>550</v>
      </c>
      <c r="C237" s="84">
        <v>196</v>
      </c>
      <c r="D237" s="85">
        <v>-10</v>
      </c>
      <c r="E237" s="84">
        <v>60</v>
      </c>
      <c r="F237" s="7">
        <v>4.66</v>
      </c>
      <c r="G237" s="85">
        <v>2061</v>
      </c>
      <c r="H237" s="4" t="s">
        <v>545</v>
      </c>
      <c r="I237" s="17" t="s">
        <v>1559</v>
      </c>
      <c r="J237" s="371">
        <v>47.94</v>
      </c>
      <c r="K237" s="77">
        <v>0.47</v>
      </c>
      <c r="N237" s="365">
        <f t="shared" si="79"/>
        <v>48.41</v>
      </c>
      <c r="O237" s="343">
        <f t="shared" si="80"/>
        <v>47.94</v>
      </c>
      <c r="P237" s="195" t="s">
        <v>5554</v>
      </c>
      <c r="Q237" s="326" t="str">
        <f>IFERROR(VLOOKUP($G237,主力整理!$A$2:$G$2301,6,0),"0")</f>
        <v>0</v>
      </c>
      <c r="R237" s="111">
        <v>12</v>
      </c>
      <c r="T237" s="339">
        <f t="shared" si="81"/>
        <v>12</v>
      </c>
      <c r="W237" s="35">
        <v>0</v>
      </c>
      <c r="X237" s="100">
        <v>1.64</v>
      </c>
      <c r="Y237" s="37" t="str">
        <f>RTD("money.excel",,"2061","Price")</f>
        <v>無資料</v>
      </c>
      <c r="Z237" s="69"/>
      <c r="AA237" s="16" t="e">
        <f t="shared" si="82"/>
        <v>#VALUE!</v>
      </c>
      <c r="AB237" s="3" t="e">
        <f t="shared" si="83"/>
        <v>#VALUE!</v>
      </c>
      <c r="AD237" s="17" t="s">
        <v>1559</v>
      </c>
      <c r="AG237" s="34">
        <f t="shared" si="84"/>
        <v>0</v>
      </c>
      <c r="AH237" s="44" t="s">
        <v>4209</v>
      </c>
      <c r="AI237" s="131"/>
      <c r="AK237" s="66">
        <f t="shared" si="85"/>
        <v>0</v>
      </c>
      <c r="AL237" s="174">
        <f t="shared" si="86"/>
        <v>0</v>
      </c>
      <c r="AM237" s="346">
        <f>RTD("money.excel",,$G237,"PredictVolume")</f>
        <v>0</v>
      </c>
      <c r="AN237" s="272">
        <f>RTD("money.excel",,$G237,"CumulativeVolume")</f>
        <v>0</v>
      </c>
      <c r="AO237" s="284"/>
    </row>
    <row r="238" spans="1:41">
      <c r="A238" s="151" t="s">
        <v>2216</v>
      </c>
      <c r="B238" s="96">
        <v>-171</v>
      </c>
      <c r="C238" s="96">
        <v>-43</v>
      </c>
      <c r="D238" s="96">
        <v>-12</v>
      </c>
      <c r="E238" s="96">
        <v>-7</v>
      </c>
      <c r="F238" s="7">
        <v>-27.59</v>
      </c>
      <c r="G238" s="85">
        <v>4609</v>
      </c>
      <c r="H238" s="4" t="s">
        <v>545</v>
      </c>
      <c r="I238" s="17" t="s">
        <v>1560</v>
      </c>
      <c r="J238" s="77">
        <v>71.19</v>
      </c>
      <c r="K238" s="77">
        <v>0.02</v>
      </c>
      <c r="N238" s="365">
        <f t="shared" si="79"/>
        <v>71.209999999999994</v>
      </c>
      <c r="O238" s="343">
        <f t="shared" si="80"/>
        <v>71.19</v>
      </c>
      <c r="P238" s="195" t="s">
        <v>5554</v>
      </c>
      <c r="Q238" s="326" t="str">
        <f>IFERROR(VLOOKUP($G238,主力整理!$A$2:$G$2301,6,0),"0")</f>
        <v>0</v>
      </c>
      <c r="T238" s="339">
        <f t="shared" si="81"/>
        <v>0</v>
      </c>
      <c r="V238" s="371">
        <v>14.4</v>
      </c>
      <c r="W238" s="35">
        <v>0</v>
      </c>
      <c r="X238" s="100">
        <v>-1.06</v>
      </c>
      <c r="Y238" s="14" t="str">
        <f>RTD("money.excel",,"4609","Price")</f>
        <v>無資料</v>
      </c>
      <c r="Z238" s="69"/>
      <c r="AA238" s="16" t="e">
        <f t="shared" si="82"/>
        <v>#VALUE!</v>
      </c>
      <c r="AB238" s="3" t="e">
        <f t="shared" si="83"/>
        <v>#VALUE!</v>
      </c>
      <c r="AD238" s="17" t="s">
        <v>1560</v>
      </c>
      <c r="AG238" s="34">
        <f t="shared" si="84"/>
        <v>0</v>
      </c>
      <c r="AH238" s="44" t="s">
        <v>4048</v>
      </c>
      <c r="AI238" s="131"/>
      <c r="AK238" s="66">
        <f t="shared" si="85"/>
        <v>0</v>
      </c>
      <c r="AL238" s="174">
        <f t="shared" si="86"/>
        <v>0</v>
      </c>
      <c r="AM238" s="346">
        <f>RTD("money.excel",,$G238,"PredictVolume")</f>
        <v>0</v>
      </c>
      <c r="AN238" s="272">
        <f>RTD("money.excel",,$G238,"CumulativeVolume")</f>
        <v>0</v>
      </c>
      <c r="AO238" s="284"/>
    </row>
    <row r="239" spans="1:41">
      <c r="A239" s="151" t="s">
        <v>2481</v>
      </c>
      <c r="B239" s="84">
        <v>940</v>
      </c>
      <c r="C239" s="84">
        <v>849</v>
      </c>
      <c r="D239" s="84">
        <v>0</v>
      </c>
      <c r="E239" s="84">
        <v>19</v>
      </c>
      <c r="F239" s="7">
        <v>5.71</v>
      </c>
      <c r="G239" s="85">
        <v>4930</v>
      </c>
      <c r="H239" s="4" t="s">
        <v>545</v>
      </c>
      <c r="I239" s="23" t="s">
        <v>1572</v>
      </c>
      <c r="J239" s="371">
        <v>60.47</v>
      </c>
      <c r="K239" s="371">
        <v>9.09</v>
      </c>
      <c r="L239" s="371">
        <v>13.3</v>
      </c>
      <c r="N239" s="365">
        <f t="shared" si="79"/>
        <v>82.86</v>
      </c>
      <c r="O239" s="343">
        <f t="shared" si="80"/>
        <v>60.47</v>
      </c>
      <c r="P239" s="195" t="s">
        <v>5554</v>
      </c>
      <c r="Q239" s="326" t="str">
        <f>IFERROR(VLOOKUP($G239,主力整理!$A$2:$G$2301,6,0),"0")</f>
        <v>0</v>
      </c>
      <c r="R239" s="111">
        <v>6</v>
      </c>
      <c r="S239" s="51">
        <v>0</v>
      </c>
      <c r="T239" s="339">
        <f t="shared" si="81"/>
        <v>6</v>
      </c>
      <c r="V239" s="371">
        <v>0.65</v>
      </c>
      <c r="W239" s="69">
        <v>3.5</v>
      </c>
      <c r="X239" s="59">
        <v>2.84</v>
      </c>
      <c r="Y239" s="37" t="str">
        <f>RTD("money.excel",,"4930","Price")</f>
        <v>無資料</v>
      </c>
      <c r="Z239" s="69"/>
      <c r="AA239" s="16" t="e">
        <f t="shared" si="82"/>
        <v>#VALUE!</v>
      </c>
      <c r="AB239" s="3" t="e">
        <f t="shared" si="83"/>
        <v>#VALUE!</v>
      </c>
      <c r="AC239" s="177" t="s">
        <v>2700</v>
      </c>
      <c r="AD239" s="23" t="s">
        <v>1572</v>
      </c>
      <c r="AG239" s="34">
        <f t="shared" si="84"/>
        <v>0</v>
      </c>
      <c r="AH239" s="44" t="s">
        <v>4383</v>
      </c>
      <c r="AK239" s="66">
        <f t="shared" si="85"/>
        <v>0</v>
      </c>
      <c r="AL239" s="174">
        <f t="shared" si="86"/>
        <v>0</v>
      </c>
      <c r="AM239" s="346">
        <f>RTD("money.excel",,$G239,"PredictVolume")</f>
        <v>0</v>
      </c>
      <c r="AN239" s="272">
        <f>RTD("money.excel",,$G239,"CumulativeVolume")</f>
        <v>0</v>
      </c>
    </row>
    <row r="240" spans="1:41">
      <c r="A240" s="135" t="s">
        <v>3399</v>
      </c>
      <c r="B240" s="85">
        <v>-16</v>
      </c>
      <c r="C240" s="85">
        <v>-23</v>
      </c>
      <c r="D240" s="85">
        <v>-12</v>
      </c>
      <c r="E240" s="84">
        <v>15</v>
      </c>
      <c r="F240" s="59">
        <v>15.03</v>
      </c>
      <c r="G240" s="85">
        <v>5283</v>
      </c>
      <c r="H240" s="4" t="s">
        <v>545</v>
      </c>
      <c r="I240" s="23" t="s">
        <v>2584</v>
      </c>
      <c r="J240" s="77">
        <v>62.75</v>
      </c>
      <c r="K240" s="77">
        <v>2.33</v>
      </c>
      <c r="L240" s="77">
        <v>0.64</v>
      </c>
      <c r="M240" s="371">
        <v>24.73</v>
      </c>
      <c r="N240" s="365">
        <f t="shared" si="79"/>
        <v>90.45</v>
      </c>
      <c r="O240" s="343">
        <f t="shared" si="80"/>
        <v>87.48</v>
      </c>
      <c r="P240" s="195">
        <v>2</v>
      </c>
      <c r="Q240" s="326" t="str">
        <f>IFERROR(VLOOKUP($G240,主力整理!$A$2:$G$2301,6,0),"0")</f>
        <v>0</v>
      </c>
      <c r="R240" s="111">
        <v>0</v>
      </c>
      <c r="S240" s="51">
        <v>2</v>
      </c>
      <c r="T240" s="339">
        <f t="shared" si="81"/>
        <v>4</v>
      </c>
      <c r="U240" s="329" t="s">
        <v>6539</v>
      </c>
      <c r="V240" s="371">
        <v>0.49</v>
      </c>
      <c r="W240" s="69">
        <v>4</v>
      </c>
      <c r="X240" s="59">
        <v>11.03</v>
      </c>
      <c r="Y240" s="37" t="str">
        <f>RTD("money.excel",,"5283","Price")</f>
        <v>無資料</v>
      </c>
      <c r="Z240" s="69"/>
      <c r="AA240" s="16" t="e">
        <f t="shared" si="82"/>
        <v>#VALUE!</v>
      </c>
      <c r="AB240" s="3" t="e">
        <f t="shared" si="83"/>
        <v>#VALUE!</v>
      </c>
      <c r="AC240" s="177" t="s">
        <v>2929</v>
      </c>
      <c r="AD240" s="23" t="s">
        <v>2584</v>
      </c>
      <c r="AG240" s="34">
        <f t="shared" si="84"/>
        <v>0</v>
      </c>
      <c r="AH240" s="63" t="s">
        <v>4384</v>
      </c>
      <c r="AI240" s="131"/>
      <c r="AK240" s="66">
        <f t="shared" si="85"/>
        <v>0</v>
      </c>
      <c r="AL240" s="174">
        <f t="shared" si="86"/>
        <v>0</v>
      </c>
      <c r="AM240" s="346">
        <f>RTD("money.excel",,$G240,"PredictVolume")</f>
        <v>0</v>
      </c>
      <c r="AN240" s="272">
        <f>RTD("money.excel",,$G240,"CumulativeVolume")</f>
        <v>0</v>
      </c>
      <c r="AO240" s="284"/>
    </row>
    <row r="241" spans="1:41">
      <c r="B241" s="85"/>
      <c r="C241" s="85"/>
      <c r="D241" s="85"/>
      <c r="E241" s="84"/>
      <c r="F241" s="59"/>
      <c r="G241" s="85"/>
      <c r="H241" s="4"/>
      <c r="I241" s="23"/>
      <c r="J241" s="77"/>
      <c r="K241" s="77"/>
      <c r="M241" s="371"/>
      <c r="N241" s="365"/>
      <c r="O241" s="343"/>
      <c r="P241" s="195"/>
      <c r="W241" s="69"/>
      <c r="X241" s="59"/>
      <c r="Y241" s="37"/>
      <c r="Z241" s="69"/>
      <c r="AA241" s="16"/>
      <c r="AB241" s="3"/>
      <c r="AD241" s="23"/>
      <c r="AG241" s="34"/>
      <c r="AH241" s="63"/>
      <c r="AI241" s="131"/>
      <c r="AK241" s="66"/>
      <c r="AL241" s="174"/>
      <c r="AM241" s="346"/>
      <c r="AN241" s="272"/>
      <c r="AO241" s="284"/>
    </row>
    <row r="242" spans="1:41">
      <c r="A242" s="135" t="s">
        <v>2552</v>
      </c>
      <c r="B242" s="96" t="s">
        <v>2331</v>
      </c>
      <c r="C242" s="96" t="s">
        <v>2332</v>
      </c>
      <c r="D242" s="96" t="s">
        <v>2333</v>
      </c>
      <c r="E242" s="96" t="s">
        <v>2334</v>
      </c>
      <c r="F242" s="9" t="s">
        <v>1709</v>
      </c>
      <c r="G242" s="52" t="s">
        <v>6308</v>
      </c>
      <c r="H242" s="56" t="s">
        <v>578</v>
      </c>
      <c r="I242" s="51" t="s">
        <v>1308</v>
      </c>
      <c r="J242" s="364" t="s">
        <v>2189</v>
      </c>
      <c r="K242" s="364" t="s">
        <v>1820</v>
      </c>
      <c r="L242" s="364" t="s">
        <v>515</v>
      </c>
      <c r="M242" s="364" t="s">
        <v>1699</v>
      </c>
      <c r="N242" s="364" t="s">
        <v>6604</v>
      </c>
      <c r="O242" s="343" t="s">
        <v>6620</v>
      </c>
      <c r="P242" s="83" t="s">
        <v>5279</v>
      </c>
      <c r="Q242" s="326" t="s">
        <v>5514</v>
      </c>
      <c r="R242" s="31" t="s">
        <v>6596</v>
      </c>
      <c r="S242" s="51" t="s">
        <v>6597</v>
      </c>
      <c r="T242" s="338" t="s">
        <v>6513</v>
      </c>
      <c r="U242" s="330" t="s">
        <v>6537</v>
      </c>
      <c r="V242" s="377" t="s">
        <v>6616</v>
      </c>
      <c r="W242" s="11" t="s">
        <v>127</v>
      </c>
      <c r="X242" s="71" t="s">
        <v>5216</v>
      </c>
      <c r="Y242" s="29" t="s">
        <v>3</v>
      </c>
      <c r="Z242" s="18" t="s">
        <v>2113</v>
      </c>
      <c r="AA242" s="15" t="s">
        <v>8</v>
      </c>
      <c r="AB242" s="22" t="s">
        <v>4</v>
      </c>
      <c r="AC242" s="358" t="s">
        <v>211</v>
      </c>
      <c r="AD242" s="51" t="s">
        <v>1308</v>
      </c>
      <c r="AE242" s="75" t="s">
        <v>2114</v>
      </c>
      <c r="AF242" s="76" t="s">
        <v>1826</v>
      </c>
      <c r="AG242" s="33" t="s">
        <v>1827</v>
      </c>
      <c r="AH242" s="44"/>
      <c r="AI242" s="131"/>
      <c r="AK242" s="9" t="s">
        <v>6666</v>
      </c>
      <c r="AL242" s="5" t="s">
        <v>6667</v>
      </c>
      <c r="AM242" s="51" t="s">
        <v>5339</v>
      </c>
      <c r="AN242" s="276" t="s">
        <v>6665</v>
      </c>
      <c r="AO242" s="284"/>
    </row>
    <row r="243" spans="1:41">
      <c r="A243" s="135" t="s">
        <v>2639</v>
      </c>
      <c r="B243" s="84">
        <v>294</v>
      </c>
      <c r="C243" s="84">
        <v>91</v>
      </c>
      <c r="D243" s="84">
        <v>3</v>
      </c>
      <c r="E243" s="84">
        <v>20</v>
      </c>
      <c r="F243" s="59">
        <v>10.51</v>
      </c>
      <c r="G243" s="85">
        <v>1708</v>
      </c>
      <c r="H243" s="4" t="s">
        <v>1308</v>
      </c>
      <c r="I243" s="23" t="s">
        <v>1320</v>
      </c>
      <c r="J243" s="371">
        <v>39.56</v>
      </c>
      <c r="K243" s="77">
        <v>7.16</v>
      </c>
      <c r="L243" s="371">
        <v>14.11</v>
      </c>
      <c r="N243" s="365">
        <f t="shared" ref="N243:N285" si="87">J243+K243+L243+M243</f>
        <v>60.83</v>
      </c>
      <c r="O243" s="343">
        <f t="shared" ref="O243:O285" si="88">J243+M243</f>
        <v>39.56</v>
      </c>
      <c r="P243" s="195">
        <v>3</v>
      </c>
      <c r="Q243" s="326">
        <v>1</v>
      </c>
      <c r="R243" s="111">
        <v>5</v>
      </c>
      <c r="S243" s="51">
        <v>1</v>
      </c>
      <c r="T243" s="339">
        <f t="shared" ref="T243:T285" si="89">SUM(P243:S243)</f>
        <v>10</v>
      </c>
      <c r="V243" s="371">
        <v>0.19</v>
      </c>
      <c r="W243" s="35">
        <v>1.8</v>
      </c>
      <c r="X243" s="100">
        <v>1.36</v>
      </c>
      <c r="Y243" s="37" t="str">
        <f>RTD("money.excel",,"1708","Price")</f>
        <v>無資料</v>
      </c>
      <c r="Z243" s="69"/>
      <c r="AA243" s="16" t="e">
        <f t="shared" ref="AA243:AA285" si="90">Y243-Z243</f>
        <v>#VALUE!</v>
      </c>
      <c r="AB243" s="3" t="e">
        <f t="shared" ref="AB243:AB285" si="91">AA243/Z243</f>
        <v>#VALUE!</v>
      </c>
      <c r="AC243" s="177" t="s">
        <v>2648</v>
      </c>
      <c r="AD243" s="23" t="s">
        <v>1320</v>
      </c>
      <c r="AG243" s="34">
        <f t="shared" ref="AG243:AG285" si="92">AF243-AE243</f>
        <v>0</v>
      </c>
      <c r="AH243" s="44" t="s">
        <v>2275</v>
      </c>
      <c r="AI243" s="131"/>
      <c r="AK243" s="66">
        <f t="shared" ref="AK243" si="93">AM243/(A243*10000)</f>
        <v>0</v>
      </c>
      <c r="AL243" s="174">
        <f t="shared" ref="AL243" si="94">AN243/(A243*10000)</f>
        <v>0</v>
      </c>
      <c r="AM243" s="346">
        <f>RTD("money.excel",,$G243,"PredictVolume")</f>
        <v>0</v>
      </c>
      <c r="AN243" s="272">
        <f>RTD("money.excel",,$G243,"CumulativeVolume")</f>
        <v>0</v>
      </c>
      <c r="AO243" s="284"/>
    </row>
    <row r="244" spans="1:41">
      <c r="A244" s="151" t="s">
        <v>4849</v>
      </c>
      <c r="B244" s="96">
        <v>126</v>
      </c>
      <c r="C244" s="96">
        <v>97</v>
      </c>
      <c r="D244" s="96">
        <v>22</v>
      </c>
      <c r="E244" s="96">
        <v>5</v>
      </c>
      <c r="F244" s="7">
        <v>7.88</v>
      </c>
      <c r="G244" s="85">
        <v>1709</v>
      </c>
      <c r="H244" s="4" t="s">
        <v>1308</v>
      </c>
      <c r="I244" s="23" t="s">
        <v>1321</v>
      </c>
      <c r="J244" s="77">
        <v>69.099999999999994</v>
      </c>
      <c r="K244" s="77">
        <v>3.74</v>
      </c>
      <c r="L244" s="77">
        <v>1.67</v>
      </c>
      <c r="N244" s="365">
        <f t="shared" si="87"/>
        <v>74.509999999999991</v>
      </c>
      <c r="O244" s="343">
        <f t="shared" si="88"/>
        <v>69.099999999999994</v>
      </c>
      <c r="P244" s="195">
        <v>1</v>
      </c>
      <c r="Q244" s="326">
        <f>IFERROR(VLOOKUP($G244,主力整理!$A$2:$G$2301,6,0),"0")</f>
        <v>4</v>
      </c>
      <c r="T244" s="339">
        <f t="shared" si="89"/>
        <v>5</v>
      </c>
      <c r="V244" s="371">
        <v>18.72</v>
      </c>
      <c r="W244" s="35">
        <v>1.2</v>
      </c>
      <c r="X244" s="100">
        <v>1.1599999999999999</v>
      </c>
      <c r="Y244" s="14" t="str">
        <f>RTD("money.excel",,"1709","Price")</f>
        <v>無資料</v>
      </c>
      <c r="Z244" s="69"/>
      <c r="AA244" s="16" t="e">
        <f t="shared" si="90"/>
        <v>#VALUE!</v>
      </c>
      <c r="AB244" s="3" t="e">
        <f t="shared" si="91"/>
        <v>#VALUE!</v>
      </c>
      <c r="AC244" s="177" t="s">
        <v>2648</v>
      </c>
      <c r="AD244" s="23" t="s">
        <v>1321</v>
      </c>
      <c r="AG244" s="34">
        <f t="shared" si="92"/>
        <v>0</v>
      </c>
      <c r="AH244" s="44" t="s">
        <v>2276</v>
      </c>
      <c r="AI244" s="131"/>
      <c r="AK244" s="66">
        <f t="shared" ref="AK244:AK285" si="95">AM244/(A244*10000)</f>
        <v>0</v>
      </c>
      <c r="AL244" s="174">
        <f t="shared" ref="AL244:AL285" si="96">AN244/(A244*10000)</f>
        <v>0</v>
      </c>
      <c r="AM244" s="346">
        <f>RTD("money.excel",,$G244,"PredictVolume")</f>
        <v>0</v>
      </c>
      <c r="AN244" s="272">
        <f>RTD("money.excel",,$G244,"CumulativeVolume")</f>
        <v>0</v>
      </c>
      <c r="AO244" s="284"/>
    </row>
    <row r="245" spans="1:41">
      <c r="A245" s="151" t="s">
        <v>2766</v>
      </c>
      <c r="B245" s="85">
        <v>-506</v>
      </c>
      <c r="C245" s="84">
        <v>90</v>
      </c>
      <c r="D245" s="85">
        <v>-1</v>
      </c>
      <c r="E245" s="85">
        <v>-28</v>
      </c>
      <c r="F245" s="7">
        <v>-0.25</v>
      </c>
      <c r="G245" s="85">
        <v>1710</v>
      </c>
      <c r="H245" s="4" t="s">
        <v>1308</v>
      </c>
      <c r="I245" s="23" t="s">
        <v>574</v>
      </c>
      <c r="J245" s="371">
        <v>66.459999999999994</v>
      </c>
      <c r="K245" s="371">
        <v>9.73</v>
      </c>
      <c r="L245" s="371">
        <v>1.68</v>
      </c>
      <c r="N245" s="365">
        <f t="shared" si="87"/>
        <v>77.87</v>
      </c>
      <c r="O245" s="343">
        <f t="shared" si="88"/>
        <v>66.459999999999994</v>
      </c>
      <c r="P245" s="195">
        <v>4</v>
      </c>
      <c r="Q245" s="326">
        <f>IFERROR(VLOOKUP($G245,主力整理!$A$2:$G$2301,6,0),"0")</f>
        <v>7</v>
      </c>
      <c r="T245" s="339">
        <f t="shared" si="89"/>
        <v>11</v>
      </c>
      <c r="V245" s="371">
        <v>0.05</v>
      </c>
      <c r="W245" s="35">
        <v>0</v>
      </c>
      <c r="X245" s="100">
        <v>-1.22</v>
      </c>
      <c r="Y245" s="37" t="str">
        <f>RTD("money.excel",,"1710","Price")</f>
        <v>無資料</v>
      </c>
      <c r="Z245" s="69"/>
      <c r="AA245" s="16" t="e">
        <f t="shared" si="90"/>
        <v>#VALUE!</v>
      </c>
      <c r="AB245" s="3" t="e">
        <f t="shared" si="91"/>
        <v>#VALUE!</v>
      </c>
      <c r="AC245" s="177" t="s">
        <v>2648</v>
      </c>
      <c r="AD245" s="23" t="s">
        <v>574</v>
      </c>
      <c r="AG245" s="34">
        <f t="shared" si="92"/>
        <v>0</v>
      </c>
      <c r="AH245" s="44" t="s">
        <v>2128</v>
      </c>
      <c r="AK245" s="66">
        <f t="shared" si="95"/>
        <v>0</v>
      </c>
      <c r="AL245" s="174">
        <f t="shared" si="96"/>
        <v>0</v>
      </c>
      <c r="AM245" s="346">
        <f>RTD("money.excel",,$G245,"PredictVolume")</f>
        <v>0</v>
      </c>
      <c r="AN245" s="272">
        <f>RTD("money.excel",,$G245,"CumulativeVolume")</f>
        <v>0</v>
      </c>
    </row>
    <row r="246" spans="1:41">
      <c r="A246" s="151" t="s">
        <v>2781</v>
      </c>
      <c r="B246" s="85">
        <v>-10</v>
      </c>
      <c r="C246" s="85">
        <v>-20</v>
      </c>
      <c r="D246" s="85">
        <v>8.5</v>
      </c>
      <c r="E246" s="84">
        <v>10</v>
      </c>
      <c r="F246" s="7">
        <v>4.75</v>
      </c>
      <c r="G246" s="85">
        <v>1711</v>
      </c>
      <c r="H246" s="4" t="s">
        <v>1308</v>
      </c>
      <c r="I246" s="23" t="s">
        <v>1322</v>
      </c>
      <c r="J246" s="77">
        <v>55.3</v>
      </c>
      <c r="K246" s="371">
        <v>8.49</v>
      </c>
      <c r="L246" s="77">
        <v>2.67</v>
      </c>
      <c r="N246" s="365">
        <f t="shared" si="87"/>
        <v>66.459999999999994</v>
      </c>
      <c r="O246" s="343">
        <f t="shared" si="88"/>
        <v>55.3</v>
      </c>
      <c r="P246" s="195">
        <v>2</v>
      </c>
      <c r="Q246" s="326">
        <f>IFERROR(VLOOKUP($G246,主力整理!$A$2:$G$2301,6,0),"0")</f>
        <v>3</v>
      </c>
      <c r="T246" s="339">
        <f t="shared" si="89"/>
        <v>5</v>
      </c>
      <c r="V246" s="371">
        <v>20.309999999999999</v>
      </c>
      <c r="W246" s="35">
        <v>0.3</v>
      </c>
      <c r="X246" s="100">
        <v>0.39</v>
      </c>
      <c r="Y246" s="37" t="str">
        <f>RTD("money.excel",,"1711","Price")</f>
        <v>無資料</v>
      </c>
      <c r="Z246" s="69"/>
      <c r="AA246" s="16" t="e">
        <f t="shared" si="90"/>
        <v>#VALUE!</v>
      </c>
      <c r="AB246" s="3" t="e">
        <f t="shared" si="91"/>
        <v>#VALUE!</v>
      </c>
      <c r="AC246" s="177" t="s">
        <v>2648</v>
      </c>
      <c r="AD246" s="23" t="s">
        <v>1322</v>
      </c>
      <c r="AG246" s="34">
        <f t="shared" si="92"/>
        <v>0</v>
      </c>
      <c r="AH246" s="44" t="s">
        <v>4156</v>
      </c>
      <c r="AI246" s="131"/>
      <c r="AK246" s="66">
        <f t="shared" si="95"/>
        <v>0</v>
      </c>
      <c r="AL246" s="174">
        <f t="shared" si="96"/>
        <v>0</v>
      </c>
      <c r="AM246" s="346">
        <f>RTD("money.excel",,$G246,"PredictVolume")</f>
        <v>0</v>
      </c>
      <c r="AN246" s="272">
        <f>RTD("money.excel",,$G246,"CumulativeVolume")</f>
        <v>0</v>
      </c>
      <c r="AO246" s="284"/>
    </row>
    <row r="247" spans="1:41">
      <c r="A247" s="151" t="s">
        <v>3178</v>
      </c>
      <c r="B247" s="85">
        <v>-5</v>
      </c>
      <c r="C247" s="85">
        <v>33</v>
      </c>
      <c r="D247" s="85">
        <v>-3</v>
      </c>
      <c r="E247" s="85">
        <v>-2</v>
      </c>
      <c r="F247" s="7">
        <v>6.67</v>
      </c>
      <c r="G247" s="85">
        <v>1712</v>
      </c>
      <c r="H247" s="4" t="s">
        <v>1308</v>
      </c>
      <c r="I247" s="23" t="s">
        <v>1323</v>
      </c>
      <c r="J247" s="77">
        <v>51.99</v>
      </c>
      <c r="K247" s="371">
        <v>12.28</v>
      </c>
      <c r="L247" s="371">
        <v>1.51</v>
      </c>
      <c r="N247" s="365">
        <f t="shared" si="87"/>
        <v>65.78</v>
      </c>
      <c r="O247" s="343">
        <f t="shared" si="88"/>
        <v>51.99</v>
      </c>
      <c r="P247" s="195" t="s">
        <v>5554</v>
      </c>
      <c r="Q247" s="326" t="str">
        <f>IFERROR(VLOOKUP($G247,主力整理!$A$2:$G$2301,6,0),"0")</f>
        <v>0</v>
      </c>
      <c r="T247" s="339">
        <f t="shared" si="89"/>
        <v>0</v>
      </c>
      <c r="V247" s="371">
        <v>0.08</v>
      </c>
      <c r="W247" s="35">
        <v>1.3</v>
      </c>
      <c r="X247" s="100">
        <v>1.7</v>
      </c>
      <c r="Y247" s="37" t="str">
        <f>RTD("money.excel",,"1712","Price")</f>
        <v>無資料</v>
      </c>
      <c r="Z247" s="69"/>
      <c r="AA247" s="16" t="e">
        <f t="shared" si="90"/>
        <v>#VALUE!</v>
      </c>
      <c r="AB247" s="3" t="e">
        <f t="shared" si="91"/>
        <v>#VALUE!</v>
      </c>
      <c r="AD247" s="23" t="s">
        <v>1323</v>
      </c>
      <c r="AG247" s="34">
        <f t="shared" si="92"/>
        <v>0</v>
      </c>
      <c r="AH247" s="44" t="s">
        <v>4453</v>
      </c>
      <c r="AI247" s="131"/>
      <c r="AK247" s="66">
        <f t="shared" si="95"/>
        <v>0</v>
      </c>
      <c r="AL247" s="174">
        <f t="shared" si="96"/>
        <v>0</v>
      </c>
      <c r="AM247" s="346">
        <f>RTD("money.excel",,$G247,"PredictVolume")</f>
        <v>0</v>
      </c>
      <c r="AN247" s="272">
        <f>RTD("money.excel",,$G247,"CumulativeVolume")</f>
        <v>0</v>
      </c>
      <c r="AO247" s="284"/>
    </row>
    <row r="248" spans="1:41">
      <c r="A248" s="151" t="s">
        <v>2779</v>
      </c>
      <c r="B248" s="96">
        <v>-37</v>
      </c>
      <c r="C248" s="96">
        <v>8</v>
      </c>
      <c r="D248" s="96">
        <v>-14</v>
      </c>
      <c r="E248" s="96">
        <v>29</v>
      </c>
      <c r="F248" s="7">
        <v>3.95</v>
      </c>
      <c r="G248" s="85">
        <v>1713</v>
      </c>
      <c r="H248" s="4" t="s">
        <v>1308</v>
      </c>
      <c r="I248" s="23" t="s">
        <v>1324</v>
      </c>
      <c r="J248" s="77">
        <v>72.489999999999995</v>
      </c>
      <c r="K248" s="77">
        <v>5.09</v>
      </c>
      <c r="L248" s="77">
        <v>11.91</v>
      </c>
      <c r="N248" s="365">
        <f t="shared" si="87"/>
        <v>89.49</v>
      </c>
      <c r="O248" s="343">
        <f t="shared" si="88"/>
        <v>72.489999999999995</v>
      </c>
      <c r="P248" s="195">
        <v>1</v>
      </c>
      <c r="Q248" s="326" t="str">
        <f>IFERROR(VLOOKUP($G248,主力整理!$A$2:$G$2301,6,0),"0")</f>
        <v>0</v>
      </c>
      <c r="T248" s="339">
        <f t="shared" si="89"/>
        <v>1</v>
      </c>
      <c r="V248" s="371">
        <v>13.9</v>
      </c>
      <c r="W248" s="35">
        <v>0.66</v>
      </c>
      <c r="X248" s="100">
        <v>0.61</v>
      </c>
      <c r="Y248" s="14" t="str">
        <f>RTD("money.excel",,"1713","Price")</f>
        <v>無資料</v>
      </c>
      <c r="Z248" s="69"/>
      <c r="AA248" s="16" t="e">
        <f t="shared" si="90"/>
        <v>#VALUE!</v>
      </c>
      <c r="AB248" s="3" t="e">
        <f t="shared" si="91"/>
        <v>#VALUE!</v>
      </c>
      <c r="AC248" s="177" t="s">
        <v>2648</v>
      </c>
      <c r="AD248" s="23" t="s">
        <v>1324</v>
      </c>
      <c r="AG248" s="34">
        <f t="shared" si="92"/>
        <v>0</v>
      </c>
      <c r="AH248" s="44" t="s">
        <v>4454</v>
      </c>
      <c r="AI248" s="131"/>
      <c r="AK248" s="66">
        <f t="shared" si="95"/>
        <v>0</v>
      </c>
      <c r="AL248" s="174">
        <f t="shared" si="96"/>
        <v>0</v>
      </c>
      <c r="AM248" s="346">
        <f>RTD("money.excel",,$G248,"PredictVolume")</f>
        <v>0</v>
      </c>
      <c r="AN248" s="272">
        <f>RTD("money.excel",,$G248,"CumulativeVolume")</f>
        <v>0</v>
      </c>
      <c r="AO248" s="284"/>
    </row>
    <row r="249" spans="1:41">
      <c r="A249" s="135" t="s">
        <v>4850</v>
      </c>
      <c r="B249" s="85">
        <v>-47</v>
      </c>
      <c r="C249" s="85">
        <v>-47</v>
      </c>
      <c r="D249" s="85">
        <v>-6</v>
      </c>
      <c r="E249" s="85">
        <v>-5</v>
      </c>
      <c r="F249" s="59">
        <v>10.7</v>
      </c>
      <c r="G249" s="85">
        <v>1714</v>
      </c>
      <c r="H249" s="4" t="s">
        <v>1308</v>
      </c>
      <c r="I249" s="23" t="s">
        <v>1325</v>
      </c>
      <c r="J249" s="77">
        <v>52.81</v>
      </c>
      <c r="K249" s="77">
        <v>18.54</v>
      </c>
      <c r="L249" s="371">
        <v>7.94</v>
      </c>
      <c r="N249" s="365">
        <f t="shared" si="87"/>
        <v>79.289999999999992</v>
      </c>
      <c r="O249" s="343">
        <f t="shared" si="88"/>
        <v>52.81</v>
      </c>
      <c r="P249" s="195">
        <v>0</v>
      </c>
      <c r="Q249" s="326">
        <v>16</v>
      </c>
      <c r="R249" s="111">
        <v>5</v>
      </c>
      <c r="S249" s="51">
        <v>0</v>
      </c>
      <c r="T249" s="339">
        <f t="shared" si="89"/>
        <v>21</v>
      </c>
      <c r="V249" s="371">
        <v>0.18</v>
      </c>
      <c r="W249" s="35">
        <v>0.7</v>
      </c>
      <c r="X249" s="59">
        <v>0.52</v>
      </c>
      <c r="Y249" s="37" t="str">
        <f>RTD("money.excel",,"1714","Price")</f>
        <v>無資料</v>
      </c>
      <c r="Z249" s="69"/>
      <c r="AA249" s="16" t="e">
        <f t="shared" si="90"/>
        <v>#VALUE!</v>
      </c>
      <c r="AB249" s="3" t="e">
        <f t="shared" si="91"/>
        <v>#VALUE!</v>
      </c>
      <c r="AD249" s="23" t="s">
        <v>1325</v>
      </c>
      <c r="AG249" s="34">
        <f t="shared" si="92"/>
        <v>0</v>
      </c>
      <c r="AH249" s="63" t="s">
        <v>4455</v>
      </c>
      <c r="AI249" s="131"/>
      <c r="AK249" s="66">
        <f t="shared" si="95"/>
        <v>0</v>
      </c>
      <c r="AL249" s="174">
        <f t="shared" si="96"/>
        <v>0</v>
      </c>
      <c r="AM249" s="346">
        <f>RTD("money.excel",,$G249,"PredictVolume")</f>
        <v>0</v>
      </c>
      <c r="AN249" s="272">
        <f>RTD("money.excel",,$G249,"CumulativeVolume")</f>
        <v>0</v>
      </c>
      <c r="AO249" s="284"/>
    </row>
    <row r="250" spans="1:41">
      <c r="A250" s="151" t="s">
        <v>3150</v>
      </c>
      <c r="B250" s="85">
        <v>-36</v>
      </c>
      <c r="C250" s="84">
        <v>2</v>
      </c>
      <c r="D250" s="84">
        <v>5</v>
      </c>
      <c r="E250" s="84">
        <v>13</v>
      </c>
      <c r="F250" s="7">
        <v>6.63</v>
      </c>
      <c r="G250" s="85">
        <v>1717</v>
      </c>
      <c r="H250" s="4" t="s">
        <v>1308</v>
      </c>
      <c r="I250" s="23" t="s">
        <v>246</v>
      </c>
      <c r="J250" s="77">
        <v>68.849999999999994</v>
      </c>
      <c r="K250" s="77">
        <v>13.84</v>
      </c>
      <c r="L250" s="77">
        <v>3.75</v>
      </c>
      <c r="N250" s="365">
        <f t="shared" si="87"/>
        <v>86.44</v>
      </c>
      <c r="O250" s="343">
        <f t="shared" si="88"/>
        <v>68.849999999999994</v>
      </c>
      <c r="P250" s="195">
        <v>7</v>
      </c>
      <c r="Q250" s="326">
        <f>IFERROR(VLOOKUP($G250,主力整理!$A$2:$G$2301,6,0),"0")</f>
        <v>8</v>
      </c>
      <c r="T250" s="339">
        <f t="shared" si="89"/>
        <v>15</v>
      </c>
      <c r="V250" s="371">
        <v>0.04</v>
      </c>
      <c r="W250" s="35">
        <v>1.5</v>
      </c>
      <c r="X250" s="100">
        <v>2.0499999999999998</v>
      </c>
      <c r="Y250" s="37" t="str">
        <f>RTD("money.excel",,"1717","Price")</f>
        <v>無資料</v>
      </c>
      <c r="Z250" s="69"/>
      <c r="AA250" s="16" t="e">
        <f t="shared" si="90"/>
        <v>#VALUE!</v>
      </c>
      <c r="AB250" s="3" t="e">
        <f t="shared" si="91"/>
        <v>#VALUE!</v>
      </c>
      <c r="AC250" s="177" t="s">
        <v>2648</v>
      </c>
      <c r="AD250" s="23" t="s">
        <v>246</v>
      </c>
      <c r="AG250" s="34">
        <f t="shared" si="92"/>
        <v>0</v>
      </c>
      <c r="AH250" s="44" t="s">
        <v>4456</v>
      </c>
      <c r="AI250" s="131"/>
      <c r="AK250" s="66">
        <f t="shared" si="95"/>
        <v>0</v>
      </c>
      <c r="AL250" s="174">
        <f t="shared" si="96"/>
        <v>0</v>
      </c>
      <c r="AM250" s="346">
        <f>RTD("money.excel",,$G250,"PredictVolume")</f>
        <v>0</v>
      </c>
      <c r="AN250" s="272">
        <f>RTD("money.excel",,$G250,"CumulativeVolume")</f>
        <v>0</v>
      </c>
      <c r="AO250" s="284"/>
    </row>
    <row r="251" spans="1:41">
      <c r="A251" s="135" t="s">
        <v>2767</v>
      </c>
      <c r="B251" s="84">
        <v>144</v>
      </c>
      <c r="C251" s="84">
        <v>78</v>
      </c>
      <c r="D251" s="84">
        <v>12</v>
      </c>
      <c r="E251" s="84">
        <v>7</v>
      </c>
      <c r="F251" s="59">
        <v>13.98</v>
      </c>
      <c r="G251" s="85">
        <v>1718</v>
      </c>
      <c r="H251" s="4" t="s">
        <v>1308</v>
      </c>
      <c r="I251" s="23" t="s">
        <v>1326</v>
      </c>
      <c r="J251" s="371">
        <v>45.36</v>
      </c>
      <c r="K251" s="77">
        <v>8.84</v>
      </c>
      <c r="L251" s="371">
        <v>8.24</v>
      </c>
      <c r="N251" s="365">
        <f t="shared" si="87"/>
        <v>62.440000000000005</v>
      </c>
      <c r="O251" s="343">
        <f t="shared" si="88"/>
        <v>45.36</v>
      </c>
      <c r="P251" s="195" t="s">
        <v>5554</v>
      </c>
      <c r="Q251" s="326">
        <f>IFERROR(VLOOKUP($G251,主力整理!$A$2:$G$2301,6,0),"0")</f>
        <v>13</v>
      </c>
      <c r="R251" s="111">
        <v>4</v>
      </c>
      <c r="S251" s="51">
        <v>1</v>
      </c>
      <c r="T251" s="339">
        <f t="shared" si="89"/>
        <v>18</v>
      </c>
      <c r="V251" s="371">
        <v>1.43</v>
      </c>
      <c r="W251" s="35">
        <v>0.5</v>
      </c>
      <c r="X251" s="100">
        <v>1.28</v>
      </c>
      <c r="Y251" s="37" t="str">
        <f>RTD("money.excel",,"1718","Price")</f>
        <v>無資料</v>
      </c>
      <c r="Z251" s="69"/>
      <c r="AA251" s="16" t="e">
        <f t="shared" si="90"/>
        <v>#VALUE!</v>
      </c>
      <c r="AB251" s="3" t="e">
        <f t="shared" si="91"/>
        <v>#VALUE!</v>
      </c>
      <c r="AC251" s="177" t="s">
        <v>2648</v>
      </c>
      <c r="AD251" s="23" t="s">
        <v>1326</v>
      </c>
      <c r="AG251" s="34">
        <f t="shared" si="92"/>
        <v>0</v>
      </c>
      <c r="AH251" s="63" t="s">
        <v>5526</v>
      </c>
      <c r="AI251" s="131"/>
      <c r="AK251" s="66">
        <f t="shared" si="95"/>
        <v>0</v>
      </c>
      <c r="AL251" s="174">
        <f t="shared" si="96"/>
        <v>0</v>
      </c>
      <c r="AM251" s="346">
        <f>RTD("money.excel",,$G251,"PredictVolume")</f>
        <v>0</v>
      </c>
      <c r="AN251" s="272">
        <f>RTD("money.excel",,$G251,"CumulativeVolume")</f>
        <v>0</v>
      </c>
      <c r="AO251" s="284"/>
    </row>
    <row r="252" spans="1:41">
      <c r="A252" s="151" t="s">
        <v>2408</v>
      </c>
      <c r="B252" s="215">
        <v>22889</v>
      </c>
      <c r="C252" s="214">
        <v>-1706</v>
      </c>
      <c r="D252" s="96">
        <v>32</v>
      </c>
      <c r="E252" s="96">
        <v>6</v>
      </c>
      <c r="F252" s="7">
        <v>-8.0399999999999991</v>
      </c>
      <c r="G252" s="85">
        <v>1721</v>
      </c>
      <c r="H252" s="4" t="s">
        <v>1308</v>
      </c>
      <c r="I252" s="23" t="s">
        <v>1327</v>
      </c>
      <c r="J252" s="77">
        <v>66.33</v>
      </c>
      <c r="K252" s="77">
        <v>2.78</v>
      </c>
      <c r="L252" s="77">
        <v>12.04</v>
      </c>
      <c r="N252" s="365">
        <f t="shared" si="87"/>
        <v>81.150000000000006</v>
      </c>
      <c r="O252" s="343">
        <f t="shared" si="88"/>
        <v>66.33</v>
      </c>
      <c r="P252" s="195" t="s">
        <v>5554</v>
      </c>
      <c r="Q252" s="326">
        <f>IFERROR(VLOOKUP($G252,主力整理!$A$2:$G$2301,6,0),"0")</f>
        <v>1</v>
      </c>
      <c r="T252" s="339">
        <f t="shared" si="89"/>
        <v>1</v>
      </c>
      <c r="V252" s="371">
        <v>13.91</v>
      </c>
      <c r="W252" s="35">
        <v>0.5</v>
      </c>
      <c r="X252" s="100">
        <v>2.42</v>
      </c>
      <c r="Y252" s="14" t="str">
        <f>RTD("money.excel",,"1721","Price")</f>
        <v>無資料</v>
      </c>
      <c r="Z252" s="69"/>
      <c r="AA252" s="16" t="e">
        <f t="shared" si="90"/>
        <v>#VALUE!</v>
      </c>
      <c r="AB252" s="3" t="e">
        <f t="shared" si="91"/>
        <v>#VALUE!</v>
      </c>
      <c r="AD252" s="23" t="s">
        <v>1327</v>
      </c>
      <c r="AG252" s="34">
        <f t="shared" si="92"/>
        <v>0</v>
      </c>
      <c r="AH252" s="44" t="s">
        <v>4457</v>
      </c>
      <c r="AI252" s="131"/>
      <c r="AK252" s="66">
        <f t="shared" si="95"/>
        <v>0</v>
      </c>
      <c r="AL252" s="174">
        <f t="shared" si="96"/>
        <v>0</v>
      </c>
      <c r="AM252" s="346">
        <f>RTD("money.excel",,$G252,"PredictVolume")</f>
        <v>0</v>
      </c>
      <c r="AN252" s="272">
        <f>RTD("money.excel",,$G252,"CumulativeVolume")</f>
        <v>0</v>
      </c>
      <c r="AO252" s="284"/>
    </row>
    <row r="253" spans="1:41">
      <c r="A253" s="135" t="s">
        <v>3181</v>
      </c>
      <c r="B253" s="84">
        <v>35</v>
      </c>
      <c r="C253" s="85">
        <v>-3</v>
      </c>
      <c r="D253" s="84">
        <v>-9</v>
      </c>
      <c r="E253" s="85">
        <v>-51</v>
      </c>
      <c r="F253" s="59">
        <v>13.32</v>
      </c>
      <c r="G253" s="85">
        <v>1722</v>
      </c>
      <c r="H253" s="4" t="s">
        <v>1308</v>
      </c>
      <c r="I253" s="23" t="s">
        <v>55</v>
      </c>
      <c r="J253" s="77">
        <v>52.55</v>
      </c>
      <c r="K253" s="77">
        <v>12.04</v>
      </c>
      <c r="L253" s="77">
        <v>2.2200000000000002</v>
      </c>
      <c r="N253" s="365">
        <f t="shared" si="87"/>
        <v>66.81</v>
      </c>
      <c r="O253" s="343">
        <f t="shared" si="88"/>
        <v>52.55</v>
      </c>
      <c r="P253" s="195">
        <v>1</v>
      </c>
      <c r="Q253" s="326">
        <f>IFERROR(VLOOKUP($G253,主力整理!$A$2:$G$2301,6,0),"0")</f>
        <v>9</v>
      </c>
      <c r="T253" s="339">
        <f t="shared" si="89"/>
        <v>10</v>
      </c>
      <c r="V253" s="371">
        <v>0.04</v>
      </c>
      <c r="W253" s="35">
        <v>2.2999999999999998</v>
      </c>
      <c r="X253" s="100">
        <v>2.5</v>
      </c>
      <c r="Y253" s="37" t="str">
        <f>RTD("money.excel",,"1722","Price")</f>
        <v>無資料</v>
      </c>
      <c r="Z253" s="69"/>
      <c r="AA253" s="16" t="e">
        <f t="shared" si="90"/>
        <v>#VALUE!</v>
      </c>
      <c r="AB253" s="3" t="e">
        <f t="shared" si="91"/>
        <v>#VALUE!</v>
      </c>
      <c r="AD253" s="23" t="s">
        <v>55</v>
      </c>
      <c r="AG253" s="34">
        <f t="shared" si="92"/>
        <v>0</v>
      </c>
      <c r="AH253" s="126" t="s">
        <v>4407</v>
      </c>
      <c r="AI253" s="131"/>
      <c r="AK253" s="66">
        <f t="shared" si="95"/>
        <v>0</v>
      </c>
      <c r="AL253" s="174">
        <f t="shared" si="96"/>
        <v>0</v>
      </c>
      <c r="AM253" s="346">
        <f>RTD("money.excel",,$G253,"PredictVolume")</f>
        <v>0</v>
      </c>
      <c r="AN253" s="272">
        <f>RTD("money.excel",,$G253,"CumulativeVolume")</f>
        <v>0</v>
      </c>
      <c r="AO253" s="284"/>
    </row>
    <row r="254" spans="1:41">
      <c r="A254" s="135" t="s">
        <v>2446</v>
      </c>
      <c r="B254" s="85">
        <v>-53</v>
      </c>
      <c r="C254" s="85">
        <v>-46</v>
      </c>
      <c r="D254" s="84">
        <v>7</v>
      </c>
      <c r="E254" s="85">
        <v>-27</v>
      </c>
      <c r="F254" s="59">
        <v>14.05</v>
      </c>
      <c r="G254" s="85">
        <v>1723</v>
      </c>
      <c r="H254" s="4" t="s">
        <v>1308</v>
      </c>
      <c r="I254" s="23" t="s">
        <v>247</v>
      </c>
      <c r="J254" s="371">
        <v>61.14</v>
      </c>
      <c r="K254" s="371">
        <v>8.42</v>
      </c>
      <c r="L254" s="371">
        <v>0.25</v>
      </c>
      <c r="N254" s="365">
        <f t="shared" si="87"/>
        <v>69.81</v>
      </c>
      <c r="O254" s="343">
        <f t="shared" si="88"/>
        <v>61.14</v>
      </c>
      <c r="P254" s="195" t="s">
        <v>5554</v>
      </c>
      <c r="Q254" s="326" t="str">
        <f>IFERROR(VLOOKUP($G254,主力整理!$A$2:$G$2301,6,0),"0")</f>
        <v>0</v>
      </c>
      <c r="T254" s="339">
        <f t="shared" si="89"/>
        <v>0</v>
      </c>
      <c r="V254" s="371">
        <v>0</v>
      </c>
      <c r="W254" s="35">
        <v>2.8</v>
      </c>
      <c r="X254" s="100">
        <v>3.09</v>
      </c>
      <c r="Y254" s="37" t="str">
        <f>RTD("money.excel",,"1723","Price")</f>
        <v>無資料</v>
      </c>
      <c r="Z254" s="69"/>
      <c r="AA254" s="16" t="e">
        <f t="shared" si="90"/>
        <v>#VALUE!</v>
      </c>
      <c r="AB254" s="3" t="e">
        <f t="shared" si="91"/>
        <v>#VALUE!</v>
      </c>
      <c r="AD254" s="23" t="s">
        <v>247</v>
      </c>
      <c r="AG254" s="34">
        <f t="shared" si="92"/>
        <v>0</v>
      </c>
      <c r="AH254" s="126" t="s">
        <v>2144</v>
      </c>
      <c r="AI254" s="284"/>
      <c r="AK254" s="66">
        <f t="shared" si="95"/>
        <v>0</v>
      </c>
      <c r="AL254" s="174">
        <f t="shared" si="96"/>
        <v>0</v>
      </c>
      <c r="AM254" s="346">
        <f>RTD("money.excel",,$G254,"PredictVolume")</f>
        <v>0</v>
      </c>
      <c r="AN254" s="272">
        <f>RTD("money.excel",,$G254,"CumulativeVolume")</f>
        <v>0</v>
      </c>
      <c r="AO254" s="284"/>
    </row>
    <row r="255" spans="1:41">
      <c r="A255" s="151" t="s">
        <v>2310</v>
      </c>
      <c r="B255" s="96">
        <v>-62</v>
      </c>
      <c r="C255" s="96">
        <v>-25</v>
      </c>
      <c r="D255" s="96">
        <v>6</v>
      </c>
      <c r="E255" s="96">
        <v>2</v>
      </c>
      <c r="F255" s="7">
        <v>4.3</v>
      </c>
      <c r="G255" s="85">
        <v>1724</v>
      </c>
      <c r="H255" s="4" t="s">
        <v>1308</v>
      </c>
      <c r="I255" s="23" t="s">
        <v>1328</v>
      </c>
      <c r="J255" s="77">
        <v>72.92</v>
      </c>
      <c r="K255" s="77">
        <v>6.04</v>
      </c>
      <c r="L255" s="77">
        <v>2.09</v>
      </c>
      <c r="N255" s="365">
        <f t="shared" si="87"/>
        <v>81.050000000000011</v>
      </c>
      <c r="O255" s="343">
        <f t="shared" si="88"/>
        <v>72.92</v>
      </c>
      <c r="P255" s="195" t="s">
        <v>5554</v>
      </c>
      <c r="Q255" s="326" t="str">
        <f>IFERROR(VLOOKUP($G255,主力整理!$A$2:$G$2301,6,0),"0")</f>
        <v>0</v>
      </c>
      <c r="T255" s="339">
        <f t="shared" si="89"/>
        <v>0</v>
      </c>
      <c r="V255" s="371">
        <v>45.37</v>
      </c>
      <c r="W255" s="35">
        <v>0.25</v>
      </c>
      <c r="X255" s="100">
        <v>0.2</v>
      </c>
      <c r="Y255" s="14" t="str">
        <f>RTD("money.excel",,"1724","Price")</f>
        <v>商品錯誤</v>
      </c>
      <c r="Z255" s="69"/>
      <c r="AA255" s="16" t="e">
        <f t="shared" si="90"/>
        <v>#VALUE!</v>
      </c>
      <c r="AB255" s="3" t="e">
        <f t="shared" si="91"/>
        <v>#VALUE!</v>
      </c>
      <c r="AD255" s="23" t="s">
        <v>1328</v>
      </c>
      <c r="AG255" s="34">
        <f t="shared" si="92"/>
        <v>0</v>
      </c>
      <c r="AH255" s="44" t="s">
        <v>4458</v>
      </c>
      <c r="AI255" s="131"/>
      <c r="AK255" s="66" t="e">
        <f t="shared" si="95"/>
        <v>#VALUE!</v>
      </c>
      <c r="AL255" s="174" t="e">
        <f t="shared" si="96"/>
        <v>#VALUE!</v>
      </c>
      <c r="AM255" s="346" t="str">
        <f>RTD("money.excel",,$G255,"PredictVolume")</f>
        <v>商品錯誤</v>
      </c>
      <c r="AN255" s="272" t="str">
        <f>RTD("money.excel",,$G255,"CumulativeVolume")</f>
        <v>商品錯誤</v>
      </c>
      <c r="AO255" s="284"/>
    </row>
    <row r="256" spans="1:41">
      <c r="A256" s="151" t="s">
        <v>2511</v>
      </c>
      <c r="B256" s="96">
        <v>-16</v>
      </c>
      <c r="C256" s="96">
        <v>-23</v>
      </c>
      <c r="D256" s="96">
        <v>-6</v>
      </c>
      <c r="E256" s="96">
        <v>26</v>
      </c>
      <c r="F256" s="7">
        <v>2</v>
      </c>
      <c r="G256" s="85">
        <v>1725</v>
      </c>
      <c r="H256" s="4" t="s">
        <v>1308</v>
      </c>
      <c r="I256" s="23" t="s">
        <v>1329</v>
      </c>
      <c r="J256" s="77">
        <v>95.67</v>
      </c>
      <c r="K256" s="77">
        <v>0.15</v>
      </c>
      <c r="L256" s="77">
        <v>0.42</v>
      </c>
      <c r="N256" s="365">
        <f t="shared" si="87"/>
        <v>96.240000000000009</v>
      </c>
      <c r="O256" s="343">
        <f t="shared" si="88"/>
        <v>95.67</v>
      </c>
      <c r="P256" s="195" t="s">
        <v>5554</v>
      </c>
      <c r="Q256" s="326">
        <f>IFERROR(VLOOKUP($G256,主力整理!$A$2:$G$2301,6,0),"0")</f>
        <v>3</v>
      </c>
      <c r="T256" s="339">
        <f t="shared" si="89"/>
        <v>3</v>
      </c>
      <c r="V256" s="371">
        <v>11.83</v>
      </c>
      <c r="W256" s="35">
        <v>0.96</v>
      </c>
      <c r="X256" s="100">
        <v>1.37</v>
      </c>
      <c r="Y256" s="14" t="str">
        <f>RTD("money.excel",,"1725","Price")</f>
        <v>無資料</v>
      </c>
      <c r="Z256" s="69"/>
      <c r="AA256" s="16" t="e">
        <f t="shared" si="90"/>
        <v>#VALUE!</v>
      </c>
      <c r="AB256" s="3" t="e">
        <f t="shared" si="91"/>
        <v>#VALUE!</v>
      </c>
      <c r="AD256" s="23" t="s">
        <v>1329</v>
      </c>
      <c r="AG256" s="34">
        <f t="shared" si="92"/>
        <v>0</v>
      </c>
      <c r="AH256" s="44" t="s">
        <v>4459</v>
      </c>
      <c r="AI256" s="131"/>
      <c r="AK256" s="66">
        <f t="shared" si="95"/>
        <v>0</v>
      </c>
      <c r="AL256" s="174">
        <f t="shared" si="96"/>
        <v>0</v>
      </c>
      <c r="AM256" s="346">
        <f>RTD("money.excel",,$G256,"PredictVolume")</f>
        <v>0</v>
      </c>
      <c r="AN256" s="272">
        <f>RTD("money.excel",,$G256,"CumulativeVolume")</f>
        <v>0</v>
      </c>
      <c r="AO256" s="284"/>
    </row>
    <row r="257" spans="1:41">
      <c r="A257" s="151" t="s">
        <v>2628</v>
      </c>
      <c r="B257" s="96">
        <v>-23</v>
      </c>
      <c r="C257" s="96">
        <v>-7</v>
      </c>
      <c r="D257" s="96">
        <v>15</v>
      </c>
      <c r="E257" s="96">
        <v>12</v>
      </c>
      <c r="F257" s="7">
        <v>9.59</v>
      </c>
      <c r="G257" s="85">
        <v>1726</v>
      </c>
      <c r="H257" s="4" t="s">
        <v>1308</v>
      </c>
      <c r="I257" s="23" t="s">
        <v>1330</v>
      </c>
      <c r="J257" s="77">
        <v>88.18</v>
      </c>
      <c r="K257" s="77">
        <v>14.77</v>
      </c>
      <c r="L257" s="77">
        <v>0.14000000000000001</v>
      </c>
      <c r="N257" s="365">
        <f t="shared" si="87"/>
        <v>103.09</v>
      </c>
      <c r="O257" s="343">
        <f t="shared" si="88"/>
        <v>88.18</v>
      </c>
      <c r="P257" s="195" t="s">
        <v>5554</v>
      </c>
      <c r="Q257" s="326" t="str">
        <f>IFERROR(VLOOKUP($G257,主力整理!$A$2:$G$2301,6,0),"0")</f>
        <v>0</v>
      </c>
      <c r="T257" s="339">
        <f t="shared" si="89"/>
        <v>0</v>
      </c>
      <c r="V257" s="371">
        <v>49.87</v>
      </c>
      <c r="W257" s="69">
        <v>3.5</v>
      </c>
      <c r="X257" s="100">
        <v>5.13</v>
      </c>
      <c r="Y257" s="14" t="str">
        <f>RTD("money.excel",,"1726","Price")</f>
        <v>無資料</v>
      </c>
      <c r="Z257" s="69"/>
      <c r="AA257" s="16" t="e">
        <f t="shared" si="90"/>
        <v>#VALUE!</v>
      </c>
      <c r="AB257" s="3" t="e">
        <f t="shared" si="91"/>
        <v>#VALUE!</v>
      </c>
      <c r="AC257" s="177" t="s">
        <v>2700</v>
      </c>
      <c r="AD257" s="23" t="s">
        <v>1330</v>
      </c>
      <c r="AG257" s="34">
        <f t="shared" si="92"/>
        <v>0</v>
      </c>
      <c r="AH257" s="44" t="s">
        <v>4460</v>
      </c>
      <c r="AI257" s="131"/>
      <c r="AK257" s="66">
        <f t="shared" si="95"/>
        <v>0</v>
      </c>
      <c r="AL257" s="174">
        <f t="shared" si="96"/>
        <v>0</v>
      </c>
      <c r="AM257" s="346">
        <f>RTD("money.excel",,$G257,"PredictVolume")</f>
        <v>0</v>
      </c>
      <c r="AN257" s="272">
        <f>RTD("money.excel",,$G257,"CumulativeVolume")</f>
        <v>0</v>
      </c>
      <c r="AO257" s="284"/>
    </row>
    <row r="258" spans="1:41">
      <c r="A258" s="151" t="s">
        <v>2583</v>
      </c>
      <c r="B258" s="85">
        <v>-942</v>
      </c>
      <c r="C258" s="85">
        <v>-263</v>
      </c>
      <c r="D258" s="84">
        <v>-5</v>
      </c>
      <c r="E258" s="85">
        <v>-19</v>
      </c>
      <c r="F258" s="7">
        <v>-2.86</v>
      </c>
      <c r="G258" s="85">
        <v>1727</v>
      </c>
      <c r="H258" s="4" t="s">
        <v>1308</v>
      </c>
      <c r="I258" s="163" t="s">
        <v>1331</v>
      </c>
      <c r="J258" s="371">
        <v>55.39</v>
      </c>
      <c r="K258" s="77">
        <v>1.21</v>
      </c>
      <c r="L258" s="371">
        <v>0.31</v>
      </c>
      <c r="N258" s="365">
        <f t="shared" si="87"/>
        <v>56.910000000000004</v>
      </c>
      <c r="O258" s="343">
        <f t="shared" si="88"/>
        <v>55.39</v>
      </c>
      <c r="P258" s="195">
        <v>1</v>
      </c>
      <c r="Q258" s="326">
        <f>IFERROR(VLOOKUP($G258,主力整理!$A$2:$G$2301,6,0),"0")</f>
        <v>5</v>
      </c>
      <c r="R258" s="111">
        <v>13</v>
      </c>
      <c r="S258" s="51">
        <v>0</v>
      </c>
      <c r="T258" s="339">
        <f t="shared" si="89"/>
        <v>19</v>
      </c>
      <c r="V258" s="371">
        <v>0</v>
      </c>
      <c r="W258" s="205">
        <v>0.5</v>
      </c>
      <c r="X258" s="100">
        <v>-1.26</v>
      </c>
      <c r="Y258" s="14" t="str">
        <f>RTD("money.excel",,"1727","Price")</f>
        <v>無資料</v>
      </c>
      <c r="Z258" s="69"/>
      <c r="AA258" s="16" t="e">
        <f t="shared" si="90"/>
        <v>#VALUE!</v>
      </c>
      <c r="AB258" s="3" t="e">
        <f t="shared" si="91"/>
        <v>#VALUE!</v>
      </c>
      <c r="AC258" s="177" t="s">
        <v>2648</v>
      </c>
      <c r="AD258" s="23" t="s">
        <v>1331</v>
      </c>
      <c r="AG258" s="34">
        <f t="shared" si="92"/>
        <v>0</v>
      </c>
      <c r="AH258" s="44" t="s">
        <v>1701</v>
      </c>
      <c r="AI258" s="131"/>
      <c r="AK258" s="66">
        <f t="shared" si="95"/>
        <v>0</v>
      </c>
      <c r="AL258" s="174">
        <f t="shared" si="96"/>
        <v>0</v>
      </c>
      <c r="AM258" s="346">
        <f>RTD("money.excel",,$G258,"PredictVolume")</f>
        <v>0</v>
      </c>
      <c r="AN258" s="272">
        <f>RTD("money.excel",,$G258,"CumulativeVolume")</f>
        <v>0</v>
      </c>
      <c r="AO258" s="284"/>
    </row>
    <row r="259" spans="1:41">
      <c r="A259" s="135" t="s">
        <v>2360</v>
      </c>
      <c r="B259" s="96">
        <v>100</v>
      </c>
      <c r="C259" s="96">
        <v>152</v>
      </c>
      <c r="D259" s="96">
        <v>1</v>
      </c>
      <c r="E259" s="96">
        <v>-28</v>
      </c>
      <c r="F259" s="59">
        <v>14.79</v>
      </c>
      <c r="G259" s="85">
        <v>1730</v>
      </c>
      <c r="H259" s="4" t="s">
        <v>1308</v>
      </c>
      <c r="I259" s="23" t="s">
        <v>1332</v>
      </c>
      <c r="J259" s="77">
        <v>58.17</v>
      </c>
      <c r="K259" s="77">
        <v>8.34</v>
      </c>
      <c r="L259" s="77">
        <v>2.2200000000000002</v>
      </c>
      <c r="N259" s="365">
        <f t="shared" si="87"/>
        <v>68.73</v>
      </c>
      <c r="O259" s="343">
        <f t="shared" si="88"/>
        <v>58.17</v>
      </c>
      <c r="P259" s="195" t="s">
        <v>5554</v>
      </c>
      <c r="Q259" s="326" t="str">
        <f>IFERROR(VLOOKUP($G259,主力整理!$A$2:$G$2301,6,0),"0")</f>
        <v>0</v>
      </c>
      <c r="T259" s="339">
        <f t="shared" si="89"/>
        <v>0</v>
      </c>
      <c r="V259" s="371">
        <v>22.97</v>
      </c>
      <c r="W259" s="69">
        <v>3.86</v>
      </c>
      <c r="X259" s="100">
        <v>5.51</v>
      </c>
      <c r="Y259" s="14" t="str">
        <f>RTD("money.excel",,"1730","Price")</f>
        <v>無資料</v>
      </c>
      <c r="Z259" s="69"/>
      <c r="AA259" s="16" t="e">
        <f t="shared" si="90"/>
        <v>#VALUE!</v>
      </c>
      <c r="AB259" s="3" t="e">
        <f t="shared" si="91"/>
        <v>#VALUE!</v>
      </c>
      <c r="AC259" s="177" t="s">
        <v>2700</v>
      </c>
      <c r="AD259" s="23" t="s">
        <v>1332</v>
      </c>
      <c r="AG259" s="34">
        <f t="shared" si="92"/>
        <v>0</v>
      </c>
      <c r="AH259" s="63" t="s">
        <v>4461</v>
      </c>
      <c r="AI259" s="131"/>
      <c r="AK259" s="66">
        <f t="shared" si="95"/>
        <v>0</v>
      </c>
      <c r="AL259" s="174">
        <f t="shared" si="96"/>
        <v>0</v>
      </c>
      <c r="AM259" s="346">
        <f>RTD("money.excel",,$G259,"PredictVolume")</f>
        <v>0</v>
      </c>
      <c r="AN259" s="272">
        <f>RTD("money.excel",,$G259,"CumulativeVolume")</f>
        <v>0</v>
      </c>
      <c r="AO259" s="284"/>
    </row>
    <row r="260" spans="1:41">
      <c r="A260" s="151" t="s">
        <v>2496</v>
      </c>
      <c r="B260" s="85">
        <v>-35</v>
      </c>
      <c r="C260" s="85">
        <v>-58</v>
      </c>
      <c r="D260" s="85">
        <v>-4</v>
      </c>
      <c r="E260" s="84">
        <v>10</v>
      </c>
      <c r="F260" s="7">
        <v>3.26</v>
      </c>
      <c r="G260" s="85">
        <v>1732</v>
      </c>
      <c r="H260" s="4" t="s">
        <v>1308</v>
      </c>
      <c r="I260" s="23" t="s">
        <v>1333</v>
      </c>
      <c r="J260" s="371">
        <v>44.33</v>
      </c>
      <c r="K260" s="371">
        <v>2.86</v>
      </c>
      <c r="L260" s="371">
        <v>20.81</v>
      </c>
      <c r="M260" s="371">
        <v>28.64</v>
      </c>
      <c r="N260" s="365">
        <f t="shared" si="87"/>
        <v>96.64</v>
      </c>
      <c r="O260" s="343">
        <f t="shared" si="88"/>
        <v>72.97</v>
      </c>
      <c r="P260" s="195">
        <v>2</v>
      </c>
      <c r="Q260" s="326">
        <v>26</v>
      </c>
      <c r="R260" s="111">
        <v>30</v>
      </c>
      <c r="S260" s="51">
        <v>33</v>
      </c>
      <c r="T260" s="339">
        <f t="shared" si="89"/>
        <v>91</v>
      </c>
      <c r="U260" s="329" t="s">
        <v>6538</v>
      </c>
      <c r="V260" s="371">
        <v>3.06</v>
      </c>
      <c r="W260" s="35">
        <v>0.5</v>
      </c>
      <c r="X260" s="100">
        <v>0.7</v>
      </c>
      <c r="Y260" s="37" t="str">
        <f>RTD("money.excel",,"1732","Price")</f>
        <v>無資料</v>
      </c>
      <c r="Z260" s="69"/>
      <c r="AA260" s="16" t="e">
        <f t="shared" si="90"/>
        <v>#VALUE!</v>
      </c>
      <c r="AB260" s="3" t="e">
        <f t="shared" si="91"/>
        <v>#VALUE!</v>
      </c>
      <c r="AC260" s="177" t="s">
        <v>2648</v>
      </c>
      <c r="AD260" s="23" t="s">
        <v>1333</v>
      </c>
      <c r="AG260" s="34">
        <f t="shared" si="92"/>
        <v>0</v>
      </c>
      <c r="AH260" s="44" t="s">
        <v>2277</v>
      </c>
      <c r="AI260" s="131"/>
      <c r="AK260" s="66">
        <f t="shared" si="95"/>
        <v>0</v>
      </c>
      <c r="AL260" s="174">
        <f t="shared" si="96"/>
        <v>0</v>
      </c>
      <c r="AM260" s="346">
        <f>RTD("money.excel",,$G260,"PredictVolume")</f>
        <v>0</v>
      </c>
      <c r="AN260" s="272">
        <f>RTD("money.excel",,$G260,"CumulativeVolume")</f>
        <v>0</v>
      </c>
      <c r="AO260" s="284"/>
    </row>
    <row r="261" spans="1:41">
      <c r="A261" s="151" t="s">
        <v>4851</v>
      </c>
      <c r="B261" s="96">
        <v>-76</v>
      </c>
      <c r="C261" s="96">
        <v>-58</v>
      </c>
      <c r="D261" s="96">
        <v>-16</v>
      </c>
      <c r="E261" s="96">
        <v>62</v>
      </c>
      <c r="F261" s="7">
        <v>3.69</v>
      </c>
      <c r="G261" s="85">
        <v>1735</v>
      </c>
      <c r="H261" s="4" t="s">
        <v>1308</v>
      </c>
      <c r="I261" s="23" t="s">
        <v>1334</v>
      </c>
      <c r="J261" s="77">
        <v>85.21</v>
      </c>
      <c r="K261" s="77">
        <v>50.2</v>
      </c>
      <c r="L261" s="77">
        <v>1.71</v>
      </c>
      <c r="N261" s="365">
        <f t="shared" si="87"/>
        <v>137.12</v>
      </c>
      <c r="O261" s="343">
        <f t="shared" si="88"/>
        <v>85.21</v>
      </c>
      <c r="P261" s="195" t="s">
        <v>5554</v>
      </c>
      <c r="Q261" s="326" t="str">
        <f>IFERROR(VLOOKUP($G261,主力整理!$A$2:$G$2301,6,0),"0")</f>
        <v>0</v>
      </c>
      <c r="T261" s="339">
        <f t="shared" si="89"/>
        <v>0</v>
      </c>
      <c r="V261" s="371">
        <v>65</v>
      </c>
      <c r="W261" s="35">
        <v>0.5</v>
      </c>
      <c r="X261" s="59">
        <v>0.75</v>
      </c>
      <c r="Y261" s="14" t="str">
        <f>RTD("money.excel",,"1735","Price")</f>
        <v>無資料</v>
      </c>
      <c r="Z261" s="69"/>
      <c r="AA261" s="16" t="e">
        <f t="shared" si="90"/>
        <v>#VALUE!</v>
      </c>
      <c r="AB261" s="3" t="e">
        <f t="shared" si="91"/>
        <v>#VALUE!</v>
      </c>
      <c r="AD261" s="23" t="s">
        <v>1334</v>
      </c>
      <c r="AG261" s="34">
        <f t="shared" si="92"/>
        <v>0</v>
      </c>
      <c r="AH261" s="44" t="s">
        <v>4016</v>
      </c>
      <c r="AI261" s="131"/>
      <c r="AK261" s="66">
        <f t="shared" si="95"/>
        <v>0</v>
      </c>
      <c r="AL261" s="174">
        <f t="shared" si="96"/>
        <v>0</v>
      </c>
      <c r="AM261" s="346">
        <f>RTD("money.excel",,$G261,"PredictVolume")</f>
        <v>0</v>
      </c>
      <c r="AN261" s="272">
        <f>RTD("money.excel",,$G261,"CumulativeVolume")</f>
        <v>0</v>
      </c>
      <c r="AO261" s="284"/>
    </row>
    <row r="262" spans="1:41">
      <c r="A262" s="151" t="s">
        <v>4730</v>
      </c>
      <c r="B262" s="96">
        <v>-101</v>
      </c>
      <c r="C262" s="96">
        <v>-59</v>
      </c>
      <c r="D262" s="96">
        <v>163</v>
      </c>
      <c r="E262" s="96">
        <v>57</v>
      </c>
      <c r="F262" s="7">
        <v>7.69</v>
      </c>
      <c r="G262" s="85">
        <v>1742</v>
      </c>
      <c r="H262" s="4" t="s">
        <v>1308</v>
      </c>
      <c r="I262" s="17" t="s">
        <v>1309</v>
      </c>
      <c r="J262" s="77">
        <v>55.9</v>
      </c>
      <c r="K262" s="77">
        <v>0.81</v>
      </c>
      <c r="L262" s="77">
        <v>43.64</v>
      </c>
      <c r="N262" s="365">
        <f t="shared" si="87"/>
        <v>100.35</v>
      </c>
      <c r="O262" s="343">
        <f t="shared" si="88"/>
        <v>55.9</v>
      </c>
      <c r="P262" s="195" t="s">
        <v>5554</v>
      </c>
      <c r="Q262" s="326" t="str">
        <f>IFERROR(VLOOKUP($G262,主力整理!$A$2:$G$2301,6,0),"0")</f>
        <v>0</v>
      </c>
      <c r="T262" s="339">
        <f t="shared" si="89"/>
        <v>0</v>
      </c>
      <c r="V262" s="371">
        <v>11.11</v>
      </c>
      <c r="W262" s="35">
        <v>0</v>
      </c>
      <c r="X262" s="100">
        <v>-0.09</v>
      </c>
      <c r="Y262" s="14" t="str">
        <f>RTD("money.excel",,"1742","Price")</f>
        <v>無資料</v>
      </c>
      <c r="Z262" s="69"/>
      <c r="AA262" s="16" t="e">
        <f t="shared" si="90"/>
        <v>#VALUE!</v>
      </c>
      <c r="AB262" s="3" t="e">
        <f t="shared" si="91"/>
        <v>#VALUE!</v>
      </c>
      <c r="AD262" s="17" t="s">
        <v>1309</v>
      </c>
      <c r="AG262" s="34">
        <f t="shared" si="92"/>
        <v>0</v>
      </c>
      <c r="AH262" s="44" t="s">
        <v>4155</v>
      </c>
      <c r="AI262" s="131"/>
      <c r="AK262" s="66">
        <f t="shared" si="95"/>
        <v>0</v>
      </c>
      <c r="AL262" s="174">
        <f t="shared" si="96"/>
        <v>0</v>
      </c>
      <c r="AM262" s="346">
        <f>RTD("money.excel",,$G262,"PredictVolume")</f>
        <v>0</v>
      </c>
      <c r="AN262" s="272">
        <f>RTD("money.excel",,$G262,"CumulativeVolume")</f>
        <v>0</v>
      </c>
      <c r="AO262" s="284"/>
    </row>
    <row r="263" spans="1:41">
      <c r="A263" s="135" t="s">
        <v>3171</v>
      </c>
      <c r="B263" s="84">
        <v>47</v>
      </c>
      <c r="C263" s="84">
        <v>56</v>
      </c>
      <c r="D263" s="84">
        <v>2</v>
      </c>
      <c r="E263" s="85">
        <v>-4</v>
      </c>
      <c r="F263" s="59">
        <v>16.309999999999999</v>
      </c>
      <c r="G263" s="85">
        <v>1773</v>
      </c>
      <c r="H263" s="4" t="s">
        <v>1308</v>
      </c>
      <c r="I263" s="23" t="s">
        <v>1335</v>
      </c>
      <c r="J263" s="371">
        <v>72.48</v>
      </c>
      <c r="K263" s="371">
        <v>2.5099999999999998</v>
      </c>
      <c r="L263" s="371">
        <v>3.17</v>
      </c>
      <c r="N263" s="365">
        <f t="shared" si="87"/>
        <v>78.160000000000011</v>
      </c>
      <c r="O263" s="343">
        <f t="shared" si="88"/>
        <v>72.48</v>
      </c>
      <c r="P263" s="195" t="s">
        <v>5554</v>
      </c>
      <c r="Q263" s="326" t="str">
        <f>IFERROR(VLOOKUP($G263,主力整理!$A$2:$G$2301,6,0),"0")</f>
        <v>0</v>
      </c>
      <c r="T263" s="339">
        <f t="shared" si="89"/>
        <v>0</v>
      </c>
      <c r="V263" s="371">
        <v>0.18</v>
      </c>
      <c r="W263" s="69">
        <v>4.5999999999999996</v>
      </c>
      <c r="X263" s="100">
        <v>6.81</v>
      </c>
      <c r="Y263" s="37" t="str">
        <f>RTD("money.excel",,"1773","Price")</f>
        <v>無資料</v>
      </c>
      <c r="Z263" s="69"/>
      <c r="AA263" s="16" t="e">
        <f t="shared" si="90"/>
        <v>#VALUE!</v>
      </c>
      <c r="AB263" s="3" t="e">
        <f t="shared" si="91"/>
        <v>#VALUE!</v>
      </c>
      <c r="AC263" s="177" t="s">
        <v>2929</v>
      </c>
      <c r="AD263" s="23" t="s">
        <v>1335</v>
      </c>
      <c r="AG263" s="34">
        <f t="shared" si="92"/>
        <v>0</v>
      </c>
      <c r="AH263" s="63" t="s">
        <v>4462</v>
      </c>
      <c r="AI263" s="131"/>
      <c r="AK263" s="66">
        <f t="shared" si="95"/>
        <v>0</v>
      </c>
      <c r="AL263" s="174">
        <f t="shared" si="96"/>
        <v>0</v>
      </c>
      <c r="AM263" s="346">
        <f>RTD("money.excel",,$G263,"PredictVolume")</f>
        <v>0</v>
      </c>
      <c r="AN263" s="272">
        <f>RTD("money.excel",,$G263,"CumulativeVolume")</f>
        <v>0</v>
      </c>
      <c r="AO263" s="284"/>
    </row>
    <row r="264" spans="1:41">
      <c r="A264" s="151" t="s">
        <v>4594</v>
      </c>
      <c r="B264" s="96">
        <v>-39</v>
      </c>
      <c r="C264" s="96">
        <v>-11</v>
      </c>
      <c r="D264" s="96">
        <v>-13</v>
      </c>
      <c r="E264" s="96">
        <v>14</v>
      </c>
      <c r="F264" s="7">
        <v>4.91</v>
      </c>
      <c r="G264" s="85">
        <v>1776</v>
      </c>
      <c r="H264" s="4" t="s">
        <v>1308</v>
      </c>
      <c r="I264" s="23" t="s">
        <v>1336</v>
      </c>
      <c r="J264" s="77">
        <v>72.7</v>
      </c>
      <c r="K264" s="77">
        <v>0.04</v>
      </c>
      <c r="L264" s="77">
        <v>0.42</v>
      </c>
      <c r="N264" s="365">
        <f t="shared" si="87"/>
        <v>73.160000000000011</v>
      </c>
      <c r="O264" s="343">
        <f t="shared" si="88"/>
        <v>72.7</v>
      </c>
      <c r="P264" s="195" t="s">
        <v>5554</v>
      </c>
      <c r="Q264" s="326">
        <f>IFERROR(VLOOKUP($G264,主力整理!$A$2:$G$2301,6,0),"0")</f>
        <v>3</v>
      </c>
      <c r="T264" s="339">
        <f t="shared" si="89"/>
        <v>3</v>
      </c>
      <c r="V264" s="371">
        <v>10.4</v>
      </c>
      <c r="W264" s="35">
        <v>1</v>
      </c>
      <c r="X264" s="100">
        <v>0.65</v>
      </c>
      <c r="Y264" s="14" t="str">
        <f>RTD("money.excel",,"1776","Price")</f>
        <v>無資料</v>
      </c>
      <c r="Z264" s="69"/>
      <c r="AA264" s="16" t="e">
        <f t="shared" si="90"/>
        <v>#VALUE!</v>
      </c>
      <c r="AB264" s="3" t="e">
        <f t="shared" si="91"/>
        <v>#VALUE!</v>
      </c>
      <c r="AD264" s="23" t="s">
        <v>1336</v>
      </c>
      <c r="AG264" s="34">
        <f t="shared" si="92"/>
        <v>0</v>
      </c>
      <c r="AH264" s="44" t="s">
        <v>4463</v>
      </c>
      <c r="AI264" s="131"/>
      <c r="AK264" s="66">
        <f t="shared" si="95"/>
        <v>0</v>
      </c>
      <c r="AL264" s="174">
        <f t="shared" si="96"/>
        <v>0</v>
      </c>
      <c r="AM264" s="346">
        <f>RTD("money.excel",,$G264,"PredictVolume")</f>
        <v>0</v>
      </c>
      <c r="AN264" s="272">
        <f>RTD("money.excel",,$G264,"CumulativeVolume")</f>
        <v>0</v>
      </c>
      <c r="AO264" s="284"/>
    </row>
    <row r="265" spans="1:41">
      <c r="A265" s="151" t="s">
        <v>2499</v>
      </c>
      <c r="B265" s="85">
        <v>-82</v>
      </c>
      <c r="C265" s="85">
        <v>-86</v>
      </c>
      <c r="D265" s="85">
        <v>-32</v>
      </c>
      <c r="E265" s="85">
        <v>-39</v>
      </c>
      <c r="F265" s="7">
        <v>1.01</v>
      </c>
      <c r="G265" s="85">
        <v>3708</v>
      </c>
      <c r="H265" s="4" t="s">
        <v>1308</v>
      </c>
      <c r="I265" s="23" t="s">
        <v>528</v>
      </c>
      <c r="J265" s="371">
        <v>37.5</v>
      </c>
      <c r="K265" s="371">
        <v>8.2200000000000006</v>
      </c>
      <c r="L265" s="77">
        <v>29.5</v>
      </c>
      <c r="M265" s="371">
        <v>10.039999999999999</v>
      </c>
      <c r="N265" s="365">
        <f t="shared" si="87"/>
        <v>85.259999999999991</v>
      </c>
      <c r="O265" s="343">
        <f t="shared" si="88"/>
        <v>47.54</v>
      </c>
      <c r="P265" s="195">
        <v>12</v>
      </c>
      <c r="Q265" s="326">
        <v>21</v>
      </c>
      <c r="R265" s="111">
        <v>24</v>
      </c>
      <c r="S265" s="51">
        <v>22</v>
      </c>
      <c r="T265" s="339">
        <f t="shared" si="89"/>
        <v>79</v>
      </c>
      <c r="U265" s="329" t="s">
        <v>6539</v>
      </c>
      <c r="V265" s="371">
        <v>6.23</v>
      </c>
      <c r="W265" s="69">
        <v>3.5</v>
      </c>
      <c r="X265" s="100">
        <v>2.09</v>
      </c>
      <c r="Y265" s="37" t="str">
        <f>RTD("money.excel",,"3708","Price")</f>
        <v>無資料</v>
      </c>
      <c r="Z265" s="69"/>
      <c r="AA265" s="16" t="e">
        <f t="shared" si="90"/>
        <v>#VALUE!</v>
      </c>
      <c r="AB265" s="3" t="e">
        <f t="shared" si="91"/>
        <v>#VALUE!</v>
      </c>
      <c r="AC265" s="177" t="s">
        <v>2929</v>
      </c>
      <c r="AD265" s="23" t="s">
        <v>528</v>
      </c>
      <c r="AG265" s="34">
        <f t="shared" si="92"/>
        <v>0</v>
      </c>
      <c r="AH265" s="44" t="s">
        <v>4388</v>
      </c>
      <c r="AI265" s="131"/>
      <c r="AK265" s="66">
        <f t="shared" si="95"/>
        <v>0</v>
      </c>
      <c r="AL265" s="174">
        <f t="shared" si="96"/>
        <v>0</v>
      </c>
      <c r="AM265" s="346">
        <f>RTD("money.excel",,$G265,"PredictVolume")</f>
        <v>0</v>
      </c>
      <c r="AN265" s="272">
        <f>RTD("money.excel",,$G265,"CumulativeVolume")</f>
        <v>0</v>
      </c>
      <c r="AO265" s="284"/>
    </row>
    <row r="266" spans="1:41">
      <c r="A266" s="151" t="s">
        <v>4731</v>
      </c>
      <c r="B266" s="96">
        <v>-109</v>
      </c>
      <c r="C266" s="214">
        <v>-1092</v>
      </c>
      <c r="D266" s="96">
        <v>95</v>
      </c>
      <c r="E266" s="96">
        <v>60</v>
      </c>
      <c r="F266" s="7">
        <v>-3.92</v>
      </c>
      <c r="G266" s="85">
        <v>4702</v>
      </c>
      <c r="H266" s="4" t="s">
        <v>1308</v>
      </c>
      <c r="I266" s="17" t="s">
        <v>1310</v>
      </c>
      <c r="J266" s="77">
        <v>71.290000000000006</v>
      </c>
      <c r="K266" s="77">
        <v>49.31</v>
      </c>
      <c r="N266" s="365">
        <f t="shared" si="87"/>
        <v>120.60000000000001</v>
      </c>
      <c r="O266" s="343">
        <f t="shared" si="88"/>
        <v>71.290000000000006</v>
      </c>
      <c r="P266" s="195" t="s">
        <v>5554</v>
      </c>
      <c r="Q266" s="326">
        <f>IFERROR(VLOOKUP($G266,主力整理!$A$2:$G$2301,6,0),"0")</f>
        <v>4</v>
      </c>
      <c r="T266" s="339">
        <f t="shared" si="89"/>
        <v>4</v>
      </c>
      <c r="V266" s="371">
        <v>42.65</v>
      </c>
      <c r="W266" s="35">
        <v>0</v>
      </c>
      <c r="X266" s="59">
        <v>0.6</v>
      </c>
      <c r="Y266" s="14" t="str">
        <f>RTD("money.excel",,"4702","Price")</f>
        <v>無資料</v>
      </c>
      <c r="Z266" s="69"/>
      <c r="AA266" s="16" t="e">
        <f t="shared" si="90"/>
        <v>#VALUE!</v>
      </c>
      <c r="AB266" s="3" t="e">
        <f t="shared" si="91"/>
        <v>#VALUE!</v>
      </c>
      <c r="AD266" s="17" t="s">
        <v>1310</v>
      </c>
      <c r="AG266" s="34">
        <f t="shared" si="92"/>
        <v>0</v>
      </c>
      <c r="AH266" s="44" t="s">
        <v>4156</v>
      </c>
      <c r="AI266" s="131"/>
      <c r="AK266" s="66">
        <f t="shared" si="95"/>
        <v>0</v>
      </c>
      <c r="AL266" s="174">
        <f t="shared" si="96"/>
        <v>0</v>
      </c>
      <c r="AM266" s="346">
        <f>RTD("money.excel",,$G266,"PredictVolume")</f>
        <v>0</v>
      </c>
      <c r="AN266" s="272">
        <f>RTD("money.excel",,$G266,"CumulativeVolume")</f>
        <v>0</v>
      </c>
      <c r="AO266" s="284"/>
    </row>
    <row r="267" spans="1:41">
      <c r="A267" s="151" t="s">
        <v>4732</v>
      </c>
      <c r="B267" s="96">
        <v>-4</v>
      </c>
      <c r="C267" s="96">
        <v>-15</v>
      </c>
      <c r="D267" s="96">
        <v>8</v>
      </c>
      <c r="E267" s="96">
        <v>36</v>
      </c>
      <c r="F267" s="7">
        <v>6.64</v>
      </c>
      <c r="G267" s="85">
        <v>4706</v>
      </c>
      <c r="H267" s="4" t="s">
        <v>1308</v>
      </c>
      <c r="I267" s="17" t="s">
        <v>1311</v>
      </c>
      <c r="J267" s="77">
        <v>65.239999999999995</v>
      </c>
      <c r="K267" s="77">
        <v>30.65</v>
      </c>
      <c r="L267" s="77">
        <v>0.17</v>
      </c>
      <c r="N267" s="365">
        <f t="shared" si="87"/>
        <v>96.059999999999988</v>
      </c>
      <c r="O267" s="343">
        <f t="shared" si="88"/>
        <v>65.239999999999995</v>
      </c>
      <c r="P267" s="195" t="s">
        <v>5554</v>
      </c>
      <c r="Q267" s="326" t="str">
        <f>IFERROR(VLOOKUP($G267,主力整理!$A$2:$G$2301,6,0),"0")</f>
        <v>0</v>
      </c>
      <c r="T267" s="339">
        <f t="shared" si="89"/>
        <v>0</v>
      </c>
      <c r="V267" s="371">
        <v>45.2</v>
      </c>
      <c r="W267" s="35">
        <v>0.8</v>
      </c>
      <c r="X267" s="100">
        <v>1.22</v>
      </c>
      <c r="Y267" s="14" t="str">
        <f>RTD("money.excel",,"4706","Price")</f>
        <v>無資料</v>
      </c>
      <c r="Z267" s="69"/>
      <c r="AA267" s="16" t="e">
        <f t="shared" si="90"/>
        <v>#VALUE!</v>
      </c>
      <c r="AB267" s="3" t="e">
        <f t="shared" si="91"/>
        <v>#VALUE!</v>
      </c>
      <c r="AD267" s="17" t="s">
        <v>1311</v>
      </c>
      <c r="AG267" s="34">
        <f t="shared" si="92"/>
        <v>0</v>
      </c>
      <c r="AH267" s="44" t="s">
        <v>4157</v>
      </c>
      <c r="AI267" s="284"/>
      <c r="AK267" s="66">
        <f t="shared" si="95"/>
        <v>0</v>
      </c>
      <c r="AL267" s="174">
        <f t="shared" si="96"/>
        <v>0</v>
      </c>
      <c r="AM267" s="346">
        <f>RTD("money.excel",,$G267,"PredictVolume")</f>
        <v>0</v>
      </c>
      <c r="AN267" s="272">
        <f>RTD("money.excel",,$G267,"CumulativeVolume")</f>
        <v>0</v>
      </c>
      <c r="AO267" s="284"/>
    </row>
    <row r="268" spans="1:41">
      <c r="A268" s="151" t="s">
        <v>4733</v>
      </c>
      <c r="B268" s="96">
        <v>-17</v>
      </c>
      <c r="C268" s="96">
        <v>-23</v>
      </c>
      <c r="D268" s="96">
        <v>-22</v>
      </c>
      <c r="E268" s="96">
        <v>4</v>
      </c>
      <c r="F268" s="7">
        <v>1.81</v>
      </c>
      <c r="G268" s="85">
        <v>4707</v>
      </c>
      <c r="H268" s="4" t="s">
        <v>1308</v>
      </c>
      <c r="I268" s="17" t="s">
        <v>1312</v>
      </c>
      <c r="J268" s="77">
        <v>71.290000000000006</v>
      </c>
      <c r="K268" s="77">
        <v>0.15</v>
      </c>
      <c r="L268" s="77">
        <v>11.45</v>
      </c>
      <c r="N268" s="365">
        <f t="shared" si="87"/>
        <v>82.890000000000015</v>
      </c>
      <c r="O268" s="343">
        <f t="shared" si="88"/>
        <v>71.290000000000006</v>
      </c>
      <c r="P268" s="195" t="s">
        <v>5554</v>
      </c>
      <c r="Q268" s="326" t="str">
        <f>IFERROR(VLOOKUP($G268,主力整理!$A$2:$G$2301,6,0),"0")</f>
        <v>0</v>
      </c>
      <c r="T268" s="339">
        <f t="shared" si="89"/>
        <v>0</v>
      </c>
      <c r="V268" s="371">
        <v>11.74</v>
      </c>
      <c r="W268" s="35">
        <v>1</v>
      </c>
      <c r="X268" s="100">
        <v>0.84</v>
      </c>
      <c r="Y268" s="14" t="str">
        <f>RTD("money.excel",,"4707","Price")</f>
        <v>無資料</v>
      </c>
      <c r="Z268" s="69"/>
      <c r="AA268" s="16" t="e">
        <f t="shared" si="90"/>
        <v>#VALUE!</v>
      </c>
      <c r="AB268" s="3" t="e">
        <f t="shared" si="91"/>
        <v>#VALUE!</v>
      </c>
      <c r="AD268" s="17" t="s">
        <v>1312</v>
      </c>
      <c r="AG268" s="34">
        <f t="shared" si="92"/>
        <v>0</v>
      </c>
      <c r="AH268" s="44" t="s">
        <v>4158</v>
      </c>
      <c r="AI268" s="131"/>
      <c r="AK268" s="66">
        <f t="shared" si="95"/>
        <v>0</v>
      </c>
      <c r="AL268" s="174">
        <f t="shared" si="96"/>
        <v>0</v>
      </c>
      <c r="AM268" s="346">
        <f>RTD("money.excel",,$G268,"PredictVolume")</f>
        <v>0</v>
      </c>
      <c r="AN268" s="272">
        <f>RTD("money.excel",,$G268,"CumulativeVolume")</f>
        <v>0</v>
      </c>
      <c r="AO268" s="284"/>
    </row>
    <row r="269" spans="1:41">
      <c r="A269" s="151" t="s">
        <v>4734</v>
      </c>
      <c r="B269" s="96">
        <v>40</v>
      </c>
      <c r="C269" s="96">
        <v>8</v>
      </c>
      <c r="D269" s="96">
        <v>0</v>
      </c>
      <c r="E269" s="96">
        <v>30</v>
      </c>
      <c r="F269" s="7">
        <v>3.36</v>
      </c>
      <c r="G269" s="85">
        <v>4711</v>
      </c>
      <c r="H269" s="4" t="s">
        <v>1308</v>
      </c>
      <c r="I269" s="17" t="s">
        <v>1313</v>
      </c>
      <c r="J269" s="77">
        <v>65.53</v>
      </c>
      <c r="K269" s="77">
        <v>0.41</v>
      </c>
      <c r="L269" s="77">
        <v>1.1299999999999999</v>
      </c>
      <c r="N269" s="365">
        <f t="shared" si="87"/>
        <v>67.069999999999993</v>
      </c>
      <c r="O269" s="343">
        <f t="shared" si="88"/>
        <v>65.53</v>
      </c>
      <c r="P269" s="195" t="s">
        <v>5554</v>
      </c>
      <c r="Q269" s="326">
        <f>IFERROR(VLOOKUP($G269,主力整理!$A$2:$G$2301,6,0),"0")</f>
        <v>2</v>
      </c>
      <c r="T269" s="339">
        <f t="shared" si="89"/>
        <v>2</v>
      </c>
      <c r="V269" s="371">
        <v>21.32</v>
      </c>
      <c r="W269" s="35">
        <v>0.8</v>
      </c>
      <c r="X269" s="100">
        <v>0.91</v>
      </c>
      <c r="Y269" s="14" t="str">
        <f>RTD("money.excel",,"4711","Price")</f>
        <v>無資料</v>
      </c>
      <c r="Z269" s="69"/>
      <c r="AA269" s="16" t="e">
        <f t="shared" si="90"/>
        <v>#VALUE!</v>
      </c>
      <c r="AB269" s="3" t="e">
        <f t="shared" si="91"/>
        <v>#VALUE!</v>
      </c>
      <c r="AD269" s="17" t="s">
        <v>1313</v>
      </c>
      <c r="AG269" s="34">
        <f t="shared" si="92"/>
        <v>0</v>
      </c>
      <c r="AH269" s="44" t="s">
        <v>4159</v>
      </c>
      <c r="AI269" s="131"/>
      <c r="AK269" s="66">
        <f t="shared" si="95"/>
        <v>0</v>
      </c>
      <c r="AL269" s="174">
        <f t="shared" si="96"/>
        <v>0</v>
      </c>
      <c r="AM269" s="346">
        <f>RTD("money.excel",,$G269,"PredictVolume")</f>
        <v>0</v>
      </c>
      <c r="AN269" s="272">
        <f>RTD("money.excel",,$G269,"CumulativeVolume")</f>
        <v>0</v>
      </c>
      <c r="AO269" s="284"/>
    </row>
    <row r="270" spans="1:41">
      <c r="A270" s="151" t="s">
        <v>2624</v>
      </c>
      <c r="B270" s="85">
        <v>-40</v>
      </c>
      <c r="C270" s="85">
        <v>-198</v>
      </c>
      <c r="D270" s="84">
        <v>28</v>
      </c>
      <c r="E270" s="84">
        <v>543</v>
      </c>
      <c r="F270" s="7">
        <v>-7.18</v>
      </c>
      <c r="G270" s="85">
        <v>4714</v>
      </c>
      <c r="H270" s="4" t="s">
        <v>1308</v>
      </c>
      <c r="I270" s="17" t="s">
        <v>1314</v>
      </c>
      <c r="J270" s="371">
        <v>25.5</v>
      </c>
      <c r="K270" s="77">
        <v>1.24</v>
      </c>
      <c r="L270" s="77">
        <v>18.07</v>
      </c>
      <c r="N270" s="365">
        <f t="shared" si="87"/>
        <v>44.81</v>
      </c>
      <c r="O270" s="343">
        <f t="shared" si="88"/>
        <v>25.5</v>
      </c>
      <c r="P270" s="195">
        <v>1</v>
      </c>
      <c r="Q270" s="326" t="str">
        <f>IFERROR(VLOOKUP($G270,主力整理!$A$2:$G$2301,6,0),"0")</f>
        <v>0</v>
      </c>
      <c r="T270" s="339">
        <f t="shared" si="89"/>
        <v>1</v>
      </c>
      <c r="V270" s="371">
        <v>0.1</v>
      </c>
      <c r="W270" s="35">
        <v>0.5</v>
      </c>
      <c r="X270" s="100">
        <v>0.56999999999999995</v>
      </c>
      <c r="Y270" s="37" t="str">
        <f>RTD("money.excel",,"4714","Price")</f>
        <v>無資料</v>
      </c>
      <c r="Z270" s="69"/>
      <c r="AA270" s="16" t="e">
        <f t="shared" si="90"/>
        <v>#VALUE!</v>
      </c>
      <c r="AB270" s="3" t="e">
        <f t="shared" si="91"/>
        <v>#VALUE!</v>
      </c>
      <c r="AC270" s="177" t="s">
        <v>2648</v>
      </c>
      <c r="AD270" s="17" t="s">
        <v>1314</v>
      </c>
      <c r="AG270" s="34">
        <f t="shared" si="92"/>
        <v>0</v>
      </c>
      <c r="AH270" s="44" t="s">
        <v>4160</v>
      </c>
      <c r="AI270" s="131"/>
      <c r="AK270" s="66">
        <f t="shared" si="95"/>
        <v>0</v>
      </c>
      <c r="AL270" s="174">
        <f t="shared" si="96"/>
        <v>0</v>
      </c>
      <c r="AM270" s="346">
        <f>RTD("money.excel",,$G270,"PredictVolume")</f>
        <v>0</v>
      </c>
      <c r="AN270" s="272">
        <f>RTD("money.excel",,$G270,"CumulativeVolume")</f>
        <v>0</v>
      </c>
      <c r="AO270" s="284"/>
    </row>
    <row r="271" spans="1:41">
      <c r="A271" s="151" t="s">
        <v>4735</v>
      </c>
      <c r="B271" s="84">
        <v>109</v>
      </c>
      <c r="C271" s="84">
        <v>13</v>
      </c>
      <c r="D271" s="85">
        <v>-14</v>
      </c>
      <c r="E271" s="84">
        <v>24</v>
      </c>
      <c r="F271" s="7">
        <v>4.76</v>
      </c>
      <c r="G271" s="85">
        <v>4716</v>
      </c>
      <c r="H271" s="4" t="s">
        <v>1308</v>
      </c>
      <c r="I271" s="17" t="s">
        <v>1315</v>
      </c>
      <c r="J271" s="371">
        <v>35.590000000000003</v>
      </c>
      <c r="K271" s="371">
        <v>0.24</v>
      </c>
      <c r="L271" s="371">
        <v>58.91</v>
      </c>
      <c r="N271" s="365">
        <f t="shared" si="87"/>
        <v>94.740000000000009</v>
      </c>
      <c r="O271" s="343">
        <f t="shared" si="88"/>
        <v>35.590000000000003</v>
      </c>
      <c r="P271" s="195" t="s">
        <v>5554</v>
      </c>
      <c r="Q271" s="326" t="str">
        <f>IFERROR(VLOOKUP($G271,主力整理!$A$2:$G$2301,6,0),"0")</f>
        <v>0</v>
      </c>
      <c r="T271" s="339">
        <f t="shared" si="89"/>
        <v>0</v>
      </c>
      <c r="V271" s="371">
        <v>0.12</v>
      </c>
      <c r="W271" s="35">
        <v>0.24</v>
      </c>
      <c r="X271" s="100">
        <v>0.25</v>
      </c>
      <c r="Y271" s="37" t="str">
        <f>RTD("money.excel",,"4716","Price")</f>
        <v>無資料</v>
      </c>
      <c r="Z271" s="69"/>
      <c r="AA271" s="16" t="e">
        <f t="shared" si="90"/>
        <v>#VALUE!</v>
      </c>
      <c r="AB271" s="3" t="e">
        <f t="shared" si="91"/>
        <v>#VALUE!</v>
      </c>
      <c r="AD271" s="17" t="s">
        <v>1315</v>
      </c>
      <c r="AG271" s="34">
        <f t="shared" si="92"/>
        <v>0</v>
      </c>
      <c r="AH271" s="44" t="s">
        <v>4159</v>
      </c>
      <c r="AI271" s="131"/>
      <c r="AK271" s="66">
        <f t="shared" si="95"/>
        <v>0</v>
      </c>
      <c r="AL271" s="174">
        <f t="shared" si="96"/>
        <v>0</v>
      </c>
      <c r="AM271" s="346">
        <f>RTD("money.excel",,$G271,"PredictVolume")</f>
        <v>0</v>
      </c>
      <c r="AN271" s="272">
        <f>RTD("money.excel",,$G271,"CumulativeVolume")</f>
        <v>0</v>
      </c>
      <c r="AO271" s="284"/>
    </row>
    <row r="272" spans="1:41">
      <c r="A272" s="151" t="s">
        <v>4852</v>
      </c>
      <c r="B272" s="85">
        <v>-10</v>
      </c>
      <c r="C272" s="84">
        <v>30</v>
      </c>
      <c r="D272" s="84">
        <v>21</v>
      </c>
      <c r="E272" s="84">
        <v>14</v>
      </c>
      <c r="F272" s="7">
        <v>2.37</v>
      </c>
      <c r="G272" s="85">
        <v>4720</v>
      </c>
      <c r="H272" s="4" t="s">
        <v>1308</v>
      </c>
      <c r="I272" s="23" t="s">
        <v>1337</v>
      </c>
      <c r="J272" s="77">
        <v>52.25</v>
      </c>
      <c r="K272" s="77">
        <v>3.29</v>
      </c>
      <c r="L272" s="371">
        <v>19.12</v>
      </c>
      <c r="N272" s="365">
        <f t="shared" si="87"/>
        <v>74.66</v>
      </c>
      <c r="O272" s="343">
        <f t="shared" si="88"/>
        <v>52.25</v>
      </c>
      <c r="P272" s="195" t="s">
        <v>5554</v>
      </c>
      <c r="Q272" s="326" t="str">
        <f>IFERROR(VLOOKUP($G272,主力整理!$A$2:$G$2301,6,0),"0")</f>
        <v>0</v>
      </c>
      <c r="T272" s="339">
        <f t="shared" si="89"/>
        <v>0</v>
      </c>
      <c r="V272" s="371">
        <v>0.23</v>
      </c>
      <c r="W272" s="35">
        <v>0.5</v>
      </c>
      <c r="X272" s="100">
        <v>0.78</v>
      </c>
      <c r="Y272" s="37" t="str">
        <f>RTD("money.excel",,"4720","Price")</f>
        <v>無資料</v>
      </c>
      <c r="Z272" s="69"/>
      <c r="AA272" s="16" t="e">
        <f t="shared" si="90"/>
        <v>#VALUE!</v>
      </c>
      <c r="AB272" s="3" t="e">
        <f t="shared" si="91"/>
        <v>#VALUE!</v>
      </c>
      <c r="AC272" s="177" t="s">
        <v>2648</v>
      </c>
      <c r="AD272" s="23" t="s">
        <v>1337</v>
      </c>
      <c r="AG272" s="34">
        <f t="shared" si="92"/>
        <v>0</v>
      </c>
      <c r="AH272" s="44" t="s">
        <v>4464</v>
      </c>
      <c r="AI272" s="131"/>
      <c r="AK272" s="66">
        <f t="shared" si="95"/>
        <v>0</v>
      </c>
      <c r="AL272" s="174">
        <f t="shared" si="96"/>
        <v>0</v>
      </c>
      <c r="AM272" s="346">
        <f>RTD("money.excel",,$G272,"PredictVolume")</f>
        <v>0</v>
      </c>
      <c r="AN272" s="272">
        <f>RTD("money.excel",,$G272,"CumulativeVolume")</f>
        <v>0</v>
      </c>
      <c r="AO272" s="284"/>
    </row>
    <row r="273" spans="1:41">
      <c r="A273" s="151" t="s">
        <v>3229</v>
      </c>
      <c r="B273" s="85">
        <v>-37</v>
      </c>
      <c r="C273" s="85">
        <v>-22</v>
      </c>
      <c r="D273" s="84">
        <v>79</v>
      </c>
      <c r="E273" s="84">
        <v>5</v>
      </c>
      <c r="F273" s="7">
        <v>6.79</v>
      </c>
      <c r="G273" s="85">
        <v>4721</v>
      </c>
      <c r="H273" s="4" t="s">
        <v>1308</v>
      </c>
      <c r="I273" s="17" t="s">
        <v>392</v>
      </c>
      <c r="J273" s="371">
        <v>30.47</v>
      </c>
      <c r="K273" s="371">
        <v>1.85</v>
      </c>
      <c r="L273" s="371">
        <v>10.06</v>
      </c>
      <c r="N273" s="365">
        <f t="shared" si="87"/>
        <v>42.38</v>
      </c>
      <c r="O273" s="343">
        <f t="shared" si="88"/>
        <v>30.47</v>
      </c>
      <c r="P273" s="195">
        <v>1</v>
      </c>
      <c r="Q273" s="326">
        <f>IFERROR(VLOOKUP($G273,主力整理!$A$2:$G$2301,6,0),"0")</f>
        <v>4</v>
      </c>
      <c r="T273" s="339">
        <f t="shared" si="89"/>
        <v>5</v>
      </c>
      <c r="V273" s="371">
        <v>0.08</v>
      </c>
      <c r="W273" s="35">
        <v>1.39</v>
      </c>
      <c r="X273" s="100">
        <v>1.64</v>
      </c>
      <c r="Y273" s="37" t="str">
        <f>RTD("money.excel",,"4721","Price")</f>
        <v>無資料</v>
      </c>
      <c r="Z273" s="69"/>
      <c r="AA273" s="16" t="e">
        <f t="shared" si="90"/>
        <v>#VALUE!</v>
      </c>
      <c r="AB273" s="3" t="e">
        <f t="shared" si="91"/>
        <v>#VALUE!</v>
      </c>
      <c r="AC273" s="177" t="s">
        <v>2648</v>
      </c>
      <c r="AD273" s="17" t="s">
        <v>392</v>
      </c>
      <c r="AG273" s="34">
        <f t="shared" si="92"/>
        <v>0</v>
      </c>
      <c r="AH273" s="125" t="s">
        <v>3660</v>
      </c>
      <c r="AI273" s="131"/>
      <c r="AK273" s="66">
        <f t="shared" si="95"/>
        <v>0</v>
      </c>
      <c r="AL273" s="174">
        <f t="shared" si="96"/>
        <v>0</v>
      </c>
      <c r="AM273" s="346">
        <f>RTD("money.excel",,$G273,"PredictVolume")</f>
        <v>0</v>
      </c>
      <c r="AN273" s="272">
        <f>RTD("money.excel",,$G273,"CumulativeVolume")</f>
        <v>0</v>
      </c>
      <c r="AO273" s="284"/>
    </row>
    <row r="274" spans="1:41">
      <c r="A274" s="151" t="s">
        <v>3161</v>
      </c>
      <c r="B274" s="96">
        <v>-4</v>
      </c>
      <c r="C274" s="96">
        <v>-1</v>
      </c>
      <c r="D274" s="96">
        <v>1</v>
      </c>
      <c r="E274" s="96">
        <v>67</v>
      </c>
      <c r="F274" s="7">
        <v>6.85</v>
      </c>
      <c r="G274" s="85">
        <v>4722</v>
      </c>
      <c r="H274" s="4" t="s">
        <v>1308</v>
      </c>
      <c r="I274" s="23" t="s">
        <v>1338</v>
      </c>
      <c r="J274" s="77">
        <v>51.69</v>
      </c>
      <c r="K274" s="77">
        <v>3.59</v>
      </c>
      <c r="L274" s="77">
        <v>1.1499999999999999</v>
      </c>
      <c r="N274" s="365">
        <f t="shared" si="87"/>
        <v>56.43</v>
      </c>
      <c r="O274" s="343">
        <f t="shared" si="88"/>
        <v>51.69</v>
      </c>
      <c r="P274" s="195" t="s">
        <v>5554</v>
      </c>
      <c r="Q274" s="326" t="str">
        <f>IFERROR(VLOOKUP($G274,主力整理!$A$2:$G$2301,6,0),"0")</f>
        <v>0</v>
      </c>
      <c r="T274" s="339">
        <f t="shared" si="89"/>
        <v>0</v>
      </c>
      <c r="V274" s="371">
        <v>12.44</v>
      </c>
      <c r="W274" s="35">
        <v>2</v>
      </c>
      <c r="X274" s="100">
        <v>2.81</v>
      </c>
      <c r="Y274" s="14" t="str">
        <f>RTD("money.excel",,"4722","Price")</f>
        <v>無資料</v>
      </c>
      <c r="Z274" s="69"/>
      <c r="AA274" s="16" t="e">
        <f t="shared" si="90"/>
        <v>#VALUE!</v>
      </c>
      <c r="AB274" s="3" t="e">
        <f t="shared" si="91"/>
        <v>#VALUE!</v>
      </c>
      <c r="AD274" s="23" t="s">
        <v>1338</v>
      </c>
      <c r="AG274" s="34">
        <f t="shared" si="92"/>
        <v>0</v>
      </c>
      <c r="AH274" s="44" t="s">
        <v>4465</v>
      </c>
      <c r="AI274" s="131"/>
      <c r="AK274" s="66">
        <f t="shared" si="95"/>
        <v>0</v>
      </c>
      <c r="AL274" s="174">
        <f t="shared" si="96"/>
        <v>0</v>
      </c>
      <c r="AM274" s="346">
        <f>RTD("money.excel",,$G274,"PredictVolume")</f>
        <v>0</v>
      </c>
      <c r="AN274" s="272">
        <f>RTD("money.excel",,$G274,"CumulativeVolume")</f>
        <v>0</v>
      </c>
      <c r="AO274" s="284"/>
    </row>
    <row r="275" spans="1:41">
      <c r="A275" s="151" t="s">
        <v>2669</v>
      </c>
      <c r="B275" s="84">
        <v>237</v>
      </c>
      <c r="C275" s="84">
        <v>183</v>
      </c>
      <c r="D275" s="85">
        <v>-7</v>
      </c>
      <c r="E275" s="84">
        <v>64</v>
      </c>
      <c r="F275" s="7">
        <v>7.95</v>
      </c>
      <c r="G275" s="85">
        <v>4739</v>
      </c>
      <c r="H275" s="4" t="s">
        <v>1308</v>
      </c>
      <c r="I275" s="23" t="s">
        <v>330</v>
      </c>
      <c r="J275" s="371">
        <v>31.79</v>
      </c>
      <c r="K275" s="77">
        <v>8.33</v>
      </c>
      <c r="L275" s="77">
        <v>33.74</v>
      </c>
      <c r="N275" s="365">
        <f t="shared" si="87"/>
        <v>73.86</v>
      </c>
      <c r="O275" s="343">
        <f t="shared" si="88"/>
        <v>31.79</v>
      </c>
      <c r="P275" s="195">
        <v>2</v>
      </c>
      <c r="Q275" s="326">
        <v>13</v>
      </c>
      <c r="R275" s="111">
        <v>13</v>
      </c>
      <c r="S275" s="51">
        <v>10</v>
      </c>
      <c r="T275" s="339">
        <f t="shared" si="89"/>
        <v>38</v>
      </c>
      <c r="V275" s="371">
        <v>9.5299999999999994</v>
      </c>
      <c r="W275" s="35">
        <v>1.2</v>
      </c>
      <c r="X275" s="100">
        <v>4.3499999999999996</v>
      </c>
      <c r="Y275" s="37" t="str">
        <f>RTD("money.excel",,"4739","Price")</f>
        <v>無資料</v>
      </c>
      <c r="Z275" s="69"/>
      <c r="AA275" s="16" t="e">
        <f t="shared" si="90"/>
        <v>#VALUE!</v>
      </c>
      <c r="AB275" s="3" t="e">
        <f t="shared" si="91"/>
        <v>#VALUE!</v>
      </c>
      <c r="AC275" s="177" t="s">
        <v>2648</v>
      </c>
      <c r="AD275" s="23" t="s">
        <v>330</v>
      </c>
      <c r="AG275" s="34">
        <f t="shared" si="92"/>
        <v>0</v>
      </c>
      <c r="AH275" s="125" t="s">
        <v>3660</v>
      </c>
      <c r="AI275" s="131"/>
      <c r="AK275" s="66">
        <f t="shared" si="95"/>
        <v>0</v>
      </c>
      <c r="AL275" s="174">
        <f t="shared" si="96"/>
        <v>0</v>
      </c>
      <c r="AM275" s="346">
        <f>RTD("money.excel",,$G275,"PredictVolume")</f>
        <v>0</v>
      </c>
      <c r="AN275" s="272">
        <f>RTD("money.excel",,$G275,"CumulativeVolume")</f>
        <v>0</v>
      </c>
      <c r="AO275" s="284"/>
    </row>
    <row r="276" spans="1:41">
      <c r="A276" s="151" t="s">
        <v>2529</v>
      </c>
      <c r="B276" s="85">
        <v>-27</v>
      </c>
      <c r="C276" s="85">
        <v>-38</v>
      </c>
      <c r="D276" s="84">
        <v>10</v>
      </c>
      <c r="E276" s="84">
        <v>78</v>
      </c>
      <c r="F276" s="7">
        <v>4.58</v>
      </c>
      <c r="G276" s="85">
        <v>4741</v>
      </c>
      <c r="H276" s="4" t="s">
        <v>1308</v>
      </c>
      <c r="I276" s="17" t="s">
        <v>1316</v>
      </c>
      <c r="J276" s="371">
        <v>46.58</v>
      </c>
      <c r="K276" s="77">
        <v>0.19</v>
      </c>
      <c r="L276" s="371">
        <v>2.59</v>
      </c>
      <c r="N276" s="365">
        <f t="shared" si="87"/>
        <v>49.36</v>
      </c>
      <c r="O276" s="343">
        <f t="shared" si="88"/>
        <v>46.58</v>
      </c>
      <c r="P276" s="195" t="s">
        <v>5554</v>
      </c>
      <c r="Q276" s="326" t="str">
        <f>IFERROR(VLOOKUP($G276,主力整理!$A$2:$G$2301,6,0),"0")</f>
        <v>0</v>
      </c>
      <c r="T276" s="339">
        <f t="shared" si="89"/>
        <v>0</v>
      </c>
      <c r="V276" s="371">
        <v>0</v>
      </c>
      <c r="W276" s="35">
        <v>0.6</v>
      </c>
      <c r="X276" s="100">
        <v>0.91</v>
      </c>
      <c r="Y276" s="14" t="str">
        <f>RTD("money.excel",,"4741","Price")</f>
        <v>無資料</v>
      </c>
      <c r="Z276" s="69"/>
      <c r="AA276" s="16" t="e">
        <f t="shared" si="90"/>
        <v>#VALUE!</v>
      </c>
      <c r="AB276" s="3" t="e">
        <f t="shared" si="91"/>
        <v>#VALUE!</v>
      </c>
      <c r="AD276" s="17" t="s">
        <v>1316</v>
      </c>
      <c r="AG276" s="34">
        <f t="shared" si="92"/>
        <v>0</v>
      </c>
      <c r="AH276" s="44" t="s">
        <v>4161</v>
      </c>
      <c r="AI276" s="131"/>
      <c r="AK276" s="66">
        <f t="shared" si="95"/>
        <v>0</v>
      </c>
      <c r="AL276" s="174">
        <f t="shared" si="96"/>
        <v>0</v>
      </c>
      <c r="AM276" s="346">
        <f>RTD("money.excel",,$G276,"PredictVolume")</f>
        <v>0</v>
      </c>
      <c r="AN276" s="272">
        <f>RTD("money.excel",,$G276,"CumulativeVolume")</f>
        <v>0</v>
      </c>
      <c r="AO276" s="284"/>
    </row>
    <row r="277" spans="1:41">
      <c r="A277" s="135" t="s">
        <v>4736</v>
      </c>
      <c r="B277" s="96">
        <v>-20</v>
      </c>
      <c r="C277" s="96">
        <v>-17</v>
      </c>
      <c r="D277" s="96">
        <v>21</v>
      </c>
      <c r="E277" s="96">
        <v>10</v>
      </c>
      <c r="F277" s="59">
        <v>14.47</v>
      </c>
      <c r="G277" s="85">
        <v>4754</v>
      </c>
      <c r="H277" s="4" t="s">
        <v>1308</v>
      </c>
      <c r="I277" s="17" t="s">
        <v>514</v>
      </c>
      <c r="J277" s="77">
        <v>37.85</v>
      </c>
      <c r="K277" s="371">
        <v>0.28999999999999998</v>
      </c>
      <c r="N277" s="365">
        <f t="shared" si="87"/>
        <v>38.14</v>
      </c>
      <c r="O277" s="343">
        <f t="shared" si="88"/>
        <v>37.85</v>
      </c>
      <c r="P277" s="195" t="s">
        <v>5554</v>
      </c>
      <c r="Q277" s="326" t="str">
        <f>IFERROR(VLOOKUP($G277,主力整理!$A$2:$G$2301,6,0),"0")</f>
        <v>0</v>
      </c>
      <c r="T277" s="339">
        <f t="shared" si="89"/>
        <v>0</v>
      </c>
      <c r="V277" s="371">
        <v>37.36</v>
      </c>
      <c r="W277" s="35">
        <v>2.1</v>
      </c>
      <c r="X277" s="59">
        <v>2.6</v>
      </c>
      <c r="Y277" s="37" t="str">
        <f>RTD("money.excel",,"4754","Price")</f>
        <v>無資料</v>
      </c>
      <c r="Z277" s="69"/>
      <c r="AA277" s="16" t="e">
        <f t="shared" si="90"/>
        <v>#VALUE!</v>
      </c>
      <c r="AB277" s="3" t="e">
        <f t="shared" si="91"/>
        <v>#VALUE!</v>
      </c>
      <c r="AD277" s="17" t="s">
        <v>514</v>
      </c>
      <c r="AG277" s="34">
        <f t="shared" si="92"/>
        <v>0</v>
      </c>
      <c r="AH277" s="63" t="s">
        <v>4162</v>
      </c>
      <c r="AI277" s="131"/>
      <c r="AK277" s="66">
        <f t="shared" si="95"/>
        <v>0</v>
      </c>
      <c r="AL277" s="174">
        <f t="shared" si="96"/>
        <v>0</v>
      </c>
      <c r="AM277" s="346">
        <f>RTD("money.excel",,$G277,"PredictVolume")</f>
        <v>0</v>
      </c>
      <c r="AN277" s="272">
        <f>RTD("money.excel",,$G277,"CumulativeVolume")</f>
        <v>0</v>
      </c>
      <c r="AO277" s="284"/>
    </row>
    <row r="278" spans="1:41">
      <c r="A278" s="135" t="s">
        <v>3161</v>
      </c>
      <c r="B278" s="84">
        <v>21</v>
      </c>
      <c r="C278" s="84">
        <v>4</v>
      </c>
      <c r="D278" s="84">
        <v>17</v>
      </c>
      <c r="E278" s="84">
        <v>88</v>
      </c>
      <c r="F278" s="59">
        <v>11.75</v>
      </c>
      <c r="G278" s="85">
        <v>4755</v>
      </c>
      <c r="H278" s="4" t="s">
        <v>1308</v>
      </c>
      <c r="I278" s="23" t="s">
        <v>1339</v>
      </c>
      <c r="J278" s="77">
        <v>71.209999999999994</v>
      </c>
      <c r="K278" s="77">
        <v>32.409999999999997</v>
      </c>
      <c r="L278" s="371">
        <v>12.81</v>
      </c>
      <c r="M278" s="371">
        <v>30.26</v>
      </c>
      <c r="N278" s="77">
        <f t="shared" si="87"/>
        <v>146.69</v>
      </c>
      <c r="O278" s="369">
        <f t="shared" si="88"/>
        <v>101.47</v>
      </c>
      <c r="P278" s="195">
        <v>3</v>
      </c>
      <c r="Q278" s="326">
        <v>4</v>
      </c>
      <c r="R278" s="111">
        <v>10</v>
      </c>
      <c r="S278" s="51">
        <v>14</v>
      </c>
      <c r="T278" s="339">
        <f t="shared" si="89"/>
        <v>31</v>
      </c>
      <c r="U278" s="329" t="s">
        <v>6539</v>
      </c>
      <c r="V278" s="371">
        <v>0.66</v>
      </c>
      <c r="W278" s="69">
        <v>3</v>
      </c>
      <c r="X278" s="59">
        <v>4.74</v>
      </c>
      <c r="Y278" s="37" t="str">
        <f>RTD("money.excel",,"4755","Price")</f>
        <v>無資料</v>
      </c>
      <c r="Z278" s="69"/>
      <c r="AA278" s="16" t="e">
        <f t="shared" si="90"/>
        <v>#VALUE!</v>
      </c>
      <c r="AB278" s="3" t="e">
        <f t="shared" si="91"/>
        <v>#VALUE!</v>
      </c>
      <c r="AC278" s="177" t="s">
        <v>2929</v>
      </c>
      <c r="AD278" s="23" t="s">
        <v>1339</v>
      </c>
      <c r="AG278" s="34">
        <f t="shared" si="92"/>
        <v>0</v>
      </c>
      <c r="AH278" s="63" t="s">
        <v>4466</v>
      </c>
      <c r="AI278" s="131"/>
      <c r="AK278" s="66">
        <f t="shared" si="95"/>
        <v>0</v>
      </c>
      <c r="AL278" s="174">
        <f t="shared" si="96"/>
        <v>0</v>
      </c>
      <c r="AM278" s="346">
        <f>RTD("money.excel",,$G278,"PredictVolume")</f>
        <v>0</v>
      </c>
      <c r="AN278" s="272">
        <f>RTD("money.excel",,$G278,"CumulativeVolume")</f>
        <v>0</v>
      </c>
      <c r="AO278" s="284"/>
    </row>
    <row r="279" spans="1:41">
      <c r="A279" s="135" t="s">
        <v>3437</v>
      </c>
      <c r="B279" s="85">
        <v>-36</v>
      </c>
      <c r="C279" s="85">
        <v>-12</v>
      </c>
      <c r="D279" s="85">
        <v>-9</v>
      </c>
      <c r="E279" s="84">
        <v>3</v>
      </c>
      <c r="F279" s="59">
        <v>14.62</v>
      </c>
      <c r="G279" s="85">
        <v>4763</v>
      </c>
      <c r="H279" s="4" t="s">
        <v>1308</v>
      </c>
      <c r="I279" s="23" t="s">
        <v>1340</v>
      </c>
      <c r="J279" s="371">
        <v>68.77</v>
      </c>
      <c r="K279" s="371">
        <v>65.94</v>
      </c>
      <c r="L279" s="77">
        <v>10.66</v>
      </c>
      <c r="N279" s="365">
        <f t="shared" si="87"/>
        <v>145.36999999999998</v>
      </c>
      <c r="O279" s="343">
        <f t="shared" si="88"/>
        <v>68.77</v>
      </c>
      <c r="P279" s="195">
        <v>3</v>
      </c>
      <c r="Q279" s="326" t="str">
        <f>IFERROR(VLOOKUP($G279,主力整理!$A$2:$G$2301,6,0),"0")</f>
        <v>0</v>
      </c>
      <c r="R279" s="111">
        <v>4</v>
      </c>
      <c r="S279" s="51">
        <v>3</v>
      </c>
      <c r="T279" s="339">
        <f t="shared" si="89"/>
        <v>10</v>
      </c>
      <c r="V279" s="371">
        <v>2.31</v>
      </c>
      <c r="W279" s="69">
        <v>7</v>
      </c>
      <c r="X279" s="59">
        <v>9.18</v>
      </c>
      <c r="Y279" s="14" t="str">
        <f>RTD("money.excel",,"4763","Price")</f>
        <v>無資料</v>
      </c>
      <c r="Z279" s="69"/>
      <c r="AA279" s="16" t="e">
        <f t="shared" si="90"/>
        <v>#VALUE!</v>
      </c>
      <c r="AB279" s="3" t="e">
        <f t="shared" si="91"/>
        <v>#VALUE!</v>
      </c>
      <c r="AC279" s="177" t="s">
        <v>2929</v>
      </c>
      <c r="AD279" s="23" t="s">
        <v>1340</v>
      </c>
      <c r="AG279" s="34">
        <f t="shared" si="92"/>
        <v>0</v>
      </c>
      <c r="AH279" s="63" t="s">
        <v>4468</v>
      </c>
      <c r="AI279" s="131"/>
      <c r="AK279" s="66">
        <f t="shared" si="95"/>
        <v>0</v>
      </c>
      <c r="AL279" s="174">
        <f t="shared" si="96"/>
        <v>0</v>
      </c>
      <c r="AM279" s="346">
        <f>RTD("money.excel",,$G279,"PredictVolume")</f>
        <v>0</v>
      </c>
      <c r="AN279" s="272">
        <f>RTD("money.excel",,$G279,"CumulativeVolume")</f>
        <v>0</v>
      </c>
      <c r="AO279" s="284"/>
    </row>
    <row r="280" spans="1:41">
      <c r="A280" s="151" t="s">
        <v>4755</v>
      </c>
      <c r="B280" s="96">
        <v>-42</v>
      </c>
      <c r="C280" s="96">
        <v>-51</v>
      </c>
      <c r="D280" s="96">
        <v>-1</v>
      </c>
      <c r="E280" s="96">
        <v>-25</v>
      </c>
      <c r="F280" s="7">
        <v>9.6</v>
      </c>
      <c r="G280" s="85">
        <v>4764</v>
      </c>
      <c r="H280" s="4" t="s">
        <v>1308</v>
      </c>
      <c r="I280" s="23" t="s">
        <v>1341</v>
      </c>
      <c r="J280" s="77">
        <v>81.2</v>
      </c>
      <c r="K280" s="77">
        <v>37.25</v>
      </c>
      <c r="L280" s="77">
        <v>4.12</v>
      </c>
      <c r="N280" s="365">
        <f t="shared" si="87"/>
        <v>122.57000000000001</v>
      </c>
      <c r="O280" s="343">
        <f t="shared" si="88"/>
        <v>81.2</v>
      </c>
      <c r="P280" s="195">
        <v>1</v>
      </c>
      <c r="Q280" s="326" t="str">
        <f>IFERROR(VLOOKUP($G280,主力整理!$A$2:$G$2301,6,0),"0")</f>
        <v>0</v>
      </c>
      <c r="T280" s="339">
        <f t="shared" si="89"/>
        <v>1</v>
      </c>
      <c r="V280" s="371">
        <v>10.02</v>
      </c>
      <c r="W280" s="35">
        <v>1</v>
      </c>
      <c r="X280" s="100">
        <v>0.81</v>
      </c>
      <c r="Y280" s="37" t="str">
        <f>RTD("money.excel",,"4764","Price")</f>
        <v>無資料</v>
      </c>
      <c r="Z280" s="69"/>
      <c r="AA280" s="16" t="e">
        <f t="shared" si="90"/>
        <v>#VALUE!</v>
      </c>
      <c r="AB280" s="3" t="e">
        <f t="shared" si="91"/>
        <v>#VALUE!</v>
      </c>
      <c r="AC280" s="177" t="s">
        <v>2648</v>
      </c>
      <c r="AD280" s="23" t="s">
        <v>1341</v>
      </c>
      <c r="AG280" s="34">
        <f t="shared" si="92"/>
        <v>0</v>
      </c>
      <c r="AH280" s="44" t="s">
        <v>4467</v>
      </c>
      <c r="AI280" s="131"/>
      <c r="AK280" s="66">
        <f t="shared" si="95"/>
        <v>0</v>
      </c>
      <c r="AL280" s="174">
        <f t="shared" si="96"/>
        <v>0</v>
      </c>
      <c r="AM280" s="346">
        <f>RTD("money.excel",,$G280,"PredictVolume")</f>
        <v>0</v>
      </c>
      <c r="AN280" s="272">
        <f>RTD("money.excel",,$G280,"CumulativeVolume")</f>
        <v>0</v>
      </c>
      <c r="AO280" s="284"/>
    </row>
    <row r="281" spans="1:41">
      <c r="A281" s="151" t="s">
        <v>3033</v>
      </c>
      <c r="B281" s="85">
        <v>-17</v>
      </c>
      <c r="C281" s="85">
        <v>-28</v>
      </c>
      <c r="D281" s="84">
        <v>9</v>
      </c>
      <c r="E281" s="85">
        <v>-8</v>
      </c>
      <c r="F281" s="7">
        <v>7.49</v>
      </c>
      <c r="G281" s="85">
        <v>4766</v>
      </c>
      <c r="H281" s="4" t="s">
        <v>1308</v>
      </c>
      <c r="I281" s="23" t="s">
        <v>1779</v>
      </c>
      <c r="J281" s="371">
        <v>74.75</v>
      </c>
      <c r="K281" s="77">
        <v>13.2</v>
      </c>
      <c r="L281" s="77">
        <v>1.24</v>
      </c>
      <c r="N281" s="365">
        <f t="shared" si="87"/>
        <v>89.19</v>
      </c>
      <c r="O281" s="343">
        <f t="shared" si="88"/>
        <v>74.75</v>
      </c>
      <c r="P281" s="195">
        <v>2</v>
      </c>
      <c r="Q281" s="326" t="str">
        <f>IFERROR(VLOOKUP($G281,主力整理!$A$2:$G$2301,6,0),"0")</f>
        <v>0</v>
      </c>
      <c r="T281" s="339">
        <f t="shared" si="89"/>
        <v>2</v>
      </c>
      <c r="V281" s="371">
        <v>0.02</v>
      </c>
      <c r="W281" s="69">
        <v>7</v>
      </c>
      <c r="X281" s="100">
        <v>10.119999999999999</v>
      </c>
      <c r="Y281" s="37" t="str">
        <f>RTD("money.excel",,"4766","Price")</f>
        <v>無資料</v>
      </c>
      <c r="Z281" s="69"/>
      <c r="AA281" s="16" t="e">
        <f t="shared" si="90"/>
        <v>#VALUE!</v>
      </c>
      <c r="AB281" s="3" t="e">
        <f t="shared" si="91"/>
        <v>#VALUE!</v>
      </c>
      <c r="AC281" s="177" t="s">
        <v>2929</v>
      </c>
      <c r="AD281" s="23" t="s">
        <v>1779</v>
      </c>
      <c r="AG281" s="34">
        <f t="shared" si="92"/>
        <v>0</v>
      </c>
      <c r="AH281" s="44" t="s">
        <v>3280</v>
      </c>
      <c r="AI281" s="131"/>
      <c r="AK281" s="66">
        <f t="shared" si="95"/>
        <v>0</v>
      </c>
      <c r="AL281" s="174">
        <f t="shared" si="96"/>
        <v>0</v>
      </c>
      <c r="AM281" s="346">
        <f>RTD("money.excel",,$G281,"PredictVolume")</f>
        <v>0</v>
      </c>
      <c r="AN281" s="272">
        <f>RTD("money.excel",,$G281,"CumulativeVolume")</f>
        <v>0</v>
      </c>
      <c r="AO281" s="284"/>
    </row>
    <row r="282" spans="1:41">
      <c r="A282" s="151" t="s">
        <v>4737</v>
      </c>
      <c r="B282" s="96">
        <v>16</v>
      </c>
      <c r="C282" s="96">
        <v>14</v>
      </c>
      <c r="D282" s="96">
        <v>14</v>
      </c>
      <c r="E282" s="96">
        <v>27</v>
      </c>
      <c r="F282" s="7">
        <v>7.25</v>
      </c>
      <c r="G282" s="85">
        <v>4767</v>
      </c>
      <c r="H282" s="4" t="s">
        <v>1308</v>
      </c>
      <c r="I282" s="17" t="s">
        <v>1780</v>
      </c>
      <c r="J282" s="77">
        <v>72.33</v>
      </c>
      <c r="K282" s="77">
        <v>2.38</v>
      </c>
      <c r="N282" s="365">
        <f t="shared" si="87"/>
        <v>74.709999999999994</v>
      </c>
      <c r="O282" s="343">
        <f t="shared" si="88"/>
        <v>72.33</v>
      </c>
      <c r="P282" s="195" t="s">
        <v>5554</v>
      </c>
      <c r="Q282" s="326" t="str">
        <f>IFERROR(VLOOKUP($G282,主力整理!$A$2:$G$2301,6,0),"0")</f>
        <v>0</v>
      </c>
      <c r="T282" s="339">
        <f t="shared" si="89"/>
        <v>0</v>
      </c>
      <c r="V282" s="371">
        <v>18.88</v>
      </c>
      <c r="W282" s="35">
        <v>1.2</v>
      </c>
      <c r="X282" s="100">
        <v>2.31</v>
      </c>
      <c r="Y282" s="14" t="str">
        <f>RTD("money.excel",,"4767","Price")</f>
        <v>無資料</v>
      </c>
      <c r="Z282" s="69"/>
      <c r="AA282" s="16" t="e">
        <f t="shared" si="90"/>
        <v>#VALUE!</v>
      </c>
      <c r="AB282" s="3" t="e">
        <f t="shared" si="91"/>
        <v>#VALUE!</v>
      </c>
      <c r="AD282" s="17" t="s">
        <v>1780</v>
      </c>
      <c r="AG282" s="34">
        <f t="shared" si="92"/>
        <v>0</v>
      </c>
      <c r="AH282" s="44" t="s">
        <v>4163</v>
      </c>
      <c r="AI282" s="131"/>
      <c r="AK282" s="66">
        <f t="shared" si="95"/>
        <v>0</v>
      </c>
      <c r="AL282" s="174">
        <f t="shared" si="96"/>
        <v>0</v>
      </c>
      <c r="AM282" s="346">
        <f>RTD("money.excel",,$G282,"PredictVolume")</f>
        <v>0</v>
      </c>
      <c r="AN282" s="272">
        <f>RTD("money.excel",,$G282,"CumulativeVolume")</f>
        <v>0</v>
      </c>
      <c r="AO282" s="284"/>
    </row>
    <row r="283" spans="1:41">
      <c r="A283" s="135" t="s">
        <v>4695</v>
      </c>
      <c r="B283" s="84">
        <v>123</v>
      </c>
      <c r="C283" s="84">
        <v>116</v>
      </c>
      <c r="D283" s="84">
        <v>77</v>
      </c>
      <c r="E283" s="84">
        <v>107</v>
      </c>
      <c r="F283" s="59">
        <v>32.08</v>
      </c>
      <c r="G283" s="85">
        <v>4770</v>
      </c>
      <c r="H283" s="4" t="s">
        <v>1308</v>
      </c>
      <c r="I283" s="23" t="s">
        <v>6584</v>
      </c>
      <c r="J283" s="371">
        <v>63.69</v>
      </c>
      <c r="K283" s="77"/>
      <c r="M283" s="77"/>
      <c r="N283" s="365">
        <f t="shared" si="87"/>
        <v>63.69</v>
      </c>
      <c r="O283" s="343">
        <f t="shared" si="88"/>
        <v>63.69</v>
      </c>
      <c r="P283" s="195">
        <v>0</v>
      </c>
      <c r="Q283" s="326" t="str">
        <f>IFERROR(VLOOKUP($G283,主力整理!$A$2:$G$2301,6,0),"0")</f>
        <v>0</v>
      </c>
      <c r="R283" s="111">
        <v>0</v>
      </c>
      <c r="S283" s="51">
        <v>0</v>
      </c>
      <c r="T283" s="339">
        <f t="shared" si="89"/>
        <v>0</v>
      </c>
      <c r="W283" s="69">
        <v>4.3</v>
      </c>
      <c r="X283" s="59">
        <v>13.09</v>
      </c>
      <c r="Y283" s="37" t="str">
        <f>RTD("money.excel",,"4770","Price")</f>
        <v>無資料</v>
      </c>
      <c r="Z283" s="69"/>
      <c r="AA283" s="16" t="e">
        <f t="shared" si="90"/>
        <v>#VALUE!</v>
      </c>
      <c r="AB283" s="3" t="e">
        <f t="shared" si="91"/>
        <v>#VALUE!</v>
      </c>
      <c r="AC283" s="177" t="s">
        <v>2700</v>
      </c>
      <c r="AD283" s="23" t="s">
        <v>6584</v>
      </c>
      <c r="AG283" s="34">
        <f t="shared" si="92"/>
        <v>0</v>
      </c>
      <c r="AH283" s="63" t="s">
        <v>4159</v>
      </c>
      <c r="AI283" s="131"/>
      <c r="AK283" s="66">
        <f t="shared" si="95"/>
        <v>0</v>
      </c>
      <c r="AL283" s="174">
        <f t="shared" si="96"/>
        <v>0</v>
      </c>
      <c r="AM283" s="346">
        <f>RTD("money.excel",,$G283,"PredictVolume")</f>
        <v>0</v>
      </c>
      <c r="AN283" s="272">
        <f>RTD("money.excel",,$G283,"CumulativeVolume")</f>
        <v>0</v>
      </c>
      <c r="AO283" s="284"/>
    </row>
    <row r="284" spans="1:41">
      <c r="A284" s="151" t="s">
        <v>4738</v>
      </c>
      <c r="B284" s="96">
        <v>-28</v>
      </c>
      <c r="C284" s="96">
        <v>-54</v>
      </c>
      <c r="D284" s="96">
        <v>15</v>
      </c>
      <c r="E284" s="96">
        <v>16</v>
      </c>
      <c r="F284" s="7">
        <v>3.95</v>
      </c>
      <c r="G284" s="85">
        <v>6506</v>
      </c>
      <c r="H284" s="4" t="s">
        <v>1308</v>
      </c>
      <c r="I284" s="17" t="s">
        <v>1317</v>
      </c>
      <c r="J284" s="77">
        <v>61.95</v>
      </c>
      <c r="K284" s="77">
        <v>0.22</v>
      </c>
      <c r="L284" s="77">
        <v>2.17</v>
      </c>
      <c r="N284" s="365">
        <f t="shared" si="87"/>
        <v>64.34</v>
      </c>
      <c r="O284" s="343">
        <f t="shared" si="88"/>
        <v>61.95</v>
      </c>
      <c r="P284" s="195" t="s">
        <v>5554</v>
      </c>
      <c r="Q284" s="326" t="str">
        <f>IFERROR(VLOOKUP($G284,主力整理!$A$2:$G$2301,6,0),"0")</f>
        <v>0</v>
      </c>
      <c r="T284" s="339">
        <f t="shared" si="89"/>
        <v>0</v>
      </c>
      <c r="V284" s="371">
        <v>19.71</v>
      </c>
      <c r="W284" s="35">
        <v>0.8</v>
      </c>
      <c r="X284" s="100">
        <v>0.71</v>
      </c>
      <c r="Y284" s="14" t="str">
        <f>RTD("money.excel",,"6506","Price")</f>
        <v>無資料</v>
      </c>
      <c r="Z284" s="69"/>
      <c r="AA284" s="16" t="e">
        <f t="shared" si="90"/>
        <v>#VALUE!</v>
      </c>
      <c r="AB284" s="3" t="e">
        <f t="shared" si="91"/>
        <v>#VALUE!</v>
      </c>
      <c r="AD284" s="17" t="s">
        <v>1317</v>
      </c>
      <c r="AG284" s="34">
        <f t="shared" si="92"/>
        <v>0</v>
      </c>
      <c r="AH284" s="44" t="s">
        <v>4164</v>
      </c>
      <c r="AI284" s="131"/>
      <c r="AK284" s="66">
        <f t="shared" si="95"/>
        <v>0</v>
      </c>
      <c r="AL284" s="174">
        <f t="shared" si="96"/>
        <v>0</v>
      </c>
      <c r="AM284" s="346">
        <f>RTD("money.excel",,$G284,"PredictVolume")</f>
        <v>0</v>
      </c>
      <c r="AN284" s="272">
        <f>RTD("money.excel",,$G284,"CumulativeVolume")</f>
        <v>0</v>
      </c>
      <c r="AO284" s="284"/>
    </row>
    <row r="285" spans="1:41">
      <c r="A285" s="135" t="s">
        <v>4739</v>
      </c>
      <c r="B285" s="84">
        <v>43</v>
      </c>
      <c r="C285" s="84">
        <v>40</v>
      </c>
      <c r="D285" s="85">
        <v>-33</v>
      </c>
      <c r="E285" s="84">
        <v>29</v>
      </c>
      <c r="F285" s="59">
        <v>11.9</v>
      </c>
      <c r="G285" s="85">
        <v>6509</v>
      </c>
      <c r="H285" s="4" t="s">
        <v>1308</v>
      </c>
      <c r="I285" s="17" t="s">
        <v>160</v>
      </c>
      <c r="J285" s="77">
        <v>21.67</v>
      </c>
      <c r="K285" s="371">
        <v>5.23</v>
      </c>
      <c r="L285" s="77">
        <v>20.63</v>
      </c>
      <c r="N285" s="365">
        <f t="shared" si="87"/>
        <v>47.53</v>
      </c>
      <c r="O285" s="343">
        <f t="shared" si="88"/>
        <v>21.67</v>
      </c>
      <c r="P285" s="195" t="s">
        <v>5554</v>
      </c>
      <c r="Q285" s="326">
        <f>IFERROR(VLOOKUP($G285,主力整理!$A$2:$G$2301,6,0),"0")</f>
        <v>2</v>
      </c>
      <c r="T285" s="339">
        <f t="shared" si="89"/>
        <v>2</v>
      </c>
      <c r="V285" s="371">
        <v>0.76</v>
      </c>
      <c r="W285" s="35">
        <v>1</v>
      </c>
      <c r="X285" s="100">
        <v>1.63</v>
      </c>
      <c r="Y285" s="37" t="str">
        <f>RTD("money.excel",,"6509","Price")</f>
        <v>無資料</v>
      </c>
      <c r="Z285" s="69"/>
      <c r="AA285" s="16" t="e">
        <f t="shared" si="90"/>
        <v>#VALUE!</v>
      </c>
      <c r="AB285" s="3" t="e">
        <f t="shared" si="91"/>
        <v>#VALUE!</v>
      </c>
      <c r="AC285" s="177" t="s">
        <v>2648</v>
      </c>
      <c r="AD285" s="17" t="s">
        <v>160</v>
      </c>
      <c r="AG285" s="34">
        <f t="shared" si="92"/>
        <v>0</v>
      </c>
      <c r="AH285" s="126" t="s">
        <v>4165</v>
      </c>
      <c r="AI285" s="131"/>
      <c r="AK285" s="66">
        <f t="shared" si="95"/>
        <v>0</v>
      </c>
      <c r="AL285" s="174">
        <f t="shared" si="96"/>
        <v>0</v>
      </c>
      <c r="AM285" s="346">
        <f>RTD("money.excel",,$G285,"PredictVolume")</f>
        <v>0</v>
      </c>
      <c r="AN285" s="272">
        <f>RTD("money.excel",,$G285,"CumulativeVolume")</f>
        <v>0</v>
      </c>
      <c r="AO285" s="284"/>
    </row>
    <row r="286" spans="1:41">
      <c r="B286" s="84"/>
      <c r="C286" s="84"/>
      <c r="D286" s="85"/>
      <c r="E286" s="84"/>
      <c r="F286" s="59"/>
      <c r="G286" s="85"/>
      <c r="H286" s="4"/>
      <c r="I286" s="17"/>
      <c r="J286" s="77"/>
      <c r="K286" s="371"/>
      <c r="N286" s="365"/>
      <c r="O286" s="343"/>
      <c r="P286" s="195"/>
      <c r="W286" s="35"/>
      <c r="X286" s="100"/>
      <c r="Y286" s="37"/>
      <c r="Z286" s="69"/>
      <c r="AA286" s="16"/>
      <c r="AB286" s="3"/>
      <c r="AD286" s="17"/>
      <c r="AG286" s="34"/>
      <c r="AH286" s="126"/>
      <c r="AI286" s="131"/>
      <c r="AK286" s="66"/>
      <c r="AL286" s="174"/>
      <c r="AM286" s="346"/>
      <c r="AN286" s="272"/>
      <c r="AO286" s="284"/>
    </row>
    <row r="287" spans="1:41">
      <c r="A287" s="135" t="s">
        <v>2552</v>
      </c>
      <c r="B287" s="96" t="s">
        <v>2331</v>
      </c>
      <c r="C287" s="96" t="s">
        <v>2332</v>
      </c>
      <c r="D287" s="96" t="s">
        <v>2333</v>
      </c>
      <c r="E287" s="96" t="s">
        <v>2334</v>
      </c>
      <c r="F287" s="9" t="s">
        <v>1709</v>
      </c>
      <c r="G287" s="52" t="s">
        <v>1095</v>
      </c>
      <c r="H287" s="56" t="s">
        <v>578</v>
      </c>
      <c r="I287" s="51" t="s">
        <v>1094</v>
      </c>
      <c r="J287" s="364" t="s">
        <v>2189</v>
      </c>
      <c r="K287" s="364" t="s">
        <v>1820</v>
      </c>
      <c r="L287" s="364" t="s">
        <v>515</v>
      </c>
      <c r="M287" s="364" t="s">
        <v>1699</v>
      </c>
      <c r="N287" s="364" t="s">
        <v>6604</v>
      </c>
      <c r="O287" s="343" t="s">
        <v>6620</v>
      </c>
      <c r="P287" s="83" t="s">
        <v>5279</v>
      </c>
      <c r="Q287" s="326" t="s">
        <v>5514</v>
      </c>
      <c r="R287" s="31" t="s">
        <v>6596</v>
      </c>
      <c r="S287" s="51" t="s">
        <v>6597</v>
      </c>
      <c r="T287" s="338" t="s">
        <v>5627</v>
      </c>
      <c r="U287" s="330" t="s">
        <v>6537</v>
      </c>
      <c r="V287" s="377" t="s">
        <v>6616</v>
      </c>
      <c r="W287" s="11" t="s">
        <v>127</v>
      </c>
      <c r="X287" s="71" t="s">
        <v>5216</v>
      </c>
      <c r="Y287" s="29" t="s">
        <v>3</v>
      </c>
      <c r="Z287" s="18" t="s">
        <v>2113</v>
      </c>
      <c r="AA287" s="15" t="s">
        <v>8</v>
      </c>
      <c r="AB287" s="22" t="s">
        <v>4</v>
      </c>
      <c r="AC287" s="358" t="s">
        <v>211</v>
      </c>
      <c r="AD287" s="51" t="s">
        <v>1094</v>
      </c>
      <c r="AE287" s="75" t="s">
        <v>2114</v>
      </c>
      <c r="AF287" s="76" t="s">
        <v>1826</v>
      </c>
      <c r="AG287" s="33" t="s">
        <v>1827</v>
      </c>
      <c r="AH287" s="44"/>
      <c r="AI287" s="131"/>
      <c r="AK287" s="9" t="s">
        <v>6666</v>
      </c>
      <c r="AL287" s="5" t="s">
        <v>6667</v>
      </c>
      <c r="AM287" s="51" t="s">
        <v>5339</v>
      </c>
      <c r="AN287" s="276" t="s">
        <v>6665</v>
      </c>
      <c r="AO287" s="284"/>
    </row>
    <row r="288" spans="1:41">
      <c r="A288" s="135" t="s">
        <v>2443</v>
      </c>
      <c r="B288" s="84">
        <v>11</v>
      </c>
      <c r="C288" s="84">
        <v>10</v>
      </c>
      <c r="D288" s="85">
        <v>-7</v>
      </c>
      <c r="E288" s="84">
        <v>41</v>
      </c>
      <c r="F288" s="59">
        <v>21.94</v>
      </c>
      <c r="G288" s="85">
        <v>1565</v>
      </c>
      <c r="H288" s="55" t="s">
        <v>560</v>
      </c>
      <c r="I288" s="17" t="s">
        <v>60</v>
      </c>
      <c r="J288" s="371">
        <v>21.62</v>
      </c>
      <c r="K288" s="371">
        <v>32.11</v>
      </c>
      <c r="L288" s="371">
        <v>8.67</v>
      </c>
      <c r="N288" s="365">
        <f t="shared" ref="N288:N300" si="97">J288+K288+L288+M288</f>
        <v>62.400000000000006</v>
      </c>
      <c r="O288" s="343">
        <f t="shared" ref="O288:O319" si="98">J288+M288</f>
        <v>21.62</v>
      </c>
      <c r="P288" s="195">
        <v>4</v>
      </c>
      <c r="Q288" s="326" t="str">
        <f>IFERROR(VLOOKUP($G288,主力整理!$A$2:$G$2301,6,0),"0")</f>
        <v>0</v>
      </c>
      <c r="R288" s="111">
        <v>0</v>
      </c>
      <c r="S288" s="51">
        <v>8</v>
      </c>
      <c r="T288" s="339">
        <f t="shared" ref="T288:T319" si="99">SUM(P288:S288)</f>
        <v>12</v>
      </c>
      <c r="V288" s="371">
        <v>0.27</v>
      </c>
      <c r="W288" s="69">
        <v>12</v>
      </c>
      <c r="X288" s="100">
        <v>15.65</v>
      </c>
      <c r="Y288" s="37" t="str">
        <f>RTD("money.excel",,"1565","Price")</f>
        <v>無資料</v>
      </c>
      <c r="Z288" s="69"/>
      <c r="AA288" s="16" t="e">
        <f t="shared" ref="AA288:AA319" si="100">Y288-Z288</f>
        <v>#VALUE!</v>
      </c>
      <c r="AB288" s="3" t="e">
        <f t="shared" ref="AB288:AB319" si="101">AA288/Z288</f>
        <v>#VALUE!</v>
      </c>
      <c r="AC288" s="177" t="s">
        <v>2929</v>
      </c>
      <c r="AD288" s="17" t="s">
        <v>60</v>
      </c>
      <c r="AG288" s="34">
        <f t="shared" ref="AG288:AG319" si="102">AF288-AE288</f>
        <v>0</v>
      </c>
      <c r="AH288" s="126" t="s">
        <v>4965</v>
      </c>
      <c r="AI288" s="128"/>
      <c r="AK288" s="66">
        <f t="shared" ref="AK288" si="103">AM288/(A288*10000)</f>
        <v>0</v>
      </c>
      <c r="AL288" s="174">
        <f t="shared" ref="AL288" si="104">AN288/(A288*10000)</f>
        <v>0</v>
      </c>
      <c r="AM288" s="346">
        <f>RTD("money.excel",,$G288,"PredictVolume")</f>
        <v>0</v>
      </c>
      <c r="AN288" s="272">
        <f>RTD("money.excel",,$G288,"CumulativeVolume")</f>
        <v>0</v>
      </c>
      <c r="AO288" s="284"/>
    </row>
    <row r="289" spans="1:41">
      <c r="A289" s="135" t="s">
        <v>2215</v>
      </c>
      <c r="B289" s="84">
        <v>6</v>
      </c>
      <c r="C289" s="85">
        <v>-9</v>
      </c>
      <c r="D289" s="84">
        <v>16</v>
      </c>
      <c r="E289" s="84">
        <v>151</v>
      </c>
      <c r="F289" s="59">
        <v>12.94</v>
      </c>
      <c r="G289" s="85">
        <v>1593</v>
      </c>
      <c r="H289" s="4" t="s">
        <v>560</v>
      </c>
      <c r="I289" s="17" t="s">
        <v>1096</v>
      </c>
      <c r="J289" s="77">
        <v>19.38</v>
      </c>
      <c r="K289" s="371">
        <v>1.86</v>
      </c>
      <c r="L289" s="371">
        <v>26.5</v>
      </c>
      <c r="N289" s="365">
        <f t="shared" si="97"/>
        <v>47.739999999999995</v>
      </c>
      <c r="O289" s="343">
        <f t="shared" si="98"/>
        <v>19.38</v>
      </c>
      <c r="P289" s="195" t="s">
        <v>5554</v>
      </c>
      <c r="Q289" s="326" t="str">
        <f>IFERROR(VLOOKUP($G289,主力整理!$A$2:$G$2301,6,0),"0")</f>
        <v>0</v>
      </c>
      <c r="T289" s="339">
        <f t="shared" si="99"/>
        <v>0</v>
      </c>
      <c r="V289" s="371">
        <v>10.050000000000001</v>
      </c>
      <c r="W289" s="69">
        <v>3.6</v>
      </c>
      <c r="X289" s="100">
        <v>4.49</v>
      </c>
      <c r="Y289" s="37" t="str">
        <f>RTD("money.excel",,"1593","Price")</f>
        <v>無資料</v>
      </c>
      <c r="Z289" s="69"/>
      <c r="AA289" s="16" t="e">
        <f t="shared" si="100"/>
        <v>#VALUE!</v>
      </c>
      <c r="AB289" s="3" t="e">
        <f t="shared" si="101"/>
        <v>#VALUE!</v>
      </c>
      <c r="AC289" s="177" t="s">
        <v>2700</v>
      </c>
      <c r="AD289" s="17" t="s">
        <v>1096</v>
      </c>
      <c r="AG289" s="34">
        <f t="shared" si="102"/>
        <v>0</v>
      </c>
      <c r="AH289" s="63" t="s">
        <v>3068</v>
      </c>
      <c r="AI289" s="131"/>
      <c r="AK289" s="66">
        <f t="shared" ref="AK289:AK352" si="105">AM289/(A289*10000)</f>
        <v>0</v>
      </c>
      <c r="AL289" s="174">
        <f t="shared" ref="AL289:AL352" si="106">AN289/(A289*10000)</f>
        <v>0</v>
      </c>
      <c r="AM289" s="346">
        <f>RTD("money.excel",,$G289,"PredictVolume")</f>
        <v>0</v>
      </c>
      <c r="AN289" s="272">
        <f>RTD("money.excel",,$G289,"CumulativeVolume")</f>
        <v>0</v>
      </c>
      <c r="AO289" s="284"/>
    </row>
    <row r="290" spans="1:41">
      <c r="A290" s="151" t="s">
        <v>2481</v>
      </c>
      <c r="B290" s="85">
        <v>-31</v>
      </c>
      <c r="C290" s="85">
        <v>-27</v>
      </c>
      <c r="D290" s="85">
        <v>-12</v>
      </c>
      <c r="E290" s="85">
        <v>-52</v>
      </c>
      <c r="F290" s="7">
        <v>7.84</v>
      </c>
      <c r="G290" s="85">
        <v>1598</v>
      </c>
      <c r="H290" s="4" t="s">
        <v>560</v>
      </c>
      <c r="I290" s="23" t="s">
        <v>1162</v>
      </c>
      <c r="J290" s="371">
        <v>50.49</v>
      </c>
      <c r="K290" s="371">
        <v>5.96</v>
      </c>
      <c r="L290" s="371">
        <v>18.07</v>
      </c>
      <c r="M290" s="371">
        <v>9.89</v>
      </c>
      <c r="N290" s="365">
        <f t="shared" si="97"/>
        <v>84.410000000000011</v>
      </c>
      <c r="O290" s="343">
        <f t="shared" si="98"/>
        <v>60.38</v>
      </c>
      <c r="P290" s="195">
        <v>20</v>
      </c>
      <c r="Q290" s="326" t="str">
        <f>IFERROR(VLOOKUP($G290,主力整理!$A$2:$G$2301,6,0),"0")</f>
        <v>0</v>
      </c>
      <c r="R290" s="111">
        <v>1</v>
      </c>
      <c r="S290" s="51">
        <v>1</v>
      </c>
      <c r="T290" s="339">
        <f t="shared" si="99"/>
        <v>22</v>
      </c>
      <c r="U290" s="329" t="s">
        <v>6539</v>
      </c>
      <c r="V290" s="371">
        <v>4.71</v>
      </c>
      <c r="W290" s="69">
        <v>7.47</v>
      </c>
      <c r="X290" s="59">
        <v>9.18</v>
      </c>
      <c r="Y290" s="37" t="str">
        <f>RTD("money.excel",,"1598","Price")</f>
        <v>無資料</v>
      </c>
      <c r="Z290" s="69"/>
      <c r="AA290" s="16" t="e">
        <f t="shared" si="100"/>
        <v>#VALUE!</v>
      </c>
      <c r="AB290" s="3" t="e">
        <f t="shared" si="101"/>
        <v>#VALUE!</v>
      </c>
      <c r="AC290" s="177" t="s">
        <v>6565</v>
      </c>
      <c r="AD290" s="23" t="s">
        <v>1162</v>
      </c>
      <c r="AG290" s="34">
        <f t="shared" si="102"/>
        <v>0</v>
      </c>
      <c r="AH290" s="44" t="s">
        <v>6571</v>
      </c>
      <c r="AK290" s="66">
        <f t="shared" si="105"/>
        <v>0</v>
      </c>
      <c r="AL290" s="174">
        <f t="shared" si="106"/>
        <v>0</v>
      </c>
      <c r="AM290" s="346">
        <f>RTD("money.excel",,$G290,"PredictVolume")</f>
        <v>0</v>
      </c>
      <c r="AN290" s="272">
        <f>RTD("money.excel",,$G290,"CumulativeVolume")</f>
        <v>0</v>
      </c>
    </row>
    <row r="291" spans="1:41">
      <c r="A291" s="151" t="s">
        <v>2915</v>
      </c>
      <c r="B291" s="84">
        <v>60</v>
      </c>
      <c r="C291" s="84">
        <v>32</v>
      </c>
      <c r="D291" s="84">
        <v>2</v>
      </c>
      <c r="E291" s="84">
        <v>0</v>
      </c>
      <c r="F291" s="7">
        <v>6.72</v>
      </c>
      <c r="G291" s="85">
        <v>1701</v>
      </c>
      <c r="H291" s="4" t="s">
        <v>560</v>
      </c>
      <c r="I291" s="23" t="s">
        <v>1163</v>
      </c>
      <c r="J291" s="371">
        <v>52.38</v>
      </c>
      <c r="K291" s="77">
        <v>11.53</v>
      </c>
      <c r="L291" s="371">
        <v>8.73</v>
      </c>
      <c r="N291" s="365">
        <f t="shared" si="97"/>
        <v>72.64</v>
      </c>
      <c r="O291" s="343">
        <f t="shared" si="98"/>
        <v>52.38</v>
      </c>
      <c r="P291" s="195" t="s">
        <v>5554</v>
      </c>
      <c r="Q291" s="326" t="str">
        <f>IFERROR(VLOOKUP($G291,主力整理!$A$2:$G$2301,6,0),"0")</f>
        <v>0</v>
      </c>
      <c r="T291" s="339">
        <f t="shared" si="99"/>
        <v>0</v>
      </c>
      <c r="V291" s="371">
        <v>0.06</v>
      </c>
      <c r="W291" s="35">
        <v>1</v>
      </c>
      <c r="X291" s="100">
        <v>1.88</v>
      </c>
      <c r="Y291" s="37" t="str">
        <f>RTD("money.excel",,"1701","Price")</f>
        <v>無資料</v>
      </c>
      <c r="Z291" s="69"/>
      <c r="AA291" s="16" t="e">
        <f t="shared" si="100"/>
        <v>#VALUE!</v>
      </c>
      <c r="AB291" s="3" t="e">
        <f t="shared" si="101"/>
        <v>#VALUE!</v>
      </c>
      <c r="AC291" s="177" t="s">
        <v>2648</v>
      </c>
      <c r="AD291" s="23" t="s">
        <v>1163</v>
      </c>
      <c r="AG291" s="34">
        <f t="shared" si="102"/>
        <v>0</v>
      </c>
      <c r="AH291" s="44" t="s">
        <v>4396</v>
      </c>
      <c r="AI291" s="131"/>
      <c r="AK291" s="66">
        <f t="shared" si="105"/>
        <v>0</v>
      </c>
      <c r="AL291" s="174">
        <f t="shared" si="106"/>
        <v>0</v>
      </c>
      <c r="AM291" s="346">
        <f>RTD("money.excel",,$G291,"PredictVolume")</f>
        <v>0</v>
      </c>
      <c r="AN291" s="272">
        <f>RTD("money.excel",,$G291,"CumulativeVolume")</f>
        <v>0</v>
      </c>
      <c r="AO291" s="284"/>
    </row>
    <row r="292" spans="1:41">
      <c r="A292" s="135" t="s">
        <v>2598</v>
      </c>
      <c r="B292" s="85">
        <v>-3</v>
      </c>
      <c r="C292" s="85">
        <v>-2</v>
      </c>
      <c r="D292" s="84">
        <v>8</v>
      </c>
      <c r="E292" s="84">
        <v>5</v>
      </c>
      <c r="F292" s="59">
        <v>23.98</v>
      </c>
      <c r="G292" s="85">
        <v>1707</v>
      </c>
      <c r="H292" s="53" t="s">
        <v>560</v>
      </c>
      <c r="I292" s="23" t="s">
        <v>245</v>
      </c>
      <c r="J292" s="371">
        <v>57.08</v>
      </c>
      <c r="K292" s="77">
        <v>11.68</v>
      </c>
      <c r="L292" s="77">
        <v>2.71</v>
      </c>
      <c r="N292" s="365">
        <f t="shared" si="97"/>
        <v>71.469999999999985</v>
      </c>
      <c r="O292" s="343">
        <f t="shared" si="98"/>
        <v>57.08</v>
      </c>
      <c r="P292" s="195">
        <v>2</v>
      </c>
      <c r="Q292" s="326" t="str">
        <f>IFERROR(VLOOKUP($G292,主力整理!$A$2:$G$2301,6,0),"0")</f>
        <v>0</v>
      </c>
      <c r="T292" s="339">
        <f t="shared" si="99"/>
        <v>2</v>
      </c>
      <c r="V292" s="371">
        <v>0.01</v>
      </c>
      <c r="W292" s="69">
        <v>6.4</v>
      </c>
      <c r="X292" s="100">
        <v>9.35</v>
      </c>
      <c r="Y292" s="37" t="str">
        <f>RTD("money.excel",,"1707","Price")</f>
        <v>無資料</v>
      </c>
      <c r="Z292" s="69"/>
      <c r="AA292" s="16" t="e">
        <f t="shared" si="100"/>
        <v>#VALUE!</v>
      </c>
      <c r="AB292" s="3" t="e">
        <f t="shared" si="101"/>
        <v>#VALUE!</v>
      </c>
      <c r="AC292" s="177" t="s">
        <v>2929</v>
      </c>
      <c r="AD292" s="23" t="s">
        <v>245</v>
      </c>
      <c r="AG292" s="34">
        <f t="shared" si="102"/>
        <v>0</v>
      </c>
      <c r="AH292" s="126" t="s">
        <v>4387</v>
      </c>
      <c r="AI292" s="131"/>
      <c r="AK292" s="66">
        <f t="shared" si="105"/>
        <v>0</v>
      </c>
      <c r="AL292" s="174">
        <f t="shared" si="106"/>
        <v>0</v>
      </c>
      <c r="AM292" s="346">
        <f>RTD("money.excel",,$G292,"PredictVolume")</f>
        <v>0</v>
      </c>
      <c r="AN292" s="272">
        <f>RTD("money.excel",,$G292,"CumulativeVolume")</f>
        <v>0</v>
      </c>
      <c r="AO292" s="284"/>
    </row>
    <row r="293" spans="1:41">
      <c r="A293" s="135" t="s">
        <v>2590</v>
      </c>
      <c r="B293" s="96">
        <v>11</v>
      </c>
      <c r="C293" s="96">
        <v>28</v>
      </c>
      <c r="D293" s="96">
        <v>-4</v>
      </c>
      <c r="E293" s="96">
        <v>1</v>
      </c>
      <c r="F293" s="59">
        <v>12.16</v>
      </c>
      <c r="G293" s="85">
        <v>1720</v>
      </c>
      <c r="H293" s="53" t="s">
        <v>560</v>
      </c>
      <c r="I293" s="23" t="s">
        <v>218</v>
      </c>
      <c r="J293" s="77">
        <v>63.84</v>
      </c>
      <c r="K293" s="77">
        <v>2.35</v>
      </c>
      <c r="L293" s="77">
        <v>3.77</v>
      </c>
      <c r="N293" s="365">
        <f t="shared" si="97"/>
        <v>69.959999999999994</v>
      </c>
      <c r="O293" s="343">
        <f t="shared" si="98"/>
        <v>63.84</v>
      </c>
      <c r="P293" s="195">
        <v>1</v>
      </c>
      <c r="Q293" s="326" t="str">
        <f>IFERROR(VLOOKUP($G293,主力整理!$A$2:$G$2301,6,0),"0")</f>
        <v>0</v>
      </c>
      <c r="T293" s="339">
        <f t="shared" si="99"/>
        <v>1</v>
      </c>
      <c r="V293" s="371">
        <v>26.52</v>
      </c>
      <c r="W293" s="35">
        <v>1.5</v>
      </c>
      <c r="X293" s="100">
        <v>2.93</v>
      </c>
      <c r="Y293" s="14" t="str">
        <f>RTD("money.excel",,"1720","Price")</f>
        <v>無資料</v>
      </c>
      <c r="Z293" s="69"/>
      <c r="AA293" s="16" t="e">
        <f t="shared" si="100"/>
        <v>#VALUE!</v>
      </c>
      <c r="AB293" s="3" t="e">
        <f t="shared" si="101"/>
        <v>#VALUE!</v>
      </c>
      <c r="AC293" s="177" t="s">
        <v>2648</v>
      </c>
      <c r="AD293" s="23" t="s">
        <v>218</v>
      </c>
      <c r="AG293" s="34">
        <f t="shared" si="102"/>
        <v>0</v>
      </c>
      <c r="AH293" s="126" t="s">
        <v>3031</v>
      </c>
      <c r="AI293" s="284"/>
      <c r="AK293" s="66">
        <f t="shared" si="105"/>
        <v>0</v>
      </c>
      <c r="AL293" s="174">
        <f t="shared" si="106"/>
        <v>0</v>
      </c>
      <c r="AM293" s="346">
        <f>RTD("money.excel",,$G293,"PredictVolume")</f>
        <v>0</v>
      </c>
      <c r="AN293" s="272">
        <f>RTD("money.excel",,$G293,"CumulativeVolume")</f>
        <v>0</v>
      </c>
      <c r="AO293" s="284"/>
    </row>
    <row r="294" spans="1:41">
      <c r="A294" s="135" t="s">
        <v>2550</v>
      </c>
      <c r="B294" s="84">
        <v>46</v>
      </c>
      <c r="C294" s="84">
        <v>6</v>
      </c>
      <c r="D294" s="84">
        <v>0</v>
      </c>
      <c r="E294" s="84">
        <v>23</v>
      </c>
      <c r="F294" s="59">
        <v>17.63</v>
      </c>
      <c r="G294" s="85">
        <v>1731</v>
      </c>
      <c r="H294" s="53" t="s">
        <v>560</v>
      </c>
      <c r="I294" s="23" t="s">
        <v>1164</v>
      </c>
      <c r="J294" s="77">
        <v>46.8</v>
      </c>
      <c r="K294" s="77">
        <v>1.41</v>
      </c>
      <c r="L294" s="77">
        <v>9.48</v>
      </c>
      <c r="N294" s="365">
        <f t="shared" si="97"/>
        <v>57.69</v>
      </c>
      <c r="O294" s="343">
        <f t="shared" si="98"/>
        <v>46.8</v>
      </c>
      <c r="P294" s="195" t="s">
        <v>5554</v>
      </c>
      <c r="Q294" s="326" t="str">
        <f>IFERROR(VLOOKUP($G294,主力整理!$A$2:$G$2301,6,0),"0")</f>
        <v>0</v>
      </c>
      <c r="T294" s="339">
        <f t="shared" si="99"/>
        <v>0</v>
      </c>
      <c r="V294" s="371">
        <v>0.02</v>
      </c>
      <c r="W294" s="35">
        <v>1</v>
      </c>
      <c r="X294" s="100">
        <v>1.29</v>
      </c>
      <c r="Y294" s="37" t="str">
        <f>RTD("money.excel",,"1731","Price")</f>
        <v>無資料</v>
      </c>
      <c r="Z294" s="69"/>
      <c r="AA294" s="16" t="e">
        <f t="shared" si="100"/>
        <v>#VALUE!</v>
      </c>
      <c r="AB294" s="3" t="e">
        <f t="shared" si="101"/>
        <v>#VALUE!</v>
      </c>
      <c r="AC294" s="177" t="s">
        <v>2648</v>
      </c>
      <c r="AD294" s="23" t="s">
        <v>1164</v>
      </c>
      <c r="AG294" s="34">
        <f t="shared" si="102"/>
        <v>0</v>
      </c>
      <c r="AH294" s="63" t="s">
        <v>4397</v>
      </c>
      <c r="AI294" s="131"/>
      <c r="AK294" s="66">
        <f t="shared" si="105"/>
        <v>0</v>
      </c>
      <c r="AL294" s="174">
        <f t="shared" si="106"/>
        <v>0</v>
      </c>
      <c r="AM294" s="346">
        <f>RTD("money.excel",,$G294,"PredictVolume")</f>
        <v>0</v>
      </c>
      <c r="AN294" s="272">
        <f>RTD("money.excel",,$G294,"CumulativeVolume")</f>
        <v>0</v>
      </c>
      <c r="AO294" s="284"/>
    </row>
    <row r="295" spans="1:41">
      <c r="A295" s="151" t="s">
        <v>3161</v>
      </c>
      <c r="B295" s="96">
        <v>89</v>
      </c>
      <c r="C295" s="96">
        <v>13</v>
      </c>
      <c r="D295" s="96">
        <v>27</v>
      </c>
      <c r="E295" s="96">
        <v>32</v>
      </c>
      <c r="F295" s="7">
        <v>6.6</v>
      </c>
      <c r="G295" s="85">
        <v>1733</v>
      </c>
      <c r="H295" s="53" t="s">
        <v>560</v>
      </c>
      <c r="I295" s="23" t="s">
        <v>518</v>
      </c>
      <c r="J295" s="371">
        <v>21.45</v>
      </c>
      <c r="K295" s="371">
        <v>10.01</v>
      </c>
      <c r="L295" s="77">
        <v>8.81</v>
      </c>
      <c r="N295" s="365">
        <f t="shared" si="97"/>
        <v>40.270000000000003</v>
      </c>
      <c r="O295" s="343">
        <f t="shared" si="98"/>
        <v>21.45</v>
      </c>
      <c r="P295" s="195" t="s">
        <v>5554</v>
      </c>
      <c r="Q295" s="326" t="str">
        <f>IFERROR(VLOOKUP($G295,主力整理!$A$2:$G$2301,6,0),"0")</f>
        <v>0</v>
      </c>
      <c r="T295" s="339">
        <f t="shared" si="99"/>
        <v>0</v>
      </c>
      <c r="V295" s="371">
        <v>10.15</v>
      </c>
      <c r="W295" s="35">
        <v>1.1000000000000001</v>
      </c>
      <c r="X295" s="100">
        <v>0.95</v>
      </c>
      <c r="Y295" s="37" t="str">
        <f>RTD("money.excel",,"1733","Price")</f>
        <v>無資料</v>
      </c>
      <c r="Z295" s="69"/>
      <c r="AA295" s="16" t="e">
        <f t="shared" si="100"/>
        <v>#VALUE!</v>
      </c>
      <c r="AB295" s="3" t="e">
        <f t="shared" si="101"/>
        <v>#VALUE!</v>
      </c>
      <c r="AD295" s="23" t="s">
        <v>518</v>
      </c>
      <c r="AG295" s="34">
        <f t="shared" si="102"/>
        <v>0</v>
      </c>
      <c r="AH295" s="44" t="s">
        <v>2171</v>
      </c>
      <c r="AI295" s="131"/>
      <c r="AK295" s="66">
        <f t="shared" si="105"/>
        <v>0</v>
      </c>
      <c r="AL295" s="174">
        <f t="shared" si="106"/>
        <v>0</v>
      </c>
      <c r="AM295" s="346">
        <f>RTD("money.excel",,$G295,"PredictVolume")</f>
        <v>0</v>
      </c>
      <c r="AN295" s="272">
        <f>RTD("money.excel",,$G295,"CumulativeVolume")</f>
        <v>0</v>
      </c>
      <c r="AO295" s="284"/>
    </row>
    <row r="296" spans="1:41">
      <c r="A296" s="151" t="s">
        <v>2560</v>
      </c>
      <c r="B296" s="85">
        <v>-16</v>
      </c>
      <c r="C296" s="84">
        <v>16</v>
      </c>
      <c r="D296" s="84">
        <v>11</v>
      </c>
      <c r="E296" s="85">
        <v>-15</v>
      </c>
      <c r="F296" s="7">
        <v>-5.12</v>
      </c>
      <c r="G296" s="85">
        <v>1734</v>
      </c>
      <c r="H296" s="53" t="s">
        <v>560</v>
      </c>
      <c r="I296" s="23" t="s">
        <v>1165</v>
      </c>
      <c r="J296" s="371">
        <v>24.49</v>
      </c>
      <c r="K296" s="77">
        <v>2.87</v>
      </c>
      <c r="L296" s="77">
        <v>17.920000000000002</v>
      </c>
      <c r="N296" s="365">
        <f t="shared" si="97"/>
        <v>45.28</v>
      </c>
      <c r="O296" s="343">
        <f t="shared" si="98"/>
        <v>24.49</v>
      </c>
      <c r="P296" s="195" t="s">
        <v>5554</v>
      </c>
      <c r="Q296" s="326">
        <f>IFERROR(VLOOKUP($G296,主力整理!$A$2:$G$2301,6,0),"0")</f>
        <v>4</v>
      </c>
      <c r="T296" s="339">
        <f t="shared" si="99"/>
        <v>4</v>
      </c>
      <c r="V296" s="371">
        <v>0.02</v>
      </c>
      <c r="W296" s="35">
        <v>0.2</v>
      </c>
      <c r="X296" s="100">
        <v>-0.17</v>
      </c>
      <c r="Y296" s="37" t="str">
        <f>RTD("money.excel",,"1734","Price")</f>
        <v>無資料</v>
      </c>
      <c r="Z296" s="69"/>
      <c r="AA296" s="16" t="e">
        <f t="shared" si="100"/>
        <v>#VALUE!</v>
      </c>
      <c r="AB296" s="3" t="e">
        <f t="shared" si="101"/>
        <v>#VALUE!</v>
      </c>
      <c r="AC296" s="177" t="s">
        <v>2648</v>
      </c>
      <c r="AD296" s="23" t="s">
        <v>1165</v>
      </c>
      <c r="AG296" s="34">
        <f t="shared" si="102"/>
        <v>0</v>
      </c>
      <c r="AH296" s="44" t="s">
        <v>3031</v>
      </c>
      <c r="AI296" s="131"/>
      <c r="AK296" s="66">
        <f t="shared" si="105"/>
        <v>0</v>
      </c>
      <c r="AL296" s="174">
        <f t="shared" si="106"/>
        <v>0</v>
      </c>
      <c r="AM296" s="346">
        <f>RTD("money.excel",,$G296,"PredictVolume")</f>
        <v>0</v>
      </c>
      <c r="AN296" s="272">
        <f>RTD("money.excel",,$G296,"CumulativeVolume")</f>
        <v>0</v>
      </c>
      <c r="AO296" s="284"/>
    </row>
    <row r="297" spans="1:41">
      <c r="A297" s="151" t="s">
        <v>2473</v>
      </c>
      <c r="B297" s="84">
        <v>140</v>
      </c>
      <c r="C297" s="84">
        <v>123</v>
      </c>
      <c r="D297" s="85">
        <v>-9</v>
      </c>
      <c r="E297" s="85">
        <v>-5</v>
      </c>
      <c r="F297" s="7">
        <v>0.56000000000000005</v>
      </c>
      <c r="G297" s="85">
        <v>1736</v>
      </c>
      <c r="H297" s="53" t="s">
        <v>560</v>
      </c>
      <c r="I297" s="23" t="s">
        <v>1166</v>
      </c>
      <c r="J297" s="371">
        <v>77.53</v>
      </c>
      <c r="K297" s="371">
        <v>7.8</v>
      </c>
      <c r="L297" s="77">
        <v>3.34</v>
      </c>
      <c r="N297" s="365">
        <f t="shared" si="97"/>
        <v>88.67</v>
      </c>
      <c r="O297" s="343">
        <f t="shared" si="98"/>
        <v>77.53</v>
      </c>
      <c r="P297" s="195">
        <v>8</v>
      </c>
      <c r="Q297" s="326" t="str">
        <f>IFERROR(VLOOKUP($G297,主力整理!$A$2:$G$2301,6,0),"0")</f>
        <v>0</v>
      </c>
      <c r="R297" s="111">
        <v>3</v>
      </c>
      <c r="S297" s="51">
        <v>11</v>
      </c>
      <c r="T297" s="339">
        <f t="shared" si="99"/>
        <v>22</v>
      </c>
      <c r="V297" s="371">
        <v>2.37</v>
      </c>
      <c r="W297" s="35">
        <v>1.1200000000000001</v>
      </c>
      <c r="X297" s="59">
        <v>3.34</v>
      </c>
      <c r="Y297" s="37" t="str">
        <f>RTD("money.excel",,"1736","Price")</f>
        <v>無資料</v>
      </c>
      <c r="Z297" s="69"/>
      <c r="AA297" s="16" t="e">
        <f t="shared" si="100"/>
        <v>#VALUE!</v>
      </c>
      <c r="AB297" s="3" t="e">
        <f t="shared" si="101"/>
        <v>#VALUE!</v>
      </c>
      <c r="AC297" s="177" t="s">
        <v>2648</v>
      </c>
      <c r="AD297" s="23" t="s">
        <v>1166</v>
      </c>
      <c r="AG297" s="34">
        <f t="shared" si="102"/>
        <v>0</v>
      </c>
      <c r="AH297" s="44" t="s">
        <v>3086</v>
      </c>
      <c r="AI297" s="131"/>
      <c r="AK297" s="66">
        <f t="shared" si="105"/>
        <v>0</v>
      </c>
      <c r="AL297" s="174">
        <f t="shared" si="106"/>
        <v>0</v>
      </c>
      <c r="AM297" s="346">
        <f>RTD("money.excel",,$G297,"PredictVolume")</f>
        <v>0</v>
      </c>
      <c r="AN297" s="272">
        <f>RTD("money.excel",,$G297,"CumulativeVolume")</f>
        <v>0</v>
      </c>
      <c r="AO297" s="284"/>
    </row>
    <row r="298" spans="1:41">
      <c r="A298" s="135" t="s">
        <v>2760</v>
      </c>
      <c r="B298" s="85">
        <v>-28</v>
      </c>
      <c r="C298" s="85">
        <v>-21</v>
      </c>
      <c r="D298" s="85">
        <v>-13</v>
      </c>
      <c r="E298" s="85">
        <v>-7</v>
      </c>
      <c r="F298" s="59">
        <v>13.97</v>
      </c>
      <c r="G298" s="85">
        <v>1752</v>
      </c>
      <c r="H298" s="55" t="s">
        <v>560</v>
      </c>
      <c r="I298" s="17" t="s">
        <v>262</v>
      </c>
      <c r="J298" s="77">
        <v>58.45</v>
      </c>
      <c r="K298" s="77">
        <v>1.24</v>
      </c>
      <c r="L298" s="77">
        <v>8.2200000000000006</v>
      </c>
      <c r="N298" s="365">
        <f t="shared" si="97"/>
        <v>67.910000000000011</v>
      </c>
      <c r="O298" s="343">
        <f t="shared" si="98"/>
        <v>58.45</v>
      </c>
      <c r="P298" s="195" t="s">
        <v>5554</v>
      </c>
      <c r="Q298" s="326" t="str">
        <f>IFERROR(VLOOKUP($G298,主力整理!$A$2:$G$2301,6,0),"0")</f>
        <v>0</v>
      </c>
      <c r="T298" s="339">
        <f t="shared" si="99"/>
        <v>0</v>
      </c>
      <c r="V298" s="371">
        <v>0</v>
      </c>
      <c r="W298" s="35">
        <v>1.6</v>
      </c>
      <c r="X298" s="59">
        <v>1.64</v>
      </c>
      <c r="Y298" s="37" t="str">
        <f>RTD("money.excel",,"1752","Price")</f>
        <v>無資料</v>
      </c>
      <c r="Z298" s="69"/>
      <c r="AA298" s="16" t="e">
        <f t="shared" si="100"/>
        <v>#VALUE!</v>
      </c>
      <c r="AB298" s="3" t="e">
        <f t="shared" si="101"/>
        <v>#VALUE!</v>
      </c>
      <c r="AC298" s="177" t="s">
        <v>2648</v>
      </c>
      <c r="AD298" s="17" t="s">
        <v>262</v>
      </c>
      <c r="AG298" s="34">
        <f t="shared" si="102"/>
        <v>0</v>
      </c>
      <c r="AH298" s="126" t="s">
        <v>3873</v>
      </c>
      <c r="AI298" s="131"/>
      <c r="AK298" s="66">
        <f t="shared" si="105"/>
        <v>0</v>
      </c>
      <c r="AL298" s="174">
        <f t="shared" si="106"/>
        <v>0</v>
      </c>
      <c r="AM298" s="346">
        <f>RTD("money.excel",,$G298,"PredictVolume")</f>
        <v>0</v>
      </c>
      <c r="AN298" s="272">
        <f>RTD("money.excel",,$G298,"CumulativeVolume")</f>
        <v>0</v>
      </c>
      <c r="AO298" s="284"/>
    </row>
    <row r="299" spans="1:41">
      <c r="A299" s="151" t="s">
        <v>5606</v>
      </c>
      <c r="B299" s="84">
        <v>820</v>
      </c>
      <c r="C299" s="84">
        <v>202</v>
      </c>
      <c r="D299" s="85">
        <v>-35</v>
      </c>
      <c r="E299" s="84">
        <v>9</v>
      </c>
      <c r="F299" s="7">
        <v>8.9600000000000009</v>
      </c>
      <c r="G299" s="85">
        <v>1760</v>
      </c>
      <c r="H299" s="53" t="s">
        <v>560</v>
      </c>
      <c r="I299" s="23" t="s">
        <v>1167</v>
      </c>
      <c r="J299" s="371">
        <v>23.73</v>
      </c>
      <c r="K299" s="371">
        <v>2.76</v>
      </c>
      <c r="L299" s="371">
        <v>19.010000000000002</v>
      </c>
      <c r="N299" s="365">
        <f t="shared" si="97"/>
        <v>45.5</v>
      </c>
      <c r="O299" s="343">
        <f t="shared" si="98"/>
        <v>23.73</v>
      </c>
      <c r="P299" s="195">
        <v>4</v>
      </c>
      <c r="Q299" s="326">
        <f>IFERROR(VLOOKUP($G299,主力整理!$A$2:$G$2301,6,0),"0")</f>
        <v>1</v>
      </c>
      <c r="R299" s="111">
        <v>11</v>
      </c>
      <c r="S299" s="51">
        <v>7</v>
      </c>
      <c r="T299" s="339">
        <f t="shared" si="99"/>
        <v>23</v>
      </c>
      <c r="V299" s="371">
        <v>1.37</v>
      </c>
      <c r="W299" s="35">
        <v>0.7</v>
      </c>
      <c r="X299" s="100">
        <v>1.1000000000000001</v>
      </c>
      <c r="Y299" s="37" t="str">
        <f>RTD("money.excel",,"1760","Price")</f>
        <v>無資料</v>
      </c>
      <c r="Z299" s="69"/>
      <c r="AA299" s="16" t="e">
        <f t="shared" si="100"/>
        <v>#VALUE!</v>
      </c>
      <c r="AB299" s="3" t="e">
        <f t="shared" si="101"/>
        <v>#VALUE!</v>
      </c>
      <c r="AC299" s="177" t="s">
        <v>2648</v>
      </c>
      <c r="AD299" s="23" t="s">
        <v>1167</v>
      </c>
      <c r="AG299" s="34">
        <f t="shared" si="102"/>
        <v>0</v>
      </c>
      <c r="AH299" s="44" t="s">
        <v>4398</v>
      </c>
      <c r="AI299" s="131"/>
      <c r="AK299" s="66">
        <f t="shared" si="105"/>
        <v>0</v>
      </c>
      <c r="AL299" s="174">
        <f t="shared" si="106"/>
        <v>0</v>
      </c>
      <c r="AM299" s="346">
        <f>RTD("money.excel",,$G299,"PredictVolume")</f>
        <v>0</v>
      </c>
      <c r="AN299" s="272">
        <f>RTD("money.excel",,$G299,"CumulativeVolume")</f>
        <v>0</v>
      </c>
      <c r="AO299" s="284"/>
    </row>
    <row r="300" spans="1:41">
      <c r="A300" s="135" t="s">
        <v>2921</v>
      </c>
      <c r="B300" s="84">
        <v>440</v>
      </c>
      <c r="C300" s="84">
        <v>90</v>
      </c>
      <c r="D300" s="84">
        <v>288</v>
      </c>
      <c r="E300" s="84">
        <v>191</v>
      </c>
      <c r="F300" s="59">
        <v>14.84</v>
      </c>
      <c r="G300" s="85">
        <v>1762</v>
      </c>
      <c r="H300" s="53" t="s">
        <v>560</v>
      </c>
      <c r="I300" s="23" t="s">
        <v>1168</v>
      </c>
      <c r="J300" s="371">
        <v>33.869999999999997</v>
      </c>
      <c r="K300" s="371">
        <v>4.72</v>
      </c>
      <c r="L300" s="371">
        <v>33.96</v>
      </c>
      <c r="N300" s="365">
        <f t="shared" si="97"/>
        <v>72.55</v>
      </c>
      <c r="O300" s="343">
        <f t="shared" si="98"/>
        <v>33.869999999999997</v>
      </c>
      <c r="P300" s="195" t="s">
        <v>5554</v>
      </c>
      <c r="Q300" s="326">
        <f>IFERROR(VLOOKUP($G300,主力整理!$A$2:$G$2301,6,0),"0")</f>
        <v>2</v>
      </c>
      <c r="T300" s="339">
        <f t="shared" si="99"/>
        <v>2</v>
      </c>
      <c r="V300" s="371">
        <v>2.06</v>
      </c>
      <c r="W300" s="35">
        <v>1.5</v>
      </c>
      <c r="X300" s="100">
        <v>6.86</v>
      </c>
      <c r="Y300" s="37" t="str">
        <f>RTD("money.excel",,"1762","Price")</f>
        <v>無資料</v>
      </c>
      <c r="Z300" s="69"/>
      <c r="AA300" s="16" t="e">
        <f t="shared" si="100"/>
        <v>#VALUE!</v>
      </c>
      <c r="AB300" s="3" t="e">
        <f t="shared" si="101"/>
        <v>#VALUE!</v>
      </c>
      <c r="AC300" s="177" t="s">
        <v>2648</v>
      </c>
      <c r="AD300" s="23" t="s">
        <v>1168</v>
      </c>
      <c r="AG300" s="34">
        <f t="shared" si="102"/>
        <v>0</v>
      </c>
      <c r="AH300" s="63" t="s">
        <v>4399</v>
      </c>
      <c r="AI300" s="131"/>
      <c r="AK300" s="66">
        <f t="shared" si="105"/>
        <v>0</v>
      </c>
      <c r="AL300" s="174">
        <f t="shared" si="106"/>
        <v>0</v>
      </c>
      <c r="AM300" s="346">
        <f>RTD("money.excel",,$G300,"PredictVolume")</f>
        <v>0</v>
      </c>
      <c r="AN300" s="272">
        <f>RTD("money.excel",,$G300,"CumulativeVolume")</f>
        <v>0</v>
      </c>
      <c r="AO300" s="284"/>
    </row>
    <row r="301" spans="1:41">
      <c r="A301" s="135" t="s">
        <v>6506</v>
      </c>
      <c r="B301" s="85">
        <v>-32</v>
      </c>
      <c r="C301" s="85">
        <v>-32</v>
      </c>
      <c r="D301" s="84">
        <v>63</v>
      </c>
      <c r="E301" s="85">
        <v>-40</v>
      </c>
      <c r="F301" s="59">
        <v>22.79</v>
      </c>
      <c r="G301" s="85">
        <v>1777</v>
      </c>
      <c r="H301" s="55" t="s">
        <v>560</v>
      </c>
      <c r="I301" s="17" t="s">
        <v>263</v>
      </c>
      <c r="J301" s="371">
        <v>48.69</v>
      </c>
      <c r="K301" s="371">
        <v>0.15</v>
      </c>
      <c r="L301" s="77">
        <v>2.31</v>
      </c>
      <c r="M301" s="77">
        <v>29.77</v>
      </c>
      <c r="N301" s="365">
        <f>K301+J301+L301+M301</f>
        <v>80.92</v>
      </c>
      <c r="O301" s="343">
        <f t="shared" si="98"/>
        <v>78.459999999999994</v>
      </c>
      <c r="P301" s="195">
        <v>1</v>
      </c>
      <c r="Q301" s="326" t="str">
        <f>IFERROR(VLOOKUP($G301,主力整理!$A$2:$G$2301,6,0),"0")</f>
        <v>0</v>
      </c>
      <c r="R301" s="111">
        <v>2</v>
      </c>
      <c r="S301" s="51">
        <v>4</v>
      </c>
      <c r="T301" s="339">
        <f t="shared" si="99"/>
        <v>7</v>
      </c>
      <c r="V301" s="371">
        <v>6.2E-2</v>
      </c>
      <c r="W301" s="69">
        <v>4</v>
      </c>
      <c r="X301" s="100">
        <v>4.57</v>
      </c>
      <c r="Y301" s="37" t="str">
        <f>RTD("money.excel",,"1777","Price")</f>
        <v>無資料</v>
      </c>
      <c r="Z301" s="69"/>
      <c r="AA301" s="16" t="e">
        <f t="shared" si="100"/>
        <v>#VALUE!</v>
      </c>
      <c r="AB301" s="3" t="e">
        <f t="shared" si="101"/>
        <v>#VALUE!</v>
      </c>
      <c r="AC301" s="177" t="s">
        <v>2929</v>
      </c>
      <c r="AD301" s="17" t="s">
        <v>263</v>
      </c>
      <c r="AG301" s="34">
        <f t="shared" si="102"/>
        <v>0</v>
      </c>
      <c r="AH301" s="126" t="s">
        <v>3874</v>
      </c>
      <c r="AI301" s="131"/>
      <c r="AK301" s="66">
        <f t="shared" si="105"/>
        <v>0</v>
      </c>
      <c r="AL301" s="174">
        <f t="shared" si="106"/>
        <v>0</v>
      </c>
      <c r="AM301" s="346">
        <f>RTD("money.excel",,$G301,"PredictVolume")</f>
        <v>0</v>
      </c>
      <c r="AN301" s="272">
        <f>RTD("money.excel",,$G301,"CumulativeVolume")</f>
        <v>0</v>
      </c>
      <c r="AO301" s="284"/>
    </row>
    <row r="302" spans="1:41">
      <c r="A302" s="151" t="s">
        <v>2587</v>
      </c>
      <c r="B302" s="84">
        <v>369</v>
      </c>
      <c r="C302" s="85">
        <v>-81</v>
      </c>
      <c r="D302" s="85">
        <v>-10</v>
      </c>
      <c r="E302" s="84">
        <v>27</v>
      </c>
      <c r="F302" s="7">
        <v>-8.26</v>
      </c>
      <c r="G302" s="85">
        <v>1781</v>
      </c>
      <c r="H302" s="4" t="s">
        <v>560</v>
      </c>
      <c r="I302" s="17" t="s">
        <v>1098</v>
      </c>
      <c r="J302" s="371">
        <v>27.75</v>
      </c>
      <c r="K302" s="77">
        <v>0.35</v>
      </c>
      <c r="L302" s="371">
        <v>0</v>
      </c>
      <c r="N302" s="365">
        <f t="shared" ref="N302:N333" si="107">J302+K302+L302+M302</f>
        <v>28.1</v>
      </c>
      <c r="O302" s="343">
        <f t="shared" si="98"/>
        <v>27.75</v>
      </c>
      <c r="P302" s="195" t="s">
        <v>5554</v>
      </c>
      <c r="Q302" s="326" t="str">
        <f>IFERROR(VLOOKUP($G302,主力整理!$A$2:$G$2301,6,0),"0")</f>
        <v>0</v>
      </c>
      <c r="R302" s="111">
        <v>38</v>
      </c>
      <c r="T302" s="339">
        <f t="shared" si="99"/>
        <v>38</v>
      </c>
      <c r="V302" s="371">
        <v>0</v>
      </c>
      <c r="W302" s="35">
        <v>0</v>
      </c>
      <c r="X302" s="100">
        <v>4.97</v>
      </c>
      <c r="Y302" s="37" t="str">
        <f>RTD("money.excel",,"1781","Price")</f>
        <v>無資料</v>
      </c>
      <c r="Z302" s="69"/>
      <c r="AA302" s="16" t="e">
        <f t="shared" si="100"/>
        <v>#VALUE!</v>
      </c>
      <c r="AB302" s="3" t="e">
        <f t="shared" si="101"/>
        <v>#VALUE!</v>
      </c>
      <c r="AD302" s="17" t="s">
        <v>1098</v>
      </c>
      <c r="AG302" s="34">
        <f t="shared" si="102"/>
        <v>0</v>
      </c>
      <c r="AH302" s="44" t="s">
        <v>3875</v>
      </c>
      <c r="AI302" s="131"/>
      <c r="AK302" s="66">
        <f t="shared" si="105"/>
        <v>0</v>
      </c>
      <c r="AL302" s="174">
        <f t="shared" si="106"/>
        <v>0</v>
      </c>
      <c r="AM302" s="346">
        <f>RTD("money.excel",,$G302,"PredictVolume")</f>
        <v>0</v>
      </c>
      <c r="AN302" s="272">
        <f>RTD("money.excel",,$G302,"CumulativeVolume")</f>
        <v>0</v>
      </c>
      <c r="AO302" s="284"/>
    </row>
    <row r="303" spans="1:41">
      <c r="A303" s="135" t="s">
        <v>2927</v>
      </c>
      <c r="B303" s="96">
        <v>-18</v>
      </c>
      <c r="C303" s="96">
        <v>-32</v>
      </c>
      <c r="D303" s="96">
        <v>-61</v>
      </c>
      <c r="E303" s="96">
        <v>3</v>
      </c>
      <c r="F303" s="59">
        <v>13.49</v>
      </c>
      <c r="G303" s="85">
        <v>1783</v>
      </c>
      <c r="H303" s="53" t="s">
        <v>560</v>
      </c>
      <c r="I303" s="23" t="s">
        <v>4961</v>
      </c>
      <c r="J303" s="77">
        <v>44</v>
      </c>
      <c r="K303" s="77">
        <v>17.239999999999998</v>
      </c>
      <c r="L303" s="77">
        <v>17.62</v>
      </c>
      <c r="N303" s="365">
        <f t="shared" si="107"/>
        <v>78.86</v>
      </c>
      <c r="O303" s="343">
        <f t="shared" si="98"/>
        <v>44</v>
      </c>
      <c r="P303" s="195">
        <v>1</v>
      </c>
      <c r="Q303" s="326">
        <f>IFERROR(VLOOKUP($G303,主力整理!$A$2:$G$2301,6,0),"0")</f>
        <v>3</v>
      </c>
      <c r="T303" s="339">
        <f t="shared" si="99"/>
        <v>4</v>
      </c>
      <c r="V303" s="371">
        <v>13.28</v>
      </c>
      <c r="W303" s="35">
        <v>0.81</v>
      </c>
      <c r="X303" s="100">
        <v>0.91</v>
      </c>
      <c r="Y303" s="37" t="str">
        <f>RTD("money.excel",,"1783","Price")</f>
        <v>無資料</v>
      </c>
      <c r="Z303" s="69"/>
      <c r="AA303" s="16" t="e">
        <f t="shared" si="100"/>
        <v>#VALUE!</v>
      </c>
      <c r="AB303" s="3" t="e">
        <f t="shared" si="101"/>
        <v>#VALUE!</v>
      </c>
      <c r="AC303" s="177" t="s">
        <v>2648</v>
      </c>
      <c r="AD303" s="23" t="s">
        <v>4961</v>
      </c>
      <c r="AG303" s="34">
        <f t="shared" si="102"/>
        <v>0</v>
      </c>
      <c r="AH303" s="63" t="s">
        <v>3897</v>
      </c>
      <c r="AI303" s="131"/>
      <c r="AK303" s="66">
        <f t="shared" si="105"/>
        <v>0</v>
      </c>
      <c r="AL303" s="174">
        <f t="shared" si="106"/>
        <v>0</v>
      </c>
      <c r="AM303" s="346">
        <f>RTD("money.excel",,$G303,"PredictVolume")</f>
        <v>0</v>
      </c>
      <c r="AN303" s="272">
        <f>RTD("money.excel",,$G303,"CumulativeVolume")</f>
        <v>0</v>
      </c>
      <c r="AO303" s="284"/>
    </row>
    <row r="304" spans="1:41">
      <c r="A304" s="151" t="s">
        <v>4696</v>
      </c>
      <c r="B304" s="85">
        <v>-94</v>
      </c>
      <c r="C304" s="85">
        <v>-146</v>
      </c>
      <c r="D304" s="84">
        <v>20</v>
      </c>
      <c r="E304" s="84">
        <v>17</v>
      </c>
      <c r="F304" s="7">
        <v>-0.47</v>
      </c>
      <c r="G304" s="85">
        <v>1784</v>
      </c>
      <c r="H304" s="4" t="s">
        <v>560</v>
      </c>
      <c r="I304" s="17" t="s">
        <v>1099</v>
      </c>
      <c r="J304" s="77">
        <v>16.89</v>
      </c>
      <c r="K304" s="371">
        <v>2.37</v>
      </c>
      <c r="L304" s="77">
        <v>22.7</v>
      </c>
      <c r="N304" s="365">
        <f t="shared" si="107"/>
        <v>41.96</v>
      </c>
      <c r="O304" s="343">
        <f t="shared" si="98"/>
        <v>16.89</v>
      </c>
      <c r="P304" s="195" t="s">
        <v>5554</v>
      </c>
      <c r="Q304" s="326">
        <f>IFERROR(VLOOKUP($G304,主力整理!$A$2:$G$2301,6,0),"0")</f>
        <v>1</v>
      </c>
      <c r="T304" s="339">
        <f t="shared" si="99"/>
        <v>1</v>
      </c>
      <c r="V304" s="371">
        <v>0.02</v>
      </c>
      <c r="W304" s="35">
        <v>0.18</v>
      </c>
      <c r="X304" s="100">
        <v>0.27</v>
      </c>
      <c r="Y304" s="37" t="str">
        <f>RTD("money.excel",,"1784","Price")</f>
        <v>無資料</v>
      </c>
      <c r="Z304" s="69"/>
      <c r="AA304" s="16" t="e">
        <f t="shared" si="100"/>
        <v>#VALUE!</v>
      </c>
      <c r="AB304" s="3" t="e">
        <f t="shared" si="101"/>
        <v>#VALUE!</v>
      </c>
      <c r="AD304" s="17" t="s">
        <v>1099</v>
      </c>
      <c r="AG304" s="34">
        <f t="shared" si="102"/>
        <v>0</v>
      </c>
      <c r="AH304" s="44" t="s">
        <v>3876</v>
      </c>
      <c r="AI304" s="131"/>
      <c r="AK304" s="66">
        <f t="shared" si="105"/>
        <v>0</v>
      </c>
      <c r="AL304" s="174">
        <f t="shared" si="106"/>
        <v>0</v>
      </c>
      <c r="AM304" s="346">
        <f>RTD("money.excel",,$G304,"PredictVolume")</f>
        <v>0</v>
      </c>
      <c r="AN304" s="272">
        <f>RTD("money.excel",,$G304,"CumulativeVolume")</f>
        <v>0</v>
      </c>
      <c r="AO304" s="284"/>
    </row>
    <row r="305" spans="1:41">
      <c r="A305" s="135" t="s">
        <v>4825</v>
      </c>
      <c r="B305" s="96">
        <v>14</v>
      </c>
      <c r="C305" s="96">
        <v>16</v>
      </c>
      <c r="D305" s="96">
        <v>-38</v>
      </c>
      <c r="E305" s="96">
        <v>-22</v>
      </c>
      <c r="F305" s="59">
        <v>22.33</v>
      </c>
      <c r="G305" s="85">
        <v>1786</v>
      </c>
      <c r="H305" s="53" t="s">
        <v>560</v>
      </c>
      <c r="I305" s="23" t="s">
        <v>580</v>
      </c>
      <c r="J305" s="77">
        <v>48.12</v>
      </c>
      <c r="K305" s="371">
        <v>1.25</v>
      </c>
      <c r="L305" s="77">
        <v>39.299999999999997</v>
      </c>
      <c r="N305" s="365">
        <f t="shared" si="107"/>
        <v>88.669999999999987</v>
      </c>
      <c r="O305" s="343">
        <f t="shared" si="98"/>
        <v>48.12</v>
      </c>
      <c r="P305" s="195" t="s">
        <v>5554</v>
      </c>
      <c r="Q305" s="326" t="str">
        <f>IFERROR(VLOOKUP($G305,主力整理!$A$2:$G$2301,6,0),"0")</f>
        <v>0</v>
      </c>
      <c r="T305" s="339">
        <f t="shared" si="99"/>
        <v>0</v>
      </c>
      <c r="V305" s="371">
        <v>17.25</v>
      </c>
      <c r="W305" s="35">
        <v>1.81</v>
      </c>
      <c r="X305" s="100">
        <v>2.15</v>
      </c>
      <c r="Y305" s="37" t="str">
        <f>RTD("money.excel",,"1786","Price")</f>
        <v>無資料</v>
      </c>
      <c r="Z305" s="69"/>
      <c r="AA305" s="16" t="e">
        <f t="shared" si="100"/>
        <v>#VALUE!</v>
      </c>
      <c r="AB305" s="3" t="e">
        <f t="shared" si="101"/>
        <v>#VALUE!</v>
      </c>
      <c r="AD305" s="23" t="s">
        <v>580</v>
      </c>
      <c r="AG305" s="34">
        <f t="shared" si="102"/>
        <v>0</v>
      </c>
      <c r="AH305" s="63" t="s">
        <v>3885</v>
      </c>
      <c r="AI305" s="131"/>
      <c r="AK305" s="66">
        <f t="shared" si="105"/>
        <v>0</v>
      </c>
      <c r="AL305" s="174">
        <f t="shared" si="106"/>
        <v>0</v>
      </c>
      <c r="AM305" s="346">
        <f>RTD("money.excel",,$G305,"PredictVolume")</f>
        <v>0</v>
      </c>
      <c r="AN305" s="272">
        <f>RTD("money.excel",,$G305,"CumulativeVolume")</f>
        <v>0</v>
      </c>
      <c r="AO305" s="284"/>
    </row>
    <row r="306" spans="1:41">
      <c r="A306" s="135" t="s">
        <v>4582</v>
      </c>
      <c r="B306" s="84">
        <v>36</v>
      </c>
      <c r="C306" s="84">
        <v>26</v>
      </c>
      <c r="D306" s="84">
        <v>-10</v>
      </c>
      <c r="E306" s="84">
        <v>6</v>
      </c>
      <c r="F306" s="59">
        <v>11</v>
      </c>
      <c r="G306" s="85">
        <v>1788</v>
      </c>
      <c r="H306" s="4" t="s">
        <v>560</v>
      </c>
      <c r="I306" s="17" t="s">
        <v>1100</v>
      </c>
      <c r="J306" s="371">
        <v>54.48</v>
      </c>
      <c r="K306" s="371">
        <v>11.46</v>
      </c>
      <c r="L306" s="371">
        <v>0.09</v>
      </c>
      <c r="N306" s="365">
        <f t="shared" si="107"/>
        <v>66.03</v>
      </c>
      <c r="O306" s="343">
        <f t="shared" si="98"/>
        <v>54.48</v>
      </c>
      <c r="P306" s="195" t="s">
        <v>5554</v>
      </c>
      <c r="Q306" s="326" t="str">
        <f>IFERROR(VLOOKUP($G306,主力整理!$A$2:$G$2301,6,0),"0")</f>
        <v>0</v>
      </c>
      <c r="T306" s="339">
        <f t="shared" si="99"/>
        <v>0</v>
      </c>
      <c r="V306" s="371">
        <v>0</v>
      </c>
      <c r="W306" s="69">
        <v>7</v>
      </c>
      <c r="X306" s="100">
        <v>8.77</v>
      </c>
      <c r="Y306" s="37" t="str">
        <f>RTD("money.excel",,"1788","Price")</f>
        <v>無資料</v>
      </c>
      <c r="Z306" s="69"/>
      <c r="AA306" s="16" t="e">
        <f t="shared" si="100"/>
        <v>#VALUE!</v>
      </c>
      <c r="AB306" s="3" t="e">
        <f t="shared" si="101"/>
        <v>#VALUE!</v>
      </c>
      <c r="AC306" s="177" t="s">
        <v>2700</v>
      </c>
      <c r="AD306" s="17" t="s">
        <v>1100</v>
      </c>
      <c r="AG306" s="34">
        <f t="shared" si="102"/>
        <v>0</v>
      </c>
      <c r="AH306" s="63" t="s">
        <v>3877</v>
      </c>
      <c r="AI306" s="131"/>
      <c r="AK306" s="66">
        <f t="shared" si="105"/>
        <v>0</v>
      </c>
      <c r="AL306" s="174">
        <f t="shared" si="106"/>
        <v>0</v>
      </c>
      <c r="AM306" s="346">
        <f>RTD("money.excel",,$G306,"PredictVolume")</f>
        <v>0</v>
      </c>
      <c r="AN306" s="272">
        <f>RTD("money.excel",,$G306,"CumulativeVolume")</f>
        <v>0</v>
      </c>
      <c r="AO306" s="284"/>
    </row>
    <row r="307" spans="1:41">
      <c r="A307" s="135" t="s">
        <v>3214</v>
      </c>
      <c r="B307" s="84">
        <v>63</v>
      </c>
      <c r="C307" s="84">
        <v>68</v>
      </c>
      <c r="D307" s="84">
        <v>15</v>
      </c>
      <c r="E307" s="84">
        <v>43</v>
      </c>
      <c r="F307" s="59">
        <v>16.04</v>
      </c>
      <c r="G307" s="85">
        <v>1789</v>
      </c>
      <c r="H307" s="53" t="s">
        <v>560</v>
      </c>
      <c r="I307" s="23" t="s">
        <v>248</v>
      </c>
      <c r="J307" s="371">
        <v>76.37</v>
      </c>
      <c r="K307" s="77">
        <v>4.28</v>
      </c>
      <c r="L307" s="77">
        <v>3.89</v>
      </c>
      <c r="N307" s="365">
        <f t="shared" si="107"/>
        <v>84.54</v>
      </c>
      <c r="O307" s="343">
        <f t="shared" si="98"/>
        <v>76.37</v>
      </c>
      <c r="P307" s="195" t="s">
        <v>5554</v>
      </c>
      <c r="Q307" s="326" t="str">
        <f>IFERROR(VLOOKUP($G307,主力整理!$A$2:$G$2301,6,0),"0")</f>
        <v>0</v>
      </c>
      <c r="T307" s="339">
        <f t="shared" si="99"/>
        <v>0</v>
      </c>
      <c r="V307" s="371">
        <v>0.02</v>
      </c>
      <c r="W307" s="35">
        <v>0.5</v>
      </c>
      <c r="X307" s="100">
        <v>0.36</v>
      </c>
      <c r="Y307" s="37" t="str">
        <f>RTD("money.excel",,"1789","Price")</f>
        <v>無資料</v>
      </c>
      <c r="Z307" s="69"/>
      <c r="AA307" s="16" t="e">
        <f t="shared" si="100"/>
        <v>#VALUE!</v>
      </c>
      <c r="AB307" s="3" t="e">
        <f t="shared" si="101"/>
        <v>#VALUE!</v>
      </c>
      <c r="AD307" s="23" t="s">
        <v>248</v>
      </c>
      <c r="AG307" s="34">
        <f t="shared" si="102"/>
        <v>0</v>
      </c>
      <c r="AH307" s="126" t="s">
        <v>4400</v>
      </c>
      <c r="AI307" s="131"/>
      <c r="AK307" s="66">
        <f t="shared" si="105"/>
        <v>0</v>
      </c>
      <c r="AL307" s="174">
        <f t="shared" si="106"/>
        <v>0</v>
      </c>
      <c r="AM307" s="346">
        <f>RTD("money.excel",,$G307,"PredictVolume")</f>
        <v>0</v>
      </c>
      <c r="AN307" s="272">
        <f>RTD("money.excel",,$G307,"CumulativeVolume")</f>
        <v>0</v>
      </c>
      <c r="AO307" s="284"/>
    </row>
    <row r="308" spans="1:41">
      <c r="A308" s="135" t="s">
        <v>5528</v>
      </c>
      <c r="B308" s="84">
        <v>61</v>
      </c>
      <c r="C308" s="84">
        <v>63</v>
      </c>
      <c r="D308" s="84">
        <v>13</v>
      </c>
      <c r="E308" s="84">
        <v>3</v>
      </c>
      <c r="F308" s="59">
        <v>19.32</v>
      </c>
      <c r="G308" s="85">
        <v>1795</v>
      </c>
      <c r="H308" s="4" t="s">
        <v>560</v>
      </c>
      <c r="I308" s="23" t="s">
        <v>579</v>
      </c>
      <c r="J308" s="77">
        <v>68.02</v>
      </c>
      <c r="K308" s="371">
        <v>75.930000000000007</v>
      </c>
      <c r="L308" s="77">
        <v>18.09</v>
      </c>
      <c r="M308" s="371">
        <v>57.5</v>
      </c>
      <c r="N308" s="77">
        <f t="shared" si="107"/>
        <v>219.54</v>
      </c>
      <c r="O308" s="369">
        <f t="shared" si="98"/>
        <v>125.52</v>
      </c>
      <c r="P308" s="195">
        <v>0</v>
      </c>
      <c r="Q308" s="326">
        <v>6</v>
      </c>
      <c r="R308" s="111">
        <v>1</v>
      </c>
      <c r="S308" s="51">
        <v>5</v>
      </c>
      <c r="T308" s="339">
        <f t="shared" si="99"/>
        <v>12</v>
      </c>
      <c r="U308" s="329" t="s">
        <v>6539</v>
      </c>
      <c r="V308" s="371">
        <v>4.24</v>
      </c>
      <c r="W308" s="35">
        <v>0.35</v>
      </c>
      <c r="X308" s="59">
        <v>5.68</v>
      </c>
      <c r="Y308" s="14" t="str">
        <f>RTD("money.excel",,"1795","Price")</f>
        <v>無資料</v>
      </c>
      <c r="Z308" s="69"/>
      <c r="AA308" s="16" t="e">
        <f t="shared" si="100"/>
        <v>#VALUE!</v>
      </c>
      <c r="AB308" s="3" t="e">
        <f t="shared" si="101"/>
        <v>#VALUE!</v>
      </c>
      <c r="AD308" s="23" t="s">
        <v>579</v>
      </c>
      <c r="AG308" s="34">
        <f t="shared" si="102"/>
        <v>0</v>
      </c>
      <c r="AH308" s="63" t="s">
        <v>4826</v>
      </c>
      <c r="AI308" s="131"/>
      <c r="AK308" s="66">
        <f t="shared" si="105"/>
        <v>0</v>
      </c>
      <c r="AL308" s="174">
        <f t="shared" si="106"/>
        <v>0</v>
      </c>
      <c r="AM308" s="346">
        <f>RTD("money.excel",,$G308,"PredictVolume")</f>
        <v>0</v>
      </c>
      <c r="AN308" s="272">
        <f>RTD("money.excel",,$G308,"CumulativeVolume")</f>
        <v>0</v>
      </c>
      <c r="AO308" s="284"/>
    </row>
    <row r="309" spans="1:41">
      <c r="A309" s="151" t="s">
        <v>2878</v>
      </c>
      <c r="B309" s="84">
        <v>38</v>
      </c>
      <c r="C309" s="84">
        <v>26</v>
      </c>
      <c r="D309" s="84">
        <v>213</v>
      </c>
      <c r="E309" s="84">
        <v>109</v>
      </c>
      <c r="F309" s="7">
        <v>-59.35</v>
      </c>
      <c r="G309" s="85">
        <v>1799</v>
      </c>
      <c r="H309" s="4" t="s">
        <v>560</v>
      </c>
      <c r="I309" s="17" t="s">
        <v>1101</v>
      </c>
      <c r="J309" s="77">
        <v>66.510000000000005</v>
      </c>
      <c r="K309" s="77">
        <v>13.37</v>
      </c>
      <c r="N309" s="365">
        <f t="shared" si="107"/>
        <v>79.88000000000001</v>
      </c>
      <c r="O309" s="343">
        <f t="shared" si="98"/>
        <v>66.510000000000005</v>
      </c>
      <c r="P309" s="195" t="s">
        <v>5554</v>
      </c>
      <c r="Q309" s="326" t="str">
        <f>IFERROR(VLOOKUP($G309,主力整理!$A$2:$G$2301,6,0),"0")</f>
        <v>0</v>
      </c>
      <c r="T309" s="339">
        <f t="shared" si="99"/>
        <v>0</v>
      </c>
      <c r="W309" s="35">
        <v>0</v>
      </c>
      <c r="X309" s="59">
        <v>-1.32</v>
      </c>
      <c r="Y309" s="37" t="str">
        <f>RTD("money.excel",,"1799","Price")</f>
        <v>無資料</v>
      </c>
      <c r="Z309" s="69"/>
      <c r="AA309" s="16" t="e">
        <f t="shared" si="100"/>
        <v>#VALUE!</v>
      </c>
      <c r="AB309" s="3" t="e">
        <f t="shared" si="101"/>
        <v>#VALUE!</v>
      </c>
      <c r="AD309" s="17" t="s">
        <v>1101</v>
      </c>
      <c r="AG309" s="34">
        <f t="shared" si="102"/>
        <v>0</v>
      </c>
      <c r="AH309" s="44" t="s">
        <v>3874</v>
      </c>
      <c r="AI309" s="131"/>
      <c r="AK309" s="66">
        <f t="shared" si="105"/>
        <v>0</v>
      </c>
      <c r="AL309" s="174">
        <f t="shared" si="106"/>
        <v>0</v>
      </c>
      <c r="AM309" s="346">
        <f>RTD("money.excel",,$G309,"PredictVolume")</f>
        <v>0</v>
      </c>
      <c r="AN309" s="272">
        <f>RTD("money.excel",,$G309,"CumulativeVolume")</f>
        <v>0</v>
      </c>
      <c r="AO309" s="284"/>
    </row>
    <row r="310" spans="1:41">
      <c r="A310" s="151" t="s">
        <v>4697</v>
      </c>
      <c r="B310" s="96">
        <v>-113</v>
      </c>
      <c r="C310" s="96">
        <v>-415</v>
      </c>
      <c r="D310" s="96">
        <v>23</v>
      </c>
      <c r="E310" s="96">
        <v>30</v>
      </c>
      <c r="F310" s="7">
        <v>-12.88</v>
      </c>
      <c r="G310" s="85">
        <v>1813</v>
      </c>
      <c r="H310" s="4" t="s">
        <v>560</v>
      </c>
      <c r="I310" s="17" t="s">
        <v>1103</v>
      </c>
      <c r="J310" s="77">
        <v>40.6</v>
      </c>
      <c r="K310" s="371">
        <v>10.07</v>
      </c>
      <c r="L310" s="371">
        <v>1.82</v>
      </c>
      <c r="N310" s="365">
        <f t="shared" si="107"/>
        <v>52.49</v>
      </c>
      <c r="O310" s="343">
        <f t="shared" si="98"/>
        <v>40.6</v>
      </c>
      <c r="P310" s="195" t="s">
        <v>5554</v>
      </c>
      <c r="Q310" s="326" t="str">
        <f>IFERROR(VLOOKUP($G310,主力整理!$A$2:$G$2301,6,0),"0")</f>
        <v>0</v>
      </c>
      <c r="T310" s="339">
        <f t="shared" si="99"/>
        <v>0</v>
      </c>
      <c r="V310" s="371">
        <v>33.89</v>
      </c>
      <c r="W310" s="35">
        <v>0</v>
      </c>
      <c r="X310" s="100">
        <v>0</v>
      </c>
      <c r="Y310" s="37" t="str">
        <f>RTD("money.excel",,"1813","Price")</f>
        <v>無資料</v>
      </c>
      <c r="Z310" s="69"/>
      <c r="AA310" s="16" t="e">
        <f t="shared" si="100"/>
        <v>#VALUE!</v>
      </c>
      <c r="AB310" s="3" t="e">
        <f t="shared" si="101"/>
        <v>#VALUE!</v>
      </c>
      <c r="AD310" s="17" t="s">
        <v>1103</v>
      </c>
      <c r="AG310" s="34">
        <f t="shared" si="102"/>
        <v>0</v>
      </c>
      <c r="AH310" s="44" t="s">
        <v>3878</v>
      </c>
      <c r="AI310" s="131"/>
      <c r="AK310" s="66">
        <f t="shared" si="105"/>
        <v>0</v>
      </c>
      <c r="AL310" s="174">
        <f t="shared" si="106"/>
        <v>0</v>
      </c>
      <c r="AM310" s="346">
        <f>RTD("money.excel",,$G310,"PredictVolume")</f>
        <v>0</v>
      </c>
      <c r="AN310" s="272">
        <f>RTD("money.excel",,$G310,"CumulativeVolume")</f>
        <v>0</v>
      </c>
      <c r="AO310" s="284"/>
    </row>
    <row r="311" spans="1:41">
      <c r="A311" s="151" t="s">
        <v>4698</v>
      </c>
      <c r="B311" s="96">
        <v>8</v>
      </c>
      <c r="C311" s="96">
        <v>3</v>
      </c>
      <c r="D311" s="96">
        <v>-34</v>
      </c>
      <c r="E311" s="96">
        <v>76</v>
      </c>
      <c r="F311" s="7">
        <v>9</v>
      </c>
      <c r="G311" s="85">
        <v>3118</v>
      </c>
      <c r="H311" s="4" t="s">
        <v>560</v>
      </c>
      <c r="I311" s="17" t="s">
        <v>1104</v>
      </c>
      <c r="J311" s="77">
        <v>40.590000000000003</v>
      </c>
      <c r="K311" s="77">
        <v>10.06</v>
      </c>
      <c r="L311" s="77">
        <v>1.52</v>
      </c>
      <c r="N311" s="365">
        <f t="shared" si="107"/>
        <v>52.170000000000009</v>
      </c>
      <c r="O311" s="343">
        <f t="shared" si="98"/>
        <v>40.590000000000003</v>
      </c>
      <c r="P311" s="195" t="s">
        <v>5554</v>
      </c>
      <c r="Q311" s="326" t="str">
        <f>IFERROR(VLOOKUP($G311,主力整理!$A$2:$G$2301,6,0),"0")</f>
        <v>0</v>
      </c>
      <c r="T311" s="339">
        <f t="shared" si="99"/>
        <v>0</v>
      </c>
      <c r="V311" s="371">
        <v>24.85</v>
      </c>
      <c r="W311" s="35">
        <v>1.6</v>
      </c>
      <c r="X311" s="100">
        <v>1.79</v>
      </c>
      <c r="Y311" s="37" t="str">
        <f>RTD("money.excel",,"3118","Price")</f>
        <v>無資料</v>
      </c>
      <c r="Z311" s="69"/>
      <c r="AA311" s="16" t="e">
        <f t="shared" si="100"/>
        <v>#VALUE!</v>
      </c>
      <c r="AB311" s="3" t="e">
        <f t="shared" si="101"/>
        <v>#VALUE!</v>
      </c>
      <c r="AD311" s="17" t="s">
        <v>1104</v>
      </c>
      <c r="AG311" s="34">
        <f t="shared" si="102"/>
        <v>0</v>
      </c>
      <c r="AH311" s="44" t="s">
        <v>3879</v>
      </c>
      <c r="AI311" s="131"/>
      <c r="AK311" s="66">
        <f t="shared" si="105"/>
        <v>0</v>
      </c>
      <c r="AL311" s="174">
        <f t="shared" si="106"/>
        <v>0</v>
      </c>
      <c r="AM311" s="346">
        <f>RTD("money.excel",,$G311,"PredictVolume")</f>
        <v>0</v>
      </c>
      <c r="AN311" s="272">
        <f>RTD("money.excel",,$G311,"CumulativeVolume")</f>
        <v>0</v>
      </c>
      <c r="AO311" s="284"/>
    </row>
    <row r="312" spans="1:41">
      <c r="A312" s="135" t="s">
        <v>2549</v>
      </c>
      <c r="B312" s="96">
        <v>-13</v>
      </c>
      <c r="C312" s="96">
        <v>-3</v>
      </c>
      <c r="D312" s="96">
        <v>38</v>
      </c>
      <c r="E312" s="96">
        <v>69</v>
      </c>
      <c r="F312" s="59">
        <v>30.06</v>
      </c>
      <c r="G312" s="85">
        <v>3164</v>
      </c>
      <c r="H312" s="53" t="s">
        <v>560</v>
      </c>
      <c r="I312" s="23" t="s">
        <v>1169</v>
      </c>
      <c r="J312" s="77">
        <v>52.03</v>
      </c>
      <c r="K312" s="77">
        <v>0.87</v>
      </c>
      <c r="L312" s="77">
        <v>26</v>
      </c>
      <c r="N312" s="365">
        <f t="shared" si="107"/>
        <v>78.900000000000006</v>
      </c>
      <c r="O312" s="343">
        <f t="shared" si="98"/>
        <v>52.03</v>
      </c>
      <c r="P312" s="195" t="s">
        <v>5554</v>
      </c>
      <c r="Q312" s="326" t="str">
        <f>IFERROR(VLOOKUP($G312,主力整理!$A$2:$G$2301,6,0),"0")</f>
        <v>0</v>
      </c>
      <c r="T312" s="339">
        <f t="shared" si="99"/>
        <v>0</v>
      </c>
      <c r="V312" s="371">
        <v>12.39</v>
      </c>
      <c r="W312" s="35">
        <v>0.7</v>
      </c>
      <c r="X312" s="100">
        <v>0.69</v>
      </c>
      <c r="Y312" s="14" t="str">
        <f>RTD("money.excel",,"3164","Price")</f>
        <v>無資料</v>
      </c>
      <c r="Z312" s="69"/>
      <c r="AA312" s="16" t="e">
        <f t="shared" si="100"/>
        <v>#VALUE!</v>
      </c>
      <c r="AB312" s="3" t="e">
        <f t="shared" si="101"/>
        <v>#VALUE!</v>
      </c>
      <c r="AD312" s="23" t="s">
        <v>1169</v>
      </c>
      <c r="AG312" s="34">
        <f t="shared" si="102"/>
        <v>0</v>
      </c>
      <c r="AH312" s="63" t="s">
        <v>4401</v>
      </c>
      <c r="AI312" s="131"/>
      <c r="AK312" s="66">
        <f t="shared" si="105"/>
        <v>0</v>
      </c>
      <c r="AL312" s="174">
        <f t="shared" si="106"/>
        <v>0</v>
      </c>
      <c r="AM312" s="346">
        <f>RTD("money.excel",,$G312,"PredictVolume")</f>
        <v>0</v>
      </c>
      <c r="AN312" s="272">
        <f>RTD("money.excel",,$G312,"CumulativeVolume")</f>
        <v>0</v>
      </c>
      <c r="AO312" s="284"/>
    </row>
    <row r="313" spans="1:41">
      <c r="A313" s="151" t="s">
        <v>2878</v>
      </c>
      <c r="B313" s="85">
        <v>-23</v>
      </c>
      <c r="C313" s="85">
        <v>-19</v>
      </c>
      <c r="D313" s="84">
        <v>36</v>
      </c>
      <c r="E313" s="84">
        <v>33</v>
      </c>
      <c r="F313" s="77">
        <v>-148.19</v>
      </c>
      <c r="G313" s="85">
        <v>3176</v>
      </c>
      <c r="H313" s="4" t="s">
        <v>560</v>
      </c>
      <c r="I313" s="17" t="s">
        <v>1105</v>
      </c>
      <c r="J313" s="371">
        <v>25.09</v>
      </c>
      <c r="K313" s="77">
        <v>3.47</v>
      </c>
      <c r="N313" s="365">
        <f t="shared" si="107"/>
        <v>28.56</v>
      </c>
      <c r="O313" s="343">
        <f t="shared" si="98"/>
        <v>25.09</v>
      </c>
      <c r="P313" s="195">
        <v>1</v>
      </c>
      <c r="Q313" s="326" t="str">
        <f>IFERROR(VLOOKUP($G313,主力整理!$A$2:$G$2301,6,0),"0")</f>
        <v>0</v>
      </c>
      <c r="T313" s="339">
        <f t="shared" si="99"/>
        <v>1</v>
      </c>
      <c r="W313" s="35">
        <v>0</v>
      </c>
      <c r="X313" s="100">
        <v>-2.4300000000000002</v>
      </c>
      <c r="Y313" s="37" t="str">
        <f>RTD("money.excel",,"3176","Price")</f>
        <v>無資料</v>
      </c>
      <c r="Z313" s="69"/>
      <c r="AA313" s="16" t="e">
        <f t="shared" si="100"/>
        <v>#VALUE!</v>
      </c>
      <c r="AB313" s="3" t="e">
        <f t="shared" si="101"/>
        <v>#VALUE!</v>
      </c>
      <c r="AC313" s="177" t="s">
        <v>2648</v>
      </c>
      <c r="AD313" s="17" t="s">
        <v>1105</v>
      </c>
      <c r="AG313" s="34">
        <f t="shared" si="102"/>
        <v>0</v>
      </c>
      <c r="AH313" s="44" t="s">
        <v>2263</v>
      </c>
      <c r="AI313" s="131"/>
      <c r="AK313" s="66">
        <f t="shared" si="105"/>
        <v>0</v>
      </c>
      <c r="AL313" s="174">
        <f t="shared" si="106"/>
        <v>0</v>
      </c>
      <c r="AM313" s="346">
        <f>RTD("money.excel",,$G313,"PredictVolume")</f>
        <v>0</v>
      </c>
      <c r="AN313" s="272">
        <f>RTD("money.excel",,$G313,"CumulativeVolume")</f>
        <v>0</v>
      </c>
      <c r="AO313" s="284"/>
    </row>
    <row r="314" spans="1:41">
      <c r="A314" s="151" t="s">
        <v>2529</v>
      </c>
      <c r="B314" s="96">
        <v>26</v>
      </c>
      <c r="C314" s="96">
        <v>27</v>
      </c>
      <c r="D314" s="96">
        <v>9</v>
      </c>
      <c r="E314" s="96">
        <v>39</v>
      </c>
      <c r="F314" s="7">
        <v>-13.98</v>
      </c>
      <c r="G314" s="85">
        <v>3205</v>
      </c>
      <c r="H314" s="4" t="s">
        <v>560</v>
      </c>
      <c r="I314" s="17" t="s">
        <v>1106</v>
      </c>
      <c r="J314" s="77">
        <v>37.4</v>
      </c>
      <c r="K314" s="77">
        <v>11.27</v>
      </c>
      <c r="L314" s="77">
        <v>15.65</v>
      </c>
      <c r="N314" s="365">
        <f t="shared" si="107"/>
        <v>64.320000000000007</v>
      </c>
      <c r="O314" s="343">
        <f t="shared" si="98"/>
        <v>37.4</v>
      </c>
      <c r="P314" s="195" t="s">
        <v>5554</v>
      </c>
      <c r="Q314" s="326" t="str">
        <f>IFERROR(VLOOKUP($G314,主力整理!$A$2:$G$2301,6,0),"0")</f>
        <v>0</v>
      </c>
      <c r="T314" s="339">
        <f t="shared" si="99"/>
        <v>0</v>
      </c>
      <c r="V314" s="371">
        <v>14.1</v>
      </c>
      <c r="W314" s="35">
        <v>0</v>
      </c>
      <c r="X314" s="100">
        <v>-2.77</v>
      </c>
      <c r="Y314" s="37" t="str">
        <f>RTD("money.excel",,"3205","Price")</f>
        <v>無資料</v>
      </c>
      <c r="Z314" s="69"/>
      <c r="AA314" s="16" t="e">
        <f t="shared" si="100"/>
        <v>#VALUE!</v>
      </c>
      <c r="AB314" s="3" t="e">
        <f t="shared" si="101"/>
        <v>#VALUE!</v>
      </c>
      <c r="AD314" s="17" t="s">
        <v>1106</v>
      </c>
      <c r="AG314" s="34">
        <f t="shared" si="102"/>
        <v>0</v>
      </c>
      <c r="AH314" s="44" t="s">
        <v>3880</v>
      </c>
      <c r="AI314" s="131"/>
      <c r="AK314" s="66">
        <f t="shared" si="105"/>
        <v>0</v>
      </c>
      <c r="AL314" s="174">
        <f t="shared" si="106"/>
        <v>0</v>
      </c>
      <c r="AM314" s="346">
        <f>RTD("money.excel",,$G314,"PredictVolume")</f>
        <v>0</v>
      </c>
      <c r="AN314" s="272">
        <f>RTD("money.excel",,$G314,"CumulativeVolume")</f>
        <v>0</v>
      </c>
      <c r="AO314" s="284"/>
    </row>
    <row r="315" spans="1:41">
      <c r="A315" s="135" t="s">
        <v>2409</v>
      </c>
      <c r="B315" s="84">
        <v>45</v>
      </c>
      <c r="C315" s="84">
        <v>47</v>
      </c>
      <c r="D315" s="84">
        <v>1</v>
      </c>
      <c r="E315" s="84">
        <v>9</v>
      </c>
      <c r="F315" s="59">
        <v>29.23</v>
      </c>
      <c r="G315" s="85">
        <v>3218</v>
      </c>
      <c r="H315" s="4" t="s">
        <v>560</v>
      </c>
      <c r="I315" s="17" t="s">
        <v>1107</v>
      </c>
      <c r="J315" s="77">
        <v>61.98</v>
      </c>
      <c r="K315" s="77">
        <v>33.58</v>
      </c>
      <c r="L315" s="371">
        <v>4.66</v>
      </c>
      <c r="N315" s="365">
        <f t="shared" si="107"/>
        <v>100.22</v>
      </c>
      <c r="O315" s="343">
        <f t="shared" si="98"/>
        <v>61.98</v>
      </c>
      <c r="P315" s="195">
        <v>1</v>
      </c>
      <c r="Q315" s="326" t="str">
        <f>IFERROR(VLOOKUP($G315,主力整理!$A$2:$G$2301,6,0),"0")</f>
        <v>0</v>
      </c>
      <c r="R315" s="111">
        <v>15</v>
      </c>
      <c r="S315" s="51">
        <v>10</v>
      </c>
      <c r="T315" s="339">
        <f t="shared" si="99"/>
        <v>26</v>
      </c>
      <c r="V315" s="371">
        <v>8.68</v>
      </c>
      <c r="W315" s="69">
        <v>4.2</v>
      </c>
      <c r="X315" s="100">
        <v>7.3</v>
      </c>
      <c r="Y315" s="37" t="str">
        <f>RTD("money.excel",,"3218","Price")</f>
        <v>無資料</v>
      </c>
      <c r="Z315" s="69"/>
      <c r="AA315" s="16" t="e">
        <f t="shared" si="100"/>
        <v>#VALUE!</v>
      </c>
      <c r="AB315" s="3" t="e">
        <f t="shared" si="101"/>
        <v>#VALUE!</v>
      </c>
      <c r="AC315" s="177" t="s">
        <v>2929</v>
      </c>
      <c r="AD315" s="17" t="s">
        <v>1107</v>
      </c>
      <c r="AG315" s="34">
        <f t="shared" si="102"/>
        <v>0</v>
      </c>
      <c r="AH315" s="63" t="s">
        <v>4021</v>
      </c>
      <c r="AI315" s="131"/>
      <c r="AK315" s="66">
        <f t="shared" si="105"/>
        <v>0</v>
      </c>
      <c r="AL315" s="174">
        <f t="shared" si="106"/>
        <v>0</v>
      </c>
      <c r="AM315" s="346">
        <f>RTD("money.excel",,$G315,"PredictVolume")</f>
        <v>0</v>
      </c>
      <c r="AN315" s="272">
        <f>RTD("money.excel",,$G315,"CumulativeVolume")</f>
        <v>0</v>
      </c>
      <c r="AO315" s="284"/>
    </row>
    <row r="316" spans="1:41">
      <c r="A316" s="135" t="s">
        <v>4827</v>
      </c>
      <c r="B316" s="96">
        <v>18</v>
      </c>
      <c r="C316" s="96">
        <v>18</v>
      </c>
      <c r="D316" s="96">
        <v>-12</v>
      </c>
      <c r="E316" s="96">
        <v>4</v>
      </c>
      <c r="F316" s="59">
        <v>12.65</v>
      </c>
      <c r="G316" s="85">
        <v>3705</v>
      </c>
      <c r="H316" s="53" t="s">
        <v>560</v>
      </c>
      <c r="I316" s="23" t="s">
        <v>1170</v>
      </c>
      <c r="J316" s="77">
        <v>66.22</v>
      </c>
      <c r="K316" s="77">
        <v>12.91</v>
      </c>
      <c r="L316" s="77">
        <v>1.31</v>
      </c>
      <c r="N316" s="365">
        <f t="shared" si="107"/>
        <v>80.44</v>
      </c>
      <c r="O316" s="343">
        <f t="shared" si="98"/>
        <v>66.22</v>
      </c>
      <c r="P316" s="195" t="s">
        <v>5554</v>
      </c>
      <c r="Q316" s="326" t="str">
        <f>IFERROR(VLOOKUP($G316,主力整理!$A$2:$G$2301,6,0),"0")</f>
        <v>0</v>
      </c>
      <c r="T316" s="339">
        <f t="shared" si="99"/>
        <v>0</v>
      </c>
      <c r="V316" s="371">
        <v>18.829999999999998</v>
      </c>
      <c r="W316" s="35">
        <v>2</v>
      </c>
      <c r="X316" s="100">
        <v>2.97</v>
      </c>
      <c r="Y316" s="14" t="str">
        <f>RTD("money.excel",,"3705","Price")</f>
        <v>無資料</v>
      </c>
      <c r="Z316" s="69"/>
      <c r="AA316" s="16" t="e">
        <f t="shared" si="100"/>
        <v>#VALUE!</v>
      </c>
      <c r="AB316" s="3" t="e">
        <f t="shared" si="101"/>
        <v>#VALUE!</v>
      </c>
      <c r="AD316" s="23" t="s">
        <v>1170</v>
      </c>
      <c r="AG316" s="34">
        <f t="shared" si="102"/>
        <v>0</v>
      </c>
      <c r="AH316" s="63" t="s">
        <v>4402</v>
      </c>
      <c r="AI316" s="131"/>
      <c r="AK316" s="66">
        <f t="shared" si="105"/>
        <v>0</v>
      </c>
      <c r="AL316" s="174">
        <f t="shared" si="106"/>
        <v>0</v>
      </c>
      <c r="AM316" s="346">
        <f>RTD("money.excel",,$G316,"PredictVolume")</f>
        <v>0</v>
      </c>
      <c r="AN316" s="272">
        <f>RTD("money.excel",,$G316,"CumulativeVolume")</f>
        <v>0</v>
      </c>
      <c r="AO316" s="284"/>
    </row>
    <row r="317" spans="1:41">
      <c r="A317" s="151" t="s">
        <v>2496</v>
      </c>
      <c r="B317" s="85">
        <v>-4</v>
      </c>
      <c r="C317" s="84">
        <v>34</v>
      </c>
      <c r="D317" s="84">
        <v>23</v>
      </c>
      <c r="E317" s="84">
        <v>4</v>
      </c>
      <c r="F317" s="7">
        <v>6.35</v>
      </c>
      <c r="G317" s="85">
        <v>4102</v>
      </c>
      <c r="H317" s="4" t="s">
        <v>560</v>
      </c>
      <c r="I317" s="17" t="s">
        <v>1109</v>
      </c>
      <c r="J317" s="77">
        <v>26.56</v>
      </c>
      <c r="K317" s="77">
        <v>1.61</v>
      </c>
      <c r="L317" s="77">
        <v>23.53</v>
      </c>
      <c r="N317" s="365">
        <f t="shared" si="107"/>
        <v>51.7</v>
      </c>
      <c r="O317" s="343">
        <f t="shared" si="98"/>
        <v>26.56</v>
      </c>
      <c r="P317" s="195" t="s">
        <v>5554</v>
      </c>
      <c r="Q317" s="326" t="str">
        <f>IFERROR(VLOOKUP($G317,主力整理!$A$2:$G$2301,6,0),"0")</f>
        <v>0</v>
      </c>
      <c r="R317" s="111">
        <v>22</v>
      </c>
      <c r="T317" s="339">
        <f t="shared" si="99"/>
        <v>22</v>
      </c>
      <c r="V317" s="371">
        <v>0.16</v>
      </c>
      <c r="W317" s="35">
        <v>0.1</v>
      </c>
      <c r="X317" s="100">
        <v>0.73</v>
      </c>
      <c r="Y317" s="37" t="str">
        <f>RTD("money.excel",,"4102","Price")</f>
        <v>無資料</v>
      </c>
      <c r="Z317" s="69"/>
      <c r="AA317" s="16" t="e">
        <f t="shared" si="100"/>
        <v>#VALUE!</v>
      </c>
      <c r="AB317" s="3" t="e">
        <f t="shared" si="101"/>
        <v>#VALUE!</v>
      </c>
      <c r="AD317" s="17" t="s">
        <v>1109</v>
      </c>
      <c r="AG317" s="34">
        <f t="shared" si="102"/>
        <v>0</v>
      </c>
      <c r="AH317" s="44" t="s">
        <v>3648</v>
      </c>
      <c r="AI317" s="131"/>
      <c r="AK317" s="66">
        <f t="shared" si="105"/>
        <v>0</v>
      </c>
      <c r="AL317" s="174">
        <f t="shared" si="106"/>
        <v>0</v>
      </c>
      <c r="AM317" s="346">
        <f>RTD("money.excel",,$G317,"PredictVolume")</f>
        <v>0</v>
      </c>
      <c r="AN317" s="272">
        <f>RTD("money.excel",,$G317,"CumulativeVolume")</f>
        <v>0</v>
      </c>
      <c r="AO317" s="284"/>
    </row>
    <row r="318" spans="1:41">
      <c r="A318" s="151" t="s">
        <v>2627</v>
      </c>
      <c r="B318" s="84">
        <v>8</v>
      </c>
      <c r="C318" s="84">
        <v>9</v>
      </c>
      <c r="D318" s="84">
        <v>4</v>
      </c>
      <c r="E318" s="84">
        <v>-5</v>
      </c>
      <c r="F318" s="7">
        <v>8.69</v>
      </c>
      <c r="G318" s="85">
        <v>4104</v>
      </c>
      <c r="H318" s="53" t="s">
        <v>560</v>
      </c>
      <c r="I318" s="23" t="s">
        <v>1171</v>
      </c>
      <c r="J318" s="371">
        <v>46.94</v>
      </c>
      <c r="K318" s="371">
        <v>7.14</v>
      </c>
      <c r="L318" s="371">
        <v>1.48</v>
      </c>
      <c r="N318" s="365">
        <f t="shared" si="107"/>
        <v>55.559999999999995</v>
      </c>
      <c r="O318" s="343">
        <f t="shared" si="98"/>
        <v>46.94</v>
      </c>
      <c r="P318" s="195" t="s">
        <v>5554</v>
      </c>
      <c r="Q318" s="326" t="str">
        <f>IFERROR(VLOOKUP($G318,主力整理!$A$2:$G$2301,6,0),"0")</f>
        <v>0</v>
      </c>
      <c r="T318" s="339">
        <f t="shared" si="99"/>
        <v>0</v>
      </c>
      <c r="V318" s="371">
        <v>0</v>
      </c>
      <c r="W318" s="69">
        <v>3.5</v>
      </c>
      <c r="X318" s="100">
        <v>4.08</v>
      </c>
      <c r="Y318" s="37" t="str">
        <f>RTD("money.excel",,"4104","Price")</f>
        <v>無資料</v>
      </c>
      <c r="Z318" s="69"/>
      <c r="AA318" s="16" t="e">
        <f t="shared" si="100"/>
        <v>#VALUE!</v>
      </c>
      <c r="AB318" s="3" t="e">
        <f t="shared" si="101"/>
        <v>#VALUE!</v>
      </c>
      <c r="AC318" s="177" t="s">
        <v>2700</v>
      </c>
      <c r="AD318" s="23" t="s">
        <v>1171</v>
      </c>
      <c r="AG318" s="34">
        <f t="shared" si="102"/>
        <v>0</v>
      </c>
      <c r="AH318" s="44" t="s">
        <v>3182</v>
      </c>
      <c r="AI318" s="131"/>
      <c r="AK318" s="66">
        <f t="shared" si="105"/>
        <v>0</v>
      </c>
      <c r="AL318" s="174">
        <f t="shared" si="106"/>
        <v>0</v>
      </c>
      <c r="AM318" s="346">
        <f>RTD("money.excel",,$G318,"PredictVolume")</f>
        <v>0</v>
      </c>
      <c r="AN318" s="272">
        <f>RTD("money.excel",,$G318,"CumulativeVolume")</f>
        <v>0</v>
      </c>
      <c r="AO318" s="284"/>
    </row>
    <row r="319" spans="1:41">
      <c r="A319" s="135" t="s">
        <v>2485</v>
      </c>
      <c r="B319" s="85">
        <v>-31</v>
      </c>
      <c r="C319" s="84">
        <v>7</v>
      </c>
      <c r="D319" s="85">
        <v>-23</v>
      </c>
      <c r="E319" s="84">
        <v>37</v>
      </c>
      <c r="F319" s="59">
        <v>24.91</v>
      </c>
      <c r="G319" s="85">
        <v>4105</v>
      </c>
      <c r="H319" s="4" t="s">
        <v>560</v>
      </c>
      <c r="I319" s="17" t="s">
        <v>398</v>
      </c>
      <c r="J319" s="371">
        <v>40.24</v>
      </c>
      <c r="K319" s="77">
        <v>14.45</v>
      </c>
      <c r="L319" s="371">
        <v>4.95</v>
      </c>
      <c r="M319" s="371">
        <v>12.44</v>
      </c>
      <c r="N319" s="365">
        <f t="shared" si="107"/>
        <v>72.08</v>
      </c>
      <c r="O319" s="343">
        <f t="shared" si="98"/>
        <v>52.68</v>
      </c>
      <c r="P319" s="195">
        <v>8</v>
      </c>
      <c r="Q319" s="326">
        <v>1</v>
      </c>
      <c r="R319" s="111">
        <v>3</v>
      </c>
      <c r="S319" s="51">
        <v>0</v>
      </c>
      <c r="T319" s="339">
        <f t="shared" si="99"/>
        <v>12</v>
      </c>
      <c r="U319" s="329" t="s">
        <v>6538</v>
      </c>
      <c r="V319" s="371">
        <v>2.0299999999999998</v>
      </c>
      <c r="W319" s="69">
        <v>4</v>
      </c>
      <c r="X319" s="100">
        <v>3.02</v>
      </c>
      <c r="Y319" s="37" t="str">
        <f>RTD("money.excel",,"4105","Price")</f>
        <v>無資料</v>
      </c>
      <c r="Z319" s="69"/>
      <c r="AA319" s="16" t="e">
        <f t="shared" si="100"/>
        <v>#VALUE!</v>
      </c>
      <c r="AB319" s="3" t="e">
        <f t="shared" si="101"/>
        <v>#VALUE!</v>
      </c>
      <c r="AC319" s="177" t="s">
        <v>2929</v>
      </c>
      <c r="AD319" s="17" t="s">
        <v>398</v>
      </c>
      <c r="AG319" s="34">
        <f t="shared" si="102"/>
        <v>0</v>
      </c>
      <c r="AH319" s="126" t="s">
        <v>3881</v>
      </c>
      <c r="AI319" s="52"/>
      <c r="AK319" s="66">
        <f t="shared" si="105"/>
        <v>0</v>
      </c>
      <c r="AL319" s="174">
        <f t="shared" si="106"/>
        <v>0</v>
      </c>
      <c r="AM319" s="346">
        <f>RTD("money.excel",,$G319,"PredictVolume")</f>
        <v>0</v>
      </c>
      <c r="AN319" s="272">
        <f>RTD("money.excel",,$G319,"CumulativeVolume")</f>
        <v>0</v>
      </c>
      <c r="AO319" s="284"/>
    </row>
    <row r="320" spans="1:41">
      <c r="A320" s="151" t="s">
        <v>3161</v>
      </c>
      <c r="B320" s="84">
        <v>301</v>
      </c>
      <c r="C320" s="84">
        <v>448</v>
      </c>
      <c r="D320" s="85">
        <v>-6</v>
      </c>
      <c r="E320" s="84">
        <v>11</v>
      </c>
      <c r="F320" s="7">
        <v>8</v>
      </c>
      <c r="G320" s="85">
        <v>4106</v>
      </c>
      <c r="H320" s="53" t="s">
        <v>560</v>
      </c>
      <c r="I320" s="23" t="s">
        <v>2747</v>
      </c>
      <c r="J320" s="371">
        <v>44.92</v>
      </c>
      <c r="K320" s="77">
        <v>5.33</v>
      </c>
      <c r="L320" s="371">
        <v>17.260000000000002</v>
      </c>
      <c r="N320" s="365">
        <f t="shared" si="107"/>
        <v>67.510000000000005</v>
      </c>
      <c r="O320" s="343">
        <f t="shared" ref="O320:O351" si="108">J320+M320</f>
        <v>44.92</v>
      </c>
      <c r="P320" s="195" t="s">
        <v>5554</v>
      </c>
      <c r="Q320" s="326" t="str">
        <f>IFERROR(VLOOKUP($G320,主力整理!$A$2:$G$2301,6,0),"0")</f>
        <v>0</v>
      </c>
      <c r="R320" s="111">
        <v>20</v>
      </c>
      <c r="S320" s="51">
        <v>0</v>
      </c>
      <c r="T320" s="339">
        <f t="shared" ref="T320:T351" si="109">SUM(P320:S320)</f>
        <v>20</v>
      </c>
      <c r="V320" s="371">
        <v>6.14</v>
      </c>
      <c r="W320" s="35">
        <v>0.55000000000000004</v>
      </c>
      <c r="X320" s="100">
        <v>1.25</v>
      </c>
      <c r="Y320" s="37" t="str">
        <f>RTD("money.excel",,"4106","Price")</f>
        <v>無資料</v>
      </c>
      <c r="Z320" s="69"/>
      <c r="AA320" s="16" t="e">
        <f t="shared" ref="AA320:AA351" si="110">Y320-Z320</f>
        <v>#VALUE!</v>
      </c>
      <c r="AB320" s="3" t="e">
        <f t="shared" ref="AB320:AB351" si="111">AA320/Z320</f>
        <v>#VALUE!</v>
      </c>
      <c r="AC320" s="177" t="s">
        <v>2648</v>
      </c>
      <c r="AD320" s="23" t="s">
        <v>1172</v>
      </c>
      <c r="AG320" s="34">
        <f t="shared" ref="AG320:AG351" si="112">AF320-AE320</f>
        <v>0</v>
      </c>
      <c r="AH320" s="44" t="s">
        <v>4403</v>
      </c>
      <c r="AI320" s="131"/>
      <c r="AK320" s="66">
        <f t="shared" si="105"/>
        <v>0</v>
      </c>
      <c r="AL320" s="174">
        <f t="shared" si="106"/>
        <v>0</v>
      </c>
      <c r="AM320" s="346">
        <f>RTD("money.excel",,$G320,"PredictVolume")</f>
        <v>0</v>
      </c>
      <c r="AN320" s="272">
        <f>RTD("money.excel",,$G320,"CumulativeVolume")</f>
        <v>0</v>
      </c>
      <c r="AO320" s="284"/>
    </row>
    <row r="321" spans="1:41">
      <c r="A321" s="135" t="s">
        <v>2744</v>
      </c>
      <c r="B321" s="85">
        <v>-6</v>
      </c>
      <c r="C321" s="85">
        <v>-1</v>
      </c>
      <c r="D321" s="84">
        <v>1</v>
      </c>
      <c r="E321" s="84">
        <v>27</v>
      </c>
      <c r="F321" s="59">
        <v>30.31</v>
      </c>
      <c r="G321" s="85">
        <v>4107</v>
      </c>
      <c r="H321" s="4" t="s">
        <v>560</v>
      </c>
      <c r="I321" s="17" t="s">
        <v>537</v>
      </c>
      <c r="J321" s="77">
        <v>43.5</v>
      </c>
      <c r="K321" s="77">
        <v>39.659999999999997</v>
      </c>
      <c r="L321" s="371">
        <v>2.92</v>
      </c>
      <c r="N321" s="365">
        <f t="shared" si="107"/>
        <v>86.08</v>
      </c>
      <c r="O321" s="343">
        <f t="shared" si="108"/>
        <v>43.5</v>
      </c>
      <c r="P321" s="195" t="s">
        <v>5554</v>
      </c>
      <c r="Q321" s="326" t="str">
        <f>IFERROR(VLOOKUP($G321,主力整理!$A$2:$G$2301,6,0),"0")</f>
        <v>0</v>
      </c>
      <c r="T321" s="339">
        <f t="shared" si="109"/>
        <v>0</v>
      </c>
      <c r="V321" s="371">
        <v>0</v>
      </c>
      <c r="W321" s="69">
        <v>4</v>
      </c>
      <c r="X321" s="100">
        <v>7.05</v>
      </c>
      <c r="Y321" s="37" t="str">
        <f>RTD("money.excel",,"4107","Price")</f>
        <v>無資料</v>
      </c>
      <c r="Z321" s="69"/>
      <c r="AA321" s="16" t="e">
        <f t="shared" si="110"/>
        <v>#VALUE!</v>
      </c>
      <c r="AB321" s="3" t="e">
        <f t="shared" si="111"/>
        <v>#VALUE!</v>
      </c>
      <c r="AC321" s="177" t="s">
        <v>2700</v>
      </c>
      <c r="AD321" s="17" t="s">
        <v>537</v>
      </c>
      <c r="AG321" s="34">
        <f t="shared" si="112"/>
        <v>0</v>
      </c>
      <c r="AH321" s="63" t="s">
        <v>4020</v>
      </c>
      <c r="AI321" s="131"/>
      <c r="AK321" s="66">
        <f t="shared" si="105"/>
        <v>0</v>
      </c>
      <c r="AL321" s="174">
        <f t="shared" si="106"/>
        <v>0</v>
      </c>
      <c r="AM321" s="346">
        <f>RTD("money.excel",,$G321,"PredictVolume")</f>
        <v>0</v>
      </c>
      <c r="AN321" s="272">
        <f>RTD("money.excel",,$G321,"CumulativeVolume")</f>
        <v>0</v>
      </c>
      <c r="AO321" s="284"/>
    </row>
    <row r="322" spans="1:41">
      <c r="A322" s="151" t="s">
        <v>2956</v>
      </c>
      <c r="B322" s="84">
        <v>42</v>
      </c>
      <c r="C322" s="84">
        <v>16</v>
      </c>
      <c r="D322" s="84">
        <v>13</v>
      </c>
      <c r="E322" s="84">
        <v>37</v>
      </c>
      <c r="F322" s="77">
        <v>-185.64</v>
      </c>
      <c r="G322" s="85">
        <v>4108</v>
      </c>
      <c r="H322" s="53" t="s">
        <v>560</v>
      </c>
      <c r="I322" s="23" t="s">
        <v>1173</v>
      </c>
      <c r="J322" s="77">
        <v>22.56</v>
      </c>
      <c r="K322" s="77">
        <v>0.79</v>
      </c>
      <c r="N322" s="365">
        <f t="shared" si="107"/>
        <v>23.349999999999998</v>
      </c>
      <c r="O322" s="343">
        <f t="shared" si="108"/>
        <v>22.56</v>
      </c>
      <c r="P322" s="195">
        <v>1</v>
      </c>
      <c r="Q322" s="326" t="str">
        <f>IFERROR(VLOOKUP($G322,主力整理!$A$2:$G$2301,6,0),"0")</f>
        <v>0</v>
      </c>
      <c r="T322" s="339">
        <f t="shared" si="109"/>
        <v>1</v>
      </c>
      <c r="W322" s="35">
        <v>0</v>
      </c>
      <c r="X322" s="100">
        <v>-0.54</v>
      </c>
      <c r="Y322" s="37" t="str">
        <f>RTD("money.excel",,"4108","Price")</f>
        <v>無資料</v>
      </c>
      <c r="Z322" s="69"/>
      <c r="AA322" s="16" t="e">
        <f t="shared" si="110"/>
        <v>#VALUE!</v>
      </c>
      <c r="AB322" s="3" t="e">
        <f t="shared" si="111"/>
        <v>#VALUE!</v>
      </c>
      <c r="AC322" s="177" t="s">
        <v>2648</v>
      </c>
      <c r="AD322" s="23" t="s">
        <v>1173</v>
      </c>
      <c r="AG322" s="34">
        <f t="shared" si="112"/>
        <v>0</v>
      </c>
      <c r="AH322" s="44" t="s">
        <v>3718</v>
      </c>
      <c r="AI322" s="131"/>
      <c r="AK322" s="66">
        <f t="shared" si="105"/>
        <v>0</v>
      </c>
      <c r="AL322" s="174">
        <f t="shared" si="106"/>
        <v>0</v>
      </c>
      <c r="AM322" s="346">
        <f>RTD("money.excel",,$G322,"PredictVolume")</f>
        <v>0</v>
      </c>
      <c r="AN322" s="272">
        <f>RTD("money.excel",,$G322,"CumulativeVolume")</f>
        <v>0</v>
      </c>
      <c r="AO322" s="284"/>
    </row>
    <row r="323" spans="1:41">
      <c r="A323" s="151" t="s">
        <v>4699</v>
      </c>
      <c r="B323" s="96">
        <v>-128</v>
      </c>
      <c r="C323" s="96">
        <v>-678</v>
      </c>
      <c r="D323" s="96">
        <v>-21</v>
      </c>
      <c r="E323" s="96">
        <v>-23</v>
      </c>
      <c r="F323" s="7">
        <v>-18.29</v>
      </c>
      <c r="G323" s="85">
        <v>4109</v>
      </c>
      <c r="H323" s="4" t="s">
        <v>560</v>
      </c>
      <c r="I323" s="17" t="s">
        <v>1751</v>
      </c>
      <c r="J323" s="77">
        <v>28.91</v>
      </c>
      <c r="K323" s="77">
        <v>3.1</v>
      </c>
      <c r="L323" s="77">
        <v>0</v>
      </c>
      <c r="N323" s="365">
        <f t="shared" si="107"/>
        <v>32.01</v>
      </c>
      <c r="O323" s="343">
        <f t="shared" si="108"/>
        <v>28.91</v>
      </c>
      <c r="P323" s="195" t="s">
        <v>5554</v>
      </c>
      <c r="Q323" s="326" t="str">
        <f>IFERROR(VLOOKUP($G323,主力整理!$A$2:$G$2301,6,0),"0")</f>
        <v>0</v>
      </c>
      <c r="T323" s="339">
        <f t="shared" si="109"/>
        <v>0</v>
      </c>
      <c r="V323" s="371">
        <v>10.07</v>
      </c>
      <c r="W323" s="35">
        <v>0</v>
      </c>
      <c r="X323" s="100">
        <v>-0.46</v>
      </c>
      <c r="Y323" s="37" t="str">
        <f>RTD("money.excel",,"4109","Price")</f>
        <v>無資料</v>
      </c>
      <c r="Z323" s="69"/>
      <c r="AA323" s="16" t="e">
        <f t="shared" si="110"/>
        <v>#VALUE!</v>
      </c>
      <c r="AB323" s="3" t="e">
        <f t="shared" si="111"/>
        <v>#VALUE!</v>
      </c>
      <c r="AD323" s="17" t="s">
        <v>1751</v>
      </c>
      <c r="AG323" s="34">
        <f t="shared" si="112"/>
        <v>0</v>
      </c>
      <c r="AH323" s="44" t="s">
        <v>3882</v>
      </c>
      <c r="AI323" s="131"/>
      <c r="AK323" s="66">
        <f t="shared" si="105"/>
        <v>0</v>
      </c>
      <c r="AL323" s="174">
        <f t="shared" si="106"/>
        <v>0</v>
      </c>
      <c r="AM323" s="346">
        <f>RTD("money.excel",,$G323,"PredictVolume")</f>
        <v>0</v>
      </c>
      <c r="AN323" s="272">
        <f>RTD("money.excel",,$G323,"CumulativeVolume")</f>
        <v>0</v>
      </c>
      <c r="AO323" s="284"/>
    </row>
    <row r="324" spans="1:41">
      <c r="A324" s="151" t="s">
        <v>4640</v>
      </c>
      <c r="B324" s="96">
        <v>-1</v>
      </c>
      <c r="C324" s="96">
        <v>-1</v>
      </c>
      <c r="D324" s="96">
        <v>10</v>
      </c>
      <c r="E324" s="96">
        <v>-8</v>
      </c>
      <c r="F324" s="7">
        <v>7.99</v>
      </c>
      <c r="G324" s="85">
        <v>4111</v>
      </c>
      <c r="H324" s="4" t="s">
        <v>560</v>
      </c>
      <c r="I324" s="17" t="s">
        <v>1110</v>
      </c>
      <c r="J324" s="77">
        <v>37.89</v>
      </c>
      <c r="K324" s="77">
        <v>1.38</v>
      </c>
      <c r="L324" s="77">
        <v>5.04</v>
      </c>
      <c r="N324" s="365">
        <f t="shared" si="107"/>
        <v>44.31</v>
      </c>
      <c r="O324" s="343">
        <f t="shared" si="108"/>
        <v>37.89</v>
      </c>
      <c r="P324" s="195" t="s">
        <v>5554</v>
      </c>
      <c r="Q324" s="326" t="str">
        <f>IFERROR(VLOOKUP($G324,主力整理!$A$2:$G$2301,6,0),"0")</f>
        <v>0</v>
      </c>
      <c r="T324" s="339">
        <f t="shared" si="109"/>
        <v>0</v>
      </c>
      <c r="V324" s="371">
        <v>13.78</v>
      </c>
      <c r="W324" s="35">
        <v>1</v>
      </c>
      <c r="X324" s="100">
        <v>1.04</v>
      </c>
      <c r="Y324" s="37" t="str">
        <f>RTD("money.excel",,"4111","Price")</f>
        <v>無資料</v>
      </c>
      <c r="Z324" s="69"/>
      <c r="AA324" s="16" t="e">
        <f t="shared" si="110"/>
        <v>#VALUE!</v>
      </c>
      <c r="AB324" s="3" t="e">
        <f t="shared" si="111"/>
        <v>#VALUE!</v>
      </c>
      <c r="AD324" s="17" t="s">
        <v>1110</v>
      </c>
      <c r="AG324" s="34">
        <f t="shared" si="112"/>
        <v>0</v>
      </c>
      <c r="AH324" s="44" t="s">
        <v>3883</v>
      </c>
      <c r="AI324" s="131"/>
      <c r="AK324" s="66">
        <f t="shared" si="105"/>
        <v>0</v>
      </c>
      <c r="AL324" s="174">
        <f t="shared" si="106"/>
        <v>0</v>
      </c>
      <c r="AM324" s="346">
        <f>RTD("money.excel",,$G324,"PredictVolume")</f>
        <v>0</v>
      </c>
      <c r="AN324" s="272">
        <f>RTD("money.excel",,$G324,"CumulativeVolume")</f>
        <v>0</v>
      </c>
      <c r="AO324" s="284"/>
    </row>
    <row r="325" spans="1:41">
      <c r="A325" s="151" t="s">
        <v>3267</v>
      </c>
      <c r="B325" s="84">
        <v>457</v>
      </c>
      <c r="C325" s="84">
        <v>146</v>
      </c>
      <c r="D325" s="84">
        <v>8</v>
      </c>
      <c r="E325" s="84">
        <v>8</v>
      </c>
      <c r="F325" s="7">
        <v>2.48</v>
      </c>
      <c r="G325" s="85">
        <v>4114</v>
      </c>
      <c r="H325" s="4" t="s">
        <v>560</v>
      </c>
      <c r="I325" s="17" t="s">
        <v>522</v>
      </c>
      <c r="J325" s="371">
        <v>37.700000000000003</v>
      </c>
      <c r="K325" s="77">
        <v>0.93</v>
      </c>
      <c r="L325" s="77">
        <v>7.06</v>
      </c>
      <c r="N325" s="365">
        <f t="shared" si="107"/>
        <v>45.690000000000005</v>
      </c>
      <c r="O325" s="343">
        <f t="shared" si="108"/>
        <v>37.700000000000003</v>
      </c>
      <c r="P325" s="195" t="s">
        <v>5554</v>
      </c>
      <c r="Q325" s="326" t="str">
        <f>IFERROR(VLOOKUP($G325,主力整理!$A$2:$G$2301,6,0),"0")</f>
        <v>0</v>
      </c>
      <c r="T325" s="339">
        <f t="shared" si="109"/>
        <v>0</v>
      </c>
      <c r="V325" s="371">
        <v>0.03</v>
      </c>
      <c r="W325" s="35">
        <v>1.5</v>
      </c>
      <c r="X325" s="100">
        <v>2.5299999999999998</v>
      </c>
      <c r="Y325" s="37" t="str">
        <f>RTD("money.excel",,"4114","Price")</f>
        <v>無資料</v>
      </c>
      <c r="Z325" s="69"/>
      <c r="AA325" s="16" t="e">
        <f t="shared" si="110"/>
        <v>#VALUE!</v>
      </c>
      <c r="AB325" s="3" t="e">
        <f t="shared" si="111"/>
        <v>#VALUE!</v>
      </c>
      <c r="AC325" s="177" t="s">
        <v>2648</v>
      </c>
      <c r="AD325" s="17" t="s">
        <v>522</v>
      </c>
      <c r="AG325" s="34">
        <f t="shared" si="112"/>
        <v>0</v>
      </c>
      <c r="AH325" s="44" t="s">
        <v>4386</v>
      </c>
      <c r="AI325" s="131"/>
      <c r="AK325" s="66">
        <f t="shared" si="105"/>
        <v>0</v>
      </c>
      <c r="AL325" s="174">
        <f t="shared" si="106"/>
        <v>0</v>
      </c>
      <c r="AM325" s="346">
        <f>RTD("money.excel",,$G325,"PredictVolume")</f>
        <v>0</v>
      </c>
      <c r="AN325" s="272">
        <f>RTD("money.excel",,$G325,"CumulativeVolume")</f>
        <v>0</v>
      </c>
      <c r="AO325" s="284"/>
    </row>
    <row r="326" spans="1:41">
      <c r="A326" s="151" t="s">
        <v>4700</v>
      </c>
      <c r="B326" s="85">
        <v>-12</v>
      </c>
      <c r="C326" s="85">
        <v>-14</v>
      </c>
      <c r="D326" s="84">
        <v>46</v>
      </c>
      <c r="E326" s="84">
        <v>28</v>
      </c>
      <c r="F326" s="7">
        <v>6.94</v>
      </c>
      <c r="G326" s="85">
        <v>4116</v>
      </c>
      <c r="H326" s="4" t="s">
        <v>560</v>
      </c>
      <c r="I326" s="17" t="s">
        <v>1111</v>
      </c>
      <c r="J326" s="77">
        <v>57.28</v>
      </c>
      <c r="K326" s="77">
        <v>0.11</v>
      </c>
      <c r="L326" s="77">
        <v>3.51</v>
      </c>
      <c r="N326" s="365">
        <f t="shared" si="107"/>
        <v>60.9</v>
      </c>
      <c r="O326" s="343">
        <f t="shared" si="108"/>
        <v>57.28</v>
      </c>
      <c r="P326" s="195" t="s">
        <v>5554</v>
      </c>
      <c r="Q326" s="326" t="str">
        <f>IFERROR(VLOOKUP($G326,主力整理!$A$2:$G$2301,6,0),"0")</f>
        <v>0</v>
      </c>
      <c r="T326" s="339">
        <f t="shared" si="109"/>
        <v>0</v>
      </c>
      <c r="V326" s="371">
        <v>0</v>
      </c>
      <c r="W326" s="35">
        <v>1.35</v>
      </c>
      <c r="X326" s="59">
        <v>1.33</v>
      </c>
      <c r="Y326" s="37" t="str">
        <f>RTD("money.excel",,"4116","Price")</f>
        <v>無資料</v>
      </c>
      <c r="Z326" s="69"/>
      <c r="AA326" s="16" t="e">
        <f t="shared" si="110"/>
        <v>#VALUE!</v>
      </c>
      <c r="AB326" s="3" t="e">
        <f t="shared" si="111"/>
        <v>#VALUE!</v>
      </c>
      <c r="AD326" s="17" t="s">
        <v>1111</v>
      </c>
      <c r="AG326" s="34">
        <f t="shared" si="112"/>
        <v>0</v>
      </c>
      <c r="AH326" s="44" t="s">
        <v>3884</v>
      </c>
      <c r="AI326" s="131"/>
      <c r="AK326" s="66">
        <f t="shared" si="105"/>
        <v>0</v>
      </c>
      <c r="AL326" s="174">
        <f t="shared" si="106"/>
        <v>0</v>
      </c>
      <c r="AM326" s="346">
        <f>RTD("money.excel",,$G326,"PredictVolume")</f>
        <v>0</v>
      </c>
      <c r="AN326" s="272">
        <f>RTD("money.excel",,$G326,"CumulativeVolume")</f>
        <v>0</v>
      </c>
      <c r="AO326" s="284"/>
    </row>
    <row r="327" spans="1:41">
      <c r="A327" s="135" t="s">
        <v>2500</v>
      </c>
      <c r="B327" s="85">
        <v>-80</v>
      </c>
      <c r="C327" s="85">
        <v>-79</v>
      </c>
      <c r="D327" s="85">
        <v>-8</v>
      </c>
      <c r="E327" s="85">
        <v>-63</v>
      </c>
      <c r="F327" s="59">
        <v>17.72</v>
      </c>
      <c r="G327" s="85">
        <v>4119</v>
      </c>
      <c r="H327" s="53" t="s">
        <v>560</v>
      </c>
      <c r="I327" s="23" t="s">
        <v>232</v>
      </c>
      <c r="J327" s="77">
        <v>45.78</v>
      </c>
      <c r="K327" s="77">
        <v>1.82</v>
      </c>
      <c r="L327" s="77">
        <v>6.6</v>
      </c>
      <c r="N327" s="365">
        <f t="shared" si="107"/>
        <v>54.2</v>
      </c>
      <c r="O327" s="343">
        <f t="shared" si="108"/>
        <v>45.78</v>
      </c>
      <c r="P327" s="195" t="s">
        <v>5554</v>
      </c>
      <c r="Q327" s="326" t="str">
        <f>IFERROR(VLOOKUP($G327,主力整理!$A$2:$G$2301,6,0),"0")</f>
        <v>0</v>
      </c>
      <c r="R327" s="111">
        <v>4</v>
      </c>
      <c r="S327" s="51">
        <v>2</v>
      </c>
      <c r="T327" s="339">
        <f t="shared" si="109"/>
        <v>6</v>
      </c>
      <c r="V327" s="371">
        <v>0</v>
      </c>
      <c r="W327" s="35">
        <v>2.5</v>
      </c>
      <c r="X327" s="100">
        <v>2.4300000000000002</v>
      </c>
      <c r="Y327" s="37" t="str">
        <f>RTD("money.excel",,"4119","Price")</f>
        <v>無資料</v>
      </c>
      <c r="Z327" s="69"/>
      <c r="AA327" s="16" t="e">
        <f t="shared" si="110"/>
        <v>#VALUE!</v>
      </c>
      <c r="AB327" s="3" t="e">
        <f t="shared" si="111"/>
        <v>#VALUE!</v>
      </c>
      <c r="AC327" s="177" t="s">
        <v>2648</v>
      </c>
      <c r="AD327" s="23" t="s">
        <v>232</v>
      </c>
      <c r="AG327" s="34">
        <f t="shared" si="112"/>
        <v>0</v>
      </c>
      <c r="AH327" s="126" t="s">
        <v>3874</v>
      </c>
      <c r="AI327" s="131"/>
      <c r="AK327" s="66">
        <f t="shared" si="105"/>
        <v>0</v>
      </c>
      <c r="AL327" s="174">
        <f t="shared" si="106"/>
        <v>0</v>
      </c>
      <c r="AM327" s="346">
        <f>RTD("money.excel",,$G327,"PredictVolume")</f>
        <v>0</v>
      </c>
      <c r="AN327" s="272">
        <f>RTD("money.excel",,$G327,"CumulativeVolume")</f>
        <v>0</v>
      </c>
      <c r="AO327" s="284"/>
    </row>
    <row r="328" spans="1:41">
      <c r="A328" s="151" t="s">
        <v>2922</v>
      </c>
      <c r="B328" s="85">
        <v>-21</v>
      </c>
      <c r="C328" s="85">
        <v>-65</v>
      </c>
      <c r="D328" s="85">
        <v>-26</v>
      </c>
      <c r="E328" s="85">
        <v>-27</v>
      </c>
      <c r="F328" s="7">
        <v>2.19</v>
      </c>
      <c r="G328" s="85">
        <v>4120</v>
      </c>
      <c r="H328" s="4" t="s">
        <v>560</v>
      </c>
      <c r="I328" s="17" t="s">
        <v>148</v>
      </c>
      <c r="J328" s="77">
        <v>65.27</v>
      </c>
      <c r="K328" s="77">
        <v>6.83</v>
      </c>
      <c r="L328" s="77">
        <v>5.93</v>
      </c>
      <c r="N328" s="365">
        <f t="shared" si="107"/>
        <v>78.03</v>
      </c>
      <c r="O328" s="343">
        <f t="shared" si="108"/>
        <v>65.27</v>
      </c>
      <c r="P328" s="195" t="s">
        <v>5554</v>
      </c>
      <c r="Q328" s="326" t="str">
        <f>IFERROR(VLOOKUP($G328,主力整理!$A$2:$G$2301,6,0),"0")</f>
        <v>0</v>
      </c>
      <c r="T328" s="339">
        <f t="shared" si="109"/>
        <v>0</v>
      </c>
      <c r="V328" s="371">
        <v>0</v>
      </c>
      <c r="W328" s="35">
        <v>1.5</v>
      </c>
      <c r="X328" s="59">
        <v>2.2999999999999998</v>
      </c>
      <c r="Y328" s="37" t="str">
        <f>RTD("money.excel",,"4120","Price")</f>
        <v>無資料</v>
      </c>
      <c r="Z328" s="69"/>
      <c r="AA328" s="16" t="e">
        <f t="shared" si="110"/>
        <v>#VALUE!</v>
      </c>
      <c r="AB328" s="3" t="e">
        <f t="shared" si="111"/>
        <v>#VALUE!</v>
      </c>
      <c r="AD328" s="17" t="s">
        <v>148</v>
      </c>
      <c r="AG328" s="34">
        <f t="shared" si="112"/>
        <v>0</v>
      </c>
      <c r="AH328" s="125" t="s">
        <v>3885</v>
      </c>
      <c r="AI328" s="284"/>
      <c r="AK328" s="66">
        <f t="shared" si="105"/>
        <v>0</v>
      </c>
      <c r="AL328" s="174">
        <f t="shared" si="106"/>
        <v>0</v>
      </c>
      <c r="AM328" s="346">
        <f>RTD("money.excel",,$G328,"PredictVolume")</f>
        <v>0</v>
      </c>
      <c r="AN328" s="272">
        <f>RTD("money.excel",,$G328,"CumulativeVolume")</f>
        <v>0</v>
      </c>
      <c r="AO328" s="284"/>
    </row>
    <row r="329" spans="1:41">
      <c r="A329" s="151" t="s">
        <v>4726</v>
      </c>
      <c r="B329" s="84">
        <v>96</v>
      </c>
      <c r="C329" s="84">
        <v>157</v>
      </c>
      <c r="D329" s="85">
        <v>-21</v>
      </c>
      <c r="E329" s="85">
        <v>-9</v>
      </c>
      <c r="F329" s="7">
        <v>5.9</v>
      </c>
      <c r="G329" s="85">
        <v>4121</v>
      </c>
      <c r="H329" s="4" t="s">
        <v>560</v>
      </c>
      <c r="I329" s="17" t="s">
        <v>1112</v>
      </c>
      <c r="J329" s="77">
        <v>31.91</v>
      </c>
      <c r="K329" s="77">
        <v>3.36</v>
      </c>
      <c r="L329" s="371">
        <v>19.079999999999998</v>
      </c>
      <c r="N329" s="365">
        <f t="shared" si="107"/>
        <v>54.35</v>
      </c>
      <c r="O329" s="343">
        <f t="shared" si="108"/>
        <v>31.91</v>
      </c>
      <c r="P329" s="195">
        <v>0</v>
      </c>
      <c r="Q329" s="326">
        <f>IFERROR(VLOOKUP($G329,主力整理!$A$2:$G$2301,6,0),"0")</f>
        <v>1</v>
      </c>
      <c r="R329" s="111">
        <v>11</v>
      </c>
      <c r="S329" s="51">
        <v>0</v>
      </c>
      <c r="T329" s="339">
        <f t="shared" si="109"/>
        <v>12</v>
      </c>
      <c r="V329" s="371">
        <v>8.51</v>
      </c>
      <c r="W329" s="35">
        <v>1.1299999999999999</v>
      </c>
      <c r="X329" s="100">
        <v>2.39</v>
      </c>
      <c r="Y329" s="37" t="str">
        <f>RTD("money.excel",,"4121","Price")</f>
        <v>無資料</v>
      </c>
      <c r="Z329" s="69"/>
      <c r="AA329" s="16" t="e">
        <f t="shared" si="110"/>
        <v>#VALUE!</v>
      </c>
      <c r="AB329" s="3" t="e">
        <f t="shared" si="111"/>
        <v>#VALUE!</v>
      </c>
      <c r="AD329" s="17" t="s">
        <v>1112</v>
      </c>
      <c r="AG329" s="34">
        <f t="shared" si="112"/>
        <v>0</v>
      </c>
      <c r="AH329" s="44" t="s">
        <v>3875</v>
      </c>
      <c r="AI329" s="131"/>
      <c r="AK329" s="66">
        <f t="shared" si="105"/>
        <v>0</v>
      </c>
      <c r="AL329" s="174">
        <f t="shared" si="106"/>
        <v>0</v>
      </c>
      <c r="AM329" s="346">
        <f>RTD("money.excel",,$G329,"PredictVolume")</f>
        <v>0</v>
      </c>
      <c r="AN329" s="272">
        <f>RTD("money.excel",,$G329,"CumulativeVolume")</f>
        <v>0</v>
      </c>
      <c r="AO329" s="284"/>
    </row>
    <row r="330" spans="1:41">
      <c r="A330" s="151" t="s">
        <v>3084</v>
      </c>
      <c r="B330" s="98">
        <v>26</v>
      </c>
      <c r="C330" s="99">
        <v>-1411</v>
      </c>
      <c r="D330" s="85">
        <v>-56</v>
      </c>
      <c r="E330" s="85">
        <v>-50</v>
      </c>
      <c r="F330" s="7">
        <v>-63.13</v>
      </c>
      <c r="G330" s="85">
        <v>4123</v>
      </c>
      <c r="H330" s="4" t="s">
        <v>560</v>
      </c>
      <c r="I330" s="17" t="s">
        <v>70</v>
      </c>
      <c r="J330" s="77">
        <v>47.81</v>
      </c>
      <c r="K330" s="371">
        <v>6.13</v>
      </c>
      <c r="L330" s="371">
        <v>17.440000000000001</v>
      </c>
      <c r="N330" s="365">
        <f t="shared" si="107"/>
        <v>71.38000000000001</v>
      </c>
      <c r="O330" s="343">
        <f t="shared" si="108"/>
        <v>47.81</v>
      </c>
      <c r="P330" s="195">
        <v>1</v>
      </c>
      <c r="Q330" s="326">
        <f>IFERROR(VLOOKUP($G330,主力整理!$A$2:$G$2301,6,0),"0")</f>
        <v>3</v>
      </c>
      <c r="T330" s="339">
        <f t="shared" si="109"/>
        <v>4</v>
      </c>
      <c r="V330" s="371">
        <v>0.1</v>
      </c>
      <c r="W330" s="35">
        <v>2.5</v>
      </c>
      <c r="X330" s="100">
        <v>8.76</v>
      </c>
      <c r="Y330" s="37" t="str">
        <f>RTD("money.excel",,"4123","Price")</f>
        <v>無資料</v>
      </c>
      <c r="Z330" s="69"/>
      <c r="AA330" s="16" t="e">
        <f t="shared" si="110"/>
        <v>#VALUE!</v>
      </c>
      <c r="AB330" s="3" t="e">
        <f t="shared" si="111"/>
        <v>#VALUE!</v>
      </c>
      <c r="AC330" s="177" t="s">
        <v>2648</v>
      </c>
      <c r="AD330" s="17" t="s">
        <v>70</v>
      </c>
      <c r="AG330" s="34">
        <f t="shared" si="112"/>
        <v>0</v>
      </c>
      <c r="AH330" s="125" t="s">
        <v>3637</v>
      </c>
      <c r="AI330" s="131"/>
      <c r="AK330" s="66">
        <f t="shared" si="105"/>
        <v>0</v>
      </c>
      <c r="AL330" s="174">
        <f t="shared" si="106"/>
        <v>0</v>
      </c>
      <c r="AM330" s="346">
        <f>RTD("money.excel",,$G330,"PredictVolume")</f>
        <v>0</v>
      </c>
      <c r="AN330" s="272">
        <f>RTD("money.excel",,$G330,"CumulativeVolume")</f>
        <v>0</v>
      </c>
      <c r="AO330" s="284"/>
    </row>
    <row r="331" spans="1:41">
      <c r="A331" s="135" t="s">
        <v>2431</v>
      </c>
      <c r="B331" s="84">
        <v>39</v>
      </c>
      <c r="C331" s="85">
        <v>-20</v>
      </c>
      <c r="D331" s="85">
        <v>-8</v>
      </c>
      <c r="E331" s="85">
        <v>-14</v>
      </c>
      <c r="F331" s="59">
        <v>16.84</v>
      </c>
      <c r="G331" s="85">
        <v>4126</v>
      </c>
      <c r="H331" s="4" t="s">
        <v>560</v>
      </c>
      <c r="I331" s="17" t="s">
        <v>271</v>
      </c>
      <c r="J331" s="77">
        <v>34.21</v>
      </c>
      <c r="K331" s="77">
        <v>10.64</v>
      </c>
      <c r="L331" s="371">
        <v>5.07</v>
      </c>
      <c r="M331" s="77">
        <v>9.26</v>
      </c>
      <c r="N331" s="365">
        <f t="shared" si="107"/>
        <v>59.18</v>
      </c>
      <c r="O331" s="343">
        <f t="shared" si="108"/>
        <v>43.47</v>
      </c>
      <c r="P331" s="195">
        <v>0</v>
      </c>
      <c r="Q331" s="326" t="str">
        <f>IFERROR(VLOOKUP($G331,主力整理!$A$2:$G$2301,6,0),"0")</f>
        <v>0</v>
      </c>
      <c r="R331" s="111">
        <v>3</v>
      </c>
      <c r="S331" s="51">
        <v>6</v>
      </c>
      <c r="T331" s="339">
        <f t="shared" si="109"/>
        <v>9</v>
      </c>
      <c r="U331" s="329" t="s">
        <v>6539</v>
      </c>
      <c r="V331" s="371">
        <v>0.84</v>
      </c>
      <c r="W331" s="69">
        <v>4.2</v>
      </c>
      <c r="X331" s="100">
        <v>5.87</v>
      </c>
      <c r="Y331" s="37" t="str">
        <f>RTD("money.excel",,"4126","Price")</f>
        <v>無資料</v>
      </c>
      <c r="Z331" s="69"/>
      <c r="AA331" s="16" t="e">
        <f t="shared" si="110"/>
        <v>#VALUE!</v>
      </c>
      <c r="AB331" s="3" t="e">
        <f t="shared" si="111"/>
        <v>#VALUE!</v>
      </c>
      <c r="AC331" s="177" t="s">
        <v>2700</v>
      </c>
      <c r="AD331" s="17" t="s">
        <v>271</v>
      </c>
      <c r="AG331" s="34">
        <f t="shared" si="112"/>
        <v>0</v>
      </c>
      <c r="AH331" s="126" t="s">
        <v>3886</v>
      </c>
      <c r="AI331" s="131"/>
      <c r="AK331" s="66">
        <f t="shared" si="105"/>
        <v>0</v>
      </c>
      <c r="AL331" s="174">
        <f t="shared" si="106"/>
        <v>0</v>
      </c>
      <c r="AM331" s="346">
        <f>RTD("money.excel",,$G331,"PredictVolume")</f>
        <v>0</v>
      </c>
      <c r="AN331" s="272">
        <f>RTD("money.excel",,$G331,"CumulativeVolume")</f>
        <v>0</v>
      </c>
      <c r="AO331" s="284"/>
    </row>
    <row r="332" spans="1:41">
      <c r="A332" s="151" t="s">
        <v>3374</v>
      </c>
      <c r="B332" s="96">
        <v>35</v>
      </c>
      <c r="C332" s="96">
        <v>34</v>
      </c>
      <c r="D332" s="96">
        <v>-3</v>
      </c>
      <c r="E332" s="96">
        <v>2</v>
      </c>
      <c r="F332" s="7">
        <v>-11.26</v>
      </c>
      <c r="G332" s="85">
        <v>4127</v>
      </c>
      <c r="H332" s="4" t="s">
        <v>560</v>
      </c>
      <c r="I332" s="17" t="s">
        <v>1113</v>
      </c>
      <c r="J332" s="371">
        <v>39.1</v>
      </c>
      <c r="K332" s="77">
        <v>0.15</v>
      </c>
      <c r="L332" s="371">
        <v>11.59</v>
      </c>
      <c r="N332" s="365">
        <f t="shared" si="107"/>
        <v>50.84</v>
      </c>
      <c r="O332" s="343">
        <f t="shared" si="108"/>
        <v>39.1</v>
      </c>
      <c r="P332" s="195" t="s">
        <v>5554</v>
      </c>
      <c r="Q332" s="326" t="str">
        <f>IFERROR(VLOOKUP($G332,主力整理!$A$2:$G$2301,6,0),"0")</f>
        <v>0</v>
      </c>
      <c r="T332" s="339">
        <f t="shared" si="109"/>
        <v>0</v>
      </c>
      <c r="V332" s="371">
        <v>9.2200000000000006</v>
      </c>
      <c r="W332" s="35">
        <v>0</v>
      </c>
      <c r="X332" s="100">
        <v>-1.1299999999999999</v>
      </c>
      <c r="Y332" s="37" t="str">
        <f>RTD("money.excel",,"4127","Price")</f>
        <v>無資料</v>
      </c>
      <c r="Z332" s="69"/>
      <c r="AA332" s="16" t="e">
        <f t="shared" si="110"/>
        <v>#VALUE!</v>
      </c>
      <c r="AB332" s="3" t="e">
        <f t="shared" si="111"/>
        <v>#VALUE!</v>
      </c>
      <c r="AD332" s="17" t="s">
        <v>1113</v>
      </c>
      <c r="AG332" s="34">
        <f t="shared" si="112"/>
        <v>0</v>
      </c>
      <c r="AH332" s="44" t="s">
        <v>3887</v>
      </c>
      <c r="AI332" s="131"/>
      <c r="AK332" s="66">
        <f t="shared" si="105"/>
        <v>0</v>
      </c>
      <c r="AL332" s="174">
        <f t="shared" si="106"/>
        <v>0</v>
      </c>
      <c r="AM332" s="346">
        <f>RTD("money.excel",,$G332,"PredictVolume")</f>
        <v>0</v>
      </c>
      <c r="AN332" s="272">
        <f>RTD("money.excel",,$G332,"CumulativeVolume")</f>
        <v>0</v>
      </c>
      <c r="AO332" s="284"/>
    </row>
    <row r="333" spans="1:41">
      <c r="A333" s="151" t="s">
        <v>3113</v>
      </c>
      <c r="B333" s="84">
        <v>352</v>
      </c>
      <c r="C333" s="85">
        <v>-330</v>
      </c>
      <c r="D333" s="84">
        <v>49</v>
      </c>
      <c r="E333" s="84">
        <v>50</v>
      </c>
      <c r="F333" s="7">
        <v>-20.73</v>
      </c>
      <c r="G333" s="85">
        <v>4128</v>
      </c>
      <c r="H333" s="4" t="s">
        <v>560</v>
      </c>
      <c r="I333" s="17" t="s">
        <v>1115</v>
      </c>
      <c r="J333" s="77">
        <v>47.78</v>
      </c>
      <c r="K333" s="77">
        <v>5.34</v>
      </c>
      <c r="N333" s="365">
        <f t="shared" si="107"/>
        <v>53.120000000000005</v>
      </c>
      <c r="O333" s="343">
        <f t="shared" si="108"/>
        <v>47.78</v>
      </c>
      <c r="P333" s="195">
        <v>1</v>
      </c>
      <c r="Q333" s="326">
        <f>IFERROR(VLOOKUP($G333,主力整理!$A$2:$G$2301,6,0),"0")</f>
        <v>2</v>
      </c>
      <c r="R333" s="111">
        <v>37</v>
      </c>
      <c r="T333" s="339">
        <f t="shared" si="109"/>
        <v>40</v>
      </c>
      <c r="W333" s="35">
        <v>1</v>
      </c>
      <c r="X333" s="100">
        <v>3.29</v>
      </c>
      <c r="Y333" s="37" t="str">
        <f>RTD("money.excel",,"4128","Price")</f>
        <v>無資料</v>
      </c>
      <c r="Z333" s="69"/>
      <c r="AA333" s="16" t="e">
        <f t="shared" si="110"/>
        <v>#VALUE!</v>
      </c>
      <c r="AB333" s="3" t="e">
        <f t="shared" si="111"/>
        <v>#VALUE!</v>
      </c>
      <c r="AC333" s="177" t="s">
        <v>6557</v>
      </c>
      <c r="AD333" s="17" t="s">
        <v>1115</v>
      </c>
      <c r="AG333" s="34">
        <f t="shared" si="112"/>
        <v>0</v>
      </c>
      <c r="AH333" s="44" t="s">
        <v>3114</v>
      </c>
      <c r="AI333" s="131"/>
      <c r="AK333" s="66">
        <f t="shared" si="105"/>
        <v>0</v>
      </c>
      <c r="AL333" s="174">
        <f t="shared" si="106"/>
        <v>0</v>
      </c>
      <c r="AM333" s="346">
        <f>RTD("money.excel",,$G333,"PredictVolume")</f>
        <v>0</v>
      </c>
      <c r="AN333" s="272">
        <f>RTD("money.excel",,$G333,"CumulativeVolume")</f>
        <v>0</v>
      </c>
      <c r="AO333" s="284"/>
    </row>
    <row r="334" spans="1:41">
      <c r="A334" s="151" t="s">
        <v>3092</v>
      </c>
      <c r="B334" s="85">
        <v>-96</v>
      </c>
      <c r="C334" s="85">
        <v>-132</v>
      </c>
      <c r="D334" s="84">
        <v>19</v>
      </c>
      <c r="E334" s="84">
        <v>9</v>
      </c>
      <c r="F334" s="7">
        <v>-1.95</v>
      </c>
      <c r="G334" s="85">
        <v>4129</v>
      </c>
      <c r="H334" s="4" t="s">
        <v>560</v>
      </c>
      <c r="I334" s="17" t="s">
        <v>1116</v>
      </c>
      <c r="J334" s="77">
        <v>29.66</v>
      </c>
      <c r="K334" s="371">
        <v>6.49</v>
      </c>
      <c r="L334" s="77">
        <v>4.1100000000000003</v>
      </c>
      <c r="N334" s="365">
        <f t="shared" ref="N334:N365" si="113">J334+K334+L334+M334</f>
        <v>40.26</v>
      </c>
      <c r="O334" s="343">
        <f t="shared" si="108"/>
        <v>29.66</v>
      </c>
      <c r="P334" s="195" t="s">
        <v>5554</v>
      </c>
      <c r="Q334" s="326" t="str">
        <f>IFERROR(VLOOKUP($G334,主力整理!$A$2:$G$2301,6,0),"0")</f>
        <v>0</v>
      </c>
      <c r="T334" s="339">
        <f t="shared" si="109"/>
        <v>0</v>
      </c>
      <c r="V334" s="371">
        <v>0.03</v>
      </c>
      <c r="W334" s="35">
        <v>0.83</v>
      </c>
      <c r="X334" s="100">
        <v>1.3</v>
      </c>
      <c r="Y334" s="37" t="str">
        <f>RTD("money.excel",,"4129","Price")</f>
        <v>無資料</v>
      </c>
      <c r="Z334" s="69"/>
      <c r="AA334" s="16" t="e">
        <f t="shared" si="110"/>
        <v>#VALUE!</v>
      </c>
      <c r="AB334" s="3" t="e">
        <f t="shared" si="111"/>
        <v>#VALUE!</v>
      </c>
      <c r="AC334" s="177" t="s">
        <v>2648</v>
      </c>
      <c r="AD334" s="17" t="s">
        <v>1116</v>
      </c>
      <c r="AG334" s="34">
        <f t="shared" si="112"/>
        <v>0</v>
      </c>
      <c r="AH334" s="44" t="s">
        <v>3093</v>
      </c>
      <c r="AI334" s="131"/>
      <c r="AK334" s="66">
        <f t="shared" si="105"/>
        <v>0</v>
      </c>
      <c r="AL334" s="174">
        <f t="shared" si="106"/>
        <v>0</v>
      </c>
      <c r="AM334" s="346">
        <f>RTD("money.excel",,$G334,"PredictVolume")</f>
        <v>0</v>
      </c>
      <c r="AN334" s="272">
        <f>RTD("money.excel",,$G334,"CumulativeVolume")</f>
        <v>0</v>
      </c>
      <c r="AO334" s="284"/>
    </row>
    <row r="335" spans="1:41">
      <c r="A335" s="151" t="s">
        <v>2669</v>
      </c>
      <c r="B335" s="84">
        <v>13</v>
      </c>
      <c r="C335" s="84">
        <v>0</v>
      </c>
      <c r="D335" s="85">
        <v>-11</v>
      </c>
      <c r="E335" s="85">
        <v>-19</v>
      </c>
      <c r="F335" s="7">
        <v>8.36</v>
      </c>
      <c r="G335" s="85">
        <v>4130</v>
      </c>
      <c r="H335" s="4" t="s">
        <v>560</v>
      </c>
      <c r="I335" s="17" t="s">
        <v>1118</v>
      </c>
      <c r="J335" s="77">
        <v>32.479999999999997</v>
      </c>
      <c r="K335" s="77">
        <v>0.7</v>
      </c>
      <c r="L335" s="77">
        <v>12.6</v>
      </c>
      <c r="N335" s="365">
        <f t="shared" si="113"/>
        <v>45.78</v>
      </c>
      <c r="O335" s="343">
        <f t="shared" si="108"/>
        <v>32.479999999999997</v>
      </c>
      <c r="P335" s="195" t="s">
        <v>5554</v>
      </c>
      <c r="Q335" s="326" t="str">
        <f>IFERROR(VLOOKUP($G335,主力整理!$A$2:$G$2301,6,0),"0")</f>
        <v>0</v>
      </c>
      <c r="R335" s="111">
        <v>14</v>
      </c>
      <c r="T335" s="339">
        <f t="shared" si="109"/>
        <v>14</v>
      </c>
      <c r="V335" s="371">
        <v>0.24</v>
      </c>
      <c r="W335" s="35">
        <v>0.61</v>
      </c>
      <c r="X335" s="100">
        <v>0.37</v>
      </c>
      <c r="Y335" s="37" t="str">
        <f>RTD("money.excel",,"4130","Price")</f>
        <v>無資料</v>
      </c>
      <c r="Z335" s="69"/>
      <c r="AA335" s="16" t="e">
        <f t="shared" si="110"/>
        <v>#VALUE!</v>
      </c>
      <c r="AB335" s="3" t="e">
        <f t="shared" si="111"/>
        <v>#VALUE!</v>
      </c>
      <c r="AC335" s="177" t="s">
        <v>2648</v>
      </c>
      <c r="AD335" s="17" t="s">
        <v>1118</v>
      </c>
      <c r="AG335" s="34">
        <f t="shared" si="112"/>
        <v>0</v>
      </c>
      <c r="AH335" s="44" t="s">
        <v>6572</v>
      </c>
      <c r="AI335" s="131"/>
      <c r="AK335" s="66">
        <f t="shared" si="105"/>
        <v>0</v>
      </c>
      <c r="AL335" s="174">
        <f t="shared" si="106"/>
        <v>0</v>
      </c>
      <c r="AM335" s="346">
        <f>RTD("money.excel",,$G335,"PredictVolume")</f>
        <v>0</v>
      </c>
      <c r="AN335" s="272">
        <f>RTD("money.excel",,$G335,"CumulativeVolume")</f>
        <v>0</v>
      </c>
      <c r="AO335" s="284"/>
    </row>
    <row r="336" spans="1:41">
      <c r="A336" s="151" t="s">
        <v>4701</v>
      </c>
      <c r="B336" s="96">
        <v>-361</v>
      </c>
      <c r="C336" s="96">
        <v>-69</v>
      </c>
      <c r="D336" s="96">
        <v>-6</v>
      </c>
      <c r="E336" s="96">
        <v>11</v>
      </c>
      <c r="F336" s="7">
        <v>-33.130000000000003</v>
      </c>
      <c r="G336" s="85">
        <v>4131</v>
      </c>
      <c r="H336" s="4" t="s">
        <v>560</v>
      </c>
      <c r="I336" s="17" t="s">
        <v>1119</v>
      </c>
      <c r="J336" s="77">
        <v>60</v>
      </c>
      <c r="K336" s="77">
        <v>0.15</v>
      </c>
      <c r="N336" s="365">
        <f t="shared" si="113"/>
        <v>60.15</v>
      </c>
      <c r="O336" s="343">
        <f t="shared" si="108"/>
        <v>60</v>
      </c>
      <c r="P336" s="195" t="s">
        <v>5554</v>
      </c>
      <c r="Q336" s="326" t="str">
        <f>IFERROR(VLOOKUP($G336,主力整理!$A$2:$G$2301,6,0),"0")</f>
        <v>0</v>
      </c>
      <c r="T336" s="339">
        <f t="shared" si="109"/>
        <v>0</v>
      </c>
      <c r="V336" s="371">
        <v>44.09</v>
      </c>
      <c r="W336" s="35">
        <v>0</v>
      </c>
      <c r="X336" s="100">
        <v>-0.56000000000000005</v>
      </c>
      <c r="Y336" s="14" t="str">
        <f>RTD("money.excel",,"4131","Price")</f>
        <v>商品錯誤</v>
      </c>
      <c r="Z336" s="69"/>
      <c r="AA336" s="16" t="e">
        <f t="shared" si="110"/>
        <v>#VALUE!</v>
      </c>
      <c r="AB336" s="3" t="e">
        <f t="shared" si="111"/>
        <v>#VALUE!</v>
      </c>
      <c r="AD336" s="17" t="s">
        <v>1119</v>
      </c>
      <c r="AG336" s="34">
        <f t="shared" si="112"/>
        <v>0</v>
      </c>
      <c r="AH336" s="44" t="s">
        <v>3888</v>
      </c>
      <c r="AI336" s="131"/>
      <c r="AK336" s="66" t="e">
        <f t="shared" si="105"/>
        <v>#VALUE!</v>
      </c>
      <c r="AL336" s="174" t="e">
        <f t="shared" si="106"/>
        <v>#VALUE!</v>
      </c>
      <c r="AM336" s="346" t="str">
        <f>RTD("money.excel",,$G336,"PredictVolume")</f>
        <v>商品錯誤</v>
      </c>
      <c r="AN336" s="272" t="str">
        <f>RTD("money.excel",,$G336,"CumulativeVolume")</f>
        <v>商品錯誤</v>
      </c>
      <c r="AO336" s="284"/>
    </row>
    <row r="337" spans="1:41">
      <c r="A337" s="135" t="s">
        <v>2617</v>
      </c>
      <c r="B337" s="98">
        <v>2172</v>
      </c>
      <c r="C337" s="98">
        <v>1932</v>
      </c>
      <c r="D337" s="85">
        <v>-25</v>
      </c>
      <c r="E337" s="84">
        <v>2</v>
      </c>
      <c r="F337" s="59">
        <v>11.3</v>
      </c>
      <c r="G337" s="85">
        <v>4133</v>
      </c>
      <c r="H337" s="4" t="s">
        <v>560</v>
      </c>
      <c r="I337" s="23" t="s">
        <v>1174</v>
      </c>
      <c r="J337" s="371">
        <v>24.91</v>
      </c>
      <c r="K337" s="77">
        <v>15.76</v>
      </c>
      <c r="L337" s="77">
        <v>41.97</v>
      </c>
      <c r="N337" s="365">
        <f t="shared" si="113"/>
        <v>82.64</v>
      </c>
      <c r="O337" s="343">
        <f t="shared" si="108"/>
        <v>24.91</v>
      </c>
      <c r="P337" s="195">
        <v>2</v>
      </c>
      <c r="Q337" s="326">
        <f>IFERROR(VLOOKUP($G337,主力整理!$A$2:$G$2301,6,0),"0")</f>
        <v>1</v>
      </c>
      <c r="T337" s="339">
        <f t="shared" si="109"/>
        <v>3</v>
      </c>
      <c r="V337" s="371">
        <v>4.7300000000000004</v>
      </c>
      <c r="W337" s="35">
        <v>0.6</v>
      </c>
      <c r="X337" s="59">
        <v>0.6</v>
      </c>
      <c r="Y337" s="37" t="str">
        <f>RTD("money.excel",,"4133","Price")</f>
        <v>無資料</v>
      </c>
      <c r="Z337" s="69"/>
      <c r="AA337" s="16" t="e">
        <f t="shared" si="110"/>
        <v>#VALUE!</v>
      </c>
      <c r="AB337" s="3" t="e">
        <f t="shared" si="111"/>
        <v>#VALUE!</v>
      </c>
      <c r="AC337" s="177" t="s">
        <v>2648</v>
      </c>
      <c r="AD337" s="23" t="s">
        <v>1174</v>
      </c>
      <c r="AG337" s="34">
        <f t="shared" si="112"/>
        <v>0</v>
      </c>
      <c r="AH337" s="63" t="s">
        <v>4404</v>
      </c>
      <c r="AI337" s="131"/>
      <c r="AK337" s="66">
        <f t="shared" si="105"/>
        <v>0</v>
      </c>
      <c r="AL337" s="174">
        <f t="shared" si="106"/>
        <v>0</v>
      </c>
      <c r="AM337" s="346">
        <f>RTD("money.excel",,$G337,"PredictVolume")</f>
        <v>0</v>
      </c>
      <c r="AN337" s="272">
        <f>RTD("money.excel",,$G337,"CumulativeVolume")</f>
        <v>0</v>
      </c>
      <c r="AO337" s="284"/>
    </row>
    <row r="338" spans="1:41">
      <c r="A338" s="135" t="s">
        <v>2500</v>
      </c>
      <c r="B338" s="85">
        <v>-32</v>
      </c>
      <c r="C338" s="85">
        <v>-37</v>
      </c>
      <c r="D338" s="84">
        <v>57</v>
      </c>
      <c r="E338" s="84">
        <v>41</v>
      </c>
      <c r="F338" s="59">
        <v>27.62</v>
      </c>
      <c r="G338" s="85">
        <v>4137</v>
      </c>
      <c r="H338" s="4" t="s">
        <v>560</v>
      </c>
      <c r="I338" s="23" t="s">
        <v>336</v>
      </c>
      <c r="J338" s="371">
        <v>56.28</v>
      </c>
      <c r="K338" s="371">
        <v>68.16</v>
      </c>
      <c r="L338" s="371">
        <v>3.7</v>
      </c>
      <c r="N338" s="365">
        <f t="shared" si="113"/>
        <v>128.13999999999999</v>
      </c>
      <c r="O338" s="343">
        <f t="shared" si="108"/>
        <v>56.28</v>
      </c>
      <c r="P338" s="195">
        <v>2</v>
      </c>
      <c r="Q338" s="326" t="str">
        <f>IFERROR(VLOOKUP($G338,主力整理!$A$2:$G$2301,6,0),"0")</f>
        <v>0</v>
      </c>
      <c r="T338" s="339">
        <f t="shared" si="109"/>
        <v>2</v>
      </c>
      <c r="V338" s="371">
        <v>0</v>
      </c>
      <c r="W338" s="69">
        <v>8.5</v>
      </c>
      <c r="X338" s="59">
        <v>12.1</v>
      </c>
      <c r="Y338" s="14" t="str">
        <f>RTD("money.excel",,"4137","Price")</f>
        <v>無資料</v>
      </c>
      <c r="Z338" s="69"/>
      <c r="AA338" s="16" t="e">
        <f t="shared" si="110"/>
        <v>#VALUE!</v>
      </c>
      <c r="AB338" s="3" t="e">
        <f t="shared" si="111"/>
        <v>#VALUE!</v>
      </c>
      <c r="AC338" s="177" t="s">
        <v>2929</v>
      </c>
      <c r="AD338" s="23" t="s">
        <v>336</v>
      </c>
      <c r="AG338" s="34">
        <f t="shared" si="112"/>
        <v>0</v>
      </c>
      <c r="AH338" s="126" t="s">
        <v>3127</v>
      </c>
      <c r="AI338" s="131"/>
      <c r="AK338" s="66">
        <f t="shared" si="105"/>
        <v>0</v>
      </c>
      <c r="AL338" s="174">
        <f t="shared" si="106"/>
        <v>0</v>
      </c>
      <c r="AM338" s="346">
        <f>RTD("money.excel",,$G338,"PredictVolume")</f>
        <v>0</v>
      </c>
      <c r="AN338" s="272">
        <f>RTD("money.excel",,$G338,"CumulativeVolume")</f>
        <v>0</v>
      </c>
      <c r="AO338" s="284"/>
    </row>
    <row r="339" spans="1:41">
      <c r="A339" s="135" t="s">
        <v>3993</v>
      </c>
      <c r="B339" s="84">
        <v>3</v>
      </c>
      <c r="C339" s="84">
        <v>12</v>
      </c>
      <c r="D339" s="85">
        <v>-8</v>
      </c>
      <c r="E339" s="85">
        <v>-28</v>
      </c>
      <c r="F339" s="59">
        <v>14.15</v>
      </c>
      <c r="G339" s="85">
        <v>4138</v>
      </c>
      <c r="H339" s="4" t="s">
        <v>560</v>
      </c>
      <c r="I339" s="17" t="s">
        <v>272</v>
      </c>
      <c r="J339" s="371">
        <v>48.83</v>
      </c>
      <c r="K339" s="77">
        <v>0.91</v>
      </c>
      <c r="L339" s="371">
        <v>2.96</v>
      </c>
      <c r="N339" s="365">
        <f t="shared" si="113"/>
        <v>52.699999999999996</v>
      </c>
      <c r="O339" s="343">
        <f t="shared" si="108"/>
        <v>48.83</v>
      </c>
      <c r="P339" s="195" t="s">
        <v>5554</v>
      </c>
      <c r="Q339" s="326" t="str">
        <f>IFERROR(VLOOKUP($G339,主力整理!$A$2:$G$2301,6,0),"0")</f>
        <v>0</v>
      </c>
      <c r="T339" s="339">
        <f t="shared" si="109"/>
        <v>0</v>
      </c>
      <c r="V339" s="371">
        <v>0</v>
      </c>
      <c r="W339" s="69">
        <v>3.5</v>
      </c>
      <c r="X339" s="100">
        <v>3.87</v>
      </c>
      <c r="Y339" s="37" t="str">
        <f>RTD("money.excel",,"4138","Price")</f>
        <v>無資料</v>
      </c>
      <c r="Z339" s="69"/>
      <c r="AA339" s="16" t="e">
        <f t="shared" si="110"/>
        <v>#VALUE!</v>
      </c>
      <c r="AB339" s="3" t="e">
        <f t="shared" si="111"/>
        <v>#VALUE!</v>
      </c>
      <c r="AC339" s="177" t="s">
        <v>2700</v>
      </c>
      <c r="AD339" s="17" t="s">
        <v>272</v>
      </c>
      <c r="AG339" s="34">
        <f t="shared" si="112"/>
        <v>0</v>
      </c>
      <c r="AH339" s="126" t="s">
        <v>3889</v>
      </c>
      <c r="AI339" s="284"/>
      <c r="AK339" s="66">
        <f t="shared" si="105"/>
        <v>0</v>
      </c>
      <c r="AL339" s="174">
        <f t="shared" si="106"/>
        <v>0</v>
      </c>
      <c r="AM339" s="346">
        <f>RTD("money.excel",,$G339,"PredictVolume")</f>
        <v>0</v>
      </c>
      <c r="AN339" s="272">
        <f>RTD("money.excel",,$G339,"CumulativeVolume")</f>
        <v>0</v>
      </c>
      <c r="AO339" s="284"/>
    </row>
    <row r="340" spans="1:41">
      <c r="A340" s="151" t="s">
        <v>3529</v>
      </c>
      <c r="B340" s="85">
        <v>289</v>
      </c>
      <c r="C340" s="84">
        <v>13</v>
      </c>
      <c r="D340" s="85">
        <v>-9</v>
      </c>
      <c r="E340" s="84">
        <v>5</v>
      </c>
      <c r="F340" s="7">
        <v>-3.66</v>
      </c>
      <c r="G340" s="85">
        <v>4139</v>
      </c>
      <c r="H340" s="4" t="s">
        <v>560</v>
      </c>
      <c r="I340" s="17" t="s">
        <v>1120</v>
      </c>
      <c r="J340" s="371">
        <v>66.53</v>
      </c>
      <c r="K340" s="371">
        <v>29.19</v>
      </c>
      <c r="N340" s="365">
        <f t="shared" si="113"/>
        <v>95.72</v>
      </c>
      <c r="O340" s="343">
        <f t="shared" si="108"/>
        <v>66.53</v>
      </c>
      <c r="P340" s="195" t="s">
        <v>5554</v>
      </c>
      <c r="Q340" s="326" t="str">
        <f>IFERROR(VLOOKUP($G340,主力整理!$A$2:$G$2301,6,0),"0")</f>
        <v>0</v>
      </c>
      <c r="T340" s="339">
        <f t="shared" si="109"/>
        <v>0</v>
      </c>
      <c r="V340" s="371">
        <v>11.96</v>
      </c>
      <c r="W340" s="35">
        <v>1.6</v>
      </c>
      <c r="X340" s="100">
        <v>1.82</v>
      </c>
      <c r="Y340" s="37" t="str">
        <f>RTD("money.excel",,"4139","Price")</f>
        <v>無資料</v>
      </c>
      <c r="Z340" s="69"/>
      <c r="AA340" s="16" t="e">
        <f t="shared" si="110"/>
        <v>#VALUE!</v>
      </c>
      <c r="AB340" s="3" t="e">
        <f t="shared" si="111"/>
        <v>#VALUE!</v>
      </c>
      <c r="AC340" s="177" t="s">
        <v>2648</v>
      </c>
      <c r="AD340" s="17" t="s">
        <v>1120</v>
      </c>
      <c r="AG340" s="34">
        <f t="shared" si="112"/>
        <v>0</v>
      </c>
      <c r="AH340" s="44" t="s">
        <v>3890</v>
      </c>
      <c r="AI340" s="131"/>
      <c r="AK340" s="66">
        <f t="shared" si="105"/>
        <v>0</v>
      </c>
      <c r="AL340" s="174">
        <f t="shared" si="106"/>
        <v>0</v>
      </c>
      <c r="AM340" s="346">
        <f>RTD("money.excel",,$G340,"PredictVolume")</f>
        <v>0</v>
      </c>
      <c r="AN340" s="272">
        <f>RTD("money.excel",,$G340,"CumulativeVolume")</f>
        <v>0</v>
      </c>
      <c r="AO340" s="284"/>
    </row>
    <row r="341" spans="1:41">
      <c r="A341" s="151" t="s">
        <v>2520</v>
      </c>
      <c r="B341" s="96">
        <v>-37</v>
      </c>
      <c r="C341" s="96">
        <v>739</v>
      </c>
      <c r="D341" s="96">
        <v>193</v>
      </c>
      <c r="E341" s="96">
        <v>2</v>
      </c>
      <c r="F341" s="7">
        <v>3.51</v>
      </c>
      <c r="G341" s="85">
        <v>4141</v>
      </c>
      <c r="H341" s="4" t="s">
        <v>560</v>
      </c>
      <c r="I341" s="23" t="s">
        <v>1175</v>
      </c>
      <c r="J341" s="77">
        <v>82.28</v>
      </c>
      <c r="K341" s="77">
        <v>72.2</v>
      </c>
      <c r="L341" s="77">
        <v>6.17</v>
      </c>
      <c r="N341" s="365">
        <f t="shared" si="113"/>
        <v>160.65</v>
      </c>
      <c r="O341" s="343">
        <f t="shared" si="108"/>
        <v>82.28</v>
      </c>
      <c r="P341" s="195" t="s">
        <v>5554</v>
      </c>
      <c r="Q341" s="326">
        <f>IFERROR(VLOOKUP($G341,主力整理!$A$2:$G$2301,6,0),"0")</f>
        <v>2</v>
      </c>
      <c r="T341" s="339">
        <f t="shared" si="109"/>
        <v>2</v>
      </c>
      <c r="V341" s="371">
        <v>28.42</v>
      </c>
      <c r="W341" s="35">
        <v>0</v>
      </c>
      <c r="X341" s="59">
        <v>-2.95</v>
      </c>
      <c r="Y341" s="14" t="str">
        <f>RTD("money.excel",,"4141","Price")</f>
        <v>無資料</v>
      </c>
      <c r="Z341" s="69"/>
      <c r="AA341" s="16" t="e">
        <f t="shared" si="110"/>
        <v>#VALUE!</v>
      </c>
      <c r="AB341" s="3" t="e">
        <f t="shared" si="111"/>
        <v>#VALUE!</v>
      </c>
      <c r="AD341" s="23" t="s">
        <v>1175</v>
      </c>
      <c r="AG341" s="34">
        <f t="shared" si="112"/>
        <v>0</v>
      </c>
      <c r="AH341" s="44" t="s">
        <v>4405</v>
      </c>
      <c r="AI341" s="131"/>
      <c r="AK341" s="66">
        <f t="shared" si="105"/>
        <v>0</v>
      </c>
      <c r="AL341" s="174">
        <f t="shared" si="106"/>
        <v>0</v>
      </c>
      <c r="AM341" s="346">
        <f>RTD("money.excel",,$G341,"PredictVolume")</f>
        <v>0</v>
      </c>
      <c r="AN341" s="272">
        <f>RTD("money.excel",,$G341,"CumulativeVolume")</f>
        <v>0</v>
      </c>
      <c r="AO341" s="284"/>
    </row>
    <row r="342" spans="1:41">
      <c r="A342" s="151" t="s">
        <v>2460</v>
      </c>
      <c r="B342" s="85">
        <v>-787</v>
      </c>
      <c r="C342" s="85">
        <v>-759</v>
      </c>
      <c r="D342" s="85">
        <v>-60</v>
      </c>
      <c r="E342" s="98">
        <v>164</v>
      </c>
      <c r="F342" s="7">
        <v>-39.39</v>
      </c>
      <c r="G342" s="85">
        <v>4142</v>
      </c>
      <c r="H342" s="4" t="s">
        <v>560</v>
      </c>
      <c r="I342" s="23" t="s">
        <v>1177</v>
      </c>
      <c r="J342" s="371">
        <v>38.24</v>
      </c>
      <c r="K342" s="77">
        <v>9.64</v>
      </c>
      <c r="L342" s="77">
        <v>17.95</v>
      </c>
      <c r="M342" s="77">
        <v>17.73</v>
      </c>
      <c r="N342" s="365">
        <f t="shared" si="113"/>
        <v>83.56</v>
      </c>
      <c r="O342" s="343">
        <f t="shared" si="108"/>
        <v>55.97</v>
      </c>
      <c r="P342" s="195">
        <v>13</v>
      </c>
      <c r="Q342" s="326">
        <v>33</v>
      </c>
      <c r="R342" s="111">
        <v>32</v>
      </c>
      <c r="S342" s="51">
        <v>29</v>
      </c>
      <c r="T342" s="339">
        <f t="shared" si="109"/>
        <v>107</v>
      </c>
      <c r="U342" s="329" t="s">
        <v>6538</v>
      </c>
      <c r="V342" s="371">
        <v>4.8899999999999997</v>
      </c>
      <c r="W342" s="35">
        <v>0.5</v>
      </c>
      <c r="X342" s="100">
        <v>2.33</v>
      </c>
      <c r="Y342" s="37" t="str">
        <f>RTD("money.excel",,"4142","Price")</f>
        <v>無資料</v>
      </c>
      <c r="Z342" s="69"/>
      <c r="AA342" s="16" t="e">
        <f t="shared" si="110"/>
        <v>#VALUE!</v>
      </c>
      <c r="AB342" s="3" t="e">
        <f t="shared" si="111"/>
        <v>#VALUE!</v>
      </c>
      <c r="AC342" s="177" t="s">
        <v>2648</v>
      </c>
      <c r="AD342" s="23" t="s">
        <v>1177</v>
      </c>
      <c r="AG342" s="34">
        <f t="shared" si="112"/>
        <v>0</v>
      </c>
      <c r="AH342" s="44" t="s">
        <v>4406</v>
      </c>
      <c r="AI342" s="131"/>
      <c r="AK342" s="66">
        <f t="shared" si="105"/>
        <v>0</v>
      </c>
      <c r="AL342" s="174">
        <f t="shared" si="106"/>
        <v>0</v>
      </c>
      <c r="AM342" s="346">
        <f>RTD("money.excel",,$G342,"PredictVolume")</f>
        <v>0</v>
      </c>
      <c r="AN342" s="272">
        <f>RTD("money.excel",,$G342,"CumulativeVolume")</f>
        <v>0</v>
      </c>
      <c r="AO342" s="284"/>
    </row>
    <row r="343" spans="1:41">
      <c r="A343" s="151" t="s">
        <v>2501</v>
      </c>
      <c r="B343" s="84">
        <v>68</v>
      </c>
      <c r="C343" s="84">
        <v>65</v>
      </c>
      <c r="D343" s="84">
        <v>548</v>
      </c>
      <c r="E343" s="85">
        <v>-17</v>
      </c>
      <c r="F343" s="7">
        <v>-18.38</v>
      </c>
      <c r="G343" s="85">
        <v>4147</v>
      </c>
      <c r="H343" s="4" t="s">
        <v>560</v>
      </c>
      <c r="I343" s="17" t="s">
        <v>57</v>
      </c>
      <c r="J343" s="77">
        <v>37.520000000000003</v>
      </c>
      <c r="K343" s="77">
        <v>7.24</v>
      </c>
      <c r="N343" s="365">
        <f t="shared" si="113"/>
        <v>44.760000000000005</v>
      </c>
      <c r="O343" s="343">
        <f t="shared" si="108"/>
        <v>37.520000000000003</v>
      </c>
      <c r="P343" s="195">
        <v>1</v>
      </c>
      <c r="Q343" s="326" t="str">
        <f>IFERROR(VLOOKUP($G343,主力整理!$A$2:$G$2301,6,0),"0")</f>
        <v>0</v>
      </c>
      <c r="T343" s="339">
        <f t="shared" si="109"/>
        <v>1</v>
      </c>
      <c r="W343" s="35">
        <v>0</v>
      </c>
      <c r="X343" s="100">
        <v>-0.73</v>
      </c>
      <c r="Y343" s="37" t="str">
        <f>RTD("money.excel",,"4147","Price")</f>
        <v>無資料</v>
      </c>
      <c r="Z343" s="69"/>
      <c r="AA343" s="16" t="e">
        <f t="shared" si="110"/>
        <v>#VALUE!</v>
      </c>
      <c r="AB343" s="3" t="e">
        <f t="shared" si="111"/>
        <v>#VALUE!</v>
      </c>
      <c r="AC343" s="177" t="s">
        <v>2648</v>
      </c>
      <c r="AD343" s="17" t="s">
        <v>57</v>
      </c>
      <c r="AG343" s="34">
        <f t="shared" si="112"/>
        <v>0</v>
      </c>
      <c r="AH343" s="125" t="s">
        <v>3108</v>
      </c>
      <c r="AI343" s="131"/>
      <c r="AK343" s="66">
        <f t="shared" si="105"/>
        <v>0</v>
      </c>
      <c r="AL343" s="174">
        <f t="shared" si="106"/>
        <v>0</v>
      </c>
      <c r="AM343" s="346">
        <f>RTD("money.excel",,$G343,"PredictVolume")</f>
        <v>0</v>
      </c>
      <c r="AN343" s="272">
        <f>RTD("money.excel",,$G343,"CumulativeVolume")</f>
        <v>0</v>
      </c>
      <c r="AO343" s="284"/>
    </row>
    <row r="344" spans="1:41">
      <c r="A344" s="135" t="s">
        <v>4684</v>
      </c>
      <c r="B344" s="96">
        <v>72</v>
      </c>
      <c r="C344" s="96">
        <v>9</v>
      </c>
      <c r="D344" s="96">
        <v>-40</v>
      </c>
      <c r="E344" s="96">
        <v>72</v>
      </c>
      <c r="F344" s="7">
        <v>5.38</v>
      </c>
      <c r="G344" s="85">
        <v>4148</v>
      </c>
      <c r="H344" s="4" t="s">
        <v>560</v>
      </c>
      <c r="I344" s="23" t="s">
        <v>1178</v>
      </c>
      <c r="J344" s="371">
        <v>74.45</v>
      </c>
      <c r="K344" s="77">
        <v>72.87</v>
      </c>
      <c r="L344" s="371">
        <v>12.11</v>
      </c>
      <c r="N344" s="365">
        <f t="shared" si="113"/>
        <v>159.43</v>
      </c>
      <c r="O344" s="343">
        <f t="shared" si="108"/>
        <v>74.45</v>
      </c>
      <c r="P344" s="195" t="s">
        <v>5554</v>
      </c>
      <c r="Q344" s="326" t="str">
        <f>IFERROR(VLOOKUP($G344,主力整理!$A$2:$G$2301,6,0),"0")</f>
        <v>0</v>
      </c>
      <c r="T344" s="339">
        <f t="shared" si="109"/>
        <v>0</v>
      </c>
      <c r="V344" s="371">
        <v>46.5</v>
      </c>
      <c r="W344" s="35">
        <v>1</v>
      </c>
      <c r="X344" s="100">
        <v>1.28</v>
      </c>
      <c r="Y344" s="37" t="str">
        <f>RTD("money.excel",,"4148","Price")</f>
        <v>無資料</v>
      </c>
      <c r="Z344" s="69"/>
      <c r="AA344" s="16" t="e">
        <f t="shared" si="110"/>
        <v>#VALUE!</v>
      </c>
      <c r="AB344" s="3" t="e">
        <f t="shared" si="111"/>
        <v>#VALUE!</v>
      </c>
      <c r="AD344" s="23" t="s">
        <v>1178</v>
      </c>
      <c r="AG344" s="34">
        <f t="shared" si="112"/>
        <v>0</v>
      </c>
      <c r="AH344" s="44" t="s">
        <v>4407</v>
      </c>
      <c r="AI344" s="131"/>
      <c r="AK344" s="66">
        <f t="shared" si="105"/>
        <v>0</v>
      </c>
      <c r="AL344" s="174">
        <f t="shared" si="106"/>
        <v>0</v>
      </c>
      <c r="AM344" s="346">
        <f>RTD("money.excel",,$G344,"PredictVolume")</f>
        <v>0</v>
      </c>
      <c r="AN344" s="272">
        <f>RTD("money.excel",,$G344,"CumulativeVolume")</f>
        <v>0</v>
      </c>
      <c r="AO344" s="284"/>
    </row>
    <row r="345" spans="1:41">
      <c r="A345" s="151" t="s">
        <v>4702</v>
      </c>
      <c r="B345" s="85">
        <v>-68</v>
      </c>
      <c r="C345" s="84">
        <v>7</v>
      </c>
      <c r="D345" s="85">
        <v>-30</v>
      </c>
      <c r="E345" s="85">
        <v>-20</v>
      </c>
      <c r="F345" s="7">
        <v>9.57</v>
      </c>
      <c r="G345" s="85">
        <v>4153</v>
      </c>
      <c r="H345" s="4" t="s">
        <v>560</v>
      </c>
      <c r="I345" s="17" t="s">
        <v>1122</v>
      </c>
      <c r="J345" s="77">
        <v>67.42</v>
      </c>
      <c r="K345" s="77">
        <v>0.14000000000000001</v>
      </c>
      <c r="L345" s="77">
        <v>2.94</v>
      </c>
      <c r="N345" s="365">
        <f t="shared" si="113"/>
        <v>70.5</v>
      </c>
      <c r="O345" s="343">
        <f t="shared" si="108"/>
        <v>67.42</v>
      </c>
      <c r="P345" s="195" t="s">
        <v>5554</v>
      </c>
      <c r="Q345" s="326" t="str">
        <f>IFERROR(VLOOKUP($G345,主力整理!$A$2:$G$2301,6,0),"0")</f>
        <v>0</v>
      </c>
      <c r="T345" s="339">
        <f t="shared" si="109"/>
        <v>0</v>
      </c>
      <c r="V345" s="371">
        <v>0.01</v>
      </c>
      <c r="W345" s="35">
        <v>0.26</v>
      </c>
      <c r="X345" s="59">
        <v>0.25</v>
      </c>
      <c r="Y345" s="37" t="str">
        <f>RTD("money.excel",,"4153","Price")</f>
        <v>無資料</v>
      </c>
      <c r="Z345" s="69"/>
      <c r="AA345" s="16" t="e">
        <f t="shared" si="110"/>
        <v>#VALUE!</v>
      </c>
      <c r="AB345" s="3" t="e">
        <f t="shared" si="111"/>
        <v>#VALUE!</v>
      </c>
      <c r="AD345" s="17" t="s">
        <v>1122</v>
      </c>
      <c r="AG345" s="34">
        <f t="shared" si="112"/>
        <v>0</v>
      </c>
      <c r="AH345" s="44" t="s">
        <v>3891</v>
      </c>
      <c r="AI345" s="131"/>
      <c r="AK345" s="66">
        <f t="shared" si="105"/>
        <v>0</v>
      </c>
      <c r="AL345" s="174">
        <f t="shared" si="106"/>
        <v>0</v>
      </c>
      <c r="AM345" s="346">
        <f>RTD("money.excel",,$G345,"PredictVolume")</f>
        <v>0</v>
      </c>
      <c r="AN345" s="272">
        <f>RTD("money.excel",,$G345,"CumulativeVolume")</f>
        <v>0</v>
      </c>
      <c r="AO345" s="284"/>
    </row>
    <row r="346" spans="1:41">
      <c r="A346" s="151" t="s">
        <v>4703</v>
      </c>
      <c r="B346" s="84">
        <v>42</v>
      </c>
      <c r="C346" s="84">
        <v>23</v>
      </c>
      <c r="D346" s="84">
        <v>23</v>
      </c>
      <c r="E346" s="85">
        <v>-39</v>
      </c>
      <c r="F346" s="7">
        <v>-6.34</v>
      </c>
      <c r="G346" s="85">
        <v>4154</v>
      </c>
      <c r="H346" s="4" t="s">
        <v>560</v>
      </c>
      <c r="I346" s="17" t="s">
        <v>1123</v>
      </c>
      <c r="J346" s="77">
        <v>66.12</v>
      </c>
      <c r="K346" s="77">
        <v>58.54</v>
      </c>
      <c r="N346" s="365">
        <f t="shared" si="113"/>
        <v>124.66</v>
      </c>
      <c r="O346" s="343">
        <f t="shared" si="108"/>
        <v>66.12</v>
      </c>
      <c r="P346" s="195" t="s">
        <v>5554</v>
      </c>
      <c r="Q346" s="326" t="str">
        <f>IFERROR(VLOOKUP($G346,主力整理!$A$2:$G$2301,6,0),"0")</f>
        <v>0</v>
      </c>
      <c r="T346" s="339">
        <f t="shared" si="109"/>
        <v>0</v>
      </c>
      <c r="W346" s="35">
        <v>0</v>
      </c>
      <c r="X346" s="59">
        <v>-1.1599999999999999</v>
      </c>
      <c r="Y346" s="14" t="str">
        <f>RTD("money.excel",,"4154","Price")</f>
        <v>無資料</v>
      </c>
      <c r="Z346" s="69"/>
      <c r="AA346" s="16" t="e">
        <f t="shared" si="110"/>
        <v>#VALUE!</v>
      </c>
      <c r="AB346" s="3" t="e">
        <f t="shared" si="111"/>
        <v>#VALUE!</v>
      </c>
      <c r="AD346" s="17" t="s">
        <v>1123</v>
      </c>
      <c r="AG346" s="34">
        <f t="shared" si="112"/>
        <v>0</v>
      </c>
      <c r="AH346" s="44" t="s">
        <v>3892</v>
      </c>
      <c r="AI346" s="131"/>
      <c r="AK346" s="66">
        <f t="shared" si="105"/>
        <v>0</v>
      </c>
      <c r="AL346" s="174">
        <f t="shared" si="106"/>
        <v>0</v>
      </c>
      <c r="AM346" s="346">
        <f>RTD("money.excel",,$G346,"PredictVolume")</f>
        <v>0</v>
      </c>
      <c r="AN346" s="272">
        <f>RTD("money.excel",,$G346,"CumulativeVolume")</f>
        <v>0</v>
      </c>
      <c r="AO346" s="284"/>
    </row>
    <row r="347" spans="1:41">
      <c r="A347" s="151" t="s">
        <v>3020</v>
      </c>
      <c r="B347" s="84">
        <v>74</v>
      </c>
      <c r="C347" s="84">
        <v>95</v>
      </c>
      <c r="D347" s="85">
        <v>-1</v>
      </c>
      <c r="E347" s="84">
        <v>3</v>
      </c>
      <c r="F347" s="7">
        <v>7.84</v>
      </c>
      <c r="G347" s="85">
        <v>4155</v>
      </c>
      <c r="H347" s="4" t="s">
        <v>560</v>
      </c>
      <c r="I347" s="23" t="s">
        <v>1179</v>
      </c>
      <c r="J347" s="371">
        <v>39.159999999999997</v>
      </c>
      <c r="K347" s="371">
        <v>1.35</v>
      </c>
      <c r="L347" s="371">
        <v>13.19</v>
      </c>
      <c r="N347" s="365">
        <f t="shared" si="113"/>
        <v>53.699999999999996</v>
      </c>
      <c r="O347" s="343">
        <f t="shared" si="108"/>
        <v>39.159999999999997</v>
      </c>
      <c r="P347" s="195" t="s">
        <v>5554</v>
      </c>
      <c r="Q347" s="326" t="str">
        <f>IFERROR(VLOOKUP($G347,主力整理!$A$2:$G$2301,6,0),"0")</f>
        <v>0</v>
      </c>
      <c r="T347" s="339">
        <f t="shared" si="109"/>
        <v>0</v>
      </c>
      <c r="V347" s="371">
        <v>3.57</v>
      </c>
      <c r="W347" s="35">
        <v>1.4</v>
      </c>
      <c r="X347" s="59">
        <v>1.6</v>
      </c>
      <c r="Y347" s="37" t="str">
        <f>RTD("money.excel",,"4155","Price")</f>
        <v>無資料</v>
      </c>
      <c r="Z347" s="69"/>
      <c r="AA347" s="16" t="e">
        <f t="shared" si="110"/>
        <v>#VALUE!</v>
      </c>
      <c r="AB347" s="3" t="e">
        <f t="shared" si="111"/>
        <v>#VALUE!</v>
      </c>
      <c r="AD347" s="23" t="s">
        <v>1179</v>
      </c>
      <c r="AG347" s="34">
        <f t="shared" si="112"/>
        <v>0</v>
      </c>
      <c r="AH347" s="63" t="s">
        <v>2171</v>
      </c>
      <c r="AI347" s="131"/>
      <c r="AK347" s="66">
        <f t="shared" si="105"/>
        <v>0</v>
      </c>
      <c r="AL347" s="174">
        <f t="shared" si="106"/>
        <v>0</v>
      </c>
      <c r="AM347" s="346">
        <f>RTD("money.excel",,$G347,"PredictVolume")</f>
        <v>0</v>
      </c>
      <c r="AN347" s="272">
        <f>RTD("money.excel",,$G347,"CumulativeVolume")</f>
        <v>0</v>
      </c>
      <c r="AO347" s="284"/>
    </row>
    <row r="348" spans="1:41">
      <c r="A348" s="151" t="s">
        <v>3429</v>
      </c>
      <c r="B348" s="85">
        <v>-36</v>
      </c>
      <c r="C348" s="85">
        <v>-10</v>
      </c>
      <c r="D348" s="85">
        <v>-98</v>
      </c>
      <c r="E348" s="84">
        <v>170</v>
      </c>
      <c r="F348" s="48">
        <v>-1312</v>
      </c>
      <c r="G348" s="85">
        <v>4157</v>
      </c>
      <c r="H348" s="4" t="s">
        <v>560</v>
      </c>
      <c r="I348" s="17" t="s">
        <v>1124</v>
      </c>
      <c r="J348" s="371">
        <v>57.79</v>
      </c>
      <c r="K348" s="77">
        <v>3.62</v>
      </c>
      <c r="L348" s="371">
        <v>0</v>
      </c>
      <c r="N348" s="365">
        <f t="shared" si="113"/>
        <v>61.41</v>
      </c>
      <c r="O348" s="343">
        <f t="shared" si="108"/>
        <v>57.79</v>
      </c>
      <c r="P348" s="195">
        <v>1</v>
      </c>
      <c r="Q348" s="326" t="str">
        <f>IFERROR(VLOOKUP($G348,主力整理!$A$2:$G$2301,6,0),"0")</f>
        <v>0</v>
      </c>
      <c r="T348" s="339">
        <f t="shared" si="109"/>
        <v>1</v>
      </c>
      <c r="V348" s="371">
        <v>0</v>
      </c>
      <c r="W348" s="35">
        <v>0</v>
      </c>
      <c r="X348" s="59">
        <v>-0.56999999999999995</v>
      </c>
      <c r="Y348" s="37" t="str">
        <f>RTD("money.excel",,"4157","Price")</f>
        <v>無資料</v>
      </c>
      <c r="Z348" s="69"/>
      <c r="AA348" s="16" t="e">
        <f t="shared" si="110"/>
        <v>#VALUE!</v>
      </c>
      <c r="AB348" s="3" t="e">
        <f t="shared" si="111"/>
        <v>#VALUE!</v>
      </c>
      <c r="AC348" s="177" t="s">
        <v>2648</v>
      </c>
      <c r="AD348" s="17" t="s">
        <v>1124</v>
      </c>
      <c r="AG348" s="34">
        <f t="shared" si="112"/>
        <v>0</v>
      </c>
      <c r="AH348" s="44" t="s">
        <v>3430</v>
      </c>
      <c r="AI348" s="131"/>
      <c r="AK348" s="66">
        <f t="shared" si="105"/>
        <v>0</v>
      </c>
      <c r="AL348" s="174">
        <f t="shared" si="106"/>
        <v>0</v>
      </c>
      <c r="AM348" s="346">
        <f>RTD("money.excel",,$G348,"PredictVolume")</f>
        <v>0</v>
      </c>
      <c r="AN348" s="272">
        <f>RTD("money.excel",,$G348,"CumulativeVolume")</f>
        <v>0</v>
      </c>
      <c r="AO348" s="284"/>
    </row>
    <row r="349" spans="1:41">
      <c r="A349" s="151" t="s">
        <v>4566</v>
      </c>
      <c r="B349" s="96">
        <v>-137</v>
      </c>
      <c r="C349" s="96">
        <v>-166</v>
      </c>
      <c r="D349" s="96">
        <v>-25</v>
      </c>
      <c r="E349" s="96">
        <v>12</v>
      </c>
      <c r="F349" s="7">
        <v>-2.74</v>
      </c>
      <c r="G349" s="85">
        <v>4160</v>
      </c>
      <c r="H349" s="4" t="s">
        <v>560</v>
      </c>
      <c r="I349" s="17" t="s">
        <v>1125</v>
      </c>
      <c r="J349" s="77">
        <v>36.64</v>
      </c>
      <c r="K349" s="77">
        <v>0</v>
      </c>
      <c r="N349" s="365">
        <f t="shared" si="113"/>
        <v>36.64</v>
      </c>
      <c r="O349" s="343">
        <f t="shared" si="108"/>
        <v>36.64</v>
      </c>
      <c r="P349" s="195" t="s">
        <v>5554</v>
      </c>
      <c r="Q349" s="326" t="str">
        <f>IFERROR(VLOOKUP($G349,主力整理!$A$2:$G$2301,6,0),"0")</f>
        <v>0</v>
      </c>
      <c r="T349" s="339">
        <f t="shared" si="109"/>
        <v>0</v>
      </c>
      <c r="V349" s="371">
        <v>28.86</v>
      </c>
      <c r="W349" s="35">
        <v>0</v>
      </c>
      <c r="X349" s="100">
        <v>-0.65</v>
      </c>
      <c r="Y349" s="37" t="str">
        <f>RTD("money.excel",,"4160","Price")</f>
        <v>無資料</v>
      </c>
      <c r="Z349" s="69"/>
      <c r="AA349" s="16" t="e">
        <f t="shared" si="110"/>
        <v>#VALUE!</v>
      </c>
      <c r="AB349" s="3" t="e">
        <f t="shared" si="111"/>
        <v>#VALUE!</v>
      </c>
      <c r="AD349" s="17" t="s">
        <v>1125</v>
      </c>
      <c r="AG349" s="34">
        <f t="shared" si="112"/>
        <v>0</v>
      </c>
      <c r="AH349" s="44" t="s">
        <v>3893</v>
      </c>
      <c r="AI349" s="131"/>
      <c r="AK349" s="66">
        <f t="shared" si="105"/>
        <v>0</v>
      </c>
      <c r="AL349" s="174">
        <f t="shared" si="106"/>
        <v>0</v>
      </c>
      <c r="AM349" s="346">
        <f>RTD("money.excel",,$G349,"PredictVolume")</f>
        <v>0</v>
      </c>
      <c r="AN349" s="272">
        <f>RTD("money.excel",,$G349,"CumulativeVolume")</f>
        <v>0</v>
      </c>
      <c r="AO349" s="284"/>
    </row>
    <row r="350" spans="1:41">
      <c r="A350" s="151" t="s">
        <v>4704</v>
      </c>
      <c r="B350" s="96">
        <v>-581</v>
      </c>
      <c r="C350" s="214">
        <v>-3043</v>
      </c>
      <c r="D350" s="96">
        <v>-20</v>
      </c>
      <c r="E350" s="96">
        <v>42</v>
      </c>
      <c r="F350" s="7">
        <v>-11.54</v>
      </c>
      <c r="G350" s="85">
        <v>4161</v>
      </c>
      <c r="H350" s="4" t="s">
        <v>560</v>
      </c>
      <c r="I350" s="17" t="s">
        <v>1126</v>
      </c>
      <c r="J350" s="77">
        <v>38.46</v>
      </c>
      <c r="K350" s="77">
        <v>0.16</v>
      </c>
      <c r="L350" s="77">
        <v>19.64</v>
      </c>
      <c r="N350" s="365">
        <f t="shared" si="113"/>
        <v>58.26</v>
      </c>
      <c r="O350" s="343">
        <f t="shared" si="108"/>
        <v>38.46</v>
      </c>
      <c r="P350" s="195" t="s">
        <v>5554</v>
      </c>
      <c r="Q350" s="326" t="str">
        <f>IFERROR(VLOOKUP($G350,主力整理!$A$2:$G$2301,6,0),"0")</f>
        <v>0</v>
      </c>
      <c r="T350" s="339">
        <f t="shared" si="109"/>
        <v>0</v>
      </c>
      <c r="V350" s="371">
        <v>14.83</v>
      </c>
      <c r="W350" s="35">
        <v>0.3</v>
      </c>
      <c r="X350" s="100">
        <v>-1.24</v>
      </c>
      <c r="Y350" s="37" t="str">
        <f>RTD("money.excel",,"4161","Price")</f>
        <v>無資料</v>
      </c>
      <c r="Z350" s="69"/>
      <c r="AA350" s="16" t="e">
        <f t="shared" si="110"/>
        <v>#VALUE!</v>
      </c>
      <c r="AB350" s="3" t="e">
        <f t="shared" si="111"/>
        <v>#VALUE!</v>
      </c>
      <c r="AD350" s="17" t="s">
        <v>1126</v>
      </c>
      <c r="AG350" s="34">
        <f t="shared" si="112"/>
        <v>0</v>
      </c>
      <c r="AH350" s="44" t="s">
        <v>3355</v>
      </c>
      <c r="AI350" s="131"/>
      <c r="AK350" s="66">
        <f t="shared" si="105"/>
        <v>0</v>
      </c>
      <c r="AL350" s="174">
        <f t="shared" si="106"/>
        <v>0</v>
      </c>
      <c r="AM350" s="346">
        <f>RTD("money.excel",,$G350,"PredictVolume")</f>
        <v>0</v>
      </c>
      <c r="AN350" s="272">
        <f>RTD("money.excel",,$G350,"CumulativeVolume")</f>
        <v>0</v>
      </c>
      <c r="AO350" s="284"/>
    </row>
    <row r="351" spans="1:41">
      <c r="A351" s="135" t="s">
        <v>2502</v>
      </c>
      <c r="B351" s="84">
        <v>285</v>
      </c>
      <c r="C351" s="84">
        <v>110</v>
      </c>
      <c r="D351" s="84">
        <v>18</v>
      </c>
      <c r="E351" s="85">
        <v>-74</v>
      </c>
      <c r="F351" s="59">
        <v>50.43</v>
      </c>
      <c r="G351" s="85">
        <v>4162</v>
      </c>
      <c r="H351" s="4" t="s">
        <v>560</v>
      </c>
      <c r="I351" s="17" t="s">
        <v>71</v>
      </c>
      <c r="J351" s="77">
        <v>38.11</v>
      </c>
      <c r="K351" s="77">
        <v>4.74</v>
      </c>
      <c r="L351" s="371">
        <v>13.09</v>
      </c>
      <c r="N351" s="365">
        <f t="shared" si="113"/>
        <v>55.94</v>
      </c>
      <c r="O351" s="343">
        <f t="shared" si="108"/>
        <v>38.11</v>
      </c>
      <c r="P351" s="195">
        <v>4</v>
      </c>
      <c r="Q351" s="326">
        <v>1</v>
      </c>
      <c r="R351" s="111">
        <v>4</v>
      </c>
      <c r="S351" s="51">
        <v>0</v>
      </c>
      <c r="T351" s="339">
        <f t="shared" si="109"/>
        <v>9</v>
      </c>
      <c r="U351" s="329" t="s">
        <v>6540</v>
      </c>
      <c r="V351" s="371">
        <v>0.17</v>
      </c>
      <c r="W351" s="35">
        <v>2.5299999999999998</v>
      </c>
      <c r="X351" s="100">
        <v>5.77</v>
      </c>
      <c r="Y351" s="37" t="str">
        <f>RTD("money.excel",,"4162","Price")</f>
        <v>無資料</v>
      </c>
      <c r="Z351" s="69"/>
      <c r="AA351" s="16" t="e">
        <f t="shared" si="110"/>
        <v>#VALUE!</v>
      </c>
      <c r="AB351" s="3" t="e">
        <f t="shared" si="111"/>
        <v>#VALUE!</v>
      </c>
      <c r="AC351" s="177" t="s">
        <v>6557</v>
      </c>
      <c r="AD351" s="17" t="s">
        <v>71</v>
      </c>
      <c r="AG351" s="34">
        <f t="shared" si="112"/>
        <v>0</v>
      </c>
      <c r="AH351" s="126" t="s">
        <v>6570</v>
      </c>
      <c r="AI351" s="131"/>
      <c r="AK351" s="66">
        <f t="shared" si="105"/>
        <v>0</v>
      </c>
      <c r="AL351" s="174">
        <f t="shared" si="106"/>
        <v>0</v>
      </c>
      <c r="AM351" s="346">
        <f>RTD("money.excel",,$G351,"PredictVolume")</f>
        <v>0</v>
      </c>
      <c r="AN351" s="272">
        <f>RTD("money.excel",,$G351,"CumulativeVolume")</f>
        <v>0</v>
      </c>
      <c r="AO351" s="284"/>
    </row>
    <row r="352" spans="1:41">
      <c r="A352" s="135" t="s">
        <v>4701</v>
      </c>
      <c r="B352" s="85">
        <v>-33</v>
      </c>
      <c r="C352" s="85">
        <v>-25</v>
      </c>
      <c r="D352" s="84">
        <v>12</v>
      </c>
      <c r="E352" s="85">
        <v>-7</v>
      </c>
      <c r="F352" s="59">
        <v>16.88</v>
      </c>
      <c r="G352" s="85">
        <v>4163</v>
      </c>
      <c r="H352" s="4" t="s">
        <v>560</v>
      </c>
      <c r="I352" s="17" t="s">
        <v>273</v>
      </c>
      <c r="J352" s="77">
        <v>33.130000000000003</v>
      </c>
      <c r="K352" s="77">
        <v>2.96</v>
      </c>
      <c r="L352" s="77">
        <v>4.6100000000000003</v>
      </c>
      <c r="N352" s="365">
        <f t="shared" si="113"/>
        <v>40.700000000000003</v>
      </c>
      <c r="O352" s="343">
        <f t="shared" ref="O352:O383" si="114">J352+M352</f>
        <v>33.130000000000003</v>
      </c>
      <c r="P352" s="195">
        <v>0</v>
      </c>
      <c r="Q352" s="326" t="str">
        <f>IFERROR(VLOOKUP($G352,主力整理!$A$2:$G$2301,6,0),"0")</f>
        <v>0</v>
      </c>
      <c r="R352" s="111">
        <v>0</v>
      </c>
      <c r="S352" s="51">
        <v>0</v>
      </c>
      <c r="T352" s="339">
        <f t="shared" ref="T352:T383" si="115">SUM(P352:S352)</f>
        <v>0</v>
      </c>
      <c r="U352" s="329" t="s">
        <v>6538</v>
      </c>
      <c r="V352" s="371">
        <v>0</v>
      </c>
      <c r="W352" s="69">
        <v>3.5</v>
      </c>
      <c r="X352" s="100">
        <v>5.58</v>
      </c>
      <c r="Y352" s="37" t="str">
        <f>RTD("money.excel",,"4163","Price")</f>
        <v>無資料</v>
      </c>
      <c r="Z352" s="69"/>
      <c r="AA352" s="16" t="e">
        <f t="shared" ref="AA352:AA383" si="116">Y352-Z352</f>
        <v>#VALUE!</v>
      </c>
      <c r="AB352" s="3" t="e">
        <f t="shared" ref="AB352:AB383" si="117">AA352/Z352</f>
        <v>#VALUE!</v>
      </c>
      <c r="AC352" s="177" t="s">
        <v>6567</v>
      </c>
      <c r="AD352" s="17" t="s">
        <v>273</v>
      </c>
      <c r="AG352" s="34">
        <f t="shared" ref="AG352:AG383" si="118">AF352-AE352</f>
        <v>0</v>
      </c>
      <c r="AH352" s="126" t="s">
        <v>3894</v>
      </c>
      <c r="AI352" s="131"/>
      <c r="AK352" s="66">
        <f t="shared" si="105"/>
        <v>0</v>
      </c>
      <c r="AL352" s="174">
        <f t="shared" si="106"/>
        <v>0</v>
      </c>
      <c r="AM352" s="346">
        <f>RTD("money.excel",,$G352,"PredictVolume")</f>
        <v>0</v>
      </c>
      <c r="AN352" s="272">
        <f>RTD("money.excel",,$G352,"CumulativeVolume")</f>
        <v>0</v>
      </c>
      <c r="AO352" s="284"/>
    </row>
    <row r="353" spans="1:41">
      <c r="A353" s="135" t="s">
        <v>3155</v>
      </c>
      <c r="B353" s="84">
        <v>49</v>
      </c>
      <c r="C353" s="84">
        <v>28</v>
      </c>
      <c r="D353" s="85">
        <v>-11</v>
      </c>
      <c r="E353" s="85">
        <v>-39</v>
      </c>
      <c r="F353" s="59">
        <v>21.83</v>
      </c>
      <c r="G353" s="85">
        <v>4164</v>
      </c>
      <c r="H353" s="4" t="s">
        <v>560</v>
      </c>
      <c r="I353" s="23" t="s">
        <v>1181</v>
      </c>
      <c r="J353" s="371">
        <v>47.78</v>
      </c>
      <c r="K353" s="371">
        <v>26.08</v>
      </c>
      <c r="L353" s="371">
        <v>8.17</v>
      </c>
      <c r="N353" s="365">
        <f t="shared" si="113"/>
        <v>82.03</v>
      </c>
      <c r="O353" s="343">
        <f t="shared" si="114"/>
        <v>47.78</v>
      </c>
      <c r="P353" s="195" t="s">
        <v>5554</v>
      </c>
      <c r="Q353" s="326" t="str">
        <f>IFERROR(VLOOKUP($G353,主力整理!$A$2:$G$2301,6,0),"0")</f>
        <v>0</v>
      </c>
      <c r="T353" s="339">
        <f t="shared" si="115"/>
        <v>0</v>
      </c>
      <c r="V353" s="371">
        <v>0</v>
      </c>
      <c r="W353" s="35">
        <v>2.0099999999999998</v>
      </c>
      <c r="X353" s="100">
        <v>2.73</v>
      </c>
      <c r="Y353" s="37" t="str">
        <f>RTD("money.excel",,"4164","Price")</f>
        <v>無資料</v>
      </c>
      <c r="Z353" s="69"/>
      <c r="AA353" s="16" t="e">
        <f t="shared" si="116"/>
        <v>#VALUE!</v>
      </c>
      <c r="AB353" s="3" t="e">
        <f t="shared" si="117"/>
        <v>#VALUE!</v>
      </c>
      <c r="AD353" s="23" t="s">
        <v>1181</v>
      </c>
      <c r="AG353" s="34">
        <f t="shared" si="118"/>
        <v>0</v>
      </c>
      <c r="AH353" s="63" t="s">
        <v>4408</v>
      </c>
      <c r="AI353" s="131"/>
      <c r="AK353" s="66">
        <f t="shared" ref="AK353:AK413" si="119">AM353/(A353*10000)</f>
        <v>0</v>
      </c>
      <c r="AL353" s="174">
        <f t="shared" ref="AL353:AL413" si="120">AN353/(A353*10000)</f>
        <v>0</v>
      </c>
      <c r="AM353" s="346">
        <f>RTD("money.excel",,$G353,"PredictVolume")</f>
        <v>0</v>
      </c>
      <c r="AN353" s="272">
        <f>RTD("money.excel",,$G353,"CumulativeVolume")</f>
        <v>0</v>
      </c>
      <c r="AO353" s="284"/>
    </row>
    <row r="354" spans="1:41">
      <c r="A354" s="151" t="s">
        <v>2938</v>
      </c>
      <c r="B354" s="84">
        <v>444</v>
      </c>
      <c r="C354" s="98">
        <v>1315</v>
      </c>
      <c r="D354" s="85">
        <v>-23</v>
      </c>
      <c r="E354" s="84">
        <v>2</v>
      </c>
      <c r="F354" s="7">
        <v>9.76</v>
      </c>
      <c r="G354" s="85">
        <v>4167</v>
      </c>
      <c r="H354" s="4" t="s">
        <v>560</v>
      </c>
      <c r="I354" s="17" t="s">
        <v>3631</v>
      </c>
      <c r="J354" s="77">
        <v>35.49</v>
      </c>
      <c r="K354" s="371">
        <v>10.49</v>
      </c>
      <c r="L354" s="371"/>
      <c r="N354" s="365">
        <f t="shared" si="113"/>
        <v>45.980000000000004</v>
      </c>
      <c r="O354" s="343">
        <f t="shared" si="114"/>
        <v>35.49</v>
      </c>
      <c r="P354" s="195">
        <v>1</v>
      </c>
      <c r="Q354" s="326" t="str">
        <f>IFERROR(VLOOKUP($G354,主力整理!$A$2:$G$2301,6,0),"0")</f>
        <v>0</v>
      </c>
      <c r="T354" s="339">
        <f t="shared" si="115"/>
        <v>1</v>
      </c>
      <c r="W354" s="35">
        <v>0.67</v>
      </c>
      <c r="X354" s="100">
        <v>0.9</v>
      </c>
      <c r="Y354" s="37" t="str">
        <f>RTD("money.excel",,"4167","Price")</f>
        <v>無資料</v>
      </c>
      <c r="Z354" s="69"/>
      <c r="AA354" s="16" t="e">
        <f t="shared" si="116"/>
        <v>#VALUE!</v>
      </c>
      <c r="AB354" s="3" t="e">
        <f t="shared" si="117"/>
        <v>#VALUE!</v>
      </c>
      <c r="AC354" s="177" t="s">
        <v>2648</v>
      </c>
      <c r="AD354" s="17" t="s">
        <v>3631</v>
      </c>
      <c r="AG354" s="34">
        <f t="shared" si="118"/>
        <v>0</v>
      </c>
      <c r="AH354" s="44" t="s">
        <v>3874</v>
      </c>
      <c r="AI354" s="131"/>
      <c r="AK354" s="66">
        <f t="shared" si="119"/>
        <v>0</v>
      </c>
      <c r="AL354" s="174">
        <f t="shared" si="120"/>
        <v>0</v>
      </c>
      <c r="AM354" s="346">
        <f>RTD("money.excel",,$G354,"PredictVolume")</f>
        <v>0</v>
      </c>
      <c r="AN354" s="272">
        <f>RTD("money.excel",,$G354,"CumulativeVolume")</f>
        <v>0</v>
      </c>
      <c r="AO354" s="284"/>
    </row>
    <row r="355" spans="1:41">
      <c r="A355" s="151" t="s">
        <v>4705</v>
      </c>
      <c r="B355" s="84">
        <v>44</v>
      </c>
      <c r="C355" s="84">
        <v>28</v>
      </c>
      <c r="D355" s="85">
        <v>-100</v>
      </c>
      <c r="E355" s="85">
        <v>-100</v>
      </c>
      <c r="F355" s="48">
        <v>-5433</v>
      </c>
      <c r="G355" s="85">
        <v>4168</v>
      </c>
      <c r="H355" s="4" t="s">
        <v>560</v>
      </c>
      <c r="I355" s="17" t="s">
        <v>1127</v>
      </c>
      <c r="J355" s="371">
        <v>18.68</v>
      </c>
      <c r="K355" s="77">
        <v>4.8099999999999996</v>
      </c>
      <c r="L355" s="77">
        <v>8.82</v>
      </c>
      <c r="N355" s="365">
        <f t="shared" si="113"/>
        <v>32.31</v>
      </c>
      <c r="O355" s="343">
        <f t="shared" si="114"/>
        <v>18.68</v>
      </c>
      <c r="P355" s="195" t="s">
        <v>5554</v>
      </c>
      <c r="Q355" s="326">
        <f>IFERROR(VLOOKUP($G355,主力整理!$A$2:$G$2301,6,0),"0")</f>
        <v>1</v>
      </c>
      <c r="T355" s="339">
        <f t="shared" si="115"/>
        <v>1</v>
      </c>
      <c r="V355" s="371">
        <v>0.03</v>
      </c>
      <c r="W355" s="35">
        <v>0</v>
      </c>
      <c r="X355" s="100">
        <v>-1.92</v>
      </c>
      <c r="Y355" s="37" t="str">
        <f>RTD("money.excel",,"4168","Price")</f>
        <v>無資料</v>
      </c>
      <c r="Z355" s="69"/>
      <c r="AA355" s="16" t="e">
        <f t="shared" si="116"/>
        <v>#VALUE!</v>
      </c>
      <c r="AB355" s="3" t="e">
        <f t="shared" si="117"/>
        <v>#VALUE!</v>
      </c>
      <c r="AC355" s="177" t="s">
        <v>2648</v>
      </c>
      <c r="AD355" s="17" t="s">
        <v>1127</v>
      </c>
      <c r="AG355" s="34">
        <f t="shared" si="118"/>
        <v>0</v>
      </c>
      <c r="AH355" s="44" t="s">
        <v>2170</v>
      </c>
      <c r="AI355" s="131"/>
      <c r="AK355" s="66">
        <f t="shared" si="119"/>
        <v>0</v>
      </c>
      <c r="AL355" s="174">
        <f t="shared" si="120"/>
        <v>0</v>
      </c>
      <c r="AM355" s="346">
        <f>RTD("money.excel",,$G355,"PredictVolume")</f>
        <v>0</v>
      </c>
      <c r="AN355" s="272">
        <f>RTD("money.excel",,$G355,"CumulativeVolume")</f>
        <v>0</v>
      </c>
      <c r="AO355" s="284"/>
    </row>
    <row r="356" spans="1:41">
      <c r="A356" s="151" t="s">
        <v>2931</v>
      </c>
      <c r="B356" s="85">
        <v>-22</v>
      </c>
      <c r="C356" s="85">
        <v>-26</v>
      </c>
      <c r="D356" s="84">
        <v>4</v>
      </c>
      <c r="E356" s="85">
        <v>-35</v>
      </c>
      <c r="F356" s="7">
        <v>3.86</v>
      </c>
      <c r="G356" s="85">
        <v>4173</v>
      </c>
      <c r="H356" s="4" t="s">
        <v>560</v>
      </c>
      <c r="I356" s="17" t="s">
        <v>1129</v>
      </c>
      <c r="J356" s="371">
        <v>44.55</v>
      </c>
      <c r="K356" s="77">
        <v>1.26</v>
      </c>
      <c r="L356" s="77">
        <v>12.87</v>
      </c>
      <c r="N356" s="365">
        <f t="shared" si="113"/>
        <v>58.679999999999993</v>
      </c>
      <c r="O356" s="343">
        <f t="shared" si="114"/>
        <v>44.55</v>
      </c>
      <c r="P356" s="195" t="s">
        <v>5554</v>
      </c>
      <c r="Q356" s="326" t="str">
        <f>IFERROR(VLOOKUP($G356,主力整理!$A$2:$G$2301,6,0),"0")</f>
        <v>0</v>
      </c>
      <c r="R356" s="111">
        <v>8</v>
      </c>
      <c r="T356" s="339">
        <f t="shared" si="115"/>
        <v>8</v>
      </c>
      <c r="V356" s="371">
        <v>0</v>
      </c>
      <c r="W356" s="35">
        <v>0.56000000000000005</v>
      </c>
      <c r="X356" s="100">
        <v>0.75</v>
      </c>
      <c r="Y356" s="37" t="str">
        <f>RTD("money.excel",,"4173","Price")</f>
        <v>無資料</v>
      </c>
      <c r="Z356" s="69"/>
      <c r="AA356" s="16" t="e">
        <f t="shared" si="116"/>
        <v>#VALUE!</v>
      </c>
      <c r="AB356" s="3" t="e">
        <f t="shared" si="117"/>
        <v>#VALUE!</v>
      </c>
      <c r="AD356" s="17" t="s">
        <v>1129</v>
      </c>
      <c r="AG356" s="34">
        <f t="shared" si="118"/>
        <v>0</v>
      </c>
      <c r="AH356" s="44" t="s">
        <v>5176</v>
      </c>
      <c r="AI356" s="131"/>
      <c r="AK356" s="66">
        <f t="shared" si="119"/>
        <v>0</v>
      </c>
      <c r="AL356" s="174">
        <f t="shared" si="120"/>
        <v>0</v>
      </c>
      <c r="AM356" s="346">
        <f>RTD("money.excel",,$G356,"PredictVolume")</f>
        <v>0</v>
      </c>
      <c r="AN356" s="272">
        <f>RTD("money.excel",,$G356,"CumulativeVolume")</f>
        <v>0</v>
      </c>
      <c r="AO356" s="284"/>
    </row>
    <row r="357" spans="1:41">
      <c r="A357" s="151" t="s">
        <v>2738</v>
      </c>
      <c r="B357" s="84">
        <v>13</v>
      </c>
      <c r="C357" s="84">
        <v>7</v>
      </c>
      <c r="D357" s="98">
        <v>2346</v>
      </c>
      <c r="E357" s="84">
        <v>13</v>
      </c>
      <c r="F357" s="48">
        <v>-1040</v>
      </c>
      <c r="G357" s="85">
        <v>4174</v>
      </c>
      <c r="H357" s="4" t="s">
        <v>560</v>
      </c>
      <c r="I357" s="17" t="s">
        <v>1130</v>
      </c>
      <c r="J357" s="77">
        <v>44.73</v>
      </c>
      <c r="K357" s="371">
        <v>12.53</v>
      </c>
      <c r="L357" s="371">
        <v>5.68</v>
      </c>
      <c r="N357" s="365">
        <f t="shared" si="113"/>
        <v>62.94</v>
      </c>
      <c r="O357" s="343">
        <f t="shared" si="114"/>
        <v>44.73</v>
      </c>
      <c r="P357" s="195">
        <v>4</v>
      </c>
      <c r="Q357" s="326" t="str">
        <f>IFERROR(VLOOKUP($G357,主力整理!$A$2:$G$2301,6,0),"0")</f>
        <v>0</v>
      </c>
      <c r="T357" s="339">
        <f t="shared" si="115"/>
        <v>4</v>
      </c>
      <c r="V357" s="371">
        <v>0</v>
      </c>
      <c r="W357" s="35">
        <v>0</v>
      </c>
      <c r="X357" s="100">
        <v>-7.22</v>
      </c>
      <c r="Y357" s="37" t="str">
        <f>RTD("money.excel",,"4174","Price")</f>
        <v>無資料</v>
      </c>
      <c r="Z357" s="69"/>
      <c r="AA357" s="16" t="e">
        <f t="shared" si="116"/>
        <v>#VALUE!</v>
      </c>
      <c r="AB357" s="3" t="e">
        <f t="shared" si="117"/>
        <v>#VALUE!</v>
      </c>
      <c r="AC357" s="177" t="s">
        <v>2648</v>
      </c>
      <c r="AD357" s="17" t="s">
        <v>1130</v>
      </c>
      <c r="AG357" s="34">
        <f t="shared" si="118"/>
        <v>0</v>
      </c>
      <c r="AH357" s="44" t="s">
        <v>2660</v>
      </c>
      <c r="AI357" s="131"/>
      <c r="AK357" s="66">
        <f t="shared" si="119"/>
        <v>0</v>
      </c>
      <c r="AL357" s="174">
        <f t="shared" si="120"/>
        <v>0</v>
      </c>
      <c r="AM357" s="346">
        <f>RTD("money.excel",,$G357,"PredictVolume")</f>
        <v>0</v>
      </c>
      <c r="AN357" s="272">
        <f>RTD("money.excel",,$G357,"CumulativeVolume")</f>
        <v>0</v>
      </c>
      <c r="AO357" s="284"/>
    </row>
    <row r="358" spans="1:41">
      <c r="A358" s="151" t="s">
        <v>2384</v>
      </c>
      <c r="B358" s="84">
        <v>39</v>
      </c>
      <c r="C358" s="84">
        <v>22</v>
      </c>
      <c r="D358" s="84">
        <v>31</v>
      </c>
      <c r="E358" s="84">
        <v>14</v>
      </c>
      <c r="F358" s="7">
        <v>4.18</v>
      </c>
      <c r="G358" s="85">
        <v>4175</v>
      </c>
      <c r="H358" s="4" t="s">
        <v>560</v>
      </c>
      <c r="I358" s="17" t="s">
        <v>1131</v>
      </c>
      <c r="J358" s="371">
        <v>60.27</v>
      </c>
      <c r="K358" s="77">
        <v>0.31</v>
      </c>
      <c r="L358" s="371">
        <v>0.89</v>
      </c>
      <c r="N358" s="365">
        <f t="shared" si="113"/>
        <v>61.470000000000006</v>
      </c>
      <c r="O358" s="343">
        <f t="shared" si="114"/>
        <v>60.27</v>
      </c>
      <c r="P358" s="195" t="s">
        <v>5554</v>
      </c>
      <c r="Q358" s="326">
        <f>IFERROR(VLOOKUP($G358,主力整理!$A$2:$G$2301,6,0),"0")</f>
        <v>3</v>
      </c>
      <c r="T358" s="339">
        <f t="shared" si="115"/>
        <v>3</v>
      </c>
      <c r="V358" s="371">
        <v>0.1</v>
      </c>
      <c r="W358" s="35">
        <v>2.85</v>
      </c>
      <c r="X358" s="100">
        <v>3.51</v>
      </c>
      <c r="Y358" s="37" t="str">
        <f>RTD("money.excel",,"4175","Price")</f>
        <v>無資料</v>
      </c>
      <c r="Z358" s="69"/>
      <c r="AA358" s="16" t="e">
        <f t="shared" si="116"/>
        <v>#VALUE!</v>
      </c>
      <c r="AB358" s="3" t="e">
        <f t="shared" si="117"/>
        <v>#VALUE!</v>
      </c>
      <c r="AD358" s="17" t="s">
        <v>1131</v>
      </c>
      <c r="AG358" s="34">
        <f t="shared" si="118"/>
        <v>0</v>
      </c>
      <c r="AH358" s="44" t="s">
        <v>3895</v>
      </c>
      <c r="AI358" s="131"/>
      <c r="AK358" s="66">
        <f t="shared" si="119"/>
        <v>0</v>
      </c>
      <c r="AL358" s="174">
        <f t="shared" si="120"/>
        <v>0</v>
      </c>
      <c r="AM358" s="346">
        <f>RTD("money.excel",,$G358,"PredictVolume")</f>
        <v>0</v>
      </c>
      <c r="AN358" s="272">
        <f>RTD("money.excel",,$G358,"CumulativeVolume")</f>
        <v>0</v>
      </c>
      <c r="AO358" s="284"/>
    </row>
    <row r="359" spans="1:41">
      <c r="A359" s="135" t="s">
        <v>4601</v>
      </c>
      <c r="B359" s="96">
        <v>101</v>
      </c>
      <c r="C359" s="96">
        <v>110</v>
      </c>
      <c r="D359" s="96">
        <v>-48</v>
      </c>
      <c r="E359" s="96">
        <v>13</v>
      </c>
      <c r="F359" s="59">
        <v>11.02</v>
      </c>
      <c r="G359" s="85">
        <v>4183</v>
      </c>
      <c r="H359" s="4" t="s">
        <v>560</v>
      </c>
      <c r="I359" s="17" t="s">
        <v>4707</v>
      </c>
      <c r="J359" s="77">
        <v>57.36</v>
      </c>
      <c r="K359" s="77">
        <v>0</v>
      </c>
      <c r="N359" s="365">
        <f t="shared" si="113"/>
        <v>57.36</v>
      </c>
      <c r="O359" s="343">
        <f t="shared" si="114"/>
        <v>57.36</v>
      </c>
      <c r="P359" s="195" t="s">
        <v>5554</v>
      </c>
      <c r="Q359" s="326" t="str">
        <f>IFERROR(VLOOKUP($G359,主力整理!$A$2:$G$2301,6,0),"0")</f>
        <v>0</v>
      </c>
      <c r="T359" s="339">
        <f t="shared" si="115"/>
        <v>0</v>
      </c>
      <c r="V359" s="371">
        <v>32.520000000000003</v>
      </c>
      <c r="W359" s="35">
        <v>0.7</v>
      </c>
      <c r="X359" s="100">
        <v>1.33</v>
      </c>
      <c r="Y359" s="14" t="str">
        <f>RTD("money.excel",,"4183","Price")</f>
        <v>無資料</v>
      </c>
      <c r="Z359" s="69"/>
      <c r="AA359" s="16" t="e">
        <f t="shared" si="116"/>
        <v>#VALUE!</v>
      </c>
      <c r="AB359" s="3" t="e">
        <f t="shared" si="117"/>
        <v>#VALUE!</v>
      </c>
      <c r="AD359" s="17" t="s">
        <v>4707</v>
      </c>
      <c r="AG359" s="34">
        <f t="shared" si="118"/>
        <v>0</v>
      </c>
      <c r="AH359" s="63" t="s">
        <v>3355</v>
      </c>
      <c r="AI359" s="131"/>
      <c r="AK359" s="66">
        <f t="shared" si="119"/>
        <v>0</v>
      </c>
      <c r="AL359" s="174">
        <f t="shared" si="120"/>
        <v>0</v>
      </c>
      <c r="AM359" s="346">
        <f>RTD("money.excel",,$G359,"PredictVolume")</f>
        <v>0</v>
      </c>
      <c r="AN359" s="272">
        <f>RTD("money.excel",,$G359,"CumulativeVolume")</f>
        <v>0</v>
      </c>
      <c r="AO359" s="284"/>
    </row>
    <row r="360" spans="1:41">
      <c r="A360" s="151" t="s">
        <v>3284</v>
      </c>
      <c r="B360" s="85">
        <v>-117</v>
      </c>
      <c r="C360" s="85">
        <v>-107</v>
      </c>
      <c r="D360" s="85">
        <v>-36</v>
      </c>
      <c r="E360" s="85">
        <v>-14</v>
      </c>
      <c r="F360" s="77">
        <v>-103.86</v>
      </c>
      <c r="G360" s="85">
        <v>4188</v>
      </c>
      <c r="H360" s="4" t="s">
        <v>560</v>
      </c>
      <c r="I360" s="17" t="s">
        <v>1132</v>
      </c>
      <c r="J360" s="371">
        <v>47.56</v>
      </c>
      <c r="K360" s="371">
        <v>0.06</v>
      </c>
      <c r="N360" s="365">
        <f t="shared" si="113"/>
        <v>47.620000000000005</v>
      </c>
      <c r="O360" s="343">
        <f t="shared" si="114"/>
        <v>47.56</v>
      </c>
      <c r="P360" s="195" t="s">
        <v>5554</v>
      </c>
      <c r="Q360" s="326" t="str">
        <f>IFERROR(VLOOKUP($G360,主力整理!$A$2:$G$2301,6,0),"0")</f>
        <v>0</v>
      </c>
      <c r="T360" s="339">
        <f t="shared" si="115"/>
        <v>0</v>
      </c>
      <c r="W360" s="35">
        <v>0</v>
      </c>
      <c r="X360" s="100">
        <v>-0.67</v>
      </c>
      <c r="Y360" s="37" t="str">
        <f>RTD("money.excel",,"4188","Price")</f>
        <v>無資料</v>
      </c>
      <c r="Z360" s="69"/>
      <c r="AA360" s="16" t="e">
        <f t="shared" si="116"/>
        <v>#VALUE!</v>
      </c>
      <c r="AB360" s="3" t="e">
        <f t="shared" si="117"/>
        <v>#VALUE!</v>
      </c>
      <c r="AC360" s="177" t="s">
        <v>2648</v>
      </c>
      <c r="AD360" s="17" t="s">
        <v>1132</v>
      </c>
      <c r="AG360" s="34">
        <f t="shared" si="118"/>
        <v>0</v>
      </c>
      <c r="AH360" s="44" t="s">
        <v>3288</v>
      </c>
      <c r="AI360" s="131"/>
      <c r="AK360" s="66">
        <f t="shared" si="119"/>
        <v>0</v>
      </c>
      <c r="AL360" s="174">
        <f t="shared" si="120"/>
        <v>0</v>
      </c>
      <c r="AM360" s="346">
        <f>RTD("money.excel",,$G360,"PredictVolume")</f>
        <v>0</v>
      </c>
      <c r="AN360" s="272">
        <f>RTD("money.excel",,$G360,"CumulativeVolume")</f>
        <v>0</v>
      </c>
      <c r="AO360" s="284"/>
    </row>
    <row r="361" spans="1:41">
      <c r="A361" s="151" t="s">
        <v>2596</v>
      </c>
      <c r="B361" s="85">
        <v>-83</v>
      </c>
      <c r="C361" s="85">
        <v>-72</v>
      </c>
      <c r="D361" s="84">
        <v>18</v>
      </c>
      <c r="E361" s="85">
        <v>-1</v>
      </c>
      <c r="F361" s="7">
        <v>7.19</v>
      </c>
      <c r="G361" s="85">
        <v>4190</v>
      </c>
      <c r="H361" s="4" t="s">
        <v>560</v>
      </c>
      <c r="I361" s="23" t="s">
        <v>521</v>
      </c>
      <c r="J361" s="77">
        <v>66.8</v>
      </c>
      <c r="K361" s="77">
        <v>65.040000000000006</v>
      </c>
      <c r="L361" s="77">
        <v>9.76</v>
      </c>
      <c r="N361" s="365">
        <f t="shared" si="113"/>
        <v>141.6</v>
      </c>
      <c r="O361" s="343">
        <f t="shared" si="114"/>
        <v>66.8</v>
      </c>
      <c r="P361" s="195">
        <v>2</v>
      </c>
      <c r="Q361" s="326" t="str">
        <f>IFERROR(VLOOKUP($G361,主力整理!$A$2:$G$2301,6,0),"0")</f>
        <v>0</v>
      </c>
      <c r="T361" s="339">
        <f t="shared" si="115"/>
        <v>2</v>
      </c>
      <c r="V361" s="371">
        <v>7.0000000000000007E-2</v>
      </c>
      <c r="W361" s="69">
        <v>3</v>
      </c>
      <c r="X361" s="100">
        <v>4.41</v>
      </c>
      <c r="Y361" s="14" t="str">
        <f>RTD("money.excel",,"4190","Price")</f>
        <v>無資料</v>
      </c>
      <c r="Z361" s="69"/>
      <c r="AA361" s="16" t="e">
        <f t="shared" si="116"/>
        <v>#VALUE!</v>
      </c>
      <c r="AB361" s="3" t="e">
        <f t="shared" si="117"/>
        <v>#VALUE!</v>
      </c>
      <c r="AC361" s="177" t="s">
        <v>2929</v>
      </c>
      <c r="AD361" s="23" t="s">
        <v>521</v>
      </c>
      <c r="AG361" s="34">
        <f t="shared" si="118"/>
        <v>0</v>
      </c>
      <c r="AH361" s="44" t="s">
        <v>4409</v>
      </c>
      <c r="AI361" s="131"/>
      <c r="AK361" s="66">
        <f t="shared" si="119"/>
        <v>0</v>
      </c>
      <c r="AL361" s="174">
        <f t="shared" si="120"/>
        <v>0</v>
      </c>
      <c r="AM361" s="346">
        <f>RTD("money.excel",,$G361,"PredictVolume")</f>
        <v>0</v>
      </c>
      <c r="AN361" s="272">
        <f>RTD("money.excel",,$G361,"CumulativeVolume")</f>
        <v>0</v>
      </c>
      <c r="AO361" s="284"/>
    </row>
    <row r="362" spans="1:41">
      <c r="A362" s="151" t="s">
        <v>2631</v>
      </c>
      <c r="B362" s="85">
        <v>-33</v>
      </c>
      <c r="C362" s="85">
        <v>-32</v>
      </c>
      <c r="D362" s="84">
        <v>125</v>
      </c>
      <c r="E362" s="84">
        <v>90</v>
      </c>
      <c r="F362" s="48">
        <v>-4091</v>
      </c>
      <c r="G362" s="85">
        <v>4192</v>
      </c>
      <c r="H362" s="4" t="s">
        <v>560</v>
      </c>
      <c r="I362" s="17" t="s">
        <v>1133</v>
      </c>
      <c r="J362" s="371">
        <v>75.459999999999994</v>
      </c>
      <c r="K362" s="371">
        <v>0.8</v>
      </c>
      <c r="N362" s="365">
        <f t="shared" si="113"/>
        <v>76.259999999999991</v>
      </c>
      <c r="O362" s="343">
        <f t="shared" si="114"/>
        <v>75.459999999999994</v>
      </c>
      <c r="P362" s="195">
        <v>1</v>
      </c>
      <c r="Q362" s="326">
        <f>IFERROR(VLOOKUP($G362,主力整理!$A$2:$G$2301,6,0),"0")</f>
        <v>2</v>
      </c>
      <c r="T362" s="339">
        <f t="shared" si="115"/>
        <v>3</v>
      </c>
      <c r="W362" s="35">
        <v>0</v>
      </c>
      <c r="X362" s="100">
        <v>-3.89</v>
      </c>
      <c r="Y362" s="37" t="str">
        <f>RTD("money.excel",,"4192","Price")</f>
        <v>無資料</v>
      </c>
      <c r="Z362" s="69"/>
      <c r="AA362" s="16" t="e">
        <f t="shared" si="116"/>
        <v>#VALUE!</v>
      </c>
      <c r="AB362" s="3" t="e">
        <f t="shared" si="117"/>
        <v>#VALUE!</v>
      </c>
      <c r="AC362" s="177" t="s">
        <v>2648</v>
      </c>
      <c r="AD362" s="17" t="s">
        <v>1133</v>
      </c>
      <c r="AG362" s="34">
        <f t="shared" si="118"/>
        <v>0</v>
      </c>
      <c r="AH362" s="44" t="s">
        <v>3896</v>
      </c>
      <c r="AI362" s="131"/>
      <c r="AK362" s="66">
        <f t="shared" si="119"/>
        <v>0</v>
      </c>
      <c r="AL362" s="174">
        <f t="shared" si="120"/>
        <v>0</v>
      </c>
      <c r="AM362" s="346">
        <f>RTD("money.excel",,$G362,"PredictVolume")</f>
        <v>0</v>
      </c>
      <c r="AN362" s="272">
        <f>RTD("money.excel",,$G362,"CumulativeVolume")</f>
        <v>0</v>
      </c>
      <c r="AO362" s="284"/>
    </row>
    <row r="363" spans="1:41">
      <c r="A363" s="151" t="s">
        <v>4706</v>
      </c>
      <c r="B363" s="96">
        <v>0</v>
      </c>
      <c r="C363" s="96">
        <v>-10</v>
      </c>
      <c r="D363" s="96">
        <v>243</v>
      </c>
      <c r="E363" s="96">
        <v>81</v>
      </c>
      <c r="F363" s="77">
        <v>-126.8</v>
      </c>
      <c r="G363" s="85">
        <v>4198</v>
      </c>
      <c r="H363" s="4" t="s">
        <v>560</v>
      </c>
      <c r="I363" s="17" t="s">
        <v>4708</v>
      </c>
      <c r="J363" s="77">
        <v>63.67</v>
      </c>
      <c r="K363" s="77">
        <v>26.66</v>
      </c>
      <c r="N363" s="365">
        <f t="shared" si="113"/>
        <v>90.33</v>
      </c>
      <c r="O363" s="343">
        <f t="shared" si="114"/>
        <v>63.67</v>
      </c>
      <c r="P363" s="195" t="s">
        <v>5554</v>
      </c>
      <c r="Q363" s="326" t="str">
        <f>IFERROR(VLOOKUP($G363,主力整理!$A$2:$G$2301,6,0),"0")</f>
        <v>0</v>
      </c>
      <c r="T363" s="339">
        <f t="shared" si="115"/>
        <v>0</v>
      </c>
      <c r="V363" s="371">
        <v>27.11</v>
      </c>
      <c r="W363" s="35">
        <v>0</v>
      </c>
      <c r="X363" s="100">
        <v>-1.9</v>
      </c>
      <c r="Y363" s="14" t="str">
        <f>RTD("money.excel",,"4198","Price")</f>
        <v>無資料</v>
      </c>
      <c r="Z363" s="69"/>
      <c r="AA363" s="16" t="e">
        <f t="shared" si="116"/>
        <v>#VALUE!</v>
      </c>
      <c r="AB363" s="3" t="e">
        <f t="shared" si="117"/>
        <v>#VALUE!</v>
      </c>
      <c r="AD363" s="17" t="s">
        <v>4708</v>
      </c>
      <c r="AG363" s="34">
        <f t="shared" si="118"/>
        <v>0</v>
      </c>
      <c r="AH363" s="44" t="s">
        <v>4709</v>
      </c>
      <c r="AI363" s="131"/>
      <c r="AK363" s="66">
        <f t="shared" si="119"/>
        <v>0</v>
      </c>
      <c r="AL363" s="174">
        <f t="shared" si="120"/>
        <v>0</v>
      </c>
      <c r="AM363" s="346">
        <f>RTD("money.excel",,$G363,"PredictVolume")</f>
        <v>0</v>
      </c>
      <c r="AN363" s="272">
        <f>RTD("money.excel",,$G363,"CumulativeVolume")</f>
        <v>0</v>
      </c>
      <c r="AO363" s="284"/>
    </row>
    <row r="364" spans="1:41" ht="16.5" customHeight="1">
      <c r="A364" s="151" t="s">
        <v>2574</v>
      </c>
      <c r="B364" s="84">
        <v>124</v>
      </c>
      <c r="C364" s="84">
        <v>122</v>
      </c>
      <c r="D364" s="85">
        <v>-86</v>
      </c>
      <c r="E364" s="85">
        <v>-15</v>
      </c>
      <c r="F364" s="7">
        <v>8.69</v>
      </c>
      <c r="G364" s="85">
        <v>4726</v>
      </c>
      <c r="H364" s="4" t="s">
        <v>560</v>
      </c>
      <c r="I364" s="17" t="s">
        <v>1134</v>
      </c>
      <c r="J364" s="371">
        <v>40.51</v>
      </c>
      <c r="K364" s="77">
        <v>0.15</v>
      </c>
      <c r="N364" s="365">
        <f t="shared" si="113"/>
        <v>40.659999999999997</v>
      </c>
      <c r="O364" s="343">
        <f t="shared" si="114"/>
        <v>40.51</v>
      </c>
      <c r="P364" s="195">
        <v>3</v>
      </c>
      <c r="Q364" s="326">
        <f>IFERROR(VLOOKUP($G364,主力整理!$A$2:$G$2301,6,0),"0")</f>
        <v>1</v>
      </c>
      <c r="T364" s="339">
        <f t="shared" si="115"/>
        <v>4</v>
      </c>
      <c r="W364" s="35">
        <v>0</v>
      </c>
      <c r="X364" s="100">
        <v>24</v>
      </c>
      <c r="Y364" s="37" t="str">
        <f>RTD("money.excel",,"4726","Price")</f>
        <v>無資料</v>
      </c>
      <c r="Z364" s="69"/>
      <c r="AA364" s="16" t="e">
        <f t="shared" si="116"/>
        <v>#VALUE!</v>
      </c>
      <c r="AB364" s="3" t="e">
        <f t="shared" si="117"/>
        <v>#VALUE!</v>
      </c>
      <c r="AC364" s="177" t="s">
        <v>2648</v>
      </c>
      <c r="AD364" s="17" t="s">
        <v>1134</v>
      </c>
      <c r="AG364" s="34">
        <f t="shared" si="118"/>
        <v>0</v>
      </c>
      <c r="AH364" s="44" t="s">
        <v>4710</v>
      </c>
      <c r="AI364" s="131"/>
      <c r="AK364" s="66">
        <f t="shared" si="119"/>
        <v>0</v>
      </c>
      <c r="AL364" s="174">
        <f t="shared" si="120"/>
        <v>0</v>
      </c>
      <c r="AM364" s="346">
        <f>RTD("money.excel",,$G364,"PredictVolume")</f>
        <v>0</v>
      </c>
      <c r="AN364" s="272">
        <f>RTD("money.excel",,$G364,"CumulativeVolume")</f>
        <v>0</v>
      </c>
      <c r="AO364" s="284"/>
    </row>
    <row r="365" spans="1:41" ht="16.5" customHeight="1">
      <c r="A365" s="135" t="s">
        <v>4711</v>
      </c>
      <c r="B365" s="96">
        <v>18</v>
      </c>
      <c r="C365" s="96">
        <v>37</v>
      </c>
      <c r="D365" s="96">
        <v>12</v>
      </c>
      <c r="E365" s="96">
        <v>98</v>
      </c>
      <c r="F365" s="59">
        <v>37.36</v>
      </c>
      <c r="G365" s="85">
        <v>4728</v>
      </c>
      <c r="H365" s="4" t="s">
        <v>560</v>
      </c>
      <c r="I365" s="17" t="s">
        <v>1135</v>
      </c>
      <c r="J365" s="77">
        <v>56.93</v>
      </c>
      <c r="K365" s="77">
        <v>12.25</v>
      </c>
      <c r="L365" s="77">
        <v>36.74</v>
      </c>
      <c r="N365" s="365">
        <f t="shared" si="113"/>
        <v>105.92000000000002</v>
      </c>
      <c r="O365" s="343">
        <f t="shared" si="114"/>
        <v>56.93</v>
      </c>
      <c r="P365" s="195" t="s">
        <v>5554</v>
      </c>
      <c r="Q365" s="326" t="str">
        <f>IFERROR(VLOOKUP($G365,主力整理!$A$2:$G$2301,6,0),"0")</f>
        <v>0</v>
      </c>
      <c r="T365" s="339">
        <f t="shared" si="115"/>
        <v>0</v>
      </c>
      <c r="V365" s="371">
        <v>16.920000000000002</v>
      </c>
      <c r="W365" s="35">
        <v>1.5</v>
      </c>
      <c r="X365" s="100">
        <v>4.37</v>
      </c>
      <c r="Y365" s="14" t="str">
        <f>RTD("money.excel",,"4728","Price")</f>
        <v>無資料</v>
      </c>
      <c r="Z365" s="69"/>
      <c r="AA365" s="16" t="e">
        <f t="shared" si="116"/>
        <v>#VALUE!</v>
      </c>
      <c r="AB365" s="3" t="e">
        <f t="shared" si="117"/>
        <v>#VALUE!</v>
      </c>
      <c r="AD365" s="17" t="s">
        <v>1135</v>
      </c>
      <c r="AG365" s="34">
        <f t="shared" si="118"/>
        <v>0</v>
      </c>
      <c r="AH365" s="63" t="s">
        <v>3897</v>
      </c>
      <c r="AI365" s="131"/>
      <c r="AK365" s="66">
        <f t="shared" si="119"/>
        <v>0</v>
      </c>
      <c r="AL365" s="174">
        <f t="shared" si="120"/>
        <v>0</v>
      </c>
      <c r="AM365" s="346">
        <f>RTD("money.excel",,$G365,"PredictVolume")</f>
        <v>0</v>
      </c>
      <c r="AN365" s="272">
        <f>RTD("money.excel",,$G365,"CumulativeVolume")</f>
        <v>0</v>
      </c>
      <c r="AO365" s="284"/>
    </row>
    <row r="366" spans="1:41">
      <c r="A366" s="135" t="s">
        <v>6668</v>
      </c>
      <c r="B366" s="85">
        <v>-13</v>
      </c>
      <c r="C366" s="85">
        <v>-11</v>
      </c>
      <c r="D366" s="84">
        <v>45</v>
      </c>
      <c r="E366" s="85">
        <v>-59</v>
      </c>
      <c r="F366" s="59">
        <v>20.05</v>
      </c>
      <c r="G366" s="85">
        <v>4735</v>
      </c>
      <c r="H366" s="4" t="s">
        <v>560</v>
      </c>
      <c r="I366" s="17" t="s">
        <v>1137</v>
      </c>
      <c r="J366" s="371">
        <v>22.11</v>
      </c>
      <c r="K366" s="77">
        <v>1.43</v>
      </c>
      <c r="L366" s="371">
        <v>9.89</v>
      </c>
      <c r="M366" s="77">
        <v>24.41</v>
      </c>
      <c r="N366" s="365">
        <f>K366+J366+L366+M366</f>
        <v>57.84</v>
      </c>
      <c r="O366" s="343">
        <f t="shared" si="114"/>
        <v>46.519999999999996</v>
      </c>
      <c r="P366" s="232">
        <v>4</v>
      </c>
      <c r="Q366" s="326">
        <v>1</v>
      </c>
      <c r="R366" s="31">
        <v>6</v>
      </c>
      <c r="S366" s="51">
        <v>9</v>
      </c>
      <c r="T366" s="339">
        <f t="shared" si="115"/>
        <v>20</v>
      </c>
      <c r="U366" s="329" t="s">
        <v>6538</v>
      </c>
      <c r="V366" s="371">
        <v>1.46</v>
      </c>
      <c r="W366" s="69">
        <v>1.2</v>
      </c>
      <c r="X366" s="100">
        <v>13.17</v>
      </c>
      <c r="Y366" s="37" t="str">
        <f>RTD("money.excel",,"4735","Price")</f>
        <v>無資料</v>
      </c>
      <c r="Z366" s="69"/>
      <c r="AA366" s="16" t="e">
        <f t="shared" si="116"/>
        <v>#VALUE!</v>
      </c>
      <c r="AB366" s="3" t="e">
        <f t="shared" si="117"/>
        <v>#VALUE!</v>
      </c>
      <c r="AC366" s="177" t="s">
        <v>2929</v>
      </c>
      <c r="AD366" s="17" t="s">
        <v>1137</v>
      </c>
      <c r="AG366" s="34">
        <f t="shared" si="118"/>
        <v>0</v>
      </c>
      <c r="AH366" s="63" t="s">
        <v>3727</v>
      </c>
      <c r="AI366" s="131"/>
      <c r="AK366" s="66">
        <f t="shared" si="119"/>
        <v>0</v>
      </c>
      <c r="AL366" s="174">
        <f t="shared" si="120"/>
        <v>0</v>
      </c>
      <c r="AM366" s="346">
        <f>RTD("money.excel",,$G366,"PredictVolume")</f>
        <v>0</v>
      </c>
      <c r="AN366" s="272">
        <f>RTD("money.excel",,$G366,"CumulativeVolume")</f>
        <v>0</v>
      </c>
      <c r="AO366" s="284"/>
    </row>
    <row r="367" spans="1:41">
      <c r="A367" s="135" t="s">
        <v>5240</v>
      </c>
      <c r="B367" s="84">
        <v>23</v>
      </c>
      <c r="C367" s="85">
        <v>-12</v>
      </c>
      <c r="D367" s="85">
        <v>-39</v>
      </c>
      <c r="E367" s="85">
        <v>-9</v>
      </c>
      <c r="F367" s="59">
        <v>32.74</v>
      </c>
      <c r="G367" s="85">
        <v>4736</v>
      </c>
      <c r="H367" s="4" t="s">
        <v>560</v>
      </c>
      <c r="I367" s="176" t="s">
        <v>72</v>
      </c>
      <c r="J367" s="371">
        <v>42.49</v>
      </c>
      <c r="K367" s="371">
        <v>5.91</v>
      </c>
      <c r="L367" s="371">
        <v>12.71</v>
      </c>
      <c r="N367" s="365">
        <f t="shared" ref="N367:N378" si="121">J367+K367+L367+M367</f>
        <v>61.110000000000007</v>
      </c>
      <c r="O367" s="343">
        <f t="shared" si="114"/>
        <v>42.49</v>
      </c>
      <c r="P367" s="195">
        <v>5</v>
      </c>
      <c r="Q367" s="326" t="str">
        <f>IFERROR(VLOOKUP($G367,主力整理!$A$2:$G$2301,6,0),"0")</f>
        <v>0</v>
      </c>
      <c r="R367" s="111">
        <v>5</v>
      </c>
      <c r="S367" s="51">
        <v>12</v>
      </c>
      <c r="T367" s="339">
        <f t="shared" si="115"/>
        <v>22</v>
      </c>
      <c r="V367" s="371">
        <v>0.92</v>
      </c>
      <c r="W367" s="68">
        <v>11.42</v>
      </c>
      <c r="X367" s="100">
        <v>19.14</v>
      </c>
      <c r="Y367" s="171" t="str">
        <f>RTD("money.excel",,"4736","Price")</f>
        <v>無資料</v>
      </c>
      <c r="Z367" s="69"/>
      <c r="AA367" s="16" t="e">
        <f t="shared" si="116"/>
        <v>#VALUE!</v>
      </c>
      <c r="AB367" s="3" t="e">
        <f t="shared" si="117"/>
        <v>#VALUE!</v>
      </c>
      <c r="AC367" s="177" t="s">
        <v>2929</v>
      </c>
      <c r="AD367" s="17" t="s">
        <v>72</v>
      </c>
      <c r="AG367" s="34">
        <f t="shared" si="118"/>
        <v>0</v>
      </c>
      <c r="AH367" s="126" t="s">
        <v>4393</v>
      </c>
      <c r="AI367" s="131"/>
      <c r="AK367" s="66">
        <f t="shared" si="119"/>
        <v>0</v>
      </c>
      <c r="AL367" s="174">
        <f t="shared" si="120"/>
        <v>0</v>
      </c>
      <c r="AM367" s="346">
        <f>RTD("money.excel",,$G367,"PredictVolume")</f>
        <v>0</v>
      </c>
      <c r="AN367" s="272">
        <f>RTD("money.excel",,$G367,"CumulativeVolume")</f>
        <v>0</v>
      </c>
      <c r="AO367" s="284"/>
    </row>
    <row r="368" spans="1:41">
      <c r="A368" s="151" t="s">
        <v>2582</v>
      </c>
      <c r="B368" s="96">
        <v>-64</v>
      </c>
      <c r="C368" s="96">
        <v>-130</v>
      </c>
      <c r="D368" s="96">
        <v>-27</v>
      </c>
      <c r="E368" s="96">
        <v>130</v>
      </c>
      <c r="F368" s="7">
        <v>-2</v>
      </c>
      <c r="G368" s="85">
        <v>4737</v>
      </c>
      <c r="H368" s="4" t="s">
        <v>560</v>
      </c>
      <c r="I368" s="23" t="s">
        <v>1182</v>
      </c>
      <c r="J368" s="77">
        <v>65.33</v>
      </c>
      <c r="K368" s="77">
        <v>30.15</v>
      </c>
      <c r="L368" s="77">
        <v>1.51</v>
      </c>
      <c r="N368" s="365">
        <f t="shared" si="121"/>
        <v>96.99</v>
      </c>
      <c r="O368" s="343">
        <f t="shared" si="114"/>
        <v>65.33</v>
      </c>
      <c r="P368" s="195" t="s">
        <v>5554</v>
      </c>
      <c r="Q368" s="326" t="str">
        <f>IFERROR(VLOOKUP($G368,主力整理!$A$2:$G$2301,6,0),"0")</f>
        <v>0</v>
      </c>
      <c r="T368" s="339">
        <f t="shared" si="115"/>
        <v>0</v>
      </c>
      <c r="V368" s="371">
        <v>41.58</v>
      </c>
      <c r="W368" s="35">
        <v>2</v>
      </c>
      <c r="X368" s="100">
        <v>1.06</v>
      </c>
      <c r="Y368" s="14" t="str">
        <f>RTD("money.excel",,"4737","Price")</f>
        <v>無資料</v>
      </c>
      <c r="Z368" s="69"/>
      <c r="AA368" s="16" t="e">
        <f t="shared" si="116"/>
        <v>#VALUE!</v>
      </c>
      <c r="AB368" s="3" t="e">
        <f t="shared" si="117"/>
        <v>#VALUE!</v>
      </c>
      <c r="AD368" s="23" t="s">
        <v>1182</v>
      </c>
      <c r="AG368" s="34">
        <f t="shared" si="118"/>
        <v>0</v>
      </c>
      <c r="AH368" s="44" t="s">
        <v>2171</v>
      </c>
      <c r="AI368" s="131"/>
      <c r="AK368" s="66">
        <f t="shared" si="119"/>
        <v>0</v>
      </c>
      <c r="AL368" s="174">
        <f t="shared" si="120"/>
        <v>0</v>
      </c>
      <c r="AM368" s="346">
        <f>RTD("money.excel",,$G368,"PredictVolume")</f>
        <v>0</v>
      </c>
      <c r="AN368" s="272">
        <f>RTD("money.excel",,$G368,"CumulativeVolume")</f>
        <v>0</v>
      </c>
      <c r="AO368" s="284"/>
    </row>
    <row r="369" spans="1:41">
      <c r="A369" s="151" t="s">
        <v>6379</v>
      </c>
      <c r="B369" s="85">
        <v>-221</v>
      </c>
      <c r="C369" s="85">
        <v>-30</v>
      </c>
      <c r="D369" s="85">
        <v>-15</v>
      </c>
      <c r="E369" s="98">
        <v>1286</v>
      </c>
      <c r="F369" s="48">
        <v>-2509</v>
      </c>
      <c r="G369" s="85">
        <v>4743</v>
      </c>
      <c r="H369" s="4" t="s">
        <v>560</v>
      </c>
      <c r="I369" s="17" t="s">
        <v>525</v>
      </c>
      <c r="J369" s="371">
        <v>80.84</v>
      </c>
      <c r="K369" s="77">
        <v>13.82</v>
      </c>
      <c r="N369" s="365">
        <f t="shared" si="121"/>
        <v>94.66</v>
      </c>
      <c r="O369" s="343">
        <f t="shared" si="114"/>
        <v>80.84</v>
      </c>
      <c r="P369" s="195">
        <v>8</v>
      </c>
      <c r="Q369" s="326">
        <v>11</v>
      </c>
      <c r="R369" s="111">
        <v>16</v>
      </c>
      <c r="S369" s="51">
        <v>0</v>
      </c>
      <c r="T369" s="339">
        <f t="shared" si="115"/>
        <v>35</v>
      </c>
      <c r="W369" s="35">
        <v>0</v>
      </c>
      <c r="X369" s="59">
        <v>-2.4500000000000002</v>
      </c>
      <c r="Y369" s="37" t="str">
        <f>RTD("money.excel",,"4743","Price")</f>
        <v>無資料</v>
      </c>
      <c r="Z369" s="69"/>
      <c r="AA369" s="16" t="e">
        <f t="shared" si="116"/>
        <v>#VALUE!</v>
      </c>
      <c r="AB369" s="3" t="e">
        <f t="shared" si="117"/>
        <v>#VALUE!</v>
      </c>
      <c r="AC369" s="177" t="s">
        <v>6557</v>
      </c>
      <c r="AD369" s="17" t="s">
        <v>525</v>
      </c>
      <c r="AG369" s="34">
        <f t="shared" si="118"/>
        <v>0</v>
      </c>
      <c r="AH369" s="44" t="s">
        <v>5167</v>
      </c>
      <c r="AI369" s="131"/>
      <c r="AK369" s="66">
        <f t="shared" si="119"/>
        <v>0</v>
      </c>
      <c r="AL369" s="174">
        <f t="shared" si="120"/>
        <v>0</v>
      </c>
      <c r="AM369" s="346">
        <f>RTD("money.excel",,$G369,"PredictVolume")</f>
        <v>0</v>
      </c>
      <c r="AN369" s="272">
        <f>RTD("money.excel",,$G369,"CumulativeVolume")</f>
        <v>0</v>
      </c>
      <c r="AO369" s="284"/>
    </row>
    <row r="370" spans="1:41">
      <c r="A370" s="135" t="s">
        <v>3241</v>
      </c>
      <c r="B370" s="85">
        <v>-27</v>
      </c>
      <c r="C370" s="85">
        <v>-13</v>
      </c>
      <c r="D370" s="84">
        <v>97</v>
      </c>
      <c r="E370" s="85">
        <v>-1</v>
      </c>
      <c r="F370" s="59">
        <v>10.210000000000001</v>
      </c>
      <c r="G370" s="85">
        <v>4744</v>
      </c>
      <c r="H370" s="4" t="s">
        <v>560</v>
      </c>
      <c r="I370" s="17" t="s">
        <v>1138</v>
      </c>
      <c r="J370" s="371">
        <v>33.520000000000003</v>
      </c>
      <c r="K370" s="77">
        <v>0.45</v>
      </c>
      <c r="L370" s="77">
        <v>22.08</v>
      </c>
      <c r="N370" s="365">
        <f t="shared" si="121"/>
        <v>56.050000000000004</v>
      </c>
      <c r="O370" s="343">
        <f t="shared" si="114"/>
        <v>33.520000000000003</v>
      </c>
      <c r="P370" s="195" t="s">
        <v>5554</v>
      </c>
      <c r="Q370" s="326" t="str">
        <f>IFERROR(VLOOKUP($G370,主力整理!$A$2:$G$2301,6,0),"0")</f>
        <v>0</v>
      </c>
      <c r="T370" s="339">
        <f t="shared" si="115"/>
        <v>0</v>
      </c>
      <c r="V370" s="371">
        <v>0</v>
      </c>
      <c r="W370" s="35">
        <v>1.2</v>
      </c>
      <c r="X370" s="100">
        <v>1.52</v>
      </c>
      <c r="Y370" s="37" t="str">
        <f>RTD("money.excel",,"4744","Price")</f>
        <v>無資料</v>
      </c>
      <c r="Z370" s="69"/>
      <c r="AA370" s="16" t="e">
        <f t="shared" si="116"/>
        <v>#VALUE!</v>
      </c>
      <c r="AB370" s="3" t="e">
        <f t="shared" si="117"/>
        <v>#VALUE!</v>
      </c>
      <c r="AD370" s="17" t="s">
        <v>1138</v>
      </c>
      <c r="AG370" s="34">
        <f t="shared" si="118"/>
        <v>0</v>
      </c>
      <c r="AH370" s="63" t="s">
        <v>3731</v>
      </c>
      <c r="AI370" s="131"/>
      <c r="AK370" s="66">
        <f t="shared" si="119"/>
        <v>0</v>
      </c>
      <c r="AL370" s="174">
        <f t="shared" si="120"/>
        <v>0</v>
      </c>
      <c r="AM370" s="346">
        <f>RTD("money.excel",,$G370,"PredictVolume")</f>
        <v>0</v>
      </c>
      <c r="AN370" s="272">
        <f>RTD("money.excel",,$G370,"CumulativeVolume")</f>
        <v>0</v>
      </c>
      <c r="AO370" s="284"/>
    </row>
    <row r="371" spans="1:41">
      <c r="A371" s="151" t="s">
        <v>4713</v>
      </c>
      <c r="B371" s="96">
        <v>-34</v>
      </c>
      <c r="C371" s="96">
        <v>-16</v>
      </c>
      <c r="D371" s="96">
        <v>-31</v>
      </c>
      <c r="E371" s="96">
        <v>12</v>
      </c>
      <c r="F371" s="7">
        <v>9.9600000000000009</v>
      </c>
      <c r="G371" s="85">
        <v>4745</v>
      </c>
      <c r="H371" s="4" t="s">
        <v>560</v>
      </c>
      <c r="I371" s="17" t="s">
        <v>1139</v>
      </c>
      <c r="J371" s="77">
        <v>56.34</v>
      </c>
      <c r="K371" s="77">
        <v>15.3</v>
      </c>
      <c r="L371" s="77">
        <v>13.78</v>
      </c>
      <c r="N371" s="365">
        <f t="shared" si="121"/>
        <v>85.42</v>
      </c>
      <c r="O371" s="343">
        <f t="shared" si="114"/>
        <v>56.34</v>
      </c>
      <c r="P371" s="195" t="s">
        <v>5554</v>
      </c>
      <c r="Q371" s="326" t="str">
        <f>IFERROR(VLOOKUP($G371,主力整理!$A$2:$G$2301,6,0),"0")</f>
        <v>0</v>
      </c>
      <c r="T371" s="339">
        <f t="shared" si="115"/>
        <v>0</v>
      </c>
      <c r="V371" s="371">
        <v>24.8</v>
      </c>
      <c r="W371" s="35">
        <v>1.2</v>
      </c>
      <c r="X371" s="100">
        <v>1.63</v>
      </c>
      <c r="Y371" s="14" t="str">
        <f>RTD("money.excel",,"4745","Price")</f>
        <v>無資料</v>
      </c>
      <c r="Z371" s="69"/>
      <c r="AA371" s="16" t="e">
        <f t="shared" si="116"/>
        <v>#VALUE!</v>
      </c>
      <c r="AB371" s="3" t="e">
        <f t="shared" si="117"/>
        <v>#VALUE!</v>
      </c>
      <c r="AD371" s="17" t="s">
        <v>1139</v>
      </c>
      <c r="AG371" s="34">
        <f t="shared" si="118"/>
        <v>0</v>
      </c>
      <c r="AH371" s="44" t="s">
        <v>3730</v>
      </c>
      <c r="AI371" s="284"/>
      <c r="AK371" s="66">
        <f t="shared" si="119"/>
        <v>0</v>
      </c>
      <c r="AL371" s="174">
        <f t="shared" si="120"/>
        <v>0</v>
      </c>
      <c r="AM371" s="346">
        <f>RTD("money.excel",,$G371,"PredictVolume")</f>
        <v>0</v>
      </c>
      <c r="AN371" s="272">
        <f>RTD("money.excel",,$G371,"CumulativeVolume")</f>
        <v>0</v>
      </c>
      <c r="AO371" s="284"/>
    </row>
    <row r="372" spans="1:41">
      <c r="A372" s="151" t="s">
        <v>3033</v>
      </c>
      <c r="B372" s="84">
        <v>338</v>
      </c>
      <c r="C372" s="85">
        <v>-29</v>
      </c>
      <c r="D372" s="84">
        <v>11</v>
      </c>
      <c r="E372" s="85">
        <v>-27</v>
      </c>
      <c r="F372" s="7">
        <v>-8.06</v>
      </c>
      <c r="G372" s="85">
        <v>4746</v>
      </c>
      <c r="H372" s="4" t="s">
        <v>560</v>
      </c>
      <c r="I372" s="23" t="s">
        <v>1183</v>
      </c>
      <c r="J372" s="77">
        <v>24.59</v>
      </c>
      <c r="K372" s="77">
        <v>5.35</v>
      </c>
      <c r="L372" s="371">
        <v>31.03</v>
      </c>
      <c r="N372" s="365">
        <f t="shared" si="121"/>
        <v>60.97</v>
      </c>
      <c r="O372" s="343">
        <f t="shared" si="114"/>
        <v>24.59</v>
      </c>
      <c r="P372" s="195">
        <v>1</v>
      </c>
      <c r="Q372" s="326">
        <v>2</v>
      </c>
      <c r="R372" s="111">
        <v>15</v>
      </c>
      <c r="S372" s="51">
        <v>2</v>
      </c>
      <c r="T372" s="339">
        <f t="shared" si="115"/>
        <v>20</v>
      </c>
      <c r="V372" s="371">
        <v>0.15</v>
      </c>
      <c r="W372" s="35">
        <v>0</v>
      </c>
      <c r="X372" s="100">
        <v>16.510000000000002</v>
      </c>
      <c r="Y372" s="37" t="str">
        <f>RTD("money.excel",,"4746","Price")</f>
        <v>無資料</v>
      </c>
      <c r="Z372" s="69"/>
      <c r="AA372" s="16" t="e">
        <f t="shared" si="116"/>
        <v>#VALUE!</v>
      </c>
      <c r="AB372" s="3" t="e">
        <f t="shared" si="117"/>
        <v>#VALUE!</v>
      </c>
      <c r="AC372" s="177" t="s">
        <v>2648</v>
      </c>
      <c r="AD372" s="23" t="s">
        <v>1183</v>
      </c>
      <c r="AG372" s="34">
        <f t="shared" si="118"/>
        <v>0</v>
      </c>
      <c r="AH372" s="44" t="s">
        <v>4410</v>
      </c>
      <c r="AI372" s="131"/>
      <c r="AK372" s="66">
        <f t="shared" si="119"/>
        <v>0</v>
      </c>
      <c r="AL372" s="174">
        <f t="shared" si="120"/>
        <v>0</v>
      </c>
      <c r="AM372" s="346">
        <f>RTD("money.excel",,$G372,"PredictVolume")</f>
        <v>0</v>
      </c>
      <c r="AN372" s="272">
        <f>RTD("money.excel",,$G372,"CumulativeVolume")</f>
        <v>0</v>
      </c>
      <c r="AO372" s="284"/>
    </row>
    <row r="373" spans="1:41">
      <c r="A373" s="135" t="s">
        <v>3993</v>
      </c>
      <c r="B373" s="84">
        <v>9</v>
      </c>
      <c r="C373" s="84">
        <v>11</v>
      </c>
      <c r="D373" s="84">
        <v>11</v>
      </c>
      <c r="E373" s="84">
        <v>76</v>
      </c>
      <c r="F373" s="59">
        <v>17.32</v>
      </c>
      <c r="G373" s="85">
        <v>4747</v>
      </c>
      <c r="H373" s="4" t="s">
        <v>560</v>
      </c>
      <c r="I373" s="17" t="s">
        <v>1140</v>
      </c>
      <c r="J373" s="77">
        <v>66.180000000000007</v>
      </c>
      <c r="K373" s="77">
        <v>1.44</v>
      </c>
      <c r="L373" s="371">
        <v>0.69</v>
      </c>
      <c r="N373" s="365">
        <f t="shared" si="121"/>
        <v>68.31</v>
      </c>
      <c r="O373" s="343">
        <f t="shared" si="114"/>
        <v>66.180000000000007</v>
      </c>
      <c r="P373" s="195" t="s">
        <v>5554</v>
      </c>
      <c r="Q373" s="326" t="str">
        <f>IFERROR(VLOOKUP($G373,主力整理!$A$2:$G$2301,6,0),"0")</f>
        <v>0</v>
      </c>
      <c r="T373" s="339">
        <f t="shared" si="115"/>
        <v>0</v>
      </c>
      <c r="V373" s="371">
        <v>31.46</v>
      </c>
      <c r="W373" s="35">
        <v>1.92</v>
      </c>
      <c r="X373" s="59">
        <v>2.12</v>
      </c>
      <c r="Y373" s="37" t="str">
        <f>RTD("money.excel",,"4747","Price")</f>
        <v>無資料</v>
      </c>
      <c r="Z373" s="69"/>
      <c r="AA373" s="16" t="e">
        <f t="shared" si="116"/>
        <v>#VALUE!</v>
      </c>
      <c r="AB373" s="3" t="e">
        <f t="shared" si="117"/>
        <v>#VALUE!</v>
      </c>
      <c r="AC373" s="177" t="s">
        <v>2648</v>
      </c>
      <c r="AD373" s="17" t="s">
        <v>1140</v>
      </c>
      <c r="AG373" s="34">
        <f t="shared" si="118"/>
        <v>0</v>
      </c>
      <c r="AH373" s="63" t="s">
        <v>3031</v>
      </c>
      <c r="AI373" s="131"/>
      <c r="AK373" s="66">
        <f t="shared" si="119"/>
        <v>0</v>
      </c>
      <c r="AL373" s="174">
        <f t="shared" si="120"/>
        <v>0</v>
      </c>
      <c r="AM373" s="346">
        <f>RTD("money.excel",,$G373,"PredictVolume")</f>
        <v>0</v>
      </c>
      <c r="AN373" s="272">
        <f>RTD("money.excel",,$G373,"CumulativeVolume")</f>
        <v>0</v>
      </c>
      <c r="AO373" s="284"/>
    </row>
    <row r="374" spans="1:41">
      <c r="A374" s="151" t="s">
        <v>2508</v>
      </c>
      <c r="B374" s="96">
        <v>38</v>
      </c>
      <c r="C374" s="96">
        <v>35</v>
      </c>
      <c r="D374" s="96">
        <v>-29</v>
      </c>
      <c r="E374" s="96">
        <v>13</v>
      </c>
      <c r="F374" s="7">
        <v>-53</v>
      </c>
      <c r="G374" s="85">
        <v>4911</v>
      </c>
      <c r="H374" s="4" t="s">
        <v>560</v>
      </c>
      <c r="I374" s="17" t="s">
        <v>1141</v>
      </c>
      <c r="J374" s="77">
        <v>58.18</v>
      </c>
      <c r="K374" s="77">
        <v>0.01</v>
      </c>
      <c r="N374" s="365">
        <f t="shared" si="121"/>
        <v>58.19</v>
      </c>
      <c r="O374" s="343">
        <f t="shared" si="114"/>
        <v>58.18</v>
      </c>
      <c r="P374" s="195" t="s">
        <v>5554</v>
      </c>
      <c r="Q374" s="326" t="str">
        <f>IFERROR(VLOOKUP($G374,主力整理!$A$2:$G$2301,6,0),"0")</f>
        <v>0</v>
      </c>
      <c r="T374" s="339">
        <f t="shared" si="115"/>
        <v>0</v>
      </c>
      <c r="V374" s="371">
        <v>25.09</v>
      </c>
      <c r="W374" s="35">
        <v>0</v>
      </c>
      <c r="X374" s="100">
        <v>-0.26</v>
      </c>
      <c r="Y374" s="14" t="str">
        <f>RTD("money.excel",,"4911","Price")</f>
        <v>無資料</v>
      </c>
      <c r="Z374" s="69"/>
      <c r="AA374" s="16" t="e">
        <f t="shared" si="116"/>
        <v>#VALUE!</v>
      </c>
      <c r="AB374" s="3" t="e">
        <f t="shared" si="117"/>
        <v>#VALUE!</v>
      </c>
      <c r="AD374" s="17" t="s">
        <v>1141</v>
      </c>
      <c r="AG374" s="34">
        <f t="shared" si="118"/>
        <v>0</v>
      </c>
      <c r="AH374" s="44" t="s">
        <v>3729</v>
      </c>
      <c r="AI374" s="131"/>
      <c r="AK374" s="66">
        <f t="shared" si="119"/>
        <v>0</v>
      </c>
      <c r="AL374" s="174">
        <f t="shared" si="120"/>
        <v>0</v>
      </c>
      <c r="AM374" s="346">
        <f>RTD("money.excel",,$G374,"PredictVolume")</f>
        <v>0</v>
      </c>
      <c r="AN374" s="272">
        <f>RTD("money.excel",,$G374,"CumulativeVolume")</f>
        <v>0</v>
      </c>
      <c r="AO374" s="284"/>
    </row>
    <row r="375" spans="1:41">
      <c r="A375" s="151" t="s">
        <v>2347</v>
      </c>
      <c r="B375" s="96">
        <v>-20</v>
      </c>
      <c r="C375" s="96">
        <v>-29</v>
      </c>
      <c r="D375" s="96">
        <v>-4</v>
      </c>
      <c r="E375" s="96">
        <v>-8</v>
      </c>
      <c r="F375" s="7">
        <v>5.2</v>
      </c>
      <c r="G375" s="85">
        <v>5312</v>
      </c>
      <c r="H375" s="4" t="s">
        <v>560</v>
      </c>
      <c r="I375" s="17" t="s">
        <v>1142</v>
      </c>
      <c r="J375" s="77">
        <v>69.47</v>
      </c>
      <c r="K375" s="77">
        <v>19.64</v>
      </c>
      <c r="L375" s="77">
        <v>1</v>
      </c>
      <c r="N375" s="365">
        <f t="shared" si="121"/>
        <v>90.11</v>
      </c>
      <c r="O375" s="343">
        <f t="shared" si="114"/>
        <v>69.47</v>
      </c>
      <c r="P375" s="195" t="s">
        <v>5554</v>
      </c>
      <c r="Q375" s="326" t="str">
        <f>IFERROR(VLOOKUP($G375,主力整理!$A$2:$G$2301,6,0),"0")</f>
        <v>0</v>
      </c>
      <c r="T375" s="339">
        <f t="shared" si="115"/>
        <v>0</v>
      </c>
      <c r="V375" s="371">
        <v>25.5</v>
      </c>
      <c r="W375" s="35">
        <v>4</v>
      </c>
      <c r="X375" s="100">
        <v>5.13</v>
      </c>
      <c r="Y375" s="14" t="str">
        <f>RTD("money.excel",,"5312","Price")</f>
        <v>無資料</v>
      </c>
      <c r="Z375" s="69"/>
      <c r="AA375" s="16" t="e">
        <f t="shared" si="116"/>
        <v>#VALUE!</v>
      </c>
      <c r="AB375" s="3" t="e">
        <f t="shared" si="117"/>
        <v>#VALUE!</v>
      </c>
      <c r="AD375" s="17" t="s">
        <v>1142</v>
      </c>
      <c r="AG375" s="34">
        <f t="shared" si="118"/>
        <v>0</v>
      </c>
      <c r="AH375" s="44" t="s">
        <v>3898</v>
      </c>
      <c r="AI375" s="128"/>
      <c r="AK375" s="66">
        <f t="shared" si="119"/>
        <v>0</v>
      </c>
      <c r="AL375" s="174">
        <f t="shared" si="120"/>
        <v>0</v>
      </c>
      <c r="AM375" s="346">
        <f>RTD("money.excel",,$G375,"PredictVolume")</f>
        <v>0</v>
      </c>
      <c r="AN375" s="272">
        <f>RTD("money.excel",,$G375,"CumulativeVolume")</f>
        <v>0</v>
      </c>
      <c r="AO375" s="34"/>
    </row>
    <row r="376" spans="1:41">
      <c r="A376" s="151" t="s">
        <v>6427</v>
      </c>
      <c r="B376" s="84">
        <v>323</v>
      </c>
      <c r="C376" s="84">
        <v>201</v>
      </c>
      <c r="D376" s="84">
        <v>74</v>
      </c>
      <c r="E376" s="85">
        <v>-27</v>
      </c>
      <c r="F376" s="7">
        <v>9.64</v>
      </c>
      <c r="G376" s="85">
        <v>6130</v>
      </c>
      <c r="H376" s="4" t="s">
        <v>560</v>
      </c>
      <c r="I376" s="17" t="s">
        <v>1752</v>
      </c>
      <c r="J376" s="371">
        <v>45.63</v>
      </c>
      <c r="K376" s="371">
        <v>0.26</v>
      </c>
      <c r="N376" s="365">
        <f t="shared" si="121"/>
        <v>45.89</v>
      </c>
      <c r="O376" s="343">
        <f t="shared" si="114"/>
        <v>45.63</v>
      </c>
      <c r="P376" s="195">
        <v>0</v>
      </c>
      <c r="Q376" s="326" t="str">
        <f>IFERROR(VLOOKUP($G376,主力整理!$A$2:$G$2301,6,0),"0")</f>
        <v>0</v>
      </c>
      <c r="R376" s="111">
        <v>3</v>
      </c>
      <c r="S376" s="51">
        <v>0</v>
      </c>
      <c r="T376" s="339">
        <f t="shared" si="115"/>
        <v>3</v>
      </c>
      <c r="W376" s="35">
        <v>0</v>
      </c>
      <c r="X376" s="100">
        <v>0.35</v>
      </c>
      <c r="Y376" s="37" t="str">
        <f>RTD("money.excel",,"6130","Price")</f>
        <v>無資料</v>
      </c>
      <c r="Z376" s="69"/>
      <c r="AA376" s="16" t="e">
        <f t="shared" si="116"/>
        <v>#VALUE!</v>
      </c>
      <c r="AB376" s="3" t="e">
        <f t="shared" si="117"/>
        <v>#VALUE!</v>
      </c>
      <c r="AD376" s="17" t="s">
        <v>1752</v>
      </c>
      <c r="AG376" s="34">
        <f t="shared" si="118"/>
        <v>0</v>
      </c>
      <c r="AH376" s="44" t="s">
        <v>6428</v>
      </c>
      <c r="AI376" s="131"/>
      <c r="AK376" s="66">
        <f t="shared" si="119"/>
        <v>0</v>
      </c>
      <c r="AL376" s="174">
        <f t="shared" si="120"/>
        <v>0</v>
      </c>
      <c r="AM376" s="346">
        <f>RTD("money.excel",,$G376,"PredictVolume")</f>
        <v>0</v>
      </c>
      <c r="AN376" s="272">
        <f>RTD("money.excel",,$G376,"CumulativeVolume")</f>
        <v>0</v>
      </c>
      <c r="AO376" s="284"/>
    </row>
    <row r="377" spans="1:41">
      <c r="A377" s="135" t="s">
        <v>2340</v>
      </c>
      <c r="B377" s="96">
        <v>-23</v>
      </c>
      <c r="C377" s="96">
        <v>-29</v>
      </c>
      <c r="D377" s="96">
        <v>-21</v>
      </c>
      <c r="E377" s="96">
        <v>58</v>
      </c>
      <c r="F377" s="59">
        <v>14.36</v>
      </c>
      <c r="G377" s="85">
        <v>6242</v>
      </c>
      <c r="H377" s="4" t="s">
        <v>560</v>
      </c>
      <c r="I377" s="17" t="s">
        <v>1143</v>
      </c>
      <c r="J377" s="371">
        <v>71.260000000000005</v>
      </c>
      <c r="K377" s="77">
        <v>0.02</v>
      </c>
      <c r="N377" s="365">
        <f t="shared" si="121"/>
        <v>71.28</v>
      </c>
      <c r="O377" s="343">
        <f t="shared" si="114"/>
        <v>71.260000000000005</v>
      </c>
      <c r="P377" s="195" t="s">
        <v>5554</v>
      </c>
      <c r="Q377" s="326" t="str">
        <f>IFERROR(VLOOKUP($G377,主力整理!$A$2:$G$2301,6,0),"0")</f>
        <v>0</v>
      </c>
      <c r="T377" s="339">
        <f t="shared" si="115"/>
        <v>0</v>
      </c>
      <c r="V377" s="371">
        <v>19.45</v>
      </c>
      <c r="W377" s="35">
        <v>2.8</v>
      </c>
      <c r="X377" s="100">
        <v>3.12</v>
      </c>
      <c r="Y377" s="14" t="str">
        <f>RTD("money.excel",,"6242","Price")</f>
        <v>無資料</v>
      </c>
      <c r="Z377" s="69"/>
      <c r="AA377" s="16" t="e">
        <f t="shared" si="116"/>
        <v>#VALUE!</v>
      </c>
      <c r="AB377" s="3" t="e">
        <f t="shared" si="117"/>
        <v>#VALUE!</v>
      </c>
      <c r="AD377" s="17" t="s">
        <v>1143</v>
      </c>
      <c r="AG377" s="34">
        <f t="shared" si="118"/>
        <v>0</v>
      </c>
      <c r="AH377" s="63" t="s">
        <v>3899</v>
      </c>
      <c r="AI377" s="131"/>
      <c r="AK377" s="66">
        <f t="shared" si="119"/>
        <v>0</v>
      </c>
      <c r="AL377" s="174">
        <f t="shared" si="120"/>
        <v>0</v>
      </c>
      <c r="AM377" s="346">
        <f>RTD("money.excel",,$G377,"PredictVolume")</f>
        <v>0</v>
      </c>
      <c r="AN377" s="272">
        <f>RTD("money.excel",,$G377,"CumulativeVolume")</f>
        <v>0</v>
      </c>
      <c r="AO377" s="284"/>
    </row>
    <row r="378" spans="1:41">
      <c r="A378" s="151" t="s">
        <v>4875</v>
      </c>
      <c r="B378" s="85">
        <v>-72</v>
      </c>
      <c r="C378" s="85">
        <v>-77</v>
      </c>
      <c r="D378" s="84">
        <v>431</v>
      </c>
      <c r="E378" s="84">
        <v>3</v>
      </c>
      <c r="F378" s="77">
        <v>-676.48</v>
      </c>
      <c r="G378" s="85">
        <v>6446</v>
      </c>
      <c r="H378" s="4" t="s">
        <v>560</v>
      </c>
      <c r="I378" s="17" t="s">
        <v>1144</v>
      </c>
      <c r="J378" s="371">
        <v>47.75</v>
      </c>
      <c r="K378" s="371">
        <v>10.06</v>
      </c>
      <c r="M378" s="371">
        <v>18.55</v>
      </c>
      <c r="N378" s="365">
        <f t="shared" si="121"/>
        <v>76.36</v>
      </c>
      <c r="O378" s="343">
        <f t="shared" si="114"/>
        <v>66.3</v>
      </c>
      <c r="P378" s="195">
        <v>9</v>
      </c>
      <c r="Q378" s="326">
        <v>9</v>
      </c>
      <c r="R378" s="111">
        <v>4</v>
      </c>
      <c r="S378" s="51">
        <v>16</v>
      </c>
      <c r="T378" s="339">
        <f t="shared" si="115"/>
        <v>38</v>
      </c>
      <c r="U378" s="329" t="s">
        <v>6539</v>
      </c>
      <c r="W378" s="35">
        <v>0</v>
      </c>
      <c r="X378" s="100">
        <v>-10.79</v>
      </c>
      <c r="Y378" s="37" t="str">
        <f>RTD("money.excel",,"6446","Price")</f>
        <v>無資料</v>
      </c>
      <c r="Z378" s="69"/>
      <c r="AA378" s="16" t="e">
        <f t="shared" si="116"/>
        <v>#VALUE!</v>
      </c>
      <c r="AB378" s="3" t="e">
        <f t="shared" si="117"/>
        <v>#VALUE!</v>
      </c>
      <c r="AC378" s="177" t="s">
        <v>2648</v>
      </c>
      <c r="AD378" s="17" t="s">
        <v>1144</v>
      </c>
      <c r="AG378" s="34">
        <f t="shared" si="118"/>
        <v>0</v>
      </c>
      <c r="AH378" s="44" t="s">
        <v>3639</v>
      </c>
      <c r="AI378" s="131"/>
      <c r="AK378" s="66">
        <f t="shared" si="119"/>
        <v>0</v>
      </c>
      <c r="AL378" s="174">
        <f t="shared" si="120"/>
        <v>0</v>
      </c>
      <c r="AM378" s="346">
        <f>RTD("money.excel",,$G378,"PredictVolume")</f>
        <v>0</v>
      </c>
      <c r="AN378" s="272">
        <f>RTD("money.excel",,$G378,"CumulativeVolume")</f>
        <v>0</v>
      </c>
      <c r="AO378" s="284"/>
    </row>
    <row r="379" spans="1:41">
      <c r="A379" s="151" t="s">
        <v>2624</v>
      </c>
      <c r="B379" s="85">
        <v>-19</v>
      </c>
      <c r="C379" s="85">
        <v>-21</v>
      </c>
      <c r="D379" s="84">
        <v>1</v>
      </c>
      <c r="E379" s="84">
        <v>282</v>
      </c>
      <c r="F379" s="77">
        <v>-854.73</v>
      </c>
      <c r="G379" s="85">
        <v>6461</v>
      </c>
      <c r="H379" s="4" t="s">
        <v>560</v>
      </c>
      <c r="I379" s="17" t="s">
        <v>1145</v>
      </c>
      <c r="J379" s="371">
        <v>50.63</v>
      </c>
      <c r="K379" s="371">
        <v>0.75</v>
      </c>
      <c r="L379" s="77">
        <v>4.22</v>
      </c>
      <c r="M379" s="371">
        <v>48.82</v>
      </c>
      <c r="N379" s="365">
        <f>K379+J379+L379+M379</f>
        <v>104.42</v>
      </c>
      <c r="O379" s="343">
        <f t="shared" si="114"/>
        <v>99.45</v>
      </c>
      <c r="P379" s="195">
        <v>0</v>
      </c>
      <c r="Q379" s="326">
        <v>2</v>
      </c>
      <c r="R379" s="111">
        <v>4</v>
      </c>
      <c r="S379" s="51">
        <v>5</v>
      </c>
      <c r="T379" s="339">
        <f t="shared" si="115"/>
        <v>11</v>
      </c>
      <c r="V379" s="371">
        <v>7.0000000000000007E-2</v>
      </c>
      <c r="W379" s="35">
        <v>0</v>
      </c>
      <c r="X379" s="59">
        <v>-2.86</v>
      </c>
      <c r="Y379" s="37" t="str">
        <f>RTD("money.excel",,"6461","Price")</f>
        <v>無資料</v>
      </c>
      <c r="Z379" s="69"/>
      <c r="AA379" s="16" t="e">
        <f t="shared" si="116"/>
        <v>#VALUE!</v>
      </c>
      <c r="AB379" s="3" t="e">
        <f t="shared" si="117"/>
        <v>#VALUE!</v>
      </c>
      <c r="AD379" s="17" t="s">
        <v>1145</v>
      </c>
      <c r="AG379" s="34">
        <f t="shared" si="118"/>
        <v>0</v>
      </c>
      <c r="AH379" s="44" t="s">
        <v>3900</v>
      </c>
      <c r="AI379" s="131"/>
      <c r="AK379" s="66">
        <f t="shared" si="119"/>
        <v>0</v>
      </c>
      <c r="AL379" s="174">
        <f t="shared" si="120"/>
        <v>0</v>
      </c>
      <c r="AM379" s="346">
        <f>RTD("money.excel",,$G379,"PredictVolume")</f>
        <v>0</v>
      </c>
      <c r="AN379" s="272">
        <f>RTD("money.excel",,$G379,"CumulativeVolume")</f>
        <v>0</v>
      </c>
      <c r="AO379" s="284"/>
    </row>
    <row r="380" spans="1:41">
      <c r="A380" s="151" t="s">
        <v>2570</v>
      </c>
      <c r="B380" s="84">
        <v>42</v>
      </c>
      <c r="C380" s="84">
        <v>62</v>
      </c>
      <c r="D380" s="84">
        <v>12</v>
      </c>
      <c r="E380" s="84">
        <v>33</v>
      </c>
      <c r="F380" s="7">
        <v>2.52</v>
      </c>
      <c r="G380" s="85">
        <v>6469</v>
      </c>
      <c r="H380" s="4" t="s">
        <v>560</v>
      </c>
      <c r="I380" s="17" t="s">
        <v>1146</v>
      </c>
      <c r="J380" s="371">
        <v>51.63</v>
      </c>
      <c r="K380" s="371">
        <v>0.51</v>
      </c>
      <c r="L380" s="77">
        <v>11.35</v>
      </c>
      <c r="N380" s="365">
        <f t="shared" ref="N380:N413" si="122">J380+K380+L380+M380</f>
        <v>63.49</v>
      </c>
      <c r="O380" s="343">
        <f t="shared" si="114"/>
        <v>51.63</v>
      </c>
      <c r="P380" s="195" t="s">
        <v>5554</v>
      </c>
      <c r="Q380" s="326">
        <f>IFERROR(VLOOKUP($G380,主力整理!$A$2:$G$2301,6,0),"0")</f>
        <v>1</v>
      </c>
      <c r="T380" s="339">
        <f t="shared" si="115"/>
        <v>1</v>
      </c>
      <c r="V380" s="371">
        <v>0.06</v>
      </c>
      <c r="W380" s="69">
        <v>4</v>
      </c>
      <c r="X380" s="100">
        <v>4.09</v>
      </c>
      <c r="Y380" s="37" t="str">
        <f>RTD("money.excel",,"6469","Price")</f>
        <v>無資料</v>
      </c>
      <c r="Z380" s="69"/>
      <c r="AA380" s="16" t="e">
        <f t="shared" si="116"/>
        <v>#VALUE!</v>
      </c>
      <c r="AB380" s="3" t="e">
        <f t="shared" si="117"/>
        <v>#VALUE!</v>
      </c>
      <c r="AC380" s="177" t="s">
        <v>2929</v>
      </c>
      <c r="AD380" s="17" t="s">
        <v>1146</v>
      </c>
      <c r="AG380" s="34">
        <f t="shared" si="118"/>
        <v>0</v>
      </c>
      <c r="AH380" s="44" t="s">
        <v>3728</v>
      </c>
      <c r="AI380" s="131"/>
      <c r="AK380" s="66">
        <f t="shared" si="119"/>
        <v>0</v>
      </c>
      <c r="AL380" s="174">
        <f t="shared" si="120"/>
        <v>0</v>
      </c>
      <c r="AM380" s="346">
        <f>RTD("money.excel",,$G380,"PredictVolume")</f>
        <v>0</v>
      </c>
      <c r="AN380" s="272">
        <f>RTD("money.excel",,$G380,"CumulativeVolume")</f>
        <v>0</v>
      </c>
      <c r="AO380" s="284"/>
    </row>
    <row r="381" spans="1:41">
      <c r="A381" s="135" t="s">
        <v>3634</v>
      </c>
      <c r="B381" s="84">
        <v>437</v>
      </c>
      <c r="C381" s="84">
        <v>524</v>
      </c>
      <c r="D381" s="84">
        <v>19</v>
      </c>
      <c r="E381" s="84">
        <v>206</v>
      </c>
      <c r="F381" s="59">
        <v>25.1</v>
      </c>
      <c r="G381" s="85">
        <v>6472</v>
      </c>
      <c r="H381" s="4" t="s">
        <v>560</v>
      </c>
      <c r="I381" s="17" t="s">
        <v>1147</v>
      </c>
      <c r="J381" s="371">
        <v>45.08</v>
      </c>
      <c r="K381" s="371">
        <v>8.89</v>
      </c>
      <c r="L381" s="77">
        <v>10.47</v>
      </c>
      <c r="N381" s="365">
        <f t="shared" si="122"/>
        <v>64.44</v>
      </c>
      <c r="O381" s="343">
        <f t="shared" si="114"/>
        <v>45.08</v>
      </c>
      <c r="P381" s="195">
        <v>3</v>
      </c>
      <c r="Q381" s="326" t="str">
        <f>IFERROR(VLOOKUP($G381,主力整理!$A$2:$G$2301,6,0),"0")</f>
        <v>0</v>
      </c>
      <c r="R381" s="111">
        <v>11</v>
      </c>
      <c r="S381" s="51">
        <v>1</v>
      </c>
      <c r="T381" s="339">
        <f t="shared" si="115"/>
        <v>15</v>
      </c>
      <c r="V381" s="371">
        <v>10.029999999999999</v>
      </c>
      <c r="W381" s="69">
        <v>4.47</v>
      </c>
      <c r="X381" s="100">
        <v>18.91</v>
      </c>
      <c r="Y381" s="37" t="str">
        <f>RTD("money.excel",,"6472","Price")</f>
        <v>無資料</v>
      </c>
      <c r="Z381" s="69"/>
      <c r="AA381" s="16" t="e">
        <f t="shared" si="116"/>
        <v>#VALUE!</v>
      </c>
      <c r="AB381" s="3" t="e">
        <f t="shared" si="117"/>
        <v>#VALUE!</v>
      </c>
      <c r="AC381" s="177" t="s">
        <v>2929</v>
      </c>
      <c r="AD381" s="17" t="s">
        <v>1147</v>
      </c>
      <c r="AG381" s="34">
        <f t="shared" si="118"/>
        <v>0</v>
      </c>
      <c r="AH381" s="63" t="s">
        <v>4396</v>
      </c>
      <c r="AI381" s="131"/>
      <c r="AK381" s="66">
        <f t="shared" si="119"/>
        <v>0</v>
      </c>
      <c r="AL381" s="174">
        <f t="shared" si="120"/>
        <v>0</v>
      </c>
      <c r="AM381" s="346">
        <f>RTD("money.excel",,$G381,"PredictVolume")</f>
        <v>0</v>
      </c>
      <c r="AN381" s="272">
        <f>RTD("money.excel",,$G381,"CumulativeVolume")</f>
        <v>0</v>
      </c>
      <c r="AO381" s="284"/>
    </row>
    <row r="382" spans="1:41">
      <c r="A382" s="135" t="s">
        <v>3270</v>
      </c>
      <c r="B382" s="84">
        <v>102</v>
      </c>
      <c r="C382" s="84">
        <v>102</v>
      </c>
      <c r="D382" s="84">
        <v>11</v>
      </c>
      <c r="E382" s="84">
        <v>8</v>
      </c>
      <c r="F382" s="59">
        <v>25.41</v>
      </c>
      <c r="G382" s="85">
        <v>6491</v>
      </c>
      <c r="H382" s="53" t="s">
        <v>560</v>
      </c>
      <c r="I382" s="23" t="s">
        <v>2572</v>
      </c>
      <c r="J382" s="371">
        <v>56.47</v>
      </c>
      <c r="K382" s="371">
        <v>16.690000000000001</v>
      </c>
      <c r="L382" s="371">
        <v>6.58</v>
      </c>
      <c r="M382" s="371">
        <v>43.22</v>
      </c>
      <c r="N382" s="365">
        <f t="shared" si="122"/>
        <v>122.96</v>
      </c>
      <c r="O382" s="369">
        <f t="shared" si="114"/>
        <v>99.69</v>
      </c>
      <c r="P382" s="195">
        <v>10</v>
      </c>
      <c r="Q382" s="326">
        <v>9</v>
      </c>
      <c r="R382" s="31">
        <v>23</v>
      </c>
      <c r="S382" s="51">
        <v>46</v>
      </c>
      <c r="T382" s="339">
        <f t="shared" si="115"/>
        <v>88</v>
      </c>
      <c r="U382" s="329" t="s">
        <v>6541</v>
      </c>
      <c r="V382" s="371">
        <v>2.08</v>
      </c>
      <c r="W382" s="69">
        <v>5</v>
      </c>
      <c r="X382" s="59">
        <v>16.61</v>
      </c>
      <c r="Y382" s="37" t="str">
        <f>RTD("money.excel",,"6491","Price")</f>
        <v>無資料</v>
      </c>
      <c r="Z382" s="69"/>
      <c r="AA382" s="16" t="e">
        <f t="shared" si="116"/>
        <v>#VALUE!</v>
      </c>
      <c r="AB382" s="3" t="e">
        <f t="shared" si="117"/>
        <v>#VALUE!</v>
      </c>
      <c r="AC382" s="177" t="s">
        <v>2929</v>
      </c>
      <c r="AD382" s="23" t="s">
        <v>2572</v>
      </c>
      <c r="AG382" s="34">
        <f t="shared" si="118"/>
        <v>0</v>
      </c>
      <c r="AH382" s="126" t="s">
        <v>4964</v>
      </c>
      <c r="AI382" s="131"/>
      <c r="AK382" s="66">
        <f t="shared" si="119"/>
        <v>0</v>
      </c>
      <c r="AL382" s="174">
        <f t="shared" si="120"/>
        <v>0</v>
      </c>
      <c r="AM382" s="346">
        <f>RTD("money.excel",,$G382,"PredictVolume")</f>
        <v>0</v>
      </c>
      <c r="AN382" s="272">
        <f>RTD("money.excel",,$G382,"CumulativeVolume")</f>
        <v>0</v>
      </c>
      <c r="AO382" s="284"/>
    </row>
    <row r="383" spans="1:41">
      <c r="A383" s="151" t="s">
        <v>3138</v>
      </c>
      <c r="B383" s="84">
        <v>9</v>
      </c>
      <c r="C383" s="84">
        <v>8</v>
      </c>
      <c r="D383" s="84">
        <v>0</v>
      </c>
      <c r="E383" s="84">
        <v>0</v>
      </c>
      <c r="F383" s="245">
        <v>-58226</v>
      </c>
      <c r="G383" s="85">
        <v>6492</v>
      </c>
      <c r="H383" s="4" t="s">
        <v>560</v>
      </c>
      <c r="I383" s="17" t="s">
        <v>1148</v>
      </c>
      <c r="J383" s="371">
        <v>34.24</v>
      </c>
      <c r="K383" s="77">
        <v>13.06</v>
      </c>
      <c r="N383" s="365">
        <f t="shared" si="122"/>
        <v>47.300000000000004</v>
      </c>
      <c r="O383" s="343">
        <f t="shared" si="114"/>
        <v>34.24</v>
      </c>
      <c r="P383" s="195">
        <v>2</v>
      </c>
      <c r="Q383" s="326" t="str">
        <f>IFERROR(VLOOKUP($G383,主力整理!$A$2:$G$2301,6,0),"0")</f>
        <v>0</v>
      </c>
      <c r="T383" s="339">
        <f t="shared" si="115"/>
        <v>2</v>
      </c>
      <c r="W383" s="35">
        <v>0</v>
      </c>
      <c r="X383" s="100">
        <v>-4.6500000000000004</v>
      </c>
      <c r="Y383" s="37" t="str">
        <f>RTD("money.excel",,"6492","Price")</f>
        <v>無資料</v>
      </c>
      <c r="Z383" s="69"/>
      <c r="AA383" s="16" t="e">
        <f t="shared" si="116"/>
        <v>#VALUE!</v>
      </c>
      <c r="AB383" s="164" t="e">
        <f t="shared" si="117"/>
        <v>#VALUE!</v>
      </c>
      <c r="AC383" s="177" t="s">
        <v>2648</v>
      </c>
      <c r="AD383" s="17" t="s">
        <v>1148</v>
      </c>
      <c r="AG383" s="34">
        <f t="shared" si="118"/>
        <v>0</v>
      </c>
      <c r="AH383" s="44" t="s">
        <v>3649</v>
      </c>
      <c r="AI383" s="131"/>
      <c r="AK383" s="66">
        <f t="shared" si="119"/>
        <v>0</v>
      </c>
      <c r="AL383" s="174">
        <f t="shared" si="120"/>
        <v>0</v>
      </c>
      <c r="AM383" s="346">
        <f>RTD("money.excel",,$G383,"PredictVolume")</f>
        <v>0</v>
      </c>
      <c r="AN383" s="272">
        <f>RTD("money.excel",,$G383,"CumulativeVolume")</f>
        <v>0</v>
      </c>
      <c r="AO383" s="284"/>
    </row>
    <row r="384" spans="1:41">
      <c r="A384" s="151" t="s">
        <v>2619</v>
      </c>
      <c r="B384" s="85">
        <v>-69</v>
      </c>
      <c r="C384" s="85">
        <v>-70</v>
      </c>
      <c r="D384" s="85">
        <v>1</v>
      </c>
      <c r="E384" s="85">
        <v>-11</v>
      </c>
      <c r="F384" s="7">
        <v>5.59</v>
      </c>
      <c r="G384" s="85">
        <v>6496</v>
      </c>
      <c r="H384" s="4" t="s">
        <v>560</v>
      </c>
      <c r="I384" s="17" t="s">
        <v>1149</v>
      </c>
      <c r="J384" s="371">
        <v>64.61</v>
      </c>
      <c r="K384" s="371">
        <v>5.26</v>
      </c>
      <c r="L384" s="371">
        <v>3.56</v>
      </c>
      <c r="N384" s="365">
        <f t="shared" si="122"/>
        <v>73.430000000000007</v>
      </c>
      <c r="O384" s="343">
        <f t="shared" ref="O384:O413" si="123">J384+M384</f>
        <v>64.61</v>
      </c>
      <c r="P384" s="195" t="s">
        <v>5554</v>
      </c>
      <c r="Q384" s="326" t="str">
        <f>IFERROR(VLOOKUP($G384,主力整理!$A$2:$G$2301,6,0),"0")</f>
        <v>0</v>
      </c>
      <c r="T384" s="339">
        <f t="shared" ref="T384:T415" si="124">SUM(P384:S384)</f>
        <v>0</v>
      </c>
      <c r="V384" s="371">
        <v>51.59</v>
      </c>
      <c r="W384" s="35">
        <v>1</v>
      </c>
      <c r="X384" s="59">
        <v>0.76</v>
      </c>
      <c r="Y384" s="37" t="str">
        <f>RTD("money.excel",,"6496","Price")</f>
        <v>無資料</v>
      </c>
      <c r="Z384" s="69"/>
      <c r="AA384" s="16" t="e">
        <f t="shared" ref="AA384:AA415" si="125">Y384-Z384</f>
        <v>#VALUE!</v>
      </c>
      <c r="AB384" s="3" t="e">
        <f t="shared" ref="AB384:AB415" si="126">AA384/Z384</f>
        <v>#VALUE!</v>
      </c>
      <c r="AD384" s="17" t="s">
        <v>1149</v>
      </c>
      <c r="AG384" s="34">
        <f t="shared" ref="AG384:AG415" si="127">AF384-AE384</f>
        <v>0</v>
      </c>
      <c r="AH384" s="44" t="s">
        <v>3901</v>
      </c>
      <c r="AK384" s="66">
        <f t="shared" si="119"/>
        <v>0</v>
      </c>
      <c r="AL384" s="174">
        <f t="shared" si="120"/>
        <v>0</v>
      </c>
      <c r="AM384" s="346">
        <f>RTD("money.excel",,$G384,"PredictVolume")</f>
        <v>0</v>
      </c>
      <c r="AN384" s="272">
        <f>RTD("money.excel",,$G384,"CumulativeVolume")</f>
        <v>0</v>
      </c>
    </row>
    <row r="385" spans="1:41">
      <c r="A385" s="151" t="s">
        <v>3015</v>
      </c>
      <c r="B385" s="84">
        <v>14</v>
      </c>
      <c r="C385" s="84">
        <v>35</v>
      </c>
      <c r="D385" s="84">
        <v>23</v>
      </c>
      <c r="E385" s="84">
        <v>38</v>
      </c>
      <c r="F385" s="7">
        <v>-29.78</v>
      </c>
      <c r="G385" s="85">
        <v>6499</v>
      </c>
      <c r="H385" s="4" t="s">
        <v>560</v>
      </c>
      <c r="I385" s="17" t="s">
        <v>1150</v>
      </c>
      <c r="J385" s="77">
        <v>64.33</v>
      </c>
      <c r="K385" s="77">
        <v>12.62</v>
      </c>
      <c r="N385" s="365">
        <f t="shared" si="122"/>
        <v>76.95</v>
      </c>
      <c r="O385" s="343">
        <f t="shared" si="123"/>
        <v>64.33</v>
      </c>
      <c r="P385" s="195" t="s">
        <v>5554</v>
      </c>
      <c r="Q385" s="326" t="str">
        <f>IFERROR(VLOOKUP($G385,主力整理!$A$2:$G$2301,6,0),"0")</f>
        <v>0</v>
      </c>
      <c r="T385" s="339">
        <f t="shared" si="124"/>
        <v>0</v>
      </c>
      <c r="W385" s="35">
        <v>0</v>
      </c>
      <c r="X385" s="100">
        <v>-2.91</v>
      </c>
      <c r="Y385" s="37" t="str">
        <f>RTD("money.excel",,"6499","Price")</f>
        <v>無資料</v>
      </c>
      <c r="Z385" s="69"/>
      <c r="AA385" s="16" t="e">
        <f t="shared" si="125"/>
        <v>#VALUE!</v>
      </c>
      <c r="AB385" s="3" t="e">
        <f t="shared" si="126"/>
        <v>#VALUE!</v>
      </c>
      <c r="AC385" s="177" t="s">
        <v>2648</v>
      </c>
      <c r="AD385" s="17" t="s">
        <v>1150</v>
      </c>
      <c r="AG385" s="34">
        <f t="shared" si="127"/>
        <v>0</v>
      </c>
      <c r="AH385" s="63" t="s">
        <v>3247</v>
      </c>
      <c r="AI385" s="131"/>
      <c r="AK385" s="66">
        <f t="shared" si="119"/>
        <v>0</v>
      </c>
      <c r="AL385" s="174">
        <f t="shared" si="120"/>
        <v>0</v>
      </c>
      <c r="AM385" s="346">
        <f>RTD("money.excel",,$G385,"PredictVolume")</f>
        <v>0</v>
      </c>
      <c r="AN385" s="272">
        <f>RTD("money.excel",,$G385,"CumulativeVolume")</f>
        <v>0</v>
      </c>
      <c r="AO385" s="284"/>
    </row>
    <row r="386" spans="1:41">
      <c r="A386" s="135" t="s">
        <v>3401</v>
      </c>
      <c r="B386" s="84">
        <v>60</v>
      </c>
      <c r="C386" s="84">
        <v>61</v>
      </c>
      <c r="D386" s="85">
        <v>-4</v>
      </c>
      <c r="E386" s="84">
        <v>36</v>
      </c>
      <c r="F386" s="59">
        <v>35.53</v>
      </c>
      <c r="G386" s="85">
        <v>6523</v>
      </c>
      <c r="H386" s="4" t="s">
        <v>560</v>
      </c>
      <c r="I386" s="17" t="s">
        <v>1152</v>
      </c>
      <c r="J386" s="77">
        <v>64.75</v>
      </c>
      <c r="K386" s="371">
        <v>5.47</v>
      </c>
      <c r="L386" s="77">
        <v>14.23</v>
      </c>
      <c r="M386" s="371">
        <v>33.82</v>
      </c>
      <c r="N386" s="365">
        <f t="shared" si="122"/>
        <v>118.27000000000001</v>
      </c>
      <c r="O386" s="369">
        <f t="shared" si="123"/>
        <v>98.57</v>
      </c>
      <c r="P386" s="195">
        <v>1</v>
      </c>
      <c r="Q386" s="326">
        <v>2</v>
      </c>
      <c r="R386" s="111">
        <v>1</v>
      </c>
      <c r="S386" s="51">
        <v>5</v>
      </c>
      <c r="T386" s="339">
        <f t="shared" si="124"/>
        <v>9</v>
      </c>
      <c r="U386" s="329" t="s">
        <v>6538</v>
      </c>
      <c r="V386" s="371">
        <v>0.24</v>
      </c>
      <c r="W386" s="69">
        <v>5.22</v>
      </c>
      <c r="X386" s="59">
        <v>16.46</v>
      </c>
      <c r="Y386" s="37" t="str">
        <f>RTD("money.excel",,"6523","Price")</f>
        <v>無資料</v>
      </c>
      <c r="Z386" s="69"/>
      <c r="AA386" s="16" t="e">
        <f t="shared" si="125"/>
        <v>#VALUE!</v>
      </c>
      <c r="AB386" s="3" t="e">
        <f t="shared" si="126"/>
        <v>#VALUE!</v>
      </c>
      <c r="AC386" s="177" t="s">
        <v>2929</v>
      </c>
      <c r="AD386" s="17" t="s">
        <v>1152</v>
      </c>
      <c r="AG386" s="34">
        <f t="shared" si="127"/>
        <v>0</v>
      </c>
      <c r="AH386" s="63" t="s">
        <v>3902</v>
      </c>
      <c r="AI386" s="131"/>
      <c r="AK386" s="66">
        <f t="shared" si="119"/>
        <v>0</v>
      </c>
      <c r="AL386" s="174">
        <f t="shared" si="120"/>
        <v>0</v>
      </c>
      <c r="AM386" s="346">
        <f>RTD("money.excel",,$G386,"PredictVolume")</f>
        <v>0</v>
      </c>
      <c r="AN386" s="272">
        <f>RTD("money.excel",,$G386,"CumulativeVolume")</f>
        <v>0</v>
      </c>
      <c r="AO386" s="284"/>
    </row>
    <row r="387" spans="1:41">
      <c r="A387" s="135" t="s">
        <v>2751</v>
      </c>
      <c r="B387" s="96">
        <v>54</v>
      </c>
      <c r="C387" s="96">
        <v>60</v>
      </c>
      <c r="D387" s="96">
        <v>6</v>
      </c>
      <c r="E387" s="96">
        <v>-15</v>
      </c>
      <c r="F387" s="59">
        <v>17.52</v>
      </c>
      <c r="G387" s="85">
        <v>6527</v>
      </c>
      <c r="H387" s="4" t="s">
        <v>560</v>
      </c>
      <c r="I387" s="17" t="s">
        <v>2752</v>
      </c>
      <c r="J387" s="77">
        <v>44.13</v>
      </c>
      <c r="K387" s="77">
        <v>1.26</v>
      </c>
      <c r="N387" s="365">
        <f t="shared" si="122"/>
        <v>45.39</v>
      </c>
      <c r="O387" s="343">
        <f t="shared" si="123"/>
        <v>44.13</v>
      </c>
      <c r="P387" s="195" t="s">
        <v>5554</v>
      </c>
      <c r="Q387" s="326" t="str">
        <f>IFERROR(VLOOKUP($G387,主力整理!$A$2:$G$2301,6,0),"0")</f>
        <v>0</v>
      </c>
      <c r="T387" s="339">
        <f t="shared" si="124"/>
        <v>0</v>
      </c>
      <c r="W387" s="35">
        <v>1.4</v>
      </c>
      <c r="X387" s="100">
        <v>2.34</v>
      </c>
      <c r="Y387" s="14" t="str">
        <f>RTD("money.excel",,"6527","Price")</f>
        <v>無資料</v>
      </c>
      <c r="Z387" s="69"/>
      <c r="AA387" s="16" t="e">
        <f t="shared" si="125"/>
        <v>#VALUE!</v>
      </c>
      <c r="AB387" s="3" t="e">
        <f t="shared" si="126"/>
        <v>#VALUE!</v>
      </c>
      <c r="AD387" s="17" t="s">
        <v>2752</v>
      </c>
      <c r="AG387" s="34">
        <f t="shared" si="127"/>
        <v>0</v>
      </c>
      <c r="AH387" s="63" t="s">
        <v>3903</v>
      </c>
      <c r="AI387" s="131"/>
      <c r="AK387" s="66">
        <f t="shared" si="119"/>
        <v>0</v>
      </c>
      <c r="AL387" s="174">
        <f t="shared" si="120"/>
        <v>0</v>
      </c>
      <c r="AM387" s="346">
        <f>RTD("money.excel",,$G387,"PredictVolume")</f>
        <v>0</v>
      </c>
      <c r="AN387" s="272">
        <f>RTD("money.excel",,$G387,"CumulativeVolume")</f>
        <v>0</v>
      </c>
      <c r="AO387" s="284"/>
    </row>
    <row r="388" spans="1:41">
      <c r="A388" s="151" t="s">
        <v>2923</v>
      </c>
      <c r="B388" s="84">
        <v>278</v>
      </c>
      <c r="C388" s="85">
        <v>-4</v>
      </c>
      <c r="D388" s="98">
        <v>2476</v>
      </c>
      <c r="E388" s="98">
        <v>4818</v>
      </c>
      <c r="F388" s="48">
        <v>-3843</v>
      </c>
      <c r="G388" s="85">
        <v>6535</v>
      </c>
      <c r="H388" s="4" t="s">
        <v>560</v>
      </c>
      <c r="I388" s="17" t="s">
        <v>1153</v>
      </c>
      <c r="J388" s="371">
        <v>54.7</v>
      </c>
      <c r="K388" s="371">
        <v>1.05</v>
      </c>
      <c r="L388" s="371"/>
      <c r="N388" s="365">
        <f t="shared" si="122"/>
        <v>55.75</v>
      </c>
      <c r="O388" s="343">
        <f t="shared" si="123"/>
        <v>54.7</v>
      </c>
      <c r="P388" s="195">
        <v>0</v>
      </c>
      <c r="Q388" s="326">
        <v>2</v>
      </c>
      <c r="R388" s="111">
        <v>0</v>
      </c>
      <c r="S388" s="51">
        <v>0</v>
      </c>
      <c r="T388" s="339">
        <f t="shared" si="124"/>
        <v>2</v>
      </c>
      <c r="W388" s="35">
        <v>0</v>
      </c>
      <c r="X388" s="59">
        <v>2.38</v>
      </c>
      <c r="Y388" s="37" t="str">
        <f>RTD("money.excel",,"6535","Price")</f>
        <v>無資料</v>
      </c>
      <c r="Z388" s="69"/>
      <c r="AA388" s="16" t="e">
        <f t="shared" si="125"/>
        <v>#VALUE!</v>
      </c>
      <c r="AB388" s="3" t="e">
        <f t="shared" si="126"/>
        <v>#VALUE!</v>
      </c>
      <c r="AC388" s="177" t="s">
        <v>6559</v>
      </c>
      <c r="AD388" s="17" t="s">
        <v>1153</v>
      </c>
      <c r="AG388" s="34">
        <f t="shared" si="127"/>
        <v>0</v>
      </c>
      <c r="AH388" s="44" t="s">
        <v>3431</v>
      </c>
      <c r="AI388" s="131"/>
      <c r="AK388" s="66">
        <f t="shared" si="119"/>
        <v>0</v>
      </c>
      <c r="AL388" s="174">
        <f t="shared" si="120"/>
        <v>0</v>
      </c>
      <c r="AM388" s="346">
        <f>RTD("money.excel",,$G388,"PredictVolume")</f>
        <v>0</v>
      </c>
      <c r="AN388" s="272">
        <f>RTD("money.excel",,$G388,"CumulativeVolume")</f>
        <v>0</v>
      </c>
      <c r="AO388" s="284"/>
    </row>
    <row r="389" spans="1:41">
      <c r="A389" s="151" t="s">
        <v>4883</v>
      </c>
      <c r="B389" s="84">
        <v>32</v>
      </c>
      <c r="C389" s="84">
        <v>26</v>
      </c>
      <c r="D389" s="85">
        <v>-100</v>
      </c>
      <c r="E389" s="84"/>
      <c r="F389" s="245"/>
      <c r="G389" s="85">
        <v>6541</v>
      </c>
      <c r="H389" s="4" t="s">
        <v>560</v>
      </c>
      <c r="I389" s="23" t="s">
        <v>1184</v>
      </c>
      <c r="J389" s="371">
        <v>67.81</v>
      </c>
      <c r="K389" s="371">
        <v>32.590000000000003</v>
      </c>
      <c r="L389" s="371">
        <v>0</v>
      </c>
      <c r="N389" s="365">
        <f t="shared" si="122"/>
        <v>100.4</v>
      </c>
      <c r="O389" s="343">
        <f t="shared" si="123"/>
        <v>67.81</v>
      </c>
      <c r="P389" s="195">
        <v>4</v>
      </c>
      <c r="Q389" s="326" t="str">
        <f>IFERROR(VLOOKUP($G389,主力整理!$A$2:$G$2301,6,0),"0")</f>
        <v>0</v>
      </c>
      <c r="R389" s="111">
        <v>16</v>
      </c>
      <c r="S389" s="51">
        <v>0</v>
      </c>
      <c r="T389" s="339">
        <f t="shared" si="124"/>
        <v>20</v>
      </c>
      <c r="V389" s="371">
        <v>0</v>
      </c>
      <c r="W389" s="35">
        <v>0</v>
      </c>
      <c r="X389" s="59">
        <v>-5.95</v>
      </c>
      <c r="Y389" s="37" t="str">
        <f>RTD("money.excel",,"6541","Price")</f>
        <v>無資料</v>
      </c>
      <c r="Z389" s="69"/>
      <c r="AA389" s="16" t="e">
        <f t="shared" si="125"/>
        <v>#VALUE!</v>
      </c>
      <c r="AB389" s="3" t="e">
        <f t="shared" si="126"/>
        <v>#VALUE!</v>
      </c>
      <c r="AC389" s="177" t="s">
        <v>2648</v>
      </c>
      <c r="AD389" s="23" t="s">
        <v>1184</v>
      </c>
      <c r="AG389" s="34">
        <f t="shared" si="127"/>
        <v>0</v>
      </c>
      <c r="AH389" s="44" t="s">
        <v>3395</v>
      </c>
      <c r="AI389" s="131"/>
      <c r="AK389" s="66">
        <f t="shared" si="119"/>
        <v>0</v>
      </c>
      <c r="AL389" s="174">
        <f t="shared" si="120"/>
        <v>0</v>
      </c>
      <c r="AM389" s="346">
        <f>RTD("money.excel",,$G389,"PredictVolume")</f>
        <v>0</v>
      </c>
      <c r="AN389" s="272">
        <f>RTD("money.excel",,$G389,"CumulativeVolume")</f>
        <v>0</v>
      </c>
      <c r="AO389" s="284"/>
    </row>
    <row r="390" spans="1:41">
      <c r="A390" s="151" t="s">
        <v>3094</v>
      </c>
      <c r="B390" s="85">
        <v>-19</v>
      </c>
      <c r="C390" s="85">
        <v>-122</v>
      </c>
      <c r="D390" s="85"/>
      <c r="E390" s="85">
        <v>-100</v>
      </c>
      <c r="F390" s="48">
        <v>-9009</v>
      </c>
      <c r="G390" s="85">
        <v>6547</v>
      </c>
      <c r="H390" s="4" t="s">
        <v>560</v>
      </c>
      <c r="I390" s="17" t="s">
        <v>1753</v>
      </c>
      <c r="J390" s="371">
        <v>31.51</v>
      </c>
      <c r="K390" s="77">
        <v>6.76</v>
      </c>
      <c r="N390" s="365">
        <f t="shared" si="122"/>
        <v>38.270000000000003</v>
      </c>
      <c r="O390" s="343">
        <f t="shared" si="123"/>
        <v>31.51</v>
      </c>
      <c r="P390" s="195">
        <v>14</v>
      </c>
      <c r="Q390" s="326">
        <f>IFERROR(VLOOKUP($G390,主力整理!$A$2:$G$2301,6,0),"0")</f>
        <v>1</v>
      </c>
      <c r="R390" s="111">
        <v>36</v>
      </c>
      <c r="T390" s="339">
        <f t="shared" si="124"/>
        <v>51</v>
      </c>
      <c r="W390" s="35">
        <v>0</v>
      </c>
      <c r="X390" s="100">
        <v>-3.63</v>
      </c>
      <c r="Y390" s="37" t="str">
        <f>RTD("money.excel",,"6547","Price")</f>
        <v>無資料</v>
      </c>
      <c r="Z390" s="69"/>
      <c r="AA390" s="16" t="e">
        <f t="shared" si="125"/>
        <v>#VALUE!</v>
      </c>
      <c r="AB390" s="3" t="e">
        <f t="shared" si="126"/>
        <v>#VALUE!</v>
      </c>
      <c r="AC390" s="177" t="s">
        <v>2648</v>
      </c>
      <c r="AD390" s="17" t="s">
        <v>1753</v>
      </c>
      <c r="AG390" s="34">
        <f t="shared" si="127"/>
        <v>0</v>
      </c>
      <c r="AH390" s="44" t="s">
        <v>3345</v>
      </c>
      <c r="AI390" s="131"/>
      <c r="AK390" s="66">
        <f t="shared" si="119"/>
        <v>0</v>
      </c>
      <c r="AL390" s="174">
        <f t="shared" si="120"/>
        <v>0</v>
      </c>
      <c r="AM390" s="346">
        <f>RTD("money.excel",,$G390,"PredictVolume")</f>
        <v>0</v>
      </c>
      <c r="AN390" s="272">
        <f>RTD("money.excel",,$G390,"CumulativeVolume")</f>
        <v>0</v>
      </c>
      <c r="AO390" s="284"/>
    </row>
    <row r="391" spans="1:41">
      <c r="A391" s="151" t="s">
        <v>4703</v>
      </c>
      <c r="B391" s="85">
        <v>-46</v>
      </c>
      <c r="C391" s="85">
        <v>-92</v>
      </c>
      <c r="D391" s="84">
        <v>32</v>
      </c>
      <c r="E391" s="85">
        <v>-13</v>
      </c>
      <c r="F391" s="7">
        <v>0.78</v>
      </c>
      <c r="G391" s="85">
        <v>6569</v>
      </c>
      <c r="H391" s="4" t="s">
        <v>560</v>
      </c>
      <c r="I391" s="17" t="s">
        <v>1154</v>
      </c>
      <c r="J391" s="77">
        <v>66.900000000000006</v>
      </c>
      <c r="K391" s="371">
        <v>2.63</v>
      </c>
      <c r="N391" s="365">
        <f t="shared" si="122"/>
        <v>69.53</v>
      </c>
      <c r="O391" s="343">
        <f t="shared" si="123"/>
        <v>66.900000000000006</v>
      </c>
      <c r="P391" s="195">
        <v>0</v>
      </c>
      <c r="Q391" s="326" t="str">
        <f>IFERROR(VLOOKUP($G391,主力整理!$A$2:$G$2301,6,0),"0")</f>
        <v>0</v>
      </c>
      <c r="R391" s="111">
        <v>1</v>
      </c>
      <c r="S391" s="51">
        <v>0</v>
      </c>
      <c r="T391" s="339">
        <f t="shared" si="124"/>
        <v>1</v>
      </c>
      <c r="W391" s="69">
        <v>6.5</v>
      </c>
      <c r="X391" s="59">
        <v>4.33</v>
      </c>
      <c r="Y391" s="37" t="str">
        <f>RTD("money.excel",,"6569","Price")</f>
        <v>無資料</v>
      </c>
      <c r="Z391" s="69"/>
      <c r="AA391" s="16" t="e">
        <f t="shared" si="125"/>
        <v>#VALUE!</v>
      </c>
      <c r="AB391" s="3" t="e">
        <f t="shared" si="126"/>
        <v>#VALUE!</v>
      </c>
      <c r="AC391" s="177" t="s">
        <v>2929</v>
      </c>
      <c r="AD391" s="17" t="s">
        <v>1154</v>
      </c>
      <c r="AG391" s="34">
        <f t="shared" si="127"/>
        <v>0</v>
      </c>
      <c r="AH391" s="44" t="s">
        <v>2173</v>
      </c>
      <c r="AI391" s="131"/>
      <c r="AK391" s="66">
        <f t="shared" si="119"/>
        <v>0</v>
      </c>
      <c r="AL391" s="174">
        <f t="shared" si="120"/>
        <v>0</v>
      </c>
      <c r="AM391" s="346">
        <f>RTD("money.excel",,$G391,"PredictVolume")</f>
        <v>0</v>
      </c>
      <c r="AN391" s="272">
        <f>RTD("money.excel",,$G391,"CumulativeVolume")</f>
        <v>0</v>
      </c>
      <c r="AO391" s="284"/>
    </row>
    <row r="392" spans="1:41">
      <c r="A392" s="151" t="s">
        <v>4714</v>
      </c>
      <c r="B392" s="96">
        <v>-39</v>
      </c>
      <c r="C392" s="96">
        <v>-39</v>
      </c>
      <c r="D392" s="96">
        <v>-2</v>
      </c>
      <c r="E392" s="96">
        <v>7</v>
      </c>
      <c r="F392" s="7">
        <v>7.88</v>
      </c>
      <c r="G392" s="85">
        <v>6574</v>
      </c>
      <c r="H392" s="4" t="s">
        <v>560</v>
      </c>
      <c r="I392" s="17" t="s">
        <v>1155</v>
      </c>
      <c r="J392" s="77">
        <v>83.46</v>
      </c>
      <c r="K392" s="77">
        <v>0</v>
      </c>
      <c r="N392" s="365">
        <f t="shared" si="122"/>
        <v>83.46</v>
      </c>
      <c r="O392" s="343">
        <f t="shared" si="123"/>
        <v>83.46</v>
      </c>
      <c r="P392" s="195" t="s">
        <v>5554</v>
      </c>
      <c r="Q392" s="326" t="str">
        <f>IFERROR(VLOOKUP($G392,主力整理!$A$2:$G$2301,6,0),"0")</f>
        <v>0</v>
      </c>
      <c r="T392" s="339">
        <f t="shared" si="124"/>
        <v>0</v>
      </c>
      <c r="V392" s="371">
        <v>64.39</v>
      </c>
      <c r="W392" s="35">
        <v>1.38</v>
      </c>
      <c r="X392" s="59">
        <v>1.91</v>
      </c>
      <c r="Y392" s="37" t="str">
        <f>RTD("money.excel",,"6574","Price")</f>
        <v>無資料</v>
      </c>
      <c r="Z392" s="69"/>
      <c r="AA392" s="16" t="e">
        <f t="shared" si="125"/>
        <v>#VALUE!</v>
      </c>
      <c r="AB392" s="3" t="e">
        <f t="shared" si="126"/>
        <v>#VALUE!</v>
      </c>
      <c r="AD392" s="17" t="s">
        <v>1155</v>
      </c>
      <c r="AG392" s="34">
        <f t="shared" si="127"/>
        <v>0</v>
      </c>
      <c r="AH392" s="44" t="s">
        <v>3904</v>
      </c>
      <c r="AI392" s="131"/>
      <c r="AK392" s="66">
        <f t="shared" si="119"/>
        <v>0</v>
      </c>
      <c r="AL392" s="174">
        <f t="shared" si="120"/>
        <v>0</v>
      </c>
      <c r="AM392" s="346">
        <f>RTD("money.excel",,$G392,"PredictVolume")</f>
        <v>0</v>
      </c>
      <c r="AN392" s="272">
        <f>RTD("money.excel",,$G392,"CumulativeVolume")</f>
        <v>0</v>
      </c>
      <c r="AO392" s="284"/>
    </row>
    <row r="393" spans="1:41">
      <c r="A393" s="151" t="s">
        <v>2764</v>
      </c>
      <c r="B393" s="85">
        <v>-4</v>
      </c>
      <c r="C393" s="85">
        <v>-3</v>
      </c>
      <c r="D393" s="246">
        <v>50117</v>
      </c>
      <c r="E393" s="84">
        <v>169</v>
      </c>
      <c r="F393" s="77">
        <v>-210.38</v>
      </c>
      <c r="G393" s="85">
        <v>6576</v>
      </c>
      <c r="H393" s="4" t="s">
        <v>560</v>
      </c>
      <c r="I393" s="17" t="s">
        <v>1156</v>
      </c>
      <c r="J393" s="77">
        <v>35.49</v>
      </c>
      <c r="K393" s="77">
        <v>32.5</v>
      </c>
      <c r="N393" s="365">
        <f t="shared" si="122"/>
        <v>67.990000000000009</v>
      </c>
      <c r="O393" s="343">
        <f t="shared" si="123"/>
        <v>35.49</v>
      </c>
      <c r="P393" s="195">
        <v>2</v>
      </c>
      <c r="Q393" s="326" t="str">
        <f>IFERROR(VLOOKUP($G393,主力整理!$A$2:$G$2301,6,0),"0")</f>
        <v>0</v>
      </c>
      <c r="T393" s="339">
        <f t="shared" si="124"/>
        <v>2</v>
      </c>
      <c r="W393" s="35">
        <v>0</v>
      </c>
      <c r="X393" s="100">
        <v>-5.0599999999999996</v>
      </c>
      <c r="Y393" s="37" t="str">
        <f>RTD("money.excel",,"6576","Price")</f>
        <v>無資料</v>
      </c>
      <c r="Z393" s="69"/>
      <c r="AA393" s="16" t="e">
        <f t="shared" si="125"/>
        <v>#VALUE!</v>
      </c>
      <c r="AB393" s="3" t="e">
        <f t="shared" si="126"/>
        <v>#VALUE!</v>
      </c>
      <c r="AC393" s="177" t="s">
        <v>2648</v>
      </c>
      <c r="AD393" s="17" t="s">
        <v>1156</v>
      </c>
      <c r="AG393" s="34">
        <f t="shared" si="127"/>
        <v>0</v>
      </c>
      <c r="AH393" s="44" t="s">
        <v>3430</v>
      </c>
      <c r="AI393" s="131"/>
      <c r="AK393" s="66">
        <f t="shared" si="119"/>
        <v>0</v>
      </c>
      <c r="AL393" s="174">
        <f t="shared" si="120"/>
        <v>0</v>
      </c>
      <c r="AM393" s="346">
        <f>RTD("money.excel",,$G393,"PredictVolume")</f>
        <v>0</v>
      </c>
      <c r="AN393" s="272">
        <f>RTD("money.excel",,$G393,"CumulativeVolume")</f>
        <v>0</v>
      </c>
      <c r="AO393" s="284"/>
    </row>
    <row r="394" spans="1:41">
      <c r="A394" s="151" t="s">
        <v>5290</v>
      </c>
      <c r="B394" s="84">
        <v>33</v>
      </c>
      <c r="C394" s="84">
        <v>33</v>
      </c>
      <c r="D394" s="84">
        <v>39</v>
      </c>
      <c r="E394" s="84">
        <v>29</v>
      </c>
      <c r="F394" s="7">
        <v>-92.62</v>
      </c>
      <c r="G394" s="85">
        <v>6589</v>
      </c>
      <c r="H394" s="4" t="s">
        <v>560</v>
      </c>
      <c r="I394" s="17" t="s">
        <v>2783</v>
      </c>
      <c r="J394" s="371">
        <v>41.3</v>
      </c>
      <c r="K394" s="371">
        <v>3.26</v>
      </c>
      <c r="L394" s="371"/>
      <c r="N394" s="365">
        <f t="shared" si="122"/>
        <v>44.559999999999995</v>
      </c>
      <c r="O394" s="343">
        <f t="shared" si="123"/>
        <v>41.3</v>
      </c>
      <c r="P394" s="195">
        <v>10</v>
      </c>
      <c r="Q394" s="326" t="str">
        <f>IFERROR(VLOOKUP($G394,主力整理!$A$2:$G$2301,6,0),"0")</f>
        <v>0</v>
      </c>
      <c r="T394" s="339">
        <f t="shared" si="124"/>
        <v>10</v>
      </c>
      <c r="W394" s="35">
        <v>0</v>
      </c>
      <c r="X394" s="100">
        <v>-4.66</v>
      </c>
      <c r="Y394" s="37" t="str">
        <f>RTD("money.excel",,"6589","Price")</f>
        <v>無資料</v>
      </c>
      <c r="Z394" s="69"/>
      <c r="AA394" s="16" t="e">
        <f t="shared" si="125"/>
        <v>#VALUE!</v>
      </c>
      <c r="AB394" s="3" t="e">
        <f t="shared" si="126"/>
        <v>#VALUE!</v>
      </c>
      <c r="AC394" s="177" t="s">
        <v>2648</v>
      </c>
      <c r="AD394" s="17" t="s">
        <v>2783</v>
      </c>
      <c r="AG394" s="34">
        <f t="shared" si="127"/>
        <v>0</v>
      </c>
      <c r="AH394" s="44" t="s">
        <v>3905</v>
      </c>
      <c r="AI394" s="131"/>
      <c r="AK394" s="66">
        <f t="shared" si="119"/>
        <v>0</v>
      </c>
      <c r="AL394" s="174">
        <f t="shared" si="120"/>
        <v>0</v>
      </c>
      <c r="AM394" s="346">
        <f>RTD("money.excel",,$G394,"PredictVolume")</f>
        <v>0</v>
      </c>
      <c r="AN394" s="272">
        <f>RTD("money.excel",,$G394,"CumulativeVolume")</f>
        <v>0</v>
      </c>
      <c r="AO394" s="284"/>
    </row>
    <row r="395" spans="1:41">
      <c r="A395" s="151" t="s">
        <v>3454</v>
      </c>
      <c r="B395" s="84">
        <v>32</v>
      </c>
      <c r="C395" s="84">
        <v>32</v>
      </c>
      <c r="D395" s="85">
        <v>-25</v>
      </c>
      <c r="E395" s="84">
        <v>154</v>
      </c>
      <c r="F395" s="59">
        <v>-91.85</v>
      </c>
      <c r="G395" s="85">
        <v>6598</v>
      </c>
      <c r="H395" s="4" t="s">
        <v>560</v>
      </c>
      <c r="I395" s="23" t="s">
        <v>2984</v>
      </c>
      <c r="J395" s="371">
        <v>53.42</v>
      </c>
      <c r="K395" s="371">
        <v>41.26</v>
      </c>
      <c r="L395" s="371"/>
      <c r="N395" s="365">
        <f t="shared" si="122"/>
        <v>94.68</v>
      </c>
      <c r="O395" s="343">
        <f t="shared" si="123"/>
        <v>53.42</v>
      </c>
      <c r="P395" s="195" t="s">
        <v>5554</v>
      </c>
      <c r="Q395" s="326" t="str">
        <f>IFERROR(VLOOKUP($G395,主力整理!$A$2:$G$2301,6,0),"0")</f>
        <v>0</v>
      </c>
      <c r="T395" s="339">
        <f t="shared" si="124"/>
        <v>0</v>
      </c>
      <c r="W395" s="35">
        <v>0</v>
      </c>
      <c r="X395" s="100">
        <v>-1.35</v>
      </c>
      <c r="Y395" s="14" t="str">
        <f>RTD("money.excel",,"6598","Price")</f>
        <v>無資料</v>
      </c>
      <c r="Z395" s="69"/>
      <c r="AA395" s="16" t="e">
        <f t="shared" si="125"/>
        <v>#VALUE!</v>
      </c>
      <c r="AB395" s="3" t="e">
        <f t="shared" si="126"/>
        <v>#VALUE!</v>
      </c>
      <c r="AC395" s="177" t="s">
        <v>2648</v>
      </c>
      <c r="AD395" s="23" t="s">
        <v>2984</v>
      </c>
      <c r="AG395" s="34">
        <f t="shared" si="127"/>
        <v>0</v>
      </c>
      <c r="AH395" s="44" t="s">
        <v>2985</v>
      </c>
      <c r="AI395" s="131"/>
      <c r="AK395" s="66">
        <f t="shared" si="119"/>
        <v>0</v>
      </c>
      <c r="AL395" s="174">
        <f t="shared" si="120"/>
        <v>0</v>
      </c>
      <c r="AM395" s="346">
        <f>RTD("money.excel",,$G395,"PredictVolume")</f>
        <v>0</v>
      </c>
      <c r="AN395" s="272">
        <f>RTD("money.excel",,$G395,"CumulativeVolume")</f>
        <v>0</v>
      </c>
      <c r="AO395" s="284"/>
    </row>
    <row r="396" spans="1:41">
      <c r="A396" s="135" t="s">
        <v>4715</v>
      </c>
      <c r="B396" s="96">
        <v>-22</v>
      </c>
      <c r="C396" s="96">
        <v>-13</v>
      </c>
      <c r="D396" s="96">
        <v>33</v>
      </c>
      <c r="E396" s="96">
        <v>-25</v>
      </c>
      <c r="F396" s="59">
        <v>31.52</v>
      </c>
      <c r="G396" s="85">
        <v>6612</v>
      </c>
      <c r="H396" s="4" t="s">
        <v>560</v>
      </c>
      <c r="I396" s="17" t="s">
        <v>1742</v>
      </c>
      <c r="J396" s="371">
        <v>67.239999999999995</v>
      </c>
      <c r="K396" s="371">
        <v>31.32</v>
      </c>
      <c r="N396" s="365">
        <f t="shared" si="122"/>
        <v>98.56</v>
      </c>
      <c r="O396" s="343">
        <f t="shared" si="123"/>
        <v>67.239999999999995</v>
      </c>
      <c r="P396" s="195" t="s">
        <v>5554</v>
      </c>
      <c r="Q396" s="326" t="str">
        <f>IFERROR(VLOOKUP($G396,主力整理!$A$2:$G$2301,6,0),"0")</f>
        <v>0</v>
      </c>
      <c r="T396" s="339">
        <f t="shared" si="124"/>
        <v>0</v>
      </c>
      <c r="V396" s="371">
        <v>22.06</v>
      </c>
      <c r="W396" s="35">
        <v>0.1</v>
      </c>
      <c r="X396" s="100">
        <v>1.55</v>
      </c>
      <c r="Y396" s="14" t="str">
        <f>RTD("money.excel",,"6612","Price")</f>
        <v>無資料</v>
      </c>
      <c r="Z396" s="69"/>
      <c r="AA396" s="16" t="e">
        <f t="shared" si="125"/>
        <v>#VALUE!</v>
      </c>
      <c r="AB396" s="3" t="e">
        <f t="shared" si="126"/>
        <v>#VALUE!</v>
      </c>
      <c r="AD396" s="17" t="s">
        <v>1742</v>
      </c>
      <c r="AG396" s="34">
        <f t="shared" si="127"/>
        <v>0</v>
      </c>
      <c r="AH396" s="63" t="s">
        <v>3906</v>
      </c>
      <c r="AI396" s="131"/>
      <c r="AK396" s="66">
        <f t="shared" si="119"/>
        <v>0</v>
      </c>
      <c r="AL396" s="174">
        <f t="shared" si="120"/>
        <v>0</v>
      </c>
      <c r="AM396" s="346">
        <f>RTD("money.excel",,$G396,"PredictVolume")</f>
        <v>0</v>
      </c>
      <c r="AN396" s="272">
        <f>RTD("money.excel",,$G396,"CumulativeVolume")</f>
        <v>0</v>
      </c>
      <c r="AO396" s="284"/>
    </row>
    <row r="397" spans="1:41">
      <c r="A397" s="151" t="s">
        <v>4716</v>
      </c>
      <c r="B397" s="96">
        <v>-51</v>
      </c>
      <c r="C397" s="96">
        <v>-69</v>
      </c>
      <c r="D397" s="96">
        <v>2</v>
      </c>
      <c r="E397" s="96">
        <v>15</v>
      </c>
      <c r="F397" s="7">
        <v>4.43</v>
      </c>
      <c r="G397" s="85">
        <v>6615</v>
      </c>
      <c r="H397" s="4" t="s">
        <v>560</v>
      </c>
      <c r="I397" s="17" t="s">
        <v>1157</v>
      </c>
      <c r="J397" s="77">
        <v>60.04</v>
      </c>
      <c r="K397" s="77">
        <v>0</v>
      </c>
      <c r="N397" s="365">
        <f t="shared" si="122"/>
        <v>60.04</v>
      </c>
      <c r="O397" s="343">
        <f t="shared" si="123"/>
        <v>60.04</v>
      </c>
      <c r="P397" s="195" t="s">
        <v>5554</v>
      </c>
      <c r="Q397" s="326" t="str">
        <f>IFERROR(VLOOKUP($G397,主力整理!$A$2:$G$2301,6,0),"0")</f>
        <v>0</v>
      </c>
      <c r="T397" s="339">
        <f t="shared" si="124"/>
        <v>0</v>
      </c>
      <c r="V397" s="371">
        <v>18.940000000000001</v>
      </c>
      <c r="W397" s="35">
        <v>1.4</v>
      </c>
      <c r="X397" s="100">
        <v>1.63</v>
      </c>
      <c r="Y397" s="14" t="str">
        <f>RTD("money.excel",,"6615","Price")</f>
        <v>無資料</v>
      </c>
      <c r="Z397" s="69"/>
      <c r="AA397" s="16" t="e">
        <f t="shared" si="125"/>
        <v>#VALUE!</v>
      </c>
      <c r="AB397" s="3" t="e">
        <f t="shared" si="126"/>
        <v>#VALUE!</v>
      </c>
      <c r="AD397" s="17" t="s">
        <v>1157</v>
      </c>
      <c r="AG397" s="34">
        <f t="shared" si="127"/>
        <v>0</v>
      </c>
      <c r="AH397" s="44" t="s">
        <v>3907</v>
      </c>
      <c r="AI397" s="131"/>
      <c r="AK397" s="66">
        <f t="shared" si="119"/>
        <v>0</v>
      </c>
      <c r="AL397" s="174">
        <f t="shared" si="120"/>
        <v>0</v>
      </c>
      <c r="AM397" s="346">
        <f>RTD("money.excel",,$G397,"PredictVolume")</f>
        <v>0</v>
      </c>
      <c r="AN397" s="272">
        <f>RTD("money.excel",,$G397,"CumulativeVolume")</f>
        <v>0</v>
      </c>
      <c r="AO397" s="284"/>
    </row>
    <row r="398" spans="1:41">
      <c r="A398" s="151" t="s">
        <v>2562</v>
      </c>
      <c r="B398" s="96">
        <v>-23</v>
      </c>
      <c r="C398" s="96">
        <v>-7</v>
      </c>
      <c r="D398" s="96">
        <v>-79</v>
      </c>
      <c r="E398" s="96"/>
      <c r="F398" s="156">
        <v>-600.5</v>
      </c>
      <c r="G398" s="85">
        <v>6649</v>
      </c>
      <c r="H398" s="4" t="s">
        <v>560</v>
      </c>
      <c r="I398" s="17" t="s">
        <v>2772</v>
      </c>
      <c r="J398" s="77">
        <v>54.26</v>
      </c>
      <c r="K398" s="77">
        <v>3.73</v>
      </c>
      <c r="N398" s="365">
        <f t="shared" si="122"/>
        <v>57.989999999999995</v>
      </c>
      <c r="O398" s="343">
        <f t="shared" si="123"/>
        <v>54.26</v>
      </c>
      <c r="P398" s="195" t="s">
        <v>5554</v>
      </c>
      <c r="Q398" s="326" t="str">
        <f>IFERROR(VLOOKUP($G398,主力整理!$A$2:$G$2301,6,0),"0")</f>
        <v>0</v>
      </c>
      <c r="T398" s="339">
        <f t="shared" si="124"/>
        <v>0</v>
      </c>
      <c r="V398" s="371">
        <v>21.53</v>
      </c>
      <c r="W398" s="35">
        <v>0</v>
      </c>
      <c r="X398" s="100">
        <v>-1.68</v>
      </c>
      <c r="Y398" s="14" t="str">
        <f>RTD("money.excel",,"6615","Price")</f>
        <v>無資料</v>
      </c>
      <c r="Z398" s="69"/>
      <c r="AA398" s="16" t="e">
        <f t="shared" si="125"/>
        <v>#VALUE!</v>
      </c>
      <c r="AB398" s="3" t="e">
        <f t="shared" si="126"/>
        <v>#VALUE!</v>
      </c>
      <c r="AC398" s="177" t="s">
        <v>2648</v>
      </c>
      <c r="AD398" s="17" t="s">
        <v>2772</v>
      </c>
      <c r="AG398" s="34">
        <f t="shared" si="127"/>
        <v>0</v>
      </c>
      <c r="AH398" s="44" t="s">
        <v>2773</v>
      </c>
      <c r="AI398" s="131"/>
      <c r="AK398" s="66">
        <f t="shared" si="119"/>
        <v>0</v>
      </c>
      <c r="AL398" s="174">
        <f t="shared" si="120"/>
        <v>0</v>
      </c>
      <c r="AM398" s="346">
        <f>RTD("money.excel",,$G398,"PredictVolume")</f>
        <v>0</v>
      </c>
      <c r="AN398" s="272">
        <f>RTD("money.excel",,$G398,"CumulativeVolume")</f>
        <v>0</v>
      </c>
      <c r="AO398" s="284"/>
    </row>
    <row r="399" spans="1:41">
      <c r="A399" s="151" t="s">
        <v>2339</v>
      </c>
      <c r="B399" s="85">
        <v>-99</v>
      </c>
      <c r="C399" s="85">
        <v>-87</v>
      </c>
      <c r="D399" s="84">
        <v>38</v>
      </c>
      <c r="E399" s="84">
        <v>2</v>
      </c>
      <c r="F399" s="7">
        <v>1.58</v>
      </c>
      <c r="G399" s="85">
        <v>6661</v>
      </c>
      <c r="H399" s="4" t="s">
        <v>560</v>
      </c>
      <c r="I399" s="17" t="s">
        <v>3658</v>
      </c>
      <c r="J399" s="77">
        <v>53.85</v>
      </c>
      <c r="K399" s="371">
        <v>0</v>
      </c>
      <c r="L399" s="371"/>
      <c r="M399" s="371">
        <v>33.35</v>
      </c>
      <c r="N399" s="365">
        <f t="shared" si="122"/>
        <v>87.2</v>
      </c>
      <c r="O399" s="369">
        <f t="shared" si="123"/>
        <v>87.2</v>
      </c>
      <c r="P399" s="195">
        <v>0</v>
      </c>
      <c r="Q399" s="326" t="str">
        <f>IFERROR(VLOOKUP($G399,主力整理!$A$2:$G$2301,6,0),"0")</f>
        <v>0</v>
      </c>
      <c r="R399" s="111">
        <v>0</v>
      </c>
      <c r="S399" s="51">
        <v>0</v>
      </c>
      <c r="T399" s="339">
        <f t="shared" si="124"/>
        <v>0</v>
      </c>
      <c r="W399" s="35">
        <v>1.1000000000000001</v>
      </c>
      <c r="X399" s="59">
        <v>0.42</v>
      </c>
      <c r="Y399" s="37" t="str">
        <f>RTD("money.excel",,"6661","Price")</f>
        <v>無資料</v>
      </c>
      <c r="Z399" s="69"/>
      <c r="AA399" s="16" t="e">
        <f t="shared" si="125"/>
        <v>#VALUE!</v>
      </c>
      <c r="AB399" s="3" t="e">
        <f t="shared" si="126"/>
        <v>#VALUE!</v>
      </c>
      <c r="AD399" s="17" t="s">
        <v>3658</v>
      </c>
      <c r="AG399" s="34">
        <f t="shared" si="127"/>
        <v>0</v>
      </c>
      <c r="AH399" s="44" t="s">
        <v>3659</v>
      </c>
      <c r="AI399" s="131"/>
      <c r="AK399" s="66">
        <f t="shared" si="119"/>
        <v>0</v>
      </c>
      <c r="AL399" s="174">
        <f t="shared" si="120"/>
        <v>0</v>
      </c>
      <c r="AM399" s="346">
        <f>RTD("money.excel",,$G399,"PredictVolume")</f>
        <v>0</v>
      </c>
      <c r="AN399" s="272">
        <f>RTD("money.excel",,$G399,"CumulativeVolume")</f>
        <v>0</v>
      </c>
      <c r="AO399" s="284"/>
    </row>
    <row r="400" spans="1:41">
      <c r="A400" s="135" t="s">
        <v>2774</v>
      </c>
      <c r="B400" s="96">
        <v>-1</v>
      </c>
      <c r="C400" s="96">
        <v>-2</v>
      </c>
      <c r="D400" s="96">
        <v>-13</v>
      </c>
      <c r="E400" s="96">
        <v>-34</v>
      </c>
      <c r="F400" s="59">
        <v>20.329999999999998</v>
      </c>
      <c r="G400" s="85">
        <v>6662</v>
      </c>
      <c r="H400" s="4" t="s">
        <v>560</v>
      </c>
      <c r="I400" s="17" t="s">
        <v>2775</v>
      </c>
      <c r="J400" s="77">
        <v>51</v>
      </c>
      <c r="K400" s="77">
        <v>0.01</v>
      </c>
      <c r="N400" s="365">
        <f t="shared" si="122"/>
        <v>51.01</v>
      </c>
      <c r="O400" s="343">
        <f t="shared" si="123"/>
        <v>51</v>
      </c>
      <c r="P400" s="195" t="s">
        <v>5554</v>
      </c>
      <c r="Q400" s="326" t="str">
        <f>IFERROR(VLOOKUP($G400,主力整理!$A$2:$G$2301,6,0),"0")</f>
        <v>0</v>
      </c>
      <c r="T400" s="339">
        <f t="shared" si="124"/>
        <v>0</v>
      </c>
      <c r="V400" s="371">
        <v>23.69</v>
      </c>
      <c r="W400" s="35">
        <v>2</v>
      </c>
      <c r="X400" s="100">
        <v>2.4500000000000002</v>
      </c>
      <c r="Y400" s="14" t="str">
        <f>RTD("money.excel",,"6615","Price")</f>
        <v>無資料</v>
      </c>
      <c r="Z400" s="69"/>
      <c r="AA400" s="16" t="e">
        <f t="shared" si="125"/>
        <v>#VALUE!</v>
      </c>
      <c r="AB400" s="3" t="e">
        <f t="shared" si="126"/>
        <v>#VALUE!</v>
      </c>
      <c r="AD400" s="17" t="s">
        <v>2775</v>
      </c>
      <c r="AG400" s="34">
        <f t="shared" si="127"/>
        <v>0</v>
      </c>
      <c r="AH400" s="63" t="s">
        <v>3908</v>
      </c>
      <c r="AI400" s="131"/>
      <c r="AK400" s="66">
        <f t="shared" si="119"/>
        <v>0</v>
      </c>
      <c r="AL400" s="174">
        <f t="shared" si="120"/>
        <v>0</v>
      </c>
      <c r="AM400" s="346">
        <f>RTD("money.excel",,$G400,"PredictVolume")</f>
        <v>0</v>
      </c>
      <c r="AN400" s="272">
        <f>RTD("money.excel",,$G400,"CumulativeVolume")</f>
        <v>0</v>
      </c>
      <c r="AO400" s="284"/>
    </row>
    <row r="401" spans="1:41">
      <c r="A401" s="135" t="s">
        <v>2587</v>
      </c>
      <c r="B401" s="85">
        <v>-94</v>
      </c>
      <c r="C401" s="85">
        <v>-102</v>
      </c>
      <c r="D401" s="84">
        <v>14</v>
      </c>
      <c r="E401" s="85">
        <v>-24</v>
      </c>
      <c r="F401" s="59">
        <v>-3.29</v>
      </c>
      <c r="G401" s="85">
        <v>6666</v>
      </c>
      <c r="H401" s="4" t="s">
        <v>560</v>
      </c>
      <c r="I401" s="23" t="s">
        <v>1737</v>
      </c>
      <c r="J401" s="77">
        <v>82.1</v>
      </c>
      <c r="K401" s="371">
        <v>79.510000000000005</v>
      </c>
      <c r="L401" s="77">
        <v>4.22</v>
      </c>
      <c r="N401" s="365">
        <f t="shared" si="122"/>
        <v>165.83</v>
      </c>
      <c r="O401" s="343">
        <f t="shared" si="123"/>
        <v>82.1</v>
      </c>
      <c r="P401" s="195" t="s">
        <v>5554</v>
      </c>
      <c r="Q401" s="326" t="str">
        <f>IFERROR(VLOOKUP($G401,主力整理!$A$2:$G$2301,6,0),"0")</f>
        <v>0</v>
      </c>
      <c r="T401" s="339">
        <f t="shared" si="124"/>
        <v>0</v>
      </c>
      <c r="V401" s="371">
        <v>0.03</v>
      </c>
      <c r="W401" s="35">
        <v>2</v>
      </c>
      <c r="X401" s="100">
        <v>2.2000000000000002</v>
      </c>
      <c r="Y401" s="14" t="str">
        <f>RTD("money.excel",,"6666","Price")</f>
        <v>無資料</v>
      </c>
      <c r="Z401" s="69"/>
      <c r="AA401" s="16" t="e">
        <f t="shared" si="125"/>
        <v>#VALUE!</v>
      </c>
      <c r="AB401" s="3" t="e">
        <f t="shared" si="126"/>
        <v>#VALUE!</v>
      </c>
      <c r="AC401" s="177" t="s">
        <v>2648</v>
      </c>
      <c r="AD401" s="23" t="s">
        <v>1737</v>
      </c>
      <c r="AG401" s="34">
        <f t="shared" si="127"/>
        <v>0</v>
      </c>
      <c r="AH401" s="63" t="s">
        <v>3148</v>
      </c>
      <c r="AI401" s="131"/>
      <c r="AK401" s="66">
        <f t="shared" si="119"/>
        <v>0</v>
      </c>
      <c r="AL401" s="174">
        <f t="shared" si="120"/>
        <v>0</v>
      </c>
      <c r="AM401" s="346">
        <f>RTD("money.excel",,$G401,"PredictVolume")</f>
        <v>0</v>
      </c>
      <c r="AN401" s="272">
        <f>RTD("money.excel",,$G401,"CumulativeVolume")</f>
        <v>0</v>
      </c>
      <c r="AO401" s="284"/>
    </row>
    <row r="402" spans="1:41">
      <c r="A402" s="135" t="s">
        <v>2901</v>
      </c>
      <c r="B402" s="85">
        <v>-13</v>
      </c>
      <c r="C402" s="85">
        <v>-9</v>
      </c>
      <c r="D402" s="85">
        <v>-7</v>
      </c>
      <c r="E402" s="85">
        <v>-18</v>
      </c>
      <c r="F402" s="59">
        <v>13</v>
      </c>
      <c r="G402" s="85">
        <v>6703</v>
      </c>
      <c r="H402" s="4" t="s">
        <v>560</v>
      </c>
      <c r="I402" s="17" t="s">
        <v>3245</v>
      </c>
      <c r="J402" s="371">
        <v>32.75</v>
      </c>
      <c r="K402" s="371">
        <v>11.7</v>
      </c>
      <c r="N402" s="365">
        <f t="shared" si="122"/>
        <v>44.45</v>
      </c>
      <c r="O402" s="343">
        <f t="shared" si="123"/>
        <v>32.75</v>
      </c>
      <c r="P402" s="195">
        <v>0</v>
      </c>
      <c r="Q402" s="326" t="str">
        <f>IFERROR(VLOOKUP($G402,主力整理!$A$2:$G$2301,6,0),"0")</f>
        <v>0</v>
      </c>
      <c r="R402" s="111">
        <v>1</v>
      </c>
      <c r="S402" s="51">
        <v>0</v>
      </c>
      <c r="T402" s="339">
        <f t="shared" si="124"/>
        <v>1</v>
      </c>
      <c r="W402" s="69">
        <v>7.25</v>
      </c>
      <c r="X402" s="100">
        <v>5.73</v>
      </c>
      <c r="Y402" s="37" t="str">
        <f>RTD("money.excel",,"6703","Price")</f>
        <v>無資料</v>
      </c>
      <c r="Z402" s="69"/>
      <c r="AA402" s="16" t="e">
        <f t="shared" si="125"/>
        <v>#VALUE!</v>
      </c>
      <c r="AB402" s="3" t="e">
        <f t="shared" si="126"/>
        <v>#VALUE!</v>
      </c>
      <c r="AC402" s="177" t="s">
        <v>2700</v>
      </c>
      <c r="AD402" s="17" t="s">
        <v>3245</v>
      </c>
      <c r="AG402" s="34">
        <f t="shared" si="127"/>
        <v>0</v>
      </c>
      <c r="AH402" s="63" t="s">
        <v>3244</v>
      </c>
      <c r="AI402" s="131"/>
      <c r="AK402" s="66">
        <f t="shared" si="119"/>
        <v>0</v>
      </c>
      <c r="AL402" s="174">
        <f t="shared" si="120"/>
        <v>0</v>
      </c>
      <c r="AM402" s="346">
        <f>RTD("money.excel",,$G402,"PredictVolume")</f>
        <v>0</v>
      </c>
      <c r="AN402" s="272">
        <f>RTD("money.excel",,$G402,"CumulativeVolume")</f>
        <v>0</v>
      </c>
      <c r="AO402" s="284"/>
    </row>
    <row r="403" spans="1:41">
      <c r="A403" s="151" t="s">
        <v>4717</v>
      </c>
      <c r="B403" s="85">
        <v>-42</v>
      </c>
      <c r="C403" s="85">
        <v>-42</v>
      </c>
      <c r="D403" s="84">
        <v>150</v>
      </c>
      <c r="E403" s="84">
        <v>188</v>
      </c>
      <c r="F403" s="77">
        <v>-278.64</v>
      </c>
      <c r="G403" s="85">
        <v>6712</v>
      </c>
      <c r="H403" s="4" t="s">
        <v>560</v>
      </c>
      <c r="I403" s="17" t="s">
        <v>3485</v>
      </c>
      <c r="J403" s="371">
        <v>53.02</v>
      </c>
      <c r="K403" s="371">
        <v>1.97</v>
      </c>
      <c r="L403" s="371"/>
      <c r="N403" s="365">
        <f t="shared" si="122"/>
        <v>54.99</v>
      </c>
      <c r="O403" s="343">
        <f t="shared" si="123"/>
        <v>53.02</v>
      </c>
      <c r="P403" s="195">
        <v>1</v>
      </c>
      <c r="Q403" s="326" t="str">
        <f>IFERROR(VLOOKUP($G403,主力整理!$A$2:$G$2301,6,0),"0")</f>
        <v>0</v>
      </c>
      <c r="T403" s="339">
        <f t="shared" si="124"/>
        <v>1</v>
      </c>
      <c r="W403" s="35">
        <v>0</v>
      </c>
      <c r="X403" s="100"/>
      <c r="Y403" s="37" t="str">
        <f>RTD("money.excel",,"6712","Price")</f>
        <v>無資料</v>
      </c>
      <c r="Z403" s="69"/>
      <c r="AA403" s="16" t="e">
        <f t="shared" si="125"/>
        <v>#VALUE!</v>
      </c>
      <c r="AB403" s="3" t="e">
        <f t="shared" si="126"/>
        <v>#VALUE!</v>
      </c>
      <c r="AC403" s="177" t="s">
        <v>2648</v>
      </c>
      <c r="AD403" s="17" t="s">
        <v>3485</v>
      </c>
      <c r="AG403" s="34">
        <f t="shared" si="127"/>
        <v>0</v>
      </c>
      <c r="AH403" s="44" t="s">
        <v>3487</v>
      </c>
      <c r="AI403" s="131"/>
      <c r="AK403" s="66">
        <f t="shared" si="119"/>
        <v>0</v>
      </c>
      <c r="AL403" s="174">
        <f t="shared" si="120"/>
        <v>0</v>
      </c>
      <c r="AM403" s="346">
        <f>RTD("money.excel",,$G403,"PredictVolume")</f>
        <v>0</v>
      </c>
      <c r="AN403" s="272">
        <f>RTD("money.excel",,$G403,"CumulativeVolume")</f>
        <v>0</v>
      </c>
      <c r="AO403" s="284"/>
    </row>
    <row r="404" spans="1:41">
      <c r="A404" s="151" t="s">
        <v>2760</v>
      </c>
      <c r="B404" s="84">
        <v>10</v>
      </c>
      <c r="C404" s="84">
        <v>20</v>
      </c>
      <c r="D404" s="84">
        <v>46</v>
      </c>
      <c r="E404" s="84">
        <v>705</v>
      </c>
      <c r="F404" s="48">
        <v>-9591</v>
      </c>
      <c r="G404" s="85">
        <v>6733</v>
      </c>
      <c r="H404" s="4" t="s">
        <v>560</v>
      </c>
      <c r="I404" s="17" t="s">
        <v>3664</v>
      </c>
      <c r="J404" s="371">
        <v>53.39</v>
      </c>
      <c r="K404" s="77">
        <v>8.11</v>
      </c>
      <c r="N404" s="365">
        <f t="shared" si="122"/>
        <v>61.5</v>
      </c>
      <c r="O404" s="343">
        <f t="shared" si="123"/>
        <v>53.39</v>
      </c>
      <c r="P404" s="195">
        <v>1</v>
      </c>
      <c r="Q404" s="326" t="str">
        <f>IFERROR(VLOOKUP($G404,主力整理!$A$2:$G$2301,6,0),"0")</f>
        <v>0</v>
      </c>
      <c r="T404" s="339">
        <f t="shared" si="124"/>
        <v>1</v>
      </c>
      <c r="W404" s="35">
        <v>0</v>
      </c>
      <c r="X404" s="59" t="s">
        <v>5226</v>
      </c>
      <c r="Y404" s="37" t="str">
        <f>RTD("money.excel",,"6733","Price")</f>
        <v>無資料</v>
      </c>
      <c r="Z404" s="69"/>
      <c r="AA404" s="16" t="e">
        <f t="shared" si="125"/>
        <v>#VALUE!</v>
      </c>
      <c r="AB404" s="3" t="e">
        <f t="shared" si="126"/>
        <v>#VALUE!</v>
      </c>
      <c r="AC404" s="177" t="s">
        <v>2648</v>
      </c>
      <c r="AD404" s="17" t="s">
        <v>3664</v>
      </c>
      <c r="AG404" s="34">
        <f t="shared" si="127"/>
        <v>0</v>
      </c>
      <c r="AH404" s="44" t="s">
        <v>3665</v>
      </c>
      <c r="AI404" s="131"/>
      <c r="AK404" s="66">
        <f t="shared" si="119"/>
        <v>0</v>
      </c>
      <c r="AL404" s="174">
        <f t="shared" si="120"/>
        <v>0</v>
      </c>
      <c r="AM404" s="346">
        <f>RTD("money.excel",,$G404,"PredictVolume")</f>
        <v>0</v>
      </c>
      <c r="AN404" s="272">
        <f>RTD("money.excel",,$G404,"CumulativeVolume")</f>
        <v>0</v>
      </c>
      <c r="AO404" s="284"/>
    </row>
    <row r="405" spans="1:41">
      <c r="A405" s="135" t="s">
        <v>4566</v>
      </c>
      <c r="B405" s="84">
        <v>5</v>
      </c>
      <c r="C405" s="84">
        <v>9</v>
      </c>
      <c r="D405" s="85">
        <v>-6</v>
      </c>
      <c r="E405" s="84">
        <v>24</v>
      </c>
      <c r="F405" s="59">
        <v>30.47</v>
      </c>
      <c r="G405" s="85">
        <v>6747</v>
      </c>
      <c r="H405" s="4" t="s">
        <v>560</v>
      </c>
      <c r="I405" s="17" t="s">
        <v>3580</v>
      </c>
      <c r="J405" s="371">
        <v>77.02</v>
      </c>
      <c r="K405" s="371">
        <v>1.48</v>
      </c>
      <c r="L405" s="371"/>
      <c r="N405" s="365">
        <f t="shared" si="122"/>
        <v>78.5</v>
      </c>
      <c r="O405" s="343">
        <f t="shared" si="123"/>
        <v>77.02</v>
      </c>
      <c r="P405" s="195" t="s">
        <v>5554</v>
      </c>
      <c r="Q405" s="326" t="str">
        <f>IFERROR(VLOOKUP($G405,主力整理!$A$2:$G$2301,6,0),"0")</f>
        <v>0</v>
      </c>
      <c r="T405" s="339">
        <f t="shared" si="124"/>
        <v>0</v>
      </c>
      <c r="W405" s="69">
        <v>5.37</v>
      </c>
      <c r="X405" s="100">
        <v>5.68</v>
      </c>
      <c r="Y405" s="37" t="str">
        <f>RTD("money.excel",,"6747","Price")</f>
        <v>無資料</v>
      </c>
      <c r="Z405" s="69"/>
      <c r="AA405" s="16" t="e">
        <f t="shared" si="125"/>
        <v>#VALUE!</v>
      </c>
      <c r="AB405" s="3" t="e">
        <f t="shared" si="126"/>
        <v>#VALUE!</v>
      </c>
      <c r="AC405" s="177" t="s">
        <v>2700</v>
      </c>
      <c r="AD405" s="17" t="s">
        <v>3580</v>
      </c>
      <c r="AG405" s="34">
        <f t="shared" si="127"/>
        <v>0</v>
      </c>
      <c r="AH405" s="63" t="s">
        <v>3646</v>
      </c>
      <c r="AI405" s="131"/>
      <c r="AK405" s="66">
        <f t="shared" si="119"/>
        <v>0</v>
      </c>
      <c r="AL405" s="174">
        <f t="shared" si="120"/>
        <v>0</v>
      </c>
      <c r="AM405" s="346">
        <f>RTD("money.excel",,$G405,"PredictVolume")</f>
        <v>0</v>
      </c>
      <c r="AN405" s="272">
        <f>RTD("money.excel",,$G405,"CumulativeVolume")</f>
        <v>0</v>
      </c>
      <c r="AO405" s="284"/>
    </row>
    <row r="406" spans="1:41">
      <c r="A406" s="135" t="s">
        <v>3447</v>
      </c>
      <c r="B406" s="85">
        <v>-6</v>
      </c>
      <c r="C406" s="85">
        <v>-1</v>
      </c>
      <c r="D406" s="84">
        <v>1</v>
      </c>
      <c r="E406" s="84">
        <v>8</v>
      </c>
      <c r="F406" s="59">
        <v>37.89</v>
      </c>
      <c r="G406" s="85">
        <v>6762</v>
      </c>
      <c r="H406" s="4" t="s">
        <v>560</v>
      </c>
      <c r="I406" s="17" t="s">
        <v>3385</v>
      </c>
      <c r="J406" s="371">
        <v>72.44</v>
      </c>
      <c r="K406" s="77">
        <v>1.51</v>
      </c>
      <c r="N406" s="365">
        <f t="shared" si="122"/>
        <v>73.95</v>
      </c>
      <c r="O406" s="343">
        <f t="shared" si="123"/>
        <v>72.44</v>
      </c>
      <c r="P406" s="195">
        <v>2</v>
      </c>
      <c r="Q406" s="326" t="str">
        <f>IFERROR(VLOOKUP($G406,主力整理!$A$2:$G$2301,6,0),"0")</f>
        <v>0</v>
      </c>
      <c r="T406" s="339">
        <f t="shared" si="124"/>
        <v>2</v>
      </c>
      <c r="W406" s="69">
        <v>8.4</v>
      </c>
      <c r="X406" s="59">
        <v>10.23</v>
      </c>
      <c r="Y406" s="37" t="str">
        <f>RTD("money.excel",,"6762","Price")</f>
        <v>無資料</v>
      </c>
      <c r="Z406" s="69"/>
      <c r="AA406" s="16" t="e">
        <f t="shared" si="125"/>
        <v>#VALUE!</v>
      </c>
      <c r="AB406" s="3" t="e">
        <f t="shared" si="126"/>
        <v>#VALUE!</v>
      </c>
      <c r="AC406" s="177" t="s">
        <v>2929</v>
      </c>
      <c r="AD406" s="17" t="s">
        <v>3385</v>
      </c>
      <c r="AG406" s="34">
        <f t="shared" si="127"/>
        <v>0</v>
      </c>
      <c r="AH406" s="63" t="s">
        <v>3389</v>
      </c>
      <c r="AI406" s="131"/>
      <c r="AK406" s="66">
        <f t="shared" si="119"/>
        <v>0</v>
      </c>
      <c r="AL406" s="174">
        <f t="shared" si="120"/>
        <v>0</v>
      </c>
      <c r="AM406" s="346">
        <f>RTD("money.excel",,$G406,"PredictVolume")</f>
        <v>0</v>
      </c>
      <c r="AN406" s="272">
        <f>RTD("money.excel",,$G406,"CumulativeVolume")</f>
        <v>0</v>
      </c>
      <c r="AO406" s="284"/>
    </row>
    <row r="407" spans="1:41">
      <c r="A407" s="151" t="s">
        <v>4579</v>
      </c>
      <c r="B407" s="85">
        <v>-59</v>
      </c>
      <c r="C407" s="85">
        <v>-1</v>
      </c>
      <c r="D407" s="84">
        <v>28</v>
      </c>
      <c r="E407" s="85">
        <v>-18</v>
      </c>
      <c r="F407" s="7">
        <v>-47.36</v>
      </c>
      <c r="G407" s="85">
        <v>6767</v>
      </c>
      <c r="H407" s="4" t="s">
        <v>560</v>
      </c>
      <c r="I407" s="17" t="s">
        <v>3645</v>
      </c>
      <c r="J407" s="371">
        <v>46.25</v>
      </c>
      <c r="K407" s="77">
        <v>0.06</v>
      </c>
      <c r="N407" s="365">
        <f t="shared" si="122"/>
        <v>46.31</v>
      </c>
      <c r="O407" s="343">
        <f t="shared" si="123"/>
        <v>46.25</v>
      </c>
      <c r="P407" s="195" t="s">
        <v>5554</v>
      </c>
      <c r="Q407" s="326" t="str">
        <f>IFERROR(VLOOKUP($G407,主力整理!$A$2:$G$2301,6,0),"0")</f>
        <v>0</v>
      </c>
      <c r="T407" s="339">
        <f t="shared" si="124"/>
        <v>0</v>
      </c>
      <c r="W407" s="35">
        <v>0</v>
      </c>
      <c r="X407" s="100"/>
      <c r="Y407" s="37" t="str">
        <f>RTD("money.excel",,"6767","Price")</f>
        <v>無資料</v>
      </c>
      <c r="Z407" s="69"/>
      <c r="AA407" s="16" t="e">
        <f t="shared" si="125"/>
        <v>#VALUE!</v>
      </c>
      <c r="AB407" s="3" t="e">
        <f t="shared" si="126"/>
        <v>#VALUE!</v>
      </c>
      <c r="AD407" s="17" t="s">
        <v>3645</v>
      </c>
      <c r="AG407" s="34">
        <f t="shared" si="127"/>
        <v>0</v>
      </c>
      <c r="AH407" s="44" t="s">
        <v>5146</v>
      </c>
      <c r="AI407" s="131"/>
      <c r="AK407" s="66">
        <f t="shared" si="119"/>
        <v>0</v>
      </c>
      <c r="AL407" s="174">
        <f t="shared" si="120"/>
        <v>0</v>
      </c>
      <c r="AM407" s="346">
        <f>RTD("money.excel",,$G407,"PredictVolume")</f>
        <v>0</v>
      </c>
      <c r="AN407" s="272">
        <f>RTD("money.excel",,$G407,"CumulativeVolume")</f>
        <v>0</v>
      </c>
      <c r="AO407" s="284"/>
    </row>
    <row r="408" spans="1:41">
      <c r="A408" s="135" t="s">
        <v>2569</v>
      </c>
      <c r="B408" s="84">
        <v>14</v>
      </c>
      <c r="C408" s="84">
        <v>6</v>
      </c>
      <c r="D408" s="84">
        <v>37</v>
      </c>
      <c r="E408" s="84">
        <v>6</v>
      </c>
      <c r="F408" s="59">
        <v>19.77</v>
      </c>
      <c r="G408" s="85">
        <v>8279</v>
      </c>
      <c r="H408" s="4" t="s">
        <v>560</v>
      </c>
      <c r="I408" s="17" t="s">
        <v>1158</v>
      </c>
      <c r="J408" s="77">
        <v>57.16</v>
      </c>
      <c r="K408" s="77">
        <v>2.42</v>
      </c>
      <c r="N408" s="365">
        <f t="shared" si="122"/>
        <v>59.58</v>
      </c>
      <c r="O408" s="343">
        <f t="shared" si="123"/>
        <v>57.16</v>
      </c>
      <c r="P408" s="195">
        <v>1</v>
      </c>
      <c r="Q408" s="326" t="str">
        <f>IFERROR(VLOOKUP($G408,主力整理!$A$2:$G$2301,6,0),"0")</f>
        <v>0</v>
      </c>
      <c r="T408" s="339">
        <f t="shared" si="124"/>
        <v>1</v>
      </c>
      <c r="W408" s="69">
        <v>3.5</v>
      </c>
      <c r="X408" s="59">
        <v>8</v>
      </c>
      <c r="Y408" s="37" t="str">
        <f>RTD("money.excel",,"8279","Price")</f>
        <v>無資料</v>
      </c>
      <c r="Z408" s="69"/>
      <c r="AA408" s="16" t="e">
        <f t="shared" si="125"/>
        <v>#VALUE!</v>
      </c>
      <c r="AB408" s="3" t="e">
        <f t="shared" si="126"/>
        <v>#VALUE!</v>
      </c>
      <c r="AC408" s="177" t="s">
        <v>2929</v>
      </c>
      <c r="AD408" s="17" t="s">
        <v>1158</v>
      </c>
      <c r="AG408" s="34">
        <f t="shared" si="127"/>
        <v>0</v>
      </c>
      <c r="AH408" s="63" t="s">
        <v>3909</v>
      </c>
      <c r="AI408" s="131"/>
      <c r="AK408" s="66">
        <f t="shared" si="119"/>
        <v>0</v>
      </c>
      <c r="AL408" s="174">
        <f t="shared" si="120"/>
        <v>0</v>
      </c>
      <c r="AM408" s="346">
        <f>RTD("money.excel",,$G408,"PredictVolume")</f>
        <v>0</v>
      </c>
      <c r="AN408" s="272">
        <f>RTD("money.excel",,$G408,"CumulativeVolume")</f>
        <v>0</v>
      </c>
      <c r="AO408" s="284"/>
    </row>
    <row r="409" spans="1:41">
      <c r="A409" s="135" t="s">
        <v>2583</v>
      </c>
      <c r="B409" s="84">
        <v>72</v>
      </c>
      <c r="C409" s="84">
        <v>287</v>
      </c>
      <c r="D409" s="85">
        <v>-2</v>
      </c>
      <c r="E409" s="84">
        <v>27</v>
      </c>
      <c r="F409" s="59">
        <v>14.03</v>
      </c>
      <c r="G409" s="85">
        <v>8403</v>
      </c>
      <c r="H409" s="4" t="s">
        <v>560</v>
      </c>
      <c r="I409" s="17" t="s">
        <v>297</v>
      </c>
      <c r="J409" s="371">
        <v>32.58</v>
      </c>
      <c r="K409" s="77">
        <v>1.71</v>
      </c>
      <c r="L409" s="371">
        <v>18.59</v>
      </c>
      <c r="N409" s="365">
        <f t="shared" si="122"/>
        <v>52.879999999999995</v>
      </c>
      <c r="O409" s="343">
        <f t="shared" si="123"/>
        <v>32.58</v>
      </c>
      <c r="P409" s="195" t="s">
        <v>5554</v>
      </c>
      <c r="Q409" s="326" t="str">
        <f>IFERROR(VLOOKUP($G409,主力整理!$A$2:$G$2301,6,0),"0")</f>
        <v>0</v>
      </c>
      <c r="T409" s="339">
        <f t="shared" si="124"/>
        <v>0</v>
      </c>
      <c r="V409" s="371">
        <v>0.21</v>
      </c>
      <c r="W409" s="35">
        <v>0.49</v>
      </c>
      <c r="X409" s="100">
        <v>2.35</v>
      </c>
      <c r="Y409" s="37" t="str">
        <f>RTD("money.excel",,"8403","Price")</f>
        <v>無資料</v>
      </c>
      <c r="Z409" s="69"/>
      <c r="AA409" s="16" t="e">
        <f t="shared" si="125"/>
        <v>#VALUE!</v>
      </c>
      <c r="AB409" s="3" t="e">
        <f t="shared" si="126"/>
        <v>#VALUE!</v>
      </c>
      <c r="AC409" s="177" t="s">
        <v>2648</v>
      </c>
      <c r="AD409" s="17" t="s">
        <v>297</v>
      </c>
      <c r="AG409" s="34">
        <f t="shared" si="127"/>
        <v>0</v>
      </c>
      <c r="AH409" s="126" t="s">
        <v>2933</v>
      </c>
      <c r="AI409" s="131"/>
      <c r="AK409" s="66">
        <f t="shared" si="119"/>
        <v>0</v>
      </c>
      <c r="AL409" s="174">
        <f t="shared" si="120"/>
        <v>0</v>
      </c>
      <c r="AM409" s="346">
        <f>RTD("money.excel",,$G409,"PredictVolume")</f>
        <v>0</v>
      </c>
      <c r="AN409" s="272">
        <f>RTD("money.excel",,$G409,"CumulativeVolume")</f>
        <v>0</v>
      </c>
      <c r="AO409" s="284"/>
    </row>
    <row r="410" spans="1:41">
      <c r="A410" s="135" t="s">
        <v>3317</v>
      </c>
      <c r="B410" s="84">
        <v>151</v>
      </c>
      <c r="C410" s="84">
        <v>86</v>
      </c>
      <c r="D410" s="84">
        <v>12</v>
      </c>
      <c r="E410" s="84">
        <v>16</v>
      </c>
      <c r="F410" s="59">
        <v>17.28</v>
      </c>
      <c r="G410" s="85">
        <v>8406</v>
      </c>
      <c r="H410" s="4" t="s">
        <v>560</v>
      </c>
      <c r="I410" s="17" t="s">
        <v>82</v>
      </c>
      <c r="J410" s="371">
        <v>59.58</v>
      </c>
      <c r="K410" s="371">
        <v>71.05</v>
      </c>
      <c r="L410" s="371">
        <v>7.17</v>
      </c>
      <c r="N410" s="365">
        <f t="shared" si="122"/>
        <v>137.79999999999998</v>
      </c>
      <c r="O410" s="343">
        <f t="shared" si="123"/>
        <v>59.58</v>
      </c>
      <c r="P410" s="195">
        <v>5</v>
      </c>
      <c r="Q410" s="326">
        <f>IFERROR(VLOOKUP($G410,主力整理!$A$2:$G$2301,6,0),"0")</f>
        <v>3</v>
      </c>
      <c r="R410" s="111">
        <v>3</v>
      </c>
      <c r="S410" s="51">
        <v>4</v>
      </c>
      <c r="T410" s="339">
        <f t="shared" si="124"/>
        <v>15</v>
      </c>
      <c r="V410" s="371">
        <v>0.69</v>
      </c>
      <c r="W410" s="69">
        <v>6</v>
      </c>
      <c r="X410" s="59">
        <v>14.38</v>
      </c>
      <c r="Y410" s="14" t="str">
        <f>RTD("money.excel",,"8406","Price")</f>
        <v>無資料</v>
      </c>
      <c r="Z410" s="69"/>
      <c r="AA410" s="16" t="e">
        <f t="shared" si="125"/>
        <v>#VALUE!</v>
      </c>
      <c r="AB410" s="3" t="e">
        <f t="shared" si="126"/>
        <v>#VALUE!</v>
      </c>
      <c r="AC410" s="177" t="s">
        <v>2929</v>
      </c>
      <c r="AD410" s="17" t="s">
        <v>82</v>
      </c>
      <c r="AG410" s="34">
        <f t="shared" si="127"/>
        <v>0</v>
      </c>
      <c r="AH410" s="126" t="s">
        <v>4965</v>
      </c>
      <c r="AI410" s="131"/>
      <c r="AK410" s="66">
        <f t="shared" si="119"/>
        <v>0</v>
      </c>
      <c r="AL410" s="174">
        <f t="shared" si="120"/>
        <v>0</v>
      </c>
      <c r="AM410" s="346">
        <f>RTD("money.excel",,$G410,"PredictVolume")</f>
        <v>0</v>
      </c>
      <c r="AN410" s="272">
        <f>RTD("money.excel",,$G410,"CumulativeVolume")</f>
        <v>0</v>
      </c>
      <c r="AO410" s="284"/>
    </row>
    <row r="411" spans="1:41">
      <c r="A411" s="151" t="s">
        <v>4762</v>
      </c>
      <c r="B411" s="85">
        <v>-30</v>
      </c>
      <c r="C411" s="85">
        <v>-95</v>
      </c>
      <c r="D411" s="84">
        <v>52</v>
      </c>
      <c r="E411" s="84">
        <v>12</v>
      </c>
      <c r="F411" s="7">
        <v>-97.31</v>
      </c>
      <c r="G411" s="85">
        <v>8409</v>
      </c>
      <c r="H411" s="4" t="s">
        <v>560</v>
      </c>
      <c r="I411" s="17" t="s">
        <v>1159</v>
      </c>
      <c r="J411" s="371">
        <v>28.98</v>
      </c>
      <c r="K411" s="371">
        <v>0.12</v>
      </c>
      <c r="L411" s="371"/>
      <c r="N411" s="365">
        <f t="shared" si="122"/>
        <v>29.1</v>
      </c>
      <c r="O411" s="343">
        <f t="shared" si="123"/>
        <v>28.98</v>
      </c>
      <c r="P411" s="195" t="s">
        <v>5554</v>
      </c>
      <c r="Q411" s="326" t="str">
        <f>IFERROR(VLOOKUP($G411,主力整理!$A$2:$G$2301,6,0),"0")</f>
        <v>0</v>
      </c>
      <c r="R411" s="111">
        <v>15</v>
      </c>
      <c r="S411" s="51">
        <v>0</v>
      </c>
      <c r="T411" s="339">
        <f t="shared" si="124"/>
        <v>15</v>
      </c>
      <c r="W411" s="35">
        <v>0</v>
      </c>
      <c r="X411" s="100">
        <v>-1.21</v>
      </c>
      <c r="Y411" s="37" t="str">
        <f>RTD("money.excel",,"8409","Price")</f>
        <v>無資料</v>
      </c>
      <c r="Z411" s="69"/>
      <c r="AA411" s="16" t="e">
        <f t="shared" si="125"/>
        <v>#VALUE!</v>
      </c>
      <c r="AB411" s="3" t="e">
        <f t="shared" si="126"/>
        <v>#VALUE!</v>
      </c>
      <c r="AD411" s="17" t="s">
        <v>1159</v>
      </c>
      <c r="AG411" s="34">
        <f t="shared" si="127"/>
        <v>0</v>
      </c>
      <c r="AH411" s="44" t="s">
        <v>3910</v>
      </c>
      <c r="AI411" s="131"/>
      <c r="AK411" s="66">
        <f t="shared" si="119"/>
        <v>0</v>
      </c>
      <c r="AL411" s="174">
        <f t="shared" si="120"/>
        <v>0</v>
      </c>
      <c r="AM411" s="346">
        <f>RTD("money.excel",,$G411,"PredictVolume")</f>
        <v>0</v>
      </c>
      <c r="AN411" s="272">
        <f>RTD("money.excel",,$G411,"CumulativeVolume")</f>
        <v>0</v>
      </c>
      <c r="AO411" s="284"/>
    </row>
    <row r="412" spans="1:41">
      <c r="A412" s="135" t="s">
        <v>2226</v>
      </c>
      <c r="B412" s="85">
        <v>-59</v>
      </c>
      <c r="C412" s="85">
        <v>-61</v>
      </c>
      <c r="D412" s="85">
        <v>-9</v>
      </c>
      <c r="E412" s="84">
        <v>3</v>
      </c>
      <c r="F412" s="59">
        <v>11.8</v>
      </c>
      <c r="G412" s="85">
        <v>8432</v>
      </c>
      <c r="H412" s="4" t="s">
        <v>560</v>
      </c>
      <c r="I412" s="17" t="s">
        <v>1160</v>
      </c>
      <c r="J412" s="371">
        <v>59.27</v>
      </c>
      <c r="K412" s="77">
        <v>0.57999999999999996</v>
      </c>
      <c r="L412" s="77">
        <v>8.1199999999999992</v>
      </c>
      <c r="N412" s="365">
        <f t="shared" si="122"/>
        <v>67.97</v>
      </c>
      <c r="O412" s="343">
        <f t="shared" si="123"/>
        <v>59.27</v>
      </c>
      <c r="P412" s="195" t="s">
        <v>5554</v>
      </c>
      <c r="Q412" s="326" t="str">
        <f>IFERROR(VLOOKUP($G412,主力整理!$A$2:$G$2301,6,0),"0")</f>
        <v>0</v>
      </c>
      <c r="T412" s="339">
        <f t="shared" si="124"/>
        <v>0</v>
      </c>
      <c r="V412" s="371">
        <v>0.02</v>
      </c>
      <c r="W412" s="35">
        <v>1.8</v>
      </c>
      <c r="X412" s="59">
        <v>1.24</v>
      </c>
      <c r="Y412" s="37" t="str">
        <f>RTD("money.excel",,"8432","Price")</f>
        <v>無資料</v>
      </c>
      <c r="Z412" s="69"/>
      <c r="AA412" s="16" t="e">
        <f t="shared" si="125"/>
        <v>#VALUE!</v>
      </c>
      <c r="AB412" s="3" t="e">
        <f t="shared" si="126"/>
        <v>#VALUE!</v>
      </c>
      <c r="AD412" s="17" t="s">
        <v>1160</v>
      </c>
      <c r="AG412" s="34">
        <f t="shared" si="127"/>
        <v>0</v>
      </c>
      <c r="AH412" s="63" t="s">
        <v>3911</v>
      </c>
      <c r="AI412" s="131"/>
      <c r="AK412" s="66">
        <f t="shared" si="119"/>
        <v>0</v>
      </c>
      <c r="AL412" s="174">
        <f t="shared" si="120"/>
        <v>0</v>
      </c>
      <c r="AM412" s="346">
        <f>RTD("money.excel",,$G412,"PredictVolume")</f>
        <v>0</v>
      </c>
      <c r="AN412" s="272">
        <f>RTD("money.excel",,$G412,"CumulativeVolume")</f>
        <v>0</v>
      </c>
      <c r="AO412" s="284"/>
    </row>
    <row r="413" spans="1:41">
      <c r="A413" s="135" t="s">
        <v>2498</v>
      </c>
      <c r="B413" s="85">
        <v>-2</v>
      </c>
      <c r="C413" s="85">
        <v>-11</v>
      </c>
      <c r="D413" s="84">
        <v>0</v>
      </c>
      <c r="E413" s="84">
        <v>10</v>
      </c>
      <c r="F413" s="59">
        <v>20.43</v>
      </c>
      <c r="G413" s="85">
        <v>8436</v>
      </c>
      <c r="H413" s="55" t="s">
        <v>560</v>
      </c>
      <c r="I413" s="17" t="s">
        <v>484</v>
      </c>
      <c r="J413" s="371">
        <v>41.15</v>
      </c>
      <c r="K413" s="77">
        <v>44.86</v>
      </c>
      <c r="L413" s="77">
        <v>11.35</v>
      </c>
      <c r="N413" s="365">
        <f t="shared" si="122"/>
        <v>97.359999999999985</v>
      </c>
      <c r="O413" s="343">
        <f t="shared" si="123"/>
        <v>41.15</v>
      </c>
      <c r="P413" s="195">
        <v>2</v>
      </c>
      <c r="Q413" s="326">
        <v>3</v>
      </c>
      <c r="R413" s="111">
        <v>1</v>
      </c>
      <c r="S413" s="51">
        <v>14</v>
      </c>
      <c r="T413" s="339">
        <f t="shared" si="124"/>
        <v>20</v>
      </c>
      <c r="V413" s="371">
        <v>0.03</v>
      </c>
      <c r="W413" s="69">
        <v>8.84</v>
      </c>
      <c r="X413" s="100">
        <v>15.49</v>
      </c>
      <c r="Y413" s="14" t="str">
        <f>RTD("money.excel",,"8436","Price")</f>
        <v>無資料</v>
      </c>
      <c r="Z413" s="69"/>
      <c r="AA413" s="16" t="e">
        <f t="shared" si="125"/>
        <v>#VALUE!</v>
      </c>
      <c r="AB413" s="3" t="e">
        <f t="shared" si="126"/>
        <v>#VALUE!</v>
      </c>
      <c r="AC413" s="177" t="s">
        <v>2929</v>
      </c>
      <c r="AD413" s="17" t="s">
        <v>484</v>
      </c>
      <c r="AG413" s="34">
        <f t="shared" si="127"/>
        <v>0</v>
      </c>
      <c r="AH413" s="126" t="s">
        <v>2135</v>
      </c>
      <c r="AI413" s="131"/>
      <c r="AK413" s="66">
        <f t="shared" si="119"/>
        <v>0</v>
      </c>
      <c r="AL413" s="174">
        <f t="shared" si="120"/>
        <v>0</v>
      </c>
      <c r="AM413" s="346">
        <f>RTD("money.excel",,$G413,"PredictVolume")</f>
        <v>0</v>
      </c>
      <c r="AN413" s="272">
        <f>RTD("money.excel",,$G413,"CumulativeVolume")</f>
        <v>0</v>
      </c>
      <c r="AO413" s="284"/>
    </row>
    <row r="414" spans="1:41">
      <c r="B414" s="85"/>
      <c r="C414" s="85"/>
      <c r="D414" s="84"/>
      <c r="E414" s="84"/>
      <c r="F414" s="59"/>
      <c r="G414" s="85"/>
      <c r="H414" s="55"/>
      <c r="I414" s="17"/>
      <c r="J414" s="371"/>
      <c r="K414" s="77"/>
      <c r="N414" s="365"/>
      <c r="O414" s="343"/>
      <c r="P414" s="195"/>
      <c r="W414" s="69"/>
      <c r="X414" s="100"/>
      <c r="Y414" s="14"/>
      <c r="Z414" s="69"/>
      <c r="AA414" s="16"/>
      <c r="AB414" s="3"/>
      <c r="AD414" s="17"/>
      <c r="AG414" s="34"/>
      <c r="AH414" s="126"/>
      <c r="AI414" s="131"/>
      <c r="AK414" s="66"/>
      <c r="AL414" s="174"/>
      <c r="AM414" s="346"/>
      <c r="AN414" s="272"/>
      <c r="AO414" s="284"/>
    </row>
    <row r="415" spans="1:41">
      <c r="A415" s="135" t="s">
        <v>2552</v>
      </c>
      <c r="B415" s="96" t="s">
        <v>2331</v>
      </c>
      <c r="C415" s="96" t="s">
        <v>2332</v>
      </c>
      <c r="D415" s="96" t="s">
        <v>2333</v>
      </c>
      <c r="E415" s="96" t="s">
        <v>2334</v>
      </c>
      <c r="F415" s="9" t="s">
        <v>1709</v>
      </c>
      <c r="G415" s="52" t="s">
        <v>1658</v>
      </c>
      <c r="H415" s="56" t="s">
        <v>578</v>
      </c>
      <c r="I415" s="9" t="s">
        <v>546</v>
      </c>
      <c r="J415" s="364" t="s">
        <v>2189</v>
      </c>
      <c r="K415" s="364" t="s">
        <v>1820</v>
      </c>
      <c r="L415" s="364" t="s">
        <v>515</v>
      </c>
      <c r="M415" s="364" t="s">
        <v>1699</v>
      </c>
      <c r="N415" s="364" t="s">
        <v>6604</v>
      </c>
      <c r="O415" s="343" t="s">
        <v>6620</v>
      </c>
      <c r="P415" s="83" t="s">
        <v>5279</v>
      </c>
      <c r="Q415" s="326" t="s">
        <v>5514</v>
      </c>
      <c r="R415" s="31" t="s">
        <v>6596</v>
      </c>
      <c r="S415" s="51" t="s">
        <v>6597</v>
      </c>
      <c r="T415" s="338" t="s">
        <v>5627</v>
      </c>
      <c r="U415" s="330" t="s">
        <v>6537</v>
      </c>
      <c r="V415" s="377" t="s">
        <v>6616</v>
      </c>
      <c r="W415" s="11" t="s">
        <v>127</v>
      </c>
      <c r="X415" s="71" t="s">
        <v>5216</v>
      </c>
      <c r="Y415" s="29" t="s">
        <v>3</v>
      </c>
      <c r="Z415" s="18" t="s">
        <v>2113</v>
      </c>
      <c r="AA415" s="15" t="s">
        <v>8</v>
      </c>
      <c r="AB415" s="22" t="s">
        <v>4</v>
      </c>
      <c r="AC415" s="358" t="s">
        <v>211</v>
      </c>
      <c r="AD415" s="9" t="s">
        <v>546</v>
      </c>
      <c r="AE415" s="75" t="s">
        <v>2114</v>
      </c>
      <c r="AF415" s="76" t="s">
        <v>1826</v>
      </c>
      <c r="AG415" s="33" t="s">
        <v>1827</v>
      </c>
      <c r="AH415" s="44"/>
      <c r="AI415" s="131"/>
      <c r="AK415" s="9" t="s">
        <v>6666</v>
      </c>
      <c r="AL415" s="5" t="s">
        <v>6667</v>
      </c>
      <c r="AM415" s="51" t="s">
        <v>5339</v>
      </c>
      <c r="AN415" s="276" t="s">
        <v>6665</v>
      </c>
      <c r="AO415" s="284"/>
    </row>
    <row r="416" spans="1:41">
      <c r="A416" s="135" t="s">
        <v>2447</v>
      </c>
      <c r="B416" s="84">
        <v>488</v>
      </c>
      <c r="C416" s="84">
        <v>876</v>
      </c>
      <c r="D416" s="85">
        <v>-1</v>
      </c>
      <c r="E416" s="84">
        <v>26</v>
      </c>
      <c r="F416" s="59">
        <v>20.18</v>
      </c>
      <c r="G416" s="85">
        <v>1802</v>
      </c>
      <c r="H416" s="4" t="s">
        <v>546</v>
      </c>
      <c r="I416" s="23" t="s">
        <v>249</v>
      </c>
      <c r="J416" s="371">
        <v>84.83</v>
      </c>
      <c r="K416" s="77">
        <v>11.47</v>
      </c>
      <c r="L416" s="371">
        <v>3.58</v>
      </c>
      <c r="N416" s="365">
        <f>J416+K416+L416+M416</f>
        <v>99.88</v>
      </c>
      <c r="O416" s="343">
        <f>J416+M416</f>
        <v>84.83</v>
      </c>
      <c r="P416" s="195">
        <v>10</v>
      </c>
      <c r="Q416" s="326">
        <v>5</v>
      </c>
      <c r="R416" s="111">
        <v>15</v>
      </c>
      <c r="S416" s="51">
        <v>22</v>
      </c>
      <c r="T416" s="339">
        <f>SUM(P416:S416)</f>
        <v>52</v>
      </c>
      <c r="V416" s="371">
        <v>0.32</v>
      </c>
      <c r="W416" s="35">
        <v>0.5</v>
      </c>
      <c r="X416" s="59">
        <v>2.9</v>
      </c>
      <c r="Y416" s="37" t="str">
        <f>RTD("money.excel",,"1802","Price")</f>
        <v>無資料</v>
      </c>
      <c r="Z416" s="69"/>
      <c r="AA416" s="16" t="e">
        <f>Y416-Z416</f>
        <v>#VALUE!</v>
      </c>
      <c r="AB416" s="3" t="e">
        <f>AA416/Z416</f>
        <v>#VALUE!</v>
      </c>
      <c r="AC416" s="177" t="s">
        <v>2648</v>
      </c>
      <c r="AD416" s="23" t="s">
        <v>249</v>
      </c>
      <c r="AG416" s="34">
        <f>AF416-AE416</f>
        <v>0</v>
      </c>
      <c r="AH416" s="126" t="s">
        <v>4347</v>
      </c>
      <c r="AI416" s="131"/>
      <c r="AK416" s="66">
        <f t="shared" ref="AK416" si="128">AM416/(A416*10000)</f>
        <v>0</v>
      </c>
      <c r="AL416" s="174">
        <f t="shared" ref="AL416" si="129">AN416/(A416*10000)</f>
        <v>0</v>
      </c>
      <c r="AM416" s="346">
        <f>RTD("money.excel",,$G416,"PredictVolume")</f>
        <v>0</v>
      </c>
      <c r="AN416" s="272">
        <f>RTD("money.excel",,$G416,"CumulativeVolume")</f>
        <v>0</v>
      </c>
      <c r="AO416" s="284"/>
    </row>
    <row r="417" spans="1:41">
      <c r="A417" s="151" t="s">
        <v>4899</v>
      </c>
      <c r="B417" s="84">
        <v>283</v>
      </c>
      <c r="C417" s="84">
        <v>104</v>
      </c>
      <c r="D417" s="84">
        <v>8</v>
      </c>
      <c r="E417" s="84">
        <v>1</v>
      </c>
      <c r="F417" s="7">
        <v>0.85</v>
      </c>
      <c r="G417" s="85">
        <v>1806</v>
      </c>
      <c r="H417" s="4" t="s">
        <v>546</v>
      </c>
      <c r="I417" s="23" t="s">
        <v>1659</v>
      </c>
      <c r="J417" s="77">
        <v>70.5</v>
      </c>
      <c r="K417" s="77">
        <v>11.19</v>
      </c>
      <c r="L417" s="77">
        <v>8.77</v>
      </c>
      <c r="M417" s="77">
        <v>15.46</v>
      </c>
      <c r="N417" s="365">
        <f>J417+K417+L417+M417</f>
        <v>105.91999999999999</v>
      </c>
      <c r="O417" s="369">
        <f>J417+M417</f>
        <v>85.960000000000008</v>
      </c>
      <c r="P417" s="195">
        <v>2</v>
      </c>
      <c r="Q417" s="326">
        <v>32</v>
      </c>
      <c r="R417" s="111">
        <v>38</v>
      </c>
      <c r="S417" s="51">
        <v>26</v>
      </c>
      <c r="T417" s="339">
        <f>SUM(P417:S417)</f>
        <v>98</v>
      </c>
      <c r="U417" s="329" t="s">
        <v>6538</v>
      </c>
      <c r="V417" s="371">
        <v>1.18</v>
      </c>
      <c r="W417" s="35">
        <v>0</v>
      </c>
      <c r="X417" s="59">
        <v>2.4500000000000002</v>
      </c>
      <c r="Y417" s="37" t="str">
        <f>RTD("money.excel",,"1806","Price")</f>
        <v>無資料</v>
      </c>
      <c r="Z417" s="69"/>
      <c r="AA417" s="16" t="e">
        <f>Y417-Z417</f>
        <v>#VALUE!</v>
      </c>
      <c r="AB417" s="3" t="e">
        <f>AA417/Z417</f>
        <v>#VALUE!</v>
      </c>
      <c r="AC417" s="177" t="s">
        <v>2648</v>
      </c>
      <c r="AD417" s="23" t="s">
        <v>1659</v>
      </c>
      <c r="AG417" s="34">
        <f>AF417-AE417</f>
        <v>0</v>
      </c>
      <c r="AH417" s="44" t="s">
        <v>4348</v>
      </c>
      <c r="AI417" s="131"/>
      <c r="AK417" s="66">
        <f t="shared" ref="AK417:AK420" si="130">AM417/(A417*10000)</f>
        <v>0</v>
      </c>
      <c r="AL417" s="174">
        <f t="shared" ref="AL417:AL420" si="131">AN417/(A417*10000)</f>
        <v>0</v>
      </c>
      <c r="AM417" s="346">
        <f>RTD("money.excel",,$G417,"PredictVolume")</f>
        <v>0</v>
      </c>
      <c r="AN417" s="272">
        <f>RTD("money.excel",,$G417,"CumulativeVolume")</f>
        <v>0</v>
      </c>
      <c r="AO417" s="284"/>
    </row>
    <row r="418" spans="1:41">
      <c r="A418" s="151" t="s">
        <v>2560</v>
      </c>
      <c r="B418" s="96">
        <v>-26</v>
      </c>
      <c r="C418" s="96">
        <v>-14</v>
      </c>
      <c r="D418" s="96">
        <v>6</v>
      </c>
      <c r="E418" s="96">
        <v>18</v>
      </c>
      <c r="F418" s="7">
        <v>-6.02</v>
      </c>
      <c r="G418" s="85">
        <v>1809</v>
      </c>
      <c r="H418" s="4" t="s">
        <v>546</v>
      </c>
      <c r="I418" s="23" t="s">
        <v>1660</v>
      </c>
      <c r="J418" s="77">
        <v>57.3</v>
      </c>
      <c r="K418" s="77">
        <v>3.19</v>
      </c>
      <c r="L418" s="77">
        <v>9.27</v>
      </c>
      <c r="N418" s="365">
        <f>J418+K418+L418+M418</f>
        <v>69.759999999999991</v>
      </c>
      <c r="O418" s="343">
        <f>J418+M418</f>
        <v>57.3</v>
      </c>
      <c r="P418" s="195">
        <v>1</v>
      </c>
      <c r="Q418" s="326">
        <f>IFERROR(VLOOKUP($G418,主力整理!$A$2:$G$2301,6,0),"0")</f>
        <v>2</v>
      </c>
      <c r="T418" s="339">
        <f>SUM(P418:S418)</f>
        <v>3</v>
      </c>
      <c r="V418" s="371">
        <v>21.27</v>
      </c>
      <c r="W418" s="35">
        <v>0.2</v>
      </c>
      <c r="X418" s="100">
        <v>-0.36</v>
      </c>
      <c r="Y418" s="14" t="str">
        <f>RTD("money.excel",,"1809","Price")</f>
        <v>無資料</v>
      </c>
      <c r="Z418" s="69"/>
      <c r="AA418" s="16" t="e">
        <f>Y418-Z418</f>
        <v>#VALUE!</v>
      </c>
      <c r="AB418" s="3" t="e">
        <f>AA418/Z418</f>
        <v>#VALUE!</v>
      </c>
      <c r="AC418" s="177" t="s">
        <v>2648</v>
      </c>
      <c r="AD418" s="23" t="s">
        <v>1660</v>
      </c>
      <c r="AG418" s="34">
        <f>AF418-AE418</f>
        <v>0</v>
      </c>
      <c r="AH418" s="44" t="s">
        <v>4349</v>
      </c>
      <c r="AI418" s="131"/>
      <c r="AK418" s="66">
        <f t="shared" si="130"/>
        <v>0</v>
      </c>
      <c r="AL418" s="174">
        <f t="shared" si="131"/>
        <v>0</v>
      </c>
      <c r="AM418" s="346">
        <f>RTD("money.excel",,$G418,"PredictVolume")</f>
        <v>0</v>
      </c>
      <c r="AN418" s="272">
        <f>RTD("money.excel",,$G418,"CumulativeVolume")</f>
        <v>0</v>
      </c>
      <c r="AO418" s="284"/>
    </row>
    <row r="419" spans="1:41">
      <c r="A419" s="151" t="s">
        <v>4900</v>
      </c>
      <c r="B419" s="96">
        <v>79</v>
      </c>
      <c r="C419" s="96">
        <v>-223</v>
      </c>
      <c r="D419" s="96">
        <v>-6</v>
      </c>
      <c r="E419" s="96">
        <v>25</v>
      </c>
      <c r="F419" s="7">
        <v>-1.28</v>
      </c>
      <c r="G419" s="85">
        <v>1810</v>
      </c>
      <c r="H419" s="4" t="s">
        <v>546</v>
      </c>
      <c r="I419" s="23" t="s">
        <v>1661</v>
      </c>
      <c r="J419" s="77">
        <v>69.790000000000006</v>
      </c>
      <c r="K419" s="77">
        <v>4.0199999999999996</v>
      </c>
      <c r="L419" s="77">
        <v>22.53</v>
      </c>
      <c r="N419" s="365">
        <f>J419+K419+L419+M419</f>
        <v>96.34</v>
      </c>
      <c r="O419" s="343">
        <f>J419+M419</f>
        <v>69.790000000000006</v>
      </c>
      <c r="P419" s="195" t="s">
        <v>5554</v>
      </c>
      <c r="Q419" s="326" t="str">
        <f>IFERROR(VLOOKUP($G419,主力整理!$A$2:$G$2301,6,0),"0")</f>
        <v>0</v>
      </c>
      <c r="T419" s="339">
        <f>SUM(P419:S419)</f>
        <v>0</v>
      </c>
      <c r="V419" s="371">
        <v>8.64</v>
      </c>
      <c r="W419" s="35">
        <v>0</v>
      </c>
      <c r="X419" s="100">
        <v>0.24</v>
      </c>
      <c r="Y419" s="14" t="str">
        <f>RTD("money.excel",,"1810","Price")</f>
        <v>無資料</v>
      </c>
      <c r="Z419" s="69"/>
      <c r="AA419" s="16" t="e">
        <f>Y419-Z419</f>
        <v>#VALUE!</v>
      </c>
      <c r="AB419" s="3" t="e">
        <f>AA419/Z419</f>
        <v>#VALUE!</v>
      </c>
      <c r="AD419" s="23" t="s">
        <v>1661</v>
      </c>
      <c r="AG419" s="34">
        <f>AF419-AE419</f>
        <v>0</v>
      </c>
      <c r="AH419" s="44" t="s">
        <v>4346</v>
      </c>
      <c r="AI419" s="131"/>
      <c r="AK419" s="66">
        <f t="shared" si="130"/>
        <v>0</v>
      </c>
      <c r="AL419" s="174">
        <f t="shared" si="131"/>
        <v>0</v>
      </c>
      <c r="AM419" s="346">
        <f>RTD("money.excel",,$G419,"PredictVolume")</f>
        <v>0</v>
      </c>
      <c r="AN419" s="272">
        <f>RTD("money.excel",,$G419,"CumulativeVolume")</f>
        <v>0</v>
      </c>
      <c r="AO419" s="284"/>
    </row>
    <row r="420" spans="1:41">
      <c r="A420" s="135" t="s">
        <v>2431</v>
      </c>
      <c r="B420" s="96">
        <v>27</v>
      </c>
      <c r="C420" s="96">
        <v>20</v>
      </c>
      <c r="D420" s="96">
        <v>-3</v>
      </c>
      <c r="E420" s="96">
        <v>61</v>
      </c>
      <c r="F420" s="59">
        <v>15.05</v>
      </c>
      <c r="G420" s="85">
        <v>1817</v>
      </c>
      <c r="H420" s="4" t="s">
        <v>546</v>
      </c>
      <c r="I420" s="23" t="s">
        <v>1662</v>
      </c>
      <c r="J420" s="77">
        <v>61.73</v>
      </c>
      <c r="K420" s="77">
        <v>4.18</v>
      </c>
      <c r="L420" s="77">
        <v>2.98</v>
      </c>
      <c r="N420" s="365">
        <f>J420+K420+L420+M420</f>
        <v>68.89</v>
      </c>
      <c r="O420" s="343">
        <f>J420+M420</f>
        <v>61.73</v>
      </c>
      <c r="P420" s="195" t="s">
        <v>5554</v>
      </c>
      <c r="Q420" s="326" t="str">
        <f>IFERROR(VLOOKUP($G420,主力整理!$A$2:$G$2301,6,0),"0")</f>
        <v>0</v>
      </c>
      <c r="T420" s="339">
        <f>SUM(P420:S420)</f>
        <v>0</v>
      </c>
      <c r="V420" s="371">
        <v>17.05</v>
      </c>
      <c r="W420" s="35">
        <v>2</v>
      </c>
      <c r="X420" s="100">
        <v>3.04</v>
      </c>
      <c r="Y420" s="14" t="str">
        <f>RTD("money.excel",,"1817","Price")</f>
        <v>無資料</v>
      </c>
      <c r="Z420" s="69"/>
      <c r="AA420" s="16" t="e">
        <f>Y420-Z420</f>
        <v>#VALUE!</v>
      </c>
      <c r="AB420" s="3" t="e">
        <f>AA420/Z420</f>
        <v>#VALUE!</v>
      </c>
      <c r="AD420" s="23" t="s">
        <v>1662</v>
      </c>
      <c r="AG420" s="34">
        <f>AF420-AE420</f>
        <v>0</v>
      </c>
      <c r="AH420" s="63" t="s">
        <v>4346</v>
      </c>
      <c r="AI420" s="131"/>
      <c r="AK420" s="66">
        <f t="shared" si="130"/>
        <v>0</v>
      </c>
      <c r="AL420" s="174">
        <f t="shared" si="131"/>
        <v>0</v>
      </c>
      <c r="AM420" s="346">
        <f>RTD("money.excel",,$G420,"PredictVolume")</f>
        <v>0</v>
      </c>
      <c r="AN420" s="272">
        <f>RTD("money.excel",,$G420,"CumulativeVolume")</f>
        <v>0</v>
      </c>
      <c r="AO420" s="284"/>
    </row>
    <row r="421" spans="1:41">
      <c r="B421" s="96"/>
      <c r="C421" s="96"/>
      <c r="D421" s="96"/>
      <c r="E421" s="96"/>
      <c r="F421" s="59"/>
      <c r="G421" s="85"/>
      <c r="H421" s="4"/>
      <c r="I421" s="23"/>
      <c r="J421" s="77"/>
      <c r="K421" s="77"/>
      <c r="N421" s="365"/>
      <c r="O421" s="343"/>
      <c r="P421" s="195"/>
      <c r="W421" s="35"/>
      <c r="X421" s="100"/>
      <c r="Y421" s="14"/>
      <c r="Z421" s="69"/>
      <c r="AA421" s="16"/>
      <c r="AB421" s="3"/>
      <c r="AD421" s="23"/>
      <c r="AG421" s="34"/>
      <c r="AH421" s="63"/>
      <c r="AI421" s="131"/>
      <c r="AK421" s="66"/>
      <c r="AL421" s="174"/>
      <c r="AM421" s="346"/>
      <c r="AN421" s="272"/>
      <c r="AO421" s="284"/>
    </row>
    <row r="422" spans="1:41">
      <c r="A422" s="135" t="s">
        <v>2552</v>
      </c>
      <c r="B422" s="96" t="s">
        <v>2331</v>
      </c>
      <c r="C422" s="96" t="s">
        <v>2332</v>
      </c>
      <c r="D422" s="96" t="s">
        <v>2333</v>
      </c>
      <c r="E422" s="96" t="s">
        <v>2334</v>
      </c>
      <c r="F422" s="9" t="s">
        <v>1709</v>
      </c>
      <c r="G422" s="52" t="s">
        <v>1621</v>
      </c>
      <c r="H422" s="56" t="s">
        <v>578</v>
      </c>
      <c r="I422" s="9" t="s">
        <v>547</v>
      </c>
      <c r="J422" s="364" t="s">
        <v>2189</v>
      </c>
      <c r="K422" s="364" t="s">
        <v>1820</v>
      </c>
      <c r="L422" s="364" t="s">
        <v>515</v>
      </c>
      <c r="M422" s="364" t="s">
        <v>1699</v>
      </c>
      <c r="N422" s="364" t="s">
        <v>6604</v>
      </c>
      <c r="O422" s="343" t="s">
        <v>6620</v>
      </c>
      <c r="P422" s="83" t="s">
        <v>5279</v>
      </c>
      <c r="Q422" s="326" t="s">
        <v>5514</v>
      </c>
      <c r="R422" s="31" t="s">
        <v>6596</v>
      </c>
      <c r="S422" s="51" t="s">
        <v>6597</v>
      </c>
      <c r="T422" s="338" t="s">
        <v>5627</v>
      </c>
      <c r="U422" s="330" t="s">
        <v>6537</v>
      </c>
      <c r="V422" s="377" t="s">
        <v>6616</v>
      </c>
      <c r="W422" s="11" t="s">
        <v>127</v>
      </c>
      <c r="X422" s="71" t="s">
        <v>5216</v>
      </c>
      <c r="Y422" s="29" t="s">
        <v>3</v>
      </c>
      <c r="Z422" s="18" t="s">
        <v>2113</v>
      </c>
      <c r="AA422" s="15" t="s">
        <v>8</v>
      </c>
      <c r="AB422" s="22" t="s">
        <v>4</v>
      </c>
      <c r="AC422" s="358" t="s">
        <v>211</v>
      </c>
      <c r="AD422" s="9" t="s">
        <v>547</v>
      </c>
      <c r="AE422" s="75" t="s">
        <v>2114</v>
      </c>
      <c r="AF422" s="76" t="s">
        <v>1826</v>
      </c>
      <c r="AG422" s="33" t="s">
        <v>1827</v>
      </c>
      <c r="AH422" s="44"/>
      <c r="AI422" s="284"/>
      <c r="AK422" s="9" t="s">
        <v>6666</v>
      </c>
      <c r="AL422" s="5" t="s">
        <v>6667</v>
      </c>
      <c r="AM422" s="51" t="s">
        <v>5339</v>
      </c>
      <c r="AN422" s="276" t="s">
        <v>6665</v>
      </c>
      <c r="AO422" s="284"/>
    </row>
    <row r="423" spans="1:41">
      <c r="A423" s="151" t="s">
        <v>4897</v>
      </c>
      <c r="B423" s="85">
        <v>-19</v>
      </c>
      <c r="C423" s="85">
        <v>-19</v>
      </c>
      <c r="D423" s="85">
        <v>-11</v>
      </c>
      <c r="E423" s="85">
        <v>-5</v>
      </c>
      <c r="F423" s="77">
        <v>-111</v>
      </c>
      <c r="G423" s="85">
        <v>1903</v>
      </c>
      <c r="H423" s="4" t="s">
        <v>547</v>
      </c>
      <c r="I423" s="23" t="s">
        <v>1622</v>
      </c>
      <c r="J423" s="77">
        <v>87.23</v>
      </c>
      <c r="K423" s="77">
        <v>15.08</v>
      </c>
      <c r="L423" s="371">
        <v>0</v>
      </c>
      <c r="N423" s="365">
        <f t="shared" ref="N423:N428" si="132">J423+K423+L423+M423</f>
        <v>102.31</v>
      </c>
      <c r="O423" s="343">
        <f t="shared" ref="O423:O428" si="133">J423+M423</f>
        <v>87.23</v>
      </c>
      <c r="P423" s="195" t="s">
        <v>5554</v>
      </c>
      <c r="Q423" s="326" t="str">
        <f>IFERROR(VLOOKUP($G423,主力整理!$A$2:$G$2301,6,0),"0")</f>
        <v>0</v>
      </c>
      <c r="T423" s="339">
        <f t="shared" ref="T423:T428" si="134">SUM(P423:S423)</f>
        <v>0</v>
      </c>
      <c r="V423" s="371">
        <v>0</v>
      </c>
      <c r="W423" s="35">
        <v>0</v>
      </c>
      <c r="X423" s="100">
        <v>-0.52</v>
      </c>
      <c r="Y423" s="37" t="str">
        <f>RTD("money.excel",,"1903","Price")</f>
        <v>無資料</v>
      </c>
      <c r="Z423" s="69"/>
      <c r="AA423" s="16" t="e">
        <f t="shared" ref="AA423:AA428" si="135">Y423-Z423</f>
        <v>#VALUE!</v>
      </c>
      <c r="AB423" s="3" t="e">
        <f t="shared" ref="AB423:AB428" si="136">AA423/Z423</f>
        <v>#VALUE!</v>
      </c>
      <c r="AC423" s="177" t="s">
        <v>2648</v>
      </c>
      <c r="AD423" s="23" t="s">
        <v>1622</v>
      </c>
      <c r="AG423" s="34">
        <f t="shared" ref="AG423:AG428" si="137">AF423-AE423</f>
        <v>0</v>
      </c>
      <c r="AH423" s="44" t="s">
        <v>4352</v>
      </c>
      <c r="AI423" s="131"/>
      <c r="AK423" s="66">
        <f t="shared" ref="AK423:AK428" si="138">AM423/(A423*10000)</f>
        <v>0</v>
      </c>
      <c r="AL423" s="174">
        <f t="shared" ref="AL423:AL428" si="139">AN423/(A423*10000)</f>
        <v>0</v>
      </c>
      <c r="AM423" s="346">
        <f>RTD("money.excel",,$G423,"PredictVolume")</f>
        <v>0</v>
      </c>
      <c r="AN423" s="272">
        <f>RTD("money.excel",,$G423,"CumulativeVolume")</f>
        <v>0</v>
      </c>
      <c r="AO423" s="284"/>
    </row>
    <row r="424" spans="1:41">
      <c r="A424" s="135" t="s">
        <v>2435</v>
      </c>
      <c r="B424" s="84">
        <v>40</v>
      </c>
      <c r="C424" s="84">
        <v>24</v>
      </c>
      <c r="D424" s="85">
        <v>-12</v>
      </c>
      <c r="E424" s="84">
        <v>4</v>
      </c>
      <c r="F424" s="59">
        <v>13.51</v>
      </c>
      <c r="G424" s="85">
        <v>1904</v>
      </c>
      <c r="H424" s="4" t="s">
        <v>547</v>
      </c>
      <c r="I424" s="23" t="s">
        <v>167</v>
      </c>
      <c r="J424" s="77">
        <v>68.3</v>
      </c>
      <c r="K424" s="371">
        <v>13.14</v>
      </c>
      <c r="L424" s="77">
        <v>1.55</v>
      </c>
      <c r="N424" s="365">
        <f t="shared" si="132"/>
        <v>82.99</v>
      </c>
      <c r="O424" s="343">
        <f t="shared" si="133"/>
        <v>68.3</v>
      </c>
      <c r="P424" s="195">
        <v>7</v>
      </c>
      <c r="Q424" s="326">
        <f>IFERROR(VLOOKUP($G424,主力整理!$A$2:$G$2301,6,0),"0")</f>
        <v>5</v>
      </c>
      <c r="R424" s="111">
        <v>1</v>
      </c>
      <c r="S424" s="51">
        <v>13</v>
      </c>
      <c r="T424" s="339">
        <f t="shared" si="134"/>
        <v>26</v>
      </c>
      <c r="V424" s="371">
        <v>1.39</v>
      </c>
      <c r="W424" s="35">
        <v>1.8</v>
      </c>
      <c r="X424" s="59">
        <v>3.99</v>
      </c>
      <c r="Y424" s="37" t="str">
        <f>RTD("money.excel",,"1904","Price")</f>
        <v>無資料</v>
      </c>
      <c r="Z424" s="69"/>
      <c r="AA424" s="16" t="e">
        <f t="shared" si="135"/>
        <v>#VALUE!</v>
      </c>
      <c r="AB424" s="3" t="e">
        <f t="shared" si="136"/>
        <v>#VALUE!</v>
      </c>
      <c r="AC424" s="177" t="s">
        <v>2648</v>
      </c>
      <c r="AD424" s="23" t="s">
        <v>167</v>
      </c>
      <c r="AG424" s="34">
        <f t="shared" si="137"/>
        <v>0</v>
      </c>
      <c r="AH424" s="126" t="s">
        <v>4903</v>
      </c>
      <c r="AI424" s="131"/>
      <c r="AK424" s="66">
        <f t="shared" si="138"/>
        <v>0</v>
      </c>
      <c r="AL424" s="174">
        <f t="shared" si="139"/>
        <v>0</v>
      </c>
      <c r="AM424" s="346">
        <f>RTD("money.excel",,$G424,"PredictVolume")</f>
        <v>0</v>
      </c>
      <c r="AN424" s="272">
        <f>RTD("money.excel",,$G424,"CumulativeVolume")</f>
        <v>0</v>
      </c>
      <c r="AO424" s="284"/>
    </row>
    <row r="425" spans="1:41">
      <c r="A425" s="151" t="s">
        <v>2435</v>
      </c>
      <c r="B425" s="85">
        <v>-112</v>
      </c>
      <c r="C425" s="85">
        <v>-124</v>
      </c>
      <c r="D425" s="84">
        <v>10</v>
      </c>
      <c r="E425" s="85">
        <v>-4</v>
      </c>
      <c r="F425" s="7">
        <v>-0.74</v>
      </c>
      <c r="G425" s="85">
        <v>1905</v>
      </c>
      <c r="H425" s="4" t="s">
        <v>547</v>
      </c>
      <c r="I425" s="23" t="s">
        <v>1623</v>
      </c>
      <c r="J425" s="371">
        <v>77.489999999999995</v>
      </c>
      <c r="K425" s="77">
        <v>4.25</v>
      </c>
      <c r="L425" s="77">
        <v>3</v>
      </c>
      <c r="N425" s="365">
        <f t="shared" si="132"/>
        <v>84.74</v>
      </c>
      <c r="O425" s="343">
        <f t="shared" si="133"/>
        <v>77.489999999999995</v>
      </c>
      <c r="P425" s="195">
        <v>8</v>
      </c>
      <c r="Q425" s="326">
        <f>IFERROR(VLOOKUP($G425,主力整理!$A$2:$G$2301,6,0),"0")</f>
        <v>6</v>
      </c>
      <c r="T425" s="339">
        <f t="shared" si="134"/>
        <v>14</v>
      </c>
      <c r="V425" s="371">
        <v>57.06</v>
      </c>
      <c r="W425" s="35">
        <v>0</v>
      </c>
      <c r="X425" s="59">
        <v>-0.18</v>
      </c>
      <c r="Y425" s="37" t="str">
        <f>RTD("money.excel",,"1905","Price")</f>
        <v>無資料</v>
      </c>
      <c r="Z425" s="69"/>
      <c r="AA425" s="16" t="e">
        <f t="shared" si="135"/>
        <v>#VALUE!</v>
      </c>
      <c r="AB425" s="3" t="e">
        <f t="shared" si="136"/>
        <v>#VALUE!</v>
      </c>
      <c r="AC425" s="177" t="s">
        <v>2648</v>
      </c>
      <c r="AD425" s="23" t="s">
        <v>1623</v>
      </c>
      <c r="AG425" s="34">
        <f t="shared" si="137"/>
        <v>0</v>
      </c>
      <c r="AH425" s="44" t="s">
        <v>3996</v>
      </c>
      <c r="AI425" s="131"/>
      <c r="AK425" s="66">
        <f t="shared" si="138"/>
        <v>0</v>
      </c>
      <c r="AL425" s="174">
        <f t="shared" si="139"/>
        <v>0</v>
      </c>
      <c r="AM425" s="346">
        <f>RTD("money.excel",,$G425,"PredictVolume")</f>
        <v>0</v>
      </c>
      <c r="AN425" s="272">
        <f>RTD("money.excel",,$G425,"CumulativeVolume")</f>
        <v>0</v>
      </c>
      <c r="AO425" s="284"/>
    </row>
    <row r="426" spans="1:41">
      <c r="A426" s="151" t="s">
        <v>2779</v>
      </c>
      <c r="B426" s="85">
        <v>-32</v>
      </c>
      <c r="C426" s="84">
        <v>73</v>
      </c>
      <c r="D426" s="85">
        <v>-44</v>
      </c>
      <c r="E426" s="85">
        <v>-53</v>
      </c>
      <c r="F426" s="7">
        <v>0.94</v>
      </c>
      <c r="G426" s="85">
        <v>1906</v>
      </c>
      <c r="H426" s="4" t="s">
        <v>547</v>
      </c>
      <c r="I426" s="23" t="s">
        <v>1624</v>
      </c>
      <c r="J426" s="77">
        <v>63.73</v>
      </c>
      <c r="K426" s="77">
        <v>1.52</v>
      </c>
      <c r="L426" s="77">
        <v>8.02</v>
      </c>
      <c r="N426" s="365">
        <f t="shared" si="132"/>
        <v>73.27</v>
      </c>
      <c r="O426" s="343">
        <f t="shared" si="133"/>
        <v>63.73</v>
      </c>
      <c r="P426" s="195" t="s">
        <v>5554</v>
      </c>
      <c r="Q426" s="326">
        <f>IFERROR(VLOOKUP($G426,主力整理!$A$2:$G$2301,6,0),"0")</f>
        <v>4</v>
      </c>
      <c r="T426" s="339">
        <f t="shared" si="134"/>
        <v>4</v>
      </c>
      <c r="V426" s="371">
        <v>0</v>
      </c>
      <c r="W426" s="35">
        <v>0.4</v>
      </c>
      <c r="X426" s="100">
        <v>0.62</v>
      </c>
      <c r="Y426" s="37" t="str">
        <f>RTD("money.excel",,"1906","Price")</f>
        <v>無資料</v>
      </c>
      <c r="Z426" s="69"/>
      <c r="AA426" s="16" t="e">
        <f t="shared" si="135"/>
        <v>#VALUE!</v>
      </c>
      <c r="AB426" s="3" t="e">
        <f t="shared" si="136"/>
        <v>#VALUE!</v>
      </c>
      <c r="AC426" s="177" t="s">
        <v>2648</v>
      </c>
      <c r="AD426" s="23" t="s">
        <v>1624</v>
      </c>
      <c r="AG426" s="34">
        <f t="shared" si="137"/>
        <v>0</v>
      </c>
      <c r="AH426" s="44" t="s">
        <v>3410</v>
      </c>
      <c r="AI426" s="131"/>
      <c r="AK426" s="66">
        <f t="shared" si="138"/>
        <v>0</v>
      </c>
      <c r="AL426" s="174">
        <f t="shared" si="139"/>
        <v>0</v>
      </c>
      <c r="AM426" s="346">
        <f>RTD("money.excel",,$G426,"PredictVolume")</f>
        <v>0</v>
      </c>
      <c r="AN426" s="272">
        <f>RTD("money.excel",,$G426,"CumulativeVolume")</f>
        <v>0</v>
      </c>
      <c r="AO426" s="284"/>
    </row>
    <row r="427" spans="1:41">
      <c r="A427" s="135" t="s">
        <v>2462</v>
      </c>
      <c r="B427" s="84">
        <v>124</v>
      </c>
      <c r="C427" s="84">
        <v>174</v>
      </c>
      <c r="D427" s="85">
        <v>-15</v>
      </c>
      <c r="E427" s="85">
        <v>-4</v>
      </c>
      <c r="F427" s="59">
        <v>13.46</v>
      </c>
      <c r="G427" s="85">
        <v>1907</v>
      </c>
      <c r="H427" s="4" t="s">
        <v>547</v>
      </c>
      <c r="I427" s="23" t="s">
        <v>168</v>
      </c>
      <c r="J427" s="77">
        <v>79.05</v>
      </c>
      <c r="K427" s="77">
        <v>18.68</v>
      </c>
      <c r="L427" s="371">
        <v>3.34</v>
      </c>
      <c r="N427" s="365">
        <f t="shared" si="132"/>
        <v>101.07</v>
      </c>
      <c r="O427" s="343">
        <f t="shared" si="133"/>
        <v>79.05</v>
      </c>
      <c r="P427" s="195">
        <v>12</v>
      </c>
      <c r="Q427" s="326">
        <v>9</v>
      </c>
      <c r="R427" s="111">
        <v>7</v>
      </c>
      <c r="S427" s="51">
        <v>10</v>
      </c>
      <c r="T427" s="339">
        <f t="shared" si="134"/>
        <v>38</v>
      </c>
      <c r="V427" s="371">
        <v>0.06</v>
      </c>
      <c r="W427" s="35">
        <v>1.5</v>
      </c>
      <c r="X427" s="59">
        <v>3.95</v>
      </c>
      <c r="Y427" s="37" t="str">
        <f>RTD("money.excel",,"1907","Price")</f>
        <v>無資料</v>
      </c>
      <c r="Z427" s="69"/>
      <c r="AA427" s="16" t="e">
        <f t="shared" si="135"/>
        <v>#VALUE!</v>
      </c>
      <c r="AB427" s="3" t="e">
        <f t="shared" si="136"/>
        <v>#VALUE!</v>
      </c>
      <c r="AC427" s="177" t="s">
        <v>2648</v>
      </c>
      <c r="AD427" s="23" t="s">
        <v>168</v>
      </c>
      <c r="AG427" s="34">
        <f t="shared" si="137"/>
        <v>0</v>
      </c>
      <c r="AH427" s="126" t="s">
        <v>4903</v>
      </c>
      <c r="AI427" s="284"/>
      <c r="AK427" s="66">
        <f t="shared" si="138"/>
        <v>0</v>
      </c>
      <c r="AL427" s="174">
        <f t="shared" si="139"/>
        <v>0</v>
      </c>
      <c r="AM427" s="346">
        <f>RTD("money.excel",,$G427,"PredictVolume")</f>
        <v>0</v>
      </c>
      <c r="AN427" s="272">
        <f>RTD("money.excel",,$G427,"CumulativeVolume")</f>
        <v>0</v>
      </c>
      <c r="AO427" s="284"/>
    </row>
    <row r="428" spans="1:41">
      <c r="A428" s="151" t="s">
        <v>3308</v>
      </c>
      <c r="B428" s="98">
        <v>1709</v>
      </c>
      <c r="C428" s="84">
        <v>20</v>
      </c>
      <c r="D428" s="84">
        <v>2</v>
      </c>
      <c r="E428" s="85">
        <v>-1</v>
      </c>
      <c r="F428" s="7">
        <v>4.3899999999999997</v>
      </c>
      <c r="G428" s="85">
        <v>1909</v>
      </c>
      <c r="H428" s="53" t="s">
        <v>547</v>
      </c>
      <c r="I428" s="23" t="s">
        <v>250</v>
      </c>
      <c r="J428" s="371">
        <v>69.66</v>
      </c>
      <c r="K428" s="77">
        <v>14.39</v>
      </c>
      <c r="L428" s="77">
        <v>10.029999999999999</v>
      </c>
      <c r="N428" s="365">
        <f t="shared" si="132"/>
        <v>94.08</v>
      </c>
      <c r="O428" s="343">
        <f t="shared" si="133"/>
        <v>69.66</v>
      </c>
      <c r="P428" s="195">
        <v>6</v>
      </c>
      <c r="Q428" s="326">
        <f>IFERROR(VLOOKUP($G428,主力整理!$A$2:$G$2301,6,0),"0")</f>
        <v>6</v>
      </c>
      <c r="T428" s="339">
        <f t="shared" si="134"/>
        <v>12</v>
      </c>
      <c r="V428" s="371">
        <v>0.35</v>
      </c>
      <c r="W428" s="35">
        <v>0.6</v>
      </c>
      <c r="X428" s="100">
        <v>0.78</v>
      </c>
      <c r="Y428" s="37" t="str">
        <f>RTD("money.excel",,"1909","Price")</f>
        <v>無資料</v>
      </c>
      <c r="Z428" s="69"/>
      <c r="AA428" s="16" t="e">
        <f t="shared" si="135"/>
        <v>#VALUE!</v>
      </c>
      <c r="AB428" s="3" t="e">
        <f t="shared" si="136"/>
        <v>#VALUE!</v>
      </c>
      <c r="AC428" s="177" t="s">
        <v>2648</v>
      </c>
      <c r="AD428" s="23" t="s">
        <v>250</v>
      </c>
      <c r="AG428" s="34">
        <f t="shared" si="137"/>
        <v>0</v>
      </c>
      <c r="AH428" s="125" t="s">
        <v>4903</v>
      </c>
      <c r="AI428" s="131"/>
      <c r="AK428" s="66">
        <f t="shared" si="138"/>
        <v>0</v>
      </c>
      <c r="AL428" s="174">
        <f t="shared" si="139"/>
        <v>0</v>
      </c>
      <c r="AM428" s="346">
        <f>RTD("money.excel",,$G428,"PredictVolume")</f>
        <v>0</v>
      </c>
      <c r="AN428" s="272">
        <f>RTD("money.excel",,$G428,"CumulativeVolume")</f>
        <v>0</v>
      </c>
      <c r="AO428" s="284"/>
    </row>
    <row r="429" spans="1:41">
      <c r="A429" s="151"/>
      <c r="B429" s="98"/>
      <c r="C429" s="84"/>
      <c r="D429" s="84"/>
      <c r="E429" s="85"/>
      <c r="F429" s="7"/>
      <c r="G429" s="85"/>
      <c r="H429" s="53"/>
      <c r="I429" s="23"/>
      <c r="J429" s="371"/>
      <c r="K429" s="77"/>
      <c r="N429" s="365"/>
      <c r="O429" s="343"/>
      <c r="P429" s="195"/>
      <c r="W429" s="35"/>
      <c r="X429" s="100"/>
      <c r="Y429" s="37"/>
      <c r="Z429" s="69"/>
      <c r="AA429" s="16"/>
      <c r="AB429" s="3"/>
      <c r="AD429" s="23"/>
      <c r="AG429" s="34"/>
      <c r="AH429" s="125"/>
      <c r="AI429" s="131"/>
      <c r="AK429" s="66"/>
      <c r="AL429" s="174"/>
      <c r="AM429" s="346"/>
      <c r="AN429" s="272"/>
      <c r="AO429" s="284"/>
    </row>
    <row r="430" spans="1:41" ht="17.25" customHeight="1">
      <c r="A430" s="135" t="s">
        <v>2552</v>
      </c>
      <c r="B430" s="96" t="s">
        <v>2331</v>
      </c>
      <c r="C430" s="96" t="s">
        <v>2332</v>
      </c>
      <c r="D430" s="96" t="s">
        <v>2333</v>
      </c>
      <c r="E430" s="96" t="s">
        <v>2334</v>
      </c>
      <c r="F430" s="9" t="s">
        <v>1709</v>
      </c>
      <c r="G430" s="52" t="s">
        <v>1418</v>
      </c>
      <c r="H430" s="56" t="s">
        <v>578</v>
      </c>
      <c r="I430" s="9" t="s">
        <v>548</v>
      </c>
      <c r="J430" s="364" t="s">
        <v>2189</v>
      </c>
      <c r="K430" s="364" t="s">
        <v>1820</v>
      </c>
      <c r="L430" s="364" t="s">
        <v>515</v>
      </c>
      <c r="M430" s="364" t="s">
        <v>1699</v>
      </c>
      <c r="N430" s="364" t="s">
        <v>6604</v>
      </c>
      <c r="O430" s="343" t="s">
        <v>6620</v>
      </c>
      <c r="P430" s="83" t="s">
        <v>5279</v>
      </c>
      <c r="Q430" s="326" t="s">
        <v>5514</v>
      </c>
      <c r="R430" s="31" t="s">
        <v>6596</v>
      </c>
      <c r="S430" s="51" t="s">
        <v>6597</v>
      </c>
      <c r="T430" s="338" t="s">
        <v>5627</v>
      </c>
      <c r="U430" s="330" t="s">
        <v>6537</v>
      </c>
      <c r="V430" s="377" t="s">
        <v>6616</v>
      </c>
      <c r="W430" s="11" t="s">
        <v>127</v>
      </c>
      <c r="X430" s="71" t="s">
        <v>5216</v>
      </c>
      <c r="Y430" s="29" t="s">
        <v>3</v>
      </c>
      <c r="Z430" s="18" t="s">
        <v>2113</v>
      </c>
      <c r="AA430" s="15" t="s">
        <v>8</v>
      </c>
      <c r="AB430" s="22" t="s">
        <v>4</v>
      </c>
      <c r="AC430" s="358" t="s">
        <v>211</v>
      </c>
      <c r="AD430" s="9" t="s">
        <v>548</v>
      </c>
      <c r="AE430" s="75" t="s">
        <v>2114</v>
      </c>
      <c r="AF430" s="76" t="s">
        <v>1826</v>
      </c>
      <c r="AG430" s="33" t="s">
        <v>1827</v>
      </c>
      <c r="AH430" s="126" t="s">
        <v>3071</v>
      </c>
      <c r="AI430" s="284"/>
      <c r="AK430" s="9" t="s">
        <v>6666</v>
      </c>
      <c r="AL430" s="5" t="s">
        <v>6667</v>
      </c>
      <c r="AM430" s="51" t="s">
        <v>5339</v>
      </c>
      <c r="AN430" s="276" t="s">
        <v>6665</v>
      </c>
      <c r="AO430" s="284"/>
    </row>
    <row r="431" spans="1:41">
      <c r="A431" s="135" t="s">
        <v>2448</v>
      </c>
      <c r="B431" s="98">
        <v>1411</v>
      </c>
      <c r="C431" s="98">
        <v>1727</v>
      </c>
      <c r="D431" s="84">
        <v>2</v>
      </c>
      <c r="E431" s="84">
        <v>59</v>
      </c>
      <c r="F431" s="59">
        <v>17.149999999999999</v>
      </c>
      <c r="G431" s="85">
        <v>2002</v>
      </c>
      <c r="H431" s="4" t="s">
        <v>548</v>
      </c>
      <c r="I431" s="23" t="s">
        <v>488</v>
      </c>
      <c r="J431" s="371">
        <v>60.33</v>
      </c>
      <c r="K431" s="371">
        <v>20.99</v>
      </c>
      <c r="L431" s="77">
        <v>2.37</v>
      </c>
      <c r="N431" s="365">
        <f t="shared" ref="N431:N476" si="140">J431+K431+L431+M431</f>
        <v>83.69</v>
      </c>
      <c r="O431" s="343">
        <f t="shared" ref="O431:O476" si="141">J431+M431</f>
        <v>60.33</v>
      </c>
      <c r="P431" s="195">
        <v>175</v>
      </c>
      <c r="Q431" s="326">
        <v>17</v>
      </c>
      <c r="R431" s="111">
        <v>2</v>
      </c>
      <c r="S431" s="51">
        <v>40</v>
      </c>
      <c r="T431" s="339">
        <f t="shared" ref="T431:T476" si="142">SUM(P431:S431)</f>
        <v>234</v>
      </c>
      <c r="V431" s="371">
        <v>0.77</v>
      </c>
      <c r="W431" s="35">
        <v>0.3</v>
      </c>
      <c r="X431" s="59">
        <v>1.9</v>
      </c>
      <c r="Y431" s="37" t="str">
        <f>RTD("money.excel",,"2002","Price")</f>
        <v>無資料</v>
      </c>
      <c r="Z431" s="69"/>
      <c r="AA431" s="16" t="e">
        <f t="shared" ref="AA431:AA476" si="143">Y431-Z431</f>
        <v>#VALUE!</v>
      </c>
      <c r="AB431" s="3" t="e">
        <f t="shared" ref="AB431:AB476" si="144">AA431/Z431</f>
        <v>#VALUE!</v>
      </c>
      <c r="AC431" s="177" t="s">
        <v>2648</v>
      </c>
      <c r="AD431" s="23" t="s">
        <v>488</v>
      </c>
      <c r="AG431" s="34">
        <f t="shared" ref="AG431:AG476" si="145">AF431-AE431</f>
        <v>0</v>
      </c>
      <c r="AH431" s="126" t="s">
        <v>548</v>
      </c>
      <c r="AI431" s="131"/>
      <c r="AK431" s="66">
        <f>AM431/(A431*10000)</f>
        <v>0</v>
      </c>
      <c r="AL431" s="174">
        <f>AN431/(A431*10000)</f>
        <v>0</v>
      </c>
      <c r="AM431" s="346">
        <f>RTD("money.excel",,$G431,"PredictVolume")</f>
        <v>0</v>
      </c>
      <c r="AN431" s="272">
        <f>RTD("money.excel",,$G431,"CumulativeVolume")</f>
        <v>0</v>
      </c>
      <c r="AO431" s="284"/>
    </row>
    <row r="432" spans="1:41">
      <c r="A432" s="135" t="s">
        <v>5482</v>
      </c>
      <c r="B432" s="84">
        <v>155</v>
      </c>
      <c r="C432" s="84">
        <v>105</v>
      </c>
      <c r="D432" s="85">
        <v>-6</v>
      </c>
      <c r="E432" s="84">
        <v>44</v>
      </c>
      <c r="F432" s="59">
        <v>12.57</v>
      </c>
      <c r="G432" s="85">
        <v>2006</v>
      </c>
      <c r="H432" s="4" t="s">
        <v>548</v>
      </c>
      <c r="I432" s="23" t="s">
        <v>1783</v>
      </c>
      <c r="J432" s="371">
        <v>63.2</v>
      </c>
      <c r="K432" s="371">
        <v>16.57</v>
      </c>
      <c r="L432" s="371">
        <v>7.39</v>
      </c>
      <c r="N432" s="365">
        <f t="shared" si="140"/>
        <v>87.160000000000011</v>
      </c>
      <c r="O432" s="343">
        <f t="shared" si="141"/>
        <v>63.2</v>
      </c>
      <c r="P432" s="195">
        <v>6</v>
      </c>
      <c r="Q432" s="326">
        <v>10</v>
      </c>
      <c r="R432" s="111">
        <v>2</v>
      </c>
      <c r="S432" s="51">
        <v>18</v>
      </c>
      <c r="T432" s="339">
        <f t="shared" si="142"/>
        <v>36</v>
      </c>
      <c r="V432" s="371">
        <v>3.73</v>
      </c>
      <c r="W432" s="35">
        <v>1.5</v>
      </c>
      <c r="X432" s="59">
        <v>5.12</v>
      </c>
      <c r="Y432" s="37" t="str">
        <f>RTD("money.excel",,"2006","Price")</f>
        <v>無資料</v>
      </c>
      <c r="Z432" s="69"/>
      <c r="AA432" s="16" t="e">
        <f t="shared" si="143"/>
        <v>#VALUE!</v>
      </c>
      <c r="AB432" s="3" t="e">
        <f t="shared" si="144"/>
        <v>#VALUE!</v>
      </c>
      <c r="AC432" s="177" t="s">
        <v>2648</v>
      </c>
      <c r="AD432" s="23" t="s">
        <v>1783</v>
      </c>
      <c r="AG432" s="34">
        <f t="shared" si="145"/>
        <v>0</v>
      </c>
      <c r="AH432" s="63" t="s">
        <v>4121</v>
      </c>
      <c r="AI432" s="131"/>
      <c r="AK432" s="66">
        <f t="shared" ref="AK432:AK476" si="146">AM432/(A432*10000)</f>
        <v>0</v>
      </c>
      <c r="AL432" s="174">
        <f t="shared" ref="AL432:AL476" si="147">AN432/(A432*10000)</f>
        <v>0</v>
      </c>
      <c r="AM432" s="346">
        <f>RTD("money.excel",,$G432,"PredictVolume")</f>
        <v>0</v>
      </c>
      <c r="AN432" s="272">
        <f>RTD("money.excel",,$G432,"CumulativeVolume")</f>
        <v>0</v>
      </c>
      <c r="AO432" s="284"/>
    </row>
    <row r="433" spans="1:41">
      <c r="A433" s="151" t="s">
        <v>3511</v>
      </c>
      <c r="B433" s="84">
        <v>6</v>
      </c>
      <c r="C433" s="84">
        <v>1</v>
      </c>
      <c r="D433" s="96">
        <v>-3</v>
      </c>
      <c r="E433" s="84">
        <v>10</v>
      </c>
      <c r="F433" s="7">
        <v>-7.39</v>
      </c>
      <c r="G433" s="85">
        <v>2007</v>
      </c>
      <c r="H433" s="4" t="s">
        <v>548</v>
      </c>
      <c r="I433" s="23" t="s">
        <v>1431</v>
      </c>
      <c r="J433" s="77">
        <v>80.319999999999993</v>
      </c>
      <c r="K433" s="77">
        <v>0.61</v>
      </c>
      <c r="N433" s="365">
        <f t="shared" si="140"/>
        <v>80.929999999999993</v>
      </c>
      <c r="O433" s="343">
        <f t="shared" si="141"/>
        <v>80.319999999999993</v>
      </c>
      <c r="P433" s="195">
        <v>3</v>
      </c>
      <c r="Q433" s="326">
        <f>IFERROR(VLOOKUP($G433,主力整理!$A$2:$G$2301,6,0),"0")</f>
        <v>3</v>
      </c>
      <c r="T433" s="339">
        <f t="shared" si="142"/>
        <v>6</v>
      </c>
      <c r="W433" s="35">
        <v>0</v>
      </c>
      <c r="X433" s="100">
        <v>-0.89</v>
      </c>
      <c r="Y433" s="37" t="str">
        <f>RTD("money.excel",,"2007","Price")</f>
        <v>無資料</v>
      </c>
      <c r="Z433" s="69"/>
      <c r="AA433" s="16" t="e">
        <f t="shared" si="143"/>
        <v>#VALUE!</v>
      </c>
      <c r="AB433" s="3" t="e">
        <f t="shared" si="144"/>
        <v>#VALUE!</v>
      </c>
      <c r="AC433" s="177" t="s">
        <v>2648</v>
      </c>
      <c r="AD433" s="23" t="s">
        <v>1431</v>
      </c>
      <c r="AG433" s="34">
        <f t="shared" si="145"/>
        <v>0</v>
      </c>
      <c r="AH433" s="44" t="s">
        <v>3510</v>
      </c>
      <c r="AI433" s="131"/>
      <c r="AK433" s="66">
        <f t="shared" si="146"/>
        <v>0</v>
      </c>
      <c r="AL433" s="174">
        <f t="shared" si="147"/>
        <v>0</v>
      </c>
      <c r="AM433" s="346">
        <f>RTD("money.excel",,$G433,"PredictVolume")</f>
        <v>0</v>
      </c>
      <c r="AN433" s="272">
        <f>RTD("money.excel",,$G433,"CumulativeVolume")</f>
        <v>0</v>
      </c>
      <c r="AO433" s="284"/>
    </row>
    <row r="434" spans="1:41">
      <c r="A434" s="151" t="s">
        <v>3115</v>
      </c>
      <c r="B434" s="85">
        <v>-203</v>
      </c>
      <c r="C434" s="85">
        <v>-448</v>
      </c>
      <c r="D434" s="84">
        <v>10</v>
      </c>
      <c r="E434" s="85">
        <v>-36</v>
      </c>
      <c r="F434" s="7">
        <v>-26.89</v>
      </c>
      <c r="G434" s="85">
        <v>2008</v>
      </c>
      <c r="H434" s="4" t="s">
        <v>548</v>
      </c>
      <c r="I434" s="23" t="s">
        <v>1432</v>
      </c>
      <c r="J434" s="77">
        <v>89.52</v>
      </c>
      <c r="K434" s="77">
        <v>7.35</v>
      </c>
      <c r="L434" s="371">
        <v>0.01</v>
      </c>
      <c r="N434" s="365">
        <f t="shared" si="140"/>
        <v>96.88</v>
      </c>
      <c r="O434" s="343">
        <f t="shared" si="141"/>
        <v>89.52</v>
      </c>
      <c r="P434" s="195">
        <v>1</v>
      </c>
      <c r="Q434" s="326" t="str">
        <f>IFERROR(VLOOKUP($G434,主力整理!$A$2:$G$2301,6,0),"0")</f>
        <v>0</v>
      </c>
      <c r="T434" s="339">
        <f t="shared" si="142"/>
        <v>1</v>
      </c>
      <c r="V434" s="371">
        <v>0</v>
      </c>
      <c r="W434" s="35">
        <v>0</v>
      </c>
      <c r="X434" s="100">
        <v>-0.16</v>
      </c>
      <c r="Y434" s="37" t="str">
        <f>RTD("money.excel",,"2008","Price")</f>
        <v>無資料</v>
      </c>
      <c r="Z434" s="69"/>
      <c r="AA434" s="16" t="e">
        <f t="shared" si="143"/>
        <v>#VALUE!</v>
      </c>
      <c r="AB434" s="3" t="e">
        <f t="shared" si="144"/>
        <v>#VALUE!</v>
      </c>
      <c r="AC434" s="177" t="s">
        <v>2648</v>
      </c>
      <c r="AD434" s="23" t="s">
        <v>1432</v>
      </c>
      <c r="AG434" s="34">
        <f t="shared" si="145"/>
        <v>0</v>
      </c>
      <c r="AH434" s="44" t="s">
        <v>3997</v>
      </c>
      <c r="AI434" s="131"/>
      <c r="AK434" s="66">
        <f t="shared" si="146"/>
        <v>0</v>
      </c>
      <c r="AL434" s="174">
        <f t="shared" si="147"/>
        <v>0</v>
      </c>
      <c r="AM434" s="346">
        <f>RTD("money.excel",,$G434,"PredictVolume")</f>
        <v>0</v>
      </c>
      <c r="AN434" s="272">
        <f>RTD("money.excel",,$G434,"CumulativeVolume")</f>
        <v>0</v>
      </c>
      <c r="AO434" s="284"/>
    </row>
    <row r="435" spans="1:41">
      <c r="A435" s="135" t="s">
        <v>4863</v>
      </c>
      <c r="B435" s="84">
        <v>218</v>
      </c>
      <c r="C435" s="84">
        <v>230</v>
      </c>
      <c r="D435" s="85">
        <v>-4</v>
      </c>
      <c r="E435" s="84">
        <v>53</v>
      </c>
      <c r="F435" s="59">
        <v>11.13</v>
      </c>
      <c r="G435" s="85">
        <v>2009</v>
      </c>
      <c r="H435" s="4" t="s">
        <v>548</v>
      </c>
      <c r="I435" s="23" t="s">
        <v>1433</v>
      </c>
      <c r="J435" s="77">
        <v>57.81</v>
      </c>
      <c r="K435" s="77">
        <v>3.95</v>
      </c>
      <c r="L435" s="371">
        <v>14.78</v>
      </c>
      <c r="N435" s="365">
        <f t="shared" si="140"/>
        <v>76.540000000000006</v>
      </c>
      <c r="O435" s="343">
        <f t="shared" si="141"/>
        <v>57.81</v>
      </c>
      <c r="P435" s="195">
        <v>2</v>
      </c>
      <c r="Q435" s="326">
        <f>IFERROR(VLOOKUP($G435,主力整理!$A$2:$G$2301,6,0),"0")</f>
        <v>9</v>
      </c>
      <c r="R435" s="111">
        <v>34</v>
      </c>
      <c r="S435" s="51">
        <v>1</v>
      </c>
      <c r="T435" s="339">
        <f t="shared" si="142"/>
        <v>46</v>
      </c>
      <c r="V435" s="371">
        <v>41.03</v>
      </c>
      <c r="W435" s="35">
        <v>0.8</v>
      </c>
      <c r="X435" s="59">
        <v>1.18</v>
      </c>
      <c r="Y435" s="37" t="str">
        <f>RTD("money.excel",,"2009","Price")</f>
        <v>無資料</v>
      </c>
      <c r="Z435" s="69"/>
      <c r="AA435" s="16" t="e">
        <f t="shared" si="143"/>
        <v>#VALUE!</v>
      </c>
      <c r="AB435" s="3" t="e">
        <f t="shared" si="144"/>
        <v>#VALUE!</v>
      </c>
      <c r="AC435" s="177" t="s">
        <v>2648</v>
      </c>
      <c r="AD435" s="23" t="s">
        <v>1433</v>
      </c>
      <c r="AG435" s="34">
        <f t="shared" si="145"/>
        <v>0</v>
      </c>
      <c r="AH435" s="63" t="s">
        <v>3669</v>
      </c>
      <c r="AI435" s="131"/>
      <c r="AK435" s="66">
        <f t="shared" si="146"/>
        <v>0</v>
      </c>
      <c r="AL435" s="174">
        <f t="shared" si="147"/>
        <v>0</v>
      </c>
      <c r="AM435" s="346">
        <f>RTD("money.excel",,$G435,"PredictVolume")</f>
        <v>0</v>
      </c>
      <c r="AN435" s="272">
        <f>RTD("money.excel",,$G435,"CumulativeVolume")</f>
        <v>0</v>
      </c>
      <c r="AO435" s="284"/>
    </row>
    <row r="436" spans="1:41">
      <c r="A436" s="151" t="s">
        <v>4864</v>
      </c>
      <c r="B436" s="84">
        <v>327</v>
      </c>
      <c r="C436" s="84">
        <v>353</v>
      </c>
      <c r="D436" s="85">
        <v>-2</v>
      </c>
      <c r="E436" s="84">
        <v>36</v>
      </c>
      <c r="F436" s="7">
        <v>5.78</v>
      </c>
      <c r="G436" s="85">
        <v>2010</v>
      </c>
      <c r="H436" s="4" t="s">
        <v>548</v>
      </c>
      <c r="I436" s="23" t="s">
        <v>1434</v>
      </c>
      <c r="J436" s="77">
        <v>60.58</v>
      </c>
      <c r="K436" s="77">
        <v>4.3899999999999997</v>
      </c>
      <c r="L436" s="371">
        <v>7.1</v>
      </c>
      <c r="N436" s="365">
        <f t="shared" si="140"/>
        <v>72.069999999999993</v>
      </c>
      <c r="O436" s="343">
        <f t="shared" si="141"/>
        <v>60.58</v>
      </c>
      <c r="P436" s="195">
        <v>2</v>
      </c>
      <c r="Q436" s="326">
        <f>IFERROR(VLOOKUP($G436,主力整理!$A$2:$G$2301,6,0),"0")</f>
        <v>8</v>
      </c>
      <c r="R436" s="111">
        <v>9</v>
      </c>
      <c r="S436" s="51">
        <v>1</v>
      </c>
      <c r="T436" s="339">
        <f t="shared" si="142"/>
        <v>20</v>
      </c>
      <c r="V436" s="371">
        <v>2.58</v>
      </c>
      <c r="W436" s="35">
        <v>0.6</v>
      </c>
      <c r="X436" s="59">
        <v>1.54</v>
      </c>
      <c r="Y436" s="37" t="str">
        <f>RTD("money.excel",,"2010","Price")</f>
        <v>無資料</v>
      </c>
      <c r="Z436" s="69"/>
      <c r="AA436" s="16" t="e">
        <f t="shared" si="143"/>
        <v>#VALUE!</v>
      </c>
      <c r="AB436" s="3" t="e">
        <f t="shared" si="144"/>
        <v>#VALUE!</v>
      </c>
      <c r="AC436" s="177" t="s">
        <v>2648</v>
      </c>
      <c r="AD436" s="23" t="s">
        <v>1434</v>
      </c>
      <c r="AG436" s="34">
        <f t="shared" si="145"/>
        <v>0</v>
      </c>
      <c r="AH436" s="44" t="s">
        <v>5205</v>
      </c>
      <c r="AI436" s="131"/>
      <c r="AK436" s="66">
        <f t="shared" si="146"/>
        <v>0</v>
      </c>
      <c r="AL436" s="174">
        <f t="shared" si="147"/>
        <v>0</v>
      </c>
      <c r="AM436" s="346">
        <f>RTD("money.excel",,$G436,"PredictVolume")</f>
        <v>0</v>
      </c>
      <c r="AN436" s="272">
        <f>RTD("money.excel",,$G436,"CumulativeVolume")</f>
        <v>0</v>
      </c>
      <c r="AO436" s="284"/>
    </row>
    <row r="437" spans="1:41">
      <c r="A437" s="151" t="s">
        <v>2507</v>
      </c>
      <c r="B437" s="84">
        <v>242</v>
      </c>
      <c r="C437" s="84">
        <v>187</v>
      </c>
      <c r="D437" s="85">
        <v>-4</v>
      </c>
      <c r="E437" s="84">
        <v>49</v>
      </c>
      <c r="F437" s="7">
        <v>9.02</v>
      </c>
      <c r="G437" s="85">
        <v>2012</v>
      </c>
      <c r="H437" s="4" t="s">
        <v>548</v>
      </c>
      <c r="I437" s="23" t="s">
        <v>1435</v>
      </c>
      <c r="J437" s="77">
        <v>71.040000000000006</v>
      </c>
      <c r="K437" s="77">
        <v>1.75</v>
      </c>
      <c r="L437" s="371">
        <v>4.93</v>
      </c>
      <c r="N437" s="365">
        <f t="shared" si="140"/>
        <v>77.72</v>
      </c>
      <c r="O437" s="343">
        <f t="shared" si="141"/>
        <v>71.040000000000006</v>
      </c>
      <c r="P437" s="195">
        <v>6</v>
      </c>
      <c r="Q437" s="326">
        <f>IFERROR(VLOOKUP($G437,主力整理!$A$2:$G$2301,6,0),"0")</f>
        <v>4</v>
      </c>
      <c r="R437" s="111">
        <v>15</v>
      </c>
      <c r="S437" s="51">
        <v>1</v>
      </c>
      <c r="T437" s="339">
        <f t="shared" si="142"/>
        <v>26</v>
      </c>
      <c r="V437" s="371">
        <v>1.75</v>
      </c>
      <c r="W437" s="35">
        <v>0.6</v>
      </c>
      <c r="X437" s="59">
        <v>1.77</v>
      </c>
      <c r="Y437" s="37" t="str">
        <f>RTD("money.excel",,"2012","Price")</f>
        <v>無資料</v>
      </c>
      <c r="Z437" s="69"/>
      <c r="AA437" s="16" t="e">
        <f t="shared" si="143"/>
        <v>#VALUE!</v>
      </c>
      <c r="AB437" s="3" t="e">
        <f t="shared" si="144"/>
        <v>#VALUE!</v>
      </c>
      <c r="AC437" s="177" t="s">
        <v>2648</v>
      </c>
      <c r="AD437" s="23" t="s">
        <v>1435</v>
      </c>
      <c r="AG437" s="34">
        <f t="shared" si="145"/>
        <v>0</v>
      </c>
      <c r="AH437" s="44" t="s">
        <v>2796</v>
      </c>
      <c r="AI437" s="131"/>
      <c r="AK437" s="66">
        <f t="shared" si="146"/>
        <v>0</v>
      </c>
      <c r="AL437" s="174">
        <f t="shared" si="147"/>
        <v>0</v>
      </c>
      <c r="AM437" s="346">
        <f>RTD("money.excel",,$G437,"PredictVolume")</f>
        <v>0</v>
      </c>
      <c r="AN437" s="272">
        <f>RTD("money.excel",,$G437,"CumulativeVolume")</f>
        <v>0</v>
      </c>
      <c r="AO437" s="284"/>
    </row>
    <row r="438" spans="1:41">
      <c r="A438" s="151" t="s">
        <v>3115</v>
      </c>
      <c r="B438" s="85">
        <v>-12</v>
      </c>
      <c r="C438" s="84">
        <v>361</v>
      </c>
      <c r="D438" s="85">
        <v>-49</v>
      </c>
      <c r="E438" s="85">
        <v>-45</v>
      </c>
      <c r="F438" s="7">
        <v>0.37</v>
      </c>
      <c r="G438" s="85">
        <v>2013</v>
      </c>
      <c r="H438" s="4" t="s">
        <v>548</v>
      </c>
      <c r="I438" s="23" t="s">
        <v>186</v>
      </c>
      <c r="J438" s="371">
        <v>60.57</v>
      </c>
      <c r="K438" s="371">
        <v>7.35</v>
      </c>
      <c r="L438" s="371">
        <v>4.9000000000000004</v>
      </c>
      <c r="N438" s="365">
        <f t="shared" si="140"/>
        <v>72.820000000000007</v>
      </c>
      <c r="O438" s="343">
        <f t="shared" si="141"/>
        <v>60.57</v>
      </c>
      <c r="P438" s="195">
        <v>4</v>
      </c>
      <c r="Q438" s="326">
        <f>IFERROR(VLOOKUP($G438,主力整理!$A$2:$G$2301,6,0),"0")</f>
        <v>8</v>
      </c>
      <c r="T438" s="339">
        <f t="shared" si="142"/>
        <v>12</v>
      </c>
      <c r="V438" s="371">
        <v>42.87</v>
      </c>
      <c r="W438" s="35">
        <v>2.8</v>
      </c>
      <c r="X438" s="59">
        <v>3.27</v>
      </c>
      <c r="Y438" s="37" t="str">
        <f>RTD("money.excel",,"2013","Price")</f>
        <v>無資料</v>
      </c>
      <c r="Z438" s="69"/>
      <c r="AA438" s="16" t="e">
        <f t="shared" si="143"/>
        <v>#VALUE!</v>
      </c>
      <c r="AB438" s="3" t="e">
        <f t="shared" si="144"/>
        <v>#VALUE!</v>
      </c>
      <c r="AC438" s="177" t="s">
        <v>2648</v>
      </c>
      <c r="AD438" s="23" t="s">
        <v>186</v>
      </c>
      <c r="AG438" s="34">
        <f t="shared" si="145"/>
        <v>0</v>
      </c>
      <c r="AH438" s="125" t="s">
        <v>5201</v>
      </c>
      <c r="AI438" s="131"/>
      <c r="AK438" s="66">
        <f t="shared" si="146"/>
        <v>0</v>
      </c>
      <c r="AL438" s="174">
        <f t="shared" si="147"/>
        <v>0</v>
      </c>
      <c r="AM438" s="346">
        <f>RTD("money.excel",,$G438,"PredictVolume")</f>
        <v>0</v>
      </c>
      <c r="AN438" s="272">
        <f>RTD("money.excel",,$G438,"CumulativeVolume")</f>
        <v>0</v>
      </c>
      <c r="AO438" s="284"/>
    </row>
    <row r="439" spans="1:41">
      <c r="A439" s="135" t="s">
        <v>2658</v>
      </c>
      <c r="B439" s="98">
        <v>2378</v>
      </c>
      <c r="C439" s="98">
        <v>1707</v>
      </c>
      <c r="D439" s="85">
        <v>-5</v>
      </c>
      <c r="E439" s="84">
        <v>52</v>
      </c>
      <c r="F439" s="59">
        <v>13.52</v>
      </c>
      <c r="G439" s="85">
        <v>2014</v>
      </c>
      <c r="H439" s="4" t="s">
        <v>548</v>
      </c>
      <c r="I439" s="23" t="s">
        <v>1436</v>
      </c>
      <c r="J439" s="77">
        <v>53.81</v>
      </c>
      <c r="K439" s="77">
        <v>8.49</v>
      </c>
      <c r="L439" s="77">
        <v>16.29</v>
      </c>
      <c r="M439" s="371">
        <v>40.590000000000003</v>
      </c>
      <c r="N439" s="365">
        <f t="shared" si="140"/>
        <v>119.18</v>
      </c>
      <c r="O439" s="369">
        <f t="shared" si="141"/>
        <v>94.4</v>
      </c>
      <c r="P439" s="195">
        <v>69</v>
      </c>
      <c r="Q439" s="326">
        <v>41</v>
      </c>
      <c r="R439" s="111">
        <v>27</v>
      </c>
      <c r="S439" s="51">
        <v>48</v>
      </c>
      <c r="T439" s="339">
        <f t="shared" si="142"/>
        <v>185</v>
      </c>
      <c r="U439" s="329" t="s">
        <v>6538</v>
      </c>
      <c r="V439" s="371">
        <v>3.77</v>
      </c>
      <c r="W439" s="35">
        <v>0.3</v>
      </c>
      <c r="X439" s="59">
        <v>4.33</v>
      </c>
      <c r="Y439" s="37" t="str">
        <f>RTD("money.excel",,"2014","Price")</f>
        <v>無資料</v>
      </c>
      <c r="Z439" s="69"/>
      <c r="AA439" s="16" t="e">
        <f t="shared" si="143"/>
        <v>#VALUE!</v>
      </c>
      <c r="AB439" s="3" t="e">
        <f t="shared" si="144"/>
        <v>#VALUE!</v>
      </c>
      <c r="AC439" s="177" t="s">
        <v>2648</v>
      </c>
      <c r="AD439" s="23" t="s">
        <v>1436</v>
      </c>
      <c r="AG439" s="34">
        <f t="shared" si="145"/>
        <v>0</v>
      </c>
      <c r="AH439" s="63" t="s">
        <v>2659</v>
      </c>
      <c r="AI439" s="131"/>
      <c r="AK439" s="66">
        <f t="shared" si="146"/>
        <v>0</v>
      </c>
      <c r="AL439" s="174">
        <f t="shared" si="147"/>
        <v>0</v>
      </c>
      <c r="AM439" s="346">
        <f>RTD("money.excel",,$G439,"PredictVolume")</f>
        <v>0</v>
      </c>
      <c r="AN439" s="272">
        <f>RTD("money.excel",,$G439,"CumulativeVolume")</f>
        <v>0</v>
      </c>
      <c r="AO439" s="284"/>
    </row>
    <row r="440" spans="1:41">
      <c r="A440" s="135" t="s">
        <v>2601</v>
      </c>
      <c r="B440" s="84">
        <v>29</v>
      </c>
      <c r="C440" s="84">
        <v>50</v>
      </c>
      <c r="D440" s="85">
        <v>-1</v>
      </c>
      <c r="E440" s="85">
        <v>-3</v>
      </c>
      <c r="F440" s="59">
        <v>11.58</v>
      </c>
      <c r="G440" s="85">
        <v>2015</v>
      </c>
      <c r="H440" s="4" t="s">
        <v>548</v>
      </c>
      <c r="I440" s="23" t="s">
        <v>251</v>
      </c>
      <c r="J440" s="77">
        <v>79.709999999999994</v>
      </c>
      <c r="K440" s="77">
        <v>9.4600000000000009</v>
      </c>
      <c r="L440" s="77">
        <v>7.0000000000000007E-2</v>
      </c>
      <c r="N440" s="365">
        <f t="shared" si="140"/>
        <v>89.239999999999981</v>
      </c>
      <c r="O440" s="343">
        <f t="shared" si="141"/>
        <v>79.709999999999994</v>
      </c>
      <c r="P440" s="195">
        <v>7</v>
      </c>
      <c r="Q440" s="326">
        <f>IFERROR(VLOOKUP($G440,主力整理!$A$2:$G$2301,6,0),"0")</f>
        <v>4</v>
      </c>
      <c r="T440" s="339">
        <f t="shared" si="142"/>
        <v>11</v>
      </c>
      <c r="V440" s="371">
        <v>0</v>
      </c>
      <c r="W440" s="69">
        <v>3.5</v>
      </c>
      <c r="X440" s="100">
        <v>4.5</v>
      </c>
      <c r="Y440" s="37" t="str">
        <f>RTD("money.excel",,"2015","Price")</f>
        <v>無資料</v>
      </c>
      <c r="Z440" s="69"/>
      <c r="AA440" s="16" t="e">
        <f t="shared" si="143"/>
        <v>#VALUE!</v>
      </c>
      <c r="AB440" s="3" t="e">
        <f t="shared" si="144"/>
        <v>#VALUE!</v>
      </c>
      <c r="AC440" s="177" t="s">
        <v>2929</v>
      </c>
      <c r="AD440" s="23" t="s">
        <v>251</v>
      </c>
      <c r="AG440" s="34">
        <f t="shared" si="145"/>
        <v>0</v>
      </c>
      <c r="AH440" s="126" t="s">
        <v>4194</v>
      </c>
      <c r="AI440" s="131"/>
      <c r="AK440" s="66">
        <f t="shared" si="146"/>
        <v>0</v>
      </c>
      <c r="AL440" s="174">
        <f t="shared" si="147"/>
        <v>0</v>
      </c>
      <c r="AM440" s="346">
        <f>RTD("money.excel",,$G440,"PredictVolume")</f>
        <v>0</v>
      </c>
      <c r="AN440" s="272">
        <f>RTD("money.excel",,$G440,"CumulativeVolume")</f>
        <v>0</v>
      </c>
      <c r="AO440" s="284"/>
    </row>
    <row r="441" spans="1:41">
      <c r="A441" s="135" t="s">
        <v>4865</v>
      </c>
      <c r="B441" s="84">
        <v>585</v>
      </c>
      <c r="C441" s="84">
        <v>348</v>
      </c>
      <c r="D441" s="85">
        <v>-11</v>
      </c>
      <c r="E441" s="85">
        <v>-36</v>
      </c>
      <c r="F441" s="59">
        <v>14.54</v>
      </c>
      <c r="G441" s="85">
        <v>2017</v>
      </c>
      <c r="H441" s="4" t="s">
        <v>548</v>
      </c>
      <c r="I441" s="23" t="s">
        <v>1437</v>
      </c>
      <c r="J441" s="371">
        <v>63.5</v>
      </c>
      <c r="K441" s="77">
        <v>15.14</v>
      </c>
      <c r="L441" s="371">
        <v>10.11</v>
      </c>
      <c r="N441" s="365">
        <f t="shared" si="140"/>
        <v>88.75</v>
      </c>
      <c r="O441" s="343">
        <f t="shared" si="141"/>
        <v>63.5</v>
      </c>
      <c r="P441" s="195">
        <v>0</v>
      </c>
      <c r="Q441" s="326">
        <v>6</v>
      </c>
      <c r="R441" s="111">
        <v>22</v>
      </c>
      <c r="S441" s="51">
        <v>0</v>
      </c>
      <c r="T441" s="339">
        <f t="shared" si="142"/>
        <v>28</v>
      </c>
      <c r="V441" s="371">
        <v>0.44</v>
      </c>
      <c r="W441" s="35">
        <v>0.3</v>
      </c>
      <c r="X441" s="59">
        <v>1.45</v>
      </c>
      <c r="Y441" s="37" t="str">
        <f>RTD("money.excel",,"2017","Price")</f>
        <v>無資料</v>
      </c>
      <c r="Z441" s="69"/>
      <c r="AA441" s="16" t="e">
        <f t="shared" si="143"/>
        <v>#VALUE!</v>
      </c>
      <c r="AB441" s="3" t="e">
        <f t="shared" si="144"/>
        <v>#VALUE!</v>
      </c>
      <c r="AD441" s="23" t="s">
        <v>1437</v>
      </c>
      <c r="AG441" s="34">
        <f t="shared" si="145"/>
        <v>0</v>
      </c>
      <c r="AH441" s="63" t="s">
        <v>5200</v>
      </c>
      <c r="AI441" s="131"/>
      <c r="AK441" s="66">
        <f t="shared" si="146"/>
        <v>0</v>
      </c>
      <c r="AL441" s="174">
        <f t="shared" si="147"/>
        <v>0</v>
      </c>
      <c r="AM441" s="346">
        <f>RTD("money.excel",,$G441,"PredictVolume")</f>
        <v>0</v>
      </c>
      <c r="AN441" s="272">
        <f>RTD("money.excel",,$G441,"CumulativeVolume")</f>
        <v>0</v>
      </c>
      <c r="AO441" s="284"/>
    </row>
    <row r="442" spans="1:41">
      <c r="A442" s="151" t="s">
        <v>3254</v>
      </c>
      <c r="B442" s="85">
        <v>-18</v>
      </c>
      <c r="C442" s="85">
        <v>-29</v>
      </c>
      <c r="D442" s="84">
        <v>3</v>
      </c>
      <c r="E442" s="84">
        <v>30</v>
      </c>
      <c r="F442" s="7">
        <v>4.26</v>
      </c>
      <c r="G442" s="85">
        <v>2020</v>
      </c>
      <c r="H442" s="4" t="s">
        <v>548</v>
      </c>
      <c r="I442" s="23" t="s">
        <v>1438</v>
      </c>
      <c r="J442" s="77">
        <v>57.13</v>
      </c>
      <c r="K442" s="77">
        <v>2.1800000000000002</v>
      </c>
      <c r="L442" s="77">
        <v>1.95</v>
      </c>
      <c r="N442" s="365">
        <f t="shared" si="140"/>
        <v>61.260000000000005</v>
      </c>
      <c r="O442" s="343">
        <f t="shared" si="141"/>
        <v>57.13</v>
      </c>
      <c r="P442" s="195">
        <v>3</v>
      </c>
      <c r="Q442" s="326">
        <f>IFERROR(VLOOKUP($G442,主力整理!$A$2:$G$2301,6,0),"0")</f>
        <v>2</v>
      </c>
      <c r="T442" s="339">
        <f t="shared" si="142"/>
        <v>5</v>
      </c>
      <c r="V442" s="371">
        <v>0</v>
      </c>
      <c r="W442" s="35">
        <v>1.85</v>
      </c>
      <c r="X442" s="100">
        <v>1.76</v>
      </c>
      <c r="Y442" s="37" t="str">
        <f>RTD("money.excel",,"2020","Price")</f>
        <v>無資料</v>
      </c>
      <c r="Z442" s="69"/>
      <c r="AA442" s="16" t="e">
        <f t="shared" si="143"/>
        <v>#VALUE!</v>
      </c>
      <c r="AB442" s="3" t="e">
        <f t="shared" si="144"/>
        <v>#VALUE!</v>
      </c>
      <c r="AC442" s="177" t="s">
        <v>2648</v>
      </c>
      <c r="AD442" s="23" t="s">
        <v>1438</v>
      </c>
      <c r="AG442" s="34">
        <f t="shared" si="145"/>
        <v>0</v>
      </c>
      <c r="AH442" s="44" t="s">
        <v>3997</v>
      </c>
      <c r="AI442" s="131"/>
      <c r="AK442" s="66">
        <f t="shared" si="146"/>
        <v>0</v>
      </c>
      <c r="AL442" s="174">
        <f t="shared" si="147"/>
        <v>0</v>
      </c>
      <c r="AM442" s="346">
        <f>RTD("money.excel",,$G442,"PredictVolume")</f>
        <v>0</v>
      </c>
      <c r="AN442" s="272">
        <f>RTD("money.excel",,$G442,"CumulativeVolume")</f>
        <v>0</v>
      </c>
      <c r="AO442" s="284"/>
    </row>
    <row r="443" spans="1:41">
      <c r="A443" s="151" t="s">
        <v>2791</v>
      </c>
      <c r="B443" s="85">
        <v>-300</v>
      </c>
      <c r="C443" s="85">
        <v>-335</v>
      </c>
      <c r="D443" s="85">
        <v>-7</v>
      </c>
      <c r="E443" s="85">
        <v>-25</v>
      </c>
      <c r="F443" s="7">
        <v>-1.53</v>
      </c>
      <c r="G443" s="85">
        <v>2022</v>
      </c>
      <c r="H443" s="4" t="s">
        <v>548</v>
      </c>
      <c r="I443" s="23" t="s">
        <v>1439</v>
      </c>
      <c r="J443" s="371">
        <v>66.41</v>
      </c>
      <c r="K443" s="77">
        <v>3.33</v>
      </c>
      <c r="L443" s="371">
        <v>4.47</v>
      </c>
      <c r="N443" s="365">
        <f t="shared" si="140"/>
        <v>74.209999999999994</v>
      </c>
      <c r="O443" s="343">
        <f t="shared" si="141"/>
        <v>66.41</v>
      </c>
      <c r="P443" s="195">
        <v>2</v>
      </c>
      <c r="Q443" s="326">
        <f>IFERROR(VLOOKUP($G443,主力整理!$A$2:$G$2301,6,0),"0")</f>
        <v>2</v>
      </c>
      <c r="T443" s="339">
        <f t="shared" si="142"/>
        <v>4</v>
      </c>
      <c r="V443" s="371">
        <v>8.7899999999999991</v>
      </c>
      <c r="W443" s="35">
        <v>0</v>
      </c>
      <c r="X443" s="100">
        <v>-0.39</v>
      </c>
      <c r="Y443" s="37" t="str">
        <f>RTD("money.excel",,"2022","Price")</f>
        <v>無資料</v>
      </c>
      <c r="Z443" s="69"/>
      <c r="AA443" s="16" t="e">
        <f t="shared" si="143"/>
        <v>#VALUE!</v>
      </c>
      <c r="AB443" s="3" t="e">
        <f t="shared" si="144"/>
        <v>#VALUE!</v>
      </c>
      <c r="AC443" s="177" t="s">
        <v>2648</v>
      </c>
      <c r="AD443" s="23" t="s">
        <v>1439</v>
      </c>
      <c r="AG443" s="34">
        <f t="shared" si="145"/>
        <v>0</v>
      </c>
      <c r="AH443" s="44" t="s">
        <v>2797</v>
      </c>
      <c r="AI443" s="131"/>
      <c r="AK443" s="66">
        <f t="shared" si="146"/>
        <v>0</v>
      </c>
      <c r="AL443" s="174">
        <f t="shared" si="147"/>
        <v>0</v>
      </c>
      <c r="AM443" s="346">
        <f>RTD("money.excel",,$G443,"PredictVolume")</f>
        <v>0</v>
      </c>
      <c r="AN443" s="272">
        <f>RTD("money.excel",,$G443,"CumulativeVolume")</f>
        <v>0</v>
      </c>
      <c r="AO443" s="284"/>
    </row>
    <row r="444" spans="1:41">
      <c r="A444" s="151" t="s">
        <v>4866</v>
      </c>
      <c r="B444" s="84">
        <v>34</v>
      </c>
      <c r="C444" s="84">
        <v>106</v>
      </c>
      <c r="D444" s="85">
        <v>-21</v>
      </c>
      <c r="E444" s="85">
        <v>-19</v>
      </c>
      <c r="F444" s="7">
        <v>0.23</v>
      </c>
      <c r="G444" s="85">
        <v>2023</v>
      </c>
      <c r="H444" s="4" t="s">
        <v>548</v>
      </c>
      <c r="I444" s="23" t="s">
        <v>219</v>
      </c>
      <c r="J444" s="77">
        <v>77.849999999999994</v>
      </c>
      <c r="K444" s="371">
        <v>6.42</v>
      </c>
      <c r="L444" s="77">
        <v>1.1000000000000001</v>
      </c>
      <c r="N444" s="365">
        <f t="shared" si="140"/>
        <v>85.36999999999999</v>
      </c>
      <c r="O444" s="343">
        <f t="shared" si="141"/>
        <v>77.849999999999994</v>
      </c>
      <c r="P444" s="195">
        <v>11</v>
      </c>
      <c r="Q444" s="326">
        <f>IFERROR(VLOOKUP($G444,主力整理!$A$2:$G$2301,6,0),"0")</f>
        <v>6</v>
      </c>
      <c r="T444" s="339">
        <f t="shared" si="142"/>
        <v>17</v>
      </c>
      <c r="V444" s="371">
        <v>3.29</v>
      </c>
      <c r="W444" s="35">
        <v>0</v>
      </c>
      <c r="X444" s="100">
        <v>0.39</v>
      </c>
      <c r="Y444" s="37" t="str">
        <f>RTD("money.excel",,"2023","Price")</f>
        <v>無資料</v>
      </c>
      <c r="Z444" s="69"/>
      <c r="AA444" s="16" t="e">
        <f t="shared" si="143"/>
        <v>#VALUE!</v>
      </c>
      <c r="AB444" s="3" t="e">
        <f t="shared" si="144"/>
        <v>#VALUE!</v>
      </c>
      <c r="AC444" s="177" t="s">
        <v>2648</v>
      </c>
      <c r="AD444" s="23" t="s">
        <v>219</v>
      </c>
      <c r="AG444" s="34">
        <f t="shared" si="145"/>
        <v>0</v>
      </c>
      <c r="AH444" s="125" t="s">
        <v>5199</v>
      </c>
      <c r="AI444" s="131"/>
      <c r="AK444" s="66">
        <f t="shared" si="146"/>
        <v>0</v>
      </c>
      <c r="AL444" s="174">
        <f t="shared" si="147"/>
        <v>0</v>
      </c>
      <c r="AM444" s="346">
        <f>RTD("money.excel",,$G444,"PredictVolume")</f>
        <v>0</v>
      </c>
      <c r="AN444" s="272">
        <f>RTD("money.excel",,$G444,"CumulativeVolume")</f>
        <v>0</v>
      </c>
      <c r="AO444" s="284"/>
    </row>
    <row r="445" spans="1:41">
      <c r="A445" s="151" t="s">
        <v>4705</v>
      </c>
      <c r="B445" s="96">
        <v>-70</v>
      </c>
      <c r="C445" s="96">
        <v>-72</v>
      </c>
      <c r="D445" s="96">
        <v>1</v>
      </c>
      <c r="E445" s="96">
        <v>19</v>
      </c>
      <c r="F445" s="7">
        <v>8.2899999999999991</v>
      </c>
      <c r="G445" s="85">
        <v>2024</v>
      </c>
      <c r="H445" s="4" t="s">
        <v>548</v>
      </c>
      <c r="I445" s="23" t="s">
        <v>1440</v>
      </c>
      <c r="J445" s="77">
        <v>44.98</v>
      </c>
      <c r="K445" s="77">
        <v>0.18</v>
      </c>
      <c r="L445" s="77">
        <v>6.67</v>
      </c>
      <c r="N445" s="365">
        <f t="shared" si="140"/>
        <v>51.83</v>
      </c>
      <c r="O445" s="343">
        <f t="shared" si="141"/>
        <v>44.98</v>
      </c>
      <c r="P445" s="195" t="s">
        <v>5554</v>
      </c>
      <c r="Q445" s="326" t="str">
        <f>IFERROR(VLOOKUP($G445,主力整理!$A$2:$G$2301,6,0),"0")</f>
        <v>0</v>
      </c>
      <c r="T445" s="339">
        <f t="shared" si="142"/>
        <v>0</v>
      </c>
      <c r="V445" s="371">
        <v>25.69</v>
      </c>
      <c r="W445" s="35">
        <v>0.25</v>
      </c>
      <c r="X445" s="100">
        <v>0.28000000000000003</v>
      </c>
      <c r="Y445" s="37" t="str">
        <f>RTD("money.excel",,"2024","Price")</f>
        <v>無資料</v>
      </c>
      <c r="Z445" s="69"/>
      <c r="AA445" s="16" t="e">
        <f t="shared" si="143"/>
        <v>#VALUE!</v>
      </c>
      <c r="AB445" s="3" t="e">
        <f t="shared" si="144"/>
        <v>#VALUE!</v>
      </c>
      <c r="AD445" s="23" t="s">
        <v>1440</v>
      </c>
      <c r="AG445" s="34">
        <f t="shared" si="145"/>
        <v>0</v>
      </c>
      <c r="AH445" s="44" t="s">
        <v>5204</v>
      </c>
      <c r="AI445" s="131"/>
      <c r="AK445" s="66">
        <f t="shared" si="146"/>
        <v>0</v>
      </c>
      <c r="AL445" s="174">
        <f t="shared" si="147"/>
        <v>0</v>
      </c>
      <c r="AM445" s="346">
        <f>RTD("money.excel",,$G445,"PredictVolume")</f>
        <v>0</v>
      </c>
      <c r="AN445" s="272">
        <f>RTD("money.excel",,$G445,"CumulativeVolume")</f>
        <v>0</v>
      </c>
      <c r="AO445" s="284"/>
    </row>
    <row r="446" spans="1:41">
      <c r="A446" s="151" t="s">
        <v>2671</v>
      </c>
      <c r="B446" s="96">
        <v>-41</v>
      </c>
      <c r="C446" s="96">
        <v>-32</v>
      </c>
      <c r="D446" s="96">
        <v>145</v>
      </c>
      <c r="E446" s="96">
        <v>92</v>
      </c>
      <c r="F446" s="7">
        <v>-30.56</v>
      </c>
      <c r="G446" s="85">
        <v>2025</v>
      </c>
      <c r="H446" s="4" t="s">
        <v>548</v>
      </c>
      <c r="I446" s="23" t="s">
        <v>4867</v>
      </c>
      <c r="J446" s="77">
        <v>63.8</v>
      </c>
      <c r="K446" s="77">
        <v>0.22</v>
      </c>
      <c r="N446" s="365">
        <f t="shared" si="140"/>
        <v>64.02</v>
      </c>
      <c r="O446" s="343">
        <f t="shared" si="141"/>
        <v>63.8</v>
      </c>
      <c r="P446" s="195" t="s">
        <v>5554</v>
      </c>
      <c r="Q446" s="326">
        <f>IFERROR(VLOOKUP($G446,主力整理!$A$2:$G$2301,6,0),"0")</f>
        <v>2</v>
      </c>
      <c r="T446" s="339">
        <f t="shared" si="142"/>
        <v>2</v>
      </c>
      <c r="W446" s="35">
        <v>0</v>
      </c>
      <c r="X446" s="100">
        <v>-0.75</v>
      </c>
      <c r="Y446" s="14" t="str">
        <f>RTD("money.excel",,"2025","Price")</f>
        <v>無資料</v>
      </c>
      <c r="Z446" s="69"/>
      <c r="AA446" s="16" t="e">
        <f t="shared" si="143"/>
        <v>#VALUE!</v>
      </c>
      <c r="AB446" s="3" t="e">
        <f t="shared" si="144"/>
        <v>#VALUE!</v>
      </c>
      <c r="AD446" s="23" t="s">
        <v>4867</v>
      </c>
      <c r="AG446" s="34">
        <f t="shared" si="145"/>
        <v>0</v>
      </c>
      <c r="AH446" s="44" t="s">
        <v>4868</v>
      </c>
      <c r="AI446" s="131"/>
      <c r="AK446" s="66">
        <f t="shared" si="146"/>
        <v>0</v>
      </c>
      <c r="AL446" s="174">
        <f t="shared" si="147"/>
        <v>0</v>
      </c>
      <c r="AM446" s="346">
        <f>RTD("money.excel",,$G446,"PredictVolume")</f>
        <v>0</v>
      </c>
      <c r="AN446" s="272">
        <f>RTD("money.excel",,$G446,"CumulativeVolume")</f>
        <v>0</v>
      </c>
      <c r="AO446" s="284"/>
    </row>
    <row r="447" spans="1:41">
      <c r="A447" s="135" t="s">
        <v>6362</v>
      </c>
      <c r="B447" s="84">
        <v>757</v>
      </c>
      <c r="C447" s="98">
        <v>4247</v>
      </c>
      <c r="D447" s="84">
        <v>1</v>
      </c>
      <c r="E447" s="84">
        <v>67</v>
      </c>
      <c r="F447" s="59">
        <v>16.760000000000002</v>
      </c>
      <c r="G447" s="85">
        <v>2027</v>
      </c>
      <c r="H447" s="4" t="s">
        <v>548</v>
      </c>
      <c r="I447" s="23" t="s">
        <v>512</v>
      </c>
      <c r="J447" s="371">
        <v>55.95</v>
      </c>
      <c r="K447" s="77">
        <v>16.989999999999998</v>
      </c>
      <c r="L447" s="77">
        <v>13.63</v>
      </c>
      <c r="N447" s="365">
        <f t="shared" si="140"/>
        <v>86.57</v>
      </c>
      <c r="O447" s="343">
        <f t="shared" si="141"/>
        <v>55.95</v>
      </c>
      <c r="P447" s="195">
        <v>3</v>
      </c>
      <c r="Q447" s="326">
        <v>19</v>
      </c>
      <c r="R447" s="111">
        <v>9</v>
      </c>
      <c r="S447" s="51">
        <v>24</v>
      </c>
      <c r="T447" s="339">
        <f t="shared" si="142"/>
        <v>55</v>
      </c>
      <c r="V447" s="371">
        <v>7.51</v>
      </c>
      <c r="W447" s="35">
        <v>0.8</v>
      </c>
      <c r="X447" s="59">
        <v>2.85</v>
      </c>
      <c r="Y447" s="37" t="str">
        <f>RTD("money.excel",,"2027","Price")</f>
        <v>無資料</v>
      </c>
      <c r="Z447" s="69"/>
      <c r="AA447" s="16" t="e">
        <f t="shared" si="143"/>
        <v>#VALUE!</v>
      </c>
      <c r="AB447" s="3" t="e">
        <f t="shared" si="144"/>
        <v>#VALUE!</v>
      </c>
      <c r="AC447" s="177" t="s">
        <v>2648</v>
      </c>
      <c r="AD447" s="23" t="s">
        <v>512</v>
      </c>
      <c r="AG447" s="34">
        <f t="shared" si="145"/>
        <v>0</v>
      </c>
      <c r="AH447" s="126" t="s">
        <v>5198</v>
      </c>
      <c r="AI447" s="131"/>
      <c r="AK447" s="66">
        <f t="shared" si="146"/>
        <v>0</v>
      </c>
      <c r="AL447" s="174">
        <f t="shared" si="147"/>
        <v>0</v>
      </c>
      <c r="AM447" s="346">
        <f>RTD("money.excel",,$G447,"PredictVolume")</f>
        <v>0</v>
      </c>
      <c r="AN447" s="272">
        <f>RTD("money.excel",,$G447,"CumulativeVolume")</f>
        <v>0</v>
      </c>
      <c r="AO447" s="284"/>
    </row>
    <row r="448" spans="1:41">
      <c r="A448" s="135" t="s">
        <v>3009</v>
      </c>
      <c r="B448" s="84">
        <v>463</v>
      </c>
      <c r="C448" s="84">
        <v>450</v>
      </c>
      <c r="D448" s="85">
        <v>-20</v>
      </c>
      <c r="E448" s="84">
        <v>76</v>
      </c>
      <c r="F448" s="59">
        <v>13.08</v>
      </c>
      <c r="G448" s="85">
        <v>2028</v>
      </c>
      <c r="H448" s="4" t="s">
        <v>548</v>
      </c>
      <c r="I448" s="23" t="s">
        <v>1441</v>
      </c>
      <c r="J448" s="77">
        <v>77.819999999999993</v>
      </c>
      <c r="K448" s="77">
        <v>1.23</v>
      </c>
      <c r="L448" s="371">
        <v>14.28</v>
      </c>
      <c r="N448" s="365">
        <f t="shared" si="140"/>
        <v>93.33</v>
      </c>
      <c r="O448" s="343">
        <f t="shared" si="141"/>
        <v>77.819999999999993</v>
      </c>
      <c r="P448" s="195">
        <v>1</v>
      </c>
      <c r="Q448" s="326">
        <v>7</v>
      </c>
      <c r="R448" s="111">
        <v>32</v>
      </c>
      <c r="S448" s="51">
        <v>0</v>
      </c>
      <c r="T448" s="339">
        <f t="shared" si="142"/>
        <v>40</v>
      </c>
      <c r="V448" s="371">
        <v>14.95</v>
      </c>
      <c r="W448" s="35">
        <v>0</v>
      </c>
      <c r="X448" s="59">
        <v>3.69</v>
      </c>
      <c r="Y448" s="37" t="str">
        <f>RTD("money.excel",,"2028","Price")</f>
        <v>無資料</v>
      </c>
      <c r="Z448" s="69"/>
      <c r="AA448" s="16" t="e">
        <f t="shared" si="143"/>
        <v>#VALUE!</v>
      </c>
      <c r="AB448" s="3" t="e">
        <f t="shared" si="144"/>
        <v>#VALUE!</v>
      </c>
      <c r="AC448" s="177" t="s">
        <v>2648</v>
      </c>
      <c r="AD448" s="23" t="s">
        <v>1441</v>
      </c>
      <c r="AG448" s="34">
        <f t="shared" si="145"/>
        <v>0</v>
      </c>
      <c r="AH448" s="63" t="s">
        <v>4194</v>
      </c>
      <c r="AI448" s="131"/>
      <c r="AK448" s="66">
        <f t="shared" si="146"/>
        <v>0</v>
      </c>
      <c r="AL448" s="174">
        <f t="shared" si="147"/>
        <v>0</v>
      </c>
      <c r="AM448" s="346">
        <f>RTD("money.excel",,$G448,"PredictVolume")</f>
        <v>0</v>
      </c>
      <c r="AN448" s="272">
        <f>RTD("money.excel",,$G448,"CumulativeVolume")</f>
        <v>0</v>
      </c>
      <c r="AO448" s="284"/>
    </row>
    <row r="449" spans="1:41">
      <c r="A449" s="135" t="s">
        <v>3144</v>
      </c>
      <c r="B449" s="98">
        <v>2687</v>
      </c>
      <c r="C449" s="98">
        <v>9950</v>
      </c>
      <c r="D449" s="85">
        <v>-20</v>
      </c>
      <c r="E449" s="84">
        <v>27</v>
      </c>
      <c r="F449" s="59">
        <v>11.06</v>
      </c>
      <c r="G449" s="85">
        <v>2029</v>
      </c>
      <c r="H449" s="4" t="s">
        <v>548</v>
      </c>
      <c r="I449" s="23" t="s">
        <v>187</v>
      </c>
      <c r="J449" s="371">
        <v>68.319999999999993</v>
      </c>
      <c r="K449" s="77">
        <v>69.959999999999994</v>
      </c>
      <c r="L449" s="371">
        <v>13.31</v>
      </c>
      <c r="N449" s="365">
        <f t="shared" si="140"/>
        <v>151.58999999999997</v>
      </c>
      <c r="O449" s="343">
        <f t="shared" si="141"/>
        <v>68.319999999999993</v>
      </c>
      <c r="P449" s="195">
        <v>5</v>
      </c>
      <c r="Q449" s="326">
        <v>4</v>
      </c>
      <c r="R449" s="111">
        <v>10</v>
      </c>
      <c r="S449" s="51">
        <v>3</v>
      </c>
      <c r="T449" s="339">
        <f t="shared" si="142"/>
        <v>22</v>
      </c>
      <c r="V449" s="371">
        <v>0.23</v>
      </c>
      <c r="W449" s="35">
        <v>0.5</v>
      </c>
      <c r="X449" s="59">
        <v>2.77</v>
      </c>
      <c r="Y449" s="14" t="str">
        <f>RTD("money.excel",,"2029","Price")</f>
        <v>無資料</v>
      </c>
      <c r="Z449" s="69"/>
      <c r="AA449" s="16" t="e">
        <f t="shared" si="143"/>
        <v>#VALUE!</v>
      </c>
      <c r="AB449" s="3" t="e">
        <f t="shared" si="144"/>
        <v>#VALUE!</v>
      </c>
      <c r="AC449" s="177" t="s">
        <v>2648</v>
      </c>
      <c r="AD449" s="23" t="s">
        <v>187</v>
      </c>
      <c r="AG449" s="34">
        <f t="shared" si="145"/>
        <v>0</v>
      </c>
      <c r="AH449" s="126" t="s">
        <v>3145</v>
      </c>
      <c r="AI449" s="131"/>
      <c r="AK449" s="66">
        <f t="shared" si="146"/>
        <v>0</v>
      </c>
      <c r="AL449" s="174">
        <f t="shared" si="147"/>
        <v>0</v>
      </c>
      <c r="AM449" s="346">
        <f>RTD("money.excel",,$G449,"PredictVolume")</f>
        <v>0</v>
      </c>
      <c r="AN449" s="272">
        <f>RTD("money.excel",,$G449,"CumulativeVolume")</f>
        <v>0</v>
      </c>
      <c r="AO449" s="284"/>
    </row>
    <row r="450" spans="1:41">
      <c r="A450" s="151" t="s">
        <v>3267</v>
      </c>
      <c r="B450" s="84">
        <v>764</v>
      </c>
      <c r="C450" s="246">
        <v>15111</v>
      </c>
      <c r="D450" s="84">
        <v>4</v>
      </c>
      <c r="E450" s="84">
        <v>53</v>
      </c>
      <c r="F450" s="7">
        <v>8.67</v>
      </c>
      <c r="G450" s="85">
        <v>2030</v>
      </c>
      <c r="H450" s="4" t="s">
        <v>548</v>
      </c>
      <c r="I450" s="23" t="s">
        <v>1442</v>
      </c>
      <c r="J450" s="77">
        <v>34.15</v>
      </c>
      <c r="K450" s="77">
        <v>2.85</v>
      </c>
      <c r="L450" s="371">
        <v>27.02</v>
      </c>
      <c r="N450" s="365">
        <f t="shared" si="140"/>
        <v>64.02</v>
      </c>
      <c r="O450" s="343">
        <f t="shared" si="141"/>
        <v>34.15</v>
      </c>
      <c r="P450" s="195">
        <v>1</v>
      </c>
      <c r="Q450" s="326">
        <f>IFERROR(VLOOKUP($G450,主力整理!$A$2:$G$2301,6,0),"0")</f>
        <v>5</v>
      </c>
      <c r="R450" s="111">
        <v>18</v>
      </c>
      <c r="S450" s="51">
        <v>1</v>
      </c>
      <c r="T450" s="339">
        <f t="shared" si="142"/>
        <v>25</v>
      </c>
      <c r="V450" s="371">
        <v>2.46</v>
      </c>
      <c r="W450" s="35">
        <v>0.5</v>
      </c>
      <c r="X450" s="100">
        <v>2.04</v>
      </c>
      <c r="Y450" s="37" t="str">
        <f>RTD("money.excel",,"2030","Price")</f>
        <v>無資料</v>
      </c>
      <c r="Z450" s="69"/>
      <c r="AA450" s="16" t="e">
        <f t="shared" si="143"/>
        <v>#VALUE!</v>
      </c>
      <c r="AB450" s="3" t="e">
        <f t="shared" si="144"/>
        <v>#VALUE!</v>
      </c>
      <c r="AC450" s="177" t="s">
        <v>2648</v>
      </c>
      <c r="AD450" s="23" t="s">
        <v>1442</v>
      </c>
      <c r="AG450" s="34">
        <f t="shared" si="145"/>
        <v>0</v>
      </c>
      <c r="AH450" s="44" t="s">
        <v>5198</v>
      </c>
      <c r="AI450" s="131"/>
      <c r="AK450" s="66">
        <f t="shared" si="146"/>
        <v>0</v>
      </c>
      <c r="AL450" s="174">
        <f t="shared" si="147"/>
        <v>0</v>
      </c>
      <c r="AM450" s="346">
        <f>RTD("money.excel",,$G450,"PredictVolume")</f>
        <v>0</v>
      </c>
      <c r="AN450" s="272">
        <f>RTD("money.excel",,$G450,"CumulativeVolume")</f>
        <v>0</v>
      </c>
      <c r="AO450" s="284"/>
    </row>
    <row r="451" spans="1:41">
      <c r="A451" s="135" t="s">
        <v>3144</v>
      </c>
      <c r="B451" s="98">
        <v>1523</v>
      </c>
      <c r="C451" s="98">
        <v>5275</v>
      </c>
      <c r="D451" s="85">
        <v>-7</v>
      </c>
      <c r="E451" s="84">
        <v>26</v>
      </c>
      <c r="F451" s="59">
        <v>17.739999999999998</v>
      </c>
      <c r="G451" s="85">
        <v>2031</v>
      </c>
      <c r="H451" s="4" t="s">
        <v>548</v>
      </c>
      <c r="I451" s="23" t="s">
        <v>523</v>
      </c>
      <c r="J451" s="371">
        <v>44.13</v>
      </c>
      <c r="K451" s="77">
        <v>9.26</v>
      </c>
      <c r="L451" s="371">
        <v>24.72</v>
      </c>
      <c r="N451" s="365">
        <f t="shared" si="140"/>
        <v>78.11</v>
      </c>
      <c r="O451" s="343">
        <f t="shared" si="141"/>
        <v>44.13</v>
      </c>
      <c r="P451" s="195">
        <v>10</v>
      </c>
      <c r="Q451" s="326">
        <v>3</v>
      </c>
      <c r="R451" s="111">
        <v>9</v>
      </c>
      <c r="S451" s="51">
        <v>12</v>
      </c>
      <c r="T451" s="339">
        <f t="shared" si="142"/>
        <v>34</v>
      </c>
      <c r="V451" s="371">
        <v>2.2799999999999998</v>
      </c>
      <c r="W451" s="35">
        <v>1.92</v>
      </c>
      <c r="X451" s="100">
        <v>7.43</v>
      </c>
      <c r="Y451" s="37" t="str">
        <f>RTD("money.excel",,"2031","Price")</f>
        <v>無資料</v>
      </c>
      <c r="Z451" s="69"/>
      <c r="AA451" s="16" t="e">
        <f t="shared" si="143"/>
        <v>#VALUE!</v>
      </c>
      <c r="AB451" s="3" t="e">
        <f t="shared" si="144"/>
        <v>#VALUE!</v>
      </c>
      <c r="AC451" s="177" t="s">
        <v>2648</v>
      </c>
      <c r="AD451" s="23" t="s">
        <v>523</v>
      </c>
      <c r="AG451" s="34">
        <f t="shared" si="145"/>
        <v>0</v>
      </c>
      <c r="AH451" s="63" t="s">
        <v>3343</v>
      </c>
      <c r="AI451" s="284"/>
      <c r="AK451" s="66">
        <f t="shared" si="146"/>
        <v>0</v>
      </c>
      <c r="AL451" s="174">
        <f t="shared" si="147"/>
        <v>0</v>
      </c>
      <c r="AM451" s="346">
        <f>RTD("money.excel",,$G451,"PredictVolume")</f>
        <v>0</v>
      </c>
      <c r="AN451" s="272">
        <f>RTD("money.excel",,$G451,"CumulativeVolume")</f>
        <v>0</v>
      </c>
      <c r="AO451" s="284"/>
    </row>
    <row r="452" spans="1:41">
      <c r="A452" s="151" t="s">
        <v>3088</v>
      </c>
      <c r="B452" s="84">
        <v>288</v>
      </c>
      <c r="C452" s="84">
        <v>300</v>
      </c>
      <c r="D452" s="85">
        <v>-17</v>
      </c>
      <c r="E452" s="85">
        <v>-7</v>
      </c>
      <c r="F452" s="7">
        <v>7.6</v>
      </c>
      <c r="G452" s="85">
        <v>2032</v>
      </c>
      <c r="H452" s="4" t="s">
        <v>548</v>
      </c>
      <c r="I452" s="23" t="s">
        <v>1455</v>
      </c>
      <c r="J452" s="371">
        <v>46.11</v>
      </c>
      <c r="K452" s="77">
        <v>1.54</v>
      </c>
      <c r="L452" s="77">
        <v>15.8</v>
      </c>
      <c r="N452" s="365">
        <f t="shared" si="140"/>
        <v>63.45</v>
      </c>
      <c r="O452" s="343">
        <f t="shared" si="141"/>
        <v>46.11</v>
      </c>
      <c r="P452" s="195">
        <v>1</v>
      </c>
      <c r="Q452" s="326">
        <f>IFERROR(VLOOKUP($G452,主力整理!$A$2:$G$2301,6,0),"0")</f>
        <v>2</v>
      </c>
      <c r="R452" s="111">
        <v>22</v>
      </c>
      <c r="S452" s="51">
        <v>0</v>
      </c>
      <c r="T452" s="339">
        <f t="shared" si="142"/>
        <v>25</v>
      </c>
      <c r="V452" s="371">
        <v>23.25</v>
      </c>
      <c r="W452" s="35">
        <v>0.53</v>
      </c>
      <c r="X452" s="100">
        <v>0.57999999999999996</v>
      </c>
      <c r="Y452" s="37" t="str">
        <f>RTD("money.excel",,"2032","Price")</f>
        <v>無資料</v>
      </c>
      <c r="Z452" s="69"/>
      <c r="AA452" s="16" t="e">
        <f t="shared" si="143"/>
        <v>#VALUE!</v>
      </c>
      <c r="AB452" s="3" t="e">
        <f t="shared" si="144"/>
        <v>#VALUE!</v>
      </c>
      <c r="AC452" s="177" t="s">
        <v>2648</v>
      </c>
      <c r="AD452" s="23" t="s">
        <v>1455</v>
      </c>
      <c r="AG452" s="34">
        <f t="shared" si="145"/>
        <v>0</v>
      </c>
      <c r="AH452" s="44" t="s">
        <v>3512</v>
      </c>
      <c r="AI452" s="131"/>
      <c r="AK452" s="66">
        <f t="shared" si="146"/>
        <v>0</v>
      </c>
      <c r="AL452" s="174">
        <f t="shared" si="147"/>
        <v>0</v>
      </c>
      <c r="AM452" s="346">
        <f>RTD("money.excel",,$G452,"PredictVolume")</f>
        <v>0</v>
      </c>
      <c r="AN452" s="272">
        <f>RTD("money.excel",,$G452,"CumulativeVolume")</f>
        <v>0</v>
      </c>
      <c r="AO452" s="284"/>
    </row>
    <row r="453" spans="1:41">
      <c r="A453" s="151" t="s">
        <v>3027</v>
      </c>
      <c r="B453" s="145">
        <v>1822</v>
      </c>
      <c r="C453" s="96">
        <v>319</v>
      </c>
      <c r="D453" s="96">
        <v>-6</v>
      </c>
      <c r="E453" s="96">
        <v>18</v>
      </c>
      <c r="F453" s="7">
        <v>2.12</v>
      </c>
      <c r="G453" s="85">
        <v>2033</v>
      </c>
      <c r="H453" s="4" t="s">
        <v>548</v>
      </c>
      <c r="I453" s="23" t="s">
        <v>1456</v>
      </c>
      <c r="J453" s="77">
        <v>63.8</v>
      </c>
      <c r="K453" s="77">
        <v>0.22</v>
      </c>
      <c r="L453" s="77">
        <v>9.15</v>
      </c>
      <c r="N453" s="365">
        <f t="shared" si="140"/>
        <v>73.17</v>
      </c>
      <c r="O453" s="343">
        <f t="shared" si="141"/>
        <v>63.8</v>
      </c>
      <c r="P453" s="195" t="s">
        <v>5554</v>
      </c>
      <c r="Q453" s="326" t="str">
        <f>IFERROR(VLOOKUP($G453,主力整理!$A$2:$G$2301,6,0),"0")</f>
        <v>0</v>
      </c>
      <c r="T453" s="339">
        <f t="shared" si="142"/>
        <v>0</v>
      </c>
      <c r="V453" s="371">
        <v>12.61</v>
      </c>
      <c r="W453" s="35">
        <v>0.3</v>
      </c>
      <c r="X453" s="100">
        <v>0.25</v>
      </c>
      <c r="Y453" s="14" t="str">
        <f>RTD("money.excel",,"2033","Price")</f>
        <v>無資料</v>
      </c>
      <c r="Z453" s="69"/>
      <c r="AA453" s="16" t="e">
        <f t="shared" si="143"/>
        <v>#VALUE!</v>
      </c>
      <c r="AB453" s="3" t="e">
        <f t="shared" si="144"/>
        <v>#VALUE!</v>
      </c>
      <c r="AD453" s="23" t="s">
        <v>1456</v>
      </c>
      <c r="AG453" s="34">
        <f t="shared" si="145"/>
        <v>0</v>
      </c>
      <c r="AH453" s="44" t="s">
        <v>2281</v>
      </c>
      <c r="AI453" s="131"/>
      <c r="AK453" s="66">
        <f t="shared" si="146"/>
        <v>0</v>
      </c>
      <c r="AL453" s="174">
        <f t="shared" si="147"/>
        <v>0</v>
      </c>
      <c r="AM453" s="346">
        <f>RTD("money.excel",,$G453,"PredictVolume")</f>
        <v>0</v>
      </c>
      <c r="AN453" s="272">
        <f>RTD("money.excel",,$G453,"CumulativeVolume")</f>
        <v>0</v>
      </c>
      <c r="AO453" s="284"/>
    </row>
    <row r="454" spans="1:41">
      <c r="A454" s="151" t="s">
        <v>2527</v>
      </c>
      <c r="B454" s="85">
        <v>-28</v>
      </c>
      <c r="C454" s="85">
        <v>-48</v>
      </c>
      <c r="D454" s="84">
        <v>12</v>
      </c>
      <c r="E454" s="85">
        <v>-17</v>
      </c>
      <c r="F454" s="7">
        <v>4.22</v>
      </c>
      <c r="G454" s="85">
        <v>2034</v>
      </c>
      <c r="H454" s="4" t="s">
        <v>548</v>
      </c>
      <c r="I454" s="23" t="s">
        <v>513</v>
      </c>
      <c r="J454" s="371">
        <v>42.92</v>
      </c>
      <c r="K454" s="371">
        <v>9.26</v>
      </c>
      <c r="L454" s="77">
        <v>7.8</v>
      </c>
      <c r="N454" s="365">
        <f t="shared" si="140"/>
        <v>59.98</v>
      </c>
      <c r="O454" s="343">
        <f t="shared" si="141"/>
        <v>42.92</v>
      </c>
      <c r="P454" s="195">
        <v>4</v>
      </c>
      <c r="Q454" s="326">
        <f>IFERROR(VLOOKUP($G454,主力整理!$A$2:$G$2301,6,0),"0")</f>
        <v>5</v>
      </c>
      <c r="T454" s="339">
        <f t="shared" si="142"/>
        <v>9</v>
      </c>
      <c r="V454" s="371">
        <v>0.19</v>
      </c>
      <c r="W454" s="35">
        <v>1.5</v>
      </c>
      <c r="X454" s="100">
        <v>1.04</v>
      </c>
      <c r="Y454" s="37" t="str">
        <f>RTD("money.excel",,"2034","Price")</f>
        <v>無資料</v>
      </c>
      <c r="Z454" s="69"/>
      <c r="AA454" s="16" t="e">
        <f t="shared" si="143"/>
        <v>#VALUE!</v>
      </c>
      <c r="AB454" s="3" t="e">
        <f t="shared" si="144"/>
        <v>#VALUE!</v>
      </c>
      <c r="AC454" s="177" t="s">
        <v>2648</v>
      </c>
      <c r="AD454" s="23" t="s">
        <v>513</v>
      </c>
      <c r="AG454" s="34">
        <f t="shared" si="145"/>
        <v>0</v>
      </c>
      <c r="AH454" s="125" t="s">
        <v>5198</v>
      </c>
      <c r="AI454" s="284"/>
      <c r="AK454" s="66">
        <f t="shared" si="146"/>
        <v>0</v>
      </c>
      <c r="AL454" s="174">
        <f t="shared" si="147"/>
        <v>0</v>
      </c>
      <c r="AM454" s="346">
        <f>RTD("money.excel",,$G454,"PredictVolume")</f>
        <v>0</v>
      </c>
      <c r="AN454" s="272">
        <f>RTD("money.excel",,$G454,"CumulativeVolume")</f>
        <v>0</v>
      </c>
      <c r="AO454" s="284"/>
    </row>
    <row r="455" spans="1:41">
      <c r="A455" s="151" t="s">
        <v>3294</v>
      </c>
      <c r="B455" s="85">
        <v>-193</v>
      </c>
      <c r="C455" s="85">
        <v>-39</v>
      </c>
      <c r="D455" s="84">
        <v>24</v>
      </c>
      <c r="E455" s="84">
        <v>32</v>
      </c>
      <c r="F455" s="7">
        <v>-7.73</v>
      </c>
      <c r="G455" s="85">
        <v>2035</v>
      </c>
      <c r="H455" s="4" t="s">
        <v>548</v>
      </c>
      <c r="I455" s="17" t="s">
        <v>1419</v>
      </c>
      <c r="J455" s="77">
        <v>97.4</v>
      </c>
      <c r="K455" s="371">
        <v>0.01</v>
      </c>
      <c r="L455" s="371">
        <v>0.01</v>
      </c>
      <c r="N455" s="365">
        <f t="shared" si="140"/>
        <v>97.420000000000016</v>
      </c>
      <c r="O455" s="343">
        <f t="shared" si="141"/>
        <v>97.4</v>
      </c>
      <c r="P455" s="195">
        <v>6</v>
      </c>
      <c r="Q455" s="326" t="str">
        <f>IFERROR(VLOOKUP($G455,主力整理!$A$2:$G$2301,6,0),"0")</f>
        <v>0</v>
      </c>
      <c r="T455" s="339">
        <f t="shared" si="142"/>
        <v>6</v>
      </c>
      <c r="V455" s="371">
        <v>0</v>
      </c>
      <c r="W455" s="35">
        <v>0</v>
      </c>
      <c r="X455" s="59">
        <v>-1.9</v>
      </c>
      <c r="Y455" s="37" t="str">
        <f>RTD("money.excel",,"2035","Price")</f>
        <v>無資料</v>
      </c>
      <c r="Z455" s="69"/>
      <c r="AA455" s="16" t="e">
        <f t="shared" si="143"/>
        <v>#VALUE!</v>
      </c>
      <c r="AB455" s="3" t="e">
        <f t="shared" si="144"/>
        <v>#VALUE!</v>
      </c>
      <c r="AC455" s="177" t="s">
        <v>2648</v>
      </c>
      <c r="AD455" s="17" t="s">
        <v>1419</v>
      </c>
      <c r="AG455" s="34">
        <f t="shared" si="145"/>
        <v>0</v>
      </c>
      <c r="AH455" s="44" t="s">
        <v>4188</v>
      </c>
      <c r="AI455" s="131"/>
      <c r="AK455" s="66">
        <f t="shared" si="146"/>
        <v>0</v>
      </c>
      <c r="AL455" s="174">
        <f t="shared" si="147"/>
        <v>0</v>
      </c>
      <c r="AM455" s="346">
        <f>RTD("money.excel",,$G455,"PredictVolume")</f>
        <v>0</v>
      </c>
      <c r="AN455" s="272">
        <f>RTD("money.excel",,$G455,"CumulativeVolume")</f>
        <v>0</v>
      </c>
      <c r="AO455" s="284"/>
    </row>
    <row r="456" spans="1:41">
      <c r="A456" s="151" t="s">
        <v>2511</v>
      </c>
      <c r="B456" s="84">
        <v>265</v>
      </c>
      <c r="C456" s="84">
        <v>244</v>
      </c>
      <c r="D456" s="85">
        <v>-3</v>
      </c>
      <c r="E456" s="84">
        <v>46</v>
      </c>
      <c r="F456" s="7">
        <v>5.58</v>
      </c>
      <c r="G456" s="85">
        <v>2038</v>
      </c>
      <c r="H456" s="4" t="s">
        <v>548</v>
      </c>
      <c r="I456" s="23" t="s">
        <v>1457</v>
      </c>
      <c r="J456" s="77">
        <v>50.25</v>
      </c>
      <c r="K456" s="77">
        <v>3.1</v>
      </c>
      <c r="L456" s="371">
        <v>28.1</v>
      </c>
      <c r="N456" s="365">
        <f t="shared" si="140"/>
        <v>81.45</v>
      </c>
      <c r="O456" s="343">
        <f t="shared" si="141"/>
        <v>50.25</v>
      </c>
      <c r="P456" s="195">
        <v>2</v>
      </c>
      <c r="Q456" s="326">
        <f>IFERROR(VLOOKUP($G456,主力整理!$A$2:$G$2301,6,0),"0")</f>
        <v>4</v>
      </c>
      <c r="R456" s="111">
        <v>33</v>
      </c>
      <c r="S456" s="51">
        <v>0</v>
      </c>
      <c r="T456" s="339">
        <f t="shared" si="142"/>
        <v>39</v>
      </c>
      <c r="V456" s="371">
        <v>5.82</v>
      </c>
      <c r="W456" s="35">
        <v>0.5</v>
      </c>
      <c r="X456" s="59">
        <v>1.87</v>
      </c>
      <c r="Y456" s="37" t="str">
        <f>RTD("money.excel",,"2038","Price")</f>
        <v>無資料</v>
      </c>
      <c r="Z456" s="69"/>
      <c r="AA456" s="16" t="e">
        <f t="shared" si="143"/>
        <v>#VALUE!</v>
      </c>
      <c r="AB456" s="3" t="e">
        <f t="shared" si="144"/>
        <v>#VALUE!</v>
      </c>
      <c r="AC456" s="177" t="s">
        <v>2648</v>
      </c>
      <c r="AD456" s="23" t="s">
        <v>1457</v>
      </c>
      <c r="AG456" s="34">
        <f t="shared" si="145"/>
        <v>0</v>
      </c>
      <c r="AH456" s="44" t="s">
        <v>4194</v>
      </c>
      <c r="AI456" s="131"/>
      <c r="AK456" s="66">
        <f t="shared" si="146"/>
        <v>0</v>
      </c>
      <c r="AL456" s="174">
        <f t="shared" si="147"/>
        <v>0</v>
      </c>
      <c r="AM456" s="346">
        <f>RTD("money.excel",,$G456,"PredictVolume")</f>
        <v>0</v>
      </c>
      <c r="AN456" s="272">
        <f>RTD("money.excel",,$G456,"CumulativeVolume")</f>
        <v>0</v>
      </c>
      <c r="AO456" s="284"/>
    </row>
    <row r="457" spans="1:41">
      <c r="A457" s="135" t="s">
        <v>3401</v>
      </c>
      <c r="B457" s="96">
        <v>-36</v>
      </c>
      <c r="C457" s="96">
        <v>-34</v>
      </c>
      <c r="D457" s="96">
        <v>-5</v>
      </c>
      <c r="E457" s="96">
        <v>39</v>
      </c>
      <c r="F457" s="59">
        <v>13.43</v>
      </c>
      <c r="G457" s="85">
        <v>2063</v>
      </c>
      <c r="H457" s="4" t="s">
        <v>548</v>
      </c>
      <c r="I457" s="17" t="s">
        <v>1420</v>
      </c>
      <c r="J457" s="77">
        <v>61.84</v>
      </c>
      <c r="K457" s="77">
        <v>0.66</v>
      </c>
      <c r="L457" s="77">
        <v>28.41</v>
      </c>
      <c r="N457" s="365">
        <f t="shared" si="140"/>
        <v>90.91</v>
      </c>
      <c r="O457" s="343">
        <f t="shared" si="141"/>
        <v>61.84</v>
      </c>
      <c r="P457" s="195" t="s">
        <v>5554</v>
      </c>
      <c r="Q457" s="326" t="str">
        <f>IFERROR(VLOOKUP($G457,主力整理!$A$2:$G$2301,6,0),"0")</f>
        <v>0</v>
      </c>
      <c r="T457" s="339">
        <f t="shared" si="142"/>
        <v>0</v>
      </c>
      <c r="V457" s="371">
        <v>25.12</v>
      </c>
      <c r="W457" s="35">
        <v>2</v>
      </c>
      <c r="X457" s="100">
        <v>2.37</v>
      </c>
      <c r="Y457" s="14" t="str">
        <f>RTD("money.excel",,"2063","Price")</f>
        <v>無資料</v>
      </c>
      <c r="Z457" s="69"/>
      <c r="AA457" s="16" t="e">
        <f t="shared" si="143"/>
        <v>#VALUE!</v>
      </c>
      <c r="AB457" s="3" t="e">
        <f t="shared" si="144"/>
        <v>#VALUE!</v>
      </c>
      <c r="AD457" s="17" t="s">
        <v>1420</v>
      </c>
      <c r="AG457" s="34">
        <f t="shared" si="145"/>
        <v>0</v>
      </c>
      <c r="AH457" s="63" t="s">
        <v>4189</v>
      </c>
      <c r="AI457" s="128"/>
      <c r="AK457" s="66">
        <f t="shared" si="146"/>
        <v>0</v>
      </c>
      <c r="AL457" s="174">
        <f t="shared" si="147"/>
        <v>0</v>
      </c>
      <c r="AM457" s="346">
        <f>RTD("money.excel",,$G457,"PredictVolume")</f>
        <v>0</v>
      </c>
      <c r="AN457" s="272">
        <f>RTD("money.excel",,$G457,"CumulativeVolume")</f>
        <v>0</v>
      </c>
      <c r="AO457" s="34"/>
    </row>
    <row r="458" spans="1:41">
      <c r="A458" s="151" t="s">
        <v>4747</v>
      </c>
      <c r="B458" s="96">
        <v>-435</v>
      </c>
      <c r="C458" s="96">
        <v>-149</v>
      </c>
      <c r="D458" s="96">
        <v>5</v>
      </c>
      <c r="E458" s="96">
        <v>99</v>
      </c>
      <c r="F458" s="7">
        <v>-8.11</v>
      </c>
      <c r="G458" s="85">
        <v>2064</v>
      </c>
      <c r="H458" s="4" t="s">
        <v>548</v>
      </c>
      <c r="I458" s="17" t="s">
        <v>1421</v>
      </c>
      <c r="J458" s="77">
        <v>79.52</v>
      </c>
      <c r="K458" s="77">
        <v>0.19</v>
      </c>
      <c r="L458" s="77">
        <v>0.28000000000000003</v>
      </c>
      <c r="N458" s="365">
        <f t="shared" si="140"/>
        <v>79.989999999999995</v>
      </c>
      <c r="O458" s="343">
        <f t="shared" si="141"/>
        <v>79.52</v>
      </c>
      <c r="P458" s="195" t="s">
        <v>5554</v>
      </c>
      <c r="Q458" s="326" t="str">
        <f>IFERROR(VLOOKUP($G458,主力整理!$A$2:$G$2301,6,0),"0")</f>
        <v>0</v>
      </c>
      <c r="T458" s="339">
        <f t="shared" si="142"/>
        <v>0</v>
      </c>
      <c r="V458" s="371">
        <v>20.39</v>
      </c>
      <c r="W458" s="35">
        <v>0.5</v>
      </c>
      <c r="X458" s="100">
        <v>-1.49</v>
      </c>
      <c r="Y458" s="14" t="str">
        <f>RTD("money.excel",,"2064","Price")</f>
        <v>無資料</v>
      </c>
      <c r="Z458" s="69"/>
      <c r="AA458" s="16" t="e">
        <f t="shared" si="143"/>
        <v>#VALUE!</v>
      </c>
      <c r="AB458" s="3" t="e">
        <f t="shared" si="144"/>
        <v>#VALUE!</v>
      </c>
      <c r="AD458" s="17" t="s">
        <v>1421</v>
      </c>
      <c r="AG458" s="34">
        <f t="shared" si="145"/>
        <v>0</v>
      </c>
      <c r="AH458" s="44" t="s">
        <v>4190</v>
      </c>
      <c r="AI458" s="284"/>
      <c r="AK458" s="66">
        <f t="shared" si="146"/>
        <v>0</v>
      </c>
      <c r="AL458" s="174">
        <f t="shared" si="147"/>
        <v>0</v>
      </c>
      <c r="AM458" s="346">
        <f>RTD("money.excel",,$G458,"PredictVolume")</f>
        <v>0</v>
      </c>
      <c r="AN458" s="272">
        <f>RTD("money.excel",,$G458,"CumulativeVolume")</f>
        <v>0</v>
      </c>
      <c r="AO458" s="284"/>
    </row>
    <row r="459" spans="1:41">
      <c r="A459" s="135" t="s">
        <v>4869</v>
      </c>
      <c r="B459" s="84">
        <v>80</v>
      </c>
      <c r="C459" s="84">
        <v>84</v>
      </c>
      <c r="D459" s="84">
        <v>19</v>
      </c>
      <c r="E459" s="84">
        <v>17</v>
      </c>
      <c r="F459" s="59">
        <v>12</v>
      </c>
      <c r="G459" s="85">
        <v>2065</v>
      </c>
      <c r="H459" s="4" t="s">
        <v>548</v>
      </c>
      <c r="I459" s="17" t="s">
        <v>1422</v>
      </c>
      <c r="J459" s="371">
        <v>33.58</v>
      </c>
      <c r="K459" s="77">
        <v>1.75</v>
      </c>
      <c r="L459" s="371">
        <v>2.16</v>
      </c>
      <c r="N459" s="365">
        <f t="shared" si="140"/>
        <v>37.489999999999995</v>
      </c>
      <c r="O459" s="343">
        <f t="shared" si="141"/>
        <v>33.58</v>
      </c>
      <c r="P459" s="195">
        <v>1</v>
      </c>
      <c r="Q459" s="326" t="str">
        <f>IFERROR(VLOOKUP($G459,主力整理!$A$2:$G$2301,6,0),"0")</f>
        <v>0</v>
      </c>
      <c r="R459" s="111">
        <v>2</v>
      </c>
      <c r="S459" s="51">
        <v>0</v>
      </c>
      <c r="T459" s="339">
        <f t="shared" si="142"/>
        <v>3</v>
      </c>
      <c r="V459" s="371">
        <v>21.13</v>
      </c>
      <c r="W459" s="35">
        <v>0.97</v>
      </c>
      <c r="X459" s="100">
        <v>4.1100000000000003</v>
      </c>
      <c r="Y459" s="37" t="str">
        <f>RTD("money.excel",,"2065","Price")</f>
        <v>無資料</v>
      </c>
      <c r="Z459" s="69"/>
      <c r="AA459" s="16" t="e">
        <f t="shared" si="143"/>
        <v>#VALUE!</v>
      </c>
      <c r="AB459" s="3" t="e">
        <f t="shared" si="144"/>
        <v>#VALUE!</v>
      </c>
      <c r="AC459" s="177" t="s">
        <v>2648</v>
      </c>
      <c r="AD459" s="17" t="s">
        <v>1422</v>
      </c>
      <c r="AG459" s="34">
        <f t="shared" si="145"/>
        <v>0</v>
      </c>
      <c r="AH459" s="63" t="s">
        <v>4189</v>
      </c>
      <c r="AI459" s="128"/>
      <c r="AK459" s="66">
        <f t="shared" si="146"/>
        <v>0</v>
      </c>
      <c r="AL459" s="174">
        <f t="shared" si="147"/>
        <v>0</v>
      </c>
      <c r="AM459" s="346">
        <f>RTD("money.excel",,$G459,"PredictVolume")</f>
        <v>0</v>
      </c>
      <c r="AN459" s="272">
        <f>RTD("money.excel",,$G459,"CumulativeVolume")</f>
        <v>0</v>
      </c>
      <c r="AO459" s="34"/>
    </row>
    <row r="460" spans="1:41">
      <c r="A460" s="151" t="s">
        <v>2748</v>
      </c>
      <c r="B460" s="98">
        <v>1022</v>
      </c>
      <c r="C460" s="98">
        <v>2604</v>
      </c>
      <c r="D460" s="85">
        <v>-9</v>
      </c>
      <c r="E460" s="84">
        <v>105</v>
      </c>
      <c r="F460" s="7">
        <v>6.48</v>
      </c>
      <c r="G460" s="85">
        <v>2069</v>
      </c>
      <c r="H460" s="4" t="s">
        <v>548</v>
      </c>
      <c r="I460" s="23" t="s">
        <v>1458</v>
      </c>
      <c r="J460" s="371">
        <v>51.73</v>
      </c>
      <c r="K460" s="371">
        <v>1.03</v>
      </c>
      <c r="L460" s="77">
        <v>24.93</v>
      </c>
      <c r="N460" s="365">
        <f t="shared" si="140"/>
        <v>77.69</v>
      </c>
      <c r="O460" s="343">
        <f t="shared" si="141"/>
        <v>51.73</v>
      </c>
      <c r="P460" s="195">
        <v>2</v>
      </c>
      <c r="Q460" s="326">
        <v>9</v>
      </c>
      <c r="R460" s="111">
        <v>16</v>
      </c>
      <c r="S460" s="51">
        <v>0</v>
      </c>
      <c r="T460" s="339">
        <f t="shared" si="142"/>
        <v>27</v>
      </c>
      <c r="V460" s="371">
        <v>1.4</v>
      </c>
      <c r="W460" s="35">
        <v>0.55000000000000004</v>
      </c>
      <c r="X460" s="59">
        <v>3.86</v>
      </c>
      <c r="Y460" s="37" t="str">
        <f>RTD("money.excel",,"2069","Price")</f>
        <v>無資料</v>
      </c>
      <c r="Z460" s="69"/>
      <c r="AA460" s="16" t="e">
        <f t="shared" si="143"/>
        <v>#VALUE!</v>
      </c>
      <c r="AB460" s="3" t="e">
        <f t="shared" si="144"/>
        <v>#VALUE!</v>
      </c>
      <c r="AC460" s="177" t="s">
        <v>2648</v>
      </c>
      <c r="AD460" s="23" t="s">
        <v>1458</v>
      </c>
      <c r="AG460" s="34">
        <f t="shared" si="145"/>
        <v>0</v>
      </c>
      <c r="AH460" s="44" t="s">
        <v>3146</v>
      </c>
      <c r="AI460" s="128"/>
      <c r="AK460" s="66">
        <f t="shared" si="146"/>
        <v>0</v>
      </c>
      <c r="AL460" s="174">
        <f t="shared" si="147"/>
        <v>0</v>
      </c>
      <c r="AM460" s="346">
        <f>RTD("money.excel",,$G460,"PredictVolume")</f>
        <v>0</v>
      </c>
      <c r="AN460" s="272">
        <f>RTD("money.excel",,$G460,"CumulativeVolume")</f>
        <v>0</v>
      </c>
      <c r="AO460" s="34"/>
    </row>
    <row r="461" spans="1:41">
      <c r="A461" s="135" t="s">
        <v>3178</v>
      </c>
      <c r="B461" s="84">
        <v>11</v>
      </c>
      <c r="C461" s="84">
        <v>13</v>
      </c>
      <c r="D461" s="84">
        <v>19</v>
      </c>
      <c r="E461" s="84">
        <v>51</v>
      </c>
      <c r="F461" s="59">
        <v>14.13</v>
      </c>
      <c r="G461" s="85">
        <v>2211</v>
      </c>
      <c r="H461" s="4" t="s">
        <v>548</v>
      </c>
      <c r="I461" s="23" t="s">
        <v>5005</v>
      </c>
      <c r="J461" s="371">
        <v>77.84</v>
      </c>
      <c r="K461" s="77">
        <v>0.71</v>
      </c>
      <c r="N461" s="365">
        <f t="shared" si="140"/>
        <v>78.55</v>
      </c>
      <c r="O461" s="343">
        <f t="shared" si="141"/>
        <v>77.84</v>
      </c>
      <c r="P461" s="195">
        <v>1</v>
      </c>
      <c r="Q461" s="326" t="str">
        <f>IFERROR(VLOOKUP($G461,主力整理!$A$2:$G$2301,6,0),"0")</f>
        <v>0</v>
      </c>
      <c r="R461" s="111">
        <v>4</v>
      </c>
      <c r="S461" s="51">
        <v>0</v>
      </c>
      <c r="T461" s="339">
        <f t="shared" si="142"/>
        <v>5</v>
      </c>
      <c r="W461" s="35">
        <v>2.09</v>
      </c>
      <c r="X461" s="59">
        <v>2.82</v>
      </c>
      <c r="Y461" s="37" t="str">
        <f>RTD("money.excel",,"2211","Price")</f>
        <v>無資料</v>
      </c>
      <c r="Z461" s="69"/>
      <c r="AA461" s="16" t="e">
        <f t="shared" si="143"/>
        <v>#VALUE!</v>
      </c>
      <c r="AB461" s="3" t="e">
        <f t="shared" si="144"/>
        <v>#VALUE!</v>
      </c>
      <c r="AC461" s="177" t="s">
        <v>2648</v>
      </c>
      <c r="AD461" s="23" t="s">
        <v>5005</v>
      </c>
      <c r="AG461" s="34">
        <f t="shared" si="145"/>
        <v>0</v>
      </c>
      <c r="AH461" s="63" t="s">
        <v>5006</v>
      </c>
      <c r="AI461" s="131"/>
      <c r="AK461" s="66">
        <f t="shared" si="146"/>
        <v>0</v>
      </c>
      <c r="AL461" s="174">
        <f t="shared" si="147"/>
        <v>0</v>
      </c>
      <c r="AM461" s="346">
        <f>RTD("money.excel",,$G461,"PredictVolume")</f>
        <v>0</v>
      </c>
      <c r="AN461" s="272">
        <f>RTD("money.excel",,$G461,"CumulativeVolume")</f>
        <v>0</v>
      </c>
      <c r="AO461" s="284"/>
    </row>
    <row r="462" spans="1:41">
      <c r="A462" s="151" t="s">
        <v>4869</v>
      </c>
      <c r="B462" s="96">
        <v>-82</v>
      </c>
      <c r="C462" s="96">
        <v>-92</v>
      </c>
      <c r="D462" s="96">
        <v>-34</v>
      </c>
      <c r="E462" s="96">
        <v>-52</v>
      </c>
      <c r="F462" s="7">
        <v>1.97</v>
      </c>
      <c r="G462" s="85">
        <v>3004</v>
      </c>
      <c r="H462" s="4" t="s">
        <v>548</v>
      </c>
      <c r="I462" s="23" t="s">
        <v>1459</v>
      </c>
      <c r="J462" s="77">
        <v>64.37</v>
      </c>
      <c r="K462" s="77">
        <v>2.4500000000000002</v>
      </c>
      <c r="L462" s="77">
        <v>30.4</v>
      </c>
      <c r="N462" s="365">
        <f t="shared" si="140"/>
        <v>97.22</v>
      </c>
      <c r="O462" s="343">
        <f t="shared" si="141"/>
        <v>64.37</v>
      </c>
      <c r="P462" s="195" t="s">
        <v>5554</v>
      </c>
      <c r="Q462" s="326" t="str">
        <f>IFERROR(VLOOKUP($G462,主力整理!$A$2:$G$2301,6,0),"0")</f>
        <v>0</v>
      </c>
      <c r="T462" s="339">
        <f t="shared" si="142"/>
        <v>0</v>
      </c>
      <c r="V462" s="371">
        <v>47.31</v>
      </c>
      <c r="W462" s="35">
        <v>0.5</v>
      </c>
      <c r="X462" s="100">
        <v>1.1399999999999999</v>
      </c>
      <c r="Y462" s="14" t="str">
        <f>RTD("money.excel",,"3004","Price")</f>
        <v>無資料</v>
      </c>
      <c r="Z462" s="69"/>
      <c r="AA462" s="16" t="e">
        <f t="shared" si="143"/>
        <v>#VALUE!</v>
      </c>
      <c r="AB462" s="3" t="e">
        <f t="shared" si="144"/>
        <v>#VALUE!</v>
      </c>
      <c r="AD462" s="23" t="s">
        <v>1459</v>
      </c>
      <c r="AG462" s="34">
        <f t="shared" si="145"/>
        <v>0</v>
      </c>
      <c r="AH462" s="44" t="s">
        <v>5202</v>
      </c>
      <c r="AI462" s="284"/>
      <c r="AK462" s="66">
        <f t="shared" si="146"/>
        <v>0</v>
      </c>
      <c r="AL462" s="174">
        <f t="shared" si="147"/>
        <v>0</v>
      </c>
      <c r="AM462" s="346">
        <f>RTD("money.excel",,$G462,"PredictVolume")</f>
        <v>0</v>
      </c>
      <c r="AN462" s="272">
        <f>RTD("money.excel",,$G462,"CumulativeVolume")</f>
        <v>0</v>
      </c>
      <c r="AO462" s="284"/>
    </row>
    <row r="463" spans="1:41">
      <c r="A463" s="135" t="s">
        <v>3116</v>
      </c>
      <c r="B463" s="85">
        <v>-37</v>
      </c>
      <c r="C463" s="85">
        <v>-48</v>
      </c>
      <c r="D463" s="85">
        <v>-3</v>
      </c>
      <c r="E463" s="85">
        <v>-6</v>
      </c>
      <c r="F463" s="59">
        <v>11.05</v>
      </c>
      <c r="G463" s="85">
        <v>5007</v>
      </c>
      <c r="H463" s="4" t="s">
        <v>548</v>
      </c>
      <c r="I463" s="23" t="s">
        <v>1460</v>
      </c>
      <c r="J463" s="77">
        <v>78.09</v>
      </c>
      <c r="K463" s="77">
        <v>3.29</v>
      </c>
      <c r="L463" s="77">
        <v>1.3</v>
      </c>
      <c r="N463" s="365">
        <f t="shared" si="140"/>
        <v>82.68</v>
      </c>
      <c r="O463" s="343">
        <f t="shared" si="141"/>
        <v>78.09</v>
      </c>
      <c r="P463" s="195" t="s">
        <v>5554</v>
      </c>
      <c r="Q463" s="326" t="str">
        <f>IFERROR(VLOOKUP($G463,主力整理!$A$2:$G$2301,6,0),"0")</f>
        <v>0</v>
      </c>
      <c r="T463" s="339">
        <f t="shared" si="142"/>
        <v>0</v>
      </c>
      <c r="V463" s="371">
        <v>0</v>
      </c>
      <c r="W463" s="35">
        <v>2</v>
      </c>
      <c r="X463" s="100">
        <v>2.04</v>
      </c>
      <c r="Y463" s="37" t="str">
        <f>RTD("money.excel",,"5007","Price")</f>
        <v>無資料</v>
      </c>
      <c r="Z463" s="69"/>
      <c r="AA463" s="16" t="e">
        <f t="shared" si="143"/>
        <v>#VALUE!</v>
      </c>
      <c r="AB463" s="3" t="e">
        <f t="shared" si="144"/>
        <v>#VALUE!</v>
      </c>
      <c r="AC463" s="177" t="s">
        <v>2648</v>
      </c>
      <c r="AD463" s="23" t="s">
        <v>1460</v>
      </c>
      <c r="AG463" s="34">
        <f t="shared" si="145"/>
        <v>0</v>
      </c>
      <c r="AH463" s="63" t="s">
        <v>5197</v>
      </c>
      <c r="AI463" s="284"/>
      <c r="AK463" s="66">
        <f t="shared" si="146"/>
        <v>0</v>
      </c>
      <c r="AL463" s="174">
        <f t="shared" si="147"/>
        <v>0</v>
      </c>
      <c r="AM463" s="346">
        <f>RTD("money.excel",,$G463,"PredictVolume")</f>
        <v>0</v>
      </c>
      <c r="AN463" s="272">
        <f>RTD("money.excel",,$G463,"CumulativeVolume")</f>
        <v>0</v>
      </c>
      <c r="AO463" s="284"/>
    </row>
    <row r="464" spans="1:41">
      <c r="A464" s="151" t="s">
        <v>2899</v>
      </c>
      <c r="B464" s="85">
        <v>-44</v>
      </c>
      <c r="C464" s="85">
        <v>-69</v>
      </c>
      <c r="D464" s="85">
        <v>-23</v>
      </c>
      <c r="E464" s="85">
        <v>-14</v>
      </c>
      <c r="F464" s="7">
        <v>2.19</v>
      </c>
      <c r="G464" s="85">
        <v>5009</v>
      </c>
      <c r="H464" s="4" t="s">
        <v>548</v>
      </c>
      <c r="I464" s="17" t="s">
        <v>74</v>
      </c>
      <c r="J464" s="371">
        <v>54.32</v>
      </c>
      <c r="K464" s="371">
        <v>7.99</v>
      </c>
      <c r="L464" s="371">
        <v>2.0499999999999998</v>
      </c>
      <c r="N464" s="365">
        <f t="shared" si="140"/>
        <v>64.36</v>
      </c>
      <c r="O464" s="343">
        <f t="shared" si="141"/>
        <v>54.32</v>
      </c>
      <c r="P464" s="195">
        <v>2</v>
      </c>
      <c r="Q464" s="326">
        <f>IFERROR(VLOOKUP($G464,主力整理!$A$2:$G$2301,6,0),"0")</f>
        <v>5</v>
      </c>
      <c r="T464" s="339">
        <f t="shared" si="142"/>
        <v>7</v>
      </c>
      <c r="V464" s="371">
        <v>0.01</v>
      </c>
      <c r="W464" s="35">
        <v>0.4</v>
      </c>
      <c r="X464" s="59">
        <v>0.5</v>
      </c>
      <c r="Y464" s="37" t="str">
        <f>RTD("money.excel",,"5009","Price")</f>
        <v>無資料</v>
      </c>
      <c r="Z464" s="69"/>
      <c r="AA464" s="16" t="e">
        <f t="shared" si="143"/>
        <v>#VALUE!</v>
      </c>
      <c r="AB464" s="3" t="e">
        <f t="shared" si="144"/>
        <v>#VALUE!</v>
      </c>
      <c r="AC464" s="177" t="s">
        <v>2648</v>
      </c>
      <c r="AD464" s="17" t="s">
        <v>74</v>
      </c>
      <c r="AG464" s="34">
        <f t="shared" si="145"/>
        <v>0</v>
      </c>
      <c r="AH464" s="125" t="s">
        <v>4191</v>
      </c>
      <c r="AI464" s="131"/>
      <c r="AK464" s="66">
        <f t="shared" si="146"/>
        <v>0</v>
      </c>
      <c r="AL464" s="174">
        <f t="shared" si="147"/>
        <v>0</v>
      </c>
      <c r="AM464" s="346">
        <f>RTD("money.excel",,$G464,"PredictVolume")</f>
        <v>0</v>
      </c>
      <c r="AN464" s="272">
        <f>RTD("money.excel",,$G464,"CumulativeVolume")</f>
        <v>0</v>
      </c>
      <c r="AO464" s="284"/>
    </row>
    <row r="465" spans="1:41">
      <c r="A465" s="151" t="s">
        <v>4735</v>
      </c>
      <c r="B465" s="85">
        <v>-122</v>
      </c>
      <c r="C465" s="85">
        <v>-15</v>
      </c>
      <c r="D465" s="85">
        <v>-46</v>
      </c>
      <c r="E465" s="84">
        <v>128</v>
      </c>
      <c r="F465" s="7">
        <v>-3.24</v>
      </c>
      <c r="G465" s="85">
        <v>5011</v>
      </c>
      <c r="H465" s="4" t="s">
        <v>548</v>
      </c>
      <c r="I465" s="17" t="s">
        <v>1423</v>
      </c>
      <c r="J465" s="371">
        <v>32.65</v>
      </c>
      <c r="K465" s="77">
        <v>0.75</v>
      </c>
      <c r="L465" s="77">
        <v>29.76</v>
      </c>
      <c r="N465" s="365">
        <f t="shared" si="140"/>
        <v>63.16</v>
      </c>
      <c r="O465" s="343">
        <f t="shared" si="141"/>
        <v>32.65</v>
      </c>
      <c r="P465" s="195" t="s">
        <v>5554</v>
      </c>
      <c r="Q465" s="326" t="str">
        <f>IFERROR(VLOOKUP($G465,主力整理!$A$2:$G$2301,6,0),"0")</f>
        <v>0</v>
      </c>
      <c r="T465" s="339">
        <f t="shared" si="142"/>
        <v>0</v>
      </c>
      <c r="V465" s="371">
        <v>0.24</v>
      </c>
      <c r="W465" s="35">
        <v>0</v>
      </c>
      <c r="X465" s="100">
        <v>-1.67</v>
      </c>
      <c r="Y465" s="37" t="str">
        <f>RTD("money.excel",,"5011","Price")</f>
        <v>無資料</v>
      </c>
      <c r="Z465" s="69"/>
      <c r="AA465" s="16" t="e">
        <f t="shared" si="143"/>
        <v>#VALUE!</v>
      </c>
      <c r="AB465" s="3" t="e">
        <f t="shared" si="144"/>
        <v>#VALUE!</v>
      </c>
      <c r="AD465" s="17" t="s">
        <v>1423</v>
      </c>
      <c r="AG465" s="34">
        <f t="shared" si="145"/>
        <v>0</v>
      </c>
      <c r="AH465" s="44" t="s">
        <v>4385</v>
      </c>
      <c r="AI465" s="131"/>
      <c r="AK465" s="66">
        <f t="shared" si="146"/>
        <v>0</v>
      </c>
      <c r="AL465" s="174">
        <f t="shared" si="147"/>
        <v>0</v>
      </c>
      <c r="AM465" s="346">
        <f>RTD("money.excel",,$G465,"PredictVolume")</f>
        <v>0</v>
      </c>
      <c r="AN465" s="272">
        <f>RTD("money.excel",,$G465,"CumulativeVolume")</f>
        <v>0</v>
      </c>
      <c r="AO465" s="284"/>
    </row>
    <row r="466" spans="1:41">
      <c r="A466" s="151" t="s">
        <v>4748</v>
      </c>
      <c r="B466" s="96">
        <v>16</v>
      </c>
      <c r="C466" s="96">
        <v>8</v>
      </c>
      <c r="D466" s="96">
        <v>-1</v>
      </c>
      <c r="E466" s="96">
        <v>78</v>
      </c>
      <c r="F466" s="7">
        <v>6.34</v>
      </c>
      <c r="G466" s="85">
        <v>5013</v>
      </c>
      <c r="H466" s="4" t="s">
        <v>548</v>
      </c>
      <c r="I466" s="17" t="s">
        <v>150</v>
      </c>
      <c r="J466" s="77">
        <v>82.51</v>
      </c>
      <c r="K466" s="77">
        <v>2.77</v>
      </c>
      <c r="L466" s="77">
        <v>7.0000000000000007E-2</v>
      </c>
      <c r="N466" s="365">
        <f t="shared" si="140"/>
        <v>85.35</v>
      </c>
      <c r="O466" s="343">
        <f t="shared" si="141"/>
        <v>82.51</v>
      </c>
      <c r="P466" s="195" t="s">
        <v>5554</v>
      </c>
      <c r="Q466" s="326" t="str">
        <f>IFERROR(VLOOKUP($G466,主力整理!$A$2:$G$2301,6,0),"0")</f>
        <v>0</v>
      </c>
      <c r="T466" s="339">
        <f t="shared" si="142"/>
        <v>0</v>
      </c>
      <c r="V466" s="371">
        <v>16.82</v>
      </c>
      <c r="W466" s="35">
        <v>0.5</v>
      </c>
      <c r="X466" s="100">
        <v>1.58</v>
      </c>
      <c r="Y466" s="14" t="str">
        <f>RTD("money.excel",,"5013","Price")</f>
        <v>無資料</v>
      </c>
      <c r="Z466" s="69"/>
      <c r="AA466" s="16" t="e">
        <f t="shared" si="143"/>
        <v>#VALUE!</v>
      </c>
      <c r="AB466" s="3" t="e">
        <f t="shared" si="144"/>
        <v>#VALUE!</v>
      </c>
      <c r="AD466" s="17" t="s">
        <v>150</v>
      </c>
      <c r="AG466" s="34">
        <f t="shared" si="145"/>
        <v>0</v>
      </c>
      <c r="AH466" s="125" t="s">
        <v>4192</v>
      </c>
      <c r="AI466" s="284"/>
      <c r="AK466" s="66">
        <f t="shared" si="146"/>
        <v>0</v>
      </c>
      <c r="AL466" s="174">
        <f t="shared" si="147"/>
        <v>0</v>
      </c>
      <c r="AM466" s="346">
        <f>RTD("money.excel",,$G466,"PredictVolume")</f>
        <v>0</v>
      </c>
      <c r="AN466" s="272">
        <f>RTD("money.excel",,$G466,"CumulativeVolume")</f>
        <v>0</v>
      </c>
      <c r="AO466" s="284"/>
    </row>
    <row r="467" spans="1:41">
      <c r="A467" s="151" t="s">
        <v>2512</v>
      </c>
      <c r="B467" s="84">
        <v>437</v>
      </c>
      <c r="C467" s="85">
        <v>-46</v>
      </c>
      <c r="D467" s="85">
        <v>-49</v>
      </c>
      <c r="E467" s="84">
        <v>63</v>
      </c>
      <c r="F467" s="7">
        <v>0.77</v>
      </c>
      <c r="G467" s="85">
        <v>5014</v>
      </c>
      <c r="H467" s="4" t="s">
        <v>548</v>
      </c>
      <c r="I467" s="17" t="s">
        <v>1424</v>
      </c>
      <c r="J467" s="371">
        <v>29.82</v>
      </c>
      <c r="K467" s="77">
        <v>5.16</v>
      </c>
      <c r="L467" s="371">
        <v>23.03</v>
      </c>
      <c r="N467" s="365">
        <f t="shared" si="140"/>
        <v>58.010000000000005</v>
      </c>
      <c r="O467" s="343">
        <f t="shared" si="141"/>
        <v>29.82</v>
      </c>
      <c r="P467" s="195" t="s">
        <v>5554</v>
      </c>
      <c r="Q467" s="326">
        <f>IFERROR(VLOOKUP($G467,主力整理!$A$2:$G$2301,6,0),"0")</f>
        <v>3</v>
      </c>
      <c r="T467" s="339">
        <f t="shared" si="142"/>
        <v>3</v>
      </c>
      <c r="V467" s="371">
        <v>0.76</v>
      </c>
      <c r="W467" s="35">
        <v>0</v>
      </c>
      <c r="X467" s="100">
        <v>1.06</v>
      </c>
      <c r="Y467" s="37" t="str">
        <f>RTD("money.excel",,"5014","Price")</f>
        <v>無資料</v>
      </c>
      <c r="Z467" s="69"/>
      <c r="AA467" s="16" t="e">
        <f t="shared" si="143"/>
        <v>#VALUE!</v>
      </c>
      <c r="AB467" s="3" t="e">
        <f t="shared" si="144"/>
        <v>#VALUE!</v>
      </c>
      <c r="AD467" s="17" t="s">
        <v>1424</v>
      </c>
      <c r="AG467" s="34">
        <f t="shared" si="145"/>
        <v>0</v>
      </c>
      <c r="AH467" s="44" t="s">
        <v>3568</v>
      </c>
      <c r="AI467" s="131"/>
      <c r="AK467" s="66">
        <f t="shared" si="146"/>
        <v>0</v>
      </c>
      <c r="AL467" s="174">
        <f t="shared" si="147"/>
        <v>0</v>
      </c>
      <c r="AM467" s="346">
        <f>RTD("money.excel",,$G467,"PredictVolume")</f>
        <v>0</v>
      </c>
      <c r="AN467" s="272">
        <f>RTD("money.excel",,$G467,"CumulativeVolume")</f>
        <v>0</v>
      </c>
      <c r="AO467" s="284"/>
    </row>
    <row r="468" spans="1:41">
      <c r="A468" s="151" t="s">
        <v>2617</v>
      </c>
      <c r="B468" s="96">
        <v>-36</v>
      </c>
      <c r="C468" s="96">
        <v>-40</v>
      </c>
      <c r="D468" s="96">
        <v>-4</v>
      </c>
      <c r="E468" s="96">
        <v>-21</v>
      </c>
      <c r="F468" s="7">
        <v>7.4</v>
      </c>
      <c r="G468" s="85">
        <v>5015</v>
      </c>
      <c r="H468" s="4" t="s">
        <v>548</v>
      </c>
      <c r="I468" s="17" t="s">
        <v>1425</v>
      </c>
      <c r="J468" s="77">
        <v>50.19</v>
      </c>
      <c r="K468" s="77">
        <v>7.36</v>
      </c>
      <c r="L468" s="77">
        <v>0.33</v>
      </c>
      <c r="N468" s="365">
        <f t="shared" si="140"/>
        <v>57.879999999999995</v>
      </c>
      <c r="O468" s="343">
        <f t="shared" si="141"/>
        <v>50.19</v>
      </c>
      <c r="P468" s="195" t="s">
        <v>5554</v>
      </c>
      <c r="Q468" s="326" t="str">
        <f>IFERROR(VLOOKUP($G468,主力整理!$A$2:$G$2301,6,0),"0")</f>
        <v>0</v>
      </c>
      <c r="T468" s="339">
        <f t="shared" si="142"/>
        <v>0</v>
      </c>
      <c r="V468" s="371">
        <v>21.46</v>
      </c>
      <c r="W468" s="35">
        <v>1.9</v>
      </c>
      <c r="X468" s="100">
        <v>1.94</v>
      </c>
      <c r="Y468" s="37" t="str">
        <f>RTD("money.excel",,"5015","Price")</f>
        <v>無資料</v>
      </c>
      <c r="Z468" s="69"/>
      <c r="AA468" s="16" t="e">
        <f t="shared" si="143"/>
        <v>#VALUE!</v>
      </c>
      <c r="AB468" s="3" t="e">
        <f t="shared" si="144"/>
        <v>#VALUE!</v>
      </c>
      <c r="AD468" s="17" t="s">
        <v>1425</v>
      </c>
      <c r="AG468" s="34">
        <f t="shared" si="145"/>
        <v>0</v>
      </c>
      <c r="AH468" s="44" t="s">
        <v>4189</v>
      </c>
      <c r="AI468" s="131"/>
      <c r="AK468" s="66">
        <f t="shared" si="146"/>
        <v>0</v>
      </c>
      <c r="AL468" s="174">
        <f t="shared" si="147"/>
        <v>0</v>
      </c>
      <c r="AM468" s="346">
        <f>RTD("money.excel",,$G468,"PredictVolume")</f>
        <v>0</v>
      </c>
      <c r="AN468" s="272">
        <f>RTD("money.excel",,$G468,"CumulativeVolume")</f>
        <v>0</v>
      </c>
      <c r="AO468" s="284"/>
    </row>
    <row r="469" spans="1:41">
      <c r="A469" s="151" t="s">
        <v>4696</v>
      </c>
      <c r="B469" s="96">
        <v>92</v>
      </c>
      <c r="C469" s="96">
        <v>86</v>
      </c>
      <c r="D469" s="96">
        <v>-5</v>
      </c>
      <c r="E469" s="96">
        <v>25</v>
      </c>
      <c r="F469" s="7">
        <v>8.75</v>
      </c>
      <c r="G469" s="85">
        <v>5016</v>
      </c>
      <c r="H469" s="4" t="s">
        <v>548</v>
      </c>
      <c r="I469" s="17" t="s">
        <v>1426</v>
      </c>
      <c r="J469" s="77">
        <v>69.02</v>
      </c>
      <c r="K469" s="77">
        <v>0.03</v>
      </c>
      <c r="L469" s="77">
        <v>1.1399999999999999</v>
      </c>
      <c r="N469" s="365">
        <f t="shared" si="140"/>
        <v>70.19</v>
      </c>
      <c r="O469" s="343">
        <f t="shared" si="141"/>
        <v>69.02</v>
      </c>
      <c r="P469" s="195" t="s">
        <v>5554</v>
      </c>
      <c r="Q469" s="326" t="str">
        <f>IFERROR(VLOOKUP($G469,主力整理!$A$2:$G$2301,6,0),"0")</f>
        <v>0</v>
      </c>
      <c r="T469" s="339">
        <f t="shared" si="142"/>
        <v>0</v>
      </c>
      <c r="V469" s="371">
        <v>23.42</v>
      </c>
      <c r="W469" s="35">
        <v>2</v>
      </c>
      <c r="X469" s="100">
        <v>3.15</v>
      </c>
      <c r="Y469" s="14" t="str">
        <f>RTD("money.excel",,"5016","Price")</f>
        <v>無資料</v>
      </c>
      <c r="Z469" s="69"/>
      <c r="AA469" s="16" t="e">
        <f t="shared" si="143"/>
        <v>#VALUE!</v>
      </c>
      <c r="AB469" s="3" t="e">
        <f t="shared" si="144"/>
        <v>#VALUE!</v>
      </c>
      <c r="AD469" s="17" t="s">
        <v>1426</v>
      </c>
      <c r="AG469" s="34">
        <f t="shared" si="145"/>
        <v>0</v>
      </c>
      <c r="AH469" s="44" t="s">
        <v>4193</v>
      </c>
      <c r="AI469" s="131"/>
      <c r="AK469" s="66">
        <f t="shared" si="146"/>
        <v>0</v>
      </c>
      <c r="AL469" s="174">
        <f t="shared" si="147"/>
        <v>0</v>
      </c>
      <c r="AM469" s="346">
        <f>RTD("money.excel",,$G469,"PredictVolume")</f>
        <v>0</v>
      </c>
      <c r="AN469" s="272">
        <f>RTD("money.excel",,$G469,"CumulativeVolume")</f>
        <v>0</v>
      </c>
      <c r="AO469" s="284"/>
    </row>
    <row r="470" spans="1:41">
      <c r="A470" s="135" t="s">
        <v>5572</v>
      </c>
      <c r="B470" s="84">
        <v>248</v>
      </c>
      <c r="C470" s="84">
        <v>301</v>
      </c>
      <c r="D470" s="84">
        <v>8</v>
      </c>
      <c r="E470" s="84">
        <v>43</v>
      </c>
      <c r="F470" s="59">
        <v>12</v>
      </c>
      <c r="G470" s="85">
        <v>5538</v>
      </c>
      <c r="H470" s="4" t="s">
        <v>548</v>
      </c>
      <c r="I470" s="23" t="s">
        <v>1461</v>
      </c>
      <c r="J470" s="371">
        <v>91.76</v>
      </c>
      <c r="K470" s="77">
        <v>64.13</v>
      </c>
      <c r="L470" s="371">
        <v>0.86</v>
      </c>
      <c r="N470" s="365">
        <f t="shared" si="140"/>
        <v>156.75</v>
      </c>
      <c r="O470" s="343">
        <f t="shared" si="141"/>
        <v>91.76</v>
      </c>
      <c r="P470" s="232">
        <v>0</v>
      </c>
      <c r="Q470" s="326" t="str">
        <f>IFERROR(VLOOKUP($G470,主力整理!$A$2:$G$2301,6,0),"0")</f>
        <v>0</v>
      </c>
      <c r="R470" s="111">
        <v>3</v>
      </c>
      <c r="S470" s="51">
        <v>0</v>
      </c>
      <c r="T470" s="339">
        <f t="shared" si="142"/>
        <v>3</v>
      </c>
      <c r="V470" s="371">
        <v>0.23</v>
      </c>
      <c r="W470" s="35">
        <v>1.78</v>
      </c>
      <c r="X470" s="59">
        <v>5.01</v>
      </c>
      <c r="Y470" s="14" t="str">
        <f>RTD("money.excel",,"5538","Price")</f>
        <v>無資料</v>
      </c>
      <c r="Z470" s="69"/>
      <c r="AA470" s="16" t="e">
        <f t="shared" si="143"/>
        <v>#VALUE!</v>
      </c>
      <c r="AB470" s="3" t="e">
        <f t="shared" si="144"/>
        <v>#VALUE!</v>
      </c>
      <c r="AD470" s="23" t="s">
        <v>1461</v>
      </c>
      <c r="AG470" s="34">
        <f t="shared" si="145"/>
        <v>0</v>
      </c>
      <c r="AH470" s="63" t="s">
        <v>5203</v>
      </c>
      <c r="AI470" s="131"/>
      <c r="AK470" s="66">
        <f t="shared" si="146"/>
        <v>0</v>
      </c>
      <c r="AL470" s="174">
        <f t="shared" si="147"/>
        <v>0</v>
      </c>
      <c r="AM470" s="346">
        <f>RTD("money.excel",,$G470,"PredictVolume")</f>
        <v>0</v>
      </c>
      <c r="AN470" s="272">
        <f>RTD("money.excel",,$G470,"CumulativeVolume")</f>
        <v>0</v>
      </c>
      <c r="AO470" s="284"/>
    </row>
    <row r="471" spans="1:41">
      <c r="A471" s="151" t="s">
        <v>5474</v>
      </c>
      <c r="B471" s="84">
        <v>1</v>
      </c>
      <c r="C471" s="85">
        <v>-33</v>
      </c>
      <c r="D471" s="85">
        <v>-8</v>
      </c>
      <c r="E471" s="84">
        <v>25</v>
      </c>
      <c r="F471" s="7">
        <v>1.43</v>
      </c>
      <c r="G471" s="85">
        <v>6248</v>
      </c>
      <c r="H471" s="4" t="s">
        <v>548</v>
      </c>
      <c r="I471" s="17" t="s">
        <v>1427</v>
      </c>
      <c r="J471" s="77">
        <v>44.85</v>
      </c>
      <c r="K471" s="77">
        <v>1.05</v>
      </c>
      <c r="L471" s="371">
        <v>8.3800000000000008</v>
      </c>
      <c r="N471" s="365">
        <f t="shared" si="140"/>
        <v>54.28</v>
      </c>
      <c r="O471" s="343">
        <f t="shared" si="141"/>
        <v>44.85</v>
      </c>
      <c r="P471" s="232">
        <v>0</v>
      </c>
      <c r="Q471" s="326" t="str">
        <f>IFERROR(VLOOKUP($G471,主力整理!$A$2:$G$2301,6,0),"0")</f>
        <v>0</v>
      </c>
      <c r="R471" s="111">
        <v>1</v>
      </c>
      <c r="S471" s="51">
        <v>0</v>
      </c>
      <c r="T471" s="339">
        <f t="shared" si="142"/>
        <v>1</v>
      </c>
      <c r="V471" s="371">
        <v>0</v>
      </c>
      <c r="W471" s="35">
        <v>1.2</v>
      </c>
      <c r="X471" s="100">
        <v>1.76</v>
      </c>
      <c r="Y471" s="37" t="str">
        <f>RTD("money.excel",,"6248","Price")</f>
        <v>無資料</v>
      </c>
      <c r="Z471" s="69"/>
      <c r="AA471" s="16" t="e">
        <f t="shared" si="143"/>
        <v>#VALUE!</v>
      </c>
      <c r="AB471" s="3" t="e">
        <f t="shared" si="144"/>
        <v>#VALUE!</v>
      </c>
      <c r="AD471" s="17" t="s">
        <v>1427</v>
      </c>
      <c r="AG471" s="34">
        <f t="shared" si="145"/>
        <v>0</v>
      </c>
      <c r="AH471" s="44" t="s">
        <v>4194</v>
      </c>
      <c r="AI471" s="131"/>
      <c r="AK471" s="66">
        <f t="shared" si="146"/>
        <v>0</v>
      </c>
      <c r="AL471" s="174">
        <f t="shared" si="147"/>
        <v>0</v>
      </c>
      <c r="AM471" s="346">
        <f>RTD("money.excel",,$G471,"PredictVolume")</f>
        <v>0</v>
      </c>
      <c r="AN471" s="272">
        <f>RTD("money.excel",,$G471,"CumulativeVolume")</f>
        <v>0</v>
      </c>
      <c r="AO471" s="284"/>
    </row>
    <row r="472" spans="1:41">
      <c r="A472" s="151" t="s">
        <v>2624</v>
      </c>
      <c r="B472" s="85">
        <v>-36</v>
      </c>
      <c r="C472" s="85">
        <v>-46</v>
      </c>
      <c r="D472" s="85">
        <v>-2</v>
      </c>
      <c r="E472" s="84">
        <v>12</v>
      </c>
      <c r="F472" s="7">
        <v>1.88</v>
      </c>
      <c r="G472" s="85">
        <v>8349</v>
      </c>
      <c r="H472" s="4" t="s">
        <v>548</v>
      </c>
      <c r="I472" s="17" t="s">
        <v>163</v>
      </c>
      <c r="J472" s="77">
        <v>65.3</v>
      </c>
      <c r="K472" s="77">
        <v>3.6</v>
      </c>
      <c r="L472" s="371">
        <v>12.46</v>
      </c>
      <c r="N472" s="365">
        <f t="shared" si="140"/>
        <v>81.359999999999985</v>
      </c>
      <c r="O472" s="343">
        <f t="shared" si="141"/>
        <v>65.3</v>
      </c>
      <c r="P472" s="195">
        <v>1</v>
      </c>
      <c r="Q472" s="326" t="str">
        <f>IFERROR(VLOOKUP($G472,主力整理!$A$2:$G$2301,6,0),"0")</f>
        <v>0</v>
      </c>
      <c r="T472" s="339">
        <f t="shared" si="142"/>
        <v>1</v>
      </c>
      <c r="V472" s="371">
        <v>0.4</v>
      </c>
      <c r="W472" s="35">
        <v>2.12</v>
      </c>
      <c r="X472" s="59">
        <v>2.52</v>
      </c>
      <c r="Y472" s="37" t="str">
        <f>RTD("money.excel",,"8349","Price")</f>
        <v>無資料</v>
      </c>
      <c r="Z472" s="69"/>
      <c r="AA472" s="16" t="e">
        <f t="shared" si="143"/>
        <v>#VALUE!</v>
      </c>
      <c r="AB472" s="3" t="e">
        <f t="shared" si="144"/>
        <v>#VALUE!</v>
      </c>
      <c r="AC472" s="177" t="s">
        <v>2648</v>
      </c>
      <c r="AD472" s="17" t="s">
        <v>163</v>
      </c>
      <c r="AG472" s="34">
        <f t="shared" si="145"/>
        <v>0</v>
      </c>
      <c r="AH472" s="125" t="s">
        <v>4195</v>
      </c>
      <c r="AI472" s="131"/>
      <c r="AK472" s="66">
        <f t="shared" si="146"/>
        <v>0</v>
      </c>
      <c r="AL472" s="174">
        <f t="shared" si="147"/>
        <v>0</v>
      </c>
      <c r="AM472" s="346">
        <f>RTD("money.excel",,$G472,"PredictVolume")</f>
        <v>0</v>
      </c>
      <c r="AN472" s="272">
        <f>RTD("money.excel",,$G472,"CumulativeVolume")</f>
        <v>0</v>
      </c>
      <c r="AO472" s="284"/>
    </row>
    <row r="473" spans="1:41">
      <c r="A473" s="151" t="s">
        <v>2480</v>
      </c>
      <c r="B473" s="85">
        <v>-38</v>
      </c>
      <c r="C473" s="85">
        <v>-13</v>
      </c>
      <c r="D473" s="84">
        <v>4</v>
      </c>
      <c r="E473" s="85">
        <v>-7</v>
      </c>
      <c r="F473" s="7">
        <v>9.6999999999999993</v>
      </c>
      <c r="G473" s="85">
        <v>8415</v>
      </c>
      <c r="H473" s="4" t="s">
        <v>548</v>
      </c>
      <c r="I473" s="17" t="s">
        <v>1428</v>
      </c>
      <c r="J473" s="371">
        <v>91.92</v>
      </c>
      <c r="K473" s="371">
        <v>9.69</v>
      </c>
      <c r="L473" s="371">
        <v>0.41</v>
      </c>
      <c r="N473" s="365">
        <f t="shared" si="140"/>
        <v>102.02</v>
      </c>
      <c r="O473" s="343">
        <f t="shared" si="141"/>
        <v>91.92</v>
      </c>
      <c r="P473" s="195" t="s">
        <v>5554</v>
      </c>
      <c r="Q473" s="326">
        <f>IFERROR(VLOOKUP($G473,主力整理!$A$2:$G$2301,6,0),"0")</f>
        <v>5</v>
      </c>
      <c r="T473" s="339">
        <f t="shared" si="142"/>
        <v>5</v>
      </c>
      <c r="V473" s="371">
        <v>0</v>
      </c>
      <c r="W473" s="35">
        <v>1.4</v>
      </c>
      <c r="X473" s="59">
        <v>0.92</v>
      </c>
      <c r="Y473" s="37" t="str">
        <f>RTD("money.excel",,"8415","Price")</f>
        <v>無資料</v>
      </c>
      <c r="Z473" s="69"/>
      <c r="AA473" s="16" t="e">
        <f t="shared" si="143"/>
        <v>#VALUE!</v>
      </c>
      <c r="AB473" s="3" t="e">
        <f t="shared" si="144"/>
        <v>#VALUE!</v>
      </c>
      <c r="AD473" s="17" t="s">
        <v>1428</v>
      </c>
      <c r="AG473" s="34">
        <f t="shared" si="145"/>
        <v>0</v>
      </c>
      <c r="AH473" s="44" t="s">
        <v>4196</v>
      </c>
      <c r="AI473" s="131"/>
      <c r="AK473" s="66">
        <f t="shared" si="146"/>
        <v>0</v>
      </c>
      <c r="AL473" s="174">
        <f t="shared" si="147"/>
        <v>0</v>
      </c>
      <c r="AM473" s="346">
        <f>RTD("money.excel",,$G473,"PredictVolume")</f>
        <v>0</v>
      </c>
      <c r="AN473" s="272">
        <f>RTD("money.excel",,$G473,"CumulativeVolume")</f>
        <v>0</v>
      </c>
      <c r="AO473" s="284"/>
    </row>
    <row r="474" spans="1:41">
      <c r="A474" s="151" t="s">
        <v>3027</v>
      </c>
      <c r="B474" s="96">
        <v>-80</v>
      </c>
      <c r="C474" s="96">
        <v>-22</v>
      </c>
      <c r="D474" s="96">
        <v>-8</v>
      </c>
      <c r="E474" s="96">
        <v>53</v>
      </c>
      <c r="F474" s="7">
        <v>5.05</v>
      </c>
      <c r="G474" s="85">
        <v>8930</v>
      </c>
      <c r="H474" s="4" t="s">
        <v>548</v>
      </c>
      <c r="I474" s="17" t="s">
        <v>1429</v>
      </c>
      <c r="J474" s="77">
        <v>58.77</v>
      </c>
      <c r="K474" s="77">
        <v>2.06</v>
      </c>
      <c r="L474" s="77">
        <v>12.46</v>
      </c>
      <c r="N474" s="365">
        <f t="shared" si="140"/>
        <v>73.290000000000006</v>
      </c>
      <c r="O474" s="343">
        <f t="shared" si="141"/>
        <v>58.77</v>
      </c>
      <c r="P474" s="195" t="s">
        <v>5554</v>
      </c>
      <c r="Q474" s="326" t="str">
        <f>IFERROR(VLOOKUP($G474,主力整理!$A$2:$G$2301,6,0),"0")</f>
        <v>0</v>
      </c>
      <c r="T474" s="339">
        <f t="shared" si="142"/>
        <v>0</v>
      </c>
      <c r="V474" s="371">
        <v>13.15</v>
      </c>
      <c r="W474" s="35">
        <v>0.5</v>
      </c>
      <c r="X474" s="100">
        <v>0.32</v>
      </c>
      <c r="Y474" s="14" t="str">
        <f>RTD("money.excel",,"8930","Price")</f>
        <v>無資料</v>
      </c>
      <c r="Z474" s="69"/>
      <c r="AA474" s="16" t="e">
        <f t="shared" si="143"/>
        <v>#VALUE!</v>
      </c>
      <c r="AB474" s="3" t="e">
        <f t="shared" si="144"/>
        <v>#VALUE!</v>
      </c>
      <c r="AD474" s="17" t="s">
        <v>1429</v>
      </c>
      <c r="AG474" s="34">
        <f t="shared" si="145"/>
        <v>0</v>
      </c>
      <c r="AH474" s="44" t="s">
        <v>4197</v>
      </c>
      <c r="AI474" s="131"/>
      <c r="AK474" s="66">
        <f t="shared" si="146"/>
        <v>0</v>
      </c>
      <c r="AL474" s="174">
        <f t="shared" si="147"/>
        <v>0</v>
      </c>
      <c r="AM474" s="346">
        <f>RTD("money.excel",,$G474,"PredictVolume")</f>
        <v>0</v>
      </c>
      <c r="AN474" s="272">
        <f>RTD("money.excel",,$G474,"CumulativeVolume")</f>
        <v>0</v>
      </c>
      <c r="AO474" s="284"/>
    </row>
    <row r="475" spans="1:41">
      <c r="A475" s="135" t="s">
        <v>3261</v>
      </c>
      <c r="B475" s="84">
        <v>193</v>
      </c>
      <c r="C475" s="84">
        <v>180</v>
      </c>
      <c r="D475" s="84">
        <v>1</v>
      </c>
      <c r="E475" s="84">
        <v>68</v>
      </c>
      <c r="F475" s="59">
        <v>22.84</v>
      </c>
      <c r="G475" s="85">
        <v>9958</v>
      </c>
      <c r="H475" s="4" t="s">
        <v>548</v>
      </c>
      <c r="I475" s="23" t="s">
        <v>591</v>
      </c>
      <c r="J475" s="77">
        <v>48.21</v>
      </c>
      <c r="K475" s="371">
        <v>7.05</v>
      </c>
      <c r="L475" s="371">
        <v>22.72</v>
      </c>
      <c r="N475" s="365">
        <f t="shared" si="140"/>
        <v>77.97999999999999</v>
      </c>
      <c r="O475" s="343">
        <f t="shared" si="141"/>
        <v>48.21</v>
      </c>
      <c r="P475" s="195">
        <v>1</v>
      </c>
      <c r="Q475" s="326">
        <f>IFERROR(VLOOKUP($G475,主力整理!$A$2:$G$2301,6,0),"0")</f>
        <v>9</v>
      </c>
      <c r="T475" s="339">
        <f t="shared" si="142"/>
        <v>10</v>
      </c>
      <c r="V475" s="371">
        <v>0.4</v>
      </c>
      <c r="W475" s="69">
        <v>4</v>
      </c>
      <c r="X475" s="100">
        <v>4.91</v>
      </c>
      <c r="Y475" s="37" t="str">
        <f>RTD("money.excel",,"9958","Price")</f>
        <v>無資料</v>
      </c>
      <c r="Z475" s="69"/>
      <c r="AA475" s="16" t="e">
        <f t="shared" si="143"/>
        <v>#VALUE!</v>
      </c>
      <c r="AB475" s="3" t="e">
        <f t="shared" si="144"/>
        <v>#VALUE!</v>
      </c>
      <c r="AC475" s="177" t="s">
        <v>2929</v>
      </c>
      <c r="AD475" s="23" t="s">
        <v>591</v>
      </c>
      <c r="AG475" s="34">
        <f t="shared" si="145"/>
        <v>0</v>
      </c>
      <c r="AH475" s="63" t="s">
        <v>3096</v>
      </c>
      <c r="AI475" s="131"/>
      <c r="AK475" s="66">
        <f t="shared" si="146"/>
        <v>0</v>
      </c>
      <c r="AL475" s="174">
        <f t="shared" si="147"/>
        <v>0</v>
      </c>
      <c r="AM475" s="346">
        <f>RTD("money.excel",,$G475,"PredictVolume")</f>
        <v>0</v>
      </c>
      <c r="AN475" s="272">
        <f>RTD("money.excel",,$G475,"CumulativeVolume")</f>
        <v>0</v>
      </c>
      <c r="AO475" s="284"/>
    </row>
    <row r="476" spans="1:41">
      <c r="A476" s="151" t="s">
        <v>3228</v>
      </c>
      <c r="B476" s="214">
        <v>-1748</v>
      </c>
      <c r="C476" s="96">
        <v>-838</v>
      </c>
      <c r="D476" s="96">
        <v>-18</v>
      </c>
      <c r="E476" s="96">
        <v>-24</v>
      </c>
      <c r="F476" s="7">
        <v>-1.1499999999999999</v>
      </c>
      <c r="G476" s="85">
        <v>9962</v>
      </c>
      <c r="H476" s="4" t="s">
        <v>548</v>
      </c>
      <c r="I476" s="17" t="s">
        <v>1430</v>
      </c>
      <c r="J476" s="77">
        <v>58.84</v>
      </c>
      <c r="K476" s="77">
        <v>0.59</v>
      </c>
      <c r="L476" s="77">
        <v>5.41</v>
      </c>
      <c r="N476" s="365">
        <f t="shared" si="140"/>
        <v>64.84</v>
      </c>
      <c r="O476" s="343">
        <f t="shared" si="141"/>
        <v>58.84</v>
      </c>
      <c r="P476" s="195" t="s">
        <v>5554</v>
      </c>
      <c r="Q476" s="326">
        <f>IFERROR(VLOOKUP($G476,主力整理!$A$2:$G$2301,6,0),"0")</f>
        <v>5</v>
      </c>
      <c r="T476" s="339">
        <f t="shared" si="142"/>
        <v>5</v>
      </c>
      <c r="V476" s="371">
        <v>21.72</v>
      </c>
      <c r="W476" s="35">
        <v>0</v>
      </c>
      <c r="X476" s="100">
        <v>0.01</v>
      </c>
      <c r="Y476" s="14" t="str">
        <f>RTD("money.excel",,"9962","Price")</f>
        <v>無資料</v>
      </c>
      <c r="Z476" s="69"/>
      <c r="AA476" s="16" t="e">
        <f t="shared" si="143"/>
        <v>#VALUE!</v>
      </c>
      <c r="AB476" s="3" t="e">
        <f t="shared" si="144"/>
        <v>#VALUE!</v>
      </c>
      <c r="AD476" s="17" t="s">
        <v>1430</v>
      </c>
      <c r="AG476" s="34">
        <f t="shared" si="145"/>
        <v>0</v>
      </c>
      <c r="AH476" s="44" t="s">
        <v>4198</v>
      </c>
      <c r="AI476" s="131"/>
      <c r="AK476" s="66">
        <f t="shared" si="146"/>
        <v>0</v>
      </c>
      <c r="AL476" s="174">
        <f t="shared" si="147"/>
        <v>0</v>
      </c>
      <c r="AM476" s="346">
        <f>RTD("money.excel",,$G476,"PredictVolume")</f>
        <v>0</v>
      </c>
      <c r="AN476" s="272">
        <f>RTD("money.excel",,$G476,"CumulativeVolume")</f>
        <v>0</v>
      </c>
      <c r="AO476" s="284"/>
    </row>
    <row r="477" spans="1:41">
      <c r="A477" s="151"/>
      <c r="B477" s="214"/>
      <c r="C477" s="96"/>
      <c r="D477" s="96"/>
      <c r="E477" s="96"/>
      <c r="F477" s="7"/>
      <c r="G477" s="85"/>
      <c r="H477" s="4"/>
      <c r="I477" s="17"/>
      <c r="J477" s="77"/>
      <c r="K477" s="77"/>
      <c r="N477" s="365"/>
      <c r="O477" s="343"/>
      <c r="P477" s="195"/>
      <c r="W477" s="35"/>
      <c r="X477" s="100"/>
      <c r="Y477" s="14"/>
      <c r="Z477" s="69"/>
      <c r="AA477" s="16"/>
      <c r="AB477" s="3"/>
      <c r="AD477" s="17"/>
      <c r="AG477" s="34"/>
      <c r="AH477" s="44"/>
      <c r="AI477" s="131"/>
      <c r="AK477" s="66"/>
      <c r="AL477" s="174"/>
      <c r="AM477" s="346"/>
      <c r="AN477" s="272"/>
      <c r="AO477" s="284"/>
    </row>
    <row r="478" spans="1:41">
      <c r="A478" s="135" t="s">
        <v>2552</v>
      </c>
      <c r="B478" s="96" t="s">
        <v>2331</v>
      </c>
      <c r="C478" s="96" t="s">
        <v>2332</v>
      </c>
      <c r="D478" s="96" t="s">
        <v>2333</v>
      </c>
      <c r="E478" s="96" t="s">
        <v>2334</v>
      </c>
      <c r="F478" s="9" t="s">
        <v>1709</v>
      </c>
      <c r="G478" s="52" t="s">
        <v>6309</v>
      </c>
      <c r="H478" s="56" t="s">
        <v>578</v>
      </c>
      <c r="I478" s="9" t="s">
        <v>549</v>
      </c>
      <c r="J478" s="364" t="s">
        <v>2189</v>
      </c>
      <c r="K478" s="364" t="s">
        <v>1820</v>
      </c>
      <c r="L478" s="364" t="s">
        <v>515</v>
      </c>
      <c r="M478" s="364" t="s">
        <v>1699</v>
      </c>
      <c r="N478" s="364" t="s">
        <v>6604</v>
      </c>
      <c r="O478" s="343" t="s">
        <v>6620</v>
      </c>
      <c r="P478" s="83" t="s">
        <v>5279</v>
      </c>
      <c r="Q478" s="326" t="s">
        <v>5514</v>
      </c>
      <c r="R478" s="31" t="s">
        <v>6596</v>
      </c>
      <c r="S478" s="51" t="s">
        <v>6597</v>
      </c>
      <c r="T478" s="338" t="s">
        <v>5627</v>
      </c>
      <c r="U478" s="330" t="s">
        <v>6537</v>
      </c>
      <c r="V478" s="377" t="s">
        <v>6616</v>
      </c>
      <c r="W478" s="11" t="s">
        <v>127</v>
      </c>
      <c r="X478" s="71" t="s">
        <v>5216</v>
      </c>
      <c r="Y478" s="29" t="s">
        <v>3</v>
      </c>
      <c r="Z478" s="18" t="s">
        <v>2113</v>
      </c>
      <c r="AA478" s="15" t="s">
        <v>8</v>
      </c>
      <c r="AB478" s="22" t="s">
        <v>4</v>
      </c>
      <c r="AC478" s="358" t="s">
        <v>211</v>
      </c>
      <c r="AD478" s="9" t="s">
        <v>549</v>
      </c>
      <c r="AE478" s="75" t="s">
        <v>2114</v>
      </c>
      <c r="AF478" s="76" t="s">
        <v>1826</v>
      </c>
      <c r="AG478" s="33" t="s">
        <v>1827</v>
      </c>
      <c r="AH478" s="44"/>
      <c r="AI478" s="131"/>
      <c r="AK478" s="9" t="s">
        <v>6666</v>
      </c>
      <c r="AL478" s="5" t="s">
        <v>6667</v>
      </c>
      <c r="AM478" s="51" t="s">
        <v>5339</v>
      </c>
      <c r="AN478" s="276" t="s">
        <v>6665</v>
      </c>
      <c r="AO478" s="284"/>
    </row>
    <row r="479" spans="1:41">
      <c r="A479" s="151" t="s">
        <v>3067</v>
      </c>
      <c r="B479" s="85">
        <v>-25</v>
      </c>
      <c r="C479" s="85">
        <v>-45</v>
      </c>
      <c r="D479" s="84">
        <v>5</v>
      </c>
      <c r="E479" s="84">
        <v>15</v>
      </c>
      <c r="F479" s="7">
        <v>5.9</v>
      </c>
      <c r="G479" s="85">
        <v>2101</v>
      </c>
      <c r="H479" s="4" t="s">
        <v>549</v>
      </c>
      <c r="I479" s="23" t="s">
        <v>252</v>
      </c>
      <c r="J479" s="371">
        <v>77.3</v>
      </c>
      <c r="K479" s="371">
        <v>7.18</v>
      </c>
      <c r="L479" s="371">
        <v>16.3</v>
      </c>
      <c r="N479" s="365">
        <f t="shared" ref="N479:N490" si="148">J479+K479+L479+M479</f>
        <v>100.77999999999999</v>
      </c>
      <c r="O479" s="343">
        <f t="shared" ref="O479:O490" si="149">J479+M479</f>
        <v>77.3</v>
      </c>
      <c r="P479" s="195" t="s">
        <v>5554</v>
      </c>
      <c r="Q479" s="326">
        <f>IFERROR(VLOOKUP($G479,主力整理!$A$2:$G$2301,6,0),"0")</f>
        <v>5</v>
      </c>
      <c r="T479" s="339">
        <f t="shared" ref="T479:T490" si="150">SUM(P479:S479)</f>
        <v>5</v>
      </c>
      <c r="V479" s="371">
        <v>0.01</v>
      </c>
      <c r="W479" s="35">
        <v>0.6</v>
      </c>
      <c r="X479" s="100">
        <v>1.05</v>
      </c>
      <c r="Y479" s="37" t="str">
        <f>RTD("money.excel",,"2101","Price")</f>
        <v>無資料</v>
      </c>
      <c r="Z479" s="69"/>
      <c r="AA479" s="16" t="e">
        <f t="shared" ref="AA479:AA490" si="151">Y479-Z479</f>
        <v>#VALUE!</v>
      </c>
      <c r="AB479" s="3" t="e">
        <f t="shared" ref="AB479:AB490" si="152">AA479/Z479</f>
        <v>#VALUE!</v>
      </c>
      <c r="AC479" s="177" t="s">
        <v>2648</v>
      </c>
      <c r="AD479" s="23" t="s">
        <v>252</v>
      </c>
      <c r="AG479" s="34">
        <f t="shared" ref="AG479:AG490" si="153">AF479-AE479</f>
        <v>0</v>
      </c>
      <c r="AH479" s="125" t="s">
        <v>5180</v>
      </c>
      <c r="AI479" s="131"/>
      <c r="AK479" s="66">
        <f t="shared" ref="AK479" si="154">AM479/(A479*10000)</f>
        <v>0</v>
      </c>
      <c r="AL479" s="174">
        <f t="shared" ref="AL479" si="155">AN479/(A479*10000)</f>
        <v>0</v>
      </c>
      <c r="AM479" s="346">
        <f>RTD("money.excel",,$G479,"PredictVolume")</f>
        <v>0</v>
      </c>
      <c r="AN479" s="272">
        <f>RTD("money.excel",,$G479,"CumulativeVolume")</f>
        <v>0</v>
      </c>
      <c r="AO479" s="284"/>
    </row>
    <row r="480" spans="1:41">
      <c r="A480" s="151" t="s">
        <v>4891</v>
      </c>
      <c r="B480" s="96">
        <v>134</v>
      </c>
      <c r="C480" s="96">
        <v>140</v>
      </c>
      <c r="D480" s="96">
        <v>-44</v>
      </c>
      <c r="E480" s="96">
        <v>-27</v>
      </c>
      <c r="F480" s="7">
        <v>4.34</v>
      </c>
      <c r="G480" s="85">
        <v>2102</v>
      </c>
      <c r="H480" s="4" t="s">
        <v>549</v>
      </c>
      <c r="I480" s="23" t="s">
        <v>1552</v>
      </c>
      <c r="J480" s="77">
        <v>53.48</v>
      </c>
      <c r="K480" s="77">
        <v>8.8699999999999992</v>
      </c>
      <c r="L480" s="77">
        <v>6.09</v>
      </c>
      <c r="N480" s="365">
        <f t="shared" si="148"/>
        <v>68.44</v>
      </c>
      <c r="O480" s="343">
        <f t="shared" si="149"/>
        <v>53.48</v>
      </c>
      <c r="P480" s="195" t="s">
        <v>5554</v>
      </c>
      <c r="Q480" s="326" t="str">
        <f>IFERROR(VLOOKUP($G480,主力整理!$A$2:$G$2301,6,0),"0")</f>
        <v>0</v>
      </c>
      <c r="T480" s="339">
        <f t="shared" si="150"/>
        <v>0</v>
      </c>
      <c r="V480" s="371">
        <v>8.85</v>
      </c>
      <c r="W480" s="35">
        <v>0.02</v>
      </c>
      <c r="X480" s="100">
        <v>0.24</v>
      </c>
      <c r="Y480" s="14" t="str">
        <f>RTD("money.excel",,"2102","Price")</f>
        <v>無資料</v>
      </c>
      <c r="Z480" s="69"/>
      <c r="AA480" s="16" t="e">
        <f t="shared" si="151"/>
        <v>#VALUE!</v>
      </c>
      <c r="AB480" s="3" t="e">
        <f t="shared" si="152"/>
        <v>#VALUE!</v>
      </c>
      <c r="AD480" s="23" t="s">
        <v>1552</v>
      </c>
      <c r="AG480" s="34">
        <f t="shared" si="153"/>
        <v>0</v>
      </c>
      <c r="AH480" s="44" t="s">
        <v>5178</v>
      </c>
      <c r="AI480" s="131"/>
      <c r="AK480" s="66">
        <f t="shared" ref="AK480:AK490" si="156">AM480/(A480*10000)</f>
        <v>0</v>
      </c>
      <c r="AL480" s="174">
        <f t="shared" ref="AL480:AL490" si="157">AN480/(A480*10000)</f>
        <v>0</v>
      </c>
      <c r="AM480" s="346">
        <f>RTD("money.excel",,$G480,"PredictVolume")</f>
        <v>0</v>
      </c>
      <c r="AN480" s="272">
        <f>RTD("money.excel",,$G480,"CumulativeVolume")</f>
        <v>0</v>
      </c>
      <c r="AO480" s="284"/>
    </row>
    <row r="481" spans="1:41">
      <c r="A481" s="135" t="s">
        <v>2452</v>
      </c>
      <c r="B481" s="98">
        <v>3610</v>
      </c>
      <c r="C481" s="84">
        <v>449</v>
      </c>
      <c r="D481" s="84">
        <v>12</v>
      </c>
      <c r="E481" s="84">
        <v>39</v>
      </c>
      <c r="F481" s="59">
        <v>12.16</v>
      </c>
      <c r="G481" s="85">
        <v>2103</v>
      </c>
      <c r="H481" s="4" t="s">
        <v>549</v>
      </c>
      <c r="I481" s="163" t="s">
        <v>253</v>
      </c>
      <c r="J481" s="77">
        <v>64.89</v>
      </c>
      <c r="K481" s="77">
        <v>32.96</v>
      </c>
      <c r="L481" s="77">
        <v>5.0599999999999996</v>
      </c>
      <c r="M481" s="77">
        <v>14.14</v>
      </c>
      <c r="N481" s="365">
        <f t="shared" si="148"/>
        <v>117.05</v>
      </c>
      <c r="O481" s="343">
        <f t="shared" si="149"/>
        <v>79.03</v>
      </c>
      <c r="P481" s="195">
        <v>11</v>
      </c>
      <c r="Q481" s="326">
        <v>64</v>
      </c>
      <c r="R481" s="111">
        <v>40</v>
      </c>
      <c r="S481" s="51">
        <v>28</v>
      </c>
      <c r="T481" s="339">
        <f t="shared" si="150"/>
        <v>143</v>
      </c>
      <c r="U481" s="329" t="s">
        <v>6538</v>
      </c>
      <c r="V481" s="371">
        <v>1.42</v>
      </c>
      <c r="W481" s="205">
        <v>0.36</v>
      </c>
      <c r="X481" s="100">
        <v>4.37</v>
      </c>
      <c r="Y481" s="37" t="str">
        <f>RTD("money.excel",,"2103","Price")</f>
        <v>無資料</v>
      </c>
      <c r="Z481" s="69"/>
      <c r="AA481" s="16" t="e">
        <f t="shared" si="151"/>
        <v>#VALUE!</v>
      </c>
      <c r="AB481" s="3" t="e">
        <f t="shared" si="152"/>
        <v>#VALUE!</v>
      </c>
      <c r="AC481" s="177" t="s">
        <v>2648</v>
      </c>
      <c r="AD481" s="23" t="s">
        <v>253</v>
      </c>
      <c r="AG481" s="34">
        <f t="shared" si="153"/>
        <v>0</v>
      </c>
      <c r="AH481" s="126" t="s">
        <v>549</v>
      </c>
      <c r="AI481" s="131"/>
      <c r="AK481" s="66">
        <f t="shared" si="156"/>
        <v>0</v>
      </c>
      <c r="AL481" s="174">
        <f t="shared" si="157"/>
        <v>0</v>
      </c>
      <c r="AM481" s="346">
        <f>RTD("money.excel",,$G481,"PredictVolume")</f>
        <v>0</v>
      </c>
      <c r="AN481" s="272">
        <f>RTD("money.excel",,$G481,"CumulativeVolume")</f>
        <v>0</v>
      </c>
      <c r="AO481" s="284"/>
    </row>
    <row r="482" spans="1:41">
      <c r="A482" s="151" t="s">
        <v>2453</v>
      </c>
      <c r="B482" s="84">
        <v>294</v>
      </c>
      <c r="C482" s="98">
        <v>1505</v>
      </c>
      <c r="D482" s="85">
        <v>-4</v>
      </c>
      <c r="E482" s="84">
        <v>27</v>
      </c>
      <c r="F482" s="7">
        <v>9.1300000000000008</v>
      </c>
      <c r="G482" s="85">
        <v>2104</v>
      </c>
      <c r="H482" s="4" t="s">
        <v>549</v>
      </c>
      <c r="I482" s="23" t="s">
        <v>1740</v>
      </c>
      <c r="J482" s="371">
        <v>47.67</v>
      </c>
      <c r="K482" s="371">
        <v>12.67</v>
      </c>
      <c r="L482" s="77">
        <v>3.52</v>
      </c>
      <c r="N482" s="365">
        <f t="shared" si="148"/>
        <v>63.860000000000007</v>
      </c>
      <c r="O482" s="343">
        <f t="shared" si="149"/>
        <v>47.67</v>
      </c>
      <c r="P482" s="195">
        <v>1</v>
      </c>
      <c r="Q482" s="326">
        <f>IFERROR(VLOOKUP($G482,主力整理!$A$2:$G$2301,6,0),"0")</f>
        <v>6</v>
      </c>
      <c r="R482" s="111">
        <v>2</v>
      </c>
      <c r="S482" s="51">
        <v>1</v>
      </c>
      <c r="T482" s="339">
        <f t="shared" si="150"/>
        <v>10</v>
      </c>
      <c r="V482" s="371">
        <v>0.3</v>
      </c>
      <c r="W482" s="35">
        <v>0.1</v>
      </c>
      <c r="X482" s="100">
        <v>1.77</v>
      </c>
      <c r="Y482" s="37" t="str">
        <f>RTD("money.excel",,"2104","Price")</f>
        <v>無資料</v>
      </c>
      <c r="Z482" s="69"/>
      <c r="AA482" s="16" t="e">
        <f t="shared" si="151"/>
        <v>#VALUE!</v>
      </c>
      <c r="AB482" s="3" t="e">
        <f t="shared" si="152"/>
        <v>#VALUE!</v>
      </c>
      <c r="AC482" s="177" t="s">
        <v>2648</v>
      </c>
      <c r="AD482" s="23" t="s">
        <v>1740</v>
      </c>
      <c r="AG482" s="34">
        <f t="shared" si="153"/>
        <v>0</v>
      </c>
      <c r="AH482" s="44" t="s">
        <v>5179</v>
      </c>
      <c r="AI482" s="131"/>
      <c r="AK482" s="66">
        <f t="shared" si="156"/>
        <v>0</v>
      </c>
      <c r="AL482" s="174">
        <f t="shared" si="157"/>
        <v>0</v>
      </c>
      <c r="AM482" s="346">
        <f>RTD("money.excel",,$G482,"PredictVolume")</f>
        <v>0</v>
      </c>
      <c r="AN482" s="272">
        <f>RTD("money.excel",,$G482,"CumulativeVolume")</f>
        <v>0</v>
      </c>
      <c r="AO482" s="284"/>
    </row>
    <row r="483" spans="1:41">
      <c r="A483" s="151" t="s">
        <v>3062</v>
      </c>
      <c r="B483" s="84">
        <v>54</v>
      </c>
      <c r="C483" s="84">
        <v>22</v>
      </c>
      <c r="D483" s="84">
        <v>3</v>
      </c>
      <c r="E483" s="85">
        <v>-9</v>
      </c>
      <c r="F483" s="7">
        <v>8.17</v>
      </c>
      <c r="G483" s="85">
        <v>2105</v>
      </c>
      <c r="H483" s="4" t="s">
        <v>549</v>
      </c>
      <c r="I483" s="23" t="s">
        <v>503</v>
      </c>
      <c r="J483" s="371">
        <v>76.3</v>
      </c>
      <c r="K483" s="371">
        <v>14.75</v>
      </c>
      <c r="L483" s="371">
        <v>1.33</v>
      </c>
      <c r="M483" s="77">
        <v>15.4</v>
      </c>
      <c r="N483" s="365">
        <f t="shared" si="148"/>
        <v>107.78</v>
      </c>
      <c r="O483" s="369">
        <f t="shared" si="149"/>
        <v>91.7</v>
      </c>
      <c r="P483" s="195">
        <v>7</v>
      </c>
      <c r="Q483" s="326">
        <v>63</v>
      </c>
      <c r="R483" s="111">
        <v>24</v>
      </c>
      <c r="S483" s="51">
        <v>14</v>
      </c>
      <c r="T483" s="339">
        <f t="shared" si="150"/>
        <v>108</v>
      </c>
      <c r="U483" s="329" t="s">
        <v>6540</v>
      </c>
      <c r="V483" s="371">
        <v>1.05</v>
      </c>
      <c r="W483" s="35">
        <v>1.2</v>
      </c>
      <c r="X483" s="59">
        <v>2.3199999999999998</v>
      </c>
      <c r="Y483" s="37" t="str">
        <f>RTD("money.excel",,"2105","Price")</f>
        <v>無資料</v>
      </c>
      <c r="Z483" s="69"/>
      <c r="AA483" s="16" t="e">
        <f t="shared" si="151"/>
        <v>#VALUE!</v>
      </c>
      <c r="AB483" s="3" t="e">
        <f t="shared" si="152"/>
        <v>#VALUE!</v>
      </c>
      <c r="AC483" s="177" t="s">
        <v>2648</v>
      </c>
      <c r="AD483" s="23" t="s">
        <v>503</v>
      </c>
      <c r="AG483" s="34">
        <f t="shared" si="153"/>
        <v>0</v>
      </c>
      <c r="AH483" s="125" t="s">
        <v>5178</v>
      </c>
      <c r="AI483" s="131"/>
      <c r="AK483" s="66">
        <f t="shared" si="156"/>
        <v>0</v>
      </c>
      <c r="AL483" s="174">
        <f t="shared" si="157"/>
        <v>0</v>
      </c>
      <c r="AM483" s="346">
        <f>RTD("money.excel",,$G483,"PredictVolume")</f>
        <v>0</v>
      </c>
      <c r="AN483" s="272">
        <f>RTD("money.excel",,$G483,"CumulativeVolume")</f>
        <v>0</v>
      </c>
      <c r="AO483" s="284"/>
    </row>
    <row r="484" spans="1:41">
      <c r="A484" s="151" t="s">
        <v>3186</v>
      </c>
      <c r="B484" s="98">
        <v>1800</v>
      </c>
      <c r="C484" s="246">
        <v>96342</v>
      </c>
      <c r="D484" s="84">
        <v>3</v>
      </c>
      <c r="E484" s="84">
        <v>7</v>
      </c>
      <c r="F484" s="7">
        <v>8.32</v>
      </c>
      <c r="G484" s="85">
        <v>2106</v>
      </c>
      <c r="H484" s="4" t="s">
        <v>549</v>
      </c>
      <c r="I484" s="23" t="s">
        <v>254</v>
      </c>
      <c r="J484" s="371">
        <v>80.400000000000006</v>
      </c>
      <c r="K484" s="371">
        <v>7.9</v>
      </c>
      <c r="L484" s="77">
        <v>1.2</v>
      </c>
      <c r="N484" s="365">
        <f t="shared" si="148"/>
        <v>89.500000000000014</v>
      </c>
      <c r="O484" s="343">
        <f t="shared" si="149"/>
        <v>80.400000000000006</v>
      </c>
      <c r="P484" s="195">
        <v>2</v>
      </c>
      <c r="Q484" s="326">
        <f>IFERROR(VLOOKUP($G484,主力整理!$A$2:$G$2301,6,0),"0")</f>
        <v>1</v>
      </c>
      <c r="R484" s="111">
        <v>2</v>
      </c>
      <c r="S484" s="51">
        <v>5</v>
      </c>
      <c r="T484" s="339">
        <f t="shared" si="150"/>
        <v>10</v>
      </c>
      <c r="V484" s="371">
        <v>0.18</v>
      </c>
      <c r="W484" s="35">
        <v>1</v>
      </c>
      <c r="X484" s="59">
        <v>2.36</v>
      </c>
      <c r="Y484" s="37" t="str">
        <f>RTD("money.excel",,"2106","Price")</f>
        <v>無資料</v>
      </c>
      <c r="Z484" s="69"/>
      <c r="AA484" s="16" t="e">
        <f t="shared" si="151"/>
        <v>#VALUE!</v>
      </c>
      <c r="AB484" s="3" t="e">
        <f t="shared" si="152"/>
        <v>#VALUE!</v>
      </c>
      <c r="AC484" s="177" t="s">
        <v>2648</v>
      </c>
      <c r="AD484" s="23" t="s">
        <v>254</v>
      </c>
      <c r="AG484" s="34">
        <f t="shared" si="153"/>
        <v>0</v>
      </c>
      <c r="AH484" s="125" t="s">
        <v>5178</v>
      </c>
      <c r="AI484" s="131"/>
      <c r="AK484" s="66">
        <f t="shared" si="156"/>
        <v>0</v>
      </c>
      <c r="AL484" s="174">
        <f t="shared" si="157"/>
        <v>0</v>
      </c>
      <c r="AM484" s="346">
        <f>RTD("money.excel",,$G484,"PredictVolume")</f>
        <v>0</v>
      </c>
      <c r="AN484" s="272">
        <f>RTD("money.excel",,$G484,"CumulativeVolume")</f>
        <v>0</v>
      </c>
      <c r="AO484" s="284"/>
    </row>
    <row r="485" spans="1:41">
      <c r="A485" s="135" t="s">
        <v>2753</v>
      </c>
      <c r="B485" s="85">
        <v>-13</v>
      </c>
      <c r="C485" s="84">
        <v>3</v>
      </c>
      <c r="D485" s="84">
        <v>19</v>
      </c>
      <c r="E485" s="85">
        <v>-4</v>
      </c>
      <c r="F485" s="59">
        <v>26.23</v>
      </c>
      <c r="G485" s="85">
        <v>2107</v>
      </c>
      <c r="H485" s="4" t="s">
        <v>549</v>
      </c>
      <c r="I485" s="23" t="s">
        <v>1553</v>
      </c>
      <c r="J485" s="371">
        <v>48.97</v>
      </c>
      <c r="K485" s="371">
        <v>10.79</v>
      </c>
      <c r="L485" s="371">
        <v>2.58</v>
      </c>
      <c r="N485" s="365">
        <f t="shared" si="148"/>
        <v>62.339999999999996</v>
      </c>
      <c r="O485" s="343">
        <f t="shared" si="149"/>
        <v>48.97</v>
      </c>
      <c r="P485" s="195">
        <v>0</v>
      </c>
      <c r="Q485" s="326">
        <v>1</v>
      </c>
      <c r="R485" s="111">
        <v>0</v>
      </c>
      <c r="S485" s="51">
        <v>0</v>
      </c>
      <c r="T485" s="339">
        <f t="shared" si="150"/>
        <v>1</v>
      </c>
      <c r="V485" s="371">
        <v>0.59</v>
      </c>
      <c r="W485" s="35">
        <v>1.5</v>
      </c>
      <c r="X485" s="100">
        <v>2.46</v>
      </c>
      <c r="Y485" s="37" t="str">
        <f>RTD("money.excel",,"2107","Price")</f>
        <v>無資料</v>
      </c>
      <c r="Z485" s="69"/>
      <c r="AA485" s="16" t="e">
        <f t="shared" si="151"/>
        <v>#VALUE!</v>
      </c>
      <c r="AB485" s="3" t="e">
        <f t="shared" si="152"/>
        <v>#VALUE!</v>
      </c>
      <c r="AD485" s="23" t="s">
        <v>1553</v>
      </c>
      <c r="AG485" s="34">
        <f t="shared" si="153"/>
        <v>0</v>
      </c>
      <c r="AH485" s="63" t="s">
        <v>1485</v>
      </c>
      <c r="AI485" s="131"/>
      <c r="AK485" s="66">
        <f t="shared" si="156"/>
        <v>0</v>
      </c>
      <c r="AL485" s="174">
        <f t="shared" si="157"/>
        <v>0</v>
      </c>
      <c r="AM485" s="346">
        <f>RTD("money.excel",,$G485,"PredictVolume")</f>
        <v>0</v>
      </c>
      <c r="AN485" s="272">
        <f>RTD("money.excel",,$G485,"CumulativeVolume")</f>
        <v>0</v>
      </c>
      <c r="AO485" s="284"/>
    </row>
    <row r="486" spans="1:41">
      <c r="A486" s="135" t="s">
        <v>2898</v>
      </c>
      <c r="B486" s="84">
        <v>548</v>
      </c>
      <c r="C486" s="84">
        <v>571</v>
      </c>
      <c r="D486" s="84">
        <v>0</v>
      </c>
      <c r="E486" s="84">
        <v>67</v>
      </c>
      <c r="F486" s="59">
        <v>48.42</v>
      </c>
      <c r="G486" s="85">
        <v>2108</v>
      </c>
      <c r="H486" s="4" t="s">
        <v>549</v>
      </c>
      <c r="I486" s="23" t="s">
        <v>1554</v>
      </c>
      <c r="J486" s="371">
        <v>69.34</v>
      </c>
      <c r="K486" s="77">
        <v>15.44</v>
      </c>
      <c r="L486" s="77">
        <v>5.33</v>
      </c>
      <c r="N486" s="365">
        <f t="shared" si="148"/>
        <v>90.11</v>
      </c>
      <c r="O486" s="343">
        <f t="shared" si="149"/>
        <v>69.34</v>
      </c>
      <c r="P486" s="195">
        <v>6</v>
      </c>
      <c r="Q486" s="326">
        <v>10</v>
      </c>
      <c r="R486" s="111">
        <v>8</v>
      </c>
      <c r="S486" s="51">
        <v>16</v>
      </c>
      <c r="T486" s="339">
        <f t="shared" si="150"/>
        <v>40</v>
      </c>
      <c r="V486" s="371">
        <v>26.79</v>
      </c>
      <c r="W486" s="69">
        <v>4</v>
      </c>
      <c r="X486" s="59">
        <v>16.22</v>
      </c>
      <c r="Y486" s="37" t="str">
        <f>RTD("money.excel",,"2108","Price")</f>
        <v>無資料</v>
      </c>
      <c r="Z486" s="69"/>
      <c r="AA486" s="16" t="e">
        <f t="shared" si="151"/>
        <v>#VALUE!</v>
      </c>
      <c r="AB486" s="3" t="e">
        <f t="shared" si="152"/>
        <v>#VALUE!</v>
      </c>
      <c r="AC486" s="177" t="s">
        <v>2929</v>
      </c>
      <c r="AD486" s="23" t="s">
        <v>1554</v>
      </c>
      <c r="AG486" s="34">
        <f t="shared" si="153"/>
        <v>0</v>
      </c>
      <c r="AH486" s="63" t="s">
        <v>3998</v>
      </c>
      <c r="AI486" s="131"/>
      <c r="AK486" s="66">
        <f t="shared" si="156"/>
        <v>0</v>
      </c>
      <c r="AL486" s="174">
        <f t="shared" si="157"/>
        <v>0</v>
      </c>
      <c r="AM486" s="346">
        <f>RTD("money.excel",,$G486,"PredictVolume")</f>
        <v>0</v>
      </c>
      <c r="AN486" s="272">
        <f>RTD("money.excel",,$G486,"CumulativeVolume")</f>
        <v>0</v>
      </c>
      <c r="AO486" s="284"/>
    </row>
    <row r="487" spans="1:41">
      <c r="A487" s="135" t="s">
        <v>3091</v>
      </c>
      <c r="B487" s="84">
        <v>554</v>
      </c>
      <c r="C487" s="84">
        <v>48</v>
      </c>
      <c r="D487" s="85">
        <v>-19</v>
      </c>
      <c r="E487" s="85">
        <v>-6</v>
      </c>
      <c r="F487" s="59">
        <v>11.64</v>
      </c>
      <c r="G487" s="85">
        <v>2109</v>
      </c>
      <c r="H487" s="4" t="s">
        <v>549</v>
      </c>
      <c r="I487" s="23" t="s">
        <v>1555</v>
      </c>
      <c r="J487" s="371">
        <v>69.86</v>
      </c>
      <c r="K487" s="371">
        <v>14.75</v>
      </c>
      <c r="N487" s="365">
        <f t="shared" si="148"/>
        <v>84.61</v>
      </c>
      <c r="O487" s="343">
        <f t="shared" si="149"/>
        <v>69.86</v>
      </c>
      <c r="P487" s="195" t="s">
        <v>5554</v>
      </c>
      <c r="Q487" s="326" t="str">
        <f>IFERROR(VLOOKUP($G487,主力整理!$A$2:$G$2301,6,0),"0")</f>
        <v>0</v>
      </c>
      <c r="T487" s="339">
        <f t="shared" si="150"/>
        <v>0</v>
      </c>
      <c r="W487" s="35">
        <v>0</v>
      </c>
      <c r="X487" s="100">
        <v>1.17</v>
      </c>
      <c r="Y487" s="37" t="str">
        <f>RTD("money.excel",,"2109","Price")</f>
        <v>無資料</v>
      </c>
      <c r="Z487" s="69"/>
      <c r="AA487" s="16" t="e">
        <f t="shared" si="151"/>
        <v>#VALUE!</v>
      </c>
      <c r="AB487" s="3" t="e">
        <f t="shared" si="152"/>
        <v>#VALUE!</v>
      </c>
      <c r="AC487" s="177" t="s">
        <v>2648</v>
      </c>
      <c r="AD487" s="23" t="s">
        <v>1555</v>
      </c>
      <c r="AG487" s="34">
        <f t="shared" si="153"/>
        <v>0</v>
      </c>
      <c r="AH487" s="63" t="s">
        <v>5178</v>
      </c>
      <c r="AI487" s="131"/>
      <c r="AK487" s="66">
        <f t="shared" si="156"/>
        <v>0</v>
      </c>
      <c r="AL487" s="174">
        <f t="shared" si="157"/>
        <v>0</v>
      </c>
      <c r="AM487" s="346">
        <f>RTD("money.excel",,$G487,"PredictVolume")</f>
        <v>0</v>
      </c>
      <c r="AN487" s="272">
        <f>RTD("money.excel",,$G487,"CumulativeVolume")</f>
        <v>0</v>
      </c>
      <c r="AO487" s="284"/>
    </row>
    <row r="488" spans="1:41">
      <c r="A488" s="135" t="s">
        <v>2591</v>
      </c>
      <c r="B488" s="84">
        <v>5</v>
      </c>
      <c r="C488" s="84">
        <v>30</v>
      </c>
      <c r="D488" s="84">
        <v>1</v>
      </c>
      <c r="E488" s="85">
        <v>-5</v>
      </c>
      <c r="F488" s="59">
        <v>34.1</v>
      </c>
      <c r="G488" s="85">
        <v>2114</v>
      </c>
      <c r="H488" s="4" t="s">
        <v>549</v>
      </c>
      <c r="I488" s="23" t="s">
        <v>1556</v>
      </c>
      <c r="J488" s="371">
        <v>60.6</v>
      </c>
      <c r="K488" s="371">
        <v>1.31</v>
      </c>
      <c r="L488" s="77">
        <v>0.51</v>
      </c>
      <c r="N488" s="365">
        <f t="shared" si="148"/>
        <v>62.42</v>
      </c>
      <c r="O488" s="343">
        <f t="shared" si="149"/>
        <v>60.6</v>
      </c>
      <c r="P488" s="195">
        <v>3</v>
      </c>
      <c r="Q488" s="326" t="str">
        <f>IFERROR(VLOOKUP($G488,主力整理!$A$2:$G$2301,6,0),"0")</f>
        <v>0</v>
      </c>
      <c r="T488" s="339">
        <f t="shared" si="150"/>
        <v>3</v>
      </c>
      <c r="V488" s="371">
        <v>0</v>
      </c>
      <c r="W488" s="69">
        <v>6</v>
      </c>
      <c r="X488" s="100">
        <v>7.39</v>
      </c>
      <c r="Y488" s="37" t="str">
        <f>RTD("money.excel",,"2114","Price")</f>
        <v>無資料</v>
      </c>
      <c r="Z488" s="69"/>
      <c r="AA488" s="16" t="e">
        <f t="shared" si="151"/>
        <v>#VALUE!</v>
      </c>
      <c r="AB488" s="3" t="e">
        <f t="shared" si="152"/>
        <v>#VALUE!</v>
      </c>
      <c r="AC488" s="177" t="s">
        <v>2929</v>
      </c>
      <c r="AD488" s="23" t="s">
        <v>1556</v>
      </c>
      <c r="AG488" s="34">
        <f t="shared" si="153"/>
        <v>0</v>
      </c>
      <c r="AH488" s="63" t="s">
        <v>5177</v>
      </c>
      <c r="AI488" s="131"/>
      <c r="AK488" s="66">
        <f t="shared" si="156"/>
        <v>0</v>
      </c>
      <c r="AL488" s="174">
        <f t="shared" si="157"/>
        <v>0</v>
      </c>
      <c r="AM488" s="346">
        <f>RTD("money.excel",,$G488,"PredictVolume")</f>
        <v>0</v>
      </c>
      <c r="AN488" s="272">
        <f>RTD("money.excel",,$G488,"CumulativeVolume")</f>
        <v>0</v>
      </c>
      <c r="AO488" s="284"/>
    </row>
    <row r="489" spans="1:41">
      <c r="A489" s="151" t="s">
        <v>4758</v>
      </c>
      <c r="B489" s="84">
        <v>19</v>
      </c>
      <c r="C489" s="85">
        <v>-16</v>
      </c>
      <c r="D489" s="85">
        <v>-32</v>
      </c>
      <c r="E489" s="85">
        <v>-2</v>
      </c>
      <c r="F489" s="7">
        <v>4.29</v>
      </c>
      <c r="G489" s="85">
        <v>5102</v>
      </c>
      <c r="H489" s="4" t="s">
        <v>549</v>
      </c>
      <c r="I489" s="17" t="s">
        <v>1551</v>
      </c>
      <c r="J489" s="77">
        <v>79.459999999999994</v>
      </c>
      <c r="K489" s="77">
        <v>0.1</v>
      </c>
      <c r="L489" s="77">
        <v>0.94</v>
      </c>
      <c r="N489" s="365">
        <f t="shared" si="148"/>
        <v>80.499999999999986</v>
      </c>
      <c r="O489" s="343">
        <f t="shared" si="149"/>
        <v>79.459999999999994</v>
      </c>
      <c r="P489" s="195" t="s">
        <v>5554</v>
      </c>
      <c r="Q489" s="326" t="str">
        <f>IFERROR(VLOOKUP($G489,主力整理!$A$2:$G$2301,6,0),"0")</f>
        <v>0</v>
      </c>
      <c r="T489" s="339">
        <f t="shared" si="150"/>
        <v>0</v>
      </c>
      <c r="V489" s="371">
        <v>0</v>
      </c>
      <c r="W489" s="35"/>
      <c r="X489" s="59">
        <v>0.79</v>
      </c>
      <c r="Y489" s="37" t="str">
        <f>RTD("money.excel",,"5102","Price")</f>
        <v>無資料</v>
      </c>
      <c r="Z489" s="69"/>
      <c r="AA489" s="16" t="e">
        <f t="shared" si="151"/>
        <v>#VALUE!</v>
      </c>
      <c r="AB489" s="3" t="e">
        <f t="shared" si="152"/>
        <v>#VALUE!</v>
      </c>
      <c r="AD489" s="17" t="s">
        <v>1551</v>
      </c>
      <c r="AG489" s="34">
        <f t="shared" si="153"/>
        <v>0</v>
      </c>
      <c r="AH489" s="44" t="s">
        <v>4208</v>
      </c>
      <c r="AI489" s="284"/>
      <c r="AK489" s="66">
        <f t="shared" si="156"/>
        <v>0</v>
      </c>
      <c r="AL489" s="174">
        <f t="shared" si="157"/>
        <v>0</v>
      </c>
      <c r="AM489" s="346">
        <f>RTD("money.excel",,$G489,"PredictVolume")</f>
        <v>0</v>
      </c>
      <c r="AN489" s="272">
        <f>RTD("money.excel",,$G489,"CumulativeVolume")</f>
        <v>0</v>
      </c>
      <c r="AO489" s="284"/>
    </row>
    <row r="490" spans="1:41">
      <c r="A490" s="135" t="s">
        <v>2631</v>
      </c>
      <c r="B490" s="84">
        <v>239</v>
      </c>
      <c r="C490" s="84">
        <v>250</v>
      </c>
      <c r="D490" s="85">
        <v>-75</v>
      </c>
      <c r="E490" s="85">
        <v>-78</v>
      </c>
      <c r="F490" s="59">
        <v>55.97</v>
      </c>
      <c r="G490" s="85">
        <v>6582</v>
      </c>
      <c r="H490" s="4" t="s">
        <v>549</v>
      </c>
      <c r="I490" s="23" t="s">
        <v>1557</v>
      </c>
      <c r="J490" s="371">
        <v>78.349999999999994</v>
      </c>
      <c r="K490" s="77">
        <v>17.579999999999998</v>
      </c>
      <c r="L490" s="371">
        <v>4.0199999999999996</v>
      </c>
      <c r="M490" s="371">
        <v>50.77</v>
      </c>
      <c r="N490" s="77">
        <f t="shared" si="148"/>
        <v>150.72</v>
      </c>
      <c r="O490" s="369">
        <f t="shared" si="149"/>
        <v>129.12</v>
      </c>
      <c r="P490" s="195">
        <v>14</v>
      </c>
      <c r="Q490" s="326">
        <v>8</v>
      </c>
      <c r="R490" s="111">
        <v>19</v>
      </c>
      <c r="S490" s="51">
        <v>19</v>
      </c>
      <c r="T490" s="339">
        <f t="shared" si="150"/>
        <v>60</v>
      </c>
      <c r="U490" s="329" t="s">
        <v>6538</v>
      </c>
      <c r="V490" s="371">
        <v>1.1100000000000001</v>
      </c>
      <c r="W490" s="69">
        <v>10</v>
      </c>
      <c r="X490" s="59">
        <v>38.15</v>
      </c>
      <c r="Y490" s="37" t="str">
        <f>RTD("money.excel",,"6582","Price")</f>
        <v>無資料</v>
      </c>
      <c r="Z490" s="69"/>
      <c r="AA490" s="16" t="e">
        <f t="shared" si="151"/>
        <v>#VALUE!</v>
      </c>
      <c r="AB490" s="3" t="e">
        <f t="shared" si="152"/>
        <v>#VALUE!</v>
      </c>
      <c r="AC490" s="177" t="s">
        <v>2929</v>
      </c>
      <c r="AD490" s="23" t="s">
        <v>1557</v>
      </c>
      <c r="AG490" s="34">
        <f t="shared" si="153"/>
        <v>0</v>
      </c>
      <c r="AH490" s="63" t="s">
        <v>4000</v>
      </c>
      <c r="AI490" s="52"/>
      <c r="AK490" s="66">
        <f t="shared" si="156"/>
        <v>0</v>
      </c>
      <c r="AL490" s="174">
        <f t="shared" si="157"/>
        <v>0</v>
      </c>
      <c r="AM490" s="346">
        <f>RTD("money.excel",,$G490,"PredictVolume")</f>
        <v>0</v>
      </c>
      <c r="AN490" s="272">
        <f>RTD("money.excel",,$G490,"CumulativeVolume")</f>
        <v>0</v>
      </c>
      <c r="AO490" s="19"/>
    </row>
    <row r="491" spans="1:41">
      <c r="B491" s="84"/>
      <c r="C491" s="84"/>
      <c r="D491" s="85"/>
      <c r="E491" s="85"/>
      <c r="F491" s="59"/>
      <c r="G491" s="85"/>
      <c r="H491" s="4"/>
      <c r="I491" s="23"/>
      <c r="J491" s="371"/>
      <c r="K491" s="77"/>
      <c r="L491" s="371"/>
      <c r="M491" s="371"/>
      <c r="N491" s="77"/>
      <c r="O491" s="369"/>
      <c r="P491" s="195"/>
      <c r="W491" s="69"/>
      <c r="X491" s="59"/>
      <c r="Y491" s="37"/>
      <c r="Z491" s="69"/>
      <c r="AA491" s="16"/>
      <c r="AB491" s="3"/>
      <c r="AD491" s="23"/>
      <c r="AG491" s="34"/>
      <c r="AH491" s="63"/>
      <c r="AI491" s="52"/>
      <c r="AK491" s="66"/>
      <c r="AL491" s="174"/>
      <c r="AM491" s="346"/>
      <c r="AN491" s="272"/>
      <c r="AO491" s="19"/>
    </row>
    <row r="492" spans="1:41">
      <c r="A492" s="135" t="s">
        <v>2552</v>
      </c>
      <c r="B492" s="96" t="s">
        <v>2331</v>
      </c>
      <c r="C492" s="96" t="s">
        <v>2332</v>
      </c>
      <c r="D492" s="96" t="s">
        <v>2333</v>
      </c>
      <c r="E492" s="96" t="s">
        <v>2334</v>
      </c>
      <c r="F492" s="9" t="s">
        <v>1709</v>
      </c>
      <c r="G492" s="52" t="s">
        <v>6310</v>
      </c>
      <c r="H492" s="56" t="s">
        <v>578</v>
      </c>
      <c r="I492" s="9" t="s">
        <v>550</v>
      </c>
      <c r="J492" s="364" t="s">
        <v>2189</v>
      </c>
      <c r="K492" s="364" t="s">
        <v>1820</v>
      </c>
      <c r="L492" s="364" t="s">
        <v>515</v>
      </c>
      <c r="M492" s="364" t="s">
        <v>1699</v>
      </c>
      <c r="N492" s="364" t="s">
        <v>6604</v>
      </c>
      <c r="O492" s="343" t="s">
        <v>6620</v>
      </c>
      <c r="P492" s="83" t="s">
        <v>5279</v>
      </c>
      <c r="Q492" s="326" t="s">
        <v>5514</v>
      </c>
      <c r="R492" s="31" t="s">
        <v>6596</v>
      </c>
      <c r="S492" s="51" t="s">
        <v>6597</v>
      </c>
      <c r="T492" s="338" t="s">
        <v>5627</v>
      </c>
      <c r="U492" s="330" t="s">
        <v>6537</v>
      </c>
      <c r="V492" s="377" t="s">
        <v>6616</v>
      </c>
      <c r="W492" s="11" t="s">
        <v>127</v>
      </c>
      <c r="X492" s="71" t="s">
        <v>5216</v>
      </c>
      <c r="Y492" s="29" t="s">
        <v>3</v>
      </c>
      <c r="Z492" s="18" t="s">
        <v>2113</v>
      </c>
      <c r="AA492" s="15" t="s">
        <v>8</v>
      </c>
      <c r="AB492" s="22" t="s">
        <v>4</v>
      </c>
      <c r="AC492" s="358" t="s">
        <v>211</v>
      </c>
      <c r="AD492" s="9" t="s">
        <v>550</v>
      </c>
      <c r="AE492" s="75" t="s">
        <v>2114</v>
      </c>
      <c r="AF492" s="76" t="s">
        <v>1826</v>
      </c>
      <c r="AG492" s="33" t="s">
        <v>1827</v>
      </c>
      <c r="AH492" s="44"/>
      <c r="AI492" s="284"/>
      <c r="AK492" s="9" t="s">
        <v>6666</v>
      </c>
      <c r="AL492" s="5" t="s">
        <v>6667</v>
      </c>
      <c r="AM492" s="51" t="s">
        <v>5339</v>
      </c>
      <c r="AN492" s="276" t="s">
        <v>6665</v>
      </c>
      <c r="AO492" s="284"/>
    </row>
    <row r="493" spans="1:41">
      <c r="A493" s="151" t="s">
        <v>2925</v>
      </c>
      <c r="B493" s="85">
        <v>-68</v>
      </c>
      <c r="C493" s="85">
        <v>-88</v>
      </c>
      <c r="D493" s="85">
        <v>-2</v>
      </c>
      <c r="E493" s="85">
        <v>-14</v>
      </c>
      <c r="F493" s="7">
        <v>1.51</v>
      </c>
      <c r="G493" s="85">
        <v>1319</v>
      </c>
      <c r="H493" s="4" t="s">
        <v>550</v>
      </c>
      <c r="I493" s="23" t="s">
        <v>241</v>
      </c>
      <c r="J493" s="77">
        <v>79.5</v>
      </c>
      <c r="K493" s="371">
        <v>18.739999999999998</v>
      </c>
      <c r="L493" s="371">
        <v>1.31</v>
      </c>
      <c r="N493" s="365">
        <f t="shared" ref="N493:N526" si="158">J493+K493+L493+M493</f>
        <v>99.55</v>
      </c>
      <c r="O493" s="343">
        <f t="shared" ref="O493:O526" si="159">J493+M493</f>
        <v>79.5</v>
      </c>
      <c r="P493" s="195">
        <v>7</v>
      </c>
      <c r="Q493" s="326" t="str">
        <f>IFERROR(VLOOKUP($G493,主力整理!$A$2:$G$2301,6,0),"0")</f>
        <v>0</v>
      </c>
      <c r="T493" s="339">
        <f t="shared" ref="T493:T526" si="160">SUM(P493:S493)</f>
        <v>7</v>
      </c>
      <c r="V493" s="371">
        <v>0.08</v>
      </c>
      <c r="W493" s="35">
        <v>0.8</v>
      </c>
      <c r="X493" s="100">
        <v>1.39</v>
      </c>
      <c r="Y493" s="37" t="str">
        <f>RTD("money.excel",,"1319","Price")</f>
        <v>無資料</v>
      </c>
      <c r="Z493" s="69"/>
      <c r="AA493" s="16" t="e">
        <f t="shared" ref="AA493:AA526" si="161">Y493-Z493</f>
        <v>#VALUE!</v>
      </c>
      <c r="AB493" s="3" t="e">
        <f t="shared" ref="AB493:AB526" si="162">AA493/Z493</f>
        <v>#VALUE!</v>
      </c>
      <c r="AC493" s="177" t="s">
        <v>2648</v>
      </c>
      <c r="AD493" s="23" t="s">
        <v>241</v>
      </c>
      <c r="AG493" s="34">
        <f t="shared" ref="AG493:AG526" si="163">AF493-AE493</f>
        <v>0</v>
      </c>
      <c r="AH493" s="125" t="s">
        <v>4361</v>
      </c>
      <c r="AI493" s="131"/>
      <c r="AK493" s="66">
        <f t="shared" ref="AK493" si="164">AM493/(A493*10000)</f>
        <v>0</v>
      </c>
      <c r="AL493" s="174">
        <f t="shared" ref="AL493" si="165">AN493/(A493*10000)</f>
        <v>0</v>
      </c>
      <c r="AM493" s="346">
        <f>RTD("money.excel",,$G493,"PredictVolume")</f>
        <v>0</v>
      </c>
      <c r="AN493" s="272">
        <f>RTD("money.excel",,$G493,"CumulativeVolume")</f>
        <v>0</v>
      </c>
      <c r="AO493" s="284"/>
    </row>
    <row r="494" spans="1:41">
      <c r="A494" s="151" t="s">
        <v>2418</v>
      </c>
      <c r="B494" s="85">
        <v>-35</v>
      </c>
      <c r="C494" s="85">
        <v>-27</v>
      </c>
      <c r="D494" s="85">
        <v>-54</v>
      </c>
      <c r="E494" s="85">
        <v>-42</v>
      </c>
      <c r="F494" s="7">
        <v>7.18</v>
      </c>
      <c r="G494" s="85">
        <v>1338</v>
      </c>
      <c r="H494" s="4" t="s">
        <v>550</v>
      </c>
      <c r="I494" s="23" t="s">
        <v>1573</v>
      </c>
      <c r="J494" s="371">
        <v>48.11</v>
      </c>
      <c r="K494" s="371">
        <v>15.06</v>
      </c>
      <c r="L494" s="371">
        <v>7.21</v>
      </c>
      <c r="N494" s="365">
        <f t="shared" si="158"/>
        <v>70.38</v>
      </c>
      <c r="O494" s="343">
        <f t="shared" si="159"/>
        <v>48.11</v>
      </c>
      <c r="P494" s="195">
        <v>1</v>
      </c>
      <c r="Q494" s="326" t="str">
        <f>IFERROR(VLOOKUP($G494,主力整理!$A$2:$G$2301,6,0),"0")</f>
        <v>0</v>
      </c>
      <c r="T494" s="339">
        <f t="shared" si="160"/>
        <v>1</v>
      </c>
      <c r="V494" s="371">
        <v>18.2</v>
      </c>
      <c r="W494" s="69">
        <v>3.5</v>
      </c>
      <c r="X494" s="100">
        <v>3.51</v>
      </c>
      <c r="Y494" s="37" t="str">
        <f>RTD("money.excel",,"1338","Price")</f>
        <v>無資料</v>
      </c>
      <c r="Z494" s="69"/>
      <c r="AA494" s="16" t="e">
        <f t="shared" si="161"/>
        <v>#VALUE!</v>
      </c>
      <c r="AB494" s="3" t="e">
        <f t="shared" si="162"/>
        <v>#VALUE!</v>
      </c>
      <c r="AC494" s="177" t="s">
        <v>2929</v>
      </c>
      <c r="AD494" s="23" t="s">
        <v>1573</v>
      </c>
      <c r="AG494" s="34">
        <f t="shared" si="163"/>
        <v>0</v>
      </c>
      <c r="AH494" s="44" t="s">
        <v>3440</v>
      </c>
      <c r="AI494" s="131"/>
      <c r="AK494" s="66">
        <f t="shared" ref="AK494:AK526" si="166">AM494/(A494*10000)</f>
        <v>0</v>
      </c>
      <c r="AL494" s="174">
        <f t="shared" ref="AL494:AL526" si="167">AN494/(A494*10000)</f>
        <v>0</v>
      </c>
      <c r="AM494" s="346">
        <f>RTD("money.excel",,$G494,"PredictVolume")</f>
        <v>0</v>
      </c>
      <c r="AN494" s="272">
        <f>RTD("money.excel",,$G494,"CumulativeVolume")</f>
        <v>0</v>
      </c>
      <c r="AO494" s="284"/>
    </row>
    <row r="495" spans="1:41">
      <c r="A495" s="135" t="s">
        <v>2491</v>
      </c>
      <c r="B495" s="85">
        <v>-34</v>
      </c>
      <c r="C495" s="84">
        <v>1</v>
      </c>
      <c r="D495" s="84">
        <v>14</v>
      </c>
      <c r="E495" s="85">
        <v>-21</v>
      </c>
      <c r="F495" s="59">
        <v>17.43</v>
      </c>
      <c r="G495" s="85">
        <v>1339</v>
      </c>
      <c r="H495" s="4" t="s">
        <v>550</v>
      </c>
      <c r="I495" s="23" t="s">
        <v>1091</v>
      </c>
      <c r="J495" s="371">
        <v>67.900000000000006</v>
      </c>
      <c r="K495" s="77">
        <v>1.33</v>
      </c>
      <c r="L495" s="371">
        <v>7.25</v>
      </c>
      <c r="N495" s="365">
        <f t="shared" si="158"/>
        <v>76.48</v>
      </c>
      <c r="O495" s="343">
        <f t="shared" si="159"/>
        <v>67.900000000000006</v>
      </c>
      <c r="P495" s="195" t="s">
        <v>5554</v>
      </c>
      <c r="Q495" s="326" t="str">
        <f>IFERROR(VLOOKUP($G495,主力整理!$A$2:$G$2301,6,0),"0")</f>
        <v>0</v>
      </c>
      <c r="T495" s="339">
        <f t="shared" si="160"/>
        <v>0</v>
      </c>
      <c r="V495" s="371">
        <v>0.15</v>
      </c>
      <c r="W495" s="35">
        <v>2</v>
      </c>
      <c r="X495" s="100">
        <v>1.59</v>
      </c>
      <c r="Y495" s="14" t="str">
        <f>RTD("money.excel",,"1339","Price")</f>
        <v>無資料</v>
      </c>
      <c r="Z495" s="69"/>
      <c r="AA495" s="16" t="e">
        <f t="shared" si="161"/>
        <v>#VALUE!</v>
      </c>
      <c r="AB495" s="3" t="e">
        <f t="shared" si="162"/>
        <v>#VALUE!</v>
      </c>
      <c r="AC495" s="177" t="s">
        <v>2648</v>
      </c>
      <c r="AD495" s="23" t="s">
        <v>1091</v>
      </c>
      <c r="AG495" s="34">
        <f t="shared" si="163"/>
        <v>0</v>
      </c>
      <c r="AH495" s="63" t="s">
        <v>4361</v>
      </c>
      <c r="AI495" s="131"/>
      <c r="AK495" s="66">
        <f t="shared" si="166"/>
        <v>0</v>
      </c>
      <c r="AL495" s="174">
        <f t="shared" si="167"/>
        <v>0</v>
      </c>
      <c r="AM495" s="346">
        <f>RTD("money.excel",,$G495,"PredictVolume")</f>
        <v>0</v>
      </c>
      <c r="AN495" s="272">
        <f>RTD("money.excel",,$G495,"CumulativeVolume")</f>
        <v>0</v>
      </c>
      <c r="AO495" s="284"/>
    </row>
    <row r="496" spans="1:41">
      <c r="A496" s="151" t="s">
        <v>2446</v>
      </c>
      <c r="B496" s="96">
        <v>1</v>
      </c>
      <c r="C496" s="96">
        <v>5</v>
      </c>
      <c r="D496" s="96">
        <v>7</v>
      </c>
      <c r="E496" s="96">
        <v>-29</v>
      </c>
      <c r="F496" s="7">
        <v>-10.72</v>
      </c>
      <c r="G496" s="85">
        <v>1512</v>
      </c>
      <c r="H496" s="4" t="s">
        <v>550</v>
      </c>
      <c r="I496" s="23" t="s">
        <v>1037</v>
      </c>
      <c r="J496" s="77">
        <v>50.87</v>
      </c>
      <c r="K496" s="77">
        <v>8.4499999999999993</v>
      </c>
      <c r="N496" s="365">
        <f t="shared" si="158"/>
        <v>59.319999999999993</v>
      </c>
      <c r="O496" s="343">
        <f t="shared" si="159"/>
        <v>50.87</v>
      </c>
      <c r="P496" s="195" t="s">
        <v>5554</v>
      </c>
      <c r="Q496" s="326" t="str">
        <f>IFERROR(VLOOKUP($G496,主力整理!$A$2:$G$2301,6,0),"0")</f>
        <v>0</v>
      </c>
      <c r="T496" s="339">
        <f t="shared" si="160"/>
        <v>0</v>
      </c>
      <c r="V496" s="371">
        <v>10.81</v>
      </c>
      <c r="W496" s="35">
        <v>0</v>
      </c>
      <c r="X496" s="100">
        <v>-0.55000000000000004</v>
      </c>
      <c r="Y496" s="14" t="str">
        <f>RTD("money.excel",,"1512","Price")</f>
        <v>無資料</v>
      </c>
      <c r="Z496" s="69"/>
      <c r="AA496" s="16" t="e">
        <f t="shared" si="161"/>
        <v>#VALUE!</v>
      </c>
      <c r="AB496" s="3" t="e">
        <f t="shared" si="162"/>
        <v>#VALUE!</v>
      </c>
      <c r="AD496" s="23" t="s">
        <v>1037</v>
      </c>
      <c r="AG496" s="34">
        <f t="shared" si="163"/>
        <v>0</v>
      </c>
      <c r="AH496" s="44" t="s">
        <v>4362</v>
      </c>
      <c r="AI496" s="131"/>
      <c r="AK496" s="66">
        <f t="shared" si="166"/>
        <v>0</v>
      </c>
      <c r="AL496" s="174">
        <f t="shared" si="167"/>
        <v>0</v>
      </c>
      <c r="AM496" s="346">
        <f>RTD("money.excel",,$G496,"PredictVolume")</f>
        <v>0</v>
      </c>
      <c r="AN496" s="272">
        <f>RTD("money.excel",,$G496,"CumulativeVolume")</f>
        <v>0</v>
      </c>
      <c r="AO496" s="284"/>
    </row>
    <row r="497" spans="1:41">
      <c r="A497" s="151" t="s">
        <v>2368</v>
      </c>
      <c r="B497" s="85">
        <v>-55</v>
      </c>
      <c r="C497" s="85">
        <v>-54</v>
      </c>
      <c r="D497" s="85">
        <v>-15</v>
      </c>
      <c r="E497" s="85">
        <v>-26</v>
      </c>
      <c r="F497" s="7">
        <v>3.89</v>
      </c>
      <c r="G497" s="85">
        <v>1521</v>
      </c>
      <c r="H497" s="4" t="s">
        <v>550</v>
      </c>
      <c r="I497" s="23" t="s">
        <v>1042</v>
      </c>
      <c r="J497" s="371">
        <v>65.66</v>
      </c>
      <c r="K497" s="371">
        <v>33.47</v>
      </c>
      <c r="L497" s="77">
        <v>0.54</v>
      </c>
      <c r="N497" s="365">
        <f t="shared" si="158"/>
        <v>99.67</v>
      </c>
      <c r="O497" s="343">
        <f t="shared" si="159"/>
        <v>65.66</v>
      </c>
      <c r="P497" s="195">
        <v>1</v>
      </c>
      <c r="Q497" s="326" t="str">
        <f>IFERROR(VLOOKUP($G497,主力整理!$A$2:$G$2301,6,0),"0")</f>
        <v>0</v>
      </c>
      <c r="T497" s="339">
        <f t="shared" si="160"/>
        <v>1</v>
      </c>
      <c r="V497" s="371">
        <v>0</v>
      </c>
      <c r="W497" s="35">
        <v>1.3</v>
      </c>
      <c r="X497" s="59">
        <v>2.1</v>
      </c>
      <c r="Y497" s="37" t="str">
        <f>RTD("money.excel",,"1521","Price")</f>
        <v>無資料</v>
      </c>
      <c r="Z497" s="69"/>
      <c r="AA497" s="16" t="e">
        <f t="shared" si="161"/>
        <v>#VALUE!</v>
      </c>
      <c r="AB497" s="3" t="e">
        <f t="shared" si="162"/>
        <v>#VALUE!</v>
      </c>
      <c r="AC497" s="177" t="s">
        <v>2648</v>
      </c>
      <c r="AD497" s="23" t="s">
        <v>1042</v>
      </c>
      <c r="AG497" s="34">
        <f t="shared" si="163"/>
        <v>0</v>
      </c>
      <c r="AH497" s="44" t="s">
        <v>3336</v>
      </c>
      <c r="AI497" s="131"/>
      <c r="AK497" s="66">
        <f t="shared" si="166"/>
        <v>0</v>
      </c>
      <c r="AL497" s="174">
        <f t="shared" si="167"/>
        <v>0</v>
      </c>
      <c r="AM497" s="346">
        <f>RTD("money.excel",,$G497,"PredictVolume")</f>
        <v>0</v>
      </c>
      <c r="AN497" s="272">
        <f>RTD("money.excel",,$G497,"CumulativeVolume")</f>
        <v>0</v>
      </c>
      <c r="AO497" s="284"/>
    </row>
    <row r="498" spans="1:41">
      <c r="A498" s="151" t="s">
        <v>4893</v>
      </c>
      <c r="B498" s="96">
        <v>-75</v>
      </c>
      <c r="C498" s="96">
        <v>-73</v>
      </c>
      <c r="D498" s="96">
        <v>3</v>
      </c>
      <c r="E498" s="96">
        <v>1</v>
      </c>
      <c r="F498" s="7">
        <v>4.17</v>
      </c>
      <c r="G498" s="85">
        <v>1522</v>
      </c>
      <c r="H498" s="4" t="s">
        <v>550</v>
      </c>
      <c r="I498" s="24" t="s">
        <v>452</v>
      </c>
      <c r="J498" s="77">
        <v>61.97</v>
      </c>
      <c r="K498" s="77">
        <v>8.02</v>
      </c>
      <c r="L498" s="77">
        <v>8.89</v>
      </c>
      <c r="N498" s="365">
        <f t="shared" si="158"/>
        <v>78.88</v>
      </c>
      <c r="O498" s="343">
        <f t="shared" si="159"/>
        <v>61.97</v>
      </c>
      <c r="P498" s="195">
        <v>1</v>
      </c>
      <c r="Q498" s="326" t="str">
        <f>IFERROR(VLOOKUP($G498,主力整理!$A$2:$G$2301,6,0),"0")</f>
        <v>0</v>
      </c>
      <c r="T498" s="339">
        <f t="shared" si="160"/>
        <v>1</v>
      </c>
      <c r="V498" s="371">
        <v>8.43</v>
      </c>
      <c r="W498" s="35">
        <v>0.6</v>
      </c>
      <c r="X498" s="100">
        <v>0.84</v>
      </c>
      <c r="Y498" s="14" t="str">
        <f>RTD("money.excel",,"1522","Price")</f>
        <v>無資料</v>
      </c>
      <c r="Z498" s="69"/>
      <c r="AA498" s="16" t="e">
        <f t="shared" si="161"/>
        <v>#VALUE!</v>
      </c>
      <c r="AB498" s="3" t="e">
        <f t="shared" si="162"/>
        <v>#VALUE!</v>
      </c>
      <c r="AC498" s="177" t="s">
        <v>2648</v>
      </c>
      <c r="AD498" s="24" t="s">
        <v>452</v>
      </c>
      <c r="AG498" s="34">
        <f t="shared" si="163"/>
        <v>0</v>
      </c>
      <c r="AH498" s="127" t="s">
        <v>3336</v>
      </c>
      <c r="AI498" s="131"/>
      <c r="AK498" s="66">
        <f t="shared" si="166"/>
        <v>0</v>
      </c>
      <c r="AL498" s="174">
        <f t="shared" si="167"/>
        <v>0</v>
      </c>
      <c r="AM498" s="346">
        <f>RTD("money.excel",,$G498,"PredictVolume")</f>
        <v>0</v>
      </c>
      <c r="AN498" s="272">
        <f>RTD("money.excel",,$G498,"CumulativeVolume")</f>
        <v>0</v>
      </c>
      <c r="AO498" s="284"/>
    </row>
    <row r="499" spans="1:41">
      <c r="A499" s="151" t="s">
        <v>2512</v>
      </c>
      <c r="B499" s="96">
        <v>-73</v>
      </c>
      <c r="C499" s="96">
        <v>-76</v>
      </c>
      <c r="D499" s="96">
        <v>-19</v>
      </c>
      <c r="E499" s="96">
        <v>45</v>
      </c>
      <c r="F499" s="7">
        <v>9.49</v>
      </c>
      <c r="G499" s="85">
        <v>1524</v>
      </c>
      <c r="H499" s="4" t="s">
        <v>550</v>
      </c>
      <c r="I499" s="23" t="s">
        <v>453</v>
      </c>
      <c r="J499" s="77">
        <v>53.03</v>
      </c>
      <c r="K499" s="77">
        <v>0.2</v>
      </c>
      <c r="L499" s="77">
        <v>12.38</v>
      </c>
      <c r="N499" s="365">
        <f t="shared" si="158"/>
        <v>65.61</v>
      </c>
      <c r="O499" s="343">
        <f t="shared" si="159"/>
        <v>53.03</v>
      </c>
      <c r="P499" s="195" t="s">
        <v>5554</v>
      </c>
      <c r="Q499" s="326">
        <f>IFERROR(VLOOKUP($G499,主力整理!$A$2:$G$2301,6,0),"0")</f>
        <v>1</v>
      </c>
      <c r="T499" s="339">
        <f t="shared" si="160"/>
        <v>1</v>
      </c>
      <c r="V499" s="371">
        <v>28.16</v>
      </c>
      <c r="W499" s="35">
        <v>0.21</v>
      </c>
      <c r="X499" s="100">
        <v>0.21</v>
      </c>
      <c r="Y499" s="14" t="str">
        <f>RTD("money.excel",,"1524","Price")</f>
        <v>無資料</v>
      </c>
      <c r="Z499" s="69"/>
      <c r="AA499" s="16" t="e">
        <f t="shared" si="161"/>
        <v>#VALUE!</v>
      </c>
      <c r="AB499" s="3" t="e">
        <f t="shared" si="162"/>
        <v>#VALUE!</v>
      </c>
      <c r="AD499" s="23" t="s">
        <v>453</v>
      </c>
      <c r="AG499" s="34">
        <f t="shared" si="163"/>
        <v>0</v>
      </c>
      <c r="AH499" s="127" t="s">
        <v>4363</v>
      </c>
      <c r="AI499" s="131"/>
      <c r="AK499" s="66">
        <f t="shared" si="166"/>
        <v>0</v>
      </c>
      <c r="AL499" s="174">
        <f t="shared" si="167"/>
        <v>0</v>
      </c>
      <c r="AM499" s="346">
        <f>RTD("money.excel",,$G499,"PredictVolume")</f>
        <v>0</v>
      </c>
      <c r="AN499" s="272">
        <f>RTD("money.excel",,$G499,"CumulativeVolume")</f>
        <v>0</v>
      </c>
      <c r="AO499" s="284"/>
    </row>
    <row r="500" spans="1:41">
      <c r="A500" s="151" t="s">
        <v>2670</v>
      </c>
      <c r="B500" s="85">
        <v>-85</v>
      </c>
      <c r="C500" s="85">
        <v>-163</v>
      </c>
      <c r="D500" s="84">
        <v>5</v>
      </c>
      <c r="E500" s="85">
        <v>-20</v>
      </c>
      <c r="F500" s="7">
        <v>-3.91</v>
      </c>
      <c r="G500" s="85">
        <v>1525</v>
      </c>
      <c r="H500" s="4" t="s">
        <v>550</v>
      </c>
      <c r="I500" s="23" t="s">
        <v>1043</v>
      </c>
      <c r="J500" s="371">
        <v>83.44</v>
      </c>
      <c r="K500" s="77">
        <v>0.09</v>
      </c>
      <c r="L500" s="77">
        <v>10.17</v>
      </c>
      <c r="N500" s="365">
        <f t="shared" si="158"/>
        <v>93.7</v>
      </c>
      <c r="O500" s="343">
        <f t="shared" si="159"/>
        <v>83.44</v>
      </c>
      <c r="P500" s="195" t="s">
        <v>5554</v>
      </c>
      <c r="Q500" s="326" t="str">
        <f>IFERROR(VLOOKUP($G500,主力整理!$A$2:$G$2301,6,0),"0")</f>
        <v>0</v>
      </c>
      <c r="T500" s="339">
        <f t="shared" si="160"/>
        <v>0</v>
      </c>
      <c r="V500" s="371">
        <v>77.83</v>
      </c>
      <c r="W500" s="35">
        <v>2.2000000000000002</v>
      </c>
      <c r="X500" s="59">
        <v>4.42</v>
      </c>
      <c r="Y500" s="37" t="str">
        <f>RTD("money.excel",,"1525","Price")</f>
        <v>無資料</v>
      </c>
      <c r="Z500" s="69"/>
      <c r="AA500" s="16" t="e">
        <f t="shared" si="161"/>
        <v>#VALUE!</v>
      </c>
      <c r="AB500" s="3" t="e">
        <f t="shared" si="162"/>
        <v>#VALUE!</v>
      </c>
      <c r="AC500" s="177" t="s">
        <v>2648</v>
      </c>
      <c r="AD500" s="23" t="s">
        <v>1043</v>
      </c>
      <c r="AE500" s="118"/>
      <c r="AG500" s="34">
        <f t="shared" si="163"/>
        <v>0</v>
      </c>
      <c r="AH500" s="44" t="s">
        <v>4364</v>
      </c>
      <c r="AI500" s="131"/>
      <c r="AK500" s="66">
        <f t="shared" si="166"/>
        <v>0</v>
      </c>
      <c r="AL500" s="174">
        <f t="shared" si="167"/>
        <v>0</v>
      </c>
      <c r="AM500" s="346">
        <f>RTD("money.excel",,$G500,"PredictVolume")</f>
        <v>0</v>
      </c>
      <c r="AN500" s="272">
        <f>RTD("money.excel",,$G500,"CumulativeVolume")</f>
        <v>0</v>
      </c>
      <c r="AO500" s="284"/>
    </row>
    <row r="501" spans="1:41">
      <c r="A501" s="151" t="s">
        <v>3277</v>
      </c>
      <c r="B501" s="85">
        <v>-104</v>
      </c>
      <c r="C501" s="85">
        <v>-61</v>
      </c>
      <c r="D501" s="84">
        <v>32</v>
      </c>
      <c r="E501" s="84">
        <v>12</v>
      </c>
      <c r="F501" s="7">
        <v>2.23</v>
      </c>
      <c r="G501" s="85">
        <v>1533</v>
      </c>
      <c r="H501" s="4" t="s">
        <v>550</v>
      </c>
      <c r="I501" s="24" t="s">
        <v>450</v>
      </c>
      <c r="J501" s="371">
        <v>52.46</v>
      </c>
      <c r="K501" s="371">
        <v>6.53</v>
      </c>
      <c r="L501" s="371">
        <v>12.78</v>
      </c>
      <c r="N501" s="365">
        <f t="shared" si="158"/>
        <v>71.77</v>
      </c>
      <c r="O501" s="343">
        <f t="shared" si="159"/>
        <v>52.46</v>
      </c>
      <c r="P501" s="195">
        <v>2</v>
      </c>
      <c r="Q501" s="326" t="str">
        <f>IFERROR(VLOOKUP($G501,主力整理!$A$2:$G$2301,6,0),"0")</f>
        <v>0</v>
      </c>
      <c r="T501" s="339">
        <f t="shared" si="160"/>
        <v>2</v>
      </c>
      <c r="V501" s="371">
        <v>0.88</v>
      </c>
      <c r="W501" s="35">
        <v>0</v>
      </c>
      <c r="X501" s="59">
        <v>0.86</v>
      </c>
      <c r="Y501" s="37" t="str">
        <f>RTD("money.excel",,"1533","Price")</f>
        <v>無資料</v>
      </c>
      <c r="Z501" s="69"/>
      <c r="AA501" s="16" t="e">
        <f t="shared" si="161"/>
        <v>#VALUE!</v>
      </c>
      <c r="AB501" s="3" t="e">
        <f t="shared" si="162"/>
        <v>#VALUE!</v>
      </c>
      <c r="AC501" s="177" t="s">
        <v>2648</v>
      </c>
      <c r="AD501" s="24" t="s">
        <v>450</v>
      </c>
      <c r="AG501" s="34">
        <f t="shared" si="163"/>
        <v>0</v>
      </c>
      <c r="AH501" s="127" t="s">
        <v>4342</v>
      </c>
      <c r="AI501" s="131"/>
      <c r="AK501" s="66">
        <f t="shared" si="166"/>
        <v>0</v>
      </c>
      <c r="AL501" s="174">
        <f t="shared" si="167"/>
        <v>0</v>
      </c>
      <c r="AM501" s="346">
        <f>RTD("money.excel",,$G501,"PredictVolume")</f>
        <v>0</v>
      </c>
      <c r="AN501" s="272">
        <f>RTD("money.excel",,$G501,"CumulativeVolume")</f>
        <v>0</v>
      </c>
      <c r="AO501" s="284"/>
    </row>
    <row r="502" spans="1:41">
      <c r="A502" s="151" t="s">
        <v>2780</v>
      </c>
      <c r="B502" s="84">
        <v>100</v>
      </c>
      <c r="C502" s="84">
        <v>86</v>
      </c>
      <c r="D502" s="84">
        <v>12</v>
      </c>
      <c r="E502" s="84">
        <v>1</v>
      </c>
      <c r="F502" s="7">
        <v>9.11</v>
      </c>
      <c r="G502" s="85">
        <v>1536</v>
      </c>
      <c r="H502" s="4" t="s">
        <v>550</v>
      </c>
      <c r="I502" s="23" t="s">
        <v>243</v>
      </c>
      <c r="J502" s="371">
        <v>54.11</v>
      </c>
      <c r="K502" s="371">
        <v>13.41</v>
      </c>
      <c r="L502" s="77">
        <v>7.37</v>
      </c>
      <c r="M502" s="371">
        <v>12.91</v>
      </c>
      <c r="N502" s="365">
        <f t="shared" si="158"/>
        <v>87.8</v>
      </c>
      <c r="O502" s="343">
        <f t="shared" si="159"/>
        <v>67.02</v>
      </c>
      <c r="P502" s="195">
        <v>27</v>
      </c>
      <c r="Q502" s="326">
        <v>24</v>
      </c>
      <c r="R502" s="111">
        <v>24</v>
      </c>
      <c r="S502" s="51">
        <v>16</v>
      </c>
      <c r="T502" s="339">
        <f t="shared" si="160"/>
        <v>91</v>
      </c>
      <c r="U502" s="329" t="s">
        <v>6539</v>
      </c>
      <c r="V502" s="371">
        <v>4.1399999999999997</v>
      </c>
      <c r="W502" s="35">
        <v>1.1000000000000001</v>
      </c>
      <c r="X502" s="59">
        <v>1.66</v>
      </c>
      <c r="Y502" s="37" t="str">
        <f>RTD("money.excel",,"1536","Price")</f>
        <v>無資料</v>
      </c>
      <c r="Z502" s="69"/>
      <c r="AA502" s="16" t="e">
        <f t="shared" si="161"/>
        <v>#VALUE!</v>
      </c>
      <c r="AB502" s="3" t="e">
        <f t="shared" si="162"/>
        <v>#VALUE!</v>
      </c>
      <c r="AC502" s="177" t="s">
        <v>2648</v>
      </c>
      <c r="AD502" s="23" t="s">
        <v>243</v>
      </c>
      <c r="AG502" s="34">
        <f t="shared" si="163"/>
        <v>0</v>
      </c>
      <c r="AH502" s="125" t="s">
        <v>4952</v>
      </c>
      <c r="AI502" s="131"/>
      <c r="AK502" s="66">
        <f t="shared" si="166"/>
        <v>0</v>
      </c>
      <c r="AL502" s="174">
        <f t="shared" si="167"/>
        <v>0</v>
      </c>
      <c r="AM502" s="346">
        <f>RTD("money.excel",,$G502,"PredictVolume")</f>
        <v>0</v>
      </c>
      <c r="AN502" s="272">
        <f>RTD("money.excel",,$G502,"CumulativeVolume")</f>
        <v>0</v>
      </c>
      <c r="AO502" s="284"/>
    </row>
    <row r="503" spans="1:41">
      <c r="A503" s="151" t="s">
        <v>2555</v>
      </c>
      <c r="B503" s="85">
        <v>-73</v>
      </c>
      <c r="C503" s="85">
        <v>-90</v>
      </c>
      <c r="D503" s="84">
        <v>21</v>
      </c>
      <c r="E503" s="84">
        <v>31</v>
      </c>
      <c r="F503" s="7">
        <v>0.64</v>
      </c>
      <c r="G503" s="85">
        <v>1568</v>
      </c>
      <c r="H503" s="4" t="s">
        <v>550</v>
      </c>
      <c r="I503" s="23" t="s">
        <v>1057</v>
      </c>
      <c r="J503" s="371">
        <v>66.900000000000006</v>
      </c>
      <c r="K503" s="77">
        <v>2.06</v>
      </c>
      <c r="L503" s="371">
        <v>8.42</v>
      </c>
      <c r="N503" s="365">
        <f t="shared" si="158"/>
        <v>77.38000000000001</v>
      </c>
      <c r="O503" s="343">
        <f t="shared" si="159"/>
        <v>66.900000000000006</v>
      </c>
      <c r="P503" s="195" t="s">
        <v>5554</v>
      </c>
      <c r="Q503" s="326" t="str">
        <f>IFERROR(VLOOKUP($G503,主力整理!$A$2:$G$2301,6,0),"0")</f>
        <v>0</v>
      </c>
      <c r="T503" s="339">
        <f t="shared" si="160"/>
        <v>0</v>
      </c>
      <c r="V503" s="371">
        <v>21.12</v>
      </c>
      <c r="W503" s="35">
        <v>0.3</v>
      </c>
      <c r="X503" s="100">
        <v>0.1</v>
      </c>
      <c r="Y503" s="14" t="str">
        <f>RTD("money.excel",,"1568","Price")</f>
        <v>無資料</v>
      </c>
      <c r="Z503" s="69"/>
      <c r="AA503" s="16" t="e">
        <f t="shared" si="161"/>
        <v>#VALUE!</v>
      </c>
      <c r="AB503" s="3" t="e">
        <f t="shared" si="162"/>
        <v>#VALUE!</v>
      </c>
      <c r="AC503" s="177" t="s">
        <v>2648</v>
      </c>
      <c r="AD503" s="23" t="s">
        <v>1057</v>
      </c>
      <c r="AG503" s="34">
        <f t="shared" si="163"/>
        <v>0</v>
      </c>
      <c r="AH503" s="44" t="s">
        <v>4365</v>
      </c>
      <c r="AI503" s="284"/>
      <c r="AK503" s="66">
        <f t="shared" si="166"/>
        <v>0</v>
      </c>
      <c r="AL503" s="174">
        <f t="shared" si="167"/>
        <v>0</v>
      </c>
      <c r="AM503" s="346">
        <f>RTD("money.excel",,$G503,"PredictVolume")</f>
        <v>0</v>
      </c>
      <c r="AN503" s="272">
        <f>RTD("money.excel",,$G503,"CumulativeVolume")</f>
        <v>0</v>
      </c>
      <c r="AO503" s="284"/>
    </row>
    <row r="504" spans="1:41">
      <c r="A504" s="151" t="s">
        <v>3011</v>
      </c>
      <c r="B504" s="98">
        <v>1293</v>
      </c>
      <c r="C504" s="84">
        <v>23</v>
      </c>
      <c r="D504" s="85">
        <v>-4</v>
      </c>
      <c r="E504" s="84">
        <v>8</v>
      </c>
      <c r="F504" s="7">
        <v>2.62</v>
      </c>
      <c r="G504" s="85">
        <v>1587</v>
      </c>
      <c r="H504" s="4" t="s">
        <v>550</v>
      </c>
      <c r="I504" s="23" t="s">
        <v>1059</v>
      </c>
      <c r="J504" s="371">
        <v>57.74</v>
      </c>
      <c r="K504" s="77">
        <v>20.91</v>
      </c>
      <c r="L504" s="77">
        <v>17.22</v>
      </c>
      <c r="N504" s="365">
        <f t="shared" si="158"/>
        <v>95.87</v>
      </c>
      <c r="O504" s="343">
        <f t="shared" si="159"/>
        <v>57.74</v>
      </c>
      <c r="P504" s="195">
        <v>1</v>
      </c>
      <c r="Q504" s="326" t="str">
        <f>IFERROR(VLOOKUP($G504,主力整理!$A$2:$G$2301,6,0),"0")</f>
        <v>0</v>
      </c>
      <c r="T504" s="339">
        <f t="shared" si="160"/>
        <v>1</v>
      </c>
      <c r="V504" s="371">
        <v>0.81</v>
      </c>
      <c r="W504" s="35">
        <v>2</v>
      </c>
      <c r="X504" s="100">
        <v>2.63</v>
      </c>
      <c r="Y504" s="37" t="str">
        <f>RTD("money.excel",,"1587","Price")</f>
        <v>無資料</v>
      </c>
      <c r="Z504" s="69"/>
      <c r="AA504" s="16" t="e">
        <f t="shared" si="161"/>
        <v>#VALUE!</v>
      </c>
      <c r="AB504" s="3" t="e">
        <f t="shared" si="162"/>
        <v>#VALUE!</v>
      </c>
      <c r="AC504" s="177" t="s">
        <v>2648</v>
      </c>
      <c r="AD504" s="23" t="s">
        <v>1059</v>
      </c>
      <c r="AG504" s="34">
        <f t="shared" si="163"/>
        <v>0</v>
      </c>
      <c r="AH504" s="44" t="s">
        <v>4366</v>
      </c>
      <c r="AI504" s="131"/>
      <c r="AK504" s="66">
        <f t="shared" si="166"/>
        <v>0</v>
      </c>
      <c r="AL504" s="174">
        <f t="shared" si="167"/>
        <v>0</v>
      </c>
      <c r="AM504" s="346">
        <f>RTD("money.excel",,$G504,"PredictVolume")</f>
        <v>0</v>
      </c>
      <c r="AN504" s="272">
        <f>RTD("money.excel",,$G504,"CumulativeVolume")</f>
        <v>0</v>
      </c>
      <c r="AO504" s="284"/>
    </row>
    <row r="505" spans="1:41">
      <c r="A505" s="151" t="s">
        <v>2538</v>
      </c>
      <c r="B505" s="96">
        <v>-266</v>
      </c>
      <c r="C505" s="96">
        <v>-148</v>
      </c>
      <c r="D505" s="96">
        <v>-21</v>
      </c>
      <c r="E505" s="96">
        <v>-54</v>
      </c>
      <c r="F505" s="7">
        <v>-13.71</v>
      </c>
      <c r="G505" s="85">
        <v>1592</v>
      </c>
      <c r="H505" s="4" t="s">
        <v>550</v>
      </c>
      <c r="I505" s="23" t="s">
        <v>216</v>
      </c>
      <c r="J505" s="77">
        <v>82.36</v>
      </c>
      <c r="K505" s="77">
        <v>41.02</v>
      </c>
      <c r="L505" s="77">
        <v>3.03</v>
      </c>
      <c r="N505" s="365">
        <f t="shared" si="158"/>
        <v>126.41</v>
      </c>
      <c r="O505" s="343">
        <f t="shared" si="159"/>
        <v>82.36</v>
      </c>
      <c r="P505" s="195" t="s">
        <v>5554</v>
      </c>
      <c r="Q505" s="326" t="str">
        <f>IFERROR(VLOOKUP($G505,主力整理!$A$2:$G$2301,6,0),"0")</f>
        <v>0</v>
      </c>
      <c r="T505" s="339">
        <f t="shared" si="160"/>
        <v>0</v>
      </c>
      <c r="V505" s="371">
        <v>53.89</v>
      </c>
      <c r="W505" s="35">
        <v>0</v>
      </c>
      <c r="X505" s="243">
        <v>-13.57</v>
      </c>
      <c r="Y505" s="14" t="str">
        <f>RTD("money.excel",,"1592","Price")</f>
        <v>商品錯誤</v>
      </c>
      <c r="Z505" s="69"/>
      <c r="AA505" s="16" t="e">
        <f t="shared" si="161"/>
        <v>#VALUE!</v>
      </c>
      <c r="AB505" s="3" t="e">
        <f t="shared" si="162"/>
        <v>#VALUE!</v>
      </c>
      <c r="AD505" s="23" t="s">
        <v>216</v>
      </c>
      <c r="AG505" s="34">
        <f t="shared" si="163"/>
        <v>0</v>
      </c>
      <c r="AH505" s="125" t="s">
        <v>4366</v>
      </c>
      <c r="AI505" s="131"/>
      <c r="AK505" s="66" t="e">
        <f t="shared" si="166"/>
        <v>#VALUE!</v>
      </c>
      <c r="AL505" s="174" t="e">
        <f t="shared" si="167"/>
        <v>#VALUE!</v>
      </c>
      <c r="AM505" s="346" t="str">
        <f>RTD("money.excel",,$G505,"PredictVolume")</f>
        <v>商品錯誤</v>
      </c>
      <c r="AN505" s="272" t="str">
        <f>RTD("money.excel",,$G505,"CumulativeVolume")</f>
        <v>商品錯誤</v>
      </c>
      <c r="AO505" s="284"/>
    </row>
    <row r="506" spans="1:41">
      <c r="A506" s="135" t="s">
        <v>4894</v>
      </c>
      <c r="B506" s="96">
        <v>180</v>
      </c>
      <c r="C506" s="96">
        <v>-14</v>
      </c>
      <c r="D506" s="96">
        <v>5</v>
      </c>
      <c r="E506" s="96">
        <v>78</v>
      </c>
      <c r="F506" s="59">
        <v>10.56</v>
      </c>
      <c r="G506" s="85">
        <v>2115</v>
      </c>
      <c r="H506" s="4" t="s">
        <v>550</v>
      </c>
      <c r="I506" s="23" t="s">
        <v>448</v>
      </c>
      <c r="J506" s="77">
        <v>77.349999999999994</v>
      </c>
      <c r="K506" s="77">
        <v>46.22</v>
      </c>
      <c r="L506" s="77">
        <v>1.23</v>
      </c>
      <c r="N506" s="365">
        <f t="shared" si="158"/>
        <v>124.8</v>
      </c>
      <c r="O506" s="343">
        <f t="shared" si="159"/>
        <v>77.349999999999994</v>
      </c>
      <c r="P506" s="195" t="s">
        <v>5554</v>
      </c>
      <c r="Q506" s="326" t="str">
        <f>IFERROR(VLOOKUP($G506,主力整理!$A$2:$G$2301,6,0),"0")</f>
        <v>0</v>
      </c>
      <c r="T506" s="339">
        <f t="shared" si="160"/>
        <v>0</v>
      </c>
      <c r="V506" s="371">
        <v>7.41</v>
      </c>
      <c r="W506" s="35">
        <v>2.5</v>
      </c>
      <c r="X506" s="59">
        <v>6.74</v>
      </c>
      <c r="Y506" s="14" t="str">
        <f>RTD("money.excel",,"2115","Price")</f>
        <v>無資料</v>
      </c>
      <c r="Z506" s="69"/>
      <c r="AA506" s="16" t="e">
        <f t="shared" si="161"/>
        <v>#VALUE!</v>
      </c>
      <c r="AB506" s="3" t="e">
        <f t="shared" si="162"/>
        <v>#VALUE!</v>
      </c>
      <c r="AD506" s="23" t="s">
        <v>448</v>
      </c>
      <c r="AG506" s="34">
        <f t="shared" si="163"/>
        <v>0</v>
      </c>
      <c r="AH506" s="50" t="s">
        <v>4367</v>
      </c>
      <c r="AI506" s="131"/>
      <c r="AK506" s="66">
        <f t="shared" si="166"/>
        <v>0</v>
      </c>
      <c r="AL506" s="174">
        <f t="shared" si="167"/>
        <v>0</v>
      </c>
      <c r="AM506" s="346">
        <f>RTD("money.excel",,$G506,"PredictVolume")</f>
        <v>0</v>
      </c>
      <c r="AN506" s="272">
        <f>RTD("money.excel",,$G506,"CumulativeVolume")</f>
        <v>0</v>
      </c>
      <c r="AO506" s="284"/>
    </row>
    <row r="507" spans="1:41">
      <c r="A507" s="151" t="s">
        <v>2411</v>
      </c>
      <c r="B507" s="84">
        <v>125</v>
      </c>
      <c r="C507" s="84">
        <v>247</v>
      </c>
      <c r="D507" s="84">
        <v>19</v>
      </c>
      <c r="E507" s="84">
        <v>-22</v>
      </c>
      <c r="F507" s="7">
        <v>9.16</v>
      </c>
      <c r="G507" s="85">
        <v>2201</v>
      </c>
      <c r="H507" s="4" t="s">
        <v>550</v>
      </c>
      <c r="I507" s="23" t="s">
        <v>53</v>
      </c>
      <c r="J507" s="371">
        <v>66.25</v>
      </c>
      <c r="K507" s="371">
        <v>8.0399999999999991</v>
      </c>
      <c r="L507" s="371">
        <v>6.16</v>
      </c>
      <c r="N507" s="365">
        <f t="shared" si="158"/>
        <v>80.449999999999989</v>
      </c>
      <c r="O507" s="343">
        <f t="shared" si="159"/>
        <v>66.25</v>
      </c>
      <c r="P507" s="195">
        <v>12</v>
      </c>
      <c r="Q507" s="326">
        <f>IFERROR(VLOOKUP($G507,主力整理!$A$2:$G$2301,6,0),"0")</f>
        <v>9</v>
      </c>
      <c r="R507" s="111">
        <v>5</v>
      </c>
      <c r="S507" s="51">
        <v>14</v>
      </c>
      <c r="T507" s="339">
        <f t="shared" si="160"/>
        <v>40</v>
      </c>
      <c r="V507" s="371">
        <v>0.3</v>
      </c>
      <c r="W507" s="35">
        <v>1</v>
      </c>
      <c r="X507" s="59">
        <v>4.37</v>
      </c>
      <c r="Y507" s="37" t="str">
        <f>RTD("money.excel",,"2201","Price")</f>
        <v>無資料</v>
      </c>
      <c r="Z507" s="69"/>
      <c r="AA507" s="16" t="e">
        <f t="shared" si="161"/>
        <v>#VALUE!</v>
      </c>
      <c r="AB507" s="3" t="e">
        <f t="shared" si="162"/>
        <v>#VALUE!</v>
      </c>
      <c r="AC507" s="177" t="s">
        <v>2648</v>
      </c>
      <c r="AD507" s="23" t="s">
        <v>53</v>
      </c>
      <c r="AG507" s="34">
        <f t="shared" si="163"/>
        <v>0</v>
      </c>
      <c r="AH507" s="125" t="s">
        <v>2130</v>
      </c>
      <c r="AI507" s="131"/>
      <c r="AK507" s="66">
        <f t="shared" si="166"/>
        <v>0</v>
      </c>
      <c r="AL507" s="174">
        <f t="shared" si="167"/>
        <v>0</v>
      </c>
      <c r="AM507" s="346">
        <f>RTD("money.excel",,$G507,"PredictVolume")</f>
        <v>0</v>
      </c>
      <c r="AN507" s="272">
        <f>RTD("money.excel",,$G507,"CumulativeVolume")</f>
        <v>0</v>
      </c>
      <c r="AO507" s="284"/>
    </row>
    <row r="508" spans="1:41">
      <c r="A508" s="151" t="s">
        <v>2928</v>
      </c>
      <c r="B508" s="84">
        <v>28</v>
      </c>
      <c r="C508" s="84">
        <v>35</v>
      </c>
      <c r="D508" s="85">
        <v>-6</v>
      </c>
      <c r="E508" s="85">
        <v>-20</v>
      </c>
      <c r="F508" s="7">
        <v>7.64</v>
      </c>
      <c r="G508" s="85">
        <v>2204</v>
      </c>
      <c r="H508" s="4" t="s">
        <v>550</v>
      </c>
      <c r="I508" s="23" t="s">
        <v>319</v>
      </c>
      <c r="J508" s="77">
        <v>74.62</v>
      </c>
      <c r="K508" s="77">
        <v>30.26</v>
      </c>
      <c r="L508" s="371">
        <v>0.79</v>
      </c>
      <c r="N508" s="365">
        <f t="shared" si="158"/>
        <v>105.67000000000002</v>
      </c>
      <c r="O508" s="343">
        <f t="shared" si="159"/>
        <v>74.62</v>
      </c>
      <c r="P508" s="195">
        <v>9</v>
      </c>
      <c r="Q508" s="326">
        <v>7</v>
      </c>
      <c r="R508" s="111">
        <v>3</v>
      </c>
      <c r="S508" s="51">
        <v>6</v>
      </c>
      <c r="T508" s="339">
        <f t="shared" si="160"/>
        <v>25</v>
      </c>
      <c r="V508" s="371">
        <v>9.3800000000000008</v>
      </c>
      <c r="W508" s="69">
        <v>7</v>
      </c>
      <c r="X508" s="59">
        <v>7.39</v>
      </c>
      <c r="Y508" s="37" t="str">
        <f>RTD("money.excel",,"2204","Price")</f>
        <v>無資料</v>
      </c>
      <c r="Z508" s="69"/>
      <c r="AA508" s="16" t="e">
        <f t="shared" si="161"/>
        <v>#VALUE!</v>
      </c>
      <c r="AB508" s="3" t="e">
        <f t="shared" si="162"/>
        <v>#VALUE!</v>
      </c>
      <c r="AC508" s="177" t="s">
        <v>2929</v>
      </c>
      <c r="AD508" s="23" t="s">
        <v>319</v>
      </c>
      <c r="AG508" s="34">
        <f t="shared" si="163"/>
        <v>0</v>
      </c>
      <c r="AH508" s="125" t="s">
        <v>4368</v>
      </c>
      <c r="AI508" s="131"/>
      <c r="AK508" s="66">
        <f t="shared" si="166"/>
        <v>0</v>
      </c>
      <c r="AL508" s="174">
        <f t="shared" si="167"/>
        <v>0</v>
      </c>
      <c r="AM508" s="346">
        <f>RTD("money.excel",,$G508,"PredictVolume")</f>
        <v>0</v>
      </c>
      <c r="AN508" s="272">
        <f>RTD("money.excel",,$G508,"CumulativeVolume")</f>
        <v>0</v>
      </c>
      <c r="AO508" s="284"/>
    </row>
    <row r="509" spans="1:41">
      <c r="A509" s="151" t="s">
        <v>4895</v>
      </c>
      <c r="B509" s="84">
        <v>5</v>
      </c>
      <c r="C509" s="84">
        <v>64</v>
      </c>
      <c r="D509" s="85">
        <v>-14</v>
      </c>
      <c r="E509" s="85">
        <v>-3</v>
      </c>
      <c r="F509" s="7">
        <v>6.31</v>
      </c>
      <c r="G509" s="85">
        <v>2206</v>
      </c>
      <c r="H509" s="4" t="s">
        <v>550</v>
      </c>
      <c r="I509" s="23" t="s">
        <v>1787</v>
      </c>
      <c r="J509" s="77">
        <v>73.98</v>
      </c>
      <c r="K509" s="371">
        <v>9.7200000000000006</v>
      </c>
      <c r="L509" s="77">
        <v>4.84</v>
      </c>
      <c r="N509" s="365">
        <f t="shared" si="158"/>
        <v>88.54</v>
      </c>
      <c r="O509" s="343">
        <f t="shared" si="159"/>
        <v>73.98</v>
      </c>
      <c r="P509" s="195">
        <v>2</v>
      </c>
      <c r="Q509" s="326">
        <f>IFERROR(VLOOKUP($G509,主力整理!$A$2:$G$2301,6,0),"0")</f>
        <v>4</v>
      </c>
      <c r="R509" s="111">
        <v>2</v>
      </c>
      <c r="S509" s="51">
        <v>4</v>
      </c>
      <c r="T509" s="339">
        <f t="shared" si="160"/>
        <v>12</v>
      </c>
      <c r="V509" s="371">
        <v>0.08</v>
      </c>
      <c r="W509" s="35">
        <v>1.31</v>
      </c>
      <c r="X509" s="59">
        <v>2.42</v>
      </c>
      <c r="Y509" s="37" t="str">
        <f>RTD("money.excel",,"2206","Price")</f>
        <v>無資料</v>
      </c>
      <c r="Z509" s="69"/>
      <c r="AA509" s="16" t="e">
        <f t="shared" si="161"/>
        <v>#VALUE!</v>
      </c>
      <c r="AB509" s="3" t="e">
        <f t="shared" si="162"/>
        <v>#VALUE!</v>
      </c>
      <c r="AC509" s="177" t="s">
        <v>2648</v>
      </c>
      <c r="AD509" s="23" t="s">
        <v>1787</v>
      </c>
      <c r="AG509" s="34">
        <f t="shared" si="163"/>
        <v>0</v>
      </c>
      <c r="AH509" s="44" t="s">
        <v>4369</v>
      </c>
      <c r="AI509" s="131"/>
      <c r="AK509" s="66">
        <f t="shared" si="166"/>
        <v>0</v>
      </c>
      <c r="AL509" s="174">
        <f t="shared" si="167"/>
        <v>0</v>
      </c>
      <c r="AM509" s="346">
        <f>RTD("money.excel",,$G509,"PredictVolume")</f>
        <v>0</v>
      </c>
      <c r="AN509" s="272">
        <f>RTD("money.excel",,$G509,"CumulativeVolume")</f>
        <v>0</v>
      </c>
      <c r="AO509" s="284"/>
    </row>
    <row r="510" spans="1:41">
      <c r="A510" s="135" t="s">
        <v>2454</v>
      </c>
      <c r="B510" s="84">
        <v>35</v>
      </c>
      <c r="C510" s="84">
        <v>29</v>
      </c>
      <c r="D510" s="85">
        <v>-14</v>
      </c>
      <c r="E510" s="85">
        <v>-12</v>
      </c>
      <c r="F510" s="59">
        <v>10.91</v>
      </c>
      <c r="G510" s="85">
        <v>2207</v>
      </c>
      <c r="H510" s="4" t="s">
        <v>550</v>
      </c>
      <c r="I510" s="23" t="s">
        <v>23</v>
      </c>
      <c r="J510" s="77">
        <v>83.99</v>
      </c>
      <c r="K510" s="77">
        <v>24.27</v>
      </c>
      <c r="L510" s="371">
        <v>0.04</v>
      </c>
      <c r="N510" s="365">
        <f t="shared" si="158"/>
        <v>108.3</v>
      </c>
      <c r="O510" s="343">
        <f t="shared" si="159"/>
        <v>83.99</v>
      </c>
      <c r="P510" s="195">
        <v>5</v>
      </c>
      <c r="Q510" s="326" t="str">
        <f>IFERROR(VLOOKUP($G510,主力整理!$A$2:$G$2301,6,0),"0")</f>
        <v>0</v>
      </c>
      <c r="R510" s="111">
        <v>2</v>
      </c>
      <c r="S510" s="51">
        <v>5</v>
      </c>
      <c r="T510" s="339">
        <f t="shared" si="160"/>
        <v>12</v>
      </c>
      <c r="V510" s="371">
        <v>0</v>
      </c>
      <c r="W510" s="69">
        <v>17</v>
      </c>
      <c r="X510" s="59">
        <v>29.83</v>
      </c>
      <c r="Y510" s="37" t="str">
        <f>RTD("money.excel",,"2207","Price")</f>
        <v>無資料</v>
      </c>
      <c r="Z510" s="69"/>
      <c r="AA510" s="16" t="e">
        <f t="shared" si="161"/>
        <v>#VALUE!</v>
      </c>
      <c r="AB510" s="3" t="e">
        <f t="shared" si="162"/>
        <v>#VALUE!</v>
      </c>
      <c r="AC510" s="177" t="s">
        <v>2929</v>
      </c>
      <c r="AD510" s="23" t="s">
        <v>23</v>
      </c>
      <c r="AG510" s="34">
        <f t="shared" si="163"/>
        <v>0</v>
      </c>
      <c r="AH510" s="126" t="s">
        <v>4123</v>
      </c>
      <c r="AI510" s="131"/>
      <c r="AK510" s="66">
        <f t="shared" si="166"/>
        <v>0</v>
      </c>
      <c r="AL510" s="174">
        <f t="shared" si="167"/>
        <v>0</v>
      </c>
      <c r="AM510" s="346">
        <f>RTD("money.excel",,$G510,"PredictVolume")</f>
        <v>0</v>
      </c>
      <c r="AN510" s="272">
        <f>RTD("money.excel",,$G510,"CumulativeVolume")</f>
        <v>0</v>
      </c>
      <c r="AO510" s="284"/>
    </row>
    <row r="511" spans="1:41">
      <c r="A511" s="151" t="s">
        <v>3623</v>
      </c>
      <c r="B511" s="85">
        <v>-9</v>
      </c>
      <c r="C511" s="84">
        <v>32</v>
      </c>
      <c r="D511" s="84">
        <v>29</v>
      </c>
      <c r="E511" s="85">
        <v>-43</v>
      </c>
      <c r="F511" s="7">
        <v>0.79</v>
      </c>
      <c r="G511" s="85">
        <v>2227</v>
      </c>
      <c r="H511" s="4" t="s">
        <v>550</v>
      </c>
      <c r="I511" s="23" t="s">
        <v>220</v>
      </c>
      <c r="J511" s="371">
        <v>93.54</v>
      </c>
      <c r="K511" s="371">
        <v>41.26</v>
      </c>
      <c r="L511" s="371"/>
      <c r="N511" s="365">
        <f t="shared" si="158"/>
        <v>134.80000000000001</v>
      </c>
      <c r="O511" s="343">
        <f t="shared" si="159"/>
        <v>93.54</v>
      </c>
      <c r="P511" s="195">
        <v>2</v>
      </c>
      <c r="Q511" s="326" t="str">
        <f>IFERROR(VLOOKUP($G511,主力整理!$A$2:$G$2301,6,0),"0")</f>
        <v>0</v>
      </c>
      <c r="R511" s="111">
        <v>3</v>
      </c>
      <c r="S511" s="51">
        <v>0</v>
      </c>
      <c r="T511" s="339">
        <f t="shared" si="160"/>
        <v>5</v>
      </c>
      <c r="W511" s="69">
        <v>18.53</v>
      </c>
      <c r="X511" s="59">
        <v>21.27</v>
      </c>
      <c r="Y511" s="14" t="str">
        <f>RTD("money.excel",,"2227","Price")</f>
        <v>無資料</v>
      </c>
      <c r="Z511" s="69"/>
      <c r="AA511" s="16" t="e">
        <f t="shared" si="161"/>
        <v>#VALUE!</v>
      </c>
      <c r="AB511" s="3" t="e">
        <f t="shared" si="162"/>
        <v>#VALUE!</v>
      </c>
      <c r="AC511" s="177" t="s">
        <v>2929</v>
      </c>
      <c r="AD511" s="23" t="s">
        <v>220</v>
      </c>
      <c r="AG511" s="34">
        <f t="shared" si="163"/>
        <v>0</v>
      </c>
      <c r="AH511" s="125" t="s">
        <v>4370</v>
      </c>
      <c r="AI511" s="131"/>
      <c r="AK511" s="66">
        <f t="shared" si="166"/>
        <v>0</v>
      </c>
      <c r="AL511" s="174">
        <f t="shared" si="167"/>
        <v>0</v>
      </c>
      <c r="AM511" s="346">
        <f>RTD("money.excel",,$G511,"PredictVolume")</f>
        <v>0</v>
      </c>
      <c r="AN511" s="272">
        <f>RTD("money.excel",,$G511,"CumulativeVolume")</f>
        <v>0</v>
      </c>
      <c r="AO511" s="284"/>
    </row>
    <row r="512" spans="1:41">
      <c r="A512" s="151" t="s">
        <v>2492</v>
      </c>
      <c r="B512" s="85">
        <v>-104</v>
      </c>
      <c r="C512" s="85">
        <v>-103</v>
      </c>
      <c r="D512" s="84">
        <v>32</v>
      </c>
      <c r="E512" s="85">
        <v>-13</v>
      </c>
      <c r="F512" s="7">
        <v>-0.67</v>
      </c>
      <c r="G512" s="85">
        <v>2228</v>
      </c>
      <c r="H512" s="4" t="s">
        <v>550</v>
      </c>
      <c r="I512" s="23" t="s">
        <v>1061</v>
      </c>
      <c r="J512" s="77">
        <v>60.6</v>
      </c>
      <c r="K512" s="77">
        <v>5.77</v>
      </c>
      <c r="L512" s="77">
        <v>6.05</v>
      </c>
      <c r="N512" s="365">
        <f t="shared" si="158"/>
        <v>72.42</v>
      </c>
      <c r="O512" s="343">
        <f t="shared" si="159"/>
        <v>60.6</v>
      </c>
      <c r="P512" s="195">
        <v>2</v>
      </c>
      <c r="Q512" s="326" t="str">
        <f>IFERROR(VLOOKUP($G512,主力整理!$A$2:$G$2301,6,0),"0")</f>
        <v>0</v>
      </c>
      <c r="T512" s="339">
        <f t="shared" si="160"/>
        <v>2</v>
      </c>
      <c r="V512" s="371">
        <v>0.09</v>
      </c>
      <c r="W512" s="35">
        <v>1.05</v>
      </c>
      <c r="X512" s="100">
        <v>1.31</v>
      </c>
      <c r="Y512" s="37" t="str">
        <f>RTD("money.excel",,"2228","Price")</f>
        <v>無資料</v>
      </c>
      <c r="Z512" s="69"/>
      <c r="AA512" s="16" t="e">
        <f t="shared" si="161"/>
        <v>#VALUE!</v>
      </c>
      <c r="AB512" s="3" t="e">
        <f t="shared" si="162"/>
        <v>#VALUE!</v>
      </c>
      <c r="AC512" s="177" t="s">
        <v>2648</v>
      </c>
      <c r="AD512" s="23" t="s">
        <v>1061</v>
      </c>
      <c r="AG512" s="34">
        <f t="shared" si="163"/>
        <v>0</v>
      </c>
      <c r="AH512" s="44" t="s">
        <v>4371</v>
      </c>
      <c r="AI512" s="131"/>
      <c r="AK512" s="66">
        <f t="shared" si="166"/>
        <v>0</v>
      </c>
      <c r="AL512" s="174">
        <f t="shared" si="167"/>
        <v>0</v>
      </c>
      <c r="AM512" s="346">
        <f>RTD("money.excel",,$G512,"PredictVolume")</f>
        <v>0</v>
      </c>
      <c r="AN512" s="272">
        <f>RTD("money.excel",,$G512,"CumulativeVolume")</f>
        <v>0</v>
      </c>
      <c r="AO512" s="284"/>
    </row>
    <row r="513" spans="1:41">
      <c r="A513" s="135" t="s">
        <v>2430</v>
      </c>
      <c r="B513" s="84">
        <v>179</v>
      </c>
      <c r="C513" s="84">
        <v>134</v>
      </c>
      <c r="D513" s="84">
        <v>12</v>
      </c>
      <c r="E513" s="84">
        <v>17</v>
      </c>
      <c r="F513" s="59">
        <v>16.32</v>
      </c>
      <c r="G513" s="85">
        <v>2231</v>
      </c>
      <c r="H513" s="4" t="s">
        <v>550</v>
      </c>
      <c r="I513" s="23" t="s">
        <v>320</v>
      </c>
      <c r="J513" s="77">
        <v>59.38</v>
      </c>
      <c r="K513" s="77">
        <v>7.72</v>
      </c>
      <c r="L513" s="77">
        <v>25.89</v>
      </c>
      <c r="M513" s="371">
        <v>35.25</v>
      </c>
      <c r="N513" s="365">
        <f t="shared" si="158"/>
        <v>128.24</v>
      </c>
      <c r="O513" s="369">
        <f t="shared" si="159"/>
        <v>94.63</v>
      </c>
      <c r="P513" s="195">
        <v>5</v>
      </c>
      <c r="Q513" s="326">
        <v>4</v>
      </c>
      <c r="R513" s="111">
        <v>6</v>
      </c>
      <c r="S513" s="51">
        <v>2</v>
      </c>
      <c r="T513" s="339">
        <f t="shared" si="160"/>
        <v>17</v>
      </c>
      <c r="U513" s="329" t="s">
        <v>6540</v>
      </c>
      <c r="V513" s="371">
        <v>3.18</v>
      </c>
      <c r="W513" s="35">
        <v>1.2</v>
      </c>
      <c r="X513" s="59">
        <v>4.2699999999999996</v>
      </c>
      <c r="Y513" s="37" t="str">
        <f>RTD("money.excel",,"2231","Price")</f>
        <v>無資料</v>
      </c>
      <c r="Z513" s="69"/>
      <c r="AA513" s="16" t="e">
        <f t="shared" si="161"/>
        <v>#VALUE!</v>
      </c>
      <c r="AB513" s="3" t="e">
        <f t="shared" si="162"/>
        <v>#VALUE!</v>
      </c>
      <c r="AC513" s="177" t="s">
        <v>2648</v>
      </c>
      <c r="AD513" s="23" t="s">
        <v>320</v>
      </c>
      <c r="AG513" s="34">
        <f t="shared" si="163"/>
        <v>0</v>
      </c>
      <c r="AH513" s="126" t="s">
        <v>4372</v>
      </c>
      <c r="AI513" s="131"/>
      <c r="AK513" s="66">
        <f t="shared" si="166"/>
        <v>0</v>
      </c>
      <c r="AL513" s="174">
        <f t="shared" si="167"/>
        <v>0</v>
      </c>
      <c r="AM513" s="346">
        <f>RTD("money.excel",,$G513,"PredictVolume")</f>
        <v>0</v>
      </c>
      <c r="AN513" s="272">
        <f>RTD("money.excel",,$G513,"CumulativeVolume")</f>
        <v>0</v>
      </c>
      <c r="AO513" s="284"/>
    </row>
    <row r="514" spans="1:41">
      <c r="A514" s="135" t="s">
        <v>2602</v>
      </c>
      <c r="B514" s="84">
        <v>4</v>
      </c>
      <c r="C514" s="84">
        <v>6</v>
      </c>
      <c r="D514" s="84">
        <v>3</v>
      </c>
      <c r="E514" s="84">
        <v>12</v>
      </c>
      <c r="F514" s="59">
        <v>14.63</v>
      </c>
      <c r="G514" s="85">
        <v>2233</v>
      </c>
      <c r="H514" s="4" t="s">
        <v>550</v>
      </c>
      <c r="I514" s="23" t="s">
        <v>302</v>
      </c>
      <c r="J514" s="77">
        <v>14.12</v>
      </c>
      <c r="K514" s="371">
        <v>12.83</v>
      </c>
      <c r="L514" s="371">
        <v>12.92</v>
      </c>
      <c r="N514" s="365">
        <f t="shared" si="158"/>
        <v>39.869999999999997</v>
      </c>
      <c r="O514" s="343">
        <f t="shared" si="159"/>
        <v>14.12</v>
      </c>
      <c r="P514" s="195">
        <v>4</v>
      </c>
      <c r="Q514" s="326">
        <f>IFERROR(VLOOKUP($G514,主力整理!$A$2:$G$2301,6,0),"0")</f>
        <v>2</v>
      </c>
      <c r="T514" s="339">
        <f t="shared" si="160"/>
        <v>6</v>
      </c>
      <c r="V514" s="371">
        <v>0.2</v>
      </c>
      <c r="W514" s="69">
        <v>3.3</v>
      </c>
      <c r="X514" s="100">
        <v>6.23</v>
      </c>
      <c r="Y514" s="37" t="str">
        <f>RTD("money.excel",,"2233","Price")</f>
        <v>無資料</v>
      </c>
      <c r="Z514" s="69"/>
      <c r="AA514" s="16" t="e">
        <f t="shared" si="161"/>
        <v>#VALUE!</v>
      </c>
      <c r="AB514" s="3" t="e">
        <f t="shared" si="162"/>
        <v>#VALUE!</v>
      </c>
      <c r="AC514" s="177" t="s">
        <v>2929</v>
      </c>
      <c r="AD514" s="23" t="s">
        <v>302</v>
      </c>
      <c r="AG514" s="34">
        <f t="shared" si="163"/>
        <v>0</v>
      </c>
      <c r="AH514" s="126" t="s">
        <v>4373</v>
      </c>
      <c r="AI514" s="131"/>
      <c r="AK514" s="66">
        <f t="shared" si="166"/>
        <v>0</v>
      </c>
      <c r="AL514" s="174">
        <f t="shared" si="167"/>
        <v>0</v>
      </c>
      <c r="AM514" s="346">
        <f>RTD("money.excel",,$G514,"PredictVolume")</f>
        <v>0</v>
      </c>
      <c r="AN514" s="272">
        <f>RTD("money.excel",,$G514,"CumulativeVolume")</f>
        <v>0</v>
      </c>
      <c r="AO514" s="284"/>
    </row>
    <row r="515" spans="1:41">
      <c r="A515" s="151" t="s">
        <v>4896</v>
      </c>
      <c r="B515" s="96">
        <v>-87</v>
      </c>
      <c r="C515" s="96">
        <v>-83</v>
      </c>
      <c r="D515" s="96">
        <v>1</v>
      </c>
      <c r="E515" s="96">
        <v>-7</v>
      </c>
      <c r="F515" s="7">
        <v>8.57</v>
      </c>
      <c r="G515" s="85">
        <v>2236</v>
      </c>
      <c r="H515" s="4" t="s">
        <v>550</v>
      </c>
      <c r="I515" s="23" t="s">
        <v>1062</v>
      </c>
      <c r="J515" s="77">
        <v>79</v>
      </c>
      <c r="K515" s="77">
        <v>73.459999999999994</v>
      </c>
      <c r="L515" s="77">
        <v>10.7</v>
      </c>
      <c r="N515" s="365">
        <f t="shared" si="158"/>
        <v>163.15999999999997</v>
      </c>
      <c r="O515" s="343">
        <f t="shared" si="159"/>
        <v>79</v>
      </c>
      <c r="P515" s="195" t="s">
        <v>5554</v>
      </c>
      <c r="Q515" s="326" t="str">
        <f>IFERROR(VLOOKUP($G515,主力整理!$A$2:$G$2301,6,0),"0")</f>
        <v>0</v>
      </c>
      <c r="T515" s="339">
        <f t="shared" si="160"/>
        <v>0</v>
      </c>
      <c r="V515" s="371">
        <v>24.19</v>
      </c>
      <c r="W515" s="35">
        <v>0.37</v>
      </c>
      <c r="X515" s="59">
        <v>0.71</v>
      </c>
      <c r="Y515" s="14" t="str">
        <f>RTD("money.excel",,"2236","Price")</f>
        <v>無資料</v>
      </c>
      <c r="Z515" s="69"/>
      <c r="AA515" s="16" t="e">
        <f t="shared" si="161"/>
        <v>#VALUE!</v>
      </c>
      <c r="AB515" s="3" t="e">
        <f t="shared" si="162"/>
        <v>#VALUE!</v>
      </c>
      <c r="AD515" s="23" t="s">
        <v>1062</v>
      </c>
      <c r="AG515" s="34">
        <f t="shared" si="163"/>
        <v>0</v>
      </c>
      <c r="AH515" s="44" t="s">
        <v>4374</v>
      </c>
      <c r="AI515" s="131"/>
      <c r="AK515" s="66">
        <f t="shared" si="166"/>
        <v>0</v>
      </c>
      <c r="AL515" s="174">
        <f t="shared" si="167"/>
        <v>0</v>
      </c>
      <c r="AM515" s="346">
        <f>RTD("money.excel",,$G515,"PredictVolume")</f>
        <v>0</v>
      </c>
      <c r="AN515" s="272">
        <f>RTD("money.excel",,$G515,"CumulativeVolume")</f>
        <v>0</v>
      </c>
      <c r="AO515" s="284"/>
    </row>
    <row r="516" spans="1:41">
      <c r="A516" s="151" t="s">
        <v>2498</v>
      </c>
      <c r="B516" s="84">
        <v>383</v>
      </c>
      <c r="C516" s="84">
        <v>354</v>
      </c>
      <c r="D516" s="85">
        <v>-12</v>
      </c>
      <c r="E516" s="85">
        <v>-12</v>
      </c>
      <c r="F516" s="7">
        <v>2.93</v>
      </c>
      <c r="G516" s="85">
        <v>2239</v>
      </c>
      <c r="H516" s="4" t="s">
        <v>550</v>
      </c>
      <c r="I516" s="23" t="s">
        <v>1574</v>
      </c>
      <c r="J516" s="371">
        <v>78.77</v>
      </c>
      <c r="K516" s="371">
        <v>77.430000000000007</v>
      </c>
      <c r="L516" s="371">
        <v>4.54</v>
      </c>
      <c r="N516" s="365">
        <f t="shared" si="158"/>
        <v>160.73999999999998</v>
      </c>
      <c r="O516" s="343">
        <f t="shared" si="159"/>
        <v>78.77</v>
      </c>
      <c r="P516" s="195">
        <v>1</v>
      </c>
      <c r="Q516" s="326" t="str">
        <f>IFERROR(VLOOKUP($G516,主力整理!$A$2:$G$2301,6,0),"0")</f>
        <v>0</v>
      </c>
      <c r="R516" s="111">
        <v>8</v>
      </c>
      <c r="S516" s="51">
        <v>3</v>
      </c>
      <c r="T516" s="339">
        <f t="shared" si="160"/>
        <v>12</v>
      </c>
      <c r="V516" s="371">
        <v>0.52</v>
      </c>
      <c r="W516" s="35">
        <v>1.85</v>
      </c>
      <c r="X516" s="59">
        <v>6.2</v>
      </c>
      <c r="Y516" s="14" t="str">
        <f>RTD("money.excel",,"2239","Price")</f>
        <v>無資料</v>
      </c>
      <c r="Z516" s="69"/>
      <c r="AA516" s="16" t="e">
        <f t="shared" si="161"/>
        <v>#VALUE!</v>
      </c>
      <c r="AB516" s="3" t="e">
        <f t="shared" si="162"/>
        <v>#VALUE!</v>
      </c>
      <c r="AC516" s="177" t="s">
        <v>2648</v>
      </c>
      <c r="AD516" s="23" t="s">
        <v>1574</v>
      </c>
      <c r="AG516" s="34">
        <f t="shared" si="163"/>
        <v>0</v>
      </c>
      <c r="AH516" s="44" t="s">
        <v>3129</v>
      </c>
      <c r="AI516" s="284"/>
      <c r="AK516" s="66">
        <f t="shared" si="166"/>
        <v>0</v>
      </c>
      <c r="AL516" s="174">
        <f t="shared" si="167"/>
        <v>0</v>
      </c>
      <c r="AM516" s="346">
        <f>RTD("money.excel",,$G516,"PredictVolume")</f>
        <v>0</v>
      </c>
      <c r="AN516" s="272">
        <f>RTD("money.excel",,$G516,"CumulativeVolume")</f>
        <v>0</v>
      </c>
      <c r="AO516" s="284"/>
    </row>
    <row r="517" spans="1:41">
      <c r="A517" s="151" t="s">
        <v>3019</v>
      </c>
      <c r="B517" s="85">
        <v>-117</v>
      </c>
      <c r="C517" s="85">
        <v>-227</v>
      </c>
      <c r="D517" s="98">
        <v>8664</v>
      </c>
      <c r="E517" s="98">
        <v>1004</v>
      </c>
      <c r="F517" s="7">
        <v>-47.48</v>
      </c>
      <c r="G517" s="85">
        <v>2243</v>
      </c>
      <c r="H517" s="4" t="s">
        <v>550</v>
      </c>
      <c r="I517" s="23" t="s">
        <v>1575</v>
      </c>
      <c r="J517" s="77">
        <v>64.39</v>
      </c>
      <c r="K517" s="77">
        <v>44.13</v>
      </c>
      <c r="L517" s="77">
        <v>3.74</v>
      </c>
      <c r="N517" s="365">
        <f t="shared" si="158"/>
        <v>112.26</v>
      </c>
      <c r="O517" s="343">
        <f t="shared" si="159"/>
        <v>64.39</v>
      </c>
      <c r="P517" s="195" t="s">
        <v>5554</v>
      </c>
      <c r="Q517" s="326">
        <f>IFERROR(VLOOKUP($G517,主力整理!$A$2:$G$2301,6,0),"0")</f>
        <v>2</v>
      </c>
      <c r="T517" s="339">
        <f t="shared" si="160"/>
        <v>2</v>
      </c>
      <c r="V517" s="371">
        <v>0.01</v>
      </c>
      <c r="W517" s="35">
        <v>0</v>
      </c>
      <c r="X517" s="59">
        <v>-6.44</v>
      </c>
      <c r="Y517" s="14" t="str">
        <f>RTD("money.excel",,"2243","Price")</f>
        <v>無資料</v>
      </c>
      <c r="Z517" s="69"/>
      <c r="AA517" s="16" t="e">
        <f t="shared" si="161"/>
        <v>#VALUE!</v>
      </c>
      <c r="AB517" s="3" t="e">
        <f t="shared" si="162"/>
        <v>#VALUE!</v>
      </c>
      <c r="AD517" s="23" t="s">
        <v>1575</v>
      </c>
      <c r="AG517" s="34">
        <f t="shared" si="163"/>
        <v>0</v>
      </c>
      <c r="AH517" s="44" t="s">
        <v>4375</v>
      </c>
      <c r="AI517" s="131"/>
      <c r="AK517" s="66">
        <f t="shared" si="166"/>
        <v>0</v>
      </c>
      <c r="AL517" s="174">
        <f t="shared" si="167"/>
        <v>0</v>
      </c>
      <c r="AM517" s="346">
        <f>RTD("money.excel",,$G517,"PredictVolume")</f>
        <v>0</v>
      </c>
      <c r="AN517" s="272">
        <f>RTD("money.excel",,$G517,"CumulativeVolume")</f>
        <v>0</v>
      </c>
      <c r="AO517" s="284"/>
    </row>
    <row r="518" spans="1:41">
      <c r="A518" s="151" t="s">
        <v>3027</v>
      </c>
      <c r="B518" s="84">
        <v>48</v>
      </c>
      <c r="C518" s="84">
        <v>29</v>
      </c>
      <c r="D518" s="84">
        <v>20</v>
      </c>
      <c r="E518" s="84">
        <v>63</v>
      </c>
      <c r="F518" s="7">
        <v>2.74</v>
      </c>
      <c r="G518" s="85">
        <v>2247</v>
      </c>
      <c r="H518" s="4" t="s">
        <v>550</v>
      </c>
      <c r="I518" s="23" t="s">
        <v>3226</v>
      </c>
      <c r="J518" s="371">
        <v>74.87</v>
      </c>
      <c r="K518" s="77">
        <v>0.14000000000000001</v>
      </c>
      <c r="N518" s="365">
        <f t="shared" si="158"/>
        <v>75.010000000000005</v>
      </c>
      <c r="O518" s="343">
        <f t="shared" si="159"/>
        <v>74.87</v>
      </c>
      <c r="P518" s="195">
        <v>2</v>
      </c>
      <c r="Q518" s="326" t="str">
        <f>IFERROR(VLOOKUP($G518,主力整理!$A$2:$G$2301,6,0),"0")</f>
        <v>0</v>
      </c>
      <c r="T518" s="339">
        <f t="shared" si="160"/>
        <v>2</v>
      </c>
      <c r="W518" s="69">
        <v>11</v>
      </c>
      <c r="X518" s="100">
        <v>14.82</v>
      </c>
      <c r="Y518" s="37" t="str">
        <f>RTD("money.excel",,"2247","Price")</f>
        <v>無資料</v>
      </c>
      <c r="Z518" s="69"/>
      <c r="AA518" s="16" t="e">
        <f t="shared" si="161"/>
        <v>#VALUE!</v>
      </c>
      <c r="AB518" s="3" t="e">
        <f t="shared" si="162"/>
        <v>#VALUE!</v>
      </c>
      <c r="AC518" s="177" t="s">
        <v>2929</v>
      </c>
      <c r="AD518" s="23" t="s">
        <v>3226</v>
      </c>
      <c r="AG518" s="34">
        <f t="shared" si="163"/>
        <v>0</v>
      </c>
      <c r="AH518" s="44" t="s">
        <v>3227</v>
      </c>
      <c r="AI518" s="131"/>
      <c r="AK518" s="66">
        <f t="shared" si="166"/>
        <v>0</v>
      </c>
      <c r="AL518" s="174">
        <f t="shared" si="167"/>
        <v>0</v>
      </c>
      <c r="AM518" s="346">
        <f>RTD("money.excel",,$G518,"PredictVolume")</f>
        <v>0</v>
      </c>
      <c r="AN518" s="272">
        <f>RTD("money.excel",,$G518,"CumulativeVolume")</f>
        <v>0</v>
      </c>
      <c r="AO518" s="284"/>
    </row>
    <row r="519" spans="1:41">
      <c r="A519" s="151" t="s">
        <v>4604</v>
      </c>
      <c r="B519" s="84">
        <v>59</v>
      </c>
      <c r="C519" s="84">
        <v>54</v>
      </c>
      <c r="D519" s="84">
        <v>7</v>
      </c>
      <c r="E519" s="85">
        <v>-16</v>
      </c>
      <c r="F519" s="7">
        <v>5.72</v>
      </c>
      <c r="G519" s="85">
        <v>2250</v>
      </c>
      <c r="H519" s="4" t="s">
        <v>550</v>
      </c>
      <c r="I519" s="23" t="s">
        <v>5308</v>
      </c>
      <c r="J519" s="77">
        <v>60.04</v>
      </c>
      <c r="K519" s="371">
        <v>5.72</v>
      </c>
      <c r="L519" s="77">
        <v>4.6100000000000003</v>
      </c>
      <c r="M519" s="77">
        <v>15.5</v>
      </c>
      <c r="N519" s="365">
        <f t="shared" si="158"/>
        <v>85.87</v>
      </c>
      <c r="O519" s="343">
        <f t="shared" si="159"/>
        <v>75.539999999999992</v>
      </c>
      <c r="P519" s="195">
        <v>0</v>
      </c>
      <c r="Q519" s="326">
        <v>2</v>
      </c>
      <c r="R519" s="31">
        <v>0</v>
      </c>
      <c r="S519" s="51">
        <v>10</v>
      </c>
      <c r="T519" s="339">
        <f t="shared" si="160"/>
        <v>12</v>
      </c>
      <c r="U519" s="329" t="s">
        <v>6539</v>
      </c>
      <c r="V519" s="371">
        <v>0.1</v>
      </c>
      <c r="W519" s="69">
        <v>3</v>
      </c>
      <c r="X519" s="59">
        <v>6.57</v>
      </c>
      <c r="Y519" s="37" t="str">
        <f>RTD("money.excel",,"2250","Price")</f>
        <v>無資料</v>
      </c>
      <c r="Z519" s="69"/>
      <c r="AA519" s="16" t="e">
        <f t="shared" si="161"/>
        <v>#VALUE!</v>
      </c>
      <c r="AB519" s="164" t="e">
        <f t="shared" si="162"/>
        <v>#VALUE!</v>
      </c>
      <c r="AC519" s="177" t="s">
        <v>2700</v>
      </c>
      <c r="AD519" s="23" t="s">
        <v>5308</v>
      </c>
      <c r="AG519" s="34">
        <f t="shared" si="163"/>
        <v>0</v>
      </c>
      <c r="AH519" s="44" t="s">
        <v>5305</v>
      </c>
      <c r="AI519" s="131"/>
      <c r="AK519" s="66">
        <f t="shared" si="166"/>
        <v>0</v>
      </c>
      <c r="AL519" s="174">
        <f t="shared" si="167"/>
        <v>0</v>
      </c>
      <c r="AM519" s="346">
        <f>RTD("money.excel",,$G519,"PredictVolume")</f>
        <v>0</v>
      </c>
      <c r="AN519" s="272">
        <f>RTD("money.excel",,$G519,"CumulativeVolume")</f>
        <v>0</v>
      </c>
      <c r="AO519" s="284"/>
    </row>
    <row r="520" spans="1:41">
      <c r="A520" s="151" t="s">
        <v>2498</v>
      </c>
      <c r="B520" s="99">
        <v>-2390</v>
      </c>
      <c r="C520" s="85">
        <v>-567</v>
      </c>
      <c r="D520" s="84">
        <v>5</v>
      </c>
      <c r="E520" s="84">
        <v>4</v>
      </c>
      <c r="F520" s="7">
        <v>-12.64</v>
      </c>
      <c r="G520" s="85">
        <v>2497</v>
      </c>
      <c r="H520" s="4" t="s">
        <v>550</v>
      </c>
      <c r="I520" s="23" t="s">
        <v>449</v>
      </c>
      <c r="J520" s="77">
        <v>58.91</v>
      </c>
      <c r="K520" s="77">
        <v>1.45</v>
      </c>
      <c r="L520" s="77">
        <v>5.4</v>
      </c>
      <c r="N520" s="365">
        <f t="shared" si="158"/>
        <v>65.760000000000005</v>
      </c>
      <c r="O520" s="343">
        <f t="shared" si="159"/>
        <v>58.91</v>
      </c>
      <c r="P520" s="195" t="s">
        <v>5554</v>
      </c>
      <c r="Q520" s="326" t="str">
        <f>IFERROR(VLOOKUP($G520,主力整理!$A$2:$G$2301,6,0),"0")</f>
        <v>0</v>
      </c>
      <c r="T520" s="339">
        <f t="shared" si="160"/>
        <v>0</v>
      </c>
      <c r="V520" s="371">
        <v>0.81</v>
      </c>
      <c r="W520" s="35">
        <v>0</v>
      </c>
      <c r="X520" s="100">
        <v>-0.69</v>
      </c>
      <c r="Y520" s="37" t="str">
        <f>RTD("money.excel",,"2497","Price")</f>
        <v>無資料</v>
      </c>
      <c r="Z520" s="69"/>
      <c r="AA520" s="16" t="e">
        <f t="shared" si="161"/>
        <v>#VALUE!</v>
      </c>
      <c r="AB520" s="3" t="e">
        <f t="shared" si="162"/>
        <v>#VALUE!</v>
      </c>
      <c r="AC520" s="177" t="s">
        <v>2648</v>
      </c>
      <c r="AD520" s="23" t="s">
        <v>449</v>
      </c>
      <c r="AG520" s="34">
        <f t="shared" si="163"/>
        <v>0</v>
      </c>
      <c r="AH520" s="127" t="s">
        <v>3411</v>
      </c>
      <c r="AI520" s="131"/>
      <c r="AK520" s="66">
        <f t="shared" si="166"/>
        <v>0</v>
      </c>
      <c r="AL520" s="174">
        <f t="shared" si="167"/>
        <v>0</v>
      </c>
      <c r="AM520" s="346">
        <f>RTD("money.excel",,$G520,"PredictVolume")</f>
        <v>0</v>
      </c>
      <c r="AN520" s="272">
        <f>RTD("money.excel",,$G520,"CumulativeVolume")</f>
        <v>0</v>
      </c>
      <c r="AO520" s="284"/>
    </row>
    <row r="521" spans="1:41">
      <c r="A521" s="151" t="s">
        <v>5337</v>
      </c>
      <c r="B521" s="84">
        <v>214</v>
      </c>
      <c r="C521" s="84">
        <v>165</v>
      </c>
      <c r="D521" s="84">
        <v>69</v>
      </c>
      <c r="E521" s="84">
        <v>25</v>
      </c>
      <c r="F521" s="7">
        <v>1.33</v>
      </c>
      <c r="G521" s="85">
        <v>3346</v>
      </c>
      <c r="H521" s="4" t="s">
        <v>550</v>
      </c>
      <c r="I521" s="23" t="s">
        <v>1063</v>
      </c>
      <c r="J521" s="77">
        <v>29.03</v>
      </c>
      <c r="K521" s="77">
        <v>3.45</v>
      </c>
      <c r="L521" s="371">
        <v>25.43</v>
      </c>
      <c r="M521" s="371">
        <v>11.73</v>
      </c>
      <c r="N521" s="365">
        <f t="shared" si="158"/>
        <v>69.64</v>
      </c>
      <c r="O521" s="343">
        <f t="shared" si="159"/>
        <v>40.760000000000005</v>
      </c>
      <c r="P521" s="195">
        <v>20</v>
      </c>
      <c r="Q521" s="326">
        <v>3</v>
      </c>
      <c r="R521" s="111">
        <v>0</v>
      </c>
      <c r="S521" s="51">
        <v>3</v>
      </c>
      <c r="T521" s="339">
        <f t="shared" si="160"/>
        <v>26</v>
      </c>
      <c r="U521" s="329" t="s">
        <v>6538</v>
      </c>
      <c r="V521" s="371">
        <v>2.0699999999999998</v>
      </c>
      <c r="W521" s="35">
        <v>0.15</v>
      </c>
      <c r="X521" s="100">
        <v>1.36</v>
      </c>
      <c r="Y521" s="37" t="str">
        <f>RTD("money.excel",,"3346","Price")</f>
        <v>無資料</v>
      </c>
      <c r="Z521" s="69"/>
      <c r="AA521" s="16" t="e">
        <f t="shared" si="161"/>
        <v>#VALUE!</v>
      </c>
      <c r="AB521" s="3" t="e">
        <f t="shared" si="162"/>
        <v>#VALUE!</v>
      </c>
      <c r="AC521" s="177" t="s">
        <v>2648</v>
      </c>
      <c r="AD521" s="23" t="s">
        <v>1063</v>
      </c>
      <c r="AG521" s="34">
        <f t="shared" si="163"/>
        <v>0</v>
      </c>
      <c r="AH521" s="44" t="s">
        <v>3336</v>
      </c>
      <c r="AI521" s="131"/>
      <c r="AK521" s="66">
        <f t="shared" si="166"/>
        <v>0</v>
      </c>
      <c r="AL521" s="174">
        <f t="shared" si="167"/>
        <v>0</v>
      </c>
      <c r="AM521" s="346">
        <f>RTD("money.excel",,$G521,"PredictVolume")</f>
        <v>0</v>
      </c>
      <c r="AN521" s="272">
        <f>RTD("money.excel",,$G521,"CumulativeVolume")</f>
        <v>0</v>
      </c>
      <c r="AO521" s="284"/>
    </row>
    <row r="522" spans="1:41">
      <c r="A522" s="135" t="s">
        <v>2764</v>
      </c>
      <c r="B522" s="85">
        <v>-15</v>
      </c>
      <c r="C522" s="85">
        <v>-8</v>
      </c>
      <c r="D522" s="84">
        <v>21</v>
      </c>
      <c r="E522" s="84">
        <v>48</v>
      </c>
      <c r="F522" s="59">
        <v>16.43</v>
      </c>
      <c r="G522" s="85">
        <v>4551</v>
      </c>
      <c r="H522" s="4" t="s">
        <v>550</v>
      </c>
      <c r="I522" s="24" t="s">
        <v>446</v>
      </c>
      <c r="J522" s="371">
        <v>76.11</v>
      </c>
      <c r="K522" s="77">
        <v>63.15</v>
      </c>
      <c r="L522" s="371">
        <v>3.46</v>
      </c>
      <c r="N522" s="365">
        <f t="shared" si="158"/>
        <v>142.72</v>
      </c>
      <c r="O522" s="343">
        <f t="shared" si="159"/>
        <v>76.11</v>
      </c>
      <c r="P522" s="195">
        <v>6</v>
      </c>
      <c r="Q522" s="326" t="str">
        <f>IFERROR(VLOOKUP($G522,主力整理!$A$2:$G$2301,6,0),"0")</f>
        <v>0</v>
      </c>
      <c r="T522" s="339">
        <f t="shared" si="160"/>
        <v>6</v>
      </c>
      <c r="V522" s="371">
        <v>0</v>
      </c>
      <c r="W522" s="69">
        <v>4</v>
      </c>
      <c r="X522" s="59">
        <v>6.69</v>
      </c>
      <c r="Y522" s="14" t="str">
        <f>RTD("money.excel",,"4551","Price")</f>
        <v>無資料</v>
      </c>
      <c r="Z522" s="69"/>
      <c r="AA522" s="16" t="e">
        <f t="shared" si="161"/>
        <v>#VALUE!</v>
      </c>
      <c r="AB522" s="36" t="e">
        <f t="shared" si="162"/>
        <v>#VALUE!</v>
      </c>
      <c r="AC522" s="177" t="s">
        <v>2929</v>
      </c>
      <c r="AD522" s="24" t="s">
        <v>446</v>
      </c>
      <c r="AG522" s="34">
        <f t="shared" si="163"/>
        <v>0</v>
      </c>
      <c r="AH522" s="50" t="s">
        <v>4374</v>
      </c>
      <c r="AI522" s="131"/>
      <c r="AK522" s="66">
        <f t="shared" si="166"/>
        <v>0</v>
      </c>
      <c r="AL522" s="174">
        <f t="shared" si="167"/>
        <v>0</v>
      </c>
      <c r="AM522" s="346">
        <f>RTD("money.excel",,$G522,"PredictVolume")</f>
        <v>0</v>
      </c>
      <c r="AN522" s="272">
        <f>RTD("money.excel",,$G522,"CumulativeVolume")</f>
        <v>0</v>
      </c>
      <c r="AO522" s="284"/>
    </row>
    <row r="523" spans="1:41">
      <c r="A523" s="151" t="s">
        <v>2593</v>
      </c>
      <c r="B523" s="84">
        <v>34</v>
      </c>
      <c r="C523" s="85">
        <v>-52</v>
      </c>
      <c r="D523" s="84">
        <v>1</v>
      </c>
      <c r="E523" s="85">
        <v>-28</v>
      </c>
      <c r="F523" s="7">
        <v>7.31</v>
      </c>
      <c r="G523" s="85">
        <v>4557</v>
      </c>
      <c r="H523" s="4" t="s">
        <v>550</v>
      </c>
      <c r="I523" s="23" t="s">
        <v>1067</v>
      </c>
      <c r="J523" s="77">
        <v>54.47</v>
      </c>
      <c r="K523" s="371">
        <v>40.36</v>
      </c>
      <c r="L523" s="77">
        <v>7.87</v>
      </c>
      <c r="N523" s="365">
        <f t="shared" si="158"/>
        <v>102.7</v>
      </c>
      <c r="O523" s="343">
        <f t="shared" si="159"/>
        <v>54.47</v>
      </c>
      <c r="P523" s="195" t="s">
        <v>5554</v>
      </c>
      <c r="Q523" s="326" t="str">
        <f>IFERROR(VLOOKUP($G523,主力整理!$A$2:$G$2301,6,0),"0")</f>
        <v>0</v>
      </c>
      <c r="T523" s="339">
        <f t="shared" si="160"/>
        <v>0</v>
      </c>
      <c r="V523" s="371">
        <v>0.01</v>
      </c>
      <c r="W523" s="69">
        <v>3.5</v>
      </c>
      <c r="X523" s="100">
        <v>3.61</v>
      </c>
      <c r="Y523" s="14" t="str">
        <f>RTD("money.excel",,"4557","Price")</f>
        <v>無資料</v>
      </c>
      <c r="Z523" s="69"/>
      <c r="AA523" s="16" t="e">
        <f t="shared" si="161"/>
        <v>#VALUE!</v>
      </c>
      <c r="AB523" s="3" t="e">
        <f t="shared" si="162"/>
        <v>#VALUE!</v>
      </c>
      <c r="AC523" s="177" t="s">
        <v>2700</v>
      </c>
      <c r="AD523" s="23" t="s">
        <v>1067</v>
      </c>
      <c r="AG523" s="34">
        <f t="shared" si="163"/>
        <v>0</v>
      </c>
      <c r="AH523" s="44" t="s">
        <v>4376</v>
      </c>
      <c r="AI523" s="131"/>
      <c r="AK523" s="66">
        <f t="shared" si="166"/>
        <v>0</v>
      </c>
      <c r="AL523" s="174">
        <f t="shared" si="167"/>
        <v>0</v>
      </c>
      <c r="AM523" s="346">
        <f>RTD("money.excel",,$G523,"PredictVolume")</f>
        <v>0</v>
      </c>
      <c r="AN523" s="272">
        <f>RTD("money.excel",,$G523,"CumulativeVolume")</f>
        <v>0</v>
      </c>
      <c r="AO523" s="284"/>
    </row>
    <row r="524" spans="1:41">
      <c r="A524" s="135" t="s">
        <v>2215</v>
      </c>
      <c r="B524" s="85">
        <v>-37</v>
      </c>
      <c r="C524" s="85">
        <v>-33</v>
      </c>
      <c r="D524" s="85">
        <v>-20</v>
      </c>
      <c r="E524" s="85">
        <v>-8</v>
      </c>
      <c r="F524" s="59">
        <v>10.72</v>
      </c>
      <c r="G524" s="85">
        <v>4581</v>
      </c>
      <c r="H524" s="4" t="s">
        <v>550</v>
      </c>
      <c r="I524" s="23" t="s">
        <v>2932</v>
      </c>
      <c r="J524" s="371">
        <v>75.489999999999995</v>
      </c>
      <c r="K524" s="77">
        <v>29.09</v>
      </c>
      <c r="L524" s="371"/>
      <c r="N524" s="365">
        <f t="shared" si="158"/>
        <v>104.58</v>
      </c>
      <c r="O524" s="343">
        <f t="shared" si="159"/>
        <v>75.489999999999995</v>
      </c>
      <c r="P524" s="195">
        <v>3</v>
      </c>
      <c r="Q524" s="326" t="str">
        <f>IFERROR(VLOOKUP($G524,主力整理!$A$2:$G$2301,6,0),"0")</f>
        <v>0</v>
      </c>
      <c r="T524" s="339">
        <f t="shared" si="160"/>
        <v>3</v>
      </c>
      <c r="W524" s="35">
        <v>2</v>
      </c>
      <c r="X524" s="100">
        <v>2.11</v>
      </c>
      <c r="Y524" s="14" t="str">
        <f>RTD("money.excel",,"4581","Price")</f>
        <v>無資料</v>
      </c>
      <c r="Z524" s="69"/>
      <c r="AA524" s="16" t="e">
        <f t="shared" si="161"/>
        <v>#VALUE!</v>
      </c>
      <c r="AB524" s="36" t="e">
        <f t="shared" si="162"/>
        <v>#VALUE!</v>
      </c>
      <c r="AC524" s="177" t="s">
        <v>2648</v>
      </c>
      <c r="AD524" s="23" t="s">
        <v>2932</v>
      </c>
      <c r="AG524" s="34">
        <f t="shared" si="163"/>
        <v>0</v>
      </c>
      <c r="AH524" s="50" t="s">
        <v>4377</v>
      </c>
      <c r="AI524" s="131"/>
      <c r="AK524" s="66">
        <f t="shared" si="166"/>
        <v>0</v>
      </c>
      <c r="AL524" s="174">
        <f t="shared" si="167"/>
        <v>0</v>
      </c>
      <c r="AM524" s="346">
        <f>RTD("money.excel",,$G524,"PredictVolume")</f>
        <v>0</v>
      </c>
      <c r="AN524" s="272">
        <f>RTD("money.excel",,$G524,"CumulativeVolume")</f>
        <v>0</v>
      </c>
      <c r="AO524" s="284"/>
    </row>
    <row r="525" spans="1:41">
      <c r="A525" s="151" t="s">
        <v>2632</v>
      </c>
      <c r="B525" s="85">
        <v>-30</v>
      </c>
      <c r="C525" s="85">
        <v>-26</v>
      </c>
      <c r="D525" s="84">
        <v>27</v>
      </c>
      <c r="E525" s="84">
        <v>20</v>
      </c>
      <c r="F525" s="7">
        <v>4.99</v>
      </c>
      <c r="G525" s="85">
        <v>6288</v>
      </c>
      <c r="H525" s="4" t="s">
        <v>550</v>
      </c>
      <c r="I525" s="23" t="s">
        <v>827</v>
      </c>
      <c r="J525" s="371">
        <v>46.74</v>
      </c>
      <c r="K525" s="77">
        <v>1.66</v>
      </c>
      <c r="L525" s="77">
        <v>19.04</v>
      </c>
      <c r="N525" s="365">
        <f t="shared" si="158"/>
        <v>67.44</v>
      </c>
      <c r="O525" s="343">
        <f t="shared" si="159"/>
        <v>46.74</v>
      </c>
      <c r="P525" s="195">
        <v>1</v>
      </c>
      <c r="Q525" s="326" t="str">
        <f>IFERROR(VLOOKUP($G525,主力整理!$A$2:$G$2301,6,0),"0")</f>
        <v>0</v>
      </c>
      <c r="T525" s="339">
        <f t="shared" si="160"/>
        <v>1</v>
      </c>
      <c r="V525" s="371">
        <v>0.16</v>
      </c>
      <c r="W525" s="35">
        <v>0.7</v>
      </c>
      <c r="X525" s="100">
        <v>0.85</v>
      </c>
      <c r="Y525" s="37" t="str">
        <f>RTD("money.excel",,"6288","Price")</f>
        <v>無資料</v>
      </c>
      <c r="Z525" s="69"/>
      <c r="AA525" s="16" t="e">
        <f t="shared" si="161"/>
        <v>#VALUE!</v>
      </c>
      <c r="AB525" s="36" t="e">
        <f t="shared" si="162"/>
        <v>#VALUE!</v>
      </c>
      <c r="AC525" s="177" t="s">
        <v>2648</v>
      </c>
      <c r="AD525" s="23" t="s">
        <v>827</v>
      </c>
      <c r="AG525" s="34">
        <f t="shared" si="163"/>
        <v>0</v>
      </c>
      <c r="AH525" s="44" t="s">
        <v>3211</v>
      </c>
      <c r="AI525" s="131"/>
      <c r="AK525" s="66">
        <f t="shared" si="166"/>
        <v>0</v>
      </c>
      <c r="AL525" s="174">
        <f t="shared" si="167"/>
        <v>0</v>
      </c>
      <c r="AM525" s="346">
        <f>RTD("money.excel",,$G525,"PredictVolume")</f>
        <v>0</v>
      </c>
      <c r="AN525" s="272">
        <f>RTD("money.excel",,$G525,"CumulativeVolume")</f>
        <v>0</v>
      </c>
      <c r="AO525" s="284"/>
    </row>
    <row r="526" spans="1:41">
      <c r="A526" s="151" t="s">
        <v>2512</v>
      </c>
      <c r="B526" s="85">
        <v>-39</v>
      </c>
      <c r="C526" s="85">
        <v>-31</v>
      </c>
      <c r="D526" s="84">
        <v>7</v>
      </c>
      <c r="E526" s="84">
        <v>4</v>
      </c>
      <c r="F526" s="7">
        <v>6.44</v>
      </c>
      <c r="G526" s="85">
        <v>6605</v>
      </c>
      <c r="H526" s="4" t="s">
        <v>550</v>
      </c>
      <c r="I526" s="23" t="s">
        <v>180</v>
      </c>
      <c r="J526" s="77">
        <v>62.04</v>
      </c>
      <c r="K526" s="77">
        <v>12.49</v>
      </c>
      <c r="L526" s="77">
        <v>1.47</v>
      </c>
      <c r="N526" s="365">
        <f t="shared" si="158"/>
        <v>76</v>
      </c>
      <c r="O526" s="343">
        <f t="shared" si="159"/>
        <v>62.04</v>
      </c>
      <c r="P526" s="195">
        <v>2</v>
      </c>
      <c r="Q526" s="326" t="str">
        <f>IFERROR(VLOOKUP($G526,主力整理!$A$2:$G$2301,6,0),"0")</f>
        <v>0</v>
      </c>
      <c r="T526" s="339">
        <f t="shared" si="160"/>
        <v>2</v>
      </c>
      <c r="V526" s="371">
        <v>0</v>
      </c>
      <c r="W526" s="35">
        <v>1.5</v>
      </c>
      <c r="X526" s="100">
        <v>3.56</v>
      </c>
      <c r="Y526" s="37" t="str">
        <f>RTD("money.excel",,"6605","Price")</f>
        <v>無資料</v>
      </c>
      <c r="Z526" s="69"/>
      <c r="AA526" s="16" t="e">
        <f t="shared" si="161"/>
        <v>#VALUE!</v>
      </c>
      <c r="AB526" s="3" t="e">
        <f t="shared" si="162"/>
        <v>#VALUE!</v>
      </c>
      <c r="AC526" s="177" t="s">
        <v>2648</v>
      </c>
      <c r="AD526" s="23" t="s">
        <v>180</v>
      </c>
      <c r="AG526" s="34">
        <f t="shared" si="163"/>
        <v>0</v>
      </c>
      <c r="AH526" s="125" t="s">
        <v>3336</v>
      </c>
      <c r="AI526" s="131"/>
      <c r="AK526" s="66">
        <f t="shared" si="166"/>
        <v>0</v>
      </c>
      <c r="AL526" s="174">
        <f t="shared" si="167"/>
        <v>0</v>
      </c>
      <c r="AM526" s="346">
        <f>RTD("money.excel",,$G526,"PredictVolume")</f>
        <v>0</v>
      </c>
      <c r="AN526" s="272">
        <f>RTD("money.excel",,$G526,"CumulativeVolume")</f>
        <v>0</v>
      </c>
      <c r="AO526" s="284"/>
    </row>
    <row r="527" spans="1:41">
      <c r="A527" s="151"/>
      <c r="B527" s="85"/>
      <c r="C527" s="85"/>
      <c r="D527" s="84"/>
      <c r="E527" s="84"/>
      <c r="F527" s="7"/>
      <c r="G527" s="85"/>
      <c r="H527" s="4"/>
      <c r="I527" s="23"/>
      <c r="J527" s="77"/>
      <c r="K527" s="77"/>
      <c r="N527" s="365"/>
      <c r="O527" s="343"/>
      <c r="P527" s="195"/>
      <c r="W527" s="35"/>
      <c r="X527" s="100"/>
      <c r="Y527" s="37"/>
      <c r="Z527" s="69"/>
      <c r="AA527" s="16"/>
      <c r="AB527" s="3"/>
      <c r="AD527" s="23"/>
      <c r="AG527" s="34"/>
      <c r="AH527" s="125"/>
      <c r="AI527" s="131"/>
      <c r="AK527" s="66"/>
      <c r="AL527" s="174"/>
      <c r="AM527" s="346"/>
      <c r="AN527" s="272"/>
      <c r="AO527" s="284"/>
    </row>
    <row r="528" spans="1:41">
      <c r="A528" s="135" t="s">
        <v>2552</v>
      </c>
      <c r="B528" s="96" t="s">
        <v>2331</v>
      </c>
      <c r="C528" s="96" t="s">
        <v>2332</v>
      </c>
      <c r="D528" s="96" t="s">
        <v>2333</v>
      </c>
      <c r="E528" s="96" t="s">
        <v>2334</v>
      </c>
      <c r="F528" s="9" t="s">
        <v>1709</v>
      </c>
      <c r="G528" s="52" t="s">
        <v>778</v>
      </c>
      <c r="H528" s="56" t="s">
        <v>578</v>
      </c>
      <c r="I528" s="9" t="s">
        <v>621</v>
      </c>
      <c r="J528" s="364" t="s">
        <v>2189</v>
      </c>
      <c r="K528" s="364" t="s">
        <v>1820</v>
      </c>
      <c r="L528" s="364" t="s">
        <v>515</v>
      </c>
      <c r="M528" s="364" t="s">
        <v>1699</v>
      </c>
      <c r="N528" s="364" t="s">
        <v>6604</v>
      </c>
      <c r="O528" s="343" t="s">
        <v>6620</v>
      </c>
      <c r="P528" s="83" t="s">
        <v>5279</v>
      </c>
      <c r="Q528" s="326" t="s">
        <v>5514</v>
      </c>
      <c r="R528" s="31" t="s">
        <v>6596</v>
      </c>
      <c r="S528" s="51" t="s">
        <v>6597</v>
      </c>
      <c r="T528" s="338" t="s">
        <v>5627</v>
      </c>
      <c r="U528" s="330" t="s">
        <v>6537</v>
      </c>
      <c r="V528" s="377" t="s">
        <v>6616</v>
      </c>
      <c r="W528" s="11" t="s">
        <v>127</v>
      </c>
      <c r="X528" s="71" t="s">
        <v>5216</v>
      </c>
      <c r="Y528" s="29" t="s">
        <v>3</v>
      </c>
      <c r="Z528" s="18" t="s">
        <v>2113</v>
      </c>
      <c r="AA528" s="15" t="s">
        <v>8</v>
      </c>
      <c r="AB528" s="22" t="s">
        <v>4</v>
      </c>
      <c r="AC528" s="358" t="s">
        <v>211</v>
      </c>
      <c r="AD528" s="9" t="s">
        <v>621</v>
      </c>
      <c r="AE528" s="75" t="s">
        <v>2114</v>
      </c>
      <c r="AF528" s="76" t="s">
        <v>1826</v>
      </c>
      <c r="AG528" s="33" t="s">
        <v>1827</v>
      </c>
      <c r="AH528" s="44"/>
      <c r="AI528" s="131"/>
      <c r="AK528" s="9" t="s">
        <v>6666</v>
      </c>
      <c r="AL528" s="5" t="s">
        <v>6667</v>
      </c>
      <c r="AM528" s="51" t="s">
        <v>5339</v>
      </c>
      <c r="AN528" s="276" t="s">
        <v>6665</v>
      </c>
      <c r="AO528" s="284"/>
    </row>
    <row r="529" spans="1:41">
      <c r="A529" s="151" t="s">
        <v>2748</v>
      </c>
      <c r="B529" s="96">
        <v>59</v>
      </c>
      <c r="C529" s="145">
        <v>2663</v>
      </c>
      <c r="D529" s="96">
        <v>-30</v>
      </c>
      <c r="E529" s="96">
        <v>68</v>
      </c>
      <c r="F529" s="7">
        <v>7.36</v>
      </c>
      <c r="G529" s="85">
        <v>2302</v>
      </c>
      <c r="H529" s="11" t="s">
        <v>558</v>
      </c>
      <c r="I529" s="23" t="s">
        <v>622</v>
      </c>
      <c r="J529" s="77">
        <v>66.06</v>
      </c>
      <c r="K529" s="77">
        <v>4.41</v>
      </c>
      <c r="L529" s="77">
        <v>0</v>
      </c>
      <c r="N529" s="365">
        <f t="shared" ref="N529:N560" si="168">J529+K529+L529+M529</f>
        <v>70.47</v>
      </c>
      <c r="O529" s="343">
        <f t="shared" ref="O529:O560" si="169">J529+M529</f>
        <v>66.06</v>
      </c>
      <c r="P529" s="195" t="s">
        <v>5554</v>
      </c>
      <c r="Q529" s="326" t="str">
        <f>IFERROR(VLOOKUP($G529,主力整理!$A$2:$G$2301,6,0),"0")</f>
        <v>0</v>
      </c>
      <c r="R529" s="111">
        <v>22</v>
      </c>
      <c r="T529" s="339">
        <f t="shared" ref="T529:T560" si="170">SUM(P529:S529)</f>
        <v>22</v>
      </c>
      <c r="V529" s="371">
        <v>26.63</v>
      </c>
      <c r="W529" s="35">
        <v>0.3</v>
      </c>
      <c r="X529" s="100">
        <v>0.64</v>
      </c>
      <c r="Y529" s="37" t="str">
        <f>RTD("money.excel",,"2302","Price")</f>
        <v>無資料</v>
      </c>
      <c r="Z529" s="69"/>
      <c r="AA529" s="16" t="e">
        <f t="shared" ref="AA529:AA560" si="171">Y529-Z529</f>
        <v>#VALUE!</v>
      </c>
      <c r="AB529" s="3" t="e">
        <f t="shared" ref="AB529:AB560" si="172">AA529/Z529</f>
        <v>#VALUE!</v>
      </c>
      <c r="AD529" s="23" t="s">
        <v>622</v>
      </c>
      <c r="AG529" s="34">
        <f t="shared" ref="AG529:AG560" si="173">AF529-AE529</f>
        <v>0</v>
      </c>
      <c r="AH529" s="44" t="s">
        <v>3491</v>
      </c>
      <c r="AI529" s="131"/>
      <c r="AK529" s="66">
        <f t="shared" ref="AK529" si="174">AM529/(A529*10000)</f>
        <v>0</v>
      </c>
      <c r="AL529" s="174">
        <f t="shared" ref="AL529" si="175">AN529/(A529*10000)</f>
        <v>0</v>
      </c>
      <c r="AM529" s="346">
        <f>RTD("money.excel",,$G529,"PredictVolume")</f>
        <v>0</v>
      </c>
      <c r="AN529" s="272">
        <f>RTD("money.excel",,$G529,"CumulativeVolume")</f>
        <v>0</v>
      </c>
      <c r="AO529" s="284"/>
    </row>
    <row r="530" spans="1:41">
      <c r="A530" s="135" t="s">
        <v>3054</v>
      </c>
      <c r="B530" s="84">
        <v>343</v>
      </c>
      <c r="C530" s="84">
        <v>369</v>
      </c>
      <c r="D530" s="85">
        <v>-3</v>
      </c>
      <c r="E530" s="84">
        <v>9</v>
      </c>
      <c r="F530" s="59">
        <v>12.45</v>
      </c>
      <c r="G530" s="85">
        <v>2303</v>
      </c>
      <c r="H530" s="11" t="s">
        <v>558</v>
      </c>
      <c r="I530" s="23" t="s">
        <v>24</v>
      </c>
      <c r="J530" s="371">
        <v>68.540000000000006</v>
      </c>
      <c r="K530" s="371">
        <v>44.04</v>
      </c>
      <c r="L530" s="371">
        <v>7.43</v>
      </c>
      <c r="N530" s="365">
        <f t="shared" si="168"/>
        <v>120.01000000000002</v>
      </c>
      <c r="O530" s="343">
        <f t="shared" si="169"/>
        <v>68.540000000000006</v>
      </c>
      <c r="P530" s="195">
        <v>50</v>
      </c>
      <c r="Q530" s="326">
        <f>IFERROR(VLOOKUP($G530,主力整理!$A$2:$G$2301,6,0),"0")</f>
        <v>2</v>
      </c>
      <c r="R530" s="111">
        <v>7</v>
      </c>
      <c r="T530" s="339">
        <f t="shared" si="170"/>
        <v>59</v>
      </c>
      <c r="V530" s="371">
        <v>0.64</v>
      </c>
      <c r="W530" s="35">
        <v>1.6</v>
      </c>
      <c r="X530" s="59">
        <v>2.4300000000000002</v>
      </c>
      <c r="Y530" s="14" t="str">
        <f>RTD("money.excel",,"2303","Price")</f>
        <v>無資料</v>
      </c>
      <c r="Z530" s="69"/>
      <c r="AA530" s="16" t="e">
        <f t="shared" si="171"/>
        <v>#VALUE!</v>
      </c>
      <c r="AB530" s="3" t="e">
        <f t="shared" si="172"/>
        <v>#VALUE!</v>
      </c>
      <c r="AC530" s="177" t="s">
        <v>2648</v>
      </c>
      <c r="AD530" s="23" t="s">
        <v>24</v>
      </c>
      <c r="AG530" s="34">
        <f t="shared" si="173"/>
        <v>0</v>
      </c>
      <c r="AH530" s="126" t="s">
        <v>4025</v>
      </c>
      <c r="AI530" s="131"/>
      <c r="AK530" s="66">
        <f t="shared" ref="AK530:AK593" si="176">AM530/(A530*10000)</f>
        <v>0</v>
      </c>
      <c r="AL530" s="174">
        <f t="shared" ref="AL530:AL593" si="177">AN530/(A530*10000)</f>
        <v>0</v>
      </c>
      <c r="AM530" s="346">
        <f>RTD("money.excel",,$G530,"PredictVolume")</f>
        <v>0</v>
      </c>
      <c r="AN530" s="272">
        <f>RTD("money.excel",,$G530,"CumulativeVolume")</f>
        <v>0</v>
      </c>
      <c r="AO530" s="284"/>
    </row>
    <row r="531" spans="1:41">
      <c r="A531" s="151" t="s">
        <v>2902</v>
      </c>
      <c r="B531" s="85">
        <v>-146</v>
      </c>
      <c r="C531" s="85">
        <v>-139</v>
      </c>
      <c r="D531" s="84">
        <v>1</v>
      </c>
      <c r="E531" s="85">
        <v>-20</v>
      </c>
      <c r="F531" s="7">
        <v>-2.5499999999999998</v>
      </c>
      <c r="G531" s="85">
        <v>2329</v>
      </c>
      <c r="H531" s="11" t="s">
        <v>558</v>
      </c>
      <c r="I531" s="23" t="s">
        <v>623</v>
      </c>
      <c r="J531" s="371">
        <v>47.15</v>
      </c>
      <c r="K531" s="371">
        <v>29.34</v>
      </c>
      <c r="L531" s="77">
        <v>11.75</v>
      </c>
      <c r="N531" s="365">
        <f t="shared" si="168"/>
        <v>88.24</v>
      </c>
      <c r="O531" s="343">
        <f t="shared" si="169"/>
        <v>47.15</v>
      </c>
      <c r="P531" s="195">
        <v>3</v>
      </c>
      <c r="Q531" s="326">
        <f>IFERROR(VLOOKUP($G531,主力整理!$A$2:$G$2301,6,0),"0")</f>
        <v>3</v>
      </c>
      <c r="R531" s="111">
        <v>4</v>
      </c>
      <c r="T531" s="339">
        <f t="shared" si="170"/>
        <v>10</v>
      </c>
      <c r="V531" s="371">
        <v>1.22</v>
      </c>
      <c r="W531" s="35">
        <v>0</v>
      </c>
      <c r="X531" s="100">
        <v>-0.48</v>
      </c>
      <c r="Y531" s="37" t="str">
        <f>RTD("money.excel",,"2329","Price")</f>
        <v>無資料</v>
      </c>
      <c r="Z531" s="69"/>
      <c r="AA531" s="16" t="e">
        <f t="shared" si="171"/>
        <v>#VALUE!</v>
      </c>
      <c r="AB531" s="3" t="e">
        <f t="shared" si="172"/>
        <v>#VALUE!</v>
      </c>
      <c r="AC531" s="177" t="s">
        <v>2648</v>
      </c>
      <c r="AD531" s="23" t="s">
        <v>623</v>
      </c>
      <c r="AG531" s="34">
        <f t="shared" si="173"/>
        <v>0</v>
      </c>
      <c r="AH531" s="44" t="s">
        <v>5229</v>
      </c>
      <c r="AI531" s="131"/>
      <c r="AK531" s="66">
        <f t="shared" si="176"/>
        <v>0</v>
      </c>
      <c r="AL531" s="174">
        <f t="shared" si="177"/>
        <v>0</v>
      </c>
      <c r="AM531" s="346">
        <f>RTD("money.excel",,$G531,"PredictVolume")</f>
        <v>0</v>
      </c>
      <c r="AN531" s="272">
        <f>RTD("money.excel",,$G531,"CumulativeVolume")</f>
        <v>0</v>
      </c>
      <c r="AO531" s="284"/>
    </row>
    <row r="532" spans="1:41">
      <c r="A532" s="135" t="s">
        <v>2461</v>
      </c>
      <c r="B532" s="84">
        <v>15</v>
      </c>
      <c r="C532" s="84">
        <v>14</v>
      </c>
      <c r="D532" s="84">
        <v>10</v>
      </c>
      <c r="E532" s="84">
        <v>11</v>
      </c>
      <c r="F532" s="59">
        <v>40.32</v>
      </c>
      <c r="G532" s="85">
        <v>2330</v>
      </c>
      <c r="H532" s="11" t="s">
        <v>558</v>
      </c>
      <c r="I532" s="23" t="s">
        <v>11</v>
      </c>
      <c r="J532" s="209">
        <v>88.32</v>
      </c>
      <c r="K532" s="371">
        <v>76.209999999999994</v>
      </c>
      <c r="L532" s="77">
        <v>0.43</v>
      </c>
      <c r="N532" s="365">
        <f t="shared" si="168"/>
        <v>164.95999999999998</v>
      </c>
      <c r="O532" s="343">
        <f t="shared" si="169"/>
        <v>88.32</v>
      </c>
      <c r="P532" s="195">
        <v>134</v>
      </c>
      <c r="Q532" s="326">
        <f>IFERROR(VLOOKUP($G532,主力整理!$A$2:$G$2301,6,0),"0")</f>
        <v>12</v>
      </c>
      <c r="R532" s="111">
        <v>1</v>
      </c>
      <c r="S532" s="51">
        <v>13</v>
      </c>
      <c r="T532" s="339">
        <f t="shared" si="170"/>
        <v>160</v>
      </c>
      <c r="V532" s="371">
        <v>0.28000000000000003</v>
      </c>
      <c r="W532" s="230">
        <v>2.75</v>
      </c>
      <c r="X532" s="59">
        <v>21.37</v>
      </c>
      <c r="Y532" s="14" t="str">
        <f>RTD("money.excel",,"2330","Price")</f>
        <v>無資料</v>
      </c>
      <c r="Z532" s="68"/>
      <c r="AA532" s="16" t="e">
        <f t="shared" si="171"/>
        <v>#VALUE!</v>
      </c>
      <c r="AB532" s="3" t="e">
        <f t="shared" si="172"/>
        <v>#VALUE!</v>
      </c>
      <c r="AC532" s="177" t="s">
        <v>6565</v>
      </c>
      <c r="AD532" s="23" t="s">
        <v>11</v>
      </c>
      <c r="AG532" s="34">
        <f t="shared" si="173"/>
        <v>0</v>
      </c>
      <c r="AH532" s="63" t="s">
        <v>4024</v>
      </c>
      <c r="AI532" s="284"/>
      <c r="AK532" s="66">
        <f t="shared" si="176"/>
        <v>0</v>
      </c>
      <c r="AL532" s="174">
        <f t="shared" si="177"/>
        <v>0</v>
      </c>
      <c r="AM532" s="346">
        <f>RTD("money.excel",,$G532,"PredictVolume")</f>
        <v>0</v>
      </c>
      <c r="AN532" s="272">
        <f>RTD("money.excel",,$G532,"CumulativeVolume")</f>
        <v>0</v>
      </c>
      <c r="AO532" s="284"/>
    </row>
    <row r="533" spans="1:41">
      <c r="A533" s="135" t="s">
        <v>3022</v>
      </c>
      <c r="B533" s="84">
        <v>11</v>
      </c>
      <c r="C533" s="84">
        <v>35</v>
      </c>
      <c r="D533" s="85">
        <v>-9</v>
      </c>
      <c r="E533" s="84">
        <v>20</v>
      </c>
      <c r="F533" s="59">
        <v>16.5</v>
      </c>
      <c r="G533" s="85">
        <v>2337</v>
      </c>
      <c r="H533" s="11" t="s">
        <v>558</v>
      </c>
      <c r="I533" s="23" t="s">
        <v>84</v>
      </c>
      <c r="J533" s="371">
        <v>35.25</v>
      </c>
      <c r="K533" s="77">
        <v>21.24</v>
      </c>
      <c r="L533" s="371">
        <v>15</v>
      </c>
      <c r="N533" s="365">
        <f t="shared" si="168"/>
        <v>71.489999999999995</v>
      </c>
      <c r="O533" s="343">
        <f t="shared" si="169"/>
        <v>35.25</v>
      </c>
      <c r="P533" s="195">
        <v>24</v>
      </c>
      <c r="Q533" s="326">
        <f>IFERROR(VLOOKUP($G533,主力整理!$A$2:$G$2301,6,0),"0")</f>
        <v>6</v>
      </c>
      <c r="R533" s="111">
        <v>7</v>
      </c>
      <c r="S533" s="51">
        <v>22</v>
      </c>
      <c r="T533" s="339">
        <f t="shared" si="170"/>
        <v>59</v>
      </c>
      <c r="V533" s="371">
        <v>3.68</v>
      </c>
      <c r="W533" s="35">
        <v>1.2</v>
      </c>
      <c r="X533" s="100">
        <v>3.05</v>
      </c>
      <c r="Y533" s="37" t="str">
        <f>RTD("money.excel",,"2337","Price")</f>
        <v>無資料</v>
      </c>
      <c r="Z533" s="69"/>
      <c r="AA533" s="16" t="e">
        <f t="shared" si="171"/>
        <v>#VALUE!</v>
      </c>
      <c r="AB533" s="3" t="e">
        <f t="shared" si="172"/>
        <v>#VALUE!</v>
      </c>
      <c r="AC533" s="177" t="s">
        <v>2648</v>
      </c>
      <c r="AD533" s="23" t="s">
        <v>84</v>
      </c>
      <c r="AG533" s="34">
        <f t="shared" si="173"/>
        <v>0</v>
      </c>
      <c r="AH533" s="126" t="s">
        <v>2143</v>
      </c>
      <c r="AI533" s="131"/>
      <c r="AK533" s="66">
        <f t="shared" si="176"/>
        <v>0</v>
      </c>
      <c r="AL533" s="174">
        <f t="shared" si="177"/>
        <v>0</v>
      </c>
      <c r="AM533" s="346">
        <f>RTD("money.excel",,$G533,"PredictVolume")</f>
        <v>0</v>
      </c>
      <c r="AN533" s="272">
        <f>RTD("money.excel",,$G533,"CumulativeVolume")</f>
        <v>0</v>
      </c>
      <c r="AO533" s="284"/>
    </row>
    <row r="534" spans="1:41">
      <c r="A534" s="151" t="s">
        <v>2501</v>
      </c>
      <c r="B534" s="84">
        <v>193</v>
      </c>
      <c r="C534" s="85">
        <v>-10</v>
      </c>
      <c r="D534" s="85">
        <v>-1</v>
      </c>
      <c r="E534" s="84">
        <v>29</v>
      </c>
      <c r="F534" s="7">
        <v>3.73</v>
      </c>
      <c r="G534" s="85">
        <v>2338</v>
      </c>
      <c r="H534" s="11" t="s">
        <v>558</v>
      </c>
      <c r="I534" s="23" t="s">
        <v>534</v>
      </c>
      <c r="J534" s="371">
        <v>36.86</v>
      </c>
      <c r="K534" s="77">
        <v>9.65</v>
      </c>
      <c r="L534" s="371">
        <v>30.53</v>
      </c>
      <c r="N534" s="365">
        <f t="shared" si="168"/>
        <v>77.039999999999992</v>
      </c>
      <c r="O534" s="343">
        <f t="shared" si="169"/>
        <v>36.86</v>
      </c>
      <c r="P534" s="195">
        <v>2</v>
      </c>
      <c r="Q534" s="326">
        <f>IFERROR(VLOOKUP($G534,主力整理!$A$2:$G$2301,6,0),"0")</f>
        <v>5</v>
      </c>
      <c r="R534" s="111">
        <v>13</v>
      </c>
      <c r="S534" s="51">
        <v>10</v>
      </c>
      <c r="T534" s="339">
        <f t="shared" si="170"/>
        <v>30</v>
      </c>
      <c r="V534" s="371">
        <v>9.6199999999999992</v>
      </c>
      <c r="W534" s="35">
        <v>1.5</v>
      </c>
      <c r="X534" s="100">
        <v>5.22</v>
      </c>
      <c r="Y534" s="37" t="str">
        <f>RTD("money.excel",,"2338","Price")</f>
        <v>無資料</v>
      </c>
      <c r="Z534" s="69"/>
      <c r="AA534" s="16" t="e">
        <f t="shared" si="171"/>
        <v>#VALUE!</v>
      </c>
      <c r="AB534" s="3" t="e">
        <f t="shared" si="172"/>
        <v>#VALUE!</v>
      </c>
      <c r="AC534" s="177" t="s">
        <v>2648</v>
      </c>
      <c r="AD534" s="23" t="s">
        <v>534</v>
      </c>
      <c r="AG534" s="34">
        <f t="shared" si="173"/>
        <v>0</v>
      </c>
      <c r="AH534" s="44" t="s">
        <v>534</v>
      </c>
      <c r="AI534" s="131"/>
      <c r="AK534" s="66">
        <f t="shared" si="176"/>
        <v>0</v>
      </c>
      <c r="AL534" s="174">
        <f t="shared" si="177"/>
        <v>0</v>
      </c>
      <c r="AM534" s="346">
        <f>RTD("money.excel",,$G534,"PredictVolume")</f>
        <v>0</v>
      </c>
      <c r="AN534" s="272">
        <f>RTD("money.excel",,$G534,"CumulativeVolume")</f>
        <v>0</v>
      </c>
      <c r="AO534" s="284"/>
    </row>
    <row r="535" spans="1:41">
      <c r="A535" s="151" t="s">
        <v>2792</v>
      </c>
      <c r="B535" s="85">
        <v>-270</v>
      </c>
      <c r="C535" s="85">
        <v>-202</v>
      </c>
      <c r="D535" s="84">
        <v>10</v>
      </c>
      <c r="E535" s="84">
        <v>3</v>
      </c>
      <c r="F535" s="7">
        <v>-12.71</v>
      </c>
      <c r="G535" s="85">
        <v>2342</v>
      </c>
      <c r="H535" s="11" t="s">
        <v>558</v>
      </c>
      <c r="I535" s="23" t="s">
        <v>577</v>
      </c>
      <c r="J535" s="371">
        <v>49.4</v>
      </c>
      <c r="K535" s="77">
        <v>4.38</v>
      </c>
      <c r="L535" s="77">
        <v>12.2</v>
      </c>
      <c r="N535" s="365">
        <f t="shared" si="168"/>
        <v>65.98</v>
      </c>
      <c r="O535" s="343">
        <f t="shared" si="169"/>
        <v>49.4</v>
      </c>
      <c r="P535" s="195">
        <v>2</v>
      </c>
      <c r="Q535" s="326">
        <f>IFERROR(VLOOKUP($G535,主力整理!$A$2:$G$2301,6,0),"0")</f>
        <v>1</v>
      </c>
      <c r="R535" s="111">
        <v>8</v>
      </c>
      <c r="T535" s="339">
        <f t="shared" si="170"/>
        <v>11</v>
      </c>
      <c r="V535" s="371">
        <v>15.69</v>
      </c>
      <c r="W535" s="35">
        <v>0</v>
      </c>
      <c r="X535" s="100">
        <v>1.42</v>
      </c>
      <c r="Y535" s="37" t="str">
        <f>RTD("money.excel",,"2342","Price")</f>
        <v>無資料</v>
      </c>
      <c r="Z535" s="69"/>
      <c r="AA535" s="16" t="e">
        <f t="shared" si="171"/>
        <v>#VALUE!</v>
      </c>
      <c r="AB535" s="3" t="e">
        <f t="shared" si="172"/>
        <v>#VALUE!</v>
      </c>
      <c r="AC535" s="177" t="s">
        <v>2648</v>
      </c>
      <c r="AD535" s="23" t="s">
        <v>577</v>
      </c>
      <c r="AG535" s="34">
        <f t="shared" si="173"/>
        <v>0</v>
      </c>
      <c r="AH535" s="44" t="s">
        <v>2795</v>
      </c>
      <c r="AI535" s="131"/>
      <c r="AK535" s="66">
        <f t="shared" si="176"/>
        <v>0</v>
      </c>
      <c r="AL535" s="174">
        <f t="shared" si="177"/>
        <v>0</v>
      </c>
      <c r="AM535" s="346">
        <f>RTD("money.excel",,$G535,"PredictVolume")</f>
        <v>0</v>
      </c>
      <c r="AN535" s="272">
        <f>RTD("money.excel",,$G535,"CumulativeVolume")</f>
        <v>0</v>
      </c>
      <c r="AO535" s="284"/>
    </row>
    <row r="536" spans="1:41">
      <c r="A536" s="151" t="s">
        <v>2972</v>
      </c>
      <c r="B536" s="85">
        <v>-30</v>
      </c>
      <c r="C536" s="85">
        <v>-26</v>
      </c>
      <c r="D536" s="84">
        <v>2</v>
      </c>
      <c r="E536" s="84">
        <v>67</v>
      </c>
      <c r="F536" s="7">
        <v>2.5299999999999998</v>
      </c>
      <c r="G536" s="85">
        <v>2344</v>
      </c>
      <c r="H536" s="11" t="s">
        <v>558</v>
      </c>
      <c r="I536" s="23" t="s">
        <v>83</v>
      </c>
      <c r="J536" s="77">
        <v>59.33</v>
      </c>
      <c r="K536" s="77">
        <v>20.66</v>
      </c>
      <c r="L536" s="77">
        <v>11.95</v>
      </c>
      <c r="N536" s="365">
        <f t="shared" si="168"/>
        <v>91.94</v>
      </c>
      <c r="O536" s="343">
        <f t="shared" si="169"/>
        <v>59.33</v>
      </c>
      <c r="P536" s="195">
        <v>25</v>
      </c>
      <c r="Q536" s="326">
        <f>IFERROR(VLOOKUP($G536,主力整理!$A$2:$G$2301,6,0),"0")</f>
        <v>7</v>
      </c>
      <c r="R536" s="111">
        <v>11</v>
      </c>
      <c r="T536" s="339">
        <f t="shared" si="170"/>
        <v>43</v>
      </c>
      <c r="V536" s="371">
        <v>2.2200000000000002</v>
      </c>
      <c r="W536" s="35">
        <v>0.2</v>
      </c>
      <c r="X536" s="100">
        <v>0.33</v>
      </c>
      <c r="Y536" s="37" t="str">
        <f>RTD("money.excel",,"2344","Price")</f>
        <v>無資料</v>
      </c>
      <c r="Z536" s="69"/>
      <c r="AA536" s="16" t="e">
        <f t="shared" si="171"/>
        <v>#VALUE!</v>
      </c>
      <c r="AB536" s="3" t="e">
        <f t="shared" si="172"/>
        <v>#VALUE!</v>
      </c>
      <c r="AC536" s="177" t="s">
        <v>2648</v>
      </c>
      <c r="AD536" s="23" t="s">
        <v>83</v>
      </c>
      <c r="AG536" s="34">
        <f t="shared" si="173"/>
        <v>0</v>
      </c>
      <c r="AH536" s="125" t="s">
        <v>2147</v>
      </c>
      <c r="AI536" s="131"/>
      <c r="AK536" s="66">
        <f t="shared" si="176"/>
        <v>0</v>
      </c>
      <c r="AL536" s="174">
        <f t="shared" si="177"/>
        <v>0</v>
      </c>
      <c r="AM536" s="346">
        <f>RTD("money.excel",,$G536,"PredictVolume")</f>
        <v>0</v>
      </c>
      <c r="AN536" s="272">
        <f>RTD("money.excel",,$G536,"CumulativeVolume")</f>
        <v>0</v>
      </c>
      <c r="AO536" s="284"/>
    </row>
    <row r="537" spans="1:41">
      <c r="A537" s="151" t="s">
        <v>2650</v>
      </c>
      <c r="B537" s="85">
        <v>-27</v>
      </c>
      <c r="C537" s="85">
        <v>-19</v>
      </c>
      <c r="D537" s="85">
        <v>-18</v>
      </c>
      <c r="E537" s="84">
        <v>22</v>
      </c>
      <c r="F537" s="7">
        <v>7.12</v>
      </c>
      <c r="G537" s="85">
        <v>2351</v>
      </c>
      <c r="H537" s="53" t="s">
        <v>558</v>
      </c>
      <c r="I537" s="23" t="s">
        <v>119</v>
      </c>
      <c r="J537" s="371">
        <v>58.88</v>
      </c>
      <c r="K537" s="77">
        <v>16.670000000000002</v>
      </c>
      <c r="L537" s="77">
        <v>10.49</v>
      </c>
      <c r="N537" s="365">
        <f t="shared" si="168"/>
        <v>86.04</v>
      </c>
      <c r="O537" s="343">
        <f t="shared" si="169"/>
        <v>58.88</v>
      </c>
      <c r="P537" s="195">
        <v>7</v>
      </c>
      <c r="Q537" s="326">
        <f>IFERROR(VLOOKUP($G537,主力整理!$A$2:$G$2301,6,0),"0")</f>
        <v>5</v>
      </c>
      <c r="R537" s="111">
        <v>6</v>
      </c>
      <c r="T537" s="339">
        <f t="shared" si="170"/>
        <v>18</v>
      </c>
      <c r="V537" s="371">
        <v>0.24</v>
      </c>
      <c r="W537" s="35">
        <v>1.8</v>
      </c>
      <c r="X537" s="59">
        <v>1.92</v>
      </c>
      <c r="Y537" s="37" t="str">
        <f>RTD("money.excel",,"2351","Price")</f>
        <v>無資料</v>
      </c>
      <c r="Z537" s="69"/>
      <c r="AA537" s="16" t="e">
        <f t="shared" si="171"/>
        <v>#VALUE!</v>
      </c>
      <c r="AB537" s="3" t="e">
        <f t="shared" si="172"/>
        <v>#VALUE!</v>
      </c>
      <c r="AC537" s="177" t="s">
        <v>2648</v>
      </c>
      <c r="AD537" s="23" t="s">
        <v>119</v>
      </c>
      <c r="AG537" s="34">
        <f t="shared" si="173"/>
        <v>0</v>
      </c>
      <c r="AH537" s="125" t="s">
        <v>5358</v>
      </c>
      <c r="AI537" s="284"/>
      <c r="AK537" s="66">
        <f t="shared" si="176"/>
        <v>0</v>
      </c>
      <c r="AL537" s="174">
        <f t="shared" si="177"/>
        <v>0</v>
      </c>
      <c r="AM537" s="346">
        <f>RTD("money.excel",,$G537,"PredictVolume")</f>
        <v>0</v>
      </c>
      <c r="AN537" s="272">
        <f>RTD("money.excel",,$G537,"CumulativeVolume")</f>
        <v>0</v>
      </c>
      <c r="AO537" s="284"/>
    </row>
    <row r="538" spans="1:41">
      <c r="A538" s="151" t="s">
        <v>4780</v>
      </c>
      <c r="B538" s="85">
        <v>-145</v>
      </c>
      <c r="C538" s="84">
        <v>6</v>
      </c>
      <c r="D538" s="84">
        <v>4</v>
      </c>
      <c r="E538" s="85">
        <v>-18</v>
      </c>
      <c r="F538" s="77">
        <v>-144</v>
      </c>
      <c r="G538" s="85">
        <v>2363</v>
      </c>
      <c r="H538" s="4" t="s">
        <v>558</v>
      </c>
      <c r="I538" s="23" t="s">
        <v>582</v>
      </c>
      <c r="J538" s="371">
        <v>41.83</v>
      </c>
      <c r="K538" s="77">
        <v>9.41</v>
      </c>
      <c r="L538" s="371">
        <v>8.9700000000000006</v>
      </c>
      <c r="N538" s="365">
        <f t="shared" si="168"/>
        <v>60.209999999999994</v>
      </c>
      <c r="O538" s="343">
        <f t="shared" si="169"/>
        <v>41.83</v>
      </c>
      <c r="P538" s="195">
        <v>1</v>
      </c>
      <c r="Q538" s="326">
        <f>IFERROR(VLOOKUP($G538,主力整理!$A$2:$G$2301,6,0),"0")</f>
        <v>3</v>
      </c>
      <c r="R538" s="111">
        <v>15</v>
      </c>
      <c r="T538" s="339">
        <f t="shared" si="170"/>
        <v>19</v>
      </c>
      <c r="V538" s="371">
        <v>22.53</v>
      </c>
      <c r="W538" s="35">
        <v>1.6</v>
      </c>
      <c r="X538" s="100">
        <v>-0.52</v>
      </c>
      <c r="Y538" s="37" t="str">
        <f>RTD("money.excel",,"2363","Price")</f>
        <v>無資料</v>
      </c>
      <c r="Z538" s="69"/>
      <c r="AA538" s="16" t="e">
        <f t="shared" si="171"/>
        <v>#VALUE!</v>
      </c>
      <c r="AB538" s="3" t="e">
        <f t="shared" si="172"/>
        <v>#VALUE!</v>
      </c>
      <c r="AC538" s="177" t="s">
        <v>2648</v>
      </c>
      <c r="AD538" s="23" t="s">
        <v>582</v>
      </c>
      <c r="AG538" s="34">
        <f t="shared" si="173"/>
        <v>0</v>
      </c>
      <c r="AH538" s="44" t="s">
        <v>3725</v>
      </c>
      <c r="AI538" s="131"/>
      <c r="AK538" s="66">
        <f t="shared" si="176"/>
        <v>0</v>
      </c>
      <c r="AL538" s="174">
        <f t="shared" si="177"/>
        <v>0</v>
      </c>
      <c r="AM538" s="346">
        <f>RTD("money.excel",,$G538,"PredictVolume")</f>
        <v>0</v>
      </c>
      <c r="AN538" s="272">
        <f>RTD("money.excel",,$G538,"CumulativeVolume")</f>
        <v>0</v>
      </c>
      <c r="AO538" s="284"/>
    </row>
    <row r="539" spans="1:41">
      <c r="A539" s="151" t="s">
        <v>3314</v>
      </c>
      <c r="B539" s="85">
        <v>-182</v>
      </c>
      <c r="C539" s="85">
        <v>-110</v>
      </c>
      <c r="D539" s="84">
        <v>20</v>
      </c>
      <c r="E539" s="84">
        <v>55</v>
      </c>
      <c r="F539" s="7">
        <v>-12.28</v>
      </c>
      <c r="G539" s="85">
        <v>2369</v>
      </c>
      <c r="H539" s="11" t="s">
        <v>558</v>
      </c>
      <c r="I539" s="23" t="s">
        <v>170</v>
      </c>
      <c r="J539" s="77">
        <v>37.28</v>
      </c>
      <c r="K539" s="77">
        <v>15.27</v>
      </c>
      <c r="L539" s="371">
        <v>5.99</v>
      </c>
      <c r="N539" s="365">
        <f t="shared" si="168"/>
        <v>58.54</v>
      </c>
      <c r="O539" s="343">
        <f t="shared" si="169"/>
        <v>37.28</v>
      </c>
      <c r="P539" s="195">
        <v>12</v>
      </c>
      <c r="Q539" s="326">
        <f>IFERROR(VLOOKUP($G539,主力整理!$A$2:$G$2301,6,0),"0")</f>
        <v>8</v>
      </c>
      <c r="R539" s="111">
        <v>5</v>
      </c>
      <c r="T539" s="339">
        <f t="shared" si="170"/>
        <v>25</v>
      </c>
      <c r="V539" s="371">
        <v>4.6500000000000004</v>
      </c>
      <c r="W539" s="35">
        <v>0</v>
      </c>
      <c r="X539" s="100">
        <v>-0.44</v>
      </c>
      <c r="Y539" s="37" t="str">
        <f>RTD("money.excel",,"2369","Price")</f>
        <v>無資料</v>
      </c>
      <c r="Z539" s="69"/>
      <c r="AA539" s="16" t="e">
        <f t="shared" si="171"/>
        <v>#VALUE!</v>
      </c>
      <c r="AB539" s="3" t="e">
        <f t="shared" si="172"/>
        <v>#VALUE!</v>
      </c>
      <c r="AC539" s="177" t="s">
        <v>2648</v>
      </c>
      <c r="AD539" s="23" t="s">
        <v>170</v>
      </c>
      <c r="AG539" s="34">
        <f t="shared" si="173"/>
        <v>0</v>
      </c>
      <c r="AH539" s="125" t="s">
        <v>3714</v>
      </c>
      <c r="AI539" s="284"/>
      <c r="AK539" s="66">
        <f t="shared" si="176"/>
        <v>0</v>
      </c>
      <c r="AL539" s="174">
        <f t="shared" si="177"/>
        <v>0</v>
      </c>
      <c r="AM539" s="346">
        <f>RTD("money.excel",,$G539,"PredictVolume")</f>
        <v>0</v>
      </c>
      <c r="AN539" s="272">
        <f>RTD("money.excel",,$G539,"CumulativeVolume")</f>
        <v>0</v>
      </c>
      <c r="AO539" s="284"/>
    </row>
    <row r="540" spans="1:41">
      <c r="A540" s="135" t="s">
        <v>3260</v>
      </c>
      <c r="B540" s="84">
        <v>19</v>
      </c>
      <c r="C540" s="84">
        <v>31</v>
      </c>
      <c r="D540" s="84">
        <v>20</v>
      </c>
      <c r="E540" s="84">
        <v>53</v>
      </c>
      <c r="F540" s="59">
        <v>10.76</v>
      </c>
      <c r="G540" s="85">
        <v>2379</v>
      </c>
      <c r="H540" s="11" t="s">
        <v>558</v>
      </c>
      <c r="I540" s="23" t="s">
        <v>46</v>
      </c>
      <c r="J540" s="371">
        <v>58.75</v>
      </c>
      <c r="K540" s="77">
        <v>65.38</v>
      </c>
      <c r="L540" s="371">
        <v>2.31</v>
      </c>
      <c r="N540" s="365">
        <f t="shared" si="168"/>
        <v>126.44</v>
      </c>
      <c r="O540" s="343">
        <f t="shared" si="169"/>
        <v>58.75</v>
      </c>
      <c r="P540" s="195">
        <v>25</v>
      </c>
      <c r="Q540" s="326">
        <f>IFERROR(VLOOKUP($G540,主力整理!$A$2:$G$2301,6,0),"0")</f>
        <v>4</v>
      </c>
      <c r="R540" s="111">
        <v>1</v>
      </c>
      <c r="T540" s="339">
        <f t="shared" si="170"/>
        <v>30</v>
      </c>
      <c r="V540" s="371">
        <v>0.31</v>
      </c>
      <c r="W540" s="69">
        <v>11</v>
      </c>
      <c r="X540" s="59">
        <v>17.239999999999998</v>
      </c>
      <c r="Y540" s="14" t="str">
        <f>RTD("money.excel",,"2379","Price")</f>
        <v>無資料</v>
      </c>
      <c r="Z540" s="69"/>
      <c r="AA540" s="16" t="e">
        <f t="shared" si="171"/>
        <v>#VALUE!</v>
      </c>
      <c r="AB540" s="3" t="e">
        <f t="shared" si="172"/>
        <v>#VALUE!</v>
      </c>
      <c r="AC540" s="177" t="s">
        <v>2929</v>
      </c>
      <c r="AD540" s="23" t="s">
        <v>46</v>
      </c>
      <c r="AG540" s="34">
        <f t="shared" si="173"/>
        <v>0</v>
      </c>
      <c r="AH540" s="126" t="s">
        <v>4027</v>
      </c>
      <c r="AI540" s="131"/>
      <c r="AK540" s="66">
        <f t="shared" si="176"/>
        <v>0</v>
      </c>
      <c r="AL540" s="174">
        <f t="shared" si="177"/>
        <v>0</v>
      </c>
      <c r="AM540" s="346">
        <f>RTD("money.excel",,$G540,"PredictVolume")</f>
        <v>0</v>
      </c>
      <c r="AN540" s="272">
        <f>RTD("money.excel",,$G540,"CumulativeVolume")</f>
        <v>0</v>
      </c>
      <c r="AO540" s="284"/>
    </row>
    <row r="541" spans="1:41">
      <c r="A541" s="151" t="s">
        <v>4781</v>
      </c>
      <c r="B541" s="98">
        <v>5535</v>
      </c>
      <c r="C541" s="85">
        <v>-709</v>
      </c>
      <c r="D541" s="85">
        <v>-14</v>
      </c>
      <c r="E541" s="84">
        <v>4</v>
      </c>
      <c r="F541" s="7">
        <v>-31.32</v>
      </c>
      <c r="G541" s="85">
        <v>2388</v>
      </c>
      <c r="H541" s="11" t="s">
        <v>558</v>
      </c>
      <c r="I541" s="23" t="s">
        <v>524</v>
      </c>
      <c r="J541" s="371">
        <v>70.94</v>
      </c>
      <c r="K541" s="371">
        <v>8.36</v>
      </c>
      <c r="L541" s="371">
        <v>3.8</v>
      </c>
      <c r="N541" s="365">
        <f t="shared" si="168"/>
        <v>83.1</v>
      </c>
      <c r="O541" s="343">
        <f t="shared" si="169"/>
        <v>70.94</v>
      </c>
      <c r="P541" s="195">
        <v>1</v>
      </c>
      <c r="Q541" s="326">
        <f>IFERROR(VLOOKUP($G541,主力整理!$A$2:$G$2301,6,0),"0")</f>
        <v>1</v>
      </c>
      <c r="R541" s="111">
        <v>14</v>
      </c>
      <c r="T541" s="339">
        <f t="shared" si="170"/>
        <v>16</v>
      </c>
      <c r="V541" s="371">
        <v>3.15</v>
      </c>
      <c r="W541" s="35">
        <v>0.8</v>
      </c>
      <c r="X541" s="59">
        <v>12.94</v>
      </c>
      <c r="Y541" s="37" t="str">
        <f>RTD("money.excel",,"2388","Price")</f>
        <v>無資料</v>
      </c>
      <c r="Z541" s="69"/>
      <c r="AA541" s="16" t="e">
        <f t="shared" si="171"/>
        <v>#VALUE!</v>
      </c>
      <c r="AB541" s="3" t="e">
        <f t="shared" si="172"/>
        <v>#VALUE!</v>
      </c>
      <c r="AC541" s="177" t="s">
        <v>2648</v>
      </c>
      <c r="AD541" s="23" t="s">
        <v>524</v>
      </c>
      <c r="AG541" s="34">
        <f t="shared" si="173"/>
        <v>0</v>
      </c>
      <c r="AH541" s="44" t="s">
        <v>3292</v>
      </c>
      <c r="AI541" s="131"/>
      <c r="AK541" s="66">
        <f t="shared" si="176"/>
        <v>0</v>
      </c>
      <c r="AL541" s="174">
        <f t="shared" si="177"/>
        <v>0</v>
      </c>
      <c r="AM541" s="346">
        <f>RTD("money.excel",,$G541,"PredictVolume")</f>
        <v>0</v>
      </c>
      <c r="AN541" s="272">
        <f>RTD("money.excel",,$G541,"CumulativeVolume")</f>
        <v>0</v>
      </c>
      <c r="AO541" s="284"/>
    </row>
    <row r="542" spans="1:41">
      <c r="A542" s="151" t="s">
        <v>4782</v>
      </c>
      <c r="B542" s="96">
        <v>118</v>
      </c>
      <c r="C542" s="96">
        <v>197</v>
      </c>
      <c r="D542" s="96">
        <v>-1</v>
      </c>
      <c r="E542" s="96">
        <v>100</v>
      </c>
      <c r="F542" s="7">
        <v>6.83</v>
      </c>
      <c r="G542" s="85">
        <v>2401</v>
      </c>
      <c r="H542" s="11" t="s">
        <v>558</v>
      </c>
      <c r="I542" s="23" t="s">
        <v>190</v>
      </c>
      <c r="J542" s="77">
        <v>46.62</v>
      </c>
      <c r="K542" s="77">
        <v>13.14</v>
      </c>
      <c r="L542" s="77">
        <v>8.41</v>
      </c>
      <c r="N542" s="365">
        <f t="shared" si="168"/>
        <v>68.17</v>
      </c>
      <c r="O542" s="343">
        <f t="shared" si="169"/>
        <v>46.62</v>
      </c>
      <c r="P542" s="195">
        <v>3</v>
      </c>
      <c r="Q542" s="326">
        <f>IFERROR(VLOOKUP($G542,主力整理!$A$2:$G$2301,6,0),"0")</f>
        <v>3</v>
      </c>
      <c r="R542" s="111">
        <v>7</v>
      </c>
      <c r="T542" s="339">
        <f t="shared" si="170"/>
        <v>13</v>
      </c>
      <c r="V542" s="371">
        <v>17.59</v>
      </c>
      <c r="W542" s="35">
        <v>0.53</v>
      </c>
      <c r="X542" s="100">
        <v>0.55000000000000004</v>
      </c>
      <c r="Y542" s="37" t="str">
        <f>RTD("money.excel",,"2401","Price")</f>
        <v>無資料</v>
      </c>
      <c r="Z542" s="69"/>
      <c r="AA542" s="16" t="e">
        <f t="shared" si="171"/>
        <v>#VALUE!</v>
      </c>
      <c r="AB542" s="3" t="e">
        <f t="shared" si="172"/>
        <v>#VALUE!</v>
      </c>
      <c r="AC542" s="177" t="s">
        <v>2648</v>
      </c>
      <c r="AD542" s="23" t="s">
        <v>190</v>
      </c>
      <c r="AG542" s="34">
        <f t="shared" si="173"/>
        <v>0</v>
      </c>
      <c r="AH542" s="125" t="s">
        <v>2116</v>
      </c>
      <c r="AI542" s="131"/>
      <c r="AK542" s="66">
        <f t="shared" si="176"/>
        <v>0</v>
      </c>
      <c r="AL542" s="174">
        <f t="shared" si="177"/>
        <v>0</v>
      </c>
      <c r="AM542" s="346">
        <f>RTD("money.excel",,$G542,"PredictVolume")</f>
        <v>0</v>
      </c>
      <c r="AN542" s="272">
        <f>RTD("money.excel",,$G542,"CumulativeVolume")</f>
        <v>0</v>
      </c>
      <c r="AO542" s="284"/>
    </row>
    <row r="543" spans="1:41">
      <c r="A543" s="135" t="s">
        <v>3154</v>
      </c>
      <c r="B543" s="84">
        <v>142</v>
      </c>
      <c r="C543" s="84">
        <v>168</v>
      </c>
      <c r="D543" s="85">
        <v>-6</v>
      </c>
      <c r="E543" s="84">
        <v>50</v>
      </c>
      <c r="F543" s="59">
        <v>29.85</v>
      </c>
      <c r="G543" s="85">
        <v>2408</v>
      </c>
      <c r="H543" s="11" t="s">
        <v>558</v>
      </c>
      <c r="I543" s="23" t="s">
        <v>383</v>
      </c>
      <c r="J543" s="77">
        <v>82.93</v>
      </c>
      <c r="K543" s="77">
        <v>20.48</v>
      </c>
      <c r="L543" s="371">
        <v>2.2799999999999998</v>
      </c>
      <c r="N543" s="365">
        <f t="shared" si="168"/>
        <v>105.69000000000001</v>
      </c>
      <c r="O543" s="343">
        <f t="shared" si="169"/>
        <v>82.93</v>
      </c>
      <c r="P543" s="195">
        <v>63</v>
      </c>
      <c r="Q543" s="326">
        <v>19</v>
      </c>
      <c r="R543" s="111">
        <v>1</v>
      </c>
      <c r="S543" s="51">
        <v>19</v>
      </c>
      <c r="T543" s="339">
        <f t="shared" si="170"/>
        <v>102</v>
      </c>
      <c r="V543" s="371">
        <v>20.7</v>
      </c>
      <c r="W543" s="35">
        <v>1.3</v>
      </c>
      <c r="X543" s="59">
        <v>5.62</v>
      </c>
      <c r="Y543" s="37" t="str">
        <f>RTD("money.excel",,"2408","Price")</f>
        <v>無資料</v>
      </c>
      <c r="Z543" s="69"/>
      <c r="AA543" s="16" t="e">
        <f t="shared" si="171"/>
        <v>#VALUE!</v>
      </c>
      <c r="AB543" s="3" t="e">
        <f t="shared" si="172"/>
        <v>#VALUE!</v>
      </c>
      <c r="AC543" s="177" t="s">
        <v>2648</v>
      </c>
      <c r="AD543" s="23" t="s">
        <v>383</v>
      </c>
      <c r="AG543" s="34">
        <f t="shared" si="173"/>
        <v>0</v>
      </c>
      <c r="AH543" s="126" t="s">
        <v>4026</v>
      </c>
      <c r="AI543" s="131"/>
      <c r="AK543" s="66">
        <f t="shared" si="176"/>
        <v>0</v>
      </c>
      <c r="AL543" s="174">
        <f t="shared" si="177"/>
        <v>0</v>
      </c>
      <c r="AM543" s="346">
        <f>RTD("money.excel",,$G543,"PredictVolume")</f>
        <v>0</v>
      </c>
      <c r="AN543" s="272">
        <f>RTD("money.excel",,$G543,"CumulativeVolume")</f>
        <v>0</v>
      </c>
      <c r="AO543" s="284"/>
    </row>
    <row r="544" spans="1:41">
      <c r="A544" s="151" t="s">
        <v>4604</v>
      </c>
      <c r="B544" s="96">
        <v>69</v>
      </c>
      <c r="C544" s="96">
        <v>62</v>
      </c>
      <c r="D544" s="96">
        <v>-5</v>
      </c>
      <c r="E544" s="96">
        <v>32</v>
      </c>
      <c r="F544" s="7">
        <v>-55.57</v>
      </c>
      <c r="G544" s="85">
        <v>2434</v>
      </c>
      <c r="H544" s="11" t="s">
        <v>558</v>
      </c>
      <c r="I544" s="23" t="s">
        <v>624</v>
      </c>
      <c r="J544" s="77">
        <v>57.56</v>
      </c>
      <c r="K544" s="77">
        <v>1.17</v>
      </c>
      <c r="N544" s="365">
        <f t="shared" si="168"/>
        <v>58.730000000000004</v>
      </c>
      <c r="O544" s="343">
        <f t="shared" si="169"/>
        <v>57.56</v>
      </c>
      <c r="P544" s="195" t="s">
        <v>5554</v>
      </c>
      <c r="Q544" s="326" t="str">
        <f>IFERROR(VLOOKUP($G544,主力整理!$A$2:$G$2301,6,0),"0")</f>
        <v>0</v>
      </c>
      <c r="R544" s="111">
        <v>4</v>
      </c>
      <c r="T544" s="339">
        <f t="shared" si="170"/>
        <v>4</v>
      </c>
      <c r="V544" s="371">
        <v>28.52</v>
      </c>
      <c r="W544" s="35">
        <v>0</v>
      </c>
      <c r="X544" s="100">
        <v>-0.14000000000000001</v>
      </c>
      <c r="Y544" s="14" t="str">
        <f>RTD("money.excel",,"2434","Price")</f>
        <v>無資料</v>
      </c>
      <c r="Z544" s="69"/>
      <c r="AA544" s="16" t="e">
        <f t="shared" si="171"/>
        <v>#VALUE!</v>
      </c>
      <c r="AB544" s="3" t="e">
        <f t="shared" si="172"/>
        <v>#VALUE!</v>
      </c>
      <c r="AD544" s="23" t="s">
        <v>624</v>
      </c>
      <c r="AG544" s="34">
        <f t="shared" si="173"/>
        <v>0</v>
      </c>
      <c r="AH544" s="44" t="s">
        <v>3491</v>
      </c>
      <c r="AI544" s="284"/>
      <c r="AK544" s="66">
        <f t="shared" si="176"/>
        <v>0</v>
      </c>
      <c r="AL544" s="174">
        <f t="shared" si="177"/>
        <v>0</v>
      </c>
      <c r="AM544" s="346">
        <f>RTD("money.excel",,$G544,"PredictVolume")</f>
        <v>0</v>
      </c>
      <c r="AN544" s="272">
        <f>RTD("money.excel",,$G544,"CumulativeVolume")</f>
        <v>0</v>
      </c>
      <c r="AO544" s="284"/>
    </row>
    <row r="545" spans="1:41">
      <c r="A545" s="151" t="s">
        <v>2590</v>
      </c>
      <c r="B545" s="85">
        <v>-29</v>
      </c>
      <c r="C545" s="84">
        <v>71</v>
      </c>
      <c r="D545" s="84">
        <v>12</v>
      </c>
      <c r="E545" s="84">
        <v>29</v>
      </c>
      <c r="F545" s="7">
        <v>4.97</v>
      </c>
      <c r="G545" s="85">
        <v>2436</v>
      </c>
      <c r="H545" s="11" t="s">
        <v>558</v>
      </c>
      <c r="I545" s="23" t="s">
        <v>222</v>
      </c>
      <c r="J545" s="77">
        <v>30.76</v>
      </c>
      <c r="K545" s="371">
        <v>10.87</v>
      </c>
      <c r="L545" s="77">
        <v>36.549999999999997</v>
      </c>
      <c r="N545" s="365">
        <f t="shared" si="168"/>
        <v>78.180000000000007</v>
      </c>
      <c r="O545" s="343">
        <f t="shared" si="169"/>
        <v>30.76</v>
      </c>
      <c r="P545" s="195">
        <v>15</v>
      </c>
      <c r="Q545" s="326">
        <f>IFERROR(VLOOKUP($G545,主力整理!$A$2:$G$2301,6,0),"0")</f>
        <v>1</v>
      </c>
      <c r="R545" s="111">
        <v>10</v>
      </c>
      <c r="T545" s="339">
        <f t="shared" si="170"/>
        <v>26</v>
      </c>
      <c r="V545" s="371">
        <v>0.87</v>
      </c>
      <c r="W545" s="35">
        <v>1.6</v>
      </c>
      <c r="X545" s="100">
        <v>1.93</v>
      </c>
      <c r="Y545" s="37" t="str">
        <f>RTD("money.excel",,"2436","Price")</f>
        <v>無資料</v>
      </c>
      <c r="Z545" s="69"/>
      <c r="AA545" s="16" t="e">
        <f t="shared" si="171"/>
        <v>#VALUE!</v>
      </c>
      <c r="AB545" s="3" t="e">
        <f t="shared" si="172"/>
        <v>#VALUE!</v>
      </c>
      <c r="AC545" s="177" t="s">
        <v>2648</v>
      </c>
      <c r="AD545" s="23" t="s">
        <v>222</v>
      </c>
      <c r="AG545" s="34">
        <f t="shared" si="173"/>
        <v>0</v>
      </c>
      <c r="AH545" s="44" t="s">
        <v>3503</v>
      </c>
      <c r="AI545" s="131"/>
      <c r="AK545" s="66">
        <f t="shared" si="176"/>
        <v>0</v>
      </c>
      <c r="AL545" s="174">
        <f t="shared" si="177"/>
        <v>0</v>
      </c>
      <c r="AM545" s="346">
        <f>RTD("money.excel",,$G545,"PredictVolume")</f>
        <v>0</v>
      </c>
      <c r="AN545" s="272">
        <f>RTD("money.excel",,$G545,"CumulativeVolume")</f>
        <v>0</v>
      </c>
      <c r="AO545" s="284"/>
    </row>
    <row r="546" spans="1:41">
      <c r="A546" s="135" t="s">
        <v>3038</v>
      </c>
      <c r="B546" s="84">
        <v>36</v>
      </c>
      <c r="C546" s="84">
        <v>36</v>
      </c>
      <c r="D546" s="84">
        <v>0</v>
      </c>
      <c r="E546" s="84">
        <v>25</v>
      </c>
      <c r="F546" s="59">
        <v>21.78</v>
      </c>
      <c r="G546" s="85">
        <v>2441</v>
      </c>
      <c r="H546" s="11" t="s">
        <v>558</v>
      </c>
      <c r="I546" s="23" t="s">
        <v>505</v>
      </c>
      <c r="J546" s="77">
        <v>74.75</v>
      </c>
      <c r="K546" s="371">
        <v>15.57</v>
      </c>
      <c r="L546" s="371">
        <v>0.93</v>
      </c>
      <c r="N546" s="365">
        <f t="shared" si="168"/>
        <v>91.25</v>
      </c>
      <c r="O546" s="343">
        <f t="shared" si="169"/>
        <v>74.75</v>
      </c>
      <c r="P546" s="195">
        <v>12</v>
      </c>
      <c r="Q546" s="326">
        <f>IFERROR(VLOOKUP($G546,主力整理!$A$2:$G$2301,6,0),"0")</f>
        <v>6</v>
      </c>
      <c r="R546" s="111">
        <v>1</v>
      </c>
      <c r="T546" s="339">
        <f t="shared" si="170"/>
        <v>19</v>
      </c>
      <c r="V546" s="371">
        <v>0</v>
      </c>
      <c r="W546" s="69">
        <v>3.1</v>
      </c>
      <c r="X546" s="100">
        <v>4.68</v>
      </c>
      <c r="Y546" s="37" t="str">
        <f>RTD("money.excel",,"2441","Price")</f>
        <v>無資料</v>
      </c>
      <c r="Z546" s="69"/>
      <c r="AA546" s="16" t="e">
        <f t="shared" si="171"/>
        <v>#VALUE!</v>
      </c>
      <c r="AB546" s="3" t="e">
        <f t="shared" si="172"/>
        <v>#VALUE!</v>
      </c>
      <c r="AC546" s="177" t="s">
        <v>2929</v>
      </c>
      <c r="AD546" s="23" t="s">
        <v>505</v>
      </c>
      <c r="AG546" s="34">
        <f t="shared" si="173"/>
        <v>0</v>
      </c>
      <c r="AH546" s="126" t="s">
        <v>4906</v>
      </c>
      <c r="AI546" s="131"/>
      <c r="AK546" s="66">
        <f t="shared" si="176"/>
        <v>0</v>
      </c>
      <c r="AL546" s="174">
        <f t="shared" si="177"/>
        <v>0</v>
      </c>
      <c r="AM546" s="346">
        <f>RTD("money.excel",,$G546,"PredictVolume")</f>
        <v>0</v>
      </c>
      <c r="AN546" s="272">
        <f>RTD("money.excel",,$G546,"CumulativeVolume")</f>
        <v>0</v>
      </c>
      <c r="AO546" s="284"/>
    </row>
    <row r="547" spans="1:41">
      <c r="A547" s="135" t="s">
        <v>2472</v>
      </c>
      <c r="B547" s="84">
        <v>45</v>
      </c>
      <c r="C547" s="84">
        <v>48</v>
      </c>
      <c r="D547" s="85">
        <v>-6</v>
      </c>
      <c r="E547" s="85">
        <v>-5</v>
      </c>
      <c r="F547" s="59">
        <v>17.91</v>
      </c>
      <c r="G547" s="85">
        <v>2449</v>
      </c>
      <c r="H547" s="11" t="s">
        <v>558</v>
      </c>
      <c r="I547" s="23" t="s">
        <v>96</v>
      </c>
      <c r="J547" s="77">
        <v>54.05</v>
      </c>
      <c r="K547" s="77">
        <v>31.09</v>
      </c>
      <c r="L547" s="77">
        <v>7.4</v>
      </c>
      <c r="N547" s="365">
        <f t="shared" si="168"/>
        <v>92.54</v>
      </c>
      <c r="O547" s="343">
        <f t="shared" si="169"/>
        <v>54.05</v>
      </c>
      <c r="P547" s="195">
        <v>21</v>
      </c>
      <c r="Q547" s="326">
        <f>IFERROR(VLOOKUP($G547,主力整理!$A$2:$G$2301,6,0),"0")</f>
        <v>5</v>
      </c>
      <c r="R547" s="111">
        <v>2</v>
      </c>
      <c r="T547" s="339">
        <f t="shared" si="170"/>
        <v>28</v>
      </c>
      <c r="V547" s="371">
        <v>0.21</v>
      </c>
      <c r="W547" s="35">
        <v>2</v>
      </c>
      <c r="X547" s="100">
        <v>2.97</v>
      </c>
      <c r="Y547" s="37" t="str">
        <f>RTD("money.excel",,"2449","Price")</f>
        <v>無資料</v>
      </c>
      <c r="Z547" s="69"/>
      <c r="AA547" s="16" t="e">
        <f t="shared" si="171"/>
        <v>#VALUE!</v>
      </c>
      <c r="AB547" s="3" t="e">
        <f t="shared" si="172"/>
        <v>#VALUE!</v>
      </c>
      <c r="AC547" s="177" t="s">
        <v>2648</v>
      </c>
      <c r="AD547" s="23" t="s">
        <v>96</v>
      </c>
      <c r="AG547" s="34">
        <f t="shared" si="173"/>
        <v>0</v>
      </c>
      <c r="AH547" s="126" t="s">
        <v>3670</v>
      </c>
      <c r="AI547" s="131"/>
      <c r="AK547" s="66">
        <f t="shared" si="176"/>
        <v>0</v>
      </c>
      <c r="AL547" s="174">
        <f t="shared" si="177"/>
        <v>0</v>
      </c>
      <c r="AM547" s="346">
        <f>RTD("money.excel",,$G547,"PredictVolume")</f>
        <v>0</v>
      </c>
      <c r="AN547" s="272">
        <f>RTD("money.excel",,$G547,"CumulativeVolume")</f>
        <v>0</v>
      </c>
      <c r="AO547" s="284"/>
    </row>
    <row r="548" spans="1:41">
      <c r="A548" s="135" t="s">
        <v>2460</v>
      </c>
      <c r="B548" s="84">
        <v>20</v>
      </c>
      <c r="C548" s="84">
        <v>24</v>
      </c>
      <c r="D548" s="85">
        <v>-4</v>
      </c>
      <c r="E548" s="84">
        <v>63</v>
      </c>
      <c r="F548" s="59">
        <v>14.82</v>
      </c>
      <c r="G548" s="85">
        <v>2451</v>
      </c>
      <c r="H548" s="11" t="s">
        <v>558</v>
      </c>
      <c r="I548" s="23" t="s">
        <v>56</v>
      </c>
      <c r="J548" s="371">
        <v>67.23</v>
      </c>
      <c r="K548" s="371">
        <v>15.9</v>
      </c>
      <c r="L548" s="371">
        <v>11.9</v>
      </c>
      <c r="N548" s="365">
        <f t="shared" si="168"/>
        <v>95.030000000000015</v>
      </c>
      <c r="O548" s="343">
        <f t="shared" si="169"/>
        <v>67.23</v>
      </c>
      <c r="P548" s="195" t="s">
        <v>5554</v>
      </c>
      <c r="Q548" s="326" t="str">
        <f>IFERROR(VLOOKUP($G548,主力整理!$A$2:$G$2301,6,0),"0")</f>
        <v>0</v>
      </c>
      <c r="R548" s="111">
        <v>3</v>
      </c>
      <c r="T548" s="339">
        <f t="shared" si="170"/>
        <v>3</v>
      </c>
      <c r="V548" s="371">
        <v>0.03</v>
      </c>
      <c r="W548" s="69">
        <v>3.05</v>
      </c>
      <c r="X548" s="59">
        <v>3.01</v>
      </c>
      <c r="Y548" s="37" t="str">
        <f>RTD("money.excel",,"2451","Price")</f>
        <v>無資料</v>
      </c>
      <c r="Z548" s="69"/>
      <c r="AA548" s="16" t="e">
        <f t="shared" si="171"/>
        <v>#VALUE!</v>
      </c>
      <c r="AB548" s="3" t="e">
        <f t="shared" si="172"/>
        <v>#VALUE!</v>
      </c>
      <c r="AC548" s="177" t="s">
        <v>2700</v>
      </c>
      <c r="AD548" s="23" t="s">
        <v>56</v>
      </c>
      <c r="AG548" s="34">
        <f t="shared" si="173"/>
        <v>0</v>
      </c>
      <c r="AH548" s="126" t="s">
        <v>2131</v>
      </c>
      <c r="AI548" s="131"/>
      <c r="AK548" s="66">
        <f t="shared" si="176"/>
        <v>0</v>
      </c>
      <c r="AL548" s="174">
        <f t="shared" si="177"/>
        <v>0</v>
      </c>
      <c r="AM548" s="346">
        <f>RTD("money.excel",,$G548,"PredictVolume")</f>
        <v>0</v>
      </c>
      <c r="AN548" s="272">
        <f>RTD("money.excel",,$G548,"CumulativeVolume")</f>
        <v>0</v>
      </c>
      <c r="AO548" s="284"/>
    </row>
    <row r="549" spans="1:41">
      <c r="A549" s="135" t="s">
        <v>2879</v>
      </c>
      <c r="B549" s="84">
        <v>57</v>
      </c>
      <c r="C549" s="84">
        <v>70</v>
      </c>
      <c r="D549" s="85">
        <v>-3</v>
      </c>
      <c r="E549" s="84">
        <v>46</v>
      </c>
      <c r="F549" s="59">
        <v>12.34</v>
      </c>
      <c r="G549" s="85">
        <v>2454</v>
      </c>
      <c r="H549" s="4" t="s">
        <v>558</v>
      </c>
      <c r="I549" s="23" t="s">
        <v>14</v>
      </c>
      <c r="J549" s="77">
        <v>69.28</v>
      </c>
      <c r="K549" s="371">
        <v>70.42</v>
      </c>
      <c r="L549" s="77">
        <v>1.94</v>
      </c>
      <c r="N549" s="365">
        <f t="shared" si="168"/>
        <v>141.63999999999999</v>
      </c>
      <c r="O549" s="343">
        <f t="shared" si="169"/>
        <v>69.28</v>
      </c>
      <c r="P549" s="195">
        <v>65</v>
      </c>
      <c r="Q549" s="326">
        <f>IFERROR(VLOOKUP($G549,主力整理!$A$2:$G$2301,6,0),"0")</f>
        <v>8</v>
      </c>
      <c r="R549" s="111">
        <v>2</v>
      </c>
      <c r="T549" s="339">
        <f t="shared" si="170"/>
        <v>75</v>
      </c>
      <c r="V549" s="371">
        <v>0.42</v>
      </c>
      <c r="W549" s="69">
        <v>10.5</v>
      </c>
      <c r="X549" s="59">
        <v>26.02</v>
      </c>
      <c r="Y549" s="14" t="str">
        <f>RTD("money.excel",,"2454","Price")</f>
        <v>無資料</v>
      </c>
      <c r="Z549" s="69"/>
      <c r="AA549" s="16" t="e">
        <f t="shared" si="171"/>
        <v>#VALUE!</v>
      </c>
      <c r="AB549" s="3" t="e">
        <f t="shared" si="172"/>
        <v>#VALUE!</v>
      </c>
      <c r="AC549" s="177" t="s">
        <v>2929</v>
      </c>
      <c r="AD549" s="23" t="s">
        <v>14</v>
      </c>
      <c r="AG549" s="34">
        <f t="shared" si="173"/>
        <v>0</v>
      </c>
      <c r="AH549" s="126" t="s">
        <v>1696</v>
      </c>
      <c r="AI549" s="131"/>
      <c r="AK549" s="66">
        <f t="shared" si="176"/>
        <v>0</v>
      </c>
      <c r="AL549" s="174">
        <f t="shared" si="177"/>
        <v>0</v>
      </c>
      <c r="AM549" s="346">
        <f>RTD("money.excel",,$G549,"PredictVolume")</f>
        <v>0</v>
      </c>
      <c r="AN549" s="272">
        <f>RTD("money.excel",,$G549,"CumulativeVolume")</f>
        <v>0</v>
      </c>
      <c r="AO549" s="284"/>
    </row>
    <row r="550" spans="1:41">
      <c r="A550" s="135" t="s">
        <v>2473</v>
      </c>
      <c r="B550" s="84">
        <v>85</v>
      </c>
      <c r="C550" s="84">
        <v>58</v>
      </c>
      <c r="D550" s="85">
        <v>-15</v>
      </c>
      <c r="E550" s="85">
        <v>-2</v>
      </c>
      <c r="F550" s="59">
        <v>31.99</v>
      </c>
      <c r="G550" s="85">
        <v>2458</v>
      </c>
      <c r="H550" s="4" t="s">
        <v>558</v>
      </c>
      <c r="I550" s="23" t="s">
        <v>113</v>
      </c>
      <c r="J550" s="77">
        <v>45.59</v>
      </c>
      <c r="K550" s="77">
        <v>34.049999999999997</v>
      </c>
      <c r="L550" s="371">
        <v>8.2799999999999994</v>
      </c>
      <c r="N550" s="365">
        <f t="shared" si="168"/>
        <v>87.92</v>
      </c>
      <c r="O550" s="343">
        <f t="shared" si="169"/>
        <v>45.59</v>
      </c>
      <c r="P550" s="195">
        <v>44</v>
      </c>
      <c r="Q550" s="326">
        <v>23</v>
      </c>
      <c r="R550" s="111">
        <v>1</v>
      </c>
      <c r="S550" s="51">
        <v>14</v>
      </c>
      <c r="T550" s="339">
        <f t="shared" si="170"/>
        <v>82</v>
      </c>
      <c r="V550" s="371">
        <v>23.16</v>
      </c>
      <c r="W550" s="69">
        <v>9</v>
      </c>
      <c r="X550" s="100">
        <v>17.100000000000001</v>
      </c>
      <c r="Y550" s="37" t="str">
        <f>RTD("money.excel",,"2458","Price")</f>
        <v>無資料</v>
      </c>
      <c r="Z550" s="69"/>
      <c r="AA550" s="16" t="e">
        <f t="shared" si="171"/>
        <v>#VALUE!</v>
      </c>
      <c r="AB550" s="3" t="e">
        <f t="shared" si="172"/>
        <v>#VALUE!</v>
      </c>
      <c r="AC550" s="177" t="s">
        <v>2929</v>
      </c>
      <c r="AD550" s="23" t="s">
        <v>113</v>
      </c>
      <c r="AG550" s="34">
        <f t="shared" si="173"/>
        <v>0</v>
      </c>
      <c r="AH550" s="126" t="s">
        <v>3725</v>
      </c>
      <c r="AI550" s="131"/>
      <c r="AK550" s="66">
        <f t="shared" si="176"/>
        <v>0</v>
      </c>
      <c r="AL550" s="174">
        <f t="shared" si="177"/>
        <v>0</v>
      </c>
      <c r="AM550" s="346">
        <f>RTD("money.excel",,$G550,"PredictVolume")</f>
        <v>0</v>
      </c>
      <c r="AN550" s="272">
        <f>RTD("money.excel",,$G550,"CumulativeVolume")</f>
        <v>0</v>
      </c>
      <c r="AO550" s="284"/>
    </row>
    <row r="551" spans="1:41">
      <c r="A551" s="151" t="s">
        <v>3091</v>
      </c>
      <c r="B551" s="84">
        <v>98</v>
      </c>
      <c r="C551" s="84">
        <v>58</v>
      </c>
      <c r="D551" s="84">
        <v>6</v>
      </c>
      <c r="E551" s="84">
        <v>27</v>
      </c>
      <c r="F551" s="7">
        <v>9.1999999999999993</v>
      </c>
      <c r="G551" s="85">
        <v>2481</v>
      </c>
      <c r="H551" s="4" t="s">
        <v>558</v>
      </c>
      <c r="I551" s="23" t="s">
        <v>353</v>
      </c>
      <c r="J551" s="77">
        <v>49.41</v>
      </c>
      <c r="K551" s="77">
        <v>22.93</v>
      </c>
      <c r="L551" s="371">
        <v>17.98</v>
      </c>
      <c r="N551" s="365">
        <f t="shared" si="168"/>
        <v>90.320000000000007</v>
      </c>
      <c r="O551" s="343">
        <f t="shared" si="169"/>
        <v>49.41</v>
      </c>
      <c r="P551" s="195">
        <v>12</v>
      </c>
      <c r="Q551" s="326">
        <f>IFERROR(VLOOKUP($G551,主力整理!$A$2:$G$2301,6,0),"0")</f>
        <v>4</v>
      </c>
      <c r="R551" s="111">
        <v>7</v>
      </c>
      <c r="T551" s="339">
        <f t="shared" si="170"/>
        <v>23</v>
      </c>
      <c r="V551" s="371">
        <v>3.04</v>
      </c>
      <c r="W551" s="35">
        <v>1.5</v>
      </c>
      <c r="X551" s="59">
        <v>2.7</v>
      </c>
      <c r="Y551" s="37" t="str">
        <f>RTD("money.excel",,"2481","Price")</f>
        <v>無資料</v>
      </c>
      <c r="Z551" s="69"/>
      <c r="AA551" s="16" t="e">
        <f t="shared" si="171"/>
        <v>#VALUE!</v>
      </c>
      <c r="AB551" s="3" t="e">
        <f t="shared" si="172"/>
        <v>#VALUE!</v>
      </c>
      <c r="AC551" s="177" t="s">
        <v>2648</v>
      </c>
      <c r="AD551" s="23" t="s">
        <v>353</v>
      </c>
      <c r="AG551" s="34">
        <f t="shared" si="173"/>
        <v>0</v>
      </c>
      <c r="AH551" s="127" t="s">
        <v>3491</v>
      </c>
      <c r="AI551" s="131"/>
      <c r="AK551" s="66">
        <f t="shared" si="176"/>
        <v>0</v>
      </c>
      <c r="AL551" s="174">
        <f t="shared" si="177"/>
        <v>0</v>
      </c>
      <c r="AM551" s="346">
        <f>RTD("money.excel",,$G551,"PredictVolume")</f>
        <v>0</v>
      </c>
      <c r="AN551" s="272">
        <f>RTD("money.excel",,$G551,"CumulativeVolume")</f>
        <v>0</v>
      </c>
      <c r="AO551" s="284"/>
    </row>
    <row r="552" spans="1:41">
      <c r="A552" s="135" t="s">
        <v>5481</v>
      </c>
      <c r="B552" s="84">
        <v>227</v>
      </c>
      <c r="C552" s="84">
        <v>235</v>
      </c>
      <c r="D552" s="84">
        <v>9</v>
      </c>
      <c r="E552" s="84">
        <v>93</v>
      </c>
      <c r="F552" s="59">
        <v>20.25</v>
      </c>
      <c r="G552" s="85">
        <v>3006</v>
      </c>
      <c r="H552" s="4" t="s">
        <v>558</v>
      </c>
      <c r="I552" s="23" t="s">
        <v>193</v>
      </c>
      <c r="J552" s="77">
        <v>29.81</v>
      </c>
      <c r="K552" s="77">
        <v>19.649999999999999</v>
      </c>
      <c r="L552" s="371">
        <v>50.76</v>
      </c>
      <c r="N552" s="365">
        <f t="shared" si="168"/>
        <v>100.22</v>
      </c>
      <c r="O552" s="343">
        <f t="shared" si="169"/>
        <v>29.81</v>
      </c>
      <c r="P552" s="195">
        <v>7</v>
      </c>
      <c r="Q552" s="326">
        <v>5</v>
      </c>
      <c r="R552" s="111">
        <v>16</v>
      </c>
      <c r="S552" s="51">
        <v>13</v>
      </c>
      <c r="T552" s="339">
        <f t="shared" si="170"/>
        <v>41</v>
      </c>
      <c r="V552" s="371">
        <v>16.690000000000001</v>
      </c>
      <c r="W552" s="35">
        <v>2</v>
      </c>
      <c r="X552" s="100">
        <v>8.66</v>
      </c>
      <c r="Y552" s="37" t="str">
        <f>RTD("money.excel",,"3006","Price")</f>
        <v>無資料</v>
      </c>
      <c r="Z552" s="69"/>
      <c r="AA552" s="16" t="e">
        <f t="shared" si="171"/>
        <v>#VALUE!</v>
      </c>
      <c r="AB552" s="3" t="e">
        <f t="shared" si="172"/>
        <v>#VALUE!</v>
      </c>
      <c r="AC552" s="177" t="s">
        <v>2648</v>
      </c>
      <c r="AD552" s="23" t="s">
        <v>193</v>
      </c>
      <c r="AG552" s="34">
        <f t="shared" si="173"/>
        <v>0</v>
      </c>
      <c r="AH552" s="126" t="s">
        <v>3400</v>
      </c>
      <c r="AI552" s="131"/>
      <c r="AK552" s="66">
        <f t="shared" si="176"/>
        <v>0</v>
      </c>
      <c r="AL552" s="174">
        <f t="shared" si="177"/>
        <v>0</v>
      </c>
      <c r="AM552" s="346">
        <f>RTD("money.excel",,$G552,"PredictVolume")</f>
        <v>0</v>
      </c>
      <c r="AN552" s="272">
        <f>RTD("money.excel",,$G552,"CumulativeVolume")</f>
        <v>0</v>
      </c>
      <c r="AO552" s="284"/>
    </row>
    <row r="553" spans="1:41">
      <c r="A553" s="135" t="s">
        <v>2564</v>
      </c>
      <c r="B553" s="84">
        <v>71</v>
      </c>
      <c r="C553" s="84">
        <v>66</v>
      </c>
      <c r="D553" s="85">
        <v>-9</v>
      </c>
      <c r="E553" s="84">
        <v>38</v>
      </c>
      <c r="F553" s="59">
        <v>23.43</v>
      </c>
      <c r="G553" s="85">
        <v>3014</v>
      </c>
      <c r="H553" s="4" t="s">
        <v>558</v>
      </c>
      <c r="I553" s="23" t="s">
        <v>195</v>
      </c>
      <c r="J553" s="371">
        <v>28.52</v>
      </c>
      <c r="K553" s="371">
        <v>22.9</v>
      </c>
      <c r="L553" s="371">
        <v>12.17</v>
      </c>
      <c r="N553" s="365">
        <f t="shared" si="168"/>
        <v>63.59</v>
      </c>
      <c r="O553" s="343">
        <f t="shared" si="169"/>
        <v>28.52</v>
      </c>
      <c r="P553" s="195">
        <v>4</v>
      </c>
      <c r="Q553" s="326">
        <f>IFERROR(VLOOKUP($G553,主力整理!$A$2:$G$2301,6,0),"0")</f>
        <v>1</v>
      </c>
      <c r="R553" s="111">
        <v>7</v>
      </c>
      <c r="T553" s="339">
        <f t="shared" si="170"/>
        <v>12</v>
      </c>
      <c r="V553" s="371">
        <v>0.53</v>
      </c>
      <c r="W553" s="69">
        <v>6</v>
      </c>
      <c r="X553" s="100">
        <v>5.83</v>
      </c>
      <c r="Y553" s="37" t="str">
        <f>RTD("money.excel",,"3014","Price")</f>
        <v>無資料</v>
      </c>
      <c r="Z553" s="69"/>
      <c r="AA553" s="16" t="e">
        <f t="shared" si="171"/>
        <v>#VALUE!</v>
      </c>
      <c r="AB553" s="3" t="e">
        <f t="shared" si="172"/>
        <v>#VALUE!</v>
      </c>
      <c r="AC553" s="177" t="s">
        <v>2929</v>
      </c>
      <c r="AD553" s="23" t="s">
        <v>195</v>
      </c>
      <c r="AG553" s="34">
        <f t="shared" si="173"/>
        <v>0</v>
      </c>
      <c r="AH553" s="126" t="s">
        <v>2159</v>
      </c>
      <c r="AI553" s="131"/>
      <c r="AK553" s="66">
        <f t="shared" si="176"/>
        <v>0</v>
      </c>
      <c r="AL553" s="174">
        <f t="shared" si="177"/>
        <v>0</v>
      </c>
      <c r="AM553" s="346">
        <f>RTD("money.excel",,$G553,"PredictVolume")</f>
        <v>0</v>
      </c>
      <c r="AN553" s="272">
        <f>RTD("money.excel",,$G553,"CumulativeVolume")</f>
        <v>0</v>
      </c>
      <c r="AO553" s="284"/>
    </row>
    <row r="554" spans="1:41">
      <c r="A554" s="151" t="s">
        <v>3267</v>
      </c>
      <c r="B554" s="85">
        <v>-46</v>
      </c>
      <c r="C554" s="85">
        <v>-91</v>
      </c>
      <c r="D554" s="85">
        <v>-6</v>
      </c>
      <c r="E554" s="84">
        <v>5</v>
      </c>
      <c r="F554" s="7">
        <v>0.1</v>
      </c>
      <c r="G554" s="85">
        <v>3016</v>
      </c>
      <c r="H554" s="54" t="s">
        <v>558</v>
      </c>
      <c r="I554" s="24" t="s">
        <v>455</v>
      </c>
      <c r="J554" s="371">
        <v>72.36</v>
      </c>
      <c r="K554" s="77">
        <v>2.66</v>
      </c>
      <c r="L554" s="77">
        <v>17.14</v>
      </c>
      <c r="N554" s="365">
        <f t="shared" si="168"/>
        <v>92.16</v>
      </c>
      <c r="O554" s="343">
        <f t="shared" si="169"/>
        <v>72.36</v>
      </c>
      <c r="P554" s="195">
        <v>1</v>
      </c>
      <c r="Q554" s="326">
        <f>IFERROR(VLOOKUP($G554,主力整理!$A$2:$G$2301,6,0),"0")</f>
        <v>3</v>
      </c>
      <c r="R554" s="111">
        <v>6</v>
      </c>
      <c r="T554" s="339">
        <f t="shared" si="170"/>
        <v>10</v>
      </c>
      <c r="V554" s="371">
        <v>2.68</v>
      </c>
      <c r="W554" s="35">
        <v>0.25</v>
      </c>
      <c r="X554" s="100">
        <v>0.09</v>
      </c>
      <c r="Y554" s="37" t="str">
        <f>RTD("money.excel",,"3016","Price")</f>
        <v>無資料</v>
      </c>
      <c r="Z554" s="69"/>
      <c r="AA554" s="16" t="e">
        <f t="shared" si="171"/>
        <v>#VALUE!</v>
      </c>
      <c r="AB554" s="3" t="e">
        <f t="shared" si="172"/>
        <v>#VALUE!</v>
      </c>
      <c r="AC554" s="177" t="s">
        <v>2648</v>
      </c>
      <c r="AD554" s="24" t="s">
        <v>455</v>
      </c>
      <c r="AG554" s="34">
        <f t="shared" si="173"/>
        <v>0</v>
      </c>
      <c r="AH554" s="127" t="s">
        <v>3685</v>
      </c>
      <c r="AI554" s="131"/>
      <c r="AK554" s="66">
        <f t="shared" si="176"/>
        <v>0</v>
      </c>
      <c r="AL554" s="174">
        <f t="shared" si="177"/>
        <v>0</v>
      </c>
      <c r="AM554" s="346">
        <f>RTD("money.excel",,$G554,"PredictVolume")</f>
        <v>0</v>
      </c>
      <c r="AN554" s="272">
        <f>RTD("money.excel",,$G554,"CumulativeVolume")</f>
        <v>0</v>
      </c>
      <c r="AO554" s="284"/>
    </row>
    <row r="555" spans="1:41">
      <c r="A555" s="135" t="s">
        <v>2484</v>
      </c>
      <c r="B555" s="84">
        <v>241</v>
      </c>
      <c r="C555" s="84">
        <v>242</v>
      </c>
      <c r="D555" s="85">
        <v>-2</v>
      </c>
      <c r="E555" s="84">
        <v>66</v>
      </c>
      <c r="F555" s="59">
        <v>34.729999999999997</v>
      </c>
      <c r="G555" s="85">
        <v>3034</v>
      </c>
      <c r="H555" s="4" t="s">
        <v>558</v>
      </c>
      <c r="I555" s="23" t="s">
        <v>38</v>
      </c>
      <c r="J555" s="371">
        <v>49.45</v>
      </c>
      <c r="K555" s="371">
        <v>61.94</v>
      </c>
      <c r="L555" s="371">
        <v>6.61</v>
      </c>
      <c r="N555" s="365">
        <f t="shared" si="168"/>
        <v>118</v>
      </c>
      <c r="O555" s="343">
        <f t="shared" si="169"/>
        <v>49.45</v>
      </c>
      <c r="P555" s="195">
        <v>86</v>
      </c>
      <c r="Q555" s="326">
        <v>13</v>
      </c>
      <c r="R555" s="111">
        <v>4</v>
      </c>
      <c r="S555" s="51">
        <v>17</v>
      </c>
      <c r="T555" s="339">
        <f t="shared" si="170"/>
        <v>120</v>
      </c>
      <c r="V555" s="371">
        <v>16.579999999999998</v>
      </c>
      <c r="W555" s="69">
        <v>15.6</v>
      </c>
      <c r="X555" s="100">
        <v>51.89</v>
      </c>
      <c r="Y555" s="14" t="str">
        <f>RTD("money.excel",,"3034","Price")</f>
        <v>無資料</v>
      </c>
      <c r="Z555" s="69"/>
      <c r="AA555" s="16" t="e">
        <f t="shared" si="171"/>
        <v>#VALUE!</v>
      </c>
      <c r="AB555" s="3" t="e">
        <f t="shared" si="172"/>
        <v>#VALUE!</v>
      </c>
      <c r="AC555" s="177" t="s">
        <v>2929</v>
      </c>
      <c r="AD555" s="23" t="s">
        <v>38</v>
      </c>
      <c r="AG555" s="34">
        <f t="shared" si="173"/>
        <v>0</v>
      </c>
      <c r="AH555" s="126" t="s">
        <v>4028</v>
      </c>
      <c r="AI555" s="131"/>
      <c r="AK555" s="66">
        <f t="shared" si="176"/>
        <v>0</v>
      </c>
      <c r="AL555" s="174">
        <f t="shared" si="177"/>
        <v>0</v>
      </c>
      <c r="AM555" s="346">
        <f>RTD("money.excel",,$G555,"PredictVolume")</f>
        <v>0</v>
      </c>
      <c r="AN555" s="272">
        <f>RTD("money.excel",,$G555,"CumulativeVolume")</f>
        <v>0</v>
      </c>
      <c r="AO555" s="284"/>
    </row>
    <row r="556" spans="1:41">
      <c r="A556" s="135" t="s">
        <v>2485</v>
      </c>
      <c r="B556" s="84">
        <v>225</v>
      </c>
      <c r="C556" s="84">
        <v>548</v>
      </c>
      <c r="D556" s="84">
        <v>7</v>
      </c>
      <c r="E556" s="84">
        <v>82</v>
      </c>
      <c r="F556" s="59">
        <v>14.87</v>
      </c>
      <c r="G556" s="85">
        <v>3035</v>
      </c>
      <c r="H556" s="4" t="s">
        <v>558</v>
      </c>
      <c r="I556" s="23" t="s">
        <v>198</v>
      </c>
      <c r="J556" s="371">
        <v>52.36</v>
      </c>
      <c r="K556" s="77">
        <v>49.96</v>
      </c>
      <c r="L556" s="77">
        <v>16.2</v>
      </c>
      <c r="M556" s="371">
        <v>14.36</v>
      </c>
      <c r="N556" s="77">
        <f t="shared" si="168"/>
        <v>132.88</v>
      </c>
      <c r="O556" s="343">
        <f t="shared" si="169"/>
        <v>66.72</v>
      </c>
      <c r="P556" s="195">
        <v>8</v>
      </c>
      <c r="Q556" s="326">
        <v>48</v>
      </c>
      <c r="R556" s="111">
        <v>28</v>
      </c>
      <c r="S556" s="51">
        <v>56</v>
      </c>
      <c r="T556" s="339">
        <f t="shared" si="170"/>
        <v>140</v>
      </c>
      <c r="U556" s="329" t="s">
        <v>6538</v>
      </c>
      <c r="V556" s="371">
        <v>5.79</v>
      </c>
      <c r="W556" s="35">
        <v>1</v>
      </c>
      <c r="X556" s="59">
        <v>2.82</v>
      </c>
      <c r="Y556" s="14" t="str">
        <f>RTD("money.excel",,"3035","Price")</f>
        <v>無資料</v>
      </c>
      <c r="Z556" s="69"/>
      <c r="AA556" s="16" t="e">
        <f t="shared" si="171"/>
        <v>#VALUE!</v>
      </c>
      <c r="AB556" s="3" t="e">
        <f t="shared" si="172"/>
        <v>#VALUE!</v>
      </c>
      <c r="AC556" s="177" t="s">
        <v>2648</v>
      </c>
      <c r="AD556" s="23" t="s">
        <v>198</v>
      </c>
      <c r="AG556" s="34">
        <f t="shared" si="173"/>
        <v>0</v>
      </c>
      <c r="AH556" s="126" t="s">
        <v>3690</v>
      </c>
      <c r="AI556" s="131"/>
      <c r="AK556" s="66">
        <f t="shared" si="176"/>
        <v>0</v>
      </c>
      <c r="AL556" s="174">
        <f t="shared" si="177"/>
        <v>0</v>
      </c>
      <c r="AM556" s="346">
        <f>RTD("money.excel",,$G556,"PredictVolume")</f>
        <v>0</v>
      </c>
      <c r="AN556" s="272">
        <f>RTD("money.excel",,$G556,"CumulativeVolume")</f>
        <v>0</v>
      </c>
      <c r="AO556" s="284"/>
    </row>
    <row r="557" spans="1:41">
      <c r="A557" s="151" t="s">
        <v>5235</v>
      </c>
      <c r="B557" s="84">
        <v>41</v>
      </c>
      <c r="C557" s="84">
        <v>56</v>
      </c>
      <c r="D557" s="84">
        <v>15</v>
      </c>
      <c r="E557" s="84">
        <v>27</v>
      </c>
      <c r="F557" s="7">
        <v>-5.41</v>
      </c>
      <c r="G557" s="85">
        <v>3041</v>
      </c>
      <c r="H557" s="4" t="s">
        <v>558</v>
      </c>
      <c r="I557" s="23" t="s">
        <v>625</v>
      </c>
      <c r="J557" s="371">
        <v>17.93</v>
      </c>
      <c r="K557" s="371">
        <v>11.41</v>
      </c>
      <c r="L557" s="77">
        <v>59.6</v>
      </c>
      <c r="M557" s="77">
        <v>0.98</v>
      </c>
      <c r="N557" s="365">
        <f t="shared" si="168"/>
        <v>89.92</v>
      </c>
      <c r="O557" s="343">
        <f t="shared" si="169"/>
        <v>18.91</v>
      </c>
      <c r="P557" s="195">
        <v>7</v>
      </c>
      <c r="Q557" s="326">
        <v>45</v>
      </c>
      <c r="R557" s="111">
        <v>37</v>
      </c>
      <c r="S557" s="51">
        <v>26</v>
      </c>
      <c r="T557" s="339">
        <f t="shared" si="170"/>
        <v>115</v>
      </c>
      <c r="U557" s="329" t="s">
        <v>6538</v>
      </c>
      <c r="V557" s="371">
        <v>6.88</v>
      </c>
      <c r="W557" s="35">
        <v>0</v>
      </c>
      <c r="X557" s="100">
        <v>-0.89</v>
      </c>
      <c r="Y557" s="37" t="str">
        <f>RTD("money.excel",,"3041","Price")</f>
        <v>無資料</v>
      </c>
      <c r="Z557" s="69"/>
      <c r="AA557" s="16" t="e">
        <f t="shared" si="171"/>
        <v>#VALUE!</v>
      </c>
      <c r="AB557" s="3" t="e">
        <f t="shared" si="172"/>
        <v>#VALUE!</v>
      </c>
      <c r="AC557" s="177" t="s">
        <v>2648</v>
      </c>
      <c r="AD557" s="23" t="s">
        <v>625</v>
      </c>
      <c r="AG557" s="34">
        <f t="shared" si="173"/>
        <v>0</v>
      </c>
      <c r="AH557" s="44" t="s">
        <v>2186</v>
      </c>
      <c r="AI557" s="131"/>
      <c r="AK557" s="66">
        <f t="shared" si="176"/>
        <v>0</v>
      </c>
      <c r="AL557" s="174">
        <f t="shared" si="177"/>
        <v>0</v>
      </c>
      <c r="AM557" s="346">
        <f>RTD("money.excel",,$G557,"PredictVolume")</f>
        <v>0</v>
      </c>
      <c r="AN557" s="272">
        <f>RTD("money.excel",,$G557,"CumulativeVolume")</f>
        <v>0</v>
      </c>
      <c r="AO557" s="284"/>
    </row>
    <row r="558" spans="1:41">
      <c r="A558" s="151" t="s">
        <v>3153</v>
      </c>
      <c r="B558" s="96">
        <v>-389</v>
      </c>
      <c r="C558" s="96">
        <v>-4</v>
      </c>
      <c r="D558" s="96">
        <v>-35</v>
      </c>
      <c r="E558" s="96">
        <v>0</v>
      </c>
      <c r="F558" s="7">
        <v>-26.46</v>
      </c>
      <c r="G558" s="85">
        <v>3054</v>
      </c>
      <c r="H558" s="4" t="s">
        <v>558</v>
      </c>
      <c r="I558" s="23" t="s">
        <v>626</v>
      </c>
      <c r="J558" s="77">
        <v>84.37</v>
      </c>
      <c r="K558" s="77">
        <v>0.23</v>
      </c>
      <c r="L558" s="77">
        <v>12.79</v>
      </c>
      <c r="N558" s="365">
        <f t="shared" si="168"/>
        <v>97.390000000000015</v>
      </c>
      <c r="O558" s="343">
        <f t="shared" si="169"/>
        <v>84.37</v>
      </c>
      <c r="P558" s="195" t="s">
        <v>5554</v>
      </c>
      <c r="Q558" s="326" t="str">
        <f>IFERROR(VLOOKUP($G558,主力整理!$A$2:$G$2301,6,0),"0")</f>
        <v>0</v>
      </c>
      <c r="R558" s="111">
        <v>2</v>
      </c>
      <c r="T558" s="339">
        <f t="shared" si="170"/>
        <v>2</v>
      </c>
      <c r="V558" s="371">
        <v>51.83</v>
      </c>
      <c r="W558" s="35">
        <v>0</v>
      </c>
      <c r="X558" s="100">
        <v>-0.16</v>
      </c>
      <c r="Y558" s="14" t="str">
        <f>RTD("money.excel",,"3054","Price")</f>
        <v>無資料</v>
      </c>
      <c r="Z558" s="69"/>
      <c r="AA558" s="16" t="e">
        <f t="shared" si="171"/>
        <v>#VALUE!</v>
      </c>
      <c r="AB558" s="3" t="e">
        <f t="shared" si="172"/>
        <v>#VALUE!</v>
      </c>
      <c r="AD558" s="23" t="s">
        <v>626</v>
      </c>
      <c r="AG558" s="34">
        <f t="shared" si="173"/>
        <v>0</v>
      </c>
      <c r="AH558" s="44" t="s">
        <v>2131</v>
      </c>
      <c r="AI558" s="131"/>
      <c r="AK558" s="66">
        <f t="shared" si="176"/>
        <v>0</v>
      </c>
      <c r="AL558" s="174">
        <f t="shared" si="177"/>
        <v>0</v>
      </c>
      <c r="AM558" s="346">
        <f>RTD("money.excel",,$G558,"PredictVolume")</f>
        <v>0</v>
      </c>
      <c r="AN558" s="272">
        <f>RTD("money.excel",,$G558,"CumulativeVolume")</f>
        <v>0</v>
      </c>
      <c r="AO558" s="284"/>
    </row>
    <row r="559" spans="1:41">
      <c r="A559" s="151" t="s">
        <v>2364</v>
      </c>
      <c r="B559" s="96">
        <v>91</v>
      </c>
      <c r="C559" s="96">
        <v>104</v>
      </c>
      <c r="D559" s="96">
        <v>-39</v>
      </c>
      <c r="E559" s="96">
        <v>102</v>
      </c>
      <c r="F559" s="7">
        <v>1.8</v>
      </c>
      <c r="G559" s="85">
        <v>3073</v>
      </c>
      <c r="H559" s="55" t="s">
        <v>558</v>
      </c>
      <c r="I559" s="17" t="s">
        <v>5069</v>
      </c>
      <c r="J559" s="77">
        <v>55.6</v>
      </c>
      <c r="K559" s="77">
        <v>0.12</v>
      </c>
      <c r="N559" s="365">
        <f t="shared" si="168"/>
        <v>55.72</v>
      </c>
      <c r="O559" s="343">
        <f t="shared" si="169"/>
        <v>55.6</v>
      </c>
      <c r="P559" s="195" t="s">
        <v>5554</v>
      </c>
      <c r="Q559" s="326" t="str">
        <f>IFERROR(VLOOKUP($G559,主力整理!$A$2:$G$2301,6,0),"0")</f>
        <v>0</v>
      </c>
      <c r="R559" s="111">
        <v>25</v>
      </c>
      <c r="T559" s="339">
        <f t="shared" si="170"/>
        <v>25</v>
      </c>
      <c r="W559" s="35">
        <v>0</v>
      </c>
      <c r="X559" s="100">
        <v>-0.31</v>
      </c>
      <c r="Y559" s="37" t="str">
        <f>RTD("money.excel",,"3073","Price")</f>
        <v>無資料</v>
      </c>
      <c r="Z559" s="69"/>
      <c r="AA559" s="16" t="e">
        <f t="shared" si="171"/>
        <v>#VALUE!</v>
      </c>
      <c r="AB559" s="3" t="e">
        <f t="shared" si="172"/>
        <v>#VALUE!</v>
      </c>
      <c r="AD559" s="17" t="s">
        <v>5069</v>
      </c>
      <c r="AG559" s="34">
        <f t="shared" si="173"/>
        <v>0</v>
      </c>
      <c r="AH559" s="44" t="s">
        <v>5070</v>
      </c>
      <c r="AI559" s="131"/>
      <c r="AK559" s="66">
        <f t="shared" si="176"/>
        <v>0</v>
      </c>
      <c r="AL559" s="174">
        <f t="shared" si="177"/>
        <v>0</v>
      </c>
      <c r="AM559" s="346">
        <f>RTD("money.excel",,$G559,"PredictVolume")</f>
        <v>0</v>
      </c>
      <c r="AN559" s="272">
        <f>RTD("money.excel",,$G559,"CumulativeVolume")</f>
        <v>0</v>
      </c>
      <c r="AO559" s="284"/>
    </row>
    <row r="560" spans="1:41">
      <c r="A560" s="135" t="s">
        <v>3393</v>
      </c>
      <c r="B560" s="84">
        <v>106</v>
      </c>
      <c r="C560" s="84">
        <v>199</v>
      </c>
      <c r="D560" s="84">
        <v>6</v>
      </c>
      <c r="E560" s="84">
        <v>12</v>
      </c>
      <c r="F560" s="59">
        <v>20.85</v>
      </c>
      <c r="G560" s="85">
        <v>3094</v>
      </c>
      <c r="H560" s="4" t="s">
        <v>558</v>
      </c>
      <c r="I560" s="23" t="s">
        <v>627</v>
      </c>
      <c r="J560" s="371">
        <v>12.4</v>
      </c>
      <c r="K560" s="371">
        <v>2.0299999999999998</v>
      </c>
      <c r="L560" s="77">
        <v>59.24</v>
      </c>
      <c r="M560" s="371">
        <v>11.71</v>
      </c>
      <c r="N560" s="365">
        <f t="shared" si="168"/>
        <v>85.38</v>
      </c>
      <c r="O560" s="343">
        <f t="shared" si="169"/>
        <v>24.11</v>
      </c>
      <c r="P560" s="195">
        <v>3</v>
      </c>
      <c r="Q560" s="326">
        <v>24</v>
      </c>
      <c r="R560" s="111">
        <v>37</v>
      </c>
      <c r="S560" s="51">
        <v>39</v>
      </c>
      <c r="T560" s="339">
        <f t="shared" si="170"/>
        <v>103</v>
      </c>
      <c r="U560" s="329" t="s">
        <v>6538</v>
      </c>
      <c r="V560" s="371">
        <v>5.2</v>
      </c>
      <c r="W560" s="35">
        <v>0.8</v>
      </c>
      <c r="X560" s="100">
        <v>0.73</v>
      </c>
      <c r="Y560" s="37" t="str">
        <f>RTD("money.excel",,"3094","Price")</f>
        <v>無資料</v>
      </c>
      <c r="Z560" s="69"/>
      <c r="AA560" s="16" t="e">
        <f t="shared" si="171"/>
        <v>#VALUE!</v>
      </c>
      <c r="AB560" s="3" t="e">
        <f t="shared" si="172"/>
        <v>#VALUE!</v>
      </c>
      <c r="AC560" s="177" t="s">
        <v>2648</v>
      </c>
      <c r="AD560" s="23" t="s">
        <v>627</v>
      </c>
      <c r="AG560" s="34">
        <f t="shared" si="173"/>
        <v>0</v>
      </c>
      <c r="AH560" s="63" t="s">
        <v>3420</v>
      </c>
      <c r="AI560" s="131"/>
      <c r="AK560" s="66">
        <f t="shared" si="176"/>
        <v>0</v>
      </c>
      <c r="AL560" s="174">
        <f t="shared" si="177"/>
        <v>0</v>
      </c>
      <c r="AM560" s="346">
        <f>RTD("money.excel",,$G560,"PredictVolume")</f>
        <v>0</v>
      </c>
      <c r="AN560" s="272">
        <f>RTD("money.excel",,$G560,"CumulativeVolume")</f>
        <v>0</v>
      </c>
      <c r="AO560" s="284"/>
    </row>
    <row r="561" spans="1:41">
      <c r="A561" s="135" t="s">
        <v>2488</v>
      </c>
      <c r="B561" s="85">
        <v>-37</v>
      </c>
      <c r="C561" s="85">
        <v>-34</v>
      </c>
      <c r="D561" s="84">
        <v>2</v>
      </c>
      <c r="E561" s="84">
        <v>3</v>
      </c>
      <c r="F561" s="59">
        <v>21.34</v>
      </c>
      <c r="G561" s="85">
        <v>3105</v>
      </c>
      <c r="H561" s="55" t="s">
        <v>558</v>
      </c>
      <c r="I561" s="17" t="s">
        <v>476</v>
      </c>
      <c r="J561" s="371">
        <v>58.14</v>
      </c>
      <c r="K561" s="77">
        <v>48.02</v>
      </c>
      <c r="L561" s="77">
        <v>5.58</v>
      </c>
      <c r="N561" s="365">
        <f t="shared" ref="N561:N592" si="178">J561+K561+L561+M561</f>
        <v>111.74</v>
      </c>
      <c r="O561" s="343">
        <f t="shared" ref="O561:O592" si="179">J561+M561</f>
        <v>58.14</v>
      </c>
      <c r="P561" s="195">
        <v>20</v>
      </c>
      <c r="Q561" s="326">
        <v>6</v>
      </c>
      <c r="R561" s="111">
        <v>2</v>
      </c>
      <c r="S561" s="51">
        <v>13</v>
      </c>
      <c r="T561" s="339">
        <f t="shared" ref="T561:T592" si="180">SUM(P561:S561)</f>
        <v>41</v>
      </c>
      <c r="V561" s="371">
        <v>7.49</v>
      </c>
      <c r="W561" s="69">
        <v>10</v>
      </c>
      <c r="X561" s="59">
        <v>12.79</v>
      </c>
      <c r="Y561" s="14" t="str">
        <f>RTD("money.excel",,"3105","Price")</f>
        <v>無資料</v>
      </c>
      <c r="Z561" s="69"/>
      <c r="AA561" s="16" t="e">
        <f t="shared" ref="AA561:AA592" si="181">Y561-Z561</f>
        <v>#VALUE!</v>
      </c>
      <c r="AB561" s="3" t="e">
        <f t="shared" ref="AB561:AB592" si="182">AA561/Z561</f>
        <v>#VALUE!</v>
      </c>
      <c r="AC561" s="177" t="s">
        <v>2929</v>
      </c>
      <c r="AD561" s="17" t="s">
        <v>476</v>
      </c>
      <c r="AG561" s="34">
        <f t="shared" ref="AG561:AG592" si="183">AF561-AE561</f>
        <v>0</v>
      </c>
      <c r="AH561" s="126" t="s">
        <v>3701</v>
      </c>
      <c r="AI561" s="131"/>
      <c r="AK561" s="66">
        <f t="shared" si="176"/>
        <v>0</v>
      </c>
      <c r="AL561" s="174">
        <f t="shared" si="177"/>
        <v>0</v>
      </c>
      <c r="AM561" s="346">
        <f>RTD("money.excel",,$G561,"PredictVolume")</f>
        <v>0</v>
      </c>
      <c r="AN561" s="272">
        <f>RTD("money.excel",,$G561,"CumulativeVolume")</f>
        <v>0</v>
      </c>
      <c r="AO561" s="284"/>
    </row>
    <row r="562" spans="1:41">
      <c r="A562" s="151" t="s">
        <v>3557</v>
      </c>
      <c r="B562" s="84">
        <v>137</v>
      </c>
      <c r="C562" s="84">
        <v>142</v>
      </c>
      <c r="D562" s="84">
        <v>6</v>
      </c>
      <c r="E562" s="84">
        <v>32</v>
      </c>
      <c r="F562" s="7">
        <v>3.87</v>
      </c>
      <c r="G562" s="85">
        <v>3122</v>
      </c>
      <c r="H562" s="55" t="s">
        <v>558</v>
      </c>
      <c r="I562" s="17" t="s">
        <v>645</v>
      </c>
      <c r="J562" s="371">
        <v>16.149999999999999</v>
      </c>
      <c r="K562" s="77">
        <v>3.33</v>
      </c>
      <c r="L562" s="77">
        <v>40.369999999999997</v>
      </c>
      <c r="N562" s="365">
        <f t="shared" si="178"/>
        <v>59.849999999999994</v>
      </c>
      <c r="O562" s="343">
        <f t="shared" si="179"/>
        <v>16.149999999999999</v>
      </c>
      <c r="P562" s="195">
        <v>2</v>
      </c>
      <c r="Q562" s="326" t="str">
        <f>IFERROR(VLOOKUP($G562,主力整理!$A$2:$G$2301,6,0),"0")</f>
        <v>0</v>
      </c>
      <c r="R562" s="111">
        <v>28</v>
      </c>
      <c r="T562" s="339">
        <f t="shared" si="180"/>
        <v>30</v>
      </c>
      <c r="V562" s="371">
        <v>6.75</v>
      </c>
      <c r="W562" s="35">
        <v>0</v>
      </c>
      <c r="X562" s="100">
        <v>0.13</v>
      </c>
      <c r="Y562" s="37" t="str">
        <f>RTD("money.excel",,"3122","Price")</f>
        <v>無資料</v>
      </c>
      <c r="Z562" s="69"/>
      <c r="AA562" s="16" t="e">
        <f t="shared" si="181"/>
        <v>#VALUE!</v>
      </c>
      <c r="AB562" s="3" t="e">
        <f t="shared" si="182"/>
        <v>#VALUE!</v>
      </c>
      <c r="AC562" s="177" t="s">
        <v>2648</v>
      </c>
      <c r="AD562" s="17" t="s">
        <v>645</v>
      </c>
      <c r="AG562" s="34">
        <f t="shared" si="183"/>
        <v>0</v>
      </c>
      <c r="AH562" s="44" t="s">
        <v>3740</v>
      </c>
      <c r="AI562" s="131"/>
      <c r="AK562" s="66">
        <f t="shared" si="176"/>
        <v>0</v>
      </c>
      <c r="AL562" s="174">
        <f t="shared" si="177"/>
        <v>0</v>
      </c>
      <c r="AM562" s="346">
        <f>RTD("money.excel",,$G562,"PredictVolume")</f>
        <v>0</v>
      </c>
      <c r="AN562" s="272">
        <f>RTD("money.excel",,$G562,"CumulativeVolume")</f>
        <v>0</v>
      </c>
      <c r="AO562" s="284"/>
    </row>
    <row r="563" spans="1:41">
      <c r="A563" s="135" t="s">
        <v>6687</v>
      </c>
      <c r="B563" s="84">
        <v>605</v>
      </c>
      <c r="C563" s="84">
        <v>561</v>
      </c>
      <c r="D563" s="85">
        <v>-1</v>
      </c>
      <c r="E563" s="84">
        <v>72</v>
      </c>
      <c r="F563" s="59">
        <v>27.14</v>
      </c>
      <c r="G563" s="85">
        <v>3141</v>
      </c>
      <c r="H563" s="55" t="s">
        <v>558</v>
      </c>
      <c r="I563" s="17" t="s">
        <v>349</v>
      </c>
      <c r="J563" s="77">
        <v>27.41</v>
      </c>
      <c r="K563" s="77">
        <v>22.91</v>
      </c>
      <c r="L563" s="371">
        <v>83.3</v>
      </c>
      <c r="M563" s="371">
        <v>4.18</v>
      </c>
      <c r="N563" s="77">
        <f t="shared" si="178"/>
        <v>137.80000000000001</v>
      </c>
      <c r="O563" s="343">
        <f t="shared" si="179"/>
        <v>31.59</v>
      </c>
      <c r="P563" s="195">
        <v>2</v>
      </c>
      <c r="Q563" s="326">
        <v>16</v>
      </c>
      <c r="R563" s="111">
        <v>6</v>
      </c>
      <c r="S563" s="51">
        <v>14</v>
      </c>
      <c r="T563" s="339">
        <f t="shared" si="180"/>
        <v>38</v>
      </c>
      <c r="U563" s="329" t="s">
        <v>6538</v>
      </c>
      <c r="V563" s="371">
        <v>8.14</v>
      </c>
      <c r="W563" s="35">
        <v>0.62</v>
      </c>
      <c r="X563" s="100">
        <v>7.4</v>
      </c>
      <c r="Y563" s="37" t="str">
        <f>RTD("money.excel",,"3141","Price")</f>
        <v>無資料</v>
      </c>
      <c r="Z563" s="69"/>
      <c r="AA563" s="16" t="e">
        <f t="shared" si="181"/>
        <v>#VALUE!</v>
      </c>
      <c r="AB563" s="3" t="e">
        <f t="shared" si="182"/>
        <v>#VALUE!</v>
      </c>
      <c r="AC563" s="177" t="s">
        <v>2648</v>
      </c>
      <c r="AD563" s="17" t="s">
        <v>349</v>
      </c>
      <c r="AG563" s="34">
        <f t="shared" si="183"/>
        <v>0</v>
      </c>
      <c r="AH563" s="50" t="s">
        <v>3422</v>
      </c>
      <c r="AI563" s="131"/>
      <c r="AK563" s="66">
        <f t="shared" si="176"/>
        <v>0</v>
      </c>
      <c r="AL563" s="174">
        <f t="shared" si="177"/>
        <v>0</v>
      </c>
      <c r="AM563" s="346">
        <f>RTD("money.excel",,$G563,"PredictVolume")</f>
        <v>0</v>
      </c>
      <c r="AN563" s="272">
        <f>RTD("money.excel",,$G563,"CumulativeVolume")</f>
        <v>0</v>
      </c>
      <c r="AO563" s="284"/>
    </row>
    <row r="564" spans="1:41">
      <c r="A564" s="135" t="s">
        <v>3654</v>
      </c>
      <c r="B564" s="84">
        <v>134</v>
      </c>
      <c r="C564" s="84">
        <v>121</v>
      </c>
      <c r="D564" s="84">
        <v>4</v>
      </c>
      <c r="E564" s="84">
        <v>95</v>
      </c>
      <c r="F564" s="59">
        <v>29.42</v>
      </c>
      <c r="G564" s="85">
        <v>3169</v>
      </c>
      <c r="H564" s="55" t="s">
        <v>558</v>
      </c>
      <c r="I564" s="17" t="s">
        <v>646</v>
      </c>
      <c r="J564" s="371">
        <v>29.09</v>
      </c>
      <c r="K564" s="77">
        <v>4.91</v>
      </c>
      <c r="L564" s="371">
        <v>54.42</v>
      </c>
      <c r="N564" s="365">
        <f t="shared" si="178"/>
        <v>88.42</v>
      </c>
      <c r="O564" s="343">
        <f t="shared" si="179"/>
        <v>29.09</v>
      </c>
      <c r="P564" s="195">
        <v>1</v>
      </c>
      <c r="Q564" s="326" t="str">
        <f>IFERROR(VLOOKUP($G564,主力整理!$A$2:$G$2301,6,0),"0")</f>
        <v>0</v>
      </c>
      <c r="R564" s="111">
        <v>26</v>
      </c>
      <c r="S564" s="51">
        <v>0</v>
      </c>
      <c r="T564" s="339">
        <f t="shared" si="180"/>
        <v>27</v>
      </c>
      <c r="V564" s="371">
        <v>1.83</v>
      </c>
      <c r="W564" s="35">
        <v>2.5</v>
      </c>
      <c r="X564" s="100">
        <v>4.34</v>
      </c>
      <c r="Y564" s="37" t="str">
        <f>RTD("money.excel",,"3169","Price")</f>
        <v>無資料</v>
      </c>
      <c r="Z564" s="69"/>
      <c r="AA564" s="16" t="e">
        <f t="shared" si="181"/>
        <v>#VALUE!</v>
      </c>
      <c r="AB564" s="3" t="e">
        <f t="shared" si="182"/>
        <v>#VALUE!</v>
      </c>
      <c r="AD564" s="17" t="s">
        <v>646</v>
      </c>
      <c r="AG564" s="34">
        <f t="shared" si="183"/>
        <v>0</v>
      </c>
      <c r="AH564" s="63" t="s">
        <v>4506</v>
      </c>
      <c r="AI564" s="131"/>
      <c r="AK564" s="66">
        <f t="shared" si="176"/>
        <v>0</v>
      </c>
      <c r="AL564" s="174">
        <f t="shared" si="177"/>
        <v>0</v>
      </c>
      <c r="AM564" s="346">
        <f>RTD("money.excel",,$G564,"PredictVolume")</f>
        <v>0</v>
      </c>
      <c r="AN564" s="272">
        <f>RTD("money.excel",,$G564,"CumulativeVolume")</f>
        <v>0</v>
      </c>
      <c r="AO564" s="284"/>
    </row>
    <row r="565" spans="1:41">
      <c r="A565" s="151" t="s">
        <v>3152</v>
      </c>
      <c r="B565" s="84">
        <v>129</v>
      </c>
      <c r="C565" s="84">
        <v>144</v>
      </c>
      <c r="D565" s="85">
        <v>-1</v>
      </c>
      <c r="E565" s="84">
        <v>15</v>
      </c>
      <c r="F565" s="7">
        <v>4.0599999999999996</v>
      </c>
      <c r="G565" s="85">
        <v>3189</v>
      </c>
      <c r="H565" s="4" t="s">
        <v>558</v>
      </c>
      <c r="I565" s="23" t="s">
        <v>386</v>
      </c>
      <c r="J565" s="77">
        <v>65.77</v>
      </c>
      <c r="K565" s="77">
        <v>25.38</v>
      </c>
      <c r="L565" s="371">
        <v>10.45</v>
      </c>
      <c r="N565" s="365">
        <f t="shared" si="178"/>
        <v>101.6</v>
      </c>
      <c r="O565" s="343">
        <f t="shared" si="179"/>
        <v>65.77</v>
      </c>
      <c r="P565" s="195">
        <v>17</v>
      </c>
      <c r="Q565" s="326">
        <f>IFERROR(VLOOKUP($G565,主力整理!$A$2:$G$2301,6,0),"0")</f>
        <v>4</v>
      </c>
      <c r="R565" s="111">
        <v>7</v>
      </c>
      <c r="T565" s="339">
        <f t="shared" si="180"/>
        <v>28</v>
      </c>
      <c r="V565" s="371">
        <v>1.89</v>
      </c>
      <c r="W565" s="35">
        <v>1</v>
      </c>
      <c r="X565" s="100">
        <v>1.6</v>
      </c>
      <c r="Y565" s="37" t="str">
        <f>RTD("money.excel",,"3189","Price")</f>
        <v>無資料</v>
      </c>
      <c r="Z565" s="69"/>
      <c r="AA565" s="16" t="e">
        <f t="shared" si="181"/>
        <v>#VALUE!</v>
      </c>
      <c r="AB565" s="3" t="e">
        <f t="shared" si="182"/>
        <v>#VALUE!</v>
      </c>
      <c r="AC565" s="177" t="s">
        <v>2648</v>
      </c>
      <c r="AD565" s="23" t="s">
        <v>386</v>
      </c>
      <c r="AG565" s="34">
        <f t="shared" si="183"/>
        <v>0</v>
      </c>
      <c r="AH565" s="125" t="s">
        <v>3678</v>
      </c>
      <c r="AI565" s="131"/>
      <c r="AK565" s="66">
        <f t="shared" si="176"/>
        <v>0</v>
      </c>
      <c r="AL565" s="174">
        <f t="shared" si="177"/>
        <v>0</v>
      </c>
      <c r="AM565" s="346">
        <f>RTD("money.excel",,$G565,"PredictVolume")</f>
        <v>0</v>
      </c>
      <c r="AN565" s="272">
        <f>RTD("money.excel",,$G565,"CumulativeVolume")</f>
        <v>0</v>
      </c>
      <c r="AO565" s="284"/>
    </row>
    <row r="566" spans="1:41">
      <c r="A566" s="151" t="s">
        <v>4594</v>
      </c>
      <c r="B566" s="96">
        <v>139</v>
      </c>
      <c r="C566" s="96">
        <v>181</v>
      </c>
      <c r="D566" s="96">
        <v>-1</v>
      </c>
      <c r="E566" s="96"/>
      <c r="F566" s="7">
        <v>-9.24</v>
      </c>
      <c r="G566" s="85">
        <v>3219</v>
      </c>
      <c r="H566" s="55" t="s">
        <v>558</v>
      </c>
      <c r="I566" s="17" t="s">
        <v>4593</v>
      </c>
      <c r="J566" s="77">
        <v>47.33</v>
      </c>
      <c r="K566" s="77">
        <v>0.02</v>
      </c>
      <c r="L566" s="77">
        <v>5.95</v>
      </c>
      <c r="N566" s="365">
        <f t="shared" si="178"/>
        <v>53.300000000000004</v>
      </c>
      <c r="O566" s="343">
        <f t="shared" si="179"/>
        <v>47.33</v>
      </c>
      <c r="P566" s="195" t="s">
        <v>5554</v>
      </c>
      <c r="Q566" s="326" t="str">
        <f>IFERROR(VLOOKUP($G566,主力整理!$A$2:$G$2301,6,0),"0")</f>
        <v>0</v>
      </c>
      <c r="R566" s="111">
        <v>24</v>
      </c>
      <c r="T566" s="339">
        <f t="shared" si="180"/>
        <v>24</v>
      </c>
      <c r="V566" s="371">
        <v>16.86</v>
      </c>
      <c r="W566" s="35">
        <v>0</v>
      </c>
      <c r="X566" s="100">
        <v>0.85</v>
      </c>
      <c r="Y566" s="37" t="str">
        <f>RTD("money.excel",,"3219","Price")</f>
        <v>無資料</v>
      </c>
      <c r="Z566" s="69"/>
      <c r="AA566" s="16" t="e">
        <f t="shared" si="181"/>
        <v>#VALUE!</v>
      </c>
      <c r="AB566" s="3" t="e">
        <f t="shared" si="182"/>
        <v>#VALUE!</v>
      </c>
      <c r="AD566" s="17" t="s">
        <v>4593</v>
      </c>
      <c r="AG566" s="34">
        <f t="shared" si="183"/>
        <v>0</v>
      </c>
      <c r="AH566" s="44" t="s">
        <v>2158</v>
      </c>
      <c r="AI566" s="131"/>
      <c r="AK566" s="66">
        <f t="shared" si="176"/>
        <v>0</v>
      </c>
      <c r="AL566" s="174">
        <f t="shared" si="177"/>
        <v>0</v>
      </c>
      <c r="AM566" s="346">
        <f>RTD("money.excel",,$G566,"PredictVolume")</f>
        <v>0</v>
      </c>
      <c r="AN566" s="272">
        <f>RTD("money.excel",,$G566,"CumulativeVolume")</f>
        <v>0</v>
      </c>
      <c r="AO566" s="284"/>
    </row>
    <row r="567" spans="1:41">
      <c r="A567" s="135" t="s">
        <v>2526</v>
      </c>
      <c r="B567" s="84">
        <v>71</v>
      </c>
      <c r="C567" s="84">
        <v>73</v>
      </c>
      <c r="D567" s="85">
        <v>-6</v>
      </c>
      <c r="E567" s="84">
        <v>2</v>
      </c>
      <c r="F567" s="59">
        <v>23.42</v>
      </c>
      <c r="G567" s="85">
        <v>3227</v>
      </c>
      <c r="H567" s="55" t="s">
        <v>558</v>
      </c>
      <c r="I567" s="17" t="s">
        <v>477</v>
      </c>
      <c r="J567" s="371">
        <v>21.25</v>
      </c>
      <c r="K567" s="371">
        <v>17.62</v>
      </c>
      <c r="L567" s="371">
        <v>23.22</v>
      </c>
      <c r="N567" s="365">
        <f t="shared" si="178"/>
        <v>62.09</v>
      </c>
      <c r="O567" s="343">
        <f t="shared" si="179"/>
        <v>21.25</v>
      </c>
      <c r="P567" s="195">
        <v>13</v>
      </c>
      <c r="Q567" s="326">
        <v>4</v>
      </c>
      <c r="R567" s="111">
        <v>6</v>
      </c>
      <c r="S567" s="51">
        <v>14</v>
      </c>
      <c r="T567" s="339">
        <f t="shared" si="180"/>
        <v>37</v>
      </c>
      <c r="V567" s="371">
        <v>2.37</v>
      </c>
      <c r="W567" s="69">
        <v>8.48</v>
      </c>
      <c r="X567" s="100">
        <v>13.37</v>
      </c>
      <c r="Y567" s="37" t="str">
        <f>RTD("money.excel",,"3227","Price")</f>
        <v>無資料</v>
      </c>
      <c r="Z567" s="69"/>
      <c r="AA567" s="16" t="e">
        <f t="shared" si="181"/>
        <v>#VALUE!</v>
      </c>
      <c r="AB567" s="3" t="e">
        <f t="shared" si="182"/>
        <v>#VALUE!</v>
      </c>
      <c r="AC567" s="177" t="s">
        <v>2929</v>
      </c>
      <c r="AD567" s="17" t="s">
        <v>477</v>
      </c>
      <c r="AG567" s="34">
        <f t="shared" si="183"/>
        <v>0</v>
      </c>
      <c r="AH567" s="126" t="s">
        <v>3687</v>
      </c>
      <c r="AI567" s="131"/>
      <c r="AK567" s="66">
        <f t="shared" si="176"/>
        <v>0</v>
      </c>
      <c r="AL567" s="174">
        <f t="shared" si="177"/>
        <v>0</v>
      </c>
      <c r="AM567" s="346">
        <f>RTD("money.excel",,$G567,"PredictVolume")</f>
        <v>0</v>
      </c>
      <c r="AN567" s="272">
        <f>RTD("money.excel",,$G567,"CumulativeVolume")</f>
        <v>0</v>
      </c>
      <c r="AO567" s="284"/>
    </row>
    <row r="568" spans="1:41">
      <c r="A568" s="135" t="s">
        <v>2733</v>
      </c>
      <c r="B568" s="98">
        <v>1292</v>
      </c>
      <c r="C568" s="98">
        <v>1487</v>
      </c>
      <c r="D568" s="85">
        <v>-58</v>
      </c>
      <c r="E568" s="85">
        <v>-31</v>
      </c>
      <c r="F568" s="59">
        <v>49.69</v>
      </c>
      <c r="G568" s="85">
        <v>3228</v>
      </c>
      <c r="H568" s="55" t="s">
        <v>558</v>
      </c>
      <c r="I568" s="17" t="s">
        <v>647</v>
      </c>
      <c r="J568" s="371">
        <v>22.78</v>
      </c>
      <c r="K568" s="371">
        <v>9.9700000000000006</v>
      </c>
      <c r="L568" s="371"/>
      <c r="N568" s="365">
        <f t="shared" si="178"/>
        <v>32.75</v>
      </c>
      <c r="O568" s="343">
        <f t="shared" si="179"/>
        <v>22.78</v>
      </c>
      <c r="P568" s="195">
        <v>0</v>
      </c>
      <c r="Q568" s="326">
        <f>IFERROR(VLOOKUP($G568,主力整理!$A$2:$G$2301,6,0),"0")</f>
        <v>1</v>
      </c>
      <c r="R568" s="111">
        <v>37</v>
      </c>
      <c r="S568" s="51">
        <v>0</v>
      </c>
      <c r="T568" s="339">
        <f t="shared" si="180"/>
        <v>38</v>
      </c>
      <c r="W568" s="35">
        <v>0</v>
      </c>
      <c r="X568" s="100">
        <v>4.01</v>
      </c>
      <c r="Y568" s="37" t="str">
        <f>RTD("money.excel",,"3228","Price")</f>
        <v>無資料</v>
      </c>
      <c r="Z568" s="69"/>
      <c r="AA568" s="16" t="e">
        <f t="shared" si="181"/>
        <v>#VALUE!</v>
      </c>
      <c r="AB568" s="3" t="e">
        <f t="shared" si="182"/>
        <v>#VALUE!</v>
      </c>
      <c r="AC568" s="177" t="s">
        <v>2648</v>
      </c>
      <c r="AD568" s="17" t="s">
        <v>647</v>
      </c>
      <c r="AG568" s="34">
        <f t="shared" si="183"/>
        <v>0</v>
      </c>
      <c r="AH568" s="63" t="s">
        <v>3235</v>
      </c>
      <c r="AI568" s="131"/>
      <c r="AK568" s="66">
        <f t="shared" si="176"/>
        <v>0</v>
      </c>
      <c r="AL568" s="174">
        <f t="shared" si="177"/>
        <v>0</v>
      </c>
      <c r="AM568" s="346">
        <f>RTD("money.excel",,$G568,"PredictVolume")</f>
        <v>0</v>
      </c>
      <c r="AN568" s="272">
        <f>RTD("money.excel",,$G568,"CumulativeVolume")</f>
        <v>0</v>
      </c>
      <c r="AO568" s="284"/>
    </row>
    <row r="569" spans="1:41">
      <c r="A569" s="151" t="s">
        <v>3040</v>
      </c>
      <c r="B569" s="84">
        <v>853</v>
      </c>
      <c r="C569" s="84">
        <v>311</v>
      </c>
      <c r="D569" s="84">
        <v>6</v>
      </c>
      <c r="E569" s="84">
        <v>38</v>
      </c>
      <c r="F569" s="59">
        <v>18.32</v>
      </c>
      <c r="G569" s="85">
        <v>3257</v>
      </c>
      <c r="H569" s="4" t="s">
        <v>558</v>
      </c>
      <c r="I569" s="23" t="s">
        <v>628</v>
      </c>
      <c r="J569" s="77">
        <v>54.33</v>
      </c>
      <c r="K569" s="371">
        <v>4.9000000000000004</v>
      </c>
      <c r="L569" s="371">
        <v>21.86</v>
      </c>
      <c r="N569" s="365">
        <f t="shared" si="178"/>
        <v>81.09</v>
      </c>
      <c r="O569" s="343">
        <f t="shared" si="179"/>
        <v>54.33</v>
      </c>
      <c r="P569" s="195">
        <v>3</v>
      </c>
      <c r="Q569" s="326" t="str">
        <f>IFERROR(VLOOKUP($G569,主力整理!$A$2:$G$2301,6,0),"0")</f>
        <v>0</v>
      </c>
      <c r="R569" s="111">
        <v>3</v>
      </c>
      <c r="T569" s="339">
        <f t="shared" si="180"/>
        <v>6</v>
      </c>
      <c r="V569" s="371">
        <v>0.82</v>
      </c>
      <c r="W569" s="69">
        <v>4</v>
      </c>
      <c r="X569" s="100">
        <v>3.92</v>
      </c>
      <c r="Y569" s="37" t="str">
        <f>RTD("money.excel",,"3257","Price")</f>
        <v>無資料</v>
      </c>
      <c r="Z569" s="69"/>
      <c r="AA569" s="16" t="e">
        <f t="shared" si="181"/>
        <v>#VALUE!</v>
      </c>
      <c r="AB569" s="3" t="e">
        <f t="shared" si="182"/>
        <v>#VALUE!</v>
      </c>
      <c r="AC569" s="177" t="s">
        <v>2929</v>
      </c>
      <c r="AD569" s="23" t="s">
        <v>628</v>
      </c>
      <c r="AG569" s="34">
        <f t="shared" si="183"/>
        <v>0</v>
      </c>
      <c r="AH569" s="44" t="s">
        <v>3042</v>
      </c>
      <c r="AI569" s="131"/>
      <c r="AK569" s="66">
        <f t="shared" si="176"/>
        <v>0</v>
      </c>
      <c r="AL569" s="174">
        <f t="shared" si="177"/>
        <v>0</v>
      </c>
      <c r="AM569" s="346">
        <f>RTD("money.excel",,$G569,"PredictVolume")</f>
        <v>0</v>
      </c>
      <c r="AN569" s="272">
        <f>RTD("money.excel",,$G569,"CumulativeVolume")</f>
        <v>0</v>
      </c>
      <c r="AO569" s="284"/>
    </row>
    <row r="570" spans="1:41">
      <c r="A570" s="151" t="s">
        <v>2739</v>
      </c>
      <c r="B570" s="84">
        <v>118</v>
      </c>
      <c r="C570" s="84">
        <v>103</v>
      </c>
      <c r="D570" s="85">
        <v>-3</v>
      </c>
      <c r="E570" s="85">
        <v>-5</v>
      </c>
      <c r="F570" s="7">
        <v>0.69</v>
      </c>
      <c r="G570" s="85">
        <v>3259</v>
      </c>
      <c r="H570" s="55" t="s">
        <v>558</v>
      </c>
      <c r="I570" s="17" t="s">
        <v>648</v>
      </c>
      <c r="J570" s="371">
        <v>44.07</v>
      </c>
      <c r="K570" s="77">
        <v>15.97</v>
      </c>
      <c r="L570" s="371"/>
      <c r="N570" s="365">
        <f t="shared" si="178"/>
        <v>60.04</v>
      </c>
      <c r="O570" s="343">
        <f t="shared" si="179"/>
        <v>44.07</v>
      </c>
      <c r="P570" s="195">
        <v>0</v>
      </c>
      <c r="Q570" s="326" t="str">
        <f>IFERROR(VLOOKUP($G570,主力整理!$A$2:$G$2301,6,0),"0")</f>
        <v>0</v>
      </c>
      <c r="R570" s="111">
        <v>4</v>
      </c>
      <c r="S570" s="51">
        <v>0</v>
      </c>
      <c r="T570" s="339">
        <f t="shared" si="180"/>
        <v>4</v>
      </c>
      <c r="W570" s="35">
        <v>0</v>
      </c>
      <c r="X570" s="100">
        <v>-0.55000000000000004</v>
      </c>
      <c r="Y570" s="37" t="str">
        <f>RTD("money.excel",,"3259","Price")</f>
        <v>無資料</v>
      </c>
      <c r="Z570" s="69"/>
      <c r="AA570" s="16" t="e">
        <f t="shared" si="181"/>
        <v>#VALUE!</v>
      </c>
      <c r="AB570" s="3" t="e">
        <f t="shared" si="182"/>
        <v>#VALUE!</v>
      </c>
      <c r="AD570" s="17" t="s">
        <v>648</v>
      </c>
      <c r="AG570" s="34">
        <f t="shared" si="183"/>
        <v>0</v>
      </c>
      <c r="AH570" s="44" t="s">
        <v>3741</v>
      </c>
      <c r="AI570" s="131"/>
      <c r="AK570" s="66">
        <f t="shared" si="176"/>
        <v>0</v>
      </c>
      <c r="AL570" s="174">
        <f t="shared" si="177"/>
        <v>0</v>
      </c>
      <c r="AM570" s="346">
        <f>RTD("money.excel",,$G570,"PredictVolume")</f>
        <v>0</v>
      </c>
      <c r="AN570" s="272">
        <f>RTD("money.excel",,$G570,"CumulativeVolume")</f>
        <v>0</v>
      </c>
      <c r="AO570" s="284"/>
    </row>
    <row r="571" spans="1:41">
      <c r="A571" s="151" t="s">
        <v>3089</v>
      </c>
      <c r="B571" s="84">
        <v>116</v>
      </c>
      <c r="C571" s="84">
        <v>35</v>
      </c>
      <c r="D571" s="84">
        <v>7</v>
      </c>
      <c r="E571" s="84">
        <v>14</v>
      </c>
      <c r="F571" s="7">
        <v>7.23</v>
      </c>
      <c r="G571" s="85">
        <v>3260</v>
      </c>
      <c r="H571" s="55" t="s">
        <v>558</v>
      </c>
      <c r="I571" s="17" t="s">
        <v>396</v>
      </c>
      <c r="J571" s="371">
        <v>13.79</v>
      </c>
      <c r="K571" s="77">
        <v>2.8</v>
      </c>
      <c r="L571" s="371">
        <v>29.37</v>
      </c>
      <c r="M571" s="371">
        <v>5.48</v>
      </c>
      <c r="N571" s="365">
        <f t="shared" si="178"/>
        <v>51.44</v>
      </c>
      <c r="O571" s="343">
        <f t="shared" si="179"/>
        <v>19.27</v>
      </c>
      <c r="P571" s="195">
        <v>51</v>
      </c>
      <c r="Q571" s="326">
        <v>34</v>
      </c>
      <c r="R571" s="111">
        <v>25</v>
      </c>
      <c r="S571" s="51">
        <v>28</v>
      </c>
      <c r="T571" s="339">
        <f t="shared" si="180"/>
        <v>138</v>
      </c>
      <c r="U571" s="329" t="s">
        <v>6540</v>
      </c>
      <c r="V571" s="371">
        <v>10.46</v>
      </c>
      <c r="W571" s="69">
        <v>3.18</v>
      </c>
      <c r="X571" s="100">
        <v>10.55</v>
      </c>
      <c r="Y571" s="37" t="str">
        <f>RTD("money.excel",,"3260","Price")</f>
        <v>無資料</v>
      </c>
      <c r="Z571" s="69"/>
      <c r="AA571" s="16" t="e">
        <f t="shared" si="181"/>
        <v>#VALUE!</v>
      </c>
      <c r="AB571" s="3" t="e">
        <f t="shared" si="182"/>
        <v>#VALUE!</v>
      </c>
      <c r="AC571" s="177" t="s">
        <v>2929</v>
      </c>
      <c r="AD571" s="17" t="s">
        <v>396</v>
      </c>
      <c r="AG571" s="34">
        <f t="shared" si="183"/>
        <v>0</v>
      </c>
      <c r="AH571" s="125" t="s">
        <v>2131</v>
      </c>
      <c r="AI571" s="131"/>
      <c r="AK571" s="66">
        <f t="shared" si="176"/>
        <v>0</v>
      </c>
      <c r="AL571" s="174">
        <f t="shared" si="177"/>
        <v>0</v>
      </c>
      <c r="AM571" s="346">
        <f>RTD("money.excel",,$G571,"PredictVolume")</f>
        <v>0</v>
      </c>
      <c r="AN571" s="272">
        <f>RTD("money.excel",,$G571,"CumulativeVolume")</f>
        <v>0</v>
      </c>
      <c r="AO571" s="284"/>
    </row>
    <row r="572" spans="1:41">
      <c r="A572" s="135" t="s">
        <v>3099</v>
      </c>
      <c r="B572" s="84">
        <v>50</v>
      </c>
      <c r="C572" s="84">
        <v>44</v>
      </c>
      <c r="D572" s="84">
        <v>7</v>
      </c>
      <c r="E572" s="84">
        <v>28</v>
      </c>
      <c r="F572" s="59">
        <v>22.44</v>
      </c>
      <c r="G572" s="85">
        <v>3264</v>
      </c>
      <c r="H572" s="55" t="s">
        <v>558</v>
      </c>
      <c r="I572" s="17" t="s">
        <v>478</v>
      </c>
      <c r="J572" s="371">
        <v>56.83</v>
      </c>
      <c r="K572" s="77">
        <v>31.12</v>
      </c>
      <c r="L572" s="371">
        <v>6.96</v>
      </c>
      <c r="N572" s="365">
        <f t="shared" si="178"/>
        <v>94.91</v>
      </c>
      <c r="O572" s="343">
        <f t="shared" si="179"/>
        <v>56.83</v>
      </c>
      <c r="P572" s="195">
        <v>7</v>
      </c>
      <c r="Q572" s="326">
        <f>IFERROR(VLOOKUP($G572,主力整理!$A$2:$G$2301,6,0),"0")</f>
        <v>3</v>
      </c>
      <c r="R572" s="111">
        <v>1</v>
      </c>
      <c r="T572" s="339">
        <f t="shared" si="180"/>
        <v>11</v>
      </c>
      <c r="V572" s="371">
        <v>0.02</v>
      </c>
      <c r="W572" s="35">
        <v>2</v>
      </c>
      <c r="X572" s="59">
        <v>4.13</v>
      </c>
      <c r="Y572" s="37" t="str">
        <f>RTD("money.excel",,"3264","Price")</f>
        <v>無資料</v>
      </c>
      <c r="Z572" s="69"/>
      <c r="AA572" s="16" t="e">
        <f t="shared" si="181"/>
        <v>#VALUE!</v>
      </c>
      <c r="AB572" s="3" t="e">
        <f t="shared" si="182"/>
        <v>#VALUE!</v>
      </c>
      <c r="AC572" s="177" t="s">
        <v>2648</v>
      </c>
      <c r="AD572" s="17" t="s">
        <v>478</v>
      </c>
      <c r="AG572" s="34">
        <f t="shared" si="183"/>
        <v>0</v>
      </c>
      <c r="AH572" s="126" t="s">
        <v>3723</v>
      </c>
      <c r="AI572" s="131"/>
      <c r="AK572" s="66">
        <f t="shared" si="176"/>
        <v>0</v>
      </c>
      <c r="AL572" s="174">
        <f t="shared" si="177"/>
        <v>0</v>
      </c>
      <c r="AM572" s="346">
        <f>RTD("money.excel",,$G572,"PredictVolume")</f>
        <v>0</v>
      </c>
      <c r="AN572" s="272">
        <f>RTD("money.excel",,$G572,"CumulativeVolume")</f>
        <v>0</v>
      </c>
      <c r="AO572" s="284"/>
    </row>
    <row r="573" spans="1:41">
      <c r="A573" s="151" t="s">
        <v>2445</v>
      </c>
      <c r="B573" s="84">
        <v>34</v>
      </c>
      <c r="C573" s="84">
        <v>189</v>
      </c>
      <c r="D573" s="85">
        <v>-9</v>
      </c>
      <c r="E573" s="85">
        <v>-1</v>
      </c>
      <c r="F573" s="7">
        <v>5.3</v>
      </c>
      <c r="G573" s="85">
        <v>3265</v>
      </c>
      <c r="H573" s="55" t="s">
        <v>558</v>
      </c>
      <c r="I573" s="176" t="s">
        <v>146</v>
      </c>
      <c r="J573" s="77">
        <v>57.57</v>
      </c>
      <c r="K573" s="77">
        <v>60.14</v>
      </c>
      <c r="L573" s="77">
        <v>2.65</v>
      </c>
      <c r="N573" s="365">
        <f t="shared" si="178"/>
        <v>120.36000000000001</v>
      </c>
      <c r="O573" s="343">
        <f t="shared" si="179"/>
        <v>57.57</v>
      </c>
      <c r="P573" s="195">
        <v>1</v>
      </c>
      <c r="Q573" s="326" t="str">
        <f>IFERROR(VLOOKUP($G573,主力整理!$A$2:$G$2301,6,0),"0")</f>
        <v>0</v>
      </c>
      <c r="R573" s="111">
        <v>1</v>
      </c>
      <c r="T573" s="339">
        <f t="shared" si="180"/>
        <v>2</v>
      </c>
      <c r="V573" s="371">
        <v>0</v>
      </c>
      <c r="W573" s="205">
        <v>1.23</v>
      </c>
      <c r="X573" s="100">
        <v>1.54</v>
      </c>
      <c r="Y573" s="14" t="str">
        <f>RTD("money.excel",,"3265","Price")</f>
        <v>無資料</v>
      </c>
      <c r="Z573" s="69"/>
      <c r="AA573" s="16" t="e">
        <f t="shared" si="181"/>
        <v>#VALUE!</v>
      </c>
      <c r="AB573" s="3" t="e">
        <f t="shared" si="182"/>
        <v>#VALUE!</v>
      </c>
      <c r="AC573" s="177" t="s">
        <v>2648</v>
      </c>
      <c r="AD573" s="17" t="s">
        <v>146</v>
      </c>
      <c r="AG573" s="34">
        <f t="shared" si="183"/>
        <v>0</v>
      </c>
      <c r="AH573" s="125" t="s">
        <v>4957</v>
      </c>
      <c r="AI573" s="131"/>
      <c r="AK573" s="66">
        <f t="shared" si="176"/>
        <v>0</v>
      </c>
      <c r="AL573" s="174">
        <f t="shared" si="177"/>
        <v>0</v>
      </c>
      <c r="AM573" s="346">
        <f>RTD("money.excel",,$G573,"PredictVolume")</f>
        <v>0</v>
      </c>
      <c r="AN573" s="272">
        <f>RTD("money.excel",,$G573,"CumulativeVolume")</f>
        <v>0</v>
      </c>
      <c r="AO573" s="284"/>
    </row>
    <row r="574" spans="1:41">
      <c r="A574" s="151" t="s">
        <v>4595</v>
      </c>
      <c r="B574" s="84">
        <v>935</v>
      </c>
      <c r="C574" s="84">
        <v>456</v>
      </c>
      <c r="D574" s="84">
        <v>52</v>
      </c>
      <c r="E574" s="84">
        <v>28</v>
      </c>
      <c r="F574" s="7">
        <v>2.4500000000000002</v>
      </c>
      <c r="G574" s="85">
        <v>3268</v>
      </c>
      <c r="H574" s="55" t="s">
        <v>558</v>
      </c>
      <c r="I574" s="17" t="s">
        <v>649</v>
      </c>
      <c r="J574" s="371">
        <v>25.69</v>
      </c>
      <c r="K574" s="77">
        <v>0.87</v>
      </c>
      <c r="L574" s="371"/>
      <c r="N574" s="365">
        <f t="shared" si="178"/>
        <v>26.560000000000002</v>
      </c>
      <c r="O574" s="343">
        <f t="shared" si="179"/>
        <v>25.69</v>
      </c>
      <c r="P574" s="195" t="s">
        <v>5554</v>
      </c>
      <c r="Q574" s="326" t="str">
        <f>IFERROR(VLOOKUP($G574,主力整理!$A$2:$G$2301,6,0),"0")</f>
        <v>0</v>
      </c>
      <c r="R574" s="111">
        <v>26</v>
      </c>
      <c r="S574" s="51">
        <v>0</v>
      </c>
      <c r="T574" s="339">
        <f t="shared" si="180"/>
        <v>26</v>
      </c>
      <c r="W574" s="35">
        <v>0.5</v>
      </c>
      <c r="X574" s="100">
        <v>1.32</v>
      </c>
      <c r="Y574" s="37" t="str">
        <f>RTD("money.excel",,"3268","Price")</f>
        <v>無資料</v>
      </c>
      <c r="Z574" s="69"/>
      <c r="AA574" s="16" t="e">
        <f t="shared" si="181"/>
        <v>#VALUE!</v>
      </c>
      <c r="AB574" s="3" t="e">
        <f t="shared" si="182"/>
        <v>#VALUE!</v>
      </c>
      <c r="AD574" s="17" t="s">
        <v>649</v>
      </c>
      <c r="AG574" s="34">
        <f t="shared" si="183"/>
        <v>0</v>
      </c>
      <c r="AH574" s="44" t="s">
        <v>3742</v>
      </c>
      <c r="AI574" s="131"/>
      <c r="AK574" s="66">
        <f t="shared" si="176"/>
        <v>0</v>
      </c>
      <c r="AL574" s="174">
        <f t="shared" si="177"/>
        <v>0</v>
      </c>
      <c r="AM574" s="346">
        <f>RTD("money.excel",,$G574,"PredictVolume")</f>
        <v>0</v>
      </c>
      <c r="AN574" s="272">
        <f>RTD("money.excel",,$G574,"CumulativeVolume")</f>
        <v>0</v>
      </c>
      <c r="AO574" s="284"/>
    </row>
    <row r="575" spans="1:41">
      <c r="A575" s="151" t="s">
        <v>2570</v>
      </c>
      <c r="B575" s="85">
        <v>-23</v>
      </c>
      <c r="C575" s="85">
        <v>-10</v>
      </c>
      <c r="D575" s="85">
        <v>-35</v>
      </c>
      <c r="E575" s="84">
        <v>52</v>
      </c>
      <c r="F575" s="7">
        <v>10.69</v>
      </c>
      <c r="G575" s="85">
        <v>3317</v>
      </c>
      <c r="H575" s="54" t="s">
        <v>558</v>
      </c>
      <c r="I575" s="17" t="s">
        <v>325</v>
      </c>
      <c r="J575" s="77">
        <v>20.97</v>
      </c>
      <c r="K575" s="371">
        <v>1.17</v>
      </c>
      <c r="L575" s="371">
        <v>46.05</v>
      </c>
      <c r="N575" s="365">
        <f t="shared" si="178"/>
        <v>68.19</v>
      </c>
      <c r="O575" s="343">
        <f t="shared" si="179"/>
        <v>20.97</v>
      </c>
      <c r="P575" s="195" t="s">
        <v>5554</v>
      </c>
      <c r="Q575" s="326">
        <f>IFERROR(VLOOKUP($G575,主力整理!$A$2:$G$2301,6,0),"0")</f>
        <v>1</v>
      </c>
      <c r="R575" s="111">
        <v>4</v>
      </c>
      <c r="T575" s="339">
        <f t="shared" si="180"/>
        <v>5</v>
      </c>
      <c r="V575" s="371">
        <v>1.66</v>
      </c>
      <c r="W575" s="35">
        <v>1</v>
      </c>
      <c r="X575" s="100">
        <v>3.04</v>
      </c>
      <c r="Y575" s="37" t="str">
        <f>RTD("money.excel",,"3317","Price")</f>
        <v>無資料</v>
      </c>
      <c r="Z575" s="69"/>
      <c r="AA575" s="16" t="e">
        <f t="shared" si="181"/>
        <v>#VALUE!</v>
      </c>
      <c r="AB575" s="3" t="e">
        <f t="shared" si="182"/>
        <v>#VALUE!</v>
      </c>
      <c r="AC575" s="177" t="s">
        <v>2648</v>
      </c>
      <c r="AD575" s="17" t="s">
        <v>325</v>
      </c>
      <c r="AG575" s="34">
        <f t="shared" si="183"/>
        <v>0</v>
      </c>
      <c r="AH575" s="125" t="s">
        <v>3478</v>
      </c>
      <c r="AI575" s="131"/>
      <c r="AK575" s="66">
        <f t="shared" si="176"/>
        <v>0</v>
      </c>
      <c r="AL575" s="174">
        <f t="shared" si="177"/>
        <v>0</v>
      </c>
      <c r="AM575" s="346">
        <f>RTD("money.excel",,$G575,"PredictVolume")</f>
        <v>0</v>
      </c>
      <c r="AN575" s="272">
        <f>RTD("money.excel",,$G575,"CumulativeVolume")</f>
        <v>0</v>
      </c>
      <c r="AO575" s="284"/>
    </row>
    <row r="576" spans="1:41">
      <c r="A576" s="151" t="s">
        <v>2503</v>
      </c>
      <c r="B576" s="84">
        <v>76</v>
      </c>
      <c r="C576" s="84">
        <v>86</v>
      </c>
      <c r="D576" s="85">
        <v>-10</v>
      </c>
      <c r="E576" s="84">
        <v>32</v>
      </c>
      <c r="F576" s="7">
        <v>-0.7</v>
      </c>
      <c r="G576" s="85">
        <v>3372</v>
      </c>
      <c r="H576" s="55" t="s">
        <v>558</v>
      </c>
      <c r="I576" s="17" t="s">
        <v>650</v>
      </c>
      <c r="J576" s="77">
        <v>62.48</v>
      </c>
      <c r="K576" s="371">
        <v>2.5499999999999998</v>
      </c>
      <c r="L576" s="371">
        <v>0</v>
      </c>
      <c r="N576" s="365">
        <f t="shared" si="178"/>
        <v>65.03</v>
      </c>
      <c r="O576" s="343">
        <f t="shared" si="179"/>
        <v>62.48</v>
      </c>
      <c r="P576" s="195">
        <v>1</v>
      </c>
      <c r="Q576" s="326">
        <f>IFERROR(VLOOKUP($G576,主力整理!$A$2:$G$2301,6,0),"0")</f>
        <v>2</v>
      </c>
      <c r="R576" s="111">
        <v>10</v>
      </c>
      <c r="T576" s="339">
        <f t="shared" si="180"/>
        <v>13</v>
      </c>
      <c r="V576" s="371">
        <v>0</v>
      </c>
      <c r="W576" s="35">
        <v>0</v>
      </c>
      <c r="X576" s="59">
        <v>-0.06</v>
      </c>
      <c r="Y576" s="37" t="str">
        <f>RTD("money.excel",,"3372","Price")</f>
        <v>無資料</v>
      </c>
      <c r="Z576" s="69"/>
      <c r="AA576" s="16" t="e">
        <f t="shared" si="181"/>
        <v>#VALUE!</v>
      </c>
      <c r="AB576" s="3" t="e">
        <f t="shared" si="182"/>
        <v>#VALUE!</v>
      </c>
      <c r="AC576" s="177" t="s">
        <v>2648</v>
      </c>
      <c r="AD576" s="17" t="s">
        <v>650</v>
      </c>
      <c r="AG576" s="34">
        <f t="shared" si="183"/>
        <v>0</v>
      </c>
      <c r="AH576" s="44" t="s">
        <v>3743</v>
      </c>
      <c r="AI576" s="131"/>
      <c r="AK576" s="66">
        <f t="shared" si="176"/>
        <v>0</v>
      </c>
      <c r="AL576" s="174">
        <f t="shared" si="177"/>
        <v>0</v>
      </c>
      <c r="AM576" s="346">
        <f>RTD("money.excel",,$G576,"PredictVolume")</f>
        <v>0</v>
      </c>
      <c r="AN576" s="272">
        <f>RTD("money.excel",,$G576,"CumulativeVolume")</f>
        <v>0</v>
      </c>
      <c r="AO576" s="284"/>
    </row>
    <row r="577" spans="1:41">
      <c r="A577" s="135" t="s">
        <v>2536</v>
      </c>
      <c r="B577" s="84">
        <v>181</v>
      </c>
      <c r="C577" s="84">
        <v>202</v>
      </c>
      <c r="D577" s="84">
        <v>5</v>
      </c>
      <c r="E577" s="85">
        <v>-1</v>
      </c>
      <c r="F577" s="59">
        <v>26.72</v>
      </c>
      <c r="G577" s="85">
        <v>3374</v>
      </c>
      <c r="H577" s="55" t="s">
        <v>558</v>
      </c>
      <c r="I577" s="17" t="s">
        <v>323</v>
      </c>
      <c r="J577" s="371">
        <v>49.14</v>
      </c>
      <c r="K577" s="371">
        <v>7.55</v>
      </c>
      <c r="L577" s="371">
        <v>16.61</v>
      </c>
      <c r="N577" s="365">
        <f t="shared" si="178"/>
        <v>73.3</v>
      </c>
      <c r="O577" s="343">
        <f t="shared" si="179"/>
        <v>49.14</v>
      </c>
      <c r="P577" s="195">
        <v>8</v>
      </c>
      <c r="Q577" s="326">
        <v>7</v>
      </c>
      <c r="R577" s="111">
        <v>10</v>
      </c>
      <c r="S577" s="51">
        <v>33</v>
      </c>
      <c r="T577" s="339">
        <f t="shared" si="180"/>
        <v>58</v>
      </c>
      <c r="V577" s="371">
        <v>2.64</v>
      </c>
      <c r="W577" s="35">
        <v>2.5</v>
      </c>
      <c r="X577" s="100">
        <v>8.36</v>
      </c>
      <c r="Y577" s="37" t="str">
        <f>RTD("money.excel",,"3374","Price")</f>
        <v>無資料</v>
      </c>
      <c r="Z577" s="69"/>
      <c r="AA577" s="16" t="e">
        <f t="shared" si="181"/>
        <v>#VALUE!</v>
      </c>
      <c r="AB577" s="3" t="e">
        <f t="shared" si="182"/>
        <v>#VALUE!</v>
      </c>
      <c r="AC577" s="177" t="s">
        <v>6566</v>
      </c>
      <c r="AD577" s="17" t="s">
        <v>323</v>
      </c>
      <c r="AG577" s="34">
        <f t="shared" si="183"/>
        <v>0</v>
      </c>
      <c r="AH577" s="126" t="s">
        <v>3698</v>
      </c>
      <c r="AI577" s="131"/>
      <c r="AK577" s="66">
        <f t="shared" si="176"/>
        <v>0</v>
      </c>
      <c r="AL577" s="174">
        <f t="shared" si="177"/>
        <v>0</v>
      </c>
      <c r="AM577" s="346">
        <f>RTD("money.excel",,$G577,"PredictVolume")</f>
        <v>0</v>
      </c>
      <c r="AN577" s="272">
        <f>RTD("money.excel",,$G577,"CumulativeVolume")</f>
        <v>0</v>
      </c>
      <c r="AO577" s="284"/>
    </row>
    <row r="578" spans="1:41">
      <c r="A578" s="135" t="s">
        <v>4783</v>
      </c>
      <c r="B578" s="84">
        <v>155</v>
      </c>
      <c r="C578" s="84">
        <v>166</v>
      </c>
      <c r="D578" s="85">
        <v>-1</v>
      </c>
      <c r="E578" s="84">
        <v>21</v>
      </c>
      <c r="F578" s="59">
        <v>17.11</v>
      </c>
      <c r="G578" s="85">
        <v>3413</v>
      </c>
      <c r="H578" s="4" t="s">
        <v>558</v>
      </c>
      <c r="I578" s="23" t="s">
        <v>115</v>
      </c>
      <c r="J578" s="77">
        <v>38.85</v>
      </c>
      <c r="K578" s="77">
        <v>31.36</v>
      </c>
      <c r="L578" s="77">
        <v>21.15</v>
      </c>
      <c r="N578" s="365">
        <f t="shared" si="178"/>
        <v>91.360000000000014</v>
      </c>
      <c r="O578" s="343">
        <f t="shared" si="179"/>
        <v>38.85</v>
      </c>
      <c r="P578" s="195">
        <v>7</v>
      </c>
      <c r="Q578" s="326" t="str">
        <f>IFERROR(VLOOKUP($G578,主力整理!$A$2:$G$2301,6,0),"0")</f>
        <v>0</v>
      </c>
      <c r="R578" s="111">
        <v>9</v>
      </c>
      <c r="T578" s="339">
        <f t="shared" si="180"/>
        <v>16</v>
      </c>
      <c r="V578" s="371">
        <v>5.86</v>
      </c>
      <c r="W578" s="69">
        <v>7</v>
      </c>
      <c r="X578" s="59">
        <v>14.91</v>
      </c>
      <c r="Y578" s="37" t="str">
        <f>RTD("money.excel",,"3413","Price")</f>
        <v>無資料</v>
      </c>
      <c r="Z578" s="69"/>
      <c r="AA578" s="16" t="e">
        <f t="shared" si="181"/>
        <v>#VALUE!</v>
      </c>
      <c r="AB578" s="3" t="e">
        <f t="shared" si="182"/>
        <v>#VALUE!</v>
      </c>
      <c r="AC578" s="177" t="s">
        <v>2929</v>
      </c>
      <c r="AD578" s="23" t="s">
        <v>115</v>
      </c>
      <c r="AG578" s="34">
        <f t="shared" si="183"/>
        <v>0</v>
      </c>
      <c r="AH578" s="126" t="s">
        <v>2156</v>
      </c>
      <c r="AI578" s="131"/>
      <c r="AK578" s="66">
        <f t="shared" si="176"/>
        <v>0</v>
      </c>
      <c r="AL578" s="174">
        <f t="shared" si="177"/>
        <v>0</v>
      </c>
      <c r="AM578" s="346">
        <f>RTD("money.excel",,$G578,"PredictVolume")</f>
        <v>0</v>
      </c>
      <c r="AN578" s="272">
        <f>RTD("money.excel",,$G578,"CumulativeVolume")</f>
        <v>0</v>
      </c>
      <c r="AO578" s="284"/>
    </row>
    <row r="579" spans="1:41">
      <c r="A579" s="151" t="s">
        <v>3241</v>
      </c>
      <c r="B579" s="84">
        <v>355</v>
      </c>
      <c r="C579" s="84">
        <v>250</v>
      </c>
      <c r="D579" s="85">
        <v>-1</v>
      </c>
      <c r="E579" s="84">
        <v>28</v>
      </c>
      <c r="F579" s="7">
        <v>5.3</v>
      </c>
      <c r="G579" s="85">
        <v>3438</v>
      </c>
      <c r="H579" s="55" t="s">
        <v>558</v>
      </c>
      <c r="I579" s="17" t="s">
        <v>651</v>
      </c>
      <c r="J579" s="77">
        <v>63.21</v>
      </c>
      <c r="K579" s="77">
        <v>5.4</v>
      </c>
      <c r="L579" s="77">
        <v>7.73</v>
      </c>
      <c r="N579" s="365">
        <f t="shared" si="178"/>
        <v>76.34</v>
      </c>
      <c r="O579" s="343">
        <f t="shared" si="179"/>
        <v>63.21</v>
      </c>
      <c r="P579" s="195">
        <v>1</v>
      </c>
      <c r="Q579" s="326" t="str">
        <f>IFERROR(VLOOKUP($G579,主力整理!$A$2:$G$2301,6,0),"0")</f>
        <v>0</v>
      </c>
      <c r="R579" s="111">
        <v>12</v>
      </c>
      <c r="T579" s="339">
        <f t="shared" si="180"/>
        <v>13</v>
      </c>
      <c r="V579" s="371">
        <v>0.65</v>
      </c>
      <c r="W579" s="35">
        <v>1.5</v>
      </c>
      <c r="X579" s="100">
        <v>1.79</v>
      </c>
      <c r="Y579" s="37" t="str">
        <f>RTD("money.excel",,"3438","Price")</f>
        <v>無資料</v>
      </c>
      <c r="Z579" s="69"/>
      <c r="AA579" s="16" t="e">
        <f t="shared" si="181"/>
        <v>#VALUE!</v>
      </c>
      <c r="AB579" s="3" t="e">
        <f t="shared" si="182"/>
        <v>#VALUE!</v>
      </c>
      <c r="AC579" s="177" t="s">
        <v>2648</v>
      </c>
      <c r="AD579" s="17" t="s">
        <v>651</v>
      </c>
      <c r="AG579" s="34">
        <f t="shared" si="183"/>
        <v>0</v>
      </c>
      <c r="AH579" s="44" t="s">
        <v>2159</v>
      </c>
      <c r="AI579" s="131"/>
      <c r="AK579" s="66">
        <f t="shared" si="176"/>
        <v>0</v>
      </c>
      <c r="AL579" s="174">
        <f t="shared" si="177"/>
        <v>0</v>
      </c>
      <c r="AM579" s="346">
        <f>RTD("money.excel",,$G579,"PredictVolume")</f>
        <v>0</v>
      </c>
      <c r="AN579" s="272">
        <f>RTD("money.excel",,$G579,"CumulativeVolume")</f>
        <v>0</v>
      </c>
      <c r="AO579" s="284"/>
    </row>
    <row r="580" spans="1:41">
      <c r="A580" s="135" t="s">
        <v>2481</v>
      </c>
      <c r="B580" s="84">
        <v>211</v>
      </c>
      <c r="C580" s="84">
        <v>381</v>
      </c>
      <c r="D580" s="85">
        <v>-23</v>
      </c>
      <c r="E580" s="85">
        <v>-6</v>
      </c>
      <c r="F580" s="59">
        <v>10.68</v>
      </c>
      <c r="G580" s="85">
        <v>3443</v>
      </c>
      <c r="H580" s="53" t="s">
        <v>558</v>
      </c>
      <c r="I580" s="23" t="s">
        <v>100</v>
      </c>
      <c r="J580" s="77">
        <v>58.7</v>
      </c>
      <c r="K580" s="77">
        <v>36.82</v>
      </c>
      <c r="L580" s="77">
        <v>11.88</v>
      </c>
      <c r="N580" s="365">
        <f t="shared" si="178"/>
        <v>107.4</v>
      </c>
      <c r="O580" s="343">
        <f t="shared" si="179"/>
        <v>58.7</v>
      </c>
      <c r="P580" s="195">
        <v>7</v>
      </c>
      <c r="Q580" s="326">
        <f>IFERROR(VLOOKUP($G580,主力整理!$A$2:$G$2301,6,0),"0")</f>
        <v>2</v>
      </c>
      <c r="R580" s="111">
        <v>9</v>
      </c>
      <c r="T580" s="339">
        <f t="shared" si="180"/>
        <v>18</v>
      </c>
      <c r="V580" s="371">
        <v>0.44</v>
      </c>
      <c r="W580" s="69">
        <v>5</v>
      </c>
      <c r="X580" s="59">
        <v>7.9</v>
      </c>
      <c r="Y580" s="37" t="str">
        <f>RTD("money.excel",,"3443","Price")</f>
        <v>無資料</v>
      </c>
      <c r="Z580" s="69"/>
      <c r="AA580" s="16" t="e">
        <f t="shared" si="181"/>
        <v>#VALUE!</v>
      </c>
      <c r="AB580" s="3" t="e">
        <f t="shared" si="182"/>
        <v>#VALUE!</v>
      </c>
      <c r="AC580" s="177" t="s">
        <v>2929</v>
      </c>
      <c r="AD580" s="23" t="s">
        <v>100</v>
      </c>
      <c r="AG580" s="34">
        <f t="shared" si="183"/>
        <v>0</v>
      </c>
      <c r="AH580" s="126" t="s">
        <v>5268</v>
      </c>
      <c r="AI580" s="284"/>
      <c r="AK580" s="66">
        <f t="shared" si="176"/>
        <v>0</v>
      </c>
      <c r="AL580" s="174">
        <f t="shared" si="177"/>
        <v>0</v>
      </c>
      <c r="AM580" s="346">
        <f>RTD("money.excel",,$G580,"PredictVolume")</f>
        <v>0</v>
      </c>
      <c r="AN580" s="272">
        <f>RTD("money.excel",,$G580,"CumulativeVolume")</f>
        <v>0</v>
      </c>
      <c r="AO580" s="284"/>
    </row>
    <row r="581" spans="1:41">
      <c r="A581" s="151" t="s">
        <v>3151</v>
      </c>
      <c r="B581" s="85">
        <v>-82</v>
      </c>
      <c r="C581" s="85">
        <v>-99</v>
      </c>
      <c r="D581" s="85">
        <v>-23</v>
      </c>
      <c r="E581" s="85">
        <v>-1</v>
      </c>
      <c r="F581" s="7">
        <v>0.13</v>
      </c>
      <c r="G581" s="85">
        <v>3527</v>
      </c>
      <c r="H581" s="4" t="s">
        <v>558</v>
      </c>
      <c r="I581" s="17" t="s">
        <v>588</v>
      </c>
      <c r="J581" s="77">
        <v>20.14</v>
      </c>
      <c r="K581" s="77">
        <v>2.86</v>
      </c>
      <c r="L581" s="77">
        <v>35.46</v>
      </c>
      <c r="N581" s="365">
        <f t="shared" si="178"/>
        <v>58.46</v>
      </c>
      <c r="O581" s="343">
        <f t="shared" si="179"/>
        <v>20.14</v>
      </c>
      <c r="P581" s="195">
        <v>5</v>
      </c>
      <c r="Q581" s="326">
        <f>IFERROR(VLOOKUP($G581,主力整理!$A$2:$G$2301,6,0),"0")</f>
        <v>2</v>
      </c>
      <c r="R581" s="111">
        <v>3</v>
      </c>
      <c r="T581" s="339">
        <f t="shared" si="180"/>
        <v>10</v>
      </c>
      <c r="V581" s="371">
        <v>0.28999999999999998</v>
      </c>
      <c r="W581" s="35">
        <v>2</v>
      </c>
      <c r="X581" s="100">
        <v>1.63</v>
      </c>
      <c r="Y581" s="37" t="str">
        <f>RTD("money.excel",,"3527","Price")</f>
        <v>無資料</v>
      </c>
      <c r="Z581" s="69"/>
      <c r="AA581" s="16" t="e">
        <f t="shared" si="181"/>
        <v>#VALUE!</v>
      </c>
      <c r="AB581" s="3" t="e">
        <f t="shared" si="182"/>
        <v>#VALUE!</v>
      </c>
      <c r="AC581" s="177" t="s">
        <v>2648</v>
      </c>
      <c r="AD581" s="17" t="s">
        <v>588</v>
      </c>
      <c r="AG581" s="34">
        <f t="shared" si="183"/>
        <v>0</v>
      </c>
      <c r="AH581" s="44" t="s">
        <v>3744</v>
      </c>
      <c r="AI581" s="131"/>
      <c r="AK581" s="66">
        <f t="shared" si="176"/>
        <v>0</v>
      </c>
      <c r="AL581" s="174">
        <f t="shared" si="177"/>
        <v>0</v>
      </c>
      <c r="AM581" s="346">
        <f>RTD("money.excel",,$G581,"PredictVolume")</f>
        <v>0</v>
      </c>
      <c r="AN581" s="272">
        <f>RTD("money.excel",,$G581,"CumulativeVolume")</f>
        <v>0</v>
      </c>
      <c r="AO581" s="284"/>
    </row>
    <row r="582" spans="1:41">
      <c r="A582" s="135" t="s">
        <v>2409</v>
      </c>
      <c r="B582" s="84">
        <v>30</v>
      </c>
      <c r="C582" s="84">
        <v>32</v>
      </c>
      <c r="D582" s="85">
        <v>-70</v>
      </c>
      <c r="E582" s="84">
        <v>48</v>
      </c>
      <c r="F582" s="59">
        <v>46.3</v>
      </c>
      <c r="G582" s="85">
        <v>3529</v>
      </c>
      <c r="H582" s="55" t="s">
        <v>558</v>
      </c>
      <c r="I582" s="17" t="s">
        <v>67</v>
      </c>
      <c r="J582" s="371">
        <v>41.89</v>
      </c>
      <c r="K582" s="77">
        <v>67.680000000000007</v>
      </c>
      <c r="L582" s="371">
        <v>6.24</v>
      </c>
      <c r="N582" s="365">
        <f t="shared" si="178"/>
        <v>115.81</v>
      </c>
      <c r="O582" s="343">
        <f t="shared" si="179"/>
        <v>41.89</v>
      </c>
      <c r="P582" s="195">
        <v>5</v>
      </c>
      <c r="Q582" s="326" t="str">
        <f>IFERROR(VLOOKUP($G582,主力整理!$A$2:$G$2301,6,0),"0")</f>
        <v>0</v>
      </c>
      <c r="R582" s="111">
        <v>11</v>
      </c>
      <c r="T582" s="339">
        <f t="shared" si="180"/>
        <v>16</v>
      </c>
      <c r="V582" s="371">
        <v>0.96</v>
      </c>
      <c r="W582" s="69">
        <v>9</v>
      </c>
      <c r="X582" s="100">
        <v>9.52</v>
      </c>
      <c r="Y582" s="160" t="str">
        <f>RTD("money.excel",,"3529","Price")</f>
        <v>無資料</v>
      </c>
      <c r="Z582" s="69"/>
      <c r="AA582" s="146" t="e">
        <f t="shared" si="181"/>
        <v>#VALUE!</v>
      </c>
      <c r="AB582" s="3" t="e">
        <f t="shared" si="182"/>
        <v>#VALUE!</v>
      </c>
      <c r="AC582" s="177" t="s">
        <v>2929</v>
      </c>
      <c r="AD582" s="17" t="s">
        <v>67</v>
      </c>
      <c r="AG582" s="34">
        <f t="shared" si="183"/>
        <v>0</v>
      </c>
      <c r="AH582" s="126" t="s">
        <v>4548</v>
      </c>
      <c r="AI582" s="131"/>
      <c r="AK582" s="66">
        <f t="shared" si="176"/>
        <v>0</v>
      </c>
      <c r="AL582" s="174">
        <f t="shared" si="177"/>
        <v>0</v>
      </c>
      <c r="AM582" s="346">
        <f>RTD("money.excel",,$G582,"PredictVolume")</f>
        <v>0</v>
      </c>
      <c r="AN582" s="272">
        <f>RTD("money.excel",,$G582,"CumulativeVolume")</f>
        <v>0</v>
      </c>
      <c r="AO582" s="284"/>
    </row>
    <row r="583" spans="1:41">
      <c r="A583" s="135" t="s">
        <v>2906</v>
      </c>
      <c r="B583" s="84">
        <v>555</v>
      </c>
      <c r="C583" s="84">
        <v>674</v>
      </c>
      <c r="D583" s="85">
        <v>-3</v>
      </c>
      <c r="E583" s="84">
        <v>28</v>
      </c>
      <c r="F583" s="59">
        <v>21.69</v>
      </c>
      <c r="G583" s="85">
        <v>3530</v>
      </c>
      <c r="H583" s="54" t="s">
        <v>558</v>
      </c>
      <c r="I583" s="23" t="s">
        <v>965</v>
      </c>
      <c r="J583" s="77">
        <v>48.19</v>
      </c>
      <c r="K583" s="371">
        <v>54.45</v>
      </c>
      <c r="L583" s="371">
        <v>25.76</v>
      </c>
      <c r="N583" s="365">
        <f t="shared" si="178"/>
        <v>128.4</v>
      </c>
      <c r="O583" s="343">
        <f t="shared" si="179"/>
        <v>48.19</v>
      </c>
      <c r="P583" s="195">
        <v>5</v>
      </c>
      <c r="Q583" s="326">
        <v>6</v>
      </c>
      <c r="R583" s="111">
        <v>19</v>
      </c>
      <c r="S583" s="51">
        <v>4</v>
      </c>
      <c r="T583" s="339">
        <f t="shared" si="180"/>
        <v>34</v>
      </c>
      <c r="V583" s="371">
        <v>10.73</v>
      </c>
      <c r="W583" s="35">
        <v>2.8</v>
      </c>
      <c r="X583" s="100">
        <v>7.68</v>
      </c>
      <c r="Y583" s="14" t="str">
        <f>RTD("money.excel",,"3530","Price")</f>
        <v>無資料</v>
      </c>
      <c r="Z583" s="69"/>
      <c r="AA583" s="16" t="e">
        <f t="shared" si="181"/>
        <v>#VALUE!</v>
      </c>
      <c r="AB583" s="3" t="e">
        <f t="shared" si="182"/>
        <v>#VALUE!</v>
      </c>
      <c r="AC583" s="177" t="s">
        <v>2648</v>
      </c>
      <c r="AD583" s="23" t="s">
        <v>965</v>
      </c>
      <c r="AG583" s="34">
        <f t="shared" si="183"/>
        <v>0</v>
      </c>
      <c r="AH583" s="63" t="s">
        <v>3688</v>
      </c>
      <c r="AI583" s="131"/>
      <c r="AK583" s="66">
        <f t="shared" si="176"/>
        <v>0</v>
      </c>
      <c r="AL583" s="174">
        <f t="shared" si="177"/>
        <v>0</v>
      </c>
      <c r="AM583" s="346">
        <f>RTD("money.excel",,$G583,"PredictVolume")</f>
        <v>0</v>
      </c>
      <c r="AN583" s="272">
        <f>RTD("money.excel",,$G583,"CumulativeVolume")</f>
        <v>0</v>
      </c>
      <c r="AO583" s="284"/>
    </row>
    <row r="584" spans="1:41">
      <c r="A584" s="135" t="s">
        <v>2493</v>
      </c>
      <c r="B584" s="85">
        <v>-48</v>
      </c>
      <c r="C584" s="85">
        <v>-40</v>
      </c>
      <c r="D584" s="84">
        <v>4</v>
      </c>
      <c r="E584" s="84">
        <v>11</v>
      </c>
      <c r="F584" s="59">
        <v>14.95</v>
      </c>
      <c r="G584" s="85">
        <v>3532</v>
      </c>
      <c r="H584" s="4" t="s">
        <v>558</v>
      </c>
      <c r="I584" s="23" t="s">
        <v>85</v>
      </c>
      <c r="J584" s="371">
        <v>85.54</v>
      </c>
      <c r="K584" s="77">
        <v>54.05</v>
      </c>
      <c r="L584" s="77">
        <v>5.22</v>
      </c>
      <c r="N584" s="365">
        <f t="shared" si="178"/>
        <v>144.81</v>
      </c>
      <c r="O584" s="343">
        <f t="shared" si="179"/>
        <v>85.54</v>
      </c>
      <c r="P584" s="195">
        <v>6</v>
      </c>
      <c r="Q584" s="326" t="str">
        <f>IFERROR(VLOOKUP($G584,主力整理!$A$2:$G$2301,6,0),"0")</f>
        <v>0</v>
      </c>
      <c r="R584" s="111">
        <v>9</v>
      </c>
      <c r="T584" s="339">
        <f t="shared" si="180"/>
        <v>15</v>
      </c>
      <c r="V584" s="371">
        <v>0.19</v>
      </c>
      <c r="W584" s="35">
        <v>2.15</v>
      </c>
      <c r="X584" s="100">
        <v>3.37</v>
      </c>
      <c r="Y584" s="14" t="str">
        <f>RTD("money.excel",,"3532","Price")</f>
        <v>無資料</v>
      </c>
      <c r="Z584" s="69"/>
      <c r="AA584" s="16" t="e">
        <f t="shared" si="181"/>
        <v>#VALUE!</v>
      </c>
      <c r="AB584" s="3" t="e">
        <f t="shared" si="182"/>
        <v>#VALUE!</v>
      </c>
      <c r="AC584" s="177" t="s">
        <v>2648</v>
      </c>
      <c r="AD584" s="23" t="s">
        <v>85</v>
      </c>
      <c r="AG584" s="34">
        <f t="shared" si="183"/>
        <v>0</v>
      </c>
      <c r="AH584" s="126" t="s">
        <v>4029</v>
      </c>
      <c r="AI584" s="131"/>
      <c r="AK584" s="66">
        <f t="shared" si="176"/>
        <v>0</v>
      </c>
      <c r="AL584" s="174">
        <f t="shared" si="177"/>
        <v>0</v>
      </c>
      <c r="AM584" s="346">
        <f>RTD("money.excel",,$G584,"PredictVolume")</f>
        <v>0</v>
      </c>
      <c r="AN584" s="272">
        <f>RTD("money.excel",,$G584,"CumulativeVolume")</f>
        <v>0</v>
      </c>
      <c r="AO584" s="284"/>
    </row>
    <row r="585" spans="1:41">
      <c r="A585" s="151" t="s">
        <v>2631</v>
      </c>
      <c r="B585" s="96">
        <v>10</v>
      </c>
      <c r="C585" s="96">
        <v>10</v>
      </c>
      <c r="D585" s="96">
        <v>-8</v>
      </c>
      <c r="E585" s="96">
        <v>74</v>
      </c>
      <c r="F585" s="7">
        <v>-20.74</v>
      </c>
      <c r="G585" s="85">
        <v>3536</v>
      </c>
      <c r="H585" s="4" t="s">
        <v>558</v>
      </c>
      <c r="I585" s="23" t="s">
        <v>629</v>
      </c>
      <c r="J585" s="77">
        <v>55.86</v>
      </c>
      <c r="K585" s="77">
        <v>0.36</v>
      </c>
      <c r="N585" s="365">
        <f t="shared" si="178"/>
        <v>56.22</v>
      </c>
      <c r="O585" s="343">
        <f t="shared" si="179"/>
        <v>55.86</v>
      </c>
      <c r="P585" s="195" t="s">
        <v>5554</v>
      </c>
      <c r="Q585" s="326" t="str">
        <f>IFERROR(VLOOKUP($G585,主力整理!$A$2:$G$2301,6,0),"0")</f>
        <v>0</v>
      </c>
      <c r="R585" s="111">
        <v>26</v>
      </c>
      <c r="T585" s="339">
        <f t="shared" si="180"/>
        <v>26</v>
      </c>
      <c r="V585" s="371">
        <v>27.24</v>
      </c>
      <c r="W585" s="35">
        <v>0</v>
      </c>
      <c r="X585" s="100">
        <v>-1.0900000000000001</v>
      </c>
      <c r="Y585" s="37" t="str">
        <f>RTD("money.excel",,"3536","Price")</f>
        <v>無資料</v>
      </c>
      <c r="Z585" s="69"/>
      <c r="AA585" s="16" t="e">
        <f t="shared" si="181"/>
        <v>#VALUE!</v>
      </c>
      <c r="AB585" s="3" t="e">
        <f t="shared" si="182"/>
        <v>#VALUE!</v>
      </c>
      <c r="AD585" s="23" t="s">
        <v>629</v>
      </c>
      <c r="AG585" s="34">
        <f t="shared" si="183"/>
        <v>0</v>
      </c>
      <c r="AH585" s="44" t="s">
        <v>3483</v>
      </c>
      <c r="AI585" s="131"/>
      <c r="AK585" s="66">
        <f t="shared" si="176"/>
        <v>0</v>
      </c>
      <c r="AL585" s="174">
        <f t="shared" si="177"/>
        <v>0</v>
      </c>
      <c r="AM585" s="346">
        <f>RTD("money.excel",,$G585,"PredictVolume")</f>
        <v>0</v>
      </c>
      <c r="AN585" s="272">
        <f>RTD("money.excel",,$G585,"CumulativeVolume")</f>
        <v>0</v>
      </c>
      <c r="AO585" s="284"/>
    </row>
    <row r="586" spans="1:41">
      <c r="A586" s="135" t="s">
        <v>5502</v>
      </c>
      <c r="B586" s="98">
        <v>1012</v>
      </c>
      <c r="C586" s="98">
        <v>1190</v>
      </c>
      <c r="D586" s="85">
        <v>-8</v>
      </c>
      <c r="E586" s="84">
        <v>24</v>
      </c>
      <c r="F586" s="59">
        <v>32.83</v>
      </c>
      <c r="G586" s="85">
        <v>3545</v>
      </c>
      <c r="H586" s="4" t="s">
        <v>558</v>
      </c>
      <c r="I586" s="23" t="s">
        <v>631</v>
      </c>
      <c r="J586" s="77">
        <v>19.53</v>
      </c>
      <c r="K586" s="371">
        <v>19.93</v>
      </c>
      <c r="L586" s="77">
        <v>38.85</v>
      </c>
      <c r="M586" s="77">
        <v>2.5</v>
      </c>
      <c r="N586" s="365">
        <f t="shared" si="178"/>
        <v>80.81</v>
      </c>
      <c r="O586" s="343">
        <f t="shared" si="179"/>
        <v>22.03</v>
      </c>
      <c r="P586" s="195">
        <v>41</v>
      </c>
      <c r="Q586" s="326">
        <v>32</v>
      </c>
      <c r="R586" s="31">
        <v>23</v>
      </c>
      <c r="S586" s="51">
        <v>53</v>
      </c>
      <c r="T586" s="339">
        <f t="shared" si="180"/>
        <v>149</v>
      </c>
      <c r="U586" s="329" t="s">
        <v>6541</v>
      </c>
      <c r="V586" s="371">
        <v>7.79</v>
      </c>
      <c r="W586" s="69">
        <v>3.23</v>
      </c>
      <c r="X586" s="100">
        <v>24.89</v>
      </c>
      <c r="Y586" s="37" t="str">
        <f>RTD("money.excel",,"3545","Price")</f>
        <v>無資料</v>
      </c>
      <c r="Z586" s="69"/>
      <c r="AA586" s="16" t="e">
        <f t="shared" si="181"/>
        <v>#VALUE!</v>
      </c>
      <c r="AB586" s="3" t="e">
        <f t="shared" si="182"/>
        <v>#VALUE!</v>
      </c>
      <c r="AC586" s="177" t="s">
        <v>2929</v>
      </c>
      <c r="AD586" s="23" t="s">
        <v>631</v>
      </c>
      <c r="AG586" s="34">
        <f t="shared" si="183"/>
        <v>0</v>
      </c>
      <c r="AH586" s="63" t="s">
        <v>3725</v>
      </c>
      <c r="AI586" s="131"/>
      <c r="AK586" s="66">
        <f t="shared" si="176"/>
        <v>0</v>
      </c>
      <c r="AL586" s="174">
        <f t="shared" si="177"/>
        <v>0</v>
      </c>
      <c r="AM586" s="346">
        <f>RTD("money.excel",,$G586,"PredictVolume")</f>
        <v>0</v>
      </c>
      <c r="AN586" s="272">
        <f>RTD("money.excel",,$G586,"CumulativeVolume")</f>
        <v>0</v>
      </c>
      <c r="AO586" s="284"/>
    </row>
    <row r="587" spans="1:41">
      <c r="A587" s="151" t="s">
        <v>2740</v>
      </c>
      <c r="B587" s="96">
        <v>-5</v>
      </c>
      <c r="C587" s="96">
        <v>68</v>
      </c>
      <c r="D587" s="96">
        <v>-70</v>
      </c>
      <c r="E587" s="96">
        <v>-93</v>
      </c>
      <c r="F587" s="7">
        <v>-15.41</v>
      </c>
      <c r="G587" s="85">
        <v>3555</v>
      </c>
      <c r="H587" s="55" t="s">
        <v>558</v>
      </c>
      <c r="I587" s="17" t="s">
        <v>4596</v>
      </c>
      <c r="J587" s="77">
        <v>87.07</v>
      </c>
      <c r="K587" s="371">
        <v>3.43</v>
      </c>
      <c r="L587" s="371">
        <v>3.04</v>
      </c>
      <c r="N587" s="365">
        <f t="shared" si="178"/>
        <v>93.54</v>
      </c>
      <c r="O587" s="343">
        <f t="shared" si="179"/>
        <v>87.07</v>
      </c>
      <c r="P587" s="195" t="s">
        <v>5554</v>
      </c>
      <c r="Q587" s="326" t="str">
        <f>IFERROR(VLOOKUP($G587,主力整理!$A$2:$G$2301,6,0),"0")</f>
        <v>0</v>
      </c>
      <c r="R587" s="111">
        <v>4</v>
      </c>
      <c r="T587" s="339">
        <f t="shared" si="180"/>
        <v>4</v>
      </c>
      <c r="V587" s="371">
        <v>24.22</v>
      </c>
      <c r="W587" s="35">
        <v>0</v>
      </c>
      <c r="X587" s="100">
        <v>-1.78</v>
      </c>
      <c r="Y587" s="14" t="str">
        <f>RTD("money.excel",,"3555","Price")</f>
        <v>無資料</v>
      </c>
      <c r="Z587" s="69"/>
      <c r="AA587" s="16" t="e">
        <f t="shared" si="181"/>
        <v>#VALUE!</v>
      </c>
      <c r="AB587" s="3" t="e">
        <f t="shared" si="182"/>
        <v>#VALUE!</v>
      </c>
      <c r="AD587" s="17" t="s">
        <v>4596</v>
      </c>
      <c r="AG587" s="34">
        <f t="shared" si="183"/>
        <v>0</v>
      </c>
      <c r="AH587" s="44" t="s">
        <v>3800</v>
      </c>
      <c r="AI587" s="131"/>
      <c r="AK587" s="66">
        <f t="shared" si="176"/>
        <v>0</v>
      </c>
      <c r="AL587" s="174">
        <f t="shared" si="177"/>
        <v>0</v>
      </c>
      <c r="AM587" s="346">
        <f>RTD("money.excel",,$G587,"PredictVolume")</f>
        <v>0</v>
      </c>
      <c r="AN587" s="272">
        <f>RTD("money.excel",,$G587,"CumulativeVolume")</f>
        <v>0</v>
      </c>
      <c r="AO587" s="284"/>
    </row>
    <row r="588" spans="1:41">
      <c r="A588" s="135" t="s">
        <v>2570</v>
      </c>
      <c r="B588" s="84">
        <v>39</v>
      </c>
      <c r="C588" s="84">
        <v>40</v>
      </c>
      <c r="D588" s="85">
        <v>-1</v>
      </c>
      <c r="E588" s="84">
        <v>54</v>
      </c>
      <c r="F588" s="59">
        <v>28.16</v>
      </c>
      <c r="G588" s="85">
        <v>3556</v>
      </c>
      <c r="H588" s="55" t="s">
        <v>558</v>
      </c>
      <c r="I588" s="17" t="s">
        <v>652</v>
      </c>
      <c r="J588" s="371">
        <v>13.67</v>
      </c>
      <c r="K588" s="77">
        <v>7.4</v>
      </c>
      <c r="L588" s="77">
        <v>28.17</v>
      </c>
      <c r="N588" s="365">
        <f t="shared" si="178"/>
        <v>49.24</v>
      </c>
      <c r="O588" s="343">
        <f t="shared" si="179"/>
        <v>13.67</v>
      </c>
      <c r="P588" s="195">
        <v>0</v>
      </c>
      <c r="Q588" s="326">
        <v>4</v>
      </c>
      <c r="R588" s="111">
        <v>8</v>
      </c>
      <c r="S588" s="51">
        <v>2</v>
      </c>
      <c r="T588" s="339">
        <f t="shared" si="180"/>
        <v>14</v>
      </c>
      <c r="V588" s="371">
        <v>1.44</v>
      </c>
      <c r="W588" s="69">
        <v>3.45</v>
      </c>
      <c r="X588" s="100">
        <v>3.88</v>
      </c>
      <c r="Y588" s="37" t="str">
        <f>RTD("money.excel",,"3556","Price")</f>
        <v>無資料</v>
      </c>
      <c r="Z588" s="69"/>
      <c r="AA588" s="16" t="e">
        <f t="shared" si="181"/>
        <v>#VALUE!</v>
      </c>
      <c r="AB588" s="3" t="e">
        <f t="shared" si="182"/>
        <v>#VALUE!</v>
      </c>
      <c r="AC588" s="177" t="s">
        <v>2700</v>
      </c>
      <c r="AD588" s="17" t="s">
        <v>652</v>
      </c>
      <c r="AG588" s="34">
        <f t="shared" si="183"/>
        <v>0</v>
      </c>
      <c r="AH588" s="63" t="s">
        <v>3745</v>
      </c>
      <c r="AI588" s="131"/>
      <c r="AK588" s="66">
        <f t="shared" si="176"/>
        <v>0</v>
      </c>
      <c r="AL588" s="174">
        <f t="shared" si="177"/>
        <v>0</v>
      </c>
      <c r="AM588" s="346">
        <f>RTD("money.excel",,$G588,"PredictVolume")</f>
        <v>0</v>
      </c>
      <c r="AN588" s="272">
        <f>RTD("money.excel",,$G588,"CumulativeVolume")</f>
        <v>0</v>
      </c>
      <c r="AO588" s="284"/>
    </row>
    <row r="589" spans="1:41">
      <c r="A589" s="135" t="s">
        <v>3017</v>
      </c>
      <c r="B589" s="84">
        <v>38</v>
      </c>
      <c r="C589" s="84">
        <v>41</v>
      </c>
      <c r="D589" s="85">
        <v>-4</v>
      </c>
      <c r="E589" s="84">
        <v>5</v>
      </c>
      <c r="F589" s="59">
        <v>24.75</v>
      </c>
      <c r="G589" s="85">
        <v>3567</v>
      </c>
      <c r="H589" s="55" t="s">
        <v>558</v>
      </c>
      <c r="I589" s="17" t="s">
        <v>653</v>
      </c>
      <c r="J589" s="77">
        <v>21.52</v>
      </c>
      <c r="K589" s="77">
        <v>1.05</v>
      </c>
      <c r="L589" s="371">
        <v>12.46</v>
      </c>
      <c r="N589" s="365">
        <f t="shared" si="178"/>
        <v>35.03</v>
      </c>
      <c r="O589" s="343">
        <f t="shared" si="179"/>
        <v>21.52</v>
      </c>
      <c r="P589" s="195" t="s">
        <v>5554</v>
      </c>
      <c r="Q589" s="326" t="str">
        <f>IFERROR(VLOOKUP($G589,主力整理!$A$2:$G$2301,6,0),"0")</f>
        <v>0</v>
      </c>
      <c r="R589" s="111">
        <v>2</v>
      </c>
      <c r="T589" s="339">
        <f t="shared" si="180"/>
        <v>2</v>
      </c>
      <c r="V589" s="371">
        <v>0.02</v>
      </c>
      <c r="W589" s="35">
        <v>2</v>
      </c>
      <c r="X589" s="100">
        <v>2.35</v>
      </c>
      <c r="Y589" s="37" t="str">
        <f>RTD("money.excel",,"3567","Price")</f>
        <v>無資料</v>
      </c>
      <c r="Z589" s="69"/>
      <c r="AA589" s="16" t="e">
        <f t="shared" si="181"/>
        <v>#VALUE!</v>
      </c>
      <c r="AB589" s="3" t="e">
        <f t="shared" si="182"/>
        <v>#VALUE!</v>
      </c>
      <c r="AD589" s="17" t="s">
        <v>653</v>
      </c>
      <c r="AG589" s="34">
        <f t="shared" si="183"/>
        <v>0</v>
      </c>
      <c r="AH589" s="63" t="s">
        <v>3714</v>
      </c>
      <c r="AI589" s="131"/>
      <c r="AK589" s="66">
        <f t="shared" si="176"/>
        <v>0</v>
      </c>
      <c r="AL589" s="174">
        <f t="shared" si="177"/>
        <v>0</v>
      </c>
      <c r="AM589" s="346">
        <f>RTD("money.excel",,$G589,"PredictVolume")</f>
        <v>0</v>
      </c>
      <c r="AN589" s="272">
        <f>RTD("money.excel",,$G589,"CumulativeVolume")</f>
        <v>0</v>
      </c>
      <c r="AO589" s="284"/>
    </row>
    <row r="590" spans="1:41">
      <c r="A590" s="151" t="s">
        <v>4597</v>
      </c>
      <c r="B590" s="96">
        <v>6</v>
      </c>
      <c r="C590" s="96">
        <v>28</v>
      </c>
      <c r="D590" s="96">
        <v>-28</v>
      </c>
      <c r="E590" s="96">
        <v>21</v>
      </c>
      <c r="F590" s="7">
        <v>9.33</v>
      </c>
      <c r="G590" s="85">
        <v>3581</v>
      </c>
      <c r="H590" s="55" t="s">
        <v>558</v>
      </c>
      <c r="I590" s="17" t="s">
        <v>654</v>
      </c>
      <c r="J590" s="77">
        <v>63.85</v>
      </c>
      <c r="K590" s="77">
        <v>7.24</v>
      </c>
      <c r="L590" s="77">
        <v>4.92</v>
      </c>
      <c r="N590" s="365">
        <f t="shared" si="178"/>
        <v>76.010000000000005</v>
      </c>
      <c r="O590" s="343">
        <f t="shared" si="179"/>
        <v>63.85</v>
      </c>
      <c r="P590" s="195" t="s">
        <v>5554</v>
      </c>
      <c r="Q590" s="326" t="str">
        <f>IFERROR(VLOOKUP($G590,主力整理!$A$2:$G$2301,6,0),"0")</f>
        <v>0</v>
      </c>
      <c r="R590" s="111">
        <v>10</v>
      </c>
      <c r="T590" s="339">
        <f t="shared" si="180"/>
        <v>10</v>
      </c>
      <c r="V590" s="371">
        <v>14.17</v>
      </c>
      <c r="W590" s="35">
        <v>0.9</v>
      </c>
      <c r="X590" s="100">
        <v>1.5</v>
      </c>
      <c r="Y590" s="14" t="str">
        <f>RTD("money.excel",,"3581","Price")</f>
        <v>無資料</v>
      </c>
      <c r="Z590" s="69"/>
      <c r="AA590" s="16" t="e">
        <f t="shared" si="181"/>
        <v>#VALUE!</v>
      </c>
      <c r="AB590" s="3" t="e">
        <f t="shared" si="182"/>
        <v>#VALUE!</v>
      </c>
      <c r="AD590" s="17" t="s">
        <v>654</v>
      </c>
      <c r="AG590" s="34">
        <f t="shared" si="183"/>
        <v>0</v>
      </c>
      <c r="AH590" s="44" t="s">
        <v>3708</v>
      </c>
      <c r="AI590" s="131"/>
      <c r="AK590" s="66">
        <f t="shared" si="176"/>
        <v>0</v>
      </c>
      <c r="AL590" s="174">
        <f t="shared" si="177"/>
        <v>0</v>
      </c>
      <c r="AM590" s="346">
        <f>RTD("money.excel",,$G590,"PredictVolume")</f>
        <v>0</v>
      </c>
      <c r="AN590" s="272">
        <f>RTD("money.excel",,$G590,"CumulativeVolume")</f>
        <v>0</v>
      </c>
      <c r="AO590" s="284"/>
    </row>
    <row r="591" spans="1:41">
      <c r="A591" s="135" t="s">
        <v>2735</v>
      </c>
      <c r="B591" s="85">
        <v>-29</v>
      </c>
      <c r="C591" s="85">
        <v>-10</v>
      </c>
      <c r="D591" s="85">
        <v>-11</v>
      </c>
      <c r="E591" s="84">
        <v>11</v>
      </c>
      <c r="F591" s="59">
        <v>12.56</v>
      </c>
      <c r="G591" s="85">
        <v>3583</v>
      </c>
      <c r="H591" s="4" t="s">
        <v>558</v>
      </c>
      <c r="I591" s="23" t="s">
        <v>10</v>
      </c>
      <c r="J591" s="371">
        <v>56.03</v>
      </c>
      <c r="K591" s="371">
        <v>7.31</v>
      </c>
      <c r="L591" s="371">
        <v>21.78</v>
      </c>
      <c r="N591" s="365">
        <f t="shared" si="178"/>
        <v>85.12</v>
      </c>
      <c r="O591" s="343">
        <f t="shared" si="179"/>
        <v>56.03</v>
      </c>
      <c r="P591" s="195">
        <v>2</v>
      </c>
      <c r="Q591" s="326" t="str">
        <f>IFERROR(VLOOKUP($G591,主力整理!$A$2:$G$2301,6,0),"0")</f>
        <v>0</v>
      </c>
      <c r="R591" s="111">
        <v>6</v>
      </c>
      <c r="T591" s="339">
        <f t="shared" si="180"/>
        <v>8</v>
      </c>
      <c r="V591" s="371">
        <v>0.97</v>
      </c>
      <c r="W591" s="35">
        <v>1.85</v>
      </c>
      <c r="X591" s="100">
        <v>3.8</v>
      </c>
      <c r="Y591" s="37" t="str">
        <f>RTD("money.excel",,"3583","Price")</f>
        <v>無資料</v>
      </c>
      <c r="Z591" s="69"/>
      <c r="AA591" s="16" t="e">
        <f t="shared" si="181"/>
        <v>#VALUE!</v>
      </c>
      <c r="AB591" s="3" t="e">
        <f t="shared" si="182"/>
        <v>#VALUE!</v>
      </c>
      <c r="AC591" s="177" t="s">
        <v>2648</v>
      </c>
      <c r="AD591" s="23" t="s">
        <v>10</v>
      </c>
      <c r="AG591" s="34">
        <f t="shared" si="183"/>
        <v>0</v>
      </c>
      <c r="AH591" s="126" t="s">
        <v>3438</v>
      </c>
      <c r="AI591" s="131"/>
      <c r="AK591" s="66">
        <f t="shared" si="176"/>
        <v>0</v>
      </c>
      <c r="AL591" s="174">
        <f t="shared" si="177"/>
        <v>0</v>
      </c>
      <c r="AM591" s="346">
        <f>RTD("money.excel",,$G591,"PredictVolume")</f>
        <v>0</v>
      </c>
      <c r="AN591" s="272">
        <f>RTD("money.excel",,$G591,"CumulativeVolume")</f>
        <v>0</v>
      </c>
      <c r="AO591" s="284"/>
    </row>
    <row r="592" spans="1:41">
      <c r="A592" s="151" t="s">
        <v>3392</v>
      </c>
      <c r="B592" s="84">
        <v>153</v>
      </c>
      <c r="C592" s="84">
        <v>321</v>
      </c>
      <c r="D592" s="84">
        <v>10</v>
      </c>
      <c r="E592" s="84">
        <v>45</v>
      </c>
      <c r="F592" s="7">
        <v>4.8600000000000003</v>
      </c>
      <c r="G592" s="85">
        <v>3588</v>
      </c>
      <c r="H592" s="4" t="s">
        <v>558</v>
      </c>
      <c r="I592" s="23" t="s">
        <v>632</v>
      </c>
      <c r="J592" s="77">
        <v>20.83</v>
      </c>
      <c r="K592" s="77">
        <v>6.35</v>
      </c>
      <c r="L592" s="77">
        <v>28.85</v>
      </c>
      <c r="N592" s="365">
        <f t="shared" si="178"/>
        <v>56.03</v>
      </c>
      <c r="O592" s="343">
        <f t="shared" si="179"/>
        <v>20.83</v>
      </c>
      <c r="P592" s="195">
        <v>1</v>
      </c>
      <c r="Q592" s="326">
        <f>IFERROR(VLOOKUP($G592,主力整理!$A$2:$G$2301,6,0),"0")</f>
        <v>3</v>
      </c>
      <c r="R592" s="111">
        <v>17</v>
      </c>
      <c r="T592" s="339">
        <f t="shared" si="180"/>
        <v>21</v>
      </c>
      <c r="V592" s="371">
        <v>0.79</v>
      </c>
      <c r="W592" s="35">
        <v>1</v>
      </c>
      <c r="X592" s="100">
        <v>1.3</v>
      </c>
      <c r="Y592" s="37" t="str">
        <f>RTD("money.excel",,"3588","Price")</f>
        <v>無資料</v>
      </c>
      <c r="Z592" s="69"/>
      <c r="AA592" s="16" t="e">
        <f t="shared" si="181"/>
        <v>#VALUE!</v>
      </c>
      <c r="AB592" s="3" t="e">
        <f t="shared" si="182"/>
        <v>#VALUE!</v>
      </c>
      <c r="AC592" s="177" t="s">
        <v>2648</v>
      </c>
      <c r="AD592" s="23" t="s">
        <v>632</v>
      </c>
      <c r="AG592" s="34">
        <f t="shared" si="183"/>
        <v>0</v>
      </c>
      <c r="AH592" s="44" t="s">
        <v>6679</v>
      </c>
      <c r="AI592" s="131"/>
      <c r="AK592" s="66">
        <f t="shared" si="176"/>
        <v>0</v>
      </c>
      <c r="AL592" s="174">
        <f t="shared" si="177"/>
        <v>0</v>
      </c>
      <c r="AM592" s="346">
        <f>RTD("money.excel",,$G592,"PredictVolume")</f>
        <v>0</v>
      </c>
      <c r="AN592" s="272">
        <f>RTD("money.excel",,$G592,"CumulativeVolume")</f>
        <v>0</v>
      </c>
      <c r="AO592" s="284"/>
    </row>
    <row r="593" spans="1:41">
      <c r="A593" s="135" t="s">
        <v>6819</v>
      </c>
      <c r="B593" s="84">
        <v>592</v>
      </c>
      <c r="C593" s="84">
        <v>551</v>
      </c>
      <c r="D593" s="84">
        <v>1</v>
      </c>
      <c r="E593" s="84">
        <v>61</v>
      </c>
      <c r="F593" s="59">
        <v>20.25</v>
      </c>
      <c r="G593" s="85">
        <v>3592</v>
      </c>
      <c r="H593" s="4" t="s">
        <v>558</v>
      </c>
      <c r="I593" s="23" t="s">
        <v>6818</v>
      </c>
      <c r="J593" s="371">
        <v>22.88</v>
      </c>
      <c r="K593" s="371">
        <v>8.7799999999999994</v>
      </c>
      <c r="N593" s="365">
        <f t="shared" ref="N593:N624" si="184">J593+K593+L593+M593</f>
        <v>31.659999999999997</v>
      </c>
      <c r="O593" s="343">
        <f t="shared" ref="O593:O624" si="185">J593+M593</f>
        <v>22.88</v>
      </c>
      <c r="P593" s="195">
        <v>2</v>
      </c>
      <c r="Q593" s="326">
        <v>0</v>
      </c>
      <c r="R593" s="111">
        <v>0</v>
      </c>
      <c r="S593" s="51">
        <v>0</v>
      </c>
      <c r="T593" s="339">
        <f t="shared" ref="T593:T624" si="186">SUM(P593:S593)</f>
        <v>2</v>
      </c>
      <c r="W593" s="69">
        <v>10.5</v>
      </c>
      <c r="X593" s="100" t="s">
        <v>5226</v>
      </c>
      <c r="Y593" s="37" t="str">
        <f>RTD("money.excel",,"3592","Price")</f>
        <v>無資料</v>
      </c>
      <c r="Z593" s="69"/>
      <c r="AA593" s="16" t="e">
        <f t="shared" ref="AA593:AA624" si="187">Y593-Z593</f>
        <v>#VALUE!</v>
      </c>
      <c r="AB593" s="3" t="e">
        <f t="shared" ref="AB593:AB624" si="188">AA593/Z593</f>
        <v>#VALUE!</v>
      </c>
      <c r="AC593" s="177" t="s">
        <v>2929</v>
      </c>
      <c r="AD593" s="23" t="s">
        <v>6818</v>
      </c>
      <c r="AG593" s="34">
        <f t="shared" ref="AG593:AG624" si="189">AF593-AE593</f>
        <v>0</v>
      </c>
      <c r="AH593" s="63" t="s">
        <v>6821</v>
      </c>
      <c r="AI593" s="131"/>
      <c r="AK593" s="66">
        <f t="shared" si="176"/>
        <v>0</v>
      </c>
      <c r="AL593" s="174">
        <f t="shared" si="177"/>
        <v>0</v>
      </c>
      <c r="AM593" s="346">
        <f>RTD("money.excel",,$G593,"PredictVolume")</f>
        <v>0</v>
      </c>
      <c r="AN593" s="272">
        <f>RTD("money.excel",,$G593,"CumulativeVolume")</f>
        <v>0</v>
      </c>
      <c r="AO593" s="284"/>
    </row>
    <row r="594" spans="1:41">
      <c r="A594" s="135" t="s">
        <v>5310</v>
      </c>
      <c r="B594" s="84">
        <v>89</v>
      </c>
      <c r="C594" s="84">
        <v>88</v>
      </c>
      <c r="D594" s="84">
        <v>0</v>
      </c>
      <c r="E594" s="84">
        <v>27</v>
      </c>
      <c r="F594" s="59">
        <v>17.809999999999999</v>
      </c>
      <c r="G594" s="85">
        <v>3661</v>
      </c>
      <c r="H594" s="4" t="s">
        <v>558</v>
      </c>
      <c r="I594" s="23" t="s">
        <v>520</v>
      </c>
      <c r="J594" s="371">
        <v>32.14</v>
      </c>
      <c r="K594" s="371">
        <v>79.650000000000006</v>
      </c>
      <c r="L594" s="77">
        <v>10.73</v>
      </c>
      <c r="M594" s="371">
        <v>3.72</v>
      </c>
      <c r="N594" s="365">
        <f t="shared" si="184"/>
        <v>126.24000000000001</v>
      </c>
      <c r="O594" s="343">
        <f t="shared" si="185"/>
        <v>35.86</v>
      </c>
      <c r="P594" s="195">
        <v>23</v>
      </c>
      <c r="Q594" s="326">
        <v>44</v>
      </c>
      <c r="R594" s="111">
        <v>28</v>
      </c>
      <c r="S594" s="51">
        <v>60</v>
      </c>
      <c r="T594" s="339">
        <f t="shared" si="186"/>
        <v>155</v>
      </c>
      <c r="U594" s="329" t="s">
        <v>6541</v>
      </c>
      <c r="V594" s="371">
        <v>5.89</v>
      </c>
      <c r="W594" s="69">
        <v>6.62</v>
      </c>
      <c r="X594" s="100">
        <v>20.350000000000001</v>
      </c>
      <c r="Y594" s="160" t="str">
        <f>RTD("money.excel",,"3661","Price")</f>
        <v>無資料</v>
      </c>
      <c r="Z594" s="69"/>
      <c r="AA594" s="146" t="e">
        <f t="shared" si="187"/>
        <v>#VALUE!</v>
      </c>
      <c r="AB594" s="3" t="e">
        <f t="shared" si="188"/>
        <v>#VALUE!</v>
      </c>
      <c r="AC594" s="177" t="s">
        <v>2929</v>
      </c>
      <c r="AD594" s="23" t="s">
        <v>520</v>
      </c>
      <c r="AG594" s="34">
        <f t="shared" si="189"/>
        <v>0</v>
      </c>
      <c r="AH594" s="63" t="s">
        <v>4927</v>
      </c>
      <c r="AI594" s="131"/>
      <c r="AK594" s="66">
        <f t="shared" ref="AK594:AK657" si="190">AM594/(A594*10000)</f>
        <v>0</v>
      </c>
      <c r="AL594" s="174">
        <f t="shared" ref="AL594:AL657" si="191">AN594/(A594*10000)</f>
        <v>0</v>
      </c>
      <c r="AM594" s="346">
        <f>RTD("money.excel",,$G594,"PredictVolume")</f>
        <v>0</v>
      </c>
      <c r="AN594" s="272">
        <f>RTD("money.excel",,$G594,"CumulativeVolume")</f>
        <v>0</v>
      </c>
      <c r="AO594" s="284"/>
    </row>
    <row r="595" spans="1:41">
      <c r="A595" s="135" t="s">
        <v>3151</v>
      </c>
      <c r="B595" s="84">
        <v>193</v>
      </c>
      <c r="C595" s="84">
        <v>122</v>
      </c>
      <c r="D595" s="84">
        <v>0</v>
      </c>
      <c r="E595" s="84">
        <v>45</v>
      </c>
      <c r="F595" s="59">
        <v>15.78</v>
      </c>
      <c r="G595" s="85">
        <v>3675</v>
      </c>
      <c r="H595" s="55" t="s">
        <v>558</v>
      </c>
      <c r="I595" s="17" t="s">
        <v>655</v>
      </c>
      <c r="J595" s="371">
        <v>55.02</v>
      </c>
      <c r="K595" s="77">
        <v>66.7</v>
      </c>
      <c r="L595" s="371">
        <v>23.56</v>
      </c>
      <c r="M595" s="371">
        <v>55.26</v>
      </c>
      <c r="N595" s="77">
        <f t="shared" si="184"/>
        <v>200.54</v>
      </c>
      <c r="O595" s="369">
        <f t="shared" si="185"/>
        <v>110.28</v>
      </c>
      <c r="P595" s="195">
        <v>13</v>
      </c>
      <c r="Q595" s="326">
        <v>17</v>
      </c>
      <c r="R595" s="111">
        <v>8</v>
      </c>
      <c r="S595" s="51">
        <v>10</v>
      </c>
      <c r="T595" s="339">
        <f t="shared" si="186"/>
        <v>48</v>
      </c>
      <c r="U595" s="329" t="s">
        <v>6538</v>
      </c>
      <c r="V595" s="371">
        <v>3.21</v>
      </c>
      <c r="W595" s="35">
        <v>2</v>
      </c>
      <c r="X595" s="59">
        <v>5.49</v>
      </c>
      <c r="Y595" s="14" t="str">
        <f>RTD("money.excel",,"3675","Price")</f>
        <v>無資料</v>
      </c>
      <c r="Z595" s="69"/>
      <c r="AA595" s="16" t="e">
        <f t="shared" si="187"/>
        <v>#VALUE!</v>
      </c>
      <c r="AB595" s="3" t="e">
        <f t="shared" si="188"/>
        <v>#VALUE!</v>
      </c>
      <c r="AC595" s="177" t="s">
        <v>2648</v>
      </c>
      <c r="AD595" s="17" t="s">
        <v>655</v>
      </c>
      <c r="AG595" s="34">
        <f t="shared" si="189"/>
        <v>0</v>
      </c>
      <c r="AH595" s="63" t="s">
        <v>4573</v>
      </c>
      <c r="AI595" s="131"/>
      <c r="AK595" s="66">
        <f t="shared" si="190"/>
        <v>0</v>
      </c>
      <c r="AL595" s="174">
        <f t="shared" si="191"/>
        <v>0</v>
      </c>
      <c r="AM595" s="346">
        <f>RTD("money.excel",,$G595,"PredictVolume")</f>
        <v>0</v>
      </c>
      <c r="AN595" s="272">
        <f>RTD("money.excel",,$G595,"CumulativeVolume")</f>
        <v>0</v>
      </c>
      <c r="AO595" s="284"/>
    </row>
    <row r="596" spans="1:41">
      <c r="A596" s="151" t="s">
        <v>4589</v>
      </c>
      <c r="B596" s="85">
        <v>-34</v>
      </c>
      <c r="C596" s="85">
        <v>-44</v>
      </c>
      <c r="D596" s="85">
        <v>-14</v>
      </c>
      <c r="E596" s="84">
        <v>15</v>
      </c>
      <c r="F596" s="7">
        <v>8.75</v>
      </c>
      <c r="G596" s="85">
        <v>3680</v>
      </c>
      <c r="H596" s="55" t="s">
        <v>558</v>
      </c>
      <c r="I596" s="17" t="s">
        <v>656</v>
      </c>
      <c r="J596" s="371">
        <v>44.02</v>
      </c>
      <c r="K596" s="371">
        <v>13.16</v>
      </c>
      <c r="L596" s="371">
        <v>10.18</v>
      </c>
      <c r="N596" s="365">
        <f t="shared" si="184"/>
        <v>67.360000000000014</v>
      </c>
      <c r="O596" s="343">
        <f t="shared" si="185"/>
        <v>44.02</v>
      </c>
      <c r="P596" s="195">
        <v>11</v>
      </c>
      <c r="Q596" s="326" t="str">
        <f>IFERROR(VLOOKUP($G596,主力整理!$A$2:$G$2301,6,0),"0")</f>
        <v>0</v>
      </c>
      <c r="R596" s="111">
        <v>5</v>
      </c>
      <c r="S596" s="51">
        <v>15</v>
      </c>
      <c r="T596" s="339">
        <f t="shared" si="186"/>
        <v>31</v>
      </c>
      <c r="V596" s="371">
        <v>11.73</v>
      </c>
      <c r="W596" s="69">
        <v>3.5</v>
      </c>
      <c r="X596" s="100">
        <v>5.12</v>
      </c>
      <c r="Y596" s="37" t="str">
        <f>RTD("money.excel",,"3680","Price")</f>
        <v>無資料</v>
      </c>
      <c r="Z596" s="69"/>
      <c r="AA596" s="16" t="e">
        <f t="shared" si="187"/>
        <v>#VALUE!</v>
      </c>
      <c r="AB596" s="3" t="e">
        <f t="shared" si="188"/>
        <v>#VALUE!</v>
      </c>
      <c r="AC596" s="177" t="s">
        <v>2929</v>
      </c>
      <c r="AD596" s="17" t="s">
        <v>656</v>
      </c>
      <c r="AG596" s="34">
        <f t="shared" si="189"/>
        <v>0</v>
      </c>
      <c r="AH596" s="44" t="s">
        <v>534</v>
      </c>
      <c r="AI596" s="131"/>
      <c r="AK596" s="66">
        <f t="shared" si="190"/>
        <v>0</v>
      </c>
      <c r="AL596" s="174">
        <f t="shared" si="191"/>
        <v>0</v>
      </c>
      <c r="AM596" s="346">
        <f>RTD("money.excel",,$G596,"PredictVolume")</f>
        <v>0</v>
      </c>
      <c r="AN596" s="272">
        <f>RTD("money.excel",,$G596,"CumulativeVolume")</f>
        <v>0</v>
      </c>
      <c r="AO596" s="284"/>
    </row>
    <row r="597" spans="1:41">
      <c r="A597" s="151" t="s">
        <v>3463</v>
      </c>
      <c r="B597" s="85">
        <v>-60</v>
      </c>
      <c r="C597" s="84">
        <v>39</v>
      </c>
      <c r="D597" s="85">
        <v>-2</v>
      </c>
      <c r="E597" s="84">
        <v>9</v>
      </c>
      <c r="F597" s="7">
        <v>-47.4</v>
      </c>
      <c r="G597" s="85">
        <v>3686</v>
      </c>
      <c r="H597" s="4" t="s">
        <v>558</v>
      </c>
      <c r="I597" s="23" t="s">
        <v>633</v>
      </c>
      <c r="J597" s="77">
        <v>6.09</v>
      </c>
      <c r="K597" s="77">
        <v>2.63</v>
      </c>
      <c r="N597" s="365">
        <f t="shared" si="184"/>
        <v>8.7199999999999989</v>
      </c>
      <c r="O597" s="343">
        <f t="shared" si="185"/>
        <v>6.09</v>
      </c>
      <c r="P597" s="195">
        <v>3</v>
      </c>
      <c r="Q597" s="326" t="str">
        <f>IFERROR(VLOOKUP($G597,主力整理!$A$2:$G$2301,6,0),"0")</f>
        <v>0</v>
      </c>
      <c r="R597" s="111">
        <v>42</v>
      </c>
      <c r="T597" s="339">
        <f t="shared" si="186"/>
        <v>45</v>
      </c>
      <c r="W597" s="35">
        <v>0</v>
      </c>
      <c r="X597" s="100">
        <v>-1.33</v>
      </c>
      <c r="Y597" s="37" t="str">
        <f>RTD("money.excel",,"3686","Price")</f>
        <v>無資料</v>
      </c>
      <c r="Z597" s="69"/>
      <c r="AA597" s="16" t="e">
        <f t="shared" si="187"/>
        <v>#VALUE!</v>
      </c>
      <c r="AB597" s="3" t="e">
        <f t="shared" si="188"/>
        <v>#VALUE!</v>
      </c>
      <c r="AC597" s="177" t="s">
        <v>2648</v>
      </c>
      <c r="AD597" s="23" t="s">
        <v>633</v>
      </c>
      <c r="AG597" s="34">
        <f t="shared" si="189"/>
        <v>0</v>
      </c>
      <c r="AH597" s="44" t="s">
        <v>3462</v>
      </c>
      <c r="AI597" s="131"/>
      <c r="AK597" s="66">
        <f t="shared" si="190"/>
        <v>0</v>
      </c>
      <c r="AL597" s="174">
        <f t="shared" si="191"/>
        <v>0</v>
      </c>
      <c r="AM597" s="346">
        <f>RTD("money.excel",,$G597,"PredictVolume")</f>
        <v>0</v>
      </c>
      <c r="AN597" s="272">
        <f>RTD("money.excel",,$G597,"CumulativeVolume")</f>
        <v>0</v>
      </c>
      <c r="AO597" s="284"/>
    </row>
    <row r="598" spans="1:41">
      <c r="A598" s="151" t="s">
        <v>3128</v>
      </c>
      <c r="B598" s="84">
        <v>134</v>
      </c>
      <c r="C598" s="84">
        <v>155</v>
      </c>
      <c r="D598" s="84">
        <v>4</v>
      </c>
      <c r="E598" s="84">
        <v>41</v>
      </c>
      <c r="F598" s="7">
        <v>3.66</v>
      </c>
      <c r="G598" s="85">
        <v>3707</v>
      </c>
      <c r="H598" s="54" t="s">
        <v>558</v>
      </c>
      <c r="I598" s="25" t="s">
        <v>456</v>
      </c>
      <c r="J598" s="371">
        <v>49.2</v>
      </c>
      <c r="K598" s="371">
        <v>19.309999999999999</v>
      </c>
      <c r="L598" s="77">
        <v>32.979999999999997</v>
      </c>
      <c r="N598" s="365">
        <f t="shared" si="184"/>
        <v>101.49000000000001</v>
      </c>
      <c r="O598" s="343">
        <f t="shared" si="185"/>
        <v>49.2</v>
      </c>
      <c r="P598" s="195">
        <v>1</v>
      </c>
      <c r="Q598" s="326">
        <f>IFERROR(VLOOKUP($G598,主力整理!$A$2:$G$2301,6,0),"0")</f>
        <v>2</v>
      </c>
      <c r="R598" s="111">
        <v>13</v>
      </c>
      <c r="S598" s="51">
        <v>4</v>
      </c>
      <c r="T598" s="339">
        <f t="shared" si="186"/>
        <v>20</v>
      </c>
      <c r="V598" s="371">
        <v>29.37</v>
      </c>
      <c r="W598" s="35">
        <v>0</v>
      </c>
      <c r="X598" s="100">
        <v>-0.74</v>
      </c>
      <c r="Y598" s="37" t="str">
        <f>RTD("money.excel",,"3707","Price")</f>
        <v>無資料</v>
      </c>
      <c r="Z598" s="69"/>
      <c r="AA598" s="16" t="e">
        <f t="shared" si="187"/>
        <v>#VALUE!</v>
      </c>
      <c r="AB598" s="3" t="e">
        <f t="shared" si="188"/>
        <v>#VALUE!</v>
      </c>
      <c r="AC598" s="177" t="s">
        <v>2648</v>
      </c>
      <c r="AD598" s="25" t="s">
        <v>456</v>
      </c>
      <c r="AG598" s="34">
        <f t="shared" si="189"/>
        <v>0</v>
      </c>
      <c r="AH598" s="127" t="s">
        <v>4023</v>
      </c>
      <c r="AI598" s="131"/>
      <c r="AK598" s="66">
        <f t="shared" si="190"/>
        <v>0</v>
      </c>
      <c r="AL598" s="174">
        <f t="shared" si="191"/>
        <v>0</v>
      </c>
      <c r="AM598" s="346">
        <f>RTD("money.excel",,$G598,"PredictVolume")</f>
        <v>0</v>
      </c>
      <c r="AN598" s="272">
        <f>RTD("money.excel",,$G598,"CumulativeVolume")</f>
        <v>0</v>
      </c>
      <c r="AO598" s="284"/>
    </row>
    <row r="599" spans="1:41">
      <c r="A599" s="151" t="s">
        <v>2459</v>
      </c>
      <c r="B599" s="84">
        <v>71</v>
      </c>
      <c r="C599" s="84">
        <v>66</v>
      </c>
      <c r="D599" s="84">
        <v>6</v>
      </c>
      <c r="E599" s="84">
        <v>22</v>
      </c>
      <c r="F599" s="7">
        <v>9.77</v>
      </c>
      <c r="G599" s="85">
        <v>3711</v>
      </c>
      <c r="H599" s="4" t="s">
        <v>558</v>
      </c>
      <c r="I599" s="23" t="s">
        <v>20</v>
      </c>
      <c r="J599" s="371">
        <v>84.38</v>
      </c>
      <c r="K599" s="371">
        <v>81.63</v>
      </c>
      <c r="L599" s="77">
        <v>0.88</v>
      </c>
      <c r="N599" s="365">
        <f t="shared" si="184"/>
        <v>166.89</v>
      </c>
      <c r="O599" s="343">
        <f t="shared" si="185"/>
        <v>84.38</v>
      </c>
      <c r="P599" s="195">
        <v>48</v>
      </c>
      <c r="Q599" s="326">
        <v>11</v>
      </c>
      <c r="R599" s="111">
        <v>1</v>
      </c>
      <c r="S599" s="51">
        <v>25</v>
      </c>
      <c r="T599" s="339">
        <f t="shared" si="186"/>
        <v>85</v>
      </c>
      <c r="V599" s="371">
        <v>9.8000000000000007</v>
      </c>
      <c r="W599" s="69">
        <v>4.1900000000000004</v>
      </c>
      <c r="X599" s="59">
        <v>8.3000000000000007</v>
      </c>
      <c r="Y599" s="14" t="str">
        <f>RTD("money.excel",,"3711","Price")</f>
        <v>無資料</v>
      </c>
      <c r="Z599" s="69"/>
      <c r="AA599" s="16" t="e">
        <f t="shared" si="187"/>
        <v>#VALUE!</v>
      </c>
      <c r="AB599" s="3" t="e">
        <f t="shared" si="188"/>
        <v>#VALUE!</v>
      </c>
      <c r="AC599" s="177" t="s">
        <v>2929</v>
      </c>
      <c r="AD599" s="23" t="s">
        <v>20</v>
      </c>
      <c r="AG599" s="34">
        <f t="shared" si="189"/>
        <v>0</v>
      </c>
      <c r="AH599" s="125" t="s">
        <v>3786</v>
      </c>
      <c r="AI599" s="131"/>
      <c r="AK599" s="66">
        <f t="shared" si="190"/>
        <v>0</v>
      </c>
      <c r="AL599" s="174">
        <f t="shared" si="191"/>
        <v>0</v>
      </c>
      <c r="AM599" s="346">
        <f>RTD("money.excel",,$G599,"PredictVolume")</f>
        <v>0</v>
      </c>
      <c r="AN599" s="272">
        <f>RTD("money.excel",,$G599,"CumulativeVolume")</f>
        <v>0</v>
      </c>
      <c r="AO599" s="284"/>
    </row>
    <row r="600" spans="1:41" ht="16.5" customHeight="1">
      <c r="A600" s="151" t="s">
        <v>5282</v>
      </c>
      <c r="B600" s="98">
        <v>2312</v>
      </c>
      <c r="C600" s="98">
        <v>3731</v>
      </c>
      <c r="D600" s="85">
        <v>-10</v>
      </c>
      <c r="E600" s="84">
        <v>269</v>
      </c>
      <c r="F600" s="7">
        <v>3.78</v>
      </c>
      <c r="G600" s="85">
        <v>4919</v>
      </c>
      <c r="H600" s="4" t="s">
        <v>558</v>
      </c>
      <c r="I600" s="23" t="s">
        <v>233</v>
      </c>
      <c r="J600" s="371">
        <v>59.67</v>
      </c>
      <c r="K600" s="371">
        <v>4.63</v>
      </c>
      <c r="L600" s="371">
        <v>26.14</v>
      </c>
      <c r="N600" s="365">
        <f t="shared" si="184"/>
        <v>90.44</v>
      </c>
      <c r="O600" s="343">
        <f t="shared" si="185"/>
        <v>59.67</v>
      </c>
      <c r="P600" s="195">
        <v>15</v>
      </c>
      <c r="Q600" s="326" t="str">
        <f>IFERROR(VLOOKUP($G600,主力整理!$A$2:$G$2301,6,0),"0")</f>
        <v>0</v>
      </c>
      <c r="R600" s="111">
        <v>9</v>
      </c>
      <c r="T600" s="339">
        <f t="shared" si="186"/>
        <v>24</v>
      </c>
      <c r="V600" s="371">
        <v>3.99</v>
      </c>
      <c r="W600" s="35">
        <v>0.8</v>
      </c>
      <c r="X600" s="59">
        <v>2.52</v>
      </c>
      <c r="Y600" s="37" t="str">
        <f>RTD("money.excel",,"4919","Price")</f>
        <v>無資料</v>
      </c>
      <c r="Z600" s="69"/>
      <c r="AA600" s="16" t="e">
        <f t="shared" si="187"/>
        <v>#VALUE!</v>
      </c>
      <c r="AB600" s="3" t="e">
        <f t="shared" si="188"/>
        <v>#VALUE!</v>
      </c>
      <c r="AC600" s="177" t="s">
        <v>2648</v>
      </c>
      <c r="AD600" s="23" t="s">
        <v>233</v>
      </c>
      <c r="AG600" s="34">
        <f t="shared" si="189"/>
        <v>0</v>
      </c>
      <c r="AH600" s="125" t="s">
        <v>4907</v>
      </c>
      <c r="AI600" s="131"/>
      <c r="AK600" s="66">
        <f t="shared" si="190"/>
        <v>0</v>
      </c>
      <c r="AL600" s="174">
        <f t="shared" si="191"/>
        <v>0</v>
      </c>
      <c r="AM600" s="346">
        <f>RTD("money.excel",,$G600,"PredictVolume")</f>
        <v>0</v>
      </c>
      <c r="AN600" s="272">
        <f>RTD("money.excel",,$G600,"CumulativeVolume")</f>
        <v>0</v>
      </c>
      <c r="AO600" s="284"/>
    </row>
    <row r="601" spans="1:41">
      <c r="A601" s="135" t="s">
        <v>2335</v>
      </c>
      <c r="B601" s="84">
        <v>37</v>
      </c>
      <c r="C601" s="84">
        <v>45</v>
      </c>
      <c r="D601" s="85">
        <v>-18</v>
      </c>
      <c r="E601" s="84">
        <v>23</v>
      </c>
      <c r="F601" s="59">
        <v>23.3</v>
      </c>
      <c r="G601" s="85">
        <v>4945</v>
      </c>
      <c r="H601" s="54" t="s">
        <v>558</v>
      </c>
      <c r="I601" s="25" t="s">
        <v>3311</v>
      </c>
      <c r="J601" s="77">
        <v>48.69</v>
      </c>
      <c r="K601" s="77">
        <v>5.56</v>
      </c>
      <c r="L601" s="371">
        <v>11.14</v>
      </c>
      <c r="N601" s="365">
        <f t="shared" si="184"/>
        <v>65.39</v>
      </c>
      <c r="O601" s="343">
        <f t="shared" si="185"/>
        <v>48.69</v>
      </c>
      <c r="P601" s="195">
        <v>1</v>
      </c>
      <c r="Q601" s="326" t="str">
        <f>IFERROR(VLOOKUP($G601,主力整理!$A$2:$G$2301,6,0),"0")</f>
        <v>0</v>
      </c>
      <c r="R601" s="111">
        <v>7</v>
      </c>
      <c r="S601" s="51">
        <v>0</v>
      </c>
      <c r="T601" s="339">
        <f t="shared" si="186"/>
        <v>8</v>
      </c>
      <c r="V601" s="371">
        <v>0.12</v>
      </c>
      <c r="W601" s="35">
        <v>1.6</v>
      </c>
      <c r="X601" s="100">
        <v>2.39</v>
      </c>
      <c r="Y601" s="37" t="str">
        <f>RTD("money.excel",,"4945","Price")</f>
        <v>無資料</v>
      </c>
      <c r="Z601" s="69"/>
      <c r="AA601" s="16" t="e">
        <f t="shared" si="187"/>
        <v>#VALUE!</v>
      </c>
      <c r="AB601" s="3" t="e">
        <f t="shared" si="188"/>
        <v>#VALUE!</v>
      </c>
      <c r="AC601" s="177" t="s">
        <v>2648</v>
      </c>
      <c r="AD601" s="25" t="s">
        <v>3311</v>
      </c>
      <c r="AG601" s="34">
        <f t="shared" si="189"/>
        <v>0</v>
      </c>
      <c r="AH601" s="50" t="s">
        <v>3315</v>
      </c>
      <c r="AI601" s="131"/>
      <c r="AK601" s="66">
        <f t="shared" si="190"/>
        <v>0</v>
      </c>
      <c r="AL601" s="174">
        <f t="shared" si="191"/>
        <v>0</v>
      </c>
      <c r="AM601" s="346">
        <f>RTD("money.excel",,$G601,"PredictVolume")</f>
        <v>0</v>
      </c>
      <c r="AN601" s="272">
        <f>RTD("money.excel",,$G601,"CumulativeVolume")</f>
        <v>0</v>
      </c>
      <c r="AO601" s="284"/>
    </row>
    <row r="602" spans="1:41">
      <c r="A602" s="135" t="s">
        <v>2583</v>
      </c>
      <c r="B602" s="84">
        <v>0</v>
      </c>
      <c r="C602" s="84">
        <v>11</v>
      </c>
      <c r="D602" s="84">
        <v>0</v>
      </c>
      <c r="E602" s="84">
        <v>34</v>
      </c>
      <c r="F602" s="59">
        <v>10.47</v>
      </c>
      <c r="G602" s="85">
        <v>4952</v>
      </c>
      <c r="H602" s="4" t="s">
        <v>558</v>
      </c>
      <c r="I602" s="23" t="s">
        <v>339</v>
      </c>
      <c r="J602" s="371">
        <v>51.16</v>
      </c>
      <c r="K602" s="371">
        <v>3.07</v>
      </c>
      <c r="L602" s="77">
        <v>6.59</v>
      </c>
      <c r="N602" s="365">
        <f t="shared" si="184"/>
        <v>60.819999999999993</v>
      </c>
      <c r="O602" s="343">
        <f t="shared" si="185"/>
        <v>51.16</v>
      </c>
      <c r="P602" s="195">
        <v>3</v>
      </c>
      <c r="Q602" s="326">
        <f>IFERROR(VLOOKUP($G602,主力整理!$A$2:$G$2301,6,0),"0")</f>
        <v>2</v>
      </c>
      <c r="R602" s="111">
        <v>2</v>
      </c>
      <c r="T602" s="339">
        <f t="shared" si="186"/>
        <v>7</v>
      </c>
      <c r="V602" s="371">
        <v>0.47</v>
      </c>
      <c r="W602" s="35">
        <v>2.4</v>
      </c>
      <c r="X602" s="100">
        <v>2.59</v>
      </c>
      <c r="Y602" s="37" t="str">
        <f>RTD("money.excel",,"4952","Price")</f>
        <v>無資料</v>
      </c>
      <c r="Z602" s="69"/>
      <c r="AA602" s="16" t="e">
        <f t="shared" si="187"/>
        <v>#VALUE!</v>
      </c>
      <c r="AB602" s="3" t="e">
        <f t="shared" si="188"/>
        <v>#VALUE!</v>
      </c>
      <c r="AC602" s="177" t="s">
        <v>2648</v>
      </c>
      <c r="AD602" s="23" t="s">
        <v>339</v>
      </c>
      <c r="AG602" s="34">
        <f t="shared" si="189"/>
        <v>0</v>
      </c>
      <c r="AH602" s="126" t="s">
        <v>3365</v>
      </c>
      <c r="AI602" s="131"/>
      <c r="AK602" s="66">
        <f t="shared" si="190"/>
        <v>0</v>
      </c>
      <c r="AL602" s="174">
        <f t="shared" si="191"/>
        <v>0</v>
      </c>
      <c r="AM602" s="346">
        <f>RTD("money.excel",,$G602,"PredictVolume")</f>
        <v>0</v>
      </c>
      <c r="AN602" s="272">
        <f>RTD("money.excel",,$G602,"CumulativeVolume")</f>
        <v>0</v>
      </c>
      <c r="AO602" s="284"/>
    </row>
    <row r="603" spans="1:41">
      <c r="A603" s="135" t="s">
        <v>2521</v>
      </c>
      <c r="B603" s="98">
        <v>1975</v>
      </c>
      <c r="C603" s="98">
        <v>2232</v>
      </c>
      <c r="D603" s="85">
        <v>-6</v>
      </c>
      <c r="E603" s="84">
        <v>68</v>
      </c>
      <c r="F603" s="59">
        <v>34.61</v>
      </c>
      <c r="G603" s="85">
        <v>4961</v>
      </c>
      <c r="H603" s="4" t="s">
        <v>558</v>
      </c>
      <c r="I603" s="23" t="s">
        <v>1713</v>
      </c>
      <c r="J603" s="77">
        <v>38.81</v>
      </c>
      <c r="K603" s="77">
        <v>11.6</v>
      </c>
      <c r="L603" s="77">
        <v>28.3</v>
      </c>
      <c r="M603" s="371">
        <v>8.57</v>
      </c>
      <c r="N603" s="365">
        <f t="shared" si="184"/>
        <v>87.28</v>
      </c>
      <c r="O603" s="343">
        <f t="shared" si="185"/>
        <v>47.38</v>
      </c>
      <c r="P603" s="195">
        <v>17</v>
      </c>
      <c r="Q603" s="326">
        <v>16</v>
      </c>
      <c r="R603" s="111">
        <v>11</v>
      </c>
      <c r="S603" s="51">
        <v>10</v>
      </c>
      <c r="T603" s="339">
        <f t="shared" si="186"/>
        <v>54</v>
      </c>
      <c r="U603" s="329" t="s">
        <v>6541</v>
      </c>
      <c r="V603" s="371">
        <v>5.55</v>
      </c>
      <c r="W603" s="35">
        <v>2.5</v>
      </c>
      <c r="X603" s="100">
        <v>29.22</v>
      </c>
      <c r="Y603" s="37" t="str">
        <f>RTD("money.excel",,"4961","Price")</f>
        <v>無資料</v>
      </c>
      <c r="Z603" s="69"/>
      <c r="AA603" s="16" t="e">
        <f t="shared" si="187"/>
        <v>#VALUE!</v>
      </c>
      <c r="AB603" s="3" t="e">
        <f t="shared" si="188"/>
        <v>#VALUE!</v>
      </c>
      <c r="AC603" s="177" t="s">
        <v>2648</v>
      </c>
      <c r="AD603" s="23" t="s">
        <v>1713</v>
      </c>
      <c r="AG603" s="34">
        <f t="shared" si="189"/>
        <v>0</v>
      </c>
      <c r="AH603" s="63" t="s">
        <v>5506</v>
      </c>
      <c r="AI603" s="131"/>
      <c r="AK603" s="66">
        <f t="shared" si="190"/>
        <v>0</v>
      </c>
      <c r="AL603" s="174">
        <f t="shared" si="191"/>
        <v>0</v>
      </c>
      <c r="AM603" s="346">
        <f>RTD("money.excel",,$G603,"PredictVolume")</f>
        <v>0</v>
      </c>
      <c r="AN603" s="272">
        <f>RTD("money.excel",,$G603,"CumulativeVolume")</f>
        <v>0</v>
      </c>
      <c r="AO603" s="284"/>
    </row>
    <row r="604" spans="1:41">
      <c r="A604" s="135" t="s">
        <v>3287</v>
      </c>
      <c r="B604" s="84">
        <v>44</v>
      </c>
      <c r="C604" s="84">
        <v>53</v>
      </c>
      <c r="D604" s="84">
        <v>20</v>
      </c>
      <c r="E604" s="84">
        <v>46</v>
      </c>
      <c r="F604" s="59">
        <v>24.11</v>
      </c>
      <c r="G604" s="85">
        <v>4966</v>
      </c>
      <c r="H604" s="55" t="s">
        <v>558</v>
      </c>
      <c r="I604" s="17" t="s">
        <v>73</v>
      </c>
      <c r="J604" s="77">
        <v>37.83</v>
      </c>
      <c r="K604" s="77">
        <v>68.569999999999993</v>
      </c>
      <c r="L604" s="371">
        <v>6.16</v>
      </c>
      <c r="N604" s="365">
        <f t="shared" si="184"/>
        <v>112.55999999999999</v>
      </c>
      <c r="O604" s="343">
        <f t="shared" si="185"/>
        <v>37.83</v>
      </c>
      <c r="P604" s="195">
        <v>12</v>
      </c>
      <c r="Q604" s="326">
        <f>IFERROR(VLOOKUP($G604,主力整理!$A$2:$G$2301,6,0),"0")</f>
        <v>1</v>
      </c>
      <c r="R604" s="111">
        <v>4</v>
      </c>
      <c r="T604" s="339">
        <f t="shared" si="186"/>
        <v>17</v>
      </c>
      <c r="V604" s="371">
        <v>0.01</v>
      </c>
      <c r="W604" s="69">
        <v>9.1199999999999992</v>
      </c>
      <c r="X604" s="100">
        <v>44.87</v>
      </c>
      <c r="Y604" s="160" t="str">
        <f>RTD("money.excel",,"4966","Price")</f>
        <v>無資料</v>
      </c>
      <c r="Z604" s="69"/>
      <c r="AA604" s="146" t="e">
        <f t="shared" si="187"/>
        <v>#VALUE!</v>
      </c>
      <c r="AB604" s="3" t="e">
        <f t="shared" si="188"/>
        <v>#VALUE!</v>
      </c>
      <c r="AC604" s="177" t="s">
        <v>2929</v>
      </c>
      <c r="AD604" s="17" t="s">
        <v>73</v>
      </c>
      <c r="AG604" s="34">
        <f t="shared" si="189"/>
        <v>0</v>
      </c>
      <c r="AH604" s="126" t="s">
        <v>3748</v>
      </c>
      <c r="AI604" s="131"/>
      <c r="AK604" s="66">
        <f t="shared" si="190"/>
        <v>0</v>
      </c>
      <c r="AL604" s="174">
        <f t="shared" si="191"/>
        <v>0</v>
      </c>
      <c r="AM604" s="346">
        <f>RTD("money.excel",,$G604,"PredictVolume")</f>
        <v>0</v>
      </c>
      <c r="AN604" s="272">
        <f>RTD("money.excel",,$G604,"CumulativeVolume")</f>
        <v>0</v>
      </c>
      <c r="AO604" s="284"/>
    </row>
    <row r="605" spans="1:41">
      <c r="A605" s="151" t="s">
        <v>2668</v>
      </c>
      <c r="B605" s="85">
        <v>-8</v>
      </c>
      <c r="C605" s="85">
        <v>-48</v>
      </c>
      <c r="D605" s="84">
        <v>17</v>
      </c>
      <c r="E605" s="84">
        <v>33</v>
      </c>
      <c r="F605" s="7">
        <v>1.49</v>
      </c>
      <c r="G605" s="85">
        <v>4967</v>
      </c>
      <c r="H605" s="4" t="s">
        <v>558</v>
      </c>
      <c r="I605" s="23" t="s">
        <v>2657</v>
      </c>
      <c r="J605" s="77">
        <v>11.5</v>
      </c>
      <c r="K605" s="77">
        <v>1.81</v>
      </c>
      <c r="L605" s="371">
        <v>49.87</v>
      </c>
      <c r="M605" s="371">
        <v>4.84</v>
      </c>
      <c r="N605" s="365">
        <f t="shared" si="184"/>
        <v>68.02</v>
      </c>
      <c r="O605" s="343">
        <f t="shared" si="185"/>
        <v>16.34</v>
      </c>
      <c r="P605" s="195">
        <v>13</v>
      </c>
      <c r="Q605" s="326">
        <v>28</v>
      </c>
      <c r="R605" s="111">
        <v>26</v>
      </c>
      <c r="S605" s="51">
        <v>27</v>
      </c>
      <c r="T605" s="339">
        <f t="shared" si="186"/>
        <v>94</v>
      </c>
      <c r="U605" s="329" t="s">
        <v>6538</v>
      </c>
      <c r="V605" s="371">
        <v>8.02</v>
      </c>
      <c r="W605" s="35">
        <v>0.86</v>
      </c>
      <c r="X605" s="100">
        <v>1.61</v>
      </c>
      <c r="Y605" s="37" t="str">
        <f>RTD("money.excel",,"4967","Price")</f>
        <v>無資料</v>
      </c>
      <c r="Z605" s="69"/>
      <c r="AA605" s="16" t="e">
        <f t="shared" si="187"/>
        <v>#VALUE!</v>
      </c>
      <c r="AB605" s="3" t="e">
        <f t="shared" si="188"/>
        <v>#VALUE!</v>
      </c>
      <c r="AC605" s="177" t="s">
        <v>2648</v>
      </c>
      <c r="AD605" s="23" t="s">
        <v>2657</v>
      </c>
      <c r="AG605" s="34">
        <f t="shared" si="189"/>
        <v>0</v>
      </c>
      <c r="AH605" s="44" t="s">
        <v>2131</v>
      </c>
      <c r="AI605" s="131"/>
      <c r="AK605" s="66">
        <f t="shared" si="190"/>
        <v>0</v>
      </c>
      <c r="AL605" s="174">
        <f t="shared" si="191"/>
        <v>0</v>
      </c>
      <c r="AM605" s="346">
        <f>RTD("money.excel",,$G605,"PredictVolume")</f>
        <v>0</v>
      </c>
      <c r="AN605" s="272">
        <f>RTD("money.excel",,$G605,"CumulativeVolume")</f>
        <v>0</v>
      </c>
      <c r="AO605" s="284"/>
    </row>
    <row r="606" spans="1:41">
      <c r="A606" s="135" t="s">
        <v>6322</v>
      </c>
      <c r="B606" s="84">
        <v>0</v>
      </c>
      <c r="C606" s="85">
        <v>-2</v>
      </c>
      <c r="D606" s="85">
        <v>-17</v>
      </c>
      <c r="E606" s="85">
        <v>-58</v>
      </c>
      <c r="F606" s="59">
        <v>13.82</v>
      </c>
      <c r="G606" s="85">
        <v>4968</v>
      </c>
      <c r="H606" s="4" t="s">
        <v>558</v>
      </c>
      <c r="I606" s="23" t="s">
        <v>634</v>
      </c>
      <c r="J606" s="371">
        <v>23.36</v>
      </c>
      <c r="K606" s="371">
        <v>41.41</v>
      </c>
      <c r="L606" s="77">
        <v>21.41</v>
      </c>
      <c r="M606" s="371">
        <v>9.5</v>
      </c>
      <c r="N606" s="365">
        <f t="shared" si="184"/>
        <v>95.679999999999993</v>
      </c>
      <c r="O606" s="343">
        <f t="shared" si="185"/>
        <v>32.86</v>
      </c>
      <c r="P606" s="195">
        <v>29</v>
      </c>
      <c r="Q606" s="326">
        <v>31</v>
      </c>
      <c r="R606" s="111">
        <v>32</v>
      </c>
      <c r="S606" s="51">
        <v>42</v>
      </c>
      <c r="T606" s="339">
        <f t="shared" si="186"/>
        <v>134</v>
      </c>
      <c r="U606" s="329" t="s">
        <v>6541</v>
      </c>
      <c r="V606" s="371">
        <v>6.59</v>
      </c>
      <c r="W606" s="69">
        <v>8</v>
      </c>
      <c r="X606" s="100">
        <v>12.49</v>
      </c>
      <c r="Y606" s="14" t="str">
        <f>RTD("money.excel",,"4968","Price")</f>
        <v>無資料</v>
      </c>
      <c r="Z606" s="69"/>
      <c r="AA606" s="16" t="e">
        <f t="shared" si="187"/>
        <v>#VALUE!</v>
      </c>
      <c r="AB606" s="3" t="e">
        <f t="shared" si="188"/>
        <v>#VALUE!</v>
      </c>
      <c r="AC606" s="177" t="s">
        <v>2929</v>
      </c>
      <c r="AD606" s="23" t="s">
        <v>634</v>
      </c>
      <c r="AG606" s="34">
        <f t="shared" si="189"/>
        <v>0</v>
      </c>
      <c r="AH606" s="63" t="s">
        <v>3169</v>
      </c>
      <c r="AI606" s="128"/>
      <c r="AK606" s="66">
        <f t="shared" si="190"/>
        <v>0</v>
      </c>
      <c r="AL606" s="174">
        <f t="shared" si="191"/>
        <v>0</v>
      </c>
      <c r="AM606" s="346">
        <f>RTD("money.excel",,$G606,"PredictVolume")</f>
        <v>0</v>
      </c>
      <c r="AN606" s="272">
        <f>RTD("money.excel",,$G606,"CumulativeVolume")</f>
        <v>0</v>
      </c>
      <c r="AO606" s="34"/>
    </row>
    <row r="607" spans="1:41">
      <c r="A607" s="151" t="s">
        <v>2451</v>
      </c>
      <c r="B607" s="85">
        <v>-70</v>
      </c>
      <c r="C607" s="85">
        <v>-84</v>
      </c>
      <c r="D607" s="84">
        <v>0</v>
      </c>
      <c r="E607" s="85">
        <v>-2</v>
      </c>
      <c r="F607" s="7">
        <v>2.0699999999999998</v>
      </c>
      <c r="G607" s="85">
        <v>4971</v>
      </c>
      <c r="H607" s="55" t="s">
        <v>558</v>
      </c>
      <c r="I607" s="17" t="s">
        <v>277</v>
      </c>
      <c r="J607" s="77">
        <v>3</v>
      </c>
      <c r="K607" s="371">
        <v>15.72</v>
      </c>
      <c r="L607" s="77">
        <v>20.67</v>
      </c>
      <c r="N607" s="365">
        <f t="shared" si="184"/>
        <v>39.39</v>
      </c>
      <c r="O607" s="343">
        <f t="shared" si="185"/>
        <v>3</v>
      </c>
      <c r="P607" s="195">
        <v>1</v>
      </c>
      <c r="Q607" s="326" t="str">
        <f>IFERROR(VLOOKUP($G607,主力整理!$A$2:$G$2301,6,0),"0")</f>
        <v>0</v>
      </c>
      <c r="R607" s="111">
        <v>3</v>
      </c>
      <c r="T607" s="339">
        <f t="shared" si="186"/>
        <v>4</v>
      </c>
      <c r="V607" s="371">
        <v>0</v>
      </c>
      <c r="W607" s="35">
        <v>1</v>
      </c>
      <c r="X607" s="100">
        <v>1.84</v>
      </c>
      <c r="Y607" s="37" t="str">
        <f>RTD("money.excel",,"4971","Price")</f>
        <v>無資料</v>
      </c>
      <c r="Z607" s="69"/>
      <c r="AA607" s="16" t="e">
        <f t="shared" si="187"/>
        <v>#VALUE!</v>
      </c>
      <c r="AB607" s="3" t="e">
        <f t="shared" si="188"/>
        <v>#VALUE!</v>
      </c>
      <c r="AC607" s="177" t="s">
        <v>2648</v>
      </c>
      <c r="AD607" s="17" t="s">
        <v>277</v>
      </c>
      <c r="AG607" s="34">
        <f t="shared" si="189"/>
        <v>0</v>
      </c>
      <c r="AH607" s="125" t="s">
        <v>3457</v>
      </c>
      <c r="AI607" s="131"/>
      <c r="AK607" s="66">
        <f t="shared" si="190"/>
        <v>0</v>
      </c>
      <c r="AL607" s="174">
        <f t="shared" si="191"/>
        <v>0</v>
      </c>
      <c r="AM607" s="346">
        <f>RTD("money.excel",,$G607,"PredictVolume")</f>
        <v>0</v>
      </c>
      <c r="AN607" s="272">
        <f>RTD("money.excel",,$G607,"CumulativeVolume")</f>
        <v>0</v>
      </c>
      <c r="AO607" s="284"/>
    </row>
    <row r="608" spans="1:41">
      <c r="A608" s="151" t="s">
        <v>4598</v>
      </c>
      <c r="B608" s="84">
        <v>91</v>
      </c>
      <c r="C608" s="84">
        <v>117</v>
      </c>
      <c r="D608" s="85">
        <v>-10</v>
      </c>
      <c r="E608" s="85">
        <v>-11</v>
      </c>
      <c r="F608" s="7">
        <v>2.06</v>
      </c>
      <c r="G608" s="85">
        <v>4973</v>
      </c>
      <c r="H608" s="55" t="s">
        <v>558</v>
      </c>
      <c r="I608" s="17" t="s">
        <v>657</v>
      </c>
      <c r="J608" s="371">
        <v>22.55</v>
      </c>
      <c r="K608" s="371">
        <v>0.77</v>
      </c>
      <c r="L608" s="371">
        <v>19.77</v>
      </c>
      <c r="N608" s="365">
        <f t="shared" si="184"/>
        <v>43.09</v>
      </c>
      <c r="O608" s="343">
        <f t="shared" si="185"/>
        <v>22.55</v>
      </c>
      <c r="P608" s="195" t="s">
        <v>5554</v>
      </c>
      <c r="Q608" s="326" t="str">
        <f>IFERROR(VLOOKUP($G608,主力整理!$A$2:$G$2301,6,0),"0")</f>
        <v>0</v>
      </c>
      <c r="R608" s="111">
        <v>9</v>
      </c>
      <c r="S608" s="51">
        <v>0</v>
      </c>
      <c r="T608" s="339">
        <f t="shared" si="186"/>
        <v>9</v>
      </c>
      <c r="V608" s="371">
        <v>2.1</v>
      </c>
      <c r="W608" s="35">
        <v>1</v>
      </c>
      <c r="X608" s="100">
        <v>1.3</v>
      </c>
      <c r="Y608" s="37" t="str">
        <f>RTD("money.excel",,"4973","Price")</f>
        <v>無資料</v>
      </c>
      <c r="Z608" s="69"/>
      <c r="AA608" s="16" t="e">
        <f t="shared" si="187"/>
        <v>#VALUE!</v>
      </c>
      <c r="AB608" s="3" t="e">
        <f t="shared" si="188"/>
        <v>#VALUE!</v>
      </c>
      <c r="AD608" s="17" t="s">
        <v>657</v>
      </c>
      <c r="AG608" s="34">
        <f t="shared" si="189"/>
        <v>0</v>
      </c>
      <c r="AH608" s="44" t="s">
        <v>3747</v>
      </c>
      <c r="AI608" s="131"/>
      <c r="AK608" s="66">
        <f t="shared" si="190"/>
        <v>0</v>
      </c>
      <c r="AL608" s="174">
        <f t="shared" si="191"/>
        <v>0</v>
      </c>
      <c r="AM608" s="346">
        <f>RTD("money.excel",,$G608,"PredictVolume")</f>
        <v>0</v>
      </c>
      <c r="AN608" s="272">
        <f>RTD("money.excel",,$G608,"CumulativeVolume")</f>
        <v>0</v>
      </c>
      <c r="AO608" s="284"/>
    </row>
    <row r="609" spans="1:41">
      <c r="A609" s="135" t="s">
        <v>3271</v>
      </c>
      <c r="B609" s="85">
        <v>-43</v>
      </c>
      <c r="C609" s="85">
        <v>-41</v>
      </c>
      <c r="D609" s="84">
        <v>51</v>
      </c>
      <c r="E609" s="85">
        <v>-4</v>
      </c>
      <c r="F609" s="59">
        <v>14.61</v>
      </c>
      <c r="G609" s="85">
        <v>4991</v>
      </c>
      <c r="H609" s="55" t="s">
        <v>558</v>
      </c>
      <c r="I609" s="17" t="s">
        <v>340</v>
      </c>
      <c r="J609" s="371">
        <v>49.09</v>
      </c>
      <c r="K609" s="77">
        <v>15.44</v>
      </c>
      <c r="L609" s="371">
        <v>25.38</v>
      </c>
      <c r="N609" s="365">
        <f t="shared" si="184"/>
        <v>89.91</v>
      </c>
      <c r="O609" s="343">
        <f t="shared" si="185"/>
        <v>49.09</v>
      </c>
      <c r="P609" s="195" t="s">
        <v>5554</v>
      </c>
      <c r="Q609" s="326" t="str">
        <f>IFERROR(VLOOKUP($G609,主力整理!$A$2:$G$2301,6,0),"0")</f>
        <v>0</v>
      </c>
      <c r="R609" s="111">
        <v>4</v>
      </c>
      <c r="T609" s="339">
        <f t="shared" si="186"/>
        <v>4</v>
      </c>
      <c r="V609" s="371">
        <v>3.76</v>
      </c>
      <c r="W609" s="35">
        <v>0</v>
      </c>
      <c r="X609" s="100">
        <v>-1.28</v>
      </c>
      <c r="Y609" s="37" t="str">
        <f>RTD("money.excel",,"4991","Price")</f>
        <v>無資料</v>
      </c>
      <c r="Z609" s="69"/>
      <c r="AA609" s="16" t="e">
        <f t="shared" si="187"/>
        <v>#VALUE!</v>
      </c>
      <c r="AB609" s="3" t="e">
        <f t="shared" si="188"/>
        <v>#VALUE!</v>
      </c>
      <c r="AD609" s="17" t="s">
        <v>340</v>
      </c>
      <c r="AG609" s="34">
        <f t="shared" si="189"/>
        <v>0</v>
      </c>
      <c r="AH609" s="50" t="s">
        <v>2795</v>
      </c>
      <c r="AI609" s="131"/>
      <c r="AK609" s="66">
        <f t="shared" si="190"/>
        <v>0</v>
      </c>
      <c r="AL609" s="174">
        <f t="shared" si="191"/>
        <v>0</v>
      </c>
      <c r="AM609" s="346">
        <f>RTD("money.excel",,$G609,"PredictVolume")</f>
        <v>0</v>
      </c>
      <c r="AN609" s="272">
        <f>RTD("money.excel",,$G609,"CumulativeVolume")</f>
        <v>0</v>
      </c>
      <c r="AO609" s="284"/>
    </row>
    <row r="610" spans="1:41">
      <c r="A610" s="135" t="s">
        <v>2733</v>
      </c>
      <c r="B610" s="84">
        <v>164</v>
      </c>
      <c r="C610" s="84">
        <v>183</v>
      </c>
      <c r="D610" s="84">
        <v>77</v>
      </c>
      <c r="E610" s="84">
        <v>12</v>
      </c>
      <c r="F610" s="59">
        <v>35.46</v>
      </c>
      <c r="G610" s="85">
        <v>5222</v>
      </c>
      <c r="H610" s="4" t="s">
        <v>558</v>
      </c>
      <c r="I610" s="23" t="s">
        <v>6359</v>
      </c>
      <c r="J610" s="371">
        <v>20.87</v>
      </c>
      <c r="K610" s="77">
        <v>4.0599999999999996</v>
      </c>
      <c r="L610" s="371"/>
      <c r="N610" s="365">
        <f t="shared" si="184"/>
        <v>24.93</v>
      </c>
      <c r="O610" s="343">
        <f t="shared" si="185"/>
        <v>20.87</v>
      </c>
      <c r="P610" s="195">
        <v>2</v>
      </c>
      <c r="Q610" s="326">
        <v>1</v>
      </c>
      <c r="R610" s="111">
        <v>1</v>
      </c>
      <c r="S610" s="51">
        <v>0</v>
      </c>
      <c r="T610" s="339">
        <f t="shared" si="186"/>
        <v>4</v>
      </c>
      <c r="W610" s="69">
        <v>6.2</v>
      </c>
      <c r="X610" s="100" t="s">
        <v>5226</v>
      </c>
      <c r="Y610" s="37" t="str">
        <f>RTD("money.excel",,"5222","Price")</f>
        <v>無資料</v>
      </c>
      <c r="Z610" s="69"/>
      <c r="AA610" s="16" t="e">
        <f t="shared" si="187"/>
        <v>#VALUE!</v>
      </c>
      <c r="AB610" s="3" t="e">
        <f t="shared" si="188"/>
        <v>#VALUE!</v>
      </c>
      <c r="AC610" s="177" t="s">
        <v>2929</v>
      </c>
      <c r="AD610" s="23" t="s">
        <v>6359</v>
      </c>
      <c r="AG610" s="34">
        <f t="shared" si="189"/>
        <v>0</v>
      </c>
      <c r="AH610" s="63" t="s">
        <v>6363</v>
      </c>
      <c r="AI610" s="131"/>
      <c r="AK610" s="66">
        <f t="shared" si="190"/>
        <v>0</v>
      </c>
      <c r="AL610" s="174">
        <f t="shared" si="191"/>
        <v>0</v>
      </c>
      <c r="AM610" s="346">
        <f>RTD("money.excel",,$G610,"PredictVolume")</f>
        <v>0</v>
      </c>
      <c r="AN610" s="272">
        <f>RTD("money.excel",,$G610,"CumulativeVolume")</f>
        <v>0</v>
      </c>
      <c r="AO610" s="284"/>
    </row>
    <row r="611" spans="1:41">
      <c r="A611" s="135" t="s">
        <v>5462</v>
      </c>
      <c r="B611" s="84">
        <v>397</v>
      </c>
      <c r="C611" s="84">
        <v>422</v>
      </c>
      <c r="D611" s="84">
        <v>12</v>
      </c>
      <c r="E611" s="84">
        <v>0</v>
      </c>
      <c r="F611" s="59">
        <v>31.68</v>
      </c>
      <c r="G611" s="85">
        <v>5236</v>
      </c>
      <c r="H611" s="55" t="s">
        <v>558</v>
      </c>
      <c r="I611" s="17" t="s">
        <v>5383</v>
      </c>
      <c r="J611" s="371">
        <v>62.15</v>
      </c>
      <c r="K611" s="77">
        <v>3.42</v>
      </c>
      <c r="L611" s="371"/>
      <c r="N611" s="365">
        <f t="shared" si="184"/>
        <v>65.569999999999993</v>
      </c>
      <c r="O611" s="343">
        <f t="shared" si="185"/>
        <v>62.15</v>
      </c>
      <c r="P611" s="195" t="s">
        <v>5554</v>
      </c>
      <c r="Q611" s="326" t="str">
        <f>IFERROR(VLOOKUP($G611,主力整理!$A$2:$G$2301,6,0),"0")</f>
        <v>0</v>
      </c>
      <c r="R611" s="111">
        <v>0</v>
      </c>
      <c r="S611" s="51">
        <v>0</v>
      </c>
      <c r="T611" s="339">
        <f t="shared" si="186"/>
        <v>0</v>
      </c>
      <c r="W611" s="35">
        <v>8</v>
      </c>
      <c r="X611" s="71" t="s">
        <v>5226</v>
      </c>
      <c r="Y611" s="37" t="str">
        <f>RTD("money.excel",,"5236","Price")</f>
        <v>無資料</v>
      </c>
      <c r="Z611" s="69"/>
      <c r="AA611" s="16" t="e">
        <f t="shared" si="187"/>
        <v>#VALUE!</v>
      </c>
      <c r="AB611" s="3" t="e">
        <f t="shared" si="188"/>
        <v>#VALUE!</v>
      </c>
      <c r="AD611" s="17" t="s">
        <v>5383</v>
      </c>
      <c r="AG611" s="34">
        <f t="shared" si="189"/>
        <v>0</v>
      </c>
      <c r="AH611" s="63" t="s">
        <v>5384</v>
      </c>
      <c r="AI611" s="284"/>
      <c r="AK611" s="66">
        <f t="shared" si="190"/>
        <v>0</v>
      </c>
      <c r="AL611" s="174">
        <f t="shared" si="191"/>
        <v>0</v>
      </c>
      <c r="AM611" s="346">
        <f>RTD("money.excel",,$G611,"PredictVolume")</f>
        <v>0</v>
      </c>
      <c r="AN611" s="272">
        <f>RTD("money.excel",,$G611,"CumulativeVolume")</f>
        <v>0</v>
      </c>
      <c r="AO611" s="284"/>
    </row>
    <row r="612" spans="1:41">
      <c r="A612" s="135" t="s">
        <v>2967</v>
      </c>
      <c r="B612" s="84">
        <v>12</v>
      </c>
      <c r="C612" s="85">
        <v>-5</v>
      </c>
      <c r="D612" s="85">
        <v>-1</v>
      </c>
      <c r="E612" s="85">
        <v>-31</v>
      </c>
      <c r="F612" s="59">
        <v>31.97</v>
      </c>
      <c r="G612" s="85">
        <v>5269</v>
      </c>
      <c r="H612" s="4" t="s">
        <v>558</v>
      </c>
      <c r="I612" s="23" t="s">
        <v>106</v>
      </c>
      <c r="J612" s="77">
        <v>64.959999999999994</v>
      </c>
      <c r="K612" s="371">
        <v>25.91</v>
      </c>
      <c r="L612" s="77">
        <v>4.99</v>
      </c>
      <c r="N612" s="365">
        <f t="shared" si="184"/>
        <v>95.859999999999985</v>
      </c>
      <c r="O612" s="343">
        <f t="shared" si="185"/>
        <v>64.959999999999994</v>
      </c>
      <c r="P612" s="195">
        <v>12</v>
      </c>
      <c r="Q612" s="326">
        <v>6</v>
      </c>
      <c r="R612" s="111">
        <v>11</v>
      </c>
      <c r="S612" s="51">
        <v>5</v>
      </c>
      <c r="T612" s="339">
        <f t="shared" si="186"/>
        <v>34</v>
      </c>
      <c r="V612" s="371">
        <v>14.72</v>
      </c>
      <c r="W612" s="69">
        <v>24</v>
      </c>
      <c r="X612" s="59">
        <v>45.19</v>
      </c>
      <c r="Y612" s="37" t="str">
        <f>RTD("money.excel",,"5269","Price")</f>
        <v>無資料</v>
      </c>
      <c r="Z612" s="69"/>
      <c r="AA612" s="146" t="e">
        <f t="shared" si="187"/>
        <v>#VALUE!</v>
      </c>
      <c r="AB612" s="36" t="e">
        <f t="shared" si="188"/>
        <v>#VALUE!</v>
      </c>
      <c r="AC612" s="177" t="s">
        <v>2929</v>
      </c>
      <c r="AD612" s="23" t="s">
        <v>106</v>
      </c>
      <c r="AG612" s="34">
        <f t="shared" si="189"/>
        <v>0</v>
      </c>
      <c r="AH612" s="126" t="s">
        <v>3274</v>
      </c>
      <c r="AI612" s="131"/>
      <c r="AK612" s="66">
        <f t="shared" si="190"/>
        <v>0</v>
      </c>
      <c r="AL612" s="174">
        <f t="shared" si="191"/>
        <v>0</v>
      </c>
      <c r="AM612" s="346">
        <f>RTD("money.excel",,$G612,"PredictVolume")</f>
        <v>0</v>
      </c>
      <c r="AN612" s="272">
        <f>RTD("money.excel",,$G612,"CumulativeVolume")</f>
        <v>0</v>
      </c>
      <c r="AO612" s="284"/>
    </row>
    <row r="613" spans="1:41">
      <c r="A613" s="151" t="s">
        <v>3218</v>
      </c>
      <c r="B613" s="85">
        <v>-460</v>
      </c>
      <c r="C613" s="85">
        <v>-647</v>
      </c>
      <c r="D613" s="84">
        <v>13</v>
      </c>
      <c r="E613" s="84">
        <v>8</v>
      </c>
      <c r="F613" s="7">
        <v>-12.54</v>
      </c>
      <c r="G613" s="85">
        <v>5272</v>
      </c>
      <c r="H613" s="55" t="s">
        <v>558</v>
      </c>
      <c r="I613" s="17" t="s">
        <v>658</v>
      </c>
      <c r="J613" s="77">
        <v>22.23</v>
      </c>
      <c r="K613" s="371">
        <v>0.86</v>
      </c>
      <c r="L613" s="77">
        <v>15.45</v>
      </c>
      <c r="N613" s="365">
        <f t="shared" si="184"/>
        <v>38.54</v>
      </c>
      <c r="O613" s="343">
        <f t="shared" si="185"/>
        <v>22.23</v>
      </c>
      <c r="P613" s="195" t="s">
        <v>5554</v>
      </c>
      <c r="Q613" s="326">
        <f>IFERROR(VLOOKUP($G613,主力整理!$A$2:$G$2301,6,0),"0")</f>
        <v>4</v>
      </c>
      <c r="R613" s="111">
        <v>13</v>
      </c>
      <c r="T613" s="339">
        <f t="shared" si="186"/>
        <v>17</v>
      </c>
      <c r="V613" s="371">
        <v>1.07</v>
      </c>
      <c r="W613" s="35">
        <v>0</v>
      </c>
      <c r="X613" s="100">
        <v>-0.61</v>
      </c>
      <c r="Y613" s="37" t="str">
        <f>RTD("money.excel",,"5272","Price")</f>
        <v>無資料</v>
      </c>
      <c r="Z613" s="69"/>
      <c r="AA613" s="16" t="e">
        <f t="shared" si="187"/>
        <v>#VALUE!</v>
      </c>
      <c r="AB613" s="3" t="e">
        <f t="shared" si="188"/>
        <v>#VALUE!</v>
      </c>
      <c r="AD613" s="17" t="s">
        <v>658</v>
      </c>
      <c r="AG613" s="34">
        <f t="shared" si="189"/>
        <v>0</v>
      </c>
      <c r="AH613" s="44" t="s">
        <v>3571</v>
      </c>
      <c r="AI613" s="131"/>
      <c r="AK613" s="66">
        <f t="shared" si="190"/>
        <v>0</v>
      </c>
      <c r="AL613" s="174">
        <f t="shared" si="191"/>
        <v>0</v>
      </c>
      <c r="AM613" s="346">
        <f>RTD("money.excel",,$G613,"PredictVolume")</f>
        <v>0</v>
      </c>
      <c r="AN613" s="272">
        <f>RTD("money.excel",,$G613,"CumulativeVolume")</f>
        <v>0</v>
      </c>
      <c r="AO613" s="284"/>
    </row>
    <row r="614" spans="1:41">
      <c r="A614" s="135" t="s">
        <v>3234</v>
      </c>
      <c r="B614" s="84">
        <v>20</v>
      </c>
      <c r="C614" s="84">
        <v>26</v>
      </c>
      <c r="D614" s="84">
        <v>3</v>
      </c>
      <c r="E614" s="84">
        <v>1</v>
      </c>
      <c r="F614" s="59">
        <v>41.48</v>
      </c>
      <c r="G614" s="85">
        <v>5274</v>
      </c>
      <c r="H614" s="55" t="s">
        <v>558</v>
      </c>
      <c r="I614" s="17" t="s">
        <v>400</v>
      </c>
      <c r="J614" s="371">
        <v>39.67</v>
      </c>
      <c r="K614" s="77">
        <v>67.16</v>
      </c>
      <c r="L614" s="371">
        <v>1.87</v>
      </c>
      <c r="N614" s="365">
        <f t="shared" si="184"/>
        <v>108.7</v>
      </c>
      <c r="O614" s="343">
        <f t="shared" si="185"/>
        <v>39.67</v>
      </c>
      <c r="P614" s="195">
        <v>13</v>
      </c>
      <c r="Q614" s="326" t="str">
        <f>IFERROR(VLOOKUP($G614,主力整理!$A$2:$G$2301,6,0),"0")</f>
        <v>0</v>
      </c>
      <c r="R614" s="111">
        <v>5</v>
      </c>
      <c r="T614" s="339">
        <f t="shared" si="186"/>
        <v>18</v>
      </c>
      <c r="V614" s="371">
        <v>0</v>
      </c>
      <c r="W614" s="69">
        <v>26</v>
      </c>
      <c r="X614" s="100">
        <v>29.41</v>
      </c>
      <c r="Y614" s="160" t="str">
        <f>RTD("money.excel",,"5274","Price")</f>
        <v>無資料</v>
      </c>
      <c r="Z614" s="69"/>
      <c r="AA614" s="146" t="e">
        <f t="shared" si="187"/>
        <v>#VALUE!</v>
      </c>
      <c r="AB614" s="3" t="e">
        <f t="shared" si="188"/>
        <v>#VALUE!</v>
      </c>
      <c r="AC614" s="177" t="s">
        <v>2929</v>
      </c>
      <c r="AD614" s="17" t="s">
        <v>400</v>
      </c>
      <c r="AG614" s="34">
        <f t="shared" si="189"/>
        <v>0</v>
      </c>
      <c r="AH614" s="126" t="s">
        <v>3746</v>
      </c>
      <c r="AI614" s="131"/>
      <c r="AK614" s="66">
        <f t="shared" si="190"/>
        <v>0</v>
      </c>
      <c r="AL614" s="174">
        <f t="shared" si="191"/>
        <v>0</v>
      </c>
      <c r="AM614" s="346">
        <f>RTD("money.excel",,$G614,"PredictVolume")</f>
        <v>0</v>
      </c>
      <c r="AN614" s="272">
        <f>RTD("money.excel",,$G614,"CumulativeVolume")</f>
        <v>0</v>
      </c>
      <c r="AO614" s="284"/>
    </row>
    <row r="615" spans="1:41">
      <c r="A615" s="135" t="s">
        <v>3161</v>
      </c>
      <c r="B615" s="84">
        <v>502</v>
      </c>
      <c r="C615" s="84">
        <v>574</v>
      </c>
      <c r="D615" s="85">
        <v>-9</v>
      </c>
      <c r="E615" s="84">
        <v>62</v>
      </c>
      <c r="F615" s="59">
        <v>11.12</v>
      </c>
      <c r="G615" s="85">
        <v>5285</v>
      </c>
      <c r="H615" s="4" t="s">
        <v>558</v>
      </c>
      <c r="I615" s="23" t="s">
        <v>635</v>
      </c>
      <c r="J615" s="77">
        <v>48.54</v>
      </c>
      <c r="K615" s="371">
        <v>7.95</v>
      </c>
      <c r="L615" s="77">
        <v>24.77</v>
      </c>
      <c r="N615" s="365">
        <f t="shared" si="184"/>
        <v>81.260000000000005</v>
      </c>
      <c r="O615" s="343">
        <f t="shared" si="185"/>
        <v>48.54</v>
      </c>
      <c r="P615" s="195">
        <v>13</v>
      </c>
      <c r="Q615" s="326">
        <f>IFERROR(VLOOKUP($G615,主力整理!$A$2:$G$2301,6,0),"0")</f>
        <v>2</v>
      </c>
      <c r="R615" s="111">
        <v>8</v>
      </c>
      <c r="S615" s="51">
        <v>5</v>
      </c>
      <c r="T615" s="339">
        <f t="shared" si="186"/>
        <v>28</v>
      </c>
      <c r="V615" s="371">
        <v>6.51</v>
      </c>
      <c r="W615" s="35">
        <v>2.41</v>
      </c>
      <c r="X615" s="100">
        <v>3.66</v>
      </c>
      <c r="Y615" s="37" t="str">
        <f>RTD("money.excel",,"5285","Price")</f>
        <v>無資料</v>
      </c>
      <c r="Z615" s="69"/>
      <c r="AA615" s="16" t="e">
        <f t="shared" si="187"/>
        <v>#VALUE!</v>
      </c>
      <c r="AB615" s="3" t="e">
        <f t="shared" si="188"/>
        <v>#VALUE!</v>
      </c>
      <c r="AC615" s="177" t="s">
        <v>2648</v>
      </c>
      <c r="AD615" s="23" t="s">
        <v>635</v>
      </c>
      <c r="AG615" s="34">
        <f t="shared" si="189"/>
        <v>0</v>
      </c>
      <c r="AH615" s="63" t="s">
        <v>4905</v>
      </c>
      <c r="AI615" s="28"/>
      <c r="AK615" s="66">
        <f t="shared" si="190"/>
        <v>0</v>
      </c>
      <c r="AL615" s="174">
        <f t="shared" si="191"/>
        <v>0</v>
      </c>
      <c r="AM615" s="346">
        <f>RTD("money.excel",,$G615,"PredictVolume")</f>
        <v>0</v>
      </c>
      <c r="AN615" s="272">
        <f>RTD("money.excel",,$G615,"CumulativeVolume")</f>
        <v>0</v>
      </c>
      <c r="AO615" s="18"/>
    </row>
    <row r="616" spans="1:41">
      <c r="A616" s="135" t="s">
        <v>3352</v>
      </c>
      <c r="B616" s="84">
        <v>86</v>
      </c>
      <c r="C616" s="84">
        <v>90</v>
      </c>
      <c r="D616" s="84">
        <v>0</v>
      </c>
      <c r="E616" s="84">
        <v>56</v>
      </c>
      <c r="F616" s="59">
        <v>28.08</v>
      </c>
      <c r="G616" s="85">
        <v>5299</v>
      </c>
      <c r="H616" s="55" t="s">
        <v>558</v>
      </c>
      <c r="I616" s="17" t="s">
        <v>571</v>
      </c>
      <c r="J616" s="371">
        <v>33.24</v>
      </c>
      <c r="K616" s="371">
        <v>9.26</v>
      </c>
      <c r="L616" s="371">
        <v>29.48</v>
      </c>
      <c r="N616" s="365">
        <f t="shared" si="184"/>
        <v>71.98</v>
      </c>
      <c r="O616" s="343">
        <f t="shared" si="185"/>
        <v>33.24</v>
      </c>
      <c r="P616" s="195">
        <v>7</v>
      </c>
      <c r="Q616" s="326" t="str">
        <f>IFERROR(VLOOKUP($G616,主力整理!$A$2:$G$2301,6,0),"0")</f>
        <v>0</v>
      </c>
      <c r="R616" s="111">
        <v>4</v>
      </c>
      <c r="S616" s="51">
        <v>4</v>
      </c>
      <c r="T616" s="339">
        <f t="shared" si="186"/>
        <v>15</v>
      </c>
      <c r="V616" s="371">
        <v>3.83</v>
      </c>
      <c r="W616" s="69">
        <v>6.5</v>
      </c>
      <c r="X616" s="100">
        <v>12.91</v>
      </c>
      <c r="Y616" s="37" t="str">
        <f>RTD("money.excel",,"5299","Price")</f>
        <v>無資料</v>
      </c>
      <c r="Z616" s="69"/>
      <c r="AA616" s="16" t="e">
        <f t="shared" si="187"/>
        <v>#VALUE!</v>
      </c>
      <c r="AB616" s="3" t="e">
        <f t="shared" si="188"/>
        <v>#VALUE!</v>
      </c>
      <c r="AC616" s="177" t="s">
        <v>2929</v>
      </c>
      <c r="AD616" s="17" t="s">
        <v>571</v>
      </c>
      <c r="AG616" s="34">
        <f t="shared" si="189"/>
        <v>0</v>
      </c>
      <c r="AH616" s="63" t="s">
        <v>3774</v>
      </c>
      <c r="AI616" s="131"/>
      <c r="AK616" s="66">
        <f t="shared" si="190"/>
        <v>0</v>
      </c>
      <c r="AL616" s="174">
        <f t="shared" si="191"/>
        <v>0</v>
      </c>
      <c r="AM616" s="346">
        <f>RTD("money.excel",,$G616,"PredictVolume")</f>
        <v>0</v>
      </c>
      <c r="AN616" s="272">
        <f>RTD("money.excel",,$G616,"CumulativeVolume")</f>
        <v>0</v>
      </c>
      <c r="AO616" s="284"/>
    </row>
    <row r="617" spans="1:41">
      <c r="A617" s="151" t="s">
        <v>2628</v>
      </c>
      <c r="B617" s="96">
        <v>10</v>
      </c>
      <c r="C617" s="96">
        <v>0</v>
      </c>
      <c r="D617" s="96">
        <v>-57</v>
      </c>
      <c r="E617" s="96">
        <v>-57</v>
      </c>
      <c r="F617" s="77">
        <v>-286.97000000000003</v>
      </c>
      <c r="G617" s="85">
        <v>5302</v>
      </c>
      <c r="H617" s="55" t="s">
        <v>558</v>
      </c>
      <c r="I617" s="17" t="s">
        <v>659</v>
      </c>
      <c r="J617" s="77">
        <v>51.94</v>
      </c>
      <c r="K617" s="77">
        <v>0.43</v>
      </c>
      <c r="L617" s="77">
        <v>0</v>
      </c>
      <c r="N617" s="365">
        <f t="shared" si="184"/>
        <v>52.37</v>
      </c>
      <c r="O617" s="343">
        <f t="shared" si="185"/>
        <v>51.94</v>
      </c>
      <c r="P617" s="195" t="s">
        <v>5554</v>
      </c>
      <c r="Q617" s="326" t="str">
        <f>IFERROR(VLOOKUP($G617,主力整理!$A$2:$G$2301,6,0),"0")</f>
        <v>0</v>
      </c>
      <c r="R617" s="111">
        <v>20</v>
      </c>
      <c r="T617" s="339">
        <f t="shared" si="186"/>
        <v>20</v>
      </c>
      <c r="V617" s="371">
        <v>17.95</v>
      </c>
      <c r="W617" s="35">
        <v>0</v>
      </c>
      <c r="X617" s="100">
        <v>-0.37</v>
      </c>
      <c r="Y617" s="14" t="str">
        <f>RTD("money.excel",,"5302","Price")</f>
        <v>無資料</v>
      </c>
      <c r="Z617" s="69"/>
      <c r="AA617" s="16" t="e">
        <f t="shared" si="187"/>
        <v>#VALUE!</v>
      </c>
      <c r="AB617" s="3" t="e">
        <f t="shared" si="188"/>
        <v>#VALUE!</v>
      </c>
      <c r="AD617" s="17" t="s">
        <v>659</v>
      </c>
      <c r="AG617" s="34">
        <f t="shared" si="189"/>
        <v>0</v>
      </c>
      <c r="AH617" s="44" t="s">
        <v>3797</v>
      </c>
      <c r="AI617" s="131"/>
      <c r="AK617" s="66">
        <f t="shared" si="190"/>
        <v>0</v>
      </c>
      <c r="AL617" s="174">
        <f t="shared" si="191"/>
        <v>0</v>
      </c>
      <c r="AM617" s="346">
        <f>RTD("money.excel",,$G617,"PredictVolume")</f>
        <v>0</v>
      </c>
      <c r="AN617" s="272">
        <f>RTD("money.excel",,$G617,"CumulativeVolume")</f>
        <v>0</v>
      </c>
      <c r="AO617" s="284"/>
    </row>
    <row r="618" spans="1:41">
      <c r="A618" s="151" t="s">
        <v>3291</v>
      </c>
      <c r="B618" s="96">
        <v>-184</v>
      </c>
      <c r="C618" s="96">
        <v>-84</v>
      </c>
      <c r="D618" s="96">
        <v>69</v>
      </c>
      <c r="E618" s="96">
        <v>41</v>
      </c>
      <c r="F618" s="77">
        <v>-125.06</v>
      </c>
      <c r="G618" s="85">
        <v>5314</v>
      </c>
      <c r="H618" s="55" t="s">
        <v>558</v>
      </c>
      <c r="I618" s="17" t="s">
        <v>660</v>
      </c>
      <c r="J618" s="77">
        <v>47.96</v>
      </c>
      <c r="K618" s="77">
        <v>0.55000000000000004</v>
      </c>
      <c r="N618" s="365">
        <f t="shared" si="184"/>
        <v>48.51</v>
      </c>
      <c r="O618" s="343">
        <f t="shared" si="185"/>
        <v>47.96</v>
      </c>
      <c r="P618" s="195" t="s">
        <v>5554</v>
      </c>
      <c r="Q618" s="326" t="str">
        <f>IFERROR(VLOOKUP($G618,主力整理!$A$2:$G$2301,6,0),"0")</f>
        <v>0</v>
      </c>
      <c r="R618" s="111">
        <v>7</v>
      </c>
      <c r="T618" s="339">
        <f t="shared" si="186"/>
        <v>7</v>
      </c>
      <c r="V618" s="371">
        <v>13.8</v>
      </c>
      <c r="W618" s="35">
        <v>0</v>
      </c>
      <c r="X618" s="100">
        <v>-0.51</v>
      </c>
      <c r="Y618" s="37" t="str">
        <f>RTD("money.excel",,"5314","Price")</f>
        <v>無資料</v>
      </c>
      <c r="Z618" s="69"/>
      <c r="AA618" s="16" t="e">
        <f t="shared" si="187"/>
        <v>#VALUE!</v>
      </c>
      <c r="AB618" s="3" t="e">
        <f t="shared" si="188"/>
        <v>#VALUE!</v>
      </c>
      <c r="AD618" s="17" t="s">
        <v>660</v>
      </c>
      <c r="AG618" s="34">
        <f t="shared" si="189"/>
        <v>0</v>
      </c>
      <c r="AH618" s="44" t="s">
        <v>3798</v>
      </c>
      <c r="AI618" s="131"/>
      <c r="AK618" s="66">
        <f t="shared" si="190"/>
        <v>0</v>
      </c>
      <c r="AL618" s="174">
        <f t="shared" si="191"/>
        <v>0</v>
      </c>
      <c r="AM618" s="346">
        <f>RTD("money.excel",,$G618,"PredictVolume")</f>
        <v>0</v>
      </c>
      <c r="AN618" s="272">
        <f>RTD("money.excel",,$G618,"CumulativeVolume")</f>
        <v>0</v>
      </c>
      <c r="AO618" s="284"/>
    </row>
    <row r="619" spans="1:41">
      <c r="A619" s="151" t="s">
        <v>4599</v>
      </c>
      <c r="B619" s="96">
        <v>182</v>
      </c>
      <c r="C619" s="96">
        <v>160</v>
      </c>
      <c r="D619" s="96">
        <v>21</v>
      </c>
      <c r="E619" s="96">
        <v>62</v>
      </c>
      <c r="F619" s="7">
        <v>8.89</v>
      </c>
      <c r="G619" s="85">
        <v>5344</v>
      </c>
      <c r="H619" s="55" t="s">
        <v>558</v>
      </c>
      <c r="I619" s="17" t="s">
        <v>1715</v>
      </c>
      <c r="J619" s="77">
        <v>76.540000000000006</v>
      </c>
      <c r="K619" s="77">
        <v>0.06</v>
      </c>
      <c r="N619" s="365">
        <f t="shared" si="184"/>
        <v>76.600000000000009</v>
      </c>
      <c r="O619" s="343">
        <f t="shared" si="185"/>
        <v>76.540000000000006</v>
      </c>
      <c r="P619" s="195" t="s">
        <v>5554</v>
      </c>
      <c r="Q619" s="326" t="str">
        <f>IFERROR(VLOOKUP($G619,主力整理!$A$2:$G$2301,6,0),"0")</f>
        <v>0</v>
      </c>
      <c r="R619" s="111">
        <v>26</v>
      </c>
      <c r="T619" s="339">
        <f t="shared" si="186"/>
        <v>26</v>
      </c>
      <c r="V619" s="371">
        <v>69.41</v>
      </c>
      <c r="W619" s="35">
        <v>0</v>
      </c>
      <c r="X619" s="100">
        <v>0.53</v>
      </c>
      <c r="Y619" s="14" t="str">
        <f>RTD("money.excel",,"5344","Price")</f>
        <v>無資料</v>
      </c>
      <c r="Z619" s="69"/>
      <c r="AA619" s="16" t="e">
        <f t="shared" si="187"/>
        <v>#VALUE!</v>
      </c>
      <c r="AB619" s="3" t="e">
        <f t="shared" si="188"/>
        <v>#VALUE!</v>
      </c>
      <c r="AD619" s="17" t="s">
        <v>1715</v>
      </c>
      <c r="AG619" s="34">
        <f t="shared" si="189"/>
        <v>0</v>
      </c>
      <c r="AH619" s="44" t="s">
        <v>3799</v>
      </c>
      <c r="AI619" s="131"/>
      <c r="AK619" s="66">
        <f t="shared" si="190"/>
        <v>0</v>
      </c>
      <c r="AL619" s="174">
        <f t="shared" si="191"/>
        <v>0</v>
      </c>
      <c r="AM619" s="346">
        <f>RTD("money.excel",,$G619,"PredictVolume")</f>
        <v>0</v>
      </c>
      <c r="AN619" s="272">
        <f>RTD("money.excel",,$G619,"CumulativeVolume")</f>
        <v>0</v>
      </c>
      <c r="AO619" s="284"/>
    </row>
    <row r="620" spans="1:41">
      <c r="A620" s="135" t="s">
        <v>2510</v>
      </c>
      <c r="B620" s="84">
        <v>7</v>
      </c>
      <c r="C620" s="84">
        <v>7</v>
      </c>
      <c r="D620" s="84">
        <v>1</v>
      </c>
      <c r="E620" s="84">
        <v>8</v>
      </c>
      <c r="F620" s="59">
        <v>22.38</v>
      </c>
      <c r="G620" s="85">
        <v>5347</v>
      </c>
      <c r="H620" s="55" t="s">
        <v>558</v>
      </c>
      <c r="I620" s="17" t="s">
        <v>58</v>
      </c>
      <c r="J620" s="371">
        <v>85.22</v>
      </c>
      <c r="K620" s="371">
        <v>42.42</v>
      </c>
      <c r="L620" s="371">
        <v>0.94</v>
      </c>
      <c r="N620" s="365">
        <f t="shared" si="184"/>
        <v>128.58000000000001</v>
      </c>
      <c r="O620" s="343">
        <f t="shared" si="185"/>
        <v>85.22</v>
      </c>
      <c r="P620" s="195">
        <v>26</v>
      </c>
      <c r="Q620" s="326">
        <f>IFERROR(VLOOKUP($G620,主力整理!$A$2:$G$2301,6,0),"0")</f>
        <v>2</v>
      </c>
      <c r="R620" s="111">
        <v>2</v>
      </c>
      <c r="T620" s="339">
        <f t="shared" si="186"/>
        <v>30</v>
      </c>
      <c r="V620" s="371">
        <v>0.06</v>
      </c>
      <c r="W620" s="69">
        <v>3.5</v>
      </c>
      <c r="X620" s="59">
        <v>3.85</v>
      </c>
      <c r="Y620" s="14" t="str">
        <f>RTD("money.excel",,"5347","Price")</f>
        <v>無資料</v>
      </c>
      <c r="Z620" s="69"/>
      <c r="AA620" s="16" t="e">
        <f t="shared" si="187"/>
        <v>#VALUE!</v>
      </c>
      <c r="AB620" s="3" t="e">
        <f t="shared" si="188"/>
        <v>#VALUE!</v>
      </c>
      <c r="AC620" s="177" t="s">
        <v>2929</v>
      </c>
      <c r="AD620" s="17" t="s">
        <v>58</v>
      </c>
      <c r="AG620" s="34">
        <f t="shared" si="189"/>
        <v>0</v>
      </c>
      <c r="AH620" s="126" t="s">
        <v>2179</v>
      </c>
      <c r="AI620" s="131"/>
      <c r="AK620" s="66">
        <f t="shared" si="190"/>
        <v>0</v>
      </c>
      <c r="AL620" s="174">
        <f t="shared" si="191"/>
        <v>0</v>
      </c>
      <c r="AM620" s="346">
        <f>RTD("money.excel",,$G620,"PredictVolume")</f>
        <v>0</v>
      </c>
      <c r="AN620" s="272">
        <f>RTD("money.excel",,$G620,"CumulativeVolume")</f>
        <v>0</v>
      </c>
      <c r="AO620" s="284"/>
    </row>
    <row r="621" spans="1:41">
      <c r="A621" s="151" t="s">
        <v>3298</v>
      </c>
      <c r="B621" s="84">
        <v>55</v>
      </c>
      <c r="C621" s="84">
        <v>60</v>
      </c>
      <c r="D621" s="84">
        <v>13</v>
      </c>
      <c r="E621" s="84">
        <v>27</v>
      </c>
      <c r="F621" s="7">
        <v>-6.44</v>
      </c>
      <c r="G621" s="85">
        <v>5351</v>
      </c>
      <c r="H621" s="55" t="s">
        <v>558</v>
      </c>
      <c r="I621" s="25" t="s">
        <v>461</v>
      </c>
      <c r="J621" s="77">
        <v>21.42</v>
      </c>
      <c r="K621" s="77">
        <v>7.21</v>
      </c>
      <c r="L621" s="371">
        <v>25.32</v>
      </c>
      <c r="N621" s="365">
        <f t="shared" si="184"/>
        <v>53.95</v>
      </c>
      <c r="O621" s="343">
        <f t="shared" si="185"/>
        <v>21.42</v>
      </c>
      <c r="P621" s="195">
        <v>7</v>
      </c>
      <c r="Q621" s="326">
        <f>IFERROR(VLOOKUP($G621,主力整理!$A$2:$G$2301,6,0),"0")</f>
        <v>1</v>
      </c>
      <c r="R621" s="111">
        <v>22</v>
      </c>
      <c r="T621" s="339">
        <f t="shared" si="186"/>
        <v>30</v>
      </c>
      <c r="V621" s="371">
        <v>0.33</v>
      </c>
      <c r="W621" s="35">
        <v>0</v>
      </c>
      <c r="X621" s="100">
        <v>-0.93</v>
      </c>
      <c r="Y621" s="37" t="str">
        <f>RTD("money.excel",,"5351","Price")</f>
        <v>無資料</v>
      </c>
      <c r="Z621" s="69"/>
      <c r="AA621" s="16" t="e">
        <f t="shared" si="187"/>
        <v>#VALUE!</v>
      </c>
      <c r="AB621" s="3" t="e">
        <f t="shared" si="188"/>
        <v>#VALUE!</v>
      </c>
      <c r="AC621" s="177" t="s">
        <v>2648</v>
      </c>
      <c r="AD621" s="25" t="s">
        <v>461</v>
      </c>
      <c r="AG621" s="34">
        <f t="shared" si="189"/>
        <v>0</v>
      </c>
      <c r="AH621" s="127" t="s">
        <v>4950</v>
      </c>
      <c r="AI621" s="131"/>
      <c r="AK621" s="66">
        <f t="shared" si="190"/>
        <v>0</v>
      </c>
      <c r="AL621" s="174">
        <f t="shared" si="191"/>
        <v>0</v>
      </c>
      <c r="AM621" s="346">
        <f>RTD("money.excel",,$G621,"PredictVolume")</f>
        <v>0</v>
      </c>
      <c r="AN621" s="272">
        <f>RTD("money.excel",,$G621,"CumulativeVolume")</f>
        <v>0</v>
      </c>
      <c r="AO621" s="284"/>
    </row>
    <row r="622" spans="1:41">
      <c r="A622" s="135" t="s">
        <v>5193</v>
      </c>
      <c r="B622" s="84">
        <v>61</v>
      </c>
      <c r="C622" s="84">
        <v>81</v>
      </c>
      <c r="D622" s="84">
        <v>1</v>
      </c>
      <c r="E622" s="84">
        <v>28</v>
      </c>
      <c r="F622" s="59">
        <v>13.85</v>
      </c>
      <c r="G622" s="85">
        <v>5425</v>
      </c>
      <c r="H622" s="55" t="s">
        <v>558</v>
      </c>
      <c r="I622" s="17" t="s">
        <v>401</v>
      </c>
      <c r="J622" s="371">
        <v>38.270000000000003</v>
      </c>
      <c r="K622" s="77">
        <v>18.04</v>
      </c>
      <c r="L622" s="371">
        <v>26.1</v>
      </c>
      <c r="N622" s="365">
        <f t="shared" si="184"/>
        <v>82.41</v>
      </c>
      <c r="O622" s="343">
        <f t="shared" si="185"/>
        <v>38.270000000000003</v>
      </c>
      <c r="P622" s="195">
        <v>5</v>
      </c>
      <c r="Q622" s="326">
        <f>IFERROR(VLOOKUP($G622,主力整理!$A$2:$G$2301,6,0),"0")</f>
        <v>8</v>
      </c>
      <c r="R622" s="111">
        <v>6</v>
      </c>
      <c r="S622" s="51">
        <v>15</v>
      </c>
      <c r="T622" s="339">
        <f t="shared" si="186"/>
        <v>34</v>
      </c>
      <c r="V622" s="371">
        <v>3.46</v>
      </c>
      <c r="W622" s="35">
        <v>1.5</v>
      </c>
      <c r="X622" s="100">
        <v>2.88</v>
      </c>
      <c r="Y622" s="37" t="str">
        <f>RTD("money.excel",,"5425","Price")</f>
        <v>無資料</v>
      </c>
      <c r="Z622" s="69"/>
      <c r="AA622" s="16" t="e">
        <f t="shared" si="187"/>
        <v>#VALUE!</v>
      </c>
      <c r="AB622" s="3" t="e">
        <f t="shared" si="188"/>
        <v>#VALUE!</v>
      </c>
      <c r="AC622" s="177" t="s">
        <v>2648</v>
      </c>
      <c r="AD622" s="17" t="s">
        <v>401</v>
      </c>
      <c r="AG622" s="34">
        <f t="shared" si="189"/>
        <v>0</v>
      </c>
      <c r="AH622" s="126" t="s">
        <v>4395</v>
      </c>
      <c r="AI622" s="131"/>
      <c r="AK622" s="66">
        <f t="shared" si="190"/>
        <v>0</v>
      </c>
      <c r="AL622" s="174">
        <f t="shared" si="191"/>
        <v>0</v>
      </c>
      <c r="AM622" s="346">
        <f>RTD("money.excel",,$G622,"PredictVolume")</f>
        <v>0</v>
      </c>
      <c r="AN622" s="272">
        <f>RTD("money.excel",,$G622,"CumulativeVolume")</f>
        <v>0</v>
      </c>
      <c r="AO622" s="284"/>
    </row>
    <row r="623" spans="1:41">
      <c r="A623" s="151" t="s">
        <v>4600</v>
      </c>
      <c r="B623" s="84">
        <v>88</v>
      </c>
      <c r="C623" s="84">
        <v>84</v>
      </c>
      <c r="D623" s="85">
        <v>-25</v>
      </c>
      <c r="E623" s="85">
        <v>-15</v>
      </c>
      <c r="F623" s="7">
        <v>-5.24</v>
      </c>
      <c r="G623" s="85">
        <v>5468</v>
      </c>
      <c r="H623" s="55" t="s">
        <v>558</v>
      </c>
      <c r="I623" s="17" t="s">
        <v>661</v>
      </c>
      <c r="J623" s="371">
        <v>44.24</v>
      </c>
      <c r="K623" s="77">
        <v>0.28000000000000003</v>
      </c>
      <c r="N623" s="365">
        <f t="shared" si="184"/>
        <v>44.52</v>
      </c>
      <c r="O623" s="343">
        <f t="shared" si="185"/>
        <v>44.24</v>
      </c>
      <c r="P623" s="195" t="s">
        <v>5554</v>
      </c>
      <c r="Q623" s="326" t="str">
        <f>IFERROR(VLOOKUP($G623,主力整理!$A$2:$G$2301,6,0),"0")</f>
        <v>0</v>
      </c>
      <c r="R623" s="111">
        <v>30</v>
      </c>
      <c r="T623" s="339">
        <f t="shared" si="186"/>
        <v>30</v>
      </c>
      <c r="W623" s="35">
        <v>0</v>
      </c>
      <c r="X623" s="100">
        <v>-0.48</v>
      </c>
      <c r="Y623" s="37" t="str">
        <f>RTD("money.excel",,"5468","Price")</f>
        <v>無資料</v>
      </c>
      <c r="Z623" s="69"/>
      <c r="AA623" s="16" t="e">
        <f t="shared" si="187"/>
        <v>#VALUE!</v>
      </c>
      <c r="AB623" s="3" t="e">
        <f t="shared" si="188"/>
        <v>#VALUE!</v>
      </c>
      <c r="AD623" s="17" t="s">
        <v>661</v>
      </c>
      <c r="AG623" s="34">
        <f t="shared" si="189"/>
        <v>0</v>
      </c>
      <c r="AH623" s="44" t="s">
        <v>3749</v>
      </c>
      <c r="AI623" s="131"/>
      <c r="AK623" s="66">
        <f t="shared" si="190"/>
        <v>0</v>
      </c>
      <c r="AL623" s="174">
        <f t="shared" si="191"/>
        <v>0</v>
      </c>
      <c r="AM623" s="346">
        <f>RTD("money.excel",,$G623,"PredictVolume")</f>
        <v>0</v>
      </c>
      <c r="AN623" s="272">
        <f>RTD("money.excel",,$G623,"CumulativeVolume")</f>
        <v>0</v>
      </c>
      <c r="AO623" s="284"/>
    </row>
    <row r="624" spans="1:41">
      <c r="A624" s="135" t="s">
        <v>2560</v>
      </c>
      <c r="B624" s="84">
        <v>53</v>
      </c>
      <c r="C624" s="84">
        <v>69</v>
      </c>
      <c r="D624" s="85">
        <v>-10</v>
      </c>
      <c r="E624" s="85">
        <v>-22</v>
      </c>
      <c r="F624" s="59">
        <v>32.22</v>
      </c>
      <c r="G624" s="85">
        <v>5471</v>
      </c>
      <c r="H624" s="4" t="s">
        <v>558</v>
      </c>
      <c r="I624" s="23" t="s">
        <v>637</v>
      </c>
      <c r="J624" s="371">
        <v>25.78</v>
      </c>
      <c r="K624" s="371">
        <v>16.04</v>
      </c>
      <c r="L624" s="371">
        <v>18.82</v>
      </c>
      <c r="N624" s="365">
        <f t="shared" si="184"/>
        <v>60.64</v>
      </c>
      <c r="O624" s="343">
        <f t="shared" si="185"/>
        <v>25.78</v>
      </c>
      <c r="P624" s="232">
        <v>26</v>
      </c>
      <c r="Q624" s="326">
        <v>13</v>
      </c>
      <c r="R624" s="111">
        <v>2</v>
      </c>
      <c r="S624" s="51">
        <v>5</v>
      </c>
      <c r="T624" s="339">
        <f t="shared" si="186"/>
        <v>46</v>
      </c>
      <c r="U624" s="329" t="s">
        <v>6539</v>
      </c>
      <c r="V624" s="371">
        <v>2.25</v>
      </c>
      <c r="W624" s="69">
        <v>5.7</v>
      </c>
      <c r="X624" s="100">
        <v>8.57</v>
      </c>
      <c r="Y624" s="37" t="str">
        <f>RTD("money.excel",,"5471","Price")</f>
        <v>無資料</v>
      </c>
      <c r="Z624" s="69"/>
      <c r="AA624" s="16" t="e">
        <f t="shared" si="187"/>
        <v>#VALUE!</v>
      </c>
      <c r="AB624" s="3" t="e">
        <f t="shared" si="188"/>
        <v>#VALUE!</v>
      </c>
      <c r="AC624" s="177" t="s">
        <v>2929</v>
      </c>
      <c r="AD624" s="23" t="s">
        <v>637</v>
      </c>
      <c r="AG624" s="34">
        <f t="shared" si="189"/>
        <v>0</v>
      </c>
      <c r="AH624" s="63" t="s">
        <v>6678</v>
      </c>
      <c r="AI624" s="131"/>
      <c r="AK624" s="66">
        <f t="shared" si="190"/>
        <v>0</v>
      </c>
      <c r="AL624" s="174">
        <f t="shared" si="191"/>
        <v>0</v>
      </c>
      <c r="AM624" s="346">
        <f>RTD("money.excel",,$G624,"PredictVolume")</f>
        <v>0</v>
      </c>
      <c r="AN624" s="272">
        <f>RTD("money.excel",,$G624,"CumulativeVolume")</f>
        <v>0</v>
      </c>
      <c r="AO624" s="284"/>
    </row>
    <row r="625" spans="1:41">
      <c r="A625" s="135" t="s">
        <v>2514</v>
      </c>
      <c r="B625" s="84">
        <v>9</v>
      </c>
      <c r="C625" s="84">
        <v>11</v>
      </c>
      <c r="D625" s="85">
        <v>-5</v>
      </c>
      <c r="E625" s="84">
        <v>16</v>
      </c>
      <c r="F625" s="59">
        <v>25.8</v>
      </c>
      <c r="G625" s="85">
        <v>5483</v>
      </c>
      <c r="H625" s="55" t="s">
        <v>558</v>
      </c>
      <c r="I625" s="17" t="s">
        <v>285</v>
      </c>
      <c r="J625" s="77">
        <v>59.25</v>
      </c>
      <c r="K625" s="77">
        <v>31.4</v>
      </c>
      <c r="L625" s="77">
        <v>8.48</v>
      </c>
      <c r="N625" s="365">
        <f t="shared" ref="N625:N656" si="192">J625+K625+L625+M625</f>
        <v>99.13000000000001</v>
      </c>
      <c r="O625" s="343">
        <f t="shared" ref="O625:O656" si="193">J625+M625</f>
        <v>59.25</v>
      </c>
      <c r="P625" s="195">
        <v>7</v>
      </c>
      <c r="Q625" s="326">
        <v>16</v>
      </c>
      <c r="R625" s="111">
        <v>3</v>
      </c>
      <c r="S625" s="51">
        <v>28</v>
      </c>
      <c r="T625" s="339">
        <f t="shared" ref="T625:T656" si="194">SUM(P625:S625)</f>
        <v>54</v>
      </c>
      <c r="V625" s="371">
        <v>4.3</v>
      </c>
      <c r="W625" s="69">
        <v>5.5</v>
      </c>
      <c r="X625" s="59">
        <v>12.22</v>
      </c>
      <c r="Y625" s="37" t="str">
        <f>RTD("money.excel",,"5483","Price")</f>
        <v>無資料</v>
      </c>
      <c r="Z625" s="69"/>
      <c r="AA625" s="16" t="e">
        <f t="shared" ref="AA625:AA656" si="195">Y625-Z625</f>
        <v>#VALUE!</v>
      </c>
      <c r="AB625" s="3" t="e">
        <f t="shared" ref="AB625:AB656" si="196">AA625/Z625</f>
        <v>#VALUE!</v>
      </c>
      <c r="AC625" s="177" t="s">
        <v>2929</v>
      </c>
      <c r="AD625" s="17" t="s">
        <v>285</v>
      </c>
      <c r="AG625" s="34">
        <f t="shared" ref="AG625:AG656" si="197">AF625-AE625</f>
        <v>0</v>
      </c>
      <c r="AH625" s="126" t="s">
        <v>3739</v>
      </c>
      <c r="AI625" s="131"/>
      <c r="AK625" s="66">
        <f t="shared" si="190"/>
        <v>0</v>
      </c>
      <c r="AL625" s="174">
        <f t="shared" si="191"/>
        <v>0</v>
      </c>
      <c r="AM625" s="346">
        <f>RTD("money.excel",,$G625,"PredictVolume")</f>
        <v>0</v>
      </c>
      <c r="AN625" s="272">
        <f>RTD("money.excel",,$G625,"CumulativeVolume")</f>
        <v>0</v>
      </c>
      <c r="AO625" s="284"/>
    </row>
    <row r="626" spans="1:41">
      <c r="A626" s="135" t="s">
        <v>4601</v>
      </c>
      <c r="B626" s="96">
        <v>-46</v>
      </c>
      <c r="C626" s="96">
        <v>512</v>
      </c>
      <c r="D626" s="96">
        <v>72</v>
      </c>
      <c r="E626" s="96">
        <v>131</v>
      </c>
      <c r="F626" s="59">
        <v>13.23</v>
      </c>
      <c r="G626" s="85">
        <v>5487</v>
      </c>
      <c r="H626" s="55" t="s">
        <v>558</v>
      </c>
      <c r="I626" s="17" t="s">
        <v>662</v>
      </c>
      <c r="J626" s="77">
        <v>60.51</v>
      </c>
      <c r="K626" s="77">
        <v>0</v>
      </c>
      <c r="L626" s="77">
        <v>2.11</v>
      </c>
      <c r="N626" s="365">
        <f t="shared" si="192"/>
        <v>62.62</v>
      </c>
      <c r="O626" s="343">
        <f t="shared" si="193"/>
        <v>60.51</v>
      </c>
      <c r="P626" s="195" t="s">
        <v>5554</v>
      </c>
      <c r="Q626" s="326" t="str">
        <f>IFERROR(VLOOKUP($G626,主力整理!$A$2:$G$2301,6,0),"0")</f>
        <v>0</v>
      </c>
      <c r="R626" s="111">
        <v>5</v>
      </c>
      <c r="T626" s="339">
        <f t="shared" si="194"/>
        <v>5</v>
      </c>
      <c r="V626" s="371">
        <v>23.93</v>
      </c>
      <c r="W626" s="35">
        <v>1.1000000000000001</v>
      </c>
      <c r="X626" s="100">
        <v>1.67</v>
      </c>
      <c r="Y626" s="14" t="str">
        <f>RTD("money.excel",,"5487","Price")</f>
        <v>無資料</v>
      </c>
      <c r="Z626" s="69"/>
      <c r="AA626" s="16" t="e">
        <f t="shared" si="195"/>
        <v>#VALUE!</v>
      </c>
      <c r="AB626" s="3" t="e">
        <f t="shared" si="196"/>
        <v>#VALUE!</v>
      </c>
      <c r="AD626" s="17" t="s">
        <v>662</v>
      </c>
      <c r="AG626" s="34">
        <f t="shared" si="197"/>
        <v>0</v>
      </c>
      <c r="AH626" s="63" t="s">
        <v>2992</v>
      </c>
      <c r="AI626" s="131"/>
      <c r="AK626" s="66">
        <f t="shared" si="190"/>
        <v>0</v>
      </c>
      <c r="AL626" s="174">
        <f t="shared" si="191"/>
        <v>0</v>
      </c>
      <c r="AM626" s="346">
        <f>RTD("money.excel",,$G626,"PredictVolume")</f>
        <v>0</v>
      </c>
      <c r="AN626" s="272">
        <f>RTD("money.excel",,$G626,"CumulativeVolume")</f>
        <v>0</v>
      </c>
      <c r="AO626" s="284"/>
    </row>
    <row r="627" spans="1:41">
      <c r="A627" s="151" t="s">
        <v>2768</v>
      </c>
      <c r="B627" s="96">
        <v>-367</v>
      </c>
      <c r="C627" s="96">
        <v>-155</v>
      </c>
      <c r="D627" s="96">
        <v>-62</v>
      </c>
      <c r="E627" s="96">
        <v>-66</v>
      </c>
      <c r="F627" s="77">
        <v>-136.97999999999999</v>
      </c>
      <c r="G627" s="85">
        <v>6103</v>
      </c>
      <c r="H627" s="55" t="s">
        <v>558</v>
      </c>
      <c r="I627" s="17" t="s">
        <v>663</v>
      </c>
      <c r="J627" s="77">
        <v>90.61</v>
      </c>
      <c r="K627" s="77">
        <v>1.0900000000000001</v>
      </c>
      <c r="N627" s="365">
        <f t="shared" si="192"/>
        <v>91.7</v>
      </c>
      <c r="O627" s="343">
        <f t="shared" si="193"/>
        <v>90.61</v>
      </c>
      <c r="P627" s="195" t="s">
        <v>5554</v>
      </c>
      <c r="Q627" s="326" t="str">
        <f>IFERROR(VLOOKUP($G627,主力整理!$A$2:$G$2301,6,0),"0")</f>
        <v>0</v>
      </c>
      <c r="R627" s="111">
        <v>31</v>
      </c>
      <c r="T627" s="339">
        <f t="shared" si="194"/>
        <v>31</v>
      </c>
      <c r="V627" s="371">
        <v>67.099999999999994</v>
      </c>
      <c r="W627" s="35">
        <v>0</v>
      </c>
      <c r="X627" s="100">
        <v>-2.76</v>
      </c>
      <c r="Y627" s="14" t="str">
        <f>RTD("money.excel",,"6103","Price")</f>
        <v>無資料</v>
      </c>
      <c r="Z627" s="69"/>
      <c r="AA627" s="16" t="e">
        <f t="shared" si="195"/>
        <v>#VALUE!</v>
      </c>
      <c r="AB627" s="3" t="e">
        <f t="shared" si="196"/>
        <v>#VALUE!</v>
      </c>
      <c r="AD627" s="17" t="s">
        <v>663</v>
      </c>
      <c r="AG627" s="34">
        <f t="shared" si="197"/>
        <v>0</v>
      </c>
      <c r="AH627" s="44" t="s">
        <v>3750</v>
      </c>
      <c r="AI627" s="131"/>
      <c r="AK627" s="66">
        <f t="shared" si="190"/>
        <v>0</v>
      </c>
      <c r="AL627" s="174">
        <f t="shared" si="191"/>
        <v>0</v>
      </c>
      <c r="AM627" s="346">
        <f>RTD("money.excel",,$G627,"PredictVolume")</f>
        <v>0</v>
      </c>
      <c r="AN627" s="272">
        <f>RTD("money.excel",,$G627,"CumulativeVolume")</f>
        <v>0</v>
      </c>
      <c r="AO627" s="284"/>
    </row>
    <row r="628" spans="1:41">
      <c r="A628" s="135" t="s">
        <v>3501</v>
      </c>
      <c r="B628" s="84">
        <v>23</v>
      </c>
      <c r="C628" s="84">
        <v>31</v>
      </c>
      <c r="D628" s="84">
        <v>5</v>
      </c>
      <c r="E628" s="84">
        <v>54</v>
      </c>
      <c r="F628" s="59">
        <v>18.86</v>
      </c>
      <c r="G628" s="85">
        <v>6104</v>
      </c>
      <c r="H628" s="55" t="s">
        <v>558</v>
      </c>
      <c r="I628" s="17" t="s">
        <v>664</v>
      </c>
      <c r="J628" s="371">
        <v>21.18</v>
      </c>
      <c r="K628" s="371">
        <v>21.28</v>
      </c>
      <c r="L628" s="371">
        <v>58.53</v>
      </c>
      <c r="M628" s="371">
        <v>8.57</v>
      </c>
      <c r="N628" s="365">
        <f t="shared" si="192"/>
        <v>109.56</v>
      </c>
      <c r="O628" s="343">
        <f t="shared" si="193"/>
        <v>29.75</v>
      </c>
      <c r="P628" s="195">
        <v>21</v>
      </c>
      <c r="Q628" s="326">
        <v>30</v>
      </c>
      <c r="R628" s="111">
        <v>35</v>
      </c>
      <c r="S628" s="51">
        <v>53</v>
      </c>
      <c r="T628" s="339">
        <f t="shared" si="194"/>
        <v>139</v>
      </c>
      <c r="U628" s="329" t="s">
        <v>6539</v>
      </c>
      <c r="V628" s="371">
        <v>9.7100000000000009</v>
      </c>
      <c r="W628" s="69">
        <v>3</v>
      </c>
      <c r="X628" s="100">
        <v>4.42</v>
      </c>
      <c r="Y628" s="37" t="str">
        <f>RTD("money.excel",,"6104","Price")</f>
        <v>無資料</v>
      </c>
      <c r="Z628" s="69"/>
      <c r="AA628" s="16" t="e">
        <f t="shared" si="195"/>
        <v>#VALUE!</v>
      </c>
      <c r="AB628" s="3" t="e">
        <f t="shared" si="196"/>
        <v>#VALUE!</v>
      </c>
      <c r="AC628" s="177" t="s">
        <v>2929</v>
      </c>
      <c r="AD628" s="17" t="s">
        <v>664</v>
      </c>
      <c r="AG628" s="34">
        <f t="shared" si="197"/>
        <v>0</v>
      </c>
      <c r="AH628" s="63" t="s">
        <v>4933</v>
      </c>
      <c r="AI628" s="131"/>
      <c r="AK628" s="66">
        <f t="shared" si="190"/>
        <v>0</v>
      </c>
      <c r="AL628" s="174">
        <f t="shared" si="191"/>
        <v>0</v>
      </c>
      <c r="AM628" s="346">
        <f>RTD("money.excel",,$G628,"PredictVolume")</f>
        <v>0</v>
      </c>
      <c r="AN628" s="272">
        <f>RTD("money.excel",,$G628,"CumulativeVolume")</f>
        <v>0</v>
      </c>
      <c r="AO628" s="284"/>
    </row>
    <row r="629" spans="1:41">
      <c r="A629" s="151" t="s">
        <v>3171</v>
      </c>
      <c r="B629" s="85">
        <v>-74</v>
      </c>
      <c r="C629" s="84">
        <v>15</v>
      </c>
      <c r="D629" s="84">
        <v>33</v>
      </c>
      <c r="E629" s="84">
        <v>24</v>
      </c>
      <c r="F629" s="7">
        <v>-5.16</v>
      </c>
      <c r="G629" s="85">
        <v>6129</v>
      </c>
      <c r="H629" s="55" t="s">
        <v>558</v>
      </c>
      <c r="I629" s="17" t="s">
        <v>665</v>
      </c>
      <c r="J629" s="371">
        <v>20.66</v>
      </c>
      <c r="K629" s="77">
        <v>6.44</v>
      </c>
      <c r="N629" s="365">
        <f t="shared" si="192"/>
        <v>27.1</v>
      </c>
      <c r="O629" s="343">
        <f t="shared" si="193"/>
        <v>20.66</v>
      </c>
      <c r="P629" s="195" t="s">
        <v>5554</v>
      </c>
      <c r="Q629" s="326">
        <f>IFERROR(VLOOKUP($G629,主力整理!$A$2:$G$2301,6,0),"0")</f>
        <v>3</v>
      </c>
      <c r="R629" s="111">
        <v>26</v>
      </c>
      <c r="T629" s="339">
        <f t="shared" si="194"/>
        <v>29</v>
      </c>
      <c r="W629" s="35">
        <v>0</v>
      </c>
      <c r="X629" s="100">
        <v>-0.42</v>
      </c>
      <c r="Y629" s="37" t="str">
        <f>RTD("money.excel",,"6129","Price")</f>
        <v>無資料</v>
      </c>
      <c r="Z629" s="69"/>
      <c r="AA629" s="16" t="e">
        <f t="shared" si="195"/>
        <v>#VALUE!</v>
      </c>
      <c r="AB629" s="3" t="e">
        <f t="shared" si="196"/>
        <v>#VALUE!</v>
      </c>
      <c r="AD629" s="17" t="s">
        <v>665</v>
      </c>
      <c r="AG629" s="34">
        <f t="shared" si="197"/>
        <v>0</v>
      </c>
      <c r="AH629" s="44" t="s">
        <v>3673</v>
      </c>
      <c r="AI629" s="131"/>
      <c r="AK629" s="66">
        <f t="shared" si="190"/>
        <v>0</v>
      </c>
      <c r="AL629" s="174">
        <f t="shared" si="191"/>
        <v>0</v>
      </c>
      <c r="AM629" s="346">
        <f>RTD("money.excel",,$G629,"PredictVolume")</f>
        <v>0</v>
      </c>
      <c r="AN629" s="272">
        <f>RTD("money.excel",,$G629,"CumulativeVolume")</f>
        <v>0</v>
      </c>
      <c r="AO629" s="284"/>
    </row>
    <row r="630" spans="1:41">
      <c r="A630" s="135" t="s">
        <v>2491</v>
      </c>
      <c r="B630" s="84">
        <v>102</v>
      </c>
      <c r="C630" s="84">
        <v>118</v>
      </c>
      <c r="D630" s="84">
        <v>4</v>
      </c>
      <c r="E630" s="84">
        <v>20</v>
      </c>
      <c r="F630" s="59">
        <v>19.43</v>
      </c>
      <c r="G630" s="85">
        <v>6138</v>
      </c>
      <c r="H630" s="55" t="s">
        <v>558</v>
      </c>
      <c r="I630" s="17" t="s">
        <v>311</v>
      </c>
      <c r="J630" s="371">
        <v>21.11</v>
      </c>
      <c r="K630" s="77">
        <v>30.38</v>
      </c>
      <c r="L630" s="371">
        <v>30.9</v>
      </c>
      <c r="M630" s="371">
        <v>7.96</v>
      </c>
      <c r="N630" s="365">
        <f t="shared" si="192"/>
        <v>90.34999999999998</v>
      </c>
      <c r="O630" s="343">
        <f t="shared" si="193"/>
        <v>29.07</v>
      </c>
      <c r="P630" s="195">
        <v>27</v>
      </c>
      <c r="Q630" s="326">
        <v>13</v>
      </c>
      <c r="R630" s="111">
        <v>8</v>
      </c>
      <c r="S630" s="51">
        <v>10</v>
      </c>
      <c r="T630" s="339">
        <f t="shared" si="194"/>
        <v>58</v>
      </c>
      <c r="U630" s="329" t="s">
        <v>6538</v>
      </c>
      <c r="V630" s="371">
        <v>3.83</v>
      </c>
      <c r="W630" s="69">
        <v>5.2</v>
      </c>
      <c r="X630" s="100">
        <v>11.03</v>
      </c>
      <c r="Y630" s="37" t="str">
        <f>RTD("money.excel",,"6138","Price")</f>
        <v>無資料</v>
      </c>
      <c r="Z630" s="69"/>
      <c r="AA630" s="16" t="e">
        <f t="shared" si="195"/>
        <v>#VALUE!</v>
      </c>
      <c r="AB630" s="3" t="e">
        <f t="shared" si="196"/>
        <v>#VALUE!</v>
      </c>
      <c r="AC630" s="177" t="s">
        <v>2929</v>
      </c>
      <c r="AD630" s="17" t="s">
        <v>311</v>
      </c>
      <c r="AG630" s="34">
        <f t="shared" si="197"/>
        <v>0</v>
      </c>
      <c r="AH630" s="126" t="s">
        <v>6677</v>
      </c>
      <c r="AI630" s="284"/>
      <c r="AK630" s="66">
        <f t="shared" si="190"/>
        <v>0</v>
      </c>
      <c r="AL630" s="174">
        <f t="shared" si="191"/>
        <v>0</v>
      </c>
      <c r="AM630" s="346">
        <f>RTD("money.excel",,$G630,"PredictVolume")</f>
        <v>0</v>
      </c>
      <c r="AN630" s="272">
        <f>RTD("money.excel",,$G630,"CumulativeVolume")</f>
        <v>0</v>
      </c>
      <c r="AO630" s="284"/>
    </row>
    <row r="631" spans="1:41">
      <c r="A631" s="135" t="s">
        <v>3586</v>
      </c>
      <c r="B631" s="85">
        <v>-10</v>
      </c>
      <c r="C631" s="85">
        <v>-10</v>
      </c>
      <c r="D631" s="85">
        <v>-3</v>
      </c>
      <c r="E631" s="84">
        <v>21</v>
      </c>
      <c r="F631" s="59">
        <v>21.7</v>
      </c>
      <c r="G631" s="85">
        <v>6147</v>
      </c>
      <c r="H631" s="55" t="s">
        <v>558</v>
      </c>
      <c r="I631" s="176" t="s">
        <v>76</v>
      </c>
      <c r="J631" s="77">
        <v>68.209999999999994</v>
      </c>
      <c r="K631" s="77">
        <v>51.18</v>
      </c>
      <c r="L631" s="77">
        <v>6.09</v>
      </c>
      <c r="N631" s="365">
        <f t="shared" si="192"/>
        <v>125.47999999999999</v>
      </c>
      <c r="O631" s="343">
        <f t="shared" si="193"/>
        <v>68.209999999999994</v>
      </c>
      <c r="P631" s="195">
        <v>19</v>
      </c>
      <c r="Q631" s="326">
        <f>IFERROR(VLOOKUP($G631,主力整理!$A$2:$G$2301,6,0),"0")</f>
        <v>4</v>
      </c>
      <c r="R631" s="111">
        <v>4</v>
      </c>
      <c r="T631" s="339">
        <f t="shared" si="194"/>
        <v>27</v>
      </c>
      <c r="V631" s="371">
        <v>0.47</v>
      </c>
      <c r="W631" s="68">
        <v>4.2</v>
      </c>
      <c r="X631" s="59">
        <v>5.61</v>
      </c>
      <c r="Y631" s="175" t="str">
        <f>RTD("money.excel",,"6147","Price")</f>
        <v>無資料</v>
      </c>
      <c r="Z631" s="69"/>
      <c r="AA631" s="16" t="e">
        <f t="shared" si="195"/>
        <v>#VALUE!</v>
      </c>
      <c r="AB631" s="3" t="e">
        <f t="shared" si="196"/>
        <v>#VALUE!</v>
      </c>
      <c r="AC631" s="177" t="s">
        <v>2929</v>
      </c>
      <c r="AD631" s="17" t="s">
        <v>76</v>
      </c>
      <c r="AG631" s="34">
        <f t="shared" si="197"/>
        <v>0</v>
      </c>
      <c r="AH631" s="126" t="s">
        <v>3661</v>
      </c>
      <c r="AI631" s="131"/>
      <c r="AK631" s="66">
        <f t="shared" si="190"/>
        <v>0</v>
      </c>
      <c r="AL631" s="174">
        <f t="shared" si="191"/>
        <v>0</v>
      </c>
      <c r="AM631" s="346">
        <f>RTD("money.excel",,$G631,"PredictVolume")</f>
        <v>0</v>
      </c>
      <c r="AN631" s="272">
        <f>RTD("money.excel",,$G631,"CumulativeVolume")</f>
        <v>0</v>
      </c>
      <c r="AO631" s="284"/>
    </row>
    <row r="632" spans="1:41">
      <c r="A632" s="135" t="s">
        <v>6307</v>
      </c>
      <c r="B632" s="84">
        <v>111</v>
      </c>
      <c r="C632" s="84">
        <v>79</v>
      </c>
      <c r="D632" s="84">
        <v>2</v>
      </c>
      <c r="E632" s="84">
        <v>46</v>
      </c>
      <c r="F632" s="59">
        <v>16.37</v>
      </c>
      <c r="G632" s="85">
        <v>6182</v>
      </c>
      <c r="H632" s="54" t="s">
        <v>558</v>
      </c>
      <c r="I632" s="17" t="s">
        <v>321</v>
      </c>
      <c r="J632" s="371">
        <v>33.21</v>
      </c>
      <c r="K632" s="77">
        <v>24.53</v>
      </c>
      <c r="L632" s="371">
        <v>25.44</v>
      </c>
      <c r="N632" s="365">
        <f t="shared" si="192"/>
        <v>83.18</v>
      </c>
      <c r="O632" s="343">
        <f t="shared" si="193"/>
        <v>33.21</v>
      </c>
      <c r="P632" s="195">
        <v>9</v>
      </c>
      <c r="Q632" s="326">
        <v>11</v>
      </c>
      <c r="R632" s="111">
        <v>5</v>
      </c>
      <c r="S632" s="51">
        <v>18</v>
      </c>
      <c r="T632" s="339">
        <f t="shared" si="194"/>
        <v>43</v>
      </c>
      <c r="V632" s="371">
        <v>6.2</v>
      </c>
      <c r="W632" s="35">
        <v>1.1000000000000001</v>
      </c>
      <c r="X632" s="100">
        <v>1.26</v>
      </c>
      <c r="Y632" s="37" t="str">
        <f>RTD("money.excel",,"6182","Price")</f>
        <v>無資料</v>
      </c>
      <c r="Z632" s="69"/>
      <c r="AA632" s="16" t="e">
        <f t="shared" si="195"/>
        <v>#VALUE!</v>
      </c>
      <c r="AB632" s="3" t="e">
        <f t="shared" si="196"/>
        <v>#VALUE!</v>
      </c>
      <c r="AC632" s="177" t="s">
        <v>2648</v>
      </c>
      <c r="AD632" s="17" t="s">
        <v>321</v>
      </c>
      <c r="AG632" s="34">
        <f t="shared" si="197"/>
        <v>0</v>
      </c>
      <c r="AH632" s="126" t="s">
        <v>3466</v>
      </c>
      <c r="AI632" s="284"/>
      <c r="AK632" s="66">
        <f t="shared" si="190"/>
        <v>0</v>
      </c>
      <c r="AL632" s="174">
        <f t="shared" si="191"/>
        <v>0</v>
      </c>
      <c r="AM632" s="346">
        <f>RTD("money.excel",,$G632,"PredictVolume")</f>
        <v>0</v>
      </c>
      <c r="AN632" s="272">
        <f>RTD("money.excel",,$G632,"CumulativeVolume")</f>
        <v>0</v>
      </c>
      <c r="AO632" s="284"/>
    </row>
    <row r="633" spans="1:41">
      <c r="A633" s="151" t="s">
        <v>4602</v>
      </c>
      <c r="B633" s="96">
        <v>6</v>
      </c>
      <c r="C633" s="96">
        <v>18</v>
      </c>
      <c r="D633" s="96">
        <v>67</v>
      </c>
      <c r="E633" s="96">
        <v>-26</v>
      </c>
      <c r="F633" s="7">
        <v>-62.99</v>
      </c>
      <c r="G633" s="85">
        <v>6198</v>
      </c>
      <c r="H633" s="54" t="s">
        <v>558</v>
      </c>
      <c r="I633" s="17" t="s">
        <v>666</v>
      </c>
      <c r="J633" s="77">
        <v>60.85</v>
      </c>
      <c r="K633" s="77">
        <v>8.6999999999999993</v>
      </c>
      <c r="N633" s="365">
        <f t="shared" si="192"/>
        <v>69.55</v>
      </c>
      <c r="O633" s="343">
        <f t="shared" si="193"/>
        <v>60.85</v>
      </c>
      <c r="P633" s="195" t="s">
        <v>5554</v>
      </c>
      <c r="Q633" s="326" t="str">
        <f>IFERROR(VLOOKUP($G633,主力整理!$A$2:$G$2301,6,0),"0")</f>
        <v>0</v>
      </c>
      <c r="R633" s="111">
        <v>8</v>
      </c>
      <c r="T633" s="339">
        <f t="shared" si="194"/>
        <v>8</v>
      </c>
      <c r="V633" s="371">
        <v>16.52</v>
      </c>
      <c r="W633" s="35">
        <v>0</v>
      </c>
      <c r="X633" s="100">
        <v>-0.56999999999999995</v>
      </c>
      <c r="Y633" s="14" t="str">
        <f>RTD("money.excel",,"6198","Price")</f>
        <v>無資料</v>
      </c>
      <c r="Z633" s="69"/>
      <c r="AA633" s="16" t="e">
        <f t="shared" si="195"/>
        <v>#VALUE!</v>
      </c>
      <c r="AB633" s="3" t="e">
        <f t="shared" si="196"/>
        <v>#VALUE!</v>
      </c>
      <c r="AD633" s="17" t="s">
        <v>666</v>
      </c>
      <c r="AG633" s="34">
        <f t="shared" si="197"/>
        <v>0</v>
      </c>
      <c r="AH633" s="44" t="s">
        <v>3751</v>
      </c>
      <c r="AI633" s="131"/>
      <c r="AK633" s="66">
        <f t="shared" si="190"/>
        <v>0</v>
      </c>
      <c r="AL633" s="174">
        <f t="shared" si="191"/>
        <v>0</v>
      </c>
      <c r="AM633" s="346">
        <f>RTD("money.excel",,$G633,"PredictVolume")</f>
        <v>0</v>
      </c>
      <c r="AN633" s="272">
        <f>RTD("money.excel",,$G633,"CumulativeVolume")</f>
        <v>0</v>
      </c>
      <c r="AO633" s="284"/>
    </row>
    <row r="634" spans="1:41">
      <c r="A634" s="135" t="s">
        <v>2522</v>
      </c>
      <c r="B634" s="85">
        <v>-1</v>
      </c>
      <c r="C634" s="84">
        <v>4</v>
      </c>
      <c r="D634" s="84">
        <v>3</v>
      </c>
      <c r="E634" s="84">
        <v>35</v>
      </c>
      <c r="F634" s="59">
        <v>18.93</v>
      </c>
      <c r="G634" s="85">
        <v>6202</v>
      </c>
      <c r="H634" s="4" t="s">
        <v>558</v>
      </c>
      <c r="I634" s="23" t="s">
        <v>234</v>
      </c>
      <c r="J634" s="77">
        <v>51.61</v>
      </c>
      <c r="K634" s="371">
        <v>27.13</v>
      </c>
      <c r="L634" s="371">
        <v>3.49</v>
      </c>
      <c r="N634" s="365">
        <f t="shared" si="192"/>
        <v>82.22999999999999</v>
      </c>
      <c r="O634" s="343">
        <f t="shared" si="193"/>
        <v>51.61</v>
      </c>
      <c r="P634" s="195">
        <v>19</v>
      </c>
      <c r="Q634" s="326">
        <f>IFERROR(VLOOKUP($G634,主力整理!$A$2:$G$2301,6,0),"0")</f>
        <v>6</v>
      </c>
      <c r="R634" s="111">
        <v>1</v>
      </c>
      <c r="T634" s="339">
        <f t="shared" si="194"/>
        <v>26</v>
      </c>
      <c r="V634" s="371">
        <v>0.04</v>
      </c>
      <c r="W634" s="69">
        <v>4.5599999999999996</v>
      </c>
      <c r="X634" s="100">
        <v>5.45</v>
      </c>
      <c r="Y634" s="37" t="str">
        <f>RTD("money.excel",,"6202","Price")</f>
        <v>無資料</v>
      </c>
      <c r="Z634" s="69"/>
      <c r="AA634" s="16" t="e">
        <f t="shared" si="195"/>
        <v>#VALUE!</v>
      </c>
      <c r="AB634" s="3" t="e">
        <f t="shared" si="196"/>
        <v>#VALUE!</v>
      </c>
      <c r="AC634" s="177" t="s">
        <v>2929</v>
      </c>
      <c r="AD634" s="23" t="s">
        <v>234</v>
      </c>
      <c r="AG634" s="34">
        <f t="shared" si="197"/>
        <v>0</v>
      </c>
      <c r="AH634" s="126" t="s">
        <v>4908</v>
      </c>
      <c r="AI634" s="131"/>
      <c r="AK634" s="66">
        <f t="shared" si="190"/>
        <v>0</v>
      </c>
      <c r="AL634" s="174">
        <f t="shared" si="191"/>
        <v>0</v>
      </c>
      <c r="AM634" s="346">
        <f>RTD("money.excel",,$G634,"PredictVolume")</f>
        <v>0</v>
      </c>
      <c r="AN634" s="272">
        <f>RTD("money.excel",,$G634,"CumulativeVolume")</f>
        <v>0</v>
      </c>
      <c r="AO634" s="284"/>
    </row>
    <row r="635" spans="1:41">
      <c r="A635" s="135" t="s">
        <v>6295</v>
      </c>
      <c r="B635" s="85">
        <v>-19</v>
      </c>
      <c r="C635" s="85">
        <v>-18</v>
      </c>
      <c r="D635" s="84">
        <v>0</v>
      </c>
      <c r="E635" s="84">
        <v>32</v>
      </c>
      <c r="F635" s="59">
        <v>12.25</v>
      </c>
      <c r="G635" s="85">
        <v>6223</v>
      </c>
      <c r="H635" s="54" t="s">
        <v>558</v>
      </c>
      <c r="I635" s="17" t="s">
        <v>312</v>
      </c>
      <c r="J635" s="77">
        <v>20.89</v>
      </c>
      <c r="K635" s="77">
        <v>14.2</v>
      </c>
      <c r="L635" s="77">
        <v>39.270000000000003</v>
      </c>
      <c r="M635" s="371">
        <v>12.43</v>
      </c>
      <c r="N635" s="365">
        <f t="shared" si="192"/>
        <v>86.79000000000002</v>
      </c>
      <c r="O635" s="343">
        <f t="shared" si="193"/>
        <v>33.32</v>
      </c>
      <c r="P635" s="195">
        <v>9</v>
      </c>
      <c r="Q635" s="326">
        <v>31</v>
      </c>
      <c r="R635" s="111">
        <v>33</v>
      </c>
      <c r="S635" s="51">
        <v>41</v>
      </c>
      <c r="T635" s="339">
        <f t="shared" si="194"/>
        <v>114</v>
      </c>
      <c r="U635" s="329" t="s">
        <v>6540</v>
      </c>
      <c r="V635" s="371">
        <v>2.7</v>
      </c>
      <c r="W635" s="69">
        <v>4.47</v>
      </c>
      <c r="X635" s="100">
        <v>6.6</v>
      </c>
      <c r="Y635" s="37" t="str">
        <f>RTD("money.excel",,"6223","Price")</f>
        <v>無資料</v>
      </c>
      <c r="Z635" s="69"/>
      <c r="AA635" s="16" t="e">
        <f t="shared" si="195"/>
        <v>#VALUE!</v>
      </c>
      <c r="AB635" s="3" t="e">
        <f t="shared" si="196"/>
        <v>#VALUE!</v>
      </c>
      <c r="AC635" s="177" t="s">
        <v>2929</v>
      </c>
      <c r="AD635" s="17" t="s">
        <v>312</v>
      </c>
      <c r="AG635" s="34">
        <f t="shared" si="197"/>
        <v>0</v>
      </c>
      <c r="AH635" s="126" t="s">
        <v>3737</v>
      </c>
      <c r="AI635" s="131"/>
      <c r="AK635" s="66">
        <f t="shared" si="190"/>
        <v>0</v>
      </c>
      <c r="AL635" s="174">
        <f t="shared" si="191"/>
        <v>0</v>
      </c>
      <c r="AM635" s="346">
        <f>RTD("money.excel",,$G635,"PredictVolume")</f>
        <v>0</v>
      </c>
      <c r="AN635" s="272">
        <f>RTD("money.excel",,$G635,"CumulativeVolume")</f>
        <v>0</v>
      </c>
      <c r="AO635" s="284"/>
    </row>
    <row r="636" spans="1:41">
      <c r="A636" s="151" t="s">
        <v>2740</v>
      </c>
      <c r="B636" s="84">
        <v>571</v>
      </c>
      <c r="C636" s="84">
        <v>227</v>
      </c>
      <c r="D636" s="85">
        <v>-2</v>
      </c>
      <c r="E636" s="84">
        <v>8</v>
      </c>
      <c r="F636" s="7">
        <v>4.21</v>
      </c>
      <c r="G636" s="85">
        <v>6229</v>
      </c>
      <c r="H636" s="54" t="s">
        <v>558</v>
      </c>
      <c r="I636" s="17" t="s">
        <v>667</v>
      </c>
      <c r="J636" s="371">
        <v>22.82</v>
      </c>
      <c r="K636" s="77">
        <v>4.0999999999999996</v>
      </c>
      <c r="L636" s="77">
        <v>36.200000000000003</v>
      </c>
      <c r="N636" s="365">
        <f t="shared" si="192"/>
        <v>63.120000000000005</v>
      </c>
      <c r="O636" s="343">
        <f t="shared" si="193"/>
        <v>22.82</v>
      </c>
      <c r="P636" s="195" t="s">
        <v>5554</v>
      </c>
      <c r="Q636" s="326">
        <f>IFERROR(VLOOKUP($G636,主力整理!$A$2:$G$2301,6,0),"0")</f>
        <v>1</v>
      </c>
      <c r="R636" s="111">
        <v>18</v>
      </c>
      <c r="T636" s="339">
        <f t="shared" si="194"/>
        <v>19</v>
      </c>
      <c r="V636" s="371">
        <v>1.46</v>
      </c>
      <c r="W636" s="35">
        <v>1.02</v>
      </c>
      <c r="X636" s="100">
        <v>1.99</v>
      </c>
      <c r="Y636" s="37" t="str">
        <f>RTD("money.excel",,"6229","Price")</f>
        <v>無資料</v>
      </c>
      <c r="Z636" s="69"/>
      <c r="AA636" s="16" t="e">
        <f t="shared" si="195"/>
        <v>#VALUE!</v>
      </c>
      <c r="AB636" s="3" t="e">
        <f t="shared" si="196"/>
        <v>#VALUE!</v>
      </c>
      <c r="AD636" s="17" t="s">
        <v>667</v>
      </c>
      <c r="AG636" s="34">
        <f t="shared" si="197"/>
        <v>0</v>
      </c>
      <c r="AH636" s="44" t="s">
        <v>3742</v>
      </c>
      <c r="AI636" s="131"/>
      <c r="AK636" s="66">
        <f t="shared" si="190"/>
        <v>0</v>
      </c>
      <c r="AL636" s="174">
        <f t="shared" si="191"/>
        <v>0</v>
      </c>
      <c r="AM636" s="346">
        <f>RTD("money.excel",,$G636,"PredictVolume")</f>
        <v>0</v>
      </c>
      <c r="AN636" s="272">
        <f>RTD("money.excel",,$G636,"CumulativeVolume")</f>
        <v>0</v>
      </c>
      <c r="AO636" s="284"/>
    </row>
    <row r="637" spans="1:41">
      <c r="A637" s="151" t="s">
        <v>3569</v>
      </c>
      <c r="B637" s="85">
        <v>-7</v>
      </c>
      <c r="C637" s="84">
        <v>12</v>
      </c>
      <c r="D637" s="84">
        <v>33</v>
      </c>
      <c r="E637" s="84">
        <v>81</v>
      </c>
      <c r="F637" s="7">
        <v>-3.33</v>
      </c>
      <c r="G637" s="85">
        <v>6233</v>
      </c>
      <c r="H637" s="55" t="s">
        <v>558</v>
      </c>
      <c r="I637" s="17" t="s">
        <v>668</v>
      </c>
      <c r="J637" s="77">
        <v>29.17</v>
      </c>
      <c r="K637" s="77">
        <v>8.2899999999999991</v>
      </c>
      <c r="L637" s="77">
        <v>64.209999999999994</v>
      </c>
      <c r="N637" s="365">
        <f t="shared" si="192"/>
        <v>101.66999999999999</v>
      </c>
      <c r="O637" s="343">
        <f t="shared" si="193"/>
        <v>29.17</v>
      </c>
      <c r="P637" s="195" t="s">
        <v>5554</v>
      </c>
      <c r="Q637" s="326">
        <f>IFERROR(VLOOKUP($G637,主力整理!$A$2:$G$2301,6,0),"0")</f>
        <v>3</v>
      </c>
      <c r="R637" s="111">
        <v>27</v>
      </c>
      <c r="T637" s="339">
        <f t="shared" si="194"/>
        <v>30</v>
      </c>
      <c r="V637" s="371">
        <v>11.09</v>
      </c>
      <c r="W637" s="35">
        <v>0</v>
      </c>
      <c r="X637" s="100">
        <v>0.11</v>
      </c>
      <c r="Y637" s="37" t="str">
        <f>RTD("money.excel",,"6233","Price")</f>
        <v>無資料</v>
      </c>
      <c r="Z637" s="69"/>
      <c r="AA637" s="16" t="e">
        <f t="shared" si="195"/>
        <v>#VALUE!</v>
      </c>
      <c r="AB637" s="3" t="e">
        <f t="shared" si="196"/>
        <v>#VALUE!</v>
      </c>
      <c r="AD637" s="17" t="s">
        <v>668</v>
      </c>
      <c r="AG637" s="34">
        <f t="shared" si="197"/>
        <v>0</v>
      </c>
      <c r="AH637" s="44" t="s">
        <v>3570</v>
      </c>
      <c r="AI637" s="131"/>
      <c r="AK637" s="66">
        <f t="shared" si="190"/>
        <v>0</v>
      </c>
      <c r="AL637" s="174">
        <f t="shared" si="191"/>
        <v>0</v>
      </c>
      <c r="AM637" s="346">
        <f>RTD("money.excel",,$G637,"PredictVolume")</f>
        <v>0</v>
      </c>
      <c r="AN637" s="272">
        <f>RTD("money.excel",,$G637,"CumulativeVolume")</f>
        <v>0</v>
      </c>
      <c r="AO637" s="284"/>
    </row>
    <row r="638" spans="1:41">
      <c r="A638" s="135" t="s">
        <v>2489</v>
      </c>
      <c r="B638" s="84">
        <v>382</v>
      </c>
      <c r="C638" s="84">
        <v>870</v>
      </c>
      <c r="D638" s="85">
        <v>-12</v>
      </c>
      <c r="E638" s="85">
        <v>-33</v>
      </c>
      <c r="F638" s="59">
        <v>35.18</v>
      </c>
      <c r="G638" s="85">
        <v>6237</v>
      </c>
      <c r="H638" s="55" t="s">
        <v>558</v>
      </c>
      <c r="I638" s="17" t="s">
        <v>669</v>
      </c>
      <c r="J638" s="77">
        <v>15.46</v>
      </c>
      <c r="K638" s="77">
        <v>2.59</v>
      </c>
      <c r="L638" s="77">
        <v>49.47</v>
      </c>
      <c r="M638" s="371">
        <v>12.4</v>
      </c>
      <c r="N638" s="365">
        <f t="shared" si="192"/>
        <v>79.92</v>
      </c>
      <c r="O638" s="343">
        <f t="shared" si="193"/>
        <v>27.86</v>
      </c>
      <c r="P638" s="195">
        <v>6</v>
      </c>
      <c r="Q638" s="326">
        <v>32</v>
      </c>
      <c r="R638" s="111">
        <v>33</v>
      </c>
      <c r="S638" s="51">
        <v>55</v>
      </c>
      <c r="T638" s="339">
        <f t="shared" si="194"/>
        <v>126</v>
      </c>
      <c r="U638" s="329" t="s">
        <v>6538</v>
      </c>
      <c r="V638" s="371">
        <v>7.62</v>
      </c>
      <c r="W638" s="35">
        <v>1</v>
      </c>
      <c r="X638" s="100">
        <v>7.21</v>
      </c>
      <c r="Y638" s="37" t="str">
        <f>RTD("money.excel",,"6237","Price")</f>
        <v>無資料</v>
      </c>
      <c r="Z638" s="69"/>
      <c r="AA638" s="16" t="e">
        <f t="shared" si="195"/>
        <v>#VALUE!</v>
      </c>
      <c r="AB638" s="3" t="e">
        <f t="shared" si="196"/>
        <v>#VALUE!</v>
      </c>
      <c r="AC638" s="177" t="s">
        <v>2648</v>
      </c>
      <c r="AD638" s="17" t="s">
        <v>669</v>
      </c>
      <c r="AG638" s="34">
        <f t="shared" si="197"/>
        <v>0</v>
      </c>
      <c r="AH638" s="63" t="s">
        <v>4951</v>
      </c>
      <c r="AI638" s="131"/>
      <c r="AK638" s="66">
        <f t="shared" si="190"/>
        <v>0</v>
      </c>
      <c r="AL638" s="174">
        <f t="shared" si="191"/>
        <v>0</v>
      </c>
      <c r="AM638" s="346">
        <f>RTD("money.excel",,$G638,"PredictVolume")</f>
        <v>0</v>
      </c>
      <c r="AN638" s="272">
        <f>RTD("money.excel",,$G638,"CumulativeVolume")</f>
        <v>0</v>
      </c>
      <c r="AO638" s="284"/>
    </row>
    <row r="639" spans="1:41">
      <c r="A639" s="151" t="s">
        <v>2524</v>
      </c>
      <c r="B639" s="84">
        <v>35</v>
      </c>
      <c r="C639" s="84">
        <v>41</v>
      </c>
      <c r="D639" s="85">
        <v>-2</v>
      </c>
      <c r="E639" s="85">
        <v>-6</v>
      </c>
      <c r="F639" s="59">
        <v>-6.13</v>
      </c>
      <c r="G639" s="85">
        <v>6239</v>
      </c>
      <c r="H639" s="4" t="s">
        <v>558</v>
      </c>
      <c r="I639" s="23" t="s">
        <v>37</v>
      </c>
      <c r="J639" s="77">
        <v>69.41</v>
      </c>
      <c r="K639" s="371">
        <v>57.47</v>
      </c>
      <c r="L639" s="371">
        <v>3.16</v>
      </c>
      <c r="N639" s="365">
        <f t="shared" si="192"/>
        <v>130.04</v>
      </c>
      <c r="O639" s="343">
        <f t="shared" si="193"/>
        <v>69.41</v>
      </c>
      <c r="P639" s="195">
        <v>15</v>
      </c>
      <c r="Q639" s="326">
        <f>IFERROR(VLOOKUP($G639,主力整理!$A$2:$G$2301,6,0),"0")</f>
        <v>3</v>
      </c>
      <c r="R639" s="111">
        <v>1</v>
      </c>
      <c r="T639" s="339">
        <f t="shared" si="194"/>
        <v>19</v>
      </c>
      <c r="V639" s="371">
        <v>0.13</v>
      </c>
      <c r="W639" s="69">
        <v>5</v>
      </c>
      <c r="X639" s="100">
        <v>8.6</v>
      </c>
      <c r="Y639" s="14" t="str">
        <f>RTD("money.excel",,"6239","Price")</f>
        <v>無資料</v>
      </c>
      <c r="Z639" s="69"/>
      <c r="AA639" s="16" t="e">
        <f t="shared" si="195"/>
        <v>#VALUE!</v>
      </c>
      <c r="AB639" s="3" t="e">
        <f t="shared" si="196"/>
        <v>#VALUE!</v>
      </c>
      <c r="AC639" s="177" t="s">
        <v>2929</v>
      </c>
      <c r="AD639" s="23" t="s">
        <v>37</v>
      </c>
      <c r="AG639" s="34">
        <f t="shared" si="197"/>
        <v>0</v>
      </c>
      <c r="AH639" s="125" t="s">
        <v>3670</v>
      </c>
      <c r="AI639" s="131"/>
      <c r="AK639" s="66">
        <f t="shared" si="190"/>
        <v>0</v>
      </c>
      <c r="AL639" s="174">
        <f t="shared" si="191"/>
        <v>0</v>
      </c>
      <c r="AM639" s="346">
        <f>RTD("money.excel",,$G639,"PredictVolume")</f>
        <v>0</v>
      </c>
      <c r="AN639" s="272">
        <f>RTD("money.excel",,$G639,"CumulativeVolume")</f>
        <v>0</v>
      </c>
      <c r="AO639" s="284"/>
    </row>
    <row r="640" spans="1:41">
      <c r="A640" s="151" t="s">
        <v>3229</v>
      </c>
      <c r="B640" s="84">
        <v>5</v>
      </c>
      <c r="C640" s="84">
        <v>58</v>
      </c>
      <c r="D640" s="84">
        <v>44</v>
      </c>
      <c r="E640" s="84">
        <v>33</v>
      </c>
      <c r="F640" s="7">
        <v>-4.0199999999999996</v>
      </c>
      <c r="G640" s="85">
        <v>6243</v>
      </c>
      <c r="H640" s="4" t="s">
        <v>558</v>
      </c>
      <c r="I640" s="23" t="s">
        <v>638</v>
      </c>
      <c r="J640" s="371">
        <v>5.61</v>
      </c>
      <c r="K640" s="77">
        <v>2.91</v>
      </c>
      <c r="L640" s="371"/>
      <c r="N640" s="365">
        <f t="shared" si="192"/>
        <v>8.52</v>
      </c>
      <c r="O640" s="343">
        <f t="shared" si="193"/>
        <v>5.61</v>
      </c>
      <c r="P640" s="195">
        <v>3</v>
      </c>
      <c r="Q640" s="326">
        <f>IFERROR(VLOOKUP($G640,主力整理!$A$2:$G$2301,6,0),"0")</f>
        <v>3</v>
      </c>
      <c r="R640" s="111">
        <v>16</v>
      </c>
      <c r="T640" s="339">
        <f t="shared" si="194"/>
        <v>22</v>
      </c>
      <c r="W640" s="35">
        <v>0</v>
      </c>
      <c r="X640" s="100">
        <v>-0.82</v>
      </c>
      <c r="Y640" s="37" t="str">
        <f>RTD("money.excel",,"6243","Price")</f>
        <v>無資料</v>
      </c>
      <c r="Z640" s="69"/>
      <c r="AA640" s="16" t="e">
        <f t="shared" si="195"/>
        <v>#VALUE!</v>
      </c>
      <c r="AB640" s="3" t="e">
        <f t="shared" si="196"/>
        <v>#VALUE!</v>
      </c>
      <c r="AC640" s="177" t="s">
        <v>2648</v>
      </c>
      <c r="AD640" s="23" t="s">
        <v>638</v>
      </c>
      <c r="AG640" s="34">
        <f t="shared" si="197"/>
        <v>0</v>
      </c>
      <c r="AH640" s="44" t="s">
        <v>3787</v>
      </c>
      <c r="AI640" s="131"/>
      <c r="AK640" s="66">
        <f t="shared" si="190"/>
        <v>0</v>
      </c>
      <c r="AL640" s="174">
        <f t="shared" si="191"/>
        <v>0</v>
      </c>
      <c r="AM640" s="346">
        <f>RTD("money.excel",,$G640,"PredictVolume")</f>
        <v>0</v>
      </c>
      <c r="AN640" s="272">
        <f>RTD("money.excel",,$G640,"CumulativeVolume")</f>
        <v>0</v>
      </c>
      <c r="AO640" s="284"/>
    </row>
    <row r="641" spans="1:41">
      <c r="A641" s="135" t="s">
        <v>3335</v>
      </c>
      <c r="B641" s="84">
        <v>23</v>
      </c>
      <c r="C641" s="84">
        <v>12</v>
      </c>
      <c r="D641" s="84">
        <v>7</v>
      </c>
      <c r="E641" s="84">
        <v>17</v>
      </c>
      <c r="F641" s="59">
        <v>18.82</v>
      </c>
      <c r="G641" s="85">
        <v>6257</v>
      </c>
      <c r="H641" s="4" t="s">
        <v>558</v>
      </c>
      <c r="I641" s="23" t="s">
        <v>589</v>
      </c>
      <c r="J641" s="77">
        <v>32.99</v>
      </c>
      <c r="K641" s="371">
        <v>22.2</v>
      </c>
      <c r="L641" s="371">
        <v>10.25</v>
      </c>
      <c r="N641" s="365">
        <f t="shared" si="192"/>
        <v>65.44</v>
      </c>
      <c r="O641" s="343">
        <f t="shared" si="193"/>
        <v>32.99</v>
      </c>
      <c r="P641" s="195">
        <v>6</v>
      </c>
      <c r="Q641" s="326">
        <f>IFERROR(VLOOKUP($G641,主力整理!$A$2:$G$2301,6,0),"0")</f>
        <v>2</v>
      </c>
      <c r="R641" s="111">
        <v>1</v>
      </c>
      <c r="T641" s="339">
        <f t="shared" si="194"/>
        <v>9</v>
      </c>
      <c r="V641" s="371">
        <v>0.09</v>
      </c>
      <c r="W641" s="35">
        <v>2.9</v>
      </c>
      <c r="X641" s="100">
        <v>4.2300000000000004</v>
      </c>
      <c r="Y641" s="37" t="str">
        <f>RTD("money.excel",,"6257","Price")</f>
        <v>無資料</v>
      </c>
      <c r="Z641" s="69"/>
      <c r="AA641" s="16" t="e">
        <f t="shared" si="195"/>
        <v>#VALUE!</v>
      </c>
      <c r="AB641" s="3" t="e">
        <f t="shared" si="196"/>
        <v>#VALUE!</v>
      </c>
      <c r="AC641" s="177" t="s">
        <v>2648</v>
      </c>
      <c r="AD641" s="23" t="s">
        <v>589</v>
      </c>
      <c r="AG641" s="34">
        <f t="shared" si="197"/>
        <v>0</v>
      </c>
      <c r="AH641" s="63" t="s">
        <v>4392</v>
      </c>
      <c r="AI641" s="131"/>
      <c r="AK641" s="66">
        <f t="shared" si="190"/>
        <v>0</v>
      </c>
      <c r="AL641" s="174">
        <f t="shared" si="191"/>
        <v>0</v>
      </c>
      <c r="AM641" s="346">
        <f>RTD("money.excel",,$G641,"PredictVolume")</f>
        <v>0</v>
      </c>
      <c r="AN641" s="272">
        <f>RTD("money.excel",,$G641,"CumulativeVolume")</f>
        <v>0</v>
      </c>
      <c r="AO641" s="284"/>
    </row>
    <row r="642" spans="1:41">
      <c r="A642" s="135" t="s">
        <v>2575</v>
      </c>
      <c r="B642" s="84">
        <v>60</v>
      </c>
      <c r="C642" s="84">
        <v>148</v>
      </c>
      <c r="D642" s="84">
        <v>8</v>
      </c>
      <c r="E642" s="84">
        <v>18</v>
      </c>
      <c r="F642" s="59">
        <v>19.52</v>
      </c>
      <c r="G642" s="85">
        <v>6261</v>
      </c>
      <c r="H642" s="55" t="s">
        <v>558</v>
      </c>
      <c r="I642" s="25" t="s">
        <v>459</v>
      </c>
      <c r="J642" s="77">
        <v>32.65</v>
      </c>
      <c r="K642" s="77">
        <v>18.260000000000002</v>
      </c>
      <c r="L642" s="371">
        <v>11.72</v>
      </c>
      <c r="N642" s="365">
        <f t="shared" si="192"/>
        <v>62.629999999999995</v>
      </c>
      <c r="O642" s="343">
        <f t="shared" si="193"/>
        <v>32.65</v>
      </c>
      <c r="P642" s="195">
        <v>1</v>
      </c>
      <c r="Q642" s="326" t="str">
        <f>IFERROR(VLOOKUP($G642,主力整理!$A$2:$G$2301,6,0),"0")</f>
        <v>0</v>
      </c>
      <c r="R642" s="111">
        <v>2</v>
      </c>
      <c r="T642" s="339">
        <f t="shared" si="194"/>
        <v>3</v>
      </c>
      <c r="V642" s="371">
        <v>0.03</v>
      </c>
      <c r="W642" s="69">
        <v>4</v>
      </c>
      <c r="X642" s="100">
        <v>4.12</v>
      </c>
      <c r="Y642" s="37" t="str">
        <f>RTD("money.excel",,"6261","Price")</f>
        <v>無資料</v>
      </c>
      <c r="Z642" s="69"/>
      <c r="AA642" s="16" t="e">
        <f t="shared" si="195"/>
        <v>#VALUE!</v>
      </c>
      <c r="AB642" s="3" t="e">
        <f t="shared" si="196"/>
        <v>#VALUE!</v>
      </c>
      <c r="AC642" s="177" t="s">
        <v>2929</v>
      </c>
      <c r="AD642" s="25" t="s">
        <v>459</v>
      </c>
      <c r="AG642" s="34">
        <f t="shared" si="197"/>
        <v>0</v>
      </c>
      <c r="AH642" s="50" t="s">
        <v>3105</v>
      </c>
      <c r="AI642" s="131"/>
      <c r="AK642" s="66">
        <f t="shared" si="190"/>
        <v>0</v>
      </c>
      <c r="AL642" s="174">
        <f t="shared" si="191"/>
        <v>0</v>
      </c>
      <c r="AM642" s="346">
        <f>RTD("money.excel",,$G642,"PredictVolume")</f>
        <v>0</v>
      </c>
      <c r="AN642" s="272">
        <f>RTD("money.excel",,$G642,"CumulativeVolume")</f>
        <v>0</v>
      </c>
      <c r="AO642" s="284"/>
    </row>
    <row r="643" spans="1:41">
      <c r="A643" s="135" t="s">
        <v>2590</v>
      </c>
      <c r="B643" s="84">
        <v>111</v>
      </c>
      <c r="C643" s="84">
        <v>92</v>
      </c>
      <c r="D643" s="84">
        <v>7</v>
      </c>
      <c r="E643" s="84">
        <v>11</v>
      </c>
      <c r="F643" s="59">
        <v>23.9</v>
      </c>
      <c r="G643" s="85">
        <v>6271</v>
      </c>
      <c r="H643" s="4" t="s">
        <v>558</v>
      </c>
      <c r="I643" s="23" t="s">
        <v>109</v>
      </c>
      <c r="J643" s="77">
        <v>48.73</v>
      </c>
      <c r="K643" s="371">
        <v>54.44</v>
      </c>
      <c r="L643" s="371">
        <v>11.62</v>
      </c>
      <c r="M643" s="371">
        <v>11.77</v>
      </c>
      <c r="N643" s="365">
        <f t="shared" si="192"/>
        <v>126.55999999999999</v>
      </c>
      <c r="O643" s="343">
        <f t="shared" si="193"/>
        <v>60.5</v>
      </c>
      <c r="P643" s="195">
        <v>38</v>
      </c>
      <c r="Q643" s="326">
        <v>42</v>
      </c>
      <c r="R643" s="111">
        <v>24</v>
      </c>
      <c r="S643" s="51">
        <v>36</v>
      </c>
      <c r="T643" s="339">
        <f t="shared" si="194"/>
        <v>140</v>
      </c>
      <c r="U643" s="329" t="s">
        <v>6541</v>
      </c>
      <c r="V643" s="371">
        <v>5.69</v>
      </c>
      <c r="W643" s="69">
        <v>5.5</v>
      </c>
      <c r="X643" s="100">
        <v>14.03</v>
      </c>
      <c r="Y643" s="14" t="str">
        <f>RTD("money.excel",,"6271","Price")</f>
        <v>無資料</v>
      </c>
      <c r="Z643" s="69"/>
      <c r="AA643" s="16" t="e">
        <f t="shared" si="195"/>
        <v>#VALUE!</v>
      </c>
      <c r="AB643" s="3" t="e">
        <f t="shared" si="196"/>
        <v>#VALUE!</v>
      </c>
      <c r="AC643" s="177" t="s">
        <v>2929</v>
      </c>
      <c r="AD643" s="23" t="s">
        <v>109</v>
      </c>
      <c r="AG643" s="34">
        <f t="shared" si="197"/>
        <v>0</v>
      </c>
      <c r="AH643" s="126" t="s">
        <v>3667</v>
      </c>
      <c r="AI643" s="131"/>
      <c r="AK643" s="66">
        <f t="shared" si="190"/>
        <v>0</v>
      </c>
      <c r="AL643" s="174">
        <f t="shared" si="191"/>
        <v>0</v>
      </c>
      <c r="AM643" s="346">
        <f>RTD("money.excel",,$G643,"PredictVolume")</f>
        <v>0</v>
      </c>
      <c r="AN643" s="272">
        <f>RTD("money.excel",,$G643,"CumulativeVolume")</f>
        <v>0</v>
      </c>
      <c r="AO643" s="284"/>
    </row>
    <row r="644" spans="1:41">
      <c r="A644" s="151" t="s">
        <v>4603</v>
      </c>
      <c r="B644" s="96">
        <v>36</v>
      </c>
      <c r="C644" s="96">
        <v>42</v>
      </c>
      <c r="D644" s="96">
        <v>-9</v>
      </c>
      <c r="E644" s="96">
        <v>55</v>
      </c>
      <c r="F644" s="7">
        <v>-10.95</v>
      </c>
      <c r="G644" s="85">
        <v>6287</v>
      </c>
      <c r="H644" s="55" t="s">
        <v>558</v>
      </c>
      <c r="I644" s="17" t="s">
        <v>670</v>
      </c>
      <c r="J644" s="77">
        <v>89.34</v>
      </c>
      <c r="K644" s="77">
        <v>5.92</v>
      </c>
      <c r="N644" s="365">
        <f t="shared" si="192"/>
        <v>95.26</v>
      </c>
      <c r="O644" s="343">
        <f t="shared" si="193"/>
        <v>89.34</v>
      </c>
      <c r="P644" s="195" t="s">
        <v>5554</v>
      </c>
      <c r="Q644" s="326" t="str">
        <f>IFERROR(VLOOKUP($G644,主力整理!$A$2:$G$2301,6,0),"0")</f>
        <v>0</v>
      </c>
      <c r="R644" s="111">
        <v>30</v>
      </c>
      <c r="T644" s="339">
        <f t="shared" si="194"/>
        <v>30</v>
      </c>
      <c r="V644" s="371">
        <v>16.71</v>
      </c>
      <c r="W644" s="35">
        <v>0</v>
      </c>
      <c r="X644" s="100">
        <v>-0.34</v>
      </c>
      <c r="Y644" s="14" t="str">
        <f>RTD("money.excel",,"6287","Price")</f>
        <v>無資料</v>
      </c>
      <c r="Z644" s="69"/>
      <c r="AA644" s="16" t="e">
        <f t="shared" si="195"/>
        <v>#VALUE!</v>
      </c>
      <c r="AB644" s="3" t="e">
        <f t="shared" si="196"/>
        <v>#VALUE!</v>
      </c>
      <c r="AD644" s="17" t="s">
        <v>670</v>
      </c>
      <c r="AG644" s="34">
        <f t="shared" si="197"/>
        <v>0</v>
      </c>
      <c r="AH644" s="44" t="s">
        <v>2795</v>
      </c>
      <c r="AI644" s="131"/>
      <c r="AK644" s="66">
        <f t="shared" si="190"/>
        <v>0</v>
      </c>
      <c r="AL644" s="174">
        <f t="shared" si="191"/>
        <v>0</v>
      </c>
      <c r="AM644" s="346">
        <f>RTD("money.excel",,$G644,"PredictVolume")</f>
        <v>0</v>
      </c>
      <c r="AN644" s="272">
        <f>RTD("money.excel",,$G644,"CumulativeVolume")</f>
        <v>0</v>
      </c>
      <c r="AO644" s="284"/>
    </row>
    <row r="645" spans="1:41">
      <c r="A645" s="135" t="s">
        <v>4604</v>
      </c>
      <c r="B645" s="96">
        <v>170</v>
      </c>
      <c r="C645" s="96">
        <v>155</v>
      </c>
      <c r="D645" s="96">
        <v>15</v>
      </c>
      <c r="E645" s="96">
        <v>13</v>
      </c>
      <c r="F645" s="59">
        <v>10.64</v>
      </c>
      <c r="G645" s="85">
        <v>6291</v>
      </c>
      <c r="H645" s="55" t="s">
        <v>558</v>
      </c>
      <c r="I645" s="17" t="s">
        <v>671</v>
      </c>
      <c r="J645" s="77">
        <v>78.709999999999994</v>
      </c>
      <c r="K645" s="77">
        <v>7.08</v>
      </c>
      <c r="N645" s="365">
        <f t="shared" si="192"/>
        <v>85.789999999999992</v>
      </c>
      <c r="O645" s="343">
        <f t="shared" si="193"/>
        <v>78.709999999999994</v>
      </c>
      <c r="P645" s="195" t="s">
        <v>5554</v>
      </c>
      <c r="Q645" s="326" t="str">
        <f>IFERROR(VLOOKUP($G645,主力整理!$A$2:$G$2301,6,0),"0")</f>
        <v>0</v>
      </c>
      <c r="R645" s="111">
        <v>16</v>
      </c>
      <c r="T645" s="339">
        <f t="shared" si="194"/>
        <v>16</v>
      </c>
      <c r="V645" s="371">
        <v>57.14</v>
      </c>
      <c r="W645" s="35">
        <v>0</v>
      </c>
      <c r="X645" s="100">
        <v>0.86</v>
      </c>
      <c r="Y645" s="14" t="str">
        <f>RTD("money.excel",,"6291","Price")</f>
        <v>無資料</v>
      </c>
      <c r="Z645" s="69"/>
      <c r="AA645" s="16" t="e">
        <f t="shared" si="195"/>
        <v>#VALUE!</v>
      </c>
      <c r="AB645" s="3" t="e">
        <f t="shared" si="196"/>
        <v>#VALUE!</v>
      </c>
      <c r="AD645" s="17" t="s">
        <v>671</v>
      </c>
      <c r="AG645" s="34">
        <f t="shared" si="197"/>
        <v>0</v>
      </c>
      <c r="AH645" s="63" t="s">
        <v>2159</v>
      </c>
      <c r="AI645" s="131"/>
      <c r="AK645" s="66">
        <f t="shared" si="190"/>
        <v>0</v>
      </c>
      <c r="AL645" s="174">
        <f t="shared" si="191"/>
        <v>0</v>
      </c>
      <c r="AM645" s="346">
        <f>RTD("money.excel",,$G645,"PredictVolume")</f>
        <v>0</v>
      </c>
      <c r="AN645" s="272">
        <f>RTD("money.excel",,$G645,"CumulativeVolume")</f>
        <v>0</v>
      </c>
      <c r="AO645" s="284"/>
    </row>
    <row r="646" spans="1:41">
      <c r="A646" s="135" t="s">
        <v>2236</v>
      </c>
      <c r="B646" s="84">
        <v>75</v>
      </c>
      <c r="C646" s="84">
        <v>77</v>
      </c>
      <c r="D646" s="85">
        <v>-14</v>
      </c>
      <c r="E646" s="84">
        <v>16</v>
      </c>
      <c r="F646" s="59">
        <v>24.43</v>
      </c>
      <c r="G646" s="85">
        <v>6411</v>
      </c>
      <c r="H646" s="55" t="s">
        <v>558</v>
      </c>
      <c r="I646" s="17" t="s">
        <v>464</v>
      </c>
      <c r="J646" s="77">
        <v>27.02</v>
      </c>
      <c r="K646" s="371">
        <v>20.28</v>
      </c>
      <c r="L646" s="77">
        <v>41.96</v>
      </c>
      <c r="M646" s="371">
        <v>14</v>
      </c>
      <c r="N646" s="365">
        <f t="shared" si="192"/>
        <v>103.25999999999999</v>
      </c>
      <c r="O646" s="343">
        <f t="shared" si="193"/>
        <v>41.019999999999996</v>
      </c>
      <c r="P646" s="195">
        <v>14</v>
      </c>
      <c r="Q646" s="326">
        <v>28</v>
      </c>
      <c r="R646" s="111">
        <v>27</v>
      </c>
      <c r="S646" s="51">
        <v>37</v>
      </c>
      <c r="T646" s="339">
        <f t="shared" si="194"/>
        <v>106</v>
      </c>
      <c r="U646" s="329" t="s">
        <v>6540</v>
      </c>
      <c r="V646" s="371">
        <v>5.82</v>
      </c>
      <c r="W646" s="69">
        <v>5.03</v>
      </c>
      <c r="X646" s="100">
        <v>8.82</v>
      </c>
      <c r="Y646" s="37" t="str">
        <f>RTD("money.excel",,"6411","Price")</f>
        <v>無資料</v>
      </c>
      <c r="Z646" s="69"/>
      <c r="AA646" s="16" t="e">
        <f t="shared" si="195"/>
        <v>#VALUE!</v>
      </c>
      <c r="AB646" s="3" t="e">
        <f t="shared" si="196"/>
        <v>#VALUE!</v>
      </c>
      <c r="AC646" s="177" t="s">
        <v>2929</v>
      </c>
      <c r="AD646" s="17" t="s">
        <v>464</v>
      </c>
      <c r="AG646" s="34">
        <f t="shared" si="197"/>
        <v>0</v>
      </c>
      <c r="AH646" s="63" t="s">
        <v>3424</v>
      </c>
      <c r="AI646" s="131"/>
      <c r="AK646" s="66">
        <f t="shared" si="190"/>
        <v>0</v>
      </c>
      <c r="AL646" s="174">
        <f t="shared" si="191"/>
        <v>0</v>
      </c>
      <c r="AM646" s="346">
        <f>RTD("money.excel",,$G646,"PredictVolume")</f>
        <v>0</v>
      </c>
      <c r="AN646" s="272">
        <f>RTD("money.excel",,$G646,"CumulativeVolume")</f>
        <v>0</v>
      </c>
      <c r="AO646" s="284"/>
    </row>
    <row r="647" spans="1:41">
      <c r="A647" s="135" t="s">
        <v>5010</v>
      </c>
      <c r="B647" s="84">
        <v>39</v>
      </c>
      <c r="C647" s="84">
        <v>33</v>
      </c>
      <c r="D647" s="85">
        <v>-21</v>
      </c>
      <c r="E647" s="84">
        <v>21</v>
      </c>
      <c r="F647" s="59">
        <v>22.4</v>
      </c>
      <c r="G647" s="85">
        <v>6415</v>
      </c>
      <c r="H647" s="4" t="s">
        <v>558</v>
      </c>
      <c r="I647" s="23" t="s">
        <v>472</v>
      </c>
      <c r="J647" s="77">
        <v>38.31</v>
      </c>
      <c r="K647" s="371">
        <v>95.19</v>
      </c>
      <c r="L647" s="77">
        <v>1.27</v>
      </c>
      <c r="N647" s="365">
        <f t="shared" si="192"/>
        <v>134.77000000000001</v>
      </c>
      <c r="O647" s="343">
        <f t="shared" si="193"/>
        <v>38.31</v>
      </c>
      <c r="P647" s="195">
        <v>7</v>
      </c>
      <c r="Q647" s="326" t="str">
        <f>IFERROR(VLOOKUP($G647,主力整理!$A$2:$G$2301,6,0),"0")</f>
        <v>0</v>
      </c>
      <c r="R647" s="111">
        <v>13</v>
      </c>
      <c r="T647" s="339">
        <f t="shared" si="194"/>
        <v>20</v>
      </c>
      <c r="V647" s="371">
        <v>0</v>
      </c>
      <c r="W647" s="69">
        <v>10.5</v>
      </c>
      <c r="X647" s="100">
        <v>35.78</v>
      </c>
      <c r="Y647" s="160" t="str">
        <f>RTD("money.excel",,"6415","Price")</f>
        <v>無資料</v>
      </c>
      <c r="Z647" s="69"/>
      <c r="AA647" s="146" t="e">
        <f t="shared" si="195"/>
        <v>#VALUE!</v>
      </c>
      <c r="AB647" s="3" t="e">
        <f t="shared" si="196"/>
        <v>#VALUE!</v>
      </c>
      <c r="AC647" s="177" t="s">
        <v>2929</v>
      </c>
      <c r="AD647" s="23" t="s">
        <v>472</v>
      </c>
      <c r="AG647" s="34">
        <f t="shared" si="197"/>
        <v>0</v>
      </c>
      <c r="AH647" s="126" t="s">
        <v>2159</v>
      </c>
      <c r="AI647" s="131"/>
      <c r="AK647" s="66">
        <f t="shared" si="190"/>
        <v>0</v>
      </c>
      <c r="AL647" s="174">
        <f t="shared" si="191"/>
        <v>0</v>
      </c>
      <c r="AM647" s="346">
        <f>RTD("money.excel",,$G647,"PredictVolume")</f>
        <v>0</v>
      </c>
      <c r="AN647" s="272">
        <f>RTD("money.excel",,$G647,"CumulativeVolume")</f>
        <v>0</v>
      </c>
      <c r="AO647" s="284"/>
    </row>
    <row r="648" spans="1:41">
      <c r="A648" s="151" t="s">
        <v>2998</v>
      </c>
      <c r="B648" s="85">
        <v>-1</v>
      </c>
      <c r="C648" s="85">
        <v>-2</v>
      </c>
      <c r="D648" s="84">
        <v>25</v>
      </c>
      <c r="E648" s="84">
        <v>33</v>
      </c>
      <c r="F648" s="7">
        <v>8.6199999999999992</v>
      </c>
      <c r="G648" s="85">
        <v>6435</v>
      </c>
      <c r="H648" s="4" t="s">
        <v>558</v>
      </c>
      <c r="I648" s="17" t="s">
        <v>572</v>
      </c>
      <c r="J648" s="371">
        <v>43.57</v>
      </c>
      <c r="K648" s="371">
        <v>7.05</v>
      </c>
      <c r="L648" s="77">
        <v>20.239999999999998</v>
      </c>
      <c r="N648" s="365">
        <f t="shared" si="192"/>
        <v>70.86</v>
      </c>
      <c r="O648" s="343">
        <f t="shared" si="193"/>
        <v>43.57</v>
      </c>
      <c r="P648" s="195">
        <v>11</v>
      </c>
      <c r="Q648" s="326">
        <f>IFERROR(VLOOKUP($G648,主力整理!$A$2:$G$2301,6,0),"0")</f>
        <v>1</v>
      </c>
      <c r="R648" s="111">
        <v>4</v>
      </c>
      <c r="T648" s="339">
        <f t="shared" si="194"/>
        <v>16</v>
      </c>
      <c r="V648" s="371">
        <v>0.1</v>
      </c>
      <c r="W648" s="69">
        <v>5</v>
      </c>
      <c r="X648" s="100">
        <v>7.02</v>
      </c>
      <c r="Y648" s="37" t="str">
        <f>RTD("money.excel",,"6435","Price")</f>
        <v>無資料</v>
      </c>
      <c r="Z648" s="69"/>
      <c r="AA648" s="16" t="e">
        <f t="shared" si="195"/>
        <v>#VALUE!</v>
      </c>
      <c r="AB648" s="3" t="e">
        <f t="shared" si="196"/>
        <v>#VALUE!</v>
      </c>
      <c r="AC648" s="177" t="s">
        <v>2929</v>
      </c>
      <c r="AD648" s="17" t="s">
        <v>572</v>
      </c>
      <c r="AG648" s="34">
        <f t="shared" si="197"/>
        <v>0</v>
      </c>
      <c r="AH648" s="44" t="s">
        <v>3477</v>
      </c>
      <c r="AI648" s="131"/>
      <c r="AK648" s="66">
        <f t="shared" si="190"/>
        <v>0</v>
      </c>
      <c r="AL648" s="174">
        <f t="shared" si="191"/>
        <v>0</v>
      </c>
      <c r="AM648" s="346">
        <f>RTD("money.excel",,$G648,"PredictVolume")</f>
        <v>0</v>
      </c>
      <c r="AN648" s="272">
        <f>RTD("money.excel",,$G648,"CumulativeVolume")</f>
        <v>0</v>
      </c>
      <c r="AO648" s="284"/>
    </row>
    <row r="649" spans="1:41">
      <c r="A649" s="151" t="s">
        <v>2669</v>
      </c>
      <c r="B649" s="85">
        <v>-4</v>
      </c>
      <c r="C649" s="85">
        <v>-79</v>
      </c>
      <c r="D649" s="85">
        <v>-3</v>
      </c>
      <c r="E649" s="85">
        <v>-33</v>
      </c>
      <c r="F649" s="7">
        <v>3.96</v>
      </c>
      <c r="G649" s="85">
        <v>6451</v>
      </c>
      <c r="H649" s="4" t="s">
        <v>558</v>
      </c>
      <c r="I649" s="23" t="s">
        <v>411</v>
      </c>
      <c r="J649" s="77">
        <v>63.4</v>
      </c>
      <c r="K649" s="371">
        <v>63.42</v>
      </c>
      <c r="L649" s="77">
        <v>14.65</v>
      </c>
      <c r="M649" s="77">
        <v>61.51</v>
      </c>
      <c r="N649" s="77">
        <f t="shared" si="192"/>
        <v>202.98</v>
      </c>
      <c r="O649" s="369">
        <f t="shared" si="193"/>
        <v>124.91</v>
      </c>
      <c r="P649" s="195">
        <v>10</v>
      </c>
      <c r="Q649" s="326">
        <v>0</v>
      </c>
      <c r="R649" s="111">
        <v>0</v>
      </c>
      <c r="S649" s="51">
        <v>2</v>
      </c>
      <c r="T649" s="339">
        <f t="shared" si="194"/>
        <v>12</v>
      </c>
      <c r="U649" s="329" t="s">
        <v>6540</v>
      </c>
      <c r="V649" s="371">
        <v>1.91</v>
      </c>
      <c r="W649" s="69">
        <v>4.0999999999999996</v>
      </c>
      <c r="X649" s="59">
        <v>6.57</v>
      </c>
      <c r="Y649" s="14" t="str">
        <f>RTD("money.excel",,"6451","Price")</f>
        <v>無資料</v>
      </c>
      <c r="Z649" s="69"/>
      <c r="AA649" s="16" t="e">
        <f t="shared" si="195"/>
        <v>#VALUE!</v>
      </c>
      <c r="AB649" s="3" t="e">
        <f t="shared" si="196"/>
        <v>#VALUE!</v>
      </c>
      <c r="AC649" s="177" t="s">
        <v>2929</v>
      </c>
      <c r="AD649" s="23" t="s">
        <v>411</v>
      </c>
      <c r="AG649" s="34">
        <f t="shared" si="197"/>
        <v>0</v>
      </c>
      <c r="AH649" s="125" t="s">
        <v>3668</v>
      </c>
      <c r="AI649" s="131"/>
      <c r="AK649" s="66">
        <f t="shared" si="190"/>
        <v>0</v>
      </c>
      <c r="AL649" s="174">
        <f t="shared" si="191"/>
        <v>0</v>
      </c>
      <c r="AM649" s="346">
        <f>RTD("money.excel",,$G649,"PredictVolume")</f>
        <v>0</v>
      </c>
      <c r="AN649" s="272">
        <f>RTD("money.excel",,$G649,"CumulativeVolume")</f>
        <v>0</v>
      </c>
      <c r="AO649" s="284"/>
    </row>
    <row r="650" spans="1:41">
      <c r="A650" s="135" t="s">
        <v>2618</v>
      </c>
      <c r="B650" s="84">
        <v>115</v>
      </c>
      <c r="C650" s="84">
        <v>112</v>
      </c>
      <c r="D650" s="84">
        <v>2</v>
      </c>
      <c r="E650" s="84">
        <v>15</v>
      </c>
      <c r="F650" s="59">
        <v>32.74</v>
      </c>
      <c r="G650" s="85">
        <v>6457</v>
      </c>
      <c r="H650" s="55" t="s">
        <v>558</v>
      </c>
      <c r="I650" s="17" t="s">
        <v>672</v>
      </c>
      <c r="J650" s="371">
        <v>17.43</v>
      </c>
      <c r="K650" s="77">
        <v>8.2200000000000006</v>
      </c>
      <c r="L650" s="371"/>
      <c r="N650" s="365">
        <f t="shared" si="192"/>
        <v>25.65</v>
      </c>
      <c r="O650" s="343">
        <f t="shared" si="193"/>
        <v>17.43</v>
      </c>
      <c r="P650" s="195">
        <v>1</v>
      </c>
      <c r="Q650" s="326">
        <v>2</v>
      </c>
      <c r="R650" s="111">
        <v>16</v>
      </c>
      <c r="S650" s="51">
        <v>0</v>
      </c>
      <c r="T650" s="339">
        <f t="shared" si="194"/>
        <v>19</v>
      </c>
      <c r="W650" s="69">
        <v>6.32</v>
      </c>
      <c r="X650" s="100">
        <v>10.24</v>
      </c>
      <c r="Y650" s="37" t="str">
        <f>RTD("money.excel",,"6457","Price")</f>
        <v>無資料</v>
      </c>
      <c r="Z650" s="69"/>
      <c r="AA650" s="16" t="e">
        <f t="shared" si="195"/>
        <v>#VALUE!</v>
      </c>
      <c r="AB650" s="3" t="e">
        <f t="shared" si="196"/>
        <v>#VALUE!</v>
      </c>
      <c r="AC650" s="177" t="s">
        <v>2929</v>
      </c>
      <c r="AD650" s="17" t="s">
        <v>672</v>
      </c>
      <c r="AG650" s="34">
        <f t="shared" si="197"/>
        <v>0</v>
      </c>
      <c r="AH650" s="63" t="s">
        <v>3752</v>
      </c>
      <c r="AI650" s="131"/>
      <c r="AK650" s="66">
        <f t="shared" si="190"/>
        <v>0</v>
      </c>
      <c r="AL650" s="174">
        <f t="shared" si="191"/>
        <v>0</v>
      </c>
      <c r="AM650" s="346">
        <f>RTD("money.excel",,$G650,"PredictVolume")</f>
        <v>0</v>
      </c>
      <c r="AN650" s="272">
        <f>RTD("money.excel",,$G650,"CumulativeVolume")</f>
        <v>0</v>
      </c>
      <c r="AO650" s="284"/>
    </row>
    <row r="651" spans="1:41">
      <c r="A651" s="151" t="s">
        <v>2744</v>
      </c>
      <c r="B651" s="85">
        <v>-129</v>
      </c>
      <c r="C651" s="85">
        <v>-125</v>
      </c>
      <c r="D651" s="84">
        <v>16</v>
      </c>
      <c r="E651" s="85">
        <v>-42</v>
      </c>
      <c r="F651" s="7">
        <v>-8.08</v>
      </c>
      <c r="G651" s="85">
        <v>6462</v>
      </c>
      <c r="H651" s="55" t="s">
        <v>558</v>
      </c>
      <c r="I651" s="17" t="s">
        <v>403</v>
      </c>
      <c r="J651" s="371">
        <v>14.59</v>
      </c>
      <c r="K651" s="371">
        <v>20.14</v>
      </c>
      <c r="L651" s="77">
        <v>27.6</v>
      </c>
      <c r="M651" s="77">
        <v>9.7100000000000009</v>
      </c>
      <c r="N651" s="365">
        <f t="shared" si="192"/>
        <v>72.040000000000006</v>
      </c>
      <c r="O651" s="343">
        <f t="shared" si="193"/>
        <v>24.3</v>
      </c>
      <c r="P651" s="195">
        <v>23</v>
      </c>
      <c r="Q651" s="326">
        <v>3</v>
      </c>
      <c r="R651" s="111">
        <v>18</v>
      </c>
      <c r="S651" s="51">
        <v>10</v>
      </c>
      <c r="T651" s="339">
        <f t="shared" si="194"/>
        <v>54</v>
      </c>
      <c r="U651" s="329" t="s">
        <v>6540</v>
      </c>
      <c r="V651" s="371">
        <v>5.58</v>
      </c>
      <c r="W651" s="69">
        <v>15</v>
      </c>
      <c r="X651" s="100">
        <v>-2.48</v>
      </c>
      <c r="Y651" s="37" t="str">
        <f>RTD("money.excel",,"6462","Price")</f>
        <v>無資料</v>
      </c>
      <c r="Z651" s="69"/>
      <c r="AA651" s="16" t="e">
        <f t="shared" si="195"/>
        <v>#VALUE!</v>
      </c>
      <c r="AB651" s="3" t="e">
        <f t="shared" si="196"/>
        <v>#VALUE!</v>
      </c>
      <c r="AC651" s="177" t="s">
        <v>2929</v>
      </c>
      <c r="AD651" s="17" t="s">
        <v>403</v>
      </c>
      <c r="AG651" s="34">
        <f t="shared" si="197"/>
        <v>0</v>
      </c>
      <c r="AH651" s="125" t="s">
        <v>2165</v>
      </c>
      <c r="AI651" s="284"/>
      <c r="AK651" s="66">
        <f t="shared" si="190"/>
        <v>0</v>
      </c>
      <c r="AL651" s="174">
        <f t="shared" si="191"/>
        <v>0</v>
      </c>
      <c r="AM651" s="346">
        <f>RTD("money.excel",,$G651,"PredictVolume")</f>
        <v>0</v>
      </c>
      <c r="AN651" s="272">
        <f>RTD("money.excel",,$G651,"CumulativeVolume")</f>
        <v>0</v>
      </c>
      <c r="AO651" s="284"/>
    </row>
    <row r="652" spans="1:41">
      <c r="A652" s="135" t="s">
        <v>5623</v>
      </c>
      <c r="B652" s="98">
        <v>8206</v>
      </c>
      <c r="C652" s="84">
        <v>969</v>
      </c>
      <c r="D652" s="84">
        <v>5</v>
      </c>
      <c r="E652" s="84">
        <v>123</v>
      </c>
      <c r="F652" s="59">
        <v>24.34</v>
      </c>
      <c r="G652" s="85">
        <v>6485</v>
      </c>
      <c r="H652" s="11" t="s">
        <v>558</v>
      </c>
      <c r="I652" s="17" t="s">
        <v>425</v>
      </c>
      <c r="J652" s="77">
        <v>9.99</v>
      </c>
      <c r="K652" s="371">
        <v>11.28</v>
      </c>
      <c r="L652" s="77">
        <v>46.58</v>
      </c>
      <c r="N652" s="365">
        <f t="shared" si="192"/>
        <v>67.849999999999994</v>
      </c>
      <c r="O652" s="343">
        <f t="shared" si="193"/>
        <v>9.99</v>
      </c>
      <c r="P652" s="195">
        <v>3</v>
      </c>
      <c r="Q652" s="326">
        <v>3</v>
      </c>
      <c r="R652" s="111">
        <v>25</v>
      </c>
      <c r="S652" s="51">
        <v>0</v>
      </c>
      <c r="T652" s="339">
        <f t="shared" si="194"/>
        <v>31</v>
      </c>
      <c r="V652" s="371">
        <v>4.4800000000000004</v>
      </c>
      <c r="W652" s="35">
        <v>0.49</v>
      </c>
      <c r="X652" s="100">
        <v>4.62</v>
      </c>
      <c r="Y652" s="37" t="str">
        <f>RTD("money.excel",,"6485","Price")</f>
        <v>無資料</v>
      </c>
      <c r="Z652" s="69"/>
      <c r="AA652" s="16" t="e">
        <f t="shared" si="195"/>
        <v>#VALUE!</v>
      </c>
      <c r="AB652" s="3" t="e">
        <f t="shared" si="196"/>
        <v>#VALUE!</v>
      </c>
      <c r="AC652" s="177" t="s">
        <v>2648</v>
      </c>
      <c r="AD652" s="17" t="s">
        <v>425</v>
      </c>
      <c r="AG652" s="34">
        <f t="shared" si="197"/>
        <v>0</v>
      </c>
      <c r="AH652" s="63" t="s">
        <v>3753</v>
      </c>
      <c r="AI652" s="131"/>
      <c r="AK652" s="66">
        <f t="shared" si="190"/>
        <v>0</v>
      </c>
      <c r="AL652" s="174">
        <f t="shared" si="191"/>
        <v>0</v>
      </c>
      <c r="AM652" s="346">
        <f>RTD("money.excel",,$G652,"PredictVolume")</f>
        <v>0</v>
      </c>
      <c r="AN652" s="272">
        <f>RTD("money.excel",,$G652,"CumulativeVolume")</f>
        <v>0</v>
      </c>
      <c r="AO652" s="284"/>
    </row>
    <row r="653" spans="1:41">
      <c r="A653" s="135" t="s">
        <v>2527</v>
      </c>
      <c r="B653" s="84">
        <v>5</v>
      </c>
      <c r="C653" s="84">
        <v>2</v>
      </c>
      <c r="D653" s="84">
        <v>6</v>
      </c>
      <c r="E653" s="84">
        <v>12</v>
      </c>
      <c r="F653" s="59">
        <v>27.36</v>
      </c>
      <c r="G653" s="85">
        <v>6488</v>
      </c>
      <c r="H653" s="53" t="s">
        <v>558</v>
      </c>
      <c r="I653" s="17" t="s">
        <v>59</v>
      </c>
      <c r="J653" s="77">
        <v>73.260000000000005</v>
      </c>
      <c r="K653" s="371">
        <v>34.54</v>
      </c>
      <c r="L653" s="77">
        <v>2.04</v>
      </c>
      <c r="N653" s="365">
        <f t="shared" si="192"/>
        <v>109.84000000000002</v>
      </c>
      <c r="O653" s="343">
        <f t="shared" si="193"/>
        <v>73.260000000000005</v>
      </c>
      <c r="P653" s="195">
        <v>18</v>
      </c>
      <c r="Q653" s="326">
        <f>IFERROR(VLOOKUP($G653,主力整理!$A$2:$G$2301,6,0),"0")</f>
        <v>7</v>
      </c>
      <c r="R653" s="111">
        <v>6</v>
      </c>
      <c r="S653" s="51">
        <v>9</v>
      </c>
      <c r="T653" s="339">
        <f t="shared" si="194"/>
        <v>40</v>
      </c>
      <c r="V653" s="371">
        <v>11.96</v>
      </c>
      <c r="W653" s="69">
        <v>10</v>
      </c>
      <c r="X653" s="59">
        <v>30.95</v>
      </c>
      <c r="Y653" s="37" t="str">
        <f>RTD("money.excel",,"6488","Price")</f>
        <v>無資料</v>
      </c>
      <c r="Z653" s="69"/>
      <c r="AA653" s="16" t="e">
        <f t="shared" si="195"/>
        <v>#VALUE!</v>
      </c>
      <c r="AB653" s="3" t="e">
        <f t="shared" si="196"/>
        <v>#VALUE!</v>
      </c>
      <c r="AC653" s="177" t="s">
        <v>2929</v>
      </c>
      <c r="AD653" s="17" t="s">
        <v>59</v>
      </c>
      <c r="AG653" s="34">
        <f t="shared" si="197"/>
        <v>0</v>
      </c>
      <c r="AH653" s="126" t="s">
        <v>3466</v>
      </c>
      <c r="AI653" s="131"/>
      <c r="AK653" s="66">
        <f t="shared" si="190"/>
        <v>0</v>
      </c>
      <c r="AL653" s="174">
        <f t="shared" si="191"/>
        <v>0</v>
      </c>
      <c r="AM653" s="346">
        <f>RTD("money.excel",,$G653,"PredictVolume")</f>
        <v>0</v>
      </c>
      <c r="AN653" s="272">
        <f>RTD("money.excel",,$G653,"CumulativeVolume")</f>
        <v>0</v>
      </c>
      <c r="AO653" s="284"/>
    </row>
    <row r="654" spans="1:41">
      <c r="A654" s="135" t="s">
        <v>2384</v>
      </c>
      <c r="B654" s="98">
        <v>1185</v>
      </c>
      <c r="C654" s="98">
        <v>1672</v>
      </c>
      <c r="D654" s="84">
        <v>13</v>
      </c>
      <c r="E654" s="84">
        <v>108</v>
      </c>
      <c r="F654" s="59">
        <v>18.190000000000001</v>
      </c>
      <c r="G654" s="85">
        <v>6494</v>
      </c>
      <c r="H654" s="53" t="s">
        <v>558</v>
      </c>
      <c r="I654" s="17" t="s">
        <v>673</v>
      </c>
      <c r="J654" s="77">
        <v>5.23</v>
      </c>
      <c r="K654" s="77">
        <v>12.1</v>
      </c>
      <c r="L654" s="77">
        <v>22.41</v>
      </c>
      <c r="N654" s="365">
        <f t="shared" si="192"/>
        <v>39.739999999999995</v>
      </c>
      <c r="O654" s="343">
        <f t="shared" si="193"/>
        <v>5.23</v>
      </c>
      <c r="P654" s="195" t="s">
        <v>5554</v>
      </c>
      <c r="Q654" s="326">
        <f>IFERROR(VLOOKUP($G654,主力整理!$A$2:$G$2301,6,0),"0")</f>
        <v>1</v>
      </c>
      <c r="R654" s="111">
        <v>12</v>
      </c>
      <c r="T654" s="339">
        <f t="shared" si="194"/>
        <v>13</v>
      </c>
      <c r="V654" s="371">
        <v>3.03</v>
      </c>
      <c r="W654" s="69">
        <v>3.5</v>
      </c>
      <c r="X654" s="100">
        <v>5.68</v>
      </c>
      <c r="Y654" s="37" t="str">
        <f>RTD("money.excel",,"6494","Price")</f>
        <v>無資料</v>
      </c>
      <c r="Z654" s="69"/>
      <c r="AA654" s="16" t="e">
        <f t="shared" si="195"/>
        <v>#VALUE!</v>
      </c>
      <c r="AB654" s="3" t="e">
        <f t="shared" si="196"/>
        <v>#VALUE!</v>
      </c>
      <c r="AC654" s="177" t="s">
        <v>2929</v>
      </c>
      <c r="AD654" s="17" t="s">
        <v>673</v>
      </c>
      <c r="AG654" s="34">
        <f t="shared" si="197"/>
        <v>0</v>
      </c>
      <c r="AH654" s="63" t="s">
        <v>3754</v>
      </c>
      <c r="AI654" s="131"/>
      <c r="AK654" s="66">
        <f t="shared" si="190"/>
        <v>0</v>
      </c>
      <c r="AL654" s="174">
        <f t="shared" si="191"/>
        <v>0</v>
      </c>
      <c r="AM654" s="346">
        <f>RTD("money.excel",,$G654,"PredictVolume")</f>
        <v>0</v>
      </c>
      <c r="AN654" s="272">
        <f>RTD("money.excel",,$G654,"CumulativeVolume")</f>
        <v>0</v>
      </c>
      <c r="AO654" s="284"/>
    </row>
    <row r="655" spans="1:41">
      <c r="A655" s="135" t="s">
        <v>2529</v>
      </c>
      <c r="B655" s="85">
        <v>-12</v>
      </c>
      <c r="C655" s="85">
        <v>-17</v>
      </c>
      <c r="D655" s="85">
        <v>-6</v>
      </c>
      <c r="E655" s="84">
        <v>21</v>
      </c>
      <c r="F655" s="59">
        <v>24.54</v>
      </c>
      <c r="G655" s="85">
        <v>6510</v>
      </c>
      <c r="H655" s="53" t="s">
        <v>558</v>
      </c>
      <c r="I655" s="17" t="s">
        <v>404</v>
      </c>
      <c r="J655" s="77">
        <v>42.98</v>
      </c>
      <c r="K655" s="77">
        <v>13.74</v>
      </c>
      <c r="L655" s="371">
        <v>15.66</v>
      </c>
      <c r="M655" s="371">
        <v>38.82</v>
      </c>
      <c r="N655" s="365">
        <f t="shared" si="192"/>
        <v>111.19999999999999</v>
      </c>
      <c r="O655" s="369">
        <f t="shared" si="193"/>
        <v>81.8</v>
      </c>
      <c r="P655" s="195">
        <v>33</v>
      </c>
      <c r="Q655" s="326">
        <v>2</v>
      </c>
      <c r="R655" s="111">
        <v>6</v>
      </c>
      <c r="S655" s="51">
        <v>20</v>
      </c>
      <c r="T655" s="339">
        <f t="shared" si="194"/>
        <v>61</v>
      </c>
      <c r="U655" s="329" t="s">
        <v>6540</v>
      </c>
      <c r="V655" s="371">
        <v>5.29</v>
      </c>
      <c r="W655" s="69">
        <v>12</v>
      </c>
      <c r="X655" s="100">
        <v>25.81</v>
      </c>
      <c r="Y655" s="37" t="str">
        <f>RTD("money.excel",,"6510","Price")</f>
        <v>無資料</v>
      </c>
      <c r="Z655" s="69"/>
      <c r="AA655" s="16" t="e">
        <f t="shared" si="195"/>
        <v>#VALUE!</v>
      </c>
      <c r="AB655" s="3" t="e">
        <f t="shared" si="196"/>
        <v>#VALUE!</v>
      </c>
      <c r="AC655" s="177" t="s">
        <v>2929</v>
      </c>
      <c r="AD655" s="17" t="s">
        <v>404</v>
      </c>
      <c r="AG655" s="34">
        <f t="shared" si="197"/>
        <v>0</v>
      </c>
      <c r="AH655" s="126" t="s">
        <v>2166</v>
      </c>
      <c r="AI655" s="131"/>
      <c r="AK655" s="66">
        <f t="shared" si="190"/>
        <v>0</v>
      </c>
      <c r="AL655" s="174">
        <f t="shared" si="191"/>
        <v>0</v>
      </c>
      <c r="AM655" s="346">
        <f>RTD("money.excel",,$G655,"PredictVolume")</f>
        <v>0</v>
      </c>
      <c r="AN655" s="272">
        <f>RTD("money.excel",,$G655,"CumulativeVolume")</f>
        <v>0</v>
      </c>
      <c r="AO655" s="284"/>
    </row>
    <row r="656" spans="1:41">
      <c r="A656" s="135" t="s">
        <v>2215</v>
      </c>
      <c r="B656" s="85">
        <v>-39</v>
      </c>
      <c r="C656" s="85">
        <v>-40</v>
      </c>
      <c r="D656" s="84">
        <v>2</v>
      </c>
      <c r="E656" s="84">
        <v>62</v>
      </c>
      <c r="F656" s="59">
        <v>16.149999999999999</v>
      </c>
      <c r="G656" s="85">
        <v>6515</v>
      </c>
      <c r="H656" s="4" t="s">
        <v>558</v>
      </c>
      <c r="I656" s="23" t="s">
        <v>3615</v>
      </c>
      <c r="J656" s="371">
        <v>30.56</v>
      </c>
      <c r="K656" s="77">
        <v>12.33</v>
      </c>
      <c r="L656" s="371">
        <v>9.64</v>
      </c>
      <c r="M656" s="371">
        <v>21.84</v>
      </c>
      <c r="N656" s="365">
        <f t="shared" si="192"/>
        <v>74.37</v>
      </c>
      <c r="O656" s="343">
        <f t="shared" si="193"/>
        <v>52.4</v>
      </c>
      <c r="P656" s="195">
        <v>9</v>
      </c>
      <c r="Q656" s="326">
        <v>1</v>
      </c>
      <c r="R656" s="111">
        <v>4</v>
      </c>
      <c r="S656" s="51">
        <v>10</v>
      </c>
      <c r="T656" s="339">
        <f t="shared" si="194"/>
        <v>24</v>
      </c>
      <c r="U656" s="329" t="s">
        <v>6538</v>
      </c>
      <c r="V656" s="371">
        <v>0.76</v>
      </c>
      <c r="W656" s="69">
        <v>12.98</v>
      </c>
      <c r="X656" s="100">
        <v>15.24</v>
      </c>
      <c r="Y656" s="37" t="str">
        <f>RTD("money.excel",,"6515","Price")</f>
        <v>無資料</v>
      </c>
      <c r="Z656" s="69"/>
      <c r="AA656" s="16" t="e">
        <f t="shared" si="195"/>
        <v>#VALUE!</v>
      </c>
      <c r="AB656" s="3" t="e">
        <f t="shared" si="196"/>
        <v>#VALUE!</v>
      </c>
      <c r="AC656" s="177" t="s">
        <v>2929</v>
      </c>
      <c r="AD656" s="23" t="s">
        <v>3615</v>
      </c>
      <c r="AG656" s="34">
        <f t="shared" si="197"/>
        <v>0</v>
      </c>
      <c r="AH656" s="126" t="s">
        <v>3617</v>
      </c>
      <c r="AI656" s="131"/>
      <c r="AK656" s="66">
        <f t="shared" si="190"/>
        <v>0</v>
      </c>
      <c r="AL656" s="174">
        <f t="shared" si="191"/>
        <v>0</v>
      </c>
      <c r="AM656" s="346">
        <f>RTD("money.excel",,$G656,"PredictVolume")</f>
        <v>0</v>
      </c>
      <c r="AN656" s="272">
        <f>RTD("money.excel",,$G656,"CumulativeVolume")</f>
        <v>0</v>
      </c>
      <c r="AO656" s="284"/>
    </row>
    <row r="657" spans="1:41">
      <c r="A657" s="135" t="s">
        <v>2413</v>
      </c>
      <c r="B657" s="85">
        <v>-1</v>
      </c>
      <c r="C657" s="85">
        <v>-18</v>
      </c>
      <c r="D657" s="85">
        <v>-4</v>
      </c>
      <c r="E657" s="84">
        <v>9</v>
      </c>
      <c r="F657" s="59">
        <v>18.03</v>
      </c>
      <c r="G657" s="85">
        <v>6525</v>
      </c>
      <c r="H657" s="4" t="s">
        <v>558</v>
      </c>
      <c r="I657" s="23" t="s">
        <v>535</v>
      </c>
      <c r="J657" s="77">
        <v>68.099999999999994</v>
      </c>
      <c r="K657" s="77">
        <v>12.34</v>
      </c>
      <c r="L657" s="77">
        <v>4.4000000000000004</v>
      </c>
      <c r="N657" s="365">
        <f t="shared" ref="N657:N688" si="198">J657+K657+L657+M657</f>
        <v>84.84</v>
      </c>
      <c r="O657" s="343">
        <f t="shared" ref="O657:O692" si="199">J657+M657</f>
        <v>68.099999999999994</v>
      </c>
      <c r="P657" s="195" t="s">
        <v>5554</v>
      </c>
      <c r="Q657" s="326">
        <f>IFERROR(VLOOKUP($G657,主力整理!$A$2:$G$2301,6,0),"0")</f>
        <v>3</v>
      </c>
      <c r="R657" s="111">
        <v>2</v>
      </c>
      <c r="T657" s="339">
        <f t="shared" ref="T657:T688" si="200">SUM(P657:S657)</f>
        <v>5</v>
      </c>
      <c r="V657" s="371">
        <v>0.02</v>
      </c>
      <c r="W657" s="69">
        <v>4.5</v>
      </c>
      <c r="X657" s="100">
        <v>5.31</v>
      </c>
      <c r="Y657" s="37" t="str">
        <f>RTD("money.excel",,"6525","Price")</f>
        <v>無資料</v>
      </c>
      <c r="Z657" s="69"/>
      <c r="AA657" s="16" t="e">
        <f t="shared" ref="AA657:AA688" si="201">Y657-Z657</f>
        <v>#VALUE!</v>
      </c>
      <c r="AB657" s="3" t="e">
        <f t="shared" ref="AB657:AB688" si="202">AA657/Z657</f>
        <v>#VALUE!</v>
      </c>
      <c r="AC657" s="177" t="s">
        <v>2700</v>
      </c>
      <c r="AD657" s="23" t="s">
        <v>535</v>
      </c>
      <c r="AG657" s="34">
        <f t="shared" ref="AG657:AG688" si="203">AF657-AE657</f>
        <v>0</v>
      </c>
      <c r="AH657" s="63" t="s">
        <v>3788</v>
      </c>
      <c r="AI657" s="131"/>
      <c r="AK657" s="66">
        <f t="shared" si="190"/>
        <v>0</v>
      </c>
      <c r="AL657" s="174">
        <f t="shared" si="191"/>
        <v>0</v>
      </c>
      <c r="AM657" s="346">
        <f>RTD("money.excel",,$G657,"PredictVolume")</f>
        <v>0</v>
      </c>
      <c r="AN657" s="272">
        <f>RTD("money.excel",,$G657,"CumulativeVolume")</f>
        <v>0</v>
      </c>
      <c r="AO657" s="284"/>
    </row>
    <row r="658" spans="1:41">
      <c r="A658" s="135" t="s">
        <v>6420</v>
      </c>
      <c r="B658" s="84">
        <v>509</v>
      </c>
      <c r="C658" s="84">
        <v>556</v>
      </c>
      <c r="D658" s="85">
        <v>-4</v>
      </c>
      <c r="E658" s="84">
        <v>73</v>
      </c>
      <c r="F658" s="59">
        <v>35.78</v>
      </c>
      <c r="G658" s="85">
        <v>6531</v>
      </c>
      <c r="H658" s="4" t="s">
        <v>558</v>
      </c>
      <c r="I658" s="23" t="s">
        <v>639</v>
      </c>
      <c r="J658" s="371">
        <v>52.01</v>
      </c>
      <c r="K658" s="371">
        <v>20.49</v>
      </c>
      <c r="L658" s="371">
        <v>43.7</v>
      </c>
      <c r="M658" s="371">
        <v>18.64</v>
      </c>
      <c r="N658" s="77">
        <f t="shared" si="198"/>
        <v>134.84</v>
      </c>
      <c r="O658" s="343">
        <f t="shared" si="199"/>
        <v>70.650000000000006</v>
      </c>
      <c r="P658" s="195">
        <v>12</v>
      </c>
      <c r="Q658" s="326">
        <v>32</v>
      </c>
      <c r="R658" s="111">
        <v>25</v>
      </c>
      <c r="S658" s="51">
        <v>51</v>
      </c>
      <c r="T658" s="339">
        <f t="shared" si="200"/>
        <v>120</v>
      </c>
      <c r="U658" s="329" t="s">
        <v>6540</v>
      </c>
      <c r="V658" s="371">
        <v>14.13</v>
      </c>
      <c r="W658" s="69">
        <v>5</v>
      </c>
      <c r="X658" s="59">
        <v>22.25</v>
      </c>
      <c r="Y658" s="37" t="str">
        <f>RTD("money.excel",,"6531","Price")</f>
        <v>無資料</v>
      </c>
      <c r="Z658" s="69"/>
      <c r="AA658" s="16" t="e">
        <f t="shared" si="201"/>
        <v>#VALUE!</v>
      </c>
      <c r="AB658" s="3" t="e">
        <f t="shared" si="202"/>
        <v>#VALUE!</v>
      </c>
      <c r="AC658" s="177" t="s">
        <v>2929</v>
      </c>
      <c r="AD658" s="23" t="s">
        <v>639</v>
      </c>
      <c r="AG658" s="34">
        <f t="shared" si="203"/>
        <v>0</v>
      </c>
      <c r="AH658" s="63" t="s">
        <v>3400</v>
      </c>
      <c r="AI658" s="131"/>
      <c r="AK658" s="66">
        <f t="shared" ref="AK658:AK692" si="204">AM658/(A658*10000)</f>
        <v>0</v>
      </c>
      <c r="AL658" s="174">
        <f t="shared" ref="AL658:AL692" si="205">AN658/(A658*10000)</f>
        <v>0</v>
      </c>
      <c r="AM658" s="346">
        <f>RTD("money.excel",,$G658,"PredictVolume")</f>
        <v>0</v>
      </c>
      <c r="AN658" s="272">
        <f>RTD("money.excel",,$G658,"CumulativeVolume")</f>
        <v>0</v>
      </c>
      <c r="AO658" s="284"/>
    </row>
    <row r="659" spans="1:41">
      <c r="A659" s="135" t="s">
        <v>2620</v>
      </c>
      <c r="B659" s="85">
        <v>-33</v>
      </c>
      <c r="C659" s="85">
        <v>-31</v>
      </c>
      <c r="D659" s="84">
        <v>30</v>
      </c>
      <c r="E659" s="85">
        <v>-12</v>
      </c>
      <c r="F659" s="59">
        <v>24.55</v>
      </c>
      <c r="G659" s="85">
        <v>6532</v>
      </c>
      <c r="H659" s="53" t="s">
        <v>558</v>
      </c>
      <c r="I659" s="17" t="s">
        <v>674</v>
      </c>
      <c r="J659" s="371">
        <v>15.08</v>
      </c>
      <c r="K659" s="371">
        <v>2.4500000000000002</v>
      </c>
      <c r="L659" s="77">
        <v>24.71</v>
      </c>
      <c r="N659" s="365">
        <f t="shared" si="198"/>
        <v>42.24</v>
      </c>
      <c r="O659" s="343">
        <f t="shared" si="199"/>
        <v>15.08</v>
      </c>
      <c r="P659" s="195" t="s">
        <v>5554</v>
      </c>
      <c r="Q659" s="326" t="str">
        <f>IFERROR(VLOOKUP($G659,主力整理!$A$2:$G$2301,6,0),"0")</f>
        <v>0</v>
      </c>
      <c r="R659" s="111">
        <v>14</v>
      </c>
      <c r="S659" s="51">
        <v>0</v>
      </c>
      <c r="T659" s="339">
        <f t="shared" si="200"/>
        <v>14</v>
      </c>
      <c r="V659" s="371">
        <v>0.85</v>
      </c>
      <c r="W659" s="35">
        <v>2</v>
      </c>
      <c r="X659" s="100">
        <v>2.1</v>
      </c>
      <c r="Y659" s="37" t="str">
        <f>RTD("money.excel",,"6532","Price")</f>
        <v>無資料</v>
      </c>
      <c r="Z659" s="69"/>
      <c r="AA659" s="16" t="e">
        <f t="shared" si="201"/>
        <v>#VALUE!</v>
      </c>
      <c r="AB659" s="3" t="e">
        <f t="shared" si="202"/>
        <v>#VALUE!</v>
      </c>
      <c r="AC659" s="177" t="s">
        <v>2648</v>
      </c>
      <c r="AD659" s="17" t="s">
        <v>674</v>
      </c>
      <c r="AG659" s="34">
        <f t="shared" si="203"/>
        <v>0</v>
      </c>
      <c r="AH659" s="63" t="s">
        <v>3684</v>
      </c>
      <c r="AI659" s="131"/>
      <c r="AK659" s="66">
        <f t="shared" si="204"/>
        <v>0</v>
      </c>
      <c r="AL659" s="174">
        <f t="shared" si="205"/>
        <v>0</v>
      </c>
      <c r="AM659" s="346">
        <f>RTD("money.excel",,$G659,"PredictVolume")</f>
        <v>0</v>
      </c>
      <c r="AN659" s="272">
        <f>RTD("money.excel",,$G659,"CumulativeVolume")</f>
        <v>0</v>
      </c>
      <c r="AO659" s="284"/>
    </row>
    <row r="660" spans="1:41">
      <c r="A660" s="135" t="s">
        <v>6294</v>
      </c>
      <c r="B660" s="84">
        <v>258</v>
      </c>
      <c r="C660" s="84">
        <v>236</v>
      </c>
      <c r="D660" s="84">
        <v>58</v>
      </c>
      <c r="E660" s="84">
        <v>217</v>
      </c>
      <c r="F660" s="59">
        <v>22.97</v>
      </c>
      <c r="G660" s="85">
        <v>6533</v>
      </c>
      <c r="H660" s="4" t="s">
        <v>558</v>
      </c>
      <c r="I660" s="23" t="s">
        <v>640</v>
      </c>
      <c r="J660" s="371">
        <v>43.07</v>
      </c>
      <c r="K660" s="371">
        <v>33.840000000000003</v>
      </c>
      <c r="L660" s="371">
        <v>46.29</v>
      </c>
      <c r="N660" s="365">
        <f t="shared" si="198"/>
        <v>123.19999999999999</v>
      </c>
      <c r="O660" s="343">
        <f t="shared" si="199"/>
        <v>43.07</v>
      </c>
      <c r="P660" s="195">
        <v>7</v>
      </c>
      <c r="Q660" s="326">
        <v>2</v>
      </c>
      <c r="R660" s="111">
        <v>21</v>
      </c>
      <c r="S660" s="51">
        <v>1</v>
      </c>
      <c r="T660" s="339">
        <f t="shared" si="200"/>
        <v>31</v>
      </c>
      <c r="V660" s="371">
        <v>10.92</v>
      </c>
      <c r="W660" s="35">
        <v>0.74</v>
      </c>
      <c r="X660" s="100">
        <v>4.18</v>
      </c>
      <c r="Y660" s="37" t="str">
        <f>RTD("money.excel",,"6533","Price")</f>
        <v>無資料</v>
      </c>
      <c r="Z660" s="69"/>
      <c r="AA660" s="16" t="e">
        <f t="shared" si="201"/>
        <v>#VALUE!</v>
      </c>
      <c r="AB660" s="3" t="e">
        <f t="shared" si="202"/>
        <v>#VALUE!</v>
      </c>
      <c r="AC660" s="177" t="s">
        <v>2648</v>
      </c>
      <c r="AD660" s="23" t="s">
        <v>640</v>
      </c>
      <c r="AG660" s="34">
        <f t="shared" si="203"/>
        <v>0</v>
      </c>
      <c r="AH660" s="63" t="s">
        <v>3689</v>
      </c>
      <c r="AI660" s="131"/>
      <c r="AK660" s="66">
        <f t="shared" si="204"/>
        <v>0</v>
      </c>
      <c r="AL660" s="174">
        <f t="shared" si="205"/>
        <v>0</v>
      </c>
      <c r="AM660" s="346">
        <f>RTD("money.excel",,$G660,"PredictVolume")</f>
        <v>0</v>
      </c>
      <c r="AN660" s="272">
        <f>RTD("money.excel",,$G660,"CumulativeVolume")</f>
        <v>0</v>
      </c>
      <c r="AO660" s="284"/>
    </row>
    <row r="661" spans="1:41">
      <c r="A661" s="151" t="s">
        <v>2606</v>
      </c>
      <c r="B661" s="84">
        <v>27</v>
      </c>
      <c r="C661" s="84">
        <v>15</v>
      </c>
      <c r="D661" s="85">
        <v>-17</v>
      </c>
      <c r="E661" s="84">
        <v>15</v>
      </c>
      <c r="F661" s="7">
        <v>9.92</v>
      </c>
      <c r="G661" s="85">
        <v>6548</v>
      </c>
      <c r="H661" s="53" t="s">
        <v>558</v>
      </c>
      <c r="I661" s="17" t="s">
        <v>2112</v>
      </c>
      <c r="J661" s="77">
        <v>84.04</v>
      </c>
      <c r="K661" s="77">
        <v>5.75</v>
      </c>
      <c r="L661" s="371">
        <v>5.8</v>
      </c>
      <c r="N661" s="365">
        <f t="shared" si="198"/>
        <v>95.59</v>
      </c>
      <c r="O661" s="343">
        <f t="shared" si="199"/>
        <v>84.04</v>
      </c>
      <c r="P661" s="195">
        <v>7</v>
      </c>
      <c r="Q661" s="326">
        <f>IFERROR(VLOOKUP($G661,主力整理!$A$2:$G$2301,6,0),"0")</f>
        <v>3</v>
      </c>
      <c r="R661" s="111">
        <v>8</v>
      </c>
      <c r="T661" s="339">
        <f t="shared" si="200"/>
        <v>18</v>
      </c>
      <c r="V661" s="371">
        <v>0.08</v>
      </c>
      <c r="W661" s="69">
        <v>0.4</v>
      </c>
      <c r="X661" s="59">
        <v>21.91</v>
      </c>
      <c r="Y661" s="37" t="str">
        <f>RTD("money.excel",,"6548","Price")</f>
        <v>無資料</v>
      </c>
      <c r="Z661" s="69"/>
      <c r="AA661" s="16" t="e">
        <f t="shared" si="201"/>
        <v>#VALUE!</v>
      </c>
      <c r="AB661" s="3" t="e">
        <f t="shared" si="202"/>
        <v>#VALUE!</v>
      </c>
      <c r="AC661" s="177" t="s">
        <v>2929</v>
      </c>
      <c r="AD661" s="17" t="s">
        <v>2112</v>
      </c>
      <c r="AG661" s="34">
        <f t="shared" si="203"/>
        <v>0</v>
      </c>
      <c r="AH661" s="125" t="s">
        <v>4391</v>
      </c>
      <c r="AI661" s="131"/>
      <c r="AK661" s="66">
        <f t="shared" si="204"/>
        <v>0</v>
      </c>
      <c r="AL661" s="174">
        <f t="shared" si="205"/>
        <v>0</v>
      </c>
      <c r="AM661" s="346">
        <f>RTD("money.excel",,$G661,"PredictVolume")</f>
        <v>0</v>
      </c>
      <c r="AN661" s="272">
        <f>RTD("money.excel",,$G661,"CumulativeVolume")</f>
        <v>0</v>
      </c>
      <c r="AO661" s="284"/>
    </row>
    <row r="662" spans="1:41">
      <c r="A662" s="151" t="s">
        <v>4576</v>
      </c>
      <c r="B662" s="84">
        <v>193</v>
      </c>
      <c r="C662" s="98">
        <v>6133</v>
      </c>
      <c r="D662" s="85">
        <v>-1</v>
      </c>
      <c r="E662" s="84">
        <v>7</v>
      </c>
      <c r="F662" s="7">
        <v>4.97</v>
      </c>
      <c r="G662" s="85">
        <v>6552</v>
      </c>
      <c r="H662" s="4" t="s">
        <v>558</v>
      </c>
      <c r="I662" s="23" t="s">
        <v>641</v>
      </c>
      <c r="J662" s="371">
        <v>54.81</v>
      </c>
      <c r="K662" s="77">
        <v>2.4300000000000002</v>
      </c>
      <c r="L662" s="77">
        <v>12.05</v>
      </c>
      <c r="N662" s="365">
        <f t="shared" si="198"/>
        <v>69.290000000000006</v>
      </c>
      <c r="O662" s="343">
        <f t="shared" si="199"/>
        <v>54.81</v>
      </c>
      <c r="P662" s="195">
        <v>4</v>
      </c>
      <c r="Q662" s="326" t="str">
        <f>IFERROR(VLOOKUP($G662,主力整理!$A$2:$G$2301,6,0),"0")</f>
        <v>0</v>
      </c>
      <c r="R662" s="111">
        <v>6</v>
      </c>
      <c r="T662" s="339">
        <f t="shared" si="200"/>
        <v>10</v>
      </c>
      <c r="V662" s="371">
        <v>1.4</v>
      </c>
      <c r="W662" s="35">
        <v>1.5</v>
      </c>
      <c r="X662" s="59">
        <v>1.85</v>
      </c>
      <c r="Y662" s="37" t="str">
        <f>RTD("money.excel",,"6552","Price")</f>
        <v>無資料</v>
      </c>
      <c r="Z662" s="69"/>
      <c r="AA662" s="16" t="e">
        <f t="shared" si="201"/>
        <v>#VALUE!</v>
      </c>
      <c r="AB662" s="3" t="e">
        <f t="shared" si="202"/>
        <v>#VALUE!</v>
      </c>
      <c r="AC662" s="177" t="s">
        <v>2648</v>
      </c>
      <c r="AD662" s="23" t="s">
        <v>641</v>
      </c>
      <c r="AG662" s="34">
        <f t="shared" si="203"/>
        <v>0</v>
      </c>
      <c r="AH662" s="44" t="s">
        <v>3999</v>
      </c>
      <c r="AI662" s="131"/>
      <c r="AK662" s="66">
        <f t="shared" si="204"/>
        <v>0</v>
      </c>
      <c r="AL662" s="174">
        <f t="shared" si="205"/>
        <v>0</v>
      </c>
      <c r="AM662" s="346">
        <f>RTD("money.excel",,$G662,"PredictVolume")</f>
        <v>0</v>
      </c>
      <c r="AN662" s="272">
        <f>RTD("money.excel",,$G662,"CumulativeVolume")</f>
        <v>0</v>
      </c>
      <c r="AO662" s="284"/>
    </row>
    <row r="663" spans="1:41">
      <c r="A663" s="135" t="s">
        <v>4646</v>
      </c>
      <c r="B663" s="84">
        <v>13</v>
      </c>
      <c r="C663" s="85">
        <v>-12</v>
      </c>
      <c r="D663" s="84">
        <v>34</v>
      </c>
      <c r="E663" s="85">
        <v>-4</v>
      </c>
      <c r="F663" s="59">
        <v>16.309999999999999</v>
      </c>
      <c r="G663" s="85">
        <v>6568</v>
      </c>
      <c r="H663" s="53" t="s">
        <v>558</v>
      </c>
      <c r="I663" s="17" t="s">
        <v>675</v>
      </c>
      <c r="J663" s="77">
        <v>11.42</v>
      </c>
      <c r="K663" s="77">
        <v>7.78</v>
      </c>
      <c r="M663" s="371">
        <v>12.67</v>
      </c>
      <c r="N663" s="365">
        <f t="shared" si="198"/>
        <v>31.869999999999997</v>
      </c>
      <c r="O663" s="343">
        <f t="shared" si="199"/>
        <v>24.09</v>
      </c>
      <c r="P663" s="195">
        <v>8</v>
      </c>
      <c r="Q663" s="326">
        <v>15</v>
      </c>
      <c r="R663" s="111">
        <v>18</v>
      </c>
      <c r="S663" s="51">
        <v>40</v>
      </c>
      <c r="T663" s="339">
        <f t="shared" si="200"/>
        <v>81</v>
      </c>
      <c r="V663" s="371">
        <v>1.04</v>
      </c>
      <c r="W663" s="69">
        <v>7.08</v>
      </c>
      <c r="X663" s="100">
        <v>7.65</v>
      </c>
      <c r="Y663" s="37" t="str">
        <f>RTD("money.excel",,"6568","Price")</f>
        <v>無資料</v>
      </c>
      <c r="Z663" s="69"/>
      <c r="AA663" s="16" t="e">
        <f t="shared" si="201"/>
        <v>#VALUE!</v>
      </c>
      <c r="AB663" s="3" t="e">
        <f t="shared" si="202"/>
        <v>#VALUE!</v>
      </c>
      <c r="AC663" s="177" t="s">
        <v>2929</v>
      </c>
      <c r="AD663" s="17" t="s">
        <v>675</v>
      </c>
      <c r="AG663" s="34">
        <f t="shared" si="203"/>
        <v>0</v>
      </c>
      <c r="AH663" s="63" t="s">
        <v>3755</v>
      </c>
      <c r="AI663" s="131"/>
      <c r="AK663" s="66">
        <f t="shared" si="204"/>
        <v>0</v>
      </c>
      <c r="AL663" s="174">
        <f t="shared" si="205"/>
        <v>0</v>
      </c>
      <c r="AM663" s="346">
        <f>RTD("money.excel",,$G663,"PredictVolume")</f>
        <v>0</v>
      </c>
      <c r="AN663" s="272">
        <f>RTD("money.excel",,$G663,"CumulativeVolume")</f>
        <v>0</v>
      </c>
      <c r="AO663" s="284"/>
    </row>
    <row r="664" spans="1:41">
      <c r="A664" s="151" t="s">
        <v>2326</v>
      </c>
      <c r="B664" s="85">
        <v>-371</v>
      </c>
      <c r="C664" s="84">
        <v>9</v>
      </c>
      <c r="D664" s="85">
        <v>-6</v>
      </c>
      <c r="E664" s="85">
        <v>-24</v>
      </c>
      <c r="F664" s="7">
        <v>-19.100000000000001</v>
      </c>
      <c r="G664" s="85">
        <v>6573</v>
      </c>
      <c r="H664" s="4" t="s">
        <v>558</v>
      </c>
      <c r="I664" s="23" t="s">
        <v>642</v>
      </c>
      <c r="J664" s="371">
        <v>73.489999999999995</v>
      </c>
      <c r="K664" s="371">
        <v>67.2</v>
      </c>
      <c r="L664" s="77">
        <v>4.63</v>
      </c>
      <c r="N664" s="365">
        <f t="shared" si="198"/>
        <v>145.32</v>
      </c>
      <c r="O664" s="343">
        <f t="shared" si="199"/>
        <v>73.489999999999995</v>
      </c>
      <c r="P664" s="195" t="s">
        <v>5554</v>
      </c>
      <c r="Q664" s="326">
        <f>IFERROR(VLOOKUP($G664,主力整理!$A$2:$G$2301,6,0),"0")</f>
        <v>2</v>
      </c>
      <c r="R664" s="111">
        <v>6</v>
      </c>
      <c r="T664" s="339">
        <f t="shared" si="200"/>
        <v>8</v>
      </c>
      <c r="V664" s="371">
        <v>0.11</v>
      </c>
      <c r="W664" s="35">
        <v>0</v>
      </c>
      <c r="X664" s="100">
        <v>-2.61</v>
      </c>
      <c r="Y664" s="14" t="str">
        <f>RTD("money.excel",,"6573","Price")</f>
        <v>無資料</v>
      </c>
      <c r="Z664" s="69"/>
      <c r="AA664" s="16" t="e">
        <f t="shared" si="201"/>
        <v>#VALUE!</v>
      </c>
      <c r="AB664" s="3" t="e">
        <f t="shared" si="202"/>
        <v>#VALUE!</v>
      </c>
      <c r="AC664" s="177" t="s">
        <v>2648</v>
      </c>
      <c r="AD664" s="23" t="s">
        <v>642</v>
      </c>
      <c r="AG664" s="34">
        <f t="shared" si="203"/>
        <v>0</v>
      </c>
      <c r="AH664" s="44" t="s">
        <v>2122</v>
      </c>
      <c r="AI664" s="131"/>
      <c r="AK664" s="66">
        <f t="shared" si="204"/>
        <v>0</v>
      </c>
      <c r="AL664" s="174">
        <f t="shared" si="205"/>
        <v>0</v>
      </c>
      <c r="AM664" s="346">
        <f>RTD("money.excel",,$G664,"PredictVolume")</f>
        <v>0</v>
      </c>
      <c r="AN664" s="272">
        <f>RTD("money.excel",,$G664,"CumulativeVolume")</f>
        <v>0</v>
      </c>
      <c r="AO664" s="284"/>
    </row>
    <row r="665" spans="1:41">
      <c r="A665" s="151" t="s">
        <v>2533</v>
      </c>
      <c r="B665" s="85">
        <v>-42</v>
      </c>
      <c r="C665" s="85">
        <v>-51</v>
      </c>
      <c r="D665" s="84">
        <v>9</v>
      </c>
      <c r="E665" s="84">
        <v>1</v>
      </c>
      <c r="F665" s="7">
        <v>3.44</v>
      </c>
      <c r="G665" s="85">
        <v>6594</v>
      </c>
      <c r="H665" s="53" t="s">
        <v>558</v>
      </c>
      <c r="I665" s="17" t="s">
        <v>676</v>
      </c>
      <c r="J665" s="371">
        <v>48.54</v>
      </c>
      <c r="K665" s="371">
        <v>1.2</v>
      </c>
      <c r="L665" s="371">
        <v>0</v>
      </c>
      <c r="M665" s="77">
        <v>53.73</v>
      </c>
      <c r="N665" s="365">
        <f t="shared" si="198"/>
        <v>103.47</v>
      </c>
      <c r="O665" s="369">
        <f t="shared" si="199"/>
        <v>102.27</v>
      </c>
      <c r="P665" s="232">
        <v>0</v>
      </c>
      <c r="Q665" s="326" t="str">
        <f>IFERROR(VLOOKUP($G665,主力整理!$A$2:$G$2301,6,0),"0")</f>
        <v>0</v>
      </c>
      <c r="R665" s="111">
        <v>0</v>
      </c>
      <c r="S665" s="51">
        <v>0</v>
      </c>
      <c r="T665" s="339">
        <f t="shared" si="200"/>
        <v>0</v>
      </c>
      <c r="W665" s="35">
        <v>1.6</v>
      </c>
      <c r="X665" s="100">
        <v>1.1499999999999999</v>
      </c>
      <c r="Y665" s="37" t="str">
        <f>RTD("money.excel",,"6594","Price")</f>
        <v>無資料</v>
      </c>
      <c r="Z665" s="69"/>
      <c r="AA665" s="16" t="e">
        <f t="shared" si="201"/>
        <v>#VALUE!</v>
      </c>
      <c r="AB665" s="3" t="e">
        <f t="shared" si="202"/>
        <v>#VALUE!</v>
      </c>
      <c r="AD665" s="17" t="s">
        <v>676</v>
      </c>
      <c r="AG665" s="34">
        <f t="shared" si="203"/>
        <v>0</v>
      </c>
      <c r="AH665" s="44" t="s">
        <v>3756</v>
      </c>
      <c r="AI665" s="131"/>
      <c r="AK665" s="66">
        <f t="shared" si="204"/>
        <v>0</v>
      </c>
      <c r="AL665" s="174">
        <f t="shared" si="205"/>
        <v>0</v>
      </c>
      <c r="AM665" s="346">
        <f>RTD("money.excel",,$G665,"PredictVolume")</f>
        <v>0</v>
      </c>
      <c r="AN665" s="272">
        <f>RTD("money.excel",,$G665,"CumulativeVolume")</f>
        <v>0</v>
      </c>
      <c r="AO665" s="284"/>
    </row>
    <row r="666" spans="1:41">
      <c r="A666" s="135" t="s">
        <v>3176</v>
      </c>
      <c r="B666" s="84">
        <v>65</v>
      </c>
      <c r="C666" s="84">
        <v>138</v>
      </c>
      <c r="D666" s="85">
        <v>-32</v>
      </c>
      <c r="E666" s="84">
        <v>25</v>
      </c>
      <c r="F666" s="59">
        <v>12.42</v>
      </c>
      <c r="G666" s="85">
        <v>6640</v>
      </c>
      <c r="H666" s="53" t="s">
        <v>558</v>
      </c>
      <c r="I666" s="17" t="s">
        <v>1717</v>
      </c>
      <c r="J666" s="371">
        <v>67.78</v>
      </c>
      <c r="K666" s="371">
        <v>2.37</v>
      </c>
      <c r="L666" s="371"/>
      <c r="M666" s="77">
        <v>63.67</v>
      </c>
      <c r="N666" s="77">
        <f t="shared" si="198"/>
        <v>133.82</v>
      </c>
      <c r="O666" s="369">
        <f t="shared" si="199"/>
        <v>131.44999999999999</v>
      </c>
      <c r="P666" s="195">
        <v>6</v>
      </c>
      <c r="Q666" s="326" t="str">
        <f>IFERROR(VLOOKUP($G666,主力整理!$A$2:$G$2301,6,0),"0")</f>
        <v>0</v>
      </c>
      <c r="R666" s="111">
        <v>0</v>
      </c>
      <c r="S666" s="51">
        <v>8</v>
      </c>
      <c r="T666" s="339">
        <f t="shared" si="200"/>
        <v>14</v>
      </c>
      <c r="V666" s="371">
        <v>0</v>
      </c>
      <c r="W666" s="69">
        <v>3</v>
      </c>
      <c r="X666" s="59">
        <v>3.42</v>
      </c>
      <c r="Y666" s="37" t="str">
        <f>RTD("money.excel",,"6640","Price")</f>
        <v>無資料</v>
      </c>
      <c r="Z666" s="69"/>
      <c r="AA666" s="16" t="e">
        <f t="shared" si="201"/>
        <v>#VALUE!</v>
      </c>
      <c r="AB666" s="3" t="e">
        <f t="shared" si="202"/>
        <v>#VALUE!</v>
      </c>
      <c r="AC666" s="177" t="s">
        <v>2929</v>
      </c>
      <c r="AD666" s="17" t="s">
        <v>1717</v>
      </c>
      <c r="AG666" s="34">
        <f t="shared" si="203"/>
        <v>0</v>
      </c>
      <c r="AH666" s="63" t="s">
        <v>3757</v>
      </c>
      <c r="AI666" s="131"/>
      <c r="AK666" s="66">
        <f t="shared" si="204"/>
        <v>0</v>
      </c>
      <c r="AL666" s="174">
        <f t="shared" si="205"/>
        <v>0</v>
      </c>
      <c r="AM666" s="346">
        <f>RTD("money.excel",,$G666,"PredictVolume")</f>
        <v>0</v>
      </c>
      <c r="AN666" s="272">
        <f>RTD("money.excel",,$G666,"CumulativeVolume")</f>
        <v>0</v>
      </c>
      <c r="AO666" s="284"/>
    </row>
    <row r="667" spans="1:41">
      <c r="A667" s="135" t="s">
        <v>2530</v>
      </c>
      <c r="B667" s="85">
        <v>-20</v>
      </c>
      <c r="C667" s="85">
        <v>-11</v>
      </c>
      <c r="D667" s="85">
        <v>-8</v>
      </c>
      <c r="E667" s="85">
        <v>-26</v>
      </c>
      <c r="F667" s="59">
        <v>30.55</v>
      </c>
      <c r="G667" s="85">
        <v>6643</v>
      </c>
      <c r="H667" s="53" t="s">
        <v>558</v>
      </c>
      <c r="I667" s="17" t="s">
        <v>2366</v>
      </c>
      <c r="J667" s="77">
        <v>40.68</v>
      </c>
      <c r="K667" s="77">
        <v>9.73</v>
      </c>
      <c r="L667" s="77">
        <v>23.92</v>
      </c>
      <c r="N667" s="365">
        <f t="shared" si="198"/>
        <v>74.33</v>
      </c>
      <c r="O667" s="343">
        <f t="shared" si="199"/>
        <v>40.68</v>
      </c>
      <c r="P667" s="195">
        <v>4</v>
      </c>
      <c r="Q667" s="326">
        <f>IFERROR(VLOOKUP($G667,主力整理!$A$2:$G$2301,6,0),"0")</f>
        <v>1</v>
      </c>
      <c r="R667" s="111">
        <v>9</v>
      </c>
      <c r="S667" s="51">
        <v>5</v>
      </c>
      <c r="T667" s="339">
        <f t="shared" si="200"/>
        <v>19</v>
      </c>
      <c r="V667" s="371">
        <v>0.16</v>
      </c>
      <c r="W667" s="69">
        <v>8</v>
      </c>
      <c r="X667" s="100">
        <v>9.52</v>
      </c>
      <c r="Y667" s="37" t="str">
        <f>RTD("money.excel",,"6643","Price")</f>
        <v>無資料</v>
      </c>
      <c r="Z667" s="69"/>
      <c r="AA667" s="16" t="e">
        <f t="shared" si="201"/>
        <v>#VALUE!</v>
      </c>
      <c r="AB667" s="3" t="e">
        <f t="shared" si="202"/>
        <v>#VALUE!</v>
      </c>
      <c r="AC667" s="177" t="s">
        <v>2929</v>
      </c>
      <c r="AD667" s="17" t="s">
        <v>2366</v>
      </c>
      <c r="AG667" s="34">
        <f t="shared" si="203"/>
        <v>0</v>
      </c>
      <c r="AH667" s="126" t="s">
        <v>4548</v>
      </c>
      <c r="AI667" s="131"/>
      <c r="AK667" s="66">
        <f t="shared" si="204"/>
        <v>0</v>
      </c>
      <c r="AL667" s="174">
        <f t="shared" si="205"/>
        <v>0</v>
      </c>
      <c r="AM667" s="346">
        <f>RTD("money.excel",,$G667,"PredictVolume")</f>
        <v>0</v>
      </c>
      <c r="AN667" s="272">
        <f>RTD("money.excel",,$G667,"CumulativeVolume")</f>
        <v>0</v>
      </c>
      <c r="AO667" s="284"/>
    </row>
    <row r="668" spans="1:41">
      <c r="A668" s="135" t="s">
        <v>3480</v>
      </c>
      <c r="B668" s="84">
        <v>169</v>
      </c>
      <c r="C668" s="84">
        <v>140</v>
      </c>
      <c r="D668" s="84">
        <v>31</v>
      </c>
      <c r="E668" s="84">
        <v>35</v>
      </c>
      <c r="F668" s="59">
        <v>20.59</v>
      </c>
      <c r="G668" s="85">
        <v>6651</v>
      </c>
      <c r="H668" s="53" t="s">
        <v>558</v>
      </c>
      <c r="I668" s="17" t="s">
        <v>3717</v>
      </c>
      <c r="J668" s="77">
        <v>25.69</v>
      </c>
      <c r="K668" s="371">
        <v>0.66</v>
      </c>
      <c r="L668" s="77">
        <v>4.88</v>
      </c>
      <c r="N668" s="365">
        <f t="shared" si="198"/>
        <v>31.23</v>
      </c>
      <c r="O668" s="343">
        <f t="shared" si="199"/>
        <v>25.69</v>
      </c>
      <c r="P668" s="195" t="s">
        <v>5554</v>
      </c>
      <c r="Q668" s="326" t="str">
        <f>IFERROR(VLOOKUP($G668,主力整理!$A$2:$G$2301,6,0),"0")</f>
        <v>0</v>
      </c>
      <c r="R668" s="111">
        <v>11</v>
      </c>
      <c r="S668" s="51">
        <v>0</v>
      </c>
      <c r="T668" s="339">
        <f t="shared" si="200"/>
        <v>11</v>
      </c>
      <c r="V668" s="371">
        <v>0</v>
      </c>
      <c r="W668" s="69">
        <v>3</v>
      </c>
      <c r="X668" s="100">
        <v>6.41</v>
      </c>
      <c r="Y668" s="37" t="str">
        <f>RTD("money.excel",,"6651","Price")</f>
        <v>無資料</v>
      </c>
      <c r="Z668" s="69"/>
      <c r="AA668" s="16" t="e">
        <f t="shared" si="201"/>
        <v>#VALUE!</v>
      </c>
      <c r="AB668" s="3" t="e">
        <f t="shared" si="202"/>
        <v>#VALUE!</v>
      </c>
      <c r="AC668" s="177" t="s">
        <v>2700</v>
      </c>
      <c r="AD668" s="17" t="s">
        <v>3717</v>
      </c>
      <c r="AG668" s="34">
        <f t="shared" si="203"/>
        <v>0</v>
      </c>
      <c r="AH668" s="63" t="s">
        <v>3478</v>
      </c>
      <c r="AI668" s="131"/>
      <c r="AK668" s="66">
        <f t="shared" si="204"/>
        <v>0</v>
      </c>
      <c r="AL668" s="174">
        <f t="shared" si="205"/>
        <v>0</v>
      </c>
      <c r="AM668" s="346">
        <f>RTD("money.excel",,$G668,"PredictVolume")</f>
        <v>0</v>
      </c>
      <c r="AN668" s="272">
        <f>RTD("money.excel",,$G668,"CumulativeVolume")</f>
        <v>0</v>
      </c>
      <c r="AO668" s="284"/>
    </row>
    <row r="669" spans="1:41">
      <c r="A669" s="135" t="s">
        <v>2496</v>
      </c>
      <c r="B669" s="84">
        <v>131</v>
      </c>
      <c r="C669" s="84">
        <v>132</v>
      </c>
      <c r="D669" s="85">
        <v>-1</v>
      </c>
      <c r="E669" s="84">
        <v>34</v>
      </c>
      <c r="F669" s="59">
        <v>20.62</v>
      </c>
      <c r="G669" s="85">
        <v>6679</v>
      </c>
      <c r="H669" s="53" t="s">
        <v>558</v>
      </c>
      <c r="I669" s="17" t="s">
        <v>2567</v>
      </c>
      <c r="J669" s="77">
        <v>33.54</v>
      </c>
      <c r="K669" s="77">
        <v>22.24</v>
      </c>
      <c r="L669" s="77">
        <v>9.94</v>
      </c>
      <c r="N669" s="365">
        <f t="shared" si="198"/>
        <v>65.72</v>
      </c>
      <c r="O669" s="343">
        <f t="shared" si="199"/>
        <v>33.54</v>
      </c>
      <c r="P669" s="195">
        <v>14</v>
      </c>
      <c r="Q669" s="326" t="str">
        <f>IFERROR(VLOOKUP($G669,主力整理!$A$2:$G$2301,6,0),"0")</f>
        <v>0</v>
      </c>
      <c r="R669" s="111">
        <v>10</v>
      </c>
      <c r="S669" s="51">
        <v>15</v>
      </c>
      <c r="T669" s="339">
        <f t="shared" si="200"/>
        <v>39</v>
      </c>
      <c r="V669" s="371">
        <v>3.42</v>
      </c>
      <c r="W669" s="69">
        <v>4.99</v>
      </c>
      <c r="X669" s="100">
        <v>11.61</v>
      </c>
      <c r="Y669" s="37" t="str">
        <f>RTD("money.excel",,"6679","Price")</f>
        <v>無資料</v>
      </c>
      <c r="Z669" s="69"/>
      <c r="AA669" s="16" t="e">
        <f t="shared" si="201"/>
        <v>#VALUE!</v>
      </c>
      <c r="AB669" s="3" t="e">
        <f t="shared" si="202"/>
        <v>#VALUE!</v>
      </c>
      <c r="AC669" s="177" t="s">
        <v>2929</v>
      </c>
      <c r="AD669" s="17" t="s">
        <v>2567</v>
      </c>
      <c r="AG669" s="34">
        <f t="shared" si="203"/>
        <v>0</v>
      </c>
      <c r="AH669" s="63" t="s">
        <v>3726</v>
      </c>
      <c r="AI669" s="131"/>
      <c r="AK669" s="66">
        <f t="shared" si="204"/>
        <v>0</v>
      </c>
      <c r="AL669" s="174">
        <f t="shared" si="205"/>
        <v>0</v>
      </c>
      <c r="AM669" s="346">
        <f>RTD("money.excel",,$G669,"PredictVolume")</f>
        <v>0</v>
      </c>
      <c r="AN669" s="272">
        <f>RTD("money.excel",,$G669,"CumulativeVolume")</f>
        <v>0</v>
      </c>
      <c r="AO669" s="284"/>
    </row>
    <row r="670" spans="1:41">
      <c r="A670" s="135" t="s">
        <v>2569</v>
      </c>
      <c r="B670" s="84">
        <v>61</v>
      </c>
      <c r="C670" s="84">
        <v>66</v>
      </c>
      <c r="D670" s="84">
        <v>11.46</v>
      </c>
      <c r="E670" s="84">
        <v>46</v>
      </c>
      <c r="F670" s="59">
        <v>35.51</v>
      </c>
      <c r="G670" s="85">
        <v>6683</v>
      </c>
      <c r="H670" s="53" t="s">
        <v>558</v>
      </c>
      <c r="I670" s="17" t="s">
        <v>2568</v>
      </c>
      <c r="J670" s="77">
        <v>16.28</v>
      </c>
      <c r="K670" s="77">
        <v>10.6</v>
      </c>
      <c r="N670" s="365">
        <f t="shared" si="198"/>
        <v>26.880000000000003</v>
      </c>
      <c r="O670" s="343">
        <f t="shared" si="199"/>
        <v>16.28</v>
      </c>
      <c r="P670" s="195">
        <v>5</v>
      </c>
      <c r="Q670" s="326">
        <f>IFERROR(VLOOKUP($G670,主力整理!$A$2:$G$2301,6,0),"0")</f>
        <v>1</v>
      </c>
      <c r="R670" s="111">
        <v>10</v>
      </c>
      <c r="T670" s="339">
        <f t="shared" si="200"/>
        <v>16</v>
      </c>
      <c r="W670" s="69">
        <v>5.5</v>
      </c>
      <c r="X670" s="100">
        <v>12.34</v>
      </c>
      <c r="Y670" s="37" t="str">
        <f>RTD("money.excel",,"6683","Price")</f>
        <v>無資料</v>
      </c>
      <c r="Z670" s="69"/>
      <c r="AA670" s="16" t="e">
        <f t="shared" si="201"/>
        <v>#VALUE!</v>
      </c>
      <c r="AB670" s="3" t="e">
        <f t="shared" si="202"/>
        <v>#VALUE!</v>
      </c>
      <c r="AC670" s="177" t="s">
        <v>2929</v>
      </c>
      <c r="AD670" s="17" t="s">
        <v>2568</v>
      </c>
      <c r="AG670" s="34">
        <f t="shared" si="203"/>
        <v>0</v>
      </c>
      <c r="AH670" s="63" t="s">
        <v>4577</v>
      </c>
      <c r="AI670" s="131"/>
      <c r="AK670" s="66">
        <f t="shared" si="204"/>
        <v>0</v>
      </c>
      <c r="AL670" s="174">
        <f t="shared" si="205"/>
        <v>0</v>
      </c>
      <c r="AM670" s="346">
        <f>RTD("money.excel",,$G670,"PredictVolume")</f>
        <v>0</v>
      </c>
      <c r="AN670" s="272">
        <f>RTD("money.excel",,$G670,"CumulativeVolume")</f>
        <v>0</v>
      </c>
      <c r="AO670" s="284"/>
    </row>
    <row r="671" spans="1:41">
      <c r="A671" s="135" t="s">
        <v>5466</v>
      </c>
      <c r="B671" s="98">
        <v>1416</v>
      </c>
      <c r="C671" s="246">
        <v>25521</v>
      </c>
      <c r="D671" s="84">
        <v>4</v>
      </c>
      <c r="E671" s="84">
        <v>52</v>
      </c>
      <c r="F671" s="59">
        <v>28.59</v>
      </c>
      <c r="G671" s="85">
        <v>6684</v>
      </c>
      <c r="H671" s="53" t="s">
        <v>558</v>
      </c>
      <c r="I671" s="17" t="s">
        <v>5429</v>
      </c>
      <c r="J671" s="371">
        <v>23.81</v>
      </c>
      <c r="K671" s="77">
        <v>7.02</v>
      </c>
      <c r="N671" s="365">
        <f t="shared" si="198"/>
        <v>30.83</v>
      </c>
      <c r="O671" s="343">
        <f t="shared" si="199"/>
        <v>23.81</v>
      </c>
      <c r="P671" s="195" t="s">
        <v>5554</v>
      </c>
      <c r="Q671" s="326">
        <f>IFERROR(VLOOKUP($G671,主力整理!$A$2:$G$2301,6,0),"0")</f>
        <v>1</v>
      </c>
      <c r="S671" s="51">
        <v>0</v>
      </c>
      <c r="T671" s="339">
        <f t="shared" si="200"/>
        <v>1</v>
      </c>
      <c r="W671" s="35">
        <v>2.0099999999999998</v>
      </c>
      <c r="X671" s="311" t="s">
        <v>5226</v>
      </c>
      <c r="Y671" s="37" t="str">
        <f>RTD("money.excel",,"6684","Price")</f>
        <v>無資料</v>
      </c>
      <c r="Z671" s="69"/>
      <c r="AA671" s="16" t="e">
        <f t="shared" si="201"/>
        <v>#VALUE!</v>
      </c>
      <c r="AB671" s="3" t="e">
        <f t="shared" si="202"/>
        <v>#VALUE!</v>
      </c>
      <c r="AC671" s="177" t="s">
        <v>2648</v>
      </c>
      <c r="AD671" s="17" t="s">
        <v>5429</v>
      </c>
      <c r="AG671" s="34">
        <f t="shared" si="203"/>
        <v>0</v>
      </c>
      <c r="AH671" s="63" t="s">
        <v>5430</v>
      </c>
      <c r="AI671" s="131"/>
      <c r="AK671" s="66">
        <f t="shared" si="204"/>
        <v>0</v>
      </c>
      <c r="AL671" s="174">
        <f t="shared" si="205"/>
        <v>0</v>
      </c>
      <c r="AM671" s="346">
        <f>RTD("money.excel",,$G671,"PredictVolume")</f>
        <v>0</v>
      </c>
      <c r="AN671" s="272">
        <f>RTD("money.excel",,$G671,"CumulativeVolume")</f>
        <v>0</v>
      </c>
      <c r="AO671" s="284"/>
    </row>
    <row r="672" spans="1:41">
      <c r="A672" s="135" t="s">
        <v>5466</v>
      </c>
      <c r="B672" s="84">
        <v>145</v>
      </c>
      <c r="C672" s="84">
        <v>167</v>
      </c>
      <c r="D672" s="85">
        <v>3</v>
      </c>
      <c r="E672" s="84">
        <v>50</v>
      </c>
      <c r="F672" s="59">
        <v>34.590000000000003</v>
      </c>
      <c r="G672" s="85">
        <v>6716</v>
      </c>
      <c r="H672" s="53" t="s">
        <v>558</v>
      </c>
      <c r="I672" s="17" t="s">
        <v>2890</v>
      </c>
      <c r="J672" s="77">
        <v>28.86</v>
      </c>
      <c r="K672" s="77">
        <v>1.78</v>
      </c>
      <c r="L672" s="371"/>
      <c r="N672" s="365">
        <f t="shared" si="198"/>
        <v>30.64</v>
      </c>
      <c r="O672" s="343">
        <f t="shared" si="199"/>
        <v>28.86</v>
      </c>
      <c r="P672" s="195">
        <v>1</v>
      </c>
      <c r="Q672" s="326" t="str">
        <f>IFERROR(VLOOKUP($G672,主力整理!$A$2:$G$2301,6,0),"0")</f>
        <v>0</v>
      </c>
      <c r="R672" s="111">
        <v>24</v>
      </c>
      <c r="S672" s="51">
        <v>0</v>
      </c>
      <c r="T672" s="339">
        <f t="shared" si="200"/>
        <v>25</v>
      </c>
      <c r="W672" s="69">
        <v>5</v>
      </c>
      <c r="X672" s="100">
        <v>8.7200000000000006</v>
      </c>
      <c r="Y672" s="37" t="str">
        <f>RTD("money.excel",,"6716","Price")</f>
        <v>無資料</v>
      </c>
      <c r="Z672" s="69"/>
      <c r="AA672" s="16" t="e">
        <f t="shared" si="201"/>
        <v>#VALUE!</v>
      </c>
      <c r="AB672" s="3" t="e">
        <f t="shared" si="202"/>
        <v>#VALUE!</v>
      </c>
      <c r="AC672" s="177" t="s">
        <v>2929</v>
      </c>
      <c r="AD672" s="17" t="s">
        <v>2890</v>
      </c>
      <c r="AG672" s="34">
        <f t="shared" si="203"/>
        <v>0</v>
      </c>
      <c r="AH672" s="63" t="s">
        <v>3691</v>
      </c>
      <c r="AI672" s="131"/>
      <c r="AK672" s="66">
        <f t="shared" si="204"/>
        <v>0</v>
      </c>
      <c r="AL672" s="174">
        <f t="shared" si="205"/>
        <v>0</v>
      </c>
      <c r="AM672" s="346">
        <f>RTD("money.excel",,$G672,"PredictVolume")</f>
        <v>0</v>
      </c>
      <c r="AN672" s="272">
        <f>RTD("money.excel",,$G672,"CumulativeVolume")</f>
        <v>0</v>
      </c>
      <c r="AO672" s="284"/>
    </row>
    <row r="673" spans="1:41">
      <c r="A673" s="135" t="s">
        <v>2978</v>
      </c>
      <c r="B673" s="84">
        <v>28</v>
      </c>
      <c r="C673" s="84">
        <v>33</v>
      </c>
      <c r="D673" s="85">
        <v>-11</v>
      </c>
      <c r="E673" s="85">
        <v>-15</v>
      </c>
      <c r="F673" s="59">
        <v>33.04</v>
      </c>
      <c r="G673" s="85">
        <v>6732</v>
      </c>
      <c r="H673" s="53" t="s">
        <v>558</v>
      </c>
      <c r="I673" s="17" t="s">
        <v>2981</v>
      </c>
      <c r="J673" s="77">
        <v>58.83</v>
      </c>
      <c r="K673" s="77">
        <v>9.27</v>
      </c>
      <c r="L673" s="77">
        <v>8.57</v>
      </c>
      <c r="M673" s="371">
        <v>48.19</v>
      </c>
      <c r="N673" s="365">
        <f t="shared" si="198"/>
        <v>124.85999999999999</v>
      </c>
      <c r="O673" s="369">
        <f t="shared" si="199"/>
        <v>107.02</v>
      </c>
      <c r="P673" s="195">
        <v>13</v>
      </c>
      <c r="Q673" s="326">
        <v>2</v>
      </c>
      <c r="R673" s="111">
        <v>7</v>
      </c>
      <c r="S673" s="51">
        <v>15</v>
      </c>
      <c r="T673" s="339">
        <f t="shared" si="200"/>
        <v>37</v>
      </c>
      <c r="U673" s="329" t="s">
        <v>6540</v>
      </c>
      <c r="V673" s="371">
        <v>1.32</v>
      </c>
      <c r="W673" s="69">
        <v>22.5</v>
      </c>
      <c r="X673" s="59">
        <v>34.31</v>
      </c>
      <c r="Y673" s="37" t="str">
        <f>RTD("money.excel",,"6732","Price")</f>
        <v>無資料</v>
      </c>
      <c r="Z673" s="69"/>
      <c r="AA673" s="16" t="e">
        <f t="shared" si="201"/>
        <v>#VALUE!</v>
      </c>
      <c r="AB673" s="3" t="e">
        <f t="shared" si="202"/>
        <v>#VALUE!</v>
      </c>
      <c r="AC673" s="177" t="s">
        <v>2929</v>
      </c>
      <c r="AD673" s="17" t="s">
        <v>2981</v>
      </c>
      <c r="AG673" s="34">
        <f t="shared" si="203"/>
        <v>0</v>
      </c>
      <c r="AH673" s="63" t="s">
        <v>4003</v>
      </c>
      <c r="AI673" s="131"/>
      <c r="AK673" s="66">
        <f t="shared" si="204"/>
        <v>0</v>
      </c>
      <c r="AL673" s="174">
        <f t="shared" si="205"/>
        <v>0</v>
      </c>
      <c r="AM673" s="346">
        <f>RTD("money.excel",,$G673,"PredictVolume")</f>
        <v>0</v>
      </c>
      <c r="AN673" s="272">
        <f>RTD("money.excel",,$G673,"CumulativeVolume")</f>
        <v>0</v>
      </c>
      <c r="AO673" s="284"/>
    </row>
    <row r="674" spans="1:41">
      <c r="A674" s="135" t="s">
        <v>2750</v>
      </c>
      <c r="B674" s="84">
        <v>150</v>
      </c>
      <c r="C674" s="84">
        <v>162</v>
      </c>
      <c r="D674" s="84">
        <v>5</v>
      </c>
      <c r="E674" s="84">
        <v>80</v>
      </c>
      <c r="F674" s="59">
        <v>30.45</v>
      </c>
      <c r="G674" s="85">
        <v>6756</v>
      </c>
      <c r="H674" s="4" t="s">
        <v>558</v>
      </c>
      <c r="I674" s="23" t="s">
        <v>3405</v>
      </c>
      <c r="J674" s="371">
        <v>60.53</v>
      </c>
      <c r="K674" s="77">
        <v>6.97</v>
      </c>
      <c r="L674" s="371">
        <v>7.24</v>
      </c>
      <c r="N674" s="365">
        <f t="shared" si="198"/>
        <v>74.739999999999995</v>
      </c>
      <c r="O674" s="343">
        <f t="shared" si="199"/>
        <v>60.53</v>
      </c>
      <c r="P674" s="195">
        <v>1</v>
      </c>
      <c r="Q674" s="326">
        <f>IFERROR(VLOOKUP($G674,主力整理!$A$2:$G$2301,6,0),"0")</f>
        <v>4</v>
      </c>
      <c r="R674" s="111">
        <v>7</v>
      </c>
      <c r="S674" s="51">
        <v>2</v>
      </c>
      <c r="T674" s="339">
        <f t="shared" si="200"/>
        <v>14</v>
      </c>
      <c r="V674" s="371">
        <v>3.11</v>
      </c>
      <c r="W674" s="69">
        <v>4.5</v>
      </c>
      <c r="X674" s="59">
        <v>8.69</v>
      </c>
      <c r="Y674" s="37" t="str">
        <f>RTD("money.excel",,"6756","Price")</f>
        <v>無資料</v>
      </c>
      <c r="Z674" s="69"/>
      <c r="AA674" s="16" t="e">
        <f t="shared" si="201"/>
        <v>#VALUE!</v>
      </c>
      <c r="AB674" s="3" t="e">
        <f t="shared" si="202"/>
        <v>#VALUE!</v>
      </c>
      <c r="AC674" s="177" t="s">
        <v>2929</v>
      </c>
      <c r="AD674" s="23" t="s">
        <v>3405</v>
      </c>
      <c r="AG674" s="34">
        <f t="shared" si="203"/>
        <v>0</v>
      </c>
      <c r="AH674" s="63" t="s">
        <v>3406</v>
      </c>
      <c r="AI674" s="131"/>
      <c r="AK674" s="66">
        <f t="shared" si="204"/>
        <v>0</v>
      </c>
      <c r="AL674" s="174">
        <f t="shared" si="205"/>
        <v>0</v>
      </c>
      <c r="AM674" s="346">
        <f>RTD("money.excel",,$G674,"PredictVolume")</f>
        <v>0</v>
      </c>
      <c r="AN674" s="272">
        <f>RTD("money.excel",,$G674,"CumulativeVolume")</f>
        <v>0</v>
      </c>
      <c r="AO674" s="284"/>
    </row>
    <row r="675" spans="1:41">
      <c r="A675" s="135" t="s">
        <v>6692</v>
      </c>
      <c r="B675" s="84">
        <v>263</v>
      </c>
      <c r="C675" s="84">
        <v>210</v>
      </c>
      <c r="D675" s="84">
        <v>9</v>
      </c>
      <c r="E675" s="84">
        <v>70</v>
      </c>
      <c r="F675" s="59">
        <v>27.37</v>
      </c>
      <c r="G675" s="85">
        <v>6770</v>
      </c>
      <c r="H675" s="4" t="s">
        <v>558</v>
      </c>
      <c r="I675" s="23" t="s">
        <v>6479</v>
      </c>
      <c r="J675" s="371">
        <v>44.91</v>
      </c>
      <c r="K675" s="77">
        <v>6.21</v>
      </c>
      <c r="L675" s="371"/>
      <c r="M675" s="371">
        <v>28.78</v>
      </c>
      <c r="N675" s="365">
        <f>K675+J675+L675+M675</f>
        <v>79.900000000000006</v>
      </c>
      <c r="O675" s="343">
        <f t="shared" si="199"/>
        <v>73.69</v>
      </c>
      <c r="P675" s="195">
        <v>10</v>
      </c>
      <c r="Q675" s="326" t="str">
        <f>IFERROR(VLOOKUP($G675,主力整理!$A$2:$G$2301,6,0),"0")</f>
        <v>0</v>
      </c>
      <c r="R675" s="111">
        <v>0</v>
      </c>
      <c r="S675" s="51">
        <v>1</v>
      </c>
      <c r="T675" s="339">
        <f t="shared" si="200"/>
        <v>11</v>
      </c>
      <c r="U675" s="329" t="s">
        <v>6540</v>
      </c>
      <c r="W675" s="35">
        <v>0.65</v>
      </c>
      <c r="X675" s="100">
        <v>3.44</v>
      </c>
      <c r="Y675" s="37" t="str">
        <f>RTD("money.excel",,"6770","Price")</f>
        <v>無資料</v>
      </c>
      <c r="Z675" s="69"/>
      <c r="AA675" s="16" t="e">
        <f t="shared" si="201"/>
        <v>#VALUE!</v>
      </c>
      <c r="AB675" s="3" t="e">
        <f t="shared" si="202"/>
        <v>#VALUE!</v>
      </c>
      <c r="AD675" s="23" t="s">
        <v>6479</v>
      </c>
      <c r="AG675" s="34">
        <f t="shared" si="203"/>
        <v>0</v>
      </c>
      <c r="AH675" s="63" t="s">
        <v>2795</v>
      </c>
      <c r="AI675" s="131"/>
      <c r="AK675" s="66">
        <f t="shared" si="204"/>
        <v>0</v>
      </c>
      <c r="AL675" s="174">
        <f t="shared" si="205"/>
        <v>0</v>
      </c>
      <c r="AM675" s="346">
        <f>RTD("money.excel",,$G675,"PredictVolume")</f>
        <v>0</v>
      </c>
      <c r="AN675" s="272">
        <f>RTD("money.excel",,$G675,"CumulativeVolume")</f>
        <v>0</v>
      </c>
      <c r="AO675" s="284"/>
    </row>
    <row r="676" spans="1:41">
      <c r="A676" s="135" t="s">
        <v>6357</v>
      </c>
      <c r="B676" s="84">
        <v>21</v>
      </c>
      <c r="C676" s="84">
        <v>26</v>
      </c>
      <c r="D676" s="85">
        <v>-10</v>
      </c>
      <c r="E676" s="84">
        <v>19</v>
      </c>
      <c r="F676" s="59">
        <v>28.15</v>
      </c>
      <c r="G676" s="85">
        <v>6788</v>
      </c>
      <c r="H676" s="53" t="s">
        <v>558</v>
      </c>
      <c r="I676" s="17" t="s">
        <v>5615</v>
      </c>
      <c r="J676" s="371">
        <v>18.350000000000001</v>
      </c>
      <c r="K676" s="77">
        <v>1.7</v>
      </c>
      <c r="L676" s="371"/>
      <c r="N676" s="365">
        <f t="shared" ref="N676:N692" si="206">J676+K676+L676+M676</f>
        <v>20.05</v>
      </c>
      <c r="O676" s="343">
        <f t="shared" si="199"/>
        <v>18.350000000000001</v>
      </c>
      <c r="P676" s="195">
        <v>1</v>
      </c>
      <c r="Q676" s="326" t="str">
        <f>IFERROR(VLOOKUP($G676,主力整理!$A$2:$G$2301,6,0),"0")</f>
        <v>0</v>
      </c>
      <c r="S676" s="51">
        <v>0</v>
      </c>
      <c r="T676" s="339">
        <f t="shared" si="200"/>
        <v>1</v>
      </c>
      <c r="W676" s="69">
        <v>4</v>
      </c>
      <c r="X676" s="100" t="s">
        <v>5226</v>
      </c>
      <c r="Y676" s="37" t="str">
        <f>RTD("money.excel",,"6788","Price")</f>
        <v>無資料</v>
      </c>
      <c r="Z676" s="69"/>
      <c r="AA676" s="16" t="e">
        <f t="shared" si="201"/>
        <v>#VALUE!</v>
      </c>
      <c r="AB676" s="3" t="e">
        <f t="shared" si="202"/>
        <v>#VALUE!</v>
      </c>
      <c r="AC676" s="177" t="s">
        <v>2929</v>
      </c>
      <c r="AD676" s="17" t="s">
        <v>5615</v>
      </c>
      <c r="AG676" s="34">
        <f t="shared" si="203"/>
        <v>0</v>
      </c>
      <c r="AH676" s="63" t="s">
        <v>5616</v>
      </c>
      <c r="AI676" s="131"/>
      <c r="AK676" s="66">
        <f t="shared" si="204"/>
        <v>0</v>
      </c>
      <c r="AL676" s="174">
        <f t="shared" si="205"/>
        <v>0</v>
      </c>
      <c r="AM676" s="346">
        <f>RTD("money.excel",,$G676,"PredictVolume")</f>
        <v>0</v>
      </c>
      <c r="AN676" s="272">
        <f>RTD("money.excel",,$G676,"CumulativeVolume")</f>
        <v>0</v>
      </c>
      <c r="AO676" s="284"/>
    </row>
    <row r="677" spans="1:41">
      <c r="A677" s="135" t="s">
        <v>2610</v>
      </c>
      <c r="B677" s="84">
        <v>17</v>
      </c>
      <c r="C677" s="85">
        <v>-1</v>
      </c>
      <c r="D677" s="84">
        <v>7</v>
      </c>
      <c r="E677" s="85">
        <v>-1</v>
      </c>
      <c r="F677" s="59">
        <v>24.54</v>
      </c>
      <c r="G677" s="85">
        <v>7556</v>
      </c>
      <c r="H677" s="53" t="s">
        <v>558</v>
      </c>
      <c r="I677" s="17" t="s">
        <v>3264</v>
      </c>
      <c r="J677" s="371">
        <v>57.11</v>
      </c>
      <c r="K677" s="371">
        <v>3.16</v>
      </c>
      <c r="L677" s="371"/>
      <c r="N677" s="365">
        <f t="shared" si="206"/>
        <v>60.269999999999996</v>
      </c>
      <c r="O677" s="343">
        <f t="shared" si="199"/>
        <v>57.11</v>
      </c>
      <c r="P677" s="195">
        <v>1</v>
      </c>
      <c r="Q677" s="326" t="str">
        <f>IFERROR(VLOOKUP($G677,主力整理!$A$2:$G$2301,6,0),"0")</f>
        <v>0</v>
      </c>
      <c r="R677" s="111">
        <v>0</v>
      </c>
      <c r="S677" s="51">
        <v>0</v>
      </c>
      <c r="T677" s="339">
        <f t="shared" si="200"/>
        <v>1</v>
      </c>
      <c r="W677" s="35">
        <v>2.4</v>
      </c>
      <c r="X677" s="59">
        <v>4.08</v>
      </c>
      <c r="Y677" s="37" t="str">
        <f>RTD("money.excel",,"7556","Price")</f>
        <v>無資料</v>
      </c>
      <c r="Z677" s="69"/>
      <c r="AA677" s="16" t="e">
        <f t="shared" si="201"/>
        <v>#VALUE!</v>
      </c>
      <c r="AB677" s="3" t="e">
        <f t="shared" si="202"/>
        <v>#VALUE!</v>
      </c>
      <c r="AC677" s="177" t="s">
        <v>2648</v>
      </c>
      <c r="AD677" s="17" t="s">
        <v>3264</v>
      </c>
      <c r="AG677" s="34">
        <f t="shared" si="203"/>
        <v>0</v>
      </c>
      <c r="AH677" s="63" t="s">
        <v>3758</v>
      </c>
      <c r="AI677" s="131"/>
      <c r="AK677" s="66">
        <f t="shared" si="204"/>
        <v>0</v>
      </c>
      <c r="AL677" s="174">
        <f t="shared" si="205"/>
        <v>0</v>
      </c>
      <c r="AM677" s="346">
        <f>RTD("money.excel",,$G677,"PredictVolume")</f>
        <v>0</v>
      </c>
      <c r="AN677" s="272">
        <f>RTD("money.excel",,$G677,"CumulativeVolume")</f>
        <v>0</v>
      </c>
      <c r="AO677" s="284"/>
    </row>
    <row r="678" spans="1:41">
      <c r="A678" s="135" t="s">
        <v>3033</v>
      </c>
      <c r="B678" s="84">
        <v>243</v>
      </c>
      <c r="C678" s="84">
        <v>273</v>
      </c>
      <c r="D678" s="85">
        <v>-5</v>
      </c>
      <c r="E678" s="84">
        <v>50</v>
      </c>
      <c r="F678" s="59">
        <v>35.99</v>
      </c>
      <c r="G678" s="85">
        <v>8016</v>
      </c>
      <c r="H678" s="54" t="s">
        <v>558</v>
      </c>
      <c r="I678" s="23" t="s">
        <v>206</v>
      </c>
      <c r="J678" s="371">
        <v>24.15</v>
      </c>
      <c r="K678" s="371">
        <v>38</v>
      </c>
      <c r="L678" s="77">
        <v>20.76</v>
      </c>
      <c r="M678" s="371">
        <v>6.65</v>
      </c>
      <c r="N678" s="365">
        <f t="shared" si="206"/>
        <v>89.56</v>
      </c>
      <c r="O678" s="343">
        <f t="shared" si="199"/>
        <v>30.799999999999997</v>
      </c>
      <c r="P678" s="195">
        <v>20</v>
      </c>
      <c r="Q678" s="326">
        <v>26</v>
      </c>
      <c r="R678" s="111">
        <v>23</v>
      </c>
      <c r="S678" s="51">
        <v>41</v>
      </c>
      <c r="T678" s="339">
        <f t="shared" si="200"/>
        <v>110</v>
      </c>
      <c r="U678" s="329" t="s">
        <v>6540</v>
      </c>
      <c r="V678" s="371">
        <v>9.4600000000000009</v>
      </c>
      <c r="W678" s="69">
        <v>7.5</v>
      </c>
      <c r="X678" s="100">
        <v>39.28</v>
      </c>
      <c r="Y678" s="37" t="str">
        <f>RTD("money.excel",,"8016","Price")</f>
        <v>無資料</v>
      </c>
      <c r="Z678" s="69"/>
      <c r="AA678" s="16" t="e">
        <f t="shared" si="201"/>
        <v>#VALUE!</v>
      </c>
      <c r="AB678" s="3" t="e">
        <f t="shared" si="202"/>
        <v>#VALUE!</v>
      </c>
      <c r="AC678" s="177" t="s">
        <v>2929</v>
      </c>
      <c r="AD678" s="23" t="s">
        <v>206</v>
      </c>
      <c r="AG678" s="34">
        <f t="shared" si="203"/>
        <v>0</v>
      </c>
      <c r="AH678" s="126" t="s">
        <v>4344</v>
      </c>
      <c r="AI678" s="131"/>
      <c r="AK678" s="66">
        <f t="shared" si="204"/>
        <v>0</v>
      </c>
      <c r="AL678" s="174">
        <f t="shared" si="205"/>
        <v>0</v>
      </c>
      <c r="AM678" s="346">
        <f>RTD("money.excel",,$G678,"PredictVolume")</f>
        <v>0</v>
      </c>
      <c r="AN678" s="272">
        <f>RTD("money.excel",,$G678,"CumulativeVolume")</f>
        <v>0</v>
      </c>
      <c r="AO678" s="284"/>
    </row>
    <row r="679" spans="1:41">
      <c r="A679" s="151" t="s">
        <v>4606</v>
      </c>
      <c r="B679" s="85">
        <v>-102</v>
      </c>
      <c r="C679" s="85">
        <v>-64</v>
      </c>
      <c r="D679" s="84">
        <v>55</v>
      </c>
      <c r="E679" s="84">
        <v>10</v>
      </c>
      <c r="F679" s="7">
        <v>-6.41</v>
      </c>
      <c r="G679" s="85">
        <v>8024</v>
      </c>
      <c r="H679" s="53" t="s">
        <v>558</v>
      </c>
      <c r="I679" s="17" t="s">
        <v>677</v>
      </c>
      <c r="J679" s="371">
        <v>21.3</v>
      </c>
      <c r="K679" s="77">
        <v>1.83</v>
      </c>
      <c r="L679" s="77">
        <v>42.38</v>
      </c>
      <c r="N679" s="365">
        <f t="shared" si="206"/>
        <v>65.510000000000005</v>
      </c>
      <c r="O679" s="343">
        <f t="shared" si="199"/>
        <v>21.3</v>
      </c>
      <c r="P679" s="195" t="s">
        <v>5554</v>
      </c>
      <c r="Q679" s="326">
        <f>IFERROR(VLOOKUP($G679,主力整理!$A$2:$G$2301,6,0),"0")</f>
        <v>4</v>
      </c>
      <c r="R679" s="111">
        <v>18</v>
      </c>
      <c r="T679" s="339">
        <f t="shared" si="200"/>
        <v>22</v>
      </c>
      <c r="V679" s="371">
        <v>8.8699999999999992</v>
      </c>
      <c r="W679" s="35">
        <v>0</v>
      </c>
      <c r="X679" s="100">
        <v>-0.85</v>
      </c>
      <c r="Y679" s="37" t="str">
        <f>RTD("money.excel",,"8024","Price")</f>
        <v>無資料</v>
      </c>
      <c r="Z679" s="69"/>
      <c r="AA679" s="16" t="e">
        <f t="shared" si="201"/>
        <v>#VALUE!</v>
      </c>
      <c r="AB679" s="3" t="e">
        <f t="shared" si="202"/>
        <v>#VALUE!</v>
      </c>
      <c r="AD679" s="17" t="s">
        <v>677</v>
      </c>
      <c r="AG679" s="34">
        <f t="shared" si="203"/>
        <v>0</v>
      </c>
      <c r="AH679" s="44" t="s">
        <v>3759</v>
      </c>
      <c r="AI679" s="131"/>
      <c r="AK679" s="66">
        <f t="shared" si="204"/>
        <v>0</v>
      </c>
      <c r="AL679" s="174">
        <f t="shared" si="205"/>
        <v>0</v>
      </c>
      <c r="AM679" s="346">
        <f>RTD("money.excel",,$G679,"PredictVolume")</f>
        <v>0</v>
      </c>
      <c r="AN679" s="272">
        <f>RTD("money.excel",,$G679,"CumulativeVolume")</f>
        <v>0</v>
      </c>
      <c r="AO679" s="284"/>
    </row>
    <row r="680" spans="1:41">
      <c r="A680" s="151" t="s">
        <v>2550</v>
      </c>
      <c r="B680" s="85">
        <v>-70</v>
      </c>
      <c r="C680" s="85">
        <v>-91</v>
      </c>
      <c r="D680" s="84">
        <v>8</v>
      </c>
      <c r="E680" s="85">
        <v>-6</v>
      </c>
      <c r="F680" s="7">
        <v>1.73</v>
      </c>
      <c r="G680" s="85">
        <v>8028</v>
      </c>
      <c r="H680" s="54" t="s">
        <v>558</v>
      </c>
      <c r="I680" s="23" t="s">
        <v>1711</v>
      </c>
      <c r="J680" s="371">
        <v>28.58</v>
      </c>
      <c r="K680" s="77">
        <v>13.61</v>
      </c>
      <c r="L680" s="77">
        <v>25.05</v>
      </c>
      <c r="N680" s="365">
        <f t="shared" si="206"/>
        <v>67.239999999999995</v>
      </c>
      <c r="O680" s="343">
        <f t="shared" si="199"/>
        <v>28.58</v>
      </c>
      <c r="P680" s="195" t="s">
        <v>5554</v>
      </c>
      <c r="Q680" s="326">
        <f>IFERROR(VLOOKUP($G680,主力整理!$A$2:$G$2301,6,0),"0")</f>
        <v>2</v>
      </c>
      <c r="R680" s="111">
        <v>4</v>
      </c>
      <c r="T680" s="339">
        <f t="shared" si="200"/>
        <v>6</v>
      </c>
      <c r="V680" s="371">
        <v>2.1800000000000002</v>
      </c>
      <c r="W680" s="35">
        <v>2</v>
      </c>
      <c r="X680" s="100">
        <v>1.02</v>
      </c>
      <c r="Y680" s="37" t="str">
        <f>RTD("money.excel",,"8028","Price")</f>
        <v>無資料</v>
      </c>
      <c r="Z680" s="69"/>
      <c r="AA680" s="16" t="e">
        <f t="shared" si="201"/>
        <v>#VALUE!</v>
      </c>
      <c r="AB680" s="3" t="e">
        <f t="shared" si="202"/>
        <v>#VALUE!</v>
      </c>
      <c r="AC680" s="177" t="s">
        <v>2648</v>
      </c>
      <c r="AD680" s="23" t="s">
        <v>1711</v>
      </c>
      <c r="AG680" s="34">
        <f t="shared" si="203"/>
        <v>0</v>
      </c>
      <c r="AH680" s="125" t="s">
        <v>3163</v>
      </c>
      <c r="AI680" s="131"/>
      <c r="AK680" s="66">
        <f t="shared" si="204"/>
        <v>0</v>
      </c>
      <c r="AL680" s="174">
        <f t="shared" si="205"/>
        <v>0</v>
      </c>
      <c r="AM680" s="346">
        <f>RTD("money.excel",,$G680,"PredictVolume")</f>
        <v>0</v>
      </c>
      <c r="AN680" s="272">
        <f>RTD("money.excel",,$G680,"CumulativeVolume")</f>
        <v>0</v>
      </c>
      <c r="AO680" s="284"/>
    </row>
    <row r="681" spans="1:41">
      <c r="A681" s="151" t="s">
        <v>2885</v>
      </c>
      <c r="B681" s="85">
        <v>-163</v>
      </c>
      <c r="C681" s="85">
        <v>-911</v>
      </c>
      <c r="D681" s="85">
        <v>-18</v>
      </c>
      <c r="E681" s="85">
        <v>-32</v>
      </c>
      <c r="F681" s="7">
        <v>-2.83</v>
      </c>
      <c r="G681" s="85">
        <v>8040</v>
      </c>
      <c r="H681" s="53" t="s">
        <v>558</v>
      </c>
      <c r="I681" s="17" t="s">
        <v>678</v>
      </c>
      <c r="J681" s="77">
        <v>28.78</v>
      </c>
      <c r="K681" s="371">
        <v>2.46</v>
      </c>
      <c r="L681" s="77">
        <v>32.729999999999997</v>
      </c>
      <c r="N681" s="365">
        <f t="shared" si="206"/>
        <v>63.97</v>
      </c>
      <c r="O681" s="343">
        <f t="shared" si="199"/>
        <v>28.78</v>
      </c>
      <c r="P681" s="195">
        <v>2</v>
      </c>
      <c r="Q681" s="326">
        <f>IFERROR(VLOOKUP($G681,主力整理!$A$2:$G$2301,6,0),"0")</f>
        <v>1</v>
      </c>
      <c r="R681" s="111">
        <v>24</v>
      </c>
      <c r="T681" s="339">
        <f t="shared" si="200"/>
        <v>27</v>
      </c>
      <c r="V681" s="371">
        <v>6.5</v>
      </c>
      <c r="W681" s="35">
        <v>0</v>
      </c>
      <c r="X681" s="100">
        <v>-1.71</v>
      </c>
      <c r="Y681" s="37" t="str">
        <f>RTD("money.excel",,"8040","Price")</f>
        <v>無資料</v>
      </c>
      <c r="Z681" s="69"/>
      <c r="AA681" s="16" t="e">
        <f t="shared" si="201"/>
        <v>#VALUE!</v>
      </c>
      <c r="AB681" s="3" t="e">
        <f t="shared" si="202"/>
        <v>#VALUE!</v>
      </c>
      <c r="AC681" s="177" t="s">
        <v>2648</v>
      </c>
      <c r="AD681" s="17" t="s">
        <v>678</v>
      </c>
      <c r="AG681" s="34">
        <f t="shared" si="203"/>
        <v>0</v>
      </c>
      <c r="AH681" s="44" t="s">
        <v>4019</v>
      </c>
      <c r="AI681" s="131"/>
      <c r="AK681" s="66">
        <f t="shared" si="204"/>
        <v>0</v>
      </c>
      <c r="AL681" s="174">
        <f t="shared" si="205"/>
        <v>0</v>
      </c>
      <c r="AM681" s="346">
        <f>RTD("money.excel",,$G681,"PredictVolume")</f>
        <v>0</v>
      </c>
      <c r="AN681" s="272">
        <f>RTD("money.excel",,$G681,"CumulativeVolume")</f>
        <v>0</v>
      </c>
      <c r="AO681" s="284"/>
    </row>
    <row r="682" spans="1:41">
      <c r="A682" s="151" t="s">
        <v>5310</v>
      </c>
      <c r="B682" s="84">
        <v>323</v>
      </c>
      <c r="C682" s="84">
        <v>370</v>
      </c>
      <c r="D682" s="84">
        <v>6</v>
      </c>
      <c r="E682" s="85">
        <v>-7</v>
      </c>
      <c r="F682" s="7">
        <v>14.33</v>
      </c>
      <c r="G682" s="85">
        <v>8054</v>
      </c>
      <c r="H682" s="53" t="s">
        <v>558</v>
      </c>
      <c r="I682" s="17" t="s">
        <v>679</v>
      </c>
      <c r="J682" s="371">
        <v>4.54</v>
      </c>
      <c r="K682" s="77">
        <v>7.28</v>
      </c>
      <c r="L682" s="371">
        <v>51.03</v>
      </c>
      <c r="N682" s="365">
        <f t="shared" si="206"/>
        <v>62.85</v>
      </c>
      <c r="O682" s="343">
        <f t="shared" si="199"/>
        <v>4.54</v>
      </c>
      <c r="P682" s="195">
        <v>1</v>
      </c>
      <c r="Q682" s="326">
        <f>IFERROR(VLOOKUP($G682,主力整理!$A$2:$G$2301,6,0),"0")</f>
        <v>3</v>
      </c>
      <c r="R682" s="111">
        <v>28</v>
      </c>
      <c r="S682" s="51">
        <v>0</v>
      </c>
      <c r="T682" s="339">
        <f t="shared" si="200"/>
        <v>32</v>
      </c>
      <c r="V682" s="371">
        <v>5.28</v>
      </c>
      <c r="W682" s="35">
        <v>0.5</v>
      </c>
      <c r="X682" s="100">
        <v>2.19</v>
      </c>
      <c r="Y682" s="37" t="str">
        <f>RTD("money.excel",,"8054","Price")</f>
        <v>無資料</v>
      </c>
      <c r="Z682" s="69"/>
      <c r="AA682" s="16" t="e">
        <f t="shared" si="201"/>
        <v>#VALUE!</v>
      </c>
      <c r="AB682" s="3" t="e">
        <f t="shared" si="202"/>
        <v>#VALUE!</v>
      </c>
      <c r="AC682" s="177" t="s">
        <v>2648</v>
      </c>
      <c r="AD682" s="17" t="s">
        <v>679</v>
      </c>
      <c r="AG682" s="34">
        <f t="shared" si="203"/>
        <v>0</v>
      </c>
      <c r="AH682" s="44" t="s">
        <v>3570</v>
      </c>
      <c r="AI682" s="131"/>
      <c r="AK682" s="66">
        <f t="shared" si="204"/>
        <v>0</v>
      </c>
      <c r="AL682" s="174">
        <f t="shared" si="205"/>
        <v>0</v>
      </c>
      <c r="AM682" s="346">
        <f>RTD("money.excel",,$G682,"PredictVolume")</f>
        <v>0</v>
      </c>
      <c r="AN682" s="272">
        <f>RTD("money.excel",,$G682,"CumulativeVolume")</f>
        <v>0</v>
      </c>
      <c r="AO682" s="284"/>
    </row>
    <row r="683" spans="1:41">
      <c r="A683" s="135" t="s">
        <v>2422</v>
      </c>
      <c r="B683" s="84">
        <v>46</v>
      </c>
      <c r="C683" s="84">
        <v>59</v>
      </c>
      <c r="D683" s="84">
        <v>2</v>
      </c>
      <c r="E683" s="84">
        <v>24</v>
      </c>
      <c r="F683" s="59">
        <v>18.34</v>
      </c>
      <c r="G683" s="85">
        <v>8081</v>
      </c>
      <c r="H683" s="4" t="s">
        <v>558</v>
      </c>
      <c r="I683" s="23" t="s">
        <v>643</v>
      </c>
      <c r="J683" s="371">
        <v>22.99</v>
      </c>
      <c r="K683" s="371">
        <v>23.67</v>
      </c>
      <c r="L683" s="371">
        <v>11.81</v>
      </c>
      <c r="N683" s="365">
        <f t="shared" si="206"/>
        <v>58.47</v>
      </c>
      <c r="O683" s="343">
        <f t="shared" si="199"/>
        <v>22.99</v>
      </c>
      <c r="P683" s="195">
        <v>7</v>
      </c>
      <c r="Q683" s="326">
        <f>IFERROR(VLOOKUP($G683,主力整理!$A$2:$G$2301,6,0),"0")</f>
        <v>1</v>
      </c>
      <c r="R683" s="111">
        <v>2</v>
      </c>
      <c r="T683" s="339">
        <f t="shared" si="200"/>
        <v>10</v>
      </c>
      <c r="V683" s="371">
        <v>0.05</v>
      </c>
      <c r="W683" s="69">
        <v>9.5</v>
      </c>
      <c r="X683" s="100">
        <v>12.24</v>
      </c>
      <c r="Y683" s="37" t="str">
        <f>RTD("money.excel",,"8081","Price")</f>
        <v>無資料</v>
      </c>
      <c r="Z683" s="69"/>
      <c r="AA683" s="16" t="e">
        <f t="shared" si="201"/>
        <v>#VALUE!</v>
      </c>
      <c r="AB683" s="3" t="e">
        <f t="shared" si="202"/>
        <v>#VALUE!</v>
      </c>
      <c r="AC683" s="177" t="s">
        <v>2929</v>
      </c>
      <c r="AD683" s="23" t="s">
        <v>643</v>
      </c>
      <c r="AG683" s="34">
        <f t="shared" si="203"/>
        <v>0</v>
      </c>
      <c r="AH683" s="63" t="s">
        <v>2159</v>
      </c>
      <c r="AI683" s="131"/>
      <c r="AK683" s="66">
        <f t="shared" si="204"/>
        <v>0</v>
      </c>
      <c r="AL683" s="174">
        <f t="shared" si="205"/>
        <v>0</v>
      </c>
      <c r="AM683" s="346">
        <f>RTD("money.excel",,$G683,"PredictVolume")</f>
        <v>0</v>
      </c>
      <c r="AN683" s="272">
        <f>RTD("money.excel",,$G683,"CumulativeVolume")</f>
        <v>0</v>
      </c>
      <c r="AO683" s="284"/>
    </row>
    <row r="684" spans="1:41">
      <c r="A684" s="135" t="s">
        <v>3073</v>
      </c>
      <c r="B684" s="84">
        <v>31</v>
      </c>
      <c r="C684" s="84">
        <v>23</v>
      </c>
      <c r="D684" s="85">
        <v>-5</v>
      </c>
      <c r="E684" s="84">
        <v>24</v>
      </c>
      <c r="F684" s="59">
        <v>20.88</v>
      </c>
      <c r="G684" s="85">
        <v>8086</v>
      </c>
      <c r="H684" s="53" t="s">
        <v>558</v>
      </c>
      <c r="I684" s="17" t="s">
        <v>483</v>
      </c>
      <c r="J684" s="371">
        <v>43.12</v>
      </c>
      <c r="K684" s="371">
        <v>18.32</v>
      </c>
      <c r="L684" s="371">
        <v>23.99</v>
      </c>
      <c r="M684" s="77">
        <v>27.28</v>
      </c>
      <c r="N684" s="365">
        <f t="shared" si="206"/>
        <v>112.71</v>
      </c>
      <c r="O684" s="343">
        <f t="shared" si="199"/>
        <v>70.400000000000006</v>
      </c>
      <c r="P684" s="195">
        <v>39</v>
      </c>
      <c r="Q684" s="326">
        <v>40</v>
      </c>
      <c r="R684" s="111">
        <v>31</v>
      </c>
      <c r="S684" s="51">
        <v>30</v>
      </c>
      <c r="T684" s="339">
        <f t="shared" si="200"/>
        <v>140</v>
      </c>
      <c r="U684" s="329" t="s">
        <v>6540</v>
      </c>
      <c r="V684" s="371">
        <v>4.05</v>
      </c>
      <c r="W684" s="35">
        <v>2.8</v>
      </c>
      <c r="X684" s="100">
        <v>4.0999999999999996</v>
      </c>
      <c r="Y684" s="37" t="str">
        <f>RTD("money.excel",,"8086","Price")</f>
        <v>無資料</v>
      </c>
      <c r="Z684" s="69"/>
      <c r="AA684" s="16" t="e">
        <f t="shared" si="201"/>
        <v>#VALUE!</v>
      </c>
      <c r="AB684" s="3" t="e">
        <f t="shared" si="202"/>
        <v>#VALUE!</v>
      </c>
      <c r="AC684" s="177" t="s">
        <v>2648</v>
      </c>
      <c r="AD684" s="17" t="s">
        <v>483</v>
      </c>
      <c r="AG684" s="34">
        <f t="shared" si="203"/>
        <v>0</v>
      </c>
      <c r="AH684" s="126" t="s">
        <v>3701</v>
      </c>
      <c r="AI684" s="131"/>
      <c r="AK684" s="66">
        <f t="shared" si="204"/>
        <v>0</v>
      </c>
      <c r="AL684" s="174">
        <f t="shared" si="205"/>
        <v>0</v>
      </c>
      <c r="AM684" s="346">
        <f>RTD("money.excel",,$G684,"PredictVolume")</f>
        <v>0</v>
      </c>
      <c r="AN684" s="272">
        <f>RTD("money.excel",,$G684,"CumulativeVolume")</f>
        <v>0</v>
      </c>
      <c r="AO684" s="284"/>
    </row>
    <row r="685" spans="1:41">
      <c r="A685" s="151" t="s">
        <v>2596</v>
      </c>
      <c r="B685" s="85">
        <v>-66</v>
      </c>
      <c r="C685" s="85">
        <v>-51</v>
      </c>
      <c r="D685" s="84">
        <v>19</v>
      </c>
      <c r="E685" s="84">
        <v>17</v>
      </c>
      <c r="F685" s="7">
        <v>4.0999999999999996</v>
      </c>
      <c r="G685" s="85">
        <v>8088</v>
      </c>
      <c r="H685" s="53" t="s">
        <v>558</v>
      </c>
      <c r="I685" s="17" t="s">
        <v>680</v>
      </c>
      <c r="J685" s="371">
        <v>18.809999999999999</v>
      </c>
      <c r="K685" s="77">
        <v>9.89</v>
      </c>
      <c r="L685" s="371">
        <v>16.309999999999999</v>
      </c>
      <c r="M685" s="371">
        <v>18.98</v>
      </c>
      <c r="N685" s="365">
        <f t="shared" si="206"/>
        <v>63.989999999999995</v>
      </c>
      <c r="O685" s="343">
        <f t="shared" si="199"/>
        <v>37.79</v>
      </c>
      <c r="P685" s="195">
        <v>2</v>
      </c>
      <c r="Q685" s="326">
        <v>6</v>
      </c>
      <c r="R685" s="111">
        <v>21</v>
      </c>
      <c r="S685" s="51">
        <v>12</v>
      </c>
      <c r="T685" s="339">
        <f t="shared" si="200"/>
        <v>41</v>
      </c>
      <c r="U685" s="329" t="s">
        <v>6539</v>
      </c>
      <c r="V685" s="371">
        <v>1.88</v>
      </c>
      <c r="W685" s="35">
        <v>1.2</v>
      </c>
      <c r="X685" s="100">
        <v>0.84</v>
      </c>
      <c r="Y685" s="37" t="str">
        <f>RTD("money.excel",,"8088","Price")</f>
        <v>無資料</v>
      </c>
      <c r="Z685" s="69"/>
      <c r="AA685" s="16" t="e">
        <f t="shared" si="201"/>
        <v>#VALUE!</v>
      </c>
      <c r="AB685" s="3" t="e">
        <f t="shared" si="202"/>
        <v>#VALUE!</v>
      </c>
      <c r="AC685" s="177" t="s">
        <v>2648</v>
      </c>
      <c r="AD685" s="17" t="s">
        <v>680</v>
      </c>
      <c r="AG685" s="34">
        <f t="shared" si="203"/>
        <v>0</v>
      </c>
      <c r="AH685" s="44" t="s">
        <v>3700</v>
      </c>
      <c r="AI685" s="131"/>
      <c r="AK685" s="66">
        <f t="shared" si="204"/>
        <v>0</v>
      </c>
      <c r="AL685" s="174">
        <f t="shared" si="205"/>
        <v>0</v>
      </c>
      <c r="AM685" s="346">
        <f>RTD("money.excel",,$G685,"PredictVolume")</f>
        <v>0</v>
      </c>
      <c r="AN685" s="272">
        <f>RTD("money.excel",,$G685,"CumulativeVolume")</f>
        <v>0</v>
      </c>
      <c r="AO685" s="284"/>
    </row>
    <row r="686" spans="1:41">
      <c r="A686" s="151" t="s">
        <v>4729</v>
      </c>
      <c r="B686" s="145">
        <v>2527</v>
      </c>
      <c r="C686" s="96">
        <v>92</v>
      </c>
      <c r="D686" s="96">
        <v>-6</v>
      </c>
      <c r="E686" s="96">
        <v>-10</v>
      </c>
      <c r="F686" s="7">
        <v>-0.69</v>
      </c>
      <c r="G686" s="85">
        <v>8110</v>
      </c>
      <c r="H686" s="4" t="s">
        <v>558</v>
      </c>
      <c r="I686" s="23" t="s">
        <v>181</v>
      </c>
      <c r="J686" s="77">
        <v>64.11</v>
      </c>
      <c r="K686" s="77">
        <v>7.57</v>
      </c>
      <c r="L686" s="77">
        <v>11.1</v>
      </c>
      <c r="N686" s="365">
        <f t="shared" si="206"/>
        <v>82.78</v>
      </c>
      <c r="O686" s="343">
        <f t="shared" si="199"/>
        <v>64.11</v>
      </c>
      <c r="P686" s="195" t="s">
        <v>5554</v>
      </c>
      <c r="Q686" s="326">
        <f>IFERROR(VLOOKUP($G686,主力整理!$A$2:$G$2301,6,0),"0")</f>
        <v>8</v>
      </c>
      <c r="R686" s="111">
        <v>2</v>
      </c>
      <c r="T686" s="339">
        <f t="shared" si="200"/>
        <v>10</v>
      </c>
      <c r="V686" s="371">
        <v>39.979999999999997</v>
      </c>
      <c r="W686" s="35">
        <v>0</v>
      </c>
      <c r="X686" s="100">
        <v>0.52</v>
      </c>
      <c r="Y686" s="14" t="str">
        <f>RTD("money.excel",,"8110","Price")</f>
        <v>無資料</v>
      </c>
      <c r="Z686" s="69"/>
      <c r="AA686" s="16" t="e">
        <f t="shared" si="201"/>
        <v>#VALUE!</v>
      </c>
      <c r="AB686" s="3" t="e">
        <f t="shared" si="202"/>
        <v>#VALUE!</v>
      </c>
      <c r="AD686" s="23" t="s">
        <v>181</v>
      </c>
      <c r="AG686" s="34">
        <f t="shared" si="203"/>
        <v>0</v>
      </c>
      <c r="AH686" s="125" t="s">
        <v>1705</v>
      </c>
      <c r="AI686" s="131"/>
      <c r="AK686" s="66">
        <f t="shared" si="204"/>
        <v>0</v>
      </c>
      <c r="AL686" s="174">
        <f t="shared" si="205"/>
        <v>0</v>
      </c>
      <c r="AM686" s="346">
        <f>RTD("money.excel",,$G686,"PredictVolume")</f>
        <v>0</v>
      </c>
      <c r="AN686" s="272">
        <f>RTD("money.excel",,$G686,"CumulativeVolume")</f>
        <v>0</v>
      </c>
      <c r="AO686" s="284"/>
    </row>
    <row r="687" spans="1:41">
      <c r="A687" s="135" t="s">
        <v>3335</v>
      </c>
      <c r="B687" s="84">
        <v>13</v>
      </c>
      <c r="C687" s="84">
        <v>22</v>
      </c>
      <c r="D687" s="85">
        <v>-1</v>
      </c>
      <c r="E687" s="85">
        <v>-5</v>
      </c>
      <c r="F687" s="59">
        <v>16.93</v>
      </c>
      <c r="G687" s="85">
        <v>8131</v>
      </c>
      <c r="H687" s="4" t="s">
        <v>558</v>
      </c>
      <c r="I687" s="23" t="s">
        <v>511</v>
      </c>
      <c r="J687" s="77">
        <v>75.239999999999995</v>
      </c>
      <c r="K687" s="371">
        <v>5.18</v>
      </c>
      <c r="L687" s="371">
        <v>0.66</v>
      </c>
      <c r="N687" s="365">
        <f t="shared" si="206"/>
        <v>81.079999999999984</v>
      </c>
      <c r="O687" s="343">
        <f t="shared" si="199"/>
        <v>75.239999999999995</v>
      </c>
      <c r="P687" s="195" t="s">
        <v>5554</v>
      </c>
      <c r="Q687" s="326" t="str">
        <f>IFERROR(VLOOKUP($G687,主力整理!$A$2:$G$2301,6,0),"0")</f>
        <v>0</v>
      </c>
      <c r="R687" s="111">
        <v>5</v>
      </c>
      <c r="T687" s="339">
        <f t="shared" si="200"/>
        <v>5</v>
      </c>
      <c r="V687" s="371">
        <v>0</v>
      </c>
      <c r="W687" s="35">
        <v>2.2999999999999998</v>
      </c>
      <c r="X687" s="100">
        <v>3.17</v>
      </c>
      <c r="Y687" s="37" t="str">
        <f>RTD("money.excel",,"8131","Price")</f>
        <v>無資料</v>
      </c>
      <c r="Z687" s="69"/>
      <c r="AA687" s="16" t="e">
        <f t="shared" si="201"/>
        <v>#VALUE!</v>
      </c>
      <c r="AB687" s="3" t="e">
        <f t="shared" si="202"/>
        <v>#VALUE!</v>
      </c>
      <c r="AD687" s="23" t="s">
        <v>511</v>
      </c>
      <c r="AG687" s="34">
        <f t="shared" si="203"/>
        <v>0</v>
      </c>
      <c r="AH687" s="126" t="s">
        <v>2634</v>
      </c>
      <c r="AI687" s="284"/>
      <c r="AK687" s="66">
        <f t="shared" si="204"/>
        <v>0</v>
      </c>
      <c r="AL687" s="174">
        <f t="shared" si="205"/>
        <v>0</v>
      </c>
      <c r="AM687" s="346">
        <f>RTD("money.excel",,$G687,"PredictVolume")</f>
        <v>0</v>
      </c>
      <c r="AN687" s="272">
        <f>RTD("money.excel",,$G687,"CumulativeVolume")</f>
        <v>0</v>
      </c>
      <c r="AO687" s="284"/>
    </row>
    <row r="688" spans="1:41">
      <c r="A688" s="135" t="s">
        <v>3082</v>
      </c>
      <c r="B688" s="85">
        <v>-18</v>
      </c>
      <c r="C688" s="84">
        <v>54</v>
      </c>
      <c r="D688" s="85">
        <v>-1</v>
      </c>
      <c r="E688" s="84">
        <v>10</v>
      </c>
      <c r="F688" s="59">
        <v>14.41</v>
      </c>
      <c r="G688" s="85">
        <v>8150</v>
      </c>
      <c r="H688" s="4" t="s">
        <v>558</v>
      </c>
      <c r="I688" s="23" t="s">
        <v>506</v>
      </c>
      <c r="J688" s="77">
        <v>64.739999999999995</v>
      </c>
      <c r="K688" s="371">
        <v>41.37</v>
      </c>
      <c r="L688" s="371">
        <v>8.44</v>
      </c>
      <c r="N688" s="365">
        <f t="shared" si="206"/>
        <v>114.54999999999998</v>
      </c>
      <c r="O688" s="343">
        <f t="shared" si="199"/>
        <v>64.739999999999995</v>
      </c>
      <c r="P688" s="195">
        <v>17</v>
      </c>
      <c r="Q688" s="326">
        <f>IFERROR(VLOOKUP($G688,主力整理!$A$2:$G$2301,6,0),"0")</f>
        <v>4</v>
      </c>
      <c r="R688" s="111">
        <v>2</v>
      </c>
      <c r="T688" s="339">
        <f t="shared" si="200"/>
        <v>23</v>
      </c>
      <c r="V688" s="371">
        <v>0.24</v>
      </c>
      <c r="W688" s="35">
        <v>2.2000000000000002</v>
      </c>
      <c r="X688" s="100">
        <v>3.26</v>
      </c>
      <c r="Y688" s="14" t="str">
        <f>RTD("money.excel",,"8150","Price")</f>
        <v>無資料</v>
      </c>
      <c r="Z688" s="69"/>
      <c r="AA688" s="16" t="e">
        <f t="shared" si="201"/>
        <v>#VALUE!</v>
      </c>
      <c r="AB688" s="3" t="e">
        <f t="shared" si="202"/>
        <v>#VALUE!</v>
      </c>
      <c r="AC688" s="177" t="s">
        <v>2648</v>
      </c>
      <c r="AD688" s="23" t="s">
        <v>506</v>
      </c>
      <c r="AG688" s="34">
        <f t="shared" si="203"/>
        <v>0</v>
      </c>
      <c r="AH688" s="126" t="s">
        <v>3670</v>
      </c>
      <c r="AI688" s="131"/>
      <c r="AK688" s="66">
        <f t="shared" si="204"/>
        <v>0</v>
      </c>
      <c r="AL688" s="174">
        <f t="shared" si="205"/>
        <v>0</v>
      </c>
      <c r="AM688" s="346">
        <f>RTD("money.excel",,$G688,"PredictVolume")</f>
        <v>0</v>
      </c>
      <c r="AN688" s="272">
        <f>RTD("money.excel",,$G688,"CumulativeVolume")</f>
        <v>0</v>
      </c>
      <c r="AO688" s="284"/>
    </row>
    <row r="689" spans="1:41">
      <c r="A689" s="135" t="s">
        <v>2571</v>
      </c>
      <c r="B689" s="84">
        <v>262</v>
      </c>
      <c r="C689" s="84">
        <v>306</v>
      </c>
      <c r="D689" s="85">
        <v>-1</v>
      </c>
      <c r="E689" s="84">
        <v>28</v>
      </c>
      <c r="F689" s="59">
        <v>16.649999999999999</v>
      </c>
      <c r="G689" s="85">
        <v>8261</v>
      </c>
      <c r="H689" s="4" t="s">
        <v>558</v>
      </c>
      <c r="I689" s="23" t="s">
        <v>584</v>
      </c>
      <c r="J689" s="77">
        <v>15.36</v>
      </c>
      <c r="K689" s="371">
        <v>12.99</v>
      </c>
      <c r="L689" s="371">
        <v>42.54</v>
      </c>
      <c r="N689" s="365">
        <f t="shared" si="206"/>
        <v>70.89</v>
      </c>
      <c r="O689" s="343">
        <f t="shared" si="199"/>
        <v>15.36</v>
      </c>
      <c r="P689" s="195">
        <v>2</v>
      </c>
      <c r="Q689" s="326">
        <v>1</v>
      </c>
      <c r="R689" s="111">
        <v>18</v>
      </c>
      <c r="S689" s="51">
        <v>0</v>
      </c>
      <c r="T689" s="339">
        <f t="shared" ref="T689:T720" si="207">SUM(P689:S689)</f>
        <v>21</v>
      </c>
      <c r="V689" s="371">
        <v>6.55</v>
      </c>
      <c r="W689" s="35">
        <v>1</v>
      </c>
      <c r="X689" s="100">
        <v>4.6900000000000004</v>
      </c>
      <c r="Y689" s="37" t="str">
        <f>RTD("money.excel",,"8261","Price")</f>
        <v>無資料</v>
      </c>
      <c r="Z689" s="69"/>
      <c r="AA689" s="16" t="e">
        <f t="shared" ref="AA689:AA720" si="208">Y689-Z689</f>
        <v>#VALUE!</v>
      </c>
      <c r="AB689" s="3" t="e">
        <f t="shared" ref="AB689:AB720" si="209">AA689/Z689</f>
        <v>#VALUE!</v>
      </c>
      <c r="AC689" s="177" t="s">
        <v>2648</v>
      </c>
      <c r="AD689" s="23" t="s">
        <v>584</v>
      </c>
      <c r="AG689" s="34">
        <f t="shared" ref="AG689:AG720" si="210">AF689-AE689</f>
        <v>0</v>
      </c>
      <c r="AH689" s="63" t="s">
        <v>3478</v>
      </c>
      <c r="AI689" s="131"/>
      <c r="AK689" s="66">
        <f t="shared" si="204"/>
        <v>0</v>
      </c>
      <c r="AL689" s="174">
        <f t="shared" si="205"/>
        <v>0</v>
      </c>
      <c r="AM689" s="346">
        <f>RTD("money.excel",,$G689,"PredictVolume")</f>
        <v>0</v>
      </c>
      <c r="AN689" s="272">
        <f>RTD("money.excel",,$G689,"CumulativeVolume")</f>
        <v>0</v>
      </c>
      <c r="AO689" s="284"/>
    </row>
    <row r="690" spans="1:41">
      <c r="A690" s="151" t="s">
        <v>2760</v>
      </c>
      <c r="B690" s="85">
        <v>-14</v>
      </c>
      <c r="C690" s="85">
        <v>-23</v>
      </c>
      <c r="D690" s="84">
        <v>14</v>
      </c>
      <c r="E690" s="85">
        <v>-1</v>
      </c>
      <c r="F690" s="7">
        <v>5.33</v>
      </c>
      <c r="G690" s="85">
        <v>8271</v>
      </c>
      <c r="H690" s="4" t="s">
        <v>558</v>
      </c>
      <c r="I690" s="23" t="s">
        <v>644</v>
      </c>
      <c r="J690" s="77">
        <v>20.41</v>
      </c>
      <c r="K690" s="77">
        <v>8.67</v>
      </c>
      <c r="L690" s="77">
        <v>11.77</v>
      </c>
      <c r="N690" s="365">
        <f t="shared" si="206"/>
        <v>40.849999999999994</v>
      </c>
      <c r="O690" s="343">
        <f t="shared" si="199"/>
        <v>20.41</v>
      </c>
      <c r="P690" s="195">
        <v>3</v>
      </c>
      <c r="Q690" s="326" t="str">
        <f>IFERROR(VLOOKUP($G690,主力整理!$A$2:$G$2301,6,0),"0")</f>
        <v>0</v>
      </c>
      <c r="R690" s="111">
        <v>4</v>
      </c>
      <c r="T690" s="339">
        <f t="shared" si="207"/>
        <v>7</v>
      </c>
      <c r="V690" s="371">
        <v>0.08</v>
      </c>
      <c r="W690" s="35">
        <v>1</v>
      </c>
      <c r="X690" s="100">
        <v>2.57</v>
      </c>
      <c r="Y690" s="37" t="str">
        <f>RTD("money.excel",,"8271","Price")</f>
        <v>無資料</v>
      </c>
      <c r="Z690" s="69"/>
      <c r="AA690" s="16" t="e">
        <f t="shared" si="208"/>
        <v>#VALUE!</v>
      </c>
      <c r="AB690" s="3" t="e">
        <f t="shared" si="209"/>
        <v>#VALUE!</v>
      </c>
      <c r="AC690" s="177" t="s">
        <v>2648</v>
      </c>
      <c r="AD690" s="23" t="s">
        <v>644</v>
      </c>
      <c r="AG690" s="34">
        <f t="shared" si="210"/>
        <v>0</v>
      </c>
      <c r="AH690" s="44" t="s">
        <v>2131</v>
      </c>
      <c r="AI690" s="131"/>
      <c r="AK690" s="66">
        <f t="shared" si="204"/>
        <v>0</v>
      </c>
      <c r="AL690" s="174">
        <f t="shared" si="205"/>
        <v>0</v>
      </c>
      <c r="AM690" s="346">
        <f>RTD("money.excel",,$G690,"PredictVolume")</f>
        <v>0</v>
      </c>
      <c r="AN690" s="272">
        <f>RTD("money.excel",,$G690,"CumulativeVolume")</f>
        <v>0</v>
      </c>
      <c r="AO690" s="284"/>
    </row>
    <row r="691" spans="1:41">
      <c r="A691" s="151" t="s">
        <v>4607</v>
      </c>
      <c r="B691" s="96">
        <v>38</v>
      </c>
      <c r="C691" s="96">
        <v>41</v>
      </c>
      <c r="D691" s="96">
        <v>-57</v>
      </c>
      <c r="E691" s="96">
        <v>37</v>
      </c>
      <c r="F691" s="7">
        <v>-13.92</v>
      </c>
      <c r="G691" s="85">
        <v>8277</v>
      </c>
      <c r="H691" s="53" t="s">
        <v>558</v>
      </c>
      <c r="I691" s="17" t="s">
        <v>681</v>
      </c>
      <c r="J691" s="77">
        <v>38.42</v>
      </c>
      <c r="K691" s="77">
        <v>4.4800000000000004</v>
      </c>
      <c r="L691" s="77">
        <v>18.18</v>
      </c>
      <c r="N691" s="365">
        <f t="shared" si="206"/>
        <v>61.080000000000005</v>
      </c>
      <c r="O691" s="343">
        <f t="shared" si="199"/>
        <v>38.42</v>
      </c>
      <c r="P691" s="195" t="s">
        <v>5554</v>
      </c>
      <c r="Q691" s="326" t="str">
        <f>IFERROR(VLOOKUP($G691,主力整理!$A$2:$G$2301,6,0),"0")</f>
        <v>0</v>
      </c>
      <c r="R691" s="111">
        <v>23</v>
      </c>
      <c r="T691" s="339">
        <f t="shared" si="207"/>
        <v>23</v>
      </c>
      <c r="V691" s="371">
        <v>22.68</v>
      </c>
      <c r="W691" s="35">
        <v>0</v>
      </c>
      <c r="X691" s="100">
        <v>-0.69</v>
      </c>
      <c r="Y691" s="37" t="str">
        <f>RTD("money.excel",,"8277","Price")</f>
        <v>無資料</v>
      </c>
      <c r="Z691" s="69"/>
      <c r="AA691" s="16" t="e">
        <f t="shared" si="208"/>
        <v>#VALUE!</v>
      </c>
      <c r="AB691" s="3" t="e">
        <f t="shared" si="209"/>
        <v>#VALUE!</v>
      </c>
      <c r="AD691" s="17" t="s">
        <v>681</v>
      </c>
      <c r="AG691" s="34">
        <f t="shared" si="210"/>
        <v>0</v>
      </c>
      <c r="AH691" s="44" t="s">
        <v>2131</v>
      </c>
      <c r="AI691" s="128"/>
      <c r="AK691" s="66">
        <f t="shared" si="204"/>
        <v>0</v>
      </c>
      <c r="AL691" s="174">
        <f t="shared" si="205"/>
        <v>0</v>
      </c>
      <c r="AM691" s="346">
        <f>RTD("money.excel",,$G691,"PredictVolume")</f>
        <v>0</v>
      </c>
      <c r="AN691" s="272">
        <f>RTD("money.excel",,$G691,"CumulativeVolume")</f>
        <v>0</v>
      </c>
      <c r="AO691" s="284"/>
    </row>
    <row r="692" spans="1:41">
      <c r="A692" s="135" t="s">
        <v>2537</v>
      </c>
      <c r="B692" s="84">
        <v>28</v>
      </c>
      <c r="C692" s="84">
        <v>80</v>
      </c>
      <c r="D692" s="85">
        <v>-3</v>
      </c>
      <c r="E692" s="84">
        <v>37</v>
      </c>
      <c r="F692" s="59">
        <v>15.8</v>
      </c>
      <c r="G692" s="85">
        <v>8299</v>
      </c>
      <c r="H692" s="53" t="s">
        <v>558</v>
      </c>
      <c r="I692" s="17" t="s">
        <v>405</v>
      </c>
      <c r="J692" s="77">
        <v>36.68</v>
      </c>
      <c r="K692" s="77">
        <v>43.16</v>
      </c>
      <c r="L692" s="77">
        <v>24.38</v>
      </c>
      <c r="M692" s="77">
        <v>18.95</v>
      </c>
      <c r="N692" s="365">
        <f t="shared" si="206"/>
        <v>123.17</v>
      </c>
      <c r="O692" s="343">
        <f t="shared" si="199"/>
        <v>55.629999999999995</v>
      </c>
      <c r="P692" s="195">
        <v>66</v>
      </c>
      <c r="Q692" s="326">
        <v>31</v>
      </c>
      <c r="R692" s="111">
        <v>25</v>
      </c>
      <c r="S692" s="51">
        <v>21</v>
      </c>
      <c r="T692" s="339">
        <f t="shared" si="207"/>
        <v>143</v>
      </c>
      <c r="U692" s="329" t="s">
        <v>6540</v>
      </c>
      <c r="V692" s="371">
        <v>2.58</v>
      </c>
      <c r="W692" s="69">
        <v>10</v>
      </c>
      <c r="X692" s="100">
        <v>51.35</v>
      </c>
      <c r="Y692" s="14" t="str">
        <f>RTD("money.excel",,"8299","Price")</f>
        <v>無資料</v>
      </c>
      <c r="Z692" s="69"/>
      <c r="AA692" s="16" t="e">
        <f t="shared" si="208"/>
        <v>#VALUE!</v>
      </c>
      <c r="AB692" s="3" t="e">
        <f t="shared" si="209"/>
        <v>#VALUE!</v>
      </c>
      <c r="AC692" s="177" t="s">
        <v>2929</v>
      </c>
      <c r="AD692" s="17" t="s">
        <v>405</v>
      </c>
      <c r="AG692" s="34">
        <f t="shared" si="210"/>
        <v>0</v>
      </c>
      <c r="AH692" s="126" t="s">
        <v>3400</v>
      </c>
      <c r="AI692" s="131"/>
      <c r="AK692" s="66">
        <f t="shared" si="204"/>
        <v>0</v>
      </c>
      <c r="AL692" s="174">
        <f t="shared" si="205"/>
        <v>0</v>
      </c>
      <c r="AM692" s="346">
        <f>RTD("money.excel",,$G692,"PredictVolume")</f>
        <v>0</v>
      </c>
      <c r="AN692" s="272">
        <f>RTD("money.excel",,$G692,"CumulativeVolume")</f>
        <v>0</v>
      </c>
      <c r="AO692" s="284"/>
    </row>
    <row r="693" spans="1:41">
      <c r="B693" s="84"/>
      <c r="C693" s="84"/>
      <c r="D693" s="85"/>
      <c r="E693" s="84"/>
      <c r="F693" s="59"/>
      <c r="G693" s="85"/>
      <c r="H693" s="53"/>
      <c r="I693" s="17"/>
      <c r="J693" s="77"/>
      <c r="K693" s="77"/>
      <c r="M693" s="77"/>
      <c r="N693" s="365"/>
      <c r="O693" s="343"/>
      <c r="P693" s="195"/>
      <c r="W693" s="69"/>
      <c r="X693" s="100"/>
      <c r="Y693" s="14"/>
      <c r="Z693" s="69"/>
      <c r="AA693" s="16"/>
      <c r="AB693" s="3"/>
      <c r="AD693" s="17"/>
      <c r="AG693" s="34"/>
      <c r="AH693" s="126"/>
      <c r="AI693" s="131"/>
      <c r="AO693" s="284"/>
    </row>
    <row r="694" spans="1:41">
      <c r="A694" s="135" t="s">
        <v>2552</v>
      </c>
      <c r="B694" s="96" t="s">
        <v>2331</v>
      </c>
      <c r="C694" s="96" t="s">
        <v>2332</v>
      </c>
      <c r="D694" s="96" t="s">
        <v>2333</v>
      </c>
      <c r="E694" s="96" t="s">
        <v>2334</v>
      </c>
      <c r="F694" s="9" t="s">
        <v>1709</v>
      </c>
      <c r="G694" s="52" t="s">
        <v>869</v>
      </c>
      <c r="H694" s="56" t="s">
        <v>578</v>
      </c>
      <c r="I694" s="9" t="s">
        <v>561</v>
      </c>
      <c r="J694" s="364" t="s">
        <v>2189</v>
      </c>
      <c r="K694" s="364" t="s">
        <v>1820</v>
      </c>
      <c r="L694" s="364" t="s">
        <v>515</v>
      </c>
      <c r="M694" s="364" t="s">
        <v>1699</v>
      </c>
      <c r="N694" s="364" t="s">
        <v>6604</v>
      </c>
      <c r="O694" s="343" t="s">
        <v>6620</v>
      </c>
      <c r="P694" s="83" t="s">
        <v>5279</v>
      </c>
      <c r="Q694" s="326" t="s">
        <v>5514</v>
      </c>
      <c r="R694" s="31" t="s">
        <v>6596</v>
      </c>
      <c r="S694" s="51" t="s">
        <v>6597</v>
      </c>
      <c r="T694" s="338" t="s">
        <v>5627</v>
      </c>
      <c r="U694" s="330" t="s">
        <v>6537</v>
      </c>
      <c r="V694" s="377" t="s">
        <v>6616</v>
      </c>
      <c r="W694" s="11" t="s">
        <v>127</v>
      </c>
      <c r="X694" s="71" t="s">
        <v>5216</v>
      </c>
      <c r="Y694" s="29" t="s">
        <v>3</v>
      </c>
      <c r="Z694" s="18" t="s">
        <v>2113</v>
      </c>
      <c r="AA694" s="15" t="s">
        <v>8</v>
      </c>
      <c r="AB694" s="22" t="s">
        <v>4</v>
      </c>
      <c r="AC694" s="358" t="s">
        <v>211</v>
      </c>
      <c r="AD694" s="9" t="s">
        <v>561</v>
      </c>
      <c r="AE694" s="75" t="s">
        <v>2114</v>
      </c>
      <c r="AF694" s="76" t="s">
        <v>1826</v>
      </c>
      <c r="AG694" s="33" t="s">
        <v>1827</v>
      </c>
      <c r="AH694" s="44"/>
      <c r="AI694" s="131"/>
      <c r="AK694" s="9" t="s">
        <v>6666</v>
      </c>
      <c r="AL694" s="5" t="s">
        <v>6667</v>
      </c>
      <c r="AM694" s="51" t="s">
        <v>5339</v>
      </c>
      <c r="AN694" s="276" t="s">
        <v>6665</v>
      </c>
      <c r="AO694" s="284"/>
    </row>
    <row r="695" spans="1:41">
      <c r="A695" s="135" t="s">
        <v>3033</v>
      </c>
      <c r="B695" s="84">
        <v>252</v>
      </c>
      <c r="C695" s="84">
        <v>128</v>
      </c>
      <c r="D695" s="84">
        <v>51</v>
      </c>
      <c r="E695" s="85">
        <v>-22</v>
      </c>
      <c r="F695" s="59">
        <v>11.98</v>
      </c>
      <c r="G695" s="85">
        <v>1569</v>
      </c>
      <c r="H695" s="53" t="s">
        <v>561</v>
      </c>
      <c r="I695" s="17" t="s">
        <v>3516</v>
      </c>
      <c r="J695" s="77">
        <v>41.19</v>
      </c>
      <c r="K695" s="77">
        <v>1.59</v>
      </c>
      <c r="L695" s="77">
        <v>17.11</v>
      </c>
      <c r="N695" s="365">
        <f t="shared" ref="N695:N726" si="211">J695+K695+L695+M695</f>
        <v>59.89</v>
      </c>
      <c r="O695" s="343">
        <f t="shared" ref="O695:O726" si="212">J695+M695</f>
        <v>41.19</v>
      </c>
      <c r="P695" s="195" t="s">
        <v>5554</v>
      </c>
      <c r="Q695" s="326" t="str">
        <f>IFERROR(VLOOKUP($G695,主力整理!$A$2:$G$2301,6,0),"0")</f>
        <v>0</v>
      </c>
      <c r="T695" s="339">
        <f t="shared" ref="T695:T726" si="213">SUM(P695:S695)</f>
        <v>0</v>
      </c>
      <c r="V695" s="371">
        <v>0</v>
      </c>
      <c r="W695" s="35">
        <v>1.5</v>
      </c>
      <c r="X695" s="100">
        <v>3.45</v>
      </c>
      <c r="Y695" s="37" t="str">
        <f>RTD("money.excel",,"1569","Price")</f>
        <v>無資料</v>
      </c>
      <c r="Z695" s="69"/>
      <c r="AA695" s="16" t="e">
        <f t="shared" ref="AA695:AA726" si="214">Y695-Z695</f>
        <v>#VALUE!</v>
      </c>
      <c r="AB695" s="3" t="e">
        <f t="shared" ref="AB695:AB726" si="215">AA695/Z695</f>
        <v>#VALUE!</v>
      </c>
      <c r="AD695" s="17" t="s">
        <v>3516</v>
      </c>
      <c r="AG695" s="34">
        <f t="shared" ref="AG695:AG726" si="216">AF695-AE695</f>
        <v>0</v>
      </c>
      <c r="AH695" s="63" t="s">
        <v>3855</v>
      </c>
      <c r="AI695" s="131"/>
      <c r="AK695" s="66">
        <f t="shared" ref="AK695" si="217">AM695/(A695*10000)</f>
        <v>0</v>
      </c>
      <c r="AL695" s="174">
        <f t="shared" ref="AL695" si="218">AN695/(A695*10000)</f>
        <v>0</v>
      </c>
      <c r="AM695" s="346">
        <f>RTD("money.excel",,$G695,"PredictVolume")</f>
        <v>0</v>
      </c>
      <c r="AN695" s="272">
        <f>RTD("money.excel",,$G695,"CumulativeVolume")</f>
        <v>0</v>
      </c>
      <c r="AO695" s="284"/>
    </row>
    <row r="696" spans="1:41">
      <c r="A696" s="151" t="s">
        <v>2957</v>
      </c>
      <c r="B696" s="84">
        <v>11</v>
      </c>
      <c r="C696" s="84">
        <v>23</v>
      </c>
      <c r="D696" s="85">
        <v>-1</v>
      </c>
      <c r="E696" s="85">
        <v>-7</v>
      </c>
      <c r="F696" s="7">
        <v>7.25</v>
      </c>
      <c r="G696" s="85">
        <v>2301</v>
      </c>
      <c r="H696" s="53" t="s">
        <v>561</v>
      </c>
      <c r="I696" s="23" t="s">
        <v>29</v>
      </c>
      <c r="J696" s="77">
        <v>77.16</v>
      </c>
      <c r="K696" s="371">
        <v>56.3</v>
      </c>
      <c r="L696" s="371">
        <v>0.74</v>
      </c>
      <c r="N696" s="365">
        <f t="shared" si="211"/>
        <v>134.19999999999999</v>
      </c>
      <c r="O696" s="343">
        <f t="shared" si="212"/>
        <v>77.16</v>
      </c>
      <c r="P696" s="195">
        <v>4</v>
      </c>
      <c r="Q696" s="326">
        <f>IFERROR(VLOOKUP($G696,主力整理!$A$2:$G$2301,6,0),"0")</f>
        <v>14</v>
      </c>
      <c r="T696" s="339">
        <f t="shared" si="213"/>
        <v>18</v>
      </c>
      <c r="V696" s="371">
        <v>0.02</v>
      </c>
      <c r="W696" s="69">
        <v>3.4</v>
      </c>
      <c r="X696" s="100">
        <v>4.3099999999999996</v>
      </c>
      <c r="Y696" s="14" t="str">
        <f>RTD("money.excel",,"2301","Price")</f>
        <v>無資料</v>
      </c>
      <c r="Z696" s="69"/>
      <c r="AA696" s="16" t="e">
        <f t="shared" si="214"/>
        <v>#VALUE!</v>
      </c>
      <c r="AB696" s="3" t="e">
        <f t="shared" si="215"/>
        <v>#VALUE!</v>
      </c>
      <c r="AC696" s="177" t="s">
        <v>2929</v>
      </c>
      <c r="AD696" s="23" t="s">
        <v>29</v>
      </c>
      <c r="AG696" s="34">
        <f t="shared" si="216"/>
        <v>0</v>
      </c>
      <c r="AH696" s="125" t="s">
        <v>4254</v>
      </c>
      <c r="AI696" s="131"/>
      <c r="AK696" s="66">
        <f t="shared" ref="AK696:AK708" si="219">AM696/(A696*10000)</f>
        <v>0</v>
      </c>
      <c r="AL696" s="174">
        <f t="shared" ref="AL696:AL708" si="220">AN696/(A696*10000)</f>
        <v>0</v>
      </c>
      <c r="AM696" s="346">
        <f>RTD("money.excel",,$G696,"PredictVolume")</f>
        <v>0</v>
      </c>
      <c r="AN696" s="272">
        <f>RTD("money.excel",,$G696,"CumulativeVolume")</f>
        <v>0</v>
      </c>
      <c r="AO696" s="284"/>
    </row>
    <row r="697" spans="1:41">
      <c r="A697" s="151" t="s">
        <v>4797</v>
      </c>
      <c r="B697" s="96">
        <v>768</v>
      </c>
      <c r="C697" s="96">
        <v>45</v>
      </c>
      <c r="D697" s="96">
        <v>-16</v>
      </c>
      <c r="E697" s="96">
        <v>88</v>
      </c>
      <c r="F697" s="7">
        <v>-14.79</v>
      </c>
      <c r="G697" s="85">
        <v>2305</v>
      </c>
      <c r="H697" s="53" t="s">
        <v>561</v>
      </c>
      <c r="I697" s="23" t="s">
        <v>870</v>
      </c>
      <c r="J697" s="77">
        <v>58.65</v>
      </c>
      <c r="K697" s="77">
        <v>5</v>
      </c>
      <c r="L697" s="371">
        <v>10.7</v>
      </c>
      <c r="N697" s="365">
        <f t="shared" si="211"/>
        <v>74.349999999999994</v>
      </c>
      <c r="O697" s="343">
        <f t="shared" si="212"/>
        <v>58.65</v>
      </c>
      <c r="P697" s="195" t="s">
        <v>5554</v>
      </c>
      <c r="Q697" s="326">
        <f>IFERROR(VLOOKUP($G697,主力整理!$A$2:$G$2301,6,0),"0")</f>
        <v>1</v>
      </c>
      <c r="T697" s="339">
        <f t="shared" si="213"/>
        <v>1</v>
      </c>
      <c r="V697" s="371">
        <v>31.42</v>
      </c>
      <c r="W697" s="35">
        <v>0</v>
      </c>
      <c r="X697" s="100">
        <v>0.08</v>
      </c>
      <c r="Y697" s="14" t="str">
        <f>RTD("money.excel",,"2305","Price")</f>
        <v>無資料</v>
      </c>
      <c r="Z697" s="69"/>
      <c r="AA697" s="16" t="e">
        <f t="shared" si="214"/>
        <v>#VALUE!</v>
      </c>
      <c r="AB697" s="3" t="e">
        <f t="shared" si="215"/>
        <v>#VALUE!</v>
      </c>
      <c r="AD697" s="23" t="s">
        <v>870</v>
      </c>
      <c r="AG697" s="34">
        <f t="shared" si="216"/>
        <v>0</v>
      </c>
      <c r="AH697" s="44" t="s">
        <v>4255</v>
      </c>
      <c r="AI697" s="131"/>
      <c r="AK697" s="66">
        <f t="shared" si="219"/>
        <v>0</v>
      </c>
      <c r="AL697" s="174">
        <f t="shared" si="220"/>
        <v>0</v>
      </c>
      <c r="AM697" s="346">
        <f>RTD("money.excel",,$G697,"PredictVolume")</f>
        <v>0</v>
      </c>
      <c r="AN697" s="272">
        <f>RTD("money.excel",,$G697,"CumulativeVolume")</f>
        <v>0</v>
      </c>
      <c r="AO697" s="284"/>
    </row>
    <row r="698" spans="1:41">
      <c r="A698" s="151" t="s">
        <v>2459</v>
      </c>
      <c r="B698" s="84">
        <v>85</v>
      </c>
      <c r="C698" s="84">
        <v>48</v>
      </c>
      <c r="D698" s="84">
        <v>5</v>
      </c>
      <c r="E698" s="84">
        <v>15</v>
      </c>
      <c r="F698" s="7">
        <v>1.0900000000000001</v>
      </c>
      <c r="G698" s="85">
        <v>2324</v>
      </c>
      <c r="H698" s="53" t="s">
        <v>561</v>
      </c>
      <c r="I698" s="23" t="s">
        <v>30</v>
      </c>
      <c r="J698" s="371">
        <v>67.069999999999993</v>
      </c>
      <c r="K698" s="77">
        <v>56.27</v>
      </c>
      <c r="L698" s="77">
        <v>0.71</v>
      </c>
      <c r="N698" s="365">
        <f t="shared" si="211"/>
        <v>124.05</v>
      </c>
      <c r="O698" s="343">
        <f t="shared" si="212"/>
        <v>67.069999999999993</v>
      </c>
      <c r="P698" s="195">
        <v>79</v>
      </c>
      <c r="Q698" s="326">
        <v>24</v>
      </c>
      <c r="R698" s="111">
        <v>1</v>
      </c>
      <c r="S698" s="51">
        <v>9</v>
      </c>
      <c r="T698" s="339">
        <f t="shared" si="213"/>
        <v>113</v>
      </c>
      <c r="U698" s="329" t="s">
        <v>6539</v>
      </c>
      <c r="V698" s="371">
        <v>1.43</v>
      </c>
      <c r="W698" s="35">
        <v>1.6</v>
      </c>
      <c r="X698" s="59">
        <v>3.22</v>
      </c>
      <c r="Y698" s="14" t="str">
        <f>RTD("money.excel",,"2324","Price")</f>
        <v>無資料</v>
      </c>
      <c r="Z698" s="69"/>
      <c r="AA698" s="16" t="e">
        <f t="shared" si="214"/>
        <v>#VALUE!</v>
      </c>
      <c r="AB698" s="3" t="e">
        <f t="shared" si="215"/>
        <v>#VALUE!</v>
      </c>
      <c r="AC698" s="177" t="s">
        <v>2648</v>
      </c>
      <c r="AD698" s="23" t="s">
        <v>30</v>
      </c>
      <c r="AG698" s="34">
        <f t="shared" si="216"/>
        <v>0</v>
      </c>
      <c r="AH698" s="125" t="s">
        <v>4256</v>
      </c>
      <c r="AI698" s="131"/>
      <c r="AK698" s="66">
        <f t="shared" si="219"/>
        <v>0</v>
      </c>
      <c r="AL698" s="174">
        <f t="shared" si="220"/>
        <v>0</v>
      </c>
      <c r="AM698" s="346">
        <f>RTD("money.excel",,$G698,"PredictVolume")</f>
        <v>0</v>
      </c>
      <c r="AN698" s="272">
        <f>RTD("money.excel",,$G698,"CumulativeVolume")</f>
        <v>0</v>
      </c>
      <c r="AO698" s="284"/>
    </row>
    <row r="699" spans="1:41">
      <c r="A699" s="151" t="s">
        <v>2902</v>
      </c>
      <c r="B699" s="84">
        <v>104</v>
      </c>
      <c r="C699" s="84">
        <v>112</v>
      </c>
      <c r="D699" s="84">
        <v>21</v>
      </c>
      <c r="E699" s="84">
        <v>6</v>
      </c>
      <c r="F699" s="7">
        <v>0.52</v>
      </c>
      <c r="G699" s="85">
        <v>2331</v>
      </c>
      <c r="H699" s="53" t="s">
        <v>561</v>
      </c>
      <c r="I699" s="23" t="s">
        <v>188</v>
      </c>
      <c r="J699" s="77">
        <v>73.709999999999994</v>
      </c>
      <c r="K699" s="77">
        <v>14.85</v>
      </c>
      <c r="L699" s="77">
        <v>27.67</v>
      </c>
      <c r="N699" s="365">
        <f t="shared" si="211"/>
        <v>116.22999999999999</v>
      </c>
      <c r="O699" s="343">
        <f t="shared" si="212"/>
        <v>73.709999999999994</v>
      </c>
      <c r="P699" s="195" t="s">
        <v>5554</v>
      </c>
      <c r="Q699" s="326">
        <f>IFERROR(VLOOKUP($G699,主力整理!$A$2:$G$2301,6,0),"0")</f>
        <v>9</v>
      </c>
      <c r="T699" s="339">
        <f t="shared" si="213"/>
        <v>9</v>
      </c>
      <c r="V699" s="371">
        <v>1.04</v>
      </c>
      <c r="W699" s="35">
        <v>0.1</v>
      </c>
      <c r="X699" s="100">
        <v>0.11</v>
      </c>
      <c r="Y699" s="37" t="str">
        <f>RTD("money.excel",,"2331","Price")</f>
        <v>無資料</v>
      </c>
      <c r="Z699" s="69"/>
      <c r="AA699" s="16" t="e">
        <f t="shared" si="214"/>
        <v>#VALUE!</v>
      </c>
      <c r="AB699" s="3" t="e">
        <f t="shared" si="215"/>
        <v>#VALUE!</v>
      </c>
      <c r="AD699" s="23" t="s">
        <v>188</v>
      </c>
      <c r="AG699" s="34">
        <f t="shared" si="216"/>
        <v>0</v>
      </c>
      <c r="AH699" s="125" t="s">
        <v>4257</v>
      </c>
      <c r="AI699" s="131"/>
      <c r="AK699" s="66">
        <f t="shared" si="219"/>
        <v>0</v>
      </c>
      <c r="AL699" s="174">
        <f t="shared" si="220"/>
        <v>0</v>
      </c>
      <c r="AM699" s="346">
        <f>RTD("money.excel",,$G699,"PredictVolume")</f>
        <v>0</v>
      </c>
      <c r="AN699" s="272">
        <f>RTD("money.excel",,$G699,"CumulativeVolume")</f>
        <v>0</v>
      </c>
      <c r="AO699" s="284"/>
    </row>
    <row r="700" spans="1:41">
      <c r="A700" s="135" t="s">
        <v>3061</v>
      </c>
      <c r="B700" s="84">
        <v>13</v>
      </c>
      <c r="C700" s="85">
        <v>-7</v>
      </c>
      <c r="D700" s="85">
        <v>-3</v>
      </c>
      <c r="E700" s="84">
        <v>33</v>
      </c>
      <c r="F700" s="59">
        <v>33.659999999999997</v>
      </c>
      <c r="G700" s="85">
        <v>2352</v>
      </c>
      <c r="H700" s="53" t="s">
        <v>561</v>
      </c>
      <c r="I700" s="23" t="s">
        <v>213</v>
      </c>
      <c r="J700" s="371">
        <v>55.91</v>
      </c>
      <c r="K700" s="77">
        <v>22.73</v>
      </c>
      <c r="L700" s="77">
        <v>4.5</v>
      </c>
      <c r="N700" s="365">
        <f t="shared" si="211"/>
        <v>83.14</v>
      </c>
      <c r="O700" s="343">
        <f t="shared" si="212"/>
        <v>55.91</v>
      </c>
      <c r="P700" s="195">
        <v>1</v>
      </c>
      <c r="Q700" s="326">
        <f>IFERROR(VLOOKUP($G700,主力整理!$A$2:$G$2301,6,0),"0")</f>
        <v>4</v>
      </c>
      <c r="T700" s="339">
        <f t="shared" si="213"/>
        <v>5</v>
      </c>
      <c r="V700" s="371">
        <v>0.11</v>
      </c>
      <c r="W700" s="35">
        <v>0.75</v>
      </c>
      <c r="X700" s="100">
        <v>2.54</v>
      </c>
      <c r="Y700" s="37" t="str">
        <f>RTD("money.excel",,"2352","Price")</f>
        <v>無資料</v>
      </c>
      <c r="Z700" s="69"/>
      <c r="AA700" s="16" t="e">
        <f t="shared" si="214"/>
        <v>#VALUE!</v>
      </c>
      <c r="AB700" s="3" t="e">
        <f t="shared" si="215"/>
        <v>#VALUE!</v>
      </c>
      <c r="AC700" s="177" t="s">
        <v>2648</v>
      </c>
      <c r="AD700" s="23" t="s">
        <v>213</v>
      </c>
      <c r="AG700" s="34">
        <f t="shared" si="216"/>
        <v>0</v>
      </c>
      <c r="AH700" s="126" t="s">
        <v>3286</v>
      </c>
      <c r="AI700" s="131"/>
      <c r="AK700" s="66">
        <f t="shared" si="219"/>
        <v>0</v>
      </c>
      <c r="AL700" s="174">
        <f t="shared" si="220"/>
        <v>0</v>
      </c>
      <c r="AM700" s="346">
        <f>RTD("money.excel",,$G700,"PredictVolume")</f>
        <v>0</v>
      </c>
      <c r="AN700" s="272">
        <f>RTD("money.excel",,$G700,"CumulativeVolume")</f>
        <v>0</v>
      </c>
      <c r="AO700" s="284"/>
    </row>
    <row r="701" spans="1:41">
      <c r="A701" s="151" t="s">
        <v>5523</v>
      </c>
      <c r="B701" s="84">
        <v>224</v>
      </c>
      <c r="C701" s="84">
        <v>216</v>
      </c>
      <c r="D701" s="84">
        <v>3</v>
      </c>
      <c r="E701" s="85">
        <v>-1</v>
      </c>
      <c r="F701" s="7">
        <v>4.4800000000000004</v>
      </c>
      <c r="G701" s="85">
        <v>2353</v>
      </c>
      <c r="H701" s="53" t="s">
        <v>561</v>
      </c>
      <c r="I701" s="23" t="s">
        <v>50</v>
      </c>
      <c r="J701" s="77">
        <v>43.93</v>
      </c>
      <c r="K701" s="77">
        <v>35.28</v>
      </c>
      <c r="L701" s="371">
        <v>7.24</v>
      </c>
      <c r="N701" s="365">
        <f t="shared" si="211"/>
        <v>86.45</v>
      </c>
      <c r="O701" s="343">
        <f t="shared" si="212"/>
        <v>43.93</v>
      </c>
      <c r="P701" s="195">
        <v>23</v>
      </c>
      <c r="Q701" s="326">
        <v>12</v>
      </c>
      <c r="R701" s="111">
        <v>5</v>
      </c>
      <c r="S701" s="51">
        <v>9</v>
      </c>
      <c r="T701" s="339">
        <f t="shared" si="213"/>
        <v>49</v>
      </c>
      <c r="V701" s="371">
        <v>3.97</v>
      </c>
      <c r="W701" s="35">
        <v>1.5</v>
      </c>
      <c r="X701" s="100">
        <v>3.3</v>
      </c>
      <c r="Y701" s="37" t="str">
        <f>RTD("money.excel",,"2353","Price")</f>
        <v>無資料</v>
      </c>
      <c r="Z701" s="69"/>
      <c r="AA701" s="16" t="e">
        <f t="shared" si="214"/>
        <v>#VALUE!</v>
      </c>
      <c r="AB701" s="3" t="e">
        <f t="shared" si="215"/>
        <v>#VALUE!</v>
      </c>
      <c r="AC701" s="177" t="s">
        <v>2648</v>
      </c>
      <c r="AD701" s="23" t="s">
        <v>50</v>
      </c>
      <c r="AG701" s="34">
        <f t="shared" si="216"/>
        <v>0</v>
      </c>
      <c r="AH701" s="125" t="s">
        <v>4258</v>
      </c>
      <c r="AI701" s="131"/>
      <c r="AK701" s="66">
        <f t="shared" si="219"/>
        <v>0</v>
      </c>
      <c r="AL701" s="174">
        <f t="shared" si="220"/>
        <v>0</v>
      </c>
      <c r="AM701" s="346">
        <f>RTD("money.excel",,$G701,"PredictVolume")</f>
        <v>0</v>
      </c>
      <c r="AN701" s="272">
        <f>RTD("money.excel",,$G701,"CumulativeVolume")</f>
        <v>0</v>
      </c>
      <c r="AO701" s="284"/>
    </row>
    <row r="702" spans="1:41">
      <c r="A702" s="151" t="s">
        <v>2463</v>
      </c>
      <c r="B702" s="85">
        <v>-22</v>
      </c>
      <c r="C702" s="85">
        <v>-7</v>
      </c>
      <c r="D702" s="85">
        <v>-5</v>
      </c>
      <c r="E702" s="84">
        <v>13</v>
      </c>
      <c r="F702" s="7">
        <v>0.95</v>
      </c>
      <c r="G702" s="85">
        <v>2356</v>
      </c>
      <c r="H702" s="53" t="s">
        <v>561</v>
      </c>
      <c r="I702" s="23" t="s">
        <v>34</v>
      </c>
      <c r="J702" s="77">
        <v>77.8</v>
      </c>
      <c r="K702" s="77">
        <v>36.42</v>
      </c>
      <c r="L702" s="371">
        <v>0.32</v>
      </c>
      <c r="N702" s="365">
        <f t="shared" si="211"/>
        <v>114.53999999999999</v>
      </c>
      <c r="O702" s="343">
        <f t="shared" si="212"/>
        <v>77.8</v>
      </c>
      <c r="P702" s="195">
        <v>15</v>
      </c>
      <c r="Q702" s="326">
        <v>24</v>
      </c>
      <c r="R702" s="111">
        <v>1</v>
      </c>
      <c r="S702" s="51">
        <v>18</v>
      </c>
      <c r="T702" s="339">
        <f t="shared" si="213"/>
        <v>58</v>
      </c>
      <c r="V702" s="371">
        <v>13.45</v>
      </c>
      <c r="W702" s="35">
        <v>1.85</v>
      </c>
      <c r="X702" s="59">
        <v>1.67</v>
      </c>
      <c r="Y702" s="37" t="str">
        <f>RTD("money.excel",,"2356","Price")</f>
        <v>無資料</v>
      </c>
      <c r="Z702" s="69"/>
      <c r="AA702" s="16" t="e">
        <f t="shared" si="214"/>
        <v>#VALUE!</v>
      </c>
      <c r="AB702" s="3" t="e">
        <f t="shared" si="215"/>
        <v>#VALUE!</v>
      </c>
      <c r="AC702" s="177" t="s">
        <v>2648</v>
      </c>
      <c r="AD702" s="23" t="s">
        <v>34</v>
      </c>
      <c r="AG702" s="34">
        <f t="shared" si="216"/>
        <v>0</v>
      </c>
      <c r="AH702" s="125" t="s">
        <v>1697</v>
      </c>
      <c r="AI702" s="131"/>
      <c r="AK702" s="66">
        <f t="shared" si="219"/>
        <v>0</v>
      </c>
      <c r="AL702" s="174">
        <f t="shared" si="220"/>
        <v>0</v>
      </c>
      <c r="AM702" s="346">
        <f>RTD("money.excel",,$G702,"PredictVolume")</f>
        <v>0</v>
      </c>
      <c r="AN702" s="272">
        <f>RTD("money.excel",,$G702,"CumulativeVolume")</f>
        <v>0</v>
      </c>
      <c r="AO702" s="284"/>
    </row>
    <row r="703" spans="1:41">
      <c r="A703" s="151" t="s">
        <v>2464</v>
      </c>
      <c r="B703" s="84">
        <v>87</v>
      </c>
      <c r="C703" s="84">
        <v>109</v>
      </c>
      <c r="D703" s="84">
        <v>22</v>
      </c>
      <c r="E703" s="84">
        <v>38</v>
      </c>
      <c r="F703" s="7">
        <v>9.5</v>
      </c>
      <c r="G703" s="85">
        <v>2357</v>
      </c>
      <c r="H703" s="53" t="s">
        <v>561</v>
      </c>
      <c r="I703" s="23" t="s">
        <v>379</v>
      </c>
      <c r="J703" s="77">
        <v>59.16</v>
      </c>
      <c r="K703" s="371">
        <v>58.84</v>
      </c>
      <c r="L703" s="371">
        <v>1.55</v>
      </c>
      <c r="N703" s="365">
        <f t="shared" si="211"/>
        <v>119.55</v>
      </c>
      <c r="O703" s="343">
        <f t="shared" si="212"/>
        <v>59.16</v>
      </c>
      <c r="P703" s="195">
        <v>58</v>
      </c>
      <c r="Q703" s="326">
        <v>14</v>
      </c>
      <c r="R703" s="111">
        <v>1</v>
      </c>
      <c r="S703" s="51">
        <v>9</v>
      </c>
      <c r="T703" s="339">
        <f t="shared" si="213"/>
        <v>82</v>
      </c>
      <c r="U703" s="329" t="s">
        <v>6539</v>
      </c>
      <c r="V703" s="371">
        <v>1.74</v>
      </c>
      <c r="W703" s="69">
        <v>26</v>
      </c>
      <c r="X703" s="59">
        <v>57</v>
      </c>
      <c r="Y703" s="14" t="str">
        <f>RTD("money.excel",,"2357","Price")</f>
        <v>無資料</v>
      </c>
      <c r="Z703" s="69"/>
      <c r="AA703" s="16" t="e">
        <f t="shared" si="214"/>
        <v>#VALUE!</v>
      </c>
      <c r="AB703" s="3" t="e">
        <f t="shared" si="215"/>
        <v>#VALUE!</v>
      </c>
      <c r="AC703" s="177" t="s">
        <v>2929</v>
      </c>
      <c r="AD703" s="23" t="s">
        <v>379</v>
      </c>
      <c r="AG703" s="34">
        <f t="shared" si="216"/>
        <v>0</v>
      </c>
      <c r="AH703" s="125" t="s">
        <v>3865</v>
      </c>
      <c r="AI703" s="131"/>
      <c r="AK703" s="66">
        <f t="shared" si="219"/>
        <v>0</v>
      </c>
      <c r="AL703" s="174">
        <f t="shared" si="220"/>
        <v>0</v>
      </c>
      <c r="AM703" s="346">
        <f>RTD("money.excel",,$G703,"PredictVolume")</f>
        <v>0</v>
      </c>
      <c r="AN703" s="272">
        <f>RTD("money.excel",,$G703,"CumulativeVolume")</f>
        <v>0</v>
      </c>
      <c r="AO703" s="284"/>
    </row>
    <row r="704" spans="1:41">
      <c r="A704" s="151" t="s">
        <v>2973</v>
      </c>
      <c r="B704" s="85">
        <v>-74</v>
      </c>
      <c r="C704" s="84">
        <v>95</v>
      </c>
      <c r="D704" s="85">
        <v>-1</v>
      </c>
      <c r="E704" s="84">
        <v>1</v>
      </c>
      <c r="F704" s="7">
        <v>8.65</v>
      </c>
      <c r="G704" s="85">
        <v>2362</v>
      </c>
      <c r="H704" s="53" t="s">
        <v>561</v>
      </c>
      <c r="I704" s="23" t="s">
        <v>110</v>
      </c>
      <c r="J704" s="77">
        <v>79.81</v>
      </c>
      <c r="K704" s="77">
        <v>10.86</v>
      </c>
      <c r="L704" s="77">
        <v>6.36</v>
      </c>
      <c r="N704" s="365">
        <f t="shared" si="211"/>
        <v>97.03</v>
      </c>
      <c r="O704" s="343">
        <f t="shared" si="212"/>
        <v>79.81</v>
      </c>
      <c r="P704" s="195" t="s">
        <v>5554</v>
      </c>
      <c r="Q704" s="326" t="str">
        <f>IFERROR(VLOOKUP($G704,主力整理!$A$2:$G$2301,6,0),"0")</f>
        <v>0</v>
      </c>
      <c r="T704" s="339">
        <f t="shared" si="213"/>
        <v>0</v>
      </c>
      <c r="V704" s="371">
        <v>0.06</v>
      </c>
      <c r="W704" s="35">
        <v>0.6</v>
      </c>
      <c r="X704" s="100">
        <v>1.1100000000000001</v>
      </c>
      <c r="Y704" s="37" t="str">
        <f>RTD("money.excel",,"2362","Price")</f>
        <v>無資料</v>
      </c>
      <c r="Z704" s="69"/>
      <c r="AA704" s="16" t="e">
        <f t="shared" si="214"/>
        <v>#VALUE!</v>
      </c>
      <c r="AB704" s="3" t="e">
        <f t="shared" si="215"/>
        <v>#VALUE!</v>
      </c>
      <c r="AC704" s="177" t="s">
        <v>2648</v>
      </c>
      <c r="AD704" s="23" t="s">
        <v>110</v>
      </c>
      <c r="AG704" s="34">
        <f t="shared" si="216"/>
        <v>0</v>
      </c>
      <c r="AH704" s="125" t="s">
        <v>4259</v>
      </c>
      <c r="AI704" s="131"/>
      <c r="AK704" s="66">
        <f t="shared" si="219"/>
        <v>0</v>
      </c>
      <c r="AL704" s="174">
        <f t="shared" si="220"/>
        <v>0</v>
      </c>
      <c r="AM704" s="346">
        <f>RTD("money.excel",,$G704,"PredictVolume")</f>
        <v>0</v>
      </c>
      <c r="AN704" s="272">
        <f>RTD("money.excel",,$G704,"CumulativeVolume")</f>
        <v>0</v>
      </c>
      <c r="AO704" s="284"/>
    </row>
    <row r="705" spans="1:41">
      <c r="A705" s="151" t="s">
        <v>2632</v>
      </c>
      <c r="B705" s="96">
        <v>106</v>
      </c>
      <c r="C705" s="96">
        <v>100</v>
      </c>
      <c r="D705" s="96">
        <v>-29</v>
      </c>
      <c r="E705" s="96">
        <v>11</v>
      </c>
      <c r="F705" s="7">
        <v>0.08</v>
      </c>
      <c r="G705" s="85">
        <v>2364</v>
      </c>
      <c r="H705" s="53" t="s">
        <v>561</v>
      </c>
      <c r="I705" s="23" t="s">
        <v>871</v>
      </c>
      <c r="J705" s="77">
        <v>64.209999999999994</v>
      </c>
      <c r="K705" s="77">
        <v>15.1</v>
      </c>
      <c r="N705" s="365">
        <f t="shared" si="211"/>
        <v>79.309999999999988</v>
      </c>
      <c r="O705" s="343">
        <f t="shared" si="212"/>
        <v>64.209999999999994</v>
      </c>
      <c r="P705" s="195" t="s">
        <v>5554</v>
      </c>
      <c r="Q705" s="326" t="str">
        <f>IFERROR(VLOOKUP($G705,主力整理!$A$2:$G$2301,6,0),"0")</f>
        <v>0</v>
      </c>
      <c r="T705" s="339">
        <f t="shared" si="213"/>
        <v>0</v>
      </c>
      <c r="V705" s="371">
        <v>23.06</v>
      </c>
      <c r="W705" s="35">
        <v>0</v>
      </c>
      <c r="X705" s="100">
        <v>0.11</v>
      </c>
      <c r="Y705" s="14" t="str">
        <f>RTD("money.excel",,"2364","Price")</f>
        <v>無資料</v>
      </c>
      <c r="Z705" s="69"/>
      <c r="AA705" s="16" t="e">
        <f t="shared" si="214"/>
        <v>#VALUE!</v>
      </c>
      <c r="AB705" s="3" t="e">
        <f t="shared" si="215"/>
        <v>#VALUE!</v>
      </c>
      <c r="AD705" s="23" t="s">
        <v>871</v>
      </c>
      <c r="AG705" s="34">
        <f t="shared" si="216"/>
        <v>0</v>
      </c>
      <c r="AH705" s="44" t="s">
        <v>4260</v>
      </c>
      <c r="AI705" s="131"/>
      <c r="AK705" s="66">
        <f t="shared" si="219"/>
        <v>0</v>
      </c>
      <c r="AL705" s="174">
        <f t="shared" si="220"/>
        <v>0</v>
      </c>
      <c r="AM705" s="346">
        <f>RTD("money.excel",,$G705,"PredictVolume")</f>
        <v>0</v>
      </c>
      <c r="AN705" s="272">
        <f>RTD("money.excel",,$G705,"CumulativeVolume")</f>
        <v>0</v>
      </c>
      <c r="AO705" s="284"/>
    </row>
    <row r="706" spans="1:41">
      <c r="A706" s="135" t="s">
        <v>4799</v>
      </c>
      <c r="B706" s="96">
        <v>247</v>
      </c>
      <c r="C706" s="96">
        <v>289</v>
      </c>
      <c r="D706" s="96">
        <v>19</v>
      </c>
      <c r="E706" s="96">
        <v>14</v>
      </c>
      <c r="F706" s="59">
        <v>10.69</v>
      </c>
      <c r="G706" s="85">
        <v>2365</v>
      </c>
      <c r="H706" s="53" t="s">
        <v>561</v>
      </c>
      <c r="I706" s="23" t="s">
        <v>872</v>
      </c>
      <c r="J706" s="77">
        <v>41.55</v>
      </c>
      <c r="K706" s="77">
        <v>5.84</v>
      </c>
      <c r="L706" s="77">
        <v>15.85</v>
      </c>
      <c r="N706" s="365">
        <f t="shared" si="211"/>
        <v>63.24</v>
      </c>
      <c r="O706" s="343">
        <f t="shared" si="212"/>
        <v>41.55</v>
      </c>
      <c r="P706" s="195" t="s">
        <v>5554</v>
      </c>
      <c r="Q706" s="326" t="str">
        <f>IFERROR(VLOOKUP($G706,主力整理!$A$2:$G$2301,6,0),"0")</f>
        <v>0</v>
      </c>
      <c r="T706" s="339">
        <f t="shared" si="213"/>
        <v>0</v>
      </c>
      <c r="V706" s="371">
        <v>9.06</v>
      </c>
      <c r="W706" s="35">
        <v>0.3</v>
      </c>
      <c r="X706" s="100">
        <v>0.64</v>
      </c>
      <c r="Y706" s="37" t="str">
        <f>RTD("money.excel",,"2365","Price")</f>
        <v>無資料</v>
      </c>
      <c r="Z706" s="69"/>
      <c r="AA706" s="16" t="e">
        <f t="shared" si="214"/>
        <v>#VALUE!</v>
      </c>
      <c r="AB706" s="3" t="e">
        <f t="shared" si="215"/>
        <v>#VALUE!</v>
      </c>
      <c r="AD706" s="23" t="s">
        <v>872</v>
      </c>
      <c r="AG706" s="34">
        <f t="shared" si="216"/>
        <v>0</v>
      </c>
      <c r="AH706" s="63" t="s">
        <v>4261</v>
      </c>
      <c r="AI706" s="131"/>
      <c r="AK706" s="66">
        <f t="shared" si="219"/>
        <v>0</v>
      </c>
      <c r="AL706" s="174">
        <f t="shared" si="220"/>
        <v>0</v>
      </c>
      <c r="AM706" s="346">
        <f>RTD("money.excel",,$G706,"PredictVolume")</f>
        <v>0</v>
      </c>
      <c r="AN706" s="272">
        <f>RTD("money.excel",,$G706,"CumulativeVolume")</f>
        <v>0</v>
      </c>
      <c r="AO706" s="284"/>
    </row>
    <row r="707" spans="1:41">
      <c r="A707" s="135" t="s">
        <v>2465</v>
      </c>
      <c r="B707" s="84">
        <v>229</v>
      </c>
      <c r="C707" s="84">
        <v>295</v>
      </c>
      <c r="D707" s="84">
        <v>25</v>
      </c>
      <c r="E707" s="84">
        <v>48</v>
      </c>
      <c r="F707" s="59">
        <v>11.68</v>
      </c>
      <c r="G707" s="85">
        <v>2376</v>
      </c>
      <c r="H707" s="53" t="s">
        <v>561</v>
      </c>
      <c r="I707" s="23" t="s">
        <v>380</v>
      </c>
      <c r="J707" s="77">
        <v>56.77</v>
      </c>
      <c r="K707" s="77">
        <v>35.31</v>
      </c>
      <c r="L707" s="371">
        <v>8.1300000000000008</v>
      </c>
      <c r="N707" s="365">
        <f t="shared" si="211"/>
        <v>100.21000000000001</v>
      </c>
      <c r="O707" s="343">
        <f t="shared" si="212"/>
        <v>56.77</v>
      </c>
      <c r="P707" s="195">
        <v>13</v>
      </c>
      <c r="Q707" s="326">
        <v>6</v>
      </c>
      <c r="R707" s="111">
        <v>2</v>
      </c>
      <c r="S707" s="51">
        <v>20</v>
      </c>
      <c r="T707" s="339">
        <f t="shared" si="213"/>
        <v>41</v>
      </c>
      <c r="V707" s="371">
        <v>0.42</v>
      </c>
      <c r="W707" s="69">
        <v>5</v>
      </c>
      <c r="X707" s="59">
        <v>13.49</v>
      </c>
      <c r="Y707" s="37" t="str">
        <f>RTD("money.excel",,"2376","Price")</f>
        <v>無資料</v>
      </c>
      <c r="Z707" s="69"/>
      <c r="AA707" s="16" t="e">
        <f t="shared" si="214"/>
        <v>#VALUE!</v>
      </c>
      <c r="AB707" s="3" t="e">
        <f t="shared" si="215"/>
        <v>#VALUE!</v>
      </c>
      <c r="AC707" s="177" t="s">
        <v>2929</v>
      </c>
      <c r="AD707" s="23" t="s">
        <v>380</v>
      </c>
      <c r="AG707" s="34">
        <f t="shared" si="216"/>
        <v>0</v>
      </c>
      <c r="AH707" s="63" t="s">
        <v>4264</v>
      </c>
      <c r="AI707" s="131"/>
      <c r="AK707" s="66">
        <f t="shared" si="219"/>
        <v>0</v>
      </c>
      <c r="AL707" s="174">
        <f t="shared" si="220"/>
        <v>0</v>
      </c>
      <c r="AM707" s="346">
        <f>RTD("money.excel",,$G707,"PredictVolume")</f>
        <v>0</v>
      </c>
      <c r="AN707" s="272">
        <f>RTD("money.excel",,$G707,"CumulativeVolume")</f>
        <v>0</v>
      </c>
      <c r="AO707" s="284"/>
    </row>
    <row r="708" spans="1:41">
      <c r="A708" s="135" t="s">
        <v>2466</v>
      </c>
      <c r="B708" s="84">
        <v>155</v>
      </c>
      <c r="C708" s="84">
        <v>158</v>
      </c>
      <c r="D708" s="84">
        <v>3</v>
      </c>
      <c r="E708" s="84">
        <v>40</v>
      </c>
      <c r="F708" s="59">
        <v>10.77</v>
      </c>
      <c r="G708" s="85">
        <v>2377</v>
      </c>
      <c r="H708" s="53" t="s">
        <v>561</v>
      </c>
      <c r="I708" s="23" t="s">
        <v>45</v>
      </c>
      <c r="J708" s="371">
        <v>71.48</v>
      </c>
      <c r="K708" s="77">
        <v>48.34</v>
      </c>
      <c r="L708" s="77">
        <v>2.66</v>
      </c>
      <c r="N708" s="365">
        <f t="shared" si="211"/>
        <v>122.48</v>
      </c>
      <c r="O708" s="343">
        <f t="shared" si="212"/>
        <v>71.48</v>
      </c>
      <c r="P708" s="195">
        <v>23</v>
      </c>
      <c r="Q708" s="326">
        <v>9</v>
      </c>
      <c r="R708" s="111">
        <v>1</v>
      </c>
      <c r="S708" s="51">
        <v>20</v>
      </c>
      <c r="T708" s="339">
        <f t="shared" si="213"/>
        <v>53</v>
      </c>
      <c r="V708" s="371">
        <v>2.94</v>
      </c>
      <c r="W708" s="69">
        <v>6.1</v>
      </c>
      <c r="X708" s="59">
        <v>15.6</v>
      </c>
      <c r="Y708" s="14" t="str">
        <f>RTD("money.excel",,"2377","Price")</f>
        <v>無資料</v>
      </c>
      <c r="Z708" s="69"/>
      <c r="AA708" s="16" t="e">
        <f t="shared" si="214"/>
        <v>#VALUE!</v>
      </c>
      <c r="AB708" s="3" t="e">
        <f t="shared" si="215"/>
        <v>#VALUE!</v>
      </c>
      <c r="AC708" s="177" t="s">
        <v>2929</v>
      </c>
      <c r="AD708" s="23" t="s">
        <v>45</v>
      </c>
      <c r="AG708" s="34">
        <f t="shared" si="216"/>
        <v>0</v>
      </c>
      <c r="AH708" s="63" t="s">
        <v>4264</v>
      </c>
      <c r="AI708" s="131"/>
      <c r="AK708" s="66">
        <f t="shared" si="219"/>
        <v>0</v>
      </c>
      <c r="AL708" s="174">
        <f t="shared" si="220"/>
        <v>0</v>
      </c>
      <c r="AM708" s="346">
        <f>RTD("money.excel",,$G708,"PredictVolume")</f>
        <v>0</v>
      </c>
      <c r="AN708" s="272">
        <f>RTD("money.excel",,$G708,"CumulativeVolume")</f>
        <v>0</v>
      </c>
      <c r="AO708" s="284"/>
    </row>
    <row r="709" spans="1:41">
      <c r="A709" s="151" t="s">
        <v>4798</v>
      </c>
      <c r="B709" s="96">
        <v>-22</v>
      </c>
      <c r="C709" s="96">
        <v>-16</v>
      </c>
      <c r="D709" s="96">
        <v>-14</v>
      </c>
      <c r="E709" s="96">
        <v>140</v>
      </c>
      <c r="F709" s="7">
        <v>-34.51</v>
      </c>
      <c r="G709" s="85">
        <v>2380</v>
      </c>
      <c r="H709" s="53" t="s">
        <v>561</v>
      </c>
      <c r="I709" s="23" t="s">
        <v>873</v>
      </c>
      <c r="J709" s="77">
        <v>54.63</v>
      </c>
      <c r="K709" s="77">
        <v>8.94</v>
      </c>
      <c r="L709" s="77">
        <v>0</v>
      </c>
      <c r="N709" s="365">
        <f t="shared" si="211"/>
        <v>63.57</v>
      </c>
      <c r="O709" s="343">
        <f t="shared" si="212"/>
        <v>54.63</v>
      </c>
      <c r="P709" s="195" t="s">
        <v>5554</v>
      </c>
      <c r="Q709" s="326" t="str">
        <f>IFERROR(VLOOKUP($G709,主力整理!$A$2:$G$2301,6,0),"0")</f>
        <v>0</v>
      </c>
      <c r="T709" s="339">
        <f t="shared" si="213"/>
        <v>0</v>
      </c>
      <c r="V709" s="371">
        <v>11.54</v>
      </c>
      <c r="W709" s="35">
        <v>0</v>
      </c>
      <c r="X709" s="100">
        <v>-2.37</v>
      </c>
      <c r="Y709" s="37" t="str">
        <f>RTD("money.excel",,"2380","Price")</f>
        <v>無資料</v>
      </c>
      <c r="Z709" s="69"/>
      <c r="AA709" s="16" t="e">
        <f t="shared" si="214"/>
        <v>#VALUE!</v>
      </c>
      <c r="AB709" s="3" t="e">
        <f t="shared" si="215"/>
        <v>#VALUE!</v>
      </c>
      <c r="AD709" s="23" t="s">
        <v>873</v>
      </c>
      <c r="AG709" s="34">
        <f t="shared" si="216"/>
        <v>0</v>
      </c>
      <c r="AH709" s="44" t="s">
        <v>4255</v>
      </c>
      <c r="AI709" s="131"/>
      <c r="AK709" s="66">
        <f t="shared" ref="AK709:AK719" si="221">AM709/(A709*10000)</f>
        <v>0</v>
      </c>
      <c r="AL709" s="174">
        <f t="shared" ref="AL709:AL719" si="222">AN709/(A709*10000)</f>
        <v>0</v>
      </c>
      <c r="AM709" s="346">
        <f>RTD("money.excel",,$G709,"PredictVolume")</f>
        <v>0</v>
      </c>
      <c r="AN709" s="272">
        <f>RTD("money.excel",,$G709,"CumulativeVolume")</f>
        <v>0</v>
      </c>
      <c r="AO709" s="284"/>
    </row>
    <row r="710" spans="1:41">
      <c r="A710" s="151" t="s">
        <v>2467</v>
      </c>
      <c r="B710" s="84">
        <v>49</v>
      </c>
      <c r="C710" s="84">
        <v>20</v>
      </c>
      <c r="D710" s="84">
        <v>22</v>
      </c>
      <c r="E710" s="84">
        <v>11</v>
      </c>
      <c r="F710" s="7">
        <v>3.41</v>
      </c>
      <c r="G710" s="85">
        <v>2382</v>
      </c>
      <c r="H710" s="53" t="s">
        <v>561</v>
      </c>
      <c r="I710" s="23" t="s">
        <v>381</v>
      </c>
      <c r="J710" s="77">
        <v>86.5</v>
      </c>
      <c r="K710" s="77">
        <v>32.229999999999997</v>
      </c>
      <c r="L710" s="77">
        <v>0.31</v>
      </c>
      <c r="N710" s="365">
        <f t="shared" si="211"/>
        <v>119.03999999999999</v>
      </c>
      <c r="O710" s="343">
        <f t="shared" si="212"/>
        <v>86.5</v>
      </c>
      <c r="P710" s="195">
        <v>133</v>
      </c>
      <c r="Q710" s="326">
        <v>23</v>
      </c>
      <c r="R710" s="111">
        <v>0</v>
      </c>
      <c r="S710" s="51">
        <v>8</v>
      </c>
      <c r="T710" s="339">
        <f t="shared" si="213"/>
        <v>164</v>
      </c>
      <c r="V710" s="371">
        <v>1.73</v>
      </c>
      <c r="W710" s="69">
        <v>5.2</v>
      </c>
      <c r="X710" s="59">
        <v>8.56</v>
      </c>
      <c r="Y710" s="37" t="str">
        <f>RTD("money.excel",,"2382","Price")</f>
        <v>無資料</v>
      </c>
      <c r="Z710" s="69"/>
      <c r="AA710" s="16" t="e">
        <f t="shared" si="214"/>
        <v>#VALUE!</v>
      </c>
      <c r="AB710" s="3" t="e">
        <f t="shared" si="215"/>
        <v>#VALUE!</v>
      </c>
      <c r="AC710" s="177" t="s">
        <v>2929</v>
      </c>
      <c r="AD710" s="23" t="s">
        <v>381</v>
      </c>
      <c r="AG710" s="34">
        <f t="shared" si="216"/>
        <v>0</v>
      </c>
      <c r="AH710" s="125" t="s">
        <v>4262</v>
      </c>
      <c r="AI710" s="131"/>
      <c r="AK710" s="66">
        <f t="shared" si="221"/>
        <v>0</v>
      </c>
      <c r="AL710" s="174">
        <f t="shared" si="222"/>
        <v>0</v>
      </c>
      <c r="AM710" s="346">
        <f>RTD("money.excel",,$G710,"PredictVolume")</f>
        <v>0</v>
      </c>
      <c r="AN710" s="272">
        <f>RTD("money.excel",,$G710,"CumulativeVolume")</f>
        <v>0</v>
      </c>
      <c r="AO710" s="284"/>
    </row>
    <row r="711" spans="1:41">
      <c r="A711" s="151" t="s">
        <v>3073</v>
      </c>
      <c r="B711" s="84">
        <v>68</v>
      </c>
      <c r="C711" s="84">
        <v>56</v>
      </c>
      <c r="D711" s="84">
        <v>6</v>
      </c>
      <c r="E711" s="84">
        <v>0</v>
      </c>
      <c r="F711" s="7">
        <v>6.86</v>
      </c>
      <c r="G711" s="85">
        <v>2387</v>
      </c>
      <c r="H711" s="53" t="s">
        <v>561</v>
      </c>
      <c r="I711" s="23" t="s">
        <v>428</v>
      </c>
      <c r="J711" s="77">
        <v>68.73</v>
      </c>
      <c r="K711" s="371">
        <v>6.47</v>
      </c>
      <c r="L711" s="371">
        <v>12.85</v>
      </c>
      <c r="N711" s="365">
        <f t="shared" si="211"/>
        <v>88.05</v>
      </c>
      <c r="O711" s="343">
        <f t="shared" si="212"/>
        <v>68.73</v>
      </c>
      <c r="P711" s="195">
        <v>5</v>
      </c>
      <c r="Q711" s="326" t="str">
        <f>IFERROR(VLOOKUP($G711,主力整理!$A$2:$G$2301,6,0),"0")</f>
        <v>0</v>
      </c>
      <c r="R711" s="111">
        <v>7</v>
      </c>
      <c r="S711" s="51">
        <v>9</v>
      </c>
      <c r="T711" s="339">
        <f t="shared" si="213"/>
        <v>21</v>
      </c>
      <c r="V711" s="371">
        <v>1.54</v>
      </c>
      <c r="W711" s="35">
        <v>2</v>
      </c>
      <c r="X711" s="59">
        <v>7.58</v>
      </c>
      <c r="Y711" s="37" t="str">
        <f>RTD("money.excel",,"2387","Price")</f>
        <v>無資料</v>
      </c>
      <c r="Z711" s="69"/>
      <c r="AA711" s="16" t="e">
        <f t="shared" si="214"/>
        <v>#VALUE!</v>
      </c>
      <c r="AB711" s="3" t="e">
        <f t="shared" si="215"/>
        <v>#VALUE!</v>
      </c>
      <c r="AC711" s="177" t="s">
        <v>2648</v>
      </c>
      <c r="AD711" s="23" t="s">
        <v>428</v>
      </c>
      <c r="AG711" s="34">
        <f t="shared" si="216"/>
        <v>0</v>
      </c>
      <c r="AH711" s="44" t="s">
        <v>3650</v>
      </c>
      <c r="AI711" s="131"/>
      <c r="AK711" s="66">
        <f t="shared" si="221"/>
        <v>0</v>
      </c>
      <c r="AL711" s="174">
        <f t="shared" si="222"/>
        <v>0</v>
      </c>
      <c r="AM711" s="346">
        <f>RTD("money.excel",,$G711,"PredictVolume")</f>
        <v>0</v>
      </c>
      <c r="AN711" s="272">
        <f>RTD("money.excel",,$G711,"CumulativeVolume")</f>
        <v>0</v>
      </c>
      <c r="AO711" s="284"/>
    </row>
    <row r="712" spans="1:41">
      <c r="A712" s="135" t="s">
        <v>3620</v>
      </c>
      <c r="B712" s="85">
        <v>-1</v>
      </c>
      <c r="C712" s="85">
        <v>-1</v>
      </c>
      <c r="D712" s="85">
        <v>-10</v>
      </c>
      <c r="E712" s="84">
        <v>13</v>
      </c>
      <c r="F712" s="59">
        <v>17.63</v>
      </c>
      <c r="G712" s="85">
        <v>2395</v>
      </c>
      <c r="H712" s="53" t="s">
        <v>561</v>
      </c>
      <c r="I712" s="23" t="s">
        <v>25</v>
      </c>
      <c r="J712" s="77">
        <v>81.099999999999994</v>
      </c>
      <c r="K712" s="371">
        <v>42.25</v>
      </c>
      <c r="L712" s="77">
        <v>0.08</v>
      </c>
      <c r="N712" s="365">
        <f t="shared" si="211"/>
        <v>123.42999999999999</v>
      </c>
      <c r="O712" s="343">
        <f t="shared" si="212"/>
        <v>81.099999999999994</v>
      </c>
      <c r="P712" s="195">
        <v>7</v>
      </c>
      <c r="Q712" s="326">
        <f>IFERROR(VLOOKUP($G712,主力整理!$A$2:$G$2301,6,0),"0")</f>
        <v>3</v>
      </c>
      <c r="T712" s="339">
        <f t="shared" si="213"/>
        <v>10</v>
      </c>
      <c r="V712" s="371">
        <v>0</v>
      </c>
      <c r="W712" s="69">
        <v>7.1</v>
      </c>
      <c r="X712" s="59">
        <v>9.85</v>
      </c>
      <c r="Y712" s="14" t="str">
        <f>RTD("money.excel",,"2395","Price")</f>
        <v>無資料</v>
      </c>
      <c r="Z712" s="69"/>
      <c r="AA712" s="16" t="e">
        <f t="shared" si="214"/>
        <v>#VALUE!</v>
      </c>
      <c r="AB712" s="3" t="e">
        <f t="shared" si="215"/>
        <v>#VALUE!</v>
      </c>
      <c r="AC712" s="177" t="s">
        <v>2929</v>
      </c>
      <c r="AD712" s="23" t="s">
        <v>25</v>
      </c>
      <c r="AG712" s="34">
        <f t="shared" si="216"/>
        <v>0</v>
      </c>
      <c r="AH712" s="126" t="s">
        <v>3002</v>
      </c>
      <c r="AI712" s="131"/>
      <c r="AK712" s="66">
        <f t="shared" si="221"/>
        <v>0</v>
      </c>
      <c r="AL712" s="174">
        <f t="shared" si="222"/>
        <v>0</v>
      </c>
      <c r="AM712" s="346">
        <f>RTD("money.excel",,$G712,"PredictVolume")</f>
        <v>0</v>
      </c>
      <c r="AN712" s="272">
        <f>RTD("money.excel",,$G712,"CumulativeVolume")</f>
        <v>0</v>
      </c>
      <c r="AO712" s="284"/>
    </row>
    <row r="713" spans="1:41">
      <c r="A713" s="135" t="s">
        <v>3026</v>
      </c>
      <c r="B713" s="85">
        <v>-7</v>
      </c>
      <c r="C713" s="85">
        <v>-1</v>
      </c>
      <c r="D713" s="84">
        <v>6</v>
      </c>
      <c r="E713" s="84">
        <v>12</v>
      </c>
      <c r="F713" s="59">
        <v>9.31</v>
      </c>
      <c r="G713" s="85">
        <v>2397</v>
      </c>
      <c r="H713" s="53" t="s">
        <v>561</v>
      </c>
      <c r="I713" s="23" t="s">
        <v>874</v>
      </c>
      <c r="J713" s="371">
        <v>84.01</v>
      </c>
      <c r="K713" s="77">
        <v>23.86</v>
      </c>
      <c r="L713" s="77">
        <v>3.82</v>
      </c>
      <c r="N713" s="365">
        <f t="shared" si="211"/>
        <v>111.69</v>
      </c>
      <c r="O713" s="343">
        <f t="shared" si="212"/>
        <v>84.01</v>
      </c>
      <c r="P713" s="195">
        <v>1</v>
      </c>
      <c r="Q713" s="326" t="str">
        <f>IFERROR(VLOOKUP($G713,主力整理!$A$2:$G$2301,6,0),"0")</f>
        <v>0</v>
      </c>
      <c r="T713" s="339">
        <f t="shared" si="213"/>
        <v>1</v>
      </c>
      <c r="V713" s="371">
        <v>0</v>
      </c>
      <c r="W713" s="69">
        <v>5</v>
      </c>
      <c r="X713" s="100">
        <v>3.54</v>
      </c>
      <c r="Y713" s="37" t="str">
        <f>RTD("money.excel",,"2397","Price")</f>
        <v>無資料</v>
      </c>
      <c r="Z713" s="69"/>
      <c r="AA713" s="16" t="e">
        <f t="shared" si="214"/>
        <v>#VALUE!</v>
      </c>
      <c r="AB713" s="3" t="e">
        <f t="shared" si="215"/>
        <v>#VALUE!</v>
      </c>
      <c r="AC713" s="177" t="s">
        <v>2929</v>
      </c>
      <c r="AD713" s="23" t="s">
        <v>874</v>
      </c>
      <c r="AG713" s="34">
        <f t="shared" si="216"/>
        <v>0</v>
      </c>
      <c r="AH713" s="63" t="s">
        <v>3563</v>
      </c>
      <c r="AI713" s="284"/>
      <c r="AK713" s="66">
        <f t="shared" si="221"/>
        <v>0</v>
      </c>
      <c r="AL713" s="174">
        <f t="shared" si="222"/>
        <v>0</v>
      </c>
      <c r="AM713" s="346">
        <f>RTD("money.excel",,$G713,"PredictVolume")</f>
        <v>0</v>
      </c>
      <c r="AN713" s="272">
        <f>RTD("money.excel",,$G713,"CumulativeVolume")</f>
        <v>0</v>
      </c>
      <c r="AO713" s="284"/>
    </row>
    <row r="714" spans="1:41">
      <c r="A714" s="151" t="s">
        <v>2590</v>
      </c>
      <c r="B714" s="84">
        <v>150</v>
      </c>
      <c r="C714" s="84">
        <v>482</v>
      </c>
      <c r="D714" s="84">
        <v>50</v>
      </c>
      <c r="E714" s="84">
        <v>77</v>
      </c>
      <c r="F714" s="7">
        <v>6.96</v>
      </c>
      <c r="G714" s="85">
        <v>2399</v>
      </c>
      <c r="H714" s="53" t="s">
        <v>561</v>
      </c>
      <c r="I714" s="23" t="s">
        <v>875</v>
      </c>
      <c r="J714" s="77">
        <v>25.03</v>
      </c>
      <c r="K714" s="371">
        <v>9.91</v>
      </c>
      <c r="L714" s="77">
        <v>30.59</v>
      </c>
      <c r="M714" s="371">
        <v>7.53</v>
      </c>
      <c r="N714" s="365">
        <f t="shared" si="211"/>
        <v>73.06</v>
      </c>
      <c r="O714" s="343">
        <f t="shared" si="212"/>
        <v>32.56</v>
      </c>
      <c r="P714" s="195">
        <v>8</v>
      </c>
      <c r="Q714" s="326">
        <v>52</v>
      </c>
      <c r="R714" s="111">
        <v>40</v>
      </c>
      <c r="S714" s="51">
        <v>44</v>
      </c>
      <c r="T714" s="339">
        <f t="shared" si="213"/>
        <v>144</v>
      </c>
      <c r="U714" s="329" t="s">
        <v>6538</v>
      </c>
      <c r="V714" s="371">
        <v>4.3</v>
      </c>
      <c r="W714" s="35">
        <v>0.4</v>
      </c>
      <c r="X714" s="100">
        <v>1.75</v>
      </c>
      <c r="Y714" s="37" t="str">
        <f>RTD("money.excel",,"2399","Price")</f>
        <v>無資料</v>
      </c>
      <c r="Z714" s="69"/>
      <c r="AA714" s="16" t="e">
        <f t="shared" si="214"/>
        <v>#VALUE!</v>
      </c>
      <c r="AB714" s="3" t="e">
        <f t="shared" si="215"/>
        <v>#VALUE!</v>
      </c>
      <c r="AC714" s="177" t="s">
        <v>2648</v>
      </c>
      <c r="AD714" s="23" t="s">
        <v>875</v>
      </c>
      <c r="AG714" s="34">
        <f t="shared" si="216"/>
        <v>0</v>
      </c>
      <c r="AH714" s="44" t="s">
        <v>4264</v>
      </c>
      <c r="AI714" s="131"/>
      <c r="AK714" s="66">
        <f t="shared" si="221"/>
        <v>0</v>
      </c>
      <c r="AL714" s="174">
        <f t="shared" si="222"/>
        <v>0</v>
      </c>
      <c r="AM714" s="346">
        <f>RTD("money.excel",,$G714,"PredictVolume")</f>
        <v>0</v>
      </c>
      <c r="AN714" s="272">
        <f>RTD("money.excel",,$G714,"CumulativeVolume")</f>
        <v>0</v>
      </c>
      <c r="AO714" s="284"/>
    </row>
    <row r="715" spans="1:41">
      <c r="A715" s="151" t="s">
        <v>4800</v>
      </c>
      <c r="B715" s="96">
        <v>-98</v>
      </c>
      <c r="C715" s="96">
        <v>31</v>
      </c>
      <c r="D715" s="96">
        <v>-33</v>
      </c>
      <c r="E715" s="96">
        <v>-27</v>
      </c>
      <c r="F715" s="7">
        <v>-1</v>
      </c>
      <c r="G715" s="85">
        <v>2405</v>
      </c>
      <c r="H715" s="54" t="s">
        <v>561</v>
      </c>
      <c r="I715" s="23" t="s">
        <v>335</v>
      </c>
      <c r="J715" s="371">
        <v>19.940000000000001</v>
      </c>
      <c r="K715" s="77">
        <v>4.71</v>
      </c>
      <c r="L715" s="77">
        <v>26.86</v>
      </c>
      <c r="N715" s="365">
        <f t="shared" si="211"/>
        <v>51.510000000000005</v>
      </c>
      <c r="O715" s="343">
        <f t="shared" si="212"/>
        <v>19.940000000000001</v>
      </c>
      <c r="P715" s="195">
        <v>1</v>
      </c>
      <c r="Q715" s="326" t="str">
        <f>IFERROR(VLOOKUP($G715,主力整理!$A$2:$G$2301,6,0),"0")</f>
        <v>0</v>
      </c>
      <c r="T715" s="339">
        <f t="shared" si="213"/>
        <v>1</v>
      </c>
      <c r="V715" s="371">
        <v>7.8</v>
      </c>
      <c r="W715" s="35">
        <v>0</v>
      </c>
      <c r="X715" s="100">
        <v>0.17</v>
      </c>
      <c r="Y715" s="37" t="str">
        <f>RTD("money.excel",,"2405","Price")</f>
        <v>無資料</v>
      </c>
      <c r="Z715" s="69"/>
      <c r="AA715" s="16" t="e">
        <f t="shared" si="214"/>
        <v>#VALUE!</v>
      </c>
      <c r="AB715" s="3" t="e">
        <f t="shared" si="215"/>
        <v>#VALUE!</v>
      </c>
      <c r="AC715" s="177" t="s">
        <v>2648</v>
      </c>
      <c r="AD715" s="23" t="s">
        <v>335</v>
      </c>
      <c r="AG715" s="34">
        <f t="shared" si="216"/>
        <v>0</v>
      </c>
      <c r="AH715" s="125" t="s">
        <v>1697</v>
      </c>
      <c r="AI715" s="131"/>
      <c r="AK715" s="66">
        <f t="shared" si="221"/>
        <v>0</v>
      </c>
      <c r="AL715" s="174">
        <f t="shared" si="222"/>
        <v>0</v>
      </c>
      <c r="AM715" s="346">
        <f>RTD("money.excel",,$G715,"PredictVolume")</f>
        <v>0</v>
      </c>
      <c r="AN715" s="272">
        <f>RTD("money.excel",,$G715,"CumulativeVolume")</f>
        <v>0</v>
      </c>
      <c r="AO715" s="284"/>
    </row>
    <row r="716" spans="1:41">
      <c r="A716" s="135" t="s">
        <v>2855</v>
      </c>
      <c r="B716" s="85">
        <v>-70</v>
      </c>
      <c r="C716" s="85">
        <v>-66</v>
      </c>
      <c r="D716" s="84">
        <v>3</v>
      </c>
      <c r="E716" s="85">
        <v>-51</v>
      </c>
      <c r="F716" s="59">
        <v>12.06</v>
      </c>
      <c r="G716" s="85">
        <v>2417</v>
      </c>
      <c r="H716" s="53" t="s">
        <v>561</v>
      </c>
      <c r="I716" s="23" t="s">
        <v>876</v>
      </c>
      <c r="J716" s="77">
        <v>32.18</v>
      </c>
      <c r="K716" s="77">
        <v>3.36</v>
      </c>
      <c r="L716" s="77">
        <v>22.06</v>
      </c>
      <c r="M716" s="371">
        <v>22.72</v>
      </c>
      <c r="N716" s="365">
        <f t="shared" si="211"/>
        <v>80.319999999999993</v>
      </c>
      <c r="O716" s="343">
        <f t="shared" si="212"/>
        <v>54.9</v>
      </c>
      <c r="P716" s="195">
        <v>5</v>
      </c>
      <c r="Q716" s="326">
        <v>31</v>
      </c>
      <c r="R716" s="111">
        <v>28</v>
      </c>
      <c r="S716" s="51">
        <v>18</v>
      </c>
      <c r="T716" s="339">
        <f t="shared" si="213"/>
        <v>82</v>
      </c>
      <c r="U716" s="329" t="s">
        <v>6540</v>
      </c>
      <c r="V716" s="371">
        <v>2.78</v>
      </c>
      <c r="W716" s="35">
        <v>2</v>
      </c>
      <c r="X716" s="100">
        <v>2.09</v>
      </c>
      <c r="Y716" s="37" t="str">
        <f>RTD("money.excel",,"2417","Price")</f>
        <v>無資料</v>
      </c>
      <c r="Z716" s="69"/>
      <c r="AA716" s="16" t="e">
        <f t="shared" si="214"/>
        <v>#VALUE!</v>
      </c>
      <c r="AB716" s="3" t="e">
        <f t="shared" si="215"/>
        <v>#VALUE!</v>
      </c>
      <c r="AC716" s="177" t="s">
        <v>2648</v>
      </c>
      <c r="AD716" s="23" t="s">
        <v>876</v>
      </c>
      <c r="AG716" s="34">
        <f t="shared" si="216"/>
        <v>0</v>
      </c>
      <c r="AH716" s="63" t="s">
        <v>3857</v>
      </c>
      <c r="AI716" s="131"/>
      <c r="AK716" s="66">
        <f t="shared" si="221"/>
        <v>0</v>
      </c>
      <c r="AL716" s="174">
        <f t="shared" si="222"/>
        <v>0</v>
      </c>
      <c r="AM716" s="346">
        <f>RTD("money.excel",,$G716,"PredictVolume")</f>
        <v>0</v>
      </c>
      <c r="AN716" s="272">
        <f>RTD("money.excel",,$G716,"CumulativeVolume")</f>
        <v>0</v>
      </c>
      <c r="AO716" s="284"/>
    </row>
    <row r="717" spans="1:41">
      <c r="A717" s="151" t="s">
        <v>4801</v>
      </c>
      <c r="B717" s="96">
        <v>-59</v>
      </c>
      <c r="C717" s="96">
        <v>-72</v>
      </c>
      <c r="D717" s="96">
        <v>9</v>
      </c>
      <c r="E717" s="96">
        <v>57</v>
      </c>
      <c r="F717" s="48">
        <v>-1063</v>
      </c>
      <c r="G717" s="85">
        <v>2424</v>
      </c>
      <c r="H717" s="53" t="s">
        <v>561</v>
      </c>
      <c r="I717" s="23" t="s">
        <v>877</v>
      </c>
      <c r="J717" s="77">
        <v>75.349999999999994</v>
      </c>
      <c r="K717" s="77">
        <v>0.23</v>
      </c>
      <c r="L717" s="77">
        <v>11.21</v>
      </c>
      <c r="N717" s="365">
        <f t="shared" si="211"/>
        <v>86.789999999999992</v>
      </c>
      <c r="O717" s="343">
        <f t="shared" si="212"/>
        <v>75.349999999999994</v>
      </c>
      <c r="P717" s="195" t="s">
        <v>5554</v>
      </c>
      <c r="Q717" s="326" t="str">
        <f>IFERROR(VLOOKUP($G717,主力整理!$A$2:$G$2301,6,0),"0")</f>
        <v>0</v>
      </c>
      <c r="T717" s="339">
        <f t="shared" si="213"/>
        <v>0</v>
      </c>
      <c r="V717" s="371">
        <v>43.42</v>
      </c>
      <c r="W717" s="35">
        <v>0</v>
      </c>
      <c r="X717" s="100">
        <v>-5.86</v>
      </c>
      <c r="Y717" s="14" t="str">
        <f>RTD("money.excel",,"2424","Price")</f>
        <v>無資料</v>
      </c>
      <c r="Z717" s="69"/>
      <c r="AA717" s="16" t="e">
        <f t="shared" si="214"/>
        <v>#VALUE!</v>
      </c>
      <c r="AB717" s="3" t="e">
        <f t="shared" si="215"/>
        <v>#VALUE!</v>
      </c>
      <c r="AD717" s="23" t="s">
        <v>877</v>
      </c>
      <c r="AG717" s="34">
        <f t="shared" si="216"/>
        <v>0</v>
      </c>
      <c r="AH717" s="44" t="s">
        <v>4266</v>
      </c>
      <c r="AI717" s="131"/>
      <c r="AK717" s="66">
        <f t="shared" si="221"/>
        <v>0</v>
      </c>
      <c r="AL717" s="174">
        <f t="shared" si="222"/>
        <v>0</v>
      </c>
      <c r="AM717" s="346">
        <f>RTD("money.excel",,$G717,"PredictVolume")</f>
        <v>0</v>
      </c>
      <c r="AN717" s="272">
        <f>RTD("money.excel",,$G717,"CumulativeVolume")</f>
        <v>0</v>
      </c>
      <c r="AO717" s="284"/>
    </row>
    <row r="718" spans="1:41">
      <c r="A718" s="151" t="s">
        <v>2760</v>
      </c>
      <c r="B718" s="85">
        <v>-19</v>
      </c>
      <c r="C718" s="85">
        <v>-24</v>
      </c>
      <c r="D718" s="84">
        <v>36</v>
      </c>
      <c r="E718" s="84">
        <v>68</v>
      </c>
      <c r="F718" s="7">
        <v>3.65</v>
      </c>
      <c r="G718" s="85">
        <v>2425</v>
      </c>
      <c r="H718" s="53" t="s">
        <v>561</v>
      </c>
      <c r="I718" s="23" t="s">
        <v>878</v>
      </c>
      <c r="J718" s="77">
        <v>74.28</v>
      </c>
      <c r="K718" s="77">
        <v>23.94</v>
      </c>
      <c r="L718" s="77">
        <v>22.01</v>
      </c>
      <c r="N718" s="365">
        <f t="shared" si="211"/>
        <v>120.23</v>
      </c>
      <c r="O718" s="343">
        <f t="shared" si="212"/>
        <v>74.28</v>
      </c>
      <c r="P718" s="195">
        <v>1</v>
      </c>
      <c r="Q718" s="326" t="str">
        <f>IFERROR(VLOOKUP($G718,主力整理!$A$2:$G$2301,6,0),"0")</f>
        <v>0</v>
      </c>
      <c r="T718" s="339">
        <f t="shared" si="213"/>
        <v>1</v>
      </c>
      <c r="V718" s="371">
        <v>0.26</v>
      </c>
      <c r="W718" s="35">
        <v>0.3</v>
      </c>
      <c r="X718" s="100">
        <v>1.51</v>
      </c>
      <c r="Y718" s="37" t="str">
        <f>RTD("money.excel",,"2425","Price")</f>
        <v>無資料</v>
      </c>
      <c r="Z718" s="69"/>
      <c r="AA718" s="16" t="e">
        <f t="shared" si="214"/>
        <v>#VALUE!</v>
      </c>
      <c r="AB718" s="3" t="e">
        <f t="shared" si="215"/>
        <v>#VALUE!</v>
      </c>
      <c r="AC718" s="177" t="s">
        <v>2648</v>
      </c>
      <c r="AD718" s="23" t="s">
        <v>878</v>
      </c>
      <c r="AG718" s="34">
        <f t="shared" si="216"/>
        <v>0</v>
      </c>
      <c r="AH718" s="44" t="s">
        <v>2252</v>
      </c>
      <c r="AI718" s="131"/>
      <c r="AK718" s="66">
        <f t="shared" si="221"/>
        <v>0</v>
      </c>
      <c r="AL718" s="174">
        <f t="shared" si="222"/>
        <v>0</v>
      </c>
      <c r="AM718" s="346">
        <f>RTD("money.excel",,$G718,"PredictVolume")</f>
        <v>0</v>
      </c>
      <c r="AN718" s="272">
        <f>RTD("money.excel",,$G718,"CumulativeVolume")</f>
        <v>0</v>
      </c>
      <c r="AO718" s="284"/>
    </row>
    <row r="719" spans="1:41">
      <c r="A719" s="151" t="s">
        <v>4802</v>
      </c>
      <c r="B719" s="145">
        <v>8893</v>
      </c>
      <c r="C719" s="96">
        <v>-42</v>
      </c>
      <c r="D719" s="96">
        <v>32</v>
      </c>
      <c r="E719" s="96">
        <v>59</v>
      </c>
      <c r="F719" s="7">
        <v>-1.22</v>
      </c>
      <c r="G719" s="85">
        <v>2442</v>
      </c>
      <c r="H719" s="53" t="s">
        <v>561</v>
      </c>
      <c r="I719" s="23" t="s">
        <v>879</v>
      </c>
      <c r="J719" s="77">
        <v>59.48</v>
      </c>
      <c r="K719" s="77">
        <v>3.97</v>
      </c>
      <c r="L719" s="77">
        <v>18.91</v>
      </c>
      <c r="N719" s="365">
        <f t="shared" si="211"/>
        <v>82.36</v>
      </c>
      <c r="O719" s="343">
        <f t="shared" si="212"/>
        <v>59.48</v>
      </c>
      <c r="P719" s="195" t="s">
        <v>5554</v>
      </c>
      <c r="Q719" s="326">
        <f>IFERROR(VLOOKUP($G719,主力整理!$A$2:$G$2301,6,0),"0")</f>
        <v>8</v>
      </c>
      <c r="T719" s="339">
        <f t="shared" si="213"/>
        <v>8</v>
      </c>
      <c r="V719" s="371">
        <v>27.5</v>
      </c>
      <c r="W719" s="35">
        <v>0.3</v>
      </c>
      <c r="X719" s="100">
        <v>0.59</v>
      </c>
      <c r="Y719" s="14" t="str">
        <f>RTD("money.excel",,"2442","Price")</f>
        <v>無資料</v>
      </c>
      <c r="Z719" s="69"/>
      <c r="AA719" s="16" t="e">
        <f t="shared" si="214"/>
        <v>#VALUE!</v>
      </c>
      <c r="AB719" s="3" t="e">
        <f t="shared" si="215"/>
        <v>#VALUE!</v>
      </c>
      <c r="AD719" s="23" t="s">
        <v>879</v>
      </c>
      <c r="AG719" s="34">
        <f t="shared" si="216"/>
        <v>0</v>
      </c>
      <c r="AH719" s="44" t="s">
        <v>4267</v>
      </c>
      <c r="AI719" s="131"/>
      <c r="AK719" s="66">
        <f t="shared" si="221"/>
        <v>0</v>
      </c>
      <c r="AL719" s="174">
        <f t="shared" si="222"/>
        <v>0</v>
      </c>
      <c r="AM719" s="346">
        <f>RTD("money.excel",,$G719,"PredictVolume")</f>
        <v>0</v>
      </c>
      <c r="AN719" s="272">
        <f>RTD("money.excel",,$G719,"CumulativeVolume")</f>
        <v>0</v>
      </c>
      <c r="AO719" s="284"/>
    </row>
    <row r="720" spans="1:41">
      <c r="A720" s="151" t="s">
        <v>2694</v>
      </c>
      <c r="B720" s="98">
        <v>6080</v>
      </c>
      <c r="C720" s="98">
        <v>2341</v>
      </c>
      <c r="D720" s="84">
        <v>9</v>
      </c>
      <c r="E720" s="84">
        <v>69</v>
      </c>
      <c r="F720" s="7">
        <v>6.59</v>
      </c>
      <c r="G720" s="85">
        <v>2465</v>
      </c>
      <c r="H720" s="53" t="s">
        <v>561</v>
      </c>
      <c r="I720" s="23" t="s">
        <v>880</v>
      </c>
      <c r="J720" s="371">
        <v>2.56</v>
      </c>
      <c r="K720" s="77">
        <v>1.8</v>
      </c>
      <c r="L720" s="371">
        <v>35.020000000000003</v>
      </c>
      <c r="M720" s="371">
        <v>1.53</v>
      </c>
      <c r="N720" s="365">
        <f t="shared" si="211"/>
        <v>40.910000000000004</v>
      </c>
      <c r="O720" s="343">
        <f t="shared" si="212"/>
        <v>4.09</v>
      </c>
      <c r="P720" s="195">
        <v>6</v>
      </c>
      <c r="Q720" s="326">
        <v>29</v>
      </c>
      <c r="R720" s="111">
        <v>30</v>
      </c>
      <c r="S720" s="51">
        <v>66</v>
      </c>
      <c r="T720" s="339">
        <f t="shared" si="213"/>
        <v>131</v>
      </c>
      <c r="U720" s="329" t="s">
        <v>6538</v>
      </c>
      <c r="V720" s="371">
        <v>0.44</v>
      </c>
      <c r="W720" s="35">
        <v>0</v>
      </c>
      <c r="X720" s="100">
        <v>5.46</v>
      </c>
      <c r="Y720" s="37" t="str">
        <f>RTD("money.excel",,"2465","Price")</f>
        <v>無資料</v>
      </c>
      <c r="Z720" s="69"/>
      <c r="AA720" s="16" t="e">
        <f t="shared" si="214"/>
        <v>#VALUE!</v>
      </c>
      <c r="AB720" s="3" t="e">
        <f t="shared" si="215"/>
        <v>#VALUE!</v>
      </c>
      <c r="AC720" s="177" t="s">
        <v>2648</v>
      </c>
      <c r="AD720" s="23" t="s">
        <v>880</v>
      </c>
      <c r="AG720" s="34">
        <f t="shared" si="216"/>
        <v>0</v>
      </c>
      <c r="AH720" s="44" t="s">
        <v>4264</v>
      </c>
      <c r="AI720" s="131"/>
      <c r="AK720" s="66">
        <f t="shared" ref="AK720" si="223">AM720/(A720*10000)</f>
        <v>0</v>
      </c>
      <c r="AL720" s="174">
        <f t="shared" ref="AL720" si="224">AN720/(A720*10000)</f>
        <v>0</v>
      </c>
      <c r="AM720" s="346">
        <f>RTD("money.excel",,$G720,"PredictVolume")</f>
        <v>0</v>
      </c>
      <c r="AN720" s="272">
        <f>RTD("money.excel",,$G720,"CumulativeVolume")</f>
        <v>0</v>
      </c>
      <c r="AO720" s="284"/>
    </row>
    <row r="721" spans="1:41">
      <c r="A721" s="151" t="s">
        <v>2668</v>
      </c>
      <c r="B721" s="96">
        <v>-2</v>
      </c>
      <c r="C721" s="96">
        <v>-59</v>
      </c>
      <c r="D721" s="96">
        <v>-8</v>
      </c>
      <c r="E721" s="96">
        <v>-8</v>
      </c>
      <c r="F721" s="7">
        <v>0.98</v>
      </c>
      <c r="G721" s="85">
        <v>3002</v>
      </c>
      <c r="H721" s="53" t="s">
        <v>561</v>
      </c>
      <c r="I721" s="23" t="s">
        <v>881</v>
      </c>
      <c r="J721" s="77">
        <v>68.510000000000005</v>
      </c>
      <c r="K721" s="77">
        <v>0.14000000000000001</v>
      </c>
      <c r="L721" s="77">
        <v>18.559999999999999</v>
      </c>
      <c r="N721" s="365">
        <f t="shared" si="211"/>
        <v>87.210000000000008</v>
      </c>
      <c r="O721" s="343">
        <f t="shared" si="212"/>
        <v>68.510000000000005</v>
      </c>
      <c r="P721" s="195" t="s">
        <v>5554</v>
      </c>
      <c r="Q721" s="326" t="str">
        <f>IFERROR(VLOOKUP($G721,主力整理!$A$2:$G$2301,6,0),"0")</f>
        <v>0</v>
      </c>
      <c r="T721" s="339">
        <f t="shared" si="213"/>
        <v>0</v>
      </c>
      <c r="V721" s="371">
        <v>27.91</v>
      </c>
      <c r="W721" s="35">
        <v>0.1</v>
      </c>
      <c r="X721" s="100">
        <v>0.56999999999999995</v>
      </c>
      <c r="Y721" s="14" t="str">
        <f>RTD("money.excel",,"3002","Price")</f>
        <v>無資料</v>
      </c>
      <c r="Z721" s="69"/>
      <c r="AA721" s="16" t="e">
        <f t="shared" si="214"/>
        <v>#VALUE!</v>
      </c>
      <c r="AB721" s="3" t="e">
        <f t="shared" si="215"/>
        <v>#VALUE!</v>
      </c>
      <c r="AD721" s="23" t="s">
        <v>881</v>
      </c>
      <c r="AG721" s="34">
        <f t="shared" si="216"/>
        <v>0</v>
      </c>
      <c r="AH721" s="44" t="s">
        <v>4268</v>
      </c>
      <c r="AI721" s="131"/>
      <c r="AK721" s="66">
        <f t="shared" ref="AK721:AK722" si="225">AM721/(A721*10000)</f>
        <v>0</v>
      </c>
      <c r="AL721" s="174">
        <f t="shared" ref="AL721:AL722" si="226">AN721/(A721*10000)</f>
        <v>0</v>
      </c>
      <c r="AM721" s="346">
        <f>RTD("money.excel",,$G721,"PredictVolume")</f>
        <v>0</v>
      </c>
      <c r="AN721" s="272">
        <f>RTD("money.excel",,$G721,"CumulativeVolume")</f>
        <v>0</v>
      </c>
      <c r="AO721" s="284"/>
    </row>
    <row r="722" spans="1:41">
      <c r="A722" s="151" t="s">
        <v>6481</v>
      </c>
      <c r="B722" s="84">
        <v>85</v>
      </c>
      <c r="C722" s="85">
        <v>-20</v>
      </c>
      <c r="D722" s="84">
        <v>4</v>
      </c>
      <c r="E722" s="85">
        <v>-1</v>
      </c>
      <c r="F722" s="7">
        <v>8.01</v>
      </c>
      <c r="G722" s="85">
        <v>3005</v>
      </c>
      <c r="H722" s="53" t="s">
        <v>561</v>
      </c>
      <c r="I722" s="23" t="s">
        <v>103</v>
      </c>
      <c r="J722" s="371">
        <v>75.650000000000006</v>
      </c>
      <c r="K722" s="371">
        <v>37.32</v>
      </c>
      <c r="L722" s="371">
        <v>1.8</v>
      </c>
      <c r="N722" s="365">
        <f t="shared" si="211"/>
        <v>114.77</v>
      </c>
      <c r="O722" s="343">
        <f t="shared" si="212"/>
        <v>75.650000000000006</v>
      </c>
      <c r="P722" s="195">
        <v>17</v>
      </c>
      <c r="Q722" s="326">
        <v>5</v>
      </c>
      <c r="R722" s="111">
        <v>1</v>
      </c>
      <c r="S722" s="51">
        <v>5</v>
      </c>
      <c r="T722" s="339">
        <f t="shared" si="213"/>
        <v>28</v>
      </c>
      <c r="V722" s="371">
        <v>0.67</v>
      </c>
      <c r="W722" s="69">
        <v>3.59</v>
      </c>
      <c r="X722" s="59">
        <v>7.32</v>
      </c>
      <c r="Y722" s="37" t="str">
        <f>RTD("money.excel",,"3005","Price")</f>
        <v>無資料</v>
      </c>
      <c r="Z722" s="69"/>
      <c r="AA722" s="16" t="e">
        <f t="shared" si="214"/>
        <v>#VALUE!</v>
      </c>
      <c r="AB722" s="3" t="e">
        <f t="shared" si="215"/>
        <v>#VALUE!</v>
      </c>
      <c r="AC722" s="177" t="s">
        <v>2929</v>
      </c>
      <c r="AD722" s="23" t="s">
        <v>103</v>
      </c>
      <c r="AG722" s="34">
        <f t="shared" si="216"/>
        <v>0</v>
      </c>
      <c r="AH722" s="125" t="s">
        <v>4269</v>
      </c>
      <c r="AI722" s="131"/>
      <c r="AK722" s="66">
        <f t="shared" si="225"/>
        <v>0</v>
      </c>
      <c r="AL722" s="174">
        <f t="shared" si="226"/>
        <v>0</v>
      </c>
      <c r="AM722" s="346">
        <f>RTD("money.excel",,$G722,"PredictVolume")</f>
        <v>0</v>
      </c>
      <c r="AN722" s="272">
        <f>RTD("money.excel",,$G722,"CumulativeVolume")</f>
        <v>0</v>
      </c>
      <c r="AO722" s="284"/>
    </row>
    <row r="723" spans="1:41">
      <c r="A723" s="151" t="s">
        <v>3200</v>
      </c>
      <c r="B723" s="96">
        <v>45</v>
      </c>
      <c r="C723" s="96">
        <v>246</v>
      </c>
      <c r="D723" s="96">
        <v>-19</v>
      </c>
      <c r="E723" s="96">
        <v>1</v>
      </c>
      <c r="F723" s="7">
        <v>0.51</v>
      </c>
      <c r="G723" s="85">
        <v>3013</v>
      </c>
      <c r="H723" s="53" t="s">
        <v>561</v>
      </c>
      <c r="I723" s="23" t="s">
        <v>882</v>
      </c>
      <c r="J723" s="77">
        <v>58.19</v>
      </c>
      <c r="K723" s="77">
        <v>2.14</v>
      </c>
      <c r="L723" s="77">
        <v>16.45</v>
      </c>
      <c r="N723" s="365">
        <f t="shared" si="211"/>
        <v>76.78</v>
      </c>
      <c r="O723" s="343">
        <f t="shared" si="212"/>
        <v>58.19</v>
      </c>
      <c r="P723" s="195" t="s">
        <v>5554</v>
      </c>
      <c r="Q723" s="326" t="str">
        <f>IFERROR(VLOOKUP($G723,主力整理!$A$2:$G$2301,6,0),"0")</f>
        <v>0</v>
      </c>
      <c r="T723" s="339">
        <f t="shared" si="213"/>
        <v>0</v>
      </c>
      <c r="V723" s="371">
        <v>21.87</v>
      </c>
      <c r="W723" s="35">
        <v>0.3</v>
      </c>
      <c r="X723" s="100">
        <v>0.4</v>
      </c>
      <c r="Y723" s="14" t="str">
        <f>RTD("money.excel",,"3013","Price")</f>
        <v>無資料</v>
      </c>
      <c r="Z723" s="69"/>
      <c r="AA723" s="16" t="e">
        <f t="shared" si="214"/>
        <v>#VALUE!</v>
      </c>
      <c r="AB723" s="3" t="e">
        <f t="shared" si="215"/>
        <v>#VALUE!</v>
      </c>
      <c r="AD723" s="23" t="s">
        <v>882</v>
      </c>
      <c r="AG723" s="34">
        <f t="shared" si="216"/>
        <v>0</v>
      </c>
      <c r="AH723" s="44" t="s">
        <v>4270</v>
      </c>
      <c r="AI723" s="131"/>
      <c r="AK723" s="66">
        <f t="shared" ref="AK723:AK742" si="227">AM723/(A723*10000)</f>
        <v>0</v>
      </c>
      <c r="AL723" s="174">
        <f t="shared" ref="AL723:AL742" si="228">AN723/(A723*10000)</f>
        <v>0</v>
      </c>
      <c r="AM723" s="346">
        <f>RTD("money.excel",,$G723,"PredictVolume")</f>
        <v>0</v>
      </c>
      <c r="AN723" s="272">
        <f>RTD("money.excel",,$G723,"CumulativeVolume")</f>
        <v>0</v>
      </c>
      <c r="AO723" s="284"/>
    </row>
    <row r="724" spans="1:41">
      <c r="A724" s="151" t="s">
        <v>2557</v>
      </c>
      <c r="B724" s="84">
        <v>121</v>
      </c>
      <c r="C724" s="84">
        <v>196</v>
      </c>
      <c r="D724" s="85">
        <v>-23</v>
      </c>
      <c r="E724" s="84">
        <v>28</v>
      </c>
      <c r="F724" s="7">
        <v>7.48</v>
      </c>
      <c r="G724" s="85">
        <v>3017</v>
      </c>
      <c r="H724" s="53" t="s">
        <v>561</v>
      </c>
      <c r="I724" s="23" t="s">
        <v>230</v>
      </c>
      <c r="J724" s="371">
        <v>53.84</v>
      </c>
      <c r="K724" s="77">
        <v>37.61</v>
      </c>
      <c r="L724" s="77">
        <v>22.12</v>
      </c>
      <c r="N724" s="365">
        <f t="shared" si="211"/>
        <v>113.57000000000001</v>
      </c>
      <c r="O724" s="343">
        <f t="shared" si="212"/>
        <v>53.84</v>
      </c>
      <c r="P724" s="195">
        <v>3</v>
      </c>
      <c r="Q724" s="326">
        <f>IFERROR(VLOOKUP($G724,主力整理!$A$2:$G$2301,6,0),"0")</f>
        <v>8</v>
      </c>
      <c r="T724" s="339">
        <f t="shared" si="213"/>
        <v>11</v>
      </c>
      <c r="V724" s="371">
        <v>1.19</v>
      </c>
      <c r="W724" s="35">
        <v>2.8</v>
      </c>
      <c r="X724" s="59">
        <v>5.42</v>
      </c>
      <c r="Y724" s="37" t="str">
        <f>RTD("money.excel",,"3017","Price")</f>
        <v>無資料</v>
      </c>
      <c r="Z724" s="69"/>
      <c r="AA724" s="16" t="e">
        <f t="shared" si="214"/>
        <v>#VALUE!</v>
      </c>
      <c r="AB724" s="3" t="e">
        <f t="shared" si="215"/>
        <v>#VALUE!</v>
      </c>
      <c r="AC724" s="177" t="s">
        <v>2648</v>
      </c>
      <c r="AD724" s="23" t="s">
        <v>230</v>
      </c>
      <c r="AG724" s="34">
        <f t="shared" si="216"/>
        <v>0</v>
      </c>
      <c r="AH724" s="44" t="s">
        <v>4553</v>
      </c>
      <c r="AI724" s="131"/>
      <c r="AK724" s="66">
        <f t="shared" si="227"/>
        <v>0</v>
      </c>
      <c r="AL724" s="174">
        <f t="shared" si="228"/>
        <v>0</v>
      </c>
      <c r="AM724" s="346">
        <f>RTD("money.excel",,$G724,"PredictVolume")</f>
        <v>0</v>
      </c>
      <c r="AN724" s="272">
        <f>RTD("money.excel",,$G724,"CumulativeVolume")</f>
        <v>0</v>
      </c>
      <c r="AO724" s="284"/>
    </row>
    <row r="725" spans="1:41">
      <c r="A725" s="135" t="s">
        <v>2771</v>
      </c>
      <c r="B725" s="84">
        <v>8</v>
      </c>
      <c r="C725" s="84">
        <v>9</v>
      </c>
      <c r="D725" s="85">
        <v>-5</v>
      </c>
      <c r="E725" s="84">
        <v>10</v>
      </c>
      <c r="F725" s="59">
        <v>14.26</v>
      </c>
      <c r="G725" s="85">
        <v>3022</v>
      </c>
      <c r="H725" s="53" t="s">
        <v>561</v>
      </c>
      <c r="I725" s="23" t="s">
        <v>121</v>
      </c>
      <c r="J725" s="77">
        <v>65.78</v>
      </c>
      <c r="K725" s="77">
        <v>21.02</v>
      </c>
      <c r="L725" s="77">
        <v>5.39</v>
      </c>
      <c r="N725" s="365">
        <f t="shared" si="211"/>
        <v>92.19</v>
      </c>
      <c r="O725" s="343">
        <f t="shared" si="212"/>
        <v>65.78</v>
      </c>
      <c r="P725" s="195" t="s">
        <v>5554</v>
      </c>
      <c r="Q725" s="326" t="str">
        <f>IFERROR(VLOOKUP($G725,主力整理!$A$2:$G$2301,6,0),"0")</f>
        <v>0</v>
      </c>
      <c r="T725" s="339">
        <f t="shared" si="213"/>
        <v>0</v>
      </c>
      <c r="V725" s="371">
        <v>0</v>
      </c>
      <c r="W725" s="35">
        <v>2</v>
      </c>
      <c r="X725" s="100">
        <v>5.63</v>
      </c>
      <c r="Y725" s="37" t="str">
        <f>RTD("money.excel",,"3022","Price")</f>
        <v>無資料</v>
      </c>
      <c r="Z725" s="69"/>
      <c r="AA725" s="16" t="e">
        <f t="shared" si="214"/>
        <v>#VALUE!</v>
      </c>
      <c r="AB725" s="3" t="e">
        <f t="shared" si="215"/>
        <v>#VALUE!</v>
      </c>
      <c r="AC725" s="177" t="s">
        <v>2648</v>
      </c>
      <c r="AD725" s="23" t="s">
        <v>121</v>
      </c>
      <c r="AG725" s="34">
        <f t="shared" si="216"/>
        <v>0</v>
      </c>
      <c r="AH725" s="126" t="s">
        <v>4271</v>
      </c>
      <c r="AI725" s="131"/>
      <c r="AK725" s="66">
        <f t="shared" si="227"/>
        <v>0</v>
      </c>
      <c r="AL725" s="174">
        <f t="shared" si="228"/>
        <v>0</v>
      </c>
      <c r="AM725" s="346">
        <f>RTD("money.excel",,$G725,"PredictVolume")</f>
        <v>0</v>
      </c>
      <c r="AN725" s="272">
        <f>RTD("money.excel",,$G725,"CumulativeVolume")</f>
        <v>0</v>
      </c>
      <c r="AO725" s="284"/>
    </row>
    <row r="726" spans="1:41">
      <c r="A726" s="151" t="s">
        <v>2187</v>
      </c>
      <c r="B726" s="99">
        <v>-880</v>
      </c>
      <c r="C726" s="99">
        <v>-1728</v>
      </c>
      <c r="D726" s="85">
        <v>-1</v>
      </c>
      <c r="E726" s="84">
        <v>14</v>
      </c>
      <c r="F726" s="7">
        <v>-6.55</v>
      </c>
      <c r="G726" s="85">
        <v>3046</v>
      </c>
      <c r="H726" s="53" t="s">
        <v>561</v>
      </c>
      <c r="I726" s="23" t="s">
        <v>883</v>
      </c>
      <c r="J726" s="371">
        <v>65.069999999999993</v>
      </c>
      <c r="K726" s="371">
        <v>1.67</v>
      </c>
      <c r="L726" s="371"/>
      <c r="N726" s="365">
        <f t="shared" si="211"/>
        <v>66.739999999999995</v>
      </c>
      <c r="O726" s="343">
        <f t="shared" si="212"/>
        <v>65.069999999999993</v>
      </c>
      <c r="P726" s="195" t="s">
        <v>5554</v>
      </c>
      <c r="Q726" s="326" t="str">
        <f>IFERROR(VLOOKUP($G726,主力整理!$A$2:$G$2301,6,0),"0")</f>
        <v>0</v>
      </c>
      <c r="T726" s="339">
        <f t="shared" si="213"/>
        <v>0</v>
      </c>
      <c r="W726" s="35">
        <v>0</v>
      </c>
      <c r="X726" s="100">
        <v>-0.93</v>
      </c>
      <c r="Y726" s="37" t="str">
        <f>RTD("money.excel",,"3046","Price")</f>
        <v>無資料</v>
      </c>
      <c r="Z726" s="69"/>
      <c r="AA726" s="16" t="e">
        <f t="shared" si="214"/>
        <v>#VALUE!</v>
      </c>
      <c r="AB726" s="3" t="e">
        <f t="shared" si="215"/>
        <v>#VALUE!</v>
      </c>
      <c r="AC726" s="177" t="s">
        <v>2648</v>
      </c>
      <c r="AD726" s="23" t="s">
        <v>883</v>
      </c>
      <c r="AG726" s="34">
        <f t="shared" si="216"/>
        <v>0</v>
      </c>
      <c r="AH726" s="44" t="s">
        <v>3364</v>
      </c>
      <c r="AI726" s="131"/>
      <c r="AK726" s="66">
        <f t="shared" si="227"/>
        <v>0</v>
      </c>
      <c r="AL726" s="174">
        <f t="shared" si="228"/>
        <v>0</v>
      </c>
      <c r="AM726" s="346">
        <f>RTD("money.excel",,$G726,"PredictVolume")</f>
        <v>0</v>
      </c>
      <c r="AN726" s="272">
        <f>RTD("money.excel",,$G726,"CumulativeVolume")</f>
        <v>0</v>
      </c>
      <c r="AO726" s="284"/>
    </row>
    <row r="727" spans="1:41">
      <c r="A727" s="151" t="s">
        <v>4803</v>
      </c>
      <c r="B727" s="96">
        <v>92</v>
      </c>
      <c r="C727" s="96">
        <v>39</v>
      </c>
      <c r="D727" s="96">
        <v>-6</v>
      </c>
      <c r="E727" s="96">
        <v>-27</v>
      </c>
      <c r="F727" s="7">
        <v>-17.36</v>
      </c>
      <c r="G727" s="85">
        <v>3057</v>
      </c>
      <c r="H727" s="53" t="s">
        <v>561</v>
      </c>
      <c r="I727" s="23" t="s">
        <v>884</v>
      </c>
      <c r="J727" s="77">
        <v>26.81</v>
      </c>
      <c r="K727" s="371">
        <v>4.24</v>
      </c>
      <c r="L727" s="371">
        <v>0</v>
      </c>
      <c r="N727" s="365">
        <f t="shared" ref="N727:N758" si="229">J727+K727+L727+M727</f>
        <v>31.049999999999997</v>
      </c>
      <c r="O727" s="343">
        <f t="shared" ref="O727:O758" si="230">J727+M727</f>
        <v>26.81</v>
      </c>
      <c r="P727" s="195" t="s">
        <v>5554</v>
      </c>
      <c r="Q727" s="326" t="str">
        <f>IFERROR(VLOOKUP($G727,主力整理!$A$2:$G$2301,6,0),"0")</f>
        <v>0</v>
      </c>
      <c r="T727" s="339">
        <f t="shared" ref="T727:T758" si="231">SUM(P727:S727)</f>
        <v>0</v>
      </c>
      <c r="V727" s="371">
        <v>3.57</v>
      </c>
      <c r="W727" s="35">
        <v>0</v>
      </c>
      <c r="X727" s="100">
        <v>-0.48</v>
      </c>
      <c r="Y727" s="37" t="str">
        <f>RTD("money.excel",,"3057","Price")</f>
        <v>無資料</v>
      </c>
      <c r="Z727" s="69"/>
      <c r="AA727" s="16" t="e">
        <f t="shared" ref="AA727:AA758" si="232">Y727-Z727</f>
        <v>#VALUE!</v>
      </c>
      <c r="AB727" s="3" t="e">
        <f t="shared" ref="AB727:AB758" si="233">AA727/Z727</f>
        <v>#VALUE!</v>
      </c>
      <c r="AD727" s="23" t="s">
        <v>884</v>
      </c>
      <c r="AG727" s="34">
        <f t="shared" ref="AG727:AG758" si="234">AF727-AE727</f>
        <v>0</v>
      </c>
      <c r="AH727" s="44" t="s">
        <v>4272</v>
      </c>
      <c r="AI727" s="131"/>
      <c r="AK727" s="66">
        <f t="shared" si="227"/>
        <v>0</v>
      </c>
      <c r="AL727" s="174">
        <f t="shared" si="228"/>
        <v>0</v>
      </c>
      <c r="AM727" s="346">
        <f>RTD("money.excel",,$G727,"PredictVolume")</f>
        <v>0</v>
      </c>
      <c r="AN727" s="272">
        <f>RTD("money.excel",,$G727,"CumulativeVolume")</f>
        <v>0</v>
      </c>
      <c r="AO727" s="284"/>
    </row>
    <row r="728" spans="1:41">
      <c r="A728" s="151" t="s">
        <v>3301</v>
      </c>
      <c r="B728" s="96">
        <v>47</v>
      </c>
      <c r="C728" s="96">
        <v>45</v>
      </c>
      <c r="D728" s="96">
        <v>5</v>
      </c>
      <c r="E728" s="96">
        <v>-12</v>
      </c>
      <c r="F728" s="7">
        <v>-7.88</v>
      </c>
      <c r="G728" s="85">
        <v>3060</v>
      </c>
      <c r="H728" s="53" t="s">
        <v>561</v>
      </c>
      <c r="I728" s="23" t="s">
        <v>885</v>
      </c>
      <c r="J728" s="77">
        <v>22.63</v>
      </c>
      <c r="K728" s="77">
        <v>12.12</v>
      </c>
      <c r="L728" s="77">
        <v>14.25</v>
      </c>
      <c r="N728" s="365">
        <f t="shared" si="229"/>
        <v>49</v>
      </c>
      <c r="O728" s="343">
        <f t="shared" si="230"/>
        <v>22.63</v>
      </c>
      <c r="P728" s="195" t="s">
        <v>5554</v>
      </c>
      <c r="Q728" s="326">
        <f>IFERROR(VLOOKUP($G728,主力整理!$A$2:$G$2301,6,0),"0")</f>
        <v>3</v>
      </c>
      <c r="T728" s="339">
        <f t="shared" si="231"/>
        <v>3</v>
      </c>
      <c r="V728" s="371">
        <v>7.53</v>
      </c>
      <c r="W728" s="35">
        <v>0</v>
      </c>
      <c r="X728" s="100">
        <v>-1.85</v>
      </c>
      <c r="Y728" s="37" t="str">
        <f>RTD("money.excel",,"3060","Price")</f>
        <v>無資料</v>
      </c>
      <c r="Z728" s="69"/>
      <c r="AA728" s="16" t="e">
        <f t="shared" si="232"/>
        <v>#VALUE!</v>
      </c>
      <c r="AB728" s="3" t="e">
        <f t="shared" si="233"/>
        <v>#VALUE!</v>
      </c>
      <c r="AD728" s="23" t="s">
        <v>885</v>
      </c>
      <c r="AG728" s="34">
        <f t="shared" si="234"/>
        <v>0</v>
      </c>
      <c r="AH728" s="44" t="s">
        <v>4273</v>
      </c>
      <c r="AI728" s="131"/>
      <c r="AK728" s="66">
        <f t="shared" si="227"/>
        <v>0</v>
      </c>
      <c r="AL728" s="174">
        <f t="shared" si="228"/>
        <v>0</v>
      </c>
      <c r="AM728" s="346">
        <f>RTD("money.excel",,$G728,"PredictVolume")</f>
        <v>0</v>
      </c>
      <c r="AN728" s="272">
        <f>RTD("money.excel",,$G728,"CumulativeVolume")</f>
        <v>0</v>
      </c>
      <c r="AO728" s="284"/>
    </row>
    <row r="729" spans="1:41">
      <c r="A729" s="151" t="s">
        <v>3238</v>
      </c>
      <c r="B729" s="85">
        <v>-1</v>
      </c>
      <c r="C729" s="84">
        <v>18</v>
      </c>
      <c r="D729" s="85">
        <v>-13</v>
      </c>
      <c r="E729" s="84">
        <v>116</v>
      </c>
      <c r="F729" s="7">
        <v>8.83</v>
      </c>
      <c r="G729" s="85">
        <v>3071</v>
      </c>
      <c r="H729" s="53" t="s">
        <v>561</v>
      </c>
      <c r="I729" s="17" t="s">
        <v>3517</v>
      </c>
      <c r="J729" s="371">
        <v>56.1</v>
      </c>
      <c r="K729" s="371">
        <v>2.61</v>
      </c>
      <c r="L729" s="371">
        <v>12.5</v>
      </c>
      <c r="N729" s="365">
        <f t="shared" si="229"/>
        <v>71.210000000000008</v>
      </c>
      <c r="O729" s="343">
        <f t="shared" si="230"/>
        <v>56.1</v>
      </c>
      <c r="P729" s="195" t="s">
        <v>5554</v>
      </c>
      <c r="Q729" s="326" t="str">
        <f>IFERROR(VLOOKUP($G729,主力整理!$A$2:$G$2301,6,0),"0")</f>
        <v>0</v>
      </c>
      <c r="T729" s="339">
        <f t="shared" si="231"/>
        <v>0</v>
      </c>
      <c r="V729" s="371">
        <v>0.4</v>
      </c>
      <c r="W729" s="35">
        <v>1.6</v>
      </c>
      <c r="X729" s="59">
        <v>1.82</v>
      </c>
      <c r="Y729" s="37" t="str">
        <f>RTD("money.excel",,"3071","Price")</f>
        <v>無資料</v>
      </c>
      <c r="Z729" s="69"/>
      <c r="AA729" s="16" t="e">
        <f t="shared" si="232"/>
        <v>#VALUE!</v>
      </c>
      <c r="AB729" s="3" t="e">
        <f t="shared" si="233"/>
        <v>#VALUE!</v>
      </c>
      <c r="AD729" s="17" t="s">
        <v>3517</v>
      </c>
      <c r="AG729" s="34">
        <f t="shared" si="234"/>
        <v>0</v>
      </c>
      <c r="AH729" s="44" t="s">
        <v>3640</v>
      </c>
      <c r="AI729" s="131"/>
      <c r="AK729" s="66">
        <f t="shared" si="227"/>
        <v>0</v>
      </c>
      <c r="AL729" s="174">
        <f t="shared" si="228"/>
        <v>0</v>
      </c>
      <c r="AM729" s="346">
        <f>RTD("money.excel",,$G729,"PredictVolume")</f>
        <v>0</v>
      </c>
      <c r="AN729" s="272">
        <f>RTD("money.excel",,$G729,"CumulativeVolume")</f>
        <v>0</v>
      </c>
      <c r="AO729" s="284"/>
    </row>
    <row r="730" spans="1:41">
      <c r="A730" s="151" t="s">
        <v>4637</v>
      </c>
      <c r="B730" s="96">
        <v>-38</v>
      </c>
      <c r="C730" s="96">
        <v>-20</v>
      </c>
      <c r="D730" s="96">
        <v>-38</v>
      </c>
      <c r="E730" s="96">
        <v>-36</v>
      </c>
      <c r="F730" s="7">
        <v>8.7200000000000006</v>
      </c>
      <c r="G730" s="85">
        <v>3088</v>
      </c>
      <c r="H730" s="55" t="s">
        <v>561</v>
      </c>
      <c r="I730" s="17" t="s">
        <v>3518</v>
      </c>
      <c r="J730" s="371">
        <v>43.92</v>
      </c>
      <c r="K730" s="374">
        <v>12.38</v>
      </c>
      <c r="L730" s="371">
        <v>1.94</v>
      </c>
      <c r="N730" s="365">
        <f t="shared" si="229"/>
        <v>58.24</v>
      </c>
      <c r="O730" s="343">
        <f t="shared" si="230"/>
        <v>43.92</v>
      </c>
      <c r="P730" s="195">
        <v>1</v>
      </c>
      <c r="Q730" s="326" t="str">
        <f>IFERROR(VLOOKUP($G730,主力整理!$A$2:$G$2301,6,0),"0")</f>
        <v>0</v>
      </c>
      <c r="T730" s="339">
        <f t="shared" si="231"/>
        <v>1</v>
      </c>
      <c r="V730" s="371">
        <v>30.19</v>
      </c>
      <c r="W730" s="35">
        <v>2.6</v>
      </c>
      <c r="X730" s="100">
        <v>3.73</v>
      </c>
      <c r="Y730" s="37" t="str">
        <f>RTD("money.excel",,"3088","Price")</f>
        <v>無資料</v>
      </c>
      <c r="Z730" s="69"/>
      <c r="AA730" s="16" t="e">
        <f t="shared" si="232"/>
        <v>#VALUE!</v>
      </c>
      <c r="AB730" s="3" t="e">
        <f t="shared" si="233"/>
        <v>#VALUE!</v>
      </c>
      <c r="AC730" s="177" t="s">
        <v>2648</v>
      </c>
      <c r="AD730" s="17" t="s">
        <v>3518</v>
      </c>
      <c r="AG730" s="34">
        <f t="shared" si="234"/>
        <v>0</v>
      </c>
      <c r="AH730" s="125" t="s">
        <v>1689</v>
      </c>
      <c r="AI730" s="131"/>
      <c r="AK730" s="66">
        <f t="shared" si="227"/>
        <v>0</v>
      </c>
      <c r="AL730" s="174">
        <f t="shared" si="228"/>
        <v>0</v>
      </c>
      <c r="AM730" s="346">
        <f>RTD("money.excel",,$G730,"PredictVolume")</f>
        <v>0</v>
      </c>
      <c r="AN730" s="272">
        <f>RTD("money.excel",,$G730,"CumulativeVolume")</f>
        <v>0</v>
      </c>
      <c r="AO730" s="284"/>
    </row>
    <row r="731" spans="1:41">
      <c r="A731" s="151" t="s">
        <v>2490</v>
      </c>
      <c r="B731" s="85">
        <v>-14</v>
      </c>
      <c r="C731" s="85">
        <v>-22</v>
      </c>
      <c r="D731" s="84">
        <v>58</v>
      </c>
      <c r="E731" s="84">
        <v>26</v>
      </c>
      <c r="F731" s="7">
        <v>4.84</v>
      </c>
      <c r="G731" s="85">
        <v>3211</v>
      </c>
      <c r="H731" s="55" t="s">
        <v>561</v>
      </c>
      <c r="I731" s="17" t="s">
        <v>423</v>
      </c>
      <c r="J731" s="371">
        <v>24.85</v>
      </c>
      <c r="K731" s="371">
        <v>11.83</v>
      </c>
      <c r="L731" s="77">
        <v>9.42</v>
      </c>
      <c r="N731" s="365">
        <f t="shared" si="229"/>
        <v>46.1</v>
      </c>
      <c r="O731" s="343">
        <f t="shared" si="230"/>
        <v>24.85</v>
      </c>
      <c r="P731" s="195">
        <v>9</v>
      </c>
      <c r="Q731" s="326">
        <v>2</v>
      </c>
      <c r="R731" s="111">
        <v>1</v>
      </c>
      <c r="S731" s="51">
        <v>5</v>
      </c>
      <c r="T731" s="339">
        <f t="shared" si="231"/>
        <v>17</v>
      </c>
      <c r="U731" s="329" t="s">
        <v>6540</v>
      </c>
      <c r="V731" s="371">
        <v>0.98</v>
      </c>
      <c r="W731" s="69">
        <v>6.5</v>
      </c>
      <c r="X731" s="100">
        <v>6.19</v>
      </c>
      <c r="Y731" s="37" t="str">
        <f>RTD("money.excel",,"3211","Price")</f>
        <v>無資料</v>
      </c>
      <c r="Z731" s="69"/>
      <c r="AA731" s="16" t="e">
        <f t="shared" si="232"/>
        <v>#VALUE!</v>
      </c>
      <c r="AB731" s="3" t="e">
        <f t="shared" si="233"/>
        <v>#VALUE!</v>
      </c>
      <c r="AC731" s="177" t="s">
        <v>2929</v>
      </c>
      <c r="AD731" s="17" t="s">
        <v>423</v>
      </c>
      <c r="AG731" s="34">
        <f t="shared" si="234"/>
        <v>0</v>
      </c>
      <c r="AH731" s="44" t="s">
        <v>3532</v>
      </c>
      <c r="AI731" s="131"/>
      <c r="AK731" s="66">
        <f t="shared" si="227"/>
        <v>0</v>
      </c>
      <c r="AL731" s="174">
        <f t="shared" si="228"/>
        <v>0</v>
      </c>
      <c r="AM731" s="346">
        <f>RTD("money.excel",,$G731,"PredictVolume")</f>
        <v>0</v>
      </c>
      <c r="AN731" s="272">
        <f>RTD("money.excel",,$G731,"CumulativeVolume")</f>
        <v>0</v>
      </c>
      <c r="AO731" s="284"/>
    </row>
    <row r="732" spans="1:41">
      <c r="A732" s="135" t="s">
        <v>2959</v>
      </c>
      <c r="B732" s="84">
        <v>56</v>
      </c>
      <c r="C732" s="84">
        <v>70</v>
      </c>
      <c r="D732" s="85">
        <v>-20</v>
      </c>
      <c r="E732" s="84">
        <v>16</v>
      </c>
      <c r="F732" s="59">
        <v>11.39</v>
      </c>
      <c r="G732" s="85">
        <v>3213</v>
      </c>
      <c r="H732" s="55" t="s">
        <v>1815</v>
      </c>
      <c r="I732" s="17" t="s">
        <v>3519</v>
      </c>
      <c r="J732" s="371">
        <v>25.38</v>
      </c>
      <c r="K732" s="77">
        <v>6.01</v>
      </c>
      <c r="L732" s="77">
        <v>1.87</v>
      </c>
      <c r="N732" s="365">
        <f t="shared" si="229"/>
        <v>33.26</v>
      </c>
      <c r="O732" s="343">
        <f t="shared" si="230"/>
        <v>25.38</v>
      </c>
      <c r="P732" s="195" t="s">
        <v>5554</v>
      </c>
      <c r="Q732" s="326" t="str">
        <f>IFERROR(VLOOKUP($G732,主力整理!$A$2:$G$2301,6,0),"0")</f>
        <v>0</v>
      </c>
      <c r="T732" s="339">
        <f t="shared" si="231"/>
        <v>0</v>
      </c>
      <c r="V732" s="371">
        <v>11.37</v>
      </c>
      <c r="W732" s="69">
        <v>4.5</v>
      </c>
      <c r="X732" s="100">
        <v>5.51</v>
      </c>
      <c r="Y732" s="37" t="str">
        <f>RTD("money.excel",,"3213","Price")</f>
        <v>無資料</v>
      </c>
      <c r="Z732" s="69"/>
      <c r="AA732" s="16" t="e">
        <f t="shared" si="232"/>
        <v>#VALUE!</v>
      </c>
      <c r="AB732" s="3" t="e">
        <f t="shared" si="233"/>
        <v>#VALUE!</v>
      </c>
      <c r="AC732" s="177" t="s">
        <v>2929</v>
      </c>
      <c r="AD732" s="17" t="s">
        <v>3519</v>
      </c>
      <c r="AG732" s="34">
        <f t="shared" si="234"/>
        <v>0</v>
      </c>
      <c r="AH732" s="63" t="s">
        <v>3856</v>
      </c>
      <c r="AI732" s="131"/>
      <c r="AK732" s="66">
        <f t="shared" si="227"/>
        <v>0</v>
      </c>
      <c r="AL732" s="174">
        <f t="shared" si="228"/>
        <v>0</v>
      </c>
      <c r="AM732" s="346">
        <f>RTD("money.excel",,$G732,"PredictVolume")</f>
        <v>0</v>
      </c>
      <c r="AN732" s="272">
        <f>RTD("money.excel",,$G732,"CumulativeVolume")</f>
        <v>0</v>
      </c>
      <c r="AO732" s="284"/>
    </row>
    <row r="733" spans="1:41">
      <c r="A733" s="151" t="s">
        <v>2447</v>
      </c>
      <c r="B733" s="85">
        <v>-13</v>
      </c>
      <c r="C733" s="84">
        <v>6</v>
      </c>
      <c r="D733" s="85">
        <v>-2</v>
      </c>
      <c r="E733" s="84">
        <v>11</v>
      </c>
      <c r="F733" s="7">
        <v>1.82</v>
      </c>
      <c r="G733" s="85">
        <v>3231</v>
      </c>
      <c r="H733" s="53" t="s">
        <v>561</v>
      </c>
      <c r="I733" s="23" t="s">
        <v>39</v>
      </c>
      <c r="J733" s="77">
        <v>56.7</v>
      </c>
      <c r="K733" s="77">
        <v>42.44</v>
      </c>
      <c r="L733" s="371">
        <v>1.58</v>
      </c>
      <c r="N733" s="365">
        <f t="shared" si="229"/>
        <v>100.72</v>
      </c>
      <c r="O733" s="343">
        <f t="shared" si="230"/>
        <v>56.7</v>
      </c>
      <c r="P733" s="195">
        <v>57</v>
      </c>
      <c r="Q733" s="326">
        <v>37</v>
      </c>
      <c r="R733" s="111">
        <v>0</v>
      </c>
      <c r="S733" s="51">
        <v>8</v>
      </c>
      <c r="T733" s="339">
        <f t="shared" si="231"/>
        <v>102</v>
      </c>
      <c r="V733" s="371">
        <v>1.38</v>
      </c>
      <c r="W733" s="35">
        <v>2.2000000000000002</v>
      </c>
      <c r="X733" s="59">
        <v>2.66</v>
      </c>
      <c r="Y733" s="14" t="str">
        <f>RTD("money.excel",,"3231","Price")</f>
        <v>無資料</v>
      </c>
      <c r="Z733" s="69"/>
      <c r="AA733" s="16" t="e">
        <f t="shared" si="232"/>
        <v>#VALUE!</v>
      </c>
      <c r="AB733" s="3" t="e">
        <f t="shared" si="233"/>
        <v>#VALUE!</v>
      </c>
      <c r="AC733" s="177" t="s">
        <v>2648</v>
      </c>
      <c r="AD733" s="23" t="s">
        <v>39</v>
      </c>
      <c r="AG733" s="34">
        <f t="shared" si="234"/>
        <v>0</v>
      </c>
      <c r="AH733" s="125" t="s">
        <v>4274</v>
      </c>
      <c r="AI733" s="131"/>
      <c r="AK733" s="66">
        <f t="shared" si="227"/>
        <v>0</v>
      </c>
      <c r="AL733" s="174">
        <f t="shared" si="228"/>
        <v>0</v>
      </c>
      <c r="AM733" s="346">
        <f>RTD("money.excel",,$G733,"PredictVolume")</f>
        <v>0</v>
      </c>
      <c r="AN733" s="272">
        <f>RTD("money.excel",,$G733,"CumulativeVolume")</f>
        <v>0</v>
      </c>
      <c r="AO733" s="284"/>
    </row>
    <row r="734" spans="1:41">
      <c r="A734" s="151" t="s">
        <v>4649</v>
      </c>
      <c r="B734" s="84">
        <v>73</v>
      </c>
      <c r="C734" s="84">
        <v>59</v>
      </c>
      <c r="D734" s="84">
        <v>36</v>
      </c>
      <c r="E734" s="85">
        <v>-12</v>
      </c>
      <c r="F734" s="7">
        <v>4.25</v>
      </c>
      <c r="G734" s="85">
        <v>3272</v>
      </c>
      <c r="H734" s="55" t="s">
        <v>1815</v>
      </c>
      <c r="I734" s="17" t="s">
        <v>3520</v>
      </c>
      <c r="J734" s="371">
        <v>41.37</v>
      </c>
      <c r="K734" s="371">
        <v>1.29</v>
      </c>
      <c r="L734" s="371">
        <v>27.94</v>
      </c>
      <c r="N734" s="365">
        <f t="shared" si="229"/>
        <v>70.599999999999994</v>
      </c>
      <c r="O734" s="343">
        <f t="shared" si="230"/>
        <v>41.37</v>
      </c>
      <c r="P734" s="195" t="s">
        <v>5554</v>
      </c>
      <c r="Q734" s="326" t="str">
        <f>IFERROR(VLOOKUP($G734,主力整理!$A$2:$G$2301,6,0),"0")</f>
        <v>0</v>
      </c>
      <c r="T734" s="339">
        <f t="shared" si="231"/>
        <v>0</v>
      </c>
      <c r="V734" s="371">
        <v>2.78</v>
      </c>
      <c r="W734" s="35">
        <v>1.8</v>
      </c>
      <c r="X734" s="100">
        <v>3.51</v>
      </c>
      <c r="Y734" s="37" t="str">
        <f>RTD("money.excel",,"3272","Price")</f>
        <v>無資料</v>
      </c>
      <c r="Z734" s="69"/>
      <c r="AA734" s="16" t="e">
        <f t="shared" si="232"/>
        <v>#VALUE!</v>
      </c>
      <c r="AB734" s="3" t="e">
        <f t="shared" si="233"/>
        <v>#VALUE!</v>
      </c>
      <c r="AD734" s="17" t="s">
        <v>3520</v>
      </c>
      <c r="AG734" s="34">
        <f t="shared" si="234"/>
        <v>0</v>
      </c>
      <c r="AH734" s="127" t="s">
        <v>3671</v>
      </c>
      <c r="AI734" s="131"/>
      <c r="AK734" s="66">
        <f t="shared" si="227"/>
        <v>0</v>
      </c>
      <c r="AL734" s="174">
        <f t="shared" si="228"/>
        <v>0</v>
      </c>
      <c r="AM734" s="346">
        <f>RTD("money.excel",,$G734,"PredictVolume")</f>
        <v>0</v>
      </c>
      <c r="AN734" s="272">
        <f>RTD("money.excel",,$G734,"CumulativeVolume")</f>
        <v>0</v>
      </c>
      <c r="AO734" s="284"/>
    </row>
    <row r="735" spans="1:41">
      <c r="A735" s="135" t="s">
        <v>4650</v>
      </c>
      <c r="B735" s="84">
        <v>172</v>
      </c>
      <c r="C735" s="84">
        <v>316</v>
      </c>
      <c r="D735" s="84">
        <v>13</v>
      </c>
      <c r="E735" s="85">
        <v>-12</v>
      </c>
      <c r="F735" s="59">
        <v>12.97</v>
      </c>
      <c r="G735" s="85">
        <v>3287</v>
      </c>
      <c r="H735" s="55" t="s">
        <v>1815</v>
      </c>
      <c r="I735" s="17" t="s">
        <v>3521</v>
      </c>
      <c r="J735" s="371">
        <v>51.08</v>
      </c>
      <c r="K735" s="371">
        <v>0.68</v>
      </c>
      <c r="L735" s="77">
        <v>14.58</v>
      </c>
      <c r="N735" s="365">
        <f t="shared" si="229"/>
        <v>66.34</v>
      </c>
      <c r="O735" s="343">
        <f t="shared" si="230"/>
        <v>51.08</v>
      </c>
      <c r="P735" s="195" t="s">
        <v>5554</v>
      </c>
      <c r="Q735" s="326" t="str">
        <f>IFERROR(VLOOKUP($G735,主力整理!$A$2:$G$2301,6,0),"0")</f>
        <v>0</v>
      </c>
      <c r="R735" s="111">
        <v>26</v>
      </c>
      <c r="T735" s="339">
        <f t="shared" si="231"/>
        <v>26</v>
      </c>
      <c r="V735" s="371">
        <v>0.25</v>
      </c>
      <c r="W735" s="35">
        <v>0</v>
      </c>
      <c r="X735" s="59">
        <v>1.88</v>
      </c>
      <c r="Y735" s="37" t="str">
        <f>RTD("money.excel",,"3287","Price")</f>
        <v>無資料</v>
      </c>
      <c r="Z735" s="69"/>
      <c r="AA735" s="16" t="e">
        <f t="shared" si="232"/>
        <v>#VALUE!</v>
      </c>
      <c r="AB735" s="3" t="e">
        <f t="shared" si="233"/>
        <v>#VALUE!</v>
      </c>
      <c r="AD735" s="17" t="s">
        <v>3521</v>
      </c>
      <c r="AG735" s="34">
        <f t="shared" si="234"/>
        <v>0</v>
      </c>
      <c r="AH735" s="63" t="s">
        <v>3857</v>
      </c>
      <c r="AI735" s="131"/>
      <c r="AK735" s="66">
        <f t="shared" si="227"/>
        <v>0</v>
      </c>
      <c r="AL735" s="174">
        <f t="shared" si="228"/>
        <v>0</v>
      </c>
      <c r="AM735" s="346">
        <f>RTD("money.excel",,$G735,"PredictVolume")</f>
        <v>0</v>
      </c>
      <c r="AN735" s="272">
        <f>RTD("money.excel",,$G735,"CumulativeVolume")</f>
        <v>0</v>
      </c>
      <c r="AO735" s="284"/>
    </row>
    <row r="736" spans="1:41">
      <c r="A736" s="151" t="s">
        <v>3522</v>
      </c>
      <c r="B736" s="85">
        <v>-1</v>
      </c>
      <c r="C736" s="84">
        <v>1</v>
      </c>
      <c r="D736" s="85">
        <v>-15</v>
      </c>
      <c r="E736" s="85">
        <v>-40</v>
      </c>
      <c r="F736" s="7">
        <v>2.39</v>
      </c>
      <c r="G736" s="85">
        <v>3323</v>
      </c>
      <c r="H736" s="55" t="s">
        <v>561</v>
      </c>
      <c r="I736" s="17" t="s">
        <v>3523</v>
      </c>
      <c r="J736" s="371">
        <v>10.54</v>
      </c>
      <c r="K736" s="77">
        <v>4.41</v>
      </c>
      <c r="L736" s="77">
        <v>22.31</v>
      </c>
      <c r="N736" s="365">
        <f t="shared" si="229"/>
        <v>37.26</v>
      </c>
      <c r="O736" s="343">
        <f t="shared" si="230"/>
        <v>10.54</v>
      </c>
      <c r="P736" s="195">
        <v>1</v>
      </c>
      <c r="Q736" s="326">
        <f>IFERROR(VLOOKUP($G736,主力整理!$A$2:$G$2301,6,0),"0")</f>
        <v>1</v>
      </c>
      <c r="R736" s="111">
        <v>5</v>
      </c>
      <c r="S736" s="51">
        <v>0</v>
      </c>
      <c r="T736" s="339">
        <f t="shared" si="231"/>
        <v>7</v>
      </c>
      <c r="V736" s="371">
        <v>11.88</v>
      </c>
      <c r="W736" s="35">
        <v>2.5</v>
      </c>
      <c r="X736" s="100">
        <v>4.09</v>
      </c>
      <c r="Y736" s="37" t="str">
        <f>RTD("money.excel",,"3323","Price")</f>
        <v>無資料</v>
      </c>
      <c r="Z736" s="69"/>
      <c r="AA736" s="16" t="e">
        <f t="shared" si="232"/>
        <v>#VALUE!</v>
      </c>
      <c r="AB736" s="3" t="e">
        <f t="shared" si="233"/>
        <v>#VALUE!</v>
      </c>
      <c r="AC736" s="177" t="s">
        <v>2648</v>
      </c>
      <c r="AD736" s="17" t="s">
        <v>3523</v>
      </c>
      <c r="AG736" s="34">
        <f t="shared" si="234"/>
        <v>0</v>
      </c>
      <c r="AH736" s="44" t="s">
        <v>3532</v>
      </c>
      <c r="AI736" s="131"/>
      <c r="AK736" s="66">
        <f t="shared" si="227"/>
        <v>0</v>
      </c>
      <c r="AL736" s="174">
        <f t="shared" si="228"/>
        <v>0</v>
      </c>
      <c r="AM736" s="346">
        <f>RTD("money.excel",,$G736,"PredictVolume")</f>
        <v>0</v>
      </c>
      <c r="AN736" s="272">
        <f>RTD("money.excel",,$G736,"CumulativeVolume")</f>
        <v>0</v>
      </c>
      <c r="AO736" s="284"/>
    </row>
    <row r="737" spans="1:41">
      <c r="A737" s="151" t="s">
        <v>3393</v>
      </c>
      <c r="B737" s="85">
        <v>-121</v>
      </c>
      <c r="C737" s="85">
        <v>-113</v>
      </c>
      <c r="D737" s="84">
        <v>9</v>
      </c>
      <c r="E737" s="84">
        <v>13</v>
      </c>
      <c r="F737" s="7">
        <v>-2.85</v>
      </c>
      <c r="G737" s="85">
        <v>3325</v>
      </c>
      <c r="H737" s="55" t="s">
        <v>561</v>
      </c>
      <c r="I737" s="17" t="s">
        <v>901</v>
      </c>
      <c r="J737" s="77">
        <v>13.93</v>
      </c>
      <c r="K737" s="77">
        <v>0.73</v>
      </c>
      <c r="L737" s="77">
        <v>22.24</v>
      </c>
      <c r="M737" s="371">
        <v>12.2</v>
      </c>
      <c r="N737" s="365">
        <f t="shared" si="229"/>
        <v>49.099999999999994</v>
      </c>
      <c r="O737" s="343">
        <f t="shared" si="230"/>
        <v>26.13</v>
      </c>
      <c r="P737" s="195">
        <v>0</v>
      </c>
      <c r="Q737" s="326">
        <v>7</v>
      </c>
      <c r="R737" s="111">
        <v>16</v>
      </c>
      <c r="S737" s="51">
        <v>11</v>
      </c>
      <c r="T737" s="339">
        <f t="shared" si="231"/>
        <v>34</v>
      </c>
      <c r="U737" s="329" t="s">
        <v>6539</v>
      </c>
      <c r="V737" s="371">
        <v>1.29</v>
      </c>
      <c r="W737" s="35">
        <v>2.5</v>
      </c>
      <c r="X737" s="100">
        <v>-0.44</v>
      </c>
      <c r="Y737" s="37" t="str">
        <f>RTD("money.excel",,"3325","Price")</f>
        <v>無資料</v>
      </c>
      <c r="Z737" s="69"/>
      <c r="AA737" s="16" t="e">
        <f t="shared" si="232"/>
        <v>#VALUE!</v>
      </c>
      <c r="AB737" s="3" t="e">
        <f t="shared" si="233"/>
        <v>#VALUE!</v>
      </c>
      <c r="AD737" s="17" t="s">
        <v>901</v>
      </c>
      <c r="AG737" s="34">
        <f t="shared" si="234"/>
        <v>0</v>
      </c>
      <c r="AH737" s="44" t="s">
        <v>3858</v>
      </c>
      <c r="AI737" s="131"/>
      <c r="AK737" s="66">
        <f t="shared" si="227"/>
        <v>0</v>
      </c>
      <c r="AL737" s="174">
        <f t="shared" si="228"/>
        <v>0</v>
      </c>
      <c r="AM737" s="346">
        <f>RTD("money.excel",,$G737,"PredictVolume")</f>
        <v>0</v>
      </c>
      <c r="AN737" s="272">
        <f>RTD("money.excel",,$G737,"CumulativeVolume")</f>
        <v>0</v>
      </c>
      <c r="AO737" s="284"/>
    </row>
    <row r="738" spans="1:41">
      <c r="A738" s="135" t="s">
        <v>2432</v>
      </c>
      <c r="B738" s="85">
        <v>-1</v>
      </c>
      <c r="C738" s="85">
        <v>-1</v>
      </c>
      <c r="D738" s="84">
        <v>14</v>
      </c>
      <c r="E738" s="84">
        <v>34</v>
      </c>
      <c r="F738" s="59">
        <v>16.2</v>
      </c>
      <c r="G738" s="85">
        <v>3416</v>
      </c>
      <c r="H738" s="53" t="s">
        <v>561</v>
      </c>
      <c r="I738" s="23" t="s">
        <v>886</v>
      </c>
      <c r="J738" s="77">
        <v>59.86</v>
      </c>
      <c r="K738" s="77">
        <v>2.74</v>
      </c>
      <c r="L738" s="77">
        <v>6.43</v>
      </c>
      <c r="N738" s="365">
        <f t="shared" si="229"/>
        <v>69.03</v>
      </c>
      <c r="O738" s="343">
        <f t="shared" si="230"/>
        <v>59.86</v>
      </c>
      <c r="P738" s="195">
        <v>2</v>
      </c>
      <c r="Q738" s="326" t="str">
        <f>IFERROR(VLOOKUP($G738,主力整理!$A$2:$G$2301,6,0),"0")</f>
        <v>0</v>
      </c>
      <c r="R738" s="111">
        <v>0</v>
      </c>
      <c r="T738" s="339">
        <f t="shared" si="231"/>
        <v>2</v>
      </c>
      <c r="V738" s="371">
        <v>0.01</v>
      </c>
      <c r="W738" s="69">
        <v>4</v>
      </c>
      <c r="X738" s="100">
        <v>3.55</v>
      </c>
      <c r="Y738" s="37" t="str">
        <f>RTD("money.excel",,"3416","Price")</f>
        <v>無資料</v>
      </c>
      <c r="Z738" s="69"/>
      <c r="AA738" s="16" t="e">
        <f t="shared" si="232"/>
        <v>#VALUE!</v>
      </c>
      <c r="AB738" s="3" t="e">
        <f t="shared" si="233"/>
        <v>#VALUE!</v>
      </c>
      <c r="AC738" s="177" t="s">
        <v>2929</v>
      </c>
      <c r="AD738" s="23" t="s">
        <v>886</v>
      </c>
      <c r="AG738" s="34">
        <f t="shared" si="234"/>
        <v>0</v>
      </c>
      <c r="AH738" s="63" t="s">
        <v>3563</v>
      </c>
      <c r="AI738" s="131"/>
      <c r="AK738" s="66">
        <f t="shared" si="227"/>
        <v>0</v>
      </c>
      <c r="AL738" s="174">
        <f t="shared" si="228"/>
        <v>0</v>
      </c>
      <c r="AM738" s="346">
        <f>RTD("money.excel",,$G738,"PredictVolume")</f>
        <v>0</v>
      </c>
      <c r="AN738" s="272">
        <f>RTD("money.excel",,$G738,"CumulativeVolume")</f>
        <v>0</v>
      </c>
      <c r="AO738" s="284"/>
    </row>
    <row r="739" spans="1:41">
      <c r="A739" s="151" t="s">
        <v>2960</v>
      </c>
      <c r="B739" s="85">
        <v>-40</v>
      </c>
      <c r="C739" s="85">
        <v>-49</v>
      </c>
      <c r="D739" s="84">
        <v>15</v>
      </c>
      <c r="E739" s="85">
        <v>-34</v>
      </c>
      <c r="F739" s="7">
        <v>6.09</v>
      </c>
      <c r="G739" s="85">
        <v>3479</v>
      </c>
      <c r="H739" s="55" t="s">
        <v>561</v>
      </c>
      <c r="I739" s="17" t="s">
        <v>3524</v>
      </c>
      <c r="J739" s="77">
        <v>31.87</v>
      </c>
      <c r="K739" s="371">
        <v>4.8899999999999997</v>
      </c>
      <c r="L739" s="371">
        <v>20.73</v>
      </c>
      <c r="N739" s="365">
        <f t="shared" si="229"/>
        <v>57.489999999999995</v>
      </c>
      <c r="O739" s="343">
        <f t="shared" si="230"/>
        <v>31.87</v>
      </c>
      <c r="P739" s="195">
        <v>1</v>
      </c>
      <c r="Q739" s="326" t="str">
        <f>IFERROR(VLOOKUP($G739,主力整理!$A$2:$G$2301,6,0),"0")</f>
        <v>0</v>
      </c>
      <c r="T739" s="339">
        <f t="shared" si="231"/>
        <v>1</v>
      </c>
      <c r="V739" s="371">
        <v>0.01</v>
      </c>
      <c r="W739" s="35">
        <v>2.6</v>
      </c>
      <c r="X739" s="100">
        <v>3.24</v>
      </c>
      <c r="Y739" s="37" t="str">
        <f>RTD("money.excel",,"3479","Price")</f>
        <v>無資料</v>
      </c>
      <c r="Z739" s="69"/>
      <c r="AA739" s="16" t="e">
        <f t="shared" si="232"/>
        <v>#VALUE!</v>
      </c>
      <c r="AB739" s="3" t="e">
        <f t="shared" si="233"/>
        <v>#VALUE!</v>
      </c>
      <c r="AC739" s="177" t="s">
        <v>2648</v>
      </c>
      <c r="AD739" s="17" t="s">
        <v>3524</v>
      </c>
      <c r="AG739" s="34">
        <f t="shared" si="234"/>
        <v>0</v>
      </c>
      <c r="AH739" s="125" t="s">
        <v>3655</v>
      </c>
      <c r="AI739" s="131"/>
      <c r="AK739" s="66">
        <f t="shared" si="227"/>
        <v>0</v>
      </c>
      <c r="AL739" s="174">
        <f t="shared" si="228"/>
        <v>0</v>
      </c>
      <c r="AM739" s="346">
        <f>RTD("money.excel",,$G739,"PredictVolume")</f>
        <v>0</v>
      </c>
      <c r="AN739" s="272">
        <f>RTD("money.excel",,$G739,"CumulativeVolume")</f>
        <v>0</v>
      </c>
      <c r="AO739" s="284"/>
    </row>
    <row r="740" spans="1:41" ht="16.5" customHeight="1">
      <c r="A740" s="151" t="s">
        <v>6772</v>
      </c>
      <c r="B740" s="85">
        <v>-6</v>
      </c>
      <c r="C740" s="85">
        <v>-35</v>
      </c>
      <c r="D740" s="84">
        <v>9</v>
      </c>
      <c r="E740" s="84">
        <v>59</v>
      </c>
      <c r="F740" s="7">
        <v>4.67</v>
      </c>
      <c r="G740" s="85">
        <v>3483</v>
      </c>
      <c r="H740" s="55" t="s">
        <v>561</v>
      </c>
      <c r="I740" s="17" t="s">
        <v>902</v>
      </c>
      <c r="J740" s="77">
        <v>6.73</v>
      </c>
      <c r="K740" s="371">
        <v>4.2</v>
      </c>
      <c r="L740" s="77">
        <v>63.95</v>
      </c>
      <c r="M740" s="371">
        <v>5.68</v>
      </c>
      <c r="N740" s="365">
        <f t="shared" si="229"/>
        <v>80.56</v>
      </c>
      <c r="O740" s="343">
        <f t="shared" si="230"/>
        <v>12.41</v>
      </c>
      <c r="P740" s="195">
        <v>3</v>
      </c>
      <c r="Q740" s="326">
        <v>27</v>
      </c>
      <c r="R740" s="111">
        <v>41</v>
      </c>
      <c r="S740" s="51">
        <v>43</v>
      </c>
      <c r="T740" s="339">
        <f t="shared" si="231"/>
        <v>114</v>
      </c>
      <c r="U740" s="329" t="s">
        <v>6540</v>
      </c>
      <c r="V740" s="371">
        <v>4.16</v>
      </c>
      <c r="W740" s="35">
        <v>2.5</v>
      </c>
      <c r="X740" s="100">
        <v>3.93</v>
      </c>
      <c r="Y740" s="37" t="str">
        <f>RTD("money.excel",,"3483","Price")</f>
        <v>無資料</v>
      </c>
      <c r="Z740" s="69"/>
      <c r="AA740" s="16" t="e">
        <f t="shared" si="232"/>
        <v>#VALUE!</v>
      </c>
      <c r="AB740" s="3" t="e">
        <f t="shared" si="233"/>
        <v>#VALUE!</v>
      </c>
      <c r="AC740" s="177" t="s">
        <v>2648</v>
      </c>
      <c r="AD740" s="17" t="s">
        <v>902</v>
      </c>
      <c r="AG740" s="34">
        <f t="shared" si="234"/>
        <v>0</v>
      </c>
      <c r="AH740" s="44" t="s">
        <v>4552</v>
      </c>
      <c r="AI740" s="131"/>
      <c r="AK740" s="66">
        <f t="shared" si="227"/>
        <v>0</v>
      </c>
      <c r="AL740" s="174">
        <f t="shared" si="228"/>
        <v>0</v>
      </c>
      <c r="AM740" s="346">
        <f>RTD("money.excel",,$G740,"PredictVolume")</f>
        <v>0</v>
      </c>
      <c r="AN740" s="272">
        <f>RTD("money.excel",,$G740,"CumulativeVolume")</f>
        <v>0</v>
      </c>
      <c r="AO740" s="284"/>
    </row>
    <row r="741" spans="1:41">
      <c r="A741" s="151" t="s">
        <v>4798</v>
      </c>
      <c r="B741" s="96">
        <v>-194</v>
      </c>
      <c r="C741" s="96">
        <v>-38</v>
      </c>
      <c r="D741" s="96">
        <v>-35</v>
      </c>
      <c r="E741" s="96">
        <v>-52</v>
      </c>
      <c r="F741" s="7">
        <v>-99.12</v>
      </c>
      <c r="G741" s="85">
        <v>3494</v>
      </c>
      <c r="H741" s="53" t="s">
        <v>561</v>
      </c>
      <c r="I741" s="23" t="s">
        <v>887</v>
      </c>
      <c r="J741" s="77">
        <v>48.93</v>
      </c>
      <c r="K741" s="77">
        <v>5.67</v>
      </c>
      <c r="L741" s="77">
        <v>0</v>
      </c>
      <c r="N741" s="365">
        <f t="shared" si="229"/>
        <v>54.6</v>
      </c>
      <c r="O741" s="343">
        <f t="shared" si="230"/>
        <v>48.93</v>
      </c>
      <c r="P741" s="195" t="s">
        <v>5554</v>
      </c>
      <c r="Q741" s="326" t="str">
        <f>IFERROR(VLOOKUP($G741,主力整理!$A$2:$G$2301,6,0),"0")</f>
        <v>0</v>
      </c>
      <c r="T741" s="339">
        <f t="shared" si="231"/>
        <v>0</v>
      </c>
      <c r="V741" s="371">
        <v>25.78</v>
      </c>
      <c r="W741" s="35">
        <v>0</v>
      </c>
      <c r="X741" s="100">
        <v>-2.44</v>
      </c>
      <c r="Y741" s="37" t="str">
        <f>RTD("money.excel",,"3494","Price")</f>
        <v>無資料</v>
      </c>
      <c r="Z741" s="69"/>
      <c r="AA741" s="16" t="e">
        <f t="shared" si="232"/>
        <v>#VALUE!</v>
      </c>
      <c r="AB741" s="3" t="e">
        <f t="shared" si="233"/>
        <v>#VALUE!</v>
      </c>
      <c r="AD741" s="23" t="s">
        <v>887</v>
      </c>
      <c r="AG741" s="34">
        <f t="shared" si="234"/>
        <v>0</v>
      </c>
      <c r="AH741" s="44" t="s">
        <v>4275</v>
      </c>
      <c r="AI741" s="131"/>
      <c r="AK741" s="66">
        <f t="shared" si="227"/>
        <v>0</v>
      </c>
      <c r="AL741" s="174">
        <f t="shared" si="228"/>
        <v>0</v>
      </c>
      <c r="AM741" s="346">
        <f>RTD("money.excel",,$G741,"PredictVolume")</f>
        <v>0</v>
      </c>
      <c r="AN741" s="272">
        <f>RTD("money.excel",,$G741,"CumulativeVolume")</f>
        <v>0</v>
      </c>
      <c r="AO741" s="284"/>
    </row>
    <row r="742" spans="1:41">
      <c r="A742" s="135" t="s">
        <v>3033</v>
      </c>
      <c r="B742" s="84">
        <v>119</v>
      </c>
      <c r="C742" s="84">
        <v>141</v>
      </c>
      <c r="D742" s="84">
        <v>12</v>
      </c>
      <c r="E742" s="85">
        <v>-16</v>
      </c>
      <c r="F742" s="59">
        <v>16.7</v>
      </c>
      <c r="G742" s="85">
        <v>3515</v>
      </c>
      <c r="H742" s="53" t="s">
        <v>561</v>
      </c>
      <c r="I742" s="23" t="s">
        <v>888</v>
      </c>
      <c r="J742" s="371">
        <v>65.28</v>
      </c>
      <c r="K742" s="371">
        <v>6.51</v>
      </c>
      <c r="L742" s="371">
        <v>7.69</v>
      </c>
      <c r="N742" s="365">
        <f t="shared" si="229"/>
        <v>79.48</v>
      </c>
      <c r="O742" s="343">
        <f t="shared" si="230"/>
        <v>65.28</v>
      </c>
      <c r="P742" s="195">
        <v>15</v>
      </c>
      <c r="Q742" s="326" t="str">
        <f>IFERROR(VLOOKUP($G742,主力整理!$A$2:$G$2301,6,0),"0")</f>
        <v>0</v>
      </c>
      <c r="R742" s="111">
        <v>8</v>
      </c>
      <c r="S742" s="51">
        <v>12</v>
      </c>
      <c r="T742" s="339">
        <f t="shared" si="231"/>
        <v>35</v>
      </c>
      <c r="V742" s="371">
        <v>3.28</v>
      </c>
      <c r="W742" s="69">
        <v>8</v>
      </c>
      <c r="X742" s="59">
        <v>17.739999999999998</v>
      </c>
      <c r="Y742" s="37" t="str">
        <f>RTD("money.excel",,"3515","Price")</f>
        <v>無資料</v>
      </c>
      <c r="Z742" s="69"/>
      <c r="AA742" s="16" t="e">
        <f t="shared" si="232"/>
        <v>#VALUE!</v>
      </c>
      <c r="AB742" s="3" t="e">
        <f t="shared" si="233"/>
        <v>#VALUE!</v>
      </c>
      <c r="AC742" s="177" t="s">
        <v>2929</v>
      </c>
      <c r="AD742" s="23" t="s">
        <v>888</v>
      </c>
      <c r="AG742" s="34">
        <f t="shared" si="234"/>
        <v>0</v>
      </c>
      <c r="AH742" s="63" t="s">
        <v>4265</v>
      </c>
      <c r="AI742" s="131"/>
      <c r="AK742" s="66">
        <f t="shared" si="227"/>
        <v>0</v>
      </c>
      <c r="AL742" s="174">
        <f t="shared" si="228"/>
        <v>0</v>
      </c>
      <c r="AM742" s="346">
        <f>RTD("money.excel",,$G742,"PredictVolume")</f>
        <v>0</v>
      </c>
      <c r="AN742" s="272">
        <f>RTD("money.excel",,$G742,"CumulativeVolume")</f>
        <v>0</v>
      </c>
      <c r="AO742" s="284"/>
    </row>
    <row r="743" spans="1:41">
      <c r="A743" s="151" t="s">
        <v>2619</v>
      </c>
      <c r="B743" s="85">
        <v>-134</v>
      </c>
      <c r="C743" s="85">
        <v>-137</v>
      </c>
      <c r="D743" s="85">
        <v>-56</v>
      </c>
      <c r="E743" s="85">
        <v>-34</v>
      </c>
      <c r="F743" s="7">
        <v>-14.6</v>
      </c>
      <c r="G743" s="85">
        <v>3521</v>
      </c>
      <c r="H743" s="55" t="s">
        <v>1815</v>
      </c>
      <c r="I743" s="17" t="s">
        <v>3525</v>
      </c>
      <c r="J743" s="371">
        <v>47.81</v>
      </c>
      <c r="K743" s="77">
        <v>1.0900000000000001</v>
      </c>
      <c r="L743" s="77">
        <v>13.64</v>
      </c>
      <c r="N743" s="365">
        <f t="shared" si="229"/>
        <v>62.540000000000006</v>
      </c>
      <c r="O743" s="343">
        <f t="shared" si="230"/>
        <v>47.81</v>
      </c>
      <c r="P743" s="195" t="s">
        <v>5554</v>
      </c>
      <c r="Q743" s="326" t="str">
        <f>IFERROR(VLOOKUP($G743,主力整理!$A$2:$G$2301,6,0),"0")</f>
        <v>0</v>
      </c>
      <c r="T743" s="339">
        <f t="shared" si="231"/>
        <v>0</v>
      </c>
      <c r="V743" s="371">
        <v>0.68</v>
      </c>
      <c r="W743" s="35">
        <v>0</v>
      </c>
      <c r="X743" s="100">
        <v>-0.89</v>
      </c>
      <c r="Y743" s="37" t="str">
        <f>RTD("money.excel",,"3521","Price")</f>
        <v>無資料</v>
      </c>
      <c r="Z743" s="69"/>
      <c r="AA743" s="16" t="e">
        <f t="shared" si="232"/>
        <v>#VALUE!</v>
      </c>
      <c r="AB743" s="3" t="e">
        <f t="shared" si="233"/>
        <v>#VALUE!</v>
      </c>
      <c r="AD743" s="17" t="s">
        <v>3525</v>
      </c>
      <c r="AG743" s="34">
        <f t="shared" si="234"/>
        <v>0</v>
      </c>
      <c r="AH743" s="44" t="s">
        <v>3795</v>
      </c>
      <c r="AI743" s="131"/>
      <c r="AK743" s="66">
        <f t="shared" ref="AK743:AK746" si="235">AM743/(A743*10000)</f>
        <v>0</v>
      </c>
      <c r="AL743" s="174">
        <f t="shared" ref="AL743:AL746" si="236">AN743/(A743*10000)</f>
        <v>0</v>
      </c>
      <c r="AM743" s="346">
        <f>RTD("money.excel",,$G743,"PredictVolume")</f>
        <v>0</v>
      </c>
      <c r="AN743" s="272">
        <f>RTD("money.excel",,$G743,"CumulativeVolume")</f>
        <v>0</v>
      </c>
      <c r="AO743" s="284"/>
    </row>
    <row r="744" spans="1:41">
      <c r="A744" s="151" t="s">
        <v>6305</v>
      </c>
      <c r="B744" s="85">
        <v>-43</v>
      </c>
      <c r="C744" s="85">
        <v>-33</v>
      </c>
      <c r="D744" s="85">
        <v>-1</v>
      </c>
      <c r="E744" s="85">
        <v>-30</v>
      </c>
      <c r="F744" s="7">
        <v>9.76</v>
      </c>
      <c r="G744" s="85">
        <v>3540</v>
      </c>
      <c r="H744" s="55" t="s">
        <v>561</v>
      </c>
      <c r="I744" s="17" t="s">
        <v>337</v>
      </c>
      <c r="J744" s="371">
        <v>25.89</v>
      </c>
      <c r="K744" s="371">
        <v>1.34</v>
      </c>
      <c r="L744" s="77">
        <v>14.2</v>
      </c>
      <c r="M744" s="77">
        <v>16.309999999999999</v>
      </c>
      <c r="N744" s="365">
        <f t="shared" si="229"/>
        <v>57.739999999999995</v>
      </c>
      <c r="O744" s="343">
        <f t="shared" si="230"/>
        <v>42.2</v>
      </c>
      <c r="P744" s="195">
        <v>9</v>
      </c>
      <c r="Q744" s="326" t="str">
        <f>IFERROR(VLOOKUP($G744,主力整理!$A$2:$G$2301,6,0),"0")</f>
        <v>0</v>
      </c>
      <c r="R744" s="111">
        <v>0</v>
      </c>
      <c r="S744" s="51">
        <v>1</v>
      </c>
      <c r="T744" s="339">
        <f t="shared" si="231"/>
        <v>10</v>
      </c>
      <c r="U744" s="329" t="s">
        <v>6539</v>
      </c>
      <c r="V744" s="371">
        <v>1.6</v>
      </c>
      <c r="W744" s="69">
        <v>4.49</v>
      </c>
      <c r="X744" s="100">
        <v>4.7300000000000004</v>
      </c>
      <c r="Y744" s="37" t="str">
        <f>RTD("money.excel",,"3540","Price")</f>
        <v>無資料</v>
      </c>
      <c r="Z744" s="69"/>
      <c r="AA744" s="16" t="e">
        <f t="shared" si="232"/>
        <v>#VALUE!</v>
      </c>
      <c r="AB744" s="3" t="e">
        <f t="shared" si="233"/>
        <v>#VALUE!</v>
      </c>
      <c r="AC744" s="177" t="s">
        <v>2929</v>
      </c>
      <c r="AD744" s="17" t="s">
        <v>337</v>
      </c>
      <c r="AG744" s="34">
        <f t="shared" si="234"/>
        <v>0</v>
      </c>
      <c r="AH744" s="125" t="s">
        <v>6461</v>
      </c>
      <c r="AI744" s="131"/>
      <c r="AK744" s="66">
        <f t="shared" si="235"/>
        <v>0</v>
      </c>
      <c r="AL744" s="174">
        <f t="shared" si="236"/>
        <v>0</v>
      </c>
      <c r="AM744" s="346">
        <f>RTD("money.excel",,$G744,"PredictVolume")</f>
        <v>0</v>
      </c>
      <c r="AN744" s="272">
        <f>RTD("money.excel",,$G744,"CumulativeVolume")</f>
        <v>0</v>
      </c>
      <c r="AO744" s="284"/>
    </row>
    <row r="745" spans="1:41">
      <c r="A745" s="151" t="s">
        <v>2540</v>
      </c>
      <c r="B745" s="96">
        <v>-38</v>
      </c>
      <c r="C745" s="96">
        <v>-29</v>
      </c>
      <c r="D745" s="96">
        <v>30</v>
      </c>
      <c r="E745" s="96">
        <v>54</v>
      </c>
      <c r="F745" s="7">
        <v>4.62</v>
      </c>
      <c r="G745" s="85">
        <v>3577</v>
      </c>
      <c r="H745" s="55" t="s">
        <v>1815</v>
      </c>
      <c r="I745" s="17" t="s">
        <v>3527</v>
      </c>
      <c r="J745" s="77">
        <v>59.27</v>
      </c>
      <c r="K745" s="77">
        <v>0.63</v>
      </c>
      <c r="L745" s="77">
        <v>6.82</v>
      </c>
      <c r="N745" s="365">
        <f t="shared" si="229"/>
        <v>66.72</v>
      </c>
      <c r="O745" s="343">
        <f t="shared" si="230"/>
        <v>59.27</v>
      </c>
      <c r="P745" s="195" t="s">
        <v>5554</v>
      </c>
      <c r="Q745" s="326" t="str">
        <f>IFERROR(VLOOKUP($G745,主力整理!$A$2:$G$2301,6,0),"0")</f>
        <v>0</v>
      </c>
      <c r="T745" s="339">
        <f t="shared" si="231"/>
        <v>0</v>
      </c>
      <c r="V745" s="371">
        <v>26.59</v>
      </c>
      <c r="W745" s="35">
        <v>0.7</v>
      </c>
      <c r="X745" s="100">
        <v>0.76</v>
      </c>
      <c r="Y745" s="14" t="str">
        <f>RTD("money.excel",,"3577","Price")</f>
        <v>無資料</v>
      </c>
      <c r="Z745" s="69"/>
      <c r="AA745" s="16" t="e">
        <f t="shared" si="232"/>
        <v>#VALUE!</v>
      </c>
      <c r="AB745" s="3" t="e">
        <f t="shared" si="233"/>
        <v>#VALUE!</v>
      </c>
      <c r="AD745" s="17" t="s">
        <v>3527</v>
      </c>
      <c r="AG745" s="34">
        <f t="shared" si="234"/>
        <v>0</v>
      </c>
      <c r="AH745" s="44" t="s">
        <v>3563</v>
      </c>
      <c r="AI745" s="131"/>
      <c r="AK745" s="66">
        <f t="shared" si="235"/>
        <v>0</v>
      </c>
      <c r="AL745" s="174">
        <f t="shared" si="236"/>
        <v>0</v>
      </c>
      <c r="AM745" s="346">
        <f>RTD("money.excel",,$G745,"PredictVolume")</f>
        <v>0</v>
      </c>
      <c r="AN745" s="272">
        <f>RTD("money.excel",,$G745,"CumulativeVolume")</f>
        <v>0</v>
      </c>
      <c r="AO745" s="284"/>
    </row>
    <row r="746" spans="1:41">
      <c r="A746" s="151" t="s">
        <v>4651</v>
      </c>
      <c r="B746" s="96">
        <v>-83</v>
      </c>
      <c r="C746" s="96">
        <v>-42</v>
      </c>
      <c r="D746" s="96">
        <v>23</v>
      </c>
      <c r="E746" s="96">
        <v>-16</v>
      </c>
      <c r="F746" s="7">
        <v>2.65</v>
      </c>
      <c r="G746" s="85">
        <v>3594</v>
      </c>
      <c r="H746" s="55" t="s">
        <v>1815</v>
      </c>
      <c r="I746" s="17" t="s">
        <v>3528</v>
      </c>
      <c r="J746" s="77">
        <v>48.73</v>
      </c>
      <c r="K746" s="77">
        <v>1.51</v>
      </c>
      <c r="L746" s="77">
        <v>26.54</v>
      </c>
      <c r="N746" s="365">
        <f t="shared" si="229"/>
        <v>76.78</v>
      </c>
      <c r="O746" s="343">
        <f t="shared" si="230"/>
        <v>48.73</v>
      </c>
      <c r="P746" s="195" t="s">
        <v>5554</v>
      </c>
      <c r="Q746" s="326" t="str">
        <f>IFERROR(VLOOKUP($G746,主力整理!$A$2:$G$2301,6,0),"0")</f>
        <v>0</v>
      </c>
      <c r="T746" s="339">
        <f t="shared" si="231"/>
        <v>0</v>
      </c>
      <c r="V746" s="371">
        <v>18.8</v>
      </c>
      <c r="W746" s="35">
        <v>0.2</v>
      </c>
      <c r="X746" s="100">
        <v>0.16</v>
      </c>
      <c r="Y746" s="37" t="str">
        <f>RTD("money.excel",,"3594","Price")</f>
        <v>無資料</v>
      </c>
      <c r="Z746" s="69"/>
      <c r="AA746" s="16" t="e">
        <f t="shared" si="232"/>
        <v>#VALUE!</v>
      </c>
      <c r="AB746" s="3" t="e">
        <f t="shared" si="233"/>
        <v>#VALUE!</v>
      </c>
      <c r="AD746" s="17" t="s">
        <v>3528</v>
      </c>
      <c r="AG746" s="34">
        <f t="shared" si="234"/>
        <v>0</v>
      </c>
      <c r="AH746" s="44" t="s">
        <v>3563</v>
      </c>
      <c r="AI746" s="284"/>
      <c r="AK746" s="66">
        <f t="shared" si="235"/>
        <v>0</v>
      </c>
      <c r="AL746" s="174">
        <f t="shared" si="236"/>
        <v>0</v>
      </c>
      <c r="AM746" s="346">
        <f>RTD("money.excel",,$G746,"PredictVolume")</f>
        <v>0</v>
      </c>
      <c r="AN746" s="272">
        <f>RTD("money.excel",,$G746,"CumulativeVolume")</f>
        <v>0</v>
      </c>
      <c r="AO746" s="284"/>
    </row>
    <row r="747" spans="1:41">
      <c r="A747" s="135" t="s">
        <v>3529</v>
      </c>
      <c r="B747" s="85">
        <v>-21</v>
      </c>
      <c r="C747" s="85">
        <v>-15</v>
      </c>
      <c r="D747" s="84">
        <v>19</v>
      </c>
      <c r="E747" s="85">
        <v>-10</v>
      </c>
      <c r="F747" s="59">
        <v>13.36</v>
      </c>
      <c r="G747" s="85">
        <v>3611</v>
      </c>
      <c r="H747" s="55" t="s">
        <v>1815</v>
      </c>
      <c r="I747" s="17" t="s">
        <v>3530</v>
      </c>
      <c r="J747" s="371">
        <v>58.36</v>
      </c>
      <c r="K747" s="371">
        <v>4.16</v>
      </c>
      <c r="L747" s="77">
        <v>5.3</v>
      </c>
      <c r="N747" s="365">
        <f t="shared" si="229"/>
        <v>67.819999999999993</v>
      </c>
      <c r="O747" s="343">
        <f t="shared" si="230"/>
        <v>58.36</v>
      </c>
      <c r="P747" s="195" t="s">
        <v>5554</v>
      </c>
      <c r="Q747" s="326" t="str">
        <f>IFERROR(VLOOKUP($G747,主力整理!$A$2:$G$2301,6,0),"0")</f>
        <v>0</v>
      </c>
      <c r="T747" s="339">
        <f t="shared" si="231"/>
        <v>0</v>
      </c>
      <c r="V747" s="371">
        <v>0.02</v>
      </c>
      <c r="W747" s="69">
        <v>10</v>
      </c>
      <c r="X747" s="100">
        <v>16.84</v>
      </c>
      <c r="Y747" s="37" t="str">
        <f>RTD("money.excel",,"3611","Price")</f>
        <v>無資料</v>
      </c>
      <c r="Z747" s="69"/>
      <c r="AA747" s="16" t="e">
        <f t="shared" si="232"/>
        <v>#VALUE!</v>
      </c>
      <c r="AB747" s="3" t="e">
        <f t="shared" si="233"/>
        <v>#VALUE!</v>
      </c>
      <c r="AC747" s="177" t="s">
        <v>2700</v>
      </c>
      <c r="AD747" s="17" t="s">
        <v>3530</v>
      </c>
      <c r="AG747" s="34">
        <f t="shared" si="234"/>
        <v>0</v>
      </c>
      <c r="AH747" s="126" t="s">
        <v>4502</v>
      </c>
      <c r="AI747" s="131"/>
      <c r="AK747" s="66">
        <f t="shared" ref="AK747:AK802" si="237">AM747/(A747*10000)</f>
        <v>0</v>
      </c>
      <c r="AL747" s="174">
        <f t="shared" ref="AL747:AL802" si="238">AN747/(A747*10000)</f>
        <v>0</v>
      </c>
      <c r="AM747" s="346">
        <f>RTD("money.excel",,$G747,"PredictVolume")</f>
        <v>0</v>
      </c>
      <c r="AN747" s="272">
        <f>RTD("money.excel",,$G747,"CumulativeVolume")</f>
        <v>0</v>
      </c>
      <c r="AO747" s="284"/>
    </row>
    <row r="748" spans="1:41">
      <c r="A748" s="151" t="s">
        <v>3397</v>
      </c>
      <c r="B748" s="85">
        <v>-280</v>
      </c>
      <c r="C748" s="85">
        <v>-210</v>
      </c>
      <c r="D748" s="85">
        <v>-23</v>
      </c>
      <c r="E748" s="84">
        <v>157</v>
      </c>
      <c r="F748" s="7">
        <v>-4.13</v>
      </c>
      <c r="G748" s="85">
        <v>3625</v>
      </c>
      <c r="H748" s="55" t="s">
        <v>561</v>
      </c>
      <c r="I748" s="25" t="s">
        <v>3531</v>
      </c>
      <c r="J748" s="371">
        <v>33.590000000000003</v>
      </c>
      <c r="K748" s="77">
        <v>11.91</v>
      </c>
      <c r="L748" s="371">
        <v>37.299999999999997</v>
      </c>
      <c r="N748" s="365">
        <f t="shared" si="229"/>
        <v>82.8</v>
      </c>
      <c r="O748" s="343">
        <f t="shared" si="230"/>
        <v>33.590000000000003</v>
      </c>
      <c r="P748" s="195">
        <v>4</v>
      </c>
      <c r="Q748" s="326" t="str">
        <f>IFERROR(VLOOKUP($G748,主力整理!$A$2:$G$2301,6,0),"0")</f>
        <v>0</v>
      </c>
      <c r="T748" s="339">
        <f t="shared" si="231"/>
        <v>4</v>
      </c>
      <c r="V748" s="371">
        <v>7.21</v>
      </c>
      <c r="W748" s="35">
        <v>0</v>
      </c>
      <c r="X748" s="100">
        <v>-2.11</v>
      </c>
      <c r="Y748" s="37" t="str">
        <f>RTD("money.excel",,"3625","Price")</f>
        <v>無資料</v>
      </c>
      <c r="Z748" s="69"/>
      <c r="AA748" s="16" t="e">
        <f t="shared" si="232"/>
        <v>#VALUE!</v>
      </c>
      <c r="AB748" s="3" t="e">
        <f t="shared" si="233"/>
        <v>#VALUE!</v>
      </c>
      <c r="AC748" s="177" t="s">
        <v>2648</v>
      </c>
      <c r="AD748" s="25" t="s">
        <v>3531</v>
      </c>
      <c r="AG748" s="34">
        <f t="shared" si="234"/>
        <v>0</v>
      </c>
      <c r="AH748" s="127" t="s">
        <v>3532</v>
      </c>
      <c r="AI748" s="131"/>
      <c r="AK748" s="66">
        <f t="shared" si="237"/>
        <v>0</v>
      </c>
      <c r="AL748" s="174">
        <f t="shared" si="238"/>
        <v>0</v>
      </c>
      <c r="AM748" s="346">
        <f>RTD("money.excel",,$G748,"PredictVolume")</f>
        <v>0</v>
      </c>
      <c r="AN748" s="272">
        <f>RTD("money.excel",,$G748,"CumulativeVolume")</f>
        <v>0</v>
      </c>
      <c r="AO748" s="284"/>
    </row>
    <row r="749" spans="1:41">
      <c r="A749" s="151" t="s">
        <v>4824</v>
      </c>
      <c r="B749" s="98">
        <v>1551</v>
      </c>
      <c r="C749" s="98">
        <v>1272</v>
      </c>
      <c r="D749" s="85">
        <v>-11</v>
      </c>
      <c r="E749" s="84">
        <v>14</v>
      </c>
      <c r="F749" s="7">
        <v>4.9800000000000004</v>
      </c>
      <c r="G749" s="85">
        <v>3652</v>
      </c>
      <c r="H749" s="55" t="s">
        <v>1815</v>
      </c>
      <c r="I749" s="17" t="s">
        <v>3533</v>
      </c>
      <c r="J749" s="371">
        <v>64.62</v>
      </c>
      <c r="K749" s="371">
        <v>1.32</v>
      </c>
      <c r="L749" s="371">
        <v>3.68</v>
      </c>
      <c r="N749" s="365">
        <f t="shared" si="229"/>
        <v>69.62</v>
      </c>
      <c r="O749" s="343">
        <f t="shared" si="230"/>
        <v>64.62</v>
      </c>
      <c r="P749" s="195">
        <v>0</v>
      </c>
      <c r="Q749" s="326">
        <f>IFERROR(VLOOKUP($G749,主力整理!$A$2:$G$2301,6,0),"0")</f>
        <v>1</v>
      </c>
      <c r="R749" s="111">
        <v>6</v>
      </c>
      <c r="S749" s="51">
        <v>0</v>
      </c>
      <c r="T749" s="339">
        <f t="shared" si="231"/>
        <v>7</v>
      </c>
      <c r="V749" s="371">
        <v>0</v>
      </c>
      <c r="W749" s="35">
        <v>0.15</v>
      </c>
      <c r="X749" s="59">
        <v>1.6</v>
      </c>
      <c r="Y749" s="37" t="str">
        <f>RTD("money.excel",,"3652","Price")</f>
        <v>無資料</v>
      </c>
      <c r="Z749" s="69"/>
      <c r="AA749" s="16" t="e">
        <f t="shared" si="232"/>
        <v>#VALUE!</v>
      </c>
      <c r="AB749" s="3" t="e">
        <f t="shared" si="233"/>
        <v>#VALUE!</v>
      </c>
      <c r="AD749" s="17" t="s">
        <v>3533</v>
      </c>
      <c r="AG749" s="34">
        <f t="shared" si="234"/>
        <v>0</v>
      </c>
      <c r="AH749" s="44" t="s">
        <v>3859</v>
      </c>
      <c r="AI749" s="131"/>
      <c r="AK749" s="66">
        <f t="shared" si="237"/>
        <v>0</v>
      </c>
      <c r="AL749" s="174">
        <f t="shared" si="238"/>
        <v>0</v>
      </c>
      <c r="AM749" s="346">
        <f>RTD("money.excel",,$G749,"PredictVolume")</f>
        <v>0</v>
      </c>
      <c r="AN749" s="272">
        <f>RTD("money.excel",,$G749,"CumulativeVolume")</f>
        <v>0</v>
      </c>
      <c r="AO749" s="284"/>
    </row>
    <row r="750" spans="1:41">
      <c r="A750" s="151" t="s">
        <v>2604</v>
      </c>
      <c r="B750" s="98">
        <v>2353</v>
      </c>
      <c r="C750" s="98">
        <v>2144</v>
      </c>
      <c r="D750" s="84">
        <v>10</v>
      </c>
      <c r="E750" s="85">
        <v>-6</v>
      </c>
      <c r="F750" s="7">
        <v>5.67</v>
      </c>
      <c r="G750" s="85">
        <v>3693</v>
      </c>
      <c r="H750" s="55" t="s">
        <v>1815</v>
      </c>
      <c r="I750" s="17" t="s">
        <v>3534</v>
      </c>
      <c r="J750" s="371">
        <v>59.89</v>
      </c>
      <c r="K750" s="371">
        <v>2.99</v>
      </c>
      <c r="L750" s="77">
        <v>12.71</v>
      </c>
      <c r="N750" s="365">
        <f t="shared" si="229"/>
        <v>75.59</v>
      </c>
      <c r="O750" s="343">
        <f t="shared" si="230"/>
        <v>59.89</v>
      </c>
      <c r="P750" s="195">
        <v>1</v>
      </c>
      <c r="Q750" s="326" t="str">
        <f>IFERROR(VLOOKUP($G750,主力整理!$A$2:$G$2301,6,0),"0")</f>
        <v>0</v>
      </c>
      <c r="T750" s="339">
        <f t="shared" si="231"/>
        <v>1</v>
      </c>
      <c r="V750" s="371">
        <v>0.2</v>
      </c>
      <c r="W750" s="35">
        <v>0.7</v>
      </c>
      <c r="X750" s="100">
        <v>2.14</v>
      </c>
      <c r="Y750" s="37" t="str">
        <f>RTD("money.excel",,"3693","Price")</f>
        <v>無資料</v>
      </c>
      <c r="Z750" s="69"/>
      <c r="AA750" s="16" t="e">
        <f t="shared" si="232"/>
        <v>#VALUE!</v>
      </c>
      <c r="AB750" s="3" t="e">
        <f t="shared" si="233"/>
        <v>#VALUE!</v>
      </c>
      <c r="AC750" s="177" t="s">
        <v>2648</v>
      </c>
      <c r="AD750" s="17" t="s">
        <v>3534</v>
      </c>
      <c r="AG750" s="34">
        <f t="shared" si="234"/>
        <v>0</v>
      </c>
      <c r="AH750" s="125" t="s">
        <v>3535</v>
      </c>
      <c r="AI750" s="131"/>
      <c r="AK750" s="66">
        <f t="shared" si="237"/>
        <v>0</v>
      </c>
      <c r="AL750" s="174">
        <f t="shared" si="238"/>
        <v>0</v>
      </c>
      <c r="AM750" s="346">
        <f>RTD("money.excel",,$G750,"PredictVolume")</f>
        <v>0</v>
      </c>
      <c r="AN750" s="272">
        <f>RTD("money.excel",,$G750,"CumulativeVolume")</f>
        <v>0</v>
      </c>
      <c r="AO750" s="284"/>
    </row>
    <row r="751" spans="1:41">
      <c r="A751" s="151" t="s">
        <v>3192</v>
      </c>
      <c r="B751" s="96">
        <v>-83</v>
      </c>
      <c r="C751" s="96">
        <v>-131</v>
      </c>
      <c r="D751" s="96">
        <v>-12</v>
      </c>
      <c r="E751" s="96">
        <v>76</v>
      </c>
      <c r="F751" s="7">
        <v>-8.83</v>
      </c>
      <c r="G751" s="85">
        <v>3701</v>
      </c>
      <c r="H751" s="53" t="s">
        <v>561</v>
      </c>
      <c r="I751" s="23" t="s">
        <v>889</v>
      </c>
      <c r="J751" s="77">
        <v>94.81</v>
      </c>
      <c r="K751" s="77">
        <v>3.3</v>
      </c>
      <c r="N751" s="365">
        <f t="shared" si="229"/>
        <v>98.11</v>
      </c>
      <c r="O751" s="343">
        <f t="shared" si="230"/>
        <v>94.81</v>
      </c>
      <c r="P751" s="195" t="s">
        <v>5554</v>
      </c>
      <c r="Q751" s="326">
        <f>IFERROR(VLOOKUP($G751,主力整理!$A$2:$G$2301,6,0),"0")</f>
        <v>4</v>
      </c>
      <c r="T751" s="339">
        <f t="shared" si="231"/>
        <v>4</v>
      </c>
      <c r="V751" s="371">
        <v>22.61</v>
      </c>
      <c r="W751" s="35">
        <v>0</v>
      </c>
      <c r="X751" s="100">
        <v>-0.21</v>
      </c>
      <c r="Y751" s="14" t="str">
        <f>RTD("money.excel",,"3701","Price")</f>
        <v>無資料</v>
      </c>
      <c r="Z751" s="69"/>
      <c r="AA751" s="16" t="e">
        <f t="shared" si="232"/>
        <v>#VALUE!</v>
      </c>
      <c r="AB751" s="3" t="e">
        <f t="shared" si="233"/>
        <v>#VALUE!</v>
      </c>
      <c r="AD751" s="23" t="s">
        <v>889</v>
      </c>
      <c r="AG751" s="34">
        <f t="shared" si="234"/>
        <v>0</v>
      </c>
      <c r="AH751" s="44" t="s">
        <v>2253</v>
      </c>
      <c r="AI751" s="131"/>
      <c r="AK751" s="66">
        <f t="shared" si="237"/>
        <v>0</v>
      </c>
      <c r="AL751" s="174">
        <f t="shared" si="238"/>
        <v>0</v>
      </c>
      <c r="AM751" s="346">
        <f>RTD("money.excel",,$G751,"PredictVolume")</f>
        <v>0</v>
      </c>
      <c r="AN751" s="272">
        <f>RTD("money.excel",,$G751,"CumulativeVolume")</f>
        <v>0</v>
      </c>
      <c r="AO751" s="284"/>
    </row>
    <row r="752" spans="1:41">
      <c r="A752" s="151" t="s">
        <v>3069</v>
      </c>
      <c r="B752" s="84">
        <v>2</v>
      </c>
      <c r="C752" s="85">
        <v>-85</v>
      </c>
      <c r="D752" s="84">
        <v>6</v>
      </c>
      <c r="E752" s="84">
        <v>50</v>
      </c>
      <c r="F752" s="7">
        <v>0.18</v>
      </c>
      <c r="G752" s="85">
        <v>3706</v>
      </c>
      <c r="H752" s="53" t="s">
        <v>561</v>
      </c>
      <c r="I752" s="23" t="s">
        <v>101</v>
      </c>
      <c r="J752" s="371">
        <v>44.26</v>
      </c>
      <c r="K752" s="371">
        <v>12.7</v>
      </c>
      <c r="L752" s="371">
        <v>4.33</v>
      </c>
      <c r="N752" s="365">
        <f t="shared" si="229"/>
        <v>61.289999999999992</v>
      </c>
      <c r="O752" s="343">
        <f t="shared" si="230"/>
        <v>44.26</v>
      </c>
      <c r="P752" s="195">
        <v>2</v>
      </c>
      <c r="Q752" s="326">
        <f>IFERROR(VLOOKUP($G752,主力整理!$A$2:$G$2301,6,0),"0")</f>
        <v>12</v>
      </c>
      <c r="T752" s="339">
        <f t="shared" si="231"/>
        <v>14</v>
      </c>
      <c r="V752" s="371">
        <v>0.01</v>
      </c>
      <c r="W752" s="35">
        <v>1</v>
      </c>
      <c r="X752" s="100">
        <v>2.58</v>
      </c>
      <c r="Y752" s="37" t="str">
        <f>RTD("money.excel",,"3706","Price")</f>
        <v>無資料</v>
      </c>
      <c r="Z752" s="69"/>
      <c r="AA752" s="16" t="e">
        <f t="shared" si="232"/>
        <v>#VALUE!</v>
      </c>
      <c r="AB752" s="3" t="e">
        <f t="shared" si="233"/>
        <v>#VALUE!</v>
      </c>
      <c r="AC752" s="177" t="s">
        <v>2648</v>
      </c>
      <c r="AD752" s="23" t="s">
        <v>101</v>
      </c>
      <c r="AG752" s="34">
        <f t="shared" si="234"/>
        <v>0</v>
      </c>
      <c r="AH752" s="125" t="s">
        <v>4276</v>
      </c>
      <c r="AI752" s="131"/>
      <c r="AK752" s="66">
        <f t="shared" si="237"/>
        <v>0</v>
      </c>
      <c r="AL752" s="174">
        <f t="shared" si="238"/>
        <v>0</v>
      </c>
      <c r="AM752" s="346">
        <f>RTD("money.excel",,$G752,"PredictVolume")</f>
        <v>0</v>
      </c>
      <c r="AN752" s="272">
        <f>RTD("money.excel",,$G752,"CumulativeVolume")</f>
        <v>0</v>
      </c>
      <c r="AO752" s="284"/>
    </row>
    <row r="753" spans="1:41">
      <c r="A753" s="151" t="s">
        <v>3161</v>
      </c>
      <c r="B753" s="84">
        <v>211</v>
      </c>
      <c r="C753" s="84">
        <v>134</v>
      </c>
      <c r="D753" s="84">
        <v>12</v>
      </c>
      <c r="E753" s="85">
        <v>-5</v>
      </c>
      <c r="F753" s="7">
        <v>3.13</v>
      </c>
      <c r="G753" s="85">
        <v>3709</v>
      </c>
      <c r="H753" s="55" t="s">
        <v>1815</v>
      </c>
      <c r="I753" s="17" t="s">
        <v>3536</v>
      </c>
      <c r="J753" s="371">
        <v>77.53</v>
      </c>
      <c r="K753" s="371">
        <v>1.56</v>
      </c>
      <c r="L753" s="371">
        <v>0.78</v>
      </c>
      <c r="N753" s="365">
        <f t="shared" si="229"/>
        <v>79.87</v>
      </c>
      <c r="O753" s="343">
        <f t="shared" si="230"/>
        <v>77.53</v>
      </c>
      <c r="P753" s="232">
        <v>0</v>
      </c>
      <c r="Q753" s="326">
        <f>IFERROR(VLOOKUP($G753,主力整理!$A$2:$G$2301,6,0),"0")</f>
        <v>1</v>
      </c>
      <c r="R753" s="111">
        <v>3</v>
      </c>
      <c r="S753" s="51">
        <v>0</v>
      </c>
      <c r="T753" s="339">
        <f t="shared" si="231"/>
        <v>4</v>
      </c>
      <c r="V753" s="371">
        <v>0</v>
      </c>
      <c r="W753" s="35">
        <v>1.4</v>
      </c>
      <c r="X753" s="59">
        <v>4.5999999999999996</v>
      </c>
      <c r="Y753" s="37" t="str">
        <f>RTD("money.excel",,"3709","Price")</f>
        <v>無資料</v>
      </c>
      <c r="Z753" s="69"/>
      <c r="AA753" s="16" t="e">
        <f t="shared" si="232"/>
        <v>#VALUE!</v>
      </c>
      <c r="AB753" s="3" t="e">
        <f t="shared" si="233"/>
        <v>#VALUE!</v>
      </c>
      <c r="AD753" s="17" t="s">
        <v>3536</v>
      </c>
      <c r="AG753" s="34">
        <f t="shared" si="234"/>
        <v>0</v>
      </c>
      <c r="AH753" s="44" t="s">
        <v>3860</v>
      </c>
      <c r="AI753" s="131"/>
      <c r="AK753" s="66">
        <f t="shared" si="237"/>
        <v>0</v>
      </c>
      <c r="AL753" s="174">
        <f t="shared" si="238"/>
        <v>0</v>
      </c>
      <c r="AM753" s="346">
        <f>RTD("money.excel",,$G753,"PredictVolume")</f>
        <v>0</v>
      </c>
      <c r="AN753" s="272">
        <f>RTD("money.excel",,$G753,"CumulativeVolume")</f>
        <v>0</v>
      </c>
      <c r="AO753" s="284"/>
    </row>
    <row r="754" spans="1:41">
      <c r="A754" s="151" t="s">
        <v>4804</v>
      </c>
      <c r="B754" s="84">
        <v>336</v>
      </c>
      <c r="C754" s="84">
        <v>330</v>
      </c>
      <c r="D754" s="84">
        <v>6</v>
      </c>
      <c r="E754" s="85">
        <v>-2</v>
      </c>
      <c r="F754" s="7">
        <v>12.51</v>
      </c>
      <c r="G754" s="85">
        <v>3712</v>
      </c>
      <c r="H754" s="53" t="s">
        <v>561</v>
      </c>
      <c r="I754" s="23" t="s">
        <v>1727</v>
      </c>
      <c r="J754" s="77">
        <v>49.34</v>
      </c>
      <c r="K754" s="371">
        <v>2.2999999999999998</v>
      </c>
      <c r="L754" s="77">
        <v>12.12</v>
      </c>
      <c r="N754" s="365">
        <f t="shared" si="229"/>
        <v>63.76</v>
      </c>
      <c r="O754" s="343">
        <f t="shared" si="230"/>
        <v>49.34</v>
      </c>
      <c r="P754" s="195" t="s">
        <v>5554</v>
      </c>
      <c r="Q754" s="326" t="str">
        <f>IFERROR(VLOOKUP($G754,主力整理!$A$2:$G$2301,6,0),"0")</f>
        <v>0</v>
      </c>
      <c r="R754" s="111">
        <v>16</v>
      </c>
      <c r="T754" s="339">
        <f t="shared" si="231"/>
        <v>16</v>
      </c>
      <c r="V754" s="371">
        <v>0.4</v>
      </c>
      <c r="W754" s="35">
        <v>1</v>
      </c>
      <c r="X754" s="100">
        <v>1.07</v>
      </c>
      <c r="Y754" s="37" t="str">
        <f>RTD("money.excel",,"3712","Price")</f>
        <v>無資料</v>
      </c>
      <c r="Z754" s="69"/>
      <c r="AA754" s="16" t="e">
        <f t="shared" si="232"/>
        <v>#VALUE!</v>
      </c>
      <c r="AB754" s="3" t="e">
        <f t="shared" si="233"/>
        <v>#VALUE!</v>
      </c>
      <c r="AD754" s="23" t="s">
        <v>1727</v>
      </c>
      <c r="AG754" s="34">
        <f t="shared" si="234"/>
        <v>0</v>
      </c>
      <c r="AH754" s="125" t="s">
        <v>4277</v>
      </c>
      <c r="AI754" s="131"/>
      <c r="AK754" s="66">
        <f t="shared" si="237"/>
        <v>0</v>
      </c>
      <c r="AL754" s="174">
        <f t="shared" si="238"/>
        <v>0</v>
      </c>
      <c r="AM754" s="346">
        <f>RTD("money.excel",,$G754,"PredictVolume")</f>
        <v>0</v>
      </c>
      <c r="AN754" s="272">
        <f>RTD("money.excel",,$G754,"CumulativeVolume")</f>
        <v>0</v>
      </c>
      <c r="AO754" s="284"/>
    </row>
    <row r="755" spans="1:41">
      <c r="A755" s="151" t="s">
        <v>3249</v>
      </c>
      <c r="B755" s="85">
        <v>-158</v>
      </c>
      <c r="C755" s="99">
        <v>-6453</v>
      </c>
      <c r="D755" s="85">
        <v>-10</v>
      </c>
      <c r="E755" s="85">
        <v>-76</v>
      </c>
      <c r="F755" s="7">
        <v>-1.92</v>
      </c>
      <c r="G755" s="85">
        <v>4916</v>
      </c>
      <c r="H755" s="53" t="s">
        <v>561</v>
      </c>
      <c r="I755" s="23" t="s">
        <v>890</v>
      </c>
      <c r="J755" s="371">
        <v>33.619999999999997</v>
      </c>
      <c r="K755" s="371">
        <v>1.58</v>
      </c>
      <c r="L755" s="77">
        <v>8.59</v>
      </c>
      <c r="N755" s="365">
        <f t="shared" si="229"/>
        <v>43.789999999999992</v>
      </c>
      <c r="O755" s="343">
        <f t="shared" si="230"/>
        <v>33.619999999999997</v>
      </c>
      <c r="P755" s="195">
        <v>2</v>
      </c>
      <c r="Q755" s="326" t="str">
        <f>IFERROR(VLOOKUP($G755,主力整理!$A$2:$G$2301,6,0),"0")</f>
        <v>0</v>
      </c>
      <c r="T755" s="339">
        <f t="shared" si="231"/>
        <v>2</v>
      </c>
      <c r="V755" s="371">
        <v>0.09</v>
      </c>
      <c r="W755" s="35">
        <v>0.5</v>
      </c>
      <c r="X755" s="100">
        <v>-1.78</v>
      </c>
      <c r="Y755" s="37" t="str">
        <f>RTD("money.excel",,"4916","Price")</f>
        <v>無資料</v>
      </c>
      <c r="Z755" s="69"/>
      <c r="AA755" s="16" t="e">
        <f t="shared" si="232"/>
        <v>#VALUE!</v>
      </c>
      <c r="AB755" s="3" t="e">
        <f t="shared" si="233"/>
        <v>#VALUE!</v>
      </c>
      <c r="AC755" s="177" t="s">
        <v>2648</v>
      </c>
      <c r="AD755" s="23" t="s">
        <v>890</v>
      </c>
      <c r="AG755" s="34">
        <f t="shared" si="234"/>
        <v>0</v>
      </c>
      <c r="AH755" s="44" t="s">
        <v>6663</v>
      </c>
      <c r="AI755" s="131"/>
      <c r="AK755" s="66">
        <f t="shared" si="237"/>
        <v>0</v>
      </c>
      <c r="AL755" s="174">
        <f t="shared" si="238"/>
        <v>0</v>
      </c>
      <c r="AM755" s="346">
        <f>RTD("money.excel",,$G755,"PredictVolume")</f>
        <v>0</v>
      </c>
      <c r="AN755" s="272">
        <f>RTD("money.excel",,$G755,"CumulativeVolume")</f>
        <v>0</v>
      </c>
      <c r="AO755" s="284"/>
    </row>
    <row r="756" spans="1:41">
      <c r="A756" s="151" t="s">
        <v>4654</v>
      </c>
      <c r="B756" s="145">
        <v>1396</v>
      </c>
      <c r="C756" s="145">
        <v>2742</v>
      </c>
      <c r="D756" s="96">
        <v>96</v>
      </c>
      <c r="E756" s="96">
        <v>4</v>
      </c>
      <c r="F756" s="7">
        <v>5.93</v>
      </c>
      <c r="G756" s="85">
        <v>4924</v>
      </c>
      <c r="H756" s="55" t="s">
        <v>1815</v>
      </c>
      <c r="I756" s="17" t="s">
        <v>3537</v>
      </c>
      <c r="J756" s="77">
        <v>59.46</v>
      </c>
      <c r="K756" s="77">
        <v>27.22</v>
      </c>
      <c r="N756" s="365">
        <f t="shared" si="229"/>
        <v>86.68</v>
      </c>
      <c r="O756" s="343">
        <f t="shared" si="230"/>
        <v>59.46</v>
      </c>
      <c r="P756" s="195" t="s">
        <v>5554</v>
      </c>
      <c r="Q756" s="326" t="str">
        <f>IFERROR(VLOOKUP($G756,主力整理!$A$2:$G$2301,6,0),"0")</f>
        <v>0</v>
      </c>
      <c r="T756" s="339">
        <f t="shared" si="231"/>
        <v>0</v>
      </c>
      <c r="V756" s="371">
        <v>8.3800000000000008</v>
      </c>
      <c r="W756" s="35">
        <v>0</v>
      </c>
      <c r="X756" s="100">
        <v>0.95</v>
      </c>
      <c r="Y756" s="14" t="str">
        <f>RTD("money.excel",,"4924","Price")</f>
        <v>無資料</v>
      </c>
      <c r="Z756" s="69"/>
      <c r="AA756" s="16" t="e">
        <f t="shared" si="232"/>
        <v>#VALUE!</v>
      </c>
      <c r="AB756" s="3" t="e">
        <f t="shared" si="233"/>
        <v>#VALUE!</v>
      </c>
      <c r="AD756" s="17" t="s">
        <v>3537</v>
      </c>
      <c r="AG756" s="34">
        <f t="shared" si="234"/>
        <v>0</v>
      </c>
      <c r="AH756" s="44" t="s">
        <v>3834</v>
      </c>
      <c r="AI756" s="131"/>
      <c r="AK756" s="66">
        <f t="shared" si="237"/>
        <v>0</v>
      </c>
      <c r="AL756" s="174">
        <f t="shared" si="238"/>
        <v>0</v>
      </c>
      <c r="AM756" s="346">
        <f>RTD("money.excel",,$G756,"PredictVolume")</f>
        <v>0</v>
      </c>
      <c r="AN756" s="272">
        <f>RTD("money.excel",,$G756,"CumulativeVolume")</f>
        <v>0</v>
      </c>
      <c r="AO756" s="284"/>
    </row>
    <row r="757" spans="1:41">
      <c r="A757" s="151" t="s">
        <v>4655</v>
      </c>
      <c r="B757" s="96">
        <v>-52</v>
      </c>
      <c r="C757" s="96">
        <v>-38</v>
      </c>
      <c r="D757" s="96">
        <v>-4</v>
      </c>
      <c r="E757" s="96">
        <v>-19</v>
      </c>
      <c r="F757" s="7">
        <v>5.0199999999999996</v>
      </c>
      <c r="G757" s="85">
        <v>4931</v>
      </c>
      <c r="H757" s="55" t="s">
        <v>561</v>
      </c>
      <c r="I757" s="17" t="s">
        <v>4652</v>
      </c>
      <c r="J757" s="77">
        <v>59.46</v>
      </c>
      <c r="K757" s="77">
        <v>27.22</v>
      </c>
      <c r="N757" s="365">
        <f t="shared" si="229"/>
        <v>86.68</v>
      </c>
      <c r="O757" s="343">
        <f t="shared" si="230"/>
        <v>59.46</v>
      </c>
      <c r="P757" s="195" t="s">
        <v>5554</v>
      </c>
      <c r="Q757" s="326" t="str">
        <f>IFERROR(VLOOKUP($G757,主力整理!$A$2:$G$2301,6,0),"0")</f>
        <v>0</v>
      </c>
      <c r="T757" s="339">
        <f t="shared" si="231"/>
        <v>0</v>
      </c>
      <c r="V757" s="371">
        <v>8.3800000000000008</v>
      </c>
      <c r="W757" s="35">
        <v>1.7</v>
      </c>
      <c r="X757" s="100">
        <v>1.01</v>
      </c>
      <c r="Y757" s="14" t="str">
        <f>RTD("money.excel",,"4931","Price")</f>
        <v>無資料</v>
      </c>
      <c r="Z757" s="69"/>
      <c r="AA757" s="16" t="e">
        <f t="shared" si="232"/>
        <v>#VALUE!</v>
      </c>
      <c r="AB757" s="3" t="e">
        <f t="shared" si="233"/>
        <v>#VALUE!</v>
      </c>
      <c r="AD757" s="17" t="s">
        <v>4652</v>
      </c>
      <c r="AG757" s="34">
        <f t="shared" si="234"/>
        <v>0</v>
      </c>
      <c r="AH757" s="44" t="s">
        <v>4653</v>
      </c>
      <c r="AI757" s="131"/>
      <c r="AK757" s="66">
        <f t="shared" si="237"/>
        <v>0</v>
      </c>
      <c r="AL757" s="174">
        <f t="shared" si="238"/>
        <v>0</v>
      </c>
      <c r="AM757" s="346">
        <f>RTD("money.excel",,$G757,"PredictVolume")</f>
        <v>0</v>
      </c>
      <c r="AN757" s="272">
        <f>RTD("money.excel",,$G757,"CumulativeVolume")</f>
        <v>0</v>
      </c>
      <c r="AO757" s="284"/>
    </row>
    <row r="758" spans="1:41">
      <c r="A758" s="151" t="s">
        <v>2688</v>
      </c>
      <c r="B758" s="85">
        <v>-6</v>
      </c>
      <c r="C758" s="85">
        <v>-26</v>
      </c>
      <c r="D758" s="85">
        <v>-7</v>
      </c>
      <c r="E758" s="85">
        <v>-1</v>
      </c>
      <c r="F758" s="7">
        <v>1.1200000000000001</v>
      </c>
      <c r="G758" s="85">
        <v>4938</v>
      </c>
      <c r="H758" s="53" t="s">
        <v>561</v>
      </c>
      <c r="I758" s="23" t="s">
        <v>22</v>
      </c>
      <c r="J758" s="371">
        <v>64.900000000000006</v>
      </c>
      <c r="K758" s="77">
        <v>32.79</v>
      </c>
      <c r="L758" s="371">
        <v>2</v>
      </c>
      <c r="N758" s="365">
        <f t="shared" si="229"/>
        <v>99.69</v>
      </c>
      <c r="O758" s="343">
        <f t="shared" si="230"/>
        <v>64.900000000000006</v>
      </c>
      <c r="P758" s="195">
        <v>85</v>
      </c>
      <c r="Q758" s="326">
        <v>31</v>
      </c>
      <c r="R758" s="111">
        <v>0</v>
      </c>
      <c r="S758" s="51">
        <v>9</v>
      </c>
      <c r="T758" s="339">
        <f t="shared" si="231"/>
        <v>125</v>
      </c>
      <c r="U758" s="329" t="s">
        <v>6539</v>
      </c>
      <c r="V758" s="371">
        <v>0.72</v>
      </c>
      <c r="W758" s="69">
        <v>4.49</v>
      </c>
      <c r="X758" s="59">
        <v>6.58</v>
      </c>
      <c r="Y758" s="37" t="str">
        <f>RTD("money.excel",,"4938","Price")</f>
        <v>無資料</v>
      </c>
      <c r="Z758" s="69"/>
      <c r="AA758" s="16" t="e">
        <f t="shared" si="232"/>
        <v>#VALUE!</v>
      </c>
      <c r="AB758" s="3" t="e">
        <f t="shared" si="233"/>
        <v>#VALUE!</v>
      </c>
      <c r="AC758" s="177" t="s">
        <v>6565</v>
      </c>
      <c r="AD758" s="23" t="s">
        <v>22</v>
      </c>
      <c r="AG758" s="34">
        <f t="shared" si="234"/>
        <v>0</v>
      </c>
      <c r="AH758" s="125" t="s">
        <v>4278</v>
      </c>
      <c r="AI758" s="131"/>
      <c r="AK758" s="66">
        <f t="shared" si="237"/>
        <v>0</v>
      </c>
      <c r="AL758" s="174">
        <f t="shared" si="238"/>
        <v>0</v>
      </c>
      <c r="AM758" s="346">
        <f>RTD("money.excel",,$G758,"PredictVolume")</f>
        <v>0</v>
      </c>
      <c r="AN758" s="272">
        <f>RTD("money.excel",,$G758,"CumulativeVolume")</f>
        <v>0</v>
      </c>
      <c r="AO758" s="284"/>
    </row>
    <row r="759" spans="1:41">
      <c r="A759" s="135" t="s">
        <v>3538</v>
      </c>
      <c r="B759" s="85">
        <v>-59</v>
      </c>
      <c r="C759" s="85">
        <v>-28</v>
      </c>
      <c r="D759" s="84">
        <v>12</v>
      </c>
      <c r="E759" s="85">
        <v>-19</v>
      </c>
      <c r="F759" s="59">
        <v>13.96</v>
      </c>
      <c r="G759" s="85">
        <v>4987</v>
      </c>
      <c r="H759" s="55" t="s">
        <v>1815</v>
      </c>
      <c r="I759" s="17" t="s">
        <v>3539</v>
      </c>
      <c r="J759" s="77">
        <v>35.04</v>
      </c>
      <c r="K759" s="371">
        <v>2.14</v>
      </c>
      <c r="N759" s="365">
        <f t="shared" ref="N759:N790" si="239">J759+K759+L759+M759</f>
        <v>37.18</v>
      </c>
      <c r="O759" s="343">
        <f t="shared" ref="O759:O790" si="240">J759+M759</f>
        <v>35.04</v>
      </c>
      <c r="P759" s="195" t="s">
        <v>5554</v>
      </c>
      <c r="Q759" s="326" t="str">
        <f>IFERROR(VLOOKUP($G759,主力整理!$A$2:$G$2301,6,0),"0")</f>
        <v>0</v>
      </c>
      <c r="T759" s="339">
        <f t="shared" ref="T759:T790" si="241">SUM(P759:S759)</f>
        <v>0</v>
      </c>
      <c r="V759" s="371">
        <v>0</v>
      </c>
      <c r="W759" s="69">
        <v>3.5</v>
      </c>
      <c r="X759" s="100">
        <v>3.76</v>
      </c>
      <c r="Y759" s="37" t="str">
        <f>RTD("money.excel",,"4987","Price")</f>
        <v>無資料</v>
      </c>
      <c r="Z759" s="69"/>
      <c r="AA759" s="16" t="e">
        <f t="shared" ref="AA759:AA790" si="242">Y759-Z759</f>
        <v>#VALUE!</v>
      </c>
      <c r="AB759" s="3" t="e">
        <f t="shared" ref="AB759:AB790" si="243">AA759/Z759</f>
        <v>#VALUE!</v>
      </c>
      <c r="AC759" s="177" t="s">
        <v>2700</v>
      </c>
      <c r="AD759" s="17" t="s">
        <v>3539</v>
      </c>
      <c r="AG759" s="34">
        <f t="shared" ref="AG759:AG790" si="244">AF759-AE759</f>
        <v>0</v>
      </c>
      <c r="AH759" s="63" t="s">
        <v>3861</v>
      </c>
      <c r="AI759" s="131"/>
      <c r="AK759" s="66">
        <f t="shared" si="237"/>
        <v>0</v>
      </c>
      <c r="AL759" s="174">
        <f t="shared" si="238"/>
        <v>0</v>
      </c>
      <c r="AM759" s="346">
        <f>RTD("money.excel",,$G759,"PredictVolume")</f>
        <v>0</v>
      </c>
      <c r="AN759" s="272">
        <f>RTD("money.excel",,$G759,"CumulativeVolume")</f>
        <v>0</v>
      </c>
      <c r="AO759" s="284"/>
    </row>
    <row r="760" spans="1:41">
      <c r="A760" s="135" t="s">
        <v>4677</v>
      </c>
      <c r="B760" s="85">
        <v>-6</v>
      </c>
      <c r="C760" s="85">
        <v>-11</v>
      </c>
      <c r="D760" s="85">
        <v>-4</v>
      </c>
      <c r="E760" s="85">
        <v>-31</v>
      </c>
      <c r="F760" s="59">
        <v>22.93</v>
      </c>
      <c r="G760" s="85">
        <v>5215</v>
      </c>
      <c r="H760" s="53" t="s">
        <v>561</v>
      </c>
      <c r="I760" s="23" t="s">
        <v>891</v>
      </c>
      <c r="J760" s="371">
        <v>48.16</v>
      </c>
      <c r="K760" s="371">
        <v>24.76</v>
      </c>
      <c r="L760" s="371">
        <v>12.3</v>
      </c>
      <c r="N760" s="365">
        <f t="shared" si="239"/>
        <v>85.22</v>
      </c>
      <c r="O760" s="343">
        <f t="shared" si="240"/>
        <v>48.16</v>
      </c>
      <c r="P760" s="195">
        <v>12</v>
      </c>
      <c r="Q760" s="326" t="str">
        <f>IFERROR(VLOOKUP($G760,主力整理!$A$2:$G$2301,6,0),"0")</f>
        <v>0</v>
      </c>
      <c r="R760" s="111">
        <v>4</v>
      </c>
      <c r="S760" s="51">
        <v>0</v>
      </c>
      <c r="T760" s="339">
        <f t="shared" si="241"/>
        <v>16</v>
      </c>
      <c r="U760" s="329" t="s">
        <v>6540</v>
      </c>
      <c r="V760" s="371">
        <v>7.07</v>
      </c>
      <c r="W760" s="69">
        <v>8</v>
      </c>
      <c r="X760" s="100">
        <v>11.64</v>
      </c>
      <c r="Y760" s="37" t="str">
        <f>RTD("money.excel",,"5215","Price")</f>
        <v>無資料</v>
      </c>
      <c r="Z760" s="69"/>
      <c r="AA760" s="16" t="e">
        <f t="shared" si="242"/>
        <v>#VALUE!</v>
      </c>
      <c r="AB760" s="3" t="e">
        <f t="shared" si="243"/>
        <v>#VALUE!</v>
      </c>
      <c r="AC760" s="177" t="s">
        <v>6565</v>
      </c>
      <c r="AD760" s="23" t="s">
        <v>891</v>
      </c>
      <c r="AG760" s="34">
        <f t="shared" si="244"/>
        <v>0</v>
      </c>
      <c r="AH760" s="63" t="s">
        <v>3650</v>
      </c>
      <c r="AI760" s="131"/>
      <c r="AK760" s="66">
        <f t="shared" si="237"/>
        <v>0</v>
      </c>
      <c r="AL760" s="174">
        <f t="shared" si="238"/>
        <v>0</v>
      </c>
      <c r="AM760" s="346">
        <f>RTD("money.excel",,$G760,"PredictVolume")</f>
        <v>0</v>
      </c>
      <c r="AN760" s="272">
        <f>RTD("money.excel",,$G760,"CumulativeVolume")</f>
        <v>0</v>
      </c>
      <c r="AO760" s="284"/>
    </row>
    <row r="761" spans="1:41">
      <c r="A761" s="135" t="s">
        <v>4670</v>
      </c>
      <c r="B761" s="85">
        <v>-17</v>
      </c>
      <c r="C761" s="85">
        <v>-28</v>
      </c>
      <c r="D761" s="84">
        <v>30</v>
      </c>
      <c r="E761" s="84">
        <v>15</v>
      </c>
      <c r="F761" s="59">
        <v>12.81</v>
      </c>
      <c r="G761" s="85">
        <v>5223</v>
      </c>
      <c r="H761" s="55" t="s">
        <v>561</v>
      </c>
      <c r="I761" s="17" t="s">
        <v>3541</v>
      </c>
      <c r="J761" s="77">
        <v>53.28</v>
      </c>
      <c r="K761" s="77">
        <v>42.8</v>
      </c>
      <c r="L761" s="77">
        <v>19.329999999999998</v>
      </c>
      <c r="M761" s="77">
        <v>43.28</v>
      </c>
      <c r="N761" s="77">
        <f t="shared" si="239"/>
        <v>158.69</v>
      </c>
      <c r="O761" s="369">
        <f t="shared" si="240"/>
        <v>96.56</v>
      </c>
      <c r="P761" s="195">
        <v>6</v>
      </c>
      <c r="Q761" s="326">
        <v>7</v>
      </c>
      <c r="R761" s="111">
        <v>10</v>
      </c>
      <c r="S761" s="51">
        <v>15</v>
      </c>
      <c r="T761" s="339">
        <f t="shared" si="241"/>
        <v>38</v>
      </c>
      <c r="U761" s="329" t="s">
        <v>6539</v>
      </c>
      <c r="V761" s="371">
        <v>0.54</v>
      </c>
      <c r="W761" s="69">
        <v>3.41</v>
      </c>
      <c r="X761" s="59">
        <v>5.67</v>
      </c>
      <c r="Y761" s="14" t="str">
        <f>RTD("money.excel",,"5223","Price")</f>
        <v>無資料</v>
      </c>
      <c r="Z761" s="69"/>
      <c r="AA761" s="16" t="e">
        <f t="shared" si="242"/>
        <v>#VALUE!</v>
      </c>
      <c r="AB761" s="3" t="e">
        <f t="shared" si="243"/>
        <v>#VALUE!</v>
      </c>
      <c r="AC761" s="177" t="s">
        <v>2929</v>
      </c>
      <c r="AD761" s="17" t="s">
        <v>3541</v>
      </c>
      <c r="AG761" s="34">
        <f t="shared" si="244"/>
        <v>0</v>
      </c>
      <c r="AH761" s="63" t="s">
        <v>4499</v>
      </c>
      <c r="AI761" s="131"/>
      <c r="AK761" s="66">
        <f t="shared" si="237"/>
        <v>0</v>
      </c>
      <c r="AL761" s="174">
        <f t="shared" si="238"/>
        <v>0</v>
      </c>
      <c r="AM761" s="346">
        <f>RTD("money.excel",,$G761,"PredictVolume")</f>
        <v>0</v>
      </c>
      <c r="AN761" s="272">
        <f>RTD("money.excel",,$G761,"CumulativeVolume")</f>
        <v>0</v>
      </c>
      <c r="AO761" s="284"/>
    </row>
    <row r="762" spans="1:41">
      <c r="A762" s="151" t="s">
        <v>3348</v>
      </c>
      <c r="B762" s="85">
        <v>-16</v>
      </c>
      <c r="C762" s="84">
        <v>11</v>
      </c>
      <c r="D762" s="84">
        <v>3</v>
      </c>
      <c r="E762" s="84">
        <v>42</v>
      </c>
      <c r="F762" s="7">
        <v>5.54</v>
      </c>
      <c r="G762" s="85">
        <v>5258</v>
      </c>
      <c r="H762" s="53" t="s">
        <v>561</v>
      </c>
      <c r="I762" s="23" t="s">
        <v>892</v>
      </c>
      <c r="J762" s="77">
        <v>37.31</v>
      </c>
      <c r="K762" s="77">
        <v>5.36</v>
      </c>
      <c r="L762" s="371">
        <v>30.15</v>
      </c>
      <c r="M762" s="371">
        <v>20.440000000000001</v>
      </c>
      <c r="N762" s="365">
        <f t="shared" si="239"/>
        <v>93.259999999999991</v>
      </c>
      <c r="O762" s="343">
        <f t="shared" si="240"/>
        <v>57.75</v>
      </c>
      <c r="P762" s="195">
        <v>2</v>
      </c>
      <c r="Q762" s="326">
        <v>9</v>
      </c>
      <c r="R762" s="111">
        <v>11</v>
      </c>
      <c r="S762" s="51">
        <v>8</v>
      </c>
      <c r="T762" s="339">
        <f t="shared" si="241"/>
        <v>30</v>
      </c>
      <c r="U762" s="329" t="s">
        <v>6539</v>
      </c>
      <c r="V762" s="371">
        <v>2.75</v>
      </c>
      <c r="W762" s="35">
        <v>0.6</v>
      </c>
      <c r="X762" s="100">
        <v>1.94</v>
      </c>
      <c r="Y762" s="37" t="str">
        <f>RTD("money.excel",,"5258","Price")</f>
        <v>無資料</v>
      </c>
      <c r="Z762" s="69"/>
      <c r="AA762" s="16" t="e">
        <f t="shared" si="242"/>
        <v>#VALUE!</v>
      </c>
      <c r="AB762" s="3" t="e">
        <f t="shared" si="243"/>
        <v>#VALUE!</v>
      </c>
      <c r="AC762" s="177" t="s">
        <v>2648</v>
      </c>
      <c r="AD762" s="23" t="s">
        <v>892</v>
      </c>
      <c r="AG762" s="34">
        <f t="shared" si="244"/>
        <v>0</v>
      </c>
      <c r="AH762" s="44" t="s">
        <v>6661</v>
      </c>
      <c r="AI762" s="131"/>
      <c r="AK762" s="66">
        <f t="shared" si="237"/>
        <v>0</v>
      </c>
      <c r="AL762" s="174">
        <f t="shared" si="238"/>
        <v>0</v>
      </c>
      <c r="AM762" s="346">
        <f>RTD("money.excel",,$G762,"PredictVolume")</f>
        <v>0</v>
      </c>
      <c r="AN762" s="272">
        <f>RTD("money.excel",,$G762,"CumulativeVolume")</f>
        <v>0</v>
      </c>
      <c r="AO762" s="284"/>
    </row>
    <row r="763" spans="1:41">
      <c r="A763" s="135" t="s">
        <v>4656</v>
      </c>
      <c r="B763" s="85">
        <v>-4</v>
      </c>
      <c r="C763" s="85">
        <v>-7</v>
      </c>
      <c r="D763" s="85">
        <v>-10</v>
      </c>
      <c r="E763" s="85">
        <v>-1</v>
      </c>
      <c r="F763" s="59">
        <v>17.46</v>
      </c>
      <c r="G763" s="85">
        <v>5289</v>
      </c>
      <c r="H763" s="55" t="s">
        <v>561</v>
      </c>
      <c r="I763" s="17" t="s">
        <v>310</v>
      </c>
      <c r="J763" s="371">
        <v>36.520000000000003</v>
      </c>
      <c r="K763" s="77">
        <v>26.24</v>
      </c>
      <c r="L763" s="77">
        <v>7.32</v>
      </c>
      <c r="N763" s="365">
        <f t="shared" si="239"/>
        <v>70.080000000000013</v>
      </c>
      <c r="O763" s="343">
        <f t="shared" si="240"/>
        <v>36.520000000000003</v>
      </c>
      <c r="P763" s="195">
        <v>5</v>
      </c>
      <c r="Q763" s="326">
        <f>IFERROR(VLOOKUP($G763,主力整理!$A$2:$G$2301,6,0),"0")</f>
        <v>1</v>
      </c>
      <c r="T763" s="339">
        <f t="shared" si="241"/>
        <v>6</v>
      </c>
      <c r="V763" s="371">
        <v>0.02</v>
      </c>
      <c r="W763" s="69">
        <v>6.8</v>
      </c>
      <c r="X763" s="100">
        <v>11.57</v>
      </c>
      <c r="Y763" s="37" t="str">
        <f>RTD("money.excel",,"5289","Price")</f>
        <v>無資料</v>
      </c>
      <c r="Z763" s="69"/>
      <c r="AA763" s="16" t="e">
        <f t="shared" si="242"/>
        <v>#VALUE!</v>
      </c>
      <c r="AB763" s="3" t="e">
        <f t="shared" si="243"/>
        <v>#VALUE!</v>
      </c>
      <c r="AC763" s="177" t="s">
        <v>2929</v>
      </c>
      <c r="AD763" s="17" t="s">
        <v>310</v>
      </c>
      <c r="AG763" s="34">
        <f t="shared" si="244"/>
        <v>0</v>
      </c>
      <c r="AH763" s="126" t="s">
        <v>2131</v>
      </c>
      <c r="AI763" s="131"/>
      <c r="AK763" s="66">
        <f t="shared" si="237"/>
        <v>0</v>
      </c>
      <c r="AL763" s="174">
        <f t="shared" si="238"/>
        <v>0</v>
      </c>
      <c r="AM763" s="346">
        <f>RTD("money.excel",,$G763,"PredictVolume")</f>
        <v>0</v>
      </c>
      <c r="AN763" s="272">
        <f>RTD("money.excel",,$G763,"CumulativeVolume")</f>
        <v>0</v>
      </c>
      <c r="AO763" s="284"/>
    </row>
    <row r="764" spans="1:41">
      <c r="A764" s="151" t="s">
        <v>2555</v>
      </c>
      <c r="B764" s="85">
        <v>-103</v>
      </c>
      <c r="C764" s="85">
        <v>-226</v>
      </c>
      <c r="D764" s="84">
        <v>5</v>
      </c>
      <c r="E764" s="84">
        <v>19</v>
      </c>
      <c r="F764" s="7">
        <v>-2.89</v>
      </c>
      <c r="G764" s="85">
        <v>5356</v>
      </c>
      <c r="H764" s="55" t="s">
        <v>1815</v>
      </c>
      <c r="I764" s="17" t="s">
        <v>3542</v>
      </c>
      <c r="J764" s="371">
        <v>28.37</v>
      </c>
      <c r="K764" s="371">
        <v>2.85</v>
      </c>
      <c r="L764" s="371">
        <v>17.59</v>
      </c>
      <c r="M764" s="77">
        <v>8.23</v>
      </c>
      <c r="N764" s="365">
        <f t="shared" si="239"/>
        <v>57.040000000000006</v>
      </c>
      <c r="O764" s="343">
        <f t="shared" si="240"/>
        <v>36.6</v>
      </c>
      <c r="P764" s="195">
        <v>0</v>
      </c>
      <c r="Q764" s="326">
        <v>1</v>
      </c>
      <c r="R764" s="111">
        <v>5</v>
      </c>
      <c r="S764" s="51">
        <v>4</v>
      </c>
      <c r="T764" s="339">
        <f t="shared" si="241"/>
        <v>10</v>
      </c>
      <c r="U764" s="329" t="s">
        <v>6539</v>
      </c>
      <c r="V764" s="371">
        <v>0.33</v>
      </c>
      <c r="W764" s="35">
        <v>2.2000000000000002</v>
      </c>
      <c r="X764" s="100">
        <v>0.77</v>
      </c>
      <c r="Y764" s="37" t="str">
        <f>RTD("money.excel",,"5356","Price")</f>
        <v>無資料</v>
      </c>
      <c r="Z764" s="69"/>
      <c r="AA764" s="16" t="e">
        <f t="shared" si="242"/>
        <v>#VALUE!</v>
      </c>
      <c r="AB764" s="3" t="e">
        <f t="shared" si="243"/>
        <v>#VALUE!</v>
      </c>
      <c r="AD764" s="17" t="s">
        <v>3542</v>
      </c>
      <c r="AG764" s="34">
        <f t="shared" si="244"/>
        <v>0</v>
      </c>
      <c r="AH764" s="125" t="s">
        <v>3543</v>
      </c>
      <c r="AI764" s="131"/>
      <c r="AK764" s="66">
        <f t="shared" si="237"/>
        <v>0</v>
      </c>
      <c r="AL764" s="174">
        <f t="shared" si="238"/>
        <v>0</v>
      </c>
      <c r="AM764" s="346">
        <f>RTD("money.excel",,$G764,"PredictVolume")</f>
        <v>0</v>
      </c>
      <c r="AN764" s="272">
        <f>RTD("money.excel",,$G764,"CumulativeVolume")</f>
        <v>0</v>
      </c>
      <c r="AO764" s="284"/>
    </row>
    <row r="765" spans="1:41">
      <c r="A765" s="151" t="s">
        <v>6771</v>
      </c>
      <c r="B765" s="84">
        <v>122</v>
      </c>
      <c r="C765" s="84">
        <v>81</v>
      </c>
      <c r="D765" s="84">
        <v>53</v>
      </c>
      <c r="E765" s="84">
        <v>124</v>
      </c>
      <c r="F765" s="7">
        <v>2.57</v>
      </c>
      <c r="G765" s="85">
        <v>5386</v>
      </c>
      <c r="H765" s="55" t="s">
        <v>561</v>
      </c>
      <c r="I765" s="17" t="s">
        <v>3544</v>
      </c>
      <c r="J765" s="371">
        <v>27.48</v>
      </c>
      <c r="K765" s="371">
        <v>5.84</v>
      </c>
      <c r="L765" s="371">
        <v>25.51</v>
      </c>
      <c r="M765" s="371">
        <v>31.19</v>
      </c>
      <c r="N765" s="365">
        <f t="shared" si="239"/>
        <v>90.02</v>
      </c>
      <c r="O765" s="343">
        <f t="shared" si="240"/>
        <v>58.67</v>
      </c>
      <c r="P765" s="195">
        <v>1</v>
      </c>
      <c r="Q765" s="326">
        <v>9</v>
      </c>
      <c r="R765" s="111">
        <v>24</v>
      </c>
      <c r="S765" s="51">
        <v>26</v>
      </c>
      <c r="T765" s="339">
        <f t="shared" si="241"/>
        <v>60</v>
      </c>
      <c r="U765" s="329" t="s">
        <v>6538</v>
      </c>
      <c r="V765" s="371">
        <v>1.34</v>
      </c>
      <c r="W765" s="35">
        <v>0.8</v>
      </c>
      <c r="X765" s="100">
        <v>2.06</v>
      </c>
      <c r="Y765" s="37" t="str">
        <f>RTD("money.excel",,"5386","Price")</f>
        <v>無資料</v>
      </c>
      <c r="Z765" s="69"/>
      <c r="AA765" s="16" t="e">
        <f t="shared" si="242"/>
        <v>#VALUE!</v>
      </c>
      <c r="AB765" s="3" t="e">
        <f t="shared" si="243"/>
        <v>#VALUE!</v>
      </c>
      <c r="AC765" s="177" t="s">
        <v>2648</v>
      </c>
      <c r="AD765" s="17" t="s">
        <v>3544</v>
      </c>
      <c r="AG765" s="34">
        <f t="shared" si="244"/>
        <v>0</v>
      </c>
      <c r="AH765" s="44" t="s">
        <v>4264</v>
      </c>
      <c r="AI765" s="131"/>
      <c r="AK765" s="66">
        <f t="shared" si="237"/>
        <v>0</v>
      </c>
      <c r="AL765" s="174">
        <f t="shared" si="238"/>
        <v>0</v>
      </c>
      <c r="AM765" s="346">
        <f>RTD("money.excel",,$G765,"PredictVolume")</f>
        <v>0</v>
      </c>
      <c r="AN765" s="272">
        <f>RTD("money.excel",,$G765,"CumulativeVolume")</f>
        <v>0</v>
      </c>
      <c r="AO765" s="284"/>
    </row>
    <row r="766" spans="1:41">
      <c r="A766" s="151" t="s">
        <v>2526</v>
      </c>
      <c r="B766" s="96">
        <v>436</v>
      </c>
      <c r="C766" s="96">
        <v>397</v>
      </c>
      <c r="D766" s="96">
        <v>-6</v>
      </c>
      <c r="E766" s="96">
        <v>13</v>
      </c>
      <c r="F766" s="7">
        <v>6.25</v>
      </c>
      <c r="G766" s="85">
        <v>5426</v>
      </c>
      <c r="H766" s="55" t="s">
        <v>1815</v>
      </c>
      <c r="I766" s="17" t="s">
        <v>3545</v>
      </c>
      <c r="J766" s="77">
        <v>55.79</v>
      </c>
      <c r="K766" s="77">
        <v>0.93</v>
      </c>
      <c r="L766" s="77">
        <v>12.17</v>
      </c>
      <c r="N766" s="365">
        <f t="shared" si="239"/>
        <v>68.89</v>
      </c>
      <c r="O766" s="343">
        <f t="shared" si="240"/>
        <v>55.79</v>
      </c>
      <c r="P766" s="195" t="s">
        <v>5554</v>
      </c>
      <c r="Q766" s="326" t="str">
        <f>IFERROR(VLOOKUP($G766,主力整理!$A$2:$G$2301,6,0),"0")</f>
        <v>0</v>
      </c>
      <c r="T766" s="339">
        <f t="shared" si="241"/>
        <v>0</v>
      </c>
      <c r="V766" s="371">
        <v>22.32</v>
      </c>
      <c r="W766" s="35">
        <v>0</v>
      </c>
      <c r="X766" s="100">
        <v>-0.26</v>
      </c>
      <c r="Y766" s="14" t="str">
        <f>RTD("money.excel",,"5426","Price")</f>
        <v>無資料</v>
      </c>
      <c r="Z766" s="69"/>
      <c r="AA766" s="16" t="e">
        <f t="shared" si="242"/>
        <v>#VALUE!</v>
      </c>
      <c r="AB766" s="3" t="e">
        <f t="shared" si="243"/>
        <v>#VALUE!</v>
      </c>
      <c r="AD766" s="17" t="s">
        <v>3545</v>
      </c>
      <c r="AG766" s="34">
        <f t="shared" si="244"/>
        <v>0</v>
      </c>
      <c r="AH766" s="44" t="s">
        <v>3862</v>
      </c>
      <c r="AI766" s="131"/>
      <c r="AK766" s="66">
        <f t="shared" si="237"/>
        <v>0</v>
      </c>
      <c r="AL766" s="174">
        <f t="shared" si="238"/>
        <v>0</v>
      </c>
      <c r="AM766" s="346">
        <f>RTD("money.excel",,$G766,"PredictVolume")</f>
        <v>0</v>
      </c>
      <c r="AN766" s="272">
        <f>RTD("money.excel",,$G766,"CumulativeVolume")</f>
        <v>0</v>
      </c>
      <c r="AO766" s="284"/>
    </row>
    <row r="767" spans="1:41">
      <c r="A767" s="151" t="s">
        <v>4657</v>
      </c>
      <c r="B767" s="98">
        <v>8447</v>
      </c>
      <c r="C767" s="84">
        <v>101</v>
      </c>
      <c r="D767" s="84">
        <v>33</v>
      </c>
      <c r="E767" s="84">
        <v>27</v>
      </c>
      <c r="F767" s="7">
        <v>7.0000000000000007E-2</v>
      </c>
      <c r="G767" s="85">
        <v>5438</v>
      </c>
      <c r="H767" s="55" t="s">
        <v>1815</v>
      </c>
      <c r="I767" s="17" t="s">
        <v>3546</v>
      </c>
      <c r="J767" s="77">
        <v>78.709999999999994</v>
      </c>
      <c r="K767" s="371">
        <v>2.06</v>
      </c>
      <c r="L767" s="77">
        <v>3.13</v>
      </c>
      <c r="M767" s="77">
        <v>48.93</v>
      </c>
      <c r="N767" s="77">
        <f t="shared" si="239"/>
        <v>132.82999999999998</v>
      </c>
      <c r="O767" s="369">
        <f t="shared" si="240"/>
        <v>127.63999999999999</v>
      </c>
      <c r="P767" s="195">
        <v>0</v>
      </c>
      <c r="Q767" s="326">
        <v>20</v>
      </c>
      <c r="R767" s="111">
        <v>13</v>
      </c>
      <c r="S767" s="51">
        <v>11</v>
      </c>
      <c r="T767" s="339">
        <f t="shared" si="241"/>
        <v>44</v>
      </c>
      <c r="U767" s="329" t="s">
        <v>6538</v>
      </c>
      <c r="V767" s="371">
        <v>0.16</v>
      </c>
      <c r="W767" s="35">
        <v>0.1</v>
      </c>
      <c r="X767" s="59">
        <v>0.71</v>
      </c>
      <c r="Y767" s="37" t="str">
        <f>RTD("money.excel",,"5438","Price")</f>
        <v>無資料</v>
      </c>
      <c r="Z767" s="69"/>
      <c r="AA767" s="16" t="e">
        <f t="shared" si="242"/>
        <v>#VALUE!</v>
      </c>
      <c r="AB767" s="3" t="e">
        <f t="shared" si="243"/>
        <v>#VALUE!</v>
      </c>
      <c r="AD767" s="17" t="s">
        <v>3546</v>
      </c>
      <c r="AG767" s="34">
        <f t="shared" si="244"/>
        <v>0</v>
      </c>
      <c r="AH767" s="44" t="s">
        <v>3863</v>
      </c>
      <c r="AI767" s="131"/>
      <c r="AK767" s="66">
        <f t="shared" si="237"/>
        <v>0</v>
      </c>
      <c r="AL767" s="174">
        <f t="shared" si="238"/>
        <v>0</v>
      </c>
      <c r="AM767" s="346">
        <f>RTD("money.excel",,$G767,"PredictVolume")</f>
        <v>0</v>
      </c>
      <c r="AN767" s="272">
        <f>RTD("money.excel",,$G767,"CumulativeVolume")</f>
        <v>0</v>
      </c>
      <c r="AO767" s="284"/>
    </row>
    <row r="768" spans="1:41">
      <c r="A768" s="151" t="s">
        <v>2776</v>
      </c>
      <c r="B768" s="84">
        <v>103</v>
      </c>
      <c r="C768" s="84">
        <v>374</v>
      </c>
      <c r="D768" s="85">
        <v>-61</v>
      </c>
      <c r="E768" s="84">
        <v>32</v>
      </c>
      <c r="F768" s="7">
        <v>5.0599999999999996</v>
      </c>
      <c r="G768" s="85">
        <v>5465</v>
      </c>
      <c r="H768" s="55" t="s">
        <v>561</v>
      </c>
      <c r="I768" s="17" t="s">
        <v>3547</v>
      </c>
      <c r="J768" s="77">
        <v>73.38</v>
      </c>
      <c r="K768" s="77">
        <v>1.32</v>
      </c>
      <c r="L768" s="77">
        <v>19.489999999999998</v>
      </c>
      <c r="N768" s="365">
        <f t="shared" si="239"/>
        <v>94.189999999999984</v>
      </c>
      <c r="O768" s="343">
        <f t="shared" si="240"/>
        <v>73.38</v>
      </c>
      <c r="P768" s="195" t="s">
        <v>5554</v>
      </c>
      <c r="Q768" s="326" t="str">
        <f>IFERROR(VLOOKUP($G768,主力整理!$A$2:$G$2301,6,0),"0")</f>
        <v>0</v>
      </c>
      <c r="T768" s="339">
        <f t="shared" si="241"/>
        <v>0</v>
      </c>
      <c r="V768" s="371">
        <v>0</v>
      </c>
      <c r="W768" s="35">
        <v>1.1499999999999999</v>
      </c>
      <c r="X768" s="59">
        <v>1.1499999999999999</v>
      </c>
      <c r="Y768" s="37" t="str">
        <f>RTD("money.excel",,"5465","Price")</f>
        <v>無資料</v>
      </c>
      <c r="Z768" s="69"/>
      <c r="AA768" s="16" t="e">
        <f t="shared" si="242"/>
        <v>#VALUE!</v>
      </c>
      <c r="AB768" s="3" t="e">
        <f t="shared" si="243"/>
        <v>#VALUE!</v>
      </c>
      <c r="AD768" s="17" t="s">
        <v>3547</v>
      </c>
      <c r="AG768" s="34">
        <f t="shared" si="244"/>
        <v>0</v>
      </c>
      <c r="AH768" s="44" t="s">
        <v>3864</v>
      </c>
      <c r="AI768" s="131"/>
      <c r="AK768" s="66">
        <f t="shared" si="237"/>
        <v>0</v>
      </c>
      <c r="AL768" s="174">
        <f t="shared" si="238"/>
        <v>0</v>
      </c>
      <c r="AM768" s="346">
        <f>RTD("money.excel",,$G768,"PredictVolume")</f>
        <v>0</v>
      </c>
      <c r="AN768" s="272">
        <f>RTD("money.excel",,$G768,"CumulativeVolume")</f>
        <v>0</v>
      </c>
      <c r="AO768" s="284"/>
    </row>
    <row r="769" spans="1:41">
      <c r="A769" s="135" t="s">
        <v>2607</v>
      </c>
      <c r="B769" s="84">
        <v>37</v>
      </c>
      <c r="C769" s="84">
        <v>52</v>
      </c>
      <c r="D769" s="85">
        <v>-11</v>
      </c>
      <c r="E769" s="85">
        <v>-21</v>
      </c>
      <c r="F769" s="59">
        <v>23.33</v>
      </c>
      <c r="G769" s="85">
        <v>5474</v>
      </c>
      <c r="H769" s="55" t="s">
        <v>1815</v>
      </c>
      <c r="I769" s="17" t="s">
        <v>3548</v>
      </c>
      <c r="J769" s="371">
        <v>52.83</v>
      </c>
      <c r="K769" s="77">
        <v>3.57</v>
      </c>
      <c r="L769" s="371">
        <v>18.170000000000002</v>
      </c>
      <c r="N769" s="365">
        <f t="shared" si="239"/>
        <v>74.569999999999993</v>
      </c>
      <c r="O769" s="343">
        <f t="shared" si="240"/>
        <v>52.83</v>
      </c>
      <c r="P769" s="195" t="s">
        <v>5554</v>
      </c>
      <c r="Q769" s="326" t="str">
        <f>IFERROR(VLOOKUP($G769,主力整理!$A$2:$G$2301,6,0),"0")</f>
        <v>0</v>
      </c>
      <c r="R769" s="111">
        <v>19</v>
      </c>
      <c r="S769" s="51">
        <v>0</v>
      </c>
      <c r="T769" s="339">
        <f t="shared" si="241"/>
        <v>19</v>
      </c>
      <c r="V769" s="371">
        <v>0.72</v>
      </c>
      <c r="W769" s="69">
        <v>10</v>
      </c>
      <c r="X769" s="59">
        <v>19.190000000000001</v>
      </c>
      <c r="Y769" s="37" t="str">
        <f>RTD("money.excel",,"5474","Price")</f>
        <v>無資料</v>
      </c>
      <c r="Z769" s="69"/>
      <c r="AA769" s="16" t="e">
        <f t="shared" si="242"/>
        <v>#VALUE!</v>
      </c>
      <c r="AB769" s="3" t="e">
        <f t="shared" si="243"/>
        <v>#VALUE!</v>
      </c>
      <c r="AC769" s="177" t="s">
        <v>2929</v>
      </c>
      <c r="AD769" s="17" t="s">
        <v>3548</v>
      </c>
      <c r="AG769" s="34">
        <f t="shared" si="244"/>
        <v>0</v>
      </c>
      <c r="AH769" s="63" t="s">
        <v>3849</v>
      </c>
      <c r="AI769" s="131"/>
      <c r="AK769" s="66">
        <f t="shared" si="237"/>
        <v>0</v>
      </c>
      <c r="AL769" s="174">
        <f t="shared" si="238"/>
        <v>0</v>
      </c>
      <c r="AM769" s="346">
        <f>RTD("money.excel",,$G769,"PredictVolume")</f>
        <v>0</v>
      </c>
      <c r="AN769" s="272">
        <f>RTD("money.excel",,$G769,"CumulativeVolume")</f>
        <v>0</v>
      </c>
      <c r="AO769" s="284"/>
    </row>
    <row r="770" spans="1:41">
      <c r="A770" s="135" t="s">
        <v>4658</v>
      </c>
      <c r="B770" s="96">
        <v>57</v>
      </c>
      <c r="C770" s="96">
        <v>59</v>
      </c>
      <c r="D770" s="96">
        <v>-83</v>
      </c>
      <c r="E770" s="96">
        <v>-50</v>
      </c>
      <c r="F770" s="59">
        <v>13.62</v>
      </c>
      <c r="G770" s="85">
        <v>5490</v>
      </c>
      <c r="H770" s="55" t="s">
        <v>1815</v>
      </c>
      <c r="I770" s="17" t="s">
        <v>3549</v>
      </c>
      <c r="J770" s="371">
        <v>36.86</v>
      </c>
      <c r="K770" s="371">
        <v>4.7300000000000004</v>
      </c>
      <c r="L770" s="77">
        <v>17.149999999999999</v>
      </c>
      <c r="N770" s="365">
        <f t="shared" si="239"/>
        <v>58.74</v>
      </c>
      <c r="O770" s="343">
        <f t="shared" si="240"/>
        <v>36.86</v>
      </c>
      <c r="P770" s="195" t="s">
        <v>5554</v>
      </c>
      <c r="Q770" s="326" t="str">
        <f>IFERROR(VLOOKUP($G770,主力整理!$A$2:$G$2301,6,0),"0")</f>
        <v>0</v>
      </c>
      <c r="T770" s="339">
        <f t="shared" si="241"/>
        <v>0</v>
      </c>
      <c r="V770" s="371">
        <v>8.85</v>
      </c>
      <c r="W770" s="35">
        <v>2</v>
      </c>
      <c r="X770" s="100">
        <v>2.19</v>
      </c>
      <c r="Y770" s="37" t="str">
        <f>RTD("money.excel",,"5490","Price")</f>
        <v>無資料</v>
      </c>
      <c r="Z770" s="69"/>
      <c r="AA770" s="16" t="e">
        <f t="shared" si="242"/>
        <v>#VALUE!</v>
      </c>
      <c r="AB770" s="3" t="e">
        <f t="shared" si="243"/>
        <v>#VALUE!</v>
      </c>
      <c r="AD770" s="17" t="s">
        <v>3549</v>
      </c>
      <c r="AG770" s="34">
        <f t="shared" si="244"/>
        <v>0</v>
      </c>
      <c r="AH770" s="126" t="s">
        <v>4659</v>
      </c>
      <c r="AI770" s="131"/>
      <c r="AK770" s="66">
        <f t="shared" si="237"/>
        <v>0</v>
      </c>
      <c r="AL770" s="174">
        <f t="shared" si="238"/>
        <v>0</v>
      </c>
      <c r="AM770" s="346">
        <f>RTD("money.excel",,$G770,"PredictVolume")</f>
        <v>0</v>
      </c>
      <c r="AN770" s="272">
        <f>RTD("money.excel",,$G770,"CumulativeVolume")</f>
        <v>0</v>
      </c>
      <c r="AO770" s="284"/>
    </row>
    <row r="771" spans="1:41">
      <c r="A771" s="151" t="s">
        <v>4805</v>
      </c>
      <c r="B771" s="96">
        <v>71</v>
      </c>
      <c r="C771" s="96">
        <v>76</v>
      </c>
      <c r="D771" s="96">
        <v>31</v>
      </c>
      <c r="E771" s="96">
        <v>16</v>
      </c>
      <c r="F771" s="7">
        <v>-1.81</v>
      </c>
      <c r="G771" s="85">
        <v>6117</v>
      </c>
      <c r="H771" s="53" t="s">
        <v>561</v>
      </c>
      <c r="I771" s="23" t="s">
        <v>893</v>
      </c>
      <c r="J771" s="77">
        <v>79.430000000000007</v>
      </c>
      <c r="K771" s="77">
        <v>2.84</v>
      </c>
      <c r="L771" s="77">
        <v>3.11</v>
      </c>
      <c r="N771" s="365">
        <f t="shared" si="239"/>
        <v>85.38000000000001</v>
      </c>
      <c r="O771" s="343">
        <f t="shared" si="240"/>
        <v>79.430000000000007</v>
      </c>
      <c r="P771" s="195" t="s">
        <v>5554</v>
      </c>
      <c r="Q771" s="326" t="str">
        <f>IFERROR(VLOOKUP($G771,主力整理!$A$2:$G$2301,6,0),"0")</f>
        <v>0</v>
      </c>
      <c r="T771" s="339">
        <f t="shared" si="241"/>
        <v>0</v>
      </c>
      <c r="V771" s="371">
        <v>39.39</v>
      </c>
      <c r="W771" s="35">
        <v>0</v>
      </c>
      <c r="X771" s="100">
        <v>-0.86</v>
      </c>
      <c r="Y771" s="14" t="str">
        <f>RTD("money.excel",,"6117","Price")</f>
        <v>無資料</v>
      </c>
      <c r="Z771" s="69"/>
      <c r="AA771" s="16" t="e">
        <f t="shared" si="242"/>
        <v>#VALUE!</v>
      </c>
      <c r="AB771" s="3" t="e">
        <f t="shared" si="243"/>
        <v>#VALUE!</v>
      </c>
      <c r="AD771" s="23" t="s">
        <v>893</v>
      </c>
      <c r="AG771" s="34">
        <f t="shared" si="244"/>
        <v>0</v>
      </c>
      <c r="AH771" s="44" t="s">
        <v>3794</v>
      </c>
      <c r="AI771" s="132"/>
      <c r="AK771" s="66">
        <f t="shared" si="237"/>
        <v>0</v>
      </c>
      <c r="AL771" s="174">
        <f t="shared" si="238"/>
        <v>0</v>
      </c>
      <c r="AM771" s="346">
        <f>RTD("money.excel",,$G771,"PredictVolume")</f>
        <v>0</v>
      </c>
      <c r="AN771" s="272">
        <f>RTD("money.excel",,$G771,"CumulativeVolume")</f>
        <v>0</v>
      </c>
      <c r="AO771" s="284"/>
    </row>
    <row r="772" spans="1:41">
      <c r="A772" s="151" t="s">
        <v>2497</v>
      </c>
      <c r="B772" s="84"/>
      <c r="C772" s="84"/>
      <c r="D772" s="85">
        <v>-4</v>
      </c>
      <c r="E772" s="85">
        <v>-13</v>
      </c>
      <c r="F772" s="7"/>
      <c r="G772" s="85">
        <v>6121</v>
      </c>
      <c r="H772" s="55" t="s">
        <v>561</v>
      </c>
      <c r="I772" s="17" t="s">
        <v>481</v>
      </c>
      <c r="J772" s="371">
        <v>50.91</v>
      </c>
      <c r="K772" s="371">
        <v>53.27</v>
      </c>
      <c r="L772" s="77">
        <v>4.29</v>
      </c>
      <c r="N772" s="365">
        <f t="shared" si="239"/>
        <v>108.47000000000001</v>
      </c>
      <c r="O772" s="343">
        <f t="shared" si="240"/>
        <v>50.91</v>
      </c>
      <c r="P772" s="195">
        <v>13</v>
      </c>
      <c r="Q772" s="326">
        <v>1</v>
      </c>
      <c r="R772" s="111">
        <v>0</v>
      </c>
      <c r="S772" s="51">
        <v>8</v>
      </c>
      <c r="T772" s="339">
        <f t="shared" si="241"/>
        <v>22</v>
      </c>
      <c r="V772" s="371">
        <v>0.5</v>
      </c>
      <c r="W772" s="69">
        <v>19.100000000000001</v>
      </c>
      <c r="X772" s="59">
        <v>35.18</v>
      </c>
      <c r="Y772" s="14" t="str">
        <f>RTD("money.excel",,"6121","Price")</f>
        <v>無資料</v>
      </c>
      <c r="Z772" s="69"/>
      <c r="AA772" s="16" t="e">
        <f t="shared" si="242"/>
        <v>#VALUE!</v>
      </c>
      <c r="AB772" s="3" t="e">
        <f t="shared" si="243"/>
        <v>#VALUE!</v>
      </c>
      <c r="AC772" s="177" t="s">
        <v>2929</v>
      </c>
      <c r="AD772" s="17" t="s">
        <v>481</v>
      </c>
      <c r="AG772" s="34">
        <f t="shared" si="244"/>
        <v>0</v>
      </c>
      <c r="AH772" s="125" t="s">
        <v>4022</v>
      </c>
      <c r="AK772" s="66">
        <f t="shared" si="237"/>
        <v>0</v>
      </c>
      <c r="AL772" s="174">
        <f t="shared" si="238"/>
        <v>0</v>
      </c>
      <c r="AM772" s="346">
        <f>RTD("money.excel",,$G772,"PredictVolume")</f>
        <v>0</v>
      </c>
      <c r="AN772" s="272">
        <f>RTD("money.excel",,$G772,"CumulativeVolume")</f>
        <v>0</v>
      </c>
    </row>
    <row r="773" spans="1:41">
      <c r="A773" s="151" t="s">
        <v>3713</v>
      </c>
      <c r="B773" s="84">
        <v>20</v>
      </c>
      <c r="C773" s="84">
        <v>9</v>
      </c>
      <c r="D773" s="85">
        <v>-29</v>
      </c>
      <c r="E773" s="84">
        <v>15</v>
      </c>
      <c r="F773" s="7">
        <v>6.12</v>
      </c>
      <c r="G773" s="85">
        <v>6123</v>
      </c>
      <c r="H773" s="55" t="s">
        <v>1815</v>
      </c>
      <c r="I773" s="17" t="s">
        <v>3550</v>
      </c>
      <c r="J773" s="371">
        <v>33.520000000000003</v>
      </c>
      <c r="K773" s="77">
        <v>2.99</v>
      </c>
      <c r="L773" s="77">
        <v>5.35</v>
      </c>
      <c r="N773" s="365">
        <f t="shared" si="239"/>
        <v>41.860000000000007</v>
      </c>
      <c r="O773" s="343">
        <f t="shared" si="240"/>
        <v>33.520000000000003</v>
      </c>
      <c r="P773" s="195">
        <v>1</v>
      </c>
      <c r="Q773" s="326" t="str">
        <f>IFERROR(VLOOKUP($G773,主力整理!$A$2:$G$2301,6,0),"0")</f>
        <v>0</v>
      </c>
      <c r="T773" s="339">
        <f t="shared" si="241"/>
        <v>1</v>
      </c>
      <c r="V773" s="371">
        <v>0.1</v>
      </c>
      <c r="W773" s="35">
        <v>1</v>
      </c>
      <c r="X773" s="100">
        <v>4.25</v>
      </c>
      <c r="Y773" s="37" t="str">
        <f>RTD("money.excel",,"6123","Price")</f>
        <v>無資料</v>
      </c>
      <c r="Z773" s="69"/>
      <c r="AA773" s="16" t="e">
        <f t="shared" si="242"/>
        <v>#VALUE!</v>
      </c>
      <c r="AB773" s="3" t="e">
        <f t="shared" si="243"/>
        <v>#VALUE!</v>
      </c>
      <c r="AC773" s="177" t="s">
        <v>2648</v>
      </c>
      <c r="AD773" s="17" t="s">
        <v>3550</v>
      </c>
      <c r="AG773" s="34">
        <f t="shared" si="244"/>
        <v>0</v>
      </c>
      <c r="AH773" s="125" t="s">
        <v>4390</v>
      </c>
      <c r="AI773" s="131"/>
      <c r="AK773" s="66">
        <f t="shared" si="237"/>
        <v>0</v>
      </c>
      <c r="AL773" s="174">
        <f t="shared" si="238"/>
        <v>0</v>
      </c>
      <c r="AM773" s="346">
        <f>RTD("money.excel",,$G773,"PredictVolume")</f>
        <v>0</v>
      </c>
      <c r="AN773" s="272">
        <f>RTD("money.excel",,$G773,"CumulativeVolume")</f>
        <v>0</v>
      </c>
      <c r="AO773" s="284"/>
    </row>
    <row r="774" spans="1:41">
      <c r="A774" s="151" t="s">
        <v>2310</v>
      </c>
      <c r="B774" s="85">
        <v>-57</v>
      </c>
      <c r="C774" s="85">
        <v>-86</v>
      </c>
      <c r="D774" s="84">
        <v>13</v>
      </c>
      <c r="E774" s="85">
        <v>-5</v>
      </c>
      <c r="F774" s="7">
        <v>1.46</v>
      </c>
      <c r="G774" s="85">
        <v>6128</v>
      </c>
      <c r="H774" s="50" t="s">
        <v>561</v>
      </c>
      <c r="I774" s="23" t="s">
        <v>465</v>
      </c>
      <c r="J774" s="77">
        <v>53.3</v>
      </c>
      <c r="K774" s="77">
        <v>2.4500000000000002</v>
      </c>
      <c r="L774" s="77">
        <v>1.72</v>
      </c>
      <c r="N774" s="365">
        <f t="shared" si="239"/>
        <v>57.47</v>
      </c>
      <c r="O774" s="343">
        <f t="shared" si="240"/>
        <v>53.3</v>
      </c>
      <c r="P774" s="195" t="s">
        <v>5554</v>
      </c>
      <c r="Q774" s="326" t="str">
        <f>IFERROR(VLOOKUP($G774,主力整理!$A$2:$G$2301,6,0),"0")</f>
        <v>0</v>
      </c>
      <c r="T774" s="339">
        <f t="shared" si="241"/>
        <v>0</v>
      </c>
      <c r="V774" s="371">
        <v>0</v>
      </c>
      <c r="W774" s="35">
        <v>1</v>
      </c>
      <c r="X774" s="100">
        <v>1.17</v>
      </c>
      <c r="Y774" s="14" t="str">
        <f>RTD("money.excel",,"6128","Price")</f>
        <v>無資料</v>
      </c>
      <c r="Z774" s="69"/>
      <c r="AA774" s="16" t="e">
        <f t="shared" si="242"/>
        <v>#VALUE!</v>
      </c>
      <c r="AB774" s="3" t="e">
        <f t="shared" si="243"/>
        <v>#VALUE!</v>
      </c>
      <c r="AD774" s="23" t="s">
        <v>465</v>
      </c>
      <c r="AG774" s="34">
        <f t="shared" si="244"/>
        <v>0</v>
      </c>
      <c r="AH774" s="44" t="s">
        <v>3793</v>
      </c>
      <c r="AI774" s="131"/>
      <c r="AK774" s="66">
        <f t="shared" si="237"/>
        <v>0</v>
      </c>
      <c r="AL774" s="174">
        <f t="shared" si="238"/>
        <v>0</v>
      </c>
      <c r="AM774" s="346">
        <f>RTD("money.excel",,$G774,"PredictVolume")</f>
        <v>0</v>
      </c>
      <c r="AN774" s="272">
        <f>RTD("money.excel",,$G774,"CumulativeVolume")</f>
        <v>0</v>
      </c>
      <c r="AO774" s="284"/>
    </row>
    <row r="775" spans="1:41">
      <c r="A775" s="135" t="s">
        <v>3312</v>
      </c>
      <c r="B775" s="98">
        <v>1871</v>
      </c>
      <c r="C775" s="98">
        <v>1837</v>
      </c>
      <c r="D775" s="85">
        <v>-10</v>
      </c>
      <c r="E775" s="84">
        <v>77</v>
      </c>
      <c r="F775" s="59">
        <v>17.3</v>
      </c>
      <c r="G775" s="85">
        <v>6150</v>
      </c>
      <c r="H775" s="4" t="s">
        <v>561</v>
      </c>
      <c r="I775" s="17" t="s">
        <v>2758</v>
      </c>
      <c r="J775" s="77">
        <v>17.38</v>
      </c>
      <c r="K775" s="77">
        <v>12.33</v>
      </c>
      <c r="L775" s="371">
        <v>47.76</v>
      </c>
      <c r="N775" s="365">
        <f t="shared" si="239"/>
        <v>77.47</v>
      </c>
      <c r="O775" s="343">
        <f t="shared" si="240"/>
        <v>17.38</v>
      </c>
      <c r="P775" s="195">
        <v>9</v>
      </c>
      <c r="Q775" s="326" t="str">
        <f>IFERROR(VLOOKUP($G775,主力整理!$A$2:$G$2301,6,0),"0")</f>
        <v>0</v>
      </c>
      <c r="R775" s="111">
        <v>35</v>
      </c>
      <c r="S775" s="51">
        <v>1</v>
      </c>
      <c r="T775" s="339">
        <f t="shared" si="241"/>
        <v>45</v>
      </c>
      <c r="V775" s="371">
        <v>0</v>
      </c>
      <c r="W775" s="35">
        <v>0.5</v>
      </c>
      <c r="X775" s="100">
        <v>12.2</v>
      </c>
      <c r="Y775" s="37" t="str">
        <f>RTD("money.excel",,"6150","Price")</f>
        <v>無資料</v>
      </c>
      <c r="Z775" s="69"/>
      <c r="AA775" s="16" t="e">
        <f t="shared" si="242"/>
        <v>#VALUE!</v>
      </c>
      <c r="AB775" s="3" t="e">
        <f t="shared" si="243"/>
        <v>#VALUE!</v>
      </c>
      <c r="AC775" s="177" t="s">
        <v>2648</v>
      </c>
      <c r="AD775" s="17" t="s">
        <v>2758</v>
      </c>
      <c r="AG775" s="34">
        <f t="shared" si="244"/>
        <v>0</v>
      </c>
      <c r="AH775" s="63" t="s">
        <v>4264</v>
      </c>
      <c r="AI775" s="131"/>
      <c r="AK775" s="66">
        <f t="shared" si="237"/>
        <v>0</v>
      </c>
      <c r="AL775" s="174">
        <f t="shared" si="238"/>
        <v>0</v>
      </c>
      <c r="AM775" s="346">
        <f>RTD("money.excel",,$G775,"PredictVolume")</f>
        <v>0</v>
      </c>
      <c r="AN775" s="272">
        <f>RTD("money.excel",,$G775,"CumulativeVolume")</f>
        <v>0</v>
      </c>
      <c r="AO775" s="284"/>
    </row>
    <row r="776" spans="1:41">
      <c r="A776" s="151" t="s">
        <v>3634</v>
      </c>
      <c r="B776" s="99">
        <v>-2709</v>
      </c>
      <c r="C776" s="99">
        <v>-1062</v>
      </c>
      <c r="D776" s="85">
        <v>-14</v>
      </c>
      <c r="E776" s="84">
        <v>48</v>
      </c>
      <c r="F776" s="7">
        <v>-14.43</v>
      </c>
      <c r="G776" s="85">
        <v>6160</v>
      </c>
      <c r="H776" s="55" t="s">
        <v>561</v>
      </c>
      <c r="I776" s="17" t="s">
        <v>3551</v>
      </c>
      <c r="J776" s="77">
        <v>44.74</v>
      </c>
      <c r="K776" s="371">
        <v>0.67</v>
      </c>
      <c r="L776" s="77">
        <v>10.06</v>
      </c>
      <c r="N776" s="365">
        <f t="shared" si="239"/>
        <v>55.470000000000006</v>
      </c>
      <c r="O776" s="343">
        <f t="shared" si="240"/>
        <v>44.74</v>
      </c>
      <c r="P776" s="195">
        <v>2</v>
      </c>
      <c r="Q776" s="326" t="str">
        <f>IFERROR(VLOOKUP($G776,主力整理!$A$2:$G$2301,6,0),"0")</f>
        <v>0</v>
      </c>
      <c r="T776" s="339">
        <f t="shared" si="241"/>
        <v>2</v>
      </c>
      <c r="V776" s="371">
        <v>0.32</v>
      </c>
      <c r="W776" s="35">
        <v>0</v>
      </c>
      <c r="X776" s="100">
        <v>-0.91</v>
      </c>
      <c r="Y776" s="37" t="str">
        <f>RTD("money.excel",,"6160","Price")</f>
        <v>無資料</v>
      </c>
      <c r="Z776" s="69"/>
      <c r="AA776" s="16" t="e">
        <f t="shared" si="242"/>
        <v>#VALUE!</v>
      </c>
      <c r="AB776" s="3" t="e">
        <f t="shared" si="243"/>
        <v>#VALUE!</v>
      </c>
      <c r="AC776" s="177" t="s">
        <v>2648</v>
      </c>
      <c r="AD776" s="17" t="s">
        <v>3551</v>
      </c>
      <c r="AG776" s="34">
        <f t="shared" si="244"/>
        <v>0</v>
      </c>
      <c r="AH776" s="44" t="s">
        <v>3683</v>
      </c>
      <c r="AI776" s="131"/>
      <c r="AK776" s="66">
        <f t="shared" si="237"/>
        <v>0</v>
      </c>
      <c r="AL776" s="174">
        <f t="shared" si="238"/>
        <v>0</v>
      </c>
      <c r="AM776" s="346">
        <f>RTD("money.excel",,$G776,"PredictVolume")</f>
        <v>0</v>
      </c>
      <c r="AN776" s="272">
        <f>RTD("money.excel",,$G776,"CumulativeVolume")</f>
        <v>0</v>
      </c>
      <c r="AO776" s="284"/>
    </row>
    <row r="777" spans="1:41">
      <c r="A777" s="151" t="s">
        <v>4660</v>
      </c>
      <c r="B777" s="96">
        <v>-22</v>
      </c>
      <c r="C777" s="96">
        <v>-36</v>
      </c>
      <c r="D777" s="96">
        <v>5</v>
      </c>
      <c r="E777" s="96">
        <v>-6</v>
      </c>
      <c r="F777" s="7">
        <v>8.9499999999999993</v>
      </c>
      <c r="G777" s="85">
        <v>6161</v>
      </c>
      <c r="H777" s="55" t="s">
        <v>1815</v>
      </c>
      <c r="I777" s="17" t="s">
        <v>3552</v>
      </c>
      <c r="J777" s="77">
        <v>45.95</v>
      </c>
      <c r="K777" s="77">
        <v>0.53</v>
      </c>
      <c r="L777" s="77">
        <v>20.38</v>
      </c>
      <c r="N777" s="365">
        <f t="shared" si="239"/>
        <v>66.86</v>
      </c>
      <c r="O777" s="343">
        <f t="shared" si="240"/>
        <v>45.95</v>
      </c>
      <c r="P777" s="195" t="s">
        <v>5554</v>
      </c>
      <c r="Q777" s="326" t="str">
        <f>IFERROR(VLOOKUP($G777,主力整理!$A$2:$G$2301,6,0),"0")</f>
        <v>0</v>
      </c>
      <c r="T777" s="339">
        <f t="shared" si="241"/>
        <v>0</v>
      </c>
      <c r="V777" s="371">
        <v>23.01</v>
      </c>
      <c r="W777" s="35">
        <v>1.6</v>
      </c>
      <c r="X777" s="100">
        <v>1.56</v>
      </c>
      <c r="Y777" s="37" t="str">
        <f>RTD("money.excel",,"6161","Price")</f>
        <v>無資料</v>
      </c>
      <c r="Z777" s="69"/>
      <c r="AA777" s="16" t="e">
        <f t="shared" si="242"/>
        <v>#VALUE!</v>
      </c>
      <c r="AB777" s="3" t="e">
        <f t="shared" si="243"/>
        <v>#VALUE!</v>
      </c>
      <c r="AD777" s="17" t="s">
        <v>3552</v>
      </c>
      <c r="AG777" s="34">
        <f t="shared" si="244"/>
        <v>0</v>
      </c>
      <c r="AH777" s="44" t="s">
        <v>3865</v>
      </c>
      <c r="AI777" s="131"/>
      <c r="AK777" s="66">
        <f t="shared" si="237"/>
        <v>0</v>
      </c>
      <c r="AL777" s="174">
        <f t="shared" si="238"/>
        <v>0</v>
      </c>
      <c r="AM777" s="346">
        <f>RTD("money.excel",,$G777,"PredictVolume")</f>
        <v>0</v>
      </c>
      <c r="AN777" s="272">
        <f>RTD("money.excel",,$G777,"CumulativeVolume")</f>
        <v>0</v>
      </c>
      <c r="AO777" s="284"/>
    </row>
    <row r="778" spans="1:41">
      <c r="A778" s="151" t="s">
        <v>2518</v>
      </c>
      <c r="B778" s="85">
        <v>-47</v>
      </c>
      <c r="C778" s="85">
        <v>-32</v>
      </c>
      <c r="D778" s="84">
        <v>13</v>
      </c>
      <c r="E778" s="84">
        <v>12</v>
      </c>
      <c r="F778" s="7">
        <v>4.5</v>
      </c>
      <c r="G778" s="85">
        <v>6166</v>
      </c>
      <c r="H778" s="50" t="s">
        <v>561</v>
      </c>
      <c r="I778" s="23" t="s">
        <v>120</v>
      </c>
      <c r="J778" s="77">
        <v>76.459999999999994</v>
      </c>
      <c r="K778" s="371">
        <v>12.81</v>
      </c>
      <c r="L778" s="371">
        <v>8.65</v>
      </c>
      <c r="N778" s="365">
        <f t="shared" si="239"/>
        <v>97.92</v>
      </c>
      <c r="O778" s="343">
        <f t="shared" si="240"/>
        <v>76.459999999999994</v>
      </c>
      <c r="P778" s="195">
        <v>3</v>
      </c>
      <c r="Q778" s="326" t="str">
        <f>IFERROR(VLOOKUP($G778,主力整理!$A$2:$G$2301,6,0),"0")</f>
        <v>0</v>
      </c>
      <c r="T778" s="339">
        <f t="shared" si="241"/>
        <v>3</v>
      </c>
      <c r="V778" s="371">
        <v>0.06</v>
      </c>
      <c r="W778" s="35">
        <v>1</v>
      </c>
      <c r="X778" s="100">
        <v>1.1200000000000001</v>
      </c>
      <c r="Y778" s="37" t="str">
        <f>RTD("money.excel",,"6166","Price")</f>
        <v>無資料</v>
      </c>
      <c r="Z778" s="69"/>
      <c r="AA778" s="16" t="e">
        <f t="shared" si="242"/>
        <v>#VALUE!</v>
      </c>
      <c r="AB778" s="3" t="e">
        <f t="shared" si="243"/>
        <v>#VALUE!</v>
      </c>
      <c r="AC778" s="177" t="s">
        <v>2648</v>
      </c>
      <c r="AD778" s="23" t="s">
        <v>120</v>
      </c>
      <c r="AG778" s="34">
        <f t="shared" si="244"/>
        <v>0</v>
      </c>
      <c r="AH778" s="125" t="s">
        <v>3563</v>
      </c>
      <c r="AI778" s="131"/>
      <c r="AK778" s="66">
        <f t="shared" si="237"/>
        <v>0</v>
      </c>
      <c r="AL778" s="174">
        <f t="shared" si="238"/>
        <v>0</v>
      </c>
      <c r="AM778" s="346">
        <f>RTD("money.excel",,$G778,"PredictVolume")</f>
        <v>0</v>
      </c>
      <c r="AN778" s="272">
        <f>RTD("money.excel",,$G778,"CumulativeVolume")</f>
        <v>0</v>
      </c>
      <c r="AO778" s="284"/>
    </row>
    <row r="779" spans="1:41">
      <c r="A779" s="151" t="s">
        <v>3993</v>
      </c>
      <c r="B779" s="96">
        <v>-132</v>
      </c>
      <c r="C779" s="96">
        <v>-623</v>
      </c>
      <c r="D779" s="96">
        <v>24</v>
      </c>
      <c r="E779" s="96">
        <v>44</v>
      </c>
      <c r="F779" s="7">
        <v>-2.5299999999999998</v>
      </c>
      <c r="G779" s="85">
        <v>6172</v>
      </c>
      <c r="H779" s="50" t="s">
        <v>561</v>
      </c>
      <c r="I779" s="23" t="s">
        <v>894</v>
      </c>
      <c r="J779" s="77">
        <v>82</v>
      </c>
      <c r="K779" s="77">
        <v>0.03</v>
      </c>
      <c r="L779" s="77">
        <v>0.66</v>
      </c>
      <c r="N779" s="365">
        <f t="shared" si="239"/>
        <v>82.69</v>
      </c>
      <c r="O779" s="343">
        <f t="shared" si="240"/>
        <v>82</v>
      </c>
      <c r="P779" s="195" t="s">
        <v>5554</v>
      </c>
      <c r="Q779" s="326" t="str">
        <f>IFERROR(VLOOKUP($G779,主力整理!$A$2:$G$2301,6,0),"0")</f>
        <v>0</v>
      </c>
      <c r="T779" s="339">
        <f t="shared" si="241"/>
        <v>0</v>
      </c>
      <c r="V779" s="371">
        <v>21.72</v>
      </c>
      <c r="W779" s="35">
        <v>0.2</v>
      </c>
      <c r="X779" s="100">
        <v>0.4</v>
      </c>
      <c r="Y779" s="14" t="str">
        <f>RTD("money.excel",,"6172","Price")</f>
        <v>商品錯誤</v>
      </c>
      <c r="Z779" s="69"/>
      <c r="AA779" s="16" t="e">
        <f t="shared" si="242"/>
        <v>#VALUE!</v>
      </c>
      <c r="AB779" s="3" t="e">
        <f t="shared" si="243"/>
        <v>#VALUE!</v>
      </c>
      <c r="AD779" s="23" t="s">
        <v>894</v>
      </c>
      <c r="AG779" s="34">
        <f t="shared" si="244"/>
        <v>0</v>
      </c>
      <c r="AH779" s="44" t="s">
        <v>3792</v>
      </c>
      <c r="AI779" s="131"/>
      <c r="AK779" s="66" t="e">
        <f t="shared" si="237"/>
        <v>#VALUE!</v>
      </c>
      <c r="AL779" s="174" t="e">
        <f t="shared" si="238"/>
        <v>#VALUE!</v>
      </c>
      <c r="AM779" s="346" t="str">
        <f>RTD("money.excel",,$G779,"PredictVolume")</f>
        <v>商品錯誤</v>
      </c>
      <c r="AN779" s="272" t="str">
        <f>RTD("money.excel",,$G779,"CumulativeVolume")</f>
        <v>商品錯誤</v>
      </c>
      <c r="AO779" s="284"/>
    </row>
    <row r="780" spans="1:41">
      <c r="A780" s="135" t="s">
        <v>2765</v>
      </c>
      <c r="B780" s="85">
        <v>-116</v>
      </c>
      <c r="C780" s="84">
        <v>98</v>
      </c>
      <c r="D780" s="85">
        <v>-8</v>
      </c>
      <c r="E780" s="84">
        <v>10</v>
      </c>
      <c r="F780" s="59">
        <v>10.44</v>
      </c>
      <c r="G780" s="85">
        <v>6188</v>
      </c>
      <c r="H780" s="55" t="s">
        <v>561</v>
      </c>
      <c r="I780" s="17" t="s">
        <v>3553</v>
      </c>
      <c r="J780" s="371">
        <v>39.86</v>
      </c>
      <c r="K780" s="77">
        <v>7.23</v>
      </c>
      <c r="L780" s="371">
        <v>12.46</v>
      </c>
      <c r="N780" s="365">
        <f t="shared" si="239"/>
        <v>59.550000000000004</v>
      </c>
      <c r="O780" s="343">
        <f t="shared" si="240"/>
        <v>39.86</v>
      </c>
      <c r="P780" s="195" t="s">
        <v>5554</v>
      </c>
      <c r="Q780" s="326" t="str">
        <f>IFERROR(VLOOKUP($G780,主力整理!$A$2:$G$2301,6,0),"0")</f>
        <v>0</v>
      </c>
      <c r="T780" s="339">
        <f t="shared" si="241"/>
        <v>0</v>
      </c>
      <c r="V780" s="371">
        <v>0.21</v>
      </c>
      <c r="W780" s="35">
        <v>1</v>
      </c>
      <c r="X780" s="100">
        <v>0.41</v>
      </c>
      <c r="Y780" s="37" t="str">
        <f>RTD("money.excel",,"6188","Price")</f>
        <v>無資料</v>
      </c>
      <c r="Z780" s="69"/>
      <c r="AA780" s="16" t="e">
        <f t="shared" si="242"/>
        <v>#VALUE!</v>
      </c>
      <c r="AB780" s="3" t="e">
        <f t="shared" si="243"/>
        <v>#VALUE!</v>
      </c>
      <c r="AC780" s="177" t="s">
        <v>2648</v>
      </c>
      <c r="AD780" s="17" t="s">
        <v>3553</v>
      </c>
      <c r="AG780" s="34">
        <f t="shared" si="244"/>
        <v>0</v>
      </c>
      <c r="AH780" s="126" t="s">
        <v>3705</v>
      </c>
      <c r="AI780" s="131"/>
      <c r="AK780" s="66">
        <f t="shared" si="237"/>
        <v>0</v>
      </c>
      <c r="AL780" s="174">
        <f t="shared" si="238"/>
        <v>0</v>
      </c>
      <c r="AM780" s="346">
        <f>RTD("money.excel",,$G780,"PredictVolume")</f>
        <v>0</v>
      </c>
      <c r="AN780" s="272">
        <f>RTD("money.excel",,$G780,"CumulativeVolume")</f>
        <v>0</v>
      </c>
      <c r="AO780" s="284"/>
    </row>
    <row r="781" spans="1:41">
      <c r="A781" s="135" t="s">
        <v>2526</v>
      </c>
      <c r="B781" s="85">
        <v>-26</v>
      </c>
      <c r="C781" s="85">
        <v>-22</v>
      </c>
      <c r="D781" s="84">
        <v>8</v>
      </c>
      <c r="E781" s="85">
        <v>-28</v>
      </c>
      <c r="F781" s="59">
        <v>17.260000000000002</v>
      </c>
      <c r="G781" s="85">
        <v>6206</v>
      </c>
      <c r="H781" s="50" t="s">
        <v>561</v>
      </c>
      <c r="I781" s="23" t="s">
        <v>895</v>
      </c>
      <c r="J781" s="371">
        <v>58.1</v>
      </c>
      <c r="K781" s="371">
        <v>16.97</v>
      </c>
      <c r="L781" s="77">
        <v>1.56</v>
      </c>
      <c r="N781" s="365">
        <f t="shared" si="239"/>
        <v>76.63</v>
      </c>
      <c r="O781" s="343">
        <f t="shared" si="240"/>
        <v>58.1</v>
      </c>
      <c r="P781" s="195">
        <v>3</v>
      </c>
      <c r="Q781" s="326" t="str">
        <f>IFERROR(VLOOKUP($G781,主力整理!$A$2:$G$2301,6,0),"0")</f>
        <v>0</v>
      </c>
      <c r="T781" s="339">
        <f t="shared" si="241"/>
        <v>3</v>
      </c>
      <c r="V781" s="371">
        <v>0</v>
      </c>
      <c r="W781" s="69">
        <v>4</v>
      </c>
      <c r="X781" s="100">
        <v>4.12</v>
      </c>
      <c r="Y781" s="37" t="str">
        <f>RTD("money.excel",,"6206","Price")</f>
        <v>無資料</v>
      </c>
      <c r="Z781" s="69"/>
      <c r="AA781" s="16" t="e">
        <f t="shared" si="242"/>
        <v>#VALUE!</v>
      </c>
      <c r="AB781" s="3" t="e">
        <f t="shared" si="243"/>
        <v>#VALUE!</v>
      </c>
      <c r="AC781" s="177" t="s">
        <v>2929</v>
      </c>
      <c r="AD781" s="23" t="s">
        <v>895</v>
      </c>
      <c r="AG781" s="34">
        <f t="shared" si="244"/>
        <v>0</v>
      </c>
      <c r="AH781" s="63" t="s">
        <v>6662</v>
      </c>
      <c r="AI781" s="131"/>
      <c r="AK781" s="66">
        <f t="shared" si="237"/>
        <v>0</v>
      </c>
      <c r="AL781" s="174">
        <f t="shared" si="238"/>
        <v>0</v>
      </c>
      <c r="AM781" s="346">
        <f>RTD("money.excel",,$G781,"PredictVolume")</f>
        <v>0</v>
      </c>
      <c r="AN781" s="272">
        <f>RTD("money.excel",,$G781,"CumulativeVolume")</f>
        <v>0</v>
      </c>
      <c r="AO781" s="284"/>
    </row>
    <row r="782" spans="1:41">
      <c r="A782" s="151" t="s">
        <v>4644</v>
      </c>
      <c r="B782" s="96">
        <v>-7</v>
      </c>
      <c r="C782" s="96">
        <v>-4</v>
      </c>
      <c r="D782" s="96">
        <v>-76</v>
      </c>
      <c r="E782" s="96">
        <v>113</v>
      </c>
      <c r="F782" s="7">
        <v>-32.32</v>
      </c>
      <c r="G782" s="85">
        <v>6228</v>
      </c>
      <c r="H782" s="55" t="s">
        <v>1815</v>
      </c>
      <c r="I782" s="17" t="s">
        <v>3554</v>
      </c>
      <c r="J782" s="77">
        <v>60.67</v>
      </c>
      <c r="K782" s="77">
        <v>0</v>
      </c>
      <c r="N782" s="365">
        <f t="shared" si="239"/>
        <v>60.67</v>
      </c>
      <c r="O782" s="343">
        <f t="shared" si="240"/>
        <v>60.67</v>
      </c>
      <c r="P782" s="195" t="s">
        <v>5554</v>
      </c>
      <c r="Q782" s="326" t="str">
        <f>IFERROR(VLOOKUP($G782,主力整理!$A$2:$G$2301,6,0),"0")</f>
        <v>0</v>
      </c>
      <c r="T782" s="339">
        <f t="shared" si="241"/>
        <v>0</v>
      </c>
      <c r="V782" s="371">
        <v>43.67</v>
      </c>
      <c r="W782" s="35">
        <v>0</v>
      </c>
      <c r="X782" s="100">
        <v>-0.88</v>
      </c>
      <c r="Y782" s="14" t="str">
        <f>RTD("money.excel",,"6228","Price")</f>
        <v>無資料</v>
      </c>
      <c r="Z782" s="69"/>
      <c r="AA782" s="16" t="e">
        <f t="shared" si="242"/>
        <v>#VALUE!</v>
      </c>
      <c r="AB782" s="3" t="e">
        <f t="shared" si="243"/>
        <v>#VALUE!</v>
      </c>
      <c r="AD782" s="17" t="s">
        <v>3554</v>
      </c>
      <c r="AG782" s="34">
        <f t="shared" si="244"/>
        <v>0</v>
      </c>
      <c r="AH782" s="44" t="s">
        <v>3866</v>
      </c>
      <c r="AI782" s="131"/>
      <c r="AK782" s="66">
        <f t="shared" si="237"/>
        <v>0</v>
      </c>
      <c r="AL782" s="174">
        <f t="shared" si="238"/>
        <v>0</v>
      </c>
      <c r="AM782" s="346">
        <f>RTD("money.excel",,$G782,"PredictVolume")</f>
        <v>0</v>
      </c>
      <c r="AN782" s="272">
        <f>RTD("money.excel",,$G782,"CumulativeVolume")</f>
        <v>0</v>
      </c>
      <c r="AO782" s="284"/>
    </row>
    <row r="783" spans="1:41">
      <c r="A783" s="135" t="s">
        <v>2549</v>
      </c>
      <c r="B783" s="84">
        <v>11</v>
      </c>
      <c r="C783" s="84">
        <v>11</v>
      </c>
      <c r="D783" s="84">
        <v>41</v>
      </c>
      <c r="E783" s="84">
        <v>43</v>
      </c>
      <c r="F783" s="59">
        <v>11.87</v>
      </c>
      <c r="G783" s="85">
        <v>6230</v>
      </c>
      <c r="H783" s="50" t="s">
        <v>561</v>
      </c>
      <c r="I783" s="23" t="s">
        <v>5133</v>
      </c>
      <c r="J783" s="77">
        <v>82.24</v>
      </c>
      <c r="K783" s="77">
        <v>85.71</v>
      </c>
      <c r="L783" s="371">
        <v>4.99</v>
      </c>
      <c r="N783" s="365">
        <f t="shared" si="239"/>
        <v>172.94</v>
      </c>
      <c r="O783" s="343">
        <f t="shared" si="240"/>
        <v>82.24</v>
      </c>
      <c r="P783" s="195">
        <v>3</v>
      </c>
      <c r="Q783" s="326" t="str">
        <f>IFERROR(VLOOKUP($G783,主力整理!$A$2:$G$2301,6,0),"0")</f>
        <v>0</v>
      </c>
      <c r="T783" s="339">
        <f t="shared" si="241"/>
        <v>3</v>
      </c>
      <c r="V783" s="371">
        <v>0.01</v>
      </c>
      <c r="W783" s="35">
        <v>1.36</v>
      </c>
      <c r="X783" s="59">
        <v>9.06</v>
      </c>
      <c r="Y783" s="14" t="str">
        <f>RTD("money.excel",,"6230","Price")</f>
        <v>無資料</v>
      </c>
      <c r="Z783" s="69"/>
      <c r="AA783" s="16" t="e">
        <f t="shared" si="242"/>
        <v>#VALUE!</v>
      </c>
      <c r="AB783" s="3" t="e">
        <f t="shared" si="243"/>
        <v>#VALUE!</v>
      </c>
      <c r="AC783" s="177" t="s">
        <v>2648</v>
      </c>
      <c r="AD783" s="23" t="s">
        <v>5133</v>
      </c>
      <c r="AG783" s="34">
        <f t="shared" si="244"/>
        <v>0</v>
      </c>
      <c r="AH783" s="50" t="s">
        <v>4551</v>
      </c>
      <c r="AI783" s="131"/>
      <c r="AK783" s="66">
        <f t="shared" si="237"/>
        <v>0</v>
      </c>
      <c r="AL783" s="174">
        <f t="shared" si="238"/>
        <v>0</v>
      </c>
      <c r="AM783" s="346">
        <f>RTD("money.excel",,$G783,"PredictVolume")</f>
        <v>0</v>
      </c>
      <c r="AN783" s="272">
        <f>RTD("money.excel",,$G783,"CumulativeVolume")</f>
        <v>0</v>
      </c>
      <c r="AO783" s="284"/>
    </row>
    <row r="784" spans="1:41">
      <c r="A784" s="151" t="s">
        <v>2503</v>
      </c>
      <c r="B784" s="85">
        <v>-86</v>
      </c>
      <c r="C784" s="84">
        <v>197</v>
      </c>
      <c r="D784" s="84">
        <v>10</v>
      </c>
      <c r="E784" s="84">
        <v>34</v>
      </c>
      <c r="F784" s="7">
        <v>3.55</v>
      </c>
      <c r="G784" s="85">
        <v>6235</v>
      </c>
      <c r="H784" s="50" t="s">
        <v>561</v>
      </c>
      <c r="I784" s="23" t="s">
        <v>896</v>
      </c>
      <c r="J784" s="371">
        <v>40.54</v>
      </c>
      <c r="K784" s="77">
        <v>4.34</v>
      </c>
      <c r="L784" s="77">
        <v>37.909999999999997</v>
      </c>
      <c r="M784" s="77">
        <v>24.47</v>
      </c>
      <c r="N784" s="365">
        <f t="shared" si="239"/>
        <v>107.25999999999999</v>
      </c>
      <c r="O784" s="343">
        <f t="shared" si="240"/>
        <v>65.009999999999991</v>
      </c>
      <c r="P784" s="195">
        <v>1</v>
      </c>
      <c r="Q784" s="326">
        <v>24</v>
      </c>
      <c r="R784" s="111">
        <v>30</v>
      </c>
      <c r="S784" s="51">
        <v>36</v>
      </c>
      <c r="T784" s="339">
        <f t="shared" si="241"/>
        <v>91</v>
      </c>
      <c r="U784" s="329" t="s">
        <v>6539</v>
      </c>
      <c r="V784" s="371">
        <v>2.14</v>
      </c>
      <c r="W784" s="35">
        <v>0.6</v>
      </c>
      <c r="X784" s="100">
        <v>0.88</v>
      </c>
      <c r="Y784" s="37" t="str">
        <f>RTD("money.excel",,"6235","Price")</f>
        <v>無資料</v>
      </c>
      <c r="Z784" s="69"/>
      <c r="AA784" s="16" t="e">
        <f t="shared" si="242"/>
        <v>#VALUE!</v>
      </c>
      <c r="AB784" s="3" t="e">
        <f t="shared" si="243"/>
        <v>#VALUE!</v>
      </c>
      <c r="AC784" s="177" t="s">
        <v>2648</v>
      </c>
      <c r="AD784" s="23" t="s">
        <v>896</v>
      </c>
      <c r="AG784" s="34">
        <f t="shared" si="244"/>
        <v>0</v>
      </c>
      <c r="AH784" s="44" t="s">
        <v>3791</v>
      </c>
      <c r="AI784" s="131"/>
      <c r="AK784" s="66">
        <f t="shared" si="237"/>
        <v>0</v>
      </c>
      <c r="AL784" s="174">
        <f t="shared" si="238"/>
        <v>0</v>
      </c>
      <c r="AM784" s="346">
        <f>RTD("money.excel",,$G784,"PredictVolume")</f>
        <v>0</v>
      </c>
      <c r="AN784" s="272">
        <f>RTD("money.excel",,$G784,"CumulativeVolume")</f>
        <v>0</v>
      </c>
      <c r="AO784" s="284"/>
    </row>
    <row r="785" spans="1:41">
      <c r="A785" s="151" t="s">
        <v>2529</v>
      </c>
      <c r="B785" s="84">
        <v>30</v>
      </c>
      <c r="C785" s="84">
        <v>13</v>
      </c>
      <c r="D785" s="85">
        <v>-1</v>
      </c>
      <c r="E785" s="85">
        <v>-20</v>
      </c>
      <c r="F785" s="7">
        <v>6.53</v>
      </c>
      <c r="G785" s="85">
        <v>6276</v>
      </c>
      <c r="H785" s="55" t="s">
        <v>1815</v>
      </c>
      <c r="I785" s="17" t="s">
        <v>3555</v>
      </c>
      <c r="J785" s="77">
        <v>47.74</v>
      </c>
      <c r="K785" s="371">
        <v>3.45</v>
      </c>
      <c r="L785" s="77">
        <v>14</v>
      </c>
      <c r="N785" s="365">
        <f t="shared" si="239"/>
        <v>65.19</v>
      </c>
      <c r="O785" s="343">
        <f t="shared" si="240"/>
        <v>47.74</v>
      </c>
      <c r="P785" s="195">
        <v>0</v>
      </c>
      <c r="Q785" s="326" t="str">
        <f>IFERROR(VLOOKUP($G785,主力整理!$A$2:$G$2301,6,0),"0")</f>
        <v>0</v>
      </c>
      <c r="R785" s="111">
        <v>7</v>
      </c>
      <c r="S785" s="51">
        <v>0</v>
      </c>
      <c r="T785" s="339">
        <f t="shared" si="241"/>
        <v>7</v>
      </c>
      <c r="V785" s="371">
        <v>0.16</v>
      </c>
      <c r="W785" s="69">
        <v>3</v>
      </c>
      <c r="X785" s="100">
        <v>3.88</v>
      </c>
      <c r="Y785" s="37" t="str">
        <f>RTD("money.excel",,"6276","Price")</f>
        <v>無資料</v>
      </c>
      <c r="Z785" s="69"/>
      <c r="AA785" s="16" t="e">
        <f t="shared" si="242"/>
        <v>#VALUE!</v>
      </c>
      <c r="AB785" s="3" t="e">
        <f t="shared" si="243"/>
        <v>#VALUE!</v>
      </c>
      <c r="AC785" s="177" t="s">
        <v>2700</v>
      </c>
      <c r="AD785" s="17" t="s">
        <v>3555</v>
      </c>
      <c r="AG785" s="34">
        <f t="shared" si="244"/>
        <v>0</v>
      </c>
      <c r="AH785" s="44" t="s">
        <v>3761</v>
      </c>
      <c r="AI785" s="131"/>
      <c r="AK785" s="66">
        <f t="shared" si="237"/>
        <v>0</v>
      </c>
      <c r="AL785" s="174">
        <f t="shared" si="238"/>
        <v>0</v>
      </c>
      <c r="AM785" s="346">
        <f>RTD("money.excel",,$G785,"PredictVolume")</f>
        <v>0</v>
      </c>
      <c r="AN785" s="272">
        <f>RTD("money.excel",,$G785,"CumulativeVolume")</f>
        <v>0</v>
      </c>
      <c r="AO785" s="284"/>
    </row>
    <row r="786" spans="1:41">
      <c r="A786" s="135" t="s">
        <v>2525</v>
      </c>
      <c r="B786" s="84">
        <v>158</v>
      </c>
      <c r="C786" s="85">
        <v>-11</v>
      </c>
      <c r="D786" s="84">
        <v>3</v>
      </c>
      <c r="E786" s="85">
        <v>-13</v>
      </c>
      <c r="F786" s="59">
        <v>11.41</v>
      </c>
      <c r="G786" s="85">
        <v>6277</v>
      </c>
      <c r="H786" s="50" t="s">
        <v>561</v>
      </c>
      <c r="I786" s="23" t="s">
        <v>205</v>
      </c>
      <c r="J786" s="77">
        <v>59.53</v>
      </c>
      <c r="K786" s="371">
        <v>18.059999999999999</v>
      </c>
      <c r="L786" s="371">
        <v>2.1800000000000002</v>
      </c>
      <c r="N786" s="365">
        <f t="shared" si="239"/>
        <v>79.77000000000001</v>
      </c>
      <c r="O786" s="343">
        <f t="shared" si="240"/>
        <v>59.53</v>
      </c>
      <c r="P786" s="195">
        <v>2</v>
      </c>
      <c r="Q786" s="326" t="str">
        <f>IFERROR(VLOOKUP($G786,主力整理!$A$2:$G$2301,6,0),"0")</f>
        <v>0</v>
      </c>
      <c r="T786" s="339">
        <f t="shared" si="241"/>
        <v>2</v>
      </c>
      <c r="V786" s="371">
        <v>0</v>
      </c>
      <c r="W786" s="35">
        <v>2.5</v>
      </c>
      <c r="X786" s="100">
        <v>12.55</v>
      </c>
      <c r="Y786" s="37" t="str">
        <f>RTD("money.excel",,"6277","Price")</f>
        <v>無資料</v>
      </c>
      <c r="Z786" s="69"/>
      <c r="AA786" s="16" t="e">
        <f t="shared" si="242"/>
        <v>#VALUE!</v>
      </c>
      <c r="AB786" s="3" t="e">
        <f t="shared" si="243"/>
        <v>#VALUE!</v>
      </c>
      <c r="AC786" s="177" t="s">
        <v>2648</v>
      </c>
      <c r="AD786" s="23" t="s">
        <v>205</v>
      </c>
      <c r="AG786" s="34">
        <f t="shared" si="244"/>
        <v>0</v>
      </c>
      <c r="AH786" s="126" t="s">
        <v>3790</v>
      </c>
      <c r="AI786" s="284"/>
      <c r="AK786" s="66">
        <f t="shared" si="237"/>
        <v>0</v>
      </c>
      <c r="AL786" s="174">
        <f t="shared" si="238"/>
        <v>0</v>
      </c>
      <c r="AM786" s="346">
        <f>RTD("money.excel",,$G786,"PredictVolume")</f>
        <v>0</v>
      </c>
      <c r="AN786" s="272">
        <f>RTD("money.excel",,$G786,"CumulativeVolume")</f>
        <v>0</v>
      </c>
      <c r="AO786" s="284"/>
    </row>
    <row r="787" spans="1:41">
      <c r="A787" s="151" t="s">
        <v>2760</v>
      </c>
      <c r="B787" s="84">
        <v>7</v>
      </c>
      <c r="C787" s="85">
        <v>-2</v>
      </c>
      <c r="D787" s="84">
        <v>25</v>
      </c>
      <c r="E787" s="84">
        <v>29</v>
      </c>
      <c r="F787" s="7">
        <v>3.65</v>
      </c>
      <c r="G787" s="85">
        <v>6414</v>
      </c>
      <c r="H787" s="53" t="s">
        <v>561</v>
      </c>
      <c r="I787" s="23" t="s">
        <v>389</v>
      </c>
      <c r="J787" s="371">
        <v>43.19</v>
      </c>
      <c r="K787" s="77">
        <v>13.17</v>
      </c>
      <c r="L787" s="371">
        <v>22.94</v>
      </c>
      <c r="M787" s="77">
        <v>34.130000000000003</v>
      </c>
      <c r="N787" s="365">
        <f t="shared" si="239"/>
        <v>113.43</v>
      </c>
      <c r="O787" s="343">
        <f t="shared" si="240"/>
        <v>77.319999999999993</v>
      </c>
      <c r="P787" s="195">
        <v>16</v>
      </c>
      <c r="Q787" s="326">
        <v>8</v>
      </c>
      <c r="R787" s="111">
        <v>19</v>
      </c>
      <c r="S787" s="51">
        <v>13</v>
      </c>
      <c r="T787" s="339">
        <f t="shared" si="241"/>
        <v>56</v>
      </c>
      <c r="U787" s="329" t="s">
        <v>6539</v>
      </c>
      <c r="V787" s="371">
        <v>4.5</v>
      </c>
      <c r="W787" s="69">
        <v>5</v>
      </c>
      <c r="X787" s="100">
        <v>12.77</v>
      </c>
      <c r="Y787" s="37" t="str">
        <f>RTD("money.excel",,"6414","Price")</f>
        <v>無資料</v>
      </c>
      <c r="Z787" s="69"/>
      <c r="AA787" s="16" t="e">
        <f t="shared" si="242"/>
        <v>#VALUE!</v>
      </c>
      <c r="AB787" s="3" t="e">
        <f t="shared" si="243"/>
        <v>#VALUE!</v>
      </c>
      <c r="AC787" s="177" t="s">
        <v>2929</v>
      </c>
      <c r="AD787" s="23" t="s">
        <v>389</v>
      </c>
      <c r="AG787" s="34">
        <f t="shared" si="244"/>
        <v>0</v>
      </c>
      <c r="AH787" s="125" t="s">
        <v>2254</v>
      </c>
      <c r="AI787" s="131"/>
      <c r="AK787" s="66">
        <f t="shared" si="237"/>
        <v>0</v>
      </c>
      <c r="AL787" s="174">
        <f t="shared" si="238"/>
        <v>0</v>
      </c>
      <c r="AM787" s="346">
        <f>RTD("money.excel",,$G787,"PredictVolume")</f>
        <v>0</v>
      </c>
      <c r="AN787" s="272">
        <f>RTD("money.excel",,$G787,"CumulativeVolume")</f>
        <v>0</v>
      </c>
      <c r="AO787" s="284"/>
    </row>
    <row r="788" spans="1:41">
      <c r="A788" s="151" t="s">
        <v>6487</v>
      </c>
      <c r="B788" s="85">
        <v>-764</v>
      </c>
      <c r="C788" s="85">
        <v>-597</v>
      </c>
      <c r="D788" s="85">
        <v>-53</v>
      </c>
      <c r="E788" s="85">
        <v>-51</v>
      </c>
      <c r="F788" s="7">
        <v>-11.68</v>
      </c>
      <c r="G788" s="85">
        <v>6441</v>
      </c>
      <c r="H788" s="55" t="s">
        <v>561</v>
      </c>
      <c r="I788" s="17" t="s">
        <v>904</v>
      </c>
      <c r="J788" s="77">
        <v>38.880000000000003</v>
      </c>
      <c r="K788" s="371">
        <v>1.0900000000000001</v>
      </c>
      <c r="L788" s="77">
        <v>27.88</v>
      </c>
      <c r="M788" s="77">
        <v>40.83</v>
      </c>
      <c r="N788" s="365">
        <f t="shared" si="239"/>
        <v>108.68</v>
      </c>
      <c r="O788" s="343">
        <f t="shared" si="240"/>
        <v>79.710000000000008</v>
      </c>
      <c r="P788" s="195">
        <v>4</v>
      </c>
      <c r="Q788" s="326">
        <v>1</v>
      </c>
      <c r="R788" s="111">
        <v>0</v>
      </c>
      <c r="S788" s="51">
        <v>5</v>
      </c>
      <c r="T788" s="339">
        <f t="shared" si="241"/>
        <v>10</v>
      </c>
      <c r="U788" s="329" t="s">
        <v>6540</v>
      </c>
      <c r="V788" s="371">
        <v>3.31</v>
      </c>
      <c r="W788" s="35">
        <v>1</v>
      </c>
      <c r="X788" s="100">
        <v>-4.5</v>
      </c>
      <c r="Y788" s="37" t="str">
        <f>RTD("money.excel",,"6441","Price")</f>
        <v>無資料</v>
      </c>
      <c r="Z788" s="69"/>
      <c r="AA788" s="16" t="e">
        <f t="shared" si="242"/>
        <v>#VALUE!</v>
      </c>
      <c r="AB788" s="3" t="e">
        <f t="shared" si="243"/>
        <v>#VALUE!</v>
      </c>
      <c r="AC788" s="177" t="s">
        <v>2648</v>
      </c>
      <c r="AD788" s="17" t="s">
        <v>904</v>
      </c>
      <c r="AG788" s="34">
        <f t="shared" si="244"/>
        <v>0</v>
      </c>
      <c r="AH788" s="44" t="s">
        <v>3867</v>
      </c>
      <c r="AI788" s="131"/>
      <c r="AK788" s="66">
        <f t="shared" si="237"/>
        <v>0</v>
      </c>
      <c r="AL788" s="174">
        <f t="shared" si="238"/>
        <v>0</v>
      </c>
      <c r="AM788" s="346">
        <f>RTD("money.excel",,$G788,"PredictVolume")</f>
        <v>0</v>
      </c>
      <c r="AN788" s="272">
        <f>RTD("money.excel",,$G788,"CumulativeVolume")</f>
        <v>0</v>
      </c>
      <c r="AO788" s="284"/>
    </row>
    <row r="789" spans="1:41">
      <c r="A789" s="151" t="s">
        <v>2335</v>
      </c>
      <c r="B789" s="96">
        <v>-45</v>
      </c>
      <c r="C789" s="96">
        <v>-54</v>
      </c>
      <c r="D789" s="96">
        <v>-16</v>
      </c>
      <c r="E789" s="96">
        <v>5</v>
      </c>
      <c r="F789" s="7">
        <v>7.58</v>
      </c>
      <c r="G789" s="85">
        <v>6570</v>
      </c>
      <c r="H789" s="55" t="s">
        <v>1815</v>
      </c>
      <c r="I789" s="17" t="s">
        <v>3556</v>
      </c>
      <c r="J789" s="77">
        <v>56.91</v>
      </c>
      <c r="K789" s="77">
        <v>0</v>
      </c>
      <c r="N789" s="365">
        <f t="shared" si="239"/>
        <v>56.91</v>
      </c>
      <c r="O789" s="343">
        <f t="shared" si="240"/>
        <v>56.91</v>
      </c>
      <c r="P789" s="195" t="s">
        <v>5554</v>
      </c>
      <c r="Q789" s="326" t="str">
        <f>IFERROR(VLOOKUP($G789,主力整理!$A$2:$G$2301,6,0),"0")</f>
        <v>0</v>
      </c>
      <c r="T789" s="339">
        <f t="shared" si="241"/>
        <v>0</v>
      </c>
      <c r="V789" s="371">
        <v>21.3</v>
      </c>
      <c r="W789" s="35">
        <v>1</v>
      </c>
      <c r="X789" s="100">
        <v>1.17</v>
      </c>
      <c r="Y789" s="14" t="str">
        <f>RTD("money.excel",,"6570","Price")</f>
        <v>無資料</v>
      </c>
      <c r="Z789" s="69"/>
      <c r="AA789" s="16" t="e">
        <f t="shared" si="242"/>
        <v>#VALUE!</v>
      </c>
      <c r="AB789" s="3" t="e">
        <f t="shared" si="243"/>
        <v>#VALUE!</v>
      </c>
      <c r="AD789" s="17" t="s">
        <v>3556</v>
      </c>
      <c r="AG789" s="34">
        <f t="shared" si="244"/>
        <v>0</v>
      </c>
      <c r="AH789" s="44" t="s">
        <v>3563</v>
      </c>
      <c r="AI789" s="131"/>
      <c r="AK789" s="66">
        <f t="shared" si="237"/>
        <v>0</v>
      </c>
      <c r="AL789" s="174">
        <f t="shared" si="238"/>
        <v>0</v>
      </c>
      <c r="AM789" s="346">
        <f>RTD("money.excel",,$G789,"PredictVolume")</f>
        <v>0</v>
      </c>
      <c r="AN789" s="272">
        <f>RTD("money.excel",,$G789,"CumulativeVolume")</f>
        <v>0</v>
      </c>
      <c r="AO789" s="284"/>
    </row>
    <row r="790" spans="1:41">
      <c r="A790" s="135" t="s">
        <v>3557</v>
      </c>
      <c r="B790" s="85">
        <v>-30</v>
      </c>
      <c r="C790" s="85">
        <v>-29</v>
      </c>
      <c r="D790" s="84">
        <v>41</v>
      </c>
      <c r="E790" s="84">
        <v>120</v>
      </c>
      <c r="F790" s="59">
        <v>13.31</v>
      </c>
      <c r="G790" s="85">
        <v>6577</v>
      </c>
      <c r="H790" s="55" t="s">
        <v>1815</v>
      </c>
      <c r="I790" s="17" t="s">
        <v>3558</v>
      </c>
      <c r="J790" s="77">
        <v>66.209999999999994</v>
      </c>
      <c r="K790" s="77">
        <v>1.35</v>
      </c>
      <c r="L790" s="77">
        <v>2.13</v>
      </c>
      <c r="M790" s="371">
        <v>69.09</v>
      </c>
      <c r="N790" s="77">
        <f t="shared" si="239"/>
        <v>138.77999999999997</v>
      </c>
      <c r="O790" s="369">
        <f t="shared" si="240"/>
        <v>135.30000000000001</v>
      </c>
      <c r="P790" s="195">
        <v>0</v>
      </c>
      <c r="Q790" s="326" t="str">
        <f>IFERROR(VLOOKUP($G790,主力整理!$A$2:$G$2301,6,0),"0")</f>
        <v>0</v>
      </c>
      <c r="R790" s="111">
        <v>0</v>
      </c>
      <c r="S790" s="51">
        <v>1</v>
      </c>
      <c r="T790" s="339">
        <f t="shared" si="241"/>
        <v>1</v>
      </c>
      <c r="U790" s="329" t="s">
        <v>6538</v>
      </c>
      <c r="V790" s="371">
        <v>0.06</v>
      </c>
      <c r="W790" s="69">
        <v>5</v>
      </c>
      <c r="X790" s="100">
        <v>4</v>
      </c>
      <c r="Y790" s="37" t="str">
        <f>RTD("money.excel",,"6577","Price")</f>
        <v>無資料</v>
      </c>
      <c r="Z790" s="69"/>
      <c r="AA790" s="16" t="e">
        <f t="shared" si="242"/>
        <v>#VALUE!</v>
      </c>
      <c r="AB790" s="3" t="e">
        <f t="shared" si="243"/>
        <v>#VALUE!</v>
      </c>
      <c r="AC790" s="177" t="s">
        <v>2700</v>
      </c>
      <c r="AD790" s="17" t="s">
        <v>3558</v>
      </c>
      <c r="AG790" s="34">
        <f t="shared" si="244"/>
        <v>0</v>
      </c>
      <c r="AH790" s="63" t="s">
        <v>3559</v>
      </c>
      <c r="AI790" s="131"/>
      <c r="AK790" s="66">
        <f t="shared" si="237"/>
        <v>0</v>
      </c>
      <c r="AL790" s="174">
        <f t="shared" si="238"/>
        <v>0</v>
      </c>
      <c r="AM790" s="346">
        <f>RTD("money.excel",,$G790,"PredictVolume")</f>
        <v>0</v>
      </c>
      <c r="AN790" s="272">
        <f>RTD("money.excel",,$G790,"CumulativeVolume")</f>
        <v>0</v>
      </c>
      <c r="AO790" s="284"/>
    </row>
    <row r="791" spans="1:41">
      <c r="A791" s="151" t="s">
        <v>2598</v>
      </c>
      <c r="B791" s="85">
        <v>-44</v>
      </c>
      <c r="C791" s="85">
        <v>-44</v>
      </c>
      <c r="D791" s="84">
        <v>38</v>
      </c>
      <c r="E791" s="85">
        <v>58</v>
      </c>
      <c r="F791" s="7">
        <v>6.03</v>
      </c>
      <c r="G791" s="85">
        <v>6579</v>
      </c>
      <c r="H791" s="50" t="s">
        <v>561</v>
      </c>
      <c r="I791" s="23" t="s">
        <v>897</v>
      </c>
      <c r="J791" s="371">
        <v>89.49</v>
      </c>
      <c r="K791" s="77">
        <v>3.16</v>
      </c>
      <c r="L791" s="77">
        <v>7.0000000000000007E-2</v>
      </c>
      <c r="M791" s="371">
        <v>75.47</v>
      </c>
      <c r="N791" s="77">
        <f t="shared" ref="N791:N822" si="245">J791+K791+L791+M791</f>
        <v>168.19</v>
      </c>
      <c r="O791" s="369">
        <f t="shared" ref="O791:O802" si="246">J791+M791</f>
        <v>164.95999999999998</v>
      </c>
      <c r="P791" s="195">
        <v>2</v>
      </c>
      <c r="Q791" s="326" t="str">
        <f>IFERROR(VLOOKUP($G791,主力整理!$A$2:$G$2301,6,0),"0")</f>
        <v>0</v>
      </c>
      <c r="R791" s="111">
        <v>0</v>
      </c>
      <c r="S791" s="51">
        <v>0</v>
      </c>
      <c r="T791" s="339">
        <f t="shared" ref="T791:T822" si="247">SUM(P791:S791)</f>
        <v>2</v>
      </c>
      <c r="U791" s="329" t="s">
        <v>6539</v>
      </c>
      <c r="V791" s="371">
        <v>0.15</v>
      </c>
      <c r="W791" s="69">
        <v>3</v>
      </c>
      <c r="X791" s="100">
        <v>2.48</v>
      </c>
      <c r="Y791" s="37" t="str">
        <f>RTD("money.excel",,"6579","Price")</f>
        <v>無資料</v>
      </c>
      <c r="Z791" s="69"/>
      <c r="AA791" s="16" t="e">
        <f t="shared" ref="AA791:AA822" si="248">Y791-Z791</f>
        <v>#VALUE!</v>
      </c>
      <c r="AB791" s="3" t="e">
        <f t="shared" ref="AB791:AB822" si="249">AA791/Z791</f>
        <v>#VALUE!</v>
      </c>
      <c r="AC791" s="177" t="s">
        <v>2929</v>
      </c>
      <c r="AD791" s="23" t="s">
        <v>897</v>
      </c>
      <c r="AG791" s="34">
        <f t="shared" ref="AG791:AG822" si="250">AF791-AE791</f>
        <v>0</v>
      </c>
      <c r="AH791" s="44" t="s">
        <v>3002</v>
      </c>
      <c r="AI791" s="131"/>
      <c r="AK791" s="66">
        <f t="shared" si="237"/>
        <v>0</v>
      </c>
      <c r="AL791" s="174">
        <f t="shared" si="238"/>
        <v>0</v>
      </c>
      <c r="AM791" s="346">
        <f>RTD("money.excel",,$G791,"PredictVolume")</f>
        <v>0</v>
      </c>
      <c r="AN791" s="272">
        <f>RTD("money.excel",,$G791,"CumulativeVolume")</f>
        <v>0</v>
      </c>
      <c r="AO791" s="284"/>
    </row>
    <row r="792" spans="1:41">
      <c r="A792" s="135" t="s">
        <v>3017</v>
      </c>
      <c r="B792" s="84">
        <v>267</v>
      </c>
      <c r="C792" s="84">
        <v>877</v>
      </c>
      <c r="D792" s="84">
        <v>16</v>
      </c>
      <c r="E792" s="84">
        <v>8</v>
      </c>
      <c r="F792" s="59">
        <v>13.06</v>
      </c>
      <c r="G792" s="85">
        <v>6591</v>
      </c>
      <c r="H792" s="50" t="s">
        <v>561</v>
      </c>
      <c r="I792" s="23" t="s">
        <v>898</v>
      </c>
      <c r="J792" s="371">
        <v>23.55</v>
      </c>
      <c r="K792" s="77">
        <v>27.71</v>
      </c>
      <c r="L792" s="77">
        <v>33.619999999999997</v>
      </c>
      <c r="N792" s="365">
        <f t="shared" si="245"/>
        <v>84.88</v>
      </c>
      <c r="O792" s="343">
        <f t="shared" si="246"/>
        <v>23.55</v>
      </c>
      <c r="P792" s="195" t="s">
        <v>5554</v>
      </c>
      <c r="Q792" s="326" t="str">
        <f>IFERROR(VLOOKUP($G792,主力整理!$A$2:$G$2301,6,0),"0")</f>
        <v>0</v>
      </c>
      <c r="T792" s="339">
        <f t="shared" si="247"/>
        <v>0</v>
      </c>
      <c r="V792" s="371">
        <v>0.78</v>
      </c>
      <c r="W792" s="35">
        <v>2.75</v>
      </c>
      <c r="X792" s="100">
        <v>5.78</v>
      </c>
      <c r="Y792" s="37" t="str">
        <f>RTD("money.excel",,"6591","Price")</f>
        <v>無資料</v>
      </c>
      <c r="Z792" s="69"/>
      <c r="AA792" s="16" t="e">
        <f t="shared" si="248"/>
        <v>#VALUE!</v>
      </c>
      <c r="AB792" s="3" t="e">
        <f t="shared" si="249"/>
        <v>#VALUE!</v>
      </c>
      <c r="AC792" s="177" t="s">
        <v>2648</v>
      </c>
      <c r="AD792" s="23" t="s">
        <v>898</v>
      </c>
      <c r="AG792" s="34">
        <f t="shared" si="250"/>
        <v>0</v>
      </c>
      <c r="AH792" s="63" t="s">
        <v>3691</v>
      </c>
      <c r="AI792" s="131"/>
      <c r="AK792" s="66">
        <f t="shared" si="237"/>
        <v>0</v>
      </c>
      <c r="AL792" s="174">
        <f t="shared" si="238"/>
        <v>0</v>
      </c>
      <c r="AM792" s="346">
        <f>RTD("money.excel",,$G792,"PredictVolume")</f>
        <v>0</v>
      </c>
      <c r="AN792" s="272">
        <f>RTD("money.excel",,$G792,"CumulativeVolume")</f>
        <v>0</v>
      </c>
      <c r="AO792" s="284"/>
    </row>
    <row r="793" spans="1:41">
      <c r="A793" s="151" t="s">
        <v>2531</v>
      </c>
      <c r="B793" s="84">
        <v>10</v>
      </c>
      <c r="C793" s="84">
        <v>11</v>
      </c>
      <c r="D793" s="84">
        <v>16</v>
      </c>
      <c r="E793" s="85">
        <v>-1</v>
      </c>
      <c r="F793" s="7">
        <v>6.01</v>
      </c>
      <c r="G793" s="85">
        <v>6669</v>
      </c>
      <c r="H793" s="50" t="s">
        <v>561</v>
      </c>
      <c r="I793" s="23" t="s">
        <v>2365</v>
      </c>
      <c r="J793" s="371">
        <v>64.06</v>
      </c>
      <c r="K793" s="371">
        <v>30.72</v>
      </c>
      <c r="L793" s="77">
        <v>1.2</v>
      </c>
      <c r="N793" s="365">
        <f t="shared" si="245"/>
        <v>95.98</v>
      </c>
      <c r="O793" s="343">
        <f t="shared" si="246"/>
        <v>64.06</v>
      </c>
      <c r="P793" s="195">
        <v>22</v>
      </c>
      <c r="Q793" s="326" t="str">
        <f>IFERROR(VLOOKUP($G793,主力整理!$A$2:$G$2301,6,0),"0")</f>
        <v>0</v>
      </c>
      <c r="R793" s="111">
        <v>1</v>
      </c>
      <c r="S793" s="51">
        <v>6</v>
      </c>
      <c r="T793" s="339">
        <f t="shared" si="247"/>
        <v>29</v>
      </c>
      <c r="V793" s="371">
        <v>9.35</v>
      </c>
      <c r="W793" s="69">
        <v>32</v>
      </c>
      <c r="X793" s="59">
        <v>51.39</v>
      </c>
      <c r="Y793" s="37" t="str">
        <f>RTD("money.excel",,"6669","Price")</f>
        <v>無資料</v>
      </c>
      <c r="Z793" s="69"/>
      <c r="AA793" s="16" t="e">
        <f t="shared" si="248"/>
        <v>#VALUE!</v>
      </c>
      <c r="AB793" s="3" t="e">
        <f t="shared" si="249"/>
        <v>#VALUE!</v>
      </c>
      <c r="AC793" s="177" t="s">
        <v>2929</v>
      </c>
      <c r="AD793" s="23" t="s">
        <v>2365</v>
      </c>
      <c r="AG793" s="34">
        <f t="shared" si="250"/>
        <v>0</v>
      </c>
      <c r="AH793" s="44" t="s">
        <v>3789</v>
      </c>
      <c r="AI793" s="131"/>
      <c r="AK793" s="66">
        <f t="shared" si="237"/>
        <v>0</v>
      </c>
      <c r="AL793" s="174">
        <f t="shared" si="238"/>
        <v>0</v>
      </c>
      <c r="AM793" s="346">
        <f>RTD("money.excel",,$G793,"PredictVolume")</f>
        <v>0</v>
      </c>
      <c r="AN793" s="272">
        <f>RTD("money.excel",,$G793,"CumulativeVolume")</f>
        <v>0</v>
      </c>
      <c r="AO793" s="284"/>
    </row>
    <row r="794" spans="1:41">
      <c r="A794" s="135" t="s">
        <v>4661</v>
      </c>
      <c r="B794" s="85">
        <v>-17</v>
      </c>
      <c r="C794" s="85">
        <v>-31</v>
      </c>
      <c r="D794" s="84">
        <v>103</v>
      </c>
      <c r="E794" s="84">
        <v>97</v>
      </c>
      <c r="F794" s="59">
        <v>14.82</v>
      </c>
      <c r="G794" s="85">
        <v>6680</v>
      </c>
      <c r="H794" s="55" t="s">
        <v>1815</v>
      </c>
      <c r="I794" s="17" t="s">
        <v>3560</v>
      </c>
      <c r="J794" s="77">
        <v>71.38</v>
      </c>
      <c r="K794" s="371">
        <v>0.02</v>
      </c>
      <c r="N794" s="365">
        <f t="shared" si="245"/>
        <v>71.399999999999991</v>
      </c>
      <c r="O794" s="343">
        <f t="shared" si="246"/>
        <v>71.38</v>
      </c>
      <c r="P794" s="195" t="s">
        <v>5554</v>
      </c>
      <c r="Q794" s="326" t="str">
        <f>IFERROR(VLOOKUP($G794,主力整理!$A$2:$G$2301,6,0),"0")</f>
        <v>0</v>
      </c>
      <c r="T794" s="339">
        <f t="shared" si="247"/>
        <v>0</v>
      </c>
      <c r="W794" s="35">
        <v>2</v>
      </c>
      <c r="X794" s="100">
        <v>2.2000000000000002</v>
      </c>
      <c r="Y794" s="37" t="str">
        <f>RTD("money.excel",,"6680","Price")</f>
        <v>無資料</v>
      </c>
      <c r="Z794" s="69"/>
      <c r="AA794" s="16" t="e">
        <f t="shared" si="248"/>
        <v>#VALUE!</v>
      </c>
      <c r="AB794" s="3" t="e">
        <f t="shared" si="249"/>
        <v>#VALUE!</v>
      </c>
      <c r="AC794" s="177" t="s">
        <v>2648</v>
      </c>
      <c r="AD794" s="17" t="s">
        <v>3560</v>
      </c>
      <c r="AG794" s="34">
        <f t="shared" si="250"/>
        <v>0</v>
      </c>
      <c r="AH794" s="63" t="s">
        <v>3561</v>
      </c>
      <c r="AI794" s="284"/>
      <c r="AK794" s="66">
        <f t="shared" si="237"/>
        <v>0</v>
      </c>
      <c r="AL794" s="174">
        <f t="shared" si="238"/>
        <v>0</v>
      </c>
      <c r="AM794" s="346">
        <f>RTD("money.excel",,$G794,"PredictVolume")</f>
        <v>0</v>
      </c>
      <c r="AN794" s="272">
        <f>RTD("money.excel",,$G794,"CumulativeVolume")</f>
        <v>0</v>
      </c>
      <c r="AO794" s="284"/>
    </row>
    <row r="795" spans="1:41">
      <c r="A795" s="151" t="s">
        <v>3236</v>
      </c>
      <c r="B795" s="85">
        <v>-65</v>
      </c>
      <c r="C795" s="85">
        <v>-72</v>
      </c>
      <c r="D795" s="85">
        <v>-2</v>
      </c>
      <c r="E795" s="84">
        <v>33</v>
      </c>
      <c r="F795" s="7">
        <v>1.24</v>
      </c>
      <c r="G795" s="85">
        <v>8050</v>
      </c>
      <c r="H795" s="55" t="s">
        <v>1815</v>
      </c>
      <c r="I795" s="17" t="s">
        <v>3562</v>
      </c>
      <c r="J795" s="77">
        <v>50.65</v>
      </c>
      <c r="K795" s="77">
        <v>3.6</v>
      </c>
      <c r="L795" s="77">
        <v>3.09</v>
      </c>
      <c r="N795" s="365">
        <f t="shared" si="245"/>
        <v>57.34</v>
      </c>
      <c r="O795" s="343">
        <f t="shared" si="246"/>
        <v>50.65</v>
      </c>
      <c r="P795" s="195" t="s">
        <v>5554</v>
      </c>
      <c r="Q795" s="326" t="str">
        <f>IFERROR(VLOOKUP($G795,主力整理!$A$2:$G$2301,6,0),"0")</f>
        <v>0</v>
      </c>
      <c r="T795" s="339">
        <f t="shared" si="247"/>
        <v>0</v>
      </c>
      <c r="V795" s="371">
        <v>0.02</v>
      </c>
      <c r="W795" s="35">
        <v>1.8</v>
      </c>
      <c r="X795" s="100">
        <v>0.74</v>
      </c>
      <c r="Y795" s="37" t="str">
        <f>RTD("money.excel",,"8050","Price")</f>
        <v>無資料</v>
      </c>
      <c r="Z795" s="69"/>
      <c r="AA795" s="16" t="e">
        <f t="shared" si="248"/>
        <v>#VALUE!</v>
      </c>
      <c r="AB795" s="3" t="e">
        <f t="shared" si="249"/>
        <v>#VALUE!</v>
      </c>
      <c r="AC795" s="177" t="s">
        <v>2648</v>
      </c>
      <c r="AD795" s="17" t="s">
        <v>3562</v>
      </c>
      <c r="AG795" s="34">
        <f t="shared" si="250"/>
        <v>0</v>
      </c>
      <c r="AH795" s="125" t="s">
        <v>3563</v>
      </c>
      <c r="AI795" s="131"/>
      <c r="AK795" s="66">
        <f t="shared" si="237"/>
        <v>0</v>
      </c>
      <c r="AL795" s="174">
        <f t="shared" si="238"/>
        <v>0</v>
      </c>
      <c r="AM795" s="346">
        <f>RTD("money.excel",,$G795,"PredictVolume")</f>
        <v>0</v>
      </c>
      <c r="AN795" s="272">
        <f>RTD("money.excel",,$G795,"CumulativeVolume")</f>
        <v>0</v>
      </c>
      <c r="AO795" s="284"/>
    </row>
    <row r="796" spans="1:41">
      <c r="A796" s="151" t="s">
        <v>3628</v>
      </c>
      <c r="B796" s="85">
        <v>-125</v>
      </c>
      <c r="C796" s="85">
        <v>-83</v>
      </c>
      <c r="D796" s="84">
        <v>22</v>
      </c>
      <c r="E796" s="85">
        <v>-27</v>
      </c>
      <c r="F796" s="7">
        <v>2.3199999999999998</v>
      </c>
      <c r="G796" s="85">
        <v>8076</v>
      </c>
      <c r="H796" s="55" t="s">
        <v>561</v>
      </c>
      <c r="I796" s="17" t="s">
        <v>2853</v>
      </c>
      <c r="J796" s="371">
        <v>30.66</v>
      </c>
      <c r="K796" s="371">
        <v>6.09</v>
      </c>
      <c r="L796" s="77">
        <v>6.93</v>
      </c>
      <c r="N796" s="365">
        <f t="shared" si="245"/>
        <v>43.68</v>
      </c>
      <c r="O796" s="343">
        <f t="shared" si="246"/>
        <v>30.66</v>
      </c>
      <c r="P796" s="195" t="s">
        <v>5554</v>
      </c>
      <c r="Q796" s="326" t="str">
        <f>IFERROR(VLOOKUP($G796,主力整理!$A$2:$G$2301,6,0),"0")</f>
        <v>0</v>
      </c>
      <c r="T796" s="339">
        <f t="shared" si="247"/>
        <v>0</v>
      </c>
      <c r="V796" s="371">
        <v>0.14000000000000001</v>
      </c>
      <c r="W796" s="35">
        <v>0</v>
      </c>
      <c r="X796" s="100">
        <v>-0.26</v>
      </c>
      <c r="Y796" s="37" t="str">
        <f>RTD("money.excel",,"8076","Price")</f>
        <v>無資料</v>
      </c>
      <c r="Z796" s="69"/>
      <c r="AA796" s="16" t="e">
        <f t="shared" si="248"/>
        <v>#VALUE!</v>
      </c>
      <c r="AB796" s="3" t="e">
        <f t="shared" si="249"/>
        <v>#VALUE!</v>
      </c>
      <c r="AD796" s="17" t="s">
        <v>2853</v>
      </c>
      <c r="AG796" s="34">
        <f t="shared" si="250"/>
        <v>0</v>
      </c>
      <c r="AH796" s="125" t="s">
        <v>6664</v>
      </c>
      <c r="AI796" s="131"/>
      <c r="AK796" s="66">
        <f t="shared" si="237"/>
        <v>0</v>
      </c>
      <c r="AL796" s="174">
        <f t="shared" si="238"/>
        <v>0</v>
      </c>
      <c r="AM796" s="346">
        <f>RTD("money.excel",,$G796,"PredictVolume")</f>
        <v>0</v>
      </c>
      <c r="AN796" s="272">
        <f>RTD("money.excel",,$G796,"CumulativeVolume")</f>
        <v>0</v>
      </c>
      <c r="AO796" s="284"/>
    </row>
    <row r="797" spans="1:41">
      <c r="A797" s="135" t="s">
        <v>2547</v>
      </c>
      <c r="B797" s="84">
        <v>332</v>
      </c>
      <c r="C797" s="84">
        <v>128</v>
      </c>
      <c r="D797" s="84">
        <v>8</v>
      </c>
      <c r="E797" s="84">
        <v>41</v>
      </c>
      <c r="F797" s="59">
        <v>10.86</v>
      </c>
      <c r="G797" s="85">
        <v>8114</v>
      </c>
      <c r="H797" s="50" t="s">
        <v>561</v>
      </c>
      <c r="I797" s="23" t="s">
        <v>1728</v>
      </c>
      <c r="J797" s="77">
        <v>44.73</v>
      </c>
      <c r="K797" s="77">
        <v>9.93</v>
      </c>
      <c r="L797" s="77">
        <v>6.5</v>
      </c>
      <c r="M797" s="77">
        <v>15.85</v>
      </c>
      <c r="N797" s="365">
        <f t="shared" si="245"/>
        <v>77.009999999999991</v>
      </c>
      <c r="O797" s="343">
        <f t="shared" si="246"/>
        <v>60.58</v>
      </c>
      <c r="P797" s="195">
        <v>6</v>
      </c>
      <c r="Q797" s="326">
        <v>1</v>
      </c>
      <c r="R797" s="111">
        <v>3</v>
      </c>
      <c r="S797" s="51">
        <v>5</v>
      </c>
      <c r="T797" s="339">
        <f t="shared" si="247"/>
        <v>15</v>
      </c>
      <c r="U797" s="329" t="s">
        <v>6539</v>
      </c>
      <c r="V797" s="371">
        <v>0.44</v>
      </c>
      <c r="W797" s="35">
        <v>1.5</v>
      </c>
      <c r="X797" s="100">
        <v>4.38</v>
      </c>
      <c r="Y797" s="37" t="str">
        <f>RTD("money.excel",,"8114","Price")</f>
        <v>無資料</v>
      </c>
      <c r="Z797" s="69"/>
      <c r="AA797" s="16" t="e">
        <f t="shared" si="248"/>
        <v>#VALUE!</v>
      </c>
      <c r="AB797" s="3" t="e">
        <f t="shared" si="249"/>
        <v>#VALUE!</v>
      </c>
      <c r="AC797" s="177" t="s">
        <v>2648</v>
      </c>
      <c r="AD797" s="23" t="s">
        <v>1728</v>
      </c>
      <c r="AG797" s="34">
        <f t="shared" si="250"/>
        <v>0</v>
      </c>
      <c r="AH797" s="63" t="s">
        <v>6662</v>
      </c>
      <c r="AI797" s="131"/>
      <c r="AK797" s="66">
        <f t="shared" si="237"/>
        <v>0</v>
      </c>
      <c r="AL797" s="174">
        <f t="shared" si="238"/>
        <v>0</v>
      </c>
      <c r="AM797" s="346">
        <f>RTD("money.excel",,$G797,"PredictVolume")</f>
        <v>0</v>
      </c>
      <c r="AN797" s="272">
        <f>RTD("money.excel",,$G797,"CumulativeVolume")</f>
        <v>0</v>
      </c>
      <c r="AO797" s="284"/>
    </row>
    <row r="798" spans="1:41">
      <c r="A798" s="151" t="s">
        <v>3267</v>
      </c>
      <c r="B798" s="85">
        <v>-8</v>
      </c>
      <c r="C798" s="85">
        <v>-2</v>
      </c>
      <c r="D798" s="84">
        <v>3</v>
      </c>
      <c r="E798" s="84">
        <v>21</v>
      </c>
      <c r="F798" s="7">
        <v>4.8499999999999996</v>
      </c>
      <c r="G798" s="85">
        <v>8163</v>
      </c>
      <c r="H798" s="50" t="s">
        <v>561</v>
      </c>
      <c r="I798" s="23" t="s">
        <v>427</v>
      </c>
      <c r="J798" s="77">
        <v>39.78</v>
      </c>
      <c r="K798" s="77">
        <v>16.46</v>
      </c>
      <c r="L798" s="77">
        <v>7.51</v>
      </c>
      <c r="N798" s="365">
        <f t="shared" si="245"/>
        <v>63.75</v>
      </c>
      <c r="O798" s="343">
        <f t="shared" si="246"/>
        <v>39.78</v>
      </c>
      <c r="P798" s="195">
        <v>1</v>
      </c>
      <c r="Q798" s="326">
        <f>IFERROR(VLOOKUP($G798,主力整理!$A$2:$G$2301,6,0),"0")</f>
        <v>1</v>
      </c>
      <c r="T798" s="339">
        <f t="shared" si="247"/>
        <v>2</v>
      </c>
      <c r="V798" s="371">
        <v>0.17</v>
      </c>
      <c r="W798" s="35">
        <v>2.5</v>
      </c>
      <c r="X798" s="100">
        <v>3.23</v>
      </c>
      <c r="Y798" s="37" t="str">
        <f>RTD("money.excel",,"8163","Price")</f>
        <v>無資料</v>
      </c>
      <c r="Z798" s="69"/>
      <c r="AA798" s="16" t="e">
        <f t="shared" si="248"/>
        <v>#VALUE!</v>
      </c>
      <c r="AB798" s="3" t="e">
        <f t="shared" si="249"/>
        <v>#VALUE!</v>
      </c>
      <c r="AC798" s="177" t="s">
        <v>2648</v>
      </c>
      <c r="AD798" s="23" t="s">
        <v>427</v>
      </c>
      <c r="AG798" s="34">
        <f t="shared" si="250"/>
        <v>0</v>
      </c>
      <c r="AH798" s="125" t="s">
        <v>4279</v>
      </c>
      <c r="AI798" s="131"/>
      <c r="AK798" s="66">
        <f t="shared" si="237"/>
        <v>0</v>
      </c>
      <c r="AL798" s="174">
        <f t="shared" si="238"/>
        <v>0</v>
      </c>
      <c r="AM798" s="346">
        <f>RTD("money.excel",,$G798,"PredictVolume")</f>
        <v>0</v>
      </c>
      <c r="AN798" s="272">
        <f>RTD("money.excel",,$G798,"CumulativeVolume")</f>
        <v>0</v>
      </c>
      <c r="AO798" s="284"/>
    </row>
    <row r="799" spans="1:41">
      <c r="A799" s="151" t="s">
        <v>3033</v>
      </c>
      <c r="B799" s="85">
        <v>-6</v>
      </c>
      <c r="C799" s="84">
        <v>31</v>
      </c>
      <c r="D799" s="85">
        <v>-5</v>
      </c>
      <c r="E799" s="85">
        <v>-1</v>
      </c>
      <c r="F799" s="7">
        <v>9.0500000000000007</v>
      </c>
      <c r="G799" s="85">
        <v>8210</v>
      </c>
      <c r="H799" s="53" t="s">
        <v>561</v>
      </c>
      <c r="I799" s="23" t="s">
        <v>899</v>
      </c>
      <c r="J799" s="77">
        <v>63.13</v>
      </c>
      <c r="K799" s="371">
        <v>5.2</v>
      </c>
      <c r="L799" s="371">
        <v>5.0999999999999996</v>
      </c>
      <c r="N799" s="365">
        <f t="shared" si="245"/>
        <v>73.429999999999993</v>
      </c>
      <c r="O799" s="343">
        <f t="shared" si="246"/>
        <v>63.13</v>
      </c>
      <c r="P799" s="195">
        <v>5</v>
      </c>
      <c r="Q799" s="326" t="str">
        <f>IFERROR(VLOOKUP($G799,主力整理!$A$2:$G$2301,6,0),"0")</f>
        <v>0</v>
      </c>
      <c r="T799" s="339">
        <f t="shared" si="247"/>
        <v>5</v>
      </c>
      <c r="V799" s="371">
        <v>0.01</v>
      </c>
      <c r="W799" s="69">
        <v>4</v>
      </c>
      <c r="X799" s="59">
        <v>8.06</v>
      </c>
      <c r="Y799" s="37" t="str">
        <f>RTD("money.excel",,"8210","Price")</f>
        <v>無資料</v>
      </c>
      <c r="Z799" s="69"/>
      <c r="AA799" s="16" t="e">
        <f t="shared" si="248"/>
        <v>#VALUE!</v>
      </c>
      <c r="AB799" s="3" t="e">
        <f t="shared" si="249"/>
        <v>#VALUE!</v>
      </c>
      <c r="AC799" s="177" t="s">
        <v>2929</v>
      </c>
      <c r="AD799" s="23" t="s">
        <v>899</v>
      </c>
      <c r="AG799" s="34">
        <f t="shared" si="250"/>
        <v>0</v>
      </c>
      <c r="AH799" s="44" t="s">
        <v>3535</v>
      </c>
      <c r="AI799" s="131"/>
      <c r="AK799" s="66">
        <f t="shared" si="237"/>
        <v>0</v>
      </c>
      <c r="AL799" s="174">
        <f t="shared" si="238"/>
        <v>0</v>
      </c>
      <c r="AM799" s="346">
        <f>RTD("money.excel",,$G799,"PredictVolume")</f>
        <v>0</v>
      </c>
      <c r="AN799" s="272">
        <f>RTD("money.excel",,$G799,"CumulativeVolume")</f>
        <v>0</v>
      </c>
      <c r="AO799" s="284"/>
    </row>
    <row r="800" spans="1:41">
      <c r="A800" s="151" t="s">
        <v>2627</v>
      </c>
      <c r="B800" s="96">
        <v>-30</v>
      </c>
      <c r="C800" s="96">
        <v>-26</v>
      </c>
      <c r="D800" s="96">
        <v>-29</v>
      </c>
      <c r="E800" s="96">
        <v>-13</v>
      </c>
      <c r="F800" s="7">
        <v>2.73</v>
      </c>
      <c r="G800" s="85">
        <v>8234</v>
      </c>
      <c r="H800" s="55" t="s">
        <v>1815</v>
      </c>
      <c r="I800" s="17" t="s">
        <v>3564</v>
      </c>
      <c r="J800" s="77">
        <v>57.62</v>
      </c>
      <c r="K800" s="77">
        <v>3.39</v>
      </c>
      <c r="L800" s="77">
        <v>3.74</v>
      </c>
      <c r="N800" s="365">
        <f t="shared" si="245"/>
        <v>64.75</v>
      </c>
      <c r="O800" s="343">
        <f t="shared" si="246"/>
        <v>57.62</v>
      </c>
      <c r="P800" s="195" t="s">
        <v>5554</v>
      </c>
      <c r="Q800" s="326" t="str">
        <f>IFERROR(VLOOKUP($G800,主力整理!$A$2:$G$2301,6,0),"0")</f>
        <v>0</v>
      </c>
      <c r="T800" s="339">
        <f t="shared" si="247"/>
        <v>0</v>
      </c>
      <c r="V800" s="371">
        <v>8.4700000000000006</v>
      </c>
      <c r="W800" s="35">
        <v>0.8</v>
      </c>
      <c r="X800" s="100">
        <v>1.06</v>
      </c>
      <c r="Y800" s="14" t="str">
        <f>RTD("money.excel",,"8234","Price")</f>
        <v>無資料</v>
      </c>
      <c r="Z800" s="69"/>
      <c r="AA800" s="16" t="e">
        <f t="shared" si="248"/>
        <v>#VALUE!</v>
      </c>
      <c r="AB800" s="3" t="e">
        <f t="shared" si="249"/>
        <v>#VALUE!</v>
      </c>
      <c r="AC800" s="177" t="s">
        <v>2648</v>
      </c>
      <c r="AD800" s="17" t="s">
        <v>3564</v>
      </c>
      <c r="AG800" s="34">
        <f t="shared" si="250"/>
        <v>0</v>
      </c>
      <c r="AH800" s="125" t="s">
        <v>3563</v>
      </c>
      <c r="AI800" s="131"/>
      <c r="AK800" s="66">
        <f t="shared" si="237"/>
        <v>0</v>
      </c>
      <c r="AL800" s="174">
        <f t="shared" si="238"/>
        <v>0</v>
      </c>
      <c r="AM800" s="346">
        <f>RTD("money.excel",,$G800,"PredictVolume")</f>
        <v>0</v>
      </c>
      <c r="AN800" s="272">
        <f>RTD("money.excel",,$G800,"CumulativeVolume")</f>
        <v>0</v>
      </c>
      <c r="AO800" s="284"/>
    </row>
    <row r="801" spans="1:41">
      <c r="A801" s="135" t="s">
        <v>3331</v>
      </c>
      <c r="B801" s="84">
        <v>116</v>
      </c>
      <c r="C801" s="84">
        <v>193</v>
      </c>
      <c r="D801" s="85">
        <v>-3</v>
      </c>
      <c r="E801" s="84">
        <v>11</v>
      </c>
      <c r="F801" s="59">
        <v>19.47</v>
      </c>
      <c r="G801" s="85">
        <v>8410</v>
      </c>
      <c r="H801" s="55" t="s">
        <v>1815</v>
      </c>
      <c r="I801" s="17" t="s">
        <v>3565</v>
      </c>
      <c r="J801" s="371">
        <v>45.78</v>
      </c>
      <c r="K801" s="371">
        <v>1.42</v>
      </c>
      <c r="L801" s="371">
        <v>18.420000000000002</v>
      </c>
      <c r="N801" s="365">
        <f t="shared" si="245"/>
        <v>65.62</v>
      </c>
      <c r="O801" s="343">
        <f t="shared" si="246"/>
        <v>45.78</v>
      </c>
      <c r="P801" s="195" t="s">
        <v>5554</v>
      </c>
      <c r="Q801" s="326" t="str">
        <f>IFERROR(VLOOKUP($G801,主力整理!$A$2:$G$2301,6,0),"0")</f>
        <v>0</v>
      </c>
      <c r="T801" s="339">
        <f t="shared" si="247"/>
        <v>0</v>
      </c>
      <c r="V801" s="371">
        <v>0.02</v>
      </c>
      <c r="W801" s="35">
        <v>1.5</v>
      </c>
      <c r="X801" s="100">
        <v>4.55</v>
      </c>
      <c r="Y801" s="37" t="str">
        <f>RTD("money.excel",,"8410","Price")</f>
        <v>無資料</v>
      </c>
      <c r="Z801" s="69"/>
      <c r="AA801" s="16" t="e">
        <f t="shared" si="248"/>
        <v>#VALUE!</v>
      </c>
      <c r="AB801" s="3" t="e">
        <f t="shared" si="249"/>
        <v>#VALUE!</v>
      </c>
      <c r="AD801" s="17" t="s">
        <v>3565</v>
      </c>
      <c r="AG801" s="34">
        <f t="shared" si="250"/>
        <v>0</v>
      </c>
      <c r="AH801" s="63" t="s">
        <v>3868</v>
      </c>
      <c r="AI801" s="131"/>
      <c r="AK801" s="66">
        <f t="shared" si="237"/>
        <v>0</v>
      </c>
      <c r="AL801" s="174">
        <f t="shared" si="238"/>
        <v>0</v>
      </c>
      <c r="AM801" s="346">
        <f>RTD("money.excel",,$G801,"PredictVolume")</f>
        <v>0</v>
      </c>
      <c r="AN801" s="272">
        <f>RTD("money.excel",,$G801,"CumulativeVolume")</f>
        <v>0</v>
      </c>
      <c r="AO801" s="284"/>
    </row>
    <row r="802" spans="1:41">
      <c r="A802" s="151" t="s">
        <v>4671</v>
      </c>
      <c r="B802" s="96">
        <v>32</v>
      </c>
      <c r="C802" s="96">
        <v>4</v>
      </c>
      <c r="D802" s="96">
        <v>-26</v>
      </c>
      <c r="E802" s="96">
        <v>18</v>
      </c>
      <c r="F802" s="7">
        <v>-6.06</v>
      </c>
      <c r="G802" s="85">
        <v>9912</v>
      </c>
      <c r="H802" s="53" t="s">
        <v>561</v>
      </c>
      <c r="I802" s="23" t="s">
        <v>900</v>
      </c>
      <c r="J802" s="77">
        <v>38.39</v>
      </c>
      <c r="K802" s="77">
        <v>16.91</v>
      </c>
      <c r="L802" s="77">
        <v>19.579999999999998</v>
      </c>
      <c r="N802" s="365">
        <f t="shared" si="245"/>
        <v>74.88</v>
      </c>
      <c r="O802" s="343">
        <f t="shared" si="246"/>
        <v>38.39</v>
      </c>
      <c r="P802" s="195" t="s">
        <v>5554</v>
      </c>
      <c r="Q802" s="326" t="str">
        <f>IFERROR(VLOOKUP($G802,主力整理!$A$2:$G$2301,6,0),"0")</f>
        <v>0</v>
      </c>
      <c r="T802" s="339">
        <f t="shared" si="247"/>
        <v>0</v>
      </c>
      <c r="V802" s="371">
        <v>9.07</v>
      </c>
      <c r="W802" s="35">
        <v>0</v>
      </c>
      <c r="X802" s="100">
        <v>-0.77</v>
      </c>
      <c r="Y802" s="37" t="str">
        <f>RTD("money.excel",,"9912","Price")</f>
        <v>無資料</v>
      </c>
      <c r="Z802" s="69"/>
      <c r="AA802" s="16" t="e">
        <f t="shared" si="248"/>
        <v>#VALUE!</v>
      </c>
      <c r="AB802" s="3" t="e">
        <f t="shared" si="249"/>
        <v>#VALUE!</v>
      </c>
      <c r="AD802" s="23" t="s">
        <v>900</v>
      </c>
      <c r="AG802" s="34">
        <f t="shared" si="250"/>
        <v>0</v>
      </c>
      <c r="AH802" s="44" t="s">
        <v>3796</v>
      </c>
      <c r="AI802" s="131"/>
      <c r="AK802" s="66">
        <f t="shared" si="237"/>
        <v>0</v>
      </c>
      <c r="AL802" s="174">
        <f t="shared" si="238"/>
        <v>0</v>
      </c>
      <c r="AM802" s="346">
        <f>RTD("money.excel",,$G802,"PredictVolume")</f>
        <v>0</v>
      </c>
      <c r="AN802" s="272">
        <f>RTD("money.excel",,$G802,"CumulativeVolume")</f>
        <v>0</v>
      </c>
      <c r="AO802" s="284"/>
    </row>
    <row r="803" spans="1:41">
      <c r="A803" s="151"/>
      <c r="B803" s="96"/>
      <c r="C803" s="96"/>
      <c r="D803" s="96"/>
      <c r="E803" s="96"/>
      <c r="F803" s="7"/>
      <c r="G803" s="85"/>
      <c r="H803" s="53"/>
      <c r="I803" s="23"/>
      <c r="J803" s="77"/>
      <c r="K803" s="77"/>
      <c r="N803" s="365"/>
      <c r="O803" s="343"/>
      <c r="P803" s="195"/>
      <c r="W803" s="35"/>
      <c r="X803" s="100"/>
      <c r="Y803" s="37"/>
      <c r="Z803" s="69"/>
      <c r="AA803" s="16"/>
      <c r="AB803" s="3"/>
      <c r="AD803" s="23"/>
      <c r="AG803" s="34"/>
      <c r="AH803" s="44"/>
      <c r="AI803" s="131"/>
      <c r="AK803" s="66"/>
      <c r="AL803" s="174"/>
      <c r="AM803" s="346"/>
      <c r="AN803" s="272"/>
      <c r="AO803" s="284"/>
    </row>
    <row r="804" spans="1:41">
      <c r="A804" s="135" t="s">
        <v>2552</v>
      </c>
      <c r="B804" s="96" t="s">
        <v>2331</v>
      </c>
      <c r="C804" s="96" t="s">
        <v>2332</v>
      </c>
      <c r="D804" s="96" t="s">
        <v>2333</v>
      </c>
      <c r="E804" s="96" t="s">
        <v>2334</v>
      </c>
      <c r="F804" s="9" t="s">
        <v>1709</v>
      </c>
      <c r="G804" s="52" t="s">
        <v>780</v>
      </c>
      <c r="H804" s="56" t="s">
        <v>578</v>
      </c>
      <c r="I804" s="9" t="s">
        <v>557</v>
      </c>
      <c r="J804" s="364" t="s">
        <v>2189</v>
      </c>
      <c r="K804" s="364" t="s">
        <v>1820</v>
      </c>
      <c r="L804" s="364" t="s">
        <v>515</v>
      </c>
      <c r="M804" s="364" t="s">
        <v>1699</v>
      </c>
      <c r="N804" s="364" t="s">
        <v>6604</v>
      </c>
      <c r="O804" s="343" t="s">
        <v>6620</v>
      </c>
      <c r="P804" s="83" t="s">
        <v>5279</v>
      </c>
      <c r="Q804" s="326" t="s">
        <v>5514</v>
      </c>
      <c r="R804" s="31" t="s">
        <v>6596</v>
      </c>
      <c r="S804" s="51" t="s">
        <v>6597</v>
      </c>
      <c r="T804" s="338" t="s">
        <v>5627</v>
      </c>
      <c r="U804" s="330" t="s">
        <v>6537</v>
      </c>
      <c r="V804" s="377" t="s">
        <v>6616</v>
      </c>
      <c r="W804" s="11" t="s">
        <v>127</v>
      </c>
      <c r="X804" s="71" t="s">
        <v>5216</v>
      </c>
      <c r="Y804" s="29" t="s">
        <v>3</v>
      </c>
      <c r="Z804" s="18" t="s">
        <v>2113</v>
      </c>
      <c r="AA804" s="15" t="s">
        <v>8</v>
      </c>
      <c r="AB804" s="22" t="s">
        <v>4</v>
      </c>
      <c r="AC804" s="358" t="s">
        <v>211</v>
      </c>
      <c r="AD804" s="9" t="s">
        <v>557</v>
      </c>
      <c r="AE804" s="75" t="s">
        <v>2114</v>
      </c>
      <c r="AF804" s="76" t="s">
        <v>1826</v>
      </c>
      <c r="AG804" s="33" t="s">
        <v>1827</v>
      </c>
      <c r="AH804" s="44"/>
      <c r="AI804" s="131"/>
      <c r="AK804" s="9" t="s">
        <v>6666</v>
      </c>
      <c r="AL804" s="5" t="s">
        <v>6667</v>
      </c>
      <c r="AM804" s="51" t="s">
        <v>5339</v>
      </c>
      <c r="AN804" s="276" t="s">
        <v>6665</v>
      </c>
      <c r="AO804" s="284"/>
    </row>
    <row r="805" spans="1:41">
      <c r="A805" s="151" t="s">
        <v>2651</v>
      </c>
      <c r="B805" s="84">
        <v>96</v>
      </c>
      <c r="C805" s="84">
        <v>58</v>
      </c>
      <c r="D805" s="85">
        <v>-4</v>
      </c>
      <c r="E805" s="84">
        <v>10</v>
      </c>
      <c r="F805" s="7">
        <v>-2.2400000000000002</v>
      </c>
      <c r="G805" s="85">
        <v>2323</v>
      </c>
      <c r="H805" s="4" t="s">
        <v>557</v>
      </c>
      <c r="I805" s="23" t="s">
        <v>526</v>
      </c>
      <c r="J805" s="77">
        <v>35.119999999999997</v>
      </c>
      <c r="K805" s="371">
        <v>14.17</v>
      </c>
      <c r="L805" s="77">
        <v>11.87</v>
      </c>
      <c r="N805" s="365">
        <f t="shared" ref="N805:N836" si="251">J805+K805+L805+M805</f>
        <v>61.16</v>
      </c>
      <c r="O805" s="343">
        <f t="shared" ref="O805:O836" si="252">J805+M805</f>
        <v>35.119999999999997</v>
      </c>
      <c r="P805" s="195">
        <v>1</v>
      </c>
      <c r="Q805" s="326">
        <v>14</v>
      </c>
      <c r="R805" s="111">
        <v>1</v>
      </c>
      <c r="S805" s="51">
        <v>2</v>
      </c>
      <c r="T805" s="339">
        <f t="shared" ref="T805:T836" si="253">SUM(P805:S805)</f>
        <v>18</v>
      </c>
      <c r="U805" s="329" t="s">
        <v>6539</v>
      </c>
      <c r="V805" s="371">
        <v>2.37</v>
      </c>
      <c r="W805" s="35">
        <v>0.7</v>
      </c>
      <c r="X805" s="100">
        <v>0.55000000000000004</v>
      </c>
      <c r="Y805" s="37" t="str">
        <f>RTD("money.excel",,"2323","Price")</f>
        <v>無資料</v>
      </c>
      <c r="Z805" s="69"/>
      <c r="AA805" s="16" t="e">
        <f t="shared" ref="AA805:AA836" si="254">Y805-Z805</f>
        <v>#VALUE!</v>
      </c>
      <c r="AB805" s="3" t="e">
        <f t="shared" ref="AB805:AB836" si="255">AA805/Z805</f>
        <v>#VALUE!</v>
      </c>
      <c r="AC805" s="177" t="s">
        <v>2648</v>
      </c>
      <c r="AD805" s="23" t="s">
        <v>526</v>
      </c>
      <c r="AG805" s="34">
        <f t="shared" ref="AG805:AG836" si="256">AF805-AE805</f>
        <v>0</v>
      </c>
      <c r="AH805" s="44" t="s">
        <v>4051</v>
      </c>
      <c r="AI805" s="131"/>
      <c r="AK805" s="66">
        <f>AM805/(A805*10000)</f>
        <v>0</v>
      </c>
      <c r="AL805" s="174">
        <f>AN805/(A805*10000)</f>
        <v>0</v>
      </c>
      <c r="AM805" s="346">
        <f>RTD("money.excel",,$G805,"PredictVolume")</f>
        <v>0</v>
      </c>
      <c r="AN805" s="272">
        <f>RTD("money.excel",,$G805,"CumulativeVolume")</f>
        <v>0</v>
      </c>
      <c r="AO805" s="284"/>
    </row>
    <row r="806" spans="1:41">
      <c r="A806" s="135" t="s">
        <v>2664</v>
      </c>
      <c r="B806" s="85">
        <v>-24</v>
      </c>
      <c r="C806" s="85">
        <v>-19</v>
      </c>
      <c r="D806" s="84">
        <v>16</v>
      </c>
      <c r="E806" s="84">
        <v>74</v>
      </c>
      <c r="F806" s="59">
        <v>11.57</v>
      </c>
      <c r="G806" s="85">
        <v>2340</v>
      </c>
      <c r="H806" s="54" t="s">
        <v>557</v>
      </c>
      <c r="I806" s="23" t="s">
        <v>341</v>
      </c>
      <c r="J806" s="77">
        <v>26.99</v>
      </c>
      <c r="K806" s="77">
        <v>15.44</v>
      </c>
      <c r="L806" s="77">
        <v>26.67</v>
      </c>
      <c r="N806" s="365">
        <f t="shared" si="251"/>
        <v>69.099999999999994</v>
      </c>
      <c r="O806" s="343">
        <f t="shared" si="252"/>
        <v>26.99</v>
      </c>
      <c r="P806" s="195">
        <v>1</v>
      </c>
      <c r="Q806" s="326">
        <f>IFERROR(VLOOKUP($G806,主力整理!$A$2:$G$2301,6,0),"0")</f>
        <v>6</v>
      </c>
      <c r="T806" s="339">
        <f t="shared" si="253"/>
        <v>7</v>
      </c>
      <c r="V806" s="371">
        <v>1.1599999999999999</v>
      </c>
      <c r="W806" s="35">
        <v>1.39</v>
      </c>
      <c r="X806" s="100">
        <v>1.52</v>
      </c>
      <c r="Y806" s="37" t="str">
        <f>RTD("money.excel",,"2340","Price")</f>
        <v>無資料</v>
      </c>
      <c r="Z806" s="69"/>
      <c r="AA806" s="16" t="e">
        <f t="shared" si="254"/>
        <v>#VALUE!</v>
      </c>
      <c r="AB806" s="3" t="e">
        <f t="shared" si="255"/>
        <v>#VALUE!</v>
      </c>
      <c r="AC806" s="177" t="s">
        <v>2648</v>
      </c>
      <c r="AD806" s="23" t="s">
        <v>341</v>
      </c>
      <c r="AG806" s="34">
        <f t="shared" si="256"/>
        <v>0</v>
      </c>
      <c r="AH806" s="50" t="s">
        <v>3160</v>
      </c>
      <c r="AI806" s="131"/>
      <c r="AK806" s="66">
        <f t="shared" ref="AK806:AK869" si="257">AM806/(A806*10000)</f>
        <v>0</v>
      </c>
      <c r="AL806" s="174">
        <f t="shared" ref="AL806:AL869" si="258">AN806/(A806*10000)</f>
        <v>0</v>
      </c>
      <c r="AM806" s="346">
        <f>RTD("money.excel",,$G806,"PredictVolume")</f>
        <v>0</v>
      </c>
      <c r="AN806" s="272">
        <f>RTD("money.excel",,$G806,"CumulativeVolume")</f>
        <v>0</v>
      </c>
      <c r="AO806" s="284"/>
    </row>
    <row r="807" spans="1:41">
      <c r="A807" s="151" t="s">
        <v>3442</v>
      </c>
      <c r="B807" s="84">
        <v>7</v>
      </c>
      <c r="C807" s="84">
        <v>45</v>
      </c>
      <c r="D807" s="85">
        <v>-2</v>
      </c>
      <c r="E807" s="85">
        <v>-13</v>
      </c>
      <c r="F807" s="7">
        <v>-6.41</v>
      </c>
      <c r="G807" s="85">
        <v>2349</v>
      </c>
      <c r="H807" s="4" t="s">
        <v>557</v>
      </c>
      <c r="I807" s="23" t="s">
        <v>533</v>
      </c>
      <c r="J807" s="77">
        <v>19.11</v>
      </c>
      <c r="K807" s="77">
        <v>11.99</v>
      </c>
      <c r="N807" s="365">
        <f t="shared" si="251"/>
        <v>31.1</v>
      </c>
      <c r="O807" s="343">
        <f t="shared" si="252"/>
        <v>19.11</v>
      </c>
      <c r="P807" s="195" t="s">
        <v>5554</v>
      </c>
      <c r="Q807" s="326">
        <f>IFERROR(VLOOKUP($G807,主力整理!$A$2:$G$2301,6,0),"0")</f>
        <v>3</v>
      </c>
      <c r="T807" s="339">
        <f t="shared" si="253"/>
        <v>3</v>
      </c>
      <c r="W807" s="35">
        <v>0</v>
      </c>
      <c r="X807" s="100">
        <v>-1.07</v>
      </c>
      <c r="Y807" s="37" t="str">
        <f>RTD("money.excel",,"2349","Price")</f>
        <v>無資料</v>
      </c>
      <c r="Z807" s="69"/>
      <c r="AA807" s="16" t="e">
        <f t="shared" si="254"/>
        <v>#VALUE!</v>
      </c>
      <c r="AB807" s="3" t="e">
        <f t="shared" si="255"/>
        <v>#VALUE!</v>
      </c>
      <c r="AC807" s="177" t="s">
        <v>2648</v>
      </c>
      <c r="AD807" s="23" t="s">
        <v>533</v>
      </c>
      <c r="AG807" s="34">
        <f t="shared" si="256"/>
        <v>0</v>
      </c>
      <c r="AH807" s="44" t="s">
        <v>4051</v>
      </c>
      <c r="AI807" s="131"/>
      <c r="AK807" s="66">
        <f t="shared" si="257"/>
        <v>0</v>
      </c>
      <c r="AL807" s="174">
        <f t="shared" si="258"/>
        <v>0</v>
      </c>
      <c r="AM807" s="346">
        <f>RTD("money.excel",,$G807,"PredictVolume")</f>
        <v>0</v>
      </c>
      <c r="AN807" s="272">
        <f>RTD("money.excel",,$G807,"CumulativeVolume")</f>
        <v>0</v>
      </c>
      <c r="AO807" s="284"/>
    </row>
    <row r="808" spans="1:41">
      <c r="A808" s="151" t="s">
        <v>3030</v>
      </c>
      <c r="B808" s="85">
        <v>-123</v>
      </c>
      <c r="C808" s="85">
        <v>-78</v>
      </c>
      <c r="D808" s="85">
        <v>-16</v>
      </c>
      <c r="E808" s="85">
        <v>-19</v>
      </c>
      <c r="F808" s="7">
        <v>-20.57</v>
      </c>
      <c r="G808" s="85">
        <v>2374</v>
      </c>
      <c r="H808" s="4" t="s">
        <v>557</v>
      </c>
      <c r="I808" s="23" t="s">
        <v>189</v>
      </c>
      <c r="J808" s="77">
        <v>38.96</v>
      </c>
      <c r="K808" s="77">
        <v>9.1</v>
      </c>
      <c r="L808" s="77">
        <v>5.36</v>
      </c>
      <c r="N808" s="365">
        <f t="shared" si="251"/>
        <v>53.42</v>
      </c>
      <c r="O808" s="343">
        <f t="shared" si="252"/>
        <v>38.96</v>
      </c>
      <c r="P808" s="195" t="s">
        <v>5554</v>
      </c>
      <c r="Q808" s="326" t="str">
        <f>IFERROR(VLOOKUP($G808,主力整理!$A$2:$G$2301,6,0),"0")</f>
        <v>0</v>
      </c>
      <c r="T808" s="339">
        <f t="shared" si="253"/>
        <v>0</v>
      </c>
      <c r="V808" s="371">
        <v>0.02</v>
      </c>
      <c r="W808" s="35">
        <v>0.3</v>
      </c>
      <c r="X808" s="100">
        <v>-1.63</v>
      </c>
      <c r="Y808" s="37" t="str">
        <f>RTD("money.excel",,"2374","Price")</f>
        <v>無資料</v>
      </c>
      <c r="Z808" s="69"/>
      <c r="AA808" s="16" t="e">
        <f t="shared" si="254"/>
        <v>#VALUE!</v>
      </c>
      <c r="AB808" s="3" t="e">
        <f t="shared" si="255"/>
        <v>#VALUE!</v>
      </c>
      <c r="AC808" s="177" t="s">
        <v>2648</v>
      </c>
      <c r="AD808" s="23" t="s">
        <v>189</v>
      </c>
      <c r="AG808" s="34">
        <f t="shared" si="256"/>
        <v>0</v>
      </c>
      <c r="AH808" s="125" t="s">
        <v>3342</v>
      </c>
      <c r="AI808" s="131"/>
      <c r="AK808" s="66">
        <f t="shared" si="257"/>
        <v>0</v>
      </c>
      <c r="AL808" s="174">
        <f t="shared" si="258"/>
        <v>0</v>
      </c>
      <c r="AM808" s="346">
        <f>RTD("money.excel",,$G808,"PredictVolume")</f>
        <v>0</v>
      </c>
      <c r="AN808" s="272">
        <f>RTD("money.excel",,$G808,"CumulativeVolume")</f>
        <v>0</v>
      </c>
      <c r="AO808" s="284"/>
    </row>
    <row r="809" spans="1:41">
      <c r="A809" s="151" t="s">
        <v>2887</v>
      </c>
      <c r="B809" s="84">
        <v>42</v>
      </c>
      <c r="C809" s="84">
        <v>81</v>
      </c>
      <c r="D809" s="84">
        <v>65</v>
      </c>
      <c r="E809" s="84">
        <v>14</v>
      </c>
      <c r="F809" s="7">
        <v>4.93</v>
      </c>
      <c r="G809" s="85">
        <v>2393</v>
      </c>
      <c r="H809" s="4" t="s">
        <v>557</v>
      </c>
      <c r="I809" s="23" t="s">
        <v>507</v>
      </c>
      <c r="J809" s="77">
        <v>56.93</v>
      </c>
      <c r="K809" s="77">
        <v>37.369999999999997</v>
      </c>
      <c r="L809" s="77">
        <v>3.86</v>
      </c>
      <c r="N809" s="365">
        <f t="shared" si="251"/>
        <v>98.16</v>
      </c>
      <c r="O809" s="343">
        <f t="shared" si="252"/>
        <v>56.93</v>
      </c>
      <c r="P809" s="195">
        <v>7</v>
      </c>
      <c r="Q809" s="326">
        <f>IFERROR(VLOOKUP($G809,主力整理!$A$2:$G$2301,6,0),"0")</f>
        <v>6</v>
      </c>
      <c r="T809" s="339">
        <f t="shared" si="253"/>
        <v>13</v>
      </c>
      <c r="V809" s="371">
        <v>0.15</v>
      </c>
      <c r="W809" s="35">
        <v>2.25</v>
      </c>
      <c r="X809" s="100">
        <v>2.79</v>
      </c>
      <c r="Y809" s="37" t="str">
        <f>RTD("money.excel",,"2393","Price")</f>
        <v>無資料</v>
      </c>
      <c r="Z809" s="69"/>
      <c r="AA809" s="16" t="e">
        <f t="shared" si="254"/>
        <v>#VALUE!</v>
      </c>
      <c r="AB809" s="3" t="e">
        <f t="shared" si="255"/>
        <v>#VALUE!</v>
      </c>
      <c r="AC809" s="177" t="s">
        <v>2648</v>
      </c>
      <c r="AD809" s="23" t="s">
        <v>507</v>
      </c>
      <c r="AG809" s="34">
        <f t="shared" si="256"/>
        <v>0</v>
      </c>
      <c r="AH809" s="125" t="s">
        <v>3141</v>
      </c>
      <c r="AI809" s="131"/>
      <c r="AK809" s="66">
        <f t="shared" si="257"/>
        <v>0</v>
      </c>
      <c r="AL809" s="174">
        <f t="shared" si="258"/>
        <v>0</v>
      </c>
      <c r="AM809" s="346">
        <f>RTD("money.excel",,$G809,"PredictVolume")</f>
        <v>0</v>
      </c>
      <c r="AN809" s="272">
        <f>RTD("money.excel",,$G809,"CumulativeVolume")</f>
        <v>0</v>
      </c>
      <c r="AO809" s="284"/>
    </row>
    <row r="810" spans="1:41">
      <c r="A810" s="151" t="s">
        <v>3000</v>
      </c>
      <c r="B810" s="84">
        <v>97</v>
      </c>
      <c r="C810" s="84">
        <v>155</v>
      </c>
      <c r="D810" s="85">
        <v>-12</v>
      </c>
      <c r="E810" s="85">
        <v>-17</v>
      </c>
      <c r="F810" s="7">
        <v>1.86</v>
      </c>
      <c r="G810" s="85">
        <v>2406</v>
      </c>
      <c r="H810" s="4" t="s">
        <v>557</v>
      </c>
      <c r="I810" s="23" t="s">
        <v>802</v>
      </c>
      <c r="J810" s="371">
        <v>13.55</v>
      </c>
      <c r="K810" s="77">
        <v>16.309999999999999</v>
      </c>
      <c r="L810" s="77">
        <v>27.98</v>
      </c>
      <c r="N810" s="365">
        <f t="shared" si="251"/>
        <v>57.84</v>
      </c>
      <c r="O810" s="343">
        <f t="shared" si="252"/>
        <v>13.55</v>
      </c>
      <c r="P810" s="195">
        <v>1</v>
      </c>
      <c r="Q810" s="326">
        <v>18</v>
      </c>
      <c r="R810" s="111">
        <v>15</v>
      </c>
      <c r="S810" s="51">
        <v>7</v>
      </c>
      <c r="T810" s="339">
        <f t="shared" si="253"/>
        <v>41</v>
      </c>
      <c r="U810" s="329" t="s">
        <v>6538</v>
      </c>
      <c r="V810" s="371">
        <v>13.76</v>
      </c>
      <c r="W810" s="35">
        <v>0</v>
      </c>
      <c r="X810" s="100">
        <v>0.41</v>
      </c>
      <c r="Y810" s="37" t="str">
        <f>RTD("money.excel",,"2406","Price")</f>
        <v>無資料</v>
      </c>
      <c r="Z810" s="69"/>
      <c r="AA810" s="16" t="e">
        <f t="shared" si="254"/>
        <v>#VALUE!</v>
      </c>
      <c r="AB810" s="3" t="e">
        <f t="shared" si="255"/>
        <v>#VALUE!</v>
      </c>
      <c r="AC810" s="177" t="s">
        <v>2648</v>
      </c>
      <c r="AD810" s="23" t="s">
        <v>802</v>
      </c>
      <c r="AG810" s="34">
        <f t="shared" si="256"/>
        <v>0</v>
      </c>
      <c r="AH810" s="44" t="s">
        <v>4052</v>
      </c>
      <c r="AI810" s="131"/>
      <c r="AK810" s="66">
        <f t="shared" si="257"/>
        <v>0</v>
      </c>
      <c r="AL810" s="174">
        <f t="shared" si="258"/>
        <v>0</v>
      </c>
      <c r="AM810" s="346">
        <f>RTD("money.excel",,$G810,"PredictVolume")</f>
        <v>0</v>
      </c>
      <c r="AN810" s="272">
        <f>RTD("money.excel",,$G810,"CumulativeVolume")</f>
        <v>0</v>
      </c>
      <c r="AO810" s="284"/>
    </row>
    <row r="811" spans="1:41">
      <c r="A811" s="135" t="s">
        <v>2469</v>
      </c>
      <c r="B811" s="84">
        <v>965</v>
      </c>
      <c r="C811" s="84">
        <v>950</v>
      </c>
      <c r="D811" s="84">
        <v>1</v>
      </c>
      <c r="E811" s="84">
        <v>19</v>
      </c>
      <c r="F811" s="59">
        <v>18.989999999999998</v>
      </c>
      <c r="G811" s="85">
        <v>2409</v>
      </c>
      <c r="H811" s="4" t="s">
        <v>557</v>
      </c>
      <c r="I811" s="23" t="s">
        <v>384</v>
      </c>
      <c r="J811" s="371">
        <v>56.49</v>
      </c>
      <c r="K811" s="371">
        <v>32.21</v>
      </c>
      <c r="L811" s="371">
        <v>11.65</v>
      </c>
      <c r="M811" s="77">
        <v>0.36</v>
      </c>
      <c r="N811" s="365">
        <f t="shared" si="251"/>
        <v>100.71000000000001</v>
      </c>
      <c r="O811" s="343">
        <f t="shared" si="252"/>
        <v>56.85</v>
      </c>
      <c r="P811" s="195">
        <v>156</v>
      </c>
      <c r="Q811" s="326">
        <v>61</v>
      </c>
      <c r="R811" s="111">
        <v>31</v>
      </c>
      <c r="S811" s="51">
        <v>32</v>
      </c>
      <c r="T811" s="339">
        <f t="shared" si="253"/>
        <v>280</v>
      </c>
      <c r="U811" s="329" t="s">
        <v>6541</v>
      </c>
      <c r="V811" s="371">
        <v>9.9700000000000006</v>
      </c>
      <c r="W811" s="35">
        <v>0.3</v>
      </c>
      <c r="X811" s="59">
        <v>6.22</v>
      </c>
      <c r="Y811" s="37" t="str">
        <f>RTD("money.excel",,"2409","Price")</f>
        <v>無資料</v>
      </c>
      <c r="Z811" s="69"/>
      <c r="AA811" s="16" t="e">
        <f t="shared" si="254"/>
        <v>#VALUE!</v>
      </c>
      <c r="AB811" s="3" t="e">
        <f t="shared" si="255"/>
        <v>#VALUE!</v>
      </c>
      <c r="AC811" s="177" t="s">
        <v>2648</v>
      </c>
      <c r="AD811" s="23" t="s">
        <v>384</v>
      </c>
      <c r="AG811" s="34">
        <f t="shared" si="256"/>
        <v>0</v>
      </c>
      <c r="AH811" s="126" t="s">
        <v>4053</v>
      </c>
      <c r="AI811" s="131"/>
      <c r="AK811" s="66">
        <f t="shared" si="257"/>
        <v>0</v>
      </c>
      <c r="AL811" s="174">
        <f t="shared" si="258"/>
        <v>0</v>
      </c>
      <c r="AM811" s="346">
        <f>RTD("money.excel",,$G811,"PredictVolume")</f>
        <v>0</v>
      </c>
      <c r="AN811" s="272">
        <f>RTD("money.excel",,$G811,"CumulativeVolume")</f>
        <v>0</v>
      </c>
      <c r="AO811" s="284"/>
    </row>
    <row r="812" spans="1:41">
      <c r="A812" s="151" t="s">
        <v>3623</v>
      </c>
      <c r="B812" s="85">
        <v>-84</v>
      </c>
      <c r="C812" s="85">
        <v>-105</v>
      </c>
      <c r="D812" s="84">
        <v>1</v>
      </c>
      <c r="E812" s="84">
        <v>8</v>
      </c>
      <c r="F812" s="7">
        <v>-0.46</v>
      </c>
      <c r="G812" s="85">
        <v>2426</v>
      </c>
      <c r="H812" s="54" t="s">
        <v>557</v>
      </c>
      <c r="I812" s="23" t="s">
        <v>343</v>
      </c>
      <c r="J812" s="77">
        <v>31.79</v>
      </c>
      <c r="K812" s="77">
        <v>7.96</v>
      </c>
      <c r="L812" s="77">
        <v>18.77</v>
      </c>
      <c r="N812" s="365">
        <f t="shared" si="251"/>
        <v>58.519999999999996</v>
      </c>
      <c r="O812" s="343">
        <f t="shared" si="252"/>
        <v>31.79</v>
      </c>
      <c r="P812" s="195">
        <v>4</v>
      </c>
      <c r="Q812" s="326">
        <f>IFERROR(VLOOKUP($G812,主力整理!$A$2:$G$2301,6,0),"0")</f>
        <v>2</v>
      </c>
      <c r="T812" s="339">
        <f t="shared" si="253"/>
        <v>6</v>
      </c>
      <c r="V812" s="371">
        <v>7.56</v>
      </c>
      <c r="W812" s="35">
        <v>0.75</v>
      </c>
      <c r="X812" s="100">
        <v>1.02</v>
      </c>
      <c r="Y812" s="37" t="str">
        <f>RTD("money.excel",,"2426","Price")</f>
        <v>無資料</v>
      </c>
      <c r="Z812" s="69"/>
      <c r="AA812" s="16" t="e">
        <f t="shared" si="254"/>
        <v>#VALUE!</v>
      </c>
      <c r="AB812" s="3" t="e">
        <f t="shared" si="255"/>
        <v>#VALUE!</v>
      </c>
      <c r="AC812" s="177" t="s">
        <v>2648</v>
      </c>
      <c r="AD812" s="23" t="s">
        <v>343</v>
      </c>
      <c r="AG812" s="34">
        <f t="shared" si="256"/>
        <v>0</v>
      </c>
      <c r="AH812" s="127" t="s">
        <v>3453</v>
      </c>
      <c r="AI812" s="131"/>
      <c r="AK812" s="66">
        <f t="shared" si="257"/>
        <v>0</v>
      </c>
      <c r="AL812" s="174">
        <f t="shared" si="258"/>
        <v>0</v>
      </c>
      <c r="AM812" s="346">
        <f>RTD("money.excel",,$G812,"PredictVolume")</f>
        <v>0</v>
      </c>
      <c r="AN812" s="272">
        <f>RTD("money.excel",,$G812,"CumulativeVolume")</f>
        <v>0</v>
      </c>
      <c r="AO812" s="284"/>
    </row>
    <row r="813" spans="1:41">
      <c r="A813" s="151" t="s">
        <v>4791</v>
      </c>
      <c r="B813" s="96">
        <v>116</v>
      </c>
      <c r="C813" s="96">
        <v>-78</v>
      </c>
      <c r="D813" s="96">
        <v>27</v>
      </c>
      <c r="E813" s="96">
        <v>47</v>
      </c>
      <c r="F813" s="7">
        <v>1.87</v>
      </c>
      <c r="G813" s="85">
        <v>2438</v>
      </c>
      <c r="H813" s="4" t="s">
        <v>557</v>
      </c>
      <c r="I813" s="23" t="s">
        <v>3578</v>
      </c>
      <c r="J813" s="77">
        <v>70.260000000000005</v>
      </c>
      <c r="K813" s="77">
        <v>0.06</v>
      </c>
      <c r="N813" s="365">
        <f t="shared" si="251"/>
        <v>70.320000000000007</v>
      </c>
      <c r="O813" s="343">
        <f t="shared" si="252"/>
        <v>70.260000000000005</v>
      </c>
      <c r="P813" s="195" t="s">
        <v>5554</v>
      </c>
      <c r="Q813" s="326" t="str">
        <f>IFERROR(VLOOKUP($G813,主力整理!$A$2:$G$2301,6,0),"0")</f>
        <v>0</v>
      </c>
      <c r="T813" s="339">
        <f t="shared" si="253"/>
        <v>0</v>
      </c>
      <c r="V813" s="371">
        <v>46.05</v>
      </c>
      <c r="W813" s="35">
        <v>0</v>
      </c>
      <c r="X813" s="100">
        <v>0.05</v>
      </c>
      <c r="Y813" s="14" t="str">
        <f>RTD("money.excel",,"2438","Price")</f>
        <v>無資料</v>
      </c>
      <c r="Z813" s="69"/>
      <c r="AA813" s="16" t="e">
        <f t="shared" si="254"/>
        <v>#VALUE!</v>
      </c>
      <c r="AB813" s="3" t="e">
        <f t="shared" si="255"/>
        <v>#VALUE!</v>
      </c>
      <c r="AD813" s="23" t="s">
        <v>3578</v>
      </c>
      <c r="AG813" s="34">
        <f t="shared" si="256"/>
        <v>0</v>
      </c>
      <c r="AH813" s="44" t="s">
        <v>4054</v>
      </c>
      <c r="AI813" s="131"/>
      <c r="AK813" s="66">
        <f t="shared" si="257"/>
        <v>0</v>
      </c>
      <c r="AL813" s="174">
        <f t="shared" si="258"/>
        <v>0</v>
      </c>
      <c r="AM813" s="346">
        <f>RTD("money.excel",,$G813,"PredictVolume")</f>
        <v>0</v>
      </c>
      <c r="AN813" s="272">
        <f>RTD("money.excel",,$G813,"CumulativeVolume")</f>
        <v>0</v>
      </c>
      <c r="AO813" s="284"/>
    </row>
    <row r="814" spans="1:41">
      <c r="A814" s="151" t="s">
        <v>2792</v>
      </c>
      <c r="B814" s="96">
        <v>912</v>
      </c>
      <c r="C814" s="96">
        <v>-173</v>
      </c>
      <c r="D814" s="96">
        <v>-17</v>
      </c>
      <c r="E814" s="96">
        <v>53</v>
      </c>
      <c r="F814" s="7">
        <v>2.44</v>
      </c>
      <c r="G814" s="85">
        <v>2466</v>
      </c>
      <c r="H814" s="4" t="s">
        <v>557</v>
      </c>
      <c r="I814" s="23" t="s">
        <v>803</v>
      </c>
      <c r="J814" s="77">
        <v>96.04</v>
      </c>
      <c r="K814" s="77">
        <v>12.37</v>
      </c>
      <c r="L814" s="77">
        <v>8.59</v>
      </c>
      <c r="N814" s="365">
        <f t="shared" si="251"/>
        <v>117.00000000000001</v>
      </c>
      <c r="O814" s="343">
        <f t="shared" si="252"/>
        <v>96.04</v>
      </c>
      <c r="P814" s="195" t="s">
        <v>5554</v>
      </c>
      <c r="Q814" s="326" t="str">
        <f>IFERROR(VLOOKUP($G814,主力整理!$A$2:$G$2301,6,0),"0")</f>
        <v>0</v>
      </c>
      <c r="T814" s="339">
        <f t="shared" si="253"/>
        <v>0</v>
      </c>
      <c r="V814" s="371">
        <v>10.44</v>
      </c>
      <c r="W814" s="35">
        <v>0</v>
      </c>
      <c r="X814" s="100">
        <v>0.04</v>
      </c>
      <c r="Y814" s="14" t="str">
        <f>RTD("money.excel",,"2466","Price")</f>
        <v>無資料</v>
      </c>
      <c r="Z814" s="69"/>
      <c r="AA814" s="16" t="e">
        <f t="shared" si="254"/>
        <v>#VALUE!</v>
      </c>
      <c r="AB814" s="3" t="e">
        <f t="shared" si="255"/>
        <v>#VALUE!</v>
      </c>
      <c r="AD814" s="23" t="s">
        <v>803</v>
      </c>
      <c r="AG814" s="34">
        <f t="shared" si="256"/>
        <v>0</v>
      </c>
      <c r="AH814" s="44" t="s">
        <v>4055</v>
      </c>
      <c r="AI814" s="131"/>
      <c r="AK814" s="66">
        <f t="shared" si="257"/>
        <v>0</v>
      </c>
      <c r="AL814" s="174">
        <f t="shared" si="258"/>
        <v>0</v>
      </c>
      <c r="AM814" s="346">
        <f>RTD("money.excel",,$G814,"PredictVolume")</f>
        <v>0</v>
      </c>
      <c r="AN814" s="272">
        <f>RTD("money.excel",,$G814,"CumulativeVolume")</f>
        <v>0</v>
      </c>
      <c r="AO814" s="284"/>
    </row>
    <row r="815" spans="1:41">
      <c r="A815" s="151" t="s">
        <v>4792</v>
      </c>
      <c r="B815" s="84">
        <v>400</v>
      </c>
      <c r="C815" s="84">
        <v>905</v>
      </c>
      <c r="D815" s="84">
        <v>1</v>
      </c>
      <c r="E815" s="84">
        <v>46</v>
      </c>
      <c r="F815" s="7">
        <v>9.85</v>
      </c>
      <c r="G815" s="85">
        <v>2486</v>
      </c>
      <c r="H815" s="4" t="s">
        <v>557</v>
      </c>
      <c r="I815" s="23" t="s">
        <v>603</v>
      </c>
      <c r="J815" s="371">
        <v>33.33</v>
      </c>
      <c r="K815" s="371">
        <v>2.9</v>
      </c>
      <c r="L815" s="371">
        <v>41.72</v>
      </c>
      <c r="N815" s="365">
        <f t="shared" si="251"/>
        <v>77.949999999999989</v>
      </c>
      <c r="O815" s="343">
        <f t="shared" si="252"/>
        <v>33.33</v>
      </c>
      <c r="P815" s="232">
        <v>1</v>
      </c>
      <c r="Q815" s="326">
        <f>IFERROR(VLOOKUP($G815,主力整理!$A$2:$G$2301,6,0),"0")</f>
        <v>2</v>
      </c>
      <c r="R815" s="111">
        <v>17</v>
      </c>
      <c r="S815" s="51">
        <v>2</v>
      </c>
      <c r="T815" s="339">
        <f t="shared" si="253"/>
        <v>22</v>
      </c>
      <c r="V815" s="371">
        <v>7.82</v>
      </c>
      <c r="W815" s="35">
        <v>0</v>
      </c>
      <c r="X815" s="100">
        <v>0.67</v>
      </c>
      <c r="Y815" s="37" t="str">
        <f>RTD("money.excel",,"2486","Price")</f>
        <v>無資料</v>
      </c>
      <c r="Z815" s="69"/>
      <c r="AA815" s="16" t="e">
        <f t="shared" si="254"/>
        <v>#VALUE!</v>
      </c>
      <c r="AB815" s="3" t="e">
        <f t="shared" si="255"/>
        <v>#VALUE!</v>
      </c>
      <c r="AC815" s="177" t="s">
        <v>2648</v>
      </c>
      <c r="AD815" s="23" t="s">
        <v>603</v>
      </c>
      <c r="AG815" s="34">
        <f t="shared" si="256"/>
        <v>0</v>
      </c>
      <c r="AH815" s="44" t="s">
        <v>4056</v>
      </c>
      <c r="AI815" s="131"/>
      <c r="AK815" s="66">
        <f t="shared" si="257"/>
        <v>0</v>
      </c>
      <c r="AL815" s="174">
        <f t="shared" si="258"/>
        <v>0</v>
      </c>
      <c r="AM815" s="346">
        <f>RTD("money.excel",,$G815,"PredictVolume")</f>
        <v>0</v>
      </c>
      <c r="AN815" s="272">
        <f>RTD("money.excel",,$G815,"CumulativeVolume")</f>
        <v>0</v>
      </c>
      <c r="AO815" s="284"/>
    </row>
    <row r="816" spans="1:41">
      <c r="A816" s="151">
        <v>80.900000000000006</v>
      </c>
      <c r="B816" s="85">
        <v>-25</v>
      </c>
      <c r="C816" s="99">
        <v>-1159</v>
      </c>
      <c r="D816" s="85">
        <v>-1</v>
      </c>
      <c r="E816" s="84">
        <v>24</v>
      </c>
      <c r="F816" s="7">
        <v>-3.27</v>
      </c>
      <c r="G816" s="85">
        <v>2489</v>
      </c>
      <c r="H816" s="54" t="s">
        <v>557</v>
      </c>
      <c r="I816" s="163" t="s">
        <v>1</v>
      </c>
      <c r="J816" s="77">
        <v>26.79</v>
      </c>
      <c r="K816" s="371">
        <v>13.68</v>
      </c>
      <c r="L816" s="371">
        <v>3.51</v>
      </c>
      <c r="N816" s="365">
        <f t="shared" si="251"/>
        <v>43.98</v>
      </c>
      <c r="O816" s="343">
        <f t="shared" si="252"/>
        <v>26.79</v>
      </c>
      <c r="P816" s="195">
        <v>3</v>
      </c>
      <c r="Q816" s="326">
        <f>IFERROR(VLOOKUP($G816,主力整理!$A$2:$G$2301,6,0),"0")</f>
        <v>9</v>
      </c>
      <c r="R816" s="111">
        <v>7</v>
      </c>
      <c r="T816" s="339">
        <f t="shared" si="253"/>
        <v>19</v>
      </c>
      <c r="V816" s="371">
        <v>0.24</v>
      </c>
      <c r="W816" s="205">
        <v>0</v>
      </c>
      <c r="X816" s="100">
        <v>0.68</v>
      </c>
      <c r="Y816" s="37" t="str">
        <f>RTD("money.excel",,"2489","Price")</f>
        <v>無資料</v>
      </c>
      <c r="Z816" s="69"/>
      <c r="AA816" s="16" t="e">
        <f t="shared" si="254"/>
        <v>#VALUE!</v>
      </c>
      <c r="AB816" s="3" t="e">
        <f t="shared" si="255"/>
        <v>#VALUE!</v>
      </c>
      <c r="AC816" s="177" t="s">
        <v>2648</v>
      </c>
      <c r="AD816" s="23" t="s">
        <v>1</v>
      </c>
      <c r="AG816" s="34">
        <f t="shared" si="256"/>
        <v>0</v>
      </c>
      <c r="AH816" s="125" t="s">
        <v>4057</v>
      </c>
      <c r="AI816" s="131"/>
      <c r="AK816" s="66">
        <f t="shared" si="257"/>
        <v>0</v>
      </c>
      <c r="AL816" s="174">
        <f t="shared" si="258"/>
        <v>0</v>
      </c>
      <c r="AM816" s="346">
        <f>RTD("money.excel",,$G816,"PredictVolume")</f>
        <v>0</v>
      </c>
      <c r="AN816" s="272">
        <f>RTD("money.excel",,$G816,"CumulativeVolume")</f>
        <v>0</v>
      </c>
      <c r="AO816" s="284"/>
    </row>
    <row r="817" spans="1:41">
      <c r="A817" s="151" t="s">
        <v>4656</v>
      </c>
      <c r="B817" s="96">
        <v>-879</v>
      </c>
      <c r="C817" s="96">
        <v>-183</v>
      </c>
      <c r="D817" s="96">
        <v>-65</v>
      </c>
      <c r="E817" s="96">
        <v>58</v>
      </c>
      <c r="F817" s="7">
        <v>-24.42</v>
      </c>
      <c r="G817" s="85">
        <v>2491</v>
      </c>
      <c r="H817" s="4" t="s">
        <v>557</v>
      </c>
      <c r="I817" s="23" t="s">
        <v>804</v>
      </c>
      <c r="J817" s="77">
        <v>74.98</v>
      </c>
      <c r="K817" s="77">
        <v>8.06</v>
      </c>
      <c r="N817" s="365">
        <f t="shared" si="251"/>
        <v>83.04</v>
      </c>
      <c r="O817" s="343">
        <f t="shared" si="252"/>
        <v>74.98</v>
      </c>
      <c r="P817" s="195" t="s">
        <v>5554</v>
      </c>
      <c r="Q817" s="326" t="str">
        <f>IFERROR(VLOOKUP($G817,主力整理!$A$2:$G$2301,6,0),"0")</f>
        <v>0</v>
      </c>
      <c r="T817" s="339">
        <f t="shared" si="253"/>
        <v>0</v>
      </c>
      <c r="V817" s="371">
        <v>43.24</v>
      </c>
      <c r="W817" s="35">
        <v>0.4</v>
      </c>
      <c r="X817" s="100">
        <v>1.5</v>
      </c>
      <c r="Y817" s="14" t="str">
        <f>RTD("money.excel",,"2491","Price")</f>
        <v>無資料</v>
      </c>
      <c r="Z817" s="69"/>
      <c r="AA817" s="16" t="e">
        <f t="shared" si="254"/>
        <v>#VALUE!</v>
      </c>
      <c r="AB817" s="3" t="e">
        <f t="shared" si="255"/>
        <v>#VALUE!</v>
      </c>
      <c r="AD817" s="23" t="s">
        <v>804</v>
      </c>
      <c r="AG817" s="34">
        <f t="shared" si="256"/>
        <v>0</v>
      </c>
      <c r="AH817" s="44" t="s">
        <v>3839</v>
      </c>
      <c r="AI817" s="131"/>
      <c r="AK817" s="66">
        <f t="shared" si="257"/>
        <v>0</v>
      </c>
      <c r="AL817" s="174">
        <f t="shared" si="258"/>
        <v>0</v>
      </c>
      <c r="AM817" s="346">
        <f>RTD("money.excel",,$G817,"PredictVolume")</f>
        <v>0</v>
      </c>
      <c r="AN817" s="272">
        <f>RTD("money.excel",,$G817,"CumulativeVolume")</f>
        <v>0</v>
      </c>
      <c r="AO817" s="284"/>
    </row>
    <row r="818" spans="1:41">
      <c r="A818" s="135" t="s">
        <v>2481</v>
      </c>
      <c r="B818" s="85">
        <v>-22</v>
      </c>
      <c r="C818" s="85">
        <v>-27</v>
      </c>
      <c r="D818" s="84">
        <v>3</v>
      </c>
      <c r="E818" s="85">
        <v>-16</v>
      </c>
      <c r="F818" s="59">
        <v>50.63</v>
      </c>
      <c r="G818" s="85">
        <v>3008</v>
      </c>
      <c r="H818" s="11" t="s">
        <v>557</v>
      </c>
      <c r="I818" s="23" t="s">
        <v>7</v>
      </c>
      <c r="J818" s="209">
        <v>44.92</v>
      </c>
      <c r="K818" s="77">
        <v>42.03</v>
      </c>
      <c r="L818" s="77">
        <v>5.88</v>
      </c>
      <c r="M818" s="77">
        <v>28.45</v>
      </c>
      <c r="N818" s="365">
        <f t="shared" si="251"/>
        <v>121.28</v>
      </c>
      <c r="O818" s="343">
        <f t="shared" si="252"/>
        <v>73.37</v>
      </c>
      <c r="P818" s="195">
        <v>90</v>
      </c>
      <c r="Q818" s="326">
        <v>6</v>
      </c>
      <c r="R818" s="111">
        <v>8</v>
      </c>
      <c r="S818" s="51">
        <v>11</v>
      </c>
      <c r="T818" s="339">
        <f t="shared" si="253"/>
        <v>115</v>
      </c>
      <c r="U818" s="329" t="s">
        <v>6539</v>
      </c>
      <c r="V818" s="371">
        <v>2.9</v>
      </c>
      <c r="W818" s="230">
        <v>31</v>
      </c>
      <c r="X818" s="100">
        <v>152.77000000000001</v>
      </c>
      <c r="Y818" s="67" t="str">
        <f>RTD("money.excel",,"3008","Price")</f>
        <v>無資料</v>
      </c>
      <c r="Z818" s="68"/>
      <c r="AA818" s="146" t="e">
        <f t="shared" si="254"/>
        <v>#VALUE!</v>
      </c>
      <c r="AB818" s="3" t="e">
        <f t="shared" si="255"/>
        <v>#VALUE!</v>
      </c>
      <c r="AC818" s="177" t="s">
        <v>2929</v>
      </c>
      <c r="AD818" s="23" t="s">
        <v>7</v>
      </c>
      <c r="AG818" s="34">
        <f t="shared" si="256"/>
        <v>0</v>
      </c>
      <c r="AH818" s="63" t="s">
        <v>4031</v>
      </c>
      <c r="AI818" s="131"/>
      <c r="AK818" s="66">
        <f t="shared" si="257"/>
        <v>0</v>
      </c>
      <c r="AL818" s="174">
        <f t="shared" si="258"/>
        <v>0</v>
      </c>
      <c r="AM818" s="346">
        <f>RTD("money.excel",,$G818,"PredictVolume")</f>
        <v>0</v>
      </c>
      <c r="AN818" s="272">
        <f>RTD("money.excel",,$G818,"CumulativeVolume")</f>
        <v>0</v>
      </c>
      <c r="AO818" s="284"/>
    </row>
    <row r="819" spans="1:41">
      <c r="A819" s="151" t="s">
        <v>2671</v>
      </c>
      <c r="B819" s="85">
        <v>-73</v>
      </c>
      <c r="C819" s="85">
        <v>-71</v>
      </c>
      <c r="D819" s="85">
        <v>-1</v>
      </c>
      <c r="E819" s="85">
        <v>-13</v>
      </c>
      <c r="F819" s="7">
        <v>2.8</v>
      </c>
      <c r="G819" s="85">
        <v>3019</v>
      </c>
      <c r="H819" s="53" t="s">
        <v>557</v>
      </c>
      <c r="I819" s="23" t="s">
        <v>97</v>
      </c>
      <c r="J819" s="77">
        <v>41.24</v>
      </c>
      <c r="K819" s="77">
        <v>9.09</v>
      </c>
      <c r="L819" s="77">
        <v>19.05</v>
      </c>
      <c r="N819" s="365">
        <f t="shared" si="251"/>
        <v>69.38</v>
      </c>
      <c r="O819" s="343">
        <f t="shared" si="252"/>
        <v>41.24</v>
      </c>
      <c r="P819" s="195">
        <v>2</v>
      </c>
      <c r="Q819" s="326">
        <f>IFERROR(VLOOKUP($G819,主力整理!$A$2:$G$2301,6,0),"0")</f>
        <v>2</v>
      </c>
      <c r="T819" s="339">
        <f t="shared" si="253"/>
        <v>4</v>
      </c>
      <c r="V819" s="371">
        <v>0.64</v>
      </c>
      <c r="W819" s="35">
        <v>1</v>
      </c>
      <c r="X819" s="100">
        <v>1.41</v>
      </c>
      <c r="Y819" s="37" t="str">
        <f>RTD("money.excel",,"3019","Price")</f>
        <v>無資料</v>
      </c>
      <c r="Z819" s="69"/>
      <c r="AA819" s="16" t="e">
        <f t="shared" si="254"/>
        <v>#VALUE!</v>
      </c>
      <c r="AB819" s="3" t="e">
        <f t="shared" si="255"/>
        <v>#VALUE!</v>
      </c>
      <c r="AC819" s="177" t="s">
        <v>2648</v>
      </c>
      <c r="AD819" s="23" t="s">
        <v>97</v>
      </c>
      <c r="AG819" s="34">
        <f t="shared" si="256"/>
        <v>0</v>
      </c>
      <c r="AH819" s="125" t="s">
        <v>3225</v>
      </c>
      <c r="AI819" s="131"/>
      <c r="AK819" s="66">
        <f t="shared" si="257"/>
        <v>0</v>
      </c>
      <c r="AL819" s="174">
        <f t="shared" si="258"/>
        <v>0</v>
      </c>
      <c r="AM819" s="346">
        <f>RTD("money.excel",,$G819,"PredictVolume")</f>
        <v>0</v>
      </c>
      <c r="AN819" s="272">
        <f>RTD("money.excel",,$G819,"CumulativeVolume")</f>
        <v>0</v>
      </c>
      <c r="AO819" s="284"/>
    </row>
    <row r="820" spans="1:41">
      <c r="A820" s="151" t="s">
        <v>3628</v>
      </c>
      <c r="B820" s="96">
        <v>14</v>
      </c>
      <c r="C820" s="96">
        <v>31</v>
      </c>
      <c r="D820" s="96">
        <v>78</v>
      </c>
      <c r="E820" s="96">
        <v>59</v>
      </c>
      <c r="F820" s="7">
        <v>3.92</v>
      </c>
      <c r="G820" s="85">
        <v>3024</v>
      </c>
      <c r="H820" s="4" t="s">
        <v>557</v>
      </c>
      <c r="I820" s="23" t="s">
        <v>805</v>
      </c>
      <c r="J820" s="371">
        <v>51.78</v>
      </c>
      <c r="K820" s="371">
        <v>1.33</v>
      </c>
      <c r="L820" s="371">
        <v>0</v>
      </c>
      <c r="N820" s="365">
        <f t="shared" si="251"/>
        <v>53.11</v>
      </c>
      <c r="O820" s="343">
        <f t="shared" si="252"/>
        <v>51.78</v>
      </c>
      <c r="P820" s="195" t="s">
        <v>5554</v>
      </c>
      <c r="Q820" s="326" t="str">
        <f>IFERROR(VLOOKUP($G820,主力整理!$A$2:$G$2301,6,0),"0")</f>
        <v>0</v>
      </c>
      <c r="T820" s="339">
        <f t="shared" si="253"/>
        <v>0</v>
      </c>
      <c r="V820" s="371">
        <v>18.03</v>
      </c>
      <c r="W820" s="35">
        <v>0.1</v>
      </c>
      <c r="X820" s="100">
        <v>0.17</v>
      </c>
      <c r="Y820" s="14" t="str">
        <f>RTD("money.excel",,"3024","Price")</f>
        <v>無資料</v>
      </c>
      <c r="Z820" s="69"/>
      <c r="AA820" s="16" t="e">
        <f t="shared" si="254"/>
        <v>#VALUE!</v>
      </c>
      <c r="AB820" s="3" t="e">
        <f t="shared" si="255"/>
        <v>#VALUE!</v>
      </c>
      <c r="AD820" s="23" t="s">
        <v>805</v>
      </c>
      <c r="AG820" s="34">
        <f t="shared" si="256"/>
        <v>0</v>
      </c>
      <c r="AH820" s="44" t="s">
        <v>4058</v>
      </c>
      <c r="AI820" s="131"/>
      <c r="AK820" s="66">
        <f t="shared" si="257"/>
        <v>0</v>
      </c>
      <c r="AL820" s="174">
        <f t="shared" si="258"/>
        <v>0</v>
      </c>
      <c r="AM820" s="346">
        <f>RTD("money.excel",,$G820,"PredictVolume")</f>
        <v>0</v>
      </c>
      <c r="AN820" s="272">
        <f>RTD("money.excel",,$G820,"CumulativeVolume")</f>
        <v>0</v>
      </c>
      <c r="AO820" s="284"/>
    </row>
    <row r="821" spans="1:41">
      <c r="A821" s="151" t="s">
        <v>2511</v>
      </c>
      <c r="B821" s="84">
        <v>218</v>
      </c>
      <c r="C821" s="84">
        <v>657</v>
      </c>
      <c r="D821" s="85">
        <v>-7</v>
      </c>
      <c r="E821" s="85">
        <v>-8</v>
      </c>
      <c r="F821" s="7">
        <v>8.02</v>
      </c>
      <c r="G821" s="85">
        <v>3031</v>
      </c>
      <c r="H821" s="4" t="s">
        <v>557</v>
      </c>
      <c r="I821" s="23" t="s">
        <v>806</v>
      </c>
      <c r="J821" s="77">
        <v>59.66</v>
      </c>
      <c r="K821" s="77">
        <v>3.12</v>
      </c>
      <c r="L821" s="371">
        <v>3.28</v>
      </c>
      <c r="N821" s="365">
        <f t="shared" si="251"/>
        <v>66.059999999999988</v>
      </c>
      <c r="O821" s="343">
        <f t="shared" si="252"/>
        <v>59.66</v>
      </c>
      <c r="P821" s="195" t="s">
        <v>5554</v>
      </c>
      <c r="Q821" s="326" t="str">
        <f>IFERROR(VLOOKUP($G821,主力整理!$A$2:$G$2301,6,0),"0")</f>
        <v>0</v>
      </c>
      <c r="T821" s="339">
        <f t="shared" si="253"/>
        <v>0</v>
      </c>
      <c r="V821" s="371">
        <v>49.38</v>
      </c>
      <c r="W821" s="35">
        <v>0.8</v>
      </c>
      <c r="X821" s="59">
        <v>0.74</v>
      </c>
      <c r="Y821" s="37" t="str">
        <f>RTD("money.excel",,"3031","Price")</f>
        <v>無資料</v>
      </c>
      <c r="Z821" s="69"/>
      <c r="AA821" s="16" t="e">
        <f t="shared" si="254"/>
        <v>#VALUE!</v>
      </c>
      <c r="AB821" s="3" t="e">
        <f t="shared" si="255"/>
        <v>#VALUE!</v>
      </c>
      <c r="AC821" s="177" t="s">
        <v>2648</v>
      </c>
      <c r="AD821" s="23" t="s">
        <v>806</v>
      </c>
      <c r="AG821" s="34">
        <f t="shared" si="256"/>
        <v>0</v>
      </c>
      <c r="AH821" s="44" t="s">
        <v>3833</v>
      </c>
      <c r="AI821" s="131"/>
      <c r="AK821" s="66">
        <f t="shared" si="257"/>
        <v>0</v>
      </c>
      <c r="AL821" s="174">
        <f t="shared" si="258"/>
        <v>0</v>
      </c>
      <c r="AM821" s="346">
        <f>RTD("money.excel",,$G821,"PredictVolume")</f>
        <v>0</v>
      </c>
      <c r="AN821" s="272">
        <f>RTD("money.excel",,$G821,"CumulativeVolume")</f>
        <v>0</v>
      </c>
      <c r="AO821" s="284"/>
    </row>
    <row r="822" spans="1:41">
      <c r="A822" s="151" t="s">
        <v>2628</v>
      </c>
      <c r="B822" s="84">
        <v>-8</v>
      </c>
      <c r="C822" s="84">
        <v>17</v>
      </c>
      <c r="D822" s="84">
        <v>9</v>
      </c>
      <c r="E822" s="85">
        <v>-15</v>
      </c>
      <c r="F822" s="7">
        <v>9.36</v>
      </c>
      <c r="G822" s="85">
        <v>3038</v>
      </c>
      <c r="H822" s="4" t="s">
        <v>557</v>
      </c>
      <c r="I822" s="23" t="s">
        <v>807</v>
      </c>
      <c r="J822" s="77">
        <v>26.62</v>
      </c>
      <c r="K822" s="77">
        <v>1.93</v>
      </c>
      <c r="L822" s="77">
        <v>22.17</v>
      </c>
      <c r="N822" s="365">
        <f t="shared" si="251"/>
        <v>50.72</v>
      </c>
      <c r="O822" s="343">
        <f t="shared" si="252"/>
        <v>26.62</v>
      </c>
      <c r="P822" s="195" t="s">
        <v>5554</v>
      </c>
      <c r="Q822" s="326" t="str">
        <f>IFERROR(VLOOKUP($G822,主力整理!$A$2:$G$2301,6,0),"0")</f>
        <v>0</v>
      </c>
      <c r="T822" s="339">
        <f t="shared" si="253"/>
        <v>0</v>
      </c>
      <c r="V822" s="371">
        <v>0.18</v>
      </c>
      <c r="W822" s="35">
        <v>1.2</v>
      </c>
      <c r="X822" s="100">
        <v>1.57</v>
      </c>
      <c r="Y822" s="37" t="str">
        <f>RTD("money.excel",,"3038","Price")</f>
        <v>無資料</v>
      </c>
      <c r="Z822" s="69"/>
      <c r="AA822" s="16" t="e">
        <f t="shared" si="254"/>
        <v>#VALUE!</v>
      </c>
      <c r="AB822" s="3" t="e">
        <f t="shared" si="255"/>
        <v>#VALUE!</v>
      </c>
      <c r="AC822" s="177" t="s">
        <v>2648</v>
      </c>
      <c r="AD822" s="23" t="s">
        <v>807</v>
      </c>
      <c r="AG822" s="34">
        <f t="shared" si="256"/>
        <v>0</v>
      </c>
      <c r="AH822" s="44" t="s">
        <v>3455</v>
      </c>
      <c r="AI822" s="131"/>
      <c r="AK822" s="66">
        <f t="shared" si="257"/>
        <v>0</v>
      </c>
      <c r="AL822" s="174">
        <f t="shared" si="258"/>
        <v>0</v>
      </c>
      <c r="AM822" s="346">
        <f>RTD("money.excel",,$G822,"PredictVolume")</f>
        <v>0</v>
      </c>
      <c r="AN822" s="272">
        <f>RTD("money.excel",,$G822,"CumulativeVolume")</f>
        <v>0</v>
      </c>
      <c r="AO822" s="284"/>
    </row>
    <row r="823" spans="1:41">
      <c r="A823" s="151" t="s">
        <v>3347</v>
      </c>
      <c r="B823" s="85">
        <v>-82</v>
      </c>
      <c r="C823" s="85">
        <v>-82</v>
      </c>
      <c r="D823" s="84">
        <v>54</v>
      </c>
      <c r="E823" s="84">
        <v>3</v>
      </c>
      <c r="F823" s="7">
        <v>7.97</v>
      </c>
      <c r="G823" s="85">
        <v>3049</v>
      </c>
      <c r="H823" s="4" t="s">
        <v>557</v>
      </c>
      <c r="I823" s="23" t="s">
        <v>437</v>
      </c>
      <c r="J823" s="77">
        <v>48.42</v>
      </c>
      <c r="K823" s="77">
        <v>9.7100000000000009</v>
      </c>
      <c r="L823" s="77">
        <v>13.92</v>
      </c>
      <c r="N823" s="365">
        <f t="shared" si="251"/>
        <v>72.05</v>
      </c>
      <c r="O823" s="343">
        <f t="shared" si="252"/>
        <v>48.42</v>
      </c>
      <c r="P823" s="195" t="s">
        <v>5554</v>
      </c>
      <c r="Q823" s="326">
        <f>IFERROR(VLOOKUP($G823,主力整理!$A$2:$G$2301,6,0),"0")</f>
        <v>3</v>
      </c>
      <c r="T823" s="339">
        <f t="shared" si="253"/>
        <v>3</v>
      </c>
      <c r="V823" s="371">
        <v>0.24</v>
      </c>
      <c r="W823" s="35">
        <v>0.39</v>
      </c>
      <c r="X823" s="100">
        <v>0.43</v>
      </c>
      <c r="Y823" s="37" t="str">
        <f>RTD("money.excel",,"3049","Price")</f>
        <v>無資料</v>
      </c>
      <c r="Z823" s="69"/>
      <c r="AA823" s="16" t="e">
        <f t="shared" si="254"/>
        <v>#VALUE!</v>
      </c>
      <c r="AB823" s="3" t="e">
        <f t="shared" si="255"/>
        <v>#VALUE!</v>
      </c>
      <c r="AC823" s="177" t="s">
        <v>2648</v>
      </c>
      <c r="AD823" s="23" t="s">
        <v>437</v>
      </c>
      <c r="AG823" s="34">
        <f t="shared" si="256"/>
        <v>0</v>
      </c>
      <c r="AH823" s="125" t="s">
        <v>2245</v>
      </c>
      <c r="AI823" s="131"/>
      <c r="AK823" s="66">
        <f t="shared" si="257"/>
        <v>0</v>
      </c>
      <c r="AL823" s="174">
        <f t="shared" si="258"/>
        <v>0</v>
      </c>
      <c r="AM823" s="346">
        <f>RTD("money.excel",,$G823,"PredictVolume")</f>
        <v>0</v>
      </c>
      <c r="AN823" s="272">
        <f>RTD("money.excel",,$G823,"CumulativeVolume")</f>
        <v>0</v>
      </c>
      <c r="AO823" s="284"/>
    </row>
    <row r="824" spans="1:41">
      <c r="A824" s="135" t="s">
        <v>2502</v>
      </c>
      <c r="B824" s="84">
        <v>13</v>
      </c>
      <c r="C824" s="85">
        <v>-19</v>
      </c>
      <c r="D824" s="84">
        <v>5</v>
      </c>
      <c r="E824" s="85">
        <v>-8</v>
      </c>
      <c r="F824" s="59">
        <v>14.32</v>
      </c>
      <c r="G824" s="85">
        <v>3050</v>
      </c>
      <c r="H824" s="4" t="s">
        <v>557</v>
      </c>
      <c r="I824" s="23" t="s">
        <v>808</v>
      </c>
      <c r="J824" s="77">
        <v>43.74</v>
      </c>
      <c r="K824" s="77">
        <v>7.01</v>
      </c>
      <c r="L824" s="371">
        <v>18.53</v>
      </c>
      <c r="N824" s="365">
        <f t="shared" si="251"/>
        <v>69.28</v>
      </c>
      <c r="O824" s="343">
        <f t="shared" si="252"/>
        <v>43.74</v>
      </c>
      <c r="P824" s="195" t="s">
        <v>5554</v>
      </c>
      <c r="Q824" s="326">
        <f>IFERROR(VLOOKUP($G824,主力整理!$A$2:$G$2301,6,0),"0")</f>
        <v>5</v>
      </c>
      <c r="R824" s="111">
        <v>10</v>
      </c>
      <c r="S824" s="51">
        <v>0</v>
      </c>
      <c r="T824" s="339">
        <f t="shared" si="253"/>
        <v>15</v>
      </c>
      <c r="V824" s="371">
        <v>0.06</v>
      </c>
      <c r="W824" s="35">
        <v>0.6</v>
      </c>
      <c r="X824" s="100">
        <v>0.84</v>
      </c>
      <c r="Y824" s="37" t="str">
        <f>RTD("money.excel",,"3050","Price")</f>
        <v>無資料</v>
      </c>
      <c r="Z824" s="69"/>
      <c r="AA824" s="16" t="e">
        <f t="shared" si="254"/>
        <v>#VALUE!</v>
      </c>
      <c r="AB824" s="3" t="e">
        <f t="shared" si="255"/>
        <v>#VALUE!</v>
      </c>
      <c r="AC824" s="177" t="s">
        <v>2648</v>
      </c>
      <c r="AD824" s="23" t="s">
        <v>808</v>
      </c>
      <c r="AG824" s="34">
        <f t="shared" si="256"/>
        <v>0</v>
      </c>
      <c r="AH824" s="63" t="s">
        <v>3443</v>
      </c>
      <c r="AI824" s="131"/>
      <c r="AK824" s="66">
        <f t="shared" si="257"/>
        <v>0</v>
      </c>
      <c r="AL824" s="174">
        <f t="shared" si="258"/>
        <v>0</v>
      </c>
      <c r="AM824" s="346">
        <f>RTD("money.excel",,$G824,"PredictVolume")</f>
        <v>0</v>
      </c>
      <c r="AN824" s="272">
        <f>RTD("money.excel",,$G824,"CumulativeVolume")</f>
        <v>0</v>
      </c>
      <c r="AO824" s="284"/>
    </row>
    <row r="825" spans="1:41">
      <c r="A825" s="135" t="s">
        <v>3009</v>
      </c>
      <c r="B825" s="98">
        <v>2049</v>
      </c>
      <c r="C825" s="84">
        <v>324</v>
      </c>
      <c r="D825" s="84">
        <v>6</v>
      </c>
      <c r="E825" s="84">
        <v>47</v>
      </c>
      <c r="F825" s="59">
        <v>10.54</v>
      </c>
      <c r="G825" s="85">
        <v>3051</v>
      </c>
      <c r="H825" s="4" t="s">
        <v>557</v>
      </c>
      <c r="I825" s="23" t="s">
        <v>809</v>
      </c>
      <c r="J825" s="371">
        <v>42.02</v>
      </c>
      <c r="K825" s="77">
        <v>1.34</v>
      </c>
      <c r="L825" s="371"/>
      <c r="N825" s="365">
        <f t="shared" si="251"/>
        <v>43.360000000000007</v>
      </c>
      <c r="O825" s="343">
        <f t="shared" si="252"/>
        <v>42.02</v>
      </c>
      <c r="P825" s="195">
        <v>1</v>
      </c>
      <c r="Q825" s="326">
        <f>IFERROR(VLOOKUP($G825,主力整理!$A$2:$G$2301,6,0),"0")</f>
        <v>2</v>
      </c>
      <c r="R825" s="111">
        <v>5</v>
      </c>
      <c r="S825" s="51">
        <v>0</v>
      </c>
      <c r="T825" s="339">
        <f t="shared" si="253"/>
        <v>8</v>
      </c>
      <c r="W825" s="35">
        <v>0</v>
      </c>
      <c r="X825" s="100">
        <v>2.3199999999999998</v>
      </c>
      <c r="Y825" s="37" t="str">
        <f>RTD("money.excel",,"3051","Price")</f>
        <v>無資料</v>
      </c>
      <c r="Z825" s="69"/>
      <c r="AA825" s="16" t="e">
        <f t="shared" si="254"/>
        <v>#VALUE!</v>
      </c>
      <c r="AB825" s="3" t="e">
        <f t="shared" si="255"/>
        <v>#VALUE!</v>
      </c>
      <c r="AC825" s="177" t="s">
        <v>2648</v>
      </c>
      <c r="AD825" s="23" t="s">
        <v>809</v>
      </c>
      <c r="AG825" s="34">
        <f t="shared" si="256"/>
        <v>0</v>
      </c>
      <c r="AH825" s="63" t="s">
        <v>4059</v>
      </c>
      <c r="AI825" s="131"/>
      <c r="AK825" s="66">
        <f t="shared" si="257"/>
        <v>0</v>
      </c>
      <c r="AL825" s="174">
        <f t="shared" si="258"/>
        <v>0</v>
      </c>
      <c r="AM825" s="346">
        <f>RTD("money.excel",,$G825,"PredictVolume")</f>
        <v>0</v>
      </c>
      <c r="AN825" s="272">
        <f>RTD("money.excel",,$G825,"CumulativeVolume")</f>
        <v>0</v>
      </c>
      <c r="AO825" s="284"/>
    </row>
    <row r="826" spans="1:41">
      <c r="A826" s="151" t="s">
        <v>2780</v>
      </c>
      <c r="B826" s="85">
        <v>-102</v>
      </c>
      <c r="C826" s="85">
        <v>-271</v>
      </c>
      <c r="D826" s="85">
        <v>-22</v>
      </c>
      <c r="E826" s="85">
        <v>-26</v>
      </c>
      <c r="F826" s="7">
        <v>-2.5299999999999998</v>
      </c>
      <c r="G826" s="85">
        <v>3059</v>
      </c>
      <c r="H826" s="54" t="s">
        <v>557</v>
      </c>
      <c r="I826" s="23" t="s">
        <v>199</v>
      </c>
      <c r="J826" s="77">
        <v>35.24</v>
      </c>
      <c r="K826" s="77">
        <v>13.2</v>
      </c>
      <c r="L826" s="77">
        <v>9.24</v>
      </c>
      <c r="N826" s="365">
        <f t="shared" si="251"/>
        <v>57.68</v>
      </c>
      <c r="O826" s="343">
        <f t="shared" si="252"/>
        <v>35.24</v>
      </c>
      <c r="P826" s="195" t="s">
        <v>5554</v>
      </c>
      <c r="Q826" s="326">
        <f>IFERROR(VLOOKUP($G826,主力整理!$A$2:$G$2301,6,0),"0")</f>
        <v>3</v>
      </c>
      <c r="T826" s="339">
        <f t="shared" si="253"/>
        <v>3</v>
      </c>
      <c r="V826" s="371">
        <v>5.61</v>
      </c>
      <c r="W826" s="35">
        <v>0.5</v>
      </c>
      <c r="X826" s="100">
        <v>0.6</v>
      </c>
      <c r="Y826" s="37" t="str">
        <f>RTD("money.excel",,"3059","Price")</f>
        <v>無資料</v>
      </c>
      <c r="Z826" s="69"/>
      <c r="AA826" s="16" t="e">
        <f t="shared" si="254"/>
        <v>#VALUE!</v>
      </c>
      <c r="AB826" s="3" t="e">
        <f t="shared" si="255"/>
        <v>#VALUE!</v>
      </c>
      <c r="AC826" s="177" t="s">
        <v>2648</v>
      </c>
      <c r="AD826" s="23" t="s">
        <v>199</v>
      </c>
      <c r="AG826" s="34">
        <f t="shared" si="256"/>
        <v>0</v>
      </c>
      <c r="AH826" s="125" t="s">
        <v>4060</v>
      </c>
      <c r="AI826" s="131"/>
      <c r="AK826" s="66">
        <f t="shared" si="257"/>
        <v>0</v>
      </c>
      <c r="AL826" s="174">
        <f t="shared" si="258"/>
        <v>0</v>
      </c>
      <c r="AM826" s="346">
        <f>RTD("money.excel",,$G826,"PredictVolume")</f>
        <v>0</v>
      </c>
      <c r="AN826" s="272">
        <f>RTD("money.excel",,$G826,"CumulativeVolume")</f>
        <v>0</v>
      </c>
      <c r="AO826" s="284"/>
    </row>
    <row r="827" spans="1:41">
      <c r="A827" s="151" t="s">
        <v>4637</v>
      </c>
      <c r="B827" s="96">
        <v>-253</v>
      </c>
      <c r="C827" s="96">
        <v>-93</v>
      </c>
      <c r="D827" s="96">
        <v>-2</v>
      </c>
      <c r="E827" s="96">
        <v>53</v>
      </c>
      <c r="F827" s="7">
        <v>-8.3699999999999992</v>
      </c>
      <c r="G827" s="85">
        <v>3066</v>
      </c>
      <c r="H827" s="4" t="s">
        <v>557</v>
      </c>
      <c r="I827" s="17" t="s">
        <v>834</v>
      </c>
      <c r="J827" s="77">
        <v>70.61</v>
      </c>
      <c r="K827" s="77">
        <v>0</v>
      </c>
      <c r="N827" s="365">
        <f t="shared" si="251"/>
        <v>70.61</v>
      </c>
      <c r="O827" s="343">
        <f t="shared" si="252"/>
        <v>70.61</v>
      </c>
      <c r="P827" s="195" t="s">
        <v>5554</v>
      </c>
      <c r="Q827" s="326" t="str">
        <f>IFERROR(VLOOKUP($G827,主力整理!$A$2:$G$2301,6,0),"0")</f>
        <v>0</v>
      </c>
      <c r="T827" s="339">
        <f t="shared" si="253"/>
        <v>0</v>
      </c>
      <c r="V827" s="371">
        <v>0</v>
      </c>
      <c r="W827" s="35">
        <v>0</v>
      </c>
      <c r="X827" s="100">
        <v>0.54</v>
      </c>
      <c r="Y827" s="14" t="str">
        <f>RTD("money.excel",,"3066","Price")</f>
        <v>無資料</v>
      </c>
      <c r="Z827" s="69"/>
      <c r="AA827" s="16" t="e">
        <f t="shared" si="254"/>
        <v>#VALUE!</v>
      </c>
      <c r="AB827" s="3" t="e">
        <f t="shared" si="255"/>
        <v>#VALUE!</v>
      </c>
      <c r="AD827" s="17" t="s">
        <v>834</v>
      </c>
      <c r="AG827" s="34">
        <f t="shared" si="256"/>
        <v>0</v>
      </c>
      <c r="AH827" s="44" t="s">
        <v>3833</v>
      </c>
      <c r="AI827" s="131"/>
      <c r="AK827" s="66">
        <f t="shared" si="257"/>
        <v>0</v>
      </c>
      <c r="AL827" s="174">
        <f t="shared" si="258"/>
        <v>0</v>
      </c>
      <c r="AM827" s="346">
        <f>RTD("money.excel",,$G827,"PredictVolume")</f>
        <v>0</v>
      </c>
      <c r="AN827" s="272">
        <f>RTD("money.excel",,$G827,"CumulativeVolume")</f>
        <v>0</v>
      </c>
      <c r="AO827" s="284"/>
    </row>
    <row r="828" spans="1:41">
      <c r="A828" s="151" t="s">
        <v>3268</v>
      </c>
      <c r="B828" s="84">
        <v>5</v>
      </c>
      <c r="C828" s="84">
        <v>12</v>
      </c>
      <c r="D828" s="84">
        <v>30</v>
      </c>
      <c r="E828" s="84">
        <v>24</v>
      </c>
      <c r="F828" s="7">
        <v>3.84</v>
      </c>
      <c r="G828" s="85">
        <v>3128</v>
      </c>
      <c r="H828" s="4" t="s">
        <v>557</v>
      </c>
      <c r="I828" s="17" t="s">
        <v>835</v>
      </c>
      <c r="J828" s="77">
        <v>38.909999999999997</v>
      </c>
      <c r="K828" s="371">
        <v>8.34</v>
      </c>
      <c r="L828" s="371">
        <v>25.28</v>
      </c>
      <c r="M828" s="77">
        <v>20.64</v>
      </c>
      <c r="N828" s="365">
        <f t="shared" si="251"/>
        <v>93.17</v>
      </c>
      <c r="O828" s="343">
        <f t="shared" si="252"/>
        <v>59.55</v>
      </c>
      <c r="P828" s="195">
        <v>2</v>
      </c>
      <c r="Q828" s="326">
        <v>13</v>
      </c>
      <c r="R828" s="111">
        <v>7</v>
      </c>
      <c r="S828" s="51">
        <v>8</v>
      </c>
      <c r="T828" s="339">
        <f t="shared" si="253"/>
        <v>30</v>
      </c>
      <c r="U828" s="329" t="s">
        <v>6538</v>
      </c>
      <c r="V828" s="371">
        <v>0.66</v>
      </c>
      <c r="W828" s="35">
        <v>0.55000000000000004</v>
      </c>
      <c r="X828" s="100">
        <v>0.68</v>
      </c>
      <c r="Y828" s="37" t="str">
        <f>RTD("money.excel",,"3128","Price")</f>
        <v>無資料</v>
      </c>
      <c r="Z828" s="69"/>
      <c r="AA828" s="16" t="e">
        <f t="shared" si="254"/>
        <v>#VALUE!</v>
      </c>
      <c r="AB828" s="3" t="e">
        <f t="shared" si="255"/>
        <v>#VALUE!</v>
      </c>
      <c r="AC828" s="177" t="s">
        <v>2648</v>
      </c>
      <c r="AD828" s="17" t="s">
        <v>835</v>
      </c>
      <c r="AG828" s="34">
        <f t="shared" si="256"/>
        <v>0</v>
      </c>
      <c r="AH828" s="44" t="s">
        <v>3715</v>
      </c>
      <c r="AI828" s="131"/>
      <c r="AK828" s="66">
        <f t="shared" si="257"/>
        <v>0</v>
      </c>
      <c r="AL828" s="174">
        <f t="shared" si="258"/>
        <v>0</v>
      </c>
      <c r="AM828" s="346">
        <f>RTD("money.excel",,$G828,"PredictVolume")</f>
        <v>0</v>
      </c>
      <c r="AN828" s="272">
        <f>RTD("money.excel",,$G828,"CumulativeVolume")</f>
        <v>0</v>
      </c>
      <c r="AO828" s="284"/>
    </row>
    <row r="829" spans="1:41">
      <c r="A829" s="151" t="s">
        <v>2874</v>
      </c>
      <c r="B829" s="99">
        <v>-1113</v>
      </c>
      <c r="C829" s="85">
        <v>-110</v>
      </c>
      <c r="D829" s="85">
        <v>-1</v>
      </c>
      <c r="E829" s="85">
        <v>-5</v>
      </c>
      <c r="F829" s="7">
        <v>-26.62</v>
      </c>
      <c r="G829" s="85">
        <v>3149</v>
      </c>
      <c r="H829" s="4" t="s">
        <v>557</v>
      </c>
      <c r="I829" s="23" t="s">
        <v>432</v>
      </c>
      <c r="J829" s="77">
        <v>47.87</v>
      </c>
      <c r="K829" s="77">
        <v>1.34</v>
      </c>
      <c r="N829" s="365">
        <f t="shared" si="251"/>
        <v>49.21</v>
      </c>
      <c r="O829" s="343">
        <f t="shared" si="252"/>
        <v>47.87</v>
      </c>
      <c r="P829" s="195">
        <v>5</v>
      </c>
      <c r="Q829" s="326" t="str">
        <f>IFERROR(VLOOKUP($G829,主力整理!$A$2:$G$2301,6,0),"0")</f>
        <v>0</v>
      </c>
      <c r="T829" s="339">
        <f t="shared" si="253"/>
        <v>5</v>
      </c>
      <c r="W829" s="35">
        <v>0</v>
      </c>
      <c r="X829" s="100">
        <v>-1.42</v>
      </c>
      <c r="Y829" s="37" t="str">
        <f>RTD("money.excel",,"3149","Price")</f>
        <v>無資料</v>
      </c>
      <c r="Z829" s="69"/>
      <c r="AA829" s="16" t="e">
        <f t="shared" si="254"/>
        <v>#VALUE!</v>
      </c>
      <c r="AB829" s="3" t="e">
        <f t="shared" si="255"/>
        <v>#VALUE!</v>
      </c>
      <c r="AC829" s="177" t="s">
        <v>2648</v>
      </c>
      <c r="AD829" s="23" t="s">
        <v>432</v>
      </c>
      <c r="AG829" s="34">
        <f t="shared" si="256"/>
        <v>0</v>
      </c>
      <c r="AH829" s="125" t="s">
        <v>3672</v>
      </c>
      <c r="AI829" s="131"/>
      <c r="AK829" s="66">
        <f t="shared" si="257"/>
        <v>0</v>
      </c>
      <c r="AL829" s="174">
        <f t="shared" si="258"/>
        <v>0</v>
      </c>
      <c r="AM829" s="346">
        <f>RTD("money.excel",,$G829,"PredictVolume")</f>
        <v>0</v>
      </c>
      <c r="AN829" s="272">
        <f>RTD("money.excel",,$G829,"CumulativeVolume")</f>
        <v>0</v>
      </c>
      <c r="AO829" s="284"/>
    </row>
    <row r="830" spans="1:41">
      <c r="A830" s="151" t="s">
        <v>5463</v>
      </c>
      <c r="B830" s="84">
        <v>86</v>
      </c>
      <c r="C830" s="84">
        <v>40</v>
      </c>
      <c r="D830" s="84">
        <v>17</v>
      </c>
      <c r="E830" s="84">
        <v>8</v>
      </c>
      <c r="F830" s="7">
        <v>3.85</v>
      </c>
      <c r="G830" s="85">
        <v>3230</v>
      </c>
      <c r="H830" s="4" t="s">
        <v>557</v>
      </c>
      <c r="I830" s="17" t="s">
        <v>836</v>
      </c>
      <c r="J830" s="371">
        <v>42.01</v>
      </c>
      <c r="K830" s="371">
        <v>0.2</v>
      </c>
      <c r="L830" s="77">
        <v>13.49</v>
      </c>
      <c r="N830" s="365">
        <f t="shared" si="251"/>
        <v>55.7</v>
      </c>
      <c r="O830" s="343">
        <f t="shared" si="252"/>
        <v>42.01</v>
      </c>
      <c r="P830" s="232">
        <v>0</v>
      </c>
      <c r="Q830" s="326" t="str">
        <f>IFERROR(VLOOKUP($G830,主力整理!$A$2:$G$2301,6,0),"0")</f>
        <v>0</v>
      </c>
      <c r="R830" s="111">
        <v>15</v>
      </c>
      <c r="S830" s="51">
        <v>0</v>
      </c>
      <c r="T830" s="339">
        <f t="shared" si="253"/>
        <v>15</v>
      </c>
      <c r="V830" s="371">
        <v>2.5099999999999998</v>
      </c>
      <c r="W830" s="35">
        <v>0</v>
      </c>
      <c r="X830" s="100">
        <v>0.25</v>
      </c>
      <c r="Y830" s="37" t="str">
        <f>RTD("money.excel",,"3230","Price")</f>
        <v>無資料</v>
      </c>
      <c r="Z830" s="69"/>
      <c r="AA830" s="16" t="e">
        <f t="shared" si="254"/>
        <v>#VALUE!</v>
      </c>
      <c r="AB830" s="3" t="e">
        <f t="shared" si="255"/>
        <v>#VALUE!</v>
      </c>
      <c r="AD830" s="17" t="s">
        <v>836</v>
      </c>
      <c r="AG830" s="34">
        <f t="shared" si="256"/>
        <v>0</v>
      </c>
      <c r="AH830" s="44" t="s">
        <v>3834</v>
      </c>
      <c r="AI830" s="131"/>
      <c r="AK830" s="66">
        <f t="shared" si="257"/>
        <v>0</v>
      </c>
      <c r="AL830" s="174">
        <f t="shared" si="258"/>
        <v>0</v>
      </c>
      <c r="AM830" s="346">
        <f>RTD("money.excel",,$G830,"PredictVolume")</f>
        <v>0</v>
      </c>
      <c r="AN830" s="272">
        <f>RTD("money.excel",,$G830,"CumulativeVolume")</f>
        <v>0</v>
      </c>
      <c r="AO830" s="284"/>
    </row>
    <row r="831" spans="1:41">
      <c r="A831" s="151" t="s">
        <v>4638</v>
      </c>
      <c r="B831" s="85">
        <v>-125</v>
      </c>
      <c r="C831" s="84">
        <v>29</v>
      </c>
      <c r="D831" s="84">
        <v>28</v>
      </c>
      <c r="E831" s="85">
        <v>-20</v>
      </c>
      <c r="F831" s="7">
        <v>-21.2</v>
      </c>
      <c r="G831" s="85">
        <v>3297</v>
      </c>
      <c r="H831" s="4" t="s">
        <v>557</v>
      </c>
      <c r="I831" s="17" t="s">
        <v>837</v>
      </c>
      <c r="J831" s="77">
        <v>41.9</v>
      </c>
      <c r="K831" s="77">
        <v>0.57999999999999996</v>
      </c>
      <c r="L831" s="77">
        <v>7.1</v>
      </c>
      <c r="N831" s="365">
        <f t="shared" si="251"/>
        <v>49.58</v>
      </c>
      <c r="O831" s="343">
        <f t="shared" si="252"/>
        <v>41.9</v>
      </c>
      <c r="P831" s="195" t="s">
        <v>5554</v>
      </c>
      <c r="Q831" s="326" t="str">
        <f>IFERROR(VLOOKUP($G831,主力整理!$A$2:$G$2301,6,0),"0")</f>
        <v>0</v>
      </c>
      <c r="T831" s="339">
        <f t="shared" si="253"/>
        <v>0</v>
      </c>
      <c r="V831" s="371">
        <v>0</v>
      </c>
      <c r="W831" s="35">
        <v>0</v>
      </c>
      <c r="X831" s="100">
        <v>-1.91</v>
      </c>
      <c r="Y831" s="37" t="str">
        <f>RTD("money.excel",,"3297","Price")</f>
        <v>無資料</v>
      </c>
      <c r="Z831" s="69"/>
      <c r="AA831" s="16" t="e">
        <f t="shared" si="254"/>
        <v>#VALUE!</v>
      </c>
      <c r="AB831" s="3" t="e">
        <f t="shared" si="255"/>
        <v>#VALUE!</v>
      </c>
      <c r="AD831" s="17" t="s">
        <v>837</v>
      </c>
      <c r="AG831" s="34">
        <f t="shared" si="256"/>
        <v>0</v>
      </c>
      <c r="AH831" s="44" t="s">
        <v>3269</v>
      </c>
      <c r="AI831" s="131"/>
      <c r="AK831" s="66">
        <f t="shared" si="257"/>
        <v>0</v>
      </c>
      <c r="AL831" s="174">
        <f t="shared" si="258"/>
        <v>0</v>
      </c>
      <c r="AM831" s="346">
        <f>RTD("money.excel",,$G831,"PredictVolume")</f>
        <v>0</v>
      </c>
      <c r="AN831" s="272">
        <f>RTD("money.excel",,$G831,"CumulativeVolume")</f>
        <v>0</v>
      </c>
      <c r="AO831" s="284"/>
    </row>
    <row r="832" spans="1:41">
      <c r="A832" s="151" t="s">
        <v>2565</v>
      </c>
      <c r="B832" s="84">
        <v>158</v>
      </c>
      <c r="C832" s="84">
        <v>148</v>
      </c>
      <c r="D832" s="84">
        <v>4</v>
      </c>
      <c r="E832" s="85">
        <v>-2</v>
      </c>
      <c r="F832" s="7">
        <v>5.78</v>
      </c>
      <c r="G832" s="85">
        <v>3339</v>
      </c>
      <c r="H832" s="4" t="s">
        <v>557</v>
      </c>
      <c r="I832" s="17" t="s">
        <v>838</v>
      </c>
      <c r="J832" s="371">
        <v>38.299999999999997</v>
      </c>
      <c r="K832" s="371">
        <v>2.57</v>
      </c>
      <c r="L832" s="371"/>
      <c r="N832" s="365">
        <f t="shared" si="251"/>
        <v>40.869999999999997</v>
      </c>
      <c r="O832" s="343">
        <f t="shared" si="252"/>
        <v>38.299999999999997</v>
      </c>
      <c r="P832" s="195">
        <v>0</v>
      </c>
      <c r="Q832" s="326" t="str">
        <f>IFERROR(VLOOKUP($G832,主力整理!$A$2:$G$2301,6,0),"0")</f>
        <v>0</v>
      </c>
      <c r="R832" s="111">
        <v>37</v>
      </c>
      <c r="S832" s="51">
        <v>0</v>
      </c>
      <c r="T832" s="339">
        <f t="shared" si="253"/>
        <v>37</v>
      </c>
      <c r="W832" s="35">
        <v>0</v>
      </c>
      <c r="X832" s="100">
        <v>0.85</v>
      </c>
      <c r="Y832" s="37" t="str">
        <f>RTD("money.excel",,"3339","Price")</f>
        <v>無資料</v>
      </c>
      <c r="Z832" s="69"/>
      <c r="AA832" s="16" t="e">
        <f t="shared" si="254"/>
        <v>#VALUE!</v>
      </c>
      <c r="AB832" s="3" t="e">
        <f t="shared" si="255"/>
        <v>#VALUE!</v>
      </c>
      <c r="AD832" s="17" t="s">
        <v>838</v>
      </c>
      <c r="AG832" s="34">
        <f t="shared" si="256"/>
        <v>0</v>
      </c>
      <c r="AH832" s="44" t="s">
        <v>3835</v>
      </c>
      <c r="AI832" s="131"/>
      <c r="AK832" s="66">
        <f t="shared" si="257"/>
        <v>0</v>
      </c>
      <c r="AL832" s="174">
        <f t="shared" si="258"/>
        <v>0</v>
      </c>
      <c r="AM832" s="346">
        <f>RTD("money.excel",,$G832,"PredictVolume")</f>
        <v>0</v>
      </c>
      <c r="AN832" s="272">
        <f>RTD("money.excel",,$G832,"CumulativeVolume")</f>
        <v>0</v>
      </c>
      <c r="AO832" s="284"/>
    </row>
    <row r="833" spans="1:41">
      <c r="A833" s="151" t="s">
        <v>4793</v>
      </c>
      <c r="B833" s="85">
        <v>-59</v>
      </c>
      <c r="C833" s="84">
        <v>140</v>
      </c>
      <c r="D833" s="85">
        <v>-14</v>
      </c>
      <c r="E833" s="85">
        <v>-15</v>
      </c>
      <c r="F833" s="7">
        <v>3.38</v>
      </c>
      <c r="G833" s="85">
        <v>3356</v>
      </c>
      <c r="H833" s="4" t="s">
        <v>557</v>
      </c>
      <c r="I833" s="23" t="s">
        <v>810</v>
      </c>
      <c r="J833" s="77">
        <v>26.03</v>
      </c>
      <c r="K833" s="77">
        <v>2</v>
      </c>
      <c r="L833" s="371">
        <v>6.11</v>
      </c>
      <c r="N833" s="365">
        <f t="shared" si="251"/>
        <v>34.14</v>
      </c>
      <c r="O833" s="343">
        <f t="shared" si="252"/>
        <v>26.03</v>
      </c>
      <c r="P833" s="195">
        <v>1</v>
      </c>
      <c r="Q833" s="326" t="str">
        <f>IFERROR(VLOOKUP($G833,主力整理!$A$2:$G$2301,6,0),"0")</f>
        <v>0</v>
      </c>
      <c r="T833" s="339">
        <f t="shared" si="253"/>
        <v>1</v>
      </c>
      <c r="V833" s="371">
        <v>19.489999999999998</v>
      </c>
      <c r="W833" s="35">
        <v>1</v>
      </c>
      <c r="X833" s="100">
        <v>1.78</v>
      </c>
      <c r="Y833" s="37" t="str">
        <f>RTD("money.excel",,"3356","Price")</f>
        <v>無資料</v>
      </c>
      <c r="Z833" s="69"/>
      <c r="AA833" s="16" t="e">
        <f t="shared" si="254"/>
        <v>#VALUE!</v>
      </c>
      <c r="AB833" s="3" t="e">
        <f t="shared" si="255"/>
        <v>#VALUE!</v>
      </c>
      <c r="AC833" s="177" t="s">
        <v>2648</v>
      </c>
      <c r="AD833" s="23" t="s">
        <v>810</v>
      </c>
      <c r="AG833" s="34">
        <f t="shared" si="256"/>
        <v>0</v>
      </c>
      <c r="AH833" s="44" t="s">
        <v>3715</v>
      </c>
      <c r="AK833" s="66">
        <f t="shared" si="257"/>
        <v>0</v>
      </c>
      <c r="AL833" s="174">
        <f t="shared" si="258"/>
        <v>0</v>
      </c>
      <c r="AM833" s="346">
        <f>RTD("money.excel",,$G833,"PredictVolume")</f>
        <v>0</v>
      </c>
      <c r="AN833" s="272">
        <f>RTD("money.excel",,$G833,"CumulativeVolume")</f>
        <v>0</v>
      </c>
    </row>
    <row r="834" spans="1:41">
      <c r="A834" s="151" t="s">
        <v>2538</v>
      </c>
      <c r="B834" s="85">
        <v>-721</v>
      </c>
      <c r="C834" s="84">
        <v>227</v>
      </c>
      <c r="D834" s="85">
        <v>-33</v>
      </c>
      <c r="E834" s="84">
        <v>70</v>
      </c>
      <c r="F834" s="7">
        <v>0.76</v>
      </c>
      <c r="G834" s="85">
        <v>3362</v>
      </c>
      <c r="H834" s="4" t="s">
        <v>557</v>
      </c>
      <c r="I834" s="17" t="s">
        <v>147</v>
      </c>
      <c r="J834" s="371">
        <v>49.75</v>
      </c>
      <c r="K834" s="77">
        <v>2.4900000000000002</v>
      </c>
      <c r="L834" s="77">
        <v>18</v>
      </c>
      <c r="N834" s="365">
        <f t="shared" si="251"/>
        <v>70.240000000000009</v>
      </c>
      <c r="O834" s="343">
        <f t="shared" si="252"/>
        <v>49.75</v>
      </c>
      <c r="P834" s="195">
        <v>2</v>
      </c>
      <c r="Q834" s="326">
        <f>IFERROR(VLOOKUP($G834,主力整理!$A$2:$G$2301,6,0),"0")</f>
        <v>1</v>
      </c>
      <c r="T834" s="339">
        <f t="shared" si="253"/>
        <v>3</v>
      </c>
      <c r="V834" s="371">
        <v>7.41</v>
      </c>
      <c r="W834" s="35">
        <v>0</v>
      </c>
      <c r="X834" s="100">
        <v>-8.9</v>
      </c>
      <c r="Y834" s="37" t="str">
        <f>RTD("money.excel",,"3362","Price")</f>
        <v>無資料</v>
      </c>
      <c r="Z834" s="69"/>
      <c r="AA834" s="16" t="e">
        <f t="shared" si="254"/>
        <v>#VALUE!</v>
      </c>
      <c r="AB834" s="3" t="e">
        <f t="shared" si="255"/>
        <v>#VALUE!</v>
      </c>
      <c r="AC834" s="177" t="s">
        <v>2648</v>
      </c>
      <c r="AD834" s="17" t="s">
        <v>147</v>
      </c>
      <c r="AG834" s="34">
        <f t="shared" si="256"/>
        <v>0</v>
      </c>
      <c r="AH834" s="127" t="s">
        <v>4501</v>
      </c>
      <c r="AI834" s="131"/>
      <c r="AK834" s="66">
        <f t="shared" si="257"/>
        <v>0</v>
      </c>
      <c r="AL834" s="174">
        <f t="shared" si="258"/>
        <v>0</v>
      </c>
      <c r="AM834" s="346">
        <f>RTD("money.excel",,$G834,"PredictVolume")</f>
        <v>0</v>
      </c>
      <c r="AN834" s="272">
        <f>RTD("money.excel",,$G834,"CumulativeVolume")</f>
        <v>0</v>
      </c>
      <c r="AO834" s="284"/>
    </row>
    <row r="835" spans="1:41">
      <c r="A835" s="151" t="s">
        <v>3270</v>
      </c>
      <c r="B835" s="96">
        <v>-15</v>
      </c>
      <c r="C835" s="96">
        <v>-3</v>
      </c>
      <c r="D835" s="96">
        <v>7</v>
      </c>
      <c r="E835" s="96">
        <v>-11</v>
      </c>
      <c r="F835" s="7">
        <v>-47.79</v>
      </c>
      <c r="G835" s="85">
        <v>3383</v>
      </c>
      <c r="H835" s="4" t="s">
        <v>557</v>
      </c>
      <c r="I835" s="23" t="s">
        <v>811</v>
      </c>
      <c r="J835" s="77">
        <v>53.84</v>
      </c>
      <c r="K835" s="77">
        <v>17.82</v>
      </c>
      <c r="N835" s="365">
        <f t="shared" si="251"/>
        <v>71.66</v>
      </c>
      <c r="O835" s="343">
        <f t="shared" si="252"/>
        <v>53.84</v>
      </c>
      <c r="P835" s="195" t="s">
        <v>5554</v>
      </c>
      <c r="Q835" s="326" t="str">
        <f>IFERROR(VLOOKUP($G835,主力整理!$A$2:$G$2301,6,0),"0")</f>
        <v>0</v>
      </c>
      <c r="T835" s="339">
        <f t="shared" si="253"/>
        <v>0</v>
      </c>
      <c r="V835" s="371">
        <v>8.6999999999999993</v>
      </c>
      <c r="W835" s="35">
        <v>0</v>
      </c>
      <c r="X835" s="100">
        <v>-4.07</v>
      </c>
      <c r="Y835" s="14" t="str">
        <f>RTD("money.excel",,"3383","Price")</f>
        <v>無資料</v>
      </c>
      <c r="Z835" s="69"/>
      <c r="AA835" s="16" t="e">
        <f t="shared" si="254"/>
        <v>#VALUE!</v>
      </c>
      <c r="AB835" s="3" t="e">
        <f t="shared" si="255"/>
        <v>#VALUE!</v>
      </c>
      <c r="AD835" s="23" t="s">
        <v>811</v>
      </c>
      <c r="AG835" s="34">
        <f t="shared" si="256"/>
        <v>0</v>
      </c>
      <c r="AH835" s="44" t="s">
        <v>2246</v>
      </c>
      <c r="AI835" s="131"/>
      <c r="AK835" s="66">
        <f t="shared" si="257"/>
        <v>0</v>
      </c>
      <c r="AL835" s="174">
        <f t="shared" si="258"/>
        <v>0</v>
      </c>
      <c r="AM835" s="346">
        <f>RTD("money.excel",,$G835,"PredictVolume")</f>
        <v>0</v>
      </c>
      <c r="AN835" s="272">
        <f>RTD("money.excel",,$G835,"CumulativeVolume")</f>
        <v>0</v>
      </c>
      <c r="AO835" s="284"/>
    </row>
    <row r="836" spans="1:41">
      <c r="A836" s="135" t="s">
        <v>4657</v>
      </c>
      <c r="B836" s="85">
        <v>-33</v>
      </c>
      <c r="C836" s="85">
        <v>-40</v>
      </c>
      <c r="D836" s="85">
        <v>-2</v>
      </c>
      <c r="E836" s="84">
        <v>6</v>
      </c>
      <c r="F836" s="59">
        <v>16.36</v>
      </c>
      <c r="G836" s="85">
        <v>3406</v>
      </c>
      <c r="H836" s="4" t="s">
        <v>557</v>
      </c>
      <c r="I836" s="23" t="s">
        <v>93</v>
      </c>
      <c r="J836" s="371">
        <v>44.73</v>
      </c>
      <c r="K836" s="77">
        <v>40.17</v>
      </c>
      <c r="L836" s="371">
        <v>21.06</v>
      </c>
      <c r="M836" s="371">
        <v>10.39</v>
      </c>
      <c r="N836" s="365">
        <f t="shared" si="251"/>
        <v>116.35000000000001</v>
      </c>
      <c r="O836" s="343">
        <f t="shared" si="252"/>
        <v>55.12</v>
      </c>
      <c r="P836" s="195">
        <v>46</v>
      </c>
      <c r="Q836" s="326">
        <v>29</v>
      </c>
      <c r="R836" s="111">
        <v>27</v>
      </c>
      <c r="S836" s="51">
        <v>23</v>
      </c>
      <c r="T836" s="339">
        <f t="shared" si="253"/>
        <v>125</v>
      </c>
      <c r="U836" s="329" t="s">
        <v>6540</v>
      </c>
      <c r="V836" s="371">
        <v>9.42</v>
      </c>
      <c r="W836" s="69">
        <v>9.99</v>
      </c>
      <c r="X836" s="100">
        <v>21.22</v>
      </c>
      <c r="Y836" s="14" t="str">
        <f>RTD("money.excel",,"3406","Price")</f>
        <v>無資料</v>
      </c>
      <c r="Z836" s="69"/>
      <c r="AA836" s="16" t="e">
        <f t="shared" si="254"/>
        <v>#VALUE!</v>
      </c>
      <c r="AB836" s="3" t="e">
        <f t="shared" si="255"/>
        <v>#VALUE!</v>
      </c>
      <c r="AC836" s="177" t="s">
        <v>2929</v>
      </c>
      <c r="AD836" s="23" t="s">
        <v>93</v>
      </c>
      <c r="AG836" s="34">
        <f t="shared" si="256"/>
        <v>0</v>
      </c>
      <c r="AH836" s="125" t="s">
        <v>4061</v>
      </c>
      <c r="AI836" s="131"/>
      <c r="AK836" s="66">
        <f t="shared" si="257"/>
        <v>0</v>
      </c>
      <c r="AL836" s="174">
        <f t="shared" si="258"/>
        <v>0</v>
      </c>
      <c r="AM836" s="346">
        <f>RTD("money.excel",,$G836,"PredictVolume")</f>
        <v>0</v>
      </c>
      <c r="AN836" s="272">
        <f>RTD("money.excel",,$G836,"CumulativeVolume")</f>
        <v>0</v>
      </c>
      <c r="AO836" s="284"/>
    </row>
    <row r="837" spans="1:41">
      <c r="A837" s="151" t="s">
        <v>4610</v>
      </c>
      <c r="B837" s="96">
        <v>-171</v>
      </c>
      <c r="C837" s="96">
        <v>-173</v>
      </c>
      <c r="D837" s="96">
        <v>76</v>
      </c>
      <c r="E837" s="96">
        <v>-6</v>
      </c>
      <c r="F837" s="7">
        <v>-3.81</v>
      </c>
      <c r="G837" s="85">
        <v>3434</v>
      </c>
      <c r="H837" s="4" t="s">
        <v>557</v>
      </c>
      <c r="I837" s="17" t="s">
        <v>839</v>
      </c>
      <c r="J837" s="77">
        <v>50.98</v>
      </c>
      <c r="K837" s="77">
        <v>0.02</v>
      </c>
      <c r="L837" s="77">
        <v>17.899999999999999</v>
      </c>
      <c r="N837" s="365">
        <f t="shared" ref="N837:N868" si="259">J837+K837+L837+M837</f>
        <v>68.900000000000006</v>
      </c>
      <c r="O837" s="343">
        <f t="shared" ref="O837:O868" si="260">J837+M837</f>
        <v>50.98</v>
      </c>
      <c r="P837" s="195" t="s">
        <v>5554</v>
      </c>
      <c r="Q837" s="326" t="str">
        <f>IFERROR(VLOOKUP($G837,主力整理!$A$2:$G$2301,6,0),"0")</f>
        <v>0</v>
      </c>
      <c r="T837" s="339">
        <f t="shared" ref="T837:T868" si="261">SUM(P837:S837)</f>
        <v>0</v>
      </c>
      <c r="V837" s="371">
        <v>25</v>
      </c>
      <c r="W837" s="35">
        <v>0.3</v>
      </c>
      <c r="X837" s="100">
        <v>-0.45</v>
      </c>
      <c r="Y837" s="14" t="str">
        <f>RTD("money.excel",,"3434","Price")</f>
        <v>無資料</v>
      </c>
      <c r="Z837" s="69"/>
      <c r="AA837" s="16" t="e">
        <f t="shared" ref="AA837:AA868" si="262">Y837-Z837</f>
        <v>#VALUE!</v>
      </c>
      <c r="AB837" s="3" t="e">
        <f t="shared" ref="AB837:AB868" si="263">AA837/Z837</f>
        <v>#VALUE!</v>
      </c>
      <c r="AD837" s="17" t="s">
        <v>839</v>
      </c>
      <c r="AG837" s="34">
        <f t="shared" ref="AG837:AG868" si="264">AF837-AE837</f>
        <v>0</v>
      </c>
      <c r="AH837" s="44" t="s">
        <v>3269</v>
      </c>
      <c r="AI837" s="131"/>
      <c r="AK837" s="66">
        <f t="shared" si="257"/>
        <v>0</v>
      </c>
      <c r="AL837" s="174">
        <f t="shared" si="258"/>
        <v>0</v>
      </c>
      <c r="AM837" s="346">
        <f>RTD("money.excel",,$G837,"PredictVolume")</f>
        <v>0</v>
      </c>
      <c r="AN837" s="272">
        <f>RTD("money.excel",,$G837,"CumulativeVolume")</f>
        <v>0</v>
      </c>
      <c r="AO837" s="284"/>
    </row>
    <row r="838" spans="1:41">
      <c r="A838" s="151" t="s">
        <v>2534</v>
      </c>
      <c r="B838" s="84">
        <v>36</v>
      </c>
      <c r="C838" s="84">
        <v>41</v>
      </c>
      <c r="D838" s="85">
        <v>-3</v>
      </c>
      <c r="E838" s="84">
        <v>52</v>
      </c>
      <c r="F838" s="7">
        <v>-6.4</v>
      </c>
      <c r="G838" s="85">
        <v>3437</v>
      </c>
      <c r="H838" s="4" t="s">
        <v>557</v>
      </c>
      <c r="I838" s="23" t="s">
        <v>327</v>
      </c>
      <c r="J838" s="371">
        <v>35.869999999999997</v>
      </c>
      <c r="K838" s="77">
        <v>11.15</v>
      </c>
      <c r="L838" s="77">
        <v>12.44</v>
      </c>
      <c r="N838" s="365">
        <f t="shared" si="259"/>
        <v>59.459999999999994</v>
      </c>
      <c r="O838" s="343">
        <f t="shared" si="260"/>
        <v>35.869999999999997</v>
      </c>
      <c r="P838" s="195" t="s">
        <v>5554</v>
      </c>
      <c r="Q838" s="326" t="str">
        <f>IFERROR(VLOOKUP($G838,主力整理!$A$2:$G$2301,6,0),"0")</f>
        <v>0</v>
      </c>
      <c r="T838" s="339">
        <f t="shared" si="261"/>
        <v>0</v>
      </c>
      <c r="V838" s="371">
        <v>7.58</v>
      </c>
      <c r="W838" s="35">
        <v>0</v>
      </c>
      <c r="X838" s="100">
        <v>-0.77</v>
      </c>
      <c r="Y838" s="37" t="str">
        <f>RTD("money.excel",,"3437","Price")</f>
        <v>無資料</v>
      </c>
      <c r="Z838" s="69"/>
      <c r="AA838" s="16" t="e">
        <f t="shared" si="262"/>
        <v>#VALUE!</v>
      </c>
      <c r="AB838" s="3" t="e">
        <f t="shared" si="263"/>
        <v>#VALUE!</v>
      </c>
      <c r="AC838" s="177" t="s">
        <v>2648</v>
      </c>
      <c r="AD838" s="23" t="s">
        <v>327</v>
      </c>
      <c r="AG838" s="34">
        <f t="shared" si="264"/>
        <v>0</v>
      </c>
      <c r="AH838" s="125" t="s">
        <v>4062</v>
      </c>
      <c r="AI838" s="131"/>
      <c r="AK838" s="66">
        <f t="shared" si="257"/>
        <v>0</v>
      </c>
      <c r="AL838" s="174">
        <f t="shared" si="258"/>
        <v>0</v>
      </c>
      <c r="AM838" s="346">
        <f>RTD("money.excel",,$G838,"PredictVolume")</f>
        <v>0</v>
      </c>
      <c r="AN838" s="272">
        <f>RTD("money.excel",,$G838,"CumulativeVolume")</f>
        <v>0</v>
      </c>
      <c r="AO838" s="284"/>
    </row>
    <row r="839" spans="1:41">
      <c r="A839" s="151" t="s">
        <v>4639</v>
      </c>
      <c r="B839" s="85">
        <v>-142</v>
      </c>
      <c r="C839" s="85">
        <v>-656</v>
      </c>
      <c r="D839" s="85">
        <v>-35</v>
      </c>
      <c r="E839" s="84">
        <v>105</v>
      </c>
      <c r="F839" s="7">
        <v>-7.89</v>
      </c>
      <c r="G839" s="85">
        <v>3441</v>
      </c>
      <c r="H839" s="4" t="s">
        <v>557</v>
      </c>
      <c r="I839" s="17" t="s">
        <v>840</v>
      </c>
      <c r="J839" s="77">
        <v>17.670000000000002</v>
      </c>
      <c r="K839" s="77">
        <v>0.8</v>
      </c>
      <c r="L839" s="77">
        <v>34.729999999999997</v>
      </c>
      <c r="N839" s="365">
        <f t="shared" si="259"/>
        <v>53.2</v>
      </c>
      <c r="O839" s="343">
        <f t="shared" si="260"/>
        <v>17.670000000000002</v>
      </c>
      <c r="P839" s="195">
        <v>2</v>
      </c>
      <c r="Q839" s="326">
        <f>IFERROR(VLOOKUP($G839,主力整理!$A$2:$G$2301,6,0),"0")</f>
        <v>1</v>
      </c>
      <c r="T839" s="339">
        <f t="shared" si="261"/>
        <v>3</v>
      </c>
      <c r="V839" s="371">
        <v>0.34</v>
      </c>
      <c r="W839" s="35">
        <v>0.5</v>
      </c>
      <c r="X839" s="100">
        <v>-0.4</v>
      </c>
      <c r="Y839" s="37" t="str">
        <f>RTD("money.excel",,"3441","Price")</f>
        <v>無資料</v>
      </c>
      <c r="Z839" s="69"/>
      <c r="AA839" s="16" t="e">
        <f t="shared" si="262"/>
        <v>#VALUE!</v>
      </c>
      <c r="AB839" s="3" t="e">
        <f t="shared" si="263"/>
        <v>#VALUE!</v>
      </c>
      <c r="AC839" s="177" t="s">
        <v>2648</v>
      </c>
      <c r="AD839" s="17" t="s">
        <v>840</v>
      </c>
      <c r="AG839" s="34">
        <f t="shared" si="264"/>
        <v>0</v>
      </c>
      <c r="AH839" s="44" t="s">
        <v>3836</v>
      </c>
      <c r="AI839" s="131"/>
      <c r="AK839" s="66">
        <f t="shared" si="257"/>
        <v>0</v>
      </c>
      <c r="AL839" s="174">
        <f t="shared" si="258"/>
        <v>0</v>
      </c>
      <c r="AM839" s="346">
        <f>RTD("money.excel",,$G839,"PredictVolume")</f>
        <v>0</v>
      </c>
      <c r="AN839" s="272">
        <f>RTD("money.excel",,$G839,"CumulativeVolume")</f>
        <v>0</v>
      </c>
      <c r="AO839" s="284"/>
    </row>
    <row r="840" spans="1:41">
      <c r="A840" s="151" t="s">
        <v>3657</v>
      </c>
      <c r="B840" s="85">
        <v>-9</v>
      </c>
      <c r="C840" s="84">
        <v>8</v>
      </c>
      <c r="D840" s="84">
        <v>14</v>
      </c>
      <c r="E840" s="85">
        <v>-23</v>
      </c>
      <c r="F840" s="7">
        <v>4.62</v>
      </c>
      <c r="G840" s="85">
        <v>3454</v>
      </c>
      <c r="H840" s="4" t="s">
        <v>557</v>
      </c>
      <c r="I840" s="23" t="s">
        <v>200</v>
      </c>
      <c r="J840" s="77">
        <v>66.36</v>
      </c>
      <c r="K840" s="371">
        <v>8.11</v>
      </c>
      <c r="L840" s="77">
        <v>8.43</v>
      </c>
      <c r="N840" s="365">
        <f t="shared" si="259"/>
        <v>82.9</v>
      </c>
      <c r="O840" s="343">
        <f t="shared" si="260"/>
        <v>66.36</v>
      </c>
      <c r="P840" s="195">
        <v>1</v>
      </c>
      <c r="Q840" s="326" t="str">
        <f>IFERROR(VLOOKUP($G840,主力整理!$A$2:$G$2301,6,0),"0")</f>
        <v>0</v>
      </c>
      <c r="T840" s="339">
        <f t="shared" si="261"/>
        <v>1</v>
      </c>
      <c r="V840" s="371">
        <v>53.81</v>
      </c>
      <c r="W840" s="35">
        <v>2</v>
      </c>
      <c r="X840" s="59">
        <v>2.91</v>
      </c>
      <c r="Y840" s="37" t="str">
        <f>RTD("money.excel",,"3454","Price")</f>
        <v>無資料</v>
      </c>
      <c r="Z840" s="69"/>
      <c r="AA840" s="16" t="e">
        <f t="shared" si="262"/>
        <v>#VALUE!</v>
      </c>
      <c r="AB840" s="3" t="e">
        <f t="shared" si="263"/>
        <v>#VALUE!</v>
      </c>
      <c r="AC840" s="177" t="s">
        <v>2648</v>
      </c>
      <c r="AD840" s="23" t="s">
        <v>200</v>
      </c>
      <c r="AG840" s="34">
        <f t="shared" si="264"/>
        <v>0</v>
      </c>
      <c r="AH840" s="125" t="s">
        <v>3656</v>
      </c>
      <c r="AI840" s="131"/>
      <c r="AK840" s="66">
        <f t="shared" si="257"/>
        <v>0</v>
      </c>
      <c r="AL840" s="174">
        <f t="shared" si="258"/>
        <v>0</v>
      </c>
      <c r="AM840" s="346">
        <f>RTD("money.excel",,$G840,"PredictVolume")</f>
        <v>0</v>
      </c>
      <c r="AN840" s="272">
        <f>RTD("money.excel",,$G840,"CumulativeVolume")</f>
        <v>0</v>
      </c>
      <c r="AO840" s="284"/>
    </row>
    <row r="841" spans="1:41">
      <c r="A841" s="135" t="s">
        <v>6810</v>
      </c>
      <c r="B841" s="84">
        <v>135</v>
      </c>
      <c r="C841" s="84">
        <v>168</v>
      </c>
      <c r="D841" s="85">
        <v>-6</v>
      </c>
      <c r="E841" s="84">
        <v>14</v>
      </c>
      <c r="F841" s="59">
        <v>18.399999999999999</v>
      </c>
      <c r="G841" s="85">
        <v>3455</v>
      </c>
      <c r="H841" s="4" t="s">
        <v>557</v>
      </c>
      <c r="I841" s="17" t="s">
        <v>841</v>
      </c>
      <c r="J841" s="77">
        <v>23.5</v>
      </c>
      <c r="K841" s="371">
        <v>8.61</v>
      </c>
      <c r="L841" s="77">
        <v>18.62</v>
      </c>
      <c r="M841" s="77">
        <v>9.07</v>
      </c>
      <c r="N841" s="365">
        <f t="shared" si="259"/>
        <v>59.800000000000004</v>
      </c>
      <c r="O841" s="343">
        <f t="shared" si="260"/>
        <v>32.57</v>
      </c>
      <c r="P841" s="195">
        <v>6</v>
      </c>
      <c r="Q841" s="326">
        <v>2</v>
      </c>
      <c r="R841" s="111">
        <v>17</v>
      </c>
      <c r="S841" s="51">
        <v>10</v>
      </c>
      <c r="T841" s="339">
        <f t="shared" si="261"/>
        <v>35</v>
      </c>
      <c r="U841" s="329" t="s">
        <v>6538</v>
      </c>
      <c r="V841" s="371">
        <v>0.78</v>
      </c>
      <c r="W841" s="69">
        <v>4</v>
      </c>
      <c r="X841" s="100">
        <v>6.76</v>
      </c>
      <c r="Y841" s="37" t="str">
        <f>RTD("money.excel",,"3455","Price")</f>
        <v>無資料</v>
      </c>
      <c r="Z841" s="69"/>
      <c r="AA841" s="16" t="e">
        <f t="shared" si="262"/>
        <v>#VALUE!</v>
      </c>
      <c r="AB841" s="3" t="e">
        <f t="shared" si="263"/>
        <v>#VALUE!</v>
      </c>
      <c r="AC841" s="177" t="s">
        <v>2929</v>
      </c>
      <c r="AD841" s="17" t="s">
        <v>841</v>
      </c>
      <c r="AG841" s="34">
        <f t="shared" si="264"/>
        <v>0</v>
      </c>
      <c r="AH841" s="44" t="s">
        <v>3837</v>
      </c>
      <c r="AI841" s="131"/>
      <c r="AK841" s="66">
        <f t="shared" si="257"/>
        <v>0</v>
      </c>
      <c r="AL841" s="174">
        <f t="shared" si="258"/>
        <v>0</v>
      </c>
      <c r="AM841" s="346">
        <f>RTD("money.excel",,$G841,"PredictVolume")</f>
        <v>0</v>
      </c>
      <c r="AN841" s="272">
        <f>RTD("money.excel",,$G841,"CumulativeVolume")</f>
        <v>0</v>
      </c>
      <c r="AO841" s="284"/>
    </row>
    <row r="842" spans="1:41">
      <c r="A842" s="135" t="s">
        <v>6273</v>
      </c>
      <c r="B842" s="84">
        <v>706</v>
      </c>
      <c r="C842" s="84">
        <v>799</v>
      </c>
      <c r="D842" s="85">
        <v>-1</v>
      </c>
      <c r="E842" s="84">
        <v>1</v>
      </c>
      <c r="F842" s="59">
        <v>21.35</v>
      </c>
      <c r="G842" s="85">
        <v>3481</v>
      </c>
      <c r="H842" s="4" t="s">
        <v>557</v>
      </c>
      <c r="I842" s="23" t="s">
        <v>387</v>
      </c>
      <c r="J842" s="77">
        <v>48.12</v>
      </c>
      <c r="K842" s="77">
        <v>31.5</v>
      </c>
      <c r="L842" s="77">
        <v>16.95</v>
      </c>
      <c r="M842" s="371">
        <v>1.76</v>
      </c>
      <c r="N842" s="365">
        <f t="shared" si="259"/>
        <v>98.330000000000013</v>
      </c>
      <c r="O842" s="343">
        <f t="shared" si="260"/>
        <v>49.879999999999995</v>
      </c>
      <c r="P842" s="195">
        <v>136</v>
      </c>
      <c r="Q842" s="326">
        <v>32</v>
      </c>
      <c r="R842" s="111">
        <v>27</v>
      </c>
      <c r="S842" s="51">
        <v>34</v>
      </c>
      <c r="T842" s="339">
        <f t="shared" si="261"/>
        <v>229</v>
      </c>
      <c r="U842" s="329" t="s">
        <v>6541</v>
      </c>
      <c r="V842" s="371">
        <v>8.2200000000000006</v>
      </c>
      <c r="W842" s="35">
        <v>0.4</v>
      </c>
      <c r="X842" s="100">
        <v>6.07</v>
      </c>
      <c r="Y842" s="37" t="str">
        <f>RTD("money.excel",,"3481","Price")</f>
        <v>無資料</v>
      </c>
      <c r="Z842" s="69"/>
      <c r="AA842" s="16" t="e">
        <f t="shared" si="262"/>
        <v>#VALUE!</v>
      </c>
      <c r="AB842" s="3" t="e">
        <f t="shared" si="263"/>
        <v>#VALUE!</v>
      </c>
      <c r="AC842" s="177" t="s">
        <v>2648</v>
      </c>
      <c r="AD842" s="23" t="s">
        <v>387</v>
      </c>
      <c r="AG842" s="34">
        <f t="shared" si="264"/>
        <v>0</v>
      </c>
      <c r="AH842" s="126" t="s">
        <v>2176</v>
      </c>
      <c r="AI842" s="131"/>
      <c r="AK842" s="66">
        <f t="shared" si="257"/>
        <v>0</v>
      </c>
      <c r="AL842" s="174">
        <f t="shared" si="258"/>
        <v>0</v>
      </c>
      <c r="AM842" s="346">
        <f>RTD("money.excel",,$G842,"PredictVolume")</f>
        <v>0</v>
      </c>
      <c r="AN842" s="272">
        <f>RTD("money.excel",,$G842,"CumulativeVolume")</f>
        <v>0</v>
      </c>
      <c r="AO842" s="284"/>
    </row>
    <row r="843" spans="1:41">
      <c r="A843" s="135" t="s">
        <v>4640</v>
      </c>
      <c r="B843" s="84">
        <v>223</v>
      </c>
      <c r="C843" s="84">
        <v>207</v>
      </c>
      <c r="D843" s="85">
        <v>-11</v>
      </c>
      <c r="E843" s="84">
        <v>20</v>
      </c>
      <c r="F843" s="59">
        <v>10.83</v>
      </c>
      <c r="G843" s="85">
        <v>3490</v>
      </c>
      <c r="H843" s="4" t="s">
        <v>557</v>
      </c>
      <c r="I843" s="17" t="s">
        <v>842</v>
      </c>
      <c r="J843" s="371">
        <v>6.02</v>
      </c>
      <c r="K843" s="371">
        <v>5.47</v>
      </c>
      <c r="L843" s="77">
        <v>24.19</v>
      </c>
      <c r="N843" s="365">
        <f t="shared" si="259"/>
        <v>35.68</v>
      </c>
      <c r="O843" s="343">
        <f t="shared" si="260"/>
        <v>6.02</v>
      </c>
      <c r="P843" s="195" t="s">
        <v>5554</v>
      </c>
      <c r="Q843" s="326" t="str">
        <f>IFERROR(VLOOKUP($G843,主力整理!$A$2:$G$2301,6,0),"0")</f>
        <v>0</v>
      </c>
      <c r="R843" s="111">
        <v>7</v>
      </c>
      <c r="T843" s="339">
        <f t="shared" si="261"/>
        <v>7</v>
      </c>
      <c r="V843" s="371">
        <v>0.52</v>
      </c>
      <c r="W843" s="35">
        <v>0.7</v>
      </c>
      <c r="X843" s="100">
        <v>1.36</v>
      </c>
      <c r="Y843" s="37" t="str">
        <f>RTD("money.excel",,"3490","Price")</f>
        <v>無資料</v>
      </c>
      <c r="Z843" s="69"/>
      <c r="AA843" s="16" t="e">
        <f t="shared" si="262"/>
        <v>#VALUE!</v>
      </c>
      <c r="AB843" s="3" t="e">
        <f t="shared" si="263"/>
        <v>#VALUE!</v>
      </c>
      <c r="AD843" s="17" t="s">
        <v>842</v>
      </c>
      <c r="AG843" s="34">
        <f t="shared" si="264"/>
        <v>0</v>
      </c>
      <c r="AH843" s="63" t="s">
        <v>3838</v>
      </c>
      <c r="AI843" s="284"/>
      <c r="AK843" s="66">
        <f t="shared" si="257"/>
        <v>0</v>
      </c>
      <c r="AL843" s="174">
        <f t="shared" si="258"/>
        <v>0</v>
      </c>
      <c r="AM843" s="346">
        <f>RTD("money.excel",,$G843,"PredictVolume")</f>
        <v>0</v>
      </c>
      <c r="AN843" s="272">
        <f>RTD("money.excel",,$G843,"CumulativeVolume")</f>
        <v>0</v>
      </c>
      <c r="AO843" s="284"/>
    </row>
    <row r="844" spans="1:41">
      <c r="A844" s="151" t="s">
        <v>3026</v>
      </c>
      <c r="B844" s="96">
        <v>-34</v>
      </c>
      <c r="C844" s="96">
        <v>-67</v>
      </c>
      <c r="D844" s="96">
        <v>9</v>
      </c>
      <c r="E844" s="96">
        <v>-41</v>
      </c>
      <c r="F844" s="7">
        <v>0.6</v>
      </c>
      <c r="G844" s="85">
        <v>3504</v>
      </c>
      <c r="H844" s="4" t="s">
        <v>557</v>
      </c>
      <c r="I844" s="23" t="s">
        <v>554</v>
      </c>
      <c r="J844" s="371">
        <v>64.83</v>
      </c>
      <c r="K844" s="77">
        <v>2.91</v>
      </c>
      <c r="L844" s="371">
        <v>2.21</v>
      </c>
      <c r="N844" s="365">
        <f t="shared" si="259"/>
        <v>69.949999999999989</v>
      </c>
      <c r="O844" s="343">
        <f t="shared" si="260"/>
        <v>64.83</v>
      </c>
      <c r="P844" s="195">
        <v>2</v>
      </c>
      <c r="Q844" s="326">
        <f>IFERROR(VLOOKUP($G844,主力整理!$A$2:$G$2301,6,0),"0")</f>
        <v>6</v>
      </c>
      <c r="T844" s="339">
        <f t="shared" si="261"/>
        <v>8</v>
      </c>
      <c r="V844" s="371">
        <v>41.43</v>
      </c>
      <c r="W844" s="35">
        <v>0</v>
      </c>
      <c r="X844" s="100">
        <v>-1.6</v>
      </c>
      <c r="Y844" s="14" t="str">
        <f>RTD("money.excel",,"3504","Price")</f>
        <v>無資料</v>
      </c>
      <c r="Z844" s="69"/>
      <c r="AA844" s="16" t="e">
        <f t="shared" si="262"/>
        <v>#VALUE!</v>
      </c>
      <c r="AB844" s="3" t="e">
        <f t="shared" si="263"/>
        <v>#VALUE!</v>
      </c>
      <c r="AC844" s="177" t="s">
        <v>2648</v>
      </c>
      <c r="AD844" s="23" t="s">
        <v>554</v>
      </c>
      <c r="AG844" s="34">
        <f t="shared" si="264"/>
        <v>0</v>
      </c>
      <c r="AH844" s="44" t="s">
        <v>4063</v>
      </c>
      <c r="AI844" s="131"/>
      <c r="AK844" s="66">
        <f t="shared" si="257"/>
        <v>0</v>
      </c>
      <c r="AL844" s="174">
        <f t="shared" si="258"/>
        <v>0</v>
      </c>
      <c r="AM844" s="346">
        <f>RTD("money.excel",,$G844,"PredictVolume")</f>
        <v>0</v>
      </c>
      <c r="AN844" s="272">
        <f>RTD("money.excel",,$G844,"CumulativeVolume")</f>
        <v>0</v>
      </c>
      <c r="AO844" s="284"/>
    </row>
    <row r="845" spans="1:41">
      <c r="A845" s="151" t="s">
        <v>4641</v>
      </c>
      <c r="B845" s="84">
        <v>661</v>
      </c>
      <c r="C845" s="84">
        <v>72</v>
      </c>
      <c r="D845" s="84">
        <v>12</v>
      </c>
      <c r="E845" s="85">
        <v>-1</v>
      </c>
      <c r="F845" s="7">
        <v>-1.88</v>
      </c>
      <c r="G845" s="85">
        <v>3516</v>
      </c>
      <c r="H845" s="4" t="s">
        <v>557</v>
      </c>
      <c r="I845" s="17" t="s">
        <v>843</v>
      </c>
      <c r="J845" s="371">
        <v>56.94</v>
      </c>
      <c r="K845" s="77">
        <v>2.2599999999999998</v>
      </c>
      <c r="L845" s="77">
        <v>61.18</v>
      </c>
      <c r="N845" s="365">
        <f t="shared" si="259"/>
        <v>120.38</v>
      </c>
      <c r="O845" s="343">
        <f t="shared" si="260"/>
        <v>56.94</v>
      </c>
      <c r="P845" s="195" t="s">
        <v>5554</v>
      </c>
      <c r="Q845" s="326" t="str">
        <f>IFERROR(VLOOKUP($G845,主力整理!$A$2:$G$2301,6,0),"0")</f>
        <v>0</v>
      </c>
      <c r="T845" s="339">
        <f t="shared" si="261"/>
        <v>0</v>
      </c>
      <c r="V845" s="371">
        <v>0.06</v>
      </c>
      <c r="W845" s="35">
        <v>0.2</v>
      </c>
      <c r="X845" s="59">
        <v>0.35</v>
      </c>
      <c r="Y845" s="37" t="str">
        <f>RTD("money.excel",,"3516","Price")</f>
        <v>無資料</v>
      </c>
      <c r="Z845" s="69"/>
      <c r="AA845" s="16" t="e">
        <f t="shared" si="262"/>
        <v>#VALUE!</v>
      </c>
      <c r="AB845" s="3" t="e">
        <f t="shared" si="263"/>
        <v>#VALUE!</v>
      </c>
      <c r="AD845" s="17" t="s">
        <v>843</v>
      </c>
      <c r="AG845" s="34">
        <f t="shared" si="264"/>
        <v>0</v>
      </c>
      <c r="AH845" s="44" t="s">
        <v>3839</v>
      </c>
      <c r="AI845" s="131"/>
      <c r="AK845" s="66">
        <f t="shared" si="257"/>
        <v>0</v>
      </c>
      <c r="AL845" s="174">
        <f t="shared" si="258"/>
        <v>0</v>
      </c>
      <c r="AM845" s="346">
        <f>RTD("money.excel",,$G845,"PredictVolume")</f>
        <v>0</v>
      </c>
      <c r="AN845" s="272">
        <f>RTD("money.excel",,$G845,"CumulativeVolume")</f>
        <v>0</v>
      </c>
      <c r="AO845" s="284"/>
    </row>
    <row r="846" spans="1:41">
      <c r="A846" s="151" t="s">
        <v>4623</v>
      </c>
      <c r="B846" s="96">
        <v>-79</v>
      </c>
      <c r="C846" s="96">
        <v>-49</v>
      </c>
      <c r="D846" s="96">
        <v>27</v>
      </c>
      <c r="E846" s="96">
        <v>39</v>
      </c>
      <c r="F846" s="7">
        <v>3.12</v>
      </c>
      <c r="G846" s="85">
        <v>3531</v>
      </c>
      <c r="H846" s="4" t="s">
        <v>557</v>
      </c>
      <c r="I846" s="17" t="s">
        <v>845</v>
      </c>
      <c r="J846" s="77">
        <v>72.09</v>
      </c>
      <c r="K846" s="77">
        <v>20.010000000000002</v>
      </c>
      <c r="L846" s="77">
        <v>2.85</v>
      </c>
      <c r="N846" s="365">
        <f t="shared" si="259"/>
        <v>94.95</v>
      </c>
      <c r="O846" s="343">
        <f t="shared" si="260"/>
        <v>72.09</v>
      </c>
      <c r="P846" s="195" t="s">
        <v>5554</v>
      </c>
      <c r="Q846" s="326" t="str">
        <f>IFERROR(VLOOKUP($G846,主力整理!$A$2:$G$2301,6,0),"0")</f>
        <v>0</v>
      </c>
      <c r="T846" s="339">
        <f t="shared" si="261"/>
        <v>0</v>
      </c>
      <c r="V846" s="371">
        <v>12.96</v>
      </c>
      <c r="W846" s="35">
        <v>1</v>
      </c>
      <c r="X846" s="100">
        <v>0.84</v>
      </c>
      <c r="Y846" s="14" t="str">
        <f>RTD("money.excel",,"3531","Price")</f>
        <v>無資料</v>
      </c>
      <c r="Z846" s="69"/>
      <c r="AA846" s="16" t="e">
        <f t="shared" si="262"/>
        <v>#VALUE!</v>
      </c>
      <c r="AB846" s="3" t="e">
        <f t="shared" si="263"/>
        <v>#VALUE!</v>
      </c>
      <c r="AD846" s="17" t="s">
        <v>845</v>
      </c>
      <c r="AG846" s="34">
        <f t="shared" si="264"/>
        <v>0</v>
      </c>
      <c r="AH846" s="44" t="s">
        <v>3840</v>
      </c>
      <c r="AI846" s="131"/>
      <c r="AK846" s="66">
        <f t="shared" si="257"/>
        <v>0</v>
      </c>
      <c r="AL846" s="174">
        <f t="shared" si="258"/>
        <v>0</v>
      </c>
      <c r="AM846" s="346">
        <f>RTD("money.excel",,$G846,"PredictVolume")</f>
        <v>0</v>
      </c>
      <c r="AN846" s="272">
        <f>RTD("money.excel",,$G846,"CumulativeVolume")</f>
        <v>0</v>
      </c>
      <c r="AO846" s="284"/>
    </row>
    <row r="847" spans="1:41">
      <c r="A847" s="151" t="s">
        <v>3289</v>
      </c>
      <c r="B847" s="85">
        <v>-83</v>
      </c>
      <c r="C847" s="85">
        <v>-77</v>
      </c>
      <c r="D847" s="84">
        <v>108</v>
      </c>
      <c r="E847" s="84">
        <v>63</v>
      </c>
      <c r="F847" s="7">
        <v>7.11</v>
      </c>
      <c r="G847" s="85">
        <v>3535</v>
      </c>
      <c r="H847" s="4" t="s">
        <v>557</v>
      </c>
      <c r="I847" s="23" t="s">
        <v>812</v>
      </c>
      <c r="J847" s="77">
        <v>16.52</v>
      </c>
      <c r="K847" s="77">
        <v>2.39</v>
      </c>
      <c r="L847" s="77">
        <v>18.48</v>
      </c>
      <c r="N847" s="365">
        <f t="shared" si="259"/>
        <v>37.39</v>
      </c>
      <c r="O847" s="343">
        <f t="shared" si="260"/>
        <v>16.52</v>
      </c>
      <c r="P847" s="195" t="s">
        <v>5554</v>
      </c>
      <c r="Q847" s="326" t="str">
        <f>IFERROR(VLOOKUP($G847,主力整理!$A$2:$G$2301,6,0),"0")</f>
        <v>0</v>
      </c>
      <c r="T847" s="339">
        <f t="shared" si="261"/>
        <v>0</v>
      </c>
      <c r="V847" s="371">
        <v>1.86</v>
      </c>
      <c r="W847" s="35">
        <v>0</v>
      </c>
      <c r="X847" s="100">
        <v>-1.29</v>
      </c>
      <c r="Y847" s="37" t="str">
        <f>RTD("money.excel",,"3535","Price")</f>
        <v>無資料</v>
      </c>
      <c r="Z847" s="69"/>
      <c r="AA847" s="16" t="e">
        <f t="shared" si="262"/>
        <v>#VALUE!</v>
      </c>
      <c r="AB847" s="3" t="e">
        <f t="shared" si="263"/>
        <v>#VALUE!</v>
      </c>
      <c r="AC847" s="177" t="s">
        <v>2648</v>
      </c>
      <c r="AD847" s="23" t="s">
        <v>812</v>
      </c>
      <c r="AG847" s="34">
        <f t="shared" si="264"/>
        <v>0</v>
      </c>
      <c r="AH847" s="44" t="s">
        <v>4064</v>
      </c>
      <c r="AI847" s="131"/>
      <c r="AK847" s="66">
        <f t="shared" si="257"/>
        <v>0</v>
      </c>
      <c r="AL847" s="174">
        <f t="shared" si="258"/>
        <v>0</v>
      </c>
      <c r="AM847" s="346">
        <f>RTD("money.excel",,$G847,"PredictVolume")</f>
        <v>0</v>
      </c>
      <c r="AN847" s="272">
        <f>RTD("money.excel",,$G847,"CumulativeVolume")</f>
        <v>0</v>
      </c>
      <c r="AO847" s="284"/>
    </row>
    <row r="848" spans="1:41">
      <c r="A848" s="151" t="s">
        <v>4794</v>
      </c>
      <c r="B848" s="85">
        <v>-166</v>
      </c>
      <c r="C848" s="85">
        <v>-504</v>
      </c>
      <c r="D848" s="85">
        <v>-16</v>
      </c>
      <c r="E848" s="85">
        <v>-19</v>
      </c>
      <c r="F848" s="7">
        <v>-4.79</v>
      </c>
      <c r="G848" s="85">
        <v>3543</v>
      </c>
      <c r="H848" s="4" t="s">
        <v>557</v>
      </c>
      <c r="I848" s="23" t="s">
        <v>2912</v>
      </c>
      <c r="J848" s="371">
        <v>55.41</v>
      </c>
      <c r="K848" s="371">
        <v>0.23</v>
      </c>
      <c r="L848" s="371"/>
      <c r="N848" s="365">
        <f t="shared" si="259"/>
        <v>55.639999999999993</v>
      </c>
      <c r="O848" s="343">
        <f t="shared" si="260"/>
        <v>55.41</v>
      </c>
      <c r="P848" s="195" t="s">
        <v>5554</v>
      </c>
      <c r="Q848" s="326" t="str">
        <f>IFERROR(VLOOKUP($G848,主力整理!$A$2:$G$2301,6,0),"0")</f>
        <v>0</v>
      </c>
      <c r="T848" s="339">
        <f t="shared" si="261"/>
        <v>0</v>
      </c>
      <c r="V848" s="371">
        <v>16.02</v>
      </c>
      <c r="W848" s="35">
        <v>1.2</v>
      </c>
      <c r="X848" s="100">
        <v>-4.54</v>
      </c>
      <c r="Y848" s="37" t="str">
        <f>RTD("money.excel",,"3543","Price")</f>
        <v>無資料</v>
      </c>
      <c r="Z848" s="69"/>
      <c r="AA848" s="16" t="e">
        <f t="shared" si="262"/>
        <v>#VALUE!</v>
      </c>
      <c r="AB848" s="3" t="e">
        <f t="shared" si="263"/>
        <v>#VALUE!</v>
      </c>
      <c r="AC848" s="177" t="s">
        <v>2648</v>
      </c>
      <c r="AD848" s="23" t="s">
        <v>2912</v>
      </c>
      <c r="AG848" s="34">
        <f t="shared" si="264"/>
        <v>0</v>
      </c>
      <c r="AH848" s="44" t="s">
        <v>2911</v>
      </c>
      <c r="AI848" s="131"/>
      <c r="AK848" s="66">
        <f t="shared" si="257"/>
        <v>0</v>
      </c>
      <c r="AL848" s="174">
        <f t="shared" si="258"/>
        <v>0</v>
      </c>
      <c r="AM848" s="346">
        <f>RTD("money.excel",,$G848,"PredictVolume")</f>
        <v>0</v>
      </c>
      <c r="AN848" s="272">
        <f>RTD("money.excel",,$G848,"CumulativeVolume")</f>
        <v>0</v>
      </c>
      <c r="AO848" s="284"/>
    </row>
    <row r="849" spans="1:41">
      <c r="A849" s="135" t="s">
        <v>2385</v>
      </c>
      <c r="B849" s="85">
        <v>-33</v>
      </c>
      <c r="C849" s="85">
        <v>-27</v>
      </c>
      <c r="D849" s="84">
        <v>1</v>
      </c>
      <c r="E849" s="84">
        <v>38</v>
      </c>
      <c r="F849" s="59">
        <v>37.630000000000003</v>
      </c>
      <c r="G849" s="85">
        <v>3563</v>
      </c>
      <c r="H849" s="4" t="s">
        <v>557</v>
      </c>
      <c r="I849" s="23" t="s">
        <v>345</v>
      </c>
      <c r="J849" s="371">
        <v>20.83</v>
      </c>
      <c r="K849" s="371">
        <v>11.27</v>
      </c>
      <c r="L849" s="371">
        <v>21.86</v>
      </c>
      <c r="N849" s="365">
        <f t="shared" si="259"/>
        <v>53.959999999999994</v>
      </c>
      <c r="O849" s="343">
        <f t="shared" si="260"/>
        <v>20.83</v>
      </c>
      <c r="P849" s="195">
        <v>4</v>
      </c>
      <c r="Q849" s="326" t="str">
        <f>IFERROR(VLOOKUP($G849,主力整理!$A$2:$G$2301,6,0),"0")</f>
        <v>0</v>
      </c>
      <c r="T849" s="339">
        <f t="shared" si="261"/>
        <v>4</v>
      </c>
      <c r="V849" s="371">
        <v>0.56999999999999995</v>
      </c>
      <c r="W849" s="69">
        <v>3</v>
      </c>
      <c r="X849" s="100">
        <v>15.09</v>
      </c>
      <c r="Y849" s="37" t="str">
        <f>RTD("money.excel",,"3563","Price")</f>
        <v>無資料</v>
      </c>
      <c r="Z849" s="69"/>
      <c r="AA849" s="16" t="e">
        <f t="shared" si="262"/>
        <v>#VALUE!</v>
      </c>
      <c r="AB849" s="3" t="e">
        <f t="shared" si="263"/>
        <v>#VALUE!</v>
      </c>
      <c r="AC849" s="177" t="s">
        <v>2929</v>
      </c>
      <c r="AD849" s="23" t="s">
        <v>345</v>
      </c>
      <c r="AG849" s="34">
        <f t="shared" si="264"/>
        <v>0</v>
      </c>
      <c r="AH849" s="50" t="s">
        <v>4065</v>
      </c>
      <c r="AI849" s="131"/>
      <c r="AK849" s="66">
        <f t="shared" si="257"/>
        <v>0</v>
      </c>
      <c r="AL849" s="174">
        <f t="shared" si="258"/>
        <v>0</v>
      </c>
      <c r="AM849" s="346">
        <f>RTD("money.excel",,$G849,"PredictVolume")</f>
        <v>0</v>
      </c>
      <c r="AN849" s="272">
        <f>RTD("money.excel",,$G849,"CumulativeVolume")</f>
        <v>0</v>
      </c>
      <c r="AO849" s="284"/>
    </row>
    <row r="850" spans="1:41">
      <c r="A850" s="151" t="s">
        <v>2767</v>
      </c>
      <c r="B850" s="84">
        <v>42</v>
      </c>
      <c r="C850" s="84">
        <v>55</v>
      </c>
      <c r="D850" s="85">
        <v>-1</v>
      </c>
      <c r="E850" s="84">
        <v>18</v>
      </c>
      <c r="F850" s="7">
        <v>-8.7799999999999994</v>
      </c>
      <c r="G850" s="85">
        <v>3576</v>
      </c>
      <c r="H850" s="4" t="s">
        <v>557</v>
      </c>
      <c r="I850" s="23" t="s">
        <v>1722</v>
      </c>
      <c r="J850" s="371">
        <v>37.49</v>
      </c>
      <c r="K850" s="371">
        <v>13.93</v>
      </c>
      <c r="N850" s="365">
        <f t="shared" si="259"/>
        <v>51.42</v>
      </c>
      <c r="O850" s="343">
        <f t="shared" si="260"/>
        <v>37.49</v>
      </c>
      <c r="P850" s="195">
        <v>22</v>
      </c>
      <c r="Q850" s="326">
        <v>20</v>
      </c>
      <c r="R850" s="111">
        <v>6</v>
      </c>
      <c r="S850" s="51">
        <v>0</v>
      </c>
      <c r="T850" s="339">
        <f t="shared" si="261"/>
        <v>48</v>
      </c>
      <c r="W850" s="35">
        <v>0</v>
      </c>
      <c r="X850" s="100">
        <v>-2.34</v>
      </c>
      <c r="Y850" s="37" t="str">
        <f>RTD("money.excel",,"3576","Price")</f>
        <v>無資料</v>
      </c>
      <c r="Z850" s="69"/>
      <c r="AA850" s="16" t="e">
        <f t="shared" si="262"/>
        <v>#VALUE!</v>
      </c>
      <c r="AB850" s="3" t="e">
        <f t="shared" si="263"/>
        <v>#VALUE!</v>
      </c>
      <c r="AC850" s="177" t="s">
        <v>2648</v>
      </c>
      <c r="AD850" s="23" t="s">
        <v>1722</v>
      </c>
      <c r="AG850" s="34">
        <f t="shared" si="264"/>
        <v>0</v>
      </c>
      <c r="AH850" s="125" t="s">
        <v>6418</v>
      </c>
      <c r="AI850" s="131"/>
      <c r="AK850" s="66">
        <f t="shared" si="257"/>
        <v>0</v>
      </c>
      <c r="AL850" s="174">
        <f t="shared" si="258"/>
        <v>0</v>
      </c>
      <c r="AM850" s="346">
        <f>RTD("money.excel",,$G850,"PredictVolume")</f>
        <v>0</v>
      </c>
      <c r="AN850" s="272">
        <f>RTD("money.excel",,$G850,"CumulativeVolume")</f>
        <v>0</v>
      </c>
      <c r="AO850" s="284"/>
    </row>
    <row r="851" spans="1:41">
      <c r="A851" s="151" t="s">
        <v>2455</v>
      </c>
      <c r="B851" s="85">
        <v>-726</v>
      </c>
      <c r="C851" s="85">
        <v>-369</v>
      </c>
      <c r="D851" s="84">
        <v>147</v>
      </c>
      <c r="E851" s="84">
        <v>33</v>
      </c>
      <c r="F851" s="7">
        <v>-2.54</v>
      </c>
      <c r="G851" s="85">
        <v>3591</v>
      </c>
      <c r="H851" s="4" t="s">
        <v>557</v>
      </c>
      <c r="I851" s="23" t="s">
        <v>814</v>
      </c>
      <c r="J851" s="77">
        <v>56.8</v>
      </c>
      <c r="K851" s="371">
        <v>5.0999999999999996</v>
      </c>
      <c r="L851" s="371">
        <v>11.92</v>
      </c>
      <c r="N851" s="365">
        <f t="shared" si="259"/>
        <v>73.819999999999993</v>
      </c>
      <c r="O851" s="343">
        <f t="shared" si="260"/>
        <v>56.8</v>
      </c>
      <c r="P851" s="195" t="s">
        <v>5554</v>
      </c>
      <c r="Q851" s="326" t="str">
        <f>IFERROR(VLOOKUP($G851,主力整理!$A$2:$G$2301,6,0),"0")</f>
        <v>0</v>
      </c>
      <c r="T851" s="339">
        <f t="shared" si="261"/>
        <v>0</v>
      </c>
      <c r="V851" s="371">
        <v>8.24</v>
      </c>
      <c r="W851" s="35">
        <v>0.33</v>
      </c>
      <c r="X851" s="100">
        <v>0.35</v>
      </c>
      <c r="Y851" s="37" t="str">
        <f>RTD("money.excel",,"3591","Price")</f>
        <v>無資料</v>
      </c>
      <c r="Z851" s="69"/>
      <c r="AA851" s="16" t="e">
        <f t="shared" si="262"/>
        <v>#VALUE!</v>
      </c>
      <c r="AB851" s="3" t="e">
        <f t="shared" si="263"/>
        <v>#VALUE!</v>
      </c>
      <c r="AC851" s="177" t="s">
        <v>2648</v>
      </c>
      <c r="AD851" s="23" t="s">
        <v>814</v>
      </c>
      <c r="AG851" s="34">
        <f t="shared" si="264"/>
        <v>0</v>
      </c>
      <c r="AH851" s="44" t="s">
        <v>4066</v>
      </c>
      <c r="AI851" s="131"/>
      <c r="AK851" s="66">
        <f t="shared" si="257"/>
        <v>0</v>
      </c>
      <c r="AL851" s="174">
        <f t="shared" si="258"/>
        <v>0</v>
      </c>
      <c r="AM851" s="346">
        <f>RTD("money.excel",,$G851,"PredictVolume")</f>
        <v>0</v>
      </c>
      <c r="AN851" s="272">
        <f>RTD("money.excel",,$G851,"CumulativeVolume")</f>
        <v>0</v>
      </c>
      <c r="AO851" s="284"/>
    </row>
    <row r="852" spans="1:41">
      <c r="A852" s="151" t="s">
        <v>3634</v>
      </c>
      <c r="B852" s="84">
        <v>146</v>
      </c>
      <c r="C852" s="84">
        <v>72</v>
      </c>
      <c r="D852" s="85">
        <v>-20</v>
      </c>
      <c r="E852" s="84">
        <v>82</v>
      </c>
      <c r="F852" s="7">
        <v>-4.6500000000000004</v>
      </c>
      <c r="G852" s="85">
        <v>3615</v>
      </c>
      <c r="H852" s="4" t="s">
        <v>557</v>
      </c>
      <c r="I852" s="17" t="s">
        <v>846</v>
      </c>
      <c r="J852" s="77">
        <v>30.92</v>
      </c>
      <c r="K852" s="371">
        <v>2.4900000000000002</v>
      </c>
      <c r="L852" s="77">
        <v>30</v>
      </c>
      <c r="N852" s="365">
        <f t="shared" si="259"/>
        <v>63.410000000000004</v>
      </c>
      <c r="O852" s="343">
        <f t="shared" si="260"/>
        <v>30.92</v>
      </c>
      <c r="P852" s="195" t="s">
        <v>5554</v>
      </c>
      <c r="Q852" s="326" t="str">
        <f>IFERROR(VLOOKUP($G852,主力整理!$A$2:$G$2301,6,0),"0")</f>
        <v>0</v>
      </c>
      <c r="T852" s="339">
        <f t="shared" si="261"/>
        <v>0</v>
      </c>
      <c r="V852" s="371">
        <v>0.25</v>
      </c>
      <c r="W852" s="35">
        <v>0</v>
      </c>
      <c r="X852" s="100">
        <v>0.28999999999999998</v>
      </c>
      <c r="Y852" s="37" t="str">
        <f>RTD("money.excel",,"3615","Price")</f>
        <v>無資料</v>
      </c>
      <c r="Z852" s="69"/>
      <c r="AA852" s="16" t="e">
        <f t="shared" si="262"/>
        <v>#VALUE!</v>
      </c>
      <c r="AB852" s="3" t="e">
        <f t="shared" si="263"/>
        <v>#VALUE!</v>
      </c>
      <c r="AD852" s="17" t="s">
        <v>846</v>
      </c>
      <c r="AG852" s="34">
        <f t="shared" si="264"/>
        <v>0</v>
      </c>
      <c r="AH852" s="44" t="s">
        <v>3841</v>
      </c>
      <c r="AI852" s="131"/>
      <c r="AK852" s="66">
        <f t="shared" si="257"/>
        <v>0</v>
      </c>
      <c r="AL852" s="174">
        <f t="shared" si="258"/>
        <v>0</v>
      </c>
      <c r="AM852" s="346">
        <f>RTD("money.excel",,$G852,"PredictVolume")</f>
        <v>0</v>
      </c>
      <c r="AN852" s="272">
        <f>RTD("money.excel",,$G852,"CumulativeVolume")</f>
        <v>0</v>
      </c>
      <c r="AO852" s="284"/>
    </row>
    <row r="853" spans="1:41">
      <c r="A853" s="151" t="s">
        <v>2779</v>
      </c>
      <c r="B853" s="84">
        <v>525</v>
      </c>
      <c r="C853" s="84">
        <v>169</v>
      </c>
      <c r="D853" s="85">
        <v>-15</v>
      </c>
      <c r="E853" s="84">
        <v>23</v>
      </c>
      <c r="F853" s="7">
        <v>6.78</v>
      </c>
      <c r="G853" s="85">
        <v>3622</v>
      </c>
      <c r="H853" s="4" t="s">
        <v>557</v>
      </c>
      <c r="I853" s="23" t="s">
        <v>815</v>
      </c>
      <c r="J853" s="371">
        <v>51.32</v>
      </c>
      <c r="K853" s="77">
        <v>4.87</v>
      </c>
      <c r="L853" s="371">
        <v>8.1199999999999992</v>
      </c>
      <c r="N853" s="365">
        <f t="shared" si="259"/>
        <v>64.31</v>
      </c>
      <c r="O853" s="343">
        <f t="shared" si="260"/>
        <v>51.32</v>
      </c>
      <c r="P853" s="195">
        <v>1</v>
      </c>
      <c r="Q853" s="326" t="str">
        <f>IFERROR(VLOOKUP($G853,主力整理!$A$2:$G$2301,6,0),"0")</f>
        <v>0</v>
      </c>
      <c r="R853" s="111">
        <v>11</v>
      </c>
      <c r="T853" s="339">
        <f t="shared" si="261"/>
        <v>12</v>
      </c>
      <c r="V853" s="371">
        <v>2.4700000000000002</v>
      </c>
      <c r="W853" s="35">
        <v>1</v>
      </c>
      <c r="X853" s="59">
        <v>1.48</v>
      </c>
      <c r="Y853" s="37" t="str">
        <f>RTD("money.excel",,"3622","Price")</f>
        <v>無資料</v>
      </c>
      <c r="Z853" s="69"/>
      <c r="AA853" s="16" t="e">
        <f t="shared" si="262"/>
        <v>#VALUE!</v>
      </c>
      <c r="AB853" s="3" t="e">
        <f t="shared" si="263"/>
        <v>#VALUE!</v>
      </c>
      <c r="AC853" s="177" t="s">
        <v>2648</v>
      </c>
      <c r="AD853" s="23" t="s">
        <v>815</v>
      </c>
      <c r="AG853" s="34">
        <f t="shared" si="264"/>
        <v>0</v>
      </c>
      <c r="AH853" s="44" t="s">
        <v>3465</v>
      </c>
      <c r="AI853" s="131"/>
      <c r="AK853" s="66">
        <f t="shared" si="257"/>
        <v>0</v>
      </c>
      <c r="AL853" s="174">
        <f t="shared" si="258"/>
        <v>0</v>
      </c>
      <c r="AM853" s="346">
        <f>RTD("money.excel",,$G853,"PredictVolume")</f>
        <v>0</v>
      </c>
      <c r="AN853" s="272">
        <f>RTD("money.excel",,$G853,"CumulativeVolume")</f>
        <v>0</v>
      </c>
      <c r="AO853" s="284"/>
    </row>
    <row r="854" spans="1:41">
      <c r="A854" s="151" t="s">
        <v>2609</v>
      </c>
      <c r="B854" s="85">
        <v>-94</v>
      </c>
      <c r="C854" s="85">
        <v>-114</v>
      </c>
      <c r="D854" s="85">
        <v>-1</v>
      </c>
      <c r="E854" s="85">
        <v>-53</v>
      </c>
      <c r="F854" s="7">
        <v>-2.2799999999999998</v>
      </c>
      <c r="G854" s="85">
        <v>3623</v>
      </c>
      <c r="H854" s="4" t="s">
        <v>557</v>
      </c>
      <c r="I854" s="17" t="s">
        <v>847</v>
      </c>
      <c r="J854" s="77">
        <v>56.18</v>
      </c>
      <c r="K854" s="77">
        <v>4.13</v>
      </c>
      <c r="L854" s="371">
        <v>3.4</v>
      </c>
      <c r="N854" s="365">
        <f t="shared" si="259"/>
        <v>63.71</v>
      </c>
      <c r="O854" s="343">
        <f t="shared" si="260"/>
        <v>56.18</v>
      </c>
      <c r="P854" s="195" t="s">
        <v>5554</v>
      </c>
      <c r="Q854" s="326" t="str">
        <f>IFERROR(VLOOKUP($G854,主力整理!$A$2:$G$2301,6,0),"0")</f>
        <v>0</v>
      </c>
      <c r="T854" s="339">
        <f t="shared" si="261"/>
        <v>0</v>
      </c>
      <c r="V854" s="371">
        <v>53.78</v>
      </c>
      <c r="W854" s="35">
        <v>0</v>
      </c>
      <c r="X854" s="59">
        <v>-1.1200000000000001</v>
      </c>
      <c r="Y854" s="37" t="str">
        <f>RTD("money.excel",,"3623","Price")</f>
        <v>無資料</v>
      </c>
      <c r="Z854" s="69"/>
      <c r="AA854" s="16" t="e">
        <f t="shared" si="262"/>
        <v>#VALUE!</v>
      </c>
      <c r="AB854" s="3" t="e">
        <f t="shared" si="263"/>
        <v>#VALUE!</v>
      </c>
      <c r="AC854" s="177" t="s">
        <v>2648</v>
      </c>
      <c r="AD854" s="17" t="s">
        <v>847</v>
      </c>
      <c r="AG854" s="34">
        <f t="shared" si="264"/>
        <v>0</v>
      </c>
      <c r="AH854" s="44" t="s">
        <v>2249</v>
      </c>
      <c r="AI854" s="131"/>
      <c r="AK854" s="66">
        <f t="shared" si="257"/>
        <v>0</v>
      </c>
      <c r="AL854" s="174">
        <f t="shared" si="258"/>
        <v>0</v>
      </c>
      <c r="AM854" s="346">
        <f>RTD("money.excel",,$G854,"PredictVolume")</f>
        <v>0</v>
      </c>
      <c r="AN854" s="272">
        <f>RTD("money.excel",,$G854,"CumulativeVolume")</f>
        <v>0</v>
      </c>
      <c r="AO854" s="284"/>
    </row>
    <row r="855" spans="1:41">
      <c r="A855" s="151" t="s">
        <v>2913</v>
      </c>
      <c r="B855" s="85">
        <v>-154</v>
      </c>
      <c r="C855" s="85">
        <v>-170</v>
      </c>
      <c r="D855" s="84">
        <v>22</v>
      </c>
      <c r="E855" s="84">
        <v>37</v>
      </c>
      <c r="F855" s="59">
        <v>-13.11</v>
      </c>
      <c r="G855" s="85">
        <v>3630</v>
      </c>
      <c r="H855" s="54" t="s">
        <v>557</v>
      </c>
      <c r="I855" s="25" t="s">
        <v>460</v>
      </c>
      <c r="J855" s="371">
        <v>50.8</v>
      </c>
      <c r="K855" s="77">
        <v>36.94</v>
      </c>
      <c r="L855" s="371">
        <v>31.14</v>
      </c>
      <c r="N855" s="365">
        <f t="shared" si="259"/>
        <v>118.88</v>
      </c>
      <c r="O855" s="343">
        <f t="shared" si="260"/>
        <v>50.8</v>
      </c>
      <c r="P855" s="195">
        <v>2</v>
      </c>
      <c r="Q855" s="326" t="str">
        <f>IFERROR(VLOOKUP($G855,主力整理!$A$2:$G$2301,6,0),"0")</f>
        <v>0</v>
      </c>
      <c r="T855" s="339">
        <f t="shared" si="261"/>
        <v>2</v>
      </c>
      <c r="V855" s="371">
        <v>1.62</v>
      </c>
      <c r="W855" s="35">
        <v>0</v>
      </c>
      <c r="X855" s="59">
        <v>-1.51</v>
      </c>
      <c r="Y855" s="37" t="str">
        <f>RTD("money.excel",,"3630","Price")</f>
        <v>無資料</v>
      </c>
      <c r="Z855" s="69"/>
      <c r="AA855" s="16" t="e">
        <f t="shared" si="262"/>
        <v>#VALUE!</v>
      </c>
      <c r="AB855" s="3" t="e">
        <f t="shared" si="263"/>
        <v>#VALUE!</v>
      </c>
      <c r="AC855" s="177" t="s">
        <v>2648</v>
      </c>
      <c r="AD855" s="25" t="s">
        <v>460</v>
      </c>
      <c r="AG855" s="34">
        <f t="shared" si="264"/>
        <v>0</v>
      </c>
      <c r="AH855" s="127" t="s">
        <v>3014</v>
      </c>
      <c r="AI855" s="131"/>
      <c r="AK855" s="66">
        <f t="shared" si="257"/>
        <v>0</v>
      </c>
      <c r="AL855" s="174">
        <f t="shared" si="258"/>
        <v>0</v>
      </c>
      <c r="AM855" s="346">
        <f>RTD("money.excel",,$G855,"PredictVolume")</f>
        <v>0</v>
      </c>
      <c r="AN855" s="272">
        <f>RTD("money.excel",,$G855,"CumulativeVolume")</f>
        <v>0</v>
      </c>
      <c r="AO855" s="284"/>
    </row>
    <row r="856" spans="1:41">
      <c r="A856" s="151" t="s">
        <v>2959</v>
      </c>
      <c r="B856" s="85">
        <v>-97</v>
      </c>
      <c r="C856" s="85">
        <v>-101</v>
      </c>
      <c r="D856" s="84">
        <v>12</v>
      </c>
      <c r="E856" s="85">
        <v>-33</v>
      </c>
      <c r="F856" s="7">
        <v>-0.08</v>
      </c>
      <c r="G856" s="85">
        <v>3666</v>
      </c>
      <c r="H856" s="4" t="s">
        <v>557</v>
      </c>
      <c r="I856" s="17" t="s">
        <v>848</v>
      </c>
      <c r="J856" s="77">
        <v>50.34</v>
      </c>
      <c r="K856" s="77">
        <v>5.0999999999999996</v>
      </c>
      <c r="L856" s="371">
        <v>18.82</v>
      </c>
      <c r="M856" s="371">
        <v>41.39</v>
      </c>
      <c r="N856" s="365">
        <f t="shared" si="259"/>
        <v>115.65</v>
      </c>
      <c r="O856" s="343">
        <f t="shared" si="260"/>
        <v>91.73</v>
      </c>
      <c r="P856" s="195">
        <v>2</v>
      </c>
      <c r="Q856" s="326">
        <v>4</v>
      </c>
      <c r="R856" s="111">
        <v>23</v>
      </c>
      <c r="S856" s="51">
        <v>23</v>
      </c>
      <c r="T856" s="339">
        <f t="shared" si="261"/>
        <v>52</v>
      </c>
      <c r="U856" s="329" t="s">
        <v>6538</v>
      </c>
      <c r="V856" s="371">
        <v>1.97</v>
      </c>
      <c r="W856" s="35">
        <v>2</v>
      </c>
      <c r="X856" s="59">
        <v>1.24</v>
      </c>
      <c r="Y856" s="37" t="str">
        <f>RTD("money.excel",,"3666","Price")</f>
        <v>無資料</v>
      </c>
      <c r="Z856" s="69"/>
      <c r="AA856" s="16" t="e">
        <f t="shared" si="262"/>
        <v>#VALUE!</v>
      </c>
      <c r="AB856" s="3" t="e">
        <f t="shared" si="263"/>
        <v>#VALUE!</v>
      </c>
      <c r="AC856" s="177" t="s">
        <v>2648</v>
      </c>
      <c r="AD856" s="17" t="s">
        <v>848</v>
      </c>
      <c r="AG856" s="34">
        <f t="shared" si="264"/>
        <v>0</v>
      </c>
      <c r="AH856" s="44" t="s">
        <v>5391</v>
      </c>
      <c r="AI856" s="284"/>
      <c r="AK856" s="66">
        <f t="shared" si="257"/>
        <v>0</v>
      </c>
      <c r="AL856" s="174">
        <f t="shared" si="258"/>
        <v>0</v>
      </c>
      <c r="AM856" s="346">
        <f>RTD("money.excel",,$G856,"PredictVolume")</f>
        <v>0</v>
      </c>
      <c r="AN856" s="272">
        <f>RTD("money.excel",,$G856,"CumulativeVolume")</f>
        <v>0</v>
      </c>
      <c r="AO856" s="284"/>
    </row>
    <row r="857" spans="1:41">
      <c r="A857" s="135" t="s">
        <v>2726</v>
      </c>
      <c r="B857" s="84">
        <v>5</v>
      </c>
      <c r="C857" s="85">
        <v>-8</v>
      </c>
      <c r="D857" s="85">
        <v>-5</v>
      </c>
      <c r="E857" s="85">
        <v>-44</v>
      </c>
      <c r="F857" s="59">
        <v>20.440000000000001</v>
      </c>
      <c r="G857" s="85">
        <v>3669</v>
      </c>
      <c r="H857" s="4" t="s">
        <v>557</v>
      </c>
      <c r="I857" s="23" t="s">
        <v>1723</v>
      </c>
      <c r="J857" s="371">
        <v>54.51</v>
      </c>
      <c r="K857" s="77">
        <v>1.63</v>
      </c>
      <c r="L857" s="371">
        <v>14.45</v>
      </c>
      <c r="M857" s="371">
        <v>36.6</v>
      </c>
      <c r="N857" s="365">
        <f t="shared" si="259"/>
        <v>107.19</v>
      </c>
      <c r="O857" s="369">
        <f t="shared" si="260"/>
        <v>91.11</v>
      </c>
      <c r="P857" s="195">
        <v>9</v>
      </c>
      <c r="Q857" s="326">
        <v>9</v>
      </c>
      <c r="R857" s="111">
        <v>27</v>
      </c>
      <c r="S857" s="51">
        <v>16</v>
      </c>
      <c r="T857" s="339">
        <f t="shared" si="261"/>
        <v>61</v>
      </c>
      <c r="U857" s="329" t="s">
        <v>6539</v>
      </c>
      <c r="V857" s="371">
        <v>2.4300000000000002</v>
      </c>
      <c r="W857" s="69">
        <v>5</v>
      </c>
      <c r="X857" s="59">
        <v>8.8000000000000007</v>
      </c>
      <c r="Y857" s="37" t="str">
        <f>RTD("money.excel",,"3669","Price")</f>
        <v>無資料</v>
      </c>
      <c r="Z857" s="69"/>
      <c r="AA857" s="16" t="e">
        <f t="shared" si="262"/>
        <v>#VALUE!</v>
      </c>
      <c r="AB857" s="3" t="e">
        <f t="shared" si="263"/>
        <v>#VALUE!</v>
      </c>
      <c r="AC857" s="177" t="s">
        <v>2929</v>
      </c>
      <c r="AD857" s="23" t="s">
        <v>1723</v>
      </c>
      <c r="AG857" s="34">
        <f t="shared" si="264"/>
        <v>0</v>
      </c>
      <c r="AH857" s="126" t="s">
        <v>3012</v>
      </c>
      <c r="AI857" s="131"/>
      <c r="AK857" s="66">
        <f t="shared" si="257"/>
        <v>0</v>
      </c>
      <c r="AL857" s="174">
        <f t="shared" si="258"/>
        <v>0</v>
      </c>
      <c r="AM857" s="346">
        <f>RTD("money.excel",,$G857,"PredictVolume")</f>
        <v>0</v>
      </c>
      <c r="AN857" s="272">
        <f>RTD("money.excel",,$G857,"CumulativeVolume")</f>
        <v>0</v>
      </c>
      <c r="AO857" s="284"/>
    </row>
    <row r="858" spans="1:41">
      <c r="A858" s="151" t="s">
        <v>2573</v>
      </c>
      <c r="B858" s="84">
        <v>92</v>
      </c>
      <c r="C858" s="85">
        <v>-53</v>
      </c>
      <c r="D858" s="85">
        <v>-12</v>
      </c>
      <c r="E858" s="85">
        <v>-20</v>
      </c>
      <c r="F858" s="7">
        <v>0.46</v>
      </c>
      <c r="G858" s="85">
        <v>3673</v>
      </c>
      <c r="H858" s="4" t="s">
        <v>557</v>
      </c>
      <c r="I858" s="23" t="s">
        <v>94</v>
      </c>
      <c r="J858" s="77">
        <v>35.6</v>
      </c>
      <c r="K858" s="77">
        <v>38.659999999999997</v>
      </c>
      <c r="L858" s="371">
        <v>14.73</v>
      </c>
      <c r="N858" s="365">
        <f t="shared" si="259"/>
        <v>88.99</v>
      </c>
      <c r="O858" s="343">
        <f t="shared" si="260"/>
        <v>35.6</v>
      </c>
      <c r="P858" s="195">
        <v>3</v>
      </c>
      <c r="Q858" s="326">
        <v>4</v>
      </c>
      <c r="R858" s="111">
        <v>4</v>
      </c>
      <c r="S858" s="51">
        <v>3</v>
      </c>
      <c r="T858" s="339">
        <f t="shared" si="261"/>
        <v>14</v>
      </c>
      <c r="V858" s="371">
        <v>0.89</v>
      </c>
      <c r="W858" s="35">
        <v>1</v>
      </c>
      <c r="X858" s="100">
        <v>3.33</v>
      </c>
      <c r="Y858" s="37" t="str">
        <f>RTD("money.excel",,"3673","Price")</f>
        <v>無資料</v>
      </c>
      <c r="Z858" s="69"/>
      <c r="AA858" s="16" t="e">
        <f t="shared" si="262"/>
        <v>#VALUE!</v>
      </c>
      <c r="AB858" s="3" t="e">
        <f t="shared" si="263"/>
        <v>#VALUE!</v>
      </c>
      <c r="AC858" s="177" t="s">
        <v>2648</v>
      </c>
      <c r="AD858" s="23" t="s">
        <v>94</v>
      </c>
      <c r="AG858" s="34">
        <f t="shared" si="264"/>
        <v>0</v>
      </c>
      <c r="AH858" s="125" t="s">
        <v>3848</v>
      </c>
      <c r="AI858" s="131"/>
      <c r="AK858" s="66">
        <f t="shared" si="257"/>
        <v>0</v>
      </c>
      <c r="AL858" s="174">
        <f t="shared" si="258"/>
        <v>0</v>
      </c>
      <c r="AM858" s="346">
        <f>RTD("money.excel",,$G858,"PredictVolume")</f>
        <v>0</v>
      </c>
      <c r="AN858" s="272">
        <f>RTD("money.excel",,$G858,"CumulativeVolume")</f>
        <v>0</v>
      </c>
      <c r="AO858" s="284"/>
    </row>
    <row r="859" spans="1:41">
      <c r="A859" s="151" t="s">
        <v>3425</v>
      </c>
      <c r="B859" s="85">
        <v>-74</v>
      </c>
      <c r="C859" s="85">
        <v>-153</v>
      </c>
      <c r="D859" s="85">
        <v>-39</v>
      </c>
      <c r="E859" s="84">
        <v>234</v>
      </c>
      <c r="F859" s="7">
        <v>-1.56</v>
      </c>
      <c r="G859" s="85">
        <v>3685</v>
      </c>
      <c r="H859" s="4" t="s">
        <v>557</v>
      </c>
      <c r="I859" s="17" t="s">
        <v>1724</v>
      </c>
      <c r="J859" s="77">
        <v>64.52</v>
      </c>
      <c r="K859" s="371">
        <v>2.57</v>
      </c>
      <c r="L859" s="371">
        <v>6</v>
      </c>
      <c r="N859" s="365">
        <f t="shared" si="259"/>
        <v>73.089999999999989</v>
      </c>
      <c r="O859" s="343">
        <f t="shared" si="260"/>
        <v>64.52</v>
      </c>
      <c r="P859" s="195" t="s">
        <v>5554</v>
      </c>
      <c r="Q859" s="326" t="str">
        <f>IFERROR(VLOOKUP($G859,主力整理!$A$2:$G$2301,6,0),"0")</f>
        <v>0</v>
      </c>
      <c r="T859" s="339">
        <f t="shared" si="261"/>
        <v>0</v>
      </c>
      <c r="V859" s="371">
        <v>0.28000000000000003</v>
      </c>
      <c r="W859" s="35">
        <v>0.2</v>
      </c>
      <c r="X859" s="59">
        <v>0.1</v>
      </c>
      <c r="Y859" s="37" t="str">
        <f>RTD("money.excel",,"3685","Price")</f>
        <v>無資料</v>
      </c>
      <c r="Z859" s="69"/>
      <c r="AA859" s="16" t="e">
        <f t="shared" si="262"/>
        <v>#VALUE!</v>
      </c>
      <c r="AB859" s="3" t="e">
        <f t="shared" si="263"/>
        <v>#VALUE!</v>
      </c>
      <c r="AC859" s="177" t="s">
        <v>2648</v>
      </c>
      <c r="AD859" s="17" t="s">
        <v>1724</v>
      </c>
      <c r="AG859" s="34">
        <f t="shared" si="264"/>
        <v>0</v>
      </c>
      <c r="AH859" s="44" t="s">
        <v>5079</v>
      </c>
      <c r="AI859" s="131"/>
      <c r="AK859" s="66">
        <f t="shared" si="257"/>
        <v>0</v>
      </c>
      <c r="AL859" s="174">
        <f t="shared" si="258"/>
        <v>0</v>
      </c>
      <c r="AM859" s="346">
        <f>RTD("money.excel",,$G859,"PredictVolume")</f>
        <v>0</v>
      </c>
      <c r="AN859" s="272">
        <f>RTD("money.excel",,$G859,"CumulativeVolume")</f>
        <v>0</v>
      </c>
      <c r="AO859" s="284"/>
    </row>
    <row r="860" spans="1:41">
      <c r="A860" s="151" t="s">
        <v>5319</v>
      </c>
      <c r="B860" s="84">
        <v>125</v>
      </c>
      <c r="C860" s="84">
        <v>27</v>
      </c>
      <c r="D860" s="85">
        <v>-9</v>
      </c>
      <c r="E860" s="84">
        <v>10</v>
      </c>
      <c r="F860" s="7">
        <v>3.18</v>
      </c>
      <c r="G860" s="85">
        <v>3691</v>
      </c>
      <c r="H860" s="55" t="s">
        <v>557</v>
      </c>
      <c r="I860" s="17" t="s">
        <v>69</v>
      </c>
      <c r="J860" s="371">
        <v>54.18</v>
      </c>
      <c r="K860" s="371">
        <v>16.46</v>
      </c>
      <c r="L860" s="371">
        <v>12</v>
      </c>
      <c r="N860" s="365">
        <f t="shared" si="259"/>
        <v>82.64</v>
      </c>
      <c r="O860" s="343">
        <f t="shared" si="260"/>
        <v>54.18</v>
      </c>
      <c r="P860" s="195">
        <v>2</v>
      </c>
      <c r="Q860" s="326" t="str">
        <f>IFERROR(VLOOKUP($G860,主力整理!$A$2:$G$2301,6,0),"0")</f>
        <v>0</v>
      </c>
      <c r="R860" s="111">
        <v>13</v>
      </c>
      <c r="T860" s="339">
        <f t="shared" si="261"/>
        <v>15</v>
      </c>
      <c r="V860" s="371">
        <v>17.829999999999998</v>
      </c>
      <c r="W860" s="35">
        <v>2</v>
      </c>
      <c r="X860" s="59">
        <v>4.7300000000000004</v>
      </c>
      <c r="Y860" s="37" t="str">
        <f>RTD("money.excel",,"3691","Price")</f>
        <v>無資料</v>
      </c>
      <c r="Z860" s="69"/>
      <c r="AA860" s="16" t="e">
        <f t="shared" si="262"/>
        <v>#VALUE!</v>
      </c>
      <c r="AB860" s="3" t="e">
        <f t="shared" si="263"/>
        <v>#VALUE!</v>
      </c>
      <c r="AC860" s="177" t="s">
        <v>2648</v>
      </c>
      <c r="AD860" s="17" t="s">
        <v>69</v>
      </c>
      <c r="AG860" s="34">
        <f t="shared" si="264"/>
        <v>0</v>
      </c>
      <c r="AH860" s="125" t="s">
        <v>2181</v>
      </c>
      <c r="AI860" s="131"/>
      <c r="AK860" s="66">
        <f t="shared" si="257"/>
        <v>0</v>
      </c>
      <c r="AL860" s="174">
        <f t="shared" si="258"/>
        <v>0</v>
      </c>
      <c r="AM860" s="346">
        <f>RTD("money.excel",,$G860,"PredictVolume")</f>
        <v>0</v>
      </c>
      <c r="AN860" s="272">
        <f>RTD("money.excel",,$G860,"CumulativeVolume")</f>
        <v>0</v>
      </c>
      <c r="AO860" s="284"/>
    </row>
    <row r="861" spans="1:41">
      <c r="A861" s="151" t="s">
        <v>2906</v>
      </c>
      <c r="B861" s="98">
        <v>2639</v>
      </c>
      <c r="C861" s="98">
        <v>2126</v>
      </c>
      <c r="D861" s="84">
        <v>42</v>
      </c>
      <c r="E861" s="98">
        <v>1154</v>
      </c>
      <c r="F861" s="7">
        <v>9.25</v>
      </c>
      <c r="G861" s="85">
        <v>3713</v>
      </c>
      <c r="H861" s="4" t="s">
        <v>557</v>
      </c>
      <c r="I861" s="17" t="s">
        <v>3276</v>
      </c>
      <c r="J861" s="371">
        <v>51.08</v>
      </c>
      <c r="K861" s="77">
        <v>0.34</v>
      </c>
      <c r="N861" s="365">
        <f t="shared" si="259"/>
        <v>51.42</v>
      </c>
      <c r="O861" s="343">
        <f t="shared" si="260"/>
        <v>51.08</v>
      </c>
      <c r="P861" s="195" t="s">
        <v>5554</v>
      </c>
      <c r="Q861" s="326" t="str">
        <f>IFERROR(VLOOKUP($G861,主力整理!$A$2:$G$2301,6,0),"0")</f>
        <v>0</v>
      </c>
      <c r="R861" s="111">
        <v>1</v>
      </c>
      <c r="T861" s="339">
        <f t="shared" si="261"/>
        <v>1</v>
      </c>
      <c r="W861" s="35">
        <v>0</v>
      </c>
      <c r="X861" s="59">
        <v>0.32</v>
      </c>
      <c r="Y861" s="37" t="str">
        <f>RTD("money.excel",,"3713","Price")</f>
        <v>無資料</v>
      </c>
      <c r="Z861" s="69"/>
      <c r="AA861" s="16" t="e">
        <f t="shared" si="262"/>
        <v>#VALUE!</v>
      </c>
      <c r="AB861" s="3" t="e">
        <f t="shared" si="263"/>
        <v>#VALUE!</v>
      </c>
      <c r="AC861" s="177" t="s">
        <v>2648</v>
      </c>
      <c r="AD861" s="17" t="s">
        <v>3276</v>
      </c>
      <c r="AG861" s="34">
        <f t="shared" si="264"/>
        <v>0</v>
      </c>
      <c r="AH861" s="44" t="s">
        <v>5318</v>
      </c>
      <c r="AI861" s="131"/>
      <c r="AK861" s="66">
        <f t="shared" si="257"/>
        <v>0</v>
      </c>
      <c r="AL861" s="174">
        <f t="shared" si="258"/>
        <v>0</v>
      </c>
      <c r="AM861" s="346">
        <f>RTD("money.excel",,$G861,"PredictVolume")</f>
        <v>0</v>
      </c>
      <c r="AN861" s="272">
        <f>RTD("money.excel",,$G861,"CumulativeVolume")</f>
        <v>0</v>
      </c>
      <c r="AO861" s="284"/>
    </row>
    <row r="862" spans="1:41">
      <c r="A862" s="151" t="s">
        <v>5253</v>
      </c>
      <c r="B862" s="84">
        <v>76</v>
      </c>
      <c r="C862" s="84">
        <v>86</v>
      </c>
      <c r="D862" s="84">
        <v>13</v>
      </c>
      <c r="E862" s="85"/>
      <c r="F862" s="7">
        <v>-4.79</v>
      </c>
      <c r="G862" s="85">
        <v>3714</v>
      </c>
      <c r="H862" s="4" t="s">
        <v>557</v>
      </c>
      <c r="I862" s="23" t="s">
        <v>3577</v>
      </c>
      <c r="J862" s="371">
        <v>35.76</v>
      </c>
      <c r="K862" s="371">
        <v>18.11</v>
      </c>
      <c r="L862" s="371">
        <v>17.760000000000002</v>
      </c>
      <c r="N862" s="365">
        <f t="shared" si="259"/>
        <v>71.63</v>
      </c>
      <c r="O862" s="343">
        <f t="shared" si="260"/>
        <v>35.76</v>
      </c>
      <c r="P862" s="195">
        <v>19</v>
      </c>
      <c r="Q862" s="326" t="str">
        <f>IFERROR(VLOOKUP($G862,主力整理!$A$2:$G$2301,6,0),"0")</f>
        <v>0</v>
      </c>
      <c r="T862" s="339">
        <f t="shared" si="261"/>
        <v>19</v>
      </c>
      <c r="V862" s="371">
        <v>0.08</v>
      </c>
      <c r="W862" s="35"/>
      <c r="X862" s="100"/>
      <c r="Y862" s="37" t="str">
        <f>RTD("money.excel",,"3714","Price")</f>
        <v>無資料</v>
      </c>
      <c r="Z862" s="69"/>
      <c r="AA862" s="16" t="e">
        <f t="shared" si="262"/>
        <v>#VALUE!</v>
      </c>
      <c r="AB862" s="3" t="e">
        <f t="shared" si="263"/>
        <v>#VALUE!</v>
      </c>
      <c r="AC862" s="177" t="s">
        <v>2648</v>
      </c>
      <c r="AD862" s="23" t="s">
        <v>3577</v>
      </c>
      <c r="AG862" s="34">
        <f t="shared" si="264"/>
        <v>0</v>
      </c>
      <c r="AH862" s="125" t="s">
        <v>4343</v>
      </c>
      <c r="AI862" s="131"/>
      <c r="AK862" s="66">
        <f t="shared" si="257"/>
        <v>0</v>
      </c>
      <c r="AL862" s="174">
        <f t="shared" si="258"/>
        <v>0</v>
      </c>
      <c r="AM862" s="346">
        <f>RTD("money.excel",,$G862,"PredictVolume")</f>
        <v>0</v>
      </c>
      <c r="AN862" s="272">
        <f>RTD("money.excel",,$G862,"CumulativeVolume")</f>
        <v>0</v>
      </c>
      <c r="AO862" s="284"/>
    </row>
    <row r="863" spans="1:41">
      <c r="A863" s="151" t="s">
        <v>2668</v>
      </c>
      <c r="B863" s="96">
        <v>56</v>
      </c>
      <c r="C863" s="96">
        <v>-14</v>
      </c>
      <c r="D863" s="96">
        <v>14</v>
      </c>
      <c r="E863" s="96">
        <v>-29</v>
      </c>
      <c r="F863" s="7">
        <v>-9.1</v>
      </c>
      <c r="G863" s="85">
        <v>4729</v>
      </c>
      <c r="H863" s="4" t="s">
        <v>557</v>
      </c>
      <c r="I863" s="17" t="s">
        <v>849</v>
      </c>
      <c r="J863" s="77">
        <v>56.73</v>
      </c>
      <c r="K863" s="77">
        <v>0</v>
      </c>
      <c r="N863" s="365">
        <f t="shared" si="259"/>
        <v>56.73</v>
      </c>
      <c r="O863" s="343">
        <f t="shared" si="260"/>
        <v>56.73</v>
      </c>
      <c r="P863" s="195">
        <v>1</v>
      </c>
      <c r="Q863" s="326" t="str">
        <f>IFERROR(VLOOKUP($G863,主力整理!$A$2:$G$2301,6,0),"0")</f>
        <v>0</v>
      </c>
      <c r="T863" s="339">
        <f t="shared" si="261"/>
        <v>1</v>
      </c>
      <c r="V863" s="371">
        <v>22.62</v>
      </c>
      <c r="W863" s="35">
        <v>0</v>
      </c>
      <c r="X863" s="100">
        <v>-1.1000000000000001</v>
      </c>
      <c r="Y863" s="14" t="str">
        <f>RTD("money.excel",,"4729","Price")</f>
        <v>無資料</v>
      </c>
      <c r="Z863" s="69"/>
      <c r="AA863" s="16" t="e">
        <f t="shared" si="262"/>
        <v>#VALUE!</v>
      </c>
      <c r="AB863" s="3" t="e">
        <f t="shared" si="263"/>
        <v>#VALUE!</v>
      </c>
      <c r="AC863" s="177" t="s">
        <v>2648</v>
      </c>
      <c r="AD863" s="17" t="s">
        <v>849</v>
      </c>
      <c r="AG863" s="34">
        <f t="shared" si="264"/>
        <v>0</v>
      </c>
      <c r="AH863" s="44" t="s">
        <v>2250</v>
      </c>
      <c r="AI863" s="131"/>
      <c r="AK863" s="66">
        <f t="shared" si="257"/>
        <v>0</v>
      </c>
      <c r="AL863" s="174">
        <f t="shared" si="258"/>
        <v>0</v>
      </c>
      <c r="AM863" s="346">
        <f>RTD("money.excel",,$G863,"PredictVolume")</f>
        <v>0</v>
      </c>
      <c r="AN863" s="272">
        <f>RTD("money.excel",,$G863,"CumulativeVolume")</f>
        <v>0</v>
      </c>
      <c r="AO863" s="284"/>
    </row>
    <row r="864" spans="1:41">
      <c r="A864" s="151" t="s">
        <v>2500</v>
      </c>
      <c r="B864" s="84">
        <v>28</v>
      </c>
      <c r="C864" s="84">
        <v>69</v>
      </c>
      <c r="D864" s="84">
        <v>2</v>
      </c>
      <c r="E864" s="84">
        <v>20</v>
      </c>
      <c r="F864" s="7">
        <v>7.48</v>
      </c>
      <c r="G864" s="85">
        <v>4933</v>
      </c>
      <c r="H864" s="4" t="s">
        <v>557</v>
      </c>
      <c r="I864" s="17" t="s">
        <v>276</v>
      </c>
      <c r="J864" s="77">
        <v>60.3</v>
      </c>
      <c r="K864" s="371">
        <v>5.6</v>
      </c>
      <c r="L864" s="371">
        <v>12.24</v>
      </c>
      <c r="N864" s="365">
        <f t="shared" si="259"/>
        <v>78.139999999999986</v>
      </c>
      <c r="O864" s="343">
        <f t="shared" si="260"/>
        <v>60.3</v>
      </c>
      <c r="P864" s="195" t="s">
        <v>5554</v>
      </c>
      <c r="Q864" s="326" t="str">
        <f>IFERROR(VLOOKUP($G864,主力整理!$A$2:$G$2301,6,0),"0")</f>
        <v>0</v>
      </c>
      <c r="T864" s="339">
        <f t="shared" si="261"/>
        <v>0</v>
      </c>
      <c r="V864" s="371">
        <v>0.2</v>
      </c>
      <c r="W864" s="35">
        <v>2.2000000000000002</v>
      </c>
      <c r="X864" s="100">
        <v>2.54</v>
      </c>
      <c r="Y864" s="37" t="str">
        <f>RTD("money.excel",,"4933","Price")</f>
        <v>無資料</v>
      </c>
      <c r="Z864" s="69"/>
      <c r="AA864" s="16" t="e">
        <f t="shared" si="262"/>
        <v>#VALUE!</v>
      </c>
      <c r="AB864" s="3" t="e">
        <f t="shared" si="263"/>
        <v>#VALUE!</v>
      </c>
      <c r="AD864" s="17" t="s">
        <v>276</v>
      </c>
      <c r="AG864" s="34">
        <f t="shared" si="264"/>
        <v>0</v>
      </c>
      <c r="AH864" s="125" t="s">
        <v>4507</v>
      </c>
      <c r="AI864" s="131"/>
      <c r="AK864" s="66">
        <f t="shared" si="257"/>
        <v>0</v>
      </c>
      <c r="AL864" s="174">
        <f t="shared" si="258"/>
        <v>0</v>
      </c>
      <c r="AM864" s="346">
        <f>RTD("money.excel",,$G864,"PredictVolume")</f>
        <v>0</v>
      </c>
      <c r="AN864" s="272">
        <f>RTD("money.excel",,$G864,"CumulativeVolume")</f>
        <v>0</v>
      </c>
      <c r="AO864" s="284"/>
    </row>
    <row r="865" spans="1:41">
      <c r="A865" s="151" t="s">
        <v>3638</v>
      </c>
      <c r="B865" s="85">
        <v>-675</v>
      </c>
      <c r="C865" s="85">
        <v>-449</v>
      </c>
      <c r="D865" s="85">
        <v>-37</v>
      </c>
      <c r="E865" s="85">
        <v>-59</v>
      </c>
      <c r="F865" s="7">
        <v>-29.73</v>
      </c>
      <c r="G865" s="85">
        <v>4934</v>
      </c>
      <c r="H865" s="4" t="s">
        <v>557</v>
      </c>
      <c r="I865" s="23" t="s">
        <v>816</v>
      </c>
      <c r="J865" s="371">
        <v>28.95</v>
      </c>
      <c r="K865" s="77">
        <v>1.2</v>
      </c>
      <c r="N865" s="365">
        <f t="shared" si="259"/>
        <v>30.15</v>
      </c>
      <c r="O865" s="343">
        <f t="shared" si="260"/>
        <v>28.95</v>
      </c>
      <c r="P865" s="195">
        <v>2</v>
      </c>
      <c r="Q865" s="326">
        <v>7</v>
      </c>
      <c r="R865" s="111">
        <v>12</v>
      </c>
      <c r="S865" s="51">
        <v>0</v>
      </c>
      <c r="T865" s="339">
        <f t="shared" si="261"/>
        <v>21</v>
      </c>
      <c r="W865" s="35">
        <v>0</v>
      </c>
      <c r="X865" s="100">
        <v>-1.59</v>
      </c>
      <c r="Y865" s="37" t="str">
        <f>RTD("money.excel",,"4934","Price")</f>
        <v>無資料</v>
      </c>
      <c r="Z865" s="69"/>
      <c r="AA865" s="16" t="e">
        <f t="shared" si="262"/>
        <v>#VALUE!</v>
      </c>
      <c r="AB865" s="3" t="e">
        <f t="shared" si="263"/>
        <v>#VALUE!</v>
      </c>
      <c r="AC865" s="177" t="s">
        <v>2648</v>
      </c>
      <c r="AD865" s="23" t="s">
        <v>816</v>
      </c>
      <c r="AG865" s="34">
        <f t="shared" si="264"/>
        <v>0</v>
      </c>
      <c r="AH865" s="44" t="s">
        <v>3195</v>
      </c>
      <c r="AI865" s="131"/>
      <c r="AK865" s="66">
        <f t="shared" si="257"/>
        <v>0</v>
      </c>
      <c r="AL865" s="174">
        <f t="shared" si="258"/>
        <v>0</v>
      </c>
      <c r="AM865" s="346">
        <f>RTD("money.excel",,$G865,"PredictVolume")</f>
        <v>0</v>
      </c>
      <c r="AN865" s="272">
        <f>RTD("money.excel",,$G865,"CumulativeVolume")</f>
        <v>0</v>
      </c>
      <c r="AO865" s="284"/>
    </row>
    <row r="866" spans="1:41">
      <c r="A866" s="135" t="s">
        <v>3088</v>
      </c>
      <c r="B866" s="84">
        <v>4</v>
      </c>
      <c r="C866" s="85">
        <v>-9</v>
      </c>
      <c r="D866" s="85">
        <v>-16</v>
      </c>
      <c r="E866" s="85">
        <v>-22</v>
      </c>
      <c r="F866" s="59">
        <v>11.96</v>
      </c>
      <c r="G866" s="85">
        <v>4935</v>
      </c>
      <c r="H866" s="4" t="s">
        <v>557</v>
      </c>
      <c r="I866" s="23" t="s">
        <v>817</v>
      </c>
      <c r="J866" s="77">
        <v>45.98</v>
      </c>
      <c r="K866" s="371">
        <v>26.66</v>
      </c>
      <c r="L866" s="77">
        <v>12.64</v>
      </c>
      <c r="N866" s="365">
        <f t="shared" si="259"/>
        <v>85.28</v>
      </c>
      <c r="O866" s="343">
        <f t="shared" si="260"/>
        <v>45.98</v>
      </c>
      <c r="P866" s="195">
        <v>16</v>
      </c>
      <c r="Q866" s="326" t="str">
        <f>IFERROR(VLOOKUP($G866,主力整理!$A$2:$G$2301,6,0),"0")</f>
        <v>0</v>
      </c>
      <c r="R866" s="111">
        <v>1</v>
      </c>
      <c r="S866" s="51">
        <v>1</v>
      </c>
      <c r="T866" s="339">
        <f t="shared" si="261"/>
        <v>18</v>
      </c>
      <c r="U866" s="329" t="s">
        <v>6540</v>
      </c>
      <c r="V866" s="371">
        <v>0.22</v>
      </c>
      <c r="W866" s="69">
        <v>5.5</v>
      </c>
      <c r="X866" s="100">
        <v>10.64</v>
      </c>
      <c r="Y866" s="37" t="str">
        <f>RTD("money.excel",,"4935","Price")</f>
        <v>無資料</v>
      </c>
      <c r="Z866" s="69"/>
      <c r="AA866" s="16" t="e">
        <f t="shared" si="262"/>
        <v>#VALUE!</v>
      </c>
      <c r="AB866" s="3" t="e">
        <f t="shared" si="263"/>
        <v>#VALUE!</v>
      </c>
      <c r="AC866" s="177" t="s">
        <v>2929</v>
      </c>
      <c r="AD866" s="23" t="s">
        <v>817</v>
      </c>
      <c r="AG866" s="34">
        <f t="shared" si="264"/>
        <v>0</v>
      </c>
      <c r="AH866" s="63" t="s">
        <v>3650</v>
      </c>
      <c r="AI866" s="284"/>
      <c r="AK866" s="66">
        <f t="shared" si="257"/>
        <v>0</v>
      </c>
      <c r="AL866" s="174">
        <f t="shared" si="258"/>
        <v>0</v>
      </c>
      <c r="AM866" s="346">
        <f>RTD("money.excel",,$G866,"PredictVolume")</f>
        <v>0</v>
      </c>
      <c r="AN866" s="272">
        <f>RTD("money.excel",,$G866,"CumulativeVolume")</f>
        <v>0</v>
      </c>
      <c r="AO866" s="284"/>
    </row>
    <row r="867" spans="1:41">
      <c r="A867" s="135" t="s">
        <v>2876</v>
      </c>
      <c r="B867" s="85">
        <v>-1</v>
      </c>
      <c r="C867" s="84">
        <v>24</v>
      </c>
      <c r="D867" s="85">
        <v>-35</v>
      </c>
      <c r="E867" s="85">
        <v>-46</v>
      </c>
      <c r="F867" s="59">
        <v>11.91</v>
      </c>
      <c r="G867" s="85">
        <v>4942</v>
      </c>
      <c r="H867" s="4" t="s">
        <v>557</v>
      </c>
      <c r="I867" s="23" t="s">
        <v>818</v>
      </c>
      <c r="J867" s="371">
        <v>68.39</v>
      </c>
      <c r="K867" s="371">
        <v>19.07</v>
      </c>
      <c r="L867" s="77">
        <v>5.12</v>
      </c>
      <c r="N867" s="365">
        <f t="shared" si="259"/>
        <v>92.580000000000013</v>
      </c>
      <c r="O867" s="343">
        <f t="shared" si="260"/>
        <v>68.39</v>
      </c>
      <c r="P867" s="195" t="s">
        <v>5554</v>
      </c>
      <c r="Q867" s="326" t="str">
        <f>IFERROR(VLOOKUP($G867,主力整理!$A$2:$G$2301,6,0),"0")</f>
        <v>0</v>
      </c>
      <c r="T867" s="339">
        <f t="shared" si="261"/>
        <v>0</v>
      </c>
      <c r="V867" s="371">
        <v>19.88</v>
      </c>
      <c r="W867" s="35">
        <v>2.5</v>
      </c>
      <c r="X867" s="100">
        <v>4.76</v>
      </c>
      <c r="Y867" s="37" t="str">
        <f>RTD("money.excel",,"4942","Price")</f>
        <v>無資料</v>
      </c>
      <c r="Z867" s="69"/>
      <c r="AA867" s="16" t="e">
        <f t="shared" si="262"/>
        <v>#VALUE!</v>
      </c>
      <c r="AB867" s="3" t="e">
        <f t="shared" si="263"/>
        <v>#VALUE!</v>
      </c>
      <c r="AC867" s="177" t="s">
        <v>2648</v>
      </c>
      <c r="AD867" s="23" t="s">
        <v>818</v>
      </c>
      <c r="AG867" s="34">
        <f t="shared" si="264"/>
        <v>0</v>
      </c>
      <c r="AH867" s="63" t="s">
        <v>4067</v>
      </c>
      <c r="AI867" s="131"/>
      <c r="AK867" s="66">
        <f t="shared" si="257"/>
        <v>0</v>
      </c>
      <c r="AL867" s="174">
        <f t="shared" si="258"/>
        <v>0</v>
      </c>
      <c r="AM867" s="346">
        <f>RTD("money.excel",,$G867,"PredictVolume")</f>
        <v>0</v>
      </c>
      <c r="AN867" s="272">
        <f>RTD("money.excel",,$G867,"CumulativeVolume")</f>
        <v>0</v>
      </c>
      <c r="AO867" s="284"/>
    </row>
    <row r="868" spans="1:41">
      <c r="A868" s="151" t="s">
        <v>4632</v>
      </c>
      <c r="B868" s="84">
        <v>1</v>
      </c>
      <c r="C868" s="84">
        <v>23</v>
      </c>
      <c r="D868" s="85">
        <v>-7</v>
      </c>
      <c r="E868" s="85">
        <v>-61</v>
      </c>
      <c r="F868" s="7">
        <v>-58.09</v>
      </c>
      <c r="G868" s="85">
        <v>4944</v>
      </c>
      <c r="H868" s="4" t="s">
        <v>557</v>
      </c>
      <c r="I868" s="17" t="s">
        <v>850</v>
      </c>
      <c r="J868" s="77">
        <v>61</v>
      </c>
      <c r="K868" s="371">
        <v>0.26</v>
      </c>
      <c r="L868" s="371"/>
      <c r="N868" s="365">
        <f t="shared" si="259"/>
        <v>61.26</v>
      </c>
      <c r="O868" s="343">
        <f t="shared" si="260"/>
        <v>61</v>
      </c>
      <c r="P868" s="195" t="s">
        <v>5554</v>
      </c>
      <c r="Q868" s="326" t="str">
        <f>IFERROR(VLOOKUP($G868,主力整理!$A$2:$G$2301,6,0),"0")</f>
        <v>0</v>
      </c>
      <c r="T868" s="339">
        <f t="shared" si="261"/>
        <v>0</v>
      </c>
      <c r="V868" s="371">
        <v>43.52</v>
      </c>
      <c r="W868" s="35">
        <v>0</v>
      </c>
      <c r="X868" s="59">
        <v>-0.87</v>
      </c>
      <c r="Y868" s="37" t="str">
        <f>RTD("money.excel",,"4944","Price")</f>
        <v>無資料</v>
      </c>
      <c r="Z868" s="69"/>
      <c r="AA868" s="16" t="e">
        <f t="shared" si="262"/>
        <v>#VALUE!</v>
      </c>
      <c r="AB868" s="3" t="e">
        <f t="shared" si="263"/>
        <v>#VALUE!</v>
      </c>
      <c r="AC868" s="177" t="s">
        <v>2648</v>
      </c>
      <c r="AD868" s="17" t="s">
        <v>850</v>
      </c>
      <c r="AG868" s="34">
        <f t="shared" si="264"/>
        <v>0</v>
      </c>
      <c r="AH868" s="44" t="s">
        <v>3842</v>
      </c>
      <c r="AI868" s="131"/>
      <c r="AK868" s="66">
        <f t="shared" si="257"/>
        <v>0</v>
      </c>
      <c r="AL868" s="174">
        <f t="shared" si="258"/>
        <v>0</v>
      </c>
      <c r="AM868" s="346">
        <f>RTD("money.excel",,$G868,"PredictVolume")</f>
        <v>0</v>
      </c>
      <c r="AN868" s="272">
        <f>RTD("money.excel",,$G868,"CumulativeVolume")</f>
        <v>0</v>
      </c>
      <c r="AO868" s="284"/>
    </row>
    <row r="869" spans="1:41">
      <c r="A869" s="151" t="s">
        <v>3161</v>
      </c>
      <c r="B869" s="85">
        <v>-656</v>
      </c>
      <c r="C869" s="85">
        <v>-762</v>
      </c>
      <c r="D869" s="84">
        <v>2</v>
      </c>
      <c r="E869" s="84">
        <v>23</v>
      </c>
      <c r="F869" s="7">
        <v>-8.68</v>
      </c>
      <c r="G869" s="85">
        <v>4956</v>
      </c>
      <c r="H869" s="4" t="s">
        <v>557</v>
      </c>
      <c r="I869" s="23" t="s">
        <v>819</v>
      </c>
      <c r="J869" s="371">
        <v>36.979999999999997</v>
      </c>
      <c r="K869" s="371">
        <v>8.06</v>
      </c>
      <c r="L869" s="371">
        <v>19.690000000000001</v>
      </c>
      <c r="N869" s="365">
        <f t="shared" ref="N869:N900" si="265">J869+K869+L869+M869</f>
        <v>64.73</v>
      </c>
      <c r="O869" s="343">
        <f t="shared" ref="O869:O900" si="266">J869+M869</f>
        <v>36.979999999999997</v>
      </c>
      <c r="P869" s="195" t="s">
        <v>5554</v>
      </c>
      <c r="Q869" s="326">
        <f>IFERROR(VLOOKUP($G869,主力整理!$A$2:$G$2301,6,0),"0")</f>
        <v>1</v>
      </c>
      <c r="T869" s="339">
        <f t="shared" ref="T869:T900" si="267">SUM(P869:S869)</f>
        <v>1</v>
      </c>
      <c r="V869" s="371">
        <v>10.93</v>
      </c>
      <c r="W869" s="35">
        <v>0</v>
      </c>
      <c r="X869" s="100">
        <v>0.16</v>
      </c>
      <c r="Y869" s="37" t="str">
        <f>RTD("money.excel",,"4956","Price")</f>
        <v>無資料</v>
      </c>
      <c r="Z869" s="69"/>
      <c r="AA869" s="16" t="e">
        <f t="shared" ref="AA869:AA900" si="268">Y869-Z869</f>
        <v>#VALUE!</v>
      </c>
      <c r="AB869" s="3" t="e">
        <f t="shared" ref="AB869:AB900" si="269">AA869/Z869</f>
        <v>#VALUE!</v>
      </c>
      <c r="AC869" s="177" t="s">
        <v>2648</v>
      </c>
      <c r="AD869" s="23" t="s">
        <v>819</v>
      </c>
      <c r="AG869" s="34">
        <f t="shared" ref="AG869:AG900" si="270">AF869-AE869</f>
        <v>0</v>
      </c>
      <c r="AH869" s="44" t="s">
        <v>2247</v>
      </c>
      <c r="AI869" s="131"/>
      <c r="AK869" s="66">
        <f t="shared" si="257"/>
        <v>0</v>
      </c>
      <c r="AL869" s="174">
        <f t="shared" si="258"/>
        <v>0</v>
      </c>
      <c r="AM869" s="346">
        <f>RTD("money.excel",,$G869,"PredictVolume")</f>
        <v>0</v>
      </c>
      <c r="AN869" s="272">
        <f>RTD("money.excel",,$G869,"CumulativeVolume")</f>
        <v>0</v>
      </c>
      <c r="AO869" s="284"/>
    </row>
    <row r="870" spans="1:41">
      <c r="A870" s="151" t="s">
        <v>2558</v>
      </c>
      <c r="B870" s="84">
        <v>27</v>
      </c>
      <c r="C870" s="84">
        <v>25</v>
      </c>
      <c r="D870" s="84">
        <v>57</v>
      </c>
      <c r="E870" s="85">
        <v>-43</v>
      </c>
      <c r="F870" s="7">
        <v>-3.2</v>
      </c>
      <c r="G870" s="85">
        <v>4960</v>
      </c>
      <c r="H870" s="4" t="s">
        <v>557</v>
      </c>
      <c r="I870" s="23" t="s">
        <v>1706</v>
      </c>
      <c r="J870" s="371">
        <v>54.44</v>
      </c>
      <c r="K870" s="371">
        <v>12.29</v>
      </c>
      <c r="L870" s="77">
        <v>2.71</v>
      </c>
      <c r="N870" s="365">
        <f t="shared" si="265"/>
        <v>69.439999999999984</v>
      </c>
      <c r="O870" s="343">
        <f t="shared" si="266"/>
        <v>54.44</v>
      </c>
      <c r="P870" s="195">
        <v>6</v>
      </c>
      <c r="Q870" s="326">
        <f>IFERROR(VLOOKUP($G870,主力整理!$A$2:$G$2301,6,0),"0")</f>
        <v>7</v>
      </c>
      <c r="T870" s="339">
        <f t="shared" si="267"/>
        <v>13</v>
      </c>
      <c r="V870" s="371">
        <v>9.52</v>
      </c>
      <c r="W870" s="35">
        <v>0</v>
      </c>
      <c r="X870" s="100">
        <v>-0.13</v>
      </c>
      <c r="Y870" s="37" t="str">
        <f>RTD("money.excel",,"4960","Price")</f>
        <v>無資料</v>
      </c>
      <c r="Z870" s="69"/>
      <c r="AA870" s="16" t="e">
        <f t="shared" si="268"/>
        <v>#VALUE!</v>
      </c>
      <c r="AB870" s="3" t="e">
        <f t="shared" si="269"/>
        <v>#VALUE!</v>
      </c>
      <c r="AC870" s="177" t="s">
        <v>2648</v>
      </c>
      <c r="AD870" s="23" t="s">
        <v>1706</v>
      </c>
      <c r="AG870" s="34">
        <f t="shared" si="270"/>
        <v>0</v>
      </c>
      <c r="AH870" s="44" t="s">
        <v>4059</v>
      </c>
      <c r="AI870" s="131"/>
      <c r="AK870" s="66">
        <f t="shared" ref="AK870:AK871" si="271">AM870/(A870*10000)</f>
        <v>0</v>
      </c>
      <c r="AL870" s="174">
        <f t="shared" ref="AL870:AL871" si="272">AN870/(A870*10000)</f>
        <v>0</v>
      </c>
      <c r="AM870" s="346">
        <f>RTD("money.excel",,$G870,"PredictVolume")</f>
        <v>0</v>
      </c>
      <c r="AN870" s="272">
        <f>RTD("money.excel",,$G870,"CumulativeVolume")</f>
        <v>0</v>
      </c>
      <c r="AO870" s="284"/>
    </row>
    <row r="871" spans="1:41">
      <c r="A871" s="135" t="s">
        <v>4639</v>
      </c>
      <c r="B871" s="85">
        <v>-25</v>
      </c>
      <c r="C871" s="85">
        <v>-47</v>
      </c>
      <c r="D871" s="85">
        <v>-45</v>
      </c>
      <c r="E871" s="84">
        <v>941</v>
      </c>
      <c r="F871" s="59">
        <v>10.72</v>
      </c>
      <c r="G871" s="85">
        <v>4972</v>
      </c>
      <c r="H871" s="4" t="s">
        <v>557</v>
      </c>
      <c r="I871" s="17" t="s">
        <v>278</v>
      </c>
      <c r="J871" s="77">
        <v>35.840000000000003</v>
      </c>
      <c r="K871" s="77">
        <v>0.44</v>
      </c>
      <c r="L871" s="77">
        <v>2.4</v>
      </c>
      <c r="N871" s="365">
        <f t="shared" si="265"/>
        <v>38.68</v>
      </c>
      <c r="O871" s="343">
        <f t="shared" si="266"/>
        <v>35.840000000000003</v>
      </c>
      <c r="P871" s="195">
        <v>1</v>
      </c>
      <c r="Q871" s="326" t="str">
        <f>IFERROR(VLOOKUP($G871,主力整理!$A$2:$G$2301,6,0),"0")</f>
        <v>0</v>
      </c>
      <c r="T871" s="339">
        <f t="shared" si="267"/>
        <v>1</v>
      </c>
      <c r="V871" s="371">
        <v>0</v>
      </c>
      <c r="W871" s="35">
        <v>2.4</v>
      </c>
      <c r="X871" s="100">
        <v>2.0699999999999998</v>
      </c>
      <c r="Y871" s="37" t="str">
        <f>RTD("money.excel",,"4972","Price")</f>
        <v>無資料</v>
      </c>
      <c r="Z871" s="69"/>
      <c r="AA871" s="16" t="e">
        <f t="shared" si="268"/>
        <v>#VALUE!</v>
      </c>
      <c r="AB871" s="3" t="e">
        <f t="shared" si="269"/>
        <v>#VALUE!</v>
      </c>
      <c r="AC871" s="177" t="s">
        <v>2648</v>
      </c>
      <c r="AD871" s="17" t="s">
        <v>278</v>
      </c>
      <c r="AG871" s="34">
        <f t="shared" si="270"/>
        <v>0</v>
      </c>
      <c r="AH871" s="126" t="s">
        <v>3843</v>
      </c>
      <c r="AI871" s="284"/>
      <c r="AK871" s="66">
        <f t="shared" si="271"/>
        <v>0</v>
      </c>
      <c r="AL871" s="174">
        <f t="shared" si="272"/>
        <v>0</v>
      </c>
      <c r="AM871" s="346">
        <f>RTD("money.excel",,$G871,"PredictVolume")</f>
        <v>0</v>
      </c>
      <c r="AN871" s="272">
        <f>RTD("money.excel",,$G871,"CumulativeVolume")</f>
        <v>0</v>
      </c>
      <c r="AO871" s="284"/>
    </row>
    <row r="872" spans="1:41">
      <c r="A872" s="151" t="s">
        <v>2551</v>
      </c>
      <c r="B872" s="84">
        <v>169</v>
      </c>
      <c r="C872" s="84">
        <v>165</v>
      </c>
      <c r="D872" s="84">
        <v>0</v>
      </c>
      <c r="E872" s="84">
        <v>54</v>
      </c>
      <c r="F872" s="7">
        <v>6.14</v>
      </c>
      <c r="G872" s="85">
        <v>4976</v>
      </c>
      <c r="H872" s="4" t="s">
        <v>557</v>
      </c>
      <c r="I872" s="23" t="s">
        <v>587</v>
      </c>
      <c r="J872" s="371">
        <v>30.53</v>
      </c>
      <c r="K872" s="371">
        <v>6.07</v>
      </c>
      <c r="L872" s="77">
        <v>31.94</v>
      </c>
      <c r="N872" s="365">
        <f t="shared" si="265"/>
        <v>68.540000000000006</v>
      </c>
      <c r="O872" s="343">
        <f t="shared" si="266"/>
        <v>30.53</v>
      </c>
      <c r="P872" s="195">
        <v>1</v>
      </c>
      <c r="Q872" s="326" t="str">
        <f>IFERROR(VLOOKUP($G872,主力整理!$A$2:$G$2301,6,0),"0")</f>
        <v>0</v>
      </c>
      <c r="R872" s="111">
        <v>19</v>
      </c>
      <c r="S872" s="51">
        <v>5</v>
      </c>
      <c r="T872" s="339">
        <f t="shared" si="267"/>
        <v>25</v>
      </c>
      <c r="V872" s="371">
        <v>17.329999999999998</v>
      </c>
      <c r="W872" s="35">
        <v>0</v>
      </c>
      <c r="X872" s="100">
        <v>0.1</v>
      </c>
      <c r="Y872" s="37" t="str">
        <f>RTD("money.excel",,"4976","Price")</f>
        <v>無資料</v>
      </c>
      <c r="Z872" s="69"/>
      <c r="AA872" s="16" t="e">
        <f t="shared" si="268"/>
        <v>#VALUE!</v>
      </c>
      <c r="AB872" s="3" t="e">
        <f t="shared" si="269"/>
        <v>#VALUE!</v>
      </c>
      <c r="AC872" s="177" t="s">
        <v>2648</v>
      </c>
      <c r="AD872" s="23" t="s">
        <v>587</v>
      </c>
      <c r="AG872" s="34">
        <f t="shared" si="270"/>
        <v>0</v>
      </c>
      <c r="AH872" s="44" t="s">
        <v>3391</v>
      </c>
      <c r="AI872" s="131"/>
      <c r="AK872" s="66">
        <f>AM872/(A872*10000)</f>
        <v>0</v>
      </c>
      <c r="AL872" s="174">
        <f>AN872/(A872*10000)</f>
        <v>0</v>
      </c>
      <c r="AM872" s="346">
        <f>RTD("money.excel",,$G872,"PredictVolume")</f>
        <v>0</v>
      </c>
      <c r="AN872" s="272">
        <f>RTD("money.excel",,$G872,"CumulativeVolume")</f>
        <v>0</v>
      </c>
      <c r="AO872" s="284"/>
    </row>
    <row r="873" spans="1:41">
      <c r="A873" s="135" t="s">
        <v>2554</v>
      </c>
      <c r="B873" s="85">
        <v>-39</v>
      </c>
      <c r="C873" s="85">
        <v>-38</v>
      </c>
      <c r="D873" s="85">
        <v>-29</v>
      </c>
      <c r="E873" s="85">
        <v>-46</v>
      </c>
      <c r="F873" s="59">
        <v>11.27</v>
      </c>
      <c r="G873" s="85">
        <v>4995</v>
      </c>
      <c r="H873" s="4" t="s">
        <v>557</v>
      </c>
      <c r="I873" s="17" t="s">
        <v>868</v>
      </c>
      <c r="J873" s="77">
        <v>68.989999999999995</v>
      </c>
      <c r="K873" s="371">
        <v>5.09</v>
      </c>
      <c r="L873" s="371">
        <v>10.27</v>
      </c>
      <c r="N873" s="365">
        <f t="shared" si="265"/>
        <v>84.35</v>
      </c>
      <c r="O873" s="343">
        <f t="shared" si="266"/>
        <v>68.989999999999995</v>
      </c>
      <c r="P873" s="195" t="s">
        <v>5554</v>
      </c>
      <c r="Q873" s="326" t="str">
        <f>IFERROR(VLOOKUP($G873,主力整理!$A$2:$G$2301,6,0),"0")</f>
        <v>0</v>
      </c>
      <c r="T873" s="339">
        <f t="shared" si="267"/>
        <v>0</v>
      </c>
      <c r="V873" s="371">
        <v>0</v>
      </c>
      <c r="W873" s="35">
        <v>1.8</v>
      </c>
      <c r="X873" s="100">
        <v>1.66</v>
      </c>
      <c r="Y873" s="37" t="str">
        <f>RTD("money.excel",,"4995","Price")</f>
        <v>無資料</v>
      </c>
      <c r="Z873" s="69"/>
      <c r="AA873" s="16" t="e">
        <f t="shared" si="268"/>
        <v>#VALUE!</v>
      </c>
      <c r="AB873" s="3" t="e">
        <f t="shared" si="269"/>
        <v>#VALUE!</v>
      </c>
      <c r="AC873" s="177" t="s">
        <v>2648</v>
      </c>
      <c r="AD873" s="17" t="s">
        <v>868</v>
      </c>
      <c r="AG873" s="34">
        <f t="shared" si="270"/>
        <v>0</v>
      </c>
      <c r="AH873" s="63" t="s">
        <v>3844</v>
      </c>
      <c r="AI873" s="131"/>
      <c r="AK873" s="66">
        <f t="shared" ref="AK873" si="273">AM873/(A873*10000)</f>
        <v>0</v>
      </c>
      <c r="AL873" s="174">
        <f t="shared" ref="AL873" si="274">AN873/(A873*10000)</f>
        <v>0</v>
      </c>
      <c r="AM873" s="346">
        <f>RTD("money.excel",,$G873,"PredictVolume")</f>
        <v>0</v>
      </c>
      <c r="AN873" s="272">
        <f>RTD("money.excel",,$G873,"CumulativeVolume")</f>
        <v>0</v>
      </c>
      <c r="AO873" s="284"/>
    </row>
    <row r="874" spans="1:41">
      <c r="A874" s="135" t="s">
        <v>2351</v>
      </c>
      <c r="B874" s="84">
        <v>136</v>
      </c>
      <c r="C874" s="84">
        <v>115</v>
      </c>
      <c r="D874" s="85">
        <v>-20</v>
      </c>
      <c r="E874" s="85">
        <v>-14</v>
      </c>
      <c r="F874" s="59">
        <v>21.3</v>
      </c>
      <c r="G874" s="85">
        <v>5220</v>
      </c>
      <c r="H874" s="4" t="s">
        <v>557</v>
      </c>
      <c r="I874" s="17" t="s">
        <v>1725</v>
      </c>
      <c r="J874" s="371">
        <v>24.24</v>
      </c>
      <c r="K874" s="77">
        <v>2.4700000000000002</v>
      </c>
      <c r="L874" s="77">
        <v>20.13</v>
      </c>
      <c r="N874" s="365">
        <f t="shared" si="265"/>
        <v>46.839999999999996</v>
      </c>
      <c r="O874" s="343">
        <f t="shared" si="266"/>
        <v>24.24</v>
      </c>
      <c r="P874" s="195" t="s">
        <v>5554</v>
      </c>
      <c r="Q874" s="326" t="str">
        <f>IFERROR(VLOOKUP($G874,主力整理!$A$2:$G$2301,6,0),"0")</f>
        <v>0</v>
      </c>
      <c r="T874" s="339">
        <f t="shared" si="267"/>
        <v>0</v>
      </c>
      <c r="V874" s="371">
        <v>0</v>
      </c>
      <c r="W874" s="69">
        <v>3</v>
      </c>
      <c r="X874" s="100">
        <v>4.71</v>
      </c>
      <c r="Y874" s="37" t="str">
        <f>RTD("money.excel",,"5220","Price")</f>
        <v>無資料</v>
      </c>
      <c r="Z874" s="69"/>
      <c r="AA874" s="16" t="e">
        <f t="shared" si="268"/>
        <v>#VALUE!</v>
      </c>
      <c r="AB874" s="3" t="e">
        <f t="shared" si="269"/>
        <v>#VALUE!</v>
      </c>
      <c r="AC874" s="177" t="s">
        <v>2700</v>
      </c>
      <c r="AD874" s="17" t="s">
        <v>851</v>
      </c>
      <c r="AG874" s="34">
        <f t="shared" si="270"/>
        <v>0</v>
      </c>
      <c r="AH874" s="63" t="s">
        <v>2251</v>
      </c>
      <c r="AK874" s="66">
        <f>AM874/(A874*10000)</f>
        <v>0</v>
      </c>
      <c r="AL874" s="174">
        <f>AN874/(A874*10000)</f>
        <v>0</v>
      </c>
      <c r="AM874" s="346">
        <f>RTD("money.excel",,$G874,"PredictVolume")</f>
        <v>0</v>
      </c>
      <c r="AN874" s="272">
        <f>RTD("money.excel",,$G874,"CumulativeVolume")</f>
        <v>0</v>
      </c>
    </row>
    <row r="875" spans="1:41">
      <c r="A875" s="151" t="s">
        <v>3257</v>
      </c>
      <c r="B875" s="85">
        <v>-59</v>
      </c>
      <c r="C875" s="85">
        <v>-76</v>
      </c>
      <c r="D875" s="85">
        <v>-35</v>
      </c>
      <c r="E875" s="85">
        <v>-7</v>
      </c>
      <c r="F875" s="7">
        <v>3.09</v>
      </c>
      <c r="G875" s="85">
        <v>5230</v>
      </c>
      <c r="H875" s="4" t="s">
        <v>557</v>
      </c>
      <c r="I875" s="17" t="s">
        <v>852</v>
      </c>
      <c r="J875" s="371">
        <v>37.39</v>
      </c>
      <c r="K875" s="371">
        <v>3.85</v>
      </c>
      <c r="L875" s="77">
        <v>5.52</v>
      </c>
      <c r="N875" s="365">
        <f t="shared" si="265"/>
        <v>46.760000000000005</v>
      </c>
      <c r="O875" s="343">
        <f t="shared" si="266"/>
        <v>37.39</v>
      </c>
      <c r="P875" s="195" t="s">
        <v>5554</v>
      </c>
      <c r="Q875" s="326" t="str">
        <f>IFERROR(VLOOKUP($G875,主力整理!$A$2:$G$2301,6,0),"0")</f>
        <v>0</v>
      </c>
      <c r="T875" s="339">
        <f t="shared" si="267"/>
        <v>0</v>
      </c>
      <c r="V875" s="371">
        <v>12.18</v>
      </c>
      <c r="W875" s="35">
        <v>0.6</v>
      </c>
      <c r="X875" s="100">
        <v>-0.06</v>
      </c>
      <c r="Y875" s="37" t="str">
        <f>RTD("money.excel",,"5230","Price")</f>
        <v>無資料</v>
      </c>
      <c r="Z875" s="69"/>
      <c r="AA875" s="16" t="e">
        <f t="shared" si="268"/>
        <v>#VALUE!</v>
      </c>
      <c r="AB875" s="3" t="e">
        <f t="shared" si="269"/>
        <v>#VALUE!</v>
      </c>
      <c r="AC875" s="177" t="s">
        <v>2648</v>
      </c>
      <c r="AD875" s="17" t="s">
        <v>852</v>
      </c>
      <c r="AG875" s="34">
        <f t="shared" si="270"/>
        <v>0</v>
      </c>
      <c r="AH875" s="44" t="s">
        <v>3845</v>
      </c>
      <c r="AI875" s="131"/>
      <c r="AK875" s="66">
        <f t="shared" ref="AK875:AK908" si="275">AM875/(A875*10000)</f>
        <v>0</v>
      </c>
      <c r="AL875" s="174">
        <f t="shared" ref="AL875:AL908" si="276">AN875/(A875*10000)</f>
        <v>0</v>
      </c>
      <c r="AM875" s="346">
        <f>RTD("money.excel",,$G875,"PredictVolume")</f>
        <v>0</v>
      </c>
      <c r="AN875" s="272">
        <f>RTD("money.excel",,$G875,"CumulativeVolume")</f>
        <v>0</v>
      </c>
      <c r="AO875" s="284"/>
    </row>
    <row r="876" spans="1:41">
      <c r="A876" s="135" t="s">
        <v>2668</v>
      </c>
      <c r="B876" s="84">
        <v>6</v>
      </c>
      <c r="C876" s="84">
        <v>4</v>
      </c>
      <c r="D876" s="84">
        <v>8</v>
      </c>
      <c r="E876" s="84">
        <v>12</v>
      </c>
      <c r="F876" s="59">
        <v>17.34</v>
      </c>
      <c r="G876" s="85">
        <v>5234</v>
      </c>
      <c r="H876" s="4" t="s">
        <v>557</v>
      </c>
      <c r="I876" s="23" t="s">
        <v>3052</v>
      </c>
      <c r="J876" s="77">
        <v>64.81</v>
      </c>
      <c r="K876" s="77">
        <v>10.130000000000001</v>
      </c>
      <c r="L876" s="77">
        <v>14.44</v>
      </c>
      <c r="M876" s="77">
        <v>44.1</v>
      </c>
      <c r="N876" s="77">
        <f t="shared" si="265"/>
        <v>133.47999999999999</v>
      </c>
      <c r="O876" s="369">
        <f t="shared" si="266"/>
        <v>108.91</v>
      </c>
      <c r="P876" s="195">
        <v>2</v>
      </c>
      <c r="Q876" s="326">
        <v>1</v>
      </c>
      <c r="R876" s="111">
        <v>8</v>
      </c>
      <c r="S876" s="51">
        <v>12</v>
      </c>
      <c r="T876" s="339">
        <f t="shared" si="267"/>
        <v>23</v>
      </c>
      <c r="U876" s="329" t="s">
        <v>6538</v>
      </c>
      <c r="V876" s="371">
        <v>1.71</v>
      </c>
      <c r="W876" s="69">
        <v>5</v>
      </c>
      <c r="X876" s="59">
        <v>6.43</v>
      </c>
      <c r="Y876" s="37" t="str">
        <f>RTD("money.excel",,"5234","Price")</f>
        <v>無資料</v>
      </c>
      <c r="Z876" s="69"/>
      <c r="AA876" s="16" t="e">
        <f t="shared" si="268"/>
        <v>#VALUE!</v>
      </c>
      <c r="AB876" s="3" t="e">
        <f t="shared" si="269"/>
        <v>#VALUE!</v>
      </c>
      <c r="AC876" s="177" t="s">
        <v>2929</v>
      </c>
      <c r="AD876" s="23" t="s">
        <v>3052</v>
      </c>
      <c r="AG876" s="34">
        <f t="shared" si="270"/>
        <v>0</v>
      </c>
      <c r="AH876" s="63" t="s">
        <v>4068</v>
      </c>
      <c r="AI876" s="131"/>
      <c r="AK876" s="66">
        <f t="shared" si="275"/>
        <v>0</v>
      </c>
      <c r="AL876" s="174">
        <f t="shared" si="276"/>
        <v>0</v>
      </c>
      <c r="AM876" s="346">
        <f>RTD("money.excel",,$G876,"PredictVolume")</f>
        <v>0</v>
      </c>
      <c r="AN876" s="272">
        <f>RTD("money.excel",,$G876,"CumulativeVolume")</f>
        <v>0</v>
      </c>
      <c r="AO876" s="284"/>
    </row>
    <row r="877" spans="1:41">
      <c r="A877" s="151" t="s">
        <v>2673</v>
      </c>
      <c r="B877" s="84">
        <v>30</v>
      </c>
      <c r="C877" s="84">
        <v>67</v>
      </c>
      <c r="D877" s="84">
        <v>2</v>
      </c>
      <c r="E877" s="84">
        <v>10</v>
      </c>
      <c r="F877" s="7">
        <v>6.11</v>
      </c>
      <c r="G877" s="85">
        <v>5243</v>
      </c>
      <c r="H877" s="54" t="s">
        <v>557</v>
      </c>
      <c r="I877" s="23" t="s">
        <v>435</v>
      </c>
      <c r="J877" s="371">
        <v>51.29</v>
      </c>
      <c r="K877" s="371">
        <v>52.52</v>
      </c>
      <c r="L877" s="371">
        <v>17.059999999999999</v>
      </c>
      <c r="N877" s="365">
        <f t="shared" si="265"/>
        <v>120.87</v>
      </c>
      <c r="O877" s="343">
        <f t="shared" si="266"/>
        <v>51.29</v>
      </c>
      <c r="P877" s="195">
        <v>5</v>
      </c>
      <c r="Q877" s="326">
        <f>IFERROR(VLOOKUP($G877,主力整理!$A$2:$G$2301,6,0),"0")</f>
        <v>2</v>
      </c>
      <c r="R877" s="111">
        <v>8</v>
      </c>
      <c r="S877" s="51">
        <v>4</v>
      </c>
      <c r="T877" s="339">
        <f t="shared" si="267"/>
        <v>19</v>
      </c>
      <c r="V877" s="371">
        <v>1.32</v>
      </c>
      <c r="W877" s="35">
        <v>1.7</v>
      </c>
      <c r="X877" s="59">
        <v>3.07</v>
      </c>
      <c r="Y877" s="14" t="str">
        <f>RTD("money.excel",,"5243","Price")</f>
        <v>無資料</v>
      </c>
      <c r="Z877" s="69"/>
      <c r="AA877" s="16" t="e">
        <f t="shared" si="268"/>
        <v>#VALUE!</v>
      </c>
      <c r="AB877" s="3" t="e">
        <f t="shared" si="269"/>
        <v>#VALUE!</v>
      </c>
      <c r="AC877" s="177" t="s">
        <v>2648</v>
      </c>
      <c r="AD877" s="23" t="s">
        <v>435</v>
      </c>
      <c r="AG877" s="34">
        <f t="shared" si="270"/>
        <v>0</v>
      </c>
      <c r="AH877" s="125" t="s">
        <v>3458</v>
      </c>
      <c r="AI877" s="131"/>
      <c r="AK877" s="66">
        <f t="shared" si="275"/>
        <v>0</v>
      </c>
      <c r="AL877" s="174">
        <f t="shared" si="276"/>
        <v>0</v>
      </c>
      <c r="AM877" s="346">
        <f>RTD("money.excel",,$G877,"PredictVolume")</f>
        <v>0</v>
      </c>
      <c r="AN877" s="272">
        <f>RTD("money.excel",,$G877,"CumulativeVolume")</f>
        <v>0</v>
      </c>
      <c r="AO877" s="284"/>
    </row>
    <row r="878" spans="1:41">
      <c r="A878" s="135" t="s">
        <v>3401</v>
      </c>
      <c r="B878" s="84">
        <v>149</v>
      </c>
      <c r="C878" s="84">
        <v>168</v>
      </c>
      <c r="D878" s="84">
        <v>13</v>
      </c>
      <c r="E878" s="84">
        <v>24</v>
      </c>
      <c r="F878" s="59">
        <v>14.99</v>
      </c>
      <c r="G878" s="85">
        <v>5245</v>
      </c>
      <c r="H878" s="4" t="s">
        <v>557</v>
      </c>
      <c r="I878" s="17" t="s">
        <v>151</v>
      </c>
      <c r="J878" s="371">
        <v>49.49</v>
      </c>
      <c r="K878" s="77">
        <v>17.23</v>
      </c>
      <c r="L878" s="371">
        <v>22.2</v>
      </c>
      <c r="M878" s="371">
        <v>14.35</v>
      </c>
      <c r="N878" s="365">
        <f t="shared" si="265"/>
        <v>103.27</v>
      </c>
      <c r="O878" s="343">
        <f t="shared" si="266"/>
        <v>63.84</v>
      </c>
      <c r="P878" s="195">
        <v>8</v>
      </c>
      <c r="Q878" s="326">
        <v>4</v>
      </c>
      <c r="R878" s="111">
        <v>0</v>
      </c>
      <c r="S878" s="51">
        <v>6</v>
      </c>
      <c r="T878" s="339">
        <f t="shared" si="267"/>
        <v>18</v>
      </c>
      <c r="U878" s="329" t="s">
        <v>6538</v>
      </c>
      <c r="V878" s="371">
        <v>2.2000000000000002</v>
      </c>
      <c r="W878" s="35">
        <v>1</v>
      </c>
      <c r="X878" s="100">
        <v>3.83</v>
      </c>
      <c r="Y878" s="37" t="str">
        <f>RTD("money.excel",,"5245","Price")</f>
        <v>無資料</v>
      </c>
      <c r="Z878" s="69"/>
      <c r="AA878" s="16" t="e">
        <f t="shared" si="268"/>
        <v>#VALUE!</v>
      </c>
      <c r="AB878" s="3" t="e">
        <f t="shared" si="269"/>
        <v>#VALUE!</v>
      </c>
      <c r="AC878" s="177" t="s">
        <v>2648</v>
      </c>
      <c r="AD878" s="17" t="s">
        <v>151</v>
      </c>
      <c r="AG878" s="34">
        <f t="shared" si="270"/>
        <v>0</v>
      </c>
      <c r="AH878" s="170" t="s">
        <v>3846</v>
      </c>
      <c r="AI878" s="131"/>
      <c r="AK878" s="66">
        <f t="shared" si="275"/>
        <v>0</v>
      </c>
      <c r="AL878" s="174">
        <f t="shared" si="276"/>
        <v>0</v>
      </c>
      <c r="AM878" s="346">
        <f>RTD("money.excel",,$G878,"PredictVolume")</f>
        <v>0</v>
      </c>
      <c r="AN878" s="272">
        <f>RTD("money.excel",,$G878,"CumulativeVolume")</f>
        <v>0</v>
      </c>
      <c r="AO878" s="284"/>
    </row>
    <row r="879" spans="1:41">
      <c r="A879" s="151" t="s">
        <v>4643</v>
      </c>
      <c r="B879" s="96">
        <v>5</v>
      </c>
      <c r="C879" s="96">
        <v>6</v>
      </c>
      <c r="D879" s="96">
        <v>98</v>
      </c>
      <c r="E879" s="96">
        <v>-23</v>
      </c>
      <c r="F879" s="7">
        <v>-43.42</v>
      </c>
      <c r="G879" s="85">
        <v>5251</v>
      </c>
      <c r="H879" s="4" t="s">
        <v>557</v>
      </c>
      <c r="I879" s="17" t="s">
        <v>853</v>
      </c>
      <c r="J879" s="77">
        <v>49.47</v>
      </c>
      <c r="K879" s="77">
        <v>21.48</v>
      </c>
      <c r="L879" s="77">
        <v>23.29</v>
      </c>
      <c r="N879" s="365">
        <f t="shared" si="265"/>
        <v>94.240000000000009</v>
      </c>
      <c r="O879" s="343">
        <f t="shared" si="266"/>
        <v>49.47</v>
      </c>
      <c r="P879" s="195" t="s">
        <v>5554</v>
      </c>
      <c r="Q879" s="326" t="str">
        <f>IFERROR(VLOOKUP($G879,主力整理!$A$2:$G$2301,6,0),"0")</f>
        <v>0</v>
      </c>
      <c r="T879" s="339">
        <f t="shared" si="267"/>
        <v>0</v>
      </c>
      <c r="V879" s="371">
        <v>36.6</v>
      </c>
      <c r="W879" s="35">
        <v>0</v>
      </c>
      <c r="X879" s="100">
        <v>-1.59</v>
      </c>
      <c r="Y879" s="37" t="str">
        <f>RTD("money.excel",,"5251","Price")</f>
        <v>無資料</v>
      </c>
      <c r="Z879" s="69"/>
      <c r="AA879" s="16" t="e">
        <f t="shared" si="268"/>
        <v>#VALUE!</v>
      </c>
      <c r="AB879" s="3" t="e">
        <f t="shared" si="269"/>
        <v>#VALUE!</v>
      </c>
      <c r="AD879" s="17" t="s">
        <v>853</v>
      </c>
      <c r="AG879" s="34">
        <f t="shared" si="270"/>
        <v>0</v>
      </c>
      <c r="AH879" s="44" t="s">
        <v>3715</v>
      </c>
      <c r="AI879" s="131"/>
      <c r="AK879" s="66">
        <f t="shared" si="275"/>
        <v>0</v>
      </c>
      <c r="AL879" s="174">
        <f t="shared" si="276"/>
        <v>0</v>
      </c>
      <c r="AM879" s="346">
        <f>RTD("money.excel",,$G879,"PredictVolume")</f>
        <v>0</v>
      </c>
      <c r="AN879" s="272">
        <f>RTD("money.excel",,$G879,"CumulativeVolume")</f>
        <v>0</v>
      </c>
      <c r="AO879" s="284"/>
    </row>
    <row r="880" spans="1:41">
      <c r="A880" s="151" t="s">
        <v>4644</v>
      </c>
      <c r="B880" s="96">
        <v>267</v>
      </c>
      <c r="C880" s="96">
        <v>171</v>
      </c>
      <c r="D880" s="96">
        <v>21</v>
      </c>
      <c r="E880" s="96">
        <v>68</v>
      </c>
      <c r="F880" s="7">
        <v>4.25</v>
      </c>
      <c r="G880" s="85">
        <v>5281</v>
      </c>
      <c r="H880" s="4" t="s">
        <v>557</v>
      </c>
      <c r="I880" s="17" t="s">
        <v>1726</v>
      </c>
      <c r="J880" s="77">
        <v>67.22</v>
      </c>
      <c r="K880" s="77">
        <v>47.39</v>
      </c>
      <c r="L880" s="77">
        <v>19.91</v>
      </c>
      <c r="N880" s="365">
        <f t="shared" si="265"/>
        <v>134.52000000000001</v>
      </c>
      <c r="O880" s="343">
        <f t="shared" si="266"/>
        <v>67.22</v>
      </c>
      <c r="P880" s="195" t="s">
        <v>5554</v>
      </c>
      <c r="Q880" s="326" t="str">
        <f>IFERROR(VLOOKUP($G880,主力整理!$A$2:$G$2301,6,0),"0")</f>
        <v>0</v>
      </c>
      <c r="T880" s="339">
        <f t="shared" si="267"/>
        <v>0</v>
      </c>
      <c r="V880" s="371">
        <v>39.770000000000003</v>
      </c>
      <c r="W880" s="35">
        <v>0.8</v>
      </c>
      <c r="X880" s="100">
        <v>1.41</v>
      </c>
      <c r="Y880" s="14" t="str">
        <f>RTD("money.excel",,"5281","Price")</f>
        <v>無資料</v>
      </c>
      <c r="Z880" s="69"/>
      <c r="AA880" s="16" t="e">
        <f t="shared" si="268"/>
        <v>#VALUE!</v>
      </c>
      <c r="AB880" s="3" t="e">
        <f t="shared" si="269"/>
        <v>#VALUE!</v>
      </c>
      <c r="AD880" s="17" t="s">
        <v>1726</v>
      </c>
      <c r="AG880" s="34">
        <f t="shared" si="270"/>
        <v>0</v>
      </c>
      <c r="AH880" s="44" t="s">
        <v>3839</v>
      </c>
      <c r="AI880" s="131"/>
      <c r="AK880" s="66">
        <f t="shared" si="275"/>
        <v>0</v>
      </c>
      <c r="AL880" s="174">
        <f t="shared" si="276"/>
        <v>0</v>
      </c>
      <c r="AM880" s="346">
        <f>RTD("money.excel",,$G880,"PredictVolume")</f>
        <v>0</v>
      </c>
      <c r="AN880" s="272">
        <f>RTD("money.excel",,$G880,"CumulativeVolume")</f>
        <v>0</v>
      </c>
      <c r="AO880" s="284"/>
    </row>
    <row r="881" spans="1:41">
      <c r="A881" s="151" t="s">
        <v>2631</v>
      </c>
      <c r="B881" s="85">
        <v>-21</v>
      </c>
      <c r="C881" s="85">
        <v>-10</v>
      </c>
      <c r="D881" s="84">
        <v>1</v>
      </c>
      <c r="E881" s="84">
        <v>22</v>
      </c>
      <c r="F881" s="7">
        <v>4.1900000000000004</v>
      </c>
      <c r="G881" s="85">
        <v>5315</v>
      </c>
      <c r="H881" s="4" t="s">
        <v>557</v>
      </c>
      <c r="I881" s="17" t="s">
        <v>282</v>
      </c>
      <c r="J881" s="371">
        <v>20.97</v>
      </c>
      <c r="K881" s="371">
        <v>5.64</v>
      </c>
      <c r="L881" s="371">
        <v>8.99</v>
      </c>
      <c r="N881" s="365">
        <f t="shared" si="265"/>
        <v>35.6</v>
      </c>
      <c r="O881" s="343">
        <f t="shared" si="266"/>
        <v>20.97</v>
      </c>
      <c r="P881" s="195">
        <v>2</v>
      </c>
      <c r="Q881" s="326" t="str">
        <f>IFERROR(VLOOKUP($G881,主力整理!$A$2:$G$2301,6,0),"0")</f>
        <v>0</v>
      </c>
      <c r="T881" s="339">
        <f t="shared" si="267"/>
        <v>2</v>
      </c>
      <c r="V881" s="371">
        <v>0</v>
      </c>
      <c r="W881" s="35">
        <v>0.85</v>
      </c>
      <c r="X881" s="100">
        <v>0.89</v>
      </c>
      <c r="Y881" s="37" t="str">
        <f>RTD("money.excel",,"5315","Price")</f>
        <v>無資料</v>
      </c>
      <c r="Z881" s="69"/>
      <c r="AA881" s="16" t="e">
        <f t="shared" si="268"/>
        <v>#VALUE!</v>
      </c>
      <c r="AB881" s="3" t="e">
        <f t="shared" si="269"/>
        <v>#VALUE!</v>
      </c>
      <c r="AC881" s="177" t="s">
        <v>2648</v>
      </c>
      <c r="AD881" s="17" t="s">
        <v>282</v>
      </c>
      <c r="AG881" s="34">
        <f t="shared" si="270"/>
        <v>0</v>
      </c>
      <c r="AH881" s="125" t="s">
        <v>3642</v>
      </c>
      <c r="AI881" s="131"/>
      <c r="AK881" s="66">
        <f t="shared" si="275"/>
        <v>0</v>
      </c>
      <c r="AL881" s="174">
        <f t="shared" si="276"/>
        <v>0</v>
      </c>
      <c r="AM881" s="346">
        <f>RTD("money.excel",,$G881,"PredictVolume")</f>
        <v>0</v>
      </c>
      <c r="AN881" s="272">
        <f>RTD("money.excel",,$G881,"CumulativeVolume")</f>
        <v>0</v>
      </c>
      <c r="AO881" s="284"/>
    </row>
    <row r="882" spans="1:41">
      <c r="A882" s="151" t="s">
        <v>4966</v>
      </c>
      <c r="B882" s="84">
        <v>20</v>
      </c>
      <c r="C882" s="85">
        <v>-42</v>
      </c>
      <c r="D882" s="85">
        <v>-12</v>
      </c>
      <c r="E882" s="84">
        <v>56</v>
      </c>
      <c r="F882" s="7">
        <v>1.63</v>
      </c>
      <c r="G882" s="85">
        <v>5371</v>
      </c>
      <c r="H882" s="4" t="s">
        <v>557</v>
      </c>
      <c r="I882" s="17" t="s">
        <v>283</v>
      </c>
      <c r="J882" s="371">
        <v>55.89</v>
      </c>
      <c r="K882" s="77">
        <v>32.36</v>
      </c>
      <c r="L882" s="77">
        <v>4.63</v>
      </c>
      <c r="N882" s="365">
        <f t="shared" si="265"/>
        <v>92.88</v>
      </c>
      <c r="O882" s="343">
        <f t="shared" si="266"/>
        <v>55.89</v>
      </c>
      <c r="P882" s="195">
        <v>5</v>
      </c>
      <c r="Q882" s="326">
        <f>IFERROR(VLOOKUP($G882,主力整理!$A$2:$G$2301,6,0),"0")</f>
        <v>2</v>
      </c>
      <c r="T882" s="339">
        <f t="shared" si="267"/>
        <v>7</v>
      </c>
      <c r="V882" s="371">
        <v>0.26</v>
      </c>
      <c r="W882" s="69">
        <v>4</v>
      </c>
      <c r="X882" s="59">
        <v>3.59</v>
      </c>
      <c r="Y882" s="37" t="str">
        <f>RTD("money.excel",,"5371","Price")</f>
        <v>無資料</v>
      </c>
      <c r="Z882" s="69"/>
      <c r="AA882" s="16" t="e">
        <f t="shared" si="268"/>
        <v>#VALUE!</v>
      </c>
      <c r="AB882" s="3" t="e">
        <f t="shared" si="269"/>
        <v>#VALUE!</v>
      </c>
      <c r="AC882" s="177" t="s">
        <v>2929</v>
      </c>
      <c r="AD882" s="17" t="s">
        <v>283</v>
      </c>
      <c r="AG882" s="34">
        <f t="shared" si="270"/>
        <v>0</v>
      </c>
      <c r="AH882" s="125" t="s">
        <v>3840</v>
      </c>
      <c r="AI882" s="28"/>
      <c r="AK882" s="66">
        <f t="shared" si="275"/>
        <v>0</v>
      </c>
      <c r="AL882" s="174">
        <f t="shared" si="276"/>
        <v>0</v>
      </c>
      <c r="AM882" s="346">
        <f>RTD("money.excel",,$G882,"PredictVolume")</f>
        <v>0</v>
      </c>
      <c r="AN882" s="272">
        <f>RTD("money.excel",,$G882,"CumulativeVolume")</f>
        <v>0</v>
      </c>
      <c r="AO882" s="18"/>
    </row>
    <row r="883" spans="1:41">
      <c r="A883" s="151" t="s">
        <v>4645</v>
      </c>
      <c r="B883" s="85">
        <v>-128</v>
      </c>
      <c r="C883" s="85">
        <v>-74</v>
      </c>
      <c r="D883" s="85">
        <v>-9</v>
      </c>
      <c r="E883" s="84">
        <v>21</v>
      </c>
      <c r="F883" s="7">
        <v>0.57999999999999996</v>
      </c>
      <c r="G883" s="85">
        <v>5392</v>
      </c>
      <c r="H883" s="4" t="s">
        <v>557</v>
      </c>
      <c r="I883" s="17" t="s">
        <v>348</v>
      </c>
      <c r="J883" s="77">
        <v>34.33</v>
      </c>
      <c r="K883" s="371">
        <v>4.32</v>
      </c>
      <c r="L883" s="371">
        <v>10.55</v>
      </c>
      <c r="N883" s="365">
        <f t="shared" si="265"/>
        <v>49.2</v>
      </c>
      <c r="O883" s="343">
        <f t="shared" si="266"/>
        <v>34.33</v>
      </c>
      <c r="P883" s="195" t="s">
        <v>5554</v>
      </c>
      <c r="Q883" s="326">
        <f>IFERROR(VLOOKUP($G883,主力整理!$A$2:$G$2301,6,0),"0")</f>
        <v>1</v>
      </c>
      <c r="T883" s="339">
        <f t="shared" si="267"/>
        <v>1</v>
      </c>
      <c r="V883" s="371">
        <v>0.02</v>
      </c>
      <c r="W883" s="35">
        <v>0.3</v>
      </c>
      <c r="X883" s="100">
        <v>-0.74</v>
      </c>
      <c r="Y883" s="37" t="str">
        <f>RTD("money.excel",,"5392","Price")</f>
        <v>無資料</v>
      </c>
      <c r="Z883" s="69"/>
      <c r="AA883" s="16" t="e">
        <f t="shared" si="268"/>
        <v>#VALUE!</v>
      </c>
      <c r="AB883" s="3" t="e">
        <f t="shared" si="269"/>
        <v>#VALUE!</v>
      </c>
      <c r="AD883" s="17" t="s">
        <v>348</v>
      </c>
      <c r="AG883" s="34">
        <f t="shared" si="270"/>
        <v>0</v>
      </c>
      <c r="AH883" s="127" t="s">
        <v>3847</v>
      </c>
      <c r="AI883" s="131"/>
      <c r="AK883" s="66">
        <f t="shared" si="275"/>
        <v>0</v>
      </c>
      <c r="AL883" s="174">
        <f t="shared" si="276"/>
        <v>0</v>
      </c>
      <c r="AM883" s="346">
        <f>RTD("money.excel",,$G883,"PredictVolume")</f>
        <v>0</v>
      </c>
      <c r="AN883" s="272">
        <f>RTD("money.excel",,$G883,"CumulativeVolume")</f>
        <v>0</v>
      </c>
      <c r="AO883" s="284"/>
    </row>
    <row r="884" spans="1:41">
      <c r="A884" s="151" t="s">
        <v>3447</v>
      </c>
      <c r="B884" s="96">
        <v>-164</v>
      </c>
      <c r="C884" s="96">
        <v>-122</v>
      </c>
      <c r="D884" s="96">
        <v>6</v>
      </c>
      <c r="E884" s="96">
        <v>-12</v>
      </c>
      <c r="F884" s="7">
        <v>-1.36</v>
      </c>
      <c r="G884" s="85">
        <v>5432</v>
      </c>
      <c r="H884" s="4" t="s">
        <v>557</v>
      </c>
      <c r="I884" s="17" t="s">
        <v>854</v>
      </c>
      <c r="J884" s="77">
        <v>73.53</v>
      </c>
      <c r="K884" s="77">
        <v>0</v>
      </c>
      <c r="L884" s="77">
        <v>44.54</v>
      </c>
      <c r="N884" s="365">
        <f t="shared" si="265"/>
        <v>118.07</v>
      </c>
      <c r="O884" s="343">
        <f t="shared" si="266"/>
        <v>73.53</v>
      </c>
      <c r="P884" s="195" t="s">
        <v>5554</v>
      </c>
      <c r="Q884" s="326" t="str">
        <f>IFERROR(VLOOKUP($G884,主力整理!$A$2:$G$2301,6,0),"0")</f>
        <v>0</v>
      </c>
      <c r="T884" s="339">
        <f t="shared" si="267"/>
        <v>0</v>
      </c>
      <c r="V884" s="371">
        <v>24.55</v>
      </c>
      <c r="W884" s="35">
        <v>0</v>
      </c>
      <c r="X884" s="100">
        <v>-0.28000000000000003</v>
      </c>
      <c r="Y884" s="14" t="str">
        <f>RTD("money.excel",,"5432","Price")</f>
        <v>無資料</v>
      </c>
      <c r="Z884" s="69"/>
      <c r="AA884" s="16" t="e">
        <f t="shared" si="268"/>
        <v>#VALUE!</v>
      </c>
      <c r="AB884" s="3" t="e">
        <f t="shared" si="269"/>
        <v>#VALUE!</v>
      </c>
      <c r="AD884" s="17" t="s">
        <v>854</v>
      </c>
      <c r="AG884" s="34">
        <f t="shared" si="270"/>
        <v>0</v>
      </c>
      <c r="AH884" s="44" t="s">
        <v>3642</v>
      </c>
      <c r="AI884" s="131"/>
      <c r="AK884" s="66">
        <f t="shared" si="275"/>
        <v>0</v>
      </c>
      <c r="AL884" s="174">
        <f t="shared" si="276"/>
        <v>0</v>
      </c>
      <c r="AM884" s="346">
        <f>RTD("money.excel",,$G884,"PredictVolume")</f>
        <v>0</v>
      </c>
      <c r="AN884" s="272">
        <f>RTD("money.excel",,$G884,"CumulativeVolume")</f>
        <v>0</v>
      </c>
      <c r="AO884" s="284"/>
    </row>
    <row r="885" spans="1:41">
      <c r="A885" s="151" t="s">
        <v>2512</v>
      </c>
      <c r="B885" s="85">
        <v>-44</v>
      </c>
      <c r="C885" s="85">
        <v>-78</v>
      </c>
      <c r="D885" s="84">
        <v>3</v>
      </c>
      <c r="E885" s="84">
        <v>51</v>
      </c>
      <c r="F885" s="7">
        <v>2.2400000000000002</v>
      </c>
      <c r="G885" s="85">
        <v>5443</v>
      </c>
      <c r="H885" s="4" t="s">
        <v>557</v>
      </c>
      <c r="I885" s="17" t="s">
        <v>284</v>
      </c>
      <c r="J885" s="371">
        <v>38.64</v>
      </c>
      <c r="K885" s="371">
        <v>5.39</v>
      </c>
      <c r="L885" s="77">
        <v>31.86</v>
      </c>
      <c r="N885" s="365">
        <f t="shared" si="265"/>
        <v>75.89</v>
      </c>
      <c r="O885" s="343">
        <f t="shared" si="266"/>
        <v>38.64</v>
      </c>
      <c r="P885" s="195">
        <v>2</v>
      </c>
      <c r="Q885" s="326" t="str">
        <f>IFERROR(VLOOKUP($G885,主力整理!$A$2:$G$2301,6,0),"0")</f>
        <v>0</v>
      </c>
      <c r="T885" s="339">
        <f t="shared" si="267"/>
        <v>2</v>
      </c>
      <c r="V885" s="371">
        <v>3.51</v>
      </c>
      <c r="W885" s="35">
        <v>1</v>
      </c>
      <c r="X885" s="100">
        <v>0.93</v>
      </c>
      <c r="Y885" s="37" t="str">
        <f>RTD("money.excel",,"5443","Price")</f>
        <v>無資料</v>
      </c>
      <c r="Z885" s="69"/>
      <c r="AA885" s="16" t="e">
        <f t="shared" si="268"/>
        <v>#VALUE!</v>
      </c>
      <c r="AB885" s="3" t="e">
        <f t="shared" si="269"/>
        <v>#VALUE!</v>
      </c>
      <c r="AC885" s="177" t="s">
        <v>2648</v>
      </c>
      <c r="AD885" s="17" t="s">
        <v>284</v>
      </c>
      <c r="AG885" s="34">
        <f t="shared" si="270"/>
        <v>0</v>
      </c>
      <c r="AH885" s="44" t="s">
        <v>3684</v>
      </c>
      <c r="AI885" s="131"/>
      <c r="AK885" s="66">
        <f t="shared" si="275"/>
        <v>0</v>
      </c>
      <c r="AL885" s="174">
        <f t="shared" si="276"/>
        <v>0</v>
      </c>
      <c r="AM885" s="346">
        <f>RTD("money.excel",,$G885,"PredictVolume")</f>
        <v>0</v>
      </c>
      <c r="AN885" s="272">
        <f>RTD("money.excel",,$G885,"CumulativeVolume")</f>
        <v>0</v>
      </c>
      <c r="AO885" s="284"/>
    </row>
    <row r="886" spans="1:41">
      <c r="A886" s="151" t="s">
        <v>4795</v>
      </c>
      <c r="B886" s="96">
        <v>75</v>
      </c>
      <c r="C886" s="96">
        <v>19</v>
      </c>
      <c r="D886" s="96">
        <v>-2</v>
      </c>
      <c r="E886" s="96">
        <v>35</v>
      </c>
      <c r="F886" s="7">
        <v>-32.56</v>
      </c>
      <c r="G886" s="85">
        <v>5484</v>
      </c>
      <c r="H886" s="4" t="s">
        <v>557</v>
      </c>
      <c r="I886" s="23" t="s">
        <v>821</v>
      </c>
      <c r="J886" s="77">
        <v>49.3</v>
      </c>
      <c r="K886" s="77">
        <v>0.51</v>
      </c>
      <c r="N886" s="365">
        <f t="shared" si="265"/>
        <v>49.809999999999995</v>
      </c>
      <c r="O886" s="343">
        <f t="shared" si="266"/>
        <v>49.3</v>
      </c>
      <c r="P886" s="195" t="s">
        <v>5554</v>
      </c>
      <c r="Q886" s="326" t="str">
        <f>IFERROR(VLOOKUP($G886,主力整理!$A$2:$G$2301,6,0),"0")</f>
        <v>0</v>
      </c>
      <c r="T886" s="339">
        <f t="shared" si="267"/>
        <v>0</v>
      </c>
      <c r="V886" s="371">
        <v>21.97</v>
      </c>
      <c r="W886" s="35">
        <v>0</v>
      </c>
      <c r="X886" s="100">
        <v>-0.71</v>
      </c>
      <c r="Y886" s="37" t="str">
        <f>RTD("money.excel",,"5484","Price")</f>
        <v>無資料</v>
      </c>
      <c r="Z886" s="69"/>
      <c r="AA886" s="16" t="e">
        <f t="shared" si="268"/>
        <v>#VALUE!</v>
      </c>
      <c r="AB886" s="3" t="e">
        <f t="shared" si="269"/>
        <v>#VALUE!</v>
      </c>
      <c r="AD886" s="23" t="s">
        <v>821</v>
      </c>
      <c r="AG886" s="34">
        <f t="shared" si="270"/>
        <v>0</v>
      </c>
      <c r="AH886" s="44" t="s">
        <v>4069</v>
      </c>
      <c r="AI886" s="131"/>
      <c r="AK886" s="66">
        <f t="shared" si="275"/>
        <v>0</v>
      </c>
      <c r="AL886" s="174">
        <f t="shared" si="276"/>
        <v>0</v>
      </c>
      <c r="AM886" s="346">
        <f>RTD("money.excel",,$G886,"PredictVolume")</f>
        <v>0</v>
      </c>
      <c r="AN886" s="272">
        <f>RTD("money.excel",,$G886,"CumulativeVolume")</f>
        <v>0</v>
      </c>
      <c r="AO886" s="284"/>
    </row>
    <row r="887" spans="1:41">
      <c r="A887" s="135" t="s">
        <v>4796</v>
      </c>
      <c r="B887" s="84">
        <v>573</v>
      </c>
      <c r="C887" s="84">
        <v>774</v>
      </c>
      <c r="D887" s="85">
        <v>30</v>
      </c>
      <c r="E887" s="84">
        <v>-20</v>
      </c>
      <c r="F887" s="59">
        <v>33.81</v>
      </c>
      <c r="G887" s="85">
        <v>6116</v>
      </c>
      <c r="H887" s="53" t="s">
        <v>557</v>
      </c>
      <c r="I887" s="23" t="s">
        <v>388</v>
      </c>
      <c r="J887" s="77">
        <v>44.17</v>
      </c>
      <c r="K887" s="371">
        <v>11.07</v>
      </c>
      <c r="L887" s="77">
        <v>13.2</v>
      </c>
      <c r="M887" s="77">
        <v>11.63</v>
      </c>
      <c r="N887" s="365">
        <f t="shared" si="265"/>
        <v>80.069999999999993</v>
      </c>
      <c r="O887" s="343">
        <f t="shared" si="266"/>
        <v>55.800000000000004</v>
      </c>
      <c r="P887" s="195">
        <v>35</v>
      </c>
      <c r="Q887" s="326">
        <v>48</v>
      </c>
      <c r="R887" s="111">
        <v>29</v>
      </c>
      <c r="S887" s="51">
        <v>32</v>
      </c>
      <c r="T887" s="339">
        <f t="shared" si="267"/>
        <v>144</v>
      </c>
      <c r="U887" s="329" t="s">
        <v>6540</v>
      </c>
      <c r="V887" s="371">
        <v>7.31</v>
      </c>
      <c r="W887" s="35">
        <v>0.5</v>
      </c>
      <c r="X887" s="100">
        <v>3.34</v>
      </c>
      <c r="Y887" s="37" t="str">
        <f>RTD("money.excel",,"6116","Price")</f>
        <v>無資料</v>
      </c>
      <c r="Z887" s="69"/>
      <c r="AA887" s="16" t="e">
        <f t="shared" si="268"/>
        <v>#VALUE!</v>
      </c>
      <c r="AB887" s="3" t="e">
        <f t="shared" si="269"/>
        <v>#VALUE!</v>
      </c>
      <c r="AC887" s="177" t="s">
        <v>2648</v>
      </c>
      <c r="AD887" s="23" t="s">
        <v>388</v>
      </c>
      <c r="AG887" s="34">
        <f t="shared" si="270"/>
        <v>0</v>
      </c>
      <c r="AH887" s="126" t="s">
        <v>2162</v>
      </c>
      <c r="AI887" s="131"/>
      <c r="AK887" s="66">
        <f t="shared" si="275"/>
        <v>0</v>
      </c>
      <c r="AL887" s="174">
        <f t="shared" si="276"/>
        <v>0</v>
      </c>
      <c r="AM887" s="346">
        <f>RTD("money.excel",,$G887,"PredictVolume")</f>
        <v>0</v>
      </c>
      <c r="AN887" s="272">
        <f>RTD("money.excel",,$G887,"CumulativeVolume")</f>
        <v>0</v>
      </c>
      <c r="AO887" s="284"/>
    </row>
    <row r="888" spans="1:41">
      <c r="A888" s="151" t="s">
        <v>2558</v>
      </c>
      <c r="B888" s="99">
        <v>-5079</v>
      </c>
      <c r="C888" s="85">
        <v>-370</v>
      </c>
      <c r="D888" s="84">
        <v>5</v>
      </c>
      <c r="E888" s="84">
        <v>33</v>
      </c>
      <c r="F888" s="7">
        <v>-13.02</v>
      </c>
      <c r="G888" s="85">
        <v>6120</v>
      </c>
      <c r="H888" s="4" t="s">
        <v>557</v>
      </c>
      <c r="I888" s="23" t="s">
        <v>822</v>
      </c>
      <c r="J888" s="77">
        <v>63.09</v>
      </c>
      <c r="K888" s="77">
        <v>9.17</v>
      </c>
      <c r="L888" s="77">
        <v>6.65</v>
      </c>
      <c r="N888" s="365">
        <f t="shared" si="265"/>
        <v>78.910000000000011</v>
      </c>
      <c r="O888" s="343">
        <f t="shared" si="266"/>
        <v>63.09</v>
      </c>
      <c r="P888" s="195">
        <v>1</v>
      </c>
      <c r="Q888" s="326">
        <f>IFERROR(VLOOKUP($G888,主力整理!$A$2:$G$2301,6,0),"0")</f>
        <v>4</v>
      </c>
      <c r="T888" s="339">
        <f t="shared" si="267"/>
        <v>5</v>
      </c>
      <c r="V888" s="371">
        <v>0.05</v>
      </c>
      <c r="W888" s="35">
        <v>0</v>
      </c>
      <c r="X888" s="100">
        <v>-1.86</v>
      </c>
      <c r="Y888" s="37" t="str">
        <f>RTD("money.excel",,"6120","Price")</f>
        <v>無資料</v>
      </c>
      <c r="Z888" s="69"/>
      <c r="AA888" s="16" t="e">
        <f t="shared" si="268"/>
        <v>#VALUE!</v>
      </c>
      <c r="AB888" s="3" t="e">
        <f t="shared" si="269"/>
        <v>#VALUE!</v>
      </c>
      <c r="AC888" s="177" t="s">
        <v>2648</v>
      </c>
      <c r="AD888" s="23" t="s">
        <v>822</v>
      </c>
      <c r="AG888" s="34">
        <f t="shared" si="270"/>
        <v>0</v>
      </c>
      <c r="AH888" s="44" t="s">
        <v>3135</v>
      </c>
      <c r="AI888" s="284"/>
      <c r="AK888" s="66">
        <f t="shared" si="275"/>
        <v>0</v>
      </c>
      <c r="AL888" s="174">
        <f t="shared" si="276"/>
        <v>0</v>
      </c>
      <c r="AM888" s="346">
        <f>RTD("money.excel",,$G888,"PredictVolume")</f>
        <v>0</v>
      </c>
      <c r="AN888" s="272">
        <f>RTD("money.excel",,$G888,"CumulativeVolume")</f>
        <v>0</v>
      </c>
      <c r="AO888" s="284"/>
    </row>
    <row r="889" spans="1:41">
      <c r="A889" s="151" t="s">
        <v>2639</v>
      </c>
      <c r="B889" s="85">
        <v>-107</v>
      </c>
      <c r="C889" s="84">
        <v>73</v>
      </c>
      <c r="D889" s="85">
        <v>-10</v>
      </c>
      <c r="E889" s="84">
        <v>9</v>
      </c>
      <c r="F889" s="7">
        <v>-3.63</v>
      </c>
      <c r="G889" s="85">
        <v>6125</v>
      </c>
      <c r="H889" s="4" t="s">
        <v>557</v>
      </c>
      <c r="I889" s="17" t="s">
        <v>855</v>
      </c>
      <c r="J889" s="77">
        <v>46.91</v>
      </c>
      <c r="K889" s="371">
        <v>3.64</v>
      </c>
      <c r="L889" s="77">
        <v>38.22</v>
      </c>
      <c r="N889" s="365">
        <f t="shared" si="265"/>
        <v>88.77</v>
      </c>
      <c r="O889" s="343">
        <f t="shared" si="266"/>
        <v>46.91</v>
      </c>
      <c r="P889" s="195">
        <v>2</v>
      </c>
      <c r="Q889" s="326">
        <f>IFERROR(VLOOKUP($G889,主力整理!$A$2:$G$2301,6,0),"0")</f>
        <v>1</v>
      </c>
      <c r="T889" s="339">
        <f t="shared" si="267"/>
        <v>3</v>
      </c>
      <c r="V889" s="371">
        <v>0.97</v>
      </c>
      <c r="W889" s="35">
        <v>1.5</v>
      </c>
      <c r="X889" s="100">
        <v>-0.39</v>
      </c>
      <c r="Y889" s="37" t="str">
        <f>RTD("money.excel",,"6125","Price")</f>
        <v>無資料</v>
      </c>
      <c r="Z889" s="69"/>
      <c r="AA889" s="16" t="e">
        <f t="shared" si="268"/>
        <v>#VALUE!</v>
      </c>
      <c r="AB889" s="3" t="e">
        <f t="shared" si="269"/>
        <v>#VALUE!</v>
      </c>
      <c r="AC889" s="177" t="s">
        <v>2648</v>
      </c>
      <c r="AD889" s="17" t="s">
        <v>855</v>
      </c>
      <c r="AG889" s="34">
        <f t="shared" si="270"/>
        <v>0</v>
      </c>
      <c r="AH889" s="44" t="s">
        <v>2158</v>
      </c>
      <c r="AI889" s="284"/>
      <c r="AK889" s="66">
        <f t="shared" si="275"/>
        <v>0</v>
      </c>
      <c r="AL889" s="174">
        <f t="shared" si="276"/>
        <v>0</v>
      </c>
      <c r="AM889" s="346">
        <f>RTD("money.excel",,$G889,"PredictVolume")</f>
        <v>0</v>
      </c>
      <c r="AN889" s="272">
        <f>RTD("money.excel",,$G889,"CumulativeVolume")</f>
        <v>0</v>
      </c>
      <c r="AO889" s="284"/>
    </row>
    <row r="890" spans="1:41">
      <c r="A890" s="151" t="s">
        <v>3161</v>
      </c>
      <c r="B890" s="84">
        <v>151</v>
      </c>
      <c r="C890" s="84">
        <v>111</v>
      </c>
      <c r="D890" s="84">
        <v>37</v>
      </c>
      <c r="E890" s="84">
        <v>41</v>
      </c>
      <c r="F890" s="7">
        <v>0.68</v>
      </c>
      <c r="G890" s="85">
        <v>6164</v>
      </c>
      <c r="H890" s="4" t="s">
        <v>557</v>
      </c>
      <c r="I890" s="23" t="s">
        <v>823</v>
      </c>
      <c r="J890" s="371">
        <v>18.5</v>
      </c>
      <c r="K890" s="371">
        <v>1.1100000000000001</v>
      </c>
      <c r="L890" s="371">
        <v>27.86</v>
      </c>
      <c r="M890" s="371">
        <v>11.67</v>
      </c>
      <c r="N890" s="365">
        <f t="shared" si="265"/>
        <v>59.14</v>
      </c>
      <c r="O890" s="343">
        <f t="shared" si="266"/>
        <v>30.17</v>
      </c>
      <c r="P890" s="195">
        <v>1</v>
      </c>
      <c r="Q890" s="326">
        <v>37</v>
      </c>
      <c r="R890" s="111">
        <v>36</v>
      </c>
      <c r="S890" s="51">
        <v>37</v>
      </c>
      <c r="T890" s="339">
        <f t="shared" si="267"/>
        <v>111</v>
      </c>
      <c r="U890" s="329" t="s">
        <v>6538</v>
      </c>
      <c r="V890" s="371">
        <v>1.57</v>
      </c>
      <c r="W890" s="35">
        <v>0</v>
      </c>
      <c r="X890" s="100">
        <v>0.32</v>
      </c>
      <c r="Y890" s="37" t="str">
        <f>RTD("money.excel",,"6164","Price")</f>
        <v>無資料</v>
      </c>
      <c r="Z890" s="69"/>
      <c r="AA890" s="16" t="e">
        <f t="shared" si="268"/>
        <v>#VALUE!</v>
      </c>
      <c r="AB890" s="3" t="e">
        <f t="shared" si="269"/>
        <v>#VALUE!</v>
      </c>
      <c r="AC890" s="177" t="s">
        <v>2648</v>
      </c>
      <c r="AD890" s="23" t="s">
        <v>823</v>
      </c>
      <c r="AG890" s="34">
        <f t="shared" si="270"/>
        <v>0</v>
      </c>
      <c r="AH890" s="44" t="s">
        <v>2248</v>
      </c>
      <c r="AI890" s="131"/>
      <c r="AK890" s="66">
        <f t="shared" si="275"/>
        <v>0</v>
      </c>
      <c r="AL890" s="174">
        <f t="shared" si="276"/>
        <v>0</v>
      </c>
      <c r="AM890" s="346">
        <f>RTD("money.excel",,$G890,"PredictVolume")</f>
        <v>0</v>
      </c>
      <c r="AN890" s="272">
        <f>RTD("money.excel",,$G890,"CumulativeVolume")</f>
        <v>0</v>
      </c>
      <c r="AO890" s="284"/>
    </row>
    <row r="891" spans="1:41">
      <c r="A891" s="151" t="s">
        <v>2628</v>
      </c>
      <c r="B891" s="84">
        <v>18</v>
      </c>
      <c r="C891" s="85">
        <v>-24</v>
      </c>
      <c r="D891" s="84">
        <v>5</v>
      </c>
      <c r="E891" s="84">
        <v>62</v>
      </c>
      <c r="F891" s="7">
        <v>1.59</v>
      </c>
      <c r="G891" s="85">
        <v>6167</v>
      </c>
      <c r="H891" s="4" t="s">
        <v>557</v>
      </c>
      <c r="I891" s="17" t="s">
        <v>856</v>
      </c>
      <c r="J891" s="77">
        <v>36.57</v>
      </c>
      <c r="K891" s="371">
        <v>6.53</v>
      </c>
      <c r="M891" s="77">
        <v>20.14</v>
      </c>
      <c r="N891" s="365">
        <f t="shared" si="265"/>
        <v>63.24</v>
      </c>
      <c r="O891" s="343">
        <f t="shared" si="266"/>
        <v>56.71</v>
      </c>
      <c r="P891" s="195">
        <v>0</v>
      </c>
      <c r="Q891" s="326">
        <v>11</v>
      </c>
      <c r="R891" s="111">
        <v>16</v>
      </c>
      <c r="S891" s="51">
        <v>22</v>
      </c>
      <c r="T891" s="339">
        <f t="shared" si="267"/>
        <v>49</v>
      </c>
      <c r="V891" s="371">
        <v>18.38</v>
      </c>
      <c r="W891" s="35">
        <v>0</v>
      </c>
      <c r="X891" s="100">
        <v>0.25</v>
      </c>
      <c r="Y891" s="37" t="str">
        <f>RTD("money.excel",,"6167","Price")</f>
        <v>無資料</v>
      </c>
      <c r="Z891" s="69"/>
      <c r="AA891" s="16" t="e">
        <f t="shared" si="268"/>
        <v>#VALUE!</v>
      </c>
      <c r="AB891" s="3" t="e">
        <f t="shared" si="269"/>
        <v>#VALUE!</v>
      </c>
      <c r="AD891" s="17" t="s">
        <v>856</v>
      </c>
      <c r="AG891" s="34">
        <f t="shared" si="270"/>
        <v>0</v>
      </c>
      <c r="AH891" s="44" t="s">
        <v>3455</v>
      </c>
      <c r="AI891" s="131"/>
      <c r="AK891" s="66">
        <f t="shared" si="275"/>
        <v>0</v>
      </c>
      <c r="AL891" s="174">
        <f t="shared" si="276"/>
        <v>0</v>
      </c>
      <c r="AM891" s="346">
        <f>RTD("money.excel",,$G891,"PredictVolume")</f>
        <v>0</v>
      </c>
      <c r="AN891" s="272">
        <f>RTD("money.excel",,$G891,"CumulativeVolume")</f>
        <v>0</v>
      </c>
      <c r="AO891" s="284"/>
    </row>
    <row r="892" spans="1:41">
      <c r="A892" s="151" t="s">
        <v>2874</v>
      </c>
      <c r="B892" s="85">
        <v>-76</v>
      </c>
      <c r="C892" s="85">
        <v>-92</v>
      </c>
      <c r="D892" s="84">
        <v>0</v>
      </c>
      <c r="E892" s="84">
        <v>1</v>
      </c>
      <c r="F892" s="7">
        <v>0.57999999999999996</v>
      </c>
      <c r="G892" s="85">
        <v>6168</v>
      </c>
      <c r="H892" s="4" t="s">
        <v>557</v>
      </c>
      <c r="I892" s="23" t="s">
        <v>338</v>
      </c>
      <c r="J892" s="77">
        <v>49.21</v>
      </c>
      <c r="K892" s="371">
        <v>4.2300000000000004</v>
      </c>
      <c r="L892" s="371">
        <v>7.1</v>
      </c>
      <c r="N892" s="365">
        <f t="shared" si="265"/>
        <v>60.54</v>
      </c>
      <c r="O892" s="343">
        <f t="shared" si="266"/>
        <v>49.21</v>
      </c>
      <c r="P892" s="195">
        <v>1</v>
      </c>
      <c r="Q892" s="326">
        <f>IFERROR(VLOOKUP($G892,主力整理!$A$2:$G$2301,6,0),"0")</f>
        <v>5</v>
      </c>
      <c r="T892" s="339">
        <f t="shared" si="267"/>
        <v>6</v>
      </c>
      <c r="V892" s="371">
        <v>22.51</v>
      </c>
      <c r="W892" s="35">
        <v>0.7</v>
      </c>
      <c r="X892" s="100">
        <v>0.7</v>
      </c>
      <c r="Y892" s="37" t="str">
        <f>RTD("money.excel",,"6168","Price")</f>
        <v>無資料</v>
      </c>
      <c r="Z892" s="69"/>
      <c r="AA892" s="16" t="e">
        <f t="shared" si="268"/>
        <v>#VALUE!</v>
      </c>
      <c r="AB892" s="3" t="e">
        <f t="shared" si="269"/>
        <v>#VALUE!</v>
      </c>
      <c r="AC892" s="177" t="s">
        <v>2648</v>
      </c>
      <c r="AD892" s="23" t="s">
        <v>338</v>
      </c>
      <c r="AG892" s="34">
        <f t="shared" si="270"/>
        <v>0</v>
      </c>
      <c r="AH892" s="125" t="s">
        <v>3833</v>
      </c>
      <c r="AI892" s="131"/>
      <c r="AK892" s="66">
        <f t="shared" si="275"/>
        <v>0</v>
      </c>
      <c r="AL892" s="174">
        <f t="shared" si="276"/>
        <v>0</v>
      </c>
      <c r="AM892" s="346">
        <f>RTD("money.excel",,$G892,"PredictVolume")</f>
        <v>0</v>
      </c>
      <c r="AN892" s="272">
        <f>RTD("money.excel",,$G892,"CumulativeVolume")</f>
        <v>0</v>
      </c>
      <c r="AO892" s="284"/>
    </row>
    <row r="893" spans="1:41">
      <c r="A893" s="135" t="s">
        <v>2519</v>
      </c>
      <c r="B893" s="84">
        <v>6</v>
      </c>
      <c r="C893" s="85">
        <v>-2</v>
      </c>
      <c r="D893" s="84">
        <v>10</v>
      </c>
      <c r="E893" s="85">
        <v>-6</v>
      </c>
      <c r="F893" s="59">
        <v>13.03</v>
      </c>
      <c r="G893" s="85">
        <v>6176</v>
      </c>
      <c r="H893" s="53" t="s">
        <v>557</v>
      </c>
      <c r="I893" s="23" t="s">
        <v>471</v>
      </c>
      <c r="J893" s="371">
        <v>48.09</v>
      </c>
      <c r="K893" s="371">
        <v>45.32</v>
      </c>
      <c r="L893" s="77">
        <v>3.66</v>
      </c>
      <c r="N893" s="365">
        <f t="shared" si="265"/>
        <v>97.07</v>
      </c>
      <c r="O893" s="343">
        <f t="shared" si="266"/>
        <v>48.09</v>
      </c>
      <c r="P893" s="195">
        <v>40</v>
      </c>
      <c r="Q893" s="326">
        <v>6</v>
      </c>
      <c r="R893" s="111">
        <v>0</v>
      </c>
      <c r="S893" s="51">
        <v>1</v>
      </c>
      <c r="T893" s="339">
        <f t="shared" si="267"/>
        <v>47</v>
      </c>
      <c r="U893" s="329" t="s">
        <v>6539</v>
      </c>
      <c r="V893" s="371">
        <v>0.61</v>
      </c>
      <c r="W893" s="69">
        <v>8</v>
      </c>
      <c r="X893" s="100">
        <v>11.79</v>
      </c>
      <c r="Y893" s="14" t="str">
        <f>RTD("money.excel",,"6176","Price")</f>
        <v>無資料</v>
      </c>
      <c r="Z893" s="69"/>
      <c r="AA893" s="16" t="e">
        <f t="shared" si="268"/>
        <v>#VALUE!</v>
      </c>
      <c r="AB893" s="3" t="e">
        <f t="shared" si="269"/>
        <v>#VALUE!</v>
      </c>
      <c r="AC893" s="177" t="s">
        <v>2929</v>
      </c>
      <c r="AD893" s="23" t="s">
        <v>471</v>
      </c>
      <c r="AG893" s="34">
        <f t="shared" si="270"/>
        <v>0</v>
      </c>
      <c r="AH893" s="126" t="s">
        <v>3840</v>
      </c>
      <c r="AI893" s="131"/>
      <c r="AK893" s="66">
        <f t="shared" si="275"/>
        <v>0</v>
      </c>
      <c r="AL893" s="174">
        <f t="shared" si="276"/>
        <v>0</v>
      </c>
      <c r="AM893" s="346">
        <f>RTD("money.excel",,$G893,"PredictVolume")</f>
        <v>0</v>
      </c>
      <c r="AN893" s="272">
        <f>RTD("money.excel",,$G893,"CumulativeVolume")</f>
        <v>0</v>
      </c>
      <c r="AO893" s="284"/>
    </row>
    <row r="894" spans="1:41">
      <c r="A894" s="151" t="s">
        <v>2531</v>
      </c>
      <c r="B894" s="85">
        <v>-20</v>
      </c>
      <c r="C894" s="85">
        <v>-24</v>
      </c>
      <c r="D894" s="84">
        <v>10</v>
      </c>
      <c r="E894" s="84">
        <v>3</v>
      </c>
      <c r="F894" s="7">
        <v>-9.25</v>
      </c>
      <c r="G894" s="85">
        <v>6209</v>
      </c>
      <c r="H894" s="54" t="s">
        <v>557</v>
      </c>
      <c r="I894" s="23" t="s">
        <v>332</v>
      </c>
      <c r="J894" s="77">
        <v>30.67</v>
      </c>
      <c r="K894" s="77">
        <v>1.1399999999999999</v>
      </c>
      <c r="L894" s="371">
        <v>15.5</v>
      </c>
      <c r="N894" s="365">
        <f t="shared" si="265"/>
        <v>47.31</v>
      </c>
      <c r="O894" s="343">
        <f t="shared" si="266"/>
        <v>30.67</v>
      </c>
      <c r="P894" s="195">
        <v>2</v>
      </c>
      <c r="Q894" s="326" t="str">
        <f>IFERROR(VLOOKUP($G894,主力整理!$A$2:$G$2301,6,0),"0")</f>
        <v>0</v>
      </c>
      <c r="R894" s="111">
        <v>8</v>
      </c>
      <c r="S894" s="51">
        <v>0</v>
      </c>
      <c r="T894" s="339">
        <f t="shared" si="267"/>
        <v>10</v>
      </c>
      <c r="V894" s="371">
        <v>2.16</v>
      </c>
      <c r="W894" s="35">
        <v>0</v>
      </c>
      <c r="X894" s="100">
        <v>-1.44</v>
      </c>
      <c r="Y894" s="37" t="str">
        <f>RTD("money.excel",,"6209","Price")</f>
        <v>無資料</v>
      </c>
      <c r="Z894" s="69"/>
      <c r="AA894" s="16" t="e">
        <f t="shared" si="268"/>
        <v>#VALUE!</v>
      </c>
      <c r="AB894" s="3" t="e">
        <f t="shared" si="269"/>
        <v>#VALUE!</v>
      </c>
      <c r="AC894" s="177" t="s">
        <v>2648</v>
      </c>
      <c r="AD894" s="23" t="s">
        <v>332</v>
      </c>
      <c r="AG894" s="34">
        <f t="shared" si="270"/>
        <v>0</v>
      </c>
      <c r="AH894" s="127" t="s">
        <v>3225</v>
      </c>
      <c r="AI894" s="131"/>
      <c r="AK894" s="66">
        <f t="shared" si="275"/>
        <v>0</v>
      </c>
      <c r="AL894" s="174">
        <f t="shared" si="276"/>
        <v>0</v>
      </c>
      <c r="AM894" s="346">
        <f>RTD("money.excel",,$G894,"PredictVolume")</f>
        <v>0</v>
      </c>
      <c r="AN894" s="272">
        <f>RTD("money.excel",,$G894,"CumulativeVolume")</f>
        <v>0</v>
      </c>
      <c r="AO894" s="284"/>
    </row>
    <row r="895" spans="1:41">
      <c r="A895" s="151" t="s">
        <v>2883</v>
      </c>
      <c r="B895" s="96">
        <v>-49</v>
      </c>
      <c r="C895" s="96">
        <v>-18</v>
      </c>
      <c r="D895" s="96">
        <v>-19</v>
      </c>
      <c r="E895" s="96">
        <v>8</v>
      </c>
      <c r="F895" s="7">
        <v>2.2799999999999998</v>
      </c>
      <c r="G895" s="85">
        <v>6222</v>
      </c>
      <c r="H895" s="4" t="s">
        <v>557</v>
      </c>
      <c r="I895" s="17" t="s">
        <v>903</v>
      </c>
      <c r="J895" s="77">
        <v>51.39</v>
      </c>
      <c r="K895" s="77">
        <v>0.02</v>
      </c>
      <c r="L895" s="77">
        <v>14.18</v>
      </c>
      <c r="N895" s="365">
        <f t="shared" si="265"/>
        <v>65.59</v>
      </c>
      <c r="O895" s="343">
        <f t="shared" si="266"/>
        <v>51.39</v>
      </c>
      <c r="P895" s="195" t="s">
        <v>5554</v>
      </c>
      <c r="Q895" s="326" t="str">
        <f>IFERROR(VLOOKUP($G895,主力整理!$A$2:$G$2301,6,0),"0")</f>
        <v>0</v>
      </c>
      <c r="T895" s="339">
        <f t="shared" si="267"/>
        <v>0</v>
      </c>
      <c r="V895" s="371">
        <v>13.13</v>
      </c>
      <c r="W895" s="35">
        <v>0</v>
      </c>
      <c r="X895" s="100">
        <v>0.19</v>
      </c>
      <c r="Y895" s="14" t="str">
        <f>RTD("money.excel",,"6246","Price")</f>
        <v>無資料</v>
      </c>
      <c r="Z895" s="69"/>
      <c r="AA895" s="16" t="e">
        <f t="shared" si="268"/>
        <v>#VALUE!</v>
      </c>
      <c r="AB895" s="3" t="e">
        <f t="shared" si="269"/>
        <v>#VALUE!</v>
      </c>
      <c r="AD895" s="17" t="s">
        <v>903</v>
      </c>
      <c r="AG895" s="34">
        <f t="shared" si="270"/>
        <v>0</v>
      </c>
      <c r="AH895" s="44" t="s">
        <v>3839</v>
      </c>
      <c r="AI895" s="131"/>
      <c r="AK895" s="66">
        <f t="shared" si="275"/>
        <v>0</v>
      </c>
      <c r="AL895" s="174">
        <f t="shared" si="276"/>
        <v>0</v>
      </c>
      <c r="AM895" s="346">
        <f>RTD("money.excel",,$G895,"PredictVolume")</f>
        <v>0</v>
      </c>
      <c r="AN895" s="272">
        <f>RTD("money.excel",,$G895,"CumulativeVolume")</f>
        <v>0</v>
      </c>
      <c r="AO895" s="284"/>
    </row>
    <row r="896" spans="1:41">
      <c r="A896" s="151" t="s">
        <v>2310</v>
      </c>
      <c r="B896" s="96">
        <v>-17</v>
      </c>
      <c r="C896" s="96">
        <v>45</v>
      </c>
      <c r="D896" s="96">
        <v>-78</v>
      </c>
      <c r="E896" s="96">
        <v>24</v>
      </c>
      <c r="F896" s="7">
        <v>-34.64</v>
      </c>
      <c r="G896" s="85">
        <v>6225</v>
      </c>
      <c r="H896" s="4" t="s">
        <v>557</v>
      </c>
      <c r="I896" s="23" t="s">
        <v>824</v>
      </c>
      <c r="J896" s="77">
        <v>73.84</v>
      </c>
      <c r="K896" s="77">
        <v>5.83</v>
      </c>
      <c r="N896" s="365">
        <f t="shared" si="265"/>
        <v>79.67</v>
      </c>
      <c r="O896" s="343">
        <f t="shared" si="266"/>
        <v>73.84</v>
      </c>
      <c r="P896" s="195" t="s">
        <v>5554</v>
      </c>
      <c r="Q896" s="326" t="str">
        <f>IFERROR(VLOOKUP($G896,主力整理!$A$2:$G$2301,6,0),"0")</f>
        <v>0</v>
      </c>
      <c r="T896" s="339">
        <f t="shared" si="267"/>
        <v>0</v>
      </c>
      <c r="V896" s="371">
        <v>33.22</v>
      </c>
      <c r="W896" s="35">
        <v>0</v>
      </c>
      <c r="X896" s="100">
        <v>-0.06</v>
      </c>
      <c r="Y896" s="14" t="str">
        <f>RTD("money.excel",,"6225","Price")</f>
        <v>無資料</v>
      </c>
      <c r="Z896" s="69"/>
      <c r="AA896" s="16" t="e">
        <f t="shared" si="268"/>
        <v>#VALUE!</v>
      </c>
      <c r="AB896" s="3" t="e">
        <f t="shared" si="269"/>
        <v>#VALUE!</v>
      </c>
      <c r="AD896" s="23" t="s">
        <v>824</v>
      </c>
      <c r="AG896" s="34">
        <f t="shared" si="270"/>
        <v>0</v>
      </c>
      <c r="AH896" s="44" t="s">
        <v>4250</v>
      </c>
      <c r="AI896" s="131"/>
      <c r="AK896" s="66">
        <f t="shared" si="275"/>
        <v>0</v>
      </c>
      <c r="AL896" s="174">
        <f t="shared" si="276"/>
        <v>0</v>
      </c>
      <c r="AM896" s="346">
        <f>RTD("money.excel",,$G896,"PredictVolume")</f>
        <v>0</v>
      </c>
      <c r="AN896" s="272">
        <f>RTD("money.excel",,$G896,"CumulativeVolume")</f>
        <v>0</v>
      </c>
      <c r="AO896" s="284"/>
    </row>
    <row r="897" spans="1:41">
      <c r="A897" s="151" t="s">
        <v>2754</v>
      </c>
      <c r="B897" s="96">
        <v>-253</v>
      </c>
      <c r="C897" s="96">
        <v>-151</v>
      </c>
      <c r="D897" s="96">
        <v>-24</v>
      </c>
      <c r="E897" s="96">
        <v>35</v>
      </c>
      <c r="F897" s="7">
        <v>-2.4300000000000002</v>
      </c>
      <c r="G897" s="85">
        <v>6226</v>
      </c>
      <c r="H897" s="4" t="s">
        <v>557</v>
      </c>
      <c r="I897" s="23" t="s">
        <v>825</v>
      </c>
      <c r="J897" s="77">
        <v>41.5</v>
      </c>
      <c r="K897" s="77">
        <v>4.66</v>
      </c>
      <c r="L897" s="77">
        <v>39.57</v>
      </c>
      <c r="N897" s="365">
        <f t="shared" si="265"/>
        <v>85.72999999999999</v>
      </c>
      <c r="O897" s="343">
        <f t="shared" si="266"/>
        <v>41.5</v>
      </c>
      <c r="P897" s="195" t="s">
        <v>5554</v>
      </c>
      <c r="Q897" s="326">
        <f>IFERROR(VLOOKUP($G897,主力整理!$A$2:$G$2301,6,0),"0")</f>
        <v>3</v>
      </c>
      <c r="T897" s="339">
        <f t="shared" si="267"/>
        <v>3</v>
      </c>
      <c r="V897" s="371">
        <v>11.97</v>
      </c>
      <c r="W897" s="35">
        <v>0</v>
      </c>
      <c r="X897" s="100">
        <v>-0.39</v>
      </c>
      <c r="Y897" s="37" t="str">
        <f>RTD("money.excel",,"6226","Price")</f>
        <v>無資料</v>
      </c>
      <c r="Z897" s="69"/>
      <c r="AA897" s="16" t="e">
        <f t="shared" si="268"/>
        <v>#VALUE!</v>
      </c>
      <c r="AB897" s="3" t="e">
        <f t="shared" si="269"/>
        <v>#VALUE!</v>
      </c>
      <c r="AD897" s="23" t="s">
        <v>825</v>
      </c>
      <c r="AG897" s="34">
        <f t="shared" si="270"/>
        <v>0</v>
      </c>
      <c r="AH897" s="44" t="s">
        <v>3833</v>
      </c>
      <c r="AI897" s="131"/>
      <c r="AK897" s="66">
        <f t="shared" si="275"/>
        <v>0</v>
      </c>
      <c r="AL897" s="174">
        <f t="shared" si="276"/>
        <v>0</v>
      </c>
      <c r="AM897" s="346">
        <f>RTD("money.excel",,$G897,"PredictVolume")</f>
        <v>0</v>
      </c>
      <c r="AN897" s="272">
        <f>RTD("money.excel",,$G897,"CumulativeVolume")</f>
        <v>0</v>
      </c>
      <c r="AO897" s="284"/>
    </row>
    <row r="898" spans="1:41">
      <c r="A898" s="135" t="s">
        <v>3161</v>
      </c>
      <c r="B898" s="96">
        <v>-36</v>
      </c>
      <c r="C898" s="96">
        <v>-27</v>
      </c>
      <c r="D898" s="96">
        <v>1</v>
      </c>
      <c r="E898" s="96">
        <v>-17</v>
      </c>
      <c r="F898" s="59">
        <v>12.19</v>
      </c>
      <c r="G898" s="85">
        <v>6234</v>
      </c>
      <c r="H898" s="4" t="s">
        <v>557</v>
      </c>
      <c r="I898" s="17" t="s">
        <v>857</v>
      </c>
      <c r="J898" s="77">
        <v>55.4</v>
      </c>
      <c r="K898" s="77">
        <v>11.3</v>
      </c>
      <c r="L898" s="77">
        <v>30.55</v>
      </c>
      <c r="N898" s="365">
        <f t="shared" si="265"/>
        <v>97.25</v>
      </c>
      <c r="O898" s="343">
        <f t="shared" si="266"/>
        <v>55.4</v>
      </c>
      <c r="P898" s="195" t="s">
        <v>5554</v>
      </c>
      <c r="Q898" s="326" t="str">
        <f>IFERROR(VLOOKUP($G898,主力整理!$A$2:$G$2301,6,0),"0")</f>
        <v>0</v>
      </c>
      <c r="T898" s="339">
        <f t="shared" si="267"/>
        <v>0</v>
      </c>
      <c r="V898" s="371">
        <v>18.87</v>
      </c>
      <c r="W898" s="35">
        <v>0.6</v>
      </c>
      <c r="X898" s="100">
        <v>1.1499999999999999</v>
      </c>
      <c r="Y898" s="37" t="str">
        <f>RTD("money.excel",,"6234","Price")</f>
        <v>無資料</v>
      </c>
      <c r="Z898" s="69"/>
      <c r="AA898" s="16" t="e">
        <f t="shared" si="268"/>
        <v>#VALUE!</v>
      </c>
      <c r="AB898" s="3" t="e">
        <f t="shared" si="269"/>
        <v>#VALUE!</v>
      </c>
      <c r="AC898" s="177" t="s">
        <v>2648</v>
      </c>
      <c r="AD898" s="17" t="s">
        <v>857</v>
      </c>
      <c r="AG898" s="34">
        <f t="shared" si="270"/>
        <v>0</v>
      </c>
      <c r="AH898" s="63" t="s">
        <v>773</v>
      </c>
      <c r="AI898" s="131"/>
      <c r="AK898" s="66">
        <f t="shared" si="275"/>
        <v>0</v>
      </c>
      <c r="AL898" s="174">
        <f t="shared" si="276"/>
        <v>0</v>
      </c>
      <c r="AM898" s="346">
        <f>RTD("money.excel",,$G898,"PredictVolume")</f>
        <v>0</v>
      </c>
      <c r="AN898" s="272">
        <f>RTD("money.excel",,$G898,"CumulativeVolume")</f>
        <v>0</v>
      </c>
      <c r="AO898" s="284"/>
    </row>
    <row r="899" spans="1:41">
      <c r="A899" s="151" t="s">
        <v>3461</v>
      </c>
      <c r="B899" s="84">
        <v>132</v>
      </c>
      <c r="C899" s="84">
        <v>107</v>
      </c>
      <c r="D899" s="84">
        <v>12</v>
      </c>
      <c r="E899" s="84">
        <v>30</v>
      </c>
      <c r="F899" s="7">
        <v>2.0499999999999998</v>
      </c>
      <c r="G899" s="85">
        <v>6244</v>
      </c>
      <c r="H899" s="4" t="s">
        <v>557</v>
      </c>
      <c r="I899" s="17" t="s">
        <v>858</v>
      </c>
      <c r="J899" s="77">
        <v>20.69</v>
      </c>
      <c r="K899" s="77">
        <v>9.64</v>
      </c>
      <c r="N899" s="365">
        <f t="shared" si="265"/>
        <v>30.330000000000002</v>
      </c>
      <c r="O899" s="343">
        <f t="shared" si="266"/>
        <v>20.69</v>
      </c>
      <c r="P899" s="195">
        <v>11</v>
      </c>
      <c r="Q899" s="326">
        <f>IFERROR(VLOOKUP($G899,主力整理!$A$2:$G$2301,6,0),"0")</f>
        <v>2</v>
      </c>
      <c r="T899" s="339">
        <f t="shared" si="267"/>
        <v>13</v>
      </c>
      <c r="W899" s="35">
        <v>0.2</v>
      </c>
      <c r="X899" s="100">
        <v>0.27</v>
      </c>
      <c r="Y899" s="37" t="str">
        <f>RTD("money.excel",,"6244","Price")</f>
        <v>無資料</v>
      </c>
      <c r="Z899" s="69"/>
      <c r="AA899" s="16" t="e">
        <f t="shared" si="268"/>
        <v>#VALUE!</v>
      </c>
      <c r="AB899" s="3" t="e">
        <f t="shared" si="269"/>
        <v>#VALUE!</v>
      </c>
      <c r="AC899" s="177" t="s">
        <v>2648</v>
      </c>
      <c r="AD899" s="17" t="s">
        <v>858</v>
      </c>
      <c r="AG899" s="34">
        <f t="shared" si="270"/>
        <v>0</v>
      </c>
      <c r="AH899" s="44" t="s">
        <v>6417</v>
      </c>
      <c r="AI899" s="131"/>
      <c r="AK899" s="66">
        <f t="shared" si="275"/>
        <v>0</v>
      </c>
      <c r="AL899" s="174">
        <f t="shared" si="276"/>
        <v>0</v>
      </c>
      <c r="AM899" s="346">
        <f>RTD("money.excel",,$G899,"PredictVolume")</f>
        <v>0</v>
      </c>
      <c r="AN899" s="272">
        <f>RTD("money.excel",,$G899,"CumulativeVolume")</f>
        <v>0</v>
      </c>
      <c r="AO899" s="284"/>
    </row>
    <row r="900" spans="1:41">
      <c r="A900" s="151" t="s">
        <v>4646</v>
      </c>
      <c r="B900" s="96">
        <v>103</v>
      </c>
      <c r="C900" s="96">
        <v>134</v>
      </c>
      <c r="D900" s="96">
        <v>-11</v>
      </c>
      <c r="E900" s="96">
        <v>163</v>
      </c>
      <c r="F900" s="7">
        <v>1.43</v>
      </c>
      <c r="G900" s="85">
        <v>6246</v>
      </c>
      <c r="H900" s="4" t="s">
        <v>557</v>
      </c>
      <c r="I900" s="17" t="s">
        <v>859</v>
      </c>
      <c r="J900" s="77">
        <v>51.39</v>
      </c>
      <c r="K900" s="77">
        <v>0.02</v>
      </c>
      <c r="L900" s="77">
        <v>14.18</v>
      </c>
      <c r="N900" s="365">
        <f t="shared" si="265"/>
        <v>65.59</v>
      </c>
      <c r="O900" s="343">
        <f t="shared" si="266"/>
        <v>51.39</v>
      </c>
      <c r="P900" s="195" t="s">
        <v>5554</v>
      </c>
      <c r="Q900" s="326" t="str">
        <f>IFERROR(VLOOKUP($G900,主力整理!$A$2:$G$2301,6,0),"0")</f>
        <v>0</v>
      </c>
      <c r="T900" s="339">
        <f t="shared" si="267"/>
        <v>0</v>
      </c>
      <c r="V900" s="371">
        <v>13.13</v>
      </c>
      <c r="W900" s="35">
        <v>0</v>
      </c>
      <c r="X900" s="100">
        <v>0.43</v>
      </c>
      <c r="Y900" s="14" t="str">
        <f>RTD("money.excel",,"6246","Price")</f>
        <v>無資料</v>
      </c>
      <c r="Z900" s="69"/>
      <c r="AA900" s="16" t="e">
        <f t="shared" si="268"/>
        <v>#VALUE!</v>
      </c>
      <c r="AB900" s="3" t="e">
        <f t="shared" si="269"/>
        <v>#VALUE!</v>
      </c>
      <c r="AD900" s="17" t="s">
        <v>859</v>
      </c>
      <c r="AG900" s="34">
        <f t="shared" si="270"/>
        <v>0</v>
      </c>
      <c r="AH900" s="44" t="s">
        <v>3848</v>
      </c>
      <c r="AI900" s="131"/>
      <c r="AK900" s="66">
        <f t="shared" si="275"/>
        <v>0</v>
      </c>
      <c r="AL900" s="174">
        <f t="shared" si="276"/>
        <v>0</v>
      </c>
      <c r="AM900" s="346">
        <f>RTD("money.excel",,$G900,"PredictVolume")</f>
        <v>0</v>
      </c>
      <c r="AN900" s="272">
        <f>RTD("money.excel",,$G900,"CumulativeVolume")</f>
        <v>0</v>
      </c>
      <c r="AO900" s="284"/>
    </row>
    <row r="901" spans="1:41">
      <c r="A901" s="151" t="s">
        <v>2702</v>
      </c>
      <c r="B901" s="84">
        <v>143</v>
      </c>
      <c r="C901" s="84">
        <v>35</v>
      </c>
      <c r="D901" s="84">
        <v>11</v>
      </c>
      <c r="E901" s="84">
        <v>55</v>
      </c>
      <c r="F901" s="7">
        <v>4.32</v>
      </c>
      <c r="G901" s="85">
        <v>6278</v>
      </c>
      <c r="H901" s="4" t="s">
        <v>557</v>
      </c>
      <c r="I901" s="23" t="s">
        <v>826</v>
      </c>
      <c r="J901" s="371">
        <v>49.99</v>
      </c>
      <c r="K901" s="77">
        <v>16.68</v>
      </c>
      <c r="L901" s="371">
        <v>17.11</v>
      </c>
      <c r="N901" s="365">
        <f t="shared" ref="N901:N932" si="277">J901+K901+L901+M901</f>
        <v>83.78</v>
      </c>
      <c r="O901" s="343">
        <f t="shared" ref="O901:O922" si="278">J901+M901</f>
        <v>49.99</v>
      </c>
      <c r="P901" s="195">
        <v>3</v>
      </c>
      <c r="Q901" s="326">
        <f>IFERROR(VLOOKUP($G901,主力整理!$A$2:$G$2301,6,0),"0")</f>
        <v>8</v>
      </c>
      <c r="T901" s="339">
        <f t="shared" ref="T901:T932" si="279">SUM(P901:S901)</f>
        <v>11</v>
      </c>
      <c r="V901" s="371">
        <v>0.22</v>
      </c>
      <c r="W901" s="69">
        <v>3.3</v>
      </c>
      <c r="X901" s="100">
        <v>8.32</v>
      </c>
      <c r="Y901" s="37" t="str">
        <f>RTD("money.excel",,"6278","Price")</f>
        <v>無資料</v>
      </c>
      <c r="Z901" s="69"/>
      <c r="AA901" s="16" t="e">
        <f t="shared" ref="AA901:AA932" si="280">Y901-Z901</f>
        <v>#VALUE!</v>
      </c>
      <c r="AB901" s="3" t="e">
        <f t="shared" ref="AB901:AB932" si="281">AA901/Z901</f>
        <v>#VALUE!</v>
      </c>
      <c r="AC901" s="177" t="s">
        <v>2929</v>
      </c>
      <c r="AD901" s="23" t="s">
        <v>826</v>
      </c>
      <c r="AG901" s="34">
        <f t="shared" ref="AG901:AG932" si="282">AF901-AE901</f>
        <v>0</v>
      </c>
      <c r="AH901" s="44" t="s">
        <v>4251</v>
      </c>
      <c r="AI901" s="131"/>
      <c r="AK901" s="66">
        <f t="shared" si="275"/>
        <v>0</v>
      </c>
      <c r="AL901" s="174">
        <f t="shared" si="276"/>
        <v>0</v>
      </c>
      <c r="AM901" s="346">
        <f>RTD("money.excel",,$G901,"PredictVolume")</f>
        <v>0</v>
      </c>
      <c r="AN901" s="272">
        <f>RTD("money.excel",,$G901,"CumulativeVolume")</f>
        <v>0</v>
      </c>
      <c r="AO901" s="284"/>
    </row>
    <row r="902" spans="1:41">
      <c r="A902" s="151" t="s">
        <v>2626</v>
      </c>
      <c r="B902" s="96">
        <v>26</v>
      </c>
      <c r="C902" s="96">
        <v>22</v>
      </c>
      <c r="D902" s="96">
        <v>-13</v>
      </c>
      <c r="E902" s="96">
        <v>95</v>
      </c>
      <c r="F902" s="77">
        <v>-188.35</v>
      </c>
      <c r="G902" s="85">
        <v>6289</v>
      </c>
      <c r="H902" s="4" t="s">
        <v>557</v>
      </c>
      <c r="I902" s="23" t="s">
        <v>828</v>
      </c>
      <c r="J902" s="77">
        <v>42.75</v>
      </c>
      <c r="K902" s="77">
        <v>0.06</v>
      </c>
      <c r="N902" s="365">
        <f t="shared" si="277"/>
        <v>42.81</v>
      </c>
      <c r="O902" s="343">
        <f t="shared" si="278"/>
        <v>42.75</v>
      </c>
      <c r="P902" s="195" t="s">
        <v>5554</v>
      </c>
      <c r="Q902" s="326" t="str">
        <f>IFERROR(VLOOKUP($G902,主力整理!$A$2:$G$2301,6,0),"0")</f>
        <v>0</v>
      </c>
      <c r="T902" s="339">
        <f t="shared" si="279"/>
        <v>0</v>
      </c>
      <c r="V902" s="371">
        <v>11.92</v>
      </c>
      <c r="W902" s="35">
        <v>0</v>
      </c>
      <c r="X902" s="100">
        <v>-0.81</v>
      </c>
      <c r="Y902" s="37" t="str">
        <f>RTD("money.excel",,"6289","Price")</f>
        <v>無資料</v>
      </c>
      <c r="Z902" s="69"/>
      <c r="AA902" s="16" t="e">
        <f t="shared" si="280"/>
        <v>#VALUE!</v>
      </c>
      <c r="AB902" s="3" t="e">
        <f t="shared" si="281"/>
        <v>#VALUE!</v>
      </c>
      <c r="AD902" s="23" t="s">
        <v>828</v>
      </c>
      <c r="AG902" s="34">
        <f t="shared" si="282"/>
        <v>0</v>
      </c>
      <c r="AH902" s="44" t="s">
        <v>4252</v>
      </c>
      <c r="AI902" s="284"/>
      <c r="AK902" s="66">
        <f t="shared" si="275"/>
        <v>0</v>
      </c>
      <c r="AL902" s="174">
        <f t="shared" si="276"/>
        <v>0</v>
      </c>
      <c r="AM902" s="346">
        <f>RTD("money.excel",,$G902,"PredictVolume")</f>
        <v>0</v>
      </c>
      <c r="AN902" s="272">
        <f>RTD("money.excel",,$G902,"CumulativeVolume")</f>
        <v>0</v>
      </c>
      <c r="AO902" s="284"/>
    </row>
    <row r="903" spans="1:41">
      <c r="A903" s="151" t="s">
        <v>2208</v>
      </c>
      <c r="B903" s="84">
        <v>344</v>
      </c>
      <c r="C903" s="84">
        <v>36</v>
      </c>
      <c r="D903" s="84">
        <v>4</v>
      </c>
      <c r="E903" s="84">
        <v>4</v>
      </c>
      <c r="F903" s="7">
        <v>-19.78</v>
      </c>
      <c r="G903" s="85">
        <v>6405</v>
      </c>
      <c r="H903" s="4" t="s">
        <v>557</v>
      </c>
      <c r="I903" s="23" t="s">
        <v>829</v>
      </c>
      <c r="J903" s="77">
        <v>35.92</v>
      </c>
      <c r="K903" s="371">
        <v>3.56</v>
      </c>
      <c r="L903" s="77">
        <v>17.72</v>
      </c>
      <c r="N903" s="365">
        <f t="shared" si="277"/>
        <v>57.2</v>
      </c>
      <c r="O903" s="343">
        <f t="shared" si="278"/>
        <v>35.92</v>
      </c>
      <c r="P903" s="195" t="s">
        <v>5554</v>
      </c>
      <c r="Q903" s="326" t="str">
        <f>IFERROR(VLOOKUP($G903,主力整理!$A$2:$G$2301,6,0),"0")</f>
        <v>0</v>
      </c>
      <c r="R903" s="111">
        <v>8</v>
      </c>
      <c r="S903" s="51">
        <v>0</v>
      </c>
      <c r="T903" s="339">
        <f t="shared" si="279"/>
        <v>8</v>
      </c>
      <c r="V903" s="371">
        <v>0.1</v>
      </c>
      <c r="W903" s="35">
        <v>0.6</v>
      </c>
      <c r="X903" s="100">
        <v>2.56</v>
      </c>
      <c r="Y903" s="37" t="str">
        <f>RTD("money.excel",,"6405","Price")</f>
        <v>無資料</v>
      </c>
      <c r="Z903" s="69"/>
      <c r="AA903" s="16" t="e">
        <f t="shared" si="280"/>
        <v>#VALUE!</v>
      </c>
      <c r="AB903" s="3" t="e">
        <f t="shared" si="281"/>
        <v>#VALUE!</v>
      </c>
      <c r="AD903" s="23" t="s">
        <v>829</v>
      </c>
      <c r="AG903" s="34">
        <f t="shared" si="282"/>
        <v>0</v>
      </c>
      <c r="AH903" s="44" t="s">
        <v>3225</v>
      </c>
      <c r="AI903" s="131"/>
      <c r="AK903" s="66">
        <f t="shared" si="275"/>
        <v>0</v>
      </c>
      <c r="AL903" s="174">
        <f t="shared" si="276"/>
        <v>0</v>
      </c>
      <c r="AM903" s="346">
        <f>RTD("money.excel",,$G903,"PredictVolume")</f>
        <v>0</v>
      </c>
      <c r="AN903" s="272">
        <f>RTD("money.excel",,$G903,"CumulativeVolume")</f>
        <v>0</v>
      </c>
      <c r="AO903" s="284"/>
    </row>
    <row r="904" spans="1:41">
      <c r="A904" s="151" t="s">
        <v>4647</v>
      </c>
      <c r="B904" s="96">
        <v>-45</v>
      </c>
      <c r="C904" s="96">
        <v>16</v>
      </c>
      <c r="D904" s="96">
        <v>-16</v>
      </c>
      <c r="E904" s="96">
        <v>-12</v>
      </c>
      <c r="F904" s="7">
        <v>-20.399999999999999</v>
      </c>
      <c r="G904" s="85">
        <v>6419</v>
      </c>
      <c r="H904" s="4" t="s">
        <v>557</v>
      </c>
      <c r="I904" s="17" t="s">
        <v>860</v>
      </c>
      <c r="J904" s="77">
        <v>46.29</v>
      </c>
      <c r="K904" s="77">
        <v>11.79</v>
      </c>
      <c r="N904" s="365">
        <f t="shared" si="277"/>
        <v>58.08</v>
      </c>
      <c r="O904" s="343">
        <f t="shared" si="278"/>
        <v>46.29</v>
      </c>
      <c r="P904" s="195" t="s">
        <v>5554</v>
      </c>
      <c r="Q904" s="326" t="str">
        <f>IFERROR(VLOOKUP($G904,主力整理!$A$2:$G$2301,6,0),"0")</f>
        <v>0</v>
      </c>
      <c r="T904" s="339">
        <f t="shared" si="279"/>
        <v>0</v>
      </c>
      <c r="V904" s="371">
        <v>31.18</v>
      </c>
      <c r="W904" s="35">
        <v>0</v>
      </c>
      <c r="X904" s="100">
        <v>-5.64</v>
      </c>
      <c r="Y904" s="37" t="str">
        <f>RTD("money.excel",,"6419","Price")</f>
        <v>無資料</v>
      </c>
      <c r="Z904" s="69"/>
      <c r="AA904" s="16" t="e">
        <f t="shared" si="280"/>
        <v>#VALUE!</v>
      </c>
      <c r="AB904" s="3" t="e">
        <f t="shared" si="281"/>
        <v>#VALUE!</v>
      </c>
      <c r="AD904" s="17" t="s">
        <v>860</v>
      </c>
      <c r="AG904" s="34">
        <f t="shared" si="282"/>
        <v>0</v>
      </c>
      <c r="AH904" s="44" t="s">
        <v>3849</v>
      </c>
      <c r="AI904" s="131"/>
      <c r="AK904" s="66">
        <f t="shared" si="275"/>
        <v>0</v>
      </c>
      <c r="AL904" s="174">
        <f t="shared" si="276"/>
        <v>0</v>
      </c>
      <c r="AM904" s="346">
        <f>RTD("money.excel",,$G904,"PredictVolume")</f>
        <v>0</v>
      </c>
      <c r="AN904" s="272">
        <f>RTD("money.excel",,$G904,"CumulativeVolume")</f>
        <v>0</v>
      </c>
      <c r="AO904" s="284"/>
    </row>
    <row r="905" spans="1:41">
      <c r="A905" s="151" t="s">
        <v>2443</v>
      </c>
      <c r="B905" s="85">
        <v>-594</v>
      </c>
      <c r="C905" s="85">
        <v>-94</v>
      </c>
      <c r="D905" s="84">
        <v>28</v>
      </c>
      <c r="E905" s="85">
        <v>-56</v>
      </c>
      <c r="F905" s="7">
        <v>-48.15</v>
      </c>
      <c r="G905" s="85">
        <v>6431</v>
      </c>
      <c r="H905" s="4" t="s">
        <v>557</v>
      </c>
      <c r="I905" s="23" t="s">
        <v>830</v>
      </c>
      <c r="J905" s="77">
        <v>46.03</v>
      </c>
      <c r="K905" s="371">
        <v>17.649999999999999</v>
      </c>
      <c r="N905" s="365">
        <f t="shared" si="277"/>
        <v>63.68</v>
      </c>
      <c r="O905" s="343">
        <f t="shared" si="278"/>
        <v>46.03</v>
      </c>
      <c r="P905" s="195" t="s">
        <v>5554</v>
      </c>
      <c r="Q905" s="326" t="str">
        <f>IFERROR(VLOOKUP($G905,主力整理!$A$2:$G$2301,6,0),"0")</f>
        <v>0</v>
      </c>
      <c r="T905" s="339">
        <f t="shared" si="279"/>
        <v>0</v>
      </c>
      <c r="W905" s="35">
        <v>0</v>
      </c>
      <c r="X905" s="100">
        <v>-1.38</v>
      </c>
      <c r="Y905" s="37" t="str">
        <f>RTD("money.excel",,"6431","Price")</f>
        <v>無資料</v>
      </c>
      <c r="Z905" s="69"/>
      <c r="AA905" s="16" t="e">
        <f t="shared" si="280"/>
        <v>#VALUE!</v>
      </c>
      <c r="AB905" s="3" t="e">
        <f t="shared" si="281"/>
        <v>#VALUE!</v>
      </c>
      <c r="AD905" s="23" t="s">
        <v>830</v>
      </c>
      <c r="AG905" s="34">
        <f t="shared" si="282"/>
        <v>0</v>
      </c>
      <c r="AH905" s="44" t="s">
        <v>3498</v>
      </c>
      <c r="AI905" s="284"/>
      <c r="AK905" s="66">
        <f t="shared" si="275"/>
        <v>0</v>
      </c>
      <c r="AL905" s="174">
        <f t="shared" si="276"/>
        <v>0</v>
      </c>
      <c r="AM905" s="346">
        <f>RTD("money.excel",,$G905,"PredictVolume")</f>
        <v>0</v>
      </c>
      <c r="AN905" s="272">
        <f>RTD("money.excel",,$G905,"CumulativeVolume")</f>
        <v>0</v>
      </c>
      <c r="AO905" s="284"/>
    </row>
    <row r="906" spans="1:41">
      <c r="A906" s="151" t="s">
        <v>3329</v>
      </c>
      <c r="B906" s="99">
        <v>-236</v>
      </c>
      <c r="C906" s="99">
        <v>-2493</v>
      </c>
      <c r="D906" s="84">
        <v>3</v>
      </c>
      <c r="E906" s="84">
        <v>23</v>
      </c>
      <c r="F906" s="7">
        <v>-6.71</v>
      </c>
      <c r="G906" s="85">
        <v>6443</v>
      </c>
      <c r="H906" s="4" t="s">
        <v>557</v>
      </c>
      <c r="I906" s="23" t="s">
        <v>831</v>
      </c>
      <c r="J906" s="371">
        <v>23.24</v>
      </c>
      <c r="K906" s="77">
        <v>10.52</v>
      </c>
      <c r="N906" s="365">
        <f t="shared" si="277"/>
        <v>33.76</v>
      </c>
      <c r="O906" s="343">
        <f t="shared" si="278"/>
        <v>23.24</v>
      </c>
      <c r="P906" s="195">
        <v>17</v>
      </c>
      <c r="Q906" s="326">
        <f>IFERROR(VLOOKUP($G906,主力整理!$A$2:$G$2301,6,0),"0")</f>
        <v>4</v>
      </c>
      <c r="T906" s="339">
        <f t="shared" si="279"/>
        <v>21</v>
      </c>
      <c r="W906" s="35">
        <v>0</v>
      </c>
      <c r="X906" s="100">
        <v>-0.75</v>
      </c>
      <c r="Y906" s="37" t="str">
        <f>RTD("money.excel",,"6443","Price")</f>
        <v>無資料</v>
      </c>
      <c r="Z906" s="69"/>
      <c r="AA906" s="16" t="e">
        <f t="shared" si="280"/>
        <v>#VALUE!</v>
      </c>
      <c r="AB906" s="3" t="e">
        <f t="shared" si="281"/>
        <v>#VALUE!</v>
      </c>
      <c r="AC906" s="177" t="s">
        <v>2648</v>
      </c>
      <c r="AD906" s="23" t="s">
        <v>831</v>
      </c>
      <c r="AG906" s="34">
        <f t="shared" si="282"/>
        <v>0</v>
      </c>
      <c r="AH906" s="44" t="s">
        <v>6419</v>
      </c>
      <c r="AI906" s="131"/>
      <c r="AK906" s="66">
        <f t="shared" si="275"/>
        <v>0</v>
      </c>
      <c r="AL906" s="174">
        <f t="shared" si="276"/>
        <v>0</v>
      </c>
      <c r="AM906" s="346">
        <f>RTD("money.excel",,$G906,"PredictVolume")</f>
        <v>0</v>
      </c>
      <c r="AN906" s="272">
        <f>RTD("money.excel",,$G906,"CumulativeVolume")</f>
        <v>0</v>
      </c>
      <c r="AO906" s="284"/>
    </row>
    <row r="907" spans="1:41">
      <c r="A907" s="151" t="s">
        <v>4785</v>
      </c>
      <c r="B907" s="85">
        <v>-20</v>
      </c>
      <c r="C907" s="85">
        <v>-11</v>
      </c>
      <c r="D907" s="85">
        <v>-1</v>
      </c>
      <c r="E907" s="85">
        <v>-3</v>
      </c>
      <c r="F907" s="7">
        <v>1.77</v>
      </c>
      <c r="G907" s="85">
        <v>6456</v>
      </c>
      <c r="H907" s="53" t="s">
        <v>557</v>
      </c>
      <c r="I907" s="23" t="s">
        <v>473</v>
      </c>
      <c r="J907" s="371">
        <v>53</v>
      </c>
      <c r="K907" s="77">
        <v>55.73</v>
      </c>
      <c r="L907" s="77">
        <v>10.15</v>
      </c>
      <c r="N907" s="365">
        <f t="shared" si="277"/>
        <v>118.88</v>
      </c>
      <c r="O907" s="343">
        <f t="shared" si="278"/>
        <v>53</v>
      </c>
      <c r="P907" s="195">
        <v>18</v>
      </c>
      <c r="Q907" s="326">
        <v>6</v>
      </c>
      <c r="R907" s="111">
        <v>4</v>
      </c>
      <c r="S907" s="51">
        <v>10</v>
      </c>
      <c r="T907" s="339">
        <f t="shared" si="279"/>
        <v>38</v>
      </c>
      <c r="V907" s="371">
        <v>0.41</v>
      </c>
      <c r="W907" s="69">
        <v>4</v>
      </c>
      <c r="X907" s="59">
        <v>9.85</v>
      </c>
      <c r="Y907" s="14" t="str">
        <f>RTD("money.excel",,"6456","Price")</f>
        <v>無資料</v>
      </c>
      <c r="Z907" s="69"/>
      <c r="AA907" s="16" t="e">
        <f t="shared" si="280"/>
        <v>#VALUE!</v>
      </c>
      <c r="AB907" s="3" t="e">
        <f t="shared" si="281"/>
        <v>#VALUE!</v>
      </c>
      <c r="AC907" s="177" t="s">
        <v>2929</v>
      </c>
      <c r="AD907" s="23" t="s">
        <v>473</v>
      </c>
      <c r="AG907" s="34">
        <f t="shared" si="282"/>
        <v>0</v>
      </c>
      <c r="AH907" s="125" t="s">
        <v>2132</v>
      </c>
      <c r="AI907" s="284"/>
      <c r="AK907" s="66">
        <f t="shared" si="275"/>
        <v>0</v>
      </c>
      <c r="AL907" s="174">
        <f t="shared" si="276"/>
        <v>0</v>
      </c>
      <c r="AM907" s="346">
        <f>RTD("money.excel",,$G907,"PredictVolume")</f>
        <v>0</v>
      </c>
      <c r="AN907" s="272">
        <f>RTD("money.excel",,$G907,"CumulativeVolume")</f>
        <v>0</v>
      </c>
      <c r="AO907" s="284"/>
    </row>
    <row r="908" spans="1:41">
      <c r="A908" s="135" t="s">
        <v>3026</v>
      </c>
      <c r="B908" s="85">
        <v>-56</v>
      </c>
      <c r="C908" s="85">
        <v>-46</v>
      </c>
      <c r="D908" s="84">
        <v>23</v>
      </c>
      <c r="E908" s="84">
        <v>124</v>
      </c>
      <c r="F908" s="59">
        <v>17.64</v>
      </c>
      <c r="G908" s="85">
        <v>6477</v>
      </c>
      <c r="H908" s="4" t="s">
        <v>557</v>
      </c>
      <c r="I908" s="23" t="s">
        <v>833</v>
      </c>
      <c r="J908" s="77">
        <v>39.75</v>
      </c>
      <c r="K908" s="77">
        <v>5.67</v>
      </c>
      <c r="L908" s="371">
        <v>32.799999999999997</v>
      </c>
      <c r="M908" s="77">
        <v>19.07</v>
      </c>
      <c r="N908" s="365">
        <f t="shared" si="277"/>
        <v>97.289999999999992</v>
      </c>
      <c r="O908" s="343">
        <f t="shared" si="278"/>
        <v>58.82</v>
      </c>
      <c r="P908" s="195">
        <v>9</v>
      </c>
      <c r="Q908" s="326">
        <v>25</v>
      </c>
      <c r="R908" s="111">
        <v>47</v>
      </c>
      <c r="S908" s="51">
        <v>31</v>
      </c>
      <c r="T908" s="339">
        <f t="shared" si="279"/>
        <v>112</v>
      </c>
      <c r="U908" s="329" t="s">
        <v>6538</v>
      </c>
      <c r="V908" s="371">
        <v>4.75</v>
      </c>
      <c r="W908" s="35">
        <v>1.1399999999999999</v>
      </c>
      <c r="X908" s="100">
        <v>1.23</v>
      </c>
      <c r="Y908" s="37" t="str">
        <f>RTD("money.excel",,"6477","Price")</f>
        <v>無資料</v>
      </c>
      <c r="Z908" s="69"/>
      <c r="AA908" s="16" t="e">
        <f t="shared" si="280"/>
        <v>#VALUE!</v>
      </c>
      <c r="AB908" s="3" t="e">
        <f t="shared" si="281"/>
        <v>#VALUE!</v>
      </c>
      <c r="AC908" s="177" t="s">
        <v>2648</v>
      </c>
      <c r="AD908" s="23" t="s">
        <v>833</v>
      </c>
      <c r="AG908" s="34">
        <f t="shared" si="282"/>
        <v>0</v>
      </c>
      <c r="AH908" s="44" t="s">
        <v>6417</v>
      </c>
      <c r="AI908" s="284"/>
      <c r="AK908" s="66">
        <f t="shared" si="275"/>
        <v>0</v>
      </c>
      <c r="AL908" s="174">
        <f t="shared" si="276"/>
        <v>0</v>
      </c>
      <c r="AM908" s="346">
        <f>RTD("money.excel",,$G908,"PredictVolume")</f>
        <v>0</v>
      </c>
      <c r="AN908" s="272">
        <f>RTD("money.excel",,$G908,"CumulativeVolume")</f>
        <v>0</v>
      </c>
      <c r="AO908" s="284"/>
    </row>
    <row r="909" spans="1:41">
      <c r="A909" s="151" t="s">
        <v>3449</v>
      </c>
      <c r="B909" s="84">
        <v>5</v>
      </c>
      <c r="C909" s="84">
        <v>30</v>
      </c>
      <c r="D909" s="85">
        <v>-3</v>
      </c>
      <c r="E909" s="84">
        <v>10</v>
      </c>
      <c r="F909" s="7">
        <v>6.25</v>
      </c>
      <c r="G909" s="85">
        <v>6556</v>
      </c>
      <c r="H909" s="4" t="s">
        <v>557</v>
      </c>
      <c r="I909" s="17" t="s">
        <v>861</v>
      </c>
      <c r="J909" s="77">
        <v>72.25</v>
      </c>
      <c r="K909" s="371">
        <v>0.05</v>
      </c>
      <c r="L909" s="371"/>
      <c r="N909" s="365">
        <f t="shared" si="277"/>
        <v>72.3</v>
      </c>
      <c r="O909" s="343">
        <f t="shared" si="278"/>
        <v>72.25</v>
      </c>
      <c r="P909" s="195" t="s">
        <v>5554</v>
      </c>
      <c r="Q909" s="326" t="str">
        <f>IFERROR(VLOOKUP($G909,主力整理!$A$2:$G$2301,6,0),"0")</f>
        <v>0</v>
      </c>
      <c r="T909" s="339">
        <f t="shared" si="279"/>
        <v>0</v>
      </c>
      <c r="W909" s="35">
        <v>2</v>
      </c>
      <c r="X909" s="100">
        <v>2.2400000000000002</v>
      </c>
      <c r="Y909" s="37" t="str">
        <f>RTD("money.excel",,"6556","Price")</f>
        <v>無資料</v>
      </c>
      <c r="Z909" s="69"/>
      <c r="AA909" s="16" t="e">
        <f t="shared" si="280"/>
        <v>#VALUE!</v>
      </c>
      <c r="AB909" s="3" t="e">
        <f t="shared" si="281"/>
        <v>#VALUE!</v>
      </c>
      <c r="AC909" s="177" t="s">
        <v>2648</v>
      </c>
      <c r="AD909" s="17" t="s">
        <v>861</v>
      </c>
      <c r="AG909" s="34">
        <f t="shared" si="282"/>
        <v>0</v>
      </c>
      <c r="AH909" s="44" t="s">
        <v>3850</v>
      </c>
      <c r="AI909" s="131"/>
      <c r="AK909" s="66">
        <f>AM909/(A909*10000)</f>
        <v>0</v>
      </c>
      <c r="AL909" s="174">
        <f>AN909/(A909*10000)</f>
        <v>0</v>
      </c>
      <c r="AM909" s="346">
        <f>RTD("money.excel",,$G909,"PredictVolume")</f>
        <v>0</v>
      </c>
      <c r="AN909" s="272">
        <f>RTD("money.excel",,$G909,"CumulativeVolume")</f>
        <v>0</v>
      </c>
      <c r="AO909" s="284"/>
    </row>
    <row r="910" spans="1:41">
      <c r="A910" s="135" t="s">
        <v>2605</v>
      </c>
      <c r="B910" s="85">
        <v>-40</v>
      </c>
      <c r="C910" s="85">
        <v>-18</v>
      </c>
      <c r="D910" s="84">
        <v>28</v>
      </c>
      <c r="E910" s="84">
        <v>402</v>
      </c>
      <c r="F910" s="59">
        <v>16.89</v>
      </c>
      <c r="G910" s="85">
        <v>6560</v>
      </c>
      <c r="H910" s="4" t="s">
        <v>557</v>
      </c>
      <c r="I910" s="17" t="s">
        <v>862</v>
      </c>
      <c r="J910" s="77">
        <v>22.2</v>
      </c>
      <c r="K910" s="77">
        <v>6.05</v>
      </c>
      <c r="N910" s="365">
        <f t="shared" si="277"/>
        <v>28.25</v>
      </c>
      <c r="O910" s="343">
        <f t="shared" si="278"/>
        <v>22.2</v>
      </c>
      <c r="P910" s="195" t="s">
        <v>5554</v>
      </c>
      <c r="Q910" s="326" t="str">
        <f>IFERROR(VLOOKUP($G910,主力整理!$A$2:$G$2301,6,0),"0")</f>
        <v>0</v>
      </c>
      <c r="T910" s="339">
        <f t="shared" si="279"/>
        <v>0</v>
      </c>
      <c r="W910" s="69">
        <v>4.5</v>
      </c>
      <c r="X910" s="100">
        <v>6.22</v>
      </c>
      <c r="Y910" s="37" t="str">
        <f>RTD("money.excel",,"6560","Price")</f>
        <v>無資料</v>
      </c>
      <c r="Z910" s="69"/>
      <c r="AA910" s="16" t="e">
        <f t="shared" si="280"/>
        <v>#VALUE!</v>
      </c>
      <c r="AB910" s="3" t="e">
        <f t="shared" si="281"/>
        <v>#VALUE!</v>
      </c>
      <c r="AC910" s="177" t="s">
        <v>2929</v>
      </c>
      <c r="AD910" s="17" t="s">
        <v>862</v>
      </c>
      <c r="AG910" s="34">
        <f t="shared" si="282"/>
        <v>0</v>
      </c>
      <c r="AH910" s="63" t="s">
        <v>3258</v>
      </c>
      <c r="AI910" s="284"/>
      <c r="AK910" s="66">
        <f t="shared" ref="AK910" si="283">AM910/(A910*10000)</f>
        <v>0</v>
      </c>
      <c r="AL910" s="174">
        <f t="shared" ref="AL910" si="284">AN910/(A910*10000)</f>
        <v>0</v>
      </c>
      <c r="AM910" s="346">
        <f>RTD("money.excel",,$G910,"PredictVolume")</f>
        <v>0</v>
      </c>
      <c r="AN910" s="272">
        <f>RTD("money.excel",,$G910,"CumulativeVolume")</f>
        <v>0</v>
      </c>
      <c r="AO910" s="284"/>
    </row>
    <row r="911" spans="1:41">
      <c r="A911" s="151" t="s">
        <v>4750</v>
      </c>
      <c r="B911" s="85">
        <v>-253</v>
      </c>
      <c r="C911" s="85">
        <v>-141</v>
      </c>
      <c r="D911" s="84">
        <v>8</v>
      </c>
      <c r="E911" s="85">
        <v>-15</v>
      </c>
      <c r="F911" s="7">
        <v>-3.42</v>
      </c>
      <c r="G911" s="85">
        <v>6668</v>
      </c>
      <c r="H911" s="53" t="s">
        <v>557</v>
      </c>
      <c r="I911" s="23" t="s">
        <v>1746</v>
      </c>
      <c r="J911" s="371">
        <v>55.9</v>
      </c>
      <c r="K911" s="77">
        <v>23.32</v>
      </c>
      <c r="L911" s="371">
        <v>14.11</v>
      </c>
      <c r="N911" s="365">
        <f t="shared" si="277"/>
        <v>93.33</v>
      </c>
      <c r="O911" s="343">
        <f t="shared" si="278"/>
        <v>55.9</v>
      </c>
      <c r="P911" s="232">
        <v>1</v>
      </c>
      <c r="Q911" s="326" t="str">
        <f>IFERROR(VLOOKUP($G911,主力整理!$A$2:$G$2301,6,0),"0")</f>
        <v>0</v>
      </c>
      <c r="R911" s="111">
        <v>10</v>
      </c>
      <c r="S911" s="51">
        <v>1</v>
      </c>
      <c r="T911" s="339">
        <f t="shared" si="279"/>
        <v>12</v>
      </c>
      <c r="V911" s="371">
        <v>2.61</v>
      </c>
      <c r="W911" s="35">
        <v>1.1499999999999999</v>
      </c>
      <c r="X911" s="59">
        <v>0.59</v>
      </c>
      <c r="Y911" s="37" t="str">
        <f>RTD("money.excel",,"6668","Price")</f>
        <v>無資料</v>
      </c>
      <c r="Z911" s="69"/>
      <c r="AA911" s="16" t="e">
        <f t="shared" si="280"/>
        <v>#VALUE!</v>
      </c>
      <c r="AB911" s="3" t="e">
        <f t="shared" si="281"/>
        <v>#VALUE!</v>
      </c>
      <c r="AC911" s="177" t="s">
        <v>2648</v>
      </c>
      <c r="AD911" s="23" t="s">
        <v>1746</v>
      </c>
      <c r="AG911" s="34">
        <f t="shared" si="282"/>
        <v>0</v>
      </c>
      <c r="AH911" s="125" t="s">
        <v>4253</v>
      </c>
      <c r="AI911" s="131"/>
      <c r="AK911" s="66">
        <f>AM911/(A911*10000)</f>
        <v>0</v>
      </c>
      <c r="AL911" s="174">
        <f>AN911/(A911*10000)</f>
        <v>0</v>
      </c>
      <c r="AM911" s="346">
        <f>RTD("money.excel",,$G911,"PredictVolume")</f>
        <v>0</v>
      </c>
      <c r="AN911" s="272">
        <f>RTD("money.excel",,$G911,"CumulativeVolume")</f>
        <v>0</v>
      </c>
      <c r="AO911" s="284"/>
    </row>
    <row r="912" spans="1:41">
      <c r="A912" s="135" t="s">
        <v>2233</v>
      </c>
      <c r="B912" s="85">
        <v>-33</v>
      </c>
      <c r="C912" s="85">
        <v>-26</v>
      </c>
      <c r="D912" s="84">
        <v>5</v>
      </c>
      <c r="E912" s="84">
        <v>29</v>
      </c>
      <c r="F912" s="59">
        <v>10.95</v>
      </c>
      <c r="G912" s="85">
        <v>6706</v>
      </c>
      <c r="H912" s="4" t="s">
        <v>557</v>
      </c>
      <c r="I912" s="23" t="s">
        <v>2695</v>
      </c>
      <c r="J912" s="77">
        <v>26.96</v>
      </c>
      <c r="K912" s="371">
        <v>10.23</v>
      </c>
      <c r="L912" s="371">
        <v>30.05</v>
      </c>
      <c r="N912" s="365">
        <f t="shared" si="277"/>
        <v>67.239999999999995</v>
      </c>
      <c r="O912" s="343">
        <f t="shared" si="278"/>
        <v>26.96</v>
      </c>
      <c r="P912" s="195">
        <v>3</v>
      </c>
      <c r="Q912" s="326">
        <f>IFERROR(VLOOKUP($G912,主力整理!$A$2:$G$2301,6,0),"0")</f>
        <v>5</v>
      </c>
      <c r="T912" s="339">
        <f t="shared" si="279"/>
        <v>8</v>
      </c>
      <c r="V912" s="371">
        <v>0.71</v>
      </c>
      <c r="W912" s="69">
        <v>4</v>
      </c>
      <c r="X912" s="100">
        <v>5.13</v>
      </c>
      <c r="Y912" s="37" t="str">
        <f>RTD("money.excel",,"6706","Price")</f>
        <v>無資料</v>
      </c>
      <c r="Z912" s="69"/>
      <c r="AA912" s="16" t="e">
        <f t="shared" si="280"/>
        <v>#VALUE!</v>
      </c>
      <c r="AB912" s="36" t="e">
        <f t="shared" si="281"/>
        <v>#VALUE!</v>
      </c>
      <c r="AC912" s="177" t="s">
        <v>2929</v>
      </c>
      <c r="AD912" s="23" t="s">
        <v>2695</v>
      </c>
      <c r="AG912" s="34">
        <f t="shared" si="282"/>
        <v>0</v>
      </c>
      <c r="AH912" s="50" t="s">
        <v>2886</v>
      </c>
      <c r="AI912" s="131"/>
      <c r="AK912" s="66">
        <f t="shared" ref="AK912:AK922" si="285">AM912/(A912*10000)</f>
        <v>0</v>
      </c>
      <c r="AL912" s="174">
        <f t="shared" ref="AL912:AL922" si="286">AN912/(A912*10000)</f>
        <v>0</v>
      </c>
      <c r="AM912" s="346">
        <f>RTD("money.excel",,$G912,"PredictVolume")</f>
        <v>0</v>
      </c>
      <c r="AN912" s="272">
        <f>RTD("money.excel",,$G912,"CumulativeVolume")</f>
        <v>0</v>
      </c>
      <c r="AO912" s="284"/>
    </row>
    <row r="913" spans="1:41">
      <c r="A913" s="151" t="s">
        <v>3469</v>
      </c>
      <c r="B913" s="85">
        <v>-45</v>
      </c>
      <c r="C913" s="85">
        <v>-54</v>
      </c>
      <c r="D913" s="84">
        <v>19</v>
      </c>
      <c r="E913" s="84">
        <v>43</v>
      </c>
      <c r="F913" s="7">
        <v>5.33</v>
      </c>
      <c r="G913" s="85">
        <v>7402</v>
      </c>
      <c r="H913" s="4" t="s">
        <v>557</v>
      </c>
      <c r="I913" s="17" t="s">
        <v>863</v>
      </c>
      <c r="J913" s="77">
        <v>33.729999999999997</v>
      </c>
      <c r="K913" s="371">
        <v>14.21</v>
      </c>
      <c r="N913" s="365">
        <f t="shared" si="277"/>
        <v>47.94</v>
      </c>
      <c r="O913" s="343">
        <f t="shared" si="278"/>
        <v>33.729999999999997</v>
      </c>
      <c r="P913" s="195">
        <v>1</v>
      </c>
      <c r="Q913" s="326" t="str">
        <f>IFERROR(VLOOKUP($G913,主力整理!$A$2:$G$2301,6,0),"0")</f>
        <v>0</v>
      </c>
      <c r="T913" s="339">
        <f t="shared" si="279"/>
        <v>1</v>
      </c>
      <c r="W913" s="35">
        <v>1.2</v>
      </c>
      <c r="X913" s="100">
        <v>1.08</v>
      </c>
      <c r="Y913" s="37" t="str">
        <f>RTD("money.excel",,"7402","Price")</f>
        <v>無資料</v>
      </c>
      <c r="Z913" s="69"/>
      <c r="AA913" s="16" t="e">
        <f t="shared" si="280"/>
        <v>#VALUE!</v>
      </c>
      <c r="AB913" s="3" t="e">
        <f t="shared" si="281"/>
        <v>#VALUE!</v>
      </c>
      <c r="AC913" s="177" t="s">
        <v>2648</v>
      </c>
      <c r="AD913" s="17" t="s">
        <v>863</v>
      </c>
      <c r="AG913" s="34">
        <f t="shared" si="282"/>
        <v>0</v>
      </c>
      <c r="AH913" s="44" t="s">
        <v>3468</v>
      </c>
      <c r="AI913" s="131"/>
      <c r="AK913" s="66">
        <f t="shared" si="285"/>
        <v>0</v>
      </c>
      <c r="AL913" s="174">
        <f t="shared" si="286"/>
        <v>0</v>
      </c>
      <c r="AM913" s="346">
        <f>RTD("money.excel",,$G913,"PredictVolume")</f>
        <v>0</v>
      </c>
      <c r="AN913" s="272">
        <f>RTD("money.excel",,$G913,"CumulativeVolume")</f>
        <v>0</v>
      </c>
      <c r="AO913" s="284"/>
    </row>
    <row r="914" spans="1:41">
      <c r="A914" s="135" t="s">
        <v>2498</v>
      </c>
      <c r="B914" s="85">
        <v>-9</v>
      </c>
      <c r="C914" s="85">
        <v>-3</v>
      </c>
      <c r="D914" s="84">
        <v>13</v>
      </c>
      <c r="E914" s="84">
        <v>8</v>
      </c>
      <c r="F914" s="59">
        <v>17.579999999999998</v>
      </c>
      <c r="G914" s="85">
        <v>8049</v>
      </c>
      <c r="H914" s="4" t="s">
        <v>557</v>
      </c>
      <c r="I914" s="17" t="s">
        <v>864</v>
      </c>
      <c r="J914" s="77">
        <v>22.93</v>
      </c>
      <c r="K914" s="371">
        <v>1.84</v>
      </c>
      <c r="L914" s="77">
        <v>5.13</v>
      </c>
      <c r="N914" s="365">
        <f t="shared" si="277"/>
        <v>29.9</v>
      </c>
      <c r="O914" s="343">
        <f t="shared" si="278"/>
        <v>22.93</v>
      </c>
      <c r="P914" s="195" t="s">
        <v>5554</v>
      </c>
      <c r="Q914" s="326" t="str">
        <f>IFERROR(VLOOKUP($G914,主力整理!$A$2:$G$2301,6,0),"0")</f>
        <v>0</v>
      </c>
      <c r="T914" s="339">
        <f t="shared" si="279"/>
        <v>0</v>
      </c>
      <c r="V914" s="371">
        <v>0.37</v>
      </c>
      <c r="W914" s="35">
        <v>1.65</v>
      </c>
      <c r="X914" s="100">
        <v>2.06</v>
      </c>
      <c r="Y914" s="37" t="str">
        <f>RTD("money.excel",,"8049","Price")</f>
        <v>無資料</v>
      </c>
      <c r="Z914" s="69"/>
      <c r="AA914" s="16" t="e">
        <f t="shared" si="280"/>
        <v>#VALUE!</v>
      </c>
      <c r="AB914" s="3" t="e">
        <f t="shared" si="281"/>
        <v>#VALUE!</v>
      </c>
      <c r="AD914" s="17" t="s">
        <v>864</v>
      </c>
      <c r="AG914" s="34">
        <f t="shared" si="282"/>
        <v>0</v>
      </c>
      <c r="AH914" s="63" t="s">
        <v>3663</v>
      </c>
      <c r="AI914" s="131"/>
      <c r="AK914" s="66">
        <f t="shared" si="285"/>
        <v>0</v>
      </c>
      <c r="AL914" s="174">
        <f t="shared" si="286"/>
        <v>0</v>
      </c>
      <c r="AM914" s="346">
        <f>RTD("money.excel",,$G914,"PredictVolume")</f>
        <v>0</v>
      </c>
      <c r="AN914" s="272">
        <f>RTD("money.excel",,$G914,"CumulativeVolume")</f>
        <v>0</v>
      </c>
      <c r="AO914" s="284"/>
    </row>
    <row r="915" spans="1:41">
      <c r="A915" s="151" t="s">
        <v>2776</v>
      </c>
      <c r="B915" s="85">
        <v>-120</v>
      </c>
      <c r="C915" s="85">
        <v>-120</v>
      </c>
      <c r="D915" s="84">
        <v>13</v>
      </c>
      <c r="E915" s="84">
        <v>13</v>
      </c>
      <c r="F915" s="7">
        <v>-2.34</v>
      </c>
      <c r="G915" s="85">
        <v>8064</v>
      </c>
      <c r="H915" s="4" t="s">
        <v>557</v>
      </c>
      <c r="I915" s="17" t="s">
        <v>161</v>
      </c>
      <c r="J915" s="77">
        <v>28.62</v>
      </c>
      <c r="K915" s="77">
        <v>2.42</v>
      </c>
      <c r="L915" s="371">
        <v>7</v>
      </c>
      <c r="N915" s="365">
        <f t="shared" si="277"/>
        <v>38.04</v>
      </c>
      <c r="O915" s="343">
        <f t="shared" si="278"/>
        <v>28.62</v>
      </c>
      <c r="P915" s="195" t="s">
        <v>5554</v>
      </c>
      <c r="Q915" s="326">
        <f>IFERROR(VLOOKUP($G915,主力整理!$A$2:$G$2301,6,0),"0")</f>
        <v>3</v>
      </c>
      <c r="T915" s="339">
        <f t="shared" si="279"/>
        <v>3</v>
      </c>
      <c r="V915" s="371">
        <v>0.02</v>
      </c>
      <c r="W915" s="35">
        <v>0.2</v>
      </c>
      <c r="X915" s="100">
        <v>0.22</v>
      </c>
      <c r="Y915" s="37" t="str">
        <f>RTD("money.excel",,"8064","Price")</f>
        <v>無資料</v>
      </c>
      <c r="Z915" s="69"/>
      <c r="AA915" s="16" t="e">
        <f t="shared" si="280"/>
        <v>#VALUE!</v>
      </c>
      <c r="AB915" s="3" t="e">
        <f t="shared" si="281"/>
        <v>#VALUE!</v>
      </c>
      <c r="AC915" s="177" t="s">
        <v>2648</v>
      </c>
      <c r="AD915" s="17" t="s">
        <v>161</v>
      </c>
      <c r="AG915" s="34">
        <f t="shared" si="282"/>
        <v>0</v>
      </c>
      <c r="AH915" s="125" t="s">
        <v>3851</v>
      </c>
      <c r="AI915" s="131"/>
      <c r="AK915" s="66">
        <f t="shared" si="285"/>
        <v>0</v>
      </c>
      <c r="AL915" s="174">
        <f t="shared" si="286"/>
        <v>0</v>
      </c>
      <c r="AM915" s="346">
        <f>RTD("money.excel",,$G915,"PredictVolume")</f>
        <v>0</v>
      </c>
      <c r="AN915" s="272">
        <f>RTD("money.excel",,$G915,"CumulativeVolume")</f>
        <v>0</v>
      </c>
      <c r="AO915" s="284"/>
    </row>
    <row r="916" spans="1:41">
      <c r="A916" s="135" t="s">
        <v>2414</v>
      </c>
      <c r="B916" s="84">
        <v>15</v>
      </c>
      <c r="C916" s="84">
        <v>229</v>
      </c>
      <c r="D916" s="85">
        <v>-13</v>
      </c>
      <c r="E916" s="84">
        <v>102</v>
      </c>
      <c r="F916" s="59">
        <v>12.02</v>
      </c>
      <c r="G916" s="85">
        <v>8069</v>
      </c>
      <c r="H916" s="55" t="s">
        <v>557</v>
      </c>
      <c r="I916" s="17" t="s">
        <v>81</v>
      </c>
      <c r="J916" s="371">
        <v>69.95</v>
      </c>
      <c r="K916" s="371">
        <v>27.48</v>
      </c>
      <c r="L916" s="77">
        <v>11.12</v>
      </c>
      <c r="N916" s="365">
        <f t="shared" si="277"/>
        <v>108.55000000000001</v>
      </c>
      <c r="O916" s="343">
        <f t="shared" si="278"/>
        <v>69.95</v>
      </c>
      <c r="P916" s="195">
        <v>6</v>
      </c>
      <c r="Q916" s="326">
        <f>IFERROR(VLOOKUP($G916,主力整理!$A$2:$G$2301,6,0),"0")</f>
        <v>2</v>
      </c>
      <c r="T916" s="339">
        <f t="shared" si="279"/>
        <v>8</v>
      </c>
      <c r="V916" s="371">
        <v>0.28999999999999998</v>
      </c>
      <c r="W916" s="35">
        <v>2.7</v>
      </c>
      <c r="X916" s="59">
        <v>3.18</v>
      </c>
      <c r="Y916" s="37" t="str">
        <f>RTD("money.excel",,"8069","Price")</f>
        <v>無資料</v>
      </c>
      <c r="Z916" s="69"/>
      <c r="AA916" s="16" t="e">
        <f t="shared" si="280"/>
        <v>#VALUE!</v>
      </c>
      <c r="AB916" s="3" t="e">
        <f t="shared" si="281"/>
        <v>#VALUE!</v>
      </c>
      <c r="AC916" s="177" t="s">
        <v>2648</v>
      </c>
      <c r="AD916" s="17" t="s">
        <v>81</v>
      </c>
      <c r="AG916" s="34">
        <f t="shared" si="282"/>
        <v>0</v>
      </c>
      <c r="AH916" s="126" t="s">
        <v>3738</v>
      </c>
      <c r="AI916" s="131"/>
      <c r="AK916" s="66">
        <f t="shared" si="285"/>
        <v>0</v>
      </c>
      <c r="AL916" s="174">
        <f t="shared" si="286"/>
        <v>0</v>
      </c>
      <c r="AM916" s="346">
        <f>RTD("money.excel",,$G916,"PredictVolume")</f>
        <v>0</v>
      </c>
      <c r="AN916" s="272">
        <f>RTD("money.excel",,$G916,"CumulativeVolume")</f>
        <v>0</v>
      </c>
      <c r="AO916" s="284"/>
    </row>
    <row r="917" spans="1:41">
      <c r="A917" s="151" t="s">
        <v>4579</v>
      </c>
      <c r="B917" s="96">
        <v>-419</v>
      </c>
      <c r="C917" s="96">
        <v>-19</v>
      </c>
      <c r="D917" s="96">
        <v>24</v>
      </c>
      <c r="E917" s="96">
        <v>-4</v>
      </c>
      <c r="F917" s="7">
        <v>-20</v>
      </c>
      <c r="G917" s="85">
        <v>8087</v>
      </c>
      <c r="H917" s="4" t="s">
        <v>557</v>
      </c>
      <c r="I917" s="17" t="s">
        <v>865</v>
      </c>
      <c r="J917" s="77">
        <v>61.27</v>
      </c>
      <c r="K917" s="77">
        <v>0</v>
      </c>
      <c r="N917" s="365">
        <f t="shared" si="277"/>
        <v>61.27</v>
      </c>
      <c r="O917" s="343">
        <f t="shared" si="278"/>
        <v>61.27</v>
      </c>
      <c r="P917" s="195" t="s">
        <v>5554</v>
      </c>
      <c r="Q917" s="326" t="str">
        <f>IFERROR(VLOOKUP($G917,主力整理!$A$2:$G$2301,6,0),"0")</f>
        <v>0</v>
      </c>
      <c r="T917" s="339">
        <f t="shared" si="279"/>
        <v>0</v>
      </c>
      <c r="V917" s="371">
        <v>33.29</v>
      </c>
      <c r="W917" s="35">
        <v>0</v>
      </c>
      <c r="X917" s="100">
        <v>-0.2</v>
      </c>
      <c r="Y917" s="14" t="str">
        <f>RTD("money.excel",,"8087","Price")</f>
        <v>無資料</v>
      </c>
      <c r="Z917" s="69"/>
      <c r="AA917" s="16" t="e">
        <f t="shared" si="280"/>
        <v>#VALUE!</v>
      </c>
      <c r="AB917" s="3" t="e">
        <f t="shared" si="281"/>
        <v>#VALUE!</v>
      </c>
      <c r="AD917" s="17" t="s">
        <v>865</v>
      </c>
      <c r="AG917" s="34">
        <f t="shared" si="282"/>
        <v>0</v>
      </c>
      <c r="AH917" s="44" t="s">
        <v>3852</v>
      </c>
      <c r="AI917" s="131"/>
      <c r="AK917" s="66">
        <f t="shared" si="285"/>
        <v>0</v>
      </c>
      <c r="AL917" s="174">
        <f t="shared" si="286"/>
        <v>0</v>
      </c>
      <c r="AM917" s="346">
        <f>RTD("money.excel",,$G917,"PredictVolume")</f>
        <v>0</v>
      </c>
      <c r="AN917" s="272">
        <f>RTD("money.excel",,$G917,"CumulativeVolume")</f>
        <v>0</v>
      </c>
      <c r="AO917" s="284"/>
    </row>
    <row r="918" spans="1:41">
      <c r="A918" s="151" t="s">
        <v>5604</v>
      </c>
      <c r="B918" s="84">
        <v>13</v>
      </c>
      <c r="C918" s="84">
        <v>13</v>
      </c>
      <c r="D918" s="85">
        <v>-3</v>
      </c>
      <c r="E918" s="84">
        <v>10</v>
      </c>
      <c r="F918" s="7">
        <v>8.7200000000000006</v>
      </c>
      <c r="G918" s="85">
        <v>8104</v>
      </c>
      <c r="H918" s="4" t="s">
        <v>557</v>
      </c>
      <c r="I918" s="23" t="s">
        <v>2729</v>
      </c>
      <c r="J918" s="371">
        <v>52.93</v>
      </c>
      <c r="K918" s="371">
        <v>1.22</v>
      </c>
      <c r="L918" s="77">
        <v>12.87</v>
      </c>
      <c r="N918" s="365">
        <f t="shared" si="277"/>
        <v>67.02</v>
      </c>
      <c r="O918" s="343">
        <f t="shared" si="278"/>
        <v>52.93</v>
      </c>
      <c r="P918" s="195">
        <v>7</v>
      </c>
      <c r="Q918" s="326">
        <v>1</v>
      </c>
      <c r="R918" s="111">
        <v>1</v>
      </c>
      <c r="S918" s="51">
        <v>0</v>
      </c>
      <c r="T918" s="339">
        <f t="shared" si="279"/>
        <v>9</v>
      </c>
      <c r="U918" s="329" t="s">
        <v>6539</v>
      </c>
      <c r="V918" s="371">
        <v>31.63</v>
      </c>
      <c r="W918" s="69">
        <v>2.99</v>
      </c>
      <c r="X918" s="59">
        <v>3.26</v>
      </c>
      <c r="Y918" s="37" t="str">
        <f>RTD("money.excel",,"8104","Price")</f>
        <v>無資料</v>
      </c>
      <c r="Z918" s="69"/>
      <c r="AA918" s="16" t="e">
        <f t="shared" si="280"/>
        <v>#VALUE!</v>
      </c>
      <c r="AB918" s="3" t="e">
        <f t="shared" si="281"/>
        <v>#VALUE!</v>
      </c>
      <c r="AC918" s="177" t="s">
        <v>2929</v>
      </c>
      <c r="AD918" s="23" t="s">
        <v>2729</v>
      </c>
      <c r="AG918" s="34">
        <f t="shared" si="282"/>
        <v>0</v>
      </c>
      <c r="AH918" s="125" t="s">
        <v>2730</v>
      </c>
      <c r="AI918" s="131"/>
      <c r="AK918" s="66">
        <f t="shared" si="285"/>
        <v>0</v>
      </c>
      <c r="AL918" s="174">
        <f t="shared" si="286"/>
        <v>0</v>
      </c>
      <c r="AM918" s="346">
        <f>RTD("money.excel",,$G918,"PredictVolume")</f>
        <v>0</v>
      </c>
      <c r="AN918" s="272">
        <f>RTD("money.excel",,$G918,"CumulativeVolume")</f>
        <v>0</v>
      </c>
      <c r="AO918" s="284"/>
    </row>
    <row r="919" spans="1:41">
      <c r="A919" s="151" t="s">
        <v>3132</v>
      </c>
      <c r="B919" s="85">
        <v>-189</v>
      </c>
      <c r="C919" s="85">
        <v>-337</v>
      </c>
      <c r="D919" s="84">
        <v>0</v>
      </c>
      <c r="E919" s="85">
        <v>-11</v>
      </c>
      <c r="F919" s="7">
        <v>-11.72</v>
      </c>
      <c r="G919" s="85">
        <v>8105</v>
      </c>
      <c r="H919" s="4" t="s">
        <v>557</v>
      </c>
      <c r="I919" s="23" t="s">
        <v>235</v>
      </c>
      <c r="J919" s="77">
        <v>58.85</v>
      </c>
      <c r="K919" s="77">
        <v>58.56</v>
      </c>
      <c r="L919" s="77">
        <v>10.82</v>
      </c>
      <c r="N919" s="365">
        <f t="shared" si="277"/>
        <v>128.22999999999999</v>
      </c>
      <c r="O919" s="343">
        <f t="shared" si="278"/>
        <v>58.85</v>
      </c>
      <c r="P919" s="195">
        <v>1</v>
      </c>
      <c r="Q919" s="326" t="str">
        <f>IFERROR(VLOOKUP($G919,主力整理!$A$2:$G$2301,6,0),"0")</f>
        <v>0</v>
      </c>
      <c r="T919" s="339">
        <f t="shared" si="279"/>
        <v>1</v>
      </c>
      <c r="V919" s="371">
        <v>0.01</v>
      </c>
      <c r="W919" s="35">
        <v>0</v>
      </c>
      <c r="X919" s="100">
        <v>-2.4700000000000002</v>
      </c>
      <c r="Y919" s="14" t="str">
        <f>RTD("money.excel",,"8105","Price")</f>
        <v>無資料</v>
      </c>
      <c r="Z919" s="69"/>
      <c r="AA919" s="16" t="e">
        <f t="shared" si="280"/>
        <v>#VALUE!</v>
      </c>
      <c r="AB919" s="3" t="e">
        <f t="shared" si="281"/>
        <v>#VALUE!</v>
      </c>
      <c r="AC919" s="177" t="s">
        <v>2648</v>
      </c>
      <c r="AD919" s="23" t="s">
        <v>235</v>
      </c>
      <c r="AG919" s="34">
        <f t="shared" si="282"/>
        <v>0</v>
      </c>
      <c r="AH919" s="125" t="s">
        <v>3237</v>
      </c>
      <c r="AI919" s="131"/>
      <c r="AK919" s="66">
        <f t="shared" si="285"/>
        <v>0</v>
      </c>
      <c r="AL919" s="174">
        <f t="shared" si="286"/>
        <v>0</v>
      </c>
      <c r="AM919" s="346">
        <f>RTD("money.excel",,$G919,"PredictVolume")</f>
        <v>0</v>
      </c>
      <c r="AN919" s="272">
        <f>RTD("money.excel",,$G919,"CumulativeVolume")</f>
        <v>0</v>
      </c>
      <c r="AO919" s="284"/>
    </row>
    <row r="920" spans="1:41">
      <c r="A920" s="135" t="s">
        <v>4648</v>
      </c>
      <c r="B920" s="96">
        <v>40</v>
      </c>
      <c r="C920" s="96">
        <v>313</v>
      </c>
      <c r="D920" s="96">
        <v>1</v>
      </c>
      <c r="E920" s="96">
        <v>50</v>
      </c>
      <c r="F920" s="59">
        <v>14.86</v>
      </c>
      <c r="G920" s="85">
        <v>8111</v>
      </c>
      <c r="H920" s="4" t="s">
        <v>557</v>
      </c>
      <c r="I920" s="17" t="s">
        <v>866</v>
      </c>
      <c r="J920" s="77">
        <v>39.54</v>
      </c>
      <c r="K920" s="77">
        <v>0.39</v>
      </c>
      <c r="L920" s="77">
        <v>9.5399999999999991</v>
      </c>
      <c r="N920" s="365">
        <f t="shared" si="277"/>
        <v>49.47</v>
      </c>
      <c r="O920" s="343">
        <f t="shared" si="278"/>
        <v>39.54</v>
      </c>
      <c r="P920" s="195">
        <v>2</v>
      </c>
      <c r="Q920" s="326" t="str">
        <f>IFERROR(VLOOKUP($G920,主力整理!$A$2:$G$2301,6,0),"0")</f>
        <v>0</v>
      </c>
      <c r="T920" s="339">
        <f t="shared" si="279"/>
        <v>2</v>
      </c>
      <c r="V920" s="371">
        <v>16.100000000000001</v>
      </c>
      <c r="W920" s="35">
        <v>0.9</v>
      </c>
      <c r="X920" s="100">
        <v>1.22</v>
      </c>
      <c r="Y920" s="37" t="str">
        <f>RTD("money.excel",,"8111","Price")</f>
        <v>無資料</v>
      </c>
      <c r="Z920" s="69"/>
      <c r="AA920" s="16" t="e">
        <f t="shared" si="280"/>
        <v>#VALUE!</v>
      </c>
      <c r="AB920" s="3" t="e">
        <f t="shared" si="281"/>
        <v>#VALUE!</v>
      </c>
      <c r="AC920" s="177" t="s">
        <v>2648</v>
      </c>
      <c r="AD920" s="17" t="s">
        <v>866</v>
      </c>
      <c r="AG920" s="34">
        <f t="shared" si="282"/>
        <v>0</v>
      </c>
      <c r="AH920" s="63" t="s">
        <v>3853</v>
      </c>
      <c r="AI920" s="131"/>
      <c r="AK920" s="66">
        <f t="shared" si="285"/>
        <v>0</v>
      </c>
      <c r="AL920" s="174">
        <f t="shared" si="286"/>
        <v>0</v>
      </c>
      <c r="AM920" s="346">
        <f>RTD("money.excel",,$G920,"PredictVolume")</f>
        <v>0</v>
      </c>
      <c r="AN920" s="272">
        <f>RTD("money.excel",,$G920,"CumulativeVolume")</f>
        <v>0</v>
      </c>
      <c r="AO920" s="284"/>
    </row>
    <row r="921" spans="1:41">
      <c r="A921" s="151" t="s">
        <v>3128</v>
      </c>
      <c r="B921" s="84">
        <v>0</v>
      </c>
      <c r="C921" s="85">
        <v>-15</v>
      </c>
      <c r="D921" s="84">
        <v>4</v>
      </c>
      <c r="E921" s="84">
        <v>17</v>
      </c>
      <c r="F921" s="7">
        <v>3.04</v>
      </c>
      <c r="G921" s="85">
        <v>8215</v>
      </c>
      <c r="H921" s="4" t="s">
        <v>557</v>
      </c>
      <c r="I921" s="23" t="s">
        <v>590</v>
      </c>
      <c r="J921" s="77">
        <v>55.75</v>
      </c>
      <c r="K921" s="77">
        <v>11.31</v>
      </c>
      <c r="L921" s="77">
        <v>6.89</v>
      </c>
      <c r="N921" s="365">
        <f t="shared" si="277"/>
        <v>73.95</v>
      </c>
      <c r="O921" s="343">
        <f t="shared" si="278"/>
        <v>55.75</v>
      </c>
      <c r="P921" s="195">
        <v>9</v>
      </c>
      <c r="Q921" s="326">
        <f>IFERROR(VLOOKUP($G921,主力整理!$A$2:$G$2301,6,0),"0")</f>
        <v>3</v>
      </c>
      <c r="T921" s="339">
        <f t="shared" si="279"/>
        <v>12</v>
      </c>
      <c r="V921" s="371">
        <v>0.25</v>
      </c>
      <c r="W921" s="35">
        <v>0.5</v>
      </c>
      <c r="X921" s="100">
        <v>1.24</v>
      </c>
      <c r="Y921" s="37" t="str">
        <f>RTD("money.excel",,"8215","Price")</f>
        <v>無資料</v>
      </c>
      <c r="Z921" s="69"/>
      <c r="AA921" s="16" t="e">
        <f t="shared" si="280"/>
        <v>#VALUE!</v>
      </c>
      <c r="AB921" s="3" t="e">
        <f t="shared" si="281"/>
        <v>#VALUE!</v>
      </c>
      <c r="AC921" s="177" t="s">
        <v>2648</v>
      </c>
      <c r="AD921" s="23" t="s">
        <v>590</v>
      </c>
      <c r="AG921" s="34">
        <f t="shared" si="282"/>
        <v>0</v>
      </c>
      <c r="AH921" s="44" t="s">
        <v>4059</v>
      </c>
      <c r="AI921" s="131"/>
      <c r="AK921" s="66">
        <f t="shared" si="285"/>
        <v>0</v>
      </c>
      <c r="AL921" s="174">
        <f t="shared" si="286"/>
        <v>0</v>
      </c>
      <c r="AM921" s="346">
        <f>RTD("money.excel",,$G921,"PredictVolume")</f>
        <v>0</v>
      </c>
      <c r="AN921" s="272">
        <f>RTD("money.excel",,$G921,"CumulativeVolume")</f>
        <v>0</v>
      </c>
      <c r="AO921" s="284"/>
    </row>
    <row r="922" spans="1:41">
      <c r="A922" s="151" t="s">
        <v>3161</v>
      </c>
      <c r="B922" s="85">
        <v>-3</v>
      </c>
      <c r="C922" s="85">
        <v>-10</v>
      </c>
      <c r="D922" s="84">
        <v>25</v>
      </c>
      <c r="E922" s="84">
        <v>18</v>
      </c>
      <c r="F922" s="7">
        <v>2.59</v>
      </c>
      <c r="G922" s="85">
        <v>8240</v>
      </c>
      <c r="H922" s="4" t="s">
        <v>557</v>
      </c>
      <c r="I922" s="17" t="s">
        <v>867</v>
      </c>
      <c r="J922" s="77">
        <v>50.1</v>
      </c>
      <c r="K922" s="77">
        <v>6.5</v>
      </c>
      <c r="L922" s="371">
        <v>8.81</v>
      </c>
      <c r="N922" s="365">
        <f t="shared" si="277"/>
        <v>65.41</v>
      </c>
      <c r="O922" s="343">
        <f t="shared" si="278"/>
        <v>50.1</v>
      </c>
      <c r="P922" s="195">
        <v>2</v>
      </c>
      <c r="Q922" s="326" t="str">
        <f>IFERROR(VLOOKUP($G922,主力整理!$A$2:$G$2301,6,0),"0")</f>
        <v>0</v>
      </c>
      <c r="T922" s="339">
        <f t="shared" si="279"/>
        <v>2</v>
      </c>
      <c r="V922" s="371">
        <v>0</v>
      </c>
      <c r="W922" s="35">
        <v>1.6</v>
      </c>
      <c r="X922" s="59">
        <v>2.21</v>
      </c>
      <c r="Y922" s="37" t="str">
        <f>RTD("money.excel",,"8240","Price")</f>
        <v>無資料</v>
      </c>
      <c r="Z922" s="69"/>
      <c r="AA922" s="16" t="e">
        <f t="shared" si="280"/>
        <v>#VALUE!</v>
      </c>
      <c r="AB922" s="3" t="e">
        <f t="shared" si="281"/>
        <v>#VALUE!</v>
      </c>
      <c r="AC922" s="177" t="s">
        <v>2648</v>
      </c>
      <c r="AD922" s="17" t="s">
        <v>867</v>
      </c>
      <c r="AG922" s="34">
        <f t="shared" si="282"/>
        <v>0</v>
      </c>
      <c r="AH922" s="44" t="s">
        <v>3854</v>
      </c>
      <c r="AI922" s="131"/>
      <c r="AK922" s="66">
        <f t="shared" si="285"/>
        <v>0</v>
      </c>
      <c r="AL922" s="174">
        <f t="shared" si="286"/>
        <v>0</v>
      </c>
      <c r="AM922" s="346">
        <f>RTD("money.excel",,$G922,"PredictVolume")</f>
        <v>0</v>
      </c>
      <c r="AN922" s="272">
        <f>RTD("money.excel",,$G922,"CumulativeVolume")</f>
        <v>0</v>
      </c>
      <c r="AO922" s="284"/>
    </row>
    <row r="923" spans="1:41">
      <c r="A923" s="151"/>
      <c r="B923" s="85"/>
      <c r="C923" s="85"/>
      <c r="D923" s="84"/>
      <c r="E923" s="84"/>
      <c r="F923" s="7"/>
      <c r="G923" s="85"/>
      <c r="H923" s="4"/>
      <c r="I923" s="17"/>
      <c r="J923" s="77"/>
      <c r="K923" s="77"/>
      <c r="L923" s="371"/>
      <c r="N923" s="365"/>
      <c r="O923" s="343"/>
      <c r="P923" s="195"/>
      <c r="W923" s="35"/>
      <c r="X923" s="59"/>
      <c r="Y923" s="37"/>
      <c r="Z923" s="69"/>
      <c r="AA923" s="16"/>
      <c r="AB923" s="3"/>
      <c r="AD923" s="17"/>
      <c r="AG923" s="34"/>
      <c r="AH923" s="44"/>
      <c r="AI923" s="131"/>
      <c r="AK923" s="66"/>
      <c r="AL923" s="174"/>
      <c r="AM923" s="346"/>
      <c r="AN923" s="272"/>
      <c r="AO923" s="284"/>
    </row>
    <row r="924" spans="1:41">
      <c r="A924" s="135" t="s">
        <v>2552</v>
      </c>
      <c r="B924" s="96" t="s">
        <v>2331</v>
      </c>
      <c r="C924" s="96" t="s">
        <v>2332</v>
      </c>
      <c r="D924" s="96" t="s">
        <v>2333</v>
      </c>
      <c r="E924" s="96" t="s">
        <v>2334</v>
      </c>
      <c r="F924" s="9" t="s">
        <v>1709</v>
      </c>
      <c r="G924" s="52" t="s">
        <v>954</v>
      </c>
      <c r="H924" s="56" t="s">
        <v>578</v>
      </c>
      <c r="I924" s="9" t="s">
        <v>563</v>
      </c>
      <c r="J924" s="364" t="s">
        <v>2189</v>
      </c>
      <c r="K924" s="364" t="s">
        <v>1820</v>
      </c>
      <c r="L924" s="364" t="s">
        <v>515</v>
      </c>
      <c r="M924" s="364" t="s">
        <v>1699</v>
      </c>
      <c r="N924" s="364" t="s">
        <v>6604</v>
      </c>
      <c r="O924" s="343" t="s">
        <v>6620</v>
      </c>
      <c r="P924" s="83" t="s">
        <v>5279</v>
      </c>
      <c r="Q924" s="326" t="s">
        <v>5514</v>
      </c>
      <c r="R924" s="31" t="s">
        <v>6596</v>
      </c>
      <c r="S924" s="51" t="s">
        <v>6597</v>
      </c>
      <c r="T924" s="338" t="s">
        <v>5627</v>
      </c>
      <c r="U924" s="330" t="s">
        <v>6537</v>
      </c>
      <c r="V924" s="377" t="s">
        <v>6616</v>
      </c>
      <c r="W924" s="11" t="s">
        <v>127</v>
      </c>
      <c r="X924" s="71" t="s">
        <v>5216</v>
      </c>
      <c r="Y924" s="29" t="s">
        <v>3</v>
      </c>
      <c r="Z924" s="18" t="s">
        <v>2113</v>
      </c>
      <c r="AA924" s="15" t="s">
        <v>8</v>
      </c>
      <c r="AB924" s="22" t="s">
        <v>4</v>
      </c>
      <c r="AC924" s="358" t="s">
        <v>211</v>
      </c>
      <c r="AD924" s="9" t="s">
        <v>563</v>
      </c>
      <c r="AE924" s="75" t="s">
        <v>2114</v>
      </c>
      <c r="AF924" s="76" t="s">
        <v>1826</v>
      </c>
      <c r="AG924" s="33" t="s">
        <v>1827</v>
      </c>
      <c r="AH924" s="44"/>
      <c r="AI924" s="131"/>
      <c r="AK924" s="9" t="s">
        <v>6666</v>
      </c>
      <c r="AL924" s="5" t="s">
        <v>6667</v>
      </c>
      <c r="AM924" s="51" t="s">
        <v>5339</v>
      </c>
      <c r="AN924" s="276" t="s">
        <v>6665</v>
      </c>
      <c r="AO924" s="284"/>
    </row>
    <row r="925" spans="1:41">
      <c r="A925" s="151" t="s">
        <v>2905</v>
      </c>
      <c r="B925" s="85">
        <v>-756</v>
      </c>
      <c r="C925" s="85">
        <v>-201</v>
      </c>
      <c r="D925" s="85">
        <v>-2</v>
      </c>
      <c r="E925" s="85">
        <v>-18</v>
      </c>
      <c r="F925" s="7">
        <v>-1.02</v>
      </c>
      <c r="G925" s="85">
        <v>2314</v>
      </c>
      <c r="H925" s="4" t="s">
        <v>563</v>
      </c>
      <c r="I925" s="23" t="s">
        <v>221</v>
      </c>
      <c r="J925" s="77">
        <v>38.36</v>
      </c>
      <c r="K925" s="371">
        <v>1.17</v>
      </c>
      <c r="L925" s="77">
        <v>12.08</v>
      </c>
      <c r="N925" s="365">
        <f t="shared" ref="N925:N956" si="287">J925+K925+L925+M925</f>
        <v>51.61</v>
      </c>
      <c r="O925" s="343">
        <f t="shared" ref="O925:O956" si="288">J925+M925</f>
        <v>38.36</v>
      </c>
      <c r="P925" s="195">
        <v>4</v>
      </c>
      <c r="Q925" s="326">
        <f>IFERROR(VLOOKUP($G925,主力整理!$A$2:$G$2301,6,0),"0")</f>
        <v>5</v>
      </c>
      <c r="R925" s="111">
        <v>14</v>
      </c>
      <c r="S925" s="51">
        <v>2</v>
      </c>
      <c r="T925" s="339">
        <f t="shared" ref="T925:T956" si="289">SUM(P925:S925)</f>
        <v>25</v>
      </c>
      <c r="V925" s="371">
        <v>0.88</v>
      </c>
      <c r="W925" s="35">
        <v>0</v>
      </c>
      <c r="X925" s="100">
        <v>-0.42</v>
      </c>
      <c r="Y925" s="37" t="str">
        <f>RTD("money.excel",,"2314","Price")</f>
        <v>無資料</v>
      </c>
      <c r="Z925" s="69"/>
      <c r="AA925" s="16" t="e">
        <f t="shared" ref="AA925:AA956" si="290">Y925-Z925</f>
        <v>#VALUE!</v>
      </c>
      <c r="AB925" s="3" t="e">
        <f t="shared" ref="AB925:AB956" si="291">AA925/Z925</f>
        <v>#VALUE!</v>
      </c>
      <c r="AC925" s="177" t="s">
        <v>2648</v>
      </c>
      <c r="AD925" s="23" t="s">
        <v>221</v>
      </c>
      <c r="AG925" s="34">
        <f t="shared" ref="AG925:AG956" si="292">AF925-AE925</f>
        <v>0</v>
      </c>
      <c r="AH925" s="127" t="s">
        <v>4280</v>
      </c>
      <c r="AI925" s="131"/>
      <c r="AK925" s="66">
        <f t="shared" ref="AK925" si="293">AM925/(A925*10000)</f>
        <v>0</v>
      </c>
      <c r="AL925" s="174">
        <f t="shared" ref="AL925" si="294">AN925/(A925*10000)</f>
        <v>0</v>
      </c>
      <c r="AM925" s="346">
        <f>RTD("money.excel",,$G925,"PredictVolume")</f>
        <v>0</v>
      </c>
      <c r="AN925" s="272">
        <f>RTD("money.excel",,$G925,"CumulativeVolume")</f>
        <v>0</v>
      </c>
      <c r="AO925" s="284"/>
    </row>
    <row r="926" spans="1:41">
      <c r="A926" s="151" t="s">
        <v>4700</v>
      </c>
      <c r="B926" s="96">
        <v>58</v>
      </c>
      <c r="C926" s="96">
        <v>51</v>
      </c>
      <c r="D926" s="96">
        <v>1</v>
      </c>
      <c r="E926" s="96">
        <v>-4</v>
      </c>
      <c r="F926" s="7">
        <v>-6.75</v>
      </c>
      <c r="G926" s="85">
        <v>2321</v>
      </c>
      <c r="H926" s="4" t="s">
        <v>563</v>
      </c>
      <c r="I926" s="23" t="s">
        <v>990</v>
      </c>
      <c r="J926" s="77">
        <v>45.49</v>
      </c>
      <c r="K926" s="77">
        <v>7.0000000000000007E-2</v>
      </c>
      <c r="N926" s="365">
        <f t="shared" si="287"/>
        <v>45.56</v>
      </c>
      <c r="O926" s="343">
        <f t="shared" si="288"/>
        <v>45.49</v>
      </c>
      <c r="P926" s="195" t="s">
        <v>5554</v>
      </c>
      <c r="Q926" s="326" t="str">
        <f>IFERROR(VLOOKUP($G926,主力整理!$A$2:$G$2301,6,0),"0")</f>
        <v>0</v>
      </c>
      <c r="T926" s="339">
        <f t="shared" si="289"/>
        <v>0</v>
      </c>
      <c r="V926" s="371">
        <v>31.84</v>
      </c>
      <c r="W926" s="35">
        <v>0</v>
      </c>
      <c r="X926" s="100">
        <v>-0.42</v>
      </c>
      <c r="Y926" s="37" t="str">
        <f>RTD("money.excel",,"2321","Price")</f>
        <v>無資料</v>
      </c>
      <c r="Z926" s="69"/>
      <c r="AA926" s="16" t="e">
        <f t="shared" si="290"/>
        <v>#VALUE!</v>
      </c>
      <c r="AB926" s="3" t="e">
        <f t="shared" si="291"/>
        <v>#VALUE!</v>
      </c>
      <c r="AD926" s="23" t="s">
        <v>990</v>
      </c>
      <c r="AG926" s="34">
        <f t="shared" si="292"/>
        <v>0</v>
      </c>
      <c r="AH926" s="44" t="s">
        <v>4281</v>
      </c>
      <c r="AI926" s="284"/>
      <c r="AK926" s="66">
        <f t="shared" ref="AK926:AK979" si="295">AM926/(A926*10000)</f>
        <v>0</v>
      </c>
      <c r="AL926" s="174">
        <f t="shared" ref="AL926:AL979" si="296">AN926/(A926*10000)</f>
        <v>0</v>
      </c>
      <c r="AM926" s="346">
        <f>RTD("money.excel",,$G926,"PredictVolume")</f>
        <v>0</v>
      </c>
      <c r="AN926" s="272">
        <f>RTD("money.excel",,$G926,"CumulativeVolume")</f>
        <v>0</v>
      </c>
      <c r="AO926" s="284"/>
    </row>
    <row r="927" spans="1:41">
      <c r="A927" s="151" t="s">
        <v>2884</v>
      </c>
      <c r="B927" s="85">
        <v>-647</v>
      </c>
      <c r="C927" s="84">
        <v>121</v>
      </c>
      <c r="D927" s="84">
        <v>0</v>
      </c>
      <c r="E927" s="85">
        <v>-5</v>
      </c>
      <c r="F927" s="7">
        <v>0.44</v>
      </c>
      <c r="G927" s="85">
        <v>2332</v>
      </c>
      <c r="H927" s="54" t="s">
        <v>563</v>
      </c>
      <c r="I927" s="23" t="s">
        <v>445</v>
      </c>
      <c r="J927" s="77">
        <v>39.22</v>
      </c>
      <c r="K927" s="77">
        <v>6.49</v>
      </c>
      <c r="L927" s="77">
        <v>10.86</v>
      </c>
      <c r="N927" s="365">
        <f t="shared" si="287"/>
        <v>56.57</v>
      </c>
      <c r="O927" s="343">
        <f t="shared" si="288"/>
        <v>39.22</v>
      </c>
      <c r="P927" s="195">
        <v>4</v>
      </c>
      <c r="Q927" s="326">
        <v>5</v>
      </c>
      <c r="R927" s="111">
        <v>6</v>
      </c>
      <c r="S927" s="51">
        <v>1</v>
      </c>
      <c r="T927" s="339">
        <f t="shared" si="289"/>
        <v>16</v>
      </c>
      <c r="V927" s="371">
        <v>0.11</v>
      </c>
      <c r="W927" s="35">
        <v>0.3</v>
      </c>
      <c r="X927" s="100">
        <v>1.74</v>
      </c>
      <c r="Y927" s="37" t="str">
        <f>RTD("money.excel",,"2332","Price")</f>
        <v>無資料</v>
      </c>
      <c r="Z927" s="69"/>
      <c r="AA927" s="16" t="e">
        <f t="shared" si="290"/>
        <v>#VALUE!</v>
      </c>
      <c r="AB927" s="3" t="e">
        <f t="shared" si="291"/>
        <v>#VALUE!</v>
      </c>
      <c r="AC927" s="177" t="s">
        <v>2648</v>
      </c>
      <c r="AD927" s="23" t="s">
        <v>445</v>
      </c>
      <c r="AG927" s="34">
        <f t="shared" si="292"/>
        <v>0</v>
      </c>
      <c r="AH927" s="127" t="s">
        <v>2163</v>
      </c>
      <c r="AI927" s="284"/>
      <c r="AK927" s="66">
        <f t="shared" si="295"/>
        <v>0</v>
      </c>
      <c r="AL927" s="174">
        <f t="shared" si="296"/>
        <v>0</v>
      </c>
      <c r="AM927" s="346">
        <f>RTD("money.excel",,$G927,"PredictVolume")</f>
        <v>0</v>
      </c>
      <c r="AN927" s="272">
        <f>RTD("money.excel",,$G927,"CumulativeVolume")</f>
        <v>0</v>
      </c>
      <c r="AO927" s="284"/>
    </row>
    <row r="928" spans="1:41">
      <c r="A928" s="151" t="s">
        <v>3095</v>
      </c>
      <c r="B928" s="85">
        <v>-4</v>
      </c>
      <c r="C928" s="85">
        <v>-7</v>
      </c>
      <c r="D928" s="84">
        <v>21</v>
      </c>
      <c r="E928" s="84">
        <v>13</v>
      </c>
      <c r="F928" s="7">
        <v>8.5</v>
      </c>
      <c r="G928" s="85">
        <v>2345</v>
      </c>
      <c r="H928" s="54" t="s">
        <v>563</v>
      </c>
      <c r="I928" s="23" t="s">
        <v>88</v>
      </c>
      <c r="J928" s="77">
        <v>67.260000000000005</v>
      </c>
      <c r="K928" s="77">
        <v>73.06</v>
      </c>
      <c r="L928" s="371">
        <v>0.62</v>
      </c>
      <c r="N928" s="365">
        <f t="shared" si="287"/>
        <v>140.94</v>
      </c>
      <c r="O928" s="343">
        <f t="shared" si="288"/>
        <v>67.260000000000005</v>
      </c>
      <c r="P928" s="195">
        <v>12</v>
      </c>
      <c r="Q928" s="326">
        <v>9</v>
      </c>
      <c r="R928" s="111">
        <v>0</v>
      </c>
      <c r="S928" s="51">
        <v>8</v>
      </c>
      <c r="T928" s="339">
        <f t="shared" si="289"/>
        <v>29</v>
      </c>
      <c r="V928" s="371">
        <v>18.25</v>
      </c>
      <c r="W928" s="69">
        <v>6.5</v>
      </c>
      <c r="X928" s="59">
        <v>8.8800000000000008</v>
      </c>
      <c r="Y928" s="14" t="str">
        <f>RTD("money.excel",,"2345","Price")</f>
        <v>無資料</v>
      </c>
      <c r="Z928" s="69"/>
      <c r="AA928" s="16" t="e">
        <f t="shared" si="290"/>
        <v>#VALUE!</v>
      </c>
      <c r="AB928" s="3" t="e">
        <f t="shared" si="291"/>
        <v>#VALUE!</v>
      </c>
      <c r="AC928" s="177" t="s">
        <v>2929</v>
      </c>
      <c r="AD928" s="23" t="s">
        <v>88</v>
      </c>
      <c r="AG928" s="34">
        <f t="shared" si="292"/>
        <v>0</v>
      </c>
      <c r="AH928" s="125" t="s">
        <v>3464</v>
      </c>
      <c r="AI928" s="131"/>
      <c r="AK928" s="66">
        <f t="shared" si="295"/>
        <v>0</v>
      </c>
      <c r="AL928" s="174">
        <f t="shared" si="296"/>
        <v>0</v>
      </c>
      <c r="AM928" s="346">
        <f>RTD("money.excel",,$G928,"PredictVolume")</f>
        <v>0</v>
      </c>
      <c r="AN928" s="272">
        <f>RTD("money.excel",,$G928,"CumulativeVolume")</f>
        <v>0</v>
      </c>
      <c r="AO928" s="284"/>
    </row>
    <row r="929" spans="1:41">
      <c r="A929" s="135" t="s">
        <v>2470</v>
      </c>
      <c r="B929" s="84">
        <v>1</v>
      </c>
      <c r="C929" s="84">
        <v>3</v>
      </c>
      <c r="D929" s="84">
        <v>35</v>
      </c>
      <c r="E929" s="84">
        <v>22</v>
      </c>
      <c r="F929" s="59">
        <v>21.51</v>
      </c>
      <c r="G929" s="85">
        <v>2412</v>
      </c>
      <c r="H929" s="11" t="s">
        <v>563</v>
      </c>
      <c r="I929" s="23" t="s">
        <v>1454</v>
      </c>
      <c r="J929" s="374">
        <v>78.709999999999994</v>
      </c>
      <c r="K929" s="77">
        <v>17.079999999999998</v>
      </c>
      <c r="L929" s="371">
        <v>0.03</v>
      </c>
      <c r="N929" s="365">
        <f t="shared" si="287"/>
        <v>95.82</v>
      </c>
      <c r="O929" s="343">
        <f t="shared" si="288"/>
        <v>78.709999999999994</v>
      </c>
      <c r="P929" s="195">
        <v>8</v>
      </c>
      <c r="Q929" s="326">
        <f>IFERROR(VLOOKUP($G929,主力整理!$A$2:$G$2301,6,0),"0")</f>
        <v>5</v>
      </c>
      <c r="T929" s="339">
        <f t="shared" si="289"/>
        <v>13</v>
      </c>
      <c r="V929" s="371">
        <v>0</v>
      </c>
      <c r="W929" s="230">
        <v>4.3099999999999996</v>
      </c>
      <c r="X929" s="59">
        <v>4.3099999999999996</v>
      </c>
      <c r="Y929" s="37" t="str">
        <f>RTD("money.excel",,"2412","Price")</f>
        <v>無資料</v>
      </c>
      <c r="Z929" s="68"/>
      <c r="AA929" s="16" t="e">
        <f t="shared" si="290"/>
        <v>#VALUE!</v>
      </c>
      <c r="AB929" s="3" t="e">
        <f t="shared" si="291"/>
        <v>#VALUE!</v>
      </c>
      <c r="AC929" s="177" t="s">
        <v>2929</v>
      </c>
      <c r="AD929" s="23" t="s">
        <v>1454</v>
      </c>
      <c r="AG929" s="34">
        <f t="shared" si="292"/>
        <v>0</v>
      </c>
      <c r="AH929" s="126" t="s">
        <v>4095</v>
      </c>
      <c r="AI929" s="131"/>
      <c r="AK929" s="66">
        <f t="shared" si="295"/>
        <v>0</v>
      </c>
      <c r="AL929" s="174">
        <f t="shared" si="296"/>
        <v>0</v>
      </c>
      <c r="AM929" s="346">
        <f>RTD("money.excel",,$G929,"PredictVolume")</f>
        <v>0</v>
      </c>
      <c r="AN929" s="272">
        <f>RTD("money.excel",,$G929,"CumulativeVolume")</f>
        <v>0</v>
      </c>
      <c r="AO929" s="284"/>
    </row>
    <row r="930" spans="1:41">
      <c r="A930" s="151" t="s">
        <v>3323</v>
      </c>
      <c r="B930" s="85">
        <v>-7</v>
      </c>
      <c r="C930" s="85">
        <v>-16</v>
      </c>
      <c r="D930" s="85">
        <v>-30</v>
      </c>
      <c r="E930" s="85">
        <v>-15</v>
      </c>
      <c r="F930" s="7">
        <v>4.18</v>
      </c>
      <c r="G930" s="85">
        <v>2419</v>
      </c>
      <c r="H930" s="54" t="s">
        <v>563</v>
      </c>
      <c r="I930" s="23" t="s">
        <v>991</v>
      </c>
      <c r="J930" s="77">
        <v>72</v>
      </c>
      <c r="K930" s="77">
        <v>4.7</v>
      </c>
      <c r="L930" s="77">
        <v>11.66</v>
      </c>
      <c r="N930" s="365">
        <f t="shared" si="287"/>
        <v>88.36</v>
      </c>
      <c r="O930" s="343">
        <f t="shared" si="288"/>
        <v>72</v>
      </c>
      <c r="P930" s="195" t="s">
        <v>5554</v>
      </c>
      <c r="Q930" s="326" t="str">
        <f>IFERROR(VLOOKUP($G930,主力整理!$A$2:$G$2301,6,0),"0")</f>
        <v>0</v>
      </c>
      <c r="T930" s="339">
        <f t="shared" si="289"/>
        <v>0</v>
      </c>
      <c r="V930" s="371">
        <v>0.2</v>
      </c>
      <c r="W930" s="35">
        <v>1</v>
      </c>
      <c r="X930" s="100">
        <v>0.87</v>
      </c>
      <c r="Y930" s="37" t="str">
        <f>RTD("money.excel",,"2419","Price")</f>
        <v>無資料</v>
      </c>
      <c r="Z930" s="69"/>
      <c r="AA930" s="16" t="e">
        <f t="shared" si="290"/>
        <v>#VALUE!</v>
      </c>
      <c r="AB930" s="3" t="e">
        <f t="shared" si="291"/>
        <v>#VALUE!</v>
      </c>
      <c r="AC930" s="177" t="s">
        <v>2648</v>
      </c>
      <c r="AD930" s="23" t="s">
        <v>991</v>
      </c>
      <c r="AG930" s="34">
        <f t="shared" si="292"/>
        <v>0</v>
      </c>
      <c r="AH930" s="44" t="s">
        <v>4282</v>
      </c>
      <c r="AI930" s="131"/>
      <c r="AK930" s="66">
        <f t="shared" si="295"/>
        <v>0</v>
      </c>
      <c r="AL930" s="174">
        <f t="shared" si="296"/>
        <v>0</v>
      </c>
      <c r="AM930" s="346">
        <f>RTD("money.excel",,$G930,"PredictVolume")</f>
        <v>0</v>
      </c>
      <c r="AN930" s="272">
        <f>RTD("money.excel",,$G930,"CumulativeVolume")</f>
        <v>0</v>
      </c>
      <c r="AO930" s="284"/>
    </row>
    <row r="931" spans="1:41">
      <c r="A931" s="151" t="s">
        <v>2518</v>
      </c>
      <c r="B931" s="85">
        <v>-4</v>
      </c>
      <c r="C931" s="85">
        <v>-41</v>
      </c>
      <c r="D931" s="84">
        <v>22</v>
      </c>
      <c r="E931" s="85">
        <v>-2</v>
      </c>
      <c r="F931" s="7">
        <v>1.5</v>
      </c>
      <c r="G931" s="85">
        <v>2439</v>
      </c>
      <c r="H931" s="54" t="s">
        <v>563</v>
      </c>
      <c r="I931" s="23" t="s">
        <v>385</v>
      </c>
      <c r="J931" s="371">
        <v>25.76</v>
      </c>
      <c r="K931" s="77">
        <v>17.54</v>
      </c>
      <c r="L931" s="371">
        <v>13.06</v>
      </c>
      <c r="M931" s="77">
        <v>8.48</v>
      </c>
      <c r="N931" s="365">
        <f t="shared" si="287"/>
        <v>64.84</v>
      </c>
      <c r="O931" s="343">
        <f t="shared" si="288"/>
        <v>34.24</v>
      </c>
      <c r="P931" s="195">
        <v>23</v>
      </c>
      <c r="Q931" s="326">
        <v>21</v>
      </c>
      <c r="R931" s="111">
        <v>31</v>
      </c>
      <c r="S931" s="51">
        <v>13</v>
      </c>
      <c r="T931" s="339">
        <f t="shared" si="289"/>
        <v>88</v>
      </c>
      <c r="U931" s="329" t="s">
        <v>6538</v>
      </c>
      <c r="V931" s="371">
        <v>5.16</v>
      </c>
      <c r="W931" s="69">
        <v>5.07</v>
      </c>
      <c r="X931" s="100">
        <v>5.63</v>
      </c>
      <c r="Y931" s="37" t="str">
        <f>RTD("money.excel",,"2439","Price")</f>
        <v>無資料</v>
      </c>
      <c r="Z931" s="69"/>
      <c r="AA931" s="16" t="e">
        <f t="shared" si="290"/>
        <v>#VALUE!</v>
      </c>
      <c r="AB931" s="3" t="e">
        <f t="shared" si="291"/>
        <v>#VALUE!</v>
      </c>
      <c r="AC931" s="177" t="s">
        <v>2929</v>
      </c>
      <c r="AD931" s="23" t="s">
        <v>385</v>
      </c>
      <c r="AG931" s="34">
        <f t="shared" si="292"/>
        <v>0</v>
      </c>
      <c r="AH931" s="125" t="s">
        <v>3767</v>
      </c>
      <c r="AI931" s="131"/>
      <c r="AK931" s="66">
        <f t="shared" si="295"/>
        <v>0</v>
      </c>
      <c r="AL931" s="174">
        <f t="shared" si="296"/>
        <v>0</v>
      </c>
      <c r="AM931" s="346">
        <f>RTD("money.excel",,$G931,"PredictVolume")</f>
        <v>0</v>
      </c>
      <c r="AN931" s="272">
        <f>RTD("money.excel",,$G931,"CumulativeVolume")</f>
        <v>0</v>
      </c>
      <c r="AO931" s="284"/>
    </row>
    <row r="932" spans="1:41">
      <c r="A932" s="151" t="s">
        <v>4811</v>
      </c>
      <c r="B932" s="96">
        <v>-152</v>
      </c>
      <c r="C932" s="96">
        <v>-141</v>
      </c>
      <c r="D932" s="96">
        <v>-31</v>
      </c>
      <c r="E932" s="96">
        <v>9</v>
      </c>
      <c r="F932" s="7">
        <v>-7.76</v>
      </c>
      <c r="G932" s="85">
        <v>2444</v>
      </c>
      <c r="H932" s="54" t="s">
        <v>563</v>
      </c>
      <c r="I932" s="23" t="s">
        <v>1734</v>
      </c>
      <c r="J932" s="77">
        <v>30.05</v>
      </c>
      <c r="K932" s="77">
        <v>13.38</v>
      </c>
      <c r="L932" s="77">
        <v>4.0999999999999996</v>
      </c>
      <c r="N932" s="365">
        <f t="shared" si="287"/>
        <v>47.53</v>
      </c>
      <c r="O932" s="343">
        <f t="shared" si="288"/>
        <v>30.05</v>
      </c>
      <c r="P932" s="195" t="s">
        <v>5554</v>
      </c>
      <c r="Q932" s="326" t="str">
        <f>IFERROR(VLOOKUP($G932,主力整理!$A$2:$G$2301,6,0),"0")</f>
        <v>0</v>
      </c>
      <c r="T932" s="339">
        <f t="shared" si="289"/>
        <v>0</v>
      </c>
      <c r="V932" s="371">
        <v>7.37</v>
      </c>
      <c r="W932" s="35">
        <v>0</v>
      </c>
      <c r="X932" s="100">
        <v>-0.93</v>
      </c>
      <c r="Y932" s="37" t="str">
        <f>RTD("money.excel",,"2444","Price")</f>
        <v>無資料</v>
      </c>
      <c r="Z932" s="69"/>
      <c r="AA932" s="16" t="e">
        <f t="shared" si="290"/>
        <v>#VALUE!</v>
      </c>
      <c r="AB932" s="3" t="e">
        <f t="shared" si="291"/>
        <v>#VALUE!</v>
      </c>
      <c r="AD932" s="23" t="s">
        <v>1734</v>
      </c>
      <c r="AG932" s="34">
        <f t="shared" si="292"/>
        <v>0</v>
      </c>
      <c r="AH932" s="44" t="s">
        <v>4283</v>
      </c>
      <c r="AI932" s="284"/>
      <c r="AK932" s="66">
        <f t="shared" si="295"/>
        <v>0</v>
      </c>
      <c r="AL932" s="174">
        <f t="shared" si="296"/>
        <v>0</v>
      </c>
      <c r="AM932" s="346">
        <f>RTD("money.excel",,$G932,"PredictVolume")</f>
        <v>0</v>
      </c>
      <c r="AN932" s="272">
        <f>RTD("money.excel",,$G932,"CumulativeVolume")</f>
        <v>0</v>
      </c>
      <c r="AO932" s="284"/>
    </row>
    <row r="933" spans="1:41">
      <c r="A933" s="151" t="s">
        <v>4812</v>
      </c>
      <c r="B933" s="96">
        <v>-6</v>
      </c>
      <c r="C933" s="96">
        <v>0</v>
      </c>
      <c r="D933" s="96">
        <v>8</v>
      </c>
      <c r="E933" s="96">
        <v>11</v>
      </c>
      <c r="F933" s="7">
        <v>0.14000000000000001</v>
      </c>
      <c r="G933" s="85">
        <v>2450</v>
      </c>
      <c r="H933" s="54" t="s">
        <v>563</v>
      </c>
      <c r="I933" s="23" t="s">
        <v>172</v>
      </c>
      <c r="J933" s="77">
        <v>81.47</v>
      </c>
      <c r="K933" s="77">
        <v>7.27</v>
      </c>
      <c r="L933" s="77">
        <v>0.2</v>
      </c>
      <c r="N933" s="365">
        <f t="shared" si="287"/>
        <v>88.94</v>
      </c>
      <c r="O933" s="343">
        <f t="shared" si="288"/>
        <v>81.47</v>
      </c>
      <c r="P933" s="195" t="s">
        <v>5554</v>
      </c>
      <c r="Q933" s="326" t="str">
        <f>IFERROR(VLOOKUP($G933,主力整理!$A$2:$G$2301,6,0),"0")</f>
        <v>0</v>
      </c>
      <c r="T933" s="339">
        <f t="shared" si="289"/>
        <v>0</v>
      </c>
      <c r="V933" s="371">
        <v>44.03</v>
      </c>
      <c r="W933" s="35">
        <v>1.5</v>
      </c>
      <c r="X933" s="100">
        <v>1.69</v>
      </c>
      <c r="Y933" s="14" t="str">
        <f>RTD("money.excel",,"2450","Price")</f>
        <v>無資料</v>
      </c>
      <c r="Z933" s="69"/>
      <c r="AA933" s="16" t="e">
        <f t="shared" si="290"/>
        <v>#VALUE!</v>
      </c>
      <c r="AB933" s="3" t="e">
        <f t="shared" si="291"/>
        <v>#VALUE!</v>
      </c>
      <c r="AD933" s="23" t="s">
        <v>172</v>
      </c>
      <c r="AG933" s="34">
        <f t="shared" si="292"/>
        <v>0</v>
      </c>
      <c r="AH933" s="125" t="s">
        <v>4284</v>
      </c>
      <c r="AI933" s="131"/>
      <c r="AK933" s="66">
        <f t="shared" si="295"/>
        <v>0</v>
      </c>
      <c r="AL933" s="174">
        <f t="shared" si="296"/>
        <v>0</v>
      </c>
      <c r="AM933" s="346">
        <f>RTD("money.excel",,$G933,"PredictVolume")</f>
        <v>0</v>
      </c>
      <c r="AN933" s="272">
        <f>RTD("money.excel",,$G933,"CumulativeVolume")</f>
        <v>0</v>
      </c>
      <c r="AO933" s="284"/>
    </row>
    <row r="934" spans="1:41">
      <c r="A934" s="135" t="s">
        <v>2913</v>
      </c>
      <c r="B934" s="85">
        <v>-1</v>
      </c>
      <c r="C934" s="84">
        <v>4</v>
      </c>
      <c r="D934" s="84">
        <v>21</v>
      </c>
      <c r="E934" s="84">
        <v>28</v>
      </c>
      <c r="F934" s="59">
        <v>25.71</v>
      </c>
      <c r="G934" s="85">
        <v>2455</v>
      </c>
      <c r="H934" s="54" t="s">
        <v>563</v>
      </c>
      <c r="I934" s="23" t="s">
        <v>324</v>
      </c>
      <c r="J934" s="77">
        <v>44.18</v>
      </c>
      <c r="K934" s="77">
        <v>32.68</v>
      </c>
      <c r="L934" s="77">
        <v>19.23</v>
      </c>
      <c r="N934" s="365">
        <f t="shared" si="287"/>
        <v>96.09</v>
      </c>
      <c r="O934" s="343">
        <f t="shared" si="288"/>
        <v>44.18</v>
      </c>
      <c r="P934" s="195">
        <v>13</v>
      </c>
      <c r="Q934" s="326">
        <f>IFERROR(VLOOKUP($G934,主力整理!$A$2:$G$2301,6,0),"0")</f>
        <v>8</v>
      </c>
      <c r="T934" s="339">
        <f t="shared" si="289"/>
        <v>21</v>
      </c>
      <c r="V934" s="371">
        <v>1.38</v>
      </c>
      <c r="W934" s="35">
        <v>2.59</v>
      </c>
      <c r="X934" s="100">
        <v>2.88</v>
      </c>
      <c r="Y934" s="37" t="str">
        <f>RTD("money.excel",,"2455","Price")</f>
        <v>無資料</v>
      </c>
      <c r="Z934" s="69"/>
      <c r="AA934" s="16" t="e">
        <f t="shared" si="290"/>
        <v>#VALUE!</v>
      </c>
      <c r="AB934" s="3" t="e">
        <f t="shared" si="291"/>
        <v>#VALUE!</v>
      </c>
      <c r="AC934" s="177" t="s">
        <v>2648</v>
      </c>
      <c r="AD934" s="23" t="s">
        <v>324</v>
      </c>
      <c r="AG934" s="34">
        <f t="shared" si="292"/>
        <v>0</v>
      </c>
      <c r="AH934" s="126" t="s">
        <v>3701</v>
      </c>
      <c r="AI934" s="131"/>
      <c r="AK934" s="66">
        <f t="shared" si="295"/>
        <v>0</v>
      </c>
      <c r="AL934" s="174">
        <f t="shared" si="296"/>
        <v>0</v>
      </c>
      <c r="AM934" s="346">
        <f>RTD("money.excel",,$G934,"PredictVolume")</f>
        <v>0</v>
      </c>
      <c r="AN934" s="272">
        <f>RTD("money.excel",,$G934,"CumulativeVolume")</f>
        <v>0</v>
      </c>
      <c r="AO934" s="284"/>
    </row>
    <row r="935" spans="1:41">
      <c r="A935" s="151" t="s">
        <v>3198</v>
      </c>
      <c r="B935" s="85">
        <v>-125</v>
      </c>
      <c r="C935" s="85">
        <v>-136</v>
      </c>
      <c r="D935" s="85">
        <v>-8</v>
      </c>
      <c r="E935" s="84">
        <v>73</v>
      </c>
      <c r="F935" s="7">
        <v>-2.17</v>
      </c>
      <c r="G935" s="85">
        <v>2485</v>
      </c>
      <c r="H935" s="4" t="s">
        <v>563</v>
      </c>
      <c r="I935" s="23" t="s">
        <v>992</v>
      </c>
      <c r="J935" s="77">
        <v>21.47</v>
      </c>
      <c r="K935" s="77">
        <v>6.41</v>
      </c>
      <c r="L935" s="77">
        <v>8.9600000000000009</v>
      </c>
      <c r="N935" s="365">
        <f t="shared" si="287"/>
        <v>36.840000000000003</v>
      </c>
      <c r="O935" s="343">
        <f t="shared" si="288"/>
        <v>21.47</v>
      </c>
      <c r="P935" s="195" t="s">
        <v>5554</v>
      </c>
      <c r="Q935" s="326" t="str">
        <f>IFERROR(VLOOKUP($G935,主力整理!$A$2:$G$2301,6,0),"0")</f>
        <v>0</v>
      </c>
      <c r="T935" s="339">
        <f t="shared" si="289"/>
        <v>0</v>
      </c>
      <c r="V935" s="371">
        <v>0.12</v>
      </c>
      <c r="W935" s="35">
        <v>0</v>
      </c>
      <c r="X935" s="100">
        <v>-0.48</v>
      </c>
      <c r="Y935" s="37" t="str">
        <f>RTD("money.excel",,"2485","Price")</f>
        <v>無資料</v>
      </c>
      <c r="Z935" s="69"/>
      <c r="AA935" s="16" t="e">
        <f t="shared" si="290"/>
        <v>#VALUE!</v>
      </c>
      <c r="AB935" s="3" t="e">
        <f t="shared" si="291"/>
        <v>#VALUE!</v>
      </c>
      <c r="AD935" s="23" t="s">
        <v>992</v>
      </c>
      <c r="AG935" s="34">
        <f t="shared" si="292"/>
        <v>0</v>
      </c>
      <c r="AH935" s="44" t="s">
        <v>3203</v>
      </c>
      <c r="AI935" s="131"/>
      <c r="AK935" s="66">
        <f t="shared" si="295"/>
        <v>0</v>
      </c>
      <c r="AL935" s="174">
        <f t="shared" si="296"/>
        <v>0</v>
      </c>
      <c r="AM935" s="346">
        <f>RTD("money.excel",,$G935,"PredictVolume")</f>
        <v>0</v>
      </c>
      <c r="AN935" s="272">
        <f>RTD("money.excel",,$G935,"CumulativeVolume")</f>
        <v>0</v>
      </c>
      <c r="AO935" s="284"/>
    </row>
    <row r="936" spans="1:41">
      <c r="A936" s="151" t="s">
        <v>2475</v>
      </c>
      <c r="B936" s="84">
        <v>24</v>
      </c>
      <c r="C936" s="84">
        <v>32</v>
      </c>
      <c r="D936" s="84">
        <v>52</v>
      </c>
      <c r="E936" s="85">
        <v>-41</v>
      </c>
      <c r="F936" s="77">
        <v>-131.6</v>
      </c>
      <c r="G936" s="85">
        <v>2498</v>
      </c>
      <c r="H936" s="4" t="s">
        <v>563</v>
      </c>
      <c r="I936" s="23" t="s">
        <v>42</v>
      </c>
      <c r="J936" s="371">
        <v>39.58</v>
      </c>
      <c r="K936" s="371">
        <v>16.510000000000002</v>
      </c>
      <c r="L936" s="371">
        <v>15.99</v>
      </c>
      <c r="N936" s="365">
        <f t="shared" si="287"/>
        <v>72.08</v>
      </c>
      <c r="O936" s="343">
        <f t="shared" si="288"/>
        <v>39.58</v>
      </c>
      <c r="P936" s="195" t="s">
        <v>5554</v>
      </c>
      <c r="Q936" s="326">
        <f>IFERROR(VLOOKUP($G936,主力整理!$A$2:$G$2301,6,0),"0")</f>
        <v>2</v>
      </c>
      <c r="T936" s="339">
        <f t="shared" si="289"/>
        <v>2</v>
      </c>
      <c r="V936" s="371">
        <v>1.39</v>
      </c>
      <c r="W936" s="35">
        <v>0</v>
      </c>
      <c r="X936" s="100">
        <v>-7.27</v>
      </c>
      <c r="Y936" s="37" t="str">
        <f>RTD("money.excel",,"2498","Price")</f>
        <v>無資料</v>
      </c>
      <c r="Z936" s="69"/>
      <c r="AA936" s="16" t="e">
        <f t="shared" si="290"/>
        <v>#VALUE!</v>
      </c>
      <c r="AB936" s="3" t="e">
        <f t="shared" si="291"/>
        <v>#VALUE!</v>
      </c>
      <c r="AD936" s="23" t="s">
        <v>42</v>
      </c>
      <c r="AG936" s="34">
        <f t="shared" si="292"/>
        <v>0</v>
      </c>
      <c r="AH936" s="125" t="s">
        <v>4285</v>
      </c>
      <c r="AI936" s="131"/>
      <c r="AK936" s="66">
        <f t="shared" si="295"/>
        <v>0</v>
      </c>
      <c r="AL936" s="174">
        <f t="shared" si="296"/>
        <v>0</v>
      </c>
      <c r="AM936" s="346">
        <f>RTD("money.excel",,$G936,"PredictVolume")</f>
        <v>0</v>
      </c>
      <c r="AN936" s="272">
        <f>RTD("money.excel",,$G936,"CumulativeVolume")</f>
        <v>0</v>
      </c>
      <c r="AO936" s="284"/>
    </row>
    <row r="937" spans="1:41">
      <c r="A937" s="151" t="s">
        <v>2591</v>
      </c>
      <c r="B937" s="85">
        <v>-113</v>
      </c>
      <c r="C937" s="85">
        <v>-110</v>
      </c>
      <c r="D937" s="85">
        <v>-16</v>
      </c>
      <c r="E937" s="85">
        <v>-26</v>
      </c>
      <c r="F937" s="7">
        <v>-1.9</v>
      </c>
      <c r="G937" s="85">
        <v>3025</v>
      </c>
      <c r="H937" s="4" t="s">
        <v>563</v>
      </c>
      <c r="I937" s="23" t="s">
        <v>994</v>
      </c>
      <c r="J937" s="77">
        <v>18.989999999999998</v>
      </c>
      <c r="K937" s="371">
        <v>1.94</v>
      </c>
      <c r="L937" s="77">
        <v>28.76</v>
      </c>
      <c r="M937" s="371">
        <v>13.57</v>
      </c>
      <c r="N937" s="365">
        <f t="shared" si="287"/>
        <v>63.26</v>
      </c>
      <c r="O937" s="343">
        <f t="shared" si="288"/>
        <v>32.56</v>
      </c>
      <c r="P937" s="195">
        <v>2</v>
      </c>
      <c r="Q937" s="326">
        <v>4</v>
      </c>
      <c r="R937" s="111">
        <v>23</v>
      </c>
      <c r="S937" s="51">
        <v>27</v>
      </c>
      <c r="T937" s="339">
        <f t="shared" si="289"/>
        <v>56</v>
      </c>
      <c r="U937" s="329" t="s">
        <v>6538</v>
      </c>
      <c r="V937" s="371">
        <v>2.14</v>
      </c>
      <c r="W937" s="35">
        <v>1</v>
      </c>
      <c r="X937" s="100">
        <v>1.1100000000000001</v>
      </c>
      <c r="Y937" s="37" t="str">
        <f>RTD("money.excel",,"3025","Price")</f>
        <v>無資料</v>
      </c>
      <c r="Z937" s="69"/>
      <c r="AA937" s="16" t="e">
        <f t="shared" si="290"/>
        <v>#VALUE!</v>
      </c>
      <c r="AB937" s="3" t="e">
        <f t="shared" si="291"/>
        <v>#VALUE!</v>
      </c>
      <c r="AC937" s="177" t="s">
        <v>2648</v>
      </c>
      <c r="AD937" s="23" t="s">
        <v>994</v>
      </c>
      <c r="AG937" s="34">
        <f t="shared" si="292"/>
        <v>0</v>
      </c>
      <c r="AH937" s="44" t="s">
        <v>3367</v>
      </c>
      <c r="AK937" s="66">
        <f t="shared" si="295"/>
        <v>0</v>
      </c>
      <c r="AL937" s="174">
        <f t="shared" si="296"/>
        <v>0</v>
      </c>
      <c r="AM937" s="346">
        <f>RTD("money.excel",,$G937,"PredictVolume")</f>
        <v>0</v>
      </c>
      <c r="AN937" s="272">
        <f>RTD("money.excel",,$G937,"CumulativeVolume")</f>
        <v>0</v>
      </c>
    </row>
    <row r="938" spans="1:41">
      <c r="A938" s="151" t="s">
        <v>2343</v>
      </c>
      <c r="B938" s="84">
        <v>67</v>
      </c>
      <c r="C938" s="85">
        <v>-2191</v>
      </c>
      <c r="D938" s="84">
        <v>2</v>
      </c>
      <c r="E938" s="85">
        <v>-28</v>
      </c>
      <c r="F938" s="7">
        <v>-3.1</v>
      </c>
      <c r="G938" s="85">
        <v>3027</v>
      </c>
      <c r="H938" s="4" t="s">
        <v>563</v>
      </c>
      <c r="I938" s="23" t="s">
        <v>995</v>
      </c>
      <c r="J938" s="77">
        <v>34.700000000000003</v>
      </c>
      <c r="K938" s="371">
        <v>0.22</v>
      </c>
      <c r="L938" s="77">
        <v>12.63</v>
      </c>
      <c r="N938" s="365">
        <f t="shared" si="287"/>
        <v>47.550000000000004</v>
      </c>
      <c r="O938" s="343">
        <f t="shared" si="288"/>
        <v>34.700000000000003</v>
      </c>
      <c r="P938" s="195" t="s">
        <v>5554</v>
      </c>
      <c r="Q938" s="326" t="str">
        <f>IFERROR(VLOOKUP($G938,主力整理!$A$2:$G$2301,6,0),"0")</f>
        <v>0</v>
      </c>
      <c r="T938" s="339">
        <f t="shared" si="289"/>
        <v>0</v>
      </c>
      <c r="V938" s="371">
        <v>17.670000000000002</v>
      </c>
      <c r="W938" s="35">
        <v>0</v>
      </c>
      <c r="X938" s="100">
        <v>0.32</v>
      </c>
      <c r="Y938" s="37" t="str">
        <f>RTD("money.excel",,"3027","Price")</f>
        <v>無資料</v>
      </c>
      <c r="Z938" s="69"/>
      <c r="AA938" s="16" t="e">
        <f t="shared" si="290"/>
        <v>#VALUE!</v>
      </c>
      <c r="AB938" s="3" t="e">
        <f t="shared" si="291"/>
        <v>#VALUE!</v>
      </c>
      <c r="AC938" s="177" t="s">
        <v>2648</v>
      </c>
      <c r="AD938" s="23" t="s">
        <v>995</v>
      </c>
      <c r="AG938" s="34">
        <f t="shared" si="292"/>
        <v>0</v>
      </c>
      <c r="AH938" s="44" t="s">
        <v>4286</v>
      </c>
      <c r="AI938" s="131"/>
      <c r="AK938" s="66">
        <f t="shared" si="295"/>
        <v>0</v>
      </c>
      <c r="AL938" s="174">
        <f t="shared" si="296"/>
        <v>0</v>
      </c>
      <c r="AM938" s="346">
        <f>RTD("money.excel",,$G938,"PredictVolume")</f>
        <v>0</v>
      </c>
      <c r="AN938" s="272">
        <f>RTD("money.excel",,$G938,"CumulativeVolume")</f>
        <v>0</v>
      </c>
      <c r="AO938" s="284"/>
    </row>
    <row r="939" spans="1:41">
      <c r="A939" s="135" t="s">
        <v>3243</v>
      </c>
      <c r="B939" s="85">
        <v>-1</v>
      </c>
      <c r="C939" s="85">
        <v>-2</v>
      </c>
      <c r="D939" s="85">
        <v>-16</v>
      </c>
      <c r="E939" s="84">
        <v>14</v>
      </c>
      <c r="F939" s="59">
        <v>13.19</v>
      </c>
      <c r="G939" s="85">
        <v>3045</v>
      </c>
      <c r="H939" s="4" t="s">
        <v>563</v>
      </c>
      <c r="I939" s="23" t="s">
        <v>17</v>
      </c>
      <c r="J939" s="371">
        <v>88.21</v>
      </c>
      <c r="K939" s="77">
        <v>16.47</v>
      </c>
      <c r="L939" s="371">
        <v>7.0000000000000007E-2</v>
      </c>
      <c r="N939" s="365">
        <f t="shared" si="287"/>
        <v>104.74999999999999</v>
      </c>
      <c r="O939" s="343">
        <f t="shared" si="288"/>
        <v>88.21</v>
      </c>
      <c r="P939" s="195">
        <v>2</v>
      </c>
      <c r="Q939" s="326">
        <f>IFERROR(VLOOKUP($G939,主力整理!$A$2:$G$2301,6,0),"0")</f>
        <v>14</v>
      </c>
      <c r="T939" s="339">
        <f t="shared" si="289"/>
        <v>16</v>
      </c>
      <c r="V939" s="371">
        <v>0</v>
      </c>
      <c r="W939" s="69">
        <v>4.75</v>
      </c>
      <c r="X939" s="59">
        <v>4.01</v>
      </c>
      <c r="Y939" s="37" t="str">
        <f>RTD("money.excel",,"3045","Price")</f>
        <v>無資料</v>
      </c>
      <c r="Z939" s="69"/>
      <c r="AA939" s="16" t="e">
        <f t="shared" si="290"/>
        <v>#VALUE!</v>
      </c>
      <c r="AB939" s="3" t="e">
        <f t="shared" si="291"/>
        <v>#VALUE!</v>
      </c>
      <c r="AC939" s="177" t="s">
        <v>2929</v>
      </c>
      <c r="AD939" s="23" t="s">
        <v>17</v>
      </c>
      <c r="AG939" s="34">
        <f t="shared" si="292"/>
        <v>0</v>
      </c>
      <c r="AH939" s="126" t="s">
        <v>4096</v>
      </c>
      <c r="AI939" s="131"/>
      <c r="AK939" s="66">
        <f t="shared" si="295"/>
        <v>0</v>
      </c>
      <c r="AL939" s="174">
        <f t="shared" si="296"/>
        <v>0</v>
      </c>
      <c r="AM939" s="346">
        <f>RTD("money.excel",,$G939,"PredictVolume")</f>
        <v>0</v>
      </c>
      <c r="AN939" s="272">
        <f>RTD("money.excel",,$G939,"CumulativeVolume")</f>
        <v>0</v>
      </c>
      <c r="AO939" s="284"/>
    </row>
    <row r="940" spans="1:41">
      <c r="A940" s="151" t="s">
        <v>2408</v>
      </c>
      <c r="B940" s="85">
        <v>-126</v>
      </c>
      <c r="C940" s="85">
        <v>-105</v>
      </c>
      <c r="D940" s="84">
        <v>13</v>
      </c>
      <c r="E940" s="85">
        <v>-4</v>
      </c>
      <c r="F940" s="7">
        <v>-0.5</v>
      </c>
      <c r="G940" s="85">
        <v>3047</v>
      </c>
      <c r="H940" s="4" t="s">
        <v>563</v>
      </c>
      <c r="I940" s="23" t="s">
        <v>996</v>
      </c>
      <c r="J940" s="371">
        <v>21.52</v>
      </c>
      <c r="K940" s="371">
        <v>4.13</v>
      </c>
      <c r="L940" s="77">
        <v>18.350000000000001</v>
      </c>
      <c r="M940" s="371">
        <v>7.22</v>
      </c>
      <c r="N940" s="365">
        <f t="shared" si="287"/>
        <v>51.22</v>
      </c>
      <c r="O940" s="343">
        <f t="shared" si="288"/>
        <v>28.74</v>
      </c>
      <c r="P940" s="195">
        <v>0</v>
      </c>
      <c r="Q940" s="326">
        <v>3</v>
      </c>
      <c r="R940" s="111">
        <v>9</v>
      </c>
      <c r="S940" s="51">
        <v>6</v>
      </c>
      <c r="T940" s="339">
        <f t="shared" si="289"/>
        <v>18</v>
      </c>
      <c r="U940" s="329" t="s">
        <v>6539</v>
      </c>
      <c r="V940" s="371">
        <v>2.17</v>
      </c>
      <c r="W940" s="35">
        <v>0.28999999999999998</v>
      </c>
      <c r="X940" s="100">
        <v>-0.27</v>
      </c>
      <c r="Y940" s="37" t="str">
        <f>RTD("money.excel",,"3047","Price")</f>
        <v>無資料</v>
      </c>
      <c r="Z940" s="69"/>
      <c r="AA940" s="16" t="e">
        <f t="shared" si="290"/>
        <v>#VALUE!</v>
      </c>
      <c r="AB940" s="3" t="e">
        <f t="shared" si="291"/>
        <v>#VALUE!</v>
      </c>
      <c r="AC940" s="177" t="s">
        <v>2648</v>
      </c>
      <c r="AD940" s="23" t="s">
        <v>996</v>
      </c>
      <c r="AG940" s="34">
        <f t="shared" si="292"/>
        <v>0</v>
      </c>
      <c r="AH940" s="44" t="s">
        <v>2163</v>
      </c>
      <c r="AI940" s="131"/>
      <c r="AK940" s="66">
        <f t="shared" si="295"/>
        <v>0</v>
      </c>
      <c r="AL940" s="174">
        <f t="shared" si="296"/>
        <v>0</v>
      </c>
      <c r="AM940" s="346">
        <f>RTD("money.excel",,$G940,"PredictVolume")</f>
        <v>0</v>
      </c>
      <c r="AN940" s="272">
        <f>RTD("money.excel",,$G940,"CumulativeVolume")</f>
        <v>0</v>
      </c>
      <c r="AO940" s="284"/>
    </row>
    <row r="941" spans="1:41">
      <c r="A941" s="151" t="s">
        <v>2856</v>
      </c>
      <c r="B941" s="85">
        <v>-102</v>
      </c>
      <c r="C941" s="85">
        <v>-928</v>
      </c>
      <c r="D941" s="85">
        <v>-1</v>
      </c>
      <c r="E941" s="85">
        <v>-13</v>
      </c>
      <c r="F941" s="7">
        <v>-2.83</v>
      </c>
      <c r="G941" s="85">
        <v>3062</v>
      </c>
      <c r="H941" s="4" t="s">
        <v>563</v>
      </c>
      <c r="I941" s="23" t="s">
        <v>431</v>
      </c>
      <c r="J941" s="77">
        <v>37.200000000000003</v>
      </c>
      <c r="K941" s="371">
        <v>11.26</v>
      </c>
      <c r="L941" s="77">
        <v>10.050000000000001</v>
      </c>
      <c r="N941" s="365">
        <f t="shared" si="287"/>
        <v>58.510000000000005</v>
      </c>
      <c r="O941" s="343">
        <f t="shared" si="288"/>
        <v>37.200000000000003</v>
      </c>
      <c r="P941" s="195">
        <v>1</v>
      </c>
      <c r="Q941" s="326">
        <f>IFERROR(VLOOKUP($G941,主力整理!$A$2:$G$2301,6,0),"0")</f>
        <v>4</v>
      </c>
      <c r="T941" s="339">
        <f t="shared" si="289"/>
        <v>5</v>
      </c>
      <c r="V941" s="371">
        <v>0.03</v>
      </c>
      <c r="W941" s="35">
        <v>0.15</v>
      </c>
      <c r="X941" s="100">
        <v>7.0000000000000007E-2</v>
      </c>
      <c r="Y941" s="37" t="str">
        <f>RTD("money.excel",,"3062","Price")</f>
        <v>無資料</v>
      </c>
      <c r="Z941" s="69"/>
      <c r="AA941" s="16" t="e">
        <f t="shared" si="290"/>
        <v>#VALUE!</v>
      </c>
      <c r="AB941" s="3" t="e">
        <f t="shared" si="291"/>
        <v>#VALUE!</v>
      </c>
      <c r="AC941" s="177" t="s">
        <v>2648</v>
      </c>
      <c r="AD941" s="23" t="s">
        <v>431</v>
      </c>
      <c r="AG941" s="34">
        <f t="shared" si="292"/>
        <v>0</v>
      </c>
      <c r="AH941" s="125" t="s">
        <v>3159</v>
      </c>
      <c r="AI941" s="131"/>
      <c r="AK941" s="66">
        <f t="shared" si="295"/>
        <v>0</v>
      </c>
      <c r="AL941" s="174">
        <f t="shared" si="296"/>
        <v>0</v>
      </c>
      <c r="AM941" s="346">
        <f>RTD("money.excel",,$G941,"PredictVolume")</f>
        <v>0</v>
      </c>
      <c r="AN941" s="272">
        <f>RTD("money.excel",,$G941,"CumulativeVolume")</f>
        <v>0</v>
      </c>
      <c r="AO941" s="284"/>
    </row>
    <row r="942" spans="1:41">
      <c r="A942" s="135" t="s">
        <v>3271</v>
      </c>
      <c r="B942" s="84">
        <v>60</v>
      </c>
      <c r="C942" s="84">
        <v>63</v>
      </c>
      <c r="D942" s="84">
        <v>14</v>
      </c>
      <c r="E942" s="85">
        <v>-21</v>
      </c>
      <c r="F942" s="59">
        <v>32.92</v>
      </c>
      <c r="G942" s="85">
        <v>3081</v>
      </c>
      <c r="H942" s="55" t="s">
        <v>563</v>
      </c>
      <c r="I942" s="17" t="s">
        <v>394</v>
      </c>
      <c r="J942" s="77">
        <v>47.36</v>
      </c>
      <c r="K942" s="371">
        <v>50.43</v>
      </c>
      <c r="L942" s="371">
        <v>11.65</v>
      </c>
      <c r="N942" s="365">
        <f t="shared" si="287"/>
        <v>109.44</v>
      </c>
      <c r="O942" s="343">
        <f t="shared" si="288"/>
        <v>47.36</v>
      </c>
      <c r="P942" s="195">
        <v>1</v>
      </c>
      <c r="Q942" s="326" t="str">
        <f>IFERROR(VLOOKUP($G942,主力整理!$A$2:$G$2301,6,0),"0")</f>
        <v>0</v>
      </c>
      <c r="R942" s="111">
        <v>4</v>
      </c>
      <c r="S942" s="51">
        <v>12</v>
      </c>
      <c r="T942" s="339">
        <f t="shared" si="289"/>
        <v>17</v>
      </c>
      <c r="V942" s="371">
        <v>2.1</v>
      </c>
      <c r="W942" s="69">
        <v>5</v>
      </c>
      <c r="X942" s="100">
        <v>7.74</v>
      </c>
      <c r="Y942" s="14" t="str">
        <f>RTD("money.excel",,"3081","Price")</f>
        <v>無資料</v>
      </c>
      <c r="Z942" s="69"/>
      <c r="AA942" s="16" t="e">
        <f t="shared" si="290"/>
        <v>#VALUE!</v>
      </c>
      <c r="AB942" s="3" t="e">
        <f t="shared" si="291"/>
        <v>#VALUE!</v>
      </c>
      <c r="AC942" s="177" t="s">
        <v>2929</v>
      </c>
      <c r="AD942" s="17" t="s">
        <v>394</v>
      </c>
      <c r="AG942" s="34">
        <f t="shared" si="292"/>
        <v>0</v>
      </c>
      <c r="AH942" s="126" t="s">
        <v>4590</v>
      </c>
      <c r="AI942" s="131"/>
      <c r="AK942" s="66">
        <f t="shared" si="295"/>
        <v>0</v>
      </c>
      <c r="AL942" s="174">
        <f t="shared" si="296"/>
        <v>0</v>
      </c>
      <c r="AM942" s="346">
        <f>RTD("money.excel",,$G942,"PredictVolume")</f>
        <v>0</v>
      </c>
      <c r="AN942" s="272">
        <f>RTD("money.excel",,$G942,"CumulativeVolume")</f>
        <v>0</v>
      </c>
      <c r="AO942" s="284"/>
    </row>
    <row r="943" spans="1:41">
      <c r="A943" s="151" t="s">
        <v>4648</v>
      </c>
      <c r="B943" s="96">
        <v>-281</v>
      </c>
      <c r="C943" s="96">
        <v>-269</v>
      </c>
      <c r="D943" s="96">
        <v>7</v>
      </c>
      <c r="E943" s="96">
        <v>4</v>
      </c>
      <c r="F943" s="7">
        <v>-11.85</v>
      </c>
      <c r="G943" s="85">
        <v>3095</v>
      </c>
      <c r="H943" s="4" t="s">
        <v>563</v>
      </c>
      <c r="I943" s="17" t="s">
        <v>955</v>
      </c>
      <c r="J943" s="77">
        <v>45.56</v>
      </c>
      <c r="K943" s="77">
        <v>4.49</v>
      </c>
      <c r="N943" s="365">
        <f t="shared" si="287"/>
        <v>50.050000000000004</v>
      </c>
      <c r="O943" s="343">
        <f t="shared" si="288"/>
        <v>45.56</v>
      </c>
      <c r="P943" s="195" t="s">
        <v>5554</v>
      </c>
      <c r="Q943" s="326" t="str">
        <f>IFERROR(VLOOKUP($G943,主力整理!$A$2:$G$2301,6,0),"0")</f>
        <v>0</v>
      </c>
      <c r="T943" s="339">
        <f t="shared" si="289"/>
        <v>0</v>
      </c>
      <c r="V943" s="371">
        <v>27.02</v>
      </c>
      <c r="W943" s="35">
        <v>0</v>
      </c>
      <c r="X943" s="100">
        <v>-0.6</v>
      </c>
      <c r="Y943" s="37" t="str">
        <f>RTD("money.excel",,"3095","Price")</f>
        <v>無資料</v>
      </c>
      <c r="Z943" s="69"/>
      <c r="AA943" s="16" t="e">
        <f t="shared" si="290"/>
        <v>#VALUE!</v>
      </c>
      <c r="AB943" s="3" t="e">
        <f t="shared" si="291"/>
        <v>#VALUE!</v>
      </c>
      <c r="AD943" s="17" t="s">
        <v>955</v>
      </c>
      <c r="AG943" s="34">
        <f t="shared" si="292"/>
        <v>0</v>
      </c>
      <c r="AH943" s="44" t="s">
        <v>4067</v>
      </c>
      <c r="AI943" s="131"/>
      <c r="AK943" s="66">
        <f t="shared" si="295"/>
        <v>0</v>
      </c>
      <c r="AL943" s="174">
        <f t="shared" si="296"/>
        <v>0</v>
      </c>
      <c r="AM943" s="346">
        <f>RTD("money.excel",,$G943,"PredictVolume")</f>
        <v>0</v>
      </c>
      <c r="AN943" s="272">
        <f>RTD("money.excel",,$G943,"CumulativeVolume")</f>
        <v>0</v>
      </c>
      <c r="AO943" s="284"/>
    </row>
    <row r="944" spans="1:41">
      <c r="A944" s="135" t="s">
        <v>4697</v>
      </c>
      <c r="B944" s="84">
        <v>33</v>
      </c>
      <c r="C944" s="84">
        <v>43</v>
      </c>
      <c r="D944" s="85">
        <v>-9</v>
      </c>
      <c r="E944" s="84">
        <v>6</v>
      </c>
      <c r="F944" s="59">
        <v>10.64</v>
      </c>
      <c r="G944" s="85">
        <v>3138</v>
      </c>
      <c r="H944" s="4" t="s">
        <v>563</v>
      </c>
      <c r="I944" s="23" t="s">
        <v>3372</v>
      </c>
      <c r="J944" s="371">
        <v>21.5</v>
      </c>
      <c r="K944" s="77">
        <v>0.68</v>
      </c>
      <c r="L944" s="371"/>
      <c r="N944" s="365">
        <f t="shared" si="287"/>
        <v>22.18</v>
      </c>
      <c r="O944" s="343">
        <f t="shared" si="288"/>
        <v>21.5</v>
      </c>
      <c r="P944" s="195">
        <v>1</v>
      </c>
      <c r="Q944" s="326" t="str">
        <f>IFERROR(VLOOKUP($G944,主力整理!$A$2:$G$2301,6,0),"0")</f>
        <v>0</v>
      </c>
      <c r="R944" s="111">
        <v>31</v>
      </c>
      <c r="S944" s="51">
        <v>0</v>
      </c>
      <c r="T944" s="339">
        <f t="shared" si="289"/>
        <v>32</v>
      </c>
      <c r="W944" s="35">
        <v>1.6</v>
      </c>
      <c r="X944" s="100">
        <v>2.78</v>
      </c>
      <c r="Y944" s="37" t="str">
        <f>RTD("money.excel",,"3138","Price")</f>
        <v>無資料</v>
      </c>
      <c r="Z944" s="69"/>
      <c r="AA944" s="16" t="e">
        <f t="shared" si="290"/>
        <v>#VALUE!</v>
      </c>
      <c r="AB944" s="3" t="e">
        <f t="shared" si="291"/>
        <v>#VALUE!</v>
      </c>
      <c r="AC944" s="177" t="s">
        <v>2648</v>
      </c>
      <c r="AD944" s="23" t="s">
        <v>3372</v>
      </c>
      <c r="AG944" s="34">
        <f t="shared" si="292"/>
        <v>0</v>
      </c>
      <c r="AH944" s="126" t="s">
        <v>4287</v>
      </c>
      <c r="AI944" s="131"/>
      <c r="AK944" s="66">
        <f t="shared" si="295"/>
        <v>0</v>
      </c>
      <c r="AL944" s="174">
        <f t="shared" si="296"/>
        <v>0</v>
      </c>
      <c r="AM944" s="346">
        <f>RTD("money.excel",,$G944,"PredictVolume")</f>
        <v>0</v>
      </c>
      <c r="AN944" s="272">
        <f>RTD("money.excel",,$G944,"CumulativeVolume")</f>
        <v>0</v>
      </c>
      <c r="AO944" s="284"/>
    </row>
    <row r="945" spans="1:41">
      <c r="A945" s="135" t="s">
        <v>3338</v>
      </c>
      <c r="B945" s="84">
        <v>57</v>
      </c>
      <c r="C945" s="84">
        <v>59</v>
      </c>
      <c r="D945" s="85">
        <v>-13</v>
      </c>
      <c r="E945" s="85">
        <v>-18</v>
      </c>
      <c r="F945" s="59">
        <v>50.9</v>
      </c>
      <c r="G945" s="85">
        <v>3152</v>
      </c>
      <c r="H945" s="55" t="s">
        <v>563</v>
      </c>
      <c r="I945" s="17" t="s">
        <v>395</v>
      </c>
      <c r="J945" s="77">
        <v>67.930000000000007</v>
      </c>
      <c r="K945" s="371">
        <v>10.39</v>
      </c>
      <c r="L945" s="77">
        <v>2.52</v>
      </c>
      <c r="M945" s="77">
        <v>47.18</v>
      </c>
      <c r="N945" s="365">
        <f t="shared" si="287"/>
        <v>128.02000000000001</v>
      </c>
      <c r="O945" s="369">
        <f t="shared" si="288"/>
        <v>115.11000000000001</v>
      </c>
      <c r="P945" s="195">
        <v>16</v>
      </c>
      <c r="Q945" s="326">
        <v>1</v>
      </c>
      <c r="R945" s="111">
        <v>10</v>
      </c>
      <c r="S945" s="51">
        <v>18</v>
      </c>
      <c r="T945" s="339">
        <f t="shared" si="289"/>
        <v>45</v>
      </c>
      <c r="U945" s="329" t="s">
        <v>6540</v>
      </c>
      <c r="V945" s="371">
        <v>2.36</v>
      </c>
      <c r="W945" s="69">
        <v>10.8</v>
      </c>
      <c r="X945" s="59">
        <v>16.89</v>
      </c>
      <c r="Y945" s="37" t="str">
        <f>RTD("money.excel",,"3152","Price")</f>
        <v>無資料</v>
      </c>
      <c r="Z945" s="69"/>
      <c r="AA945" s="16" t="e">
        <f t="shared" si="290"/>
        <v>#VALUE!</v>
      </c>
      <c r="AB945" s="3" t="e">
        <f t="shared" si="291"/>
        <v>#VALUE!</v>
      </c>
      <c r="AC945" s="177" t="s">
        <v>2929</v>
      </c>
      <c r="AD945" s="17" t="s">
        <v>395</v>
      </c>
      <c r="AG945" s="34">
        <f t="shared" si="292"/>
        <v>0</v>
      </c>
      <c r="AH945" s="126" t="s">
        <v>4932</v>
      </c>
      <c r="AI945" s="131"/>
      <c r="AK945" s="66">
        <f t="shared" si="295"/>
        <v>0</v>
      </c>
      <c r="AL945" s="174">
        <f t="shared" si="296"/>
        <v>0</v>
      </c>
      <c r="AM945" s="346">
        <f>RTD("money.excel",,$G945,"PredictVolume")</f>
        <v>0</v>
      </c>
      <c r="AN945" s="272">
        <f>RTD("money.excel",,$G945,"CumulativeVolume")</f>
        <v>0</v>
      </c>
      <c r="AO945" s="284"/>
    </row>
    <row r="946" spans="1:41">
      <c r="A946" s="151" t="s">
        <v>2346</v>
      </c>
      <c r="B946" s="85">
        <v>-88</v>
      </c>
      <c r="C946" s="85">
        <v>-86</v>
      </c>
      <c r="D946" s="85">
        <v>-4</v>
      </c>
      <c r="E946" s="85">
        <v>-17</v>
      </c>
      <c r="F946" s="7">
        <v>3.08</v>
      </c>
      <c r="G946" s="85">
        <v>3163</v>
      </c>
      <c r="H946" s="4" t="s">
        <v>563</v>
      </c>
      <c r="I946" s="17" t="s">
        <v>956</v>
      </c>
      <c r="J946" s="77">
        <v>15.24</v>
      </c>
      <c r="K946" s="77">
        <v>4.93</v>
      </c>
      <c r="L946" s="77">
        <v>24.64</v>
      </c>
      <c r="M946" s="371">
        <v>11.42</v>
      </c>
      <c r="N946" s="365">
        <f t="shared" si="287"/>
        <v>56.230000000000004</v>
      </c>
      <c r="O946" s="343">
        <f t="shared" si="288"/>
        <v>26.66</v>
      </c>
      <c r="P946" s="195">
        <v>1</v>
      </c>
      <c r="Q946" s="326">
        <v>2</v>
      </c>
      <c r="R946" s="111">
        <v>11</v>
      </c>
      <c r="S946" s="51">
        <v>6</v>
      </c>
      <c r="T946" s="339">
        <f t="shared" si="289"/>
        <v>20</v>
      </c>
      <c r="U946" s="329" t="s">
        <v>6540</v>
      </c>
      <c r="V946" s="371">
        <v>1.41</v>
      </c>
      <c r="W946" s="35">
        <v>2.5</v>
      </c>
      <c r="X946" s="100">
        <v>0.67</v>
      </c>
      <c r="Y946" s="37" t="str">
        <f>RTD("money.excel",,"3163","Price")</f>
        <v>無資料</v>
      </c>
      <c r="Z946" s="69"/>
      <c r="AA946" s="16" t="e">
        <f t="shared" si="290"/>
        <v>#VALUE!</v>
      </c>
      <c r="AB946" s="3" t="e">
        <f t="shared" si="291"/>
        <v>#VALUE!</v>
      </c>
      <c r="AC946" s="177" t="s">
        <v>2648</v>
      </c>
      <c r="AD946" s="17" t="s">
        <v>956</v>
      </c>
      <c r="AG946" s="34">
        <f t="shared" si="292"/>
        <v>0</v>
      </c>
      <c r="AH946" s="44" t="s">
        <v>3722</v>
      </c>
      <c r="AI946" s="131"/>
      <c r="AK946" s="66">
        <f t="shared" si="295"/>
        <v>0</v>
      </c>
      <c r="AL946" s="174">
        <f t="shared" si="296"/>
        <v>0</v>
      </c>
      <c r="AM946" s="346">
        <f>RTD("money.excel",,$G946,"PredictVolume")</f>
        <v>0</v>
      </c>
      <c r="AN946" s="272">
        <f>RTD("money.excel",,$G946,"CumulativeVolume")</f>
        <v>0</v>
      </c>
      <c r="AO946" s="284"/>
    </row>
    <row r="947" spans="1:41">
      <c r="A947" s="151" t="s">
        <v>2555</v>
      </c>
      <c r="B947" s="96">
        <v>-112</v>
      </c>
      <c r="C947" s="96">
        <v>-50</v>
      </c>
      <c r="D947" s="96">
        <v>24</v>
      </c>
      <c r="E947" s="96">
        <v>26</v>
      </c>
      <c r="F947" s="7">
        <v>2.57</v>
      </c>
      <c r="G947" s="85">
        <v>3221</v>
      </c>
      <c r="H947" s="4" t="s">
        <v>563</v>
      </c>
      <c r="I947" s="17" t="s">
        <v>594</v>
      </c>
      <c r="J947" s="371">
        <v>45.79</v>
      </c>
      <c r="K947" s="371">
        <v>4.37</v>
      </c>
      <c r="L947" s="77">
        <v>32.880000000000003</v>
      </c>
      <c r="N947" s="365">
        <f t="shared" si="287"/>
        <v>83.039999999999992</v>
      </c>
      <c r="O947" s="343">
        <f t="shared" si="288"/>
        <v>45.79</v>
      </c>
      <c r="P947" s="195">
        <v>1</v>
      </c>
      <c r="Q947" s="326">
        <f>IFERROR(VLOOKUP($G947,主力整理!$A$2:$G$2301,6,0),"0")</f>
        <v>5</v>
      </c>
      <c r="T947" s="339">
        <f t="shared" si="289"/>
        <v>6</v>
      </c>
      <c r="V947" s="371">
        <v>17.43</v>
      </c>
      <c r="W947" s="35">
        <v>0.2</v>
      </c>
      <c r="X947" s="100">
        <v>-0.69</v>
      </c>
      <c r="Y947" s="37" t="str">
        <f>RTD("money.excel",,"3221","Price")</f>
        <v>無資料</v>
      </c>
      <c r="Z947" s="69"/>
      <c r="AA947" s="16" t="e">
        <f t="shared" si="290"/>
        <v>#VALUE!</v>
      </c>
      <c r="AB947" s="3" t="e">
        <f t="shared" si="291"/>
        <v>#VALUE!</v>
      </c>
      <c r="AC947" s="177" t="s">
        <v>2648</v>
      </c>
      <c r="AD947" s="17" t="s">
        <v>594</v>
      </c>
      <c r="AG947" s="34">
        <f t="shared" si="292"/>
        <v>0</v>
      </c>
      <c r="AH947" s="44" t="s">
        <v>4125</v>
      </c>
      <c r="AI947" s="131"/>
      <c r="AK947" s="66">
        <f t="shared" si="295"/>
        <v>0</v>
      </c>
      <c r="AL947" s="174">
        <f t="shared" si="296"/>
        <v>0</v>
      </c>
      <c r="AM947" s="346">
        <f>RTD("money.excel",,$G947,"PredictVolume")</f>
        <v>0</v>
      </c>
      <c r="AN947" s="272">
        <f>RTD("money.excel",,$G947,"CumulativeVolume")</f>
        <v>0</v>
      </c>
      <c r="AO947" s="284"/>
    </row>
    <row r="948" spans="1:41">
      <c r="A948" s="151" t="s">
        <v>2504</v>
      </c>
      <c r="B948" s="84">
        <v>100</v>
      </c>
      <c r="C948" s="84">
        <v>113</v>
      </c>
      <c r="D948" s="84">
        <v>1</v>
      </c>
      <c r="E948" s="85">
        <v>-6</v>
      </c>
      <c r="F948" s="7">
        <v>2.77</v>
      </c>
      <c r="G948" s="85">
        <v>3234</v>
      </c>
      <c r="H948" s="4" t="s">
        <v>563</v>
      </c>
      <c r="I948" s="17" t="s">
        <v>268</v>
      </c>
      <c r="J948" s="77">
        <v>10.16</v>
      </c>
      <c r="K948" s="77">
        <v>4.5</v>
      </c>
      <c r="L948" s="77">
        <v>35.31</v>
      </c>
      <c r="N948" s="365">
        <f t="shared" si="287"/>
        <v>49.97</v>
      </c>
      <c r="O948" s="343">
        <f t="shared" si="288"/>
        <v>10.16</v>
      </c>
      <c r="P948" s="195" t="s">
        <v>5554</v>
      </c>
      <c r="Q948" s="326">
        <f>IFERROR(VLOOKUP($G948,主力整理!$A$2:$G$2301,6,0),"0")</f>
        <v>1</v>
      </c>
      <c r="T948" s="339">
        <f t="shared" si="289"/>
        <v>1</v>
      </c>
      <c r="V948" s="371">
        <v>0.49</v>
      </c>
      <c r="W948" s="35">
        <v>0</v>
      </c>
      <c r="X948" s="100">
        <v>0.1</v>
      </c>
      <c r="Y948" s="37" t="str">
        <f>RTD("money.excel",,"3234","Price")</f>
        <v>無資料</v>
      </c>
      <c r="Z948" s="69"/>
      <c r="AA948" s="16" t="e">
        <f t="shared" si="290"/>
        <v>#VALUE!</v>
      </c>
      <c r="AB948" s="3" t="e">
        <f t="shared" si="291"/>
        <v>#VALUE!</v>
      </c>
      <c r="AC948" s="177" t="s">
        <v>2648</v>
      </c>
      <c r="AD948" s="17" t="s">
        <v>268</v>
      </c>
      <c r="AG948" s="34">
        <f t="shared" si="292"/>
        <v>0</v>
      </c>
      <c r="AH948" s="125" t="s">
        <v>3053</v>
      </c>
      <c r="AI948" s="131"/>
      <c r="AK948" s="66">
        <f t="shared" si="295"/>
        <v>0</v>
      </c>
      <c r="AL948" s="174">
        <f t="shared" si="296"/>
        <v>0</v>
      </c>
      <c r="AM948" s="346">
        <f>RTD("money.excel",,$G948,"PredictVolume")</f>
        <v>0</v>
      </c>
      <c r="AN948" s="272">
        <f>RTD("money.excel",,$G948,"CumulativeVolume")</f>
        <v>0</v>
      </c>
      <c r="AO948" s="284"/>
    </row>
    <row r="949" spans="1:41">
      <c r="A949" s="151" t="s">
        <v>4641</v>
      </c>
      <c r="B949" s="96">
        <v>-59</v>
      </c>
      <c r="C949" s="96">
        <v>-232</v>
      </c>
      <c r="D949" s="96">
        <v>-5</v>
      </c>
      <c r="E949" s="96">
        <v>-35</v>
      </c>
      <c r="F949" s="7">
        <v>-1.93</v>
      </c>
      <c r="G949" s="85">
        <v>3306</v>
      </c>
      <c r="H949" s="4" t="s">
        <v>563</v>
      </c>
      <c r="I949" s="17" t="s">
        <v>988</v>
      </c>
      <c r="J949" s="77">
        <v>58.3</v>
      </c>
      <c r="K949" s="77">
        <v>0.15</v>
      </c>
      <c r="L949" s="77">
        <v>4.16</v>
      </c>
      <c r="N949" s="365">
        <f t="shared" si="287"/>
        <v>62.61</v>
      </c>
      <c r="O949" s="343">
        <f t="shared" si="288"/>
        <v>58.3</v>
      </c>
      <c r="P949" s="195" t="s">
        <v>5554</v>
      </c>
      <c r="Q949" s="326" t="str">
        <f>IFERROR(VLOOKUP($G949,主力整理!$A$2:$G$2301,6,0),"0")</f>
        <v>0</v>
      </c>
      <c r="T949" s="339">
        <f t="shared" si="289"/>
        <v>0</v>
      </c>
      <c r="V949" s="371">
        <v>37.229999999999997</v>
      </c>
      <c r="W949" s="35">
        <v>0.5</v>
      </c>
      <c r="X949" s="100">
        <v>0.35</v>
      </c>
      <c r="Y949" s="14" t="str">
        <f>RTD("money.excel",,"3306","Price")</f>
        <v>無資料</v>
      </c>
      <c r="Z949" s="69"/>
      <c r="AA949" s="16" t="e">
        <f t="shared" si="290"/>
        <v>#VALUE!</v>
      </c>
      <c r="AB949" s="3" t="e">
        <f t="shared" si="291"/>
        <v>#VALUE!</v>
      </c>
      <c r="AD949" s="17" t="s">
        <v>988</v>
      </c>
      <c r="AG949" s="34">
        <f t="shared" si="292"/>
        <v>0</v>
      </c>
      <c r="AH949" s="44" t="s">
        <v>4126</v>
      </c>
      <c r="AI949" s="131"/>
      <c r="AK949" s="66">
        <f t="shared" si="295"/>
        <v>0</v>
      </c>
      <c r="AL949" s="174">
        <f t="shared" si="296"/>
        <v>0</v>
      </c>
      <c r="AM949" s="346">
        <f>RTD("money.excel",,$G949,"PredictVolume")</f>
        <v>0</v>
      </c>
      <c r="AN949" s="272">
        <f>RTD("money.excel",,$G949,"CumulativeVolume")</f>
        <v>0</v>
      </c>
      <c r="AO949" s="284"/>
    </row>
    <row r="950" spans="1:41">
      <c r="A950" s="151" t="s">
        <v>3291</v>
      </c>
      <c r="B950" s="85">
        <v>-877</v>
      </c>
      <c r="C950" s="85">
        <v>-121</v>
      </c>
      <c r="D950" s="85">
        <v>-4</v>
      </c>
      <c r="E950" s="85">
        <v>-26</v>
      </c>
      <c r="F950" s="7">
        <v>-17.37</v>
      </c>
      <c r="G950" s="85">
        <v>3311</v>
      </c>
      <c r="H950" s="4" t="s">
        <v>563</v>
      </c>
      <c r="I950" s="23" t="s">
        <v>997</v>
      </c>
      <c r="J950" s="77">
        <v>40.24</v>
      </c>
      <c r="K950" s="77">
        <v>2.27</v>
      </c>
      <c r="L950" s="77">
        <v>11.46</v>
      </c>
      <c r="N950" s="365">
        <f t="shared" si="287"/>
        <v>53.970000000000006</v>
      </c>
      <c r="O950" s="343">
        <f t="shared" si="288"/>
        <v>40.24</v>
      </c>
      <c r="P950" s="195" t="s">
        <v>5554</v>
      </c>
      <c r="Q950" s="326" t="str">
        <f>IFERROR(VLOOKUP($G950,主力整理!$A$2:$G$2301,6,0),"0")</f>
        <v>0</v>
      </c>
      <c r="T950" s="339">
        <f t="shared" si="289"/>
        <v>0</v>
      </c>
      <c r="V950" s="371">
        <v>1.31</v>
      </c>
      <c r="W950" s="35">
        <v>0</v>
      </c>
      <c r="X950" s="100">
        <v>-6.1</v>
      </c>
      <c r="Y950" s="37" t="str">
        <f>RTD("money.excel",,"3311","Price")</f>
        <v>無資料</v>
      </c>
      <c r="Z950" s="69"/>
      <c r="AA950" s="16" t="e">
        <f t="shared" si="290"/>
        <v>#VALUE!</v>
      </c>
      <c r="AB950" s="3" t="e">
        <f t="shared" si="291"/>
        <v>#VALUE!</v>
      </c>
      <c r="AC950" s="177" t="s">
        <v>2648</v>
      </c>
      <c r="AD950" s="23" t="s">
        <v>997</v>
      </c>
      <c r="AG950" s="34">
        <f t="shared" si="292"/>
        <v>0</v>
      </c>
      <c r="AH950" s="44" t="s">
        <v>4288</v>
      </c>
      <c r="AI950" s="131"/>
      <c r="AK950" s="66">
        <f t="shared" si="295"/>
        <v>0</v>
      </c>
      <c r="AL950" s="174">
        <f t="shared" si="296"/>
        <v>0</v>
      </c>
      <c r="AM950" s="346">
        <f>RTD("money.excel",,$G950,"PredictVolume")</f>
        <v>0</v>
      </c>
      <c r="AN950" s="272">
        <f>RTD("money.excel",,$G950,"CumulativeVolume")</f>
        <v>0</v>
      </c>
      <c r="AO950" s="284"/>
    </row>
    <row r="951" spans="1:41">
      <c r="A951" s="151" t="s">
        <v>4632</v>
      </c>
      <c r="B951" s="84">
        <v>38</v>
      </c>
      <c r="C951" s="84">
        <v>70</v>
      </c>
      <c r="D951" s="85">
        <v>-4</v>
      </c>
      <c r="E951" s="85">
        <v>-29</v>
      </c>
      <c r="F951" s="7">
        <v>7.83</v>
      </c>
      <c r="G951" s="85">
        <v>3363</v>
      </c>
      <c r="H951" s="4" t="s">
        <v>563</v>
      </c>
      <c r="I951" s="17" t="s">
        <v>958</v>
      </c>
      <c r="J951" s="77">
        <v>39.21</v>
      </c>
      <c r="K951" s="77">
        <v>3.82</v>
      </c>
      <c r="L951" s="77">
        <v>37.03</v>
      </c>
      <c r="N951" s="365">
        <f t="shared" si="287"/>
        <v>80.06</v>
      </c>
      <c r="O951" s="343">
        <f t="shared" si="288"/>
        <v>39.21</v>
      </c>
      <c r="P951" s="195" t="s">
        <v>5554</v>
      </c>
      <c r="Q951" s="326" t="str">
        <f>IFERROR(VLOOKUP($G951,主力整理!$A$2:$G$2301,6,0),"0")</f>
        <v>0</v>
      </c>
      <c r="T951" s="339">
        <f t="shared" si="289"/>
        <v>0</v>
      </c>
      <c r="V951" s="371">
        <v>10.18</v>
      </c>
      <c r="W951" s="35">
        <v>1</v>
      </c>
      <c r="X951" s="100">
        <v>1.1000000000000001</v>
      </c>
      <c r="Y951" s="37" t="str">
        <f>RTD("money.excel",,"3363","Price")</f>
        <v>無資料</v>
      </c>
      <c r="Z951" s="69"/>
      <c r="AA951" s="16" t="e">
        <f t="shared" si="290"/>
        <v>#VALUE!</v>
      </c>
      <c r="AB951" s="3" t="e">
        <f t="shared" si="291"/>
        <v>#VALUE!</v>
      </c>
      <c r="AD951" s="17" t="s">
        <v>958</v>
      </c>
      <c r="AG951" s="34">
        <f t="shared" si="292"/>
        <v>0</v>
      </c>
      <c r="AH951" s="44" t="s">
        <v>4127</v>
      </c>
      <c r="AI951" s="131"/>
      <c r="AK951" s="66">
        <f t="shared" si="295"/>
        <v>0</v>
      </c>
      <c r="AL951" s="174">
        <f t="shared" si="296"/>
        <v>0</v>
      </c>
      <c r="AM951" s="346">
        <f>RTD("money.excel",,$G951,"PredictVolume")</f>
        <v>0</v>
      </c>
      <c r="AN951" s="272">
        <f>RTD("money.excel",,$G951,"CumulativeVolume")</f>
        <v>0</v>
      </c>
      <c r="AO951" s="284"/>
    </row>
    <row r="952" spans="1:41">
      <c r="A952" s="151" t="s">
        <v>4813</v>
      </c>
      <c r="B952" s="84">
        <v>82</v>
      </c>
      <c r="C952" s="84">
        <v>99</v>
      </c>
      <c r="D952" s="85">
        <v>-24</v>
      </c>
      <c r="E952" s="85">
        <v>-31</v>
      </c>
      <c r="F952" s="7">
        <v>2.23</v>
      </c>
      <c r="G952" s="85">
        <v>3380</v>
      </c>
      <c r="H952" s="4" t="s">
        <v>563</v>
      </c>
      <c r="I952" s="23" t="s">
        <v>175</v>
      </c>
      <c r="J952" s="371">
        <v>68.34</v>
      </c>
      <c r="K952" s="371">
        <v>4.0199999999999996</v>
      </c>
      <c r="L952" s="371">
        <v>4.62</v>
      </c>
      <c r="N952" s="365">
        <f t="shared" si="287"/>
        <v>76.98</v>
      </c>
      <c r="O952" s="343">
        <f t="shared" si="288"/>
        <v>68.34</v>
      </c>
      <c r="P952" s="195">
        <v>7</v>
      </c>
      <c r="Q952" s="326" t="str">
        <f>IFERROR(VLOOKUP($G952,主力整理!$A$2:$G$2301,6,0),"0")</f>
        <v>0</v>
      </c>
      <c r="R952" s="111">
        <v>6</v>
      </c>
      <c r="S952" s="51">
        <v>0</v>
      </c>
      <c r="T952" s="339">
        <f t="shared" si="289"/>
        <v>13</v>
      </c>
      <c r="V952" s="371">
        <v>2.37</v>
      </c>
      <c r="W952" s="35">
        <v>1</v>
      </c>
      <c r="X952" s="59">
        <v>1.3</v>
      </c>
      <c r="Y952" s="37" t="str">
        <f>RTD("money.excel",,"3380","Price")</f>
        <v>無資料</v>
      </c>
      <c r="Z952" s="69"/>
      <c r="AA952" s="16" t="e">
        <f t="shared" si="290"/>
        <v>#VALUE!</v>
      </c>
      <c r="AB952" s="3" t="e">
        <f t="shared" si="291"/>
        <v>#VALUE!</v>
      </c>
      <c r="AC952" s="177" t="s">
        <v>2648</v>
      </c>
      <c r="AD952" s="23" t="s">
        <v>175</v>
      </c>
      <c r="AG952" s="34">
        <f t="shared" si="292"/>
        <v>0</v>
      </c>
      <c r="AH952" s="125" t="s">
        <v>2163</v>
      </c>
      <c r="AI952" s="131"/>
      <c r="AK952" s="66">
        <f t="shared" si="295"/>
        <v>0</v>
      </c>
      <c r="AL952" s="174">
        <f t="shared" si="296"/>
        <v>0</v>
      </c>
      <c r="AM952" s="346">
        <f>RTD("money.excel",,$G952,"PredictVolume")</f>
        <v>0</v>
      </c>
      <c r="AN952" s="272">
        <f>RTD("money.excel",,$G952,"CumulativeVolume")</f>
        <v>0</v>
      </c>
      <c r="AO952" s="284"/>
    </row>
    <row r="953" spans="1:41">
      <c r="A953" s="151" t="s">
        <v>3033</v>
      </c>
      <c r="B953" s="96">
        <v>317</v>
      </c>
      <c r="C953" s="96">
        <v>101</v>
      </c>
      <c r="D953" s="96">
        <v>1</v>
      </c>
      <c r="E953" s="96">
        <v>34</v>
      </c>
      <c r="F953" s="7">
        <v>0.14000000000000001</v>
      </c>
      <c r="G953" s="85">
        <v>3419</v>
      </c>
      <c r="H953" s="4" t="s">
        <v>563</v>
      </c>
      <c r="I953" s="23" t="s">
        <v>442</v>
      </c>
      <c r="J953" s="77">
        <v>45.81</v>
      </c>
      <c r="K953" s="77">
        <v>7.04</v>
      </c>
      <c r="L953" s="77">
        <v>37.729999999999997</v>
      </c>
      <c r="N953" s="365">
        <f t="shared" si="287"/>
        <v>90.58</v>
      </c>
      <c r="O953" s="343">
        <f t="shared" si="288"/>
        <v>45.81</v>
      </c>
      <c r="P953" s="195" t="s">
        <v>5554</v>
      </c>
      <c r="Q953" s="326" t="str">
        <f>IFERROR(VLOOKUP($G953,主力整理!$A$2:$G$2301,6,0),"0")</f>
        <v>0</v>
      </c>
      <c r="T953" s="339">
        <f t="shared" si="289"/>
        <v>0</v>
      </c>
      <c r="V953" s="371">
        <v>19.09</v>
      </c>
      <c r="W953" s="35">
        <v>0.5</v>
      </c>
      <c r="X953" s="100">
        <v>0.61</v>
      </c>
      <c r="Y953" s="37" t="str">
        <f>RTD("money.excel",,"3419","Price")</f>
        <v>無資料</v>
      </c>
      <c r="Z953" s="69"/>
      <c r="AA953" s="16" t="e">
        <f t="shared" si="290"/>
        <v>#VALUE!</v>
      </c>
      <c r="AB953" s="3" t="e">
        <f t="shared" si="291"/>
        <v>#VALUE!</v>
      </c>
      <c r="AC953" s="177" t="s">
        <v>2648</v>
      </c>
      <c r="AD953" s="23" t="s">
        <v>442</v>
      </c>
      <c r="AG953" s="34">
        <f t="shared" si="292"/>
        <v>0</v>
      </c>
      <c r="AH953" s="127" t="s">
        <v>4287</v>
      </c>
      <c r="AI953" s="131"/>
      <c r="AK953" s="66">
        <f t="shared" si="295"/>
        <v>0</v>
      </c>
      <c r="AL953" s="174">
        <f t="shared" si="296"/>
        <v>0</v>
      </c>
      <c r="AM953" s="346">
        <f>RTD("money.excel",,$G953,"PredictVolume")</f>
        <v>0</v>
      </c>
      <c r="AN953" s="272">
        <f>RTD("money.excel",,$G953,"CumulativeVolume")</f>
        <v>0</v>
      </c>
      <c r="AO953" s="284"/>
    </row>
    <row r="954" spans="1:41">
      <c r="A954" s="151" t="s">
        <v>2596</v>
      </c>
      <c r="B954" s="84">
        <v>55</v>
      </c>
      <c r="C954" s="84">
        <v>8</v>
      </c>
      <c r="D954" s="84">
        <v>45</v>
      </c>
      <c r="E954" s="84">
        <v>31</v>
      </c>
      <c r="F954" s="7">
        <v>-7.07</v>
      </c>
      <c r="G954" s="85">
        <v>3466</v>
      </c>
      <c r="H954" s="4" t="s">
        <v>563</v>
      </c>
      <c r="I954" s="17" t="s">
        <v>959</v>
      </c>
      <c r="J954" s="371">
        <v>37.659999999999997</v>
      </c>
      <c r="K954" s="371">
        <v>8.7799999999999994</v>
      </c>
      <c r="L954" s="371">
        <v>12.76</v>
      </c>
      <c r="M954" s="371">
        <v>17.7</v>
      </c>
      <c r="N954" s="365">
        <f t="shared" si="287"/>
        <v>76.899999999999991</v>
      </c>
      <c r="O954" s="343">
        <f t="shared" si="288"/>
        <v>55.36</v>
      </c>
      <c r="P954" s="195">
        <v>1</v>
      </c>
      <c r="Q954" s="326">
        <v>25</v>
      </c>
      <c r="R954" s="111">
        <v>18</v>
      </c>
      <c r="S954" s="51">
        <v>25</v>
      </c>
      <c r="T954" s="339">
        <f t="shared" si="289"/>
        <v>69</v>
      </c>
      <c r="U954" s="329" t="s">
        <v>6538</v>
      </c>
      <c r="V954" s="371">
        <v>0.49</v>
      </c>
      <c r="W954" s="35">
        <v>0</v>
      </c>
      <c r="X954" s="100">
        <v>-1.37</v>
      </c>
      <c r="Y954" s="37" t="str">
        <f>RTD("money.excel",,"3466","Price")</f>
        <v>無資料</v>
      </c>
      <c r="Z954" s="69"/>
      <c r="AA954" s="16" t="e">
        <f t="shared" si="290"/>
        <v>#VALUE!</v>
      </c>
      <c r="AB954" s="3" t="e">
        <f t="shared" si="291"/>
        <v>#VALUE!</v>
      </c>
      <c r="AC954" s="177" t="s">
        <v>2648</v>
      </c>
      <c r="AD954" s="17" t="s">
        <v>959</v>
      </c>
      <c r="AG954" s="34">
        <f t="shared" si="292"/>
        <v>0</v>
      </c>
      <c r="AH954" s="44" t="s">
        <v>3121</v>
      </c>
      <c r="AI954" s="131"/>
      <c r="AK954" s="66">
        <f t="shared" si="295"/>
        <v>0</v>
      </c>
      <c r="AL954" s="174">
        <f t="shared" si="296"/>
        <v>0</v>
      </c>
      <c r="AM954" s="346">
        <f>RTD("money.excel",,$G954,"PredictVolume")</f>
        <v>0</v>
      </c>
      <c r="AN954" s="272">
        <f>RTD("money.excel",,$G954,"CumulativeVolume")</f>
        <v>0</v>
      </c>
      <c r="AO954" s="284"/>
    </row>
    <row r="955" spans="1:41">
      <c r="A955" s="135" t="s">
        <v>3654</v>
      </c>
      <c r="B955" s="85">
        <v>-51</v>
      </c>
      <c r="C955" s="85">
        <v>-36</v>
      </c>
      <c r="D955" s="84">
        <v>57</v>
      </c>
      <c r="E955" s="84">
        <v>20</v>
      </c>
      <c r="F955" s="59">
        <v>12.33</v>
      </c>
      <c r="G955" s="85">
        <v>3491</v>
      </c>
      <c r="H955" s="4" t="s">
        <v>563</v>
      </c>
      <c r="I955" s="17" t="s">
        <v>269</v>
      </c>
      <c r="J955" s="77">
        <v>15.85</v>
      </c>
      <c r="K955" s="77">
        <v>2</v>
      </c>
      <c r="L955" s="371">
        <v>13.91</v>
      </c>
      <c r="N955" s="365">
        <f t="shared" si="287"/>
        <v>31.76</v>
      </c>
      <c r="O955" s="343">
        <f t="shared" si="288"/>
        <v>15.85</v>
      </c>
      <c r="P955" s="195">
        <v>3</v>
      </c>
      <c r="Q955" s="326" t="str">
        <f>IFERROR(VLOOKUP($G955,主力整理!$A$2:$G$2301,6,0),"0")</f>
        <v>0</v>
      </c>
      <c r="T955" s="339">
        <f t="shared" si="289"/>
        <v>3</v>
      </c>
      <c r="V955" s="371">
        <v>0</v>
      </c>
      <c r="W955" s="35">
        <v>2.5</v>
      </c>
      <c r="X955" s="100">
        <v>2.04</v>
      </c>
      <c r="Y955" s="37" t="str">
        <f>RTD("money.excel",,"3491","Price")</f>
        <v>無資料</v>
      </c>
      <c r="Z955" s="69"/>
      <c r="AA955" s="16" t="e">
        <f t="shared" si="290"/>
        <v>#VALUE!</v>
      </c>
      <c r="AB955" s="3" t="e">
        <f t="shared" si="291"/>
        <v>#VALUE!</v>
      </c>
      <c r="AC955" s="177" t="s">
        <v>2648</v>
      </c>
      <c r="AD955" s="17" t="s">
        <v>269</v>
      </c>
      <c r="AG955" s="34">
        <f t="shared" si="292"/>
        <v>0</v>
      </c>
      <c r="AH955" s="126" t="s">
        <v>3653</v>
      </c>
      <c r="AI955" s="131"/>
      <c r="AK955" s="66">
        <f t="shared" si="295"/>
        <v>0</v>
      </c>
      <c r="AL955" s="174">
        <f t="shared" si="296"/>
        <v>0</v>
      </c>
      <c r="AM955" s="346">
        <f>RTD("money.excel",,$G955,"PredictVolume")</f>
        <v>0</v>
      </c>
      <c r="AN955" s="272">
        <f>RTD("money.excel",,$G955,"CumulativeVolume")</f>
        <v>0</v>
      </c>
      <c r="AO955" s="284"/>
    </row>
    <row r="956" spans="1:41">
      <c r="A956" s="151" t="s">
        <v>4671</v>
      </c>
      <c r="B956" s="96">
        <v>-198</v>
      </c>
      <c r="C956" s="96">
        <v>-183</v>
      </c>
      <c r="D956" s="96">
        <v>-36</v>
      </c>
      <c r="E956" s="96">
        <v>9</v>
      </c>
      <c r="F956" s="7">
        <v>-14.9</v>
      </c>
      <c r="G956" s="85">
        <v>3499</v>
      </c>
      <c r="H956" s="4" t="s">
        <v>563</v>
      </c>
      <c r="I956" s="17" t="s">
        <v>960</v>
      </c>
      <c r="J956" s="77">
        <v>49.1</v>
      </c>
      <c r="K956" s="77">
        <v>0.19</v>
      </c>
      <c r="L956" s="77">
        <v>17.260000000000002</v>
      </c>
      <c r="N956" s="365">
        <f t="shared" si="287"/>
        <v>66.55</v>
      </c>
      <c r="O956" s="343">
        <f t="shared" si="288"/>
        <v>49.1</v>
      </c>
      <c r="P956" s="195" t="s">
        <v>5554</v>
      </c>
      <c r="Q956" s="326" t="str">
        <f>IFERROR(VLOOKUP($G956,主力整理!$A$2:$G$2301,6,0),"0")</f>
        <v>0</v>
      </c>
      <c r="T956" s="339">
        <f t="shared" si="289"/>
        <v>0</v>
      </c>
      <c r="V956" s="371">
        <v>23.18</v>
      </c>
      <c r="W956" s="35">
        <v>0</v>
      </c>
      <c r="X956" s="100">
        <v>-0.5</v>
      </c>
      <c r="Y956" s="37" t="str">
        <f>RTD("money.excel",,"3499","Price")</f>
        <v>無資料</v>
      </c>
      <c r="Z956" s="69"/>
      <c r="AA956" s="16" t="e">
        <f t="shared" si="290"/>
        <v>#VALUE!</v>
      </c>
      <c r="AB956" s="3" t="e">
        <f t="shared" si="291"/>
        <v>#VALUE!</v>
      </c>
      <c r="AD956" s="17" t="s">
        <v>960</v>
      </c>
      <c r="AG956" s="34">
        <f t="shared" si="292"/>
        <v>0</v>
      </c>
      <c r="AH956" s="44" t="s">
        <v>4128</v>
      </c>
      <c r="AI956" s="131"/>
      <c r="AK956" s="66">
        <f t="shared" si="295"/>
        <v>0</v>
      </c>
      <c r="AL956" s="174">
        <f t="shared" si="296"/>
        <v>0</v>
      </c>
      <c r="AM956" s="346">
        <f>RTD("money.excel",,$G956,"PredictVolume")</f>
        <v>0</v>
      </c>
      <c r="AN956" s="272">
        <f>RTD("money.excel",,$G956,"CumulativeVolume")</f>
        <v>0</v>
      </c>
      <c r="AO956" s="284"/>
    </row>
    <row r="957" spans="1:41">
      <c r="A957" s="151" t="s">
        <v>2410</v>
      </c>
      <c r="B957" s="84">
        <v>20</v>
      </c>
      <c r="C957" s="84">
        <v>96</v>
      </c>
      <c r="D957" s="84">
        <v>6</v>
      </c>
      <c r="E957" s="85">
        <v>-13</v>
      </c>
      <c r="F957" s="7">
        <v>6.5</v>
      </c>
      <c r="G957" s="85">
        <v>3558</v>
      </c>
      <c r="H957" s="4" t="s">
        <v>563</v>
      </c>
      <c r="I957" s="17" t="s">
        <v>68</v>
      </c>
      <c r="J957" s="77">
        <v>53.29</v>
      </c>
      <c r="K957" s="371">
        <v>6.93</v>
      </c>
      <c r="L957" s="77">
        <v>7.88</v>
      </c>
      <c r="N957" s="365">
        <f t="shared" ref="N957:N988" si="297">J957+K957+L957+M957</f>
        <v>68.099999999999994</v>
      </c>
      <c r="O957" s="343">
        <f t="shared" ref="O957:O988" si="298">J957+M957</f>
        <v>53.29</v>
      </c>
      <c r="P957" s="195" t="s">
        <v>5554</v>
      </c>
      <c r="Q957" s="326" t="str">
        <f>IFERROR(VLOOKUP($G957,主力整理!$A$2:$G$2301,6,0),"0")</f>
        <v>0</v>
      </c>
      <c r="T957" s="339">
        <f t="shared" ref="T957:T988" si="299">SUM(P957:S957)</f>
        <v>0</v>
      </c>
      <c r="V957" s="371">
        <v>0.06</v>
      </c>
      <c r="W957" s="69">
        <v>5.2</v>
      </c>
      <c r="X957" s="100">
        <v>7.67</v>
      </c>
      <c r="Y957" s="37" t="str">
        <f>RTD("money.excel",,"3558","Price")</f>
        <v>無資料</v>
      </c>
      <c r="Z957" s="69"/>
      <c r="AA957" s="16" t="e">
        <f t="shared" ref="AA957:AA988" si="300">Y957-Z957</f>
        <v>#VALUE!</v>
      </c>
      <c r="AB957" s="3" t="e">
        <f t="shared" ref="AB957:AB988" si="301">AA957/Z957</f>
        <v>#VALUE!</v>
      </c>
      <c r="AC957" s="177" t="s">
        <v>2929</v>
      </c>
      <c r="AD957" s="17" t="s">
        <v>68</v>
      </c>
      <c r="AG957" s="34">
        <f t="shared" ref="AG957:AG988" si="302">AF957-AE957</f>
        <v>0</v>
      </c>
      <c r="AH957" s="125" t="s">
        <v>4129</v>
      </c>
      <c r="AI957" s="131"/>
      <c r="AK957" s="66">
        <f t="shared" si="295"/>
        <v>0</v>
      </c>
      <c r="AL957" s="174">
        <f t="shared" si="296"/>
        <v>0</v>
      </c>
      <c r="AM957" s="346">
        <f>RTD("money.excel",,$G957,"PredictVolume")</f>
        <v>0</v>
      </c>
      <c r="AN957" s="272">
        <f>RTD("money.excel",,$G957,"CumulativeVolume")</f>
        <v>0</v>
      </c>
      <c r="AO957" s="284"/>
    </row>
    <row r="958" spans="1:41">
      <c r="A958" s="151" t="s">
        <v>3318</v>
      </c>
      <c r="B958" s="96">
        <v>41</v>
      </c>
      <c r="C958" s="96">
        <v>27</v>
      </c>
      <c r="D958" s="96">
        <v>-46</v>
      </c>
      <c r="E958" s="96">
        <v>-30</v>
      </c>
      <c r="F958" s="7">
        <v>2.84</v>
      </c>
      <c r="G958" s="85">
        <v>3564</v>
      </c>
      <c r="H958" s="4" t="s">
        <v>563</v>
      </c>
      <c r="I958" s="17" t="s">
        <v>961</v>
      </c>
      <c r="J958" s="77">
        <v>51.72</v>
      </c>
      <c r="K958" s="77">
        <v>4.84</v>
      </c>
      <c r="N958" s="365">
        <f t="shared" si="297"/>
        <v>56.56</v>
      </c>
      <c r="O958" s="343">
        <f t="shared" si="298"/>
        <v>51.72</v>
      </c>
      <c r="P958" s="195" t="s">
        <v>5554</v>
      </c>
      <c r="Q958" s="326" t="str">
        <f>IFERROR(VLOOKUP($G958,主力整理!$A$2:$G$2301,6,0),"0")</f>
        <v>0</v>
      </c>
      <c r="T958" s="339">
        <f t="shared" si="299"/>
        <v>0</v>
      </c>
      <c r="V958" s="371">
        <v>30.44</v>
      </c>
      <c r="W958" s="35">
        <v>0.6</v>
      </c>
      <c r="X958" s="100">
        <v>0.9</v>
      </c>
      <c r="Y958" s="14" t="str">
        <f>RTD("money.excel",,"3564","Price")</f>
        <v>無資料</v>
      </c>
      <c r="Z958" s="69"/>
      <c r="AA958" s="16" t="e">
        <f t="shared" si="300"/>
        <v>#VALUE!</v>
      </c>
      <c r="AB958" s="3" t="e">
        <f t="shared" si="301"/>
        <v>#VALUE!</v>
      </c>
      <c r="AD958" s="17" t="s">
        <v>961</v>
      </c>
      <c r="AG958" s="34">
        <f t="shared" si="302"/>
        <v>0</v>
      </c>
      <c r="AH958" s="44" t="s">
        <v>3563</v>
      </c>
      <c r="AI958" s="131"/>
      <c r="AK958" s="66">
        <f t="shared" si="295"/>
        <v>0</v>
      </c>
      <c r="AL958" s="174">
        <f t="shared" si="296"/>
        <v>0</v>
      </c>
      <c r="AM958" s="346">
        <f>RTD("money.excel",,$G958,"PredictVolume")</f>
        <v>0</v>
      </c>
      <c r="AN958" s="272">
        <f>RTD("money.excel",,$G958,"CumulativeVolume")</f>
        <v>0</v>
      </c>
      <c r="AO958" s="284"/>
    </row>
    <row r="959" spans="1:41">
      <c r="A959" s="151" t="s">
        <v>3221</v>
      </c>
      <c r="B959" s="84">
        <v>10</v>
      </c>
      <c r="C959" s="85">
        <v>-1</v>
      </c>
      <c r="D959" s="85">
        <v>-1</v>
      </c>
      <c r="E959" s="84">
        <v>0</v>
      </c>
      <c r="F959" s="7">
        <v>5.69</v>
      </c>
      <c r="G959" s="85">
        <v>3596</v>
      </c>
      <c r="H959" s="54" t="s">
        <v>563</v>
      </c>
      <c r="I959" s="23" t="s">
        <v>201</v>
      </c>
      <c r="J959" s="77">
        <v>52.56</v>
      </c>
      <c r="K959" s="77">
        <v>13.95</v>
      </c>
      <c r="L959" s="371">
        <v>14.31</v>
      </c>
      <c r="N959" s="365">
        <f t="shared" si="297"/>
        <v>80.820000000000007</v>
      </c>
      <c r="O959" s="343">
        <f t="shared" si="298"/>
        <v>52.56</v>
      </c>
      <c r="P959" s="195">
        <v>17</v>
      </c>
      <c r="Q959" s="326">
        <v>11</v>
      </c>
      <c r="R959" s="111">
        <v>2</v>
      </c>
      <c r="S959" s="51">
        <v>8</v>
      </c>
      <c r="T959" s="339">
        <f t="shared" si="299"/>
        <v>38</v>
      </c>
      <c r="V959" s="371">
        <v>5.38</v>
      </c>
      <c r="W959" s="69">
        <v>6.5</v>
      </c>
      <c r="X959" s="59">
        <v>8.98</v>
      </c>
      <c r="Y959" s="37" t="str">
        <f>RTD("money.excel",,"3596","Price")</f>
        <v>無資料</v>
      </c>
      <c r="Z959" s="69"/>
      <c r="AA959" s="16" t="e">
        <f t="shared" si="300"/>
        <v>#VALUE!</v>
      </c>
      <c r="AB959" s="3" t="e">
        <f t="shared" si="301"/>
        <v>#VALUE!</v>
      </c>
      <c r="AC959" s="177" t="s">
        <v>2929</v>
      </c>
      <c r="AD959" s="23" t="s">
        <v>201</v>
      </c>
      <c r="AG959" s="34">
        <f t="shared" si="302"/>
        <v>0</v>
      </c>
      <c r="AH959" s="125" t="s">
        <v>4509</v>
      </c>
      <c r="AI959" s="131"/>
      <c r="AK959" s="66">
        <f t="shared" si="295"/>
        <v>0</v>
      </c>
      <c r="AL959" s="174">
        <f t="shared" si="296"/>
        <v>0</v>
      </c>
      <c r="AM959" s="346">
        <f>RTD("money.excel",,$G959,"PredictVolume")</f>
        <v>0</v>
      </c>
      <c r="AN959" s="272">
        <f>RTD("money.excel",,$G959,"CumulativeVolume")</f>
        <v>0</v>
      </c>
      <c r="AO959" s="284"/>
    </row>
    <row r="960" spans="1:41">
      <c r="A960" s="151" t="s">
        <v>2324</v>
      </c>
      <c r="B960" s="96">
        <v>-30</v>
      </c>
      <c r="C960" s="96">
        <v>2</v>
      </c>
      <c r="D960" s="96">
        <v>6</v>
      </c>
      <c r="E960" s="96">
        <v>110</v>
      </c>
      <c r="F960" s="7">
        <v>-46.81</v>
      </c>
      <c r="G960" s="85">
        <v>3632</v>
      </c>
      <c r="H960" s="4" t="s">
        <v>563</v>
      </c>
      <c r="I960" s="17" t="s">
        <v>962</v>
      </c>
      <c r="J960" s="77">
        <v>22.95</v>
      </c>
      <c r="K960" s="77">
        <v>0.27</v>
      </c>
      <c r="L960" s="77">
        <v>8.48</v>
      </c>
      <c r="N960" s="365">
        <f t="shared" si="297"/>
        <v>31.7</v>
      </c>
      <c r="O960" s="343">
        <f t="shared" si="298"/>
        <v>22.95</v>
      </c>
      <c r="P960" s="195" t="s">
        <v>5554</v>
      </c>
      <c r="Q960" s="326" t="str">
        <f>IFERROR(VLOOKUP($G960,主力整理!$A$2:$G$2301,6,0),"0")</f>
        <v>0</v>
      </c>
      <c r="T960" s="339">
        <f t="shared" si="299"/>
        <v>0</v>
      </c>
      <c r="V960" s="371">
        <v>14.07</v>
      </c>
      <c r="W960" s="35">
        <v>0</v>
      </c>
      <c r="X960" s="100">
        <v>-4.13</v>
      </c>
      <c r="Y960" s="37" t="str">
        <f>RTD("money.excel",,"3632","Price")</f>
        <v>無資料</v>
      </c>
      <c r="Z960" s="69"/>
      <c r="AA960" s="16" t="e">
        <f t="shared" si="300"/>
        <v>#VALUE!</v>
      </c>
      <c r="AB960" s="3" t="e">
        <f t="shared" si="301"/>
        <v>#VALUE!</v>
      </c>
      <c r="AD960" s="17" t="s">
        <v>962</v>
      </c>
      <c r="AG960" s="34">
        <f t="shared" si="302"/>
        <v>0</v>
      </c>
      <c r="AH960" s="44" t="s">
        <v>4130</v>
      </c>
      <c r="AI960" s="131"/>
      <c r="AK960" s="66">
        <f t="shared" si="295"/>
        <v>0</v>
      </c>
      <c r="AL960" s="174">
        <f t="shared" si="296"/>
        <v>0</v>
      </c>
      <c r="AM960" s="346">
        <f>RTD("money.excel",,$G960,"PredictVolume")</f>
        <v>0</v>
      </c>
      <c r="AN960" s="272">
        <f>RTD("money.excel",,$G960,"CumulativeVolume")</f>
        <v>0</v>
      </c>
      <c r="AO960" s="284"/>
    </row>
    <row r="961" spans="1:41">
      <c r="A961" s="151" t="s">
        <v>4672</v>
      </c>
      <c r="B961" s="96">
        <v>20</v>
      </c>
      <c r="C961" s="96">
        <v>28</v>
      </c>
      <c r="D961" s="96">
        <v>63</v>
      </c>
      <c r="E961" s="96">
        <v>-27</v>
      </c>
      <c r="F961" s="7">
        <v>-25.95</v>
      </c>
      <c r="G961" s="85">
        <v>3664</v>
      </c>
      <c r="H961" s="4" t="s">
        <v>563</v>
      </c>
      <c r="I961" s="17" t="s">
        <v>963</v>
      </c>
      <c r="J961" s="77">
        <v>66.489999999999995</v>
      </c>
      <c r="K961" s="77">
        <v>50.84</v>
      </c>
      <c r="L961" s="77">
        <v>10.97</v>
      </c>
      <c r="N961" s="365">
        <f t="shared" si="297"/>
        <v>128.30000000000001</v>
      </c>
      <c r="O961" s="343">
        <f t="shared" si="298"/>
        <v>66.489999999999995</v>
      </c>
      <c r="P961" s="195" t="s">
        <v>5554</v>
      </c>
      <c r="Q961" s="326" t="str">
        <f>IFERROR(VLOOKUP($G961,主力整理!$A$2:$G$2301,6,0),"0")</f>
        <v>0</v>
      </c>
      <c r="T961" s="339">
        <f t="shared" si="299"/>
        <v>0</v>
      </c>
      <c r="V961" s="371">
        <v>7.16</v>
      </c>
      <c r="W961" s="35">
        <v>0</v>
      </c>
      <c r="X961" s="59">
        <v>-2.1</v>
      </c>
      <c r="Y961" s="14" t="str">
        <f>RTD("money.excel",,"3664","Price")</f>
        <v>無資料</v>
      </c>
      <c r="Z961" s="69"/>
      <c r="AA961" s="16" t="e">
        <f t="shared" si="300"/>
        <v>#VALUE!</v>
      </c>
      <c r="AB961" s="3" t="e">
        <f t="shared" si="301"/>
        <v>#VALUE!</v>
      </c>
      <c r="AD961" s="17" t="s">
        <v>963</v>
      </c>
      <c r="AG961" s="34">
        <f t="shared" si="302"/>
        <v>0</v>
      </c>
      <c r="AH961" s="44" t="s">
        <v>4131</v>
      </c>
      <c r="AI961" s="131"/>
      <c r="AK961" s="66">
        <f t="shared" si="295"/>
        <v>0</v>
      </c>
      <c r="AL961" s="174">
        <f t="shared" si="296"/>
        <v>0</v>
      </c>
      <c r="AM961" s="346">
        <f>RTD("money.excel",,$G961,"PredictVolume")</f>
        <v>0</v>
      </c>
      <c r="AN961" s="272">
        <f>RTD("money.excel",,$G961,"CumulativeVolume")</f>
        <v>0</v>
      </c>
      <c r="AO961" s="284"/>
    </row>
    <row r="962" spans="1:41">
      <c r="A962" s="151" t="s">
        <v>4673</v>
      </c>
      <c r="B962" s="84">
        <v>24</v>
      </c>
      <c r="C962" s="84">
        <v>168</v>
      </c>
      <c r="D962" s="84">
        <v>21</v>
      </c>
      <c r="E962" s="85">
        <v>-10</v>
      </c>
      <c r="F962" s="7">
        <v>4.88</v>
      </c>
      <c r="G962" s="85">
        <v>3672</v>
      </c>
      <c r="H962" s="4" t="s">
        <v>563</v>
      </c>
      <c r="I962" s="17" t="s">
        <v>964</v>
      </c>
      <c r="J962" s="77">
        <v>39.86</v>
      </c>
      <c r="K962" s="77">
        <v>1.61</v>
      </c>
      <c r="L962" s="77">
        <v>73.37</v>
      </c>
      <c r="M962" s="371">
        <v>34.75</v>
      </c>
      <c r="N962" s="77">
        <f t="shared" si="297"/>
        <v>149.59</v>
      </c>
      <c r="O962" s="343">
        <f t="shared" si="298"/>
        <v>74.61</v>
      </c>
      <c r="P962" s="195">
        <v>0</v>
      </c>
      <c r="Q962" s="326">
        <v>9</v>
      </c>
      <c r="R962" s="111">
        <v>0</v>
      </c>
      <c r="S962" s="51">
        <v>11</v>
      </c>
      <c r="T962" s="339">
        <f t="shared" si="299"/>
        <v>20</v>
      </c>
      <c r="U962" s="329" t="s">
        <v>6538</v>
      </c>
      <c r="V962" s="371">
        <v>0.84</v>
      </c>
      <c r="W962" s="35">
        <v>0.25</v>
      </c>
      <c r="X962" s="100">
        <v>0.64</v>
      </c>
      <c r="Y962" s="37" t="str">
        <f>RTD("money.excel",,"3672","Price")</f>
        <v>無資料</v>
      </c>
      <c r="Z962" s="69"/>
      <c r="AA962" s="16" t="e">
        <f t="shared" si="300"/>
        <v>#VALUE!</v>
      </c>
      <c r="AB962" s="3" t="e">
        <f t="shared" si="301"/>
        <v>#VALUE!</v>
      </c>
      <c r="AD962" s="17" t="s">
        <v>964</v>
      </c>
      <c r="AG962" s="34">
        <f t="shared" si="302"/>
        <v>0</v>
      </c>
      <c r="AH962" s="44" t="s">
        <v>4133</v>
      </c>
      <c r="AI962" s="131"/>
      <c r="AK962" s="66">
        <f t="shared" si="295"/>
        <v>0</v>
      </c>
      <c r="AL962" s="174">
        <f t="shared" si="296"/>
        <v>0</v>
      </c>
      <c r="AM962" s="346">
        <f>RTD("money.excel",,$G962,"PredictVolume")</f>
        <v>0</v>
      </c>
      <c r="AN962" s="272">
        <f>RTD("money.excel",,$G962,"CumulativeVolume")</f>
        <v>0</v>
      </c>
      <c r="AO962" s="284"/>
    </row>
    <row r="963" spans="1:41">
      <c r="A963" s="151" t="s">
        <v>2787</v>
      </c>
      <c r="B963" s="85">
        <v>-77</v>
      </c>
      <c r="C963" s="85">
        <v>-9</v>
      </c>
      <c r="D963" s="84">
        <v>1</v>
      </c>
      <c r="E963" s="85">
        <v>-5</v>
      </c>
      <c r="F963" s="7">
        <v>-37.35</v>
      </c>
      <c r="G963" s="85">
        <v>3682</v>
      </c>
      <c r="H963" s="4" t="s">
        <v>563</v>
      </c>
      <c r="I963" s="23" t="s">
        <v>52</v>
      </c>
      <c r="J963" s="371">
        <v>71</v>
      </c>
      <c r="K963" s="77">
        <v>4</v>
      </c>
      <c r="N963" s="365">
        <f t="shared" si="297"/>
        <v>75</v>
      </c>
      <c r="O963" s="343">
        <f t="shared" si="298"/>
        <v>71</v>
      </c>
      <c r="P963" s="195" t="s">
        <v>5554</v>
      </c>
      <c r="Q963" s="326">
        <f>IFERROR(VLOOKUP($G963,主力整理!$A$2:$G$2301,6,0),"0")</f>
        <v>2</v>
      </c>
      <c r="T963" s="339">
        <f t="shared" si="299"/>
        <v>2</v>
      </c>
      <c r="V963" s="371">
        <v>10.38</v>
      </c>
      <c r="W963" s="35">
        <v>0</v>
      </c>
      <c r="X963" s="100">
        <v>-1.53</v>
      </c>
      <c r="Y963" s="37" t="str">
        <f>RTD("money.excel",,"3682","Price")</f>
        <v>無資料</v>
      </c>
      <c r="Z963" s="69"/>
      <c r="AA963" s="16" t="e">
        <f t="shared" si="300"/>
        <v>#VALUE!</v>
      </c>
      <c r="AB963" s="3" t="e">
        <f t="shared" si="301"/>
        <v>#VALUE!</v>
      </c>
      <c r="AC963" s="177" t="s">
        <v>2648</v>
      </c>
      <c r="AD963" s="23" t="s">
        <v>52</v>
      </c>
      <c r="AG963" s="34">
        <f t="shared" si="302"/>
        <v>0</v>
      </c>
      <c r="AH963" s="125" t="s">
        <v>4289</v>
      </c>
      <c r="AI963" s="131"/>
      <c r="AK963" s="66">
        <f t="shared" si="295"/>
        <v>0</v>
      </c>
      <c r="AL963" s="174">
        <f t="shared" si="296"/>
        <v>0</v>
      </c>
      <c r="AM963" s="346">
        <f>RTD("money.excel",,$G963,"PredictVolume")</f>
        <v>0</v>
      </c>
      <c r="AN963" s="272">
        <f>RTD("money.excel",,$G963,"CumulativeVolume")</f>
        <v>0</v>
      </c>
      <c r="AO963" s="284"/>
    </row>
    <row r="964" spans="1:41">
      <c r="A964" s="135" t="s">
        <v>4674</v>
      </c>
      <c r="B964" s="96">
        <v>-62</v>
      </c>
      <c r="C964" s="96">
        <v>-3</v>
      </c>
      <c r="D964" s="96">
        <v>12</v>
      </c>
      <c r="E964" s="96">
        <v>32</v>
      </c>
      <c r="F964" s="59">
        <v>14.67</v>
      </c>
      <c r="G964" s="85">
        <v>3684</v>
      </c>
      <c r="H964" s="4" t="s">
        <v>563</v>
      </c>
      <c r="I964" s="17" t="s">
        <v>967</v>
      </c>
      <c r="J964" s="77">
        <v>59.32</v>
      </c>
      <c r="K964" s="77">
        <v>0.01</v>
      </c>
      <c r="N964" s="365">
        <f t="shared" si="297"/>
        <v>59.33</v>
      </c>
      <c r="O964" s="343">
        <f t="shared" si="298"/>
        <v>59.32</v>
      </c>
      <c r="P964" s="195" t="s">
        <v>5554</v>
      </c>
      <c r="Q964" s="326" t="str">
        <f>IFERROR(VLOOKUP($G964,主力整理!$A$2:$G$2301,6,0),"0")</f>
        <v>0</v>
      </c>
      <c r="T964" s="339">
        <f t="shared" si="299"/>
        <v>0</v>
      </c>
      <c r="V964" s="371">
        <v>37.82</v>
      </c>
      <c r="W964" s="35">
        <v>1.5</v>
      </c>
      <c r="X964" s="100">
        <v>2.0299999999999998</v>
      </c>
      <c r="Y964" s="14" t="str">
        <f>RTD("money.excel",,"3684","Price")</f>
        <v>無資料</v>
      </c>
      <c r="Z964" s="69"/>
      <c r="AA964" s="16" t="e">
        <f t="shared" si="300"/>
        <v>#VALUE!</v>
      </c>
      <c r="AB964" s="3" t="e">
        <f t="shared" si="301"/>
        <v>#VALUE!</v>
      </c>
      <c r="AD964" s="17" t="s">
        <v>967</v>
      </c>
      <c r="AG964" s="34">
        <f t="shared" si="302"/>
        <v>0</v>
      </c>
      <c r="AH964" s="63" t="s">
        <v>4133</v>
      </c>
      <c r="AI964" s="284"/>
      <c r="AK964" s="66">
        <f t="shared" si="295"/>
        <v>0</v>
      </c>
      <c r="AL964" s="174">
        <f t="shared" si="296"/>
        <v>0</v>
      </c>
      <c r="AM964" s="346">
        <f>RTD("money.excel",,$G964,"PredictVolume")</f>
        <v>0</v>
      </c>
      <c r="AN964" s="272">
        <f>RTD("money.excel",,$G964,"CumulativeVolume")</f>
        <v>0</v>
      </c>
      <c r="AO964" s="284"/>
    </row>
    <row r="965" spans="1:41">
      <c r="A965" s="151" t="s">
        <v>3576</v>
      </c>
      <c r="B965" s="85">
        <v>-40</v>
      </c>
      <c r="C965" s="85">
        <v>-33</v>
      </c>
      <c r="D965" s="85">
        <v>-3</v>
      </c>
      <c r="E965" s="84">
        <v>3</v>
      </c>
      <c r="F965" s="7">
        <v>1.38</v>
      </c>
      <c r="G965" s="85">
        <v>3694</v>
      </c>
      <c r="H965" s="4" t="s">
        <v>563</v>
      </c>
      <c r="I965" s="23" t="s">
        <v>684</v>
      </c>
      <c r="J965" s="371">
        <v>61.43</v>
      </c>
      <c r="K965" s="77">
        <v>0.68</v>
      </c>
      <c r="L965" s="77">
        <v>12.63</v>
      </c>
      <c r="N965" s="365">
        <f t="shared" si="297"/>
        <v>74.739999999999995</v>
      </c>
      <c r="O965" s="343">
        <f t="shared" si="298"/>
        <v>61.43</v>
      </c>
      <c r="P965" s="195">
        <v>2</v>
      </c>
      <c r="Q965" s="326" t="str">
        <f>IFERROR(VLOOKUP($G965,主力整理!$A$2:$G$2301,6,0),"0")</f>
        <v>0</v>
      </c>
      <c r="R965" s="111">
        <v>10</v>
      </c>
      <c r="S965" s="51">
        <v>0</v>
      </c>
      <c r="T965" s="339">
        <f t="shared" si="299"/>
        <v>12</v>
      </c>
      <c r="V965" s="371">
        <v>0.52</v>
      </c>
      <c r="W965" s="35">
        <v>0</v>
      </c>
      <c r="X965" s="59">
        <v>1.74</v>
      </c>
      <c r="Y965" s="37" t="str">
        <f>RTD("money.excel",,"3694","Price")</f>
        <v>無資料</v>
      </c>
      <c r="Z965" s="69"/>
      <c r="AA965" s="16" t="e">
        <f t="shared" si="300"/>
        <v>#VALUE!</v>
      </c>
      <c r="AB965" s="3" t="e">
        <f t="shared" si="301"/>
        <v>#VALUE!</v>
      </c>
      <c r="AC965" s="177" t="s">
        <v>2648</v>
      </c>
      <c r="AD965" s="23" t="s">
        <v>684</v>
      </c>
      <c r="AG965" s="34">
        <f t="shared" si="302"/>
        <v>0</v>
      </c>
      <c r="AH965" s="44" t="s">
        <v>3575</v>
      </c>
      <c r="AI965" s="131"/>
      <c r="AK965" s="66">
        <f t="shared" si="295"/>
        <v>0</v>
      </c>
      <c r="AL965" s="174">
        <f t="shared" si="296"/>
        <v>0</v>
      </c>
      <c r="AM965" s="346">
        <f>RTD("money.excel",,$G965,"PredictVolume")</f>
        <v>0</v>
      </c>
      <c r="AN965" s="272">
        <f>RTD("money.excel",,$G965,"CumulativeVolume")</f>
        <v>0</v>
      </c>
      <c r="AO965" s="284"/>
    </row>
    <row r="966" spans="1:41">
      <c r="A966" s="151" t="s">
        <v>4814</v>
      </c>
      <c r="B966" s="98">
        <v>1966</v>
      </c>
      <c r="C966" s="84">
        <v>161</v>
      </c>
      <c r="D966" s="85">
        <v>-17</v>
      </c>
      <c r="E966" s="84">
        <v>8</v>
      </c>
      <c r="F966" s="7">
        <v>4.3499999999999996</v>
      </c>
      <c r="G966" s="85">
        <v>3704</v>
      </c>
      <c r="H966" s="4" t="s">
        <v>563</v>
      </c>
      <c r="I966" s="23" t="s">
        <v>177</v>
      </c>
      <c r="J966" s="77">
        <v>51.17</v>
      </c>
      <c r="K966" s="77">
        <v>8.6300000000000008</v>
      </c>
      <c r="L966" s="371">
        <v>15.27</v>
      </c>
      <c r="N966" s="365">
        <f t="shared" si="297"/>
        <v>75.070000000000007</v>
      </c>
      <c r="O966" s="343">
        <f t="shared" si="298"/>
        <v>51.17</v>
      </c>
      <c r="P966" s="195">
        <v>5</v>
      </c>
      <c r="Q966" s="326">
        <f>IFERROR(VLOOKUP($G966,主力整理!$A$2:$G$2301,6,0),"0")</f>
        <v>1</v>
      </c>
      <c r="R966" s="111">
        <v>13</v>
      </c>
      <c r="S966" s="51">
        <v>3</v>
      </c>
      <c r="T966" s="339">
        <f t="shared" si="299"/>
        <v>22</v>
      </c>
      <c r="V966" s="371">
        <v>0</v>
      </c>
      <c r="W966" s="35">
        <v>0.5</v>
      </c>
      <c r="X966" s="59">
        <v>2.98</v>
      </c>
      <c r="Y966" s="37" t="str">
        <f>RTD("money.excel",,"3704","Price")</f>
        <v>無資料</v>
      </c>
      <c r="Z966" s="69"/>
      <c r="AA966" s="16" t="e">
        <f t="shared" si="300"/>
        <v>#VALUE!</v>
      </c>
      <c r="AB966" s="3" t="e">
        <f t="shared" si="301"/>
        <v>#VALUE!</v>
      </c>
      <c r="AC966" s="177" t="s">
        <v>2648</v>
      </c>
      <c r="AD966" s="23" t="s">
        <v>177</v>
      </c>
      <c r="AG966" s="34">
        <f t="shared" si="302"/>
        <v>0</v>
      </c>
      <c r="AH966" s="125" t="s">
        <v>2163</v>
      </c>
      <c r="AI966" s="131"/>
      <c r="AK966" s="66">
        <f t="shared" si="295"/>
        <v>0</v>
      </c>
      <c r="AL966" s="174">
        <f t="shared" si="296"/>
        <v>0</v>
      </c>
      <c r="AM966" s="346">
        <f>RTD("money.excel",,$G966,"PredictVolume")</f>
        <v>0</v>
      </c>
      <c r="AN966" s="272">
        <f>RTD("money.excel",,$G966,"CumulativeVolume")</f>
        <v>0</v>
      </c>
      <c r="AO966" s="284"/>
    </row>
    <row r="967" spans="1:41">
      <c r="A967" s="151" t="s">
        <v>3501</v>
      </c>
      <c r="B967" s="214">
        <v>-1809</v>
      </c>
      <c r="C967" s="214">
        <v>-3494</v>
      </c>
      <c r="D967" s="96">
        <v>39</v>
      </c>
      <c r="E967" s="96">
        <v>-1</v>
      </c>
      <c r="F967" s="7">
        <v>-22.61</v>
      </c>
      <c r="G967" s="85">
        <v>4903</v>
      </c>
      <c r="H967" s="4" t="s">
        <v>563</v>
      </c>
      <c r="I967" s="17" t="s">
        <v>968</v>
      </c>
      <c r="J967" s="77">
        <v>27.69</v>
      </c>
      <c r="K967" s="77">
        <v>1.1599999999999999</v>
      </c>
      <c r="L967" s="77">
        <v>0</v>
      </c>
      <c r="N967" s="365">
        <f t="shared" si="297"/>
        <v>28.85</v>
      </c>
      <c r="O967" s="343">
        <f t="shared" si="298"/>
        <v>27.69</v>
      </c>
      <c r="P967" s="195" t="s">
        <v>5554</v>
      </c>
      <c r="Q967" s="326" t="str">
        <f>IFERROR(VLOOKUP($G967,主力整理!$A$2:$G$2301,6,0),"0")</f>
        <v>0</v>
      </c>
      <c r="T967" s="339">
        <f t="shared" si="299"/>
        <v>0</v>
      </c>
      <c r="V967" s="371">
        <v>2.82</v>
      </c>
      <c r="W967" s="35">
        <v>0</v>
      </c>
      <c r="X967" s="100">
        <v>-1.82</v>
      </c>
      <c r="Y967" s="37" t="str">
        <f>RTD("money.excel",,"4903","Price")</f>
        <v>無資料</v>
      </c>
      <c r="Z967" s="69"/>
      <c r="AA967" s="16" t="e">
        <f t="shared" si="300"/>
        <v>#VALUE!</v>
      </c>
      <c r="AB967" s="3" t="e">
        <f t="shared" si="301"/>
        <v>#VALUE!</v>
      </c>
      <c r="AD967" s="17" t="s">
        <v>968</v>
      </c>
      <c r="AG967" s="34">
        <f t="shared" si="302"/>
        <v>0</v>
      </c>
      <c r="AH967" s="44" t="s">
        <v>4134</v>
      </c>
      <c r="AI967" s="131"/>
      <c r="AK967" s="66">
        <f t="shared" si="295"/>
        <v>0</v>
      </c>
      <c r="AL967" s="174">
        <f t="shared" si="296"/>
        <v>0</v>
      </c>
      <c r="AM967" s="346">
        <f>RTD("money.excel",,$G967,"PredictVolume")</f>
        <v>0</v>
      </c>
      <c r="AN967" s="272">
        <f>RTD("money.excel",,$G967,"CumulativeVolume")</f>
        <v>0</v>
      </c>
      <c r="AO967" s="284"/>
    </row>
    <row r="968" spans="1:41">
      <c r="A968" s="135" t="s">
        <v>2506</v>
      </c>
      <c r="B968" s="85">
        <v>-2</v>
      </c>
      <c r="C968" s="85">
        <v>-5</v>
      </c>
      <c r="D968" s="84">
        <v>1</v>
      </c>
      <c r="E968" s="84">
        <v>14</v>
      </c>
      <c r="F968" s="59">
        <v>15.07</v>
      </c>
      <c r="G968" s="85">
        <v>4904</v>
      </c>
      <c r="H968" s="4" t="s">
        <v>563</v>
      </c>
      <c r="I968" s="23" t="s">
        <v>21</v>
      </c>
      <c r="J968" s="371">
        <v>88.31</v>
      </c>
      <c r="K968" s="77">
        <v>20.399999999999999</v>
      </c>
      <c r="L968" s="77">
        <v>0.1</v>
      </c>
      <c r="N968" s="365">
        <f t="shared" si="297"/>
        <v>108.81</v>
      </c>
      <c r="O968" s="343">
        <f t="shared" si="298"/>
        <v>88.31</v>
      </c>
      <c r="P968" s="195">
        <v>3</v>
      </c>
      <c r="Q968" s="326">
        <f>IFERROR(VLOOKUP($G968,主力整理!$A$2:$G$2301,6,0),"0")</f>
        <v>15</v>
      </c>
      <c r="T968" s="339">
        <f t="shared" si="299"/>
        <v>18</v>
      </c>
      <c r="V968" s="371">
        <v>0</v>
      </c>
      <c r="W968" s="69">
        <v>3.25</v>
      </c>
      <c r="X968" s="59">
        <v>2.56</v>
      </c>
      <c r="Y968" s="37" t="str">
        <f>RTD("money.excel",,"4904","Price")</f>
        <v>無資料</v>
      </c>
      <c r="Z968" s="69"/>
      <c r="AA968" s="16" t="e">
        <f t="shared" si="300"/>
        <v>#VALUE!</v>
      </c>
      <c r="AB968" s="3" t="e">
        <f t="shared" si="301"/>
        <v>#VALUE!</v>
      </c>
      <c r="AC968" s="177" t="s">
        <v>2929</v>
      </c>
      <c r="AD968" s="23" t="s">
        <v>21</v>
      </c>
      <c r="AG968" s="34">
        <f t="shared" si="302"/>
        <v>0</v>
      </c>
      <c r="AH968" s="126" t="s">
        <v>4290</v>
      </c>
      <c r="AI968" s="131"/>
      <c r="AK968" s="66">
        <f t="shared" si="295"/>
        <v>0</v>
      </c>
      <c r="AL968" s="174">
        <f t="shared" si="296"/>
        <v>0</v>
      </c>
      <c r="AM968" s="346">
        <f>RTD("money.excel",,$G968,"PredictVolume")</f>
        <v>0</v>
      </c>
      <c r="AN968" s="272">
        <f>RTD("money.excel",,$G968,"CumulativeVolume")</f>
        <v>0</v>
      </c>
      <c r="AO968" s="284"/>
    </row>
    <row r="969" spans="1:41">
      <c r="A969" s="151" t="s">
        <v>3233</v>
      </c>
      <c r="B969" s="85">
        <v>-68</v>
      </c>
      <c r="C969" s="85">
        <v>-4</v>
      </c>
      <c r="D969" s="84">
        <v>5</v>
      </c>
      <c r="E969" s="84">
        <v>12</v>
      </c>
      <c r="F969" s="7">
        <v>2.09</v>
      </c>
      <c r="G969" s="85">
        <v>4906</v>
      </c>
      <c r="H969" s="4" t="s">
        <v>563</v>
      </c>
      <c r="I969" s="23" t="s">
        <v>351</v>
      </c>
      <c r="J969" s="371">
        <v>15.62</v>
      </c>
      <c r="K969" s="77">
        <v>6.13</v>
      </c>
      <c r="L969" s="77">
        <v>17.45</v>
      </c>
      <c r="N969" s="365">
        <f t="shared" si="297"/>
        <v>39.200000000000003</v>
      </c>
      <c r="O969" s="343">
        <f t="shared" si="298"/>
        <v>15.62</v>
      </c>
      <c r="P969" s="195">
        <v>9</v>
      </c>
      <c r="Q969" s="326">
        <v>10</v>
      </c>
      <c r="R969" s="111">
        <v>1</v>
      </c>
      <c r="S969" s="51">
        <v>0</v>
      </c>
      <c r="T969" s="339">
        <f t="shared" si="299"/>
        <v>20</v>
      </c>
      <c r="U969" s="329" t="s">
        <v>6540</v>
      </c>
      <c r="V969" s="371">
        <v>10.66</v>
      </c>
      <c r="W969" s="35">
        <v>1.96</v>
      </c>
      <c r="X969" s="100">
        <v>1.45</v>
      </c>
      <c r="Y969" s="37" t="str">
        <f>RTD("money.excel",,"4906","Price")</f>
        <v>無資料</v>
      </c>
      <c r="Z969" s="69"/>
      <c r="AA969" s="16" t="e">
        <f t="shared" si="300"/>
        <v>#VALUE!</v>
      </c>
      <c r="AB969" s="3" t="e">
        <f t="shared" si="301"/>
        <v>#VALUE!</v>
      </c>
      <c r="AC969" s="177" t="s">
        <v>2648</v>
      </c>
      <c r="AD969" s="23" t="s">
        <v>351</v>
      </c>
      <c r="AG969" s="34">
        <f t="shared" si="302"/>
        <v>0</v>
      </c>
      <c r="AH969" s="127" t="s">
        <v>3299</v>
      </c>
      <c r="AI969" s="131"/>
      <c r="AK969" s="66">
        <f t="shared" si="295"/>
        <v>0</v>
      </c>
      <c r="AL969" s="174">
        <f t="shared" si="296"/>
        <v>0</v>
      </c>
      <c r="AM969" s="346">
        <f>RTD("money.excel",,$G969,"PredictVolume")</f>
        <v>0</v>
      </c>
      <c r="AN969" s="272">
        <f>RTD("money.excel",,$G969,"CumulativeVolume")</f>
        <v>0</v>
      </c>
      <c r="AO969" s="284"/>
    </row>
    <row r="970" spans="1:41">
      <c r="A970" s="151" t="s">
        <v>2417</v>
      </c>
      <c r="B970" s="85">
        <v>-80</v>
      </c>
      <c r="C970" s="85">
        <v>-79</v>
      </c>
      <c r="D970" s="84">
        <v>1</v>
      </c>
      <c r="E970" s="85">
        <v>-16</v>
      </c>
      <c r="F970" s="7">
        <v>5.86</v>
      </c>
      <c r="G970" s="85">
        <v>4908</v>
      </c>
      <c r="H970" s="4" t="s">
        <v>563</v>
      </c>
      <c r="I970" s="17" t="s">
        <v>969</v>
      </c>
      <c r="J970" s="77">
        <v>37.74</v>
      </c>
      <c r="K970" s="77">
        <v>2.41</v>
      </c>
      <c r="L970" s="371">
        <v>18.45</v>
      </c>
      <c r="N970" s="365">
        <f t="shared" si="297"/>
        <v>58.600000000000009</v>
      </c>
      <c r="O970" s="343">
        <f t="shared" si="298"/>
        <v>37.74</v>
      </c>
      <c r="P970" s="195" t="s">
        <v>5554</v>
      </c>
      <c r="Q970" s="326" t="str">
        <f>IFERROR(VLOOKUP($G970,主力整理!$A$2:$G$2301,6,0),"0")</f>
        <v>0</v>
      </c>
      <c r="R970" s="111">
        <v>7</v>
      </c>
      <c r="T970" s="339">
        <f t="shared" si="299"/>
        <v>7</v>
      </c>
      <c r="V970" s="371">
        <v>0.08</v>
      </c>
      <c r="W970" s="35">
        <v>1.1000000000000001</v>
      </c>
      <c r="X970" s="100">
        <v>1.1299999999999999</v>
      </c>
      <c r="Y970" s="37" t="str">
        <f>RTD("money.excel",,"4908","Price")</f>
        <v>無資料</v>
      </c>
      <c r="Z970" s="69"/>
      <c r="AA970" s="16" t="e">
        <f t="shared" si="300"/>
        <v>#VALUE!</v>
      </c>
      <c r="AB970" s="3" t="e">
        <f t="shared" si="301"/>
        <v>#VALUE!</v>
      </c>
      <c r="AD970" s="17" t="s">
        <v>969</v>
      </c>
      <c r="AG970" s="34">
        <f t="shared" si="302"/>
        <v>0</v>
      </c>
      <c r="AH970" s="44" t="s">
        <v>3053</v>
      </c>
      <c r="AI970" s="131"/>
      <c r="AK970" s="66">
        <f t="shared" si="295"/>
        <v>0</v>
      </c>
      <c r="AL970" s="174">
        <f t="shared" si="296"/>
        <v>0</v>
      </c>
      <c r="AM970" s="346">
        <f>RTD("money.excel",,$G970,"PredictVolume")</f>
        <v>0</v>
      </c>
      <c r="AN970" s="272">
        <f>RTD("money.excel",,$G970,"CumulativeVolume")</f>
        <v>0</v>
      </c>
      <c r="AO970" s="284"/>
    </row>
    <row r="971" spans="1:41">
      <c r="A971" s="151" t="s">
        <v>3991</v>
      </c>
      <c r="B971" s="84">
        <v>38</v>
      </c>
      <c r="C971" s="85">
        <v>-18</v>
      </c>
      <c r="D971" s="85">
        <v>-1</v>
      </c>
      <c r="E971" s="84">
        <v>5</v>
      </c>
      <c r="F971" s="7">
        <v>-6.24</v>
      </c>
      <c r="G971" s="85">
        <v>4909</v>
      </c>
      <c r="H971" s="4" t="s">
        <v>563</v>
      </c>
      <c r="I971" s="17" t="s">
        <v>970</v>
      </c>
      <c r="J971" s="371">
        <v>34.450000000000003</v>
      </c>
      <c r="K971" s="77">
        <v>2.77</v>
      </c>
      <c r="L971" s="77">
        <v>13.1</v>
      </c>
      <c r="N971" s="365">
        <f t="shared" si="297"/>
        <v>50.320000000000007</v>
      </c>
      <c r="O971" s="343">
        <f t="shared" si="298"/>
        <v>34.450000000000003</v>
      </c>
      <c r="P971" s="195" t="s">
        <v>5554</v>
      </c>
      <c r="Q971" s="326" t="str">
        <f>IFERROR(VLOOKUP($G971,主力整理!$A$2:$G$2301,6,0),"0")</f>
        <v>0</v>
      </c>
      <c r="T971" s="339">
        <f t="shared" si="299"/>
        <v>0</v>
      </c>
      <c r="V971" s="371">
        <v>1.02</v>
      </c>
      <c r="W971" s="35">
        <v>0.3</v>
      </c>
      <c r="X971" s="100">
        <v>0.16</v>
      </c>
      <c r="Y971" s="37" t="str">
        <f>RTD("money.excel",,"4909","Price")</f>
        <v>無資料</v>
      </c>
      <c r="Z971" s="69"/>
      <c r="AA971" s="16" t="e">
        <f t="shared" si="300"/>
        <v>#VALUE!</v>
      </c>
      <c r="AB971" s="3" t="e">
        <f t="shared" si="301"/>
        <v>#VALUE!</v>
      </c>
      <c r="AD971" s="17" t="s">
        <v>970</v>
      </c>
      <c r="AG971" s="34">
        <f t="shared" si="302"/>
        <v>0</v>
      </c>
      <c r="AH971" s="44" t="s">
        <v>4555</v>
      </c>
      <c r="AI971" s="131"/>
      <c r="AK971" s="66">
        <f t="shared" si="295"/>
        <v>0</v>
      </c>
      <c r="AL971" s="174">
        <f t="shared" si="296"/>
        <v>0</v>
      </c>
      <c r="AM971" s="346">
        <f>RTD("money.excel",,$G971,"PredictVolume")</f>
        <v>0</v>
      </c>
      <c r="AN971" s="272">
        <f>RTD("money.excel",,$G971,"CumulativeVolume")</f>
        <v>0</v>
      </c>
      <c r="AO971" s="284"/>
    </row>
    <row r="972" spans="1:41">
      <c r="A972" s="151" t="s">
        <v>2885</v>
      </c>
      <c r="B972" s="85">
        <v>-47</v>
      </c>
      <c r="C972" s="85">
        <v>-51</v>
      </c>
      <c r="D972" s="84">
        <v>4</v>
      </c>
      <c r="E972" s="85">
        <v>-42</v>
      </c>
      <c r="F972" s="7">
        <v>8.5</v>
      </c>
      <c r="G972" s="85">
        <v>4977</v>
      </c>
      <c r="H972" s="4" t="s">
        <v>563</v>
      </c>
      <c r="I972" s="23" t="s">
        <v>444</v>
      </c>
      <c r="J972" s="77">
        <v>42.43</v>
      </c>
      <c r="K972" s="77">
        <v>38.880000000000003</v>
      </c>
      <c r="L972" s="77">
        <v>12.65</v>
      </c>
      <c r="N972" s="365">
        <f t="shared" si="297"/>
        <v>93.960000000000008</v>
      </c>
      <c r="O972" s="343">
        <f t="shared" si="298"/>
        <v>42.43</v>
      </c>
      <c r="P972" s="195">
        <v>11</v>
      </c>
      <c r="Q972" s="326" t="str">
        <f>IFERROR(VLOOKUP($G972,主力整理!$A$2:$G$2301,6,0),"0")</f>
        <v>0</v>
      </c>
      <c r="R972" s="111">
        <v>1</v>
      </c>
      <c r="S972" s="51">
        <v>0</v>
      </c>
      <c r="T972" s="339">
        <f t="shared" si="299"/>
        <v>12</v>
      </c>
      <c r="U972" s="329" t="s">
        <v>6539</v>
      </c>
      <c r="V972" s="371">
        <v>0.41</v>
      </c>
      <c r="W972" s="69">
        <v>5.81</v>
      </c>
      <c r="X972" s="100">
        <v>5.27</v>
      </c>
      <c r="Y972" s="37" t="str">
        <f>RTD("money.excel",,"4977","Price")</f>
        <v>無資料</v>
      </c>
      <c r="Z972" s="69"/>
      <c r="AA972" s="16" t="e">
        <f t="shared" si="300"/>
        <v>#VALUE!</v>
      </c>
      <c r="AB972" s="3" t="e">
        <f t="shared" si="301"/>
        <v>#VALUE!</v>
      </c>
      <c r="AC972" s="177" t="s">
        <v>2929</v>
      </c>
      <c r="AD972" s="23" t="s">
        <v>444</v>
      </c>
      <c r="AG972" s="34">
        <f t="shared" si="302"/>
        <v>0</v>
      </c>
      <c r="AH972" s="127" t="s">
        <v>3053</v>
      </c>
      <c r="AI972" s="131"/>
      <c r="AK972" s="66">
        <f t="shared" si="295"/>
        <v>0</v>
      </c>
      <c r="AL972" s="174">
        <f t="shared" si="296"/>
        <v>0</v>
      </c>
      <c r="AM972" s="346">
        <f>RTD("money.excel",,$G972,"PredictVolume")</f>
        <v>0</v>
      </c>
      <c r="AN972" s="272">
        <f>RTD("money.excel",,$G972,"CumulativeVolume")</f>
        <v>0</v>
      </c>
      <c r="AO972" s="284"/>
    </row>
    <row r="973" spans="1:41">
      <c r="A973" s="151" t="s">
        <v>3033</v>
      </c>
      <c r="B973" s="84">
        <v>59</v>
      </c>
      <c r="C973" s="84">
        <v>55</v>
      </c>
      <c r="D973" s="85">
        <v>-18</v>
      </c>
      <c r="E973" s="85">
        <v>-17</v>
      </c>
      <c r="F973" s="7">
        <v>-18.21</v>
      </c>
      <c r="G973" s="85">
        <v>4979</v>
      </c>
      <c r="H973" s="4" t="s">
        <v>563</v>
      </c>
      <c r="I973" s="17" t="s">
        <v>280</v>
      </c>
      <c r="J973" s="77">
        <v>39.409999999999997</v>
      </c>
      <c r="K973" s="371">
        <v>3.87</v>
      </c>
      <c r="L973" s="371">
        <v>39.049999999999997</v>
      </c>
      <c r="N973" s="365">
        <f t="shared" si="297"/>
        <v>82.329999999999984</v>
      </c>
      <c r="O973" s="343">
        <f t="shared" si="298"/>
        <v>39.409999999999997</v>
      </c>
      <c r="P973" s="195" t="s">
        <v>5554</v>
      </c>
      <c r="Q973" s="326" t="str">
        <f>IFERROR(VLOOKUP($G973,主力整理!$A$2:$G$2301,6,0),"0")</f>
        <v>0</v>
      </c>
      <c r="T973" s="339">
        <f t="shared" si="299"/>
        <v>0</v>
      </c>
      <c r="V973" s="371">
        <v>22.78</v>
      </c>
      <c r="W973" s="35">
        <v>0</v>
      </c>
      <c r="X973" s="100">
        <v>-0.75</v>
      </c>
      <c r="Y973" s="37" t="str">
        <f>RTD("money.excel",,"4979","Price")</f>
        <v>無資料</v>
      </c>
      <c r="Z973" s="69"/>
      <c r="AA973" s="16" t="e">
        <f t="shared" si="300"/>
        <v>#VALUE!</v>
      </c>
      <c r="AB973" s="3" t="e">
        <f t="shared" si="301"/>
        <v>#VALUE!</v>
      </c>
      <c r="AC973" s="177" t="s">
        <v>2648</v>
      </c>
      <c r="AD973" s="17" t="s">
        <v>280</v>
      </c>
      <c r="AG973" s="34">
        <f t="shared" si="302"/>
        <v>0</v>
      </c>
      <c r="AH973" s="125" t="s">
        <v>4134</v>
      </c>
      <c r="AI973" s="131"/>
      <c r="AK973" s="66">
        <f t="shared" si="295"/>
        <v>0</v>
      </c>
      <c r="AL973" s="174">
        <f t="shared" si="296"/>
        <v>0</v>
      </c>
      <c r="AM973" s="346">
        <f>RTD("money.excel",,$G973,"PredictVolume")</f>
        <v>0</v>
      </c>
      <c r="AN973" s="272">
        <f>RTD("money.excel",,$G973,"CumulativeVolume")</f>
        <v>0</v>
      </c>
      <c r="AO973" s="284"/>
    </row>
    <row r="974" spans="1:41">
      <c r="A974" s="151" t="s">
        <v>4675</v>
      </c>
      <c r="B974" s="96">
        <v>20</v>
      </c>
      <c r="C974" s="96">
        <v>25</v>
      </c>
      <c r="D974" s="96">
        <v>-22</v>
      </c>
      <c r="E974" s="96">
        <v>-11</v>
      </c>
      <c r="F974" s="7">
        <v>-23.99</v>
      </c>
      <c r="G974" s="85">
        <v>5348</v>
      </c>
      <c r="H974" s="4" t="s">
        <v>563</v>
      </c>
      <c r="I974" s="17" t="s">
        <v>971</v>
      </c>
      <c r="J974" s="77">
        <v>60.23</v>
      </c>
      <c r="K974" s="77">
        <v>0</v>
      </c>
      <c r="N974" s="365">
        <f t="shared" si="297"/>
        <v>60.23</v>
      </c>
      <c r="O974" s="343">
        <f t="shared" si="298"/>
        <v>60.23</v>
      </c>
      <c r="P974" s="195" t="s">
        <v>5554</v>
      </c>
      <c r="Q974" s="326" t="str">
        <f>IFERROR(VLOOKUP($G974,主力整理!$A$2:$G$2301,6,0),"0")</f>
        <v>0</v>
      </c>
      <c r="T974" s="339">
        <f t="shared" si="299"/>
        <v>0</v>
      </c>
      <c r="V974" s="371">
        <v>22.13</v>
      </c>
      <c r="W974" s="35">
        <v>0</v>
      </c>
      <c r="X974" s="100">
        <v>-0.71</v>
      </c>
      <c r="Y974" s="14" t="str">
        <f>RTD("money.excel",,"5348","Price")</f>
        <v>無資料</v>
      </c>
      <c r="Z974" s="69"/>
      <c r="AA974" s="16" t="e">
        <f t="shared" si="300"/>
        <v>#VALUE!</v>
      </c>
      <c r="AB974" s="3" t="e">
        <f t="shared" si="301"/>
        <v>#VALUE!</v>
      </c>
      <c r="AD974" s="17" t="s">
        <v>971</v>
      </c>
      <c r="AG974" s="34">
        <f t="shared" si="302"/>
        <v>0</v>
      </c>
      <c r="AH974" s="44" t="s">
        <v>4128</v>
      </c>
      <c r="AI974" s="131"/>
      <c r="AK974" s="66">
        <f t="shared" si="295"/>
        <v>0</v>
      </c>
      <c r="AL974" s="174">
        <f t="shared" si="296"/>
        <v>0</v>
      </c>
      <c r="AM974" s="346">
        <f>RTD("money.excel",,$G974,"PredictVolume")</f>
        <v>0</v>
      </c>
      <c r="AN974" s="272">
        <f>RTD("money.excel",,$G974,"CumulativeVolume")</f>
        <v>0</v>
      </c>
      <c r="AO974" s="284"/>
    </row>
    <row r="975" spans="1:41">
      <c r="A975" s="151" t="s">
        <v>3229</v>
      </c>
      <c r="B975" s="96">
        <v>-31</v>
      </c>
      <c r="C975" s="96">
        <v>-35</v>
      </c>
      <c r="D975" s="96">
        <v>17</v>
      </c>
      <c r="E975" s="96">
        <v>-18</v>
      </c>
      <c r="F975" s="7">
        <v>4.21</v>
      </c>
      <c r="G975" s="85">
        <v>5353</v>
      </c>
      <c r="H975" s="4" t="s">
        <v>563</v>
      </c>
      <c r="I975" s="17" t="s">
        <v>972</v>
      </c>
      <c r="J975" s="77">
        <v>57.39</v>
      </c>
      <c r="K975" s="77">
        <v>0.01</v>
      </c>
      <c r="L975" s="77">
        <v>5.84</v>
      </c>
      <c r="N975" s="365">
        <f t="shared" si="297"/>
        <v>63.239999999999995</v>
      </c>
      <c r="O975" s="343">
        <f t="shared" si="298"/>
        <v>57.39</v>
      </c>
      <c r="P975" s="195" t="s">
        <v>5554</v>
      </c>
      <c r="Q975" s="326" t="str">
        <f>IFERROR(VLOOKUP($G975,主力整理!$A$2:$G$2301,6,0),"0")</f>
        <v>0</v>
      </c>
      <c r="T975" s="339">
        <f t="shared" si="299"/>
        <v>0</v>
      </c>
      <c r="V975" s="371">
        <v>27.86</v>
      </c>
      <c r="W975" s="35">
        <v>0.85</v>
      </c>
      <c r="X975" s="100">
        <v>0.88</v>
      </c>
      <c r="Y975" s="14" t="str">
        <f>RTD("money.excel",,"5353","Price")</f>
        <v>無資料</v>
      </c>
      <c r="Z975" s="69"/>
      <c r="AA975" s="16" t="e">
        <f t="shared" si="300"/>
        <v>#VALUE!</v>
      </c>
      <c r="AB975" s="3" t="e">
        <f t="shared" si="301"/>
        <v>#VALUE!</v>
      </c>
      <c r="AD975" s="17" t="s">
        <v>972</v>
      </c>
      <c r="AG975" s="34">
        <f t="shared" si="302"/>
        <v>0</v>
      </c>
      <c r="AH975" s="44" t="s">
        <v>3563</v>
      </c>
      <c r="AI975" s="131"/>
      <c r="AK975" s="66">
        <f t="shared" si="295"/>
        <v>0</v>
      </c>
      <c r="AL975" s="174">
        <f t="shared" si="296"/>
        <v>0</v>
      </c>
      <c r="AM975" s="346">
        <f>RTD("money.excel",,$G975,"PredictVolume")</f>
        <v>0</v>
      </c>
      <c r="AN975" s="272">
        <f>RTD("money.excel",,$G975,"CumulativeVolume")</f>
        <v>0</v>
      </c>
      <c r="AO975" s="284"/>
    </row>
    <row r="976" spans="1:41">
      <c r="A976" s="151" t="s">
        <v>3626</v>
      </c>
      <c r="B976" s="84">
        <v>60</v>
      </c>
      <c r="C976" s="84">
        <v>61</v>
      </c>
      <c r="D976" s="85">
        <v>-3</v>
      </c>
      <c r="E976" s="84">
        <v>27</v>
      </c>
      <c r="F976" s="7">
        <v>1.82</v>
      </c>
      <c r="G976" s="85">
        <v>5388</v>
      </c>
      <c r="H976" s="4" t="s">
        <v>563</v>
      </c>
      <c r="I976" s="23" t="s">
        <v>111</v>
      </c>
      <c r="J976" s="77">
        <v>45.97</v>
      </c>
      <c r="K976" s="77">
        <v>21.87</v>
      </c>
      <c r="L976" s="371">
        <v>7.6</v>
      </c>
      <c r="N976" s="365">
        <f t="shared" si="297"/>
        <v>75.44</v>
      </c>
      <c r="O976" s="343">
        <f t="shared" si="298"/>
        <v>45.97</v>
      </c>
      <c r="P976" s="195">
        <v>9</v>
      </c>
      <c r="Q976" s="326">
        <f>IFERROR(VLOOKUP($G976,主力整理!$A$2:$G$2301,6,0),"0")</f>
        <v>1</v>
      </c>
      <c r="T976" s="339">
        <f t="shared" si="299"/>
        <v>10</v>
      </c>
      <c r="V976" s="371">
        <v>0.09</v>
      </c>
      <c r="W976" s="35">
        <v>2.6</v>
      </c>
      <c r="X976" s="100">
        <v>3.87</v>
      </c>
      <c r="Y976" s="37" t="str">
        <f>RTD("money.excel",,"5388","Price")</f>
        <v>無資料</v>
      </c>
      <c r="Z976" s="69"/>
      <c r="AA976" s="16" t="e">
        <f t="shared" si="300"/>
        <v>#VALUE!</v>
      </c>
      <c r="AB976" s="3" t="e">
        <f t="shared" si="301"/>
        <v>#VALUE!</v>
      </c>
      <c r="AC976" s="177" t="s">
        <v>2648</v>
      </c>
      <c r="AD976" s="23" t="s">
        <v>111</v>
      </c>
      <c r="AG976" s="34">
        <f t="shared" si="302"/>
        <v>0</v>
      </c>
      <c r="AH976" s="125" t="s">
        <v>2163</v>
      </c>
      <c r="AI976" s="284"/>
      <c r="AK976" s="66">
        <f t="shared" si="295"/>
        <v>0</v>
      </c>
      <c r="AL976" s="174">
        <f t="shared" si="296"/>
        <v>0</v>
      </c>
      <c r="AM976" s="346">
        <f>RTD("money.excel",,$G976,"PredictVolume")</f>
        <v>0</v>
      </c>
      <c r="AN976" s="272">
        <f>RTD("money.excel",,$G976,"CumulativeVolume")</f>
        <v>0</v>
      </c>
      <c r="AO976" s="284"/>
    </row>
    <row r="977" spans="1:41">
      <c r="A977" s="151" t="s">
        <v>4676</v>
      </c>
      <c r="B977" s="96">
        <v>-180</v>
      </c>
      <c r="C977" s="96">
        <v>-151</v>
      </c>
      <c r="D977" s="96">
        <v>-10</v>
      </c>
      <c r="E977" s="96">
        <v>20</v>
      </c>
      <c r="F977" s="7">
        <v>-2.0499999999999998</v>
      </c>
      <c r="G977" s="85">
        <v>6109</v>
      </c>
      <c r="H977" s="4" t="s">
        <v>563</v>
      </c>
      <c r="I977" s="17" t="s">
        <v>973</v>
      </c>
      <c r="J977" s="77">
        <v>60.92</v>
      </c>
      <c r="K977" s="77">
        <v>2.4700000000000002</v>
      </c>
      <c r="L977" s="77">
        <v>2.2200000000000002</v>
      </c>
      <c r="N977" s="365">
        <f t="shared" si="297"/>
        <v>65.61</v>
      </c>
      <c r="O977" s="343">
        <f t="shared" si="298"/>
        <v>60.92</v>
      </c>
      <c r="P977" s="195" t="s">
        <v>5554</v>
      </c>
      <c r="Q977" s="326" t="str">
        <f>IFERROR(VLOOKUP($G977,主力整理!$A$2:$G$2301,6,0),"0")</f>
        <v>0</v>
      </c>
      <c r="T977" s="339">
        <f t="shared" si="299"/>
        <v>0</v>
      </c>
      <c r="V977" s="371">
        <v>14.48</v>
      </c>
      <c r="W977" s="35">
        <v>0</v>
      </c>
      <c r="X977" s="100">
        <v>-0.16</v>
      </c>
      <c r="Y977" s="14" t="str">
        <f>RTD("money.excel",,"6109","Price")</f>
        <v>無資料</v>
      </c>
      <c r="Z977" s="69"/>
      <c r="AA977" s="16" t="e">
        <f t="shared" si="300"/>
        <v>#VALUE!</v>
      </c>
      <c r="AB977" s="3" t="e">
        <f t="shared" si="301"/>
        <v>#VALUE!</v>
      </c>
      <c r="AD977" s="17" t="s">
        <v>973</v>
      </c>
      <c r="AG977" s="34">
        <f t="shared" si="302"/>
        <v>0</v>
      </c>
      <c r="AH977" s="44" t="s">
        <v>3761</v>
      </c>
      <c r="AI977" s="131"/>
      <c r="AK977" s="66">
        <f t="shared" si="295"/>
        <v>0</v>
      </c>
      <c r="AL977" s="174">
        <f t="shared" si="296"/>
        <v>0</v>
      </c>
      <c r="AM977" s="346">
        <f>RTD("money.excel",,$G977,"PredictVolume")</f>
        <v>0</v>
      </c>
      <c r="AN977" s="272">
        <f>RTD("money.excel",,$G977,"CumulativeVolume")</f>
        <v>0</v>
      </c>
      <c r="AO977" s="284"/>
    </row>
    <row r="978" spans="1:41">
      <c r="A978" s="151" t="s">
        <v>2754</v>
      </c>
      <c r="B978" s="84">
        <v>22</v>
      </c>
      <c r="C978" s="85">
        <v>-17</v>
      </c>
      <c r="D978" s="84">
        <v>0</v>
      </c>
      <c r="E978" s="84">
        <v>15</v>
      </c>
      <c r="F978" s="7">
        <v>-7.15</v>
      </c>
      <c r="G978" s="85">
        <v>6136</v>
      </c>
      <c r="H978" s="4" t="s">
        <v>563</v>
      </c>
      <c r="I978" s="23" t="s">
        <v>998</v>
      </c>
      <c r="J978" s="371">
        <v>19.329999999999998</v>
      </c>
      <c r="K978" s="371">
        <v>4.1399999999999997</v>
      </c>
      <c r="L978" s="371">
        <v>16.760000000000002</v>
      </c>
      <c r="N978" s="365">
        <f t="shared" si="297"/>
        <v>40.230000000000004</v>
      </c>
      <c r="O978" s="343">
        <f t="shared" si="298"/>
        <v>19.329999999999998</v>
      </c>
      <c r="P978" s="195">
        <v>0</v>
      </c>
      <c r="Q978" s="326">
        <v>1</v>
      </c>
      <c r="R978" s="111">
        <v>2</v>
      </c>
      <c r="S978" s="51">
        <v>0</v>
      </c>
      <c r="T978" s="339">
        <f t="shared" si="299"/>
        <v>3</v>
      </c>
      <c r="V978" s="371">
        <v>13.37</v>
      </c>
      <c r="W978" s="35">
        <v>1.1000000000000001</v>
      </c>
      <c r="X978" s="100">
        <v>0.61</v>
      </c>
      <c r="Y978" s="37" t="str">
        <f>RTD("money.excel",,"6136","Price")</f>
        <v>無資料</v>
      </c>
      <c r="Z978" s="69"/>
      <c r="AA978" s="16" t="e">
        <f t="shared" si="300"/>
        <v>#VALUE!</v>
      </c>
      <c r="AB978" s="3" t="e">
        <f t="shared" si="301"/>
        <v>#VALUE!</v>
      </c>
      <c r="AD978" s="23" t="s">
        <v>998</v>
      </c>
      <c r="AG978" s="34">
        <f t="shared" si="302"/>
        <v>0</v>
      </c>
      <c r="AH978" s="44" t="s">
        <v>4291</v>
      </c>
      <c r="AI978" s="131"/>
      <c r="AK978" s="66">
        <f t="shared" si="295"/>
        <v>0</v>
      </c>
      <c r="AL978" s="174">
        <f t="shared" si="296"/>
        <v>0</v>
      </c>
      <c r="AM978" s="346">
        <f>RTD("money.excel",,$G978,"PredictVolume")</f>
        <v>0</v>
      </c>
      <c r="AN978" s="272">
        <f>RTD("money.excel",,$G978,"CumulativeVolume")</f>
        <v>0</v>
      </c>
      <c r="AO978" s="284"/>
    </row>
    <row r="979" spans="1:41">
      <c r="A979" s="151" t="s">
        <v>4815</v>
      </c>
      <c r="B979" s="96">
        <v>-26</v>
      </c>
      <c r="C979" s="96">
        <v>-35</v>
      </c>
      <c r="D979" s="96">
        <v>-58</v>
      </c>
      <c r="E979" s="96">
        <v>-22</v>
      </c>
      <c r="F979" s="7">
        <v>-16.7</v>
      </c>
      <c r="G979" s="85">
        <v>6142</v>
      </c>
      <c r="H979" s="4" t="s">
        <v>563</v>
      </c>
      <c r="I979" s="23" t="s">
        <v>999</v>
      </c>
      <c r="J979" s="77">
        <v>44.66</v>
      </c>
      <c r="K979" s="77">
        <v>3.29</v>
      </c>
      <c r="L979" s="77">
        <v>17.05</v>
      </c>
      <c r="N979" s="365">
        <f t="shared" si="297"/>
        <v>65</v>
      </c>
      <c r="O979" s="343">
        <f t="shared" si="298"/>
        <v>44.66</v>
      </c>
      <c r="P979" s="195" t="s">
        <v>5554</v>
      </c>
      <c r="Q979" s="326" t="str">
        <f>IFERROR(VLOOKUP($G979,主力整理!$A$2:$G$2301,6,0),"0")</f>
        <v>0</v>
      </c>
      <c r="T979" s="339">
        <f t="shared" si="299"/>
        <v>0</v>
      </c>
      <c r="V979" s="371">
        <v>10.88</v>
      </c>
      <c r="W979" s="35">
        <v>0</v>
      </c>
      <c r="X979" s="100">
        <v>-1.68</v>
      </c>
      <c r="Y979" s="37" t="str">
        <f>RTD("money.excel",,"6142","Price")</f>
        <v>無資料</v>
      </c>
      <c r="Z979" s="69"/>
      <c r="AA979" s="16" t="e">
        <f t="shared" si="300"/>
        <v>#VALUE!</v>
      </c>
      <c r="AB979" s="3" t="e">
        <f t="shared" si="301"/>
        <v>#VALUE!</v>
      </c>
      <c r="AD979" s="23" t="s">
        <v>999</v>
      </c>
      <c r="AG979" s="34">
        <f t="shared" si="302"/>
        <v>0</v>
      </c>
      <c r="AH979" s="44" t="s">
        <v>5134</v>
      </c>
      <c r="AK979" s="66">
        <f t="shared" si="295"/>
        <v>0</v>
      </c>
      <c r="AL979" s="174">
        <f t="shared" si="296"/>
        <v>0</v>
      </c>
      <c r="AM979" s="346">
        <f>RTD("money.excel",,$G979,"PredictVolume")</f>
        <v>0</v>
      </c>
      <c r="AN979" s="272">
        <f>RTD("money.excel",,$G979,"CumulativeVolume")</f>
        <v>0</v>
      </c>
    </row>
    <row r="980" spans="1:41">
      <c r="A980" s="151" t="s">
        <v>4576</v>
      </c>
      <c r="B980" s="85">
        <v>-1</v>
      </c>
      <c r="C980" s="84">
        <v>55</v>
      </c>
      <c r="D980" s="85">
        <v>-18</v>
      </c>
      <c r="E980" s="84">
        <v>15</v>
      </c>
      <c r="F980" s="7">
        <v>5.52</v>
      </c>
      <c r="G980" s="85">
        <v>6143</v>
      </c>
      <c r="H980" s="4" t="s">
        <v>563</v>
      </c>
      <c r="I980" s="17" t="s">
        <v>156</v>
      </c>
      <c r="J980" s="77">
        <v>25.25</v>
      </c>
      <c r="K980" s="371">
        <v>5.71</v>
      </c>
      <c r="L980" s="77">
        <v>25.58</v>
      </c>
      <c r="N980" s="365">
        <f t="shared" si="297"/>
        <v>56.54</v>
      </c>
      <c r="O980" s="343">
        <f t="shared" si="298"/>
        <v>25.25</v>
      </c>
      <c r="P980" s="195">
        <v>1</v>
      </c>
      <c r="Q980" s="326">
        <f>IFERROR(VLOOKUP($G980,主力整理!$A$2:$G$2301,6,0),"0")</f>
        <v>2</v>
      </c>
      <c r="T980" s="339">
        <f t="shared" si="299"/>
        <v>3</v>
      </c>
      <c r="V980" s="371">
        <v>0</v>
      </c>
      <c r="W980" s="35">
        <v>2.85</v>
      </c>
      <c r="X980" s="100">
        <v>2.95</v>
      </c>
      <c r="Y980" s="37" t="str">
        <f>RTD("money.excel",,"6143","Price")</f>
        <v>無資料</v>
      </c>
      <c r="Z980" s="69"/>
      <c r="AA980" s="16" t="e">
        <f t="shared" si="300"/>
        <v>#VALUE!</v>
      </c>
      <c r="AB980" s="3" t="e">
        <f t="shared" si="301"/>
        <v>#VALUE!</v>
      </c>
      <c r="AC980" s="177" t="s">
        <v>2648</v>
      </c>
      <c r="AD980" s="17" t="s">
        <v>156</v>
      </c>
      <c r="AG980" s="34">
        <f t="shared" si="302"/>
        <v>0</v>
      </c>
      <c r="AH980" s="125" t="s">
        <v>4578</v>
      </c>
      <c r="AI980" s="131"/>
      <c r="AK980" s="66">
        <f t="shared" ref="AK980:AK1011" si="303">AM980/(A980*10000)</f>
        <v>0</v>
      </c>
      <c r="AL980" s="174">
        <f t="shared" ref="AL980:AL1011" si="304">AN980/(A980*10000)</f>
        <v>0</v>
      </c>
      <c r="AM980" s="346">
        <f>RTD("money.excel",,$G980,"PredictVolume")</f>
        <v>0</v>
      </c>
      <c r="AN980" s="272">
        <f>RTD("money.excel",,$G980,"CumulativeVolume")</f>
        <v>0</v>
      </c>
      <c r="AO980" s="284"/>
    </row>
    <row r="981" spans="1:41">
      <c r="A981" s="151" t="s">
        <v>2560</v>
      </c>
      <c r="B981" s="96">
        <v>111</v>
      </c>
      <c r="C981" s="96">
        <v>0</v>
      </c>
      <c r="D981" s="96">
        <v>-39</v>
      </c>
      <c r="E981" s="96">
        <v>57</v>
      </c>
      <c r="F981" s="7">
        <v>-6.3</v>
      </c>
      <c r="G981" s="85">
        <v>6152</v>
      </c>
      <c r="H981" s="4" t="s">
        <v>563</v>
      </c>
      <c r="I981" s="23" t="s">
        <v>1000</v>
      </c>
      <c r="J981" s="77">
        <v>40.68</v>
      </c>
      <c r="K981" s="77">
        <v>1.23</v>
      </c>
      <c r="L981" s="77">
        <v>0</v>
      </c>
      <c r="N981" s="365">
        <f t="shared" si="297"/>
        <v>41.91</v>
      </c>
      <c r="O981" s="343">
        <f t="shared" si="298"/>
        <v>40.68</v>
      </c>
      <c r="P981" s="195" t="s">
        <v>5554</v>
      </c>
      <c r="Q981" s="326" t="str">
        <f>IFERROR(VLOOKUP($G981,主力整理!$A$2:$G$2301,6,0),"0")</f>
        <v>0</v>
      </c>
      <c r="T981" s="339">
        <f t="shared" si="299"/>
        <v>0</v>
      </c>
      <c r="V981" s="371">
        <v>6.28</v>
      </c>
      <c r="W981" s="35">
        <v>0</v>
      </c>
      <c r="X981" s="100">
        <v>0.13</v>
      </c>
      <c r="Y981" s="37" t="str">
        <f>RTD("money.excel",,"6152","Price")</f>
        <v>無資料</v>
      </c>
      <c r="Z981" s="69"/>
      <c r="AA981" s="16" t="e">
        <f t="shared" si="300"/>
        <v>#VALUE!</v>
      </c>
      <c r="AB981" s="3" t="e">
        <f t="shared" si="301"/>
        <v>#VALUE!</v>
      </c>
      <c r="AD981" s="23" t="s">
        <v>1000</v>
      </c>
      <c r="AG981" s="34">
        <f t="shared" si="302"/>
        <v>0</v>
      </c>
      <c r="AH981" s="44" t="s">
        <v>4292</v>
      </c>
      <c r="AI981" s="131"/>
      <c r="AK981" s="66">
        <f t="shared" si="303"/>
        <v>0</v>
      </c>
      <c r="AL981" s="174">
        <f t="shared" si="304"/>
        <v>0</v>
      </c>
      <c r="AM981" s="346">
        <f>RTD("money.excel",,$G981,"PredictVolume")</f>
        <v>0</v>
      </c>
      <c r="AN981" s="272">
        <f>RTD("money.excel",,$G981,"CumulativeVolume")</f>
        <v>0</v>
      </c>
      <c r="AO981" s="284"/>
    </row>
    <row r="982" spans="1:41">
      <c r="A982" s="151" t="s">
        <v>2455</v>
      </c>
      <c r="B982" s="96">
        <v>-209</v>
      </c>
      <c r="C982" s="96">
        <v>-245</v>
      </c>
      <c r="D982" s="96">
        <v>203</v>
      </c>
      <c r="E982" s="96">
        <v>-5</v>
      </c>
      <c r="F982" s="7">
        <v>3.19</v>
      </c>
      <c r="G982" s="85">
        <v>6163</v>
      </c>
      <c r="H982" s="4" t="s">
        <v>563</v>
      </c>
      <c r="I982" s="17" t="s">
        <v>974</v>
      </c>
      <c r="J982" s="77">
        <v>22.97</v>
      </c>
      <c r="K982" s="77">
        <v>1.5</v>
      </c>
      <c r="L982" s="77">
        <v>14.27</v>
      </c>
      <c r="N982" s="365">
        <f t="shared" si="297"/>
        <v>38.739999999999995</v>
      </c>
      <c r="O982" s="343">
        <f t="shared" si="298"/>
        <v>22.97</v>
      </c>
      <c r="P982" s="195" t="s">
        <v>5554</v>
      </c>
      <c r="Q982" s="326">
        <f>IFERROR(VLOOKUP($G982,主力整理!$A$2:$G$2301,6,0),"0")</f>
        <v>6</v>
      </c>
      <c r="T982" s="339">
        <f t="shared" si="299"/>
        <v>6</v>
      </c>
      <c r="V982" s="371">
        <v>10.94</v>
      </c>
      <c r="W982" s="35">
        <v>0</v>
      </c>
      <c r="X982" s="100">
        <v>0.02</v>
      </c>
      <c r="Y982" s="37" t="str">
        <f>RTD("money.excel",,"6163","Price")</f>
        <v>無資料</v>
      </c>
      <c r="Z982" s="69"/>
      <c r="AA982" s="16" t="e">
        <f t="shared" si="300"/>
        <v>#VALUE!</v>
      </c>
      <c r="AB982" s="3" t="e">
        <f t="shared" si="301"/>
        <v>#VALUE!</v>
      </c>
      <c r="AD982" s="17" t="s">
        <v>974</v>
      </c>
      <c r="AG982" s="34">
        <f t="shared" si="302"/>
        <v>0</v>
      </c>
      <c r="AH982" s="44" t="s">
        <v>4135</v>
      </c>
      <c r="AI982" s="131"/>
      <c r="AK982" s="66">
        <f t="shared" si="303"/>
        <v>0</v>
      </c>
      <c r="AL982" s="174">
        <f t="shared" si="304"/>
        <v>0</v>
      </c>
      <c r="AM982" s="346">
        <f>RTD("money.excel",,$G982,"PredictVolume")</f>
        <v>0</v>
      </c>
      <c r="AN982" s="272">
        <f>RTD("money.excel",,$G982,"CumulativeVolume")</f>
        <v>0</v>
      </c>
      <c r="AO982" s="284"/>
    </row>
    <row r="983" spans="1:41">
      <c r="A983" s="151" t="s">
        <v>3138</v>
      </c>
      <c r="B983" s="96">
        <v>71</v>
      </c>
      <c r="C983" s="96">
        <v>60</v>
      </c>
      <c r="D983" s="96">
        <v>6</v>
      </c>
      <c r="E983" s="96">
        <v>-13</v>
      </c>
      <c r="F983" s="7">
        <v>-1.83</v>
      </c>
      <c r="G983" s="85">
        <v>6170</v>
      </c>
      <c r="H983" s="4" t="s">
        <v>563</v>
      </c>
      <c r="I983" s="17" t="s">
        <v>975</v>
      </c>
      <c r="J983" s="77">
        <v>38.07</v>
      </c>
      <c r="K983" s="77">
        <v>3.67</v>
      </c>
      <c r="L983" s="77">
        <v>10.5</v>
      </c>
      <c r="N983" s="365">
        <f t="shared" si="297"/>
        <v>52.24</v>
      </c>
      <c r="O983" s="343">
        <f t="shared" si="298"/>
        <v>38.07</v>
      </c>
      <c r="P983" s="195" t="s">
        <v>5554</v>
      </c>
      <c r="Q983" s="326">
        <f>IFERROR(VLOOKUP($G983,主力整理!$A$2:$G$2301,6,0),"0")</f>
        <v>4</v>
      </c>
      <c r="T983" s="339">
        <f t="shared" si="299"/>
        <v>4</v>
      </c>
      <c r="V983" s="371">
        <v>21.79</v>
      </c>
      <c r="W983" s="35">
        <v>1.4</v>
      </c>
      <c r="X983" s="100">
        <v>1.63</v>
      </c>
      <c r="Y983" s="37" t="str">
        <f>RTD("money.excel",,"6170","Price")</f>
        <v>無資料</v>
      </c>
      <c r="Z983" s="69"/>
      <c r="AA983" s="16" t="e">
        <f t="shared" si="300"/>
        <v>#VALUE!</v>
      </c>
      <c r="AB983" s="3" t="e">
        <f t="shared" si="301"/>
        <v>#VALUE!</v>
      </c>
      <c r="AD983" s="17" t="s">
        <v>975</v>
      </c>
      <c r="AG983" s="34">
        <f t="shared" si="302"/>
        <v>0</v>
      </c>
      <c r="AH983" s="44" t="s">
        <v>4136</v>
      </c>
      <c r="AI983" s="131"/>
      <c r="AK983" s="66">
        <f t="shared" si="303"/>
        <v>0</v>
      </c>
      <c r="AL983" s="174">
        <f t="shared" si="304"/>
        <v>0</v>
      </c>
      <c r="AM983" s="346">
        <f>RTD("money.excel",,$G983,"PredictVolume")</f>
        <v>0</v>
      </c>
      <c r="AN983" s="272">
        <f>RTD("money.excel",,$G983,"CumulativeVolume")</f>
        <v>0</v>
      </c>
      <c r="AO983" s="284"/>
    </row>
    <row r="984" spans="1:41">
      <c r="A984" s="151" t="s">
        <v>2809</v>
      </c>
      <c r="B984" s="84">
        <v>62</v>
      </c>
      <c r="C984" s="84">
        <v>55</v>
      </c>
      <c r="D984" s="84">
        <v>8</v>
      </c>
      <c r="E984" s="84">
        <v>53</v>
      </c>
      <c r="F984" s="7">
        <v>5.15</v>
      </c>
      <c r="G984" s="85">
        <v>6190</v>
      </c>
      <c r="H984" s="4" t="s">
        <v>563</v>
      </c>
      <c r="I984" s="17" t="s">
        <v>976</v>
      </c>
      <c r="J984" s="77">
        <v>40.119999999999997</v>
      </c>
      <c r="K984" s="77">
        <v>1.52</v>
      </c>
      <c r="L984" s="371">
        <v>28.93</v>
      </c>
      <c r="M984" s="77">
        <v>10.85</v>
      </c>
      <c r="N984" s="365">
        <f t="shared" si="297"/>
        <v>81.419999999999987</v>
      </c>
      <c r="O984" s="343">
        <f t="shared" si="298"/>
        <v>50.97</v>
      </c>
      <c r="P984" s="195">
        <v>4</v>
      </c>
      <c r="Q984" s="326">
        <v>3</v>
      </c>
      <c r="R984" s="111">
        <v>17</v>
      </c>
      <c r="S984" s="51">
        <v>12</v>
      </c>
      <c r="T984" s="339">
        <f t="shared" si="299"/>
        <v>36</v>
      </c>
      <c r="U984" s="329" t="s">
        <v>6538</v>
      </c>
      <c r="V984" s="371">
        <v>7.33</v>
      </c>
      <c r="W984" s="35">
        <v>1.01</v>
      </c>
      <c r="X984" s="100">
        <v>1.58</v>
      </c>
      <c r="Y984" s="37" t="str">
        <f>RTD("money.excel",,"6190","Price")</f>
        <v>無資料</v>
      </c>
      <c r="Z984" s="69"/>
      <c r="AA984" s="16" t="e">
        <f t="shared" si="300"/>
        <v>#VALUE!</v>
      </c>
      <c r="AB984" s="3" t="e">
        <f t="shared" si="301"/>
        <v>#VALUE!</v>
      </c>
      <c r="AC984" s="177" t="s">
        <v>2648</v>
      </c>
      <c r="AD984" s="17" t="s">
        <v>976</v>
      </c>
      <c r="AG984" s="34">
        <f t="shared" si="302"/>
        <v>0</v>
      </c>
      <c r="AH984" s="44" t="s">
        <v>4572</v>
      </c>
      <c r="AI984" s="131"/>
      <c r="AK984" s="66">
        <f t="shared" si="303"/>
        <v>0</v>
      </c>
      <c r="AL984" s="174">
        <f t="shared" si="304"/>
        <v>0</v>
      </c>
      <c r="AM984" s="346">
        <f>RTD("money.excel",,$G984,"PredictVolume")</f>
        <v>0</v>
      </c>
      <c r="AN984" s="272">
        <f>RTD("money.excel",,$G984,"CumulativeVolume")</f>
        <v>0</v>
      </c>
      <c r="AO984" s="284"/>
    </row>
    <row r="985" spans="1:41">
      <c r="A985" s="135" t="s">
        <v>4816</v>
      </c>
      <c r="B985" s="96">
        <v>-34</v>
      </c>
      <c r="C985" s="96">
        <v>-22</v>
      </c>
      <c r="D985" s="96">
        <v>-3</v>
      </c>
      <c r="E985" s="96">
        <v>92</v>
      </c>
      <c r="F985" s="59">
        <v>16.149999999999999</v>
      </c>
      <c r="G985" s="85">
        <v>6216</v>
      </c>
      <c r="H985" s="4" t="s">
        <v>563</v>
      </c>
      <c r="I985" s="23" t="s">
        <v>1002</v>
      </c>
      <c r="J985" s="77">
        <v>38.04</v>
      </c>
      <c r="K985" s="371">
        <v>0.78</v>
      </c>
      <c r="L985" s="77">
        <v>2.17</v>
      </c>
      <c r="N985" s="365">
        <f t="shared" si="297"/>
        <v>40.99</v>
      </c>
      <c r="O985" s="343">
        <f t="shared" si="298"/>
        <v>38.04</v>
      </c>
      <c r="P985" s="195" t="s">
        <v>5554</v>
      </c>
      <c r="Q985" s="326" t="str">
        <f>IFERROR(VLOOKUP($G985,主力整理!$A$2:$G$2301,6,0),"0")</f>
        <v>0</v>
      </c>
      <c r="T985" s="339">
        <f t="shared" si="299"/>
        <v>0</v>
      </c>
      <c r="V985" s="371">
        <v>20.53</v>
      </c>
      <c r="W985" s="35">
        <v>1.5</v>
      </c>
      <c r="X985" s="100">
        <v>1.27</v>
      </c>
      <c r="Y985" s="37" t="str">
        <f>RTD("money.excel",,"6216","Price")</f>
        <v>無資料</v>
      </c>
      <c r="Z985" s="69"/>
      <c r="AA985" s="16" t="e">
        <f t="shared" si="300"/>
        <v>#VALUE!</v>
      </c>
      <c r="AB985" s="3" t="e">
        <f t="shared" si="301"/>
        <v>#VALUE!</v>
      </c>
      <c r="AD985" s="23" t="s">
        <v>1002</v>
      </c>
      <c r="AG985" s="34">
        <f t="shared" si="302"/>
        <v>0</v>
      </c>
      <c r="AH985" s="63" t="s">
        <v>2163</v>
      </c>
      <c r="AI985" s="131"/>
      <c r="AK985" s="66">
        <f t="shared" si="303"/>
        <v>0</v>
      </c>
      <c r="AL985" s="174">
        <f t="shared" si="304"/>
        <v>0</v>
      </c>
      <c r="AM985" s="346">
        <f>RTD("money.excel",,$G985,"PredictVolume")</f>
        <v>0</v>
      </c>
      <c r="AN985" s="272">
        <f>RTD("money.excel",,$G985,"CumulativeVolume")</f>
        <v>0</v>
      </c>
      <c r="AO985" s="284"/>
    </row>
    <row r="986" spans="1:41">
      <c r="A986" s="151" t="s">
        <v>4677</v>
      </c>
      <c r="B986" s="96">
        <v>-48</v>
      </c>
      <c r="C986" s="96">
        <v>-66</v>
      </c>
      <c r="D986" s="96">
        <v>-23</v>
      </c>
      <c r="E986" s="96">
        <v>56</v>
      </c>
      <c r="F986" s="7">
        <v>3.69</v>
      </c>
      <c r="G986" s="85">
        <v>6218</v>
      </c>
      <c r="H986" s="4" t="s">
        <v>563</v>
      </c>
      <c r="I986" s="17" t="s">
        <v>989</v>
      </c>
      <c r="J986" s="77">
        <v>58.78</v>
      </c>
      <c r="K986" s="77">
        <v>0.09</v>
      </c>
      <c r="L986" s="77">
        <v>37.26</v>
      </c>
      <c r="N986" s="365">
        <f t="shared" si="297"/>
        <v>96.13</v>
      </c>
      <c r="O986" s="343">
        <f t="shared" si="298"/>
        <v>58.78</v>
      </c>
      <c r="P986" s="195" t="s">
        <v>5554</v>
      </c>
      <c r="Q986" s="326" t="str">
        <f>IFERROR(VLOOKUP($G986,主力整理!$A$2:$G$2301,6,0),"0")</f>
        <v>0</v>
      </c>
      <c r="T986" s="339">
        <f t="shared" si="299"/>
        <v>0</v>
      </c>
      <c r="V986" s="371">
        <v>11.94</v>
      </c>
      <c r="W986" s="35">
        <v>1</v>
      </c>
      <c r="X986" s="100">
        <v>0.79</v>
      </c>
      <c r="Y986" s="14" t="str">
        <f>RTD("money.excel",,"6218","Price")</f>
        <v>無資料</v>
      </c>
      <c r="Z986" s="69"/>
      <c r="AA986" s="16" t="e">
        <f t="shared" si="300"/>
        <v>#VALUE!</v>
      </c>
      <c r="AB986" s="3" t="e">
        <f t="shared" si="301"/>
        <v>#VALUE!</v>
      </c>
      <c r="AD986" s="17" t="s">
        <v>989</v>
      </c>
      <c r="AG986" s="34">
        <f t="shared" si="302"/>
        <v>0</v>
      </c>
      <c r="AH986" s="44" t="s">
        <v>4137</v>
      </c>
      <c r="AI986" s="131"/>
      <c r="AK986" s="66">
        <f t="shared" si="303"/>
        <v>0</v>
      </c>
      <c r="AL986" s="174">
        <f t="shared" si="304"/>
        <v>0</v>
      </c>
      <c r="AM986" s="346">
        <f>RTD("money.excel",,$G986,"PredictVolume")</f>
        <v>0</v>
      </c>
      <c r="AN986" s="272">
        <f>RTD("money.excel",,$G986,"CumulativeVolume")</f>
        <v>0</v>
      </c>
      <c r="AO986" s="284"/>
    </row>
    <row r="987" spans="1:41">
      <c r="A987" s="151" t="s">
        <v>2607</v>
      </c>
      <c r="B987" s="85">
        <v>-680</v>
      </c>
      <c r="C987" s="99">
        <v>-1103</v>
      </c>
      <c r="D987" s="84">
        <v>91</v>
      </c>
      <c r="E987" s="84">
        <v>91</v>
      </c>
      <c r="F987" s="7">
        <v>-76.709999999999994</v>
      </c>
      <c r="G987" s="85">
        <v>6241</v>
      </c>
      <c r="H987" s="4" t="s">
        <v>563</v>
      </c>
      <c r="I987" s="17" t="s">
        <v>977</v>
      </c>
      <c r="J987" s="371">
        <v>42.31</v>
      </c>
      <c r="K987" s="371">
        <v>0.03</v>
      </c>
      <c r="N987" s="365">
        <f t="shared" si="297"/>
        <v>42.34</v>
      </c>
      <c r="O987" s="343">
        <f t="shared" si="298"/>
        <v>42.31</v>
      </c>
      <c r="P987" s="232">
        <v>0</v>
      </c>
      <c r="Q987" s="326" t="str">
        <f>IFERROR(VLOOKUP($G987,主力整理!$A$2:$G$2301,6,0),"0")</f>
        <v>0</v>
      </c>
      <c r="R987" s="111">
        <v>15</v>
      </c>
      <c r="S987" s="51">
        <v>0</v>
      </c>
      <c r="T987" s="339">
        <f t="shared" si="299"/>
        <v>15</v>
      </c>
      <c r="W987" s="35">
        <v>0</v>
      </c>
      <c r="X987" s="100">
        <v>-1.35</v>
      </c>
      <c r="Y987" s="37" t="str">
        <f>RTD("money.excel",,"6241","Price")</f>
        <v>無資料</v>
      </c>
      <c r="Z987" s="69"/>
      <c r="AA987" s="16" t="e">
        <f t="shared" si="300"/>
        <v>#VALUE!</v>
      </c>
      <c r="AB987" s="3" t="e">
        <f t="shared" si="301"/>
        <v>#VALUE!</v>
      </c>
      <c r="AD987" s="17" t="s">
        <v>977</v>
      </c>
      <c r="AG987" s="34">
        <f t="shared" si="302"/>
        <v>0</v>
      </c>
      <c r="AH987" s="44" t="s">
        <v>4138</v>
      </c>
      <c r="AI987" s="284"/>
      <c r="AK987" s="66">
        <f t="shared" si="303"/>
        <v>0</v>
      </c>
      <c r="AL987" s="174">
        <f t="shared" si="304"/>
        <v>0</v>
      </c>
      <c r="AM987" s="346">
        <f>RTD("money.excel",,$G987,"PredictVolume")</f>
        <v>0</v>
      </c>
      <c r="AN987" s="272">
        <f>RTD("money.excel",,$G987,"CumulativeVolume")</f>
        <v>0</v>
      </c>
      <c r="AO987" s="284"/>
    </row>
    <row r="988" spans="1:41">
      <c r="A988" s="151" t="s">
        <v>2498</v>
      </c>
      <c r="B988" s="84">
        <v>13</v>
      </c>
      <c r="C988" s="85">
        <v>-1</v>
      </c>
      <c r="D988" s="85">
        <v>-14</v>
      </c>
      <c r="E988" s="84">
        <v>25</v>
      </c>
      <c r="F988" s="7">
        <v>8.7899999999999991</v>
      </c>
      <c r="G988" s="85">
        <v>6245</v>
      </c>
      <c r="H988" s="4" t="s">
        <v>563</v>
      </c>
      <c r="I988" s="17" t="s">
        <v>313</v>
      </c>
      <c r="J988" s="371">
        <v>48.69</v>
      </c>
      <c r="K988" s="371">
        <v>11.37</v>
      </c>
      <c r="L988" s="371">
        <v>18.100000000000001</v>
      </c>
      <c r="N988" s="365">
        <f t="shared" si="297"/>
        <v>78.16</v>
      </c>
      <c r="O988" s="343">
        <f t="shared" si="298"/>
        <v>48.69</v>
      </c>
      <c r="P988" s="195" t="s">
        <v>5554</v>
      </c>
      <c r="Q988" s="326" t="str">
        <f>IFERROR(VLOOKUP($G988,主力整理!$A$2:$G$2301,6,0),"0")</f>
        <v>0</v>
      </c>
      <c r="T988" s="339">
        <f t="shared" si="299"/>
        <v>0</v>
      </c>
      <c r="V988" s="371">
        <v>0.01</v>
      </c>
      <c r="W988" s="35">
        <v>2.8</v>
      </c>
      <c r="X988" s="100">
        <v>5.05</v>
      </c>
      <c r="Y988" s="37" t="str">
        <f>RTD("money.excel",,"6245","Price")</f>
        <v>無資料</v>
      </c>
      <c r="Z988" s="69"/>
      <c r="AA988" s="16" t="e">
        <f t="shared" si="300"/>
        <v>#VALUE!</v>
      </c>
      <c r="AB988" s="3" t="e">
        <f t="shared" si="301"/>
        <v>#VALUE!</v>
      </c>
      <c r="AC988" s="177" t="s">
        <v>2648</v>
      </c>
      <c r="AD988" s="17" t="s">
        <v>313</v>
      </c>
      <c r="AG988" s="34">
        <f t="shared" si="302"/>
        <v>0</v>
      </c>
      <c r="AH988" s="125" t="s">
        <v>3170</v>
      </c>
      <c r="AI988" s="131"/>
      <c r="AK988" s="66">
        <f t="shared" si="303"/>
        <v>0</v>
      </c>
      <c r="AL988" s="174">
        <f t="shared" si="304"/>
        <v>0</v>
      </c>
      <c r="AM988" s="346">
        <f>RTD("money.excel",,$G988,"PredictVolume")</f>
        <v>0</v>
      </c>
      <c r="AN988" s="272">
        <f>RTD("money.excel",,$G988,"CumulativeVolume")</f>
        <v>0</v>
      </c>
      <c r="AO988" s="284"/>
    </row>
    <row r="989" spans="1:41">
      <c r="A989" s="135" t="s">
        <v>2616</v>
      </c>
      <c r="B989" s="85">
        <v>3</v>
      </c>
      <c r="C989" s="84">
        <v>3</v>
      </c>
      <c r="D989" s="85">
        <v>42</v>
      </c>
      <c r="E989" s="84">
        <v>15</v>
      </c>
      <c r="F989" s="59">
        <v>26.49</v>
      </c>
      <c r="G989" s="85">
        <v>6263</v>
      </c>
      <c r="H989" s="4" t="s">
        <v>563</v>
      </c>
      <c r="I989" s="17" t="s">
        <v>293</v>
      </c>
      <c r="J989" s="77">
        <v>44.15</v>
      </c>
      <c r="K989" s="371">
        <v>2.35</v>
      </c>
      <c r="L989" s="371">
        <v>0.66</v>
      </c>
      <c r="N989" s="365">
        <f t="shared" ref="N989:N1020" si="305">J989+K989+L989+M989</f>
        <v>47.16</v>
      </c>
      <c r="O989" s="343">
        <f t="shared" ref="O989:O1011" si="306">J989+M989</f>
        <v>44.15</v>
      </c>
      <c r="P989" s="195">
        <v>1</v>
      </c>
      <c r="Q989" s="326" t="str">
        <f>IFERROR(VLOOKUP($G989,主力整理!$A$2:$G$2301,6,0),"0")</f>
        <v>0</v>
      </c>
      <c r="T989" s="339">
        <f t="shared" ref="T989:T1020" si="307">SUM(P989:S989)</f>
        <v>1</v>
      </c>
      <c r="V989" s="371">
        <v>40.26</v>
      </c>
      <c r="W989" s="69">
        <v>4.5</v>
      </c>
      <c r="X989" s="59">
        <v>4.33</v>
      </c>
      <c r="Y989" s="37" t="str">
        <f>RTD("money.excel",,"6263","Price")</f>
        <v>無資料</v>
      </c>
      <c r="Z989" s="69"/>
      <c r="AA989" s="16" t="e">
        <f t="shared" ref="AA989:AA1020" si="308">Y989-Z989</f>
        <v>#VALUE!</v>
      </c>
      <c r="AB989" s="3" t="e">
        <f t="shared" ref="AB989:AB1020" si="309">AA989/Z989</f>
        <v>#VALUE!</v>
      </c>
      <c r="AC989" s="177" t="s">
        <v>2700</v>
      </c>
      <c r="AD989" s="17" t="s">
        <v>293</v>
      </c>
      <c r="AG989" s="34">
        <f t="shared" ref="AG989:AG1020" si="310">AF989-AE989</f>
        <v>0</v>
      </c>
      <c r="AH989" s="126" t="s">
        <v>2163</v>
      </c>
      <c r="AI989" s="131"/>
      <c r="AK989" s="66">
        <f t="shared" si="303"/>
        <v>0</v>
      </c>
      <c r="AL989" s="174">
        <f t="shared" si="304"/>
        <v>0</v>
      </c>
      <c r="AM989" s="346">
        <f>RTD("money.excel",,$G989,"PredictVolume")</f>
        <v>0</v>
      </c>
      <c r="AN989" s="272">
        <f>RTD("money.excel",,$G989,"CumulativeVolume")</f>
        <v>0</v>
      </c>
      <c r="AO989" s="284"/>
    </row>
    <row r="990" spans="1:41">
      <c r="A990" s="151" t="s">
        <v>2649</v>
      </c>
      <c r="B990" s="84">
        <v>8</v>
      </c>
      <c r="C990" s="84">
        <v>13</v>
      </c>
      <c r="D990" s="85">
        <v>-10</v>
      </c>
      <c r="E990" s="84">
        <v>4</v>
      </c>
      <c r="F990" s="7">
        <v>1.75</v>
      </c>
      <c r="G990" s="85">
        <v>6285</v>
      </c>
      <c r="H990" s="4" t="s">
        <v>563</v>
      </c>
      <c r="I990" s="23" t="s">
        <v>99</v>
      </c>
      <c r="J990" s="371">
        <v>51.22</v>
      </c>
      <c r="K990" s="371">
        <v>8.99</v>
      </c>
      <c r="L990" s="371">
        <v>6.23</v>
      </c>
      <c r="N990" s="365">
        <f t="shared" si="305"/>
        <v>66.44</v>
      </c>
      <c r="O990" s="343">
        <f t="shared" si="306"/>
        <v>51.22</v>
      </c>
      <c r="P990" s="195">
        <v>5</v>
      </c>
      <c r="Q990" s="326">
        <f>IFERROR(VLOOKUP($G990,主力整理!$A$2:$G$2301,6,0),"0")</f>
        <v>1</v>
      </c>
      <c r="T990" s="339">
        <f t="shared" si="307"/>
        <v>6</v>
      </c>
      <c r="V990" s="371">
        <v>0.15</v>
      </c>
      <c r="W990" s="35">
        <v>2.5</v>
      </c>
      <c r="X990" s="59">
        <v>3.81</v>
      </c>
      <c r="Y990" s="37" t="str">
        <f>RTD("money.excel",,"6285","Price")</f>
        <v>無資料</v>
      </c>
      <c r="Z990" s="69"/>
      <c r="AA990" s="16" t="e">
        <f t="shared" si="308"/>
        <v>#VALUE!</v>
      </c>
      <c r="AB990" s="3" t="e">
        <f t="shared" si="309"/>
        <v>#VALUE!</v>
      </c>
      <c r="AC990" s="177" t="s">
        <v>2648</v>
      </c>
      <c r="AD990" s="23" t="s">
        <v>99</v>
      </c>
      <c r="AG990" s="34">
        <f t="shared" si="310"/>
        <v>0</v>
      </c>
      <c r="AH990" s="125" t="s">
        <v>3304</v>
      </c>
      <c r="AI990" s="131"/>
      <c r="AK990" s="66">
        <f t="shared" si="303"/>
        <v>0</v>
      </c>
      <c r="AL990" s="174">
        <f t="shared" si="304"/>
        <v>0</v>
      </c>
      <c r="AM990" s="346">
        <f>RTD("money.excel",,$G990,"PredictVolume")</f>
        <v>0</v>
      </c>
      <c r="AN990" s="272">
        <f>RTD("money.excel",,$G990,"CumulativeVolume")</f>
        <v>0</v>
      </c>
      <c r="AO990" s="284"/>
    </row>
    <row r="991" spans="1:41">
      <c r="A991" s="151" t="s">
        <v>5364</v>
      </c>
      <c r="B991" s="85">
        <v>-24</v>
      </c>
      <c r="C991" s="85">
        <v>-4</v>
      </c>
      <c r="D991" s="84">
        <v>12</v>
      </c>
      <c r="E991" s="85">
        <v>-24</v>
      </c>
      <c r="F991" s="7">
        <v>8.7100000000000009</v>
      </c>
      <c r="G991" s="85">
        <v>6416</v>
      </c>
      <c r="H991" s="4" t="s">
        <v>563</v>
      </c>
      <c r="I991" s="23" t="s">
        <v>1735</v>
      </c>
      <c r="J991" s="77">
        <v>37.880000000000003</v>
      </c>
      <c r="K991" s="77">
        <v>2.76</v>
      </c>
      <c r="L991" s="77">
        <v>27.22</v>
      </c>
      <c r="N991" s="365">
        <f t="shared" si="305"/>
        <v>67.86</v>
      </c>
      <c r="O991" s="343">
        <f t="shared" si="306"/>
        <v>37.880000000000003</v>
      </c>
      <c r="P991" s="195" t="s">
        <v>5554</v>
      </c>
      <c r="Q991" s="326" t="str">
        <f>IFERROR(VLOOKUP($G991,主力整理!$A$2:$G$2301,6,0),"0")</f>
        <v>0</v>
      </c>
      <c r="R991" s="111">
        <v>7</v>
      </c>
      <c r="T991" s="339">
        <f t="shared" si="307"/>
        <v>7</v>
      </c>
      <c r="V991" s="371">
        <v>0.6</v>
      </c>
      <c r="W991" s="69">
        <v>3.65</v>
      </c>
      <c r="X991" s="100">
        <v>5.03</v>
      </c>
      <c r="Y991" s="37" t="str">
        <f>RTD("money.excel",,"6416","Price")</f>
        <v>無資料</v>
      </c>
      <c r="Z991" s="69"/>
      <c r="AA991" s="16" t="e">
        <f t="shared" si="308"/>
        <v>#VALUE!</v>
      </c>
      <c r="AB991" s="3" t="e">
        <f t="shared" si="309"/>
        <v>#VALUE!</v>
      </c>
      <c r="AC991" s="177" t="s">
        <v>2700</v>
      </c>
      <c r="AD991" s="23" t="s">
        <v>1735</v>
      </c>
      <c r="AG991" s="34">
        <f t="shared" si="310"/>
        <v>0</v>
      </c>
      <c r="AH991" s="44" t="s">
        <v>4293</v>
      </c>
      <c r="AI991" s="131"/>
      <c r="AK991" s="66">
        <f t="shared" si="303"/>
        <v>0</v>
      </c>
      <c r="AL991" s="174">
        <f t="shared" si="304"/>
        <v>0</v>
      </c>
      <c r="AM991" s="346">
        <f>RTD("money.excel",,$G991,"PredictVolume")</f>
        <v>0</v>
      </c>
      <c r="AN991" s="272">
        <f>RTD("money.excel",,$G991,"CumulativeVolume")</f>
        <v>0</v>
      </c>
      <c r="AO991" s="284"/>
    </row>
    <row r="992" spans="1:41">
      <c r="A992" s="135" t="s">
        <v>3049</v>
      </c>
      <c r="B992" s="85">
        <v>-9</v>
      </c>
      <c r="C992" s="85">
        <v>-1</v>
      </c>
      <c r="D992" s="84">
        <v>10</v>
      </c>
      <c r="E992" s="84">
        <v>25</v>
      </c>
      <c r="F992" s="59">
        <v>12.27</v>
      </c>
      <c r="G992" s="85">
        <v>6417</v>
      </c>
      <c r="H992" s="4" t="s">
        <v>563</v>
      </c>
      <c r="I992" s="17" t="s">
        <v>978</v>
      </c>
      <c r="J992" s="371">
        <v>60.58</v>
      </c>
      <c r="K992" s="371">
        <v>11.57</v>
      </c>
      <c r="L992" s="77">
        <v>30.12</v>
      </c>
      <c r="N992" s="365">
        <f t="shared" si="305"/>
        <v>102.27000000000001</v>
      </c>
      <c r="O992" s="343">
        <f t="shared" si="306"/>
        <v>60.58</v>
      </c>
      <c r="P992" s="195">
        <v>0</v>
      </c>
      <c r="Q992" s="326" t="str">
        <f>IFERROR(VLOOKUP($G992,主力整理!$A$2:$G$2301,6,0),"0")</f>
        <v>0</v>
      </c>
      <c r="R992" s="111">
        <v>0</v>
      </c>
      <c r="S992" s="51">
        <v>0</v>
      </c>
      <c r="T992" s="339">
        <f t="shared" si="307"/>
        <v>0</v>
      </c>
      <c r="V992" s="371">
        <v>0</v>
      </c>
      <c r="W992" s="35">
        <v>1.3</v>
      </c>
      <c r="X992" s="59">
        <v>2.5499999999999998</v>
      </c>
      <c r="Y992" s="37" t="str">
        <f>RTD("money.excel",,"6417","Price")</f>
        <v>無資料</v>
      </c>
      <c r="Z992" s="69"/>
      <c r="AA992" s="16" t="e">
        <f t="shared" si="308"/>
        <v>#VALUE!</v>
      </c>
      <c r="AB992" s="3" t="e">
        <f t="shared" si="309"/>
        <v>#VALUE!</v>
      </c>
      <c r="AD992" s="17" t="s">
        <v>978</v>
      </c>
      <c r="AG992" s="34">
        <f t="shared" si="310"/>
        <v>0</v>
      </c>
      <c r="AH992" s="63" t="s">
        <v>4139</v>
      </c>
      <c r="AI992" s="131"/>
      <c r="AK992" s="66">
        <f t="shared" si="303"/>
        <v>0</v>
      </c>
      <c r="AL992" s="174">
        <f t="shared" si="304"/>
        <v>0</v>
      </c>
      <c r="AM992" s="346">
        <f>RTD("money.excel",,$G992,"PredictVolume")</f>
        <v>0</v>
      </c>
      <c r="AN992" s="272">
        <f>RTD("money.excel",,$G992,"CumulativeVolume")</f>
        <v>0</v>
      </c>
      <c r="AO992" s="284"/>
    </row>
    <row r="993" spans="1:41">
      <c r="A993" s="135" t="s">
        <v>2604</v>
      </c>
      <c r="B993" s="84">
        <v>54</v>
      </c>
      <c r="C993" s="84">
        <v>64</v>
      </c>
      <c r="D993" s="85">
        <v>-26</v>
      </c>
      <c r="E993" s="85">
        <v>-29</v>
      </c>
      <c r="F993" s="59">
        <v>28.75</v>
      </c>
      <c r="G993" s="85">
        <v>6426</v>
      </c>
      <c r="H993" s="54" t="s">
        <v>563</v>
      </c>
      <c r="I993" s="23" t="s">
        <v>443</v>
      </c>
      <c r="J993" s="77">
        <v>34.94</v>
      </c>
      <c r="K993" s="371">
        <v>6.57</v>
      </c>
      <c r="L993" s="371">
        <v>38.15</v>
      </c>
      <c r="N993" s="365">
        <f t="shared" si="305"/>
        <v>79.66</v>
      </c>
      <c r="O993" s="343">
        <f t="shared" si="306"/>
        <v>34.94</v>
      </c>
      <c r="P993" s="195" t="s">
        <v>5554</v>
      </c>
      <c r="Q993" s="326" t="str">
        <f>IFERROR(VLOOKUP($G993,主力整理!$A$2:$G$2301,6,0),"0")</f>
        <v>0</v>
      </c>
      <c r="T993" s="339">
        <f t="shared" si="307"/>
        <v>0</v>
      </c>
      <c r="V993" s="371">
        <v>1.87</v>
      </c>
      <c r="W993" s="35">
        <v>2.5</v>
      </c>
      <c r="X993" s="100">
        <v>3.58</v>
      </c>
      <c r="Y993" s="37" t="str">
        <f>RTD("money.excel",,"6426","Price")</f>
        <v>無資料</v>
      </c>
      <c r="Z993" s="69"/>
      <c r="AA993" s="16" t="e">
        <f t="shared" si="308"/>
        <v>#VALUE!</v>
      </c>
      <c r="AB993" s="3" t="e">
        <f t="shared" si="309"/>
        <v>#VALUE!</v>
      </c>
      <c r="AC993" s="177" t="s">
        <v>2648</v>
      </c>
      <c r="AD993" s="23" t="s">
        <v>443</v>
      </c>
      <c r="AG993" s="34">
        <f t="shared" si="310"/>
        <v>0</v>
      </c>
      <c r="AH993" s="50" t="s">
        <v>4571</v>
      </c>
      <c r="AI993" s="131"/>
      <c r="AK993" s="66">
        <f t="shared" si="303"/>
        <v>0</v>
      </c>
      <c r="AL993" s="174">
        <f t="shared" si="304"/>
        <v>0</v>
      </c>
      <c r="AM993" s="346">
        <f>RTD("money.excel",,$G993,"PredictVolume")</f>
        <v>0</v>
      </c>
      <c r="AN993" s="272">
        <f>RTD("money.excel",,$G993,"CumulativeVolume")</f>
        <v>0</v>
      </c>
      <c r="AO993" s="284"/>
    </row>
    <row r="994" spans="1:41">
      <c r="A994" s="151" t="s">
        <v>2744</v>
      </c>
      <c r="B994" s="96">
        <v>-62</v>
      </c>
      <c r="C994" s="96">
        <v>-63</v>
      </c>
      <c r="D994" s="96">
        <v>-27</v>
      </c>
      <c r="E994" s="96">
        <v>-39</v>
      </c>
      <c r="F994" s="7">
        <v>1.34</v>
      </c>
      <c r="G994" s="85">
        <v>6442</v>
      </c>
      <c r="H994" s="4" t="s">
        <v>563</v>
      </c>
      <c r="I994" s="23" t="s">
        <v>1003</v>
      </c>
      <c r="J994" s="77">
        <v>70.88</v>
      </c>
      <c r="K994" s="77">
        <v>33.64</v>
      </c>
      <c r="L994" s="77">
        <v>8.42</v>
      </c>
      <c r="N994" s="365">
        <f t="shared" si="305"/>
        <v>112.94</v>
      </c>
      <c r="O994" s="343">
        <f t="shared" si="306"/>
        <v>70.88</v>
      </c>
      <c r="P994" s="195" t="s">
        <v>5554</v>
      </c>
      <c r="Q994" s="326" t="str">
        <f>IFERROR(VLOOKUP($G994,主力整理!$A$2:$G$2301,6,0),"0")</f>
        <v>0</v>
      </c>
      <c r="T994" s="339">
        <f t="shared" si="307"/>
        <v>0</v>
      </c>
      <c r="V994" s="371">
        <v>16.3</v>
      </c>
      <c r="W994" s="35">
        <v>1</v>
      </c>
      <c r="X994" s="100">
        <v>-0.56999999999999995</v>
      </c>
      <c r="Y994" s="37" t="str">
        <f>RTD("money.excel",,"6442","Price")</f>
        <v>無資料</v>
      </c>
      <c r="Z994" s="69"/>
      <c r="AA994" s="16" t="e">
        <f t="shared" si="308"/>
        <v>#VALUE!</v>
      </c>
      <c r="AB994" s="3" t="e">
        <f t="shared" si="309"/>
        <v>#VALUE!</v>
      </c>
      <c r="AC994" s="177" t="s">
        <v>2648</v>
      </c>
      <c r="AD994" s="23" t="s">
        <v>1003</v>
      </c>
      <c r="AG994" s="34">
        <f t="shared" si="310"/>
        <v>0</v>
      </c>
      <c r="AH994" s="44" t="s">
        <v>2961</v>
      </c>
      <c r="AI994" s="131"/>
      <c r="AK994" s="66">
        <f t="shared" si="303"/>
        <v>0</v>
      </c>
      <c r="AL994" s="174">
        <f t="shared" si="304"/>
        <v>0</v>
      </c>
      <c r="AM994" s="346">
        <f>RTD("money.excel",,$G994,"PredictVolume")</f>
        <v>0</v>
      </c>
      <c r="AN994" s="272">
        <f>RTD("money.excel",,$G994,"CumulativeVolume")</f>
        <v>0</v>
      </c>
      <c r="AO994" s="284"/>
    </row>
    <row r="995" spans="1:41">
      <c r="A995" s="135" t="s">
        <v>4678</v>
      </c>
      <c r="B995" s="96">
        <v>64</v>
      </c>
      <c r="C995" s="96">
        <v>103</v>
      </c>
      <c r="D995" s="96">
        <v>-4</v>
      </c>
      <c r="E995" s="96">
        <v>15</v>
      </c>
      <c r="F995" s="59">
        <v>11.01</v>
      </c>
      <c r="G995" s="85">
        <v>6470</v>
      </c>
      <c r="H995" s="4" t="s">
        <v>563</v>
      </c>
      <c r="I995" s="17" t="s">
        <v>979</v>
      </c>
      <c r="J995" s="77">
        <v>45.01</v>
      </c>
      <c r="K995" s="77">
        <v>6.13</v>
      </c>
      <c r="L995" s="77">
        <v>24.2</v>
      </c>
      <c r="N995" s="365">
        <f t="shared" si="305"/>
        <v>75.34</v>
      </c>
      <c r="O995" s="343">
        <f t="shared" si="306"/>
        <v>45.01</v>
      </c>
      <c r="P995" s="195" t="s">
        <v>5554</v>
      </c>
      <c r="Q995" s="326" t="str">
        <f>IFERROR(VLOOKUP($G995,主力整理!$A$2:$G$2301,6,0),"0")</f>
        <v>0</v>
      </c>
      <c r="T995" s="339">
        <f t="shared" si="307"/>
        <v>0</v>
      </c>
      <c r="V995" s="371">
        <v>19.440000000000001</v>
      </c>
      <c r="W995" s="69">
        <v>3.5</v>
      </c>
      <c r="X995" s="100">
        <v>4.8</v>
      </c>
      <c r="Y995" s="37" t="str">
        <f>RTD("money.excel",,"6470","Price")</f>
        <v>無資料</v>
      </c>
      <c r="Z995" s="69"/>
      <c r="AA995" s="16" t="e">
        <f t="shared" si="308"/>
        <v>#VALUE!</v>
      </c>
      <c r="AB995" s="3" t="e">
        <f t="shared" si="309"/>
        <v>#VALUE!</v>
      </c>
      <c r="AC995" s="177" t="s">
        <v>2700</v>
      </c>
      <c r="AD995" s="17" t="s">
        <v>979</v>
      </c>
      <c r="AG995" s="34">
        <f t="shared" si="310"/>
        <v>0</v>
      </c>
      <c r="AH995" s="63" t="s">
        <v>4140</v>
      </c>
      <c r="AK995" s="66">
        <f t="shared" si="303"/>
        <v>0</v>
      </c>
      <c r="AL995" s="174">
        <f t="shared" si="304"/>
        <v>0</v>
      </c>
      <c r="AM995" s="346">
        <f>RTD("money.excel",,$G995,"PredictVolume")</f>
        <v>0</v>
      </c>
      <c r="AN995" s="272">
        <f>RTD("money.excel",,$G995,"CumulativeVolume")</f>
        <v>0</v>
      </c>
    </row>
    <row r="996" spans="1:41">
      <c r="A996" s="135" t="s">
        <v>5219</v>
      </c>
      <c r="B996" s="85">
        <v>-2</v>
      </c>
      <c r="C996" s="85">
        <v>-2</v>
      </c>
      <c r="D996" s="84">
        <v>13</v>
      </c>
      <c r="E996" s="85">
        <v>-43</v>
      </c>
      <c r="F996" s="59">
        <v>14.66</v>
      </c>
      <c r="G996" s="85">
        <v>6486</v>
      </c>
      <c r="H996" s="4" t="s">
        <v>563</v>
      </c>
      <c r="I996" s="17" t="s">
        <v>980</v>
      </c>
      <c r="J996" s="77">
        <v>49.75</v>
      </c>
      <c r="K996" s="77">
        <v>0.77</v>
      </c>
      <c r="L996" s="371">
        <v>8.7200000000000006</v>
      </c>
      <c r="N996" s="365">
        <f t="shared" si="305"/>
        <v>59.24</v>
      </c>
      <c r="O996" s="343">
        <f t="shared" si="306"/>
        <v>49.75</v>
      </c>
      <c r="P996" s="195" t="s">
        <v>5554</v>
      </c>
      <c r="Q996" s="326" t="str">
        <f>IFERROR(VLOOKUP($G996,主力整理!$A$2:$G$2301,6,0),"0")</f>
        <v>0</v>
      </c>
      <c r="T996" s="339">
        <f t="shared" si="307"/>
        <v>0</v>
      </c>
      <c r="V996" s="371">
        <v>0.4</v>
      </c>
      <c r="W996" s="69">
        <v>6</v>
      </c>
      <c r="X996" s="100">
        <v>6.34</v>
      </c>
      <c r="Y996" s="37" t="str">
        <f>RTD("money.excel",,"6486","Price")</f>
        <v>無資料</v>
      </c>
      <c r="Z996" s="69"/>
      <c r="AA996" s="16" t="e">
        <f t="shared" si="308"/>
        <v>#VALUE!</v>
      </c>
      <c r="AB996" s="3" t="e">
        <f t="shared" si="309"/>
        <v>#VALUE!</v>
      </c>
      <c r="AC996" s="177" t="s">
        <v>2700</v>
      </c>
      <c r="AD996" s="17" t="s">
        <v>980</v>
      </c>
      <c r="AG996" s="34">
        <f t="shared" si="310"/>
        <v>0</v>
      </c>
      <c r="AH996" s="63" t="s">
        <v>3375</v>
      </c>
      <c r="AI996" s="131"/>
      <c r="AK996" s="66">
        <f t="shared" si="303"/>
        <v>0</v>
      </c>
      <c r="AL996" s="174">
        <f t="shared" si="304"/>
        <v>0</v>
      </c>
      <c r="AM996" s="346">
        <f>RTD("money.excel",,$G996,"PredictVolume")</f>
        <v>0</v>
      </c>
      <c r="AN996" s="272">
        <f>RTD("money.excel",,$G996,"CumulativeVolume")</f>
        <v>0</v>
      </c>
      <c r="AO996" s="284"/>
    </row>
    <row r="997" spans="1:41">
      <c r="A997" s="135" t="s">
        <v>3993</v>
      </c>
      <c r="B997" s="84">
        <v>40</v>
      </c>
      <c r="C997" s="84">
        <v>10</v>
      </c>
      <c r="D997" s="84">
        <v>47</v>
      </c>
      <c r="E997" s="84">
        <v>23</v>
      </c>
      <c r="F997" s="59">
        <v>13</v>
      </c>
      <c r="G997" s="85">
        <v>6514</v>
      </c>
      <c r="H997" s="4" t="s">
        <v>563</v>
      </c>
      <c r="I997" s="17" t="s">
        <v>981</v>
      </c>
      <c r="J997" s="371">
        <v>54.08</v>
      </c>
      <c r="K997" s="371">
        <v>55</v>
      </c>
      <c r="L997" s="77">
        <v>28.75</v>
      </c>
      <c r="M997" s="77">
        <v>57.71</v>
      </c>
      <c r="N997" s="77">
        <f t="shared" si="305"/>
        <v>195.54</v>
      </c>
      <c r="O997" s="369">
        <f t="shared" si="306"/>
        <v>111.78999999999999</v>
      </c>
      <c r="P997" s="195">
        <v>1</v>
      </c>
      <c r="Q997" s="326">
        <v>2</v>
      </c>
      <c r="R997" s="111">
        <v>0</v>
      </c>
      <c r="S997" s="51">
        <v>6</v>
      </c>
      <c r="T997" s="339">
        <f t="shared" si="307"/>
        <v>9</v>
      </c>
      <c r="U997" s="329" t="s">
        <v>6538</v>
      </c>
      <c r="V997" s="371">
        <v>1.06</v>
      </c>
      <c r="W997" s="69">
        <v>3.5</v>
      </c>
      <c r="X997" s="59">
        <v>2.75</v>
      </c>
      <c r="Y997" s="14" t="str">
        <f>RTD("money.excel",,"6514","Price")</f>
        <v>無資料</v>
      </c>
      <c r="Z997" s="69"/>
      <c r="AA997" s="16" t="e">
        <f t="shared" si="308"/>
        <v>#VALUE!</v>
      </c>
      <c r="AB997" s="3" t="e">
        <f t="shared" si="309"/>
        <v>#VALUE!</v>
      </c>
      <c r="AC997" s="177" t="s">
        <v>2929</v>
      </c>
      <c r="AD997" s="17" t="s">
        <v>981</v>
      </c>
      <c r="AG997" s="34">
        <f t="shared" si="310"/>
        <v>0</v>
      </c>
      <c r="AH997" s="63" t="s">
        <v>3992</v>
      </c>
      <c r="AI997" s="131"/>
      <c r="AK997" s="66">
        <f t="shared" si="303"/>
        <v>0</v>
      </c>
      <c r="AL997" s="174">
        <f t="shared" si="304"/>
        <v>0</v>
      </c>
      <c r="AM997" s="346">
        <f>RTD("money.excel",,$G997,"PredictVolume")</f>
        <v>0</v>
      </c>
      <c r="AN997" s="272">
        <f>RTD("money.excel",,$G997,"CumulativeVolume")</f>
        <v>0</v>
      </c>
      <c r="AO997" s="284"/>
    </row>
    <row r="998" spans="1:41">
      <c r="A998" s="135" t="s">
        <v>2588</v>
      </c>
      <c r="B998" s="96">
        <v>3</v>
      </c>
      <c r="C998" s="96">
        <v>35</v>
      </c>
      <c r="D998" s="96">
        <v>-2</v>
      </c>
      <c r="E998" s="96">
        <v>10</v>
      </c>
      <c r="F998" s="59">
        <v>12.66</v>
      </c>
      <c r="G998" s="85">
        <v>6530</v>
      </c>
      <c r="H998" s="4" t="s">
        <v>563</v>
      </c>
      <c r="I998" s="17" t="s">
        <v>982</v>
      </c>
      <c r="J998" s="77">
        <v>66.63</v>
      </c>
      <c r="K998" s="77">
        <v>0.01</v>
      </c>
      <c r="L998" s="77">
        <v>2.31</v>
      </c>
      <c r="N998" s="365">
        <f t="shared" si="305"/>
        <v>68.95</v>
      </c>
      <c r="O998" s="343">
        <f t="shared" si="306"/>
        <v>66.63</v>
      </c>
      <c r="P998" s="195" t="s">
        <v>5554</v>
      </c>
      <c r="Q998" s="326" t="str">
        <f>IFERROR(VLOOKUP($G998,主力整理!$A$2:$G$2301,6,0),"0")</f>
        <v>0</v>
      </c>
      <c r="T998" s="339">
        <f t="shared" si="307"/>
        <v>0</v>
      </c>
      <c r="V998" s="371">
        <v>22.62</v>
      </c>
      <c r="W998" s="35">
        <v>1</v>
      </c>
      <c r="X998" s="100">
        <v>0.77</v>
      </c>
      <c r="Y998" s="14" t="str">
        <f>RTD("money.excel",,"6530","Price")</f>
        <v>無資料</v>
      </c>
      <c r="Z998" s="69"/>
      <c r="AA998" s="16" t="e">
        <f t="shared" si="308"/>
        <v>#VALUE!</v>
      </c>
      <c r="AB998" s="3" t="e">
        <f t="shared" si="309"/>
        <v>#VALUE!</v>
      </c>
      <c r="AD998" s="17" t="s">
        <v>982</v>
      </c>
      <c r="AG998" s="34">
        <f t="shared" si="310"/>
        <v>0</v>
      </c>
      <c r="AH998" s="63" t="s">
        <v>3053</v>
      </c>
      <c r="AI998" s="131"/>
      <c r="AK998" s="66">
        <f t="shared" si="303"/>
        <v>0</v>
      </c>
      <c r="AL998" s="174">
        <f t="shared" si="304"/>
        <v>0</v>
      </c>
      <c r="AM998" s="346">
        <f>RTD("money.excel",,$G998,"PredictVolume")</f>
        <v>0</v>
      </c>
      <c r="AN998" s="272">
        <f>RTD("money.excel",,$G998,"CumulativeVolume")</f>
        <v>0</v>
      </c>
      <c r="AO998" s="284"/>
    </row>
    <row r="999" spans="1:41">
      <c r="A999" s="135" t="s">
        <v>2808</v>
      </c>
      <c r="B999" s="84">
        <v>9</v>
      </c>
      <c r="C999" s="84">
        <v>9</v>
      </c>
      <c r="D999" s="84">
        <v>0</v>
      </c>
      <c r="E999" s="84">
        <v>9</v>
      </c>
      <c r="F999" s="59">
        <v>30.18</v>
      </c>
      <c r="G999" s="85">
        <v>6561</v>
      </c>
      <c r="H999" s="4" t="s">
        <v>563</v>
      </c>
      <c r="I999" s="17" t="s">
        <v>581</v>
      </c>
      <c r="J999" s="371">
        <v>76.03</v>
      </c>
      <c r="K999" s="371">
        <v>14.08</v>
      </c>
      <c r="L999" s="77">
        <v>1.03</v>
      </c>
      <c r="N999" s="365">
        <f t="shared" si="305"/>
        <v>91.14</v>
      </c>
      <c r="O999" s="343">
        <f t="shared" si="306"/>
        <v>76.03</v>
      </c>
      <c r="P999" s="195">
        <v>2</v>
      </c>
      <c r="Q999" s="326" t="str">
        <f>IFERROR(VLOOKUP($G999,主力整理!$A$2:$G$2301,6,0),"0")</f>
        <v>0</v>
      </c>
      <c r="R999" s="111">
        <v>1</v>
      </c>
      <c r="S999" s="51">
        <v>9</v>
      </c>
      <c r="T999" s="339">
        <f t="shared" si="307"/>
        <v>12</v>
      </c>
      <c r="V999" s="371">
        <v>0</v>
      </c>
      <c r="W999" s="69">
        <v>8.8000000000000007</v>
      </c>
      <c r="X999" s="100">
        <v>9.08</v>
      </c>
      <c r="Y999" s="37" t="str">
        <f>RTD("money.excel",,"6561","Price")</f>
        <v>無資料</v>
      </c>
      <c r="Z999" s="69"/>
      <c r="AA999" s="16" t="e">
        <f t="shared" si="308"/>
        <v>#VALUE!</v>
      </c>
      <c r="AB999" s="3" t="e">
        <f t="shared" si="309"/>
        <v>#VALUE!</v>
      </c>
      <c r="AC999" s="177" t="s">
        <v>2929</v>
      </c>
      <c r="AD999" s="17" t="s">
        <v>581</v>
      </c>
      <c r="AG999" s="34">
        <f t="shared" si="310"/>
        <v>0</v>
      </c>
      <c r="AH999" s="63" t="s">
        <v>3076</v>
      </c>
      <c r="AI999" s="131"/>
      <c r="AK999" s="66">
        <f t="shared" si="303"/>
        <v>0</v>
      </c>
      <c r="AL999" s="174">
        <f t="shared" si="304"/>
        <v>0</v>
      </c>
      <c r="AM999" s="346">
        <f>RTD("money.excel",,$G999,"PredictVolume")</f>
        <v>0</v>
      </c>
      <c r="AN999" s="272">
        <f>RTD("money.excel",,$G999,"CumulativeVolume")</f>
        <v>0</v>
      </c>
      <c r="AO999" s="284"/>
    </row>
    <row r="1000" spans="1:41">
      <c r="A1000" s="135" t="s">
        <v>2214</v>
      </c>
      <c r="B1000" s="84">
        <v>13</v>
      </c>
      <c r="C1000" s="85">
        <v>-28</v>
      </c>
      <c r="D1000" s="84">
        <v>-24</v>
      </c>
      <c r="E1000" s="84">
        <v>-2</v>
      </c>
      <c r="F1000" s="59">
        <v>22.64</v>
      </c>
      <c r="G1000" s="85">
        <v>6588</v>
      </c>
      <c r="H1000" s="4" t="s">
        <v>563</v>
      </c>
      <c r="I1000" s="17" t="s">
        <v>3004</v>
      </c>
      <c r="J1000" s="371">
        <v>50.29</v>
      </c>
      <c r="K1000" s="77">
        <v>0.56000000000000005</v>
      </c>
      <c r="N1000" s="365">
        <f t="shared" si="305"/>
        <v>50.85</v>
      </c>
      <c r="O1000" s="343">
        <f t="shared" si="306"/>
        <v>50.29</v>
      </c>
      <c r="P1000" s="195" t="s">
        <v>5554</v>
      </c>
      <c r="Q1000" s="326" t="str">
        <f>IFERROR(VLOOKUP($G1000,主力整理!$A$2:$G$2301,6,0),"0")</f>
        <v>0</v>
      </c>
      <c r="T1000" s="339">
        <f t="shared" si="307"/>
        <v>0</v>
      </c>
      <c r="W1000" s="35">
        <v>1.5</v>
      </c>
      <c r="X1000" s="100">
        <v>2.27</v>
      </c>
      <c r="Y1000" s="37" t="str">
        <f>RTD("money.excel",,"6588","Price")</f>
        <v>無資料</v>
      </c>
      <c r="Z1000" s="69"/>
      <c r="AA1000" s="16" t="e">
        <f t="shared" si="308"/>
        <v>#VALUE!</v>
      </c>
      <c r="AB1000" s="3" t="e">
        <f t="shared" si="309"/>
        <v>#VALUE!</v>
      </c>
      <c r="AD1000" s="17" t="s">
        <v>3003</v>
      </c>
      <c r="AG1000" s="34">
        <f t="shared" si="310"/>
        <v>0</v>
      </c>
      <c r="AH1000" s="63" t="s">
        <v>3005</v>
      </c>
      <c r="AI1000" s="284"/>
      <c r="AK1000" s="66">
        <f t="shared" si="303"/>
        <v>0</v>
      </c>
      <c r="AL1000" s="174">
        <f t="shared" si="304"/>
        <v>0</v>
      </c>
      <c r="AM1000" s="346">
        <f>RTD("money.excel",,$G1000,"PredictVolume")</f>
        <v>0</v>
      </c>
      <c r="AN1000" s="272">
        <f>RTD("money.excel",,$G1000,"CumulativeVolume")</f>
        <v>0</v>
      </c>
      <c r="AO1000" s="284"/>
    </row>
    <row r="1001" spans="1:41">
      <c r="A1001" s="151" t="s">
        <v>4817</v>
      </c>
      <c r="B1001" s="96">
        <v>60</v>
      </c>
      <c r="C1001" s="96">
        <v>-16</v>
      </c>
      <c r="D1001" s="96">
        <v>-8</v>
      </c>
      <c r="E1001" s="96">
        <v>33</v>
      </c>
      <c r="F1001" s="7">
        <v>3.9</v>
      </c>
      <c r="G1001" s="85">
        <v>6674</v>
      </c>
      <c r="H1001" s="4" t="s">
        <v>563</v>
      </c>
      <c r="I1001" s="23" t="s">
        <v>1736</v>
      </c>
      <c r="J1001" s="77">
        <v>87</v>
      </c>
      <c r="K1001" s="77">
        <v>0.03</v>
      </c>
      <c r="N1001" s="365">
        <f t="shared" si="305"/>
        <v>87.03</v>
      </c>
      <c r="O1001" s="343">
        <f t="shared" si="306"/>
        <v>87</v>
      </c>
      <c r="P1001" s="195" t="s">
        <v>5554</v>
      </c>
      <c r="Q1001" s="326" t="str">
        <f>IFERROR(VLOOKUP($G1001,主力整理!$A$2:$G$2301,6,0),"0")</f>
        <v>0</v>
      </c>
      <c r="T1001" s="339">
        <f t="shared" si="307"/>
        <v>0</v>
      </c>
      <c r="V1001" s="371">
        <v>52.53</v>
      </c>
      <c r="W1001" s="35">
        <v>1.4</v>
      </c>
      <c r="X1001" s="100">
        <v>0.7</v>
      </c>
      <c r="Y1001" s="14" t="str">
        <f>RTD("money.excel",,"6674","Price")</f>
        <v>無資料</v>
      </c>
      <c r="Z1001" s="69"/>
      <c r="AA1001" s="16" t="e">
        <f t="shared" si="308"/>
        <v>#VALUE!</v>
      </c>
      <c r="AB1001" s="3" t="e">
        <f t="shared" si="309"/>
        <v>#VALUE!</v>
      </c>
      <c r="AC1001" s="177" t="s">
        <v>2648</v>
      </c>
      <c r="AD1001" s="23" t="s">
        <v>1736</v>
      </c>
      <c r="AG1001" s="34">
        <f t="shared" si="310"/>
        <v>0</v>
      </c>
      <c r="AH1001" s="44" t="s">
        <v>2258</v>
      </c>
      <c r="AI1001" s="131"/>
      <c r="AK1001" s="66">
        <f t="shared" si="303"/>
        <v>0</v>
      </c>
      <c r="AL1001" s="174">
        <f t="shared" si="304"/>
        <v>0</v>
      </c>
      <c r="AM1001" s="346">
        <f>RTD("money.excel",,$G1001,"PredictVolume")</f>
        <v>0</v>
      </c>
      <c r="AN1001" s="272">
        <f>RTD("money.excel",,$G1001,"CumulativeVolume")</f>
        <v>0</v>
      </c>
      <c r="AO1001" s="284"/>
    </row>
    <row r="1002" spans="1:41">
      <c r="A1002" s="135" t="s">
        <v>2216</v>
      </c>
      <c r="B1002" s="84">
        <v>81</v>
      </c>
      <c r="C1002" s="84">
        <v>134</v>
      </c>
      <c r="D1002" s="85">
        <v>-2</v>
      </c>
      <c r="E1002" s="84">
        <v>14</v>
      </c>
      <c r="F1002" s="59">
        <v>20.65</v>
      </c>
      <c r="G1002" s="85">
        <v>6792</v>
      </c>
      <c r="H1002" s="4" t="s">
        <v>563</v>
      </c>
      <c r="I1002" s="23" t="s">
        <v>6486</v>
      </c>
      <c r="J1002" s="371">
        <v>45.77</v>
      </c>
      <c r="K1002" s="371">
        <v>0.64</v>
      </c>
      <c r="L1002" s="371"/>
      <c r="M1002" s="371">
        <v>42.12</v>
      </c>
      <c r="N1002" s="365">
        <f>K1002+J1002+L1002+M1002</f>
        <v>88.53</v>
      </c>
      <c r="O1002" s="343">
        <f t="shared" si="306"/>
        <v>87.89</v>
      </c>
      <c r="P1002" s="195">
        <v>0</v>
      </c>
      <c r="Q1002" s="326">
        <v>1</v>
      </c>
      <c r="R1002" s="111">
        <v>1</v>
      </c>
      <c r="S1002" s="51">
        <v>3</v>
      </c>
      <c r="T1002" s="339">
        <f t="shared" si="307"/>
        <v>5</v>
      </c>
      <c r="W1002" s="69">
        <v>3.5</v>
      </c>
      <c r="X1002" s="100">
        <v>6.28</v>
      </c>
      <c r="Y1002" s="37" t="str">
        <f>RTD("money.excel",,"6792","Price")</f>
        <v>無資料</v>
      </c>
      <c r="Z1002" s="69"/>
      <c r="AA1002" s="16" t="e">
        <f t="shared" si="308"/>
        <v>#VALUE!</v>
      </c>
      <c r="AB1002" s="3" t="e">
        <f t="shared" si="309"/>
        <v>#VALUE!</v>
      </c>
      <c r="AC1002" s="177" t="s">
        <v>2700</v>
      </c>
      <c r="AD1002" s="23" t="s">
        <v>6486</v>
      </c>
      <c r="AG1002" s="34">
        <f t="shared" si="310"/>
        <v>0</v>
      </c>
      <c r="AH1002" s="63" t="s">
        <v>6488</v>
      </c>
      <c r="AI1002" s="131"/>
      <c r="AK1002" s="66">
        <f t="shared" si="303"/>
        <v>0</v>
      </c>
      <c r="AL1002" s="174">
        <f t="shared" si="304"/>
        <v>0</v>
      </c>
      <c r="AM1002" s="346">
        <f>RTD("money.excel",,$G1002,"PredictVolume")</f>
        <v>0</v>
      </c>
      <c r="AN1002" s="272">
        <f>RTD("money.excel",,$G1002,"CumulativeVolume")</f>
        <v>0</v>
      </c>
      <c r="AO1002" s="284"/>
    </row>
    <row r="1003" spans="1:41">
      <c r="A1003" s="151" t="s">
        <v>2490</v>
      </c>
      <c r="B1003" s="84">
        <v>46</v>
      </c>
      <c r="C1003" s="84">
        <v>58</v>
      </c>
      <c r="D1003" s="84">
        <v>20</v>
      </c>
      <c r="E1003" s="85">
        <v>-4</v>
      </c>
      <c r="F1003" s="7">
        <v>-2.2200000000000002</v>
      </c>
      <c r="G1003" s="85">
        <v>8011</v>
      </c>
      <c r="H1003" s="4" t="s">
        <v>563</v>
      </c>
      <c r="I1003" s="23" t="s">
        <v>436</v>
      </c>
      <c r="J1003" s="77">
        <v>24.82</v>
      </c>
      <c r="K1003" s="77">
        <v>2.34</v>
      </c>
      <c r="L1003" s="77">
        <v>23.79</v>
      </c>
      <c r="N1003" s="365">
        <f t="shared" ref="N1003:N1011" si="311">J1003+K1003+L1003+M1003</f>
        <v>50.95</v>
      </c>
      <c r="O1003" s="343">
        <f t="shared" si="306"/>
        <v>24.82</v>
      </c>
      <c r="P1003" s="195" t="s">
        <v>5554</v>
      </c>
      <c r="Q1003" s="326" t="str">
        <f>IFERROR(VLOOKUP($G1003,主力整理!$A$2:$G$2301,6,0),"0")</f>
        <v>0</v>
      </c>
      <c r="T1003" s="339">
        <f t="shared" si="307"/>
        <v>0</v>
      </c>
      <c r="V1003" s="371">
        <v>0.42</v>
      </c>
      <c r="W1003" s="35">
        <v>0</v>
      </c>
      <c r="X1003" s="100">
        <v>-0.19</v>
      </c>
      <c r="Y1003" s="37" t="str">
        <f>RTD("money.excel",,"8011","Price")</f>
        <v>無資料</v>
      </c>
      <c r="Z1003" s="69"/>
      <c r="AA1003" s="16" t="e">
        <f t="shared" si="308"/>
        <v>#VALUE!</v>
      </c>
      <c r="AB1003" s="3" t="e">
        <f t="shared" si="309"/>
        <v>#VALUE!</v>
      </c>
      <c r="AC1003" s="177" t="s">
        <v>2648</v>
      </c>
      <c r="AD1003" s="23" t="s">
        <v>436</v>
      </c>
      <c r="AG1003" s="34">
        <f t="shared" si="310"/>
        <v>0</v>
      </c>
      <c r="AH1003" s="125" t="s">
        <v>4294</v>
      </c>
      <c r="AI1003" s="131"/>
      <c r="AK1003" s="66">
        <f t="shared" si="303"/>
        <v>0</v>
      </c>
      <c r="AL1003" s="174">
        <f t="shared" si="304"/>
        <v>0</v>
      </c>
      <c r="AM1003" s="346">
        <f>RTD("money.excel",,$G1003,"PredictVolume")</f>
        <v>0</v>
      </c>
      <c r="AN1003" s="272">
        <f>RTD("money.excel",,$G1003,"CumulativeVolume")</f>
        <v>0</v>
      </c>
      <c r="AO1003" s="284"/>
    </row>
    <row r="1004" spans="1:41">
      <c r="A1004" s="151" t="s">
        <v>4679</v>
      </c>
      <c r="B1004" s="96">
        <v>117</v>
      </c>
      <c r="C1004" s="96">
        <v>95</v>
      </c>
      <c r="D1004" s="96">
        <v>57</v>
      </c>
      <c r="E1004" s="96">
        <v>-68</v>
      </c>
      <c r="F1004" s="7">
        <v>-0.47</v>
      </c>
      <c r="G1004" s="85">
        <v>8034</v>
      </c>
      <c r="H1004" s="4" t="s">
        <v>563</v>
      </c>
      <c r="I1004" s="17" t="s">
        <v>983</v>
      </c>
      <c r="J1004" s="371">
        <v>30.91</v>
      </c>
      <c r="K1004" s="77">
        <v>0.73</v>
      </c>
      <c r="N1004" s="365">
        <f t="shared" si="311"/>
        <v>31.64</v>
      </c>
      <c r="O1004" s="343">
        <f t="shared" si="306"/>
        <v>30.91</v>
      </c>
      <c r="P1004" s="195" t="s">
        <v>5554</v>
      </c>
      <c r="Q1004" s="326" t="str">
        <f>IFERROR(VLOOKUP($G1004,主力整理!$A$2:$G$2301,6,0),"0")</f>
        <v>0</v>
      </c>
      <c r="T1004" s="339">
        <f t="shared" si="307"/>
        <v>0</v>
      </c>
      <c r="V1004" s="371">
        <v>8.82</v>
      </c>
      <c r="W1004" s="35">
        <v>0</v>
      </c>
      <c r="X1004" s="100">
        <v>0.19</v>
      </c>
      <c r="Y1004" s="37" t="str">
        <f>RTD("money.excel",,"8034","Price")</f>
        <v>無資料</v>
      </c>
      <c r="Z1004" s="69"/>
      <c r="AA1004" s="16" t="e">
        <f t="shared" si="308"/>
        <v>#VALUE!</v>
      </c>
      <c r="AB1004" s="3" t="e">
        <f t="shared" si="309"/>
        <v>#VALUE!</v>
      </c>
      <c r="AD1004" s="17" t="s">
        <v>983</v>
      </c>
      <c r="AG1004" s="34">
        <f t="shared" si="310"/>
        <v>0</v>
      </c>
      <c r="AH1004" s="44" t="s">
        <v>4141</v>
      </c>
      <c r="AI1004" s="131"/>
      <c r="AK1004" s="66">
        <f t="shared" si="303"/>
        <v>0</v>
      </c>
      <c r="AL1004" s="174">
        <f t="shared" si="304"/>
        <v>0</v>
      </c>
      <c r="AM1004" s="346">
        <f>RTD("money.excel",,$G1004,"PredictVolume")</f>
        <v>0</v>
      </c>
      <c r="AN1004" s="272">
        <f>RTD("money.excel",,$G1004,"CumulativeVolume")</f>
        <v>0</v>
      </c>
      <c r="AO1004" s="284"/>
    </row>
    <row r="1005" spans="1:41">
      <c r="A1005" s="135" t="s">
        <v>2540</v>
      </c>
      <c r="B1005" s="96">
        <v>-60</v>
      </c>
      <c r="C1005" s="96">
        <v>-52</v>
      </c>
      <c r="D1005" s="96">
        <v>6</v>
      </c>
      <c r="E1005" s="96">
        <v>-12</v>
      </c>
      <c r="F1005" s="59">
        <v>10.97</v>
      </c>
      <c r="G1005" s="85">
        <v>8048</v>
      </c>
      <c r="H1005" s="4" t="s">
        <v>563</v>
      </c>
      <c r="I1005" s="17" t="s">
        <v>295</v>
      </c>
      <c r="J1005" s="77">
        <v>55.74</v>
      </c>
      <c r="K1005" s="77">
        <v>0.25</v>
      </c>
      <c r="L1005" s="77">
        <v>13.16</v>
      </c>
      <c r="N1005" s="365">
        <f t="shared" si="311"/>
        <v>69.150000000000006</v>
      </c>
      <c r="O1005" s="343">
        <f t="shared" si="306"/>
        <v>55.74</v>
      </c>
      <c r="P1005" s="195" t="s">
        <v>5554</v>
      </c>
      <c r="Q1005" s="326" t="str">
        <f>IFERROR(VLOOKUP($G1005,主力整理!$A$2:$G$2301,6,0),"0")</f>
        <v>0</v>
      </c>
      <c r="T1005" s="339">
        <f t="shared" si="307"/>
        <v>0</v>
      </c>
      <c r="V1005" s="371">
        <v>16.64</v>
      </c>
      <c r="W1005" s="35">
        <v>2.2999999999999998</v>
      </c>
      <c r="X1005" s="100">
        <v>2.69</v>
      </c>
      <c r="Y1005" s="14" t="str">
        <f>RTD("money.excel",,"8048","Price")</f>
        <v>無資料</v>
      </c>
      <c r="Z1005" s="69"/>
      <c r="AA1005" s="16" t="e">
        <f t="shared" si="308"/>
        <v>#VALUE!</v>
      </c>
      <c r="AB1005" s="3" t="e">
        <f t="shared" si="309"/>
        <v>#VALUE!</v>
      </c>
      <c r="AD1005" s="17" t="s">
        <v>295</v>
      </c>
      <c r="AG1005" s="34">
        <f t="shared" si="310"/>
        <v>0</v>
      </c>
      <c r="AH1005" s="126" t="s">
        <v>4132</v>
      </c>
      <c r="AI1005" s="131"/>
      <c r="AK1005" s="66">
        <f t="shared" si="303"/>
        <v>0</v>
      </c>
      <c r="AL1005" s="174">
        <f t="shared" si="304"/>
        <v>0</v>
      </c>
      <c r="AM1005" s="346">
        <f>RTD("money.excel",,$G1005,"PredictVolume")</f>
        <v>0</v>
      </c>
      <c r="AN1005" s="272">
        <f>RTD("money.excel",,$G1005,"CumulativeVolume")</f>
        <v>0</v>
      </c>
      <c r="AO1005" s="284"/>
    </row>
    <row r="1006" spans="1:41">
      <c r="A1006" s="151" t="s">
        <v>2661</v>
      </c>
      <c r="B1006" s="96">
        <v>-92</v>
      </c>
      <c r="C1006" s="96">
        <v>-210</v>
      </c>
      <c r="D1006" s="96">
        <v>-40</v>
      </c>
      <c r="E1006" s="96">
        <v>-28</v>
      </c>
      <c r="F1006" s="7">
        <v>-3.46</v>
      </c>
      <c r="G1006" s="85">
        <v>8059</v>
      </c>
      <c r="H1006" s="4" t="s">
        <v>563</v>
      </c>
      <c r="I1006" s="17" t="s">
        <v>984</v>
      </c>
      <c r="J1006" s="77">
        <v>45.54</v>
      </c>
      <c r="K1006" s="77">
        <v>2.34</v>
      </c>
      <c r="N1006" s="365">
        <f t="shared" si="311"/>
        <v>47.879999999999995</v>
      </c>
      <c r="O1006" s="343">
        <f t="shared" si="306"/>
        <v>45.54</v>
      </c>
      <c r="P1006" s="195" t="s">
        <v>5554</v>
      </c>
      <c r="Q1006" s="326" t="str">
        <f>IFERROR(VLOOKUP($G1006,主力整理!$A$2:$G$2301,6,0),"0")</f>
        <v>0</v>
      </c>
      <c r="T1006" s="339">
        <f t="shared" si="307"/>
        <v>0</v>
      </c>
      <c r="V1006" s="371">
        <v>32.229999999999997</v>
      </c>
      <c r="W1006" s="35">
        <v>0</v>
      </c>
      <c r="X1006" s="100">
        <v>-0.04</v>
      </c>
      <c r="Y1006" s="37" t="str">
        <f>RTD("money.excel",,"8059","Price")</f>
        <v>無資料</v>
      </c>
      <c r="Z1006" s="69"/>
      <c r="AA1006" s="16" t="e">
        <f t="shared" si="308"/>
        <v>#VALUE!</v>
      </c>
      <c r="AB1006" s="3" t="e">
        <f t="shared" si="309"/>
        <v>#VALUE!</v>
      </c>
      <c r="AD1006" s="17" t="s">
        <v>984</v>
      </c>
      <c r="AG1006" s="34">
        <f t="shared" si="310"/>
        <v>0</v>
      </c>
      <c r="AH1006" s="44" t="s">
        <v>4142</v>
      </c>
      <c r="AI1006" s="131"/>
      <c r="AK1006" s="66">
        <f t="shared" si="303"/>
        <v>0</v>
      </c>
      <c r="AL1006" s="174">
        <f t="shared" si="304"/>
        <v>0</v>
      </c>
      <c r="AM1006" s="346">
        <f>RTD("money.excel",,$G1006,"PredictVolume")</f>
        <v>0</v>
      </c>
      <c r="AN1006" s="272">
        <f>RTD("money.excel",,$G1006,"CumulativeVolume")</f>
        <v>0</v>
      </c>
      <c r="AO1006" s="284"/>
    </row>
    <row r="1007" spans="1:41">
      <c r="A1007" s="151" t="s">
        <v>2383</v>
      </c>
      <c r="B1007" s="85">
        <v>-103</v>
      </c>
      <c r="C1007" s="85">
        <v>-101</v>
      </c>
      <c r="D1007" s="84">
        <v>56</v>
      </c>
      <c r="E1007" s="84">
        <v>37</v>
      </c>
      <c r="F1007" s="7">
        <v>-0.3</v>
      </c>
      <c r="G1007" s="85">
        <v>8089</v>
      </c>
      <c r="H1007" s="4" t="s">
        <v>563</v>
      </c>
      <c r="I1007" s="17" t="s">
        <v>3167</v>
      </c>
      <c r="J1007" s="371">
        <v>45.47</v>
      </c>
      <c r="K1007" s="371">
        <v>5.09</v>
      </c>
      <c r="L1007" s="77">
        <v>8.0399999999999991</v>
      </c>
      <c r="M1007" s="77">
        <v>40.840000000000003</v>
      </c>
      <c r="N1007" s="365">
        <f t="shared" si="311"/>
        <v>99.44</v>
      </c>
      <c r="O1007" s="369">
        <f t="shared" si="306"/>
        <v>86.31</v>
      </c>
      <c r="P1007" s="195">
        <v>2</v>
      </c>
      <c r="Q1007" s="326">
        <v>1</v>
      </c>
      <c r="R1007" s="111">
        <v>4</v>
      </c>
      <c r="S1007" s="51">
        <v>11</v>
      </c>
      <c r="T1007" s="339">
        <f t="shared" si="307"/>
        <v>18</v>
      </c>
      <c r="U1007" s="329" t="s">
        <v>6538</v>
      </c>
      <c r="V1007" s="371">
        <v>0.16</v>
      </c>
      <c r="W1007" s="35">
        <v>1.99</v>
      </c>
      <c r="X1007" s="100">
        <v>0.32</v>
      </c>
      <c r="Y1007" s="37" t="str">
        <f>RTD("money.excel",,"8089","Price")</f>
        <v>無資料</v>
      </c>
      <c r="Z1007" s="69"/>
      <c r="AA1007" s="16" t="e">
        <f t="shared" si="308"/>
        <v>#VALUE!</v>
      </c>
      <c r="AB1007" s="169" t="e">
        <f t="shared" si="309"/>
        <v>#VALUE!</v>
      </c>
      <c r="AC1007" s="177" t="s">
        <v>2648</v>
      </c>
      <c r="AD1007" s="17" t="s">
        <v>3167</v>
      </c>
      <c r="AG1007" s="34">
        <f t="shared" si="310"/>
        <v>0</v>
      </c>
      <c r="AH1007" s="44" t="s">
        <v>3168</v>
      </c>
      <c r="AI1007" s="131"/>
      <c r="AK1007" s="66">
        <f t="shared" si="303"/>
        <v>0</v>
      </c>
      <c r="AL1007" s="174">
        <f t="shared" si="304"/>
        <v>0</v>
      </c>
      <c r="AM1007" s="346">
        <f>RTD("money.excel",,$G1007,"PredictVolume")</f>
        <v>0</v>
      </c>
      <c r="AN1007" s="272">
        <f>RTD("money.excel",,$G1007,"CumulativeVolume")</f>
        <v>0</v>
      </c>
      <c r="AO1007" s="284"/>
    </row>
    <row r="1008" spans="1:41">
      <c r="A1008" s="151" t="s">
        <v>5379</v>
      </c>
      <c r="B1008" s="84">
        <v>185</v>
      </c>
      <c r="C1008" s="84">
        <v>163</v>
      </c>
      <c r="D1008" s="84">
        <v>252</v>
      </c>
      <c r="E1008" s="84">
        <v>349</v>
      </c>
      <c r="F1008" s="7">
        <v>4.4000000000000004</v>
      </c>
      <c r="G1008" s="85">
        <v>8097</v>
      </c>
      <c r="H1008" s="4" t="s">
        <v>563</v>
      </c>
      <c r="I1008" s="17" t="s">
        <v>985</v>
      </c>
      <c r="J1008" s="371">
        <v>45.02</v>
      </c>
      <c r="K1008" s="371">
        <v>1.1100000000000001</v>
      </c>
      <c r="L1008" s="77">
        <v>28.86</v>
      </c>
      <c r="N1008" s="365">
        <f t="shared" si="311"/>
        <v>74.990000000000009</v>
      </c>
      <c r="O1008" s="343">
        <f t="shared" si="306"/>
        <v>45.02</v>
      </c>
      <c r="P1008" s="195" t="s">
        <v>5554</v>
      </c>
      <c r="Q1008" s="326">
        <f>IFERROR(VLOOKUP($G1008,主力整理!$A$2:$G$2301,6,0),"0")</f>
        <v>1</v>
      </c>
      <c r="R1008" s="111">
        <v>11</v>
      </c>
      <c r="S1008" s="51">
        <v>0</v>
      </c>
      <c r="T1008" s="339">
        <f t="shared" si="307"/>
        <v>12</v>
      </c>
      <c r="V1008" s="371">
        <v>0.76</v>
      </c>
      <c r="W1008" s="35">
        <v>0</v>
      </c>
      <c r="X1008" s="100">
        <v>-0.14000000000000001</v>
      </c>
      <c r="Y1008" s="37" t="str">
        <f>RTD("money.excel",,"8097","Price")</f>
        <v>無資料</v>
      </c>
      <c r="Z1008" s="69"/>
      <c r="AA1008" s="16" t="e">
        <f t="shared" si="308"/>
        <v>#VALUE!</v>
      </c>
      <c r="AB1008" s="3" t="e">
        <f t="shared" si="309"/>
        <v>#VALUE!</v>
      </c>
      <c r="AD1008" s="17" t="s">
        <v>985</v>
      </c>
      <c r="AG1008" s="34">
        <f t="shared" si="310"/>
        <v>0</v>
      </c>
      <c r="AH1008" s="44" t="s">
        <v>4143</v>
      </c>
      <c r="AI1008" s="131"/>
      <c r="AK1008" s="66">
        <f t="shared" si="303"/>
        <v>0</v>
      </c>
      <c r="AL1008" s="174">
        <f t="shared" si="304"/>
        <v>0</v>
      </c>
      <c r="AM1008" s="346">
        <f>RTD("money.excel",,$G1008,"PredictVolume")</f>
        <v>0</v>
      </c>
      <c r="AN1008" s="272">
        <f>RTD("money.excel",,$G1008,"CumulativeVolume")</f>
        <v>0</v>
      </c>
      <c r="AO1008" s="284"/>
    </row>
    <row r="1009" spans="1:41">
      <c r="A1009" s="151" t="s">
        <v>2495</v>
      </c>
      <c r="B1009" s="84">
        <v>92</v>
      </c>
      <c r="C1009" s="84">
        <v>45</v>
      </c>
      <c r="D1009" s="85">
        <v>-54</v>
      </c>
      <c r="E1009" s="84">
        <v>102</v>
      </c>
      <c r="F1009" s="7">
        <v>-23.36</v>
      </c>
      <c r="G1009" s="85">
        <v>8101</v>
      </c>
      <c r="H1009" s="4" t="s">
        <v>563</v>
      </c>
      <c r="I1009" s="23" t="s">
        <v>1004</v>
      </c>
      <c r="J1009" s="77">
        <v>58.64</v>
      </c>
      <c r="K1009" s="77">
        <v>0.48</v>
      </c>
      <c r="L1009" s="371"/>
      <c r="N1009" s="365">
        <f t="shared" si="311"/>
        <v>59.12</v>
      </c>
      <c r="O1009" s="343">
        <f t="shared" si="306"/>
        <v>58.64</v>
      </c>
      <c r="P1009" s="195" t="s">
        <v>5554</v>
      </c>
      <c r="Q1009" s="326" t="str">
        <f>IFERROR(VLOOKUP($G1009,主力整理!$A$2:$G$2301,6,0),"0")</f>
        <v>0</v>
      </c>
      <c r="T1009" s="339">
        <f t="shared" si="307"/>
        <v>0</v>
      </c>
      <c r="V1009" s="371">
        <v>44.74</v>
      </c>
      <c r="W1009" s="35">
        <v>0</v>
      </c>
      <c r="X1009" s="59">
        <v>-3.06</v>
      </c>
      <c r="Y1009" s="37" t="str">
        <f>RTD("money.excel",,"8101","Price")</f>
        <v>無資料</v>
      </c>
      <c r="Z1009" s="69"/>
      <c r="AA1009" s="16" t="e">
        <f t="shared" si="308"/>
        <v>#VALUE!</v>
      </c>
      <c r="AB1009" s="3" t="e">
        <f t="shared" si="309"/>
        <v>#VALUE!</v>
      </c>
      <c r="AC1009" s="177" t="s">
        <v>2648</v>
      </c>
      <c r="AD1009" s="23" t="s">
        <v>1004</v>
      </c>
      <c r="AG1009" s="34">
        <f t="shared" si="310"/>
        <v>0</v>
      </c>
      <c r="AH1009" s="44" t="s">
        <v>4295</v>
      </c>
      <c r="AI1009" s="131"/>
      <c r="AK1009" s="66">
        <f t="shared" si="303"/>
        <v>0</v>
      </c>
      <c r="AL1009" s="174">
        <f t="shared" si="304"/>
        <v>0</v>
      </c>
      <c r="AM1009" s="346">
        <f>RTD("money.excel",,$G1009,"PredictVolume")</f>
        <v>0</v>
      </c>
      <c r="AN1009" s="272">
        <f>RTD("money.excel",,$G1009,"CumulativeVolume")</f>
        <v>0</v>
      </c>
      <c r="AO1009" s="284"/>
    </row>
    <row r="1010" spans="1:41">
      <c r="A1010" s="151" t="s">
        <v>2959</v>
      </c>
      <c r="B1010" s="85">
        <v>-22</v>
      </c>
      <c r="C1010" s="84">
        <v>41</v>
      </c>
      <c r="D1010" s="84">
        <v>379</v>
      </c>
      <c r="E1010" s="84">
        <v>155</v>
      </c>
      <c r="F1010" s="7">
        <v>-15.62</v>
      </c>
      <c r="G1010" s="85">
        <v>8171</v>
      </c>
      <c r="H1010" s="4" t="s">
        <v>563</v>
      </c>
      <c r="I1010" s="17" t="s">
        <v>986</v>
      </c>
      <c r="J1010" s="77">
        <v>27.51</v>
      </c>
      <c r="K1010" s="77">
        <v>1.63</v>
      </c>
      <c r="L1010" s="77">
        <v>72.73</v>
      </c>
      <c r="N1010" s="365">
        <f t="shared" si="311"/>
        <v>101.87</v>
      </c>
      <c r="O1010" s="343">
        <f t="shared" si="306"/>
        <v>27.51</v>
      </c>
      <c r="P1010" s="195">
        <v>2</v>
      </c>
      <c r="Q1010" s="326" t="str">
        <f>IFERROR(VLOOKUP($G1010,主力整理!$A$2:$G$2301,6,0),"0")</f>
        <v>0</v>
      </c>
      <c r="T1010" s="339">
        <f t="shared" si="307"/>
        <v>2</v>
      </c>
      <c r="V1010" s="371">
        <v>4.09</v>
      </c>
      <c r="W1010" s="35">
        <v>0</v>
      </c>
      <c r="X1010" s="100">
        <v>-1.42</v>
      </c>
      <c r="Y1010" s="37" t="str">
        <f>RTD("money.excel",,"8171","Price")</f>
        <v>無資料</v>
      </c>
      <c r="Z1010" s="69"/>
      <c r="AA1010" s="16" t="e">
        <f t="shared" si="308"/>
        <v>#VALUE!</v>
      </c>
      <c r="AB1010" s="3" t="e">
        <f t="shared" si="309"/>
        <v>#VALUE!</v>
      </c>
      <c r="AC1010" s="177" t="s">
        <v>2648</v>
      </c>
      <c r="AD1010" s="17" t="s">
        <v>986</v>
      </c>
      <c r="AG1010" s="34">
        <f t="shared" si="310"/>
        <v>0</v>
      </c>
      <c r="AH1010" s="44" t="s">
        <v>4018</v>
      </c>
      <c r="AI1010" s="284"/>
      <c r="AK1010" s="66">
        <f t="shared" si="303"/>
        <v>0</v>
      </c>
      <c r="AL1010" s="174">
        <f t="shared" si="304"/>
        <v>0</v>
      </c>
      <c r="AM1010" s="346">
        <f>RTD("money.excel",,$G1010,"PredictVolume")</f>
        <v>0</v>
      </c>
      <c r="AN1010" s="272">
        <f>RTD("money.excel",,$G1010,"CumulativeVolume")</f>
        <v>0</v>
      </c>
      <c r="AO1010" s="284"/>
    </row>
    <row r="1011" spans="1:41">
      <c r="A1011" s="151" t="s">
        <v>2432</v>
      </c>
      <c r="B1011" s="214">
        <v>-4503</v>
      </c>
      <c r="C1011" s="214">
        <v>-1096</v>
      </c>
      <c r="D1011" s="96">
        <v>-52</v>
      </c>
      <c r="E1011" s="96">
        <v>-60</v>
      </c>
      <c r="F1011" s="7">
        <v>-37.4</v>
      </c>
      <c r="G1011" s="85">
        <v>8176</v>
      </c>
      <c r="H1011" s="4" t="s">
        <v>563</v>
      </c>
      <c r="I1011" s="17" t="s">
        <v>987</v>
      </c>
      <c r="J1011" s="77">
        <v>46.68</v>
      </c>
      <c r="K1011" s="77">
        <v>0.77</v>
      </c>
      <c r="L1011" s="77">
        <v>8.83</v>
      </c>
      <c r="N1011" s="365">
        <f t="shared" si="311"/>
        <v>56.28</v>
      </c>
      <c r="O1011" s="343">
        <f t="shared" si="306"/>
        <v>46.68</v>
      </c>
      <c r="P1011" s="195" t="s">
        <v>5554</v>
      </c>
      <c r="Q1011" s="326" t="str">
        <f>IFERROR(VLOOKUP($G1011,主力整理!$A$2:$G$2301,6,0),"0")</f>
        <v>0</v>
      </c>
      <c r="T1011" s="339">
        <f t="shared" si="307"/>
        <v>0</v>
      </c>
      <c r="V1011" s="371">
        <v>24.23</v>
      </c>
      <c r="W1011" s="35">
        <v>0</v>
      </c>
      <c r="X1011" s="100">
        <v>-1.27</v>
      </c>
      <c r="Y1011" s="37" t="str">
        <f>RTD("money.excel",,"8176","Price")</f>
        <v>無資料</v>
      </c>
      <c r="Z1011" s="69"/>
      <c r="AA1011" s="16" t="e">
        <f t="shared" si="308"/>
        <v>#VALUE!</v>
      </c>
      <c r="AB1011" s="3" t="e">
        <f t="shared" si="309"/>
        <v>#VALUE!</v>
      </c>
      <c r="AD1011" s="17" t="s">
        <v>987</v>
      </c>
      <c r="AG1011" s="34">
        <f t="shared" si="310"/>
        <v>0</v>
      </c>
      <c r="AH1011" s="44" t="s">
        <v>4141</v>
      </c>
      <c r="AI1011" s="131"/>
      <c r="AK1011" s="66">
        <f t="shared" si="303"/>
        <v>0</v>
      </c>
      <c r="AL1011" s="174">
        <f t="shared" si="304"/>
        <v>0</v>
      </c>
      <c r="AM1011" s="346">
        <f>RTD("money.excel",,$G1011,"PredictVolume")</f>
        <v>0</v>
      </c>
      <c r="AN1011" s="272">
        <f>RTD("money.excel",,$G1011,"CumulativeVolume")</f>
        <v>0</v>
      </c>
      <c r="AO1011" s="284"/>
    </row>
    <row r="1012" spans="1:41">
      <c r="A1012" s="151"/>
      <c r="B1012" s="214"/>
      <c r="C1012" s="214"/>
      <c r="D1012" s="96"/>
      <c r="E1012" s="96"/>
      <c r="F1012" s="7"/>
      <c r="G1012" s="85"/>
      <c r="H1012" s="4"/>
      <c r="I1012" s="17"/>
      <c r="J1012" s="77"/>
      <c r="K1012" s="77"/>
      <c r="N1012" s="365"/>
      <c r="O1012" s="343"/>
      <c r="P1012" s="195"/>
      <c r="W1012" s="35"/>
      <c r="X1012" s="100"/>
      <c r="Y1012" s="37"/>
      <c r="Z1012" s="69"/>
      <c r="AA1012" s="16"/>
      <c r="AB1012" s="3"/>
      <c r="AD1012" s="17"/>
      <c r="AG1012" s="34"/>
      <c r="AH1012" s="44"/>
      <c r="AI1012" s="131"/>
      <c r="AK1012" s="66"/>
      <c r="AL1012" s="174"/>
      <c r="AM1012" s="346"/>
      <c r="AN1012" s="272"/>
      <c r="AO1012" s="284"/>
    </row>
    <row r="1013" spans="1:41">
      <c r="A1013" s="135" t="s">
        <v>2552</v>
      </c>
      <c r="B1013" s="96" t="s">
        <v>2331</v>
      </c>
      <c r="C1013" s="96" t="s">
        <v>2332</v>
      </c>
      <c r="D1013" s="96" t="s">
        <v>2333</v>
      </c>
      <c r="E1013" s="96" t="s">
        <v>2334</v>
      </c>
      <c r="F1013" s="9" t="s">
        <v>1709</v>
      </c>
      <c r="G1013" s="52" t="s">
        <v>779</v>
      </c>
      <c r="H1013" s="56" t="s">
        <v>578</v>
      </c>
      <c r="I1013" s="9" t="s">
        <v>559</v>
      </c>
      <c r="J1013" s="364" t="s">
        <v>2189</v>
      </c>
      <c r="K1013" s="364" t="s">
        <v>1820</v>
      </c>
      <c r="L1013" s="364" t="s">
        <v>515</v>
      </c>
      <c r="M1013" s="364" t="s">
        <v>1699</v>
      </c>
      <c r="N1013" s="364" t="s">
        <v>6604</v>
      </c>
      <c r="O1013" s="343" t="s">
        <v>6620</v>
      </c>
      <c r="P1013" s="83" t="s">
        <v>5279</v>
      </c>
      <c r="Q1013" s="326" t="s">
        <v>5514</v>
      </c>
      <c r="R1013" s="31" t="s">
        <v>6596</v>
      </c>
      <c r="S1013" s="51" t="s">
        <v>6597</v>
      </c>
      <c r="T1013" s="338" t="s">
        <v>5627</v>
      </c>
      <c r="U1013" s="330" t="s">
        <v>6537</v>
      </c>
      <c r="V1013" s="377" t="s">
        <v>6616</v>
      </c>
      <c r="W1013" s="11" t="s">
        <v>127</v>
      </c>
      <c r="X1013" s="71" t="s">
        <v>5216</v>
      </c>
      <c r="Y1013" s="29" t="s">
        <v>3</v>
      </c>
      <c r="Z1013" s="18" t="s">
        <v>2113</v>
      </c>
      <c r="AA1013" s="15" t="s">
        <v>8</v>
      </c>
      <c r="AB1013" s="22" t="s">
        <v>4</v>
      </c>
      <c r="AC1013" s="358" t="s">
        <v>211</v>
      </c>
      <c r="AD1013" s="9" t="s">
        <v>559</v>
      </c>
      <c r="AE1013" s="75" t="s">
        <v>2114</v>
      </c>
      <c r="AF1013" s="76" t="s">
        <v>1826</v>
      </c>
      <c r="AG1013" s="33" t="s">
        <v>1827</v>
      </c>
      <c r="AH1013" s="44"/>
      <c r="AI1013" s="131"/>
      <c r="AK1013" s="9" t="s">
        <v>6666</v>
      </c>
      <c r="AL1013" s="5" t="s">
        <v>6667</v>
      </c>
      <c r="AM1013" s="51" t="s">
        <v>5339</v>
      </c>
      <c r="AN1013" s="276" t="s">
        <v>6665</v>
      </c>
      <c r="AO1013" s="284"/>
    </row>
    <row r="1014" spans="1:41">
      <c r="A1014" s="151" t="s">
        <v>3490</v>
      </c>
      <c r="B1014" s="84">
        <v>323</v>
      </c>
      <c r="C1014" s="85">
        <v>-62</v>
      </c>
      <c r="D1014" s="85">
        <v>-7</v>
      </c>
      <c r="E1014" s="85">
        <v>-14</v>
      </c>
      <c r="F1014" s="7">
        <v>1.91</v>
      </c>
      <c r="G1014" s="85">
        <v>1336</v>
      </c>
      <c r="H1014" s="4" t="s">
        <v>559</v>
      </c>
      <c r="I1014" s="17" t="s">
        <v>729</v>
      </c>
      <c r="J1014" s="77">
        <v>31.06</v>
      </c>
      <c r="K1014" s="77">
        <v>2.4</v>
      </c>
      <c r="L1014" s="77">
        <v>44.5</v>
      </c>
      <c r="N1014" s="365">
        <f t="shared" ref="N1014:N1045" si="312">J1014+K1014+L1014+M1014</f>
        <v>77.960000000000008</v>
      </c>
      <c r="O1014" s="343">
        <f t="shared" ref="O1014:O1077" si="313">J1014+M1014</f>
        <v>31.06</v>
      </c>
      <c r="P1014" s="195">
        <v>1</v>
      </c>
      <c r="Q1014" s="326" t="str">
        <f>IFERROR(VLOOKUP($G1014,主力整理!$A$2:$G$2301,6,0),"0")</f>
        <v>0</v>
      </c>
      <c r="R1014" s="111">
        <v>3</v>
      </c>
      <c r="T1014" s="339">
        <f t="shared" ref="T1014:T1077" si="314">SUM(P1014:S1014)</f>
        <v>4</v>
      </c>
      <c r="V1014" s="371">
        <v>2.64</v>
      </c>
      <c r="W1014" s="35">
        <v>1.5</v>
      </c>
      <c r="X1014" s="100">
        <v>2.48</v>
      </c>
      <c r="Y1014" s="37" t="str">
        <f>RTD("money.excel",,"1336","Price")</f>
        <v>無資料</v>
      </c>
      <c r="Z1014" s="69"/>
      <c r="AA1014" s="16" t="e">
        <f t="shared" ref="AA1014:AA1077" si="315">Y1014-Z1014</f>
        <v>#VALUE!</v>
      </c>
      <c r="AB1014" s="3" t="e">
        <f t="shared" ref="AB1014:AB1077" si="316">AA1014/Z1014</f>
        <v>#VALUE!</v>
      </c>
      <c r="AC1014" s="177" t="s">
        <v>2648</v>
      </c>
      <c r="AD1014" s="17" t="s">
        <v>729</v>
      </c>
      <c r="AG1014" s="34">
        <f t="shared" ref="AG1014:AG1077" si="317">AF1014-AE1014</f>
        <v>0</v>
      </c>
      <c r="AH1014" s="44" t="s">
        <v>3495</v>
      </c>
      <c r="AI1014" s="131"/>
      <c r="AK1014" s="66">
        <f t="shared" ref="AK1014" si="318">AM1014/(A1014*10000)</f>
        <v>0</v>
      </c>
      <c r="AL1014" s="174">
        <f t="shared" ref="AL1014" si="319">AN1014/(A1014*10000)</f>
        <v>0</v>
      </c>
      <c r="AM1014" s="346">
        <f>RTD("money.excel",,$G1014,"PredictVolume")</f>
        <v>0</v>
      </c>
      <c r="AN1014" s="272">
        <f>RTD("money.excel",,$G1014,"CumulativeVolume")</f>
        <v>0</v>
      </c>
      <c r="AO1014" s="284"/>
    </row>
    <row r="1015" spans="1:41">
      <c r="A1015" s="151" t="s">
        <v>3576</v>
      </c>
      <c r="B1015" s="84">
        <v>102</v>
      </c>
      <c r="C1015" s="84">
        <v>32</v>
      </c>
      <c r="D1015" s="85">
        <v>-28</v>
      </c>
      <c r="E1015" s="85">
        <v>-73</v>
      </c>
      <c r="F1015" s="7">
        <v>-23.43</v>
      </c>
      <c r="G1015" s="85">
        <v>1471</v>
      </c>
      <c r="H1015" s="4" t="s">
        <v>559</v>
      </c>
      <c r="I1015" s="23" t="s">
        <v>683</v>
      </c>
      <c r="J1015" s="371">
        <v>23.47</v>
      </c>
      <c r="K1015" s="371">
        <v>0.81</v>
      </c>
      <c r="L1015" s="371"/>
      <c r="N1015" s="365">
        <f t="shared" si="312"/>
        <v>24.279999999999998</v>
      </c>
      <c r="O1015" s="343">
        <f t="shared" si="313"/>
        <v>23.47</v>
      </c>
      <c r="P1015" s="195" t="s">
        <v>5554</v>
      </c>
      <c r="Q1015" s="326" t="str">
        <f>IFERROR(VLOOKUP($G1015,主力整理!$A$2:$G$2301,6,0),"0")</f>
        <v>0</v>
      </c>
      <c r="R1015" s="111">
        <v>37</v>
      </c>
      <c r="T1015" s="339">
        <f t="shared" si="314"/>
        <v>37</v>
      </c>
      <c r="W1015" s="35">
        <v>0</v>
      </c>
      <c r="X1015" s="100">
        <v>3.08</v>
      </c>
      <c r="Y1015" s="37" t="str">
        <f>RTD("money.excel",,"1471","Price")</f>
        <v>無資料</v>
      </c>
      <c r="Z1015" s="69"/>
      <c r="AA1015" s="16" t="e">
        <f t="shared" si="315"/>
        <v>#VALUE!</v>
      </c>
      <c r="AB1015" s="3" t="e">
        <f t="shared" si="316"/>
        <v>#VALUE!</v>
      </c>
      <c r="AD1015" s="23" t="s">
        <v>683</v>
      </c>
      <c r="AG1015" s="34">
        <f t="shared" si="317"/>
        <v>0</v>
      </c>
      <c r="AH1015" s="44" t="s">
        <v>3761</v>
      </c>
      <c r="AI1015" s="284"/>
      <c r="AK1015" s="66">
        <f t="shared" ref="AK1015:AK1048" si="320">AM1015/(A1015*10000)</f>
        <v>0</v>
      </c>
      <c r="AL1015" s="174">
        <f t="shared" ref="AL1015:AL1048" si="321">AN1015/(A1015*10000)</f>
        <v>0</v>
      </c>
      <c r="AM1015" s="346">
        <f>RTD("money.excel",,$G1015,"PredictVolume")</f>
        <v>0</v>
      </c>
      <c r="AN1015" s="272">
        <f>RTD("money.excel",,$G1015,"CumulativeVolume")</f>
        <v>0</v>
      </c>
      <c r="AO1015" s="284"/>
    </row>
    <row r="1016" spans="1:41">
      <c r="A1016" s="151" t="s">
        <v>2589</v>
      </c>
      <c r="B1016" s="85">
        <v>-70</v>
      </c>
      <c r="C1016" s="85">
        <v>-69</v>
      </c>
      <c r="D1016" s="84">
        <v>11</v>
      </c>
      <c r="E1016" s="84">
        <v>10</v>
      </c>
      <c r="F1016" s="7">
        <v>4.66</v>
      </c>
      <c r="G1016" s="85">
        <v>1582</v>
      </c>
      <c r="H1016" s="4" t="s">
        <v>559</v>
      </c>
      <c r="I1016" s="23" t="s">
        <v>685</v>
      </c>
      <c r="J1016" s="77">
        <v>30.24</v>
      </c>
      <c r="K1016" s="371">
        <v>13.49</v>
      </c>
      <c r="L1016" s="77">
        <v>5.08</v>
      </c>
      <c r="N1016" s="365">
        <f t="shared" si="312"/>
        <v>48.809999999999995</v>
      </c>
      <c r="O1016" s="343">
        <f t="shared" si="313"/>
        <v>30.24</v>
      </c>
      <c r="P1016" s="195">
        <v>0</v>
      </c>
      <c r="Q1016" s="326" t="str">
        <f>IFERROR(VLOOKUP($G1016,主力整理!$A$2:$G$2301,6,0),"0")</f>
        <v>0</v>
      </c>
      <c r="R1016" s="111">
        <v>1</v>
      </c>
      <c r="S1016" s="51">
        <v>5</v>
      </c>
      <c r="T1016" s="339">
        <f t="shared" si="314"/>
        <v>6</v>
      </c>
      <c r="V1016" s="371">
        <v>0.88</v>
      </c>
      <c r="W1016" s="69">
        <v>5</v>
      </c>
      <c r="X1016" s="100">
        <v>5</v>
      </c>
      <c r="Y1016" s="37" t="str">
        <f>RTD("money.excel",,"1582","Price")</f>
        <v>無資料</v>
      </c>
      <c r="Z1016" s="69"/>
      <c r="AA1016" s="16" t="e">
        <f t="shared" si="315"/>
        <v>#VALUE!</v>
      </c>
      <c r="AB1016" s="3" t="e">
        <f t="shared" si="316"/>
        <v>#VALUE!</v>
      </c>
      <c r="AC1016" s="177" t="s">
        <v>2929</v>
      </c>
      <c r="AD1016" s="23" t="s">
        <v>685</v>
      </c>
      <c r="AG1016" s="34">
        <f t="shared" si="317"/>
        <v>0</v>
      </c>
      <c r="AH1016" s="44" t="s">
        <v>4070</v>
      </c>
      <c r="AI1016" s="131"/>
      <c r="AK1016" s="66">
        <f t="shared" si="320"/>
        <v>0</v>
      </c>
      <c r="AL1016" s="174">
        <f t="shared" si="321"/>
        <v>0</v>
      </c>
      <c r="AM1016" s="346">
        <f>RTD("money.excel",,$G1016,"PredictVolume")</f>
        <v>0</v>
      </c>
      <c r="AN1016" s="272">
        <f>RTD("money.excel",,$G1016,"CumulativeVolume")</f>
        <v>0</v>
      </c>
      <c r="AO1016" s="284"/>
    </row>
    <row r="1017" spans="1:41">
      <c r="A1017" s="151" t="s">
        <v>3278</v>
      </c>
      <c r="B1017" s="85">
        <v>-62</v>
      </c>
      <c r="C1017" s="85">
        <v>-41</v>
      </c>
      <c r="D1017" s="85">
        <v>-45</v>
      </c>
      <c r="E1017" s="85">
        <v>-44</v>
      </c>
      <c r="F1017" s="7">
        <v>4.6100000000000003</v>
      </c>
      <c r="G1017" s="85">
        <v>1595</v>
      </c>
      <c r="H1017" s="4" t="s">
        <v>559</v>
      </c>
      <c r="I1017" s="17" t="s">
        <v>417</v>
      </c>
      <c r="J1017" s="77">
        <v>45.97</v>
      </c>
      <c r="K1017" s="77">
        <v>0.73</v>
      </c>
      <c r="L1017" s="77">
        <v>1.73</v>
      </c>
      <c r="N1017" s="365">
        <f t="shared" si="312"/>
        <v>48.429999999999993</v>
      </c>
      <c r="O1017" s="343">
        <f t="shared" si="313"/>
        <v>45.97</v>
      </c>
      <c r="P1017" s="195" t="s">
        <v>5554</v>
      </c>
      <c r="Q1017" s="326" t="str">
        <f>IFERROR(VLOOKUP($G1017,主力整理!$A$2:$G$2301,6,0),"0")</f>
        <v>0</v>
      </c>
      <c r="R1017" s="111">
        <v>1</v>
      </c>
      <c r="T1017" s="339">
        <f t="shared" si="314"/>
        <v>1</v>
      </c>
      <c r="V1017" s="371">
        <v>0</v>
      </c>
      <c r="W1017" s="35">
        <v>0.5</v>
      </c>
      <c r="X1017" s="100">
        <v>0.19</v>
      </c>
      <c r="Y1017" s="37" t="str">
        <f>RTD("money.excel",,"1595","Price")</f>
        <v>無資料</v>
      </c>
      <c r="Z1017" s="69"/>
      <c r="AA1017" s="16" t="e">
        <f t="shared" si="315"/>
        <v>#VALUE!</v>
      </c>
      <c r="AB1017" s="3" t="e">
        <f t="shared" si="316"/>
        <v>#VALUE!</v>
      </c>
      <c r="AC1017" s="177" t="s">
        <v>2648</v>
      </c>
      <c r="AD1017" s="17" t="s">
        <v>417</v>
      </c>
      <c r="AG1017" s="34">
        <f t="shared" si="317"/>
        <v>0</v>
      </c>
      <c r="AH1017" s="44" t="s">
        <v>3279</v>
      </c>
      <c r="AI1017" s="131"/>
      <c r="AK1017" s="66">
        <f t="shared" si="320"/>
        <v>0</v>
      </c>
      <c r="AL1017" s="174">
        <f t="shared" si="321"/>
        <v>0</v>
      </c>
      <c r="AM1017" s="346">
        <f>RTD("money.excel",,$G1017,"PredictVolume")</f>
        <v>0</v>
      </c>
      <c r="AN1017" s="272">
        <f>RTD("money.excel",,$G1017,"CumulativeVolume")</f>
        <v>0</v>
      </c>
      <c r="AO1017" s="284"/>
    </row>
    <row r="1018" spans="1:41">
      <c r="A1018" s="151" t="s">
        <v>2778</v>
      </c>
      <c r="B1018" s="85">
        <v>-703</v>
      </c>
      <c r="C1018" s="85">
        <v>-360</v>
      </c>
      <c r="D1018" s="85">
        <v>-16</v>
      </c>
      <c r="E1018" s="84">
        <v>25</v>
      </c>
      <c r="F1018" s="7">
        <v>-18.97</v>
      </c>
      <c r="G1018" s="85">
        <v>1815</v>
      </c>
      <c r="H1018" s="4" t="s">
        <v>559</v>
      </c>
      <c r="I1018" s="17" t="s">
        <v>209</v>
      </c>
      <c r="J1018" s="77">
        <v>34.340000000000003</v>
      </c>
      <c r="K1018" s="371">
        <v>4.0999999999999996</v>
      </c>
      <c r="L1018" s="77">
        <v>18.63</v>
      </c>
      <c r="N1018" s="365">
        <f t="shared" si="312"/>
        <v>57.070000000000007</v>
      </c>
      <c r="O1018" s="343">
        <f t="shared" si="313"/>
        <v>34.340000000000003</v>
      </c>
      <c r="P1018" s="195">
        <v>1</v>
      </c>
      <c r="Q1018" s="326">
        <f>IFERROR(VLOOKUP($G1018,主力整理!$A$2:$G$2301,6,0),"0")</f>
        <v>7</v>
      </c>
      <c r="R1018" s="111">
        <v>4</v>
      </c>
      <c r="T1018" s="339">
        <f t="shared" si="314"/>
        <v>12</v>
      </c>
      <c r="V1018" s="371">
        <v>0.23</v>
      </c>
      <c r="W1018" s="35">
        <v>0</v>
      </c>
      <c r="X1018" s="100">
        <v>-1.1599999999999999</v>
      </c>
      <c r="Y1018" s="37" t="str">
        <f>RTD("money.excel",,"1815","Price")</f>
        <v>無資料</v>
      </c>
      <c r="Z1018" s="69"/>
      <c r="AA1018" s="16" t="e">
        <f t="shared" si="315"/>
        <v>#VALUE!</v>
      </c>
      <c r="AB1018" s="3" t="e">
        <f t="shared" si="316"/>
        <v>#VALUE!</v>
      </c>
      <c r="AC1018" s="177" t="s">
        <v>2648</v>
      </c>
      <c r="AD1018" s="17" t="s">
        <v>209</v>
      </c>
      <c r="AG1018" s="34">
        <f t="shared" si="317"/>
        <v>0</v>
      </c>
      <c r="AH1018" s="125" t="s">
        <v>1698</v>
      </c>
      <c r="AI1018" s="131"/>
      <c r="AK1018" s="66">
        <f t="shared" si="320"/>
        <v>0</v>
      </c>
      <c r="AL1018" s="174">
        <f t="shared" si="321"/>
        <v>0</v>
      </c>
      <c r="AM1018" s="346">
        <f>RTD("money.excel",,$G1018,"PredictVolume")</f>
        <v>0</v>
      </c>
      <c r="AN1018" s="272">
        <f>RTD("money.excel",,$G1018,"CumulativeVolume")</f>
        <v>0</v>
      </c>
      <c r="AO1018" s="284"/>
    </row>
    <row r="1019" spans="1:41">
      <c r="A1019" s="135" t="s">
        <v>2450</v>
      </c>
      <c r="B1019" s="85">
        <v>-25</v>
      </c>
      <c r="C1019" s="84">
        <v>5</v>
      </c>
      <c r="D1019" s="84">
        <v>3</v>
      </c>
      <c r="E1019" s="85">
        <v>-22</v>
      </c>
      <c r="F1019" s="59">
        <v>41.78</v>
      </c>
      <c r="G1019" s="85">
        <v>2059</v>
      </c>
      <c r="H1019" s="53" t="s">
        <v>559</v>
      </c>
      <c r="I1019" s="23" t="s">
        <v>469</v>
      </c>
      <c r="J1019" s="371">
        <v>66.319999999999993</v>
      </c>
      <c r="K1019" s="77">
        <v>17.690000000000001</v>
      </c>
      <c r="L1019" s="77">
        <v>2.54</v>
      </c>
      <c r="N1019" s="365">
        <f t="shared" si="312"/>
        <v>86.55</v>
      </c>
      <c r="O1019" s="343">
        <f t="shared" si="313"/>
        <v>66.319999999999993</v>
      </c>
      <c r="P1019" s="195" t="s">
        <v>5554</v>
      </c>
      <c r="Q1019" s="326" t="str">
        <f>IFERROR(VLOOKUP($G1019,主力整理!$A$2:$G$2301,6,0),"0")</f>
        <v>0</v>
      </c>
      <c r="T1019" s="339">
        <f t="shared" si="314"/>
        <v>0</v>
      </c>
      <c r="V1019" s="371">
        <v>0.06</v>
      </c>
      <c r="W1019" s="69">
        <v>6.12</v>
      </c>
      <c r="X1019" s="100">
        <v>12.22</v>
      </c>
      <c r="Y1019" s="37" t="str">
        <f>RTD("money.excel",,"2059","Price")</f>
        <v>無資料</v>
      </c>
      <c r="Z1019" s="69"/>
      <c r="AA1019" s="16" t="e">
        <f t="shared" si="315"/>
        <v>#VALUE!</v>
      </c>
      <c r="AB1019" s="3" t="e">
        <f t="shared" si="316"/>
        <v>#VALUE!</v>
      </c>
      <c r="AC1019" s="177" t="s">
        <v>2929</v>
      </c>
      <c r="AD1019" s="23" t="s">
        <v>469</v>
      </c>
      <c r="AG1019" s="34">
        <f t="shared" si="317"/>
        <v>0</v>
      </c>
      <c r="AH1019" s="126" t="s">
        <v>2146</v>
      </c>
      <c r="AI1019" s="131"/>
      <c r="AK1019" s="66">
        <f t="shared" si="320"/>
        <v>0</v>
      </c>
      <c r="AL1019" s="174">
        <f t="shared" si="321"/>
        <v>0</v>
      </c>
      <c r="AM1019" s="346">
        <f>RTD("money.excel",,$G1019,"PredictVolume")</f>
        <v>0</v>
      </c>
      <c r="AN1019" s="272">
        <f>RTD("money.excel",,$G1019,"CumulativeVolume")</f>
        <v>0</v>
      </c>
      <c r="AO1019" s="284"/>
    </row>
    <row r="1020" spans="1:41">
      <c r="A1020" s="135" t="s">
        <v>2456</v>
      </c>
      <c r="B1020" s="84">
        <v>3</v>
      </c>
      <c r="C1020" s="84">
        <v>54</v>
      </c>
      <c r="D1020" s="84">
        <v>5</v>
      </c>
      <c r="E1020" s="84">
        <v>20</v>
      </c>
      <c r="F1020" s="59">
        <v>10.63</v>
      </c>
      <c r="G1020" s="85">
        <v>2308</v>
      </c>
      <c r="H1020" s="4" t="s">
        <v>559</v>
      </c>
      <c r="I1020" s="23" t="s">
        <v>15</v>
      </c>
      <c r="J1020" s="371">
        <v>82.03</v>
      </c>
      <c r="K1020" s="371">
        <v>71.37</v>
      </c>
      <c r="L1020" s="77">
        <v>0.9</v>
      </c>
      <c r="N1020" s="365">
        <f t="shared" si="312"/>
        <v>154.30000000000001</v>
      </c>
      <c r="O1020" s="343">
        <f t="shared" si="313"/>
        <v>82.03</v>
      </c>
      <c r="P1020" s="195">
        <v>20</v>
      </c>
      <c r="Q1020" s="326">
        <f>IFERROR(VLOOKUP($G1020,主力整理!$A$2:$G$2301,6,0),"0")</f>
        <v>7</v>
      </c>
      <c r="T1020" s="339">
        <f t="shared" si="314"/>
        <v>27</v>
      </c>
      <c r="V1020" s="371">
        <v>0.06</v>
      </c>
      <c r="W1020" s="69">
        <v>5.5</v>
      </c>
      <c r="X1020" s="59">
        <v>9.81</v>
      </c>
      <c r="Y1020" s="14" t="str">
        <f>RTD("money.excel",,"2308","Price")</f>
        <v>無資料</v>
      </c>
      <c r="Z1020" s="69"/>
      <c r="AA1020" s="16" t="e">
        <f t="shared" si="315"/>
        <v>#VALUE!</v>
      </c>
      <c r="AB1020" s="3" t="e">
        <f t="shared" si="316"/>
        <v>#VALUE!</v>
      </c>
      <c r="AC1020" s="177" t="s">
        <v>2929</v>
      </c>
      <c r="AD1020" s="23" t="s">
        <v>15</v>
      </c>
      <c r="AG1020" s="34">
        <f t="shared" si="317"/>
        <v>0</v>
      </c>
      <c r="AH1020" s="50" t="s">
        <v>4953</v>
      </c>
      <c r="AI1020" s="131"/>
      <c r="AK1020" s="66">
        <f t="shared" si="320"/>
        <v>0</v>
      </c>
      <c r="AL1020" s="174">
        <f t="shared" si="321"/>
        <v>0</v>
      </c>
      <c r="AM1020" s="346">
        <f>RTD("money.excel",,$G1020,"PredictVolume")</f>
        <v>0</v>
      </c>
      <c r="AN1020" s="272">
        <f>RTD("money.excel",,$G1020,"CumulativeVolume")</f>
        <v>0</v>
      </c>
      <c r="AO1020" s="284"/>
    </row>
    <row r="1021" spans="1:41">
      <c r="A1021" s="151" t="s">
        <v>2457</v>
      </c>
      <c r="B1021" s="84">
        <v>0</v>
      </c>
      <c r="C1021" s="84">
        <v>0</v>
      </c>
      <c r="D1021" s="85">
        <v>-1</v>
      </c>
      <c r="E1021" s="85">
        <v>-2</v>
      </c>
      <c r="F1021" s="7">
        <v>9.48</v>
      </c>
      <c r="G1021" s="85">
        <v>2313</v>
      </c>
      <c r="H1021" s="53" t="s">
        <v>559</v>
      </c>
      <c r="I1021" s="23" t="s">
        <v>92</v>
      </c>
      <c r="J1021" s="371">
        <v>53.95</v>
      </c>
      <c r="K1021" s="371">
        <v>14.35</v>
      </c>
      <c r="L1021" s="371">
        <v>14.09</v>
      </c>
      <c r="N1021" s="365">
        <f t="shared" si="312"/>
        <v>82.39</v>
      </c>
      <c r="O1021" s="343">
        <f t="shared" si="313"/>
        <v>53.95</v>
      </c>
      <c r="P1021" s="195">
        <v>11</v>
      </c>
      <c r="Q1021" s="326">
        <f>IFERROR(VLOOKUP($G1021,主力整理!$A$2:$G$2301,6,0),"0")</f>
        <v>2</v>
      </c>
      <c r="T1021" s="339">
        <f t="shared" si="314"/>
        <v>13</v>
      </c>
      <c r="V1021" s="371">
        <v>0.14000000000000001</v>
      </c>
      <c r="W1021" s="35">
        <v>1.5</v>
      </c>
      <c r="X1021" s="59">
        <v>3.91</v>
      </c>
      <c r="Y1021" s="37" t="str">
        <f>RTD("money.excel",,"2313","Price")</f>
        <v>無資料</v>
      </c>
      <c r="Z1021" s="69"/>
      <c r="AA1021" s="16" t="e">
        <f t="shared" si="315"/>
        <v>#VALUE!</v>
      </c>
      <c r="AB1021" s="3" t="e">
        <f t="shared" si="316"/>
        <v>#VALUE!</v>
      </c>
      <c r="AC1021" s="177" t="s">
        <v>2648</v>
      </c>
      <c r="AD1021" s="23" t="s">
        <v>92</v>
      </c>
      <c r="AG1021" s="34">
        <f t="shared" si="317"/>
        <v>0</v>
      </c>
      <c r="AH1021" s="125" t="s">
        <v>4071</v>
      </c>
      <c r="AI1021" s="131"/>
      <c r="AK1021" s="66">
        <f t="shared" si="320"/>
        <v>0</v>
      </c>
      <c r="AL1021" s="174">
        <f t="shared" si="321"/>
        <v>0</v>
      </c>
      <c r="AM1021" s="346">
        <f>RTD("money.excel",,$G1021,"PredictVolume")</f>
        <v>0</v>
      </c>
      <c r="AN1021" s="272">
        <f>RTD("money.excel",,$G1021,"CumulativeVolume")</f>
        <v>0</v>
      </c>
      <c r="AO1021" s="284"/>
    </row>
    <row r="1022" spans="1:41">
      <c r="A1022" s="151" t="s">
        <v>2650</v>
      </c>
      <c r="B1022" s="85">
        <v>-25</v>
      </c>
      <c r="C1022" s="84">
        <v>24</v>
      </c>
      <c r="D1022" s="85">
        <v>-1</v>
      </c>
      <c r="E1022" s="84">
        <v>4</v>
      </c>
      <c r="F1022" s="7">
        <v>-4.33</v>
      </c>
      <c r="G1022" s="85">
        <v>2316</v>
      </c>
      <c r="H1022" s="4" t="s">
        <v>559</v>
      </c>
      <c r="I1022" s="23" t="s">
        <v>686</v>
      </c>
      <c r="J1022" s="371">
        <v>42.7</v>
      </c>
      <c r="K1022" s="77">
        <v>16.86</v>
      </c>
      <c r="L1022" s="371">
        <v>12.03</v>
      </c>
      <c r="N1022" s="365">
        <f t="shared" si="312"/>
        <v>71.59</v>
      </c>
      <c r="O1022" s="343">
        <f t="shared" si="313"/>
        <v>42.7</v>
      </c>
      <c r="P1022" s="195">
        <v>1</v>
      </c>
      <c r="Q1022" s="326" t="str">
        <f>IFERROR(VLOOKUP($G1022,主力整理!$A$2:$G$2301,6,0),"0")</f>
        <v>0</v>
      </c>
      <c r="T1022" s="339">
        <f t="shared" si="314"/>
        <v>1</v>
      </c>
      <c r="V1022" s="371">
        <v>0.81</v>
      </c>
      <c r="W1022" s="35">
        <v>1.5</v>
      </c>
      <c r="X1022" s="100">
        <v>2.1</v>
      </c>
      <c r="Y1022" s="37" t="str">
        <f>RTD("money.excel",,"2316","Price")</f>
        <v>無資料</v>
      </c>
      <c r="Z1022" s="69"/>
      <c r="AA1022" s="16" t="e">
        <f t="shared" si="315"/>
        <v>#VALUE!</v>
      </c>
      <c r="AB1022" s="3" t="e">
        <f t="shared" si="316"/>
        <v>#VALUE!</v>
      </c>
      <c r="AC1022" s="177" t="s">
        <v>2648</v>
      </c>
      <c r="AD1022" s="23" t="s">
        <v>686</v>
      </c>
      <c r="AG1022" s="34">
        <f t="shared" si="317"/>
        <v>0</v>
      </c>
      <c r="AH1022" s="44" t="s">
        <v>1700</v>
      </c>
      <c r="AI1022" s="131"/>
      <c r="AK1022" s="66">
        <f t="shared" si="320"/>
        <v>0</v>
      </c>
      <c r="AL1022" s="174">
        <f t="shared" si="321"/>
        <v>0</v>
      </c>
      <c r="AM1022" s="346">
        <f>RTD("money.excel",,$G1022,"PredictVolume")</f>
        <v>0</v>
      </c>
      <c r="AN1022" s="272">
        <f>RTD("money.excel",,$G1022,"CumulativeVolume")</f>
        <v>0</v>
      </c>
      <c r="AO1022" s="284"/>
    </row>
    <row r="1023" spans="1:41">
      <c r="A1023" s="135" t="s">
        <v>6316</v>
      </c>
      <c r="B1023" s="84">
        <v>118</v>
      </c>
      <c r="C1023" s="84">
        <v>101</v>
      </c>
      <c r="D1023" s="85">
        <v>-12</v>
      </c>
      <c r="E1023" s="84">
        <v>19</v>
      </c>
      <c r="F1023" s="59">
        <v>27.78</v>
      </c>
      <c r="G1023" s="85">
        <v>2327</v>
      </c>
      <c r="H1023" s="53" t="s">
        <v>559</v>
      </c>
      <c r="I1023" s="23" t="s">
        <v>86</v>
      </c>
      <c r="J1023" s="77">
        <v>47.47</v>
      </c>
      <c r="K1023" s="77">
        <v>52.64</v>
      </c>
      <c r="L1023" s="371">
        <v>10.68</v>
      </c>
      <c r="N1023" s="365">
        <f t="shared" si="312"/>
        <v>110.78999999999999</v>
      </c>
      <c r="O1023" s="343">
        <f t="shared" si="313"/>
        <v>47.47</v>
      </c>
      <c r="P1023" s="195">
        <v>103</v>
      </c>
      <c r="Q1023" s="326">
        <v>12</v>
      </c>
      <c r="R1023" s="111">
        <v>5</v>
      </c>
      <c r="S1023" s="51">
        <v>22</v>
      </c>
      <c r="T1023" s="339">
        <f t="shared" si="314"/>
        <v>142</v>
      </c>
      <c r="V1023" s="371">
        <v>11.95</v>
      </c>
      <c r="W1023" s="69">
        <v>10.08</v>
      </c>
      <c r="X1023" s="100">
        <v>46.83</v>
      </c>
      <c r="Y1023" s="14" t="str">
        <f>RTD("money.excel",,"2327","Price")</f>
        <v>無資料</v>
      </c>
      <c r="Z1023" s="69"/>
      <c r="AA1023" s="16" t="e">
        <f t="shared" si="315"/>
        <v>#VALUE!</v>
      </c>
      <c r="AB1023" s="3" t="e">
        <f t="shared" si="316"/>
        <v>#VALUE!</v>
      </c>
      <c r="AC1023" s="177" t="s">
        <v>2929</v>
      </c>
      <c r="AD1023" s="23" t="s">
        <v>86</v>
      </c>
      <c r="AG1023" s="34">
        <f t="shared" si="317"/>
        <v>0</v>
      </c>
      <c r="AH1023" s="126" t="s">
        <v>2676</v>
      </c>
      <c r="AI1023" s="131"/>
      <c r="AK1023" s="66">
        <f t="shared" si="320"/>
        <v>0</v>
      </c>
      <c r="AL1023" s="174">
        <f t="shared" si="321"/>
        <v>0</v>
      </c>
      <c r="AM1023" s="346">
        <f>RTD("money.excel",,$G1023,"PredictVolume")</f>
        <v>0</v>
      </c>
      <c r="AN1023" s="272">
        <f>RTD("money.excel",,$G1023,"CumulativeVolume")</f>
        <v>0</v>
      </c>
      <c r="AO1023" s="284"/>
    </row>
    <row r="1024" spans="1:41">
      <c r="A1024" s="151" t="s">
        <v>3120</v>
      </c>
      <c r="B1024" s="85">
        <v>-68</v>
      </c>
      <c r="C1024" s="85">
        <v>-75</v>
      </c>
      <c r="D1024" s="84">
        <v>1</v>
      </c>
      <c r="E1024" s="85">
        <v>-22</v>
      </c>
      <c r="F1024" s="7">
        <v>0.96</v>
      </c>
      <c r="G1024" s="85">
        <v>2328</v>
      </c>
      <c r="H1024" s="4" t="s">
        <v>559</v>
      </c>
      <c r="I1024" s="23" t="s">
        <v>430</v>
      </c>
      <c r="J1024" s="371">
        <v>45.79</v>
      </c>
      <c r="K1024" s="371">
        <v>15.07</v>
      </c>
      <c r="L1024" s="371">
        <v>6.64</v>
      </c>
      <c r="N1024" s="365">
        <f t="shared" si="312"/>
        <v>67.5</v>
      </c>
      <c r="O1024" s="343">
        <f t="shared" si="313"/>
        <v>45.79</v>
      </c>
      <c r="P1024" s="195">
        <v>4</v>
      </c>
      <c r="Q1024" s="326">
        <f>IFERROR(VLOOKUP($G1024,主力整理!$A$2:$G$2301,6,0),"0")</f>
        <v>3</v>
      </c>
      <c r="T1024" s="339">
        <f t="shared" si="314"/>
        <v>7</v>
      </c>
      <c r="V1024" s="371">
        <v>0.03</v>
      </c>
      <c r="W1024" s="35">
        <v>0.65</v>
      </c>
      <c r="X1024" s="100">
        <v>1.28</v>
      </c>
      <c r="Y1024" s="37" t="str">
        <f>RTD("money.excel",,"2328","Price")</f>
        <v>無資料</v>
      </c>
      <c r="Z1024" s="69"/>
      <c r="AA1024" s="16" t="e">
        <f t="shared" si="315"/>
        <v>#VALUE!</v>
      </c>
      <c r="AB1024" s="3" t="e">
        <f t="shared" si="316"/>
        <v>#VALUE!</v>
      </c>
      <c r="AC1024" s="177" t="s">
        <v>2648</v>
      </c>
      <c r="AD1024" s="23" t="s">
        <v>430</v>
      </c>
      <c r="AG1024" s="34">
        <f t="shared" si="317"/>
        <v>0</v>
      </c>
      <c r="AH1024" s="125" t="s">
        <v>3206</v>
      </c>
      <c r="AI1024" s="131"/>
      <c r="AK1024" s="66">
        <f t="shared" si="320"/>
        <v>0</v>
      </c>
      <c r="AL1024" s="174">
        <f t="shared" si="321"/>
        <v>0</v>
      </c>
      <c r="AM1024" s="346">
        <f>RTD("money.excel",,$G1024,"PredictVolume")</f>
        <v>0</v>
      </c>
      <c r="AN1024" s="272">
        <f>RTD("money.excel",,$G1024,"CumulativeVolume")</f>
        <v>0</v>
      </c>
      <c r="AO1024" s="284"/>
    </row>
    <row r="1025" spans="1:41">
      <c r="A1025" s="151" t="s">
        <v>2649</v>
      </c>
      <c r="B1025" s="95">
        <v>-111</v>
      </c>
      <c r="C1025" s="85">
        <v>-148</v>
      </c>
      <c r="D1025" s="85">
        <v>-6</v>
      </c>
      <c r="E1025" s="85">
        <v>-14</v>
      </c>
      <c r="F1025" s="7">
        <v>-0.9</v>
      </c>
      <c r="G1025" s="85">
        <v>2355</v>
      </c>
      <c r="H1025" s="4" t="s">
        <v>559</v>
      </c>
      <c r="I1025" s="23" t="s">
        <v>104</v>
      </c>
      <c r="J1025" s="371">
        <v>47.05</v>
      </c>
      <c r="K1025" s="371">
        <v>20.2</v>
      </c>
      <c r="L1025" s="371">
        <v>5.28</v>
      </c>
      <c r="N1025" s="365">
        <f t="shared" si="312"/>
        <v>72.53</v>
      </c>
      <c r="O1025" s="343">
        <f t="shared" si="313"/>
        <v>47.05</v>
      </c>
      <c r="P1025" s="195">
        <v>2</v>
      </c>
      <c r="Q1025" s="326">
        <f>IFERROR(VLOOKUP($G1025,主力整理!$A$2:$G$2301,6,0),"0")</f>
        <v>1</v>
      </c>
      <c r="T1025" s="339">
        <f t="shared" si="314"/>
        <v>3</v>
      </c>
      <c r="V1025" s="371">
        <v>0.28999999999999998</v>
      </c>
      <c r="W1025" s="35">
        <v>0.5</v>
      </c>
      <c r="X1025" s="100">
        <v>0.12</v>
      </c>
      <c r="Y1025" s="37" t="str">
        <f>RTD("money.excel",,"2355","Price")</f>
        <v>無資料</v>
      </c>
      <c r="Z1025" s="69"/>
      <c r="AA1025" s="16" t="e">
        <f t="shared" si="315"/>
        <v>#VALUE!</v>
      </c>
      <c r="AB1025" s="3" t="e">
        <f t="shared" si="316"/>
        <v>#VALUE!</v>
      </c>
      <c r="AC1025" s="177" t="s">
        <v>2648</v>
      </c>
      <c r="AD1025" s="23" t="s">
        <v>104</v>
      </c>
      <c r="AG1025" s="34">
        <f t="shared" si="317"/>
        <v>0</v>
      </c>
      <c r="AH1025" s="125" t="s">
        <v>4072</v>
      </c>
      <c r="AI1025" s="131"/>
      <c r="AK1025" s="66">
        <f t="shared" si="320"/>
        <v>0</v>
      </c>
      <c r="AL1025" s="174">
        <f t="shared" si="321"/>
        <v>0</v>
      </c>
      <c r="AM1025" s="346">
        <f>RTD("money.excel",,$G1025,"PredictVolume")</f>
        <v>0</v>
      </c>
      <c r="AN1025" s="272">
        <f>RTD("money.excel",,$G1025,"CumulativeVolume")</f>
        <v>0</v>
      </c>
      <c r="AO1025" s="284"/>
    </row>
    <row r="1026" spans="1:41">
      <c r="A1026" s="151" t="s">
        <v>2675</v>
      </c>
      <c r="B1026" s="85">
        <v>-182</v>
      </c>
      <c r="C1026" s="85">
        <v>-195</v>
      </c>
      <c r="D1026" s="84">
        <v>7</v>
      </c>
      <c r="E1026" s="85">
        <v>-3</v>
      </c>
      <c r="F1026" s="7">
        <v>-16.059999999999999</v>
      </c>
      <c r="G1026" s="85">
        <v>2367</v>
      </c>
      <c r="H1026" s="4" t="s">
        <v>559</v>
      </c>
      <c r="I1026" s="23" t="s">
        <v>2655</v>
      </c>
      <c r="J1026" s="371">
        <v>27.29</v>
      </c>
      <c r="K1026" s="371">
        <v>8.11</v>
      </c>
      <c r="L1026" s="77">
        <v>21.61</v>
      </c>
      <c r="N1026" s="365">
        <f t="shared" si="312"/>
        <v>57.01</v>
      </c>
      <c r="O1026" s="343">
        <f t="shared" si="313"/>
        <v>27.29</v>
      </c>
      <c r="P1026" s="195">
        <v>2</v>
      </c>
      <c r="Q1026" s="326">
        <f>IFERROR(VLOOKUP($G1026,主力整理!$A$2:$G$2301,6,0),"0")</f>
        <v>2</v>
      </c>
      <c r="T1026" s="339">
        <f t="shared" si="314"/>
        <v>4</v>
      </c>
      <c r="V1026" s="371">
        <v>0.12</v>
      </c>
      <c r="W1026" s="35">
        <v>0</v>
      </c>
      <c r="X1026" s="100">
        <v>-2.3199999999999998</v>
      </c>
      <c r="Y1026" s="37" t="str">
        <f>RTD("money.excel",,"2367","Price")</f>
        <v>無資料</v>
      </c>
      <c r="Z1026" s="69"/>
      <c r="AA1026" s="16" t="e">
        <f t="shared" si="315"/>
        <v>#VALUE!</v>
      </c>
      <c r="AB1026" s="3" t="e">
        <f t="shared" si="316"/>
        <v>#VALUE!</v>
      </c>
      <c r="AC1026" s="177" t="s">
        <v>2648</v>
      </c>
      <c r="AD1026" s="23" t="s">
        <v>2655</v>
      </c>
      <c r="AG1026" s="34">
        <f t="shared" si="317"/>
        <v>0</v>
      </c>
      <c r="AH1026" s="125" t="s">
        <v>1685</v>
      </c>
      <c r="AI1026" s="131"/>
      <c r="AK1026" s="66">
        <f t="shared" si="320"/>
        <v>0</v>
      </c>
      <c r="AL1026" s="174">
        <f t="shared" si="321"/>
        <v>0</v>
      </c>
      <c r="AM1026" s="346">
        <f>RTD("money.excel",,$G1026,"PredictVolume")</f>
        <v>0</v>
      </c>
      <c r="AN1026" s="272">
        <f>RTD("money.excel",,$G1026,"CumulativeVolume")</f>
        <v>0</v>
      </c>
      <c r="AO1026" s="284"/>
    </row>
    <row r="1027" spans="1:41">
      <c r="A1027" s="135" t="s">
        <v>2454</v>
      </c>
      <c r="B1027" s="84">
        <v>49</v>
      </c>
      <c r="C1027" s="84">
        <v>57</v>
      </c>
      <c r="D1027" s="85">
        <v>-1</v>
      </c>
      <c r="E1027" s="85">
        <v>-4</v>
      </c>
      <c r="F1027" s="59">
        <v>13.62</v>
      </c>
      <c r="G1027" s="85">
        <v>2368</v>
      </c>
      <c r="H1027" s="4" t="s">
        <v>559</v>
      </c>
      <c r="I1027" s="23" t="s">
        <v>688</v>
      </c>
      <c r="J1027" s="77">
        <v>69.73</v>
      </c>
      <c r="K1027" s="77">
        <v>19.2</v>
      </c>
      <c r="L1027" s="371">
        <v>15.17</v>
      </c>
      <c r="N1027" s="365">
        <f t="shared" si="312"/>
        <v>104.10000000000001</v>
      </c>
      <c r="O1027" s="343">
        <f t="shared" si="313"/>
        <v>69.73</v>
      </c>
      <c r="P1027" s="195">
        <v>7</v>
      </c>
      <c r="Q1027" s="326">
        <f>IFERROR(VLOOKUP($G1027,主力整理!$A$2:$G$2301,6,0),"0")</f>
        <v>5</v>
      </c>
      <c r="R1027" s="111">
        <v>11</v>
      </c>
      <c r="T1027" s="339">
        <f t="shared" si="314"/>
        <v>23</v>
      </c>
      <c r="V1027" s="371">
        <v>10.25</v>
      </c>
      <c r="W1027" s="35">
        <v>1.5</v>
      </c>
      <c r="X1027" s="59">
        <v>4.18</v>
      </c>
      <c r="Y1027" s="37" t="str">
        <f>RTD("money.excel",,"2368","Price")</f>
        <v>無資料</v>
      </c>
      <c r="Z1027" s="69"/>
      <c r="AA1027" s="16" t="e">
        <f t="shared" si="315"/>
        <v>#VALUE!</v>
      </c>
      <c r="AB1027" s="3" t="e">
        <f t="shared" si="316"/>
        <v>#VALUE!</v>
      </c>
      <c r="AC1027" s="177" t="s">
        <v>2648</v>
      </c>
      <c r="AD1027" s="23" t="s">
        <v>688</v>
      </c>
      <c r="AG1027" s="34">
        <f t="shared" si="317"/>
        <v>0</v>
      </c>
      <c r="AH1027" s="63" t="s">
        <v>1685</v>
      </c>
      <c r="AI1027" s="131"/>
      <c r="AK1027" s="66">
        <f t="shared" si="320"/>
        <v>0</v>
      </c>
      <c r="AL1027" s="174">
        <f t="shared" si="321"/>
        <v>0</v>
      </c>
      <c r="AM1027" s="346">
        <f>RTD("money.excel",,$G1027,"PredictVolume")</f>
        <v>0</v>
      </c>
      <c r="AN1027" s="272">
        <f>RTD("money.excel",,$G1027,"CumulativeVolume")</f>
        <v>0</v>
      </c>
      <c r="AO1027" s="284"/>
    </row>
    <row r="1028" spans="1:41">
      <c r="A1028" s="135" t="s">
        <v>2542</v>
      </c>
      <c r="B1028" s="84">
        <v>54</v>
      </c>
      <c r="C1028" s="84">
        <v>45</v>
      </c>
      <c r="D1028" s="84">
        <v>7</v>
      </c>
      <c r="E1028" s="84">
        <v>42</v>
      </c>
      <c r="F1028" s="59">
        <v>13.21</v>
      </c>
      <c r="G1028" s="85">
        <v>2375</v>
      </c>
      <c r="H1028" s="54" t="s">
        <v>559</v>
      </c>
      <c r="I1028" s="24" t="s">
        <v>457</v>
      </c>
      <c r="J1028" s="77">
        <v>14.64</v>
      </c>
      <c r="K1028" s="77">
        <v>7.02</v>
      </c>
      <c r="L1028" s="371">
        <v>37.75</v>
      </c>
      <c r="M1028" s="77">
        <v>7.07</v>
      </c>
      <c r="N1028" s="365">
        <f t="shared" si="312"/>
        <v>66.47999999999999</v>
      </c>
      <c r="O1028" s="343">
        <f t="shared" si="313"/>
        <v>21.71</v>
      </c>
      <c r="P1028" s="195">
        <v>12</v>
      </c>
      <c r="Q1028" s="326">
        <v>32</v>
      </c>
      <c r="R1028" s="111">
        <v>35</v>
      </c>
      <c r="S1028" s="51">
        <v>36</v>
      </c>
      <c r="T1028" s="339">
        <f t="shared" si="314"/>
        <v>115</v>
      </c>
      <c r="U1028" s="329" t="s">
        <v>6540</v>
      </c>
      <c r="V1028" s="371">
        <v>4.9800000000000004</v>
      </c>
      <c r="W1028" s="35">
        <v>2</v>
      </c>
      <c r="X1028" s="100">
        <v>7.95</v>
      </c>
      <c r="Y1028" s="37" t="str">
        <f>RTD("money.excel",,"2375","Price")</f>
        <v>無資料</v>
      </c>
      <c r="Z1028" s="69"/>
      <c r="AA1028" s="16" t="e">
        <f t="shared" si="315"/>
        <v>#VALUE!</v>
      </c>
      <c r="AB1028" s="3" t="e">
        <f t="shared" si="316"/>
        <v>#VALUE!</v>
      </c>
      <c r="AC1028" s="177" t="s">
        <v>2648</v>
      </c>
      <c r="AD1028" s="24" t="s">
        <v>457</v>
      </c>
      <c r="AG1028" s="34">
        <f t="shared" si="317"/>
        <v>0</v>
      </c>
      <c r="AH1028" s="50" t="s">
        <v>3378</v>
      </c>
      <c r="AI1028" s="131"/>
      <c r="AK1028" s="66">
        <f t="shared" si="320"/>
        <v>0</v>
      </c>
      <c r="AL1028" s="174">
        <f t="shared" si="321"/>
        <v>0</v>
      </c>
      <c r="AM1028" s="346">
        <f>RTD("money.excel",,$G1028,"PredictVolume")</f>
        <v>0</v>
      </c>
      <c r="AN1028" s="272">
        <f>RTD("money.excel",,$G1028,"CumulativeVolume")</f>
        <v>0</v>
      </c>
      <c r="AO1028" s="284"/>
    </row>
    <row r="1029" spans="1:41">
      <c r="A1029" s="135" t="s">
        <v>3091</v>
      </c>
      <c r="B1029" s="84">
        <v>28</v>
      </c>
      <c r="C1029" s="84">
        <v>19</v>
      </c>
      <c r="D1029" s="84">
        <v>3</v>
      </c>
      <c r="E1029" s="84">
        <v>14</v>
      </c>
      <c r="F1029" s="59">
        <v>17.68</v>
      </c>
      <c r="G1029" s="85">
        <v>2383</v>
      </c>
      <c r="H1029" s="4" t="s">
        <v>559</v>
      </c>
      <c r="I1029" s="23" t="s">
        <v>89</v>
      </c>
      <c r="J1029" s="77">
        <v>61.55</v>
      </c>
      <c r="K1029" s="77">
        <v>31.35</v>
      </c>
      <c r="L1029" s="77">
        <v>5.74</v>
      </c>
      <c r="N1029" s="365">
        <f t="shared" si="312"/>
        <v>98.64</v>
      </c>
      <c r="O1029" s="343">
        <f t="shared" si="313"/>
        <v>61.55</v>
      </c>
      <c r="P1029" s="195">
        <v>19</v>
      </c>
      <c r="Q1029" s="326">
        <f>IFERROR(VLOOKUP($G1029,主力整理!$A$2:$G$2301,6,0),"0")</f>
        <v>5</v>
      </c>
      <c r="R1029" s="111">
        <v>1</v>
      </c>
      <c r="T1029" s="339">
        <f t="shared" si="314"/>
        <v>25</v>
      </c>
      <c r="V1029" s="371">
        <v>0.15</v>
      </c>
      <c r="W1029" s="69">
        <v>7</v>
      </c>
      <c r="X1029" s="100">
        <v>11.39</v>
      </c>
      <c r="Y1029" s="37" t="str">
        <f>RTD("money.excel",,"2383","Price")</f>
        <v>無資料</v>
      </c>
      <c r="Z1029" s="69"/>
      <c r="AA1029" s="16" t="e">
        <f t="shared" si="315"/>
        <v>#VALUE!</v>
      </c>
      <c r="AB1029" s="3" t="e">
        <f t="shared" si="316"/>
        <v>#VALUE!</v>
      </c>
      <c r="AC1029" s="177" t="s">
        <v>2929</v>
      </c>
      <c r="AD1029" s="23" t="s">
        <v>89</v>
      </c>
      <c r="AG1029" s="34">
        <f t="shared" si="317"/>
        <v>0</v>
      </c>
      <c r="AH1029" s="126" t="s">
        <v>5222</v>
      </c>
      <c r="AI1029" s="131"/>
      <c r="AK1029" s="66">
        <f t="shared" si="320"/>
        <v>0</v>
      </c>
      <c r="AL1029" s="174">
        <f t="shared" si="321"/>
        <v>0</v>
      </c>
      <c r="AM1029" s="346">
        <f>RTD("money.excel",,$G1029,"PredictVolume")</f>
        <v>0</v>
      </c>
      <c r="AN1029" s="272">
        <f>RTD("money.excel",,$G1029,"CumulativeVolume")</f>
        <v>0</v>
      </c>
      <c r="AO1029" s="284"/>
    </row>
    <row r="1030" spans="1:41">
      <c r="A1030" s="151" t="s">
        <v>5232</v>
      </c>
      <c r="B1030" s="84">
        <v>9</v>
      </c>
      <c r="C1030" s="85">
        <v>-3</v>
      </c>
      <c r="D1030" s="84">
        <v>8</v>
      </c>
      <c r="E1030" s="84">
        <v>23</v>
      </c>
      <c r="F1030" s="7">
        <v>7.9</v>
      </c>
      <c r="G1030" s="85">
        <v>2385</v>
      </c>
      <c r="H1030" s="4" t="s">
        <v>559</v>
      </c>
      <c r="I1030" s="23" t="s">
        <v>382</v>
      </c>
      <c r="J1030" s="77">
        <v>68.599999999999994</v>
      </c>
      <c r="K1030" s="371">
        <v>42.89</v>
      </c>
      <c r="L1030" s="77">
        <v>2.02</v>
      </c>
      <c r="N1030" s="365">
        <f t="shared" si="312"/>
        <v>113.50999999999999</v>
      </c>
      <c r="O1030" s="343">
        <f t="shared" si="313"/>
        <v>68.599999999999994</v>
      </c>
      <c r="P1030" s="195">
        <v>25</v>
      </c>
      <c r="Q1030" s="326">
        <v>24</v>
      </c>
      <c r="R1030" s="111">
        <v>0</v>
      </c>
      <c r="S1030" s="51">
        <v>0</v>
      </c>
      <c r="T1030" s="339">
        <f t="shared" si="314"/>
        <v>49</v>
      </c>
      <c r="U1030" s="329" t="s">
        <v>6541</v>
      </c>
      <c r="V1030" s="371">
        <v>0.05</v>
      </c>
      <c r="W1030" s="69">
        <v>5.5</v>
      </c>
      <c r="X1030" s="59">
        <v>8.14</v>
      </c>
      <c r="Y1030" s="14" t="str">
        <f>RTD("money.excel",,"2385","Price")</f>
        <v>無資料</v>
      </c>
      <c r="Z1030" s="69"/>
      <c r="AA1030" s="16" t="e">
        <f t="shared" si="315"/>
        <v>#VALUE!</v>
      </c>
      <c r="AB1030" s="3" t="e">
        <f t="shared" si="316"/>
        <v>#VALUE!</v>
      </c>
      <c r="AC1030" s="177" t="s">
        <v>2929</v>
      </c>
      <c r="AD1030" s="23" t="s">
        <v>382</v>
      </c>
      <c r="AG1030" s="34">
        <f t="shared" si="317"/>
        <v>0</v>
      </c>
      <c r="AH1030" s="125" t="s">
        <v>4017</v>
      </c>
      <c r="AI1030" s="131"/>
      <c r="AK1030" s="66">
        <f t="shared" si="320"/>
        <v>0</v>
      </c>
      <c r="AL1030" s="174">
        <f t="shared" si="321"/>
        <v>0</v>
      </c>
      <c r="AM1030" s="346">
        <f>RTD("money.excel",,$G1030,"PredictVolume")</f>
        <v>0</v>
      </c>
      <c r="AN1030" s="272">
        <f>RTD("money.excel",,$G1030,"CumulativeVolume")</f>
        <v>0</v>
      </c>
      <c r="AO1030" s="284"/>
    </row>
    <row r="1031" spans="1:41">
      <c r="A1031" s="151" t="s">
        <v>2468</v>
      </c>
      <c r="B1031" s="85">
        <v>-30</v>
      </c>
      <c r="C1031" s="85">
        <v>-11</v>
      </c>
      <c r="D1031" s="84">
        <v>6</v>
      </c>
      <c r="E1031" s="85">
        <v>-1</v>
      </c>
      <c r="F1031" s="7">
        <v>2.12</v>
      </c>
      <c r="G1031" s="85">
        <v>2392</v>
      </c>
      <c r="H1031" s="4" t="s">
        <v>559</v>
      </c>
      <c r="I1031" s="23" t="s">
        <v>107</v>
      </c>
      <c r="J1031" s="77">
        <v>44.23</v>
      </c>
      <c r="K1031" s="77">
        <v>12.14</v>
      </c>
      <c r="L1031" s="77">
        <v>4.34</v>
      </c>
      <c r="N1031" s="365">
        <f t="shared" si="312"/>
        <v>60.709999999999994</v>
      </c>
      <c r="O1031" s="343">
        <f t="shared" si="313"/>
        <v>44.23</v>
      </c>
      <c r="P1031" s="195">
        <v>4</v>
      </c>
      <c r="Q1031" s="326">
        <v>5</v>
      </c>
      <c r="R1031" s="111">
        <v>6</v>
      </c>
      <c r="S1031" s="51">
        <v>3</v>
      </c>
      <c r="T1031" s="339">
        <f t="shared" si="314"/>
        <v>18</v>
      </c>
      <c r="V1031" s="371">
        <v>0.18</v>
      </c>
      <c r="W1031" s="35">
        <v>2.5</v>
      </c>
      <c r="X1031" s="100">
        <v>2.48</v>
      </c>
      <c r="Y1031" s="37" t="str">
        <f>RTD("money.excel",,"2392","Price")</f>
        <v>無資料</v>
      </c>
      <c r="Z1031" s="69"/>
      <c r="AA1031" s="16" t="e">
        <f t="shared" si="315"/>
        <v>#VALUE!</v>
      </c>
      <c r="AB1031" s="3" t="e">
        <f t="shared" si="316"/>
        <v>#VALUE!</v>
      </c>
      <c r="AC1031" s="177" t="s">
        <v>2648</v>
      </c>
      <c r="AD1031" s="23" t="s">
        <v>107</v>
      </c>
      <c r="AG1031" s="34">
        <f t="shared" si="317"/>
        <v>0</v>
      </c>
      <c r="AH1031" s="125" t="s">
        <v>4073</v>
      </c>
      <c r="AI1031" s="131"/>
      <c r="AK1031" s="66">
        <f t="shared" si="320"/>
        <v>0</v>
      </c>
      <c r="AL1031" s="174">
        <f t="shared" si="321"/>
        <v>0</v>
      </c>
      <c r="AM1031" s="346">
        <f>RTD("money.excel",,$G1031,"PredictVolume")</f>
        <v>0</v>
      </c>
      <c r="AN1031" s="272">
        <f>RTD("money.excel",,$G1031,"CumulativeVolume")</f>
        <v>0</v>
      </c>
      <c r="AO1031" s="284"/>
    </row>
    <row r="1032" spans="1:41">
      <c r="A1032" s="151" t="s">
        <v>2749</v>
      </c>
      <c r="B1032" s="84">
        <v>56</v>
      </c>
      <c r="C1032" s="84">
        <v>239</v>
      </c>
      <c r="D1032" s="84">
        <v>128</v>
      </c>
      <c r="E1032" s="84">
        <v>3</v>
      </c>
      <c r="F1032" s="7">
        <v>4.57</v>
      </c>
      <c r="G1032" s="85">
        <v>2402</v>
      </c>
      <c r="H1032" s="4" t="s">
        <v>559</v>
      </c>
      <c r="I1032" s="23" t="s">
        <v>583</v>
      </c>
      <c r="J1032" s="371">
        <v>48.15</v>
      </c>
      <c r="K1032" s="371">
        <v>14.39</v>
      </c>
      <c r="L1032" s="77">
        <v>5.95</v>
      </c>
      <c r="N1032" s="365">
        <f t="shared" si="312"/>
        <v>68.489999999999995</v>
      </c>
      <c r="O1032" s="343">
        <f t="shared" si="313"/>
        <v>48.15</v>
      </c>
      <c r="P1032" s="195" t="s">
        <v>5554</v>
      </c>
      <c r="Q1032" s="326" t="str">
        <f>IFERROR(VLOOKUP($G1032,主力整理!$A$2:$G$2301,6,0),"0")</f>
        <v>0</v>
      </c>
      <c r="T1032" s="339">
        <f t="shared" si="314"/>
        <v>0</v>
      </c>
      <c r="V1032" s="371">
        <v>12.16</v>
      </c>
      <c r="W1032" s="35">
        <v>0.5</v>
      </c>
      <c r="X1032" s="100">
        <v>0.39</v>
      </c>
      <c r="Y1032" s="37" t="str">
        <f>RTD("money.excel",,"2402","Price")</f>
        <v>無資料</v>
      </c>
      <c r="Z1032" s="69"/>
      <c r="AA1032" s="16" t="e">
        <f t="shared" si="315"/>
        <v>#VALUE!</v>
      </c>
      <c r="AB1032" s="3" t="e">
        <f t="shared" si="316"/>
        <v>#VALUE!</v>
      </c>
      <c r="AC1032" s="177" t="s">
        <v>2648</v>
      </c>
      <c r="AD1032" s="23" t="s">
        <v>583</v>
      </c>
      <c r="AG1032" s="34">
        <f t="shared" si="317"/>
        <v>0</v>
      </c>
      <c r="AH1032" s="44" t="s">
        <v>2185</v>
      </c>
      <c r="AI1032" s="131"/>
      <c r="AK1032" s="66">
        <f t="shared" si="320"/>
        <v>0</v>
      </c>
      <c r="AL1032" s="174">
        <f t="shared" si="321"/>
        <v>0</v>
      </c>
      <c r="AM1032" s="346">
        <f>RTD("money.excel",,$G1032,"PredictVolume")</f>
        <v>0</v>
      </c>
      <c r="AN1032" s="272">
        <f>RTD("money.excel",,$G1032,"CumulativeVolume")</f>
        <v>0</v>
      </c>
      <c r="AO1032" s="284"/>
    </row>
    <row r="1033" spans="1:41">
      <c r="A1033" s="151" t="s">
        <v>2310</v>
      </c>
      <c r="B1033" s="99">
        <v>-1791</v>
      </c>
      <c r="C1033" s="85">
        <v>-92</v>
      </c>
      <c r="D1033" s="85">
        <v>-16</v>
      </c>
      <c r="E1033" s="85">
        <v>-18</v>
      </c>
      <c r="F1033" s="7">
        <v>-2.77</v>
      </c>
      <c r="G1033" s="85">
        <v>2413</v>
      </c>
      <c r="H1033" s="4" t="s">
        <v>559</v>
      </c>
      <c r="I1033" s="23" t="s">
        <v>597</v>
      </c>
      <c r="J1033" s="77">
        <v>55.7</v>
      </c>
      <c r="K1033" s="77">
        <v>0.79</v>
      </c>
      <c r="L1033" s="371">
        <v>7.74</v>
      </c>
      <c r="N1033" s="365">
        <f t="shared" si="312"/>
        <v>64.23</v>
      </c>
      <c r="O1033" s="343">
        <f t="shared" si="313"/>
        <v>55.7</v>
      </c>
      <c r="P1033" s="195" t="s">
        <v>5554</v>
      </c>
      <c r="Q1033" s="326" t="str">
        <f>IFERROR(VLOOKUP($G1033,主力整理!$A$2:$G$2301,6,0),"0")</f>
        <v>0</v>
      </c>
      <c r="T1033" s="339">
        <f t="shared" si="314"/>
        <v>0</v>
      </c>
      <c r="V1033" s="371">
        <v>0.02</v>
      </c>
      <c r="W1033" s="35">
        <v>0</v>
      </c>
      <c r="X1033" s="100">
        <v>-0.1</v>
      </c>
      <c r="Y1033" s="37" t="str">
        <f>RTD("money.excel",,"2413","Price")</f>
        <v>無資料</v>
      </c>
      <c r="Z1033" s="69"/>
      <c r="AA1033" s="16" t="e">
        <f t="shared" si="315"/>
        <v>#VALUE!</v>
      </c>
      <c r="AB1033" s="3" t="e">
        <f t="shared" si="316"/>
        <v>#VALUE!</v>
      </c>
      <c r="AC1033" s="177" t="s">
        <v>2648</v>
      </c>
      <c r="AD1033" s="23" t="s">
        <v>597</v>
      </c>
      <c r="AG1033" s="34">
        <f t="shared" si="317"/>
        <v>0</v>
      </c>
      <c r="AH1033" s="44" t="s">
        <v>3761</v>
      </c>
      <c r="AI1033" s="131"/>
      <c r="AK1033" s="66">
        <f t="shared" si="320"/>
        <v>0</v>
      </c>
      <c r="AL1033" s="174">
        <f t="shared" si="321"/>
        <v>0</v>
      </c>
      <c r="AM1033" s="346">
        <f>RTD("money.excel",,$G1033,"PredictVolume")</f>
        <v>0</v>
      </c>
      <c r="AN1033" s="272">
        <f>RTD("money.excel",,$G1033,"CumulativeVolume")</f>
        <v>0</v>
      </c>
      <c r="AO1033" s="284"/>
    </row>
    <row r="1034" spans="1:41">
      <c r="A1034" s="151" t="s">
        <v>3425</v>
      </c>
      <c r="B1034" s="96">
        <v>-42</v>
      </c>
      <c r="C1034" s="96">
        <v>-27</v>
      </c>
      <c r="D1034" s="96">
        <v>-5</v>
      </c>
      <c r="E1034" s="96">
        <v>-9</v>
      </c>
      <c r="F1034" s="7">
        <v>8.23</v>
      </c>
      <c r="G1034" s="85">
        <v>2415</v>
      </c>
      <c r="H1034" s="4" t="s">
        <v>559</v>
      </c>
      <c r="I1034" s="23" t="s">
        <v>689</v>
      </c>
      <c r="J1034" s="77">
        <v>53.34</v>
      </c>
      <c r="K1034" s="77">
        <v>1.74</v>
      </c>
      <c r="L1034" s="77">
        <v>8.91</v>
      </c>
      <c r="N1034" s="365">
        <f t="shared" si="312"/>
        <v>63.990000000000009</v>
      </c>
      <c r="O1034" s="343">
        <f t="shared" si="313"/>
        <v>53.34</v>
      </c>
      <c r="P1034" s="195" t="s">
        <v>5554</v>
      </c>
      <c r="Q1034" s="326" t="str">
        <f>IFERROR(VLOOKUP($G1034,主力整理!$A$2:$G$2301,6,0),"0")</f>
        <v>0</v>
      </c>
      <c r="T1034" s="339">
        <f t="shared" si="314"/>
        <v>0</v>
      </c>
      <c r="V1034" s="371">
        <v>14.35</v>
      </c>
      <c r="W1034" s="35">
        <v>1.5</v>
      </c>
      <c r="X1034" s="100">
        <v>0.66</v>
      </c>
      <c r="Y1034" s="37" t="str">
        <f>RTD("money.excel",,"2415","Price")</f>
        <v>無資料</v>
      </c>
      <c r="Z1034" s="69"/>
      <c r="AA1034" s="16" t="e">
        <f t="shared" si="315"/>
        <v>#VALUE!</v>
      </c>
      <c r="AB1034" s="3" t="e">
        <f t="shared" si="316"/>
        <v>#VALUE!</v>
      </c>
      <c r="AD1034" s="23" t="s">
        <v>689</v>
      </c>
      <c r="AG1034" s="34">
        <f t="shared" si="317"/>
        <v>0</v>
      </c>
      <c r="AH1034" s="44" t="s">
        <v>4074</v>
      </c>
      <c r="AI1034" s="131"/>
      <c r="AK1034" s="66">
        <f t="shared" si="320"/>
        <v>0</v>
      </c>
      <c r="AL1034" s="174">
        <f t="shared" si="321"/>
        <v>0</v>
      </c>
      <c r="AM1034" s="346">
        <f>RTD("money.excel",,$G1034,"PredictVolume")</f>
        <v>0</v>
      </c>
      <c r="AN1034" s="272">
        <f>RTD("money.excel",,$G1034,"CumulativeVolume")</f>
        <v>0</v>
      </c>
      <c r="AO1034" s="284"/>
    </row>
    <row r="1035" spans="1:41">
      <c r="A1035" s="135" t="s">
        <v>4784</v>
      </c>
      <c r="B1035" s="96">
        <v>-9</v>
      </c>
      <c r="C1035" s="96">
        <v>-5</v>
      </c>
      <c r="D1035" s="96">
        <v>0</v>
      </c>
      <c r="E1035" s="96">
        <v>17</v>
      </c>
      <c r="F1035" s="59">
        <v>20.260000000000002</v>
      </c>
      <c r="G1035" s="85">
        <v>2420</v>
      </c>
      <c r="H1035" s="4" t="s">
        <v>559</v>
      </c>
      <c r="I1035" s="23" t="s">
        <v>690</v>
      </c>
      <c r="J1035" s="77">
        <v>52.24</v>
      </c>
      <c r="K1035" s="77">
        <v>2.48</v>
      </c>
      <c r="L1035" s="77">
        <v>1.1200000000000001</v>
      </c>
      <c r="N1035" s="365">
        <f t="shared" si="312"/>
        <v>55.839999999999996</v>
      </c>
      <c r="O1035" s="343">
        <f t="shared" si="313"/>
        <v>52.24</v>
      </c>
      <c r="P1035" s="195">
        <v>1</v>
      </c>
      <c r="Q1035" s="326" t="str">
        <f>IFERROR(VLOOKUP($G1035,主力整理!$A$2:$G$2301,6,0),"0")</f>
        <v>0</v>
      </c>
      <c r="T1035" s="339">
        <f t="shared" si="314"/>
        <v>1</v>
      </c>
      <c r="V1035" s="371">
        <v>23.33</v>
      </c>
      <c r="W1035" s="35">
        <v>2.5499999999999998</v>
      </c>
      <c r="X1035" s="100">
        <v>2.9</v>
      </c>
      <c r="Y1035" s="14" t="str">
        <f>RTD("money.excel",,"2420","Price")</f>
        <v>無資料</v>
      </c>
      <c r="Z1035" s="69"/>
      <c r="AA1035" s="16" t="e">
        <f t="shared" si="315"/>
        <v>#VALUE!</v>
      </c>
      <c r="AB1035" s="3" t="e">
        <f t="shared" si="316"/>
        <v>#VALUE!</v>
      </c>
      <c r="AD1035" s="23" t="s">
        <v>690</v>
      </c>
      <c r="AG1035" s="34">
        <f t="shared" si="317"/>
        <v>0</v>
      </c>
      <c r="AH1035" s="63" t="s">
        <v>3761</v>
      </c>
      <c r="AI1035" s="131"/>
      <c r="AK1035" s="66">
        <f t="shared" si="320"/>
        <v>0</v>
      </c>
      <c r="AL1035" s="174">
        <f t="shared" si="321"/>
        <v>0</v>
      </c>
      <c r="AM1035" s="346">
        <f>RTD("money.excel",,$G1035,"PredictVolume")</f>
        <v>0</v>
      </c>
      <c r="AN1035" s="272">
        <f>RTD("money.excel",,$G1035,"CumulativeVolume")</f>
        <v>0</v>
      </c>
      <c r="AO1035" s="284"/>
    </row>
    <row r="1036" spans="1:41">
      <c r="A1036" s="151" t="s">
        <v>3100</v>
      </c>
      <c r="B1036" s="85">
        <v>-64</v>
      </c>
      <c r="C1036" s="85">
        <v>-75</v>
      </c>
      <c r="D1036" s="85">
        <v>-12</v>
      </c>
      <c r="E1036" s="85">
        <v>-9</v>
      </c>
      <c r="F1036" s="7">
        <v>1.96</v>
      </c>
      <c r="G1036" s="85">
        <v>2421</v>
      </c>
      <c r="H1036" s="4" t="s">
        <v>559</v>
      </c>
      <c r="I1036" s="23" t="s">
        <v>122</v>
      </c>
      <c r="J1036" s="77">
        <v>48.53</v>
      </c>
      <c r="K1036" s="371">
        <v>19.760000000000002</v>
      </c>
      <c r="L1036" s="77">
        <v>4.95</v>
      </c>
      <c r="N1036" s="365">
        <f t="shared" si="312"/>
        <v>73.240000000000009</v>
      </c>
      <c r="O1036" s="343">
        <f t="shared" si="313"/>
        <v>48.53</v>
      </c>
      <c r="P1036" s="195">
        <v>1</v>
      </c>
      <c r="Q1036" s="326" t="str">
        <f>IFERROR(VLOOKUP($G1036,主力整理!$A$2:$G$2301,6,0),"0")</f>
        <v>0</v>
      </c>
      <c r="R1036" s="111">
        <v>4</v>
      </c>
      <c r="S1036" s="51">
        <v>5</v>
      </c>
      <c r="T1036" s="339">
        <f t="shared" si="314"/>
        <v>10</v>
      </c>
      <c r="V1036" s="371">
        <v>2.13</v>
      </c>
      <c r="W1036" s="35">
        <v>2.4</v>
      </c>
      <c r="X1036" s="100">
        <v>2.2000000000000002</v>
      </c>
      <c r="Y1036" s="37" t="str">
        <f>RTD("money.excel",,"2421","Price")</f>
        <v>無資料</v>
      </c>
      <c r="Z1036" s="69"/>
      <c r="AA1036" s="16" t="e">
        <f t="shared" si="315"/>
        <v>#VALUE!</v>
      </c>
      <c r="AB1036" s="3" t="e">
        <f t="shared" si="316"/>
        <v>#VALUE!</v>
      </c>
      <c r="AC1036" s="177" t="s">
        <v>2648</v>
      </c>
      <c r="AD1036" s="23" t="s">
        <v>122</v>
      </c>
      <c r="AG1036" s="34">
        <f t="shared" si="317"/>
        <v>0</v>
      </c>
      <c r="AH1036" s="125" t="s">
        <v>3640</v>
      </c>
      <c r="AI1036" s="131"/>
      <c r="AK1036" s="66">
        <f t="shared" si="320"/>
        <v>0</v>
      </c>
      <c r="AL1036" s="174">
        <f t="shared" si="321"/>
        <v>0</v>
      </c>
      <c r="AM1036" s="346">
        <f>RTD("money.excel",,$G1036,"PredictVolume")</f>
        <v>0</v>
      </c>
      <c r="AN1036" s="272">
        <f>RTD("money.excel",,$G1036,"CumulativeVolume")</f>
        <v>0</v>
      </c>
      <c r="AO1036" s="284"/>
    </row>
    <row r="1037" spans="1:41">
      <c r="A1037" s="135" t="s">
        <v>2575</v>
      </c>
      <c r="B1037" s="84">
        <v>28</v>
      </c>
      <c r="C1037" s="84">
        <v>29</v>
      </c>
      <c r="D1037" s="84">
        <v>6</v>
      </c>
      <c r="E1037" s="84">
        <v>11</v>
      </c>
      <c r="F1037" s="59">
        <v>29.97</v>
      </c>
      <c r="G1037" s="85">
        <v>2428</v>
      </c>
      <c r="H1037" s="54" t="s">
        <v>559</v>
      </c>
      <c r="I1037" s="23" t="s">
        <v>412</v>
      </c>
      <c r="J1037" s="371">
        <v>58.2</v>
      </c>
      <c r="K1037" s="77">
        <v>14.82</v>
      </c>
      <c r="L1037" s="77">
        <v>7.89</v>
      </c>
      <c r="M1037" s="371">
        <v>25.61</v>
      </c>
      <c r="N1037" s="365">
        <f t="shared" si="312"/>
        <v>106.52000000000001</v>
      </c>
      <c r="O1037" s="369">
        <f t="shared" si="313"/>
        <v>83.81</v>
      </c>
      <c r="P1037" s="195">
        <v>23</v>
      </c>
      <c r="Q1037" s="326">
        <v>14</v>
      </c>
      <c r="R1037" s="111">
        <v>18</v>
      </c>
      <c r="S1037" s="51">
        <v>20</v>
      </c>
      <c r="T1037" s="339">
        <f t="shared" si="314"/>
        <v>75</v>
      </c>
      <c r="U1037" s="329" t="s">
        <v>6540</v>
      </c>
      <c r="V1037" s="371">
        <v>0.95</v>
      </c>
      <c r="W1037" s="69">
        <v>5.5</v>
      </c>
      <c r="X1037" s="59">
        <v>12.86</v>
      </c>
      <c r="Y1037" s="37" t="str">
        <f>RTD("money.excel",,"2428","Price")</f>
        <v>無資料</v>
      </c>
      <c r="Z1037" s="69"/>
      <c r="AA1037" s="16" t="e">
        <f t="shared" si="315"/>
        <v>#VALUE!</v>
      </c>
      <c r="AB1037" s="3" t="e">
        <f t="shared" si="316"/>
        <v>#VALUE!</v>
      </c>
      <c r="AC1037" s="177" t="s">
        <v>2929</v>
      </c>
      <c r="AD1037" s="23" t="s">
        <v>412</v>
      </c>
      <c r="AG1037" s="34">
        <f t="shared" si="317"/>
        <v>0</v>
      </c>
      <c r="AH1037" s="63" t="s">
        <v>4969</v>
      </c>
      <c r="AI1037" s="131"/>
      <c r="AK1037" s="66">
        <f t="shared" si="320"/>
        <v>0</v>
      </c>
      <c r="AL1037" s="174">
        <f t="shared" si="321"/>
        <v>0</v>
      </c>
      <c r="AM1037" s="346">
        <f>RTD("money.excel",,$G1037,"PredictVolume")</f>
        <v>0</v>
      </c>
      <c r="AN1037" s="272">
        <f>RTD("money.excel",,$G1037,"CumulativeVolume")</f>
        <v>0</v>
      </c>
      <c r="AO1037" s="284"/>
    </row>
    <row r="1038" spans="1:41">
      <c r="A1038" s="151" t="s">
        <v>2351</v>
      </c>
      <c r="B1038" s="96">
        <v>-127</v>
      </c>
      <c r="C1038" s="96">
        <v>-187</v>
      </c>
      <c r="D1038" s="96">
        <v>-1</v>
      </c>
      <c r="E1038" s="96">
        <v>78</v>
      </c>
      <c r="F1038" s="7">
        <v>-8.82</v>
      </c>
      <c r="G1038" s="85">
        <v>2429</v>
      </c>
      <c r="H1038" s="4" t="s">
        <v>559</v>
      </c>
      <c r="I1038" s="23" t="s">
        <v>691</v>
      </c>
      <c r="J1038" s="77">
        <v>84.32</v>
      </c>
      <c r="K1038" s="77">
        <v>0.95</v>
      </c>
      <c r="N1038" s="365">
        <f t="shared" si="312"/>
        <v>85.27</v>
      </c>
      <c r="O1038" s="343">
        <f t="shared" si="313"/>
        <v>84.32</v>
      </c>
      <c r="P1038" s="195" t="s">
        <v>5554</v>
      </c>
      <c r="Q1038" s="326" t="str">
        <f>IFERROR(VLOOKUP($G1038,主力整理!$A$2:$G$2301,6,0),"0")</f>
        <v>0</v>
      </c>
      <c r="T1038" s="339">
        <f t="shared" si="314"/>
        <v>0</v>
      </c>
      <c r="V1038" s="371">
        <v>47.25</v>
      </c>
      <c r="W1038" s="35">
        <v>0</v>
      </c>
      <c r="X1038" s="100">
        <v>-1.65</v>
      </c>
      <c r="Y1038" s="14" t="str">
        <f>RTD("money.excel",,"2429","Price")</f>
        <v>無資料</v>
      </c>
      <c r="Z1038" s="69"/>
      <c r="AA1038" s="16" t="e">
        <f t="shared" si="315"/>
        <v>#VALUE!</v>
      </c>
      <c r="AB1038" s="3" t="e">
        <f t="shared" si="316"/>
        <v>#VALUE!</v>
      </c>
      <c r="AD1038" s="23" t="s">
        <v>691</v>
      </c>
      <c r="AG1038" s="34">
        <f t="shared" si="317"/>
        <v>0</v>
      </c>
      <c r="AH1038" s="44" t="s">
        <v>1685</v>
      </c>
      <c r="AI1038" s="131"/>
      <c r="AK1038" s="66">
        <f t="shared" si="320"/>
        <v>0</v>
      </c>
      <c r="AL1038" s="174">
        <f t="shared" si="321"/>
        <v>0</v>
      </c>
      <c r="AM1038" s="346">
        <f>RTD("money.excel",,$G1038,"PredictVolume")</f>
        <v>0</v>
      </c>
      <c r="AN1038" s="272">
        <f>RTD("money.excel",,$G1038,"CumulativeVolume")</f>
        <v>0</v>
      </c>
      <c r="AO1038" s="284"/>
    </row>
    <row r="1039" spans="1:41">
      <c r="A1039" s="151" t="s">
        <v>3238</v>
      </c>
      <c r="B1039" s="145">
        <v>4868</v>
      </c>
      <c r="C1039" s="96">
        <v>254</v>
      </c>
      <c r="D1039" s="96">
        <v>-14</v>
      </c>
      <c r="E1039" s="96">
        <v>-12</v>
      </c>
      <c r="F1039" s="7">
        <v>1.89</v>
      </c>
      <c r="G1039" s="85">
        <v>2431</v>
      </c>
      <c r="H1039" s="4" t="s">
        <v>559</v>
      </c>
      <c r="I1039" s="23" t="s">
        <v>692</v>
      </c>
      <c r="J1039" s="77">
        <v>39.020000000000003</v>
      </c>
      <c r="K1039" s="77">
        <v>3.68</v>
      </c>
      <c r="L1039" s="77">
        <v>12.61</v>
      </c>
      <c r="N1039" s="365">
        <f t="shared" si="312"/>
        <v>55.31</v>
      </c>
      <c r="O1039" s="343">
        <f t="shared" si="313"/>
        <v>39.020000000000003</v>
      </c>
      <c r="P1039" s="195" t="s">
        <v>5554</v>
      </c>
      <c r="Q1039" s="326" t="str">
        <f>IFERROR(VLOOKUP($G1039,主力整理!$A$2:$G$2301,6,0),"0")</f>
        <v>0</v>
      </c>
      <c r="T1039" s="339">
        <f t="shared" si="314"/>
        <v>0</v>
      </c>
      <c r="V1039" s="371">
        <v>36.200000000000003</v>
      </c>
      <c r="W1039" s="35">
        <v>0.25</v>
      </c>
      <c r="X1039" s="100">
        <v>0.42</v>
      </c>
      <c r="Y1039" s="37" t="str">
        <f>RTD("money.excel",,"2431","Price")</f>
        <v>無資料</v>
      </c>
      <c r="Z1039" s="69"/>
      <c r="AA1039" s="16" t="e">
        <f t="shared" si="315"/>
        <v>#VALUE!</v>
      </c>
      <c r="AB1039" s="3" t="e">
        <f t="shared" si="316"/>
        <v>#VALUE!</v>
      </c>
      <c r="AD1039" s="23" t="s">
        <v>692</v>
      </c>
      <c r="AG1039" s="34">
        <f t="shared" si="317"/>
        <v>0</v>
      </c>
      <c r="AH1039" s="44" t="s">
        <v>4075</v>
      </c>
      <c r="AI1039" s="131"/>
      <c r="AK1039" s="66">
        <f t="shared" si="320"/>
        <v>0</v>
      </c>
      <c r="AL1039" s="174">
        <f t="shared" si="321"/>
        <v>0</v>
      </c>
      <c r="AM1039" s="346">
        <f>RTD("money.excel",,$G1039,"PredictVolume")</f>
        <v>0</v>
      </c>
      <c r="AN1039" s="272">
        <f>RTD("money.excel",,$G1039,"CumulativeVolume")</f>
        <v>0</v>
      </c>
      <c r="AO1039" s="284"/>
    </row>
    <row r="1040" spans="1:41">
      <c r="A1040" s="151" t="s">
        <v>2878</v>
      </c>
      <c r="B1040" s="84">
        <v>155</v>
      </c>
      <c r="C1040" s="84">
        <v>225</v>
      </c>
      <c r="D1040" s="85">
        <v>-1</v>
      </c>
      <c r="E1040" s="84">
        <v>84</v>
      </c>
      <c r="F1040" s="7">
        <v>3.62</v>
      </c>
      <c r="G1040" s="85">
        <v>2440</v>
      </c>
      <c r="H1040" s="4" t="s">
        <v>559</v>
      </c>
      <c r="I1040" s="23" t="s">
        <v>693</v>
      </c>
      <c r="J1040" s="77">
        <v>68.290000000000006</v>
      </c>
      <c r="K1040" s="77">
        <v>1.07</v>
      </c>
      <c r="N1040" s="365">
        <f t="shared" si="312"/>
        <v>69.36</v>
      </c>
      <c r="O1040" s="343">
        <f t="shared" si="313"/>
        <v>68.290000000000006</v>
      </c>
      <c r="P1040" s="195" t="s">
        <v>5554</v>
      </c>
      <c r="Q1040" s="326" t="str">
        <f>IFERROR(VLOOKUP($G1040,主力整理!$A$2:$G$2301,6,0),"0")</f>
        <v>0</v>
      </c>
      <c r="R1040" s="111">
        <v>22</v>
      </c>
      <c r="T1040" s="339">
        <f t="shared" si="314"/>
        <v>22</v>
      </c>
      <c r="W1040" s="35">
        <v>0</v>
      </c>
      <c r="X1040" s="59">
        <v>2.06</v>
      </c>
      <c r="Y1040" s="37" t="str">
        <f>RTD("money.excel",,"2440","Price")</f>
        <v>無資料</v>
      </c>
      <c r="Z1040" s="69"/>
      <c r="AA1040" s="16" t="e">
        <f t="shared" si="315"/>
        <v>#VALUE!</v>
      </c>
      <c r="AB1040" s="3" t="e">
        <f t="shared" si="316"/>
        <v>#VALUE!</v>
      </c>
      <c r="AD1040" s="23" t="s">
        <v>693</v>
      </c>
      <c r="AG1040" s="34">
        <f t="shared" si="317"/>
        <v>0</v>
      </c>
      <c r="AH1040" s="44" t="s">
        <v>4076</v>
      </c>
      <c r="AI1040" s="131"/>
      <c r="AK1040" s="66">
        <f t="shared" si="320"/>
        <v>0</v>
      </c>
      <c r="AL1040" s="174">
        <f t="shared" si="321"/>
        <v>0</v>
      </c>
      <c r="AM1040" s="346">
        <f>RTD("money.excel",,$G1040,"PredictVolume")</f>
        <v>0</v>
      </c>
      <c r="AN1040" s="272">
        <f>RTD("money.excel",,$G1040,"CumulativeVolume")</f>
        <v>0</v>
      </c>
      <c r="AO1040" s="284"/>
    </row>
    <row r="1041" spans="1:41">
      <c r="A1041" s="135" t="s">
        <v>2471</v>
      </c>
      <c r="B1041" s="84">
        <v>25</v>
      </c>
      <c r="C1041" s="84">
        <v>18</v>
      </c>
      <c r="D1041" s="85">
        <v>-1</v>
      </c>
      <c r="E1041" s="85">
        <v>-3</v>
      </c>
      <c r="F1041" s="59">
        <v>12.7</v>
      </c>
      <c r="G1041" s="85">
        <v>2456</v>
      </c>
      <c r="H1041" s="4" t="s">
        <v>559</v>
      </c>
      <c r="I1041" s="23" t="s">
        <v>112</v>
      </c>
      <c r="J1041" s="77">
        <v>32.450000000000003</v>
      </c>
      <c r="K1041" s="371">
        <v>15.11</v>
      </c>
      <c r="L1041" s="77">
        <v>13.05</v>
      </c>
      <c r="N1041" s="365">
        <f t="shared" si="312"/>
        <v>60.61</v>
      </c>
      <c r="O1041" s="343">
        <f t="shared" si="313"/>
        <v>32.450000000000003</v>
      </c>
      <c r="P1041" s="195">
        <v>6</v>
      </c>
      <c r="Q1041" s="326">
        <f>IFERROR(VLOOKUP($G1041,主力整理!$A$2:$G$2301,6,0),"0")</f>
        <v>4</v>
      </c>
      <c r="R1041" s="111">
        <v>2</v>
      </c>
      <c r="S1041" s="51">
        <v>11</v>
      </c>
      <c r="T1041" s="339">
        <f t="shared" si="314"/>
        <v>23</v>
      </c>
      <c r="V1041" s="371">
        <v>3.72</v>
      </c>
      <c r="W1041" s="35">
        <v>2</v>
      </c>
      <c r="X1041" s="100">
        <v>6.1</v>
      </c>
      <c r="Y1041" s="37" t="str">
        <f>RTD("money.excel",,"2456","Price")</f>
        <v>商品錯誤</v>
      </c>
      <c r="Z1041" s="69"/>
      <c r="AA1041" s="16" t="e">
        <f t="shared" si="315"/>
        <v>#VALUE!</v>
      </c>
      <c r="AB1041" s="3" t="e">
        <f t="shared" si="316"/>
        <v>#VALUE!</v>
      </c>
      <c r="AC1041" s="177" t="s">
        <v>2648</v>
      </c>
      <c r="AD1041" s="23" t="s">
        <v>112</v>
      </c>
      <c r="AG1041" s="34">
        <f t="shared" si="317"/>
        <v>0</v>
      </c>
      <c r="AH1041" s="126" t="s">
        <v>3037</v>
      </c>
      <c r="AI1041" s="131"/>
      <c r="AK1041" s="66" t="e">
        <f t="shared" si="320"/>
        <v>#VALUE!</v>
      </c>
      <c r="AL1041" s="174" t="e">
        <f t="shared" si="321"/>
        <v>#VALUE!</v>
      </c>
      <c r="AM1041" s="346" t="str">
        <f>RTD("money.excel",,$G1041,"PredictVolume")</f>
        <v>商品錯誤</v>
      </c>
      <c r="AN1041" s="272" t="str">
        <f>RTD("money.excel",,$G1041,"CumulativeVolume")</f>
        <v>商品錯誤</v>
      </c>
      <c r="AO1041" s="284"/>
    </row>
    <row r="1042" spans="1:41">
      <c r="A1042" s="151" t="s">
        <v>2545</v>
      </c>
      <c r="B1042" s="85">
        <v>-69</v>
      </c>
      <c r="C1042" s="85">
        <v>-10</v>
      </c>
      <c r="D1042" s="84">
        <v>18</v>
      </c>
      <c r="E1042" s="84">
        <v>14</v>
      </c>
      <c r="F1042" s="7">
        <v>-3.9</v>
      </c>
      <c r="G1042" s="85">
        <v>2457</v>
      </c>
      <c r="H1042" s="4" t="s">
        <v>559</v>
      </c>
      <c r="I1042" s="23" t="s">
        <v>694</v>
      </c>
      <c r="J1042" s="77">
        <v>34.14</v>
      </c>
      <c r="K1042" s="371">
        <v>8.6999999999999993</v>
      </c>
      <c r="L1042" s="77">
        <v>42.19</v>
      </c>
      <c r="M1042" s="371">
        <v>18.25</v>
      </c>
      <c r="N1042" s="365">
        <f t="shared" si="312"/>
        <v>103.28</v>
      </c>
      <c r="O1042" s="343">
        <f t="shared" si="313"/>
        <v>52.39</v>
      </c>
      <c r="P1042" s="195">
        <v>2</v>
      </c>
      <c r="Q1042" s="326">
        <v>29</v>
      </c>
      <c r="R1042" s="111">
        <v>26</v>
      </c>
      <c r="S1042" s="51">
        <v>49</v>
      </c>
      <c r="T1042" s="339">
        <f t="shared" si="314"/>
        <v>106</v>
      </c>
      <c r="U1042" s="329" t="s">
        <v>6540</v>
      </c>
      <c r="V1042" s="371">
        <v>5.33</v>
      </c>
      <c r="W1042" s="35">
        <v>0</v>
      </c>
      <c r="X1042" s="100">
        <v>-0.82</v>
      </c>
      <c r="Y1042" s="37" t="str">
        <f>RTD("money.excel",,"2457","Price")</f>
        <v>無資料</v>
      </c>
      <c r="Z1042" s="69"/>
      <c r="AA1042" s="16" t="e">
        <f t="shared" si="315"/>
        <v>#VALUE!</v>
      </c>
      <c r="AB1042" s="3" t="e">
        <f t="shared" si="316"/>
        <v>#VALUE!</v>
      </c>
      <c r="AC1042" s="177" t="s">
        <v>2648</v>
      </c>
      <c r="AD1042" s="23" t="s">
        <v>694</v>
      </c>
      <c r="AG1042" s="34">
        <f t="shared" si="317"/>
        <v>0</v>
      </c>
      <c r="AH1042" s="44" t="s">
        <v>3761</v>
      </c>
      <c r="AI1042" s="131"/>
      <c r="AK1042" s="66">
        <f t="shared" si="320"/>
        <v>0</v>
      </c>
      <c r="AL1042" s="174">
        <f t="shared" si="321"/>
        <v>0</v>
      </c>
      <c r="AM1042" s="346">
        <f>RTD("money.excel",,$G1042,"PredictVolume")</f>
        <v>0</v>
      </c>
      <c r="AN1042" s="272">
        <f>RTD("money.excel",,$G1042,"CumulativeVolume")</f>
        <v>0</v>
      </c>
      <c r="AO1042" s="284"/>
    </row>
    <row r="1043" spans="1:41">
      <c r="A1043" s="151" t="s">
        <v>2513</v>
      </c>
      <c r="B1043" s="96">
        <v>-5</v>
      </c>
      <c r="C1043" s="96">
        <v>41</v>
      </c>
      <c r="D1043" s="96">
        <v>-2</v>
      </c>
      <c r="E1043" s="96">
        <v>205</v>
      </c>
      <c r="F1043" s="7">
        <v>-0.92</v>
      </c>
      <c r="G1043" s="85">
        <v>2460</v>
      </c>
      <c r="H1043" s="4" t="s">
        <v>559</v>
      </c>
      <c r="I1043" s="23" t="s">
        <v>695</v>
      </c>
      <c r="J1043" s="77">
        <v>65.2</v>
      </c>
      <c r="K1043" s="77">
        <v>1.61</v>
      </c>
      <c r="L1043" s="77">
        <v>12.51</v>
      </c>
      <c r="N1043" s="365">
        <f t="shared" si="312"/>
        <v>79.320000000000007</v>
      </c>
      <c r="O1043" s="343">
        <f t="shared" si="313"/>
        <v>65.2</v>
      </c>
      <c r="P1043" s="195">
        <v>1</v>
      </c>
      <c r="Q1043" s="326" t="str">
        <f>IFERROR(VLOOKUP($G1043,主力整理!$A$2:$G$2301,6,0),"0")</f>
        <v>0</v>
      </c>
      <c r="T1043" s="339">
        <f t="shared" si="314"/>
        <v>1</v>
      </c>
      <c r="V1043" s="371">
        <v>26.43</v>
      </c>
      <c r="W1043" s="35">
        <v>0</v>
      </c>
      <c r="X1043" s="100">
        <v>-0.25</v>
      </c>
      <c r="Y1043" s="14" t="str">
        <f>RTD("money.excel",,"2460","Price")</f>
        <v>無資料</v>
      </c>
      <c r="Z1043" s="69"/>
      <c r="AA1043" s="16" t="e">
        <f t="shared" si="315"/>
        <v>#VALUE!</v>
      </c>
      <c r="AB1043" s="3" t="e">
        <f t="shared" si="316"/>
        <v>#VALUE!</v>
      </c>
      <c r="AC1043" s="177" t="s">
        <v>2648</v>
      </c>
      <c r="AD1043" s="23" t="s">
        <v>695</v>
      </c>
      <c r="AG1043" s="34">
        <f t="shared" si="317"/>
        <v>0</v>
      </c>
      <c r="AH1043" s="44" t="s">
        <v>2961</v>
      </c>
      <c r="AI1043" s="284"/>
      <c r="AK1043" s="66">
        <f t="shared" si="320"/>
        <v>0</v>
      </c>
      <c r="AL1043" s="174">
        <f t="shared" si="321"/>
        <v>0</v>
      </c>
      <c r="AM1043" s="346">
        <f>RTD("money.excel",,$G1043,"PredictVolume")</f>
        <v>0</v>
      </c>
      <c r="AN1043" s="272">
        <f>RTD("money.excel",,$G1043,"CumulativeVolume")</f>
        <v>0</v>
      </c>
      <c r="AO1043" s="284"/>
    </row>
    <row r="1044" spans="1:41">
      <c r="A1044" s="151" t="s">
        <v>2627</v>
      </c>
      <c r="B1044" s="84">
        <v>18</v>
      </c>
      <c r="C1044" s="84">
        <v>42</v>
      </c>
      <c r="D1044" s="85">
        <v>-4</v>
      </c>
      <c r="E1044" s="84">
        <v>0</v>
      </c>
      <c r="F1044" s="7">
        <v>3.55</v>
      </c>
      <c r="G1044" s="85">
        <v>2462</v>
      </c>
      <c r="H1044" s="4" t="s">
        <v>559</v>
      </c>
      <c r="I1044" s="23" t="s">
        <v>696</v>
      </c>
      <c r="J1044" s="77">
        <v>60.42</v>
      </c>
      <c r="K1044" s="77">
        <v>0.26</v>
      </c>
      <c r="L1044" s="77">
        <v>41.73</v>
      </c>
      <c r="N1044" s="365">
        <f t="shared" si="312"/>
        <v>102.41</v>
      </c>
      <c r="O1044" s="343">
        <f t="shared" si="313"/>
        <v>60.42</v>
      </c>
      <c r="P1044" s="195">
        <v>2</v>
      </c>
      <c r="Q1044" s="326" t="str">
        <f>IFERROR(VLOOKUP($G1044,主力整理!$A$2:$G$2301,6,0),"0")</f>
        <v>0</v>
      </c>
      <c r="T1044" s="339">
        <f t="shared" si="314"/>
        <v>2</v>
      </c>
      <c r="V1044" s="371">
        <v>0</v>
      </c>
      <c r="W1044" s="35">
        <v>0.8</v>
      </c>
      <c r="X1044" s="100">
        <v>0.87</v>
      </c>
      <c r="Y1044" s="37" t="str">
        <f>RTD("money.excel",,"2462","Price")</f>
        <v>無資料</v>
      </c>
      <c r="Z1044" s="69"/>
      <c r="AA1044" s="16" t="e">
        <f t="shared" si="315"/>
        <v>#VALUE!</v>
      </c>
      <c r="AB1044" s="3" t="e">
        <f t="shared" si="316"/>
        <v>#VALUE!</v>
      </c>
      <c r="AC1044" s="177" t="s">
        <v>2648</v>
      </c>
      <c r="AD1044" s="23" t="s">
        <v>696</v>
      </c>
      <c r="AG1044" s="34">
        <f t="shared" si="317"/>
        <v>0</v>
      </c>
      <c r="AH1044" s="44" t="s">
        <v>4077</v>
      </c>
      <c r="AI1044" s="131"/>
      <c r="AK1044" s="66">
        <f t="shared" si="320"/>
        <v>0</v>
      </c>
      <c r="AL1044" s="174">
        <f t="shared" si="321"/>
        <v>0</v>
      </c>
      <c r="AM1044" s="346">
        <f>RTD("money.excel",,$G1044,"PredictVolume")</f>
        <v>0</v>
      </c>
      <c r="AN1044" s="272">
        <f>RTD("money.excel",,$G1044,"CumulativeVolume")</f>
        <v>0</v>
      </c>
      <c r="AO1044" s="284"/>
    </row>
    <row r="1045" spans="1:41">
      <c r="A1045" s="135" t="s">
        <v>2809</v>
      </c>
      <c r="B1045" s="85">
        <v>-43</v>
      </c>
      <c r="C1045" s="85">
        <v>-53</v>
      </c>
      <c r="D1045" s="84">
        <v>62</v>
      </c>
      <c r="E1045" s="85">
        <v>-16</v>
      </c>
      <c r="F1045" s="59">
        <v>12.54</v>
      </c>
      <c r="G1045" s="85">
        <v>2467</v>
      </c>
      <c r="H1045" s="4" t="s">
        <v>559</v>
      </c>
      <c r="I1045" s="23" t="s">
        <v>697</v>
      </c>
      <c r="J1045" s="371">
        <v>45.77</v>
      </c>
      <c r="K1045" s="77">
        <v>7.23</v>
      </c>
      <c r="L1045" s="371">
        <v>6.24</v>
      </c>
      <c r="N1045" s="365">
        <f t="shared" si="312"/>
        <v>59.24</v>
      </c>
      <c r="O1045" s="343">
        <f t="shared" si="313"/>
        <v>45.77</v>
      </c>
      <c r="P1045" s="195">
        <v>4</v>
      </c>
      <c r="Q1045" s="326" t="str">
        <f>IFERROR(VLOOKUP($G1045,主力整理!$A$2:$G$2301,6,0),"0")</f>
        <v>0</v>
      </c>
      <c r="T1045" s="339">
        <f t="shared" si="314"/>
        <v>4</v>
      </c>
      <c r="V1045" s="371">
        <v>4.66</v>
      </c>
      <c r="W1045" s="35">
        <v>2.7</v>
      </c>
      <c r="X1045" s="100">
        <v>2.94</v>
      </c>
      <c r="Y1045" s="37" t="str">
        <f>RTD("money.excel",,"2467","Price")</f>
        <v>無資料</v>
      </c>
      <c r="Z1045" s="69"/>
      <c r="AA1045" s="16" t="e">
        <f t="shared" si="315"/>
        <v>#VALUE!</v>
      </c>
      <c r="AB1045" s="3" t="e">
        <f t="shared" si="316"/>
        <v>#VALUE!</v>
      </c>
      <c r="AC1045" s="177" t="s">
        <v>2648</v>
      </c>
      <c r="AD1045" s="23" t="s">
        <v>697</v>
      </c>
      <c r="AG1045" s="34">
        <f t="shared" si="317"/>
        <v>0</v>
      </c>
      <c r="AH1045" s="44" t="s">
        <v>4078</v>
      </c>
      <c r="AI1045" s="131"/>
      <c r="AK1045" s="66">
        <f t="shared" si="320"/>
        <v>0</v>
      </c>
      <c r="AL1045" s="174">
        <f t="shared" si="321"/>
        <v>0</v>
      </c>
      <c r="AM1045" s="346">
        <f>RTD("money.excel",,$G1045,"PredictVolume")</f>
        <v>0</v>
      </c>
      <c r="AN1045" s="272">
        <f>RTD("money.excel",,$G1045,"CumulativeVolume")</f>
        <v>0</v>
      </c>
      <c r="AO1045" s="284"/>
    </row>
    <row r="1046" spans="1:41">
      <c r="A1046" s="135" t="s">
        <v>2667</v>
      </c>
      <c r="B1046" s="84">
        <v>65</v>
      </c>
      <c r="C1046" s="84">
        <v>50</v>
      </c>
      <c r="D1046" s="84">
        <v>30</v>
      </c>
      <c r="E1046" s="84">
        <v>10</v>
      </c>
      <c r="F1046" s="59">
        <v>16.510000000000002</v>
      </c>
      <c r="G1046" s="85">
        <v>2472</v>
      </c>
      <c r="H1046" s="54" t="s">
        <v>559</v>
      </c>
      <c r="I1046" s="23" t="s">
        <v>347</v>
      </c>
      <c r="J1046" s="371">
        <v>48.36</v>
      </c>
      <c r="K1046" s="77">
        <v>2.14</v>
      </c>
      <c r="L1046" s="77">
        <v>18.21</v>
      </c>
      <c r="N1046" s="365">
        <f t="shared" ref="N1046:N1077" si="322">J1046+K1046+L1046+M1046</f>
        <v>68.710000000000008</v>
      </c>
      <c r="O1046" s="343">
        <f t="shared" si="313"/>
        <v>48.36</v>
      </c>
      <c r="P1046" s="195">
        <v>5</v>
      </c>
      <c r="Q1046" s="326">
        <f>IFERROR(VLOOKUP($G1046,主力整理!$A$2:$G$2301,6,0),"0")</f>
        <v>4</v>
      </c>
      <c r="T1046" s="339">
        <f t="shared" si="314"/>
        <v>9</v>
      </c>
      <c r="V1046" s="371">
        <v>0</v>
      </c>
      <c r="W1046" s="69">
        <v>3</v>
      </c>
      <c r="X1046" s="100">
        <v>5.2</v>
      </c>
      <c r="Y1046" s="37" t="str">
        <f>RTD("money.excel",,"2472","Price")</f>
        <v>無資料</v>
      </c>
      <c r="Z1046" s="69"/>
      <c r="AA1046" s="16" t="e">
        <f t="shared" si="315"/>
        <v>#VALUE!</v>
      </c>
      <c r="AB1046" s="3" t="e">
        <f t="shared" si="316"/>
        <v>#VALUE!</v>
      </c>
      <c r="AC1046" s="177" t="s">
        <v>2929</v>
      </c>
      <c r="AD1046" s="23" t="s">
        <v>347</v>
      </c>
      <c r="AG1046" s="34">
        <f t="shared" si="317"/>
        <v>0</v>
      </c>
      <c r="AH1046" s="50" t="s">
        <v>3707</v>
      </c>
      <c r="AK1046" s="66">
        <f t="shared" si="320"/>
        <v>0</v>
      </c>
      <c r="AL1046" s="174">
        <f t="shared" si="321"/>
        <v>0</v>
      </c>
      <c r="AM1046" s="346">
        <f>RTD("money.excel",,$G1046,"PredictVolume")</f>
        <v>0</v>
      </c>
      <c r="AN1046" s="272">
        <f>RTD("money.excel",,$G1046,"CumulativeVolume")</f>
        <v>0</v>
      </c>
    </row>
    <row r="1047" spans="1:41">
      <c r="A1047" s="135" t="s">
        <v>3016</v>
      </c>
      <c r="B1047" s="84">
        <v>184</v>
      </c>
      <c r="C1047" s="84">
        <v>124</v>
      </c>
      <c r="D1047" s="84">
        <v>3</v>
      </c>
      <c r="E1047" s="84">
        <v>19</v>
      </c>
      <c r="F1047" s="59">
        <v>16.170000000000002</v>
      </c>
      <c r="G1047" s="85">
        <v>2476</v>
      </c>
      <c r="H1047" s="4" t="s">
        <v>559</v>
      </c>
      <c r="I1047" s="23" t="s">
        <v>698</v>
      </c>
      <c r="J1047" s="371">
        <v>45.45</v>
      </c>
      <c r="K1047" s="77">
        <v>10.26</v>
      </c>
      <c r="L1047" s="77">
        <v>24.24</v>
      </c>
      <c r="M1047" s="371">
        <v>11.87</v>
      </c>
      <c r="N1047" s="365">
        <f t="shared" si="322"/>
        <v>91.820000000000007</v>
      </c>
      <c r="O1047" s="343">
        <f t="shared" si="313"/>
        <v>57.32</v>
      </c>
      <c r="P1047" s="195">
        <v>0</v>
      </c>
      <c r="Q1047" s="326">
        <v>32</v>
      </c>
      <c r="R1047" s="111">
        <v>29</v>
      </c>
      <c r="S1047" s="51">
        <v>47</v>
      </c>
      <c r="T1047" s="339">
        <f t="shared" si="314"/>
        <v>108</v>
      </c>
      <c r="U1047" s="329" t="s">
        <v>6538</v>
      </c>
      <c r="V1047" s="371">
        <v>3.78</v>
      </c>
      <c r="W1047" s="35">
        <v>1.2</v>
      </c>
      <c r="X1047" s="100">
        <v>3.45</v>
      </c>
      <c r="Y1047" s="14" t="str">
        <f>RTD("money.excel",,"2476","Price")</f>
        <v>無資料</v>
      </c>
      <c r="Z1047" s="69"/>
      <c r="AA1047" s="16" t="e">
        <f t="shared" si="315"/>
        <v>#VALUE!</v>
      </c>
      <c r="AB1047" s="3" t="e">
        <f t="shared" si="316"/>
        <v>#VALUE!</v>
      </c>
      <c r="AD1047" s="23" t="s">
        <v>698</v>
      </c>
      <c r="AG1047" s="34">
        <f t="shared" si="317"/>
        <v>0</v>
      </c>
      <c r="AH1047" s="63" t="s">
        <v>4067</v>
      </c>
      <c r="AI1047" s="131"/>
      <c r="AK1047" s="66">
        <f t="shared" si="320"/>
        <v>0</v>
      </c>
      <c r="AL1047" s="174">
        <f t="shared" si="321"/>
        <v>0</v>
      </c>
      <c r="AM1047" s="346">
        <f>RTD("money.excel",,$G1047,"PredictVolume")</f>
        <v>0</v>
      </c>
      <c r="AN1047" s="272">
        <f>RTD("money.excel",,$G1047,"CumulativeVolume")</f>
        <v>0</v>
      </c>
      <c r="AO1047" s="284"/>
    </row>
    <row r="1048" spans="1:41">
      <c r="A1048" s="135" t="s">
        <v>2534</v>
      </c>
      <c r="B1048" s="84">
        <v>11</v>
      </c>
      <c r="C1048" s="84">
        <v>68</v>
      </c>
      <c r="D1048" s="84">
        <v>7</v>
      </c>
      <c r="E1048" s="84">
        <v>9</v>
      </c>
      <c r="F1048" s="59">
        <v>20.420000000000002</v>
      </c>
      <c r="G1048" s="85">
        <v>2478</v>
      </c>
      <c r="H1048" s="4" t="s">
        <v>559</v>
      </c>
      <c r="I1048" s="23" t="s">
        <v>519</v>
      </c>
      <c r="J1048" s="77">
        <v>40.93</v>
      </c>
      <c r="K1048" s="371">
        <v>5.55</v>
      </c>
      <c r="L1048" s="371">
        <v>18.52</v>
      </c>
      <c r="N1048" s="365">
        <f t="shared" si="322"/>
        <v>65</v>
      </c>
      <c r="O1048" s="343">
        <f t="shared" si="313"/>
        <v>40.93</v>
      </c>
      <c r="P1048" s="195">
        <v>2</v>
      </c>
      <c r="Q1048" s="326" t="str">
        <f>IFERROR(VLOOKUP($G1048,主力整理!$A$2:$G$2301,6,0),"0")</f>
        <v>0</v>
      </c>
      <c r="R1048" s="111">
        <v>4</v>
      </c>
      <c r="S1048" s="51">
        <v>3</v>
      </c>
      <c r="T1048" s="339">
        <f t="shared" si="314"/>
        <v>9</v>
      </c>
      <c r="V1048" s="371">
        <v>0.13</v>
      </c>
      <c r="W1048" s="69">
        <v>3</v>
      </c>
      <c r="X1048" s="100">
        <v>5.04</v>
      </c>
      <c r="Y1048" s="37" t="str">
        <f>RTD("money.excel",,"2478","Price")</f>
        <v>無資料</v>
      </c>
      <c r="Z1048" s="69"/>
      <c r="AA1048" s="16" t="e">
        <f t="shared" si="315"/>
        <v>#VALUE!</v>
      </c>
      <c r="AB1048" s="3" t="e">
        <f t="shared" si="316"/>
        <v>#VALUE!</v>
      </c>
      <c r="AC1048" s="177" t="s">
        <v>2929</v>
      </c>
      <c r="AD1048" s="23" t="s">
        <v>519</v>
      </c>
      <c r="AG1048" s="34">
        <f t="shared" si="317"/>
        <v>0</v>
      </c>
      <c r="AH1048" s="63" t="s">
        <v>4079</v>
      </c>
      <c r="AI1048" s="131"/>
      <c r="AK1048" s="66">
        <f t="shared" si="320"/>
        <v>0</v>
      </c>
      <c r="AL1048" s="174">
        <f t="shared" si="321"/>
        <v>0</v>
      </c>
      <c r="AM1048" s="346">
        <f>RTD("money.excel",,$G1048,"PredictVolume")</f>
        <v>0</v>
      </c>
      <c r="AN1048" s="272">
        <f>RTD("money.excel",,$G1048,"CumulativeVolume")</f>
        <v>0</v>
      </c>
      <c r="AO1048" s="284"/>
    </row>
    <row r="1049" spans="1:41">
      <c r="A1049" s="151" t="s">
        <v>4648</v>
      </c>
      <c r="B1049" s="96">
        <v>-39</v>
      </c>
      <c r="C1049" s="96">
        <v>344</v>
      </c>
      <c r="D1049" s="96">
        <v>10</v>
      </c>
      <c r="E1049" s="96">
        <v>53</v>
      </c>
      <c r="F1049" s="7">
        <v>2.86</v>
      </c>
      <c r="G1049" s="85">
        <v>2483</v>
      </c>
      <c r="H1049" s="4" t="s">
        <v>559</v>
      </c>
      <c r="I1049" s="23" t="s">
        <v>699</v>
      </c>
      <c r="J1049" s="77">
        <v>60.44</v>
      </c>
      <c r="K1049" s="77">
        <v>0.24</v>
      </c>
      <c r="L1049" s="77">
        <v>7.43</v>
      </c>
      <c r="N1049" s="365">
        <f t="shared" si="322"/>
        <v>68.11</v>
      </c>
      <c r="O1049" s="343">
        <f t="shared" si="313"/>
        <v>60.44</v>
      </c>
      <c r="P1049" s="195" t="s">
        <v>5554</v>
      </c>
      <c r="Q1049" s="326">
        <f>IFERROR(VLOOKUP($G1049,主力整理!$A$2:$G$2301,6,0),"0")</f>
        <v>1</v>
      </c>
      <c r="T1049" s="339">
        <f t="shared" si="314"/>
        <v>1</v>
      </c>
      <c r="V1049" s="371">
        <v>15.2</v>
      </c>
      <c r="W1049" s="35">
        <v>0.7</v>
      </c>
      <c r="X1049" s="100">
        <v>0.76</v>
      </c>
      <c r="Y1049" s="14" t="str">
        <f>RTD("money.excel",,"2483","Price")</f>
        <v>無資料</v>
      </c>
      <c r="Z1049" s="69"/>
      <c r="AA1049" s="16" t="e">
        <f t="shared" si="315"/>
        <v>#VALUE!</v>
      </c>
      <c r="AB1049" s="3" t="e">
        <f t="shared" si="316"/>
        <v>#VALUE!</v>
      </c>
      <c r="AD1049" s="23" t="s">
        <v>699</v>
      </c>
      <c r="AG1049" s="34">
        <f t="shared" si="317"/>
        <v>0</v>
      </c>
      <c r="AH1049" s="44" t="s">
        <v>4080</v>
      </c>
      <c r="AI1049" s="131"/>
      <c r="AK1049" s="66">
        <f t="shared" ref="AK1049:AK1084" si="323">AM1049/(A1049*10000)</f>
        <v>0</v>
      </c>
      <c r="AL1049" s="174">
        <f t="shared" ref="AL1049:AL1084" si="324">AN1049/(A1049*10000)</f>
        <v>0</v>
      </c>
      <c r="AM1049" s="346">
        <f>RTD("money.excel",,$G1049,"PredictVolume")</f>
        <v>0</v>
      </c>
      <c r="AN1049" s="272">
        <f>RTD("money.excel",,$G1049,"CumulativeVolume")</f>
        <v>0</v>
      </c>
      <c r="AO1049" s="284"/>
    </row>
    <row r="1050" spans="1:41">
      <c r="A1050" s="151" t="s">
        <v>2667</v>
      </c>
      <c r="B1050" s="96">
        <v>-33</v>
      </c>
      <c r="C1050" s="96">
        <v>-27</v>
      </c>
      <c r="D1050" s="96">
        <v>-6</v>
      </c>
      <c r="E1050" s="96">
        <v>-7</v>
      </c>
      <c r="F1050" s="7">
        <v>9.0399999999999991</v>
      </c>
      <c r="G1050" s="85">
        <v>2484</v>
      </c>
      <c r="H1050" s="4" t="s">
        <v>559</v>
      </c>
      <c r="I1050" s="23" t="s">
        <v>700</v>
      </c>
      <c r="J1050" s="77">
        <v>22.65</v>
      </c>
      <c r="K1050" s="77">
        <v>6.81</v>
      </c>
      <c r="L1050" s="77">
        <v>16.05</v>
      </c>
      <c r="N1050" s="365">
        <f t="shared" si="322"/>
        <v>45.51</v>
      </c>
      <c r="O1050" s="343">
        <f t="shared" si="313"/>
        <v>22.65</v>
      </c>
      <c r="P1050" s="195" t="s">
        <v>5554</v>
      </c>
      <c r="Q1050" s="326">
        <f>IFERROR(VLOOKUP($G1050,主力整理!$A$2:$G$2301,6,0),"0")</f>
        <v>5</v>
      </c>
      <c r="T1050" s="339">
        <f t="shared" si="314"/>
        <v>5</v>
      </c>
      <c r="V1050" s="371">
        <v>9.4600000000000009</v>
      </c>
      <c r="W1050" s="35">
        <v>1</v>
      </c>
      <c r="X1050" s="100">
        <v>1.02</v>
      </c>
      <c r="Y1050" s="37" t="str">
        <f>RTD("money.excel",,"2484","Price")</f>
        <v>無資料</v>
      </c>
      <c r="Z1050" s="69"/>
      <c r="AA1050" s="16" t="e">
        <f t="shared" si="315"/>
        <v>#VALUE!</v>
      </c>
      <c r="AB1050" s="3" t="e">
        <f t="shared" si="316"/>
        <v>#VALUE!</v>
      </c>
      <c r="AD1050" s="23" t="s">
        <v>700</v>
      </c>
      <c r="AG1050" s="34">
        <f t="shared" si="317"/>
        <v>0</v>
      </c>
      <c r="AH1050" s="44" t="s">
        <v>2666</v>
      </c>
      <c r="AI1050" s="131"/>
      <c r="AK1050" s="66">
        <f t="shared" si="323"/>
        <v>0</v>
      </c>
      <c r="AL1050" s="174">
        <f t="shared" si="324"/>
        <v>0</v>
      </c>
      <c r="AM1050" s="346">
        <f>RTD("money.excel",,$G1050,"PredictVolume")</f>
        <v>0</v>
      </c>
      <c r="AN1050" s="272">
        <f>RTD("money.excel",,$G1050,"CumulativeVolume")</f>
        <v>0</v>
      </c>
      <c r="AO1050" s="284"/>
    </row>
    <row r="1051" spans="1:41">
      <c r="A1051" s="135" t="s">
        <v>2474</v>
      </c>
      <c r="B1051" s="84">
        <v>43</v>
      </c>
      <c r="C1051" s="84">
        <v>29</v>
      </c>
      <c r="D1051" s="85">
        <v>-16</v>
      </c>
      <c r="E1051" s="85">
        <v>-12</v>
      </c>
      <c r="F1051" s="59">
        <v>22.93</v>
      </c>
      <c r="G1051" s="85">
        <v>2492</v>
      </c>
      <c r="H1051" s="54" t="s">
        <v>559</v>
      </c>
      <c r="I1051" s="23" t="s">
        <v>344</v>
      </c>
      <c r="J1051" s="77">
        <v>56.05</v>
      </c>
      <c r="K1051" s="371">
        <v>22.69</v>
      </c>
      <c r="L1051" s="77">
        <v>11.83</v>
      </c>
      <c r="N1051" s="365">
        <f t="shared" si="322"/>
        <v>90.57</v>
      </c>
      <c r="O1051" s="343">
        <f t="shared" si="313"/>
        <v>56.05</v>
      </c>
      <c r="P1051" s="195">
        <v>60</v>
      </c>
      <c r="Q1051" s="326">
        <v>16</v>
      </c>
      <c r="R1051" s="111">
        <v>4</v>
      </c>
      <c r="S1051" s="51">
        <v>10</v>
      </c>
      <c r="T1051" s="339">
        <f t="shared" si="314"/>
        <v>90</v>
      </c>
      <c r="V1051" s="371">
        <v>2.81</v>
      </c>
      <c r="W1051" s="69">
        <v>6.01</v>
      </c>
      <c r="X1051" s="59">
        <v>17.829999999999998</v>
      </c>
      <c r="Y1051" s="37" t="str">
        <f>RTD("money.excel",,"2492","Price")</f>
        <v>無資料</v>
      </c>
      <c r="Z1051" s="69"/>
      <c r="AA1051" s="16" t="e">
        <f t="shared" si="315"/>
        <v>#VALUE!</v>
      </c>
      <c r="AB1051" s="3" t="e">
        <f t="shared" si="316"/>
        <v>#VALUE!</v>
      </c>
      <c r="AC1051" s="177" t="s">
        <v>2929</v>
      </c>
      <c r="AD1051" s="23" t="s">
        <v>344</v>
      </c>
      <c r="AG1051" s="34">
        <f t="shared" si="317"/>
        <v>0</v>
      </c>
      <c r="AH1051" s="50" t="s">
        <v>4081</v>
      </c>
      <c r="AI1051" s="131"/>
      <c r="AK1051" s="66">
        <f t="shared" si="323"/>
        <v>0</v>
      </c>
      <c r="AL1051" s="174">
        <f t="shared" si="324"/>
        <v>0</v>
      </c>
      <c r="AM1051" s="346">
        <f>RTD("money.excel",,$G1051,"PredictVolume")</f>
        <v>0</v>
      </c>
      <c r="AN1051" s="272">
        <f>RTD("money.excel",,$G1051,"CumulativeVolume")</f>
        <v>0</v>
      </c>
      <c r="AO1051" s="284"/>
    </row>
    <row r="1052" spans="1:41">
      <c r="A1052" s="135" t="s">
        <v>3026</v>
      </c>
      <c r="B1052" s="84">
        <v>42</v>
      </c>
      <c r="C1052" s="84">
        <v>10</v>
      </c>
      <c r="D1052" s="84">
        <v>1</v>
      </c>
      <c r="E1052" s="85">
        <v>-3</v>
      </c>
      <c r="F1052" s="59">
        <v>15.21</v>
      </c>
      <c r="G1052" s="85">
        <v>2493</v>
      </c>
      <c r="H1052" s="4" t="s">
        <v>559</v>
      </c>
      <c r="I1052" s="23" t="s">
        <v>701</v>
      </c>
      <c r="J1052" s="77">
        <v>30.28</v>
      </c>
      <c r="K1052" s="77">
        <v>6.19</v>
      </c>
      <c r="L1052" s="77">
        <v>8.7100000000000009</v>
      </c>
      <c r="N1052" s="365">
        <f t="shared" si="322"/>
        <v>45.18</v>
      </c>
      <c r="O1052" s="343">
        <f t="shared" si="313"/>
        <v>30.28</v>
      </c>
      <c r="P1052" s="195" t="s">
        <v>5554</v>
      </c>
      <c r="Q1052" s="326">
        <f>IFERROR(VLOOKUP($G1052,主力整理!$A$2:$G$2301,6,0),"0")</f>
        <v>2</v>
      </c>
      <c r="T1052" s="339">
        <f t="shared" si="314"/>
        <v>2</v>
      </c>
      <c r="V1052" s="371">
        <v>0.02</v>
      </c>
      <c r="W1052" s="35">
        <v>2.5</v>
      </c>
      <c r="X1052" s="100">
        <v>2.7</v>
      </c>
      <c r="Y1052" s="37" t="str">
        <f>RTD("money.excel",,"2493","Price")</f>
        <v>無資料</v>
      </c>
      <c r="Z1052" s="69"/>
      <c r="AA1052" s="16" t="e">
        <f t="shared" si="315"/>
        <v>#VALUE!</v>
      </c>
      <c r="AB1052" s="3" t="e">
        <f t="shared" si="316"/>
        <v>#VALUE!</v>
      </c>
      <c r="AC1052" s="177" t="s">
        <v>2648</v>
      </c>
      <c r="AD1052" s="23" t="s">
        <v>701</v>
      </c>
      <c r="AG1052" s="34">
        <f t="shared" si="317"/>
        <v>0</v>
      </c>
      <c r="AH1052" s="63" t="s">
        <v>4082</v>
      </c>
      <c r="AI1052" s="131"/>
      <c r="AK1052" s="66">
        <f t="shared" si="323"/>
        <v>0</v>
      </c>
      <c r="AL1052" s="174">
        <f t="shared" si="324"/>
        <v>0</v>
      </c>
      <c r="AM1052" s="346">
        <f>RTD("money.excel",,$G1052,"PredictVolume")</f>
        <v>0</v>
      </c>
      <c r="AN1052" s="272">
        <f>RTD("money.excel",,$G1052,"CumulativeVolume")</f>
        <v>0</v>
      </c>
      <c r="AO1052" s="284"/>
    </row>
    <row r="1053" spans="1:41">
      <c r="A1053" s="135" t="s">
        <v>3200</v>
      </c>
      <c r="B1053" s="85">
        <v>-18</v>
      </c>
      <c r="C1053" s="85">
        <v>-3</v>
      </c>
      <c r="D1053" s="84">
        <v>5</v>
      </c>
      <c r="E1053" s="84">
        <v>9</v>
      </c>
      <c r="F1053" s="59">
        <v>16.420000000000002</v>
      </c>
      <c r="G1053" s="85">
        <v>3003</v>
      </c>
      <c r="H1053" s="4" t="s">
        <v>559</v>
      </c>
      <c r="I1053" s="23" t="s">
        <v>702</v>
      </c>
      <c r="J1053" s="77">
        <v>55.32</v>
      </c>
      <c r="K1053" s="371">
        <v>6.53</v>
      </c>
      <c r="L1053" s="77">
        <v>11.74</v>
      </c>
      <c r="N1053" s="365">
        <f t="shared" si="322"/>
        <v>73.59</v>
      </c>
      <c r="O1053" s="343">
        <f t="shared" si="313"/>
        <v>55.32</v>
      </c>
      <c r="P1053" s="195">
        <v>2</v>
      </c>
      <c r="Q1053" s="326">
        <f>IFERROR(VLOOKUP($G1053,主力整理!$A$2:$G$2301,6,0),"0")</f>
        <v>1</v>
      </c>
      <c r="T1053" s="339">
        <f t="shared" si="314"/>
        <v>3</v>
      </c>
      <c r="V1053" s="371">
        <v>0.15</v>
      </c>
      <c r="W1053" s="35">
        <v>1.2</v>
      </c>
      <c r="X1053" s="100">
        <v>2.3199999999999998</v>
      </c>
      <c r="Y1053" s="37" t="str">
        <f>RTD("money.excel",,"3003","Price")</f>
        <v>無資料</v>
      </c>
      <c r="Z1053" s="69"/>
      <c r="AA1053" s="16" t="e">
        <f t="shared" si="315"/>
        <v>#VALUE!</v>
      </c>
      <c r="AB1053" s="3" t="e">
        <f t="shared" si="316"/>
        <v>#VALUE!</v>
      </c>
      <c r="AC1053" s="177" t="s">
        <v>2648</v>
      </c>
      <c r="AD1053" s="23" t="s">
        <v>702</v>
      </c>
      <c r="AG1053" s="34">
        <f t="shared" si="317"/>
        <v>0</v>
      </c>
      <c r="AH1053" s="63" t="s">
        <v>3506</v>
      </c>
      <c r="AI1053" s="131"/>
      <c r="AK1053" s="66">
        <f t="shared" si="323"/>
        <v>0</v>
      </c>
      <c r="AL1053" s="174">
        <f t="shared" si="324"/>
        <v>0</v>
      </c>
      <c r="AM1053" s="346">
        <f>RTD("money.excel",,$G1053,"PredictVolume")</f>
        <v>0</v>
      </c>
      <c r="AN1053" s="272">
        <f>RTD("money.excel",,$G1053,"CumulativeVolume")</f>
        <v>0</v>
      </c>
      <c r="AO1053" s="284"/>
    </row>
    <row r="1054" spans="1:41">
      <c r="A1054" s="151" t="s">
        <v>4657</v>
      </c>
      <c r="B1054" s="96">
        <v>-2</v>
      </c>
      <c r="C1054" s="96">
        <v>-1</v>
      </c>
      <c r="D1054" s="96">
        <v>-2</v>
      </c>
      <c r="E1054" s="96">
        <v>38</v>
      </c>
      <c r="F1054" s="7">
        <v>-6.53</v>
      </c>
      <c r="G1054" s="85">
        <v>3011</v>
      </c>
      <c r="H1054" s="4" t="s">
        <v>559</v>
      </c>
      <c r="I1054" s="23" t="s">
        <v>703</v>
      </c>
      <c r="J1054" s="77">
        <v>33.5</v>
      </c>
      <c r="K1054" s="77">
        <v>1.25</v>
      </c>
      <c r="L1054" s="77">
        <v>14.82</v>
      </c>
      <c r="N1054" s="365">
        <f t="shared" si="322"/>
        <v>49.57</v>
      </c>
      <c r="O1054" s="343">
        <f t="shared" si="313"/>
        <v>33.5</v>
      </c>
      <c r="P1054" s="195" t="s">
        <v>5554</v>
      </c>
      <c r="Q1054" s="326">
        <f>IFERROR(VLOOKUP($G1054,主力整理!$A$2:$G$2301,6,0),"0")</f>
        <v>5</v>
      </c>
      <c r="T1054" s="339">
        <f t="shared" si="314"/>
        <v>5</v>
      </c>
      <c r="V1054" s="371">
        <v>13.38</v>
      </c>
      <c r="W1054" s="35">
        <v>0</v>
      </c>
      <c r="X1054" s="100">
        <v>-0.8</v>
      </c>
      <c r="Y1054" s="37" t="str">
        <f>RTD("money.excel",,"3011","Price")</f>
        <v>無資料</v>
      </c>
      <c r="Z1054" s="69"/>
      <c r="AA1054" s="16" t="e">
        <f t="shared" si="315"/>
        <v>#VALUE!</v>
      </c>
      <c r="AB1054" s="3" t="e">
        <f t="shared" si="316"/>
        <v>#VALUE!</v>
      </c>
      <c r="AD1054" s="23" t="s">
        <v>703</v>
      </c>
      <c r="AG1054" s="34">
        <f t="shared" si="317"/>
        <v>0</v>
      </c>
      <c r="AH1054" s="44" t="s">
        <v>4077</v>
      </c>
      <c r="AI1054" s="131"/>
      <c r="AK1054" s="66">
        <f t="shared" si="323"/>
        <v>0</v>
      </c>
      <c r="AL1054" s="174">
        <f t="shared" si="324"/>
        <v>0</v>
      </c>
      <c r="AM1054" s="346">
        <f>RTD("money.excel",,$G1054,"PredictVolume")</f>
        <v>0</v>
      </c>
      <c r="AN1054" s="272">
        <f>RTD("money.excel",,$G1054,"CumulativeVolume")</f>
        <v>0</v>
      </c>
      <c r="AO1054" s="284"/>
    </row>
    <row r="1055" spans="1:41">
      <c r="A1055" s="151" t="s">
        <v>3016</v>
      </c>
      <c r="B1055" s="84">
        <v>5</v>
      </c>
      <c r="C1055" s="84">
        <v>70</v>
      </c>
      <c r="D1055" s="84">
        <v>1</v>
      </c>
      <c r="E1055" s="84">
        <v>5</v>
      </c>
      <c r="F1055" s="7">
        <v>4.54</v>
      </c>
      <c r="G1055" s="85">
        <v>3015</v>
      </c>
      <c r="H1055" s="4" t="s">
        <v>559</v>
      </c>
      <c r="I1055" s="23" t="s">
        <v>704</v>
      </c>
      <c r="J1055" s="77">
        <v>54.32</v>
      </c>
      <c r="K1055" s="371">
        <v>12.24</v>
      </c>
      <c r="L1055" s="77">
        <v>5.84</v>
      </c>
      <c r="N1055" s="365">
        <f t="shared" si="322"/>
        <v>72.400000000000006</v>
      </c>
      <c r="O1055" s="343">
        <f t="shared" si="313"/>
        <v>54.32</v>
      </c>
      <c r="P1055" s="195">
        <v>2</v>
      </c>
      <c r="Q1055" s="326" t="str">
        <f>IFERROR(VLOOKUP($G1055,主力整理!$A$2:$G$2301,6,0),"0")</f>
        <v>0</v>
      </c>
      <c r="R1055" s="111">
        <v>2</v>
      </c>
      <c r="S1055" s="51">
        <v>0</v>
      </c>
      <c r="T1055" s="339">
        <f t="shared" si="314"/>
        <v>4</v>
      </c>
      <c r="U1055" s="329" t="s">
        <v>6539</v>
      </c>
      <c r="V1055" s="371">
        <v>0.26</v>
      </c>
      <c r="W1055" s="69">
        <v>3</v>
      </c>
      <c r="X1055" s="59">
        <v>3.68</v>
      </c>
      <c r="Y1055" s="37" t="str">
        <f>RTD("money.excel",,"3015","Price")</f>
        <v>無資料</v>
      </c>
      <c r="Z1055" s="69"/>
      <c r="AA1055" s="16" t="e">
        <f t="shared" si="315"/>
        <v>#VALUE!</v>
      </c>
      <c r="AB1055" s="3" t="e">
        <f t="shared" si="316"/>
        <v>#VALUE!</v>
      </c>
      <c r="AC1055" s="177" t="s">
        <v>2929</v>
      </c>
      <c r="AD1055" s="23" t="s">
        <v>704</v>
      </c>
      <c r="AG1055" s="34">
        <f t="shared" si="317"/>
        <v>0</v>
      </c>
      <c r="AH1055" s="44" t="s">
        <v>3761</v>
      </c>
      <c r="AI1055" s="131"/>
      <c r="AK1055" s="66">
        <f t="shared" si="323"/>
        <v>0</v>
      </c>
      <c r="AL1055" s="174">
        <f t="shared" si="324"/>
        <v>0</v>
      </c>
      <c r="AM1055" s="346">
        <f>RTD("money.excel",,$G1055,"PredictVolume")</f>
        <v>0</v>
      </c>
      <c r="AN1055" s="272">
        <f>RTD("money.excel",,$G1055,"CumulativeVolume")</f>
        <v>0</v>
      </c>
      <c r="AO1055" s="284"/>
    </row>
    <row r="1056" spans="1:41">
      <c r="A1056" s="151" t="s">
        <v>4786</v>
      </c>
      <c r="B1056" s="84">
        <v>15</v>
      </c>
      <c r="C1056" s="84">
        <v>45</v>
      </c>
      <c r="D1056" s="84">
        <v>21</v>
      </c>
      <c r="E1056" s="84">
        <v>24</v>
      </c>
      <c r="F1056" s="7">
        <v>6.35</v>
      </c>
      <c r="G1056" s="85">
        <v>3021</v>
      </c>
      <c r="H1056" s="4" t="s">
        <v>559</v>
      </c>
      <c r="I1056" s="23" t="s">
        <v>705</v>
      </c>
      <c r="J1056" s="77">
        <v>65.12</v>
      </c>
      <c r="K1056" s="77">
        <v>2.92</v>
      </c>
      <c r="L1056" s="371">
        <v>6</v>
      </c>
      <c r="N1056" s="365">
        <f t="shared" si="322"/>
        <v>74.040000000000006</v>
      </c>
      <c r="O1056" s="343">
        <f t="shared" si="313"/>
        <v>65.12</v>
      </c>
      <c r="P1056" s="195">
        <v>0</v>
      </c>
      <c r="Q1056" s="326">
        <f>IFERROR(VLOOKUP($G1056,主力整理!$A$2:$G$2301,6,0),"0")</f>
        <v>1</v>
      </c>
      <c r="R1056" s="111">
        <v>14</v>
      </c>
      <c r="S1056" s="51">
        <v>0</v>
      </c>
      <c r="T1056" s="339">
        <f t="shared" si="314"/>
        <v>15</v>
      </c>
      <c r="V1056" s="371">
        <v>7.0000000000000007E-2</v>
      </c>
      <c r="W1056" s="35">
        <v>0.7</v>
      </c>
      <c r="X1056" s="59">
        <v>1.1100000000000001</v>
      </c>
      <c r="Y1056" s="37" t="str">
        <f>RTD("money.excel",,"3021","Price")</f>
        <v>無資料</v>
      </c>
      <c r="Z1056" s="69"/>
      <c r="AA1056" s="16" t="e">
        <f t="shared" si="315"/>
        <v>#VALUE!</v>
      </c>
      <c r="AB1056" s="3" t="e">
        <f t="shared" si="316"/>
        <v>#VALUE!</v>
      </c>
      <c r="AD1056" s="23" t="s">
        <v>705</v>
      </c>
      <c r="AG1056" s="34">
        <f t="shared" si="317"/>
        <v>0</v>
      </c>
      <c r="AH1056" s="44" t="s">
        <v>3817</v>
      </c>
      <c r="AI1056" s="131"/>
      <c r="AK1056" s="66">
        <f t="shared" si="323"/>
        <v>0</v>
      </c>
      <c r="AL1056" s="174">
        <f t="shared" si="324"/>
        <v>0</v>
      </c>
      <c r="AM1056" s="346">
        <f>RTD("money.excel",,$G1056,"PredictVolume")</f>
        <v>0</v>
      </c>
      <c r="AN1056" s="272">
        <f>RTD("money.excel",,$G1056,"CumulativeVolume")</f>
        <v>0</v>
      </c>
      <c r="AO1056" s="284"/>
    </row>
    <row r="1057" spans="1:41">
      <c r="A1057" s="135" t="s">
        <v>2483</v>
      </c>
      <c r="B1057" s="84">
        <v>30</v>
      </c>
      <c r="C1057" s="84">
        <v>39</v>
      </c>
      <c r="D1057" s="84">
        <v>23</v>
      </c>
      <c r="E1057" s="84">
        <v>31</v>
      </c>
      <c r="F1057" s="59">
        <v>12.15</v>
      </c>
      <c r="G1057" s="85">
        <v>3023</v>
      </c>
      <c r="H1057" s="4" t="s">
        <v>559</v>
      </c>
      <c r="I1057" s="23" t="s">
        <v>490</v>
      </c>
      <c r="J1057" s="77">
        <v>55.59</v>
      </c>
      <c r="K1057" s="371">
        <v>55.25</v>
      </c>
      <c r="L1057" s="371">
        <v>0.77</v>
      </c>
      <c r="N1057" s="365">
        <f t="shared" si="322"/>
        <v>111.61</v>
      </c>
      <c r="O1057" s="343">
        <f t="shared" si="313"/>
        <v>55.59</v>
      </c>
      <c r="P1057" s="195">
        <v>9</v>
      </c>
      <c r="Q1057" s="326" t="str">
        <f>IFERROR(VLOOKUP($G1057,主力整理!$A$2:$G$2301,6,0),"0")</f>
        <v>0</v>
      </c>
      <c r="T1057" s="339">
        <f t="shared" si="314"/>
        <v>9</v>
      </c>
      <c r="V1057" s="371">
        <v>0.01</v>
      </c>
      <c r="W1057" s="69">
        <v>6.3</v>
      </c>
      <c r="X1057" s="59">
        <v>9.08</v>
      </c>
      <c r="Y1057" s="14" t="str">
        <f>RTD("money.excel",,"3023","Price")</f>
        <v>無資料</v>
      </c>
      <c r="Z1057" s="69"/>
      <c r="AA1057" s="16" t="e">
        <f t="shared" si="315"/>
        <v>#VALUE!</v>
      </c>
      <c r="AB1057" s="3" t="e">
        <f t="shared" si="316"/>
        <v>#VALUE!</v>
      </c>
      <c r="AC1057" s="177" t="s">
        <v>2929</v>
      </c>
      <c r="AD1057" s="23" t="s">
        <v>490</v>
      </c>
      <c r="AG1057" s="34">
        <f t="shared" si="317"/>
        <v>0</v>
      </c>
      <c r="AH1057" s="126" t="s">
        <v>3239</v>
      </c>
      <c r="AI1057" s="131"/>
      <c r="AK1057" s="66">
        <f t="shared" si="323"/>
        <v>0</v>
      </c>
      <c r="AL1057" s="174">
        <f t="shared" si="324"/>
        <v>0</v>
      </c>
      <c r="AM1057" s="346">
        <f>RTD("money.excel",,$G1057,"PredictVolume")</f>
        <v>0</v>
      </c>
      <c r="AN1057" s="272">
        <f>RTD("money.excel",,$G1057,"CumulativeVolume")</f>
        <v>0</v>
      </c>
      <c r="AO1057" s="284"/>
    </row>
    <row r="1058" spans="1:41">
      <c r="A1058" s="135" t="s">
        <v>2585</v>
      </c>
      <c r="B1058" s="84">
        <v>55</v>
      </c>
      <c r="C1058" s="84">
        <v>41</v>
      </c>
      <c r="D1058" s="85">
        <v>-14</v>
      </c>
      <c r="E1058" s="85">
        <v>-7</v>
      </c>
      <c r="F1058" s="59">
        <v>13.33</v>
      </c>
      <c r="G1058" s="85">
        <v>3026</v>
      </c>
      <c r="H1058" s="53" t="s">
        <v>559</v>
      </c>
      <c r="I1058" s="23" t="s">
        <v>326</v>
      </c>
      <c r="J1058" s="77">
        <v>34.14</v>
      </c>
      <c r="K1058" s="371">
        <v>12.79</v>
      </c>
      <c r="L1058" s="77">
        <v>8.26</v>
      </c>
      <c r="N1058" s="365">
        <f t="shared" si="322"/>
        <v>55.19</v>
      </c>
      <c r="O1058" s="343">
        <f t="shared" si="313"/>
        <v>34.14</v>
      </c>
      <c r="P1058" s="195">
        <v>7</v>
      </c>
      <c r="Q1058" s="326">
        <v>3</v>
      </c>
      <c r="R1058" s="111">
        <v>2</v>
      </c>
      <c r="S1058" s="51">
        <v>6</v>
      </c>
      <c r="T1058" s="339">
        <f t="shared" si="314"/>
        <v>18</v>
      </c>
      <c r="V1058" s="371">
        <v>1.62</v>
      </c>
      <c r="W1058" s="69">
        <v>8</v>
      </c>
      <c r="X1058" s="100">
        <v>11.96</v>
      </c>
      <c r="Y1058" s="37" t="str">
        <f>RTD("money.excel",,"3026","Price")</f>
        <v>無資料</v>
      </c>
      <c r="Z1058" s="69"/>
      <c r="AA1058" s="16" t="e">
        <f t="shared" si="315"/>
        <v>#VALUE!</v>
      </c>
      <c r="AB1058" s="3" t="e">
        <f t="shared" si="316"/>
        <v>#VALUE!</v>
      </c>
      <c r="AC1058" s="177" t="s">
        <v>2929</v>
      </c>
      <c r="AD1058" s="23" t="s">
        <v>326</v>
      </c>
      <c r="AG1058" s="34">
        <f t="shared" si="317"/>
        <v>0</v>
      </c>
      <c r="AH1058" s="126" t="s">
        <v>2677</v>
      </c>
      <c r="AI1058" s="131"/>
      <c r="AK1058" s="66">
        <f t="shared" si="323"/>
        <v>0</v>
      </c>
      <c r="AL1058" s="174">
        <f t="shared" si="324"/>
        <v>0</v>
      </c>
      <c r="AM1058" s="346">
        <f>RTD("money.excel",,$G1058,"PredictVolume")</f>
        <v>0</v>
      </c>
      <c r="AN1058" s="272">
        <f>RTD("money.excel",,$G1058,"CumulativeVolume")</f>
        <v>0</v>
      </c>
      <c r="AO1058" s="284"/>
    </row>
    <row r="1059" spans="1:41">
      <c r="A1059" s="151" t="s">
        <v>3463</v>
      </c>
      <c r="B1059" s="96">
        <v>72</v>
      </c>
      <c r="C1059" s="96">
        <v>144</v>
      </c>
      <c r="D1059" s="96">
        <v>36</v>
      </c>
      <c r="E1059" s="96">
        <v>78</v>
      </c>
      <c r="F1059" s="7">
        <v>7.03</v>
      </c>
      <c r="G1059" s="85">
        <v>3032</v>
      </c>
      <c r="H1059" s="4" t="s">
        <v>559</v>
      </c>
      <c r="I1059" s="23" t="s">
        <v>706</v>
      </c>
      <c r="J1059" s="77">
        <v>64.33</v>
      </c>
      <c r="K1059" s="77">
        <v>1.66</v>
      </c>
      <c r="L1059" s="77">
        <v>11.86</v>
      </c>
      <c r="N1059" s="365">
        <f t="shared" si="322"/>
        <v>77.849999999999994</v>
      </c>
      <c r="O1059" s="343">
        <f t="shared" si="313"/>
        <v>64.33</v>
      </c>
      <c r="P1059" s="195">
        <v>1</v>
      </c>
      <c r="Q1059" s="326" t="str">
        <f>IFERROR(VLOOKUP($G1059,主力整理!$A$2:$G$2301,6,0),"0")</f>
        <v>0</v>
      </c>
      <c r="T1059" s="339">
        <f t="shared" si="314"/>
        <v>1</v>
      </c>
      <c r="V1059" s="371">
        <v>29.25</v>
      </c>
      <c r="W1059" s="69">
        <v>3.1</v>
      </c>
      <c r="X1059" s="100">
        <v>4.2</v>
      </c>
      <c r="Y1059" s="14" t="str">
        <f>RTD("money.excel",,"3032","Price")</f>
        <v>無資料</v>
      </c>
      <c r="Z1059" s="69"/>
      <c r="AA1059" s="16" t="e">
        <f t="shared" si="315"/>
        <v>#VALUE!</v>
      </c>
      <c r="AB1059" s="3" t="e">
        <f t="shared" si="316"/>
        <v>#VALUE!</v>
      </c>
      <c r="AC1059" s="177" t="s">
        <v>2700</v>
      </c>
      <c r="AD1059" s="23" t="s">
        <v>706</v>
      </c>
      <c r="AG1059" s="34">
        <f t="shared" si="317"/>
        <v>0</v>
      </c>
      <c r="AH1059" s="44" t="s">
        <v>3761</v>
      </c>
      <c r="AI1059" s="131"/>
      <c r="AK1059" s="66">
        <f t="shared" si="323"/>
        <v>0</v>
      </c>
      <c r="AL1059" s="174">
        <f t="shared" si="324"/>
        <v>0</v>
      </c>
      <c r="AM1059" s="346">
        <f>RTD("money.excel",,$G1059,"PredictVolume")</f>
        <v>0</v>
      </c>
      <c r="AN1059" s="272">
        <f>RTD("money.excel",,$G1059,"CumulativeVolume")</f>
        <v>0</v>
      </c>
      <c r="AO1059" s="284"/>
    </row>
    <row r="1060" spans="1:41">
      <c r="A1060" s="151" t="s">
        <v>2486</v>
      </c>
      <c r="B1060" s="84">
        <v>52</v>
      </c>
      <c r="C1060" s="84">
        <v>39</v>
      </c>
      <c r="D1060" s="84">
        <v>1</v>
      </c>
      <c r="E1060" s="85">
        <v>2</v>
      </c>
      <c r="F1060" s="7">
        <v>5.07</v>
      </c>
      <c r="G1060" s="85">
        <v>3037</v>
      </c>
      <c r="H1060" s="4" t="s">
        <v>559</v>
      </c>
      <c r="I1060" s="23" t="s">
        <v>102</v>
      </c>
      <c r="J1060" s="77">
        <v>73.73</v>
      </c>
      <c r="K1060" s="77">
        <v>53.09</v>
      </c>
      <c r="L1060" s="77">
        <v>8.09</v>
      </c>
      <c r="N1060" s="365">
        <f t="shared" si="322"/>
        <v>134.91</v>
      </c>
      <c r="O1060" s="343">
        <f t="shared" si="313"/>
        <v>73.73</v>
      </c>
      <c r="P1060" s="195">
        <v>23</v>
      </c>
      <c r="Q1060" s="326">
        <f>IFERROR(VLOOKUP($G1060,主力整理!$A$2:$G$2301,6,0),"0")</f>
        <v>2</v>
      </c>
      <c r="R1060" s="111">
        <v>4</v>
      </c>
      <c r="T1060" s="339">
        <f t="shared" si="314"/>
        <v>29</v>
      </c>
      <c r="V1060" s="371">
        <v>2.62</v>
      </c>
      <c r="W1060" s="35">
        <v>1.4</v>
      </c>
      <c r="X1060" s="100">
        <v>3.75</v>
      </c>
      <c r="Y1060" s="14" t="str">
        <f>RTD("money.excel",,"3037","Price")</f>
        <v>無資料</v>
      </c>
      <c r="Z1060" s="69"/>
      <c r="AA1060" s="16" t="e">
        <f t="shared" si="315"/>
        <v>#VALUE!</v>
      </c>
      <c r="AB1060" s="3" t="e">
        <f t="shared" si="316"/>
        <v>#VALUE!</v>
      </c>
      <c r="AC1060" s="177" t="s">
        <v>2648</v>
      </c>
      <c r="AD1060" s="23" t="s">
        <v>102</v>
      </c>
      <c r="AG1060" s="34">
        <f t="shared" si="317"/>
        <v>0</v>
      </c>
      <c r="AH1060" s="125" t="s">
        <v>3677</v>
      </c>
      <c r="AI1060" s="131"/>
      <c r="AK1060" s="66">
        <f t="shared" si="323"/>
        <v>0</v>
      </c>
      <c r="AL1060" s="174">
        <f t="shared" si="324"/>
        <v>0</v>
      </c>
      <c r="AM1060" s="346">
        <f>RTD("money.excel",,$G1060,"PredictVolume")</f>
        <v>0</v>
      </c>
      <c r="AN1060" s="272">
        <f>RTD("money.excel",,$G1060,"CumulativeVolume")</f>
        <v>0</v>
      </c>
      <c r="AO1060" s="284"/>
    </row>
    <row r="1061" spans="1:41">
      <c r="A1061" s="135" t="s">
        <v>2449</v>
      </c>
      <c r="B1061" s="84">
        <v>147</v>
      </c>
      <c r="C1061" s="84">
        <v>176</v>
      </c>
      <c r="D1061" s="84">
        <v>6</v>
      </c>
      <c r="E1061" s="84">
        <v>22</v>
      </c>
      <c r="F1061" s="59">
        <v>22.88</v>
      </c>
      <c r="G1061" s="85">
        <v>3042</v>
      </c>
      <c r="H1061" s="4" t="s">
        <v>559</v>
      </c>
      <c r="I1061" s="23" t="s">
        <v>231</v>
      </c>
      <c r="J1061" s="371">
        <v>40.97</v>
      </c>
      <c r="K1061" s="371">
        <v>22.27</v>
      </c>
      <c r="L1061" s="371">
        <v>17.059999999999999</v>
      </c>
      <c r="N1061" s="365">
        <f t="shared" si="322"/>
        <v>80.3</v>
      </c>
      <c r="O1061" s="343">
        <f t="shared" si="313"/>
        <v>40.97</v>
      </c>
      <c r="P1061" s="195">
        <v>20</v>
      </c>
      <c r="Q1061" s="326">
        <v>6</v>
      </c>
      <c r="R1061" s="111">
        <v>2</v>
      </c>
      <c r="S1061" s="51">
        <v>11</v>
      </c>
      <c r="T1061" s="339">
        <f t="shared" si="314"/>
        <v>39</v>
      </c>
      <c r="V1061" s="371">
        <v>2.57</v>
      </c>
      <c r="W1061" s="69">
        <v>3.8</v>
      </c>
      <c r="X1061" s="100">
        <v>7.6</v>
      </c>
      <c r="Y1061" s="37" t="str">
        <f>RTD("money.excel",,"3042","Price")</f>
        <v>無資料</v>
      </c>
      <c r="Z1061" s="69"/>
      <c r="AA1061" s="16" t="e">
        <f t="shared" si="315"/>
        <v>#VALUE!</v>
      </c>
      <c r="AB1061" s="3" t="e">
        <f t="shared" si="316"/>
        <v>#VALUE!</v>
      </c>
      <c r="AC1061" s="177" t="s">
        <v>2929</v>
      </c>
      <c r="AD1061" s="23" t="s">
        <v>231</v>
      </c>
      <c r="AG1061" s="34">
        <f t="shared" si="317"/>
        <v>0</v>
      </c>
      <c r="AH1061" s="126" t="s">
        <v>2666</v>
      </c>
      <c r="AI1061" s="131"/>
      <c r="AK1061" s="66">
        <f t="shared" si="323"/>
        <v>0</v>
      </c>
      <c r="AL1061" s="174">
        <f t="shared" si="324"/>
        <v>0</v>
      </c>
      <c r="AM1061" s="346">
        <f>RTD("money.excel",,$G1061,"PredictVolume")</f>
        <v>0</v>
      </c>
      <c r="AN1061" s="272">
        <f>RTD("money.excel",,$G1061,"CumulativeVolume")</f>
        <v>0</v>
      </c>
      <c r="AO1061" s="284"/>
    </row>
    <row r="1062" spans="1:41">
      <c r="A1062" s="135" t="s">
        <v>2487</v>
      </c>
      <c r="B1062" s="84">
        <v>0</v>
      </c>
      <c r="C1062" s="84">
        <v>5</v>
      </c>
      <c r="D1062" s="84">
        <v>4</v>
      </c>
      <c r="E1062" s="84">
        <v>13</v>
      </c>
      <c r="F1062" s="59">
        <v>10.47</v>
      </c>
      <c r="G1062" s="85">
        <v>3044</v>
      </c>
      <c r="H1062" s="4" t="s">
        <v>559</v>
      </c>
      <c r="I1062" s="23" t="s">
        <v>87</v>
      </c>
      <c r="J1062" s="77">
        <v>76.78</v>
      </c>
      <c r="K1062" s="77">
        <v>49.53</v>
      </c>
      <c r="L1062" s="371">
        <v>1.03</v>
      </c>
      <c r="N1062" s="365">
        <f t="shared" si="322"/>
        <v>127.34</v>
      </c>
      <c r="O1062" s="343">
        <f t="shared" si="313"/>
        <v>76.78</v>
      </c>
      <c r="P1062" s="195">
        <v>26</v>
      </c>
      <c r="Q1062" s="326">
        <v>11</v>
      </c>
      <c r="R1062" s="111">
        <v>0</v>
      </c>
      <c r="S1062" s="51">
        <v>2</v>
      </c>
      <c r="T1062" s="339">
        <f t="shared" si="314"/>
        <v>39</v>
      </c>
      <c r="U1062" s="329" t="s">
        <v>6541</v>
      </c>
      <c r="V1062" s="371">
        <v>0.97</v>
      </c>
      <c r="W1062" s="69">
        <v>7.35</v>
      </c>
      <c r="X1062" s="59">
        <v>11.73</v>
      </c>
      <c r="Y1062" s="14" t="str">
        <f>RTD("money.excel",,"3044","Price")</f>
        <v>無資料</v>
      </c>
      <c r="Z1062" s="69"/>
      <c r="AA1062" s="16" t="e">
        <f t="shared" si="315"/>
        <v>#VALUE!</v>
      </c>
      <c r="AB1062" s="3" t="e">
        <f t="shared" si="316"/>
        <v>#VALUE!</v>
      </c>
      <c r="AC1062" s="177" t="s">
        <v>2929</v>
      </c>
      <c r="AD1062" s="23" t="s">
        <v>87</v>
      </c>
      <c r="AG1062" s="34">
        <f t="shared" si="317"/>
        <v>0</v>
      </c>
      <c r="AH1062" s="126" t="s">
        <v>1685</v>
      </c>
      <c r="AI1062" s="131"/>
      <c r="AK1062" s="66">
        <f t="shared" si="323"/>
        <v>0</v>
      </c>
      <c r="AL1062" s="174">
        <f t="shared" si="324"/>
        <v>0</v>
      </c>
      <c r="AM1062" s="346">
        <f>RTD("money.excel",,$G1062,"PredictVolume")</f>
        <v>0</v>
      </c>
      <c r="AN1062" s="272">
        <f>RTD("money.excel",,$G1062,"CumulativeVolume")</f>
        <v>0</v>
      </c>
      <c r="AO1062" s="284"/>
    </row>
    <row r="1063" spans="1:41">
      <c r="A1063" s="151" t="s">
        <v>6644</v>
      </c>
      <c r="B1063" s="85">
        <v>-234</v>
      </c>
      <c r="C1063" s="85">
        <v>-171</v>
      </c>
      <c r="D1063" s="85">
        <v>-1</v>
      </c>
      <c r="E1063" s="84">
        <v>9</v>
      </c>
      <c r="F1063" s="7">
        <v>-6.52</v>
      </c>
      <c r="G1063" s="85">
        <v>3058</v>
      </c>
      <c r="H1063" s="4" t="s">
        <v>559</v>
      </c>
      <c r="I1063" s="23" t="s">
        <v>707</v>
      </c>
      <c r="J1063" s="371">
        <v>23</v>
      </c>
      <c r="K1063" s="77">
        <v>1.91</v>
      </c>
      <c r="L1063" s="371">
        <v>0</v>
      </c>
      <c r="M1063" s="77">
        <v>8.17</v>
      </c>
      <c r="N1063" s="365">
        <f t="shared" si="322"/>
        <v>33.08</v>
      </c>
      <c r="O1063" s="343">
        <f t="shared" si="313"/>
        <v>31.17</v>
      </c>
      <c r="P1063" s="195">
        <v>0</v>
      </c>
      <c r="Q1063" s="326">
        <v>14</v>
      </c>
      <c r="R1063" s="111">
        <v>5</v>
      </c>
      <c r="S1063" s="51">
        <v>4</v>
      </c>
      <c r="T1063" s="339">
        <f t="shared" si="314"/>
        <v>23</v>
      </c>
      <c r="U1063" s="329" t="s">
        <v>6539</v>
      </c>
      <c r="V1063" s="371">
        <v>2.15</v>
      </c>
      <c r="W1063" s="35">
        <v>0.15</v>
      </c>
      <c r="X1063" s="100">
        <v>-1.85</v>
      </c>
      <c r="Y1063" s="37" t="str">
        <f>RTD("money.excel",,"3058","Price")</f>
        <v>無資料</v>
      </c>
      <c r="Z1063" s="69"/>
      <c r="AA1063" s="16" t="e">
        <f t="shared" si="315"/>
        <v>#VALUE!</v>
      </c>
      <c r="AB1063" s="3" t="e">
        <f t="shared" si="316"/>
        <v>#VALUE!</v>
      </c>
      <c r="AD1063" s="23" t="s">
        <v>707</v>
      </c>
      <c r="AG1063" s="34">
        <f t="shared" si="317"/>
        <v>0</v>
      </c>
      <c r="AH1063" s="44" t="s">
        <v>3675</v>
      </c>
      <c r="AI1063" s="131"/>
      <c r="AK1063" s="66">
        <f t="shared" si="323"/>
        <v>0</v>
      </c>
      <c r="AL1063" s="174">
        <f t="shared" si="324"/>
        <v>0</v>
      </c>
      <c r="AM1063" s="346">
        <f>RTD("money.excel",,$G1063,"PredictVolume")</f>
        <v>0</v>
      </c>
      <c r="AN1063" s="272">
        <f>RTD("money.excel",,$G1063,"CumulativeVolume")</f>
        <v>0</v>
      </c>
      <c r="AO1063" s="284"/>
    </row>
    <row r="1064" spans="1:41">
      <c r="A1064" s="135" t="s">
        <v>2914</v>
      </c>
      <c r="B1064" s="84">
        <v>14</v>
      </c>
      <c r="C1064" s="84">
        <v>17</v>
      </c>
      <c r="D1064" s="85">
        <v>-5</v>
      </c>
      <c r="E1064" s="85">
        <v>-19</v>
      </c>
      <c r="F1064" s="59">
        <v>12.68</v>
      </c>
      <c r="G1064" s="85">
        <v>3078</v>
      </c>
      <c r="H1064" s="4" t="s">
        <v>559</v>
      </c>
      <c r="I1064" s="17" t="s">
        <v>303</v>
      </c>
      <c r="J1064" s="371">
        <v>37.979999999999997</v>
      </c>
      <c r="K1064" s="371">
        <v>2.66</v>
      </c>
      <c r="L1064" s="371">
        <v>10.7</v>
      </c>
      <c r="N1064" s="365">
        <f t="shared" si="322"/>
        <v>51.34</v>
      </c>
      <c r="O1064" s="343">
        <f t="shared" si="313"/>
        <v>37.979999999999997</v>
      </c>
      <c r="P1064" s="195">
        <v>3</v>
      </c>
      <c r="Q1064" s="326">
        <v>1</v>
      </c>
      <c r="R1064" s="111">
        <v>3</v>
      </c>
      <c r="S1064" s="51">
        <v>3</v>
      </c>
      <c r="T1064" s="339">
        <f t="shared" si="314"/>
        <v>10</v>
      </c>
      <c r="U1064" s="329" t="s">
        <v>6538</v>
      </c>
      <c r="V1064" s="371">
        <v>3.32</v>
      </c>
      <c r="W1064" s="69">
        <v>3.15</v>
      </c>
      <c r="X1064" s="100">
        <v>4.9800000000000004</v>
      </c>
      <c r="Y1064" s="37" t="str">
        <f>RTD("money.excel",,"3078","Price")</f>
        <v>無資料</v>
      </c>
      <c r="Z1064" s="69"/>
      <c r="AA1064" s="16" t="e">
        <f t="shared" si="315"/>
        <v>#VALUE!</v>
      </c>
      <c r="AB1064" s="3" t="e">
        <f t="shared" si="316"/>
        <v>#VALUE!</v>
      </c>
      <c r="AC1064" s="177" t="s">
        <v>2929</v>
      </c>
      <c r="AD1064" s="17" t="s">
        <v>303</v>
      </c>
      <c r="AG1064" s="34">
        <f t="shared" si="317"/>
        <v>0</v>
      </c>
      <c r="AH1064" s="126" t="s">
        <v>3761</v>
      </c>
      <c r="AI1064" s="131"/>
      <c r="AK1064" s="66">
        <f t="shared" si="323"/>
        <v>0</v>
      </c>
      <c r="AL1064" s="174">
        <f t="shared" si="324"/>
        <v>0</v>
      </c>
      <c r="AM1064" s="346">
        <f>RTD("money.excel",,$G1064,"PredictVolume")</f>
        <v>0</v>
      </c>
      <c r="AN1064" s="272">
        <f>RTD("money.excel",,$G1064,"CumulativeVolume")</f>
        <v>0</v>
      </c>
      <c r="AO1064" s="284"/>
    </row>
    <row r="1065" spans="1:41">
      <c r="A1065" s="151" t="s">
        <v>2590</v>
      </c>
      <c r="B1065" s="85">
        <v>-13</v>
      </c>
      <c r="C1065" s="85">
        <v>-10</v>
      </c>
      <c r="D1065" s="85">
        <v>-4</v>
      </c>
      <c r="E1065" s="84">
        <v>6</v>
      </c>
      <c r="F1065" s="7">
        <v>8.83</v>
      </c>
      <c r="G1065" s="85">
        <v>3090</v>
      </c>
      <c r="H1065" s="4" t="s">
        <v>559</v>
      </c>
      <c r="I1065" s="23" t="s">
        <v>530</v>
      </c>
      <c r="J1065" s="371">
        <v>26.31</v>
      </c>
      <c r="K1065" s="77">
        <v>9.52</v>
      </c>
      <c r="L1065" s="77">
        <v>8.68</v>
      </c>
      <c r="N1065" s="365">
        <f t="shared" si="322"/>
        <v>44.51</v>
      </c>
      <c r="O1065" s="343">
        <f t="shared" si="313"/>
        <v>26.31</v>
      </c>
      <c r="P1065" s="195">
        <v>4</v>
      </c>
      <c r="Q1065" s="326" t="str">
        <f>IFERROR(VLOOKUP($G1065,主力整理!$A$2:$G$2301,6,0),"0")</f>
        <v>0</v>
      </c>
      <c r="T1065" s="339">
        <f t="shared" si="314"/>
        <v>4</v>
      </c>
      <c r="V1065" s="371">
        <v>7.0000000000000007E-2</v>
      </c>
      <c r="W1065" s="69">
        <v>3.1</v>
      </c>
      <c r="X1065" s="100">
        <v>3.36</v>
      </c>
      <c r="Y1065" s="37" t="str">
        <f>RTD("money.excel",,"3090","Price")</f>
        <v>無資料</v>
      </c>
      <c r="Z1065" s="69"/>
      <c r="AA1065" s="16" t="e">
        <f t="shared" si="315"/>
        <v>#VALUE!</v>
      </c>
      <c r="AB1065" s="3" t="e">
        <f t="shared" si="316"/>
        <v>#VALUE!</v>
      </c>
      <c r="AC1065" s="177" t="s">
        <v>2929</v>
      </c>
      <c r="AD1065" s="23" t="s">
        <v>530</v>
      </c>
      <c r="AG1065" s="34">
        <f t="shared" si="317"/>
        <v>0</v>
      </c>
      <c r="AH1065" s="44" t="s">
        <v>2782</v>
      </c>
      <c r="AI1065" s="131"/>
      <c r="AK1065" s="66">
        <f t="shared" si="323"/>
        <v>0</v>
      </c>
      <c r="AL1065" s="174">
        <f t="shared" si="324"/>
        <v>0</v>
      </c>
      <c r="AM1065" s="346">
        <f>RTD("money.excel",,$G1065,"PredictVolume")</f>
        <v>0</v>
      </c>
      <c r="AN1065" s="272">
        <f>RTD("money.excel",,$G1065,"CumulativeVolume")</f>
        <v>0</v>
      </c>
      <c r="AO1065" s="284"/>
    </row>
    <row r="1066" spans="1:41">
      <c r="A1066" s="151" t="s">
        <v>6378</v>
      </c>
      <c r="B1066" s="85">
        <v>-96</v>
      </c>
      <c r="C1066" s="85">
        <v>-85</v>
      </c>
      <c r="D1066" s="84">
        <v>0</v>
      </c>
      <c r="E1066" s="84">
        <v>36</v>
      </c>
      <c r="F1066" s="7">
        <v>1.17</v>
      </c>
      <c r="G1066" s="85">
        <v>3092</v>
      </c>
      <c r="H1066" s="4" t="s">
        <v>559</v>
      </c>
      <c r="I1066" s="23" t="s">
        <v>424</v>
      </c>
      <c r="J1066" s="77">
        <v>32.520000000000003</v>
      </c>
      <c r="K1066" s="371">
        <v>1.07</v>
      </c>
      <c r="L1066" s="77">
        <v>34.61</v>
      </c>
      <c r="M1066" s="371">
        <v>8.6300000000000008</v>
      </c>
      <c r="N1066" s="365">
        <f t="shared" si="322"/>
        <v>76.83</v>
      </c>
      <c r="O1066" s="343">
        <f t="shared" si="313"/>
        <v>41.150000000000006</v>
      </c>
      <c r="P1066" s="195">
        <v>3</v>
      </c>
      <c r="Q1066" s="326">
        <v>17</v>
      </c>
      <c r="R1066" s="111">
        <v>36</v>
      </c>
      <c r="S1066" s="51">
        <v>33</v>
      </c>
      <c r="T1066" s="339">
        <f t="shared" si="314"/>
        <v>89</v>
      </c>
      <c r="U1066" s="329" t="s">
        <v>6538</v>
      </c>
      <c r="V1066" s="371">
        <v>3.5</v>
      </c>
      <c r="W1066" s="35">
        <v>1.38</v>
      </c>
      <c r="X1066" s="100">
        <v>-7.0000000000000007E-2</v>
      </c>
      <c r="Y1066" s="37" t="str">
        <f>RTD("money.excel",,"3092","Price")</f>
        <v>無資料</v>
      </c>
      <c r="Z1066" s="69"/>
      <c r="AA1066" s="16" t="e">
        <f t="shared" si="315"/>
        <v>#VALUE!</v>
      </c>
      <c r="AB1066" s="3" t="e">
        <f t="shared" si="316"/>
        <v>#VALUE!</v>
      </c>
      <c r="AC1066" s="177" t="s">
        <v>2648</v>
      </c>
      <c r="AD1066" s="23" t="s">
        <v>424</v>
      </c>
      <c r="AG1066" s="34">
        <f t="shared" si="317"/>
        <v>0</v>
      </c>
      <c r="AH1066" s="125" t="s">
        <v>3804</v>
      </c>
      <c r="AI1066" s="131"/>
      <c r="AK1066" s="66">
        <f t="shared" si="323"/>
        <v>0</v>
      </c>
      <c r="AL1066" s="174">
        <f t="shared" si="324"/>
        <v>0</v>
      </c>
      <c r="AM1066" s="346">
        <f>RTD("money.excel",,$G1066,"PredictVolume")</f>
        <v>0</v>
      </c>
      <c r="AN1066" s="272">
        <f>RTD("money.excel",,$G1066,"CumulativeVolume")</f>
        <v>0</v>
      </c>
      <c r="AO1066" s="284"/>
    </row>
    <row r="1067" spans="1:41">
      <c r="A1067" s="151" t="s">
        <v>3318</v>
      </c>
      <c r="B1067" s="84">
        <v>50</v>
      </c>
      <c r="C1067" s="84">
        <v>51</v>
      </c>
      <c r="D1067" s="84">
        <v>12</v>
      </c>
      <c r="E1067" s="84">
        <v>30</v>
      </c>
      <c r="F1067" s="7">
        <v>4.9400000000000004</v>
      </c>
      <c r="G1067" s="85">
        <v>3114</v>
      </c>
      <c r="H1067" s="4" t="s">
        <v>559</v>
      </c>
      <c r="I1067" s="17" t="s">
        <v>730</v>
      </c>
      <c r="J1067" s="371">
        <v>43.45</v>
      </c>
      <c r="K1067" s="77">
        <v>1.17</v>
      </c>
      <c r="L1067" s="371">
        <v>15.26</v>
      </c>
      <c r="M1067" s="371">
        <v>19.95</v>
      </c>
      <c r="N1067" s="365">
        <f t="shared" si="322"/>
        <v>79.83</v>
      </c>
      <c r="O1067" s="343">
        <f t="shared" si="313"/>
        <v>63.400000000000006</v>
      </c>
      <c r="P1067" s="195">
        <v>0</v>
      </c>
      <c r="Q1067" s="326">
        <v>12</v>
      </c>
      <c r="R1067" s="111">
        <v>17</v>
      </c>
      <c r="S1067" s="51">
        <v>16</v>
      </c>
      <c r="T1067" s="339">
        <f t="shared" si="314"/>
        <v>45</v>
      </c>
      <c r="U1067" s="329" t="s">
        <v>6538</v>
      </c>
      <c r="V1067" s="371">
        <v>0.88</v>
      </c>
      <c r="W1067" s="35">
        <v>1.2</v>
      </c>
      <c r="X1067" s="100">
        <v>2.4</v>
      </c>
      <c r="Y1067" s="37" t="str">
        <f>RTD("money.excel",,"3114","Price")</f>
        <v>無資料</v>
      </c>
      <c r="Z1067" s="69"/>
      <c r="AA1067" s="16" t="e">
        <f t="shared" si="315"/>
        <v>#VALUE!</v>
      </c>
      <c r="AB1067" s="3" t="e">
        <f t="shared" si="316"/>
        <v>#VALUE!</v>
      </c>
      <c r="AD1067" s="17" t="s">
        <v>730</v>
      </c>
      <c r="AG1067" s="34">
        <f t="shared" si="317"/>
        <v>0</v>
      </c>
      <c r="AH1067" s="44" t="s">
        <v>3762</v>
      </c>
      <c r="AI1067" s="131"/>
      <c r="AK1067" s="66">
        <f t="shared" si="323"/>
        <v>0</v>
      </c>
      <c r="AL1067" s="174">
        <f t="shared" si="324"/>
        <v>0</v>
      </c>
      <c r="AM1067" s="346">
        <f>RTD("money.excel",,$G1067,"PredictVolume")</f>
        <v>0</v>
      </c>
      <c r="AN1067" s="272">
        <f>RTD("money.excel",,$G1067,"CumulativeVolume")</f>
        <v>0</v>
      </c>
      <c r="AO1067" s="284"/>
    </row>
    <row r="1068" spans="1:41">
      <c r="A1068" s="151" t="s">
        <v>4608</v>
      </c>
      <c r="B1068" s="96">
        <v>66</v>
      </c>
      <c r="C1068" s="96">
        <v>53</v>
      </c>
      <c r="D1068" s="96">
        <v>25</v>
      </c>
      <c r="E1068" s="96">
        <v>-35</v>
      </c>
      <c r="F1068" s="7">
        <v>-5.37</v>
      </c>
      <c r="G1068" s="85">
        <v>3115</v>
      </c>
      <c r="H1068" s="4" t="s">
        <v>559</v>
      </c>
      <c r="I1068" s="17" t="s">
        <v>731</v>
      </c>
      <c r="J1068" s="77">
        <v>71.97</v>
      </c>
      <c r="K1068" s="77">
        <v>3.35</v>
      </c>
      <c r="N1068" s="365">
        <f t="shared" si="322"/>
        <v>75.319999999999993</v>
      </c>
      <c r="O1068" s="343">
        <f t="shared" si="313"/>
        <v>71.97</v>
      </c>
      <c r="P1068" s="195" t="s">
        <v>5554</v>
      </c>
      <c r="Q1068" s="326" t="str">
        <f>IFERROR(VLOOKUP($G1068,主力整理!$A$2:$G$2301,6,0),"0")</f>
        <v>0</v>
      </c>
      <c r="R1068" s="111">
        <v>17</v>
      </c>
      <c r="T1068" s="339">
        <f t="shared" si="314"/>
        <v>17</v>
      </c>
      <c r="V1068" s="371">
        <v>27.45</v>
      </c>
      <c r="W1068" s="35">
        <v>0</v>
      </c>
      <c r="X1068" s="100">
        <v>-1.01</v>
      </c>
      <c r="Y1068" s="14" t="str">
        <f>RTD("money.excel",,"3115","Price")</f>
        <v>無資料</v>
      </c>
      <c r="Z1068" s="69"/>
      <c r="AA1068" s="16" t="e">
        <f t="shared" si="315"/>
        <v>#VALUE!</v>
      </c>
      <c r="AB1068" s="3" t="e">
        <f t="shared" si="316"/>
        <v>#VALUE!</v>
      </c>
      <c r="AD1068" s="17" t="s">
        <v>731</v>
      </c>
      <c r="AG1068" s="34">
        <f t="shared" si="317"/>
        <v>0</v>
      </c>
      <c r="AH1068" s="44" t="s">
        <v>3763</v>
      </c>
      <c r="AI1068" s="131"/>
      <c r="AK1068" s="66">
        <f t="shared" si="323"/>
        <v>0</v>
      </c>
      <c r="AL1068" s="174">
        <f t="shared" si="324"/>
        <v>0</v>
      </c>
      <c r="AM1068" s="346">
        <f>RTD("money.excel",,$G1068,"PredictVolume")</f>
        <v>0</v>
      </c>
      <c r="AN1068" s="272">
        <f>RTD("money.excel",,$G1068,"CumulativeVolume")</f>
        <v>0</v>
      </c>
      <c r="AO1068" s="284"/>
    </row>
    <row r="1069" spans="1:41">
      <c r="A1069" s="151" t="s">
        <v>3161</v>
      </c>
      <c r="B1069" s="85">
        <v>-15</v>
      </c>
      <c r="C1069" s="85">
        <v>-9</v>
      </c>
      <c r="D1069" s="85">
        <v>-6</v>
      </c>
      <c r="E1069" s="85">
        <v>8</v>
      </c>
      <c r="F1069" s="7">
        <v>7.52</v>
      </c>
      <c r="G1069" s="85">
        <v>3144</v>
      </c>
      <c r="H1069" s="4" t="s">
        <v>559</v>
      </c>
      <c r="I1069" s="17" t="s">
        <v>732</v>
      </c>
      <c r="J1069" s="371">
        <v>59.49</v>
      </c>
      <c r="K1069" s="371">
        <v>52.94</v>
      </c>
      <c r="L1069" s="371">
        <v>14.09</v>
      </c>
      <c r="N1069" s="365">
        <f t="shared" si="322"/>
        <v>126.52000000000001</v>
      </c>
      <c r="O1069" s="343">
        <f t="shared" si="313"/>
        <v>59.49</v>
      </c>
      <c r="P1069" s="195" t="s">
        <v>5554</v>
      </c>
      <c r="Q1069" s="326" t="str">
        <f>IFERROR(VLOOKUP($G1069,主力整理!$A$2:$G$2301,6,0),"0")</f>
        <v>0</v>
      </c>
      <c r="R1069" s="111">
        <v>5</v>
      </c>
      <c r="T1069" s="339">
        <f t="shared" si="314"/>
        <v>5</v>
      </c>
      <c r="V1069" s="371">
        <v>53.28</v>
      </c>
      <c r="W1069" s="35">
        <v>1.6</v>
      </c>
      <c r="X1069" s="100">
        <v>2.52</v>
      </c>
      <c r="Y1069" s="37" t="str">
        <f>RTD("money.excel",,"3144","Price")</f>
        <v>商品錯誤</v>
      </c>
      <c r="Z1069" s="69"/>
      <c r="AA1069" s="16" t="e">
        <f t="shared" si="315"/>
        <v>#VALUE!</v>
      </c>
      <c r="AB1069" s="3" t="e">
        <f t="shared" si="316"/>
        <v>#VALUE!</v>
      </c>
      <c r="AC1069" s="177" t="s">
        <v>2648</v>
      </c>
      <c r="AD1069" s="17" t="s">
        <v>732</v>
      </c>
      <c r="AG1069" s="34">
        <f t="shared" si="317"/>
        <v>0</v>
      </c>
      <c r="AH1069" s="44" t="s">
        <v>3764</v>
      </c>
      <c r="AI1069" s="131"/>
      <c r="AK1069" s="66" t="e">
        <f t="shared" si="323"/>
        <v>#VALUE!</v>
      </c>
      <c r="AL1069" s="174" t="e">
        <f t="shared" si="324"/>
        <v>#VALUE!</v>
      </c>
      <c r="AM1069" s="346" t="str">
        <f>RTD("money.excel",,$G1069,"PredictVolume")</f>
        <v>商品錯誤</v>
      </c>
      <c r="AN1069" s="272" t="str">
        <f>RTD("money.excel",,$G1069,"CumulativeVolume")</f>
        <v>商品錯誤</v>
      </c>
      <c r="AO1069" s="284"/>
    </row>
    <row r="1070" spans="1:41">
      <c r="A1070" s="151" t="s">
        <v>3448</v>
      </c>
      <c r="B1070" s="85">
        <v>-508</v>
      </c>
      <c r="C1070" s="84">
        <v>55</v>
      </c>
      <c r="D1070" s="85">
        <v>-58</v>
      </c>
      <c r="E1070" s="84">
        <v>247</v>
      </c>
      <c r="F1070" s="7">
        <v>-35.1</v>
      </c>
      <c r="G1070" s="85">
        <v>3191</v>
      </c>
      <c r="H1070" s="4" t="s">
        <v>559</v>
      </c>
      <c r="I1070" s="17" t="s">
        <v>733</v>
      </c>
      <c r="J1070" s="371">
        <v>16.21</v>
      </c>
      <c r="K1070" s="77">
        <v>1.4</v>
      </c>
      <c r="N1070" s="365">
        <f t="shared" si="322"/>
        <v>17.61</v>
      </c>
      <c r="O1070" s="343">
        <f t="shared" si="313"/>
        <v>16.21</v>
      </c>
      <c r="P1070" s="195" t="s">
        <v>5554</v>
      </c>
      <c r="Q1070" s="326" t="str">
        <f>IFERROR(VLOOKUP($G1070,主力整理!$A$2:$G$2301,6,0),"0")</f>
        <v>0</v>
      </c>
      <c r="R1070" s="111">
        <v>9</v>
      </c>
      <c r="T1070" s="339">
        <f t="shared" si="314"/>
        <v>9</v>
      </c>
      <c r="W1070" s="35">
        <v>0</v>
      </c>
      <c r="X1070" s="100">
        <v>-3.12</v>
      </c>
      <c r="Y1070" s="14" t="str">
        <f>RTD("money.excel",,"3191","Price")</f>
        <v>無資料</v>
      </c>
      <c r="Z1070" s="69"/>
      <c r="AA1070" s="16" t="e">
        <f t="shared" si="315"/>
        <v>#VALUE!</v>
      </c>
      <c r="AB1070" s="3" t="e">
        <f t="shared" si="316"/>
        <v>#VALUE!</v>
      </c>
      <c r="AD1070" s="17" t="s">
        <v>733</v>
      </c>
      <c r="AG1070" s="34">
        <f t="shared" si="317"/>
        <v>0</v>
      </c>
      <c r="AH1070" s="44" t="s">
        <v>3765</v>
      </c>
      <c r="AI1070" s="131"/>
      <c r="AK1070" s="66">
        <f t="shared" si="323"/>
        <v>0</v>
      </c>
      <c r="AL1070" s="174">
        <f t="shared" si="324"/>
        <v>0</v>
      </c>
      <c r="AM1070" s="346">
        <f>RTD("money.excel",,$G1070,"PredictVolume")</f>
        <v>0</v>
      </c>
      <c r="AN1070" s="272">
        <f>RTD("money.excel",,$G1070,"CumulativeVolume")</f>
        <v>0</v>
      </c>
      <c r="AO1070" s="284"/>
    </row>
    <row r="1071" spans="1:41">
      <c r="A1071" s="151" t="s">
        <v>2764</v>
      </c>
      <c r="B1071" s="84">
        <v>56</v>
      </c>
      <c r="C1071" s="84">
        <v>196</v>
      </c>
      <c r="D1071" s="84">
        <v>13</v>
      </c>
      <c r="E1071" s="84">
        <v>67</v>
      </c>
      <c r="F1071" s="7">
        <v>5.96</v>
      </c>
      <c r="G1071" s="85">
        <v>3202</v>
      </c>
      <c r="H1071" s="4" t="s">
        <v>559</v>
      </c>
      <c r="I1071" s="17" t="s">
        <v>734</v>
      </c>
      <c r="J1071" s="371">
        <v>29.41</v>
      </c>
      <c r="K1071" s="77">
        <v>3.81</v>
      </c>
      <c r="L1071" s="371">
        <v>59.48</v>
      </c>
      <c r="N1071" s="365">
        <f t="shared" si="322"/>
        <v>92.699999999999989</v>
      </c>
      <c r="O1071" s="343">
        <f t="shared" si="313"/>
        <v>29.41</v>
      </c>
      <c r="P1071" s="195">
        <v>1</v>
      </c>
      <c r="Q1071" s="326" t="str">
        <f>IFERROR(VLOOKUP($G1071,主力整理!$A$2:$G$2301,6,0),"0")</f>
        <v>0</v>
      </c>
      <c r="R1071" s="111">
        <v>10</v>
      </c>
      <c r="T1071" s="339">
        <f t="shared" si="314"/>
        <v>11</v>
      </c>
      <c r="V1071" s="371">
        <v>0.27</v>
      </c>
      <c r="W1071" s="35">
        <v>0</v>
      </c>
      <c r="X1071" s="100">
        <v>-1.35</v>
      </c>
      <c r="Y1071" s="37" t="str">
        <f>RTD("money.excel",,"3202","Price")</f>
        <v>無資料</v>
      </c>
      <c r="Z1071" s="69"/>
      <c r="AA1071" s="16" t="e">
        <f t="shared" si="315"/>
        <v>#VALUE!</v>
      </c>
      <c r="AB1071" s="3" t="e">
        <f t="shared" si="316"/>
        <v>#VALUE!</v>
      </c>
      <c r="AC1071" s="177" t="s">
        <v>2648</v>
      </c>
      <c r="AD1071" s="17" t="s">
        <v>734</v>
      </c>
      <c r="AG1071" s="34">
        <f t="shared" si="317"/>
        <v>0</v>
      </c>
      <c r="AH1071" s="44" t="s">
        <v>3872</v>
      </c>
      <c r="AI1071" s="131"/>
      <c r="AK1071" s="66">
        <f t="shared" si="323"/>
        <v>0</v>
      </c>
      <c r="AL1071" s="174">
        <f t="shared" si="324"/>
        <v>0</v>
      </c>
      <c r="AM1071" s="346">
        <f>RTD("money.excel",,$G1071,"PredictVolume")</f>
        <v>0</v>
      </c>
      <c r="AN1071" s="272">
        <f>RTD("money.excel",,$G1071,"CumulativeVolume")</f>
        <v>0</v>
      </c>
      <c r="AO1071" s="284"/>
    </row>
    <row r="1072" spans="1:41">
      <c r="A1072" s="151" t="s">
        <v>6325</v>
      </c>
      <c r="B1072" s="84">
        <v>1</v>
      </c>
      <c r="C1072" s="84">
        <v>2</v>
      </c>
      <c r="D1072" s="85">
        <v>-9</v>
      </c>
      <c r="E1072" s="85">
        <v>-1</v>
      </c>
      <c r="F1072" s="7">
        <v>3.96</v>
      </c>
      <c r="G1072" s="85">
        <v>3206</v>
      </c>
      <c r="H1072" s="4" t="s">
        <v>559</v>
      </c>
      <c r="I1072" s="17" t="s">
        <v>267</v>
      </c>
      <c r="J1072" s="371">
        <v>34.19</v>
      </c>
      <c r="K1072" s="77">
        <v>0.54</v>
      </c>
      <c r="L1072" s="77">
        <v>7.4</v>
      </c>
      <c r="N1072" s="365">
        <f t="shared" si="322"/>
        <v>42.129999999999995</v>
      </c>
      <c r="O1072" s="343">
        <f t="shared" si="313"/>
        <v>34.19</v>
      </c>
      <c r="P1072" s="195">
        <v>0</v>
      </c>
      <c r="Q1072" s="326" t="str">
        <f>IFERROR(VLOOKUP($G1072,主力整理!$A$2:$G$2301,6,0),"0")</f>
        <v>0</v>
      </c>
      <c r="R1072" s="111">
        <v>4</v>
      </c>
      <c r="S1072" s="51">
        <v>0</v>
      </c>
      <c r="T1072" s="339">
        <f t="shared" si="314"/>
        <v>4</v>
      </c>
      <c r="V1072" s="371">
        <v>0</v>
      </c>
      <c r="W1072" s="35">
        <v>2</v>
      </c>
      <c r="X1072" s="100">
        <v>2.92</v>
      </c>
      <c r="Y1072" s="37" t="str">
        <f>RTD("money.excel",,"3206","Price")</f>
        <v>無資料</v>
      </c>
      <c r="Z1072" s="69"/>
      <c r="AA1072" s="16" t="e">
        <f t="shared" si="315"/>
        <v>#VALUE!</v>
      </c>
      <c r="AB1072" s="3" t="e">
        <f t="shared" si="316"/>
        <v>#VALUE!</v>
      </c>
      <c r="AD1072" s="17" t="s">
        <v>267</v>
      </c>
      <c r="AG1072" s="34">
        <f t="shared" si="317"/>
        <v>0</v>
      </c>
      <c r="AH1072" s="125" t="s">
        <v>3767</v>
      </c>
      <c r="AI1072" s="131"/>
      <c r="AK1072" s="66">
        <f t="shared" si="323"/>
        <v>0</v>
      </c>
      <c r="AL1072" s="174">
        <f t="shared" si="324"/>
        <v>0</v>
      </c>
      <c r="AM1072" s="346">
        <f>RTD("money.excel",,$G1072,"PredictVolume")</f>
        <v>0</v>
      </c>
      <c r="AN1072" s="272">
        <f>RTD("money.excel",,$G1072,"CumulativeVolume")</f>
        <v>0</v>
      </c>
      <c r="AO1072" s="284"/>
    </row>
    <row r="1073" spans="1:41">
      <c r="A1073" s="151" t="s">
        <v>4609</v>
      </c>
      <c r="B1073" s="96">
        <v>-170</v>
      </c>
      <c r="C1073" s="96">
        <v>-205</v>
      </c>
      <c r="D1073" s="96">
        <v>3</v>
      </c>
      <c r="E1073" s="96">
        <v>-8</v>
      </c>
      <c r="F1073" s="7">
        <v>-0.1</v>
      </c>
      <c r="G1073" s="85">
        <v>3207</v>
      </c>
      <c r="H1073" s="4" t="s">
        <v>559</v>
      </c>
      <c r="I1073" s="17" t="s">
        <v>735</v>
      </c>
      <c r="J1073" s="77">
        <v>43.48</v>
      </c>
      <c r="K1073" s="77">
        <v>0</v>
      </c>
      <c r="N1073" s="365">
        <f t="shared" si="322"/>
        <v>43.48</v>
      </c>
      <c r="O1073" s="343">
        <f t="shared" si="313"/>
        <v>43.48</v>
      </c>
      <c r="P1073" s="195" t="s">
        <v>5554</v>
      </c>
      <c r="Q1073" s="326">
        <f>IFERROR(VLOOKUP($G1073,主力整理!$A$2:$G$2301,6,0),"0")</f>
        <v>4</v>
      </c>
      <c r="R1073" s="111">
        <v>6</v>
      </c>
      <c r="T1073" s="339">
        <f t="shared" si="314"/>
        <v>10</v>
      </c>
      <c r="V1073" s="371">
        <v>16.87</v>
      </c>
      <c r="W1073" s="35">
        <v>0</v>
      </c>
      <c r="X1073" s="100">
        <v>-0.39</v>
      </c>
      <c r="Y1073" s="37" t="str">
        <f>RTD("money.excel",,"3207","Price")</f>
        <v>無資料</v>
      </c>
      <c r="Z1073" s="69"/>
      <c r="AA1073" s="16" t="e">
        <f t="shared" si="315"/>
        <v>#VALUE!</v>
      </c>
      <c r="AB1073" s="3" t="e">
        <f t="shared" si="316"/>
        <v>#VALUE!</v>
      </c>
      <c r="AD1073" s="17" t="s">
        <v>735</v>
      </c>
      <c r="AG1073" s="34">
        <f t="shared" si="317"/>
        <v>0</v>
      </c>
      <c r="AH1073" s="44" t="s">
        <v>3768</v>
      </c>
      <c r="AI1073" s="131"/>
      <c r="AK1073" s="66">
        <f t="shared" si="323"/>
        <v>0</v>
      </c>
      <c r="AL1073" s="174">
        <f t="shared" si="324"/>
        <v>0</v>
      </c>
      <c r="AM1073" s="346">
        <f>RTD("money.excel",,$G1073,"PredictVolume")</f>
        <v>0</v>
      </c>
      <c r="AN1073" s="272">
        <f>RTD("money.excel",,$G1073,"CumulativeVolume")</f>
        <v>0</v>
      </c>
      <c r="AO1073" s="284"/>
    </row>
    <row r="1074" spans="1:41">
      <c r="A1074" s="135" t="s">
        <v>2919</v>
      </c>
      <c r="B1074" s="84">
        <v>-2</v>
      </c>
      <c r="C1074" s="84">
        <v>-1</v>
      </c>
      <c r="D1074" s="84">
        <v>6</v>
      </c>
      <c r="E1074" s="84">
        <v>18</v>
      </c>
      <c r="F1074" s="59">
        <v>24.6</v>
      </c>
      <c r="G1074" s="85">
        <v>3217</v>
      </c>
      <c r="H1074" s="4" t="s">
        <v>559</v>
      </c>
      <c r="I1074" s="17" t="s">
        <v>736</v>
      </c>
      <c r="J1074" s="371">
        <v>45.36</v>
      </c>
      <c r="K1074" s="77">
        <v>5.97</v>
      </c>
      <c r="L1074" s="77">
        <v>12.05</v>
      </c>
      <c r="N1074" s="365">
        <f t="shared" si="322"/>
        <v>63.379999999999995</v>
      </c>
      <c r="O1074" s="343">
        <f t="shared" si="313"/>
        <v>45.36</v>
      </c>
      <c r="P1074" s="195">
        <v>2</v>
      </c>
      <c r="Q1074" s="326" t="str">
        <f>IFERROR(VLOOKUP($G1074,主力整理!$A$2:$G$2301,6,0),"0")</f>
        <v>0</v>
      </c>
      <c r="R1074" s="111">
        <v>7</v>
      </c>
      <c r="S1074" s="51">
        <v>16</v>
      </c>
      <c r="T1074" s="339">
        <f t="shared" si="314"/>
        <v>25</v>
      </c>
      <c r="V1074" s="371">
        <v>1.58</v>
      </c>
      <c r="W1074" s="69">
        <v>5.6</v>
      </c>
      <c r="X1074" s="100">
        <v>6.92</v>
      </c>
      <c r="Y1074" s="37" t="str">
        <f>RTD("money.excel",,"3217","Price")</f>
        <v>無資料</v>
      </c>
      <c r="Z1074" s="69"/>
      <c r="AA1074" s="16" t="e">
        <f t="shared" si="315"/>
        <v>#VALUE!</v>
      </c>
      <c r="AB1074" s="3" t="e">
        <f t="shared" si="316"/>
        <v>#VALUE!</v>
      </c>
      <c r="AC1074" s="177" t="s">
        <v>2929</v>
      </c>
      <c r="AD1074" s="17" t="s">
        <v>736</v>
      </c>
      <c r="AG1074" s="34">
        <f t="shared" si="317"/>
        <v>0</v>
      </c>
      <c r="AH1074" s="63" t="s">
        <v>4549</v>
      </c>
      <c r="AI1074" s="131"/>
      <c r="AK1074" s="66">
        <f t="shared" si="323"/>
        <v>0</v>
      </c>
      <c r="AL1074" s="174">
        <f t="shared" si="324"/>
        <v>0</v>
      </c>
      <c r="AM1074" s="346">
        <f>RTD("money.excel",,$G1074,"PredictVolume")</f>
        <v>0</v>
      </c>
      <c r="AN1074" s="272">
        <f>RTD("money.excel",,$G1074,"CumulativeVolume")</f>
        <v>0</v>
      </c>
      <c r="AO1074" s="284"/>
    </row>
    <row r="1075" spans="1:41">
      <c r="A1075" s="151" t="s">
        <v>2499</v>
      </c>
      <c r="B1075" s="96">
        <v>-24</v>
      </c>
      <c r="C1075" s="96">
        <v>-33</v>
      </c>
      <c r="D1075" s="96">
        <v>26</v>
      </c>
      <c r="E1075" s="96">
        <v>58</v>
      </c>
      <c r="F1075" s="7">
        <v>-41.06</v>
      </c>
      <c r="G1075" s="85">
        <v>3229</v>
      </c>
      <c r="H1075" s="4" t="s">
        <v>559</v>
      </c>
      <c r="I1075" s="23" t="s">
        <v>708</v>
      </c>
      <c r="J1075" s="77">
        <v>53.43</v>
      </c>
      <c r="K1075" s="77">
        <v>0.52</v>
      </c>
      <c r="N1075" s="365">
        <f t="shared" si="322"/>
        <v>53.95</v>
      </c>
      <c r="O1075" s="343">
        <f t="shared" si="313"/>
        <v>53.43</v>
      </c>
      <c r="P1075" s="195" t="s">
        <v>5554</v>
      </c>
      <c r="Q1075" s="326" t="str">
        <f>IFERROR(VLOOKUP($G1075,主力整理!$A$2:$G$2301,6,0),"0")</f>
        <v>0</v>
      </c>
      <c r="T1075" s="339">
        <f t="shared" si="314"/>
        <v>0</v>
      </c>
      <c r="V1075" s="371">
        <v>32.06</v>
      </c>
      <c r="W1075" s="35">
        <v>0</v>
      </c>
      <c r="X1075" s="100">
        <v>-2.27</v>
      </c>
      <c r="Y1075" s="14" t="str">
        <f>RTD("money.excel",,"3229","Price")</f>
        <v>商品錯誤</v>
      </c>
      <c r="Z1075" s="69"/>
      <c r="AA1075" s="16" t="e">
        <f t="shared" si="315"/>
        <v>#VALUE!</v>
      </c>
      <c r="AB1075" s="3" t="e">
        <f t="shared" si="316"/>
        <v>#VALUE!</v>
      </c>
      <c r="AD1075" s="23" t="s">
        <v>708</v>
      </c>
      <c r="AG1075" s="34">
        <f t="shared" si="317"/>
        <v>0</v>
      </c>
      <c r="AH1075" s="44" t="s">
        <v>1685</v>
      </c>
      <c r="AI1075" s="131"/>
      <c r="AK1075" s="66" t="e">
        <f t="shared" si="323"/>
        <v>#VALUE!</v>
      </c>
      <c r="AL1075" s="174" t="e">
        <f t="shared" si="324"/>
        <v>#VALUE!</v>
      </c>
      <c r="AM1075" s="346" t="str">
        <f>RTD("money.excel",,$G1075,"PredictVolume")</f>
        <v>商品錯誤</v>
      </c>
      <c r="AN1075" s="272" t="str">
        <f>RTD("money.excel",,$G1075,"CumulativeVolume")</f>
        <v>商品錯誤</v>
      </c>
      <c r="AO1075" s="284"/>
    </row>
    <row r="1076" spans="1:41">
      <c r="A1076" s="151" t="s">
        <v>2726</v>
      </c>
      <c r="B1076" s="96">
        <v>23</v>
      </c>
      <c r="C1076" s="96">
        <v>37</v>
      </c>
      <c r="D1076" s="96">
        <v>23</v>
      </c>
      <c r="E1076" s="96">
        <v>36</v>
      </c>
      <c r="F1076" s="7">
        <v>6.83</v>
      </c>
      <c r="G1076" s="85">
        <v>3236</v>
      </c>
      <c r="H1076" s="4" t="s">
        <v>559</v>
      </c>
      <c r="I1076" s="17" t="s">
        <v>592</v>
      </c>
      <c r="J1076" s="77">
        <v>34.159999999999997</v>
      </c>
      <c r="K1076" s="77">
        <v>11.12</v>
      </c>
      <c r="L1076" s="77">
        <v>17.440000000000001</v>
      </c>
      <c r="N1076" s="365">
        <f t="shared" si="322"/>
        <v>62.72</v>
      </c>
      <c r="O1076" s="343">
        <f t="shared" si="313"/>
        <v>34.159999999999997</v>
      </c>
      <c r="P1076" s="195">
        <v>1</v>
      </c>
      <c r="Q1076" s="326" t="str">
        <f>IFERROR(VLOOKUP($G1076,主力整理!$A$2:$G$2301,6,0),"0")</f>
        <v>0</v>
      </c>
      <c r="R1076" s="111">
        <v>5</v>
      </c>
      <c r="T1076" s="339">
        <f t="shared" si="314"/>
        <v>6</v>
      </c>
      <c r="V1076" s="371">
        <v>19.739999999999998</v>
      </c>
      <c r="W1076" s="35">
        <v>0.65</v>
      </c>
      <c r="X1076" s="100">
        <v>0.8</v>
      </c>
      <c r="Y1076" s="37" t="str">
        <f>RTD("money.excel",,"3236","Price")</f>
        <v>無資料</v>
      </c>
      <c r="Z1076" s="69"/>
      <c r="AA1076" s="16" t="e">
        <f t="shared" si="315"/>
        <v>#VALUE!</v>
      </c>
      <c r="AB1076" s="3" t="e">
        <f t="shared" si="316"/>
        <v>#VALUE!</v>
      </c>
      <c r="AC1076" s="177" t="s">
        <v>2648</v>
      </c>
      <c r="AD1076" s="17" t="s">
        <v>592</v>
      </c>
      <c r="AG1076" s="34">
        <f t="shared" si="317"/>
        <v>0</v>
      </c>
      <c r="AH1076" s="44" t="s">
        <v>3769</v>
      </c>
      <c r="AI1076" s="131"/>
      <c r="AK1076" s="66">
        <f t="shared" si="323"/>
        <v>0</v>
      </c>
      <c r="AL1076" s="174">
        <f t="shared" si="324"/>
        <v>0</v>
      </c>
      <c r="AM1076" s="346">
        <f>RTD("money.excel",,$G1076,"PredictVolume")</f>
        <v>0</v>
      </c>
      <c r="AN1076" s="272">
        <f>RTD("money.excel",,$G1076,"CumulativeVolume")</f>
        <v>0</v>
      </c>
      <c r="AO1076" s="284"/>
    </row>
    <row r="1077" spans="1:41">
      <c r="A1077" s="151" t="s">
        <v>2672</v>
      </c>
      <c r="B1077" s="85">
        <v>-308</v>
      </c>
      <c r="C1077" s="85">
        <v>-628</v>
      </c>
      <c r="D1077" s="85">
        <v>-15</v>
      </c>
      <c r="E1077" s="96">
        <v>17</v>
      </c>
      <c r="F1077" s="7">
        <v>-30.91</v>
      </c>
      <c r="G1077" s="85">
        <v>3276</v>
      </c>
      <c r="H1077" s="4" t="s">
        <v>559</v>
      </c>
      <c r="I1077" s="17" t="s">
        <v>737</v>
      </c>
      <c r="J1077" s="371">
        <v>70.44</v>
      </c>
      <c r="K1077" s="371">
        <v>0</v>
      </c>
      <c r="L1077" s="371"/>
      <c r="N1077" s="365">
        <f t="shared" si="322"/>
        <v>70.44</v>
      </c>
      <c r="O1077" s="343">
        <f t="shared" si="313"/>
        <v>70.44</v>
      </c>
      <c r="P1077" s="195" t="s">
        <v>5554</v>
      </c>
      <c r="Q1077" s="326">
        <f>IFERROR(VLOOKUP($G1077,主力整理!$A$2:$G$2301,6,0),"0")</f>
        <v>1</v>
      </c>
      <c r="R1077" s="111">
        <v>20</v>
      </c>
      <c r="T1077" s="339">
        <f t="shared" si="314"/>
        <v>21</v>
      </c>
      <c r="V1077" s="371">
        <v>45.25</v>
      </c>
      <c r="W1077" s="35">
        <v>0</v>
      </c>
      <c r="X1077" s="59">
        <v>0.18</v>
      </c>
      <c r="Y1077" s="37" t="str">
        <f>RTD("money.excel",,"3276","Price")</f>
        <v>無資料</v>
      </c>
      <c r="Z1077" s="69"/>
      <c r="AA1077" s="16" t="e">
        <f t="shared" si="315"/>
        <v>#VALUE!</v>
      </c>
      <c r="AB1077" s="3" t="e">
        <f t="shared" si="316"/>
        <v>#VALUE!</v>
      </c>
      <c r="AD1077" s="17" t="s">
        <v>737</v>
      </c>
      <c r="AG1077" s="34">
        <f t="shared" si="317"/>
        <v>0</v>
      </c>
      <c r="AH1077" s="44" t="s">
        <v>3770</v>
      </c>
      <c r="AI1077" s="131"/>
      <c r="AK1077" s="66">
        <f t="shared" si="323"/>
        <v>0</v>
      </c>
      <c r="AL1077" s="174">
        <f t="shared" si="324"/>
        <v>0</v>
      </c>
      <c r="AM1077" s="346">
        <f>RTD("money.excel",,$G1077,"PredictVolume")</f>
        <v>0</v>
      </c>
      <c r="AN1077" s="272">
        <f>RTD("money.excel",,$G1077,"CumulativeVolume")</f>
        <v>0</v>
      </c>
      <c r="AO1077" s="284"/>
    </row>
    <row r="1078" spans="1:41">
      <c r="A1078" s="151" t="s">
        <v>4610</v>
      </c>
      <c r="B1078" s="96">
        <v>-356</v>
      </c>
      <c r="C1078" s="96">
        <v>-506</v>
      </c>
      <c r="D1078" s="96">
        <v>-10</v>
      </c>
      <c r="E1078" s="96">
        <v>-10</v>
      </c>
      <c r="F1078" s="7">
        <v>-18.27</v>
      </c>
      <c r="G1078" s="85">
        <v>3288</v>
      </c>
      <c r="H1078" s="4" t="s">
        <v>559</v>
      </c>
      <c r="I1078" s="17" t="s">
        <v>738</v>
      </c>
      <c r="J1078" s="77">
        <v>64.17</v>
      </c>
      <c r="K1078" s="77">
        <v>1.56</v>
      </c>
      <c r="N1078" s="365">
        <f t="shared" ref="N1078:N1109" si="325">J1078+K1078+L1078+M1078</f>
        <v>65.73</v>
      </c>
      <c r="O1078" s="343">
        <f t="shared" ref="O1078:O1141" si="326">J1078+M1078</f>
        <v>64.17</v>
      </c>
      <c r="P1078" s="195" t="s">
        <v>5554</v>
      </c>
      <c r="Q1078" s="326" t="str">
        <f>IFERROR(VLOOKUP($G1078,主力整理!$A$2:$G$2301,6,0),"0")</f>
        <v>0</v>
      </c>
      <c r="R1078" s="111">
        <v>18</v>
      </c>
      <c r="T1078" s="339">
        <f t="shared" ref="T1078:T1141" si="327">SUM(P1078:S1078)</f>
        <v>18</v>
      </c>
      <c r="V1078" s="371">
        <v>14.29</v>
      </c>
      <c r="W1078" s="35">
        <v>0</v>
      </c>
      <c r="X1078" s="100">
        <v>-0.35</v>
      </c>
      <c r="Y1078" s="14" t="str">
        <f>RTD("money.excel",,"3288","Price")</f>
        <v>無資料</v>
      </c>
      <c r="Z1078" s="69"/>
      <c r="AA1078" s="16" t="e">
        <f t="shared" ref="AA1078:AA1141" si="328">Y1078-Z1078</f>
        <v>#VALUE!</v>
      </c>
      <c r="AB1078" s="3" t="e">
        <f t="shared" ref="AB1078:AB1141" si="329">AA1078/Z1078</f>
        <v>#VALUE!</v>
      </c>
      <c r="AD1078" s="17" t="s">
        <v>738</v>
      </c>
      <c r="AG1078" s="34">
        <f t="shared" ref="AG1078:AG1141" si="330">AF1078-AE1078</f>
        <v>0</v>
      </c>
      <c r="AH1078" s="44" t="s">
        <v>3771</v>
      </c>
      <c r="AI1078" s="131"/>
      <c r="AK1078" s="66">
        <f t="shared" si="323"/>
        <v>0</v>
      </c>
      <c r="AL1078" s="174">
        <f t="shared" si="324"/>
        <v>0</v>
      </c>
      <c r="AM1078" s="346">
        <f>RTD("money.excel",,$G1078,"PredictVolume")</f>
        <v>0</v>
      </c>
      <c r="AN1078" s="272">
        <f>RTD("money.excel",,$G1078,"CumulativeVolume")</f>
        <v>0</v>
      </c>
      <c r="AO1078" s="284"/>
    </row>
    <row r="1079" spans="1:41">
      <c r="A1079" s="135" t="s">
        <v>4611</v>
      </c>
      <c r="B1079" s="96">
        <v>-13</v>
      </c>
      <c r="C1079" s="96">
        <v>-53</v>
      </c>
      <c r="D1079" s="96">
        <v>8</v>
      </c>
      <c r="E1079" s="96">
        <v>33</v>
      </c>
      <c r="F1079" s="7">
        <v>4.03</v>
      </c>
      <c r="G1079" s="85">
        <v>3290</v>
      </c>
      <c r="H1079" s="4" t="s">
        <v>559</v>
      </c>
      <c r="I1079" s="17" t="s">
        <v>957</v>
      </c>
      <c r="J1079" s="77">
        <v>86.57</v>
      </c>
      <c r="K1079" s="77">
        <v>0.14000000000000001</v>
      </c>
      <c r="L1079" s="77">
        <v>0.36</v>
      </c>
      <c r="N1079" s="365">
        <f t="shared" si="325"/>
        <v>87.07</v>
      </c>
      <c r="O1079" s="343">
        <f t="shared" si="326"/>
        <v>86.57</v>
      </c>
      <c r="P1079" s="195" t="s">
        <v>5554</v>
      </c>
      <c r="Q1079" s="326" t="str">
        <f>IFERROR(VLOOKUP($G1079,主力整理!$A$2:$G$2301,6,0),"0")</f>
        <v>0</v>
      </c>
      <c r="R1079" s="111">
        <v>2</v>
      </c>
      <c r="T1079" s="339">
        <f t="shared" si="327"/>
        <v>2</v>
      </c>
      <c r="V1079" s="371">
        <v>48.17</v>
      </c>
      <c r="W1079" s="35">
        <v>0.2</v>
      </c>
      <c r="X1079" s="100">
        <v>0.61</v>
      </c>
      <c r="Y1079" s="14" t="str">
        <f>RTD("money.excel",,"3290","Price")</f>
        <v>無資料</v>
      </c>
      <c r="Z1079" s="69"/>
      <c r="AA1079" s="16" t="e">
        <f t="shared" si="328"/>
        <v>#VALUE!</v>
      </c>
      <c r="AB1079" s="3" t="e">
        <f t="shared" si="329"/>
        <v>#VALUE!</v>
      </c>
      <c r="AD1079" s="17" t="s">
        <v>957</v>
      </c>
      <c r="AG1079" s="34">
        <f t="shared" si="330"/>
        <v>0</v>
      </c>
      <c r="AH1079" s="44" t="s">
        <v>3077</v>
      </c>
      <c r="AI1079" s="131"/>
      <c r="AK1079" s="66">
        <f t="shared" si="323"/>
        <v>0</v>
      </c>
      <c r="AL1079" s="174">
        <f t="shared" si="324"/>
        <v>0</v>
      </c>
      <c r="AM1079" s="346">
        <f>RTD("money.excel",,$G1079,"PredictVolume")</f>
        <v>0</v>
      </c>
      <c r="AN1079" s="272">
        <f>RTD("money.excel",,$G1079,"CumulativeVolume")</f>
        <v>0</v>
      </c>
      <c r="AO1079" s="284"/>
    </row>
    <row r="1080" spans="1:41">
      <c r="A1080" s="151" t="s">
        <v>2550</v>
      </c>
      <c r="B1080" s="85">
        <v>-225</v>
      </c>
      <c r="C1080" s="84">
        <v>116</v>
      </c>
      <c r="D1080" s="85">
        <v>-19</v>
      </c>
      <c r="E1080" s="84">
        <v>232</v>
      </c>
      <c r="F1080" s="7">
        <v>2.62</v>
      </c>
      <c r="G1080" s="85">
        <v>3294</v>
      </c>
      <c r="H1080" s="4" t="s">
        <v>559</v>
      </c>
      <c r="I1080" s="17" t="s">
        <v>739</v>
      </c>
      <c r="J1080" s="371">
        <v>65.03</v>
      </c>
      <c r="K1080" s="371">
        <v>7.55</v>
      </c>
      <c r="L1080" s="371">
        <v>24.68</v>
      </c>
      <c r="N1080" s="365">
        <f t="shared" si="325"/>
        <v>97.259999999999991</v>
      </c>
      <c r="O1080" s="343">
        <f t="shared" si="326"/>
        <v>65.03</v>
      </c>
      <c r="P1080" s="195">
        <v>2</v>
      </c>
      <c r="Q1080" s="326" t="str">
        <f>IFERROR(VLOOKUP($G1080,主力整理!$A$2:$G$2301,6,0),"0")</f>
        <v>0</v>
      </c>
      <c r="R1080" s="111">
        <v>7</v>
      </c>
      <c r="T1080" s="339">
        <f t="shared" si="327"/>
        <v>9</v>
      </c>
      <c r="V1080" s="371">
        <v>0.04</v>
      </c>
      <c r="W1080" s="35">
        <v>0.5</v>
      </c>
      <c r="X1080" s="59">
        <v>0.65</v>
      </c>
      <c r="Y1080" s="37" t="str">
        <f>RTD("money.excel",,"3294","Price")</f>
        <v>無資料</v>
      </c>
      <c r="Z1080" s="69"/>
      <c r="AA1080" s="16" t="e">
        <f t="shared" si="328"/>
        <v>#VALUE!</v>
      </c>
      <c r="AB1080" s="3" t="e">
        <f t="shared" si="329"/>
        <v>#VALUE!</v>
      </c>
      <c r="AC1080" s="177" t="s">
        <v>2648</v>
      </c>
      <c r="AD1080" s="17" t="s">
        <v>739</v>
      </c>
      <c r="AG1080" s="34">
        <f t="shared" si="330"/>
        <v>0</v>
      </c>
      <c r="AH1080" s="44" t="s">
        <v>3290</v>
      </c>
      <c r="AI1080" s="131"/>
      <c r="AK1080" s="66">
        <f t="shared" si="323"/>
        <v>0</v>
      </c>
      <c r="AL1080" s="174">
        <f t="shared" si="324"/>
        <v>0</v>
      </c>
      <c r="AM1080" s="346">
        <f>RTD("money.excel",,$G1080,"PredictVolume")</f>
        <v>0</v>
      </c>
      <c r="AN1080" s="272">
        <f>RTD("money.excel",,$G1080,"CumulativeVolume")</f>
        <v>0</v>
      </c>
      <c r="AO1080" s="284"/>
    </row>
    <row r="1081" spans="1:41">
      <c r="A1081" s="151" t="s">
        <v>4787</v>
      </c>
      <c r="B1081" s="96">
        <v>-73</v>
      </c>
      <c r="C1081" s="96">
        <v>-68</v>
      </c>
      <c r="D1081" s="96">
        <v>-19</v>
      </c>
      <c r="E1081" s="96">
        <v>76</v>
      </c>
      <c r="F1081" s="7">
        <v>1.0900000000000001</v>
      </c>
      <c r="G1081" s="85">
        <v>3296</v>
      </c>
      <c r="H1081" s="4" t="s">
        <v>559</v>
      </c>
      <c r="I1081" s="23" t="s">
        <v>709</v>
      </c>
      <c r="J1081" s="77">
        <v>68.95</v>
      </c>
      <c r="K1081" s="77">
        <v>2.13</v>
      </c>
      <c r="L1081" s="77">
        <v>29.91</v>
      </c>
      <c r="N1081" s="365">
        <f t="shared" si="325"/>
        <v>100.99</v>
      </c>
      <c r="O1081" s="343">
        <f t="shared" si="326"/>
        <v>68.95</v>
      </c>
      <c r="P1081" s="195" t="s">
        <v>5554</v>
      </c>
      <c r="Q1081" s="326" t="str">
        <f>IFERROR(VLOOKUP($G1081,主力整理!$A$2:$G$2301,6,0),"0")</f>
        <v>0</v>
      </c>
      <c r="T1081" s="339">
        <f t="shared" si="327"/>
        <v>0</v>
      </c>
      <c r="V1081" s="371">
        <v>18.920000000000002</v>
      </c>
      <c r="W1081" s="35">
        <v>0.23</v>
      </c>
      <c r="X1081" s="100">
        <v>0.23</v>
      </c>
      <c r="Y1081" s="14" t="str">
        <f>RTD("money.excel",,"3296","Price")</f>
        <v>無資料</v>
      </c>
      <c r="Z1081" s="69"/>
      <c r="AA1081" s="16" t="e">
        <f t="shared" si="328"/>
        <v>#VALUE!</v>
      </c>
      <c r="AB1081" s="3" t="e">
        <f t="shared" si="329"/>
        <v>#VALUE!</v>
      </c>
      <c r="AC1081" s="177" t="s">
        <v>2648</v>
      </c>
      <c r="AD1081" s="23" t="s">
        <v>709</v>
      </c>
      <c r="AG1081" s="34">
        <f t="shared" si="330"/>
        <v>0</v>
      </c>
      <c r="AH1081" s="44" t="s">
        <v>4083</v>
      </c>
      <c r="AI1081" s="131"/>
      <c r="AK1081" s="66">
        <f t="shared" si="323"/>
        <v>0</v>
      </c>
      <c r="AL1081" s="174">
        <f t="shared" si="324"/>
        <v>0</v>
      </c>
      <c r="AM1081" s="346">
        <f>RTD("money.excel",,$G1081,"PredictVolume")</f>
        <v>0</v>
      </c>
      <c r="AN1081" s="272">
        <f>RTD("money.excel",,$G1081,"CumulativeVolume")</f>
        <v>0</v>
      </c>
      <c r="AO1081" s="284"/>
    </row>
    <row r="1082" spans="1:41">
      <c r="A1082" s="151" t="s">
        <v>2790</v>
      </c>
      <c r="B1082" s="84">
        <v>48</v>
      </c>
      <c r="C1082" s="84">
        <v>32</v>
      </c>
      <c r="D1082" s="85">
        <v>-34</v>
      </c>
      <c r="E1082" s="85">
        <v>-54</v>
      </c>
      <c r="F1082" s="7">
        <v>-18.809999999999999</v>
      </c>
      <c r="G1082" s="85">
        <v>3308</v>
      </c>
      <c r="H1082" s="4" t="s">
        <v>559</v>
      </c>
      <c r="I1082" s="23" t="s">
        <v>710</v>
      </c>
      <c r="J1082" s="77">
        <v>78.260000000000005</v>
      </c>
      <c r="K1082" s="371">
        <v>0.14000000000000001</v>
      </c>
      <c r="N1082" s="365">
        <f t="shared" si="325"/>
        <v>78.400000000000006</v>
      </c>
      <c r="O1082" s="343">
        <f t="shared" si="326"/>
        <v>78.260000000000005</v>
      </c>
      <c r="P1082" s="195" t="s">
        <v>5554</v>
      </c>
      <c r="Q1082" s="326" t="str">
        <f>IFERROR(VLOOKUP($G1082,主力整理!$A$2:$G$2301,6,0),"0")</f>
        <v>0</v>
      </c>
      <c r="T1082" s="339">
        <f t="shared" si="327"/>
        <v>0</v>
      </c>
      <c r="V1082" s="371">
        <v>38.54</v>
      </c>
      <c r="W1082" s="35">
        <v>0</v>
      </c>
      <c r="X1082" s="59">
        <v>-0.89</v>
      </c>
      <c r="Y1082" s="37" t="str">
        <f>RTD("money.excel",,"3308","Price")</f>
        <v>無資料</v>
      </c>
      <c r="Z1082" s="69"/>
      <c r="AA1082" s="16" t="e">
        <f t="shared" si="328"/>
        <v>#VALUE!</v>
      </c>
      <c r="AB1082" s="3" t="e">
        <f t="shared" si="329"/>
        <v>#VALUE!</v>
      </c>
      <c r="AC1082" s="177" t="s">
        <v>2648</v>
      </c>
      <c r="AD1082" s="23" t="s">
        <v>710</v>
      </c>
      <c r="AG1082" s="34">
        <f t="shared" si="330"/>
        <v>0</v>
      </c>
      <c r="AH1082" s="44" t="s">
        <v>3761</v>
      </c>
      <c r="AI1082" s="131"/>
      <c r="AK1082" s="66">
        <f t="shared" si="323"/>
        <v>0</v>
      </c>
      <c r="AL1082" s="174">
        <f t="shared" si="324"/>
        <v>0</v>
      </c>
      <c r="AM1082" s="346">
        <f>RTD("money.excel",,$G1082,"PredictVolume")</f>
        <v>0</v>
      </c>
      <c r="AN1082" s="272">
        <f>RTD("money.excel",,$G1082,"CumulativeVolume")</f>
        <v>0</v>
      </c>
      <c r="AO1082" s="284"/>
    </row>
    <row r="1083" spans="1:41">
      <c r="A1083" s="135" t="s">
        <v>2367</v>
      </c>
      <c r="B1083" s="96">
        <v>-111</v>
      </c>
      <c r="C1083" s="96">
        <v>-105</v>
      </c>
      <c r="D1083" s="96">
        <v>-12</v>
      </c>
      <c r="E1083" s="96">
        <v>-3</v>
      </c>
      <c r="F1083" s="59">
        <v>-3.34</v>
      </c>
      <c r="G1083" s="85">
        <v>3310</v>
      </c>
      <c r="H1083" s="4" t="s">
        <v>559</v>
      </c>
      <c r="I1083" s="17" t="s">
        <v>740</v>
      </c>
      <c r="J1083" s="77">
        <v>77.28</v>
      </c>
      <c r="K1083" s="77">
        <v>0.04</v>
      </c>
      <c r="L1083" s="77">
        <v>22.05</v>
      </c>
      <c r="N1083" s="365">
        <f t="shared" si="325"/>
        <v>99.37</v>
      </c>
      <c r="O1083" s="343">
        <f t="shared" si="326"/>
        <v>77.28</v>
      </c>
      <c r="P1083" s="195" t="s">
        <v>5554</v>
      </c>
      <c r="Q1083" s="326" t="str">
        <f>IFERROR(VLOOKUP($G1083,主力整理!$A$2:$G$2301,6,0),"0")</f>
        <v>0</v>
      </c>
      <c r="R1083" s="111">
        <v>1</v>
      </c>
      <c r="T1083" s="339">
        <f t="shared" si="327"/>
        <v>1</v>
      </c>
      <c r="V1083" s="371">
        <v>47.34</v>
      </c>
      <c r="W1083" s="35">
        <v>1.5</v>
      </c>
      <c r="X1083" s="59">
        <v>0.78</v>
      </c>
      <c r="Y1083" s="37" t="str">
        <f>RTD("money.excel",,"3310","Price")</f>
        <v>無資料</v>
      </c>
      <c r="Z1083" s="69"/>
      <c r="AA1083" s="16" t="e">
        <f t="shared" si="328"/>
        <v>#VALUE!</v>
      </c>
      <c r="AB1083" s="3" t="e">
        <f t="shared" si="329"/>
        <v>#VALUE!</v>
      </c>
      <c r="AD1083" s="17" t="s">
        <v>740</v>
      </c>
      <c r="AG1083" s="34">
        <f t="shared" si="330"/>
        <v>0</v>
      </c>
      <c r="AH1083" s="44" t="s">
        <v>3489</v>
      </c>
      <c r="AI1083" s="131"/>
      <c r="AK1083" s="66">
        <f t="shared" si="323"/>
        <v>0</v>
      </c>
      <c r="AL1083" s="174">
        <f t="shared" si="324"/>
        <v>0</v>
      </c>
      <c r="AM1083" s="346">
        <f>RTD("money.excel",,$G1083,"PredictVolume")</f>
        <v>0</v>
      </c>
      <c r="AN1083" s="272">
        <f>RTD("money.excel",,$G1083,"CumulativeVolume")</f>
        <v>0</v>
      </c>
      <c r="AO1083" s="284"/>
    </row>
    <row r="1084" spans="1:41">
      <c r="A1084" s="151" t="s">
        <v>4612</v>
      </c>
      <c r="B1084" s="96">
        <v>24</v>
      </c>
      <c r="C1084" s="96">
        <v>8</v>
      </c>
      <c r="D1084" s="96">
        <v>-97</v>
      </c>
      <c r="E1084" s="96">
        <v>-99</v>
      </c>
      <c r="F1084" s="7">
        <v>-24.16</v>
      </c>
      <c r="G1084" s="85">
        <v>3313</v>
      </c>
      <c r="H1084" s="4" t="s">
        <v>559</v>
      </c>
      <c r="I1084" s="17" t="s">
        <v>741</v>
      </c>
      <c r="J1084" s="77">
        <v>57.17</v>
      </c>
      <c r="K1084" s="77">
        <v>8.91</v>
      </c>
      <c r="L1084" s="77">
        <v>0</v>
      </c>
      <c r="N1084" s="365">
        <f t="shared" si="325"/>
        <v>66.08</v>
      </c>
      <c r="O1084" s="343">
        <f t="shared" si="326"/>
        <v>57.17</v>
      </c>
      <c r="P1084" s="195" t="s">
        <v>5554</v>
      </c>
      <c r="Q1084" s="326" t="str">
        <f>IFERROR(VLOOKUP($G1084,主力整理!$A$2:$G$2301,6,0),"0")</f>
        <v>0</v>
      </c>
      <c r="R1084" s="111">
        <v>6</v>
      </c>
      <c r="T1084" s="339">
        <f t="shared" si="327"/>
        <v>6</v>
      </c>
      <c r="V1084" s="371">
        <v>25.01</v>
      </c>
      <c r="W1084" s="35">
        <v>0</v>
      </c>
      <c r="X1084" s="100">
        <v>-0.31</v>
      </c>
      <c r="Y1084" s="14" t="str">
        <f>RTD("money.excel",,"3313","Price")</f>
        <v>無資料</v>
      </c>
      <c r="Z1084" s="69"/>
      <c r="AA1084" s="16" t="e">
        <f t="shared" si="328"/>
        <v>#VALUE!</v>
      </c>
      <c r="AB1084" s="3" t="e">
        <f t="shared" si="329"/>
        <v>#VALUE!</v>
      </c>
      <c r="AD1084" s="17" t="s">
        <v>741</v>
      </c>
      <c r="AG1084" s="34">
        <f t="shared" si="330"/>
        <v>0</v>
      </c>
      <c r="AH1084" s="44" t="s">
        <v>3772</v>
      </c>
      <c r="AI1084" s="286"/>
      <c r="AK1084" s="66">
        <f t="shared" si="323"/>
        <v>0</v>
      </c>
      <c r="AL1084" s="174">
        <f t="shared" si="324"/>
        <v>0</v>
      </c>
      <c r="AM1084" s="346">
        <f>RTD("money.excel",,$G1084,"PredictVolume")</f>
        <v>0</v>
      </c>
      <c r="AN1084" s="272">
        <f>RTD("money.excel",,$G1084,"CumulativeVolume")</f>
        <v>0</v>
      </c>
      <c r="AO1084" s="79"/>
    </row>
    <row r="1085" spans="1:41">
      <c r="A1085" s="151" t="s">
        <v>2792</v>
      </c>
      <c r="B1085" s="84">
        <v>71</v>
      </c>
      <c r="C1085" s="84">
        <v>73</v>
      </c>
      <c r="D1085" s="84">
        <v>7</v>
      </c>
      <c r="E1085" s="84">
        <v>13</v>
      </c>
      <c r="F1085" s="7">
        <v>-5.4</v>
      </c>
      <c r="G1085" s="85">
        <v>3321</v>
      </c>
      <c r="H1085" s="4" t="s">
        <v>559</v>
      </c>
      <c r="I1085" s="23" t="s">
        <v>711</v>
      </c>
      <c r="J1085" s="371">
        <v>40.549999999999997</v>
      </c>
      <c r="K1085" s="371">
        <v>0.43</v>
      </c>
      <c r="L1085" s="371"/>
      <c r="N1085" s="365">
        <f t="shared" si="325"/>
        <v>40.98</v>
      </c>
      <c r="O1085" s="343">
        <f t="shared" si="326"/>
        <v>40.549999999999997</v>
      </c>
      <c r="P1085" s="195">
        <v>1</v>
      </c>
      <c r="Q1085" s="326" t="str">
        <f>IFERROR(VLOOKUP($G1085,主力整理!$A$2:$G$2301,6,0),"0")</f>
        <v>0</v>
      </c>
      <c r="T1085" s="339">
        <f t="shared" si="327"/>
        <v>1</v>
      </c>
      <c r="W1085" s="35">
        <v>0</v>
      </c>
      <c r="X1085" s="100">
        <v>-1.48</v>
      </c>
      <c r="Y1085" s="37" t="str">
        <f>RTD("money.excel",,"3321","Price")</f>
        <v>無資料</v>
      </c>
      <c r="Z1085" s="69"/>
      <c r="AA1085" s="16" t="e">
        <f t="shared" si="328"/>
        <v>#VALUE!</v>
      </c>
      <c r="AB1085" s="3" t="e">
        <f t="shared" si="329"/>
        <v>#VALUE!</v>
      </c>
      <c r="AC1085" s="177" t="s">
        <v>2648</v>
      </c>
      <c r="AD1085" s="23" t="s">
        <v>711</v>
      </c>
      <c r="AG1085" s="34">
        <f t="shared" si="330"/>
        <v>0</v>
      </c>
      <c r="AH1085" s="44" t="s">
        <v>3488</v>
      </c>
      <c r="AI1085" s="131"/>
      <c r="AK1085" s="66">
        <f t="shared" ref="AK1085:AK1148" si="331">AM1085/(A1085*10000)</f>
        <v>0</v>
      </c>
      <c r="AL1085" s="174">
        <f t="shared" ref="AL1085:AL1148" si="332">AN1085/(A1085*10000)</f>
        <v>0</v>
      </c>
      <c r="AM1085" s="346">
        <f>RTD("money.excel",,$G1085,"PredictVolume")</f>
        <v>0</v>
      </c>
      <c r="AN1085" s="272">
        <f>RTD("money.excel",,$G1085,"CumulativeVolume")</f>
        <v>0</v>
      </c>
      <c r="AO1085" s="284"/>
    </row>
    <row r="1086" spans="1:41">
      <c r="A1086" s="151" t="s">
        <v>3277</v>
      </c>
      <c r="B1086" s="96">
        <v>71</v>
      </c>
      <c r="C1086" s="96">
        <v>111</v>
      </c>
      <c r="D1086" s="96">
        <v>-1</v>
      </c>
      <c r="E1086" s="96">
        <v>18</v>
      </c>
      <c r="F1086" s="7">
        <v>0.59</v>
      </c>
      <c r="G1086" s="85">
        <v>3322</v>
      </c>
      <c r="H1086" s="4" t="s">
        <v>559</v>
      </c>
      <c r="I1086" s="17" t="s">
        <v>742</v>
      </c>
      <c r="J1086" s="77">
        <v>51.76</v>
      </c>
      <c r="K1086" s="77">
        <v>0.03</v>
      </c>
      <c r="L1086" s="77">
        <v>9.52</v>
      </c>
      <c r="N1086" s="365">
        <f t="shared" si="325"/>
        <v>61.31</v>
      </c>
      <c r="O1086" s="343">
        <f t="shared" si="326"/>
        <v>51.76</v>
      </c>
      <c r="P1086" s="195" t="s">
        <v>5554</v>
      </c>
      <c r="Q1086" s="326" t="str">
        <f>IFERROR(VLOOKUP($G1086,主力整理!$A$2:$G$2301,6,0),"0")</f>
        <v>0</v>
      </c>
      <c r="R1086" s="111">
        <v>10</v>
      </c>
      <c r="T1086" s="339">
        <f t="shared" si="327"/>
        <v>10</v>
      </c>
      <c r="V1086" s="371">
        <v>0</v>
      </c>
      <c r="W1086" s="35">
        <v>0</v>
      </c>
      <c r="X1086" s="100">
        <v>-0.41</v>
      </c>
      <c r="Y1086" s="14" t="str">
        <f>RTD("money.excel",,"3322","Price")</f>
        <v>無資料</v>
      </c>
      <c r="Z1086" s="69"/>
      <c r="AA1086" s="16" t="e">
        <f t="shared" si="328"/>
        <v>#VALUE!</v>
      </c>
      <c r="AB1086" s="3" t="e">
        <f t="shared" si="329"/>
        <v>#VALUE!</v>
      </c>
      <c r="AD1086" s="17" t="s">
        <v>742</v>
      </c>
      <c r="AG1086" s="34">
        <f t="shared" si="330"/>
        <v>0</v>
      </c>
      <c r="AH1086" s="44" t="s">
        <v>3671</v>
      </c>
      <c r="AI1086" s="131"/>
      <c r="AK1086" s="66">
        <f t="shared" si="331"/>
        <v>0</v>
      </c>
      <c r="AL1086" s="174">
        <f t="shared" si="332"/>
        <v>0</v>
      </c>
      <c r="AM1086" s="346">
        <f>RTD("money.excel",,$G1086,"PredictVolume")</f>
        <v>0</v>
      </c>
      <c r="AN1086" s="272">
        <f>RTD("money.excel",,$G1086,"CumulativeVolume")</f>
        <v>0</v>
      </c>
      <c r="AO1086" s="284"/>
    </row>
    <row r="1087" spans="1:41">
      <c r="A1087" s="135" t="s">
        <v>4613</v>
      </c>
      <c r="B1087" s="96">
        <v>19</v>
      </c>
      <c r="C1087" s="96">
        <v>-4</v>
      </c>
      <c r="D1087" s="96">
        <v>8</v>
      </c>
      <c r="E1087" s="96">
        <v>20</v>
      </c>
      <c r="F1087" s="59">
        <v>10.56</v>
      </c>
      <c r="G1087" s="85">
        <v>3332</v>
      </c>
      <c r="H1087" s="4" t="s">
        <v>559</v>
      </c>
      <c r="I1087" s="17" t="s">
        <v>743</v>
      </c>
      <c r="J1087" s="77">
        <v>86.57</v>
      </c>
      <c r="K1087" s="77">
        <v>0.14000000000000001</v>
      </c>
      <c r="L1087" s="77">
        <v>0.36</v>
      </c>
      <c r="N1087" s="365">
        <f t="shared" si="325"/>
        <v>87.07</v>
      </c>
      <c r="O1087" s="343">
        <f t="shared" si="326"/>
        <v>86.57</v>
      </c>
      <c r="P1087" s="195" t="s">
        <v>5554</v>
      </c>
      <c r="Q1087" s="326" t="str">
        <f>IFERROR(VLOOKUP($G1087,主力整理!$A$2:$G$2301,6,0),"0")</f>
        <v>0</v>
      </c>
      <c r="R1087" s="111">
        <v>1</v>
      </c>
      <c r="T1087" s="339">
        <f t="shared" si="327"/>
        <v>1</v>
      </c>
      <c r="V1087" s="371">
        <v>48.17</v>
      </c>
      <c r="W1087" s="35">
        <v>1</v>
      </c>
      <c r="X1087" s="100">
        <v>2.54</v>
      </c>
      <c r="Y1087" s="14" t="str">
        <f>RTD("money.excel",,"3332","Price")</f>
        <v>無資料</v>
      </c>
      <c r="Z1087" s="69"/>
      <c r="AA1087" s="16" t="e">
        <f t="shared" si="328"/>
        <v>#VALUE!</v>
      </c>
      <c r="AB1087" s="3" t="e">
        <f t="shared" si="329"/>
        <v>#VALUE!</v>
      </c>
      <c r="AD1087" s="17" t="s">
        <v>743</v>
      </c>
      <c r="AG1087" s="34">
        <f t="shared" si="330"/>
        <v>0</v>
      </c>
      <c r="AH1087" s="63" t="s">
        <v>3761</v>
      </c>
      <c r="AI1087" s="131"/>
      <c r="AK1087" s="66">
        <f t="shared" si="331"/>
        <v>0</v>
      </c>
      <c r="AL1087" s="174">
        <f t="shared" si="332"/>
        <v>0</v>
      </c>
      <c r="AM1087" s="346">
        <f>RTD("money.excel",,$G1087,"PredictVolume")</f>
        <v>0</v>
      </c>
      <c r="AN1087" s="272">
        <f>RTD("money.excel",,$G1087,"CumulativeVolume")</f>
        <v>0</v>
      </c>
      <c r="AO1087" s="284"/>
    </row>
    <row r="1088" spans="1:41">
      <c r="A1088" s="151" t="s">
        <v>3153</v>
      </c>
      <c r="B1088" s="84">
        <v>175</v>
      </c>
      <c r="C1088" s="84">
        <v>348</v>
      </c>
      <c r="D1088" s="85">
        <v>-37</v>
      </c>
      <c r="E1088" s="85">
        <v>-12</v>
      </c>
      <c r="F1088" s="7">
        <v>9.48</v>
      </c>
      <c r="G1088" s="85">
        <v>3338</v>
      </c>
      <c r="H1088" s="4" t="s">
        <v>559</v>
      </c>
      <c r="I1088" s="23" t="s">
        <v>1688</v>
      </c>
      <c r="J1088" s="371">
        <v>35.020000000000003</v>
      </c>
      <c r="K1088" s="77">
        <v>6.93</v>
      </c>
      <c r="L1088" s="77">
        <v>60.39</v>
      </c>
      <c r="N1088" s="365">
        <f t="shared" si="325"/>
        <v>102.34</v>
      </c>
      <c r="O1088" s="343">
        <f t="shared" si="326"/>
        <v>35.020000000000003</v>
      </c>
      <c r="P1088" s="195">
        <v>3</v>
      </c>
      <c r="Q1088" s="326" t="str">
        <f>IFERROR(VLOOKUP($G1088,主力整理!$A$2:$G$2301,6,0),"0")</f>
        <v>0</v>
      </c>
      <c r="T1088" s="339">
        <f t="shared" si="327"/>
        <v>3</v>
      </c>
      <c r="V1088" s="371">
        <v>20.420000000000002</v>
      </c>
      <c r="W1088" s="35">
        <v>1.8</v>
      </c>
      <c r="X1088" s="100">
        <v>2.58</v>
      </c>
      <c r="Y1088" s="37" t="str">
        <f>RTD("money.excel",,"3338","Price")</f>
        <v>無資料</v>
      </c>
      <c r="Z1088" s="69"/>
      <c r="AA1088" s="16" t="e">
        <f t="shared" si="328"/>
        <v>#VALUE!</v>
      </c>
      <c r="AB1088" s="3" t="e">
        <f t="shared" si="329"/>
        <v>#VALUE!</v>
      </c>
      <c r="AC1088" s="177" t="s">
        <v>2648</v>
      </c>
      <c r="AD1088" s="23" t="s">
        <v>1688</v>
      </c>
      <c r="AG1088" s="34">
        <f t="shared" si="330"/>
        <v>0</v>
      </c>
      <c r="AH1088" s="44" t="s">
        <v>4554</v>
      </c>
      <c r="AI1088" s="131"/>
      <c r="AK1088" s="66">
        <f t="shared" si="331"/>
        <v>0</v>
      </c>
      <c r="AL1088" s="174">
        <f t="shared" si="332"/>
        <v>0</v>
      </c>
      <c r="AM1088" s="346">
        <f>RTD("money.excel",,$G1088,"PredictVolume")</f>
        <v>0</v>
      </c>
      <c r="AN1088" s="272">
        <f>RTD("money.excel",,$G1088,"CumulativeVolume")</f>
        <v>0</v>
      </c>
      <c r="AO1088" s="284"/>
    </row>
    <row r="1089" spans="1:41">
      <c r="A1089" s="151" t="s">
        <v>4614</v>
      </c>
      <c r="B1089" s="96">
        <v>-40</v>
      </c>
      <c r="C1089" s="96">
        <v>-38</v>
      </c>
      <c r="D1089" s="96">
        <v>1</v>
      </c>
      <c r="E1089" s="96">
        <v>6</v>
      </c>
      <c r="F1089" s="7">
        <v>-13.21</v>
      </c>
      <c r="G1089" s="85">
        <v>3354</v>
      </c>
      <c r="H1089" s="4" t="s">
        <v>559</v>
      </c>
      <c r="I1089" s="17" t="s">
        <v>744</v>
      </c>
      <c r="J1089" s="77">
        <v>71.81</v>
      </c>
      <c r="K1089" s="77">
        <v>0.02</v>
      </c>
      <c r="L1089" s="77">
        <v>9.83</v>
      </c>
      <c r="N1089" s="365">
        <f t="shared" si="325"/>
        <v>81.66</v>
      </c>
      <c r="O1089" s="343">
        <f t="shared" si="326"/>
        <v>71.81</v>
      </c>
      <c r="P1089" s="195" t="s">
        <v>5554</v>
      </c>
      <c r="Q1089" s="326">
        <f>IFERROR(VLOOKUP($G1089,主力整理!$A$2:$G$2301,6,0),"0")</f>
        <v>2</v>
      </c>
      <c r="R1089" s="111">
        <v>8</v>
      </c>
      <c r="T1089" s="339">
        <f t="shared" si="327"/>
        <v>10</v>
      </c>
      <c r="V1089" s="371">
        <v>39.75</v>
      </c>
      <c r="W1089" s="35">
        <v>0.3</v>
      </c>
      <c r="X1089" s="100">
        <v>-0.74</v>
      </c>
      <c r="Y1089" s="14" t="str">
        <f>RTD("money.excel",,"3354","Price")</f>
        <v>無資料</v>
      </c>
      <c r="Z1089" s="69"/>
      <c r="AA1089" s="16" t="e">
        <f t="shared" si="328"/>
        <v>#VALUE!</v>
      </c>
      <c r="AB1089" s="3" t="e">
        <f t="shared" si="329"/>
        <v>#VALUE!</v>
      </c>
      <c r="AD1089" s="17" t="s">
        <v>744</v>
      </c>
      <c r="AG1089" s="34">
        <f t="shared" si="330"/>
        <v>0</v>
      </c>
      <c r="AH1089" s="44" t="s">
        <v>3773</v>
      </c>
      <c r="AI1089" s="131"/>
      <c r="AK1089" s="66">
        <f t="shared" si="331"/>
        <v>0</v>
      </c>
      <c r="AL1089" s="174">
        <f t="shared" si="332"/>
        <v>0</v>
      </c>
      <c r="AM1089" s="346">
        <f>RTD("money.excel",,$G1089,"PredictVolume")</f>
        <v>0</v>
      </c>
      <c r="AN1089" s="272">
        <f>RTD("money.excel",,$G1089,"CumulativeVolume")</f>
        <v>0</v>
      </c>
      <c r="AO1089" s="284"/>
    </row>
    <row r="1090" spans="1:41">
      <c r="A1090" s="135" t="s">
        <v>2555</v>
      </c>
      <c r="B1090" s="84">
        <v>54</v>
      </c>
      <c r="C1090" s="84">
        <v>48</v>
      </c>
      <c r="D1090" s="84">
        <v>0</v>
      </c>
      <c r="E1090" s="84">
        <v>35</v>
      </c>
      <c r="F1090" s="59">
        <v>20.7</v>
      </c>
      <c r="G1090" s="85">
        <v>3357</v>
      </c>
      <c r="H1090" s="4" t="s">
        <v>559</v>
      </c>
      <c r="I1090" s="17" t="s">
        <v>5165</v>
      </c>
      <c r="J1090" s="77">
        <v>45.58</v>
      </c>
      <c r="K1090" s="77">
        <v>11.02</v>
      </c>
      <c r="L1090" s="371"/>
      <c r="N1090" s="365">
        <f t="shared" si="325"/>
        <v>56.599999999999994</v>
      </c>
      <c r="O1090" s="343">
        <f t="shared" si="326"/>
        <v>45.58</v>
      </c>
      <c r="P1090" s="195">
        <v>6</v>
      </c>
      <c r="Q1090" s="326" t="str">
        <f>IFERROR(VLOOKUP($G1090,主力整理!$A$2:$G$2301,6,0),"0")</f>
        <v>0</v>
      </c>
      <c r="R1090" s="111">
        <v>5</v>
      </c>
      <c r="S1090" s="51">
        <v>0</v>
      </c>
      <c r="T1090" s="339">
        <f t="shared" si="327"/>
        <v>11</v>
      </c>
      <c r="W1090" s="69">
        <v>4.0999999999999996</v>
      </c>
      <c r="X1090" s="100">
        <v>10.07</v>
      </c>
      <c r="Y1090" s="37" t="str">
        <f>RTD("money.excel",,"3357","Price")</f>
        <v>無資料</v>
      </c>
      <c r="Z1090" s="69"/>
      <c r="AA1090" s="16" t="e">
        <f t="shared" si="328"/>
        <v>#VALUE!</v>
      </c>
      <c r="AB1090" s="3" t="e">
        <f t="shared" si="329"/>
        <v>#VALUE!</v>
      </c>
      <c r="AC1090" s="177" t="s">
        <v>2929</v>
      </c>
      <c r="AD1090" s="17" t="s">
        <v>5165</v>
      </c>
      <c r="AG1090" s="34">
        <f t="shared" si="330"/>
        <v>0</v>
      </c>
      <c r="AH1090" s="63" t="s">
        <v>5166</v>
      </c>
      <c r="AI1090" s="131"/>
      <c r="AK1090" s="66">
        <f t="shared" si="331"/>
        <v>0</v>
      </c>
      <c r="AL1090" s="174">
        <f t="shared" si="332"/>
        <v>0</v>
      </c>
      <c r="AM1090" s="346">
        <f>RTD("money.excel",,$G1090,"PredictVolume")</f>
        <v>0</v>
      </c>
      <c r="AN1090" s="272">
        <f>RTD("money.excel",,$G1090,"CumulativeVolume")</f>
        <v>0</v>
      </c>
      <c r="AO1090" s="284"/>
    </row>
    <row r="1091" spans="1:41">
      <c r="A1091" s="135" t="s">
        <v>3064</v>
      </c>
      <c r="B1091" s="85">
        <v>-25</v>
      </c>
      <c r="C1091" s="85">
        <v>-35</v>
      </c>
      <c r="D1091" s="84">
        <v>9</v>
      </c>
      <c r="E1091" s="85">
        <v>-21</v>
      </c>
      <c r="F1091" s="59">
        <v>13.23</v>
      </c>
      <c r="G1091" s="85">
        <v>3376</v>
      </c>
      <c r="H1091" s="4" t="s">
        <v>559</v>
      </c>
      <c r="I1091" s="23" t="s">
        <v>117</v>
      </c>
      <c r="J1091" s="371">
        <v>53.16</v>
      </c>
      <c r="K1091" s="77">
        <v>20.92</v>
      </c>
      <c r="L1091" s="371">
        <v>11.43</v>
      </c>
      <c r="N1091" s="365">
        <f t="shared" si="325"/>
        <v>85.509999999999991</v>
      </c>
      <c r="O1091" s="343">
        <f t="shared" si="326"/>
        <v>53.16</v>
      </c>
      <c r="P1091" s="195">
        <v>27</v>
      </c>
      <c r="Q1091" s="326">
        <v>1</v>
      </c>
      <c r="R1091" s="111">
        <v>3</v>
      </c>
      <c r="S1091" s="51">
        <v>8</v>
      </c>
      <c r="T1091" s="339">
        <f t="shared" si="327"/>
        <v>39</v>
      </c>
      <c r="V1091" s="371">
        <v>1.89</v>
      </c>
      <c r="W1091" s="69">
        <v>6.98</v>
      </c>
      <c r="X1091" s="59">
        <v>7.24</v>
      </c>
      <c r="Y1091" s="37" t="str">
        <f>RTD("money.excel",,"3376","Price")</f>
        <v>無資料</v>
      </c>
      <c r="Z1091" s="69"/>
      <c r="AA1091" s="16" t="e">
        <f t="shared" si="328"/>
        <v>#VALUE!</v>
      </c>
      <c r="AB1091" s="3" t="e">
        <f t="shared" si="329"/>
        <v>#VALUE!</v>
      </c>
      <c r="AC1091" s="177" t="s">
        <v>2929</v>
      </c>
      <c r="AD1091" s="23" t="s">
        <v>117</v>
      </c>
      <c r="AG1091" s="34">
        <f t="shared" si="330"/>
        <v>0</v>
      </c>
      <c r="AH1091" s="126" t="s">
        <v>3806</v>
      </c>
      <c r="AI1091" s="131"/>
      <c r="AK1091" s="66">
        <f t="shared" si="331"/>
        <v>0</v>
      </c>
      <c r="AL1091" s="174">
        <f t="shared" si="332"/>
        <v>0</v>
      </c>
      <c r="AM1091" s="346">
        <f>RTD("money.excel",,$G1091,"PredictVolume")</f>
        <v>0</v>
      </c>
      <c r="AN1091" s="272">
        <f>RTD("money.excel",,$G1091,"CumulativeVolume")</f>
        <v>0</v>
      </c>
      <c r="AO1091" s="284"/>
    </row>
    <row r="1092" spans="1:41">
      <c r="A1092" s="151" t="s">
        <v>2491</v>
      </c>
      <c r="B1092" s="84">
        <v>3</v>
      </c>
      <c r="C1092" s="85">
        <v>-4</v>
      </c>
      <c r="D1092" s="85">
        <v>-31</v>
      </c>
      <c r="E1092" s="84">
        <v>12</v>
      </c>
      <c r="F1092" s="7">
        <v>6.25</v>
      </c>
      <c r="G1092" s="85">
        <v>3388</v>
      </c>
      <c r="H1092" s="4" t="s">
        <v>559</v>
      </c>
      <c r="I1092" s="17" t="s">
        <v>745</v>
      </c>
      <c r="J1092" s="371">
        <v>33.86</v>
      </c>
      <c r="K1092" s="371">
        <v>5.58</v>
      </c>
      <c r="L1092" s="371">
        <v>0.75</v>
      </c>
      <c r="N1092" s="365">
        <f t="shared" si="325"/>
        <v>40.19</v>
      </c>
      <c r="O1092" s="343">
        <f t="shared" si="326"/>
        <v>33.86</v>
      </c>
      <c r="P1092" s="195">
        <v>3</v>
      </c>
      <c r="Q1092" s="326" t="str">
        <f>IFERROR(VLOOKUP($G1092,主力整理!$A$2:$G$2301,6,0),"0")</f>
        <v>0</v>
      </c>
      <c r="R1092" s="111">
        <v>5</v>
      </c>
      <c r="T1092" s="339">
        <f t="shared" si="327"/>
        <v>8</v>
      </c>
      <c r="V1092" s="371">
        <v>0</v>
      </c>
      <c r="W1092" s="69">
        <v>4.3</v>
      </c>
      <c r="X1092" s="100">
        <v>5.32</v>
      </c>
      <c r="Y1092" s="37" t="str">
        <f>RTD("money.excel",,"3388","Price")</f>
        <v>無資料</v>
      </c>
      <c r="Z1092" s="69"/>
      <c r="AA1092" s="16" t="e">
        <f t="shared" si="328"/>
        <v>#VALUE!</v>
      </c>
      <c r="AB1092" s="3" t="e">
        <f t="shared" si="329"/>
        <v>#VALUE!</v>
      </c>
      <c r="AC1092" s="177" t="s">
        <v>2929</v>
      </c>
      <c r="AD1092" s="17" t="s">
        <v>745</v>
      </c>
      <c r="AG1092" s="34">
        <f t="shared" si="330"/>
        <v>0</v>
      </c>
      <c r="AH1092" s="44" t="s">
        <v>2614</v>
      </c>
      <c r="AI1092" s="131"/>
      <c r="AK1092" s="66">
        <f t="shared" si="331"/>
        <v>0</v>
      </c>
      <c r="AL1092" s="174">
        <f t="shared" si="332"/>
        <v>0</v>
      </c>
      <c r="AM1092" s="346">
        <f>RTD("money.excel",,$G1092,"PredictVolume")</f>
        <v>0</v>
      </c>
      <c r="AN1092" s="272">
        <f>RTD("money.excel",,$G1092,"CumulativeVolume")</f>
        <v>0</v>
      </c>
      <c r="AO1092" s="284"/>
    </row>
    <row r="1093" spans="1:41">
      <c r="A1093" s="151" t="s">
        <v>2750</v>
      </c>
      <c r="B1093" s="84">
        <v>134</v>
      </c>
      <c r="C1093" s="84">
        <v>156</v>
      </c>
      <c r="D1093" s="84">
        <v>1</v>
      </c>
      <c r="E1093" s="84">
        <v>5</v>
      </c>
      <c r="F1093" s="7">
        <v>6.96</v>
      </c>
      <c r="G1093" s="85">
        <v>3390</v>
      </c>
      <c r="H1093" s="4" t="s">
        <v>559</v>
      </c>
      <c r="I1093" s="17" t="s">
        <v>746</v>
      </c>
      <c r="J1093" s="77">
        <v>25.35</v>
      </c>
      <c r="K1093" s="77">
        <v>0.67</v>
      </c>
      <c r="L1093" s="77">
        <v>19.309999999999999</v>
      </c>
      <c r="M1093" s="365">
        <v>19.670000000000002</v>
      </c>
      <c r="N1093" s="365">
        <f t="shared" si="325"/>
        <v>65</v>
      </c>
      <c r="O1093" s="343">
        <f t="shared" si="326"/>
        <v>45.02</v>
      </c>
      <c r="P1093" s="195">
        <v>0</v>
      </c>
      <c r="Q1093" s="326">
        <v>2</v>
      </c>
      <c r="R1093" s="111">
        <v>12</v>
      </c>
      <c r="S1093" s="51">
        <v>12</v>
      </c>
      <c r="T1093" s="339">
        <f t="shared" si="327"/>
        <v>26</v>
      </c>
      <c r="U1093" s="329" t="s">
        <v>6538</v>
      </c>
      <c r="V1093" s="371">
        <v>0.22</v>
      </c>
      <c r="W1093" s="35">
        <v>0.2</v>
      </c>
      <c r="X1093" s="100">
        <v>-0.1</v>
      </c>
      <c r="Y1093" s="37" t="str">
        <f>RTD("money.excel",,"3390","Price")</f>
        <v>無資料</v>
      </c>
      <c r="Z1093" s="69"/>
      <c r="AA1093" s="16" t="e">
        <f t="shared" si="328"/>
        <v>#VALUE!</v>
      </c>
      <c r="AB1093" s="3" t="e">
        <f t="shared" si="329"/>
        <v>#VALUE!</v>
      </c>
      <c r="AD1093" s="17" t="s">
        <v>746</v>
      </c>
      <c r="AG1093" s="34">
        <f t="shared" si="330"/>
        <v>0</v>
      </c>
      <c r="AH1093" s="44" t="s">
        <v>3801</v>
      </c>
      <c r="AI1093" s="131"/>
      <c r="AK1093" s="66">
        <f t="shared" si="331"/>
        <v>0</v>
      </c>
      <c r="AL1093" s="174">
        <f t="shared" si="332"/>
        <v>0</v>
      </c>
      <c r="AM1093" s="346">
        <f>RTD("money.excel",,$G1093,"PredictVolume")</f>
        <v>0</v>
      </c>
      <c r="AN1093" s="272">
        <f>RTD("money.excel",,$G1093,"CumulativeVolume")</f>
        <v>0</v>
      </c>
      <c r="AO1093" s="284"/>
    </row>
    <row r="1094" spans="1:41">
      <c r="A1094" s="151" t="s">
        <v>3015</v>
      </c>
      <c r="B1094" s="96">
        <v>-40</v>
      </c>
      <c r="C1094" s="96">
        <v>-27</v>
      </c>
      <c r="D1094" s="96">
        <v>37</v>
      </c>
      <c r="E1094" s="96">
        <v>26</v>
      </c>
      <c r="F1094" s="7">
        <v>-71.66</v>
      </c>
      <c r="G1094" s="85">
        <v>3432</v>
      </c>
      <c r="H1094" s="4" t="s">
        <v>559</v>
      </c>
      <c r="I1094" s="23" t="s">
        <v>712</v>
      </c>
      <c r="J1094" s="77">
        <v>67.209999999999994</v>
      </c>
      <c r="K1094" s="77">
        <v>4.12</v>
      </c>
      <c r="L1094" s="77">
        <v>16.510000000000002</v>
      </c>
      <c r="N1094" s="365">
        <f t="shared" si="325"/>
        <v>87.84</v>
      </c>
      <c r="O1094" s="343">
        <f t="shared" si="326"/>
        <v>67.209999999999994</v>
      </c>
      <c r="P1094" s="195" t="s">
        <v>5554</v>
      </c>
      <c r="Q1094" s="326" t="str">
        <f>IFERROR(VLOOKUP($G1094,主力整理!$A$2:$G$2301,6,0),"0")</f>
        <v>0</v>
      </c>
      <c r="T1094" s="339">
        <f t="shared" si="327"/>
        <v>0</v>
      </c>
      <c r="V1094" s="371">
        <v>27.24</v>
      </c>
      <c r="W1094" s="35">
        <v>0.25</v>
      </c>
      <c r="X1094" s="100">
        <v>0.49</v>
      </c>
      <c r="Y1094" s="14" t="str">
        <f>RTD("money.excel",,"3432","Price")</f>
        <v>無資料</v>
      </c>
      <c r="Z1094" s="69"/>
      <c r="AA1094" s="16" t="e">
        <f t="shared" si="328"/>
        <v>#VALUE!</v>
      </c>
      <c r="AB1094" s="3" t="e">
        <f t="shared" si="329"/>
        <v>#VALUE!</v>
      </c>
      <c r="AD1094" s="23" t="s">
        <v>712</v>
      </c>
      <c r="AG1094" s="34">
        <f t="shared" si="330"/>
        <v>0</v>
      </c>
      <c r="AH1094" s="44" t="s">
        <v>2961</v>
      </c>
      <c r="AI1094" s="284"/>
      <c r="AK1094" s="66">
        <f t="shared" si="331"/>
        <v>0</v>
      </c>
      <c r="AL1094" s="174">
        <f t="shared" si="332"/>
        <v>0</v>
      </c>
      <c r="AM1094" s="346">
        <f>RTD("money.excel",,$G1094,"PredictVolume")</f>
        <v>0</v>
      </c>
      <c r="AN1094" s="272">
        <f>RTD("money.excel",,$G1094,"CumulativeVolume")</f>
        <v>0</v>
      </c>
      <c r="AO1094" s="66"/>
    </row>
    <row r="1095" spans="1:41">
      <c r="A1095" s="135" t="s">
        <v>4616</v>
      </c>
      <c r="B1095" s="98">
        <v>1577</v>
      </c>
      <c r="C1095" s="98">
        <v>2075</v>
      </c>
      <c r="D1095" s="85">
        <v>-1</v>
      </c>
      <c r="E1095" s="84">
        <v>276</v>
      </c>
      <c r="F1095" s="59">
        <v>22.35</v>
      </c>
      <c r="G1095" s="85">
        <v>3465</v>
      </c>
      <c r="H1095" s="4" t="s">
        <v>559</v>
      </c>
      <c r="I1095" s="17" t="s">
        <v>4615</v>
      </c>
      <c r="J1095" s="371">
        <v>74.77</v>
      </c>
      <c r="K1095" s="77">
        <v>23.98</v>
      </c>
      <c r="L1095" s="371"/>
      <c r="N1095" s="365">
        <f t="shared" si="325"/>
        <v>98.75</v>
      </c>
      <c r="O1095" s="343">
        <f t="shared" si="326"/>
        <v>74.77</v>
      </c>
      <c r="P1095" s="195">
        <v>0</v>
      </c>
      <c r="Q1095" s="326" t="str">
        <f>IFERROR(VLOOKUP($G1095,主力整理!$A$2:$G$2301,6,0),"0")</f>
        <v>0</v>
      </c>
      <c r="R1095" s="111">
        <v>12</v>
      </c>
      <c r="S1095" s="51">
        <v>0</v>
      </c>
      <c r="T1095" s="339">
        <f t="shared" si="327"/>
        <v>12</v>
      </c>
      <c r="W1095" s="69">
        <v>4</v>
      </c>
      <c r="X1095" s="59">
        <v>11.22</v>
      </c>
      <c r="Y1095" s="37" t="str">
        <f>RTD("money.excel",,"3465","Price")</f>
        <v>無資料</v>
      </c>
      <c r="Z1095" s="69"/>
      <c r="AA1095" s="16" t="e">
        <f t="shared" si="328"/>
        <v>#VALUE!</v>
      </c>
      <c r="AB1095" s="3" t="e">
        <f t="shared" si="329"/>
        <v>#VALUE!</v>
      </c>
      <c r="AC1095" s="177" t="s">
        <v>2700</v>
      </c>
      <c r="AD1095" s="17" t="s">
        <v>4615</v>
      </c>
      <c r="AG1095" s="34">
        <f t="shared" si="330"/>
        <v>0</v>
      </c>
      <c r="AH1095" s="63" t="s">
        <v>3802</v>
      </c>
      <c r="AI1095" s="131"/>
      <c r="AK1095" s="66">
        <f t="shared" si="331"/>
        <v>0</v>
      </c>
      <c r="AL1095" s="174">
        <f t="shared" si="332"/>
        <v>0</v>
      </c>
      <c r="AM1095" s="346">
        <f>RTD("money.excel",,$G1095,"PredictVolume")</f>
        <v>0</v>
      </c>
      <c r="AN1095" s="272">
        <f>RTD("money.excel",,$G1095,"CumulativeVolume")</f>
        <v>0</v>
      </c>
      <c r="AO1095" s="284"/>
    </row>
    <row r="1096" spans="1:41">
      <c r="A1096" s="151" t="s">
        <v>2672</v>
      </c>
      <c r="B1096" s="84">
        <v>97</v>
      </c>
      <c r="C1096" s="84">
        <v>83</v>
      </c>
      <c r="D1096" s="84">
        <v>5</v>
      </c>
      <c r="E1096" s="84">
        <v>85</v>
      </c>
      <c r="F1096" s="7">
        <v>7.73</v>
      </c>
      <c r="G1096" s="85">
        <v>3484</v>
      </c>
      <c r="H1096" s="4" t="s">
        <v>559</v>
      </c>
      <c r="I1096" s="17" t="s">
        <v>747</v>
      </c>
      <c r="J1096" s="371">
        <v>21.4</v>
      </c>
      <c r="K1096" s="371">
        <v>6.96</v>
      </c>
      <c r="L1096" s="77">
        <v>54.91</v>
      </c>
      <c r="N1096" s="365">
        <f t="shared" si="325"/>
        <v>83.27</v>
      </c>
      <c r="O1096" s="343">
        <f t="shared" si="326"/>
        <v>21.4</v>
      </c>
      <c r="P1096" s="195" t="s">
        <v>5554</v>
      </c>
      <c r="Q1096" s="326" t="str">
        <f>IFERROR(VLOOKUP($G1096,主力整理!$A$2:$G$2301,6,0),"0")</f>
        <v>0</v>
      </c>
      <c r="T1096" s="339">
        <f t="shared" si="327"/>
        <v>0</v>
      </c>
      <c r="V1096" s="371">
        <v>1.7</v>
      </c>
      <c r="W1096" s="69">
        <v>3.2</v>
      </c>
      <c r="X1096" s="100">
        <v>5.2</v>
      </c>
      <c r="Y1096" s="37" t="str">
        <f>RTD("money.excel",,"3484","Price")</f>
        <v>無資料</v>
      </c>
      <c r="Z1096" s="69"/>
      <c r="AA1096" s="16" t="e">
        <f t="shared" si="328"/>
        <v>#VALUE!</v>
      </c>
      <c r="AB1096" s="3" t="e">
        <f t="shared" si="329"/>
        <v>#VALUE!</v>
      </c>
      <c r="AC1096" s="177" t="s">
        <v>2929</v>
      </c>
      <c r="AD1096" s="17" t="s">
        <v>747</v>
      </c>
      <c r="AG1096" s="34">
        <f t="shared" si="330"/>
        <v>0</v>
      </c>
      <c r="AH1096" s="44" t="s">
        <v>4508</v>
      </c>
      <c r="AI1096" s="131"/>
      <c r="AK1096" s="66">
        <f t="shared" si="331"/>
        <v>0</v>
      </c>
      <c r="AL1096" s="174">
        <f t="shared" si="332"/>
        <v>0</v>
      </c>
      <c r="AM1096" s="346">
        <f>RTD("money.excel",,$G1096,"PredictVolume")</f>
        <v>0</v>
      </c>
      <c r="AN1096" s="272">
        <f>RTD("money.excel",,$G1096,"CumulativeVolume")</f>
        <v>0</v>
      </c>
      <c r="AO1096" s="284"/>
    </row>
    <row r="1097" spans="1:41">
      <c r="A1097" s="151" t="s">
        <v>3352</v>
      </c>
      <c r="B1097" s="96">
        <v>-70</v>
      </c>
      <c r="C1097" s="96">
        <v>-59</v>
      </c>
      <c r="D1097" s="96">
        <v>16</v>
      </c>
      <c r="E1097" s="96">
        <v>20</v>
      </c>
      <c r="F1097" s="7">
        <v>6.27</v>
      </c>
      <c r="G1097" s="85">
        <v>3492</v>
      </c>
      <c r="H1097" s="4" t="s">
        <v>559</v>
      </c>
      <c r="I1097" s="17" t="s">
        <v>748</v>
      </c>
      <c r="J1097" s="77">
        <v>53.21</v>
      </c>
      <c r="K1097" s="77">
        <v>0.14000000000000001</v>
      </c>
      <c r="L1097" s="77">
        <v>12.17</v>
      </c>
      <c r="N1097" s="365">
        <f t="shared" si="325"/>
        <v>65.52</v>
      </c>
      <c r="O1097" s="343">
        <f t="shared" si="326"/>
        <v>53.21</v>
      </c>
      <c r="P1097" s="195" t="s">
        <v>5554</v>
      </c>
      <c r="Q1097" s="326" t="str">
        <f>IFERROR(VLOOKUP($G1097,主力整理!$A$2:$G$2301,6,0),"0")</f>
        <v>0</v>
      </c>
      <c r="T1097" s="339">
        <f t="shared" si="327"/>
        <v>0</v>
      </c>
      <c r="V1097" s="371">
        <v>40.67</v>
      </c>
      <c r="W1097" s="35">
        <v>0.8</v>
      </c>
      <c r="X1097" s="100">
        <v>0.42</v>
      </c>
      <c r="Y1097" s="14" t="str">
        <f>RTD("money.excel",,"3492","Price")</f>
        <v>無資料</v>
      </c>
      <c r="Z1097" s="69"/>
      <c r="AA1097" s="16" t="e">
        <f t="shared" si="328"/>
        <v>#VALUE!</v>
      </c>
      <c r="AB1097" s="3" t="e">
        <f t="shared" si="329"/>
        <v>#VALUE!</v>
      </c>
      <c r="AD1097" s="17" t="s">
        <v>748</v>
      </c>
      <c r="AG1097" s="34">
        <f t="shared" si="330"/>
        <v>0</v>
      </c>
      <c r="AH1097" s="44" t="s">
        <v>2961</v>
      </c>
      <c r="AI1097" s="131"/>
      <c r="AK1097" s="66">
        <f t="shared" si="331"/>
        <v>0</v>
      </c>
      <c r="AL1097" s="174">
        <f t="shared" si="332"/>
        <v>0</v>
      </c>
      <c r="AM1097" s="346">
        <f>RTD("money.excel",,$G1097,"PredictVolume")</f>
        <v>0</v>
      </c>
      <c r="AN1097" s="272">
        <f>RTD("money.excel",,$G1097,"CumulativeVolume")</f>
        <v>0</v>
      </c>
      <c r="AO1097" s="284"/>
    </row>
    <row r="1098" spans="1:41">
      <c r="A1098" s="135" t="s">
        <v>2498</v>
      </c>
      <c r="B1098" s="96">
        <v>-22</v>
      </c>
      <c r="C1098" s="96">
        <v>-22</v>
      </c>
      <c r="D1098" s="96">
        <v>-10</v>
      </c>
      <c r="E1098" s="96">
        <v>-29</v>
      </c>
      <c r="F1098" s="59">
        <v>12.19</v>
      </c>
      <c r="G1098" s="85">
        <v>3501</v>
      </c>
      <c r="H1098" s="4" t="s">
        <v>559</v>
      </c>
      <c r="I1098" s="23" t="s">
        <v>419</v>
      </c>
      <c r="J1098" s="77">
        <v>52.67</v>
      </c>
      <c r="K1098" s="77">
        <v>3.67</v>
      </c>
      <c r="L1098" s="77">
        <v>2.78</v>
      </c>
      <c r="N1098" s="365">
        <f t="shared" si="325"/>
        <v>59.120000000000005</v>
      </c>
      <c r="O1098" s="343">
        <f t="shared" si="326"/>
        <v>52.67</v>
      </c>
      <c r="P1098" s="195" t="s">
        <v>5554</v>
      </c>
      <c r="Q1098" s="326" t="str">
        <f>IFERROR(VLOOKUP($G1098,主力整理!$A$2:$G$2301,6,0),"0")</f>
        <v>0</v>
      </c>
      <c r="T1098" s="339">
        <f t="shared" si="327"/>
        <v>0</v>
      </c>
      <c r="V1098" s="371">
        <v>28.36</v>
      </c>
      <c r="W1098" s="35">
        <v>2.5</v>
      </c>
      <c r="X1098" s="100">
        <v>3.59</v>
      </c>
      <c r="Y1098" s="37" t="str">
        <f>RTD("money.excel",,"3501","Price")</f>
        <v>無資料</v>
      </c>
      <c r="Z1098" s="69"/>
      <c r="AA1098" s="16" t="e">
        <f t="shared" si="328"/>
        <v>#VALUE!</v>
      </c>
      <c r="AB1098" s="3" t="e">
        <f t="shared" si="329"/>
        <v>#VALUE!</v>
      </c>
      <c r="AD1098" s="23" t="s">
        <v>419</v>
      </c>
      <c r="AG1098" s="34">
        <f t="shared" si="330"/>
        <v>0</v>
      </c>
      <c r="AH1098" s="50" t="s">
        <v>2629</v>
      </c>
      <c r="AI1098" s="131"/>
      <c r="AK1098" s="66">
        <f t="shared" si="331"/>
        <v>0</v>
      </c>
      <c r="AL1098" s="174">
        <f t="shared" si="332"/>
        <v>0</v>
      </c>
      <c r="AM1098" s="346">
        <f>RTD("money.excel",,$G1098,"PredictVolume")</f>
        <v>0</v>
      </c>
      <c r="AN1098" s="272">
        <f>RTD("money.excel",,$G1098,"CumulativeVolume")</f>
        <v>0</v>
      </c>
      <c r="AO1098" s="284"/>
    </row>
    <row r="1099" spans="1:41">
      <c r="A1099" s="151" t="s">
        <v>3425</v>
      </c>
      <c r="B1099" s="84">
        <v>56</v>
      </c>
      <c r="C1099" s="84">
        <v>89</v>
      </c>
      <c r="D1099" s="84">
        <v>11</v>
      </c>
      <c r="E1099" s="84">
        <v>192</v>
      </c>
      <c r="F1099" s="7">
        <v>5.95</v>
      </c>
      <c r="G1099" s="85">
        <v>3511</v>
      </c>
      <c r="H1099" s="4" t="s">
        <v>559</v>
      </c>
      <c r="I1099" s="17" t="s">
        <v>749</v>
      </c>
      <c r="J1099" s="371">
        <v>53.52</v>
      </c>
      <c r="K1099" s="371">
        <v>0.85</v>
      </c>
      <c r="L1099" s="77">
        <v>47.31</v>
      </c>
      <c r="M1099" s="77">
        <v>37.51</v>
      </c>
      <c r="N1099" s="77">
        <f t="shared" si="325"/>
        <v>139.19</v>
      </c>
      <c r="O1099" s="369">
        <f t="shared" si="326"/>
        <v>91.03</v>
      </c>
      <c r="P1099" s="195">
        <v>0</v>
      </c>
      <c r="Q1099" s="326">
        <v>21</v>
      </c>
      <c r="R1099" s="111">
        <v>30</v>
      </c>
      <c r="S1099" s="51">
        <v>28</v>
      </c>
      <c r="T1099" s="339">
        <f t="shared" si="327"/>
        <v>79</v>
      </c>
      <c r="U1099" s="329" t="s">
        <v>6538</v>
      </c>
      <c r="V1099" s="371">
        <v>1.62</v>
      </c>
      <c r="W1099" s="35">
        <v>0.5</v>
      </c>
      <c r="X1099" s="59">
        <v>1.25</v>
      </c>
      <c r="Y1099" s="37" t="str">
        <f>RTD("money.excel",,"3511","Price")</f>
        <v>無資料</v>
      </c>
      <c r="Z1099" s="69"/>
      <c r="AA1099" s="16" t="e">
        <f t="shared" si="328"/>
        <v>#VALUE!</v>
      </c>
      <c r="AB1099" s="3" t="e">
        <f t="shared" si="329"/>
        <v>#VALUE!</v>
      </c>
      <c r="AD1099" s="17" t="s">
        <v>749</v>
      </c>
      <c r="AG1099" s="34">
        <f t="shared" si="330"/>
        <v>0</v>
      </c>
      <c r="AH1099" s="44" t="s">
        <v>2961</v>
      </c>
      <c r="AI1099" s="131"/>
      <c r="AK1099" s="66">
        <f t="shared" si="331"/>
        <v>0</v>
      </c>
      <c r="AL1099" s="174">
        <f t="shared" si="332"/>
        <v>0</v>
      </c>
      <c r="AM1099" s="346">
        <f>RTD("money.excel",,$G1099,"PredictVolume")</f>
        <v>0</v>
      </c>
      <c r="AN1099" s="272">
        <f>RTD("money.excel",,$G1099,"CumulativeVolume")</f>
        <v>0</v>
      </c>
      <c r="AO1099" s="284"/>
    </row>
    <row r="1100" spans="1:41">
      <c r="A1100" s="151" t="s">
        <v>3482</v>
      </c>
      <c r="B1100" s="85">
        <v>789</v>
      </c>
      <c r="C1100" s="85">
        <v>980</v>
      </c>
      <c r="D1100" s="85">
        <v>-70</v>
      </c>
      <c r="E1100" s="85">
        <v>-67</v>
      </c>
      <c r="F1100" s="7">
        <v>8.42</v>
      </c>
      <c r="G1100" s="85">
        <v>3512</v>
      </c>
      <c r="H1100" s="4" t="s">
        <v>559</v>
      </c>
      <c r="I1100" s="17" t="s">
        <v>1719</v>
      </c>
      <c r="J1100" s="77">
        <v>71.28</v>
      </c>
      <c r="K1100" s="77">
        <v>0.34</v>
      </c>
      <c r="L1100" s="77">
        <v>20.88</v>
      </c>
      <c r="N1100" s="365">
        <f t="shared" si="325"/>
        <v>92.5</v>
      </c>
      <c r="O1100" s="343">
        <f t="shared" si="326"/>
        <v>71.28</v>
      </c>
      <c r="P1100" s="195" t="s">
        <v>5554</v>
      </c>
      <c r="Q1100" s="326" t="str">
        <f>IFERROR(VLOOKUP($G1100,主力整理!$A$2:$G$2301,6,0),"0")</f>
        <v>0</v>
      </c>
      <c r="T1100" s="339">
        <f t="shared" si="327"/>
        <v>0</v>
      </c>
      <c r="V1100" s="371">
        <v>0.02</v>
      </c>
      <c r="W1100" s="35">
        <v>2</v>
      </c>
      <c r="X1100" s="59">
        <v>2.69</v>
      </c>
      <c r="Y1100" s="37" t="str">
        <f>RTD("money.excel",,"3512","Price")</f>
        <v>無資料</v>
      </c>
      <c r="Z1100" s="69"/>
      <c r="AA1100" s="16" t="e">
        <f t="shared" si="328"/>
        <v>#VALUE!</v>
      </c>
      <c r="AB1100" s="3" t="e">
        <f t="shared" si="329"/>
        <v>#VALUE!</v>
      </c>
      <c r="AD1100" s="17" t="s">
        <v>1719</v>
      </c>
      <c r="AG1100" s="34">
        <f t="shared" si="330"/>
        <v>0</v>
      </c>
      <c r="AH1100" s="44" t="s">
        <v>3803</v>
      </c>
      <c r="AI1100" s="131"/>
      <c r="AK1100" s="66">
        <f t="shared" si="331"/>
        <v>0</v>
      </c>
      <c r="AL1100" s="174">
        <f t="shared" si="332"/>
        <v>0</v>
      </c>
      <c r="AM1100" s="346">
        <f>RTD("money.excel",,$G1100,"PredictVolume")</f>
        <v>0</v>
      </c>
      <c r="AN1100" s="272">
        <f>RTD("money.excel",,$G1100,"CumulativeVolume")</f>
        <v>0</v>
      </c>
      <c r="AO1100" s="284"/>
    </row>
    <row r="1101" spans="1:41">
      <c r="A1101" s="151" t="s">
        <v>6547</v>
      </c>
      <c r="B1101" s="85">
        <v>-101</v>
      </c>
      <c r="C1101" s="85">
        <v>-76</v>
      </c>
      <c r="D1101" s="84">
        <v>28</v>
      </c>
      <c r="E1101" s="85">
        <v>-1</v>
      </c>
      <c r="F1101" s="7">
        <v>0.55000000000000004</v>
      </c>
      <c r="G1101" s="85">
        <v>3520</v>
      </c>
      <c r="H1101" s="4" t="s">
        <v>559</v>
      </c>
      <c r="I1101" s="17" t="s">
        <v>4618</v>
      </c>
      <c r="J1101" s="371">
        <v>35.700000000000003</v>
      </c>
      <c r="K1101" s="371">
        <v>0.05</v>
      </c>
      <c r="L1101" s="371"/>
      <c r="M1101" s="77">
        <v>34.26</v>
      </c>
      <c r="N1101" s="365">
        <f>K1101+J1101+L1101+M1101</f>
        <v>70.009999999999991</v>
      </c>
      <c r="O1101" s="343">
        <f t="shared" si="326"/>
        <v>69.960000000000008</v>
      </c>
      <c r="P1101" s="195">
        <v>0</v>
      </c>
      <c r="Q1101" s="326">
        <v>1</v>
      </c>
      <c r="R1101" s="111">
        <v>3</v>
      </c>
      <c r="S1101" s="51">
        <v>3</v>
      </c>
      <c r="T1101" s="339">
        <f t="shared" si="327"/>
        <v>7</v>
      </c>
      <c r="W1101" s="35">
        <v>0</v>
      </c>
      <c r="X1101" s="100">
        <v>-0.08</v>
      </c>
      <c r="Y1101" s="37" t="str">
        <f>RTD("money.excel",,"3520","Price")</f>
        <v>無資料</v>
      </c>
      <c r="Z1101" s="69"/>
      <c r="AA1101" s="16" t="e">
        <f t="shared" si="328"/>
        <v>#VALUE!</v>
      </c>
      <c r="AB1101" s="3" t="e">
        <f t="shared" si="329"/>
        <v>#VALUE!</v>
      </c>
      <c r="AD1101" s="17" t="s">
        <v>4618</v>
      </c>
      <c r="AG1101" s="34">
        <f t="shared" si="330"/>
        <v>0</v>
      </c>
      <c r="AH1101" s="44" t="s">
        <v>3804</v>
      </c>
      <c r="AI1101" s="284"/>
      <c r="AK1101" s="66">
        <f t="shared" si="331"/>
        <v>0</v>
      </c>
      <c r="AL1101" s="174">
        <f t="shared" si="332"/>
        <v>0</v>
      </c>
      <c r="AM1101" s="346">
        <f>RTD("money.excel",,$G1101,"PredictVolume")</f>
        <v>0</v>
      </c>
      <c r="AN1101" s="272">
        <f>RTD("money.excel",,$G1101,"CumulativeVolume")</f>
        <v>0</v>
      </c>
      <c r="AO1101" s="284"/>
    </row>
    <row r="1102" spans="1:41">
      <c r="A1102" s="135" t="s">
        <v>6274</v>
      </c>
      <c r="B1102" s="84">
        <v>23</v>
      </c>
      <c r="C1102" s="84">
        <v>16</v>
      </c>
      <c r="D1102" s="85">
        <v>-6</v>
      </c>
      <c r="E1102" s="84">
        <v>3</v>
      </c>
      <c r="F1102" s="59">
        <v>27.33</v>
      </c>
      <c r="G1102" s="85">
        <v>3526</v>
      </c>
      <c r="H1102" s="4" t="s">
        <v>559</v>
      </c>
      <c r="I1102" s="17" t="s">
        <v>306</v>
      </c>
      <c r="J1102" s="371">
        <v>31.19</v>
      </c>
      <c r="K1102" s="77">
        <v>8.64</v>
      </c>
      <c r="L1102" s="371">
        <v>15.77</v>
      </c>
      <c r="N1102" s="365">
        <f t="shared" ref="N1102:N1133" si="333">J1102+K1102+L1102+M1102</f>
        <v>55.599999999999994</v>
      </c>
      <c r="O1102" s="343">
        <f t="shared" si="326"/>
        <v>31.19</v>
      </c>
      <c r="P1102" s="195">
        <v>2</v>
      </c>
      <c r="Q1102" s="326">
        <v>5</v>
      </c>
      <c r="R1102" s="111">
        <v>6</v>
      </c>
      <c r="S1102" s="51">
        <v>7</v>
      </c>
      <c r="T1102" s="339">
        <f t="shared" si="327"/>
        <v>20</v>
      </c>
      <c r="V1102" s="371">
        <v>2.92</v>
      </c>
      <c r="W1102" s="69">
        <v>9.1300000000000008</v>
      </c>
      <c r="X1102" s="100">
        <v>8.99</v>
      </c>
      <c r="Y1102" s="37" t="str">
        <f>RTD("money.excel",,"3526","Price")</f>
        <v>無資料</v>
      </c>
      <c r="Z1102" s="69"/>
      <c r="AA1102" s="16" t="e">
        <f t="shared" si="328"/>
        <v>#VALUE!</v>
      </c>
      <c r="AB1102" s="3" t="e">
        <f t="shared" si="329"/>
        <v>#VALUE!</v>
      </c>
      <c r="AC1102" s="177" t="s">
        <v>2929</v>
      </c>
      <c r="AD1102" s="17" t="s">
        <v>306</v>
      </c>
      <c r="AG1102" s="34">
        <f t="shared" si="330"/>
        <v>0</v>
      </c>
      <c r="AH1102" s="126" t="s">
        <v>2961</v>
      </c>
      <c r="AK1102" s="66">
        <f t="shared" si="331"/>
        <v>0</v>
      </c>
      <c r="AL1102" s="174">
        <f t="shared" si="332"/>
        <v>0</v>
      </c>
      <c r="AM1102" s="346">
        <f>RTD("money.excel",,$G1102,"PredictVolume")</f>
        <v>0</v>
      </c>
      <c r="AN1102" s="272">
        <f>RTD("money.excel",,$G1102,"CumulativeVolume")</f>
        <v>0</v>
      </c>
    </row>
    <row r="1103" spans="1:41">
      <c r="A1103" s="135" t="s">
        <v>2631</v>
      </c>
      <c r="B1103" s="84">
        <v>11</v>
      </c>
      <c r="C1103" s="84">
        <v>17</v>
      </c>
      <c r="D1103" s="84">
        <v>10</v>
      </c>
      <c r="E1103" s="84">
        <v>20</v>
      </c>
      <c r="F1103" s="59">
        <v>20.74</v>
      </c>
      <c r="G1103" s="85">
        <v>3533</v>
      </c>
      <c r="H1103" s="4" t="s">
        <v>559</v>
      </c>
      <c r="I1103" s="23" t="s">
        <v>508</v>
      </c>
      <c r="J1103" s="371">
        <v>57.29</v>
      </c>
      <c r="K1103" s="371">
        <v>40.090000000000003</v>
      </c>
      <c r="L1103" s="77">
        <v>2.67</v>
      </c>
      <c r="N1103" s="365">
        <f t="shared" si="333"/>
        <v>100.05</v>
      </c>
      <c r="O1103" s="343">
        <f t="shared" si="326"/>
        <v>57.29</v>
      </c>
      <c r="P1103" s="195">
        <v>6</v>
      </c>
      <c r="Q1103" s="326" t="str">
        <f>IFERROR(VLOOKUP($G1103,主力整理!$A$2:$G$2301,6,0),"0")</f>
        <v>0</v>
      </c>
      <c r="R1103" s="111">
        <v>5</v>
      </c>
      <c r="S1103" s="51">
        <v>6</v>
      </c>
      <c r="T1103" s="339">
        <f t="shared" si="327"/>
        <v>17</v>
      </c>
      <c r="V1103" s="371">
        <v>10.039999999999999</v>
      </c>
      <c r="W1103" s="69">
        <v>13.3</v>
      </c>
      <c r="X1103" s="59">
        <v>28.63</v>
      </c>
      <c r="Y1103" s="37" t="str">
        <f>RTD("money.excel",,"3533","Price")</f>
        <v>無資料</v>
      </c>
      <c r="Z1103" s="69"/>
      <c r="AA1103" s="16" t="e">
        <f t="shared" si="328"/>
        <v>#VALUE!</v>
      </c>
      <c r="AB1103" s="3" t="e">
        <f t="shared" si="329"/>
        <v>#VALUE!</v>
      </c>
      <c r="AC1103" s="177" t="s">
        <v>2929</v>
      </c>
      <c r="AD1103" s="23" t="s">
        <v>508</v>
      </c>
      <c r="AG1103" s="34">
        <f t="shared" si="330"/>
        <v>0</v>
      </c>
      <c r="AH1103" s="126" t="s">
        <v>4084</v>
      </c>
      <c r="AI1103" s="131"/>
      <c r="AK1103" s="66">
        <f t="shared" si="331"/>
        <v>0</v>
      </c>
      <c r="AL1103" s="174">
        <f t="shared" si="332"/>
        <v>0</v>
      </c>
      <c r="AM1103" s="346">
        <f>RTD("money.excel",,$G1103,"PredictVolume")</f>
        <v>0</v>
      </c>
      <c r="AN1103" s="272">
        <f>RTD("money.excel",,$G1103,"CumulativeVolume")</f>
        <v>0</v>
      </c>
      <c r="AO1103" s="284"/>
    </row>
    <row r="1104" spans="1:41">
      <c r="A1104" s="151" t="s">
        <v>2694</v>
      </c>
      <c r="B1104" s="84">
        <v>28</v>
      </c>
      <c r="C1104" s="84">
        <v>22</v>
      </c>
      <c r="D1104" s="85">
        <v>-9</v>
      </c>
      <c r="E1104" s="84">
        <v>8</v>
      </c>
      <c r="F1104" s="7">
        <v>8.99</v>
      </c>
      <c r="G1104" s="85">
        <v>3537</v>
      </c>
      <c r="H1104" s="4" t="s">
        <v>559</v>
      </c>
      <c r="I1104" s="17" t="s">
        <v>538</v>
      </c>
      <c r="J1104" s="77">
        <v>28.79</v>
      </c>
      <c r="K1104" s="77">
        <v>0.28000000000000003</v>
      </c>
      <c r="L1104" s="77">
        <v>5.59</v>
      </c>
      <c r="M1104" s="371">
        <v>19.309999999999999</v>
      </c>
      <c r="N1104" s="365">
        <f t="shared" si="333"/>
        <v>53.97</v>
      </c>
      <c r="O1104" s="343">
        <f t="shared" si="326"/>
        <v>48.099999999999994</v>
      </c>
      <c r="P1104" s="195">
        <v>0</v>
      </c>
      <c r="Q1104" s="326">
        <v>1</v>
      </c>
      <c r="R1104" s="111">
        <v>0</v>
      </c>
      <c r="S1104" s="51">
        <v>0</v>
      </c>
      <c r="T1104" s="339">
        <f t="shared" si="327"/>
        <v>1</v>
      </c>
      <c r="U1104" s="329" t="s">
        <v>6539</v>
      </c>
      <c r="V1104" s="371">
        <v>0</v>
      </c>
      <c r="W1104" s="35">
        <v>2.5</v>
      </c>
      <c r="X1104" s="100">
        <v>3.41</v>
      </c>
      <c r="Y1104" s="37" t="str">
        <f>RTD("money.excel",,"3537","Price")</f>
        <v>無資料</v>
      </c>
      <c r="Z1104" s="69"/>
      <c r="AA1104" s="16" t="e">
        <f t="shared" si="328"/>
        <v>#VALUE!</v>
      </c>
      <c r="AB1104" s="36" t="e">
        <f t="shared" si="329"/>
        <v>#VALUE!</v>
      </c>
      <c r="AD1104" s="17" t="s">
        <v>538</v>
      </c>
      <c r="AG1104" s="34">
        <f t="shared" si="330"/>
        <v>0</v>
      </c>
      <c r="AH1104" s="44" t="s">
        <v>3805</v>
      </c>
      <c r="AI1104" s="131"/>
      <c r="AK1104" s="66">
        <f t="shared" si="331"/>
        <v>0</v>
      </c>
      <c r="AL1104" s="174">
        <f t="shared" si="332"/>
        <v>0</v>
      </c>
      <c r="AM1104" s="346">
        <f>RTD("money.excel",,$G1104,"PredictVolume")</f>
        <v>0</v>
      </c>
      <c r="AN1104" s="272">
        <f>RTD("money.excel",,$G1104,"CumulativeVolume")</f>
        <v>0</v>
      </c>
      <c r="AO1104" s="284"/>
    </row>
    <row r="1105" spans="1:41">
      <c r="A1105" s="151" t="s">
        <v>2347</v>
      </c>
      <c r="B1105" s="85">
        <v>-38</v>
      </c>
      <c r="C1105" s="84">
        <v>9</v>
      </c>
      <c r="D1105" s="84">
        <v>20</v>
      </c>
      <c r="E1105" s="84">
        <v>18</v>
      </c>
      <c r="F1105" s="7">
        <v>2.1</v>
      </c>
      <c r="G1105" s="85">
        <v>3548</v>
      </c>
      <c r="H1105" s="4" t="s">
        <v>559</v>
      </c>
      <c r="I1105" s="17" t="s">
        <v>270</v>
      </c>
      <c r="J1105" s="77">
        <v>31.16</v>
      </c>
      <c r="K1105" s="371">
        <v>4.9800000000000004</v>
      </c>
      <c r="L1105" s="77">
        <v>43.17</v>
      </c>
      <c r="N1105" s="365">
        <f t="shared" si="333"/>
        <v>79.31</v>
      </c>
      <c r="O1105" s="343">
        <f t="shared" si="326"/>
        <v>31.16</v>
      </c>
      <c r="P1105" s="195">
        <v>5</v>
      </c>
      <c r="Q1105" s="326" t="str">
        <f>IFERROR(VLOOKUP($G1105,主力整理!$A$2:$G$2301,6,0),"0")</f>
        <v>0</v>
      </c>
      <c r="R1105" s="111">
        <v>1</v>
      </c>
      <c r="S1105" s="51">
        <v>1</v>
      </c>
      <c r="T1105" s="339">
        <f t="shared" si="327"/>
        <v>7</v>
      </c>
      <c r="V1105" s="371">
        <v>0.15</v>
      </c>
      <c r="W1105" s="35">
        <v>2.5</v>
      </c>
      <c r="X1105" s="100">
        <v>4.2300000000000004</v>
      </c>
      <c r="Y1105" s="37" t="str">
        <f>RTD("money.excel",,"3548","Price")</f>
        <v>無資料</v>
      </c>
      <c r="Z1105" s="69"/>
      <c r="AA1105" s="16" t="e">
        <f t="shared" si="328"/>
        <v>#VALUE!</v>
      </c>
      <c r="AB1105" s="3" t="e">
        <f t="shared" si="329"/>
        <v>#VALUE!</v>
      </c>
      <c r="AC1105" s="177" t="s">
        <v>2648</v>
      </c>
      <c r="AD1105" s="17" t="s">
        <v>270</v>
      </c>
      <c r="AG1105" s="34">
        <f t="shared" si="330"/>
        <v>0</v>
      </c>
      <c r="AH1105" s="125" t="s">
        <v>4503</v>
      </c>
      <c r="AI1105" s="131"/>
      <c r="AK1105" s="66">
        <f t="shared" si="331"/>
        <v>0</v>
      </c>
      <c r="AL1105" s="174">
        <f t="shared" si="332"/>
        <v>0</v>
      </c>
      <c r="AM1105" s="346">
        <f>RTD("money.excel",,$G1105,"PredictVolume")</f>
        <v>0</v>
      </c>
      <c r="AN1105" s="272">
        <f>RTD("money.excel",,$G1105,"CumulativeVolume")</f>
        <v>0</v>
      </c>
      <c r="AO1105" s="284"/>
    </row>
    <row r="1106" spans="1:41">
      <c r="A1106" s="151" t="s">
        <v>4788</v>
      </c>
      <c r="B1106" s="96">
        <v>65</v>
      </c>
      <c r="C1106" s="96">
        <v>26</v>
      </c>
      <c r="D1106" s="96">
        <v>2</v>
      </c>
      <c r="E1106" s="96">
        <v>109</v>
      </c>
      <c r="F1106" s="7">
        <v>2.14</v>
      </c>
      <c r="G1106" s="85">
        <v>3550</v>
      </c>
      <c r="H1106" s="4" t="s">
        <v>559</v>
      </c>
      <c r="I1106" s="23" t="s">
        <v>713</v>
      </c>
      <c r="J1106" s="77">
        <v>45.02</v>
      </c>
      <c r="K1106" s="77">
        <v>0.99</v>
      </c>
      <c r="L1106" s="77">
        <v>22.08</v>
      </c>
      <c r="N1106" s="365">
        <f t="shared" si="333"/>
        <v>68.09</v>
      </c>
      <c r="O1106" s="343">
        <f t="shared" si="326"/>
        <v>45.02</v>
      </c>
      <c r="P1106" s="195" t="s">
        <v>5554</v>
      </c>
      <c r="Q1106" s="326" t="str">
        <f>IFERROR(VLOOKUP($G1106,主力整理!$A$2:$G$2301,6,0),"0")</f>
        <v>0</v>
      </c>
      <c r="T1106" s="339">
        <f t="shared" si="327"/>
        <v>0</v>
      </c>
      <c r="V1106" s="371">
        <v>11.98</v>
      </c>
      <c r="W1106" s="35">
        <v>0.5</v>
      </c>
      <c r="X1106" s="100">
        <v>0.94</v>
      </c>
      <c r="Y1106" s="37" t="str">
        <f>RTD("money.excel",,"3550","Price")</f>
        <v>無資料</v>
      </c>
      <c r="Z1106" s="69"/>
      <c r="AA1106" s="16" t="e">
        <f t="shared" si="328"/>
        <v>#VALUE!</v>
      </c>
      <c r="AB1106" s="3" t="e">
        <f t="shared" si="329"/>
        <v>#VALUE!</v>
      </c>
      <c r="AD1106" s="23" t="s">
        <v>713</v>
      </c>
      <c r="AG1106" s="34">
        <f t="shared" si="330"/>
        <v>0</v>
      </c>
      <c r="AH1106" s="44" t="s">
        <v>4085</v>
      </c>
      <c r="AI1106" s="131"/>
      <c r="AK1106" s="66">
        <f t="shared" si="331"/>
        <v>0</v>
      </c>
      <c r="AL1106" s="174">
        <f t="shared" si="332"/>
        <v>0</v>
      </c>
      <c r="AM1106" s="346">
        <f>RTD("money.excel",,$G1106,"PredictVolume")</f>
        <v>0</v>
      </c>
      <c r="AN1106" s="272">
        <f>RTD("money.excel",,$G1106,"CumulativeVolume")</f>
        <v>0</v>
      </c>
      <c r="AO1106" s="284"/>
    </row>
    <row r="1107" spans="1:41">
      <c r="A1107" s="151" t="s">
        <v>4789</v>
      </c>
      <c r="B1107" s="96">
        <v>107</v>
      </c>
      <c r="C1107" s="96">
        <v>118</v>
      </c>
      <c r="D1107" s="96">
        <v>16</v>
      </c>
      <c r="E1107" s="96">
        <v>169</v>
      </c>
      <c r="F1107" s="7">
        <v>5.13</v>
      </c>
      <c r="G1107" s="85">
        <v>3593</v>
      </c>
      <c r="H1107" s="4" t="s">
        <v>559</v>
      </c>
      <c r="I1107" s="23" t="s">
        <v>714</v>
      </c>
      <c r="J1107" s="77">
        <v>43.29</v>
      </c>
      <c r="K1107" s="77">
        <v>0.17</v>
      </c>
      <c r="N1107" s="365">
        <f t="shared" si="333"/>
        <v>43.46</v>
      </c>
      <c r="O1107" s="343">
        <f t="shared" si="326"/>
        <v>43.29</v>
      </c>
      <c r="P1107" s="195" t="s">
        <v>5554</v>
      </c>
      <c r="Q1107" s="326" t="str">
        <f>IFERROR(VLOOKUP($G1107,主力整理!$A$2:$G$2301,6,0),"0")</f>
        <v>0</v>
      </c>
      <c r="T1107" s="339">
        <f t="shared" si="327"/>
        <v>0</v>
      </c>
      <c r="V1107" s="371">
        <v>13.37</v>
      </c>
      <c r="W1107" s="35">
        <v>0</v>
      </c>
      <c r="X1107" s="100">
        <v>0.9</v>
      </c>
      <c r="Y1107" s="37" t="str">
        <f>RTD("money.excel",,"3593","Price")</f>
        <v>無資料</v>
      </c>
      <c r="Z1107" s="69"/>
      <c r="AA1107" s="16" t="e">
        <f t="shared" si="328"/>
        <v>#VALUE!</v>
      </c>
      <c r="AB1107" s="3" t="e">
        <f t="shared" si="329"/>
        <v>#VALUE!</v>
      </c>
      <c r="AD1107" s="23" t="s">
        <v>714</v>
      </c>
      <c r="AG1107" s="34">
        <f t="shared" si="330"/>
        <v>0</v>
      </c>
      <c r="AH1107" s="44" t="s">
        <v>4086</v>
      </c>
      <c r="AI1107" s="28"/>
      <c r="AK1107" s="66">
        <f t="shared" si="331"/>
        <v>0</v>
      </c>
      <c r="AL1107" s="174">
        <f t="shared" si="332"/>
        <v>0</v>
      </c>
      <c r="AM1107" s="346">
        <f>RTD("money.excel",,$G1107,"PredictVolume")</f>
        <v>0</v>
      </c>
      <c r="AN1107" s="272">
        <f>RTD("money.excel",,$G1107,"CumulativeVolume")</f>
        <v>0</v>
      </c>
      <c r="AO1107" s="18"/>
    </row>
    <row r="1108" spans="1:41">
      <c r="A1108" s="151" t="s">
        <v>2859</v>
      </c>
      <c r="B1108" s="84">
        <v>128</v>
      </c>
      <c r="C1108" s="84">
        <v>120</v>
      </c>
      <c r="D1108" s="85">
        <v>-15</v>
      </c>
      <c r="E1108" s="84">
        <v>5</v>
      </c>
      <c r="F1108" s="7">
        <v>9.5500000000000007</v>
      </c>
      <c r="G1108" s="85">
        <v>3597</v>
      </c>
      <c r="H1108" s="4" t="s">
        <v>559</v>
      </c>
      <c r="I1108" s="17" t="s">
        <v>2811</v>
      </c>
      <c r="J1108" s="371">
        <v>62.42</v>
      </c>
      <c r="K1108" s="371">
        <v>0.3</v>
      </c>
      <c r="L1108" s="371">
        <v>21.64</v>
      </c>
      <c r="N1108" s="365">
        <f t="shared" si="333"/>
        <v>84.36</v>
      </c>
      <c r="O1108" s="343">
        <f t="shared" si="326"/>
        <v>62.42</v>
      </c>
      <c r="P1108" s="232">
        <v>0</v>
      </c>
      <c r="Q1108" s="326" t="str">
        <f>IFERROR(VLOOKUP($G1108,主力整理!$A$2:$G$2301,6,0),"0")</f>
        <v>0</v>
      </c>
      <c r="R1108" s="111">
        <v>15</v>
      </c>
      <c r="S1108" s="51">
        <v>0</v>
      </c>
      <c r="T1108" s="339">
        <f t="shared" si="327"/>
        <v>15</v>
      </c>
      <c r="V1108" s="371">
        <v>2.74</v>
      </c>
      <c r="W1108" s="35">
        <v>1.2</v>
      </c>
      <c r="X1108" s="59">
        <v>1.79</v>
      </c>
      <c r="Y1108" s="37" t="str">
        <f>RTD("money.excel",,"3597","Price")</f>
        <v>無資料</v>
      </c>
      <c r="Z1108" s="69"/>
      <c r="AA1108" s="16" t="e">
        <f t="shared" si="328"/>
        <v>#VALUE!</v>
      </c>
      <c r="AB1108" s="36" t="e">
        <f t="shared" si="329"/>
        <v>#VALUE!</v>
      </c>
      <c r="AD1108" s="17" t="s">
        <v>2811</v>
      </c>
      <c r="AG1108" s="34">
        <f t="shared" si="330"/>
        <v>0</v>
      </c>
      <c r="AH1108" s="44" t="s">
        <v>2918</v>
      </c>
      <c r="AI1108" s="131"/>
      <c r="AK1108" s="66">
        <f t="shared" si="331"/>
        <v>0</v>
      </c>
      <c r="AL1108" s="174">
        <f t="shared" si="332"/>
        <v>0</v>
      </c>
      <c r="AM1108" s="346">
        <f>RTD("money.excel",,$G1108,"PredictVolume")</f>
        <v>0</v>
      </c>
      <c r="AN1108" s="272">
        <f>RTD("money.excel",,$G1108,"CumulativeVolume")</f>
        <v>0</v>
      </c>
      <c r="AO1108" s="284"/>
    </row>
    <row r="1109" spans="1:41">
      <c r="A1109" s="151" t="s">
        <v>2481</v>
      </c>
      <c r="B1109" s="84">
        <v>112</v>
      </c>
      <c r="C1109" s="84">
        <v>90</v>
      </c>
      <c r="D1109" s="85">
        <v>-5</v>
      </c>
      <c r="E1109" s="84">
        <v>25</v>
      </c>
      <c r="F1109" s="7">
        <v>2.39</v>
      </c>
      <c r="G1109" s="85">
        <v>3605</v>
      </c>
      <c r="H1109" s="4" t="s">
        <v>559</v>
      </c>
      <c r="I1109" s="23" t="s">
        <v>715</v>
      </c>
      <c r="J1109" s="371">
        <v>36.340000000000003</v>
      </c>
      <c r="K1109" s="77">
        <v>9.1999999999999993</v>
      </c>
      <c r="L1109" s="371">
        <v>23.01</v>
      </c>
      <c r="N1109" s="365">
        <f t="shared" si="333"/>
        <v>68.550000000000011</v>
      </c>
      <c r="O1109" s="343">
        <f t="shared" si="326"/>
        <v>36.340000000000003</v>
      </c>
      <c r="P1109" s="195">
        <v>8</v>
      </c>
      <c r="Q1109" s="326">
        <v>2</v>
      </c>
      <c r="R1109" s="111">
        <v>4</v>
      </c>
      <c r="S1109" s="51">
        <v>0</v>
      </c>
      <c r="T1109" s="339">
        <f t="shared" si="327"/>
        <v>14</v>
      </c>
      <c r="U1109" s="329" t="s">
        <v>6538</v>
      </c>
      <c r="V1109" s="371">
        <v>4.16</v>
      </c>
      <c r="W1109" s="35">
        <v>0.7</v>
      </c>
      <c r="X1109" s="100">
        <v>4.17</v>
      </c>
      <c r="Y1109" s="37" t="str">
        <f>RTD("money.excel",,"3605","Price")</f>
        <v>無資料</v>
      </c>
      <c r="Z1109" s="69"/>
      <c r="AA1109" s="16" t="e">
        <f t="shared" si="328"/>
        <v>#VALUE!</v>
      </c>
      <c r="AB1109" s="3" t="e">
        <f t="shared" si="329"/>
        <v>#VALUE!</v>
      </c>
      <c r="AC1109" s="177" t="s">
        <v>2648</v>
      </c>
      <c r="AD1109" s="23" t="s">
        <v>715</v>
      </c>
      <c r="AG1109" s="34">
        <f t="shared" si="330"/>
        <v>0</v>
      </c>
      <c r="AH1109" s="44" t="s">
        <v>2961</v>
      </c>
      <c r="AI1109" s="131"/>
      <c r="AK1109" s="66">
        <f t="shared" si="331"/>
        <v>0</v>
      </c>
      <c r="AL1109" s="174">
        <f t="shared" si="332"/>
        <v>0</v>
      </c>
      <c r="AM1109" s="346">
        <f>RTD("money.excel",,$G1109,"PredictVolume")</f>
        <v>0</v>
      </c>
      <c r="AN1109" s="272">
        <f>RTD("money.excel",,$G1109,"CumulativeVolume")</f>
        <v>0</v>
      </c>
      <c r="AO1109" s="284"/>
    </row>
    <row r="1110" spans="1:41">
      <c r="A1110" s="151" t="s">
        <v>2430</v>
      </c>
      <c r="B1110" s="85">
        <v>-245</v>
      </c>
      <c r="C1110" s="84">
        <v>33</v>
      </c>
      <c r="D1110" s="84">
        <v>1</v>
      </c>
      <c r="E1110" s="84">
        <v>3</v>
      </c>
      <c r="F1110" s="7">
        <v>-16.809999999999999</v>
      </c>
      <c r="G1110" s="85">
        <v>3607</v>
      </c>
      <c r="H1110" s="4" t="s">
        <v>559</v>
      </c>
      <c r="I1110" s="23" t="s">
        <v>426</v>
      </c>
      <c r="J1110" s="77">
        <v>29.04</v>
      </c>
      <c r="K1110" s="77">
        <v>6.38</v>
      </c>
      <c r="L1110" s="77">
        <v>8.2100000000000009</v>
      </c>
      <c r="N1110" s="365">
        <f t="shared" si="333"/>
        <v>43.63</v>
      </c>
      <c r="O1110" s="343">
        <f t="shared" si="326"/>
        <v>29.04</v>
      </c>
      <c r="P1110" s="195" t="s">
        <v>5554</v>
      </c>
      <c r="Q1110" s="326" t="str">
        <f>IFERROR(VLOOKUP($G1110,主力整理!$A$2:$G$2301,6,0),"0")</f>
        <v>0</v>
      </c>
      <c r="T1110" s="339">
        <f t="shared" si="327"/>
        <v>0</v>
      </c>
      <c r="V1110" s="371">
        <v>0.09</v>
      </c>
      <c r="W1110" s="35">
        <v>0</v>
      </c>
      <c r="X1110" s="100">
        <v>-3.32</v>
      </c>
      <c r="Y1110" s="37" t="str">
        <f>RTD("money.excel",,"3607","Price")</f>
        <v>無資料</v>
      </c>
      <c r="Z1110" s="69"/>
      <c r="AA1110" s="16" t="e">
        <f t="shared" si="328"/>
        <v>#VALUE!</v>
      </c>
      <c r="AB1110" s="3" t="e">
        <f t="shared" si="329"/>
        <v>#VALUE!</v>
      </c>
      <c r="AD1110" s="23" t="s">
        <v>426</v>
      </c>
      <c r="AG1110" s="34">
        <f t="shared" si="330"/>
        <v>0</v>
      </c>
      <c r="AH1110" s="125" t="s">
        <v>4087</v>
      </c>
      <c r="AI1110" s="131"/>
      <c r="AK1110" s="66">
        <f t="shared" si="331"/>
        <v>0</v>
      </c>
      <c r="AL1110" s="174">
        <f t="shared" si="332"/>
        <v>0</v>
      </c>
      <c r="AM1110" s="346">
        <f>RTD("money.excel",,$G1110,"PredictVolume")</f>
        <v>0</v>
      </c>
      <c r="AN1110" s="272">
        <f>RTD("money.excel",,$G1110,"CumulativeVolume")</f>
        <v>0</v>
      </c>
      <c r="AO1110" s="284"/>
    </row>
    <row r="1111" spans="1:41">
      <c r="A1111" s="151" t="s">
        <v>4619</v>
      </c>
      <c r="B1111" s="85">
        <v>-776</v>
      </c>
      <c r="C1111" s="99">
        <v>-1147</v>
      </c>
      <c r="D1111" s="84">
        <v>54</v>
      </c>
      <c r="E1111" s="85">
        <v>-6</v>
      </c>
      <c r="F1111" s="7">
        <v>-4.43</v>
      </c>
      <c r="G1111" s="85">
        <v>3609</v>
      </c>
      <c r="H1111" s="4" t="s">
        <v>559</v>
      </c>
      <c r="I1111" s="17" t="s">
        <v>751</v>
      </c>
      <c r="J1111" s="371">
        <v>52.18</v>
      </c>
      <c r="K1111" s="77">
        <v>1.1499999999999999</v>
      </c>
      <c r="L1111" s="77">
        <v>15.49</v>
      </c>
      <c r="N1111" s="365">
        <f t="shared" si="333"/>
        <v>68.819999999999993</v>
      </c>
      <c r="O1111" s="343">
        <f t="shared" si="326"/>
        <v>52.18</v>
      </c>
      <c r="P1111" s="195" t="s">
        <v>5554</v>
      </c>
      <c r="Q1111" s="326" t="str">
        <f>IFERROR(VLOOKUP($G1111,主力整理!$A$2:$G$2301,6,0),"0")</f>
        <v>0</v>
      </c>
      <c r="T1111" s="339">
        <f t="shared" si="327"/>
        <v>0</v>
      </c>
      <c r="V1111" s="371">
        <v>0</v>
      </c>
      <c r="W1111" s="35">
        <v>0</v>
      </c>
      <c r="X1111" s="59">
        <v>-0.19</v>
      </c>
      <c r="Y1111" s="37" t="str">
        <f>RTD("money.excel",,"3609","Price")</f>
        <v>無資料</v>
      </c>
      <c r="Z1111" s="69"/>
      <c r="AA1111" s="16" t="e">
        <f t="shared" si="328"/>
        <v>#VALUE!</v>
      </c>
      <c r="AB1111" s="36" t="e">
        <f t="shared" si="329"/>
        <v>#VALUE!</v>
      </c>
      <c r="AD1111" s="17" t="s">
        <v>751</v>
      </c>
      <c r="AG1111" s="34">
        <f t="shared" si="330"/>
        <v>0</v>
      </c>
      <c r="AH1111" s="44" t="s">
        <v>3807</v>
      </c>
      <c r="AI1111" s="131"/>
      <c r="AK1111" s="66">
        <f t="shared" si="331"/>
        <v>0</v>
      </c>
      <c r="AL1111" s="174">
        <f t="shared" si="332"/>
        <v>0</v>
      </c>
      <c r="AM1111" s="346">
        <f>RTD("money.excel",,$G1111,"PredictVolume")</f>
        <v>0</v>
      </c>
      <c r="AN1111" s="272">
        <f>RTD("money.excel",,$G1111,"CumulativeVolume")</f>
        <v>0</v>
      </c>
      <c r="AO1111" s="284"/>
    </row>
    <row r="1112" spans="1:41">
      <c r="A1112" s="135" t="s">
        <v>2764</v>
      </c>
      <c r="B1112" s="84">
        <v>177</v>
      </c>
      <c r="C1112" s="84">
        <v>200</v>
      </c>
      <c r="D1112" s="84">
        <v>1</v>
      </c>
      <c r="E1112" s="84">
        <v>46</v>
      </c>
      <c r="F1112" s="59">
        <v>19.25</v>
      </c>
      <c r="G1112" s="85">
        <v>3624</v>
      </c>
      <c r="H1112" s="4" t="s">
        <v>559</v>
      </c>
      <c r="I1112" s="17" t="s">
        <v>568</v>
      </c>
      <c r="J1112" s="371">
        <v>54.79</v>
      </c>
      <c r="K1112" s="371">
        <v>52.13</v>
      </c>
      <c r="L1112" s="371">
        <v>23.75</v>
      </c>
      <c r="M1112" s="77">
        <v>42.3</v>
      </c>
      <c r="N1112" s="77">
        <f t="shared" si="333"/>
        <v>172.97000000000003</v>
      </c>
      <c r="O1112" s="369">
        <f t="shared" si="326"/>
        <v>97.09</v>
      </c>
      <c r="P1112" s="195">
        <v>1</v>
      </c>
      <c r="Q1112" s="326">
        <v>10</v>
      </c>
      <c r="R1112" s="111">
        <v>28</v>
      </c>
      <c r="S1112" s="51">
        <v>33</v>
      </c>
      <c r="T1112" s="339">
        <f t="shared" si="327"/>
        <v>72</v>
      </c>
      <c r="U1112" s="329" t="s">
        <v>6538</v>
      </c>
      <c r="V1112" s="371">
        <v>3.16</v>
      </c>
      <c r="W1112" s="35">
        <v>0.8</v>
      </c>
      <c r="X1112" s="59">
        <v>3.21</v>
      </c>
      <c r="Y1112" s="14" t="str">
        <f>RTD("money.excel",,"3624","Price")</f>
        <v>無資料</v>
      </c>
      <c r="Z1112" s="69"/>
      <c r="AA1112" s="16" t="e">
        <f t="shared" si="328"/>
        <v>#VALUE!</v>
      </c>
      <c r="AB1112" s="36" t="e">
        <f t="shared" si="329"/>
        <v>#VALUE!</v>
      </c>
      <c r="AC1112" s="177" t="s">
        <v>2648</v>
      </c>
      <c r="AD1112" s="17" t="s">
        <v>568</v>
      </c>
      <c r="AG1112" s="34">
        <f t="shared" si="330"/>
        <v>0</v>
      </c>
      <c r="AH1112" s="63" t="s">
        <v>3808</v>
      </c>
      <c r="AI1112" s="131"/>
      <c r="AK1112" s="66">
        <f t="shared" si="331"/>
        <v>0</v>
      </c>
      <c r="AL1112" s="174">
        <f t="shared" si="332"/>
        <v>0</v>
      </c>
      <c r="AM1112" s="346">
        <f>RTD("money.excel",,$G1112,"PredictVolume")</f>
        <v>0</v>
      </c>
      <c r="AN1112" s="272">
        <f>RTD("money.excel",,$G1112,"CumulativeVolume")</f>
        <v>0</v>
      </c>
      <c r="AO1112" s="284"/>
    </row>
    <row r="1113" spans="1:41">
      <c r="A1113" s="151" t="s">
        <v>2427</v>
      </c>
      <c r="B1113" s="84">
        <v>53</v>
      </c>
      <c r="C1113" s="84">
        <v>24</v>
      </c>
      <c r="D1113" s="84">
        <v>24</v>
      </c>
      <c r="E1113" s="85">
        <v>-41</v>
      </c>
      <c r="F1113" s="7">
        <v>-34.18</v>
      </c>
      <c r="G1113" s="85">
        <v>3631</v>
      </c>
      <c r="H1113" s="4" t="s">
        <v>559</v>
      </c>
      <c r="I1113" s="17" t="s">
        <v>752</v>
      </c>
      <c r="J1113" s="77">
        <v>80.17</v>
      </c>
      <c r="K1113" s="371">
        <v>14.88</v>
      </c>
      <c r="L1113" s="77">
        <v>35.33</v>
      </c>
      <c r="N1113" s="365">
        <f t="shared" si="333"/>
        <v>130.38</v>
      </c>
      <c r="O1113" s="343">
        <f t="shared" si="326"/>
        <v>80.17</v>
      </c>
      <c r="P1113" s="195" t="s">
        <v>5554</v>
      </c>
      <c r="Q1113" s="326" t="str">
        <f>IFERROR(VLOOKUP($G1113,主力整理!$A$2:$G$2301,6,0),"0")</f>
        <v>0</v>
      </c>
      <c r="T1113" s="339">
        <f t="shared" si="327"/>
        <v>0</v>
      </c>
      <c r="V1113" s="371">
        <v>0.44</v>
      </c>
      <c r="W1113" s="35">
        <v>0</v>
      </c>
      <c r="X1113" s="59">
        <v>-0.04</v>
      </c>
      <c r="Y1113" s="37" t="str">
        <f>RTD("money.excel",,"3631","Price")</f>
        <v>無資料</v>
      </c>
      <c r="Z1113" s="69"/>
      <c r="AA1113" s="16" t="e">
        <f t="shared" si="328"/>
        <v>#VALUE!</v>
      </c>
      <c r="AB1113" s="36" t="e">
        <f t="shared" si="329"/>
        <v>#VALUE!</v>
      </c>
      <c r="AD1113" s="17" t="s">
        <v>752</v>
      </c>
      <c r="AG1113" s="34">
        <f t="shared" si="330"/>
        <v>0</v>
      </c>
      <c r="AH1113" s="44" t="s">
        <v>3809</v>
      </c>
      <c r="AI1113" s="131"/>
      <c r="AK1113" s="66">
        <f t="shared" si="331"/>
        <v>0</v>
      </c>
      <c r="AL1113" s="174">
        <f t="shared" si="332"/>
        <v>0</v>
      </c>
      <c r="AM1113" s="346">
        <f>RTD("money.excel",,$G1113,"PredictVolume")</f>
        <v>0</v>
      </c>
      <c r="AN1113" s="272">
        <f>RTD("money.excel",,$G1113,"CumulativeVolume")</f>
        <v>0</v>
      </c>
      <c r="AO1113" s="284"/>
    </row>
    <row r="1114" spans="1:41">
      <c r="A1114" s="135" t="s">
        <v>3088</v>
      </c>
      <c r="B1114" s="84">
        <v>11</v>
      </c>
      <c r="C1114" s="84">
        <v>27</v>
      </c>
      <c r="D1114" s="84">
        <v>7</v>
      </c>
      <c r="E1114" s="84">
        <v>20</v>
      </c>
      <c r="F1114" s="59">
        <v>17.62</v>
      </c>
      <c r="G1114" s="85">
        <v>3645</v>
      </c>
      <c r="H1114" s="54" t="s">
        <v>559</v>
      </c>
      <c r="I1114" s="23" t="s">
        <v>333</v>
      </c>
      <c r="J1114" s="371">
        <v>36.46</v>
      </c>
      <c r="K1114" s="371">
        <v>13.77</v>
      </c>
      <c r="L1114" s="371">
        <v>9.5500000000000007</v>
      </c>
      <c r="N1114" s="365">
        <f t="shared" si="333"/>
        <v>59.78</v>
      </c>
      <c r="O1114" s="343">
        <f t="shared" si="326"/>
        <v>36.46</v>
      </c>
      <c r="P1114" s="195">
        <v>1</v>
      </c>
      <c r="Q1114" s="326" t="str">
        <f>IFERROR(VLOOKUP($G1114,主力整理!$A$2:$G$2301,6,0),"0")</f>
        <v>0</v>
      </c>
      <c r="R1114" s="111">
        <v>4</v>
      </c>
      <c r="S1114" s="51">
        <v>5</v>
      </c>
      <c r="T1114" s="339">
        <f t="shared" si="327"/>
        <v>10</v>
      </c>
      <c r="V1114" s="371">
        <v>0.17</v>
      </c>
      <c r="W1114" s="35">
        <v>1.5</v>
      </c>
      <c r="X1114" s="100">
        <v>2.87</v>
      </c>
      <c r="Y1114" s="37" t="str">
        <f>RTD("money.excel",,"3645","Price")</f>
        <v>無資料</v>
      </c>
      <c r="Z1114" s="69"/>
      <c r="AA1114" s="16" t="e">
        <f t="shared" si="328"/>
        <v>#VALUE!</v>
      </c>
      <c r="AB1114" s="3" t="e">
        <f t="shared" si="329"/>
        <v>#VALUE!</v>
      </c>
      <c r="AC1114" s="177" t="s">
        <v>2648</v>
      </c>
      <c r="AD1114" s="23" t="s">
        <v>333</v>
      </c>
      <c r="AG1114" s="34">
        <f t="shared" si="330"/>
        <v>0</v>
      </c>
      <c r="AH1114" s="50" t="s">
        <v>4088</v>
      </c>
      <c r="AI1114" s="131"/>
      <c r="AK1114" s="66">
        <f t="shared" si="331"/>
        <v>0</v>
      </c>
      <c r="AL1114" s="174">
        <f t="shared" si="332"/>
        <v>0</v>
      </c>
      <c r="AM1114" s="346">
        <f>RTD("money.excel",,$G1114,"PredictVolume")</f>
        <v>0</v>
      </c>
      <c r="AN1114" s="272">
        <f>RTD("money.excel",,$G1114,"CumulativeVolume")</f>
        <v>0</v>
      </c>
      <c r="AO1114" s="284"/>
    </row>
    <row r="1115" spans="1:41">
      <c r="A1115" s="135" t="s">
        <v>2592</v>
      </c>
      <c r="B1115" s="96">
        <v>147</v>
      </c>
      <c r="C1115" s="96">
        <v>118</v>
      </c>
      <c r="D1115" s="96">
        <v>-4</v>
      </c>
      <c r="E1115" s="96">
        <v>8.94</v>
      </c>
      <c r="F1115" s="59">
        <v>10.32</v>
      </c>
      <c r="G1115" s="85">
        <v>3646</v>
      </c>
      <c r="H1115" s="4" t="s">
        <v>559</v>
      </c>
      <c r="I1115" s="17" t="s">
        <v>753</v>
      </c>
      <c r="J1115" s="77">
        <v>30.01</v>
      </c>
      <c r="K1115" s="77">
        <v>6.32</v>
      </c>
      <c r="L1115" s="77">
        <v>14.23</v>
      </c>
      <c r="N1115" s="365">
        <f t="shared" si="333"/>
        <v>50.56</v>
      </c>
      <c r="O1115" s="343">
        <f t="shared" si="326"/>
        <v>30.01</v>
      </c>
      <c r="P1115" s="195" t="s">
        <v>5554</v>
      </c>
      <c r="Q1115" s="326" t="str">
        <f>IFERROR(VLOOKUP($G1115,主力整理!$A$2:$G$2301,6,0),"0")</f>
        <v>0</v>
      </c>
      <c r="T1115" s="339">
        <f t="shared" si="327"/>
        <v>0</v>
      </c>
      <c r="V1115" s="371">
        <v>10.99</v>
      </c>
      <c r="W1115" s="35">
        <v>0.92</v>
      </c>
      <c r="X1115" s="100">
        <v>1.1599999999999999</v>
      </c>
      <c r="Y1115" s="37" t="str">
        <f>RTD("money.excel",,"3646","Price")</f>
        <v>無資料</v>
      </c>
      <c r="Z1115" s="69"/>
      <c r="AA1115" s="16" t="e">
        <f t="shared" si="328"/>
        <v>#VALUE!</v>
      </c>
      <c r="AB1115" s="3" t="e">
        <f t="shared" si="329"/>
        <v>#VALUE!</v>
      </c>
      <c r="AD1115" s="17" t="s">
        <v>753</v>
      </c>
      <c r="AG1115" s="34">
        <f t="shared" si="330"/>
        <v>0</v>
      </c>
      <c r="AH1115" s="63" t="s">
        <v>2961</v>
      </c>
      <c r="AI1115" s="131"/>
      <c r="AK1115" s="66">
        <f t="shared" si="331"/>
        <v>0</v>
      </c>
      <c r="AL1115" s="174">
        <f t="shared" si="332"/>
        <v>0</v>
      </c>
      <c r="AM1115" s="346">
        <f>RTD("money.excel",,$G1115,"PredictVolume")</f>
        <v>0</v>
      </c>
      <c r="AN1115" s="272">
        <f>RTD("money.excel",,$G1115,"CumulativeVolume")</f>
        <v>0</v>
      </c>
      <c r="AO1115" s="284"/>
    </row>
    <row r="1116" spans="1:41">
      <c r="A1116" s="135" t="s">
        <v>2455</v>
      </c>
      <c r="B1116" s="85">
        <v>-15</v>
      </c>
      <c r="C1116" s="84">
        <v>18</v>
      </c>
      <c r="D1116" s="84">
        <v>2</v>
      </c>
      <c r="E1116" s="84">
        <v>10</v>
      </c>
      <c r="F1116" s="59">
        <v>17.25</v>
      </c>
      <c r="G1116" s="85">
        <v>3653</v>
      </c>
      <c r="H1116" s="54" t="s">
        <v>559</v>
      </c>
      <c r="I1116" s="23" t="s">
        <v>716</v>
      </c>
      <c r="J1116" s="371">
        <v>65.790000000000006</v>
      </c>
      <c r="K1116" s="77">
        <v>13.18</v>
      </c>
      <c r="L1116" s="77">
        <v>13.32</v>
      </c>
      <c r="N1116" s="365">
        <f t="shared" si="333"/>
        <v>92.289999999999992</v>
      </c>
      <c r="O1116" s="343">
        <f t="shared" si="326"/>
        <v>65.790000000000006</v>
      </c>
      <c r="P1116" s="195" t="s">
        <v>5554</v>
      </c>
      <c r="Q1116" s="326" t="str">
        <f>IFERROR(VLOOKUP($G1116,主力整理!$A$2:$G$2301,6,0),"0")</f>
        <v>0</v>
      </c>
      <c r="T1116" s="339">
        <f t="shared" si="327"/>
        <v>0</v>
      </c>
      <c r="V1116" s="371">
        <v>0.35</v>
      </c>
      <c r="W1116" s="69">
        <v>6</v>
      </c>
      <c r="X1116" s="59">
        <v>6.82</v>
      </c>
      <c r="Y1116" s="37" t="str">
        <f>RTD("money.excel",,"3653","Price")</f>
        <v>無資料</v>
      </c>
      <c r="Z1116" s="69"/>
      <c r="AA1116" s="16" t="e">
        <f t="shared" si="328"/>
        <v>#VALUE!</v>
      </c>
      <c r="AB1116" s="3" t="e">
        <f t="shared" si="329"/>
        <v>#VALUE!</v>
      </c>
      <c r="AC1116" s="177" t="s">
        <v>2929</v>
      </c>
      <c r="AD1116" s="23" t="s">
        <v>716</v>
      </c>
      <c r="AG1116" s="34">
        <f t="shared" si="330"/>
        <v>0</v>
      </c>
      <c r="AH1116" s="63" t="s">
        <v>3803</v>
      </c>
      <c r="AI1116" s="131"/>
      <c r="AK1116" s="66">
        <f t="shared" si="331"/>
        <v>0</v>
      </c>
      <c r="AL1116" s="174">
        <f t="shared" si="332"/>
        <v>0</v>
      </c>
      <c r="AM1116" s="346">
        <f>RTD("money.excel",,$G1116,"PredictVolume")</f>
        <v>0</v>
      </c>
      <c r="AN1116" s="272">
        <f>RTD("money.excel",,$G1116,"CumulativeVolume")</f>
        <v>0</v>
      </c>
      <c r="AO1116" s="284"/>
    </row>
    <row r="1117" spans="1:41">
      <c r="A1117" s="135" t="s">
        <v>2616</v>
      </c>
      <c r="B1117" s="84">
        <v>537</v>
      </c>
      <c r="C1117" s="84">
        <v>935</v>
      </c>
      <c r="D1117" s="84">
        <v>13</v>
      </c>
      <c r="E1117" s="84">
        <v>48</v>
      </c>
      <c r="F1117" s="59">
        <v>14.37</v>
      </c>
      <c r="G1117" s="85">
        <v>3679</v>
      </c>
      <c r="H1117" s="54" t="s">
        <v>559</v>
      </c>
      <c r="I1117" s="23" t="s">
        <v>413</v>
      </c>
      <c r="J1117" s="371">
        <v>70.010000000000005</v>
      </c>
      <c r="K1117" s="77">
        <v>14.95</v>
      </c>
      <c r="L1117" s="77">
        <v>10.220000000000001</v>
      </c>
      <c r="N1117" s="365">
        <f t="shared" si="333"/>
        <v>95.18</v>
      </c>
      <c r="O1117" s="343">
        <f t="shared" si="326"/>
        <v>70.010000000000005</v>
      </c>
      <c r="P1117" s="195" t="s">
        <v>5554</v>
      </c>
      <c r="Q1117" s="326" t="str">
        <f>IFERROR(VLOOKUP($G1117,主力整理!$A$2:$G$2301,6,0),"0")</f>
        <v>0</v>
      </c>
      <c r="T1117" s="339">
        <f t="shared" si="327"/>
        <v>0</v>
      </c>
      <c r="V1117" s="371">
        <v>0.11</v>
      </c>
      <c r="W1117" s="69">
        <v>4</v>
      </c>
      <c r="X1117" s="100">
        <v>11.58</v>
      </c>
      <c r="Y1117" s="37" t="str">
        <f>RTD("money.excel",,"3679","Price")</f>
        <v>無資料</v>
      </c>
      <c r="Z1117" s="69"/>
      <c r="AA1117" s="16" t="e">
        <f t="shared" si="328"/>
        <v>#VALUE!</v>
      </c>
      <c r="AB1117" s="3" t="e">
        <f t="shared" si="329"/>
        <v>#VALUE!</v>
      </c>
      <c r="AC1117" s="177" t="s">
        <v>2700</v>
      </c>
      <c r="AD1117" s="23" t="s">
        <v>413</v>
      </c>
      <c r="AG1117" s="34">
        <f t="shared" si="330"/>
        <v>0</v>
      </c>
      <c r="AH1117" s="63" t="s">
        <v>3077</v>
      </c>
      <c r="AI1117" s="131"/>
      <c r="AK1117" s="66">
        <f t="shared" si="331"/>
        <v>0</v>
      </c>
      <c r="AL1117" s="174">
        <f t="shared" si="332"/>
        <v>0</v>
      </c>
      <c r="AM1117" s="346">
        <f>RTD("money.excel",,$G1117,"PredictVolume")</f>
        <v>0</v>
      </c>
      <c r="AN1117" s="272">
        <f>RTD("money.excel",,$G1117,"CumulativeVolume")</f>
        <v>0</v>
      </c>
      <c r="AO1117" s="284"/>
    </row>
    <row r="1118" spans="1:41">
      <c r="A1118" s="151" t="s">
        <v>2672</v>
      </c>
      <c r="B1118" s="255">
        <v>181780</v>
      </c>
      <c r="C1118" s="98">
        <v>2718</v>
      </c>
      <c r="D1118" s="84">
        <v>13</v>
      </c>
      <c r="E1118" s="84">
        <v>9</v>
      </c>
      <c r="F1118" s="7">
        <v>1.38</v>
      </c>
      <c r="G1118" s="85">
        <v>3689</v>
      </c>
      <c r="H1118" s="4" t="s">
        <v>559</v>
      </c>
      <c r="I1118" s="17" t="s">
        <v>754</v>
      </c>
      <c r="J1118" s="77">
        <v>16.64</v>
      </c>
      <c r="K1118" s="77">
        <v>4.38</v>
      </c>
      <c r="L1118" s="77">
        <v>18.7</v>
      </c>
      <c r="N1118" s="365">
        <f t="shared" si="333"/>
        <v>39.72</v>
      </c>
      <c r="O1118" s="343">
        <f t="shared" si="326"/>
        <v>16.64</v>
      </c>
      <c r="P1118" s="195" t="s">
        <v>5554</v>
      </c>
      <c r="Q1118" s="326">
        <f>IFERROR(VLOOKUP($G1118,主力整理!$A$2:$G$2301,6,0),"0")</f>
        <v>3</v>
      </c>
      <c r="T1118" s="339">
        <f t="shared" si="327"/>
        <v>3</v>
      </c>
      <c r="V1118" s="371">
        <v>0.05</v>
      </c>
      <c r="W1118" s="35">
        <v>1.3</v>
      </c>
      <c r="X1118" s="100">
        <v>1.37</v>
      </c>
      <c r="Y1118" s="37" t="str">
        <f>RTD("money.excel",,"3689","Price")</f>
        <v>無資料</v>
      </c>
      <c r="Z1118" s="69"/>
      <c r="AA1118" s="16" t="e">
        <f t="shared" si="328"/>
        <v>#VALUE!</v>
      </c>
      <c r="AB1118" s="3" t="e">
        <f t="shared" si="329"/>
        <v>#VALUE!</v>
      </c>
      <c r="AD1118" s="17" t="s">
        <v>754</v>
      </c>
      <c r="AG1118" s="34">
        <f t="shared" si="330"/>
        <v>0</v>
      </c>
      <c r="AH1118" s="44" t="s">
        <v>2961</v>
      </c>
      <c r="AI1118" s="131"/>
      <c r="AK1118" s="66">
        <f t="shared" si="331"/>
        <v>0</v>
      </c>
      <c r="AL1118" s="174">
        <f t="shared" si="332"/>
        <v>0</v>
      </c>
      <c r="AM1118" s="346">
        <f>RTD("money.excel",,$G1118,"PredictVolume")</f>
        <v>0</v>
      </c>
      <c r="AN1118" s="272">
        <f>RTD("money.excel",,$G1118,"CumulativeVolume")</f>
        <v>0</v>
      </c>
      <c r="AO1118" s="284"/>
    </row>
    <row r="1119" spans="1:41">
      <c r="A1119" s="151" t="s">
        <v>3776</v>
      </c>
      <c r="B1119" s="84">
        <v>63</v>
      </c>
      <c r="C1119" s="84">
        <v>95</v>
      </c>
      <c r="D1119" s="84">
        <v>9</v>
      </c>
      <c r="E1119" s="84">
        <v>9</v>
      </c>
      <c r="F1119" s="7">
        <v>-0.21</v>
      </c>
      <c r="G1119" s="85">
        <v>3710</v>
      </c>
      <c r="H1119" s="4" t="s">
        <v>559</v>
      </c>
      <c r="I1119" s="17" t="s">
        <v>767</v>
      </c>
      <c r="J1119" s="77">
        <v>30.54</v>
      </c>
      <c r="K1119" s="371">
        <v>2.63</v>
      </c>
      <c r="L1119" s="371">
        <v>0</v>
      </c>
      <c r="N1119" s="365">
        <f t="shared" si="333"/>
        <v>33.17</v>
      </c>
      <c r="O1119" s="343">
        <f t="shared" si="326"/>
        <v>30.54</v>
      </c>
      <c r="P1119" s="195">
        <v>1</v>
      </c>
      <c r="Q1119" s="326" t="str">
        <f>IFERROR(VLOOKUP($G1119,主力整理!$A$2:$G$2301,6,0),"0")</f>
        <v>0</v>
      </c>
      <c r="T1119" s="339">
        <f t="shared" si="327"/>
        <v>1</v>
      </c>
      <c r="V1119" s="371">
        <v>0</v>
      </c>
      <c r="W1119" s="35">
        <v>0</v>
      </c>
      <c r="X1119" s="100">
        <v>-0.78</v>
      </c>
      <c r="Y1119" s="37" t="str">
        <f>RTD("money.excel",,"3710","Price")</f>
        <v>無資料</v>
      </c>
      <c r="Z1119" s="69"/>
      <c r="AA1119" s="16" t="e">
        <f t="shared" si="328"/>
        <v>#VALUE!</v>
      </c>
      <c r="AB1119" s="3" t="e">
        <f t="shared" si="329"/>
        <v>#VALUE!</v>
      </c>
      <c r="AC1119" s="177" t="s">
        <v>2648</v>
      </c>
      <c r="AD1119" s="17" t="s">
        <v>767</v>
      </c>
      <c r="AG1119" s="34">
        <f t="shared" si="330"/>
        <v>0</v>
      </c>
      <c r="AH1119" s="44" t="s">
        <v>4500</v>
      </c>
      <c r="AI1119" s="131"/>
      <c r="AK1119" s="66">
        <f t="shared" si="331"/>
        <v>0</v>
      </c>
      <c r="AL1119" s="174">
        <f t="shared" si="332"/>
        <v>0</v>
      </c>
      <c r="AM1119" s="346">
        <f>RTD("money.excel",,$G1119,"PredictVolume")</f>
        <v>0</v>
      </c>
      <c r="AN1119" s="272">
        <f>RTD("money.excel",,$G1119,"CumulativeVolume")</f>
        <v>0</v>
      </c>
      <c r="AO1119" s="284"/>
    </row>
    <row r="1120" spans="1:41">
      <c r="A1120" s="151" t="s">
        <v>4673</v>
      </c>
      <c r="B1120" s="85">
        <v>-57</v>
      </c>
      <c r="C1120" s="85">
        <v>-74</v>
      </c>
      <c r="D1120" s="84">
        <v>32</v>
      </c>
      <c r="E1120" s="84">
        <v>85</v>
      </c>
      <c r="F1120" s="7">
        <v>1.42</v>
      </c>
      <c r="G1120" s="85">
        <v>4542</v>
      </c>
      <c r="H1120" s="4" t="s">
        <v>559</v>
      </c>
      <c r="I1120" s="17" t="s">
        <v>755</v>
      </c>
      <c r="J1120" s="77">
        <v>45.19</v>
      </c>
      <c r="K1120" s="371">
        <v>4.07</v>
      </c>
      <c r="M1120" s="77">
        <v>21.37</v>
      </c>
      <c r="N1120" s="365">
        <f t="shared" si="333"/>
        <v>70.63</v>
      </c>
      <c r="O1120" s="343">
        <f t="shared" si="326"/>
        <v>66.56</v>
      </c>
      <c r="P1120" s="195">
        <v>0</v>
      </c>
      <c r="Q1120" s="326" t="str">
        <f>IFERROR(VLOOKUP($G1120,主力整理!$A$2:$G$2301,6,0),"0")</f>
        <v>0</v>
      </c>
      <c r="R1120" s="111">
        <v>0</v>
      </c>
      <c r="S1120" s="51">
        <v>0</v>
      </c>
      <c r="T1120" s="339">
        <f t="shared" si="327"/>
        <v>0</v>
      </c>
      <c r="W1120" s="35">
        <v>1</v>
      </c>
      <c r="X1120" s="100">
        <v>0.24</v>
      </c>
      <c r="Y1120" s="37" t="str">
        <f>RTD("money.excel",,"4542","Price")</f>
        <v>無資料</v>
      </c>
      <c r="Z1120" s="69"/>
      <c r="AA1120" s="16" t="e">
        <f t="shared" si="328"/>
        <v>#VALUE!</v>
      </c>
      <c r="AB1120" s="3" t="e">
        <f t="shared" si="329"/>
        <v>#VALUE!</v>
      </c>
      <c r="AD1120" s="17" t="s">
        <v>755</v>
      </c>
      <c r="AG1120" s="34">
        <f t="shared" si="330"/>
        <v>0</v>
      </c>
      <c r="AH1120" s="44" t="s">
        <v>3662</v>
      </c>
      <c r="AI1120" s="131"/>
      <c r="AK1120" s="66">
        <f t="shared" si="331"/>
        <v>0</v>
      </c>
      <c r="AL1120" s="174">
        <f t="shared" si="332"/>
        <v>0</v>
      </c>
      <c r="AM1120" s="346">
        <f>RTD("money.excel",,$G1120,"PredictVolume")</f>
        <v>0</v>
      </c>
      <c r="AN1120" s="272">
        <f>RTD("money.excel",,$G1120,"CumulativeVolume")</f>
        <v>0</v>
      </c>
      <c r="AO1120" s="284"/>
    </row>
    <row r="1121" spans="1:41" ht="16.5" customHeight="1">
      <c r="A1121" s="151" t="s">
        <v>3310</v>
      </c>
      <c r="B1121" s="96">
        <v>136</v>
      </c>
      <c r="C1121" s="96">
        <v>80</v>
      </c>
      <c r="D1121" s="96">
        <v>-35</v>
      </c>
      <c r="E1121" s="96">
        <v>38</v>
      </c>
      <c r="F1121" s="7">
        <v>-6.33</v>
      </c>
      <c r="G1121" s="85">
        <v>4545</v>
      </c>
      <c r="H1121" s="54" t="s">
        <v>559</v>
      </c>
      <c r="I1121" s="23" t="s">
        <v>717</v>
      </c>
      <c r="J1121" s="77">
        <v>76.680000000000007</v>
      </c>
      <c r="K1121" s="77">
        <v>34.659999999999997</v>
      </c>
      <c r="L1121" s="77">
        <v>17.02</v>
      </c>
      <c r="N1121" s="365">
        <f t="shared" si="333"/>
        <v>128.36000000000001</v>
      </c>
      <c r="O1121" s="343">
        <f t="shared" si="326"/>
        <v>76.680000000000007</v>
      </c>
      <c r="P1121" s="195" t="s">
        <v>5554</v>
      </c>
      <c r="Q1121" s="326" t="str">
        <f>IFERROR(VLOOKUP($G1121,主力整理!$A$2:$G$2301,6,0),"0")</f>
        <v>0</v>
      </c>
      <c r="T1121" s="339">
        <f t="shared" si="327"/>
        <v>0</v>
      </c>
      <c r="V1121" s="371">
        <v>69.86</v>
      </c>
      <c r="W1121" s="35">
        <v>0.55000000000000004</v>
      </c>
      <c r="X1121" s="100">
        <v>0.39</v>
      </c>
      <c r="Y1121" s="14" t="str">
        <f>RTD("money.excel",,"4545","Price")</f>
        <v>無資料</v>
      </c>
      <c r="Z1121" s="69"/>
      <c r="AA1121" s="16" t="e">
        <f t="shared" si="328"/>
        <v>#VALUE!</v>
      </c>
      <c r="AB1121" s="3" t="e">
        <f t="shared" si="329"/>
        <v>#VALUE!</v>
      </c>
      <c r="AD1121" s="23" t="s">
        <v>717</v>
      </c>
      <c r="AG1121" s="34">
        <f t="shared" si="330"/>
        <v>0</v>
      </c>
      <c r="AH1121" s="44" t="s">
        <v>4089</v>
      </c>
      <c r="AI1121" s="131"/>
      <c r="AK1121" s="66">
        <f t="shared" si="331"/>
        <v>0</v>
      </c>
      <c r="AL1121" s="174">
        <f t="shared" si="332"/>
        <v>0</v>
      </c>
      <c r="AM1121" s="346">
        <f>RTD("money.excel",,$G1121,"PredictVolume")</f>
        <v>0</v>
      </c>
      <c r="AN1121" s="272">
        <f>RTD("money.excel",,$G1121,"CumulativeVolume")</f>
        <v>0</v>
      </c>
      <c r="AO1121" s="284"/>
    </row>
    <row r="1122" spans="1:41">
      <c r="A1122" s="151" t="s">
        <v>4790</v>
      </c>
      <c r="B1122" s="85">
        <v>-36</v>
      </c>
      <c r="C1122" s="85">
        <v>-33</v>
      </c>
      <c r="D1122" s="85">
        <v>-54</v>
      </c>
      <c r="E1122" s="85">
        <v>-22</v>
      </c>
      <c r="F1122" s="7">
        <v>6.72</v>
      </c>
      <c r="G1122" s="85">
        <v>4912</v>
      </c>
      <c r="H1122" s="54" t="s">
        <v>559</v>
      </c>
      <c r="I1122" s="23" t="s">
        <v>4929</v>
      </c>
      <c r="J1122" s="77">
        <v>61.2</v>
      </c>
      <c r="K1122" s="77">
        <v>35.840000000000003</v>
      </c>
      <c r="L1122" s="77">
        <v>13.56</v>
      </c>
      <c r="N1122" s="365">
        <f t="shared" si="333"/>
        <v>110.60000000000001</v>
      </c>
      <c r="O1122" s="343">
        <f t="shared" si="326"/>
        <v>61.2</v>
      </c>
      <c r="P1122" s="195">
        <v>3</v>
      </c>
      <c r="Q1122" s="326" t="str">
        <f>IFERROR(VLOOKUP($G1122,主力整理!$A$2:$G$2301,6,0),"0")</f>
        <v>0</v>
      </c>
      <c r="T1122" s="339">
        <f t="shared" si="327"/>
        <v>3</v>
      </c>
      <c r="V1122" s="371">
        <v>41.01</v>
      </c>
      <c r="W1122" s="35">
        <v>0.93</v>
      </c>
      <c r="X1122" s="59">
        <v>9.64</v>
      </c>
      <c r="Y1122" s="37" t="str">
        <f>RTD("money.excel",,"4912","Price")</f>
        <v>無資料</v>
      </c>
      <c r="Z1122" s="69"/>
      <c r="AA1122" s="16" t="e">
        <f t="shared" si="328"/>
        <v>#VALUE!</v>
      </c>
      <c r="AB1122" s="3" t="e">
        <f t="shared" si="329"/>
        <v>#VALUE!</v>
      </c>
      <c r="AC1122" s="177" t="s">
        <v>2648</v>
      </c>
      <c r="AD1122" s="23" t="s">
        <v>4929</v>
      </c>
      <c r="AG1122" s="34">
        <f t="shared" si="330"/>
        <v>0</v>
      </c>
      <c r="AH1122" s="44" t="s">
        <v>4067</v>
      </c>
      <c r="AI1122" s="131"/>
      <c r="AK1122" s="66">
        <f t="shared" si="331"/>
        <v>0</v>
      </c>
      <c r="AL1122" s="174">
        <f t="shared" si="332"/>
        <v>0</v>
      </c>
      <c r="AM1122" s="346">
        <f>RTD("money.excel",,$G1122,"PredictVolume")</f>
        <v>0</v>
      </c>
      <c r="AN1122" s="272">
        <f>RTD("money.excel",,$G1122,"CumulativeVolume")</f>
        <v>0</v>
      </c>
      <c r="AO1122" s="284"/>
    </row>
    <row r="1123" spans="1:41">
      <c r="A1123" s="151" t="s">
        <v>2544</v>
      </c>
      <c r="B1123" s="85">
        <v>-14</v>
      </c>
      <c r="C1123" s="85">
        <v>-16</v>
      </c>
      <c r="D1123" s="84">
        <v>36</v>
      </c>
      <c r="E1123" s="84">
        <v>2</v>
      </c>
      <c r="F1123" s="7">
        <v>3.37</v>
      </c>
      <c r="G1123" s="85">
        <v>4915</v>
      </c>
      <c r="H1123" s="54" t="s">
        <v>559</v>
      </c>
      <c r="I1123" s="23" t="s">
        <v>98</v>
      </c>
      <c r="J1123" s="77">
        <v>63.45</v>
      </c>
      <c r="K1123" s="77">
        <v>60.54</v>
      </c>
      <c r="L1123" s="371">
        <v>6.24</v>
      </c>
      <c r="N1123" s="365">
        <f t="shared" si="333"/>
        <v>130.23000000000002</v>
      </c>
      <c r="O1123" s="343">
        <f t="shared" si="326"/>
        <v>63.45</v>
      </c>
      <c r="P1123" s="195">
        <v>4</v>
      </c>
      <c r="Q1123" s="326">
        <f>IFERROR(VLOOKUP($G1123,主力整理!$A$2:$G$2301,6,0),"0")</f>
        <v>5</v>
      </c>
      <c r="T1123" s="339">
        <f t="shared" si="327"/>
        <v>9</v>
      </c>
      <c r="V1123" s="371">
        <v>0.03</v>
      </c>
      <c r="W1123" s="69">
        <v>3</v>
      </c>
      <c r="X1123" s="59">
        <v>4.3099999999999996</v>
      </c>
      <c r="Y1123" s="14" t="str">
        <f>RTD("money.excel",,"4915","Price")</f>
        <v>無資料</v>
      </c>
      <c r="Z1123" s="69"/>
      <c r="AA1123" s="16" t="e">
        <f t="shared" si="328"/>
        <v>#VALUE!</v>
      </c>
      <c r="AB1123" s="3" t="e">
        <f t="shared" si="329"/>
        <v>#VALUE!</v>
      </c>
      <c r="AC1123" s="177" t="s">
        <v>2929</v>
      </c>
      <c r="AD1123" s="23" t="s">
        <v>98</v>
      </c>
      <c r="AG1123" s="34">
        <f t="shared" si="330"/>
        <v>0</v>
      </c>
      <c r="AH1123" s="125" t="s">
        <v>4570</v>
      </c>
      <c r="AI1123" s="131"/>
      <c r="AK1123" s="66">
        <f t="shared" si="331"/>
        <v>0</v>
      </c>
      <c r="AL1123" s="174">
        <f t="shared" si="332"/>
        <v>0</v>
      </c>
      <c r="AM1123" s="346">
        <f>RTD("money.excel",,$G1123,"PredictVolume")</f>
        <v>0</v>
      </c>
      <c r="AN1123" s="272">
        <f>RTD("money.excel",,$G1123,"CumulativeVolume")</f>
        <v>0</v>
      </c>
      <c r="AO1123" s="284"/>
    </row>
    <row r="1124" spans="1:41">
      <c r="A1124" s="151" t="s">
        <v>2408</v>
      </c>
      <c r="B1124" s="85">
        <v>-16</v>
      </c>
      <c r="C1124" s="85">
        <v>-5</v>
      </c>
      <c r="D1124" s="85">
        <v>-19</v>
      </c>
      <c r="E1124" s="84">
        <v>27</v>
      </c>
      <c r="F1124" s="7">
        <v>8.8800000000000008</v>
      </c>
      <c r="G1124" s="85">
        <v>4927</v>
      </c>
      <c r="H1124" s="11" t="s">
        <v>559</v>
      </c>
      <c r="I1124" s="23" t="s">
        <v>820</v>
      </c>
      <c r="J1124" s="77">
        <v>65.319999999999993</v>
      </c>
      <c r="K1124" s="77">
        <v>35.04</v>
      </c>
      <c r="L1124" s="371">
        <v>19.149999999999999</v>
      </c>
      <c r="M1124" s="371">
        <v>1.57</v>
      </c>
      <c r="N1124" s="365">
        <f t="shared" si="333"/>
        <v>121.07999999999998</v>
      </c>
      <c r="O1124" s="343">
        <f t="shared" si="326"/>
        <v>66.889999999999986</v>
      </c>
      <c r="P1124" s="195">
        <v>20</v>
      </c>
      <c r="Q1124" s="326">
        <v>30</v>
      </c>
      <c r="R1124" s="111">
        <v>37</v>
      </c>
      <c r="S1124" s="51">
        <v>31</v>
      </c>
      <c r="T1124" s="339">
        <f t="shared" si="327"/>
        <v>118</v>
      </c>
      <c r="U1124" s="329" t="s">
        <v>6539</v>
      </c>
      <c r="V1124" s="371">
        <v>2.85</v>
      </c>
      <c r="W1124" s="69">
        <v>3</v>
      </c>
      <c r="X1124" s="59">
        <v>5.45</v>
      </c>
      <c r="Y1124" s="37" t="str">
        <f>RTD("money.excel",,"4927","Price")</f>
        <v>無資料</v>
      </c>
      <c r="Z1124" s="69"/>
      <c r="AA1124" s="16" t="e">
        <f t="shared" si="328"/>
        <v>#VALUE!</v>
      </c>
      <c r="AB1124" s="3" t="e">
        <f t="shared" si="329"/>
        <v>#VALUE!</v>
      </c>
      <c r="AC1124" s="177" t="s">
        <v>2929</v>
      </c>
      <c r="AD1124" s="23" t="s">
        <v>820</v>
      </c>
      <c r="AG1124" s="34">
        <f t="shared" si="330"/>
        <v>0</v>
      </c>
      <c r="AH1124" s="44" t="s">
        <v>1685</v>
      </c>
      <c r="AI1124" s="131"/>
      <c r="AK1124" s="66">
        <f t="shared" si="331"/>
        <v>0</v>
      </c>
      <c r="AL1124" s="174">
        <f t="shared" si="332"/>
        <v>0</v>
      </c>
      <c r="AM1124" s="346">
        <f>RTD("money.excel",,$G1124,"PredictVolume")</f>
        <v>0</v>
      </c>
      <c r="AN1124" s="272">
        <f>RTD("money.excel",,$G1124,"CumulativeVolume")</f>
        <v>0</v>
      </c>
      <c r="AO1124" s="284"/>
    </row>
    <row r="1125" spans="1:41">
      <c r="A1125" s="135" t="s">
        <v>2212</v>
      </c>
      <c r="B1125" s="84">
        <v>345</v>
      </c>
      <c r="C1125" s="84">
        <v>91</v>
      </c>
      <c r="D1125" s="85">
        <v>-51</v>
      </c>
      <c r="E1125" s="84">
        <v>38</v>
      </c>
      <c r="F1125" s="59">
        <v>12.02</v>
      </c>
      <c r="G1125" s="85">
        <v>4939</v>
      </c>
      <c r="H1125" s="4" t="s">
        <v>559</v>
      </c>
      <c r="I1125" s="17" t="s">
        <v>756</v>
      </c>
      <c r="J1125" s="371">
        <v>11.89</v>
      </c>
      <c r="K1125" s="77">
        <v>3.06</v>
      </c>
      <c r="L1125" s="77">
        <v>15.1</v>
      </c>
      <c r="N1125" s="365">
        <f t="shared" si="333"/>
        <v>30.05</v>
      </c>
      <c r="O1125" s="343">
        <f t="shared" si="326"/>
        <v>11.89</v>
      </c>
      <c r="P1125" s="195" t="s">
        <v>5554</v>
      </c>
      <c r="Q1125" s="326" t="str">
        <f>IFERROR(VLOOKUP($G1125,主力整理!$A$2:$G$2301,6,0),"0")</f>
        <v>0</v>
      </c>
      <c r="T1125" s="339">
        <f t="shared" si="327"/>
        <v>0</v>
      </c>
      <c r="V1125" s="371">
        <v>1.39</v>
      </c>
      <c r="W1125" s="35">
        <v>1.25</v>
      </c>
      <c r="X1125" s="100">
        <v>1.61</v>
      </c>
      <c r="Y1125" s="37" t="str">
        <f>RTD("money.excel",,"4939","Price")</f>
        <v>無資料</v>
      </c>
      <c r="Z1125" s="69"/>
      <c r="AA1125" s="16" t="e">
        <f t="shared" si="328"/>
        <v>#VALUE!</v>
      </c>
      <c r="AB1125" s="3" t="e">
        <f t="shared" si="329"/>
        <v>#VALUE!</v>
      </c>
      <c r="AD1125" s="17" t="s">
        <v>756</v>
      </c>
      <c r="AG1125" s="34">
        <f t="shared" si="330"/>
        <v>0</v>
      </c>
      <c r="AH1125" s="63" t="s">
        <v>1686</v>
      </c>
      <c r="AI1125" s="131"/>
      <c r="AK1125" s="66">
        <f t="shared" si="331"/>
        <v>0</v>
      </c>
      <c r="AL1125" s="174">
        <f t="shared" si="332"/>
        <v>0</v>
      </c>
      <c r="AM1125" s="346">
        <f>RTD("money.excel",,$G1125,"PredictVolume")</f>
        <v>0</v>
      </c>
      <c r="AN1125" s="272">
        <f>RTD("money.excel",,$G1125,"CumulativeVolume")</f>
        <v>0</v>
      </c>
      <c r="AO1125" s="284"/>
    </row>
    <row r="1126" spans="1:41">
      <c r="A1126" s="151" t="s">
        <v>3155</v>
      </c>
      <c r="B1126" s="85">
        <v>-152</v>
      </c>
      <c r="C1126" s="85">
        <v>-103</v>
      </c>
      <c r="D1126" s="85">
        <v>-14</v>
      </c>
      <c r="E1126" s="85">
        <v>-35</v>
      </c>
      <c r="F1126" s="59">
        <v>-0.33</v>
      </c>
      <c r="G1126" s="85">
        <v>4943</v>
      </c>
      <c r="H1126" s="53" t="s">
        <v>559</v>
      </c>
      <c r="I1126" s="23" t="s">
        <v>105</v>
      </c>
      <c r="J1126" s="371">
        <v>47.32</v>
      </c>
      <c r="K1126" s="77">
        <v>37.950000000000003</v>
      </c>
      <c r="L1126" s="371">
        <v>20.87</v>
      </c>
      <c r="N1126" s="365">
        <f t="shared" si="333"/>
        <v>106.14000000000001</v>
      </c>
      <c r="O1126" s="343">
        <f t="shared" si="326"/>
        <v>47.32</v>
      </c>
      <c r="P1126" s="195" t="s">
        <v>5554</v>
      </c>
      <c r="Q1126" s="326" t="str">
        <f>IFERROR(VLOOKUP($G1126,主力整理!$A$2:$G$2301,6,0),"0")</f>
        <v>0</v>
      </c>
      <c r="T1126" s="339">
        <f t="shared" si="327"/>
        <v>0</v>
      </c>
      <c r="V1126" s="371">
        <v>1.47</v>
      </c>
      <c r="W1126" s="35">
        <v>0</v>
      </c>
      <c r="X1126" s="100">
        <v>-0.99</v>
      </c>
      <c r="Y1126" s="37" t="str">
        <f>RTD("money.excel",,"4943","Price")</f>
        <v>無資料</v>
      </c>
      <c r="Z1126" s="69"/>
      <c r="AA1126" s="16" t="e">
        <f t="shared" si="328"/>
        <v>#VALUE!</v>
      </c>
      <c r="AB1126" s="3" t="e">
        <f t="shared" si="329"/>
        <v>#VALUE!</v>
      </c>
      <c r="AC1126" s="177" t="s">
        <v>2648</v>
      </c>
      <c r="AD1126" s="23" t="s">
        <v>105</v>
      </c>
      <c r="AG1126" s="34">
        <f t="shared" si="330"/>
        <v>0</v>
      </c>
      <c r="AH1126" s="125" t="s">
        <v>4090</v>
      </c>
      <c r="AI1126" s="131"/>
      <c r="AK1126" s="66">
        <f t="shared" si="331"/>
        <v>0</v>
      </c>
      <c r="AL1126" s="174">
        <f t="shared" si="332"/>
        <v>0</v>
      </c>
      <c r="AM1126" s="346">
        <f>RTD("money.excel",,$G1126,"PredictVolume")</f>
        <v>0</v>
      </c>
      <c r="AN1126" s="272">
        <f>RTD("money.excel",,$G1126,"CumulativeVolume")</f>
        <v>0</v>
      </c>
      <c r="AO1126" s="284"/>
    </row>
    <row r="1127" spans="1:41">
      <c r="A1127" s="151" t="s">
        <v>3363</v>
      </c>
      <c r="B1127" s="85">
        <v>-20</v>
      </c>
      <c r="C1127" s="85">
        <v>-16</v>
      </c>
      <c r="D1127" s="84">
        <v>24</v>
      </c>
      <c r="E1127" s="84">
        <v>40</v>
      </c>
      <c r="F1127" s="7">
        <v>4.47</v>
      </c>
      <c r="G1127" s="85">
        <v>4958</v>
      </c>
      <c r="H1127" s="54" t="s">
        <v>559</v>
      </c>
      <c r="I1127" s="23" t="s">
        <v>47</v>
      </c>
      <c r="J1127" s="371">
        <v>69.47</v>
      </c>
      <c r="K1127" s="371">
        <v>60.62</v>
      </c>
      <c r="L1127" s="371">
        <v>6.27</v>
      </c>
      <c r="N1127" s="365">
        <f t="shared" si="333"/>
        <v>136.36000000000001</v>
      </c>
      <c r="O1127" s="343">
        <f t="shared" si="326"/>
        <v>69.47</v>
      </c>
      <c r="P1127" s="195">
        <v>10</v>
      </c>
      <c r="Q1127" s="326">
        <f>IFERROR(VLOOKUP($G1127,主力整理!$A$2:$G$2301,6,0),"0")</f>
        <v>4</v>
      </c>
      <c r="R1127" s="111">
        <v>1</v>
      </c>
      <c r="S1127" s="51">
        <v>18</v>
      </c>
      <c r="T1127" s="339">
        <f t="shared" si="327"/>
        <v>33</v>
      </c>
      <c r="V1127" s="371">
        <v>0.8</v>
      </c>
      <c r="W1127" s="69">
        <v>4.5</v>
      </c>
      <c r="X1127" s="59">
        <v>8.27</v>
      </c>
      <c r="Y1127" s="14" t="str">
        <f>RTD("money.excel",,"4958","Price")</f>
        <v>無資料</v>
      </c>
      <c r="Z1127" s="69"/>
      <c r="AA1127" s="16" t="e">
        <f t="shared" si="328"/>
        <v>#VALUE!</v>
      </c>
      <c r="AB1127" s="3" t="e">
        <f t="shared" si="329"/>
        <v>#VALUE!</v>
      </c>
      <c r="AC1127" s="177" t="s">
        <v>6568</v>
      </c>
      <c r="AD1127" s="23" t="s">
        <v>47</v>
      </c>
      <c r="AG1127" s="34">
        <f t="shared" si="330"/>
        <v>0</v>
      </c>
      <c r="AH1127" s="125" t="s">
        <v>3679</v>
      </c>
      <c r="AI1127" s="131"/>
      <c r="AK1127" s="66">
        <f t="shared" si="331"/>
        <v>0</v>
      </c>
      <c r="AL1127" s="174">
        <f t="shared" si="332"/>
        <v>0</v>
      </c>
      <c r="AM1127" s="346">
        <f>RTD("money.excel",,$G1127,"PredictVolume")</f>
        <v>0</v>
      </c>
      <c r="AN1127" s="272">
        <f>RTD("money.excel",,$G1127,"CumulativeVolume")</f>
        <v>0</v>
      </c>
      <c r="AO1127" s="284"/>
    </row>
    <row r="1128" spans="1:41">
      <c r="A1128" s="135" t="s">
        <v>2432</v>
      </c>
      <c r="B1128" s="85">
        <v>-3</v>
      </c>
      <c r="C1128" s="84">
        <v>17</v>
      </c>
      <c r="D1128" s="84">
        <v>18</v>
      </c>
      <c r="E1128" s="84">
        <v>46</v>
      </c>
      <c r="F1128" s="59">
        <v>10.4</v>
      </c>
      <c r="G1128" s="85">
        <v>4974</v>
      </c>
      <c r="H1128" s="4" t="s">
        <v>559</v>
      </c>
      <c r="I1128" s="17" t="s">
        <v>279</v>
      </c>
      <c r="J1128" s="371">
        <v>39.74</v>
      </c>
      <c r="K1128" s="77">
        <v>6.65</v>
      </c>
      <c r="L1128" s="371">
        <v>6.96</v>
      </c>
      <c r="N1128" s="365">
        <f t="shared" si="333"/>
        <v>53.35</v>
      </c>
      <c r="O1128" s="343">
        <f t="shared" si="326"/>
        <v>39.74</v>
      </c>
      <c r="P1128" s="195">
        <v>2</v>
      </c>
      <c r="Q1128" s="326" t="str">
        <f>IFERROR(VLOOKUP($G1128,主力整理!$A$2:$G$2301,6,0),"0")</f>
        <v>0</v>
      </c>
      <c r="T1128" s="339">
        <f t="shared" si="327"/>
        <v>2</v>
      </c>
      <c r="V1128" s="371">
        <v>0.06</v>
      </c>
      <c r="W1128" s="69">
        <v>3.5</v>
      </c>
      <c r="X1128" s="100">
        <v>5.16</v>
      </c>
      <c r="Y1128" s="37" t="str">
        <f>RTD("money.excel",,"4974","Price")</f>
        <v>無資料</v>
      </c>
      <c r="Z1128" s="69"/>
      <c r="AA1128" s="16" t="e">
        <f t="shared" si="328"/>
        <v>#VALUE!</v>
      </c>
      <c r="AB1128" s="3" t="e">
        <f t="shared" si="329"/>
        <v>#VALUE!</v>
      </c>
      <c r="AC1128" s="177" t="s">
        <v>2929</v>
      </c>
      <c r="AD1128" s="17" t="s">
        <v>279</v>
      </c>
      <c r="AG1128" s="34">
        <f t="shared" si="330"/>
        <v>0</v>
      </c>
      <c r="AH1128" s="126" t="s">
        <v>3810</v>
      </c>
      <c r="AI1128" s="131"/>
      <c r="AK1128" s="66">
        <f t="shared" si="331"/>
        <v>0</v>
      </c>
      <c r="AL1128" s="174">
        <f t="shared" si="332"/>
        <v>0</v>
      </c>
      <c r="AM1128" s="346">
        <f>RTD("money.excel",,$G1128,"PredictVolume")</f>
        <v>0</v>
      </c>
      <c r="AN1128" s="272">
        <f>RTD("money.excel",,$G1128,"CumulativeVolume")</f>
        <v>0</v>
      </c>
      <c r="AO1128" s="284"/>
    </row>
    <row r="1129" spans="1:41">
      <c r="A1129" s="135" t="s">
        <v>2574</v>
      </c>
      <c r="B1129" s="98">
        <v>1554</v>
      </c>
      <c r="C1129" s="98">
        <v>1176</v>
      </c>
      <c r="D1129" s="85">
        <v>-3</v>
      </c>
      <c r="E1129" s="84">
        <v>66</v>
      </c>
      <c r="F1129" s="59">
        <v>16.010000000000002</v>
      </c>
      <c r="G1129" s="85">
        <v>4989</v>
      </c>
      <c r="H1129" s="54" t="s">
        <v>559</v>
      </c>
      <c r="I1129" s="23" t="s">
        <v>5247</v>
      </c>
      <c r="J1129" s="77">
        <v>73.040000000000006</v>
      </c>
      <c r="K1129" s="77">
        <v>3.59</v>
      </c>
      <c r="L1129" s="371">
        <v>12.28</v>
      </c>
      <c r="N1129" s="365">
        <f t="shared" si="333"/>
        <v>88.910000000000011</v>
      </c>
      <c r="O1129" s="343">
        <f t="shared" si="326"/>
        <v>73.040000000000006</v>
      </c>
      <c r="P1129" s="195" t="s">
        <v>5554</v>
      </c>
      <c r="Q1129" s="326">
        <f>IFERROR(VLOOKUP($G1129,主力整理!$A$2:$G$2301,6,0),"0")</f>
        <v>4</v>
      </c>
      <c r="R1129" s="111">
        <v>9</v>
      </c>
      <c r="S1129" s="51">
        <v>1</v>
      </c>
      <c r="T1129" s="339">
        <f t="shared" si="327"/>
        <v>14</v>
      </c>
      <c r="V1129" s="371">
        <v>49.23</v>
      </c>
      <c r="W1129" s="35">
        <v>0.6</v>
      </c>
      <c r="X1129" s="59">
        <v>1.83</v>
      </c>
      <c r="Y1129" s="37" t="str">
        <f>RTD("money.excel",,"4989","Price")</f>
        <v>無資料</v>
      </c>
      <c r="Z1129" s="69"/>
      <c r="AA1129" s="16" t="e">
        <f t="shared" si="328"/>
        <v>#VALUE!</v>
      </c>
      <c r="AB1129" s="3" t="e">
        <f t="shared" si="329"/>
        <v>#VALUE!</v>
      </c>
      <c r="AC1129" s="177" t="s">
        <v>2648</v>
      </c>
      <c r="AD1129" s="23" t="s">
        <v>5247</v>
      </c>
      <c r="AG1129" s="34">
        <f t="shared" si="330"/>
        <v>0</v>
      </c>
      <c r="AH1129" s="126" t="s">
        <v>5248</v>
      </c>
      <c r="AI1129" s="131"/>
      <c r="AK1129" s="66">
        <f t="shared" si="331"/>
        <v>0</v>
      </c>
      <c r="AL1129" s="174">
        <f t="shared" si="332"/>
        <v>0</v>
      </c>
      <c r="AM1129" s="346">
        <f>RTD("money.excel",,$G1129,"PredictVolume")</f>
        <v>0</v>
      </c>
      <c r="AN1129" s="272">
        <f>RTD("money.excel",,$G1129,"CumulativeVolume")</f>
        <v>0</v>
      </c>
      <c r="AO1129" s="284"/>
    </row>
    <row r="1130" spans="1:41">
      <c r="A1130" s="151" t="s">
        <v>2630</v>
      </c>
      <c r="B1130" s="85">
        <v>-60</v>
      </c>
      <c r="C1130" s="85">
        <v>-50</v>
      </c>
      <c r="D1130" s="85">
        <v>-16</v>
      </c>
      <c r="E1130" s="85">
        <v>-17</v>
      </c>
      <c r="F1130" s="7">
        <v>8.89</v>
      </c>
      <c r="G1130" s="85">
        <v>4999</v>
      </c>
      <c r="H1130" s="4" t="s">
        <v>559</v>
      </c>
      <c r="I1130" s="23" t="s">
        <v>718</v>
      </c>
      <c r="J1130" s="77">
        <v>30.59</v>
      </c>
      <c r="K1130" s="371">
        <v>4.1500000000000004</v>
      </c>
      <c r="L1130" s="371">
        <v>7.18</v>
      </c>
      <c r="M1130" s="371">
        <v>19.149999999999999</v>
      </c>
      <c r="N1130" s="365">
        <f t="shared" si="333"/>
        <v>61.07</v>
      </c>
      <c r="O1130" s="343">
        <f t="shared" si="326"/>
        <v>49.739999999999995</v>
      </c>
      <c r="P1130" s="195">
        <v>0</v>
      </c>
      <c r="Q1130" s="326">
        <v>3</v>
      </c>
      <c r="R1130" s="111">
        <v>10</v>
      </c>
      <c r="S1130" s="51">
        <v>5</v>
      </c>
      <c r="T1130" s="339">
        <f t="shared" si="327"/>
        <v>18</v>
      </c>
      <c r="U1130" s="329" t="s">
        <v>6538</v>
      </c>
      <c r="V1130" s="371">
        <v>0.99</v>
      </c>
      <c r="W1130" s="69">
        <v>3</v>
      </c>
      <c r="X1130" s="100">
        <v>3.49</v>
      </c>
      <c r="Y1130" s="37" t="str">
        <f>RTD("money.excel",,"4999","Price")</f>
        <v>無資料</v>
      </c>
      <c r="Z1130" s="69"/>
      <c r="AA1130" s="16" t="e">
        <f t="shared" si="328"/>
        <v>#VALUE!</v>
      </c>
      <c r="AB1130" s="36" t="e">
        <f t="shared" si="329"/>
        <v>#VALUE!</v>
      </c>
      <c r="AC1130" s="177" t="s">
        <v>2700</v>
      </c>
      <c r="AD1130" s="23" t="s">
        <v>718</v>
      </c>
      <c r="AG1130" s="34">
        <f t="shared" si="330"/>
        <v>0</v>
      </c>
      <c r="AH1130" s="44" t="s">
        <v>4091</v>
      </c>
      <c r="AI1130" s="131"/>
      <c r="AK1130" s="66">
        <f t="shared" si="331"/>
        <v>0</v>
      </c>
      <c r="AL1130" s="174">
        <f t="shared" si="332"/>
        <v>0</v>
      </c>
      <c r="AM1130" s="346">
        <f>RTD("money.excel",,$G1130,"PredictVolume")</f>
        <v>0</v>
      </c>
      <c r="AN1130" s="272">
        <f>RTD("money.excel",,$G1130,"CumulativeVolume")</f>
        <v>0</v>
      </c>
      <c r="AO1130" s="284"/>
    </row>
    <row r="1131" spans="1:41">
      <c r="A1131" s="151" t="s">
        <v>3445</v>
      </c>
      <c r="B1131" s="85">
        <v>-32</v>
      </c>
      <c r="C1131" s="85">
        <v>17</v>
      </c>
      <c r="D1131" s="85">
        <v>-45</v>
      </c>
      <c r="E1131" s="84">
        <v>655</v>
      </c>
      <c r="F1131" s="77">
        <v>-152.59</v>
      </c>
      <c r="G1131" s="85">
        <v>5227</v>
      </c>
      <c r="H1131" s="4" t="s">
        <v>559</v>
      </c>
      <c r="I1131" s="17" t="s">
        <v>757</v>
      </c>
      <c r="J1131" s="371">
        <v>26.95</v>
      </c>
      <c r="K1131" s="77">
        <v>21.41</v>
      </c>
      <c r="N1131" s="365">
        <f t="shared" si="333"/>
        <v>48.36</v>
      </c>
      <c r="O1131" s="343">
        <f t="shared" si="326"/>
        <v>26.95</v>
      </c>
      <c r="P1131" s="195">
        <v>2</v>
      </c>
      <c r="Q1131" s="326">
        <f>IFERROR(VLOOKUP($G1131,主力整理!$A$2:$G$2301,6,0),"0")</f>
        <v>1</v>
      </c>
      <c r="T1131" s="339">
        <f t="shared" si="327"/>
        <v>3</v>
      </c>
      <c r="W1131" s="35">
        <v>0</v>
      </c>
      <c r="X1131" s="100">
        <v>-4.83</v>
      </c>
      <c r="Y1131" s="37" t="str">
        <f>RTD("money.excel",,"5227","Price")</f>
        <v>無資料</v>
      </c>
      <c r="Z1131" s="69"/>
      <c r="AA1131" s="16" t="e">
        <f t="shared" si="328"/>
        <v>#VALUE!</v>
      </c>
      <c r="AB1131" s="3" t="e">
        <f t="shared" si="329"/>
        <v>#VALUE!</v>
      </c>
      <c r="AC1131" s="177" t="s">
        <v>2648</v>
      </c>
      <c r="AD1131" s="17" t="s">
        <v>757</v>
      </c>
      <c r="AG1131" s="34">
        <f t="shared" si="330"/>
        <v>0</v>
      </c>
      <c r="AH1131" s="44" t="s">
        <v>3660</v>
      </c>
      <c r="AI1131" s="131"/>
      <c r="AK1131" s="66">
        <f t="shared" si="331"/>
        <v>0</v>
      </c>
      <c r="AL1131" s="174">
        <f t="shared" si="332"/>
        <v>0</v>
      </c>
      <c r="AM1131" s="346">
        <f>RTD("money.excel",,$G1131,"PredictVolume")</f>
        <v>0</v>
      </c>
      <c r="AN1131" s="272">
        <f>RTD("money.excel",,$G1131,"CumulativeVolume")</f>
        <v>0</v>
      </c>
      <c r="AO1131" s="284"/>
    </row>
    <row r="1132" spans="1:41">
      <c r="A1132" s="135" t="s">
        <v>2908</v>
      </c>
      <c r="B1132" s="84">
        <v>142</v>
      </c>
      <c r="C1132" s="84">
        <v>201</v>
      </c>
      <c r="D1132" s="85">
        <v>-8</v>
      </c>
      <c r="E1132" s="84">
        <v>25</v>
      </c>
      <c r="F1132" s="59">
        <v>13.96</v>
      </c>
      <c r="G1132" s="85">
        <v>5291</v>
      </c>
      <c r="H1132" s="4" t="s">
        <v>559</v>
      </c>
      <c r="I1132" s="17" t="s">
        <v>758</v>
      </c>
      <c r="J1132" s="371">
        <v>19.61</v>
      </c>
      <c r="K1132" s="371">
        <v>5.01</v>
      </c>
      <c r="L1132" s="77">
        <v>45.11</v>
      </c>
      <c r="M1132" s="77">
        <v>15.63</v>
      </c>
      <c r="N1132" s="365">
        <f t="shared" si="333"/>
        <v>85.359999999999985</v>
      </c>
      <c r="O1132" s="343">
        <f t="shared" si="326"/>
        <v>35.24</v>
      </c>
      <c r="P1132" s="195">
        <v>4</v>
      </c>
      <c r="Q1132" s="326">
        <v>4</v>
      </c>
      <c r="R1132" s="111">
        <v>12</v>
      </c>
      <c r="S1132" s="51">
        <v>15</v>
      </c>
      <c r="T1132" s="339">
        <f t="shared" si="327"/>
        <v>35</v>
      </c>
      <c r="U1132" s="329" t="s">
        <v>6538</v>
      </c>
      <c r="V1132" s="371">
        <v>0.28000000000000003</v>
      </c>
      <c r="W1132" s="35">
        <v>1.1000000000000001</v>
      </c>
      <c r="X1132" s="100">
        <v>1.86</v>
      </c>
      <c r="Y1132" s="37" t="str">
        <f>RTD("money.excel",,"5291","Price")</f>
        <v>無資料</v>
      </c>
      <c r="Z1132" s="69"/>
      <c r="AA1132" s="16" t="e">
        <f t="shared" si="328"/>
        <v>#VALUE!</v>
      </c>
      <c r="AB1132" s="3" t="e">
        <f t="shared" si="329"/>
        <v>#VALUE!</v>
      </c>
      <c r="AC1132" s="177" t="s">
        <v>2648</v>
      </c>
      <c r="AD1132" s="17" t="s">
        <v>758</v>
      </c>
      <c r="AG1132" s="34">
        <f t="shared" si="330"/>
        <v>0</v>
      </c>
      <c r="AH1132" s="359" t="s">
        <v>3641</v>
      </c>
      <c r="AI1132" s="131"/>
      <c r="AK1132" s="66">
        <f t="shared" si="331"/>
        <v>0</v>
      </c>
      <c r="AL1132" s="174">
        <f t="shared" si="332"/>
        <v>0</v>
      </c>
      <c r="AM1132" s="346">
        <f>RTD("money.excel",,$G1132,"PredictVolume")</f>
        <v>0</v>
      </c>
      <c r="AN1132" s="272">
        <f>RTD("money.excel",,$G1132,"CumulativeVolume")</f>
        <v>0</v>
      </c>
      <c r="AO1132" s="284"/>
    </row>
    <row r="1133" spans="1:41">
      <c r="A1133" s="151" t="s">
        <v>2855</v>
      </c>
      <c r="B1133" s="84">
        <v>123</v>
      </c>
      <c r="C1133" s="84">
        <v>101</v>
      </c>
      <c r="D1133" s="85">
        <v>-12</v>
      </c>
      <c r="E1133" s="84">
        <v>82</v>
      </c>
      <c r="F1133" s="7">
        <v>0.15</v>
      </c>
      <c r="G1133" s="85">
        <v>5309</v>
      </c>
      <c r="H1133" s="4" t="s">
        <v>559</v>
      </c>
      <c r="I1133" s="17" t="s">
        <v>759</v>
      </c>
      <c r="J1133" s="371">
        <v>25.14</v>
      </c>
      <c r="K1133" s="371">
        <v>9.6999999999999993</v>
      </c>
      <c r="L1133" s="371"/>
      <c r="N1133" s="365">
        <f t="shared" si="333"/>
        <v>34.840000000000003</v>
      </c>
      <c r="O1133" s="343">
        <f t="shared" si="326"/>
        <v>25.14</v>
      </c>
      <c r="P1133" s="195">
        <v>4</v>
      </c>
      <c r="Q1133" s="326">
        <f>IFERROR(VLOOKUP($G1133,主力整理!$A$2:$G$2301,6,0),"0")</f>
        <v>5</v>
      </c>
      <c r="T1133" s="339">
        <f t="shared" si="327"/>
        <v>9</v>
      </c>
      <c r="W1133" s="35">
        <v>0</v>
      </c>
      <c r="X1133" s="100">
        <v>-0.32</v>
      </c>
      <c r="Y1133" s="37" t="str">
        <f>RTD("money.excel",,"5309","Price")</f>
        <v>無資料</v>
      </c>
      <c r="Z1133" s="69"/>
      <c r="AA1133" s="16" t="e">
        <f t="shared" si="328"/>
        <v>#VALUE!</v>
      </c>
      <c r="AB1133" s="3" t="e">
        <f t="shared" si="329"/>
        <v>#VALUE!</v>
      </c>
      <c r="AC1133" s="177" t="s">
        <v>2648</v>
      </c>
      <c r="AD1133" s="17" t="s">
        <v>759</v>
      </c>
      <c r="AG1133" s="34">
        <f t="shared" si="330"/>
        <v>0</v>
      </c>
      <c r="AH1133" s="44" t="s">
        <v>3706</v>
      </c>
      <c r="AI1133" s="131"/>
      <c r="AK1133" s="66">
        <f t="shared" si="331"/>
        <v>0</v>
      </c>
      <c r="AL1133" s="174">
        <f t="shared" si="332"/>
        <v>0</v>
      </c>
      <c r="AM1133" s="346">
        <f>RTD("money.excel",,$G1133,"PredictVolume")</f>
        <v>0</v>
      </c>
      <c r="AN1133" s="272">
        <f>RTD("money.excel",,$G1133,"CumulativeVolume")</f>
        <v>0</v>
      </c>
      <c r="AO1133" s="284"/>
    </row>
    <row r="1134" spans="1:41">
      <c r="A1134" s="151" t="s">
        <v>4621</v>
      </c>
      <c r="B1134" s="85">
        <v>-303</v>
      </c>
      <c r="C1134" s="85">
        <v>-126</v>
      </c>
      <c r="D1134" s="84">
        <v>15</v>
      </c>
      <c r="E1134" s="84">
        <v>40</v>
      </c>
      <c r="F1134" s="7">
        <v>-1.1000000000000001</v>
      </c>
      <c r="G1134" s="85">
        <v>5321</v>
      </c>
      <c r="H1134" s="4" t="s">
        <v>559</v>
      </c>
      <c r="I1134" s="17" t="s">
        <v>760</v>
      </c>
      <c r="J1134" s="371">
        <v>50.84</v>
      </c>
      <c r="K1134" s="77">
        <v>0.08</v>
      </c>
      <c r="L1134" s="77">
        <v>27.73</v>
      </c>
      <c r="N1134" s="365">
        <f t="shared" ref="N1134:N1165" si="334">J1134+K1134+L1134+M1134</f>
        <v>78.650000000000006</v>
      </c>
      <c r="O1134" s="343">
        <f t="shared" si="326"/>
        <v>50.84</v>
      </c>
      <c r="P1134" s="195" t="s">
        <v>5554</v>
      </c>
      <c r="Q1134" s="326" t="str">
        <f>IFERROR(VLOOKUP($G1134,主力整理!$A$2:$G$2301,6,0),"0")</f>
        <v>0</v>
      </c>
      <c r="T1134" s="339">
        <f t="shared" si="327"/>
        <v>0</v>
      </c>
      <c r="V1134" s="371">
        <v>0</v>
      </c>
      <c r="W1134" s="35">
        <v>0</v>
      </c>
      <c r="X1134" s="100">
        <v>-3.75</v>
      </c>
      <c r="Y1134" s="14" t="str">
        <f>RTD("money.excel",,"5321","Price")</f>
        <v>無資料</v>
      </c>
      <c r="Z1134" s="69"/>
      <c r="AA1134" s="16" t="e">
        <f t="shared" si="328"/>
        <v>#VALUE!</v>
      </c>
      <c r="AB1134" s="3" t="e">
        <f t="shared" si="329"/>
        <v>#VALUE!</v>
      </c>
      <c r="AD1134" s="17" t="s">
        <v>760</v>
      </c>
      <c r="AG1134" s="34">
        <f t="shared" si="330"/>
        <v>0</v>
      </c>
      <c r="AH1134" s="44" t="s">
        <v>3811</v>
      </c>
      <c r="AI1134" s="284"/>
      <c r="AK1134" s="66">
        <f t="shared" si="331"/>
        <v>0</v>
      </c>
      <c r="AL1134" s="174">
        <f t="shared" si="332"/>
        <v>0</v>
      </c>
      <c r="AM1134" s="346">
        <f>RTD("money.excel",,$G1134,"PredictVolume")</f>
        <v>0</v>
      </c>
      <c r="AN1134" s="272">
        <f>RTD("money.excel",,$G1134,"CumulativeVolume")</f>
        <v>0</v>
      </c>
      <c r="AO1134" s="284"/>
    </row>
    <row r="1135" spans="1:41">
      <c r="A1135" s="151" t="s">
        <v>2503</v>
      </c>
      <c r="B1135" s="96">
        <v>123</v>
      </c>
      <c r="C1135" s="96">
        <v>96</v>
      </c>
      <c r="D1135" s="96">
        <v>-10</v>
      </c>
      <c r="E1135" s="96">
        <v>14</v>
      </c>
      <c r="F1135" s="7">
        <v>-0.28999999999999998</v>
      </c>
      <c r="G1135" s="85">
        <v>5328</v>
      </c>
      <c r="H1135" s="4" t="s">
        <v>559</v>
      </c>
      <c r="I1135" s="17" t="s">
        <v>761</v>
      </c>
      <c r="J1135" s="77">
        <v>48.91</v>
      </c>
      <c r="K1135" s="77">
        <v>1.8</v>
      </c>
      <c r="L1135" s="77">
        <v>0</v>
      </c>
      <c r="N1135" s="365">
        <f t="shared" si="334"/>
        <v>50.709999999999994</v>
      </c>
      <c r="O1135" s="343">
        <f t="shared" si="326"/>
        <v>48.91</v>
      </c>
      <c r="P1135" s="195" t="s">
        <v>5554</v>
      </c>
      <c r="Q1135" s="326">
        <f>IFERROR(VLOOKUP($G1135,主力整理!$A$2:$G$2301,6,0),"0")</f>
        <v>7</v>
      </c>
      <c r="T1135" s="339">
        <f t="shared" si="327"/>
        <v>7</v>
      </c>
      <c r="V1135" s="371">
        <v>37.61</v>
      </c>
      <c r="W1135" s="35">
        <v>0</v>
      </c>
      <c r="X1135" s="100">
        <v>0.12</v>
      </c>
      <c r="Y1135" s="37" t="str">
        <f>RTD("money.excel",,"5328","Price")</f>
        <v>無資料</v>
      </c>
      <c r="Z1135" s="69"/>
      <c r="AA1135" s="16" t="e">
        <f t="shared" si="328"/>
        <v>#VALUE!</v>
      </c>
      <c r="AB1135" s="3" t="e">
        <f t="shared" si="329"/>
        <v>#VALUE!</v>
      </c>
      <c r="AD1135" s="17" t="s">
        <v>761</v>
      </c>
      <c r="AG1135" s="34">
        <f t="shared" si="330"/>
        <v>0</v>
      </c>
      <c r="AH1135" s="44" t="s">
        <v>3812</v>
      </c>
      <c r="AI1135" s="131"/>
      <c r="AK1135" s="66">
        <f t="shared" si="331"/>
        <v>0</v>
      </c>
      <c r="AL1135" s="174">
        <f t="shared" si="332"/>
        <v>0</v>
      </c>
      <c r="AM1135" s="346">
        <f>RTD("money.excel",,$G1135,"PredictVolume")</f>
        <v>0</v>
      </c>
      <c r="AN1135" s="272">
        <f>RTD("money.excel",,$G1135,"CumulativeVolume")</f>
        <v>0</v>
      </c>
      <c r="AO1135" s="284"/>
    </row>
    <row r="1136" spans="1:41">
      <c r="A1136" s="151" t="s">
        <v>2509</v>
      </c>
      <c r="B1136" s="85">
        <v>-32</v>
      </c>
      <c r="C1136" s="85">
        <v>-34</v>
      </c>
      <c r="D1136" s="85">
        <v>-1</v>
      </c>
      <c r="E1136" s="85">
        <v>-7</v>
      </c>
      <c r="F1136" s="7">
        <v>7.39</v>
      </c>
      <c r="G1136" s="85">
        <v>5340</v>
      </c>
      <c r="H1136" s="4" t="s">
        <v>559</v>
      </c>
      <c r="I1136" s="17" t="s">
        <v>762</v>
      </c>
      <c r="J1136" s="371">
        <v>67.5</v>
      </c>
      <c r="K1136" s="77">
        <v>49.97</v>
      </c>
      <c r="L1136" s="371"/>
      <c r="N1136" s="365">
        <f t="shared" si="334"/>
        <v>117.47</v>
      </c>
      <c r="O1136" s="343">
        <f t="shared" si="326"/>
        <v>67.5</v>
      </c>
      <c r="P1136" s="195" t="s">
        <v>5554</v>
      </c>
      <c r="Q1136" s="326" t="str">
        <f>IFERROR(VLOOKUP($G1136,主力整理!$A$2:$G$2301,6,0),"0")</f>
        <v>0</v>
      </c>
      <c r="T1136" s="339">
        <f t="shared" si="327"/>
        <v>0</v>
      </c>
      <c r="V1136" s="371">
        <v>49.3</v>
      </c>
      <c r="W1136" s="35">
        <v>0</v>
      </c>
      <c r="X1136" s="59">
        <v>0.49</v>
      </c>
      <c r="Y1136" s="14" t="str">
        <f>RTD("money.excel",,"5340","Price")</f>
        <v>無資料</v>
      </c>
      <c r="Z1136" s="69"/>
      <c r="AA1136" s="16" t="e">
        <f t="shared" si="328"/>
        <v>#VALUE!</v>
      </c>
      <c r="AB1136" s="3" t="e">
        <f t="shared" si="329"/>
        <v>#VALUE!</v>
      </c>
      <c r="AC1136" s="177" t="s">
        <v>2648</v>
      </c>
      <c r="AD1136" s="17" t="s">
        <v>762</v>
      </c>
      <c r="AG1136" s="34">
        <f t="shared" si="330"/>
        <v>0</v>
      </c>
      <c r="AH1136" s="44" t="s">
        <v>3813</v>
      </c>
      <c r="AI1136" s="131"/>
      <c r="AK1136" s="66">
        <f t="shared" si="331"/>
        <v>0</v>
      </c>
      <c r="AL1136" s="174">
        <f t="shared" si="332"/>
        <v>0</v>
      </c>
      <c r="AM1136" s="346">
        <f>RTD("money.excel",,$G1136,"PredictVolume")</f>
        <v>0</v>
      </c>
      <c r="AN1136" s="272">
        <f>RTD("money.excel",,$G1136,"CumulativeVolume")</f>
        <v>0</v>
      </c>
      <c r="AO1136" s="284"/>
    </row>
    <row r="1137" spans="1:41">
      <c r="A1137" s="151" t="s">
        <v>4622</v>
      </c>
      <c r="B1137" s="96">
        <v>-19</v>
      </c>
      <c r="C1137" s="96">
        <v>-20</v>
      </c>
      <c r="D1137" s="96">
        <v>75</v>
      </c>
      <c r="E1137" s="145">
        <v>2521</v>
      </c>
      <c r="F1137" s="7">
        <v>-99.99</v>
      </c>
      <c r="G1137" s="85">
        <v>5345</v>
      </c>
      <c r="H1137" s="4" t="s">
        <v>559</v>
      </c>
      <c r="I1137" s="17" t="s">
        <v>763</v>
      </c>
      <c r="J1137" s="77">
        <v>46.21</v>
      </c>
      <c r="K1137" s="77">
        <v>0.19</v>
      </c>
      <c r="N1137" s="365">
        <f t="shared" si="334"/>
        <v>46.4</v>
      </c>
      <c r="O1137" s="343">
        <f t="shared" si="326"/>
        <v>46.21</v>
      </c>
      <c r="P1137" s="195" t="s">
        <v>5554</v>
      </c>
      <c r="Q1137" s="326" t="str">
        <f>IFERROR(VLOOKUP($G1137,主力整理!$A$2:$G$2301,6,0),"0")</f>
        <v>0</v>
      </c>
      <c r="T1137" s="339">
        <f t="shared" si="327"/>
        <v>0</v>
      </c>
      <c r="V1137" s="371">
        <v>27.25</v>
      </c>
      <c r="W1137" s="35">
        <v>0</v>
      </c>
      <c r="X1137" s="100">
        <v>-3.34</v>
      </c>
      <c r="Y1137" s="37" t="str">
        <f>RTD("money.excel",,"5345","Price")</f>
        <v>無資料</v>
      </c>
      <c r="Z1137" s="69"/>
      <c r="AA1137" s="16" t="e">
        <f t="shared" si="328"/>
        <v>#VALUE!</v>
      </c>
      <c r="AB1137" s="3" t="e">
        <f t="shared" si="329"/>
        <v>#VALUE!</v>
      </c>
      <c r="AD1137" s="17" t="s">
        <v>763</v>
      </c>
      <c r="AG1137" s="34">
        <f t="shared" si="330"/>
        <v>0</v>
      </c>
      <c r="AH1137" s="44" t="s">
        <v>764</v>
      </c>
      <c r="AI1137" s="131"/>
      <c r="AK1137" s="66">
        <f t="shared" si="331"/>
        <v>0</v>
      </c>
      <c r="AL1137" s="174">
        <f t="shared" si="332"/>
        <v>0</v>
      </c>
      <c r="AM1137" s="346">
        <f>RTD("money.excel",,$G1137,"PredictVolume")</f>
        <v>0</v>
      </c>
      <c r="AN1137" s="272">
        <f>RTD("money.excel",,$G1137,"CumulativeVolume")</f>
        <v>0</v>
      </c>
      <c r="AO1137" s="284"/>
    </row>
    <row r="1138" spans="1:41">
      <c r="A1138" s="151" t="s">
        <v>2748</v>
      </c>
      <c r="B1138" s="96">
        <v>-52</v>
      </c>
      <c r="C1138" s="96">
        <v>-6</v>
      </c>
      <c r="D1138" s="96">
        <v>-6</v>
      </c>
      <c r="E1138" s="96">
        <v>-22</v>
      </c>
      <c r="F1138" s="7">
        <v>-14.74</v>
      </c>
      <c r="G1138" s="85">
        <v>5355</v>
      </c>
      <c r="H1138" s="4" t="s">
        <v>559</v>
      </c>
      <c r="I1138" s="17" t="s">
        <v>765</v>
      </c>
      <c r="J1138" s="77">
        <v>56.21</v>
      </c>
      <c r="K1138" s="77">
        <v>0.66</v>
      </c>
      <c r="L1138" s="77">
        <v>0</v>
      </c>
      <c r="N1138" s="365">
        <f t="shared" si="334"/>
        <v>56.87</v>
      </c>
      <c r="O1138" s="343">
        <f t="shared" si="326"/>
        <v>56.21</v>
      </c>
      <c r="P1138" s="195" t="s">
        <v>5554</v>
      </c>
      <c r="Q1138" s="326" t="str">
        <f>IFERROR(VLOOKUP($G1138,主力整理!$A$2:$G$2301,6,0),"0")</f>
        <v>0</v>
      </c>
      <c r="T1138" s="339">
        <f t="shared" si="327"/>
        <v>0</v>
      </c>
      <c r="V1138" s="371">
        <v>13.01</v>
      </c>
      <c r="W1138" s="35">
        <v>0</v>
      </c>
      <c r="X1138" s="100">
        <v>0.08</v>
      </c>
      <c r="Y1138" s="14" t="str">
        <f>RTD("money.excel",,"5355","Price")</f>
        <v>無資料</v>
      </c>
      <c r="Z1138" s="69"/>
      <c r="AA1138" s="16" t="e">
        <f t="shared" si="328"/>
        <v>#VALUE!</v>
      </c>
      <c r="AB1138" s="3" t="e">
        <f t="shared" si="329"/>
        <v>#VALUE!</v>
      </c>
      <c r="AD1138" s="17" t="s">
        <v>765</v>
      </c>
      <c r="AG1138" s="34">
        <f t="shared" si="330"/>
        <v>0</v>
      </c>
      <c r="AH1138" s="44" t="s">
        <v>3814</v>
      </c>
      <c r="AI1138" s="128"/>
      <c r="AK1138" s="66">
        <f t="shared" si="331"/>
        <v>0</v>
      </c>
      <c r="AL1138" s="174">
        <f t="shared" si="332"/>
        <v>0</v>
      </c>
      <c r="AM1138" s="346">
        <f>RTD("money.excel",,$G1138,"PredictVolume")</f>
        <v>0</v>
      </c>
      <c r="AN1138" s="272">
        <f>RTD("money.excel",,$G1138,"CumulativeVolume")</f>
        <v>0</v>
      </c>
      <c r="AO1138" s="34"/>
    </row>
    <row r="1139" spans="1:41">
      <c r="A1139" s="151" t="s">
        <v>3171</v>
      </c>
      <c r="B1139" s="96" t="s">
        <v>2331</v>
      </c>
      <c r="C1139" s="96" t="s">
        <v>2332</v>
      </c>
      <c r="D1139" s="96" t="s">
        <v>2333</v>
      </c>
      <c r="E1139" s="96" t="s">
        <v>2334</v>
      </c>
      <c r="F1139" s="7">
        <v>1.67</v>
      </c>
      <c r="G1139" s="85">
        <v>5381</v>
      </c>
      <c r="H1139" s="4" t="s">
        <v>559</v>
      </c>
      <c r="I1139" s="17" t="s">
        <v>766</v>
      </c>
      <c r="J1139" s="77">
        <v>61.93</v>
      </c>
      <c r="K1139" s="77">
        <v>0.86</v>
      </c>
      <c r="N1139" s="365">
        <f t="shared" si="334"/>
        <v>62.79</v>
      </c>
      <c r="O1139" s="343">
        <f t="shared" si="326"/>
        <v>61.93</v>
      </c>
      <c r="P1139" s="195" t="s">
        <v>5554</v>
      </c>
      <c r="Q1139" s="326" t="str">
        <f>IFERROR(VLOOKUP($G1139,主力整理!$A$2:$G$2301,6,0),"0")</f>
        <v>0</v>
      </c>
      <c r="T1139" s="339">
        <f t="shared" si="327"/>
        <v>0</v>
      </c>
      <c r="V1139" s="371">
        <v>15.35</v>
      </c>
      <c r="W1139" s="35">
        <v>0</v>
      </c>
      <c r="X1139" s="100">
        <v>0.02</v>
      </c>
      <c r="Y1139" s="14" t="str">
        <f>RTD("money.excel",,"5381","Price")</f>
        <v>無資料</v>
      </c>
      <c r="Z1139" s="69"/>
      <c r="AA1139" s="16" t="e">
        <f t="shared" si="328"/>
        <v>#VALUE!</v>
      </c>
      <c r="AB1139" s="3" t="e">
        <f t="shared" si="329"/>
        <v>#VALUE!</v>
      </c>
      <c r="AD1139" s="17" t="s">
        <v>766</v>
      </c>
      <c r="AG1139" s="34">
        <f t="shared" si="330"/>
        <v>0</v>
      </c>
      <c r="AH1139" s="44" t="s">
        <v>3815</v>
      </c>
      <c r="AI1139" s="131"/>
      <c r="AK1139" s="66">
        <f t="shared" si="331"/>
        <v>0</v>
      </c>
      <c r="AL1139" s="174">
        <f t="shared" si="332"/>
        <v>0</v>
      </c>
      <c r="AM1139" s="346">
        <f>RTD("money.excel",,$G1139,"PredictVolume")</f>
        <v>0</v>
      </c>
      <c r="AN1139" s="272">
        <f>RTD("money.excel",,$G1139,"CumulativeVolume")</f>
        <v>0</v>
      </c>
      <c r="AO1139" s="284"/>
    </row>
    <row r="1140" spans="1:41">
      <c r="A1140" s="135" t="s">
        <v>4789</v>
      </c>
      <c r="B1140" s="84">
        <v>37</v>
      </c>
      <c r="C1140" s="84">
        <v>39</v>
      </c>
      <c r="D1140" s="84">
        <v>5</v>
      </c>
      <c r="E1140" s="84">
        <v>73</v>
      </c>
      <c r="F1140" s="59">
        <v>16.350000000000001</v>
      </c>
      <c r="G1140" s="85">
        <v>5439</v>
      </c>
      <c r="H1140" s="4" t="s">
        <v>559</v>
      </c>
      <c r="I1140" s="176" t="s">
        <v>152</v>
      </c>
      <c r="J1140" s="371">
        <v>28.95</v>
      </c>
      <c r="K1140" s="371">
        <v>8.1</v>
      </c>
      <c r="L1140" s="371">
        <v>22.97</v>
      </c>
      <c r="N1140" s="365">
        <f t="shared" si="334"/>
        <v>60.019999999999996</v>
      </c>
      <c r="O1140" s="343">
        <f t="shared" si="326"/>
        <v>28.95</v>
      </c>
      <c r="P1140" s="195">
        <v>5</v>
      </c>
      <c r="Q1140" s="326">
        <f>IFERROR(VLOOKUP($G1140,主力整理!$A$2:$G$2301,6,0),"0")</f>
        <v>2</v>
      </c>
      <c r="R1140" s="111">
        <v>2</v>
      </c>
      <c r="S1140" s="51">
        <v>17</v>
      </c>
      <c r="T1140" s="339">
        <f t="shared" si="327"/>
        <v>26</v>
      </c>
      <c r="V1140" s="371">
        <v>1.42</v>
      </c>
      <c r="W1140" s="205">
        <v>2.5</v>
      </c>
      <c r="X1140" s="100">
        <v>4.1100000000000003</v>
      </c>
      <c r="Y1140" s="37" t="str">
        <f>RTD("money.excel",,"5439","Price")</f>
        <v>無資料</v>
      </c>
      <c r="Z1140" s="69"/>
      <c r="AA1140" s="16" t="e">
        <f t="shared" si="328"/>
        <v>#VALUE!</v>
      </c>
      <c r="AB1140" s="3" t="e">
        <f t="shared" si="329"/>
        <v>#VALUE!</v>
      </c>
      <c r="AC1140" s="177" t="s">
        <v>2648</v>
      </c>
      <c r="AD1140" s="17" t="s">
        <v>152</v>
      </c>
      <c r="AG1140" s="34">
        <f t="shared" si="330"/>
        <v>0</v>
      </c>
      <c r="AH1140" s="126" t="s">
        <v>1685</v>
      </c>
      <c r="AI1140" s="131"/>
      <c r="AK1140" s="66">
        <f t="shared" si="331"/>
        <v>0</v>
      </c>
      <c r="AL1140" s="174">
        <f t="shared" si="332"/>
        <v>0</v>
      </c>
      <c r="AM1140" s="346">
        <f>RTD("money.excel",,$G1140,"PredictVolume")</f>
        <v>0</v>
      </c>
      <c r="AN1140" s="272">
        <f>RTD("money.excel",,$G1140,"CumulativeVolume")</f>
        <v>0</v>
      </c>
      <c r="AO1140" s="284"/>
    </row>
    <row r="1141" spans="1:41">
      <c r="A1141" s="135" t="s">
        <v>2513</v>
      </c>
      <c r="B1141" s="84">
        <v>16</v>
      </c>
      <c r="C1141" s="84">
        <v>13</v>
      </c>
      <c r="D1141" s="84">
        <v>26</v>
      </c>
      <c r="E1141" s="84">
        <v>28</v>
      </c>
      <c r="F1141" s="59">
        <v>12.07</v>
      </c>
      <c r="G1141" s="85">
        <v>5457</v>
      </c>
      <c r="H1141" s="54" t="s">
        <v>559</v>
      </c>
      <c r="I1141" s="17" t="s">
        <v>342</v>
      </c>
      <c r="J1141" s="371">
        <v>64.56</v>
      </c>
      <c r="K1141" s="371">
        <v>42.49</v>
      </c>
      <c r="L1141" s="371">
        <v>19.41</v>
      </c>
      <c r="N1141" s="365">
        <f t="shared" si="334"/>
        <v>126.46000000000001</v>
      </c>
      <c r="O1141" s="343">
        <f t="shared" si="326"/>
        <v>64.56</v>
      </c>
      <c r="P1141" s="195">
        <v>0</v>
      </c>
      <c r="Q1141" s="326">
        <f>IFERROR(VLOOKUP($G1141,主力整理!$A$2:$G$2301,6,0),"0")</f>
        <v>8</v>
      </c>
      <c r="R1141" s="111">
        <v>10</v>
      </c>
      <c r="S1141" s="51">
        <v>12</v>
      </c>
      <c r="T1141" s="339">
        <f t="shared" si="327"/>
        <v>30</v>
      </c>
      <c r="V1141" s="371">
        <v>6.82</v>
      </c>
      <c r="W1141" s="35">
        <v>2.1</v>
      </c>
      <c r="X1141" s="59">
        <v>4.37</v>
      </c>
      <c r="Y1141" s="14" t="str">
        <f>RTD("money.excel",,"5457","Price")</f>
        <v>無資料</v>
      </c>
      <c r="Z1141" s="69"/>
      <c r="AA1141" s="16" t="e">
        <f t="shared" si="328"/>
        <v>#VALUE!</v>
      </c>
      <c r="AB1141" s="3" t="e">
        <f t="shared" si="329"/>
        <v>#VALUE!</v>
      </c>
      <c r="AC1141" s="177" t="s">
        <v>2648</v>
      </c>
      <c r="AD1141" s="17" t="s">
        <v>342</v>
      </c>
      <c r="AG1141" s="34">
        <f t="shared" si="330"/>
        <v>0</v>
      </c>
      <c r="AH1141" s="50" t="s">
        <v>4004</v>
      </c>
      <c r="AI1141" s="44"/>
      <c r="AK1141" s="66">
        <f t="shared" si="331"/>
        <v>0</v>
      </c>
      <c r="AL1141" s="174">
        <f t="shared" si="332"/>
        <v>0</v>
      </c>
      <c r="AM1141" s="346">
        <f>RTD("money.excel",,$G1141,"PredictVolume")</f>
        <v>0</v>
      </c>
      <c r="AN1141" s="272">
        <f>RTD("money.excel",,$G1141,"CumulativeVolume")</f>
        <v>0</v>
      </c>
      <c r="AO1141" s="284"/>
    </row>
    <row r="1142" spans="1:41">
      <c r="A1142" s="151" t="s">
        <v>4623</v>
      </c>
      <c r="B1142" s="96">
        <v>-101</v>
      </c>
      <c r="C1142" s="96">
        <v>-94</v>
      </c>
      <c r="D1142" s="96">
        <v>-11</v>
      </c>
      <c r="E1142" s="96">
        <v>-24</v>
      </c>
      <c r="F1142" s="7">
        <v>0.64</v>
      </c>
      <c r="G1142" s="85">
        <v>5460</v>
      </c>
      <c r="H1142" s="4" t="s">
        <v>559</v>
      </c>
      <c r="I1142" s="17" t="s">
        <v>768</v>
      </c>
      <c r="J1142" s="77">
        <v>37.69</v>
      </c>
      <c r="K1142" s="77">
        <v>0.01</v>
      </c>
      <c r="L1142" s="77">
        <v>1.63</v>
      </c>
      <c r="N1142" s="365">
        <f t="shared" si="334"/>
        <v>39.33</v>
      </c>
      <c r="O1142" s="343">
        <f t="shared" ref="O1142:O1205" si="335">J1142+M1142</f>
        <v>37.69</v>
      </c>
      <c r="P1142" s="195" t="s">
        <v>5554</v>
      </c>
      <c r="Q1142" s="326" t="str">
        <f>IFERROR(VLOOKUP($G1142,主力整理!$A$2:$G$2301,6,0),"0")</f>
        <v>0</v>
      </c>
      <c r="T1142" s="339">
        <f t="shared" ref="T1142:T1205" si="336">SUM(P1142:S1142)</f>
        <v>0</v>
      </c>
      <c r="V1142" s="371">
        <v>15.51</v>
      </c>
      <c r="W1142" s="35">
        <v>0.1</v>
      </c>
      <c r="X1142" s="100">
        <v>0.02</v>
      </c>
      <c r="Y1142" s="37" t="str">
        <f>RTD("money.excel",,"5460","Price")</f>
        <v>無資料</v>
      </c>
      <c r="Z1142" s="69"/>
      <c r="AA1142" s="16" t="e">
        <f t="shared" ref="AA1142:AA1205" si="337">Y1142-Z1142</f>
        <v>#VALUE!</v>
      </c>
      <c r="AB1142" s="3" t="e">
        <f t="shared" ref="AB1142:AB1205" si="338">AA1142/Z1142</f>
        <v>#VALUE!</v>
      </c>
      <c r="AD1142" s="17" t="s">
        <v>768</v>
      </c>
      <c r="AG1142" s="34">
        <f t="shared" ref="AG1142:AG1205" si="339">AF1142-AE1142</f>
        <v>0</v>
      </c>
      <c r="AH1142" s="44" t="s">
        <v>3816</v>
      </c>
      <c r="AI1142" s="131"/>
      <c r="AK1142" s="66">
        <f t="shared" si="331"/>
        <v>0</v>
      </c>
      <c r="AL1142" s="174">
        <f t="shared" si="332"/>
        <v>0</v>
      </c>
      <c r="AM1142" s="346">
        <f>RTD("money.excel",,$G1142,"PredictVolume")</f>
        <v>0</v>
      </c>
      <c r="AN1142" s="272">
        <f>RTD("money.excel",,$G1142,"CumulativeVolume")</f>
        <v>0</v>
      </c>
      <c r="AO1142" s="284"/>
    </row>
    <row r="1143" spans="1:41">
      <c r="A1143" s="151" t="s">
        <v>4624</v>
      </c>
      <c r="B1143" s="96">
        <v>-308</v>
      </c>
      <c r="C1143" s="214">
        <v>-3515</v>
      </c>
      <c r="D1143" s="96">
        <v>-14</v>
      </c>
      <c r="E1143" s="96">
        <v>43</v>
      </c>
      <c r="F1143" s="7">
        <v>-13.52</v>
      </c>
      <c r="G1143" s="85">
        <v>5464</v>
      </c>
      <c r="H1143" s="4" t="s">
        <v>559</v>
      </c>
      <c r="I1143" s="17" t="s">
        <v>769</v>
      </c>
      <c r="J1143" s="77">
        <v>62.69</v>
      </c>
      <c r="K1143" s="77">
        <v>0.85</v>
      </c>
      <c r="L1143" s="77">
        <v>7.91</v>
      </c>
      <c r="N1143" s="365">
        <f t="shared" si="334"/>
        <v>71.45</v>
      </c>
      <c r="O1143" s="343">
        <f t="shared" si="335"/>
        <v>62.69</v>
      </c>
      <c r="P1143" s="195" t="s">
        <v>5554</v>
      </c>
      <c r="Q1143" s="326" t="str">
        <f>IFERROR(VLOOKUP($G1143,主力整理!$A$2:$G$2301,6,0),"0")</f>
        <v>0</v>
      </c>
      <c r="T1143" s="339">
        <f t="shared" si="336"/>
        <v>0</v>
      </c>
      <c r="V1143" s="371">
        <v>25.93</v>
      </c>
      <c r="W1143" s="35">
        <v>0</v>
      </c>
      <c r="X1143" s="100">
        <v>-2.3199999999999998</v>
      </c>
      <c r="Y1143" s="14" t="str">
        <f>RTD("money.excel",,"5464","Price")</f>
        <v>無資料</v>
      </c>
      <c r="Z1143" s="69"/>
      <c r="AA1143" s="16" t="e">
        <f t="shared" si="337"/>
        <v>#VALUE!</v>
      </c>
      <c r="AB1143" s="3" t="e">
        <f t="shared" si="338"/>
        <v>#VALUE!</v>
      </c>
      <c r="AD1143" s="17" t="s">
        <v>769</v>
      </c>
      <c r="AG1143" s="34">
        <f t="shared" si="339"/>
        <v>0</v>
      </c>
      <c r="AH1143" s="44" t="s">
        <v>1685</v>
      </c>
      <c r="AI1143" s="131"/>
      <c r="AK1143" s="66">
        <f t="shared" si="331"/>
        <v>0</v>
      </c>
      <c r="AL1143" s="174">
        <f t="shared" si="332"/>
        <v>0</v>
      </c>
      <c r="AM1143" s="346">
        <f>RTD("money.excel",,$G1143,"PredictVolume")</f>
        <v>0</v>
      </c>
      <c r="AN1143" s="272">
        <f>RTD("money.excel",,$G1143,"CumulativeVolume")</f>
        <v>0</v>
      </c>
      <c r="AO1143" s="284"/>
    </row>
    <row r="1144" spans="1:41">
      <c r="A1144" s="135" t="s">
        <v>2986</v>
      </c>
      <c r="B1144" s="84">
        <v>440</v>
      </c>
      <c r="C1144" s="84">
        <v>178</v>
      </c>
      <c r="D1144" s="84">
        <v>0</v>
      </c>
      <c r="E1144" s="84">
        <v>14</v>
      </c>
      <c r="F1144" s="59">
        <v>11.43</v>
      </c>
      <c r="G1144" s="85">
        <v>5469</v>
      </c>
      <c r="H1144" s="54" t="s">
        <v>559</v>
      </c>
      <c r="I1144" s="23" t="s">
        <v>438</v>
      </c>
      <c r="J1144" s="371">
        <v>64.959999999999994</v>
      </c>
      <c r="K1144" s="77">
        <v>13.22</v>
      </c>
      <c r="L1144" s="371">
        <v>13.88</v>
      </c>
      <c r="N1144" s="365">
        <f t="shared" si="334"/>
        <v>92.059999999999988</v>
      </c>
      <c r="O1144" s="343">
        <f t="shared" si="335"/>
        <v>64.959999999999994</v>
      </c>
      <c r="P1144" s="195">
        <v>4</v>
      </c>
      <c r="Q1144" s="326">
        <f>IFERROR(VLOOKUP($G1144,主力整理!$A$2:$G$2301,6,0),"0")</f>
        <v>2</v>
      </c>
      <c r="T1144" s="339">
        <f t="shared" si="336"/>
        <v>6</v>
      </c>
      <c r="V1144" s="371">
        <v>0.04</v>
      </c>
      <c r="W1144" s="35">
        <v>2.2000000000000002</v>
      </c>
      <c r="X1144" s="59">
        <v>7.19</v>
      </c>
      <c r="Y1144" s="37" t="str">
        <f>RTD("money.excel",,"5469","Price")</f>
        <v>無資料</v>
      </c>
      <c r="Z1144" s="69"/>
      <c r="AA1144" s="16" t="e">
        <f t="shared" si="337"/>
        <v>#VALUE!</v>
      </c>
      <c r="AB1144" s="36" t="e">
        <f t="shared" si="338"/>
        <v>#VALUE!</v>
      </c>
      <c r="AC1144" s="177" t="s">
        <v>2648</v>
      </c>
      <c r="AD1144" s="23" t="s">
        <v>438</v>
      </c>
      <c r="AG1144" s="34">
        <f t="shared" si="339"/>
        <v>0</v>
      </c>
      <c r="AH1144" s="126" t="s">
        <v>4092</v>
      </c>
      <c r="AK1144" s="66">
        <f t="shared" si="331"/>
        <v>0</v>
      </c>
      <c r="AL1144" s="174">
        <f t="shared" si="332"/>
        <v>0</v>
      </c>
      <c r="AM1144" s="346">
        <f>RTD("money.excel",,$G1144,"PredictVolume")</f>
        <v>0</v>
      </c>
      <c r="AN1144" s="272">
        <f>RTD("money.excel",,$G1144,"CumulativeVolume")</f>
        <v>0</v>
      </c>
    </row>
    <row r="1145" spans="1:41">
      <c r="A1145" s="135" t="s">
        <v>2310</v>
      </c>
      <c r="B1145" s="84">
        <v>228</v>
      </c>
      <c r="C1145" s="84">
        <v>403</v>
      </c>
      <c r="D1145" s="84">
        <v>10</v>
      </c>
      <c r="E1145" s="84">
        <v>256</v>
      </c>
      <c r="F1145" s="59">
        <v>24.99</v>
      </c>
      <c r="G1145" s="85">
        <v>5475</v>
      </c>
      <c r="H1145" s="4" t="s">
        <v>559</v>
      </c>
      <c r="I1145" s="17" t="s">
        <v>770</v>
      </c>
      <c r="J1145" s="77">
        <v>13.71</v>
      </c>
      <c r="K1145" s="371">
        <v>0.39</v>
      </c>
      <c r="L1145" s="371"/>
      <c r="N1145" s="365">
        <f t="shared" si="334"/>
        <v>14.100000000000001</v>
      </c>
      <c r="O1145" s="343">
        <f t="shared" si="335"/>
        <v>13.71</v>
      </c>
      <c r="P1145" s="195">
        <v>0</v>
      </c>
      <c r="Q1145" s="326">
        <v>6</v>
      </c>
      <c r="R1145" s="111">
        <v>34</v>
      </c>
      <c r="S1145" s="51">
        <v>0</v>
      </c>
      <c r="T1145" s="339">
        <f t="shared" si="336"/>
        <v>40</v>
      </c>
      <c r="W1145" s="35">
        <v>0</v>
      </c>
      <c r="X1145" s="100">
        <v>2.3199999999999998</v>
      </c>
      <c r="Y1145" s="37" t="str">
        <f>RTD("money.excel",,"5475","Price")</f>
        <v>無資料</v>
      </c>
      <c r="Z1145" s="69"/>
      <c r="AA1145" s="16" t="e">
        <f t="shared" si="337"/>
        <v>#VALUE!</v>
      </c>
      <c r="AB1145" s="3" t="e">
        <f t="shared" si="338"/>
        <v>#VALUE!</v>
      </c>
      <c r="AD1145" s="17" t="s">
        <v>770</v>
      </c>
      <c r="AG1145" s="34">
        <f t="shared" si="339"/>
        <v>0</v>
      </c>
      <c r="AH1145" s="63" t="s">
        <v>1698</v>
      </c>
      <c r="AI1145" s="128"/>
      <c r="AK1145" s="66">
        <f t="shared" si="331"/>
        <v>0</v>
      </c>
      <c r="AL1145" s="174">
        <f t="shared" si="332"/>
        <v>0</v>
      </c>
      <c r="AM1145" s="346">
        <f>RTD("money.excel",,$G1145,"PredictVolume")</f>
        <v>0</v>
      </c>
      <c r="AN1145" s="272">
        <f>RTD("money.excel",,$G1145,"CumulativeVolume")</f>
        <v>0</v>
      </c>
      <c r="AO1145" s="34"/>
    </row>
    <row r="1146" spans="1:41">
      <c r="A1146" s="151" t="s">
        <v>4607</v>
      </c>
      <c r="B1146" s="96">
        <v>-78</v>
      </c>
      <c r="C1146" s="96">
        <v>-23</v>
      </c>
      <c r="D1146" s="96">
        <v>-9</v>
      </c>
      <c r="E1146" s="96">
        <v>8</v>
      </c>
      <c r="F1146" s="7">
        <v>-4.42</v>
      </c>
      <c r="G1146" s="85">
        <v>5488</v>
      </c>
      <c r="H1146" s="4" t="s">
        <v>559</v>
      </c>
      <c r="I1146" s="17" t="s">
        <v>771</v>
      </c>
      <c r="J1146" s="77">
        <v>53.69</v>
      </c>
      <c r="K1146" s="77">
        <v>0</v>
      </c>
      <c r="L1146" s="77">
        <v>38.83</v>
      </c>
      <c r="N1146" s="365">
        <f t="shared" si="334"/>
        <v>92.52</v>
      </c>
      <c r="O1146" s="343">
        <f t="shared" si="335"/>
        <v>53.69</v>
      </c>
      <c r="P1146" s="195" t="s">
        <v>5554</v>
      </c>
      <c r="Q1146" s="326" t="str">
        <f>IFERROR(VLOOKUP($G1146,主力整理!$A$2:$G$2301,6,0),"0")</f>
        <v>0</v>
      </c>
      <c r="T1146" s="339">
        <f t="shared" si="336"/>
        <v>0</v>
      </c>
      <c r="V1146" s="371">
        <v>16.89</v>
      </c>
      <c r="W1146" s="35">
        <v>0</v>
      </c>
      <c r="X1146" s="100">
        <v>-0.32</v>
      </c>
      <c r="Y1146" s="14" t="str">
        <f>RTD("money.excel",,"5488","Price")</f>
        <v>無資料</v>
      </c>
      <c r="Z1146" s="69"/>
      <c r="AA1146" s="16" t="e">
        <f t="shared" si="337"/>
        <v>#VALUE!</v>
      </c>
      <c r="AB1146" s="3" t="e">
        <f t="shared" si="338"/>
        <v>#VALUE!</v>
      </c>
      <c r="AD1146" s="17" t="s">
        <v>771</v>
      </c>
      <c r="AG1146" s="34">
        <f t="shared" si="339"/>
        <v>0</v>
      </c>
      <c r="AH1146" s="44" t="s">
        <v>3817</v>
      </c>
      <c r="AK1146" s="66">
        <f t="shared" si="331"/>
        <v>0</v>
      </c>
      <c r="AL1146" s="174">
        <f t="shared" si="332"/>
        <v>0</v>
      </c>
      <c r="AM1146" s="346">
        <f>RTD("money.excel",,$G1146,"PredictVolume")</f>
        <v>0</v>
      </c>
      <c r="AN1146" s="272">
        <f>RTD("money.excel",,$G1146,"CumulativeVolume")</f>
        <v>0</v>
      </c>
    </row>
    <row r="1147" spans="1:41">
      <c r="A1147" s="151" t="s">
        <v>2408</v>
      </c>
      <c r="B1147" s="84">
        <v>31</v>
      </c>
      <c r="C1147" s="84">
        <v>362</v>
      </c>
      <c r="D1147" s="85">
        <v>-10</v>
      </c>
      <c r="E1147" s="84">
        <v>5</v>
      </c>
      <c r="F1147" s="7">
        <v>4.3099999999999996</v>
      </c>
      <c r="G1147" s="85">
        <v>5498</v>
      </c>
      <c r="H1147" s="4" t="s">
        <v>559</v>
      </c>
      <c r="I1147" s="17" t="s">
        <v>772</v>
      </c>
      <c r="J1147" s="371">
        <v>42.57</v>
      </c>
      <c r="K1147" s="371">
        <v>0.95</v>
      </c>
      <c r="L1147" s="77">
        <v>12.91</v>
      </c>
      <c r="N1147" s="365">
        <f t="shared" si="334"/>
        <v>56.430000000000007</v>
      </c>
      <c r="O1147" s="343">
        <f t="shared" si="335"/>
        <v>42.57</v>
      </c>
      <c r="P1147" s="195">
        <v>2</v>
      </c>
      <c r="Q1147" s="326">
        <v>1</v>
      </c>
      <c r="R1147" s="111">
        <v>5</v>
      </c>
      <c r="S1147" s="51">
        <v>0</v>
      </c>
      <c r="T1147" s="339">
        <f t="shared" si="336"/>
        <v>8</v>
      </c>
      <c r="V1147" s="371">
        <v>0.37</v>
      </c>
      <c r="W1147" s="35">
        <v>0.6</v>
      </c>
      <c r="X1147" s="100">
        <v>0.53</v>
      </c>
      <c r="Y1147" s="37" t="str">
        <f>RTD("money.excel",,"5498","Price")</f>
        <v>無資料</v>
      </c>
      <c r="Z1147" s="69"/>
      <c r="AA1147" s="16" t="e">
        <f t="shared" si="337"/>
        <v>#VALUE!</v>
      </c>
      <c r="AB1147" s="3" t="e">
        <f t="shared" si="338"/>
        <v>#VALUE!</v>
      </c>
      <c r="AC1147" s="177" t="s">
        <v>2648</v>
      </c>
      <c r="AD1147" s="17" t="s">
        <v>772</v>
      </c>
      <c r="AG1147" s="34">
        <f t="shared" si="339"/>
        <v>0</v>
      </c>
      <c r="AH1147" s="44" t="s">
        <v>773</v>
      </c>
      <c r="AI1147" s="131"/>
      <c r="AK1147" s="66">
        <f t="shared" si="331"/>
        <v>0</v>
      </c>
      <c r="AL1147" s="174">
        <f t="shared" si="332"/>
        <v>0</v>
      </c>
      <c r="AM1147" s="346">
        <f>RTD("money.excel",,$G1147,"PredictVolume")</f>
        <v>0</v>
      </c>
      <c r="AN1147" s="272">
        <f>RTD("money.excel",,$G1147,"CumulativeVolume")</f>
        <v>0</v>
      </c>
      <c r="AO1147" s="284"/>
    </row>
    <row r="1148" spans="1:41">
      <c r="A1148" s="151" t="s">
        <v>2667</v>
      </c>
      <c r="B1148" s="96">
        <v>-26</v>
      </c>
      <c r="C1148" s="96">
        <v>-35</v>
      </c>
      <c r="D1148" s="96">
        <v>-3</v>
      </c>
      <c r="E1148" s="96">
        <v>-4</v>
      </c>
      <c r="F1148" s="7">
        <v>4.3</v>
      </c>
      <c r="G1148" s="85">
        <v>6108</v>
      </c>
      <c r="H1148" s="4" t="s">
        <v>559</v>
      </c>
      <c r="I1148" s="23" t="s">
        <v>720</v>
      </c>
      <c r="J1148" s="371">
        <v>41.2</v>
      </c>
      <c r="K1148" s="371">
        <v>9.23</v>
      </c>
      <c r="L1148" s="371">
        <v>10.24</v>
      </c>
      <c r="N1148" s="365">
        <f t="shared" si="334"/>
        <v>60.670000000000009</v>
      </c>
      <c r="O1148" s="343">
        <f t="shared" si="335"/>
        <v>41.2</v>
      </c>
      <c r="P1148" s="195" t="s">
        <v>5554</v>
      </c>
      <c r="Q1148" s="326">
        <f>IFERROR(VLOOKUP($G1148,主力整理!$A$2:$G$2301,6,0),"0")</f>
        <v>1</v>
      </c>
      <c r="T1148" s="339">
        <f t="shared" si="336"/>
        <v>1</v>
      </c>
      <c r="V1148" s="371">
        <v>13.48</v>
      </c>
      <c r="W1148" s="35">
        <v>0.5</v>
      </c>
      <c r="X1148" s="100">
        <v>-0.52</v>
      </c>
      <c r="Y1148" s="37" t="str">
        <f>RTD("money.excel",,"6108","Price")</f>
        <v>無資料</v>
      </c>
      <c r="Z1148" s="69"/>
      <c r="AA1148" s="16" t="e">
        <f t="shared" si="337"/>
        <v>#VALUE!</v>
      </c>
      <c r="AB1148" s="36" t="e">
        <f t="shared" si="338"/>
        <v>#VALUE!</v>
      </c>
      <c r="AC1148" s="177" t="s">
        <v>2648</v>
      </c>
      <c r="AD1148" s="23" t="s">
        <v>720</v>
      </c>
      <c r="AG1148" s="34">
        <f t="shared" si="339"/>
        <v>0</v>
      </c>
      <c r="AH1148" s="44" t="s">
        <v>4093</v>
      </c>
      <c r="AI1148" s="284"/>
      <c r="AK1148" s="66">
        <f t="shared" si="331"/>
        <v>0</v>
      </c>
      <c r="AL1148" s="174">
        <f t="shared" si="332"/>
        <v>0</v>
      </c>
      <c r="AM1148" s="346">
        <f>RTD("money.excel",,$G1148,"PredictVolume")</f>
        <v>0</v>
      </c>
      <c r="AN1148" s="272">
        <f>RTD("money.excel",,$G1148,"CumulativeVolume")</f>
        <v>0</v>
      </c>
      <c r="AO1148" s="284"/>
    </row>
    <row r="1149" spans="1:41">
      <c r="A1149" s="151" t="s">
        <v>4625</v>
      </c>
      <c r="B1149" s="96">
        <v>-95</v>
      </c>
      <c r="C1149" s="96">
        <v>-61</v>
      </c>
      <c r="D1149" s="96">
        <v>-5</v>
      </c>
      <c r="E1149" s="96">
        <v>51</v>
      </c>
      <c r="F1149" s="7">
        <v>5.85</v>
      </c>
      <c r="G1149" s="85">
        <v>6114</v>
      </c>
      <c r="H1149" s="4" t="s">
        <v>559</v>
      </c>
      <c r="I1149" s="17" t="s">
        <v>774</v>
      </c>
      <c r="J1149" s="77">
        <v>75.040000000000006</v>
      </c>
      <c r="K1149" s="77">
        <v>0.16</v>
      </c>
      <c r="L1149" s="77">
        <v>8.51</v>
      </c>
      <c r="N1149" s="365">
        <f t="shared" si="334"/>
        <v>83.710000000000008</v>
      </c>
      <c r="O1149" s="343">
        <f t="shared" si="335"/>
        <v>75.040000000000006</v>
      </c>
      <c r="P1149" s="195" t="s">
        <v>5554</v>
      </c>
      <c r="Q1149" s="326" t="str">
        <f>IFERROR(VLOOKUP($G1149,主力整理!$A$2:$G$2301,6,0),"0")</f>
        <v>0</v>
      </c>
      <c r="T1149" s="339">
        <f t="shared" si="336"/>
        <v>0</v>
      </c>
      <c r="V1149" s="371">
        <v>55.84</v>
      </c>
      <c r="W1149" s="35">
        <v>0.7</v>
      </c>
      <c r="X1149" s="100">
        <v>0.53</v>
      </c>
      <c r="Y1149" s="14" t="str">
        <f>RTD("money.excel",,"6114","Price")</f>
        <v>無資料</v>
      </c>
      <c r="Z1149" s="69"/>
      <c r="AA1149" s="16" t="e">
        <f t="shared" si="337"/>
        <v>#VALUE!</v>
      </c>
      <c r="AB1149" s="3" t="e">
        <f t="shared" si="338"/>
        <v>#VALUE!</v>
      </c>
      <c r="AD1149" s="17" t="s">
        <v>774</v>
      </c>
      <c r="AG1149" s="34">
        <f t="shared" si="339"/>
        <v>0</v>
      </c>
      <c r="AH1149" s="44" t="s">
        <v>3818</v>
      </c>
      <c r="AI1149" s="131"/>
      <c r="AK1149" s="66">
        <f t="shared" ref="AK1149:AK1212" si="340">AM1149/(A1149*10000)</f>
        <v>0</v>
      </c>
      <c r="AL1149" s="174">
        <f t="shared" ref="AL1149:AL1212" si="341">AN1149/(A1149*10000)</f>
        <v>0</v>
      </c>
      <c r="AM1149" s="346">
        <f>RTD("money.excel",,$G1149,"PredictVolume")</f>
        <v>0</v>
      </c>
      <c r="AN1149" s="272">
        <f>RTD("money.excel",,$G1149,"CumulativeVolume")</f>
        <v>0</v>
      </c>
      <c r="AO1149" s="284"/>
    </row>
    <row r="1150" spans="1:41">
      <c r="A1150" s="135" t="s">
        <v>3016</v>
      </c>
      <c r="B1150" s="96">
        <v>-27</v>
      </c>
      <c r="C1150" s="96">
        <v>24</v>
      </c>
      <c r="D1150" s="96">
        <v>-1</v>
      </c>
      <c r="E1150" s="96">
        <v>36</v>
      </c>
      <c r="F1150" s="59">
        <v>13.64</v>
      </c>
      <c r="G1150" s="85">
        <v>6115</v>
      </c>
      <c r="H1150" s="4" t="s">
        <v>559</v>
      </c>
      <c r="I1150" s="23" t="s">
        <v>721</v>
      </c>
      <c r="J1150" s="77">
        <v>70.290000000000006</v>
      </c>
      <c r="K1150" s="77">
        <v>13.83</v>
      </c>
      <c r="L1150" s="77">
        <v>0.11</v>
      </c>
      <c r="N1150" s="365">
        <f t="shared" si="334"/>
        <v>84.23</v>
      </c>
      <c r="O1150" s="343">
        <f t="shared" si="335"/>
        <v>70.290000000000006</v>
      </c>
      <c r="P1150" s="195" t="s">
        <v>5554</v>
      </c>
      <c r="Q1150" s="326" t="str">
        <f>IFERROR(VLOOKUP($G1150,主力整理!$A$2:$G$2301,6,0),"0")</f>
        <v>0</v>
      </c>
      <c r="T1150" s="339">
        <f t="shared" si="336"/>
        <v>0</v>
      </c>
      <c r="V1150" s="371">
        <v>12.82</v>
      </c>
      <c r="W1150" s="35">
        <v>2.8</v>
      </c>
      <c r="X1150" s="100">
        <v>2.58</v>
      </c>
      <c r="Y1150" s="14" t="str">
        <f>RTD("money.excel",,"6115","Price")</f>
        <v>無資料</v>
      </c>
      <c r="Z1150" s="69"/>
      <c r="AA1150" s="16" t="e">
        <f t="shared" si="337"/>
        <v>#VALUE!</v>
      </c>
      <c r="AB1150" s="36" t="e">
        <f t="shared" si="338"/>
        <v>#VALUE!</v>
      </c>
      <c r="AC1150" s="177" t="s">
        <v>2648</v>
      </c>
      <c r="AD1150" s="23" t="s">
        <v>721</v>
      </c>
      <c r="AG1150" s="34">
        <f t="shared" si="339"/>
        <v>0</v>
      </c>
      <c r="AH1150" s="63" t="s">
        <v>4094</v>
      </c>
      <c r="AI1150" s="131"/>
      <c r="AK1150" s="66">
        <f t="shared" si="340"/>
        <v>0</v>
      </c>
      <c r="AL1150" s="174">
        <f t="shared" si="341"/>
        <v>0</v>
      </c>
      <c r="AM1150" s="346">
        <f>RTD("money.excel",,$G1150,"PredictVolume")</f>
        <v>0</v>
      </c>
      <c r="AN1150" s="272">
        <f>RTD("money.excel",,$G1150,"CumulativeVolume")</f>
        <v>0</v>
      </c>
      <c r="AO1150" s="284"/>
    </row>
    <row r="1151" spans="1:41">
      <c r="A1151" s="135" t="s">
        <v>2650</v>
      </c>
      <c r="B1151" s="96">
        <v>21</v>
      </c>
      <c r="C1151" s="96">
        <v>48</v>
      </c>
      <c r="D1151" s="96">
        <v>2</v>
      </c>
      <c r="E1151" s="96">
        <v>64</v>
      </c>
      <c r="F1151" s="59">
        <v>14.49</v>
      </c>
      <c r="G1151" s="85">
        <v>6124</v>
      </c>
      <c r="H1151" s="4" t="s">
        <v>559</v>
      </c>
      <c r="I1151" s="17" t="s">
        <v>775</v>
      </c>
      <c r="J1151" s="77">
        <v>93.57</v>
      </c>
      <c r="K1151" s="77">
        <v>36.58</v>
      </c>
      <c r="L1151" s="77">
        <v>0.74</v>
      </c>
      <c r="N1151" s="365">
        <f t="shared" si="334"/>
        <v>130.88999999999999</v>
      </c>
      <c r="O1151" s="343">
        <f t="shared" si="335"/>
        <v>93.57</v>
      </c>
      <c r="P1151" s="195" t="s">
        <v>5554</v>
      </c>
      <c r="Q1151" s="326" t="str">
        <f>IFERROR(VLOOKUP($G1151,主力整理!$A$2:$G$2301,6,0),"0")</f>
        <v>0</v>
      </c>
      <c r="T1151" s="339">
        <f t="shared" si="336"/>
        <v>0</v>
      </c>
      <c r="V1151" s="371">
        <v>21.92</v>
      </c>
      <c r="W1151" s="35">
        <v>0</v>
      </c>
      <c r="X1151" s="100">
        <v>1.5</v>
      </c>
      <c r="Y1151" s="14" t="str">
        <f>RTD("money.excel",,"6124","Price")</f>
        <v>無資料</v>
      </c>
      <c r="Z1151" s="69"/>
      <c r="AA1151" s="16" t="e">
        <f t="shared" si="337"/>
        <v>#VALUE!</v>
      </c>
      <c r="AB1151" s="3" t="e">
        <f t="shared" si="338"/>
        <v>#VALUE!</v>
      </c>
      <c r="AD1151" s="17" t="s">
        <v>775</v>
      </c>
      <c r="AG1151" s="34">
        <f t="shared" si="339"/>
        <v>0</v>
      </c>
      <c r="AH1151" s="63" t="s">
        <v>3819</v>
      </c>
      <c r="AI1151" s="131"/>
      <c r="AK1151" s="66">
        <f t="shared" si="340"/>
        <v>0</v>
      </c>
      <c r="AL1151" s="174">
        <f t="shared" si="341"/>
        <v>0</v>
      </c>
      <c r="AM1151" s="346">
        <f>RTD("money.excel",,$G1151,"PredictVolume")</f>
        <v>0</v>
      </c>
      <c r="AN1151" s="272">
        <f>RTD("money.excel",,$G1151,"CumulativeVolume")</f>
        <v>0</v>
      </c>
      <c r="AO1151" s="284"/>
    </row>
    <row r="1152" spans="1:41">
      <c r="A1152" s="135" t="s">
        <v>2559</v>
      </c>
      <c r="B1152" s="84">
        <v>65</v>
      </c>
      <c r="C1152" s="84">
        <v>130</v>
      </c>
      <c r="D1152" s="84">
        <v>14</v>
      </c>
      <c r="E1152" s="84">
        <v>90</v>
      </c>
      <c r="F1152" s="59">
        <v>12.05</v>
      </c>
      <c r="G1152" s="85">
        <v>6126</v>
      </c>
      <c r="H1152" s="4" t="s">
        <v>559</v>
      </c>
      <c r="I1152" s="17" t="s">
        <v>776</v>
      </c>
      <c r="J1152" s="77">
        <v>43.42</v>
      </c>
      <c r="K1152" s="77">
        <v>4.8600000000000003</v>
      </c>
      <c r="L1152" s="77">
        <v>21.84</v>
      </c>
      <c r="N1152" s="365">
        <f t="shared" si="334"/>
        <v>70.12</v>
      </c>
      <c r="O1152" s="343">
        <f t="shared" si="335"/>
        <v>43.42</v>
      </c>
      <c r="P1152" s="195" t="s">
        <v>5554</v>
      </c>
      <c r="Q1152" s="326" t="str">
        <f>IFERROR(VLOOKUP($G1152,主力整理!$A$2:$G$2301,6,0),"0")</f>
        <v>0</v>
      </c>
      <c r="T1152" s="339">
        <f t="shared" si="336"/>
        <v>0</v>
      </c>
      <c r="V1152" s="371">
        <v>1.92</v>
      </c>
      <c r="W1152" s="35">
        <v>1.4</v>
      </c>
      <c r="X1152" s="100">
        <v>2.02</v>
      </c>
      <c r="Y1152" s="37" t="str">
        <f>RTD("money.excel",,"6126","Price")</f>
        <v>無資料</v>
      </c>
      <c r="Z1152" s="69"/>
      <c r="AA1152" s="16" t="e">
        <f t="shared" si="337"/>
        <v>#VALUE!</v>
      </c>
      <c r="AB1152" s="3" t="e">
        <f t="shared" si="338"/>
        <v>#VALUE!</v>
      </c>
      <c r="AD1152" s="17" t="s">
        <v>776</v>
      </c>
      <c r="AG1152" s="34">
        <f t="shared" si="339"/>
        <v>0</v>
      </c>
      <c r="AH1152" s="63" t="s">
        <v>2961</v>
      </c>
      <c r="AI1152" s="131"/>
      <c r="AK1152" s="66">
        <f t="shared" si="340"/>
        <v>0</v>
      </c>
      <c r="AL1152" s="174">
        <f t="shared" si="341"/>
        <v>0</v>
      </c>
      <c r="AM1152" s="346">
        <f>RTD("money.excel",,$G1152,"PredictVolume")</f>
        <v>0</v>
      </c>
      <c r="AN1152" s="272">
        <f>RTD("money.excel",,$G1152,"CumulativeVolume")</f>
        <v>0</v>
      </c>
      <c r="AO1152" s="284"/>
    </row>
    <row r="1153" spans="1:41">
      <c r="A1153" s="151" t="s">
        <v>2583</v>
      </c>
      <c r="B1153" s="84">
        <v>51</v>
      </c>
      <c r="C1153" s="84">
        <v>113</v>
      </c>
      <c r="D1153" s="85">
        <v>-1</v>
      </c>
      <c r="E1153" s="84">
        <v>14</v>
      </c>
      <c r="F1153" s="7">
        <v>2.98</v>
      </c>
      <c r="G1153" s="85">
        <v>6127</v>
      </c>
      <c r="H1153" s="4" t="s">
        <v>559</v>
      </c>
      <c r="I1153" s="17" t="s">
        <v>576</v>
      </c>
      <c r="J1153" s="371">
        <v>20.65</v>
      </c>
      <c r="K1153" s="371">
        <v>0.27</v>
      </c>
      <c r="L1153" s="371">
        <v>34.93</v>
      </c>
      <c r="N1153" s="365">
        <f t="shared" si="334"/>
        <v>55.849999999999994</v>
      </c>
      <c r="O1153" s="343">
        <f t="shared" si="335"/>
        <v>20.65</v>
      </c>
      <c r="P1153" s="195" t="s">
        <v>5554</v>
      </c>
      <c r="Q1153" s="326">
        <f>IFERROR(VLOOKUP($G1153,主力整理!$A$2:$G$2301,6,0),"0")</f>
        <v>2</v>
      </c>
      <c r="T1153" s="339">
        <f t="shared" si="336"/>
        <v>2</v>
      </c>
      <c r="V1153" s="371">
        <v>3.62</v>
      </c>
      <c r="W1153" s="35">
        <v>0</v>
      </c>
      <c r="X1153" s="59">
        <v>-0.95</v>
      </c>
      <c r="Y1153" s="37" t="str">
        <f>RTD("money.excel",,"6127","Price")</f>
        <v>無資料</v>
      </c>
      <c r="Z1153" s="69"/>
      <c r="AA1153" s="16" t="e">
        <f t="shared" si="337"/>
        <v>#VALUE!</v>
      </c>
      <c r="AB1153" s="3" t="e">
        <f t="shared" si="338"/>
        <v>#VALUE!</v>
      </c>
      <c r="AC1153" s="177" t="s">
        <v>2648</v>
      </c>
      <c r="AD1153" s="17" t="s">
        <v>576</v>
      </c>
      <c r="AG1153" s="34">
        <f t="shared" si="339"/>
        <v>0</v>
      </c>
      <c r="AH1153" s="44" t="s">
        <v>3682</v>
      </c>
      <c r="AI1153" s="131"/>
      <c r="AK1153" s="66">
        <f t="shared" si="340"/>
        <v>0</v>
      </c>
      <c r="AL1153" s="174">
        <f t="shared" si="341"/>
        <v>0</v>
      </c>
      <c r="AM1153" s="346">
        <f>RTD("money.excel",,$G1153,"PredictVolume")</f>
        <v>0</v>
      </c>
      <c r="AN1153" s="272">
        <f>RTD("money.excel",,$G1153,"CumulativeVolume")</f>
        <v>0</v>
      </c>
      <c r="AO1153" s="284"/>
    </row>
    <row r="1154" spans="1:41">
      <c r="A1154" s="151" t="s">
        <v>2764</v>
      </c>
      <c r="B1154" s="96">
        <v>-64</v>
      </c>
      <c r="C1154" s="96">
        <v>-383</v>
      </c>
      <c r="D1154" s="96">
        <v>3</v>
      </c>
      <c r="E1154" s="96">
        <v>50</v>
      </c>
      <c r="F1154" s="7">
        <v>-3.42</v>
      </c>
      <c r="G1154" s="85">
        <v>6133</v>
      </c>
      <c r="H1154" s="4" t="s">
        <v>559</v>
      </c>
      <c r="I1154" s="23" t="s">
        <v>722</v>
      </c>
      <c r="J1154" s="77">
        <v>73.680000000000007</v>
      </c>
      <c r="K1154" s="77">
        <v>4.95</v>
      </c>
      <c r="L1154" s="77">
        <v>19.04</v>
      </c>
      <c r="N1154" s="365">
        <f t="shared" si="334"/>
        <v>97.670000000000016</v>
      </c>
      <c r="O1154" s="343">
        <f t="shared" si="335"/>
        <v>73.680000000000007</v>
      </c>
      <c r="P1154" s="195" t="s">
        <v>5554</v>
      </c>
      <c r="Q1154" s="326" t="str">
        <f>IFERROR(VLOOKUP($G1154,主力整理!$A$2:$G$2301,6,0),"0")</f>
        <v>0</v>
      </c>
      <c r="T1154" s="339">
        <f t="shared" si="336"/>
        <v>0</v>
      </c>
      <c r="V1154" s="371">
        <v>16.29</v>
      </c>
      <c r="W1154" s="35">
        <v>0</v>
      </c>
      <c r="X1154" s="100">
        <v>0.02</v>
      </c>
      <c r="Y1154" s="14" t="str">
        <f>RTD("money.excel",,"6133","Price")</f>
        <v>無資料</v>
      </c>
      <c r="Z1154" s="69"/>
      <c r="AA1154" s="16" t="e">
        <f t="shared" si="337"/>
        <v>#VALUE!</v>
      </c>
      <c r="AB1154" s="36" t="e">
        <f t="shared" si="338"/>
        <v>#VALUE!</v>
      </c>
      <c r="AD1154" s="23" t="s">
        <v>722</v>
      </c>
      <c r="AG1154" s="34">
        <f t="shared" si="339"/>
        <v>0</v>
      </c>
      <c r="AH1154" s="44" t="s">
        <v>3804</v>
      </c>
      <c r="AI1154" s="131"/>
      <c r="AK1154" s="66">
        <f t="shared" si="340"/>
        <v>0</v>
      </c>
      <c r="AL1154" s="174">
        <f t="shared" si="341"/>
        <v>0</v>
      </c>
      <c r="AM1154" s="346">
        <f>RTD("money.excel",,$G1154,"PredictVolume")</f>
        <v>0</v>
      </c>
      <c r="AN1154" s="272">
        <f>RTD("money.excel",,$G1154,"CumulativeVolume")</f>
        <v>0</v>
      </c>
      <c r="AO1154" s="284"/>
    </row>
    <row r="1155" spans="1:41">
      <c r="A1155" s="151" t="s">
        <v>2431</v>
      </c>
      <c r="B1155" s="84">
        <v>424</v>
      </c>
      <c r="C1155" s="84">
        <v>62</v>
      </c>
      <c r="D1155" s="84">
        <v>46</v>
      </c>
      <c r="E1155" s="84">
        <v>45</v>
      </c>
      <c r="F1155" s="7">
        <v>-1.52</v>
      </c>
      <c r="G1155" s="85">
        <v>6134</v>
      </c>
      <c r="H1155" s="4" t="s">
        <v>559</v>
      </c>
      <c r="I1155" s="17" t="s">
        <v>777</v>
      </c>
      <c r="J1155" s="77">
        <v>56.48</v>
      </c>
      <c r="K1155" s="77">
        <v>22.47</v>
      </c>
      <c r="L1155" s="77">
        <v>0.79</v>
      </c>
      <c r="N1155" s="365">
        <f t="shared" si="334"/>
        <v>79.739999999999995</v>
      </c>
      <c r="O1155" s="343">
        <f t="shared" si="335"/>
        <v>56.48</v>
      </c>
      <c r="P1155" s="195" t="s">
        <v>5554</v>
      </c>
      <c r="Q1155" s="326" t="str">
        <f>IFERROR(VLOOKUP($G1155,主力整理!$A$2:$G$2301,6,0),"0")</f>
        <v>0</v>
      </c>
      <c r="T1155" s="339">
        <f t="shared" si="336"/>
        <v>0</v>
      </c>
      <c r="V1155" s="371">
        <v>0</v>
      </c>
      <c r="W1155" s="35">
        <v>0</v>
      </c>
      <c r="X1155" s="59">
        <v>0.32</v>
      </c>
      <c r="Y1155" s="37" t="str">
        <f>RTD("money.excel",,"6134","Price")</f>
        <v>無資料</v>
      </c>
      <c r="Z1155" s="69"/>
      <c r="AA1155" s="16" t="e">
        <f t="shared" si="337"/>
        <v>#VALUE!</v>
      </c>
      <c r="AB1155" s="3" t="e">
        <f t="shared" si="338"/>
        <v>#VALUE!</v>
      </c>
      <c r="AD1155" s="17" t="s">
        <v>777</v>
      </c>
      <c r="AG1155" s="34">
        <f t="shared" si="339"/>
        <v>0</v>
      </c>
      <c r="AH1155" s="44" t="s">
        <v>3766</v>
      </c>
      <c r="AI1155" s="128"/>
      <c r="AK1155" s="66">
        <f t="shared" si="340"/>
        <v>0</v>
      </c>
      <c r="AL1155" s="174">
        <f t="shared" si="341"/>
        <v>0</v>
      </c>
      <c r="AM1155" s="346">
        <f>RTD("money.excel",,$G1155,"PredictVolume")</f>
        <v>0</v>
      </c>
      <c r="AN1155" s="272">
        <f>RTD("money.excel",,$G1155,"CumulativeVolume")</f>
        <v>0</v>
      </c>
      <c r="AO1155" s="34"/>
    </row>
    <row r="1156" spans="1:41">
      <c r="A1156" s="151" t="s">
        <v>2575</v>
      </c>
      <c r="B1156" s="84">
        <v>543</v>
      </c>
      <c r="C1156" s="84">
        <v>44</v>
      </c>
      <c r="D1156" s="85">
        <v>-27</v>
      </c>
      <c r="E1156" s="85">
        <v>-25</v>
      </c>
      <c r="F1156" s="7">
        <v>9.1300000000000008</v>
      </c>
      <c r="G1156" s="85">
        <v>6141</v>
      </c>
      <c r="H1156" s="4" t="s">
        <v>559</v>
      </c>
      <c r="I1156" s="23" t="s">
        <v>723</v>
      </c>
      <c r="J1156" s="371">
        <v>54.93</v>
      </c>
      <c r="K1156" s="77">
        <v>2.92</v>
      </c>
      <c r="L1156" s="77">
        <v>30.72</v>
      </c>
      <c r="N1156" s="365">
        <f t="shared" si="334"/>
        <v>88.57</v>
      </c>
      <c r="O1156" s="343">
        <f t="shared" si="335"/>
        <v>54.93</v>
      </c>
      <c r="P1156" s="195" t="s">
        <v>5554</v>
      </c>
      <c r="Q1156" s="326" t="str">
        <f>IFERROR(VLOOKUP($G1156,主力整理!$A$2:$G$2301,6,0),"0")</f>
        <v>0</v>
      </c>
      <c r="T1156" s="339">
        <f t="shared" si="336"/>
        <v>0</v>
      </c>
      <c r="V1156" s="371">
        <v>16.690000000000001</v>
      </c>
      <c r="W1156" s="35">
        <v>0.5</v>
      </c>
      <c r="X1156" s="100">
        <v>2.67</v>
      </c>
      <c r="Y1156" s="37" t="str">
        <f>RTD("money.excel",,"6141","Price")</f>
        <v>無資料</v>
      </c>
      <c r="Z1156" s="69"/>
      <c r="AA1156" s="16" t="e">
        <f t="shared" si="337"/>
        <v>#VALUE!</v>
      </c>
      <c r="AB1156" s="3" t="e">
        <f t="shared" si="338"/>
        <v>#VALUE!</v>
      </c>
      <c r="AC1156" s="177" t="s">
        <v>2648</v>
      </c>
      <c r="AD1156" s="23" t="s">
        <v>723</v>
      </c>
      <c r="AG1156" s="34">
        <f t="shared" si="339"/>
        <v>0</v>
      </c>
      <c r="AH1156" s="44" t="s">
        <v>1685</v>
      </c>
      <c r="AI1156" s="131"/>
      <c r="AK1156" s="66">
        <f t="shared" si="340"/>
        <v>0</v>
      </c>
      <c r="AL1156" s="174">
        <f t="shared" si="341"/>
        <v>0</v>
      </c>
      <c r="AM1156" s="346">
        <f>RTD("money.excel",,$G1156,"PredictVolume")</f>
        <v>0</v>
      </c>
      <c r="AN1156" s="272">
        <f>RTD("money.excel",,$G1156,"CumulativeVolume")</f>
        <v>0</v>
      </c>
      <c r="AO1156" s="284"/>
    </row>
    <row r="1157" spans="1:41">
      <c r="A1157" s="151" t="s">
        <v>2770</v>
      </c>
      <c r="B1157" s="85">
        <v>-1</v>
      </c>
      <c r="C1157" s="85">
        <v>-45</v>
      </c>
      <c r="D1157" s="85">
        <v>-25</v>
      </c>
      <c r="E1157" s="85">
        <v>-6</v>
      </c>
      <c r="F1157" s="7">
        <v>2.4300000000000002</v>
      </c>
      <c r="G1157" s="85">
        <v>6153</v>
      </c>
      <c r="H1157" s="54" t="s">
        <v>559</v>
      </c>
      <c r="I1157" s="23" t="s">
        <v>179</v>
      </c>
      <c r="J1157" s="77">
        <v>48.68</v>
      </c>
      <c r="K1157" s="77">
        <v>13.36</v>
      </c>
      <c r="L1157" s="77">
        <v>29.98</v>
      </c>
      <c r="N1157" s="365">
        <f t="shared" si="334"/>
        <v>92.02</v>
      </c>
      <c r="O1157" s="343">
        <f t="shared" si="335"/>
        <v>48.68</v>
      </c>
      <c r="P1157" s="195">
        <v>2</v>
      </c>
      <c r="Q1157" s="326">
        <f>IFERROR(VLOOKUP($G1157,主力整理!$A$2:$G$2301,6,0),"0")</f>
        <v>7</v>
      </c>
      <c r="T1157" s="339">
        <f t="shared" si="336"/>
        <v>9</v>
      </c>
      <c r="V1157" s="371">
        <v>2.4</v>
      </c>
      <c r="W1157" s="35">
        <v>0.25</v>
      </c>
      <c r="X1157" s="100">
        <v>1.2</v>
      </c>
      <c r="Y1157" s="37" t="str">
        <f>RTD("money.excel",,"6153","Price")</f>
        <v>無資料</v>
      </c>
      <c r="Z1157" s="69"/>
      <c r="AA1157" s="16" t="e">
        <f t="shared" si="337"/>
        <v>#VALUE!</v>
      </c>
      <c r="AB1157" s="3" t="e">
        <f t="shared" si="338"/>
        <v>#VALUE!</v>
      </c>
      <c r="AC1157" s="177" t="s">
        <v>2648</v>
      </c>
      <c r="AD1157" s="23" t="s">
        <v>179</v>
      </c>
      <c r="AG1157" s="34">
        <f t="shared" si="339"/>
        <v>0</v>
      </c>
      <c r="AH1157" s="125" t="s">
        <v>3801</v>
      </c>
      <c r="AI1157" s="131"/>
      <c r="AK1157" s="66">
        <f t="shared" si="340"/>
        <v>0</v>
      </c>
      <c r="AL1157" s="174">
        <f t="shared" si="341"/>
        <v>0</v>
      </c>
      <c r="AM1157" s="346">
        <f>RTD("money.excel",,$G1157,"PredictVolume")</f>
        <v>0</v>
      </c>
      <c r="AN1157" s="272">
        <f>RTD("money.excel",,$G1157,"CumulativeVolume")</f>
        <v>0</v>
      </c>
      <c r="AO1157" s="284"/>
    </row>
    <row r="1158" spans="1:41">
      <c r="A1158" s="151" t="s">
        <v>3435</v>
      </c>
      <c r="B1158" s="85">
        <v>-36</v>
      </c>
      <c r="C1158" s="85">
        <v>-36</v>
      </c>
      <c r="D1158" s="84">
        <v>13</v>
      </c>
      <c r="E1158" s="85">
        <v>-4</v>
      </c>
      <c r="F1158" s="7">
        <v>7.4</v>
      </c>
      <c r="G1158" s="85">
        <v>6155</v>
      </c>
      <c r="H1158" s="4" t="s">
        <v>559</v>
      </c>
      <c r="I1158" s="23" t="s">
        <v>593</v>
      </c>
      <c r="J1158" s="371">
        <v>65.8</v>
      </c>
      <c r="K1158" s="77">
        <v>2.54</v>
      </c>
      <c r="L1158" s="371">
        <v>8.42</v>
      </c>
      <c r="N1158" s="365">
        <f t="shared" si="334"/>
        <v>76.760000000000005</v>
      </c>
      <c r="O1158" s="343">
        <f t="shared" si="335"/>
        <v>65.8</v>
      </c>
      <c r="P1158" s="195">
        <v>2</v>
      </c>
      <c r="Q1158" s="326" t="str">
        <f>IFERROR(VLOOKUP($G1158,主力整理!$A$2:$G$2301,6,0),"0")</f>
        <v>0</v>
      </c>
      <c r="T1158" s="339">
        <f t="shared" si="336"/>
        <v>2</v>
      </c>
      <c r="V1158" s="371">
        <v>26.38</v>
      </c>
      <c r="W1158" s="35">
        <v>0.75</v>
      </c>
      <c r="X1158" s="100">
        <v>0.39</v>
      </c>
      <c r="Y1158" s="37" t="str">
        <f>RTD("money.excel",,"6155","Price")</f>
        <v>無資料</v>
      </c>
      <c r="Z1158" s="69"/>
      <c r="AA1158" s="16" t="e">
        <f t="shared" si="337"/>
        <v>#VALUE!</v>
      </c>
      <c r="AB1158" s="3" t="e">
        <f t="shared" si="338"/>
        <v>#VALUE!</v>
      </c>
      <c r="AC1158" s="177" t="s">
        <v>2648</v>
      </c>
      <c r="AD1158" s="23" t="s">
        <v>593</v>
      </c>
      <c r="AG1158" s="34">
        <f t="shared" si="339"/>
        <v>0</v>
      </c>
      <c r="AH1158" s="44" t="s">
        <v>3769</v>
      </c>
      <c r="AI1158" s="131"/>
      <c r="AK1158" s="66">
        <f t="shared" si="340"/>
        <v>0</v>
      </c>
      <c r="AL1158" s="174">
        <f t="shared" si="341"/>
        <v>0</v>
      </c>
      <c r="AM1158" s="346">
        <f>RTD("money.excel",,$G1158,"PredictVolume")</f>
        <v>0</v>
      </c>
      <c r="AN1158" s="272">
        <f>RTD("money.excel",,$G1158,"CumulativeVolume")</f>
        <v>0</v>
      </c>
      <c r="AO1158" s="284"/>
    </row>
    <row r="1159" spans="1:41">
      <c r="A1159" s="151" t="s">
        <v>2326</v>
      </c>
      <c r="B1159" s="96">
        <v>131</v>
      </c>
      <c r="C1159" s="96">
        <v>126</v>
      </c>
      <c r="D1159" s="96">
        <v>-1</v>
      </c>
      <c r="E1159" s="96">
        <v>31</v>
      </c>
      <c r="F1159" s="7">
        <v>4.8099999999999996</v>
      </c>
      <c r="G1159" s="85">
        <v>6156</v>
      </c>
      <c r="H1159" s="4" t="s">
        <v>559</v>
      </c>
      <c r="I1159" s="17" t="s">
        <v>781</v>
      </c>
      <c r="J1159" s="77">
        <v>52.74</v>
      </c>
      <c r="K1159" s="77">
        <v>6.18</v>
      </c>
      <c r="L1159" s="77">
        <v>28.83</v>
      </c>
      <c r="N1159" s="365">
        <f t="shared" si="334"/>
        <v>87.75</v>
      </c>
      <c r="O1159" s="343">
        <f t="shared" si="335"/>
        <v>52.74</v>
      </c>
      <c r="P1159" s="195" t="s">
        <v>5554</v>
      </c>
      <c r="Q1159" s="326" t="str">
        <f>IFERROR(VLOOKUP($G1159,主力整理!$A$2:$G$2301,6,0),"0")</f>
        <v>0</v>
      </c>
      <c r="T1159" s="339">
        <f t="shared" si="336"/>
        <v>0</v>
      </c>
      <c r="V1159" s="371">
        <v>18.489999999999998</v>
      </c>
      <c r="W1159" s="35">
        <v>0.5</v>
      </c>
      <c r="X1159" s="100">
        <v>1.32</v>
      </c>
      <c r="Y1159" s="14" t="str">
        <f>RTD("money.excel",,"6156","Price")</f>
        <v>無資料</v>
      </c>
      <c r="Z1159" s="69"/>
      <c r="AA1159" s="16" t="e">
        <f t="shared" si="337"/>
        <v>#VALUE!</v>
      </c>
      <c r="AB1159" s="3" t="e">
        <f t="shared" si="338"/>
        <v>#VALUE!</v>
      </c>
      <c r="AD1159" s="17" t="s">
        <v>781</v>
      </c>
      <c r="AG1159" s="34">
        <f t="shared" si="339"/>
        <v>0</v>
      </c>
      <c r="AH1159" s="44" t="s">
        <v>3820</v>
      </c>
      <c r="AI1159" s="131"/>
      <c r="AK1159" s="66">
        <f t="shared" si="340"/>
        <v>0</v>
      </c>
      <c r="AL1159" s="174">
        <f t="shared" si="341"/>
        <v>0</v>
      </c>
      <c r="AM1159" s="346">
        <f>RTD("money.excel",,$G1159,"PredictVolume")</f>
        <v>0</v>
      </c>
      <c r="AN1159" s="272">
        <f>RTD("money.excel",,$G1159,"CumulativeVolume")</f>
        <v>0</v>
      </c>
      <c r="AO1159" s="284"/>
    </row>
    <row r="1160" spans="1:41">
      <c r="A1160" s="151" t="s">
        <v>4626</v>
      </c>
      <c r="B1160" s="96">
        <v>-91</v>
      </c>
      <c r="C1160" s="96">
        <v>49</v>
      </c>
      <c r="D1160" s="96">
        <v>6</v>
      </c>
      <c r="E1160" s="96">
        <v>-12</v>
      </c>
      <c r="F1160" s="7">
        <v>-0.65</v>
      </c>
      <c r="G1160" s="85">
        <v>6158</v>
      </c>
      <c r="H1160" s="4" t="s">
        <v>559</v>
      </c>
      <c r="I1160" s="17" t="s">
        <v>782</v>
      </c>
      <c r="J1160" s="77">
        <v>40.130000000000003</v>
      </c>
      <c r="K1160" s="77">
        <v>3.77</v>
      </c>
      <c r="L1160" s="77">
        <v>23.63</v>
      </c>
      <c r="N1160" s="365">
        <f t="shared" si="334"/>
        <v>67.53</v>
      </c>
      <c r="O1160" s="343">
        <f t="shared" si="335"/>
        <v>40.130000000000003</v>
      </c>
      <c r="P1160" s="195" t="s">
        <v>5554</v>
      </c>
      <c r="Q1160" s="326" t="str">
        <f>IFERROR(VLOOKUP($G1160,主力整理!$A$2:$G$2301,6,0),"0")</f>
        <v>0</v>
      </c>
      <c r="T1160" s="339">
        <f t="shared" si="336"/>
        <v>0</v>
      </c>
      <c r="V1160" s="371">
        <v>16.27</v>
      </c>
      <c r="W1160" s="35">
        <v>0.5</v>
      </c>
      <c r="X1160" s="100">
        <v>3.64</v>
      </c>
      <c r="Y1160" s="37" t="str">
        <f>RTD("money.excel",,"6158","Price")</f>
        <v>無資料</v>
      </c>
      <c r="Z1160" s="69"/>
      <c r="AA1160" s="16" t="e">
        <f t="shared" si="337"/>
        <v>#VALUE!</v>
      </c>
      <c r="AB1160" s="3" t="e">
        <f t="shared" si="338"/>
        <v>#VALUE!</v>
      </c>
      <c r="AD1160" s="17" t="s">
        <v>782</v>
      </c>
      <c r="AG1160" s="34">
        <f t="shared" si="339"/>
        <v>0</v>
      </c>
      <c r="AH1160" s="44" t="s">
        <v>2961</v>
      </c>
      <c r="AI1160" s="131"/>
      <c r="AK1160" s="66">
        <f t="shared" si="340"/>
        <v>0</v>
      </c>
      <c r="AL1160" s="174">
        <f t="shared" si="341"/>
        <v>0</v>
      </c>
      <c r="AM1160" s="346">
        <f>RTD("money.excel",,$G1160,"PredictVolume")</f>
        <v>0</v>
      </c>
      <c r="AN1160" s="272">
        <f>RTD("money.excel",,$G1160,"CumulativeVolume")</f>
        <v>0</v>
      </c>
      <c r="AO1160" s="284"/>
    </row>
    <row r="1161" spans="1:41">
      <c r="A1161" s="151" t="s">
        <v>3284</v>
      </c>
      <c r="B1161" s="84">
        <v>448</v>
      </c>
      <c r="C1161" s="84">
        <v>413</v>
      </c>
      <c r="D1161" s="84">
        <v>9</v>
      </c>
      <c r="E1161" s="244">
        <v>25106</v>
      </c>
      <c r="F1161" s="7">
        <v>3.48</v>
      </c>
      <c r="G1161" s="85">
        <v>6165</v>
      </c>
      <c r="H1161" s="4" t="s">
        <v>559</v>
      </c>
      <c r="I1161" s="23" t="s">
        <v>5135</v>
      </c>
      <c r="J1161" s="371">
        <v>5.26</v>
      </c>
      <c r="K1161" s="371">
        <v>1.36</v>
      </c>
      <c r="L1161" s="371">
        <v>7.8</v>
      </c>
      <c r="N1161" s="365">
        <f t="shared" si="334"/>
        <v>14.42</v>
      </c>
      <c r="O1161" s="343">
        <f t="shared" si="335"/>
        <v>5.26</v>
      </c>
      <c r="P1161" s="195" t="s">
        <v>5554</v>
      </c>
      <c r="Q1161" s="326" t="str">
        <f>IFERROR(VLOOKUP($G1161,主力整理!$A$2:$G$2301,6,0),"0")</f>
        <v>0</v>
      </c>
      <c r="R1161" s="111">
        <v>14</v>
      </c>
      <c r="T1161" s="339">
        <f t="shared" si="336"/>
        <v>14</v>
      </c>
      <c r="V1161" s="371">
        <v>6.71</v>
      </c>
      <c r="W1161" s="35">
        <v>0</v>
      </c>
      <c r="X1161" s="100">
        <v>1.54</v>
      </c>
      <c r="Y1161" s="37" t="str">
        <f>RTD("money.excel",,"6165","Price")</f>
        <v>無資料</v>
      </c>
      <c r="Z1161" s="69"/>
      <c r="AA1161" s="16" t="e">
        <f t="shared" si="337"/>
        <v>#VALUE!</v>
      </c>
      <c r="AB1161" s="3" t="e">
        <f t="shared" si="338"/>
        <v>#VALUE!</v>
      </c>
      <c r="AC1161" s="177" t="s">
        <v>2648</v>
      </c>
      <c r="AD1161" s="23" t="s">
        <v>5135</v>
      </c>
      <c r="AG1161" s="34">
        <f t="shared" si="339"/>
        <v>0</v>
      </c>
      <c r="AH1161" s="44" t="s">
        <v>5218</v>
      </c>
      <c r="AI1161" s="131"/>
      <c r="AK1161" s="66">
        <f t="shared" si="340"/>
        <v>0</v>
      </c>
      <c r="AL1161" s="174">
        <f t="shared" si="341"/>
        <v>0</v>
      </c>
      <c r="AM1161" s="346">
        <f>RTD("money.excel",,$G1161,"PredictVolume")</f>
        <v>0</v>
      </c>
      <c r="AN1161" s="272">
        <f>RTD("money.excel",,$G1161,"CumulativeVolume")</f>
        <v>0</v>
      </c>
      <c r="AO1161" s="284"/>
    </row>
    <row r="1162" spans="1:41">
      <c r="A1162" s="135" t="s">
        <v>2503</v>
      </c>
      <c r="B1162" s="84">
        <v>195</v>
      </c>
      <c r="C1162" s="84">
        <v>30</v>
      </c>
      <c r="D1162" s="85">
        <v>-1</v>
      </c>
      <c r="E1162" s="84">
        <v>24</v>
      </c>
      <c r="F1162" s="59">
        <v>16.79</v>
      </c>
      <c r="G1162" s="85">
        <v>6173</v>
      </c>
      <c r="H1162" s="54" t="s">
        <v>559</v>
      </c>
      <c r="I1162" s="17" t="s">
        <v>158</v>
      </c>
      <c r="J1162" s="371">
        <v>45.86</v>
      </c>
      <c r="K1162" s="371">
        <v>2.66</v>
      </c>
      <c r="L1162" s="371">
        <v>16.91</v>
      </c>
      <c r="N1162" s="365">
        <f t="shared" si="334"/>
        <v>65.429999999999993</v>
      </c>
      <c r="O1162" s="343">
        <f t="shared" si="335"/>
        <v>45.86</v>
      </c>
      <c r="P1162" s="195">
        <v>3</v>
      </c>
      <c r="Q1162" s="326" t="str">
        <f>IFERROR(VLOOKUP($G1162,主力整理!$A$2:$G$2301,6,0),"0")</f>
        <v>0</v>
      </c>
      <c r="T1162" s="339">
        <f t="shared" si="336"/>
        <v>3</v>
      </c>
      <c r="V1162" s="371">
        <v>0.17</v>
      </c>
      <c r="W1162" s="35">
        <v>2</v>
      </c>
      <c r="X1162" s="100">
        <v>5.63</v>
      </c>
      <c r="Y1162" s="37" t="str">
        <f>RTD("money.excel",,"6173","Price")</f>
        <v>無資料</v>
      </c>
      <c r="Z1162" s="69"/>
      <c r="AA1162" s="16" t="e">
        <f t="shared" si="337"/>
        <v>#VALUE!</v>
      </c>
      <c r="AB1162" s="3" t="e">
        <f t="shared" si="338"/>
        <v>#VALUE!</v>
      </c>
      <c r="AC1162" s="177" t="s">
        <v>2648</v>
      </c>
      <c r="AD1162" s="17" t="s">
        <v>158</v>
      </c>
      <c r="AG1162" s="34">
        <f t="shared" si="339"/>
        <v>0</v>
      </c>
      <c r="AH1162" s="126" t="s">
        <v>2678</v>
      </c>
      <c r="AI1162" s="131"/>
      <c r="AK1162" s="66">
        <f t="shared" si="340"/>
        <v>0</v>
      </c>
      <c r="AL1162" s="174">
        <f t="shared" si="341"/>
        <v>0</v>
      </c>
      <c r="AM1162" s="346">
        <f>RTD("money.excel",,$G1162,"PredictVolume")</f>
        <v>0</v>
      </c>
      <c r="AN1162" s="272">
        <f>RTD("money.excel",,$G1162,"CumulativeVolume")</f>
        <v>0</v>
      </c>
      <c r="AO1162" s="284"/>
    </row>
    <row r="1163" spans="1:41">
      <c r="A1163" s="151" t="s">
        <v>4627</v>
      </c>
      <c r="B1163" s="96">
        <v>-31</v>
      </c>
      <c r="C1163" s="96">
        <v>195</v>
      </c>
      <c r="D1163" s="96">
        <v>23</v>
      </c>
      <c r="E1163" s="96">
        <v>10</v>
      </c>
      <c r="F1163" s="7">
        <v>0.71</v>
      </c>
      <c r="G1163" s="85">
        <v>6174</v>
      </c>
      <c r="H1163" s="4" t="s">
        <v>559</v>
      </c>
      <c r="I1163" s="17" t="s">
        <v>783</v>
      </c>
      <c r="J1163" s="77">
        <v>67.33</v>
      </c>
      <c r="K1163" s="77">
        <v>1.85</v>
      </c>
      <c r="L1163" s="77">
        <v>5.26</v>
      </c>
      <c r="N1163" s="365">
        <f t="shared" si="334"/>
        <v>74.44</v>
      </c>
      <c r="O1163" s="343">
        <f t="shared" si="335"/>
        <v>67.33</v>
      </c>
      <c r="P1163" s="195" t="s">
        <v>5554</v>
      </c>
      <c r="Q1163" s="326">
        <f>IFERROR(VLOOKUP($G1163,主力整理!$A$2:$G$2301,6,0),"0")</f>
        <v>4</v>
      </c>
      <c r="T1163" s="339">
        <f t="shared" si="336"/>
        <v>4</v>
      </c>
      <c r="V1163" s="371">
        <v>39.520000000000003</v>
      </c>
      <c r="W1163" s="35">
        <v>0</v>
      </c>
      <c r="X1163" s="100">
        <v>0.03</v>
      </c>
      <c r="Y1163" s="14" t="str">
        <f>RTD("money.excel",,"6174","Price")</f>
        <v>無資料</v>
      </c>
      <c r="Z1163" s="69"/>
      <c r="AA1163" s="16" t="e">
        <f t="shared" si="337"/>
        <v>#VALUE!</v>
      </c>
      <c r="AB1163" s="3" t="e">
        <f t="shared" si="338"/>
        <v>#VALUE!</v>
      </c>
      <c r="AD1163" s="17" t="s">
        <v>783</v>
      </c>
      <c r="AG1163" s="34">
        <f t="shared" si="339"/>
        <v>0</v>
      </c>
      <c r="AH1163" s="44" t="s">
        <v>2666</v>
      </c>
      <c r="AI1163" s="284"/>
      <c r="AK1163" s="66">
        <f t="shared" si="340"/>
        <v>0</v>
      </c>
      <c r="AL1163" s="174">
        <f t="shared" si="341"/>
        <v>0</v>
      </c>
      <c r="AM1163" s="346">
        <f>RTD("money.excel",,$G1163,"PredictVolume")</f>
        <v>0</v>
      </c>
      <c r="AN1163" s="272">
        <f>RTD("money.excel",,$G1163,"CumulativeVolume")</f>
        <v>0</v>
      </c>
      <c r="AO1163" s="284"/>
    </row>
    <row r="1164" spans="1:41">
      <c r="A1164" s="135" t="s">
        <v>2445</v>
      </c>
      <c r="B1164" s="84">
        <v>128</v>
      </c>
      <c r="C1164" s="84">
        <v>72</v>
      </c>
      <c r="D1164" s="84">
        <v>6</v>
      </c>
      <c r="E1164" s="84">
        <v>21</v>
      </c>
      <c r="F1164" s="59">
        <v>13.37</v>
      </c>
      <c r="G1164" s="85">
        <v>6175</v>
      </c>
      <c r="H1164" s="54" t="s">
        <v>559</v>
      </c>
      <c r="I1164" s="17" t="s">
        <v>350</v>
      </c>
      <c r="J1164" s="77">
        <v>61.94</v>
      </c>
      <c r="K1164" s="77">
        <v>19.57</v>
      </c>
      <c r="L1164" s="371">
        <v>10.14</v>
      </c>
      <c r="N1164" s="365">
        <f t="shared" si="334"/>
        <v>91.649999999999991</v>
      </c>
      <c r="O1164" s="343">
        <f t="shared" si="335"/>
        <v>61.94</v>
      </c>
      <c r="P1164" s="195">
        <v>3</v>
      </c>
      <c r="Q1164" s="326">
        <f>IFERROR(VLOOKUP($G1164,主力整理!$A$2:$G$2301,6,0),"0")</f>
        <v>2</v>
      </c>
      <c r="R1164" s="111">
        <v>8</v>
      </c>
      <c r="T1164" s="339">
        <f t="shared" si="336"/>
        <v>13</v>
      </c>
      <c r="V1164" s="371">
        <v>0.99</v>
      </c>
      <c r="W1164" s="35">
        <v>1.08</v>
      </c>
      <c r="X1164" s="100">
        <v>2.0099999999999998</v>
      </c>
      <c r="Y1164" s="37" t="str">
        <f>RTD("money.excel",,"6175","Price")</f>
        <v>無資料</v>
      </c>
      <c r="Z1164" s="69"/>
      <c r="AA1164" s="16" t="e">
        <f t="shared" si="337"/>
        <v>#VALUE!</v>
      </c>
      <c r="AB1164" s="3" t="e">
        <f t="shared" si="338"/>
        <v>#VALUE!</v>
      </c>
      <c r="AC1164" s="177" t="s">
        <v>2648</v>
      </c>
      <c r="AD1164" s="17" t="s">
        <v>350</v>
      </c>
      <c r="AG1164" s="34">
        <f t="shared" si="339"/>
        <v>0</v>
      </c>
      <c r="AH1164" s="50" t="s">
        <v>3666</v>
      </c>
      <c r="AI1164" s="284"/>
      <c r="AK1164" s="66">
        <f t="shared" si="340"/>
        <v>0</v>
      </c>
      <c r="AL1164" s="174">
        <f t="shared" si="341"/>
        <v>0</v>
      </c>
      <c r="AM1164" s="346">
        <f>RTD("money.excel",,$G1164,"PredictVolume")</f>
        <v>0</v>
      </c>
      <c r="AN1164" s="272">
        <f>RTD("money.excel",,$G1164,"CumulativeVolume")</f>
        <v>0</v>
      </c>
      <c r="AO1164" s="284"/>
    </row>
    <row r="1165" spans="1:41">
      <c r="A1165" s="151" t="s">
        <v>2809</v>
      </c>
      <c r="B1165" s="96">
        <v>-113</v>
      </c>
      <c r="C1165" s="96">
        <v>-125</v>
      </c>
      <c r="D1165" s="96">
        <v>24</v>
      </c>
      <c r="E1165" s="96">
        <v>-5</v>
      </c>
      <c r="F1165" s="59">
        <v>-1.7</v>
      </c>
      <c r="G1165" s="85">
        <v>6185</v>
      </c>
      <c r="H1165" s="4" t="s">
        <v>559</v>
      </c>
      <c r="I1165" s="17" t="s">
        <v>784</v>
      </c>
      <c r="J1165" s="77">
        <v>41.09</v>
      </c>
      <c r="K1165" s="77">
        <v>3.62</v>
      </c>
      <c r="L1165" s="77">
        <v>3.75</v>
      </c>
      <c r="N1165" s="365">
        <f t="shared" si="334"/>
        <v>48.46</v>
      </c>
      <c r="O1165" s="343">
        <f t="shared" si="335"/>
        <v>41.09</v>
      </c>
      <c r="P1165" s="195" t="s">
        <v>5554</v>
      </c>
      <c r="Q1165" s="326" t="str">
        <f>IFERROR(VLOOKUP($G1165,主力整理!$A$2:$G$2301,6,0),"0")</f>
        <v>0</v>
      </c>
      <c r="T1165" s="339">
        <f t="shared" si="336"/>
        <v>0</v>
      </c>
      <c r="V1165" s="371">
        <v>12.86</v>
      </c>
      <c r="W1165" s="35">
        <v>0</v>
      </c>
      <c r="X1165" s="100">
        <v>-0.6</v>
      </c>
      <c r="Y1165" s="37" t="str">
        <f>RTD("money.excel",,"6185","Price")</f>
        <v>無資料</v>
      </c>
      <c r="Z1165" s="69"/>
      <c r="AA1165" s="16" t="e">
        <f t="shared" si="337"/>
        <v>#VALUE!</v>
      </c>
      <c r="AB1165" s="3" t="e">
        <f t="shared" si="338"/>
        <v>#VALUE!</v>
      </c>
      <c r="AD1165" s="17" t="s">
        <v>784</v>
      </c>
      <c r="AG1165" s="34">
        <f t="shared" si="339"/>
        <v>0</v>
      </c>
      <c r="AH1165" s="44" t="s">
        <v>2961</v>
      </c>
      <c r="AI1165" s="131"/>
      <c r="AK1165" s="66">
        <f t="shared" si="340"/>
        <v>0</v>
      </c>
      <c r="AL1165" s="174">
        <f t="shared" si="341"/>
        <v>0</v>
      </c>
      <c r="AM1165" s="346">
        <f>RTD("money.excel",,$G1165,"PredictVolume")</f>
        <v>0</v>
      </c>
      <c r="AN1165" s="272">
        <f>RTD("money.excel",,$G1165,"CumulativeVolume")</f>
        <v>0</v>
      </c>
      <c r="AO1165" s="284"/>
    </row>
    <row r="1166" spans="1:41">
      <c r="A1166" s="151" t="s">
        <v>2696</v>
      </c>
      <c r="B1166" s="84">
        <v>98</v>
      </c>
      <c r="C1166" s="84">
        <v>142</v>
      </c>
      <c r="D1166" s="84">
        <v>-10</v>
      </c>
      <c r="E1166" s="84">
        <v>10</v>
      </c>
      <c r="F1166" s="7">
        <v>9.32</v>
      </c>
      <c r="G1166" s="85">
        <v>6191</v>
      </c>
      <c r="H1166" s="54" t="s">
        <v>559</v>
      </c>
      <c r="I1166" s="23" t="s">
        <v>439</v>
      </c>
      <c r="J1166" s="371">
        <v>56.97</v>
      </c>
      <c r="K1166" s="77">
        <v>5.72</v>
      </c>
      <c r="L1166" s="77">
        <v>20.190000000000001</v>
      </c>
      <c r="N1166" s="365">
        <f t="shared" ref="N1166:N1197" si="342">J1166+K1166+L1166+M1166</f>
        <v>82.88</v>
      </c>
      <c r="O1166" s="343">
        <f t="shared" si="335"/>
        <v>56.97</v>
      </c>
      <c r="P1166" s="195">
        <v>1</v>
      </c>
      <c r="Q1166" s="326">
        <f>IFERROR(VLOOKUP($G1166,主力整理!$A$2:$G$2301,6,0),"0")</f>
        <v>2</v>
      </c>
      <c r="T1166" s="339">
        <f t="shared" si="336"/>
        <v>3</v>
      </c>
      <c r="V1166" s="371">
        <v>0.75</v>
      </c>
      <c r="W1166" s="35">
        <v>0.5</v>
      </c>
      <c r="X1166" s="100">
        <v>3.42</v>
      </c>
      <c r="Y1166" s="37" t="str">
        <f>RTD("money.excel",,"6191","Price")</f>
        <v>無資料</v>
      </c>
      <c r="Z1166" s="69"/>
      <c r="AA1166" s="16" t="e">
        <f t="shared" si="337"/>
        <v>#VALUE!</v>
      </c>
      <c r="AB1166" s="3" t="e">
        <f t="shared" si="338"/>
        <v>#VALUE!</v>
      </c>
      <c r="AC1166" s="177" t="s">
        <v>2648</v>
      </c>
      <c r="AD1166" s="23" t="s">
        <v>439</v>
      </c>
      <c r="AG1166" s="34">
        <f t="shared" si="339"/>
        <v>0</v>
      </c>
      <c r="AH1166" s="125" t="s">
        <v>3337</v>
      </c>
      <c r="AI1166" s="131"/>
      <c r="AK1166" s="66">
        <f t="shared" si="340"/>
        <v>0</v>
      </c>
      <c r="AL1166" s="174">
        <f t="shared" si="341"/>
        <v>0</v>
      </c>
      <c r="AM1166" s="346">
        <f>RTD("money.excel",,$G1166,"PredictVolume")</f>
        <v>0</v>
      </c>
      <c r="AN1166" s="272">
        <f>RTD("money.excel",,$G1166,"CumulativeVolume")</f>
        <v>0</v>
      </c>
      <c r="AO1166" s="284"/>
    </row>
    <row r="1167" spans="1:41">
      <c r="A1167" s="135" t="s">
        <v>3291</v>
      </c>
      <c r="B1167" s="96">
        <v>18</v>
      </c>
      <c r="C1167" s="96">
        <v>47</v>
      </c>
      <c r="D1167" s="96">
        <v>-6</v>
      </c>
      <c r="E1167" s="96">
        <v>79</v>
      </c>
      <c r="F1167" s="59">
        <v>14.94</v>
      </c>
      <c r="G1167" s="85">
        <v>6194</v>
      </c>
      <c r="H1167" s="4" t="s">
        <v>559</v>
      </c>
      <c r="I1167" s="17" t="s">
        <v>785</v>
      </c>
      <c r="J1167" s="77">
        <v>61.9</v>
      </c>
      <c r="K1167" s="77">
        <v>3.39</v>
      </c>
      <c r="L1167" s="77">
        <v>9.4499999999999993</v>
      </c>
      <c r="N1167" s="365">
        <f t="shared" si="342"/>
        <v>74.739999999999995</v>
      </c>
      <c r="O1167" s="343">
        <f t="shared" si="335"/>
        <v>61.9</v>
      </c>
      <c r="P1167" s="195" t="s">
        <v>5554</v>
      </c>
      <c r="Q1167" s="326" t="str">
        <f>IFERROR(VLOOKUP($G1167,主力整理!$A$2:$G$2301,6,0),"0")</f>
        <v>0</v>
      </c>
      <c r="T1167" s="339">
        <f t="shared" si="336"/>
        <v>0</v>
      </c>
      <c r="V1167" s="371">
        <v>15.76</v>
      </c>
      <c r="W1167" s="35">
        <v>1.5</v>
      </c>
      <c r="X1167" s="100">
        <v>2.4</v>
      </c>
      <c r="Y1167" s="14" t="str">
        <f>RTD("money.excel",,"6194","Price")</f>
        <v>無資料</v>
      </c>
      <c r="Z1167" s="69"/>
      <c r="AA1167" s="16" t="e">
        <f t="shared" si="337"/>
        <v>#VALUE!</v>
      </c>
      <c r="AB1167" s="3" t="e">
        <f t="shared" si="338"/>
        <v>#VALUE!</v>
      </c>
      <c r="AD1167" s="17" t="s">
        <v>785</v>
      </c>
      <c r="AG1167" s="34">
        <f t="shared" si="339"/>
        <v>0</v>
      </c>
      <c r="AH1167" s="63" t="s">
        <v>1685</v>
      </c>
      <c r="AI1167" s="131"/>
      <c r="AK1167" s="66">
        <f t="shared" si="340"/>
        <v>0</v>
      </c>
      <c r="AL1167" s="174">
        <f t="shared" si="341"/>
        <v>0</v>
      </c>
      <c r="AM1167" s="346">
        <f>RTD("money.excel",,$G1167,"PredictVolume")</f>
        <v>0</v>
      </c>
      <c r="AN1167" s="272">
        <f>RTD("money.excel",,$G1167,"CumulativeVolume")</f>
        <v>0</v>
      </c>
      <c r="AO1167" s="284"/>
    </row>
    <row r="1168" spans="1:41">
      <c r="A1168" s="135" t="s">
        <v>2455</v>
      </c>
      <c r="B1168" s="84">
        <v>38</v>
      </c>
      <c r="C1168" s="84">
        <v>108</v>
      </c>
      <c r="D1168" s="85">
        <v>-4</v>
      </c>
      <c r="E1168" s="85">
        <v>-11</v>
      </c>
      <c r="F1168" s="59">
        <v>10.56</v>
      </c>
      <c r="G1168" s="85">
        <v>6197</v>
      </c>
      <c r="H1168" s="4" t="s">
        <v>559</v>
      </c>
      <c r="I1168" s="23" t="s">
        <v>724</v>
      </c>
      <c r="J1168" s="77">
        <v>42.31</v>
      </c>
      <c r="K1168" s="77">
        <v>8.64</v>
      </c>
      <c r="L1168" s="77">
        <v>10.210000000000001</v>
      </c>
      <c r="N1168" s="365">
        <f t="shared" si="342"/>
        <v>61.160000000000004</v>
      </c>
      <c r="O1168" s="343">
        <f t="shared" si="335"/>
        <v>42.31</v>
      </c>
      <c r="P1168" s="195" t="s">
        <v>5554</v>
      </c>
      <c r="Q1168" s="326" t="str">
        <f>IFERROR(VLOOKUP($G1168,主力整理!$A$2:$G$2301,6,0),"0")</f>
        <v>0</v>
      </c>
      <c r="T1168" s="339">
        <f t="shared" si="336"/>
        <v>0</v>
      </c>
      <c r="V1168" s="371">
        <v>0.12</v>
      </c>
      <c r="W1168" s="35">
        <v>2.9</v>
      </c>
      <c r="X1168" s="100">
        <v>2.13</v>
      </c>
      <c r="Y1168" s="37" t="str">
        <f>RTD("money.excel",,"6197","Price")</f>
        <v>無資料</v>
      </c>
      <c r="Z1168" s="69"/>
      <c r="AA1168" s="16" t="e">
        <f t="shared" si="337"/>
        <v>#VALUE!</v>
      </c>
      <c r="AB1168" s="3" t="e">
        <f t="shared" si="338"/>
        <v>#VALUE!</v>
      </c>
      <c r="AD1168" s="23" t="s">
        <v>724</v>
      </c>
      <c r="AG1168" s="34">
        <f t="shared" si="339"/>
        <v>0</v>
      </c>
      <c r="AH1168" s="63" t="s">
        <v>4013</v>
      </c>
      <c r="AI1168" s="131"/>
      <c r="AK1168" s="66">
        <f t="shared" si="340"/>
        <v>0</v>
      </c>
      <c r="AL1168" s="174">
        <f t="shared" si="341"/>
        <v>0</v>
      </c>
      <c r="AM1168" s="346">
        <f>RTD("money.excel",,$G1168,"PredictVolume")</f>
        <v>0</v>
      </c>
      <c r="AN1168" s="272">
        <f>RTD("money.excel",,$G1168,"CumulativeVolume")</f>
        <v>0</v>
      </c>
      <c r="AO1168" s="284"/>
    </row>
    <row r="1169" spans="1:41">
      <c r="A1169" s="135" t="s">
        <v>3425</v>
      </c>
      <c r="B1169" s="84">
        <v>77</v>
      </c>
      <c r="C1169" s="84">
        <v>115</v>
      </c>
      <c r="D1169" s="85">
        <v>-43</v>
      </c>
      <c r="E1169" s="84">
        <v>76</v>
      </c>
      <c r="F1169" s="59">
        <v>23.06</v>
      </c>
      <c r="G1169" s="85">
        <v>6203</v>
      </c>
      <c r="H1169" s="4" t="s">
        <v>559</v>
      </c>
      <c r="I1169" s="17" t="s">
        <v>786</v>
      </c>
      <c r="J1169" s="371">
        <v>55.31</v>
      </c>
      <c r="K1169" s="371">
        <v>2.88</v>
      </c>
      <c r="L1169" s="77">
        <v>17.100000000000001</v>
      </c>
      <c r="N1169" s="365">
        <f t="shared" si="342"/>
        <v>75.290000000000006</v>
      </c>
      <c r="O1169" s="343">
        <f t="shared" si="335"/>
        <v>55.31</v>
      </c>
      <c r="P1169" s="195" t="s">
        <v>5554</v>
      </c>
      <c r="Q1169" s="326" t="str">
        <f>IFERROR(VLOOKUP($G1169,主力整理!$A$2:$G$2301,6,0),"0")</f>
        <v>0</v>
      </c>
      <c r="T1169" s="339">
        <f t="shared" si="336"/>
        <v>0</v>
      </c>
      <c r="V1169" s="371">
        <v>0.21</v>
      </c>
      <c r="W1169" s="69">
        <v>5</v>
      </c>
      <c r="X1169" s="59">
        <v>7.64</v>
      </c>
      <c r="Y1169" s="37" t="str">
        <f>RTD("money.excel",,"6203","Price")</f>
        <v>無資料</v>
      </c>
      <c r="Z1169" s="69"/>
      <c r="AA1169" s="16" t="e">
        <f t="shared" si="337"/>
        <v>#VALUE!</v>
      </c>
      <c r="AB1169" s="3" t="e">
        <f t="shared" si="338"/>
        <v>#VALUE!</v>
      </c>
      <c r="AC1169" s="177" t="s">
        <v>2700</v>
      </c>
      <c r="AD1169" s="17" t="s">
        <v>786</v>
      </c>
      <c r="AG1169" s="34">
        <f t="shared" si="339"/>
        <v>0</v>
      </c>
      <c r="AH1169" s="63" t="s">
        <v>3761</v>
      </c>
      <c r="AI1169" s="131"/>
      <c r="AK1169" s="66">
        <f t="shared" si="340"/>
        <v>0</v>
      </c>
      <c r="AL1169" s="174">
        <f t="shared" si="341"/>
        <v>0</v>
      </c>
      <c r="AM1169" s="346">
        <f>RTD("money.excel",,$G1169,"PredictVolume")</f>
        <v>0</v>
      </c>
      <c r="AN1169" s="272">
        <f>RTD("money.excel",,$G1169,"CumulativeVolume")</f>
        <v>0</v>
      </c>
      <c r="AO1169" s="284"/>
    </row>
    <row r="1170" spans="1:41">
      <c r="A1170" s="151" t="s">
        <v>3472</v>
      </c>
      <c r="B1170" s="98">
        <v>4877</v>
      </c>
      <c r="C1170" s="84">
        <v>795</v>
      </c>
      <c r="D1170" s="84">
        <v>7</v>
      </c>
      <c r="E1170" s="84">
        <v>46</v>
      </c>
      <c r="F1170" s="7">
        <v>6.95</v>
      </c>
      <c r="G1170" s="85">
        <v>6204</v>
      </c>
      <c r="H1170" s="4" t="s">
        <v>559</v>
      </c>
      <c r="I1170" s="17" t="s">
        <v>787</v>
      </c>
      <c r="J1170" s="77">
        <v>66.44</v>
      </c>
      <c r="K1170" s="371">
        <v>0.1</v>
      </c>
      <c r="L1170" s="371">
        <v>16.59</v>
      </c>
      <c r="N1170" s="365">
        <f t="shared" si="342"/>
        <v>83.13</v>
      </c>
      <c r="O1170" s="343">
        <f t="shared" si="335"/>
        <v>66.44</v>
      </c>
      <c r="P1170" s="195" t="s">
        <v>5554</v>
      </c>
      <c r="Q1170" s="326" t="str">
        <f>IFERROR(VLOOKUP($G1170,主力整理!$A$2:$G$2301,6,0),"0")</f>
        <v>0</v>
      </c>
      <c r="R1170" s="111">
        <v>14</v>
      </c>
      <c r="S1170" s="51">
        <v>0</v>
      </c>
      <c r="T1170" s="339">
        <f t="shared" si="336"/>
        <v>14</v>
      </c>
      <c r="V1170" s="371">
        <v>0.63</v>
      </c>
      <c r="W1170" s="69">
        <v>15</v>
      </c>
      <c r="X1170" s="59">
        <v>12.27</v>
      </c>
      <c r="Y1170" s="37" t="str">
        <f>RTD("money.excel",,"6204","Price")</f>
        <v>無資料</v>
      </c>
      <c r="Z1170" s="69"/>
      <c r="AA1170" s="16" t="e">
        <f t="shared" si="337"/>
        <v>#VALUE!</v>
      </c>
      <c r="AB1170" s="3" t="e">
        <f t="shared" si="338"/>
        <v>#VALUE!</v>
      </c>
      <c r="AC1170" s="177" t="s">
        <v>2700</v>
      </c>
      <c r="AD1170" s="17" t="s">
        <v>787</v>
      </c>
      <c r="AG1170" s="34">
        <f t="shared" si="339"/>
        <v>0</v>
      </c>
      <c r="AH1170" s="44" t="s">
        <v>3821</v>
      </c>
      <c r="AI1170" s="131"/>
      <c r="AK1170" s="66">
        <f t="shared" si="340"/>
        <v>0</v>
      </c>
      <c r="AL1170" s="174">
        <f t="shared" si="341"/>
        <v>0</v>
      </c>
      <c r="AM1170" s="346">
        <f>RTD("money.excel",,$G1170,"PredictVolume")</f>
        <v>0</v>
      </c>
      <c r="AN1170" s="272">
        <f>RTD("money.excel",,$G1170,"CumulativeVolume")</f>
        <v>0</v>
      </c>
      <c r="AO1170" s="284"/>
    </row>
    <row r="1171" spans="1:41">
      <c r="A1171" s="151" t="s">
        <v>3618</v>
      </c>
      <c r="B1171" s="84">
        <v>22</v>
      </c>
      <c r="C1171" s="84">
        <v>52</v>
      </c>
      <c r="D1171" s="84">
        <v>1</v>
      </c>
      <c r="E1171" s="84">
        <v>1</v>
      </c>
      <c r="F1171" s="7">
        <v>8.64</v>
      </c>
      <c r="G1171" s="85">
        <v>6205</v>
      </c>
      <c r="H1171" s="4" t="s">
        <v>559</v>
      </c>
      <c r="I1171" s="23" t="s">
        <v>725</v>
      </c>
      <c r="J1171" s="371">
        <v>42.47</v>
      </c>
      <c r="K1171" s="371">
        <v>3.25</v>
      </c>
      <c r="L1171" s="371">
        <v>8.2100000000000009</v>
      </c>
      <c r="N1171" s="365">
        <f t="shared" si="342"/>
        <v>53.93</v>
      </c>
      <c r="O1171" s="343">
        <f t="shared" si="335"/>
        <v>42.47</v>
      </c>
      <c r="P1171" s="195">
        <v>2</v>
      </c>
      <c r="Q1171" s="326" t="str">
        <f>IFERROR(VLOOKUP($G1171,主力整理!$A$2:$G$2301,6,0),"0")</f>
        <v>0</v>
      </c>
      <c r="R1171" s="111">
        <v>7</v>
      </c>
      <c r="S1171" s="51">
        <v>0</v>
      </c>
      <c r="T1171" s="339">
        <f t="shared" si="336"/>
        <v>9</v>
      </c>
      <c r="V1171" s="371">
        <v>0</v>
      </c>
      <c r="W1171" s="35">
        <v>1.5</v>
      </c>
      <c r="X1171" s="100">
        <v>2.06</v>
      </c>
      <c r="Y1171" s="37" t="str">
        <f>RTD("money.excel",,"6205","Price")</f>
        <v>無資料</v>
      </c>
      <c r="Z1171" s="69"/>
      <c r="AA1171" s="16" t="e">
        <f t="shared" si="337"/>
        <v>#VALUE!</v>
      </c>
      <c r="AB1171" s="3" t="e">
        <f t="shared" si="338"/>
        <v>#VALUE!</v>
      </c>
      <c r="AC1171" s="177" t="s">
        <v>2648</v>
      </c>
      <c r="AD1171" s="23" t="s">
        <v>725</v>
      </c>
      <c r="AG1171" s="34">
        <f t="shared" si="339"/>
        <v>0</v>
      </c>
      <c r="AH1171" s="44" t="s">
        <v>2961</v>
      </c>
      <c r="AI1171" s="131"/>
      <c r="AK1171" s="66">
        <f t="shared" si="340"/>
        <v>0</v>
      </c>
      <c r="AL1171" s="174">
        <f t="shared" si="341"/>
        <v>0</v>
      </c>
      <c r="AM1171" s="346">
        <f>RTD("money.excel",,$G1171,"PredictVolume")</f>
        <v>0</v>
      </c>
      <c r="AN1171" s="272">
        <f>RTD("money.excel",,$G1171,"CumulativeVolume")</f>
        <v>0</v>
      </c>
      <c r="AO1171" s="284"/>
    </row>
    <row r="1172" spans="1:41">
      <c r="A1172" s="151" t="s">
        <v>3573</v>
      </c>
      <c r="B1172" s="84">
        <v>70</v>
      </c>
      <c r="C1172" s="84">
        <v>146</v>
      </c>
      <c r="D1172" s="85">
        <v>-25</v>
      </c>
      <c r="E1172" s="84">
        <v>46</v>
      </c>
      <c r="F1172" s="7">
        <v>9.15</v>
      </c>
      <c r="G1172" s="85">
        <v>6207</v>
      </c>
      <c r="H1172" s="4" t="s">
        <v>559</v>
      </c>
      <c r="I1172" s="17" t="s">
        <v>575</v>
      </c>
      <c r="J1172" s="77">
        <v>21.06</v>
      </c>
      <c r="K1172" s="371">
        <v>2.12</v>
      </c>
      <c r="L1172" s="77">
        <v>8</v>
      </c>
      <c r="N1172" s="365">
        <f t="shared" si="342"/>
        <v>31.18</v>
      </c>
      <c r="O1172" s="343">
        <f t="shared" si="335"/>
        <v>21.06</v>
      </c>
      <c r="P1172" s="195">
        <v>3</v>
      </c>
      <c r="Q1172" s="326" t="str">
        <f>IFERROR(VLOOKUP($G1172,主力整理!$A$2:$G$2301,6,0),"0")</f>
        <v>0</v>
      </c>
      <c r="T1172" s="339">
        <f t="shared" si="336"/>
        <v>3</v>
      </c>
      <c r="V1172" s="371">
        <v>0</v>
      </c>
      <c r="W1172" s="35">
        <v>1.5</v>
      </c>
      <c r="X1172" s="100">
        <v>1.55</v>
      </c>
      <c r="Y1172" s="37" t="str">
        <f>RTD("money.excel",,"6207","Price")</f>
        <v>無資料</v>
      </c>
      <c r="Z1172" s="69"/>
      <c r="AA1172" s="16" t="e">
        <f t="shared" si="337"/>
        <v>#VALUE!</v>
      </c>
      <c r="AB1172" s="3" t="e">
        <f t="shared" si="338"/>
        <v>#VALUE!</v>
      </c>
      <c r="AC1172" s="177" t="s">
        <v>2648</v>
      </c>
      <c r="AD1172" s="17" t="s">
        <v>575</v>
      </c>
      <c r="AG1172" s="34">
        <f t="shared" si="339"/>
        <v>0</v>
      </c>
      <c r="AH1172" s="44" t="s">
        <v>3676</v>
      </c>
      <c r="AI1172" s="131"/>
      <c r="AK1172" s="66">
        <f t="shared" si="340"/>
        <v>0</v>
      </c>
      <c r="AL1172" s="174">
        <f t="shared" si="341"/>
        <v>0</v>
      </c>
      <c r="AM1172" s="346">
        <f>RTD("money.excel",,$G1172,"PredictVolume")</f>
        <v>0</v>
      </c>
      <c r="AN1172" s="272">
        <f>RTD("money.excel",,$G1172,"CumulativeVolume")</f>
        <v>0</v>
      </c>
      <c r="AO1172" s="284"/>
    </row>
    <row r="1173" spans="1:41">
      <c r="A1173" s="135" t="s">
        <v>2498</v>
      </c>
      <c r="B1173" s="84">
        <v>22</v>
      </c>
      <c r="C1173" s="85">
        <v>-8</v>
      </c>
      <c r="D1173" s="84">
        <v>40</v>
      </c>
      <c r="E1173" s="84">
        <v>91</v>
      </c>
      <c r="F1173" s="59">
        <v>10.31</v>
      </c>
      <c r="G1173" s="85">
        <v>6208</v>
      </c>
      <c r="H1173" s="4" t="s">
        <v>559</v>
      </c>
      <c r="I1173" s="17" t="s">
        <v>788</v>
      </c>
      <c r="J1173" s="77">
        <v>38.71</v>
      </c>
      <c r="K1173" s="371">
        <v>0.38</v>
      </c>
      <c r="L1173" s="371">
        <v>25.14</v>
      </c>
      <c r="N1173" s="365">
        <f t="shared" si="342"/>
        <v>64.23</v>
      </c>
      <c r="O1173" s="343">
        <f t="shared" si="335"/>
        <v>38.71</v>
      </c>
      <c r="P1173" s="195" t="s">
        <v>5554</v>
      </c>
      <c r="Q1173" s="326" t="str">
        <f>IFERROR(VLOOKUP($G1173,主力整理!$A$2:$G$2301,6,0),"0")</f>
        <v>0</v>
      </c>
      <c r="T1173" s="339">
        <f t="shared" si="336"/>
        <v>0</v>
      </c>
      <c r="V1173" s="371">
        <v>1.19</v>
      </c>
      <c r="W1173" s="35">
        <v>2</v>
      </c>
      <c r="X1173" s="100">
        <v>2.86</v>
      </c>
      <c r="Y1173" s="37" t="str">
        <f>RTD("money.excel",,"6208","Price")</f>
        <v>無資料</v>
      </c>
      <c r="Z1173" s="69"/>
      <c r="AA1173" s="16" t="e">
        <f t="shared" si="337"/>
        <v>#VALUE!</v>
      </c>
      <c r="AB1173" s="3" t="e">
        <f t="shared" si="338"/>
        <v>#VALUE!</v>
      </c>
      <c r="AD1173" s="17" t="s">
        <v>788</v>
      </c>
      <c r="AG1173" s="34">
        <f t="shared" si="339"/>
        <v>0</v>
      </c>
      <c r="AH1173" s="63" t="s">
        <v>4575</v>
      </c>
      <c r="AI1173" s="131"/>
      <c r="AK1173" s="66">
        <f t="shared" si="340"/>
        <v>0</v>
      </c>
      <c r="AL1173" s="174">
        <f t="shared" si="341"/>
        <v>0</v>
      </c>
      <c r="AM1173" s="346">
        <f>RTD("money.excel",,$G1173,"PredictVolume")</f>
        <v>0</v>
      </c>
      <c r="AN1173" s="272">
        <f>RTD("money.excel",,$G1173,"CumulativeVolume")</f>
        <v>0</v>
      </c>
      <c r="AO1173" s="284"/>
    </row>
    <row r="1174" spans="1:41">
      <c r="A1174" s="135" t="s">
        <v>4621</v>
      </c>
      <c r="B1174" s="85">
        <v>-7</v>
      </c>
      <c r="C1174" s="85">
        <v>-11</v>
      </c>
      <c r="D1174" s="84">
        <v>2</v>
      </c>
      <c r="E1174" s="84">
        <v>23</v>
      </c>
      <c r="F1174" s="59">
        <v>15.14</v>
      </c>
      <c r="G1174" s="85">
        <v>6210</v>
      </c>
      <c r="H1174" s="4" t="s">
        <v>559</v>
      </c>
      <c r="I1174" s="17" t="s">
        <v>789</v>
      </c>
      <c r="J1174" s="77">
        <v>43.19</v>
      </c>
      <c r="K1174" s="371">
        <v>0.08</v>
      </c>
      <c r="L1174" s="371">
        <v>1.06</v>
      </c>
      <c r="N1174" s="365">
        <f t="shared" si="342"/>
        <v>44.33</v>
      </c>
      <c r="O1174" s="343">
        <f t="shared" si="335"/>
        <v>43.19</v>
      </c>
      <c r="P1174" s="195">
        <v>0</v>
      </c>
      <c r="Q1174" s="326" t="str">
        <f>IFERROR(VLOOKUP($G1174,主力整理!$A$2:$G$2301,6,0),"0")</f>
        <v>0</v>
      </c>
      <c r="R1174" s="111">
        <v>1</v>
      </c>
      <c r="S1174" s="51">
        <v>0</v>
      </c>
      <c r="T1174" s="339">
        <f t="shared" si="336"/>
        <v>1</v>
      </c>
      <c r="V1174" s="371">
        <v>0</v>
      </c>
      <c r="W1174" s="69">
        <v>3</v>
      </c>
      <c r="X1174" s="100">
        <v>3.08</v>
      </c>
      <c r="Y1174" s="37" t="str">
        <f>RTD("money.excel",,"6210","Price")</f>
        <v>無資料</v>
      </c>
      <c r="Z1174" s="69"/>
      <c r="AA1174" s="16" t="e">
        <f t="shared" si="337"/>
        <v>#VALUE!</v>
      </c>
      <c r="AB1174" s="3" t="e">
        <f t="shared" si="338"/>
        <v>#VALUE!</v>
      </c>
      <c r="AC1174" s="177" t="s">
        <v>2700</v>
      </c>
      <c r="AD1174" s="17" t="s">
        <v>789</v>
      </c>
      <c r="AG1174" s="34">
        <f t="shared" si="339"/>
        <v>0</v>
      </c>
      <c r="AH1174" s="63" t="s">
        <v>1685</v>
      </c>
      <c r="AI1174" s="131"/>
      <c r="AK1174" s="66">
        <f t="shared" si="340"/>
        <v>0</v>
      </c>
      <c r="AL1174" s="174">
        <f t="shared" si="341"/>
        <v>0</v>
      </c>
      <c r="AM1174" s="346">
        <f>RTD("money.excel",,$G1174,"PredictVolume")</f>
        <v>0</v>
      </c>
      <c r="AN1174" s="272">
        <f>RTD("money.excel",,$G1174,"CumulativeVolume")</f>
        <v>0</v>
      </c>
      <c r="AO1174" s="284"/>
    </row>
    <row r="1175" spans="1:41">
      <c r="A1175" s="135" t="s">
        <v>5533</v>
      </c>
      <c r="B1175" s="84">
        <v>20</v>
      </c>
      <c r="C1175" s="84">
        <v>20</v>
      </c>
      <c r="D1175" s="84">
        <v>7</v>
      </c>
      <c r="E1175" s="84">
        <v>60</v>
      </c>
      <c r="F1175" s="59">
        <v>12.91</v>
      </c>
      <c r="G1175" s="85">
        <v>6213</v>
      </c>
      <c r="H1175" s="53" t="s">
        <v>559</v>
      </c>
      <c r="I1175" s="23" t="s">
        <v>114</v>
      </c>
      <c r="J1175" s="77">
        <v>72.2</v>
      </c>
      <c r="K1175" s="77">
        <v>13.98</v>
      </c>
      <c r="L1175" s="371">
        <v>5.23</v>
      </c>
      <c r="N1175" s="365">
        <f t="shared" si="342"/>
        <v>91.410000000000011</v>
      </c>
      <c r="O1175" s="343">
        <f t="shared" si="335"/>
        <v>72.2</v>
      </c>
      <c r="P1175" s="232">
        <v>15</v>
      </c>
      <c r="Q1175" s="326">
        <f>IFERROR(VLOOKUP($G1175,主力整理!$A$2:$G$2301,6,0),"0")</f>
        <v>7</v>
      </c>
      <c r="R1175" s="111">
        <v>4</v>
      </c>
      <c r="S1175" s="51">
        <v>15</v>
      </c>
      <c r="T1175" s="339">
        <f t="shared" si="336"/>
        <v>41</v>
      </c>
      <c r="V1175" s="371">
        <v>9.64</v>
      </c>
      <c r="W1175" s="69">
        <v>5</v>
      </c>
      <c r="X1175" s="59">
        <v>8.83</v>
      </c>
      <c r="Y1175" s="37" t="str">
        <f>RTD("money.excel",,"6213","Price")</f>
        <v>無資料</v>
      </c>
      <c r="Z1175" s="69"/>
      <c r="AA1175" s="16" t="e">
        <f t="shared" si="337"/>
        <v>#VALUE!</v>
      </c>
      <c r="AB1175" s="3" t="e">
        <f t="shared" si="338"/>
        <v>#VALUE!</v>
      </c>
      <c r="AC1175" s="177" t="s">
        <v>2929</v>
      </c>
      <c r="AD1175" s="23" t="s">
        <v>114</v>
      </c>
      <c r="AG1175" s="34">
        <f t="shared" si="339"/>
        <v>0</v>
      </c>
      <c r="AH1175" s="126" t="s">
        <v>5222</v>
      </c>
      <c r="AI1175" s="27"/>
      <c r="AK1175" s="66">
        <f t="shared" si="340"/>
        <v>0</v>
      </c>
      <c r="AL1175" s="174">
        <f t="shared" si="341"/>
        <v>0</v>
      </c>
      <c r="AM1175" s="346">
        <f>RTD("money.excel",,$G1175,"PredictVolume")</f>
        <v>0</v>
      </c>
      <c r="AN1175" s="272">
        <f>RTD("money.excel",,$G1175,"CumulativeVolume")</f>
        <v>0</v>
      </c>
      <c r="AO1175" s="31"/>
    </row>
    <row r="1176" spans="1:41">
      <c r="A1176" s="151" t="s">
        <v>2208</v>
      </c>
      <c r="B1176" s="85">
        <v>-52</v>
      </c>
      <c r="C1176" s="85">
        <v>-33</v>
      </c>
      <c r="D1176" s="84">
        <v>14</v>
      </c>
      <c r="E1176" s="84">
        <v>56</v>
      </c>
      <c r="F1176" s="7">
        <v>3.55</v>
      </c>
      <c r="G1176" s="85">
        <v>6217</v>
      </c>
      <c r="H1176" s="4" t="s">
        <v>559</v>
      </c>
      <c r="I1176" s="17" t="s">
        <v>292</v>
      </c>
      <c r="J1176" s="371">
        <v>10.8</v>
      </c>
      <c r="K1176" s="371">
        <v>1.66</v>
      </c>
      <c r="L1176" s="77">
        <v>27.46</v>
      </c>
      <c r="N1176" s="365">
        <f t="shared" si="342"/>
        <v>39.92</v>
      </c>
      <c r="O1176" s="343">
        <f t="shared" si="335"/>
        <v>10.8</v>
      </c>
      <c r="P1176" s="195" t="s">
        <v>5554</v>
      </c>
      <c r="Q1176" s="326">
        <f>IFERROR(VLOOKUP($G1176,主力整理!$A$2:$G$2301,6,0),"0")</f>
        <v>4</v>
      </c>
      <c r="T1176" s="339">
        <f t="shared" si="336"/>
        <v>4</v>
      </c>
      <c r="V1176" s="371">
        <v>0.97</v>
      </c>
      <c r="W1176" s="35">
        <v>1.05</v>
      </c>
      <c r="X1176" s="100">
        <v>1.48</v>
      </c>
      <c r="Y1176" s="37" t="str">
        <f>RTD("money.excel",,"6217","Price")</f>
        <v>無資料</v>
      </c>
      <c r="Z1176" s="69"/>
      <c r="AA1176" s="16" t="e">
        <f t="shared" si="337"/>
        <v>#VALUE!</v>
      </c>
      <c r="AB1176" s="3" t="e">
        <f t="shared" si="338"/>
        <v>#VALUE!</v>
      </c>
      <c r="AD1176" s="17" t="s">
        <v>292</v>
      </c>
      <c r="AG1176" s="34">
        <f t="shared" si="339"/>
        <v>0</v>
      </c>
      <c r="AH1176" s="125" t="s">
        <v>3681</v>
      </c>
      <c r="AI1176" s="284"/>
      <c r="AK1176" s="66">
        <f t="shared" si="340"/>
        <v>0</v>
      </c>
      <c r="AL1176" s="174">
        <f t="shared" si="341"/>
        <v>0</v>
      </c>
      <c r="AM1176" s="346">
        <f>RTD("money.excel",,$G1176,"PredictVolume")</f>
        <v>0</v>
      </c>
      <c r="AN1176" s="272">
        <f>RTD("money.excel",,$G1176,"CumulativeVolume")</f>
        <v>0</v>
      </c>
      <c r="AO1176" s="284"/>
    </row>
    <row r="1177" spans="1:41">
      <c r="A1177" s="151" t="s">
        <v>2566</v>
      </c>
      <c r="B1177" s="84">
        <v>25</v>
      </c>
      <c r="C1177" s="84">
        <v>24</v>
      </c>
      <c r="D1177" s="84">
        <v>10</v>
      </c>
      <c r="E1177" s="85">
        <v>-10</v>
      </c>
      <c r="F1177" s="7">
        <v>3.79</v>
      </c>
      <c r="G1177" s="85">
        <v>6220</v>
      </c>
      <c r="H1177" s="4" t="s">
        <v>559</v>
      </c>
      <c r="I1177" s="17" t="s">
        <v>393</v>
      </c>
      <c r="J1177" s="77">
        <v>44.07</v>
      </c>
      <c r="K1177" s="77">
        <v>3.24</v>
      </c>
      <c r="L1177" s="371">
        <v>14.4</v>
      </c>
      <c r="N1177" s="365">
        <f t="shared" si="342"/>
        <v>61.71</v>
      </c>
      <c r="O1177" s="343">
        <f t="shared" si="335"/>
        <v>44.07</v>
      </c>
      <c r="P1177" s="195" t="s">
        <v>5554</v>
      </c>
      <c r="Q1177" s="326" t="str">
        <f>IFERROR(VLOOKUP($G1177,主力整理!$A$2:$G$2301,6,0),"0")</f>
        <v>0</v>
      </c>
      <c r="T1177" s="339">
        <f t="shared" si="336"/>
        <v>0</v>
      </c>
      <c r="V1177" s="371">
        <v>2.0499999999999998</v>
      </c>
      <c r="W1177" s="35">
        <v>1</v>
      </c>
      <c r="X1177" s="100">
        <v>2.4300000000000002</v>
      </c>
      <c r="Y1177" s="37" t="str">
        <f>RTD("money.excel",,"6220","Price")</f>
        <v>無資料</v>
      </c>
      <c r="Z1177" s="69"/>
      <c r="AA1177" s="16" t="e">
        <f t="shared" si="337"/>
        <v>#VALUE!</v>
      </c>
      <c r="AB1177" s="3" t="e">
        <f t="shared" si="338"/>
        <v>#VALUE!</v>
      </c>
      <c r="AC1177" s="177" t="s">
        <v>2648</v>
      </c>
      <c r="AD1177" s="17" t="s">
        <v>393</v>
      </c>
      <c r="AG1177" s="34">
        <f t="shared" si="339"/>
        <v>0</v>
      </c>
      <c r="AH1177" s="125" t="s">
        <v>3817</v>
      </c>
      <c r="AI1177" s="131"/>
      <c r="AK1177" s="66">
        <f t="shared" si="340"/>
        <v>0</v>
      </c>
      <c r="AL1177" s="174">
        <f t="shared" si="341"/>
        <v>0</v>
      </c>
      <c r="AM1177" s="346">
        <f>RTD("money.excel",,$G1177,"PredictVolume")</f>
        <v>0</v>
      </c>
      <c r="AN1177" s="272">
        <f>RTD("money.excel",,$G1177,"CumulativeVolume")</f>
        <v>0</v>
      </c>
      <c r="AO1177" s="284"/>
    </row>
    <row r="1178" spans="1:41">
      <c r="A1178" s="135" t="s">
        <v>2625</v>
      </c>
      <c r="B1178" s="84">
        <v>57</v>
      </c>
      <c r="C1178" s="84">
        <v>80</v>
      </c>
      <c r="D1178" s="85">
        <v>-6</v>
      </c>
      <c r="E1178" s="84">
        <v>110</v>
      </c>
      <c r="F1178" s="59">
        <v>22.71</v>
      </c>
      <c r="G1178" s="85">
        <v>6224</v>
      </c>
      <c r="H1178" s="54" t="s">
        <v>559</v>
      </c>
      <c r="I1178" s="23" t="s">
        <v>420</v>
      </c>
      <c r="J1178" s="77">
        <v>27.11</v>
      </c>
      <c r="K1178" s="371">
        <v>10.68</v>
      </c>
      <c r="L1178" s="371">
        <v>18.329999999999998</v>
      </c>
      <c r="N1178" s="365">
        <f t="shared" si="342"/>
        <v>56.12</v>
      </c>
      <c r="O1178" s="343">
        <f t="shared" si="335"/>
        <v>27.11</v>
      </c>
      <c r="P1178" s="195">
        <v>6</v>
      </c>
      <c r="Q1178" s="326">
        <v>5</v>
      </c>
      <c r="R1178" s="111">
        <v>11</v>
      </c>
      <c r="S1178" s="51">
        <v>4</v>
      </c>
      <c r="T1178" s="339">
        <f t="shared" si="336"/>
        <v>26</v>
      </c>
      <c r="V1178" s="371">
        <v>3.11</v>
      </c>
      <c r="W1178" s="69">
        <v>4.25</v>
      </c>
      <c r="X1178" s="100">
        <v>6.39</v>
      </c>
      <c r="Y1178" s="37" t="str">
        <f>RTD("money.excel",,"6224","Price")</f>
        <v>無資料</v>
      </c>
      <c r="Z1178" s="69"/>
      <c r="AA1178" s="16" t="e">
        <f t="shared" si="337"/>
        <v>#VALUE!</v>
      </c>
      <c r="AB1178" s="3" t="e">
        <f t="shared" si="338"/>
        <v>#VALUE!</v>
      </c>
      <c r="AC1178" s="177" t="s">
        <v>2929</v>
      </c>
      <c r="AD1178" s="23" t="s">
        <v>420</v>
      </c>
      <c r="AG1178" s="34">
        <f t="shared" si="339"/>
        <v>0</v>
      </c>
      <c r="AH1178" s="50" t="s">
        <v>4970</v>
      </c>
      <c r="AI1178" s="131"/>
      <c r="AK1178" s="66">
        <f t="shared" si="340"/>
        <v>0</v>
      </c>
      <c r="AL1178" s="174">
        <f t="shared" si="341"/>
        <v>0</v>
      </c>
      <c r="AM1178" s="346">
        <f>RTD("money.excel",,$G1178,"PredictVolume")</f>
        <v>0</v>
      </c>
      <c r="AN1178" s="272">
        <f>RTD("money.excel",,$G1178,"CumulativeVolume")</f>
        <v>0</v>
      </c>
      <c r="AO1178" s="284"/>
    </row>
    <row r="1179" spans="1:41">
      <c r="A1179" s="151" t="s">
        <v>3628</v>
      </c>
      <c r="B1179" s="85">
        <v>-96</v>
      </c>
      <c r="C1179" s="85">
        <v>-74</v>
      </c>
      <c r="D1179" s="85">
        <v>-8</v>
      </c>
      <c r="E1179" s="84">
        <v>31</v>
      </c>
      <c r="F1179" s="7">
        <v>1.02</v>
      </c>
      <c r="G1179" s="85">
        <v>6251</v>
      </c>
      <c r="H1179" s="54" t="s">
        <v>559</v>
      </c>
      <c r="I1179" s="23" t="s">
        <v>726</v>
      </c>
      <c r="J1179" s="371">
        <v>21.4</v>
      </c>
      <c r="K1179" s="77">
        <v>9.16</v>
      </c>
      <c r="L1179" s="371">
        <v>20.49</v>
      </c>
      <c r="N1179" s="365">
        <f t="shared" si="342"/>
        <v>51.05</v>
      </c>
      <c r="O1179" s="343">
        <f t="shared" si="335"/>
        <v>21.4</v>
      </c>
      <c r="P1179" s="195">
        <v>2</v>
      </c>
      <c r="Q1179" s="326">
        <f>IFERROR(VLOOKUP($G1179,主力整理!$A$2:$G$2301,6,0),"0")</f>
        <v>5</v>
      </c>
      <c r="T1179" s="339">
        <f t="shared" si="336"/>
        <v>7</v>
      </c>
      <c r="V1179" s="371">
        <v>0.34</v>
      </c>
      <c r="W1179" s="35">
        <v>0.4</v>
      </c>
      <c r="X1179" s="100">
        <v>0.54</v>
      </c>
      <c r="Y1179" s="37" t="str">
        <f>RTD("money.excel",,"6251","Price")</f>
        <v>無資料</v>
      </c>
      <c r="Z1179" s="69"/>
      <c r="AA1179" s="16" t="e">
        <f t="shared" si="337"/>
        <v>#VALUE!</v>
      </c>
      <c r="AB1179" s="3" t="e">
        <f t="shared" si="338"/>
        <v>#VALUE!</v>
      </c>
      <c r="AC1179" s="177" t="s">
        <v>2648</v>
      </c>
      <c r="AD1179" s="23" t="s">
        <v>726</v>
      </c>
      <c r="AG1179" s="34">
        <f t="shared" si="339"/>
        <v>0</v>
      </c>
      <c r="AH1179" s="44" t="s">
        <v>1685</v>
      </c>
      <c r="AI1179" s="131"/>
      <c r="AK1179" s="66">
        <f t="shared" si="340"/>
        <v>0</v>
      </c>
      <c r="AL1179" s="174">
        <f t="shared" si="341"/>
        <v>0</v>
      </c>
      <c r="AM1179" s="346">
        <f>RTD("money.excel",,$G1179,"PredictVolume")</f>
        <v>0</v>
      </c>
      <c r="AN1179" s="272">
        <f>RTD("money.excel",,$G1179,"CumulativeVolume")</f>
        <v>0</v>
      </c>
      <c r="AO1179" s="284"/>
    </row>
    <row r="1180" spans="1:41">
      <c r="A1180" s="151" t="s">
        <v>4628</v>
      </c>
      <c r="B1180" s="96">
        <v>-104</v>
      </c>
      <c r="C1180" s="96">
        <v>83</v>
      </c>
      <c r="D1180" s="96">
        <v>10</v>
      </c>
      <c r="E1180" s="96">
        <v>5</v>
      </c>
      <c r="F1180" s="7">
        <v>-5.04</v>
      </c>
      <c r="G1180" s="85">
        <v>6259</v>
      </c>
      <c r="H1180" s="4" t="s">
        <v>559</v>
      </c>
      <c r="I1180" s="17" t="s">
        <v>790</v>
      </c>
      <c r="J1180" s="77">
        <v>66.77</v>
      </c>
      <c r="K1180" s="77">
        <v>53.82</v>
      </c>
      <c r="N1180" s="365">
        <f t="shared" si="342"/>
        <v>120.59</v>
      </c>
      <c r="O1180" s="343">
        <f t="shared" si="335"/>
        <v>66.77</v>
      </c>
      <c r="P1180" s="195" t="s">
        <v>5554</v>
      </c>
      <c r="Q1180" s="326" t="str">
        <f>IFERROR(VLOOKUP($G1180,主力整理!$A$2:$G$2301,6,0),"0")</f>
        <v>0</v>
      </c>
      <c r="T1180" s="339">
        <f t="shared" si="336"/>
        <v>0</v>
      </c>
      <c r="V1180" s="371">
        <v>19.34</v>
      </c>
      <c r="W1180" s="35">
        <v>0</v>
      </c>
      <c r="X1180" s="59">
        <v>0.13</v>
      </c>
      <c r="Y1180" s="14" t="str">
        <f>RTD("money.excel",,"6259","Price")</f>
        <v>無資料</v>
      </c>
      <c r="Z1180" s="69"/>
      <c r="AA1180" s="16" t="e">
        <f t="shared" si="337"/>
        <v>#VALUE!</v>
      </c>
      <c r="AB1180" s="3" t="e">
        <f t="shared" si="338"/>
        <v>#VALUE!</v>
      </c>
      <c r="AD1180" s="17" t="s">
        <v>790</v>
      </c>
      <c r="AG1180" s="34">
        <f t="shared" si="339"/>
        <v>0</v>
      </c>
      <c r="AH1180" s="44" t="s">
        <v>3822</v>
      </c>
      <c r="AI1180" s="131"/>
      <c r="AK1180" s="66">
        <f t="shared" si="340"/>
        <v>0</v>
      </c>
      <c r="AL1180" s="174">
        <f t="shared" si="341"/>
        <v>0</v>
      </c>
      <c r="AM1180" s="346">
        <f>RTD("money.excel",,$G1180,"PredictVolume")</f>
        <v>0</v>
      </c>
      <c r="AN1180" s="272">
        <f>RTD("money.excel",,$G1180,"CumulativeVolume")</f>
        <v>0</v>
      </c>
      <c r="AO1180" s="284"/>
    </row>
    <row r="1181" spans="1:41">
      <c r="A1181" s="151" t="s">
        <v>2668</v>
      </c>
      <c r="B1181" s="85">
        <v>-10</v>
      </c>
      <c r="C1181" s="85">
        <v>-15</v>
      </c>
      <c r="D1181" s="84">
        <v>14</v>
      </c>
      <c r="E1181" s="84">
        <v>32</v>
      </c>
      <c r="F1181" s="7">
        <v>7.54</v>
      </c>
      <c r="G1181" s="85">
        <v>6266</v>
      </c>
      <c r="H1181" s="4" t="s">
        <v>559</v>
      </c>
      <c r="I1181" s="17" t="s">
        <v>791</v>
      </c>
      <c r="J1181" s="371">
        <v>40.24</v>
      </c>
      <c r="K1181" s="371">
        <v>5.64</v>
      </c>
      <c r="L1181" s="371">
        <v>3.39</v>
      </c>
      <c r="M1181" s="77">
        <v>16.11</v>
      </c>
      <c r="N1181" s="365">
        <f t="shared" si="342"/>
        <v>65.38</v>
      </c>
      <c r="O1181" s="343">
        <f t="shared" si="335"/>
        <v>56.35</v>
      </c>
      <c r="P1181" s="195">
        <v>0</v>
      </c>
      <c r="Q1181" s="326">
        <v>1</v>
      </c>
      <c r="R1181" s="111">
        <v>2</v>
      </c>
      <c r="S1181" s="51">
        <v>1</v>
      </c>
      <c r="T1181" s="339">
        <f t="shared" si="336"/>
        <v>4</v>
      </c>
      <c r="U1181" s="329" t="s">
        <v>6539</v>
      </c>
      <c r="V1181" s="371">
        <v>0.03</v>
      </c>
      <c r="W1181" s="35">
        <v>1.38</v>
      </c>
      <c r="X1181" s="100">
        <v>1.33</v>
      </c>
      <c r="Y1181" s="37" t="str">
        <f>RTD("money.excel",,"6266","Price")</f>
        <v>無資料</v>
      </c>
      <c r="Z1181" s="69"/>
      <c r="AA1181" s="16" t="e">
        <f t="shared" si="337"/>
        <v>#VALUE!</v>
      </c>
      <c r="AB1181" s="3" t="e">
        <f t="shared" si="338"/>
        <v>#VALUE!</v>
      </c>
      <c r="AD1181" s="17" t="s">
        <v>791</v>
      </c>
      <c r="AG1181" s="34">
        <f t="shared" si="339"/>
        <v>0</v>
      </c>
      <c r="AH1181" s="44" t="s">
        <v>3823</v>
      </c>
      <c r="AI1181" s="131"/>
      <c r="AK1181" s="66">
        <f t="shared" si="340"/>
        <v>0</v>
      </c>
      <c r="AL1181" s="174">
        <f t="shared" si="341"/>
        <v>0</v>
      </c>
      <c r="AM1181" s="346">
        <f>RTD("money.excel",,$G1181,"PredictVolume")</f>
        <v>0</v>
      </c>
      <c r="AN1181" s="272">
        <f>RTD("money.excel",,$G1181,"CumulativeVolume")</f>
        <v>0</v>
      </c>
      <c r="AO1181" s="284"/>
    </row>
    <row r="1182" spans="1:41">
      <c r="A1182" s="151" t="s">
        <v>6317</v>
      </c>
      <c r="B1182" s="85">
        <v>-28</v>
      </c>
      <c r="C1182" s="85">
        <v>-33</v>
      </c>
      <c r="D1182" s="84">
        <v>5</v>
      </c>
      <c r="E1182" s="84">
        <v>5</v>
      </c>
      <c r="F1182" s="7">
        <v>5.01</v>
      </c>
      <c r="G1182" s="85">
        <v>6269</v>
      </c>
      <c r="H1182" s="54" t="s">
        <v>559</v>
      </c>
      <c r="I1182" s="23" t="s">
        <v>95</v>
      </c>
      <c r="J1182" s="371">
        <v>46.56</v>
      </c>
      <c r="K1182" s="371">
        <v>24.85</v>
      </c>
      <c r="L1182" s="77">
        <v>14.03</v>
      </c>
      <c r="N1182" s="365">
        <f t="shared" si="342"/>
        <v>85.44</v>
      </c>
      <c r="O1182" s="343">
        <f t="shared" si="335"/>
        <v>46.56</v>
      </c>
      <c r="P1182" s="195">
        <v>12</v>
      </c>
      <c r="Q1182" s="326">
        <v>13</v>
      </c>
      <c r="R1182" s="111">
        <v>3</v>
      </c>
      <c r="S1182" s="51">
        <v>10</v>
      </c>
      <c r="T1182" s="339">
        <f t="shared" si="336"/>
        <v>38</v>
      </c>
      <c r="V1182" s="371">
        <v>1.78</v>
      </c>
      <c r="W1182" s="69">
        <v>5.12</v>
      </c>
      <c r="X1182" s="100">
        <v>7.68</v>
      </c>
      <c r="Y1182" s="37" t="str">
        <f>RTD("money.excel",,"6269","Price")</f>
        <v>無資料</v>
      </c>
      <c r="Z1182" s="69"/>
      <c r="AA1182" s="16" t="e">
        <f t="shared" si="337"/>
        <v>#VALUE!</v>
      </c>
      <c r="AB1182" s="3" t="e">
        <f t="shared" si="338"/>
        <v>#VALUE!</v>
      </c>
      <c r="AC1182" s="177" t="s">
        <v>2929</v>
      </c>
      <c r="AD1182" s="23" t="s">
        <v>95</v>
      </c>
      <c r="AG1182" s="34">
        <f t="shared" si="339"/>
        <v>0</v>
      </c>
      <c r="AH1182" s="125" t="s">
        <v>3801</v>
      </c>
      <c r="AI1182" s="131"/>
      <c r="AK1182" s="66">
        <f t="shared" si="340"/>
        <v>0</v>
      </c>
      <c r="AL1182" s="174">
        <f t="shared" si="341"/>
        <v>0</v>
      </c>
      <c r="AM1182" s="346">
        <f>RTD("money.excel",,$G1182,"PredictVolume")</f>
        <v>0</v>
      </c>
      <c r="AN1182" s="272">
        <f>RTD("money.excel",,$G1182,"CumulativeVolume")</f>
        <v>0</v>
      </c>
      <c r="AO1182" s="284"/>
    </row>
    <row r="1183" spans="1:41">
      <c r="A1183" s="151" t="s">
        <v>2955</v>
      </c>
      <c r="B1183" s="85">
        <v>-19</v>
      </c>
      <c r="C1183" s="85">
        <v>-15</v>
      </c>
      <c r="D1183" s="84">
        <v>2</v>
      </c>
      <c r="E1183" s="85">
        <v>-5</v>
      </c>
      <c r="F1183" s="7">
        <v>9.98</v>
      </c>
      <c r="G1183" s="85">
        <v>6274</v>
      </c>
      <c r="H1183" s="4" t="s">
        <v>559</v>
      </c>
      <c r="I1183" s="17" t="s">
        <v>482</v>
      </c>
      <c r="J1183" s="371">
        <v>66.14</v>
      </c>
      <c r="K1183" s="371">
        <v>52.43</v>
      </c>
      <c r="L1183" s="371">
        <v>3.92</v>
      </c>
      <c r="N1183" s="365">
        <f t="shared" si="342"/>
        <v>122.49</v>
      </c>
      <c r="O1183" s="343">
        <f t="shared" si="335"/>
        <v>66.14</v>
      </c>
      <c r="P1183" s="195">
        <v>6</v>
      </c>
      <c r="Q1183" s="326">
        <f>IFERROR(VLOOKUP($G1183,主力整理!$A$2:$G$2301,6,0),"0")</f>
        <v>7</v>
      </c>
      <c r="R1183" s="111">
        <v>2</v>
      </c>
      <c r="T1183" s="339">
        <f t="shared" si="336"/>
        <v>15</v>
      </c>
      <c r="V1183" s="371">
        <v>0.04</v>
      </c>
      <c r="W1183" s="69">
        <v>4.8</v>
      </c>
      <c r="X1183" s="59">
        <v>6.36</v>
      </c>
      <c r="Y1183" s="14" t="str">
        <f>RTD("money.excel",,"6274","Price")</f>
        <v>無資料</v>
      </c>
      <c r="Z1183" s="69"/>
      <c r="AA1183" s="16" t="e">
        <f t="shared" si="337"/>
        <v>#VALUE!</v>
      </c>
      <c r="AB1183" s="3" t="e">
        <f t="shared" si="338"/>
        <v>#VALUE!</v>
      </c>
      <c r="AC1183" s="177" t="s">
        <v>2929</v>
      </c>
      <c r="AD1183" s="17" t="s">
        <v>482</v>
      </c>
      <c r="AG1183" s="34">
        <f t="shared" si="339"/>
        <v>0</v>
      </c>
      <c r="AH1183" s="125" t="s">
        <v>5222</v>
      </c>
      <c r="AI1183" s="131"/>
      <c r="AK1183" s="66">
        <f t="shared" si="340"/>
        <v>0</v>
      </c>
      <c r="AL1183" s="174">
        <f t="shared" si="341"/>
        <v>0</v>
      </c>
      <c r="AM1183" s="346">
        <f>RTD("money.excel",,$G1183,"PredictVolume")</f>
        <v>0</v>
      </c>
      <c r="AN1183" s="272">
        <f>RTD("money.excel",,$G1183,"CumulativeVolume")</f>
        <v>0</v>
      </c>
      <c r="AO1183" s="284"/>
    </row>
    <row r="1184" spans="1:41">
      <c r="A1184" s="135" t="s">
        <v>3242</v>
      </c>
      <c r="B1184" s="84">
        <v>118</v>
      </c>
      <c r="C1184" s="84">
        <v>115</v>
      </c>
      <c r="D1184" s="84">
        <v>5</v>
      </c>
      <c r="E1184" s="84">
        <v>16</v>
      </c>
      <c r="F1184" s="59">
        <v>20.75</v>
      </c>
      <c r="G1184" s="85">
        <v>6279</v>
      </c>
      <c r="H1184" s="4" t="s">
        <v>559</v>
      </c>
      <c r="I1184" s="17" t="s">
        <v>78</v>
      </c>
      <c r="J1184" s="371">
        <v>46.53</v>
      </c>
      <c r="K1184" s="77">
        <v>17.239999999999998</v>
      </c>
      <c r="L1184" s="371">
        <v>11.52</v>
      </c>
      <c r="M1184" s="77">
        <v>22.88</v>
      </c>
      <c r="N1184" s="365">
        <f t="shared" si="342"/>
        <v>98.169999999999987</v>
      </c>
      <c r="O1184" s="343">
        <f t="shared" si="335"/>
        <v>69.41</v>
      </c>
      <c r="P1184" s="195">
        <v>8</v>
      </c>
      <c r="Q1184" s="326">
        <v>16</v>
      </c>
      <c r="R1184" s="111">
        <v>22</v>
      </c>
      <c r="S1184" s="51">
        <v>20</v>
      </c>
      <c r="T1184" s="339">
        <f t="shared" si="336"/>
        <v>66</v>
      </c>
      <c r="U1184" s="329" t="s">
        <v>6539</v>
      </c>
      <c r="V1184" s="371">
        <v>1.18</v>
      </c>
      <c r="W1184" s="69">
        <v>4</v>
      </c>
      <c r="X1184" s="100">
        <v>8.6</v>
      </c>
      <c r="Y1184" s="37" t="str">
        <f>RTD("money.excel",,"6279","Price")</f>
        <v>無資料</v>
      </c>
      <c r="Z1184" s="69"/>
      <c r="AA1184" s="16" t="e">
        <f t="shared" si="337"/>
        <v>#VALUE!</v>
      </c>
      <c r="AB1184" s="3" t="e">
        <f t="shared" si="338"/>
        <v>#VALUE!</v>
      </c>
      <c r="AC1184" s="177" t="s">
        <v>2929</v>
      </c>
      <c r="AD1184" s="17" t="s">
        <v>78</v>
      </c>
      <c r="AG1184" s="34">
        <f t="shared" si="339"/>
        <v>0</v>
      </c>
      <c r="AH1184" s="126" t="s">
        <v>3496</v>
      </c>
      <c r="AI1184" s="131"/>
      <c r="AK1184" s="66">
        <f t="shared" si="340"/>
        <v>0</v>
      </c>
      <c r="AL1184" s="174">
        <f t="shared" si="341"/>
        <v>0</v>
      </c>
      <c r="AM1184" s="346">
        <f>RTD("money.excel",,$G1184,"PredictVolume")</f>
        <v>0</v>
      </c>
      <c r="AN1184" s="272">
        <f>RTD("money.excel",,$G1184,"CumulativeVolume")</f>
        <v>0</v>
      </c>
      <c r="AO1184" s="284"/>
    </row>
    <row r="1185" spans="1:41">
      <c r="A1185" s="151" t="s">
        <v>3316</v>
      </c>
      <c r="B1185" s="85">
        <v>-1</v>
      </c>
      <c r="C1185" s="84">
        <v>118</v>
      </c>
      <c r="D1185" s="85">
        <v>-6</v>
      </c>
      <c r="E1185" s="84">
        <v>11</v>
      </c>
      <c r="F1185" s="7">
        <v>2.62</v>
      </c>
      <c r="G1185" s="85">
        <v>6282</v>
      </c>
      <c r="H1185" s="54" t="s">
        <v>559</v>
      </c>
      <c r="I1185" s="24" t="s">
        <v>447</v>
      </c>
      <c r="J1185" s="77">
        <v>41.47</v>
      </c>
      <c r="K1185" s="77">
        <v>11.95</v>
      </c>
      <c r="L1185" s="77">
        <v>10.86</v>
      </c>
      <c r="N1185" s="365">
        <f t="shared" si="342"/>
        <v>64.28</v>
      </c>
      <c r="O1185" s="343">
        <f t="shared" si="335"/>
        <v>41.47</v>
      </c>
      <c r="P1185" s="195">
        <v>5</v>
      </c>
      <c r="Q1185" s="326">
        <f>IFERROR(VLOOKUP($G1185,主力整理!$A$2:$G$2301,6,0),"0")</f>
        <v>6</v>
      </c>
      <c r="T1185" s="339">
        <f t="shared" si="336"/>
        <v>11</v>
      </c>
      <c r="V1185" s="371">
        <v>0.32</v>
      </c>
      <c r="W1185" s="35">
        <v>1.1000000000000001</v>
      </c>
      <c r="X1185" s="100">
        <v>2.54</v>
      </c>
      <c r="Y1185" s="37" t="str">
        <f>RTD("money.excel",,"6282","Price")</f>
        <v>無資料</v>
      </c>
      <c r="Z1185" s="69"/>
      <c r="AA1185" s="16" t="e">
        <f t="shared" si="337"/>
        <v>#VALUE!</v>
      </c>
      <c r="AB1185" s="3" t="e">
        <f t="shared" si="338"/>
        <v>#VALUE!</v>
      </c>
      <c r="AC1185" s="177" t="s">
        <v>2648</v>
      </c>
      <c r="AD1185" s="24" t="s">
        <v>447</v>
      </c>
      <c r="AG1185" s="34">
        <f t="shared" si="339"/>
        <v>0</v>
      </c>
      <c r="AH1185" s="127" t="s">
        <v>4959</v>
      </c>
      <c r="AI1185" s="236"/>
      <c r="AK1185" s="66">
        <f t="shared" si="340"/>
        <v>0</v>
      </c>
      <c r="AL1185" s="174">
        <f t="shared" si="341"/>
        <v>0</v>
      </c>
      <c r="AM1185" s="346">
        <f>RTD("money.excel",,$G1185,"PredictVolume")</f>
        <v>0</v>
      </c>
      <c r="AN1185" s="272">
        <f>RTD("money.excel",,$G1185,"CumulativeVolume")</f>
        <v>0</v>
      </c>
      <c r="AO1185" s="284"/>
    </row>
    <row r="1186" spans="1:41">
      <c r="A1186" s="135" t="s">
        <v>3085</v>
      </c>
      <c r="B1186" s="84">
        <v>49</v>
      </c>
      <c r="C1186" s="84">
        <v>37</v>
      </c>
      <c r="D1186" s="84">
        <v>3</v>
      </c>
      <c r="E1186" s="84">
        <v>3</v>
      </c>
      <c r="F1186" s="59">
        <v>10.32</v>
      </c>
      <c r="G1186" s="85">
        <v>6284</v>
      </c>
      <c r="H1186" s="4" t="s">
        <v>559</v>
      </c>
      <c r="I1186" s="17" t="s">
        <v>532</v>
      </c>
      <c r="J1186" s="371">
        <v>44.98</v>
      </c>
      <c r="K1186" s="77">
        <v>3.23</v>
      </c>
      <c r="L1186" s="77">
        <v>21.17</v>
      </c>
      <c r="M1186" s="371">
        <v>36.08</v>
      </c>
      <c r="N1186" s="365">
        <f t="shared" si="342"/>
        <v>105.46</v>
      </c>
      <c r="O1186" s="369">
        <f t="shared" si="335"/>
        <v>81.06</v>
      </c>
      <c r="P1186" s="195">
        <v>2</v>
      </c>
      <c r="Q1186" s="326">
        <v>18</v>
      </c>
      <c r="R1186" s="111">
        <v>32</v>
      </c>
      <c r="S1186" s="51">
        <v>32</v>
      </c>
      <c r="T1186" s="339">
        <f t="shared" si="336"/>
        <v>84</v>
      </c>
      <c r="U1186" s="329" t="s">
        <v>6540</v>
      </c>
      <c r="V1186" s="371">
        <v>3.19</v>
      </c>
      <c r="W1186" s="35">
        <v>1</v>
      </c>
      <c r="X1186" s="100">
        <v>3.64</v>
      </c>
      <c r="Y1186" s="37" t="str">
        <f>RTD("money.excel",,"6284","Price")</f>
        <v>無資料</v>
      </c>
      <c r="Z1186" s="69"/>
      <c r="AA1186" s="16" t="e">
        <f t="shared" si="337"/>
        <v>#VALUE!</v>
      </c>
      <c r="AB1186" s="3" t="e">
        <f t="shared" si="338"/>
        <v>#VALUE!</v>
      </c>
      <c r="AC1186" s="177" t="s">
        <v>6557</v>
      </c>
      <c r="AD1186" s="17" t="s">
        <v>532</v>
      </c>
      <c r="AG1186" s="34">
        <f t="shared" si="339"/>
        <v>0</v>
      </c>
      <c r="AH1186" s="393" t="s">
        <v>6507</v>
      </c>
      <c r="AI1186" s="131"/>
      <c r="AK1186" s="66">
        <f t="shared" si="340"/>
        <v>0</v>
      </c>
      <c r="AL1186" s="174">
        <f t="shared" si="341"/>
        <v>0</v>
      </c>
      <c r="AM1186" s="346">
        <f>RTD("money.excel",,$G1186,"PredictVolume")</f>
        <v>0</v>
      </c>
      <c r="AN1186" s="272">
        <f>RTD("money.excel",,$G1186,"CumulativeVolume")</f>
        <v>0</v>
      </c>
      <c r="AO1186" s="284"/>
    </row>
    <row r="1187" spans="1:41">
      <c r="A1187" s="151" t="s">
        <v>2490</v>
      </c>
      <c r="B1187" s="85">
        <v>-18</v>
      </c>
      <c r="C1187" s="85">
        <v>-33</v>
      </c>
      <c r="D1187" s="85">
        <v>-6</v>
      </c>
      <c r="E1187" s="84">
        <v>9</v>
      </c>
      <c r="F1187" s="7">
        <v>6.46</v>
      </c>
      <c r="G1187" s="85">
        <v>6290</v>
      </c>
      <c r="H1187" s="4" t="s">
        <v>559</v>
      </c>
      <c r="I1187" s="17" t="s">
        <v>314</v>
      </c>
      <c r="J1187" s="371">
        <v>18.8</v>
      </c>
      <c r="K1187" s="77">
        <v>1.97</v>
      </c>
      <c r="L1187" s="77">
        <v>23.95</v>
      </c>
      <c r="N1187" s="365">
        <f t="shared" si="342"/>
        <v>44.72</v>
      </c>
      <c r="O1187" s="343">
        <f t="shared" si="335"/>
        <v>18.8</v>
      </c>
      <c r="P1187" s="195">
        <v>4</v>
      </c>
      <c r="Q1187" s="326">
        <v>8</v>
      </c>
      <c r="R1187" s="111">
        <v>2</v>
      </c>
      <c r="S1187" s="51">
        <v>3</v>
      </c>
      <c r="T1187" s="339">
        <f t="shared" si="336"/>
        <v>17</v>
      </c>
      <c r="U1187" s="329" t="s">
        <v>6540</v>
      </c>
      <c r="V1187" s="371">
        <v>8.77</v>
      </c>
      <c r="W1187" s="69">
        <v>3.5</v>
      </c>
      <c r="X1187" s="100">
        <v>4.03</v>
      </c>
      <c r="Y1187" s="37" t="str">
        <f>RTD("money.excel",,"6290","Price")</f>
        <v>無資料</v>
      </c>
      <c r="Z1187" s="69"/>
      <c r="AA1187" s="16" t="e">
        <f t="shared" si="337"/>
        <v>#VALUE!</v>
      </c>
      <c r="AB1187" s="3" t="e">
        <f t="shared" si="338"/>
        <v>#VALUE!</v>
      </c>
      <c r="AC1187" s="177" t="s">
        <v>6591</v>
      </c>
      <c r="AD1187" s="17" t="s">
        <v>314</v>
      </c>
      <c r="AG1187" s="34">
        <f t="shared" si="339"/>
        <v>0</v>
      </c>
      <c r="AH1187" s="125" t="s">
        <v>5521</v>
      </c>
      <c r="AI1187" s="131"/>
      <c r="AK1187" s="66">
        <f t="shared" si="340"/>
        <v>0</v>
      </c>
      <c r="AL1187" s="174">
        <f t="shared" si="341"/>
        <v>0</v>
      </c>
      <c r="AM1187" s="346">
        <f>RTD("money.excel",,$G1187,"PredictVolume")</f>
        <v>0</v>
      </c>
      <c r="AN1187" s="272">
        <f>RTD("money.excel",,$G1187,"CumulativeVolume")</f>
        <v>0</v>
      </c>
      <c r="AO1187" s="284"/>
    </row>
    <row r="1188" spans="1:41">
      <c r="A1188" s="135" t="s">
        <v>2962</v>
      </c>
      <c r="B1188" s="85">
        <v>-55</v>
      </c>
      <c r="C1188" s="85">
        <v>-28</v>
      </c>
      <c r="D1188" s="84">
        <v>36</v>
      </c>
      <c r="E1188" s="84">
        <v>-18</v>
      </c>
      <c r="F1188" s="59">
        <v>12.26</v>
      </c>
      <c r="G1188" s="85">
        <v>6292</v>
      </c>
      <c r="H1188" s="4" t="s">
        <v>559</v>
      </c>
      <c r="I1188" s="17" t="s">
        <v>792</v>
      </c>
      <c r="J1188" s="371">
        <v>55.49</v>
      </c>
      <c r="K1188" s="371">
        <v>0.5</v>
      </c>
      <c r="L1188" s="371">
        <v>2.08</v>
      </c>
      <c r="N1188" s="365">
        <f t="shared" si="342"/>
        <v>58.07</v>
      </c>
      <c r="O1188" s="343">
        <f t="shared" si="335"/>
        <v>55.49</v>
      </c>
      <c r="P1188" s="195" t="s">
        <v>5554</v>
      </c>
      <c r="Q1188" s="326" t="str">
        <f>IFERROR(VLOOKUP($G1188,主力整理!$A$2:$G$2301,6,0),"0")</f>
        <v>0</v>
      </c>
      <c r="T1188" s="339">
        <f t="shared" si="336"/>
        <v>0</v>
      </c>
      <c r="V1188" s="371">
        <v>0.38</v>
      </c>
      <c r="W1188" s="35">
        <v>2.7</v>
      </c>
      <c r="X1188" s="100">
        <v>3.1</v>
      </c>
      <c r="Y1188" s="37" t="str">
        <f>RTD("money.excel",,"6292","Price")</f>
        <v>無資料</v>
      </c>
      <c r="Z1188" s="69"/>
      <c r="AA1188" s="16" t="e">
        <f t="shared" si="337"/>
        <v>#VALUE!</v>
      </c>
      <c r="AB1188" s="3" t="e">
        <f t="shared" si="338"/>
        <v>#VALUE!</v>
      </c>
      <c r="AD1188" s="17" t="s">
        <v>792</v>
      </c>
      <c r="AG1188" s="34">
        <f t="shared" si="339"/>
        <v>0</v>
      </c>
      <c r="AH1188" s="63" t="s">
        <v>3824</v>
      </c>
      <c r="AI1188" s="131"/>
      <c r="AK1188" s="66">
        <f t="shared" si="340"/>
        <v>0</v>
      </c>
      <c r="AL1188" s="174">
        <f t="shared" si="341"/>
        <v>0</v>
      </c>
      <c r="AM1188" s="346">
        <f>RTD("money.excel",,$G1188,"PredictVolume")</f>
        <v>0</v>
      </c>
      <c r="AN1188" s="272">
        <f>RTD("money.excel",,$G1188,"CumulativeVolume")</f>
        <v>0</v>
      </c>
      <c r="AO1188" s="284"/>
    </row>
    <row r="1189" spans="1:41">
      <c r="A1189" s="151" t="s">
        <v>5227</v>
      </c>
      <c r="B1189" s="84">
        <v>51</v>
      </c>
      <c r="C1189" s="84">
        <v>39</v>
      </c>
      <c r="D1189" s="84">
        <v>10</v>
      </c>
      <c r="E1189" s="84">
        <v>3</v>
      </c>
      <c r="F1189" s="7">
        <v>8.24</v>
      </c>
      <c r="G1189" s="85">
        <v>6412</v>
      </c>
      <c r="H1189" s="54" t="s">
        <v>559</v>
      </c>
      <c r="I1189" s="23" t="s">
        <v>108</v>
      </c>
      <c r="J1189" s="371">
        <v>80.790000000000006</v>
      </c>
      <c r="K1189" s="371">
        <v>13.51</v>
      </c>
      <c r="L1189" s="371">
        <v>0.57999999999999996</v>
      </c>
      <c r="N1189" s="365">
        <f t="shared" si="342"/>
        <v>94.88000000000001</v>
      </c>
      <c r="O1189" s="343">
        <f t="shared" si="335"/>
        <v>80.790000000000006</v>
      </c>
      <c r="P1189" s="195">
        <v>6</v>
      </c>
      <c r="Q1189" s="326" t="str">
        <f>IFERROR(VLOOKUP($G1189,主力整理!$A$2:$G$2301,6,0),"0")</f>
        <v>0</v>
      </c>
      <c r="R1189" s="111">
        <v>1</v>
      </c>
      <c r="S1189" s="51">
        <v>8</v>
      </c>
      <c r="T1189" s="339">
        <f t="shared" si="336"/>
        <v>15</v>
      </c>
      <c r="V1189" s="371">
        <v>0.18</v>
      </c>
      <c r="W1189" s="69">
        <v>4</v>
      </c>
      <c r="X1189" s="59">
        <v>6.56</v>
      </c>
      <c r="Y1189" s="37" t="str">
        <f>RTD("money.excel",,"6412","Price")</f>
        <v>無資料</v>
      </c>
      <c r="Z1189" s="69"/>
      <c r="AA1189" s="16" t="e">
        <f t="shared" si="337"/>
        <v>#VALUE!</v>
      </c>
      <c r="AB1189" s="3" t="e">
        <f t="shared" si="338"/>
        <v>#VALUE!</v>
      </c>
      <c r="AC1189" s="177" t="s">
        <v>2929</v>
      </c>
      <c r="AD1189" s="23" t="s">
        <v>108</v>
      </c>
      <c r="AG1189" s="34">
        <f t="shared" si="339"/>
        <v>0</v>
      </c>
      <c r="AH1189" s="125" t="s">
        <v>4011</v>
      </c>
      <c r="AI1189" s="131"/>
      <c r="AK1189" s="66">
        <f t="shared" si="340"/>
        <v>0</v>
      </c>
      <c r="AL1189" s="174">
        <f t="shared" si="341"/>
        <v>0</v>
      </c>
      <c r="AM1189" s="346">
        <f>RTD("money.excel",,$G1189,"PredictVolume")</f>
        <v>0</v>
      </c>
      <c r="AN1189" s="272">
        <f>RTD("money.excel",,$G1189,"CumulativeVolume")</f>
        <v>0</v>
      </c>
      <c r="AO1189" s="284"/>
    </row>
    <row r="1190" spans="1:41">
      <c r="A1190" s="151" t="s">
        <v>4630</v>
      </c>
      <c r="B1190" s="85">
        <v>-225</v>
      </c>
      <c r="C1190" s="85">
        <v>-186</v>
      </c>
      <c r="D1190" s="84">
        <v>19</v>
      </c>
      <c r="E1190" s="84">
        <v>43</v>
      </c>
      <c r="F1190" s="7">
        <v>-2.15</v>
      </c>
      <c r="G1190" s="85">
        <v>6418</v>
      </c>
      <c r="H1190" s="4" t="s">
        <v>559</v>
      </c>
      <c r="I1190" s="17" t="s">
        <v>4629</v>
      </c>
      <c r="J1190" s="371">
        <v>41.44</v>
      </c>
      <c r="K1190" s="77">
        <v>0.93</v>
      </c>
      <c r="L1190" s="371">
        <v>13.26</v>
      </c>
      <c r="M1190" s="371">
        <v>24.12</v>
      </c>
      <c r="N1190" s="365">
        <f t="shared" si="342"/>
        <v>79.75</v>
      </c>
      <c r="O1190" s="343">
        <f t="shared" si="335"/>
        <v>65.56</v>
      </c>
      <c r="P1190" s="195">
        <v>0</v>
      </c>
      <c r="Q1190" s="326">
        <v>5</v>
      </c>
      <c r="R1190" s="111">
        <v>9</v>
      </c>
      <c r="S1190" s="51">
        <v>15</v>
      </c>
      <c r="T1190" s="339">
        <f t="shared" si="336"/>
        <v>29</v>
      </c>
      <c r="U1190" s="329" t="s">
        <v>6538</v>
      </c>
      <c r="V1190" s="371">
        <v>0.32</v>
      </c>
      <c r="W1190" s="35">
        <v>0.2</v>
      </c>
      <c r="X1190" s="100">
        <v>-0.73</v>
      </c>
      <c r="Y1190" s="37" t="str">
        <f>RTD("money.excel",,"6418","Price")</f>
        <v>無資料</v>
      </c>
      <c r="Z1190" s="69"/>
      <c r="AA1190" s="16" t="e">
        <f t="shared" si="337"/>
        <v>#VALUE!</v>
      </c>
      <c r="AB1190" s="3" t="e">
        <f t="shared" si="338"/>
        <v>#VALUE!</v>
      </c>
      <c r="AD1190" s="17" t="s">
        <v>4629</v>
      </c>
      <c r="AG1190" s="34">
        <f t="shared" si="339"/>
        <v>0</v>
      </c>
      <c r="AH1190" s="44" t="s">
        <v>2961</v>
      </c>
      <c r="AI1190" s="131"/>
      <c r="AK1190" s="66">
        <f t="shared" si="340"/>
        <v>0</v>
      </c>
      <c r="AL1190" s="174">
        <f t="shared" si="341"/>
        <v>0</v>
      </c>
      <c r="AM1190" s="346">
        <f>RTD("money.excel",,$G1190,"PredictVolume")</f>
        <v>0</v>
      </c>
      <c r="AN1190" s="272">
        <f>RTD("money.excel",,$G1190,"CumulativeVolume")</f>
        <v>0</v>
      </c>
      <c r="AO1190" s="284"/>
    </row>
    <row r="1191" spans="1:41">
      <c r="A1191" s="151" t="s">
        <v>3993</v>
      </c>
      <c r="B1191" s="85">
        <v>-20</v>
      </c>
      <c r="C1191" s="84">
        <v>57</v>
      </c>
      <c r="D1191" s="84">
        <v>8</v>
      </c>
      <c r="E1191" s="84">
        <v>27</v>
      </c>
      <c r="F1191" s="7">
        <v>9.7799999999999994</v>
      </c>
      <c r="G1191" s="85">
        <v>6432</v>
      </c>
      <c r="H1191" s="4" t="s">
        <v>559</v>
      </c>
      <c r="I1191" s="17" t="s">
        <v>793</v>
      </c>
      <c r="J1191" s="77">
        <v>43.39</v>
      </c>
      <c r="K1191" s="371">
        <v>0.51</v>
      </c>
      <c r="N1191" s="365">
        <f t="shared" si="342"/>
        <v>43.9</v>
      </c>
      <c r="O1191" s="343">
        <f t="shared" si="335"/>
        <v>43.39</v>
      </c>
      <c r="P1191" s="195">
        <v>3</v>
      </c>
      <c r="Q1191" s="326" t="str">
        <f>IFERROR(VLOOKUP($G1191,主力整理!$A$2:$G$2301,6,0),"0")</f>
        <v>0</v>
      </c>
      <c r="T1191" s="339">
        <f t="shared" si="336"/>
        <v>3</v>
      </c>
      <c r="W1191" s="35">
        <v>1.6</v>
      </c>
      <c r="X1191" s="100">
        <v>3.03</v>
      </c>
      <c r="Y1191" s="37" t="str">
        <f>RTD("money.excel",,"6432","Price")</f>
        <v>無資料</v>
      </c>
      <c r="Z1191" s="69"/>
      <c r="AA1191" s="16" t="e">
        <f t="shared" si="337"/>
        <v>#VALUE!</v>
      </c>
      <c r="AB1191" s="3" t="e">
        <f t="shared" si="338"/>
        <v>#VALUE!</v>
      </c>
      <c r="AC1191" s="177" t="s">
        <v>2648</v>
      </c>
      <c r="AD1191" s="17" t="s">
        <v>793</v>
      </c>
      <c r="AG1191" s="34">
        <f t="shared" si="339"/>
        <v>0</v>
      </c>
      <c r="AH1191" s="44" t="s">
        <v>3769</v>
      </c>
      <c r="AI1191" s="131"/>
      <c r="AK1191" s="66">
        <f t="shared" si="340"/>
        <v>0</v>
      </c>
      <c r="AL1191" s="174">
        <f t="shared" si="341"/>
        <v>0</v>
      </c>
      <c r="AM1191" s="346">
        <f>RTD("money.excel",,$G1191,"PredictVolume")</f>
        <v>0</v>
      </c>
      <c r="AN1191" s="272">
        <f>RTD("money.excel",,$G1191,"CumulativeVolume")</f>
        <v>0</v>
      </c>
      <c r="AO1191" s="284"/>
    </row>
    <row r="1192" spans="1:41">
      <c r="A1192" s="135" t="s">
        <v>3131</v>
      </c>
      <c r="B1192" s="84">
        <v>237</v>
      </c>
      <c r="C1192" s="84">
        <v>257</v>
      </c>
      <c r="D1192" s="84">
        <v>19</v>
      </c>
      <c r="E1192" s="84">
        <v>28</v>
      </c>
      <c r="F1192" s="59">
        <v>12.66</v>
      </c>
      <c r="G1192" s="85">
        <v>6449</v>
      </c>
      <c r="H1192" s="4" t="s">
        <v>559</v>
      </c>
      <c r="I1192" s="23" t="s">
        <v>567</v>
      </c>
      <c r="J1192" s="77">
        <v>60.8</v>
      </c>
      <c r="K1192" s="371">
        <v>1.28</v>
      </c>
      <c r="L1192" s="77">
        <v>22.64</v>
      </c>
      <c r="N1192" s="365">
        <f t="shared" si="342"/>
        <v>84.72</v>
      </c>
      <c r="O1192" s="343">
        <f t="shared" si="335"/>
        <v>60.8</v>
      </c>
      <c r="P1192" s="195" t="s">
        <v>5554</v>
      </c>
      <c r="Q1192" s="326" t="str">
        <f>IFERROR(VLOOKUP($G1192,主力整理!$A$2:$G$2301,6,0),"0")</f>
        <v>0</v>
      </c>
      <c r="T1192" s="339">
        <f t="shared" si="336"/>
        <v>0</v>
      </c>
      <c r="V1192" s="371">
        <v>0.87</v>
      </c>
      <c r="W1192" s="35">
        <v>1</v>
      </c>
      <c r="X1192" s="100">
        <v>3.1</v>
      </c>
      <c r="Y1192" s="37" t="str">
        <f>RTD("money.excel",,"6449","Price")</f>
        <v>無資料</v>
      </c>
      <c r="Z1192" s="69"/>
      <c r="AA1192" s="16" t="e">
        <f t="shared" si="337"/>
        <v>#VALUE!</v>
      </c>
      <c r="AB1192" s="3" t="e">
        <f t="shared" si="338"/>
        <v>#VALUE!</v>
      </c>
      <c r="AC1192" s="177" t="s">
        <v>2648</v>
      </c>
      <c r="AD1192" s="23" t="s">
        <v>567</v>
      </c>
      <c r="AG1192" s="34">
        <f t="shared" si="339"/>
        <v>0</v>
      </c>
      <c r="AH1192" s="63" t="s">
        <v>3707</v>
      </c>
      <c r="AI1192" s="131"/>
      <c r="AK1192" s="66">
        <f t="shared" si="340"/>
        <v>0</v>
      </c>
      <c r="AL1192" s="174">
        <f t="shared" si="341"/>
        <v>0</v>
      </c>
      <c r="AM1192" s="346">
        <f>RTD("money.excel",,$G1192,"PredictVolume")</f>
        <v>0</v>
      </c>
      <c r="AN1192" s="272">
        <f>RTD("money.excel",,$G1192,"CumulativeVolume")</f>
        <v>0</v>
      </c>
      <c r="AO1192" s="284"/>
    </row>
    <row r="1193" spans="1:41">
      <c r="A1193" s="135" t="s">
        <v>3107</v>
      </c>
      <c r="B1193" s="85">
        <v>-66</v>
      </c>
      <c r="C1193" s="85">
        <v>-67</v>
      </c>
      <c r="D1193" s="84">
        <v>33</v>
      </c>
      <c r="E1193" s="85">
        <v>-17</v>
      </c>
      <c r="F1193" s="59">
        <v>16.88</v>
      </c>
      <c r="G1193" s="85">
        <v>6538</v>
      </c>
      <c r="H1193" s="4" t="s">
        <v>559</v>
      </c>
      <c r="I1193" s="17" t="s">
        <v>794</v>
      </c>
      <c r="J1193" s="77">
        <v>10.039999999999999</v>
      </c>
      <c r="K1193" s="371">
        <v>4.68</v>
      </c>
      <c r="L1193" s="77">
        <v>28.76</v>
      </c>
      <c r="M1193" s="77">
        <v>13.45</v>
      </c>
      <c r="N1193" s="365">
        <f t="shared" si="342"/>
        <v>56.930000000000007</v>
      </c>
      <c r="O1193" s="343">
        <f t="shared" si="335"/>
        <v>23.49</v>
      </c>
      <c r="P1193" s="195">
        <v>1</v>
      </c>
      <c r="Q1193" s="326">
        <v>2</v>
      </c>
      <c r="R1193" s="111">
        <v>11</v>
      </c>
      <c r="S1193" s="51">
        <v>11</v>
      </c>
      <c r="T1193" s="339">
        <f t="shared" si="336"/>
        <v>25</v>
      </c>
      <c r="U1193" s="329" t="s">
        <v>6539</v>
      </c>
      <c r="V1193" s="371">
        <v>3.12</v>
      </c>
      <c r="W1193" s="69">
        <v>7</v>
      </c>
      <c r="X1193" s="100">
        <v>5.16</v>
      </c>
      <c r="Y1193" s="37" t="str">
        <f>RTD("money.excel",,"6538","Price")</f>
        <v>無資料</v>
      </c>
      <c r="Z1193" s="69"/>
      <c r="AA1193" s="16" t="e">
        <f t="shared" si="337"/>
        <v>#VALUE!</v>
      </c>
      <c r="AB1193" s="3" t="e">
        <f t="shared" si="338"/>
        <v>#VALUE!</v>
      </c>
      <c r="AC1193" s="177" t="s">
        <v>2929</v>
      </c>
      <c r="AD1193" s="17" t="s">
        <v>794</v>
      </c>
      <c r="AG1193" s="34">
        <f t="shared" si="339"/>
        <v>0</v>
      </c>
      <c r="AH1193" s="63" t="s">
        <v>2640</v>
      </c>
      <c r="AI1193" s="131"/>
      <c r="AK1193" s="66">
        <f t="shared" si="340"/>
        <v>0</v>
      </c>
      <c r="AL1193" s="174">
        <f t="shared" si="341"/>
        <v>0</v>
      </c>
      <c r="AM1193" s="346">
        <f>RTD("money.excel",,$G1193,"PredictVolume")</f>
        <v>0</v>
      </c>
      <c r="AN1193" s="272">
        <f>RTD("money.excel",,$G1193,"CumulativeVolume")</f>
        <v>0</v>
      </c>
      <c r="AO1193" s="284"/>
    </row>
    <row r="1194" spans="1:41">
      <c r="A1194" s="135" t="s">
        <v>4770</v>
      </c>
      <c r="B1194" s="84">
        <v>108</v>
      </c>
      <c r="C1194" s="84">
        <v>119</v>
      </c>
      <c r="D1194" s="85">
        <v>-11</v>
      </c>
      <c r="E1194" s="84">
        <v>27</v>
      </c>
      <c r="F1194" s="59">
        <v>32.6</v>
      </c>
      <c r="G1194" s="85">
        <v>6642</v>
      </c>
      <c r="H1194" s="4" t="s">
        <v>559</v>
      </c>
      <c r="I1194" s="17" t="s">
        <v>2577</v>
      </c>
      <c r="J1194" s="77">
        <v>49.93</v>
      </c>
      <c r="K1194" s="371">
        <v>3.18</v>
      </c>
      <c r="L1194" s="77">
        <v>25.36</v>
      </c>
      <c r="N1194" s="365">
        <f t="shared" si="342"/>
        <v>78.47</v>
      </c>
      <c r="O1194" s="343">
        <f t="shared" si="335"/>
        <v>49.93</v>
      </c>
      <c r="P1194" s="195">
        <v>5</v>
      </c>
      <c r="Q1194" s="326" t="str">
        <f>IFERROR(VLOOKUP($G1194,主力整理!$A$2:$G$2301,6,0),"0")</f>
        <v>0</v>
      </c>
      <c r="R1194" s="111">
        <v>18</v>
      </c>
      <c r="S1194" s="51">
        <v>0</v>
      </c>
      <c r="T1194" s="339">
        <f t="shared" si="336"/>
        <v>23</v>
      </c>
      <c r="V1194" s="371">
        <v>0</v>
      </c>
      <c r="W1194" s="35">
        <v>1.8</v>
      </c>
      <c r="X1194" s="100">
        <v>3.78</v>
      </c>
      <c r="Y1194" s="37" t="str">
        <f>RTD("money.excel",,"6642","Price")</f>
        <v>無資料</v>
      </c>
      <c r="Z1194" s="69"/>
      <c r="AA1194" s="16" t="e">
        <f t="shared" si="337"/>
        <v>#VALUE!</v>
      </c>
      <c r="AB1194" s="3" t="e">
        <f t="shared" si="338"/>
        <v>#VALUE!</v>
      </c>
      <c r="AC1194" s="177" t="s">
        <v>2648</v>
      </c>
      <c r="AD1194" s="17" t="s">
        <v>2577</v>
      </c>
      <c r="AG1194" s="34">
        <f t="shared" si="339"/>
        <v>0</v>
      </c>
      <c r="AH1194" s="63" t="s">
        <v>4971</v>
      </c>
      <c r="AI1194" s="131"/>
      <c r="AK1194" s="66">
        <f t="shared" si="340"/>
        <v>0</v>
      </c>
      <c r="AL1194" s="174">
        <f t="shared" si="341"/>
        <v>0</v>
      </c>
      <c r="AM1194" s="346">
        <f>RTD("money.excel",,$G1194,"PredictVolume")</f>
        <v>0</v>
      </c>
      <c r="AN1194" s="272">
        <f>RTD("money.excel",,$G1194,"CumulativeVolume")</f>
        <v>0</v>
      </c>
      <c r="AO1194" s="284"/>
    </row>
    <row r="1195" spans="1:41">
      <c r="A1195" s="135" t="s">
        <v>4671</v>
      </c>
      <c r="B1195" s="85">
        <v>-1</v>
      </c>
      <c r="C1195" s="84">
        <v>4</v>
      </c>
      <c r="D1195" s="84">
        <v>1</v>
      </c>
      <c r="E1195" s="84">
        <v>21</v>
      </c>
      <c r="F1195" s="59">
        <v>23.35</v>
      </c>
      <c r="G1195" s="85">
        <v>6664</v>
      </c>
      <c r="H1195" s="4" t="s">
        <v>559</v>
      </c>
      <c r="I1195" s="17" t="s">
        <v>1720</v>
      </c>
      <c r="J1195" s="371">
        <v>42.88</v>
      </c>
      <c r="K1195" s="77">
        <v>0.79</v>
      </c>
      <c r="L1195" s="77">
        <v>8.43</v>
      </c>
      <c r="M1195" s="77">
        <v>27.62</v>
      </c>
      <c r="N1195" s="365">
        <f t="shared" si="342"/>
        <v>79.72</v>
      </c>
      <c r="O1195" s="343">
        <f t="shared" si="335"/>
        <v>70.5</v>
      </c>
      <c r="P1195" s="195">
        <v>5</v>
      </c>
      <c r="Q1195" s="326" t="str">
        <f>IFERROR(VLOOKUP($G1195,主力整理!$A$2:$G$2301,6,0),"0")</f>
        <v>0</v>
      </c>
      <c r="R1195" s="111">
        <v>0</v>
      </c>
      <c r="S1195" s="51">
        <v>0</v>
      </c>
      <c r="T1195" s="339">
        <f t="shared" si="336"/>
        <v>5</v>
      </c>
      <c r="U1195" s="329" t="s">
        <v>6539</v>
      </c>
      <c r="V1195" s="371">
        <v>0.17</v>
      </c>
      <c r="W1195" s="69">
        <v>4.3</v>
      </c>
      <c r="X1195" s="100">
        <v>5.59</v>
      </c>
      <c r="Y1195" s="37" t="str">
        <f>RTD("money.excel",,"6664","Price")</f>
        <v>無資料</v>
      </c>
      <c r="Z1195" s="69"/>
      <c r="AA1195" s="16" t="e">
        <f t="shared" si="337"/>
        <v>#VALUE!</v>
      </c>
      <c r="AB1195" s="3" t="e">
        <f t="shared" si="338"/>
        <v>#VALUE!</v>
      </c>
      <c r="AC1195" s="177" t="s">
        <v>2929</v>
      </c>
      <c r="AD1195" s="17" t="s">
        <v>1720</v>
      </c>
      <c r="AG1195" s="34">
        <f t="shared" si="339"/>
        <v>0</v>
      </c>
      <c r="AH1195" s="63" t="s">
        <v>3662</v>
      </c>
      <c r="AI1195" s="131"/>
      <c r="AK1195" s="66">
        <f t="shared" si="340"/>
        <v>0</v>
      </c>
      <c r="AL1195" s="174">
        <f t="shared" si="341"/>
        <v>0</v>
      </c>
      <c r="AM1195" s="346">
        <f>RTD("money.excel",,$G1195,"PredictVolume")</f>
        <v>0</v>
      </c>
      <c r="AN1195" s="272">
        <f>RTD("money.excel",,$G1195,"CumulativeVolume")</f>
        <v>0</v>
      </c>
      <c r="AO1195" s="284"/>
    </row>
    <row r="1196" spans="1:41">
      <c r="A1196" s="135" t="s">
        <v>3285</v>
      </c>
      <c r="B1196" s="84">
        <v>117</v>
      </c>
      <c r="C1196" s="84">
        <v>137</v>
      </c>
      <c r="D1196" s="84">
        <v>1</v>
      </c>
      <c r="E1196" s="84">
        <v>81</v>
      </c>
      <c r="F1196" s="59">
        <v>17.5</v>
      </c>
      <c r="G1196" s="85">
        <v>6672</v>
      </c>
      <c r="H1196" s="4" t="s">
        <v>559</v>
      </c>
      <c r="I1196" s="23" t="s">
        <v>2242</v>
      </c>
      <c r="J1196" s="371">
        <v>33.119999999999997</v>
      </c>
      <c r="K1196" s="371">
        <v>31.98</v>
      </c>
      <c r="L1196" s="371">
        <v>29.97</v>
      </c>
      <c r="N1196" s="365">
        <f t="shared" si="342"/>
        <v>95.07</v>
      </c>
      <c r="O1196" s="343">
        <f t="shared" si="335"/>
        <v>33.119999999999997</v>
      </c>
      <c r="P1196" s="195">
        <v>10</v>
      </c>
      <c r="Q1196" s="326">
        <v>4</v>
      </c>
      <c r="R1196" s="111">
        <v>5</v>
      </c>
      <c r="S1196" s="51">
        <v>4</v>
      </c>
      <c r="T1196" s="339">
        <f t="shared" si="336"/>
        <v>23</v>
      </c>
      <c r="V1196" s="371">
        <v>1.27</v>
      </c>
      <c r="W1196" s="69">
        <v>3.2</v>
      </c>
      <c r="X1196" s="100">
        <v>8.9600000000000009</v>
      </c>
      <c r="Y1196" s="37" t="str">
        <f>RTD("money.excel",,"6672","Price")</f>
        <v>無資料</v>
      </c>
      <c r="Z1196" s="69"/>
      <c r="AA1196" s="16" t="e">
        <f t="shared" si="337"/>
        <v>#VALUE!</v>
      </c>
      <c r="AB1196" s="3" t="e">
        <f t="shared" si="338"/>
        <v>#VALUE!</v>
      </c>
      <c r="AC1196" s="177" t="s">
        <v>2929</v>
      </c>
      <c r="AD1196" s="23" t="s">
        <v>2242</v>
      </c>
      <c r="AG1196" s="34">
        <f t="shared" si="339"/>
        <v>0</v>
      </c>
      <c r="AH1196" s="63" t="s">
        <v>5222</v>
      </c>
      <c r="AI1196" s="131"/>
      <c r="AK1196" s="66">
        <f t="shared" si="340"/>
        <v>0</v>
      </c>
      <c r="AL1196" s="174">
        <f t="shared" si="341"/>
        <v>0</v>
      </c>
      <c r="AM1196" s="346">
        <f>RTD("money.excel",,$G1196,"PredictVolume")</f>
        <v>0</v>
      </c>
      <c r="AN1196" s="272">
        <f>RTD("money.excel",,$G1196,"CumulativeVolume")</f>
        <v>0</v>
      </c>
      <c r="AO1196" s="284"/>
    </row>
    <row r="1197" spans="1:41">
      <c r="A1197" s="135" t="s">
        <v>4640</v>
      </c>
      <c r="B1197" s="84">
        <v>57</v>
      </c>
      <c r="C1197" s="84">
        <v>26</v>
      </c>
      <c r="D1197" s="84">
        <v>70</v>
      </c>
      <c r="E1197" s="85">
        <v>-1</v>
      </c>
      <c r="F1197" s="59">
        <v>14.09</v>
      </c>
      <c r="G1197" s="85">
        <v>6715</v>
      </c>
      <c r="H1197" s="4" t="s">
        <v>559</v>
      </c>
      <c r="I1197" s="23" t="s">
        <v>2989</v>
      </c>
      <c r="J1197" s="371">
        <v>75.53</v>
      </c>
      <c r="K1197" s="371">
        <v>6.56</v>
      </c>
      <c r="L1197" s="371"/>
      <c r="N1197" s="365">
        <f t="shared" si="342"/>
        <v>82.09</v>
      </c>
      <c r="O1197" s="343">
        <f t="shared" si="335"/>
        <v>75.53</v>
      </c>
      <c r="P1197" s="195" t="s">
        <v>5554</v>
      </c>
      <c r="Q1197" s="326" t="str">
        <f>IFERROR(VLOOKUP($G1197,主力整理!$A$2:$G$2301,6,0),"0")</f>
        <v>0</v>
      </c>
      <c r="T1197" s="339">
        <f t="shared" si="336"/>
        <v>0</v>
      </c>
      <c r="W1197" s="35">
        <v>2.5</v>
      </c>
      <c r="X1197" s="100">
        <v>4.7699999999999996</v>
      </c>
      <c r="Y1197" s="37" t="str">
        <f>RTD("money.excel",,"6715","Price")</f>
        <v>無資料</v>
      </c>
      <c r="Z1197" s="69"/>
      <c r="AA1197" s="16" t="e">
        <f t="shared" si="337"/>
        <v>#VALUE!</v>
      </c>
      <c r="AB1197" s="3" t="e">
        <f t="shared" si="338"/>
        <v>#VALUE!</v>
      </c>
      <c r="AC1197" s="177" t="s">
        <v>2648</v>
      </c>
      <c r="AD1197" s="23" t="s">
        <v>2989</v>
      </c>
      <c r="AG1197" s="34">
        <f t="shared" si="339"/>
        <v>0</v>
      </c>
      <c r="AH1197" s="50" t="s">
        <v>2990</v>
      </c>
      <c r="AI1197" s="131"/>
      <c r="AK1197" s="66">
        <f t="shared" si="340"/>
        <v>0</v>
      </c>
      <c r="AL1197" s="174">
        <f t="shared" si="341"/>
        <v>0</v>
      </c>
      <c r="AM1197" s="346">
        <f>RTD("money.excel",,$G1197,"PredictVolume")</f>
        <v>0</v>
      </c>
      <c r="AN1197" s="272">
        <f>RTD("money.excel",,$G1197,"CumulativeVolume")</f>
        <v>0</v>
      </c>
      <c r="AO1197" s="284"/>
    </row>
    <row r="1198" spans="1:41">
      <c r="A1198" s="135" t="s">
        <v>6456</v>
      </c>
      <c r="B1198" s="84">
        <v>116</v>
      </c>
      <c r="C1198" s="84">
        <v>100</v>
      </c>
      <c r="D1198" s="84">
        <v>0</v>
      </c>
      <c r="E1198" s="84">
        <v>32</v>
      </c>
      <c r="F1198" s="59">
        <v>13.23</v>
      </c>
      <c r="G1198" s="85">
        <v>6761</v>
      </c>
      <c r="H1198" s="4" t="s">
        <v>559</v>
      </c>
      <c r="I1198" s="17" t="s">
        <v>6411</v>
      </c>
      <c r="J1198" s="371">
        <v>45.93</v>
      </c>
      <c r="K1198" s="77">
        <v>1.54</v>
      </c>
      <c r="M1198" s="371">
        <v>39.71</v>
      </c>
      <c r="N1198" s="365">
        <f t="shared" ref="N1198:N1229" si="343">J1198+K1198+L1198+M1198</f>
        <v>87.18</v>
      </c>
      <c r="O1198" s="369">
        <f t="shared" si="335"/>
        <v>85.64</v>
      </c>
      <c r="P1198" s="195">
        <v>0</v>
      </c>
      <c r="Q1198" s="326">
        <v>1</v>
      </c>
      <c r="R1198" s="111">
        <v>0</v>
      </c>
      <c r="S1198" s="51">
        <v>2</v>
      </c>
      <c r="T1198" s="339">
        <f t="shared" si="336"/>
        <v>3</v>
      </c>
      <c r="W1198" s="69">
        <v>3.2</v>
      </c>
      <c r="X1198" s="100">
        <v>7.98</v>
      </c>
      <c r="Y1198" s="37" t="str">
        <f>RTD("money.excel",,"6761","Price")</f>
        <v>無資料</v>
      </c>
      <c r="Z1198" s="69"/>
      <c r="AA1198" s="16" t="e">
        <f t="shared" si="337"/>
        <v>#VALUE!</v>
      </c>
      <c r="AB1198" s="3" t="e">
        <f t="shared" si="338"/>
        <v>#VALUE!</v>
      </c>
      <c r="AC1198" s="177" t="s">
        <v>2700</v>
      </c>
      <c r="AD1198" s="17" t="s">
        <v>6411</v>
      </c>
      <c r="AG1198" s="34">
        <f t="shared" si="339"/>
        <v>0</v>
      </c>
      <c r="AH1198" s="63" t="s">
        <v>6412</v>
      </c>
      <c r="AI1198" s="131"/>
      <c r="AK1198" s="66">
        <f t="shared" si="340"/>
        <v>0</v>
      </c>
      <c r="AL1198" s="174">
        <f t="shared" si="341"/>
        <v>0</v>
      </c>
      <c r="AM1198" s="346">
        <f>RTD("money.excel",,$G1198,"PredictVolume")</f>
        <v>0</v>
      </c>
      <c r="AN1198" s="272">
        <f>RTD("money.excel",,$G1198,"CumulativeVolume")</f>
        <v>0</v>
      </c>
      <c r="AO1198" s="284"/>
    </row>
    <row r="1199" spans="1:41">
      <c r="A1199" s="135" t="s">
        <v>4996</v>
      </c>
      <c r="B1199" s="84">
        <v>49</v>
      </c>
      <c r="C1199" s="84">
        <v>69</v>
      </c>
      <c r="D1199" s="84">
        <v>32</v>
      </c>
      <c r="E1199" s="84">
        <v>224</v>
      </c>
      <c r="F1199" s="59">
        <v>19.45</v>
      </c>
      <c r="G1199" s="85">
        <v>6781</v>
      </c>
      <c r="H1199" s="4" t="s">
        <v>559</v>
      </c>
      <c r="I1199" s="23" t="s">
        <v>4991</v>
      </c>
      <c r="J1199" s="371">
        <v>77.16</v>
      </c>
      <c r="K1199" s="77">
        <v>73</v>
      </c>
      <c r="L1199" s="371"/>
      <c r="N1199" s="365">
        <f t="shared" si="343"/>
        <v>150.16</v>
      </c>
      <c r="O1199" s="343">
        <f t="shared" si="335"/>
        <v>77.16</v>
      </c>
      <c r="P1199" s="195">
        <v>1</v>
      </c>
      <c r="Q1199" s="326" t="str">
        <f>IFERROR(VLOOKUP($G1199,主力整理!$A$2:$G$2301,6,0),"0")</f>
        <v>0</v>
      </c>
      <c r="T1199" s="339">
        <f t="shared" si="336"/>
        <v>1</v>
      </c>
      <c r="W1199" s="69">
        <v>5.3</v>
      </c>
      <c r="X1199" s="59"/>
      <c r="Y1199" s="14" t="str">
        <f>RTD("money.excel",,"6781","Price")</f>
        <v>無資料</v>
      </c>
      <c r="Z1199" s="69"/>
      <c r="AA1199" s="16" t="e">
        <f t="shared" si="337"/>
        <v>#VALUE!</v>
      </c>
      <c r="AB1199" s="3" t="e">
        <f t="shared" si="338"/>
        <v>#VALUE!</v>
      </c>
      <c r="AC1199" s="177" t="s">
        <v>2929</v>
      </c>
      <c r="AD1199" s="23" t="s">
        <v>4991</v>
      </c>
      <c r="AG1199" s="34">
        <f t="shared" si="339"/>
        <v>0</v>
      </c>
      <c r="AH1199" s="63" t="s">
        <v>4997</v>
      </c>
      <c r="AI1199" s="131"/>
      <c r="AK1199" s="66">
        <f t="shared" si="340"/>
        <v>0</v>
      </c>
      <c r="AL1199" s="174">
        <f t="shared" si="341"/>
        <v>0</v>
      </c>
      <c r="AM1199" s="346">
        <f>RTD("money.excel",,$G1199,"PredictVolume")</f>
        <v>0</v>
      </c>
      <c r="AN1199" s="272">
        <f>RTD("money.excel",,$G1199,"CumulativeVolume")</f>
        <v>0</v>
      </c>
      <c r="AO1199" s="284"/>
    </row>
    <row r="1200" spans="1:41">
      <c r="A1200" s="151" t="s">
        <v>3300</v>
      </c>
      <c r="B1200" s="85">
        <v>-198</v>
      </c>
      <c r="C1200" s="85">
        <v>-159</v>
      </c>
      <c r="D1200" s="84">
        <v>96</v>
      </c>
      <c r="E1200" s="85">
        <v>-67</v>
      </c>
      <c r="F1200" s="7">
        <v>-24.23</v>
      </c>
      <c r="G1200" s="85">
        <v>8038</v>
      </c>
      <c r="H1200" s="4" t="s">
        <v>559</v>
      </c>
      <c r="I1200" s="25" t="s">
        <v>454</v>
      </c>
      <c r="J1200" s="371">
        <v>24.16</v>
      </c>
      <c r="K1200" s="77">
        <v>2.33</v>
      </c>
      <c r="N1200" s="365">
        <f t="shared" si="343"/>
        <v>26.490000000000002</v>
      </c>
      <c r="O1200" s="343">
        <f t="shared" si="335"/>
        <v>24.16</v>
      </c>
      <c r="P1200" s="195">
        <v>1</v>
      </c>
      <c r="Q1200" s="326" t="str">
        <f>IFERROR(VLOOKUP($G1200,主力整理!$A$2:$G$2301,6,0),"0")</f>
        <v>0</v>
      </c>
      <c r="T1200" s="339">
        <f t="shared" si="336"/>
        <v>1</v>
      </c>
      <c r="W1200" s="35">
        <v>0</v>
      </c>
      <c r="X1200" s="100">
        <v>-1</v>
      </c>
      <c r="Y1200" s="37" t="str">
        <f>RTD("money.excel",,"8038","Price")</f>
        <v>無資料</v>
      </c>
      <c r="Z1200" s="69"/>
      <c r="AA1200" s="16" t="e">
        <f t="shared" si="337"/>
        <v>#VALUE!</v>
      </c>
      <c r="AB1200" s="3" t="e">
        <f t="shared" si="338"/>
        <v>#VALUE!</v>
      </c>
      <c r="AC1200" s="177" t="s">
        <v>2648</v>
      </c>
      <c r="AD1200" s="25" t="s">
        <v>454</v>
      </c>
      <c r="AG1200" s="34">
        <f t="shared" si="339"/>
        <v>0</v>
      </c>
      <c r="AH1200" s="127" t="s">
        <v>3660</v>
      </c>
      <c r="AI1200" s="131"/>
      <c r="AK1200" s="66">
        <f t="shared" si="340"/>
        <v>0</v>
      </c>
      <c r="AL1200" s="174">
        <f t="shared" si="341"/>
        <v>0</v>
      </c>
      <c r="AM1200" s="346">
        <f>RTD("money.excel",,$G1200,"PredictVolume")</f>
        <v>0</v>
      </c>
      <c r="AN1200" s="272">
        <f>RTD("money.excel",,$G1200,"CumulativeVolume")</f>
        <v>0</v>
      </c>
      <c r="AO1200" s="284"/>
    </row>
    <row r="1201" spans="1:41">
      <c r="A1201" s="151" t="s">
        <v>2662</v>
      </c>
      <c r="B1201" s="85">
        <v>-6</v>
      </c>
      <c r="C1201" s="84">
        <v>88</v>
      </c>
      <c r="D1201" s="84">
        <v>11</v>
      </c>
      <c r="E1201" s="84">
        <v>38</v>
      </c>
      <c r="F1201" s="7">
        <v>9.74</v>
      </c>
      <c r="G1201" s="85">
        <v>8039</v>
      </c>
      <c r="H1201" s="4" t="s">
        <v>559</v>
      </c>
      <c r="I1201" s="23" t="s">
        <v>422</v>
      </c>
      <c r="J1201" s="371">
        <v>63.93</v>
      </c>
      <c r="K1201" s="77">
        <v>19.989999999999998</v>
      </c>
      <c r="L1201" s="77">
        <v>6.44</v>
      </c>
      <c r="N1201" s="365">
        <f t="shared" si="343"/>
        <v>90.36</v>
      </c>
      <c r="O1201" s="343">
        <f t="shared" si="335"/>
        <v>63.93</v>
      </c>
      <c r="P1201" s="195">
        <v>2</v>
      </c>
      <c r="Q1201" s="326" t="str">
        <f>IFERROR(VLOOKUP($G1201,主力整理!$A$2:$G$2301,6,0),"0")</f>
        <v>0</v>
      </c>
      <c r="T1201" s="339">
        <f t="shared" si="336"/>
        <v>2</v>
      </c>
      <c r="V1201" s="371">
        <v>0.17</v>
      </c>
      <c r="W1201" s="35">
        <v>2.5</v>
      </c>
      <c r="X1201" s="100">
        <v>3.7</v>
      </c>
      <c r="Y1201" s="37" t="str">
        <f>RTD("money.excel",,"8039","Price")</f>
        <v>無資料</v>
      </c>
      <c r="Z1201" s="69"/>
      <c r="AA1201" s="16" t="e">
        <f t="shared" si="337"/>
        <v>#VALUE!</v>
      </c>
      <c r="AB1201" s="3" t="e">
        <f t="shared" si="338"/>
        <v>#VALUE!</v>
      </c>
      <c r="AC1201" s="177" t="s">
        <v>2648</v>
      </c>
      <c r="AD1201" s="23" t="s">
        <v>422</v>
      </c>
      <c r="AG1201" s="34">
        <f t="shared" si="339"/>
        <v>0</v>
      </c>
      <c r="AH1201" s="127" t="s">
        <v>3046</v>
      </c>
      <c r="AI1201" s="131"/>
      <c r="AK1201" s="66">
        <f t="shared" si="340"/>
        <v>0</v>
      </c>
      <c r="AL1201" s="174">
        <f t="shared" si="341"/>
        <v>0</v>
      </c>
      <c r="AM1201" s="346">
        <f>RTD("money.excel",,$G1201,"PredictVolume")</f>
        <v>0</v>
      </c>
      <c r="AN1201" s="272">
        <f>RTD("money.excel",,$G1201,"CumulativeVolume")</f>
        <v>0</v>
      </c>
      <c r="AO1201" s="284"/>
    </row>
    <row r="1202" spans="1:41">
      <c r="A1202" s="151" t="s">
        <v>2230</v>
      </c>
      <c r="B1202" s="84">
        <v>254</v>
      </c>
      <c r="C1202" s="98">
        <v>2329</v>
      </c>
      <c r="D1202" s="85">
        <v>-1</v>
      </c>
      <c r="E1202" s="84">
        <v>35</v>
      </c>
      <c r="F1202" s="7">
        <v>4.6900000000000004</v>
      </c>
      <c r="G1202" s="85">
        <v>8042</v>
      </c>
      <c r="H1202" s="4" t="s">
        <v>559</v>
      </c>
      <c r="I1202" s="17" t="s">
        <v>294</v>
      </c>
      <c r="J1202" s="77">
        <v>55.77</v>
      </c>
      <c r="K1202" s="371">
        <v>5.67</v>
      </c>
      <c r="L1202" s="371">
        <v>3.37</v>
      </c>
      <c r="N1202" s="365">
        <f t="shared" si="343"/>
        <v>64.81</v>
      </c>
      <c r="O1202" s="343">
        <f t="shared" si="335"/>
        <v>55.77</v>
      </c>
      <c r="P1202" s="195" t="s">
        <v>5554</v>
      </c>
      <c r="Q1202" s="326" t="str">
        <f>IFERROR(VLOOKUP($G1202,主力整理!$A$2:$G$2301,6,0),"0")</f>
        <v>0</v>
      </c>
      <c r="T1202" s="339">
        <f t="shared" si="336"/>
        <v>0</v>
      </c>
      <c r="V1202" s="371">
        <v>0</v>
      </c>
      <c r="W1202" s="35">
        <v>0.3</v>
      </c>
      <c r="X1202" s="59">
        <v>0.09</v>
      </c>
      <c r="Y1202" s="37" t="str">
        <f>RTD("money.excel",,"8042","Price")</f>
        <v>無資料</v>
      </c>
      <c r="Z1202" s="69"/>
      <c r="AA1202" s="16" t="e">
        <f t="shared" si="337"/>
        <v>#VALUE!</v>
      </c>
      <c r="AB1202" s="3" t="e">
        <f t="shared" si="338"/>
        <v>#VALUE!</v>
      </c>
      <c r="AC1202" s="177" t="s">
        <v>2648</v>
      </c>
      <c r="AD1202" s="17" t="s">
        <v>294</v>
      </c>
      <c r="AG1202" s="34">
        <f t="shared" si="339"/>
        <v>0</v>
      </c>
      <c r="AH1202" s="125" t="s">
        <v>3707</v>
      </c>
      <c r="AI1202" s="284"/>
      <c r="AK1202" s="66">
        <f t="shared" si="340"/>
        <v>0</v>
      </c>
      <c r="AL1202" s="174">
        <f t="shared" si="341"/>
        <v>0</v>
      </c>
      <c r="AM1202" s="346">
        <f>RTD("money.excel",,$G1202,"PredictVolume")</f>
        <v>0</v>
      </c>
      <c r="AN1202" s="272">
        <f>RTD("money.excel",,$G1202,"CumulativeVolume")</f>
        <v>0</v>
      </c>
      <c r="AO1202" s="284"/>
    </row>
    <row r="1203" spans="1:41">
      <c r="A1203" s="151" t="s">
        <v>4620</v>
      </c>
      <c r="B1203" s="85">
        <v>-81</v>
      </c>
      <c r="C1203" s="85">
        <v>-41</v>
      </c>
      <c r="D1203" s="85">
        <v>-39</v>
      </c>
      <c r="E1203" s="85">
        <v>-15</v>
      </c>
      <c r="F1203" s="7">
        <v>1.1399999999999999</v>
      </c>
      <c r="G1203" s="85">
        <v>8043</v>
      </c>
      <c r="H1203" s="4" t="s">
        <v>559</v>
      </c>
      <c r="I1203" s="17" t="s">
        <v>536</v>
      </c>
      <c r="J1203" s="77">
        <v>56.79</v>
      </c>
      <c r="K1203" s="371">
        <v>0.31</v>
      </c>
      <c r="L1203" s="77">
        <v>12.85</v>
      </c>
      <c r="N1203" s="365">
        <f t="shared" si="343"/>
        <v>69.95</v>
      </c>
      <c r="O1203" s="343">
        <f t="shared" si="335"/>
        <v>56.79</v>
      </c>
      <c r="P1203" s="195" t="s">
        <v>5554</v>
      </c>
      <c r="Q1203" s="326" t="str">
        <f>IFERROR(VLOOKUP($G1203,主力整理!$A$2:$G$2301,6,0),"0")</f>
        <v>0</v>
      </c>
      <c r="T1203" s="339">
        <f t="shared" si="336"/>
        <v>0</v>
      </c>
      <c r="V1203" s="371">
        <v>0.62</v>
      </c>
      <c r="W1203" s="35">
        <v>0.2</v>
      </c>
      <c r="X1203" s="59">
        <v>0.37</v>
      </c>
      <c r="Y1203" s="37" t="str">
        <f>RTD("money.excel",,"8043","Price")</f>
        <v>無資料</v>
      </c>
      <c r="Z1203" s="69"/>
      <c r="AA1203" s="16" t="e">
        <f t="shared" si="337"/>
        <v>#VALUE!</v>
      </c>
      <c r="AB1203" s="3" t="e">
        <f t="shared" si="338"/>
        <v>#VALUE!</v>
      </c>
      <c r="AD1203" s="17" t="s">
        <v>536</v>
      </c>
      <c r="AG1203" s="34">
        <f t="shared" si="339"/>
        <v>0</v>
      </c>
      <c r="AH1203" s="44" t="s">
        <v>3825</v>
      </c>
      <c r="AI1203" s="131"/>
      <c r="AK1203" s="66">
        <f t="shared" si="340"/>
        <v>0</v>
      </c>
      <c r="AL1203" s="174">
        <f t="shared" si="341"/>
        <v>0</v>
      </c>
      <c r="AM1203" s="346">
        <f>RTD("money.excel",,$G1203,"PredictVolume")</f>
        <v>0</v>
      </c>
      <c r="AN1203" s="272">
        <f>RTD("money.excel",,$G1203,"CumulativeVolume")</f>
        <v>0</v>
      </c>
      <c r="AO1203" s="284"/>
    </row>
    <row r="1204" spans="1:41">
      <c r="A1204" s="135" t="s">
        <v>2561</v>
      </c>
      <c r="B1204" s="98">
        <v>1089</v>
      </c>
      <c r="C1204" s="98">
        <v>5659</v>
      </c>
      <c r="D1204" s="84">
        <v>7</v>
      </c>
      <c r="E1204" s="84">
        <v>40</v>
      </c>
      <c r="F1204" s="59">
        <v>10.67</v>
      </c>
      <c r="G1204" s="85">
        <v>8046</v>
      </c>
      <c r="H1204" s="4" t="s">
        <v>559</v>
      </c>
      <c r="I1204" s="23" t="s">
        <v>509</v>
      </c>
      <c r="J1204" s="371">
        <v>81.680000000000007</v>
      </c>
      <c r="K1204" s="371">
        <v>14.59</v>
      </c>
      <c r="L1204" s="371">
        <v>6.31</v>
      </c>
      <c r="N1204" s="365">
        <f t="shared" si="343"/>
        <v>102.58000000000001</v>
      </c>
      <c r="O1204" s="343">
        <f t="shared" si="335"/>
        <v>81.680000000000007</v>
      </c>
      <c r="P1204" s="195">
        <v>29</v>
      </c>
      <c r="Q1204" s="326">
        <f>IFERROR(VLOOKUP($G1204,主力整理!$A$2:$G$2301,6,0),"0")</f>
        <v>5</v>
      </c>
      <c r="R1204" s="111">
        <v>15</v>
      </c>
      <c r="S1204" s="51">
        <v>16</v>
      </c>
      <c r="T1204" s="339">
        <f t="shared" si="336"/>
        <v>65</v>
      </c>
      <c r="V1204" s="371">
        <v>0.73</v>
      </c>
      <c r="W1204" s="69">
        <v>3.4</v>
      </c>
      <c r="X1204" s="59">
        <v>5.67</v>
      </c>
      <c r="Y1204" s="37" t="str">
        <f>RTD("money.excel",,"8046","Price")</f>
        <v>無資料</v>
      </c>
      <c r="Z1204" s="69"/>
      <c r="AA1204" s="16" t="e">
        <f t="shared" si="337"/>
        <v>#VALUE!</v>
      </c>
      <c r="AB1204" s="3" t="e">
        <f t="shared" si="338"/>
        <v>#VALUE!</v>
      </c>
      <c r="AC1204" s="177" t="s">
        <v>2929</v>
      </c>
      <c r="AD1204" s="23" t="s">
        <v>509</v>
      </c>
      <c r="AG1204" s="34">
        <f t="shared" si="339"/>
        <v>0</v>
      </c>
      <c r="AH1204" s="126" t="s">
        <v>3680</v>
      </c>
      <c r="AI1204" s="131"/>
      <c r="AK1204" s="66">
        <f t="shared" si="340"/>
        <v>0</v>
      </c>
      <c r="AL1204" s="174">
        <f t="shared" si="341"/>
        <v>0</v>
      </c>
      <c r="AM1204" s="346">
        <f>RTD("money.excel",,$G1204,"PredictVolume")</f>
        <v>0</v>
      </c>
      <c r="AN1204" s="272">
        <f>RTD("money.excel",,$G1204,"CumulativeVolume")</f>
        <v>0</v>
      </c>
      <c r="AO1204" s="284"/>
    </row>
    <row r="1205" spans="1:41">
      <c r="A1205" s="151" t="s">
        <v>3500</v>
      </c>
      <c r="B1205" s="96">
        <v>-59</v>
      </c>
      <c r="C1205" s="96">
        <v>-53</v>
      </c>
      <c r="D1205" s="96">
        <v>-18</v>
      </c>
      <c r="E1205" s="96">
        <v>13</v>
      </c>
      <c r="F1205" s="7">
        <v>5.57</v>
      </c>
      <c r="G1205" s="85">
        <v>8071</v>
      </c>
      <c r="H1205" s="4" t="s">
        <v>559</v>
      </c>
      <c r="I1205" s="17" t="s">
        <v>4631</v>
      </c>
      <c r="J1205" s="77">
        <v>45.66</v>
      </c>
      <c r="K1205" s="77">
        <v>4.0599999999999996</v>
      </c>
      <c r="L1205" s="77">
        <v>22.5</v>
      </c>
      <c r="N1205" s="365">
        <f t="shared" si="343"/>
        <v>72.22</v>
      </c>
      <c r="O1205" s="343">
        <f t="shared" si="335"/>
        <v>45.66</v>
      </c>
      <c r="P1205" s="195" t="s">
        <v>5554</v>
      </c>
      <c r="Q1205" s="326" t="str">
        <f>IFERROR(VLOOKUP($G1205,主力整理!$A$2:$G$2301,6,0),"0")</f>
        <v>0</v>
      </c>
      <c r="T1205" s="339">
        <f t="shared" si="336"/>
        <v>0</v>
      </c>
      <c r="V1205" s="371">
        <v>16.46</v>
      </c>
      <c r="W1205" s="35">
        <v>0.5</v>
      </c>
      <c r="X1205" s="100">
        <v>0.28000000000000003</v>
      </c>
      <c r="Y1205" s="37" t="str">
        <f>RTD("money.excel",,"8071","Price")</f>
        <v>無資料</v>
      </c>
      <c r="Z1205" s="69"/>
      <c r="AA1205" s="16" t="e">
        <f t="shared" si="337"/>
        <v>#VALUE!</v>
      </c>
      <c r="AB1205" s="3" t="e">
        <f t="shared" si="338"/>
        <v>#VALUE!</v>
      </c>
      <c r="AD1205" s="17" t="s">
        <v>4631</v>
      </c>
      <c r="AG1205" s="34">
        <f t="shared" si="339"/>
        <v>0</v>
      </c>
      <c r="AH1205" s="44" t="s">
        <v>3826</v>
      </c>
      <c r="AI1205" s="131"/>
      <c r="AK1205" s="66">
        <f t="shared" si="340"/>
        <v>0</v>
      </c>
      <c r="AL1205" s="174">
        <f t="shared" si="341"/>
        <v>0</v>
      </c>
      <c r="AM1205" s="346">
        <f>RTD("money.excel",,$G1205,"PredictVolume")</f>
        <v>0</v>
      </c>
      <c r="AN1205" s="272">
        <f>RTD("money.excel",,$G1205,"CumulativeVolume")</f>
        <v>0</v>
      </c>
      <c r="AO1205" s="284"/>
    </row>
    <row r="1206" spans="1:41">
      <c r="A1206" s="151" t="s">
        <v>4632</v>
      </c>
      <c r="B1206" s="85">
        <v>-69</v>
      </c>
      <c r="C1206" s="85">
        <v>-81</v>
      </c>
      <c r="D1206" s="85">
        <v>-8</v>
      </c>
      <c r="E1206" s="85">
        <v>-3</v>
      </c>
      <c r="F1206" s="7">
        <v>1.8</v>
      </c>
      <c r="G1206" s="85">
        <v>8074</v>
      </c>
      <c r="H1206" s="4" t="s">
        <v>559</v>
      </c>
      <c r="I1206" s="17" t="s">
        <v>795</v>
      </c>
      <c r="J1206" s="77">
        <v>40.950000000000003</v>
      </c>
      <c r="K1206" s="371">
        <v>2.94</v>
      </c>
      <c r="L1206" s="77">
        <v>2.99</v>
      </c>
      <c r="N1206" s="365">
        <f t="shared" si="343"/>
        <v>46.88</v>
      </c>
      <c r="O1206" s="343">
        <f t="shared" ref="O1206:O1220" si="344">J1206+M1206</f>
        <v>40.950000000000003</v>
      </c>
      <c r="P1206" s="195">
        <v>1</v>
      </c>
      <c r="Q1206" s="326" t="str">
        <f>IFERROR(VLOOKUP($G1206,主力整理!$A$2:$G$2301,6,0),"0")</f>
        <v>0</v>
      </c>
      <c r="T1206" s="339">
        <f t="shared" ref="T1206:T1269" si="345">SUM(P1206:S1206)</f>
        <v>1</v>
      </c>
      <c r="V1206" s="371">
        <v>14.58</v>
      </c>
      <c r="W1206" s="35">
        <v>1</v>
      </c>
      <c r="X1206" s="100">
        <v>0.92</v>
      </c>
      <c r="Y1206" s="37" t="str">
        <f>RTD("money.excel",,"8074","Price")</f>
        <v>無資料</v>
      </c>
      <c r="Z1206" s="69"/>
      <c r="AA1206" s="16" t="e">
        <f t="shared" ref="AA1206:AA1269" si="346">Y1206-Z1206</f>
        <v>#VALUE!</v>
      </c>
      <c r="AB1206" s="3" t="e">
        <f t="shared" ref="AB1206:AB1269" si="347">AA1206/Z1206</f>
        <v>#VALUE!</v>
      </c>
      <c r="AC1206" s="177" t="s">
        <v>2648</v>
      </c>
      <c r="AD1206" s="17" t="s">
        <v>795</v>
      </c>
      <c r="AG1206" s="34">
        <f t="shared" ref="AG1206:AG1269" si="348">AF1206-AE1206</f>
        <v>0</v>
      </c>
      <c r="AH1206" s="44" t="s">
        <v>3827</v>
      </c>
      <c r="AI1206" s="131"/>
      <c r="AK1206" s="66">
        <f t="shared" si="340"/>
        <v>0</v>
      </c>
      <c r="AL1206" s="174">
        <f t="shared" si="341"/>
        <v>0</v>
      </c>
      <c r="AM1206" s="346">
        <f>RTD("money.excel",,$G1206,"PredictVolume")</f>
        <v>0</v>
      </c>
      <c r="AN1206" s="272">
        <f>RTD("money.excel",,$G1206,"CumulativeVolume")</f>
        <v>0</v>
      </c>
      <c r="AO1206" s="284"/>
    </row>
    <row r="1207" spans="1:41">
      <c r="A1207" s="151" t="s">
        <v>4633</v>
      </c>
      <c r="B1207" s="96">
        <v>-99</v>
      </c>
      <c r="C1207" s="96">
        <v>-5</v>
      </c>
      <c r="D1207" s="96">
        <v>-31</v>
      </c>
      <c r="E1207" s="145">
        <v>2355</v>
      </c>
      <c r="F1207" s="77">
        <v>-288.55</v>
      </c>
      <c r="G1207" s="85">
        <v>8080</v>
      </c>
      <c r="H1207" s="4" t="s">
        <v>559</v>
      </c>
      <c r="I1207" s="17" t="s">
        <v>4634</v>
      </c>
      <c r="J1207" s="77">
        <v>31.6</v>
      </c>
      <c r="K1207" s="77">
        <v>0.03</v>
      </c>
      <c r="N1207" s="365">
        <f t="shared" si="343"/>
        <v>31.630000000000003</v>
      </c>
      <c r="O1207" s="343">
        <f t="shared" si="344"/>
        <v>31.6</v>
      </c>
      <c r="P1207" s="195" t="s">
        <v>5554</v>
      </c>
      <c r="Q1207" s="326" t="str">
        <f>IFERROR(VLOOKUP($G1207,主力整理!$A$2:$G$2301,6,0),"0")</f>
        <v>0</v>
      </c>
      <c r="T1207" s="339">
        <f t="shared" si="345"/>
        <v>0</v>
      </c>
      <c r="V1207" s="371">
        <v>12.59</v>
      </c>
      <c r="W1207" s="35">
        <v>0</v>
      </c>
      <c r="X1207" s="100"/>
      <c r="Y1207" s="37" t="str">
        <f>RTD("money.excel",,"8080","Price")</f>
        <v>無資料</v>
      </c>
      <c r="Z1207" s="69"/>
      <c r="AA1207" s="16" t="e">
        <f t="shared" si="346"/>
        <v>#VALUE!</v>
      </c>
      <c r="AB1207" s="3" t="e">
        <f t="shared" si="347"/>
        <v>#VALUE!</v>
      </c>
      <c r="AD1207" s="17" t="s">
        <v>4634</v>
      </c>
      <c r="AG1207" s="34">
        <f t="shared" si="348"/>
        <v>0</v>
      </c>
      <c r="AH1207" s="44" t="s">
        <v>3828</v>
      </c>
      <c r="AI1207" s="131"/>
      <c r="AK1207" s="66">
        <f t="shared" si="340"/>
        <v>0</v>
      </c>
      <c r="AL1207" s="174">
        <f t="shared" si="341"/>
        <v>0</v>
      </c>
      <c r="AM1207" s="346">
        <f>RTD("money.excel",,$G1207,"PredictVolume")</f>
        <v>0</v>
      </c>
      <c r="AN1207" s="272">
        <f>RTD("money.excel",,$G1207,"CumulativeVolume")</f>
        <v>0</v>
      </c>
      <c r="AO1207" s="284"/>
    </row>
    <row r="1208" spans="1:41">
      <c r="A1208" s="135" t="s">
        <v>4606</v>
      </c>
      <c r="B1208" s="85">
        <v>-51</v>
      </c>
      <c r="C1208" s="84">
        <v>-44</v>
      </c>
      <c r="D1208" s="85">
        <v>-6</v>
      </c>
      <c r="E1208" s="84">
        <v>-35</v>
      </c>
      <c r="F1208" s="59">
        <v>15.88</v>
      </c>
      <c r="G1208" s="85">
        <v>8091</v>
      </c>
      <c r="H1208" s="55" t="s">
        <v>559</v>
      </c>
      <c r="I1208" s="17" t="s">
        <v>316</v>
      </c>
      <c r="J1208" s="371">
        <v>39.630000000000003</v>
      </c>
      <c r="K1208" s="371">
        <v>4.72</v>
      </c>
      <c r="L1208" s="77">
        <v>6.31</v>
      </c>
      <c r="N1208" s="365">
        <f t="shared" si="343"/>
        <v>50.660000000000004</v>
      </c>
      <c r="O1208" s="343">
        <f t="shared" si="344"/>
        <v>39.630000000000003</v>
      </c>
      <c r="P1208" s="195">
        <v>1</v>
      </c>
      <c r="Q1208" s="326" t="str">
        <f>IFERROR(VLOOKUP($G1208,主力整理!$A$2:$G$2301,6,0),"0")</f>
        <v>0</v>
      </c>
      <c r="T1208" s="339">
        <f t="shared" si="345"/>
        <v>1</v>
      </c>
      <c r="V1208" s="371">
        <v>9.75</v>
      </c>
      <c r="W1208" s="35">
        <v>2.6</v>
      </c>
      <c r="X1208" s="100">
        <v>4.03</v>
      </c>
      <c r="Y1208" s="37" t="str">
        <f>RTD("money.excel",,"8091","Price")</f>
        <v>無資料</v>
      </c>
      <c r="Z1208" s="69"/>
      <c r="AA1208" s="16" t="e">
        <f t="shared" si="346"/>
        <v>#VALUE!</v>
      </c>
      <c r="AB1208" s="3" t="e">
        <f t="shared" si="347"/>
        <v>#VALUE!</v>
      </c>
      <c r="AC1208" s="177" t="s">
        <v>2648</v>
      </c>
      <c r="AD1208" s="17" t="s">
        <v>316</v>
      </c>
      <c r="AG1208" s="34">
        <f t="shared" si="348"/>
        <v>0</v>
      </c>
      <c r="AH1208" s="126" t="s">
        <v>3829</v>
      </c>
      <c r="AI1208" s="131"/>
      <c r="AK1208" s="66">
        <f t="shared" si="340"/>
        <v>0</v>
      </c>
      <c r="AL1208" s="174">
        <f t="shared" si="341"/>
        <v>0</v>
      </c>
      <c r="AM1208" s="346">
        <f>RTD("money.excel",,$G1208,"PredictVolume")</f>
        <v>0</v>
      </c>
      <c r="AN1208" s="272">
        <f>RTD("money.excel",,$G1208,"CumulativeVolume")</f>
        <v>0</v>
      </c>
      <c r="AO1208" s="284"/>
    </row>
    <row r="1209" spans="1:41">
      <c r="A1209" s="151" t="s">
        <v>4635</v>
      </c>
      <c r="B1209" s="96">
        <v>108</v>
      </c>
      <c r="C1209" s="96">
        <v>99</v>
      </c>
      <c r="D1209" s="96">
        <v>-3</v>
      </c>
      <c r="E1209" s="96">
        <v>52</v>
      </c>
      <c r="F1209" s="7">
        <v>-4.6500000000000004</v>
      </c>
      <c r="G1209" s="85">
        <v>8093</v>
      </c>
      <c r="H1209" s="4" t="s">
        <v>559</v>
      </c>
      <c r="I1209" s="17" t="s">
        <v>796</v>
      </c>
      <c r="J1209" s="77">
        <v>52.19</v>
      </c>
      <c r="K1209" s="77">
        <v>0.01</v>
      </c>
      <c r="N1209" s="365">
        <f t="shared" si="343"/>
        <v>52.199999999999996</v>
      </c>
      <c r="O1209" s="343">
        <f t="shared" si="344"/>
        <v>52.19</v>
      </c>
      <c r="P1209" s="195" t="s">
        <v>5554</v>
      </c>
      <c r="Q1209" s="326" t="str">
        <f>IFERROR(VLOOKUP($G1209,主力整理!$A$2:$G$2301,6,0),"0")</f>
        <v>0</v>
      </c>
      <c r="T1209" s="339">
        <f t="shared" si="345"/>
        <v>0</v>
      </c>
      <c r="V1209" s="371">
        <v>28.23</v>
      </c>
      <c r="W1209" s="35">
        <v>0</v>
      </c>
      <c r="X1209" s="100">
        <v>0.31</v>
      </c>
      <c r="Y1209" s="14" t="str">
        <f>RTD("money.excel",,"8093","Price")</f>
        <v>無資料</v>
      </c>
      <c r="Z1209" s="69"/>
      <c r="AA1209" s="16" t="e">
        <f t="shared" si="346"/>
        <v>#VALUE!</v>
      </c>
      <c r="AB1209" s="3" t="e">
        <f t="shared" si="347"/>
        <v>#VALUE!</v>
      </c>
      <c r="AD1209" s="17" t="s">
        <v>796</v>
      </c>
      <c r="AG1209" s="34">
        <f t="shared" si="348"/>
        <v>0</v>
      </c>
      <c r="AH1209" s="44" t="s">
        <v>3830</v>
      </c>
      <c r="AI1209" s="131"/>
      <c r="AK1209" s="66">
        <f t="shared" si="340"/>
        <v>0</v>
      </c>
      <c r="AL1209" s="174">
        <f t="shared" si="341"/>
        <v>0</v>
      </c>
      <c r="AM1209" s="346">
        <f>RTD("money.excel",,$G1209,"PredictVolume")</f>
        <v>0</v>
      </c>
      <c r="AN1209" s="272">
        <f>RTD("money.excel",,$G1209,"CumulativeVolume")</f>
        <v>0</v>
      </c>
      <c r="AO1209" s="284"/>
    </row>
    <row r="1210" spans="1:41">
      <c r="A1210" s="135" t="s">
        <v>4660</v>
      </c>
      <c r="B1210" s="84">
        <v>38</v>
      </c>
      <c r="C1210" s="84">
        <v>42</v>
      </c>
      <c r="D1210" s="85">
        <v>-11</v>
      </c>
      <c r="E1210" s="85">
        <v>-8</v>
      </c>
      <c r="F1210" s="59">
        <v>11.05</v>
      </c>
      <c r="G1210" s="85">
        <v>8103</v>
      </c>
      <c r="H1210" s="4" t="s">
        <v>559</v>
      </c>
      <c r="I1210" s="23" t="s">
        <v>727</v>
      </c>
      <c r="J1210" s="371">
        <v>32.979999999999997</v>
      </c>
      <c r="K1210" s="371">
        <v>7.45</v>
      </c>
      <c r="L1210" s="371">
        <v>21.11</v>
      </c>
      <c r="N1210" s="365">
        <f t="shared" si="343"/>
        <v>61.54</v>
      </c>
      <c r="O1210" s="343">
        <f t="shared" si="344"/>
        <v>32.979999999999997</v>
      </c>
      <c r="P1210" s="195" t="s">
        <v>5554</v>
      </c>
      <c r="Q1210" s="326" t="str">
        <f>IFERROR(VLOOKUP($G1210,主力整理!$A$2:$G$2301,6,0),"0")</f>
        <v>0</v>
      </c>
      <c r="T1210" s="339">
        <f t="shared" si="345"/>
        <v>0</v>
      </c>
      <c r="V1210" s="371">
        <v>0.45</v>
      </c>
      <c r="W1210" s="35">
        <v>1.4</v>
      </c>
      <c r="X1210" s="100">
        <v>2.69</v>
      </c>
      <c r="Y1210" s="37" t="str">
        <f>RTD("money.excel",,"8103","Price")</f>
        <v>無資料</v>
      </c>
      <c r="Z1210" s="69"/>
      <c r="AA1210" s="16" t="e">
        <f t="shared" si="346"/>
        <v>#VALUE!</v>
      </c>
      <c r="AB1210" s="3" t="e">
        <f t="shared" si="347"/>
        <v>#VALUE!</v>
      </c>
      <c r="AD1210" s="23" t="s">
        <v>727</v>
      </c>
      <c r="AG1210" s="34">
        <f t="shared" si="348"/>
        <v>0</v>
      </c>
      <c r="AH1210" s="63" t="s">
        <v>2961</v>
      </c>
      <c r="AI1210" s="131"/>
      <c r="AK1210" s="66">
        <f t="shared" si="340"/>
        <v>0</v>
      </c>
      <c r="AL1210" s="174">
        <f t="shared" si="341"/>
        <v>0</v>
      </c>
      <c r="AM1210" s="346">
        <f>RTD("money.excel",,$G1210,"PredictVolume")</f>
        <v>0</v>
      </c>
      <c r="AN1210" s="272">
        <f>RTD("money.excel",,$G1210,"CumulativeVolume")</f>
        <v>0</v>
      </c>
      <c r="AO1210" s="284"/>
    </row>
    <row r="1211" spans="1:41">
      <c r="A1211" s="135" t="s">
        <v>2921</v>
      </c>
      <c r="B1211" s="84">
        <v>31</v>
      </c>
      <c r="C1211" s="84">
        <v>38</v>
      </c>
      <c r="D1211" s="84">
        <v>2</v>
      </c>
      <c r="E1211" s="84">
        <v>16</v>
      </c>
      <c r="F1211" s="59">
        <v>36.28</v>
      </c>
      <c r="G1211" s="85">
        <v>8109</v>
      </c>
      <c r="H1211" s="4" t="s">
        <v>559</v>
      </c>
      <c r="I1211" s="17" t="s">
        <v>797</v>
      </c>
      <c r="J1211" s="77">
        <v>36.71</v>
      </c>
      <c r="K1211" s="371">
        <v>1.93</v>
      </c>
      <c r="L1211" s="371">
        <v>0.83</v>
      </c>
      <c r="N1211" s="365">
        <f t="shared" si="343"/>
        <v>39.47</v>
      </c>
      <c r="O1211" s="343">
        <f t="shared" si="344"/>
        <v>36.71</v>
      </c>
      <c r="P1211" s="195">
        <v>2</v>
      </c>
      <c r="Q1211" s="326" t="str">
        <f>IFERROR(VLOOKUP($G1211,主力整理!$A$2:$G$2301,6,0),"0")</f>
        <v>0</v>
      </c>
      <c r="R1211" s="111">
        <v>0</v>
      </c>
      <c r="S1211" s="51">
        <v>1</v>
      </c>
      <c r="T1211" s="339">
        <f t="shared" si="345"/>
        <v>3</v>
      </c>
      <c r="V1211" s="371">
        <v>0</v>
      </c>
      <c r="W1211" s="69">
        <v>3.5</v>
      </c>
      <c r="X1211" s="100">
        <v>5.03</v>
      </c>
      <c r="Y1211" s="37" t="str">
        <f>RTD("money.excel",,"8109","Price")</f>
        <v>無資料</v>
      </c>
      <c r="Z1211" s="69"/>
      <c r="AA1211" s="16" t="e">
        <f t="shared" si="346"/>
        <v>#VALUE!</v>
      </c>
      <c r="AB1211" s="3" t="e">
        <f t="shared" si="347"/>
        <v>#VALUE!</v>
      </c>
      <c r="AC1211" s="177" t="s">
        <v>2929</v>
      </c>
      <c r="AD1211" s="17" t="s">
        <v>797</v>
      </c>
      <c r="AG1211" s="34">
        <f t="shared" si="348"/>
        <v>0</v>
      </c>
      <c r="AH1211" s="63" t="s">
        <v>3830</v>
      </c>
      <c r="AI1211" s="131"/>
      <c r="AK1211" s="66">
        <f t="shared" si="340"/>
        <v>0</v>
      </c>
      <c r="AL1211" s="174">
        <f t="shared" si="341"/>
        <v>0</v>
      </c>
      <c r="AM1211" s="346">
        <f>RTD("money.excel",,$G1211,"PredictVolume")</f>
        <v>0</v>
      </c>
      <c r="AN1211" s="272">
        <f>RTD("money.excel",,$G1211,"CumulativeVolume")</f>
        <v>0</v>
      </c>
      <c r="AO1211" s="284"/>
    </row>
    <row r="1212" spans="1:41">
      <c r="A1212" s="151" t="s">
        <v>4636</v>
      </c>
      <c r="B1212" s="96">
        <v>161</v>
      </c>
      <c r="C1212" s="96">
        <v>317</v>
      </c>
      <c r="D1212" s="96">
        <v>15</v>
      </c>
      <c r="E1212" s="96">
        <v>35</v>
      </c>
      <c r="F1212" s="7">
        <v>5.27</v>
      </c>
      <c r="G1212" s="85">
        <v>8121</v>
      </c>
      <c r="H1212" s="4" t="s">
        <v>559</v>
      </c>
      <c r="I1212" s="17" t="s">
        <v>798</v>
      </c>
      <c r="J1212" s="77">
        <v>50.84</v>
      </c>
      <c r="K1212" s="77">
        <v>0.7</v>
      </c>
      <c r="N1212" s="365">
        <f t="shared" si="343"/>
        <v>51.540000000000006</v>
      </c>
      <c r="O1212" s="343">
        <f t="shared" si="344"/>
        <v>50.84</v>
      </c>
      <c r="P1212" s="195" t="s">
        <v>5554</v>
      </c>
      <c r="Q1212" s="326">
        <f>IFERROR(VLOOKUP($G1212,主力整理!$A$2:$G$2301,6,0),"0")</f>
        <v>5</v>
      </c>
      <c r="T1212" s="339">
        <f t="shared" si="345"/>
        <v>5</v>
      </c>
      <c r="V1212" s="371">
        <v>27.85</v>
      </c>
      <c r="W1212" s="35">
        <v>0</v>
      </c>
      <c r="X1212" s="100">
        <v>0.18</v>
      </c>
      <c r="Y1212" s="14" t="str">
        <f>RTD("money.excel",,"8121","Price")</f>
        <v>無資料</v>
      </c>
      <c r="Z1212" s="69"/>
      <c r="AA1212" s="16" t="e">
        <f t="shared" si="346"/>
        <v>#VALUE!</v>
      </c>
      <c r="AB1212" s="3" t="e">
        <f t="shared" si="347"/>
        <v>#VALUE!</v>
      </c>
      <c r="AD1212" s="17" t="s">
        <v>798</v>
      </c>
      <c r="AG1212" s="34">
        <f t="shared" si="348"/>
        <v>0</v>
      </c>
      <c r="AH1212" s="44" t="s">
        <v>3831</v>
      </c>
      <c r="AI1212" s="131"/>
      <c r="AK1212" s="66">
        <f t="shared" si="340"/>
        <v>0</v>
      </c>
      <c r="AL1212" s="174">
        <f t="shared" si="341"/>
        <v>0</v>
      </c>
      <c r="AM1212" s="346">
        <f>RTD("money.excel",,$G1212,"PredictVolume")</f>
        <v>0</v>
      </c>
      <c r="AN1212" s="272">
        <f>RTD("money.excel",,$G1212,"CumulativeVolume")</f>
        <v>0</v>
      </c>
      <c r="AO1212" s="284"/>
    </row>
    <row r="1213" spans="1:41">
      <c r="A1213" s="151" t="s">
        <v>5225</v>
      </c>
      <c r="B1213" s="84">
        <v>249</v>
      </c>
      <c r="C1213" s="84">
        <v>214</v>
      </c>
      <c r="D1213" s="84">
        <v>124</v>
      </c>
      <c r="E1213" s="84">
        <v>24</v>
      </c>
      <c r="F1213" s="7">
        <v>2.36</v>
      </c>
      <c r="G1213" s="85">
        <v>8147</v>
      </c>
      <c r="H1213" s="4" t="s">
        <v>559</v>
      </c>
      <c r="I1213" s="17" t="s">
        <v>799</v>
      </c>
      <c r="J1213" s="371">
        <v>40.44</v>
      </c>
      <c r="K1213" s="77">
        <v>1.99</v>
      </c>
      <c r="L1213" s="77">
        <v>3.33</v>
      </c>
      <c r="N1213" s="365">
        <f t="shared" si="343"/>
        <v>45.76</v>
      </c>
      <c r="O1213" s="343">
        <f t="shared" si="344"/>
        <v>40.44</v>
      </c>
      <c r="P1213" s="195">
        <v>1</v>
      </c>
      <c r="Q1213" s="326" t="str">
        <f>IFERROR(VLOOKUP($G1213,主力整理!$A$2:$G$2301,6,0),"0")</f>
        <v>0</v>
      </c>
      <c r="T1213" s="339">
        <f t="shared" si="345"/>
        <v>1</v>
      </c>
      <c r="V1213" s="371">
        <v>0</v>
      </c>
      <c r="W1213" s="35">
        <v>0.5</v>
      </c>
      <c r="X1213" s="100">
        <v>0.42</v>
      </c>
      <c r="Y1213" s="37" t="str">
        <f>RTD("money.excel",,"8147","Price")</f>
        <v>無資料</v>
      </c>
      <c r="Z1213" s="69"/>
      <c r="AA1213" s="16" t="e">
        <f t="shared" si="346"/>
        <v>#VALUE!</v>
      </c>
      <c r="AB1213" s="3" t="e">
        <f t="shared" si="347"/>
        <v>#VALUE!</v>
      </c>
      <c r="AC1213" s="177" t="s">
        <v>2648</v>
      </c>
      <c r="AD1213" s="17" t="s">
        <v>799</v>
      </c>
      <c r="AG1213" s="34">
        <f t="shared" si="348"/>
        <v>0</v>
      </c>
      <c r="AH1213" s="44" t="s">
        <v>2961</v>
      </c>
      <c r="AI1213" s="131"/>
      <c r="AK1213" s="66">
        <f t="shared" ref="AK1213:AK1220" si="349">AM1213/(A1213*10000)</f>
        <v>0</v>
      </c>
      <c r="AL1213" s="174">
        <f t="shared" ref="AL1213:AL1220" si="350">AN1213/(A1213*10000)</f>
        <v>0</v>
      </c>
      <c r="AM1213" s="346">
        <f>RTD("money.excel",,$G1213,"PredictVolume")</f>
        <v>0</v>
      </c>
      <c r="AN1213" s="272">
        <f>RTD("money.excel",,$G1213,"CumulativeVolume")</f>
        <v>0</v>
      </c>
      <c r="AO1213" s="284"/>
    </row>
    <row r="1214" spans="1:41">
      <c r="A1214" s="135" t="s">
        <v>2535</v>
      </c>
      <c r="B1214" s="84">
        <v>233</v>
      </c>
      <c r="C1214" s="84">
        <v>237</v>
      </c>
      <c r="D1214" s="84">
        <v>15</v>
      </c>
      <c r="E1214" s="84">
        <v>8</v>
      </c>
      <c r="F1214" s="59">
        <v>23.39</v>
      </c>
      <c r="G1214" s="85">
        <v>8155</v>
      </c>
      <c r="H1214" s="4" t="s">
        <v>559</v>
      </c>
      <c r="I1214" s="17" t="s">
        <v>162</v>
      </c>
      <c r="J1214" s="77">
        <v>45.87</v>
      </c>
      <c r="K1214" s="77">
        <v>2.86</v>
      </c>
      <c r="L1214" s="77">
        <v>25.55</v>
      </c>
      <c r="N1214" s="365">
        <f t="shared" si="343"/>
        <v>74.28</v>
      </c>
      <c r="O1214" s="343">
        <f t="shared" si="344"/>
        <v>45.87</v>
      </c>
      <c r="P1214" s="195" t="s">
        <v>5554</v>
      </c>
      <c r="Q1214" s="326" t="str">
        <f>IFERROR(VLOOKUP($G1214,主力整理!$A$2:$G$2301,6,0),"0")</f>
        <v>0</v>
      </c>
      <c r="T1214" s="339">
        <f t="shared" si="345"/>
        <v>0</v>
      </c>
      <c r="V1214" s="371">
        <v>0.18</v>
      </c>
      <c r="W1214" s="69">
        <v>3.6</v>
      </c>
      <c r="X1214" s="100">
        <v>10.69</v>
      </c>
      <c r="Y1214" s="37" t="str">
        <f>RTD("money.excel",,"8155","Price")</f>
        <v>無資料</v>
      </c>
      <c r="Z1214" s="69"/>
      <c r="AA1214" s="16" t="e">
        <f t="shared" si="346"/>
        <v>#VALUE!</v>
      </c>
      <c r="AB1214" s="3" t="e">
        <f t="shared" si="347"/>
        <v>#VALUE!</v>
      </c>
      <c r="AC1214" s="177" t="s">
        <v>2700</v>
      </c>
      <c r="AD1214" s="17" t="s">
        <v>162</v>
      </c>
      <c r="AG1214" s="34">
        <f t="shared" si="348"/>
        <v>0</v>
      </c>
      <c r="AH1214" s="126" t="s">
        <v>1690</v>
      </c>
      <c r="AI1214" s="131"/>
      <c r="AK1214" s="66">
        <f t="shared" si="349"/>
        <v>0</v>
      </c>
      <c r="AL1214" s="174">
        <f t="shared" si="350"/>
        <v>0</v>
      </c>
      <c r="AM1214" s="346">
        <f>RTD("money.excel",,$G1214,"PredictVolume")</f>
        <v>0</v>
      </c>
      <c r="AN1214" s="272">
        <f>RTD("money.excel",,$G1214,"CumulativeVolume")</f>
        <v>0</v>
      </c>
      <c r="AO1214" s="284"/>
    </row>
    <row r="1215" spans="1:41">
      <c r="A1215" s="151" t="s">
        <v>2669</v>
      </c>
      <c r="B1215" s="85">
        <v>-14</v>
      </c>
      <c r="C1215" s="85">
        <v>-24</v>
      </c>
      <c r="D1215" s="85">
        <v>-1</v>
      </c>
      <c r="E1215" s="84">
        <v>1</v>
      </c>
      <c r="F1215" s="7">
        <v>6.3</v>
      </c>
      <c r="G1215" s="85">
        <v>8182</v>
      </c>
      <c r="H1215" s="4" t="s">
        <v>559</v>
      </c>
      <c r="I1215" s="17" t="s">
        <v>800</v>
      </c>
      <c r="J1215" s="77">
        <v>64.239999999999995</v>
      </c>
      <c r="K1215" s="371">
        <v>51.75</v>
      </c>
      <c r="L1215" s="77">
        <v>11.29</v>
      </c>
      <c r="N1215" s="365">
        <f t="shared" si="343"/>
        <v>127.28</v>
      </c>
      <c r="O1215" s="343">
        <f t="shared" si="344"/>
        <v>64.239999999999995</v>
      </c>
      <c r="P1215" s="195" t="s">
        <v>5554</v>
      </c>
      <c r="Q1215" s="326">
        <f>IFERROR(VLOOKUP($G1215,主力整理!$A$2:$G$2301,6,0),"0")</f>
        <v>4</v>
      </c>
      <c r="T1215" s="339">
        <f t="shared" si="345"/>
        <v>4</v>
      </c>
      <c r="V1215" s="371">
        <v>55.2</v>
      </c>
      <c r="W1215" s="35">
        <v>1.5</v>
      </c>
      <c r="X1215" s="59">
        <v>2.08</v>
      </c>
      <c r="Y1215" s="14" t="str">
        <f>RTD("money.excel",,"8182","Price")</f>
        <v>無資料</v>
      </c>
      <c r="Z1215" s="69"/>
      <c r="AA1215" s="16" t="e">
        <f t="shared" si="346"/>
        <v>#VALUE!</v>
      </c>
      <c r="AB1215" s="3" t="e">
        <f t="shared" si="347"/>
        <v>#VALUE!</v>
      </c>
      <c r="AC1215" s="177" t="s">
        <v>2648</v>
      </c>
      <c r="AD1215" s="17" t="s">
        <v>800</v>
      </c>
      <c r="AG1215" s="34">
        <f t="shared" si="348"/>
        <v>0</v>
      </c>
      <c r="AH1215" s="44" t="s">
        <v>2124</v>
      </c>
      <c r="AI1215" s="131"/>
      <c r="AK1215" s="66">
        <f t="shared" si="349"/>
        <v>0</v>
      </c>
      <c r="AL1215" s="174">
        <f t="shared" si="350"/>
        <v>0</v>
      </c>
      <c r="AM1215" s="346">
        <f>RTD("money.excel",,$G1215,"PredictVolume")</f>
        <v>0</v>
      </c>
      <c r="AN1215" s="272">
        <f>RTD("money.excel",,$G1215,"CumulativeVolume")</f>
        <v>0</v>
      </c>
      <c r="AO1215" s="284"/>
    </row>
    <row r="1216" spans="1:41">
      <c r="A1216" s="151" t="s">
        <v>2536</v>
      </c>
      <c r="B1216" s="85">
        <v>-15</v>
      </c>
      <c r="C1216" s="84">
        <v>64</v>
      </c>
      <c r="D1216" s="85">
        <v>-2</v>
      </c>
      <c r="E1216" s="84">
        <v>21</v>
      </c>
      <c r="F1216" s="7">
        <v>8.6</v>
      </c>
      <c r="G1216" s="85">
        <v>8213</v>
      </c>
      <c r="H1216" s="4" t="s">
        <v>559</v>
      </c>
      <c r="I1216" s="23" t="s">
        <v>207</v>
      </c>
      <c r="J1216" s="77">
        <v>34.56</v>
      </c>
      <c r="K1216" s="77">
        <v>21.05</v>
      </c>
      <c r="L1216" s="371">
        <v>9</v>
      </c>
      <c r="N1216" s="365">
        <f t="shared" si="343"/>
        <v>64.61</v>
      </c>
      <c r="O1216" s="343">
        <f t="shared" si="344"/>
        <v>34.56</v>
      </c>
      <c r="P1216" s="195">
        <v>0</v>
      </c>
      <c r="Q1216" s="326">
        <v>7</v>
      </c>
      <c r="R1216" s="111">
        <v>1</v>
      </c>
      <c r="S1216" s="51">
        <v>2</v>
      </c>
      <c r="T1216" s="339">
        <f t="shared" si="345"/>
        <v>10</v>
      </c>
      <c r="V1216" s="371">
        <v>0.16</v>
      </c>
      <c r="W1216" s="69">
        <v>3.5</v>
      </c>
      <c r="X1216" s="100">
        <v>6.1</v>
      </c>
      <c r="Y1216" s="37" t="str">
        <f>RTD("money.excel",,"8213","Price")</f>
        <v>無資料</v>
      </c>
      <c r="Z1216" s="69"/>
      <c r="AA1216" s="16" t="e">
        <f t="shared" si="346"/>
        <v>#VALUE!</v>
      </c>
      <c r="AB1216" s="3" t="e">
        <f t="shared" si="347"/>
        <v>#VALUE!</v>
      </c>
      <c r="AC1216" s="177" t="s">
        <v>2700</v>
      </c>
      <c r="AD1216" s="23" t="s">
        <v>207</v>
      </c>
      <c r="AG1216" s="34">
        <f t="shared" si="348"/>
        <v>0</v>
      </c>
      <c r="AH1216" s="125" t="s">
        <v>4012</v>
      </c>
      <c r="AI1216" s="131"/>
      <c r="AK1216" s="66">
        <f t="shared" si="349"/>
        <v>0</v>
      </c>
      <c r="AL1216" s="174">
        <f t="shared" si="350"/>
        <v>0</v>
      </c>
      <c r="AM1216" s="346">
        <f>RTD("money.excel",,$G1216,"PredictVolume")</f>
        <v>0</v>
      </c>
      <c r="AN1216" s="272">
        <f>RTD("money.excel",,$G1216,"CumulativeVolume")</f>
        <v>0</v>
      </c>
      <c r="AO1216" s="284"/>
    </row>
    <row r="1217" spans="1:41">
      <c r="A1217" s="151" t="s">
        <v>2310</v>
      </c>
      <c r="B1217" s="85">
        <v>-24</v>
      </c>
      <c r="C1217" s="85">
        <v>-43</v>
      </c>
      <c r="D1217" s="85">
        <v>-1</v>
      </c>
      <c r="E1217" s="85">
        <v>-7</v>
      </c>
      <c r="F1217" s="7">
        <v>4.79</v>
      </c>
      <c r="G1217" s="85">
        <v>8249</v>
      </c>
      <c r="H1217" s="4" t="s">
        <v>559</v>
      </c>
      <c r="I1217" s="23" t="s">
        <v>728</v>
      </c>
      <c r="J1217" s="77">
        <v>34.229999999999997</v>
      </c>
      <c r="K1217" s="77">
        <v>7.87</v>
      </c>
      <c r="L1217" s="77">
        <v>4.92</v>
      </c>
      <c r="N1217" s="365">
        <f t="shared" si="343"/>
        <v>47.019999999999996</v>
      </c>
      <c r="O1217" s="343">
        <f t="shared" si="344"/>
        <v>34.229999999999997</v>
      </c>
      <c r="P1217" s="195">
        <v>1</v>
      </c>
      <c r="Q1217" s="326">
        <f>IFERROR(VLOOKUP($G1217,主力整理!$A$2:$G$2301,6,0),"0")</f>
        <v>8</v>
      </c>
      <c r="T1217" s="339">
        <f t="shared" si="345"/>
        <v>9</v>
      </c>
      <c r="V1217" s="371">
        <v>0.01</v>
      </c>
      <c r="W1217" s="35">
        <v>1.3</v>
      </c>
      <c r="X1217" s="100">
        <v>1.5</v>
      </c>
      <c r="Y1217" s="37" t="str">
        <f>RTD("money.excel",,"8249","Price")</f>
        <v>無資料</v>
      </c>
      <c r="Z1217" s="69"/>
      <c r="AA1217" s="16" t="e">
        <f t="shared" si="346"/>
        <v>#VALUE!</v>
      </c>
      <c r="AB1217" s="3" t="e">
        <f t="shared" si="347"/>
        <v>#VALUE!</v>
      </c>
      <c r="AC1217" s="177" t="s">
        <v>2648</v>
      </c>
      <c r="AD1217" s="23" t="s">
        <v>728</v>
      </c>
      <c r="AG1217" s="34">
        <f t="shared" si="348"/>
        <v>0</v>
      </c>
      <c r="AH1217" s="44" t="s">
        <v>3810</v>
      </c>
      <c r="AI1217" s="131"/>
      <c r="AK1217" s="66">
        <f t="shared" si="349"/>
        <v>0</v>
      </c>
      <c r="AL1217" s="174">
        <f t="shared" si="350"/>
        <v>0</v>
      </c>
      <c r="AM1217" s="346">
        <f>RTD("money.excel",,$G1217,"PredictVolume")</f>
        <v>0</v>
      </c>
      <c r="AN1217" s="272">
        <f>RTD("money.excel",,$G1217,"CumulativeVolume")</f>
        <v>0</v>
      </c>
      <c r="AO1217" s="284"/>
    </row>
    <row r="1218" spans="1:41">
      <c r="A1218" s="151" t="s">
        <v>2656</v>
      </c>
      <c r="B1218" s="85">
        <v>-224</v>
      </c>
      <c r="C1218" s="84">
        <v>187</v>
      </c>
      <c r="D1218" s="85">
        <v>-10</v>
      </c>
      <c r="E1218" s="84">
        <v>50</v>
      </c>
      <c r="F1218" s="7">
        <v>0.41</v>
      </c>
      <c r="G1218" s="85">
        <v>8289</v>
      </c>
      <c r="H1218" s="4" t="s">
        <v>559</v>
      </c>
      <c r="I1218" s="17" t="s">
        <v>801</v>
      </c>
      <c r="J1218" s="77">
        <v>39.03</v>
      </c>
      <c r="K1218" s="371">
        <v>1.2</v>
      </c>
      <c r="L1218" s="77">
        <v>7.32</v>
      </c>
      <c r="N1218" s="365">
        <f t="shared" si="343"/>
        <v>47.550000000000004</v>
      </c>
      <c r="O1218" s="343">
        <f t="shared" si="344"/>
        <v>39.03</v>
      </c>
      <c r="P1218" s="195">
        <v>2</v>
      </c>
      <c r="Q1218" s="326">
        <f>IFERROR(VLOOKUP($G1218,主力整理!$A$2:$G$2301,6,0),"0")</f>
        <v>4</v>
      </c>
      <c r="T1218" s="339">
        <f t="shared" si="345"/>
        <v>6</v>
      </c>
      <c r="V1218" s="371">
        <v>0</v>
      </c>
      <c r="W1218" s="35">
        <v>0.12</v>
      </c>
      <c r="X1218" s="100">
        <v>7.0000000000000007E-2</v>
      </c>
      <c r="Y1218" s="37" t="str">
        <f>RTD("money.excel",,"8289","Price")</f>
        <v>無資料</v>
      </c>
      <c r="Z1218" s="69"/>
      <c r="AA1218" s="16" t="e">
        <f t="shared" si="346"/>
        <v>#VALUE!</v>
      </c>
      <c r="AB1218" s="3" t="e">
        <f t="shared" si="347"/>
        <v>#VALUE!</v>
      </c>
      <c r="AC1218" s="177" t="s">
        <v>2648</v>
      </c>
      <c r="AD1218" s="17" t="s">
        <v>801</v>
      </c>
      <c r="AG1218" s="34">
        <f t="shared" si="348"/>
        <v>0</v>
      </c>
      <c r="AH1218" s="44" t="s">
        <v>2125</v>
      </c>
      <c r="AI1218" s="131"/>
      <c r="AK1218" s="66">
        <f t="shared" si="349"/>
        <v>0</v>
      </c>
      <c r="AL1218" s="174">
        <f t="shared" si="350"/>
        <v>0</v>
      </c>
      <c r="AM1218" s="346">
        <f>RTD("money.excel",,$G1218,"PredictVolume")</f>
        <v>0</v>
      </c>
      <c r="AN1218" s="272">
        <f>RTD("money.excel",,$G1218,"CumulativeVolume")</f>
        <v>0</v>
      </c>
      <c r="AO1218" s="284"/>
    </row>
    <row r="1219" spans="1:41">
      <c r="A1219" s="151" t="s">
        <v>2213</v>
      </c>
      <c r="B1219" s="96">
        <v>-77</v>
      </c>
      <c r="C1219" s="96">
        <v>-79</v>
      </c>
      <c r="D1219" s="96">
        <v>-8</v>
      </c>
      <c r="E1219" s="96">
        <v>4</v>
      </c>
      <c r="F1219" s="7">
        <v>-11.87</v>
      </c>
      <c r="G1219" s="85">
        <v>8291</v>
      </c>
      <c r="H1219" s="4" t="s">
        <v>559</v>
      </c>
      <c r="I1219" s="17" t="s">
        <v>1721</v>
      </c>
      <c r="J1219" s="77">
        <v>77.52</v>
      </c>
      <c r="K1219" s="77">
        <v>52.24</v>
      </c>
      <c r="N1219" s="365">
        <f t="shared" si="343"/>
        <v>129.76</v>
      </c>
      <c r="O1219" s="343">
        <f t="shared" si="344"/>
        <v>77.52</v>
      </c>
      <c r="P1219" s="195" t="s">
        <v>5554</v>
      </c>
      <c r="Q1219" s="326" t="str">
        <f>IFERROR(VLOOKUP($G1219,主力整理!$A$2:$G$2301,6,0),"0")</f>
        <v>0</v>
      </c>
      <c r="T1219" s="339">
        <f t="shared" si="345"/>
        <v>0</v>
      </c>
      <c r="V1219" s="371">
        <v>59.56</v>
      </c>
      <c r="W1219" s="35">
        <v>0</v>
      </c>
      <c r="X1219" s="59">
        <v>-0.82</v>
      </c>
      <c r="Y1219" s="14" t="str">
        <f>RTD("money.excel",,"8291","Price")</f>
        <v>無資料</v>
      </c>
      <c r="Z1219" s="69"/>
      <c r="AA1219" s="16" t="e">
        <f t="shared" si="346"/>
        <v>#VALUE!</v>
      </c>
      <c r="AB1219" s="3" t="e">
        <f t="shared" si="347"/>
        <v>#VALUE!</v>
      </c>
      <c r="AD1219" s="17" t="s">
        <v>1721</v>
      </c>
      <c r="AG1219" s="34">
        <f t="shared" si="348"/>
        <v>0</v>
      </c>
      <c r="AH1219" s="44" t="s">
        <v>1686</v>
      </c>
      <c r="AI1219" s="131"/>
      <c r="AK1219" s="66">
        <f t="shared" si="349"/>
        <v>0</v>
      </c>
      <c r="AL1219" s="174">
        <f t="shared" si="350"/>
        <v>0</v>
      </c>
      <c r="AM1219" s="346">
        <f>RTD("money.excel",,$G1219,"PredictVolume")</f>
        <v>0</v>
      </c>
      <c r="AN1219" s="272">
        <f>RTD("money.excel",,$G1219,"CumulativeVolume")</f>
        <v>0</v>
      </c>
      <c r="AO1219" s="284"/>
    </row>
    <row r="1220" spans="1:41">
      <c r="A1220" s="135" t="s">
        <v>2501</v>
      </c>
      <c r="B1220" s="84">
        <v>40</v>
      </c>
      <c r="C1220" s="84">
        <v>26</v>
      </c>
      <c r="D1220" s="84">
        <v>3</v>
      </c>
      <c r="E1220" s="84">
        <v>23</v>
      </c>
      <c r="F1220" s="59">
        <v>12.24</v>
      </c>
      <c r="G1220" s="85">
        <v>8358</v>
      </c>
      <c r="H1220" s="4" t="s">
        <v>559</v>
      </c>
      <c r="I1220" s="17" t="s">
        <v>406</v>
      </c>
      <c r="J1220" s="371">
        <v>42.26</v>
      </c>
      <c r="K1220" s="77">
        <v>17.88</v>
      </c>
      <c r="L1220" s="371">
        <v>30.27</v>
      </c>
      <c r="N1220" s="365">
        <f t="shared" si="343"/>
        <v>90.41</v>
      </c>
      <c r="O1220" s="343">
        <f t="shared" si="344"/>
        <v>42.26</v>
      </c>
      <c r="P1220" s="195">
        <v>6</v>
      </c>
      <c r="Q1220" s="326">
        <f>IFERROR(VLOOKUP($G1220,主力整理!$A$2:$G$2301,6,0),"0")</f>
        <v>2</v>
      </c>
      <c r="R1220" s="111">
        <v>2</v>
      </c>
      <c r="T1220" s="339">
        <f t="shared" si="345"/>
        <v>10</v>
      </c>
      <c r="V1220" s="371">
        <v>2.0699999999999998</v>
      </c>
      <c r="W1220" s="35">
        <v>2</v>
      </c>
      <c r="X1220" s="100">
        <v>2.14</v>
      </c>
      <c r="Y1220" s="37" t="str">
        <f>RTD("money.excel",,"8358","Price")</f>
        <v>無資料</v>
      </c>
      <c r="Z1220" s="69"/>
      <c r="AA1220" s="16" t="e">
        <f t="shared" si="346"/>
        <v>#VALUE!</v>
      </c>
      <c r="AB1220" s="3" t="e">
        <f t="shared" si="347"/>
        <v>#VALUE!</v>
      </c>
      <c r="AC1220" s="177" t="s">
        <v>2648</v>
      </c>
      <c r="AD1220" s="17" t="s">
        <v>406</v>
      </c>
      <c r="AG1220" s="34">
        <f t="shared" si="348"/>
        <v>0</v>
      </c>
      <c r="AH1220" s="126" t="s">
        <v>3832</v>
      </c>
      <c r="AI1220" s="131"/>
      <c r="AK1220" s="66">
        <f t="shared" si="349"/>
        <v>0</v>
      </c>
      <c r="AL1220" s="174">
        <f t="shared" si="350"/>
        <v>0</v>
      </c>
      <c r="AM1220" s="346">
        <f>RTD("money.excel",,$G1220,"PredictVolume")</f>
        <v>0</v>
      </c>
      <c r="AN1220" s="272">
        <f>RTD("money.excel",,$G1220,"CumulativeVolume")</f>
        <v>0</v>
      </c>
      <c r="AO1220" s="284"/>
    </row>
    <row r="1221" spans="1:41">
      <c r="B1221" s="84"/>
      <c r="C1221" s="84"/>
      <c r="D1221" s="84"/>
      <c r="E1221" s="84"/>
      <c r="F1221" s="59"/>
      <c r="G1221" s="85"/>
      <c r="H1221" s="4"/>
      <c r="I1221" s="17"/>
      <c r="J1221" s="371"/>
      <c r="K1221" s="77"/>
      <c r="L1221" s="371"/>
      <c r="N1221" s="365"/>
      <c r="O1221" s="343"/>
      <c r="P1221" s="195"/>
      <c r="W1221" s="35"/>
      <c r="X1221" s="100"/>
      <c r="Y1221" s="37"/>
      <c r="Z1221" s="69"/>
      <c r="AA1221" s="16"/>
      <c r="AB1221" s="3"/>
      <c r="AD1221" s="17"/>
      <c r="AG1221" s="34"/>
      <c r="AH1221" s="126"/>
      <c r="AI1221" s="131"/>
      <c r="AK1221" s="66"/>
      <c r="AL1221" s="174"/>
      <c r="AM1221" s="346"/>
      <c r="AN1221" s="272"/>
      <c r="AO1221" s="284"/>
    </row>
    <row r="1222" spans="1:41">
      <c r="A1222" s="135" t="s">
        <v>2552</v>
      </c>
      <c r="B1222" s="96" t="s">
        <v>2331</v>
      </c>
      <c r="C1222" s="96" t="s">
        <v>2332</v>
      </c>
      <c r="D1222" s="96" t="s">
        <v>2333</v>
      </c>
      <c r="E1222" s="96" t="s">
        <v>2334</v>
      </c>
      <c r="F1222" s="9" t="s">
        <v>1709</v>
      </c>
      <c r="G1222" s="52" t="s">
        <v>1392</v>
      </c>
      <c r="H1222" s="56" t="s">
        <v>578</v>
      </c>
      <c r="I1222" s="9" t="s">
        <v>1684</v>
      </c>
      <c r="J1222" s="364" t="s">
        <v>2189</v>
      </c>
      <c r="K1222" s="364" t="s">
        <v>1820</v>
      </c>
      <c r="L1222" s="364" t="s">
        <v>515</v>
      </c>
      <c r="M1222" s="364" t="s">
        <v>1699</v>
      </c>
      <c r="N1222" s="364" t="s">
        <v>6604</v>
      </c>
      <c r="O1222" s="343" t="s">
        <v>6620</v>
      </c>
      <c r="P1222" s="83" t="s">
        <v>5279</v>
      </c>
      <c r="Q1222" s="326" t="s">
        <v>5514</v>
      </c>
      <c r="R1222" s="31" t="s">
        <v>6596</v>
      </c>
      <c r="S1222" s="51" t="s">
        <v>6597</v>
      </c>
      <c r="T1222" s="338" t="s">
        <v>5627</v>
      </c>
      <c r="U1222" s="330" t="s">
        <v>6537</v>
      </c>
      <c r="V1222" s="377" t="s">
        <v>6616</v>
      </c>
      <c r="W1222" s="11" t="s">
        <v>127</v>
      </c>
      <c r="X1222" s="71" t="s">
        <v>5216</v>
      </c>
      <c r="Y1222" s="29" t="s">
        <v>3</v>
      </c>
      <c r="Z1222" s="18" t="s">
        <v>2113</v>
      </c>
      <c r="AA1222" s="15" t="s">
        <v>8</v>
      </c>
      <c r="AB1222" s="22" t="s">
        <v>4</v>
      </c>
      <c r="AC1222" s="358" t="s">
        <v>211</v>
      </c>
      <c r="AD1222" s="9" t="s">
        <v>596</v>
      </c>
      <c r="AE1222" s="75" t="s">
        <v>2114</v>
      </c>
      <c r="AF1222" s="76" t="s">
        <v>1826</v>
      </c>
      <c r="AG1222" s="33" t="s">
        <v>1827</v>
      </c>
      <c r="AH1222" s="44"/>
      <c r="AI1222" s="284"/>
      <c r="AK1222" s="9" t="s">
        <v>6666</v>
      </c>
      <c r="AL1222" s="5" t="s">
        <v>6667</v>
      </c>
      <c r="AM1222" s="51" t="s">
        <v>5339</v>
      </c>
      <c r="AN1222" s="276" t="s">
        <v>6665</v>
      </c>
      <c r="AO1222" s="284"/>
    </row>
    <row r="1223" spans="1:41">
      <c r="A1223" s="151" t="s">
        <v>2462</v>
      </c>
      <c r="B1223" s="84">
        <v>64</v>
      </c>
      <c r="C1223" s="84">
        <v>25</v>
      </c>
      <c r="D1223" s="84">
        <v>9</v>
      </c>
      <c r="E1223" s="84">
        <v>12</v>
      </c>
      <c r="F1223" s="7">
        <v>2.29</v>
      </c>
      <c r="G1223" s="85">
        <v>2347</v>
      </c>
      <c r="H1223" s="4" t="s">
        <v>596</v>
      </c>
      <c r="I1223" s="23" t="s">
        <v>43</v>
      </c>
      <c r="J1223" s="77">
        <v>77.349999999999994</v>
      </c>
      <c r="K1223" s="77">
        <v>40.08</v>
      </c>
      <c r="L1223" s="77">
        <v>0.59</v>
      </c>
      <c r="N1223" s="365">
        <f t="shared" ref="N1223:N1258" si="351">J1223+K1223+L1223+M1223</f>
        <v>118.02</v>
      </c>
      <c r="O1223" s="343">
        <f t="shared" ref="O1223:O1258" si="352">J1223+M1223</f>
        <v>77.349999999999994</v>
      </c>
      <c r="P1223" s="195">
        <v>8</v>
      </c>
      <c r="Q1223" s="326">
        <v>16</v>
      </c>
      <c r="R1223" s="111">
        <v>1</v>
      </c>
      <c r="S1223" s="51">
        <v>4</v>
      </c>
      <c r="T1223" s="339">
        <f t="shared" ref="T1223:T1258" si="353">SUM(P1223:S1223)</f>
        <v>29</v>
      </c>
      <c r="V1223" s="371">
        <v>6.15</v>
      </c>
      <c r="W1223" s="69">
        <v>3.3</v>
      </c>
      <c r="X1223" s="59">
        <v>6.26</v>
      </c>
      <c r="Y1223" s="14" t="str">
        <f>RTD("money.excel",,"2347","Price")</f>
        <v>無資料</v>
      </c>
      <c r="Z1223" s="69"/>
      <c r="AA1223" s="16" t="e">
        <f t="shared" ref="AA1223:AA1258" si="354">Y1223-Z1223</f>
        <v>#VALUE!</v>
      </c>
      <c r="AB1223" s="3" t="e">
        <f t="shared" ref="AB1223:AB1258" si="355">AA1223/Z1223</f>
        <v>#VALUE!</v>
      </c>
      <c r="AC1223" s="177" t="s">
        <v>2929</v>
      </c>
      <c r="AD1223" s="23" t="s">
        <v>43</v>
      </c>
      <c r="AG1223" s="34">
        <f t="shared" ref="AG1223:AG1258" si="356">AF1223-AE1223</f>
        <v>0</v>
      </c>
      <c r="AH1223" s="125" t="s">
        <v>4483</v>
      </c>
      <c r="AI1223" s="131"/>
      <c r="AK1223" s="66">
        <f>AM1223/(A1223*10000)</f>
        <v>0</v>
      </c>
      <c r="AL1223" s="174">
        <f>AN1223/(A1223*10000)</f>
        <v>0</v>
      </c>
      <c r="AM1223" s="346">
        <f>RTD("money.excel",,$G1223,"PredictVolume")</f>
        <v>0</v>
      </c>
      <c r="AN1223" s="272">
        <f>RTD("money.excel",,$G1223,"CumulativeVolume")</f>
        <v>0</v>
      </c>
      <c r="AO1223" s="284"/>
    </row>
    <row r="1224" spans="1:41">
      <c r="A1224" s="151" t="s">
        <v>2564</v>
      </c>
      <c r="B1224" s="96">
        <v>11</v>
      </c>
      <c r="C1224" s="96">
        <v>26</v>
      </c>
      <c r="D1224" s="96">
        <v>10</v>
      </c>
      <c r="E1224" s="96">
        <v>26</v>
      </c>
      <c r="F1224" s="7">
        <v>1.89</v>
      </c>
      <c r="G1224" s="85">
        <v>2414</v>
      </c>
      <c r="H1224" s="4" t="s">
        <v>596</v>
      </c>
      <c r="I1224" s="23" t="s">
        <v>1407</v>
      </c>
      <c r="J1224" s="77">
        <v>59.33</v>
      </c>
      <c r="K1224" s="77">
        <v>13.73</v>
      </c>
      <c r="L1224" s="77">
        <v>0.45</v>
      </c>
      <c r="N1224" s="365">
        <f t="shared" si="351"/>
        <v>73.510000000000005</v>
      </c>
      <c r="O1224" s="343">
        <f t="shared" si="352"/>
        <v>59.33</v>
      </c>
      <c r="P1224" s="195" t="s">
        <v>5554</v>
      </c>
      <c r="Q1224" s="326" t="str">
        <f>IFERROR(VLOOKUP($G1224,主力整理!$A$2:$G$2301,6,0),"0")</f>
        <v>0</v>
      </c>
      <c r="T1224" s="339">
        <f t="shared" si="353"/>
        <v>0</v>
      </c>
      <c r="V1224" s="371">
        <v>19.95</v>
      </c>
      <c r="W1224" s="35">
        <v>1.8</v>
      </c>
      <c r="X1224" s="100">
        <v>2.25</v>
      </c>
      <c r="Y1224" s="14" t="str">
        <f>RTD("money.excel",,"2414","Price")</f>
        <v>無資料</v>
      </c>
      <c r="Z1224" s="69"/>
      <c r="AA1224" s="16" t="e">
        <f t="shared" si="354"/>
        <v>#VALUE!</v>
      </c>
      <c r="AB1224" s="3" t="e">
        <f t="shared" si="355"/>
        <v>#VALUE!</v>
      </c>
      <c r="AD1224" s="23" t="s">
        <v>1407</v>
      </c>
      <c r="AG1224" s="34">
        <f t="shared" si="356"/>
        <v>0</v>
      </c>
      <c r="AH1224" s="44" t="s">
        <v>4484</v>
      </c>
      <c r="AI1224" s="131"/>
      <c r="AK1224" s="66">
        <f t="shared" ref="AK1224:AK1232" si="357">AM1224/(A1224*10000)</f>
        <v>0</v>
      </c>
      <c r="AL1224" s="174">
        <f t="shared" ref="AL1224:AL1232" si="358">AN1224/(A1224*10000)</f>
        <v>0</v>
      </c>
      <c r="AM1224" s="346">
        <f>RTD("money.excel",,$G1224,"PredictVolume")</f>
        <v>0</v>
      </c>
      <c r="AN1224" s="272">
        <f>RTD("money.excel",,$G1224,"CumulativeVolume")</f>
        <v>0</v>
      </c>
      <c r="AO1224" s="284"/>
    </row>
    <row r="1225" spans="1:41">
      <c r="A1225" s="151" t="s">
        <v>2748</v>
      </c>
      <c r="B1225" s="96">
        <v>29</v>
      </c>
      <c r="C1225" s="96">
        <v>5</v>
      </c>
      <c r="D1225" s="96">
        <v>16</v>
      </c>
      <c r="E1225" s="96">
        <v>15</v>
      </c>
      <c r="F1225" s="7">
        <v>1.59</v>
      </c>
      <c r="G1225" s="85">
        <v>2430</v>
      </c>
      <c r="H1225" s="4" t="s">
        <v>596</v>
      </c>
      <c r="I1225" s="23" t="s">
        <v>171</v>
      </c>
      <c r="J1225" s="77">
        <v>65.91</v>
      </c>
      <c r="K1225" s="77">
        <v>7.08</v>
      </c>
      <c r="L1225" s="77">
        <v>0.57999999999999996</v>
      </c>
      <c r="N1225" s="365">
        <f t="shared" si="351"/>
        <v>73.569999999999993</v>
      </c>
      <c r="O1225" s="343">
        <f t="shared" si="352"/>
        <v>65.91</v>
      </c>
      <c r="P1225" s="195" t="s">
        <v>5554</v>
      </c>
      <c r="Q1225" s="326">
        <f>IFERROR(VLOOKUP($G1225,主力整理!$A$2:$G$2301,6,0),"0")</f>
        <v>5</v>
      </c>
      <c r="T1225" s="339">
        <f t="shared" si="353"/>
        <v>5</v>
      </c>
      <c r="V1225" s="371">
        <v>32.69</v>
      </c>
      <c r="W1225" s="35">
        <v>1.55</v>
      </c>
      <c r="X1225" s="100">
        <v>1.85</v>
      </c>
      <c r="Y1225" s="14" t="str">
        <f>RTD("money.excel",,"2430","Price")</f>
        <v>無資料</v>
      </c>
      <c r="Z1225" s="69"/>
      <c r="AA1225" s="16" t="e">
        <f t="shared" si="354"/>
        <v>#VALUE!</v>
      </c>
      <c r="AB1225" s="3" t="e">
        <f t="shared" si="355"/>
        <v>#VALUE!</v>
      </c>
      <c r="AD1225" s="23" t="s">
        <v>171</v>
      </c>
      <c r="AG1225" s="34">
        <f t="shared" si="356"/>
        <v>0</v>
      </c>
      <c r="AH1225" s="125" t="s">
        <v>4485</v>
      </c>
      <c r="AI1225" s="131"/>
      <c r="AK1225" s="66">
        <f t="shared" si="357"/>
        <v>0</v>
      </c>
      <c r="AL1225" s="174">
        <f t="shared" si="358"/>
        <v>0</v>
      </c>
      <c r="AM1225" s="346">
        <f>RTD("money.excel",,$G1225,"PredictVolume")</f>
        <v>0</v>
      </c>
      <c r="AN1225" s="272">
        <f>RTD("money.excel",,$G1225,"CumulativeVolume")</f>
        <v>0</v>
      </c>
      <c r="AO1225" s="284"/>
    </row>
    <row r="1226" spans="1:41">
      <c r="A1226" s="151" t="s">
        <v>4811</v>
      </c>
      <c r="B1226" s="96">
        <v>7</v>
      </c>
      <c r="C1226" s="96">
        <v>19</v>
      </c>
      <c r="D1226" s="96">
        <v>-6</v>
      </c>
      <c r="E1226" s="96">
        <v>17</v>
      </c>
      <c r="F1226" s="7">
        <v>5.43</v>
      </c>
      <c r="G1226" s="85">
        <v>2459</v>
      </c>
      <c r="H1226" s="4" t="s">
        <v>596</v>
      </c>
      <c r="I1226" s="23" t="s">
        <v>1408</v>
      </c>
      <c r="J1226" s="77">
        <v>53.44</v>
      </c>
      <c r="K1226" s="77">
        <v>18.25</v>
      </c>
      <c r="L1226" s="77">
        <v>1.7</v>
      </c>
      <c r="N1226" s="365">
        <f t="shared" si="351"/>
        <v>73.39</v>
      </c>
      <c r="O1226" s="343">
        <f t="shared" si="352"/>
        <v>53.44</v>
      </c>
      <c r="P1226" s="195">
        <v>6</v>
      </c>
      <c r="Q1226" s="326" t="str">
        <f>IFERROR(VLOOKUP($G1226,主力整理!$A$2:$G$2301,6,0),"0")</f>
        <v>0</v>
      </c>
      <c r="T1226" s="339">
        <f t="shared" si="353"/>
        <v>6</v>
      </c>
      <c r="V1226" s="371">
        <v>31.86</v>
      </c>
      <c r="W1226" s="69">
        <v>3.3</v>
      </c>
      <c r="X1226" s="100">
        <v>4.24</v>
      </c>
      <c r="Y1226" s="14" t="str">
        <f>RTD("money.excel",,"2459","Price")</f>
        <v>無資料</v>
      </c>
      <c r="Z1226" s="69"/>
      <c r="AA1226" s="16" t="e">
        <f t="shared" si="354"/>
        <v>#VALUE!</v>
      </c>
      <c r="AB1226" s="3" t="e">
        <f t="shared" si="355"/>
        <v>#VALUE!</v>
      </c>
      <c r="AC1226" s="177" t="s">
        <v>2929</v>
      </c>
      <c r="AD1226" s="23" t="s">
        <v>1408</v>
      </c>
      <c r="AG1226" s="34">
        <f t="shared" si="356"/>
        <v>0</v>
      </c>
      <c r="AH1226" s="44" t="s">
        <v>4486</v>
      </c>
      <c r="AI1226" s="131"/>
      <c r="AK1226" s="66">
        <f t="shared" si="357"/>
        <v>0</v>
      </c>
      <c r="AL1226" s="174">
        <f t="shared" si="358"/>
        <v>0</v>
      </c>
      <c r="AM1226" s="346">
        <f>RTD("money.excel",,$G1226,"PredictVolume")</f>
        <v>0</v>
      </c>
      <c r="AN1226" s="272">
        <f>RTD("money.excel",,$G1226,"CumulativeVolume")</f>
        <v>0</v>
      </c>
      <c r="AO1226" s="284"/>
    </row>
    <row r="1227" spans="1:41">
      <c r="A1227" s="151" t="s">
        <v>2482</v>
      </c>
      <c r="B1227" s="84">
        <v>27</v>
      </c>
      <c r="C1227" s="84">
        <v>32</v>
      </c>
      <c r="D1227" s="85">
        <v>11</v>
      </c>
      <c r="E1227" s="84">
        <v>36</v>
      </c>
      <c r="F1227" s="7">
        <v>3.71</v>
      </c>
      <c r="G1227" s="85">
        <v>3010</v>
      </c>
      <c r="H1227" s="4" t="s">
        <v>596</v>
      </c>
      <c r="I1227" s="23" t="s">
        <v>194</v>
      </c>
      <c r="J1227" s="77">
        <v>55.11</v>
      </c>
      <c r="K1227" s="77">
        <v>15.87</v>
      </c>
      <c r="L1227" s="77">
        <v>4.24</v>
      </c>
      <c r="N1227" s="365">
        <f t="shared" si="351"/>
        <v>75.22</v>
      </c>
      <c r="O1227" s="343">
        <f t="shared" si="352"/>
        <v>55.11</v>
      </c>
      <c r="P1227" s="195">
        <v>3</v>
      </c>
      <c r="Q1227" s="326">
        <f>IFERROR(VLOOKUP($G1227,主力整理!$A$2:$G$2301,6,0),"0")</f>
        <v>1</v>
      </c>
      <c r="T1227" s="339">
        <f t="shared" si="353"/>
        <v>4</v>
      </c>
      <c r="V1227" s="371">
        <v>0.04</v>
      </c>
      <c r="W1227" s="69">
        <v>4.2</v>
      </c>
      <c r="X1227" s="100">
        <v>8.0399999999999991</v>
      </c>
      <c r="Y1227" s="37" t="str">
        <f>RTD("money.excel",,"3010","Price")</f>
        <v>無資料</v>
      </c>
      <c r="Z1227" s="69"/>
      <c r="AA1227" s="16" t="e">
        <f t="shared" si="354"/>
        <v>#VALUE!</v>
      </c>
      <c r="AB1227" s="3" t="e">
        <f t="shared" si="355"/>
        <v>#VALUE!</v>
      </c>
      <c r="AC1227" s="177" t="s">
        <v>2929</v>
      </c>
      <c r="AD1227" s="23" t="s">
        <v>194</v>
      </c>
      <c r="AG1227" s="34">
        <f t="shared" si="356"/>
        <v>0</v>
      </c>
      <c r="AH1227" s="125" t="s">
        <v>3344</v>
      </c>
      <c r="AI1227" s="131"/>
      <c r="AK1227" s="66">
        <f t="shared" si="357"/>
        <v>0</v>
      </c>
      <c r="AL1227" s="174">
        <f t="shared" si="358"/>
        <v>0</v>
      </c>
      <c r="AM1227" s="346">
        <f>RTD("money.excel",,$G1227,"PredictVolume")</f>
        <v>0</v>
      </c>
      <c r="AN1227" s="272">
        <f>RTD("money.excel",,$G1227,"CumulativeVolume")</f>
        <v>0</v>
      </c>
      <c r="AO1227" s="284"/>
    </row>
    <row r="1228" spans="1:41">
      <c r="A1228" s="151" t="s">
        <v>4859</v>
      </c>
      <c r="B1228" s="96">
        <v>57</v>
      </c>
      <c r="C1228" s="96">
        <v>-7</v>
      </c>
      <c r="D1228" s="96">
        <v>11</v>
      </c>
      <c r="E1228" s="96">
        <v>112</v>
      </c>
      <c r="F1228" s="7">
        <v>2.4500000000000002</v>
      </c>
      <c r="G1228" s="85">
        <v>3028</v>
      </c>
      <c r="H1228" s="4" t="s">
        <v>596</v>
      </c>
      <c r="I1228" s="23" t="s">
        <v>1409</v>
      </c>
      <c r="J1228" s="77">
        <v>37.89</v>
      </c>
      <c r="K1228" s="77">
        <v>6.59</v>
      </c>
      <c r="L1228" s="77">
        <v>3.99</v>
      </c>
      <c r="N1228" s="365">
        <f t="shared" si="351"/>
        <v>48.470000000000006</v>
      </c>
      <c r="O1228" s="343">
        <f t="shared" si="352"/>
        <v>37.89</v>
      </c>
      <c r="P1228" s="195" t="s">
        <v>5554</v>
      </c>
      <c r="Q1228" s="326" t="str">
        <f>IFERROR(VLOOKUP($G1228,主力整理!$A$2:$G$2301,6,0),"0")</f>
        <v>0</v>
      </c>
      <c r="T1228" s="339">
        <f t="shared" si="353"/>
        <v>0</v>
      </c>
      <c r="V1228" s="371">
        <v>16.71</v>
      </c>
      <c r="W1228" s="35">
        <v>1.9</v>
      </c>
      <c r="X1228" s="100">
        <v>2.21</v>
      </c>
      <c r="Y1228" s="37" t="str">
        <f>RTD("money.excel",,"3028","Price")</f>
        <v>無資料</v>
      </c>
      <c r="Z1228" s="69"/>
      <c r="AA1228" s="16" t="e">
        <f t="shared" si="354"/>
        <v>#VALUE!</v>
      </c>
      <c r="AB1228" s="3" t="e">
        <f t="shared" si="355"/>
        <v>#VALUE!</v>
      </c>
      <c r="AD1228" s="23" t="s">
        <v>1409</v>
      </c>
      <c r="AG1228" s="34">
        <f t="shared" si="356"/>
        <v>0</v>
      </c>
      <c r="AH1228" s="44" t="s">
        <v>4487</v>
      </c>
      <c r="AI1228" s="131"/>
      <c r="AK1228" s="66">
        <f t="shared" si="357"/>
        <v>0</v>
      </c>
      <c r="AL1228" s="174">
        <f t="shared" si="358"/>
        <v>0</v>
      </c>
      <c r="AM1228" s="346">
        <f>RTD("money.excel",,$G1228,"PredictVolume")</f>
        <v>0</v>
      </c>
      <c r="AN1228" s="272">
        <f>RTD("money.excel",,$G1228,"CumulativeVolume")</f>
        <v>0</v>
      </c>
      <c r="AO1228" s="284"/>
    </row>
    <row r="1229" spans="1:41">
      <c r="A1229" s="151" t="s">
        <v>4860</v>
      </c>
      <c r="B1229" s="96">
        <v>127</v>
      </c>
      <c r="C1229" s="96">
        <v>15</v>
      </c>
      <c r="D1229" s="96">
        <v>17</v>
      </c>
      <c r="E1229" s="96">
        <v>88</v>
      </c>
      <c r="F1229" s="7">
        <v>2.63</v>
      </c>
      <c r="G1229" s="85">
        <v>3033</v>
      </c>
      <c r="H1229" s="4" t="s">
        <v>596</v>
      </c>
      <c r="I1229" s="23" t="s">
        <v>197</v>
      </c>
      <c r="J1229" s="77">
        <v>37.86</v>
      </c>
      <c r="K1229" s="77">
        <v>6.89</v>
      </c>
      <c r="L1229" s="77">
        <v>2.17</v>
      </c>
      <c r="N1229" s="365">
        <f t="shared" si="351"/>
        <v>46.92</v>
      </c>
      <c r="O1229" s="343">
        <f t="shared" si="352"/>
        <v>37.86</v>
      </c>
      <c r="P1229" s="195" t="s">
        <v>5554</v>
      </c>
      <c r="Q1229" s="326">
        <f>IFERROR(VLOOKUP($G1229,主力整理!$A$2:$G$2301,6,0),"0")</f>
        <v>3</v>
      </c>
      <c r="T1229" s="339">
        <f t="shared" si="353"/>
        <v>3</v>
      </c>
      <c r="V1229" s="371">
        <v>14.83</v>
      </c>
      <c r="W1229" s="35">
        <v>1.34</v>
      </c>
      <c r="X1229" s="100">
        <v>1.9</v>
      </c>
      <c r="Y1229" s="37" t="str">
        <f>RTD("money.excel",,"3033","Price")</f>
        <v>無資料</v>
      </c>
      <c r="Z1229" s="69"/>
      <c r="AA1229" s="16" t="e">
        <f t="shared" si="354"/>
        <v>#VALUE!</v>
      </c>
      <c r="AB1229" s="3" t="e">
        <f t="shared" si="355"/>
        <v>#VALUE!</v>
      </c>
      <c r="AD1229" s="23" t="s">
        <v>197</v>
      </c>
      <c r="AG1229" s="34">
        <f t="shared" si="356"/>
        <v>0</v>
      </c>
      <c r="AH1229" s="125" t="s">
        <v>4488</v>
      </c>
      <c r="AI1229" s="131"/>
      <c r="AK1229" s="66">
        <f t="shared" si="357"/>
        <v>0</v>
      </c>
      <c r="AL1229" s="174">
        <f t="shared" si="358"/>
        <v>0</v>
      </c>
      <c r="AM1229" s="346">
        <f>RTD("money.excel",,$G1229,"PredictVolume")</f>
        <v>0</v>
      </c>
      <c r="AN1229" s="272">
        <f>RTD("money.excel",,$G1229,"CumulativeVolume")</f>
        <v>0</v>
      </c>
      <c r="AO1229" s="284"/>
    </row>
    <row r="1230" spans="1:41">
      <c r="A1230" s="151" t="s">
        <v>4861</v>
      </c>
      <c r="B1230" s="84">
        <v>40</v>
      </c>
      <c r="C1230" s="85">
        <v>-3</v>
      </c>
      <c r="D1230" s="85">
        <v>-4</v>
      </c>
      <c r="E1230" s="85">
        <v>-4</v>
      </c>
      <c r="F1230" s="7">
        <v>1.54</v>
      </c>
      <c r="G1230" s="85">
        <v>3036</v>
      </c>
      <c r="H1230" s="4" t="s">
        <v>596</v>
      </c>
      <c r="I1230" s="23" t="s">
        <v>491</v>
      </c>
      <c r="J1230" s="77">
        <v>76.83</v>
      </c>
      <c r="K1230" s="77">
        <v>16.57</v>
      </c>
      <c r="L1230" s="77">
        <v>0.61</v>
      </c>
      <c r="N1230" s="365">
        <f t="shared" si="351"/>
        <v>94.01</v>
      </c>
      <c r="O1230" s="343">
        <f t="shared" si="352"/>
        <v>76.83</v>
      </c>
      <c r="P1230" s="195">
        <v>6</v>
      </c>
      <c r="Q1230" s="326">
        <f>IFERROR(VLOOKUP($G1230,主力整理!$A$2:$G$2301,6,0),"0")</f>
        <v>4</v>
      </c>
      <c r="T1230" s="339">
        <f t="shared" si="353"/>
        <v>10</v>
      </c>
      <c r="V1230" s="371">
        <v>0.02</v>
      </c>
      <c r="W1230" s="35">
        <v>2.09</v>
      </c>
      <c r="X1230" s="100">
        <v>5.34</v>
      </c>
      <c r="Y1230" s="37" t="str">
        <f>RTD("money.excel",,"3036","Price")</f>
        <v>無資料</v>
      </c>
      <c r="Z1230" s="69"/>
      <c r="AA1230" s="16" t="e">
        <f t="shared" si="354"/>
        <v>#VALUE!</v>
      </c>
      <c r="AB1230" s="3" t="e">
        <f t="shared" si="355"/>
        <v>#VALUE!</v>
      </c>
      <c r="AC1230" s="177" t="s">
        <v>2648</v>
      </c>
      <c r="AD1230" s="23" t="s">
        <v>491</v>
      </c>
      <c r="AG1230" s="34">
        <f t="shared" si="356"/>
        <v>0</v>
      </c>
      <c r="AH1230" s="125" t="s">
        <v>4489</v>
      </c>
      <c r="AI1230" s="131"/>
      <c r="AK1230" s="66">
        <f t="shared" si="357"/>
        <v>0</v>
      </c>
      <c r="AL1230" s="174">
        <f t="shared" si="358"/>
        <v>0</v>
      </c>
      <c r="AM1230" s="346">
        <f>RTD("money.excel",,$G1230,"PredictVolume")</f>
        <v>0</v>
      </c>
      <c r="AN1230" s="272">
        <f>RTD("money.excel",,$G1230,"CumulativeVolume")</f>
        <v>0</v>
      </c>
      <c r="AO1230" s="284"/>
    </row>
    <row r="1231" spans="1:41">
      <c r="A1231" s="151" t="s">
        <v>2485</v>
      </c>
      <c r="B1231" s="84">
        <v>78</v>
      </c>
      <c r="C1231" s="84">
        <v>27</v>
      </c>
      <c r="D1231" s="84">
        <v>16</v>
      </c>
      <c r="E1231" s="85">
        <v>-11</v>
      </c>
      <c r="F1231" s="7">
        <v>1.5</v>
      </c>
      <c r="G1231" s="85">
        <v>3048</v>
      </c>
      <c r="H1231" s="4" t="s">
        <v>596</v>
      </c>
      <c r="I1231" s="23" t="s">
        <v>1410</v>
      </c>
      <c r="J1231" s="371">
        <v>40.229999999999997</v>
      </c>
      <c r="K1231" s="371">
        <v>6.33</v>
      </c>
      <c r="L1231" s="77">
        <v>5.48</v>
      </c>
      <c r="N1231" s="365">
        <f t="shared" si="351"/>
        <v>52.039999999999992</v>
      </c>
      <c r="O1231" s="343">
        <f t="shared" si="352"/>
        <v>40.229999999999997</v>
      </c>
      <c r="P1231" s="195">
        <v>3</v>
      </c>
      <c r="Q1231" s="326">
        <v>9</v>
      </c>
      <c r="R1231" s="111">
        <v>4</v>
      </c>
      <c r="S1231" s="51">
        <v>1</v>
      </c>
      <c r="T1231" s="339">
        <f t="shared" si="353"/>
        <v>17</v>
      </c>
      <c r="U1231" s="329" t="s">
        <v>6538</v>
      </c>
      <c r="V1231" s="371">
        <v>0.54</v>
      </c>
      <c r="W1231" s="35">
        <v>2.9</v>
      </c>
      <c r="X1231" s="100">
        <v>4.5999999999999996</v>
      </c>
      <c r="Y1231" s="37" t="str">
        <f>RTD("money.excel",,"3048","Price")</f>
        <v>無資料</v>
      </c>
      <c r="Z1231" s="69"/>
      <c r="AA1231" s="16" t="e">
        <f t="shared" si="354"/>
        <v>#VALUE!</v>
      </c>
      <c r="AB1231" s="3" t="e">
        <f t="shared" si="355"/>
        <v>#VALUE!</v>
      </c>
      <c r="AC1231" s="177" t="s">
        <v>2648</v>
      </c>
      <c r="AD1231" s="23" t="s">
        <v>1410</v>
      </c>
      <c r="AG1231" s="34">
        <f t="shared" si="356"/>
        <v>0</v>
      </c>
      <c r="AH1231" s="44" t="s">
        <v>4488</v>
      </c>
      <c r="AI1231" s="131"/>
      <c r="AK1231" s="66">
        <f t="shared" si="357"/>
        <v>0</v>
      </c>
      <c r="AL1231" s="174">
        <f t="shared" si="358"/>
        <v>0</v>
      </c>
      <c r="AM1231" s="346">
        <f>RTD("money.excel",,$G1231,"PredictVolume")</f>
        <v>0</v>
      </c>
      <c r="AN1231" s="272">
        <f>RTD("money.excel",,$G1231,"CumulativeVolume")</f>
        <v>0</v>
      </c>
      <c r="AO1231" s="284"/>
    </row>
    <row r="1232" spans="1:41">
      <c r="A1232" s="151" t="s">
        <v>2668</v>
      </c>
      <c r="B1232" s="85">
        <v>-214</v>
      </c>
      <c r="C1232" s="99">
        <v>-1501</v>
      </c>
      <c r="D1232" s="85">
        <v>-22</v>
      </c>
      <c r="E1232" s="84">
        <v>88</v>
      </c>
      <c r="F1232" s="7">
        <v>-3.6</v>
      </c>
      <c r="G1232" s="85">
        <v>3055</v>
      </c>
      <c r="H1232" s="4" t="s">
        <v>596</v>
      </c>
      <c r="I1232" s="23" t="s">
        <v>1411</v>
      </c>
      <c r="J1232" s="371">
        <v>72.319999999999993</v>
      </c>
      <c r="K1232" s="371">
        <v>1.99</v>
      </c>
      <c r="L1232" s="371">
        <v>27.85</v>
      </c>
      <c r="N1232" s="365">
        <f t="shared" si="351"/>
        <v>102.16</v>
      </c>
      <c r="O1232" s="343">
        <f t="shared" si="352"/>
        <v>72.319999999999993</v>
      </c>
      <c r="P1232" s="195" t="s">
        <v>5554</v>
      </c>
      <c r="Q1232" s="326" t="str">
        <f>IFERROR(VLOOKUP($G1232,主力整理!$A$2:$G$2301,6,0),"0")</f>
        <v>0</v>
      </c>
      <c r="T1232" s="339">
        <f t="shared" si="353"/>
        <v>0</v>
      </c>
      <c r="V1232" s="371">
        <v>1.28</v>
      </c>
      <c r="W1232" s="35">
        <v>0.2</v>
      </c>
      <c r="X1232" s="100">
        <v>-0.48</v>
      </c>
      <c r="Y1232" s="37" t="str">
        <f>RTD("money.excel",,"3055","Price")</f>
        <v>無資料</v>
      </c>
      <c r="Z1232" s="69"/>
      <c r="AA1232" s="16" t="e">
        <f t="shared" si="354"/>
        <v>#VALUE!</v>
      </c>
      <c r="AB1232" s="3" t="e">
        <f t="shared" si="355"/>
        <v>#VALUE!</v>
      </c>
      <c r="AC1232" s="177" t="s">
        <v>2648</v>
      </c>
      <c r="AD1232" s="23" t="s">
        <v>1411</v>
      </c>
      <c r="AG1232" s="34">
        <f t="shared" si="356"/>
        <v>0</v>
      </c>
      <c r="AH1232" s="44" t="s">
        <v>4490</v>
      </c>
      <c r="AI1232" s="131"/>
      <c r="AK1232" s="66">
        <f t="shared" si="357"/>
        <v>0</v>
      </c>
      <c r="AL1232" s="174">
        <f t="shared" si="358"/>
        <v>0</v>
      </c>
      <c r="AM1232" s="346">
        <f>RTD("money.excel",,$G1232,"PredictVolume")</f>
        <v>0</v>
      </c>
      <c r="AN1232" s="272">
        <f>RTD("money.excel",,$G1232,"CumulativeVolume")</f>
        <v>0</v>
      </c>
      <c r="AO1232" s="284"/>
    </row>
    <row r="1233" spans="1:41">
      <c r="A1233" s="151" t="s">
        <v>2408</v>
      </c>
      <c r="B1233" s="96">
        <v>57</v>
      </c>
      <c r="C1233" s="96">
        <v>6</v>
      </c>
      <c r="D1233" s="96">
        <v>40</v>
      </c>
      <c r="E1233" s="96">
        <v>39</v>
      </c>
      <c r="F1233" s="7">
        <v>1.54</v>
      </c>
      <c r="G1233" s="85">
        <v>3209</v>
      </c>
      <c r="H1233" s="4" t="s">
        <v>596</v>
      </c>
      <c r="I1233" s="23" t="s">
        <v>1412</v>
      </c>
      <c r="J1233" s="77">
        <v>40.46</v>
      </c>
      <c r="K1233" s="77">
        <v>1.34</v>
      </c>
      <c r="L1233" s="77">
        <v>2.4</v>
      </c>
      <c r="N1233" s="365">
        <f t="shared" si="351"/>
        <v>44.2</v>
      </c>
      <c r="O1233" s="343">
        <f t="shared" si="352"/>
        <v>40.46</v>
      </c>
      <c r="P1233" s="195" t="s">
        <v>5554</v>
      </c>
      <c r="Q1233" s="326">
        <f>IFERROR(VLOOKUP($G1233,主力整理!$A$2:$G$2301,6,0),"0")</f>
        <v>1</v>
      </c>
      <c r="T1233" s="339">
        <f t="shared" si="353"/>
        <v>1</v>
      </c>
      <c r="V1233" s="371">
        <v>14.15</v>
      </c>
      <c r="W1233" s="35">
        <v>2</v>
      </c>
      <c r="X1233" s="100">
        <v>2.54</v>
      </c>
      <c r="Y1233" s="37" t="str">
        <f>RTD("money.excel",,"3209","Price")</f>
        <v>無資料</v>
      </c>
      <c r="Z1233" s="69"/>
      <c r="AA1233" s="16" t="e">
        <f t="shared" si="354"/>
        <v>#VALUE!</v>
      </c>
      <c r="AB1233" s="3" t="e">
        <f t="shared" si="355"/>
        <v>#VALUE!</v>
      </c>
      <c r="AD1233" s="23" t="s">
        <v>1412</v>
      </c>
      <c r="AG1233" s="34">
        <f t="shared" si="356"/>
        <v>0</v>
      </c>
      <c r="AH1233" s="44" t="s">
        <v>4491</v>
      </c>
      <c r="AI1233" s="131"/>
      <c r="AK1233" s="66">
        <f>AM1233/(A1233*10000)</f>
        <v>0</v>
      </c>
      <c r="AL1233" s="174">
        <f>AN1233/(A1233*10000)</f>
        <v>0</v>
      </c>
      <c r="AM1233" s="346">
        <f>RTD("money.excel",,$G1233,"PredictVolume")</f>
        <v>0</v>
      </c>
      <c r="AN1233" s="272">
        <f>RTD("money.excel",,$G1233,"CumulativeVolume")</f>
        <v>0</v>
      </c>
      <c r="AO1233" s="284"/>
    </row>
    <row r="1234" spans="1:41">
      <c r="A1234" s="151" t="s">
        <v>5604</v>
      </c>
      <c r="B1234" s="84">
        <v>14</v>
      </c>
      <c r="C1234" s="84">
        <v>22</v>
      </c>
      <c r="D1234" s="84">
        <v>63</v>
      </c>
      <c r="E1234" s="84">
        <v>120</v>
      </c>
      <c r="F1234" s="7">
        <v>-3.53</v>
      </c>
      <c r="G1234" s="85">
        <v>3224</v>
      </c>
      <c r="H1234" s="4" t="s">
        <v>596</v>
      </c>
      <c r="I1234" s="17" t="s">
        <v>1393</v>
      </c>
      <c r="J1234" s="371">
        <v>39.29</v>
      </c>
      <c r="K1234" s="77">
        <v>0.91</v>
      </c>
      <c r="L1234" s="77">
        <v>19.5</v>
      </c>
      <c r="N1234" s="365">
        <f t="shared" si="351"/>
        <v>59.699999999999996</v>
      </c>
      <c r="O1234" s="343">
        <f t="shared" si="352"/>
        <v>39.29</v>
      </c>
      <c r="P1234" s="195">
        <v>1</v>
      </c>
      <c r="Q1234" s="326" t="str">
        <f>IFERROR(VLOOKUP($G1234,主力整理!$A$2:$G$2301,6,0),"0")</f>
        <v>0</v>
      </c>
      <c r="R1234" s="111">
        <v>4</v>
      </c>
      <c r="S1234" s="51">
        <v>0</v>
      </c>
      <c r="T1234" s="339">
        <f t="shared" si="353"/>
        <v>5</v>
      </c>
      <c r="V1234" s="371">
        <v>0.18</v>
      </c>
      <c r="W1234" s="35">
        <v>0</v>
      </c>
      <c r="X1234" s="100">
        <v>-1.3</v>
      </c>
      <c r="Y1234" s="37" t="str">
        <f>RTD("money.excel",,"3224","Price")</f>
        <v>無資料</v>
      </c>
      <c r="Z1234" s="69"/>
      <c r="AA1234" s="16" t="e">
        <f t="shared" si="354"/>
        <v>#VALUE!</v>
      </c>
      <c r="AB1234" s="3" t="e">
        <f t="shared" si="355"/>
        <v>#VALUE!</v>
      </c>
      <c r="AC1234" s="177" t="s">
        <v>2648</v>
      </c>
      <c r="AD1234" s="17" t="s">
        <v>1393</v>
      </c>
      <c r="AG1234" s="34">
        <f t="shared" si="356"/>
        <v>0</v>
      </c>
      <c r="AH1234" s="44" t="s">
        <v>4179</v>
      </c>
      <c r="AI1234" s="284"/>
      <c r="AK1234" s="66">
        <f t="shared" ref="AK1234:AK1245" si="359">AM1234/(A1234*10000)</f>
        <v>0</v>
      </c>
      <c r="AL1234" s="174">
        <f t="shared" ref="AL1234:AL1245" si="360">AN1234/(A1234*10000)</f>
        <v>0</v>
      </c>
      <c r="AM1234" s="346">
        <f>RTD("money.excel",,$G1234,"PredictVolume")</f>
        <v>0</v>
      </c>
      <c r="AN1234" s="272">
        <f>RTD("money.excel",,$G1234,"CumulativeVolume")</f>
        <v>0</v>
      </c>
      <c r="AO1234" s="284"/>
    </row>
    <row r="1235" spans="1:41">
      <c r="A1235" s="151" t="s">
        <v>3331</v>
      </c>
      <c r="B1235" s="84">
        <v>127</v>
      </c>
      <c r="C1235" s="84">
        <v>457</v>
      </c>
      <c r="D1235" s="84">
        <v>24</v>
      </c>
      <c r="E1235" s="84">
        <v>63</v>
      </c>
      <c r="F1235" s="7">
        <v>4.51</v>
      </c>
      <c r="G1235" s="85">
        <v>3232</v>
      </c>
      <c r="H1235" s="4" t="s">
        <v>596</v>
      </c>
      <c r="I1235" s="17" t="s">
        <v>1394</v>
      </c>
      <c r="J1235" s="77">
        <v>33.33</v>
      </c>
      <c r="K1235" s="371">
        <v>4.79</v>
      </c>
      <c r="L1235" s="371">
        <v>41.3</v>
      </c>
      <c r="M1235" s="371">
        <v>24.43</v>
      </c>
      <c r="N1235" s="365">
        <f t="shared" si="351"/>
        <v>103.85</v>
      </c>
      <c r="O1235" s="343">
        <f t="shared" si="352"/>
        <v>57.76</v>
      </c>
      <c r="P1235" s="195">
        <v>0</v>
      </c>
      <c r="Q1235" s="326">
        <v>15</v>
      </c>
      <c r="R1235" s="111">
        <v>26</v>
      </c>
      <c r="S1235" s="51">
        <v>28</v>
      </c>
      <c r="T1235" s="339">
        <f t="shared" si="353"/>
        <v>69</v>
      </c>
      <c r="U1235" s="329" t="s">
        <v>6538</v>
      </c>
      <c r="V1235" s="371">
        <v>1.0900000000000001</v>
      </c>
      <c r="W1235" s="35">
        <v>0.3</v>
      </c>
      <c r="X1235" s="100">
        <v>0.79</v>
      </c>
      <c r="Y1235" s="37" t="str">
        <f>RTD("money.excel",,"3232","Price")</f>
        <v>無資料</v>
      </c>
      <c r="Z1235" s="69"/>
      <c r="AA1235" s="16" t="e">
        <f t="shared" si="354"/>
        <v>#VALUE!</v>
      </c>
      <c r="AB1235" s="3" t="e">
        <f t="shared" si="355"/>
        <v>#VALUE!</v>
      </c>
      <c r="AD1235" s="17" t="s">
        <v>1394</v>
      </c>
      <c r="AG1235" s="34">
        <f t="shared" si="356"/>
        <v>0</v>
      </c>
      <c r="AH1235" s="44" t="s">
        <v>4180</v>
      </c>
      <c r="AI1235" s="131"/>
      <c r="AK1235" s="66">
        <f t="shared" si="359"/>
        <v>0</v>
      </c>
      <c r="AL1235" s="174">
        <f t="shared" si="360"/>
        <v>0</v>
      </c>
      <c r="AM1235" s="346">
        <f>RTD("money.excel",,$G1235,"PredictVolume")</f>
        <v>0</v>
      </c>
      <c r="AN1235" s="272">
        <f>RTD("money.excel",,$G1235,"CumulativeVolume")</f>
        <v>0</v>
      </c>
      <c r="AO1235" s="284"/>
    </row>
    <row r="1236" spans="1:41">
      <c r="A1236" s="151" t="s">
        <v>2230</v>
      </c>
      <c r="B1236" s="96">
        <v>-8</v>
      </c>
      <c r="C1236" s="96">
        <v>-1</v>
      </c>
      <c r="D1236" s="96">
        <v>8</v>
      </c>
      <c r="E1236" s="96">
        <v>54</v>
      </c>
      <c r="F1236" s="7">
        <v>1.61</v>
      </c>
      <c r="G1236" s="85">
        <v>3312</v>
      </c>
      <c r="H1236" s="4" t="s">
        <v>596</v>
      </c>
      <c r="I1236" s="23" t="s">
        <v>1413</v>
      </c>
      <c r="J1236" s="77">
        <v>59.58</v>
      </c>
      <c r="K1236" s="77">
        <v>18.100000000000001</v>
      </c>
      <c r="L1236" s="77">
        <v>19.809999999999999</v>
      </c>
      <c r="N1236" s="365">
        <f t="shared" si="351"/>
        <v>97.490000000000009</v>
      </c>
      <c r="O1236" s="343">
        <f t="shared" si="352"/>
        <v>59.58</v>
      </c>
      <c r="P1236" s="195">
        <v>2</v>
      </c>
      <c r="Q1236" s="326">
        <f>IFERROR(VLOOKUP($G1236,主力整理!$A$2:$G$2301,6,0),"0")</f>
        <v>1</v>
      </c>
      <c r="T1236" s="339">
        <f t="shared" si="353"/>
        <v>3</v>
      </c>
      <c r="V1236" s="371">
        <v>11.12</v>
      </c>
      <c r="W1236" s="35">
        <v>1</v>
      </c>
      <c r="X1236" s="100">
        <v>1.63</v>
      </c>
      <c r="Y1236" s="14" t="str">
        <f>RTD("money.excel",,"3312","Price")</f>
        <v>無資料</v>
      </c>
      <c r="Z1236" s="69"/>
      <c r="AA1236" s="16" t="e">
        <f t="shared" si="354"/>
        <v>#VALUE!</v>
      </c>
      <c r="AB1236" s="3" t="e">
        <f t="shared" si="355"/>
        <v>#VALUE!</v>
      </c>
      <c r="AC1236" s="177" t="s">
        <v>2648</v>
      </c>
      <c r="AD1236" s="23" t="s">
        <v>1413</v>
      </c>
      <c r="AG1236" s="34">
        <f t="shared" si="356"/>
        <v>0</v>
      </c>
      <c r="AH1236" s="44" t="s">
        <v>4492</v>
      </c>
      <c r="AI1236" s="284"/>
      <c r="AK1236" s="66">
        <f t="shared" si="359"/>
        <v>0</v>
      </c>
      <c r="AL1236" s="174">
        <f t="shared" si="360"/>
        <v>0</v>
      </c>
      <c r="AM1236" s="346">
        <f>RTD("money.excel",,$G1236,"PredictVolume")</f>
        <v>0</v>
      </c>
      <c r="AN1236" s="272">
        <f>RTD("money.excel",,$G1236,"CumulativeVolume")</f>
        <v>0</v>
      </c>
      <c r="AO1236" s="284"/>
    </row>
    <row r="1237" spans="1:41">
      <c r="A1237" s="151" t="s">
        <v>2885</v>
      </c>
      <c r="B1237" s="85">
        <v>-39</v>
      </c>
      <c r="C1237" s="85">
        <v>-43</v>
      </c>
      <c r="D1237" s="84">
        <v>4</v>
      </c>
      <c r="E1237" s="84">
        <v>106</v>
      </c>
      <c r="F1237" s="7">
        <v>1.23</v>
      </c>
      <c r="G1237" s="85">
        <v>3360</v>
      </c>
      <c r="H1237" s="4" t="s">
        <v>596</v>
      </c>
      <c r="I1237" s="17" t="s">
        <v>595</v>
      </c>
      <c r="J1237" s="371">
        <v>15.11</v>
      </c>
      <c r="K1237" s="77">
        <v>0.87</v>
      </c>
      <c r="L1237" s="77">
        <v>16.87</v>
      </c>
      <c r="M1237" s="77">
        <v>8.69</v>
      </c>
      <c r="N1237" s="365">
        <f t="shared" si="351"/>
        <v>41.54</v>
      </c>
      <c r="O1237" s="343">
        <f t="shared" si="352"/>
        <v>23.799999999999997</v>
      </c>
      <c r="P1237" s="195">
        <v>1</v>
      </c>
      <c r="Q1237" s="326">
        <v>2</v>
      </c>
      <c r="R1237" s="111">
        <v>11</v>
      </c>
      <c r="S1237" s="51">
        <v>3</v>
      </c>
      <c r="T1237" s="339">
        <f t="shared" si="353"/>
        <v>17</v>
      </c>
      <c r="U1237" s="329" t="s">
        <v>6539</v>
      </c>
      <c r="V1237" s="371">
        <v>0.14000000000000001</v>
      </c>
      <c r="W1237" s="35">
        <v>1</v>
      </c>
      <c r="X1237" s="100">
        <v>0.55000000000000004</v>
      </c>
      <c r="Y1237" s="14" t="str">
        <f>RTD("money.excel",,"3360","Price")</f>
        <v>無資料</v>
      </c>
      <c r="Z1237" s="69"/>
      <c r="AA1237" s="16" t="e">
        <f t="shared" si="354"/>
        <v>#VALUE!</v>
      </c>
      <c r="AB1237" s="3" t="e">
        <f t="shared" si="355"/>
        <v>#VALUE!</v>
      </c>
      <c r="AC1237" s="177" t="s">
        <v>2648</v>
      </c>
      <c r="AD1237" s="17" t="s">
        <v>595</v>
      </c>
      <c r="AG1237" s="34">
        <f t="shared" si="356"/>
        <v>0</v>
      </c>
      <c r="AH1237" s="44" t="s">
        <v>4744</v>
      </c>
      <c r="AI1237" s="131"/>
      <c r="AK1237" s="66">
        <f t="shared" si="359"/>
        <v>0</v>
      </c>
      <c r="AL1237" s="174">
        <f t="shared" si="360"/>
        <v>0</v>
      </c>
      <c r="AM1237" s="346">
        <f>RTD("money.excel",,$G1237,"PredictVolume")</f>
        <v>0</v>
      </c>
      <c r="AN1237" s="272">
        <f>RTD("money.excel",,$G1237,"CumulativeVolume")</f>
        <v>0</v>
      </c>
      <c r="AO1237" s="284"/>
    </row>
    <row r="1238" spans="1:41">
      <c r="A1238" s="135" t="s">
        <v>2859</v>
      </c>
      <c r="B1238" s="96">
        <v>12</v>
      </c>
      <c r="C1238" s="96">
        <v>42</v>
      </c>
      <c r="D1238" s="96">
        <v>-5</v>
      </c>
      <c r="E1238" s="96">
        <v>61</v>
      </c>
      <c r="F1238" s="59">
        <v>12.86</v>
      </c>
      <c r="G1238" s="85">
        <v>3444</v>
      </c>
      <c r="H1238" s="4" t="s">
        <v>596</v>
      </c>
      <c r="I1238" s="17" t="s">
        <v>1395</v>
      </c>
      <c r="J1238" s="77">
        <v>55.71</v>
      </c>
      <c r="K1238" s="77">
        <v>9.02</v>
      </c>
      <c r="L1238" s="77">
        <v>13.12</v>
      </c>
      <c r="N1238" s="365">
        <f t="shared" si="351"/>
        <v>77.850000000000009</v>
      </c>
      <c r="O1238" s="343">
        <f t="shared" si="352"/>
        <v>55.71</v>
      </c>
      <c r="P1238" s="195">
        <v>2</v>
      </c>
      <c r="Q1238" s="326" t="str">
        <f>IFERROR(VLOOKUP($G1238,主力整理!$A$2:$G$2301,6,0),"0")</f>
        <v>0</v>
      </c>
      <c r="T1238" s="339">
        <f t="shared" si="353"/>
        <v>2</v>
      </c>
      <c r="V1238" s="371">
        <v>20.27</v>
      </c>
      <c r="W1238" s="35">
        <v>1.8</v>
      </c>
      <c r="X1238" s="100">
        <v>2.72</v>
      </c>
      <c r="Y1238" s="14" t="str">
        <f>RTD("money.excel",,"3444","Price")</f>
        <v>無資料</v>
      </c>
      <c r="Z1238" s="69"/>
      <c r="AA1238" s="16" t="e">
        <f t="shared" si="354"/>
        <v>#VALUE!</v>
      </c>
      <c r="AB1238" s="3" t="e">
        <f t="shared" si="355"/>
        <v>#VALUE!</v>
      </c>
      <c r="AC1238" s="177" t="s">
        <v>2648</v>
      </c>
      <c r="AD1238" s="17" t="s">
        <v>1395</v>
      </c>
      <c r="AG1238" s="34">
        <f t="shared" si="356"/>
        <v>0</v>
      </c>
      <c r="AH1238" s="63" t="s">
        <v>4181</v>
      </c>
      <c r="AI1238" s="131"/>
      <c r="AK1238" s="66">
        <f t="shared" si="359"/>
        <v>0</v>
      </c>
      <c r="AL1238" s="174">
        <f t="shared" si="360"/>
        <v>0</v>
      </c>
      <c r="AM1238" s="346">
        <f>RTD("money.excel",,$G1238,"PredictVolume")</f>
        <v>0</v>
      </c>
      <c r="AN1238" s="272">
        <f>RTD("money.excel",,$G1238,"CumulativeVolume")</f>
        <v>0</v>
      </c>
      <c r="AO1238" s="284"/>
    </row>
    <row r="1239" spans="1:41">
      <c r="A1239" s="151" t="s">
        <v>2692</v>
      </c>
      <c r="B1239" s="85">
        <v>-5</v>
      </c>
      <c r="C1239" s="85">
        <v>-6</v>
      </c>
      <c r="D1239" s="85">
        <v>-11</v>
      </c>
      <c r="E1239" s="84">
        <v>75</v>
      </c>
      <c r="F1239" s="7">
        <v>6.24</v>
      </c>
      <c r="G1239" s="85">
        <v>3528</v>
      </c>
      <c r="H1239" s="4" t="s">
        <v>596</v>
      </c>
      <c r="I1239" s="23" t="s">
        <v>1414</v>
      </c>
      <c r="J1239" s="371">
        <v>70.16</v>
      </c>
      <c r="K1239" s="371">
        <v>8.6</v>
      </c>
      <c r="L1239" s="77">
        <v>0.35</v>
      </c>
      <c r="N1239" s="365">
        <f t="shared" si="351"/>
        <v>79.109999999999985</v>
      </c>
      <c r="O1239" s="343">
        <f t="shared" si="352"/>
        <v>70.16</v>
      </c>
      <c r="P1239" s="195">
        <v>2</v>
      </c>
      <c r="Q1239" s="326" t="str">
        <f>IFERROR(VLOOKUP($G1239,主力整理!$A$2:$G$2301,6,0),"0")</f>
        <v>0</v>
      </c>
      <c r="T1239" s="339">
        <f t="shared" si="353"/>
        <v>2</v>
      </c>
      <c r="V1239" s="371">
        <v>61.15</v>
      </c>
      <c r="W1239" s="35">
        <v>2.9</v>
      </c>
      <c r="X1239" s="59">
        <v>3.18</v>
      </c>
      <c r="Y1239" s="37" t="str">
        <f>RTD("money.excel",,"3528","Price")</f>
        <v>無資料</v>
      </c>
      <c r="Z1239" s="69"/>
      <c r="AA1239" s="16" t="e">
        <f t="shared" si="354"/>
        <v>#VALUE!</v>
      </c>
      <c r="AB1239" s="3" t="e">
        <f t="shared" si="355"/>
        <v>#VALUE!</v>
      </c>
      <c r="AC1239" s="177" t="s">
        <v>2648</v>
      </c>
      <c r="AD1239" s="23" t="s">
        <v>1414</v>
      </c>
      <c r="AG1239" s="34">
        <f t="shared" si="356"/>
        <v>0</v>
      </c>
      <c r="AH1239" s="44" t="s">
        <v>4489</v>
      </c>
      <c r="AI1239" s="131"/>
      <c r="AK1239" s="66">
        <f t="shared" si="359"/>
        <v>0</v>
      </c>
      <c r="AL1239" s="174">
        <f t="shared" si="360"/>
        <v>0</v>
      </c>
      <c r="AM1239" s="346">
        <f>RTD("money.excel",,$G1239,"PredictVolume")</f>
        <v>0</v>
      </c>
      <c r="AN1239" s="272">
        <f>RTD("money.excel",,$G1239,"CumulativeVolume")</f>
        <v>0</v>
      </c>
      <c r="AO1239" s="284"/>
    </row>
    <row r="1240" spans="1:41">
      <c r="A1240" s="151" t="s">
        <v>3097</v>
      </c>
      <c r="B1240" s="84">
        <v>46</v>
      </c>
      <c r="C1240" s="84">
        <v>39</v>
      </c>
      <c r="D1240" s="84">
        <v>16</v>
      </c>
      <c r="E1240" s="84">
        <v>28</v>
      </c>
      <c r="F1240" s="7">
        <v>1.82</v>
      </c>
      <c r="G1240" s="85">
        <v>3702</v>
      </c>
      <c r="H1240" s="4" t="s">
        <v>596</v>
      </c>
      <c r="I1240" s="23" t="s">
        <v>36</v>
      </c>
      <c r="J1240" s="371">
        <v>72.760000000000005</v>
      </c>
      <c r="K1240" s="371">
        <v>36.24</v>
      </c>
      <c r="L1240" s="77">
        <v>0.82</v>
      </c>
      <c r="N1240" s="365">
        <f t="shared" si="351"/>
        <v>109.82</v>
      </c>
      <c r="O1240" s="343">
        <f t="shared" si="352"/>
        <v>72.760000000000005</v>
      </c>
      <c r="P1240" s="195">
        <v>18</v>
      </c>
      <c r="Q1240" s="326">
        <v>30</v>
      </c>
      <c r="R1240" s="111">
        <v>1</v>
      </c>
      <c r="S1240" s="51">
        <v>5</v>
      </c>
      <c r="T1240" s="339">
        <f t="shared" si="353"/>
        <v>54</v>
      </c>
      <c r="U1240" s="329" t="s">
        <v>6539</v>
      </c>
      <c r="V1240" s="371">
        <v>0.38</v>
      </c>
      <c r="W1240" s="69">
        <v>3.1</v>
      </c>
      <c r="X1240" s="59">
        <v>6.48</v>
      </c>
      <c r="Y1240" s="37" t="str">
        <f>RTD("money.excel",,"3702","Price")</f>
        <v>無資料</v>
      </c>
      <c r="Z1240" s="69"/>
      <c r="AA1240" s="16" t="e">
        <f t="shared" si="354"/>
        <v>#VALUE!</v>
      </c>
      <c r="AB1240" s="3" t="e">
        <f t="shared" si="355"/>
        <v>#VALUE!</v>
      </c>
      <c r="AC1240" s="177" t="s">
        <v>2929</v>
      </c>
      <c r="AD1240" s="23" t="s">
        <v>36</v>
      </c>
      <c r="AG1240" s="34">
        <f t="shared" si="356"/>
        <v>0</v>
      </c>
      <c r="AH1240" s="125" t="s">
        <v>4489</v>
      </c>
      <c r="AI1240" s="131"/>
      <c r="AK1240" s="66">
        <f t="shared" si="359"/>
        <v>0</v>
      </c>
      <c r="AL1240" s="174">
        <f t="shared" si="360"/>
        <v>0</v>
      </c>
      <c r="AM1240" s="346">
        <f>RTD("money.excel",,$G1240,"PredictVolume")</f>
        <v>0</v>
      </c>
      <c r="AN1240" s="272">
        <f>RTD("money.excel",,$G1240,"CumulativeVolume")</f>
        <v>0</v>
      </c>
      <c r="AO1240" s="284"/>
    </row>
    <row r="1241" spans="1:41">
      <c r="A1241" s="151" t="s">
        <v>2511</v>
      </c>
      <c r="B1241" s="84">
        <v>15</v>
      </c>
      <c r="C1241" s="84">
        <v>8</v>
      </c>
      <c r="D1241" s="84">
        <v>1</v>
      </c>
      <c r="E1241" s="84">
        <v>1</v>
      </c>
      <c r="F1241" s="7">
        <v>5.63</v>
      </c>
      <c r="G1241" s="85">
        <v>5434</v>
      </c>
      <c r="H1241" s="4" t="s">
        <v>596</v>
      </c>
      <c r="I1241" s="23" t="s">
        <v>203</v>
      </c>
      <c r="J1241" s="371">
        <v>37.520000000000003</v>
      </c>
      <c r="K1241" s="371">
        <v>27.81</v>
      </c>
      <c r="L1241" s="371">
        <v>2.84</v>
      </c>
      <c r="N1241" s="365">
        <f t="shared" si="351"/>
        <v>68.17</v>
      </c>
      <c r="O1241" s="343">
        <f t="shared" si="352"/>
        <v>37.520000000000003</v>
      </c>
      <c r="P1241" s="195">
        <v>6</v>
      </c>
      <c r="Q1241" s="326">
        <f>IFERROR(VLOOKUP($G1241,主力整理!$A$2:$G$2301,6,0),"0")</f>
        <v>1</v>
      </c>
      <c r="T1241" s="339">
        <f t="shared" si="353"/>
        <v>7</v>
      </c>
      <c r="V1241" s="371">
        <v>0.01</v>
      </c>
      <c r="W1241" s="69">
        <v>8</v>
      </c>
      <c r="X1241" s="100">
        <v>11.38</v>
      </c>
      <c r="Y1241" s="37" t="str">
        <f>RTD("money.excel",,"5434","Price")</f>
        <v>無資料</v>
      </c>
      <c r="Z1241" s="69"/>
      <c r="AA1241" s="16" t="e">
        <f t="shared" si="354"/>
        <v>#VALUE!</v>
      </c>
      <c r="AB1241" s="3" t="e">
        <f t="shared" si="355"/>
        <v>#VALUE!</v>
      </c>
      <c r="AC1241" s="177" t="s">
        <v>2929</v>
      </c>
      <c r="AD1241" s="23" t="s">
        <v>203</v>
      </c>
      <c r="AG1241" s="34">
        <f t="shared" si="356"/>
        <v>0</v>
      </c>
      <c r="AH1241" s="125" t="s">
        <v>4493</v>
      </c>
      <c r="AI1241" s="131"/>
      <c r="AK1241" s="66">
        <f t="shared" si="359"/>
        <v>0</v>
      </c>
      <c r="AL1241" s="174">
        <f t="shared" si="360"/>
        <v>0</v>
      </c>
      <c r="AM1241" s="346">
        <f>RTD("money.excel",,$G1241,"PredictVolume")</f>
        <v>0</v>
      </c>
      <c r="AN1241" s="272">
        <f>RTD("money.excel",,$G1241,"CumulativeVolume")</f>
        <v>0</v>
      </c>
      <c r="AO1241" s="284"/>
    </row>
    <row r="1242" spans="1:41">
      <c r="A1242" s="151" t="s">
        <v>4627</v>
      </c>
      <c r="B1242" s="96">
        <v>29</v>
      </c>
      <c r="C1242" s="96">
        <v>52</v>
      </c>
      <c r="D1242" s="96">
        <v>26</v>
      </c>
      <c r="E1242" s="96">
        <v>133</v>
      </c>
      <c r="F1242" s="7">
        <v>-2.85</v>
      </c>
      <c r="G1242" s="85">
        <v>6113</v>
      </c>
      <c r="H1242" s="4" t="s">
        <v>596</v>
      </c>
      <c r="I1242" s="17" t="s">
        <v>1396</v>
      </c>
      <c r="J1242" s="77">
        <v>52.28</v>
      </c>
      <c r="K1242" s="77">
        <v>8.1300000000000008</v>
      </c>
      <c r="L1242" s="77">
        <v>15.6</v>
      </c>
      <c r="N1242" s="365">
        <f t="shared" si="351"/>
        <v>76.010000000000005</v>
      </c>
      <c r="O1242" s="343">
        <f t="shared" si="352"/>
        <v>52.28</v>
      </c>
      <c r="P1242" s="195" t="s">
        <v>5554</v>
      </c>
      <c r="Q1242" s="326" t="str">
        <f>IFERROR(VLOOKUP($G1242,主力整理!$A$2:$G$2301,6,0),"0")</f>
        <v>0</v>
      </c>
      <c r="T1242" s="339">
        <f t="shared" si="353"/>
        <v>0</v>
      </c>
      <c r="V1242" s="371">
        <v>28.87</v>
      </c>
      <c r="W1242" s="35">
        <v>0</v>
      </c>
      <c r="X1242" s="100">
        <v>-0.27</v>
      </c>
      <c r="Y1242" s="14" t="str">
        <f>RTD("money.excel",,"6113","Price")</f>
        <v>無資料</v>
      </c>
      <c r="Z1242" s="69"/>
      <c r="AA1242" s="16" t="e">
        <f t="shared" si="354"/>
        <v>#VALUE!</v>
      </c>
      <c r="AB1242" s="3" t="e">
        <f t="shared" si="355"/>
        <v>#VALUE!</v>
      </c>
      <c r="AD1242" s="17" t="s">
        <v>1396</v>
      </c>
      <c r="AG1242" s="34">
        <f t="shared" si="356"/>
        <v>0</v>
      </c>
      <c r="AH1242" s="44" t="s">
        <v>4182</v>
      </c>
      <c r="AI1242" s="131"/>
      <c r="AK1242" s="66">
        <f t="shared" si="359"/>
        <v>0</v>
      </c>
      <c r="AL1242" s="174">
        <f t="shared" si="360"/>
        <v>0</v>
      </c>
      <c r="AM1242" s="346">
        <f>RTD("money.excel",,$G1242,"PredictVolume")</f>
        <v>0</v>
      </c>
      <c r="AN1242" s="272">
        <f>RTD("money.excel",,$G1242,"CumulativeVolume")</f>
        <v>0</v>
      </c>
      <c r="AO1242" s="284"/>
    </row>
    <row r="1243" spans="1:41">
      <c r="A1243" s="151" t="s">
        <v>2390</v>
      </c>
      <c r="B1243" s="84">
        <v>260</v>
      </c>
      <c r="C1243" s="84">
        <v>157</v>
      </c>
      <c r="D1243" s="84">
        <v>37</v>
      </c>
      <c r="E1243" s="84">
        <v>50</v>
      </c>
      <c r="F1243" s="7">
        <v>0.69</v>
      </c>
      <c r="G1243" s="85">
        <v>6118</v>
      </c>
      <c r="H1243" s="4" t="s">
        <v>596</v>
      </c>
      <c r="I1243" s="17" t="s">
        <v>1397</v>
      </c>
      <c r="J1243" s="77">
        <v>64.69</v>
      </c>
      <c r="K1243" s="77">
        <v>2.2000000000000002</v>
      </c>
      <c r="L1243" s="371">
        <v>28.54</v>
      </c>
      <c r="M1243" s="371">
        <v>34.6</v>
      </c>
      <c r="N1243" s="77">
        <f t="shared" si="351"/>
        <v>130.03</v>
      </c>
      <c r="O1243" s="369">
        <f t="shared" si="352"/>
        <v>99.289999999999992</v>
      </c>
      <c r="P1243" s="195">
        <v>0</v>
      </c>
      <c r="Q1243" s="326">
        <v>11</v>
      </c>
      <c r="R1243" s="111">
        <v>10</v>
      </c>
      <c r="S1243" s="51">
        <v>17</v>
      </c>
      <c r="T1243" s="339">
        <f t="shared" si="353"/>
        <v>38</v>
      </c>
      <c r="U1243" s="329" t="s">
        <v>6538</v>
      </c>
      <c r="V1243" s="371">
        <v>4.0599999999999996</v>
      </c>
      <c r="W1243" s="35">
        <v>0</v>
      </c>
      <c r="X1243" s="59">
        <v>0.76</v>
      </c>
      <c r="Y1243" s="37" t="str">
        <f>RTD("money.excel",,"6118","Price")</f>
        <v>無資料</v>
      </c>
      <c r="Z1243" s="69"/>
      <c r="AA1243" s="16" t="e">
        <f t="shared" si="354"/>
        <v>#VALUE!</v>
      </c>
      <c r="AB1243" s="3" t="e">
        <f t="shared" si="355"/>
        <v>#VALUE!</v>
      </c>
      <c r="AD1243" s="17" t="s">
        <v>1397</v>
      </c>
      <c r="AG1243" s="34">
        <f t="shared" si="356"/>
        <v>0</v>
      </c>
      <c r="AH1243" s="44" t="s">
        <v>3709</v>
      </c>
      <c r="AK1243" s="66">
        <f t="shared" si="359"/>
        <v>0</v>
      </c>
      <c r="AL1243" s="174">
        <f t="shared" si="360"/>
        <v>0</v>
      </c>
      <c r="AM1243" s="346">
        <f>RTD("money.excel",,$G1243,"PredictVolume")</f>
        <v>0</v>
      </c>
      <c r="AN1243" s="272">
        <f>RTD("money.excel",,$G1243,"CumulativeVolume")</f>
        <v>0</v>
      </c>
    </row>
    <row r="1244" spans="1:41">
      <c r="A1244" s="151" t="s">
        <v>2489</v>
      </c>
      <c r="B1244" s="96">
        <v>25</v>
      </c>
      <c r="C1244" s="96">
        <v>26</v>
      </c>
      <c r="D1244" s="96">
        <v>-1</v>
      </c>
      <c r="E1244" s="96">
        <v>-10</v>
      </c>
      <c r="F1244" s="7">
        <v>1.96</v>
      </c>
      <c r="G1244" s="85">
        <v>6154</v>
      </c>
      <c r="H1244" s="4" t="s">
        <v>596</v>
      </c>
      <c r="I1244" s="17" t="s">
        <v>1398</v>
      </c>
      <c r="J1244" s="77">
        <v>63.47</v>
      </c>
      <c r="K1244" s="77">
        <v>0.01</v>
      </c>
      <c r="L1244" s="77">
        <v>0.25</v>
      </c>
      <c r="N1244" s="365">
        <f t="shared" si="351"/>
        <v>63.73</v>
      </c>
      <c r="O1244" s="343">
        <f t="shared" si="352"/>
        <v>63.47</v>
      </c>
      <c r="P1244" s="195" t="s">
        <v>5554</v>
      </c>
      <c r="Q1244" s="326" t="str">
        <f>IFERROR(VLOOKUP($G1244,主力整理!$A$2:$G$2301,6,0),"0")</f>
        <v>0</v>
      </c>
      <c r="T1244" s="339">
        <f t="shared" si="353"/>
        <v>0</v>
      </c>
      <c r="V1244" s="371">
        <v>27.17</v>
      </c>
      <c r="W1244" s="35">
        <v>0.55000000000000004</v>
      </c>
      <c r="X1244" s="100">
        <v>0.56000000000000005</v>
      </c>
      <c r="Y1244" s="14" t="str">
        <f>RTD("money.excel",,"6154","Price")</f>
        <v>無資料</v>
      </c>
      <c r="Z1244" s="69"/>
      <c r="AA1244" s="16" t="e">
        <f t="shared" si="354"/>
        <v>#VALUE!</v>
      </c>
      <c r="AB1244" s="3" t="e">
        <f t="shared" si="355"/>
        <v>#VALUE!</v>
      </c>
      <c r="AD1244" s="17" t="s">
        <v>1398</v>
      </c>
      <c r="AG1244" s="34">
        <f t="shared" si="356"/>
        <v>0</v>
      </c>
      <c r="AH1244" s="44" t="s">
        <v>4183</v>
      </c>
      <c r="AI1244" s="131"/>
      <c r="AK1244" s="66">
        <f t="shared" si="359"/>
        <v>0</v>
      </c>
      <c r="AL1244" s="174">
        <f t="shared" si="360"/>
        <v>0</v>
      </c>
      <c r="AM1244" s="346">
        <f>RTD("money.excel",,$G1244,"PredictVolume")</f>
        <v>0</v>
      </c>
      <c r="AN1244" s="272">
        <f>RTD("money.excel",,$G1244,"CumulativeVolume")</f>
        <v>0</v>
      </c>
      <c r="AO1244" s="284"/>
    </row>
    <row r="1245" spans="1:41">
      <c r="A1245" s="151" t="s">
        <v>4798</v>
      </c>
      <c r="B1245" s="96">
        <v>4</v>
      </c>
      <c r="C1245" s="96">
        <v>19</v>
      </c>
      <c r="D1245" s="96">
        <v>13</v>
      </c>
      <c r="E1245" s="96">
        <v>71</v>
      </c>
      <c r="F1245" s="7">
        <v>3.93</v>
      </c>
      <c r="G1245" s="85">
        <v>6189</v>
      </c>
      <c r="H1245" s="4" t="s">
        <v>596</v>
      </c>
      <c r="I1245" s="23" t="s">
        <v>1415</v>
      </c>
      <c r="J1245" s="77">
        <v>33.14</v>
      </c>
      <c r="K1245" s="77">
        <v>4.72</v>
      </c>
      <c r="L1245" s="77">
        <v>0.53</v>
      </c>
      <c r="N1245" s="365">
        <f t="shared" si="351"/>
        <v>38.39</v>
      </c>
      <c r="O1245" s="343">
        <f t="shared" si="352"/>
        <v>33.14</v>
      </c>
      <c r="P1245" s="195" t="s">
        <v>5554</v>
      </c>
      <c r="Q1245" s="326" t="str">
        <f>IFERROR(VLOOKUP($G1245,主力整理!$A$2:$G$2301,6,0),"0")</f>
        <v>0</v>
      </c>
      <c r="T1245" s="339">
        <f t="shared" si="353"/>
        <v>0</v>
      </c>
      <c r="V1245" s="371">
        <v>12.36</v>
      </c>
      <c r="W1245" s="35">
        <v>2.8</v>
      </c>
      <c r="X1245" s="100">
        <v>2.99</v>
      </c>
      <c r="Y1245" s="37" t="str">
        <f>RTD("money.excel",,"6189","Price")</f>
        <v>無資料</v>
      </c>
      <c r="Z1245" s="69"/>
      <c r="AA1245" s="16" t="e">
        <f t="shared" si="354"/>
        <v>#VALUE!</v>
      </c>
      <c r="AB1245" s="3" t="e">
        <f t="shared" si="355"/>
        <v>#VALUE!</v>
      </c>
      <c r="AD1245" s="23" t="s">
        <v>1415</v>
      </c>
      <c r="AG1245" s="34">
        <f t="shared" si="356"/>
        <v>0</v>
      </c>
      <c r="AH1245" s="44" t="s">
        <v>4488</v>
      </c>
      <c r="AI1245" s="131"/>
      <c r="AK1245" s="66">
        <f t="shared" si="359"/>
        <v>0</v>
      </c>
      <c r="AL1245" s="174">
        <f t="shared" si="360"/>
        <v>0</v>
      </c>
      <c r="AM1245" s="346">
        <f>RTD("money.excel",,$G1245,"PredictVolume")</f>
        <v>0</v>
      </c>
      <c r="AN1245" s="272">
        <f>RTD("money.excel",,$G1245,"CumulativeVolume")</f>
        <v>0</v>
      </c>
      <c r="AO1245" s="284"/>
    </row>
    <row r="1246" spans="1:41">
      <c r="A1246" s="151" t="s">
        <v>2409</v>
      </c>
      <c r="B1246" s="96">
        <v>32</v>
      </c>
      <c r="C1246" s="96">
        <v>17</v>
      </c>
      <c r="D1246" s="96">
        <v>21</v>
      </c>
      <c r="E1246" s="96">
        <v>133</v>
      </c>
      <c r="F1246" s="7">
        <v>3.76</v>
      </c>
      <c r="G1246" s="85">
        <v>6227</v>
      </c>
      <c r="H1246" s="4" t="s">
        <v>596</v>
      </c>
      <c r="I1246" s="17" t="s">
        <v>1399</v>
      </c>
      <c r="J1246" s="77">
        <v>70.400000000000006</v>
      </c>
      <c r="K1246" s="77">
        <v>0.36</v>
      </c>
      <c r="L1246" s="77">
        <v>12.46</v>
      </c>
      <c r="N1246" s="365">
        <f t="shared" si="351"/>
        <v>83.22</v>
      </c>
      <c r="O1246" s="343">
        <f t="shared" si="352"/>
        <v>70.400000000000006</v>
      </c>
      <c r="P1246" s="195" t="s">
        <v>5554</v>
      </c>
      <c r="Q1246" s="326">
        <f>IFERROR(VLOOKUP($G1246,主力整理!$A$2:$G$2301,6,0),"0")</f>
        <v>1</v>
      </c>
      <c r="T1246" s="339">
        <f t="shared" si="353"/>
        <v>1</v>
      </c>
      <c r="V1246" s="371">
        <v>60.32</v>
      </c>
      <c r="W1246" s="35">
        <v>1.5</v>
      </c>
      <c r="X1246" s="100">
        <v>2.61</v>
      </c>
      <c r="Y1246" s="14" t="str">
        <f>RTD("money.excel",,"6227","Price")</f>
        <v>無資料</v>
      </c>
      <c r="Z1246" s="69"/>
      <c r="AA1246" s="16" t="e">
        <f t="shared" si="354"/>
        <v>#VALUE!</v>
      </c>
      <c r="AB1246" s="3" t="e">
        <f t="shared" si="355"/>
        <v>#VALUE!</v>
      </c>
      <c r="AD1246" s="17" t="s">
        <v>1399</v>
      </c>
      <c r="AG1246" s="34">
        <f t="shared" si="356"/>
        <v>0</v>
      </c>
      <c r="AH1246" s="44" t="s">
        <v>4180</v>
      </c>
      <c r="AI1246" s="131"/>
      <c r="AK1246" s="66">
        <f t="shared" ref="AK1246:AK1258" si="361">AM1246/(A1246*10000)</f>
        <v>0</v>
      </c>
      <c r="AL1246" s="174">
        <f t="shared" ref="AL1246:AL1258" si="362">AN1246/(A1246*10000)</f>
        <v>0</v>
      </c>
      <c r="AM1246" s="346">
        <f>RTD("money.excel",,$G1246,"PredictVolume")</f>
        <v>0</v>
      </c>
      <c r="AN1246" s="272">
        <f>RTD("money.excel",,$G1246,"CumulativeVolume")</f>
        <v>0</v>
      </c>
      <c r="AO1246" s="284"/>
    </row>
    <row r="1247" spans="1:41">
      <c r="A1247" s="151" t="s">
        <v>2498</v>
      </c>
      <c r="B1247" s="96">
        <v>-127</v>
      </c>
      <c r="C1247" s="96">
        <v>-143</v>
      </c>
      <c r="D1247" s="96">
        <v>-19</v>
      </c>
      <c r="E1247" s="96">
        <v>0</v>
      </c>
      <c r="F1247" s="7">
        <v>-8.65</v>
      </c>
      <c r="G1247" s="85">
        <v>6265</v>
      </c>
      <c r="H1247" s="4" t="s">
        <v>596</v>
      </c>
      <c r="I1247" s="17" t="s">
        <v>1400</v>
      </c>
      <c r="J1247" s="77">
        <v>59.6</v>
      </c>
      <c r="K1247" s="77">
        <v>2.08</v>
      </c>
      <c r="L1247" s="77">
        <v>10.08</v>
      </c>
      <c r="N1247" s="365">
        <f t="shared" si="351"/>
        <v>71.760000000000005</v>
      </c>
      <c r="O1247" s="343">
        <f t="shared" si="352"/>
        <v>59.6</v>
      </c>
      <c r="P1247" s="195" t="s">
        <v>5554</v>
      </c>
      <c r="Q1247" s="326">
        <f>IFERROR(VLOOKUP($G1247,主力整理!$A$2:$G$2301,6,0),"0")</f>
        <v>4</v>
      </c>
      <c r="T1247" s="339">
        <f t="shared" si="353"/>
        <v>4</v>
      </c>
      <c r="V1247" s="371">
        <v>30.45</v>
      </c>
      <c r="W1247" s="35">
        <v>0</v>
      </c>
      <c r="X1247" s="100">
        <v>-0.25</v>
      </c>
      <c r="Y1247" s="14" t="str">
        <f>RTD("money.excel",,"6265","Price")</f>
        <v>無資料</v>
      </c>
      <c r="Z1247" s="69"/>
      <c r="AA1247" s="16" t="e">
        <f t="shared" si="354"/>
        <v>#VALUE!</v>
      </c>
      <c r="AB1247" s="3" t="e">
        <f t="shared" si="355"/>
        <v>#VALUE!</v>
      </c>
      <c r="AD1247" s="17" t="s">
        <v>1400</v>
      </c>
      <c r="AG1247" s="34">
        <f t="shared" si="356"/>
        <v>0</v>
      </c>
      <c r="AH1247" s="44" t="s">
        <v>4180</v>
      </c>
      <c r="AI1247" s="131"/>
      <c r="AK1247" s="66">
        <f t="shared" si="361"/>
        <v>0</v>
      </c>
      <c r="AL1247" s="174">
        <f t="shared" si="362"/>
        <v>0</v>
      </c>
      <c r="AM1247" s="346">
        <f>RTD("money.excel",,$G1247,"PredictVolume")</f>
        <v>0</v>
      </c>
      <c r="AN1247" s="272">
        <f>RTD("money.excel",,$G1247,"CumulativeVolume")</f>
        <v>0</v>
      </c>
      <c r="AO1247" s="284"/>
    </row>
    <row r="1248" spans="1:41">
      <c r="A1248" s="151" t="s">
        <v>4745</v>
      </c>
      <c r="B1248" s="84">
        <v>34</v>
      </c>
      <c r="C1248" s="84">
        <v>64</v>
      </c>
      <c r="D1248" s="84">
        <v>23</v>
      </c>
      <c r="E1248" s="84">
        <v>92</v>
      </c>
      <c r="F1248" s="7">
        <v>2.96</v>
      </c>
      <c r="G1248" s="85">
        <v>6270</v>
      </c>
      <c r="H1248" s="4" t="s">
        <v>596</v>
      </c>
      <c r="I1248" s="17" t="s">
        <v>1401</v>
      </c>
      <c r="J1248" s="371">
        <v>38.770000000000003</v>
      </c>
      <c r="K1248" s="371">
        <v>1.06</v>
      </c>
      <c r="L1248" s="77">
        <v>17.91</v>
      </c>
      <c r="N1248" s="365">
        <f t="shared" si="351"/>
        <v>57.740000000000009</v>
      </c>
      <c r="O1248" s="343">
        <f t="shared" si="352"/>
        <v>38.770000000000003</v>
      </c>
      <c r="P1248" s="195" t="s">
        <v>5554</v>
      </c>
      <c r="Q1248" s="326" t="str">
        <f>IFERROR(VLOOKUP($G1248,主力整理!$A$2:$G$2301,6,0),"0")</f>
        <v>0</v>
      </c>
      <c r="T1248" s="339">
        <f t="shared" si="353"/>
        <v>0</v>
      </c>
      <c r="V1248" s="371">
        <v>0.02</v>
      </c>
      <c r="W1248" s="35">
        <v>1.2</v>
      </c>
      <c r="X1248" s="100">
        <v>1.28</v>
      </c>
      <c r="Y1248" s="37" t="str">
        <f>RTD("money.excel",,"6270","Price")</f>
        <v>無資料</v>
      </c>
      <c r="Z1248" s="69"/>
      <c r="AA1248" s="16" t="e">
        <f t="shared" si="354"/>
        <v>#VALUE!</v>
      </c>
      <c r="AB1248" s="3" t="e">
        <f t="shared" si="355"/>
        <v>#VALUE!</v>
      </c>
      <c r="AD1248" s="17" t="s">
        <v>1401</v>
      </c>
      <c r="AG1248" s="34">
        <f t="shared" si="356"/>
        <v>0</v>
      </c>
      <c r="AH1248" s="44" t="s">
        <v>4184</v>
      </c>
      <c r="AI1248" s="284"/>
      <c r="AK1248" s="66">
        <f t="shared" si="361"/>
        <v>0</v>
      </c>
      <c r="AL1248" s="174">
        <f t="shared" si="362"/>
        <v>0</v>
      </c>
      <c r="AM1248" s="346">
        <f>RTD("money.excel",,$G1248,"PredictVolume")</f>
        <v>0</v>
      </c>
      <c r="AN1248" s="272">
        <f>RTD("money.excel",,$G1248,"CumulativeVolume")</f>
        <v>0</v>
      </c>
      <c r="AO1248" s="284"/>
    </row>
    <row r="1249" spans="1:41">
      <c r="A1249" s="151" t="s">
        <v>4862</v>
      </c>
      <c r="B1249" s="96">
        <v>31</v>
      </c>
      <c r="C1249" s="96">
        <v>31</v>
      </c>
      <c r="D1249" s="96">
        <v>27</v>
      </c>
      <c r="E1249" s="96">
        <v>11</v>
      </c>
      <c r="F1249" s="7">
        <v>3.57</v>
      </c>
      <c r="G1249" s="85">
        <v>6281</v>
      </c>
      <c r="H1249" s="4" t="s">
        <v>596</v>
      </c>
      <c r="I1249" s="23" t="s">
        <v>1416</v>
      </c>
      <c r="J1249" s="77">
        <v>62.98</v>
      </c>
      <c r="K1249" s="77">
        <v>4.04</v>
      </c>
      <c r="L1249" s="77">
        <v>0.01</v>
      </c>
      <c r="N1249" s="365">
        <f t="shared" si="351"/>
        <v>67.03</v>
      </c>
      <c r="O1249" s="343">
        <f t="shared" si="352"/>
        <v>62.98</v>
      </c>
      <c r="P1249" s="195" t="s">
        <v>5554</v>
      </c>
      <c r="Q1249" s="326" t="str">
        <f>IFERROR(VLOOKUP($G1249,主力整理!$A$2:$G$2301,6,0),"0")</f>
        <v>0</v>
      </c>
      <c r="T1249" s="339">
        <f t="shared" si="353"/>
        <v>0</v>
      </c>
      <c r="V1249" s="371">
        <v>27.24</v>
      </c>
      <c r="W1249" s="69">
        <v>5</v>
      </c>
      <c r="X1249" s="100">
        <v>5.87</v>
      </c>
      <c r="Y1249" s="14" t="str">
        <f>RTD("money.excel",,"6281","Price")</f>
        <v>無資料</v>
      </c>
      <c r="Z1249" s="69"/>
      <c r="AA1249" s="16" t="e">
        <f t="shared" si="354"/>
        <v>#VALUE!</v>
      </c>
      <c r="AB1249" s="3" t="e">
        <f t="shared" si="355"/>
        <v>#VALUE!</v>
      </c>
      <c r="AC1249" s="177" t="s">
        <v>2700</v>
      </c>
      <c r="AD1249" s="23" t="s">
        <v>1416</v>
      </c>
      <c r="AG1249" s="34">
        <f t="shared" si="356"/>
        <v>0</v>
      </c>
      <c r="AH1249" s="44" t="s">
        <v>4494</v>
      </c>
      <c r="AI1249" s="131"/>
      <c r="AK1249" s="66">
        <f t="shared" si="361"/>
        <v>0</v>
      </c>
      <c r="AL1249" s="174">
        <f t="shared" si="362"/>
        <v>0</v>
      </c>
      <c r="AM1249" s="346">
        <f>RTD("money.excel",,$G1249,"PredictVolume")</f>
        <v>0</v>
      </c>
      <c r="AN1249" s="272">
        <f>RTD("money.excel",,$G1249,"CumulativeVolume")</f>
        <v>0</v>
      </c>
      <c r="AO1249" s="284"/>
    </row>
    <row r="1250" spans="1:41">
      <c r="A1250" s="151" t="s">
        <v>3454</v>
      </c>
      <c r="B1250" s="84">
        <v>42</v>
      </c>
      <c r="C1250" s="84">
        <v>43</v>
      </c>
      <c r="D1250" s="84">
        <v>29</v>
      </c>
      <c r="E1250" s="84">
        <v>36</v>
      </c>
      <c r="F1250" s="7">
        <v>1.46</v>
      </c>
      <c r="G1250" s="85">
        <v>6776</v>
      </c>
      <c r="H1250" s="4" t="s">
        <v>596</v>
      </c>
      <c r="I1250" s="23" t="s">
        <v>4990</v>
      </c>
      <c r="J1250" s="371">
        <v>74.31</v>
      </c>
      <c r="K1250" s="77">
        <v>0.23</v>
      </c>
      <c r="N1250" s="365">
        <f t="shared" si="351"/>
        <v>74.540000000000006</v>
      </c>
      <c r="O1250" s="343">
        <f t="shared" si="352"/>
        <v>74.31</v>
      </c>
      <c r="P1250" s="195" t="s">
        <v>5554</v>
      </c>
      <c r="Q1250" s="326" t="str">
        <f>IFERROR(VLOOKUP($G1250,主力整理!$A$2:$G$2301,6,0),"0")</f>
        <v>0</v>
      </c>
      <c r="R1250" s="111">
        <v>0</v>
      </c>
      <c r="T1250" s="339">
        <f t="shared" si="353"/>
        <v>0</v>
      </c>
      <c r="W1250" s="35">
        <v>2</v>
      </c>
      <c r="X1250" s="59">
        <v>2.86</v>
      </c>
      <c r="Y1250" s="37" t="str">
        <f>RTD("money.excel",,"6776","Price")</f>
        <v>無資料</v>
      </c>
      <c r="Z1250" s="69"/>
      <c r="AA1250" s="16" t="e">
        <f t="shared" si="354"/>
        <v>#VALUE!</v>
      </c>
      <c r="AB1250" s="3" t="e">
        <f t="shared" si="355"/>
        <v>#VALUE!</v>
      </c>
      <c r="AC1250" s="177" t="s">
        <v>2648</v>
      </c>
      <c r="AD1250" s="23" t="s">
        <v>4990</v>
      </c>
      <c r="AG1250" s="34">
        <f t="shared" si="356"/>
        <v>0</v>
      </c>
      <c r="AH1250" s="44" t="s">
        <v>1684</v>
      </c>
      <c r="AI1250" s="284"/>
      <c r="AK1250" s="66">
        <f t="shared" si="361"/>
        <v>0</v>
      </c>
      <c r="AL1250" s="174">
        <f t="shared" si="362"/>
        <v>0</v>
      </c>
      <c r="AM1250" s="346">
        <f>RTD("money.excel",,$G1250,"PredictVolume")</f>
        <v>0</v>
      </c>
      <c r="AN1250" s="272">
        <f>RTD("money.excel",,$G1250,"CumulativeVolume")</f>
        <v>0</v>
      </c>
      <c r="AO1250" s="284"/>
    </row>
    <row r="1251" spans="1:41">
      <c r="A1251" s="151" t="s">
        <v>4746</v>
      </c>
      <c r="B1251" s="96">
        <v>-38</v>
      </c>
      <c r="C1251" s="96">
        <v>-59</v>
      </c>
      <c r="D1251" s="96">
        <v>21</v>
      </c>
      <c r="E1251" s="96">
        <v>88</v>
      </c>
      <c r="F1251" s="7">
        <v>1.31</v>
      </c>
      <c r="G1251" s="85">
        <v>8032</v>
      </c>
      <c r="H1251" s="4" t="s">
        <v>596</v>
      </c>
      <c r="I1251" s="17" t="s">
        <v>1402</v>
      </c>
      <c r="J1251" s="77">
        <v>85.35</v>
      </c>
      <c r="K1251" s="77">
        <v>0</v>
      </c>
      <c r="L1251" s="77">
        <v>1.06</v>
      </c>
      <c r="N1251" s="365">
        <f t="shared" si="351"/>
        <v>86.41</v>
      </c>
      <c r="O1251" s="343">
        <f t="shared" si="352"/>
        <v>85.35</v>
      </c>
      <c r="P1251" s="195" t="s">
        <v>5554</v>
      </c>
      <c r="Q1251" s="326">
        <f>IFERROR(VLOOKUP($G1251,主力整理!$A$2:$G$2301,6,0),"0")</f>
        <v>1</v>
      </c>
      <c r="T1251" s="339">
        <f t="shared" si="353"/>
        <v>1</v>
      </c>
      <c r="V1251" s="371">
        <v>63.65</v>
      </c>
      <c r="W1251" s="35">
        <v>1</v>
      </c>
      <c r="X1251" s="100">
        <v>1.26</v>
      </c>
      <c r="Y1251" s="14" t="str">
        <f>RTD("money.excel",,"8032","Price")</f>
        <v>無資料</v>
      </c>
      <c r="Z1251" s="69"/>
      <c r="AA1251" s="16" t="e">
        <f t="shared" si="354"/>
        <v>#VALUE!</v>
      </c>
      <c r="AB1251" s="3" t="e">
        <f t="shared" si="355"/>
        <v>#VALUE!</v>
      </c>
      <c r="AD1251" s="17" t="s">
        <v>1402</v>
      </c>
      <c r="AG1251" s="34">
        <f t="shared" si="356"/>
        <v>0</v>
      </c>
      <c r="AH1251" s="44" t="s">
        <v>4185</v>
      </c>
      <c r="AI1251" s="284"/>
      <c r="AK1251" s="66">
        <f t="shared" si="361"/>
        <v>0</v>
      </c>
      <c r="AL1251" s="174">
        <f t="shared" si="362"/>
        <v>0</v>
      </c>
      <c r="AM1251" s="346">
        <f>RTD("money.excel",,$G1251,"PredictVolume")</f>
        <v>0</v>
      </c>
      <c r="AN1251" s="272">
        <f>RTD("money.excel",,$G1251,"CumulativeVolume")</f>
        <v>0</v>
      </c>
      <c r="AO1251" s="284"/>
    </row>
    <row r="1252" spans="1:41">
      <c r="A1252" s="151" t="s">
        <v>3993</v>
      </c>
      <c r="B1252" s="214">
        <v>-3520</v>
      </c>
      <c r="C1252" s="96">
        <v>12</v>
      </c>
      <c r="D1252" s="96">
        <v>-30</v>
      </c>
      <c r="E1252" s="96">
        <v>47</v>
      </c>
      <c r="F1252" s="7">
        <v>-14.45</v>
      </c>
      <c r="G1252" s="85">
        <v>8067</v>
      </c>
      <c r="H1252" s="4" t="s">
        <v>596</v>
      </c>
      <c r="I1252" s="17" t="s">
        <v>1403</v>
      </c>
      <c r="J1252" s="77">
        <v>75.290000000000006</v>
      </c>
      <c r="K1252" s="77">
        <v>13.59</v>
      </c>
      <c r="N1252" s="365">
        <f t="shared" si="351"/>
        <v>88.88000000000001</v>
      </c>
      <c r="O1252" s="343">
        <f t="shared" si="352"/>
        <v>75.290000000000006</v>
      </c>
      <c r="P1252" s="195" t="s">
        <v>5554</v>
      </c>
      <c r="Q1252" s="326" t="str">
        <f>IFERROR(VLOOKUP($G1252,主力整理!$A$2:$G$2301,6,0),"0")</f>
        <v>0</v>
      </c>
      <c r="T1252" s="339">
        <f t="shared" si="353"/>
        <v>0</v>
      </c>
      <c r="V1252" s="371">
        <v>45.88</v>
      </c>
      <c r="W1252" s="35">
        <v>0</v>
      </c>
      <c r="X1252" s="100">
        <v>-1.1499999999999999</v>
      </c>
      <c r="Y1252" s="14" t="str">
        <f>RTD("money.excel",,"8067","Price")</f>
        <v>無資料</v>
      </c>
      <c r="Z1252" s="69"/>
      <c r="AA1252" s="16" t="e">
        <f t="shared" si="354"/>
        <v>#VALUE!</v>
      </c>
      <c r="AB1252" s="3" t="e">
        <f t="shared" si="355"/>
        <v>#VALUE!</v>
      </c>
      <c r="AD1252" s="17" t="s">
        <v>1403</v>
      </c>
      <c r="AG1252" s="34">
        <f t="shared" si="356"/>
        <v>0</v>
      </c>
      <c r="AH1252" s="44" t="s">
        <v>4186</v>
      </c>
      <c r="AI1252" s="131"/>
      <c r="AK1252" s="66">
        <f t="shared" si="361"/>
        <v>0</v>
      </c>
      <c r="AL1252" s="174">
        <f t="shared" si="362"/>
        <v>0</v>
      </c>
      <c r="AM1252" s="346">
        <f>RTD("money.excel",,$G1252,"PredictVolume")</f>
        <v>0</v>
      </c>
      <c r="AN1252" s="272">
        <f>RTD("money.excel",,$G1252,"CumulativeVolume")</f>
        <v>0</v>
      </c>
      <c r="AO1252" s="284"/>
    </row>
    <row r="1253" spans="1:41">
      <c r="A1253" s="151" t="s">
        <v>2885</v>
      </c>
      <c r="B1253" s="96">
        <v>-192</v>
      </c>
      <c r="C1253" s="96">
        <v>-135</v>
      </c>
      <c r="D1253" s="96">
        <v>30</v>
      </c>
      <c r="E1253" s="96">
        <v>41</v>
      </c>
      <c r="F1253" s="7">
        <v>-0.18</v>
      </c>
      <c r="G1253" s="85">
        <v>8068</v>
      </c>
      <c r="H1253" s="4" t="s">
        <v>596</v>
      </c>
      <c r="I1253" s="17" t="s">
        <v>1404</v>
      </c>
      <c r="J1253" s="77">
        <v>84.18</v>
      </c>
      <c r="K1253" s="77">
        <v>36.69</v>
      </c>
      <c r="N1253" s="365">
        <f t="shared" si="351"/>
        <v>120.87</v>
      </c>
      <c r="O1253" s="343">
        <f t="shared" si="352"/>
        <v>84.18</v>
      </c>
      <c r="P1253" s="195" t="s">
        <v>5554</v>
      </c>
      <c r="Q1253" s="326" t="str">
        <f>IFERROR(VLOOKUP($G1253,主力整理!$A$2:$G$2301,6,0),"0")</f>
        <v>0</v>
      </c>
      <c r="T1253" s="339">
        <f t="shared" si="353"/>
        <v>0</v>
      </c>
      <c r="V1253" s="371">
        <v>20.98</v>
      </c>
      <c r="W1253" s="35">
        <v>0</v>
      </c>
      <c r="X1253" s="100">
        <v>-0.36</v>
      </c>
      <c r="Y1253" s="14" t="str">
        <f>RTD("money.excel",,"8068","Price")</f>
        <v>無資料</v>
      </c>
      <c r="Z1253" s="69"/>
      <c r="AA1253" s="16" t="e">
        <f t="shared" si="354"/>
        <v>#VALUE!</v>
      </c>
      <c r="AB1253" s="3" t="e">
        <f t="shared" si="355"/>
        <v>#VALUE!</v>
      </c>
      <c r="AD1253" s="17" t="s">
        <v>1404</v>
      </c>
      <c r="AG1253" s="34">
        <f t="shared" si="356"/>
        <v>0</v>
      </c>
      <c r="AH1253" s="44" t="s">
        <v>4187</v>
      </c>
      <c r="AI1253" s="131"/>
      <c r="AK1253" s="66">
        <f t="shared" si="361"/>
        <v>0</v>
      </c>
      <c r="AL1253" s="174">
        <f t="shared" si="362"/>
        <v>0</v>
      </c>
      <c r="AM1253" s="346">
        <f>RTD("money.excel",,$G1253,"PredictVolume")</f>
        <v>0</v>
      </c>
      <c r="AN1253" s="272">
        <f>RTD("money.excel",,$G1253,"CumulativeVolume")</f>
        <v>0</v>
      </c>
      <c r="AO1253" s="284"/>
    </row>
    <row r="1254" spans="1:41">
      <c r="A1254" s="151" t="s">
        <v>4760</v>
      </c>
      <c r="B1254" s="84">
        <v>59</v>
      </c>
      <c r="C1254" s="84">
        <v>48</v>
      </c>
      <c r="D1254" s="84">
        <v>11</v>
      </c>
      <c r="E1254" s="84">
        <v>29</v>
      </c>
      <c r="F1254" s="7">
        <v>8.77</v>
      </c>
      <c r="G1254" s="85">
        <v>8070</v>
      </c>
      <c r="H1254" s="4" t="s">
        <v>596</v>
      </c>
      <c r="I1254" s="23" t="s">
        <v>410</v>
      </c>
      <c r="J1254" s="371">
        <v>72.47</v>
      </c>
      <c r="K1254" s="371">
        <v>12.19</v>
      </c>
      <c r="L1254" s="77">
        <v>4.57</v>
      </c>
      <c r="N1254" s="365">
        <f t="shared" si="351"/>
        <v>89.22999999999999</v>
      </c>
      <c r="O1254" s="343">
        <f t="shared" si="352"/>
        <v>72.47</v>
      </c>
      <c r="P1254" s="195">
        <v>3</v>
      </c>
      <c r="Q1254" s="326">
        <f>IFERROR(VLOOKUP($G1254,主力整理!$A$2:$G$2301,6,0),"0")</f>
        <v>1</v>
      </c>
      <c r="R1254" s="111">
        <v>7</v>
      </c>
      <c r="T1254" s="339">
        <f t="shared" si="353"/>
        <v>11</v>
      </c>
      <c r="V1254" s="371">
        <v>6.69</v>
      </c>
      <c r="W1254" s="69">
        <v>1.04</v>
      </c>
      <c r="X1254" s="59">
        <v>1.69</v>
      </c>
      <c r="Y1254" s="37" t="str">
        <f>RTD("money.excel",,"8070","Price")</f>
        <v>無資料</v>
      </c>
      <c r="Z1254" s="69"/>
      <c r="AA1254" s="16" t="e">
        <f t="shared" si="354"/>
        <v>#VALUE!</v>
      </c>
      <c r="AB1254" s="3" t="e">
        <f t="shared" si="355"/>
        <v>#VALUE!</v>
      </c>
      <c r="AC1254" s="177" t="s">
        <v>2929</v>
      </c>
      <c r="AD1254" s="23" t="s">
        <v>410</v>
      </c>
      <c r="AG1254" s="34">
        <f t="shared" si="356"/>
        <v>0</v>
      </c>
      <c r="AH1254" s="125" t="s">
        <v>4495</v>
      </c>
      <c r="AI1254" s="131"/>
      <c r="AK1254" s="66">
        <f t="shared" si="361"/>
        <v>0</v>
      </c>
      <c r="AL1254" s="174">
        <f t="shared" si="362"/>
        <v>0</v>
      </c>
      <c r="AM1254" s="346">
        <f>RTD("money.excel",,$G1254,"PredictVolume")</f>
        <v>0</v>
      </c>
      <c r="AN1254" s="272">
        <f>RTD("money.excel",,$G1254,"CumulativeVolume")</f>
        <v>0</v>
      </c>
      <c r="AO1254" s="284"/>
    </row>
    <row r="1255" spans="1:41">
      <c r="A1255" s="151" t="s">
        <v>3425</v>
      </c>
      <c r="B1255" s="84">
        <v>71</v>
      </c>
      <c r="C1255" s="84">
        <v>74</v>
      </c>
      <c r="D1255" s="84">
        <v>29</v>
      </c>
      <c r="E1255" s="84">
        <v>91</v>
      </c>
      <c r="F1255" s="7">
        <v>-4.38</v>
      </c>
      <c r="G1255" s="85">
        <v>8072</v>
      </c>
      <c r="H1255" s="4" t="s">
        <v>596</v>
      </c>
      <c r="I1255" s="23" t="s">
        <v>1417</v>
      </c>
      <c r="J1255" s="77">
        <v>69.87</v>
      </c>
      <c r="K1255" s="77">
        <v>1.26</v>
      </c>
      <c r="L1255" s="77">
        <v>6.43</v>
      </c>
      <c r="N1255" s="365">
        <f t="shared" si="351"/>
        <v>77.56</v>
      </c>
      <c r="O1255" s="343">
        <f t="shared" si="352"/>
        <v>69.87</v>
      </c>
      <c r="P1255" s="195" t="s">
        <v>5554</v>
      </c>
      <c r="Q1255" s="326" t="str">
        <f>IFERROR(VLOOKUP($G1255,主力整理!$A$2:$G$2301,6,0),"0")</f>
        <v>0</v>
      </c>
      <c r="T1255" s="339">
        <f t="shared" si="353"/>
        <v>0</v>
      </c>
      <c r="V1255" s="371">
        <v>0.37</v>
      </c>
      <c r="W1255" s="35">
        <v>0.2</v>
      </c>
      <c r="X1255" s="100">
        <v>-0.15</v>
      </c>
      <c r="Y1255" s="37" t="str">
        <f>RTD("money.excel",,"8072","Price")</f>
        <v>無資料</v>
      </c>
      <c r="Z1255" s="69"/>
      <c r="AA1255" s="16" t="e">
        <f t="shared" si="354"/>
        <v>#VALUE!</v>
      </c>
      <c r="AB1255" s="3" t="e">
        <f t="shared" si="355"/>
        <v>#VALUE!</v>
      </c>
      <c r="AC1255" s="177" t="s">
        <v>2648</v>
      </c>
      <c r="AD1255" s="23" t="s">
        <v>1417</v>
      </c>
      <c r="AG1255" s="34">
        <f t="shared" si="356"/>
        <v>0</v>
      </c>
      <c r="AH1255" s="44" t="s">
        <v>4496</v>
      </c>
      <c r="AI1255" s="131"/>
      <c r="AK1255" s="66">
        <f t="shared" si="361"/>
        <v>0</v>
      </c>
      <c r="AL1255" s="174">
        <f t="shared" si="362"/>
        <v>0</v>
      </c>
      <c r="AM1255" s="346">
        <f>RTD("money.excel",,$G1255,"PredictVolume")</f>
        <v>0</v>
      </c>
      <c r="AN1255" s="272">
        <f>RTD("money.excel",,$G1255,"CumulativeVolume")</f>
        <v>0</v>
      </c>
      <c r="AO1255" s="284"/>
    </row>
    <row r="1256" spans="1:41">
      <c r="A1256" s="151" t="s">
        <v>2927</v>
      </c>
      <c r="B1256" s="85">
        <v>-349</v>
      </c>
      <c r="C1256" s="85">
        <v>-241</v>
      </c>
      <c r="D1256" s="84">
        <v>13</v>
      </c>
      <c r="E1256" s="85">
        <v>-39</v>
      </c>
      <c r="F1256" s="7">
        <v>-18.77</v>
      </c>
      <c r="G1256" s="85">
        <v>8084</v>
      </c>
      <c r="H1256" s="4" t="s">
        <v>596</v>
      </c>
      <c r="I1256" s="17" t="s">
        <v>1405</v>
      </c>
      <c r="J1256" s="77">
        <v>72.430000000000007</v>
      </c>
      <c r="K1256" s="77">
        <v>0.55000000000000004</v>
      </c>
      <c r="N1256" s="365">
        <f t="shared" si="351"/>
        <v>72.98</v>
      </c>
      <c r="O1256" s="343">
        <f t="shared" si="352"/>
        <v>72.430000000000007</v>
      </c>
      <c r="P1256" s="195" t="s">
        <v>5554</v>
      </c>
      <c r="Q1256" s="326" t="str">
        <f>IFERROR(VLOOKUP($G1256,主力整理!$A$2:$G$2301,6,0),"0")</f>
        <v>0</v>
      </c>
      <c r="T1256" s="339">
        <f t="shared" si="353"/>
        <v>0</v>
      </c>
      <c r="W1256" s="35">
        <v>0</v>
      </c>
      <c r="X1256" s="100">
        <v>-2.56</v>
      </c>
      <c r="Y1256" s="37" t="str">
        <f>RTD("money.excel",,"8084","Price")</f>
        <v>無資料</v>
      </c>
      <c r="Z1256" s="69"/>
      <c r="AA1256" s="16" t="e">
        <f t="shared" si="354"/>
        <v>#VALUE!</v>
      </c>
      <c r="AB1256" s="3" t="e">
        <f t="shared" si="355"/>
        <v>#VALUE!</v>
      </c>
      <c r="AD1256" s="17" t="s">
        <v>1405</v>
      </c>
      <c r="AG1256" s="34">
        <f t="shared" si="356"/>
        <v>0</v>
      </c>
      <c r="AH1256" s="44" t="s">
        <v>3252</v>
      </c>
      <c r="AI1256" s="131"/>
      <c r="AK1256" s="66">
        <f t="shared" si="361"/>
        <v>0</v>
      </c>
      <c r="AL1256" s="174">
        <f t="shared" si="362"/>
        <v>0</v>
      </c>
      <c r="AM1256" s="346">
        <f>RTD("money.excel",,$G1256,"PredictVolume")</f>
        <v>0</v>
      </c>
      <c r="AN1256" s="272">
        <f>RTD("money.excel",,$G1256,"CumulativeVolume")</f>
        <v>0</v>
      </c>
      <c r="AO1256" s="284"/>
    </row>
    <row r="1257" spans="1:41">
      <c r="A1257" s="151" t="s">
        <v>2876</v>
      </c>
      <c r="B1257" s="84">
        <v>98</v>
      </c>
      <c r="C1257" s="84">
        <v>39</v>
      </c>
      <c r="D1257" s="84">
        <v>39</v>
      </c>
      <c r="E1257" s="84">
        <v>25</v>
      </c>
      <c r="F1257" s="7">
        <v>1.1000000000000001</v>
      </c>
      <c r="G1257" s="85">
        <v>8096</v>
      </c>
      <c r="H1257" s="4" t="s">
        <v>596</v>
      </c>
      <c r="I1257" s="17" t="s">
        <v>1406</v>
      </c>
      <c r="J1257" s="371">
        <v>22.53</v>
      </c>
      <c r="K1257" s="371">
        <v>23.09</v>
      </c>
      <c r="L1257" s="77">
        <v>23.17</v>
      </c>
      <c r="N1257" s="365">
        <f t="shared" si="351"/>
        <v>68.790000000000006</v>
      </c>
      <c r="O1257" s="343">
        <f t="shared" si="352"/>
        <v>22.53</v>
      </c>
      <c r="P1257" s="195" t="s">
        <v>5554</v>
      </c>
      <c r="Q1257" s="326">
        <f>IFERROR(VLOOKUP($G1257,主力整理!$A$2:$G$2301,6,0),"0")</f>
        <v>2</v>
      </c>
      <c r="T1257" s="339">
        <f t="shared" si="353"/>
        <v>2</v>
      </c>
      <c r="V1257" s="371">
        <v>0.56000000000000005</v>
      </c>
      <c r="W1257" s="35">
        <v>0.4</v>
      </c>
      <c r="X1257" s="100">
        <v>0.72</v>
      </c>
      <c r="Y1257" s="37" t="str">
        <f>RTD("money.excel",,"8096","Price")</f>
        <v>無資料</v>
      </c>
      <c r="Z1257" s="69"/>
      <c r="AA1257" s="16" t="e">
        <f t="shared" si="354"/>
        <v>#VALUE!</v>
      </c>
      <c r="AB1257" s="3" t="e">
        <f t="shared" si="355"/>
        <v>#VALUE!</v>
      </c>
      <c r="AD1257" s="17" t="s">
        <v>1406</v>
      </c>
      <c r="AG1257" s="34">
        <f t="shared" si="356"/>
        <v>0</v>
      </c>
      <c r="AH1257" s="44" t="s">
        <v>4005</v>
      </c>
      <c r="AI1257" s="131"/>
      <c r="AK1257" s="66">
        <f t="shared" si="361"/>
        <v>0</v>
      </c>
      <c r="AL1257" s="174">
        <f t="shared" si="362"/>
        <v>0</v>
      </c>
      <c r="AM1257" s="346">
        <f>RTD("money.excel",,$G1257,"PredictVolume")</f>
        <v>0</v>
      </c>
      <c r="AN1257" s="272">
        <f>RTD("money.excel",,$G1257,"CumulativeVolume")</f>
        <v>0</v>
      </c>
      <c r="AO1257" s="284"/>
    </row>
    <row r="1258" spans="1:41">
      <c r="A1258" s="151" t="s">
        <v>5228</v>
      </c>
      <c r="B1258" s="84">
        <v>95</v>
      </c>
      <c r="C1258" s="84">
        <v>112</v>
      </c>
      <c r="D1258" s="84">
        <v>73</v>
      </c>
      <c r="E1258" s="84">
        <v>48</v>
      </c>
      <c r="F1258" s="7">
        <v>2.17</v>
      </c>
      <c r="G1258" s="85">
        <v>8112</v>
      </c>
      <c r="H1258" s="4" t="s">
        <v>596</v>
      </c>
      <c r="I1258" s="23" t="s">
        <v>236</v>
      </c>
      <c r="J1258" s="77">
        <v>30.99</v>
      </c>
      <c r="K1258" s="77">
        <v>23.51</v>
      </c>
      <c r="L1258" s="77">
        <v>8.32</v>
      </c>
      <c r="M1258" s="77">
        <v>6.61</v>
      </c>
      <c r="N1258" s="365">
        <f t="shared" si="351"/>
        <v>69.430000000000007</v>
      </c>
      <c r="O1258" s="343">
        <f t="shared" si="352"/>
        <v>37.6</v>
      </c>
      <c r="P1258" s="195">
        <v>6</v>
      </c>
      <c r="Q1258" s="326">
        <v>20</v>
      </c>
      <c r="R1258" s="111">
        <v>2</v>
      </c>
      <c r="S1258" s="51">
        <v>1</v>
      </c>
      <c r="T1258" s="339">
        <f t="shared" si="353"/>
        <v>29</v>
      </c>
      <c r="U1258" s="329" t="s">
        <v>6539</v>
      </c>
      <c r="V1258" s="371">
        <v>0.5</v>
      </c>
      <c r="W1258" s="69">
        <v>3</v>
      </c>
      <c r="X1258" s="100">
        <v>6.83</v>
      </c>
      <c r="Y1258" s="37" t="str">
        <f>RTD("money.excel",,"8112","Price")</f>
        <v>無資料</v>
      </c>
      <c r="Z1258" s="69"/>
      <c r="AA1258" s="16" t="e">
        <f t="shared" si="354"/>
        <v>#VALUE!</v>
      </c>
      <c r="AB1258" s="3" t="e">
        <f t="shared" si="355"/>
        <v>#VALUE!</v>
      </c>
      <c r="AC1258" s="177" t="s">
        <v>2929</v>
      </c>
      <c r="AD1258" s="23" t="s">
        <v>236</v>
      </c>
      <c r="AG1258" s="34">
        <f t="shared" si="356"/>
        <v>0</v>
      </c>
      <c r="AH1258" s="125" t="s">
        <v>3066</v>
      </c>
      <c r="AI1258" s="131"/>
      <c r="AK1258" s="66">
        <f t="shared" si="361"/>
        <v>0</v>
      </c>
      <c r="AL1258" s="174">
        <f t="shared" si="362"/>
        <v>0</v>
      </c>
      <c r="AM1258" s="346">
        <f>RTD("money.excel",,$G1258,"PredictVolume")</f>
        <v>0</v>
      </c>
      <c r="AN1258" s="272">
        <f>RTD("money.excel",,$G1258,"CumulativeVolume")</f>
        <v>0</v>
      </c>
      <c r="AO1258" s="284"/>
    </row>
    <row r="1259" spans="1:41">
      <c r="A1259" s="151"/>
      <c r="B1259" s="84"/>
      <c r="C1259" s="84"/>
      <c r="D1259" s="84"/>
      <c r="E1259" s="84"/>
      <c r="F1259" s="7"/>
      <c r="G1259" s="85"/>
      <c r="H1259" s="4"/>
      <c r="I1259" s="23"/>
      <c r="J1259" s="77"/>
      <c r="K1259" s="77"/>
      <c r="M1259" s="77"/>
      <c r="N1259" s="365"/>
      <c r="O1259" s="343"/>
      <c r="P1259" s="195"/>
      <c r="W1259" s="69"/>
      <c r="X1259" s="100"/>
      <c r="Y1259" s="37"/>
      <c r="Z1259" s="69"/>
      <c r="AA1259" s="16"/>
      <c r="AB1259" s="3"/>
      <c r="AD1259" s="23"/>
      <c r="AG1259" s="34"/>
      <c r="AH1259" s="125"/>
      <c r="AI1259" s="131"/>
      <c r="AK1259" s="66"/>
      <c r="AL1259" s="174"/>
      <c r="AM1259" s="346"/>
      <c r="AN1259" s="272"/>
      <c r="AO1259" s="284"/>
    </row>
    <row r="1260" spans="1:41">
      <c r="A1260" s="135" t="s">
        <v>2552</v>
      </c>
      <c r="B1260" s="96" t="s">
        <v>2331</v>
      </c>
      <c r="C1260" s="96" t="s">
        <v>2332</v>
      </c>
      <c r="D1260" s="96" t="s">
        <v>2333</v>
      </c>
      <c r="E1260" s="96" t="s">
        <v>2334</v>
      </c>
      <c r="F1260" s="9" t="s">
        <v>1709</v>
      </c>
      <c r="G1260" s="52" t="s">
        <v>1625</v>
      </c>
      <c r="H1260" s="56" t="s">
        <v>578</v>
      </c>
      <c r="I1260" s="9" t="s">
        <v>565</v>
      </c>
      <c r="J1260" s="364" t="s">
        <v>2189</v>
      </c>
      <c r="K1260" s="364" t="s">
        <v>1820</v>
      </c>
      <c r="L1260" s="364" t="s">
        <v>515</v>
      </c>
      <c r="M1260" s="364" t="s">
        <v>1699</v>
      </c>
      <c r="N1260" s="364" t="s">
        <v>6604</v>
      </c>
      <c r="O1260" s="343" t="s">
        <v>6620</v>
      </c>
      <c r="P1260" s="83" t="s">
        <v>5279</v>
      </c>
      <c r="Q1260" s="326" t="s">
        <v>5514</v>
      </c>
      <c r="R1260" s="31" t="s">
        <v>6596</v>
      </c>
      <c r="S1260" s="51" t="s">
        <v>6597</v>
      </c>
      <c r="T1260" s="338" t="s">
        <v>5627</v>
      </c>
      <c r="U1260" s="330" t="s">
        <v>6537</v>
      </c>
      <c r="V1260" s="377" t="s">
        <v>6616</v>
      </c>
      <c r="W1260" s="11" t="s">
        <v>127</v>
      </c>
      <c r="X1260" s="71" t="s">
        <v>5216</v>
      </c>
      <c r="Y1260" s="29" t="s">
        <v>3</v>
      </c>
      <c r="Z1260" s="18" t="s">
        <v>2113</v>
      </c>
      <c r="AA1260" s="15" t="s">
        <v>8</v>
      </c>
      <c r="AB1260" s="22" t="s">
        <v>4</v>
      </c>
      <c r="AC1260" s="358" t="s">
        <v>211</v>
      </c>
      <c r="AD1260" s="9" t="s">
        <v>565</v>
      </c>
      <c r="AE1260" s="75" t="s">
        <v>2114</v>
      </c>
      <c r="AF1260" s="76" t="s">
        <v>1826</v>
      </c>
      <c r="AG1260" s="33" t="s">
        <v>1827</v>
      </c>
      <c r="AH1260" s="44"/>
      <c r="AI1260" s="284"/>
      <c r="AK1260" s="9" t="s">
        <v>6666</v>
      </c>
      <c r="AL1260" s="5" t="s">
        <v>6667</v>
      </c>
      <c r="AM1260" s="51" t="s">
        <v>5339</v>
      </c>
      <c r="AN1260" s="276" t="s">
        <v>6665</v>
      </c>
      <c r="AO1260" s="284"/>
    </row>
    <row r="1261" spans="1:41">
      <c r="A1261" s="151" t="s">
        <v>2913</v>
      </c>
      <c r="B1261" s="96">
        <v>50</v>
      </c>
      <c r="C1261" s="96">
        <v>184</v>
      </c>
      <c r="D1261" s="96">
        <v>-49</v>
      </c>
      <c r="E1261" s="96">
        <v>112</v>
      </c>
      <c r="F1261" s="7">
        <v>1.44</v>
      </c>
      <c r="G1261" s="85">
        <v>2427</v>
      </c>
      <c r="H1261" s="4" t="s">
        <v>565</v>
      </c>
      <c r="I1261" s="23" t="s">
        <v>1648</v>
      </c>
      <c r="J1261" s="77">
        <v>68.819999999999993</v>
      </c>
      <c r="K1261" s="77">
        <v>2.89</v>
      </c>
      <c r="L1261" s="77">
        <v>24.65</v>
      </c>
      <c r="N1261" s="365">
        <f t="shared" ref="N1261:N1300" si="363">J1261+K1261+L1261+M1261</f>
        <v>96.359999999999985</v>
      </c>
      <c r="O1261" s="343">
        <f t="shared" ref="O1261:O1300" si="364">J1261+M1261</f>
        <v>68.819999999999993</v>
      </c>
      <c r="P1261" s="195" t="s">
        <v>5554</v>
      </c>
      <c r="Q1261" s="326" t="str">
        <f>IFERROR(VLOOKUP($G1261,主力整理!$A$2:$G$2301,6,0),"0")</f>
        <v>0</v>
      </c>
      <c r="T1261" s="339">
        <f t="shared" ref="T1261:T1300" si="365">SUM(P1261:S1261)</f>
        <v>0</v>
      </c>
      <c r="V1261" s="371">
        <v>53.89</v>
      </c>
      <c r="W1261" s="35">
        <v>0.3</v>
      </c>
      <c r="X1261" s="100">
        <v>0.63</v>
      </c>
      <c r="Y1261" s="14" t="str">
        <f>RTD("money.excel",,"2427","Price")</f>
        <v>無資料</v>
      </c>
      <c r="Z1261" s="69"/>
      <c r="AA1261" s="16" t="e">
        <f t="shared" ref="AA1261:AA1300" si="366">Y1261-Z1261</f>
        <v>#VALUE!</v>
      </c>
      <c r="AB1261" s="3" t="e">
        <f t="shared" ref="AB1261:AB1300" si="367">AA1261/Z1261</f>
        <v>#VALUE!</v>
      </c>
      <c r="AD1261" s="23" t="s">
        <v>1648</v>
      </c>
      <c r="AG1261" s="34">
        <f t="shared" ref="AG1261:AG1300" si="368">AF1261-AE1261</f>
        <v>0</v>
      </c>
      <c r="AH1261" s="44" t="s">
        <v>553</v>
      </c>
      <c r="AI1261" s="131"/>
      <c r="AK1261" s="66">
        <f t="shared" ref="AK1261" si="369">AM1261/(A1261*10000)</f>
        <v>0</v>
      </c>
      <c r="AL1261" s="174">
        <f t="shared" ref="AL1261" si="370">AN1261/(A1261*10000)</f>
        <v>0</v>
      </c>
      <c r="AM1261" s="346">
        <f>RTD("money.excel",,$G1261,"PredictVolume")</f>
        <v>0</v>
      </c>
      <c r="AN1261" s="272">
        <f>RTD("money.excel",,$G1261,"CumulativeVolume")</f>
        <v>0</v>
      </c>
      <c r="AO1261" s="284"/>
    </row>
    <row r="1262" spans="1:41">
      <c r="A1262" s="151" t="s">
        <v>3161</v>
      </c>
      <c r="B1262" s="84">
        <v>12</v>
      </c>
      <c r="C1262" s="84">
        <v>14</v>
      </c>
      <c r="D1262" s="84">
        <v>11</v>
      </c>
      <c r="E1262" s="84">
        <v>-22</v>
      </c>
      <c r="F1262" s="7">
        <v>1.84</v>
      </c>
      <c r="G1262" s="85">
        <v>2453</v>
      </c>
      <c r="H1262" s="4" t="s">
        <v>565</v>
      </c>
      <c r="I1262" s="23" t="s">
        <v>1649</v>
      </c>
      <c r="J1262" s="77">
        <v>52.74</v>
      </c>
      <c r="K1262" s="77">
        <v>1.39</v>
      </c>
      <c r="L1262" s="77">
        <v>11.26</v>
      </c>
      <c r="N1262" s="365">
        <f t="shared" si="363"/>
        <v>65.39</v>
      </c>
      <c r="O1262" s="343">
        <f t="shared" si="364"/>
        <v>52.74</v>
      </c>
      <c r="P1262" s="195">
        <v>1</v>
      </c>
      <c r="Q1262" s="326" t="str">
        <f>IFERROR(VLOOKUP($G1262,主力整理!$A$2:$G$2301,6,0),"0")</f>
        <v>0</v>
      </c>
      <c r="T1262" s="339">
        <f t="shared" si="365"/>
        <v>1</v>
      </c>
      <c r="V1262" s="371">
        <v>0.01</v>
      </c>
      <c r="W1262" s="35">
        <v>1.5</v>
      </c>
      <c r="X1262" s="100">
        <v>1.7</v>
      </c>
      <c r="Y1262" s="37" t="str">
        <f>RTD("money.excel",,"2453","Price")</f>
        <v>無資料</v>
      </c>
      <c r="Z1262" s="69"/>
      <c r="AA1262" s="16" t="e">
        <f t="shared" si="366"/>
        <v>#VALUE!</v>
      </c>
      <c r="AB1262" s="3" t="e">
        <f t="shared" si="367"/>
        <v>#VALUE!</v>
      </c>
      <c r="AC1262" s="177" t="s">
        <v>2648</v>
      </c>
      <c r="AD1262" s="23" t="s">
        <v>1649</v>
      </c>
      <c r="AG1262" s="34">
        <f t="shared" si="368"/>
        <v>0</v>
      </c>
      <c r="AH1262" s="44" t="s">
        <v>553</v>
      </c>
      <c r="AK1262" s="66">
        <f t="shared" ref="AK1262:AK1265" si="371">AM1262/(A1262*10000)</f>
        <v>0</v>
      </c>
      <c r="AL1262" s="174">
        <f t="shared" ref="AL1262:AL1265" si="372">AN1262/(A1262*10000)</f>
        <v>0</v>
      </c>
      <c r="AM1262" s="346">
        <f>RTD("money.excel",,$G1262,"PredictVolume")</f>
        <v>0</v>
      </c>
      <c r="AN1262" s="272">
        <f>RTD("money.excel",,$G1262,"CumulativeVolume")</f>
        <v>0</v>
      </c>
    </row>
    <row r="1263" spans="1:41">
      <c r="A1263" s="151" t="s">
        <v>3270</v>
      </c>
      <c r="B1263" s="96">
        <v>23</v>
      </c>
      <c r="C1263" s="96">
        <v>59</v>
      </c>
      <c r="D1263" s="96">
        <v>-7</v>
      </c>
      <c r="E1263" s="96">
        <v>1</v>
      </c>
      <c r="F1263" s="7">
        <v>2.2000000000000002</v>
      </c>
      <c r="G1263" s="85">
        <v>2468</v>
      </c>
      <c r="H1263" s="4" t="s">
        <v>565</v>
      </c>
      <c r="I1263" s="23" t="s">
        <v>1650</v>
      </c>
      <c r="J1263" s="77">
        <v>69.91</v>
      </c>
      <c r="K1263" s="77">
        <v>0.54</v>
      </c>
      <c r="L1263" s="77">
        <v>18.14</v>
      </c>
      <c r="N1263" s="365">
        <f t="shared" si="363"/>
        <v>88.59</v>
      </c>
      <c r="O1263" s="343">
        <f t="shared" si="364"/>
        <v>69.91</v>
      </c>
      <c r="P1263" s="195" t="s">
        <v>5554</v>
      </c>
      <c r="Q1263" s="326" t="str">
        <f>IFERROR(VLOOKUP($G1263,主力整理!$A$2:$G$2301,6,0),"0")</f>
        <v>0</v>
      </c>
      <c r="T1263" s="339">
        <f t="shared" si="365"/>
        <v>0</v>
      </c>
      <c r="V1263" s="371">
        <v>67.8</v>
      </c>
      <c r="W1263" s="35">
        <v>0.4</v>
      </c>
      <c r="X1263" s="100">
        <v>0.55000000000000004</v>
      </c>
      <c r="Y1263" s="14" t="str">
        <f>RTD("money.excel",,"2468","Price")</f>
        <v>無資料</v>
      </c>
      <c r="Z1263" s="69"/>
      <c r="AA1263" s="16" t="e">
        <f t="shared" si="366"/>
        <v>#VALUE!</v>
      </c>
      <c r="AB1263" s="3" t="e">
        <f t="shared" si="367"/>
        <v>#VALUE!</v>
      </c>
      <c r="AD1263" s="23" t="s">
        <v>1650</v>
      </c>
      <c r="AG1263" s="34">
        <f t="shared" si="368"/>
        <v>0</v>
      </c>
      <c r="AH1263" s="44" t="s">
        <v>3258</v>
      </c>
      <c r="AI1263" s="131"/>
      <c r="AK1263" s="66">
        <f t="shared" si="371"/>
        <v>0</v>
      </c>
      <c r="AL1263" s="174">
        <f t="shared" si="372"/>
        <v>0</v>
      </c>
      <c r="AM1263" s="346">
        <f>RTD("money.excel",,$G1263,"PredictVolume")</f>
        <v>0</v>
      </c>
      <c r="AN1263" s="272">
        <f>RTD("money.excel",,$G1263,"CumulativeVolume")</f>
        <v>0</v>
      </c>
      <c r="AO1263" s="284"/>
    </row>
    <row r="1264" spans="1:41">
      <c r="A1264" s="151" t="s">
        <v>2213</v>
      </c>
      <c r="B1264" s="85">
        <v>-78</v>
      </c>
      <c r="C1264" s="85">
        <v>-96</v>
      </c>
      <c r="D1264" s="85">
        <v>-3</v>
      </c>
      <c r="E1264" s="84">
        <v>8</v>
      </c>
      <c r="F1264" s="7">
        <v>0.41</v>
      </c>
      <c r="G1264" s="85">
        <v>2471</v>
      </c>
      <c r="H1264" s="4" t="s">
        <v>565</v>
      </c>
      <c r="I1264" s="23" t="s">
        <v>1651</v>
      </c>
      <c r="J1264" s="77">
        <v>21.41</v>
      </c>
      <c r="K1264" s="77">
        <v>1.1299999999999999</v>
      </c>
      <c r="L1264" s="77">
        <v>15.65</v>
      </c>
      <c r="N1264" s="365">
        <f t="shared" si="363"/>
        <v>38.19</v>
      </c>
      <c r="O1264" s="343">
        <f t="shared" si="364"/>
        <v>21.41</v>
      </c>
      <c r="P1264" s="195" t="s">
        <v>5554</v>
      </c>
      <c r="Q1264" s="326" t="str">
        <f>IFERROR(VLOOKUP($G1264,主力整理!$A$2:$G$2301,6,0),"0")</f>
        <v>0</v>
      </c>
      <c r="T1264" s="339">
        <f t="shared" si="365"/>
        <v>0</v>
      </c>
      <c r="V1264" s="371">
        <v>0.11</v>
      </c>
      <c r="W1264" s="35">
        <v>1.5</v>
      </c>
      <c r="X1264" s="100">
        <v>2.0699999999999998</v>
      </c>
      <c r="Y1264" s="37" t="str">
        <f>RTD("money.excel",,"2471","Price")</f>
        <v>無資料</v>
      </c>
      <c r="Z1264" s="69"/>
      <c r="AA1264" s="16" t="e">
        <f t="shared" si="366"/>
        <v>#VALUE!</v>
      </c>
      <c r="AB1264" s="3" t="e">
        <f t="shared" si="367"/>
        <v>#VALUE!</v>
      </c>
      <c r="AC1264" s="177" t="s">
        <v>2648</v>
      </c>
      <c r="AD1264" s="23" t="s">
        <v>1651</v>
      </c>
      <c r="AG1264" s="34">
        <f t="shared" si="368"/>
        <v>0</v>
      </c>
      <c r="AH1264" s="44" t="s">
        <v>553</v>
      </c>
      <c r="AI1264" s="131"/>
      <c r="AK1264" s="66">
        <f t="shared" si="371"/>
        <v>0</v>
      </c>
      <c r="AL1264" s="174">
        <f t="shared" si="372"/>
        <v>0</v>
      </c>
      <c r="AM1264" s="346">
        <f>RTD("money.excel",,$G1264,"PredictVolume")</f>
        <v>0</v>
      </c>
      <c r="AN1264" s="272">
        <f>RTD("money.excel",,$G1264,"CumulativeVolume")</f>
        <v>0</v>
      </c>
      <c r="AO1264" s="284"/>
    </row>
    <row r="1265" spans="1:41">
      <c r="A1265" s="135" t="s">
        <v>2631</v>
      </c>
      <c r="B1265" s="84">
        <v>15</v>
      </c>
      <c r="C1265" s="84">
        <v>23</v>
      </c>
      <c r="D1265" s="84">
        <v>2</v>
      </c>
      <c r="E1265" s="84">
        <v>9</v>
      </c>
      <c r="F1265" s="59">
        <v>10.75</v>
      </c>
      <c r="G1265" s="85">
        <v>2480</v>
      </c>
      <c r="H1265" s="4" t="s">
        <v>565</v>
      </c>
      <c r="I1265" s="23" t="s">
        <v>1652</v>
      </c>
      <c r="J1265" s="371">
        <v>20.07</v>
      </c>
      <c r="K1265" s="371">
        <v>6.13</v>
      </c>
      <c r="L1265" s="371">
        <v>2.13</v>
      </c>
      <c r="N1265" s="365">
        <f t="shared" si="363"/>
        <v>28.33</v>
      </c>
      <c r="O1265" s="343">
        <f t="shared" si="364"/>
        <v>20.07</v>
      </c>
      <c r="P1265" s="195">
        <v>2</v>
      </c>
      <c r="Q1265" s="326" t="str">
        <f>IFERROR(VLOOKUP($G1265,主力整理!$A$2:$G$2301,6,0),"0")</f>
        <v>0</v>
      </c>
      <c r="R1265" s="111">
        <v>0</v>
      </c>
      <c r="S1265" s="51">
        <v>2</v>
      </c>
      <c r="T1265" s="339">
        <f t="shared" si="365"/>
        <v>4</v>
      </c>
      <c r="V1265" s="371">
        <v>0</v>
      </c>
      <c r="W1265" s="69">
        <v>4.3</v>
      </c>
      <c r="X1265" s="100">
        <v>5.2</v>
      </c>
      <c r="Y1265" s="37" t="str">
        <f>RTD("money.excel",,"2480","Price")</f>
        <v>無資料</v>
      </c>
      <c r="Z1265" s="69"/>
      <c r="AA1265" s="16" t="e">
        <f t="shared" si="366"/>
        <v>#VALUE!</v>
      </c>
      <c r="AB1265" s="3" t="e">
        <f t="shared" si="367"/>
        <v>#VALUE!</v>
      </c>
      <c r="AC1265" s="177" t="s">
        <v>2929</v>
      </c>
      <c r="AD1265" s="23" t="s">
        <v>1652</v>
      </c>
      <c r="AG1265" s="34">
        <f t="shared" si="368"/>
        <v>0</v>
      </c>
      <c r="AH1265" s="63" t="s">
        <v>4230</v>
      </c>
      <c r="AI1265" s="131"/>
      <c r="AK1265" s="66">
        <f t="shared" si="371"/>
        <v>0</v>
      </c>
      <c r="AL1265" s="174">
        <f t="shared" si="372"/>
        <v>0</v>
      </c>
      <c r="AM1265" s="346">
        <f>RTD("money.excel",,$G1265,"PredictVolume")</f>
        <v>0</v>
      </c>
      <c r="AN1265" s="272">
        <f>RTD("money.excel",,$G1265,"CumulativeVolume")</f>
        <v>0</v>
      </c>
      <c r="AO1265" s="284"/>
    </row>
    <row r="1266" spans="1:41">
      <c r="A1266" s="151" t="s">
        <v>4784</v>
      </c>
      <c r="B1266" s="84">
        <v>18</v>
      </c>
      <c r="C1266" s="84">
        <v>14</v>
      </c>
      <c r="D1266" s="85">
        <v>-17</v>
      </c>
      <c r="E1266" s="84">
        <v>39</v>
      </c>
      <c r="F1266" s="7">
        <v>4.76</v>
      </c>
      <c r="G1266" s="85">
        <v>3029</v>
      </c>
      <c r="H1266" s="4" t="s">
        <v>565</v>
      </c>
      <c r="I1266" s="23" t="s">
        <v>1653</v>
      </c>
      <c r="J1266" s="77">
        <v>28.64</v>
      </c>
      <c r="K1266" s="371">
        <v>4.2300000000000004</v>
      </c>
      <c r="L1266" s="77">
        <v>5.12</v>
      </c>
      <c r="M1266" s="371">
        <v>8.23</v>
      </c>
      <c r="N1266" s="365">
        <f t="shared" si="363"/>
        <v>46.22</v>
      </c>
      <c r="O1266" s="343">
        <f t="shared" si="364"/>
        <v>36.870000000000005</v>
      </c>
      <c r="P1266" s="195">
        <v>4</v>
      </c>
      <c r="Q1266" s="326">
        <v>27</v>
      </c>
      <c r="R1266" s="111">
        <v>38</v>
      </c>
      <c r="S1266" s="51">
        <v>30</v>
      </c>
      <c r="T1266" s="339">
        <f t="shared" si="365"/>
        <v>99</v>
      </c>
      <c r="U1266" s="329" t="s">
        <v>6540</v>
      </c>
      <c r="V1266" s="371">
        <v>1.1299999999999999</v>
      </c>
      <c r="W1266" s="69">
        <v>3</v>
      </c>
      <c r="X1266" s="100">
        <v>4.0199999999999996</v>
      </c>
      <c r="Y1266" s="37" t="str">
        <f>RTD("money.excel",,"3029","Price")</f>
        <v>無資料</v>
      </c>
      <c r="Z1266" s="69"/>
      <c r="AA1266" s="16" t="e">
        <f t="shared" si="366"/>
        <v>#VALUE!</v>
      </c>
      <c r="AB1266" s="3" t="e">
        <f t="shared" si="367"/>
        <v>#VALUE!</v>
      </c>
      <c r="AC1266" s="177" t="s">
        <v>2929</v>
      </c>
      <c r="AD1266" s="23" t="s">
        <v>1653</v>
      </c>
      <c r="AG1266" s="34">
        <f t="shared" si="368"/>
        <v>0</v>
      </c>
      <c r="AH1266" s="44" t="s">
        <v>2297</v>
      </c>
      <c r="AI1266" s="131"/>
      <c r="AK1266" s="66">
        <f t="shared" ref="AK1266:AK1290" si="373">AM1266/(A1266*10000)</f>
        <v>0</v>
      </c>
      <c r="AL1266" s="174">
        <f t="shared" ref="AL1266:AL1290" si="374">AN1266/(A1266*10000)</f>
        <v>0</v>
      </c>
      <c r="AM1266" s="346">
        <f>RTD("money.excel",,$G1266,"PredictVolume")</f>
        <v>0</v>
      </c>
      <c r="AN1266" s="272">
        <f>RTD("money.excel",,$G1266,"CumulativeVolume")</f>
        <v>0</v>
      </c>
      <c r="AO1266" s="284"/>
    </row>
    <row r="1267" spans="1:41">
      <c r="A1267" s="135" t="s">
        <v>2586</v>
      </c>
      <c r="B1267" s="84">
        <v>7</v>
      </c>
      <c r="C1267" s="84">
        <v>14</v>
      </c>
      <c r="D1267" s="85">
        <v>-2</v>
      </c>
      <c r="E1267" s="85">
        <v>-7</v>
      </c>
      <c r="F1267" s="59">
        <v>18.04</v>
      </c>
      <c r="G1267" s="85">
        <v>3130</v>
      </c>
      <c r="H1267" s="4" t="s">
        <v>565</v>
      </c>
      <c r="I1267" s="23" t="s">
        <v>1654</v>
      </c>
      <c r="J1267" s="77">
        <v>78.22</v>
      </c>
      <c r="K1267" s="371">
        <v>42.45</v>
      </c>
      <c r="L1267" s="371">
        <v>0.02</v>
      </c>
      <c r="N1267" s="365">
        <f t="shared" si="363"/>
        <v>120.69</v>
      </c>
      <c r="O1267" s="343">
        <f t="shared" si="364"/>
        <v>78.22</v>
      </c>
      <c r="P1267" s="195" t="s">
        <v>5554</v>
      </c>
      <c r="Q1267" s="326" t="str">
        <f>IFERROR(VLOOKUP($G1267,主力整理!$A$2:$G$2301,6,0),"0")</f>
        <v>0</v>
      </c>
      <c r="T1267" s="339">
        <f t="shared" si="365"/>
        <v>0</v>
      </c>
      <c r="V1267" s="371">
        <v>0</v>
      </c>
      <c r="W1267" s="69">
        <v>7</v>
      </c>
      <c r="X1267" s="100">
        <v>7.8</v>
      </c>
      <c r="Y1267" s="14" t="str">
        <f>RTD("money.excel",,"3130","Price")</f>
        <v>無資料</v>
      </c>
      <c r="Z1267" s="69"/>
      <c r="AA1267" s="16" t="e">
        <f t="shared" si="366"/>
        <v>#VALUE!</v>
      </c>
      <c r="AB1267" s="3" t="e">
        <f t="shared" si="367"/>
        <v>#VALUE!</v>
      </c>
      <c r="AC1267" s="177" t="s">
        <v>2700</v>
      </c>
      <c r="AD1267" s="23" t="s">
        <v>1654</v>
      </c>
      <c r="AG1267" s="34">
        <f t="shared" si="368"/>
        <v>0</v>
      </c>
      <c r="AH1267" s="63" t="s">
        <v>4350</v>
      </c>
      <c r="AI1267" s="131"/>
      <c r="AK1267" s="66">
        <f t="shared" si="373"/>
        <v>0</v>
      </c>
      <c r="AL1267" s="174">
        <f t="shared" si="374"/>
        <v>0</v>
      </c>
      <c r="AM1267" s="346">
        <f>RTD("money.excel",,$G1267,"PredictVolume")</f>
        <v>0</v>
      </c>
      <c r="AN1267" s="272">
        <f>RTD("money.excel",,$G1267,"CumulativeVolume")</f>
        <v>0</v>
      </c>
      <c r="AO1267" s="284"/>
    </row>
    <row r="1268" spans="1:41">
      <c r="A1268" s="135" t="s">
        <v>2364</v>
      </c>
      <c r="B1268" s="84">
        <v>-1</v>
      </c>
      <c r="C1268" s="84">
        <v>-5</v>
      </c>
      <c r="D1268" s="84">
        <v>13</v>
      </c>
      <c r="E1268" s="84">
        <v>17</v>
      </c>
      <c r="F1268" s="59">
        <v>14.06</v>
      </c>
      <c r="G1268" s="85">
        <v>3570</v>
      </c>
      <c r="H1268" s="4" t="s">
        <v>565</v>
      </c>
      <c r="I1268" s="17" t="s">
        <v>1629</v>
      </c>
      <c r="J1268" s="77">
        <v>66.040000000000006</v>
      </c>
      <c r="K1268" s="371">
        <v>41.95</v>
      </c>
      <c r="N1268" s="365">
        <f t="shared" si="363"/>
        <v>107.99000000000001</v>
      </c>
      <c r="O1268" s="343">
        <f t="shared" si="364"/>
        <v>66.040000000000006</v>
      </c>
      <c r="P1268" s="195" t="s">
        <v>5554</v>
      </c>
      <c r="Q1268" s="326" t="str">
        <f>IFERROR(VLOOKUP($G1268,主力整理!$A$2:$G$2301,6,0),"0")</f>
        <v>0</v>
      </c>
      <c r="T1268" s="339">
        <f t="shared" si="365"/>
        <v>0</v>
      </c>
      <c r="W1268" s="69">
        <v>5.2</v>
      </c>
      <c r="X1268" s="100">
        <v>8</v>
      </c>
      <c r="Y1268" s="14" t="str">
        <f>RTD("money.excel",,"3570","Price")</f>
        <v>無資料</v>
      </c>
      <c r="Z1268" s="69"/>
      <c r="AA1268" s="16" t="e">
        <f t="shared" si="366"/>
        <v>#VALUE!</v>
      </c>
      <c r="AB1268" s="3" t="e">
        <f t="shared" si="367"/>
        <v>#VALUE!</v>
      </c>
      <c r="AC1268" s="177" t="s">
        <v>2700</v>
      </c>
      <c r="AD1268" s="17" t="s">
        <v>1629</v>
      </c>
      <c r="AG1268" s="34">
        <f t="shared" si="368"/>
        <v>0</v>
      </c>
      <c r="AH1268" s="63" t="s">
        <v>4768</v>
      </c>
      <c r="AI1268" s="131"/>
      <c r="AK1268" s="66">
        <f t="shared" si="373"/>
        <v>0</v>
      </c>
      <c r="AL1268" s="174">
        <f t="shared" si="374"/>
        <v>0</v>
      </c>
      <c r="AM1268" s="346">
        <f>RTD("money.excel",,$G1268,"PredictVolume")</f>
        <v>0</v>
      </c>
      <c r="AN1268" s="272">
        <f>RTD("money.excel",,$G1268,"CumulativeVolume")</f>
        <v>0</v>
      </c>
      <c r="AO1268" s="284"/>
    </row>
    <row r="1269" spans="1:41">
      <c r="A1269" s="151" t="s">
        <v>2357</v>
      </c>
      <c r="B1269" s="84">
        <v>12</v>
      </c>
      <c r="C1269" s="84">
        <v>7</v>
      </c>
      <c r="D1269" s="85">
        <v>-7</v>
      </c>
      <c r="E1269" s="84">
        <v>25</v>
      </c>
      <c r="F1269" s="7">
        <v>9.5</v>
      </c>
      <c r="G1269" s="85">
        <v>4953</v>
      </c>
      <c r="H1269" s="4" t="s">
        <v>565</v>
      </c>
      <c r="I1269" s="17" t="s">
        <v>1630</v>
      </c>
      <c r="J1269" s="371">
        <v>37.619999999999997</v>
      </c>
      <c r="K1269" s="77">
        <v>10.7</v>
      </c>
      <c r="L1269" s="77">
        <v>18.45</v>
      </c>
      <c r="N1269" s="365">
        <f t="shared" si="363"/>
        <v>66.77</v>
      </c>
      <c r="O1269" s="343">
        <f t="shared" si="364"/>
        <v>37.619999999999997</v>
      </c>
      <c r="P1269" s="195">
        <v>3</v>
      </c>
      <c r="Q1269" s="326" t="str">
        <f>IFERROR(VLOOKUP($G1269,主力整理!$A$2:$G$2301,6,0),"0")</f>
        <v>0</v>
      </c>
      <c r="T1269" s="339">
        <f t="shared" si="365"/>
        <v>3</v>
      </c>
      <c r="V1269" s="371">
        <v>0.3</v>
      </c>
      <c r="W1269" s="69">
        <v>5</v>
      </c>
      <c r="X1269" s="100">
        <v>7.05</v>
      </c>
      <c r="Y1269" s="37" t="str">
        <f>RTD("money.excel",,"4953","Price")</f>
        <v>無資料</v>
      </c>
      <c r="Z1269" s="69"/>
      <c r="AA1269" s="16" t="e">
        <f t="shared" si="366"/>
        <v>#VALUE!</v>
      </c>
      <c r="AB1269" s="3" t="e">
        <f t="shared" si="367"/>
        <v>#VALUE!</v>
      </c>
      <c r="AC1269" s="177" t="s">
        <v>2929</v>
      </c>
      <c r="AD1269" s="17" t="s">
        <v>1630</v>
      </c>
      <c r="AG1269" s="34">
        <f t="shared" si="368"/>
        <v>0</v>
      </c>
      <c r="AH1269" s="44" t="s">
        <v>3051</v>
      </c>
      <c r="AI1269" s="131"/>
      <c r="AK1269" s="66">
        <f t="shared" si="373"/>
        <v>0</v>
      </c>
      <c r="AL1269" s="174">
        <f t="shared" si="374"/>
        <v>0</v>
      </c>
      <c r="AM1269" s="346">
        <f>RTD("money.excel",,$G1269,"PredictVolume")</f>
        <v>0</v>
      </c>
      <c r="AN1269" s="272">
        <f>RTD("money.excel",,$G1269,"CumulativeVolume")</f>
        <v>0</v>
      </c>
      <c r="AO1269" s="284"/>
    </row>
    <row r="1270" spans="1:41">
      <c r="A1270" s="135" t="s">
        <v>3238</v>
      </c>
      <c r="B1270" s="96">
        <v>295</v>
      </c>
      <c r="C1270" s="96">
        <v>416</v>
      </c>
      <c r="D1270" s="96">
        <v>-17</v>
      </c>
      <c r="E1270" s="96">
        <v>303</v>
      </c>
      <c r="F1270" s="59">
        <v>16.23</v>
      </c>
      <c r="G1270" s="85">
        <v>4994</v>
      </c>
      <c r="H1270" s="4" t="s">
        <v>565</v>
      </c>
      <c r="I1270" s="23" t="s">
        <v>1655</v>
      </c>
      <c r="J1270" s="77">
        <v>82.27</v>
      </c>
      <c r="K1270" s="77">
        <v>2.4300000000000002</v>
      </c>
      <c r="L1270" s="77">
        <v>10.6</v>
      </c>
      <c r="N1270" s="365">
        <f t="shared" si="363"/>
        <v>95.3</v>
      </c>
      <c r="O1270" s="343">
        <f t="shared" si="364"/>
        <v>82.27</v>
      </c>
      <c r="P1270" s="195">
        <v>4</v>
      </c>
      <c r="Q1270" s="326" t="str">
        <f>IFERROR(VLOOKUP($G1270,主力整理!$A$2:$G$2301,6,0),"0")</f>
        <v>0</v>
      </c>
      <c r="T1270" s="339">
        <f t="shared" si="365"/>
        <v>4</v>
      </c>
      <c r="V1270" s="371">
        <v>32.65</v>
      </c>
      <c r="W1270" s="69">
        <v>3</v>
      </c>
      <c r="X1270" s="59">
        <v>3.91</v>
      </c>
      <c r="Y1270" s="37" t="str">
        <f>RTD("money.excel",,"4994","Price")</f>
        <v>無資料</v>
      </c>
      <c r="Z1270" s="69"/>
      <c r="AA1270" s="16" t="e">
        <f t="shared" si="366"/>
        <v>#VALUE!</v>
      </c>
      <c r="AB1270" s="3" t="e">
        <f t="shared" si="367"/>
        <v>#VALUE!</v>
      </c>
      <c r="AC1270" s="177" t="s">
        <v>2929</v>
      </c>
      <c r="AD1270" s="23" t="s">
        <v>1655</v>
      </c>
      <c r="AG1270" s="34">
        <f t="shared" si="368"/>
        <v>0</v>
      </c>
      <c r="AH1270" s="63" t="s">
        <v>3694</v>
      </c>
      <c r="AI1270" s="131"/>
      <c r="AK1270" s="66">
        <f t="shared" si="373"/>
        <v>0</v>
      </c>
      <c r="AL1270" s="174">
        <f t="shared" si="374"/>
        <v>0</v>
      </c>
      <c r="AM1270" s="346">
        <f>RTD("money.excel",,$G1270,"PredictVolume")</f>
        <v>0</v>
      </c>
      <c r="AN1270" s="272">
        <f>RTD("money.excel",,$G1270,"CumulativeVolume")</f>
        <v>0</v>
      </c>
      <c r="AO1270" s="284"/>
    </row>
    <row r="1271" spans="1:41">
      <c r="A1271" s="135" t="s">
        <v>4619</v>
      </c>
      <c r="B1271" s="96">
        <v>146</v>
      </c>
      <c r="C1271" s="96">
        <v>634</v>
      </c>
      <c r="D1271" s="96">
        <v>-43</v>
      </c>
      <c r="E1271" s="96">
        <v>-6</v>
      </c>
      <c r="F1271" s="59">
        <v>25.17</v>
      </c>
      <c r="G1271" s="85">
        <v>5201</v>
      </c>
      <c r="H1271" s="4" t="s">
        <v>565</v>
      </c>
      <c r="I1271" s="17" t="s">
        <v>1631</v>
      </c>
      <c r="J1271" s="77">
        <v>48.56</v>
      </c>
      <c r="K1271" s="77">
        <v>2.42</v>
      </c>
      <c r="L1271" s="77">
        <v>69.98</v>
      </c>
      <c r="N1271" s="365">
        <f t="shared" si="363"/>
        <v>120.96000000000001</v>
      </c>
      <c r="O1271" s="343">
        <f t="shared" si="364"/>
        <v>48.56</v>
      </c>
      <c r="P1271" s="195" t="s">
        <v>5554</v>
      </c>
      <c r="Q1271" s="326" t="str">
        <f>IFERROR(VLOOKUP($G1271,主力整理!$A$2:$G$2301,6,0),"0")</f>
        <v>0</v>
      </c>
      <c r="T1271" s="339">
        <f t="shared" si="365"/>
        <v>0</v>
      </c>
      <c r="V1271" s="371">
        <v>22.54</v>
      </c>
      <c r="W1271" s="35">
        <v>2.8</v>
      </c>
      <c r="X1271" s="100">
        <v>3.1</v>
      </c>
      <c r="Y1271" s="37" t="str">
        <f>RTD("money.excel",,"5201","Price")</f>
        <v>無資料</v>
      </c>
      <c r="Z1271" s="69"/>
      <c r="AA1271" s="16" t="e">
        <f t="shared" si="366"/>
        <v>#VALUE!</v>
      </c>
      <c r="AB1271" s="3" t="e">
        <f t="shared" si="367"/>
        <v>#VALUE!</v>
      </c>
      <c r="AD1271" s="17" t="s">
        <v>1631</v>
      </c>
      <c r="AG1271" s="34">
        <f t="shared" si="368"/>
        <v>0</v>
      </c>
      <c r="AH1271" s="63" t="s">
        <v>4228</v>
      </c>
      <c r="AI1271" s="131"/>
      <c r="AK1271" s="66">
        <f t="shared" si="373"/>
        <v>0</v>
      </c>
      <c r="AL1271" s="174">
        <f t="shared" si="374"/>
        <v>0</v>
      </c>
      <c r="AM1271" s="346">
        <f>RTD("money.excel",,$G1271,"PredictVolume")</f>
        <v>0</v>
      </c>
      <c r="AN1271" s="272">
        <f>RTD("money.excel",,$G1271,"CumulativeVolume")</f>
        <v>0</v>
      </c>
      <c r="AO1271" s="284"/>
    </row>
    <row r="1272" spans="1:41">
      <c r="A1272" s="151" t="s">
        <v>3318</v>
      </c>
      <c r="B1272" s="96">
        <v>-28</v>
      </c>
      <c r="C1272" s="96">
        <v>-38</v>
      </c>
      <c r="D1272" s="96">
        <v>-61</v>
      </c>
      <c r="E1272" s="96">
        <v>-19</v>
      </c>
      <c r="F1272" s="7">
        <v>-36.42</v>
      </c>
      <c r="G1272" s="85">
        <v>5202</v>
      </c>
      <c r="H1272" s="4" t="s">
        <v>565</v>
      </c>
      <c r="I1272" s="17" t="s">
        <v>1632</v>
      </c>
      <c r="J1272" s="77">
        <v>57.88</v>
      </c>
      <c r="K1272" s="77">
        <v>7.0000000000000007E-2</v>
      </c>
      <c r="N1272" s="365">
        <f t="shared" si="363"/>
        <v>57.95</v>
      </c>
      <c r="O1272" s="343">
        <f t="shared" si="364"/>
        <v>57.88</v>
      </c>
      <c r="P1272" s="195" t="s">
        <v>5554</v>
      </c>
      <c r="Q1272" s="326">
        <f>IFERROR(VLOOKUP($G1272,主力整理!$A$2:$G$2301,6,0),"0")</f>
        <v>1</v>
      </c>
      <c r="T1272" s="339">
        <f t="shared" si="365"/>
        <v>1</v>
      </c>
      <c r="V1272" s="371">
        <v>14.57</v>
      </c>
      <c r="W1272" s="35">
        <v>0</v>
      </c>
      <c r="X1272" s="100">
        <v>-0.55000000000000004</v>
      </c>
      <c r="Y1272" s="14" t="str">
        <f>RTD("money.excel",,"5202","Price")</f>
        <v>無資料</v>
      </c>
      <c r="Z1272" s="69"/>
      <c r="AA1272" s="16" t="e">
        <f t="shared" si="366"/>
        <v>#VALUE!</v>
      </c>
      <c r="AB1272" s="3" t="e">
        <f t="shared" si="367"/>
        <v>#VALUE!</v>
      </c>
      <c r="AD1272" s="17" t="s">
        <v>1632</v>
      </c>
      <c r="AG1272" s="34">
        <f t="shared" si="368"/>
        <v>0</v>
      </c>
      <c r="AH1272" s="44" t="s">
        <v>3258</v>
      </c>
      <c r="AI1272" s="131"/>
      <c r="AK1272" s="66">
        <f t="shared" si="373"/>
        <v>0</v>
      </c>
      <c r="AL1272" s="174">
        <f t="shared" si="374"/>
        <v>0</v>
      </c>
      <c r="AM1272" s="346">
        <f>RTD("money.excel",,$G1272,"PredictVolume")</f>
        <v>0</v>
      </c>
      <c r="AN1272" s="272">
        <f>RTD("money.excel",,$G1272,"CumulativeVolume")</f>
        <v>0</v>
      </c>
      <c r="AO1272" s="284"/>
    </row>
    <row r="1273" spans="1:41">
      <c r="A1273" s="135" t="s">
        <v>4898</v>
      </c>
      <c r="B1273" s="85">
        <v>-13</v>
      </c>
      <c r="C1273" s="85">
        <v>-16</v>
      </c>
      <c r="D1273" s="85">
        <v>-18</v>
      </c>
      <c r="E1273" s="85">
        <v>-15</v>
      </c>
      <c r="F1273" s="59">
        <v>13.44</v>
      </c>
      <c r="G1273" s="85">
        <v>5203</v>
      </c>
      <c r="H1273" s="4" t="s">
        <v>565</v>
      </c>
      <c r="I1273" s="23" t="s">
        <v>202</v>
      </c>
      <c r="J1273" s="371">
        <v>46.19</v>
      </c>
      <c r="K1273" s="77">
        <v>17.690000000000001</v>
      </c>
      <c r="L1273" s="77">
        <v>5.73</v>
      </c>
      <c r="N1273" s="365">
        <f t="shared" si="363"/>
        <v>69.61</v>
      </c>
      <c r="O1273" s="343">
        <f t="shared" si="364"/>
        <v>46.19</v>
      </c>
      <c r="P1273" s="195" t="s">
        <v>5554</v>
      </c>
      <c r="Q1273" s="326" t="str">
        <f>IFERROR(VLOOKUP($G1273,主力整理!$A$2:$G$2301,6,0),"0")</f>
        <v>0</v>
      </c>
      <c r="T1273" s="339">
        <f t="shared" si="365"/>
        <v>0</v>
      </c>
      <c r="V1273" s="371">
        <v>0.01</v>
      </c>
      <c r="W1273" s="35">
        <v>2.2599999999999998</v>
      </c>
      <c r="X1273" s="100">
        <v>2.25</v>
      </c>
      <c r="Y1273" s="37" t="str">
        <f>RTD("money.excel",,"5203","Price")</f>
        <v>無資料</v>
      </c>
      <c r="Z1273" s="69"/>
      <c r="AA1273" s="16" t="e">
        <f t="shared" si="366"/>
        <v>#VALUE!</v>
      </c>
      <c r="AB1273" s="3" t="e">
        <f t="shared" si="367"/>
        <v>#VALUE!</v>
      </c>
      <c r="AC1273" s="177" t="s">
        <v>2648</v>
      </c>
      <c r="AD1273" s="23" t="s">
        <v>202</v>
      </c>
      <c r="AG1273" s="34">
        <f t="shared" si="368"/>
        <v>0</v>
      </c>
      <c r="AH1273" s="126" t="s">
        <v>3263</v>
      </c>
      <c r="AI1273" s="131"/>
      <c r="AK1273" s="66">
        <f t="shared" si="373"/>
        <v>0</v>
      </c>
      <c r="AL1273" s="174">
        <f t="shared" si="374"/>
        <v>0</v>
      </c>
      <c r="AM1273" s="346">
        <f>RTD("money.excel",,$G1273,"PredictVolume")</f>
        <v>0</v>
      </c>
      <c r="AN1273" s="272">
        <f>RTD("money.excel",,$G1273,"CumulativeVolume")</f>
        <v>0</v>
      </c>
      <c r="AO1273" s="284"/>
    </row>
    <row r="1274" spans="1:41">
      <c r="A1274" s="151" t="s">
        <v>2569</v>
      </c>
      <c r="B1274" s="85">
        <v>-15</v>
      </c>
      <c r="C1274" s="85">
        <v>-5</v>
      </c>
      <c r="D1274" s="84">
        <v>19</v>
      </c>
      <c r="E1274" s="84">
        <v>324</v>
      </c>
      <c r="F1274" s="7">
        <v>5.73</v>
      </c>
      <c r="G1274" s="85">
        <v>5209</v>
      </c>
      <c r="H1274" s="4" t="s">
        <v>565</v>
      </c>
      <c r="I1274" s="17" t="s">
        <v>1633</v>
      </c>
      <c r="J1274" s="371">
        <v>55.09</v>
      </c>
      <c r="K1274" s="371">
        <v>0.22</v>
      </c>
      <c r="L1274" s="371"/>
      <c r="N1274" s="365">
        <f t="shared" si="363"/>
        <v>55.31</v>
      </c>
      <c r="O1274" s="343">
        <f t="shared" si="364"/>
        <v>55.09</v>
      </c>
      <c r="P1274" s="195" t="s">
        <v>5554</v>
      </c>
      <c r="Q1274" s="326" t="str">
        <f>IFERROR(VLOOKUP($G1274,主力整理!$A$2:$G$2301,6,0),"0")</f>
        <v>0</v>
      </c>
      <c r="T1274" s="339">
        <f t="shared" si="365"/>
        <v>0</v>
      </c>
      <c r="W1274" s="69">
        <v>4</v>
      </c>
      <c r="X1274" s="100">
        <v>5.75</v>
      </c>
      <c r="Y1274" s="37" t="str">
        <f>RTD("money.excel",,"5209","Price")</f>
        <v>無資料</v>
      </c>
      <c r="Z1274" s="69"/>
      <c r="AA1274" s="16" t="e">
        <f t="shared" si="366"/>
        <v>#VALUE!</v>
      </c>
      <c r="AB1274" s="3" t="e">
        <f t="shared" si="367"/>
        <v>#VALUE!</v>
      </c>
      <c r="AC1274" s="177" t="s">
        <v>2700</v>
      </c>
      <c r="AD1274" s="17" t="s">
        <v>1633</v>
      </c>
      <c r="AG1274" s="34">
        <f t="shared" si="368"/>
        <v>0</v>
      </c>
      <c r="AH1274" s="44" t="s">
        <v>3419</v>
      </c>
      <c r="AI1274" s="131"/>
      <c r="AK1274" s="66">
        <f t="shared" si="373"/>
        <v>0</v>
      </c>
      <c r="AL1274" s="174">
        <f t="shared" si="374"/>
        <v>0</v>
      </c>
      <c r="AM1274" s="346">
        <f>RTD("money.excel",,$G1274,"PredictVolume")</f>
        <v>0</v>
      </c>
      <c r="AN1274" s="272">
        <f>RTD("money.excel",,$G1274,"CumulativeVolume")</f>
        <v>0</v>
      </c>
      <c r="AO1274" s="284"/>
    </row>
    <row r="1275" spans="1:41">
      <c r="A1275" s="151" t="s">
        <v>3654</v>
      </c>
      <c r="B1275" s="96">
        <v>-180</v>
      </c>
      <c r="C1275" s="96">
        <v>-107</v>
      </c>
      <c r="D1275" s="96">
        <v>-53</v>
      </c>
      <c r="E1275" s="96">
        <v>-7</v>
      </c>
      <c r="F1275" s="7">
        <v>-59.89</v>
      </c>
      <c r="G1275" s="85">
        <v>5210</v>
      </c>
      <c r="H1275" s="4" t="s">
        <v>565</v>
      </c>
      <c r="I1275" s="17" t="s">
        <v>1634</v>
      </c>
      <c r="J1275" s="77">
        <v>63.09</v>
      </c>
      <c r="K1275" s="77">
        <v>0.04</v>
      </c>
      <c r="L1275" s="77">
        <v>11.48</v>
      </c>
      <c r="N1275" s="365">
        <f t="shared" si="363"/>
        <v>74.61</v>
      </c>
      <c r="O1275" s="343">
        <f t="shared" si="364"/>
        <v>63.09</v>
      </c>
      <c r="P1275" s="195" t="s">
        <v>5554</v>
      </c>
      <c r="Q1275" s="326">
        <f>IFERROR(VLOOKUP($G1275,主力整理!$A$2:$G$2301,6,0),"0")</f>
        <v>3</v>
      </c>
      <c r="T1275" s="339">
        <f t="shared" si="365"/>
        <v>3</v>
      </c>
      <c r="V1275" s="371">
        <v>47.94</v>
      </c>
      <c r="W1275" s="35">
        <v>0</v>
      </c>
      <c r="X1275" s="100">
        <v>-1.26</v>
      </c>
      <c r="Y1275" s="14" t="str">
        <f>RTD("money.excel",,"5210","Price")</f>
        <v>無資料</v>
      </c>
      <c r="Z1275" s="69"/>
      <c r="AA1275" s="16" t="e">
        <f t="shared" si="366"/>
        <v>#VALUE!</v>
      </c>
      <c r="AB1275" s="3" t="e">
        <f t="shared" si="367"/>
        <v>#VALUE!</v>
      </c>
      <c r="AD1275" s="17" t="s">
        <v>1634</v>
      </c>
      <c r="AG1275" s="34">
        <f t="shared" si="368"/>
        <v>0</v>
      </c>
      <c r="AH1275" s="44" t="s">
        <v>4228</v>
      </c>
      <c r="AI1275" s="131"/>
      <c r="AK1275" s="66">
        <f t="shared" si="373"/>
        <v>0</v>
      </c>
      <c r="AL1275" s="174">
        <f t="shared" si="374"/>
        <v>0</v>
      </c>
      <c r="AM1275" s="346">
        <f>RTD("money.excel",,$G1275,"PredictVolume")</f>
        <v>0</v>
      </c>
      <c r="AN1275" s="272">
        <f>RTD("money.excel",,$G1275,"CumulativeVolume")</f>
        <v>0</v>
      </c>
      <c r="AO1275" s="284"/>
    </row>
    <row r="1276" spans="1:41">
      <c r="A1276" s="151" t="s">
        <v>4762</v>
      </c>
      <c r="B1276" s="96">
        <v>-130</v>
      </c>
      <c r="C1276" s="96">
        <v>-149</v>
      </c>
      <c r="D1276" s="96">
        <v>-6</v>
      </c>
      <c r="E1276" s="96">
        <v>-17</v>
      </c>
      <c r="F1276" s="7">
        <v>-11.15</v>
      </c>
      <c r="G1276" s="85">
        <v>5211</v>
      </c>
      <c r="H1276" s="4" t="s">
        <v>565</v>
      </c>
      <c r="I1276" s="17" t="s">
        <v>1635</v>
      </c>
      <c r="J1276" s="77">
        <v>46.35</v>
      </c>
      <c r="K1276" s="77">
        <v>11.55</v>
      </c>
      <c r="L1276" s="77">
        <v>13.04</v>
      </c>
      <c r="N1276" s="365">
        <f t="shared" si="363"/>
        <v>70.94</v>
      </c>
      <c r="O1276" s="343">
        <f t="shared" si="364"/>
        <v>46.35</v>
      </c>
      <c r="P1276" s="195" t="s">
        <v>5554</v>
      </c>
      <c r="Q1276" s="326">
        <f>IFERROR(VLOOKUP($G1276,主力整理!$A$2:$G$2301,6,0),"0")</f>
        <v>4</v>
      </c>
      <c r="T1276" s="339">
        <f t="shared" si="365"/>
        <v>4</v>
      </c>
      <c r="V1276" s="371">
        <v>27.69</v>
      </c>
      <c r="W1276" s="35">
        <v>0</v>
      </c>
      <c r="X1276" s="100">
        <v>-0.31</v>
      </c>
      <c r="Y1276" s="37" t="str">
        <f>RTD("money.excel",,"5211","Price")</f>
        <v>無資料</v>
      </c>
      <c r="Z1276" s="69"/>
      <c r="AA1276" s="16" t="e">
        <f t="shared" si="366"/>
        <v>#VALUE!</v>
      </c>
      <c r="AB1276" s="3" t="e">
        <f t="shared" si="367"/>
        <v>#VALUE!</v>
      </c>
      <c r="AD1276" s="17" t="s">
        <v>1635</v>
      </c>
      <c r="AG1276" s="34">
        <f t="shared" si="368"/>
        <v>0</v>
      </c>
      <c r="AH1276" s="44" t="s">
        <v>4229</v>
      </c>
      <c r="AI1276" s="131"/>
      <c r="AK1276" s="66">
        <f t="shared" si="373"/>
        <v>0</v>
      </c>
      <c r="AL1276" s="174">
        <f t="shared" si="374"/>
        <v>0</v>
      </c>
      <c r="AM1276" s="346">
        <f>RTD("money.excel",,$G1276,"PredictVolume")</f>
        <v>0</v>
      </c>
      <c r="AN1276" s="272">
        <f>RTD("money.excel",,$G1276,"CumulativeVolume")</f>
        <v>0</v>
      </c>
      <c r="AO1276" s="284"/>
    </row>
    <row r="1277" spans="1:41">
      <c r="A1277" s="135" t="s">
        <v>2971</v>
      </c>
      <c r="B1277" s="96">
        <v>19</v>
      </c>
      <c r="C1277" s="96">
        <v>9</v>
      </c>
      <c r="D1277" s="96">
        <v>-50</v>
      </c>
      <c r="E1277" s="96">
        <v>57</v>
      </c>
      <c r="F1277" s="59">
        <v>12.38</v>
      </c>
      <c r="G1277" s="85">
        <v>5212</v>
      </c>
      <c r="H1277" s="4" t="s">
        <v>565</v>
      </c>
      <c r="I1277" s="17" t="s">
        <v>1636</v>
      </c>
      <c r="J1277" s="77">
        <v>76.900000000000006</v>
      </c>
      <c r="K1277" s="77">
        <v>16.350000000000001</v>
      </c>
      <c r="L1277" s="77">
        <v>16.940000000000001</v>
      </c>
      <c r="N1277" s="365">
        <f t="shared" si="363"/>
        <v>110.19</v>
      </c>
      <c r="O1277" s="343">
        <f t="shared" si="364"/>
        <v>76.900000000000006</v>
      </c>
      <c r="P1277" s="195" t="s">
        <v>5554</v>
      </c>
      <c r="Q1277" s="326" t="str">
        <f>IFERROR(VLOOKUP($G1277,主力整理!$A$2:$G$2301,6,0),"0")</f>
        <v>0</v>
      </c>
      <c r="T1277" s="339">
        <f t="shared" si="365"/>
        <v>0</v>
      </c>
      <c r="V1277" s="371">
        <v>45.41</v>
      </c>
      <c r="W1277" s="35">
        <v>2.85</v>
      </c>
      <c r="X1277" s="100">
        <v>3.21</v>
      </c>
      <c r="Y1277" s="14" t="str">
        <f>RTD("money.excel",,"5212","Price")</f>
        <v>無資料</v>
      </c>
      <c r="Z1277" s="69"/>
      <c r="AA1277" s="16" t="e">
        <f t="shared" si="366"/>
        <v>#VALUE!</v>
      </c>
      <c r="AB1277" s="3" t="e">
        <f t="shared" si="367"/>
        <v>#VALUE!</v>
      </c>
      <c r="AD1277" s="17" t="s">
        <v>1636</v>
      </c>
      <c r="AG1277" s="34">
        <f t="shared" si="368"/>
        <v>0</v>
      </c>
      <c r="AH1277" s="63" t="s">
        <v>4230</v>
      </c>
      <c r="AI1277" s="131"/>
      <c r="AK1277" s="66">
        <f t="shared" si="373"/>
        <v>0</v>
      </c>
      <c r="AL1277" s="174">
        <f t="shared" si="374"/>
        <v>0</v>
      </c>
      <c r="AM1277" s="346">
        <f>RTD("money.excel",,$G1277,"PredictVolume")</f>
        <v>0</v>
      </c>
      <c r="AN1277" s="272">
        <f>RTD("money.excel",,$G1277,"CumulativeVolume")</f>
        <v>0</v>
      </c>
      <c r="AO1277" s="284"/>
    </row>
    <row r="1278" spans="1:41">
      <c r="A1278" s="151" t="s">
        <v>4696</v>
      </c>
      <c r="B1278" s="96">
        <v>32</v>
      </c>
      <c r="C1278" s="96">
        <v>47</v>
      </c>
      <c r="D1278" s="96">
        <v>54</v>
      </c>
      <c r="E1278" s="96">
        <v>-92</v>
      </c>
      <c r="F1278" s="7">
        <v>-56.53</v>
      </c>
      <c r="G1278" s="85">
        <v>5310</v>
      </c>
      <c r="H1278" s="4" t="s">
        <v>565</v>
      </c>
      <c r="I1278" s="17" t="s">
        <v>1637</v>
      </c>
      <c r="J1278" s="77">
        <v>74.84</v>
      </c>
      <c r="K1278" s="77">
        <v>1.54</v>
      </c>
      <c r="L1278" s="77">
        <v>55.98</v>
      </c>
      <c r="N1278" s="365">
        <f t="shared" si="363"/>
        <v>132.36000000000001</v>
      </c>
      <c r="O1278" s="343">
        <f t="shared" si="364"/>
        <v>74.84</v>
      </c>
      <c r="P1278" s="195" t="s">
        <v>5554</v>
      </c>
      <c r="Q1278" s="326" t="str">
        <f>IFERROR(VLOOKUP($G1278,主力整理!$A$2:$G$2301,6,0),"0")</f>
        <v>0</v>
      </c>
      <c r="T1278" s="339">
        <f t="shared" si="365"/>
        <v>0</v>
      </c>
      <c r="V1278" s="371">
        <v>26.87</v>
      </c>
      <c r="W1278" s="35">
        <v>0</v>
      </c>
      <c r="X1278" s="100">
        <v>-2.61</v>
      </c>
      <c r="Y1278" s="14" t="str">
        <f>RTD("money.excel",,"5310","Price")</f>
        <v>無資料</v>
      </c>
      <c r="Z1278" s="69"/>
      <c r="AA1278" s="16" t="e">
        <f t="shared" si="366"/>
        <v>#VALUE!</v>
      </c>
      <c r="AB1278" s="3" t="e">
        <f t="shared" si="367"/>
        <v>#VALUE!</v>
      </c>
      <c r="AD1278" s="17" t="s">
        <v>1637</v>
      </c>
      <c r="AG1278" s="34">
        <f t="shared" si="368"/>
        <v>0</v>
      </c>
      <c r="AH1278" s="44" t="s">
        <v>3694</v>
      </c>
      <c r="AI1278" s="131"/>
      <c r="AK1278" s="66">
        <f t="shared" si="373"/>
        <v>0</v>
      </c>
      <c r="AL1278" s="174">
        <f t="shared" si="374"/>
        <v>0</v>
      </c>
      <c r="AM1278" s="346">
        <f>RTD("money.excel",,$G1278,"PredictVolume")</f>
        <v>0</v>
      </c>
      <c r="AN1278" s="272">
        <f>RTD("money.excel",,$G1278,"CumulativeVolume")</f>
        <v>0</v>
      </c>
      <c r="AO1278" s="284"/>
    </row>
    <row r="1279" spans="1:41">
      <c r="A1279" s="135" t="s">
        <v>2909</v>
      </c>
      <c r="B1279" s="84">
        <v>34</v>
      </c>
      <c r="C1279" s="84">
        <v>39</v>
      </c>
      <c r="D1279" s="84">
        <v>-54</v>
      </c>
      <c r="E1279" s="84">
        <v>131</v>
      </c>
      <c r="F1279" s="59">
        <v>16.88</v>
      </c>
      <c r="G1279" s="85">
        <v>5403</v>
      </c>
      <c r="H1279" s="4" t="s">
        <v>565</v>
      </c>
      <c r="I1279" s="17" t="s">
        <v>1638</v>
      </c>
      <c r="J1279" s="371">
        <v>44.57</v>
      </c>
      <c r="K1279" s="77">
        <v>6.71</v>
      </c>
      <c r="L1279" s="371">
        <v>4.24</v>
      </c>
      <c r="N1279" s="365">
        <f t="shared" si="363"/>
        <v>55.52</v>
      </c>
      <c r="O1279" s="343">
        <f t="shared" si="364"/>
        <v>44.57</v>
      </c>
      <c r="P1279" s="195" t="s">
        <v>5554</v>
      </c>
      <c r="Q1279" s="326" t="str">
        <f>IFERROR(VLOOKUP($G1279,主力整理!$A$2:$G$2301,6,0),"0")</f>
        <v>0</v>
      </c>
      <c r="T1279" s="339">
        <f t="shared" si="365"/>
        <v>0</v>
      </c>
      <c r="V1279" s="371">
        <v>0.01</v>
      </c>
      <c r="W1279" s="69">
        <v>4</v>
      </c>
      <c r="X1279" s="100">
        <v>5.2</v>
      </c>
      <c r="Y1279" s="37" t="str">
        <f>RTD("money.excel",,"5403","Price")</f>
        <v>無資料</v>
      </c>
      <c r="Z1279" s="69"/>
      <c r="AA1279" s="16" t="e">
        <f t="shared" si="366"/>
        <v>#VALUE!</v>
      </c>
      <c r="AB1279" s="3" t="e">
        <f t="shared" si="367"/>
        <v>#VALUE!</v>
      </c>
      <c r="AC1279" s="177" t="s">
        <v>2700</v>
      </c>
      <c r="AD1279" s="17" t="s">
        <v>1638</v>
      </c>
      <c r="AG1279" s="34">
        <f t="shared" si="368"/>
        <v>0</v>
      </c>
      <c r="AH1279" s="63" t="s">
        <v>553</v>
      </c>
      <c r="AI1279" s="131"/>
      <c r="AK1279" s="66">
        <f t="shared" si="373"/>
        <v>0</v>
      </c>
      <c r="AL1279" s="174">
        <f t="shared" si="374"/>
        <v>0</v>
      </c>
      <c r="AM1279" s="346">
        <f>RTD("money.excel",,$G1279,"PredictVolume")</f>
        <v>0</v>
      </c>
      <c r="AN1279" s="272">
        <f>RTD("money.excel",,$G1279,"CumulativeVolume")</f>
        <v>0</v>
      </c>
      <c r="AO1279" s="284"/>
    </row>
    <row r="1280" spans="1:41">
      <c r="A1280" s="151" t="s">
        <v>3153</v>
      </c>
      <c r="B1280" s="84">
        <v>8</v>
      </c>
      <c r="C1280" s="84">
        <v>21</v>
      </c>
      <c r="D1280" s="85">
        <v>-19</v>
      </c>
      <c r="E1280" s="85">
        <v>1</v>
      </c>
      <c r="F1280" s="7">
        <v>6</v>
      </c>
      <c r="G1280" s="85">
        <v>5410</v>
      </c>
      <c r="H1280" s="4" t="s">
        <v>565</v>
      </c>
      <c r="I1280" s="17" t="s">
        <v>1639</v>
      </c>
      <c r="J1280" s="371">
        <v>23.04</v>
      </c>
      <c r="K1280" s="77">
        <v>1.52</v>
      </c>
      <c r="L1280" s="371">
        <v>4.84</v>
      </c>
      <c r="M1280" s="371">
        <v>9.85</v>
      </c>
      <c r="N1280" s="365">
        <f t="shared" si="363"/>
        <v>39.25</v>
      </c>
      <c r="O1280" s="343">
        <f t="shared" si="364"/>
        <v>32.89</v>
      </c>
      <c r="P1280" s="195">
        <v>0</v>
      </c>
      <c r="Q1280" s="326" t="str">
        <f>IFERROR(VLOOKUP($G1280,主力整理!$A$2:$G$2301,6,0),"0")</f>
        <v>0</v>
      </c>
      <c r="R1280" s="111">
        <v>4</v>
      </c>
      <c r="S1280" s="51">
        <v>2</v>
      </c>
      <c r="T1280" s="339">
        <f t="shared" si="365"/>
        <v>6</v>
      </c>
      <c r="U1280" s="329" t="s">
        <v>6539</v>
      </c>
      <c r="V1280" s="371">
        <v>0.85</v>
      </c>
      <c r="W1280" s="35">
        <v>1.69</v>
      </c>
      <c r="X1280" s="100">
        <v>2.13</v>
      </c>
      <c r="Y1280" s="37" t="str">
        <f>RTD("money.excel",,"5410","Price")</f>
        <v>無資料</v>
      </c>
      <c r="Z1280" s="69"/>
      <c r="AA1280" s="16" t="e">
        <f t="shared" si="366"/>
        <v>#VALUE!</v>
      </c>
      <c r="AB1280" s="3" t="e">
        <f t="shared" si="367"/>
        <v>#VALUE!</v>
      </c>
      <c r="AD1280" s="17" t="s">
        <v>1639</v>
      </c>
      <c r="AG1280" s="34">
        <f t="shared" si="368"/>
        <v>0</v>
      </c>
      <c r="AH1280" s="44" t="s">
        <v>4231</v>
      </c>
      <c r="AI1280" s="131"/>
      <c r="AK1280" s="66">
        <f t="shared" si="373"/>
        <v>0</v>
      </c>
      <c r="AL1280" s="174">
        <f t="shared" si="374"/>
        <v>0</v>
      </c>
      <c r="AM1280" s="346">
        <f>RTD("money.excel",,$G1280,"PredictVolume")</f>
        <v>0</v>
      </c>
      <c r="AN1280" s="272">
        <f>RTD("money.excel",,$G1280,"CumulativeVolume")</f>
        <v>0</v>
      </c>
      <c r="AO1280" s="284"/>
    </row>
    <row r="1281" spans="1:41">
      <c r="A1281" s="151" t="s">
        <v>2661</v>
      </c>
      <c r="B1281" s="84">
        <v>38</v>
      </c>
      <c r="C1281" s="84">
        <v>39</v>
      </c>
      <c r="D1281" s="84">
        <v>15</v>
      </c>
      <c r="E1281" s="85">
        <v>-15</v>
      </c>
      <c r="F1281" s="7">
        <v>4.8099999999999996</v>
      </c>
      <c r="G1281" s="85">
        <v>6112</v>
      </c>
      <c r="H1281" s="4" t="s">
        <v>565</v>
      </c>
      <c r="I1281" s="23" t="s">
        <v>1656</v>
      </c>
      <c r="J1281" s="371">
        <v>54.03</v>
      </c>
      <c r="K1281" s="77">
        <v>3.18</v>
      </c>
      <c r="L1281" s="77">
        <v>1.57</v>
      </c>
      <c r="N1281" s="365">
        <f t="shared" si="363"/>
        <v>58.78</v>
      </c>
      <c r="O1281" s="343">
        <f t="shared" si="364"/>
        <v>54.03</v>
      </c>
      <c r="P1281" s="195">
        <v>3</v>
      </c>
      <c r="Q1281" s="326" t="str">
        <f>IFERROR(VLOOKUP($G1281,主力整理!$A$2:$G$2301,6,0),"0")</f>
        <v>0</v>
      </c>
      <c r="T1281" s="339">
        <f t="shared" si="365"/>
        <v>3</v>
      </c>
      <c r="V1281" s="371">
        <v>0.02</v>
      </c>
      <c r="W1281" s="35">
        <v>2.5</v>
      </c>
      <c r="X1281" s="59">
        <v>2.92</v>
      </c>
      <c r="Y1281" s="37" t="str">
        <f>RTD("money.excel",,"6112","Price")</f>
        <v>無資料</v>
      </c>
      <c r="Z1281" s="69"/>
      <c r="AA1281" s="16" t="e">
        <f t="shared" si="366"/>
        <v>#VALUE!</v>
      </c>
      <c r="AB1281" s="3" t="e">
        <f t="shared" si="367"/>
        <v>#VALUE!</v>
      </c>
      <c r="AC1281" s="177" t="s">
        <v>2648</v>
      </c>
      <c r="AD1281" s="23" t="s">
        <v>1656</v>
      </c>
      <c r="AG1281" s="34">
        <f t="shared" si="368"/>
        <v>0</v>
      </c>
      <c r="AH1281" s="44" t="s">
        <v>3162</v>
      </c>
      <c r="AI1281" s="131"/>
      <c r="AK1281" s="66">
        <f t="shared" si="373"/>
        <v>0</v>
      </c>
      <c r="AL1281" s="174">
        <f t="shared" si="374"/>
        <v>0</v>
      </c>
      <c r="AM1281" s="346">
        <f>RTD("money.excel",,$G1281,"PredictVolume")</f>
        <v>0</v>
      </c>
      <c r="AN1281" s="272">
        <f>RTD("money.excel",,$G1281,"CumulativeVolume")</f>
        <v>0</v>
      </c>
      <c r="AO1281" s="284"/>
    </row>
    <row r="1282" spans="1:41">
      <c r="A1282" s="151" t="s">
        <v>2226</v>
      </c>
      <c r="B1282" s="145">
        <v>1035</v>
      </c>
      <c r="C1282" s="145">
        <v>1482</v>
      </c>
      <c r="D1282" s="96">
        <v>-12</v>
      </c>
      <c r="E1282" s="96">
        <v>41</v>
      </c>
      <c r="F1282" s="7">
        <v>3.38</v>
      </c>
      <c r="G1282" s="85">
        <v>6140</v>
      </c>
      <c r="H1282" s="4" t="s">
        <v>565</v>
      </c>
      <c r="I1282" s="17" t="s">
        <v>1640</v>
      </c>
      <c r="J1282" s="77">
        <v>80.02</v>
      </c>
      <c r="K1282" s="77">
        <v>0</v>
      </c>
      <c r="L1282" s="77">
        <v>5.95</v>
      </c>
      <c r="N1282" s="365">
        <f t="shared" si="363"/>
        <v>85.97</v>
      </c>
      <c r="O1282" s="343">
        <f t="shared" si="364"/>
        <v>80.02</v>
      </c>
      <c r="P1282" s="195" t="s">
        <v>5554</v>
      </c>
      <c r="Q1282" s="326" t="str">
        <f>IFERROR(VLOOKUP($G1282,主力整理!$A$2:$G$2301,6,0),"0")</f>
        <v>0</v>
      </c>
      <c r="T1282" s="339">
        <f t="shared" si="365"/>
        <v>0</v>
      </c>
      <c r="V1282" s="371">
        <v>41.13</v>
      </c>
      <c r="W1282" s="35">
        <v>0</v>
      </c>
      <c r="X1282" s="100">
        <v>1.44</v>
      </c>
      <c r="Y1282" s="14" t="str">
        <f>RTD("money.excel",,"6140","Price")</f>
        <v>無資料</v>
      </c>
      <c r="Z1282" s="69"/>
      <c r="AA1282" s="16" t="e">
        <f t="shared" si="366"/>
        <v>#VALUE!</v>
      </c>
      <c r="AB1282" s="3" t="e">
        <f t="shared" si="367"/>
        <v>#VALUE!</v>
      </c>
      <c r="AD1282" s="17" t="s">
        <v>1640</v>
      </c>
      <c r="AG1282" s="34">
        <f t="shared" si="368"/>
        <v>0</v>
      </c>
      <c r="AH1282" s="44" t="s">
        <v>553</v>
      </c>
      <c r="AI1282" s="131"/>
      <c r="AK1282" s="66">
        <f t="shared" si="373"/>
        <v>0</v>
      </c>
      <c r="AL1282" s="174">
        <f t="shared" si="374"/>
        <v>0</v>
      </c>
      <c r="AM1282" s="346">
        <f>RTD("money.excel",,$G1282,"PredictVolume")</f>
        <v>0</v>
      </c>
      <c r="AN1282" s="272">
        <f>RTD("money.excel",,$G1282,"CumulativeVolume")</f>
        <v>0</v>
      </c>
      <c r="AO1282" s="284"/>
    </row>
    <row r="1283" spans="1:41">
      <c r="A1283" s="151" t="s">
        <v>3257</v>
      </c>
      <c r="B1283" s="96">
        <v>155</v>
      </c>
      <c r="C1283" s="96">
        <v>256</v>
      </c>
      <c r="D1283" s="96">
        <v>-3</v>
      </c>
      <c r="E1283" s="96">
        <v>-21</v>
      </c>
      <c r="F1283" s="7">
        <v>5.72</v>
      </c>
      <c r="G1283" s="85">
        <v>6148</v>
      </c>
      <c r="H1283" s="4" t="s">
        <v>565</v>
      </c>
      <c r="I1283" s="17" t="s">
        <v>1641</v>
      </c>
      <c r="J1283" s="77">
        <v>55.07</v>
      </c>
      <c r="K1283" s="77">
        <v>0.11</v>
      </c>
      <c r="L1283" s="77">
        <v>3.48</v>
      </c>
      <c r="N1283" s="365">
        <f t="shared" si="363"/>
        <v>58.66</v>
      </c>
      <c r="O1283" s="343">
        <f t="shared" si="364"/>
        <v>55.07</v>
      </c>
      <c r="P1283" s="195" t="s">
        <v>5554</v>
      </c>
      <c r="Q1283" s="326" t="str">
        <f>IFERROR(VLOOKUP($G1283,主力整理!$A$2:$G$2301,6,0),"0")</f>
        <v>0</v>
      </c>
      <c r="T1283" s="339">
        <f t="shared" si="365"/>
        <v>0</v>
      </c>
      <c r="V1283" s="371">
        <v>13.19</v>
      </c>
      <c r="W1283" s="35">
        <v>0.81</v>
      </c>
      <c r="X1283" s="100">
        <v>1.1000000000000001</v>
      </c>
      <c r="Y1283" s="14" t="str">
        <f>RTD("money.excel",,"6148","Price")</f>
        <v>無資料</v>
      </c>
      <c r="Z1283" s="69"/>
      <c r="AA1283" s="16" t="e">
        <f t="shared" si="366"/>
        <v>#VALUE!</v>
      </c>
      <c r="AB1283" s="3" t="e">
        <f t="shared" si="367"/>
        <v>#VALUE!</v>
      </c>
      <c r="AD1283" s="17" t="s">
        <v>1641</v>
      </c>
      <c r="AG1283" s="34">
        <f t="shared" si="368"/>
        <v>0</v>
      </c>
      <c r="AH1283" s="44" t="s">
        <v>553</v>
      </c>
      <c r="AI1283" s="131"/>
      <c r="AK1283" s="66">
        <f t="shared" si="373"/>
        <v>0</v>
      </c>
      <c r="AL1283" s="174">
        <f t="shared" si="374"/>
        <v>0</v>
      </c>
      <c r="AM1283" s="346">
        <f>RTD("money.excel",,$G1283,"PredictVolume")</f>
        <v>0</v>
      </c>
      <c r="AN1283" s="272">
        <f>RTD("money.excel",,$G1283,"CumulativeVolume")</f>
        <v>0</v>
      </c>
      <c r="AO1283" s="284"/>
    </row>
    <row r="1284" spans="1:41">
      <c r="A1284" s="135" t="s">
        <v>3576</v>
      </c>
      <c r="B1284" s="96">
        <v>18</v>
      </c>
      <c r="C1284" s="96">
        <v>27</v>
      </c>
      <c r="D1284" s="96">
        <v>11</v>
      </c>
      <c r="E1284" s="96">
        <v>40</v>
      </c>
      <c r="F1284" s="59">
        <v>24.42</v>
      </c>
      <c r="G1284" s="85">
        <v>6183</v>
      </c>
      <c r="H1284" s="4" t="s">
        <v>565</v>
      </c>
      <c r="I1284" s="23" t="s">
        <v>1657</v>
      </c>
      <c r="J1284" s="77">
        <v>79.63</v>
      </c>
      <c r="K1284" s="77">
        <v>2.02</v>
      </c>
      <c r="L1284" s="77">
        <v>1.38</v>
      </c>
      <c r="N1284" s="365">
        <f t="shared" si="363"/>
        <v>83.029999999999987</v>
      </c>
      <c r="O1284" s="343">
        <f t="shared" si="364"/>
        <v>79.63</v>
      </c>
      <c r="P1284" s="195" t="s">
        <v>5554</v>
      </c>
      <c r="Q1284" s="326" t="str">
        <f>IFERROR(VLOOKUP($G1284,主力整理!$A$2:$G$2301,6,0),"0")</f>
        <v>0</v>
      </c>
      <c r="T1284" s="339">
        <f t="shared" si="365"/>
        <v>0</v>
      </c>
      <c r="V1284" s="371">
        <v>51.05</v>
      </c>
      <c r="W1284" s="35">
        <v>1.81</v>
      </c>
      <c r="X1284" s="100">
        <v>2.25</v>
      </c>
      <c r="Y1284" s="14" t="str">
        <f>RTD("money.excel",,"6183","Price")</f>
        <v>無資料</v>
      </c>
      <c r="Z1284" s="69"/>
      <c r="AA1284" s="16" t="e">
        <f t="shared" si="366"/>
        <v>#VALUE!</v>
      </c>
      <c r="AB1284" s="3" t="e">
        <f t="shared" si="367"/>
        <v>#VALUE!</v>
      </c>
      <c r="AD1284" s="23" t="s">
        <v>1657</v>
      </c>
      <c r="AG1284" s="34">
        <f t="shared" si="368"/>
        <v>0</v>
      </c>
      <c r="AH1284" s="63" t="s">
        <v>4351</v>
      </c>
      <c r="AI1284" s="131"/>
      <c r="AK1284" s="66">
        <f t="shared" si="373"/>
        <v>0</v>
      </c>
      <c r="AL1284" s="174">
        <f t="shared" si="374"/>
        <v>0</v>
      </c>
      <c r="AM1284" s="346">
        <f>RTD("money.excel",,$G1284,"PredictVolume")</f>
        <v>0</v>
      </c>
      <c r="AN1284" s="272">
        <f>RTD("money.excel",,$G1284,"CumulativeVolume")</f>
        <v>0</v>
      </c>
      <c r="AO1284" s="284"/>
    </row>
    <row r="1285" spans="1:41">
      <c r="A1285" s="151" t="s">
        <v>2594</v>
      </c>
      <c r="B1285" s="85">
        <v>-19</v>
      </c>
      <c r="C1285" s="84">
        <v>22</v>
      </c>
      <c r="D1285" s="85">
        <v>-4</v>
      </c>
      <c r="E1285" s="84">
        <v>52</v>
      </c>
      <c r="F1285" s="7">
        <v>4.0199999999999996</v>
      </c>
      <c r="G1285" s="85">
        <v>6214</v>
      </c>
      <c r="H1285" s="4" t="s">
        <v>565</v>
      </c>
      <c r="I1285" s="163" t="s">
        <v>510</v>
      </c>
      <c r="J1285" s="371">
        <v>51.41</v>
      </c>
      <c r="K1285" s="371">
        <v>15.01</v>
      </c>
      <c r="L1285" s="371">
        <v>0.36</v>
      </c>
      <c r="N1285" s="365">
        <f t="shared" si="363"/>
        <v>66.78</v>
      </c>
      <c r="O1285" s="343">
        <f t="shared" si="364"/>
        <v>51.41</v>
      </c>
      <c r="P1285" s="195">
        <v>5</v>
      </c>
      <c r="Q1285" s="326" t="str">
        <f>IFERROR(VLOOKUP($G1285,主力整理!$A$2:$G$2301,6,0),"0")</f>
        <v>0</v>
      </c>
      <c r="R1285" s="111">
        <v>0</v>
      </c>
      <c r="S1285" s="51">
        <v>5</v>
      </c>
      <c r="T1285" s="339">
        <f t="shared" si="365"/>
        <v>10</v>
      </c>
      <c r="U1285" s="329" t="s">
        <v>6539</v>
      </c>
      <c r="V1285" s="371">
        <v>0</v>
      </c>
      <c r="W1285" s="68">
        <v>5</v>
      </c>
      <c r="X1285" s="59">
        <v>5.69</v>
      </c>
      <c r="Y1285" s="37" t="str">
        <f>RTD("money.excel",,"6214","Price")</f>
        <v>無資料</v>
      </c>
      <c r="Z1285" s="69"/>
      <c r="AA1285" s="16" t="e">
        <f t="shared" si="366"/>
        <v>#VALUE!</v>
      </c>
      <c r="AB1285" s="3" t="e">
        <f t="shared" si="367"/>
        <v>#VALUE!</v>
      </c>
      <c r="AC1285" s="177" t="s">
        <v>2929</v>
      </c>
      <c r="AD1285" s="23" t="s">
        <v>510</v>
      </c>
      <c r="AG1285" s="34">
        <f t="shared" si="368"/>
        <v>0</v>
      </c>
      <c r="AH1285" s="125" t="s">
        <v>2297</v>
      </c>
      <c r="AI1285" s="131"/>
      <c r="AK1285" s="66">
        <f t="shared" si="373"/>
        <v>0</v>
      </c>
      <c r="AL1285" s="174">
        <f t="shared" si="374"/>
        <v>0</v>
      </c>
      <c r="AM1285" s="346">
        <f>RTD("money.excel",,$G1285,"PredictVolume")</f>
        <v>0</v>
      </c>
      <c r="AN1285" s="272">
        <f>RTD("money.excel",,$G1285,"CumulativeVolume")</f>
        <v>0</v>
      </c>
      <c r="AO1285" s="284"/>
    </row>
    <row r="1286" spans="1:41">
      <c r="A1286" s="151" t="s">
        <v>4730</v>
      </c>
      <c r="B1286" s="85">
        <v>-12</v>
      </c>
      <c r="C1286" s="85">
        <v>-16</v>
      </c>
      <c r="D1286" s="84">
        <v>40</v>
      </c>
      <c r="E1286" s="84">
        <v>27</v>
      </c>
      <c r="F1286" s="7">
        <v>7.46</v>
      </c>
      <c r="G1286" s="85">
        <v>6221</v>
      </c>
      <c r="H1286" s="4" t="s">
        <v>565</v>
      </c>
      <c r="I1286" s="17" t="s">
        <v>1642</v>
      </c>
      <c r="J1286" s="77">
        <v>71.95</v>
      </c>
      <c r="K1286" s="371">
        <v>0.76</v>
      </c>
      <c r="L1286" s="77">
        <v>13.32</v>
      </c>
      <c r="M1286" s="371">
        <v>9.5299999999999994</v>
      </c>
      <c r="N1286" s="365">
        <f t="shared" si="363"/>
        <v>95.56</v>
      </c>
      <c r="O1286" s="369">
        <f t="shared" si="364"/>
        <v>81.48</v>
      </c>
      <c r="P1286" s="195">
        <v>0</v>
      </c>
      <c r="Q1286" s="326">
        <v>6</v>
      </c>
      <c r="R1286" s="111">
        <v>8</v>
      </c>
      <c r="S1286" s="51">
        <v>8</v>
      </c>
      <c r="T1286" s="339">
        <f t="shared" si="365"/>
        <v>22</v>
      </c>
      <c r="U1286" s="329" t="s">
        <v>6538</v>
      </c>
      <c r="V1286" s="371">
        <v>0.16</v>
      </c>
      <c r="W1286" s="69">
        <v>4</v>
      </c>
      <c r="X1286" s="59">
        <v>3.85</v>
      </c>
      <c r="Y1286" s="37" t="str">
        <f>RTD("money.excel",,"6221","Price")</f>
        <v>無資料</v>
      </c>
      <c r="Z1286" s="69"/>
      <c r="AA1286" s="16" t="e">
        <f t="shared" si="366"/>
        <v>#VALUE!</v>
      </c>
      <c r="AB1286" s="3" t="e">
        <f t="shared" si="367"/>
        <v>#VALUE!</v>
      </c>
      <c r="AC1286" s="177" t="s">
        <v>2700</v>
      </c>
      <c r="AD1286" s="17" t="s">
        <v>1642</v>
      </c>
      <c r="AG1286" s="34">
        <f t="shared" si="368"/>
        <v>0</v>
      </c>
      <c r="AH1286" s="44" t="s">
        <v>4232</v>
      </c>
      <c r="AI1286" s="131"/>
      <c r="AK1286" s="66">
        <f t="shared" si="373"/>
        <v>0</v>
      </c>
      <c r="AL1286" s="174">
        <f t="shared" si="374"/>
        <v>0</v>
      </c>
      <c r="AM1286" s="346">
        <f>RTD("money.excel",,$G1286,"PredictVolume")</f>
        <v>0</v>
      </c>
      <c r="AN1286" s="272">
        <f>RTD("money.excel",,$G1286,"CumulativeVolume")</f>
        <v>0</v>
      </c>
      <c r="AO1286" s="284"/>
    </row>
    <row r="1287" spans="1:41">
      <c r="A1287" s="135" t="s">
        <v>3450</v>
      </c>
      <c r="B1287" s="84">
        <v>35</v>
      </c>
      <c r="C1287" s="84">
        <v>112</v>
      </c>
      <c r="D1287" s="84">
        <v>6</v>
      </c>
      <c r="E1287" s="84">
        <v>0</v>
      </c>
      <c r="F1287" s="59">
        <v>19.579999999999998</v>
      </c>
      <c r="G1287" s="85">
        <v>6231</v>
      </c>
      <c r="H1287" s="4" t="s">
        <v>565</v>
      </c>
      <c r="I1287" s="17" t="s">
        <v>1643</v>
      </c>
      <c r="J1287" s="77">
        <v>23.82</v>
      </c>
      <c r="K1287" s="371">
        <v>11.18</v>
      </c>
      <c r="L1287" s="77">
        <v>31.13</v>
      </c>
      <c r="N1287" s="365">
        <f t="shared" si="363"/>
        <v>66.13</v>
      </c>
      <c r="O1287" s="343">
        <f t="shared" si="364"/>
        <v>23.82</v>
      </c>
      <c r="P1287" s="195">
        <v>1</v>
      </c>
      <c r="Q1287" s="326" t="str">
        <f>IFERROR(VLOOKUP($G1287,主力整理!$A$2:$G$2301,6,0),"0")</f>
        <v>0</v>
      </c>
      <c r="T1287" s="339">
        <f t="shared" si="365"/>
        <v>1</v>
      </c>
      <c r="V1287" s="371">
        <v>0.38</v>
      </c>
      <c r="W1287" s="69">
        <v>3.5</v>
      </c>
      <c r="X1287" s="100">
        <v>4.05</v>
      </c>
      <c r="Y1287" s="37" t="str">
        <f>RTD("money.excel",,"6231","Price")</f>
        <v>無資料</v>
      </c>
      <c r="Z1287" s="69"/>
      <c r="AA1287" s="16" t="e">
        <f t="shared" si="366"/>
        <v>#VALUE!</v>
      </c>
      <c r="AB1287" s="3" t="e">
        <f t="shared" si="367"/>
        <v>#VALUE!</v>
      </c>
      <c r="AC1287" s="177" t="s">
        <v>2929</v>
      </c>
      <c r="AD1287" s="17" t="s">
        <v>1643</v>
      </c>
      <c r="AG1287" s="34">
        <f t="shared" si="368"/>
        <v>0</v>
      </c>
      <c r="AH1287" s="63" t="s">
        <v>3451</v>
      </c>
      <c r="AI1287" s="131"/>
      <c r="AK1287" s="66">
        <f t="shared" si="373"/>
        <v>0</v>
      </c>
      <c r="AL1287" s="174">
        <f t="shared" si="374"/>
        <v>0</v>
      </c>
      <c r="AM1287" s="346">
        <f>RTD("money.excel",,$G1287,"PredictVolume")</f>
        <v>0</v>
      </c>
      <c r="AN1287" s="272">
        <f>RTD("money.excel",,$G1287,"CumulativeVolume")</f>
        <v>0</v>
      </c>
      <c r="AO1287" s="284"/>
    </row>
    <row r="1288" spans="1:41">
      <c r="A1288" s="151" t="s">
        <v>4769</v>
      </c>
      <c r="B1288" s="96">
        <v>-87</v>
      </c>
      <c r="C1288" s="96">
        <v>-127</v>
      </c>
      <c r="D1288" s="96">
        <v>-3</v>
      </c>
      <c r="E1288" s="96">
        <v>0</v>
      </c>
      <c r="F1288" s="7">
        <v>-11.1</v>
      </c>
      <c r="G1288" s="85">
        <v>6240</v>
      </c>
      <c r="H1288" s="4" t="s">
        <v>565</v>
      </c>
      <c r="I1288" s="17" t="s">
        <v>1644</v>
      </c>
      <c r="J1288" s="77">
        <v>74.58</v>
      </c>
      <c r="K1288" s="77">
        <v>0.09</v>
      </c>
      <c r="L1288" s="77">
        <v>24.13</v>
      </c>
      <c r="N1288" s="365">
        <f t="shared" si="363"/>
        <v>98.8</v>
      </c>
      <c r="O1288" s="343">
        <f t="shared" si="364"/>
        <v>74.58</v>
      </c>
      <c r="P1288" s="195" t="s">
        <v>5554</v>
      </c>
      <c r="Q1288" s="326" t="str">
        <f>IFERROR(VLOOKUP($G1288,主力整理!$A$2:$G$2301,6,0),"0")</f>
        <v>0</v>
      </c>
      <c r="T1288" s="339">
        <f t="shared" si="365"/>
        <v>0</v>
      </c>
      <c r="V1288" s="371">
        <v>35.67</v>
      </c>
      <c r="W1288" s="35">
        <v>0</v>
      </c>
      <c r="X1288" s="100">
        <v>0.04</v>
      </c>
      <c r="Y1288" s="14" t="str">
        <f>RTD("money.excel",,"6240","Price")</f>
        <v>無資料</v>
      </c>
      <c r="Z1288" s="69"/>
      <c r="AA1288" s="16" t="e">
        <f t="shared" si="366"/>
        <v>#VALUE!</v>
      </c>
      <c r="AB1288" s="3" t="e">
        <f t="shared" si="367"/>
        <v>#VALUE!</v>
      </c>
      <c r="AD1288" s="17" t="s">
        <v>1644</v>
      </c>
      <c r="AG1288" s="34">
        <f t="shared" si="368"/>
        <v>0</v>
      </c>
      <c r="AH1288" s="44" t="s">
        <v>4233</v>
      </c>
      <c r="AI1288" s="131"/>
      <c r="AK1288" s="66">
        <f t="shared" si="373"/>
        <v>0</v>
      </c>
      <c r="AL1288" s="174">
        <f t="shared" si="374"/>
        <v>0</v>
      </c>
      <c r="AM1288" s="346">
        <f>RTD("money.excel",,$G1288,"PredictVolume")</f>
        <v>0</v>
      </c>
      <c r="AN1288" s="272">
        <f>RTD("money.excel",,$G1288,"CumulativeVolume")</f>
        <v>0</v>
      </c>
      <c r="AO1288" s="284"/>
    </row>
    <row r="1289" spans="1:41">
      <c r="A1289" s="151" t="s">
        <v>4770</v>
      </c>
      <c r="B1289" s="96">
        <v>73</v>
      </c>
      <c r="C1289" s="96">
        <v>40</v>
      </c>
      <c r="D1289" s="96">
        <v>-42</v>
      </c>
      <c r="E1289" s="96">
        <v>-7</v>
      </c>
      <c r="F1289" s="7">
        <v>-79.94</v>
      </c>
      <c r="G1289" s="85">
        <v>6404</v>
      </c>
      <c r="H1289" s="4" t="s">
        <v>565</v>
      </c>
      <c r="I1289" s="17" t="s">
        <v>1645</v>
      </c>
      <c r="J1289" s="77">
        <v>44.58</v>
      </c>
      <c r="K1289" s="371">
        <v>38.01</v>
      </c>
      <c r="L1289" s="77">
        <v>15.6</v>
      </c>
      <c r="N1289" s="365">
        <f t="shared" si="363"/>
        <v>98.19</v>
      </c>
      <c r="O1289" s="343">
        <f t="shared" si="364"/>
        <v>44.58</v>
      </c>
      <c r="P1289" s="195" t="s">
        <v>5554</v>
      </c>
      <c r="Q1289" s="326" t="str">
        <f>IFERROR(VLOOKUP($G1289,主力整理!$A$2:$G$2301,6,0),"0")</f>
        <v>0</v>
      </c>
      <c r="T1289" s="339">
        <f t="shared" si="365"/>
        <v>0</v>
      </c>
      <c r="V1289" s="371">
        <v>22.33</v>
      </c>
      <c r="W1289" s="35">
        <v>0</v>
      </c>
      <c r="X1289" s="100">
        <v>-1.4</v>
      </c>
      <c r="Y1289" s="37" t="str">
        <f>RTD("money.excel",,"6404","Price")</f>
        <v>無資料</v>
      </c>
      <c r="Z1289" s="69"/>
      <c r="AA1289" s="16" t="e">
        <f t="shared" si="366"/>
        <v>#VALUE!</v>
      </c>
      <c r="AB1289" s="3" t="e">
        <f t="shared" si="367"/>
        <v>#VALUE!</v>
      </c>
      <c r="AD1289" s="17" t="s">
        <v>1645</v>
      </c>
      <c r="AG1289" s="34">
        <f t="shared" si="368"/>
        <v>0</v>
      </c>
      <c r="AH1289" s="44" t="s">
        <v>3694</v>
      </c>
      <c r="AI1289" s="131"/>
      <c r="AK1289" s="66">
        <f t="shared" si="373"/>
        <v>0</v>
      </c>
      <c r="AL1289" s="174">
        <f t="shared" si="374"/>
        <v>0</v>
      </c>
      <c r="AM1289" s="346">
        <f>RTD("money.excel",,$G1289,"PredictVolume")</f>
        <v>0</v>
      </c>
      <c r="AN1289" s="272">
        <f>RTD("money.excel",,$G1289,"CumulativeVolume")</f>
        <v>0</v>
      </c>
      <c r="AO1289" s="284"/>
    </row>
    <row r="1290" spans="1:41">
      <c r="A1290" s="135" t="s">
        <v>2496</v>
      </c>
      <c r="B1290" s="84">
        <v>204</v>
      </c>
      <c r="C1290" s="84">
        <v>172</v>
      </c>
      <c r="D1290" s="84">
        <v>92</v>
      </c>
      <c r="E1290" s="84">
        <v>9</v>
      </c>
      <c r="F1290" s="59">
        <v>11.44</v>
      </c>
      <c r="G1290" s="85">
        <v>6516</v>
      </c>
      <c r="H1290" s="4" t="s">
        <v>565</v>
      </c>
      <c r="I1290" s="17" t="s">
        <v>2788</v>
      </c>
      <c r="J1290" s="77">
        <v>39.07</v>
      </c>
      <c r="K1290" s="77">
        <v>0.37</v>
      </c>
      <c r="L1290" s="371">
        <v>17.41</v>
      </c>
      <c r="M1290" s="371">
        <v>41.42</v>
      </c>
      <c r="N1290" s="365">
        <f t="shared" si="363"/>
        <v>98.27</v>
      </c>
      <c r="O1290" s="369">
        <f t="shared" si="364"/>
        <v>80.490000000000009</v>
      </c>
      <c r="P1290" s="195">
        <v>1</v>
      </c>
      <c r="Q1290" s="326" t="str">
        <f>IFERROR(VLOOKUP($G1290,主力整理!$A$2:$G$2301,6,0),"0")</f>
        <v>0</v>
      </c>
      <c r="R1290" s="111">
        <v>4</v>
      </c>
      <c r="S1290" s="51">
        <v>8</v>
      </c>
      <c r="T1290" s="339">
        <f t="shared" si="365"/>
        <v>13</v>
      </c>
      <c r="U1290" s="329" t="s">
        <v>6538</v>
      </c>
      <c r="V1290" s="371">
        <v>0.31</v>
      </c>
      <c r="W1290" s="35">
        <v>1.1299999999999999</v>
      </c>
      <c r="X1290" s="100">
        <v>1.49</v>
      </c>
      <c r="Y1290" s="37" t="str">
        <f>RTD("money.excel",,"6516","Price")</f>
        <v>無資料</v>
      </c>
      <c r="Z1290" s="69"/>
      <c r="AA1290" s="16" t="e">
        <f t="shared" si="366"/>
        <v>#VALUE!</v>
      </c>
      <c r="AB1290" s="3" t="e">
        <f t="shared" si="367"/>
        <v>#VALUE!</v>
      </c>
      <c r="AC1290" s="177" t="s">
        <v>2648</v>
      </c>
      <c r="AD1290" s="17" t="s">
        <v>2788</v>
      </c>
      <c r="AG1290" s="34">
        <f t="shared" si="368"/>
        <v>0</v>
      </c>
      <c r="AH1290" s="63" t="s">
        <v>2789</v>
      </c>
      <c r="AI1290" s="131"/>
      <c r="AK1290" s="66">
        <f t="shared" si="373"/>
        <v>0</v>
      </c>
      <c r="AL1290" s="174">
        <f t="shared" si="374"/>
        <v>0</v>
      </c>
      <c r="AM1290" s="346">
        <f>RTD("money.excel",,$G1290,"PredictVolume")</f>
        <v>0</v>
      </c>
      <c r="AN1290" s="272">
        <f>RTD("money.excel",,$G1290,"CumulativeVolume")</f>
        <v>0</v>
      </c>
      <c r="AO1290" s="284"/>
    </row>
    <row r="1291" spans="1:41">
      <c r="A1291" s="135" t="s">
        <v>3222</v>
      </c>
      <c r="B1291" s="84">
        <v>175</v>
      </c>
      <c r="C1291" s="84">
        <v>154</v>
      </c>
      <c r="D1291" s="85">
        <v>-23</v>
      </c>
      <c r="E1291" s="84">
        <v>18</v>
      </c>
      <c r="F1291" s="59">
        <v>19.95</v>
      </c>
      <c r="G1291" s="85">
        <v>6590</v>
      </c>
      <c r="H1291" s="4" t="s">
        <v>565</v>
      </c>
      <c r="I1291" s="17" t="s">
        <v>3223</v>
      </c>
      <c r="J1291" s="77">
        <v>54.22</v>
      </c>
      <c r="K1291" s="77">
        <v>7.0000000000000007E-2</v>
      </c>
      <c r="N1291" s="365">
        <f t="shared" si="363"/>
        <v>54.29</v>
      </c>
      <c r="O1291" s="343">
        <f t="shared" si="364"/>
        <v>54.22</v>
      </c>
      <c r="P1291" s="195" t="s">
        <v>5554</v>
      </c>
      <c r="Q1291" s="326" t="str">
        <f>IFERROR(VLOOKUP($G1291,主力整理!$A$2:$G$2301,6,0),"0")</f>
        <v>0</v>
      </c>
      <c r="T1291" s="339">
        <f t="shared" si="365"/>
        <v>0</v>
      </c>
      <c r="W1291" s="69">
        <v>3.5</v>
      </c>
      <c r="X1291" s="100">
        <v>4.09</v>
      </c>
      <c r="Y1291" s="37" t="str">
        <f>RTD("money.excel",,"6593","Price")</f>
        <v>無資料</v>
      </c>
      <c r="Z1291" s="69"/>
      <c r="AA1291" s="16" t="e">
        <f t="shared" si="366"/>
        <v>#VALUE!</v>
      </c>
      <c r="AB1291" s="3" t="e">
        <f t="shared" si="367"/>
        <v>#VALUE!</v>
      </c>
      <c r="AC1291" s="177" t="s">
        <v>2929</v>
      </c>
      <c r="AD1291" s="17" t="s">
        <v>3223</v>
      </c>
      <c r="AG1291" s="34">
        <f t="shared" si="368"/>
        <v>0</v>
      </c>
      <c r="AH1291" s="63" t="s">
        <v>3224</v>
      </c>
      <c r="AI1291" s="131"/>
      <c r="AK1291" s="66">
        <f t="shared" ref="AK1291:AK1300" si="375">AM1291/(A1291*10000)</f>
        <v>0</v>
      </c>
      <c r="AL1291" s="174">
        <f t="shared" ref="AL1291:AL1300" si="376">AN1291/(A1291*10000)</f>
        <v>0</v>
      </c>
      <c r="AM1291" s="346">
        <f>RTD("money.excel",,$G1291,"PredictVolume")</f>
        <v>0</v>
      </c>
      <c r="AN1291" s="272">
        <f>RTD("money.excel",,$G1291,"CumulativeVolume")</f>
        <v>0</v>
      </c>
      <c r="AO1291" s="284"/>
    </row>
    <row r="1292" spans="1:41">
      <c r="A1292" s="151" t="s">
        <v>4771</v>
      </c>
      <c r="B1292" s="96">
        <v>-946</v>
      </c>
      <c r="C1292" s="214">
        <v>-1220</v>
      </c>
      <c r="D1292" s="96">
        <v>5</v>
      </c>
      <c r="E1292" s="96">
        <v>39</v>
      </c>
      <c r="F1292" s="7">
        <v>-6.6</v>
      </c>
      <c r="G1292" s="85">
        <v>6593</v>
      </c>
      <c r="H1292" s="4" t="s">
        <v>565</v>
      </c>
      <c r="I1292" s="17" t="s">
        <v>1646</v>
      </c>
      <c r="J1292" s="77">
        <v>63.37</v>
      </c>
      <c r="K1292" s="77">
        <v>2.65</v>
      </c>
      <c r="N1292" s="365">
        <f t="shared" si="363"/>
        <v>66.02</v>
      </c>
      <c r="O1292" s="343">
        <f t="shared" si="364"/>
        <v>63.37</v>
      </c>
      <c r="P1292" s="195" t="s">
        <v>5554</v>
      </c>
      <c r="Q1292" s="326" t="str">
        <f>IFERROR(VLOOKUP($G1292,主力整理!$A$2:$G$2301,6,0),"0")</f>
        <v>0</v>
      </c>
      <c r="T1292" s="339">
        <f t="shared" si="365"/>
        <v>0</v>
      </c>
      <c r="V1292" s="371">
        <v>43.1</v>
      </c>
      <c r="W1292" s="35">
        <v>0.5</v>
      </c>
      <c r="X1292" s="100">
        <v>-0.23</v>
      </c>
      <c r="Y1292" s="14" t="str">
        <f>RTD("money.excel",,"6593","Price")</f>
        <v>無資料</v>
      </c>
      <c r="Z1292" s="69"/>
      <c r="AA1292" s="16" t="e">
        <f t="shared" si="366"/>
        <v>#VALUE!</v>
      </c>
      <c r="AB1292" s="3" t="e">
        <f t="shared" si="367"/>
        <v>#VALUE!</v>
      </c>
      <c r="AD1292" s="17" t="s">
        <v>1646</v>
      </c>
      <c r="AG1292" s="34">
        <f t="shared" si="368"/>
        <v>0</v>
      </c>
      <c r="AH1292" s="44" t="s">
        <v>4234</v>
      </c>
      <c r="AI1292" s="131"/>
      <c r="AK1292" s="66">
        <f t="shared" si="375"/>
        <v>0</v>
      </c>
      <c r="AL1292" s="174">
        <f t="shared" si="376"/>
        <v>0</v>
      </c>
      <c r="AM1292" s="346">
        <f>RTD("money.excel",,$G1292,"PredictVolume")</f>
        <v>0</v>
      </c>
      <c r="AN1292" s="272">
        <f>RTD("money.excel",,$G1292,"CumulativeVolume")</f>
        <v>0</v>
      </c>
      <c r="AO1292" s="284"/>
    </row>
    <row r="1293" spans="1:41">
      <c r="A1293" s="135" t="s">
        <v>5624</v>
      </c>
      <c r="B1293" s="84">
        <v>10</v>
      </c>
      <c r="C1293" s="84">
        <v>11</v>
      </c>
      <c r="D1293" s="84">
        <v>4</v>
      </c>
      <c r="E1293" s="84">
        <v>5</v>
      </c>
      <c r="F1293" s="59">
        <v>11.86</v>
      </c>
      <c r="G1293" s="85">
        <v>6690</v>
      </c>
      <c r="H1293" s="4" t="s">
        <v>565</v>
      </c>
      <c r="I1293" s="17" t="s">
        <v>2963</v>
      </c>
      <c r="J1293" s="371">
        <v>64.540000000000006</v>
      </c>
      <c r="K1293" s="371">
        <v>0.34</v>
      </c>
      <c r="L1293" s="371"/>
      <c r="N1293" s="365">
        <f t="shared" si="363"/>
        <v>64.88000000000001</v>
      </c>
      <c r="O1293" s="343">
        <f t="shared" si="364"/>
        <v>64.540000000000006</v>
      </c>
      <c r="P1293" s="195">
        <v>2</v>
      </c>
      <c r="Q1293" s="326" t="str">
        <f>IFERROR(VLOOKUP($G1293,主力整理!$A$2:$G$2301,6,0),"0")</f>
        <v>0</v>
      </c>
      <c r="R1293" s="111">
        <v>2</v>
      </c>
      <c r="S1293" s="51">
        <v>0</v>
      </c>
      <c r="T1293" s="339">
        <f t="shared" si="365"/>
        <v>4</v>
      </c>
      <c r="W1293" s="69">
        <v>3.5</v>
      </c>
      <c r="X1293" s="59">
        <v>5</v>
      </c>
      <c r="Y1293" s="37" t="str">
        <f>RTD("money.excel",,"6690","Price")</f>
        <v>無資料</v>
      </c>
      <c r="Z1293" s="69"/>
      <c r="AA1293" s="16" t="e">
        <f t="shared" si="366"/>
        <v>#VALUE!</v>
      </c>
      <c r="AB1293" s="3" t="e">
        <f t="shared" si="367"/>
        <v>#VALUE!</v>
      </c>
      <c r="AC1293" s="177" t="s">
        <v>2929</v>
      </c>
      <c r="AD1293" s="17" t="s">
        <v>2963</v>
      </c>
      <c r="AG1293" s="34">
        <f t="shared" si="368"/>
        <v>0</v>
      </c>
      <c r="AH1293" s="63" t="s">
        <v>2964</v>
      </c>
      <c r="AI1293" s="284"/>
      <c r="AK1293" s="66">
        <f t="shared" si="375"/>
        <v>0</v>
      </c>
      <c r="AL1293" s="174">
        <f t="shared" si="376"/>
        <v>0</v>
      </c>
      <c r="AM1293" s="346">
        <f>RTD("money.excel",,$G1293,"PredictVolume")</f>
        <v>0</v>
      </c>
      <c r="AN1293" s="272">
        <f>RTD("money.excel",,$G1293,"CumulativeVolume")</f>
        <v>0</v>
      </c>
      <c r="AO1293" s="284"/>
    </row>
    <row r="1294" spans="1:41">
      <c r="A1294" s="151" t="s">
        <v>3356</v>
      </c>
      <c r="B1294" s="84">
        <v>10</v>
      </c>
      <c r="C1294" s="85">
        <v>-1</v>
      </c>
      <c r="D1294" s="85">
        <v>-12</v>
      </c>
      <c r="E1294" s="85">
        <v>-18</v>
      </c>
      <c r="F1294" s="7">
        <v>5.7</v>
      </c>
      <c r="G1294" s="85">
        <v>6697</v>
      </c>
      <c r="H1294" s="4" t="s">
        <v>565</v>
      </c>
      <c r="I1294" s="17" t="s">
        <v>3358</v>
      </c>
      <c r="J1294" s="371">
        <v>70.83</v>
      </c>
      <c r="K1294" s="77">
        <v>0</v>
      </c>
      <c r="N1294" s="365">
        <f t="shared" si="363"/>
        <v>70.83</v>
      </c>
      <c r="O1294" s="343">
        <f t="shared" si="364"/>
        <v>70.83</v>
      </c>
      <c r="P1294" s="195" t="s">
        <v>5554</v>
      </c>
      <c r="Q1294" s="326" t="str">
        <f>IFERROR(VLOOKUP($G1294,主力整理!$A$2:$G$2301,6,0),"0")</f>
        <v>0</v>
      </c>
      <c r="T1294" s="339">
        <f t="shared" si="365"/>
        <v>0</v>
      </c>
      <c r="W1294" s="35">
        <v>2</v>
      </c>
      <c r="X1294" s="100">
        <v>2.41</v>
      </c>
      <c r="Y1294" s="37" t="str">
        <f>RTD("money.excel",,"6697","Price")</f>
        <v>無資料</v>
      </c>
      <c r="Z1294" s="69"/>
      <c r="AA1294" s="16" t="e">
        <f t="shared" si="366"/>
        <v>#VALUE!</v>
      </c>
      <c r="AB1294" s="3" t="e">
        <f t="shared" si="367"/>
        <v>#VALUE!</v>
      </c>
      <c r="AD1294" s="17" t="s">
        <v>3358</v>
      </c>
      <c r="AG1294" s="34">
        <f t="shared" si="368"/>
        <v>0</v>
      </c>
      <c r="AH1294" s="44" t="s">
        <v>3359</v>
      </c>
      <c r="AI1294" s="131"/>
      <c r="AK1294" s="66">
        <f t="shared" si="375"/>
        <v>0</v>
      </c>
      <c r="AL1294" s="174">
        <f t="shared" si="376"/>
        <v>0</v>
      </c>
      <c r="AM1294" s="346">
        <f>RTD("money.excel",,$G1294,"PredictVolume")</f>
        <v>0</v>
      </c>
      <c r="AN1294" s="272">
        <f>RTD("money.excel",,$G1294,"CumulativeVolume")</f>
        <v>0</v>
      </c>
      <c r="AO1294" s="284"/>
    </row>
    <row r="1295" spans="1:41">
      <c r="A1295" s="151" t="s">
        <v>3514</v>
      </c>
      <c r="B1295" s="84">
        <v>11</v>
      </c>
      <c r="C1295" s="84">
        <v>17</v>
      </c>
      <c r="D1295" s="84">
        <v>114</v>
      </c>
      <c r="E1295" s="85">
        <v>-15</v>
      </c>
      <c r="F1295" s="7">
        <v>4.1500000000000004</v>
      </c>
      <c r="G1295" s="85">
        <v>6751</v>
      </c>
      <c r="H1295" s="4" t="s">
        <v>565</v>
      </c>
      <c r="I1295" s="17" t="s">
        <v>3413</v>
      </c>
      <c r="J1295" s="371">
        <v>71.3</v>
      </c>
      <c r="K1295" s="371">
        <v>0</v>
      </c>
      <c r="N1295" s="365">
        <f t="shared" si="363"/>
        <v>71.3</v>
      </c>
      <c r="O1295" s="343">
        <f t="shared" si="364"/>
        <v>71.3</v>
      </c>
      <c r="P1295" s="195" t="s">
        <v>5554</v>
      </c>
      <c r="Q1295" s="326" t="str">
        <f>IFERROR(VLOOKUP($G1295,主力整理!$A$2:$G$2301,6,0),"0")</f>
        <v>0</v>
      </c>
      <c r="T1295" s="339">
        <f t="shared" si="365"/>
        <v>0</v>
      </c>
      <c r="W1295" s="35">
        <v>2.1</v>
      </c>
      <c r="X1295" s="100">
        <v>2.76</v>
      </c>
      <c r="Y1295" s="37" t="str">
        <f>RTD("money.excel",,"6751","Price")</f>
        <v>無資料</v>
      </c>
      <c r="Z1295" s="69"/>
      <c r="AA1295" s="16" t="e">
        <f t="shared" si="366"/>
        <v>#VALUE!</v>
      </c>
      <c r="AB1295" s="3" t="e">
        <f t="shared" si="367"/>
        <v>#VALUE!</v>
      </c>
      <c r="AD1295" s="17" t="s">
        <v>3413</v>
      </c>
      <c r="AG1295" s="34">
        <f t="shared" si="368"/>
        <v>0</v>
      </c>
      <c r="AH1295" s="44" t="s">
        <v>3414</v>
      </c>
      <c r="AI1295" s="131"/>
      <c r="AK1295" s="66">
        <f t="shared" si="375"/>
        <v>0</v>
      </c>
      <c r="AL1295" s="174">
        <f t="shared" si="376"/>
        <v>0</v>
      </c>
      <c r="AM1295" s="346">
        <f>RTD("money.excel",,$G1295,"PredictVolume")</f>
        <v>0</v>
      </c>
      <c r="AN1295" s="272">
        <f>RTD("money.excel",,$G1295,"CumulativeVolume")</f>
        <v>0</v>
      </c>
      <c r="AO1295" s="284"/>
    </row>
    <row r="1296" spans="1:41">
      <c r="A1296" s="135" t="s">
        <v>2214</v>
      </c>
      <c r="B1296" s="84">
        <v>69</v>
      </c>
      <c r="C1296" s="84">
        <v>74</v>
      </c>
      <c r="D1296" s="84">
        <v>11</v>
      </c>
      <c r="E1296" s="84">
        <v>10</v>
      </c>
      <c r="F1296" s="59">
        <v>10.81</v>
      </c>
      <c r="G1296" s="85">
        <v>6752</v>
      </c>
      <c r="H1296" s="4" t="s">
        <v>565</v>
      </c>
      <c r="I1296" s="17" t="s">
        <v>4772</v>
      </c>
      <c r="J1296" s="371">
        <v>20.99</v>
      </c>
      <c r="K1296" s="77">
        <v>0.02</v>
      </c>
      <c r="L1296" s="371"/>
      <c r="N1296" s="365">
        <f t="shared" si="363"/>
        <v>21.009999999999998</v>
      </c>
      <c r="O1296" s="343">
        <f t="shared" si="364"/>
        <v>20.99</v>
      </c>
      <c r="P1296" s="195">
        <v>1</v>
      </c>
      <c r="Q1296" s="326" t="str">
        <f>IFERROR(VLOOKUP($G1296,主力整理!$A$2:$G$2301,6,0),"0")</f>
        <v>0</v>
      </c>
      <c r="T1296" s="339">
        <f t="shared" si="365"/>
        <v>1</v>
      </c>
      <c r="W1296" s="35">
        <v>2.8</v>
      </c>
      <c r="X1296" s="100">
        <v>4.91</v>
      </c>
      <c r="Y1296" s="37" t="str">
        <f>RTD("money.excel",,"6752","Price")</f>
        <v>無資料</v>
      </c>
      <c r="Z1296" s="69"/>
      <c r="AA1296" s="16" t="e">
        <f t="shared" si="366"/>
        <v>#VALUE!</v>
      </c>
      <c r="AB1296" s="3" t="e">
        <f t="shared" si="367"/>
        <v>#VALUE!</v>
      </c>
      <c r="AD1296" s="17" t="s">
        <v>4772</v>
      </c>
      <c r="AG1296" s="34">
        <f t="shared" si="368"/>
        <v>0</v>
      </c>
      <c r="AH1296" s="63" t="s">
        <v>3388</v>
      </c>
      <c r="AI1296" s="131"/>
      <c r="AK1296" s="66">
        <f t="shared" si="375"/>
        <v>0</v>
      </c>
      <c r="AL1296" s="174">
        <f t="shared" si="376"/>
        <v>0</v>
      </c>
      <c r="AM1296" s="346">
        <f>RTD("money.excel",,$G1296,"PredictVolume")</f>
        <v>0</v>
      </c>
      <c r="AN1296" s="272">
        <f>RTD("money.excel",,$G1296,"CumulativeVolume")</f>
        <v>0</v>
      </c>
      <c r="AO1296" s="284"/>
    </row>
    <row r="1297" spans="1:41">
      <c r="A1297" s="151" t="s">
        <v>3632</v>
      </c>
      <c r="B1297" s="84">
        <v>33</v>
      </c>
      <c r="C1297" s="84">
        <v>24</v>
      </c>
      <c r="D1297" s="84">
        <v>0</v>
      </c>
      <c r="E1297" s="85">
        <v>-30</v>
      </c>
      <c r="F1297" s="7">
        <v>4.38</v>
      </c>
      <c r="G1297" s="85">
        <v>8099</v>
      </c>
      <c r="H1297" s="4" t="s">
        <v>565</v>
      </c>
      <c r="I1297" s="17" t="s">
        <v>1647</v>
      </c>
      <c r="J1297" s="77">
        <v>68.349999999999994</v>
      </c>
      <c r="K1297" s="371">
        <v>2.0699999999999998</v>
      </c>
      <c r="L1297" s="77">
        <v>38.93</v>
      </c>
      <c r="N1297" s="365">
        <f t="shared" si="363"/>
        <v>109.35</v>
      </c>
      <c r="O1297" s="343">
        <f t="shared" si="364"/>
        <v>68.349999999999994</v>
      </c>
      <c r="P1297" s="195" t="s">
        <v>5554</v>
      </c>
      <c r="Q1297" s="326">
        <f>IFERROR(VLOOKUP($G1297,主力整理!$A$2:$G$2301,6,0),"0")</f>
        <v>2</v>
      </c>
      <c r="R1297" s="111">
        <v>9</v>
      </c>
      <c r="S1297" s="51">
        <v>0</v>
      </c>
      <c r="T1297" s="339">
        <f t="shared" si="365"/>
        <v>11</v>
      </c>
      <c r="V1297" s="371">
        <v>0.27</v>
      </c>
      <c r="W1297" s="35">
        <v>1.35</v>
      </c>
      <c r="X1297" s="59">
        <v>1.64</v>
      </c>
      <c r="Y1297" s="37" t="str">
        <f>RTD("money.excel",,"8099","Price")</f>
        <v>無資料</v>
      </c>
      <c r="Z1297" s="69"/>
      <c r="AA1297" s="16" t="e">
        <f t="shared" si="366"/>
        <v>#VALUE!</v>
      </c>
      <c r="AB1297" s="3" t="e">
        <f t="shared" si="367"/>
        <v>#VALUE!</v>
      </c>
      <c r="AD1297" s="17" t="s">
        <v>1647</v>
      </c>
      <c r="AG1297" s="34">
        <f t="shared" si="368"/>
        <v>0</v>
      </c>
      <c r="AH1297" s="44" t="s">
        <v>3633</v>
      </c>
      <c r="AI1297" s="131"/>
      <c r="AK1297" s="66">
        <f t="shared" si="375"/>
        <v>0</v>
      </c>
      <c r="AL1297" s="174">
        <f t="shared" si="376"/>
        <v>0</v>
      </c>
      <c r="AM1297" s="346">
        <f>RTD("money.excel",,$G1297,"PredictVolume")</f>
        <v>0</v>
      </c>
      <c r="AN1297" s="272">
        <f>RTD("money.excel",,$G1297,"CumulativeVolume")</f>
        <v>0</v>
      </c>
      <c r="AO1297" s="284"/>
    </row>
    <row r="1298" spans="1:41">
      <c r="A1298" s="151" t="s">
        <v>2982</v>
      </c>
      <c r="B1298" s="84">
        <v>48</v>
      </c>
      <c r="C1298" s="84">
        <v>44</v>
      </c>
      <c r="D1298" s="84">
        <v>11</v>
      </c>
      <c r="E1298" s="84">
        <v>15</v>
      </c>
      <c r="F1298" s="7">
        <v>7.73</v>
      </c>
      <c r="G1298" s="85">
        <v>8284</v>
      </c>
      <c r="H1298" s="4" t="s">
        <v>565</v>
      </c>
      <c r="I1298" s="17" t="s">
        <v>2951</v>
      </c>
      <c r="J1298" s="77">
        <v>63.55</v>
      </c>
      <c r="K1298" s="77">
        <v>0.24</v>
      </c>
      <c r="N1298" s="365">
        <f t="shared" si="363"/>
        <v>63.79</v>
      </c>
      <c r="O1298" s="343">
        <f t="shared" si="364"/>
        <v>63.55</v>
      </c>
      <c r="P1298" s="195" t="s">
        <v>5554</v>
      </c>
      <c r="Q1298" s="326" t="str">
        <f>IFERROR(VLOOKUP($G1298,主力整理!$A$2:$G$2301,6,0),"0")</f>
        <v>0</v>
      </c>
      <c r="T1298" s="339">
        <f t="shared" si="365"/>
        <v>0</v>
      </c>
      <c r="W1298" s="35">
        <v>2.36</v>
      </c>
      <c r="X1298" s="100">
        <v>2.78</v>
      </c>
      <c r="Y1298" s="37" t="str">
        <f>RTD("money.excel",,"8284","Price")</f>
        <v>無資料</v>
      </c>
      <c r="Z1298" s="69"/>
      <c r="AA1298" s="16" t="e">
        <f t="shared" si="366"/>
        <v>#VALUE!</v>
      </c>
      <c r="AB1298" s="3" t="e">
        <f t="shared" si="367"/>
        <v>#VALUE!</v>
      </c>
      <c r="AD1298" s="17" t="s">
        <v>2951</v>
      </c>
      <c r="AG1298" s="34">
        <f t="shared" si="368"/>
        <v>0</v>
      </c>
      <c r="AH1298" s="44" t="s">
        <v>553</v>
      </c>
      <c r="AI1298" s="131"/>
      <c r="AK1298" s="66">
        <f t="shared" si="375"/>
        <v>0</v>
      </c>
      <c r="AL1298" s="174">
        <f t="shared" si="376"/>
        <v>0</v>
      </c>
      <c r="AM1298" s="346">
        <f>RTD("money.excel",,$G1298,"PredictVolume")</f>
        <v>0</v>
      </c>
      <c r="AN1298" s="272">
        <f>RTD("money.excel",,$G1298,"CumulativeVolume")</f>
        <v>0</v>
      </c>
      <c r="AO1298" s="284"/>
    </row>
    <row r="1299" spans="1:41">
      <c r="A1299" s="135" t="s">
        <v>2539</v>
      </c>
      <c r="B1299" s="84">
        <v>24</v>
      </c>
      <c r="C1299" s="84">
        <v>21</v>
      </c>
      <c r="D1299" s="85">
        <v>-1</v>
      </c>
      <c r="E1299" s="85">
        <v>-5</v>
      </c>
      <c r="F1299" s="59">
        <v>24.17</v>
      </c>
      <c r="G1299" s="85">
        <v>8416</v>
      </c>
      <c r="H1299" s="55" t="s">
        <v>565</v>
      </c>
      <c r="I1299" s="17" t="s">
        <v>298</v>
      </c>
      <c r="J1299" s="77">
        <v>77.03</v>
      </c>
      <c r="K1299" s="371">
        <v>2.87</v>
      </c>
      <c r="N1299" s="365">
        <f t="shared" si="363"/>
        <v>79.900000000000006</v>
      </c>
      <c r="O1299" s="343">
        <f t="shared" si="364"/>
        <v>77.03</v>
      </c>
      <c r="P1299" s="195" t="s">
        <v>5554</v>
      </c>
      <c r="Q1299" s="326" t="str">
        <f>IFERROR(VLOOKUP($G1299,主力整理!$A$2:$G$2301,6,0),"0")</f>
        <v>0</v>
      </c>
      <c r="T1299" s="339">
        <f t="shared" si="365"/>
        <v>0</v>
      </c>
      <c r="W1299" s="69">
        <v>7</v>
      </c>
      <c r="X1299" s="100">
        <v>9.9499999999999993</v>
      </c>
      <c r="Y1299" s="37" t="str">
        <f>RTD("money.excel",,"8416","Price")</f>
        <v>無資料</v>
      </c>
      <c r="Z1299" s="69"/>
      <c r="AA1299" s="16" t="e">
        <f t="shared" si="366"/>
        <v>#VALUE!</v>
      </c>
      <c r="AB1299" s="3" t="e">
        <f t="shared" si="367"/>
        <v>#VALUE!</v>
      </c>
      <c r="AC1299" s="177" t="s">
        <v>2700</v>
      </c>
      <c r="AD1299" s="17" t="s">
        <v>298</v>
      </c>
      <c r="AG1299" s="34">
        <f t="shared" si="368"/>
        <v>0</v>
      </c>
      <c r="AH1299" s="126" t="s">
        <v>4235</v>
      </c>
      <c r="AI1299" s="131"/>
      <c r="AK1299" s="66">
        <f t="shared" si="375"/>
        <v>0</v>
      </c>
      <c r="AL1299" s="174">
        <f t="shared" si="376"/>
        <v>0</v>
      </c>
      <c r="AM1299" s="346">
        <f>RTD("money.excel",,$G1299,"PredictVolume")</f>
        <v>0</v>
      </c>
      <c r="AN1299" s="272">
        <f>RTD("money.excel",,$G1299,"CumulativeVolume")</f>
        <v>0</v>
      </c>
      <c r="AO1299" s="284"/>
    </row>
    <row r="1300" spans="1:41">
      <c r="A1300" s="151" t="s">
        <v>5491</v>
      </c>
      <c r="B1300" s="84">
        <v>149</v>
      </c>
      <c r="C1300" s="84">
        <v>225</v>
      </c>
      <c r="D1300" s="84">
        <v>0</v>
      </c>
      <c r="E1300" s="84">
        <v>146</v>
      </c>
      <c r="F1300" s="7">
        <v>7.05</v>
      </c>
      <c r="G1300" s="58" t="s">
        <v>1627</v>
      </c>
      <c r="H1300" s="4" t="s">
        <v>565</v>
      </c>
      <c r="I1300" s="17" t="s">
        <v>1628</v>
      </c>
      <c r="J1300" s="77">
        <v>30.11</v>
      </c>
      <c r="K1300" s="371">
        <v>2.66</v>
      </c>
      <c r="L1300" s="77">
        <v>10.19</v>
      </c>
      <c r="N1300" s="365">
        <f t="shared" si="363"/>
        <v>42.959999999999994</v>
      </c>
      <c r="O1300" s="343">
        <f t="shared" si="364"/>
        <v>30.11</v>
      </c>
      <c r="P1300" s="232">
        <v>0</v>
      </c>
      <c r="Q1300" s="326" t="str">
        <f>IFERROR(VLOOKUP($G1300,主力整理!$A$2:$G$2301,6,0),"0")</f>
        <v>0</v>
      </c>
      <c r="R1300" s="111">
        <v>5</v>
      </c>
      <c r="S1300" s="51">
        <v>0</v>
      </c>
      <c r="T1300" s="339">
        <f t="shared" si="365"/>
        <v>5</v>
      </c>
      <c r="V1300" s="371">
        <v>0.5</v>
      </c>
      <c r="W1300" s="35">
        <v>2.1</v>
      </c>
      <c r="X1300" s="100">
        <v>5.07</v>
      </c>
      <c r="Y1300" s="37" t="str">
        <f>RTD("money.excel",,"3147","Price")</f>
        <v>無資料</v>
      </c>
      <c r="Z1300" s="69"/>
      <c r="AA1300" s="16" t="e">
        <f t="shared" si="366"/>
        <v>#VALUE!</v>
      </c>
      <c r="AB1300" s="3" t="e">
        <f t="shared" si="367"/>
        <v>#VALUE!</v>
      </c>
      <c r="AD1300" s="17" t="s">
        <v>1628</v>
      </c>
      <c r="AG1300" s="34">
        <f t="shared" si="368"/>
        <v>0</v>
      </c>
      <c r="AH1300" s="44" t="s">
        <v>4227</v>
      </c>
      <c r="AI1300" s="131"/>
      <c r="AK1300" s="66">
        <f t="shared" si="375"/>
        <v>0</v>
      </c>
      <c r="AL1300" s="174">
        <f t="shared" si="376"/>
        <v>0</v>
      </c>
      <c r="AM1300" s="346">
        <f>RTD("money.excel",,$G1300,"PredictVolume")</f>
        <v>0</v>
      </c>
      <c r="AN1300" s="272">
        <f>RTD("money.excel",,$G1300,"CumulativeVolume")</f>
        <v>0</v>
      </c>
      <c r="AO1300" s="284"/>
    </row>
    <row r="1301" spans="1:41">
      <c r="A1301" s="151"/>
      <c r="B1301" s="84"/>
      <c r="C1301" s="84"/>
      <c r="D1301" s="84"/>
      <c r="E1301" s="84"/>
      <c r="F1301" s="7"/>
      <c r="H1301" s="4"/>
      <c r="I1301" s="17"/>
      <c r="J1301" s="77"/>
      <c r="K1301" s="371"/>
      <c r="N1301" s="365"/>
      <c r="O1301" s="343"/>
      <c r="W1301" s="35"/>
      <c r="X1301" s="100"/>
      <c r="Y1301" s="37"/>
      <c r="Z1301" s="69"/>
      <c r="AA1301" s="16"/>
      <c r="AB1301" s="3"/>
      <c r="AD1301" s="17"/>
      <c r="AG1301" s="34"/>
      <c r="AH1301" s="44"/>
      <c r="AI1301" s="131"/>
      <c r="AK1301" s="66"/>
      <c r="AL1301" s="174"/>
      <c r="AM1301" s="346"/>
      <c r="AN1301" s="272"/>
      <c r="AO1301" s="284"/>
    </row>
    <row r="1302" spans="1:41">
      <c r="A1302" s="135" t="s">
        <v>2552</v>
      </c>
      <c r="B1302" s="96" t="s">
        <v>2331</v>
      </c>
      <c r="C1302" s="96" t="s">
        <v>2332</v>
      </c>
      <c r="D1302" s="96" t="s">
        <v>2333</v>
      </c>
      <c r="E1302" s="96" t="s">
        <v>2334</v>
      </c>
      <c r="F1302" s="9" t="s">
        <v>1709</v>
      </c>
      <c r="G1302" s="52" t="s">
        <v>1185</v>
      </c>
      <c r="H1302" s="56" t="s">
        <v>578</v>
      </c>
      <c r="I1302" s="9" t="s">
        <v>429</v>
      </c>
      <c r="J1302" s="364" t="s">
        <v>2189</v>
      </c>
      <c r="K1302" s="364" t="s">
        <v>1820</v>
      </c>
      <c r="L1302" s="364" t="s">
        <v>515</v>
      </c>
      <c r="M1302" s="364" t="s">
        <v>1699</v>
      </c>
      <c r="N1302" s="364" t="s">
        <v>6604</v>
      </c>
      <c r="O1302" s="343" t="s">
        <v>6620</v>
      </c>
      <c r="P1302" s="83" t="s">
        <v>5279</v>
      </c>
      <c r="Q1302" s="326" t="s">
        <v>5514</v>
      </c>
      <c r="R1302" s="31" t="s">
        <v>6596</v>
      </c>
      <c r="S1302" s="51" t="s">
        <v>6597</v>
      </c>
      <c r="T1302" s="338" t="s">
        <v>5627</v>
      </c>
      <c r="U1302" s="330" t="s">
        <v>6537</v>
      </c>
      <c r="V1302" s="377" t="s">
        <v>5296</v>
      </c>
      <c r="W1302" s="11" t="s">
        <v>127</v>
      </c>
      <c r="X1302" s="71" t="s">
        <v>5216</v>
      </c>
      <c r="Y1302" s="29" t="s">
        <v>3</v>
      </c>
      <c r="Z1302" s="18" t="s">
        <v>2113</v>
      </c>
      <c r="AA1302" s="15" t="s">
        <v>8</v>
      </c>
      <c r="AB1302" s="22" t="s">
        <v>4</v>
      </c>
      <c r="AC1302" s="358" t="s">
        <v>211</v>
      </c>
      <c r="AD1302" s="9" t="s">
        <v>429</v>
      </c>
      <c r="AE1302" s="75" t="s">
        <v>2114</v>
      </c>
      <c r="AF1302" s="76" t="s">
        <v>1826</v>
      </c>
      <c r="AG1302" s="33" t="s">
        <v>1827</v>
      </c>
      <c r="AH1302" s="44"/>
      <c r="AI1302" s="131"/>
      <c r="AK1302" s="9" t="s">
        <v>6666</v>
      </c>
      <c r="AL1302" s="5" t="s">
        <v>6667</v>
      </c>
      <c r="AM1302" s="51" t="s">
        <v>5339</v>
      </c>
      <c r="AN1302" s="276" t="s">
        <v>6665</v>
      </c>
      <c r="AO1302" s="284"/>
    </row>
    <row r="1303" spans="1:41">
      <c r="A1303" s="135" t="s">
        <v>2733</v>
      </c>
      <c r="B1303" s="85">
        <v>-13</v>
      </c>
      <c r="C1303" s="85">
        <v>-8</v>
      </c>
      <c r="D1303" s="85">
        <v>-1</v>
      </c>
      <c r="E1303" s="84">
        <v>18</v>
      </c>
      <c r="F1303" s="59">
        <v>17.32</v>
      </c>
      <c r="G1303" s="85">
        <v>1342</v>
      </c>
      <c r="H1303" s="4" t="s">
        <v>429</v>
      </c>
      <c r="I1303" s="23" t="s">
        <v>3319</v>
      </c>
      <c r="J1303" s="371">
        <v>80.02</v>
      </c>
      <c r="K1303" s="77">
        <v>53.49</v>
      </c>
      <c r="L1303" s="371">
        <v>0.38</v>
      </c>
      <c r="N1303" s="365">
        <f t="shared" ref="N1303:N1342" si="377">J1303+K1303+L1303+M1303</f>
        <v>133.88999999999999</v>
      </c>
      <c r="O1303" s="343">
        <f t="shared" ref="O1303:O1334" si="378">J1303+M1303</f>
        <v>80.02</v>
      </c>
      <c r="P1303" s="195">
        <v>1</v>
      </c>
      <c r="Q1303" s="326" t="str">
        <f>IFERROR(VLOOKUP($G1303,主力整理!$A$2:$G$2301,6,0),"0")</f>
        <v>0</v>
      </c>
      <c r="R1303" s="111">
        <v>0</v>
      </c>
      <c r="T1303" s="339">
        <f t="shared" ref="T1303:T1334" si="379">SUM(P1303:S1303)</f>
        <v>1</v>
      </c>
      <c r="V1303" s="371">
        <v>0</v>
      </c>
      <c r="W1303" s="35">
        <v>2.5</v>
      </c>
      <c r="X1303" s="59">
        <v>2.97</v>
      </c>
      <c r="Y1303" s="14" t="str">
        <f>RTD("money.excel",,"1342","Price")</f>
        <v>無資料</v>
      </c>
      <c r="Z1303" s="69"/>
      <c r="AA1303" s="16" t="e">
        <f t="shared" ref="AA1303:AA1334" si="380">Y1303-Z1303</f>
        <v>#VALUE!</v>
      </c>
      <c r="AB1303" s="3" t="e">
        <f t="shared" ref="AB1303:AB1334" si="381">AA1303/Z1303</f>
        <v>#VALUE!</v>
      </c>
      <c r="AC1303" s="177" t="s">
        <v>2648</v>
      </c>
      <c r="AD1303" s="23" t="s">
        <v>3319</v>
      </c>
      <c r="AG1303" s="34">
        <f t="shared" ref="AG1303:AG1334" si="382">AF1303-AE1303</f>
        <v>0</v>
      </c>
      <c r="AH1303" s="63" t="s">
        <v>5315</v>
      </c>
      <c r="AI1303" s="131"/>
      <c r="AK1303" s="66">
        <f t="shared" ref="AK1303:AK1304" si="383">AM1303/(A1303*10000)</f>
        <v>0</v>
      </c>
      <c r="AL1303" s="174">
        <f t="shared" ref="AL1303:AL1304" si="384">AN1303/(A1303*10000)</f>
        <v>0</v>
      </c>
      <c r="AM1303" s="346">
        <f>RTD("money.excel",,$G1303,"PredictVolume")</f>
        <v>0</v>
      </c>
      <c r="AN1303" s="272">
        <f>RTD("money.excel",,$G1303,"CumulativeVolume")</f>
        <v>0</v>
      </c>
      <c r="AO1303" s="284"/>
    </row>
    <row r="1304" spans="1:41">
      <c r="A1304" s="151" t="s">
        <v>2497</v>
      </c>
      <c r="B1304" s="96">
        <v>-379</v>
      </c>
      <c r="C1304" s="96">
        <v>-315</v>
      </c>
      <c r="D1304" s="96">
        <v>98</v>
      </c>
      <c r="E1304" s="96">
        <v>10</v>
      </c>
      <c r="F1304" s="7">
        <v>2.0099999999999998</v>
      </c>
      <c r="G1304" s="85">
        <v>1416</v>
      </c>
      <c r="H1304" s="4" t="s">
        <v>429</v>
      </c>
      <c r="I1304" s="23" t="s">
        <v>1275</v>
      </c>
      <c r="J1304" s="77">
        <v>59.12</v>
      </c>
      <c r="K1304" s="77">
        <v>0.1</v>
      </c>
      <c r="L1304" s="77">
        <v>32.32</v>
      </c>
      <c r="N1304" s="365">
        <f t="shared" si="377"/>
        <v>91.539999999999992</v>
      </c>
      <c r="O1304" s="343">
        <f t="shared" si="378"/>
        <v>59.12</v>
      </c>
      <c r="P1304" s="195" t="s">
        <v>5554</v>
      </c>
      <c r="Q1304" s="326">
        <f>IFERROR(VLOOKUP($G1304,主力整理!$A$2:$G$2301,6,0),"0")</f>
        <v>1</v>
      </c>
      <c r="T1304" s="339">
        <f t="shared" si="379"/>
        <v>1</v>
      </c>
      <c r="V1304" s="371">
        <v>32.24</v>
      </c>
      <c r="W1304" s="35">
        <v>0.5</v>
      </c>
      <c r="X1304" s="100">
        <v>-1.86</v>
      </c>
      <c r="Y1304" s="14" t="str">
        <f>RTD("money.excel",,"1516","Price")</f>
        <v>無資料</v>
      </c>
      <c r="Z1304" s="69"/>
      <c r="AA1304" s="16" t="e">
        <f t="shared" si="380"/>
        <v>#VALUE!</v>
      </c>
      <c r="AB1304" s="3" t="e">
        <f t="shared" si="381"/>
        <v>#VALUE!</v>
      </c>
      <c r="AD1304" s="23" t="s">
        <v>1275</v>
      </c>
      <c r="AG1304" s="34">
        <f t="shared" si="382"/>
        <v>0</v>
      </c>
      <c r="AH1304" s="44" t="s">
        <v>4828</v>
      </c>
      <c r="AI1304" s="131"/>
      <c r="AK1304" s="66">
        <f t="shared" si="383"/>
        <v>0</v>
      </c>
      <c r="AL1304" s="174">
        <f t="shared" si="384"/>
        <v>0</v>
      </c>
      <c r="AM1304" s="346">
        <f>RTD("money.excel",,$G1304,"PredictVolume")</f>
        <v>0</v>
      </c>
      <c r="AN1304" s="272">
        <f>RTD("money.excel",,$G1304,"CumulativeVolume")</f>
        <v>0</v>
      </c>
      <c r="AO1304" s="284"/>
    </row>
    <row r="1305" spans="1:41">
      <c r="A1305" s="151" t="s">
        <v>2878</v>
      </c>
      <c r="B1305" s="96">
        <v>-275</v>
      </c>
      <c r="C1305" s="96">
        <v>-11</v>
      </c>
      <c r="D1305" s="96">
        <v>-5</v>
      </c>
      <c r="E1305" s="96">
        <v>-3</v>
      </c>
      <c r="F1305" s="7">
        <v>-25</v>
      </c>
      <c r="G1305" s="85">
        <v>1435</v>
      </c>
      <c r="H1305" s="4" t="s">
        <v>429</v>
      </c>
      <c r="I1305" s="23" t="s">
        <v>1220</v>
      </c>
      <c r="J1305" s="77">
        <v>61.81</v>
      </c>
      <c r="K1305" s="77">
        <v>0.09</v>
      </c>
      <c r="N1305" s="365">
        <f t="shared" si="377"/>
        <v>61.900000000000006</v>
      </c>
      <c r="O1305" s="343">
        <f t="shared" si="378"/>
        <v>61.81</v>
      </c>
      <c r="P1305" s="195" t="s">
        <v>5554</v>
      </c>
      <c r="Q1305" s="326" t="str">
        <f>IFERROR(VLOOKUP($G1305,主力整理!$A$2:$G$2301,6,0),"0")</f>
        <v>0</v>
      </c>
      <c r="T1305" s="339">
        <f t="shared" si="379"/>
        <v>0</v>
      </c>
      <c r="V1305" s="371">
        <v>21.91</v>
      </c>
      <c r="W1305" s="35">
        <v>0</v>
      </c>
      <c r="X1305" s="100">
        <v>-0.17</v>
      </c>
      <c r="Y1305" s="14" t="str">
        <f>RTD("money.excel",,"1435","Price")</f>
        <v>無資料</v>
      </c>
      <c r="Z1305" s="69"/>
      <c r="AA1305" s="16" t="e">
        <f t="shared" si="380"/>
        <v>#VALUE!</v>
      </c>
      <c r="AB1305" s="3" t="e">
        <f t="shared" si="381"/>
        <v>#VALUE!</v>
      </c>
      <c r="AD1305" s="23" t="s">
        <v>1220</v>
      </c>
      <c r="AG1305" s="34">
        <f t="shared" si="382"/>
        <v>0</v>
      </c>
      <c r="AH1305" s="44" t="s">
        <v>4411</v>
      </c>
      <c r="AI1305" s="284"/>
      <c r="AK1305" s="66">
        <f t="shared" ref="AK1305:AK1368" si="385">AM1305/(A1305*10000)</f>
        <v>0</v>
      </c>
      <c r="AL1305" s="174">
        <f t="shared" ref="AL1305:AL1368" si="386">AN1305/(A1305*10000)</f>
        <v>0</v>
      </c>
      <c r="AM1305" s="346">
        <f>RTD("money.excel",,$G1305,"PredictVolume")</f>
        <v>0</v>
      </c>
      <c r="AN1305" s="272">
        <f>RTD("money.excel",,$G1305,"CumulativeVolume")</f>
        <v>0</v>
      </c>
      <c r="AO1305" s="284"/>
    </row>
    <row r="1306" spans="1:41">
      <c r="A1306" s="135" t="s">
        <v>4829</v>
      </c>
      <c r="B1306" s="96">
        <v>-71</v>
      </c>
      <c r="C1306" s="96">
        <v>12</v>
      </c>
      <c r="D1306" s="96">
        <v>87</v>
      </c>
      <c r="E1306" s="96">
        <v>-4</v>
      </c>
      <c r="F1306" s="59">
        <v>60.31</v>
      </c>
      <c r="G1306" s="85">
        <v>1437</v>
      </c>
      <c r="H1306" s="4" t="s">
        <v>429</v>
      </c>
      <c r="I1306" s="23" t="s">
        <v>1221</v>
      </c>
      <c r="J1306" s="77">
        <v>68.239999999999995</v>
      </c>
      <c r="K1306" s="77">
        <v>6.74</v>
      </c>
      <c r="L1306" s="77">
        <v>2.13</v>
      </c>
      <c r="N1306" s="365">
        <f t="shared" si="377"/>
        <v>77.109999999999985</v>
      </c>
      <c r="O1306" s="343">
        <f t="shared" si="378"/>
        <v>68.239999999999995</v>
      </c>
      <c r="P1306" s="195" t="s">
        <v>5554</v>
      </c>
      <c r="Q1306" s="326" t="str">
        <f>IFERROR(VLOOKUP($G1306,主力整理!$A$2:$G$2301,6,0),"0")</f>
        <v>0</v>
      </c>
      <c r="T1306" s="339">
        <f t="shared" si="379"/>
        <v>0</v>
      </c>
      <c r="V1306" s="371">
        <v>8.83</v>
      </c>
      <c r="W1306" s="35">
        <v>0.7</v>
      </c>
      <c r="X1306" s="100">
        <v>1.76</v>
      </c>
      <c r="Y1306" s="14" t="str">
        <f>RTD("money.excel",,"1437","Price")</f>
        <v>無資料</v>
      </c>
      <c r="Z1306" s="69"/>
      <c r="AA1306" s="16" t="e">
        <f t="shared" si="380"/>
        <v>#VALUE!</v>
      </c>
      <c r="AB1306" s="3" t="e">
        <f t="shared" si="381"/>
        <v>#VALUE!</v>
      </c>
      <c r="AD1306" s="23" t="s">
        <v>1221</v>
      </c>
      <c r="AG1306" s="34">
        <f t="shared" si="382"/>
        <v>0</v>
      </c>
      <c r="AH1306" s="63" t="s">
        <v>4412</v>
      </c>
      <c r="AI1306" s="131"/>
      <c r="AK1306" s="66">
        <f t="shared" si="385"/>
        <v>0</v>
      </c>
      <c r="AL1306" s="174">
        <f t="shared" si="386"/>
        <v>0</v>
      </c>
      <c r="AM1306" s="346">
        <f>RTD("money.excel",,$G1306,"PredictVolume")</f>
        <v>0</v>
      </c>
      <c r="AN1306" s="272">
        <f>RTD("money.excel",,$G1306,"CumulativeVolume")</f>
        <v>0</v>
      </c>
      <c r="AO1306" s="284"/>
    </row>
    <row r="1307" spans="1:41">
      <c r="A1307" s="151" t="s">
        <v>2415</v>
      </c>
      <c r="B1307" s="96">
        <v>174</v>
      </c>
      <c r="C1307" s="96">
        <v>156</v>
      </c>
      <c r="D1307" s="96">
        <v>12</v>
      </c>
      <c r="E1307" s="96">
        <v>-15</v>
      </c>
      <c r="F1307" s="7">
        <v>2.0099999999999998</v>
      </c>
      <c r="G1307" s="85">
        <v>1516</v>
      </c>
      <c r="H1307" s="4" t="s">
        <v>429</v>
      </c>
      <c r="I1307" s="23" t="s">
        <v>1222</v>
      </c>
      <c r="J1307" s="77">
        <v>59.12</v>
      </c>
      <c r="K1307" s="77">
        <v>0.1</v>
      </c>
      <c r="L1307" s="77">
        <v>32.32</v>
      </c>
      <c r="N1307" s="365">
        <f t="shared" si="377"/>
        <v>91.539999999999992</v>
      </c>
      <c r="O1307" s="343">
        <f t="shared" si="378"/>
        <v>59.12</v>
      </c>
      <c r="P1307" s="195" t="s">
        <v>5554</v>
      </c>
      <c r="Q1307" s="326" t="str">
        <f>IFERROR(VLOOKUP($G1307,主力整理!$A$2:$G$2301,6,0),"0")</f>
        <v>0</v>
      </c>
      <c r="T1307" s="339">
        <f t="shared" si="379"/>
        <v>0</v>
      </c>
      <c r="V1307" s="371">
        <v>32.24</v>
      </c>
      <c r="W1307" s="35">
        <v>0.75</v>
      </c>
      <c r="X1307" s="100">
        <v>0.85</v>
      </c>
      <c r="Y1307" s="14" t="str">
        <f>RTD("money.excel",,"1516","Price")</f>
        <v>無資料</v>
      </c>
      <c r="Z1307" s="69"/>
      <c r="AA1307" s="16" t="e">
        <f t="shared" si="380"/>
        <v>#VALUE!</v>
      </c>
      <c r="AB1307" s="3" t="e">
        <f t="shared" si="381"/>
        <v>#VALUE!</v>
      </c>
      <c r="AD1307" s="23" t="s">
        <v>1222</v>
      </c>
      <c r="AG1307" s="34">
        <f t="shared" si="382"/>
        <v>0</v>
      </c>
      <c r="AH1307" s="44" t="s">
        <v>4413</v>
      </c>
      <c r="AI1307" s="131"/>
      <c r="AK1307" s="66">
        <f t="shared" si="385"/>
        <v>0</v>
      </c>
      <c r="AL1307" s="174">
        <f t="shared" si="386"/>
        <v>0</v>
      </c>
      <c r="AM1307" s="346">
        <f>RTD("money.excel",,$G1307,"PredictVolume")</f>
        <v>0</v>
      </c>
      <c r="AN1307" s="272">
        <f>RTD("money.excel",,$G1307,"CumulativeVolume")</f>
        <v>0</v>
      </c>
      <c r="AO1307" s="284"/>
    </row>
    <row r="1308" spans="1:41">
      <c r="A1308" s="151" t="s">
        <v>2455</v>
      </c>
      <c r="B1308" s="96">
        <v>179</v>
      </c>
      <c r="C1308" s="96">
        <v>99</v>
      </c>
      <c r="D1308" s="96">
        <v>-6</v>
      </c>
      <c r="E1308" s="96">
        <v>-15</v>
      </c>
      <c r="F1308" s="7">
        <v>-0.05</v>
      </c>
      <c r="G1308" s="85">
        <v>1584</v>
      </c>
      <c r="H1308" s="4" t="s">
        <v>429</v>
      </c>
      <c r="I1308" s="17" t="s">
        <v>1186</v>
      </c>
      <c r="J1308" s="77">
        <v>44.66</v>
      </c>
      <c r="K1308" s="77">
        <v>0.03</v>
      </c>
      <c r="L1308" s="77">
        <v>11.05</v>
      </c>
      <c r="N1308" s="365">
        <f t="shared" si="377"/>
        <v>55.739999999999995</v>
      </c>
      <c r="O1308" s="343">
        <f t="shared" si="378"/>
        <v>44.66</v>
      </c>
      <c r="P1308" s="195">
        <v>1</v>
      </c>
      <c r="Q1308" s="326">
        <f>IFERROR(VLOOKUP($G1308,主力整理!$A$2:$G$2301,6,0),"0")</f>
        <v>2</v>
      </c>
      <c r="T1308" s="339">
        <f t="shared" si="379"/>
        <v>3</v>
      </c>
      <c r="V1308" s="371">
        <v>29.72</v>
      </c>
      <c r="W1308" s="35">
        <v>0</v>
      </c>
      <c r="X1308" s="100">
        <v>0.41</v>
      </c>
      <c r="Y1308" s="37" t="str">
        <f>RTD("money.excel",,"1584","Price")</f>
        <v>無資料</v>
      </c>
      <c r="Z1308" s="69"/>
      <c r="AA1308" s="16" t="e">
        <f t="shared" si="380"/>
        <v>#VALUE!</v>
      </c>
      <c r="AB1308" s="3" t="e">
        <f t="shared" si="381"/>
        <v>#VALUE!</v>
      </c>
      <c r="AC1308" s="177" t="s">
        <v>2648</v>
      </c>
      <c r="AD1308" s="17" t="s">
        <v>1186</v>
      </c>
      <c r="AG1308" s="34">
        <f t="shared" si="382"/>
        <v>0</v>
      </c>
      <c r="AH1308" s="44" t="s">
        <v>3915</v>
      </c>
      <c r="AI1308" s="131"/>
      <c r="AK1308" s="66">
        <f t="shared" si="385"/>
        <v>0</v>
      </c>
      <c r="AL1308" s="174">
        <f t="shared" si="386"/>
        <v>0</v>
      </c>
      <c r="AM1308" s="346">
        <f>RTD("money.excel",,$G1308,"PredictVolume")</f>
        <v>0</v>
      </c>
      <c r="AN1308" s="272">
        <f>RTD("money.excel",,$G1308,"CumulativeVolume")</f>
        <v>0</v>
      </c>
      <c r="AO1308" s="284"/>
    </row>
    <row r="1309" spans="1:41">
      <c r="A1309" s="151" t="s">
        <v>3115</v>
      </c>
      <c r="B1309" s="84">
        <v>181</v>
      </c>
      <c r="C1309" s="84">
        <v>200</v>
      </c>
      <c r="D1309" s="84">
        <v>17</v>
      </c>
      <c r="E1309" s="84">
        <v>47</v>
      </c>
      <c r="F1309" s="7">
        <v>4.3</v>
      </c>
      <c r="G1309" s="85">
        <v>2062</v>
      </c>
      <c r="H1309" s="4" t="s">
        <v>429</v>
      </c>
      <c r="I1309" s="23" t="s">
        <v>1223</v>
      </c>
      <c r="J1309" s="371">
        <v>59.11</v>
      </c>
      <c r="K1309" s="371">
        <v>10.35</v>
      </c>
      <c r="L1309" s="77">
        <v>7.13</v>
      </c>
      <c r="N1309" s="365">
        <f t="shared" si="377"/>
        <v>76.589999999999989</v>
      </c>
      <c r="O1309" s="343">
        <f t="shared" si="378"/>
        <v>59.11</v>
      </c>
      <c r="P1309" s="232">
        <v>0</v>
      </c>
      <c r="Q1309" s="326">
        <f>IFERROR(VLOOKUP($G1309,主力整理!$A$2:$G$2301,6,0),"0")</f>
        <v>1</v>
      </c>
      <c r="R1309" s="111">
        <v>8</v>
      </c>
      <c r="S1309" s="51">
        <v>1</v>
      </c>
      <c r="T1309" s="339">
        <f t="shared" si="379"/>
        <v>10</v>
      </c>
      <c r="V1309" s="371">
        <v>9.09</v>
      </c>
      <c r="W1309" s="35">
        <v>0.1</v>
      </c>
      <c r="X1309" s="59">
        <v>1.73</v>
      </c>
      <c r="Y1309" s="37" t="str">
        <f>RTD("money.excel",,"2062","Price")</f>
        <v>無資料</v>
      </c>
      <c r="Z1309" s="69"/>
      <c r="AA1309" s="16" t="e">
        <f t="shared" si="380"/>
        <v>#VALUE!</v>
      </c>
      <c r="AB1309" s="3" t="e">
        <f t="shared" si="381"/>
        <v>#VALUE!</v>
      </c>
      <c r="AD1309" s="23" t="s">
        <v>1223</v>
      </c>
      <c r="AG1309" s="34">
        <f t="shared" si="382"/>
        <v>0</v>
      </c>
      <c r="AH1309" s="44" t="s">
        <v>4414</v>
      </c>
      <c r="AI1309" s="131"/>
      <c r="AK1309" s="66">
        <f t="shared" si="385"/>
        <v>0</v>
      </c>
      <c r="AL1309" s="174">
        <f t="shared" si="386"/>
        <v>0</v>
      </c>
      <c r="AM1309" s="346">
        <f>RTD("money.excel",,$G1309,"PredictVolume")</f>
        <v>0</v>
      </c>
      <c r="AN1309" s="272">
        <f>RTD("money.excel",,$G1309,"CumulativeVolume")</f>
        <v>0</v>
      </c>
      <c r="AO1309" s="284"/>
    </row>
    <row r="1310" spans="1:41">
      <c r="A1310" s="151" t="s">
        <v>3049</v>
      </c>
      <c r="B1310" s="96">
        <v>-42</v>
      </c>
      <c r="C1310" s="96">
        <v>-38</v>
      </c>
      <c r="D1310" s="96">
        <v>224</v>
      </c>
      <c r="E1310" s="96">
        <v>-1</v>
      </c>
      <c r="F1310" s="7">
        <v>9.0299999999999994</v>
      </c>
      <c r="G1310" s="85">
        <v>2221</v>
      </c>
      <c r="H1310" s="4" t="s">
        <v>429</v>
      </c>
      <c r="I1310" s="17" t="s">
        <v>1008</v>
      </c>
      <c r="J1310" s="77">
        <v>65.41</v>
      </c>
      <c r="K1310" s="371">
        <v>0.53</v>
      </c>
      <c r="L1310" s="77">
        <v>13.65</v>
      </c>
      <c r="N1310" s="365">
        <f t="shared" si="377"/>
        <v>79.59</v>
      </c>
      <c r="O1310" s="343">
        <f t="shared" si="378"/>
        <v>65.41</v>
      </c>
      <c r="P1310" s="195" t="s">
        <v>5554</v>
      </c>
      <c r="Q1310" s="326">
        <f>IFERROR(VLOOKUP($G1310,主力整理!$A$2:$G$2301,6,0),"0")</f>
        <v>3</v>
      </c>
      <c r="T1310" s="339">
        <f t="shared" si="379"/>
        <v>3</v>
      </c>
      <c r="V1310" s="371">
        <v>56.72</v>
      </c>
      <c r="W1310" s="35">
        <v>1</v>
      </c>
      <c r="X1310" s="100">
        <v>1.5</v>
      </c>
      <c r="Y1310" s="14" t="str">
        <f>RTD("money.excel",,"2221","Price")</f>
        <v>無資料</v>
      </c>
      <c r="Z1310" s="69"/>
      <c r="AA1310" s="16" t="e">
        <f t="shared" si="380"/>
        <v>#VALUE!</v>
      </c>
      <c r="AB1310" s="3" t="e">
        <f t="shared" si="381"/>
        <v>#VALUE!</v>
      </c>
      <c r="AD1310" s="17" t="s">
        <v>1008</v>
      </c>
      <c r="AG1310" s="34">
        <f t="shared" si="382"/>
        <v>0</v>
      </c>
      <c r="AH1310" s="44" t="s">
        <v>3914</v>
      </c>
      <c r="AI1310" s="131"/>
      <c r="AK1310" s="66">
        <f t="shared" si="385"/>
        <v>0</v>
      </c>
      <c r="AL1310" s="174">
        <f t="shared" si="386"/>
        <v>0</v>
      </c>
      <c r="AM1310" s="346">
        <f>RTD("money.excel",,$G1310,"PredictVolume")</f>
        <v>0</v>
      </c>
      <c r="AN1310" s="272">
        <f>RTD("money.excel",,$G1310,"CumulativeVolume")</f>
        <v>0</v>
      </c>
      <c r="AO1310" s="284"/>
    </row>
    <row r="1311" spans="1:41">
      <c r="A1311" s="135" t="s">
        <v>2631</v>
      </c>
      <c r="B1311" s="84">
        <v>38</v>
      </c>
      <c r="C1311" s="84">
        <v>53</v>
      </c>
      <c r="D1311" s="84">
        <v>71</v>
      </c>
      <c r="E1311" s="84">
        <v>146</v>
      </c>
      <c r="F1311" s="59">
        <v>44.29</v>
      </c>
      <c r="G1311" s="85">
        <v>2348</v>
      </c>
      <c r="H1311" s="4" t="s">
        <v>429</v>
      </c>
      <c r="I1311" s="23" t="s">
        <v>1224</v>
      </c>
      <c r="J1311" s="77">
        <v>73.63</v>
      </c>
      <c r="K1311" s="371">
        <v>2.58</v>
      </c>
      <c r="L1311" s="371">
        <v>7.04</v>
      </c>
      <c r="M1311" s="371">
        <v>54.11</v>
      </c>
      <c r="N1311" s="77">
        <f t="shared" si="377"/>
        <v>137.36000000000001</v>
      </c>
      <c r="O1311" s="369">
        <f t="shared" si="378"/>
        <v>127.74</v>
      </c>
      <c r="P1311" s="195">
        <v>7</v>
      </c>
      <c r="Q1311" s="326">
        <v>4</v>
      </c>
      <c r="R1311" s="111">
        <v>7</v>
      </c>
      <c r="S1311" s="51">
        <v>15</v>
      </c>
      <c r="T1311" s="339">
        <f t="shared" si="379"/>
        <v>33</v>
      </c>
      <c r="U1311" s="329" t="s">
        <v>6539</v>
      </c>
      <c r="V1311" s="371">
        <v>0.64</v>
      </c>
      <c r="W1311" s="69">
        <v>8</v>
      </c>
      <c r="X1311" s="59">
        <v>16.97</v>
      </c>
      <c r="Y1311" s="37" t="str">
        <f>RTD("money.excel",,"2348","Price")</f>
        <v>無資料</v>
      </c>
      <c r="Z1311" s="69"/>
      <c r="AA1311" s="16" t="e">
        <f t="shared" si="380"/>
        <v>#VALUE!</v>
      </c>
      <c r="AB1311" s="3" t="e">
        <f t="shared" si="381"/>
        <v>#VALUE!</v>
      </c>
      <c r="AC1311" s="177" t="s">
        <v>2929</v>
      </c>
      <c r="AD1311" s="23" t="s">
        <v>1224</v>
      </c>
      <c r="AG1311" s="34">
        <f t="shared" si="382"/>
        <v>0</v>
      </c>
      <c r="AH1311" s="63" t="s">
        <v>3785</v>
      </c>
      <c r="AI1311" s="131"/>
      <c r="AK1311" s="66">
        <f t="shared" si="385"/>
        <v>0</v>
      </c>
      <c r="AL1311" s="174">
        <f t="shared" si="386"/>
        <v>0</v>
      </c>
      <c r="AM1311" s="346">
        <f>RTD("money.excel",,$G1311,"PredictVolume")</f>
        <v>0</v>
      </c>
      <c r="AN1311" s="272">
        <f>RTD("money.excel",,$G1311,"CumulativeVolume")</f>
        <v>0</v>
      </c>
      <c r="AO1311" s="284"/>
    </row>
    <row r="1312" spans="1:41">
      <c r="A1312" s="151" t="s">
        <v>2523</v>
      </c>
      <c r="B1312" s="85">
        <v>-194</v>
      </c>
      <c r="C1312" s="85">
        <v>-48</v>
      </c>
      <c r="D1312" s="85">
        <v>-1</v>
      </c>
      <c r="E1312" s="85">
        <v>-3</v>
      </c>
      <c r="F1312" s="7">
        <v>1.82</v>
      </c>
      <c r="G1312" s="85">
        <v>2358</v>
      </c>
      <c r="H1312" s="4" t="s">
        <v>429</v>
      </c>
      <c r="I1312" s="23" t="s">
        <v>1225</v>
      </c>
      <c r="J1312" s="77">
        <v>35.56</v>
      </c>
      <c r="K1312" s="371">
        <v>0.79</v>
      </c>
      <c r="L1312" s="77">
        <v>24.74</v>
      </c>
      <c r="N1312" s="365">
        <f t="shared" si="377"/>
        <v>61.09</v>
      </c>
      <c r="O1312" s="343">
        <f t="shared" si="378"/>
        <v>35.56</v>
      </c>
      <c r="P1312" s="195" t="s">
        <v>5554</v>
      </c>
      <c r="Q1312" s="326">
        <f>IFERROR(VLOOKUP($G1312,主力整理!$A$2:$G$2301,6,0),"0")</f>
        <v>1</v>
      </c>
      <c r="T1312" s="339">
        <f t="shared" si="379"/>
        <v>1</v>
      </c>
      <c r="V1312" s="371">
        <v>0.38</v>
      </c>
      <c r="W1312" s="35">
        <v>0.1</v>
      </c>
      <c r="X1312" s="100">
        <v>0.04</v>
      </c>
      <c r="Y1312" s="37" t="str">
        <f>RTD("money.excel",,"2358","Price")</f>
        <v>無資料</v>
      </c>
      <c r="Z1312" s="69"/>
      <c r="AA1312" s="16" t="e">
        <f t="shared" si="380"/>
        <v>#VALUE!</v>
      </c>
      <c r="AB1312" s="3" t="e">
        <f t="shared" si="381"/>
        <v>#VALUE!</v>
      </c>
      <c r="AC1312" s="177" t="s">
        <v>2648</v>
      </c>
      <c r="AD1312" s="23" t="s">
        <v>1225</v>
      </c>
      <c r="AG1312" s="34">
        <f t="shared" si="382"/>
        <v>0</v>
      </c>
      <c r="AH1312" s="44" t="s">
        <v>4415</v>
      </c>
      <c r="AI1312" s="131"/>
      <c r="AK1312" s="66">
        <f t="shared" si="385"/>
        <v>0</v>
      </c>
      <c r="AL1312" s="174">
        <f t="shared" si="386"/>
        <v>0</v>
      </c>
      <c r="AM1312" s="346">
        <f>RTD("money.excel",,$G1312,"PredictVolume")</f>
        <v>0</v>
      </c>
      <c r="AN1312" s="272">
        <f>RTD("money.excel",,$G1312,"CumulativeVolume")</f>
        <v>0</v>
      </c>
      <c r="AO1312" s="284"/>
    </row>
    <row r="1313" spans="1:41">
      <c r="A1313" s="151" t="s">
        <v>2548</v>
      </c>
      <c r="B1313" s="96">
        <v>-34</v>
      </c>
      <c r="C1313" s="96">
        <v>8</v>
      </c>
      <c r="D1313" s="96">
        <v>-20</v>
      </c>
      <c r="E1313" s="96">
        <v>73</v>
      </c>
      <c r="F1313" s="7">
        <v>-66.930000000000007</v>
      </c>
      <c r="G1313" s="85">
        <v>2443</v>
      </c>
      <c r="H1313" s="4" t="s">
        <v>429</v>
      </c>
      <c r="I1313" s="23" t="s">
        <v>5136</v>
      </c>
      <c r="J1313" s="77">
        <v>51.97</v>
      </c>
      <c r="K1313" s="77">
        <v>0.14000000000000001</v>
      </c>
      <c r="L1313" s="77">
        <v>0</v>
      </c>
      <c r="N1313" s="365">
        <f t="shared" si="377"/>
        <v>52.11</v>
      </c>
      <c r="O1313" s="343">
        <f t="shared" si="378"/>
        <v>51.97</v>
      </c>
      <c r="P1313" s="195" t="s">
        <v>5554</v>
      </c>
      <c r="Q1313" s="326" t="str">
        <f>IFERROR(VLOOKUP($G1313,主力整理!$A$2:$G$2301,6,0),"0")</f>
        <v>0</v>
      </c>
      <c r="T1313" s="339">
        <f t="shared" si="379"/>
        <v>0</v>
      </c>
      <c r="V1313" s="371">
        <v>8.59</v>
      </c>
      <c r="W1313" s="35">
        <v>0</v>
      </c>
      <c r="X1313" s="100">
        <v>-3.09</v>
      </c>
      <c r="Y1313" s="14" t="str">
        <f>RTD("money.excel",,"2443","Price")</f>
        <v>無資料</v>
      </c>
      <c r="Z1313" s="69"/>
      <c r="AA1313" s="16" t="e">
        <f t="shared" si="380"/>
        <v>#VALUE!</v>
      </c>
      <c r="AB1313" s="3" t="e">
        <f t="shared" si="381"/>
        <v>#VALUE!</v>
      </c>
      <c r="AD1313" s="23" t="s">
        <v>5136</v>
      </c>
      <c r="AG1313" s="34">
        <f t="shared" si="382"/>
        <v>0</v>
      </c>
      <c r="AH1313" s="44" t="s">
        <v>4416</v>
      </c>
      <c r="AI1313" s="131"/>
      <c r="AK1313" s="66">
        <f t="shared" si="385"/>
        <v>0</v>
      </c>
      <c r="AL1313" s="174">
        <f t="shared" si="386"/>
        <v>0</v>
      </c>
      <c r="AM1313" s="346">
        <f>RTD("money.excel",,$G1313,"PredictVolume")</f>
        <v>0</v>
      </c>
      <c r="AN1313" s="272">
        <f>RTD("money.excel",,$G1313,"CumulativeVolume")</f>
        <v>0</v>
      </c>
      <c r="AO1313" s="284"/>
    </row>
    <row r="1314" spans="1:41">
      <c r="A1314" s="135" t="s">
        <v>2605</v>
      </c>
      <c r="B1314" s="96">
        <v>-46</v>
      </c>
      <c r="C1314" s="96">
        <v>-53</v>
      </c>
      <c r="D1314" s="96">
        <v>-10</v>
      </c>
      <c r="E1314" s="96">
        <v>-6</v>
      </c>
      <c r="F1314" s="7">
        <v>8.02</v>
      </c>
      <c r="G1314" s="85">
        <v>2496</v>
      </c>
      <c r="H1314" s="4" t="s">
        <v>429</v>
      </c>
      <c r="I1314" s="23" t="s">
        <v>993</v>
      </c>
      <c r="J1314" s="371">
        <v>66.55</v>
      </c>
      <c r="K1314" s="77">
        <v>58.36</v>
      </c>
      <c r="L1314" s="371">
        <v>14.59</v>
      </c>
      <c r="N1314" s="365">
        <f t="shared" si="377"/>
        <v>139.5</v>
      </c>
      <c r="O1314" s="343">
        <f t="shared" si="378"/>
        <v>66.55</v>
      </c>
      <c r="P1314" s="195" t="s">
        <v>5554</v>
      </c>
      <c r="Q1314" s="326" t="str">
        <f>IFERROR(VLOOKUP($G1314,主力整理!$A$2:$G$2301,6,0),"0")</f>
        <v>0</v>
      </c>
      <c r="T1314" s="339">
        <f t="shared" si="379"/>
        <v>0</v>
      </c>
      <c r="V1314" s="371">
        <v>19.96</v>
      </c>
      <c r="W1314" s="69">
        <v>4.5</v>
      </c>
      <c r="X1314" s="100">
        <v>3.37</v>
      </c>
      <c r="Y1314" s="14" t="str">
        <f>RTD("money.excel",,"2496","Price")</f>
        <v>無資料</v>
      </c>
      <c r="Z1314" s="69"/>
      <c r="AA1314" s="16" t="e">
        <f t="shared" si="380"/>
        <v>#VALUE!</v>
      </c>
      <c r="AB1314" s="3" t="e">
        <f t="shared" si="381"/>
        <v>#VALUE!</v>
      </c>
      <c r="AC1314" s="177" t="s">
        <v>2700</v>
      </c>
      <c r="AD1314" s="23" t="s">
        <v>993</v>
      </c>
      <c r="AG1314" s="34">
        <f t="shared" si="382"/>
        <v>0</v>
      </c>
      <c r="AH1314" s="44" t="s">
        <v>4417</v>
      </c>
      <c r="AI1314" s="131"/>
      <c r="AK1314" s="66">
        <f t="shared" si="385"/>
        <v>0</v>
      </c>
      <c r="AL1314" s="174">
        <f t="shared" si="386"/>
        <v>0</v>
      </c>
      <c r="AM1314" s="346">
        <f>RTD("money.excel",,$G1314,"PredictVolume")</f>
        <v>0</v>
      </c>
      <c r="AN1314" s="272">
        <f>RTD("money.excel",,$G1314,"CumulativeVolume")</f>
        <v>0</v>
      </c>
      <c r="AO1314" s="284"/>
    </row>
    <row r="1315" spans="1:41">
      <c r="A1315" s="151" t="s">
        <v>4830</v>
      </c>
      <c r="B1315" s="84">
        <v>-138</v>
      </c>
      <c r="C1315" s="84">
        <v>457</v>
      </c>
      <c r="D1315" s="96">
        <v>-59</v>
      </c>
      <c r="E1315" s="84">
        <v>75</v>
      </c>
      <c r="F1315" s="7">
        <v>3.43</v>
      </c>
      <c r="G1315" s="85">
        <v>2514</v>
      </c>
      <c r="H1315" s="4" t="s">
        <v>429</v>
      </c>
      <c r="I1315" s="23" t="s">
        <v>1227</v>
      </c>
      <c r="J1315" s="371">
        <v>91.4</v>
      </c>
      <c r="K1315" s="371">
        <v>7.24</v>
      </c>
      <c r="L1315" s="371">
        <v>13.56</v>
      </c>
      <c r="N1315" s="365">
        <f t="shared" si="377"/>
        <v>112.2</v>
      </c>
      <c r="O1315" s="343">
        <f t="shared" si="378"/>
        <v>91.4</v>
      </c>
      <c r="P1315" s="195" t="s">
        <v>5554</v>
      </c>
      <c r="Q1315" s="326" t="str">
        <f>IFERROR(VLOOKUP($G1315,主力整理!$A$2:$G$2301,6,0),"0")</f>
        <v>0</v>
      </c>
      <c r="T1315" s="339">
        <f t="shared" si="379"/>
        <v>0</v>
      </c>
      <c r="V1315" s="371">
        <v>22.44</v>
      </c>
      <c r="W1315" s="35">
        <v>0</v>
      </c>
      <c r="X1315" s="100">
        <v>3.05</v>
      </c>
      <c r="Y1315" s="37" t="str">
        <f>RTD("money.excel",,"2514","Price")</f>
        <v>無資料</v>
      </c>
      <c r="Z1315" s="69"/>
      <c r="AA1315" s="16" t="e">
        <f t="shared" si="380"/>
        <v>#VALUE!</v>
      </c>
      <c r="AB1315" s="3" t="e">
        <f t="shared" si="381"/>
        <v>#VALUE!</v>
      </c>
      <c r="AC1315" s="177" t="s">
        <v>2648</v>
      </c>
      <c r="AD1315" s="23" t="s">
        <v>1227</v>
      </c>
      <c r="AG1315" s="34">
        <f t="shared" si="382"/>
        <v>0</v>
      </c>
      <c r="AH1315" s="44" t="s">
        <v>1485</v>
      </c>
      <c r="AI1315" s="284"/>
      <c r="AK1315" s="66">
        <f t="shared" si="385"/>
        <v>0</v>
      </c>
      <c r="AL1315" s="174">
        <f t="shared" si="386"/>
        <v>0</v>
      </c>
      <c r="AM1315" s="346">
        <f>RTD("money.excel",,$G1315,"PredictVolume")</f>
        <v>0</v>
      </c>
      <c r="AN1315" s="272">
        <f>RTD("money.excel",,$G1315,"CumulativeVolume")</f>
        <v>0</v>
      </c>
      <c r="AO1315" s="284"/>
    </row>
    <row r="1316" spans="1:41">
      <c r="A1316" s="135" t="s">
        <v>2860</v>
      </c>
      <c r="B1316" s="85">
        <v>-30</v>
      </c>
      <c r="C1316" s="85">
        <v>-34</v>
      </c>
      <c r="D1316" s="84">
        <v>7</v>
      </c>
      <c r="E1316" s="84">
        <v>16</v>
      </c>
      <c r="F1316" s="59">
        <v>13.78</v>
      </c>
      <c r="G1316" s="85">
        <v>2640</v>
      </c>
      <c r="H1316" s="4" t="s">
        <v>429</v>
      </c>
      <c r="I1316" s="17" t="s">
        <v>265</v>
      </c>
      <c r="J1316" s="371">
        <v>58.16</v>
      </c>
      <c r="K1316" s="77">
        <v>4.04</v>
      </c>
      <c r="L1316" s="371">
        <v>10.7</v>
      </c>
      <c r="M1316" s="77">
        <v>30.18</v>
      </c>
      <c r="N1316" s="365">
        <f t="shared" si="377"/>
        <v>103.07999999999998</v>
      </c>
      <c r="O1316" s="343">
        <f t="shared" si="378"/>
        <v>88.34</v>
      </c>
      <c r="P1316" s="195">
        <v>0</v>
      </c>
      <c r="Q1316" s="326">
        <v>0</v>
      </c>
      <c r="R1316" s="111">
        <v>0</v>
      </c>
      <c r="S1316" s="51">
        <v>0</v>
      </c>
      <c r="T1316" s="339">
        <f t="shared" si="379"/>
        <v>0</v>
      </c>
      <c r="U1316" s="329" t="s">
        <v>6539</v>
      </c>
      <c r="V1316" s="371">
        <v>0</v>
      </c>
      <c r="W1316" s="69">
        <v>4.4000000000000004</v>
      </c>
      <c r="X1316" s="59">
        <v>4.0199999999999996</v>
      </c>
      <c r="Y1316" s="14" t="str">
        <f>RTD("money.excel",,"2640","Price")</f>
        <v>無資料</v>
      </c>
      <c r="Z1316" s="69"/>
      <c r="AA1316" s="16" t="e">
        <f t="shared" si="380"/>
        <v>#VALUE!</v>
      </c>
      <c r="AB1316" s="3" t="e">
        <f t="shared" si="381"/>
        <v>#VALUE!</v>
      </c>
      <c r="AC1316" s="177" t="s">
        <v>2700</v>
      </c>
      <c r="AD1316" s="17" t="s">
        <v>265</v>
      </c>
      <c r="AG1316" s="34">
        <f t="shared" si="382"/>
        <v>0</v>
      </c>
      <c r="AH1316" s="126" t="s">
        <v>3912</v>
      </c>
      <c r="AI1316" s="131"/>
      <c r="AK1316" s="66">
        <f t="shared" si="385"/>
        <v>0</v>
      </c>
      <c r="AL1316" s="174">
        <f t="shared" si="386"/>
        <v>0</v>
      </c>
      <c r="AM1316" s="346">
        <f>RTD("money.excel",,$G1316,"PredictVolume")</f>
        <v>0</v>
      </c>
      <c r="AN1316" s="272">
        <f>RTD("money.excel",,$G1316,"CumulativeVolume")</f>
        <v>0</v>
      </c>
      <c r="AO1316" s="284"/>
    </row>
    <row r="1317" spans="1:41">
      <c r="A1317" s="135" t="s">
        <v>4831</v>
      </c>
      <c r="B1317" s="96">
        <v>21</v>
      </c>
      <c r="C1317" s="96">
        <v>3</v>
      </c>
      <c r="D1317" s="96">
        <v>-17</v>
      </c>
      <c r="E1317" s="96">
        <v>4</v>
      </c>
      <c r="F1317" s="59">
        <v>30.23</v>
      </c>
      <c r="G1317" s="85">
        <v>2904</v>
      </c>
      <c r="H1317" s="4" t="s">
        <v>429</v>
      </c>
      <c r="I1317" s="23" t="s">
        <v>1228</v>
      </c>
      <c r="J1317" s="77">
        <v>50.83</v>
      </c>
      <c r="K1317" s="77">
        <v>0.11</v>
      </c>
      <c r="L1317" s="77">
        <v>0.34</v>
      </c>
      <c r="N1317" s="365">
        <f t="shared" si="377"/>
        <v>51.28</v>
      </c>
      <c r="O1317" s="343">
        <f t="shared" si="378"/>
        <v>50.83</v>
      </c>
      <c r="P1317" s="195" t="s">
        <v>5554</v>
      </c>
      <c r="Q1317" s="326" t="str">
        <f>IFERROR(VLOOKUP($G1317,主力整理!$A$2:$G$2301,6,0),"0")</f>
        <v>0</v>
      </c>
      <c r="T1317" s="339">
        <f t="shared" si="379"/>
        <v>0</v>
      </c>
      <c r="V1317" s="371">
        <v>42.59</v>
      </c>
      <c r="W1317" s="35">
        <v>2</v>
      </c>
      <c r="X1317" s="100">
        <v>2.31</v>
      </c>
      <c r="Y1317" s="14" t="str">
        <f>RTD("money.excel",,"2904","Price")</f>
        <v>無資料</v>
      </c>
      <c r="Z1317" s="69"/>
      <c r="AA1317" s="16" t="e">
        <f t="shared" si="380"/>
        <v>#VALUE!</v>
      </c>
      <c r="AB1317" s="3" t="e">
        <f t="shared" si="381"/>
        <v>#VALUE!</v>
      </c>
      <c r="AD1317" s="23" t="s">
        <v>1228</v>
      </c>
      <c r="AG1317" s="34">
        <f t="shared" si="382"/>
        <v>0</v>
      </c>
      <c r="AH1317" s="63" t="s">
        <v>4418</v>
      </c>
      <c r="AI1317" s="131"/>
      <c r="AK1317" s="66">
        <f t="shared" si="385"/>
        <v>0</v>
      </c>
      <c r="AL1317" s="174">
        <f t="shared" si="386"/>
        <v>0</v>
      </c>
      <c r="AM1317" s="346">
        <f>RTD("money.excel",,$G1317,"PredictVolume")</f>
        <v>0</v>
      </c>
      <c r="AN1317" s="272">
        <f>RTD("money.excel",,$G1317,"CumulativeVolume")</f>
        <v>0</v>
      </c>
      <c r="AO1317" s="284"/>
    </row>
    <row r="1318" spans="1:41">
      <c r="A1318" s="135" t="s">
        <v>4832</v>
      </c>
      <c r="B1318" s="96">
        <v>445</v>
      </c>
      <c r="C1318" s="96">
        <v>-57</v>
      </c>
      <c r="D1318" s="96">
        <v>2</v>
      </c>
      <c r="E1318" s="96">
        <v>27</v>
      </c>
      <c r="F1318" s="59">
        <v>37.83</v>
      </c>
      <c r="G1318" s="85">
        <v>3040</v>
      </c>
      <c r="H1318" s="4" t="s">
        <v>429</v>
      </c>
      <c r="I1318" s="23" t="s">
        <v>1229</v>
      </c>
      <c r="J1318" s="371">
        <v>54.3</v>
      </c>
      <c r="K1318" s="371">
        <v>17.3</v>
      </c>
      <c r="L1318" s="371">
        <v>2.63</v>
      </c>
      <c r="N1318" s="365">
        <f t="shared" si="377"/>
        <v>74.22999999999999</v>
      </c>
      <c r="O1318" s="343">
        <f t="shared" si="378"/>
        <v>54.3</v>
      </c>
      <c r="P1318" s="195" t="s">
        <v>5554</v>
      </c>
      <c r="Q1318" s="326" t="str">
        <f>IFERROR(VLOOKUP($G1318,主力整理!$A$2:$G$2301,6,0),"0")</f>
        <v>0</v>
      </c>
      <c r="T1318" s="339">
        <f t="shared" si="379"/>
        <v>0</v>
      </c>
      <c r="V1318" s="371">
        <v>21.79</v>
      </c>
      <c r="W1318" s="69">
        <v>5.7</v>
      </c>
      <c r="X1318" s="100">
        <v>6.34</v>
      </c>
      <c r="Y1318" s="14" t="str">
        <f>RTD("money.excel",,"3040","Price")</f>
        <v>無資料</v>
      </c>
      <c r="Z1318" s="69"/>
      <c r="AA1318" s="16" t="e">
        <f t="shared" si="380"/>
        <v>#VALUE!</v>
      </c>
      <c r="AB1318" s="3" t="e">
        <f t="shared" si="381"/>
        <v>#VALUE!</v>
      </c>
      <c r="AC1318" s="177" t="s">
        <v>2700</v>
      </c>
      <c r="AD1318" s="23" t="s">
        <v>1229</v>
      </c>
      <c r="AG1318" s="34">
        <f t="shared" si="382"/>
        <v>0</v>
      </c>
      <c r="AH1318" s="63" t="s">
        <v>4419</v>
      </c>
      <c r="AI1318" s="131"/>
      <c r="AK1318" s="66">
        <f t="shared" si="385"/>
        <v>0</v>
      </c>
      <c r="AL1318" s="174">
        <f t="shared" si="386"/>
        <v>0</v>
      </c>
      <c r="AM1318" s="346">
        <f>RTD("money.excel",,$G1318,"PredictVolume")</f>
        <v>0</v>
      </c>
      <c r="AN1318" s="272">
        <f>RTD("money.excel",,$G1318,"CumulativeVolume")</f>
        <v>0</v>
      </c>
      <c r="AO1318" s="284"/>
    </row>
    <row r="1319" spans="1:41">
      <c r="A1319" s="151" t="s">
        <v>4718</v>
      </c>
      <c r="B1319" s="85">
        <v>-142</v>
      </c>
      <c r="C1319" s="85">
        <v>-104</v>
      </c>
      <c r="D1319" s="85">
        <v>-10</v>
      </c>
      <c r="E1319" s="85">
        <v>-16</v>
      </c>
      <c r="F1319" s="7">
        <v>-5.22</v>
      </c>
      <c r="G1319" s="85">
        <v>3284</v>
      </c>
      <c r="H1319" s="4" t="s">
        <v>429</v>
      </c>
      <c r="I1319" s="17" t="s">
        <v>1187</v>
      </c>
      <c r="J1319" s="371">
        <v>46.78</v>
      </c>
      <c r="K1319" s="371">
        <v>0.51</v>
      </c>
      <c r="L1319" s="371">
        <v>35.700000000000003</v>
      </c>
      <c r="N1319" s="365">
        <f t="shared" si="377"/>
        <v>82.990000000000009</v>
      </c>
      <c r="O1319" s="343">
        <f t="shared" si="378"/>
        <v>46.78</v>
      </c>
      <c r="P1319" s="195" t="s">
        <v>5554</v>
      </c>
      <c r="Q1319" s="326" t="str">
        <f>IFERROR(VLOOKUP($G1319,主力整理!$A$2:$G$2301,6,0),"0")</f>
        <v>0</v>
      </c>
      <c r="T1319" s="339">
        <f t="shared" si="379"/>
        <v>0</v>
      </c>
      <c r="V1319" s="371">
        <v>2.58</v>
      </c>
      <c r="W1319" s="35">
        <v>0</v>
      </c>
      <c r="X1319" s="100">
        <v>-1.49</v>
      </c>
      <c r="Y1319" s="37" t="str">
        <f>RTD("money.excel",,"3284","Price")</f>
        <v>無資料</v>
      </c>
      <c r="Z1319" s="69"/>
      <c r="AA1319" s="16" t="e">
        <f t="shared" si="380"/>
        <v>#VALUE!</v>
      </c>
      <c r="AB1319" s="3" t="e">
        <f t="shared" si="381"/>
        <v>#VALUE!</v>
      </c>
      <c r="AD1319" s="17" t="s">
        <v>1187</v>
      </c>
      <c r="AG1319" s="34">
        <f t="shared" si="382"/>
        <v>0</v>
      </c>
      <c r="AH1319" s="44" t="s">
        <v>3913</v>
      </c>
      <c r="AI1319" s="131"/>
      <c r="AK1319" s="66">
        <f t="shared" si="385"/>
        <v>0</v>
      </c>
      <c r="AL1319" s="174">
        <f t="shared" si="386"/>
        <v>0</v>
      </c>
      <c r="AM1319" s="346">
        <f>RTD("money.excel",,$G1319,"PredictVolume")</f>
        <v>0</v>
      </c>
      <c r="AN1319" s="272">
        <f>RTD("money.excel",,$G1319,"CumulativeVolume")</f>
        <v>0</v>
      </c>
      <c r="AO1319" s="284"/>
    </row>
    <row r="1320" spans="1:41">
      <c r="A1320" s="135" t="s">
        <v>3522</v>
      </c>
      <c r="B1320" s="84">
        <v>1</v>
      </c>
      <c r="C1320" s="84">
        <v>6</v>
      </c>
      <c r="D1320" s="84">
        <v>35</v>
      </c>
      <c r="E1320" s="84">
        <v>23</v>
      </c>
      <c r="F1320" s="59">
        <v>16.739999999999998</v>
      </c>
      <c r="G1320" s="85">
        <v>3557</v>
      </c>
      <c r="H1320" s="4" t="s">
        <v>429</v>
      </c>
      <c r="I1320" s="23" t="s">
        <v>813</v>
      </c>
      <c r="J1320" s="77">
        <v>52.16</v>
      </c>
      <c r="K1320" s="371">
        <v>18.190000000000001</v>
      </c>
      <c r="L1320" s="77">
        <v>34.97</v>
      </c>
      <c r="N1320" s="365">
        <f t="shared" si="377"/>
        <v>105.32</v>
      </c>
      <c r="O1320" s="343">
        <f t="shared" si="378"/>
        <v>52.16</v>
      </c>
      <c r="P1320" s="232">
        <v>1</v>
      </c>
      <c r="Q1320" s="326" t="str">
        <f>IFERROR(VLOOKUP($G1320,主力整理!$A$2:$G$2301,6,0),"0")</f>
        <v>0</v>
      </c>
      <c r="R1320" s="111">
        <v>7</v>
      </c>
      <c r="S1320" s="51">
        <v>0</v>
      </c>
      <c r="T1320" s="339">
        <f t="shared" si="379"/>
        <v>8</v>
      </c>
      <c r="V1320" s="371">
        <v>0.27</v>
      </c>
      <c r="W1320" s="69">
        <v>3.65</v>
      </c>
      <c r="X1320" s="59">
        <v>10.08</v>
      </c>
      <c r="Y1320" s="37" t="str">
        <f>RTD("money.excel",,"3557","Price")</f>
        <v>無資料</v>
      </c>
      <c r="Z1320" s="69"/>
      <c r="AA1320" s="16" t="e">
        <f t="shared" si="380"/>
        <v>#VALUE!</v>
      </c>
      <c r="AB1320" s="3" t="e">
        <f t="shared" si="381"/>
        <v>#VALUE!</v>
      </c>
      <c r="AC1320" s="177" t="s">
        <v>2929</v>
      </c>
      <c r="AD1320" s="23" t="s">
        <v>813</v>
      </c>
      <c r="AG1320" s="34">
        <f t="shared" si="382"/>
        <v>0</v>
      </c>
      <c r="AH1320" s="63" t="s">
        <v>5464</v>
      </c>
      <c r="AI1320" s="131"/>
      <c r="AK1320" s="66">
        <f t="shared" si="385"/>
        <v>0</v>
      </c>
      <c r="AL1320" s="174">
        <f t="shared" si="386"/>
        <v>0</v>
      </c>
      <c r="AM1320" s="346">
        <f>RTD("money.excel",,$G1320,"PredictVolume")</f>
        <v>0</v>
      </c>
      <c r="AN1320" s="272">
        <f>RTD("money.excel",,$G1320,"CumulativeVolume")</f>
        <v>0</v>
      </c>
      <c r="AO1320" s="284"/>
    </row>
    <row r="1321" spans="1:41">
      <c r="A1321" s="151" t="s">
        <v>3486</v>
      </c>
      <c r="B1321" s="96">
        <v>-111</v>
      </c>
      <c r="C1321" s="96">
        <v>-539</v>
      </c>
      <c r="D1321" s="96">
        <v>14</v>
      </c>
      <c r="E1321" s="96">
        <v>81</v>
      </c>
      <c r="F1321" s="7">
        <v>7.45</v>
      </c>
      <c r="G1321" s="85">
        <v>4430</v>
      </c>
      <c r="H1321" s="4" t="s">
        <v>429</v>
      </c>
      <c r="I1321" s="17" t="s">
        <v>1188</v>
      </c>
      <c r="J1321" s="77">
        <v>65.459999999999994</v>
      </c>
      <c r="K1321" s="77">
        <v>2.2200000000000002</v>
      </c>
      <c r="L1321" s="77">
        <v>3.41</v>
      </c>
      <c r="N1321" s="365">
        <f t="shared" si="377"/>
        <v>71.089999999999989</v>
      </c>
      <c r="O1321" s="343">
        <f t="shared" si="378"/>
        <v>65.459999999999994</v>
      </c>
      <c r="P1321" s="195" t="s">
        <v>5554</v>
      </c>
      <c r="Q1321" s="326" t="str">
        <f>IFERROR(VLOOKUP($G1321,主力整理!$A$2:$G$2301,6,0),"0")</f>
        <v>0</v>
      </c>
      <c r="T1321" s="339">
        <f t="shared" si="379"/>
        <v>0</v>
      </c>
      <c r="V1321" s="371">
        <v>41.77</v>
      </c>
      <c r="W1321" s="35">
        <v>0.5</v>
      </c>
      <c r="X1321" s="100">
        <v>-0.24</v>
      </c>
      <c r="Y1321" s="14" t="str">
        <f>RTD("money.excel",,"4430","Price")</f>
        <v>無資料</v>
      </c>
      <c r="Z1321" s="69"/>
      <c r="AA1321" s="16" t="e">
        <f t="shared" si="380"/>
        <v>#VALUE!</v>
      </c>
      <c r="AB1321" s="3" t="e">
        <f t="shared" si="381"/>
        <v>#VALUE!</v>
      </c>
      <c r="AD1321" s="17" t="s">
        <v>1188</v>
      </c>
      <c r="AG1321" s="34">
        <f t="shared" si="382"/>
        <v>0</v>
      </c>
      <c r="AH1321" s="44" t="s">
        <v>3916</v>
      </c>
      <c r="AI1321" s="131"/>
      <c r="AK1321" s="66">
        <f t="shared" si="385"/>
        <v>0</v>
      </c>
      <c r="AL1321" s="174">
        <f t="shared" si="386"/>
        <v>0</v>
      </c>
      <c r="AM1321" s="346">
        <f>RTD("money.excel",,$G1321,"PredictVolume")</f>
        <v>0</v>
      </c>
      <c r="AN1321" s="272">
        <f>RTD("money.excel",,$G1321,"CumulativeVolume")</f>
        <v>0</v>
      </c>
      <c r="AO1321" s="284"/>
    </row>
    <row r="1322" spans="1:41">
      <c r="A1322" s="151" t="s">
        <v>5153</v>
      </c>
      <c r="B1322" s="84">
        <v>51</v>
      </c>
      <c r="C1322" s="85">
        <v>-20</v>
      </c>
      <c r="D1322" s="85">
        <v>-31</v>
      </c>
      <c r="E1322" s="85">
        <v>-45</v>
      </c>
      <c r="F1322" s="48">
        <v>-1960</v>
      </c>
      <c r="G1322" s="85">
        <v>4529</v>
      </c>
      <c r="H1322" s="4" t="s">
        <v>429</v>
      </c>
      <c r="I1322" s="17" t="s">
        <v>1189</v>
      </c>
      <c r="J1322" s="77">
        <v>54.18</v>
      </c>
      <c r="K1322" s="77">
        <v>10.17</v>
      </c>
      <c r="L1322" s="371">
        <v>0</v>
      </c>
      <c r="N1322" s="365">
        <f t="shared" si="377"/>
        <v>64.349999999999994</v>
      </c>
      <c r="O1322" s="343">
        <f t="shared" si="378"/>
        <v>54.18</v>
      </c>
      <c r="P1322" s="195" t="s">
        <v>5554</v>
      </c>
      <c r="Q1322" s="326" t="str">
        <f>IFERROR(VLOOKUP($G1322,主力整理!$A$2:$G$2301,6,0),"0")</f>
        <v>0</v>
      </c>
      <c r="T1322" s="339">
        <f t="shared" si="379"/>
        <v>0</v>
      </c>
      <c r="V1322" s="371">
        <v>0</v>
      </c>
      <c r="W1322" s="35">
        <v>0</v>
      </c>
      <c r="X1322" s="59">
        <v>-3.15</v>
      </c>
      <c r="Y1322" s="37" t="str">
        <f>RTD("money.excel",,"4529","Price")</f>
        <v>無資料</v>
      </c>
      <c r="Z1322" s="69"/>
      <c r="AA1322" s="16" t="e">
        <f t="shared" si="380"/>
        <v>#VALUE!</v>
      </c>
      <c r="AB1322" s="3" t="e">
        <f t="shared" si="381"/>
        <v>#VALUE!</v>
      </c>
      <c r="AD1322" s="17" t="s">
        <v>1189</v>
      </c>
      <c r="AG1322" s="34">
        <f t="shared" si="382"/>
        <v>0</v>
      </c>
      <c r="AH1322" s="44" t="s">
        <v>3917</v>
      </c>
      <c r="AI1322" s="131"/>
      <c r="AK1322" s="66">
        <f t="shared" si="385"/>
        <v>0</v>
      </c>
      <c r="AL1322" s="174">
        <f t="shared" si="386"/>
        <v>0</v>
      </c>
      <c r="AM1322" s="346">
        <f>RTD("money.excel",,$G1322,"PredictVolume")</f>
        <v>0</v>
      </c>
      <c r="AN1322" s="272">
        <f>RTD("money.excel",,$G1322,"CumulativeVolume")</f>
        <v>0</v>
      </c>
      <c r="AO1322" s="284"/>
    </row>
    <row r="1323" spans="1:41">
      <c r="A1323" s="135" t="s">
        <v>2433</v>
      </c>
      <c r="B1323" s="84">
        <v>45</v>
      </c>
      <c r="C1323" s="84">
        <v>9</v>
      </c>
      <c r="D1323" s="84">
        <v>22</v>
      </c>
      <c r="E1323" s="84">
        <v>28</v>
      </c>
      <c r="F1323" s="59">
        <v>14.06</v>
      </c>
      <c r="G1323" s="85">
        <v>4536</v>
      </c>
      <c r="H1323" s="4" t="s">
        <v>429</v>
      </c>
      <c r="I1323" s="23" t="s">
        <v>1230</v>
      </c>
      <c r="J1323" s="371">
        <v>45.44</v>
      </c>
      <c r="K1323" s="371">
        <v>17.12</v>
      </c>
      <c r="L1323" s="371">
        <v>2.59</v>
      </c>
      <c r="N1323" s="365">
        <f t="shared" si="377"/>
        <v>65.150000000000006</v>
      </c>
      <c r="O1323" s="343">
        <f t="shared" si="378"/>
        <v>45.44</v>
      </c>
      <c r="P1323" s="195">
        <v>1</v>
      </c>
      <c r="Q1323" s="326" t="str">
        <f>IFERROR(VLOOKUP($G1323,主力整理!$A$2:$G$2301,6,0),"0")</f>
        <v>0</v>
      </c>
      <c r="R1323" s="111">
        <v>2</v>
      </c>
      <c r="S1323" s="51">
        <v>6</v>
      </c>
      <c r="T1323" s="339">
        <f t="shared" si="379"/>
        <v>9</v>
      </c>
      <c r="V1323" s="371">
        <v>0.17</v>
      </c>
      <c r="W1323" s="69">
        <v>5</v>
      </c>
      <c r="X1323" s="100">
        <v>8.9</v>
      </c>
      <c r="Y1323" s="37" t="str">
        <f>RTD("money.excel",,"4536","Price")</f>
        <v>無資料</v>
      </c>
      <c r="Z1323" s="69"/>
      <c r="AA1323" s="16" t="e">
        <f t="shared" si="380"/>
        <v>#VALUE!</v>
      </c>
      <c r="AB1323" s="3" t="e">
        <f t="shared" si="381"/>
        <v>#VALUE!</v>
      </c>
      <c r="AC1323" s="177" t="s">
        <v>2929</v>
      </c>
      <c r="AD1323" s="23" t="s">
        <v>1230</v>
      </c>
      <c r="AG1323" s="34">
        <f t="shared" si="382"/>
        <v>0</v>
      </c>
      <c r="AH1323" s="63" t="s">
        <v>3369</v>
      </c>
      <c r="AI1323" s="131"/>
      <c r="AK1323" s="66">
        <f t="shared" si="385"/>
        <v>0</v>
      </c>
      <c r="AL1323" s="174">
        <f t="shared" si="386"/>
        <v>0</v>
      </c>
      <c r="AM1323" s="346">
        <f>RTD("money.excel",,$G1323,"PredictVolume")</f>
        <v>0</v>
      </c>
      <c r="AN1323" s="272">
        <f>RTD("money.excel",,$G1323,"CumulativeVolume")</f>
        <v>0</v>
      </c>
      <c r="AO1323" s="284"/>
    </row>
    <row r="1324" spans="1:41">
      <c r="A1324" s="151" t="s">
        <v>2728</v>
      </c>
      <c r="B1324" s="85">
        <v>-40</v>
      </c>
      <c r="C1324" s="84">
        <v>7</v>
      </c>
      <c r="D1324" s="84">
        <v>33</v>
      </c>
      <c r="E1324" s="85">
        <v>-8</v>
      </c>
      <c r="F1324" s="7">
        <v>6.44</v>
      </c>
      <c r="G1324" s="85">
        <v>4541</v>
      </c>
      <c r="H1324" s="4" t="s">
        <v>429</v>
      </c>
      <c r="I1324" s="17" t="s">
        <v>1190</v>
      </c>
      <c r="J1324" s="371">
        <v>50.8</v>
      </c>
      <c r="K1324" s="371">
        <v>2.37</v>
      </c>
      <c r="L1324" s="371">
        <v>6.42</v>
      </c>
      <c r="N1324" s="365">
        <f t="shared" si="377"/>
        <v>59.589999999999996</v>
      </c>
      <c r="O1324" s="343">
        <f t="shared" si="378"/>
        <v>50.8</v>
      </c>
      <c r="P1324" s="195" t="s">
        <v>5554</v>
      </c>
      <c r="Q1324" s="326" t="str">
        <f>IFERROR(VLOOKUP($G1324,主力整理!$A$2:$G$2301,6,0),"0")</f>
        <v>0</v>
      </c>
      <c r="T1324" s="339">
        <f t="shared" si="379"/>
        <v>0</v>
      </c>
      <c r="V1324" s="371">
        <v>15.82</v>
      </c>
      <c r="W1324" s="35">
        <v>0.2</v>
      </c>
      <c r="X1324" s="100">
        <v>-1.1299999999999999</v>
      </c>
      <c r="Y1324" s="37" t="str">
        <f>RTD("money.excel",,"4541","Price")</f>
        <v>無資料</v>
      </c>
      <c r="Z1324" s="69"/>
      <c r="AA1324" s="16" t="e">
        <f t="shared" si="380"/>
        <v>#VALUE!</v>
      </c>
      <c r="AB1324" s="3" t="e">
        <f t="shared" si="381"/>
        <v>#VALUE!</v>
      </c>
      <c r="AC1324" s="177" t="s">
        <v>2648</v>
      </c>
      <c r="AD1324" s="17" t="s">
        <v>1190</v>
      </c>
      <c r="AG1324" s="34">
        <f t="shared" si="382"/>
        <v>0</v>
      </c>
      <c r="AH1324" s="44" t="s">
        <v>3918</v>
      </c>
      <c r="AI1324" s="131"/>
      <c r="AK1324" s="66">
        <f t="shared" si="385"/>
        <v>0</v>
      </c>
      <c r="AL1324" s="174">
        <f t="shared" si="386"/>
        <v>0</v>
      </c>
      <c r="AM1324" s="346">
        <f>RTD("money.excel",,$G1324,"PredictVolume")</f>
        <v>0</v>
      </c>
      <c r="AN1324" s="272">
        <f>RTD("money.excel",,$G1324,"CumulativeVolume")</f>
        <v>0</v>
      </c>
      <c r="AO1324" s="284"/>
    </row>
    <row r="1325" spans="1:41">
      <c r="A1325" s="151" t="s">
        <v>2641</v>
      </c>
      <c r="B1325" s="84">
        <v>32</v>
      </c>
      <c r="C1325" s="84">
        <v>21</v>
      </c>
      <c r="D1325" s="85">
        <v>-11</v>
      </c>
      <c r="E1325" s="85">
        <v>-10</v>
      </c>
      <c r="F1325" s="7">
        <v>7.15</v>
      </c>
      <c r="G1325" s="85">
        <v>4556</v>
      </c>
      <c r="H1325" s="4" t="s">
        <v>429</v>
      </c>
      <c r="I1325" s="17" t="s">
        <v>1191</v>
      </c>
      <c r="J1325" s="77">
        <v>81.510000000000005</v>
      </c>
      <c r="K1325" s="77">
        <v>11.6</v>
      </c>
      <c r="L1325" s="77">
        <v>2.2799999999999998</v>
      </c>
      <c r="N1325" s="365">
        <f t="shared" si="377"/>
        <v>95.39</v>
      </c>
      <c r="O1325" s="343">
        <f t="shared" si="378"/>
        <v>81.510000000000005</v>
      </c>
      <c r="P1325" s="195" t="s">
        <v>5554</v>
      </c>
      <c r="Q1325" s="326" t="str">
        <f>IFERROR(VLOOKUP($G1325,主力整理!$A$2:$G$2301,6,0),"0")</f>
        <v>0</v>
      </c>
      <c r="T1325" s="339">
        <f t="shared" si="379"/>
        <v>0</v>
      </c>
      <c r="W1325" s="35">
        <v>0.45</v>
      </c>
      <c r="X1325" s="100">
        <v>0.5</v>
      </c>
      <c r="Y1325" s="37" t="str">
        <f>RTD("money.excel",,"4556","Price")</f>
        <v>無資料</v>
      </c>
      <c r="Z1325" s="69"/>
      <c r="AA1325" s="16" t="e">
        <f t="shared" si="380"/>
        <v>#VALUE!</v>
      </c>
      <c r="AB1325" s="3" t="e">
        <f t="shared" si="381"/>
        <v>#VALUE!</v>
      </c>
      <c r="AC1325" s="177" t="s">
        <v>2648</v>
      </c>
      <c r="AD1325" s="17" t="s">
        <v>1191</v>
      </c>
      <c r="AG1325" s="34">
        <f t="shared" si="382"/>
        <v>0</v>
      </c>
      <c r="AH1325" s="44" t="s">
        <v>3919</v>
      </c>
      <c r="AI1325" s="131"/>
      <c r="AK1325" s="66">
        <f t="shared" si="385"/>
        <v>0</v>
      </c>
      <c r="AL1325" s="174">
        <f t="shared" si="386"/>
        <v>0</v>
      </c>
      <c r="AM1325" s="346">
        <f>RTD("money.excel",,$G1325,"PredictVolume")</f>
        <v>0</v>
      </c>
      <c r="AN1325" s="272">
        <f>RTD("money.excel",,$G1325,"CumulativeVolume")</f>
        <v>0</v>
      </c>
      <c r="AO1325" s="284"/>
    </row>
    <row r="1326" spans="1:41">
      <c r="A1326" s="151" t="s">
        <v>3374</v>
      </c>
      <c r="B1326" s="84">
        <v>25</v>
      </c>
      <c r="C1326" s="84">
        <v>59</v>
      </c>
      <c r="D1326" s="85">
        <v>-24</v>
      </c>
      <c r="E1326" s="85">
        <v>-41</v>
      </c>
      <c r="F1326" s="7">
        <v>-76.11</v>
      </c>
      <c r="G1326" s="85">
        <v>4950</v>
      </c>
      <c r="H1326" s="4" t="s">
        <v>429</v>
      </c>
      <c r="I1326" s="17" t="s">
        <v>1192</v>
      </c>
      <c r="J1326" s="77">
        <v>54.87</v>
      </c>
      <c r="K1326" s="77">
        <v>32.229999999999997</v>
      </c>
      <c r="N1326" s="365">
        <f t="shared" si="377"/>
        <v>87.1</v>
      </c>
      <c r="O1326" s="343">
        <f t="shared" si="378"/>
        <v>54.87</v>
      </c>
      <c r="P1326" s="195" t="s">
        <v>5554</v>
      </c>
      <c r="Q1326" s="326">
        <f>IFERROR(VLOOKUP($G1326,主力整理!$A$2:$G$2301,6,0),"0")</f>
        <v>1</v>
      </c>
      <c r="T1326" s="339">
        <f t="shared" si="379"/>
        <v>1</v>
      </c>
      <c r="W1326" s="35">
        <v>0</v>
      </c>
      <c r="X1326" s="100">
        <v>-4.18</v>
      </c>
      <c r="Y1326" s="37" t="str">
        <f>RTD("money.excel",,"4950","Price")</f>
        <v>無資料</v>
      </c>
      <c r="Z1326" s="69"/>
      <c r="AA1326" s="16" t="e">
        <f t="shared" si="380"/>
        <v>#VALUE!</v>
      </c>
      <c r="AB1326" s="3" t="e">
        <f t="shared" si="381"/>
        <v>#VALUE!</v>
      </c>
      <c r="AC1326" s="177" t="s">
        <v>2648</v>
      </c>
      <c r="AD1326" s="17" t="s">
        <v>1192</v>
      </c>
      <c r="AG1326" s="34">
        <f t="shared" si="382"/>
        <v>0</v>
      </c>
      <c r="AH1326" s="44" t="s">
        <v>3920</v>
      </c>
      <c r="AI1326" s="131"/>
      <c r="AK1326" s="66">
        <f t="shared" si="385"/>
        <v>0</v>
      </c>
      <c r="AL1326" s="174">
        <f t="shared" si="386"/>
        <v>0</v>
      </c>
      <c r="AM1326" s="346">
        <f>RTD("money.excel",,$G1326,"PredictVolume")</f>
        <v>0</v>
      </c>
      <c r="AN1326" s="272">
        <f>RTD("money.excel",,$G1326,"CumulativeVolume")</f>
        <v>0</v>
      </c>
      <c r="AO1326" s="284"/>
    </row>
    <row r="1327" spans="1:41">
      <c r="A1327" s="151" t="s">
        <v>3103</v>
      </c>
      <c r="B1327" s="96">
        <v>8</v>
      </c>
      <c r="C1327" s="96">
        <v>-21</v>
      </c>
      <c r="D1327" s="96">
        <v>-16</v>
      </c>
      <c r="E1327" s="96">
        <v>60</v>
      </c>
      <c r="F1327" s="7">
        <v>-4.0999999999999996</v>
      </c>
      <c r="G1327" s="85">
        <v>5276</v>
      </c>
      <c r="H1327" s="4" t="s">
        <v>429</v>
      </c>
      <c r="I1327" s="17" t="s">
        <v>1193</v>
      </c>
      <c r="J1327" s="77">
        <v>85.3</v>
      </c>
      <c r="K1327" s="77">
        <v>76.98</v>
      </c>
      <c r="N1327" s="365">
        <f t="shared" si="377"/>
        <v>162.28</v>
      </c>
      <c r="O1327" s="343">
        <f t="shared" si="378"/>
        <v>85.3</v>
      </c>
      <c r="P1327" s="195" t="s">
        <v>5554</v>
      </c>
      <c r="Q1327" s="326" t="str">
        <f>IFERROR(VLOOKUP($G1327,主力整理!$A$2:$G$2301,6,0),"0")</f>
        <v>0</v>
      </c>
      <c r="T1327" s="339">
        <f t="shared" si="379"/>
        <v>0</v>
      </c>
      <c r="V1327" s="371">
        <v>41.32</v>
      </c>
      <c r="W1327" s="35">
        <v>0</v>
      </c>
      <c r="X1327" s="59">
        <v>0.19</v>
      </c>
      <c r="Y1327" s="14" t="str">
        <f>RTD("money.excel",,"5276","Price")</f>
        <v>無資料</v>
      </c>
      <c r="Z1327" s="69"/>
      <c r="AA1327" s="16" t="e">
        <f t="shared" si="380"/>
        <v>#VALUE!</v>
      </c>
      <c r="AB1327" s="3" t="e">
        <f t="shared" si="381"/>
        <v>#VALUE!</v>
      </c>
      <c r="AD1327" s="17" t="s">
        <v>1193</v>
      </c>
      <c r="AG1327" s="34">
        <f t="shared" si="382"/>
        <v>0</v>
      </c>
      <c r="AH1327" s="44" t="s">
        <v>3921</v>
      </c>
      <c r="AI1327" s="131"/>
      <c r="AK1327" s="66">
        <f t="shared" si="385"/>
        <v>0</v>
      </c>
      <c r="AL1327" s="174">
        <f t="shared" si="386"/>
        <v>0</v>
      </c>
      <c r="AM1327" s="346">
        <f>RTD("money.excel",,$G1327,"PredictVolume")</f>
        <v>0</v>
      </c>
      <c r="AN1327" s="272">
        <f>RTD("money.excel",,$G1327,"CumulativeVolume")</f>
        <v>0</v>
      </c>
      <c r="AO1327" s="284"/>
    </row>
    <row r="1328" spans="1:41">
      <c r="A1328" s="151" t="s">
        <v>4608</v>
      </c>
      <c r="B1328" s="96">
        <v>9</v>
      </c>
      <c r="C1328" s="96">
        <v>-32</v>
      </c>
      <c r="D1328" s="96">
        <v>8</v>
      </c>
      <c r="E1328" s="96">
        <v>6</v>
      </c>
      <c r="F1328" s="7">
        <v>7.97</v>
      </c>
      <c r="G1328" s="85">
        <v>5284</v>
      </c>
      <c r="H1328" s="4" t="s">
        <v>429</v>
      </c>
      <c r="I1328" s="23" t="s">
        <v>281</v>
      </c>
      <c r="J1328" s="77">
        <v>63.57</v>
      </c>
      <c r="K1328" s="77">
        <v>63.54</v>
      </c>
      <c r="L1328" s="77">
        <v>7.36</v>
      </c>
      <c r="N1328" s="365">
        <f t="shared" si="377"/>
        <v>134.47</v>
      </c>
      <c r="O1328" s="343">
        <f t="shared" si="378"/>
        <v>63.57</v>
      </c>
      <c r="P1328" s="195">
        <v>1</v>
      </c>
      <c r="Q1328" s="326" t="str">
        <f>IFERROR(VLOOKUP($G1328,主力整理!$A$2:$G$2301,6,0),"0")</f>
        <v>0</v>
      </c>
      <c r="T1328" s="339">
        <f t="shared" si="379"/>
        <v>1</v>
      </c>
      <c r="V1328" s="371">
        <v>37.92</v>
      </c>
      <c r="W1328" s="35">
        <v>2.1</v>
      </c>
      <c r="X1328" s="59">
        <v>2.65</v>
      </c>
      <c r="Y1328" s="14" t="str">
        <f>RTD("money.excel",,"5284","Price")</f>
        <v>無資料</v>
      </c>
      <c r="Z1328" s="69"/>
      <c r="AA1328" s="16" t="e">
        <f t="shared" si="380"/>
        <v>#VALUE!</v>
      </c>
      <c r="AB1328" s="3" t="e">
        <f t="shared" si="381"/>
        <v>#VALUE!</v>
      </c>
      <c r="AC1328" s="177" t="s">
        <v>2648</v>
      </c>
      <c r="AD1328" s="23" t="s">
        <v>281</v>
      </c>
      <c r="AG1328" s="34">
        <f t="shared" si="382"/>
        <v>0</v>
      </c>
      <c r="AH1328" s="125" t="s">
        <v>4420</v>
      </c>
      <c r="AI1328" s="131"/>
      <c r="AK1328" s="66">
        <f t="shared" si="385"/>
        <v>0</v>
      </c>
      <c r="AL1328" s="174">
        <f t="shared" si="386"/>
        <v>0</v>
      </c>
      <c r="AM1328" s="346">
        <f>RTD("money.excel",,$G1328,"PredictVolume")</f>
        <v>0</v>
      </c>
      <c r="AN1328" s="272">
        <f>RTD("money.excel",,$G1328,"CumulativeVolume")</f>
        <v>0</v>
      </c>
      <c r="AO1328" s="284"/>
    </row>
    <row r="1329" spans="1:41">
      <c r="A1329" s="135" t="s">
        <v>2559</v>
      </c>
      <c r="B1329" s="84">
        <v>40</v>
      </c>
      <c r="C1329" s="84">
        <v>41</v>
      </c>
      <c r="D1329" s="85">
        <v>-26</v>
      </c>
      <c r="E1329" s="84">
        <v>101</v>
      </c>
      <c r="F1329" s="59">
        <v>32.200000000000003</v>
      </c>
      <c r="G1329" s="85">
        <v>5306</v>
      </c>
      <c r="H1329" s="4" t="s">
        <v>429</v>
      </c>
      <c r="I1329" s="17" t="s">
        <v>75</v>
      </c>
      <c r="J1329" s="77">
        <v>72.86</v>
      </c>
      <c r="K1329" s="77">
        <v>23.8</v>
      </c>
      <c r="L1329" s="77">
        <v>2.39</v>
      </c>
      <c r="N1329" s="365">
        <f t="shared" si="377"/>
        <v>99.05</v>
      </c>
      <c r="O1329" s="343">
        <f t="shared" si="378"/>
        <v>72.86</v>
      </c>
      <c r="P1329" s="195">
        <v>12</v>
      </c>
      <c r="Q1329" s="326" t="str">
        <f>IFERROR(VLOOKUP($G1329,主力整理!$A$2:$G$2301,6,0),"0")</f>
        <v>0</v>
      </c>
      <c r="T1329" s="339">
        <f t="shared" si="379"/>
        <v>12</v>
      </c>
      <c r="V1329" s="371">
        <v>7.0000000000000007E-2</v>
      </c>
      <c r="W1329" s="69">
        <v>7.2</v>
      </c>
      <c r="X1329" s="59">
        <v>12.02</v>
      </c>
      <c r="Y1329" s="37" t="str">
        <f>RTD("money.excel",,"5306","Price")</f>
        <v>無資料</v>
      </c>
      <c r="Z1329" s="69"/>
      <c r="AA1329" s="16" t="e">
        <f t="shared" si="380"/>
        <v>#VALUE!</v>
      </c>
      <c r="AB1329" s="3" t="e">
        <f t="shared" si="381"/>
        <v>#VALUE!</v>
      </c>
      <c r="AC1329" s="177" t="s">
        <v>2929</v>
      </c>
      <c r="AD1329" s="17" t="s">
        <v>75</v>
      </c>
      <c r="AG1329" s="34">
        <f t="shared" si="382"/>
        <v>0</v>
      </c>
      <c r="AH1329" s="126" t="s">
        <v>3922</v>
      </c>
      <c r="AI1329" s="131"/>
      <c r="AK1329" s="66">
        <f t="shared" si="385"/>
        <v>0</v>
      </c>
      <c r="AL1329" s="174">
        <f t="shared" si="386"/>
        <v>0</v>
      </c>
      <c r="AM1329" s="346">
        <f>RTD("money.excel",,$G1329,"PredictVolume")</f>
        <v>0</v>
      </c>
      <c r="AN1329" s="272">
        <f>RTD("money.excel",,$G1329,"CumulativeVolume")</f>
        <v>0</v>
      </c>
      <c r="AO1329" s="284"/>
    </row>
    <row r="1330" spans="1:41">
      <c r="A1330" s="151" t="s">
        <v>4627</v>
      </c>
      <c r="B1330" s="96">
        <v>66</v>
      </c>
      <c r="C1330" s="96">
        <v>164</v>
      </c>
      <c r="D1330" s="96">
        <v>36</v>
      </c>
      <c r="E1330" s="96">
        <v>25</v>
      </c>
      <c r="F1330" s="7">
        <v>2.19</v>
      </c>
      <c r="G1330" s="85">
        <v>5398</v>
      </c>
      <c r="H1330" s="4" t="s">
        <v>429</v>
      </c>
      <c r="I1330" s="17" t="s">
        <v>4719</v>
      </c>
      <c r="J1330" s="77">
        <v>84.19</v>
      </c>
      <c r="K1330" s="77">
        <v>0.05</v>
      </c>
      <c r="N1330" s="365">
        <f t="shared" si="377"/>
        <v>84.24</v>
      </c>
      <c r="O1330" s="343">
        <f t="shared" si="378"/>
        <v>84.19</v>
      </c>
      <c r="P1330" s="195" t="s">
        <v>5554</v>
      </c>
      <c r="Q1330" s="326" t="str">
        <f>IFERROR(VLOOKUP($G1330,主力整理!$A$2:$G$2301,6,0),"0")</f>
        <v>0</v>
      </c>
      <c r="T1330" s="339">
        <f t="shared" si="379"/>
        <v>0</v>
      </c>
      <c r="V1330" s="371">
        <v>77.91</v>
      </c>
      <c r="W1330" s="35">
        <v>0.25</v>
      </c>
      <c r="X1330" s="100">
        <v>0.34</v>
      </c>
      <c r="Y1330" s="37" t="str">
        <f>RTD("money.excel",,"5398","Price")</f>
        <v>無資料</v>
      </c>
      <c r="Z1330" s="69"/>
      <c r="AA1330" s="16" t="e">
        <f t="shared" si="380"/>
        <v>#VALUE!</v>
      </c>
      <c r="AB1330" s="3" t="e">
        <f t="shared" si="381"/>
        <v>#VALUE!</v>
      </c>
      <c r="AD1330" s="17" t="s">
        <v>4719</v>
      </c>
      <c r="AG1330" s="34">
        <f t="shared" si="382"/>
        <v>0</v>
      </c>
      <c r="AH1330" s="44" t="s">
        <v>4722</v>
      </c>
      <c r="AI1330" s="131"/>
      <c r="AK1330" s="66">
        <f t="shared" si="385"/>
        <v>0</v>
      </c>
      <c r="AL1330" s="174">
        <f t="shared" si="386"/>
        <v>0</v>
      </c>
      <c r="AM1330" s="346">
        <f>RTD("money.excel",,$G1330,"PredictVolume")</f>
        <v>0</v>
      </c>
      <c r="AN1330" s="272">
        <f>RTD("money.excel",,$G1330,"CumulativeVolume")</f>
        <v>0</v>
      </c>
      <c r="AO1330" s="284"/>
    </row>
    <row r="1331" spans="1:41">
      <c r="A1331" s="151" t="s">
        <v>2455</v>
      </c>
      <c r="B1331" s="96">
        <v>-61</v>
      </c>
      <c r="C1331" s="96">
        <v>-32</v>
      </c>
      <c r="D1331" s="96">
        <v>9</v>
      </c>
      <c r="E1331" s="96">
        <v>67</v>
      </c>
      <c r="F1331" s="7">
        <v>3.76</v>
      </c>
      <c r="G1331" s="85">
        <v>5450</v>
      </c>
      <c r="H1331" s="4" t="s">
        <v>429</v>
      </c>
      <c r="I1331" s="17" t="s">
        <v>4720</v>
      </c>
      <c r="J1331" s="77">
        <v>84.19</v>
      </c>
      <c r="K1331" s="77">
        <v>0.05</v>
      </c>
      <c r="N1331" s="365">
        <f t="shared" si="377"/>
        <v>84.24</v>
      </c>
      <c r="O1331" s="343">
        <f t="shared" si="378"/>
        <v>84.19</v>
      </c>
      <c r="P1331" s="195" t="s">
        <v>5554</v>
      </c>
      <c r="Q1331" s="326" t="str">
        <f>IFERROR(VLOOKUP($G1331,主力整理!$A$2:$G$2301,6,0),"0")</f>
        <v>0</v>
      </c>
      <c r="T1331" s="339">
        <f t="shared" si="379"/>
        <v>0</v>
      </c>
      <c r="V1331" s="371">
        <v>77.91</v>
      </c>
      <c r="W1331" s="35">
        <v>0</v>
      </c>
      <c r="X1331" s="100">
        <v>0.54</v>
      </c>
      <c r="Y1331" s="37" t="str">
        <f>RTD("money.excel",,"5450","Price")</f>
        <v>無資料</v>
      </c>
      <c r="Z1331" s="69"/>
      <c r="AA1331" s="16" t="e">
        <f t="shared" si="380"/>
        <v>#VALUE!</v>
      </c>
      <c r="AB1331" s="3" t="e">
        <f t="shared" si="381"/>
        <v>#VALUE!</v>
      </c>
      <c r="AD1331" s="17" t="s">
        <v>4720</v>
      </c>
      <c r="AG1331" s="34">
        <f t="shared" si="382"/>
        <v>0</v>
      </c>
      <c r="AH1331" s="44" t="s">
        <v>4723</v>
      </c>
      <c r="AI1331" s="131"/>
      <c r="AK1331" s="66">
        <f t="shared" si="385"/>
        <v>0</v>
      </c>
      <c r="AL1331" s="174">
        <f t="shared" si="386"/>
        <v>0</v>
      </c>
      <c r="AM1331" s="346">
        <f>RTD("money.excel",,$G1331,"PredictVolume")</f>
        <v>0</v>
      </c>
      <c r="AN1331" s="272">
        <f>RTD("money.excel",,$G1331,"CumulativeVolume")</f>
        <v>0</v>
      </c>
      <c r="AO1331" s="284"/>
    </row>
    <row r="1332" spans="1:41">
      <c r="A1332" s="151" t="s">
        <v>2670</v>
      </c>
      <c r="B1332" s="84">
        <v>342</v>
      </c>
      <c r="C1332" s="84">
        <v>13</v>
      </c>
      <c r="D1332" s="84">
        <v>7</v>
      </c>
      <c r="E1332" s="85">
        <v>-1</v>
      </c>
      <c r="F1332" s="7">
        <v>-39.19</v>
      </c>
      <c r="G1332" s="85">
        <v>5481</v>
      </c>
      <c r="H1332" s="4" t="s">
        <v>429</v>
      </c>
      <c r="I1332" s="17" t="s">
        <v>4721</v>
      </c>
      <c r="J1332" s="371">
        <v>44.29</v>
      </c>
      <c r="K1332" s="77">
        <v>26.71</v>
      </c>
      <c r="L1332" s="77">
        <v>29.6</v>
      </c>
      <c r="N1332" s="365">
        <f t="shared" si="377"/>
        <v>100.6</v>
      </c>
      <c r="O1332" s="343">
        <f t="shared" si="378"/>
        <v>44.29</v>
      </c>
      <c r="P1332" s="195" t="s">
        <v>5554</v>
      </c>
      <c r="Q1332" s="326">
        <f>IFERROR(VLOOKUP($G1332,主力整理!$A$2:$G$2301,6,0),"0")</f>
        <v>1</v>
      </c>
      <c r="T1332" s="339">
        <f t="shared" si="379"/>
        <v>1</v>
      </c>
      <c r="V1332" s="371">
        <v>0</v>
      </c>
      <c r="W1332" s="35">
        <v>0.4</v>
      </c>
      <c r="X1332" s="100">
        <v>6.18</v>
      </c>
      <c r="Y1332" s="37" t="str">
        <f>RTD("money.excel",,"5481","Price")</f>
        <v>無資料</v>
      </c>
      <c r="Z1332" s="69"/>
      <c r="AA1332" s="16" t="e">
        <f t="shared" si="380"/>
        <v>#VALUE!</v>
      </c>
      <c r="AB1332" s="3" t="e">
        <f t="shared" si="381"/>
        <v>#VALUE!</v>
      </c>
      <c r="AD1332" s="17" t="s">
        <v>4721</v>
      </c>
      <c r="AG1332" s="34">
        <f t="shared" si="382"/>
        <v>0</v>
      </c>
      <c r="AH1332" s="44" t="s">
        <v>4724</v>
      </c>
      <c r="AI1332" s="131"/>
      <c r="AK1332" s="66">
        <f t="shared" si="385"/>
        <v>0</v>
      </c>
      <c r="AL1332" s="174">
        <f t="shared" si="386"/>
        <v>0</v>
      </c>
      <c r="AM1332" s="346">
        <f>RTD("money.excel",,$G1332,"PredictVolume")</f>
        <v>0</v>
      </c>
      <c r="AN1332" s="272">
        <f>RTD("money.excel",,$G1332,"CumulativeVolume")</f>
        <v>0</v>
      </c>
      <c r="AO1332" s="284"/>
    </row>
    <row r="1333" spans="1:41">
      <c r="A1333" s="135" t="s">
        <v>3178</v>
      </c>
      <c r="B1333" s="85">
        <v>-48</v>
      </c>
      <c r="C1333" s="85">
        <v>-36</v>
      </c>
      <c r="D1333" s="85">
        <v>-1</v>
      </c>
      <c r="E1333" s="84">
        <v>20</v>
      </c>
      <c r="F1333" s="59">
        <v>38.14</v>
      </c>
      <c r="G1333" s="85">
        <v>5530</v>
      </c>
      <c r="H1333" s="4" t="s">
        <v>429</v>
      </c>
      <c r="I1333" s="17" t="s">
        <v>286</v>
      </c>
      <c r="J1333" s="371">
        <v>82.22</v>
      </c>
      <c r="K1333" s="77">
        <v>55.86</v>
      </c>
      <c r="L1333" s="371">
        <v>1.18</v>
      </c>
      <c r="N1333" s="365">
        <f t="shared" si="377"/>
        <v>139.26</v>
      </c>
      <c r="O1333" s="343">
        <f t="shared" si="378"/>
        <v>82.22</v>
      </c>
      <c r="P1333" s="195" t="s">
        <v>5554</v>
      </c>
      <c r="Q1333" s="326" t="str">
        <f>IFERROR(VLOOKUP($G1333,主力整理!$A$2:$G$2301,6,0),"0")</f>
        <v>0</v>
      </c>
      <c r="T1333" s="339">
        <f t="shared" si="379"/>
        <v>0</v>
      </c>
      <c r="V1333" s="371">
        <v>0</v>
      </c>
      <c r="W1333" s="69">
        <v>3</v>
      </c>
      <c r="X1333" s="59">
        <v>2.96</v>
      </c>
      <c r="Y1333" s="14" t="str">
        <f>RTD("money.excel",,"5530","Price")</f>
        <v>無資料</v>
      </c>
      <c r="Z1333" s="69"/>
      <c r="AA1333" s="16" t="e">
        <f t="shared" si="380"/>
        <v>#VALUE!</v>
      </c>
      <c r="AB1333" s="3" t="e">
        <f t="shared" si="381"/>
        <v>#VALUE!</v>
      </c>
      <c r="AC1333" s="177" t="s">
        <v>2700</v>
      </c>
      <c r="AD1333" s="17" t="s">
        <v>286</v>
      </c>
      <c r="AG1333" s="34">
        <f t="shared" si="382"/>
        <v>0</v>
      </c>
      <c r="AH1333" s="126" t="s">
        <v>3923</v>
      </c>
      <c r="AI1333" s="131"/>
      <c r="AK1333" s="66">
        <f t="shared" si="385"/>
        <v>0</v>
      </c>
      <c r="AL1333" s="174">
        <f t="shared" si="386"/>
        <v>0</v>
      </c>
      <c r="AM1333" s="346">
        <f>RTD("money.excel",,$G1333,"PredictVolume")</f>
        <v>0</v>
      </c>
      <c r="AN1333" s="272">
        <f>RTD("money.excel",,$G1333,"CumulativeVolume")</f>
        <v>0</v>
      </c>
      <c r="AO1333" s="284"/>
    </row>
    <row r="1334" spans="1:41">
      <c r="A1334" s="135" t="s">
        <v>6341</v>
      </c>
      <c r="B1334" s="84">
        <v>33</v>
      </c>
      <c r="C1334" s="84">
        <v>43</v>
      </c>
      <c r="D1334" s="85">
        <v>-1</v>
      </c>
      <c r="E1334" s="84">
        <v>16</v>
      </c>
      <c r="F1334" s="59">
        <v>46.35</v>
      </c>
      <c r="G1334" s="85">
        <v>5871</v>
      </c>
      <c r="H1334" s="4" t="s">
        <v>429</v>
      </c>
      <c r="I1334" s="23" t="s">
        <v>470</v>
      </c>
      <c r="J1334" s="77">
        <v>77.31</v>
      </c>
      <c r="K1334" s="77">
        <v>79.47</v>
      </c>
      <c r="L1334" s="77">
        <v>0.35</v>
      </c>
      <c r="N1334" s="365">
        <f t="shared" si="377"/>
        <v>157.13</v>
      </c>
      <c r="O1334" s="343">
        <f t="shared" si="378"/>
        <v>77.31</v>
      </c>
      <c r="P1334" s="195">
        <v>2</v>
      </c>
      <c r="Q1334" s="326">
        <v>17</v>
      </c>
      <c r="R1334" s="111">
        <v>1</v>
      </c>
      <c r="S1334" s="51">
        <v>12</v>
      </c>
      <c r="T1334" s="339">
        <f t="shared" si="379"/>
        <v>32</v>
      </c>
      <c r="V1334" s="371">
        <v>6.28</v>
      </c>
      <c r="W1334" s="69">
        <v>5.5</v>
      </c>
      <c r="X1334" s="59">
        <v>13.92</v>
      </c>
      <c r="Y1334" s="14" t="str">
        <f>RTD("money.excel",,"5871","Price")</f>
        <v>無資料</v>
      </c>
      <c r="Z1334" s="69"/>
      <c r="AA1334" s="16" t="e">
        <f t="shared" si="380"/>
        <v>#VALUE!</v>
      </c>
      <c r="AB1334" s="3" t="e">
        <f t="shared" si="381"/>
        <v>#VALUE!</v>
      </c>
      <c r="AC1334" s="177" t="s">
        <v>2929</v>
      </c>
      <c r="AD1334" s="23" t="s">
        <v>470</v>
      </c>
      <c r="AG1334" s="34">
        <f t="shared" si="382"/>
        <v>0</v>
      </c>
      <c r="AH1334" s="126" t="s">
        <v>4421</v>
      </c>
      <c r="AI1334" s="131"/>
      <c r="AK1334" s="66">
        <f t="shared" si="385"/>
        <v>0</v>
      </c>
      <c r="AL1334" s="174">
        <f t="shared" si="386"/>
        <v>0</v>
      </c>
      <c r="AM1334" s="346">
        <f>RTD("money.excel",,$G1334,"PredictVolume")</f>
        <v>0</v>
      </c>
      <c r="AN1334" s="272">
        <f>RTD("money.excel",,$G1334,"CumulativeVolume")</f>
        <v>0</v>
      </c>
      <c r="AO1334" s="284"/>
    </row>
    <row r="1335" spans="1:41">
      <c r="A1335" s="151" t="s">
        <v>4803</v>
      </c>
      <c r="B1335" s="84">
        <v>24</v>
      </c>
      <c r="C1335" s="85">
        <v>-19</v>
      </c>
      <c r="D1335" s="84">
        <v>14</v>
      </c>
      <c r="E1335" s="85">
        <v>-11</v>
      </c>
      <c r="F1335" s="7">
        <v>5.91</v>
      </c>
      <c r="G1335" s="85">
        <v>6179</v>
      </c>
      <c r="H1335" s="4" t="s">
        <v>429</v>
      </c>
      <c r="I1335" s="17" t="s">
        <v>1194</v>
      </c>
      <c r="J1335" s="371">
        <v>43.95</v>
      </c>
      <c r="K1335" s="371">
        <v>0.53</v>
      </c>
      <c r="L1335" s="77">
        <v>23.53</v>
      </c>
      <c r="N1335" s="365">
        <f t="shared" si="377"/>
        <v>68.010000000000005</v>
      </c>
      <c r="O1335" s="343">
        <f t="shared" ref="O1335:O1366" si="387">J1335+M1335</f>
        <v>43.95</v>
      </c>
      <c r="P1335" s="195">
        <v>1</v>
      </c>
      <c r="Q1335" s="326">
        <v>0</v>
      </c>
      <c r="R1335" s="111">
        <v>0</v>
      </c>
      <c r="S1335" s="51">
        <v>0</v>
      </c>
      <c r="T1335" s="339">
        <f t="shared" ref="T1335:T1366" si="388">SUM(P1335:S1335)</f>
        <v>1</v>
      </c>
      <c r="U1335" s="329" t="s">
        <v>6538</v>
      </c>
      <c r="V1335" s="371">
        <v>0.1</v>
      </c>
      <c r="W1335" s="35">
        <v>1.88</v>
      </c>
      <c r="X1335" s="100">
        <v>2.72</v>
      </c>
      <c r="Y1335" s="37" t="str">
        <f>RTD("money.excel",,"6179","Price")</f>
        <v>無資料</v>
      </c>
      <c r="Z1335" s="69"/>
      <c r="AA1335" s="16" t="e">
        <f t="shared" ref="AA1335:AA1366" si="389">Y1335-Z1335</f>
        <v>#VALUE!</v>
      </c>
      <c r="AB1335" s="3" t="e">
        <f t="shared" ref="AB1335:AB1366" si="390">AA1335/Z1335</f>
        <v>#VALUE!</v>
      </c>
      <c r="AC1335" s="177" t="s">
        <v>2648</v>
      </c>
      <c r="AD1335" s="17" t="s">
        <v>1194</v>
      </c>
      <c r="AG1335" s="34">
        <f t="shared" ref="AG1335:AG1366" si="391">AF1335-AE1335</f>
        <v>0</v>
      </c>
      <c r="AH1335" s="44" t="s">
        <v>3924</v>
      </c>
      <c r="AI1335" s="131"/>
      <c r="AK1335" s="66">
        <f t="shared" si="385"/>
        <v>0</v>
      </c>
      <c r="AL1335" s="174">
        <f t="shared" si="386"/>
        <v>0</v>
      </c>
      <c r="AM1335" s="346">
        <f>RTD("money.excel",,$G1335,"PredictVolume")</f>
        <v>0</v>
      </c>
      <c r="AN1335" s="272">
        <f>RTD("money.excel",,$G1335,"CumulativeVolume")</f>
        <v>0</v>
      </c>
      <c r="AO1335" s="284"/>
    </row>
    <row r="1336" spans="1:41">
      <c r="A1336" s="135" t="s">
        <v>2585</v>
      </c>
      <c r="B1336" s="96">
        <v>2</v>
      </c>
      <c r="C1336" s="96">
        <v>13</v>
      </c>
      <c r="D1336" s="96">
        <v>-4</v>
      </c>
      <c r="E1336" s="96">
        <v>-1</v>
      </c>
      <c r="F1336" s="59">
        <v>35.47</v>
      </c>
      <c r="G1336" s="85">
        <v>6184</v>
      </c>
      <c r="H1336" s="4" t="s">
        <v>429</v>
      </c>
      <c r="I1336" s="23" t="s">
        <v>1231</v>
      </c>
      <c r="J1336" s="77">
        <v>78.94</v>
      </c>
      <c r="K1336" s="77">
        <v>2.48</v>
      </c>
      <c r="L1336" s="77">
        <v>0.66</v>
      </c>
      <c r="N1336" s="365">
        <f t="shared" si="377"/>
        <v>82.08</v>
      </c>
      <c r="O1336" s="343">
        <f t="shared" si="387"/>
        <v>78.94</v>
      </c>
      <c r="P1336" s="195" t="s">
        <v>5554</v>
      </c>
      <c r="Q1336" s="326" t="str">
        <f>IFERROR(VLOOKUP($G1336,主力整理!$A$2:$G$2301,6,0),"0")</f>
        <v>0</v>
      </c>
      <c r="T1336" s="339">
        <f t="shared" si="388"/>
        <v>0</v>
      </c>
      <c r="V1336" s="371">
        <v>11.75</v>
      </c>
      <c r="W1336" s="69">
        <v>3</v>
      </c>
      <c r="X1336" s="100">
        <v>3.38</v>
      </c>
      <c r="Y1336" s="14" t="str">
        <f>RTD("money.excel",,"6184","Price")</f>
        <v>無資料</v>
      </c>
      <c r="Z1336" s="69"/>
      <c r="AA1336" s="16" t="e">
        <f t="shared" si="389"/>
        <v>#VALUE!</v>
      </c>
      <c r="AB1336" s="3" t="e">
        <f t="shared" si="390"/>
        <v>#VALUE!</v>
      </c>
      <c r="AC1336" s="177" t="s">
        <v>2700</v>
      </c>
      <c r="AD1336" s="23" t="s">
        <v>1231</v>
      </c>
      <c r="AG1336" s="34">
        <f t="shared" si="391"/>
        <v>0</v>
      </c>
      <c r="AH1336" s="63" t="s">
        <v>4422</v>
      </c>
      <c r="AI1336" s="131"/>
      <c r="AK1336" s="66">
        <f t="shared" si="385"/>
        <v>0</v>
      </c>
      <c r="AL1336" s="174">
        <f t="shared" si="386"/>
        <v>0</v>
      </c>
      <c r="AM1336" s="346">
        <f>RTD("money.excel",,$G1336,"PredictVolume")</f>
        <v>0</v>
      </c>
      <c r="AN1336" s="272">
        <f>RTD("money.excel",,$G1336,"CumulativeVolume")</f>
        <v>0</v>
      </c>
      <c r="AO1336" s="284"/>
    </row>
    <row r="1337" spans="1:41">
      <c r="A1337" s="135" t="s">
        <v>4702</v>
      </c>
      <c r="B1337" s="96">
        <v>127</v>
      </c>
      <c r="C1337" s="96">
        <v>8</v>
      </c>
      <c r="D1337" s="96">
        <v>-13</v>
      </c>
      <c r="E1337" s="96">
        <v>15</v>
      </c>
      <c r="F1337" s="59">
        <v>21.18</v>
      </c>
      <c r="G1337" s="85">
        <v>6199</v>
      </c>
      <c r="H1337" s="4" t="s">
        <v>429</v>
      </c>
      <c r="I1337" s="17" t="s">
        <v>1195</v>
      </c>
      <c r="J1337" s="77">
        <v>92.63</v>
      </c>
      <c r="K1337" s="77">
        <v>4.6500000000000004</v>
      </c>
      <c r="N1337" s="365">
        <f t="shared" si="377"/>
        <v>97.28</v>
      </c>
      <c r="O1337" s="343">
        <f t="shared" si="387"/>
        <v>92.63</v>
      </c>
      <c r="P1337" s="195" t="s">
        <v>5554</v>
      </c>
      <c r="Q1337" s="326" t="str">
        <f>IFERROR(VLOOKUP($G1337,主力整理!$A$2:$G$2301,6,0),"0")</f>
        <v>0</v>
      </c>
      <c r="T1337" s="339">
        <f t="shared" si="388"/>
        <v>0</v>
      </c>
      <c r="V1337" s="371">
        <v>10.210000000000001</v>
      </c>
      <c r="W1337" s="35">
        <v>0</v>
      </c>
      <c r="X1337" s="100">
        <v>0.46</v>
      </c>
      <c r="Y1337" s="14" t="str">
        <f>RTD("money.excel",,"6199","Price")</f>
        <v>無資料</v>
      </c>
      <c r="Z1337" s="69"/>
      <c r="AA1337" s="16" t="e">
        <f t="shared" si="389"/>
        <v>#VALUE!</v>
      </c>
      <c r="AB1337" s="3" t="e">
        <f t="shared" si="390"/>
        <v>#VALUE!</v>
      </c>
      <c r="AD1337" s="17" t="s">
        <v>1195</v>
      </c>
      <c r="AG1337" s="34">
        <f t="shared" si="391"/>
        <v>0</v>
      </c>
      <c r="AH1337" s="63" t="s">
        <v>3925</v>
      </c>
      <c r="AI1337" s="131"/>
      <c r="AK1337" s="66">
        <f t="shared" si="385"/>
        <v>0</v>
      </c>
      <c r="AL1337" s="174">
        <f t="shared" si="386"/>
        <v>0</v>
      </c>
      <c r="AM1337" s="346">
        <f>RTD("money.excel",,$G1337,"PredictVolume")</f>
        <v>0</v>
      </c>
      <c r="AN1337" s="272">
        <f>RTD("money.excel",,$G1337,"CumulativeVolume")</f>
        <v>0</v>
      </c>
      <c r="AO1337" s="284"/>
    </row>
    <row r="1338" spans="1:41">
      <c r="A1338" s="151" t="s">
        <v>2633</v>
      </c>
      <c r="B1338" s="96">
        <v>54</v>
      </c>
      <c r="C1338" s="96">
        <v>61</v>
      </c>
      <c r="D1338" s="96">
        <v>183</v>
      </c>
      <c r="E1338" s="96">
        <v>29</v>
      </c>
      <c r="F1338" s="7">
        <v>-52</v>
      </c>
      <c r="G1338" s="85">
        <v>6236</v>
      </c>
      <c r="H1338" s="4" t="s">
        <v>429</v>
      </c>
      <c r="I1338" s="17" t="s">
        <v>1196</v>
      </c>
      <c r="J1338" s="77">
        <v>84.19</v>
      </c>
      <c r="K1338" s="77">
        <v>0.05</v>
      </c>
      <c r="N1338" s="365">
        <f t="shared" si="377"/>
        <v>84.24</v>
      </c>
      <c r="O1338" s="343">
        <f t="shared" si="387"/>
        <v>84.19</v>
      </c>
      <c r="P1338" s="195" t="s">
        <v>5554</v>
      </c>
      <c r="Q1338" s="326" t="str">
        <f>IFERROR(VLOOKUP($G1338,主力整理!$A$2:$G$2301,6,0),"0")</f>
        <v>0</v>
      </c>
      <c r="T1338" s="339">
        <f t="shared" si="388"/>
        <v>0</v>
      </c>
      <c r="V1338" s="371">
        <v>77.91</v>
      </c>
      <c r="W1338" s="35">
        <v>0</v>
      </c>
      <c r="X1338" s="100">
        <v>-0.34</v>
      </c>
      <c r="Y1338" s="14" t="str">
        <f>RTD("money.excel",,"6236","Price")</f>
        <v>無資料</v>
      </c>
      <c r="Z1338" s="69"/>
      <c r="AA1338" s="16" t="e">
        <f t="shared" si="389"/>
        <v>#VALUE!</v>
      </c>
      <c r="AB1338" s="3" t="e">
        <f t="shared" si="390"/>
        <v>#VALUE!</v>
      </c>
      <c r="AD1338" s="17" t="s">
        <v>1196</v>
      </c>
      <c r="AG1338" s="34">
        <f t="shared" si="391"/>
        <v>0</v>
      </c>
      <c r="AH1338" s="44" t="s">
        <v>3902</v>
      </c>
      <c r="AI1338" s="131"/>
      <c r="AK1338" s="66">
        <f t="shared" si="385"/>
        <v>0</v>
      </c>
      <c r="AL1338" s="174">
        <f t="shared" si="386"/>
        <v>0</v>
      </c>
      <c r="AM1338" s="346">
        <f>RTD("money.excel",,$G1338,"PredictVolume")</f>
        <v>0</v>
      </c>
      <c r="AN1338" s="272">
        <f>RTD("money.excel",,$G1338,"CumulativeVolume")</f>
        <v>0</v>
      </c>
      <c r="AO1338" s="284"/>
    </row>
    <row r="1339" spans="1:41">
      <c r="A1339" s="135" t="s">
        <v>2523</v>
      </c>
      <c r="B1339" s="96">
        <v>-2</v>
      </c>
      <c r="C1339" s="96">
        <v>-4</v>
      </c>
      <c r="D1339" s="96">
        <v>10</v>
      </c>
      <c r="E1339" s="96">
        <v>12</v>
      </c>
      <c r="F1339" s="59">
        <v>26.56</v>
      </c>
      <c r="G1339" s="85">
        <v>6464</v>
      </c>
      <c r="H1339" s="4" t="s">
        <v>429</v>
      </c>
      <c r="I1339" s="23" t="s">
        <v>1232</v>
      </c>
      <c r="J1339" s="77">
        <v>84.2</v>
      </c>
      <c r="K1339" s="371">
        <v>0.47</v>
      </c>
      <c r="L1339" s="77">
        <v>0.02</v>
      </c>
      <c r="N1339" s="365">
        <f t="shared" si="377"/>
        <v>84.69</v>
      </c>
      <c r="O1339" s="343">
        <f t="shared" si="387"/>
        <v>84.2</v>
      </c>
      <c r="P1339" s="195" t="s">
        <v>5554</v>
      </c>
      <c r="Q1339" s="326" t="str">
        <f>IFERROR(VLOOKUP($G1339,主力整理!$A$2:$G$2301,6,0),"0")</f>
        <v>0</v>
      </c>
      <c r="T1339" s="339">
        <f t="shared" si="388"/>
        <v>0</v>
      </c>
      <c r="V1339" s="371">
        <v>13.36</v>
      </c>
      <c r="W1339" s="69">
        <v>3.2</v>
      </c>
      <c r="X1339" s="100">
        <v>8.6300000000000008</v>
      </c>
      <c r="Y1339" s="14" t="str">
        <f>RTD("money.excel",,"6464","Price")</f>
        <v>無資料</v>
      </c>
      <c r="Z1339" s="69"/>
      <c r="AA1339" s="16" t="e">
        <f t="shared" si="389"/>
        <v>#VALUE!</v>
      </c>
      <c r="AB1339" s="3" t="e">
        <f t="shared" si="390"/>
        <v>#VALUE!</v>
      </c>
      <c r="AC1339" s="177" t="s">
        <v>2700</v>
      </c>
      <c r="AD1339" s="23" t="s">
        <v>1232</v>
      </c>
      <c r="AG1339" s="34">
        <f t="shared" si="391"/>
        <v>0</v>
      </c>
      <c r="AH1339" s="63" t="s">
        <v>4422</v>
      </c>
      <c r="AI1339" s="131"/>
      <c r="AK1339" s="66">
        <f t="shared" si="385"/>
        <v>0</v>
      </c>
      <c r="AL1339" s="174">
        <f t="shared" si="386"/>
        <v>0</v>
      </c>
      <c r="AM1339" s="346">
        <f>RTD("money.excel",,$G1339,"PredictVolume")</f>
        <v>0</v>
      </c>
      <c r="AN1339" s="272">
        <f>RTD("money.excel",,$G1339,"CumulativeVolume")</f>
        <v>0</v>
      </c>
      <c r="AO1339" s="284"/>
    </row>
    <row r="1340" spans="1:41">
      <c r="A1340" s="151" t="s">
        <v>2431</v>
      </c>
      <c r="B1340" s="85">
        <v>-20</v>
      </c>
      <c r="C1340" s="85">
        <v>-29</v>
      </c>
      <c r="D1340" s="84">
        <v>2</v>
      </c>
      <c r="E1340" s="85">
        <v>-32</v>
      </c>
      <c r="F1340" s="7">
        <v>7.52</v>
      </c>
      <c r="G1340" s="85">
        <v>6504</v>
      </c>
      <c r="H1340" s="4" t="s">
        <v>429</v>
      </c>
      <c r="I1340" s="23" t="s">
        <v>1233</v>
      </c>
      <c r="J1340" s="371">
        <v>50.15</v>
      </c>
      <c r="K1340" s="77">
        <v>5.28</v>
      </c>
      <c r="L1340" s="371">
        <v>6.37</v>
      </c>
      <c r="N1340" s="365">
        <f t="shared" si="377"/>
        <v>61.8</v>
      </c>
      <c r="O1340" s="343">
        <f t="shared" si="387"/>
        <v>50.15</v>
      </c>
      <c r="P1340" s="195">
        <v>2</v>
      </c>
      <c r="Q1340" s="326" t="str">
        <f>IFERROR(VLOOKUP($G1340,主力整理!$A$2:$G$2301,6,0),"0")</f>
        <v>0</v>
      </c>
      <c r="R1340" s="111">
        <v>9</v>
      </c>
      <c r="T1340" s="339">
        <f t="shared" si="388"/>
        <v>11</v>
      </c>
      <c r="V1340" s="371">
        <v>7.26</v>
      </c>
      <c r="W1340" s="69">
        <v>12</v>
      </c>
      <c r="X1340" s="59">
        <v>20.02</v>
      </c>
      <c r="Y1340" s="37" t="str">
        <f>RTD("money.excel",,"6504","Price")</f>
        <v>無資料</v>
      </c>
      <c r="Z1340" s="69"/>
      <c r="AA1340" s="16" t="e">
        <f t="shared" si="389"/>
        <v>#VALUE!</v>
      </c>
      <c r="AB1340" s="3" t="e">
        <f t="shared" si="390"/>
        <v>#VALUE!</v>
      </c>
      <c r="AC1340" s="177" t="s">
        <v>2929</v>
      </c>
      <c r="AD1340" s="23" t="s">
        <v>1233</v>
      </c>
      <c r="AG1340" s="34">
        <f t="shared" si="391"/>
        <v>0</v>
      </c>
      <c r="AH1340" s="44" t="s">
        <v>3994</v>
      </c>
      <c r="AI1340" s="131"/>
      <c r="AK1340" s="66">
        <f t="shared" si="385"/>
        <v>0</v>
      </c>
      <c r="AL1340" s="174">
        <f t="shared" si="386"/>
        <v>0</v>
      </c>
      <c r="AM1340" s="346">
        <f>RTD("money.excel",,$G1340,"PredictVolume")</f>
        <v>0</v>
      </c>
      <c r="AN1340" s="272">
        <f>RTD("money.excel",,$G1340,"CumulativeVolume")</f>
        <v>0</v>
      </c>
      <c r="AO1340" s="284"/>
    </row>
    <row r="1341" spans="1:41">
      <c r="A1341" s="135" t="s">
        <v>2538</v>
      </c>
      <c r="B1341" s="96">
        <v>-27</v>
      </c>
      <c r="C1341" s="96">
        <v>-24</v>
      </c>
      <c r="D1341" s="96">
        <v>96</v>
      </c>
      <c r="E1341" s="96">
        <v>36</v>
      </c>
      <c r="F1341" s="59">
        <v>43.73</v>
      </c>
      <c r="G1341" s="85">
        <v>6581</v>
      </c>
      <c r="H1341" s="4" t="s">
        <v>429</v>
      </c>
      <c r="I1341" s="23" t="s">
        <v>1234</v>
      </c>
      <c r="J1341" s="371">
        <v>91.04</v>
      </c>
      <c r="K1341" s="77">
        <v>0.34</v>
      </c>
      <c r="L1341" s="77">
        <v>0.23</v>
      </c>
      <c r="N1341" s="365">
        <f t="shared" si="377"/>
        <v>91.610000000000014</v>
      </c>
      <c r="O1341" s="343">
        <f t="shared" si="387"/>
        <v>91.04</v>
      </c>
      <c r="P1341" s="195" t="s">
        <v>5554</v>
      </c>
      <c r="Q1341" s="326" t="str">
        <f>IFERROR(VLOOKUP($G1341,主力整理!$A$2:$G$2301,6,0),"0")</f>
        <v>0</v>
      </c>
      <c r="T1341" s="339">
        <f t="shared" si="388"/>
        <v>0</v>
      </c>
      <c r="V1341" s="371">
        <v>68.92</v>
      </c>
      <c r="W1341" s="69">
        <v>3</v>
      </c>
      <c r="X1341" s="59">
        <v>3.66</v>
      </c>
      <c r="Y1341" s="37" t="str">
        <f>RTD("money.excel",,"6581","Price")</f>
        <v>無資料</v>
      </c>
      <c r="Z1341" s="69"/>
      <c r="AA1341" s="16" t="e">
        <f t="shared" si="389"/>
        <v>#VALUE!</v>
      </c>
      <c r="AB1341" s="3" t="e">
        <f t="shared" si="390"/>
        <v>#VALUE!</v>
      </c>
      <c r="AC1341" s="177" t="s">
        <v>2700</v>
      </c>
      <c r="AD1341" s="23" t="s">
        <v>1234</v>
      </c>
      <c r="AG1341" s="34">
        <f t="shared" si="391"/>
        <v>0</v>
      </c>
      <c r="AH1341" s="63" t="s">
        <v>4423</v>
      </c>
      <c r="AI1341" s="131"/>
      <c r="AK1341" s="66">
        <f t="shared" si="385"/>
        <v>0</v>
      </c>
      <c r="AL1341" s="174">
        <f t="shared" si="386"/>
        <v>0</v>
      </c>
      <c r="AM1341" s="346">
        <f>RTD("money.excel",,$G1341,"PredictVolume")</f>
        <v>0</v>
      </c>
      <c r="AN1341" s="272">
        <f>RTD("money.excel",,$G1341,"CumulativeVolume")</f>
        <v>0</v>
      </c>
      <c r="AO1341" s="284"/>
    </row>
    <row r="1342" spans="1:41">
      <c r="A1342" s="135" t="s">
        <v>2696</v>
      </c>
      <c r="B1342" s="84">
        <v>11</v>
      </c>
      <c r="C1342" s="85">
        <v>-2</v>
      </c>
      <c r="D1342" s="84">
        <v>7</v>
      </c>
      <c r="E1342" s="84">
        <v>7</v>
      </c>
      <c r="F1342" s="59">
        <v>21.29</v>
      </c>
      <c r="G1342" s="85">
        <v>6592</v>
      </c>
      <c r="H1342" s="4" t="s">
        <v>429</v>
      </c>
      <c r="I1342" s="163" t="s">
        <v>2687</v>
      </c>
      <c r="J1342" s="371">
        <v>76.680000000000007</v>
      </c>
      <c r="K1342" s="77">
        <v>26.69</v>
      </c>
      <c r="L1342" s="77">
        <v>0.7</v>
      </c>
      <c r="N1342" s="365">
        <f t="shared" si="377"/>
        <v>104.07000000000001</v>
      </c>
      <c r="O1342" s="343">
        <f t="shared" si="387"/>
        <v>76.680000000000007</v>
      </c>
      <c r="P1342" s="195">
        <v>3</v>
      </c>
      <c r="Q1342" s="326">
        <f>IFERROR(VLOOKUP($G1342,主力整理!$A$2:$G$2301,6,0),"0")</f>
        <v>1</v>
      </c>
      <c r="R1342" s="111">
        <v>0</v>
      </c>
      <c r="T1342" s="339">
        <f t="shared" si="388"/>
        <v>4</v>
      </c>
      <c r="V1342" s="371">
        <v>0</v>
      </c>
      <c r="W1342" s="68">
        <v>3.5</v>
      </c>
      <c r="X1342" s="100">
        <v>5.0199999999999996</v>
      </c>
      <c r="Y1342" s="37" t="str">
        <f>RTD("money.excel",,"6592","Price")</f>
        <v>無資料</v>
      </c>
      <c r="Z1342" s="69"/>
      <c r="AA1342" s="16" t="e">
        <f t="shared" si="389"/>
        <v>#VALUE!</v>
      </c>
      <c r="AB1342" s="3" t="e">
        <f t="shared" si="390"/>
        <v>#VALUE!</v>
      </c>
      <c r="AC1342" s="177" t="s">
        <v>6565</v>
      </c>
      <c r="AD1342" s="23" t="s">
        <v>2687</v>
      </c>
      <c r="AE1342" s="123"/>
      <c r="AF1342" s="134"/>
      <c r="AG1342" s="34">
        <f t="shared" si="391"/>
        <v>0</v>
      </c>
      <c r="AH1342" s="50" t="s">
        <v>2731</v>
      </c>
      <c r="AI1342" s="131"/>
      <c r="AK1342" s="66">
        <f t="shared" si="385"/>
        <v>0</v>
      </c>
      <c r="AL1342" s="174">
        <f t="shared" si="386"/>
        <v>0</v>
      </c>
      <c r="AM1342" s="346">
        <f>RTD("money.excel",,$G1342,"PredictVolume")</f>
        <v>0</v>
      </c>
      <c r="AN1342" s="272">
        <f>RTD("money.excel",,$G1342,"CumulativeVolume")</f>
        <v>0</v>
      </c>
      <c r="AO1342" s="284"/>
    </row>
    <row r="1343" spans="1:41">
      <c r="A1343" s="151" t="s">
        <v>6480</v>
      </c>
      <c r="B1343" s="85">
        <v>-178</v>
      </c>
      <c r="C1343" s="85">
        <v>-102</v>
      </c>
      <c r="D1343" s="85">
        <v>-3</v>
      </c>
      <c r="E1343" s="85">
        <v>-31</v>
      </c>
      <c r="F1343" s="7">
        <v>-0.28000000000000003</v>
      </c>
      <c r="G1343" s="85">
        <v>6616</v>
      </c>
      <c r="H1343" s="4" t="s">
        <v>429</v>
      </c>
      <c r="I1343" s="17" t="s">
        <v>1197</v>
      </c>
      <c r="J1343" s="371">
        <v>71.069999999999993</v>
      </c>
      <c r="K1343" s="371">
        <v>77.08</v>
      </c>
      <c r="L1343" s="371"/>
      <c r="M1343" s="371">
        <v>58.62</v>
      </c>
      <c r="N1343" s="365">
        <f>K1343+J1343+L1343+M1343</f>
        <v>206.76999999999998</v>
      </c>
      <c r="O1343" s="343">
        <f t="shared" si="387"/>
        <v>129.69</v>
      </c>
      <c r="P1343" s="195">
        <v>1</v>
      </c>
      <c r="Q1343" s="326">
        <v>1</v>
      </c>
      <c r="R1343" s="111">
        <v>1</v>
      </c>
      <c r="S1343" s="51">
        <v>0</v>
      </c>
      <c r="T1343" s="339">
        <f t="shared" si="388"/>
        <v>3</v>
      </c>
      <c r="V1343" s="371">
        <v>0.08</v>
      </c>
      <c r="W1343" s="35">
        <v>2</v>
      </c>
      <c r="X1343" s="59">
        <v>0.25</v>
      </c>
      <c r="Y1343" s="14" t="str">
        <f>RTD("money.excel",,"6616","Price")</f>
        <v>無資料</v>
      </c>
      <c r="Z1343" s="69"/>
      <c r="AA1343" s="16" t="e">
        <f t="shared" si="389"/>
        <v>#VALUE!</v>
      </c>
      <c r="AB1343" s="3" t="e">
        <f t="shared" si="390"/>
        <v>#VALUE!</v>
      </c>
      <c r="AC1343" s="177" t="s">
        <v>2648</v>
      </c>
      <c r="AD1343" s="17" t="s">
        <v>1197</v>
      </c>
      <c r="AG1343" s="34">
        <f t="shared" si="391"/>
        <v>0</v>
      </c>
      <c r="AH1343" s="44" t="s">
        <v>3926</v>
      </c>
      <c r="AI1343" s="131"/>
      <c r="AK1343" s="66">
        <f t="shared" si="385"/>
        <v>0</v>
      </c>
      <c r="AL1343" s="174">
        <f t="shared" si="386"/>
        <v>0</v>
      </c>
      <c r="AM1343" s="346">
        <f>RTD("money.excel",,$G1343,"PredictVolume")</f>
        <v>0</v>
      </c>
      <c r="AN1343" s="272">
        <f>RTD("money.excel",,$G1343,"CumulativeVolume")</f>
        <v>0</v>
      </c>
      <c r="AO1343" s="284"/>
    </row>
    <row r="1344" spans="1:41">
      <c r="A1344" s="151" t="s">
        <v>4725</v>
      </c>
      <c r="B1344" s="85">
        <v>-133</v>
      </c>
      <c r="C1344" s="85">
        <v>-127</v>
      </c>
      <c r="D1344" s="85">
        <v>-52</v>
      </c>
      <c r="E1344" s="85">
        <v>-37</v>
      </c>
      <c r="F1344" s="7">
        <v>-7.57</v>
      </c>
      <c r="G1344" s="85">
        <v>6624</v>
      </c>
      <c r="H1344" s="4" t="s">
        <v>429</v>
      </c>
      <c r="I1344" s="17" t="s">
        <v>3349</v>
      </c>
      <c r="J1344" s="77">
        <v>26.24</v>
      </c>
      <c r="K1344" s="77">
        <v>0</v>
      </c>
      <c r="N1344" s="365">
        <f t="shared" ref="N1344:N1379" si="392">J1344+K1344+L1344+M1344</f>
        <v>26.24</v>
      </c>
      <c r="O1344" s="343">
        <f t="shared" si="387"/>
        <v>26.24</v>
      </c>
      <c r="P1344" s="195" t="s">
        <v>5554</v>
      </c>
      <c r="Q1344" s="326" t="str">
        <f>IFERROR(VLOOKUP($G1344,主力整理!$A$2:$G$2301,6,0),"0")</f>
        <v>0</v>
      </c>
      <c r="T1344" s="339">
        <f t="shared" si="388"/>
        <v>0</v>
      </c>
      <c r="W1344" s="35">
        <v>0</v>
      </c>
      <c r="X1344" s="100">
        <v>-0.86</v>
      </c>
      <c r="Y1344" s="14" t="str">
        <f>RTD("money.excel",,"6624","Price")</f>
        <v>無資料</v>
      </c>
      <c r="Z1344" s="69"/>
      <c r="AA1344" s="16" t="e">
        <f t="shared" si="389"/>
        <v>#VALUE!</v>
      </c>
      <c r="AB1344" s="3" t="e">
        <f t="shared" si="390"/>
        <v>#VALUE!</v>
      </c>
      <c r="AD1344" s="17" t="s">
        <v>3349</v>
      </c>
      <c r="AG1344" s="34">
        <f t="shared" si="391"/>
        <v>0</v>
      </c>
      <c r="AH1344" s="44" t="s">
        <v>3350</v>
      </c>
      <c r="AI1344" s="284"/>
      <c r="AK1344" s="66">
        <f t="shared" si="385"/>
        <v>0</v>
      </c>
      <c r="AL1344" s="174">
        <f t="shared" si="386"/>
        <v>0</v>
      </c>
      <c r="AM1344" s="346">
        <f>RTD("money.excel",,$G1344,"PredictVolume")</f>
        <v>0</v>
      </c>
      <c r="AN1344" s="272">
        <f>RTD("money.excel",,$G1344,"CumulativeVolume")</f>
        <v>0</v>
      </c>
      <c r="AO1344" s="284"/>
    </row>
    <row r="1345" spans="1:41">
      <c r="A1345" s="151" t="s">
        <v>3312</v>
      </c>
      <c r="B1345" s="85">
        <v>-112</v>
      </c>
      <c r="C1345" s="85">
        <v>-126</v>
      </c>
      <c r="D1345" s="85">
        <v>-39</v>
      </c>
      <c r="E1345" s="84">
        <v>45</v>
      </c>
      <c r="F1345" s="7">
        <v>-27.96</v>
      </c>
      <c r="G1345" s="85">
        <v>6625</v>
      </c>
      <c r="H1345" s="4" t="s">
        <v>429</v>
      </c>
      <c r="I1345" s="23" t="s">
        <v>1235</v>
      </c>
      <c r="J1345" s="371">
        <v>56.24</v>
      </c>
      <c r="K1345" s="77">
        <v>0.21</v>
      </c>
      <c r="L1345" s="371">
        <v>0.78</v>
      </c>
      <c r="N1345" s="365">
        <f t="shared" si="392"/>
        <v>57.230000000000004</v>
      </c>
      <c r="O1345" s="343">
        <f t="shared" si="387"/>
        <v>56.24</v>
      </c>
      <c r="P1345" s="195" t="s">
        <v>5554</v>
      </c>
      <c r="Q1345" s="326" t="str">
        <f>IFERROR(VLOOKUP($G1345,主力整理!$A$2:$G$2301,6,0),"0")</f>
        <v>0</v>
      </c>
      <c r="T1345" s="339">
        <f t="shared" si="388"/>
        <v>0</v>
      </c>
      <c r="V1345" s="371">
        <v>0</v>
      </c>
      <c r="W1345" s="35">
        <v>0</v>
      </c>
      <c r="X1345" s="100">
        <v>-3.43</v>
      </c>
      <c r="Y1345" s="37" t="str">
        <f>RTD("money.excel",,"6625","Price")</f>
        <v>無資料</v>
      </c>
      <c r="Z1345" s="69"/>
      <c r="AA1345" s="16" t="e">
        <f t="shared" si="389"/>
        <v>#VALUE!</v>
      </c>
      <c r="AB1345" s="3" t="e">
        <f t="shared" si="390"/>
        <v>#VALUE!</v>
      </c>
      <c r="AC1345" s="177" t="s">
        <v>2648</v>
      </c>
      <c r="AD1345" s="23" t="s">
        <v>1235</v>
      </c>
      <c r="AG1345" s="34">
        <f t="shared" si="391"/>
        <v>0</v>
      </c>
      <c r="AH1345" s="44" t="s">
        <v>4424</v>
      </c>
      <c r="AI1345" s="131"/>
      <c r="AK1345" s="66">
        <f t="shared" si="385"/>
        <v>0</v>
      </c>
      <c r="AL1345" s="174">
        <f t="shared" si="386"/>
        <v>0</v>
      </c>
      <c r="AM1345" s="346">
        <f>RTD("money.excel",,$G1345,"PredictVolume")</f>
        <v>0</v>
      </c>
      <c r="AN1345" s="272">
        <f>RTD("money.excel",,$G1345,"CumulativeVolume")</f>
        <v>0</v>
      </c>
      <c r="AO1345" s="284"/>
    </row>
    <row r="1346" spans="1:41">
      <c r="A1346" s="135" t="s">
        <v>2740</v>
      </c>
      <c r="B1346" s="84">
        <v>59</v>
      </c>
      <c r="C1346" s="84">
        <v>73</v>
      </c>
      <c r="D1346" s="84">
        <v>17</v>
      </c>
      <c r="E1346" s="84">
        <v>29</v>
      </c>
      <c r="F1346" s="59">
        <v>19.2</v>
      </c>
      <c r="G1346" s="85">
        <v>6629</v>
      </c>
      <c r="H1346" s="4" t="s">
        <v>429</v>
      </c>
      <c r="I1346" s="17" t="s">
        <v>3351</v>
      </c>
      <c r="J1346" s="371">
        <v>83.58</v>
      </c>
      <c r="K1346" s="77">
        <v>85.25</v>
      </c>
      <c r="N1346" s="365">
        <f t="shared" si="392"/>
        <v>168.82999999999998</v>
      </c>
      <c r="O1346" s="343">
        <f t="shared" si="387"/>
        <v>83.58</v>
      </c>
      <c r="P1346" s="195" t="s">
        <v>5554</v>
      </c>
      <c r="Q1346" s="326" t="str">
        <f>IFERROR(VLOOKUP($G1346,主力整理!$A$2:$G$2301,6,0),"0")</f>
        <v>0</v>
      </c>
      <c r="T1346" s="339">
        <f t="shared" si="388"/>
        <v>0</v>
      </c>
      <c r="W1346" s="69">
        <v>4.49</v>
      </c>
      <c r="X1346" s="59">
        <v>6.66</v>
      </c>
      <c r="Y1346" s="14" t="str">
        <f>RTD("money.excel",,"6629","Price")</f>
        <v>無資料</v>
      </c>
      <c r="Z1346" s="69"/>
      <c r="AA1346" s="16" t="e">
        <f t="shared" si="389"/>
        <v>#VALUE!</v>
      </c>
      <c r="AB1346" s="3" t="e">
        <f t="shared" si="390"/>
        <v>#VALUE!</v>
      </c>
      <c r="AC1346" s="177" t="s">
        <v>2700</v>
      </c>
      <c r="AD1346" s="17" t="s">
        <v>3351</v>
      </c>
      <c r="AG1346" s="34">
        <f t="shared" si="391"/>
        <v>0</v>
      </c>
      <c r="AH1346" s="63" t="s">
        <v>3353</v>
      </c>
      <c r="AI1346" s="131"/>
      <c r="AK1346" s="66">
        <f t="shared" si="385"/>
        <v>0</v>
      </c>
      <c r="AL1346" s="174">
        <f t="shared" si="386"/>
        <v>0</v>
      </c>
      <c r="AM1346" s="346">
        <f>RTD("money.excel",,$G1346,"PredictVolume")</f>
        <v>0</v>
      </c>
      <c r="AN1346" s="272">
        <f>RTD("money.excel",,$G1346,"CumulativeVolume")</f>
        <v>0</v>
      </c>
      <c r="AO1346" s="284"/>
    </row>
    <row r="1347" spans="1:41">
      <c r="A1347" s="135" t="s">
        <v>4644</v>
      </c>
      <c r="B1347" s="85">
        <v>-2</v>
      </c>
      <c r="C1347" s="85">
        <v>-1</v>
      </c>
      <c r="D1347" s="84">
        <v>58</v>
      </c>
      <c r="E1347" s="84">
        <v>8</v>
      </c>
      <c r="F1347" s="59">
        <v>10.69</v>
      </c>
      <c r="G1347" s="85">
        <v>6641</v>
      </c>
      <c r="H1347" s="4" t="s">
        <v>429</v>
      </c>
      <c r="I1347" s="23" t="s">
        <v>1754</v>
      </c>
      <c r="J1347" s="371">
        <v>62.05</v>
      </c>
      <c r="K1347" s="77">
        <v>30.81</v>
      </c>
      <c r="L1347" s="371">
        <v>2.13</v>
      </c>
      <c r="N1347" s="365">
        <f t="shared" si="392"/>
        <v>94.99</v>
      </c>
      <c r="O1347" s="343">
        <f t="shared" si="387"/>
        <v>62.05</v>
      </c>
      <c r="P1347" s="195">
        <v>0</v>
      </c>
      <c r="Q1347" s="326" t="str">
        <f>IFERROR(VLOOKUP($G1347,主力整理!$A$2:$G$2301,6,0),"0")</f>
        <v>0</v>
      </c>
      <c r="R1347" s="111">
        <v>2</v>
      </c>
      <c r="S1347" s="51">
        <v>0</v>
      </c>
      <c r="T1347" s="339">
        <f t="shared" si="388"/>
        <v>2</v>
      </c>
      <c r="V1347" s="371">
        <v>0</v>
      </c>
      <c r="W1347" s="69">
        <v>4.5</v>
      </c>
      <c r="X1347" s="100">
        <v>6.49</v>
      </c>
      <c r="Y1347" s="37" t="str">
        <f>RTD("money.excel",,"6641","Price")</f>
        <v>無資料</v>
      </c>
      <c r="Z1347" s="69"/>
      <c r="AA1347" s="16" t="e">
        <f t="shared" si="389"/>
        <v>#VALUE!</v>
      </c>
      <c r="AB1347" s="3" t="e">
        <f t="shared" si="390"/>
        <v>#VALUE!</v>
      </c>
      <c r="AC1347" s="177" t="s">
        <v>2700</v>
      </c>
      <c r="AD1347" s="23" t="s">
        <v>1754</v>
      </c>
      <c r="AG1347" s="34">
        <f t="shared" si="391"/>
        <v>0</v>
      </c>
      <c r="AH1347" s="63" t="s">
        <v>4425</v>
      </c>
      <c r="AI1347" s="131"/>
      <c r="AK1347" s="66">
        <f t="shared" si="385"/>
        <v>0</v>
      </c>
      <c r="AL1347" s="174">
        <f t="shared" si="386"/>
        <v>0</v>
      </c>
      <c r="AM1347" s="346">
        <f>RTD("money.excel",,$G1347,"PredictVolume")</f>
        <v>0</v>
      </c>
      <c r="AN1347" s="272">
        <f>RTD("money.excel",,$G1347,"CumulativeVolume")</f>
        <v>0</v>
      </c>
      <c r="AO1347" s="284"/>
    </row>
    <row r="1348" spans="1:41">
      <c r="A1348" s="135" t="s">
        <v>4833</v>
      </c>
      <c r="B1348" s="84">
        <v>28</v>
      </c>
      <c r="C1348" s="84">
        <v>1</v>
      </c>
      <c r="D1348" s="84">
        <v>6</v>
      </c>
      <c r="E1348" s="85">
        <v>-14</v>
      </c>
      <c r="F1348" s="59">
        <v>12.26</v>
      </c>
      <c r="G1348" s="85">
        <v>6655</v>
      </c>
      <c r="H1348" s="4" t="s">
        <v>429</v>
      </c>
      <c r="I1348" s="23" t="s">
        <v>1755</v>
      </c>
      <c r="J1348" s="77">
        <v>78.349999999999994</v>
      </c>
      <c r="K1348" s="77">
        <v>0.28000000000000003</v>
      </c>
      <c r="L1348" s="77">
        <v>0.12</v>
      </c>
      <c r="N1348" s="365">
        <f t="shared" si="392"/>
        <v>78.75</v>
      </c>
      <c r="O1348" s="343">
        <f t="shared" si="387"/>
        <v>78.349999999999994</v>
      </c>
      <c r="P1348" s="195" t="s">
        <v>5554</v>
      </c>
      <c r="Q1348" s="326" t="str">
        <f>IFERROR(VLOOKUP($G1348,主力整理!$A$2:$G$2301,6,0),"0")</f>
        <v>0</v>
      </c>
      <c r="T1348" s="339">
        <f t="shared" si="388"/>
        <v>0</v>
      </c>
      <c r="W1348" s="35">
        <v>2</v>
      </c>
      <c r="X1348" s="100">
        <v>4.0599999999999996</v>
      </c>
      <c r="Y1348" s="37" t="str">
        <f>RTD("money.excel",,"6655","Price")</f>
        <v>無資料</v>
      </c>
      <c r="Z1348" s="69"/>
      <c r="AA1348" s="16" t="e">
        <f t="shared" si="389"/>
        <v>#VALUE!</v>
      </c>
      <c r="AB1348" s="3" t="e">
        <f t="shared" si="390"/>
        <v>#VALUE!</v>
      </c>
      <c r="AC1348" s="177" t="s">
        <v>2648</v>
      </c>
      <c r="AD1348" s="23" t="s">
        <v>1755</v>
      </c>
      <c r="AG1348" s="34">
        <f t="shared" si="391"/>
        <v>0</v>
      </c>
      <c r="AH1348" s="63" t="s">
        <v>4426</v>
      </c>
      <c r="AI1348" s="131"/>
      <c r="AK1348" s="66">
        <f t="shared" si="385"/>
        <v>0</v>
      </c>
      <c r="AL1348" s="174">
        <f t="shared" si="386"/>
        <v>0</v>
      </c>
      <c r="AM1348" s="346">
        <f>RTD("money.excel",,$G1348,"PredictVolume")</f>
        <v>0</v>
      </c>
      <c r="AN1348" s="272">
        <f>RTD("money.excel",,$G1348,"CumulativeVolume")</f>
        <v>0</v>
      </c>
      <c r="AO1348" s="284"/>
    </row>
    <row r="1349" spans="1:41">
      <c r="A1349" s="135" t="s">
        <v>2566</v>
      </c>
      <c r="B1349" s="84">
        <v>166</v>
      </c>
      <c r="C1349" s="84">
        <v>166</v>
      </c>
      <c r="D1349" s="85">
        <v>-17</v>
      </c>
      <c r="E1349" s="84">
        <v>10</v>
      </c>
      <c r="F1349" s="59">
        <v>14.12</v>
      </c>
      <c r="G1349" s="85">
        <v>6670</v>
      </c>
      <c r="H1349" s="4" t="s">
        <v>429</v>
      </c>
      <c r="I1349" s="23" t="s">
        <v>1756</v>
      </c>
      <c r="J1349" s="77">
        <v>73.36</v>
      </c>
      <c r="K1349" s="77">
        <v>21.19</v>
      </c>
      <c r="L1349" s="77">
        <v>0.9</v>
      </c>
      <c r="N1349" s="365">
        <f t="shared" si="392"/>
        <v>95.45</v>
      </c>
      <c r="O1349" s="343">
        <f t="shared" si="387"/>
        <v>73.36</v>
      </c>
      <c r="P1349" s="195">
        <v>8</v>
      </c>
      <c r="Q1349" s="326" t="str">
        <f>IFERROR(VLOOKUP($G1349,主力整理!$A$2:$G$2301,6,0),"0")</f>
        <v>0</v>
      </c>
      <c r="R1349" s="111">
        <v>2</v>
      </c>
      <c r="S1349" s="51">
        <v>7</v>
      </c>
      <c r="T1349" s="339">
        <f t="shared" si="388"/>
        <v>17</v>
      </c>
      <c r="V1349" s="371">
        <v>0.34</v>
      </c>
      <c r="W1349" s="69">
        <v>6.6</v>
      </c>
      <c r="X1349" s="59">
        <v>14.92</v>
      </c>
      <c r="Y1349" s="37" t="str">
        <f>RTD("money.excel",,"6670","Price")</f>
        <v>無資料</v>
      </c>
      <c r="Z1349" s="69"/>
      <c r="AA1349" s="16" t="e">
        <f t="shared" si="389"/>
        <v>#VALUE!</v>
      </c>
      <c r="AB1349" s="3" t="e">
        <f t="shared" si="390"/>
        <v>#VALUE!</v>
      </c>
      <c r="AC1349" s="177" t="s">
        <v>2929</v>
      </c>
      <c r="AD1349" s="23" t="s">
        <v>1756</v>
      </c>
      <c r="AG1349" s="34">
        <f t="shared" si="391"/>
        <v>0</v>
      </c>
      <c r="AH1349" s="63" t="s">
        <v>4949</v>
      </c>
      <c r="AI1349" s="131"/>
      <c r="AK1349" s="66">
        <f t="shared" si="385"/>
        <v>0</v>
      </c>
      <c r="AL1349" s="174">
        <f t="shared" si="386"/>
        <v>0</v>
      </c>
      <c r="AM1349" s="346">
        <f>RTD("money.excel",,$G1349,"PredictVolume")</f>
        <v>0</v>
      </c>
      <c r="AN1349" s="272">
        <f>RTD("money.excel",,$G1349,"CumulativeVolume")</f>
        <v>0</v>
      </c>
      <c r="AO1349" s="284"/>
    </row>
    <row r="1350" spans="1:41">
      <c r="A1350" s="135" t="s">
        <v>4834</v>
      </c>
      <c r="B1350" s="96">
        <v>32</v>
      </c>
      <c r="C1350" s="96">
        <v>37</v>
      </c>
      <c r="D1350" s="96">
        <v>-21</v>
      </c>
      <c r="E1350" s="96">
        <v>91</v>
      </c>
      <c r="F1350" s="59">
        <v>14.3</v>
      </c>
      <c r="G1350" s="85">
        <v>6671</v>
      </c>
      <c r="H1350" s="4" t="s">
        <v>429</v>
      </c>
      <c r="I1350" s="23" t="s">
        <v>1757</v>
      </c>
      <c r="J1350" s="77">
        <v>83.71</v>
      </c>
      <c r="K1350" s="77">
        <v>62.56</v>
      </c>
      <c r="N1350" s="365">
        <f t="shared" si="392"/>
        <v>146.26999999999998</v>
      </c>
      <c r="O1350" s="343">
        <f t="shared" si="387"/>
        <v>83.71</v>
      </c>
      <c r="P1350" s="195" t="s">
        <v>5554</v>
      </c>
      <c r="Q1350" s="326" t="str">
        <f>IFERROR(VLOOKUP($G1350,主力整理!$A$2:$G$2301,6,0),"0")</f>
        <v>0</v>
      </c>
      <c r="T1350" s="339">
        <f t="shared" si="388"/>
        <v>0</v>
      </c>
      <c r="W1350" s="69">
        <v>3</v>
      </c>
      <c r="X1350" s="59">
        <v>3.66</v>
      </c>
      <c r="Y1350" s="14" t="str">
        <f>RTD("money.excel",,"6671","Price")</f>
        <v>無資料</v>
      </c>
      <c r="Z1350" s="69"/>
      <c r="AA1350" s="16" t="e">
        <f t="shared" si="389"/>
        <v>#VALUE!</v>
      </c>
      <c r="AB1350" s="3" t="e">
        <f t="shared" si="390"/>
        <v>#VALUE!</v>
      </c>
      <c r="AC1350" s="177" t="s">
        <v>2700</v>
      </c>
      <c r="AD1350" s="23" t="s">
        <v>1757</v>
      </c>
      <c r="AG1350" s="34">
        <f t="shared" si="391"/>
        <v>0</v>
      </c>
      <c r="AH1350" s="63" t="s">
        <v>4427</v>
      </c>
      <c r="AI1350" s="131"/>
      <c r="AK1350" s="66">
        <f t="shared" si="385"/>
        <v>0</v>
      </c>
      <c r="AL1350" s="174">
        <f t="shared" si="386"/>
        <v>0</v>
      </c>
      <c r="AM1350" s="346">
        <f>RTD("money.excel",,$G1350,"PredictVolume")</f>
        <v>0</v>
      </c>
      <c r="AN1350" s="272">
        <f>RTD("money.excel",,$G1350,"CumulativeVolume")</f>
        <v>0</v>
      </c>
      <c r="AO1350" s="284"/>
    </row>
    <row r="1351" spans="1:41">
      <c r="A1351" s="135" t="s">
        <v>4835</v>
      </c>
      <c r="B1351" s="85">
        <v>-21</v>
      </c>
      <c r="C1351" s="85">
        <v>-26</v>
      </c>
      <c r="D1351" s="84">
        <v>9</v>
      </c>
      <c r="E1351" s="85">
        <v>-45</v>
      </c>
      <c r="F1351" s="59">
        <v>10.35</v>
      </c>
      <c r="G1351" s="85">
        <v>6754</v>
      </c>
      <c r="H1351" s="4" t="s">
        <v>429</v>
      </c>
      <c r="I1351" s="23" t="s">
        <v>3056</v>
      </c>
      <c r="J1351" s="371">
        <v>85.42</v>
      </c>
      <c r="K1351" s="371">
        <v>24.31</v>
      </c>
      <c r="L1351" s="371"/>
      <c r="N1351" s="365">
        <f t="shared" si="392"/>
        <v>109.73</v>
      </c>
      <c r="O1351" s="343">
        <f t="shared" si="387"/>
        <v>85.42</v>
      </c>
      <c r="P1351" s="195" t="s">
        <v>5554</v>
      </c>
      <c r="Q1351" s="326" t="str">
        <f>IFERROR(VLOOKUP($G1351,主力整理!$A$2:$G$2301,6,0),"0")</f>
        <v>0</v>
      </c>
      <c r="T1351" s="339">
        <f t="shared" si="388"/>
        <v>0</v>
      </c>
      <c r="W1351" s="35">
        <v>2.8</v>
      </c>
      <c r="X1351" s="100">
        <v>3.48</v>
      </c>
      <c r="Y1351" s="37" t="str">
        <f>RTD("money.excel",,"6754","Price")</f>
        <v>無資料</v>
      </c>
      <c r="Z1351" s="69"/>
      <c r="AA1351" s="16" t="e">
        <f t="shared" si="389"/>
        <v>#VALUE!</v>
      </c>
      <c r="AB1351" s="36" t="e">
        <f t="shared" si="390"/>
        <v>#VALUE!</v>
      </c>
      <c r="AD1351" s="23" t="s">
        <v>3056</v>
      </c>
      <c r="AG1351" s="34">
        <f t="shared" si="391"/>
        <v>0</v>
      </c>
      <c r="AH1351" s="21" t="s">
        <v>3058</v>
      </c>
      <c r="AI1351" s="128"/>
      <c r="AK1351" s="66">
        <f t="shared" si="385"/>
        <v>0</v>
      </c>
      <c r="AL1351" s="174">
        <f t="shared" si="386"/>
        <v>0</v>
      </c>
      <c r="AM1351" s="346">
        <f>RTD("money.excel",,$G1351,"PredictVolume")</f>
        <v>0</v>
      </c>
      <c r="AN1351" s="272">
        <f>RTD("money.excel",,$G1351,"CumulativeVolume")</f>
        <v>0</v>
      </c>
      <c r="AO1351" s="34"/>
    </row>
    <row r="1352" spans="1:41">
      <c r="A1352" s="151" t="s">
        <v>3073</v>
      </c>
      <c r="B1352" s="85">
        <v>-60</v>
      </c>
      <c r="C1352" s="85">
        <v>-50</v>
      </c>
      <c r="D1352" s="84">
        <v>13</v>
      </c>
      <c r="E1352" s="85">
        <v>-3</v>
      </c>
      <c r="F1352" s="7">
        <v>5.84</v>
      </c>
      <c r="G1352" s="85">
        <v>6768</v>
      </c>
      <c r="H1352" s="4" t="s">
        <v>429</v>
      </c>
      <c r="I1352" s="23" t="s">
        <v>5137</v>
      </c>
      <c r="J1352" s="371">
        <v>87.21</v>
      </c>
      <c r="K1352" s="77">
        <v>76</v>
      </c>
      <c r="N1352" s="365">
        <f t="shared" si="392"/>
        <v>163.20999999999998</v>
      </c>
      <c r="O1352" s="343">
        <f t="shared" si="387"/>
        <v>87.21</v>
      </c>
      <c r="P1352" s="195">
        <v>1</v>
      </c>
      <c r="Q1352" s="326" t="str">
        <f>IFERROR(VLOOKUP($G1352,主力整理!$A$2:$G$2301,6,0),"0")</f>
        <v>0</v>
      </c>
      <c r="T1352" s="339">
        <f t="shared" si="388"/>
        <v>1</v>
      </c>
      <c r="W1352" s="69">
        <v>3.38</v>
      </c>
      <c r="X1352" s="59" t="s">
        <v>5226</v>
      </c>
      <c r="Y1352" s="14" t="str">
        <f>RTD("money.excel",,"6768","Price")</f>
        <v>無資料</v>
      </c>
      <c r="Z1352" s="69"/>
      <c r="AA1352" s="16" t="e">
        <f t="shared" si="389"/>
        <v>#VALUE!</v>
      </c>
      <c r="AB1352" s="3" t="e">
        <f t="shared" si="390"/>
        <v>#VALUE!</v>
      </c>
      <c r="AC1352" s="177" t="s">
        <v>2929</v>
      </c>
      <c r="AD1352" s="23" t="s">
        <v>5137</v>
      </c>
      <c r="AG1352" s="34">
        <f t="shared" si="391"/>
        <v>0</v>
      </c>
      <c r="AH1352" s="44" t="s">
        <v>5138</v>
      </c>
      <c r="AI1352" s="131"/>
      <c r="AK1352" s="66">
        <f t="shared" si="385"/>
        <v>0</v>
      </c>
      <c r="AL1352" s="174">
        <f t="shared" si="386"/>
        <v>0</v>
      </c>
      <c r="AM1352" s="346">
        <f>RTD("money.excel",,$G1352,"PredictVolume")</f>
        <v>0</v>
      </c>
      <c r="AN1352" s="272">
        <f>RTD("money.excel",,$G1352,"CumulativeVolume")</f>
        <v>0</v>
      </c>
      <c r="AO1352" s="284"/>
    </row>
    <row r="1353" spans="1:41">
      <c r="A1353" s="135" t="s">
        <v>3298</v>
      </c>
      <c r="B1353" s="84">
        <v>4</v>
      </c>
      <c r="C1353" s="85">
        <v>-4</v>
      </c>
      <c r="D1353" s="84">
        <v>11</v>
      </c>
      <c r="E1353" s="85">
        <v>-12</v>
      </c>
      <c r="F1353" s="59">
        <v>15.6</v>
      </c>
      <c r="G1353" s="85">
        <v>6790</v>
      </c>
      <c r="H1353" s="4" t="s">
        <v>429</v>
      </c>
      <c r="I1353" s="23" t="s">
        <v>5612</v>
      </c>
      <c r="J1353" s="77">
        <v>81.87</v>
      </c>
      <c r="K1353" s="371">
        <v>2.91</v>
      </c>
      <c r="L1353" s="371"/>
      <c r="N1353" s="365">
        <f t="shared" si="392"/>
        <v>84.78</v>
      </c>
      <c r="O1353" s="343">
        <f t="shared" si="387"/>
        <v>81.87</v>
      </c>
      <c r="P1353" s="195">
        <v>1</v>
      </c>
      <c r="Q1353" s="326" t="str">
        <f>IFERROR(VLOOKUP($G1353,主力整理!$A$2:$G$2301,6,0),"0")</f>
        <v>0</v>
      </c>
      <c r="S1353" s="51">
        <v>0</v>
      </c>
      <c r="T1353" s="339">
        <f t="shared" si="388"/>
        <v>1</v>
      </c>
      <c r="W1353" s="69">
        <v>4</v>
      </c>
      <c r="X1353" s="59" t="s">
        <v>5226</v>
      </c>
      <c r="Y1353" s="14" t="str">
        <f>RTD("money.excel",,"6790","Price")</f>
        <v>無資料</v>
      </c>
      <c r="Z1353" s="69"/>
      <c r="AA1353" s="16" t="e">
        <f t="shared" si="389"/>
        <v>#VALUE!</v>
      </c>
      <c r="AB1353" s="3" t="e">
        <f t="shared" si="390"/>
        <v>#VALUE!</v>
      </c>
      <c r="AC1353" s="177" t="s">
        <v>2929</v>
      </c>
      <c r="AD1353" s="23" t="s">
        <v>5612</v>
      </c>
      <c r="AG1353" s="34">
        <f t="shared" si="391"/>
        <v>0</v>
      </c>
      <c r="AH1353" s="63" t="s">
        <v>5614</v>
      </c>
      <c r="AI1353" s="131"/>
      <c r="AK1353" s="66">
        <f t="shared" si="385"/>
        <v>0</v>
      </c>
      <c r="AL1353" s="174">
        <f t="shared" si="386"/>
        <v>0</v>
      </c>
      <c r="AM1353" s="346">
        <f>RTD("money.excel",,$G1353,"PredictVolume")</f>
        <v>0</v>
      </c>
      <c r="AN1353" s="272">
        <f>RTD("money.excel",,$G1353,"CumulativeVolume")</f>
        <v>0</v>
      </c>
      <c r="AO1353" s="284"/>
    </row>
    <row r="1354" spans="1:41">
      <c r="A1354" s="135" t="s">
        <v>3338</v>
      </c>
      <c r="B1354" s="84">
        <v>0</v>
      </c>
      <c r="C1354" s="84">
        <v>1</v>
      </c>
      <c r="D1354" s="84">
        <v>1</v>
      </c>
      <c r="E1354" s="84">
        <v>11</v>
      </c>
      <c r="F1354" s="59">
        <v>22.51</v>
      </c>
      <c r="G1354" s="85">
        <v>6803</v>
      </c>
      <c r="H1354" s="4" t="s">
        <v>429</v>
      </c>
      <c r="I1354" s="17" t="s">
        <v>79</v>
      </c>
      <c r="J1354" s="371">
        <v>63.85</v>
      </c>
      <c r="K1354" s="371">
        <v>2.68</v>
      </c>
      <c r="L1354" s="77">
        <v>0.06</v>
      </c>
      <c r="N1354" s="365">
        <f t="shared" si="392"/>
        <v>66.59</v>
      </c>
      <c r="O1354" s="343">
        <f t="shared" si="387"/>
        <v>63.85</v>
      </c>
      <c r="P1354" s="195">
        <v>1</v>
      </c>
      <c r="Q1354" s="326" t="str">
        <f>IFERROR(VLOOKUP($G1354,主力整理!$A$2:$G$2301,6,0),"0")</f>
        <v>0</v>
      </c>
      <c r="T1354" s="339">
        <f t="shared" si="388"/>
        <v>1</v>
      </c>
      <c r="V1354" s="371">
        <v>0</v>
      </c>
      <c r="W1354" s="69">
        <v>11</v>
      </c>
      <c r="X1354" s="59">
        <v>12.54</v>
      </c>
      <c r="Y1354" s="37" t="str">
        <f>RTD("money.excel",,"6803","Price")</f>
        <v>無資料</v>
      </c>
      <c r="Z1354" s="69"/>
      <c r="AA1354" s="16" t="e">
        <f t="shared" si="389"/>
        <v>#VALUE!</v>
      </c>
      <c r="AB1354" s="3" t="e">
        <f t="shared" si="390"/>
        <v>#VALUE!</v>
      </c>
      <c r="AC1354" s="177" t="s">
        <v>2929</v>
      </c>
      <c r="AD1354" s="17" t="s">
        <v>79</v>
      </c>
      <c r="AG1354" s="34">
        <f t="shared" si="391"/>
        <v>0</v>
      </c>
      <c r="AH1354" s="126" t="s">
        <v>2133</v>
      </c>
      <c r="AI1354" s="131"/>
      <c r="AK1354" s="66">
        <f t="shared" si="385"/>
        <v>0</v>
      </c>
      <c r="AL1354" s="174">
        <f t="shared" si="386"/>
        <v>0</v>
      </c>
      <c r="AM1354" s="346">
        <f>RTD("money.excel",,$G1354,"PredictVolume")</f>
        <v>0</v>
      </c>
      <c r="AN1354" s="272">
        <f>RTD("money.excel",,$G1354,"CumulativeVolume")</f>
        <v>0</v>
      </c>
      <c r="AO1354" s="284"/>
    </row>
    <row r="1355" spans="1:41">
      <c r="A1355" s="135" t="s">
        <v>2502</v>
      </c>
      <c r="B1355" s="98">
        <v>3079</v>
      </c>
      <c r="C1355" s="98">
        <v>1960</v>
      </c>
      <c r="D1355" s="84">
        <v>59</v>
      </c>
      <c r="E1355" s="98">
        <v>2788</v>
      </c>
      <c r="F1355" s="59">
        <v>23.5</v>
      </c>
      <c r="G1355" s="85">
        <v>6806</v>
      </c>
      <c r="H1355" s="4" t="s">
        <v>429</v>
      </c>
      <c r="I1355" s="23" t="s">
        <v>6425</v>
      </c>
      <c r="J1355" s="371">
        <v>65.989999999999995</v>
      </c>
      <c r="K1355" s="77">
        <v>0.62</v>
      </c>
      <c r="L1355" s="371"/>
      <c r="M1355" s="371">
        <v>51.52</v>
      </c>
      <c r="N1355" s="365">
        <f t="shared" si="392"/>
        <v>118.13</v>
      </c>
      <c r="O1355" s="369">
        <f t="shared" si="387"/>
        <v>117.50999999999999</v>
      </c>
      <c r="P1355" s="195">
        <v>0</v>
      </c>
      <c r="Q1355" s="326" t="str">
        <f>IFERROR(VLOOKUP($G1355,主力整理!$A$2:$G$2301,6,0),"0")</f>
        <v>0</v>
      </c>
      <c r="R1355" s="111">
        <v>2</v>
      </c>
      <c r="S1355" s="51">
        <v>4</v>
      </c>
      <c r="T1355" s="339">
        <f t="shared" si="388"/>
        <v>6</v>
      </c>
      <c r="W1355" s="35">
        <v>1</v>
      </c>
      <c r="X1355" s="59">
        <v>5.07</v>
      </c>
      <c r="Y1355" s="37" t="str">
        <f>RTD("money.excel",,"6806","Price")</f>
        <v>無資料</v>
      </c>
      <c r="Z1355" s="69"/>
      <c r="AA1355" s="16" t="e">
        <f t="shared" si="389"/>
        <v>#VALUE!</v>
      </c>
      <c r="AB1355" s="3" t="e">
        <f t="shared" si="390"/>
        <v>#VALUE!</v>
      </c>
      <c r="AD1355" s="23" t="s">
        <v>6425</v>
      </c>
      <c r="AG1355" s="34">
        <f t="shared" si="391"/>
        <v>0</v>
      </c>
      <c r="AH1355" s="63" t="s">
        <v>6426</v>
      </c>
      <c r="AI1355" s="131"/>
      <c r="AK1355" s="66">
        <f t="shared" si="385"/>
        <v>0</v>
      </c>
      <c r="AL1355" s="174">
        <f t="shared" si="386"/>
        <v>0</v>
      </c>
      <c r="AM1355" s="346">
        <f>RTD("money.excel",,$G1355,"PredictVolume")</f>
        <v>0</v>
      </c>
      <c r="AN1355" s="272">
        <f>RTD("money.excel",,$G1355,"CumulativeVolume")</f>
        <v>0</v>
      </c>
      <c r="AO1355" s="284"/>
    </row>
    <row r="1356" spans="1:41">
      <c r="A1356" s="151" t="s">
        <v>2550</v>
      </c>
      <c r="B1356" s="85">
        <v>-99</v>
      </c>
      <c r="C1356" s="98">
        <v>1351</v>
      </c>
      <c r="D1356" s="85">
        <v>-5</v>
      </c>
      <c r="E1356" s="84">
        <v>4</v>
      </c>
      <c r="F1356" s="7">
        <v>3.95</v>
      </c>
      <c r="G1356" s="85">
        <v>8033</v>
      </c>
      <c r="H1356" s="4" t="s">
        <v>429</v>
      </c>
      <c r="I1356" s="23" t="s">
        <v>1236</v>
      </c>
      <c r="J1356" s="77">
        <v>19.600000000000001</v>
      </c>
      <c r="K1356" s="371">
        <v>0.66</v>
      </c>
      <c r="N1356" s="365">
        <f t="shared" si="392"/>
        <v>20.260000000000002</v>
      </c>
      <c r="O1356" s="343">
        <f t="shared" si="387"/>
        <v>19.600000000000001</v>
      </c>
      <c r="P1356" s="195">
        <v>1</v>
      </c>
      <c r="Q1356" s="326" t="str">
        <f>IFERROR(VLOOKUP($G1356,主力整理!$A$2:$G$2301,6,0),"0")</f>
        <v>0</v>
      </c>
      <c r="R1356" s="111">
        <v>13</v>
      </c>
      <c r="S1356" s="51">
        <v>0</v>
      </c>
      <c r="T1356" s="339">
        <f t="shared" si="388"/>
        <v>14</v>
      </c>
      <c r="W1356" s="35">
        <v>0</v>
      </c>
      <c r="X1356" s="100">
        <v>-0.11</v>
      </c>
      <c r="Y1356" s="37" t="str">
        <f>RTD("money.excel",,"8033","Price")</f>
        <v>無資料</v>
      </c>
      <c r="Z1356" s="69"/>
      <c r="AA1356" s="16" t="e">
        <f t="shared" si="389"/>
        <v>#VALUE!</v>
      </c>
      <c r="AB1356" s="3" t="e">
        <f t="shared" si="390"/>
        <v>#VALUE!</v>
      </c>
      <c r="AC1356" s="177" t="s">
        <v>2648</v>
      </c>
      <c r="AD1356" s="23" t="s">
        <v>1236</v>
      </c>
      <c r="AG1356" s="34">
        <f t="shared" si="391"/>
        <v>0</v>
      </c>
      <c r="AH1356" s="44" t="s">
        <v>3502</v>
      </c>
      <c r="AI1356" s="131"/>
      <c r="AJ1356" s="264" t="s">
        <v>5277</v>
      </c>
      <c r="AK1356" s="66">
        <f t="shared" si="385"/>
        <v>0</v>
      </c>
      <c r="AL1356" s="174">
        <f t="shared" si="386"/>
        <v>0</v>
      </c>
      <c r="AM1356" s="346">
        <f>RTD("money.excel",,$G1356,"PredictVolume")</f>
        <v>0</v>
      </c>
      <c r="AN1356" s="272">
        <f>RTD("money.excel",,$G1356,"CumulativeVolume")</f>
        <v>0</v>
      </c>
      <c r="AO1356" s="284"/>
    </row>
    <row r="1357" spans="1:41">
      <c r="A1357" s="135" t="s">
        <v>2538</v>
      </c>
      <c r="B1357" s="85">
        <v>-3</v>
      </c>
      <c r="C1357" s="84">
        <v>5</v>
      </c>
      <c r="D1357" s="84">
        <v>11</v>
      </c>
      <c r="E1357" s="84">
        <v>17</v>
      </c>
      <c r="F1357" s="59">
        <v>43.26</v>
      </c>
      <c r="G1357" s="85">
        <v>8341</v>
      </c>
      <c r="H1357" s="4" t="s">
        <v>429</v>
      </c>
      <c r="I1357" s="23" t="s">
        <v>1237</v>
      </c>
      <c r="J1357" s="77">
        <v>55.84</v>
      </c>
      <c r="K1357" s="371">
        <v>23.44</v>
      </c>
      <c r="L1357" s="371">
        <v>2.2400000000000002</v>
      </c>
      <c r="N1357" s="365">
        <f t="shared" si="392"/>
        <v>81.52</v>
      </c>
      <c r="O1357" s="343">
        <f t="shared" si="387"/>
        <v>55.84</v>
      </c>
      <c r="P1357" s="195" t="s">
        <v>5554</v>
      </c>
      <c r="Q1357" s="326" t="str">
        <f>IFERROR(VLOOKUP($G1357,主力整理!$A$2:$G$2301,6,0),"0")</f>
        <v>0</v>
      </c>
      <c r="T1357" s="339">
        <f t="shared" si="388"/>
        <v>0</v>
      </c>
      <c r="V1357" s="371">
        <v>0.02</v>
      </c>
      <c r="W1357" s="69">
        <v>8.1999999999999993</v>
      </c>
      <c r="X1357" s="100">
        <v>8.91</v>
      </c>
      <c r="Y1357" s="37" t="str">
        <f>RTD("money.excel",,"8341","Price")</f>
        <v>無資料</v>
      </c>
      <c r="Z1357" s="69"/>
      <c r="AA1357" s="16" t="e">
        <f t="shared" si="389"/>
        <v>#VALUE!</v>
      </c>
      <c r="AB1357" s="3" t="e">
        <f t="shared" si="390"/>
        <v>#VALUE!</v>
      </c>
      <c r="AC1357" s="177" t="s">
        <v>2700</v>
      </c>
      <c r="AD1357" s="23" t="s">
        <v>1237</v>
      </c>
      <c r="AG1357" s="34">
        <f t="shared" si="391"/>
        <v>0</v>
      </c>
      <c r="AH1357" s="63" t="s">
        <v>2174</v>
      </c>
      <c r="AI1357" s="131"/>
      <c r="AK1357" s="66">
        <f t="shared" si="385"/>
        <v>0</v>
      </c>
      <c r="AL1357" s="174">
        <f t="shared" si="386"/>
        <v>0</v>
      </c>
      <c r="AM1357" s="346">
        <f>RTD("money.excel",,$G1357,"PredictVolume")</f>
        <v>0</v>
      </c>
      <c r="AN1357" s="272">
        <f>RTD("money.excel",,$G1357,"CumulativeVolume")</f>
        <v>0</v>
      </c>
      <c r="AO1357" s="284"/>
    </row>
    <row r="1358" spans="1:41">
      <c r="A1358" s="151" t="s">
        <v>2562</v>
      </c>
      <c r="B1358" s="84">
        <v>77</v>
      </c>
      <c r="C1358" s="84">
        <v>39</v>
      </c>
      <c r="D1358" s="84">
        <v>35</v>
      </c>
      <c r="E1358" s="85">
        <v>-11</v>
      </c>
      <c r="F1358" s="7">
        <v>9.1199999999999992</v>
      </c>
      <c r="G1358" s="85">
        <v>8342</v>
      </c>
      <c r="H1358" s="4" t="s">
        <v>429</v>
      </c>
      <c r="I1358" s="17" t="s">
        <v>1198</v>
      </c>
      <c r="J1358" s="77">
        <v>56.88</v>
      </c>
      <c r="K1358" s="77">
        <v>0.27</v>
      </c>
      <c r="L1358" s="371">
        <v>0.31</v>
      </c>
      <c r="N1358" s="365">
        <f t="shared" si="392"/>
        <v>57.460000000000008</v>
      </c>
      <c r="O1358" s="343">
        <f t="shared" si="387"/>
        <v>56.88</v>
      </c>
      <c r="P1358" s="195" t="s">
        <v>5554</v>
      </c>
      <c r="Q1358" s="326" t="str">
        <f>IFERROR(VLOOKUP($G1358,主力整理!$A$2:$G$2301,6,0),"0")</f>
        <v>0</v>
      </c>
      <c r="T1358" s="339">
        <f t="shared" si="388"/>
        <v>0</v>
      </c>
      <c r="V1358" s="371">
        <v>0</v>
      </c>
      <c r="W1358" s="69">
        <v>4</v>
      </c>
      <c r="X1358" s="59">
        <v>5.63</v>
      </c>
      <c r="Y1358" s="37" t="str">
        <f>RTD("money.excel",,"8342","Price")</f>
        <v>無資料</v>
      </c>
      <c r="Z1358" s="69"/>
      <c r="AA1358" s="16" t="e">
        <f t="shared" si="389"/>
        <v>#VALUE!</v>
      </c>
      <c r="AB1358" s="3" t="e">
        <f t="shared" si="390"/>
        <v>#VALUE!</v>
      </c>
      <c r="AC1358" s="177" t="s">
        <v>2700</v>
      </c>
      <c r="AD1358" s="17" t="s">
        <v>1198</v>
      </c>
      <c r="AG1358" s="34">
        <f t="shared" si="391"/>
        <v>0</v>
      </c>
      <c r="AH1358" s="44" t="s">
        <v>3927</v>
      </c>
      <c r="AI1358" s="131"/>
      <c r="AK1358" s="66">
        <f t="shared" si="385"/>
        <v>0</v>
      </c>
      <c r="AL1358" s="174">
        <f t="shared" si="386"/>
        <v>0</v>
      </c>
      <c r="AM1358" s="346">
        <f>RTD("money.excel",,$G1358,"PredictVolume")</f>
        <v>0</v>
      </c>
      <c r="AN1358" s="272">
        <f>RTD("money.excel",,$G1358,"CumulativeVolume")</f>
        <v>0</v>
      </c>
      <c r="AO1358" s="284"/>
    </row>
    <row r="1359" spans="1:41">
      <c r="A1359" s="135" t="s">
        <v>2525</v>
      </c>
      <c r="B1359" s="84">
        <v>285</v>
      </c>
      <c r="C1359" s="84">
        <v>305</v>
      </c>
      <c r="D1359" s="85">
        <v>-15</v>
      </c>
      <c r="E1359" s="84">
        <v>40</v>
      </c>
      <c r="F1359" s="59">
        <v>18.61</v>
      </c>
      <c r="G1359" s="85">
        <v>8390</v>
      </c>
      <c r="H1359" s="4" t="s">
        <v>429</v>
      </c>
      <c r="I1359" s="17" t="s">
        <v>1199</v>
      </c>
      <c r="J1359" s="371">
        <v>41.17</v>
      </c>
      <c r="K1359" s="371">
        <v>18.28</v>
      </c>
      <c r="L1359" s="371">
        <v>19.34</v>
      </c>
      <c r="N1359" s="365">
        <f t="shared" si="392"/>
        <v>78.790000000000006</v>
      </c>
      <c r="O1359" s="343">
        <f t="shared" si="387"/>
        <v>41.17</v>
      </c>
      <c r="P1359" s="195" t="s">
        <v>5554</v>
      </c>
      <c r="Q1359" s="326" t="str">
        <f>IFERROR(VLOOKUP($G1359,主力整理!$A$2:$G$2301,6,0),"0")</f>
        <v>0</v>
      </c>
      <c r="R1359" s="111">
        <v>14</v>
      </c>
      <c r="T1359" s="339">
        <f t="shared" si="388"/>
        <v>14</v>
      </c>
      <c r="V1359" s="371">
        <v>1.25</v>
      </c>
      <c r="W1359" s="35">
        <v>1.6</v>
      </c>
      <c r="X1359" s="100">
        <v>3.37</v>
      </c>
      <c r="Y1359" s="37" t="str">
        <f>RTD("money.excel",,"8390","Price")</f>
        <v>無資料</v>
      </c>
      <c r="Z1359" s="69"/>
      <c r="AA1359" s="16" t="e">
        <f t="shared" si="389"/>
        <v>#VALUE!</v>
      </c>
      <c r="AB1359" s="3" t="e">
        <f t="shared" si="390"/>
        <v>#VALUE!</v>
      </c>
      <c r="AD1359" s="17" t="s">
        <v>1199</v>
      </c>
      <c r="AG1359" s="34">
        <f t="shared" si="391"/>
        <v>0</v>
      </c>
      <c r="AH1359" s="63" t="s">
        <v>4931</v>
      </c>
      <c r="AI1359" s="131"/>
      <c r="AK1359" s="66">
        <f t="shared" si="385"/>
        <v>0</v>
      </c>
      <c r="AL1359" s="174">
        <f t="shared" si="386"/>
        <v>0</v>
      </c>
      <c r="AM1359" s="346">
        <f>RTD("money.excel",,$G1359,"PredictVolume")</f>
        <v>0</v>
      </c>
      <c r="AN1359" s="272">
        <f>RTD("money.excel",,$G1359,"CumulativeVolume")</f>
        <v>0</v>
      </c>
      <c r="AO1359" s="284"/>
    </row>
    <row r="1360" spans="1:41">
      <c r="A1360" s="151" t="s">
        <v>3291</v>
      </c>
      <c r="B1360" s="96">
        <v>600</v>
      </c>
      <c r="C1360" s="96">
        <v>259</v>
      </c>
      <c r="D1360" s="96">
        <v>-13</v>
      </c>
      <c r="E1360" s="96">
        <v>60</v>
      </c>
      <c r="F1360" s="7">
        <v>1.24</v>
      </c>
      <c r="G1360" s="85">
        <v>8401</v>
      </c>
      <c r="H1360" s="4" t="s">
        <v>429</v>
      </c>
      <c r="I1360" s="17" t="s">
        <v>1200</v>
      </c>
      <c r="J1360" s="77">
        <v>50.71</v>
      </c>
      <c r="K1360" s="77">
        <v>1.07</v>
      </c>
      <c r="L1360" s="77">
        <v>8.81</v>
      </c>
      <c r="N1360" s="365">
        <f t="shared" si="392"/>
        <v>60.59</v>
      </c>
      <c r="O1360" s="343">
        <f t="shared" si="387"/>
        <v>50.71</v>
      </c>
      <c r="P1360" s="195" t="s">
        <v>5554</v>
      </c>
      <c r="Q1360" s="326" t="str">
        <f>IFERROR(VLOOKUP($G1360,主力整理!$A$2:$G$2301,6,0),"0")</f>
        <v>0</v>
      </c>
      <c r="T1360" s="339">
        <f t="shared" si="388"/>
        <v>0</v>
      </c>
      <c r="V1360" s="371">
        <v>16.16</v>
      </c>
      <c r="W1360" s="35">
        <v>0.67</v>
      </c>
      <c r="X1360" s="100">
        <v>0.75</v>
      </c>
      <c r="Y1360" s="14" t="str">
        <f>RTD("money.excel",,"8401","Price")</f>
        <v>無資料</v>
      </c>
      <c r="Z1360" s="69"/>
      <c r="AA1360" s="16" t="e">
        <f t="shared" si="389"/>
        <v>#VALUE!</v>
      </c>
      <c r="AB1360" s="3" t="e">
        <f t="shared" si="390"/>
        <v>#VALUE!</v>
      </c>
      <c r="AD1360" s="17" t="s">
        <v>1200</v>
      </c>
      <c r="AG1360" s="34">
        <f t="shared" si="391"/>
        <v>0</v>
      </c>
      <c r="AH1360" s="44" t="s">
        <v>3928</v>
      </c>
      <c r="AK1360" s="66">
        <f t="shared" si="385"/>
        <v>0</v>
      </c>
      <c r="AL1360" s="174">
        <f t="shared" si="386"/>
        <v>0</v>
      </c>
      <c r="AM1360" s="346">
        <f>RTD("money.excel",,$G1360,"PredictVolume")</f>
        <v>0</v>
      </c>
      <c r="AN1360" s="272">
        <f>RTD("money.excel",,$G1360,"CumulativeVolume")</f>
        <v>0</v>
      </c>
    </row>
    <row r="1361" spans="1:41">
      <c r="A1361" s="135" t="s">
        <v>4836</v>
      </c>
      <c r="B1361" s="84">
        <v>186</v>
      </c>
      <c r="C1361" s="84">
        <v>131</v>
      </c>
      <c r="D1361" s="85">
        <v>-14</v>
      </c>
      <c r="E1361" s="84">
        <v>43</v>
      </c>
      <c r="F1361" s="59">
        <v>25.9</v>
      </c>
      <c r="G1361" s="85">
        <v>8404</v>
      </c>
      <c r="H1361" s="4" t="s">
        <v>429</v>
      </c>
      <c r="I1361" s="23" t="s">
        <v>1758</v>
      </c>
      <c r="J1361" s="371">
        <v>73.790000000000006</v>
      </c>
      <c r="K1361" s="371">
        <v>58.43</v>
      </c>
      <c r="L1361" s="371">
        <v>3.02</v>
      </c>
      <c r="N1361" s="365">
        <f t="shared" si="392"/>
        <v>135.24</v>
      </c>
      <c r="O1361" s="343">
        <f t="shared" si="387"/>
        <v>73.790000000000006</v>
      </c>
      <c r="P1361" s="195">
        <v>1</v>
      </c>
      <c r="Q1361" s="326" t="str">
        <f>IFERROR(VLOOKUP($G1361,主力整理!$A$2:$G$2301,6,0),"0")</f>
        <v>0</v>
      </c>
      <c r="R1361" s="111">
        <v>5</v>
      </c>
      <c r="S1361" s="51">
        <v>1</v>
      </c>
      <c r="T1361" s="339">
        <f t="shared" si="388"/>
        <v>7</v>
      </c>
      <c r="V1361" s="371">
        <v>0</v>
      </c>
      <c r="W1361" s="35">
        <v>1</v>
      </c>
      <c r="X1361" s="59">
        <v>3.65</v>
      </c>
      <c r="Y1361" s="14" t="str">
        <f>RTD("money.excel",,"8404","Price")</f>
        <v>無資料</v>
      </c>
      <c r="Z1361" s="69"/>
      <c r="AA1361" s="16" t="e">
        <f t="shared" si="389"/>
        <v>#VALUE!</v>
      </c>
      <c r="AB1361" s="3" t="e">
        <f t="shared" si="390"/>
        <v>#VALUE!</v>
      </c>
      <c r="AC1361" s="177" t="s">
        <v>2648</v>
      </c>
      <c r="AD1361" s="23" t="s">
        <v>1758</v>
      </c>
      <c r="AG1361" s="34">
        <f t="shared" si="391"/>
        <v>0</v>
      </c>
      <c r="AH1361" s="50" t="s">
        <v>4428</v>
      </c>
      <c r="AI1361" s="131"/>
      <c r="AK1361" s="66">
        <f t="shared" si="385"/>
        <v>0</v>
      </c>
      <c r="AL1361" s="174">
        <f t="shared" si="386"/>
        <v>0</v>
      </c>
      <c r="AM1361" s="346">
        <f>RTD("money.excel",,$G1361,"PredictVolume")</f>
        <v>0</v>
      </c>
      <c r="AN1361" s="272">
        <f>RTD("money.excel",,$G1361,"CumulativeVolume")</f>
        <v>0</v>
      </c>
      <c r="AO1361" s="284"/>
    </row>
    <row r="1362" spans="1:41">
      <c r="A1362" s="151" t="s">
        <v>2520</v>
      </c>
      <c r="B1362" s="96">
        <v>150</v>
      </c>
      <c r="C1362" s="96">
        <v>308</v>
      </c>
      <c r="D1362" s="96">
        <v>13</v>
      </c>
      <c r="E1362" s="96">
        <v>65</v>
      </c>
      <c r="F1362" s="7">
        <v>-1.46</v>
      </c>
      <c r="G1362" s="85">
        <v>8411</v>
      </c>
      <c r="H1362" s="4" t="s">
        <v>429</v>
      </c>
      <c r="I1362" s="23" t="s">
        <v>1238</v>
      </c>
      <c r="J1362" s="77">
        <v>80.239999999999995</v>
      </c>
      <c r="K1362" s="77">
        <v>62.35</v>
      </c>
      <c r="L1362" s="77">
        <v>2.0699999999999998</v>
      </c>
      <c r="N1362" s="365">
        <f t="shared" si="392"/>
        <v>144.66</v>
      </c>
      <c r="O1362" s="343">
        <f t="shared" si="387"/>
        <v>80.239999999999995</v>
      </c>
      <c r="P1362" s="195">
        <v>1</v>
      </c>
      <c r="Q1362" s="326" t="str">
        <f>IFERROR(VLOOKUP($G1362,主力整理!$A$2:$G$2301,6,0),"0")</f>
        <v>0</v>
      </c>
      <c r="T1362" s="339">
        <f t="shared" si="388"/>
        <v>1</v>
      </c>
      <c r="V1362" s="371">
        <v>5.54</v>
      </c>
      <c r="W1362" s="35">
        <v>0.17</v>
      </c>
      <c r="X1362" s="59">
        <v>0.38</v>
      </c>
      <c r="Y1362" s="14" t="str">
        <f>RTD("money.excel",,"8411","Price")</f>
        <v>無資料</v>
      </c>
      <c r="Z1362" s="69"/>
      <c r="AA1362" s="16" t="e">
        <f t="shared" si="389"/>
        <v>#VALUE!</v>
      </c>
      <c r="AB1362" s="3" t="e">
        <f t="shared" si="390"/>
        <v>#VALUE!</v>
      </c>
      <c r="AC1362" s="177" t="s">
        <v>2648</v>
      </c>
      <c r="AD1362" s="23" t="s">
        <v>1238</v>
      </c>
      <c r="AG1362" s="34">
        <f t="shared" si="391"/>
        <v>0</v>
      </c>
      <c r="AH1362" s="44" t="s">
        <v>4429</v>
      </c>
      <c r="AI1362" s="128"/>
      <c r="AK1362" s="66">
        <f t="shared" si="385"/>
        <v>0</v>
      </c>
      <c r="AL1362" s="174">
        <f t="shared" si="386"/>
        <v>0</v>
      </c>
      <c r="AM1362" s="346">
        <f>RTD("money.excel",,$G1362,"PredictVolume")</f>
        <v>0</v>
      </c>
      <c r="AN1362" s="272">
        <f>RTD("money.excel",,$G1362,"CumulativeVolume")</f>
        <v>0</v>
      </c>
      <c r="AO1362" s="34"/>
    </row>
    <row r="1363" spans="1:41">
      <c r="A1363" s="151" t="s">
        <v>3092</v>
      </c>
      <c r="B1363" s="85">
        <v>-58</v>
      </c>
      <c r="C1363" s="85">
        <v>-94</v>
      </c>
      <c r="D1363" s="84">
        <v>27</v>
      </c>
      <c r="E1363" s="85">
        <v>-21</v>
      </c>
      <c r="F1363" s="7">
        <v>-8.56</v>
      </c>
      <c r="G1363" s="85">
        <v>8418</v>
      </c>
      <c r="H1363" s="4" t="s">
        <v>429</v>
      </c>
      <c r="I1363" s="17" t="s">
        <v>1763</v>
      </c>
      <c r="J1363" s="77">
        <v>87.47</v>
      </c>
      <c r="K1363" s="77">
        <v>89.59</v>
      </c>
      <c r="L1363" s="371">
        <v>0.14000000000000001</v>
      </c>
      <c r="N1363" s="365">
        <f t="shared" si="392"/>
        <v>177.2</v>
      </c>
      <c r="O1363" s="343">
        <f t="shared" si="387"/>
        <v>87.47</v>
      </c>
      <c r="P1363" s="195" t="s">
        <v>5554</v>
      </c>
      <c r="Q1363" s="326" t="str">
        <f>IFERROR(VLOOKUP($G1363,主力整理!$A$2:$G$2301,6,0),"0")</f>
        <v>0</v>
      </c>
      <c r="T1363" s="339">
        <f t="shared" si="388"/>
        <v>0</v>
      </c>
      <c r="V1363" s="371">
        <v>0</v>
      </c>
      <c r="W1363" s="35">
        <v>0</v>
      </c>
      <c r="X1363" s="59">
        <v>-1.7</v>
      </c>
      <c r="Y1363" s="14" t="str">
        <f>RTD("money.excel",,"8418","Price")</f>
        <v>無資料</v>
      </c>
      <c r="Z1363" s="69"/>
      <c r="AA1363" s="16" t="e">
        <f t="shared" si="389"/>
        <v>#VALUE!</v>
      </c>
      <c r="AB1363" s="3" t="e">
        <f t="shared" si="390"/>
        <v>#VALUE!</v>
      </c>
      <c r="AD1363" s="17" t="s">
        <v>1763</v>
      </c>
      <c r="AG1363" s="34">
        <f t="shared" si="391"/>
        <v>0</v>
      </c>
      <c r="AH1363" s="44" t="s">
        <v>3929</v>
      </c>
      <c r="AI1363" s="131"/>
      <c r="AK1363" s="66">
        <f t="shared" si="385"/>
        <v>0</v>
      </c>
      <c r="AL1363" s="174">
        <f t="shared" si="386"/>
        <v>0</v>
      </c>
      <c r="AM1363" s="346">
        <f>RTD("money.excel",,$G1363,"PredictVolume")</f>
        <v>0</v>
      </c>
      <c r="AN1363" s="272">
        <f>RTD("money.excel",,$G1363,"CumulativeVolume")</f>
        <v>0</v>
      </c>
      <c r="AO1363" s="284"/>
    </row>
    <row r="1364" spans="1:41">
      <c r="A1364" s="151" t="s">
        <v>4597</v>
      </c>
      <c r="B1364" s="84">
        <v>-68</v>
      </c>
      <c r="C1364" s="84">
        <v>-84</v>
      </c>
      <c r="D1364" s="84">
        <v>-15</v>
      </c>
      <c r="E1364" s="84">
        <v>51</v>
      </c>
      <c r="F1364" s="7">
        <v>1.84</v>
      </c>
      <c r="G1364" s="85">
        <v>8420</v>
      </c>
      <c r="H1364" s="4" t="s">
        <v>429</v>
      </c>
      <c r="I1364" s="17" t="s">
        <v>299</v>
      </c>
      <c r="J1364" s="77">
        <v>78.760000000000005</v>
      </c>
      <c r="K1364" s="77">
        <v>0.01</v>
      </c>
      <c r="L1364" s="77">
        <v>3.32</v>
      </c>
      <c r="N1364" s="365">
        <f t="shared" si="392"/>
        <v>82.09</v>
      </c>
      <c r="O1364" s="343">
        <f t="shared" si="387"/>
        <v>78.760000000000005</v>
      </c>
      <c r="P1364" s="195">
        <v>3</v>
      </c>
      <c r="Q1364" s="326" t="str">
        <f>IFERROR(VLOOKUP($G1364,主力整理!$A$2:$G$2301,6,0),"0")</f>
        <v>0</v>
      </c>
      <c r="T1364" s="339">
        <f t="shared" si="388"/>
        <v>3</v>
      </c>
      <c r="V1364" s="371">
        <v>65.290000000000006</v>
      </c>
      <c r="W1364" s="35">
        <v>0.8</v>
      </c>
      <c r="X1364" s="59">
        <v>1.48</v>
      </c>
      <c r="Y1364" s="37" t="str">
        <f>RTD("money.excel",,"8420","Price")</f>
        <v>無資料</v>
      </c>
      <c r="Z1364" s="69"/>
      <c r="AA1364" s="16" t="e">
        <f t="shared" si="389"/>
        <v>#VALUE!</v>
      </c>
      <c r="AB1364" s="3" t="e">
        <f t="shared" si="390"/>
        <v>#VALUE!</v>
      </c>
      <c r="AC1364" s="177" t="s">
        <v>2648</v>
      </c>
      <c r="AD1364" s="17" t="s">
        <v>299</v>
      </c>
      <c r="AG1364" s="34">
        <f t="shared" si="391"/>
        <v>0</v>
      </c>
      <c r="AH1364" s="125" t="s">
        <v>2681</v>
      </c>
      <c r="AI1364" s="131"/>
      <c r="AK1364" s="66">
        <f t="shared" si="385"/>
        <v>0</v>
      </c>
      <c r="AL1364" s="174">
        <f t="shared" si="386"/>
        <v>0</v>
      </c>
      <c r="AM1364" s="346">
        <f>RTD("money.excel",,$G1364,"PredictVolume")</f>
        <v>0</v>
      </c>
      <c r="AN1364" s="272">
        <f>RTD("money.excel",,$G1364,"CumulativeVolume")</f>
        <v>0</v>
      </c>
      <c r="AO1364" s="284"/>
    </row>
    <row r="1365" spans="1:41">
      <c r="A1365" s="151" t="s">
        <v>2428</v>
      </c>
      <c r="B1365" s="214">
        <v>-5310</v>
      </c>
      <c r="C1365" s="96">
        <v>-282</v>
      </c>
      <c r="D1365" s="96">
        <v>-7</v>
      </c>
      <c r="E1365" s="96">
        <v>24</v>
      </c>
      <c r="F1365" s="7">
        <v>-1.76</v>
      </c>
      <c r="G1365" s="85">
        <v>8421</v>
      </c>
      <c r="H1365" s="4" t="s">
        <v>429</v>
      </c>
      <c r="I1365" s="17" t="s">
        <v>1201</v>
      </c>
      <c r="J1365" s="77">
        <v>62.42</v>
      </c>
      <c r="K1365" s="77">
        <v>0.35</v>
      </c>
      <c r="L1365" s="77">
        <v>41.25</v>
      </c>
      <c r="N1365" s="365">
        <f t="shared" si="392"/>
        <v>104.02000000000001</v>
      </c>
      <c r="O1365" s="343">
        <f t="shared" si="387"/>
        <v>62.42</v>
      </c>
      <c r="P1365" s="195" t="s">
        <v>5554</v>
      </c>
      <c r="Q1365" s="326" t="str">
        <f>IFERROR(VLOOKUP($G1365,主力整理!$A$2:$G$2301,6,0),"0")</f>
        <v>0</v>
      </c>
      <c r="T1365" s="339">
        <f t="shared" si="388"/>
        <v>0</v>
      </c>
      <c r="V1365" s="371">
        <v>31.49</v>
      </c>
      <c r="W1365" s="35">
        <v>0</v>
      </c>
      <c r="X1365" s="100">
        <v>-1.87</v>
      </c>
      <c r="Y1365" s="14" t="str">
        <f>RTD("money.excel",,"8421","Price")</f>
        <v>無資料</v>
      </c>
      <c r="Z1365" s="69"/>
      <c r="AA1365" s="16" t="e">
        <f t="shared" si="389"/>
        <v>#VALUE!</v>
      </c>
      <c r="AB1365" s="3" t="e">
        <f t="shared" si="390"/>
        <v>#VALUE!</v>
      </c>
      <c r="AD1365" s="17" t="s">
        <v>1201</v>
      </c>
      <c r="AG1365" s="34">
        <f t="shared" si="391"/>
        <v>0</v>
      </c>
      <c r="AH1365" s="44" t="s">
        <v>3930</v>
      </c>
      <c r="AK1365" s="66">
        <f t="shared" si="385"/>
        <v>0</v>
      </c>
      <c r="AL1365" s="174">
        <f t="shared" si="386"/>
        <v>0</v>
      </c>
      <c r="AM1365" s="346">
        <f>RTD("money.excel",,$G1365,"PredictVolume")</f>
        <v>0</v>
      </c>
      <c r="AN1365" s="272">
        <f>RTD("money.excel",,$G1365,"CumulativeVolume")</f>
        <v>0</v>
      </c>
      <c r="AO1365" s="284"/>
    </row>
    <row r="1366" spans="1:41">
      <c r="A1366" s="135" t="s">
        <v>2583</v>
      </c>
      <c r="B1366" s="84">
        <v>7</v>
      </c>
      <c r="C1366" s="84">
        <v>10</v>
      </c>
      <c r="D1366" s="84">
        <v>10</v>
      </c>
      <c r="E1366" s="84">
        <v>33</v>
      </c>
      <c r="F1366" s="59">
        <v>53.69</v>
      </c>
      <c r="G1366" s="85">
        <v>8422</v>
      </c>
      <c r="H1366" s="4" t="s">
        <v>429</v>
      </c>
      <c r="I1366" s="23" t="s">
        <v>1239</v>
      </c>
      <c r="J1366" s="77">
        <v>44.57</v>
      </c>
      <c r="K1366" s="77">
        <v>27.75</v>
      </c>
      <c r="L1366" s="77">
        <v>18.93</v>
      </c>
      <c r="M1366" s="371">
        <v>17.32</v>
      </c>
      <c r="N1366" s="365">
        <f t="shared" si="392"/>
        <v>108.57</v>
      </c>
      <c r="O1366" s="343">
        <f t="shared" si="387"/>
        <v>61.89</v>
      </c>
      <c r="P1366" s="195">
        <v>1</v>
      </c>
      <c r="Q1366" s="326">
        <v>7</v>
      </c>
      <c r="R1366" s="111">
        <v>11</v>
      </c>
      <c r="S1366" s="51">
        <v>12</v>
      </c>
      <c r="T1366" s="339">
        <f t="shared" si="388"/>
        <v>31</v>
      </c>
      <c r="U1366" s="329" t="s">
        <v>6539</v>
      </c>
      <c r="V1366" s="371">
        <v>3.51</v>
      </c>
      <c r="W1366" s="69">
        <v>10</v>
      </c>
      <c r="X1366" s="100">
        <v>11.4</v>
      </c>
      <c r="Y1366" s="37" t="str">
        <f>RTD("money.excel",,"8422","Price")</f>
        <v>無資料</v>
      </c>
      <c r="Z1366" s="69"/>
      <c r="AA1366" s="16" t="e">
        <f t="shared" si="389"/>
        <v>#VALUE!</v>
      </c>
      <c r="AB1366" s="3" t="e">
        <f t="shared" si="390"/>
        <v>#VALUE!</v>
      </c>
      <c r="AC1366" s="177" t="s">
        <v>2929</v>
      </c>
      <c r="AD1366" s="23" t="s">
        <v>1239</v>
      </c>
      <c r="AG1366" s="34">
        <f t="shared" si="391"/>
        <v>0</v>
      </c>
      <c r="AH1366" s="63" t="s">
        <v>4430</v>
      </c>
      <c r="AI1366" s="284"/>
      <c r="AK1366" s="66">
        <f t="shared" si="385"/>
        <v>0</v>
      </c>
      <c r="AL1366" s="174">
        <f t="shared" si="386"/>
        <v>0</v>
      </c>
      <c r="AM1366" s="346">
        <f>RTD("money.excel",,$G1366,"PredictVolume")</f>
        <v>0</v>
      </c>
      <c r="AN1366" s="272">
        <f>RTD("money.excel",,$G1366,"CumulativeVolume")</f>
        <v>0</v>
      </c>
      <c r="AO1366" s="284"/>
    </row>
    <row r="1367" spans="1:41">
      <c r="A1367" s="151" t="s">
        <v>3515</v>
      </c>
      <c r="B1367" s="96">
        <v>-49</v>
      </c>
      <c r="C1367" s="96">
        <v>-41</v>
      </c>
      <c r="D1367" s="96">
        <v>-8</v>
      </c>
      <c r="E1367" s="96">
        <v>35</v>
      </c>
      <c r="F1367" s="7">
        <v>8.6300000000000008</v>
      </c>
      <c r="G1367" s="85">
        <v>8423</v>
      </c>
      <c r="H1367" s="4" t="s">
        <v>429</v>
      </c>
      <c r="I1367" s="17" t="s">
        <v>1202</v>
      </c>
      <c r="J1367" s="77">
        <v>72.819999999999993</v>
      </c>
      <c r="K1367" s="77">
        <v>38.26</v>
      </c>
      <c r="N1367" s="365">
        <f t="shared" si="392"/>
        <v>111.07999999999998</v>
      </c>
      <c r="O1367" s="343">
        <f t="shared" ref="O1367:O1398" si="393">J1367+M1367</f>
        <v>72.819999999999993</v>
      </c>
      <c r="P1367" s="195" t="s">
        <v>5554</v>
      </c>
      <c r="Q1367" s="326" t="str">
        <f>IFERROR(VLOOKUP($G1367,主力整理!$A$2:$G$2301,6,0),"0")</f>
        <v>0</v>
      </c>
      <c r="T1367" s="339">
        <f t="shared" ref="T1367:T1398" si="394">SUM(P1367:S1367)</f>
        <v>0</v>
      </c>
      <c r="V1367" s="371">
        <v>3.56</v>
      </c>
      <c r="W1367" s="35">
        <v>0.9</v>
      </c>
      <c r="X1367" s="100">
        <v>0.94</v>
      </c>
      <c r="Y1367" s="14" t="str">
        <f>RTD("money.excel",,"8423","Price")</f>
        <v>無資料</v>
      </c>
      <c r="Z1367" s="69"/>
      <c r="AA1367" s="16" t="e">
        <f t="shared" ref="AA1367:AA1398" si="395">Y1367-Z1367</f>
        <v>#VALUE!</v>
      </c>
      <c r="AB1367" s="3" t="e">
        <f t="shared" ref="AB1367:AB1398" si="396">AA1367/Z1367</f>
        <v>#VALUE!</v>
      </c>
      <c r="AD1367" s="17" t="s">
        <v>1202</v>
      </c>
      <c r="AG1367" s="34">
        <f t="shared" ref="AG1367:AG1398" si="397">AF1367-AE1367</f>
        <v>0</v>
      </c>
      <c r="AH1367" s="44" t="s">
        <v>3931</v>
      </c>
      <c r="AI1367" s="131"/>
      <c r="AK1367" s="66">
        <f t="shared" si="385"/>
        <v>0</v>
      </c>
      <c r="AL1367" s="174">
        <f t="shared" si="386"/>
        <v>0</v>
      </c>
      <c r="AM1367" s="346">
        <f>RTD("money.excel",,$G1367,"PredictVolume")</f>
        <v>0</v>
      </c>
      <c r="AN1367" s="272">
        <f>RTD("money.excel",,$G1367,"CumulativeVolume")</f>
        <v>0</v>
      </c>
      <c r="AO1367" s="284"/>
    </row>
    <row r="1368" spans="1:41">
      <c r="A1368" s="151" t="s">
        <v>2367</v>
      </c>
      <c r="B1368" s="96">
        <v>-231</v>
      </c>
      <c r="C1368" s="96">
        <v>-581</v>
      </c>
      <c r="D1368" s="96">
        <v>58</v>
      </c>
      <c r="E1368" s="96">
        <v>58</v>
      </c>
      <c r="F1368" s="7">
        <v>-9.09</v>
      </c>
      <c r="G1368" s="85">
        <v>8426</v>
      </c>
      <c r="H1368" s="4" t="s">
        <v>429</v>
      </c>
      <c r="I1368" s="17" t="s">
        <v>1203</v>
      </c>
      <c r="J1368" s="77">
        <v>75.39</v>
      </c>
      <c r="K1368" s="77">
        <v>66.37</v>
      </c>
      <c r="L1368" s="77">
        <v>2.0699999999999998</v>
      </c>
      <c r="N1368" s="365">
        <f t="shared" si="392"/>
        <v>143.82999999999998</v>
      </c>
      <c r="O1368" s="343">
        <f t="shared" si="393"/>
        <v>75.39</v>
      </c>
      <c r="P1368" s="195" t="s">
        <v>5554</v>
      </c>
      <c r="Q1368" s="326" t="str">
        <f>IFERROR(VLOOKUP($G1368,主力整理!$A$2:$G$2301,6,0),"0")</f>
        <v>0</v>
      </c>
      <c r="T1368" s="339">
        <f t="shared" si="394"/>
        <v>0</v>
      </c>
      <c r="V1368" s="371">
        <v>64.08</v>
      </c>
      <c r="W1368" s="35">
        <v>0</v>
      </c>
      <c r="X1368" s="59">
        <v>-2.52</v>
      </c>
      <c r="Y1368" s="14" t="str">
        <f>RTD("money.excel",,"8426","Price")</f>
        <v>無資料</v>
      </c>
      <c r="Z1368" s="69"/>
      <c r="AA1368" s="16" t="e">
        <f t="shared" si="395"/>
        <v>#VALUE!</v>
      </c>
      <c r="AB1368" s="3" t="e">
        <f t="shared" si="396"/>
        <v>#VALUE!</v>
      </c>
      <c r="AD1368" s="17" t="s">
        <v>1203</v>
      </c>
      <c r="AG1368" s="34">
        <f t="shared" si="397"/>
        <v>0</v>
      </c>
      <c r="AH1368" s="44" t="s">
        <v>3932</v>
      </c>
      <c r="AI1368" s="284"/>
      <c r="AK1368" s="66">
        <f t="shared" si="385"/>
        <v>0</v>
      </c>
      <c r="AL1368" s="174">
        <f t="shared" si="386"/>
        <v>0</v>
      </c>
      <c r="AM1368" s="346">
        <f>RTD("money.excel",,$G1368,"PredictVolume")</f>
        <v>0</v>
      </c>
      <c r="AN1368" s="272">
        <f>RTD("money.excel",,$G1368,"CumulativeVolume")</f>
        <v>0</v>
      </c>
      <c r="AO1368" s="284"/>
    </row>
    <row r="1369" spans="1:41">
      <c r="A1369" s="151" t="s">
        <v>2626</v>
      </c>
      <c r="B1369" s="96">
        <v>-335</v>
      </c>
      <c r="C1369" s="96">
        <v>-284</v>
      </c>
      <c r="D1369" s="96">
        <v>47</v>
      </c>
      <c r="E1369" s="96">
        <v>-41</v>
      </c>
      <c r="F1369" s="7">
        <v>-5.19</v>
      </c>
      <c r="G1369" s="85">
        <v>8427</v>
      </c>
      <c r="H1369" s="4" t="s">
        <v>429</v>
      </c>
      <c r="I1369" s="23" t="s">
        <v>1240</v>
      </c>
      <c r="J1369" s="77">
        <v>91.3</v>
      </c>
      <c r="K1369" s="77">
        <v>35.39</v>
      </c>
      <c r="L1369" s="77">
        <v>1.46</v>
      </c>
      <c r="N1369" s="365">
        <f t="shared" si="392"/>
        <v>128.15</v>
      </c>
      <c r="O1369" s="343">
        <f t="shared" si="393"/>
        <v>91.3</v>
      </c>
      <c r="P1369" s="195" t="s">
        <v>5554</v>
      </c>
      <c r="Q1369" s="326" t="str">
        <f>IFERROR(VLOOKUP($G1369,主力整理!$A$2:$G$2301,6,0),"0")</f>
        <v>0</v>
      </c>
      <c r="T1369" s="339">
        <f t="shared" si="394"/>
        <v>0</v>
      </c>
      <c r="V1369" s="371">
        <v>45.4</v>
      </c>
      <c r="W1369" s="35">
        <v>0</v>
      </c>
      <c r="X1369" s="100">
        <v>-1.1499999999999999</v>
      </c>
      <c r="Y1369" s="14" t="str">
        <f>RTD("money.excel",,"8427","Price")</f>
        <v>無資料</v>
      </c>
      <c r="Z1369" s="69"/>
      <c r="AA1369" s="16" t="e">
        <f t="shared" si="395"/>
        <v>#VALUE!</v>
      </c>
      <c r="AB1369" s="3" t="e">
        <f t="shared" si="396"/>
        <v>#VALUE!</v>
      </c>
      <c r="AC1369" s="177" t="s">
        <v>2648</v>
      </c>
      <c r="AD1369" s="23" t="s">
        <v>1240</v>
      </c>
      <c r="AG1369" s="34">
        <f t="shared" si="397"/>
        <v>0</v>
      </c>
      <c r="AH1369" s="44" t="s">
        <v>4431</v>
      </c>
      <c r="AI1369" s="131"/>
      <c r="AK1369" s="66">
        <f t="shared" ref="AK1369:AK1428" si="398">AM1369/(A1369*10000)</f>
        <v>0</v>
      </c>
      <c r="AL1369" s="174">
        <f t="shared" ref="AL1369:AL1428" si="399">AN1369/(A1369*10000)</f>
        <v>0</v>
      </c>
      <c r="AM1369" s="346">
        <f>RTD("money.excel",,$G1369,"PredictVolume")</f>
        <v>0</v>
      </c>
      <c r="AN1369" s="272">
        <f>RTD("money.excel",,$G1369,"CumulativeVolume")</f>
        <v>0</v>
      </c>
      <c r="AO1369" s="284"/>
    </row>
    <row r="1370" spans="1:41">
      <c r="A1370" s="135" t="s">
        <v>2633</v>
      </c>
      <c r="B1370" s="85">
        <v>-28</v>
      </c>
      <c r="C1370" s="85">
        <v>-19</v>
      </c>
      <c r="D1370" s="85">
        <v>-4</v>
      </c>
      <c r="E1370" s="85">
        <v>-5</v>
      </c>
      <c r="F1370" s="59">
        <v>17.14</v>
      </c>
      <c r="G1370" s="85">
        <v>8435</v>
      </c>
      <c r="H1370" s="4" t="s">
        <v>429</v>
      </c>
      <c r="I1370" s="17" t="s">
        <v>1204</v>
      </c>
      <c r="J1370" s="371">
        <v>45.19</v>
      </c>
      <c r="K1370" s="371">
        <v>0.12</v>
      </c>
      <c r="L1370" s="371">
        <v>2.9</v>
      </c>
      <c r="N1370" s="365">
        <f t="shared" si="392"/>
        <v>48.209999999999994</v>
      </c>
      <c r="O1370" s="343">
        <f t="shared" si="393"/>
        <v>45.19</v>
      </c>
      <c r="P1370" s="195" t="s">
        <v>5554</v>
      </c>
      <c r="Q1370" s="326" t="str">
        <f>IFERROR(VLOOKUP($G1370,主力整理!$A$2:$G$2301,6,0),"0")</f>
        <v>0</v>
      </c>
      <c r="T1370" s="339">
        <f t="shared" si="394"/>
        <v>0</v>
      </c>
      <c r="V1370" s="371">
        <v>0</v>
      </c>
      <c r="W1370" s="69">
        <v>3.5</v>
      </c>
      <c r="X1370" s="100">
        <v>3.54</v>
      </c>
      <c r="Y1370" s="37" t="str">
        <f>RTD("money.excel",,"8435","Price")</f>
        <v>無資料</v>
      </c>
      <c r="Z1370" s="69"/>
      <c r="AA1370" s="16" t="e">
        <f t="shared" si="395"/>
        <v>#VALUE!</v>
      </c>
      <c r="AB1370" s="3" t="e">
        <f t="shared" si="396"/>
        <v>#VALUE!</v>
      </c>
      <c r="AC1370" s="177" t="s">
        <v>2700</v>
      </c>
      <c r="AD1370" s="17" t="s">
        <v>1204</v>
      </c>
      <c r="AG1370" s="34">
        <f t="shared" si="397"/>
        <v>0</v>
      </c>
      <c r="AH1370" s="63" t="s">
        <v>3933</v>
      </c>
      <c r="AI1370" s="131"/>
      <c r="AK1370" s="66">
        <f t="shared" si="398"/>
        <v>0</v>
      </c>
      <c r="AL1370" s="174">
        <f t="shared" si="399"/>
        <v>0</v>
      </c>
      <c r="AM1370" s="346">
        <f>RTD("money.excel",,$G1370,"PredictVolume")</f>
        <v>0</v>
      </c>
      <c r="AN1370" s="272">
        <f>RTD("money.excel",,$G1370,"CumulativeVolume")</f>
        <v>0</v>
      </c>
      <c r="AO1370" s="284"/>
    </row>
    <row r="1371" spans="1:41">
      <c r="A1371" s="135" t="s">
        <v>2216</v>
      </c>
      <c r="B1371" s="85">
        <v>-76</v>
      </c>
      <c r="C1371" s="85">
        <v>-80</v>
      </c>
      <c r="D1371" s="84">
        <v>-17</v>
      </c>
      <c r="E1371" s="85">
        <v>-68</v>
      </c>
      <c r="F1371" s="59">
        <v>38.020000000000003</v>
      </c>
      <c r="G1371" s="85">
        <v>8437</v>
      </c>
      <c r="H1371" s="4" t="s">
        <v>429</v>
      </c>
      <c r="I1371" s="17" t="s">
        <v>1205</v>
      </c>
      <c r="J1371" s="371">
        <v>59.89</v>
      </c>
      <c r="K1371" s="371">
        <v>49.92</v>
      </c>
      <c r="L1371" s="371">
        <v>0.48</v>
      </c>
      <c r="N1371" s="365">
        <f t="shared" si="392"/>
        <v>110.29</v>
      </c>
      <c r="O1371" s="343">
        <f t="shared" si="393"/>
        <v>59.89</v>
      </c>
      <c r="P1371" s="195" t="s">
        <v>5554</v>
      </c>
      <c r="Q1371" s="326" t="str">
        <f>IFERROR(VLOOKUP($G1371,主力整理!$A$2:$G$2301,6,0),"0")</f>
        <v>0</v>
      </c>
      <c r="T1371" s="339">
        <f t="shared" si="394"/>
        <v>0</v>
      </c>
      <c r="V1371" s="371">
        <v>0</v>
      </c>
      <c r="W1371" s="69">
        <v>3</v>
      </c>
      <c r="X1371" s="100">
        <v>2.72</v>
      </c>
      <c r="Y1371" s="14" t="str">
        <f>RTD("money.excel",,"8437","Price")</f>
        <v>無資料</v>
      </c>
      <c r="Z1371" s="69"/>
      <c r="AA1371" s="16" t="e">
        <f t="shared" si="395"/>
        <v>#VALUE!</v>
      </c>
      <c r="AB1371" s="3" t="e">
        <f t="shared" si="396"/>
        <v>#VALUE!</v>
      </c>
      <c r="AC1371" s="177" t="s">
        <v>2700</v>
      </c>
      <c r="AD1371" s="17" t="s">
        <v>1205</v>
      </c>
      <c r="AG1371" s="34">
        <f t="shared" si="397"/>
        <v>0</v>
      </c>
      <c r="AH1371" s="63" t="s">
        <v>3934</v>
      </c>
      <c r="AI1371" s="131"/>
      <c r="AK1371" s="66">
        <f t="shared" si="398"/>
        <v>0</v>
      </c>
      <c r="AL1371" s="174">
        <f t="shared" si="399"/>
        <v>0</v>
      </c>
      <c r="AM1371" s="346">
        <f>RTD("money.excel",,$G1371,"PredictVolume")</f>
        <v>0</v>
      </c>
      <c r="AN1371" s="272">
        <f>RTD("money.excel",,$G1371,"CumulativeVolume")</f>
        <v>0</v>
      </c>
      <c r="AO1371" s="284"/>
    </row>
    <row r="1372" spans="1:41">
      <c r="A1372" s="151" t="s">
        <v>3450</v>
      </c>
      <c r="B1372" s="96">
        <v>6</v>
      </c>
      <c r="C1372" s="96">
        <v>-13</v>
      </c>
      <c r="D1372" s="96">
        <v>-14</v>
      </c>
      <c r="E1372" s="96">
        <v>30</v>
      </c>
      <c r="F1372" s="7">
        <v>1.62</v>
      </c>
      <c r="G1372" s="85">
        <v>8440</v>
      </c>
      <c r="H1372" s="4" t="s">
        <v>429</v>
      </c>
      <c r="I1372" s="17" t="s">
        <v>1206</v>
      </c>
      <c r="J1372" s="77">
        <v>73.5</v>
      </c>
      <c r="K1372" s="77">
        <v>0</v>
      </c>
      <c r="L1372" s="77">
        <v>7.0000000000000007E-2</v>
      </c>
      <c r="N1372" s="365">
        <f t="shared" si="392"/>
        <v>73.569999999999993</v>
      </c>
      <c r="O1372" s="343">
        <f t="shared" si="393"/>
        <v>73.5</v>
      </c>
      <c r="P1372" s="195" t="s">
        <v>5554</v>
      </c>
      <c r="Q1372" s="326" t="str">
        <f>IFERROR(VLOOKUP($G1372,主力整理!$A$2:$G$2301,6,0),"0")</f>
        <v>0</v>
      </c>
      <c r="T1372" s="339">
        <f t="shared" si="394"/>
        <v>0</v>
      </c>
      <c r="V1372" s="371">
        <v>51.05</v>
      </c>
      <c r="W1372" s="35">
        <v>0.3</v>
      </c>
      <c r="X1372" s="100">
        <v>0.6</v>
      </c>
      <c r="Y1372" s="14" t="str">
        <f>RTD("money.excel",,"8440","Price")</f>
        <v>無資料</v>
      </c>
      <c r="Z1372" s="69"/>
      <c r="AA1372" s="16" t="e">
        <f t="shared" si="395"/>
        <v>#VALUE!</v>
      </c>
      <c r="AB1372" s="3" t="e">
        <f t="shared" si="396"/>
        <v>#VALUE!</v>
      </c>
      <c r="AD1372" s="17" t="s">
        <v>1206</v>
      </c>
      <c r="AG1372" s="34">
        <f t="shared" si="397"/>
        <v>0</v>
      </c>
      <c r="AH1372" s="44" t="s">
        <v>3935</v>
      </c>
      <c r="AI1372" s="131"/>
      <c r="AK1372" s="66">
        <f t="shared" si="398"/>
        <v>0</v>
      </c>
      <c r="AL1372" s="174">
        <f t="shared" si="399"/>
        <v>0</v>
      </c>
      <c r="AM1372" s="346">
        <f>RTD("money.excel",,$G1372,"PredictVolume")</f>
        <v>0</v>
      </c>
      <c r="AN1372" s="272">
        <f>RTD("money.excel",,$G1372,"CumulativeVolume")</f>
        <v>0</v>
      </c>
      <c r="AO1372" s="284"/>
    </row>
    <row r="1373" spans="1:41">
      <c r="A1373" s="151" t="s">
        <v>3291</v>
      </c>
      <c r="B1373" s="85">
        <v>-136</v>
      </c>
      <c r="C1373" s="85">
        <v>-117</v>
      </c>
      <c r="D1373" s="84">
        <v>50</v>
      </c>
      <c r="E1373" s="85">
        <v>-32</v>
      </c>
      <c r="F1373" s="7">
        <v>-1.1100000000000001</v>
      </c>
      <c r="G1373" s="85">
        <v>8442</v>
      </c>
      <c r="H1373" s="4" t="s">
        <v>429</v>
      </c>
      <c r="I1373" s="23" t="s">
        <v>1261</v>
      </c>
      <c r="J1373" s="77">
        <v>68.22</v>
      </c>
      <c r="K1373" s="77">
        <v>63.72</v>
      </c>
      <c r="N1373" s="365">
        <f t="shared" si="392"/>
        <v>131.94</v>
      </c>
      <c r="O1373" s="343">
        <f t="shared" si="393"/>
        <v>68.22</v>
      </c>
      <c r="P1373" s="195">
        <v>2</v>
      </c>
      <c r="Q1373" s="326" t="str">
        <f>IFERROR(VLOOKUP($G1373,主力整理!$A$2:$G$2301,6,0),"0")</f>
        <v>0</v>
      </c>
      <c r="T1373" s="339">
        <f t="shared" si="394"/>
        <v>2</v>
      </c>
      <c r="W1373" s="35">
        <v>0.3</v>
      </c>
      <c r="X1373" s="59">
        <v>-2.56</v>
      </c>
      <c r="Y1373" s="14" t="str">
        <f>RTD("money.excel",,"8442","Price")</f>
        <v>無資料</v>
      </c>
      <c r="Z1373" s="69"/>
      <c r="AA1373" s="16" t="e">
        <f t="shared" si="395"/>
        <v>#VALUE!</v>
      </c>
      <c r="AB1373" s="3" t="e">
        <f t="shared" si="396"/>
        <v>#VALUE!</v>
      </c>
      <c r="AC1373" s="177" t="s">
        <v>2648</v>
      </c>
      <c r="AD1373" s="23" t="s">
        <v>1261</v>
      </c>
      <c r="AG1373" s="34">
        <f t="shared" si="397"/>
        <v>0</v>
      </c>
      <c r="AH1373" s="44" t="s">
        <v>3460</v>
      </c>
      <c r="AI1373" s="52"/>
      <c r="AK1373" s="66">
        <f t="shared" si="398"/>
        <v>0</v>
      </c>
      <c r="AL1373" s="174">
        <f t="shared" si="399"/>
        <v>0</v>
      </c>
      <c r="AM1373" s="346">
        <f>RTD("money.excel",,$G1373,"PredictVolume")</f>
        <v>0</v>
      </c>
      <c r="AN1373" s="272">
        <f>RTD("money.excel",,$G1373,"CumulativeVolume")</f>
        <v>0</v>
      </c>
      <c r="AO1373" s="19"/>
    </row>
    <row r="1374" spans="1:41">
      <c r="A1374" s="151" t="s">
        <v>4793</v>
      </c>
      <c r="B1374" s="84">
        <v>300</v>
      </c>
      <c r="C1374" s="84">
        <v>229</v>
      </c>
      <c r="D1374" s="84">
        <v>35</v>
      </c>
      <c r="E1374" s="84">
        <v>10</v>
      </c>
      <c r="F1374" s="7">
        <v>4.12</v>
      </c>
      <c r="G1374" s="85">
        <v>8444</v>
      </c>
      <c r="H1374" s="4" t="s">
        <v>429</v>
      </c>
      <c r="I1374" s="17" t="s">
        <v>407</v>
      </c>
      <c r="J1374" s="371">
        <v>76.13</v>
      </c>
      <c r="K1374" s="371">
        <v>65.7</v>
      </c>
      <c r="L1374" s="371">
        <v>9.34</v>
      </c>
      <c r="N1374" s="365">
        <f t="shared" si="392"/>
        <v>151.16999999999999</v>
      </c>
      <c r="O1374" s="343">
        <f t="shared" si="393"/>
        <v>76.13</v>
      </c>
      <c r="P1374" s="195">
        <v>0</v>
      </c>
      <c r="Q1374" s="326" t="str">
        <f>IFERROR(VLOOKUP($G1374,主力整理!$A$2:$G$2301,6,0),"0")</f>
        <v>0</v>
      </c>
      <c r="R1374" s="111">
        <v>3</v>
      </c>
      <c r="S1374" s="51">
        <v>0</v>
      </c>
      <c r="T1374" s="339">
        <f t="shared" si="394"/>
        <v>3</v>
      </c>
      <c r="V1374" s="371">
        <v>0.05</v>
      </c>
      <c r="W1374" s="35">
        <v>0</v>
      </c>
      <c r="X1374" s="59">
        <v>1.71</v>
      </c>
      <c r="Y1374" s="14" t="str">
        <f>RTD("money.excel",,"8444","Price")</f>
        <v>無資料</v>
      </c>
      <c r="Z1374" s="69"/>
      <c r="AA1374" s="16" t="e">
        <f t="shared" si="395"/>
        <v>#VALUE!</v>
      </c>
      <c r="AB1374" s="3" t="e">
        <f t="shared" si="396"/>
        <v>#VALUE!</v>
      </c>
      <c r="AD1374" s="17" t="s">
        <v>407</v>
      </c>
      <c r="AG1374" s="34">
        <f t="shared" si="397"/>
        <v>0</v>
      </c>
      <c r="AH1374" s="125" t="s">
        <v>3936</v>
      </c>
      <c r="AI1374" s="131"/>
      <c r="AK1374" s="66">
        <f t="shared" si="398"/>
        <v>0</v>
      </c>
      <c r="AL1374" s="174">
        <f t="shared" si="399"/>
        <v>0</v>
      </c>
      <c r="AM1374" s="346">
        <f>RTD("money.excel",,$G1374,"PredictVolume")</f>
        <v>0</v>
      </c>
      <c r="AN1374" s="272">
        <f>RTD("money.excel",,$G1374,"CumulativeVolume")</f>
        <v>0</v>
      </c>
      <c r="AO1374" s="284"/>
    </row>
    <row r="1375" spans="1:41">
      <c r="A1375" s="151" t="s">
        <v>3576</v>
      </c>
      <c r="B1375" s="96">
        <v>-17</v>
      </c>
      <c r="C1375" s="96">
        <v>-9</v>
      </c>
      <c r="D1375" s="96">
        <v>22</v>
      </c>
      <c r="E1375" s="96">
        <v>11</v>
      </c>
      <c r="F1375" s="7">
        <v>3.36</v>
      </c>
      <c r="G1375" s="85">
        <v>8463</v>
      </c>
      <c r="H1375" s="4" t="s">
        <v>429</v>
      </c>
      <c r="I1375" s="23" t="s">
        <v>1241</v>
      </c>
      <c r="J1375" s="77">
        <v>81.260000000000005</v>
      </c>
      <c r="K1375" s="77">
        <v>0.74</v>
      </c>
      <c r="L1375" s="77">
        <v>10.52</v>
      </c>
      <c r="N1375" s="365">
        <f t="shared" si="392"/>
        <v>92.52</v>
      </c>
      <c r="O1375" s="343">
        <f t="shared" si="393"/>
        <v>81.260000000000005</v>
      </c>
      <c r="P1375" s="195" t="s">
        <v>5554</v>
      </c>
      <c r="Q1375" s="326" t="str">
        <f>IFERROR(VLOOKUP($G1375,主力整理!$A$2:$G$2301,6,0),"0")</f>
        <v>0</v>
      </c>
      <c r="T1375" s="339">
        <f t="shared" si="394"/>
        <v>0</v>
      </c>
      <c r="V1375" s="371">
        <v>48.77</v>
      </c>
      <c r="W1375" s="35">
        <v>0.77</v>
      </c>
      <c r="X1375" s="59">
        <v>0.87</v>
      </c>
      <c r="Y1375" s="37" t="str">
        <f>RTD("money.excel",,"8463","Price")</f>
        <v>無資料</v>
      </c>
      <c r="Z1375" s="69"/>
      <c r="AA1375" s="16" t="e">
        <f t="shared" si="395"/>
        <v>#VALUE!</v>
      </c>
      <c r="AB1375" s="3" t="e">
        <f t="shared" si="396"/>
        <v>#VALUE!</v>
      </c>
      <c r="AD1375" s="23" t="s">
        <v>1241</v>
      </c>
      <c r="AG1375" s="34">
        <f t="shared" si="397"/>
        <v>0</v>
      </c>
      <c r="AH1375" s="44" t="s">
        <v>4432</v>
      </c>
      <c r="AI1375" s="131"/>
      <c r="AK1375" s="66">
        <f t="shared" si="398"/>
        <v>0</v>
      </c>
      <c r="AL1375" s="174">
        <f t="shared" si="399"/>
        <v>0</v>
      </c>
      <c r="AM1375" s="346">
        <f>RTD("money.excel",,$G1375,"PredictVolume")</f>
        <v>0</v>
      </c>
      <c r="AN1375" s="272">
        <f>RTD("money.excel",,$G1375,"CumulativeVolume")</f>
        <v>0</v>
      </c>
      <c r="AO1375" s="284"/>
    </row>
    <row r="1376" spans="1:41">
      <c r="A1376" s="135" t="s">
        <v>2541</v>
      </c>
      <c r="B1376" s="84">
        <v>5</v>
      </c>
      <c r="C1376" s="84">
        <v>10</v>
      </c>
      <c r="D1376" s="84">
        <v>7</v>
      </c>
      <c r="E1376" s="84">
        <v>11</v>
      </c>
      <c r="F1376" s="59">
        <v>28.37</v>
      </c>
      <c r="G1376" s="85">
        <v>8464</v>
      </c>
      <c r="H1376" s="53" t="s">
        <v>429</v>
      </c>
      <c r="I1376" s="23" t="s">
        <v>474</v>
      </c>
      <c r="J1376" s="371">
        <v>72.3</v>
      </c>
      <c r="K1376" s="77">
        <v>47.97</v>
      </c>
      <c r="L1376" s="77">
        <v>12.68</v>
      </c>
      <c r="N1376" s="365">
        <f t="shared" si="392"/>
        <v>132.94999999999999</v>
      </c>
      <c r="O1376" s="343">
        <f t="shared" si="393"/>
        <v>72.3</v>
      </c>
      <c r="P1376" s="195">
        <v>8</v>
      </c>
      <c r="Q1376" s="326" t="str">
        <f>IFERROR(VLOOKUP($G1376,主力整理!$A$2:$G$2301,6,0),"0")</f>
        <v>0</v>
      </c>
      <c r="R1376" s="111">
        <v>2</v>
      </c>
      <c r="T1376" s="339">
        <f t="shared" si="394"/>
        <v>10</v>
      </c>
      <c r="V1376" s="371">
        <v>0.08</v>
      </c>
      <c r="W1376" s="69">
        <v>10</v>
      </c>
      <c r="X1376" s="100">
        <v>16.37</v>
      </c>
      <c r="Y1376" s="14" t="str">
        <f>RTD("money.excel",,"8464","Price")</f>
        <v>無資料</v>
      </c>
      <c r="Z1376" s="69"/>
      <c r="AA1376" s="16" t="e">
        <f t="shared" si="395"/>
        <v>#VALUE!</v>
      </c>
      <c r="AB1376" s="3" t="e">
        <f t="shared" si="396"/>
        <v>#VALUE!</v>
      </c>
      <c r="AC1376" s="177" t="s">
        <v>2929</v>
      </c>
      <c r="AD1376" s="23" t="s">
        <v>474</v>
      </c>
      <c r="AG1376" s="34">
        <f t="shared" si="397"/>
        <v>0</v>
      </c>
      <c r="AH1376" s="126" t="s">
        <v>2137</v>
      </c>
      <c r="AI1376" s="284"/>
      <c r="AK1376" s="66">
        <f t="shared" si="398"/>
        <v>0</v>
      </c>
      <c r="AL1376" s="174">
        <f t="shared" si="399"/>
        <v>0</v>
      </c>
      <c r="AM1376" s="346">
        <f>RTD("money.excel",,$G1376,"PredictVolume")</f>
        <v>0</v>
      </c>
      <c r="AN1376" s="272">
        <f>RTD("money.excel",,$G1376,"CumulativeVolume")</f>
        <v>0</v>
      </c>
      <c r="AO1376" s="284"/>
    </row>
    <row r="1377" spans="1:41">
      <c r="A1377" s="135" t="s">
        <v>2958</v>
      </c>
      <c r="B1377" s="84">
        <v>29</v>
      </c>
      <c r="C1377" s="84">
        <v>69</v>
      </c>
      <c r="D1377" s="85">
        <v>-18</v>
      </c>
      <c r="E1377" s="85">
        <v>-25</v>
      </c>
      <c r="F1377" s="59">
        <v>12.65</v>
      </c>
      <c r="G1377" s="85">
        <v>8466</v>
      </c>
      <c r="H1377" s="4" t="s">
        <v>429</v>
      </c>
      <c r="I1377" s="23" t="s">
        <v>1759</v>
      </c>
      <c r="J1377" s="77">
        <v>80.92</v>
      </c>
      <c r="K1377" s="77">
        <v>61.33</v>
      </c>
      <c r="L1377" s="77">
        <v>3.91</v>
      </c>
      <c r="N1377" s="365">
        <f t="shared" si="392"/>
        <v>146.16</v>
      </c>
      <c r="O1377" s="343">
        <f t="shared" si="393"/>
        <v>80.92</v>
      </c>
      <c r="P1377" s="195" t="s">
        <v>5554</v>
      </c>
      <c r="Q1377" s="326" t="str">
        <f>IFERROR(VLOOKUP($G1377,主力整理!$A$2:$G$2301,6,0),"0")</f>
        <v>0</v>
      </c>
      <c r="T1377" s="339">
        <f t="shared" si="394"/>
        <v>0</v>
      </c>
      <c r="V1377" s="371">
        <v>47.7</v>
      </c>
      <c r="W1377" s="69">
        <v>3</v>
      </c>
      <c r="X1377" s="59">
        <v>4.22</v>
      </c>
      <c r="Y1377" s="14" t="str">
        <f>RTD("money.excel",,"8466","Price")</f>
        <v>無資料</v>
      </c>
      <c r="Z1377" s="69"/>
      <c r="AA1377" s="16" t="e">
        <f t="shared" si="395"/>
        <v>#VALUE!</v>
      </c>
      <c r="AB1377" s="3" t="e">
        <f t="shared" si="396"/>
        <v>#VALUE!</v>
      </c>
      <c r="AC1377" s="177" t="s">
        <v>2700</v>
      </c>
      <c r="AD1377" s="23" t="s">
        <v>1759</v>
      </c>
      <c r="AG1377" s="34">
        <f t="shared" si="397"/>
        <v>0</v>
      </c>
      <c r="AH1377" s="63" t="s">
        <v>4433</v>
      </c>
      <c r="AI1377" s="128"/>
      <c r="AK1377" s="66">
        <f t="shared" si="398"/>
        <v>0</v>
      </c>
      <c r="AL1377" s="174">
        <f t="shared" si="399"/>
        <v>0</v>
      </c>
      <c r="AM1377" s="346">
        <f>RTD("money.excel",,$G1377,"PredictVolume")</f>
        <v>0</v>
      </c>
      <c r="AN1377" s="272">
        <f>RTD("money.excel",,$G1377,"CumulativeVolume")</f>
        <v>0</v>
      </c>
      <c r="AO1377" s="34"/>
    </row>
    <row r="1378" spans="1:41">
      <c r="A1378" s="151" t="s">
        <v>4837</v>
      </c>
      <c r="B1378" s="96">
        <v>-51</v>
      </c>
      <c r="C1378" s="96">
        <v>-43</v>
      </c>
      <c r="D1378" s="96">
        <v>-24</v>
      </c>
      <c r="E1378" s="96">
        <v>-35</v>
      </c>
      <c r="F1378" s="7">
        <v>6.69</v>
      </c>
      <c r="G1378" s="85">
        <v>8467</v>
      </c>
      <c r="H1378" s="4" t="s">
        <v>429</v>
      </c>
      <c r="I1378" s="23" t="s">
        <v>1242</v>
      </c>
      <c r="J1378" s="77">
        <v>84.73</v>
      </c>
      <c r="K1378" s="77">
        <v>43.1</v>
      </c>
      <c r="L1378" s="77">
        <v>0.77</v>
      </c>
      <c r="N1378" s="365">
        <f t="shared" si="392"/>
        <v>128.60000000000002</v>
      </c>
      <c r="O1378" s="343">
        <f t="shared" si="393"/>
        <v>84.73</v>
      </c>
      <c r="P1378" s="195">
        <v>1</v>
      </c>
      <c r="Q1378" s="326" t="str">
        <f>IFERROR(VLOOKUP($G1378,主力整理!$A$2:$G$2301,6,0),"0")</f>
        <v>0</v>
      </c>
      <c r="R1378" s="111">
        <v>5</v>
      </c>
      <c r="T1378" s="339">
        <f t="shared" si="394"/>
        <v>6</v>
      </c>
      <c r="V1378" s="371">
        <v>15.3</v>
      </c>
      <c r="W1378" s="35">
        <v>0</v>
      </c>
      <c r="X1378" s="100">
        <v>0.48</v>
      </c>
      <c r="Y1378" s="14" t="str">
        <f>RTD("money.excel",,"8467","Price")</f>
        <v>無資料</v>
      </c>
      <c r="Z1378" s="69"/>
      <c r="AA1378" s="16" t="e">
        <f t="shared" si="395"/>
        <v>#VALUE!</v>
      </c>
      <c r="AB1378" s="3" t="e">
        <f t="shared" si="396"/>
        <v>#VALUE!</v>
      </c>
      <c r="AC1378" s="177" t="s">
        <v>2648</v>
      </c>
      <c r="AD1378" s="23" t="s">
        <v>1242</v>
      </c>
      <c r="AG1378" s="34">
        <f t="shared" si="397"/>
        <v>0</v>
      </c>
      <c r="AH1378" s="44" t="s">
        <v>5278</v>
      </c>
      <c r="AI1378" s="131"/>
      <c r="AK1378" s="66">
        <f t="shared" si="398"/>
        <v>0</v>
      </c>
      <c r="AL1378" s="174">
        <f t="shared" si="399"/>
        <v>0</v>
      </c>
      <c r="AM1378" s="346">
        <f>RTD("money.excel",,$G1378,"PredictVolume")</f>
        <v>0</v>
      </c>
      <c r="AN1378" s="272">
        <f>RTD("money.excel",,$G1378,"CumulativeVolume")</f>
        <v>0</v>
      </c>
      <c r="AO1378" s="284"/>
    </row>
    <row r="1379" spans="1:41">
      <c r="A1379" s="135" t="s">
        <v>2481</v>
      </c>
      <c r="B1379" s="85">
        <v>-35</v>
      </c>
      <c r="C1379" s="85">
        <v>-20</v>
      </c>
      <c r="D1379" s="84">
        <v>46</v>
      </c>
      <c r="E1379" s="84">
        <v>2</v>
      </c>
      <c r="F1379" s="59">
        <v>12.52</v>
      </c>
      <c r="G1379" s="85">
        <v>8473</v>
      </c>
      <c r="H1379" s="4" t="s">
        <v>429</v>
      </c>
      <c r="I1379" s="23" t="s">
        <v>1243</v>
      </c>
      <c r="J1379" s="77">
        <v>74.010000000000005</v>
      </c>
      <c r="K1379" s="77">
        <v>0.9</v>
      </c>
      <c r="L1379" s="77">
        <v>1.32</v>
      </c>
      <c r="N1379" s="365">
        <f t="shared" si="392"/>
        <v>76.23</v>
      </c>
      <c r="O1379" s="343">
        <f t="shared" si="393"/>
        <v>74.010000000000005</v>
      </c>
      <c r="P1379" s="195" t="s">
        <v>5554</v>
      </c>
      <c r="Q1379" s="326" t="str">
        <f>IFERROR(VLOOKUP($G1379,主力整理!$A$2:$G$2301,6,0),"0")</f>
        <v>0</v>
      </c>
      <c r="T1379" s="339">
        <f t="shared" si="394"/>
        <v>0</v>
      </c>
      <c r="V1379" s="371">
        <v>0</v>
      </c>
      <c r="W1379" s="35">
        <v>1.7</v>
      </c>
      <c r="X1379" s="59">
        <v>1.1499999999999999</v>
      </c>
      <c r="Y1379" s="37" t="str">
        <f>RTD("money.excel",,"8473","Price")</f>
        <v>無資料</v>
      </c>
      <c r="Z1379" s="69"/>
      <c r="AA1379" s="16" t="e">
        <f t="shared" si="395"/>
        <v>#VALUE!</v>
      </c>
      <c r="AB1379" s="3" t="e">
        <f t="shared" si="396"/>
        <v>#VALUE!</v>
      </c>
      <c r="AD1379" s="23" t="s">
        <v>1243</v>
      </c>
      <c r="AG1379" s="34">
        <f t="shared" si="397"/>
        <v>0</v>
      </c>
      <c r="AH1379" s="63" t="s">
        <v>4434</v>
      </c>
      <c r="AI1379" s="131"/>
      <c r="AK1379" s="66">
        <f t="shared" si="398"/>
        <v>0</v>
      </c>
      <c r="AL1379" s="174">
        <f t="shared" si="399"/>
        <v>0</v>
      </c>
      <c r="AM1379" s="346">
        <f>RTD("money.excel",,$G1379,"PredictVolume")</f>
        <v>0</v>
      </c>
      <c r="AN1379" s="272">
        <f>RTD("money.excel",,$G1379,"CumulativeVolume")</f>
        <v>0</v>
      </c>
      <c r="AO1379" s="284"/>
    </row>
    <row r="1380" spans="1:41">
      <c r="A1380" s="151" t="s">
        <v>2808</v>
      </c>
      <c r="B1380" s="84">
        <v>56</v>
      </c>
      <c r="C1380" s="84">
        <v>85</v>
      </c>
      <c r="D1380" s="85">
        <v>-12</v>
      </c>
      <c r="E1380" s="84">
        <v>88</v>
      </c>
      <c r="F1380" s="7">
        <v>-2.2599999999999998</v>
      </c>
      <c r="G1380" s="85">
        <v>8476</v>
      </c>
      <c r="H1380" s="4" t="s">
        <v>429</v>
      </c>
      <c r="I1380" s="17" t="s">
        <v>1207</v>
      </c>
      <c r="J1380" s="77">
        <v>65.209999999999994</v>
      </c>
      <c r="K1380" s="371">
        <v>0.73</v>
      </c>
      <c r="N1380" s="365">
        <f>K1380+J1380+L1380+M1380</f>
        <v>65.94</v>
      </c>
      <c r="O1380" s="343">
        <f t="shared" si="393"/>
        <v>65.209999999999994</v>
      </c>
      <c r="P1380" s="195">
        <v>0</v>
      </c>
      <c r="Q1380" s="326" t="str">
        <f>IFERROR(VLOOKUP($G1380,主力整理!$A$2:$G$2301,6,0),"0")</f>
        <v>0</v>
      </c>
      <c r="R1380" s="111">
        <v>0</v>
      </c>
      <c r="S1380" s="51">
        <v>2</v>
      </c>
      <c r="T1380" s="339">
        <f t="shared" si="394"/>
        <v>2</v>
      </c>
      <c r="W1380" s="35">
        <v>0</v>
      </c>
      <c r="X1380" s="59">
        <v>-0.35</v>
      </c>
      <c r="Y1380" s="37" t="str">
        <f>RTD("money.excel",,"8476","Price")</f>
        <v>無資料</v>
      </c>
      <c r="Z1380" s="69"/>
      <c r="AA1380" s="16" t="e">
        <f t="shared" si="395"/>
        <v>#VALUE!</v>
      </c>
      <c r="AB1380" s="3" t="e">
        <f t="shared" si="396"/>
        <v>#VALUE!</v>
      </c>
      <c r="AD1380" s="17" t="s">
        <v>1207</v>
      </c>
      <c r="AG1380" s="34">
        <f t="shared" si="397"/>
        <v>0</v>
      </c>
      <c r="AH1380" s="44" t="s">
        <v>3937</v>
      </c>
      <c r="AI1380" s="131"/>
      <c r="AK1380" s="66">
        <f t="shared" si="398"/>
        <v>0</v>
      </c>
      <c r="AL1380" s="174">
        <f t="shared" si="399"/>
        <v>0</v>
      </c>
      <c r="AM1380" s="346">
        <f>RTD("money.excel",,$G1380,"PredictVolume")</f>
        <v>0</v>
      </c>
      <c r="AN1380" s="272">
        <f>RTD("money.excel",,$G1380,"CumulativeVolume")</f>
        <v>0</v>
      </c>
      <c r="AO1380" s="284"/>
    </row>
    <row r="1381" spans="1:41">
      <c r="A1381" s="135" t="s">
        <v>4699</v>
      </c>
      <c r="B1381" s="84">
        <v>950</v>
      </c>
      <c r="C1381" s="98">
        <v>5608</v>
      </c>
      <c r="D1381" s="84">
        <v>9</v>
      </c>
      <c r="E1381" s="84">
        <v>228</v>
      </c>
      <c r="F1381" s="59">
        <v>19.52</v>
      </c>
      <c r="G1381" s="85">
        <v>8478</v>
      </c>
      <c r="H1381" s="4" t="s">
        <v>429</v>
      </c>
      <c r="I1381" s="23" t="s">
        <v>1760</v>
      </c>
      <c r="J1381" s="371">
        <v>83.59</v>
      </c>
      <c r="K1381" s="371">
        <v>43.84</v>
      </c>
      <c r="L1381" s="77">
        <v>7.35</v>
      </c>
      <c r="M1381" s="77">
        <v>20.260000000000002</v>
      </c>
      <c r="N1381" s="77">
        <f t="shared" ref="N1381:N1428" si="400">J1381+K1381+L1381+M1381</f>
        <v>155.04</v>
      </c>
      <c r="O1381" s="369">
        <f t="shared" si="393"/>
        <v>103.85000000000001</v>
      </c>
      <c r="P1381" s="195">
        <v>7</v>
      </c>
      <c r="Q1381" s="326">
        <v>4</v>
      </c>
      <c r="R1381" s="111">
        <v>4</v>
      </c>
      <c r="S1381" s="51">
        <v>8</v>
      </c>
      <c r="T1381" s="339">
        <f t="shared" si="394"/>
        <v>23</v>
      </c>
      <c r="U1381" s="329" t="s">
        <v>6539</v>
      </c>
      <c r="V1381" s="371">
        <v>0.5</v>
      </c>
      <c r="W1381" s="35">
        <v>1.02</v>
      </c>
      <c r="X1381" s="59">
        <v>8.41</v>
      </c>
      <c r="Y1381" s="14" t="str">
        <f>RTD("money.excel",,"8478","Price")</f>
        <v>無資料</v>
      </c>
      <c r="Z1381" s="69"/>
      <c r="AA1381" s="16" t="e">
        <f t="shared" si="395"/>
        <v>#VALUE!</v>
      </c>
      <c r="AB1381" s="3" t="e">
        <f t="shared" si="396"/>
        <v>#VALUE!</v>
      </c>
      <c r="AC1381" s="177" t="s">
        <v>2648</v>
      </c>
      <c r="AD1381" s="23" t="s">
        <v>1760</v>
      </c>
      <c r="AG1381" s="34">
        <f t="shared" si="397"/>
        <v>0</v>
      </c>
      <c r="AH1381" s="63" t="s">
        <v>4435</v>
      </c>
      <c r="AI1381" s="286"/>
      <c r="AK1381" s="66">
        <f t="shared" si="398"/>
        <v>0</v>
      </c>
      <c r="AL1381" s="174">
        <f t="shared" si="399"/>
        <v>0</v>
      </c>
      <c r="AM1381" s="346">
        <f>RTD("money.excel",,$G1381,"PredictVolume")</f>
        <v>0</v>
      </c>
      <c r="AN1381" s="272">
        <f>RTD("money.excel",,$G1381,"CumulativeVolume")</f>
        <v>0</v>
      </c>
      <c r="AO1381" s="79"/>
    </row>
    <row r="1382" spans="1:41">
      <c r="A1382" s="135" t="s">
        <v>2592</v>
      </c>
      <c r="B1382" s="84">
        <v>41</v>
      </c>
      <c r="C1382" s="84">
        <v>41</v>
      </c>
      <c r="D1382" s="84">
        <v>1</v>
      </c>
      <c r="E1382" s="85">
        <v>-12</v>
      </c>
      <c r="F1382" s="59">
        <v>18.920000000000002</v>
      </c>
      <c r="G1382" s="85">
        <v>8480</v>
      </c>
      <c r="H1382" s="4" t="s">
        <v>429</v>
      </c>
      <c r="I1382" s="23" t="s">
        <v>1244</v>
      </c>
      <c r="J1382" s="371">
        <v>89.49</v>
      </c>
      <c r="K1382" s="77">
        <v>87.28</v>
      </c>
      <c r="L1382" s="371">
        <v>0.19</v>
      </c>
      <c r="N1382" s="365">
        <f t="shared" si="400"/>
        <v>176.95999999999998</v>
      </c>
      <c r="O1382" s="343">
        <f t="shared" si="393"/>
        <v>89.49</v>
      </c>
      <c r="P1382" s="195" t="s">
        <v>5554</v>
      </c>
      <c r="Q1382" s="326" t="str">
        <f>IFERROR(VLOOKUP($G1382,主力整理!$A$2:$G$2301,6,0),"0")</f>
        <v>0</v>
      </c>
      <c r="T1382" s="339">
        <f t="shared" si="394"/>
        <v>0</v>
      </c>
      <c r="V1382" s="371">
        <v>0</v>
      </c>
      <c r="W1382" s="69">
        <v>6</v>
      </c>
      <c r="X1382" s="100">
        <v>9.9600000000000009</v>
      </c>
      <c r="Y1382" s="14" t="str">
        <f>RTD("money.excel",,"8480","Price")</f>
        <v>無資料</v>
      </c>
      <c r="Z1382" s="69"/>
      <c r="AA1382" s="16" t="e">
        <f t="shared" si="395"/>
        <v>#VALUE!</v>
      </c>
      <c r="AB1382" s="3" t="e">
        <f t="shared" si="396"/>
        <v>#VALUE!</v>
      </c>
      <c r="AC1382" s="177" t="s">
        <v>2929</v>
      </c>
      <c r="AD1382" s="23" t="s">
        <v>1244</v>
      </c>
      <c r="AG1382" s="34">
        <f t="shared" si="397"/>
        <v>0</v>
      </c>
      <c r="AH1382" s="63" t="s">
        <v>3994</v>
      </c>
      <c r="AI1382" s="131"/>
      <c r="AK1382" s="66">
        <f t="shared" si="398"/>
        <v>0</v>
      </c>
      <c r="AL1382" s="174">
        <f t="shared" si="399"/>
        <v>0</v>
      </c>
      <c r="AM1382" s="346">
        <f>RTD("money.excel",,$G1382,"PredictVolume")</f>
        <v>0</v>
      </c>
      <c r="AN1382" s="272">
        <f>RTD("money.excel",,$G1382,"CumulativeVolume")</f>
        <v>0</v>
      </c>
      <c r="AO1382" s="284"/>
    </row>
    <row r="1383" spans="1:41">
      <c r="A1383" s="135" t="s">
        <v>3015</v>
      </c>
      <c r="B1383" s="96">
        <v>332</v>
      </c>
      <c r="C1383" s="96">
        <v>-22</v>
      </c>
      <c r="D1383" s="96">
        <v>7</v>
      </c>
      <c r="E1383" s="96">
        <v>62</v>
      </c>
      <c r="F1383" s="59">
        <v>16.2</v>
      </c>
      <c r="G1383" s="85">
        <v>8481</v>
      </c>
      <c r="H1383" s="4" t="s">
        <v>429</v>
      </c>
      <c r="I1383" s="23" t="s">
        <v>1245</v>
      </c>
      <c r="J1383" s="77">
        <v>68.98</v>
      </c>
      <c r="K1383" s="371">
        <v>2.39</v>
      </c>
      <c r="L1383" s="77">
        <v>0.4</v>
      </c>
      <c r="N1383" s="365">
        <f t="shared" si="400"/>
        <v>71.77000000000001</v>
      </c>
      <c r="O1383" s="343">
        <f t="shared" si="393"/>
        <v>68.98</v>
      </c>
      <c r="P1383" s="195" t="s">
        <v>5554</v>
      </c>
      <c r="Q1383" s="326" t="str">
        <f>IFERROR(VLOOKUP($G1383,主力整理!$A$2:$G$2301,6,0),"0")</f>
        <v>0</v>
      </c>
      <c r="T1383" s="339">
        <f t="shared" si="394"/>
        <v>0</v>
      </c>
      <c r="V1383" s="371">
        <v>38.81</v>
      </c>
      <c r="W1383" s="69">
        <v>7</v>
      </c>
      <c r="X1383" s="100">
        <v>12.51</v>
      </c>
      <c r="Y1383" s="14" t="str">
        <f>RTD("money.excel",,"8481","Price")</f>
        <v>無資料</v>
      </c>
      <c r="Z1383" s="69"/>
      <c r="AA1383" s="16" t="e">
        <f t="shared" si="395"/>
        <v>#VALUE!</v>
      </c>
      <c r="AB1383" s="3" t="e">
        <f t="shared" si="396"/>
        <v>#VALUE!</v>
      </c>
      <c r="AC1383" s="177" t="s">
        <v>2700</v>
      </c>
      <c r="AD1383" s="23" t="s">
        <v>1245</v>
      </c>
      <c r="AG1383" s="34">
        <f t="shared" si="397"/>
        <v>0</v>
      </c>
      <c r="AH1383" s="63" t="s">
        <v>4436</v>
      </c>
      <c r="AI1383" s="131"/>
      <c r="AK1383" s="66">
        <f t="shared" si="398"/>
        <v>0</v>
      </c>
      <c r="AL1383" s="174">
        <f t="shared" si="399"/>
        <v>0</v>
      </c>
      <c r="AM1383" s="346">
        <f>RTD("money.excel",,$G1383,"PredictVolume")</f>
        <v>0</v>
      </c>
      <c r="AN1383" s="272">
        <f>RTD("money.excel",,$G1383,"CumulativeVolume")</f>
        <v>0</v>
      </c>
      <c r="AO1383" s="284"/>
    </row>
    <row r="1384" spans="1:41">
      <c r="A1384" s="151" t="s">
        <v>3238</v>
      </c>
      <c r="B1384" s="84">
        <v>53</v>
      </c>
      <c r="C1384" s="84">
        <v>51</v>
      </c>
      <c r="D1384" s="84">
        <v>10</v>
      </c>
      <c r="E1384" s="84">
        <v>8</v>
      </c>
      <c r="F1384" s="7">
        <v>15.11</v>
      </c>
      <c r="G1384" s="85">
        <v>8482</v>
      </c>
      <c r="H1384" s="4" t="s">
        <v>429</v>
      </c>
      <c r="I1384" s="23" t="s">
        <v>1739</v>
      </c>
      <c r="J1384" s="77">
        <v>93.24</v>
      </c>
      <c r="K1384" s="371">
        <v>90.6</v>
      </c>
      <c r="L1384" s="371">
        <v>0.89</v>
      </c>
      <c r="N1384" s="365">
        <f t="shared" si="400"/>
        <v>184.72999999999996</v>
      </c>
      <c r="O1384" s="343">
        <f t="shared" si="393"/>
        <v>93.24</v>
      </c>
      <c r="P1384" s="195">
        <v>0</v>
      </c>
      <c r="Q1384" s="326" t="str">
        <f>IFERROR(VLOOKUP($G1384,主力整理!$A$2:$G$2301,6,0),"0")</f>
        <v>0</v>
      </c>
      <c r="R1384" s="111">
        <v>3</v>
      </c>
      <c r="S1384" s="51">
        <v>0</v>
      </c>
      <c r="T1384" s="339">
        <f t="shared" si="394"/>
        <v>3</v>
      </c>
      <c r="V1384" s="371">
        <v>0.01</v>
      </c>
      <c r="W1384" s="69">
        <v>4.8</v>
      </c>
      <c r="X1384" s="100">
        <v>7.23</v>
      </c>
      <c r="Y1384" s="14" t="str">
        <f>RTD("money.excel",,"8482","Price")</f>
        <v>無資料</v>
      </c>
      <c r="Z1384" s="69"/>
      <c r="AA1384" s="16" t="e">
        <f t="shared" si="395"/>
        <v>#VALUE!</v>
      </c>
      <c r="AB1384" s="3" t="e">
        <f t="shared" si="396"/>
        <v>#VALUE!</v>
      </c>
      <c r="AC1384" s="177" t="s">
        <v>2700</v>
      </c>
      <c r="AD1384" s="23" t="s">
        <v>1739</v>
      </c>
      <c r="AG1384" s="34">
        <f t="shared" si="397"/>
        <v>0</v>
      </c>
      <c r="AH1384" s="44" t="s">
        <v>3926</v>
      </c>
      <c r="AI1384" s="131"/>
      <c r="AK1384" s="66">
        <f t="shared" si="398"/>
        <v>0</v>
      </c>
      <c r="AL1384" s="174">
        <f t="shared" si="399"/>
        <v>0</v>
      </c>
      <c r="AM1384" s="346">
        <f>RTD("money.excel",,$G1384,"PredictVolume")</f>
        <v>0</v>
      </c>
      <c r="AN1384" s="272">
        <f>RTD("money.excel",,$G1384,"CumulativeVolume")</f>
        <v>0</v>
      </c>
      <c r="AO1384" s="284"/>
    </row>
    <row r="1385" spans="1:41">
      <c r="A1385" s="151" t="s">
        <v>2750</v>
      </c>
      <c r="B1385" s="96">
        <v>-231</v>
      </c>
      <c r="C1385" s="96">
        <v>-117</v>
      </c>
      <c r="D1385" s="96">
        <v>-31</v>
      </c>
      <c r="E1385" s="96">
        <v>31</v>
      </c>
      <c r="F1385" s="7">
        <v>-1.1200000000000001</v>
      </c>
      <c r="G1385" s="85">
        <v>8488</v>
      </c>
      <c r="H1385" s="4" t="s">
        <v>429</v>
      </c>
      <c r="I1385" s="23" t="s">
        <v>1246</v>
      </c>
      <c r="J1385" s="77">
        <v>87.88</v>
      </c>
      <c r="K1385" s="77">
        <v>77.650000000000006</v>
      </c>
      <c r="L1385" s="77">
        <v>1.49</v>
      </c>
      <c r="N1385" s="365">
        <f t="shared" si="400"/>
        <v>167.02</v>
      </c>
      <c r="O1385" s="343">
        <f t="shared" si="393"/>
        <v>87.88</v>
      </c>
      <c r="P1385" s="195">
        <v>1</v>
      </c>
      <c r="Q1385" s="326" t="str">
        <f>IFERROR(VLOOKUP($G1385,主力整理!$A$2:$G$2301,6,0),"0")</f>
        <v>0</v>
      </c>
      <c r="T1385" s="339">
        <f t="shared" si="394"/>
        <v>1</v>
      </c>
      <c r="V1385" s="371">
        <v>8.24</v>
      </c>
      <c r="W1385" s="35">
        <v>0.3</v>
      </c>
      <c r="X1385" s="59">
        <v>0.75</v>
      </c>
      <c r="Y1385" s="14" t="str">
        <f>RTD("money.excel",,"8488","Price")</f>
        <v>無資料</v>
      </c>
      <c r="Z1385" s="69"/>
      <c r="AA1385" s="16" t="e">
        <f t="shared" si="395"/>
        <v>#VALUE!</v>
      </c>
      <c r="AB1385" s="3" t="e">
        <f t="shared" si="396"/>
        <v>#VALUE!</v>
      </c>
      <c r="AC1385" s="177" t="s">
        <v>2648</v>
      </c>
      <c r="AD1385" s="23" t="s">
        <v>1246</v>
      </c>
      <c r="AG1385" s="34">
        <f t="shared" si="397"/>
        <v>0</v>
      </c>
      <c r="AH1385" s="44" t="s">
        <v>4437</v>
      </c>
      <c r="AI1385" s="131"/>
      <c r="AK1385" s="66">
        <f t="shared" si="398"/>
        <v>0</v>
      </c>
      <c r="AL1385" s="174">
        <f t="shared" si="399"/>
        <v>0</v>
      </c>
      <c r="AM1385" s="346">
        <f>RTD("money.excel",,$G1385,"PredictVolume")</f>
        <v>0</v>
      </c>
      <c r="AN1385" s="272">
        <f>RTD("money.excel",,$G1385,"CumulativeVolume")</f>
        <v>0</v>
      </c>
      <c r="AO1385" s="284"/>
    </row>
    <row r="1386" spans="1:41">
      <c r="A1386" s="135" t="s">
        <v>3500</v>
      </c>
      <c r="B1386" s="84">
        <v>25</v>
      </c>
      <c r="C1386" s="84">
        <v>38</v>
      </c>
      <c r="D1386" s="84">
        <v>7</v>
      </c>
      <c r="E1386" s="84">
        <v>7</v>
      </c>
      <c r="F1386" s="59">
        <v>39.340000000000003</v>
      </c>
      <c r="G1386" s="85">
        <v>8499</v>
      </c>
      <c r="H1386" s="54" t="s">
        <v>429</v>
      </c>
      <c r="I1386" s="23" t="s">
        <v>346</v>
      </c>
      <c r="J1386" s="371">
        <v>72.11</v>
      </c>
      <c r="K1386" s="371">
        <v>69.83</v>
      </c>
      <c r="L1386" s="371">
        <v>6.1</v>
      </c>
      <c r="N1386" s="365">
        <f t="shared" si="400"/>
        <v>148.04</v>
      </c>
      <c r="O1386" s="343">
        <f t="shared" si="393"/>
        <v>72.11</v>
      </c>
      <c r="P1386" s="195">
        <v>1</v>
      </c>
      <c r="Q1386" s="326" t="str">
        <f>IFERROR(VLOOKUP($G1386,主力整理!$A$2:$G$2301,6,0),"0")</f>
        <v>0</v>
      </c>
      <c r="R1386" s="111">
        <v>5</v>
      </c>
      <c r="S1386" s="51">
        <v>2</v>
      </c>
      <c r="T1386" s="339">
        <f t="shared" si="394"/>
        <v>8</v>
      </c>
      <c r="V1386" s="371">
        <v>2.5299999999999998</v>
      </c>
      <c r="W1386" s="69">
        <v>8</v>
      </c>
      <c r="X1386" s="59">
        <v>13.09</v>
      </c>
      <c r="Y1386" s="14" t="str">
        <f>RTD("money.excel",,"8499","Price")</f>
        <v>無資料</v>
      </c>
      <c r="Z1386" s="69"/>
      <c r="AA1386" s="16" t="e">
        <f t="shared" si="395"/>
        <v>#VALUE!</v>
      </c>
      <c r="AB1386" s="3" t="e">
        <f t="shared" si="396"/>
        <v>#VALUE!</v>
      </c>
      <c r="AC1386" s="177" t="s">
        <v>2929</v>
      </c>
      <c r="AD1386" s="23" t="s">
        <v>346</v>
      </c>
      <c r="AG1386" s="34">
        <f t="shared" si="397"/>
        <v>0</v>
      </c>
      <c r="AH1386" s="50" t="s">
        <v>2916</v>
      </c>
      <c r="AI1386" s="131"/>
      <c r="AK1386" s="66">
        <f t="shared" si="398"/>
        <v>0</v>
      </c>
      <c r="AL1386" s="174">
        <f t="shared" si="399"/>
        <v>0</v>
      </c>
      <c r="AM1386" s="346">
        <f>RTD("money.excel",,$G1386,"PredictVolume")</f>
        <v>0</v>
      </c>
      <c r="AN1386" s="272">
        <f>RTD("money.excel",,$G1386,"CumulativeVolume")</f>
        <v>0</v>
      </c>
      <c r="AO1386" s="284"/>
    </row>
    <row r="1387" spans="1:41">
      <c r="A1387" s="135" t="s">
        <v>2525</v>
      </c>
      <c r="B1387" s="96">
        <v>-98</v>
      </c>
      <c r="C1387" s="96">
        <v>-97</v>
      </c>
      <c r="D1387" s="96">
        <v>2</v>
      </c>
      <c r="E1387" s="96">
        <v>41</v>
      </c>
      <c r="F1387" s="7">
        <v>0.2</v>
      </c>
      <c r="G1387" s="85">
        <v>8905</v>
      </c>
      <c r="H1387" s="4" t="s">
        <v>429</v>
      </c>
      <c r="I1387" s="17" t="s">
        <v>1208</v>
      </c>
      <c r="J1387" s="77">
        <v>67.92</v>
      </c>
      <c r="K1387" s="77">
        <v>0.17</v>
      </c>
      <c r="L1387" s="77">
        <v>3.23</v>
      </c>
      <c r="N1387" s="365">
        <f t="shared" si="400"/>
        <v>71.320000000000007</v>
      </c>
      <c r="O1387" s="343">
        <f t="shared" si="393"/>
        <v>67.92</v>
      </c>
      <c r="P1387" s="195" t="s">
        <v>5554</v>
      </c>
      <c r="Q1387" s="326" t="str">
        <f>IFERROR(VLOOKUP($G1387,主力整理!$A$2:$G$2301,6,0),"0")</f>
        <v>0</v>
      </c>
      <c r="T1387" s="339">
        <f t="shared" si="394"/>
        <v>0</v>
      </c>
      <c r="V1387" s="371">
        <v>27.96</v>
      </c>
      <c r="W1387" s="35">
        <v>0.3</v>
      </c>
      <c r="X1387" s="100">
        <v>-1.24</v>
      </c>
      <c r="Y1387" s="14" t="str">
        <f>RTD("money.excel",,"8905","Price")</f>
        <v>無資料</v>
      </c>
      <c r="Z1387" s="69"/>
      <c r="AA1387" s="16" t="e">
        <f t="shared" si="395"/>
        <v>#VALUE!</v>
      </c>
      <c r="AB1387" s="3" t="e">
        <f t="shared" si="396"/>
        <v>#VALUE!</v>
      </c>
      <c r="AD1387" s="17" t="s">
        <v>1208</v>
      </c>
      <c r="AG1387" s="34">
        <f t="shared" si="397"/>
        <v>0</v>
      </c>
      <c r="AH1387" s="63" t="s">
        <v>3938</v>
      </c>
      <c r="AI1387" s="131"/>
      <c r="AK1387" s="66">
        <f t="shared" si="398"/>
        <v>0</v>
      </c>
      <c r="AL1387" s="174">
        <f t="shared" si="399"/>
        <v>0</v>
      </c>
      <c r="AM1387" s="346">
        <f>RTD("money.excel",,$G1387,"PredictVolume")</f>
        <v>0</v>
      </c>
      <c r="AN1387" s="272">
        <f>RTD("money.excel",,$G1387,"CumulativeVolume")</f>
        <v>0</v>
      </c>
      <c r="AO1387" s="284"/>
    </row>
    <row r="1388" spans="1:41">
      <c r="A1388" s="151" t="s">
        <v>4715</v>
      </c>
      <c r="B1388" s="96">
        <v>-100</v>
      </c>
      <c r="C1388" s="96">
        <v>-264</v>
      </c>
      <c r="D1388" s="96">
        <v>-5</v>
      </c>
      <c r="E1388" s="96">
        <v>2</v>
      </c>
      <c r="F1388" s="7">
        <v>-5.56</v>
      </c>
      <c r="G1388" s="85">
        <v>8906</v>
      </c>
      <c r="H1388" s="4" t="s">
        <v>429</v>
      </c>
      <c r="I1388" s="17" t="s">
        <v>1209</v>
      </c>
      <c r="J1388" s="371">
        <v>83.38</v>
      </c>
      <c r="K1388" s="371">
        <v>0</v>
      </c>
      <c r="N1388" s="365">
        <f t="shared" si="400"/>
        <v>83.38</v>
      </c>
      <c r="O1388" s="343">
        <f t="shared" si="393"/>
        <v>83.38</v>
      </c>
      <c r="P1388" s="195">
        <v>1</v>
      </c>
      <c r="Q1388" s="326" t="str">
        <f>IFERROR(VLOOKUP($G1388,主力整理!$A$2:$G$2301,6,0),"0")</f>
        <v>0</v>
      </c>
      <c r="T1388" s="339">
        <f t="shared" si="394"/>
        <v>1</v>
      </c>
      <c r="V1388" s="371">
        <v>18.690000000000001</v>
      </c>
      <c r="W1388" s="35">
        <v>0.1</v>
      </c>
      <c r="X1388" s="100">
        <v>0.08</v>
      </c>
      <c r="Y1388" s="14" t="str">
        <f>RTD("money.excel",,"8906","Price")</f>
        <v>無資料</v>
      </c>
      <c r="Z1388" s="69"/>
      <c r="AA1388" s="16" t="e">
        <f t="shared" si="395"/>
        <v>#VALUE!</v>
      </c>
      <c r="AB1388" s="3" t="e">
        <f t="shared" si="396"/>
        <v>#VALUE!</v>
      </c>
      <c r="AC1388" s="177" t="s">
        <v>2648</v>
      </c>
      <c r="AD1388" s="17" t="s">
        <v>1209</v>
      </c>
      <c r="AG1388" s="34">
        <f t="shared" si="397"/>
        <v>0</v>
      </c>
      <c r="AH1388" s="44" t="s">
        <v>3939</v>
      </c>
      <c r="AI1388" s="131"/>
      <c r="AK1388" s="66">
        <f t="shared" si="398"/>
        <v>0</v>
      </c>
      <c r="AL1388" s="174">
        <f t="shared" si="399"/>
        <v>0</v>
      </c>
      <c r="AM1388" s="346">
        <f>RTD("money.excel",,$G1388,"PredictVolume")</f>
        <v>0</v>
      </c>
      <c r="AN1388" s="272">
        <f>RTD("money.excel",,$G1388,"CumulativeVolume")</f>
        <v>0</v>
      </c>
      <c r="AO1388" s="284"/>
    </row>
    <row r="1389" spans="1:41">
      <c r="A1389" s="151" t="s">
        <v>2566</v>
      </c>
      <c r="B1389" s="85">
        <v>-28</v>
      </c>
      <c r="C1389" s="85">
        <v>-18</v>
      </c>
      <c r="D1389" s="84">
        <v>49</v>
      </c>
      <c r="E1389" s="84">
        <v>6</v>
      </c>
      <c r="F1389" s="7">
        <v>6.06</v>
      </c>
      <c r="G1389" s="85">
        <v>8916</v>
      </c>
      <c r="H1389" s="4" t="s">
        <v>429</v>
      </c>
      <c r="I1389" s="17" t="s">
        <v>301</v>
      </c>
      <c r="J1389" s="371">
        <v>55.58</v>
      </c>
      <c r="K1389" s="371">
        <v>2.29</v>
      </c>
      <c r="L1389" s="371">
        <v>1.5</v>
      </c>
      <c r="N1389" s="365">
        <f t="shared" si="400"/>
        <v>59.37</v>
      </c>
      <c r="O1389" s="343">
        <f t="shared" si="393"/>
        <v>55.58</v>
      </c>
      <c r="P1389" s="195">
        <v>1</v>
      </c>
      <c r="Q1389" s="326" t="str">
        <f>IFERROR(VLOOKUP($G1389,主力整理!$A$2:$G$2301,6,0),"0")</f>
        <v>0</v>
      </c>
      <c r="T1389" s="339">
        <f t="shared" si="394"/>
        <v>1</v>
      </c>
      <c r="V1389" s="371">
        <v>0</v>
      </c>
      <c r="W1389" s="69">
        <v>3</v>
      </c>
      <c r="X1389" s="59">
        <v>2.63</v>
      </c>
      <c r="Y1389" s="37" t="str">
        <f>RTD("money.excel",,"8916","Price")</f>
        <v>無資料</v>
      </c>
      <c r="Z1389" s="69"/>
      <c r="AA1389" s="16" t="e">
        <f t="shared" si="395"/>
        <v>#VALUE!</v>
      </c>
      <c r="AB1389" s="3" t="e">
        <f t="shared" si="396"/>
        <v>#VALUE!</v>
      </c>
      <c r="AC1389" s="177" t="s">
        <v>2929</v>
      </c>
      <c r="AD1389" s="17" t="s">
        <v>301</v>
      </c>
      <c r="AG1389" s="34">
        <f t="shared" si="397"/>
        <v>0</v>
      </c>
      <c r="AH1389" s="125" t="s">
        <v>2138</v>
      </c>
      <c r="AI1389" s="131"/>
      <c r="AK1389" s="66">
        <f t="shared" si="398"/>
        <v>0</v>
      </c>
      <c r="AL1389" s="174">
        <f t="shared" si="399"/>
        <v>0</v>
      </c>
      <c r="AM1389" s="346">
        <f>RTD("money.excel",,$G1389,"PredictVolume")</f>
        <v>0</v>
      </c>
      <c r="AN1389" s="272">
        <f>RTD("money.excel",,$G1389,"CumulativeVolume")</f>
        <v>0</v>
      </c>
      <c r="AO1389" s="284"/>
    </row>
    <row r="1390" spans="1:41">
      <c r="A1390" s="151" t="s">
        <v>4697</v>
      </c>
      <c r="B1390" s="96">
        <v>-6</v>
      </c>
      <c r="C1390" s="96">
        <v>-21</v>
      </c>
      <c r="D1390" s="96">
        <v>-18</v>
      </c>
      <c r="E1390" s="96">
        <v>5</v>
      </c>
      <c r="F1390" s="7">
        <v>0.54</v>
      </c>
      <c r="G1390" s="85">
        <v>8921</v>
      </c>
      <c r="H1390" s="4" t="s">
        <v>429</v>
      </c>
      <c r="I1390" s="17" t="s">
        <v>1210</v>
      </c>
      <c r="J1390" s="77">
        <v>84.84</v>
      </c>
      <c r="K1390" s="77">
        <v>0.32</v>
      </c>
      <c r="N1390" s="365">
        <f t="shared" si="400"/>
        <v>85.16</v>
      </c>
      <c r="O1390" s="343">
        <f t="shared" si="393"/>
        <v>84.84</v>
      </c>
      <c r="P1390" s="195" t="s">
        <v>5554</v>
      </c>
      <c r="Q1390" s="326" t="str">
        <f>IFERROR(VLOOKUP($G1390,主力整理!$A$2:$G$2301,6,0),"0")</f>
        <v>0</v>
      </c>
      <c r="T1390" s="339">
        <f t="shared" si="394"/>
        <v>0</v>
      </c>
      <c r="V1390" s="371">
        <v>42.83</v>
      </c>
      <c r="W1390" s="35">
        <v>0.42</v>
      </c>
      <c r="X1390" s="100">
        <v>0.42</v>
      </c>
      <c r="Y1390" s="14" t="str">
        <f>RTD("money.excel",,"8921","Price")</f>
        <v>無資料</v>
      </c>
      <c r="Z1390" s="69"/>
      <c r="AA1390" s="16" t="e">
        <f t="shared" si="395"/>
        <v>#VALUE!</v>
      </c>
      <c r="AB1390" s="3" t="e">
        <f t="shared" si="396"/>
        <v>#VALUE!</v>
      </c>
      <c r="AD1390" s="17" t="s">
        <v>1210</v>
      </c>
      <c r="AG1390" s="34">
        <f t="shared" si="397"/>
        <v>0</v>
      </c>
      <c r="AH1390" s="44" t="s">
        <v>3940</v>
      </c>
      <c r="AI1390" s="131"/>
      <c r="AK1390" s="66">
        <f t="shared" si="398"/>
        <v>0</v>
      </c>
      <c r="AL1390" s="174">
        <f t="shared" si="399"/>
        <v>0</v>
      </c>
      <c r="AM1390" s="346">
        <f>RTD("money.excel",,$G1390,"PredictVolume")</f>
        <v>0</v>
      </c>
      <c r="AN1390" s="272">
        <f>RTD("money.excel",,$G1390,"CumulativeVolume")</f>
        <v>0</v>
      </c>
      <c r="AO1390" s="284"/>
    </row>
    <row r="1391" spans="1:41">
      <c r="A1391" s="135" t="s">
        <v>2418</v>
      </c>
      <c r="B1391" s="85">
        <v>-1</v>
      </c>
      <c r="C1391" s="84">
        <v>39</v>
      </c>
      <c r="D1391" s="85">
        <v>-45</v>
      </c>
      <c r="E1391" s="84">
        <v>223</v>
      </c>
      <c r="F1391" s="59">
        <v>17.350000000000001</v>
      </c>
      <c r="G1391" s="85">
        <v>8924</v>
      </c>
      <c r="H1391" s="4" t="s">
        <v>429</v>
      </c>
      <c r="I1391" s="17" t="s">
        <v>1211</v>
      </c>
      <c r="J1391" s="77">
        <v>40.71</v>
      </c>
      <c r="K1391" s="371">
        <v>17.43</v>
      </c>
      <c r="L1391" s="371">
        <v>16.03</v>
      </c>
      <c r="N1391" s="365">
        <f t="shared" si="400"/>
        <v>74.17</v>
      </c>
      <c r="O1391" s="343">
        <f t="shared" si="393"/>
        <v>40.71</v>
      </c>
      <c r="P1391" s="195">
        <v>12</v>
      </c>
      <c r="Q1391" s="326">
        <f>IFERROR(VLOOKUP($G1391,主力整理!$A$2:$G$2301,6,0),"0")</f>
        <v>2</v>
      </c>
      <c r="R1391" s="111">
        <v>6</v>
      </c>
      <c r="T1391" s="339">
        <f t="shared" si="394"/>
        <v>20</v>
      </c>
      <c r="V1391" s="371">
        <v>1.71</v>
      </c>
      <c r="W1391" s="69">
        <v>5</v>
      </c>
      <c r="X1391" s="100">
        <v>6.5</v>
      </c>
      <c r="Y1391" s="37" t="str">
        <f>RTD("money.excel",,"8924","Price")</f>
        <v>無資料</v>
      </c>
      <c r="Z1391" s="69"/>
      <c r="AA1391" s="16" t="e">
        <f t="shared" si="395"/>
        <v>#VALUE!</v>
      </c>
      <c r="AB1391" s="3" t="e">
        <f t="shared" si="396"/>
        <v>#VALUE!</v>
      </c>
      <c r="AC1391" s="177" t="s">
        <v>2929</v>
      </c>
      <c r="AD1391" s="17" t="s">
        <v>1211</v>
      </c>
      <c r="AG1391" s="34">
        <f t="shared" si="397"/>
        <v>0</v>
      </c>
      <c r="AH1391" s="63" t="s">
        <v>4949</v>
      </c>
      <c r="AI1391" s="131"/>
      <c r="AK1391" s="66">
        <f t="shared" si="398"/>
        <v>0</v>
      </c>
      <c r="AL1391" s="174">
        <f t="shared" si="399"/>
        <v>0</v>
      </c>
      <c r="AM1391" s="346">
        <f>RTD("money.excel",,$G1391,"PredictVolume")</f>
        <v>0</v>
      </c>
      <c r="AN1391" s="272">
        <f>RTD("money.excel",,$G1391,"CumulativeVolume")</f>
        <v>0</v>
      </c>
      <c r="AO1391" s="284"/>
    </row>
    <row r="1392" spans="1:41">
      <c r="A1392" s="151" t="s">
        <v>2565</v>
      </c>
      <c r="B1392" s="85">
        <v>-24</v>
      </c>
      <c r="C1392" s="85">
        <v>-23</v>
      </c>
      <c r="D1392" s="85">
        <v>-33</v>
      </c>
      <c r="E1392" s="84">
        <v>22</v>
      </c>
      <c r="F1392" s="7">
        <v>6.6</v>
      </c>
      <c r="G1392" s="85">
        <v>8928</v>
      </c>
      <c r="H1392" s="4" t="s">
        <v>429</v>
      </c>
      <c r="I1392" s="17" t="s">
        <v>1212</v>
      </c>
      <c r="J1392" s="77">
        <v>38.130000000000003</v>
      </c>
      <c r="K1392" s="77">
        <v>0.94</v>
      </c>
      <c r="L1392" s="371">
        <v>5.37</v>
      </c>
      <c r="N1392" s="365">
        <f t="shared" si="400"/>
        <v>44.44</v>
      </c>
      <c r="O1392" s="343">
        <f t="shared" si="393"/>
        <v>38.130000000000003</v>
      </c>
      <c r="P1392" s="195">
        <v>7</v>
      </c>
      <c r="Q1392" s="326" t="str">
        <f>IFERROR(VLOOKUP($G1392,主力整理!$A$2:$G$2301,6,0),"0")</f>
        <v>0</v>
      </c>
      <c r="R1392" s="111">
        <v>1</v>
      </c>
      <c r="T1392" s="339">
        <f t="shared" si="394"/>
        <v>8</v>
      </c>
      <c r="V1392" s="371">
        <v>0</v>
      </c>
      <c r="W1392" s="35">
        <v>1.6</v>
      </c>
      <c r="X1392" s="100">
        <v>2.5</v>
      </c>
      <c r="Y1392" s="37" t="str">
        <f>RTD("money.excel",,"8928","Price")</f>
        <v>無資料</v>
      </c>
      <c r="Z1392" s="69"/>
      <c r="AA1392" s="16" t="e">
        <f t="shared" si="395"/>
        <v>#VALUE!</v>
      </c>
      <c r="AB1392" s="3" t="e">
        <f t="shared" si="396"/>
        <v>#VALUE!</v>
      </c>
      <c r="AC1392" s="177" t="s">
        <v>2648</v>
      </c>
      <c r="AD1392" s="17" t="s">
        <v>1212</v>
      </c>
      <c r="AG1392" s="34">
        <f t="shared" si="397"/>
        <v>0</v>
      </c>
      <c r="AH1392" s="44" t="s">
        <v>4949</v>
      </c>
      <c r="AI1392" s="131"/>
      <c r="AK1392" s="66">
        <f t="shared" si="398"/>
        <v>0</v>
      </c>
      <c r="AL1392" s="174">
        <f t="shared" si="399"/>
        <v>0</v>
      </c>
      <c r="AM1392" s="346">
        <f>RTD("money.excel",,$G1392,"PredictVolume")</f>
        <v>0</v>
      </c>
      <c r="AN1392" s="272">
        <f>RTD("money.excel",,$G1392,"CumulativeVolume")</f>
        <v>0</v>
      </c>
      <c r="AO1392" s="284"/>
    </row>
    <row r="1393" spans="1:41">
      <c r="A1393" s="151" t="s">
        <v>4641</v>
      </c>
      <c r="B1393" s="84">
        <v>144</v>
      </c>
      <c r="C1393" s="84">
        <v>289</v>
      </c>
      <c r="D1393" s="84">
        <v>29</v>
      </c>
      <c r="E1393" s="84">
        <v>0</v>
      </c>
      <c r="F1393" s="7">
        <v>3.18</v>
      </c>
      <c r="G1393" s="85">
        <v>8929</v>
      </c>
      <c r="H1393" s="4" t="s">
        <v>429</v>
      </c>
      <c r="I1393" s="17" t="s">
        <v>1213</v>
      </c>
      <c r="J1393" s="371">
        <v>41.82</v>
      </c>
      <c r="K1393" s="77">
        <v>0.17</v>
      </c>
      <c r="L1393" s="77">
        <v>5.33</v>
      </c>
      <c r="N1393" s="365">
        <f t="shared" si="400"/>
        <v>47.32</v>
      </c>
      <c r="O1393" s="343">
        <f t="shared" si="393"/>
        <v>41.82</v>
      </c>
      <c r="P1393" s="195" t="s">
        <v>5554</v>
      </c>
      <c r="Q1393" s="326" t="str">
        <f>IFERROR(VLOOKUP($G1393,主力整理!$A$2:$G$2301,6,0),"0")</f>
        <v>0</v>
      </c>
      <c r="T1393" s="339">
        <f t="shared" si="394"/>
        <v>0</v>
      </c>
      <c r="V1393" s="371">
        <v>0</v>
      </c>
      <c r="W1393" s="35">
        <v>0.5</v>
      </c>
      <c r="X1393" s="100">
        <v>0.51</v>
      </c>
      <c r="Y1393" s="37" t="str">
        <f>RTD("money.excel",,"8929","Price")</f>
        <v>無資料</v>
      </c>
      <c r="Z1393" s="69"/>
      <c r="AA1393" s="16" t="e">
        <f t="shared" si="395"/>
        <v>#VALUE!</v>
      </c>
      <c r="AB1393" s="3" t="e">
        <f t="shared" si="396"/>
        <v>#VALUE!</v>
      </c>
      <c r="AD1393" s="17" t="s">
        <v>1213</v>
      </c>
      <c r="AG1393" s="34">
        <f t="shared" si="397"/>
        <v>0</v>
      </c>
      <c r="AH1393" s="44" t="s">
        <v>3941</v>
      </c>
      <c r="AI1393" s="131"/>
      <c r="AK1393" s="66">
        <f t="shared" si="398"/>
        <v>0</v>
      </c>
      <c r="AL1393" s="174">
        <f t="shared" si="399"/>
        <v>0</v>
      </c>
      <c r="AM1393" s="346">
        <f>RTD("money.excel",,$G1393,"PredictVolume")</f>
        <v>0</v>
      </c>
      <c r="AN1393" s="272">
        <f>RTD("money.excel",,$G1393,"CumulativeVolume")</f>
        <v>0</v>
      </c>
      <c r="AO1393" s="284"/>
    </row>
    <row r="1394" spans="1:41">
      <c r="A1394" s="151" t="s">
        <v>2347</v>
      </c>
      <c r="B1394" s="84">
        <v>63</v>
      </c>
      <c r="C1394" s="84">
        <v>84</v>
      </c>
      <c r="D1394" s="85">
        <v>-5</v>
      </c>
      <c r="E1394" s="84">
        <v>18</v>
      </c>
      <c r="F1394" s="7">
        <v>-1.84</v>
      </c>
      <c r="G1394" s="85">
        <v>8932</v>
      </c>
      <c r="H1394" s="4" t="s">
        <v>429</v>
      </c>
      <c r="I1394" s="17" t="s">
        <v>1214</v>
      </c>
      <c r="J1394" s="77">
        <v>51.26</v>
      </c>
      <c r="K1394" s="77">
        <v>17.71</v>
      </c>
      <c r="N1394" s="365">
        <f t="shared" si="400"/>
        <v>68.97</v>
      </c>
      <c r="O1394" s="343">
        <f t="shared" si="393"/>
        <v>51.26</v>
      </c>
      <c r="P1394" s="195" t="s">
        <v>5554</v>
      </c>
      <c r="Q1394" s="326" t="str">
        <f>IFERROR(VLOOKUP($G1394,主力整理!$A$2:$G$2301,6,0),"0")</f>
        <v>0</v>
      </c>
      <c r="T1394" s="339">
        <f t="shared" si="394"/>
        <v>0</v>
      </c>
      <c r="W1394" s="35">
        <v>0</v>
      </c>
      <c r="X1394" s="59">
        <v>-0.67</v>
      </c>
      <c r="Y1394" s="37" t="str">
        <f>RTD("money.excel",,"8932","Price")</f>
        <v>無資料</v>
      </c>
      <c r="Z1394" s="69"/>
      <c r="AA1394" s="16" t="e">
        <f t="shared" si="395"/>
        <v>#VALUE!</v>
      </c>
      <c r="AB1394" s="3" t="e">
        <f t="shared" si="396"/>
        <v>#VALUE!</v>
      </c>
      <c r="AD1394" s="17" t="s">
        <v>1214</v>
      </c>
      <c r="AG1394" s="34">
        <f t="shared" si="397"/>
        <v>0</v>
      </c>
      <c r="AH1394" s="44" t="s">
        <v>3942</v>
      </c>
      <c r="AI1394" s="131"/>
      <c r="AK1394" s="66">
        <f t="shared" si="398"/>
        <v>0</v>
      </c>
      <c r="AL1394" s="174">
        <f t="shared" si="399"/>
        <v>0</v>
      </c>
      <c r="AM1394" s="346">
        <f>RTD("money.excel",,$G1394,"PredictVolume")</f>
        <v>0</v>
      </c>
      <c r="AN1394" s="272">
        <f>RTD("money.excel",,$G1394,"CumulativeVolume")</f>
        <v>0</v>
      </c>
      <c r="AO1394" s="284"/>
    </row>
    <row r="1395" spans="1:41">
      <c r="A1395" s="151" t="s">
        <v>2541</v>
      </c>
      <c r="B1395" s="84">
        <v>104</v>
      </c>
      <c r="C1395" s="84">
        <v>96</v>
      </c>
      <c r="D1395" s="85">
        <v>-8</v>
      </c>
      <c r="E1395" s="84">
        <v>12</v>
      </c>
      <c r="F1395" s="7">
        <v>-0.21</v>
      </c>
      <c r="G1395" s="85">
        <v>8933</v>
      </c>
      <c r="H1395" s="4" t="s">
        <v>429</v>
      </c>
      <c r="I1395" s="17" t="s">
        <v>1215</v>
      </c>
      <c r="J1395" s="371">
        <v>46.92</v>
      </c>
      <c r="K1395" s="371">
        <v>1.4</v>
      </c>
      <c r="L1395" s="371"/>
      <c r="N1395" s="365">
        <f t="shared" si="400"/>
        <v>48.32</v>
      </c>
      <c r="O1395" s="343">
        <f t="shared" si="393"/>
        <v>46.92</v>
      </c>
      <c r="P1395" s="195">
        <v>1</v>
      </c>
      <c r="Q1395" s="326" t="str">
        <f>IFERROR(VLOOKUP($G1395,主力整理!$A$2:$G$2301,6,0),"0")</f>
        <v>0</v>
      </c>
      <c r="T1395" s="339">
        <f t="shared" si="394"/>
        <v>1</v>
      </c>
      <c r="W1395" s="35">
        <v>0</v>
      </c>
      <c r="X1395" s="100">
        <v>0.05</v>
      </c>
      <c r="Y1395" s="37" t="str">
        <f>RTD("money.excel",,"8933","Price")</f>
        <v>無資料</v>
      </c>
      <c r="Z1395" s="69"/>
      <c r="AA1395" s="16" t="e">
        <f t="shared" si="395"/>
        <v>#VALUE!</v>
      </c>
      <c r="AB1395" s="3" t="e">
        <f t="shared" si="396"/>
        <v>#VALUE!</v>
      </c>
      <c r="AC1395" s="177" t="s">
        <v>2648</v>
      </c>
      <c r="AD1395" s="17" t="s">
        <v>1215</v>
      </c>
      <c r="AG1395" s="34">
        <f t="shared" si="397"/>
        <v>0</v>
      </c>
      <c r="AH1395" s="44" t="s">
        <v>3760</v>
      </c>
      <c r="AI1395" s="131"/>
      <c r="AK1395" s="66">
        <f t="shared" si="398"/>
        <v>0</v>
      </c>
      <c r="AL1395" s="174">
        <f t="shared" si="399"/>
        <v>0</v>
      </c>
      <c r="AM1395" s="346">
        <f>RTD("money.excel",,$G1395,"PredictVolume")</f>
        <v>0</v>
      </c>
      <c r="AN1395" s="272">
        <f>RTD("money.excel",,$G1395,"CumulativeVolume")</f>
        <v>0</v>
      </c>
      <c r="AO1395" s="284"/>
    </row>
    <row r="1396" spans="1:41">
      <c r="A1396" s="135" t="s">
        <v>4726</v>
      </c>
      <c r="B1396" s="96">
        <v>-130</v>
      </c>
      <c r="C1396" s="96">
        <v>-77</v>
      </c>
      <c r="D1396" s="96">
        <v>-11</v>
      </c>
      <c r="E1396" s="96">
        <v>25</v>
      </c>
      <c r="F1396" s="59">
        <v>0.45</v>
      </c>
      <c r="G1396" s="85">
        <v>8935</v>
      </c>
      <c r="H1396" s="4" t="s">
        <v>429</v>
      </c>
      <c r="I1396" s="17" t="s">
        <v>1216</v>
      </c>
      <c r="J1396" s="77">
        <v>37.19</v>
      </c>
      <c r="K1396" s="77">
        <v>0.97</v>
      </c>
      <c r="N1396" s="365">
        <f t="shared" si="400"/>
        <v>38.159999999999997</v>
      </c>
      <c r="O1396" s="343">
        <f t="shared" si="393"/>
        <v>37.19</v>
      </c>
      <c r="P1396" s="195" t="s">
        <v>5554</v>
      </c>
      <c r="Q1396" s="326" t="str">
        <f>IFERROR(VLOOKUP($G1396,主力整理!$A$2:$G$2301,6,0),"0")</f>
        <v>0</v>
      </c>
      <c r="T1396" s="339">
        <f t="shared" si="394"/>
        <v>0</v>
      </c>
      <c r="V1396" s="371">
        <v>18.22</v>
      </c>
      <c r="W1396" s="35">
        <v>0</v>
      </c>
      <c r="X1396" s="100">
        <v>-0.27</v>
      </c>
      <c r="Y1396" s="37" t="str">
        <f>RTD("money.excel",,"8935","Price")</f>
        <v>無資料</v>
      </c>
      <c r="Z1396" s="69"/>
      <c r="AA1396" s="16" t="e">
        <f t="shared" si="395"/>
        <v>#VALUE!</v>
      </c>
      <c r="AB1396" s="3" t="e">
        <f t="shared" si="396"/>
        <v>#VALUE!</v>
      </c>
      <c r="AD1396" s="17" t="s">
        <v>1216</v>
      </c>
      <c r="AG1396" s="34">
        <f t="shared" si="397"/>
        <v>0</v>
      </c>
      <c r="AH1396" s="44" t="s">
        <v>3943</v>
      </c>
      <c r="AI1396" s="131"/>
      <c r="AK1396" s="66">
        <f t="shared" si="398"/>
        <v>0</v>
      </c>
      <c r="AL1396" s="174">
        <f t="shared" si="399"/>
        <v>0</v>
      </c>
      <c r="AM1396" s="346">
        <f>RTD("money.excel",,$G1396,"PredictVolume")</f>
        <v>0</v>
      </c>
      <c r="AN1396" s="272">
        <f>RTD("money.excel",,$G1396,"CumulativeVolume")</f>
        <v>0</v>
      </c>
      <c r="AO1396" s="284"/>
    </row>
    <row r="1397" spans="1:41">
      <c r="A1397" s="135" t="s">
        <v>2485</v>
      </c>
      <c r="B1397" s="84">
        <v>170</v>
      </c>
      <c r="C1397" s="84">
        <v>127</v>
      </c>
      <c r="D1397" s="84">
        <v>12</v>
      </c>
      <c r="E1397" s="84">
        <v>38</v>
      </c>
      <c r="F1397" s="59">
        <v>13.36</v>
      </c>
      <c r="G1397" s="85">
        <v>8936</v>
      </c>
      <c r="H1397" s="4" t="s">
        <v>429</v>
      </c>
      <c r="I1397" s="17" t="s">
        <v>1218</v>
      </c>
      <c r="J1397" s="77">
        <v>37.35</v>
      </c>
      <c r="K1397" s="77">
        <v>7.01</v>
      </c>
      <c r="L1397" s="77">
        <v>29.02</v>
      </c>
      <c r="N1397" s="365">
        <f t="shared" si="400"/>
        <v>73.38</v>
      </c>
      <c r="O1397" s="343">
        <f t="shared" si="393"/>
        <v>37.35</v>
      </c>
      <c r="P1397" s="195">
        <v>1</v>
      </c>
      <c r="Q1397" s="326">
        <f>IFERROR(VLOOKUP($G1397,主力整理!$A$2:$G$2301,6,0),"0")</f>
        <v>3</v>
      </c>
      <c r="R1397" s="111">
        <v>10</v>
      </c>
      <c r="S1397" s="51">
        <v>0</v>
      </c>
      <c r="T1397" s="339">
        <f t="shared" si="394"/>
        <v>14</v>
      </c>
      <c r="V1397" s="371">
        <v>0.47</v>
      </c>
      <c r="W1397" s="35">
        <v>0.25</v>
      </c>
      <c r="X1397" s="100">
        <v>1.1499999999999999</v>
      </c>
      <c r="Y1397" s="37" t="str">
        <f>RTD("money.excel",,"8936","Price")</f>
        <v>無資料</v>
      </c>
      <c r="Z1397" s="69"/>
      <c r="AA1397" s="16" t="e">
        <f t="shared" si="395"/>
        <v>#VALUE!</v>
      </c>
      <c r="AB1397" s="3" t="e">
        <f t="shared" si="396"/>
        <v>#VALUE!</v>
      </c>
      <c r="AC1397" s="177" t="s">
        <v>2648</v>
      </c>
      <c r="AD1397" s="17" t="s">
        <v>1218</v>
      </c>
      <c r="AG1397" s="34">
        <f t="shared" si="397"/>
        <v>0</v>
      </c>
      <c r="AH1397" s="63" t="s">
        <v>4930</v>
      </c>
      <c r="AI1397" s="131"/>
      <c r="AK1397" s="66">
        <f t="shared" si="398"/>
        <v>0</v>
      </c>
      <c r="AL1397" s="174">
        <f t="shared" si="399"/>
        <v>0</v>
      </c>
      <c r="AM1397" s="346">
        <f>RTD("money.excel",,$G1397,"PredictVolume")</f>
        <v>0</v>
      </c>
      <c r="AN1397" s="272">
        <f>RTD("money.excel",,$G1397,"CumulativeVolume")</f>
        <v>0</v>
      </c>
      <c r="AO1397" s="284"/>
    </row>
    <row r="1398" spans="1:41">
      <c r="A1398" s="151" t="s">
        <v>2432</v>
      </c>
      <c r="B1398" s="96">
        <v>-665</v>
      </c>
      <c r="C1398" s="96">
        <v>-30</v>
      </c>
      <c r="D1398" s="96">
        <v>-1</v>
      </c>
      <c r="E1398" s="96">
        <v>-38</v>
      </c>
      <c r="F1398" s="7">
        <v>-12.38</v>
      </c>
      <c r="G1398" s="85">
        <v>8937</v>
      </c>
      <c r="H1398" s="4" t="s">
        <v>429</v>
      </c>
      <c r="I1398" s="17" t="s">
        <v>1219</v>
      </c>
      <c r="J1398" s="77">
        <v>68.739999999999995</v>
      </c>
      <c r="K1398" s="77">
        <v>0.23</v>
      </c>
      <c r="L1398" s="77">
        <v>6.72</v>
      </c>
      <c r="N1398" s="365">
        <f t="shared" si="400"/>
        <v>75.69</v>
      </c>
      <c r="O1398" s="343">
        <f t="shared" si="393"/>
        <v>68.739999999999995</v>
      </c>
      <c r="P1398" s="195" t="s">
        <v>5554</v>
      </c>
      <c r="Q1398" s="326" t="str">
        <f>IFERROR(VLOOKUP($G1398,主力整理!$A$2:$G$2301,6,0),"0")</f>
        <v>0</v>
      </c>
      <c r="T1398" s="339">
        <f t="shared" si="394"/>
        <v>0</v>
      </c>
      <c r="V1398" s="371">
        <v>20.07</v>
      </c>
      <c r="W1398" s="35">
        <v>0</v>
      </c>
      <c r="X1398" s="100">
        <v>-0.05</v>
      </c>
      <c r="Y1398" s="14" t="str">
        <f>RTD("money.excel",,"8937","Price")</f>
        <v>無資料</v>
      </c>
      <c r="Z1398" s="69"/>
      <c r="AA1398" s="16" t="e">
        <f t="shared" si="395"/>
        <v>#VALUE!</v>
      </c>
      <c r="AB1398" s="3" t="e">
        <f t="shared" si="396"/>
        <v>#VALUE!</v>
      </c>
      <c r="AD1398" s="17" t="s">
        <v>1219</v>
      </c>
      <c r="AG1398" s="34">
        <f t="shared" si="397"/>
        <v>0</v>
      </c>
      <c r="AH1398" s="44" t="s">
        <v>3944</v>
      </c>
      <c r="AI1398" s="131"/>
      <c r="AK1398" s="66">
        <f t="shared" si="398"/>
        <v>0</v>
      </c>
      <c r="AL1398" s="174">
        <f t="shared" si="399"/>
        <v>0</v>
      </c>
      <c r="AM1398" s="346">
        <f>RTD("money.excel",,$G1398,"PredictVolume")</f>
        <v>0</v>
      </c>
      <c r="AN1398" s="272">
        <f>RTD("money.excel",,$G1398,"CumulativeVolume")</f>
        <v>0</v>
      </c>
      <c r="AO1398" s="284"/>
    </row>
    <row r="1399" spans="1:41">
      <c r="A1399" s="151" t="s">
        <v>2542</v>
      </c>
      <c r="B1399" s="84">
        <v>6</v>
      </c>
      <c r="C1399" s="84">
        <v>19</v>
      </c>
      <c r="D1399" s="85">
        <v>-42</v>
      </c>
      <c r="E1399" s="84">
        <v>74</v>
      </c>
      <c r="F1399" s="7">
        <v>9.43</v>
      </c>
      <c r="G1399" s="85">
        <v>8938</v>
      </c>
      <c r="H1399" s="4" t="s">
        <v>429</v>
      </c>
      <c r="I1399" s="17" t="s">
        <v>165</v>
      </c>
      <c r="J1399" s="77">
        <v>47.59</v>
      </c>
      <c r="K1399" s="371">
        <v>14.5</v>
      </c>
      <c r="L1399" s="371">
        <v>9.24</v>
      </c>
      <c r="N1399" s="365">
        <f t="shared" si="400"/>
        <v>71.33</v>
      </c>
      <c r="O1399" s="343">
        <f t="shared" ref="O1399:O1428" si="401">J1399+M1399</f>
        <v>47.59</v>
      </c>
      <c r="P1399" s="195">
        <v>7</v>
      </c>
      <c r="Q1399" s="326">
        <f>IFERROR(VLOOKUP($G1399,主力整理!$A$2:$G$2301,6,0),"0")</f>
        <v>1</v>
      </c>
      <c r="R1399" s="111">
        <v>2</v>
      </c>
      <c r="T1399" s="339">
        <f t="shared" ref="T1399:T1430" si="402">SUM(P1399:S1399)</f>
        <v>10</v>
      </c>
      <c r="V1399" s="371">
        <v>0.06</v>
      </c>
      <c r="W1399" s="35">
        <v>2.7</v>
      </c>
      <c r="X1399" s="100">
        <v>5.03</v>
      </c>
      <c r="Y1399" s="37" t="str">
        <f>RTD("money.excel",,"8938","Price")</f>
        <v>無資料</v>
      </c>
      <c r="Z1399" s="69"/>
      <c r="AA1399" s="16" t="e">
        <f t="shared" ref="AA1399:AA1430" si="403">Y1399-Z1399</f>
        <v>#VALUE!</v>
      </c>
      <c r="AB1399" s="3" t="e">
        <f t="shared" ref="AB1399:AB1430" si="404">AA1399/Z1399</f>
        <v>#VALUE!</v>
      </c>
      <c r="AC1399" s="177" t="s">
        <v>2648</v>
      </c>
      <c r="AD1399" s="17" t="s">
        <v>165</v>
      </c>
      <c r="AG1399" s="34">
        <f t="shared" ref="AG1399:AG1430" si="405">AF1399-AE1399</f>
        <v>0</v>
      </c>
      <c r="AH1399" s="44" t="s">
        <v>4949</v>
      </c>
      <c r="AI1399" s="131"/>
      <c r="AK1399" s="66">
        <f t="shared" si="398"/>
        <v>0</v>
      </c>
      <c r="AL1399" s="174">
        <f t="shared" si="399"/>
        <v>0</v>
      </c>
      <c r="AM1399" s="346">
        <f>RTD("money.excel",,$G1399,"PredictVolume")</f>
        <v>0</v>
      </c>
      <c r="AN1399" s="272">
        <f>RTD("money.excel",,$G1399,"CumulativeVolume")</f>
        <v>0</v>
      </c>
      <c r="AO1399" s="284"/>
    </row>
    <row r="1400" spans="1:41">
      <c r="A1400" s="135" t="s">
        <v>2512</v>
      </c>
      <c r="B1400" s="85">
        <v>-13</v>
      </c>
      <c r="C1400" s="85">
        <v>-65</v>
      </c>
      <c r="D1400" s="84">
        <v>16</v>
      </c>
      <c r="E1400" s="84">
        <v>22</v>
      </c>
      <c r="F1400" s="59">
        <v>15.62</v>
      </c>
      <c r="G1400" s="85">
        <v>8942</v>
      </c>
      <c r="H1400" s="4" t="s">
        <v>429</v>
      </c>
      <c r="I1400" s="17" t="s">
        <v>408</v>
      </c>
      <c r="J1400" s="371">
        <v>47.62</v>
      </c>
      <c r="K1400" s="371">
        <v>21.84</v>
      </c>
      <c r="L1400" s="77">
        <v>3.84</v>
      </c>
      <c r="N1400" s="365">
        <f t="shared" si="400"/>
        <v>73.3</v>
      </c>
      <c r="O1400" s="343">
        <f t="shared" si="401"/>
        <v>47.62</v>
      </c>
      <c r="P1400" s="195" t="s">
        <v>5554</v>
      </c>
      <c r="Q1400" s="326">
        <f>IFERROR(VLOOKUP($G1400,主力整理!$A$2:$G$2301,6,0),"0")</f>
        <v>1</v>
      </c>
      <c r="T1400" s="339">
        <f t="shared" si="402"/>
        <v>1</v>
      </c>
      <c r="V1400" s="371">
        <v>0.02</v>
      </c>
      <c r="W1400" s="69">
        <v>3</v>
      </c>
      <c r="X1400" s="100">
        <v>5.77</v>
      </c>
      <c r="Y1400" s="37" t="str">
        <f>RTD("money.excel",,"8942","Price")</f>
        <v>無資料</v>
      </c>
      <c r="Z1400" s="69"/>
      <c r="AA1400" s="16" t="e">
        <f t="shared" si="403"/>
        <v>#VALUE!</v>
      </c>
      <c r="AB1400" s="3" t="e">
        <f t="shared" si="404"/>
        <v>#VALUE!</v>
      </c>
      <c r="AC1400" s="177" t="s">
        <v>2700</v>
      </c>
      <c r="AD1400" s="17" t="s">
        <v>408</v>
      </c>
      <c r="AG1400" s="34">
        <f t="shared" si="405"/>
        <v>0</v>
      </c>
      <c r="AH1400" s="126" t="s">
        <v>3945</v>
      </c>
      <c r="AI1400" s="131"/>
      <c r="AK1400" s="66">
        <f t="shared" si="398"/>
        <v>0</v>
      </c>
      <c r="AL1400" s="174">
        <f t="shared" si="399"/>
        <v>0</v>
      </c>
      <c r="AM1400" s="346">
        <f>RTD("money.excel",,$G1400,"PredictVolume")</f>
        <v>0</v>
      </c>
      <c r="AN1400" s="272">
        <f>RTD("money.excel",,$G1400,"CumulativeVolume")</f>
        <v>0</v>
      </c>
      <c r="AO1400" s="284"/>
    </row>
    <row r="1401" spans="1:41">
      <c r="A1401" s="135" t="s">
        <v>2521</v>
      </c>
      <c r="B1401" s="85">
        <v>-7</v>
      </c>
      <c r="C1401" s="84">
        <v>7</v>
      </c>
      <c r="D1401" s="85">
        <v>-10</v>
      </c>
      <c r="E1401" s="84">
        <v>1</v>
      </c>
      <c r="F1401" s="59">
        <v>11.18</v>
      </c>
      <c r="G1401" s="85">
        <v>9802</v>
      </c>
      <c r="H1401" s="4" t="s">
        <v>429</v>
      </c>
      <c r="I1401" s="23" t="s">
        <v>1761</v>
      </c>
      <c r="J1401" s="371">
        <v>66.52</v>
      </c>
      <c r="K1401" s="371">
        <v>42.97</v>
      </c>
      <c r="L1401" s="371">
        <v>4.1900000000000004</v>
      </c>
      <c r="N1401" s="365">
        <f t="shared" si="400"/>
        <v>113.67999999999999</v>
      </c>
      <c r="O1401" s="343">
        <f t="shared" si="401"/>
        <v>66.52</v>
      </c>
      <c r="P1401" s="195">
        <v>4</v>
      </c>
      <c r="Q1401" s="326" t="str">
        <f>IFERROR(VLOOKUP($G1401,主力整理!$A$2:$G$2301,6,0),"0")</f>
        <v>0</v>
      </c>
      <c r="R1401" s="111">
        <v>6</v>
      </c>
      <c r="S1401" s="51">
        <v>16</v>
      </c>
      <c r="T1401" s="339">
        <f t="shared" si="402"/>
        <v>26</v>
      </c>
      <c r="V1401" s="371">
        <v>9.64</v>
      </c>
      <c r="W1401" s="35">
        <v>1.7</v>
      </c>
      <c r="X1401" s="59">
        <v>4.88</v>
      </c>
      <c r="Y1401" s="14" t="str">
        <f>RTD("money.excel",,"9802","Price")</f>
        <v>無資料</v>
      </c>
      <c r="Z1401" s="69"/>
      <c r="AA1401" s="16" t="e">
        <f t="shared" si="403"/>
        <v>#VALUE!</v>
      </c>
      <c r="AB1401" s="3" t="e">
        <f t="shared" si="404"/>
        <v>#VALUE!</v>
      </c>
      <c r="AC1401" s="177" t="s">
        <v>2648</v>
      </c>
      <c r="AD1401" s="23" t="s">
        <v>1761</v>
      </c>
      <c r="AG1401" s="34">
        <f t="shared" si="405"/>
        <v>0</v>
      </c>
      <c r="AH1401" s="63" t="s">
        <v>3039</v>
      </c>
      <c r="AI1401" s="284"/>
      <c r="AK1401" s="66">
        <f t="shared" si="398"/>
        <v>0</v>
      </c>
      <c r="AL1401" s="174">
        <f t="shared" si="399"/>
        <v>0</v>
      </c>
      <c r="AM1401" s="346">
        <f>RTD("money.excel",,$G1401,"PredictVolume")</f>
        <v>0</v>
      </c>
      <c r="AN1401" s="272">
        <f>RTD("money.excel",,$G1401,"CumulativeVolume")</f>
        <v>0</v>
      </c>
      <c r="AO1401" s="284"/>
    </row>
    <row r="1402" spans="1:41">
      <c r="A1402" s="151" t="s">
        <v>4838</v>
      </c>
      <c r="B1402" s="96">
        <v>-19</v>
      </c>
      <c r="C1402" s="96">
        <v>36</v>
      </c>
      <c r="D1402" s="96">
        <v>-85</v>
      </c>
      <c r="E1402" s="96">
        <v>965</v>
      </c>
      <c r="F1402" s="7">
        <v>-2.92</v>
      </c>
      <c r="G1402" s="85">
        <v>9902</v>
      </c>
      <c r="H1402" s="4" t="s">
        <v>429</v>
      </c>
      <c r="I1402" s="23" t="s">
        <v>1247</v>
      </c>
      <c r="J1402" s="77">
        <v>44.88</v>
      </c>
      <c r="K1402" s="77">
        <v>0.15</v>
      </c>
      <c r="L1402" s="77">
        <v>10.09</v>
      </c>
      <c r="N1402" s="365">
        <f t="shared" si="400"/>
        <v>55.120000000000005</v>
      </c>
      <c r="O1402" s="343">
        <f t="shared" si="401"/>
        <v>44.88</v>
      </c>
      <c r="P1402" s="195" t="s">
        <v>5554</v>
      </c>
      <c r="Q1402" s="326" t="str">
        <f>IFERROR(VLOOKUP($G1402,主力整理!$A$2:$G$2301,6,0),"0")</f>
        <v>0</v>
      </c>
      <c r="T1402" s="339">
        <f t="shared" si="402"/>
        <v>0</v>
      </c>
      <c r="V1402" s="371">
        <v>22.93</v>
      </c>
      <c r="W1402" s="35">
        <v>0.3</v>
      </c>
      <c r="X1402" s="100">
        <v>0.33</v>
      </c>
      <c r="Y1402" s="37" t="str">
        <f>RTD("money.excel",,"9902","Price")</f>
        <v>無資料</v>
      </c>
      <c r="Z1402" s="69"/>
      <c r="AA1402" s="16" t="e">
        <f t="shared" si="403"/>
        <v>#VALUE!</v>
      </c>
      <c r="AB1402" s="3" t="e">
        <f t="shared" si="404"/>
        <v>#VALUE!</v>
      </c>
      <c r="AD1402" s="23" t="s">
        <v>1247</v>
      </c>
      <c r="AG1402" s="34">
        <f t="shared" si="405"/>
        <v>0</v>
      </c>
      <c r="AH1402" s="44" t="s">
        <v>4438</v>
      </c>
      <c r="AI1402" s="131"/>
      <c r="AK1402" s="66">
        <f t="shared" si="398"/>
        <v>0</v>
      </c>
      <c r="AL1402" s="174">
        <f t="shared" si="399"/>
        <v>0</v>
      </c>
      <c r="AM1402" s="346">
        <f>RTD("money.excel",,$G1402,"PredictVolume")</f>
        <v>0</v>
      </c>
      <c r="AN1402" s="272">
        <f>RTD("money.excel",,$G1402,"CumulativeVolume")</f>
        <v>0</v>
      </c>
      <c r="AO1402" s="284"/>
    </row>
    <row r="1403" spans="1:41">
      <c r="A1403" s="151" t="s">
        <v>2907</v>
      </c>
      <c r="B1403" s="85">
        <v>-87</v>
      </c>
      <c r="C1403" s="85">
        <v>-143</v>
      </c>
      <c r="D1403" s="85">
        <v>-6</v>
      </c>
      <c r="E1403" s="85">
        <v>-17</v>
      </c>
      <c r="F1403" s="7">
        <v>-2.44</v>
      </c>
      <c r="G1403" s="85">
        <v>9904</v>
      </c>
      <c r="H1403" s="4" t="s">
        <v>429</v>
      </c>
      <c r="I1403" s="23" t="s">
        <v>493</v>
      </c>
      <c r="J1403" s="77">
        <v>75.48</v>
      </c>
      <c r="K1403" s="371">
        <v>53.86</v>
      </c>
      <c r="L1403" s="371">
        <v>1.63</v>
      </c>
      <c r="N1403" s="365">
        <f t="shared" si="400"/>
        <v>130.97</v>
      </c>
      <c r="O1403" s="343">
        <f t="shared" si="401"/>
        <v>75.48</v>
      </c>
      <c r="P1403" s="195">
        <v>8</v>
      </c>
      <c r="Q1403" s="326">
        <f>IFERROR(VLOOKUP($G1403,主力整理!$A$2:$G$2301,6,0),"0")</f>
        <v>11</v>
      </c>
      <c r="T1403" s="339">
        <f t="shared" si="402"/>
        <v>19</v>
      </c>
      <c r="V1403" s="371">
        <v>0.05</v>
      </c>
      <c r="W1403" s="35">
        <v>1.25</v>
      </c>
      <c r="X1403" s="100">
        <v>1.64</v>
      </c>
      <c r="Y1403" s="14" t="str">
        <f>RTD("money.excel",,"9904","Price")</f>
        <v>無資料</v>
      </c>
      <c r="Z1403" s="69"/>
      <c r="AA1403" s="16" t="e">
        <f t="shared" si="403"/>
        <v>#VALUE!</v>
      </c>
      <c r="AB1403" s="3" t="e">
        <f t="shared" si="404"/>
        <v>#VALUE!</v>
      </c>
      <c r="AC1403" s="177" t="s">
        <v>2648</v>
      </c>
      <c r="AD1403" s="23" t="s">
        <v>493</v>
      </c>
      <c r="AG1403" s="34">
        <f t="shared" si="405"/>
        <v>0</v>
      </c>
      <c r="AH1403" s="125" t="s">
        <v>2139</v>
      </c>
      <c r="AI1403" s="131"/>
      <c r="AK1403" s="66">
        <f t="shared" si="398"/>
        <v>0</v>
      </c>
      <c r="AL1403" s="174">
        <f t="shared" si="399"/>
        <v>0</v>
      </c>
      <c r="AM1403" s="346">
        <f>RTD("money.excel",,$G1403,"PredictVolume")</f>
        <v>0</v>
      </c>
      <c r="AN1403" s="272">
        <f>RTD("money.excel",,$G1403,"CumulativeVolume")</f>
        <v>0</v>
      </c>
      <c r="AO1403" s="284"/>
    </row>
    <row r="1404" spans="1:41">
      <c r="A1404" s="151" t="s">
        <v>2943</v>
      </c>
      <c r="B1404" s="96">
        <v>28</v>
      </c>
      <c r="C1404" s="96">
        <v>24</v>
      </c>
      <c r="D1404" s="96">
        <v>3</v>
      </c>
      <c r="E1404" s="96">
        <v>47</v>
      </c>
      <c r="F1404" s="7">
        <v>9.7200000000000006</v>
      </c>
      <c r="G1404" s="85">
        <v>9905</v>
      </c>
      <c r="H1404" s="4" t="s">
        <v>429</v>
      </c>
      <c r="I1404" s="23" t="s">
        <v>1248</v>
      </c>
      <c r="J1404" s="77">
        <v>79.31</v>
      </c>
      <c r="K1404" s="77">
        <v>3.42</v>
      </c>
      <c r="L1404" s="77">
        <v>0.03</v>
      </c>
      <c r="N1404" s="365">
        <f t="shared" si="400"/>
        <v>82.76</v>
      </c>
      <c r="O1404" s="343">
        <f t="shared" si="401"/>
        <v>79.31</v>
      </c>
      <c r="P1404" s="195" t="s">
        <v>5554</v>
      </c>
      <c r="Q1404" s="326" t="str">
        <f>IFERROR(VLOOKUP($G1404,主力整理!$A$2:$G$2301,6,0),"0")</f>
        <v>0</v>
      </c>
      <c r="T1404" s="339">
        <f t="shared" si="402"/>
        <v>0</v>
      </c>
      <c r="V1404" s="371">
        <v>17.61</v>
      </c>
      <c r="W1404" s="35">
        <v>1.5</v>
      </c>
      <c r="X1404" s="100">
        <v>1.83</v>
      </c>
      <c r="Y1404" s="14" t="str">
        <f>RTD("money.excel",,"9905","Price")</f>
        <v>無資料</v>
      </c>
      <c r="Z1404" s="69"/>
      <c r="AA1404" s="16" t="e">
        <f t="shared" si="403"/>
        <v>#VALUE!</v>
      </c>
      <c r="AB1404" s="3" t="e">
        <f t="shared" si="404"/>
        <v>#VALUE!</v>
      </c>
      <c r="AD1404" s="23" t="s">
        <v>1248</v>
      </c>
      <c r="AG1404" s="34">
        <f t="shared" si="405"/>
        <v>0</v>
      </c>
      <c r="AH1404" s="44" t="s">
        <v>4439</v>
      </c>
      <c r="AI1404" s="131"/>
      <c r="AK1404" s="66">
        <f t="shared" si="398"/>
        <v>0</v>
      </c>
      <c r="AL1404" s="174">
        <f t="shared" si="399"/>
        <v>0</v>
      </c>
      <c r="AM1404" s="346">
        <f>RTD("money.excel",,$G1404,"PredictVolume")</f>
        <v>0</v>
      </c>
      <c r="AN1404" s="272">
        <f>RTD("money.excel",,$G1404,"CumulativeVolume")</f>
        <v>0</v>
      </c>
      <c r="AO1404" s="284"/>
    </row>
    <row r="1405" spans="1:41">
      <c r="A1405" s="151" t="s">
        <v>4839</v>
      </c>
      <c r="B1405" s="84">
        <v>83</v>
      </c>
      <c r="C1405" s="84">
        <v>26</v>
      </c>
      <c r="D1405" s="85">
        <v>-8</v>
      </c>
      <c r="E1405" s="85">
        <v>-9</v>
      </c>
      <c r="F1405" s="7">
        <v>4.8</v>
      </c>
      <c r="G1405" s="85">
        <v>9907</v>
      </c>
      <c r="H1405" s="11" t="s">
        <v>429</v>
      </c>
      <c r="I1405" s="163" t="s">
        <v>126</v>
      </c>
      <c r="J1405" s="371">
        <v>72.72</v>
      </c>
      <c r="K1405" s="77">
        <v>14.51</v>
      </c>
      <c r="L1405" s="371">
        <v>1.22</v>
      </c>
      <c r="N1405" s="365">
        <f t="shared" si="400"/>
        <v>88.45</v>
      </c>
      <c r="O1405" s="343">
        <f t="shared" si="401"/>
        <v>72.72</v>
      </c>
      <c r="P1405" s="195" t="s">
        <v>5554</v>
      </c>
      <c r="Q1405" s="326">
        <f>IFERROR(VLOOKUP($G1405,主力整理!$A$2:$G$2301,6,0),"0")</f>
        <v>7</v>
      </c>
      <c r="R1405" s="111">
        <v>2</v>
      </c>
      <c r="T1405" s="339">
        <f t="shared" si="402"/>
        <v>9</v>
      </c>
      <c r="V1405" s="371">
        <v>0.01</v>
      </c>
      <c r="W1405" s="205">
        <v>0.53</v>
      </c>
      <c r="X1405" s="100">
        <v>0.57999999999999996</v>
      </c>
      <c r="Y1405" s="14" t="str">
        <f>RTD("money.excel",,"9907","Price")</f>
        <v>無資料</v>
      </c>
      <c r="Z1405" s="69"/>
      <c r="AA1405" s="16" t="e">
        <f t="shared" si="403"/>
        <v>#VALUE!</v>
      </c>
      <c r="AB1405" s="3" t="e">
        <f t="shared" si="404"/>
        <v>#VALUE!</v>
      </c>
      <c r="AD1405" s="23" t="s">
        <v>126</v>
      </c>
      <c r="AG1405" s="34">
        <f t="shared" si="405"/>
        <v>0</v>
      </c>
      <c r="AH1405" s="125" t="s">
        <v>4440</v>
      </c>
      <c r="AI1405" s="131"/>
      <c r="AK1405" s="66">
        <f t="shared" si="398"/>
        <v>0</v>
      </c>
      <c r="AL1405" s="174">
        <f t="shared" si="399"/>
        <v>0</v>
      </c>
      <c r="AM1405" s="346">
        <f>RTD("money.excel",,$G1405,"PredictVolume")</f>
        <v>0</v>
      </c>
      <c r="AN1405" s="272">
        <f>RTD("money.excel",,$G1405,"CumulativeVolume")</f>
        <v>0</v>
      </c>
      <c r="AO1405" s="284"/>
    </row>
    <row r="1406" spans="1:41">
      <c r="A1406" s="151" t="s">
        <v>3165</v>
      </c>
      <c r="B1406" s="85">
        <v>-23</v>
      </c>
      <c r="C1406" s="85">
        <v>-21</v>
      </c>
      <c r="D1406" s="84">
        <v>10</v>
      </c>
      <c r="E1406" s="85">
        <v>-1</v>
      </c>
      <c r="F1406" s="7">
        <v>9.98</v>
      </c>
      <c r="G1406" s="85">
        <v>9910</v>
      </c>
      <c r="H1406" s="4" t="s">
        <v>429</v>
      </c>
      <c r="I1406" s="23" t="s">
        <v>31</v>
      </c>
      <c r="J1406" s="371">
        <v>87.45</v>
      </c>
      <c r="K1406" s="371">
        <v>18.88</v>
      </c>
      <c r="L1406" s="371">
        <v>0.11</v>
      </c>
      <c r="N1406" s="365">
        <f t="shared" si="400"/>
        <v>106.44</v>
      </c>
      <c r="O1406" s="343">
        <f t="shared" si="401"/>
        <v>87.45</v>
      </c>
      <c r="P1406" s="195">
        <v>7</v>
      </c>
      <c r="Q1406" s="326">
        <f>IFERROR(VLOOKUP($G1406,主力整理!$A$2:$G$2301,6,0),"0")</f>
        <v>1</v>
      </c>
      <c r="R1406" s="111">
        <v>1</v>
      </c>
      <c r="T1406" s="339">
        <f t="shared" si="402"/>
        <v>9</v>
      </c>
      <c r="V1406" s="371">
        <v>0.01</v>
      </c>
      <c r="W1406" s="69">
        <v>3.7</v>
      </c>
      <c r="X1406" s="59">
        <v>5.77</v>
      </c>
      <c r="Y1406" s="37" t="str">
        <f>RTD("money.excel",,"9910","Price")</f>
        <v>無資料</v>
      </c>
      <c r="Z1406" s="69"/>
      <c r="AA1406" s="16" t="e">
        <f t="shared" si="403"/>
        <v>#VALUE!</v>
      </c>
      <c r="AB1406" s="3" t="e">
        <f t="shared" si="404"/>
        <v>#VALUE!</v>
      </c>
      <c r="AC1406" s="177" t="s">
        <v>2929</v>
      </c>
      <c r="AD1406" s="23" t="s">
        <v>31</v>
      </c>
      <c r="AG1406" s="34">
        <f t="shared" si="405"/>
        <v>0</v>
      </c>
      <c r="AH1406" s="125" t="s">
        <v>2139</v>
      </c>
      <c r="AI1406" s="284"/>
      <c r="AK1406" s="66">
        <f t="shared" si="398"/>
        <v>0</v>
      </c>
      <c r="AL1406" s="174">
        <f t="shared" si="399"/>
        <v>0</v>
      </c>
      <c r="AM1406" s="346">
        <f>RTD("money.excel",,$G1406,"PredictVolume")</f>
        <v>0</v>
      </c>
      <c r="AN1406" s="272">
        <f>RTD("money.excel",,$G1406,"CumulativeVolume")</f>
        <v>0</v>
      </c>
      <c r="AO1406" s="284"/>
    </row>
    <row r="1407" spans="1:41">
      <c r="A1407" s="135" t="s">
        <v>2880</v>
      </c>
      <c r="B1407" s="84">
        <v>11</v>
      </c>
      <c r="C1407" s="84">
        <v>15</v>
      </c>
      <c r="D1407" s="85">
        <v>-17</v>
      </c>
      <c r="E1407" s="84">
        <v>40</v>
      </c>
      <c r="F1407" s="59">
        <v>15.2</v>
      </c>
      <c r="G1407" s="85">
        <v>9911</v>
      </c>
      <c r="H1407" s="4" t="s">
        <v>429</v>
      </c>
      <c r="I1407" s="23" t="s">
        <v>1249</v>
      </c>
      <c r="J1407" s="371">
        <v>75.599999999999994</v>
      </c>
      <c r="K1407" s="77">
        <v>22.86</v>
      </c>
      <c r="L1407" s="371">
        <v>1.69</v>
      </c>
      <c r="N1407" s="365">
        <f t="shared" si="400"/>
        <v>100.14999999999999</v>
      </c>
      <c r="O1407" s="343">
        <f t="shared" si="401"/>
        <v>75.599999999999994</v>
      </c>
      <c r="P1407" s="195">
        <v>3</v>
      </c>
      <c r="Q1407" s="326" t="str">
        <f>IFERROR(VLOOKUP($G1407,主力整理!$A$2:$G$2301,6,0),"0")</f>
        <v>0</v>
      </c>
      <c r="T1407" s="339">
        <f t="shared" si="402"/>
        <v>3</v>
      </c>
      <c r="V1407" s="371">
        <v>9.07</v>
      </c>
      <c r="W1407" s="35">
        <v>2.65</v>
      </c>
      <c r="X1407" s="100">
        <v>4.08</v>
      </c>
      <c r="Y1407" s="14" t="str">
        <f>RTD("money.excel",,"9911","Price")</f>
        <v>無資料</v>
      </c>
      <c r="Z1407" s="69"/>
      <c r="AA1407" s="16" t="e">
        <f t="shared" si="403"/>
        <v>#VALUE!</v>
      </c>
      <c r="AB1407" s="3" t="e">
        <f t="shared" si="404"/>
        <v>#VALUE!</v>
      </c>
      <c r="AC1407" s="177" t="s">
        <v>2648</v>
      </c>
      <c r="AD1407" s="23" t="s">
        <v>1249</v>
      </c>
      <c r="AG1407" s="34">
        <f t="shared" si="405"/>
        <v>0</v>
      </c>
      <c r="AH1407" s="63" t="s">
        <v>4441</v>
      </c>
      <c r="AI1407" s="131"/>
      <c r="AK1407" s="66">
        <f t="shared" si="398"/>
        <v>0</v>
      </c>
      <c r="AL1407" s="174">
        <f t="shared" si="399"/>
        <v>0</v>
      </c>
      <c r="AM1407" s="346">
        <f>RTD("money.excel",,$G1407,"PredictVolume")</f>
        <v>0</v>
      </c>
      <c r="AN1407" s="272">
        <f>RTD("money.excel",,$G1407,"CumulativeVolume")</f>
        <v>0</v>
      </c>
      <c r="AO1407" s="284"/>
    </row>
    <row r="1408" spans="1:41">
      <c r="A1408" s="151" t="s">
        <v>2543</v>
      </c>
      <c r="B1408" s="84">
        <v>58</v>
      </c>
      <c r="C1408" s="84">
        <v>16</v>
      </c>
      <c r="D1408" s="84">
        <v>6</v>
      </c>
      <c r="E1408" s="84">
        <v>0</v>
      </c>
      <c r="F1408" s="7">
        <v>0.55000000000000004</v>
      </c>
      <c r="G1408" s="85">
        <v>9914</v>
      </c>
      <c r="H1408" s="4" t="s">
        <v>429</v>
      </c>
      <c r="I1408" s="23" t="s">
        <v>54</v>
      </c>
      <c r="J1408" s="77">
        <v>72.7</v>
      </c>
      <c r="K1408" s="77">
        <v>45.95</v>
      </c>
      <c r="L1408" s="371">
        <v>0.51</v>
      </c>
      <c r="N1408" s="365">
        <f t="shared" si="400"/>
        <v>119.16000000000001</v>
      </c>
      <c r="O1408" s="343">
        <f t="shared" si="401"/>
        <v>72.7</v>
      </c>
      <c r="P1408" s="195">
        <v>14</v>
      </c>
      <c r="Q1408" s="326">
        <f>IFERROR(VLOOKUP($G1408,主力整理!$A$2:$G$2301,6,0),"0")</f>
        <v>5</v>
      </c>
      <c r="R1408" s="111">
        <v>3</v>
      </c>
      <c r="T1408" s="339">
        <f t="shared" si="402"/>
        <v>22</v>
      </c>
      <c r="V1408" s="371">
        <v>0.06</v>
      </c>
      <c r="W1408" s="69">
        <v>7</v>
      </c>
      <c r="X1408" s="100">
        <v>13.36</v>
      </c>
      <c r="Y1408" s="14" t="str">
        <f>RTD("money.excel",,"9914","Price")</f>
        <v>無資料</v>
      </c>
      <c r="Z1408" s="69"/>
      <c r="AA1408" s="16" t="e">
        <f t="shared" si="403"/>
        <v>#VALUE!</v>
      </c>
      <c r="AB1408" s="3" t="e">
        <f t="shared" si="404"/>
        <v>#VALUE!</v>
      </c>
      <c r="AC1408" s="177" t="s">
        <v>2929</v>
      </c>
      <c r="AD1408" s="23" t="s">
        <v>54</v>
      </c>
      <c r="AG1408" s="34">
        <f t="shared" si="405"/>
        <v>0</v>
      </c>
      <c r="AH1408" s="125" t="s">
        <v>3760</v>
      </c>
      <c r="AI1408" s="131"/>
      <c r="AK1408" s="66">
        <f t="shared" si="398"/>
        <v>0</v>
      </c>
      <c r="AL1408" s="174">
        <f t="shared" si="399"/>
        <v>0</v>
      </c>
      <c r="AM1408" s="346">
        <f>RTD("money.excel",,$G1408,"PredictVolume")</f>
        <v>0</v>
      </c>
      <c r="AN1408" s="272">
        <f>RTD("money.excel",,$G1408,"CumulativeVolume")</f>
        <v>0</v>
      </c>
      <c r="AO1408" s="284"/>
    </row>
    <row r="1409" spans="1:41">
      <c r="A1409" s="135" t="s">
        <v>2544</v>
      </c>
      <c r="B1409" s="84">
        <v>3</v>
      </c>
      <c r="C1409" s="84">
        <v>0</v>
      </c>
      <c r="D1409" s="85">
        <v>-4</v>
      </c>
      <c r="E1409" s="84">
        <v>4</v>
      </c>
      <c r="F1409" s="59">
        <v>19.100000000000001</v>
      </c>
      <c r="G1409" s="85">
        <v>9917</v>
      </c>
      <c r="H1409" s="4" t="s">
        <v>429</v>
      </c>
      <c r="I1409" s="23" t="s">
        <v>2679</v>
      </c>
      <c r="J1409" s="371">
        <v>78.45</v>
      </c>
      <c r="K1409" s="77">
        <v>41.91</v>
      </c>
      <c r="L1409" s="77">
        <v>0.01</v>
      </c>
      <c r="N1409" s="365">
        <f t="shared" si="400"/>
        <v>120.37</v>
      </c>
      <c r="O1409" s="343">
        <f t="shared" si="401"/>
        <v>78.45</v>
      </c>
      <c r="P1409" s="195">
        <v>2</v>
      </c>
      <c r="Q1409" s="326" t="str">
        <f>IFERROR(VLOOKUP($G1409,主力整理!$A$2:$G$2301,6,0),"0")</f>
        <v>0</v>
      </c>
      <c r="T1409" s="339">
        <f t="shared" si="402"/>
        <v>2</v>
      </c>
      <c r="V1409" s="371">
        <v>0</v>
      </c>
      <c r="W1409" s="69">
        <v>5</v>
      </c>
      <c r="X1409" s="100">
        <v>5.42</v>
      </c>
      <c r="Y1409" s="14" t="str">
        <f>RTD("money.excel",,"9917","Price")</f>
        <v>無資料</v>
      </c>
      <c r="Z1409" s="69"/>
      <c r="AA1409" s="16" t="e">
        <f t="shared" si="403"/>
        <v>#VALUE!</v>
      </c>
      <c r="AB1409" s="3" t="e">
        <f t="shared" si="404"/>
        <v>#VALUE!</v>
      </c>
      <c r="AC1409" s="177" t="s">
        <v>2929</v>
      </c>
      <c r="AD1409" s="23" t="s">
        <v>2679</v>
      </c>
      <c r="AG1409" s="34">
        <f t="shared" si="405"/>
        <v>0</v>
      </c>
      <c r="AH1409" s="126" t="s">
        <v>4442</v>
      </c>
      <c r="AI1409" s="131"/>
      <c r="AK1409" s="66">
        <f t="shared" si="398"/>
        <v>0</v>
      </c>
      <c r="AL1409" s="174">
        <f t="shared" si="399"/>
        <v>0</v>
      </c>
      <c r="AM1409" s="346">
        <f>RTD("money.excel",,$G1409,"PredictVolume")</f>
        <v>0</v>
      </c>
      <c r="AN1409" s="272">
        <f>RTD("money.excel",,$G1409,"CumulativeVolume")</f>
        <v>0</v>
      </c>
      <c r="AO1409" s="284"/>
    </row>
    <row r="1410" spans="1:41">
      <c r="A1410" s="151" t="s">
        <v>2632</v>
      </c>
      <c r="B1410" s="85">
        <v>-85</v>
      </c>
      <c r="C1410" s="85">
        <v>-75</v>
      </c>
      <c r="D1410" s="85">
        <v>-1</v>
      </c>
      <c r="E1410" s="85">
        <v>-15</v>
      </c>
      <c r="F1410" s="7">
        <v>5.15</v>
      </c>
      <c r="G1410" s="85">
        <v>9919</v>
      </c>
      <c r="H1410" s="4" t="s">
        <v>429</v>
      </c>
      <c r="I1410" s="23" t="s">
        <v>1250</v>
      </c>
      <c r="J1410" s="77">
        <v>43.85</v>
      </c>
      <c r="K1410" s="371">
        <v>3.91</v>
      </c>
      <c r="L1410" s="77">
        <v>13.29</v>
      </c>
      <c r="M1410" s="371">
        <v>27.12</v>
      </c>
      <c r="N1410" s="365">
        <f t="shared" si="400"/>
        <v>88.17</v>
      </c>
      <c r="O1410" s="343">
        <f t="shared" si="401"/>
        <v>70.97</v>
      </c>
      <c r="P1410" s="195">
        <v>8</v>
      </c>
      <c r="Q1410" s="326">
        <v>17</v>
      </c>
      <c r="R1410" s="111">
        <v>37</v>
      </c>
      <c r="S1410" s="51">
        <v>20</v>
      </c>
      <c r="T1410" s="339">
        <f t="shared" si="402"/>
        <v>82</v>
      </c>
      <c r="U1410" s="329" t="s">
        <v>6538</v>
      </c>
      <c r="V1410" s="371">
        <v>3.38</v>
      </c>
      <c r="W1410" s="69">
        <v>3</v>
      </c>
      <c r="X1410" s="100">
        <v>1.51</v>
      </c>
      <c r="Y1410" s="37" t="str">
        <f>RTD("money.excel",,"9919","Price")</f>
        <v>無資料</v>
      </c>
      <c r="Z1410" s="69"/>
      <c r="AA1410" s="16" t="e">
        <f t="shared" si="403"/>
        <v>#VALUE!</v>
      </c>
      <c r="AB1410" s="3" t="e">
        <f t="shared" si="404"/>
        <v>#VALUE!</v>
      </c>
      <c r="AC1410" s="177" t="s">
        <v>2929</v>
      </c>
      <c r="AD1410" s="23" t="s">
        <v>1250</v>
      </c>
      <c r="AG1410" s="34">
        <f t="shared" si="405"/>
        <v>0</v>
      </c>
      <c r="AH1410" s="44" t="s">
        <v>4001</v>
      </c>
      <c r="AI1410" s="131"/>
      <c r="AK1410" s="66">
        <f t="shared" si="398"/>
        <v>0</v>
      </c>
      <c r="AL1410" s="174">
        <f t="shared" si="399"/>
        <v>0</v>
      </c>
      <c r="AM1410" s="346">
        <f>RTD("money.excel",,$G1410,"PredictVolume")</f>
        <v>0</v>
      </c>
      <c r="AN1410" s="272">
        <f>RTD("money.excel",,$G1410,"CumulativeVolume")</f>
        <v>0</v>
      </c>
      <c r="AO1410" s="284"/>
    </row>
    <row r="1411" spans="1:41">
      <c r="A1411" s="151" t="s">
        <v>2545</v>
      </c>
      <c r="B1411" s="84">
        <v>30</v>
      </c>
      <c r="C1411" s="84">
        <v>37</v>
      </c>
      <c r="D1411" s="85">
        <v>-4</v>
      </c>
      <c r="E1411" s="84">
        <v>19</v>
      </c>
      <c r="F1411" s="7">
        <v>9.93</v>
      </c>
      <c r="G1411" s="85">
        <v>9921</v>
      </c>
      <c r="H1411" s="4" t="s">
        <v>429</v>
      </c>
      <c r="I1411" s="23" t="s">
        <v>475</v>
      </c>
      <c r="J1411" s="77">
        <v>68.37</v>
      </c>
      <c r="K1411" s="77">
        <v>51.34</v>
      </c>
      <c r="L1411" s="77">
        <v>0.48</v>
      </c>
      <c r="N1411" s="365">
        <f t="shared" si="400"/>
        <v>120.19000000000001</v>
      </c>
      <c r="O1411" s="343">
        <f t="shared" si="401"/>
        <v>68.37</v>
      </c>
      <c r="P1411" s="195">
        <v>16</v>
      </c>
      <c r="Q1411" s="326">
        <f>IFERROR(VLOOKUP($G1411,主力整理!$A$2:$G$2301,6,0),"0")</f>
        <v>7</v>
      </c>
      <c r="R1411" s="111">
        <v>4</v>
      </c>
      <c r="T1411" s="339">
        <f t="shared" si="402"/>
        <v>27</v>
      </c>
      <c r="V1411" s="371">
        <v>0.03</v>
      </c>
      <c r="W1411" s="69">
        <v>8</v>
      </c>
      <c r="X1411" s="100">
        <v>13.2</v>
      </c>
      <c r="Y1411" s="14" t="str">
        <f>RTD("money.excel",,"9921","Price")</f>
        <v>無資料</v>
      </c>
      <c r="Z1411" s="69"/>
      <c r="AA1411" s="16" t="e">
        <f t="shared" si="403"/>
        <v>#VALUE!</v>
      </c>
      <c r="AB1411" s="3" t="e">
        <f t="shared" si="404"/>
        <v>#VALUE!</v>
      </c>
      <c r="AC1411" s="177" t="s">
        <v>2929</v>
      </c>
      <c r="AD1411" s="23" t="s">
        <v>475</v>
      </c>
      <c r="AG1411" s="34">
        <f t="shared" si="405"/>
        <v>0</v>
      </c>
      <c r="AH1411" s="125" t="s">
        <v>3760</v>
      </c>
      <c r="AI1411" s="131"/>
      <c r="AK1411" s="66">
        <f t="shared" si="398"/>
        <v>0</v>
      </c>
      <c r="AL1411" s="174">
        <f t="shared" si="399"/>
        <v>0</v>
      </c>
      <c r="AM1411" s="346">
        <f>RTD("money.excel",,$G1411,"PredictVolume")</f>
        <v>0</v>
      </c>
      <c r="AN1411" s="272">
        <f>RTD("money.excel",,$G1411,"CumulativeVolume")</f>
        <v>0</v>
      </c>
      <c r="AO1411" s="284"/>
    </row>
    <row r="1412" spans="1:41">
      <c r="A1412" s="151" t="s">
        <v>2661</v>
      </c>
      <c r="B1412" s="96">
        <v>-2</v>
      </c>
      <c r="C1412" s="96">
        <v>2</v>
      </c>
      <c r="D1412" s="96">
        <v>-1</v>
      </c>
      <c r="E1412" s="96">
        <v>24</v>
      </c>
      <c r="F1412" s="7">
        <v>14.03</v>
      </c>
      <c r="G1412" s="85">
        <v>9924</v>
      </c>
      <c r="H1412" s="4" t="s">
        <v>429</v>
      </c>
      <c r="I1412" s="23" t="s">
        <v>1251</v>
      </c>
      <c r="J1412" s="77">
        <v>66.2</v>
      </c>
      <c r="K1412" s="77">
        <v>11.7</v>
      </c>
      <c r="L1412" s="77">
        <v>1.52</v>
      </c>
      <c r="N1412" s="365">
        <f t="shared" si="400"/>
        <v>79.42</v>
      </c>
      <c r="O1412" s="343">
        <f t="shared" si="401"/>
        <v>66.2</v>
      </c>
      <c r="P1412" s="195" t="s">
        <v>5554</v>
      </c>
      <c r="Q1412" s="326" t="str">
        <f>IFERROR(VLOOKUP($G1412,主力整理!$A$2:$G$2301,6,0),"0")</f>
        <v>0</v>
      </c>
      <c r="T1412" s="339">
        <f t="shared" si="402"/>
        <v>0</v>
      </c>
      <c r="V1412" s="371">
        <v>16.23</v>
      </c>
      <c r="W1412" s="35">
        <v>2.6</v>
      </c>
      <c r="X1412" s="100">
        <v>4.37</v>
      </c>
      <c r="Y1412" s="14" t="str">
        <f>RTD("money.excel",,"9924","Price")</f>
        <v>無資料</v>
      </c>
      <c r="Z1412" s="69"/>
      <c r="AA1412" s="16" t="e">
        <f t="shared" si="403"/>
        <v>#VALUE!</v>
      </c>
      <c r="AB1412" s="3" t="e">
        <f t="shared" si="404"/>
        <v>#VALUE!</v>
      </c>
      <c r="AD1412" s="23" t="s">
        <v>1251</v>
      </c>
      <c r="AG1412" s="34">
        <f t="shared" si="405"/>
        <v>0</v>
      </c>
      <c r="AH1412" s="44" t="s">
        <v>4443</v>
      </c>
      <c r="AI1412" s="131"/>
      <c r="AK1412" s="66">
        <f t="shared" si="398"/>
        <v>0</v>
      </c>
      <c r="AL1412" s="174">
        <f t="shared" si="399"/>
        <v>0</v>
      </c>
      <c r="AM1412" s="346">
        <f>RTD("money.excel",,$G1412,"PredictVolume")</f>
        <v>0</v>
      </c>
      <c r="AN1412" s="272">
        <f>RTD("money.excel",,$G1412,"CumulativeVolume")</f>
        <v>0</v>
      </c>
      <c r="AO1412" s="284"/>
    </row>
    <row r="1413" spans="1:41">
      <c r="A1413" s="135" t="s">
        <v>2493</v>
      </c>
      <c r="B1413" s="96">
        <v>17</v>
      </c>
      <c r="C1413" s="96">
        <v>17</v>
      </c>
      <c r="D1413" s="96">
        <v>5</v>
      </c>
      <c r="E1413" s="96">
        <v>10</v>
      </c>
      <c r="F1413" s="59">
        <v>12.04</v>
      </c>
      <c r="G1413" s="85">
        <v>9925</v>
      </c>
      <c r="H1413" s="4" t="s">
        <v>429</v>
      </c>
      <c r="I1413" s="23" t="s">
        <v>182</v>
      </c>
      <c r="J1413" s="77">
        <v>73.760000000000005</v>
      </c>
      <c r="K1413" s="77">
        <v>17.170000000000002</v>
      </c>
      <c r="L1413" s="77">
        <v>0.15</v>
      </c>
      <c r="N1413" s="365">
        <f t="shared" si="400"/>
        <v>91.080000000000013</v>
      </c>
      <c r="O1413" s="343">
        <f t="shared" si="401"/>
        <v>73.760000000000005</v>
      </c>
      <c r="P1413" s="195" t="s">
        <v>5554</v>
      </c>
      <c r="Q1413" s="326" t="str">
        <f>IFERROR(VLOOKUP($G1413,主力整理!$A$2:$G$2301,6,0),"0")</f>
        <v>0</v>
      </c>
      <c r="T1413" s="339">
        <f t="shared" si="402"/>
        <v>0</v>
      </c>
      <c r="V1413" s="371">
        <v>16.64</v>
      </c>
      <c r="W1413" s="35">
        <v>2</v>
      </c>
      <c r="X1413" s="100">
        <v>2.31</v>
      </c>
      <c r="Y1413" s="14" t="str">
        <f>RTD("money.excel",,"9925","Price")</f>
        <v>無資料</v>
      </c>
      <c r="Z1413" s="69"/>
      <c r="AA1413" s="16" t="e">
        <f t="shared" si="403"/>
        <v>#VALUE!</v>
      </c>
      <c r="AB1413" s="3" t="e">
        <f t="shared" si="404"/>
        <v>#VALUE!</v>
      </c>
      <c r="AD1413" s="23" t="s">
        <v>182</v>
      </c>
      <c r="AG1413" s="34">
        <f t="shared" si="405"/>
        <v>0</v>
      </c>
      <c r="AH1413" s="126" t="s">
        <v>4444</v>
      </c>
      <c r="AI1413" s="131"/>
      <c r="AK1413" s="66">
        <f t="shared" si="398"/>
        <v>0</v>
      </c>
      <c r="AL1413" s="174">
        <f t="shared" si="399"/>
        <v>0</v>
      </c>
      <c r="AM1413" s="346">
        <f>RTD("money.excel",,$G1413,"PredictVolume")</f>
        <v>0</v>
      </c>
      <c r="AN1413" s="272">
        <f>RTD("money.excel",,$G1413,"CumulativeVolume")</f>
        <v>0</v>
      </c>
      <c r="AO1413" s="284"/>
    </row>
    <row r="1414" spans="1:41">
      <c r="A1414" s="151" t="s">
        <v>2662</v>
      </c>
      <c r="B1414" s="85">
        <v>-54</v>
      </c>
      <c r="C1414" s="85">
        <v>-38</v>
      </c>
      <c r="D1414" s="84">
        <v>4</v>
      </c>
      <c r="E1414" s="85">
        <v>-26</v>
      </c>
      <c r="F1414" s="7">
        <v>4.26</v>
      </c>
      <c r="G1414" s="85">
        <v>9927</v>
      </c>
      <c r="H1414" s="4" t="s">
        <v>429</v>
      </c>
      <c r="I1414" s="23" t="s">
        <v>1252</v>
      </c>
      <c r="J1414" s="77">
        <v>49</v>
      </c>
      <c r="K1414" s="77">
        <v>10.48</v>
      </c>
      <c r="L1414" s="77">
        <v>0.3</v>
      </c>
      <c r="N1414" s="365">
        <f t="shared" si="400"/>
        <v>59.78</v>
      </c>
      <c r="O1414" s="343">
        <f t="shared" si="401"/>
        <v>49</v>
      </c>
      <c r="P1414" s="195">
        <v>1</v>
      </c>
      <c r="Q1414" s="326" t="str">
        <f>IFERROR(VLOOKUP($G1414,主力整理!$A$2:$G$2301,6,0),"0")</f>
        <v>0</v>
      </c>
      <c r="T1414" s="339">
        <f t="shared" si="402"/>
        <v>1</v>
      </c>
      <c r="V1414" s="371">
        <v>0</v>
      </c>
      <c r="W1414" s="35">
        <v>1</v>
      </c>
      <c r="X1414" s="100">
        <v>1.68</v>
      </c>
      <c r="Y1414" s="37" t="str">
        <f>RTD("money.excel",,"9927","Price")</f>
        <v>無資料</v>
      </c>
      <c r="Z1414" s="69"/>
      <c r="AA1414" s="16" t="e">
        <f t="shared" si="403"/>
        <v>#VALUE!</v>
      </c>
      <c r="AB1414" s="3" t="e">
        <f t="shared" si="404"/>
        <v>#VALUE!</v>
      </c>
      <c r="AC1414" s="177" t="s">
        <v>2648</v>
      </c>
      <c r="AD1414" s="23" t="s">
        <v>1252</v>
      </c>
      <c r="AG1414" s="34">
        <f t="shared" si="405"/>
        <v>0</v>
      </c>
      <c r="AH1414" s="44" t="s">
        <v>4445</v>
      </c>
      <c r="AI1414" s="131"/>
      <c r="AK1414" s="66">
        <f t="shared" si="398"/>
        <v>0</v>
      </c>
      <c r="AL1414" s="174">
        <f t="shared" si="399"/>
        <v>0</v>
      </c>
      <c r="AM1414" s="346">
        <f>RTD("money.excel",,$G1414,"PredictVolume")</f>
        <v>0</v>
      </c>
      <c r="AN1414" s="272">
        <f>RTD("money.excel",,$G1414,"CumulativeVolume")</f>
        <v>0</v>
      </c>
      <c r="AO1414" s="284"/>
    </row>
    <row r="1415" spans="1:41">
      <c r="A1415" s="151" t="s">
        <v>3576</v>
      </c>
      <c r="B1415" s="96">
        <v>67</v>
      </c>
      <c r="C1415" s="96">
        <v>46</v>
      </c>
      <c r="D1415" s="96">
        <v>4</v>
      </c>
      <c r="E1415" s="96">
        <v>2</v>
      </c>
      <c r="F1415" s="7">
        <v>-39</v>
      </c>
      <c r="G1415" s="85">
        <v>9928</v>
      </c>
      <c r="H1415" s="4" t="s">
        <v>429</v>
      </c>
      <c r="I1415" s="23" t="s">
        <v>1253</v>
      </c>
      <c r="J1415" s="77">
        <v>84.8</v>
      </c>
      <c r="K1415" s="77">
        <v>0</v>
      </c>
      <c r="N1415" s="365">
        <f t="shared" si="400"/>
        <v>84.8</v>
      </c>
      <c r="O1415" s="343">
        <f t="shared" si="401"/>
        <v>84.8</v>
      </c>
      <c r="P1415" s="195" t="s">
        <v>5554</v>
      </c>
      <c r="Q1415" s="326" t="str">
        <f>IFERROR(VLOOKUP($G1415,主力整理!$A$2:$G$2301,6,0),"0")</f>
        <v>0</v>
      </c>
      <c r="T1415" s="339">
        <f t="shared" si="402"/>
        <v>0</v>
      </c>
      <c r="V1415" s="371">
        <v>60.7</v>
      </c>
      <c r="W1415" s="35">
        <v>0</v>
      </c>
      <c r="X1415" s="100">
        <v>-0.18</v>
      </c>
      <c r="Y1415" s="14" t="str">
        <f>RTD("money.excel",,"9928","Price")</f>
        <v>無資料</v>
      </c>
      <c r="Z1415" s="69"/>
      <c r="AA1415" s="16" t="e">
        <f t="shared" si="403"/>
        <v>#VALUE!</v>
      </c>
      <c r="AB1415" s="3" t="e">
        <f t="shared" si="404"/>
        <v>#VALUE!</v>
      </c>
      <c r="AD1415" s="23" t="s">
        <v>1253</v>
      </c>
      <c r="AG1415" s="34">
        <f t="shared" si="405"/>
        <v>0</v>
      </c>
      <c r="AH1415" s="44" t="s">
        <v>4446</v>
      </c>
      <c r="AI1415" s="131"/>
      <c r="AK1415" s="66">
        <f t="shared" si="398"/>
        <v>0</v>
      </c>
      <c r="AL1415" s="174">
        <f t="shared" si="399"/>
        <v>0</v>
      </c>
      <c r="AM1415" s="346">
        <f>RTD("money.excel",,$G1415,"PredictVolume")</f>
        <v>0</v>
      </c>
      <c r="AN1415" s="272">
        <f>RTD("money.excel",,$G1415,"CumulativeVolume")</f>
        <v>0</v>
      </c>
      <c r="AO1415" s="284"/>
    </row>
    <row r="1416" spans="1:41">
      <c r="A1416" s="151" t="s">
        <v>2760</v>
      </c>
      <c r="B1416" s="96">
        <v>594</v>
      </c>
      <c r="C1416" s="96">
        <v>100</v>
      </c>
      <c r="D1416" s="96">
        <v>-5</v>
      </c>
      <c r="E1416" s="96">
        <v>-51</v>
      </c>
      <c r="F1416" s="7">
        <v>-0.52</v>
      </c>
      <c r="G1416" s="85">
        <v>9929</v>
      </c>
      <c r="H1416" s="4" t="s">
        <v>429</v>
      </c>
      <c r="I1416" s="23" t="s">
        <v>1254</v>
      </c>
      <c r="J1416" s="77">
        <v>87.42</v>
      </c>
      <c r="K1416" s="77">
        <v>8.3699999999999992</v>
      </c>
      <c r="N1416" s="365">
        <f t="shared" si="400"/>
        <v>95.79</v>
      </c>
      <c r="O1416" s="343">
        <f t="shared" si="401"/>
        <v>87.42</v>
      </c>
      <c r="P1416" s="195" t="s">
        <v>5554</v>
      </c>
      <c r="Q1416" s="326" t="str">
        <f>IFERROR(VLOOKUP($G1416,主力整理!$A$2:$G$2301,6,0),"0")</f>
        <v>0</v>
      </c>
      <c r="T1416" s="339">
        <f t="shared" si="402"/>
        <v>0</v>
      </c>
      <c r="V1416" s="371">
        <v>16.5</v>
      </c>
      <c r="W1416" s="35">
        <v>0.4</v>
      </c>
      <c r="X1416" s="100">
        <v>5.42</v>
      </c>
      <c r="Y1416" s="14" t="str">
        <f>RTD("money.excel",,"9929","Price")</f>
        <v>無資料</v>
      </c>
      <c r="Z1416" s="69"/>
      <c r="AA1416" s="16" t="e">
        <f t="shared" si="403"/>
        <v>#VALUE!</v>
      </c>
      <c r="AB1416" s="3" t="e">
        <f t="shared" si="404"/>
        <v>#VALUE!</v>
      </c>
      <c r="AD1416" s="23" t="s">
        <v>1254</v>
      </c>
      <c r="AG1416" s="34">
        <f t="shared" si="405"/>
        <v>0</v>
      </c>
      <c r="AH1416" s="44" t="s">
        <v>3928</v>
      </c>
      <c r="AI1416" s="131"/>
      <c r="AK1416" s="66">
        <f t="shared" si="398"/>
        <v>0</v>
      </c>
      <c r="AL1416" s="174">
        <f t="shared" si="399"/>
        <v>0</v>
      </c>
      <c r="AM1416" s="346">
        <f>RTD("money.excel",,$G1416,"PredictVolume")</f>
        <v>0</v>
      </c>
      <c r="AN1416" s="272">
        <f>RTD("money.excel",,$G1416,"CumulativeVolume")</f>
        <v>0</v>
      </c>
      <c r="AO1416" s="284"/>
    </row>
    <row r="1417" spans="1:41">
      <c r="A1417" s="151" t="s">
        <v>2485</v>
      </c>
      <c r="B1417" s="96">
        <v>-11</v>
      </c>
      <c r="C1417" s="96">
        <v>-15</v>
      </c>
      <c r="D1417" s="96">
        <v>8</v>
      </c>
      <c r="E1417" s="96">
        <v>44</v>
      </c>
      <c r="F1417" s="7">
        <v>9.6199999999999992</v>
      </c>
      <c r="G1417" s="85">
        <v>9930</v>
      </c>
      <c r="H1417" s="4" t="s">
        <v>429</v>
      </c>
      <c r="I1417" s="23" t="s">
        <v>1762</v>
      </c>
      <c r="J1417" s="77">
        <v>79.510000000000005</v>
      </c>
      <c r="K1417" s="77">
        <v>1.95</v>
      </c>
      <c r="L1417" s="77">
        <v>0.04</v>
      </c>
      <c r="N1417" s="365">
        <f t="shared" si="400"/>
        <v>81.500000000000014</v>
      </c>
      <c r="O1417" s="343">
        <f t="shared" si="401"/>
        <v>79.510000000000005</v>
      </c>
      <c r="P1417" s="195" t="s">
        <v>5554</v>
      </c>
      <c r="Q1417" s="326" t="str">
        <f>IFERROR(VLOOKUP($G1417,主力整理!$A$2:$G$2301,6,0),"0")</f>
        <v>0</v>
      </c>
      <c r="T1417" s="339">
        <f t="shared" si="402"/>
        <v>0</v>
      </c>
      <c r="V1417" s="371">
        <v>68.680000000000007</v>
      </c>
      <c r="W1417" s="35">
        <v>2</v>
      </c>
      <c r="X1417" s="100">
        <v>3.07</v>
      </c>
      <c r="Y1417" s="14" t="str">
        <f>RTD("money.excel",,"9930","Price")</f>
        <v>無資料</v>
      </c>
      <c r="Z1417" s="69"/>
      <c r="AA1417" s="16" t="e">
        <f t="shared" si="403"/>
        <v>#VALUE!</v>
      </c>
      <c r="AB1417" s="3" t="e">
        <f t="shared" si="404"/>
        <v>#VALUE!</v>
      </c>
      <c r="AD1417" s="23" t="s">
        <v>1762</v>
      </c>
      <c r="AG1417" s="34">
        <f t="shared" si="405"/>
        <v>0</v>
      </c>
      <c r="AH1417" s="44" t="s">
        <v>4447</v>
      </c>
      <c r="AI1417" s="131"/>
      <c r="AK1417" s="66">
        <f t="shared" si="398"/>
        <v>0</v>
      </c>
      <c r="AL1417" s="174">
        <f t="shared" si="399"/>
        <v>0</v>
      </c>
      <c r="AM1417" s="346">
        <f>RTD("money.excel",,$G1417,"PredictVolume")</f>
        <v>0</v>
      </c>
      <c r="AN1417" s="272">
        <f>RTD("money.excel",,$G1417,"CumulativeVolume")</f>
        <v>0</v>
      </c>
      <c r="AO1417" s="284"/>
    </row>
    <row r="1418" spans="1:41">
      <c r="A1418" s="151" t="s">
        <v>2546</v>
      </c>
      <c r="B1418" s="84">
        <v>5</v>
      </c>
      <c r="C1418" s="84">
        <v>41</v>
      </c>
      <c r="D1418" s="85">
        <v>-12</v>
      </c>
      <c r="E1418" s="84">
        <v>7</v>
      </c>
      <c r="F1418" s="7">
        <v>3.64</v>
      </c>
      <c r="G1418" s="85">
        <v>9933</v>
      </c>
      <c r="H1418" s="4" t="s">
        <v>429</v>
      </c>
      <c r="I1418" s="23" t="s">
        <v>238</v>
      </c>
      <c r="J1418" s="371">
        <v>69.31</v>
      </c>
      <c r="K1418" s="371">
        <v>22.58</v>
      </c>
      <c r="L1418" s="371">
        <v>0.93</v>
      </c>
      <c r="N1418" s="365">
        <f t="shared" si="400"/>
        <v>92.820000000000007</v>
      </c>
      <c r="O1418" s="343">
        <f t="shared" si="401"/>
        <v>69.31</v>
      </c>
      <c r="P1418" s="195">
        <v>1</v>
      </c>
      <c r="Q1418" s="326">
        <f>IFERROR(VLOOKUP($G1418,主力整理!$A$2:$G$2301,6,0),"0")</f>
        <v>3</v>
      </c>
      <c r="T1418" s="339">
        <f t="shared" si="402"/>
        <v>4</v>
      </c>
      <c r="V1418" s="371">
        <v>0.03</v>
      </c>
      <c r="W1418" s="35">
        <v>2</v>
      </c>
      <c r="X1418" s="100">
        <v>1.01</v>
      </c>
      <c r="Y1418" s="37" t="str">
        <f>RTD("money.excel",,"9933","Price")</f>
        <v>無資料</v>
      </c>
      <c r="Z1418" s="69"/>
      <c r="AA1418" s="16" t="e">
        <f t="shared" si="403"/>
        <v>#VALUE!</v>
      </c>
      <c r="AB1418" s="3" t="e">
        <f t="shared" si="404"/>
        <v>#VALUE!</v>
      </c>
      <c r="AC1418" s="177" t="s">
        <v>2648</v>
      </c>
      <c r="AD1418" s="23" t="s">
        <v>238</v>
      </c>
      <c r="AG1418" s="34">
        <f t="shared" si="405"/>
        <v>0</v>
      </c>
      <c r="AH1418" s="125" t="s">
        <v>4448</v>
      </c>
      <c r="AI1418" s="131"/>
      <c r="AK1418" s="66">
        <f t="shared" si="398"/>
        <v>0</v>
      </c>
      <c r="AL1418" s="174">
        <f t="shared" si="399"/>
        <v>0</v>
      </c>
      <c r="AM1418" s="346">
        <f>RTD("money.excel",,$G1418,"PredictVolume")</f>
        <v>0</v>
      </c>
      <c r="AN1418" s="272">
        <f>RTD("money.excel",,$G1418,"CumulativeVolume")</f>
        <v>0</v>
      </c>
      <c r="AO1418" s="284"/>
    </row>
    <row r="1419" spans="1:41">
      <c r="A1419" s="151" t="s">
        <v>3142</v>
      </c>
      <c r="B1419" s="85">
        <v>-73</v>
      </c>
      <c r="C1419" s="85">
        <v>-30</v>
      </c>
      <c r="D1419" s="85">
        <v>-5</v>
      </c>
      <c r="E1419" s="84">
        <v>9</v>
      </c>
      <c r="F1419" s="7">
        <v>2.93</v>
      </c>
      <c r="G1419" s="85">
        <v>9934</v>
      </c>
      <c r="H1419" s="4" t="s">
        <v>429</v>
      </c>
      <c r="I1419" s="23" t="s">
        <v>1255</v>
      </c>
      <c r="J1419" s="77">
        <v>59.19</v>
      </c>
      <c r="K1419" s="77">
        <v>18.96</v>
      </c>
      <c r="L1419" s="77">
        <v>4.51</v>
      </c>
      <c r="N1419" s="365">
        <f t="shared" si="400"/>
        <v>82.660000000000011</v>
      </c>
      <c r="O1419" s="343">
        <f t="shared" si="401"/>
        <v>59.19</v>
      </c>
      <c r="P1419" s="195" t="s">
        <v>5554</v>
      </c>
      <c r="Q1419" s="326" t="str">
        <f>IFERROR(VLOOKUP($G1419,主力整理!$A$2:$G$2301,6,0),"0")</f>
        <v>0</v>
      </c>
      <c r="T1419" s="339">
        <f t="shared" si="402"/>
        <v>0</v>
      </c>
      <c r="V1419" s="371">
        <v>0</v>
      </c>
      <c r="W1419" s="35">
        <v>0.6</v>
      </c>
      <c r="X1419" s="100">
        <v>0.81</v>
      </c>
      <c r="Y1419" s="37" t="str">
        <f>RTD("money.excel",,"9934","Price")</f>
        <v>無資料</v>
      </c>
      <c r="Z1419" s="69"/>
      <c r="AA1419" s="16" t="e">
        <f t="shared" si="403"/>
        <v>#VALUE!</v>
      </c>
      <c r="AB1419" s="3" t="e">
        <f t="shared" si="404"/>
        <v>#VALUE!</v>
      </c>
      <c r="AC1419" s="177" t="s">
        <v>2648</v>
      </c>
      <c r="AD1419" s="23" t="s">
        <v>1255</v>
      </c>
      <c r="AG1419" s="34">
        <f t="shared" si="405"/>
        <v>0</v>
      </c>
      <c r="AH1419" s="44" t="s">
        <v>4449</v>
      </c>
      <c r="AI1419" s="131"/>
      <c r="AK1419" s="66">
        <f t="shared" si="398"/>
        <v>0</v>
      </c>
      <c r="AL1419" s="174">
        <f t="shared" si="399"/>
        <v>0</v>
      </c>
      <c r="AM1419" s="346">
        <f>RTD("money.excel",,$G1419,"PredictVolume")</f>
        <v>0</v>
      </c>
      <c r="AN1419" s="272">
        <f>RTD("money.excel",,$G1419,"CumulativeVolume")</f>
        <v>0</v>
      </c>
      <c r="AO1419" s="284"/>
    </row>
    <row r="1420" spans="1:41">
      <c r="A1420" s="151" t="s">
        <v>2513</v>
      </c>
      <c r="B1420" s="84">
        <v>921</v>
      </c>
      <c r="C1420" s="98">
        <v>2050</v>
      </c>
      <c r="D1420" s="85">
        <v>-23</v>
      </c>
      <c r="E1420" s="85">
        <v>-30</v>
      </c>
      <c r="F1420" s="7">
        <v>7.92</v>
      </c>
      <c r="G1420" s="85">
        <v>9935</v>
      </c>
      <c r="H1420" s="4" t="s">
        <v>429</v>
      </c>
      <c r="I1420" s="23" t="s">
        <v>1256</v>
      </c>
      <c r="J1420" s="371">
        <v>46.4</v>
      </c>
      <c r="K1420" s="77">
        <v>4.91</v>
      </c>
      <c r="L1420" s="77">
        <v>10.31</v>
      </c>
      <c r="N1420" s="365">
        <f t="shared" si="400"/>
        <v>61.620000000000005</v>
      </c>
      <c r="O1420" s="343">
        <f t="shared" si="401"/>
        <v>46.4</v>
      </c>
      <c r="P1420" s="195" t="s">
        <v>5554</v>
      </c>
      <c r="Q1420" s="326" t="str">
        <f>IFERROR(VLOOKUP($G1420,主力整理!$A$2:$G$2301,6,0),"0")</f>
        <v>0</v>
      </c>
      <c r="R1420" s="111">
        <v>3</v>
      </c>
      <c r="T1420" s="339">
        <f t="shared" si="402"/>
        <v>3</v>
      </c>
      <c r="V1420" s="371">
        <v>0.03</v>
      </c>
      <c r="W1420" s="35">
        <v>0.88</v>
      </c>
      <c r="X1420" s="100">
        <v>2.56</v>
      </c>
      <c r="Y1420" s="37" t="str">
        <f>RTD("money.excel",,"9935","Price")</f>
        <v>無資料</v>
      </c>
      <c r="Z1420" s="69"/>
      <c r="AA1420" s="16" t="e">
        <f t="shared" si="403"/>
        <v>#VALUE!</v>
      </c>
      <c r="AB1420" s="3" t="e">
        <f t="shared" si="404"/>
        <v>#VALUE!</v>
      </c>
      <c r="AD1420" s="23" t="s">
        <v>1256</v>
      </c>
      <c r="AG1420" s="34">
        <f t="shared" si="405"/>
        <v>0</v>
      </c>
      <c r="AH1420" s="44" t="s">
        <v>2137</v>
      </c>
      <c r="AI1420" s="131"/>
      <c r="AK1420" s="66">
        <f t="shared" si="398"/>
        <v>0</v>
      </c>
      <c r="AL1420" s="174">
        <f t="shared" si="399"/>
        <v>0</v>
      </c>
      <c r="AM1420" s="346">
        <f>RTD("money.excel",,$G1420,"PredictVolume")</f>
        <v>0</v>
      </c>
      <c r="AN1420" s="272">
        <f>RTD("money.excel",,$G1420,"CumulativeVolume")</f>
        <v>0</v>
      </c>
      <c r="AO1420" s="284"/>
    </row>
    <row r="1421" spans="1:41">
      <c r="A1421" s="135" t="s">
        <v>2915</v>
      </c>
      <c r="B1421" s="84">
        <v>3</v>
      </c>
      <c r="C1421" s="84">
        <v>1</v>
      </c>
      <c r="D1421" s="85">
        <v>-1</v>
      </c>
      <c r="E1421" s="84">
        <v>6</v>
      </c>
      <c r="F1421" s="59">
        <v>19.05</v>
      </c>
      <c r="G1421" s="85">
        <v>9938</v>
      </c>
      <c r="H1421" s="4" t="s">
        <v>429</v>
      </c>
      <c r="I1421" s="23" t="s">
        <v>260</v>
      </c>
      <c r="J1421" s="77">
        <v>70.31</v>
      </c>
      <c r="K1421" s="77">
        <v>30.96</v>
      </c>
      <c r="L1421" s="371">
        <v>6.46</v>
      </c>
      <c r="N1421" s="365">
        <f t="shared" si="400"/>
        <v>107.73</v>
      </c>
      <c r="O1421" s="343">
        <f t="shared" si="401"/>
        <v>70.31</v>
      </c>
      <c r="P1421" s="195">
        <v>5</v>
      </c>
      <c r="Q1421" s="326">
        <f>IFERROR(VLOOKUP($G1421,主力整理!$A$2:$G$2301,6,0),"0")</f>
        <v>3</v>
      </c>
      <c r="R1421" s="111">
        <v>3</v>
      </c>
      <c r="T1421" s="339">
        <f t="shared" si="402"/>
        <v>11</v>
      </c>
      <c r="V1421" s="371">
        <v>0.11</v>
      </c>
      <c r="W1421" s="69">
        <v>3</v>
      </c>
      <c r="X1421" s="100">
        <v>5.21</v>
      </c>
      <c r="Y1421" s="37" t="str">
        <f>RTD("money.excel",,"9938","Price")</f>
        <v>無資料</v>
      </c>
      <c r="Z1421" s="69"/>
      <c r="AA1421" s="16" t="e">
        <f t="shared" si="403"/>
        <v>#VALUE!</v>
      </c>
      <c r="AB1421" s="3" t="e">
        <f t="shared" si="404"/>
        <v>#VALUE!</v>
      </c>
      <c r="AC1421" s="177" t="s">
        <v>2929</v>
      </c>
      <c r="AD1421" s="23" t="s">
        <v>260</v>
      </c>
      <c r="AG1421" s="34">
        <f t="shared" si="405"/>
        <v>0</v>
      </c>
      <c r="AH1421" s="126" t="s">
        <v>4450</v>
      </c>
      <c r="AI1421" s="131"/>
      <c r="AK1421" s="66">
        <f t="shared" si="398"/>
        <v>0</v>
      </c>
      <c r="AL1421" s="174">
        <f t="shared" si="399"/>
        <v>0</v>
      </c>
      <c r="AM1421" s="346">
        <f>RTD("money.excel",,$G1421,"PredictVolume")</f>
        <v>0</v>
      </c>
      <c r="AN1421" s="272">
        <f>RTD("money.excel",,$G1421,"CumulativeVolume")</f>
        <v>0</v>
      </c>
      <c r="AO1421" s="284"/>
    </row>
    <row r="1422" spans="1:41">
      <c r="A1422" s="135" t="s">
        <v>2507</v>
      </c>
      <c r="B1422" s="84">
        <v>19</v>
      </c>
      <c r="C1422" s="85">
        <v>-5</v>
      </c>
      <c r="D1422" s="84">
        <v>6</v>
      </c>
      <c r="E1422" s="85">
        <v>-3</v>
      </c>
      <c r="F1422" s="59">
        <v>12.51</v>
      </c>
      <c r="G1422" s="85">
        <v>9939</v>
      </c>
      <c r="H1422" s="4" t="s">
        <v>429</v>
      </c>
      <c r="I1422" s="23" t="s">
        <v>1257</v>
      </c>
      <c r="J1422" s="371">
        <v>51.78</v>
      </c>
      <c r="K1422" s="371">
        <v>26.05</v>
      </c>
      <c r="L1422" s="371">
        <v>3.44</v>
      </c>
      <c r="N1422" s="365">
        <f t="shared" si="400"/>
        <v>81.27</v>
      </c>
      <c r="O1422" s="343">
        <f t="shared" si="401"/>
        <v>51.78</v>
      </c>
      <c r="P1422" s="195">
        <v>3</v>
      </c>
      <c r="Q1422" s="326" t="str">
        <f>IFERROR(VLOOKUP($G1422,主力整理!$A$2:$G$2301,6,0),"0")</f>
        <v>0</v>
      </c>
      <c r="T1422" s="339">
        <f t="shared" si="402"/>
        <v>3</v>
      </c>
      <c r="V1422" s="371">
        <v>0.02</v>
      </c>
      <c r="W1422" s="69">
        <v>3.6</v>
      </c>
      <c r="X1422" s="100">
        <v>5.71</v>
      </c>
      <c r="Y1422" s="37" t="str">
        <f>RTD("money.excel",,"9939","Price")</f>
        <v>無資料</v>
      </c>
      <c r="Z1422" s="69"/>
      <c r="AA1422" s="16" t="e">
        <f t="shared" si="403"/>
        <v>#VALUE!</v>
      </c>
      <c r="AB1422" s="3" t="e">
        <f t="shared" si="404"/>
        <v>#VALUE!</v>
      </c>
      <c r="AC1422" s="177" t="s">
        <v>2929</v>
      </c>
      <c r="AD1422" s="23" t="s">
        <v>1257</v>
      </c>
      <c r="AG1422" s="34">
        <f t="shared" si="405"/>
        <v>0</v>
      </c>
      <c r="AH1422" s="63" t="s">
        <v>4437</v>
      </c>
      <c r="AI1422" s="131"/>
      <c r="AK1422" s="66">
        <f t="shared" si="398"/>
        <v>0</v>
      </c>
      <c r="AL1422" s="174">
        <f t="shared" si="399"/>
        <v>0</v>
      </c>
      <c r="AM1422" s="346">
        <f>RTD("money.excel",,$G1422,"PredictVolume")</f>
        <v>0</v>
      </c>
      <c r="AN1422" s="272">
        <f>RTD("money.excel",,$G1422,"CumulativeVolume")</f>
        <v>0</v>
      </c>
      <c r="AO1422" s="284"/>
    </row>
    <row r="1423" spans="1:41">
      <c r="A1423" s="135" t="s">
        <v>3213</v>
      </c>
      <c r="B1423" s="85">
        <v>-53</v>
      </c>
      <c r="C1423" s="85">
        <v>-52</v>
      </c>
      <c r="D1423" s="84">
        <v>6</v>
      </c>
      <c r="E1423" s="84">
        <v>44</v>
      </c>
      <c r="F1423" s="59">
        <v>11.02</v>
      </c>
      <c r="G1423" s="85">
        <v>9940</v>
      </c>
      <c r="H1423" s="4" t="s">
        <v>429</v>
      </c>
      <c r="I1423" s="23" t="s">
        <v>184</v>
      </c>
      <c r="J1423" s="77">
        <v>81.31</v>
      </c>
      <c r="K1423" s="371">
        <v>5.07</v>
      </c>
      <c r="L1423" s="371">
        <v>0.22</v>
      </c>
      <c r="N1423" s="365">
        <f t="shared" si="400"/>
        <v>86.6</v>
      </c>
      <c r="O1423" s="343">
        <f t="shared" si="401"/>
        <v>81.31</v>
      </c>
      <c r="P1423" s="195">
        <v>1</v>
      </c>
      <c r="Q1423" s="326" t="str">
        <f>IFERROR(VLOOKUP($G1423,主力整理!$A$2:$G$2301,6,0),"0")</f>
        <v>0</v>
      </c>
      <c r="T1423" s="339">
        <f t="shared" si="402"/>
        <v>1</v>
      </c>
      <c r="W1423" s="35">
        <v>1.7</v>
      </c>
      <c r="X1423" s="100">
        <v>2.11</v>
      </c>
      <c r="Y1423" s="37" t="str">
        <f>RTD("money.excel",,"9940","Price")</f>
        <v>無資料</v>
      </c>
      <c r="Z1423" s="69"/>
      <c r="AA1423" s="16" t="e">
        <f t="shared" si="403"/>
        <v>#VALUE!</v>
      </c>
      <c r="AB1423" s="3" t="e">
        <f t="shared" si="404"/>
        <v>#VALUE!</v>
      </c>
      <c r="AC1423" s="177" t="s">
        <v>2648</v>
      </c>
      <c r="AD1423" s="23" t="s">
        <v>184</v>
      </c>
      <c r="AG1423" s="34">
        <f t="shared" si="405"/>
        <v>0</v>
      </c>
      <c r="AH1423" s="126" t="s">
        <v>2140</v>
      </c>
      <c r="AI1423" s="131"/>
      <c r="AK1423" s="66">
        <f t="shared" si="398"/>
        <v>0</v>
      </c>
      <c r="AL1423" s="174">
        <f t="shared" si="399"/>
        <v>0</v>
      </c>
      <c r="AM1423" s="346">
        <f>RTD("money.excel",,$G1423,"PredictVolume")</f>
        <v>0</v>
      </c>
      <c r="AN1423" s="272">
        <f>RTD("money.excel",,$G1423,"CumulativeVolume")</f>
        <v>0</v>
      </c>
      <c r="AO1423" s="284"/>
    </row>
    <row r="1424" spans="1:41">
      <c r="A1424" s="135" t="s">
        <v>3091</v>
      </c>
      <c r="B1424" s="85">
        <v>-4</v>
      </c>
      <c r="C1424" s="85">
        <v>-7</v>
      </c>
      <c r="D1424" s="84">
        <v>4</v>
      </c>
      <c r="E1424" s="84">
        <v>3</v>
      </c>
      <c r="F1424" s="59">
        <v>13.29</v>
      </c>
      <c r="G1424" s="85">
        <v>9941</v>
      </c>
      <c r="H1424" s="4" t="s">
        <v>429</v>
      </c>
      <c r="I1424" s="23" t="s">
        <v>239</v>
      </c>
      <c r="J1424" s="371">
        <v>67.97</v>
      </c>
      <c r="K1424" s="371">
        <v>5.48</v>
      </c>
      <c r="L1424" s="371">
        <v>1.08</v>
      </c>
      <c r="N1424" s="365">
        <f t="shared" si="400"/>
        <v>74.53</v>
      </c>
      <c r="O1424" s="343">
        <f t="shared" si="401"/>
        <v>67.97</v>
      </c>
      <c r="P1424" s="195">
        <v>1</v>
      </c>
      <c r="Q1424" s="326">
        <f>IFERROR(VLOOKUP($G1424,主力整理!$A$2:$G$2301,6,0),"0")</f>
        <v>2</v>
      </c>
      <c r="T1424" s="339">
        <f t="shared" si="402"/>
        <v>3</v>
      </c>
      <c r="V1424" s="371">
        <v>0</v>
      </c>
      <c r="W1424" s="69">
        <v>6.2</v>
      </c>
      <c r="X1424" s="100">
        <v>9.9</v>
      </c>
      <c r="Y1424" s="37" t="str">
        <f>RTD("money.excel",,"9941","Price")</f>
        <v>無資料</v>
      </c>
      <c r="Z1424" s="69"/>
      <c r="AA1424" s="16" t="e">
        <f t="shared" si="403"/>
        <v>#VALUE!</v>
      </c>
      <c r="AB1424" s="3" t="e">
        <f t="shared" si="404"/>
        <v>#VALUE!</v>
      </c>
      <c r="AC1424" s="177" t="s">
        <v>2929</v>
      </c>
      <c r="AD1424" s="23" t="s">
        <v>239</v>
      </c>
      <c r="AG1424" s="34">
        <f t="shared" si="405"/>
        <v>0</v>
      </c>
      <c r="AH1424" s="126" t="s">
        <v>3370</v>
      </c>
      <c r="AI1424" s="131"/>
      <c r="AK1424" s="66">
        <f t="shared" si="398"/>
        <v>0</v>
      </c>
      <c r="AL1424" s="174">
        <f t="shared" si="399"/>
        <v>0</v>
      </c>
      <c r="AM1424" s="346">
        <f>RTD("money.excel",,$G1424,"PredictVolume")</f>
        <v>0</v>
      </c>
      <c r="AN1424" s="272">
        <f>RTD("money.excel",,$G1424,"CumulativeVolume")</f>
        <v>0</v>
      </c>
      <c r="AO1424" s="284"/>
    </row>
    <row r="1425" spans="1:41">
      <c r="A1425" s="135" t="s">
        <v>2597</v>
      </c>
      <c r="B1425" s="96">
        <v>7</v>
      </c>
      <c r="C1425" s="96">
        <v>-14</v>
      </c>
      <c r="D1425" s="96">
        <v>-3</v>
      </c>
      <c r="E1425" s="96">
        <v>-7</v>
      </c>
      <c r="F1425" s="59">
        <v>19.37</v>
      </c>
      <c r="G1425" s="85">
        <v>9942</v>
      </c>
      <c r="H1425" s="4" t="s">
        <v>429</v>
      </c>
      <c r="I1425" s="23" t="s">
        <v>1258</v>
      </c>
      <c r="J1425" s="77">
        <v>58.75</v>
      </c>
      <c r="K1425" s="77">
        <v>5.04</v>
      </c>
      <c r="L1425" s="77">
        <v>1.23</v>
      </c>
      <c r="N1425" s="365">
        <f t="shared" si="400"/>
        <v>65.02</v>
      </c>
      <c r="O1425" s="343">
        <f t="shared" si="401"/>
        <v>58.75</v>
      </c>
      <c r="P1425" s="195" t="s">
        <v>5554</v>
      </c>
      <c r="Q1425" s="326" t="str">
        <f>IFERROR(VLOOKUP($G1425,主力整理!$A$2:$G$2301,6,0),"0")</f>
        <v>0</v>
      </c>
      <c r="T1425" s="339">
        <f t="shared" si="402"/>
        <v>0</v>
      </c>
      <c r="V1425" s="371">
        <v>23.6</v>
      </c>
      <c r="W1425" s="69">
        <v>4.2</v>
      </c>
      <c r="X1425" s="100">
        <v>4.6399999999999997</v>
      </c>
      <c r="Y1425" s="14" t="str">
        <f>RTD("money.excel",,"9942","Price")</f>
        <v>無資料</v>
      </c>
      <c r="Z1425" s="69"/>
      <c r="AA1425" s="16" t="e">
        <f t="shared" si="403"/>
        <v>#VALUE!</v>
      </c>
      <c r="AB1425" s="3" t="e">
        <f t="shared" si="404"/>
        <v>#VALUE!</v>
      </c>
      <c r="AC1425" s="177" t="s">
        <v>2700</v>
      </c>
      <c r="AD1425" s="23" t="s">
        <v>1258</v>
      </c>
      <c r="AG1425" s="34">
        <f t="shared" si="405"/>
        <v>0</v>
      </c>
      <c r="AH1425" s="63" t="s">
        <v>4451</v>
      </c>
      <c r="AI1425" s="131"/>
      <c r="AK1425" s="66">
        <f t="shared" si="398"/>
        <v>0</v>
      </c>
      <c r="AL1425" s="174">
        <f t="shared" si="399"/>
        <v>0</v>
      </c>
      <c r="AM1425" s="346">
        <f>RTD("money.excel",,$G1425,"PredictVolume")</f>
        <v>0</v>
      </c>
      <c r="AN1425" s="272">
        <f>RTD("money.excel",,$G1425,"CumulativeVolume")</f>
        <v>0</v>
      </c>
      <c r="AO1425" s="284"/>
    </row>
    <row r="1426" spans="1:41">
      <c r="A1426" s="151" t="s">
        <v>4648</v>
      </c>
      <c r="B1426" s="96">
        <v>504</v>
      </c>
      <c r="C1426" s="96">
        <v>57</v>
      </c>
      <c r="D1426" s="96">
        <v>24</v>
      </c>
      <c r="E1426" s="96">
        <v>34</v>
      </c>
      <c r="F1426" s="7">
        <v>6.27</v>
      </c>
      <c r="G1426" s="85">
        <v>9944</v>
      </c>
      <c r="H1426" s="4" t="s">
        <v>429</v>
      </c>
      <c r="I1426" s="23" t="s">
        <v>1259</v>
      </c>
      <c r="J1426" s="77">
        <v>79.97</v>
      </c>
      <c r="K1426" s="77">
        <v>5.73</v>
      </c>
      <c r="L1426" s="77">
        <v>24.03</v>
      </c>
      <c r="N1426" s="365">
        <f t="shared" si="400"/>
        <v>109.73</v>
      </c>
      <c r="O1426" s="343">
        <f t="shared" si="401"/>
        <v>79.97</v>
      </c>
      <c r="P1426" s="195" t="s">
        <v>5554</v>
      </c>
      <c r="Q1426" s="326" t="str">
        <f>IFERROR(VLOOKUP($G1426,主力整理!$A$2:$G$2301,6,0),"0")</f>
        <v>0</v>
      </c>
      <c r="T1426" s="339">
        <f t="shared" si="402"/>
        <v>0</v>
      </c>
      <c r="V1426" s="371">
        <v>23.09</v>
      </c>
      <c r="W1426" s="35">
        <v>0.4</v>
      </c>
      <c r="X1426" s="100">
        <v>0.69</v>
      </c>
      <c r="Y1426" s="14" t="str">
        <f>RTD("money.excel",,"9944","Price")</f>
        <v>無資料</v>
      </c>
      <c r="Z1426" s="69"/>
      <c r="AA1426" s="16" t="e">
        <f t="shared" si="403"/>
        <v>#VALUE!</v>
      </c>
      <c r="AB1426" s="3" t="e">
        <f t="shared" si="404"/>
        <v>#VALUE!</v>
      </c>
      <c r="AD1426" s="23" t="s">
        <v>1259</v>
      </c>
      <c r="AG1426" s="34">
        <f t="shared" si="405"/>
        <v>0</v>
      </c>
      <c r="AH1426" s="44" t="s">
        <v>4452</v>
      </c>
      <c r="AI1426" s="131"/>
      <c r="AK1426" s="66">
        <f t="shared" si="398"/>
        <v>0</v>
      </c>
      <c r="AL1426" s="174">
        <f t="shared" si="399"/>
        <v>0</v>
      </c>
      <c r="AM1426" s="346">
        <f>RTD("money.excel",,$G1426,"PredictVolume")</f>
        <v>0</v>
      </c>
      <c r="AN1426" s="272">
        <f>RTD("money.excel",,$G1426,"CumulativeVolume")</f>
        <v>0</v>
      </c>
      <c r="AO1426" s="284"/>
    </row>
    <row r="1427" spans="1:41">
      <c r="A1427" s="135" t="s">
        <v>6397</v>
      </c>
      <c r="B1427" s="84">
        <v>79</v>
      </c>
      <c r="C1427" s="84">
        <v>122</v>
      </c>
      <c r="D1427" s="84">
        <v>1</v>
      </c>
      <c r="E1427" s="84">
        <v>30</v>
      </c>
      <c r="F1427" s="59">
        <v>13.8</v>
      </c>
      <c r="G1427" s="85">
        <v>9945</v>
      </c>
      <c r="H1427" s="4" t="s">
        <v>429</v>
      </c>
      <c r="I1427" s="23" t="s">
        <v>49</v>
      </c>
      <c r="J1427" s="77">
        <v>62.76</v>
      </c>
      <c r="K1427" s="371">
        <v>15.02</v>
      </c>
      <c r="L1427" s="371">
        <v>2.06</v>
      </c>
      <c r="N1427" s="365">
        <f t="shared" si="400"/>
        <v>79.84</v>
      </c>
      <c r="O1427" s="343">
        <f t="shared" si="401"/>
        <v>62.76</v>
      </c>
      <c r="P1427" s="195">
        <v>2</v>
      </c>
      <c r="Q1427" s="326">
        <v>8</v>
      </c>
      <c r="R1427" s="111">
        <v>2</v>
      </c>
      <c r="S1427" s="51">
        <v>7</v>
      </c>
      <c r="T1427" s="339">
        <f t="shared" si="402"/>
        <v>19</v>
      </c>
      <c r="V1427" s="371">
        <v>4.62</v>
      </c>
      <c r="W1427" s="69">
        <v>5</v>
      </c>
      <c r="X1427" s="59">
        <v>9.3000000000000007</v>
      </c>
      <c r="Y1427" s="37" t="str">
        <f>RTD("money.excel",,"9945","Price")</f>
        <v>無資料</v>
      </c>
      <c r="Z1427" s="69"/>
      <c r="AA1427" s="16" t="e">
        <f t="shared" si="403"/>
        <v>#VALUE!</v>
      </c>
      <c r="AB1427" s="3" t="e">
        <f t="shared" si="404"/>
        <v>#VALUE!</v>
      </c>
      <c r="AC1427" s="177" t="s">
        <v>2929</v>
      </c>
      <c r="AD1427" s="23" t="s">
        <v>49</v>
      </c>
      <c r="AG1427" s="34">
        <f t="shared" si="405"/>
        <v>0</v>
      </c>
      <c r="AH1427" s="126" t="s">
        <v>2169</v>
      </c>
      <c r="AI1427" s="131"/>
      <c r="AK1427" s="66">
        <f t="shared" si="398"/>
        <v>0</v>
      </c>
      <c r="AL1427" s="174">
        <f t="shared" si="399"/>
        <v>0</v>
      </c>
      <c r="AM1427" s="346">
        <f>RTD("money.excel",,$G1427,"PredictVolume")</f>
        <v>0</v>
      </c>
      <c r="AN1427" s="272">
        <f>RTD("money.excel",,$G1427,"CumulativeVolume")</f>
        <v>0</v>
      </c>
      <c r="AO1427" s="284"/>
    </row>
    <row r="1428" spans="1:41">
      <c r="A1428" s="151" t="s">
        <v>2555</v>
      </c>
      <c r="B1428" s="96">
        <v>-343</v>
      </c>
      <c r="C1428" s="96">
        <v>-505</v>
      </c>
      <c r="D1428" s="96">
        <v>-43</v>
      </c>
      <c r="E1428" s="96">
        <v>107</v>
      </c>
      <c r="F1428" s="7">
        <v>-5.24</v>
      </c>
      <c r="G1428" s="85">
        <v>9955</v>
      </c>
      <c r="H1428" s="4" t="s">
        <v>429</v>
      </c>
      <c r="I1428" s="23" t="s">
        <v>1260</v>
      </c>
      <c r="J1428" s="77">
        <v>62.7</v>
      </c>
      <c r="K1428" s="77">
        <v>0.36</v>
      </c>
      <c r="L1428" s="77">
        <v>5.31</v>
      </c>
      <c r="N1428" s="365">
        <f t="shared" si="400"/>
        <v>68.37</v>
      </c>
      <c r="O1428" s="343">
        <f t="shared" si="401"/>
        <v>62.7</v>
      </c>
      <c r="P1428" s="195" t="s">
        <v>5554</v>
      </c>
      <c r="Q1428" s="326" t="str">
        <f>IFERROR(VLOOKUP($G1428,主力整理!$A$2:$G$2301,6,0),"0")</f>
        <v>0</v>
      </c>
      <c r="T1428" s="339">
        <f t="shared" si="402"/>
        <v>0</v>
      </c>
      <c r="V1428" s="371">
        <v>37.71</v>
      </c>
      <c r="W1428" s="35">
        <v>0</v>
      </c>
      <c r="X1428" s="100">
        <v>-1.2</v>
      </c>
      <c r="Y1428" s="14" t="str">
        <f>RTD("money.excel",,"9955","Price")</f>
        <v>無資料</v>
      </c>
      <c r="Z1428" s="69"/>
      <c r="AA1428" s="16" t="e">
        <f t="shared" si="403"/>
        <v>#VALUE!</v>
      </c>
      <c r="AB1428" s="3" t="e">
        <f t="shared" si="404"/>
        <v>#VALUE!</v>
      </c>
      <c r="AD1428" s="23" t="s">
        <v>1260</v>
      </c>
      <c r="AG1428" s="34">
        <f t="shared" si="405"/>
        <v>0</v>
      </c>
      <c r="AH1428" s="44" t="s">
        <v>4430</v>
      </c>
      <c r="AI1428" s="131"/>
      <c r="AK1428" s="66">
        <f t="shared" si="398"/>
        <v>0</v>
      </c>
      <c r="AL1428" s="174">
        <f t="shared" si="399"/>
        <v>0</v>
      </c>
      <c r="AM1428" s="346">
        <f>RTD("money.excel",,$G1428,"PredictVolume")</f>
        <v>0</v>
      </c>
      <c r="AN1428" s="272">
        <f>RTD("money.excel",,$G1428,"CumulativeVolume")</f>
        <v>0</v>
      </c>
      <c r="AO1428" s="284"/>
    </row>
    <row r="1429" spans="1:41">
      <c r="A1429" s="151"/>
      <c r="B1429" s="96"/>
      <c r="C1429" s="96"/>
      <c r="D1429" s="96"/>
      <c r="E1429" s="96"/>
      <c r="F1429" s="7"/>
      <c r="G1429" s="85"/>
      <c r="H1429" s="4"/>
      <c r="I1429" s="23"/>
      <c r="J1429" s="77"/>
      <c r="K1429" s="77"/>
      <c r="N1429" s="365"/>
      <c r="O1429" s="343"/>
      <c r="P1429" s="195"/>
      <c r="W1429" s="35"/>
      <c r="X1429" s="100"/>
      <c r="Y1429" s="14"/>
      <c r="Z1429" s="69"/>
      <c r="AA1429" s="16"/>
      <c r="AB1429" s="3"/>
      <c r="AD1429" s="23"/>
      <c r="AG1429" s="34"/>
      <c r="AH1429" s="44"/>
      <c r="AI1429" s="131"/>
      <c r="AK1429" s="9"/>
      <c r="AL1429" s="5"/>
      <c r="AM1429" s="51"/>
      <c r="AN1429" s="276"/>
      <c r="AO1429" s="284"/>
    </row>
    <row r="1430" spans="1:41">
      <c r="A1430" s="135" t="s">
        <v>2552</v>
      </c>
      <c r="B1430" s="96" t="s">
        <v>2331</v>
      </c>
      <c r="C1430" s="96" t="s">
        <v>2332</v>
      </c>
      <c r="D1430" s="96" t="s">
        <v>2333</v>
      </c>
      <c r="E1430" s="96" t="s">
        <v>2334</v>
      </c>
      <c r="F1430" s="9" t="s">
        <v>1709</v>
      </c>
      <c r="G1430" s="52" t="s">
        <v>1486</v>
      </c>
      <c r="H1430" s="56" t="s">
        <v>578</v>
      </c>
      <c r="I1430" s="9" t="s">
        <v>1485</v>
      </c>
      <c r="J1430" s="364" t="s">
        <v>2189</v>
      </c>
      <c r="K1430" s="364" t="s">
        <v>1820</v>
      </c>
      <c r="L1430" s="364" t="s">
        <v>515</v>
      </c>
      <c r="M1430" s="364" t="s">
        <v>1699</v>
      </c>
      <c r="N1430" s="364" t="s">
        <v>6604</v>
      </c>
      <c r="O1430" s="343" t="s">
        <v>6620</v>
      </c>
      <c r="P1430" s="83" t="s">
        <v>5279</v>
      </c>
      <c r="Q1430" s="326" t="s">
        <v>5514</v>
      </c>
      <c r="R1430" s="31" t="s">
        <v>6596</v>
      </c>
      <c r="S1430" s="51" t="s">
        <v>6597</v>
      </c>
      <c r="T1430" s="338" t="s">
        <v>5627</v>
      </c>
      <c r="U1430" s="330" t="s">
        <v>6537</v>
      </c>
      <c r="V1430" s="377" t="s">
        <v>6616</v>
      </c>
      <c r="W1430" s="11" t="s">
        <v>127</v>
      </c>
      <c r="X1430" s="71" t="s">
        <v>5216</v>
      </c>
      <c r="Y1430" s="29" t="s">
        <v>3</v>
      </c>
      <c r="Z1430" s="18" t="s">
        <v>2113</v>
      </c>
      <c r="AA1430" s="15" t="s">
        <v>8</v>
      </c>
      <c r="AB1430" s="22" t="s">
        <v>4</v>
      </c>
      <c r="AC1430" s="358" t="s">
        <v>211</v>
      </c>
      <c r="AD1430" s="9" t="s">
        <v>1485</v>
      </c>
      <c r="AE1430" s="75" t="s">
        <v>2114</v>
      </c>
      <c r="AF1430" s="76" t="s">
        <v>1826</v>
      </c>
      <c r="AG1430" s="33" t="s">
        <v>1827</v>
      </c>
      <c r="AH1430" s="44"/>
      <c r="AI1430" s="284"/>
      <c r="AK1430" s="9" t="s">
        <v>6666</v>
      </c>
      <c r="AL1430" s="5" t="s">
        <v>6667</v>
      </c>
      <c r="AM1430" s="51" t="s">
        <v>5339</v>
      </c>
      <c r="AN1430" s="276" t="s">
        <v>6665</v>
      </c>
      <c r="AO1430" s="284"/>
    </row>
    <row r="1431" spans="1:41">
      <c r="A1431" s="135" t="s">
        <v>4798</v>
      </c>
      <c r="B1431" s="84">
        <v>186</v>
      </c>
      <c r="C1431" s="84">
        <v>72</v>
      </c>
      <c r="D1431" s="85">
        <v>-58</v>
      </c>
      <c r="E1431" s="84">
        <v>15</v>
      </c>
      <c r="F1431" s="59">
        <v>-2.58</v>
      </c>
      <c r="G1431" s="85">
        <v>1316</v>
      </c>
      <c r="H1431" s="4" t="s">
        <v>1485</v>
      </c>
      <c r="I1431" s="23" t="s">
        <v>1319</v>
      </c>
      <c r="J1431" s="77">
        <v>33.979999999999997</v>
      </c>
      <c r="K1431" s="77">
        <v>1.64</v>
      </c>
      <c r="L1431" s="77">
        <v>15.39</v>
      </c>
      <c r="N1431" s="365">
        <f t="shared" ref="N1431:N1462" si="406">J1431+K1431+L1431+M1431</f>
        <v>51.01</v>
      </c>
      <c r="O1431" s="343">
        <f t="shared" ref="O1431:O1462" si="407">J1431+M1431</f>
        <v>33.979999999999997</v>
      </c>
      <c r="P1431" s="195">
        <v>1</v>
      </c>
      <c r="Q1431" s="326">
        <f>IFERROR(VLOOKUP($G1431,主力整理!$A$2:$G$2301,6,0),"0")</f>
        <v>1</v>
      </c>
      <c r="T1431" s="339">
        <f t="shared" ref="T1431:T1462" si="408">SUM(P1431:S1431)</f>
        <v>2</v>
      </c>
      <c r="V1431" s="371">
        <v>0</v>
      </c>
      <c r="W1431" s="35">
        <v>0</v>
      </c>
      <c r="X1431" s="100">
        <v>0.2</v>
      </c>
      <c r="Y1431" s="37" t="str">
        <f>RTD("money.excel",,"1316","Price")</f>
        <v>無資料</v>
      </c>
      <c r="Z1431" s="69"/>
      <c r="AA1431" s="16" t="e">
        <f t="shared" ref="AA1431:AA1462" si="409">Y1431-Z1431</f>
        <v>#VALUE!</v>
      </c>
      <c r="AB1431" s="3" t="e">
        <f t="shared" ref="AB1431:AB1462" si="410">AA1431/Z1431</f>
        <v>#VALUE!</v>
      </c>
      <c r="AD1431" s="23" t="s">
        <v>1319</v>
      </c>
      <c r="AG1431" s="34">
        <f t="shared" ref="AG1431:AG1462" si="411">AF1431-AE1431</f>
        <v>0</v>
      </c>
      <c r="AH1431" s="63" t="s">
        <v>3777</v>
      </c>
      <c r="AI1431" s="131"/>
      <c r="AK1431" s="66">
        <f>AM1431/(A1431*10000)</f>
        <v>0</v>
      </c>
      <c r="AL1431" s="174">
        <f>AN1431/(A1431*10000)</f>
        <v>0</v>
      </c>
      <c r="AM1431" s="346">
        <f>RTD("money.excel",,$G1431,"PredictVolume")</f>
        <v>0</v>
      </c>
      <c r="AN1431" s="272">
        <f>RTD("money.excel",,$G1431,"CumulativeVolume")</f>
        <v>0</v>
      </c>
      <c r="AO1431" s="284"/>
    </row>
    <row r="1432" spans="1:41">
      <c r="A1432" s="135" t="s">
        <v>2603</v>
      </c>
      <c r="B1432" s="96">
        <v>-69</v>
      </c>
      <c r="C1432" s="96">
        <v>-51</v>
      </c>
      <c r="D1432" s="96">
        <v>463</v>
      </c>
      <c r="E1432" s="96">
        <v>-19</v>
      </c>
      <c r="F1432" s="59">
        <v>20.010000000000002</v>
      </c>
      <c r="G1432" s="85">
        <v>1436</v>
      </c>
      <c r="H1432" s="4" t="s">
        <v>1485</v>
      </c>
      <c r="I1432" s="23" t="s">
        <v>1507</v>
      </c>
      <c r="J1432" s="77">
        <v>89.17</v>
      </c>
      <c r="K1432" s="77">
        <v>7.0000000000000007E-2</v>
      </c>
      <c r="L1432" s="77">
        <v>1.2</v>
      </c>
      <c r="N1432" s="365">
        <f t="shared" si="406"/>
        <v>90.44</v>
      </c>
      <c r="O1432" s="343">
        <f t="shared" si="407"/>
        <v>89.17</v>
      </c>
      <c r="P1432" s="195" t="s">
        <v>5554</v>
      </c>
      <c r="Q1432" s="326" t="str">
        <f>IFERROR(VLOOKUP($G1432,主力整理!$A$2:$G$2301,6,0),"0")</f>
        <v>0</v>
      </c>
      <c r="T1432" s="339">
        <f t="shared" si="408"/>
        <v>0</v>
      </c>
      <c r="V1432" s="371">
        <v>26.03</v>
      </c>
      <c r="W1432" s="35">
        <v>2</v>
      </c>
      <c r="X1432" s="100">
        <v>1.88</v>
      </c>
      <c r="Y1432" s="37" t="str">
        <f>RTD("money.excel",,"1436","Price")</f>
        <v>無資料</v>
      </c>
      <c r="Z1432" s="69"/>
      <c r="AA1432" s="16" t="e">
        <f t="shared" si="409"/>
        <v>#VALUE!</v>
      </c>
      <c r="AB1432" s="3" t="e">
        <f t="shared" si="410"/>
        <v>#VALUE!</v>
      </c>
      <c r="AD1432" s="23" t="s">
        <v>1507</v>
      </c>
      <c r="AG1432" s="34">
        <f t="shared" si="411"/>
        <v>0</v>
      </c>
      <c r="AH1432" s="63" t="s">
        <v>2285</v>
      </c>
      <c r="AI1432" s="131"/>
      <c r="AK1432" s="66">
        <f t="shared" ref="AK1432:AK1444" si="412">AM1432/(A1432*10000)</f>
        <v>0</v>
      </c>
      <c r="AL1432" s="174">
        <f t="shared" ref="AL1432:AL1444" si="413">AN1432/(A1432*10000)</f>
        <v>0</v>
      </c>
      <c r="AM1432" s="346">
        <f>RTD("money.excel",,$G1432,"PredictVolume")</f>
        <v>0</v>
      </c>
      <c r="AN1432" s="272">
        <f>RTD("money.excel",,$G1432,"CumulativeVolume")</f>
        <v>0</v>
      </c>
      <c r="AO1432" s="284"/>
    </row>
    <row r="1433" spans="1:41">
      <c r="A1433" s="135" t="s">
        <v>4651</v>
      </c>
      <c r="B1433" s="85">
        <v>-81</v>
      </c>
      <c r="C1433" s="85">
        <v>-121</v>
      </c>
      <c r="D1433" s="246">
        <v>61868</v>
      </c>
      <c r="E1433" s="98"/>
      <c r="F1433" s="322">
        <v>-2147</v>
      </c>
      <c r="G1433" s="85">
        <v>1438</v>
      </c>
      <c r="H1433" s="4" t="s">
        <v>1485</v>
      </c>
      <c r="I1433" s="23" t="s">
        <v>4872</v>
      </c>
      <c r="J1433" s="77">
        <v>64.11</v>
      </c>
      <c r="K1433" s="371">
        <v>0.57999999999999996</v>
      </c>
      <c r="L1433" s="77">
        <v>4.3899999999999997</v>
      </c>
      <c r="N1433" s="365">
        <f t="shared" si="406"/>
        <v>69.08</v>
      </c>
      <c r="O1433" s="343">
        <f t="shared" si="407"/>
        <v>64.11</v>
      </c>
      <c r="P1433" s="195">
        <v>0</v>
      </c>
      <c r="Q1433" s="326" t="str">
        <f>IFERROR(VLOOKUP($G1433,主力整理!$A$2:$G$2301,6,0),"0")</f>
        <v>0</v>
      </c>
      <c r="R1433" s="111">
        <v>0</v>
      </c>
      <c r="S1433" s="51">
        <v>0</v>
      </c>
      <c r="T1433" s="339">
        <f t="shared" si="408"/>
        <v>0</v>
      </c>
      <c r="U1433" s="329" t="s">
        <v>6538</v>
      </c>
      <c r="V1433" s="371">
        <v>0.26</v>
      </c>
      <c r="W1433" s="35">
        <v>0</v>
      </c>
      <c r="X1433" s="59">
        <v>0.08</v>
      </c>
      <c r="Y1433" s="37" t="str">
        <f>RTD("money.excel",,"1438","Price")</f>
        <v>無資料</v>
      </c>
      <c r="Z1433" s="69"/>
      <c r="AA1433" s="16" t="e">
        <f t="shared" si="409"/>
        <v>#VALUE!</v>
      </c>
      <c r="AB1433" s="3" t="e">
        <f t="shared" si="410"/>
        <v>#VALUE!</v>
      </c>
      <c r="AD1433" s="23" t="s">
        <v>4872</v>
      </c>
      <c r="AG1433" s="34">
        <f t="shared" si="411"/>
        <v>0</v>
      </c>
      <c r="AH1433" s="63" t="s">
        <v>1485</v>
      </c>
      <c r="AI1433" s="131"/>
      <c r="AK1433" s="66">
        <f t="shared" si="412"/>
        <v>0</v>
      </c>
      <c r="AL1433" s="174">
        <f t="shared" si="413"/>
        <v>0</v>
      </c>
      <c r="AM1433" s="346">
        <f>RTD("money.excel",,$G1433,"PredictVolume")</f>
        <v>0</v>
      </c>
      <c r="AN1433" s="272">
        <f>RTD("money.excel",,$G1433,"CumulativeVolume")</f>
        <v>0</v>
      </c>
      <c r="AO1433" s="284"/>
    </row>
    <row r="1434" spans="1:41">
      <c r="A1434" s="151" t="s">
        <v>3233</v>
      </c>
      <c r="B1434" s="96">
        <v>-53</v>
      </c>
      <c r="C1434" s="96">
        <v>312</v>
      </c>
      <c r="D1434" s="96">
        <v>-36</v>
      </c>
      <c r="E1434" s="96">
        <v>79</v>
      </c>
      <c r="F1434" s="7">
        <v>4.54</v>
      </c>
      <c r="G1434" s="85">
        <v>1442</v>
      </c>
      <c r="H1434" s="4" t="s">
        <v>1485</v>
      </c>
      <c r="I1434" s="23" t="s">
        <v>1508</v>
      </c>
      <c r="J1434" s="77">
        <v>68.900000000000006</v>
      </c>
      <c r="K1434" s="77">
        <v>3.36</v>
      </c>
      <c r="L1434" s="77">
        <v>2.27</v>
      </c>
      <c r="N1434" s="365">
        <f t="shared" si="406"/>
        <v>74.53</v>
      </c>
      <c r="O1434" s="343">
        <f t="shared" si="407"/>
        <v>68.900000000000006</v>
      </c>
      <c r="P1434" s="195">
        <v>1</v>
      </c>
      <c r="Q1434" s="326">
        <f>IFERROR(VLOOKUP($G1434,主力整理!$A$2:$G$2301,6,0),"0")</f>
        <v>2</v>
      </c>
      <c r="R1434" s="111">
        <v>1</v>
      </c>
      <c r="S1434" s="51">
        <v>1</v>
      </c>
      <c r="T1434" s="339">
        <f t="shared" si="408"/>
        <v>5</v>
      </c>
      <c r="V1434" s="371">
        <v>0</v>
      </c>
      <c r="W1434" s="35">
        <v>0.5</v>
      </c>
      <c r="X1434" s="100">
        <v>0.25</v>
      </c>
      <c r="Y1434" s="37" t="str">
        <f>RTD("money.excel",,"1442","Price")</f>
        <v>無資料</v>
      </c>
      <c r="Z1434" s="69"/>
      <c r="AA1434" s="16" t="e">
        <f t="shared" si="409"/>
        <v>#VALUE!</v>
      </c>
      <c r="AB1434" s="3" t="e">
        <f t="shared" si="410"/>
        <v>#VALUE!</v>
      </c>
      <c r="AC1434" s="177" t="s">
        <v>2648</v>
      </c>
      <c r="AD1434" s="23" t="s">
        <v>1508</v>
      </c>
      <c r="AG1434" s="34">
        <f t="shared" si="411"/>
        <v>0</v>
      </c>
      <c r="AH1434" s="44" t="s">
        <v>3692</v>
      </c>
      <c r="AI1434" s="284"/>
      <c r="AK1434" s="66">
        <f t="shared" si="412"/>
        <v>0</v>
      </c>
      <c r="AL1434" s="174">
        <f t="shared" si="413"/>
        <v>0</v>
      </c>
      <c r="AM1434" s="346">
        <f>RTD("money.excel",,$G1434,"PredictVolume")</f>
        <v>0</v>
      </c>
      <c r="AN1434" s="272">
        <f>RTD("money.excel",,$G1434,"CumulativeVolume")</f>
        <v>0</v>
      </c>
      <c r="AO1434" s="284"/>
    </row>
    <row r="1435" spans="1:41">
      <c r="A1435" s="151" t="s">
        <v>3161</v>
      </c>
      <c r="B1435" s="96">
        <v>21</v>
      </c>
      <c r="C1435" s="96">
        <v>17</v>
      </c>
      <c r="D1435" s="96">
        <v>-98</v>
      </c>
      <c r="E1435" s="145">
        <v>1297</v>
      </c>
      <c r="F1435" s="7">
        <v>-99.99</v>
      </c>
      <c r="G1435" s="85">
        <v>1805</v>
      </c>
      <c r="H1435" s="4" t="s">
        <v>1485</v>
      </c>
      <c r="I1435" s="23" t="s">
        <v>1509</v>
      </c>
      <c r="J1435" s="77">
        <v>70.67</v>
      </c>
      <c r="K1435" s="77">
        <v>0.13</v>
      </c>
      <c r="N1435" s="365">
        <f t="shared" si="406"/>
        <v>70.8</v>
      </c>
      <c r="O1435" s="343">
        <f t="shared" si="407"/>
        <v>70.67</v>
      </c>
      <c r="P1435" s="195" t="s">
        <v>5554</v>
      </c>
      <c r="Q1435" s="326" t="str">
        <f>IFERROR(VLOOKUP($G1435,主力整理!$A$2:$G$2301,6,0),"0")</f>
        <v>0</v>
      </c>
      <c r="T1435" s="339">
        <f t="shared" si="408"/>
        <v>0</v>
      </c>
      <c r="V1435" s="371">
        <v>10.31</v>
      </c>
      <c r="W1435" s="35">
        <v>0</v>
      </c>
      <c r="X1435" s="100">
        <v>-0.62</v>
      </c>
      <c r="Y1435" s="14" t="str">
        <f>RTD("money.excel",,"1805","Price")</f>
        <v>無資料</v>
      </c>
      <c r="Z1435" s="69"/>
      <c r="AA1435" s="16" t="e">
        <f t="shared" si="409"/>
        <v>#VALUE!</v>
      </c>
      <c r="AB1435" s="3" t="e">
        <f t="shared" si="410"/>
        <v>#VALUE!</v>
      </c>
      <c r="AD1435" s="23" t="s">
        <v>1509</v>
      </c>
      <c r="AG1435" s="34">
        <f t="shared" si="411"/>
        <v>0</v>
      </c>
      <c r="AH1435" s="44" t="s">
        <v>2286</v>
      </c>
      <c r="AI1435" s="284"/>
      <c r="AK1435" s="66">
        <f t="shared" si="412"/>
        <v>0</v>
      </c>
      <c r="AL1435" s="174">
        <f t="shared" si="413"/>
        <v>0</v>
      </c>
      <c r="AM1435" s="346">
        <f>RTD("money.excel",,$G1435,"PredictVolume")</f>
        <v>0</v>
      </c>
      <c r="AN1435" s="272">
        <f>RTD("money.excel",,$G1435,"CumulativeVolume")</f>
        <v>0</v>
      </c>
      <c r="AO1435" s="284"/>
    </row>
    <row r="1436" spans="1:41">
      <c r="A1436" s="151" t="s">
        <v>4873</v>
      </c>
      <c r="B1436" s="85">
        <v>-82</v>
      </c>
      <c r="C1436" s="84">
        <v>623</v>
      </c>
      <c r="D1436" s="84">
        <v>65</v>
      </c>
      <c r="E1436" s="84">
        <v>418</v>
      </c>
      <c r="F1436" s="7">
        <v>5.28</v>
      </c>
      <c r="G1436" s="85">
        <v>1808</v>
      </c>
      <c r="H1436" s="4" t="s">
        <v>1485</v>
      </c>
      <c r="I1436" s="23" t="s">
        <v>1510</v>
      </c>
      <c r="J1436" s="371">
        <v>83.03</v>
      </c>
      <c r="K1436" s="77">
        <v>4.8899999999999997</v>
      </c>
      <c r="L1436" s="371">
        <v>4.8</v>
      </c>
      <c r="N1436" s="365">
        <f t="shared" si="406"/>
        <v>92.72</v>
      </c>
      <c r="O1436" s="343">
        <f t="shared" si="407"/>
        <v>83.03</v>
      </c>
      <c r="P1436" s="195">
        <v>1</v>
      </c>
      <c r="Q1436" s="326" t="str">
        <f>IFERROR(VLOOKUP($G1436,主力整理!$A$2:$G$2301,6,0),"0")</f>
        <v>0</v>
      </c>
      <c r="T1436" s="339">
        <f t="shared" si="408"/>
        <v>1</v>
      </c>
      <c r="V1436" s="371">
        <v>0</v>
      </c>
      <c r="W1436" s="35">
        <v>0.8</v>
      </c>
      <c r="X1436" s="59">
        <v>0.35</v>
      </c>
      <c r="Y1436" s="37" t="str">
        <f>RTD("money.excel",,"1808","Price")</f>
        <v>無資料</v>
      </c>
      <c r="Z1436" s="69"/>
      <c r="AA1436" s="16" t="e">
        <f t="shared" si="409"/>
        <v>#VALUE!</v>
      </c>
      <c r="AB1436" s="3" t="e">
        <f t="shared" si="410"/>
        <v>#VALUE!</v>
      </c>
      <c r="AC1436" s="177" t="s">
        <v>2648</v>
      </c>
      <c r="AD1436" s="23" t="s">
        <v>1510</v>
      </c>
      <c r="AG1436" s="34">
        <f t="shared" si="411"/>
        <v>0</v>
      </c>
      <c r="AH1436" s="44" t="s">
        <v>5224</v>
      </c>
      <c r="AI1436" s="131"/>
      <c r="AK1436" s="66">
        <f t="shared" si="412"/>
        <v>0</v>
      </c>
      <c r="AL1436" s="174">
        <f t="shared" si="413"/>
        <v>0</v>
      </c>
      <c r="AM1436" s="346">
        <f>RTD("money.excel",,$G1436,"PredictVolume")</f>
        <v>0</v>
      </c>
      <c r="AN1436" s="272">
        <f>RTD("money.excel",,$G1436,"CumulativeVolume")</f>
        <v>0</v>
      </c>
      <c r="AO1436" s="284"/>
    </row>
    <row r="1437" spans="1:41">
      <c r="A1437" s="151" t="s">
        <v>2651</v>
      </c>
      <c r="B1437" s="85">
        <v>-85</v>
      </c>
      <c r="C1437" s="85">
        <v>-109</v>
      </c>
      <c r="D1437" s="85">
        <v>-7</v>
      </c>
      <c r="E1437" s="84">
        <v>257</v>
      </c>
      <c r="F1437" s="7">
        <v>-1.69</v>
      </c>
      <c r="G1437" s="85">
        <v>2501</v>
      </c>
      <c r="H1437" s="4" t="s">
        <v>1485</v>
      </c>
      <c r="I1437" s="23" t="s">
        <v>1511</v>
      </c>
      <c r="J1437" s="77">
        <v>82.94</v>
      </c>
      <c r="K1437" s="77">
        <v>8.6</v>
      </c>
      <c r="L1437" s="77">
        <v>0.69</v>
      </c>
      <c r="N1437" s="365">
        <f t="shared" si="406"/>
        <v>92.22999999999999</v>
      </c>
      <c r="O1437" s="343">
        <f t="shared" si="407"/>
        <v>82.94</v>
      </c>
      <c r="P1437" s="195">
        <v>1</v>
      </c>
      <c r="Q1437" s="326" t="str">
        <f>IFERROR(VLOOKUP($G1437,主力整理!$A$2:$G$2301,6,0),"0")</f>
        <v>0</v>
      </c>
      <c r="T1437" s="339">
        <f t="shared" si="408"/>
        <v>1</v>
      </c>
      <c r="V1437" s="371">
        <v>0</v>
      </c>
      <c r="W1437" s="35">
        <v>1</v>
      </c>
      <c r="X1437" s="100">
        <v>1.28</v>
      </c>
      <c r="Y1437" s="37" t="str">
        <f>RTD("money.excel",,"2501","Price")</f>
        <v>無資料</v>
      </c>
      <c r="Z1437" s="69"/>
      <c r="AA1437" s="16" t="e">
        <f t="shared" si="409"/>
        <v>#VALUE!</v>
      </c>
      <c r="AB1437" s="3" t="e">
        <f t="shared" si="410"/>
        <v>#VALUE!</v>
      </c>
      <c r="AC1437" s="177" t="s">
        <v>2648</v>
      </c>
      <c r="AD1437" s="23" t="s">
        <v>1511</v>
      </c>
      <c r="AG1437" s="34">
        <f t="shared" si="411"/>
        <v>0</v>
      </c>
      <c r="AH1437" s="44" t="s">
        <v>2141</v>
      </c>
      <c r="AI1437" s="131"/>
      <c r="AK1437" s="66">
        <f t="shared" si="412"/>
        <v>0</v>
      </c>
      <c r="AL1437" s="174">
        <f t="shared" si="413"/>
        <v>0</v>
      </c>
      <c r="AM1437" s="346">
        <f>RTD("money.excel",,$G1437,"PredictVolume")</f>
        <v>0</v>
      </c>
      <c r="AN1437" s="272">
        <f>RTD("money.excel",,$G1437,"CumulativeVolume")</f>
        <v>0</v>
      </c>
      <c r="AO1437" s="284"/>
    </row>
    <row r="1438" spans="1:41">
      <c r="A1438" s="135" t="s">
        <v>2897</v>
      </c>
      <c r="B1438" s="84">
        <v>25</v>
      </c>
      <c r="C1438" s="84">
        <v>60</v>
      </c>
      <c r="D1438" s="84">
        <v>8</v>
      </c>
      <c r="E1438" s="84">
        <v>8</v>
      </c>
      <c r="F1438" s="59">
        <v>13.91</v>
      </c>
      <c r="G1438" s="85">
        <v>2504</v>
      </c>
      <c r="H1438" s="4" t="s">
        <v>1485</v>
      </c>
      <c r="I1438" s="23" t="s">
        <v>1512</v>
      </c>
      <c r="J1438" s="77">
        <v>65.290000000000006</v>
      </c>
      <c r="K1438" s="77">
        <v>11.68</v>
      </c>
      <c r="L1438" s="77">
        <v>7.34</v>
      </c>
      <c r="N1438" s="365">
        <f t="shared" si="406"/>
        <v>84.31</v>
      </c>
      <c r="O1438" s="343">
        <f t="shared" si="407"/>
        <v>65.290000000000006</v>
      </c>
      <c r="P1438" s="195">
        <v>6</v>
      </c>
      <c r="Q1438" s="326">
        <v>15</v>
      </c>
      <c r="R1438" s="111">
        <v>5</v>
      </c>
      <c r="S1438" s="51">
        <v>6</v>
      </c>
      <c r="T1438" s="339">
        <f t="shared" si="408"/>
        <v>32</v>
      </c>
      <c r="V1438" s="371">
        <v>0.13</v>
      </c>
      <c r="W1438" s="35">
        <v>1.5</v>
      </c>
      <c r="X1438" s="59">
        <v>2.23</v>
      </c>
      <c r="Y1438" s="37" t="str">
        <f>RTD("money.excel",,"2504","Price")</f>
        <v>無資料</v>
      </c>
      <c r="Z1438" s="69"/>
      <c r="AA1438" s="16" t="e">
        <f t="shared" si="409"/>
        <v>#VALUE!</v>
      </c>
      <c r="AB1438" s="3" t="e">
        <f t="shared" si="410"/>
        <v>#VALUE!</v>
      </c>
      <c r="AC1438" s="177" t="s">
        <v>2648</v>
      </c>
      <c r="AD1438" s="23" t="s">
        <v>1512</v>
      </c>
      <c r="AG1438" s="34">
        <f t="shared" si="411"/>
        <v>0</v>
      </c>
      <c r="AH1438" s="63" t="s">
        <v>3050</v>
      </c>
      <c r="AI1438" s="131"/>
      <c r="AK1438" s="66">
        <f t="shared" si="412"/>
        <v>0</v>
      </c>
      <c r="AL1438" s="174">
        <f t="shared" si="413"/>
        <v>0</v>
      </c>
      <c r="AM1438" s="346">
        <f>RTD("money.excel",,$G1438,"PredictVolume")</f>
        <v>0</v>
      </c>
      <c r="AN1438" s="272">
        <f>RTD("money.excel",,$G1438,"CumulativeVolume")</f>
        <v>0</v>
      </c>
      <c r="AO1438" s="284"/>
    </row>
    <row r="1439" spans="1:41">
      <c r="A1439" s="135" t="s">
        <v>3314</v>
      </c>
      <c r="B1439" s="98">
        <v>1204</v>
      </c>
      <c r="C1439" s="98">
        <v>2288</v>
      </c>
      <c r="D1439" s="85">
        <v>-65</v>
      </c>
      <c r="E1439" s="84">
        <v>849</v>
      </c>
      <c r="F1439" s="59">
        <v>18.52</v>
      </c>
      <c r="G1439" s="85">
        <v>2505</v>
      </c>
      <c r="H1439" s="4" t="s">
        <v>1485</v>
      </c>
      <c r="I1439" s="23" t="s">
        <v>1513</v>
      </c>
      <c r="J1439" s="371">
        <v>65.02</v>
      </c>
      <c r="K1439" s="371">
        <v>6.29</v>
      </c>
      <c r="L1439" s="371">
        <v>8.3000000000000007</v>
      </c>
      <c r="N1439" s="365">
        <f t="shared" si="406"/>
        <v>79.61</v>
      </c>
      <c r="O1439" s="343">
        <f t="shared" si="407"/>
        <v>65.02</v>
      </c>
      <c r="P1439" s="195">
        <v>1</v>
      </c>
      <c r="Q1439" s="326" t="str">
        <f>IFERROR(VLOOKUP($G1439,主力整理!$A$2:$G$2301,6,0),"0")</f>
        <v>0</v>
      </c>
      <c r="R1439" s="111">
        <v>4</v>
      </c>
      <c r="T1439" s="339">
        <f t="shared" si="408"/>
        <v>5</v>
      </c>
      <c r="V1439" s="371">
        <v>0.39</v>
      </c>
      <c r="W1439" s="35">
        <v>0.5</v>
      </c>
      <c r="X1439" s="59">
        <v>8.76</v>
      </c>
      <c r="Y1439" s="37" t="str">
        <f>RTD("money.excel",,"2505","Price")</f>
        <v>無資料</v>
      </c>
      <c r="Z1439" s="69"/>
      <c r="AA1439" s="16" t="e">
        <f t="shared" si="409"/>
        <v>#VALUE!</v>
      </c>
      <c r="AB1439" s="3" t="e">
        <f t="shared" si="410"/>
        <v>#VALUE!</v>
      </c>
      <c r="AC1439" s="177" t="s">
        <v>2648</v>
      </c>
      <c r="AD1439" s="23" t="s">
        <v>1513</v>
      </c>
      <c r="AG1439" s="34">
        <f t="shared" si="411"/>
        <v>0</v>
      </c>
      <c r="AH1439" s="63" t="s">
        <v>3180</v>
      </c>
      <c r="AI1439" s="131"/>
      <c r="AK1439" s="66">
        <f t="shared" si="412"/>
        <v>0</v>
      </c>
      <c r="AL1439" s="174">
        <f t="shared" si="413"/>
        <v>0</v>
      </c>
      <c r="AM1439" s="346">
        <f>RTD("money.excel",,$G1439,"PredictVolume")</f>
        <v>0</v>
      </c>
      <c r="AN1439" s="272">
        <f>RTD("money.excel",,$G1439,"CumulativeVolume")</f>
        <v>0</v>
      </c>
      <c r="AO1439" s="284"/>
    </row>
    <row r="1440" spans="1:41">
      <c r="A1440" s="151" t="s">
        <v>2493</v>
      </c>
      <c r="B1440" s="214">
        <v>-1822</v>
      </c>
      <c r="C1440" s="96">
        <v>-870</v>
      </c>
      <c r="D1440" s="96">
        <v>224</v>
      </c>
      <c r="E1440" s="96">
        <v>858</v>
      </c>
      <c r="F1440" s="7">
        <v>-9.3800000000000008</v>
      </c>
      <c r="G1440" s="85">
        <v>2506</v>
      </c>
      <c r="H1440" s="4" t="s">
        <v>1485</v>
      </c>
      <c r="I1440" s="23" t="s">
        <v>1514</v>
      </c>
      <c r="J1440" s="77">
        <v>79.41</v>
      </c>
      <c r="K1440" s="77">
        <v>3.33</v>
      </c>
      <c r="L1440" s="77">
        <v>3.22</v>
      </c>
      <c r="N1440" s="365">
        <f t="shared" si="406"/>
        <v>85.96</v>
      </c>
      <c r="O1440" s="343">
        <f t="shared" si="407"/>
        <v>79.41</v>
      </c>
      <c r="P1440" s="195" t="s">
        <v>5554</v>
      </c>
      <c r="Q1440" s="326" t="str">
        <f>IFERROR(VLOOKUP($G1440,主力整理!$A$2:$G$2301,6,0),"0")</f>
        <v>0</v>
      </c>
      <c r="T1440" s="339">
        <f t="shared" si="408"/>
        <v>0</v>
      </c>
      <c r="V1440" s="371">
        <v>13.48</v>
      </c>
      <c r="W1440" s="35">
        <v>0.4</v>
      </c>
      <c r="X1440" s="100">
        <v>-0.15</v>
      </c>
      <c r="Y1440" s="14" t="str">
        <f>RTD("money.excel",,"2506","Price")</f>
        <v>無資料</v>
      </c>
      <c r="Z1440" s="69"/>
      <c r="AA1440" s="16" t="e">
        <f t="shared" si="409"/>
        <v>#VALUE!</v>
      </c>
      <c r="AB1440" s="3" t="e">
        <f t="shared" si="410"/>
        <v>#VALUE!</v>
      </c>
      <c r="AD1440" s="23" t="s">
        <v>1514</v>
      </c>
      <c r="AG1440" s="34">
        <f t="shared" si="411"/>
        <v>0</v>
      </c>
      <c r="AH1440" s="44" t="s">
        <v>2287</v>
      </c>
      <c r="AI1440" s="131"/>
      <c r="AK1440" s="66">
        <f t="shared" si="412"/>
        <v>0</v>
      </c>
      <c r="AL1440" s="174">
        <f t="shared" si="413"/>
        <v>0</v>
      </c>
      <c r="AM1440" s="346">
        <f>RTD("money.excel",,$G1440,"PredictVolume")</f>
        <v>0</v>
      </c>
      <c r="AN1440" s="272">
        <f>RTD("money.excel",,$G1440,"CumulativeVolume")</f>
        <v>0</v>
      </c>
      <c r="AO1440" s="284"/>
    </row>
    <row r="1441" spans="1:41">
      <c r="A1441" s="135" t="s">
        <v>4799</v>
      </c>
      <c r="B1441" s="96">
        <v>-83</v>
      </c>
      <c r="C1441" s="96">
        <v>-67</v>
      </c>
      <c r="D1441" s="96">
        <v>-84</v>
      </c>
      <c r="E1441" s="96">
        <v>39</v>
      </c>
      <c r="F1441" s="59">
        <v>21.26</v>
      </c>
      <c r="G1441" s="85">
        <v>2509</v>
      </c>
      <c r="H1441" s="4" t="s">
        <v>1485</v>
      </c>
      <c r="I1441" s="23" t="s">
        <v>1515</v>
      </c>
      <c r="J1441" s="77">
        <v>83.69</v>
      </c>
      <c r="K1441" s="77">
        <v>1.61</v>
      </c>
      <c r="L1441" s="77">
        <v>20.170000000000002</v>
      </c>
      <c r="N1441" s="365">
        <f t="shared" si="406"/>
        <v>105.47</v>
      </c>
      <c r="O1441" s="343">
        <f t="shared" si="407"/>
        <v>83.69</v>
      </c>
      <c r="P1441" s="195" t="s">
        <v>5554</v>
      </c>
      <c r="Q1441" s="326" t="str">
        <f>IFERROR(VLOOKUP($G1441,主力整理!$A$2:$G$2301,6,0),"0")</f>
        <v>0</v>
      </c>
      <c r="T1441" s="339">
        <f t="shared" si="408"/>
        <v>0</v>
      </c>
      <c r="V1441" s="371">
        <v>25.54</v>
      </c>
      <c r="W1441" s="35">
        <v>1.2</v>
      </c>
      <c r="X1441" s="100">
        <v>1.08</v>
      </c>
      <c r="Y1441" s="14" t="str">
        <f>RTD("money.excel",,"2509","Price")</f>
        <v>無資料</v>
      </c>
      <c r="Z1441" s="69"/>
      <c r="AA1441" s="16" t="e">
        <f t="shared" si="409"/>
        <v>#VALUE!</v>
      </c>
      <c r="AB1441" s="3" t="e">
        <f t="shared" si="410"/>
        <v>#VALUE!</v>
      </c>
      <c r="AD1441" s="23" t="s">
        <v>1515</v>
      </c>
      <c r="AG1441" s="34">
        <f t="shared" si="411"/>
        <v>0</v>
      </c>
      <c r="AH1441" s="63" t="s">
        <v>3180</v>
      </c>
      <c r="AI1441" s="131"/>
      <c r="AK1441" s="66">
        <f t="shared" si="412"/>
        <v>0</v>
      </c>
      <c r="AL1441" s="174">
        <f t="shared" si="413"/>
        <v>0</v>
      </c>
      <c r="AM1441" s="346">
        <f>RTD("money.excel",,$G1441,"PredictVolume")</f>
        <v>0</v>
      </c>
      <c r="AN1441" s="272">
        <f>RTD("money.excel",,$G1441,"CumulativeVolume")</f>
        <v>0</v>
      </c>
      <c r="AO1441" s="284"/>
    </row>
    <row r="1442" spans="1:41">
      <c r="A1442" s="151" t="s">
        <v>2767</v>
      </c>
      <c r="B1442" s="85">
        <v>-90</v>
      </c>
      <c r="C1442" s="85">
        <v>-125</v>
      </c>
      <c r="D1442" s="85">
        <v>-13</v>
      </c>
      <c r="E1442" s="84">
        <v>19</v>
      </c>
      <c r="F1442" s="7">
        <v>-2.97</v>
      </c>
      <c r="G1442" s="85">
        <v>2511</v>
      </c>
      <c r="H1442" s="4" t="s">
        <v>1485</v>
      </c>
      <c r="I1442" s="23" t="s">
        <v>1516</v>
      </c>
      <c r="J1442" s="77">
        <v>73.34</v>
      </c>
      <c r="K1442" s="77">
        <v>8.49</v>
      </c>
      <c r="L1442" s="77">
        <v>1.08</v>
      </c>
      <c r="N1442" s="365">
        <f t="shared" si="406"/>
        <v>82.91</v>
      </c>
      <c r="O1442" s="343">
        <f t="shared" si="407"/>
        <v>73.34</v>
      </c>
      <c r="P1442" s="195">
        <v>1</v>
      </c>
      <c r="Q1442" s="326">
        <f>IFERROR(VLOOKUP($G1442,主力整理!$A$2:$G$2301,6,0),"0")</f>
        <v>3</v>
      </c>
      <c r="T1442" s="339">
        <f t="shared" si="408"/>
        <v>4</v>
      </c>
      <c r="V1442" s="371">
        <v>0</v>
      </c>
      <c r="W1442" s="35">
        <v>0.4</v>
      </c>
      <c r="X1442" s="100">
        <v>0.49</v>
      </c>
      <c r="Y1442" s="37" t="str">
        <f>RTD("money.excel",,"2511","Price")</f>
        <v>無資料</v>
      </c>
      <c r="Z1442" s="69"/>
      <c r="AA1442" s="16" t="e">
        <f t="shared" si="409"/>
        <v>#VALUE!</v>
      </c>
      <c r="AB1442" s="3" t="e">
        <f t="shared" si="410"/>
        <v>#VALUE!</v>
      </c>
      <c r="AC1442" s="177" t="s">
        <v>2648</v>
      </c>
      <c r="AD1442" s="23" t="s">
        <v>1516</v>
      </c>
      <c r="AG1442" s="34">
        <f t="shared" si="411"/>
        <v>0</v>
      </c>
      <c r="AH1442" s="44" t="s">
        <v>2289</v>
      </c>
      <c r="AI1442" s="131"/>
      <c r="AK1442" s="66">
        <f t="shared" si="412"/>
        <v>0</v>
      </c>
      <c r="AL1442" s="174">
        <f t="shared" si="413"/>
        <v>0</v>
      </c>
      <c r="AM1442" s="346">
        <f>RTD("money.excel",,$G1442,"PredictVolume")</f>
        <v>0</v>
      </c>
      <c r="AN1442" s="272">
        <f>RTD("money.excel",,$G1442,"CumulativeVolume")</f>
        <v>0</v>
      </c>
      <c r="AO1442" s="284"/>
    </row>
    <row r="1443" spans="1:41">
      <c r="A1443" s="151" t="s">
        <v>2522</v>
      </c>
      <c r="B1443" s="214">
        <v>-3703</v>
      </c>
      <c r="C1443" s="214">
        <v>-1739</v>
      </c>
      <c r="D1443" s="96">
        <v>-4</v>
      </c>
      <c r="E1443" s="96">
        <v>177</v>
      </c>
      <c r="F1443" s="7">
        <v>-0.52</v>
      </c>
      <c r="G1443" s="85">
        <v>2516</v>
      </c>
      <c r="H1443" s="4" t="s">
        <v>1485</v>
      </c>
      <c r="I1443" s="23" t="s">
        <v>1517</v>
      </c>
      <c r="J1443" s="77">
        <v>61.08</v>
      </c>
      <c r="K1443" s="77">
        <v>2.15</v>
      </c>
      <c r="L1443" s="77">
        <v>14.64</v>
      </c>
      <c r="N1443" s="365">
        <f t="shared" si="406"/>
        <v>77.87</v>
      </c>
      <c r="O1443" s="343">
        <f t="shared" si="407"/>
        <v>61.08</v>
      </c>
      <c r="P1443" s="195">
        <v>1</v>
      </c>
      <c r="Q1443" s="326" t="str">
        <f>IFERROR(VLOOKUP($G1443,主力整理!$A$2:$G$2301,6,0),"0")</f>
        <v>0</v>
      </c>
      <c r="T1443" s="339">
        <f t="shared" si="408"/>
        <v>1</v>
      </c>
      <c r="V1443" s="371">
        <v>7.61</v>
      </c>
      <c r="W1443" s="35">
        <v>0</v>
      </c>
      <c r="X1443" s="100">
        <v>-3.11</v>
      </c>
      <c r="Y1443" s="14" t="str">
        <f>RTD("money.excel",,"2516","Price")</f>
        <v>無資料</v>
      </c>
      <c r="Z1443" s="69"/>
      <c r="AA1443" s="16" t="e">
        <f t="shared" si="409"/>
        <v>#VALUE!</v>
      </c>
      <c r="AB1443" s="3" t="e">
        <f t="shared" si="410"/>
        <v>#VALUE!</v>
      </c>
      <c r="AD1443" s="23" t="s">
        <v>1517</v>
      </c>
      <c r="AG1443" s="34">
        <f t="shared" si="411"/>
        <v>0</v>
      </c>
      <c r="AH1443" s="44" t="s">
        <v>2291</v>
      </c>
      <c r="AI1443" s="131"/>
      <c r="AK1443" s="66">
        <f t="shared" si="412"/>
        <v>0</v>
      </c>
      <c r="AL1443" s="174">
        <f t="shared" si="413"/>
        <v>0</v>
      </c>
      <c r="AM1443" s="346">
        <f>RTD("money.excel",,$G1443,"PredictVolume")</f>
        <v>0</v>
      </c>
      <c r="AN1443" s="272">
        <f>RTD("money.excel",,$G1443,"CumulativeVolume")</f>
        <v>0</v>
      </c>
      <c r="AO1443" s="284"/>
    </row>
    <row r="1444" spans="1:41">
      <c r="A1444" s="135" t="s">
        <v>6476</v>
      </c>
      <c r="B1444" s="84">
        <v>91</v>
      </c>
      <c r="C1444" s="84">
        <v>80</v>
      </c>
      <c r="D1444" s="85">
        <v>-11</v>
      </c>
      <c r="E1444" s="85">
        <v>-51</v>
      </c>
      <c r="F1444" s="59">
        <v>19.5</v>
      </c>
      <c r="G1444" s="85">
        <v>2520</v>
      </c>
      <c r="H1444" s="4" t="s">
        <v>1485</v>
      </c>
      <c r="I1444" s="23" t="s">
        <v>1518</v>
      </c>
      <c r="J1444" s="371">
        <v>64.7</v>
      </c>
      <c r="K1444" s="77">
        <v>21.31</v>
      </c>
      <c r="L1444" s="371">
        <v>5.65</v>
      </c>
      <c r="N1444" s="365">
        <f t="shared" si="406"/>
        <v>91.660000000000011</v>
      </c>
      <c r="O1444" s="343">
        <f t="shared" si="407"/>
        <v>64.7</v>
      </c>
      <c r="P1444" s="195">
        <v>2</v>
      </c>
      <c r="Q1444" s="326">
        <v>9</v>
      </c>
      <c r="R1444" s="111">
        <v>1</v>
      </c>
      <c r="S1444" s="51">
        <v>10</v>
      </c>
      <c r="T1444" s="339">
        <f t="shared" si="408"/>
        <v>22</v>
      </c>
      <c r="V1444" s="371">
        <v>0.32</v>
      </c>
      <c r="W1444" s="69">
        <v>3.4</v>
      </c>
      <c r="X1444" s="59">
        <v>9.1300000000000008</v>
      </c>
      <c r="Y1444" s="37" t="str">
        <f>RTD("money.excel",,"2520","Price")</f>
        <v>無資料</v>
      </c>
      <c r="Z1444" s="69"/>
      <c r="AA1444" s="16" t="e">
        <f t="shared" si="409"/>
        <v>#VALUE!</v>
      </c>
      <c r="AB1444" s="3" t="e">
        <f t="shared" si="410"/>
        <v>#VALUE!</v>
      </c>
      <c r="AC1444" s="177" t="s">
        <v>2929</v>
      </c>
      <c r="AD1444" s="23" t="s">
        <v>1518</v>
      </c>
      <c r="AG1444" s="34">
        <f t="shared" si="411"/>
        <v>0</v>
      </c>
      <c r="AH1444" s="63" t="s">
        <v>3180</v>
      </c>
      <c r="AI1444" s="131"/>
      <c r="AK1444" s="66">
        <f t="shared" si="412"/>
        <v>0</v>
      </c>
      <c r="AL1444" s="174">
        <f t="shared" si="413"/>
        <v>0</v>
      </c>
      <c r="AM1444" s="346">
        <f>RTD("money.excel",,$G1444,"PredictVolume")</f>
        <v>0</v>
      </c>
      <c r="AN1444" s="272">
        <f>RTD("money.excel",,$G1444,"CumulativeVolume")</f>
        <v>0</v>
      </c>
      <c r="AO1444" s="284"/>
    </row>
    <row r="1445" spans="1:41">
      <c r="A1445" s="135" t="s">
        <v>3334</v>
      </c>
      <c r="B1445" s="84">
        <v>4</v>
      </c>
      <c r="C1445" s="84">
        <v>15</v>
      </c>
      <c r="D1445" s="85">
        <v>-19</v>
      </c>
      <c r="E1445" s="85">
        <v>-1</v>
      </c>
      <c r="F1445" s="59">
        <v>25.57</v>
      </c>
      <c r="G1445" s="85">
        <v>2524</v>
      </c>
      <c r="H1445" s="4" t="s">
        <v>1485</v>
      </c>
      <c r="I1445" s="23" t="s">
        <v>1519</v>
      </c>
      <c r="J1445" s="371">
        <v>89.48</v>
      </c>
      <c r="K1445" s="77">
        <v>1.91</v>
      </c>
      <c r="L1445" s="77">
        <v>7.63</v>
      </c>
      <c r="N1445" s="365">
        <f t="shared" si="406"/>
        <v>99.02</v>
      </c>
      <c r="O1445" s="343">
        <f t="shared" si="407"/>
        <v>89.48</v>
      </c>
      <c r="P1445" s="195" t="s">
        <v>5554</v>
      </c>
      <c r="Q1445" s="326">
        <f>IFERROR(VLOOKUP($G1445,主力整理!$A$2:$G$2301,6,0),"0")</f>
        <v>1</v>
      </c>
      <c r="T1445" s="339">
        <f t="shared" si="408"/>
        <v>1</v>
      </c>
      <c r="V1445" s="371">
        <v>0.01</v>
      </c>
      <c r="W1445" s="35">
        <v>0</v>
      </c>
      <c r="X1445" s="100">
        <v>4.46</v>
      </c>
      <c r="Y1445" s="37" t="str">
        <f>RTD("money.excel",,"2524","Price")</f>
        <v>無資料</v>
      </c>
      <c r="Z1445" s="69"/>
      <c r="AA1445" s="16" t="e">
        <f t="shared" si="409"/>
        <v>#VALUE!</v>
      </c>
      <c r="AB1445" s="3" t="e">
        <f t="shared" si="410"/>
        <v>#VALUE!</v>
      </c>
      <c r="AD1445" s="23" t="s">
        <v>1519</v>
      </c>
      <c r="AG1445" s="34">
        <f t="shared" si="411"/>
        <v>0</v>
      </c>
      <c r="AH1445" s="63" t="s">
        <v>3180</v>
      </c>
      <c r="AI1445" s="131"/>
      <c r="AK1445" s="66">
        <f>AM1445/(A1445*10000)</f>
        <v>0</v>
      </c>
      <c r="AL1445" s="174">
        <f>AN1445/(A1445*10000)</f>
        <v>0</v>
      </c>
      <c r="AM1445" s="346">
        <f>RTD("money.excel",,$G1445,"PredictVolume")</f>
        <v>0</v>
      </c>
      <c r="AN1445" s="272">
        <f>RTD("money.excel",,$G1445,"CumulativeVolume")</f>
        <v>0</v>
      </c>
      <c r="AO1445" s="284"/>
    </row>
    <row r="1446" spans="1:41">
      <c r="A1446" s="135" t="s">
        <v>4875</v>
      </c>
      <c r="B1446" s="96">
        <v>-65</v>
      </c>
      <c r="C1446" s="96">
        <v>-71</v>
      </c>
      <c r="D1446" s="96">
        <v>13</v>
      </c>
      <c r="E1446" s="96">
        <v>233</v>
      </c>
      <c r="F1446" s="59">
        <v>10.59</v>
      </c>
      <c r="G1446" s="85">
        <v>2527</v>
      </c>
      <c r="H1446" s="4" t="s">
        <v>1485</v>
      </c>
      <c r="I1446" s="23" t="s">
        <v>1520</v>
      </c>
      <c r="J1446" s="77">
        <v>84.14</v>
      </c>
      <c r="K1446" s="77">
        <v>26.09</v>
      </c>
      <c r="L1446" s="77">
        <v>10.029999999999999</v>
      </c>
      <c r="N1446" s="365">
        <f t="shared" si="406"/>
        <v>120.26</v>
      </c>
      <c r="O1446" s="343">
        <f t="shared" si="407"/>
        <v>84.14</v>
      </c>
      <c r="P1446" s="195" t="s">
        <v>5554</v>
      </c>
      <c r="Q1446" s="326" t="str">
        <f>IFERROR(VLOOKUP($G1446,主力整理!$A$2:$G$2301,6,0),"0")</f>
        <v>0</v>
      </c>
      <c r="T1446" s="339">
        <f t="shared" si="408"/>
        <v>0</v>
      </c>
      <c r="V1446" s="371">
        <v>27.74</v>
      </c>
      <c r="W1446" s="35">
        <v>1.4</v>
      </c>
      <c r="X1446" s="100">
        <v>1.49</v>
      </c>
      <c r="Y1446" s="14" t="str">
        <f>RTD("money.excel",,"2527","Price")</f>
        <v>無資料</v>
      </c>
      <c r="Z1446" s="69"/>
      <c r="AA1446" s="16" t="e">
        <f t="shared" si="409"/>
        <v>#VALUE!</v>
      </c>
      <c r="AB1446" s="3" t="e">
        <f t="shared" si="410"/>
        <v>#VALUE!</v>
      </c>
      <c r="AD1446" s="23" t="s">
        <v>1520</v>
      </c>
      <c r="AG1446" s="34">
        <f t="shared" si="411"/>
        <v>0</v>
      </c>
      <c r="AH1446" s="63" t="s">
        <v>2292</v>
      </c>
      <c r="AI1446" s="131"/>
      <c r="AK1446" s="66">
        <f t="shared" ref="AK1446" si="414">AM1446/(A1446*10000)</f>
        <v>0</v>
      </c>
      <c r="AL1446" s="174">
        <f t="shared" ref="AL1446" si="415">AN1446/(A1446*10000)</f>
        <v>0</v>
      </c>
      <c r="AM1446" s="346">
        <f>RTD("money.excel",,$G1446,"PredictVolume")</f>
        <v>0</v>
      </c>
      <c r="AN1446" s="272">
        <f>RTD("money.excel",,$G1446,"CumulativeVolume")</f>
        <v>0</v>
      </c>
      <c r="AO1446" s="284"/>
    </row>
    <row r="1447" spans="1:41">
      <c r="A1447" s="151" t="s">
        <v>3309</v>
      </c>
      <c r="B1447" s="96">
        <v>-638</v>
      </c>
      <c r="C1447" s="96">
        <v>-202</v>
      </c>
      <c r="D1447" s="96">
        <v>-62</v>
      </c>
      <c r="E1447" s="145">
        <v>1242</v>
      </c>
      <c r="F1447" s="7">
        <v>-11.73</v>
      </c>
      <c r="G1447" s="85">
        <v>2528</v>
      </c>
      <c r="H1447" s="4" t="s">
        <v>1485</v>
      </c>
      <c r="I1447" s="23" t="s">
        <v>1521</v>
      </c>
      <c r="J1447" s="77">
        <v>85.14</v>
      </c>
      <c r="K1447" s="77">
        <v>0.04</v>
      </c>
      <c r="L1447" s="77">
        <v>1.68</v>
      </c>
      <c r="N1447" s="365">
        <f t="shared" si="406"/>
        <v>86.860000000000014</v>
      </c>
      <c r="O1447" s="343">
        <f t="shared" si="407"/>
        <v>85.14</v>
      </c>
      <c r="P1447" s="195" t="s">
        <v>5554</v>
      </c>
      <c r="Q1447" s="326">
        <f>IFERROR(VLOOKUP($G1447,主力整理!$A$2:$G$2301,6,0),"0")</f>
        <v>1</v>
      </c>
      <c r="T1447" s="339">
        <f t="shared" si="408"/>
        <v>1</v>
      </c>
      <c r="V1447" s="371">
        <v>55.08</v>
      </c>
      <c r="W1447" s="35">
        <v>0</v>
      </c>
      <c r="X1447" s="100">
        <v>-0.75</v>
      </c>
      <c r="Y1447" s="14" t="str">
        <f>RTD("money.excel",,"2528","Price")</f>
        <v>無資料</v>
      </c>
      <c r="Z1447" s="69"/>
      <c r="AA1447" s="16" t="e">
        <f t="shared" si="409"/>
        <v>#VALUE!</v>
      </c>
      <c r="AB1447" s="3" t="e">
        <f t="shared" si="410"/>
        <v>#VALUE!</v>
      </c>
      <c r="AD1447" s="23" t="s">
        <v>1521</v>
      </c>
      <c r="AG1447" s="34">
        <f t="shared" si="411"/>
        <v>0</v>
      </c>
      <c r="AH1447" s="44" t="s">
        <v>2288</v>
      </c>
      <c r="AI1447" s="131"/>
      <c r="AK1447" s="66">
        <f t="shared" ref="AK1447:AK1504" si="416">AM1447/(A1447*10000)</f>
        <v>0</v>
      </c>
      <c r="AL1447" s="174">
        <f t="shared" ref="AL1447:AL1504" si="417">AN1447/(A1447*10000)</f>
        <v>0</v>
      </c>
      <c r="AM1447" s="346">
        <f>RTD("money.excel",,$G1447,"PredictVolume")</f>
        <v>0</v>
      </c>
      <c r="AN1447" s="272">
        <f>RTD("money.excel",,$G1447,"CumulativeVolume")</f>
        <v>0</v>
      </c>
      <c r="AO1447" s="284"/>
    </row>
    <row r="1448" spans="1:41">
      <c r="A1448" s="151" t="s">
        <v>3382</v>
      </c>
      <c r="B1448" s="85">
        <v>-27</v>
      </c>
      <c r="C1448" s="84">
        <v>5</v>
      </c>
      <c r="D1448" s="84">
        <v>4</v>
      </c>
      <c r="E1448" s="84">
        <v>7</v>
      </c>
      <c r="F1448" s="77">
        <v>-73.180000000000007</v>
      </c>
      <c r="G1448" s="85">
        <v>2530</v>
      </c>
      <c r="H1448" s="4" t="s">
        <v>1485</v>
      </c>
      <c r="I1448" s="23" t="s">
        <v>1522</v>
      </c>
      <c r="J1448" s="371">
        <v>71.48</v>
      </c>
      <c r="K1448" s="77">
        <v>0.59</v>
      </c>
      <c r="L1448" s="77">
        <v>6.09</v>
      </c>
      <c r="N1448" s="365">
        <f t="shared" si="406"/>
        <v>78.160000000000011</v>
      </c>
      <c r="O1448" s="343">
        <f t="shared" si="407"/>
        <v>71.48</v>
      </c>
      <c r="P1448" s="195">
        <v>1</v>
      </c>
      <c r="Q1448" s="326" t="str">
        <f>IFERROR(VLOOKUP($G1448,主力整理!$A$2:$G$2301,6,0),"0")</f>
        <v>0</v>
      </c>
      <c r="T1448" s="339">
        <f t="shared" si="408"/>
        <v>1</v>
      </c>
      <c r="V1448" s="371">
        <v>0</v>
      </c>
      <c r="W1448" s="35">
        <v>0</v>
      </c>
      <c r="X1448" s="59">
        <v>-0.33</v>
      </c>
      <c r="Y1448" s="37" t="str">
        <f>RTD("money.excel",,"2530","Price")</f>
        <v>無資料</v>
      </c>
      <c r="Z1448" s="69"/>
      <c r="AA1448" s="16" t="e">
        <f t="shared" si="409"/>
        <v>#VALUE!</v>
      </c>
      <c r="AB1448" s="3" t="e">
        <f t="shared" si="410"/>
        <v>#VALUE!</v>
      </c>
      <c r="AC1448" s="177" t="s">
        <v>2648</v>
      </c>
      <c r="AD1448" s="23" t="s">
        <v>1522</v>
      </c>
      <c r="AG1448" s="34">
        <f t="shared" si="411"/>
        <v>0</v>
      </c>
      <c r="AH1448" s="44" t="s">
        <v>3180</v>
      </c>
      <c r="AI1448" s="253"/>
      <c r="AK1448" s="66">
        <f t="shared" si="416"/>
        <v>0</v>
      </c>
      <c r="AL1448" s="174">
        <f t="shared" si="417"/>
        <v>0</v>
      </c>
      <c r="AM1448" s="346">
        <f>RTD("money.excel",,$G1448,"PredictVolume")</f>
        <v>0</v>
      </c>
      <c r="AN1448" s="272">
        <f>RTD("money.excel",,$G1448,"CumulativeVolume")</f>
        <v>0</v>
      </c>
      <c r="AO1448" s="284"/>
    </row>
    <row r="1449" spans="1:41">
      <c r="A1449" s="135" t="s">
        <v>4876</v>
      </c>
      <c r="B1449" s="96">
        <v>-68</v>
      </c>
      <c r="C1449" s="96">
        <v>-64</v>
      </c>
      <c r="D1449" s="96">
        <v>-9</v>
      </c>
      <c r="E1449" s="96">
        <v>160</v>
      </c>
      <c r="F1449" s="59">
        <v>25.61</v>
      </c>
      <c r="G1449" s="85">
        <v>2534</v>
      </c>
      <c r="H1449" s="4" t="s">
        <v>1485</v>
      </c>
      <c r="I1449" s="23" t="s">
        <v>1523</v>
      </c>
      <c r="J1449" s="77">
        <v>68.349999999999994</v>
      </c>
      <c r="K1449" s="77">
        <v>19.760000000000002</v>
      </c>
      <c r="L1449" s="77">
        <v>13.12</v>
      </c>
      <c r="N1449" s="365">
        <f t="shared" si="406"/>
        <v>101.23</v>
      </c>
      <c r="O1449" s="343">
        <f t="shared" si="407"/>
        <v>68.349999999999994</v>
      </c>
      <c r="P1449" s="195" t="s">
        <v>5554</v>
      </c>
      <c r="Q1449" s="326">
        <f>IFERROR(VLOOKUP($G1449,主力整理!$A$2:$G$2301,6,0),"0")</f>
        <v>4</v>
      </c>
      <c r="T1449" s="339">
        <f t="shared" si="408"/>
        <v>4</v>
      </c>
      <c r="V1449" s="371">
        <v>10.01</v>
      </c>
      <c r="W1449" s="35">
        <v>1</v>
      </c>
      <c r="X1449" s="100">
        <v>1.08</v>
      </c>
      <c r="Y1449" s="14" t="str">
        <f>RTD("money.excel",,"2534","Price")</f>
        <v>無資料</v>
      </c>
      <c r="Z1449" s="69"/>
      <c r="AA1449" s="16" t="e">
        <f t="shared" si="409"/>
        <v>#VALUE!</v>
      </c>
      <c r="AB1449" s="3" t="e">
        <f t="shared" si="410"/>
        <v>#VALUE!</v>
      </c>
      <c r="AD1449" s="23" t="s">
        <v>1523</v>
      </c>
      <c r="AG1449" s="34">
        <f t="shared" si="411"/>
        <v>0</v>
      </c>
      <c r="AH1449" s="63" t="s">
        <v>4890</v>
      </c>
      <c r="AI1449" s="131"/>
      <c r="AK1449" s="66">
        <f t="shared" si="416"/>
        <v>0</v>
      </c>
      <c r="AL1449" s="174">
        <f t="shared" si="417"/>
        <v>0</v>
      </c>
      <c r="AM1449" s="346">
        <f>RTD("money.excel",,$G1449,"PredictVolume")</f>
        <v>0</v>
      </c>
      <c r="AN1449" s="272">
        <f>RTD("money.excel",,$G1449,"CumulativeVolume")</f>
        <v>0</v>
      </c>
      <c r="AO1449" s="284"/>
    </row>
    <row r="1450" spans="1:41">
      <c r="A1450" s="151" t="s">
        <v>4877</v>
      </c>
      <c r="B1450" s="84">
        <v>61</v>
      </c>
      <c r="C1450" s="84">
        <v>55</v>
      </c>
      <c r="D1450" s="84">
        <v>26</v>
      </c>
      <c r="E1450" s="84">
        <v>57</v>
      </c>
      <c r="F1450" s="7">
        <v>8.23</v>
      </c>
      <c r="G1450" s="85">
        <v>2535</v>
      </c>
      <c r="H1450" s="4" t="s">
        <v>1485</v>
      </c>
      <c r="I1450" s="23" t="s">
        <v>1524</v>
      </c>
      <c r="J1450" s="371">
        <v>40.56</v>
      </c>
      <c r="K1450" s="371">
        <v>13.85</v>
      </c>
      <c r="L1450" s="371">
        <v>2.29</v>
      </c>
      <c r="N1450" s="365">
        <f t="shared" si="406"/>
        <v>56.7</v>
      </c>
      <c r="O1450" s="343">
        <f t="shared" si="407"/>
        <v>40.56</v>
      </c>
      <c r="P1450" s="195">
        <v>1</v>
      </c>
      <c r="Q1450" s="326" t="str">
        <f>IFERROR(VLOOKUP($G1450,主力整理!$A$2:$G$2301,6,0),"0")</f>
        <v>0</v>
      </c>
      <c r="T1450" s="339">
        <f t="shared" si="408"/>
        <v>1</v>
      </c>
      <c r="V1450" s="371">
        <v>0.23</v>
      </c>
      <c r="W1450" s="35">
        <v>2.5099999999999998</v>
      </c>
      <c r="X1450" s="100">
        <v>3.77</v>
      </c>
      <c r="Y1450" s="37" t="str">
        <f>RTD("money.excel",,"2535","Price")</f>
        <v>無資料</v>
      </c>
      <c r="Z1450" s="69"/>
      <c r="AA1450" s="16" t="e">
        <f t="shared" si="409"/>
        <v>#VALUE!</v>
      </c>
      <c r="AB1450" s="3" t="e">
        <f t="shared" si="410"/>
        <v>#VALUE!</v>
      </c>
      <c r="AC1450" s="177" t="s">
        <v>2648</v>
      </c>
      <c r="AD1450" s="23" t="s">
        <v>1524</v>
      </c>
      <c r="AG1450" s="34">
        <f t="shared" si="411"/>
        <v>0</v>
      </c>
      <c r="AH1450" s="44" t="s">
        <v>3295</v>
      </c>
      <c r="AI1450" s="284"/>
      <c r="AK1450" s="66">
        <f t="shared" si="416"/>
        <v>0</v>
      </c>
      <c r="AL1450" s="174">
        <f t="shared" si="417"/>
        <v>0</v>
      </c>
      <c r="AM1450" s="346">
        <f>RTD("money.excel",,$G1450,"PredictVolume")</f>
        <v>0</v>
      </c>
      <c r="AN1450" s="272">
        <f>RTD("money.excel",,$G1450,"CumulativeVolume")</f>
        <v>0</v>
      </c>
      <c r="AO1450" s="284"/>
    </row>
    <row r="1451" spans="1:41">
      <c r="A1451" s="135" t="s">
        <v>3091</v>
      </c>
      <c r="B1451" s="96">
        <v>21</v>
      </c>
      <c r="C1451" s="96">
        <v>40</v>
      </c>
      <c r="D1451" s="96">
        <v>10</v>
      </c>
      <c r="E1451" s="96">
        <v>-73</v>
      </c>
      <c r="F1451" s="59">
        <v>19.239999999999998</v>
      </c>
      <c r="G1451" s="85">
        <v>2536</v>
      </c>
      <c r="H1451" s="4" t="s">
        <v>1485</v>
      </c>
      <c r="I1451" s="23" t="s">
        <v>1525</v>
      </c>
      <c r="J1451" s="77">
        <v>76.09</v>
      </c>
      <c r="K1451" s="77">
        <v>19.350000000000001</v>
      </c>
      <c r="L1451" s="371">
        <v>1.79</v>
      </c>
      <c r="N1451" s="365">
        <f t="shared" si="406"/>
        <v>97.23</v>
      </c>
      <c r="O1451" s="343">
        <f t="shared" si="407"/>
        <v>76.09</v>
      </c>
      <c r="P1451" s="195" t="s">
        <v>5554</v>
      </c>
      <c r="Q1451" s="326" t="str">
        <f>IFERROR(VLOOKUP($G1451,主力整理!$A$2:$G$2301,6,0),"0")</f>
        <v>0</v>
      </c>
      <c r="T1451" s="339">
        <f t="shared" si="408"/>
        <v>0</v>
      </c>
      <c r="V1451" s="371">
        <v>31.71</v>
      </c>
      <c r="W1451" s="35">
        <v>1.2</v>
      </c>
      <c r="X1451" s="100">
        <v>1.85</v>
      </c>
      <c r="Y1451" s="14" t="str">
        <f>RTD("money.excel",,"2536","Price")</f>
        <v>無資料</v>
      </c>
      <c r="Z1451" s="69"/>
      <c r="AA1451" s="16" t="e">
        <f t="shared" si="409"/>
        <v>#VALUE!</v>
      </c>
      <c r="AB1451" s="3" t="e">
        <f t="shared" si="410"/>
        <v>#VALUE!</v>
      </c>
      <c r="AD1451" s="23" t="s">
        <v>1525</v>
      </c>
      <c r="AG1451" s="34">
        <f t="shared" si="411"/>
        <v>0</v>
      </c>
      <c r="AH1451" s="63" t="s">
        <v>3180</v>
      </c>
      <c r="AI1451" s="131"/>
      <c r="AK1451" s="66">
        <f t="shared" si="416"/>
        <v>0</v>
      </c>
      <c r="AL1451" s="174">
        <f t="shared" si="417"/>
        <v>0</v>
      </c>
      <c r="AM1451" s="346">
        <f>RTD("money.excel",,$G1451,"PredictVolume")</f>
        <v>0</v>
      </c>
      <c r="AN1451" s="272">
        <f>RTD("money.excel",,$G1451,"CumulativeVolume")</f>
        <v>0</v>
      </c>
      <c r="AO1451" s="284"/>
    </row>
    <row r="1452" spans="1:41">
      <c r="A1452" s="135" t="s">
        <v>3623</v>
      </c>
      <c r="B1452" s="96">
        <v>325</v>
      </c>
      <c r="C1452" s="96">
        <v>424</v>
      </c>
      <c r="D1452" s="96">
        <v>-1</v>
      </c>
      <c r="E1452" s="96">
        <v>-99</v>
      </c>
      <c r="F1452" s="59">
        <v>16.190000000000001</v>
      </c>
      <c r="G1452" s="85">
        <v>2537</v>
      </c>
      <c r="H1452" s="4" t="s">
        <v>1485</v>
      </c>
      <c r="I1452" s="23" t="s">
        <v>1526</v>
      </c>
      <c r="J1452" s="77">
        <v>64.03</v>
      </c>
      <c r="K1452" s="77">
        <v>0.77</v>
      </c>
      <c r="L1452" s="77">
        <v>14.69</v>
      </c>
      <c r="N1452" s="365">
        <f t="shared" si="406"/>
        <v>79.489999999999995</v>
      </c>
      <c r="O1452" s="343">
        <f t="shared" si="407"/>
        <v>64.03</v>
      </c>
      <c r="P1452" s="195" t="s">
        <v>5554</v>
      </c>
      <c r="Q1452" s="326">
        <f>IFERROR(VLOOKUP($G1452,主力整理!$A$2:$G$2301,6,0),"0")</f>
        <v>1</v>
      </c>
      <c r="T1452" s="339">
        <f t="shared" si="408"/>
        <v>1</v>
      </c>
      <c r="V1452" s="371">
        <v>23.48</v>
      </c>
      <c r="W1452" s="35">
        <v>0.4</v>
      </c>
      <c r="X1452" s="100">
        <v>0.59</v>
      </c>
      <c r="Y1452" s="14" t="str">
        <f>RTD("money.excel",,"2537","Price")</f>
        <v>無資料</v>
      </c>
      <c r="Z1452" s="69"/>
      <c r="AA1452" s="16" t="e">
        <f t="shared" si="409"/>
        <v>#VALUE!</v>
      </c>
      <c r="AB1452" s="3" t="e">
        <f t="shared" si="410"/>
        <v>#VALUE!</v>
      </c>
      <c r="AD1452" s="23" t="s">
        <v>1526</v>
      </c>
      <c r="AG1452" s="34">
        <f t="shared" si="411"/>
        <v>0</v>
      </c>
      <c r="AH1452" s="44" t="s">
        <v>3383</v>
      </c>
      <c r="AI1452" s="131"/>
      <c r="AK1452" s="66">
        <f t="shared" si="416"/>
        <v>0</v>
      </c>
      <c r="AL1452" s="174">
        <f t="shared" si="417"/>
        <v>0</v>
      </c>
      <c r="AM1452" s="346">
        <f>RTD("money.excel",,$G1452,"PredictVolume")</f>
        <v>0</v>
      </c>
      <c r="AN1452" s="272">
        <f>RTD("money.excel",,$G1452,"CumulativeVolume")</f>
        <v>0</v>
      </c>
      <c r="AO1452" s="284"/>
    </row>
    <row r="1453" spans="1:41">
      <c r="A1453" s="151" t="s">
        <v>4603</v>
      </c>
      <c r="B1453" s="214">
        <v>-1581</v>
      </c>
      <c r="C1453" s="96">
        <v>70</v>
      </c>
      <c r="D1453" s="96">
        <v>-95</v>
      </c>
      <c r="E1453" s="96">
        <v>-65</v>
      </c>
      <c r="F1453" s="7">
        <v>-11.32</v>
      </c>
      <c r="G1453" s="85">
        <v>2538</v>
      </c>
      <c r="H1453" s="4" t="s">
        <v>1485</v>
      </c>
      <c r="I1453" s="23" t="s">
        <v>1527</v>
      </c>
      <c r="J1453" s="77">
        <v>62.68</v>
      </c>
      <c r="K1453" s="77">
        <v>14.1</v>
      </c>
      <c r="L1453" s="77">
        <v>3.78</v>
      </c>
      <c r="N1453" s="365">
        <f t="shared" si="406"/>
        <v>80.56</v>
      </c>
      <c r="O1453" s="343">
        <f t="shared" si="407"/>
        <v>62.68</v>
      </c>
      <c r="P1453" s="195" t="s">
        <v>5554</v>
      </c>
      <c r="Q1453" s="326">
        <f>IFERROR(VLOOKUP($G1453,主力整理!$A$2:$G$2301,6,0),"0")</f>
        <v>3</v>
      </c>
      <c r="T1453" s="339">
        <f t="shared" si="408"/>
        <v>3</v>
      </c>
      <c r="V1453" s="371">
        <v>8.2200000000000006</v>
      </c>
      <c r="W1453" s="35">
        <v>0.5</v>
      </c>
      <c r="X1453" s="100">
        <v>-0.32</v>
      </c>
      <c r="Y1453" s="14" t="str">
        <f>RTD("money.excel",,"2538","Price")</f>
        <v>無資料</v>
      </c>
      <c r="Z1453" s="69"/>
      <c r="AA1453" s="16" t="e">
        <f t="shared" si="409"/>
        <v>#VALUE!</v>
      </c>
      <c r="AB1453" s="3" t="e">
        <f t="shared" si="410"/>
        <v>#VALUE!</v>
      </c>
      <c r="AD1453" s="23" t="s">
        <v>1527</v>
      </c>
      <c r="AG1453" s="34">
        <f t="shared" si="411"/>
        <v>0</v>
      </c>
      <c r="AH1453" s="44" t="s">
        <v>3180</v>
      </c>
      <c r="AI1453" s="284"/>
      <c r="AK1453" s="66">
        <f t="shared" si="416"/>
        <v>0</v>
      </c>
      <c r="AL1453" s="174">
        <f t="shared" si="417"/>
        <v>0</v>
      </c>
      <c r="AM1453" s="346">
        <f>RTD("money.excel",,$G1453,"PredictVolume")</f>
        <v>0</v>
      </c>
      <c r="AN1453" s="272">
        <f>RTD("money.excel",,$G1453,"CumulativeVolume")</f>
        <v>0</v>
      </c>
      <c r="AO1453" s="284"/>
    </row>
    <row r="1454" spans="1:41">
      <c r="A1454" s="135" t="s">
        <v>3095</v>
      </c>
      <c r="B1454" s="96">
        <v>-35</v>
      </c>
      <c r="C1454" s="96">
        <v>-26</v>
      </c>
      <c r="D1454" s="96">
        <v>-91</v>
      </c>
      <c r="E1454" s="96">
        <v>-51</v>
      </c>
      <c r="F1454" s="59">
        <v>18.739999999999998</v>
      </c>
      <c r="G1454" s="85">
        <v>2539</v>
      </c>
      <c r="H1454" s="4" t="s">
        <v>1485</v>
      </c>
      <c r="I1454" s="23" t="s">
        <v>1528</v>
      </c>
      <c r="J1454" s="77">
        <v>93.38</v>
      </c>
      <c r="K1454" s="77">
        <v>0.09</v>
      </c>
      <c r="L1454" s="77">
        <v>0.12</v>
      </c>
      <c r="N1454" s="365">
        <f t="shared" si="406"/>
        <v>93.59</v>
      </c>
      <c r="O1454" s="343">
        <f t="shared" si="407"/>
        <v>93.38</v>
      </c>
      <c r="P1454" s="195" t="s">
        <v>5554</v>
      </c>
      <c r="Q1454" s="326" t="str">
        <f>IFERROR(VLOOKUP($G1454,主力整理!$A$2:$G$2301,6,0),"0")</f>
        <v>0</v>
      </c>
      <c r="T1454" s="339">
        <f t="shared" si="408"/>
        <v>0</v>
      </c>
      <c r="V1454" s="371">
        <v>21</v>
      </c>
      <c r="W1454" s="35">
        <v>1.6</v>
      </c>
      <c r="X1454" s="100">
        <v>1.61</v>
      </c>
      <c r="Y1454" s="14" t="str">
        <f>RTD("money.excel",,"2539","Price")</f>
        <v>無資料</v>
      </c>
      <c r="Z1454" s="69"/>
      <c r="AA1454" s="16" t="e">
        <f t="shared" si="409"/>
        <v>#VALUE!</v>
      </c>
      <c r="AB1454" s="3" t="e">
        <f t="shared" si="410"/>
        <v>#VALUE!</v>
      </c>
      <c r="AD1454" s="23" t="s">
        <v>1528</v>
      </c>
      <c r="AG1454" s="34">
        <f t="shared" si="411"/>
        <v>0</v>
      </c>
      <c r="AH1454" s="44" t="s">
        <v>3180</v>
      </c>
      <c r="AI1454" s="131"/>
      <c r="AK1454" s="66">
        <f t="shared" si="416"/>
        <v>0</v>
      </c>
      <c r="AL1454" s="174">
        <f t="shared" si="417"/>
        <v>0</v>
      </c>
      <c r="AM1454" s="346">
        <f>RTD("money.excel",,$G1454,"PredictVolume")</f>
        <v>0</v>
      </c>
      <c r="AN1454" s="272">
        <f>RTD("money.excel",,$G1454,"CumulativeVolume")</f>
        <v>0</v>
      </c>
      <c r="AO1454" s="284"/>
    </row>
    <row r="1455" spans="1:41">
      <c r="A1455" s="135" t="s">
        <v>2502</v>
      </c>
      <c r="B1455" s="84">
        <v>353</v>
      </c>
      <c r="C1455" s="84">
        <v>195</v>
      </c>
      <c r="D1455" s="85">
        <v>-11</v>
      </c>
      <c r="E1455" s="84">
        <v>213</v>
      </c>
      <c r="F1455" s="59">
        <v>27.62</v>
      </c>
      <c r="G1455" s="85">
        <v>2540</v>
      </c>
      <c r="H1455" s="4" t="s">
        <v>1485</v>
      </c>
      <c r="I1455" s="23" t="s">
        <v>1529</v>
      </c>
      <c r="J1455" s="77">
        <v>95.8</v>
      </c>
      <c r="K1455" s="77">
        <v>0.24</v>
      </c>
      <c r="L1455" s="77">
        <v>0.9</v>
      </c>
      <c r="N1455" s="365">
        <f t="shared" si="406"/>
        <v>96.94</v>
      </c>
      <c r="O1455" s="343">
        <f t="shared" si="407"/>
        <v>95.8</v>
      </c>
      <c r="P1455" s="195">
        <v>2</v>
      </c>
      <c r="Q1455" s="326" t="str">
        <f>IFERROR(VLOOKUP($G1455,主力整理!$A$2:$G$2301,6,0),"0")</f>
        <v>0</v>
      </c>
      <c r="T1455" s="339">
        <f t="shared" si="408"/>
        <v>2</v>
      </c>
      <c r="V1455" s="371">
        <v>0.04</v>
      </c>
      <c r="W1455" s="35">
        <v>2</v>
      </c>
      <c r="X1455" s="100">
        <v>6.18</v>
      </c>
      <c r="Y1455" s="37" t="str">
        <f>RTD("money.excel",,"2540","Price")</f>
        <v>無資料</v>
      </c>
      <c r="Z1455" s="69"/>
      <c r="AA1455" s="16" t="e">
        <f t="shared" si="409"/>
        <v>#VALUE!</v>
      </c>
      <c r="AB1455" s="3" t="e">
        <f t="shared" si="410"/>
        <v>#VALUE!</v>
      </c>
      <c r="AC1455" s="177" t="s">
        <v>2648</v>
      </c>
      <c r="AD1455" s="23" t="s">
        <v>1529</v>
      </c>
      <c r="AG1455" s="34">
        <f t="shared" si="411"/>
        <v>0</v>
      </c>
      <c r="AH1455" s="63" t="s">
        <v>3256</v>
      </c>
      <c r="AI1455" s="131"/>
      <c r="AK1455" s="66">
        <f t="shared" si="416"/>
        <v>0</v>
      </c>
      <c r="AL1455" s="174">
        <f t="shared" si="417"/>
        <v>0</v>
      </c>
      <c r="AM1455" s="346">
        <f>RTD("money.excel",,$G1455,"PredictVolume")</f>
        <v>0</v>
      </c>
      <c r="AN1455" s="272">
        <f>RTD("money.excel",,$G1455,"CumulativeVolume")</f>
        <v>0</v>
      </c>
      <c r="AO1455" s="284"/>
    </row>
    <row r="1456" spans="1:41">
      <c r="A1456" s="135" t="s">
        <v>4878</v>
      </c>
      <c r="B1456" s="85">
        <v>-19</v>
      </c>
      <c r="C1456" s="84">
        <v>17</v>
      </c>
      <c r="D1456" s="85">
        <v>-6</v>
      </c>
      <c r="E1456" s="84">
        <v>261</v>
      </c>
      <c r="F1456" s="59">
        <v>16.91</v>
      </c>
      <c r="G1456" s="85">
        <v>2542</v>
      </c>
      <c r="H1456" s="4" t="s">
        <v>1485</v>
      </c>
      <c r="I1456" s="23" t="s">
        <v>48</v>
      </c>
      <c r="J1456" s="371">
        <v>62.06</v>
      </c>
      <c r="K1456" s="371">
        <v>18.45</v>
      </c>
      <c r="L1456" s="371">
        <v>1.25</v>
      </c>
      <c r="N1456" s="365">
        <f t="shared" si="406"/>
        <v>81.760000000000005</v>
      </c>
      <c r="O1456" s="343">
        <f t="shared" si="407"/>
        <v>62.06</v>
      </c>
      <c r="P1456" s="195">
        <v>2</v>
      </c>
      <c r="Q1456" s="326" t="str">
        <f>IFERROR(VLOOKUP($G1456,主力整理!$A$2:$G$2301,6,0),"0")</f>
        <v>0</v>
      </c>
      <c r="T1456" s="339">
        <f t="shared" si="408"/>
        <v>2</v>
      </c>
      <c r="V1456" s="371">
        <v>0</v>
      </c>
      <c r="W1456" s="35">
        <v>2</v>
      </c>
      <c r="X1456" s="59">
        <v>2.21</v>
      </c>
      <c r="Y1456" s="37" t="str">
        <f>RTD("money.excel",,"2542","Price")</f>
        <v>無資料</v>
      </c>
      <c r="Z1456" s="69"/>
      <c r="AA1456" s="16" t="e">
        <f t="shared" si="409"/>
        <v>#VALUE!</v>
      </c>
      <c r="AB1456" s="3" t="e">
        <f t="shared" si="410"/>
        <v>#VALUE!</v>
      </c>
      <c r="AC1456" s="177" t="s">
        <v>2648</v>
      </c>
      <c r="AD1456" s="23" t="s">
        <v>48</v>
      </c>
      <c r="AG1456" s="34">
        <f t="shared" si="411"/>
        <v>0</v>
      </c>
      <c r="AH1456" s="126" t="s">
        <v>3180</v>
      </c>
      <c r="AI1456" s="131"/>
      <c r="AK1456" s="66">
        <f t="shared" si="416"/>
        <v>0</v>
      </c>
      <c r="AL1456" s="174">
        <f t="shared" si="417"/>
        <v>0</v>
      </c>
      <c r="AM1456" s="346">
        <f>RTD("money.excel",,$G1456,"PredictVolume")</f>
        <v>0</v>
      </c>
      <c r="AN1456" s="272">
        <f>RTD("money.excel",,$G1456,"CumulativeVolume")</f>
        <v>0</v>
      </c>
      <c r="AO1456" s="284"/>
    </row>
    <row r="1457" spans="1:41">
      <c r="A1457" s="151" t="s">
        <v>3390</v>
      </c>
      <c r="B1457" s="84">
        <v>805</v>
      </c>
      <c r="C1457" s="84">
        <v>553</v>
      </c>
      <c r="D1457" s="84">
        <v>5</v>
      </c>
      <c r="E1457" s="84">
        <v>17</v>
      </c>
      <c r="F1457" s="7">
        <v>1.29</v>
      </c>
      <c r="G1457" s="85">
        <v>2543</v>
      </c>
      <c r="H1457" s="4" t="s">
        <v>1485</v>
      </c>
      <c r="I1457" s="23" t="s">
        <v>1530</v>
      </c>
      <c r="J1457" s="371">
        <v>84.89</v>
      </c>
      <c r="K1457" s="371">
        <v>0.21</v>
      </c>
      <c r="N1457" s="365">
        <f t="shared" si="406"/>
        <v>85.1</v>
      </c>
      <c r="O1457" s="343">
        <f t="shared" si="407"/>
        <v>84.89</v>
      </c>
      <c r="P1457" s="195" t="s">
        <v>5554</v>
      </c>
      <c r="Q1457" s="326" t="str">
        <f>IFERROR(VLOOKUP($G1457,主力整理!$A$2:$G$2301,6,0),"0")</f>
        <v>0</v>
      </c>
      <c r="T1457" s="339">
        <f t="shared" si="408"/>
        <v>0</v>
      </c>
      <c r="W1457" s="35">
        <v>0</v>
      </c>
      <c r="X1457" s="100">
        <v>0.15</v>
      </c>
      <c r="Y1457" s="37" t="str">
        <f>RTD("money.excel",,"2543","Price")</f>
        <v>無資料</v>
      </c>
      <c r="Z1457" s="69"/>
      <c r="AA1457" s="16" t="e">
        <f t="shared" si="409"/>
        <v>#VALUE!</v>
      </c>
      <c r="AB1457" s="3" t="e">
        <f t="shared" si="410"/>
        <v>#VALUE!</v>
      </c>
      <c r="AC1457" s="177" t="s">
        <v>2648</v>
      </c>
      <c r="AD1457" s="23" t="s">
        <v>1530</v>
      </c>
      <c r="AG1457" s="34">
        <f t="shared" si="411"/>
        <v>0</v>
      </c>
      <c r="AH1457" s="44" t="s">
        <v>586</v>
      </c>
      <c r="AI1457" s="284"/>
      <c r="AK1457" s="66">
        <f t="shared" si="416"/>
        <v>0</v>
      </c>
      <c r="AL1457" s="174">
        <f t="shared" si="417"/>
        <v>0</v>
      </c>
      <c r="AM1457" s="346">
        <f>RTD("money.excel",,$G1457,"PredictVolume")</f>
        <v>0</v>
      </c>
      <c r="AN1457" s="272">
        <f>RTD("money.excel",,$G1457,"CumulativeVolume")</f>
        <v>0</v>
      </c>
      <c r="AO1457" s="284"/>
    </row>
    <row r="1458" spans="1:41">
      <c r="A1458" s="135" t="s">
        <v>4879</v>
      </c>
      <c r="B1458" s="96">
        <v>910</v>
      </c>
      <c r="C1458" s="145">
        <v>1218</v>
      </c>
      <c r="D1458" s="96">
        <v>-14</v>
      </c>
      <c r="E1458" s="96">
        <v>-26</v>
      </c>
      <c r="F1458" s="59">
        <v>35.159999999999997</v>
      </c>
      <c r="G1458" s="85">
        <v>2545</v>
      </c>
      <c r="H1458" s="4" t="s">
        <v>1485</v>
      </c>
      <c r="I1458" s="23" t="s">
        <v>1531</v>
      </c>
      <c r="J1458" s="77">
        <v>76.489999999999995</v>
      </c>
      <c r="K1458" s="77">
        <v>4</v>
      </c>
      <c r="L1458" s="77">
        <v>4.21</v>
      </c>
      <c r="N1458" s="365">
        <f t="shared" si="406"/>
        <v>84.699999999999989</v>
      </c>
      <c r="O1458" s="343">
        <f t="shared" si="407"/>
        <v>76.489999999999995</v>
      </c>
      <c r="P1458" s="195" t="s">
        <v>5554</v>
      </c>
      <c r="Q1458" s="326" t="str">
        <f>IFERROR(VLOOKUP($G1458,主力整理!$A$2:$G$2301,6,0),"0")</f>
        <v>0</v>
      </c>
      <c r="T1458" s="339">
        <f t="shared" si="408"/>
        <v>0</v>
      </c>
      <c r="V1458" s="371">
        <v>37.869999999999997</v>
      </c>
      <c r="W1458" s="69">
        <v>4.5</v>
      </c>
      <c r="X1458" s="100">
        <v>5.33</v>
      </c>
      <c r="Y1458" s="14" t="str">
        <f>RTD("money.excel",,"2545","Price")</f>
        <v>無資料</v>
      </c>
      <c r="Z1458" s="69"/>
      <c r="AA1458" s="16" t="e">
        <f t="shared" si="409"/>
        <v>#VALUE!</v>
      </c>
      <c r="AB1458" s="3" t="e">
        <f t="shared" si="410"/>
        <v>#VALUE!</v>
      </c>
      <c r="AC1458" s="177" t="s">
        <v>2929</v>
      </c>
      <c r="AD1458" s="23" t="s">
        <v>1531</v>
      </c>
      <c r="AG1458" s="34">
        <f t="shared" si="411"/>
        <v>0</v>
      </c>
      <c r="AH1458" s="63" t="s">
        <v>3180</v>
      </c>
      <c r="AI1458" s="131"/>
      <c r="AK1458" s="66">
        <f t="shared" si="416"/>
        <v>0</v>
      </c>
      <c r="AL1458" s="174">
        <f t="shared" si="417"/>
        <v>0</v>
      </c>
      <c r="AM1458" s="346">
        <f>RTD("money.excel",,$G1458,"PredictVolume")</f>
        <v>0</v>
      </c>
      <c r="AN1458" s="272">
        <f>RTD("money.excel",,$G1458,"CumulativeVolume")</f>
        <v>0</v>
      </c>
      <c r="AO1458" s="284"/>
    </row>
    <row r="1459" spans="1:41">
      <c r="A1459" s="151" t="s">
        <v>2631</v>
      </c>
      <c r="B1459" s="96">
        <v>21</v>
      </c>
      <c r="C1459" s="96">
        <v>27</v>
      </c>
      <c r="D1459" s="96">
        <v>-13</v>
      </c>
      <c r="E1459" s="96">
        <v>22</v>
      </c>
      <c r="F1459" s="7">
        <v>5.22</v>
      </c>
      <c r="G1459" s="85">
        <v>2546</v>
      </c>
      <c r="H1459" s="4" t="s">
        <v>1485</v>
      </c>
      <c r="I1459" s="23" t="s">
        <v>1532</v>
      </c>
      <c r="J1459" s="77">
        <v>61.57</v>
      </c>
      <c r="K1459" s="77">
        <v>0.28000000000000003</v>
      </c>
      <c r="L1459" s="77">
        <v>1.1000000000000001</v>
      </c>
      <c r="N1459" s="365">
        <f t="shared" si="406"/>
        <v>62.95</v>
      </c>
      <c r="O1459" s="343">
        <f t="shared" si="407"/>
        <v>61.57</v>
      </c>
      <c r="P1459" s="195" t="s">
        <v>5554</v>
      </c>
      <c r="Q1459" s="326" t="str">
        <f>IFERROR(VLOOKUP($G1459,主力整理!$A$2:$G$2301,6,0),"0")</f>
        <v>0</v>
      </c>
      <c r="T1459" s="339">
        <f t="shared" si="408"/>
        <v>0</v>
      </c>
      <c r="V1459" s="371">
        <v>37.46</v>
      </c>
      <c r="W1459" s="69">
        <v>3.6</v>
      </c>
      <c r="X1459" s="100">
        <v>2.91</v>
      </c>
      <c r="Y1459" s="14" t="str">
        <f>RTD("money.excel",,"2546","Price")</f>
        <v>無資料</v>
      </c>
      <c r="Z1459" s="69"/>
      <c r="AA1459" s="16" t="e">
        <f t="shared" si="409"/>
        <v>#VALUE!</v>
      </c>
      <c r="AB1459" s="3" t="e">
        <f t="shared" si="410"/>
        <v>#VALUE!</v>
      </c>
      <c r="AC1459" s="177" t="s">
        <v>2700</v>
      </c>
      <c r="AD1459" s="23" t="s">
        <v>1532</v>
      </c>
      <c r="AG1459" s="34">
        <f t="shared" si="411"/>
        <v>0</v>
      </c>
      <c r="AH1459" s="44" t="s">
        <v>4889</v>
      </c>
      <c r="AI1459" s="131"/>
      <c r="AK1459" s="66">
        <f t="shared" si="416"/>
        <v>0</v>
      </c>
      <c r="AL1459" s="174">
        <f t="shared" si="417"/>
        <v>0</v>
      </c>
      <c r="AM1459" s="346">
        <f>RTD("money.excel",,$G1459,"PredictVolume")</f>
        <v>0</v>
      </c>
      <c r="AN1459" s="272">
        <f>RTD("money.excel",,$G1459,"CumulativeVolume")</f>
        <v>0</v>
      </c>
      <c r="AO1459" s="284"/>
    </row>
    <row r="1460" spans="1:41">
      <c r="A1460" s="151" t="s">
        <v>4880</v>
      </c>
      <c r="B1460" s="85">
        <v>-86</v>
      </c>
      <c r="C1460" s="85">
        <v>-85</v>
      </c>
      <c r="D1460" s="85">
        <v>-1</v>
      </c>
      <c r="E1460" s="84">
        <v>28</v>
      </c>
      <c r="F1460" s="7">
        <v>9.67</v>
      </c>
      <c r="G1460" s="85">
        <v>2547</v>
      </c>
      <c r="H1460" s="4" t="s">
        <v>1485</v>
      </c>
      <c r="I1460" s="23" t="s">
        <v>1533</v>
      </c>
      <c r="J1460" s="371">
        <v>68.86</v>
      </c>
      <c r="K1460" s="371">
        <v>22.12</v>
      </c>
      <c r="L1460" s="77">
        <v>3.88</v>
      </c>
      <c r="N1460" s="365">
        <f t="shared" si="406"/>
        <v>94.86</v>
      </c>
      <c r="O1460" s="343">
        <f t="shared" si="407"/>
        <v>68.86</v>
      </c>
      <c r="P1460" s="195" t="s">
        <v>5554</v>
      </c>
      <c r="Q1460" s="326">
        <f>IFERROR(VLOOKUP($G1460,主力整理!$A$2:$G$2301,6,0),"0")</f>
        <v>5</v>
      </c>
      <c r="T1460" s="339">
        <f t="shared" si="408"/>
        <v>5</v>
      </c>
      <c r="V1460" s="371">
        <v>13.89</v>
      </c>
      <c r="W1460" s="35">
        <v>0.62</v>
      </c>
      <c r="X1460" s="100">
        <v>0.69</v>
      </c>
      <c r="Y1460" s="37" t="str">
        <f>RTD("money.excel",,"2547","Price")</f>
        <v>無資料</v>
      </c>
      <c r="Z1460" s="69"/>
      <c r="AA1460" s="16" t="e">
        <f t="shared" si="409"/>
        <v>#VALUE!</v>
      </c>
      <c r="AB1460" s="3" t="e">
        <f t="shared" si="410"/>
        <v>#VALUE!</v>
      </c>
      <c r="AC1460" s="177" t="s">
        <v>2648</v>
      </c>
      <c r="AD1460" s="23" t="s">
        <v>1533</v>
      </c>
      <c r="AG1460" s="34">
        <f t="shared" si="411"/>
        <v>0</v>
      </c>
      <c r="AH1460" s="44" t="s">
        <v>3180</v>
      </c>
      <c r="AI1460" s="131"/>
      <c r="AK1460" s="66">
        <f t="shared" si="416"/>
        <v>0</v>
      </c>
      <c r="AL1460" s="174">
        <f t="shared" si="417"/>
        <v>0</v>
      </c>
      <c r="AM1460" s="346">
        <f>RTD("money.excel",,$G1460,"PredictVolume")</f>
        <v>0</v>
      </c>
      <c r="AN1460" s="272">
        <f>RTD("money.excel",,$G1460,"CumulativeVolume")</f>
        <v>0</v>
      </c>
      <c r="AO1460" s="284"/>
    </row>
    <row r="1461" spans="1:41">
      <c r="A1461" s="135" t="s">
        <v>3172</v>
      </c>
      <c r="B1461" s="85">
        <v>-24</v>
      </c>
      <c r="C1461" s="85">
        <v>-21</v>
      </c>
      <c r="D1461" s="85">
        <v>-89</v>
      </c>
      <c r="E1461" s="84">
        <v>109</v>
      </c>
      <c r="F1461" s="59">
        <v>21.47</v>
      </c>
      <c r="G1461" s="85">
        <v>2548</v>
      </c>
      <c r="H1461" s="4" t="s">
        <v>1485</v>
      </c>
      <c r="I1461" s="23" t="s">
        <v>1534</v>
      </c>
      <c r="J1461" s="77">
        <v>55.42</v>
      </c>
      <c r="K1461" s="77">
        <v>25.83</v>
      </c>
      <c r="L1461" s="371">
        <v>0.31</v>
      </c>
      <c r="N1461" s="365">
        <f t="shared" si="406"/>
        <v>81.56</v>
      </c>
      <c r="O1461" s="343">
        <f t="shared" si="407"/>
        <v>55.42</v>
      </c>
      <c r="P1461" s="195">
        <v>1</v>
      </c>
      <c r="Q1461" s="326">
        <v>2</v>
      </c>
      <c r="R1461" s="111">
        <v>0</v>
      </c>
      <c r="S1461" s="51">
        <v>6</v>
      </c>
      <c r="T1461" s="339">
        <f t="shared" si="408"/>
        <v>9</v>
      </c>
      <c r="V1461" s="371">
        <v>0</v>
      </c>
      <c r="W1461" s="69">
        <v>7</v>
      </c>
      <c r="X1461" s="59">
        <v>8.08</v>
      </c>
      <c r="Y1461" s="37" t="str">
        <f>RTD("money.excel",,"2548","Price")</f>
        <v>無資料</v>
      </c>
      <c r="Z1461" s="69"/>
      <c r="AA1461" s="16" t="e">
        <f t="shared" si="409"/>
        <v>#VALUE!</v>
      </c>
      <c r="AB1461" s="3" t="e">
        <f t="shared" si="410"/>
        <v>#VALUE!</v>
      </c>
      <c r="AC1461" s="177" t="s">
        <v>2929</v>
      </c>
      <c r="AD1461" s="23" t="s">
        <v>1534</v>
      </c>
      <c r="AG1461" s="34">
        <f t="shared" si="411"/>
        <v>0</v>
      </c>
      <c r="AH1461" s="63" t="s">
        <v>3180</v>
      </c>
      <c r="AI1461" s="131"/>
      <c r="AK1461" s="66">
        <f t="shared" si="416"/>
        <v>0</v>
      </c>
      <c r="AL1461" s="174">
        <f t="shared" si="417"/>
        <v>0</v>
      </c>
      <c r="AM1461" s="346">
        <f>RTD("money.excel",,$G1461,"PredictVolume")</f>
        <v>0</v>
      </c>
      <c r="AN1461" s="272">
        <f>RTD("money.excel",,$G1461,"CumulativeVolume")</f>
        <v>0</v>
      </c>
      <c r="AO1461" s="284"/>
    </row>
    <row r="1462" spans="1:41">
      <c r="A1462" s="135" t="s">
        <v>3161</v>
      </c>
      <c r="B1462" s="96">
        <v>289</v>
      </c>
      <c r="C1462" s="96">
        <v>395</v>
      </c>
      <c r="D1462" s="96">
        <v>-95</v>
      </c>
      <c r="E1462" s="145">
        <v>1351</v>
      </c>
      <c r="F1462" s="59">
        <v>21.08</v>
      </c>
      <c r="G1462" s="85">
        <v>2596</v>
      </c>
      <c r="H1462" s="4" t="s">
        <v>1485</v>
      </c>
      <c r="I1462" s="17" t="s">
        <v>1487</v>
      </c>
      <c r="J1462" s="371">
        <v>67.42</v>
      </c>
      <c r="K1462" s="371">
        <v>0.01</v>
      </c>
      <c r="L1462" s="371">
        <v>3.91</v>
      </c>
      <c r="N1462" s="365">
        <f t="shared" si="406"/>
        <v>71.34</v>
      </c>
      <c r="O1462" s="343">
        <f t="shared" si="407"/>
        <v>67.42</v>
      </c>
      <c r="P1462" s="195" t="s">
        <v>5554</v>
      </c>
      <c r="Q1462" s="326" t="str">
        <f>IFERROR(VLOOKUP($G1462,主力整理!$A$2:$G$2301,6,0),"0")</f>
        <v>0</v>
      </c>
      <c r="T1462" s="339">
        <f t="shared" si="408"/>
        <v>0</v>
      </c>
      <c r="V1462" s="371">
        <v>54.32</v>
      </c>
      <c r="W1462" s="35">
        <v>1</v>
      </c>
      <c r="X1462" s="100">
        <v>1.45</v>
      </c>
      <c r="Y1462" s="37" t="str">
        <f>RTD("money.excel",,"2596","Price")</f>
        <v>無資料</v>
      </c>
      <c r="Z1462" s="69"/>
      <c r="AA1462" s="16" t="e">
        <f t="shared" si="409"/>
        <v>#VALUE!</v>
      </c>
      <c r="AB1462" s="3" t="e">
        <f t="shared" si="410"/>
        <v>#VALUE!</v>
      </c>
      <c r="AD1462" s="17" t="s">
        <v>1487</v>
      </c>
      <c r="AG1462" s="34">
        <f t="shared" si="411"/>
        <v>0</v>
      </c>
      <c r="AH1462" s="63" t="s">
        <v>3180</v>
      </c>
      <c r="AI1462" s="131"/>
      <c r="AK1462" s="66">
        <f t="shared" si="416"/>
        <v>0</v>
      </c>
      <c r="AL1462" s="174">
        <f t="shared" si="417"/>
        <v>0</v>
      </c>
      <c r="AM1462" s="346">
        <f>RTD("money.excel",,$G1462,"PredictVolume")</f>
        <v>0</v>
      </c>
      <c r="AN1462" s="272">
        <f>RTD("money.excel",,$G1462,"CumulativeVolume")</f>
        <v>0</v>
      </c>
      <c r="AO1462" s="284"/>
    </row>
    <row r="1463" spans="1:41">
      <c r="A1463" s="151" t="s">
        <v>2542</v>
      </c>
      <c r="B1463" s="84">
        <v>43</v>
      </c>
      <c r="C1463" s="84">
        <v>65</v>
      </c>
      <c r="D1463" s="84">
        <v>1</v>
      </c>
      <c r="E1463" s="84">
        <v>9</v>
      </c>
      <c r="F1463" s="7">
        <v>3.13</v>
      </c>
      <c r="G1463" s="85">
        <v>2597</v>
      </c>
      <c r="H1463" s="4" t="s">
        <v>1485</v>
      </c>
      <c r="I1463" s="23" t="s">
        <v>1535</v>
      </c>
      <c r="J1463" s="77">
        <v>79.25</v>
      </c>
      <c r="K1463" s="77">
        <v>0.79</v>
      </c>
      <c r="L1463" s="77">
        <v>0.32</v>
      </c>
      <c r="N1463" s="365">
        <f t="shared" ref="N1463:N1494" si="418">J1463+K1463+L1463+M1463</f>
        <v>80.36</v>
      </c>
      <c r="O1463" s="343">
        <f t="shared" ref="O1463:O1494" si="419">J1463+M1463</f>
        <v>79.25</v>
      </c>
      <c r="P1463" s="195" t="s">
        <v>5554</v>
      </c>
      <c r="Q1463" s="326">
        <f>IFERROR(VLOOKUP($G1463,主力整理!$A$2:$G$2301,6,0),"0")</f>
        <v>1</v>
      </c>
      <c r="T1463" s="339">
        <f t="shared" ref="T1463:T1494" si="420">SUM(P1463:S1463)</f>
        <v>1</v>
      </c>
      <c r="V1463" s="371">
        <v>0</v>
      </c>
      <c r="W1463" s="69">
        <v>10.199999999999999</v>
      </c>
      <c r="X1463" s="100">
        <v>7.48</v>
      </c>
      <c r="Y1463" s="37" t="str">
        <f>RTD("money.excel",,"2597","Price")</f>
        <v>無資料</v>
      </c>
      <c r="Z1463" s="69"/>
      <c r="AA1463" s="16" t="e">
        <f t="shared" ref="AA1463:AA1494" si="421">Y1463-Z1463</f>
        <v>#VALUE!</v>
      </c>
      <c r="AB1463" s="3" t="e">
        <f t="shared" ref="AB1463:AB1494" si="422">AA1463/Z1463</f>
        <v>#VALUE!</v>
      </c>
      <c r="AC1463" s="177" t="s">
        <v>2700</v>
      </c>
      <c r="AD1463" s="23" t="s">
        <v>1535</v>
      </c>
      <c r="AG1463" s="34">
        <f t="shared" ref="AG1463:AG1494" si="423">AF1463-AE1463</f>
        <v>0</v>
      </c>
      <c r="AH1463" s="44" t="s">
        <v>4888</v>
      </c>
      <c r="AI1463" s="131"/>
      <c r="AK1463" s="66">
        <f t="shared" si="416"/>
        <v>0</v>
      </c>
      <c r="AL1463" s="174">
        <f t="shared" si="417"/>
        <v>0</v>
      </c>
      <c r="AM1463" s="346">
        <f>RTD("money.excel",,$G1463,"PredictVolume")</f>
        <v>0</v>
      </c>
      <c r="AN1463" s="272">
        <f>RTD("money.excel",,$G1463,"CumulativeVolume")</f>
        <v>0</v>
      </c>
      <c r="AO1463" s="284"/>
    </row>
    <row r="1464" spans="1:41">
      <c r="A1464" s="151" t="s">
        <v>4881</v>
      </c>
      <c r="B1464" s="85">
        <v>-714</v>
      </c>
      <c r="C1464" s="84">
        <v>23</v>
      </c>
      <c r="D1464" s="84">
        <v>0</v>
      </c>
      <c r="E1464" s="84">
        <v>4</v>
      </c>
      <c r="F1464" s="77">
        <v>-164.75</v>
      </c>
      <c r="G1464" s="85">
        <v>2841</v>
      </c>
      <c r="H1464" s="4" t="s">
        <v>1485</v>
      </c>
      <c r="I1464" s="23" t="s">
        <v>1536</v>
      </c>
      <c r="J1464" s="371">
        <v>38.24</v>
      </c>
      <c r="K1464" s="77">
        <v>6.1</v>
      </c>
      <c r="L1464" s="77">
        <v>0</v>
      </c>
      <c r="N1464" s="365">
        <f t="shared" si="418"/>
        <v>44.34</v>
      </c>
      <c r="O1464" s="343">
        <f t="shared" si="419"/>
        <v>38.24</v>
      </c>
      <c r="P1464" s="195" t="s">
        <v>5554</v>
      </c>
      <c r="Q1464" s="326">
        <f>IFERROR(VLOOKUP($G1464,主力整理!$A$2:$G$2301,6,0),"0")</f>
        <v>1</v>
      </c>
      <c r="T1464" s="339">
        <f t="shared" si="420"/>
        <v>1</v>
      </c>
      <c r="V1464" s="371">
        <v>0.06</v>
      </c>
      <c r="W1464" s="35">
        <v>0</v>
      </c>
      <c r="X1464" s="100">
        <v>-2.41</v>
      </c>
      <c r="Y1464" s="37" t="str">
        <f>RTD("money.excel",,"2841","Price")</f>
        <v>無資料</v>
      </c>
      <c r="Z1464" s="69"/>
      <c r="AA1464" s="16" t="e">
        <f t="shared" si="421"/>
        <v>#VALUE!</v>
      </c>
      <c r="AB1464" s="3" t="e">
        <f t="shared" si="422"/>
        <v>#VALUE!</v>
      </c>
      <c r="AD1464" s="23" t="s">
        <v>1536</v>
      </c>
      <c r="AG1464" s="34">
        <f t="shared" si="423"/>
        <v>0</v>
      </c>
      <c r="AH1464" s="44" t="s">
        <v>5081</v>
      </c>
      <c r="AI1464" s="128"/>
      <c r="AK1464" s="66">
        <f t="shared" si="416"/>
        <v>0</v>
      </c>
      <c r="AL1464" s="174">
        <f t="shared" si="417"/>
        <v>0</v>
      </c>
      <c r="AM1464" s="346">
        <f>RTD("money.excel",,$G1464,"PredictVolume")</f>
        <v>0</v>
      </c>
      <c r="AN1464" s="272">
        <f>RTD("money.excel",,$G1464,"CumulativeVolume")</f>
        <v>0</v>
      </c>
      <c r="AO1464" s="34"/>
    </row>
    <row r="1465" spans="1:41">
      <c r="A1465" s="135" t="s">
        <v>4882</v>
      </c>
      <c r="B1465" s="96">
        <v>-92</v>
      </c>
      <c r="C1465" s="96">
        <v>109</v>
      </c>
      <c r="D1465" s="96">
        <v>-40</v>
      </c>
      <c r="E1465" s="96">
        <v>-15</v>
      </c>
      <c r="F1465" s="59">
        <v>26.15</v>
      </c>
      <c r="G1465" s="85">
        <v>2923</v>
      </c>
      <c r="H1465" s="4" t="s">
        <v>1485</v>
      </c>
      <c r="I1465" s="23" t="s">
        <v>1549</v>
      </c>
      <c r="J1465" s="77">
        <v>99.31</v>
      </c>
      <c r="K1465" s="77">
        <v>99.19</v>
      </c>
      <c r="N1465" s="365">
        <f t="shared" si="418"/>
        <v>198.5</v>
      </c>
      <c r="O1465" s="343">
        <f t="shared" si="419"/>
        <v>99.31</v>
      </c>
      <c r="P1465" s="195" t="s">
        <v>5554</v>
      </c>
      <c r="Q1465" s="326" t="str">
        <f>IFERROR(VLOOKUP($G1465,主力整理!$A$2:$G$2301,6,0),"0")</f>
        <v>0</v>
      </c>
      <c r="T1465" s="339">
        <f t="shared" si="420"/>
        <v>0</v>
      </c>
      <c r="V1465" s="371">
        <v>58.55</v>
      </c>
      <c r="W1465" s="35">
        <v>1.2</v>
      </c>
      <c r="X1465" s="59">
        <v>0.68</v>
      </c>
      <c r="Y1465" s="14" t="str">
        <f>RTD("money.excel",,"2923","Price")</f>
        <v>無資料</v>
      </c>
      <c r="Z1465" s="69"/>
      <c r="AA1465" s="16" t="e">
        <f t="shared" si="421"/>
        <v>#VALUE!</v>
      </c>
      <c r="AB1465" s="3" t="e">
        <f t="shared" si="422"/>
        <v>#VALUE!</v>
      </c>
      <c r="AD1465" s="23" t="s">
        <v>1549</v>
      </c>
      <c r="AG1465" s="34">
        <f t="shared" si="423"/>
        <v>0</v>
      </c>
      <c r="AH1465" s="63" t="s">
        <v>4887</v>
      </c>
      <c r="AI1465" s="131"/>
      <c r="AK1465" s="66">
        <f t="shared" si="416"/>
        <v>0</v>
      </c>
      <c r="AL1465" s="174">
        <f t="shared" si="417"/>
        <v>0</v>
      </c>
      <c r="AM1465" s="346">
        <f>RTD("money.excel",,$G1465,"PredictVolume")</f>
        <v>0</v>
      </c>
      <c r="AN1465" s="272">
        <f>RTD("money.excel",,$G1465,"CumulativeVolume")</f>
        <v>0</v>
      </c>
      <c r="AO1465" s="284"/>
    </row>
    <row r="1466" spans="1:41">
      <c r="A1466" s="151" t="s">
        <v>2905</v>
      </c>
      <c r="B1466" s="96">
        <v>-49</v>
      </c>
      <c r="C1466" s="96">
        <v>-40</v>
      </c>
      <c r="D1466" s="96">
        <v>116</v>
      </c>
      <c r="E1466" s="96">
        <v>737</v>
      </c>
      <c r="F1466" s="7">
        <v>-14.06</v>
      </c>
      <c r="G1466" s="85">
        <v>3052</v>
      </c>
      <c r="H1466" s="4" t="s">
        <v>1485</v>
      </c>
      <c r="I1466" s="23" t="s">
        <v>1537</v>
      </c>
      <c r="J1466" s="77">
        <v>62.35</v>
      </c>
      <c r="K1466" s="77">
        <v>1.35</v>
      </c>
      <c r="L1466" s="77">
        <v>5.0199999999999996</v>
      </c>
      <c r="N1466" s="365">
        <f t="shared" si="418"/>
        <v>68.72</v>
      </c>
      <c r="O1466" s="343">
        <f t="shared" si="419"/>
        <v>62.35</v>
      </c>
      <c r="P1466" s="195" t="s">
        <v>5554</v>
      </c>
      <c r="Q1466" s="326" t="str">
        <f>IFERROR(VLOOKUP($G1466,主力整理!$A$2:$G$2301,6,0),"0")</f>
        <v>0</v>
      </c>
      <c r="T1466" s="339">
        <f t="shared" si="420"/>
        <v>0</v>
      </c>
      <c r="V1466" s="371">
        <v>7.09</v>
      </c>
      <c r="W1466" s="35">
        <v>0.8</v>
      </c>
      <c r="X1466" s="100">
        <v>1.59</v>
      </c>
      <c r="Y1466" s="14" t="str">
        <f>RTD("money.excel",,"3052","Price")</f>
        <v>無資料</v>
      </c>
      <c r="Z1466" s="69"/>
      <c r="AA1466" s="16" t="e">
        <f t="shared" si="421"/>
        <v>#VALUE!</v>
      </c>
      <c r="AB1466" s="3" t="e">
        <f t="shared" si="422"/>
        <v>#VALUE!</v>
      </c>
      <c r="AD1466" s="23" t="s">
        <v>1537</v>
      </c>
      <c r="AG1466" s="34">
        <f t="shared" si="423"/>
        <v>0</v>
      </c>
      <c r="AH1466" s="44" t="s">
        <v>2293</v>
      </c>
      <c r="AI1466" s="284"/>
      <c r="AK1466" s="66">
        <f t="shared" si="416"/>
        <v>0</v>
      </c>
      <c r="AL1466" s="174">
        <f t="shared" si="417"/>
        <v>0</v>
      </c>
      <c r="AM1466" s="346">
        <f>RTD("money.excel",,$G1466,"PredictVolume")</f>
        <v>0</v>
      </c>
      <c r="AN1466" s="272">
        <f>RTD("money.excel",,$G1466,"CumulativeVolume")</f>
        <v>0</v>
      </c>
      <c r="AO1466" s="284"/>
    </row>
    <row r="1467" spans="1:41">
      <c r="A1467" s="135" t="s">
        <v>3094</v>
      </c>
      <c r="B1467" s="84">
        <v>218</v>
      </c>
      <c r="C1467" s="84">
        <v>229</v>
      </c>
      <c r="D1467" s="84">
        <v>1</v>
      </c>
      <c r="E1467" s="84">
        <v>-99</v>
      </c>
      <c r="F1467" s="59">
        <v>23.8</v>
      </c>
      <c r="G1467" s="85">
        <v>3056</v>
      </c>
      <c r="H1467" s="4" t="s">
        <v>1485</v>
      </c>
      <c r="I1467" s="23" t="s">
        <v>1538</v>
      </c>
      <c r="J1467" s="77">
        <v>42.66</v>
      </c>
      <c r="K1467" s="77">
        <v>7.65</v>
      </c>
      <c r="L1467" s="77">
        <v>10.53</v>
      </c>
      <c r="N1467" s="365">
        <f t="shared" si="418"/>
        <v>60.839999999999996</v>
      </c>
      <c r="O1467" s="343">
        <f t="shared" si="419"/>
        <v>42.66</v>
      </c>
      <c r="P1467" s="195">
        <v>0</v>
      </c>
      <c r="Q1467" s="326">
        <v>2</v>
      </c>
      <c r="R1467" s="111">
        <v>0</v>
      </c>
      <c r="S1467" s="51">
        <v>0</v>
      </c>
      <c r="T1467" s="339">
        <f t="shared" si="420"/>
        <v>2</v>
      </c>
      <c r="U1467" s="329" t="s">
        <v>6539</v>
      </c>
      <c r="V1467" s="371">
        <v>0</v>
      </c>
      <c r="W1467" s="69">
        <v>4.4000000000000004</v>
      </c>
      <c r="X1467" s="100">
        <v>7.1</v>
      </c>
      <c r="Y1467" s="37" t="str">
        <f>RTD("money.excel",,"3056","Price")</f>
        <v>無資料</v>
      </c>
      <c r="Z1467" s="69"/>
      <c r="AA1467" s="16" t="e">
        <f t="shared" si="421"/>
        <v>#VALUE!</v>
      </c>
      <c r="AB1467" s="3" t="e">
        <f t="shared" si="422"/>
        <v>#VALUE!</v>
      </c>
      <c r="AC1467" s="177" t="s">
        <v>2700</v>
      </c>
      <c r="AD1467" s="23" t="s">
        <v>1538</v>
      </c>
      <c r="AG1467" s="34">
        <f t="shared" si="423"/>
        <v>0</v>
      </c>
      <c r="AH1467" s="63" t="s">
        <v>3180</v>
      </c>
      <c r="AI1467" s="131"/>
      <c r="AK1467" s="66">
        <f t="shared" si="416"/>
        <v>0</v>
      </c>
      <c r="AL1467" s="174">
        <f t="shared" si="417"/>
        <v>0</v>
      </c>
      <c r="AM1467" s="346">
        <f>RTD("money.excel",,$G1467,"PredictVolume")</f>
        <v>0</v>
      </c>
      <c r="AN1467" s="272">
        <f>RTD("money.excel",,$G1467,"CumulativeVolume")</f>
        <v>0</v>
      </c>
      <c r="AO1467" s="284"/>
    </row>
    <row r="1468" spans="1:41">
      <c r="A1468" s="151" t="s">
        <v>3033</v>
      </c>
      <c r="B1468" s="96">
        <v>-74</v>
      </c>
      <c r="C1468" s="96">
        <v>-64</v>
      </c>
      <c r="D1468" s="96">
        <v>108</v>
      </c>
      <c r="E1468" s="96">
        <v>270</v>
      </c>
      <c r="F1468" s="7">
        <v>9.7100000000000009</v>
      </c>
      <c r="G1468" s="85">
        <v>3188</v>
      </c>
      <c r="H1468" s="4" t="s">
        <v>1485</v>
      </c>
      <c r="I1468" s="17" t="s">
        <v>1488</v>
      </c>
      <c r="J1468" s="77">
        <v>76.989999999999995</v>
      </c>
      <c r="K1468" s="77">
        <v>0</v>
      </c>
      <c r="L1468" s="77">
        <v>4.24</v>
      </c>
      <c r="N1468" s="365">
        <f t="shared" si="418"/>
        <v>81.22999999999999</v>
      </c>
      <c r="O1468" s="343">
        <f t="shared" si="419"/>
        <v>76.989999999999995</v>
      </c>
      <c r="P1468" s="195" t="s">
        <v>5554</v>
      </c>
      <c r="Q1468" s="326">
        <f>IFERROR(VLOOKUP($G1468,主力整理!$A$2:$G$2301,6,0),"0")</f>
        <v>1</v>
      </c>
      <c r="T1468" s="339">
        <f t="shared" si="420"/>
        <v>1</v>
      </c>
      <c r="V1468" s="371">
        <v>48.12</v>
      </c>
      <c r="W1468" s="35">
        <v>0.3</v>
      </c>
      <c r="X1468" s="100">
        <v>0.49</v>
      </c>
      <c r="Y1468" s="37" t="str">
        <f>RTD("money.excel",,"3188","Price")</f>
        <v>無資料</v>
      </c>
      <c r="Z1468" s="69"/>
      <c r="AA1468" s="16" t="e">
        <f t="shared" si="421"/>
        <v>#VALUE!</v>
      </c>
      <c r="AB1468" s="3" t="e">
        <f t="shared" si="422"/>
        <v>#VALUE!</v>
      </c>
      <c r="AD1468" s="17" t="s">
        <v>1488</v>
      </c>
      <c r="AG1468" s="34">
        <f t="shared" si="423"/>
        <v>0</v>
      </c>
      <c r="AH1468" s="63" t="s">
        <v>4203</v>
      </c>
      <c r="AI1468" s="284"/>
      <c r="AK1468" s="66">
        <f t="shared" si="416"/>
        <v>0</v>
      </c>
      <c r="AL1468" s="174">
        <f t="shared" si="417"/>
        <v>0</v>
      </c>
      <c r="AM1468" s="346">
        <f>RTD("money.excel",,$G1468,"PredictVolume")</f>
        <v>0</v>
      </c>
      <c r="AN1468" s="272">
        <f>RTD("money.excel",,$G1468,"CumulativeVolume")</f>
        <v>0</v>
      </c>
      <c r="AO1468" s="284"/>
    </row>
    <row r="1469" spans="1:41">
      <c r="A1469" s="151" t="s">
        <v>4883</v>
      </c>
      <c r="B1469" s="96">
        <v>-30</v>
      </c>
      <c r="C1469" s="96">
        <v>-12</v>
      </c>
      <c r="D1469" s="96">
        <v>-38</v>
      </c>
      <c r="E1469" s="96">
        <v>-26</v>
      </c>
      <c r="F1469" s="7">
        <v>9.1300000000000008</v>
      </c>
      <c r="G1469" s="85">
        <v>3266</v>
      </c>
      <c r="H1469" s="4" t="s">
        <v>1485</v>
      </c>
      <c r="I1469" s="23" t="s">
        <v>1539</v>
      </c>
      <c r="J1469" s="77">
        <v>88.91</v>
      </c>
      <c r="K1469" s="77">
        <v>4.92</v>
      </c>
      <c r="L1469" s="77">
        <v>3.7</v>
      </c>
      <c r="N1469" s="365">
        <f t="shared" si="418"/>
        <v>97.53</v>
      </c>
      <c r="O1469" s="343">
        <f t="shared" si="419"/>
        <v>88.91</v>
      </c>
      <c r="P1469" s="195" t="s">
        <v>5554</v>
      </c>
      <c r="Q1469" s="326" t="str">
        <f>IFERROR(VLOOKUP($G1469,主力整理!$A$2:$G$2301,6,0),"0")</f>
        <v>0</v>
      </c>
      <c r="T1469" s="339">
        <f t="shared" si="420"/>
        <v>0</v>
      </c>
      <c r="V1469" s="371">
        <v>16.02</v>
      </c>
      <c r="W1469" s="35">
        <v>0</v>
      </c>
      <c r="X1469" s="100">
        <v>0.4</v>
      </c>
      <c r="Y1469" s="14" t="str">
        <f>RTD("money.excel",,"3266","Price")</f>
        <v>無資料</v>
      </c>
      <c r="Z1469" s="69"/>
      <c r="AA1469" s="16" t="e">
        <f t="shared" si="421"/>
        <v>#VALUE!</v>
      </c>
      <c r="AB1469" s="3" t="e">
        <f t="shared" si="422"/>
        <v>#VALUE!</v>
      </c>
      <c r="AD1469" s="23" t="s">
        <v>1539</v>
      </c>
      <c r="AG1469" s="34">
        <f t="shared" si="423"/>
        <v>0</v>
      </c>
      <c r="AH1469" s="44" t="s">
        <v>3180</v>
      </c>
      <c r="AI1469" s="131"/>
      <c r="AK1469" s="66">
        <f t="shared" si="416"/>
        <v>0</v>
      </c>
      <c r="AL1469" s="174">
        <f t="shared" si="417"/>
        <v>0</v>
      </c>
      <c r="AM1469" s="346">
        <f>RTD("money.excel",,$G1469,"PredictVolume")</f>
        <v>0</v>
      </c>
      <c r="AN1469" s="272">
        <f>RTD("money.excel",,$G1469,"CumulativeVolume")</f>
        <v>0</v>
      </c>
      <c r="AO1469" s="284"/>
    </row>
    <row r="1470" spans="1:41">
      <c r="A1470" s="151" t="s">
        <v>4637</v>
      </c>
      <c r="B1470" s="84">
        <v>1</v>
      </c>
      <c r="C1470" s="84">
        <v>16</v>
      </c>
      <c r="D1470" s="84">
        <v>5</v>
      </c>
      <c r="E1470" s="84">
        <v>270</v>
      </c>
      <c r="F1470" s="7">
        <v>6.44</v>
      </c>
      <c r="G1470" s="85">
        <v>3489</v>
      </c>
      <c r="H1470" s="4" t="s">
        <v>1485</v>
      </c>
      <c r="I1470" s="17" t="s">
        <v>1489</v>
      </c>
      <c r="J1470" s="371">
        <v>78.63</v>
      </c>
      <c r="K1470" s="77">
        <v>0.08</v>
      </c>
      <c r="L1470" s="77">
        <v>12.54</v>
      </c>
      <c r="N1470" s="365">
        <f t="shared" si="418"/>
        <v>91.25</v>
      </c>
      <c r="O1470" s="343">
        <f t="shared" si="419"/>
        <v>78.63</v>
      </c>
      <c r="P1470" s="195" t="s">
        <v>5554</v>
      </c>
      <c r="Q1470" s="326" t="str">
        <f>IFERROR(VLOOKUP($G1470,主力整理!$A$2:$G$2301,6,0),"0")</f>
        <v>0</v>
      </c>
      <c r="T1470" s="339">
        <f t="shared" si="420"/>
        <v>0</v>
      </c>
      <c r="V1470" s="371">
        <v>70.989999999999995</v>
      </c>
      <c r="W1470" s="35">
        <v>0.3</v>
      </c>
      <c r="X1470" s="59">
        <v>0.32</v>
      </c>
      <c r="Y1470" s="37" t="str">
        <f>RTD("money.excel",,"3489","Price")</f>
        <v>無資料</v>
      </c>
      <c r="Z1470" s="69"/>
      <c r="AA1470" s="16" t="e">
        <f t="shared" si="421"/>
        <v>#VALUE!</v>
      </c>
      <c r="AB1470" s="3" t="e">
        <f t="shared" si="422"/>
        <v>#VALUE!</v>
      </c>
      <c r="AD1470" s="17" t="s">
        <v>1489</v>
      </c>
      <c r="AG1470" s="34">
        <f t="shared" si="423"/>
        <v>0</v>
      </c>
      <c r="AH1470" s="44" t="s">
        <v>3180</v>
      </c>
      <c r="AI1470" s="131"/>
      <c r="AK1470" s="66">
        <f t="shared" si="416"/>
        <v>0</v>
      </c>
      <c r="AL1470" s="174">
        <f t="shared" si="417"/>
        <v>0</v>
      </c>
      <c r="AM1470" s="346">
        <f>RTD("money.excel",,$G1470,"PredictVolume")</f>
        <v>0</v>
      </c>
      <c r="AN1470" s="272">
        <f>RTD("money.excel",,$G1470,"CumulativeVolume")</f>
        <v>0</v>
      </c>
      <c r="AO1470" s="284"/>
    </row>
    <row r="1471" spans="1:41">
      <c r="A1471" s="151" t="s">
        <v>3250</v>
      </c>
      <c r="B1471" s="85">
        <v>-1</v>
      </c>
      <c r="C1471" s="85">
        <v>-11</v>
      </c>
      <c r="D1471" s="85">
        <v>-8</v>
      </c>
      <c r="E1471" s="84">
        <v>31</v>
      </c>
      <c r="F1471" s="7">
        <v>8.67</v>
      </c>
      <c r="G1471" s="85">
        <v>3703</v>
      </c>
      <c r="H1471" s="4" t="s">
        <v>1485</v>
      </c>
      <c r="I1471" s="23" t="s">
        <v>176</v>
      </c>
      <c r="J1471" s="77">
        <v>76.16</v>
      </c>
      <c r="K1471" s="77">
        <v>21.69</v>
      </c>
      <c r="L1471" s="371">
        <v>5.55</v>
      </c>
      <c r="N1471" s="365">
        <f t="shared" si="418"/>
        <v>103.39999999999999</v>
      </c>
      <c r="O1471" s="343">
        <f t="shared" si="419"/>
        <v>76.16</v>
      </c>
      <c r="P1471" s="195" t="s">
        <v>5554</v>
      </c>
      <c r="Q1471" s="326">
        <f>IFERROR(VLOOKUP($G1471,主力整理!$A$2:$G$2301,6,0),"0")</f>
        <v>6</v>
      </c>
      <c r="T1471" s="339">
        <f t="shared" si="420"/>
        <v>6</v>
      </c>
      <c r="V1471" s="371">
        <v>0.82</v>
      </c>
      <c r="W1471" s="35">
        <v>1.4</v>
      </c>
      <c r="X1471" s="100">
        <v>1.87</v>
      </c>
      <c r="Y1471" s="37" t="str">
        <f>RTD("money.excel",,"3703","Price")</f>
        <v>無資料</v>
      </c>
      <c r="Z1471" s="69"/>
      <c r="AA1471" s="16" t="e">
        <f t="shared" si="421"/>
        <v>#VALUE!</v>
      </c>
      <c r="AB1471" s="3" t="e">
        <f t="shared" si="422"/>
        <v>#VALUE!</v>
      </c>
      <c r="AC1471" s="177" t="s">
        <v>2648</v>
      </c>
      <c r="AD1471" s="23" t="s">
        <v>176</v>
      </c>
      <c r="AG1471" s="34">
        <f t="shared" si="423"/>
        <v>0</v>
      </c>
      <c r="AH1471" s="125" t="s">
        <v>3251</v>
      </c>
      <c r="AI1471" s="131"/>
      <c r="AK1471" s="66">
        <f t="shared" si="416"/>
        <v>0</v>
      </c>
      <c r="AL1471" s="174">
        <f t="shared" si="417"/>
        <v>0</v>
      </c>
      <c r="AM1471" s="346">
        <f>RTD("money.excel",,$G1471,"PredictVolume")</f>
        <v>0</v>
      </c>
      <c r="AN1471" s="272">
        <f>RTD("money.excel",,$G1471,"CumulativeVolume")</f>
        <v>0</v>
      </c>
      <c r="AO1471" s="284"/>
    </row>
    <row r="1472" spans="1:41">
      <c r="A1472" s="151" t="s">
        <v>3094</v>
      </c>
      <c r="B1472" s="85">
        <v>26</v>
      </c>
      <c r="C1472" s="85">
        <v>-136</v>
      </c>
      <c r="D1472" s="84">
        <v>10</v>
      </c>
      <c r="E1472" s="85">
        <v>-49</v>
      </c>
      <c r="F1472" s="59">
        <v>-19.88</v>
      </c>
      <c r="G1472" s="85">
        <v>4113</v>
      </c>
      <c r="H1472" s="4" t="s">
        <v>1485</v>
      </c>
      <c r="I1472" s="17" t="s">
        <v>1490</v>
      </c>
      <c r="J1472" s="77">
        <v>62.87</v>
      </c>
      <c r="K1472" s="77">
        <v>0.27</v>
      </c>
      <c r="L1472" s="77">
        <v>1.83</v>
      </c>
      <c r="N1472" s="365">
        <f t="shared" si="418"/>
        <v>64.97</v>
      </c>
      <c r="O1472" s="343">
        <f t="shared" si="419"/>
        <v>62.87</v>
      </c>
      <c r="P1472" s="195" t="s">
        <v>5554</v>
      </c>
      <c r="Q1472" s="326" t="str">
        <f>IFERROR(VLOOKUP($G1472,主力整理!$A$2:$G$2301,6,0),"0")</f>
        <v>0</v>
      </c>
      <c r="T1472" s="339">
        <f t="shared" si="420"/>
        <v>0</v>
      </c>
      <c r="V1472" s="371">
        <v>0</v>
      </c>
      <c r="W1472" s="35">
        <v>0.3</v>
      </c>
      <c r="X1472" s="59">
        <v>-0.5</v>
      </c>
      <c r="Y1472" s="37" t="str">
        <f>RTD("money.excel",,"4113","Price")</f>
        <v>無資料</v>
      </c>
      <c r="Z1472" s="69"/>
      <c r="AA1472" s="16" t="e">
        <f t="shared" si="421"/>
        <v>#VALUE!</v>
      </c>
      <c r="AB1472" s="3" t="e">
        <f t="shared" si="422"/>
        <v>#VALUE!</v>
      </c>
      <c r="AC1472" s="177" t="s">
        <v>2648</v>
      </c>
      <c r="AD1472" s="17" t="s">
        <v>1490</v>
      </c>
      <c r="AG1472" s="34">
        <f t="shared" si="423"/>
        <v>0</v>
      </c>
      <c r="AH1472" s="44" t="s">
        <v>3383</v>
      </c>
      <c r="AK1472" s="66">
        <f t="shared" si="416"/>
        <v>0</v>
      </c>
      <c r="AL1472" s="174">
        <f t="shared" si="417"/>
        <v>0</v>
      </c>
      <c r="AM1472" s="346">
        <f>RTD("money.excel",,$G1472,"PredictVolume")</f>
        <v>0</v>
      </c>
      <c r="AN1472" s="272">
        <f>RTD("money.excel",,$G1472,"CumulativeVolume")</f>
        <v>0</v>
      </c>
    </row>
    <row r="1473" spans="1:41">
      <c r="A1473" s="135" t="s">
        <v>3291</v>
      </c>
      <c r="B1473" s="96">
        <v>-1</v>
      </c>
      <c r="C1473" s="96">
        <v>182</v>
      </c>
      <c r="D1473" s="96">
        <v>2</v>
      </c>
      <c r="E1473" s="96">
        <v>0</v>
      </c>
      <c r="F1473" s="59">
        <v>13.4</v>
      </c>
      <c r="G1473" s="85">
        <v>4416</v>
      </c>
      <c r="H1473" s="4" t="s">
        <v>1485</v>
      </c>
      <c r="I1473" s="17" t="s">
        <v>1491</v>
      </c>
      <c r="J1473" s="77">
        <v>94.01</v>
      </c>
      <c r="K1473" s="77">
        <v>0</v>
      </c>
      <c r="L1473" s="77">
        <v>0.79</v>
      </c>
      <c r="N1473" s="365">
        <f t="shared" si="418"/>
        <v>94.800000000000011</v>
      </c>
      <c r="O1473" s="343">
        <f t="shared" si="419"/>
        <v>94.01</v>
      </c>
      <c r="P1473" s="195" t="s">
        <v>5554</v>
      </c>
      <c r="Q1473" s="326" t="str">
        <f>IFERROR(VLOOKUP($G1473,主力整理!$A$2:$G$2301,6,0),"0")</f>
        <v>0</v>
      </c>
      <c r="T1473" s="339">
        <f t="shared" si="420"/>
        <v>0</v>
      </c>
      <c r="V1473" s="371">
        <v>29.19</v>
      </c>
      <c r="W1473" s="35">
        <v>0</v>
      </c>
      <c r="X1473" s="100">
        <v>-1.95</v>
      </c>
      <c r="Y1473" s="37" t="str">
        <f>RTD("money.excel",,"4416","Price")</f>
        <v>無資料</v>
      </c>
      <c r="Z1473" s="69"/>
      <c r="AA1473" s="16" t="e">
        <f t="shared" si="421"/>
        <v>#VALUE!</v>
      </c>
      <c r="AB1473" s="3" t="e">
        <f t="shared" si="422"/>
        <v>#VALUE!</v>
      </c>
      <c r="AD1473" s="17" t="s">
        <v>1491</v>
      </c>
      <c r="AG1473" s="34">
        <f t="shared" si="423"/>
        <v>0</v>
      </c>
      <c r="AH1473" s="44" t="s">
        <v>4204</v>
      </c>
      <c r="AI1473" s="131"/>
      <c r="AK1473" s="66">
        <f t="shared" si="416"/>
        <v>0</v>
      </c>
      <c r="AL1473" s="174">
        <f t="shared" si="417"/>
        <v>0</v>
      </c>
      <c r="AM1473" s="346">
        <f>RTD("money.excel",,$G1473,"PredictVolume")</f>
        <v>0</v>
      </c>
      <c r="AN1473" s="272">
        <f>RTD("money.excel",,$G1473,"CumulativeVolume")</f>
        <v>0</v>
      </c>
      <c r="AO1473" s="284"/>
    </row>
    <row r="1474" spans="1:41">
      <c r="A1474" s="135" t="s">
        <v>2498</v>
      </c>
      <c r="B1474" s="85">
        <v>-11</v>
      </c>
      <c r="C1474" s="85">
        <v>-14</v>
      </c>
      <c r="D1474" s="85">
        <v>-19</v>
      </c>
      <c r="E1474" s="84">
        <v>61</v>
      </c>
      <c r="F1474" s="59">
        <v>11.02</v>
      </c>
      <c r="G1474" s="85">
        <v>4907</v>
      </c>
      <c r="H1474" s="4" t="s">
        <v>1485</v>
      </c>
      <c r="I1474" s="17" t="s">
        <v>1492</v>
      </c>
      <c r="J1474" s="371">
        <v>85.11</v>
      </c>
      <c r="K1474" s="77">
        <v>0.13</v>
      </c>
      <c r="L1474" s="77">
        <v>1.56</v>
      </c>
      <c r="N1474" s="365">
        <f t="shared" si="418"/>
        <v>86.8</v>
      </c>
      <c r="O1474" s="343">
        <f t="shared" si="419"/>
        <v>85.11</v>
      </c>
      <c r="P1474" s="195" t="s">
        <v>5554</v>
      </c>
      <c r="Q1474" s="326" t="str">
        <f>IFERROR(VLOOKUP($G1474,主力整理!$A$2:$G$2301,6,0),"0")</f>
        <v>0</v>
      </c>
      <c r="T1474" s="339">
        <f t="shared" si="420"/>
        <v>0</v>
      </c>
      <c r="V1474" s="371">
        <v>0</v>
      </c>
      <c r="W1474" s="35">
        <v>1.2</v>
      </c>
      <c r="X1474" s="59">
        <v>1.2</v>
      </c>
      <c r="Y1474" s="37" t="str">
        <f>RTD("money.excel",,"4907","Price")</f>
        <v>無資料</v>
      </c>
      <c r="Z1474" s="69"/>
      <c r="AA1474" s="16" t="e">
        <f t="shared" si="421"/>
        <v>#VALUE!</v>
      </c>
      <c r="AB1474" s="3" t="e">
        <f t="shared" si="422"/>
        <v>#VALUE!</v>
      </c>
      <c r="AD1474" s="17" t="s">
        <v>1492</v>
      </c>
      <c r="AG1474" s="34">
        <f t="shared" si="423"/>
        <v>0</v>
      </c>
      <c r="AH1474" s="63" t="s">
        <v>4205</v>
      </c>
      <c r="AI1474" s="131"/>
      <c r="AK1474" s="66">
        <f t="shared" si="416"/>
        <v>0</v>
      </c>
      <c r="AL1474" s="174">
        <f t="shared" si="417"/>
        <v>0</v>
      </c>
      <c r="AM1474" s="346">
        <f>RTD("money.excel",,$G1474,"PredictVolume")</f>
        <v>0</v>
      </c>
      <c r="AN1474" s="272">
        <f>RTD("money.excel",,$G1474,"CumulativeVolume")</f>
        <v>0</v>
      </c>
      <c r="AO1474" s="284"/>
    </row>
    <row r="1475" spans="1:41">
      <c r="A1475" s="135" t="s">
        <v>3200</v>
      </c>
      <c r="B1475" s="96">
        <v>-5</v>
      </c>
      <c r="C1475" s="96">
        <v>-4</v>
      </c>
      <c r="D1475" s="96">
        <v>-25</v>
      </c>
      <c r="E1475" s="96">
        <v>-23</v>
      </c>
      <c r="F1475" s="59">
        <v>19.55</v>
      </c>
      <c r="G1475" s="85">
        <v>5206</v>
      </c>
      <c r="H1475" s="4" t="s">
        <v>1485</v>
      </c>
      <c r="I1475" s="17" t="s">
        <v>1493</v>
      </c>
      <c r="J1475" s="77">
        <v>82.94</v>
      </c>
      <c r="K1475" s="77">
        <v>10.58</v>
      </c>
      <c r="L1475" s="77">
        <v>1.57</v>
      </c>
      <c r="N1475" s="365">
        <f t="shared" si="418"/>
        <v>95.089999999999989</v>
      </c>
      <c r="O1475" s="343">
        <f t="shared" si="419"/>
        <v>82.94</v>
      </c>
      <c r="P1475" s="195" t="s">
        <v>5554</v>
      </c>
      <c r="Q1475" s="326" t="str">
        <f>IFERROR(VLOOKUP($G1475,主力整理!$A$2:$G$2301,6,0),"0")</f>
        <v>0</v>
      </c>
      <c r="T1475" s="339">
        <f t="shared" si="420"/>
        <v>0</v>
      </c>
      <c r="V1475" s="371">
        <v>47.08</v>
      </c>
      <c r="W1475" s="35">
        <v>1.25</v>
      </c>
      <c r="X1475" s="100">
        <v>3.15</v>
      </c>
      <c r="Y1475" s="37" t="str">
        <f>RTD("money.excel",,"5206","Price")</f>
        <v>無資料</v>
      </c>
      <c r="Z1475" s="69"/>
      <c r="AA1475" s="16" t="e">
        <f t="shared" si="421"/>
        <v>#VALUE!</v>
      </c>
      <c r="AB1475" s="3" t="e">
        <f t="shared" si="422"/>
        <v>#VALUE!</v>
      </c>
      <c r="AD1475" s="17" t="s">
        <v>1493</v>
      </c>
      <c r="AG1475" s="34">
        <f t="shared" si="423"/>
        <v>0</v>
      </c>
      <c r="AH1475" s="63" t="s">
        <v>3180</v>
      </c>
      <c r="AI1475" s="131"/>
      <c r="AK1475" s="66">
        <f t="shared" si="416"/>
        <v>0</v>
      </c>
      <c r="AL1475" s="174">
        <f t="shared" si="417"/>
        <v>0</v>
      </c>
      <c r="AM1475" s="346">
        <f>RTD("money.excel",,$G1475,"PredictVolume")</f>
        <v>0</v>
      </c>
      <c r="AN1475" s="272">
        <f>RTD("money.excel",,$G1475,"CumulativeVolume")</f>
        <v>0</v>
      </c>
      <c r="AO1475" s="284"/>
    </row>
    <row r="1476" spans="1:41">
      <c r="A1476" s="151" t="s">
        <v>4751</v>
      </c>
      <c r="B1476" s="85">
        <v>-171</v>
      </c>
      <c r="C1476" s="84">
        <v>29</v>
      </c>
      <c r="D1476" s="84">
        <v>414</v>
      </c>
      <c r="E1476" s="84">
        <v>658</v>
      </c>
      <c r="F1476" s="7">
        <v>4.5599999999999996</v>
      </c>
      <c r="G1476" s="85">
        <v>5213</v>
      </c>
      <c r="H1476" s="4" t="s">
        <v>1485</v>
      </c>
      <c r="I1476" s="17" t="s">
        <v>1494</v>
      </c>
      <c r="J1476" s="371">
        <v>79.680000000000007</v>
      </c>
      <c r="K1476" s="77">
        <v>1.58</v>
      </c>
      <c r="L1476" s="371">
        <v>1.54</v>
      </c>
      <c r="N1476" s="365">
        <f t="shared" si="418"/>
        <v>82.800000000000011</v>
      </c>
      <c r="O1476" s="343">
        <f t="shared" si="419"/>
        <v>79.680000000000007</v>
      </c>
      <c r="P1476" s="195">
        <v>1</v>
      </c>
      <c r="Q1476" s="326" t="str">
        <f>IFERROR(VLOOKUP($G1476,主力整理!$A$2:$G$2301,6,0),"0")</f>
        <v>0</v>
      </c>
      <c r="T1476" s="339">
        <f t="shared" si="420"/>
        <v>1</v>
      </c>
      <c r="V1476" s="371">
        <v>0</v>
      </c>
      <c r="W1476" s="35">
        <v>2</v>
      </c>
      <c r="X1476" s="59">
        <v>1.76</v>
      </c>
      <c r="Y1476" s="37" t="str">
        <f>RTD("money.excel",,"5213","Price")</f>
        <v>無資料</v>
      </c>
      <c r="Z1476" s="69"/>
      <c r="AA1476" s="16" t="e">
        <f t="shared" si="421"/>
        <v>#VALUE!</v>
      </c>
      <c r="AB1476" s="3" t="e">
        <f t="shared" si="422"/>
        <v>#VALUE!</v>
      </c>
      <c r="AC1476" s="177" t="s">
        <v>2648</v>
      </c>
      <c r="AD1476" s="17" t="s">
        <v>1494</v>
      </c>
      <c r="AG1476" s="34">
        <f t="shared" si="423"/>
        <v>0</v>
      </c>
      <c r="AH1476" s="44" t="s">
        <v>3180</v>
      </c>
      <c r="AI1476" s="131"/>
      <c r="AK1476" s="66">
        <f t="shared" si="416"/>
        <v>0</v>
      </c>
      <c r="AL1476" s="174">
        <f t="shared" si="417"/>
        <v>0</v>
      </c>
      <c r="AM1476" s="346">
        <f>RTD("money.excel",,$G1476,"PredictVolume")</f>
        <v>0</v>
      </c>
      <c r="AN1476" s="272">
        <f>RTD("money.excel",,$G1476,"CumulativeVolume")</f>
        <v>0</v>
      </c>
      <c r="AO1476" s="284"/>
    </row>
    <row r="1477" spans="1:41">
      <c r="A1477" s="151" t="s">
        <v>2522</v>
      </c>
      <c r="B1477" s="85">
        <v>-634</v>
      </c>
      <c r="C1477" s="85">
        <v>-5</v>
      </c>
      <c r="D1477" s="84">
        <v>1</v>
      </c>
      <c r="E1477" s="84">
        <v>23</v>
      </c>
      <c r="F1477" s="7">
        <v>-78.25</v>
      </c>
      <c r="G1477" s="85">
        <v>5324</v>
      </c>
      <c r="H1477" s="4" t="s">
        <v>1485</v>
      </c>
      <c r="I1477" s="17" t="s">
        <v>1495</v>
      </c>
      <c r="J1477" s="77">
        <v>69.38</v>
      </c>
      <c r="K1477" s="77">
        <v>5.54</v>
      </c>
      <c r="L1477" s="371"/>
      <c r="N1477" s="365">
        <f t="shared" si="418"/>
        <v>74.92</v>
      </c>
      <c r="O1477" s="343">
        <f t="shared" si="419"/>
        <v>69.38</v>
      </c>
      <c r="P1477" s="195">
        <v>0</v>
      </c>
      <c r="Q1477" s="326" t="str">
        <f>IFERROR(VLOOKUP($G1477,主力整理!$A$2:$G$2301,6,0),"0")</f>
        <v>0</v>
      </c>
      <c r="R1477" s="111">
        <v>5</v>
      </c>
      <c r="S1477" s="51">
        <v>0</v>
      </c>
      <c r="T1477" s="339">
        <f t="shared" si="420"/>
        <v>5</v>
      </c>
      <c r="W1477" s="35">
        <v>0</v>
      </c>
      <c r="X1477" s="59">
        <v>-0.97</v>
      </c>
      <c r="Y1477" s="37" t="str">
        <f>RTD("money.excel",,"5324","Price")</f>
        <v>無資料</v>
      </c>
      <c r="Z1477" s="69"/>
      <c r="AA1477" s="16" t="e">
        <f t="shared" si="421"/>
        <v>#VALUE!</v>
      </c>
      <c r="AB1477" s="3" t="e">
        <f t="shared" si="422"/>
        <v>#VALUE!</v>
      </c>
      <c r="AD1477" s="17" t="s">
        <v>1495</v>
      </c>
      <c r="AG1477" s="34">
        <f t="shared" si="423"/>
        <v>0</v>
      </c>
      <c r="AH1477" s="44" t="s">
        <v>4206</v>
      </c>
      <c r="AI1477" s="131"/>
      <c r="AK1477" s="66">
        <f t="shared" si="416"/>
        <v>0</v>
      </c>
      <c r="AL1477" s="174">
        <f t="shared" si="417"/>
        <v>0</v>
      </c>
      <c r="AM1477" s="346">
        <f>RTD("money.excel",,$G1477,"PredictVolume")</f>
        <v>0</v>
      </c>
      <c r="AN1477" s="272">
        <f>RTD("money.excel",,$G1477,"CumulativeVolume")</f>
        <v>0</v>
      </c>
      <c r="AO1477" s="284"/>
    </row>
    <row r="1478" spans="1:41">
      <c r="A1478" s="135" t="s">
        <v>4706</v>
      </c>
      <c r="B1478" s="96">
        <v>-104</v>
      </c>
      <c r="C1478" s="96">
        <v>-106</v>
      </c>
      <c r="D1478" s="96">
        <v>0</v>
      </c>
      <c r="E1478" s="96">
        <v>-1</v>
      </c>
      <c r="F1478" s="156">
        <v>-924.9</v>
      </c>
      <c r="G1478" s="85">
        <v>5455</v>
      </c>
      <c r="H1478" s="4" t="s">
        <v>1485</v>
      </c>
      <c r="I1478" s="17" t="s">
        <v>4752</v>
      </c>
      <c r="J1478" s="77">
        <v>74.91</v>
      </c>
      <c r="K1478" s="77">
        <v>1.41</v>
      </c>
      <c r="L1478" s="77">
        <v>0.91</v>
      </c>
      <c r="N1478" s="365">
        <f t="shared" si="418"/>
        <v>77.22999999999999</v>
      </c>
      <c r="O1478" s="343">
        <f t="shared" si="419"/>
        <v>74.91</v>
      </c>
      <c r="P1478" s="195" t="s">
        <v>5554</v>
      </c>
      <c r="Q1478" s="326" t="str">
        <f>IFERROR(VLOOKUP($G1478,主力整理!$A$2:$G$2301,6,0),"0")</f>
        <v>0</v>
      </c>
      <c r="T1478" s="339">
        <f t="shared" si="420"/>
        <v>0</v>
      </c>
      <c r="V1478" s="371">
        <v>40.99</v>
      </c>
      <c r="W1478" s="35">
        <v>0</v>
      </c>
      <c r="X1478" s="100">
        <v>-0.21</v>
      </c>
      <c r="Y1478" s="37" t="str">
        <f>RTD("money.excel",,"5455","Price")</f>
        <v>無資料</v>
      </c>
      <c r="Z1478" s="69"/>
      <c r="AA1478" s="16" t="e">
        <f t="shared" si="421"/>
        <v>#VALUE!</v>
      </c>
      <c r="AB1478" s="3" t="e">
        <f t="shared" si="422"/>
        <v>#VALUE!</v>
      </c>
      <c r="AD1478" s="17" t="s">
        <v>4752</v>
      </c>
      <c r="AG1478" s="34">
        <f t="shared" si="423"/>
        <v>0</v>
      </c>
      <c r="AH1478" s="63" t="s">
        <v>4753</v>
      </c>
      <c r="AI1478" s="131"/>
      <c r="AK1478" s="66">
        <f t="shared" si="416"/>
        <v>0</v>
      </c>
      <c r="AL1478" s="174">
        <f t="shared" si="417"/>
        <v>0</v>
      </c>
      <c r="AM1478" s="346">
        <f>RTD("money.excel",,$G1478,"PredictVolume")</f>
        <v>0</v>
      </c>
      <c r="AN1478" s="272">
        <f>RTD("money.excel",,$G1478,"CumulativeVolume")</f>
        <v>0</v>
      </c>
      <c r="AO1478" s="284"/>
    </row>
    <row r="1479" spans="1:41">
      <c r="A1479" s="135" t="s">
        <v>2518</v>
      </c>
      <c r="B1479" s="84">
        <v>69</v>
      </c>
      <c r="C1479" s="84">
        <v>68</v>
      </c>
      <c r="D1479" s="84">
        <v>-78</v>
      </c>
      <c r="E1479" s="84">
        <v>73</v>
      </c>
      <c r="F1479" s="59">
        <v>23.12</v>
      </c>
      <c r="G1479" s="85">
        <v>5508</v>
      </c>
      <c r="H1479" s="4" t="s">
        <v>1485</v>
      </c>
      <c r="I1479" s="17" t="s">
        <v>1743</v>
      </c>
      <c r="J1479" s="77">
        <v>76.209999999999994</v>
      </c>
      <c r="K1479" s="77">
        <v>0.56000000000000005</v>
      </c>
      <c r="L1479" s="77">
        <v>7.26</v>
      </c>
      <c r="N1479" s="365">
        <f t="shared" si="418"/>
        <v>84.03</v>
      </c>
      <c r="O1479" s="343">
        <f t="shared" si="419"/>
        <v>76.209999999999994</v>
      </c>
      <c r="P1479" s="195" t="s">
        <v>5554</v>
      </c>
      <c r="Q1479" s="326" t="str">
        <f>IFERROR(VLOOKUP($G1479,主力整理!$A$2:$G$2301,6,0),"0")</f>
        <v>0</v>
      </c>
      <c r="T1479" s="339">
        <f t="shared" si="420"/>
        <v>0</v>
      </c>
      <c r="V1479" s="371">
        <v>0</v>
      </c>
      <c r="W1479" s="69">
        <v>3.34</v>
      </c>
      <c r="X1479" s="100">
        <v>3.72</v>
      </c>
      <c r="Y1479" s="37" t="str">
        <f>RTD("money.excel",,"5508","Price")</f>
        <v>無資料</v>
      </c>
      <c r="Z1479" s="69"/>
      <c r="AA1479" s="16" t="e">
        <f t="shared" si="421"/>
        <v>#VALUE!</v>
      </c>
      <c r="AB1479" s="3" t="e">
        <f t="shared" si="422"/>
        <v>#VALUE!</v>
      </c>
      <c r="AC1479" s="177" t="s">
        <v>2700</v>
      </c>
      <c r="AD1479" s="17" t="s">
        <v>1743</v>
      </c>
      <c r="AG1479" s="34">
        <f t="shared" si="423"/>
        <v>0</v>
      </c>
      <c r="AH1479" s="63" t="s">
        <v>3180</v>
      </c>
      <c r="AI1479" s="131"/>
      <c r="AK1479" s="66">
        <f t="shared" si="416"/>
        <v>0</v>
      </c>
      <c r="AL1479" s="174">
        <f t="shared" si="417"/>
        <v>0</v>
      </c>
      <c r="AM1479" s="346">
        <f>RTD("money.excel",,$G1479,"PredictVolume")</f>
        <v>0</v>
      </c>
      <c r="AN1479" s="272">
        <f>RTD("money.excel",,$G1479,"CumulativeVolume")</f>
        <v>0</v>
      </c>
      <c r="AO1479" s="284"/>
    </row>
    <row r="1480" spans="1:41">
      <c r="A1480" s="151" t="s">
        <v>3463</v>
      </c>
      <c r="B1480" s="96">
        <v>-32</v>
      </c>
      <c r="C1480" s="96">
        <v>-46</v>
      </c>
      <c r="D1480" s="96">
        <v>-60</v>
      </c>
      <c r="E1480" s="96">
        <v>28</v>
      </c>
      <c r="F1480" s="7">
        <v>6.47</v>
      </c>
      <c r="G1480" s="85">
        <v>5511</v>
      </c>
      <c r="H1480" s="4" t="s">
        <v>1485</v>
      </c>
      <c r="I1480" s="17" t="s">
        <v>1496</v>
      </c>
      <c r="J1480" s="77">
        <v>76.39</v>
      </c>
      <c r="K1480" s="77">
        <v>1.33</v>
      </c>
      <c r="L1480" s="77">
        <v>4</v>
      </c>
      <c r="N1480" s="365">
        <f t="shared" si="418"/>
        <v>81.72</v>
      </c>
      <c r="O1480" s="343">
        <f t="shared" si="419"/>
        <v>76.39</v>
      </c>
      <c r="P1480" s="195" t="s">
        <v>5554</v>
      </c>
      <c r="Q1480" s="326" t="str">
        <f>IFERROR(VLOOKUP($G1480,主力整理!$A$2:$G$2301,6,0),"0")</f>
        <v>0</v>
      </c>
      <c r="T1480" s="339">
        <f t="shared" si="420"/>
        <v>0</v>
      </c>
      <c r="V1480" s="371">
        <v>24.34</v>
      </c>
      <c r="W1480" s="35">
        <v>2</v>
      </c>
      <c r="X1480" s="100">
        <v>4.2</v>
      </c>
      <c r="Y1480" s="37" t="str">
        <f>RTD("money.excel",,"5511","Price")</f>
        <v>無資料</v>
      </c>
      <c r="Z1480" s="69"/>
      <c r="AA1480" s="16" t="e">
        <f t="shared" si="421"/>
        <v>#VALUE!</v>
      </c>
      <c r="AB1480" s="3" t="e">
        <f t="shared" si="422"/>
        <v>#VALUE!</v>
      </c>
      <c r="AD1480" s="17" t="s">
        <v>1496</v>
      </c>
      <c r="AG1480" s="34">
        <f t="shared" si="423"/>
        <v>0</v>
      </c>
      <c r="AH1480" s="44" t="s">
        <v>586</v>
      </c>
      <c r="AI1480" s="131"/>
      <c r="AK1480" s="66">
        <f t="shared" si="416"/>
        <v>0</v>
      </c>
      <c r="AL1480" s="174">
        <f t="shared" si="417"/>
        <v>0</v>
      </c>
      <c r="AM1480" s="346">
        <f>RTD("money.excel",,$G1480,"PredictVolume")</f>
        <v>0</v>
      </c>
      <c r="AN1480" s="272">
        <f>RTD("money.excel",,$G1480,"CumulativeVolume")</f>
        <v>0</v>
      </c>
      <c r="AO1480" s="284"/>
    </row>
    <row r="1481" spans="1:41">
      <c r="A1481" s="135" t="s">
        <v>4754</v>
      </c>
      <c r="B1481" s="85">
        <v>-80</v>
      </c>
      <c r="C1481" s="85">
        <v>-58</v>
      </c>
      <c r="D1481" s="85">
        <v>-32</v>
      </c>
      <c r="E1481" s="85">
        <v>-10</v>
      </c>
      <c r="F1481" s="59">
        <v>10.77</v>
      </c>
      <c r="G1481" s="85">
        <v>5512</v>
      </c>
      <c r="H1481" s="4" t="s">
        <v>1485</v>
      </c>
      <c r="I1481" s="17" t="s">
        <v>154</v>
      </c>
      <c r="J1481" s="371">
        <v>53.99</v>
      </c>
      <c r="K1481" s="77">
        <v>6.71</v>
      </c>
      <c r="L1481" s="371">
        <v>4.54</v>
      </c>
      <c r="N1481" s="365">
        <f t="shared" si="418"/>
        <v>65.240000000000009</v>
      </c>
      <c r="O1481" s="343">
        <f t="shared" si="419"/>
        <v>53.99</v>
      </c>
      <c r="P1481" s="195" t="s">
        <v>5554</v>
      </c>
      <c r="Q1481" s="326" t="str">
        <f>IFERROR(VLOOKUP($G1481,主力整理!$A$2:$G$2301,6,0),"0")</f>
        <v>0</v>
      </c>
      <c r="T1481" s="339">
        <f t="shared" si="420"/>
        <v>0</v>
      </c>
      <c r="V1481" s="371">
        <v>0</v>
      </c>
      <c r="W1481" s="35">
        <v>0.6</v>
      </c>
      <c r="X1481" s="59">
        <v>0.14000000000000001</v>
      </c>
      <c r="Y1481" s="37" t="str">
        <f>RTD("money.excel",,"5512","Price")</f>
        <v>無資料</v>
      </c>
      <c r="Z1481" s="69"/>
      <c r="AA1481" s="16" t="e">
        <f t="shared" si="421"/>
        <v>#VALUE!</v>
      </c>
      <c r="AB1481" s="3" t="e">
        <f t="shared" si="422"/>
        <v>#VALUE!</v>
      </c>
      <c r="AD1481" s="17" t="s">
        <v>154</v>
      </c>
      <c r="AG1481" s="34">
        <f t="shared" si="423"/>
        <v>0</v>
      </c>
      <c r="AH1481" s="126" t="s">
        <v>3180</v>
      </c>
      <c r="AI1481" s="131"/>
      <c r="AK1481" s="66">
        <f t="shared" si="416"/>
        <v>0</v>
      </c>
      <c r="AL1481" s="174">
        <f t="shared" si="417"/>
        <v>0</v>
      </c>
      <c r="AM1481" s="346">
        <f>RTD("money.excel",,$G1481,"PredictVolume")</f>
        <v>0</v>
      </c>
      <c r="AN1481" s="272">
        <f>RTD("money.excel",,$G1481,"CumulativeVolume")</f>
        <v>0</v>
      </c>
      <c r="AO1481" s="284"/>
    </row>
    <row r="1482" spans="1:41">
      <c r="A1482" s="135" t="s">
        <v>2509</v>
      </c>
      <c r="B1482" s="96">
        <v>-37</v>
      </c>
      <c r="C1482" s="96">
        <v>-41</v>
      </c>
      <c r="D1482" s="96">
        <v>4</v>
      </c>
      <c r="E1482" s="96">
        <v>-14</v>
      </c>
      <c r="F1482" s="59">
        <v>33.479999999999997</v>
      </c>
      <c r="G1482" s="85">
        <v>5514</v>
      </c>
      <c r="H1482" s="4" t="s">
        <v>1485</v>
      </c>
      <c r="I1482" s="17" t="s">
        <v>1497</v>
      </c>
      <c r="J1482" s="77">
        <v>87.15</v>
      </c>
      <c r="K1482" s="77">
        <v>0</v>
      </c>
      <c r="L1482" s="77">
        <v>1.21</v>
      </c>
      <c r="N1482" s="365">
        <f t="shared" si="418"/>
        <v>88.36</v>
      </c>
      <c r="O1482" s="343">
        <f t="shared" si="419"/>
        <v>87.15</v>
      </c>
      <c r="P1482" s="195" t="s">
        <v>5554</v>
      </c>
      <c r="Q1482" s="326" t="str">
        <f>IFERROR(VLOOKUP($G1482,主力整理!$A$2:$G$2301,6,0),"0")</f>
        <v>0</v>
      </c>
      <c r="T1482" s="339">
        <f t="shared" si="420"/>
        <v>0</v>
      </c>
      <c r="V1482" s="371">
        <v>21.3</v>
      </c>
      <c r="W1482" s="35">
        <v>1.2</v>
      </c>
      <c r="X1482" s="100">
        <v>1.1499999999999999</v>
      </c>
      <c r="Y1482" s="37" t="str">
        <f>RTD("money.excel",,"5514","Price")</f>
        <v>無資料</v>
      </c>
      <c r="Z1482" s="69"/>
      <c r="AA1482" s="16" t="e">
        <f t="shared" si="421"/>
        <v>#VALUE!</v>
      </c>
      <c r="AB1482" s="3" t="e">
        <f t="shared" si="422"/>
        <v>#VALUE!</v>
      </c>
      <c r="AD1482" s="17" t="s">
        <v>1497</v>
      </c>
      <c r="AG1482" s="34">
        <f t="shared" si="423"/>
        <v>0</v>
      </c>
      <c r="AH1482" s="63" t="s">
        <v>3180</v>
      </c>
      <c r="AI1482" s="131"/>
      <c r="AK1482" s="66">
        <f t="shared" si="416"/>
        <v>0</v>
      </c>
      <c r="AL1482" s="174">
        <f t="shared" si="417"/>
        <v>0</v>
      </c>
      <c r="AM1482" s="346">
        <f>RTD("money.excel",,$G1482,"PredictVolume")</f>
        <v>0</v>
      </c>
      <c r="AN1482" s="272">
        <f>RTD("money.excel",,$G1482,"CumulativeVolume")</f>
        <v>0</v>
      </c>
      <c r="AO1482" s="284"/>
    </row>
    <row r="1483" spans="1:41">
      <c r="A1483" s="151" t="s">
        <v>3117</v>
      </c>
      <c r="B1483" s="84">
        <v>69</v>
      </c>
      <c r="C1483" s="84">
        <v>25</v>
      </c>
      <c r="D1483" s="85">
        <v>-14</v>
      </c>
      <c r="E1483" s="84">
        <v>38</v>
      </c>
      <c r="F1483" s="7">
        <v>3.99</v>
      </c>
      <c r="G1483" s="85">
        <v>5515</v>
      </c>
      <c r="H1483" s="4" t="s">
        <v>1485</v>
      </c>
      <c r="I1483" s="23" t="s">
        <v>1540</v>
      </c>
      <c r="J1483" s="371">
        <v>61.62</v>
      </c>
      <c r="K1483" s="77">
        <v>5.36</v>
      </c>
      <c r="L1483" s="77">
        <v>3.48</v>
      </c>
      <c r="N1483" s="365">
        <f t="shared" si="418"/>
        <v>70.460000000000008</v>
      </c>
      <c r="O1483" s="343">
        <f t="shared" si="419"/>
        <v>61.62</v>
      </c>
      <c r="P1483" s="195" t="s">
        <v>5554</v>
      </c>
      <c r="Q1483" s="326" t="str">
        <f>IFERROR(VLOOKUP($G1483,主力整理!$A$2:$G$2301,6,0),"0")</f>
        <v>0</v>
      </c>
      <c r="T1483" s="339">
        <f t="shared" si="420"/>
        <v>0</v>
      </c>
      <c r="V1483" s="371">
        <v>0</v>
      </c>
      <c r="W1483" s="35">
        <v>0.8</v>
      </c>
      <c r="X1483" s="100">
        <v>1.43</v>
      </c>
      <c r="Y1483" s="37" t="str">
        <f>RTD("money.excel",,"5515","Price")</f>
        <v>無資料</v>
      </c>
      <c r="Z1483" s="69"/>
      <c r="AA1483" s="16" t="e">
        <f t="shared" si="421"/>
        <v>#VALUE!</v>
      </c>
      <c r="AB1483" s="3" t="e">
        <f t="shared" si="422"/>
        <v>#VALUE!</v>
      </c>
      <c r="AC1483" s="177" t="s">
        <v>2648</v>
      </c>
      <c r="AD1483" s="23" t="s">
        <v>1540</v>
      </c>
      <c r="AG1483" s="34">
        <f t="shared" si="423"/>
        <v>0</v>
      </c>
      <c r="AH1483" s="44" t="s">
        <v>3118</v>
      </c>
      <c r="AI1483" s="131"/>
      <c r="AK1483" s="66">
        <f t="shared" si="416"/>
        <v>0</v>
      </c>
      <c r="AL1483" s="174">
        <f t="shared" si="417"/>
        <v>0</v>
      </c>
      <c r="AM1483" s="346">
        <f>RTD("money.excel",,$G1483,"PredictVolume")</f>
        <v>0</v>
      </c>
      <c r="AN1483" s="272">
        <f>RTD("money.excel",,$G1483,"CumulativeVolume")</f>
        <v>0</v>
      </c>
      <c r="AO1483" s="284"/>
    </row>
    <row r="1484" spans="1:41">
      <c r="A1484" s="151" t="s">
        <v>3557</v>
      </c>
      <c r="B1484" s="96">
        <v>94</v>
      </c>
      <c r="C1484" s="96">
        <v>64</v>
      </c>
      <c r="D1484" s="96">
        <v>-59</v>
      </c>
      <c r="E1484" s="96">
        <v>691</v>
      </c>
      <c r="F1484" s="7">
        <v>5.17</v>
      </c>
      <c r="G1484" s="85">
        <v>5516</v>
      </c>
      <c r="H1484" s="4" t="s">
        <v>1485</v>
      </c>
      <c r="I1484" s="17" t="s">
        <v>1498</v>
      </c>
      <c r="J1484" s="77">
        <v>82.8</v>
      </c>
      <c r="K1484" s="77">
        <v>0</v>
      </c>
      <c r="L1484" s="77">
        <v>17.100000000000001</v>
      </c>
      <c r="N1484" s="365">
        <f t="shared" si="418"/>
        <v>99.9</v>
      </c>
      <c r="O1484" s="343">
        <f t="shared" si="419"/>
        <v>82.8</v>
      </c>
      <c r="P1484" s="195" t="s">
        <v>5554</v>
      </c>
      <c r="Q1484" s="326" t="str">
        <f>IFERROR(VLOOKUP($G1484,主力整理!$A$2:$G$2301,6,0),"0")</f>
        <v>0</v>
      </c>
      <c r="T1484" s="339">
        <f t="shared" si="420"/>
        <v>0</v>
      </c>
      <c r="V1484" s="371">
        <v>56.26</v>
      </c>
      <c r="W1484" s="35">
        <v>0.3</v>
      </c>
      <c r="X1484" s="100">
        <v>2.99</v>
      </c>
      <c r="Y1484" s="37" t="str">
        <f>RTD("money.excel",,"5516","Price")</f>
        <v>無資料</v>
      </c>
      <c r="Z1484" s="69"/>
      <c r="AA1484" s="16" t="e">
        <f t="shared" si="421"/>
        <v>#VALUE!</v>
      </c>
      <c r="AB1484" s="3" t="e">
        <f t="shared" si="422"/>
        <v>#VALUE!</v>
      </c>
      <c r="AD1484" s="17" t="s">
        <v>1498</v>
      </c>
      <c r="AG1484" s="34">
        <f t="shared" si="423"/>
        <v>0</v>
      </c>
      <c r="AH1484" s="44" t="s">
        <v>586</v>
      </c>
      <c r="AI1484" s="131"/>
      <c r="AK1484" s="66">
        <f t="shared" si="416"/>
        <v>0</v>
      </c>
      <c r="AL1484" s="174">
        <f t="shared" si="417"/>
        <v>0</v>
      </c>
      <c r="AM1484" s="346">
        <f>RTD("money.excel",,$G1484,"PredictVolume")</f>
        <v>0</v>
      </c>
      <c r="AN1484" s="272">
        <f>RTD("money.excel",,$G1484,"CumulativeVolume")</f>
        <v>0</v>
      </c>
      <c r="AO1484" s="284"/>
    </row>
    <row r="1485" spans="1:41">
      <c r="A1485" s="135" t="s">
        <v>4884</v>
      </c>
      <c r="B1485" s="96">
        <v>-36</v>
      </c>
      <c r="C1485" s="96">
        <v>-31</v>
      </c>
      <c r="D1485" s="96">
        <v>-93</v>
      </c>
      <c r="E1485" s="96">
        <v>-41</v>
      </c>
      <c r="F1485" s="59">
        <v>13.92</v>
      </c>
      <c r="G1485" s="85">
        <v>5519</v>
      </c>
      <c r="H1485" s="4" t="s">
        <v>1485</v>
      </c>
      <c r="I1485" s="23" t="s">
        <v>1541</v>
      </c>
      <c r="J1485" s="77">
        <v>65.27</v>
      </c>
      <c r="K1485" s="77">
        <v>0.86</v>
      </c>
      <c r="L1485" s="77">
        <v>7.55</v>
      </c>
      <c r="N1485" s="365">
        <f t="shared" si="418"/>
        <v>73.679999999999993</v>
      </c>
      <c r="O1485" s="343">
        <f t="shared" si="419"/>
        <v>65.27</v>
      </c>
      <c r="P1485" s="195" t="s">
        <v>5554</v>
      </c>
      <c r="Q1485" s="326" t="str">
        <f>IFERROR(VLOOKUP($G1485,主力整理!$A$2:$G$2301,6,0),"0")</f>
        <v>0</v>
      </c>
      <c r="T1485" s="339">
        <f t="shared" si="420"/>
        <v>0</v>
      </c>
      <c r="V1485" s="371">
        <v>17.45</v>
      </c>
      <c r="W1485" s="35">
        <v>1.8</v>
      </c>
      <c r="X1485" s="100">
        <v>2.0699999999999998</v>
      </c>
      <c r="Y1485" s="14" t="str">
        <f>RTD("money.excel",,"5519","Price")</f>
        <v>無資料</v>
      </c>
      <c r="Z1485" s="69"/>
      <c r="AA1485" s="16" t="e">
        <f t="shared" si="421"/>
        <v>#VALUE!</v>
      </c>
      <c r="AB1485" s="3" t="e">
        <f t="shared" si="422"/>
        <v>#VALUE!</v>
      </c>
      <c r="AD1485" s="23" t="s">
        <v>1541</v>
      </c>
      <c r="AG1485" s="34">
        <f t="shared" si="423"/>
        <v>0</v>
      </c>
      <c r="AH1485" s="63" t="s">
        <v>586</v>
      </c>
      <c r="AI1485" s="131"/>
      <c r="AK1485" s="66">
        <f t="shared" si="416"/>
        <v>0</v>
      </c>
      <c r="AL1485" s="174">
        <f t="shared" si="417"/>
        <v>0</v>
      </c>
      <c r="AM1485" s="346">
        <f>RTD("money.excel",,$G1485,"PredictVolume")</f>
        <v>0</v>
      </c>
      <c r="AN1485" s="272">
        <f>RTD("money.excel",,$G1485,"CumulativeVolume")</f>
        <v>0</v>
      </c>
      <c r="AO1485" s="284"/>
    </row>
    <row r="1486" spans="1:41">
      <c r="A1486" s="135" t="s">
        <v>2602</v>
      </c>
      <c r="B1486" s="96">
        <v>158</v>
      </c>
      <c r="C1486" s="96">
        <v>323</v>
      </c>
      <c r="D1486" s="96">
        <v>-3</v>
      </c>
      <c r="E1486" s="96">
        <v>30</v>
      </c>
      <c r="F1486" s="59">
        <v>13.08</v>
      </c>
      <c r="G1486" s="85">
        <v>5520</v>
      </c>
      <c r="H1486" s="4" t="s">
        <v>1485</v>
      </c>
      <c r="I1486" s="17" t="s">
        <v>1499</v>
      </c>
      <c r="J1486" s="77">
        <v>84.31</v>
      </c>
      <c r="K1486" s="77">
        <v>0</v>
      </c>
      <c r="L1486" s="77">
        <v>0.06</v>
      </c>
      <c r="N1486" s="365">
        <f t="shared" si="418"/>
        <v>84.37</v>
      </c>
      <c r="O1486" s="343">
        <f t="shared" si="419"/>
        <v>84.31</v>
      </c>
      <c r="P1486" s="195" t="s">
        <v>5554</v>
      </c>
      <c r="Q1486" s="326" t="str">
        <f>IFERROR(VLOOKUP($G1486,主力整理!$A$2:$G$2301,6,0),"0")</f>
        <v>0</v>
      </c>
      <c r="T1486" s="339">
        <f t="shared" si="420"/>
        <v>0</v>
      </c>
      <c r="V1486" s="371">
        <v>39.450000000000003</v>
      </c>
      <c r="W1486" s="35">
        <v>1.85</v>
      </c>
      <c r="X1486" s="100">
        <v>4.6900000000000004</v>
      </c>
      <c r="Y1486" s="37" t="str">
        <f>RTD("money.excel",,"5520","Price")</f>
        <v>無資料</v>
      </c>
      <c r="Z1486" s="69"/>
      <c r="AA1486" s="16" t="e">
        <f t="shared" si="421"/>
        <v>#VALUE!</v>
      </c>
      <c r="AB1486" s="3" t="e">
        <f t="shared" si="422"/>
        <v>#VALUE!</v>
      </c>
      <c r="AD1486" s="17" t="s">
        <v>1499</v>
      </c>
      <c r="AG1486" s="34">
        <f t="shared" si="423"/>
        <v>0</v>
      </c>
      <c r="AH1486" s="63" t="s">
        <v>4207</v>
      </c>
      <c r="AI1486" s="284"/>
      <c r="AK1486" s="66">
        <f t="shared" si="416"/>
        <v>0</v>
      </c>
      <c r="AL1486" s="174">
        <f t="shared" si="417"/>
        <v>0</v>
      </c>
      <c r="AM1486" s="346">
        <f>RTD("money.excel",,$G1486,"PredictVolume")</f>
        <v>0</v>
      </c>
      <c r="AN1486" s="272">
        <f>RTD("money.excel",,$G1486,"CumulativeVolume")</f>
        <v>0</v>
      </c>
      <c r="AO1486" s="284"/>
    </row>
    <row r="1487" spans="1:41">
      <c r="A1487" s="135" t="s">
        <v>4885</v>
      </c>
      <c r="B1487" s="215">
        <v>48952</v>
      </c>
      <c r="C1487" s="215">
        <v>40663</v>
      </c>
      <c r="D1487" s="96">
        <v>31</v>
      </c>
      <c r="E1487" s="96">
        <v>39</v>
      </c>
      <c r="F1487" s="59">
        <v>22.13</v>
      </c>
      <c r="G1487" s="85">
        <v>5521</v>
      </c>
      <c r="H1487" s="4" t="s">
        <v>1485</v>
      </c>
      <c r="I1487" s="23" t="s">
        <v>1542</v>
      </c>
      <c r="J1487" s="371">
        <v>61.24</v>
      </c>
      <c r="K1487" s="371">
        <v>7.99</v>
      </c>
      <c r="L1487" s="371">
        <v>22.88</v>
      </c>
      <c r="N1487" s="365">
        <f t="shared" si="418"/>
        <v>92.11</v>
      </c>
      <c r="O1487" s="343">
        <f t="shared" si="419"/>
        <v>61.24</v>
      </c>
      <c r="P1487" s="195" t="s">
        <v>5554</v>
      </c>
      <c r="Q1487" s="326">
        <f>IFERROR(VLOOKUP($G1487,主力整理!$A$2:$G$2301,6,0),"0")</f>
        <v>4</v>
      </c>
      <c r="T1487" s="339">
        <f t="shared" si="420"/>
        <v>4</v>
      </c>
      <c r="V1487" s="371">
        <v>4.6399999999999997</v>
      </c>
      <c r="W1487" s="35">
        <v>0</v>
      </c>
      <c r="X1487" s="100">
        <v>2.2599999999999998</v>
      </c>
      <c r="Y1487" s="14" t="str">
        <f>RTD("money.excel",,"5521","Price")</f>
        <v>無資料</v>
      </c>
      <c r="Z1487" s="69"/>
      <c r="AA1487" s="16" t="e">
        <f t="shared" si="421"/>
        <v>#VALUE!</v>
      </c>
      <c r="AB1487" s="3" t="e">
        <f t="shared" si="422"/>
        <v>#VALUE!</v>
      </c>
      <c r="AD1487" s="23" t="s">
        <v>1542</v>
      </c>
      <c r="AG1487" s="34">
        <f t="shared" si="423"/>
        <v>0</v>
      </c>
      <c r="AH1487" s="63" t="s">
        <v>586</v>
      </c>
      <c r="AI1487" s="131"/>
      <c r="AK1487" s="66">
        <f t="shared" si="416"/>
        <v>0</v>
      </c>
      <c r="AL1487" s="174">
        <f t="shared" si="417"/>
        <v>0</v>
      </c>
      <c r="AM1487" s="346">
        <f>RTD("money.excel",,$G1487,"PredictVolume")</f>
        <v>0</v>
      </c>
      <c r="AN1487" s="272">
        <f>RTD("money.excel",,$G1487,"CumulativeVolume")</f>
        <v>0</v>
      </c>
      <c r="AO1487" s="284"/>
    </row>
    <row r="1488" spans="1:41">
      <c r="A1488" s="151" t="s">
        <v>3200</v>
      </c>
      <c r="B1488" s="96">
        <v>-80</v>
      </c>
      <c r="C1488" s="96">
        <v>-73</v>
      </c>
      <c r="D1488" s="96">
        <v>-81</v>
      </c>
      <c r="E1488" s="145">
        <v>1624</v>
      </c>
      <c r="F1488" s="7">
        <v>5.15</v>
      </c>
      <c r="G1488" s="85">
        <v>5523</v>
      </c>
      <c r="H1488" s="4" t="s">
        <v>1485</v>
      </c>
      <c r="I1488" s="17" t="s">
        <v>1500</v>
      </c>
      <c r="J1488" s="77">
        <v>80.180000000000007</v>
      </c>
      <c r="K1488" s="77">
        <v>0</v>
      </c>
      <c r="L1488" s="77">
        <v>0.69</v>
      </c>
      <c r="N1488" s="365">
        <f t="shared" si="418"/>
        <v>80.87</v>
      </c>
      <c r="O1488" s="343">
        <f t="shared" si="419"/>
        <v>80.180000000000007</v>
      </c>
      <c r="P1488" s="195" t="s">
        <v>5554</v>
      </c>
      <c r="Q1488" s="326" t="str">
        <f>IFERROR(VLOOKUP($G1488,主力整理!$A$2:$G$2301,6,0),"0")</f>
        <v>0</v>
      </c>
      <c r="T1488" s="339">
        <f t="shared" si="420"/>
        <v>0</v>
      </c>
      <c r="V1488" s="371">
        <v>23.61</v>
      </c>
      <c r="W1488" s="35">
        <v>0.5</v>
      </c>
      <c r="X1488" s="100">
        <v>0.33</v>
      </c>
      <c r="Y1488" s="37" t="str">
        <f>RTD("money.excel",,"5523","Price")</f>
        <v>無資料</v>
      </c>
      <c r="Z1488" s="69"/>
      <c r="AA1488" s="16" t="e">
        <f t="shared" si="421"/>
        <v>#VALUE!</v>
      </c>
      <c r="AB1488" s="3" t="e">
        <f t="shared" si="422"/>
        <v>#VALUE!</v>
      </c>
      <c r="AD1488" s="17" t="s">
        <v>1500</v>
      </c>
      <c r="AG1488" s="34">
        <f t="shared" si="423"/>
        <v>0</v>
      </c>
      <c r="AH1488" s="44" t="s">
        <v>3180</v>
      </c>
      <c r="AI1488" s="28"/>
      <c r="AK1488" s="66">
        <f t="shared" si="416"/>
        <v>0</v>
      </c>
      <c r="AL1488" s="174">
        <f t="shared" si="417"/>
        <v>0</v>
      </c>
      <c r="AM1488" s="346">
        <f>RTD("money.excel",,$G1488,"PredictVolume")</f>
        <v>0</v>
      </c>
      <c r="AN1488" s="272">
        <f>RTD("money.excel",,$G1488,"CumulativeVolume")</f>
        <v>0</v>
      </c>
      <c r="AO1488" s="18"/>
    </row>
    <row r="1489" spans="1:41">
      <c r="A1489" s="135" t="s">
        <v>4886</v>
      </c>
      <c r="B1489" s="85">
        <v>-52</v>
      </c>
      <c r="C1489" s="85">
        <v>-52</v>
      </c>
      <c r="D1489" s="84">
        <v>23</v>
      </c>
      <c r="E1489" s="85">
        <v>-47</v>
      </c>
      <c r="F1489" s="59">
        <v>16.329999999999998</v>
      </c>
      <c r="G1489" s="85">
        <v>5525</v>
      </c>
      <c r="H1489" s="4" t="s">
        <v>1485</v>
      </c>
      <c r="I1489" s="23" t="s">
        <v>1543</v>
      </c>
      <c r="J1489" s="77">
        <v>84.79</v>
      </c>
      <c r="K1489" s="77">
        <v>2.2400000000000002</v>
      </c>
      <c r="L1489" s="77">
        <v>1.47</v>
      </c>
      <c r="N1489" s="365">
        <f t="shared" si="418"/>
        <v>88.5</v>
      </c>
      <c r="O1489" s="343">
        <f t="shared" si="419"/>
        <v>84.79</v>
      </c>
      <c r="P1489" s="195" t="s">
        <v>5554</v>
      </c>
      <c r="Q1489" s="326" t="str">
        <f>IFERROR(VLOOKUP($G1489,主力整理!$A$2:$G$2301,6,0),"0")</f>
        <v>0</v>
      </c>
      <c r="T1489" s="339">
        <f t="shared" si="420"/>
        <v>0</v>
      </c>
      <c r="V1489" s="371">
        <v>27.49</v>
      </c>
      <c r="W1489" s="35">
        <v>0.5</v>
      </c>
      <c r="X1489" s="100">
        <v>0.18</v>
      </c>
      <c r="Y1489" s="37" t="str">
        <f>RTD("money.excel",,"5525","Price")</f>
        <v>無資料</v>
      </c>
      <c r="Z1489" s="69"/>
      <c r="AA1489" s="16" t="e">
        <f t="shared" si="421"/>
        <v>#VALUE!</v>
      </c>
      <c r="AB1489" s="3" t="e">
        <f t="shared" si="422"/>
        <v>#VALUE!</v>
      </c>
      <c r="AC1489" s="177" t="s">
        <v>2648</v>
      </c>
      <c r="AD1489" s="23" t="s">
        <v>1543</v>
      </c>
      <c r="AG1489" s="34">
        <f t="shared" si="423"/>
        <v>0</v>
      </c>
      <c r="AH1489" s="63" t="s">
        <v>3180</v>
      </c>
      <c r="AI1489" s="131"/>
      <c r="AK1489" s="66">
        <f t="shared" si="416"/>
        <v>0</v>
      </c>
      <c r="AL1489" s="174">
        <f t="shared" si="417"/>
        <v>0</v>
      </c>
      <c r="AM1489" s="346">
        <f>RTD("money.excel",,$G1489,"PredictVolume")</f>
        <v>0</v>
      </c>
      <c r="AN1489" s="272">
        <f>RTD("money.excel",,$G1489,"CumulativeVolume")</f>
        <v>0</v>
      </c>
      <c r="AO1489" s="284"/>
    </row>
    <row r="1490" spans="1:41">
      <c r="A1490" s="151" t="s">
        <v>2580</v>
      </c>
      <c r="B1490" s="96">
        <v>12</v>
      </c>
      <c r="C1490" s="96">
        <v>70</v>
      </c>
      <c r="D1490" s="96">
        <v>128</v>
      </c>
      <c r="E1490" s="96">
        <v>-90</v>
      </c>
      <c r="F1490" s="7">
        <v>-10.68</v>
      </c>
      <c r="G1490" s="85">
        <v>5529</v>
      </c>
      <c r="H1490" s="4" t="s">
        <v>1485</v>
      </c>
      <c r="I1490" s="17" t="s">
        <v>1501</v>
      </c>
      <c r="J1490" s="77">
        <v>77.400000000000006</v>
      </c>
      <c r="K1490" s="77">
        <v>7.06</v>
      </c>
      <c r="N1490" s="365">
        <f t="shared" si="418"/>
        <v>84.460000000000008</v>
      </c>
      <c r="O1490" s="343">
        <f t="shared" si="419"/>
        <v>77.400000000000006</v>
      </c>
      <c r="P1490" s="195" t="s">
        <v>5554</v>
      </c>
      <c r="Q1490" s="326" t="str">
        <f>IFERROR(VLOOKUP($G1490,主力整理!$A$2:$G$2301,6,0),"0")</f>
        <v>0</v>
      </c>
      <c r="T1490" s="339">
        <f t="shared" si="420"/>
        <v>0</v>
      </c>
      <c r="V1490" s="371">
        <v>22.15</v>
      </c>
      <c r="W1490" s="35">
        <v>0</v>
      </c>
      <c r="X1490" s="100">
        <v>-1.51</v>
      </c>
      <c r="Y1490" s="37" t="str">
        <f>RTD("money.excel",,"5529","Price")</f>
        <v>無資料</v>
      </c>
      <c r="Z1490" s="69"/>
      <c r="AA1490" s="16" t="e">
        <f t="shared" si="421"/>
        <v>#VALUE!</v>
      </c>
      <c r="AB1490" s="3" t="e">
        <f t="shared" si="422"/>
        <v>#VALUE!</v>
      </c>
      <c r="AD1490" s="17" t="s">
        <v>1501</v>
      </c>
      <c r="AG1490" s="34">
        <f t="shared" si="423"/>
        <v>0</v>
      </c>
      <c r="AH1490" s="44" t="s">
        <v>3180</v>
      </c>
      <c r="AI1490" s="131"/>
      <c r="AK1490" s="66">
        <f t="shared" si="416"/>
        <v>0</v>
      </c>
      <c r="AL1490" s="174">
        <f t="shared" si="417"/>
        <v>0</v>
      </c>
      <c r="AM1490" s="346">
        <f>RTD("money.excel",,$G1490,"PredictVolume")</f>
        <v>0</v>
      </c>
      <c r="AN1490" s="272">
        <f>RTD("money.excel",,$G1490,"CumulativeVolume")</f>
        <v>0</v>
      </c>
      <c r="AO1490" s="284"/>
    </row>
    <row r="1491" spans="1:41">
      <c r="A1491" s="135" t="s">
        <v>3332</v>
      </c>
      <c r="B1491" s="84">
        <v>23</v>
      </c>
      <c r="C1491" s="85">
        <v>-510</v>
      </c>
      <c r="D1491" s="85">
        <v>-16</v>
      </c>
      <c r="E1491" s="85">
        <v>-44</v>
      </c>
      <c r="F1491" s="59">
        <v>-16.04</v>
      </c>
      <c r="G1491" s="85">
        <v>5531</v>
      </c>
      <c r="H1491" s="4" t="s">
        <v>1485</v>
      </c>
      <c r="I1491" s="23" t="s">
        <v>1544</v>
      </c>
      <c r="J1491" s="77">
        <v>84.15</v>
      </c>
      <c r="K1491" s="77">
        <v>6.18</v>
      </c>
      <c r="L1491" s="77">
        <v>4.45</v>
      </c>
      <c r="N1491" s="365">
        <f t="shared" si="418"/>
        <v>94.780000000000015</v>
      </c>
      <c r="O1491" s="343">
        <f t="shared" si="419"/>
        <v>84.15</v>
      </c>
      <c r="P1491" s="195" t="s">
        <v>5554</v>
      </c>
      <c r="Q1491" s="326">
        <f>IFERROR(VLOOKUP($G1491,主力整理!$A$2:$G$2301,6,0),"0")</f>
        <v>3</v>
      </c>
      <c r="T1491" s="339">
        <f t="shared" si="420"/>
        <v>3</v>
      </c>
      <c r="V1491" s="371">
        <v>0.13</v>
      </c>
      <c r="W1491" s="35">
        <v>0</v>
      </c>
      <c r="X1491" s="100">
        <v>0.17</v>
      </c>
      <c r="Y1491" s="37" t="str">
        <f>RTD("money.excel",,"5531","Price")</f>
        <v>無資料</v>
      </c>
      <c r="Z1491" s="69"/>
      <c r="AA1491" s="16" t="e">
        <f t="shared" si="421"/>
        <v>#VALUE!</v>
      </c>
      <c r="AB1491" s="3" t="e">
        <f t="shared" si="422"/>
        <v>#VALUE!</v>
      </c>
      <c r="AC1491" s="177" t="s">
        <v>2648</v>
      </c>
      <c r="AD1491" s="23" t="s">
        <v>1544</v>
      </c>
      <c r="AG1491" s="34">
        <f t="shared" si="423"/>
        <v>0</v>
      </c>
      <c r="AH1491" s="63" t="s">
        <v>3180</v>
      </c>
      <c r="AI1491" s="131"/>
      <c r="AK1491" s="66">
        <f t="shared" si="416"/>
        <v>0</v>
      </c>
      <c r="AL1491" s="174">
        <f t="shared" si="417"/>
        <v>0</v>
      </c>
      <c r="AM1491" s="346">
        <f>RTD("money.excel",,$G1491,"PredictVolume")</f>
        <v>0</v>
      </c>
      <c r="AN1491" s="272">
        <f>RTD("money.excel",,$G1491,"CumulativeVolume")</f>
        <v>0</v>
      </c>
      <c r="AO1491" s="284"/>
    </row>
    <row r="1492" spans="1:41">
      <c r="A1492" s="135" t="s">
        <v>3000</v>
      </c>
      <c r="B1492" s="85">
        <v>-24</v>
      </c>
      <c r="C1492" s="85">
        <v>-44</v>
      </c>
      <c r="D1492" s="85">
        <v>-79</v>
      </c>
      <c r="E1492" s="85">
        <v>-34</v>
      </c>
      <c r="F1492" s="7">
        <v>4.59</v>
      </c>
      <c r="G1492" s="85">
        <v>5533</v>
      </c>
      <c r="H1492" s="4" t="s">
        <v>1485</v>
      </c>
      <c r="I1492" s="23" t="s">
        <v>1545</v>
      </c>
      <c r="J1492" s="77">
        <v>86.99</v>
      </c>
      <c r="K1492" s="77">
        <v>2.95</v>
      </c>
      <c r="L1492" s="77">
        <v>2.31</v>
      </c>
      <c r="N1492" s="365">
        <f t="shared" si="418"/>
        <v>92.25</v>
      </c>
      <c r="O1492" s="343">
        <f t="shared" si="419"/>
        <v>86.99</v>
      </c>
      <c r="P1492" s="195" t="s">
        <v>5554</v>
      </c>
      <c r="Q1492" s="326" t="str">
        <f>IFERROR(VLOOKUP($G1492,主力整理!$A$2:$G$2301,6,0),"0")</f>
        <v>0</v>
      </c>
      <c r="T1492" s="339">
        <f t="shared" si="420"/>
        <v>0</v>
      </c>
      <c r="W1492" s="35">
        <v>0.6</v>
      </c>
      <c r="X1492" s="100">
        <v>0.85</v>
      </c>
      <c r="Y1492" s="37" t="str">
        <f>RTD("money.excel",,"5533","Price")</f>
        <v>無資料</v>
      </c>
      <c r="Z1492" s="69"/>
      <c r="AA1492" s="16" t="e">
        <f t="shared" si="421"/>
        <v>#VALUE!</v>
      </c>
      <c r="AB1492" s="3" t="e">
        <f t="shared" si="422"/>
        <v>#VALUE!</v>
      </c>
      <c r="AC1492" s="177" t="s">
        <v>2648</v>
      </c>
      <c r="AD1492" s="23" t="s">
        <v>1545</v>
      </c>
      <c r="AG1492" s="34">
        <f t="shared" si="423"/>
        <v>0</v>
      </c>
      <c r="AH1492" s="63" t="s">
        <v>3180</v>
      </c>
      <c r="AI1492" s="131"/>
      <c r="AK1492" s="66">
        <f t="shared" si="416"/>
        <v>0</v>
      </c>
      <c r="AL1492" s="174">
        <f t="shared" si="417"/>
        <v>0</v>
      </c>
      <c r="AM1492" s="346">
        <f>RTD("money.excel",,$G1492,"PredictVolume")</f>
        <v>0</v>
      </c>
      <c r="AN1492" s="272">
        <f>RTD("money.excel",,$G1492,"CumulativeVolume")</f>
        <v>0</v>
      </c>
      <c r="AO1492" s="284"/>
    </row>
    <row r="1493" spans="1:41">
      <c r="A1493" s="135" t="s">
        <v>3179</v>
      </c>
      <c r="B1493" s="85">
        <v>-84</v>
      </c>
      <c r="C1493" s="85">
        <v>-81</v>
      </c>
      <c r="D1493" s="84">
        <v>17</v>
      </c>
      <c r="E1493" s="85">
        <v>-93</v>
      </c>
      <c r="F1493" s="59">
        <v>22.11</v>
      </c>
      <c r="G1493" s="85">
        <v>5534</v>
      </c>
      <c r="H1493" s="4" t="s">
        <v>1485</v>
      </c>
      <c r="I1493" s="23" t="s">
        <v>1546</v>
      </c>
      <c r="J1493" s="77">
        <v>63.98</v>
      </c>
      <c r="K1493" s="77">
        <v>12.3</v>
      </c>
      <c r="L1493" s="77">
        <v>0.72</v>
      </c>
      <c r="N1493" s="365">
        <f t="shared" si="418"/>
        <v>77</v>
      </c>
      <c r="O1493" s="343">
        <f t="shared" si="419"/>
        <v>63.98</v>
      </c>
      <c r="P1493" s="195">
        <v>1</v>
      </c>
      <c r="Q1493" s="326" t="str">
        <f>IFERROR(VLOOKUP($G1493,主力整理!$A$2:$G$2301,6,0),"0")</f>
        <v>0</v>
      </c>
      <c r="R1493" s="111">
        <v>0</v>
      </c>
      <c r="S1493" s="51">
        <v>6</v>
      </c>
      <c r="T1493" s="339">
        <f t="shared" si="420"/>
        <v>7</v>
      </c>
      <c r="V1493" s="371">
        <v>0.76</v>
      </c>
      <c r="W1493" s="69">
        <v>5</v>
      </c>
      <c r="X1493" s="59">
        <v>4.8</v>
      </c>
      <c r="Y1493" s="37" t="str">
        <f>RTD("money.excel",,"5534","Price")</f>
        <v>無資料</v>
      </c>
      <c r="Z1493" s="69"/>
      <c r="AA1493" s="16" t="e">
        <f t="shared" si="421"/>
        <v>#VALUE!</v>
      </c>
      <c r="AB1493" s="3" t="e">
        <f t="shared" si="422"/>
        <v>#VALUE!</v>
      </c>
      <c r="AC1493" s="177" t="s">
        <v>2929</v>
      </c>
      <c r="AD1493" s="23" t="s">
        <v>1546</v>
      </c>
      <c r="AG1493" s="34">
        <f t="shared" si="423"/>
        <v>0</v>
      </c>
      <c r="AH1493" s="63" t="s">
        <v>3180</v>
      </c>
      <c r="AI1493" s="131"/>
      <c r="AK1493" s="66">
        <f t="shared" si="416"/>
        <v>0</v>
      </c>
      <c r="AL1493" s="174">
        <f t="shared" si="417"/>
        <v>0</v>
      </c>
      <c r="AM1493" s="346">
        <f>RTD("money.excel",,$G1493,"PredictVolume")</f>
        <v>0</v>
      </c>
      <c r="AN1493" s="272">
        <f>RTD("money.excel",,$G1493,"CumulativeVolume")</f>
        <v>0</v>
      </c>
      <c r="AO1493" s="284"/>
    </row>
    <row r="1494" spans="1:41">
      <c r="A1494" s="151" t="s">
        <v>4654</v>
      </c>
      <c r="B1494" s="84">
        <v>530</v>
      </c>
      <c r="C1494" s="84">
        <v>596</v>
      </c>
      <c r="D1494" s="85">
        <v>-7</v>
      </c>
      <c r="E1494" s="84">
        <v>85</v>
      </c>
      <c r="F1494" s="7">
        <v>8.36</v>
      </c>
      <c r="G1494" s="85">
        <v>5543</v>
      </c>
      <c r="H1494" s="4" t="s">
        <v>1485</v>
      </c>
      <c r="I1494" s="17" t="s">
        <v>4756</v>
      </c>
      <c r="J1494" s="371">
        <v>40.729999999999997</v>
      </c>
      <c r="K1494" s="77">
        <v>0.45</v>
      </c>
      <c r="N1494" s="365">
        <f t="shared" si="418"/>
        <v>41.18</v>
      </c>
      <c r="O1494" s="343">
        <f t="shared" si="419"/>
        <v>40.729999999999997</v>
      </c>
      <c r="P1494" s="232">
        <v>0</v>
      </c>
      <c r="Q1494" s="326" t="str">
        <f>IFERROR(VLOOKUP($G1494,主力整理!$A$2:$G$2301,6,0),"0")</f>
        <v>0</v>
      </c>
      <c r="R1494" s="111">
        <v>6</v>
      </c>
      <c r="S1494" s="51">
        <v>0</v>
      </c>
      <c r="T1494" s="339">
        <f t="shared" si="420"/>
        <v>6</v>
      </c>
      <c r="W1494" s="35">
        <v>1</v>
      </c>
      <c r="X1494" s="100">
        <v>2.95</v>
      </c>
      <c r="Y1494" s="37" t="str">
        <f>RTD("money.excel",,"5543","Price")</f>
        <v>無資料</v>
      </c>
      <c r="Z1494" s="69"/>
      <c r="AA1494" s="16" t="e">
        <f t="shared" si="421"/>
        <v>#VALUE!</v>
      </c>
      <c r="AB1494" s="3" t="e">
        <f t="shared" si="422"/>
        <v>#VALUE!</v>
      </c>
      <c r="AD1494" s="17" t="s">
        <v>4756</v>
      </c>
      <c r="AG1494" s="34">
        <f t="shared" si="423"/>
        <v>0</v>
      </c>
      <c r="AH1494" s="44" t="s">
        <v>4757</v>
      </c>
      <c r="AI1494" s="131"/>
      <c r="AK1494" s="66">
        <f t="shared" si="416"/>
        <v>0</v>
      </c>
      <c r="AL1494" s="174">
        <f t="shared" si="417"/>
        <v>0</v>
      </c>
      <c r="AM1494" s="346">
        <f>RTD("money.excel",,$G1494,"PredictVolume")</f>
        <v>0</v>
      </c>
      <c r="AN1494" s="272">
        <f>RTD("money.excel",,$G1494,"CumulativeVolume")</f>
        <v>0</v>
      </c>
      <c r="AO1494" s="284"/>
    </row>
    <row r="1495" spans="1:41">
      <c r="A1495" s="135" t="s">
        <v>3425</v>
      </c>
      <c r="B1495" s="84">
        <v>80</v>
      </c>
      <c r="C1495" s="84">
        <v>55</v>
      </c>
      <c r="D1495" s="84">
        <v>5</v>
      </c>
      <c r="E1495" s="85">
        <v>-4</v>
      </c>
      <c r="F1495" s="59">
        <v>18.11</v>
      </c>
      <c r="G1495" s="85">
        <v>5546</v>
      </c>
      <c r="H1495" s="4" t="s">
        <v>1485</v>
      </c>
      <c r="I1495" s="23" t="s">
        <v>2954</v>
      </c>
      <c r="J1495" s="371">
        <v>72.16</v>
      </c>
      <c r="K1495" s="77">
        <v>55.06</v>
      </c>
      <c r="L1495" s="77">
        <v>2.38</v>
      </c>
      <c r="N1495" s="365">
        <f t="shared" ref="N1495:N1526" si="424">J1495+K1495+L1495+M1495</f>
        <v>129.6</v>
      </c>
      <c r="O1495" s="343">
        <f t="shared" ref="O1495:O1504" si="425">J1495+M1495</f>
        <v>72.16</v>
      </c>
      <c r="P1495" s="195" t="s">
        <v>5554</v>
      </c>
      <c r="Q1495" s="326" t="str">
        <f>IFERROR(VLOOKUP($G1495,主力整理!$A$2:$G$2301,6,0),"0")</f>
        <v>0</v>
      </c>
      <c r="T1495" s="339">
        <f t="shared" ref="T1495:T1526" si="426">SUM(P1495:S1495)</f>
        <v>0</v>
      </c>
      <c r="V1495" s="371">
        <v>0.09</v>
      </c>
      <c r="W1495" s="69">
        <v>6</v>
      </c>
      <c r="X1495" s="100">
        <v>10.16</v>
      </c>
      <c r="Y1495" s="14" t="str">
        <f>RTD("money.excel",,"5546","Price")</f>
        <v>無資料</v>
      </c>
      <c r="Z1495" s="69"/>
      <c r="AA1495" s="16" t="e">
        <f t="shared" ref="AA1495:AA1526" si="427">Y1495-Z1495</f>
        <v>#VALUE!</v>
      </c>
      <c r="AB1495" s="3" t="e">
        <f t="shared" ref="AB1495:AB1526" si="428">AA1495/Z1495</f>
        <v>#VALUE!</v>
      </c>
      <c r="AC1495" s="177" t="s">
        <v>2700</v>
      </c>
      <c r="AD1495" s="23" t="s">
        <v>2954</v>
      </c>
      <c r="AG1495" s="34">
        <f t="shared" ref="AG1495:AG1526" si="429">AF1495-AE1495</f>
        <v>0</v>
      </c>
      <c r="AH1495" s="126" t="s">
        <v>3050</v>
      </c>
      <c r="AI1495" s="131"/>
      <c r="AK1495" s="66">
        <f t="shared" si="416"/>
        <v>0</v>
      </c>
      <c r="AL1495" s="174">
        <f t="shared" si="417"/>
        <v>0</v>
      </c>
      <c r="AM1495" s="346">
        <f>RTD("money.excel",,$G1495,"PredictVolume")</f>
        <v>0</v>
      </c>
      <c r="AN1495" s="272">
        <f>RTD("money.excel",,$G1495,"CumulativeVolume")</f>
        <v>0</v>
      </c>
      <c r="AO1495" s="284"/>
    </row>
    <row r="1496" spans="1:41">
      <c r="A1496" s="135" t="s">
        <v>2922</v>
      </c>
      <c r="B1496" s="98">
        <v>1342</v>
      </c>
      <c r="C1496" s="98">
        <v>1314</v>
      </c>
      <c r="D1496" s="85">
        <v>-96</v>
      </c>
      <c r="E1496" s="85">
        <v>-99</v>
      </c>
      <c r="F1496" s="59">
        <v>24.43</v>
      </c>
      <c r="G1496" s="85">
        <v>6171</v>
      </c>
      <c r="H1496" s="4" t="s">
        <v>1485</v>
      </c>
      <c r="I1496" s="17" t="s">
        <v>6465</v>
      </c>
      <c r="J1496" s="77">
        <v>76.44</v>
      </c>
      <c r="K1496" s="371">
        <v>1.32</v>
      </c>
      <c r="L1496" s="77">
        <v>2.87</v>
      </c>
      <c r="N1496" s="365">
        <f t="shared" si="424"/>
        <v>80.63</v>
      </c>
      <c r="O1496" s="343">
        <f t="shared" si="425"/>
        <v>76.44</v>
      </c>
      <c r="P1496" s="195">
        <v>0</v>
      </c>
      <c r="Q1496" s="326" t="str">
        <f>IFERROR(VLOOKUP($G1496,主力整理!$A$2:$G$2301,6,0),"0")</f>
        <v>0</v>
      </c>
      <c r="R1496" s="111">
        <v>4</v>
      </c>
      <c r="S1496" s="51">
        <v>0</v>
      </c>
      <c r="T1496" s="339">
        <f t="shared" si="426"/>
        <v>4</v>
      </c>
      <c r="V1496" s="371">
        <v>0.48</v>
      </c>
      <c r="W1496" s="35">
        <v>2.5</v>
      </c>
      <c r="X1496" s="59">
        <v>6.31</v>
      </c>
      <c r="Y1496" s="37" t="str">
        <f>RTD("money.excel",,"6171","Price")</f>
        <v>無資料</v>
      </c>
      <c r="Z1496" s="69"/>
      <c r="AA1496" s="16" t="e">
        <f t="shared" si="427"/>
        <v>#VALUE!</v>
      </c>
      <c r="AB1496" s="3" t="e">
        <f t="shared" si="428"/>
        <v>#VALUE!</v>
      </c>
      <c r="AD1496" s="17" t="s">
        <v>6465</v>
      </c>
      <c r="AG1496" s="34">
        <f t="shared" si="429"/>
        <v>0</v>
      </c>
      <c r="AH1496" s="63" t="s">
        <v>1485</v>
      </c>
      <c r="AI1496" s="131"/>
      <c r="AK1496" s="66">
        <f t="shared" si="416"/>
        <v>0</v>
      </c>
      <c r="AL1496" s="174">
        <f t="shared" si="417"/>
        <v>0</v>
      </c>
      <c r="AM1496" s="346">
        <f>RTD("money.excel",,$G1496,"PredictVolume")</f>
        <v>0</v>
      </c>
      <c r="AN1496" s="272">
        <f>RTD("money.excel",,$G1496,"CumulativeVolume")</f>
        <v>0</v>
      </c>
      <c r="AO1496" s="284"/>
    </row>
    <row r="1497" spans="1:41">
      <c r="A1497" s="135" t="s">
        <v>3314</v>
      </c>
      <c r="B1497" s="85">
        <v>-81</v>
      </c>
      <c r="C1497" s="85">
        <v>-72</v>
      </c>
      <c r="D1497" s="85">
        <v>-1</v>
      </c>
      <c r="E1497" s="85">
        <v>-80</v>
      </c>
      <c r="F1497" s="59">
        <v>13.67</v>
      </c>
      <c r="G1497" s="85">
        <v>6177</v>
      </c>
      <c r="H1497" s="4" t="s">
        <v>1485</v>
      </c>
      <c r="I1497" s="23" t="s">
        <v>1547</v>
      </c>
      <c r="J1497" s="371">
        <v>66.959999999999994</v>
      </c>
      <c r="K1497" s="371">
        <v>2.08</v>
      </c>
      <c r="L1497" s="77">
        <v>6.69</v>
      </c>
      <c r="N1497" s="365">
        <f t="shared" si="424"/>
        <v>75.72999999999999</v>
      </c>
      <c r="O1497" s="343">
        <f t="shared" si="425"/>
        <v>66.959999999999994</v>
      </c>
      <c r="P1497" s="195">
        <v>1</v>
      </c>
      <c r="Q1497" s="326">
        <f>IFERROR(VLOOKUP($G1497,主力整理!$A$2:$G$2301,6,0),"0")</f>
        <v>1</v>
      </c>
      <c r="T1497" s="339">
        <f t="shared" si="426"/>
        <v>2</v>
      </c>
      <c r="V1497" s="371">
        <v>0.04</v>
      </c>
      <c r="W1497" s="69">
        <v>3</v>
      </c>
      <c r="X1497" s="100">
        <v>0.55000000000000004</v>
      </c>
      <c r="Y1497" s="37" t="str">
        <f>RTD("money.excel",,"6177","Price")</f>
        <v>無資料</v>
      </c>
      <c r="Z1497" s="69"/>
      <c r="AA1497" s="16" t="e">
        <f t="shared" si="427"/>
        <v>#VALUE!</v>
      </c>
      <c r="AB1497" s="3" t="e">
        <f t="shared" si="428"/>
        <v>#VALUE!</v>
      </c>
      <c r="AC1497" s="177" t="s">
        <v>2929</v>
      </c>
      <c r="AD1497" s="23" t="s">
        <v>1547</v>
      </c>
      <c r="AG1497" s="34">
        <f t="shared" si="429"/>
        <v>0</v>
      </c>
      <c r="AH1497" s="44" t="s">
        <v>3180</v>
      </c>
      <c r="AI1497" s="131"/>
      <c r="AK1497" s="66">
        <f t="shared" si="416"/>
        <v>0</v>
      </c>
      <c r="AL1497" s="174">
        <f t="shared" si="417"/>
        <v>0</v>
      </c>
      <c r="AM1497" s="346">
        <f>RTD("money.excel",,$G1497,"PredictVolume")</f>
        <v>0</v>
      </c>
      <c r="AN1497" s="272">
        <f>RTD("money.excel",,$G1497,"CumulativeVolume")</f>
        <v>0</v>
      </c>
      <c r="AO1497" s="284"/>
    </row>
    <row r="1498" spans="1:41">
      <c r="A1498" s="135" t="s">
        <v>3088</v>
      </c>
      <c r="B1498" s="98">
        <v>4456</v>
      </c>
      <c r="C1498" s="98">
        <v>2983</v>
      </c>
      <c r="D1498" s="84">
        <v>100</v>
      </c>
      <c r="E1498" s="85">
        <v>-86</v>
      </c>
      <c r="F1498" s="59">
        <v>16</v>
      </c>
      <c r="G1498" s="85">
        <v>6186</v>
      </c>
      <c r="H1498" s="4" t="s">
        <v>1485</v>
      </c>
      <c r="I1498" s="17" t="s">
        <v>1502</v>
      </c>
      <c r="J1498" s="77">
        <v>52.55</v>
      </c>
      <c r="K1498" s="371">
        <v>0.98</v>
      </c>
      <c r="L1498" s="77">
        <v>10.62</v>
      </c>
      <c r="N1498" s="365">
        <f t="shared" si="424"/>
        <v>64.149999999999991</v>
      </c>
      <c r="O1498" s="343">
        <f t="shared" si="425"/>
        <v>52.55</v>
      </c>
      <c r="P1498" s="195">
        <v>1</v>
      </c>
      <c r="Q1498" s="326" t="str">
        <f>IFERROR(VLOOKUP($G1498,主力整理!$A$2:$G$2301,6,0),"0")</f>
        <v>0</v>
      </c>
      <c r="T1498" s="339">
        <f t="shared" si="426"/>
        <v>1</v>
      </c>
      <c r="V1498" s="371">
        <v>0.34</v>
      </c>
      <c r="W1498" s="69">
        <v>3</v>
      </c>
      <c r="X1498" s="100">
        <v>3.68</v>
      </c>
      <c r="Y1498" s="37" t="str">
        <f>RTD("money.excel",,"6186","Price")</f>
        <v>無資料</v>
      </c>
      <c r="Z1498" s="69"/>
      <c r="AA1498" s="16" t="e">
        <f t="shared" si="427"/>
        <v>#VALUE!</v>
      </c>
      <c r="AB1498" s="3" t="e">
        <f t="shared" si="428"/>
        <v>#VALUE!</v>
      </c>
      <c r="AC1498" s="177" t="s">
        <v>2929</v>
      </c>
      <c r="AD1498" s="17" t="s">
        <v>1502</v>
      </c>
      <c r="AG1498" s="34">
        <f t="shared" si="429"/>
        <v>0</v>
      </c>
      <c r="AH1498" s="63" t="s">
        <v>3180</v>
      </c>
      <c r="AI1498" s="131"/>
      <c r="AK1498" s="66">
        <f t="shared" si="416"/>
        <v>0</v>
      </c>
      <c r="AL1498" s="174">
        <f t="shared" si="417"/>
        <v>0</v>
      </c>
      <c r="AM1498" s="346">
        <f>RTD("money.excel",,$G1498,"PredictVolume")</f>
        <v>0</v>
      </c>
      <c r="AN1498" s="272">
        <f>RTD("money.excel",,$G1498,"CumulativeVolume")</f>
        <v>0</v>
      </c>
      <c r="AO1498" s="284"/>
    </row>
    <row r="1499" spans="1:41">
      <c r="A1499" s="151" t="s">
        <v>2668</v>
      </c>
      <c r="B1499" s="96">
        <v>295</v>
      </c>
      <c r="C1499" s="96">
        <v>602</v>
      </c>
      <c r="D1499" s="96">
        <v>-78</v>
      </c>
      <c r="E1499" s="96">
        <v>235</v>
      </c>
      <c r="F1499" s="7">
        <v>8.4</v>
      </c>
      <c r="G1499" s="85">
        <v>6212</v>
      </c>
      <c r="H1499" s="4" t="s">
        <v>1485</v>
      </c>
      <c r="I1499" s="17" t="s">
        <v>1503</v>
      </c>
      <c r="J1499" s="77">
        <v>89.3</v>
      </c>
      <c r="K1499" s="77">
        <v>31.91</v>
      </c>
      <c r="L1499" s="77">
        <v>1.04</v>
      </c>
      <c r="N1499" s="365">
        <f t="shared" si="424"/>
        <v>122.25</v>
      </c>
      <c r="O1499" s="343">
        <f t="shared" si="425"/>
        <v>89.3</v>
      </c>
      <c r="P1499" s="195" t="s">
        <v>5554</v>
      </c>
      <c r="Q1499" s="326" t="str">
        <f>IFERROR(VLOOKUP($G1499,主力整理!$A$2:$G$2301,6,0),"0")</f>
        <v>0</v>
      </c>
      <c r="T1499" s="339">
        <f t="shared" si="426"/>
        <v>0</v>
      </c>
      <c r="V1499" s="371">
        <v>9.93</v>
      </c>
      <c r="W1499" s="69">
        <v>3</v>
      </c>
      <c r="X1499" s="100">
        <v>3.42</v>
      </c>
      <c r="Y1499" s="37" t="str">
        <f>RTD("money.excel",,"6212","Price")</f>
        <v>無資料</v>
      </c>
      <c r="Z1499" s="69"/>
      <c r="AA1499" s="16" t="e">
        <f t="shared" si="427"/>
        <v>#VALUE!</v>
      </c>
      <c r="AB1499" s="3" t="e">
        <f t="shared" si="428"/>
        <v>#VALUE!</v>
      </c>
      <c r="AC1499" s="177" t="s">
        <v>2700</v>
      </c>
      <c r="AD1499" s="17" t="s">
        <v>1503</v>
      </c>
      <c r="AG1499" s="34">
        <f t="shared" si="429"/>
        <v>0</v>
      </c>
      <c r="AH1499" s="63" t="s">
        <v>3180</v>
      </c>
      <c r="AI1499" s="131"/>
      <c r="AK1499" s="66">
        <f t="shared" si="416"/>
        <v>0</v>
      </c>
      <c r="AL1499" s="174">
        <f t="shared" si="417"/>
        <v>0</v>
      </c>
      <c r="AM1499" s="346">
        <f>RTD("money.excel",,$G1499,"PredictVolume")</f>
        <v>0</v>
      </c>
      <c r="AN1499" s="272">
        <f>RTD("money.excel",,$G1499,"CumulativeVolume")</f>
        <v>0</v>
      </c>
      <c r="AO1499" s="284"/>
    </row>
    <row r="1500" spans="1:41">
      <c r="A1500" s="135" t="s">
        <v>2855</v>
      </c>
      <c r="B1500" s="85">
        <v>-734</v>
      </c>
      <c r="C1500" s="85">
        <v>-6</v>
      </c>
      <c r="D1500" s="85">
        <v>-39.43</v>
      </c>
      <c r="E1500" s="85">
        <v>-52</v>
      </c>
      <c r="F1500" s="59">
        <v>10.58</v>
      </c>
      <c r="G1500" s="85">
        <v>6219</v>
      </c>
      <c r="H1500" s="4" t="s">
        <v>1485</v>
      </c>
      <c r="I1500" s="17" t="s">
        <v>1504</v>
      </c>
      <c r="J1500" s="77">
        <v>67.989999999999995</v>
      </c>
      <c r="K1500" s="371">
        <v>1.25</v>
      </c>
      <c r="L1500" s="371">
        <v>36.799999999999997</v>
      </c>
      <c r="M1500" s="371">
        <v>30.94</v>
      </c>
      <c r="N1500" s="77">
        <f t="shared" si="424"/>
        <v>136.97999999999999</v>
      </c>
      <c r="O1500" s="369">
        <f t="shared" si="425"/>
        <v>98.929999999999993</v>
      </c>
      <c r="P1500" s="195">
        <v>0</v>
      </c>
      <c r="Q1500" s="326">
        <v>47</v>
      </c>
      <c r="R1500" s="111">
        <v>13</v>
      </c>
      <c r="S1500" s="51">
        <v>5</v>
      </c>
      <c r="T1500" s="339">
        <f t="shared" si="426"/>
        <v>65</v>
      </c>
      <c r="U1500" s="329" t="s">
        <v>6539</v>
      </c>
      <c r="V1500" s="371">
        <v>1.71</v>
      </c>
      <c r="W1500" s="35">
        <v>2</v>
      </c>
      <c r="X1500" s="59">
        <v>0.87</v>
      </c>
      <c r="Y1500" s="37" t="str">
        <f>RTD("money.excel",,"6219","Price")</f>
        <v>無資料</v>
      </c>
      <c r="Z1500" s="69"/>
      <c r="AA1500" s="16" t="e">
        <f t="shared" si="427"/>
        <v>#VALUE!</v>
      </c>
      <c r="AB1500" s="3" t="e">
        <f t="shared" si="428"/>
        <v>#VALUE!</v>
      </c>
      <c r="AC1500" s="177" t="s">
        <v>2648</v>
      </c>
      <c r="AD1500" s="17" t="s">
        <v>1504</v>
      </c>
      <c r="AG1500" s="34">
        <f t="shared" si="429"/>
        <v>0</v>
      </c>
      <c r="AH1500" s="63" t="s">
        <v>3180</v>
      </c>
      <c r="AI1500" s="131"/>
      <c r="AK1500" s="66">
        <f t="shared" si="416"/>
        <v>0</v>
      </c>
      <c r="AL1500" s="174">
        <f t="shared" si="417"/>
        <v>0</v>
      </c>
      <c r="AM1500" s="346">
        <f>RTD("money.excel",,$G1500,"PredictVolume")</f>
        <v>0</v>
      </c>
      <c r="AN1500" s="272">
        <f>RTD("money.excel",,$G1500,"CumulativeVolume")</f>
        <v>0</v>
      </c>
      <c r="AO1500" s="284"/>
    </row>
    <row r="1501" spans="1:41">
      <c r="A1501" s="151" t="s">
        <v>2624</v>
      </c>
      <c r="B1501" s="96">
        <v>51</v>
      </c>
      <c r="C1501" s="96">
        <v>43</v>
      </c>
      <c r="D1501" s="96">
        <v>312</v>
      </c>
      <c r="E1501" s="96">
        <v>480</v>
      </c>
      <c r="F1501" s="7">
        <v>-20.88</v>
      </c>
      <c r="G1501" s="85">
        <v>6264</v>
      </c>
      <c r="H1501" s="4" t="s">
        <v>1485</v>
      </c>
      <c r="I1501" s="17" t="s">
        <v>1505</v>
      </c>
      <c r="J1501" s="77">
        <v>73.34</v>
      </c>
      <c r="K1501" s="77">
        <v>0.03</v>
      </c>
      <c r="N1501" s="365">
        <f t="shared" si="424"/>
        <v>73.37</v>
      </c>
      <c r="O1501" s="343">
        <f t="shared" si="425"/>
        <v>73.34</v>
      </c>
      <c r="P1501" s="195" t="s">
        <v>5554</v>
      </c>
      <c r="Q1501" s="326" t="str">
        <f>IFERROR(VLOOKUP($G1501,主力整理!$A$2:$G$2301,6,0),"0")</f>
        <v>0</v>
      </c>
      <c r="T1501" s="339">
        <f t="shared" si="426"/>
        <v>0</v>
      </c>
      <c r="V1501" s="371">
        <v>35.6</v>
      </c>
      <c r="W1501" s="35">
        <v>0</v>
      </c>
      <c r="X1501" s="100">
        <v>-0.59</v>
      </c>
      <c r="Y1501" s="37" t="str">
        <f>RTD("money.excel",,"6264","Price")</f>
        <v>無資料</v>
      </c>
      <c r="Z1501" s="69"/>
      <c r="AA1501" s="16" t="e">
        <f t="shared" si="427"/>
        <v>#VALUE!</v>
      </c>
      <c r="AB1501" s="3" t="e">
        <f t="shared" si="428"/>
        <v>#VALUE!</v>
      </c>
      <c r="AD1501" s="17" t="s">
        <v>1505</v>
      </c>
      <c r="AG1501" s="34">
        <f t="shared" si="429"/>
        <v>0</v>
      </c>
      <c r="AH1501" s="44" t="s">
        <v>1485</v>
      </c>
      <c r="AI1501" s="131"/>
      <c r="AK1501" s="66">
        <f t="shared" si="416"/>
        <v>0</v>
      </c>
      <c r="AL1501" s="174">
        <f t="shared" si="417"/>
        <v>0</v>
      </c>
      <c r="AM1501" s="346">
        <f>RTD("money.excel",,$G1501,"PredictVolume")</f>
        <v>0</v>
      </c>
      <c r="AN1501" s="272">
        <f>RTD("money.excel",,$G1501,"CumulativeVolume")</f>
        <v>0</v>
      </c>
      <c r="AO1501" s="284"/>
    </row>
    <row r="1502" spans="1:41">
      <c r="A1502" s="135" t="s">
        <v>2620</v>
      </c>
      <c r="B1502" s="85">
        <v>-29</v>
      </c>
      <c r="C1502" s="85">
        <v>-29</v>
      </c>
      <c r="D1502" s="84">
        <v>2</v>
      </c>
      <c r="E1502" s="85">
        <v>-6</v>
      </c>
      <c r="F1502" s="59">
        <v>20.2</v>
      </c>
      <c r="G1502" s="85">
        <v>8424</v>
      </c>
      <c r="H1502" s="4" t="s">
        <v>1485</v>
      </c>
      <c r="I1502" s="17" t="s">
        <v>1506</v>
      </c>
      <c r="J1502" s="77">
        <v>50.7</v>
      </c>
      <c r="K1502" s="371">
        <v>0.82</v>
      </c>
      <c r="L1502" s="77">
        <v>0.17</v>
      </c>
      <c r="N1502" s="365">
        <f t="shared" si="424"/>
        <v>51.690000000000005</v>
      </c>
      <c r="O1502" s="343">
        <f t="shared" si="425"/>
        <v>50.7</v>
      </c>
      <c r="P1502" s="195" t="s">
        <v>5554</v>
      </c>
      <c r="Q1502" s="326" t="str">
        <f>IFERROR(VLOOKUP($G1502,主力整理!$A$2:$G$2301,6,0),"0")</f>
        <v>0</v>
      </c>
      <c r="T1502" s="339">
        <f t="shared" si="426"/>
        <v>0</v>
      </c>
      <c r="V1502" s="371">
        <v>0</v>
      </c>
      <c r="W1502" s="69">
        <v>4</v>
      </c>
      <c r="X1502" s="100">
        <v>4.0599999999999996</v>
      </c>
      <c r="Y1502" s="37">
        <v>51.06</v>
      </c>
      <c r="Z1502" s="69"/>
      <c r="AA1502" s="16">
        <f t="shared" si="427"/>
        <v>51.06</v>
      </c>
      <c r="AB1502" s="3" t="e">
        <f t="shared" si="428"/>
        <v>#DIV/0!</v>
      </c>
      <c r="AC1502" s="177" t="s">
        <v>2929</v>
      </c>
      <c r="AD1502" s="17" t="s">
        <v>1506</v>
      </c>
      <c r="AG1502" s="34">
        <f t="shared" si="429"/>
        <v>0</v>
      </c>
      <c r="AH1502" s="63" t="s">
        <v>4263</v>
      </c>
      <c r="AI1502" s="131"/>
      <c r="AK1502" s="66">
        <f t="shared" si="416"/>
        <v>0</v>
      </c>
      <c r="AL1502" s="174">
        <f t="shared" si="417"/>
        <v>0</v>
      </c>
      <c r="AM1502" s="346">
        <f>RTD("money.excel",,$G1502,"PredictVolume")</f>
        <v>0</v>
      </c>
      <c r="AN1502" s="272">
        <f>RTD("money.excel",,$G1502,"CumulativeVolume")</f>
        <v>0</v>
      </c>
      <c r="AO1502" s="284"/>
    </row>
    <row r="1503" spans="1:41">
      <c r="A1503" s="151" t="s">
        <v>2224</v>
      </c>
      <c r="B1503" s="96">
        <v>20</v>
      </c>
      <c r="C1503" s="96">
        <v>46</v>
      </c>
      <c r="D1503" s="214">
        <v>3319</v>
      </c>
      <c r="E1503" s="214">
        <v>3631</v>
      </c>
      <c r="F1503" s="7">
        <v>-2.93</v>
      </c>
      <c r="G1503" s="85">
        <v>9906</v>
      </c>
      <c r="H1503" s="4" t="s">
        <v>1485</v>
      </c>
      <c r="I1503" s="23" t="s">
        <v>1548</v>
      </c>
      <c r="J1503" s="77">
        <v>72.13</v>
      </c>
      <c r="K1503" s="77">
        <v>0.65</v>
      </c>
      <c r="L1503" s="77">
        <v>9.3000000000000007</v>
      </c>
      <c r="N1503" s="365">
        <f t="shared" si="424"/>
        <v>82.08</v>
      </c>
      <c r="O1503" s="343">
        <f t="shared" si="425"/>
        <v>72.13</v>
      </c>
      <c r="P1503" s="195" t="s">
        <v>5554</v>
      </c>
      <c r="Q1503" s="326" t="str">
        <f>IFERROR(VLOOKUP($G1503,主力整理!$A$2:$G$2301,6,0),"0")</f>
        <v>0</v>
      </c>
      <c r="T1503" s="339">
        <f t="shared" si="426"/>
        <v>0</v>
      </c>
      <c r="V1503" s="371">
        <v>50.09</v>
      </c>
      <c r="W1503" s="35">
        <v>0</v>
      </c>
      <c r="X1503" s="100">
        <v>-1.07</v>
      </c>
      <c r="Y1503" s="14" t="str">
        <f>RTD("money.excel",,"9906","Price")</f>
        <v>無資料</v>
      </c>
      <c r="Z1503" s="69"/>
      <c r="AA1503" s="16" t="e">
        <f t="shared" si="427"/>
        <v>#VALUE!</v>
      </c>
      <c r="AB1503" s="3" t="e">
        <f t="shared" si="428"/>
        <v>#VALUE!</v>
      </c>
      <c r="AD1503" s="23" t="s">
        <v>1548</v>
      </c>
      <c r="AG1503" s="34">
        <f t="shared" si="429"/>
        <v>0</v>
      </c>
      <c r="AH1503" s="44" t="s">
        <v>3695</v>
      </c>
      <c r="AI1503" s="131"/>
      <c r="AK1503" s="66">
        <f t="shared" si="416"/>
        <v>0</v>
      </c>
      <c r="AL1503" s="174">
        <f t="shared" si="417"/>
        <v>0</v>
      </c>
      <c r="AM1503" s="346">
        <f>RTD("money.excel",,$G1503,"PredictVolume")</f>
        <v>0</v>
      </c>
      <c r="AN1503" s="272">
        <f>RTD("money.excel",,$G1503,"CumulativeVolume")</f>
        <v>0</v>
      </c>
      <c r="AO1503" s="284"/>
    </row>
    <row r="1504" spans="1:41">
      <c r="A1504" s="135" t="s">
        <v>3144</v>
      </c>
      <c r="B1504" s="96">
        <v>-84</v>
      </c>
      <c r="C1504" s="96">
        <v>-82</v>
      </c>
      <c r="D1504" s="96">
        <v>-60</v>
      </c>
      <c r="E1504" s="96">
        <v>-86</v>
      </c>
      <c r="F1504" s="59">
        <v>18.8</v>
      </c>
      <c r="G1504" s="85">
        <v>9946</v>
      </c>
      <c r="H1504" s="4" t="s">
        <v>1485</v>
      </c>
      <c r="I1504" s="23" t="s">
        <v>1741</v>
      </c>
      <c r="J1504" s="77">
        <v>80.41</v>
      </c>
      <c r="K1504" s="77">
        <v>1.77</v>
      </c>
      <c r="L1504" s="77">
        <v>0.7</v>
      </c>
      <c r="N1504" s="365">
        <f t="shared" si="424"/>
        <v>82.88</v>
      </c>
      <c r="O1504" s="343">
        <f t="shared" si="425"/>
        <v>80.41</v>
      </c>
      <c r="P1504" s="195" t="s">
        <v>5554</v>
      </c>
      <c r="Q1504" s="326" t="str">
        <f>IFERROR(VLOOKUP($G1504,主力整理!$A$2:$G$2301,6,0),"0")</f>
        <v>0</v>
      </c>
      <c r="T1504" s="339">
        <f t="shared" si="426"/>
        <v>0</v>
      </c>
      <c r="V1504" s="371">
        <v>19.79</v>
      </c>
      <c r="W1504" s="35">
        <v>1.65</v>
      </c>
      <c r="X1504" s="100">
        <v>0.6</v>
      </c>
      <c r="Y1504" s="14" t="str">
        <f>RTD("money.excel",,"9946","Price")</f>
        <v>無資料</v>
      </c>
      <c r="Z1504" s="69"/>
      <c r="AA1504" s="16" t="e">
        <f t="shared" si="427"/>
        <v>#VALUE!</v>
      </c>
      <c r="AB1504" s="3" t="e">
        <f t="shared" si="428"/>
        <v>#VALUE!</v>
      </c>
      <c r="AD1504" s="23" t="s">
        <v>1741</v>
      </c>
      <c r="AG1504" s="34">
        <f t="shared" si="429"/>
        <v>0</v>
      </c>
      <c r="AH1504" s="63" t="s">
        <v>3180</v>
      </c>
      <c r="AI1504" s="131"/>
      <c r="AK1504" s="66">
        <f t="shared" si="416"/>
        <v>0</v>
      </c>
      <c r="AL1504" s="174">
        <f t="shared" si="417"/>
        <v>0</v>
      </c>
      <c r="AM1504" s="346">
        <f>RTD("money.excel",,$G1504,"PredictVolume")</f>
        <v>0</v>
      </c>
      <c r="AN1504" s="272">
        <f>RTD("money.excel",,$G1504,"CumulativeVolume")</f>
        <v>0</v>
      </c>
      <c r="AO1504" s="284"/>
    </row>
    <row r="1505" spans="1:41">
      <c r="B1505" s="96"/>
      <c r="C1505" s="96"/>
      <c r="D1505" s="96"/>
      <c r="E1505" s="96"/>
      <c r="F1505" s="59"/>
      <c r="G1505" s="85"/>
      <c r="H1505" s="4"/>
      <c r="I1505" s="23"/>
      <c r="J1505" s="77"/>
      <c r="K1505" s="77"/>
      <c r="N1505" s="365"/>
      <c r="O1505" s="343"/>
      <c r="P1505" s="195"/>
      <c r="W1505" s="35"/>
      <c r="X1505" s="100"/>
      <c r="Y1505" s="14"/>
      <c r="Z1505" s="69"/>
      <c r="AA1505" s="16"/>
      <c r="AB1505" s="3"/>
      <c r="AD1505" s="23"/>
      <c r="AG1505" s="34"/>
      <c r="AH1505" s="63"/>
      <c r="AI1505" s="131"/>
      <c r="AK1505" s="66"/>
      <c r="AL1505" s="174"/>
      <c r="AM1505" s="346"/>
      <c r="AN1505" s="272"/>
      <c r="AO1505" s="284"/>
    </row>
    <row r="1506" spans="1:41">
      <c r="A1506" s="135" t="s">
        <v>2552</v>
      </c>
      <c r="B1506" s="96" t="s">
        <v>2331</v>
      </c>
      <c r="C1506" s="96" t="s">
        <v>2332</v>
      </c>
      <c r="D1506" s="96" t="s">
        <v>2333</v>
      </c>
      <c r="E1506" s="96" t="s">
        <v>2334</v>
      </c>
      <c r="F1506" s="9" t="s">
        <v>1709</v>
      </c>
      <c r="G1506" s="52" t="s">
        <v>2920</v>
      </c>
      <c r="H1506" s="56" t="s">
        <v>578</v>
      </c>
      <c r="I1506" s="9" t="s">
        <v>551</v>
      </c>
      <c r="J1506" s="364" t="s">
        <v>463</v>
      </c>
      <c r="K1506" s="364" t="s">
        <v>1820</v>
      </c>
      <c r="L1506" s="364" t="s">
        <v>515</v>
      </c>
      <c r="M1506" s="364" t="s">
        <v>1699</v>
      </c>
      <c r="N1506" s="364" t="s">
        <v>6604</v>
      </c>
      <c r="O1506" s="343" t="s">
        <v>6620</v>
      </c>
      <c r="P1506" s="83" t="s">
        <v>5279</v>
      </c>
      <c r="Q1506" s="326" t="s">
        <v>5514</v>
      </c>
      <c r="R1506" s="31" t="s">
        <v>6596</v>
      </c>
      <c r="S1506" s="51" t="s">
        <v>6597</v>
      </c>
      <c r="T1506" s="338" t="s">
        <v>5627</v>
      </c>
      <c r="U1506" s="330" t="s">
        <v>6537</v>
      </c>
      <c r="V1506" s="377" t="s">
        <v>6616</v>
      </c>
      <c r="W1506" s="11" t="s">
        <v>127</v>
      </c>
      <c r="X1506" s="71" t="s">
        <v>5216</v>
      </c>
      <c r="Y1506" s="29" t="s">
        <v>3</v>
      </c>
      <c r="Z1506" s="18" t="s">
        <v>2113</v>
      </c>
      <c r="AA1506" s="15" t="s">
        <v>8</v>
      </c>
      <c r="AB1506" s="22" t="s">
        <v>4</v>
      </c>
      <c r="AC1506" s="358" t="s">
        <v>211</v>
      </c>
      <c r="AD1506" s="9" t="s">
        <v>551</v>
      </c>
      <c r="AE1506" s="75" t="s">
        <v>2114</v>
      </c>
      <c r="AF1506" s="76" t="s">
        <v>1826</v>
      </c>
      <c r="AG1506" s="33" t="s">
        <v>1827</v>
      </c>
      <c r="AH1506" s="44"/>
      <c r="AI1506" s="284"/>
      <c r="AK1506" s="9" t="s">
        <v>6666</v>
      </c>
      <c r="AL1506" s="5" t="s">
        <v>6667</v>
      </c>
      <c r="AM1506" s="51" t="s">
        <v>5339</v>
      </c>
      <c r="AN1506" s="276" t="s">
        <v>6665</v>
      </c>
      <c r="AO1506" s="284"/>
    </row>
    <row r="1507" spans="1:41">
      <c r="A1507" s="151" t="s">
        <v>4968</v>
      </c>
      <c r="B1507" s="84">
        <v>11</v>
      </c>
      <c r="C1507" s="85">
        <v>-11</v>
      </c>
      <c r="D1507" s="85">
        <v>-15</v>
      </c>
      <c r="E1507" s="85">
        <v>-28</v>
      </c>
      <c r="F1507" s="7">
        <v>-7.54</v>
      </c>
      <c r="G1507" s="85">
        <v>2208</v>
      </c>
      <c r="H1507" s="4" t="s">
        <v>551</v>
      </c>
      <c r="I1507" s="23" t="s">
        <v>169</v>
      </c>
      <c r="J1507" s="371">
        <v>53.32</v>
      </c>
      <c r="K1507" s="371">
        <v>4.3499999999999996</v>
      </c>
      <c r="L1507" s="77">
        <v>6.34</v>
      </c>
      <c r="N1507" s="365">
        <f t="shared" ref="N1507:N1535" si="430">J1507+K1507+L1507+M1507</f>
        <v>64.010000000000005</v>
      </c>
      <c r="O1507" s="343">
        <f t="shared" ref="O1507:O1535" si="431">J1507+M1507</f>
        <v>53.32</v>
      </c>
      <c r="P1507" s="195">
        <v>2</v>
      </c>
      <c r="Q1507" s="326">
        <f>IFERROR(VLOOKUP($G1507,主力整理!$A$2:$G$2301,6,0),"0")</f>
        <v>8</v>
      </c>
      <c r="T1507" s="339">
        <f t="shared" ref="T1507:T1535" si="432">SUM(P1507:S1507)</f>
        <v>10</v>
      </c>
      <c r="V1507" s="371">
        <v>0.02</v>
      </c>
      <c r="W1507" s="35">
        <v>0</v>
      </c>
      <c r="X1507" s="59">
        <v>-3.38</v>
      </c>
      <c r="Y1507" s="37" t="str">
        <f>RTD("money.excel",,"2208","Price")</f>
        <v>無資料</v>
      </c>
      <c r="Z1507" s="69"/>
      <c r="AA1507" s="16" t="e">
        <f t="shared" ref="AA1507:AA1535" si="433">Y1507-Z1507</f>
        <v>#VALUE!</v>
      </c>
      <c r="AB1507" s="3" t="e">
        <f t="shared" ref="AB1507:AB1535" si="434">AA1507/Z1507</f>
        <v>#VALUE!</v>
      </c>
      <c r="AC1507" s="177" t="s">
        <v>2648</v>
      </c>
      <c r="AD1507" s="23" t="s">
        <v>169</v>
      </c>
      <c r="AG1507" s="34">
        <f t="shared" ref="AG1507:AG1535" si="435">AF1507-AE1507</f>
        <v>0</v>
      </c>
      <c r="AH1507" s="125" t="s">
        <v>5143</v>
      </c>
      <c r="AI1507" s="131"/>
      <c r="AK1507" s="66">
        <f>AM1507/(A1507*10000)</f>
        <v>0</v>
      </c>
      <c r="AL1507" s="174">
        <f>AN1507/(A1507*10000)</f>
        <v>0</v>
      </c>
      <c r="AM1507" s="346">
        <f>RTD("money.excel",,$G1507,"PredictVolume")</f>
        <v>0</v>
      </c>
      <c r="AN1507" s="272">
        <f>RTD("money.excel",,$G1507,"CumulativeVolume")</f>
        <v>0</v>
      </c>
      <c r="AO1507" s="284"/>
    </row>
    <row r="1508" spans="1:41">
      <c r="A1508" s="135" t="s">
        <v>5396</v>
      </c>
      <c r="B1508" s="98">
        <v>1304</v>
      </c>
      <c r="C1508" s="98">
        <v>1044</v>
      </c>
      <c r="D1508" s="85">
        <v>-3</v>
      </c>
      <c r="E1508" s="84">
        <v>159</v>
      </c>
      <c r="F1508" s="59">
        <v>57.62</v>
      </c>
      <c r="G1508" s="85">
        <v>2603</v>
      </c>
      <c r="H1508" s="4" t="s">
        <v>551</v>
      </c>
      <c r="I1508" s="23" t="s">
        <v>486</v>
      </c>
      <c r="J1508" s="77">
        <v>59.24</v>
      </c>
      <c r="K1508" s="77">
        <v>30.16</v>
      </c>
      <c r="L1508" s="371">
        <v>21.61</v>
      </c>
      <c r="M1508" s="371">
        <v>14.18</v>
      </c>
      <c r="N1508" s="365">
        <f t="shared" si="430"/>
        <v>125.19</v>
      </c>
      <c r="O1508" s="343">
        <f t="shared" si="431"/>
        <v>73.42</v>
      </c>
      <c r="P1508" s="195">
        <v>142</v>
      </c>
      <c r="Q1508" s="326">
        <v>38</v>
      </c>
      <c r="R1508" s="111">
        <v>20</v>
      </c>
      <c r="S1508" s="51">
        <v>65</v>
      </c>
      <c r="T1508" s="339">
        <f t="shared" si="432"/>
        <v>265</v>
      </c>
      <c r="U1508" s="329" t="s">
        <v>6541</v>
      </c>
      <c r="V1508" s="371">
        <v>3.12</v>
      </c>
      <c r="W1508" s="35">
        <v>2.4900000000000002</v>
      </c>
      <c r="X1508" s="59">
        <v>33.51</v>
      </c>
      <c r="Y1508" s="37" t="str">
        <f>RTD("money.excel",,"2603","Price")</f>
        <v>無資料</v>
      </c>
      <c r="Z1508" s="69"/>
      <c r="AA1508" s="16" t="e">
        <f t="shared" si="433"/>
        <v>#VALUE!</v>
      </c>
      <c r="AB1508" s="3" t="e">
        <f t="shared" si="434"/>
        <v>#VALUE!</v>
      </c>
      <c r="AC1508" s="177" t="s">
        <v>2648</v>
      </c>
      <c r="AD1508" s="23" t="s">
        <v>486</v>
      </c>
      <c r="AG1508" s="34">
        <f t="shared" si="435"/>
        <v>0</v>
      </c>
      <c r="AH1508" s="126" t="s">
        <v>5209</v>
      </c>
      <c r="AI1508" s="131"/>
      <c r="AK1508" s="66">
        <f t="shared" ref="AK1508:AK1532" si="436">AM1508/(A1508*10000)</f>
        <v>0</v>
      </c>
      <c r="AL1508" s="174">
        <f t="shared" ref="AL1508:AL1532" si="437">AN1508/(A1508*10000)</f>
        <v>0</v>
      </c>
      <c r="AM1508" s="346">
        <f>RTD("money.excel",,$G1508,"PredictVolume")</f>
        <v>0</v>
      </c>
      <c r="AN1508" s="272">
        <f>RTD("money.excel",,$G1508,"CumulativeVolume")</f>
        <v>0</v>
      </c>
      <c r="AO1508" s="284"/>
    </row>
    <row r="1509" spans="1:41">
      <c r="A1509" s="135" t="s">
        <v>2777</v>
      </c>
      <c r="B1509" s="84">
        <v>34</v>
      </c>
      <c r="C1509" s="84">
        <v>8</v>
      </c>
      <c r="D1509" s="85">
        <v>-4</v>
      </c>
      <c r="E1509" s="84">
        <v>84</v>
      </c>
      <c r="F1509" s="59">
        <v>19.77</v>
      </c>
      <c r="G1509" s="85">
        <v>2605</v>
      </c>
      <c r="H1509" s="4" t="s">
        <v>551</v>
      </c>
      <c r="I1509" s="23" t="s">
        <v>1474</v>
      </c>
      <c r="J1509" s="371">
        <v>35.6</v>
      </c>
      <c r="K1509" s="77">
        <v>35.22</v>
      </c>
      <c r="L1509" s="77">
        <v>16.059999999999999</v>
      </c>
      <c r="M1509" s="371">
        <v>5.62</v>
      </c>
      <c r="N1509" s="365">
        <f t="shared" si="430"/>
        <v>92.5</v>
      </c>
      <c r="O1509" s="343">
        <f t="shared" si="431"/>
        <v>41.22</v>
      </c>
      <c r="P1509" s="195">
        <v>23</v>
      </c>
      <c r="Q1509" s="326">
        <v>48</v>
      </c>
      <c r="R1509" s="111">
        <v>30</v>
      </c>
      <c r="S1509" s="51">
        <v>52</v>
      </c>
      <c r="T1509" s="339">
        <f t="shared" si="432"/>
        <v>153</v>
      </c>
      <c r="U1509" s="329" t="s">
        <v>6540</v>
      </c>
      <c r="V1509" s="371">
        <v>2.2799999999999998</v>
      </c>
      <c r="W1509" s="35">
        <v>0.5</v>
      </c>
      <c r="X1509" s="100">
        <v>0.39</v>
      </c>
      <c r="Y1509" s="37" t="str">
        <f>RTD("money.excel",,"2605","Price")</f>
        <v>無資料</v>
      </c>
      <c r="Z1509" s="69"/>
      <c r="AA1509" s="16" t="e">
        <f t="shared" si="433"/>
        <v>#VALUE!</v>
      </c>
      <c r="AB1509" s="3" t="e">
        <f t="shared" si="434"/>
        <v>#VALUE!</v>
      </c>
      <c r="AC1509" s="177" t="s">
        <v>2648</v>
      </c>
      <c r="AD1509" s="23" t="s">
        <v>1474</v>
      </c>
      <c r="AG1509" s="34">
        <f t="shared" si="435"/>
        <v>0</v>
      </c>
      <c r="AH1509" s="63" t="s">
        <v>3189</v>
      </c>
      <c r="AI1509" s="131"/>
      <c r="AK1509" s="66">
        <f t="shared" si="436"/>
        <v>0</v>
      </c>
      <c r="AL1509" s="174">
        <f t="shared" si="437"/>
        <v>0</v>
      </c>
      <c r="AM1509" s="346">
        <f>RTD("money.excel",,$G1509,"PredictVolume")</f>
        <v>0</v>
      </c>
      <c r="AN1509" s="272">
        <f>RTD("money.excel",,$G1509,"CumulativeVolume")</f>
        <v>0</v>
      </c>
      <c r="AO1509" s="284"/>
    </row>
    <row r="1510" spans="1:41">
      <c r="A1510" s="135" t="s">
        <v>2476</v>
      </c>
      <c r="B1510" s="84">
        <v>586</v>
      </c>
      <c r="C1510" s="84">
        <v>919</v>
      </c>
      <c r="D1510" s="85">
        <v>-2</v>
      </c>
      <c r="E1510" s="84">
        <v>71</v>
      </c>
      <c r="F1510" s="59">
        <v>22.78</v>
      </c>
      <c r="G1510" s="85">
        <v>2606</v>
      </c>
      <c r="H1510" s="4" t="s">
        <v>551</v>
      </c>
      <c r="I1510" s="23" t="s">
        <v>255</v>
      </c>
      <c r="J1510" s="77">
        <v>57.55</v>
      </c>
      <c r="K1510" s="77">
        <v>13.99</v>
      </c>
      <c r="L1510" s="77">
        <v>11.45</v>
      </c>
      <c r="M1510" s="371">
        <v>40.49</v>
      </c>
      <c r="N1510" s="365">
        <f t="shared" si="430"/>
        <v>123.47999999999999</v>
      </c>
      <c r="O1510" s="369">
        <f t="shared" si="431"/>
        <v>98.039999999999992</v>
      </c>
      <c r="P1510" s="195">
        <v>55</v>
      </c>
      <c r="Q1510" s="326">
        <v>42</v>
      </c>
      <c r="R1510" s="111">
        <v>32</v>
      </c>
      <c r="S1510" s="51">
        <v>44</v>
      </c>
      <c r="T1510" s="339">
        <f t="shared" si="432"/>
        <v>173</v>
      </c>
      <c r="U1510" s="329" t="s">
        <v>6540</v>
      </c>
      <c r="V1510" s="371">
        <v>3.06</v>
      </c>
      <c r="W1510" s="35">
        <v>1.2</v>
      </c>
      <c r="X1510" s="59">
        <v>4.2300000000000004</v>
      </c>
      <c r="Y1510" s="37" t="str">
        <f>RTD("money.excel",,"2606","Price")</f>
        <v>無資料</v>
      </c>
      <c r="Z1510" s="69"/>
      <c r="AA1510" s="16" t="e">
        <f t="shared" si="433"/>
        <v>#VALUE!</v>
      </c>
      <c r="AB1510" s="3" t="e">
        <f t="shared" si="434"/>
        <v>#VALUE!</v>
      </c>
      <c r="AC1510" s="177" t="s">
        <v>2648</v>
      </c>
      <c r="AD1510" s="23" t="s">
        <v>255</v>
      </c>
      <c r="AG1510" s="34">
        <f t="shared" si="435"/>
        <v>0</v>
      </c>
      <c r="AH1510" s="126" t="s">
        <v>5210</v>
      </c>
      <c r="AI1510" s="131"/>
      <c r="AK1510" s="66">
        <f t="shared" si="436"/>
        <v>0</v>
      </c>
      <c r="AL1510" s="174">
        <f t="shared" si="437"/>
        <v>0</v>
      </c>
      <c r="AM1510" s="346">
        <f>RTD("money.excel",,$G1510,"PredictVolume")</f>
        <v>0</v>
      </c>
      <c r="AN1510" s="272">
        <f>RTD("money.excel",,$G1510,"CumulativeVolume")</f>
        <v>0</v>
      </c>
      <c r="AO1510" s="284"/>
    </row>
    <row r="1511" spans="1:41">
      <c r="A1511" s="151" t="s">
        <v>4871</v>
      </c>
      <c r="B1511" s="84">
        <v>28</v>
      </c>
      <c r="C1511" s="85">
        <v>-14</v>
      </c>
      <c r="D1511" s="85">
        <v>-6</v>
      </c>
      <c r="E1511" s="84">
        <v>83</v>
      </c>
      <c r="F1511" s="7">
        <v>9.56</v>
      </c>
      <c r="G1511" s="85">
        <v>2607</v>
      </c>
      <c r="H1511" s="4" t="s">
        <v>551</v>
      </c>
      <c r="I1511" s="23" t="s">
        <v>223</v>
      </c>
      <c r="J1511" s="371">
        <v>68.430000000000007</v>
      </c>
      <c r="K1511" s="371">
        <v>8.06</v>
      </c>
      <c r="L1511" s="77">
        <v>5.82</v>
      </c>
      <c r="M1511" s="371">
        <v>50.66</v>
      </c>
      <c r="N1511" s="77">
        <f t="shared" si="430"/>
        <v>132.97</v>
      </c>
      <c r="O1511" s="369">
        <f t="shared" si="431"/>
        <v>119.09</v>
      </c>
      <c r="P1511" s="195">
        <v>0</v>
      </c>
      <c r="Q1511" s="326">
        <v>39</v>
      </c>
      <c r="R1511" s="111">
        <v>39</v>
      </c>
      <c r="S1511" s="51">
        <v>38</v>
      </c>
      <c r="T1511" s="339">
        <f t="shared" si="432"/>
        <v>116</v>
      </c>
      <c r="U1511" s="329" t="s">
        <v>6538</v>
      </c>
      <c r="V1511" s="371">
        <v>1.51</v>
      </c>
      <c r="W1511" s="35">
        <v>0.3</v>
      </c>
      <c r="X1511" s="59">
        <v>0.79</v>
      </c>
      <c r="Y1511" s="37" t="str">
        <f>RTD("money.excel",,"2607","Price")</f>
        <v>無資料</v>
      </c>
      <c r="Z1511" s="69"/>
      <c r="AA1511" s="16" t="e">
        <f t="shared" si="433"/>
        <v>#VALUE!</v>
      </c>
      <c r="AB1511" s="3" t="e">
        <f t="shared" si="434"/>
        <v>#VALUE!</v>
      </c>
      <c r="AD1511" s="23" t="s">
        <v>223</v>
      </c>
      <c r="AG1511" s="34">
        <f t="shared" si="435"/>
        <v>0</v>
      </c>
      <c r="AH1511" s="125" t="s">
        <v>5211</v>
      </c>
      <c r="AI1511" s="284"/>
      <c r="AK1511" s="66">
        <f t="shared" si="436"/>
        <v>0</v>
      </c>
      <c r="AL1511" s="174">
        <f t="shared" si="437"/>
        <v>0</v>
      </c>
      <c r="AM1511" s="346">
        <f>RTD("money.excel",,$G1511,"PredictVolume")</f>
        <v>0</v>
      </c>
      <c r="AN1511" s="272">
        <f>RTD("money.excel",,$G1511,"CumulativeVolume")</f>
        <v>0</v>
      </c>
      <c r="AO1511" s="284"/>
    </row>
    <row r="1512" spans="1:41">
      <c r="A1512" s="135" t="s">
        <v>3106</v>
      </c>
      <c r="B1512" s="85">
        <v>-1</v>
      </c>
      <c r="C1512" s="84">
        <v>2</v>
      </c>
      <c r="D1512" s="84">
        <v>1</v>
      </c>
      <c r="E1512" s="84">
        <v>3</v>
      </c>
      <c r="F1512" s="59">
        <v>14.02</v>
      </c>
      <c r="G1512" s="85">
        <v>2608</v>
      </c>
      <c r="H1512" s="4" t="s">
        <v>551</v>
      </c>
      <c r="I1512" s="23" t="s">
        <v>1784</v>
      </c>
      <c r="J1512" s="77">
        <v>74.510000000000005</v>
      </c>
      <c r="K1512" s="77">
        <v>9.99</v>
      </c>
      <c r="L1512" s="371">
        <v>3.92</v>
      </c>
      <c r="N1512" s="365">
        <f t="shared" si="430"/>
        <v>88.42</v>
      </c>
      <c r="O1512" s="343">
        <f t="shared" si="431"/>
        <v>74.510000000000005</v>
      </c>
      <c r="P1512" s="195">
        <v>0</v>
      </c>
      <c r="Q1512" s="326">
        <f>IFERROR(VLOOKUP($G1512,主力整理!$A$2:$G$2301,6,0),"0")</f>
        <v>2</v>
      </c>
      <c r="R1512" s="111">
        <v>7</v>
      </c>
      <c r="S1512" s="51">
        <v>1</v>
      </c>
      <c r="T1512" s="339">
        <f t="shared" si="432"/>
        <v>10</v>
      </c>
      <c r="V1512" s="371">
        <v>1.92</v>
      </c>
      <c r="W1512" s="35">
        <v>1.68</v>
      </c>
      <c r="X1512" s="59">
        <v>3.2</v>
      </c>
      <c r="Y1512" s="37" t="str">
        <f>RTD("money.excel",,"2608","Price")</f>
        <v>無資料</v>
      </c>
      <c r="Z1512" s="69"/>
      <c r="AA1512" s="16" t="e">
        <f t="shared" si="433"/>
        <v>#VALUE!</v>
      </c>
      <c r="AB1512" s="3" t="e">
        <f t="shared" si="434"/>
        <v>#VALUE!</v>
      </c>
      <c r="AC1512" s="177" t="s">
        <v>2648</v>
      </c>
      <c r="AD1512" s="23" t="s">
        <v>1784</v>
      </c>
      <c r="AG1512" s="34">
        <f t="shared" si="435"/>
        <v>0</v>
      </c>
      <c r="AH1512" s="126" t="s">
        <v>5212</v>
      </c>
      <c r="AI1512" s="131"/>
      <c r="AK1512" s="66">
        <f t="shared" si="436"/>
        <v>0</v>
      </c>
      <c r="AL1512" s="174">
        <f t="shared" si="437"/>
        <v>0</v>
      </c>
      <c r="AM1512" s="346">
        <f>RTD("money.excel",,$G1512,"PredictVolume")</f>
        <v>0</v>
      </c>
      <c r="AN1512" s="272">
        <f>RTD("money.excel",,$G1512,"CumulativeVolume")</f>
        <v>0</v>
      </c>
      <c r="AO1512" s="284"/>
    </row>
    <row r="1513" spans="1:41">
      <c r="A1513" s="135" t="s">
        <v>5371</v>
      </c>
      <c r="B1513" s="98">
        <v>5295</v>
      </c>
      <c r="C1513" s="98">
        <v>2578</v>
      </c>
      <c r="D1513" s="84">
        <v>1</v>
      </c>
      <c r="E1513" s="84">
        <v>125</v>
      </c>
      <c r="F1513" s="59">
        <v>57.99</v>
      </c>
      <c r="G1513" s="85">
        <v>2609</v>
      </c>
      <c r="H1513" s="4" t="s">
        <v>551</v>
      </c>
      <c r="I1513" s="23" t="s">
        <v>1475</v>
      </c>
      <c r="J1513" s="371">
        <v>58.05</v>
      </c>
      <c r="K1513" s="371">
        <v>15.49</v>
      </c>
      <c r="L1513" s="77">
        <v>24.48</v>
      </c>
      <c r="M1513" s="371">
        <v>33.18</v>
      </c>
      <c r="N1513" s="77">
        <f t="shared" si="430"/>
        <v>131.19999999999999</v>
      </c>
      <c r="O1513" s="369">
        <f t="shared" si="431"/>
        <v>91.22999999999999</v>
      </c>
      <c r="P1513" s="195">
        <v>136</v>
      </c>
      <c r="Q1513" s="326">
        <v>21</v>
      </c>
      <c r="R1513" s="111">
        <v>9</v>
      </c>
      <c r="S1513" s="51">
        <v>31</v>
      </c>
      <c r="T1513" s="339">
        <f t="shared" si="432"/>
        <v>197</v>
      </c>
      <c r="U1513" s="329" t="s">
        <v>6541</v>
      </c>
      <c r="V1513" s="371">
        <v>3.04</v>
      </c>
      <c r="W1513" s="35">
        <v>0</v>
      </c>
      <c r="X1513" s="59">
        <v>37.72</v>
      </c>
      <c r="Y1513" s="37" t="str">
        <f>RTD("money.excel",,"2609","Price")</f>
        <v>無資料</v>
      </c>
      <c r="Z1513" s="69"/>
      <c r="AA1513" s="16" t="e">
        <f t="shared" si="433"/>
        <v>#VALUE!</v>
      </c>
      <c r="AB1513" s="3" t="e">
        <f t="shared" si="434"/>
        <v>#VALUE!</v>
      </c>
      <c r="AC1513" s="177" t="s">
        <v>6557</v>
      </c>
      <c r="AD1513" s="23" t="s">
        <v>1475</v>
      </c>
      <c r="AG1513" s="34">
        <f t="shared" si="435"/>
        <v>0</v>
      </c>
      <c r="AH1513" s="63" t="s">
        <v>5209</v>
      </c>
      <c r="AI1513" s="131"/>
      <c r="AK1513" s="66">
        <f t="shared" si="436"/>
        <v>0</v>
      </c>
      <c r="AL1513" s="174">
        <f t="shared" si="437"/>
        <v>0</v>
      </c>
      <c r="AM1513" s="346">
        <f>RTD("money.excel",,$G1513,"PredictVolume")</f>
        <v>0</v>
      </c>
      <c r="AN1513" s="272">
        <f>RTD("money.excel",,$G1513,"CumulativeVolume")</f>
        <v>0</v>
      </c>
      <c r="AO1513" s="284"/>
    </row>
    <row r="1514" spans="1:41">
      <c r="A1514" s="151" t="s">
        <v>2663</v>
      </c>
      <c r="B1514" s="99">
        <v>-4213</v>
      </c>
      <c r="C1514" s="85">
        <v>-120</v>
      </c>
      <c r="D1514" s="84">
        <v>4</v>
      </c>
      <c r="E1514" s="85">
        <v>-25</v>
      </c>
      <c r="F1514" s="7">
        <v>-25.31</v>
      </c>
      <c r="G1514" s="85">
        <v>2610</v>
      </c>
      <c r="H1514" s="4" t="s">
        <v>551</v>
      </c>
      <c r="I1514" s="23" t="s">
        <v>40</v>
      </c>
      <c r="J1514" s="371">
        <v>69.45</v>
      </c>
      <c r="K1514" s="77">
        <v>9.39</v>
      </c>
      <c r="L1514" s="77">
        <v>5.19</v>
      </c>
      <c r="N1514" s="365">
        <f t="shared" si="430"/>
        <v>84.03</v>
      </c>
      <c r="O1514" s="343">
        <f t="shared" si="431"/>
        <v>69.45</v>
      </c>
      <c r="P1514" s="195">
        <v>20</v>
      </c>
      <c r="Q1514" s="326">
        <f>IFERROR(VLOOKUP($G1514,主力整理!$A$2:$G$2301,6,0),"0")</f>
        <v>6</v>
      </c>
      <c r="T1514" s="339">
        <f t="shared" si="432"/>
        <v>26</v>
      </c>
      <c r="V1514" s="371">
        <v>0.36</v>
      </c>
      <c r="W1514" s="35">
        <v>0</v>
      </c>
      <c r="X1514" s="100">
        <v>0.03</v>
      </c>
      <c r="Y1514" s="37" t="str">
        <f>RTD("money.excel",,"2610","Price")</f>
        <v>無資料</v>
      </c>
      <c r="Z1514" s="69"/>
      <c r="AA1514" s="16" t="e">
        <f t="shared" si="433"/>
        <v>#VALUE!</v>
      </c>
      <c r="AB1514" s="3" t="e">
        <f t="shared" si="434"/>
        <v>#VALUE!</v>
      </c>
      <c r="AC1514" s="177" t="s">
        <v>2648</v>
      </c>
      <c r="AD1514" s="23" t="s">
        <v>40</v>
      </c>
      <c r="AG1514" s="34">
        <f t="shared" si="435"/>
        <v>0</v>
      </c>
      <c r="AH1514" s="125" t="s">
        <v>5213</v>
      </c>
      <c r="AI1514" s="131"/>
      <c r="AK1514" s="66">
        <f t="shared" si="436"/>
        <v>0</v>
      </c>
      <c r="AL1514" s="174">
        <f t="shared" si="437"/>
        <v>0</v>
      </c>
      <c r="AM1514" s="346">
        <f>RTD("money.excel",,$G1514,"PredictVolume")</f>
        <v>0</v>
      </c>
      <c r="AN1514" s="272">
        <f>RTD("money.excel",,$G1514,"CumulativeVolume")</f>
        <v>0</v>
      </c>
      <c r="AO1514" s="284"/>
    </row>
    <row r="1515" spans="1:41">
      <c r="A1515" s="151" t="s">
        <v>4806</v>
      </c>
      <c r="B1515" s="98">
        <v>4959</v>
      </c>
      <c r="C1515" s="84">
        <v>14</v>
      </c>
      <c r="D1515" s="84">
        <v>18</v>
      </c>
      <c r="E1515" s="84">
        <v>32</v>
      </c>
      <c r="F1515" s="7">
        <v>-16.350000000000001</v>
      </c>
      <c r="G1515" s="85">
        <v>2611</v>
      </c>
      <c r="H1515" s="4" t="s">
        <v>551</v>
      </c>
      <c r="I1515" s="23" t="s">
        <v>1476</v>
      </c>
      <c r="J1515" s="371">
        <v>51.07</v>
      </c>
      <c r="K1515" s="77">
        <v>1.3</v>
      </c>
      <c r="L1515" s="371">
        <v>20.03</v>
      </c>
      <c r="N1515" s="365">
        <f t="shared" si="430"/>
        <v>72.400000000000006</v>
      </c>
      <c r="O1515" s="343">
        <f t="shared" si="431"/>
        <v>51.07</v>
      </c>
      <c r="P1515" s="195">
        <v>0</v>
      </c>
      <c r="Q1515" s="326">
        <f>IFERROR(VLOOKUP($G1515,主力整理!$A$2:$G$2301,6,0),"0")</f>
        <v>2</v>
      </c>
      <c r="R1515" s="111">
        <v>31</v>
      </c>
      <c r="S1515" s="51">
        <v>0</v>
      </c>
      <c r="T1515" s="339">
        <f t="shared" si="432"/>
        <v>33</v>
      </c>
      <c r="V1515" s="371">
        <v>30.92</v>
      </c>
      <c r="W1515" s="35">
        <v>0</v>
      </c>
      <c r="X1515" s="59">
        <v>2.38</v>
      </c>
      <c r="Y1515" s="37" t="str">
        <f>RTD("money.excel",,"2611","Price")</f>
        <v>無資料</v>
      </c>
      <c r="Z1515" s="69"/>
      <c r="AA1515" s="16" t="e">
        <f t="shared" si="433"/>
        <v>#VALUE!</v>
      </c>
      <c r="AB1515" s="3" t="e">
        <f t="shared" si="434"/>
        <v>#VALUE!</v>
      </c>
      <c r="AD1515" s="23" t="s">
        <v>1476</v>
      </c>
      <c r="AG1515" s="34">
        <f t="shared" si="435"/>
        <v>0</v>
      </c>
      <c r="AH1515" s="44" t="s">
        <v>2282</v>
      </c>
      <c r="AI1515" s="131"/>
      <c r="AK1515" s="66">
        <f t="shared" si="436"/>
        <v>0</v>
      </c>
      <c r="AL1515" s="174">
        <f t="shared" si="437"/>
        <v>0</v>
      </c>
      <c r="AM1515" s="346">
        <f>RTD("money.excel",,$G1515,"PredictVolume")</f>
        <v>0</v>
      </c>
      <c r="AN1515" s="272">
        <f>RTD("money.excel",,$G1515,"CumulativeVolume")</f>
        <v>0</v>
      </c>
      <c r="AO1515" s="284"/>
    </row>
    <row r="1516" spans="1:41">
      <c r="A1516" s="151" t="s">
        <v>2537</v>
      </c>
      <c r="B1516" s="84">
        <v>133</v>
      </c>
      <c r="C1516" s="84">
        <v>53</v>
      </c>
      <c r="D1516" s="85">
        <v>-4</v>
      </c>
      <c r="E1516" s="84">
        <v>27</v>
      </c>
      <c r="F1516" s="7">
        <v>7.03</v>
      </c>
      <c r="G1516" s="85">
        <v>2612</v>
      </c>
      <c r="H1516" s="4" t="s">
        <v>551</v>
      </c>
      <c r="I1516" s="23" t="s">
        <v>1477</v>
      </c>
      <c r="J1516" s="77">
        <v>63.84</v>
      </c>
      <c r="K1516" s="77">
        <v>4.45</v>
      </c>
      <c r="L1516" s="77">
        <v>14.42</v>
      </c>
      <c r="M1516" s="77">
        <v>22.74</v>
      </c>
      <c r="N1516" s="365">
        <f t="shared" si="430"/>
        <v>105.45</v>
      </c>
      <c r="O1516" s="369">
        <f t="shared" si="431"/>
        <v>86.58</v>
      </c>
      <c r="P1516" s="195">
        <v>29</v>
      </c>
      <c r="Q1516" s="326">
        <v>29</v>
      </c>
      <c r="R1516" s="111">
        <v>42</v>
      </c>
      <c r="S1516" s="51">
        <v>47</v>
      </c>
      <c r="T1516" s="339">
        <f t="shared" si="432"/>
        <v>147</v>
      </c>
      <c r="U1516" s="329" t="s">
        <v>6538</v>
      </c>
      <c r="V1516" s="371">
        <v>1.74</v>
      </c>
      <c r="W1516" s="35">
        <v>1.6</v>
      </c>
      <c r="X1516" s="59">
        <v>3.91</v>
      </c>
      <c r="Y1516" s="37" t="str">
        <f>RTD("money.excel",,"2612","Price")</f>
        <v>無資料</v>
      </c>
      <c r="Z1516" s="69"/>
      <c r="AA1516" s="16" t="e">
        <f t="shared" si="433"/>
        <v>#VALUE!</v>
      </c>
      <c r="AB1516" s="3" t="e">
        <f t="shared" si="434"/>
        <v>#VALUE!</v>
      </c>
      <c r="AC1516" s="177" t="s">
        <v>2648</v>
      </c>
      <c r="AD1516" s="23" t="s">
        <v>1477</v>
      </c>
      <c r="AG1516" s="34">
        <f t="shared" si="435"/>
        <v>0</v>
      </c>
      <c r="AH1516" s="44" t="s">
        <v>3366</v>
      </c>
      <c r="AI1516" s="131"/>
      <c r="AK1516" s="66">
        <f t="shared" si="436"/>
        <v>0</v>
      </c>
      <c r="AL1516" s="174">
        <f t="shared" si="437"/>
        <v>0</v>
      </c>
      <c r="AM1516" s="346">
        <f>RTD("money.excel",,$G1516,"PredictVolume")</f>
        <v>0</v>
      </c>
      <c r="AN1516" s="272">
        <f>RTD("money.excel",,$G1516,"CumulativeVolume")</f>
        <v>0</v>
      </c>
      <c r="AO1516" s="284"/>
    </row>
    <row r="1517" spans="1:41">
      <c r="A1517" s="151" t="s">
        <v>2598</v>
      </c>
      <c r="B1517" s="96">
        <v>-63</v>
      </c>
      <c r="C1517" s="96">
        <v>-5</v>
      </c>
      <c r="D1517" s="96">
        <v>3</v>
      </c>
      <c r="E1517" s="96">
        <v>13</v>
      </c>
      <c r="F1517" s="7">
        <v>4.4400000000000004</v>
      </c>
      <c r="G1517" s="85">
        <v>2613</v>
      </c>
      <c r="H1517" s="4" t="s">
        <v>551</v>
      </c>
      <c r="I1517" s="23" t="s">
        <v>1478</v>
      </c>
      <c r="J1517" s="77">
        <v>62.53</v>
      </c>
      <c r="K1517" s="77">
        <v>0.09</v>
      </c>
      <c r="L1517" s="77">
        <v>6.12</v>
      </c>
      <c r="N1517" s="365">
        <f t="shared" si="430"/>
        <v>68.740000000000009</v>
      </c>
      <c r="O1517" s="343">
        <f t="shared" si="431"/>
        <v>62.53</v>
      </c>
      <c r="P1517" s="195" t="s">
        <v>5554</v>
      </c>
      <c r="Q1517" s="326">
        <f>IFERROR(VLOOKUP($G1517,主力整理!$A$2:$G$2301,6,0),"0")</f>
        <v>4</v>
      </c>
      <c r="T1517" s="339">
        <f t="shared" si="432"/>
        <v>4</v>
      </c>
      <c r="V1517" s="371">
        <v>36.299999999999997</v>
      </c>
      <c r="W1517" s="35">
        <v>0.2</v>
      </c>
      <c r="X1517" s="100">
        <v>0.23</v>
      </c>
      <c r="Y1517" s="14" t="str">
        <f>RTD("money.excel",,"2613","Price")</f>
        <v>無資料</v>
      </c>
      <c r="Z1517" s="69"/>
      <c r="AA1517" s="16" t="e">
        <f t="shared" si="433"/>
        <v>#VALUE!</v>
      </c>
      <c r="AB1517" s="3" t="e">
        <f t="shared" si="434"/>
        <v>#VALUE!</v>
      </c>
      <c r="AD1517" s="23" t="s">
        <v>1478</v>
      </c>
      <c r="AG1517" s="34">
        <f t="shared" si="435"/>
        <v>0</v>
      </c>
      <c r="AH1517" s="44" t="s">
        <v>4200</v>
      </c>
      <c r="AI1517" s="131"/>
      <c r="AK1517" s="66">
        <f t="shared" si="436"/>
        <v>0</v>
      </c>
      <c r="AL1517" s="174">
        <f t="shared" si="437"/>
        <v>0</v>
      </c>
      <c r="AM1517" s="346">
        <f>RTD("money.excel",,$G1517,"PredictVolume")</f>
        <v>0</v>
      </c>
      <c r="AN1517" s="272">
        <f>RTD("money.excel",,$G1517,"CumulativeVolume")</f>
        <v>0</v>
      </c>
      <c r="AO1517" s="284"/>
    </row>
    <row r="1518" spans="1:41">
      <c r="A1518" s="135" t="s">
        <v>5576</v>
      </c>
      <c r="B1518" s="98">
        <v>1829</v>
      </c>
      <c r="C1518" s="98">
        <v>1896</v>
      </c>
      <c r="D1518" s="85">
        <v>-6</v>
      </c>
      <c r="E1518" s="84">
        <v>161</v>
      </c>
      <c r="F1518" s="59">
        <v>53.29</v>
      </c>
      <c r="G1518" s="85">
        <v>2615</v>
      </c>
      <c r="H1518" s="4" t="s">
        <v>551</v>
      </c>
      <c r="I1518" s="23" t="s">
        <v>256</v>
      </c>
      <c r="J1518" s="371">
        <v>85.05</v>
      </c>
      <c r="K1518" s="371">
        <v>44.69</v>
      </c>
      <c r="L1518" s="371">
        <v>7.4</v>
      </c>
      <c r="M1518" s="77">
        <v>4.5</v>
      </c>
      <c r="N1518" s="77">
        <f t="shared" si="430"/>
        <v>141.64000000000001</v>
      </c>
      <c r="O1518" s="369">
        <f t="shared" si="431"/>
        <v>89.55</v>
      </c>
      <c r="P1518" s="195">
        <v>98</v>
      </c>
      <c r="Q1518" s="326">
        <v>22</v>
      </c>
      <c r="R1518" s="111">
        <v>18</v>
      </c>
      <c r="S1518" s="51">
        <v>68</v>
      </c>
      <c r="T1518" s="339">
        <f t="shared" si="432"/>
        <v>206</v>
      </c>
      <c r="U1518" s="329" t="s">
        <v>6541</v>
      </c>
      <c r="V1518" s="371">
        <v>1.79</v>
      </c>
      <c r="W1518" s="35">
        <v>2</v>
      </c>
      <c r="X1518" s="59">
        <v>33.86</v>
      </c>
      <c r="Y1518" s="14" t="str">
        <f>RTD("money.excel",,"2615","Price")</f>
        <v>無資料</v>
      </c>
      <c r="Z1518" s="69"/>
      <c r="AA1518" s="16" t="e">
        <f t="shared" si="433"/>
        <v>#VALUE!</v>
      </c>
      <c r="AB1518" s="3" t="e">
        <f t="shared" si="434"/>
        <v>#VALUE!</v>
      </c>
      <c r="AC1518" s="177" t="s">
        <v>2648</v>
      </c>
      <c r="AD1518" s="23" t="s">
        <v>256</v>
      </c>
      <c r="AG1518" s="34">
        <f t="shared" si="435"/>
        <v>0</v>
      </c>
      <c r="AH1518" s="126" t="s">
        <v>3283</v>
      </c>
      <c r="AI1518" s="131"/>
      <c r="AK1518" s="66">
        <f t="shared" si="436"/>
        <v>0</v>
      </c>
      <c r="AL1518" s="174">
        <f t="shared" si="437"/>
        <v>0</v>
      </c>
      <c r="AM1518" s="346">
        <f>RTD("money.excel",,$G1518,"PredictVolume")</f>
        <v>0</v>
      </c>
      <c r="AN1518" s="272">
        <f>RTD("money.excel",,$G1518,"CumulativeVolume")</f>
        <v>0</v>
      </c>
      <c r="AO1518" s="284"/>
    </row>
    <row r="1519" spans="1:41">
      <c r="A1519" s="135" t="s">
        <v>2778</v>
      </c>
      <c r="B1519" s="84">
        <v>16</v>
      </c>
      <c r="C1519" s="84">
        <v>148</v>
      </c>
      <c r="D1519" s="85">
        <v>-1</v>
      </c>
      <c r="E1519" s="84">
        <v>45</v>
      </c>
      <c r="F1519" s="59">
        <v>34.19</v>
      </c>
      <c r="G1519" s="85">
        <v>2617</v>
      </c>
      <c r="H1519" s="4" t="s">
        <v>551</v>
      </c>
      <c r="I1519" s="23" t="s">
        <v>1479</v>
      </c>
      <c r="J1519" s="371">
        <v>52.37</v>
      </c>
      <c r="K1519" s="77">
        <v>5.19</v>
      </c>
      <c r="L1519" s="77">
        <v>14.74</v>
      </c>
      <c r="M1519" s="77">
        <v>43.72</v>
      </c>
      <c r="N1519" s="365">
        <f t="shared" si="430"/>
        <v>116.02</v>
      </c>
      <c r="O1519" s="369">
        <f t="shared" si="431"/>
        <v>96.09</v>
      </c>
      <c r="P1519" s="195">
        <v>31</v>
      </c>
      <c r="Q1519" s="326">
        <v>44</v>
      </c>
      <c r="R1519" s="111">
        <v>32</v>
      </c>
      <c r="S1519" s="51">
        <v>54</v>
      </c>
      <c r="T1519" s="339">
        <f t="shared" si="432"/>
        <v>161</v>
      </c>
      <c r="U1519" s="329" t="s">
        <v>6538</v>
      </c>
      <c r="V1519" s="371">
        <v>1.65</v>
      </c>
      <c r="W1519" s="35">
        <v>0.9</v>
      </c>
      <c r="X1519" s="59">
        <v>2.57</v>
      </c>
      <c r="Y1519" s="37" t="str">
        <f>RTD("money.excel",,"2617","Price")</f>
        <v>無資料</v>
      </c>
      <c r="Z1519" s="69"/>
      <c r="AA1519" s="16" t="e">
        <f t="shared" si="433"/>
        <v>#VALUE!</v>
      </c>
      <c r="AB1519" s="3" t="e">
        <f t="shared" si="434"/>
        <v>#VALUE!</v>
      </c>
      <c r="AC1519" s="177" t="s">
        <v>2648</v>
      </c>
      <c r="AD1519" s="23" t="s">
        <v>1479</v>
      </c>
      <c r="AG1519" s="34">
        <f t="shared" si="435"/>
        <v>0</v>
      </c>
      <c r="AH1519" s="63" t="s">
        <v>5214</v>
      </c>
      <c r="AI1519" s="131"/>
      <c r="AK1519" s="66">
        <f t="shared" si="436"/>
        <v>0</v>
      </c>
      <c r="AL1519" s="174">
        <f t="shared" si="437"/>
        <v>0</v>
      </c>
      <c r="AM1519" s="346">
        <f>RTD("money.excel",,$G1519,"PredictVolume")</f>
        <v>0</v>
      </c>
      <c r="AN1519" s="272">
        <f>RTD("money.excel",,$G1519,"CumulativeVolume")</f>
        <v>0</v>
      </c>
      <c r="AO1519" s="284"/>
    </row>
    <row r="1520" spans="1:41">
      <c r="A1520" s="151" t="s">
        <v>2477</v>
      </c>
      <c r="B1520" s="85">
        <v>-192</v>
      </c>
      <c r="C1520" s="85">
        <v>-121</v>
      </c>
      <c r="D1520" s="85">
        <v>-1</v>
      </c>
      <c r="E1520" s="85">
        <v>-55</v>
      </c>
      <c r="F1520" s="7">
        <v>-55.47</v>
      </c>
      <c r="G1520" s="85">
        <v>2618</v>
      </c>
      <c r="H1520" s="4" t="s">
        <v>551</v>
      </c>
      <c r="I1520" s="23" t="s">
        <v>41</v>
      </c>
      <c r="J1520" s="371">
        <v>68.58</v>
      </c>
      <c r="K1520" s="371">
        <v>19.649999999999999</v>
      </c>
      <c r="L1520" s="371">
        <v>2.8</v>
      </c>
      <c r="N1520" s="365">
        <f t="shared" si="430"/>
        <v>91.029999999999987</v>
      </c>
      <c r="O1520" s="343">
        <f t="shared" si="431"/>
        <v>68.58</v>
      </c>
      <c r="P1520" s="195">
        <v>21</v>
      </c>
      <c r="Q1520" s="326">
        <f>IFERROR(VLOOKUP($G1520,主力整理!$A$2:$G$2301,6,0),"0")</f>
        <v>4</v>
      </c>
      <c r="T1520" s="339">
        <f t="shared" si="432"/>
        <v>25</v>
      </c>
      <c r="V1520" s="371">
        <v>2.14</v>
      </c>
      <c r="W1520" s="35">
        <v>0</v>
      </c>
      <c r="X1520" s="100">
        <v>-0.69</v>
      </c>
      <c r="Y1520" s="37" t="str">
        <f>RTD("money.excel",,"2618","Price")</f>
        <v>無資料</v>
      </c>
      <c r="Z1520" s="69"/>
      <c r="AA1520" s="16" t="e">
        <f t="shared" si="433"/>
        <v>#VALUE!</v>
      </c>
      <c r="AB1520" s="3" t="e">
        <f t="shared" si="434"/>
        <v>#VALUE!</v>
      </c>
      <c r="AC1520" s="177" t="s">
        <v>2648</v>
      </c>
      <c r="AD1520" s="23" t="s">
        <v>41</v>
      </c>
      <c r="AG1520" s="34">
        <f t="shared" si="435"/>
        <v>0</v>
      </c>
      <c r="AH1520" s="125" t="s">
        <v>5215</v>
      </c>
      <c r="AI1520" s="131"/>
      <c r="AK1520" s="66">
        <f t="shared" si="436"/>
        <v>0</v>
      </c>
      <c r="AL1520" s="174">
        <f t="shared" si="437"/>
        <v>0</v>
      </c>
      <c r="AM1520" s="346">
        <f>RTD("money.excel",,$G1520,"PredictVolume")</f>
        <v>0</v>
      </c>
      <c r="AN1520" s="272">
        <f>RTD("money.excel",,$G1520,"CumulativeVolume")</f>
        <v>0</v>
      </c>
      <c r="AO1520" s="284"/>
    </row>
    <row r="1521" spans="1:41">
      <c r="A1521" s="151" t="s">
        <v>2566</v>
      </c>
      <c r="B1521" s="85">
        <v>-524</v>
      </c>
      <c r="C1521" s="85">
        <v>-246</v>
      </c>
      <c r="D1521" s="84">
        <v>2</v>
      </c>
      <c r="E1521" s="84">
        <v>52</v>
      </c>
      <c r="F1521" s="7">
        <v>-2.13</v>
      </c>
      <c r="G1521" s="85">
        <v>2630</v>
      </c>
      <c r="H1521" s="4" t="s">
        <v>551</v>
      </c>
      <c r="I1521" s="23" t="s">
        <v>1480</v>
      </c>
      <c r="J1521" s="77">
        <v>87.2</v>
      </c>
      <c r="K1521" s="371">
        <v>0.12</v>
      </c>
      <c r="N1521" s="365">
        <f t="shared" si="430"/>
        <v>87.320000000000007</v>
      </c>
      <c r="O1521" s="343">
        <f t="shared" si="431"/>
        <v>87.2</v>
      </c>
      <c r="P1521" s="195" t="s">
        <v>5554</v>
      </c>
      <c r="Q1521" s="326" t="str">
        <f>IFERROR(VLOOKUP($G1521,主力整理!$A$2:$G$2301,6,0),"0")</f>
        <v>0</v>
      </c>
      <c r="T1521" s="339">
        <f t="shared" si="432"/>
        <v>0</v>
      </c>
      <c r="W1521" s="35">
        <v>0.59</v>
      </c>
      <c r="X1521" s="100">
        <v>0.35</v>
      </c>
      <c r="Y1521" s="37" t="str">
        <f>RTD("money.excel",,"2630","Price")</f>
        <v>無資料</v>
      </c>
      <c r="Z1521" s="69"/>
      <c r="AA1521" s="16" t="e">
        <f t="shared" si="433"/>
        <v>#VALUE!</v>
      </c>
      <c r="AB1521" s="3" t="e">
        <f t="shared" si="434"/>
        <v>#VALUE!</v>
      </c>
      <c r="AC1521" s="177" t="s">
        <v>2648</v>
      </c>
      <c r="AD1521" s="23" t="s">
        <v>1480</v>
      </c>
      <c r="AG1521" s="34">
        <f t="shared" si="435"/>
        <v>0</v>
      </c>
      <c r="AH1521" s="44" t="s">
        <v>3018</v>
      </c>
      <c r="AI1521" s="131"/>
      <c r="AK1521" s="66">
        <f t="shared" si="436"/>
        <v>0</v>
      </c>
      <c r="AL1521" s="174">
        <f t="shared" si="437"/>
        <v>0</v>
      </c>
      <c r="AM1521" s="346">
        <f>RTD("money.excel",,$G1521,"PredictVolume")</f>
        <v>0</v>
      </c>
      <c r="AN1521" s="272">
        <f>RTD("money.excel",,$G1521,"CumulativeVolume")</f>
        <v>0</v>
      </c>
      <c r="AO1521" s="284"/>
    </row>
    <row r="1522" spans="1:41">
      <c r="A1522" s="135" t="s">
        <v>3134</v>
      </c>
      <c r="B1522" s="84">
        <v>21</v>
      </c>
      <c r="C1522" s="84">
        <v>5</v>
      </c>
      <c r="D1522" s="85">
        <v>-78</v>
      </c>
      <c r="E1522" s="85">
        <v>-87</v>
      </c>
      <c r="F1522" s="59">
        <v>32.159999999999997</v>
      </c>
      <c r="G1522" s="85">
        <v>2633</v>
      </c>
      <c r="H1522" s="4" t="s">
        <v>551</v>
      </c>
      <c r="I1522" s="23" t="s">
        <v>1785</v>
      </c>
      <c r="J1522" s="371">
        <v>84.59</v>
      </c>
      <c r="K1522" s="371">
        <v>9.8000000000000007</v>
      </c>
      <c r="L1522" s="77">
        <v>0.65</v>
      </c>
      <c r="N1522" s="365">
        <f t="shared" si="430"/>
        <v>95.04</v>
      </c>
      <c r="O1522" s="343">
        <f t="shared" si="431"/>
        <v>84.59</v>
      </c>
      <c r="P1522" s="195" t="s">
        <v>5554</v>
      </c>
      <c r="Q1522" s="326">
        <f>IFERROR(VLOOKUP($G1522,主力整理!$A$2:$G$2301,6,0),"0")</f>
        <v>8</v>
      </c>
      <c r="R1522" s="111">
        <v>0</v>
      </c>
      <c r="S1522" s="51">
        <v>10</v>
      </c>
      <c r="T1522" s="339">
        <f t="shared" si="432"/>
        <v>18</v>
      </c>
      <c r="V1522" s="371">
        <v>6.39</v>
      </c>
      <c r="W1522" s="35">
        <v>1.05</v>
      </c>
      <c r="X1522" s="59">
        <v>1.08</v>
      </c>
      <c r="Y1522" s="37" t="str">
        <f>RTD("money.excel",,"2633","Price")</f>
        <v>無資料</v>
      </c>
      <c r="Z1522" s="69"/>
      <c r="AA1522" s="16" t="e">
        <f t="shared" si="433"/>
        <v>#VALUE!</v>
      </c>
      <c r="AB1522" s="3" t="e">
        <f t="shared" si="434"/>
        <v>#VALUE!</v>
      </c>
      <c r="AD1522" s="23" t="s">
        <v>1785</v>
      </c>
      <c r="AG1522" s="34">
        <f t="shared" si="435"/>
        <v>0</v>
      </c>
      <c r="AH1522" s="126" t="s">
        <v>2142</v>
      </c>
      <c r="AI1522" s="131"/>
      <c r="AK1522" s="66">
        <f t="shared" si="436"/>
        <v>0</v>
      </c>
      <c r="AL1522" s="174">
        <f t="shared" si="437"/>
        <v>0</v>
      </c>
      <c r="AM1522" s="346">
        <f>RTD("money.excel",,$G1522,"PredictVolume")</f>
        <v>0</v>
      </c>
      <c r="AN1522" s="272">
        <f>RTD("money.excel",,$G1522,"CumulativeVolume")</f>
        <v>0</v>
      </c>
      <c r="AO1522" s="284"/>
    </row>
    <row r="1523" spans="1:41">
      <c r="A1523" s="151" t="s">
        <v>2926</v>
      </c>
      <c r="B1523" s="85">
        <v>-597</v>
      </c>
      <c r="C1523" s="99">
        <v>-3342</v>
      </c>
      <c r="D1523" s="84">
        <v>10</v>
      </c>
      <c r="E1523" s="84">
        <v>45</v>
      </c>
      <c r="F1523" s="7">
        <v>-5.12</v>
      </c>
      <c r="G1523" s="85">
        <v>2634</v>
      </c>
      <c r="H1523" s="4" t="s">
        <v>551</v>
      </c>
      <c r="I1523" s="23" t="s">
        <v>224</v>
      </c>
      <c r="J1523" s="371">
        <v>55.42</v>
      </c>
      <c r="K1523" s="371">
        <v>1.51</v>
      </c>
      <c r="L1523" s="371">
        <v>2.48</v>
      </c>
      <c r="N1523" s="365">
        <f t="shared" si="430"/>
        <v>59.41</v>
      </c>
      <c r="O1523" s="343">
        <f t="shared" si="431"/>
        <v>55.42</v>
      </c>
      <c r="P1523" s="195">
        <v>1</v>
      </c>
      <c r="Q1523" s="326">
        <f>IFERROR(VLOOKUP($G1523,主力整理!$A$2:$G$2301,6,0),"0")</f>
        <v>5</v>
      </c>
      <c r="T1523" s="339">
        <f t="shared" si="432"/>
        <v>6</v>
      </c>
      <c r="V1523" s="371">
        <v>0.09</v>
      </c>
      <c r="W1523" s="35">
        <v>0.2</v>
      </c>
      <c r="X1523" s="59">
        <v>0.08</v>
      </c>
      <c r="Y1523" s="37" t="str">
        <f>RTD("money.excel",,"2634","Price")</f>
        <v>無資料</v>
      </c>
      <c r="Z1523" s="69"/>
      <c r="AA1523" s="16" t="e">
        <f t="shared" si="433"/>
        <v>#VALUE!</v>
      </c>
      <c r="AB1523" s="3" t="e">
        <f t="shared" si="434"/>
        <v>#VALUE!</v>
      </c>
      <c r="AC1523" s="177" t="s">
        <v>2648</v>
      </c>
      <c r="AD1523" s="23" t="s">
        <v>224</v>
      </c>
      <c r="AG1523" s="34">
        <f t="shared" si="435"/>
        <v>0</v>
      </c>
      <c r="AH1523" s="125" t="s">
        <v>2148</v>
      </c>
      <c r="AI1523" s="131"/>
      <c r="AK1523" s="66">
        <f t="shared" si="436"/>
        <v>0</v>
      </c>
      <c r="AL1523" s="174">
        <f t="shared" si="437"/>
        <v>0</v>
      </c>
      <c r="AM1523" s="346">
        <f>RTD("money.excel",,$G1523,"PredictVolume")</f>
        <v>0</v>
      </c>
      <c r="AN1523" s="272">
        <f>RTD("money.excel",,$G1523,"CumulativeVolume")</f>
        <v>0</v>
      </c>
      <c r="AO1523" s="284"/>
    </row>
    <row r="1524" spans="1:41">
      <c r="A1524" s="135" t="s">
        <v>4784</v>
      </c>
      <c r="B1524" s="84">
        <v>691</v>
      </c>
      <c r="C1524" s="84">
        <v>515</v>
      </c>
      <c r="D1524" s="85">
        <v>-7</v>
      </c>
      <c r="E1524" s="84">
        <v>130</v>
      </c>
      <c r="F1524" s="59">
        <v>11.81</v>
      </c>
      <c r="G1524" s="85">
        <v>2636</v>
      </c>
      <c r="H1524" s="4" t="s">
        <v>551</v>
      </c>
      <c r="I1524" s="23" t="s">
        <v>2987</v>
      </c>
      <c r="J1524" s="77">
        <v>35.42</v>
      </c>
      <c r="K1524" s="371">
        <v>12.95</v>
      </c>
      <c r="L1524" s="77">
        <v>34.090000000000003</v>
      </c>
      <c r="M1524" s="371">
        <v>19.34</v>
      </c>
      <c r="N1524" s="365">
        <f t="shared" si="430"/>
        <v>101.80000000000001</v>
      </c>
      <c r="O1524" s="343">
        <f t="shared" si="431"/>
        <v>54.760000000000005</v>
      </c>
      <c r="P1524" s="195">
        <v>29</v>
      </c>
      <c r="Q1524" s="326">
        <v>42</v>
      </c>
      <c r="R1524" s="111">
        <v>26</v>
      </c>
      <c r="S1524" s="51">
        <v>51</v>
      </c>
      <c r="T1524" s="339">
        <f t="shared" si="432"/>
        <v>148</v>
      </c>
      <c r="U1524" s="329" t="s">
        <v>6538</v>
      </c>
      <c r="V1524" s="371">
        <v>5.0599999999999996</v>
      </c>
      <c r="W1524" s="69">
        <v>3.02</v>
      </c>
      <c r="X1524" s="100">
        <v>24.5</v>
      </c>
      <c r="Y1524" s="37" t="str">
        <f>RTD("money.excel",,"2636","Price")</f>
        <v>無資料</v>
      </c>
      <c r="Z1524" s="69"/>
      <c r="AA1524" s="16" t="e">
        <f t="shared" si="433"/>
        <v>#VALUE!</v>
      </c>
      <c r="AB1524" s="3" t="e">
        <f t="shared" si="434"/>
        <v>#VALUE!</v>
      </c>
      <c r="AC1524" s="177" t="s">
        <v>2929</v>
      </c>
      <c r="AD1524" s="23" t="s">
        <v>2987</v>
      </c>
      <c r="AG1524" s="34">
        <f t="shared" si="435"/>
        <v>0</v>
      </c>
      <c r="AH1524" s="63" t="s">
        <v>3188</v>
      </c>
      <c r="AI1524" s="131"/>
      <c r="AK1524" s="66">
        <f t="shared" si="436"/>
        <v>0</v>
      </c>
      <c r="AL1524" s="174">
        <f t="shared" si="437"/>
        <v>0</v>
      </c>
      <c r="AM1524" s="346">
        <f>RTD("money.excel",,$G1524,"PredictVolume")</f>
        <v>0</v>
      </c>
      <c r="AN1524" s="272">
        <f>RTD("money.excel",,$G1524,"CumulativeVolume")</f>
        <v>0</v>
      </c>
      <c r="AO1524" s="284"/>
    </row>
    <row r="1525" spans="1:41">
      <c r="A1525" s="135" t="s">
        <v>2546</v>
      </c>
      <c r="B1525" s="98">
        <v>1731</v>
      </c>
      <c r="C1525" s="84">
        <v>490</v>
      </c>
      <c r="D1525" s="85">
        <v>-2</v>
      </c>
      <c r="E1525" s="84">
        <v>92</v>
      </c>
      <c r="F1525" s="59">
        <v>38.93</v>
      </c>
      <c r="G1525" s="85">
        <v>2637</v>
      </c>
      <c r="H1525" s="4" t="s">
        <v>551</v>
      </c>
      <c r="I1525" s="23" t="s">
        <v>1481</v>
      </c>
      <c r="J1525" s="77">
        <v>64.39</v>
      </c>
      <c r="K1525" s="77">
        <v>14.27</v>
      </c>
      <c r="L1525" s="371">
        <v>10.01</v>
      </c>
      <c r="M1525" s="77">
        <v>27.84</v>
      </c>
      <c r="N1525" s="365">
        <f t="shared" si="430"/>
        <v>116.51</v>
      </c>
      <c r="O1525" s="369">
        <f t="shared" si="431"/>
        <v>92.23</v>
      </c>
      <c r="P1525" s="195">
        <v>54</v>
      </c>
      <c r="Q1525" s="326">
        <v>48</v>
      </c>
      <c r="R1525" s="111">
        <v>37</v>
      </c>
      <c r="S1525" s="51">
        <v>46</v>
      </c>
      <c r="T1525" s="339">
        <f t="shared" si="432"/>
        <v>185</v>
      </c>
      <c r="U1525" s="329" t="s">
        <v>6540</v>
      </c>
      <c r="V1525" s="371">
        <v>1.7</v>
      </c>
      <c r="W1525" s="35">
        <v>1.5</v>
      </c>
      <c r="X1525" s="59">
        <v>7.48</v>
      </c>
      <c r="Y1525" s="37" t="str">
        <f>RTD("money.excel",,"2637","Price")</f>
        <v>無資料</v>
      </c>
      <c r="Z1525" s="69"/>
      <c r="AA1525" s="16" t="e">
        <f t="shared" si="433"/>
        <v>#VALUE!</v>
      </c>
      <c r="AB1525" s="3" t="e">
        <f t="shared" si="434"/>
        <v>#VALUE!</v>
      </c>
      <c r="AC1525" s="177" t="s">
        <v>2648</v>
      </c>
      <c r="AD1525" s="23" t="s">
        <v>1481</v>
      </c>
      <c r="AG1525" s="34">
        <f t="shared" si="435"/>
        <v>0</v>
      </c>
      <c r="AH1525" s="63" t="s">
        <v>3189</v>
      </c>
      <c r="AI1525" s="131"/>
      <c r="AK1525" s="66">
        <f t="shared" si="436"/>
        <v>0</v>
      </c>
      <c r="AL1525" s="174">
        <f t="shared" si="437"/>
        <v>0</v>
      </c>
      <c r="AM1525" s="346">
        <f>RTD("money.excel",,$G1525,"PredictVolume")</f>
        <v>0</v>
      </c>
      <c r="AN1525" s="272">
        <f>RTD("money.excel",,$G1525,"CumulativeVolume")</f>
        <v>0</v>
      </c>
      <c r="AO1525" s="284"/>
    </row>
    <row r="1526" spans="1:41">
      <c r="A1526" s="135" t="s">
        <v>3192</v>
      </c>
      <c r="B1526" s="84">
        <v>115</v>
      </c>
      <c r="C1526" s="84">
        <v>21</v>
      </c>
      <c r="D1526" s="84">
        <v>7</v>
      </c>
      <c r="E1526" s="84">
        <v>56</v>
      </c>
      <c r="F1526" s="59">
        <v>20.99</v>
      </c>
      <c r="G1526" s="85">
        <v>2641</v>
      </c>
      <c r="H1526" s="4" t="s">
        <v>551</v>
      </c>
      <c r="I1526" s="17" t="s">
        <v>1469</v>
      </c>
      <c r="J1526" s="371">
        <v>29</v>
      </c>
      <c r="K1526" s="77">
        <v>1.07</v>
      </c>
      <c r="L1526" s="77">
        <v>18.170000000000002</v>
      </c>
      <c r="N1526" s="365">
        <f t="shared" si="430"/>
        <v>48.24</v>
      </c>
      <c r="O1526" s="343">
        <f t="shared" si="431"/>
        <v>29</v>
      </c>
      <c r="P1526" s="195">
        <v>4</v>
      </c>
      <c r="Q1526" s="326">
        <f>IFERROR(VLOOKUP($G1526,主力整理!$A$2:$G$2301,6,0),"0")</f>
        <v>3</v>
      </c>
      <c r="R1526" s="111">
        <v>27</v>
      </c>
      <c r="S1526" s="51">
        <v>0</v>
      </c>
      <c r="T1526" s="339">
        <f t="shared" si="432"/>
        <v>34</v>
      </c>
      <c r="V1526" s="371">
        <v>7.7</v>
      </c>
      <c r="W1526" s="35">
        <v>0</v>
      </c>
      <c r="X1526" s="100">
        <v>0.63</v>
      </c>
      <c r="Y1526" s="37" t="str">
        <f>RTD("money.excel",,"2641","Price")</f>
        <v>無資料</v>
      </c>
      <c r="Z1526" s="69"/>
      <c r="AA1526" s="16" t="e">
        <f t="shared" si="433"/>
        <v>#VALUE!</v>
      </c>
      <c r="AB1526" s="3" t="e">
        <f t="shared" si="434"/>
        <v>#VALUE!</v>
      </c>
      <c r="AC1526" s="177" t="s">
        <v>2648</v>
      </c>
      <c r="AD1526" s="17" t="s">
        <v>1469</v>
      </c>
      <c r="AG1526" s="34">
        <f t="shared" si="435"/>
        <v>0</v>
      </c>
      <c r="AH1526" s="63" t="s">
        <v>3366</v>
      </c>
      <c r="AI1526" s="131"/>
      <c r="AK1526" s="66">
        <f t="shared" si="436"/>
        <v>0</v>
      </c>
      <c r="AL1526" s="174">
        <f t="shared" si="437"/>
        <v>0</v>
      </c>
      <c r="AM1526" s="346">
        <f>RTD("money.excel",,$G1526,"PredictVolume")</f>
        <v>0</v>
      </c>
      <c r="AN1526" s="272">
        <f>RTD("money.excel",,$G1526,"CumulativeVolume")</f>
        <v>0</v>
      </c>
      <c r="AO1526" s="284"/>
    </row>
    <row r="1527" spans="1:41">
      <c r="A1527" s="151" t="s">
        <v>3231</v>
      </c>
      <c r="B1527" s="84">
        <v>28</v>
      </c>
      <c r="C1527" s="84">
        <v>26</v>
      </c>
      <c r="D1527" s="84">
        <v>0</v>
      </c>
      <c r="E1527" s="84">
        <v>13</v>
      </c>
      <c r="F1527" s="7">
        <v>7.63</v>
      </c>
      <c r="G1527" s="85">
        <v>2642</v>
      </c>
      <c r="H1527" s="4" t="s">
        <v>551</v>
      </c>
      <c r="I1527" s="23" t="s">
        <v>1482</v>
      </c>
      <c r="J1527" s="371">
        <v>60.38</v>
      </c>
      <c r="K1527" s="371">
        <v>6.51</v>
      </c>
      <c r="L1527" s="371">
        <v>14.62</v>
      </c>
      <c r="N1527" s="365">
        <f t="shared" si="430"/>
        <v>81.510000000000005</v>
      </c>
      <c r="O1527" s="343">
        <f t="shared" si="431"/>
        <v>60.38</v>
      </c>
      <c r="P1527" s="195">
        <v>0</v>
      </c>
      <c r="Q1527" s="326">
        <v>8</v>
      </c>
      <c r="R1527" s="111">
        <v>19</v>
      </c>
      <c r="S1527" s="51">
        <v>0</v>
      </c>
      <c r="T1527" s="339">
        <f t="shared" si="432"/>
        <v>27</v>
      </c>
      <c r="V1527" s="371">
        <v>8.64</v>
      </c>
      <c r="W1527" s="35">
        <v>1.8</v>
      </c>
      <c r="X1527" s="59">
        <v>2.52</v>
      </c>
      <c r="Y1527" s="37" t="str">
        <f>RTD("money.excel",,"2642","Price")</f>
        <v>無資料</v>
      </c>
      <c r="Z1527" s="69"/>
      <c r="AA1527" s="16" t="e">
        <f t="shared" si="433"/>
        <v>#VALUE!</v>
      </c>
      <c r="AB1527" s="3" t="e">
        <f t="shared" si="434"/>
        <v>#VALUE!</v>
      </c>
      <c r="AC1527" s="177" t="s">
        <v>2648</v>
      </c>
      <c r="AD1527" s="23" t="s">
        <v>1482</v>
      </c>
      <c r="AG1527" s="34">
        <f t="shared" si="435"/>
        <v>0</v>
      </c>
      <c r="AH1527" s="44" t="s">
        <v>3232</v>
      </c>
      <c r="AI1527" s="131"/>
      <c r="AK1527" s="66">
        <f t="shared" si="436"/>
        <v>0</v>
      </c>
      <c r="AL1527" s="174">
        <f t="shared" si="437"/>
        <v>0</v>
      </c>
      <c r="AM1527" s="346">
        <f>RTD("money.excel",,$G1527,"PredictVolume")</f>
        <v>0</v>
      </c>
      <c r="AN1527" s="272">
        <f>RTD("money.excel",,$G1527,"CumulativeVolume")</f>
        <v>0</v>
      </c>
      <c r="AO1527" s="284"/>
    </row>
    <row r="1528" spans="1:41">
      <c r="A1528" s="151" t="s">
        <v>3993</v>
      </c>
      <c r="B1528" s="84">
        <v>21</v>
      </c>
      <c r="C1528" s="84">
        <v>25</v>
      </c>
      <c r="D1528" s="84">
        <v>14</v>
      </c>
      <c r="E1528" s="84">
        <v>66</v>
      </c>
      <c r="F1528" s="7">
        <v>6.15</v>
      </c>
      <c r="G1528" s="85">
        <v>2643</v>
      </c>
      <c r="H1528" s="4" t="s">
        <v>551</v>
      </c>
      <c r="I1528" s="17" t="s">
        <v>1470</v>
      </c>
      <c r="J1528" s="77">
        <v>54.07</v>
      </c>
      <c r="K1528" s="77">
        <v>2.78</v>
      </c>
      <c r="L1528" s="371">
        <v>12.27</v>
      </c>
      <c r="N1528" s="365">
        <f t="shared" si="430"/>
        <v>69.12</v>
      </c>
      <c r="O1528" s="343">
        <f t="shared" si="431"/>
        <v>54.07</v>
      </c>
      <c r="P1528" s="195">
        <v>2</v>
      </c>
      <c r="Q1528" s="326" t="str">
        <f>IFERROR(VLOOKUP($G1528,主力整理!$A$2:$G$2301,6,0),"0")</f>
        <v>0</v>
      </c>
      <c r="R1528" s="111">
        <v>13</v>
      </c>
      <c r="S1528" s="51">
        <v>0</v>
      </c>
      <c r="T1528" s="339">
        <f t="shared" si="432"/>
        <v>15</v>
      </c>
      <c r="V1528" s="371">
        <v>0.87</v>
      </c>
      <c r="W1528" s="69">
        <v>4</v>
      </c>
      <c r="X1528" s="59">
        <v>7.77</v>
      </c>
      <c r="Y1528" s="37" t="str">
        <f>RTD("money.excel",,"2643","Price")</f>
        <v>無資料</v>
      </c>
      <c r="Z1528" s="69"/>
      <c r="AA1528" s="16" t="e">
        <f t="shared" si="433"/>
        <v>#VALUE!</v>
      </c>
      <c r="AB1528" s="3" t="e">
        <f t="shared" si="434"/>
        <v>#VALUE!</v>
      </c>
      <c r="AC1528" s="177" t="s">
        <v>2929</v>
      </c>
      <c r="AD1528" s="17" t="s">
        <v>1470</v>
      </c>
      <c r="AG1528" s="34">
        <f t="shared" si="435"/>
        <v>0</v>
      </c>
      <c r="AH1528" s="44" t="s">
        <v>4199</v>
      </c>
      <c r="AI1528" s="131"/>
      <c r="AK1528" s="66">
        <f t="shared" si="436"/>
        <v>0</v>
      </c>
      <c r="AL1528" s="174">
        <f t="shared" si="437"/>
        <v>0</v>
      </c>
      <c r="AM1528" s="346">
        <f>RTD("money.excel",,$G1528,"PredictVolume")</f>
        <v>0</v>
      </c>
      <c r="AN1528" s="272">
        <f>RTD("money.excel",,$G1528,"CumulativeVolume")</f>
        <v>0</v>
      </c>
      <c r="AO1528" s="284"/>
    </row>
    <row r="1529" spans="1:41">
      <c r="A1529" s="135" t="s">
        <v>4749</v>
      </c>
      <c r="B1529" s="96">
        <v>7</v>
      </c>
      <c r="C1529" s="96">
        <v>14</v>
      </c>
      <c r="D1529" s="96">
        <v>2</v>
      </c>
      <c r="E1529" s="96">
        <v>-3</v>
      </c>
      <c r="F1529" s="59">
        <v>32.92</v>
      </c>
      <c r="G1529" s="85">
        <v>5601</v>
      </c>
      <c r="H1529" s="4" t="s">
        <v>551</v>
      </c>
      <c r="I1529" s="17" t="s">
        <v>1471</v>
      </c>
      <c r="J1529" s="77">
        <v>74.56</v>
      </c>
      <c r="K1529" s="77">
        <v>1.35</v>
      </c>
      <c r="N1529" s="365">
        <f t="shared" si="430"/>
        <v>75.91</v>
      </c>
      <c r="O1529" s="343">
        <f t="shared" si="431"/>
        <v>74.56</v>
      </c>
      <c r="P1529" s="195" t="s">
        <v>5554</v>
      </c>
      <c r="Q1529" s="326" t="str">
        <f>IFERROR(VLOOKUP($G1529,主力整理!$A$2:$G$2301,6,0),"0")</f>
        <v>0</v>
      </c>
      <c r="T1529" s="339">
        <f t="shared" si="432"/>
        <v>0</v>
      </c>
      <c r="V1529" s="371">
        <v>26.2</v>
      </c>
      <c r="W1529" s="35">
        <v>0.25</v>
      </c>
      <c r="X1529" s="100">
        <v>0.28999999999999998</v>
      </c>
      <c r="Y1529" s="14" t="str">
        <f>RTD("money.excel",,"5601","Price")</f>
        <v>無資料</v>
      </c>
      <c r="Z1529" s="69"/>
      <c r="AA1529" s="16" t="e">
        <f t="shared" si="433"/>
        <v>#VALUE!</v>
      </c>
      <c r="AB1529" s="3" t="e">
        <f t="shared" si="434"/>
        <v>#VALUE!</v>
      </c>
      <c r="AD1529" s="17" t="s">
        <v>1471</v>
      </c>
      <c r="AG1529" s="34">
        <f t="shared" si="435"/>
        <v>0</v>
      </c>
      <c r="AH1529" s="63" t="s">
        <v>4200</v>
      </c>
      <c r="AI1529" s="131"/>
      <c r="AK1529" s="66">
        <f t="shared" si="436"/>
        <v>0</v>
      </c>
      <c r="AL1529" s="174">
        <f t="shared" si="437"/>
        <v>0</v>
      </c>
      <c r="AM1529" s="346">
        <f>RTD("money.excel",,$G1529,"PredictVolume")</f>
        <v>0</v>
      </c>
      <c r="AN1529" s="272">
        <f>RTD("money.excel",,$G1529,"CumulativeVolume")</f>
        <v>0</v>
      </c>
      <c r="AO1529" s="284"/>
    </row>
    <row r="1530" spans="1:41">
      <c r="A1530" s="151" t="s">
        <v>3027</v>
      </c>
      <c r="B1530" s="98">
        <v>2479</v>
      </c>
      <c r="C1530" s="84">
        <v>42</v>
      </c>
      <c r="D1530" s="84">
        <v>3</v>
      </c>
      <c r="E1530" s="84">
        <v>27</v>
      </c>
      <c r="F1530" s="7">
        <v>6.46</v>
      </c>
      <c r="G1530" s="85">
        <v>5603</v>
      </c>
      <c r="H1530" s="54" t="s">
        <v>551</v>
      </c>
      <c r="I1530" s="17" t="s">
        <v>155</v>
      </c>
      <c r="J1530" s="77">
        <v>53.31</v>
      </c>
      <c r="K1530" s="371">
        <v>9.48</v>
      </c>
      <c r="L1530" s="371">
        <v>16.68</v>
      </c>
      <c r="M1530" s="371">
        <v>19.16</v>
      </c>
      <c r="N1530" s="365">
        <f t="shared" si="430"/>
        <v>98.63</v>
      </c>
      <c r="O1530" s="343">
        <f t="shared" si="431"/>
        <v>72.47</v>
      </c>
      <c r="P1530" s="195">
        <v>1</v>
      </c>
      <c r="Q1530" s="326">
        <v>20</v>
      </c>
      <c r="R1530" s="111">
        <v>35</v>
      </c>
      <c r="S1530" s="51">
        <v>26</v>
      </c>
      <c r="T1530" s="339">
        <f t="shared" si="432"/>
        <v>82</v>
      </c>
      <c r="U1530" s="329" t="s">
        <v>6538</v>
      </c>
      <c r="V1530" s="371">
        <v>0.61</v>
      </c>
      <c r="W1530" s="35">
        <v>1.3</v>
      </c>
      <c r="X1530" s="59">
        <v>9.9499999999999993</v>
      </c>
      <c r="Y1530" s="37" t="str">
        <f>RTD("money.excel",,"5603","Price")</f>
        <v>無資料</v>
      </c>
      <c r="Z1530" s="69"/>
      <c r="AA1530" s="16" t="e">
        <f t="shared" si="433"/>
        <v>#VALUE!</v>
      </c>
      <c r="AB1530" s="3" t="e">
        <f t="shared" si="434"/>
        <v>#VALUE!</v>
      </c>
      <c r="AC1530" s="177" t="s">
        <v>2648</v>
      </c>
      <c r="AD1530" s="17" t="s">
        <v>155</v>
      </c>
      <c r="AG1530" s="34">
        <f t="shared" si="435"/>
        <v>0</v>
      </c>
      <c r="AH1530" s="125" t="s">
        <v>4201</v>
      </c>
      <c r="AI1530" s="131"/>
      <c r="AK1530" s="66">
        <f t="shared" si="436"/>
        <v>0</v>
      </c>
      <c r="AL1530" s="174">
        <f t="shared" si="437"/>
        <v>0</v>
      </c>
      <c r="AM1530" s="346">
        <f>RTD("money.excel",,$G1530,"PredictVolume")</f>
        <v>0</v>
      </c>
      <c r="AN1530" s="272">
        <f>RTD("money.excel",,$G1530,"CumulativeVolume")</f>
        <v>0</v>
      </c>
      <c r="AO1530" s="284"/>
    </row>
    <row r="1531" spans="1:41">
      <c r="A1531" s="135" t="s">
        <v>2583</v>
      </c>
      <c r="B1531" s="98">
        <v>1366</v>
      </c>
      <c r="C1531" s="84">
        <v>42</v>
      </c>
      <c r="D1531" s="84">
        <v>7</v>
      </c>
      <c r="E1531" s="84">
        <v>36</v>
      </c>
      <c r="F1531" s="59">
        <v>65.010000000000005</v>
      </c>
      <c r="G1531" s="85">
        <v>5604</v>
      </c>
      <c r="H1531" s="4" t="s">
        <v>551</v>
      </c>
      <c r="I1531" s="17" t="s">
        <v>1472</v>
      </c>
      <c r="J1531" s="371">
        <v>56.73</v>
      </c>
      <c r="K1531" s="371">
        <v>10.9</v>
      </c>
      <c r="L1531" s="371">
        <v>0.85</v>
      </c>
      <c r="N1531" s="365">
        <f t="shared" si="430"/>
        <v>68.47999999999999</v>
      </c>
      <c r="O1531" s="343">
        <f t="shared" si="431"/>
        <v>56.73</v>
      </c>
      <c r="P1531" s="195" t="s">
        <v>5554</v>
      </c>
      <c r="Q1531" s="326" t="str">
        <f>IFERROR(VLOOKUP($G1531,主力整理!$A$2:$G$2301,6,0),"0")</f>
        <v>0</v>
      </c>
      <c r="R1531" s="111">
        <v>3</v>
      </c>
      <c r="S1531" s="51">
        <v>0</v>
      </c>
      <c r="T1531" s="339">
        <f t="shared" si="432"/>
        <v>3</v>
      </c>
      <c r="V1531" s="371">
        <v>10.39</v>
      </c>
      <c r="W1531" s="69">
        <v>7.95</v>
      </c>
      <c r="X1531" s="59">
        <v>14.6</v>
      </c>
      <c r="Y1531" s="37" t="str">
        <f>RTD("money.excel",,"5604","Price")</f>
        <v>無資料</v>
      </c>
      <c r="Z1531" s="69"/>
      <c r="AA1531" s="16" t="e">
        <f t="shared" si="433"/>
        <v>#VALUE!</v>
      </c>
      <c r="AB1531" s="3" t="e">
        <f t="shared" si="434"/>
        <v>#VALUE!</v>
      </c>
      <c r="AC1531" s="177" t="s">
        <v>2700</v>
      </c>
      <c r="AD1531" s="17" t="s">
        <v>1472</v>
      </c>
      <c r="AG1531" s="34">
        <f t="shared" si="435"/>
        <v>0</v>
      </c>
      <c r="AH1531" s="63" t="s">
        <v>4202</v>
      </c>
      <c r="AI1531" s="131"/>
      <c r="AK1531" s="66">
        <f t="shared" si="436"/>
        <v>0</v>
      </c>
      <c r="AL1531" s="174">
        <f t="shared" si="437"/>
        <v>0</v>
      </c>
      <c r="AM1531" s="346">
        <f>RTD("money.excel",,$G1531,"PredictVolume")</f>
        <v>0</v>
      </c>
      <c r="AN1531" s="272">
        <f>RTD("money.excel",,$G1531,"CumulativeVolume")</f>
        <v>0</v>
      </c>
      <c r="AO1531" s="284"/>
    </row>
    <row r="1532" spans="1:41">
      <c r="A1532" s="135" t="s">
        <v>3261</v>
      </c>
      <c r="B1532" s="84">
        <v>34</v>
      </c>
      <c r="C1532" s="84">
        <v>21</v>
      </c>
      <c r="D1532" s="84">
        <v>0</v>
      </c>
      <c r="E1532" s="84">
        <v>7</v>
      </c>
      <c r="F1532" s="59">
        <v>36.24</v>
      </c>
      <c r="G1532" s="85">
        <v>5607</v>
      </c>
      <c r="H1532" s="4" t="s">
        <v>551</v>
      </c>
      <c r="I1532" s="23" t="s">
        <v>1483</v>
      </c>
      <c r="J1532" s="77">
        <v>63.45</v>
      </c>
      <c r="K1532" s="371">
        <v>3.55</v>
      </c>
      <c r="L1532" s="77">
        <v>5.08</v>
      </c>
      <c r="N1532" s="365">
        <f t="shared" si="430"/>
        <v>72.08</v>
      </c>
      <c r="O1532" s="343">
        <f t="shared" si="431"/>
        <v>63.45</v>
      </c>
      <c r="P1532" s="195">
        <v>1</v>
      </c>
      <c r="Q1532" s="326">
        <f>IFERROR(VLOOKUP($G1532,主力整理!$A$2:$G$2301,6,0),"0")</f>
        <v>2</v>
      </c>
      <c r="T1532" s="339">
        <f t="shared" si="432"/>
        <v>3</v>
      </c>
      <c r="V1532" s="371">
        <v>0.06</v>
      </c>
      <c r="W1532" s="35">
        <v>1.2</v>
      </c>
      <c r="X1532" s="100">
        <v>2.0099999999999998</v>
      </c>
      <c r="Y1532" s="37" t="str">
        <f>RTD("money.excel",,"5607","Price")</f>
        <v>無資料</v>
      </c>
      <c r="Z1532" s="69"/>
      <c r="AA1532" s="16" t="e">
        <f t="shared" si="433"/>
        <v>#VALUE!</v>
      </c>
      <c r="AB1532" s="3" t="e">
        <f t="shared" si="434"/>
        <v>#VALUE!</v>
      </c>
      <c r="AC1532" s="177" t="s">
        <v>2648</v>
      </c>
      <c r="AD1532" s="23" t="s">
        <v>1483</v>
      </c>
      <c r="AG1532" s="34">
        <f t="shared" si="435"/>
        <v>0</v>
      </c>
      <c r="AH1532" s="63" t="s">
        <v>3262</v>
      </c>
      <c r="AI1532" s="131"/>
      <c r="AK1532" s="66">
        <f t="shared" si="436"/>
        <v>0</v>
      </c>
      <c r="AL1532" s="174">
        <f t="shared" si="437"/>
        <v>0</v>
      </c>
      <c r="AM1532" s="346">
        <f>RTD("money.excel",,$G1532,"PredictVolume")</f>
        <v>0</v>
      </c>
      <c r="AN1532" s="272">
        <f>RTD("money.excel",,$G1532,"CumulativeVolume")</f>
        <v>0</v>
      </c>
      <c r="AO1532" s="284"/>
    </row>
    <row r="1533" spans="1:41">
      <c r="A1533" s="135" t="s">
        <v>3323</v>
      </c>
      <c r="B1533" s="84">
        <v>253</v>
      </c>
      <c r="C1533" s="84">
        <v>320</v>
      </c>
      <c r="D1533" s="85">
        <v>-1</v>
      </c>
      <c r="E1533" s="84">
        <v>173</v>
      </c>
      <c r="F1533" s="59">
        <v>36.520000000000003</v>
      </c>
      <c r="G1533" s="85">
        <v>5608</v>
      </c>
      <c r="H1533" s="4" t="s">
        <v>551</v>
      </c>
      <c r="I1533" s="23" t="s">
        <v>1484</v>
      </c>
      <c r="J1533" s="371">
        <v>28.74</v>
      </c>
      <c r="K1533" s="371">
        <v>5.07</v>
      </c>
      <c r="L1533" s="77">
        <v>26.48</v>
      </c>
      <c r="M1533" s="371">
        <v>10.29</v>
      </c>
      <c r="N1533" s="365">
        <f t="shared" si="430"/>
        <v>70.580000000000013</v>
      </c>
      <c r="O1533" s="343">
        <f t="shared" si="431"/>
        <v>39.03</v>
      </c>
      <c r="P1533" s="195">
        <v>15</v>
      </c>
      <c r="Q1533" s="326">
        <v>37</v>
      </c>
      <c r="R1533" s="111">
        <v>41</v>
      </c>
      <c r="S1533" s="51">
        <v>66</v>
      </c>
      <c r="T1533" s="339">
        <f t="shared" si="432"/>
        <v>159</v>
      </c>
      <c r="U1533" s="329" t="s">
        <v>6538</v>
      </c>
      <c r="V1533" s="371">
        <v>2.2799999999999998</v>
      </c>
      <c r="W1533" s="35">
        <v>0</v>
      </c>
      <c r="X1533" s="100">
        <v>4.43</v>
      </c>
      <c r="Y1533" s="37" t="str">
        <f>RTD("money.excel",,"5608","Price")</f>
        <v>無資料</v>
      </c>
      <c r="Z1533" s="69"/>
      <c r="AA1533" s="16" t="e">
        <f t="shared" si="433"/>
        <v>#VALUE!</v>
      </c>
      <c r="AB1533" s="3" t="e">
        <f t="shared" si="434"/>
        <v>#VALUE!</v>
      </c>
      <c r="AC1533" s="177" t="s">
        <v>2648</v>
      </c>
      <c r="AD1533" s="23" t="s">
        <v>1484</v>
      </c>
      <c r="AG1533" s="34">
        <f t="shared" si="435"/>
        <v>0</v>
      </c>
      <c r="AH1533" s="63" t="s">
        <v>2283</v>
      </c>
      <c r="AI1533" s="131"/>
      <c r="AK1533" s="66">
        <f>AM1533/(A1533*10000)</f>
        <v>0</v>
      </c>
      <c r="AL1533" s="174">
        <f>AN1533/(A1533*10000)</f>
        <v>0</v>
      </c>
      <c r="AM1533" s="346">
        <f>RTD("money.excel",,$G1533,"PredictVolume")</f>
        <v>0</v>
      </c>
      <c r="AN1533" s="272">
        <f>RTD("money.excel",,$G1533,"CumulativeVolume")</f>
        <v>0</v>
      </c>
      <c r="AO1533" s="284"/>
    </row>
    <row r="1534" spans="1:41">
      <c r="A1534" s="151" t="s">
        <v>2445</v>
      </c>
      <c r="B1534" s="84">
        <v>72</v>
      </c>
      <c r="C1534" s="84">
        <v>63</v>
      </c>
      <c r="D1534" s="84">
        <v>6</v>
      </c>
      <c r="E1534" s="84">
        <v>111</v>
      </c>
      <c r="F1534" s="7">
        <v>6.41</v>
      </c>
      <c r="G1534" s="85">
        <v>5609</v>
      </c>
      <c r="H1534" s="4" t="s">
        <v>551</v>
      </c>
      <c r="I1534" s="17" t="s">
        <v>1473</v>
      </c>
      <c r="J1534" s="371">
        <v>38.57</v>
      </c>
      <c r="K1534" s="371">
        <v>16.97</v>
      </c>
      <c r="L1534" s="371">
        <v>14.02</v>
      </c>
      <c r="N1534" s="365">
        <f t="shared" si="430"/>
        <v>69.56</v>
      </c>
      <c r="O1534" s="343">
        <f t="shared" si="431"/>
        <v>38.57</v>
      </c>
      <c r="P1534" s="195">
        <v>18</v>
      </c>
      <c r="Q1534" s="326">
        <v>12</v>
      </c>
      <c r="R1534" s="111">
        <v>12</v>
      </c>
      <c r="S1534" s="51">
        <v>2</v>
      </c>
      <c r="T1534" s="339">
        <f t="shared" si="432"/>
        <v>44</v>
      </c>
      <c r="V1534" s="371">
        <v>0.76</v>
      </c>
      <c r="W1534" s="69">
        <v>6</v>
      </c>
      <c r="X1534" s="100">
        <v>13.08</v>
      </c>
      <c r="Y1534" s="37" t="str">
        <f>RTD("money.excel",,"5609","Price")</f>
        <v>無資料</v>
      </c>
      <c r="Z1534" s="69"/>
      <c r="AA1534" s="16" t="e">
        <f t="shared" si="433"/>
        <v>#VALUE!</v>
      </c>
      <c r="AB1534" s="3" t="e">
        <f t="shared" si="434"/>
        <v>#VALUE!</v>
      </c>
      <c r="AC1534" s="177" t="s">
        <v>2929</v>
      </c>
      <c r="AD1534" s="17" t="s">
        <v>1473</v>
      </c>
      <c r="AG1534" s="34">
        <f t="shared" si="435"/>
        <v>0</v>
      </c>
      <c r="AH1534" s="44" t="s">
        <v>4394</v>
      </c>
      <c r="AI1534" s="131"/>
      <c r="AK1534" s="66">
        <f t="shared" ref="AK1534:AK1535" si="438">AM1534/(A1534*10000)</f>
        <v>0</v>
      </c>
      <c r="AL1534" s="174">
        <f t="shared" ref="AL1534:AL1535" si="439">AN1534/(A1534*10000)</f>
        <v>0</v>
      </c>
      <c r="AM1534" s="346">
        <f>RTD("money.excel",,$G1534,"PredictVolume")</f>
        <v>0</v>
      </c>
      <c r="AN1534" s="272">
        <f>RTD("money.excel",,$G1534,"CumulativeVolume")</f>
        <v>0</v>
      </c>
      <c r="AO1534" s="284"/>
    </row>
    <row r="1535" spans="1:41">
      <c r="A1535" s="135" t="s">
        <v>2735</v>
      </c>
      <c r="B1535" s="96">
        <v>19</v>
      </c>
      <c r="C1535" s="96">
        <v>26</v>
      </c>
      <c r="D1535" s="96">
        <v>-1</v>
      </c>
      <c r="E1535" s="96">
        <v>11</v>
      </c>
      <c r="F1535" s="59">
        <v>14.18</v>
      </c>
      <c r="G1535" s="85">
        <v>8367</v>
      </c>
      <c r="H1535" s="4" t="s">
        <v>551</v>
      </c>
      <c r="I1535" s="23" t="s">
        <v>2736</v>
      </c>
      <c r="J1535" s="77">
        <v>72.209999999999994</v>
      </c>
      <c r="K1535" s="371">
        <v>1.34</v>
      </c>
      <c r="L1535" s="371">
        <v>3.28</v>
      </c>
      <c r="N1535" s="365">
        <f t="shared" si="430"/>
        <v>76.83</v>
      </c>
      <c r="O1535" s="343">
        <f t="shared" si="431"/>
        <v>72.209999999999994</v>
      </c>
      <c r="P1535" s="195" t="s">
        <v>5554</v>
      </c>
      <c r="Q1535" s="326" t="str">
        <f>IFERROR(VLOOKUP($G1535,主力整理!$A$2:$G$2301,6,0),"0")</f>
        <v>0</v>
      </c>
      <c r="T1535" s="339">
        <f t="shared" si="432"/>
        <v>0</v>
      </c>
      <c r="V1535" s="371">
        <v>47.41</v>
      </c>
      <c r="W1535" s="35">
        <v>1.5</v>
      </c>
      <c r="X1535" s="59">
        <v>2.74</v>
      </c>
      <c r="Y1535" s="37" t="str">
        <f>RTD("money.excel",,"8367","Price")</f>
        <v>無資料</v>
      </c>
      <c r="Z1535" s="69"/>
      <c r="AA1535" s="16" t="e">
        <f t="shared" si="433"/>
        <v>#VALUE!</v>
      </c>
      <c r="AB1535" s="3" t="e">
        <f t="shared" si="434"/>
        <v>#VALUE!</v>
      </c>
      <c r="AC1535" s="177" t="s">
        <v>2648</v>
      </c>
      <c r="AD1535" s="23" t="s">
        <v>2736</v>
      </c>
      <c r="AG1535" s="34">
        <f t="shared" si="435"/>
        <v>0</v>
      </c>
      <c r="AH1535" s="63" t="s">
        <v>2737</v>
      </c>
      <c r="AI1535" s="131"/>
      <c r="AK1535" s="66">
        <f t="shared" si="438"/>
        <v>0</v>
      </c>
      <c r="AL1535" s="174">
        <f t="shared" si="439"/>
        <v>0</v>
      </c>
      <c r="AM1535" s="346">
        <f>RTD("money.excel",,$G1535,"PredictVolume")</f>
        <v>0</v>
      </c>
      <c r="AN1535" s="272">
        <f>RTD("money.excel",,$G1535,"CumulativeVolume")</f>
        <v>0</v>
      </c>
      <c r="AO1535" s="284"/>
    </row>
    <row r="1536" spans="1:41">
      <c r="B1536" s="96"/>
      <c r="C1536" s="96"/>
      <c r="D1536" s="96"/>
      <c r="E1536" s="96"/>
      <c r="F1536" s="59"/>
      <c r="G1536" s="85"/>
      <c r="H1536" s="4"/>
      <c r="I1536" s="23"/>
      <c r="J1536" s="77"/>
      <c r="K1536" s="371"/>
      <c r="L1536" s="371"/>
      <c r="N1536" s="365"/>
      <c r="O1536" s="343"/>
      <c r="P1536" s="195"/>
      <c r="W1536" s="35"/>
      <c r="X1536" s="59"/>
      <c r="Y1536" s="37"/>
      <c r="Z1536" s="69"/>
      <c r="AA1536" s="16"/>
      <c r="AB1536" s="3"/>
      <c r="AD1536" s="23"/>
      <c r="AG1536" s="34"/>
      <c r="AH1536" s="63"/>
      <c r="AI1536" s="131"/>
      <c r="AK1536" s="66"/>
      <c r="AL1536" s="174"/>
      <c r="AM1536" s="346"/>
      <c r="AN1536" s="272"/>
      <c r="AO1536" s="284"/>
    </row>
    <row r="1537" spans="1:41">
      <c r="A1537" s="135" t="s">
        <v>2552</v>
      </c>
      <c r="B1537" s="96" t="s">
        <v>2331</v>
      </c>
      <c r="C1537" s="96" t="s">
        <v>2332</v>
      </c>
      <c r="D1537" s="96" t="s">
        <v>2333</v>
      </c>
      <c r="E1537" s="96" t="s">
        <v>2334</v>
      </c>
      <c r="F1537" s="9" t="s">
        <v>1709</v>
      </c>
      <c r="G1537" s="52" t="s">
        <v>1576</v>
      </c>
      <c r="H1537" s="56" t="s">
        <v>578</v>
      </c>
      <c r="I1537" s="9" t="s">
        <v>552</v>
      </c>
      <c r="J1537" s="364" t="s">
        <v>2189</v>
      </c>
      <c r="K1537" s="364" t="s">
        <v>1820</v>
      </c>
      <c r="L1537" s="364" t="s">
        <v>515</v>
      </c>
      <c r="M1537" s="364" t="s">
        <v>1699</v>
      </c>
      <c r="N1537" s="364" t="s">
        <v>6604</v>
      </c>
      <c r="O1537" s="343" t="s">
        <v>6620</v>
      </c>
      <c r="P1537" s="83" t="s">
        <v>5279</v>
      </c>
      <c r="Q1537" s="326" t="s">
        <v>5514</v>
      </c>
      <c r="R1537" s="31" t="s">
        <v>6596</v>
      </c>
      <c r="S1537" s="51" t="s">
        <v>6597</v>
      </c>
      <c r="T1537" s="338" t="s">
        <v>5627</v>
      </c>
      <c r="U1537" s="330" t="s">
        <v>6537</v>
      </c>
      <c r="V1537" s="377" t="s">
        <v>6616</v>
      </c>
      <c r="W1537" s="11" t="s">
        <v>127</v>
      </c>
      <c r="X1537" s="71" t="s">
        <v>5216</v>
      </c>
      <c r="Y1537" s="29" t="s">
        <v>3</v>
      </c>
      <c r="Z1537" s="18" t="s">
        <v>2113</v>
      </c>
      <c r="AA1537" s="15" t="s">
        <v>8</v>
      </c>
      <c r="AB1537" s="22" t="s">
        <v>4</v>
      </c>
      <c r="AC1537" s="358" t="s">
        <v>211</v>
      </c>
      <c r="AD1537" s="9" t="s">
        <v>552</v>
      </c>
      <c r="AE1537" s="75" t="s">
        <v>2114</v>
      </c>
      <c r="AF1537" s="76" t="s">
        <v>1826</v>
      </c>
      <c r="AG1537" s="33" t="s">
        <v>1827</v>
      </c>
      <c r="AH1537" s="44"/>
      <c r="AI1537" s="284"/>
      <c r="AK1537" s="9" t="s">
        <v>6666</v>
      </c>
      <c r="AL1537" s="5" t="s">
        <v>6667</v>
      </c>
      <c r="AM1537" s="51" t="s">
        <v>5339</v>
      </c>
      <c r="AN1537" s="276" t="s">
        <v>6665</v>
      </c>
      <c r="AO1537" s="284"/>
    </row>
    <row r="1538" spans="1:41" ht="16.5" customHeight="1">
      <c r="A1538" s="151" t="s">
        <v>2436</v>
      </c>
      <c r="B1538" s="85">
        <v>-98</v>
      </c>
      <c r="C1538" s="85">
        <v>-14</v>
      </c>
      <c r="D1538" s="84">
        <v>17</v>
      </c>
      <c r="E1538" s="85">
        <v>-8</v>
      </c>
      <c r="F1538" s="7">
        <v>2.77</v>
      </c>
      <c r="G1538" s="85">
        <v>1259</v>
      </c>
      <c r="H1538" s="4" t="s">
        <v>552</v>
      </c>
      <c r="I1538" s="17" t="s">
        <v>1577</v>
      </c>
      <c r="J1538" s="77">
        <v>70.290000000000006</v>
      </c>
      <c r="K1538" s="371">
        <v>26.2</v>
      </c>
      <c r="L1538" s="371">
        <v>0.33</v>
      </c>
      <c r="N1538" s="365">
        <f>J1538+K1538+L1538+M1538</f>
        <v>96.820000000000007</v>
      </c>
      <c r="O1538" s="343">
        <f t="shared" ref="O1538:O1581" si="440">J1538+M1538</f>
        <v>70.290000000000006</v>
      </c>
      <c r="P1538" s="195" t="s">
        <v>5554</v>
      </c>
      <c r="Q1538" s="326" t="str">
        <f>IFERROR(VLOOKUP($G1538,主力整理!$A$2:$G$2301,6,0),"0")</f>
        <v>0</v>
      </c>
      <c r="T1538" s="339">
        <f t="shared" ref="T1538:T1581" si="441">SUM(P1538:S1538)</f>
        <v>0</v>
      </c>
      <c r="W1538" s="69" ph="1">
        <v>3</v>
      </c>
      <c r="X1538" s="100">
        <v>5.48</v>
      </c>
      <c r="Y1538" s="37" t="str">
        <f>RTD("money.excel",,"1259","Price")</f>
        <v>無資料</v>
      </c>
      <c r="Z1538" s="69"/>
      <c r="AA1538" s="16" t="e">
        <f t="shared" ref="AA1538:AA1581" si="442">Y1538-Z1538</f>
        <v>#VALUE!</v>
      </c>
      <c r="AB1538" s="3" t="e">
        <f t="shared" ref="AB1538:AB1581" si="443">AA1538/Z1538</f>
        <v>#VALUE!</v>
      </c>
      <c r="AC1538" s="177" t="s">
        <v>2700</v>
      </c>
      <c r="AD1538" s="17" t="s">
        <v>1577</v>
      </c>
      <c r="AG1538" s="34">
        <f t="shared" ref="AG1538:AG1581" si="444">AF1538-AE1538</f>
        <v>0</v>
      </c>
      <c r="AH1538" s="44" t="s">
        <v>4210</v>
      </c>
      <c r="AI1538" s="131"/>
      <c r="AK1538" s="66">
        <f>AM1538/(A1538*10000)</f>
        <v>0</v>
      </c>
      <c r="AL1538" s="174">
        <f>AN1538/(A1538*10000)</f>
        <v>0</v>
      </c>
      <c r="AM1538" s="346">
        <f>RTD("money.excel",,$G1538,"PredictVolume")</f>
        <v>0</v>
      </c>
      <c r="AN1538" s="272">
        <f>RTD("money.excel",,$G1538,"CumulativeVolume")</f>
        <v>0</v>
      </c>
      <c r="AO1538" s="284"/>
    </row>
    <row r="1539" spans="1:41">
      <c r="A1539" s="151" t="s">
        <v>6487</v>
      </c>
      <c r="B1539" s="85">
        <v>-132</v>
      </c>
      <c r="C1539" s="85">
        <v>-396</v>
      </c>
      <c r="D1539" s="84">
        <v>9</v>
      </c>
      <c r="E1539" s="84">
        <v>0</v>
      </c>
      <c r="F1539" s="7">
        <v>-11.67</v>
      </c>
      <c r="G1539" s="85">
        <v>1268</v>
      </c>
      <c r="H1539" s="4" t="s">
        <v>552</v>
      </c>
      <c r="I1539" s="17" t="s">
        <v>1578</v>
      </c>
      <c r="J1539" s="371">
        <v>70.489999999999995</v>
      </c>
      <c r="K1539" s="371">
        <v>0.08</v>
      </c>
      <c r="L1539" s="77">
        <v>0.32</v>
      </c>
      <c r="M1539" s="371">
        <v>19.29</v>
      </c>
      <c r="N1539" s="365">
        <f>K1539+J1539+L1539+M1539</f>
        <v>90.179999999999978</v>
      </c>
      <c r="O1539" s="343">
        <f t="shared" si="440"/>
        <v>89.78</v>
      </c>
      <c r="P1539" s="195">
        <v>5</v>
      </c>
      <c r="Q1539" s="326" t="str">
        <f>IFERROR(VLOOKUP($G1539,主力整理!$A$2:$G$2301,6,0),"0")</f>
        <v>0</v>
      </c>
      <c r="R1539" s="111">
        <v>0</v>
      </c>
      <c r="S1539" s="51">
        <v>0</v>
      </c>
      <c r="T1539" s="339">
        <f t="shared" si="441"/>
        <v>5</v>
      </c>
      <c r="V1539" s="371">
        <v>0.02</v>
      </c>
      <c r="W1539" s="69">
        <v>7</v>
      </c>
      <c r="X1539" s="59">
        <v>0.05</v>
      </c>
      <c r="Y1539" s="37" t="str">
        <f>RTD("money.excel",,"1268","Price")</f>
        <v>無資料</v>
      </c>
      <c r="Z1539" s="69"/>
      <c r="AA1539" s="16" t="e">
        <f t="shared" si="442"/>
        <v>#VALUE!</v>
      </c>
      <c r="AB1539" s="3" t="e">
        <f t="shared" si="443"/>
        <v>#VALUE!</v>
      </c>
      <c r="AC1539" s="177" t="s">
        <v>2929</v>
      </c>
      <c r="AD1539" s="17" t="s">
        <v>1578</v>
      </c>
      <c r="AG1539" s="34">
        <f t="shared" si="444"/>
        <v>0</v>
      </c>
      <c r="AH1539" s="44" t="s">
        <v>4211</v>
      </c>
      <c r="AI1539" s="131"/>
      <c r="AK1539" s="66">
        <f t="shared" ref="AK1539:AK1546" si="445">AM1539/(A1539*10000)</f>
        <v>0</v>
      </c>
      <c r="AL1539" s="174">
        <f t="shared" ref="AL1539:AL1546" si="446">AN1539/(A1539*10000)</f>
        <v>0</v>
      </c>
      <c r="AM1539" s="346">
        <f>RTD("money.excel",,$G1539,"PredictVolume")</f>
        <v>0</v>
      </c>
      <c r="AN1539" s="272">
        <f>RTD("money.excel",,$G1539,"CumulativeVolume")</f>
        <v>0</v>
      </c>
      <c r="AO1539" s="284"/>
    </row>
    <row r="1540" spans="1:41">
      <c r="A1540" s="135" t="s">
        <v>3152</v>
      </c>
      <c r="B1540" s="96">
        <v>-63</v>
      </c>
      <c r="C1540" s="96">
        <v>-21</v>
      </c>
      <c r="D1540" s="96">
        <v>-4</v>
      </c>
      <c r="E1540" s="96">
        <v>-10</v>
      </c>
      <c r="F1540" s="59">
        <v>55.25</v>
      </c>
      <c r="G1540" s="85">
        <v>2701</v>
      </c>
      <c r="H1540" s="4" t="s">
        <v>552</v>
      </c>
      <c r="I1540" s="23" t="s">
        <v>1597</v>
      </c>
      <c r="J1540" s="77">
        <v>87.94</v>
      </c>
      <c r="K1540" s="77">
        <v>0.44</v>
      </c>
      <c r="L1540" s="77">
        <v>7.0000000000000007E-2</v>
      </c>
      <c r="N1540" s="365">
        <f t="shared" ref="N1540:N1562" si="447">J1540+K1540+L1540+M1540</f>
        <v>88.449999999999989</v>
      </c>
      <c r="O1540" s="343">
        <f t="shared" si="440"/>
        <v>87.94</v>
      </c>
      <c r="P1540" s="195" t="s">
        <v>5554</v>
      </c>
      <c r="Q1540" s="326" t="str">
        <f>IFERROR(VLOOKUP($G1540,主力整理!$A$2:$G$2301,6,0),"0")</f>
        <v>0</v>
      </c>
      <c r="T1540" s="339">
        <f t="shared" si="441"/>
        <v>0</v>
      </c>
      <c r="V1540" s="371">
        <v>19.96</v>
      </c>
      <c r="W1540" s="35">
        <v>0.25</v>
      </c>
      <c r="X1540" s="100">
        <v>0.39</v>
      </c>
      <c r="Y1540" s="14" t="str">
        <f>RTD("money.excel",,"2701","Price")</f>
        <v>無資料</v>
      </c>
      <c r="Z1540" s="69"/>
      <c r="AA1540" s="16" t="e">
        <f t="shared" si="442"/>
        <v>#VALUE!</v>
      </c>
      <c r="AB1540" s="3" t="e">
        <f t="shared" si="443"/>
        <v>#VALUE!</v>
      </c>
      <c r="AD1540" s="23" t="s">
        <v>1597</v>
      </c>
      <c r="AG1540" s="34">
        <f t="shared" si="444"/>
        <v>0</v>
      </c>
      <c r="AH1540" s="63" t="s">
        <v>4353</v>
      </c>
      <c r="AI1540" s="131"/>
      <c r="AK1540" s="66">
        <f t="shared" si="445"/>
        <v>0</v>
      </c>
      <c r="AL1540" s="174">
        <f t="shared" si="446"/>
        <v>0</v>
      </c>
      <c r="AM1540" s="346">
        <f>RTD("money.excel",,$G1540,"PredictVolume")</f>
        <v>0</v>
      </c>
      <c r="AN1540" s="272">
        <f>RTD("money.excel",,$G1540,"CumulativeVolume")</f>
        <v>0</v>
      </c>
      <c r="AO1540" s="284"/>
    </row>
    <row r="1541" spans="1:41">
      <c r="A1541" s="151" t="s">
        <v>3238</v>
      </c>
      <c r="B1541" s="214">
        <v>-1227</v>
      </c>
      <c r="C1541" s="96">
        <v>-187</v>
      </c>
      <c r="D1541" s="96">
        <v>-7</v>
      </c>
      <c r="E1541" s="96">
        <v>-66</v>
      </c>
      <c r="F1541" s="7">
        <v>-23.75</v>
      </c>
      <c r="G1541" s="85">
        <v>2702</v>
      </c>
      <c r="H1541" s="4" t="s">
        <v>552</v>
      </c>
      <c r="I1541" s="23" t="s">
        <v>1598</v>
      </c>
      <c r="J1541" s="77">
        <v>73.19</v>
      </c>
      <c r="K1541" s="77">
        <v>36.840000000000003</v>
      </c>
      <c r="L1541" s="77">
        <v>10.29</v>
      </c>
      <c r="N1541" s="365">
        <f t="shared" si="447"/>
        <v>120.32</v>
      </c>
      <c r="O1541" s="343">
        <f t="shared" si="440"/>
        <v>73.19</v>
      </c>
      <c r="P1541" s="195">
        <v>1</v>
      </c>
      <c r="Q1541" s="326" t="str">
        <f>IFERROR(VLOOKUP($G1541,主力整理!$A$2:$G$2301,6,0),"0")</f>
        <v>0</v>
      </c>
      <c r="T1541" s="339">
        <f t="shared" si="441"/>
        <v>1</v>
      </c>
      <c r="V1541" s="371">
        <v>24.84</v>
      </c>
      <c r="W1541" s="35">
        <v>0</v>
      </c>
      <c r="X1541" s="100">
        <v>-2.4500000000000002</v>
      </c>
      <c r="Y1541" s="14" t="str">
        <f>RTD("money.excel",,"2702","Price")</f>
        <v>無資料</v>
      </c>
      <c r="Z1541" s="69"/>
      <c r="AA1541" s="16" t="e">
        <f t="shared" si="442"/>
        <v>#VALUE!</v>
      </c>
      <c r="AB1541" s="3" t="e">
        <f t="shared" si="443"/>
        <v>#VALUE!</v>
      </c>
      <c r="AD1541" s="23" t="s">
        <v>1598</v>
      </c>
      <c r="AG1541" s="34">
        <f t="shared" si="444"/>
        <v>0</v>
      </c>
      <c r="AH1541" s="44" t="s">
        <v>4354</v>
      </c>
      <c r="AI1541" s="131"/>
      <c r="AK1541" s="66">
        <f t="shared" si="445"/>
        <v>0</v>
      </c>
      <c r="AL1541" s="174">
        <f t="shared" si="446"/>
        <v>0</v>
      </c>
      <c r="AM1541" s="346">
        <f>RTD("money.excel",,$G1541,"PredictVolume")</f>
        <v>0</v>
      </c>
      <c r="AN1541" s="272">
        <f>RTD("money.excel",,$G1541,"CumulativeVolume")</f>
        <v>0</v>
      </c>
      <c r="AO1541" s="284"/>
    </row>
    <row r="1542" spans="1:41">
      <c r="A1542" s="151" t="s">
        <v>3233</v>
      </c>
      <c r="B1542" s="85">
        <v>-126</v>
      </c>
      <c r="C1542" s="85">
        <v>-146</v>
      </c>
      <c r="D1542" s="84">
        <v>7</v>
      </c>
      <c r="E1542" s="85">
        <v>-20</v>
      </c>
      <c r="F1542" s="7">
        <v>-11.99</v>
      </c>
      <c r="G1542" s="85">
        <v>2704</v>
      </c>
      <c r="H1542" s="11" t="s">
        <v>552</v>
      </c>
      <c r="I1542" s="23" t="s">
        <v>0</v>
      </c>
      <c r="J1542" s="371">
        <v>88.99</v>
      </c>
      <c r="K1542" s="371">
        <v>9.6</v>
      </c>
      <c r="L1542" s="77">
        <v>1.05</v>
      </c>
      <c r="N1542" s="365">
        <f t="shared" si="447"/>
        <v>99.639999999999986</v>
      </c>
      <c r="O1542" s="343">
        <f t="shared" si="440"/>
        <v>88.99</v>
      </c>
      <c r="P1542" s="195">
        <v>2</v>
      </c>
      <c r="Q1542" s="326" t="str">
        <f>IFERROR(VLOOKUP($G1542,主力整理!$A$2:$G$2301,6,0),"0")</f>
        <v>0</v>
      </c>
      <c r="T1542" s="339">
        <f t="shared" si="441"/>
        <v>2</v>
      </c>
      <c r="V1542" s="371">
        <v>0.01</v>
      </c>
      <c r="W1542" s="35">
        <v>0</v>
      </c>
      <c r="X1542" s="100">
        <v>0.01</v>
      </c>
      <c r="Y1542" s="37" t="str">
        <f>RTD("money.excel",,"2704","Price")</f>
        <v>無資料</v>
      </c>
      <c r="Z1542" s="69"/>
      <c r="AA1542" s="16" t="e">
        <f t="shared" si="442"/>
        <v>#VALUE!</v>
      </c>
      <c r="AB1542" s="3" t="e">
        <f t="shared" si="443"/>
        <v>#VALUE!</v>
      </c>
      <c r="AC1542" s="177" t="s">
        <v>2648</v>
      </c>
      <c r="AD1542" s="23" t="s">
        <v>0</v>
      </c>
      <c r="AG1542" s="34">
        <f t="shared" si="444"/>
        <v>0</v>
      </c>
      <c r="AH1542" s="44" t="s">
        <v>4223</v>
      </c>
      <c r="AI1542" s="131"/>
      <c r="AK1542" s="66">
        <f t="shared" si="445"/>
        <v>0</v>
      </c>
      <c r="AL1542" s="174">
        <f t="shared" si="446"/>
        <v>0</v>
      </c>
      <c r="AM1542" s="346">
        <f>RTD("money.excel",,$G1542,"PredictVolume")</f>
        <v>0</v>
      </c>
      <c r="AN1542" s="272">
        <f>RTD("money.excel",,$G1542,"CumulativeVolume")</f>
        <v>0</v>
      </c>
      <c r="AO1542" s="284"/>
    </row>
    <row r="1543" spans="1:41">
      <c r="A1543" s="151" t="s">
        <v>2521</v>
      </c>
      <c r="B1543" s="84">
        <v>27</v>
      </c>
      <c r="C1543" s="84">
        <v>10</v>
      </c>
      <c r="D1543" s="84">
        <v>5</v>
      </c>
      <c r="E1543" s="84">
        <v>13</v>
      </c>
      <c r="F1543" s="7">
        <v>-28.24</v>
      </c>
      <c r="G1543" s="85">
        <v>2705</v>
      </c>
      <c r="H1543" s="4" t="s">
        <v>552</v>
      </c>
      <c r="I1543" s="23" t="s">
        <v>1599</v>
      </c>
      <c r="J1543" s="77">
        <v>63.52</v>
      </c>
      <c r="K1543" s="77">
        <v>2.86</v>
      </c>
      <c r="N1543" s="365">
        <f t="shared" si="447"/>
        <v>66.38000000000001</v>
      </c>
      <c r="O1543" s="343">
        <f t="shared" si="440"/>
        <v>63.52</v>
      </c>
      <c r="P1543" s="195">
        <v>1</v>
      </c>
      <c r="Q1543" s="326" t="str">
        <f>IFERROR(VLOOKUP($G1543,主力整理!$A$2:$G$2301,6,0),"0")</f>
        <v>0</v>
      </c>
      <c r="T1543" s="339">
        <f t="shared" si="441"/>
        <v>1</v>
      </c>
      <c r="W1543" s="35">
        <v>0</v>
      </c>
      <c r="X1543" s="100">
        <v>-2.0099999999999998</v>
      </c>
      <c r="Y1543" s="37" t="str">
        <f>RTD("money.excel",,"2705","Price")</f>
        <v>無資料</v>
      </c>
      <c r="Z1543" s="69"/>
      <c r="AA1543" s="16" t="e">
        <f t="shared" si="442"/>
        <v>#VALUE!</v>
      </c>
      <c r="AB1543" s="3" t="e">
        <f t="shared" si="443"/>
        <v>#VALUE!</v>
      </c>
      <c r="AC1543" s="177" t="s">
        <v>2648</v>
      </c>
      <c r="AD1543" s="23" t="s">
        <v>1599</v>
      </c>
      <c r="AG1543" s="34">
        <f t="shared" si="444"/>
        <v>0</v>
      </c>
      <c r="AH1543" s="44" t="s">
        <v>4355</v>
      </c>
      <c r="AI1543" s="131"/>
      <c r="AK1543" s="66">
        <f t="shared" si="445"/>
        <v>0</v>
      </c>
      <c r="AL1543" s="174">
        <f t="shared" si="446"/>
        <v>0</v>
      </c>
      <c r="AM1543" s="346">
        <f>RTD("money.excel",,$G1543,"PredictVolume")</f>
        <v>0</v>
      </c>
      <c r="AN1543" s="272">
        <f>RTD("money.excel",,$G1543,"CumulativeVolume")</f>
        <v>0</v>
      </c>
      <c r="AO1543" s="284"/>
    </row>
    <row r="1544" spans="1:41">
      <c r="A1544" s="135" t="s">
        <v>4855</v>
      </c>
      <c r="B1544" s="96">
        <v>-81</v>
      </c>
      <c r="C1544" s="96">
        <v>-29</v>
      </c>
      <c r="D1544" s="96">
        <v>-3</v>
      </c>
      <c r="E1544" s="96">
        <v>-15</v>
      </c>
      <c r="F1544" s="59">
        <v>62.27</v>
      </c>
      <c r="G1544" s="85">
        <v>2706</v>
      </c>
      <c r="H1544" s="4" t="s">
        <v>552</v>
      </c>
      <c r="I1544" s="23" t="s">
        <v>1600</v>
      </c>
      <c r="J1544" s="77">
        <v>88.46</v>
      </c>
      <c r="K1544" s="371">
        <v>2.61</v>
      </c>
      <c r="L1544" s="77">
        <v>0.66</v>
      </c>
      <c r="N1544" s="365">
        <f t="shared" si="447"/>
        <v>91.72999999999999</v>
      </c>
      <c r="O1544" s="343">
        <f t="shared" si="440"/>
        <v>88.46</v>
      </c>
      <c r="P1544" s="195" t="s">
        <v>5554</v>
      </c>
      <c r="Q1544" s="326" t="str">
        <f>IFERROR(VLOOKUP($G1544,主力整理!$A$2:$G$2301,6,0),"0")</f>
        <v>0</v>
      </c>
      <c r="T1544" s="339">
        <f t="shared" si="441"/>
        <v>0</v>
      </c>
      <c r="V1544" s="371">
        <v>22.84</v>
      </c>
      <c r="W1544" s="35">
        <v>0.15</v>
      </c>
      <c r="X1544" s="100">
        <v>0.32</v>
      </c>
      <c r="Y1544" s="14" t="str">
        <f>RTD("money.excel",,"2706","Price")</f>
        <v>無資料</v>
      </c>
      <c r="Z1544" s="69"/>
      <c r="AA1544" s="16" t="e">
        <f t="shared" si="442"/>
        <v>#VALUE!</v>
      </c>
      <c r="AB1544" s="3" t="e">
        <f t="shared" si="443"/>
        <v>#VALUE!</v>
      </c>
      <c r="AD1544" s="23" t="s">
        <v>1600</v>
      </c>
      <c r="AG1544" s="34">
        <f t="shared" si="444"/>
        <v>0</v>
      </c>
      <c r="AH1544" s="63" t="s">
        <v>4356</v>
      </c>
      <c r="AI1544" s="131"/>
      <c r="AK1544" s="66">
        <f t="shared" si="445"/>
        <v>0</v>
      </c>
      <c r="AL1544" s="174">
        <f t="shared" si="446"/>
        <v>0</v>
      </c>
      <c r="AM1544" s="346">
        <f>RTD("money.excel",,$G1544,"PredictVolume")</f>
        <v>0</v>
      </c>
      <c r="AN1544" s="272">
        <f>RTD("money.excel",,$G1544,"CumulativeVolume")</f>
        <v>0</v>
      </c>
      <c r="AO1544" s="284"/>
    </row>
    <row r="1545" spans="1:41">
      <c r="A1545" s="135" t="s">
        <v>2310</v>
      </c>
      <c r="B1545" s="85">
        <v>-53</v>
      </c>
      <c r="C1545" s="85">
        <v>-48</v>
      </c>
      <c r="D1545" s="84">
        <v>0</v>
      </c>
      <c r="E1545" s="85">
        <v>-2</v>
      </c>
      <c r="F1545" s="7">
        <v>-23.03</v>
      </c>
      <c r="G1545" s="85">
        <v>2707</v>
      </c>
      <c r="H1545" s="4" t="s">
        <v>552</v>
      </c>
      <c r="I1545" s="23" t="s">
        <v>1601</v>
      </c>
      <c r="J1545" s="371">
        <v>61.45</v>
      </c>
      <c r="K1545" s="77">
        <v>13.01</v>
      </c>
      <c r="L1545" s="77">
        <v>1.66</v>
      </c>
      <c r="N1545" s="365">
        <f t="shared" si="447"/>
        <v>76.12</v>
      </c>
      <c r="O1545" s="343">
        <f t="shared" si="440"/>
        <v>61.45</v>
      </c>
      <c r="P1545" s="195">
        <v>2</v>
      </c>
      <c r="Q1545" s="326" t="str">
        <f>IFERROR(VLOOKUP($G1545,主力整理!$A$2:$G$2301,6,0),"0")</f>
        <v>0</v>
      </c>
      <c r="T1545" s="339">
        <f t="shared" si="441"/>
        <v>2</v>
      </c>
      <c r="V1545" s="371">
        <v>0.01</v>
      </c>
      <c r="W1545" s="69">
        <v>4.3899999999999997</v>
      </c>
      <c r="X1545" s="100">
        <v>5.18</v>
      </c>
      <c r="Y1545" s="37" t="str">
        <f>RTD("money.excel",,"2707","Price")</f>
        <v>無資料</v>
      </c>
      <c r="Z1545" s="69"/>
      <c r="AA1545" s="16" t="e">
        <f t="shared" si="442"/>
        <v>#VALUE!</v>
      </c>
      <c r="AB1545" s="3" t="e">
        <f t="shared" si="443"/>
        <v>#VALUE!</v>
      </c>
      <c r="AC1545" s="177" t="s">
        <v>2929</v>
      </c>
      <c r="AD1545" s="23" t="s">
        <v>1601</v>
      </c>
      <c r="AG1545" s="34">
        <f t="shared" si="444"/>
        <v>0</v>
      </c>
      <c r="AH1545" s="44" t="s">
        <v>4223</v>
      </c>
      <c r="AI1545" s="284"/>
      <c r="AK1545" s="66">
        <f t="shared" si="445"/>
        <v>0</v>
      </c>
      <c r="AL1545" s="174">
        <f t="shared" si="446"/>
        <v>0</v>
      </c>
      <c r="AM1545" s="346">
        <f>RTD("money.excel",,$G1545,"PredictVolume")</f>
        <v>0</v>
      </c>
      <c r="AN1545" s="272">
        <f>RTD("money.excel",,$G1545,"CumulativeVolume")</f>
        <v>0</v>
      </c>
      <c r="AO1545" s="284"/>
    </row>
    <row r="1546" spans="1:41">
      <c r="A1546" s="151" t="s">
        <v>4811</v>
      </c>
      <c r="B1546" s="214">
        <v>1618</v>
      </c>
      <c r="C1546" s="214">
        <v>1551</v>
      </c>
      <c r="D1546" s="96">
        <v>1</v>
      </c>
      <c r="E1546" s="96">
        <v>-7</v>
      </c>
      <c r="F1546" s="7">
        <v>-7.87</v>
      </c>
      <c r="G1546" s="85">
        <v>2712</v>
      </c>
      <c r="H1546" s="4" t="s">
        <v>552</v>
      </c>
      <c r="I1546" s="23" t="s">
        <v>1602</v>
      </c>
      <c r="J1546" s="77">
        <v>96.12</v>
      </c>
      <c r="K1546" s="77">
        <v>0.06</v>
      </c>
      <c r="L1546" s="77">
        <v>0.28999999999999998</v>
      </c>
      <c r="N1546" s="365">
        <f t="shared" si="447"/>
        <v>96.470000000000013</v>
      </c>
      <c r="O1546" s="343">
        <f t="shared" si="440"/>
        <v>96.12</v>
      </c>
      <c r="P1546" s="195" t="s">
        <v>5554</v>
      </c>
      <c r="Q1546" s="326" t="str">
        <f>IFERROR(VLOOKUP($G1546,主力整理!$A$2:$G$2301,6,0),"0")</f>
        <v>0</v>
      </c>
      <c r="T1546" s="339">
        <f t="shared" si="441"/>
        <v>0</v>
      </c>
      <c r="V1546" s="371">
        <v>51.94</v>
      </c>
      <c r="W1546" s="35">
        <v>0.7</v>
      </c>
      <c r="X1546" s="100">
        <v>0.93</v>
      </c>
      <c r="Y1546" s="14" t="str">
        <f>RTD("money.excel",,"2712","Price")</f>
        <v>無資料</v>
      </c>
      <c r="Z1546" s="69"/>
      <c r="AA1546" s="16" t="e">
        <f t="shared" si="442"/>
        <v>#VALUE!</v>
      </c>
      <c r="AB1546" s="3" t="e">
        <f t="shared" si="443"/>
        <v>#VALUE!</v>
      </c>
      <c r="AD1546" s="23" t="s">
        <v>1602</v>
      </c>
      <c r="AG1546" s="34">
        <f t="shared" si="444"/>
        <v>0</v>
      </c>
      <c r="AH1546" s="44" t="s">
        <v>4357</v>
      </c>
      <c r="AI1546" s="131"/>
      <c r="AK1546" s="66">
        <f t="shared" si="445"/>
        <v>0</v>
      </c>
      <c r="AL1546" s="174">
        <f t="shared" si="446"/>
        <v>0</v>
      </c>
      <c r="AM1546" s="346">
        <f>RTD("money.excel",,$G1546,"PredictVolume")</f>
        <v>0</v>
      </c>
      <c r="AN1546" s="272">
        <f>RTD("money.excel",,$G1546,"CumulativeVolume")</f>
        <v>0</v>
      </c>
      <c r="AO1546" s="284"/>
    </row>
    <row r="1547" spans="1:41">
      <c r="A1547" s="151" t="s">
        <v>2431</v>
      </c>
      <c r="B1547" s="99">
        <v>-2891</v>
      </c>
      <c r="C1547" s="84">
        <v>13</v>
      </c>
      <c r="D1547" s="84">
        <v>-31</v>
      </c>
      <c r="E1547" s="85">
        <v>-99</v>
      </c>
      <c r="F1547" s="77">
        <v>-591.20000000000005</v>
      </c>
      <c r="G1547" s="85">
        <v>2718</v>
      </c>
      <c r="H1547" s="4" t="s">
        <v>552</v>
      </c>
      <c r="I1547" s="17" t="s">
        <v>1579</v>
      </c>
      <c r="J1547" s="77">
        <v>85.67</v>
      </c>
      <c r="K1547" s="77">
        <v>0</v>
      </c>
      <c r="L1547" s="371"/>
      <c r="N1547" s="365">
        <f t="shared" si="447"/>
        <v>85.67</v>
      </c>
      <c r="O1547" s="343">
        <f t="shared" si="440"/>
        <v>85.67</v>
      </c>
      <c r="P1547" s="195" t="s">
        <v>5554</v>
      </c>
      <c r="Q1547" s="326" t="str">
        <f>IFERROR(VLOOKUP($G1547,主力整理!$A$2:$G$2301,6,0),"0")</f>
        <v>0</v>
      </c>
      <c r="T1547" s="339">
        <f t="shared" si="441"/>
        <v>0</v>
      </c>
      <c r="W1547" s="35">
        <v>0</v>
      </c>
      <c r="X1547" s="59">
        <v>-2.89</v>
      </c>
      <c r="Y1547" s="37" t="str">
        <f>RTD("money.excel",,"2718","Price")</f>
        <v>無資料</v>
      </c>
      <c r="Z1547" s="69"/>
      <c r="AA1547" s="16" t="e">
        <f t="shared" si="442"/>
        <v>#VALUE!</v>
      </c>
      <c r="AB1547" s="3" t="e">
        <f t="shared" si="443"/>
        <v>#VALUE!</v>
      </c>
      <c r="AD1547" s="17" t="s">
        <v>1579</v>
      </c>
      <c r="AG1547" s="34">
        <f t="shared" si="444"/>
        <v>0</v>
      </c>
      <c r="AH1547" s="44" t="s">
        <v>4009</v>
      </c>
      <c r="AI1547" s="131"/>
      <c r="AK1547" s="66">
        <f>AM1547/(A1547*10000)</f>
        <v>0</v>
      </c>
      <c r="AL1547" s="174">
        <f>AN1547/(A1547*10000)</f>
        <v>0</v>
      </c>
      <c r="AM1547" s="346">
        <f>RTD("money.excel",,$G1547,"PredictVolume")</f>
        <v>0</v>
      </c>
      <c r="AN1547" s="272">
        <f>RTD("money.excel",,$G1547,"CumulativeVolume")</f>
        <v>0</v>
      </c>
      <c r="AO1547" s="284"/>
    </row>
    <row r="1548" spans="1:41">
      <c r="A1548" s="151" t="s">
        <v>4759</v>
      </c>
      <c r="B1548" s="96">
        <v>-7</v>
      </c>
      <c r="C1548" s="96">
        <v>-9</v>
      </c>
      <c r="D1548" s="96">
        <v>69</v>
      </c>
      <c r="E1548" s="96">
        <v>-92</v>
      </c>
      <c r="F1548" s="7">
        <v>-58.64</v>
      </c>
      <c r="G1548" s="85">
        <v>2719</v>
      </c>
      <c r="H1548" s="4" t="s">
        <v>552</v>
      </c>
      <c r="I1548" s="17" t="s">
        <v>1580</v>
      </c>
      <c r="J1548" s="77">
        <v>69.72</v>
      </c>
      <c r="K1548" s="77">
        <v>0.67</v>
      </c>
      <c r="L1548" s="77">
        <v>0</v>
      </c>
      <c r="N1548" s="365">
        <f t="shared" si="447"/>
        <v>70.39</v>
      </c>
      <c r="O1548" s="343">
        <f t="shared" si="440"/>
        <v>69.72</v>
      </c>
      <c r="P1548" s="195" t="s">
        <v>5554</v>
      </c>
      <c r="Q1548" s="326" t="str">
        <f>IFERROR(VLOOKUP($G1548,主力整理!$A$2:$G$2301,6,0),"0")</f>
        <v>0</v>
      </c>
      <c r="T1548" s="339">
        <f t="shared" si="441"/>
        <v>0</v>
      </c>
      <c r="V1548" s="371">
        <v>53.14</v>
      </c>
      <c r="W1548" s="35">
        <v>0</v>
      </c>
      <c r="X1548" s="100">
        <v>-4.22</v>
      </c>
      <c r="Y1548" s="14" t="str">
        <f>RTD("money.excel",,"2719","Price")</f>
        <v>無資料</v>
      </c>
      <c r="Z1548" s="69"/>
      <c r="AA1548" s="16" t="e">
        <f t="shared" si="442"/>
        <v>#VALUE!</v>
      </c>
      <c r="AB1548" s="3" t="e">
        <f t="shared" si="443"/>
        <v>#VALUE!</v>
      </c>
      <c r="AD1548" s="17" t="s">
        <v>1580</v>
      </c>
      <c r="AG1548" s="34">
        <f t="shared" si="444"/>
        <v>0</v>
      </c>
      <c r="AH1548" s="44" t="s">
        <v>4212</v>
      </c>
      <c r="AI1548" s="34"/>
      <c r="AK1548" s="66">
        <f t="shared" ref="AK1548:AK1554" si="448">AM1548/(A1548*10000)</f>
        <v>0</v>
      </c>
      <c r="AL1548" s="174">
        <f t="shared" ref="AL1548:AL1554" si="449">AN1548/(A1548*10000)</f>
        <v>0</v>
      </c>
      <c r="AM1548" s="346">
        <f>RTD("money.excel",,$G1548,"PredictVolume")</f>
        <v>0</v>
      </c>
      <c r="AN1548" s="272">
        <f>RTD("money.excel",,$G1548,"CumulativeVolume")</f>
        <v>0</v>
      </c>
      <c r="AO1548" s="34"/>
    </row>
    <row r="1549" spans="1:41">
      <c r="A1549" s="151" t="s">
        <v>2538</v>
      </c>
      <c r="B1549" s="96">
        <v>86</v>
      </c>
      <c r="C1549" s="96">
        <v>74</v>
      </c>
      <c r="D1549" s="96">
        <v>-6</v>
      </c>
      <c r="E1549" s="96">
        <v>-29</v>
      </c>
      <c r="F1549" s="7">
        <v>-29.95</v>
      </c>
      <c r="G1549" s="85">
        <v>2722</v>
      </c>
      <c r="H1549" s="4" t="s">
        <v>552</v>
      </c>
      <c r="I1549" s="23" t="s">
        <v>1603</v>
      </c>
      <c r="J1549" s="77">
        <v>90.86</v>
      </c>
      <c r="K1549" s="77">
        <v>7.0000000000000007E-2</v>
      </c>
      <c r="L1549" s="77">
        <v>0.08</v>
      </c>
      <c r="N1549" s="365">
        <f t="shared" si="447"/>
        <v>91.009999999999991</v>
      </c>
      <c r="O1549" s="343">
        <f t="shared" si="440"/>
        <v>90.86</v>
      </c>
      <c r="P1549" s="195" t="s">
        <v>5554</v>
      </c>
      <c r="Q1549" s="326" t="str">
        <f>IFERROR(VLOOKUP($G1549,主力整理!$A$2:$G$2301,6,0),"0")</f>
        <v>0</v>
      </c>
      <c r="T1549" s="339">
        <f t="shared" si="441"/>
        <v>0</v>
      </c>
      <c r="V1549" s="371">
        <v>56.58</v>
      </c>
      <c r="W1549" s="35">
        <v>0.5</v>
      </c>
      <c r="X1549" s="100">
        <v>0.79</v>
      </c>
      <c r="Y1549" s="14" t="str">
        <f>RTD("money.excel",,"2722","Price")</f>
        <v>無資料</v>
      </c>
      <c r="Z1549" s="69"/>
      <c r="AA1549" s="16" t="e">
        <f t="shared" si="442"/>
        <v>#VALUE!</v>
      </c>
      <c r="AB1549" s="3" t="e">
        <f t="shared" si="443"/>
        <v>#VALUE!</v>
      </c>
      <c r="AD1549" s="23" t="s">
        <v>1603</v>
      </c>
      <c r="AG1549" s="34">
        <f t="shared" si="444"/>
        <v>0</v>
      </c>
      <c r="AH1549" s="44" t="s">
        <v>4358</v>
      </c>
      <c r="AI1549" s="131"/>
      <c r="AK1549" s="66">
        <f t="shared" si="448"/>
        <v>0</v>
      </c>
      <c r="AL1549" s="174">
        <f t="shared" si="449"/>
        <v>0</v>
      </c>
      <c r="AM1549" s="346">
        <f>RTD("money.excel",,$G1549,"PredictVolume")</f>
        <v>0</v>
      </c>
      <c r="AN1549" s="272">
        <f>RTD("money.excel",,$G1549,"CumulativeVolume")</f>
        <v>0</v>
      </c>
      <c r="AO1549" s="284"/>
    </row>
    <row r="1550" spans="1:41">
      <c r="A1550" s="151" t="s">
        <v>3171</v>
      </c>
      <c r="B1550" s="84">
        <v>365</v>
      </c>
      <c r="C1550" s="84">
        <v>135</v>
      </c>
      <c r="D1550" s="84">
        <v>4</v>
      </c>
      <c r="E1550" s="84">
        <v>0</v>
      </c>
      <c r="F1550" s="7">
        <v>7.37</v>
      </c>
      <c r="G1550" s="85">
        <v>2723</v>
      </c>
      <c r="H1550" s="4" t="s">
        <v>552</v>
      </c>
      <c r="I1550" s="23" t="s">
        <v>225</v>
      </c>
      <c r="J1550" s="371">
        <v>75.31</v>
      </c>
      <c r="K1550" s="371">
        <v>61.39</v>
      </c>
      <c r="L1550" s="77">
        <v>2.68</v>
      </c>
      <c r="N1550" s="365">
        <f t="shared" si="447"/>
        <v>139.38</v>
      </c>
      <c r="O1550" s="343">
        <f t="shared" si="440"/>
        <v>75.31</v>
      </c>
      <c r="P1550" s="195">
        <v>3</v>
      </c>
      <c r="Q1550" s="326">
        <f>IFERROR(VLOOKUP($G1550,主力整理!$A$2:$G$2301,6,0),"0")</f>
        <v>1</v>
      </c>
      <c r="R1550" s="111">
        <v>3</v>
      </c>
      <c r="S1550" s="51">
        <v>15</v>
      </c>
      <c r="T1550" s="339">
        <f t="shared" si="441"/>
        <v>22</v>
      </c>
      <c r="V1550" s="371">
        <v>3.23</v>
      </c>
      <c r="W1550" s="69">
        <v>4</v>
      </c>
      <c r="X1550" s="59">
        <v>6.67</v>
      </c>
      <c r="Y1550" s="14" t="str">
        <f>RTD("money.excel",,"2723","Price")</f>
        <v>無資料</v>
      </c>
      <c r="Z1550" s="69"/>
      <c r="AA1550" s="16" t="e">
        <f t="shared" si="442"/>
        <v>#VALUE!</v>
      </c>
      <c r="AB1550" s="3" t="e">
        <f t="shared" si="443"/>
        <v>#VALUE!</v>
      </c>
      <c r="AC1550" s="177" t="s">
        <v>2929</v>
      </c>
      <c r="AD1550" s="23" t="s">
        <v>225</v>
      </c>
      <c r="AG1550" s="34">
        <f t="shared" si="444"/>
        <v>0</v>
      </c>
      <c r="AH1550" s="125" t="s">
        <v>3173</v>
      </c>
      <c r="AI1550" s="131"/>
      <c r="AK1550" s="66">
        <f t="shared" si="448"/>
        <v>0</v>
      </c>
      <c r="AL1550" s="174">
        <f t="shared" si="449"/>
        <v>0</v>
      </c>
      <c r="AM1550" s="346">
        <f>RTD("money.excel",,$G1550,"PredictVolume")</f>
        <v>0</v>
      </c>
      <c r="AN1550" s="272">
        <f>RTD("money.excel",,$G1550,"CumulativeVolume")</f>
        <v>0</v>
      </c>
      <c r="AO1550" s="284"/>
    </row>
    <row r="1551" spans="1:41">
      <c r="A1551" s="151" t="s">
        <v>4760</v>
      </c>
      <c r="B1551" s="96">
        <v>-337</v>
      </c>
      <c r="C1551" s="96">
        <v>-95</v>
      </c>
      <c r="D1551" s="96">
        <v>-4</v>
      </c>
      <c r="E1551" s="96">
        <v>-66</v>
      </c>
      <c r="F1551" s="7">
        <v>-52.28</v>
      </c>
      <c r="G1551" s="85">
        <v>2724</v>
      </c>
      <c r="H1551" s="4" t="s">
        <v>552</v>
      </c>
      <c r="I1551" s="17" t="s">
        <v>1581</v>
      </c>
      <c r="J1551" s="77">
        <v>81.73</v>
      </c>
      <c r="K1551" s="77">
        <v>80.61</v>
      </c>
      <c r="N1551" s="365">
        <f t="shared" si="447"/>
        <v>162.34</v>
      </c>
      <c r="O1551" s="343">
        <f t="shared" si="440"/>
        <v>81.73</v>
      </c>
      <c r="P1551" s="195" t="s">
        <v>5554</v>
      </c>
      <c r="Q1551" s="326" t="str">
        <f>IFERROR(VLOOKUP($G1551,主力整理!$A$2:$G$2301,6,0),"0")</f>
        <v>0</v>
      </c>
      <c r="T1551" s="339">
        <f t="shared" si="441"/>
        <v>0</v>
      </c>
      <c r="V1551" s="371">
        <v>63.08</v>
      </c>
      <c r="W1551" s="35">
        <v>0</v>
      </c>
      <c r="X1551" s="59">
        <v>-2.21</v>
      </c>
      <c r="Y1551" s="14" t="str">
        <f>RTD("money.excel",,"2724","Price")</f>
        <v>商品錯誤</v>
      </c>
      <c r="Z1551" s="69"/>
      <c r="AA1551" s="16" t="e">
        <f t="shared" si="442"/>
        <v>#VALUE!</v>
      </c>
      <c r="AB1551" s="3" t="e">
        <f t="shared" si="443"/>
        <v>#VALUE!</v>
      </c>
      <c r="AD1551" s="17" t="s">
        <v>1581</v>
      </c>
      <c r="AG1551" s="34">
        <f t="shared" si="444"/>
        <v>0</v>
      </c>
      <c r="AH1551" s="44" t="s">
        <v>4213</v>
      </c>
      <c r="AI1551" s="131"/>
      <c r="AK1551" s="66" t="e">
        <f t="shared" si="448"/>
        <v>#VALUE!</v>
      </c>
      <c r="AL1551" s="174" t="e">
        <f t="shared" si="449"/>
        <v>#VALUE!</v>
      </c>
      <c r="AM1551" s="346" t="str">
        <f>RTD("money.excel",,$G1551,"PredictVolume")</f>
        <v>商品錯誤</v>
      </c>
      <c r="AN1551" s="272" t="str">
        <f>RTD("money.excel",,$G1551,"CumulativeVolume")</f>
        <v>商品錯誤</v>
      </c>
      <c r="AO1551" s="284"/>
    </row>
    <row r="1552" spans="1:41">
      <c r="A1552" s="151" t="s">
        <v>2227</v>
      </c>
      <c r="B1552" s="99">
        <v>-1442</v>
      </c>
      <c r="C1552" s="99">
        <v>-1410</v>
      </c>
      <c r="D1552" s="85">
        <v>-14</v>
      </c>
      <c r="E1552" s="85">
        <v>-39</v>
      </c>
      <c r="F1552" s="7">
        <v>-3.69</v>
      </c>
      <c r="G1552" s="85">
        <v>2726</v>
      </c>
      <c r="H1552" s="4" t="s">
        <v>552</v>
      </c>
      <c r="I1552" s="17" t="s">
        <v>1582</v>
      </c>
      <c r="J1552" s="371">
        <v>47.43</v>
      </c>
      <c r="K1552" s="77">
        <v>37.840000000000003</v>
      </c>
      <c r="L1552" s="77">
        <v>11.58</v>
      </c>
      <c r="M1552" s="77">
        <v>35.67</v>
      </c>
      <c r="N1552" s="77">
        <f t="shared" si="447"/>
        <v>132.52000000000001</v>
      </c>
      <c r="O1552" s="369">
        <f t="shared" si="440"/>
        <v>83.1</v>
      </c>
      <c r="P1552" s="195">
        <v>2</v>
      </c>
      <c r="Q1552" s="326" t="str">
        <f>IFERROR(VLOOKUP($G1552,主力整理!$A$2:$G$2301,6,0),"0")</f>
        <v>0</v>
      </c>
      <c r="R1552" s="111">
        <v>4</v>
      </c>
      <c r="S1552" s="51">
        <v>0</v>
      </c>
      <c r="T1552" s="339">
        <f t="shared" si="441"/>
        <v>6</v>
      </c>
      <c r="U1552" s="329" t="s">
        <v>6539</v>
      </c>
      <c r="V1552" s="371">
        <v>0.15</v>
      </c>
      <c r="W1552" s="35">
        <v>0.5</v>
      </c>
      <c r="X1552" s="100">
        <v>0.15</v>
      </c>
      <c r="Y1552" s="37" t="str">
        <f>RTD("money.excel",,"2726","Price")</f>
        <v>無資料</v>
      </c>
      <c r="Z1552" s="69"/>
      <c r="AA1552" s="16" t="e">
        <f t="shared" si="442"/>
        <v>#VALUE!</v>
      </c>
      <c r="AB1552" s="3" t="e">
        <f t="shared" si="443"/>
        <v>#VALUE!</v>
      </c>
      <c r="AC1552" s="177" t="s">
        <v>2648</v>
      </c>
      <c r="AD1552" s="17" t="s">
        <v>1582</v>
      </c>
      <c r="AG1552" s="34">
        <f t="shared" si="444"/>
        <v>0</v>
      </c>
      <c r="AH1552" s="44" t="s">
        <v>4214</v>
      </c>
      <c r="AI1552" s="131"/>
      <c r="AK1552" s="66">
        <f t="shared" si="448"/>
        <v>0</v>
      </c>
      <c r="AL1552" s="174">
        <f t="shared" si="449"/>
        <v>0</v>
      </c>
      <c r="AM1552" s="346">
        <f>RTD("money.excel",,$G1552,"PredictVolume")</f>
        <v>0</v>
      </c>
      <c r="AN1552" s="272">
        <f>RTD("money.excel",,$G1552,"CumulativeVolume")</f>
        <v>0</v>
      </c>
      <c r="AO1552" s="284"/>
    </row>
    <row r="1553" spans="1:41">
      <c r="A1553" s="151" t="s">
        <v>3310</v>
      </c>
      <c r="B1553" s="84">
        <v>53</v>
      </c>
      <c r="C1553" s="84">
        <v>135</v>
      </c>
      <c r="D1553" s="84">
        <v>36</v>
      </c>
      <c r="E1553" s="85">
        <v>-18</v>
      </c>
      <c r="F1553" s="7">
        <v>0.42</v>
      </c>
      <c r="G1553" s="85">
        <v>2727</v>
      </c>
      <c r="H1553" s="4" t="s">
        <v>552</v>
      </c>
      <c r="I1553" s="23" t="s">
        <v>173</v>
      </c>
      <c r="J1553" s="77">
        <v>23.68</v>
      </c>
      <c r="K1553" s="371">
        <v>7.09</v>
      </c>
      <c r="L1553" s="77">
        <v>8.07</v>
      </c>
      <c r="N1553" s="365">
        <f t="shared" si="447"/>
        <v>38.840000000000003</v>
      </c>
      <c r="O1553" s="343">
        <f t="shared" si="440"/>
        <v>23.68</v>
      </c>
      <c r="P1553" s="195">
        <v>5</v>
      </c>
      <c r="Q1553" s="326">
        <v>5</v>
      </c>
      <c r="R1553" s="111">
        <v>7</v>
      </c>
      <c r="S1553" s="51">
        <v>13</v>
      </c>
      <c r="T1553" s="339">
        <f t="shared" si="441"/>
        <v>30</v>
      </c>
      <c r="V1553" s="371">
        <v>0.65</v>
      </c>
      <c r="W1553" s="69">
        <v>4.3600000000000003</v>
      </c>
      <c r="X1553" s="100">
        <v>4.76</v>
      </c>
      <c r="Y1553" s="37" t="str">
        <f>RTD("money.excel",,"2727","Price")</f>
        <v>無資料</v>
      </c>
      <c r="Z1553" s="69"/>
      <c r="AA1553" s="16" t="e">
        <f t="shared" si="442"/>
        <v>#VALUE!</v>
      </c>
      <c r="AB1553" s="3" t="e">
        <f t="shared" si="443"/>
        <v>#VALUE!</v>
      </c>
      <c r="AC1553" s="177" t="s">
        <v>2929</v>
      </c>
      <c r="AD1553" s="23" t="s">
        <v>173</v>
      </c>
      <c r="AG1553" s="34">
        <f t="shared" si="444"/>
        <v>0</v>
      </c>
      <c r="AH1553" s="125" t="s">
        <v>4211</v>
      </c>
      <c r="AI1553" s="131"/>
      <c r="AK1553" s="66">
        <f t="shared" si="448"/>
        <v>0</v>
      </c>
      <c r="AL1553" s="174">
        <f t="shared" si="449"/>
        <v>0</v>
      </c>
      <c r="AM1553" s="346">
        <f>RTD("money.excel",,$G1553,"PredictVolume")</f>
        <v>0</v>
      </c>
      <c r="AN1553" s="272">
        <f>RTD("money.excel",,$G1553,"CumulativeVolume")</f>
        <v>0</v>
      </c>
      <c r="AO1553" s="284"/>
    </row>
    <row r="1554" spans="1:41">
      <c r="A1554" s="135" t="s">
        <v>2339</v>
      </c>
      <c r="B1554" s="85">
        <v>-20</v>
      </c>
      <c r="C1554" s="85">
        <v>-13</v>
      </c>
      <c r="D1554" s="84">
        <v>40</v>
      </c>
      <c r="E1554" s="84">
        <v>70</v>
      </c>
      <c r="F1554" s="59">
        <v>10.35</v>
      </c>
      <c r="G1554" s="85">
        <v>2729</v>
      </c>
      <c r="H1554" s="4" t="s">
        <v>552</v>
      </c>
      <c r="I1554" s="17" t="s">
        <v>266</v>
      </c>
      <c r="J1554" s="77">
        <v>66.56</v>
      </c>
      <c r="K1554" s="371">
        <v>6.9</v>
      </c>
      <c r="L1554" s="371"/>
      <c r="N1554" s="365">
        <f t="shared" si="447"/>
        <v>73.460000000000008</v>
      </c>
      <c r="O1554" s="343">
        <f t="shared" si="440"/>
        <v>66.56</v>
      </c>
      <c r="P1554" s="195">
        <v>5</v>
      </c>
      <c r="Q1554" s="326" t="str">
        <f>IFERROR(VLOOKUP($G1554,主力整理!$A$2:$G$2301,6,0),"0")</f>
        <v>0</v>
      </c>
      <c r="T1554" s="339">
        <f t="shared" si="441"/>
        <v>5</v>
      </c>
      <c r="W1554" s="69">
        <v>14.5</v>
      </c>
      <c r="X1554" s="59">
        <v>15.91</v>
      </c>
      <c r="Y1554" s="37" t="str">
        <f>RTD("money.excel",,"2729","Price")</f>
        <v>無資料</v>
      </c>
      <c r="Z1554" s="69"/>
      <c r="AA1554" s="16" t="e">
        <f t="shared" si="442"/>
        <v>#VALUE!</v>
      </c>
      <c r="AB1554" s="3" t="e">
        <f t="shared" si="443"/>
        <v>#VALUE!</v>
      </c>
      <c r="AC1554" s="177" t="s">
        <v>2929</v>
      </c>
      <c r="AD1554" s="17" t="s">
        <v>266</v>
      </c>
      <c r="AG1554" s="34">
        <f t="shared" si="444"/>
        <v>0</v>
      </c>
      <c r="AH1554" s="126" t="s">
        <v>3036</v>
      </c>
      <c r="AI1554" s="131"/>
      <c r="AK1554" s="66">
        <f t="shared" si="448"/>
        <v>0</v>
      </c>
      <c r="AL1554" s="174">
        <f t="shared" si="449"/>
        <v>0</v>
      </c>
      <c r="AM1554" s="346">
        <f>RTD("money.excel",,$G1554,"PredictVolume")</f>
        <v>0</v>
      </c>
      <c r="AN1554" s="272">
        <f>RTD("money.excel",,$G1554,"CumulativeVolume")</f>
        <v>0</v>
      </c>
      <c r="AO1554" s="284"/>
    </row>
    <row r="1555" spans="1:41">
      <c r="A1555" s="151" t="s">
        <v>2431</v>
      </c>
      <c r="B1555" s="85">
        <v>-271</v>
      </c>
      <c r="C1555" s="85">
        <v>-823</v>
      </c>
      <c r="D1555" s="84">
        <v>18</v>
      </c>
      <c r="E1555" s="85">
        <v>-44</v>
      </c>
      <c r="F1555" s="7">
        <v>-14.64</v>
      </c>
      <c r="G1555" s="85">
        <v>2731</v>
      </c>
      <c r="H1555" s="4" t="s">
        <v>552</v>
      </c>
      <c r="I1555" s="23" t="s">
        <v>1604</v>
      </c>
      <c r="J1555" s="371">
        <v>57.14</v>
      </c>
      <c r="K1555" s="77">
        <v>1.1000000000000001</v>
      </c>
      <c r="L1555" s="77">
        <v>4.7300000000000004</v>
      </c>
      <c r="N1555" s="365">
        <f t="shared" si="447"/>
        <v>62.97</v>
      </c>
      <c r="O1555" s="343">
        <f t="shared" si="440"/>
        <v>57.14</v>
      </c>
      <c r="P1555" s="195">
        <v>1</v>
      </c>
      <c r="Q1555" s="326" t="str">
        <f>IFERROR(VLOOKUP($G1555,主力整理!$A$2:$G$2301,6,0),"0")</f>
        <v>0</v>
      </c>
      <c r="T1555" s="339">
        <f t="shared" si="441"/>
        <v>1</v>
      </c>
      <c r="V1555" s="371">
        <v>0.38</v>
      </c>
      <c r="W1555" s="35">
        <v>0</v>
      </c>
      <c r="X1555" s="59">
        <v>-5.9</v>
      </c>
      <c r="Y1555" s="37" t="str">
        <f>RTD("money.excel",,"2731","Price")</f>
        <v>無資料</v>
      </c>
      <c r="Z1555" s="69"/>
      <c r="AA1555" s="16" t="e">
        <f t="shared" si="442"/>
        <v>#VALUE!</v>
      </c>
      <c r="AB1555" s="3" t="e">
        <f t="shared" si="443"/>
        <v>#VALUE!</v>
      </c>
      <c r="AC1555" s="177" t="s">
        <v>2648</v>
      </c>
      <c r="AD1555" s="23" t="s">
        <v>1604</v>
      </c>
      <c r="AG1555" s="34">
        <f t="shared" si="444"/>
        <v>0</v>
      </c>
      <c r="AH1555" s="44" t="s">
        <v>2295</v>
      </c>
      <c r="AI1555" s="131"/>
      <c r="AK1555" s="66">
        <f>AM1555/(A1555*10000)</f>
        <v>0</v>
      </c>
      <c r="AL1555" s="174">
        <f>AN1555/(A1555*10000)</f>
        <v>0</v>
      </c>
      <c r="AM1555" s="346">
        <f>RTD("money.excel",,$G1555,"PredictVolume")</f>
        <v>0</v>
      </c>
      <c r="AN1555" s="272">
        <f>RTD("money.excel",,$G1555,"CumulativeVolume")</f>
        <v>0</v>
      </c>
      <c r="AO1555" s="284"/>
    </row>
    <row r="1556" spans="1:41">
      <c r="A1556" s="151" t="s">
        <v>5469</v>
      </c>
      <c r="B1556" s="84">
        <v>22</v>
      </c>
      <c r="C1556" s="84">
        <v>3</v>
      </c>
      <c r="D1556" s="84">
        <v>4</v>
      </c>
      <c r="E1556" s="85">
        <v>-28</v>
      </c>
      <c r="F1556" s="7">
        <v>3.37</v>
      </c>
      <c r="G1556" s="85">
        <v>2732</v>
      </c>
      <c r="H1556" s="4" t="s">
        <v>552</v>
      </c>
      <c r="I1556" s="17" t="s">
        <v>144</v>
      </c>
      <c r="J1556" s="371">
        <v>40.130000000000003</v>
      </c>
      <c r="K1556" s="77">
        <v>7.42</v>
      </c>
      <c r="L1556" s="371">
        <v>4.3</v>
      </c>
      <c r="N1556" s="365">
        <f t="shared" si="447"/>
        <v>51.85</v>
      </c>
      <c r="O1556" s="343">
        <f t="shared" si="440"/>
        <v>40.130000000000003</v>
      </c>
      <c r="P1556" s="195">
        <v>5</v>
      </c>
      <c r="Q1556" s="326" t="str">
        <f>IFERROR(VLOOKUP($G1556,主力整理!$A$2:$G$2301,6,0),"0")</f>
        <v>0</v>
      </c>
      <c r="R1556" s="111">
        <v>6</v>
      </c>
      <c r="S1556" s="51">
        <v>7</v>
      </c>
      <c r="T1556" s="339">
        <f t="shared" si="441"/>
        <v>18</v>
      </c>
      <c r="V1556" s="371">
        <v>8.35</v>
      </c>
      <c r="W1556" s="35">
        <v>2.98</v>
      </c>
      <c r="X1556" s="100">
        <v>3.47</v>
      </c>
      <c r="Y1556" s="37" t="str">
        <f>RTD("money.excel",,"2732","Price")</f>
        <v>無資料</v>
      </c>
      <c r="Z1556" s="69"/>
      <c r="AA1556" s="16" t="e">
        <f t="shared" si="442"/>
        <v>#VALUE!</v>
      </c>
      <c r="AB1556" s="3" t="e">
        <f t="shared" si="443"/>
        <v>#VALUE!</v>
      </c>
      <c r="AC1556" s="177" t="s">
        <v>2648</v>
      </c>
      <c r="AD1556" s="17" t="s">
        <v>144</v>
      </c>
      <c r="AG1556" s="34">
        <f t="shared" si="444"/>
        <v>0</v>
      </c>
      <c r="AH1556" s="125" t="s">
        <v>4559</v>
      </c>
      <c r="AI1556" s="131"/>
      <c r="AK1556" s="66">
        <f t="shared" ref="AK1556:AK1563" si="450">AM1556/(A1556*10000)</f>
        <v>0</v>
      </c>
      <c r="AL1556" s="174">
        <f t="shared" ref="AL1556:AL1563" si="451">AN1556/(A1556*10000)</f>
        <v>0</v>
      </c>
      <c r="AM1556" s="346">
        <f>RTD("money.excel",,$G1556,"PredictVolume")</f>
        <v>0</v>
      </c>
      <c r="AN1556" s="272">
        <f>RTD("money.excel",,$G1556,"CumulativeVolume")</f>
        <v>0</v>
      </c>
      <c r="AO1556" s="284"/>
    </row>
    <row r="1557" spans="1:41">
      <c r="A1557" s="151" t="s">
        <v>3107</v>
      </c>
      <c r="B1557" s="84">
        <v>59</v>
      </c>
      <c r="C1557" s="84">
        <v>31</v>
      </c>
      <c r="D1557" s="84">
        <v>2</v>
      </c>
      <c r="E1557" s="85">
        <v>-82</v>
      </c>
      <c r="F1557" s="7">
        <v>-31.91</v>
      </c>
      <c r="G1557" s="85">
        <v>2734</v>
      </c>
      <c r="H1557" s="4" t="s">
        <v>552</v>
      </c>
      <c r="I1557" s="17" t="s">
        <v>1583</v>
      </c>
      <c r="J1557" s="371">
        <v>41.05</v>
      </c>
      <c r="K1557" s="371">
        <v>9.2799999999999994</v>
      </c>
      <c r="L1557" s="371"/>
      <c r="N1557" s="365">
        <f t="shared" si="447"/>
        <v>50.33</v>
      </c>
      <c r="O1557" s="343">
        <f t="shared" si="440"/>
        <v>41.05</v>
      </c>
      <c r="P1557" s="195">
        <v>0</v>
      </c>
      <c r="Q1557" s="326" t="str">
        <f>IFERROR(VLOOKUP($G1557,主力整理!$A$2:$G$2301,6,0),"0")</f>
        <v>0</v>
      </c>
      <c r="R1557" s="111">
        <v>25</v>
      </c>
      <c r="S1557" s="51">
        <v>0</v>
      </c>
      <c r="T1557" s="339">
        <f t="shared" si="441"/>
        <v>25</v>
      </c>
      <c r="W1557" s="35">
        <v>0</v>
      </c>
      <c r="X1557" s="59">
        <v>-1.44</v>
      </c>
      <c r="Y1557" s="37" t="str">
        <f>RTD("money.excel",,"2734","Price")</f>
        <v>無資料</v>
      </c>
      <c r="Z1557" s="69"/>
      <c r="AA1557" s="16" t="e">
        <f t="shared" si="442"/>
        <v>#VALUE!</v>
      </c>
      <c r="AB1557" s="3" t="e">
        <f t="shared" si="443"/>
        <v>#VALUE!</v>
      </c>
      <c r="AD1557" s="17" t="s">
        <v>1583</v>
      </c>
      <c r="AG1557" s="34">
        <f t="shared" si="444"/>
        <v>0</v>
      </c>
      <c r="AH1557" s="44" t="s">
        <v>4215</v>
      </c>
      <c r="AI1557" s="131"/>
      <c r="AK1557" s="66">
        <f t="shared" si="450"/>
        <v>0</v>
      </c>
      <c r="AL1557" s="174">
        <f t="shared" si="451"/>
        <v>0</v>
      </c>
      <c r="AM1557" s="346">
        <f>RTD("money.excel",,$G1557,"PredictVolume")</f>
        <v>0</v>
      </c>
      <c r="AN1557" s="272">
        <f>RTD("money.excel",,$G1557,"CumulativeVolume")</f>
        <v>0</v>
      </c>
      <c r="AO1557" s="284"/>
    </row>
    <row r="1558" spans="1:41">
      <c r="A1558" s="151" t="s">
        <v>4761</v>
      </c>
      <c r="B1558" s="96">
        <v>21</v>
      </c>
      <c r="C1558" s="96">
        <v>85</v>
      </c>
      <c r="D1558" s="96">
        <v>-7</v>
      </c>
      <c r="E1558" s="96">
        <v>-4</v>
      </c>
      <c r="F1558" s="7">
        <v>-7.47</v>
      </c>
      <c r="G1558" s="85">
        <v>2736</v>
      </c>
      <c r="H1558" s="4" t="s">
        <v>552</v>
      </c>
      <c r="I1558" s="17" t="s">
        <v>1584</v>
      </c>
      <c r="J1558" s="77">
        <v>63.35</v>
      </c>
      <c r="K1558" s="77">
        <v>0</v>
      </c>
      <c r="L1558" s="77">
        <v>3.79</v>
      </c>
      <c r="N1558" s="365">
        <f t="shared" si="447"/>
        <v>67.14</v>
      </c>
      <c r="O1558" s="343">
        <f t="shared" si="440"/>
        <v>63.35</v>
      </c>
      <c r="P1558" s="195" t="s">
        <v>5554</v>
      </c>
      <c r="Q1558" s="326" t="str">
        <f>IFERROR(VLOOKUP($G1558,主力整理!$A$2:$G$2301,6,0),"0")</f>
        <v>0</v>
      </c>
      <c r="T1558" s="339">
        <f t="shared" si="441"/>
        <v>0</v>
      </c>
      <c r="V1558" s="371">
        <v>29.48</v>
      </c>
      <c r="W1558" s="35">
        <v>0.2</v>
      </c>
      <c r="X1558" s="100">
        <v>0.18</v>
      </c>
      <c r="Y1558" s="14" t="str">
        <f>RTD("money.excel",,"2736","Price")</f>
        <v>無資料</v>
      </c>
      <c r="Z1558" s="69"/>
      <c r="AA1558" s="16" t="e">
        <f t="shared" si="442"/>
        <v>#VALUE!</v>
      </c>
      <c r="AB1558" s="36" t="e">
        <f t="shared" si="443"/>
        <v>#VALUE!</v>
      </c>
      <c r="AD1558" s="17" t="s">
        <v>1584</v>
      </c>
      <c r="AG1558" s="34">
        <f t="shared" si="444"/>
        <v>0</v>
      </c>
      <c r="AH1558" s="44" t="s">
        <v>4216</v>
      </c>
      <c r="AI1558" s="128"/>
      <c r="AK1558" s="66">
        <f t="shared" si="450"/>
        <v>0</v>
      </c>
      <c r="AL1558" s="174">
        <f t="shared" si="451"/>
        <v>0</v>
      </c>
      <c r="AM1558" s="346">
        <f>RTD("money.excel",,$G1558,"PredictVolume")</f>
        <v>0</v>
      </c>
      <c r="AN1558" s="272">
        <f>RTD("money.excel",,$G1558,"CumulativeVolume")</f>
        <v>0</v>
      </c>
      <c r="AO1558" s="34"/>
    </row>
    <row r="1559" spans="1:41">
      <c r="A1559" s="151" t="s">
        <v>2538</v>
      </c>
      <c r="B1559" s="214">
        <v>-4339</v>
      </c>
      <c r="C1559" s="96">
        <v>-322</v>
      </c>
      <c r="D1559" s="96">
        <v>-10</v>
      </c>
      <c r="E1559" s="96">
        <v>-33</v>
      </c>
      <c r="F1559" s="7">
        <v>-17.239999999999998</v>
      </c>
      <c r="G1559" s="85">
        <v>2739</v>
      </c>
      <c r="H1559" s="4" t="s">
        <v>552</v>
      </c>
      <c r="I1559" s="23" t="s">
        <v>1605</v>
      </c>
      <c r="J1559" s="77">
        <v>84.73</v>
      </c>
      <c r="K1559" s="77">
        <v>3.11</v>
      </c>
      <c r="L1559" s="77">
        <v>3.01</v>
      </c>
      <c r="N1559" s="365">
        <f t="shared" si="447"/>
        <v>90.850000000000009</v>
      </c>
      <c r="O1559" s="343">
        <f t="shared" si="440"/>
        <v>84.73</v>
      </c>
      <c r="P1559" s="195" t="s">
        <v>5554</v>
      </c>
      <c r="Q1559" s="326" t="str">
        <f>IFERROR(VLOOKUP($G1559,主力整理!$A$2:$G$2301,6,0),"0")</f>
        <v>0</v>
      </c>
      <c r="T1559" s="339">
        <f t="shared" si="441"/>
        <v>0</v>
      </c>
      <c r="V1559" s="371">
        <v>42.26</v>
      </c>
      <c r="W1559" s="35">
        <v>0</v>
      </c>
      <c r="X1559" s="100">
        <v>-3.15</v>
      </c>
      <c r="Y1559" s="14" t="str">
        <f>RTD("money.excel",,"2739","Price")</f>
        <v>無資料</v>
      </c>
      <c r="Z1559" s="69"/>
      <c r="AA1559" s="16" t="e">
        <f t="shared" si="442"/>
        <v>#VALUE!</v>
      </c>
      <c r="AB1559" s="3" t="e">
        <f t="shared" si="443"/>
        <v>#VALUE!</v>
      </c>
      <c r="AD1559" s="23" t="s">
        <v>1605</v>
      </c>
      <c r="AG1559" s="34">
        <f t="shared" si="444"/>
        <v>0</v>
      </c>
      <c r="AH1559" s="44" t="s">
        <v>4223</v>
      </c>
      <c r="AI1559" s="28"/>
      <c r="AK1559" s="66">
        <f t="shared" si="450"/>
        <v>0</v>
      </c>
      <c r="AL1559" s="174">
        <f t="shared" si="451"/>
        <v>0</v>
      </c>
      <c r="AM1559" s="346">
        <f>RTD("money.excel",,$G1559,"PredictVolume")</f>
        <v>0</v>
      </c>
      <c r="AN1559" s="272">
        <f>RTD("money.excel",,$G1559,"CumulativeVolume")</f>
        <v>0</v>
      </c>
      <c r="AO1559" s="18"/>
    </row>
    <row r="1560" spans="1:41">
      <c r="A1560" s="151" t="s">
        <v>4647</v>
      </c>
      <c r="B1560" s="96">
        <v>55</v>
      </c>
      <c r="C1560" s="96">
        <v>41</v>
      </c>
      <c r="D1560" s="96">
        <v>-5</v>
      </c>
      <c r="E1560" s="96">
        <v>-21</v>
      </c>
      <c r="F1560" s="7">
        <v>-29.99</v>
      </c>
      <c r="G1560" s="85">
        <v>2740</v>
      </c>
      <c r="H1560" s="4" t="s">
        <v>552</v>
      </c>
      <c r="I1560" s="17" t="s">
        <v>1585</v>
      </c>
      <c r="J1560" s="77">
        <v>51</v>
      </c>
      <c r="K1560" s="77">
        <v>8.51</v>
      </c>
      <c r="N1560" s="365">
        <f t="shared" si="447"/>
        <v>59.51</v>
      </c>
      <c r="O1560" s="343">
        <f t="shared" si="440"/>
        <v>51</v>
      </c>
      <c r="P1560" s="195" t="s">
        <v>5554</v>
      </c>
      <c r="Q1560" s="326" t="str">
        <f>IFERROR(VLOOKUP($G1560,主力整理!$A$2:$G$2301,6,0),"0")</f>
        <v>0</v>
      </c>
      <c r="T1560" s="339">
        <f t="shared" si="441"/>
        <v>0</v>
      </c>
      <c r="V1560" s="371">
        <v>26.44</v>
      </c>
      <c r="W1560" s="35">
        <v>0</v>
      </c>
      <c r="X1560" s="100">
        <v>-3.43</v>
      </c>
      <c r="Y1560" s="14" t="str">
        <f>RTD("money.excel",,"2740","Price")</f>
        <v>無資料</v>
      </c>
      <c r="Z1560" s="69"/>
      <c r="AA1560" s="16" t="e">
        <f t="shared" si="442"/>
        <v>#VALUE!</v>
      </c>
      <c r="AB1560" s="36" t="e">
        <f t="shared" si="443"/>
        <v>#VALUE!</v>
      </c>
      <c r="AD1560" s="17" t="s">
        <v>1585</v>
      </c>
      <c r="AG1560" s="34">
        <f t="shared" si="444"/>
        <v>0</v>
      </c>
      <c r="AH1560" s="44" t="s">
        <v>4217</v>
      </c>
      <c r="AI1560" s="131"/>
      <c r="AK1560" s="66">
        <f t="shared" si="450"/>
        <v>0</v>
      </c>
      <c r="AL1560" s="174">
        <f t="shared" si="451"/>
        <v>0</v>
      </c>
      <c r="AM1560" s="346">
        <f>RTD("money.excel",,$G1560,"PredictVolume")</f>
        <v>0</v>
      </c>
      <c r="AN1560" s="272">
        <f>RTD("money.excel",,$G1560,"CumulativeVolume")</f>
        <v>0</v>
      </c>
      <c r="AO1560" s="284"/>
    </row>
    <row r="1561" spans="1:41">
      <c r="A1561" s="151" t="s">
        <v>4762</v>
      </c>
      <c r="B1561" s="84">
        <v>-191</v>
      </c>
      <c r="C1561" s="84">
        <v>-311</v>
      </c>
      <c r="D1561" s="85">
        <v>-60</v>
      </c>
      <c r="E1561" s="85">
        <v>-94</v>
      </c>
      <c r="F1561" s="7">
        <v>-12.65</v>
      </c>
      <c r="G1561" s="85">
        <v>2743</v>
      </c>
      <c r="H1561" s="55" t="s">
        <v>552</v>
      </c>
      <c r="I1561" s="17" t="s">
        <v>2810</v>
      </c>
      <c r="J1561" s="77">
        <v>69.28</v>
      </c>
      <c r="K1561" s="77">
        <v>1.87</v>
      </c>
      <c r="L1561" s="371"/>
      <c r="N1561" s="365">
        <f t="shared" si="447"/>
        <v>71.150000000000006</v>
      </c>
      <c r="O1561" s="343">
        <f t="shared" si="440"/>
        <v>69.28</v>
      </c>
      <c r="P1561" s="195" t="s">
        <v>5554</v>
      </c>
      <c r="Q1561" s="326" t="str">
        <f>IFERROR(VLOOKUP($G1561,主力整理!$A$2:$G$2301,6,0),"0")</f>
        <v>0</v>
      </c>
      <c r="T1561" s="339">
        <f t="shared" si="441"/>
        <v>0</v>
      </c>
      <c r="V1561" s="371">
        <v>54.39</v>
      </c>
      <c r="W1561" s="35">
        <v>0</v>
      </c>
      <c r="X1561" s="59">
        <v>-1.25</v>
      </c>
      <c r="Y1561" s="37" t="str">
        <f>RTD("money.excel",,"2743","Price")</f>
        <v>無資料</v>
      </c>
      <c r="Z1561" s="69"/>
      <c r="AA1561" s="16" t="e">
        <f t="shared" si="442"/>
        <v>#VALUE!</v>
      </c>
      <c r="AB1561" s="36" t="e">
        <f t="shared" si="443"/>
        <v>#VALUE!</v>
      </c>
      <c r="AD1561" s="17" t="s">
        <v>2810</v>
      </c>
      <c r="AG1561" s="34">
        <f t="shared" si="444"/>
        <v>0</v>
      </c>
      <c r="AH1561" s="44" t="s">
        <v>2295</v>
      </c>
      <c r="AI1561" s="131"/>
      <c r="AK1561" s="66">
        <f t="shared" si="450"/>
        <v>0</v>
      </c>
      <c r="AL1561" s="174">
        <f t="shared" si="451"/>
        <v>0</v>
      </c>
      <c r="AM1561" s="346">
        <f>RTD("money.excel",,$G1561,"PredictVolume")</f>
        <v>0</v>
      </c>
      <c r="AN1561" s="272">
        <f>RTD("money.excel",,$G1561,"CumulativeVolume")</f>
        <v>0</v>
      </c>
      <c r="AO1561" s="284"/>
    </row>
    <row r="1562" spans="1:41">
      <c r="A1562" s="151" t="s">
        <v>4763</v>
      </c>
      <c r="B1562" s="96">
        <v>-191</v>
      </c>
      <c r="C1562" s="96">
        <v>-280</v>
      </c>
      <c r="D1562" s="96">
        <v>-44</v>
      </c>
      <c r="E1562" s="96">
        <v>-97</v>
      </c>
      <c r="F1562" s="7">
        <v>-13.06</v>
      </c>
      <c r="G1562" s="85">
        <v>2745</v>
      </c>
      <c r="H1562" s="4" t="s">
        <v>552</v>
      </c>
      <c r="I1562" s="17" t="s">
        <v>1586</v>
      </c>
      <c r="J1562" s="77">
        <v>70.319999999999993</v>
      </c>
      <c r="K1562" s="77">
        <v>0</v>
      </c>
      <c r="N1562" s="365">
        <f t="shared" si="447"/>
        <v>70.319999999999993</v>
      </c>
      <c r="O1562" s="343">
        <f t="shared" si="440"/>
        <v>70.319999999999993</v>
      </c>
      <c r="P1562" s="195">
        <v>1</v>
      </c>
      <c r="Q1562" s="326" t="str">
        <f>IFERROR(VLOOKUP($G1562,主力整理!$A$2:$G$2301,6,0),"0")</f>
        <v>0</v>
      </c>
      <c r="T1562" s="339">
        <f t="shared" si="441"/>
        <v>1</v>
      </c>
      <c r="V1562" s="371">
        <v>37.21</v>
      </c>
      <c r="W1562" s="35">
        <v>0</v>
      </c>
      <c r="X1562" s="100">
        <v>-2.89</v>
      </c>
      <c r="Y1562" s="14" t="str">
        <f>RTD("money.excel",,"2745","Price")</f>
        <v>無資料</v>
      </c>
      <c r="Z1562" s="69"/>
      <c r="AA1562" s="16" t="e">
        <f t="shared" si="442"/>
        <v>#VALUE!</v>
      </c>
      <c r="AB1562" s="36" t="e">
        <f t="shared" si="443"/>
        <v>#VALUE!</v>
      </c>
      <c r="AC1562" s="177" t="s">
        <v>2648</v>
      </c>
      <c r="AD1562" s="17" t="s">
        <v>1586</v>
      </c>
      <c r="AG1562" s="34">
        <f t="shared" si="444"/>
        <v>0</v>
      </c>
      <c r="AH1562" s="44" t="s">
        <v>2295</v>
      </c>
      <c r="AI1562" s="131"/>
      <c r="AK1562" s="66">
        <f t="shared" si="450"/>
        <v>0</v>
      </c>
      <c r="AL1562" s="174">
        <f t="shared" si="451"/>
        <v>0</v>
      </c>
      <c r="AM1562" s="346">
        <f>RTD("money.excel",,$G1562,"PredictVolume")</f>
        <v>0</v>
      </c>
      <c r="AN1562" s="272">
        <f>RTD("money.excel",,$G1562,"CumulativeVolume")</f>
        <v>0</v>
      </c>
      <c r="AO1562" s="284"/>
    </row>
    <row r="1563" spans="1:41">
      <c r="A1563" s="151" t="s">
        <v>6525</v>
      </c>
      <c r="B1563" s="85">
        <v>-385</v>
      </c>
      <c r="C1563" s="99">
        <v>-1255</v>
      </c>
      <c r="D1563" s="84">
        <v>17</v>
      </c>
      <c r="E1563" s="85">
        <v>-18</v>
      </c>
      <c r="F1563" s="7">
        <v>-14.89</v>
      </c>
      <c r="G1563" s="85">
        <v>2748</v>
      </c>
      <c r="H1563" s="4" t="s">
        <v>552</v>
      </c>
      <c r="I1563" s="23" t="s">
        <v>1606</v>
      </c>
      <c r="J1563" s="371">
        <v>68.44</v>
      </c>
      <c r="K1563" s="371">
        <v>0.31</v>
      </c>
      <c r="L1563" s="77">
        <v>1.23</v>
      </c>
      <c r="M1563" s="371">
        <v>69.540000000000006</v>
      </c>
      <c r="N1563" s="77">
        <f>K1563+J1563+L1563+M1563</f>
        <v>139.52000000000001</v>
      </c>
      <c r="O1563" s="369">
        <f t="shared" si="440"/>
        <v>137.98000000000002</v>
      </c>
      <c r="P1563" s="195">
        <v>1</v>
      </c>
      <c r="Q1563" s="326" t="str">
        <f>IFERROR(VLOOKUP($G1563,主力整理!$A$2:$G$2301,6,0),"0")</f>
        <v>0</v>
      </c>
      <c r="R1563" s="111">
        <v>1</v>
      </c>
      <c r="S1563" s="51">
        <v>1</v>
      </c>
      <c r="T1563" s="339">
        <f t="shared" si="441"/>
        <v>3</v>
      </c>
      <c r="U1563" s="329" t="s">
        <v>6539</v>
      </c>
      <c r="V1563" s="371">
        <v>0.11</v>
      </c>
      <c r="W1563" s="35">
        <v>1</v>
      </c>
      <c r="X1563" s="59">
        <v>-0.36</v>
      </c>
      <c r="Y1563" s="37" t="str">
        <f>RTD("money.excel",,"2748","Price")</f>
        <v>無資料</v>
      </c>
      <c r="Z1563" s="69"/>
      <c r="AA1563" s="16" t="e">
        <f t="shared" si="442"/>
        <v>#VALUE!</v>
      </c>
      <c r="AB1563" s="3" t="e">
        <f t="shared" si="443"/>
        <v>#VALUE!</v>
      </c>
      <c r="AD1563" s="23" t="s">
        <v>1606</v>
      </c>
      <c r="AG1563" s="34">
        <f t="shared" si="444"/>
        <v>0</v>
      </c>
      <c r="AH1563" s="44" t="s">
        <v>6526</v>
      </c>
      <c r="AI1563" s="131"/>
      <c r="AK1563" s="66">
        <f t="shared" si="450"/>
        <v>0</v>
      </c>
      <c r="AL1563" s="174">
        <f t="shared" si="451"/>
        <v>0</v>
      </c>
      <c r="AM1563" s="346">
        <f>RTD("money.excel",,$G1563,"PredictVolume")</f>
        <v>0</v>
      </c>
      <c r="AN1563" s="272">
        <f>RTD("money.excel",,$G1563,"CumulativeVolume")</f>
        <v>0</v>
      </c>
      <c r="AO1563" s="284"/>
    </row>
    <row r="1564" spans="1:41">
      <c r="A1564" s="135" t="s">
        <v>5223</v>
      </c>
      <c r="B1564" s="84">
        <v>77</v>
      </c>
      <c r="C1564" s="84">
        <v>52</v>
      </c>
      <c r="D1564" s="85">
        <v>-8</v>
      </c>
      <c r="E1564" s="84">
        <v>56</v>
      </c>
      <c r="F1564" s="59">
        <v>13.8</v>
      </c>
      <c r="G1564" s="85">
        <v>2752</v>
      </c>
      <c r="H1564" s="4" t="s">
        <v>552</v>
      </c>
      <c r="I1564" s="17" t="s">
        <v>2611</v>
      </c>
      <c r="J1564" s="371">
        <v>39.25</v>
      </c>
      <c r="K1564" s="77">
        <v>1.8</v>
      </c>
      <c r="N1564" s="365">
        <f t="shared" ref="N1564:N1581" si="452">J1564+K1564+L1564+M1564</f>
        <v>41.05</v>
      </c>
      <c r="O1564" s="343">
        <f t="shared" si="440"/>
        <v>39.25</v>
      </c>
      <c r="P1564" s="195">
        <v>1</v>
      </c>
      <c r="Q1564" s="326" t="str">
        <f>IFERROR(VLOOKUP($G1564,主力整理!$A$2:$G$2301,6,0),"0")</f>
        <v>0</v>
      </c>
      <c r="T1564" s="339">
        <f t="shared" si="441"/>
        <v>1</v>
      </c>
      <c r="W1564" s="69">
        <v>9</v>
      </c>
      <c r="X1564" s="100">
        <v>10.45</v>
      </c>
      <c r="Y1564" s="37" t="str">
        <f>RTD("money.excel",,"2752","Price")</f>
        <v>無資料</v>
      </c>
      <c r="Z1564" s="69"/>
      <c r="AA1564" s="16" t="e">
        <f t="shared" si="442"/>
        <v>#VALUE!</v>
      </c>
      <c r="AB1564" s="3" t="e">
        <f t="shared" si="443"/>
        <v>#VALUE!</v>
      </c>
      <c r="AC1564" s="177" t="s">
        <v>2929</v>
      </c>
      <c r="AD1564" s="17" t="s">
        <v>2611</v>
      </c>
      <c r="AG1564" s="34">
        <f t="shared" si="444"/>
        <v>0</v>
      </c>
      <c r="AH1564" s="63" t="s">
        <v>4218</v>
      </c>
      <c r="AI1564" s="131"/>
      <c r="AK1564" s="66">
        <f>AM1564/(A1564*10000)</f>
        <v>0</v>
      </c>
      <c r="AL1564" s="174">
        <f>AN1564/(A1564*10000)</f>
        <v>0</v>
      </c>
      <c r="AM1564" s="346">
        <f>RTD("money.excel",,$G1564,"PredictVolume")</f>
        <v>0</v>
      </c>
      <c r="AN1564" s="272">
        <f>RTD("money.excel",,$G1564,"CumulativeVolume")</f>
        <v>0</v>
      </c>
      <c r="AO1564" s="284"/>
    </row>
    <row r="1565" spans="1:41">
      <c r="A1565" s="135" t="s">
        <v>4835</v>
      </c>
      <c r="B1565" s="85">
        <v>-18</v>
      </c>
      <c r="C1565" s="85">
        <v>-18</v>
      </c>
      <c r="D1565" s="85">
        <v>-3</v>
      </c>
      <c r="E1565" s="84">
        <v>6</v>
      </c>
      <c r="F1565" s="59">
        <v>10.57</v>
      </c>
      <c r="G1565" s="85">
        <v>2753</v>
      </c>
      <c r="H1565" s="4" t="s">
        <v>552</v>
      </c>
      <c r="I1565" s="23" t="s">
        <v>5539</v>
      </c>
      <c r="J1565" s="77">
        <v>56.28</v>
      </c>
      <c r="K1565" s="371">
        <v>5.65</v>
      </c>
      <c r="L1565" s="371"/>
      <c r="M1565" s="371">
        <v>30.28</v>
      </c>
      <c r="N1565" s="365">
        <f t="shared" si="452"/>
        <v>92.210000000000008</v>
      </c>
      <c r="O1565" s="369">
        <f t="shared" si="440"/>
        <v>86.56</v>
      </c>
      <c r="P1565" s="232">
        <v>0</v>
      </c>
      <c r="Q1565" s="326" t="str">
        <f>IFERROR(VLOOKUP($G1565,主力整理!$A$2:$G$2301,6,0),"0")</f>
        <v>0</v>
      </c>
      <c r="R1565" s="111">
        <v>0</v>
      </c>
      <c r="S1565" s="51">
        <v>0</v>
      </c>
      <c r="T1565" s="339">
        <f t="shared" si="441"/>
        <v>0</v>
      </c>
      <c r="W1565" s="35">
        <v>2.27</v>
      </c>
      <c r="X1565" s="59">
        <v>9.2200000000000006</v>
      </c>
      <c r="Y1565" s="37" t="str">
        <f>RTD("money.excel",,"2753","Price")</f>
        <v>無資料</v>
      </c>
      <c r="Z1565" s="69"/>
      <c r="AA1565" s="16" t="e">
        <f t="shared" si="442"/>
        <v>#VALUE!</v>
      </c>
      <c r="AB1565" s="3" t="e">
        <f t="shared" si="443"/>
        <v>#VALUE!</v>
      </c>
      <c r="AD1565" s="23" t="s">
        <v>5539</v>
      </c>
      <c r="AG1565" s="34">
        <f t="shared" si="444"/>
        <v>0</v>
      </c>
      <c r="AH1565" s="44" t="s">
        <v>4766</v>
      </c>
      <c r="AI1565" s="131"/>
      <c r="AK1565" s="66">
        <f t="shared" ref="AK1565:AK1566" si="453">AM1565/(A1565*10000)</f>
        <v>0</v>
      </c>
      <c r="AL1565" s="174">
        <f t="shared" ref="AL1565:AL1566" si="454">AN1565/(A1565*10000)</f>
        <v>0</v>
      </c>
      <c r="AM1565" s="346">
        <f>RTD("money.excel",,$G1565,"PredictVolume")</f>
        <v>0</v>
      </c>
      <c r="AN1565" s="272">
        <f>RTD("money.excel",,$G1565,"CumulativeVolume")</f>
        <v>0</v>
      </c>
      <c r="AO1565" s="284"/>
    </row>
    <row r="1566" spans="1:41">
      <c r="A1566" s="151" t="s">
        <v>3374</v>
      </c>
      <c r="B1566" s="85">
        <v>-64</v>
      </c>
      <c r="C1566" s="85">
        <v>-56</v>
      </c>
      <c r="D1566" s="85">
        <v>-10</v>
      </c>
      <c r="E1566" s="84">
        <v>71</v>
      </c>
      <c r="F1566" s="7">
        <v>2.1</v>
      </c>
      <c r="G1566" s="85">
        <v>2754</v>
      </c>
      <c r="H1566" s="4" t="s">
        <v>552</v>
      </c>
      <c r="I1566" s="17" t="s">
        <v>3156</v>
      </c>
      <c r="J1566" s="371">
        <v>68.08</v>
      </c>
      <c r="K1566" s="77">
        <v>71.56</v>
      </c>
      <c r="L1566" s="77">
        <v>3</v>
      </c>
      <c r="N1566" s="365">
        <f t="shared" si="452"/>
        <v>142.63999999999999</v>
      </c>
      <c r="O1566" s="343">
        <f t="shared" si="440"/>
        <v>68.08</v>
      </c>
      <c r="P1566" s="195">
        <v>1</v>
      </c>
      <c r="Q1566" s="326" t="str">
        <f>IFERROR(VLOOKUP($G1566,主力整理!$A$2:$G$2301,6,0),"0")</f>
        <v>0</v>
      </c>
      <c r="T1566" s="339">
        <f t="shared" si="441"/>
        <v>1</v>
      </c>
      <c r="V1566" s="371">
        <v>0</v>
      </c>
      <c r="W1566" s="35">
        <v>0.5</v>
      </c>
      <c r="X1566" s="59">
        <v>0.82</v>
      </c>
      <c r="Y1566" s="14" t="str">
        <f>RTD("money.excel",,"2754","Price")</f>
        <v>無資料</v>
      </c>
      <c r="Z1566" s="69"/>
      <c r="AA1566" s="16" t="e">
        <f t="shared" si="442"/>
        <v>#VALUE!</v>
      </c>
      <c r="AB1566" s="164" t="e">
        <f t="shared" si="443"/>
        <v>#VALUE!</v>
      </c>
      <c r="AC1566" s="177" t="s">
        <v>2648</v>
      </c>
      <c r="AD1566" s="17" t="s">
        <v>3156</v>
      </c>
      <c r="AG1566" s="34">
        <f t="shared" si="444"/>
        <v>0</v>
      </c>
      <c r="AH1566" s="44" t="s">
        <v>3157</v>
      </c>
      <c r="AI1566" s="131"/>
      <c r="AK1566" s="66">
        <f t="shared" si="453"/>
        <v>0</v>
      </c>
      <c r="AL1566" s="174">
        <f t="shared" si="454"/>
        <v>0</v>
      </c>
      <c r="AM1566" s="346">
        <f>RTD("money.excel",,$G1566,"PredictVolume")</f>
        <v>0</v>
      </c>
      <c r="AN1566" s="272">
        <f>RTD("money.excel",,$G1566,"CumulativeVolume")</f>
        <v>0</v>
      </c>
      <c r="AO1566" s="284"/>
    </row>
    <row r="1567" spans="1:41">
      <c r="A1567" s="151" t="s">
        <v>3417</v>
      </c>
      <c r="B1567" s="84">
        <v>13</v>
      </c>
      <c r="C1567" s="84">
        <v>12</v>
      </c>
      <c r="D1567" s="84">
        <v>1</v>
      </c>
      <c r="E1567" s="85">
        <v>-6</v>
      </c>
      <c r="F1567" s="7">
        <v>5.35</v>
      </c>
      <c r="G1567" s="85">
        <v>2755</v>
      </c>
      <c r="H1567" s="4" t="s">
        <v>552</v>
      </c>
      <c r="I1567" s="17" t="s">
        <v>3380</v>
      </c>
      <c r="J1567" s="77">
        <v>46.3</v>
      </c>
      <c r="K1567" s="371">
        <v>0.66</v>
      </c>
      <c r="N1567" s="365">
        <f t="shared" si="452"/>
        <v>46.959999999999994</v>
      </c>
      <c r="O1567" s="343">
        <f t="shared" si="440"/>
        <v>46.3</v>
      </c>
      <c r="P1567" s="195" t="s">
        <v>5554</v>
      </c>
      <c r="Q1567" s="326" t="str">
        <f>IFERROR(VLOOKUP($G1567,主力整理!$A$2:$G$2301,6,0),"0")</f>
        <v>0</v>
      </c>
      <c r="R1567" s="111">
        <v>0</v>
      </c>
      <c r="S1567" s="51">
        <v>0</v>
      </c>
      <c r="T1567" s="339">
        <f t="shared" si="441"/>
        <v>0</v>
      </c>
      <c r="W1567" s="35">
        <v>2</v>
      </c>
      <c r="X1567" s="100">
        <v>3.89</v>
      </c>
      <c r="Y1567" s="37" t="str">
        <f>RTD("money.excel",,"2755","Price")</f>
        <v>無資料</v>
      </c>
      <c r="Z1567" s="69"/>
      <c r="AA1567" s="16" t="e">
        <f t="shared" si="442"/>
        <v>#VALUE!</v>
      </c>
      <c r="AB1567" s="3" t="e">
        <f t="shared" si="443"/>
        <v>#VALUE!</v>
      </c>
      <c r="AD1567" s="17" t="s">
        <v>3380</v>
      </c>
      <c r="AG1567" s="34">
        <f t="shared" si="444"/>
        <v>0</v>
      </c>
      <c r="AH1567" s="44" t="s">
        <v>3381</v>
      </c>
      <c r="AI1567" s="131"/>
      <c r="AK1567" s="66">
        <f>AM1567/(A1567*10000)</f>
        <v>0</v>
      </c>
      <c r="AL1567" s="174">
        <f>AN1567/(A1567*10000)</f>
        <v>0</v>
      </c>
      <c r="AM1567" s="346">
        <f>RTD("money.excel",,$G1567,"PredictVolume")</f>
        <v>0</v>
      </c>
      <c r="AN1567" s="272">
        <f>RTD("money.excel",,$G1567,"CumulativeVolume")</f>
        <v>0</v>
      </c>
      <c r="AO1567" s="284"/>
    </row>
    <row r="1568" spans="1:41">
      <c r="A1568" s="151" t="s">
        <v>2213</v>
      </c>
      <c r="B1568" s="84">
        <v>-872</v>
      </c>
      <c r="C1568" s="84">
        <v>-386</v>
      </c>
      <c r="D1568" s="84">
        <v>-9</v>
      </c>
      <c r="E1568" s="84">
        <v>4</v>
      </c>
      <c r="F1568" s="7">
        <v>-1.97</v>
      </c>
      <c r="G1568" s="85">
        <v>2928</v>
      </c>
      <c r="H1568" s="4" t="s">
        <v>552</v>
      </c>
      <c r="I1568" s="17" t="s">
        <v>1587</v>
      </c>
      <c r="J1568" s="371">
        <v>83.63</v>
      </c>
      <c r="K1568" s="371">
        <v>85.07</v>
      </c>
      <c r="L1568" s="77">
        <v>5.95</v>
      </c>
      <c r="N1568" s="365">
        <f t="shared" si="452"/>
        <v>174.64999999999998</v>
      </c>
      <c r="O1568" s="343">
        <f t="shared" si="440"/>
        <v>83.63</v>
      </c>
      <c r="P1568" s="195" t="s">
        <v>5554</v>
      </c>
      <c r="Q1568" s="326" t="str">
        <f>IFERROR(VLOOKUP($G1568,主力整理!$A$2:$G$2301,6,0),"0")</f>
        <v>0</v>
      </c>
      <c r="T1568" s="339">
        <f t="shared" si="441"/>
        <v>0</v>
      </c>
      <c r="V1568" s="371">
        <v>5.9</v>
      </c>
      <c r="W1568" s="35">
        <v>0</v>
      </c>
      <c r="X1568" s="100">
        <v>-1.63</v>
      </c>
      <c r="Y1568" s="14" t="str">
        <f>RTD("money.excel",,"2928","Price")</f>
        <v>商品錯誤</v>
      </c>
      <c r="Z1568" s="69"/>
      <c r="AA1568" s="16" t="e">
        <f t="shared" si="442"/>
        <v>#VALUE!</v>
      </c>
      <c r="AB1568" s="36" t="e">
        <f t="shared" si="443"/>
        <v>#VALUE!</v>
      </c>
      <c r="AC1568" s="177" t="s">
        <v>2648</v>
      </c>
      <c r="AD1568" s="17" t="s">
        <v>1587</v>
      </c>
      <c r="AG1568" s="34">
        <f t="shared" si="444"/>
        <v>0</v>
      </c>
      <c r="AH1568" s="44" t="s">
        <v>4219</v>
      </c>
      <c r="AI1568" s="131"/>
      <c r="AK1568" s="66" t="e">
        <f t="shared" ref="AK1568:AK1575" si="455">AM1568/(A1568*10000)</f>
        <v>#VALUE!</v>
      </c>
      <c r="AL1568" s="174" t="e">
        <f t="shared" ref="AL1568:AL1575" si="456">AN1568/(A1568*10000)</f>
        <v>#VALUE!</v>
      </c>
      <c r="AM1568" s="346" t="str">
        <f>RTD("money.excel",,$G1568,"PredictVolume")</f>
        <v>商品錯誤</v>
      </c>
      <c r="AN1568" s="272" t="str">
        <f>RTD("money.excel",,$G1568,"CumulativeVolume")</f>
        <v>商品錯誤</v>
      </c>
      <c r="AO1568" s="284"/>
    </row>
    <row r="1569" spans="1:41">
      <c r="A1569" s="135" t="s">
        <v>2367</v>
      </c>
      <c r="B1569" s="96">
        <v>-101</v>
      </c>
      <c r="C1569" s="214">
        <v>-1052</v>
      </c>
      <c r="D1569" s="96">
        <v>-7</v>
      </c>
      <c r="E1569" s="96">
        <v>27</v>
      </c>
      <c r="F1569" s="7">
        <v>-34.880000000000003</v>
      </c>
      <c r="G1569" s="85">
        <v>3252</v>
      </c>
      <c r="H1569" s="4" t="s">
        <v>552</v>
      </c>
      <c r="I1569" s="17" t="s">
        <v>1588</v>
      </c>
      <c r="J1569" s="77">
        <v>69.55</v>
      </c>
      <c r="K1569" s="77">
        <v>7.4</v>
      </c>
      <c r="L1569" s="77">
        <v>68.349999999999994</v>
      </c>
      <c r="N1569" s="365">
        <f t="shared" si="452"/>
        <v>145.30000000000001</v>
      </c>
      <c r="O1569" s="343">
        <f t="shared" si="440"/>
        <v>69.55</v>
      </c>
      <c r="P1569" s="195" t="s">
        <v>5554</v>
      </c>
      <c r="Q1569" s="326" t="str">
        <f>IFERROR(VLOOKUP($G1569,主力整理!$A$2:$G$2301,6,0),"0")</f>
        <v>0</v>
      </c>
      <c r="T1569" s="339">
        <f t="shared" si="441"/>
        <v>0</v>
      </c>
      <c r="V1569" s="371">
        <v>15.81</v>
      </c>
      <c r="W1569" s="35">
        <v>0</v>
      </c>
      <c r="X1569" s="100">
        <v>-1.84</v>
      </c>
      <c r="Y1569" s="14" t="str">
        <f>RTD("money.excel",,"3252","Price")</f>
        <v>無資料</v>
      </c>
      <c r="Z1569" s="69"/>
      <c r="AA1569" s="16" t="e">
        <f t="shared" si="442"/>
        <v>#VALUE!</v>
      </c>
      <c r="AB1569" s="3" t="e">
        <f t="shared" si="443"/>
        <v>#VALUE!</v>
      </c>
      <c r="AD1569" s="17" t="s">
        <v>1588</v>
      </c>
      <c r="AG1569" s="34">
        <f t="shared" si="444"/>
        <v>0</v>
      </c>
      <c r="AH1569" s="63" t="s">
        <v>4220</v>
      </c>
      <c r="AI1569" s="131"/>
      <c r="AK1569" s="66">
        <f t="shared" si="455"/>
        <v>0</v>
      </c>
      <c r="AL1569" s="174">
        <f t="shared" si="456"/>
        <v>0</v>
      </c>
      <c r="AM1569" s="346">
        <f>RTD("money.excel",,$G1569,"PredictVolume")</f>
        <v>0</v>
      </c>
      <c r="AN1569" s="272">
        <f>RTD("money.excel",,$G1569,"CumulativeVolume")</f>
        <v>0</v>
      </c>
      <c r="AO1569" s="284"/>
    </row>
    <row r="1570" spans="1:41">
      <c r="A1570" s="151" t="s">
        <v>2431</v>
      </c>
      <c r="B1570" s="85">
        <v>-146</v>
      </c>
      <c r="C1570" s="85">
        <v>-72</v>
      </c>
      <c r="D1570" s="85">
        <v>-5</v>
      </c>
      <c r="E1570" s="84">
        <v>95</v>
      </c>
      <c r="F1570" s="7">
        <v>-27.02</v>
      </c>
      <c r="G1570" s="85">
        <v>3522</v>
      </c>
      <c r="H1570" s="4" t="s">
        <v>552</v>
      </c>
      <c r="I1570" s="17" t="s">
        <v>4765</v>
      </c>
      <c r="J1570" s="371">
        <v>48.11</v>
      </c>
      <c r="K1570" s="77">
        <v>0.9</v>
      </c>
      <c r="L1570" s="77">
        <v>8.43</v>
      </c>
      <c r="N1570" s="365">
        <f t="shared" si="452"/>
        <v>57.44</v>
      </c>
      <c r="O1570" s="343">
        <f t="shared" si="440"/>
        <v>48.11</v>
      </c>
      <c r="P1570" s="195" t="s">
        <v>5554</v>
      </c>
      <c r="Q1570" s="326" t="str">
        <f>IFERROR(VLOOKUP($G1570,主力整理!$A$2:$G$2301,6,0),"0")</f>
        <v>0</v>
      </c>
      <c r="T1570" s="339">
        <f t="shared" si="441"/>
        <v>0</v>
      </c>
      <c r="V1570" s="371">
        <v>0.03</v>
      </c>
      <c r="W1570" s="35">
        <v>0</v>
      </c>
      <c r="X1570" s="100">
        <v>-6.19</v>
      </c>
      <c r="Y1570" s="37" t="str">
        <f>RTD("money.excel",,"3522","Price")</f>
        <v>無資料</v>
      </c>
      <c r="Z1570" s="69"/>
      <c r="AA1570" s="16" t="e">
        <f t="shared" si="442"/>
        <v>#VALUE!</v>
      </c>
      <c r="AB1570" s="3" t="e">
        <f t="shared" si="443"/>
        <v>#VALUE!</v>
      </c>
      <c r="AD1570" s="17" t="s">
        <v>4765</v>
      </c>
      <c r="AG1570" s="34">
        <f t="shared" si="444"/>
        <v>0</v>
      </c>
      <c r="AH1570" s="44" t="s">
        <v>4766</v>
      </c>
      <c r="AI1570" s="131"/>
      <c r="AK1570" s="66">
        <f t="shared" si="455"/>
        <v>0</v>
      </c>
      <c r="AL1570" s="174">
        <f t="shared" si="456"/>
        <v>0</v>
      </c>
      <c r="AM1570" s="346">
        <f>RTD("money.excel",,$G1570,"PredictVolume")</f>
        <v>0</v>
      </c>
      <c r="AN1570" s="272">
        <f>RTD("money.excel",,$G1570,"CumulativeVolume")</f>
        <v>0</v>
      </c>
      <c r="AO1570" s="284"/>
    </row>
    <row r="1571" spans="1:41">
      <c r="A1571" s="151" t="s">
        <v>4764</v>
      </c>
      <c r="B1571" s="96">
        <v>-250</v>
      </c>
      <c r="C1571" s="96">
        <v>-681</v>
      </c>
      <c r="D1571" s="96">
        <v>-22</v>
      </c>
      <c r="E1571" s="96">
        <v>-25</v>
      </c>
      <c r="F1571" s="7">
        <v>-52.06</v>
      </c>
      <c r="G1571" s="85">
        <v>4804</v>
      </c>
      <c r="H1571" s="4" t="s">
        <v>552</v>
      </c>
      <c r="I1571" s="17" t="s">
        <v>1589</v>
      </c>
      <c r="J1571" s="77">
        <v>60.54</v>
      </c>
      <c r="K1571" s="77">
        <v>36.47</v>
      </c>
      <c r="L1571" s="77">
        <v>19.84</v>
      </c>
      <c r="N1571" s="365">
        <f t="shared" si="452"/>
        <v>116.85</v>
      </c>
      <c r="O1571" s="343">
        <f t="shared" si="440"/>
        <v>60.54</v>
      </c>
      <c r="P1571" s="195" t="s">
        <v>5554</v>
      </c>
      <c r="Q1571" s="326" t="str">
        <f>IFERROR(VLOOKUP($G1571,主力整理!$A$2:$G$2301,6,0),"0")</f>
        <v>0</v>
      </c>
      <c r="T1571" s="339">
        <f t="shared" si="441"/>
        <v>0</v>
      </c>
      <c r="V1571" s="371">
        <v>30.88</v>
      </c>
      <c r="W1571" s="35">
        <v>0</v>
      </c>
      <c r="X1571" s="100">
        <v>0.21</v>
      </c>
      <c r="Y1571" s="14" t="str">
        <f>RTD("money.excel",,"4804","Price")</f>
        <v>無資料</v>
      </c>
      <c r="Z1571" s="69"/>
      <c r="AA1571" s="16" t="e">
        <f t="shared" si="442"/>
        <v>#VALUE!</v>
      </c>
      <c r="AB1571" s="3" t="e">
        <f t="shared" si="443"/>
        <v>#VALUE!</v>
      </c>
      <c r="AD1571" s="17" t="s">
        <v>1589</v>
      </c>
      <c r="AG1571" s="34">
        <f t="shared" si="444"/>
        <v>0</v>
      </c>
      <c r="AH1571" s="44" t="s">
        <v>4221</v>
      </c>
      <c r="AI1571" s="131"/>
      <c r="AK1571" s="66">
        <f t="shared" si="455"/>
        <v>0</v>
      </c>
      <c r="AL1571" s="174">
        <f t="shared" si="456"/>
        <v>0</v>
      </c>
      <c r="AM1571" s="346">
        <f>RTD("money.excel",,$G1571,"PredictVolume")</f>
        <v>0</v>
      </c>
      <c r="AN1571" s="272">
        <f>RTD("money.excel",,$G1571,"CumulativeVolume")</f>
        <v>0</v>
      </c>
      <c r="AO1571" s="284"/>
    </row>
    <row r="1572" spans="1:41">
      <c r="A1572" s="151" t="s">
        <v>2626</v>
      </c>
      <c r="B1572" s="84">
        <v>23</v>
      </c>
      <c r="C1572" s="84">
        <v>19</v>
      </c>
      <c r="D1572" s="84">
        <v>5</v>
      </c>
      <c r="E1572" s="84">
        <v>261</v>
      </c>
      <c r="F1572" s="77">
        <v>-224.54</v>
      </c>
      <c r="G1572" s="85">
        <v>5301</v>
      </c>
      <c r="H1572" s="4" t="s">
        <v>552</v>
      </c>
      <c r="I1572" s="17" t="s">
        <v>1590</v>
      </c>
      <c r="J1572" s="371">
        <v>76.290000000000006</v>
      </c>
      <c r="K1572" s="77">
        <v>5.52</v>
      </c>
      <c r="N1572" s="365">
        <f t="shared" si="452"/>
        <v>81.81</v>
      </c>
      <c r="O1572" s="343">
        <f t="shared" si="440"/>
        <v>76.290000000000006</v>
      </c>
      <c r="P1572" s="195" t="s">
        <v>5554</v>
      </c>
      <c r="Q1572" s="326" t="str">
        <f>IFERROR(VLOOKUP($G1572,主力整理!$A$2:$G$2301,6,0),"0")</f>
        <v>0</v>
      </c>
      <c r="T1572" s="339">
        <f t="shared" si="441"/>
        <v>0</v>
      </c>
      <c r="W1572" s="35">
        <v>0</v>
      </c>
      <c r="X1572" s="59">
        <v>-3.17</v>
      </c>
      <c r="Y1572" s="14" t="str">
        <f>RTD("money.excel",,"5301","Price")</f>
        <v>無資料</v>
      </c>
      <c r="Z1572" s="69"/>
      <c r="AA1572" s="16" t="e">
        <f t="shared" si="442"/>
        <v>#VALUE!</v>
      </c>
      <c r="AB1572" s="3" t="e">
        <f t="shared" si="443"/>
        <v>#VALUE!</v>
      </c>
      <c r="AD1572" s="17" t="s">
        <v>1590</v>
      </c>
      <c r="AG1572" s="34">
        <f t="shared" si="444"/>
        <v>0</v>
      </c>
      <c r="AH1572" s="44" t="s">
        <v>4222</v>
      </c>
      <c r="AI1572" s="131"/>
      <c r="AK1572" s="66">
        <f t="shared" si="455"/>
        <v>0</v>
      </c>
      <c r="AL1572" s="174">
        <f t="shared" si="456"/>
        <v>0</v>
      </c>
      <c r="AM1572" s="346">
        <f>RTD("money.excel",,$G1572,"PredictVolume")</f>
        <v>0</v>
      </c>
      <c r="AN1572" s="272">
        <f>RTD("money.excel",,$G1572,"CumulativeVolume")</f>
        <v>0</v>
      </c>
      <c r="AO1572" s="284"/>
    </row>
    <row r="1573" spans="1:41">
      <c r="A1573" s="151" t="s">
        <v>4767</v>
      </c>
      <c r="B1573" s="96">
        <v>-22</v>
      </c>
      <c r="C1573" s="96">
        <v>9</v>
      </c>
      <c r="D1573" s="96">
        <v>-8</v>
      </c>
      <c r="E1573" s="96">
        <v>-6</v>
      </c>
      <c r="F1573" s="7">
        <v>-2.27</v>
      </c>
      <c r="G1573" s="85">
        <v>5364</v>
      </c>
      <c r="H1573" s="4" t="s">
        <v>552</v>
      </c>
      <c r="I1573" s="17" t="s">
        <v>1591</v>
      </c>
      <c r="J1573" s="77">
        <v>47.95</v>
      </c>
      <c r="K1573" s="77">
        <v>0.11</v>
      </c>
      <c r="N1573" s="365">
        <f t="shared" si="452"/>
        <v>48.06</v>
      </c>
      <c r="O1573" s="343">
        <f t="shared" si="440"/>
        <v>47.95</v>
      </c>
      <c r="P1573" s="195" t="s">
        <v>5554</v>
      </c>
      <c r="Q1573" s="326" t="str">
        <f>IFERROR(VLOOKUP($G1573,主力整理!$A$2:$G$2301,6,0),"0")</f>
        <v>0</v>
      </c>
      <c r="T1573" s="339">
        <f t="shared" si="441"/>
        <v>0</v>
      </c>
      <c r="V1573" s="371">
        <v>15.58</v>
      </c>
      <c r="W1573" s="35">
        <v>0</v>
      </c>
      <c r="X1573" s="100">
        <v>-2.1800000000000002</v>
      </c>
      <c r="Y1573" s="37" t="str">
        <f>RTD("money.excel",,"5364","Price")</f>
        <v>無資料</v>
      </c>
      <c r="Z1573" s="69"/>
      <c r="AA1573" s="16" t="e">
        <f t="shared" si="442"/>
        <v>#VALUE!</v>
      </c>
      <c r="AB1573" s="3" t="e">
        <f t="shared" si="443"/>
        <v>#VALUE!</v>
      </c>
      <c r="AD1573" s="17" t="s">
        <v>1591</v>
      </c>
      <c r="AG1573" s="34">
        <f t="shared" si="444"/>
        <v>0</v>
      </c>
      <c r="AH1573" s="44" t="s">
        <v>4223</v>
      </c>
      <c r="AI1573" s="131"/>
      <c r="AK1573" s="66">
        <f t="shared" si="455"/>
        <v>0</v>
      </c>
      <c r="AL1573" s="174">
        <f t="shared" si="456"/>
        <v>0</v>
      </c>
      <c r="AM1573" s="346">
        <f>RTD("money.excel",,$G1573,"PredictVolume")</f>
        <v>0</v>
      </c>
      <c r="AN1573" s="272">
        <f>RTD("money.excel",,$G1573,"CumulativeVolume")</f>
        <v>0</v>
      </c>
      <c r="AO1573" s="284"/>
    </row>
    <row r="1574" spans="1:41">
      <c r="A1574" s="151" t="s">
        <v>3196</v>
      </c>
      <c r="B1574" s="85">
        <v>53</v>
      </c>
      <c r="C1574" s="85">
        <v>44</v>
      </c>
      <c r="D1574" s="84">
        <v>-38</v>
      </c>
      <c r="E1574" s="84">
        <v>-40</v>
      </c>
      <c r="F1574" s="7">
        <v>-13.87</v>
      </c>
      <c r="G1574" s="85">
        <v>5701</v>
      </c>
      <c r="H1574" s="4" t="s">
        <v>552</v>
      </c>
      <c r="I1574" s="17" t="s">
        <v>1592</v>
      </c>
      <c r="J1574" s="77">
        <v>39.020000000000003</v>
      </c>
      <c r="K1574" s="77">
        <v>0.41</v>
      </c>
      <c r="N1574" s="365">
        <f t="shared" si="452"/>
        <v>39.43</v>
      </c>
      <c r="O1574" s="343">
        <f t="shared" si="440"/>
        <v>39.020000000000003</v>
      </c>
      <c r="P1574" s="195" t="s">
        <v>5554</v>
      </c>
      <c r="Q1574" s="326" t="str">
        <f>IFERROR(VLOOKUP($G1574,主力整理!$A$2:$G$2301,6,0),"0")</f>
        <v>0</v>
      </c>
      <c r="T1574" s="339">
        <f t="shared" si="441"/>
        <v>0</v>
      </c>
      <c r="W1574" s="35">
        <v>0</v>
      </c>
      <c r="X1574" s="100">
        <v>-0.54</v>
      </c>
      <c r="Y1574" s="37" t="str">
        <f>RTD("money.excel",,"5701","Price")</f>
        <v>無資料</v>
      </c>
      <c r="Z1574" s="69"/>
      <c r="AA1574" s="16" t="e">
        <f t="shared" si="442"/>
        <v>#VALUE!</v>
      </c>
      <c r="AB1574" s="3" t="e">
        <f t="shared" si="443"/>
        <v>#VALUE!</v>
      </c>
      <c r="AC1574" s="177" t="s">
        <v>2648</v>
      </c>
      <c r="AD1574" s="17" t="s">
        <v>1592</v>
      </c>
      <c r="AG1574" s="34">
        <f t="shared" si="444"/>
        <v>0</v>
      </c>
      <c r="AH1574" s="44" t="s">
        <v>4224</v>
      </c>
      <c r="AI1574" s="131"/>
      <c r="AK1574" s="66">
        <f t="shared" si="455"/>
        <v>0</v>
      </c>
      <c r="AL1574" s="174">
        <f t="shared" si="456"/>
        <v>0</v>
      </c>
      <c r="AM1574" s="346">
        <f>RTD("money.excel",,$G1574,"PredictVolume")</f>
        <v>0</v>
      </c>
      <c r="AN1574" s="272">
        <f>RTD("money.excel",,$G1574,"CumulativeVolume")</f>
        <v>0</v>
      </c>
      <c r="AO1574" s="284"/>
    </row>
    <row r="1575" spans="1:41">
      <c r="A1575" s="151" t="s">
        <v>2960</v>
      </c>
      <c r="B1575" s="96">
        <v>-182</v>
      </c>
      <c r="C1575" s="96">
        <v>-62</v>
      </c>
      <c r="D1575" s="96">
        <v>-2</v>
      </c>
      <c r="E1575" s="96">
        <v>-65</v>
      </c>
      <c r="F1575" s="7">
        <v>-41.47</v>
      </c>
      <c r="G1575" s="85">
        <v>5703</v>
      </c>
      <c r="H1575" s="4" t="s">
        <v>552</v>
      </c>
      <c r="I1575" s="17" t="s">
        <v>1593</v>
      </c>
      <c r="J1575" s="77">
        <v>92.87</v>
      </c>
      <c r="K1575" s="77">
        <v>6.84</v>
      </c>
      <c r="L1575" s="77">
        <v>0.38</v>
      </c>
      <c r="N1575" s="365">
        <f t="shared" si="452"/>
        <v>100.09</v>
      </c>
      <c r="O1575" s="343">
        <f t="shared" si="440"/>
        <v>92.87</v>
      </c>
      <c r="P1575" s="195" t="s">
        <v>5554</v>
      </c>
      <c r="Q1575" s="326" t="str">
        <f>IFERROR(VLOOKUP($G1575,主力整理!$A$2:$G$2301,6,0),"0")</f>
        <v>0</v>
      </c>
      <c r="T1575" s="339">
        <f t="shared" si="441"/>
        <v>0</v>
      </c>
      <c r="V1575" s="371">
        <v>43.69</v>
      </c>
      <c r="W1575" s="35">
        <v>0</v>
      </c>
      <c r="X1575" s="100">
        <v>-2.36</v>
      </c>
      <c r="Y1575" s="14" t="str">
        <f>RTD("money.excel",,"5703","Price")</f>
        <v>無資料</v>
      </c>
      <c r="Z1575" s="69"/>
      <c r="AA1575" s="16" t="e">
        <f t="shared" si="442"/>
        <v>#VALUE!</v>
      </c>
      <c r="AB1575" s="3" t="e">
        <f t="shared" si="443"/>
        <v>#VALUE!</v>
      </c>
      <c r="AD1575" s="17" t="s">
        <v>1593</v>
      </c>
      <c r="AG1575" s="34">
        <f t="shared" si="444"/>
        <v>0</v>
      </c>
      <c r="AH1575" s="44" t="s">
        <v>4223</v>
      </c>
      <c r="AI1575" s="131"/>
      <c r="AK1575" s="66">
        <f t="shared" si="455"/>
        <v>0</v>
      </c>
      <c r="AL1575" s="174">
        <f t="shared" si="456"/>
        <v>0</v>
      </c>
      <c r="AM1575" s="346">
        <f>RTD("money.excel",,$G1575,"PredictVolume")</f>
        <v>0</v>
      </c>
      <c r="AN1575" s="272">
        <f>RTD("money.excel",,$G1575,"CumulativeVolume")</f>
        <v>0</v>
      </c>
      <c r="AO1575" s="284"/>
    </row>
    <row r="1576" spans="1:41">
      <c r="A1576" s="135" t="s">
        <v>2983</v>
      </c>
      <c r="B1576" s="96">
        <v>186</v>
      </c>
      <c r="C1576" s="96">
        <v>130</v>
      </c>
      <c r="D1576" s="96">
        <v>5</v>
      </c>
      <c r="E1576" s="96">
        <v>4</v>
      </c>
      <c r="F1576" s="59">
        <v>19.440000000000001</v>
      </c>
      <c r="G1576" s="85">
        <v>5704</v>
      </c>
      <c r="H1576" s="4" t="s">
        <v>552</v>
      </c>
      <c r="I1576" s="17" t="s">
        <v>1594</v>
      </c>
      <c r="J1576" s="371">
        <v>92.4</v>
      </c>
      <c r="K1576" s="371">
        <v>0</v>
      </c>
      <c r="L1576" s="371">
        <v>0.26</v>
      </c>
      <c r="N1576" s="365">
        <f t="shared" si="452"/>
        <v>92.660000000000011</v>
      </c>
      <c r="O1576" s="343">
        <f t="shared" si="440"/>
        <v>92.4</v>
      </c>
      <c r="P1576" s="195" t="s">
        <v>5554</v>
      </c>
      <c r="Q1576" s="326" t="str">
        <f>IFERROR(VLOOKUP($G1576,主力整理!$A$2:$G$2301,6,0),"0")</f>
        <v>0</v>
      </c>
      <c r="T1576" s="339">
        <f t="shared" si="441"/>
        <v>0</v>
      </c>
      <c r="V1576" s="371">
        <v>35.340000000000003</v>
      </c>
      <c r="W1576" s="35">
        <v>2.2000000000000002</v>
      </c>
      <c r="X1576" s="100">
        <v>2.41</v>
      </c>
      <c r="Y1576" s="14" t="str">
        <f>RTD("money.excel",,"5704","Price")</f>
        <v>無資料</v>
      </c>
      <c r="Z1576" s="69"/>
      <c r="AA1576" s="16" t="e">
        <f t="shared" si="442"/>
        <v>#VALUE!</v>
      </c>
      <c r="AB1576" s="3" t="e">
        <f t="shared" si="443"/>
        <v>#VALUE!</v>
      </c>
      <c r="AD1576" s="17" t="s">
        <v>1594</v>
      </c>
      <c r="AG1576" s="34">
        <f t="shared" si="444"/>
        <v>0</v>
      </c>
      <c r="AH1576" s="63" t="s">
        <v>4216</v>
      </c>
      <c r="AI1576" s="131"/>
      <c r="AK1576" s="66">
        <f>AM1576/(A1576*10000)</f>
        <v>0</v>
      </c>
      <c r="AL1576" s="174">
        <f>AN1576/(A1576*10000)</f>
        <v>0</v>
      </c>
      <c r="AM1576" s="346">
        <f>RTD("money.excel",,$G1576,"PredictVolume")</f>
        <v>0</v>
      </c>
      <c r="AN1576" s="272">
        <f>RTD("money.excel",,$G1576,"CumulativeVolume")</f>
        <v>0</v>
      </c>
      <c r="AO1576" s="284"/>
    </row>
    <row r="1577" spans="1:41">
      <c r="A1577" s="151" t="s">
        <v>2532</v>
      </c>
      <c r="B1577" s="85">
        <v>-102</v>
      </c>
      <c r="C1577" s="85">
        <v>-92</v>
      </c>
      <c r="D1577" s="85">
        <v>-10</v>
      </c>
      <c r="E1577" s="85">
        <v>-96</v>
      </c>
      <c r="F1577" s="7">
        <v>1.8</v>
      </c>
      <c r="G1577" s="85">
        <v>5706</v>
      </c>
      <c r="H1577" s="4" t="s">
        <v>552</v>
      </c>
      <c r="I1577" s="23" t="s">
        <v>1607</v>
      </c>
      <c r="J1577" s="77">
        <v>49.22</v>
      </c>
      <c r="K1577" s="77">
        <v>0.9</v>
      </c>
      <c r="L1577" s="77">
        <v>4.21</v>
      </c>
      <c r="N1577" s="365">
        <f t="shared" si="452"/>
        <v>54.33</v>
      </c>
      <c r="O1577" s="343">
        <f t="shared" si="440"/>
        <v>49.22</v>
      </c>
      <c r="P1577" s="195" t="s">
        <v>5554</v>
      </c>
      <c r="Q1577" s="326" t="str">
        <f>IFERROR(VLOOKUP($G1577,主力整理!$A$2:$G$2301,6,0),"0")</f>
        <v>0</v>
      </c>
      <c r="T1577" s="339">
        <f t="shared" si="441"/>
        <v>0</v>
      </c>
      <c r="V1577" s="371">
        <v>0.28999999999999998</v>
      </c>
      <c r="W1577" s="35">
        <v>0.3</v>
      </c>
      <c r="X1577" s="100">
        <v>0.16</v>
      </c>
      <c r="Y1577" s="37" t="str">
        <f>RTD("money.excel",,"5706","Price")</f>
        <v>無資料</v>
      </c>
      <c r="Z1577" s="69"/>
      <c r="AA1577" s="16" t="e">
        <f t="shared" si="442"/>
        <v>#VALUE!</v>
      </c>
      <c r="AB1577" s="3" t="e">
        <f t="shared" si="443"/>
        <v>#VALUE!</v>
      </c>
      <c r="AC1577" s="177" t="s">
        <v>2648</v>
      </c>
      <c r="AD1577" s="23" t="s">
        <v>1607</v>
      </c>
      <c r="AG1577" s="34">
        <f t="shared" si="444"/>
        <v>0</v>
      </c>
      <c r="AH1577" s="44" t="s">
        <v>2295</v>
      </c>
      <c r="AI1577" s="131"/>
      <c r="AK1577" s="66">
        <f t="shared" ref="AK1577:AK1581" si="457">AM1577/(A1577*10000)</f>
        <v>0</v>
      </c>
      <c r="AL1577" s="174">
        <f t="shared" ref="AL1577:AL1581" si="458">AN1577/(A1577*10000)</f>
        <v>0</v>
      </c>
      <c r="AM1577" s="346">
        <f>RTD("money.excel",,$G1577,"PredictVolume")</f>
        <v>0</v>
      </c>
      <c r="AN1577" s="272">
        <f>RTD("money.excel",,$G1577,"CumulativeVolume")</f>
        <v>0</v>
      </c>
      <c r="AO1577" s="284"/>
    </row>
    <row r="1578" spans="1:41">
      <c r="A1578" s="151" t="s">
        <v>4648</v>
      </c>
      <c r="B1578" s="214">
        <v>-9300</v>
      </c>
      <c r="C1578" s="96">
        <v>-496</v>
      </c>
      <c r="D1578" s="96">
        <v>-14</v>
      </c>
      <c r="E1578" s="96">
        <v>-64</v>
      </c>
      <c r="F1578" s="7">
        <v>-84.43</v>
      </c>
      <c r="G1578" s="85">
        <v>8077</v>
      </c>
      <c r="H1578" s="4" t="s">
        <v>552</v>
      </c>
      <c r="I1578" s="17" t="s">
        <v>1595</v>
      </c>
      <c r="J1578" s="77">
        <v>94.85</v>
      </c>
      <c r="K1578" s="77">
        <v>51.47</v>
      </c>
      <c r="N1578" s="365">
        <f t="shared" si="452"/>
        <v>146.32</v>
      </c>
      <c r="O1578" s="343">
        <f t="shared" si="440"/>
        <v>94.85</v>
      </c>
      <c r="P1578" s="195" t="s">
        <v>5554</v>
      </c>
      <c r="Q1578" s="326" t="str">
        <f>IFERROR(VLOOKUP($G1578,主力整理!$A$2:$G$2301,6,0),"0")</f>
        <v>0</v>
      </c>
      <c r="T1578" s="339">
        <f t="shared" si="441"/>
        <v>0</v>
      </c>
      <c r="V1578" s="371">
        <v>66.14</v>
      </c>
      <c r="W1578" s="35">
        <v>0</v>
      </c>
      <c r="X1578" s="59">
        <v>-7.8</v>
      </c>
      <c r="Y1578" s="14" t="str">
        <f>RTD("money.excel",,"8077","Price")</f>
        <v>無資料</v>
      </c>
      <c r="Z1578" s="69"/>
      <c r="AA1578" s="16" t="e">
        <f t="shared" si="442"/>
        <v>#VALUE!</v>
      </c>
      <c r="AB1578" s="3" t="e">
        <f t="shared" si="443"/>
        <v>#VALUE!</v>
      </c>
      <c r="AD1578" s="17" t="s">
        <v>1595</v>
      </c>
      <c r="AG1578" s="34">
        <f t="shared" si="444"/>
        <v>0</v>
      </c>
      <c r="AH1578" s="44" t="s">
        <v>4223</v>
      </c>
      <c r="AI1578" s="284"/>
      <c r="AK1578" s="66">
        <f t="shared" si="457"/>
        <v>0</v>
      </c>
      <c r="AL1578" s="174">
        <f t="shared" si="458"/>
        <v>0</v>
      </c>
      <c r="AM1578" s="346">
        <f>RTD("money.excel",,$G1578,"PredictVolume")</f>
        <v>0</v>
      </c>
      <c r="AN1578" s="272">
        <f>RTD("money.excel",,$G1578,"CumulativeVolume")</f>
        <v>0</v>
      </c>
      <c r="AO1578" s="284"/>
    </row>
    <row r="1579" spans="1:41">
      <c r="A1579" s="135" t="s">
        <v>2635</v>
      </c>
      <c r="B1579" s="85">
        <v>-29</v>
      </c>
      <c r="C1579" s="85">
        <v>-28</v>
      </c>
      <c r="D1579" s="84">
        <v>1</v>
      </c>
      <c r="E1579" s="84">
        <v>7</v>
      </c>
      <c r="F1579" s="59">
        <v>13.59</v>
      </c>
      <c r="G1579" s="85">
        <v>8462</v>
      </c>
      <c r="H1579" s="4" t="s">
        <v>552</v>
      </c>
      <c r="I1579" s="23" t="s">
        <v>1596</v>
      </c>
      <c r="J1579" s="77">
        <v>66.03</v>
      </c>
      <c r="K1579" s="371">
        <v>2.23</v>
      </c>
      <c r="L1579" s="371">
        <v>2</v>
      </c>
      <c r="N1579" s="365">
        <f t="shared" si="452"/>
        <v>70.260000000000005</v>
      </c>
      <c r="O1579" s="343">
        <f t="shared" si="440"/>
        <v>66.03</v>
      </c>
      <c r="P1579" s="195" t="s">
        <v>5554</v>
      </c>
      <c r="Q1579" s="326" t="str">
        <f>IFERROR(VLOOKUP($G1579,主力整理!$A$2:$G$2301,6,0),"0")</f>
        <v>0</v>
      </c>
      <c r="T1579" s="339">
        <f t="shared" si="441"/>
        <v>0</v>
      </c>
      <c r="V1579" s="371">
        <v>7.0000000000000007E-2</v>
      </c>
      <c r="W1579" s="69">
        <v>6.36</v>
      </c>
      <c r="X1579" s="100">
        <v>5.74</v>
      </c>
      <c r="Y1579" s="37" t="str">
        <f>RTD("money.excel",,"8462","Price")</f>
        <v>無資料</v>
      </c>
      <c r="Z1579" s="69"/>
      <c r="AA1579" s="16" t="e">
        <f t="shared" si="442"/>
        <v>#VALUE!</v>
      </c>
      <c r="AB1579" s="3" t="e">
        <f t="shared" si="443"/>
        <v>#VALUE!</v>
      </c>
      <c r="AC1579" s="177" t="s">
        <v>2929</v>
      </c>
      <c r="AD1579" s="23" t="s">
        <v>1596</v>
      </c>
      <c r="AG1579" s="34">
        <f t="shared" si="444"/>
        <v>0</v>
      </c>
      <c r="AH1579" s="63" t="s">
        <v>4359</v>
      </c>
      <c r="AI1579" s="131"/>
      <c r="AK1579" s="66">
        <f t="shared" si="457"/>
        <v>0</v>
      </c>
      <c r="AL1579" s="174">
        <f t="shared" si="458"/>
        <v>0</v>
      </c>
      <c r="AM1579" s="346">
        <f>RTD("money.excel",,$G1579,"PredictVolume")</f>
        <v>0</v>
      </c>
      <c r="AN1579" s="272">
        <f>RTD("money.excel",,$G1579,"CumulativeVolume")</f>
        <v>0</v>
      </c>
      <c r="AO1579" s="284"/>
    </row>
    <row r="1580" spans="1:41">
      <c r="A1580" s="151" t="s">
        <v>2750</v>
      </c>
      <c r="B1580" s="96">
        <v>-106</v>
      </c>
      <c r="C1580" s="96">
        <v>-247</v>
      </c>
      <c r="D1580" s="96">
        <v>-17</v>
      </c>
      <c r="E1580" s="96">
        <v>-50</v>
      </c>
      <c r="F1580" s="7">
        <v>-24.14</v>
      </c>
      <c r="G1580" s="85">
        <v>8940</v>
      </c>
      <c r="H1580" s="4" t="s">
        <v>552</v>
      </c>
      <c r="I1580" s="23" t="s">
        <v>1608</v>
      </c>
      <c r="J1580" s="77">
        <v>70.569999999999993</v>
      </c>
      <c r="K1580" s="77">
        <v>8</v>
      </c>
      <c r="L1580" s="77">
        <v>4.33</v>
      </c>
      <c r="N1580" s="365">
        <f t="shared" si="452"/>
        <v>82.899999999999991</v>
      </c>
      <c r="O1580" s="343">
        <f t="shared" si="440"/>
        <v>70.569999999999993</v>
      </c>
      <c r="P1580" s="195" t="s">
        <v>5554</v>
      </c>
      <c r="Q1580" s="326" t="str">
        <f>IFERROR(VLOOKUP($G1580,主力整理!$A$2:$G$2301,6,0),"0")</f>
        <v>0</v>
      </c>
      <c r="T1580" s="339">
        <f t="shared" si="441"/>
        <v>0</v>
      </c>
      <c r="V1580" s="371">
        <v>22.63</v>
      </c>
      <c r="W1580" s="35">
        <v>0</v>
      </c>
      <c r="X1580" s="100">
        <v>-0.86</v>
      </c>
      <c r="Y1580" s="14" t="str">
        <f>RTD("money.excel",,"8940","Price")</f>
        <v>無資料</v>
      </c>
      <c r="Z1580" s="69"/>
      <c r="AA1580" s="16" t="e">
        <f t="shared" si="442"/>
        <v>#VALUE!</v>
      </c>
      <c r="AB1580" s="3" t="e">
        <f t="shared" si="443"/>
        <v>#VALUE!</v>
      </c>
      <c r="AD1580" s="23" t="s">
        <v>1608</v>
      </c>
      <c r="AG1580" s="34">
        <f t="shared" si="444"/>
        <v>0</v>
      </c>
      <c r="AH1580" s="44" t="s">
        <v>4360</v>
      </c>
      <c r="AI1580" s="131"/>
      <c r="AK1580" s="66">
        <f t="shared" si="457"/>
        <v>0</v>
      </c>
      <c r="AL1580" s="174">
        <f t="shared" si="458"/>
        <v>0</v>
      </c>
      <c r="AM1580" s="346">
        <f>RTD("money.excel",,$G1580,"PredictVolume")</f>
        <v>0</v>
      </c>
      <c r="AN1580" s="272">
        <f>RTD("money.excel",,$G1580,"CumulativeVolume")</f>
        <v>0</v>
      </c>
      <c r="AO1580" s="284"/>
    </row>
    <row r="1581" spans="1:41">
      <c r="A1581" s="135" t="s">
        <v>2490</v>
      </c>
      <c r="B1581" s="85">
        <v>-24</v>
      </c>
      <c r="C1581" s="85">
        <v>-17</v>
      </c>
      <c r="D1581" s="84">
        <v>11</v>
      </c>
      <c r="E1581" s="85">
        <v>-8</v>
      </c>
      <c r="F1581" s="59">
        <v>19.350000000000001</v>
      </c>
      <c r="G1581" s="85">
        <v>9943</v>
      </c>
      <c r="H1581" s="54" t="s">
        <v>552</v>
      </c>
      <c r="I1581" s="23" t="s">
        <v>185</v>
      </c>
      <c r="J1581" s="77">
        <v>73.64</v>
      </c>
      <c r="K1581" s="77">
        <v>2.36</v>
      </c>
      <c r="L1581" s="77">
        <v>0.34</v>
      </c>
      <c r="N1581" s="365">
        <f t="shared" si="452"/>
        <v>76.34</v>
      </c>
      <c r="O1581" s="343">
        <f t="shared" si="440"/>
        <v>73.64</v>
      </c>
      <c r="P1581" s="195" t="s">
        <v>5554</v>
      </c>
      <c r="Q1581" s="326" t="str">
        <f>IFERROR(VLOOKUP($G1581,主力整理!$A$2:$G$2301,6,0),"0")</f>
        <v>0</v>
      </c>
      <c r="T1581" s="339">
        <f t="shared" si="441"/>
        <v>0</v>
      </c>
      <c r="V1581" s="371">
        <v>0</v>
      </c>
      <c r="W1581" s="69">
        <v>4</v>
      </c>
      <c r="X1581" s="100">
        <v>4.41</v>
      </c>
      <c r="Y1581" s="37" t="str">
        <f>RTD("money.excel",,"9943","Price")</f>
        <v>無資料</v>
      </c>
      <c r="Z1581" s="69"/>
      <c r="AA1581" s="16" t="e">
        <f t="shared" si="442"/>
        <v>#VALUE!</v>
      </c>
      <c r="AB1581" s="3" t="e">
        <f t="shared" si="443"/>
        <v>#VALUE!</v>
      </c>
      <c r="AC1581" s="177" t="s">
        <v>2700</v>
      </c>
      <c r="AD1581" s="23" t="s">
        <v>185</v>
      </c>
      <c r="AG1581" s="34">
        <f t="shared" si="444"/>
        <v>0</v>
      </c>
      <c r="AH1581" s="126" t="s">
        <v>2296</v>
      </c>
      <c r="AI1581" s="131"/>
      <c r="AK1581" s="66">
        <f t="shared" si="457"/>
        <v>0</v>
      </c>
      <c r="AL1581" s="174">
        <f t="shared" si="458"/>
        <v>0</v>
      </c>
      <c r="AM1581" s="346">
        <f>RTD("money.excel",,$G1581,"PredictVolume")</f>
        <v>0</v>
      </c>
      <c r="AN1581" s="272">
        <f>RTD("money.excel",,$G1581,"CumulativeVolume")</f>
        <v>0</v>
      </c>
      <c r="AO1581" s="284"/>
    </row>
    <row r="1582" spans="1:41">
      <c r="B1582" s="85"/>
      <c r="C1582" s="85"/>
      <c r="D1582" s="84"/>
      <c r="E1582" s="85"/>
      <c r="F1582" s="59"/>
      <c r="G1582" s="85"/>
      <c r="H1582" s="54"/>
      <c r="I1582" s="23"/>
      <c r="J1582" s="77"/>
      <c r="K1582" s="77"/>
      <c r="N1582" s="365"/>
      <c r="O1582" s="343"/>
      <c r="P1582" s="195"/>
      <c r="W1582" s="69"/>
      <c r="X1582" s="100"/>
      <c r="Y1582" s="37"/>
      <c r="Z1582" s="69"/>
      <c r="AA1582" s="16"/>
      <c r="AB1582" s="3"/>
      <c r="AD1582" s="23"/>
      <c r="AG1582" s="34"/>
      <c r="AH1582" s="126"/>
      <c r="AI1582" s="131"/>
      <c r="AK1582" s="66"/>
      <c r="AL1582" s="174"/>
      <c r="AM1582" s="346"/>
      <c r="AN1582" s="272"/>
      <c r="AO1582" s="284"/>
    </row>
    <row r="1583" spans="1:41">
      <c r="A1583" s="135" t="s">
        <v>2552</v>
      </c>
      <c r="B1583" s="96" t="s">
        <v>2331</v>
      </c>
      <c r="C1583" s="96" t="s">
        <v>2332</v>
      </c>
      <c r="D1583" s="96" t="s">
        <v>2333</v>
      </c>
      <c r="E1583" s="96" t="s">
        <v>2334</v>
      </c>
      <c r="F1583" s="9" t="s">
        <v>1709</v>
      </c>
      <c r="G1583" s="52" t="s">
        <v>1793</v>
      </c>
      <c r="H1583" s="56" t="s">
        <v>578</v>
      </c>
      <c r="I1583" s="9" t="s">
        <v>553</v>
      </c>
      <c r="J1583" s="364" t="s">
        <v>2189</v>
      </c>
      <c r="K1583" s="364" t="s">
        <v>1820</v>
      </c>
      <c r="L1583" s="364" t="s">
        <v>515</v>
      </c>
      <c r="M1583" s="364" t="s">
        <v>1699</v>
      </c>
      <c r="N1583" s="364" t="s">
        <v>6604</v>
      </c>
      <c r="O1583" s="343" t="s">
        <v>6620</v>
      </c>
      <c r="P1583" s="83" t="s">
        <v>5279</v>
      </c>
      <c r="Q1583" s="326" t="s">
        <v>5514</v>
      </c>
      <c r="R1583" s="31" t="s">
        <v>6596</v>
      </c>
      <c r="S1583" s="51" t="s">
        <v>6597</v>
      </c>
      <c r="T1583" s="338" t="s">
        <v>5627</v>
      </c>
      <c r="U1583" s="330" t="s">
        <v>6537</v>
      </c>
      <c r="V1583" s="377" t="s">
        <v>6616</v>
      </c>
      <c r="W1583" s="11" t="s">
        <v>127</v>
      </c>
      <c r="X1583" s="71" t="s">
        <v>5216</v>
      </c>
      <c r="Y1583" s="29" t="s">
        <v>3</v>
      </c>
      <c r="Z1583" s="18" t="s">
        <v>2113</v>
      </c>
      <c r="AA1583" s="15" t="s">
        <v>8</v>
      </c>
      <c r="AB1583" s="22" t="s">
        <v>4</v>
      </c>
      <c r="AC1583" s="358" t="s">
        <v>211</v>
      </c>
      <c r="AD1583" s="9" t="s">
        <v>553</v>
      </c>
      <c r="AE1583" s="75" t="s">
        <v>2114</v>
      </c>
      <c r="AF1583" s="76" t="s">
        <v>1826</v>
      </c>
      <c r="AG1583" s="33" t="s">
        <v>1827</v>
      </c>
      <c r="AH1583" s="44"/>
      <c r="AI1583" s="131"/>
      <c r="AK1583" s="9" t="s">
        <v>6666</v>
      </c>
      <c r="AL1583" s="5" t="s">
        <v>6667</v>
      </c>
      <c r="AM1583" s="51" t="s">
        <v>5339</v>
      </c>
      <c r="AN1583" s="276" t="s">
        <v>6665</v>
      </c>
      <c r="AO1583" s="284"/>
    </row>
    <row r="1584" spans="1:41">
      <c r="A1584" s="151" t="s">
        <v>3621</v>
      </c>
      <c r="B1584" s="85">
        <v>-37</v>
      </c>
      <c r="C1584" s="85"/>
      <c r="D1584" s="84">
        <v>4</v>
      </c>
      <c r="E1584" s="85">
        <v>-17</v>
      </c>
      <c r="F1584" s="7"/>
      <c r="G1584" s="85">
        <v>2801</v>
      </c>
      <c r="H1584" s="11" t="s">
        <v>553</v>
      </c>
      <c r="I1584" s="23" t="s">
        <v>494</v>
      </c>
      <c r="J1584" s="371">
        <v>81.650000000000006</v>
      </c>
      <c r="K1584" s="371">
        <v>12.78</v>
      </c>
      <c r="L1584" s="371">
        <v>0.19</v>
      </c>
      <c r="N1584" s="365">
        <f>J1584+K1584+L1584+M1584</f>
        <v>94.62</v>
      </c>
      <c r="O1584" s="343">
        <f t="shared" ref="O1584:O1627" si="459">J1584+M1584</f>
        <v>81.650000000000006</v>
      </c>
      <c r="P1584" s="195">
        <v>2</v>
      </c>
      <c r="Q1584" s="326">
        <f>IFERROR(VLOOKUP($G1584,主力整理!$A$2:$G$2301,6,0),"0")</f>
        <v>9</v>
      </c>
      <c r="T1584" s="339">
        <f t="shared" ref="T1584:T1627" si="460">SUM(P1584:S1584)</f>
        <v>11</v>
      </c>
      <c r="V1584" s="371">
        <v>0</v>
      </c>
      <c r="W1584" s="35">
        <v>0.8</v>
      </c>
      <c r="X1584" s="59">
        <v>0.69</v>
      </c>
      <c r="Y1584" s="37" t="str">
        <f>RTD("money.excel",,"2801","Price")</f>
        <v>無資料</v>
      </c>
      <c r="Z1584" s="69"/>
      <c r="AA1584" s="16" t="e">
        <f t="shared" ref="AA1584:AA1627" si="461">Y1584-Z1584</f>
        <v>#VALUE!</v>
      </c>
      <c r="AB1584" s="3" t="e">
        <f t="shared" ref="AB1584:AB1627" si="462">AA1584/Z1584</f>
        <v>#VALUE!</v>
      </c>
      <c r="AC1584" s="177" t="s">
        <v>2648</v>
      </c>
      <c r="AD1584" s="23" t="s">
        <v>494</v>
      </c>
      <c r="AG1584" s="34">
        <f t="shared" ref="AG1584:AG1627" si="463">AF1584-AE1584</f>
        <v>0</v>
      </c>
      <c r="AH1584" s="125" t="s">
        <v>2244</v>
      </c>
      <c r="AI1584" s="131"/>
      <c r="AK1584" s="66">
        <f t="shared" ref="AK1584" si="464">AM1584/(A1584*10000)</f>
        <v>0</v>
      </c>
      <c r="AL1584" s="174">
        <f t="shared" ref="AL1584" si="465">AN1584/(A1584*10000)</f>
        <v>0</v>
      </c>
      <c r="AM1584" s="346">
        <f>RTD("money.excel",,$G1584,"PredictVolume")</f>
        <v>0</v>
      </c>
      <c r="AN1584" s="272">
        <f>RTD("money.excel",,$G1584,"CumulativeVolume")</f>
        <v>0</v>
      </c>
      <c r="AO1584" s="284"/>
    </row>
    <row r="1585" spans="1:41">
      <c r="A1585" s="151" t="s">
        <v>3140</v>
      </c>
      <c r="B1585" s="84">
        <v>157</v>
      </c>
      <c r="C1585" s="84"/>
      <c r="D1585" s="85">
        <v>-36</v>
      </c>
      <c r="E1585" s="85">
        <v>-1</v>
      </c>
      <c r="F1585" s="7"/>
      <c r="G1585" s="85">
        <v>2809</v>
      </c>
      <c r="H1585" s="11" t="s">
        <v>553</v>
      </c>
      <c r="I1585" s="23" t="s">
        <v>226</v>
      </c>
      <c r="J1585" s="371">
        <v>85.51</v>
      </c>
      <c r="K1585" s="77">
        <v>19.25</v>
      </c>
      <c r="L1585" s="77">
        <v>0.94</v>
      </c>
      <c r="N1585" s="365">
        <f>J1585+K1585+L1585+M1585</f>
        <v>105.7</v>
      </c>
      <c r="O1585" s="343">
        <f t="shared" si="459"/>
        <v>85.51</v>
      </c>
      <c r="P1585" s="195" t="s">
        <v>5554</v>
      </c>
      <c r="Q1585" s="326">
        <f>IFERROR(VLOOKUP($G1585,主力整理!$A$2:$G$2301,6,0),"0")</f>
        <v>15</v>
      </c>
      <c r="T1585" s="339">
        <f t="shared" si="460"/>
        <v>15</v>
      </c>
      <c r="V1585" s="371">
        <v>0</v>
      </c>
      <c r="W1585" s="35">
        <v>1.8</v>
      </c>
      <c r="X1585" s="100">
        <v>6.27</v>
      </c>
      <c r="Y1585" s="37" t="str">
        <f>RTD("money.excel",,"2809","Price")</f>
        <v>無資料</v>
      </c>
      <c r="Z1585" s="69"/>
      <c r="AA1585" s="16" t="e">
        <f t="shared" si="461"/>
        <v>#VALUE!</v>
      </c>
      <c r="AB1585" s="3" t="e">
        <f t="shared" si="462"/>
        <v>#VALUE!</v>
      </c>
      <c r="AD1585" s="23" t="s">
        <v>226</v>
      </c>
      <c r="AG1585" s="34">
        <f t="shared" si="463"/>
        <v>0</v>
      </c>
      <c r="AH1585" s="125" t="s">
        <v>2149</v>
      </c>
      <c r="AI1585" s="131"/>
      <c r="AK1585" s="66">
        <f t="shared" ref="AK1585:AK1627" si="466">AM1585/(A1585*10000)</f>
        <v>0</v>
      </c>
      <c r="AL1585" s="174">
        <f t="shared" ref="AL1585:AL1627" si="467">AN1585/(A1585*10000)</f>
        <v>0</v>
      </c>
      <c r="AM1585" s="346">
        <f>RTD("money.excel",,$G1585,"PredictVolume")</f>
        <v>0</v>
      </c>
      <c r="AN1585" s="272">
        <f>RTD("money.excel",,$G1585,"CumulativeVolume")</f>
        <v>0</v>
      </c>
      <c r="AO1585" s="284"/>
    </row>
    <row r="1586" spans="1:41">
      <c r="A1586" s="151" t="s">
        <v>6598</v>
      </c>
      <c r="B1586" s="84">
        <v>21</v>
      </c>
      <c r="C1586" s="84"/>
      <c r="D1586" s="84">
        <v>7</v>
      </c>
      <c r="E1586" s="84">
        <v>23</v>
      </c>
      <c r="F1586" s="7"/>
      <c r="G1586" s="85">
        <v>2812</v>
      </c>
      <c r="H1586" s="11" t="s">
        <v>553</v>
      </c>
      <c r="I1586" s="23" t="s">
        <v>257</v>
      </c>
      <c r="J1586" s="371">
        <v>61.57</v>
      </c>
      <c r="K1586" s="77">
        <v>11.1</v>
      </c>
      <c r="L1586" s="77">
        <v>0.18</v>
      </c>
      <c r="N1586" s="365">
        <f>K1586+J1586+L1586+M1586</f>
        <v>72.850000000000009</v>
      </c>
      <c r="O1586" s="343">
        <f t="shared" si="459"/>
        <v>61.57</v>
      </c>
      <c r="P1586" s="195">
        <v>0</v>
      </c>
      <c r="Q1586" s="326">
        <v>9</v>
      </c>
      <c r="R1586" s="111">
        <v>0</v>
      </c>
      <c r="S1586" s="51">
        <v>0</v>
      </c>
      <c r="T1586" s="339">
        <f t="shared" si="460"/>
        <v>9</v>
      </c>
      <c r="U1586" s="329" t="s">
        <v>6539</v>
      </c>
      <c r="V1586" s="371">
        <v>13.41</v>
      </c>
      <c r="W1586" s="35">
        <v>0.69</v>
      </c>
      <c r="X1586" s="59">
        <v>1.1299999999999999</v>
      </c>
      <c r="Y1586" s="37" t="str">
        <f>RTD("money.excel",,"2812","Price")</f>
        <v>無資料</v>
      </c>
      <c r="Z1586" s="69"/>
      <c r="AA1586" s="16" t="e">
        <f t="shared" si="461"/>
        <v>#VALUE!</v>
      </c>
      <c r="AB1586" s="3" t="e">
        <f t="shared" si="462"/>
        <v>#VALUE!</v>
      </c>
      <c r="AD1586" s="23" t="s">
        <v>257</v>
      </c>
      <c r="AG1586" s="34">
        <f t="shared" si="463"/>
        <v>0</v>
      </c>
      <c r="AH1586" s="125" t="s">
        <v>2150</v>
      </c>
      <c r="AI1586" s="131"/>
      <c r="AK1586" s="66">
        <f t="shared" si="466"/>
        <v>0</v>
      </c>
      <c r="AL1586" s="174">
        <f t="shared" si="467"/>
        <v>0</v>
      </c>
      <c r="AM1586" s="346">
        <f>RTD("money.excel",,$G1586,"PredictVolume")</f>
        <v>0</v>
      </c>
      <c r="AN1586" s="272">
        <f>RTD("money.excel",,$G1586,"CumulativeVolume")</f>
        <v>0</v>
      </c>
      <c r="AO1586" s="284"/>
    </row>
    <row r="1587" spans="1:41">
      <c r="A1587" s="151" t="s">
        <v>2516</v>
      </c>
      <c r="B1587" s="84">
        <v>16</v>
      </c>
      <c r="C1587" s="84">
        <v>16</v>
      </c>
      <c r="D1587" s="85">
        <v>-13</v>
      </c>
      <c r="E1587" s="85">
        <v>-27</v>
      </c>
      <c r="F1587" s="7">
        <v>8.49</v>
      </c>
      <c r="G1587" s="85">
        <v>2816</v>
      </c>
      <c r="H1587" s="11" t="s">
        <v>553</v>
      </c>
      <c r="I1587" s="23" t="s">
        <v>605</v>
      </c>
      <c r="J1587" s="77">
        <v>78.97</v>
      </c>
      <c r="K1587" s="77">
        <v>5.52</v>
      </c>
      <c r="L1587" s="371">
        <v>2.0099999999999998</v>
      </c>
      <c r="N1587" s="365">
        <f t="shared" ref="N1587:N1627" si="468">J1587+K1587+L1587+M1587</f>
        <v>86.5</v>
      </c>
      <c r="O1587" s="343">
        <f t="shared" si="459"/>
        <v>78.97</v>
      </c>
      <c r="P1587" s="195" t="s">
        <v>5554</v>
      </c>
      <c r="Q1587" s="326" t="str">
        <f>IFERROR(VLOOKUP($G1587,主力整理!$A$2:$G$2301,6,0),"0")</f>
        <v>0</v>
      </c>
      <c r="T1587" s="339">
        <f t="shared" si="460"/>
        <v>0</v>
      </c>
      <c r="V1587" s="371">
        <v>20.89</v>
      </c>
      <c r="W1587" s="35">
        <v>0.8</v>
      </c>
      <c r="X1587" s="100">
        <v>3.22</v>
      </c>
      <c r="Y1587" s="37" t="str">
        <f>RTD("money.excel",,"2816","Price")</f>
        <v>無資料</v>
      </c>
      <c r="Z1587" s="69"/>
      <c r="AA1587" s="16" t="e">
        <f t="shared" si="461"/>
        <v>#VALUE!</v>
      </c>
      <c r="AB1587" s="3" t="e">
        <f t="shared" si="462"/>
        <v>#VALUE!</v>
      </c>
      <c r="AD1587" s="23" t="s">
        <v>605</v>
      </c>
      <c r="AG1587" s="34">
        <f t="shared" si="463"/>
        <v>0</v>
      </c>
      <c r="AH1587" s="44" t="s">
        <v>2300</v>
      </c>
      <c r="AI1587" s="131"/>
      <c r="AK1587" s="66">
        <f t="shared" si="466"/>
        <v>0</v>
      </c>
      <c r="AL1587" s="174">
        <f t="shared" si="467"/>
        <v>0</v>
      </c>
      <c r="AM1587" s="346">
        <f>RTD("money.excel",,$G1587,"PredictVolume")</f>
        <v>0</v>
      </c>
      <c r="AN1587" s="272">
        <f>RTD("money.excel",,$G1587,"CumulativeVolume")</f>
        <v>0</v>
      </c>
      <c r="AO1587" s="284"/>
    </row>
    <row r="1588" spans="1:41">
      <c r="A1588" s="151" t="s">
        <v>2934</v>
      </c>
      <c r="B1588" s="84">
        <v>25</v>
      </c>
      <c r="C1588" s="84"/>
      <c r="D1588" s="84">
        <v>11</v>
      </c>
      <c r="E1588" s="84">
        <v>42</v>
      </c>
      <c r="F1588" s="7"/>
      <c r="G1588" s="85">
        <v>2820</v>
      </c>
      <c r="H1588" s="11" t="s">
        <v>553</v>
      </c>
      <c r="I1588" s="23" t="s">
        <v>227</v>
      </c>
      <c r="J1588" s="77">
        <v>62.2</v>
      </c>
      <c r="K1588" s="371">
        <v>7.17</v>
      </c>
      <c r="L1588" s="371">
        <v>0.16</v>
      </c>
      <c r="N1588" s="365">
        <f t="shared" si="468"/>
        <v>69.53</v>
      </c>
      <c r="O1588" s="343">
        <f t="shared" si="459"/>
        <v>62.2</v>
      </c>
      <c r="P1588" s="195" t="s">
        <v>5554</v>
      </c>
      <c r="Q1588" s="326">
        <f>IFERROR(VLOOKUP($G1588,主力整理!$A$2:$G$2301,6,0),"0")</f>
        <v>4</v>
      </c>
      <c r="T1588" s="339">
        <f t="shared" si="460"/>
        <v>4</v>
      </c>
      <c r="V1588" s="371">
        <v>0</v>
      </c>
      <c r="W1588" s="35">
        <v>0.87</v>
      </c>
      <c r="X1588" s="100">
        <v>1.18</v>
      </c>
      <c r="Y1588" s="37" t="str">
        <f>RTD("money.excel",,"2820","Price")</f>
        <v>無資料</v>
      </c>
      <c r="Z1588" s="69"/>
      <c r="AA1588" s="16" t="e">
        <f t="shared" si="461"/>
        <v>#VALUE!</v>
      </c>
      <c r="AB1588" s="3" t="e">
        <f t="shared" si="462"/>
        <v>#VALUE!</v>
      </c>
      <c r="AD1588" s="23" t="s">
        <v>227</v>
      </c>
      <c r="AG1588" s="34">
        <f t="shared" si="463"/>
        <v>0</v>
      </c>
      <c r="AH1588" s="125" t="s">
        <v>2301</v>
      </c>
      <c r="AI1588" s="131"/>
      <c r="AK1588" s="66">
        <f t="shared" si="466"/>
        <v>0</v>
      </c>
      <c r="AL1588" s="174">
        <f t="shared" si="467"/>
        <v>0</v>
      </c>
      <c r="AM1588" s="346">
        <f>RTD("money.excel",,$G1588,"PredictVolume")</f>
        <v>0</v>
      </c>
      <c r="AN1588" s="272">
        <f>RTD("money.excel",,$G1588,"CumulativeVolume")</f>
        <v>0</v>
      </c>
      <c r="AO1588" s="284"/>
    </row>
    <row r="1589" spans="1:41">
      <c r="A1589" s="151" t="s">
        <v>3326</v>
      </c>
      <c r="B1589" s="84">
        <v>14</v>
      </c>
      <c r="C1589" s="84">
        <v>9</v>
      </c>
      <c r="D1589" s="84">
        <v>10</v>
      </c>
      <c r="E1589" s="84">
        <v>6</v>
      </c>
      <c r="F1589" s="7">
        <v>6.84</v>
      </c>
      <c r="G1589" s="85">
        <v>2823</v>
      </c>
      <c r="H1589" s="11" t="s">
        <v>553</v>
      </c>
      <c r="I1589" s="23" t="s">
        <v>27</v>
      </c>
      <c r="J1589" s="77">
        <v>72.010000000000005</v>
      </c>
      <c r="K1589" s="371">
        <v>22.96</v>
      </c>
      <c r="L1589" s="371">
        <v>1.04</v>
      </c>
      <c r="N1589" s="365">
        <f t="shared" si="468"/>
        <v>96.01</v>
      </c>
      <c r="O1589" s="343">
        <f t="shared" si="459"/>
        <v>72.010000000000005</v>
      </c>
      <c r="P1589" s="195" t="s">
        <v>5554</v>
      </c>
      <c r="Q1589" s="326">
        <f>IFERROR(VLOOKUP($G1589,主力整理!$A$2:$G$2301,6,0),"0")</f>
        <v>17</v>
      </c>
      <c r="T1589" s="339">
        <f t="shared" si="460"/>
        <v>17</v>
      </c>
      <c r="V1589" s="371">
        <v>0.33</v>
      </c>
      <c r="W1589" s="35">
        <v>1.2</v>
      </c>
      <c r="X1589" s="100">
        <v>3.43</v>
      </c>
      <c r="Y1589" s="37" t="str">
        <f>RTD("money.excel",,"2823","Price")</f>
        <v>商品錯誤</v>
      </c>
      <c r="Z1589" s="69"/>
      <c r="AA1589" s="16" t="e">
        <f t="shared" si="461"/>
        <v>#VALUE!</v>
      </c>
      <c r="AB1589" s="3" t="e">
        <f t="shared" si="462"/>
        <v>#VALUE!</v>
      </c>
      <c r="AC1589" s="177" t="s">
        <v>2648</v>
      </c>
      <c r="AD1589" s="23" t="s">
        <v>27</v>
      </c>
      <c r="AG1589" s="34">
        <f t="shared" si="463"/>
        <v>0</v>
      </c>
      <c r="AH1589" s="125" t="s">
        <v>3087</v>
      </c>
      <c r="AI1589" s="131"/>
      <c r="AK1589" s="66" t="e">
        <f t="shared" si="466"/>
        <v>#VALUE!</v>
      </c>
      <c r="AL1589" s="174" t="e">
        <f t="shared" si="467"/>
        <v>#VALUE!</v>
      </c>
      <c r="AM1589" s="346" t="str">
        <f>RTD("money.excel",,$G1589,"PredictVolume")</f>
        <v>商品錯誤</v>
      </c>
      <c r="AN1589" s="272" t="str">
        <f>RTD("money.excel",,$G1589,"CumulativeVolume")</f>
        <v>商品錯誤</v>
      </c>
      <c r="AO1589" s="284"/>
    </row>
    <row r="1590" spans="1:41">
      <c r="A1590" s="135" t="s">
        <v>2935</v>
      </c>
      <c r="B1590" s="84">
        <v>25</v>
      </c>
      <c r="C1590" s="84">
        <v>26</v>
      </c>
      <c r="D1590" s="85">
        <v>-3</v>
      </c>
      <c r="E1590" s="85">
        <v>-3</v>
      </c>
      <c r="F1590" s="59">
        <v>16.149999999999999</v>
      </c>
      <c r="G1590" s="85">
        <v>2832</v>
      </c>
      <c r="H1590" s="11" t="s">
        <v>553</v>
      </c>
      <c r="I1590" s="23" t="s">
        <v>606</v>
      </c>
      <c r="J1590" s="371">
        <v>67.69</v>
      </c>
      <c r="K1590" s="77">
        <v>3.43</v>
      </c>
      <c r="L1590" s="371">
        <v>0.14000000000000001</v>
      </c>
      <c r="N1590" s="365">
        <f t="shared" si="468"/>
        <v>71.260000000000005</v>
      </c>
      <c r="O1590" s="343">
        <f t="shared" si="459"/>
        <v>67.69</v>
      </c>
      <c r="P1590" s="195" t="s">
        <v>5554</v>
      </c>
      <c r="Q1590" s="326" t="str">
        <f>IFERROR(VLOOKUP($G1590,主力整理!$A$2:$G$2301,6,0),"0")</f>
        <v>0</v>
      </c>
      <c r="T1590" s="339">
        <f t="shared" si="460"/>
        <v>0</v>
      </c>
      <c r="V1590" s="371">
        <v>28.54</v>
      </c>
      <c r="W1590" s="35">
        <v>1.1000000000000001</v>
      </c>
      <c r="X1590" s="100">
        <v>1.9</v>
      </c>
      <c r="Y1590" s="37" t="str">
        <f>RTD("money.excel",,"2832","Price")</f>
        <v>無資料</v>
      </c>
      <c r="Z1590" s="69"/>
      <c r="AA1590" s="16" t="e">
        <f t="shared" si="461"/>
        <v>#VALUE!</v>
      </c>
      <c r="AB1590" s="3" t="e">
        <f t="shared" si="462"/>
        <v>#VALUE!</v>
      </c>
      <c r="AC1590" s="177" t="s">
        <v>2648</v>
      </c>
      <c r="AD1590" s="23" t="s">
        <v>606</v>
      </c>
      <c r="AG1590" s="34">
        <f t="shared" si="463"/>
        <v>0</v>
      </c>
      <c r="AH1590" s="63" t="s">
        <v>2302</v>
      </c>
      <c r="AI1590" s="131"/>
      <c r="AK1590" s="66">
        <f t="shared" si="466"/>
        <v>0</v>
      </c>
      <c r="AL1590" s="174">
        <f t="shared" si="467"/>
        <v>0</v>
      </c>
      <c r="AM1590" s="346">
        <f>RTD("money.excel",,$G1590,"PredictVolume")</f>
        <v>0</v>
      </c>
      <c r="AN1590" s="272">
        <f>RTD("money.excel",,$G1590,"CumulativeVolume")</f>
        <v>0</v>
      </c>
      <c r="AO1590" s="284"/>
    </row>
    <row r="1591" spans="1:41">
      <c r="A1591" s="151" t="s">
        <v>3175</v>
      </c>
      <c r="B1591" s="85">
        <v>-35</v>
      </c>
      <c r="C1591" s="85"/>
      <c r="D1591" s="85">
        <v>-4</v>
      </c>
      <c r="E1591" s="84">
        <v>3</v>
      </c>
      <c r="F1591" s="7">
        <v>3.66</v>
      </c>
      <c r="G1591" s="85">
        <v>2834</v>
      </c>
      <c r="H1591" s="11" t="s">
        <v>553</v>
      </c>
      <c r="I1591" s="23" t="s">
        <v>485</v>
      </c>
      <c r="J1591" s="371">
        <v>53.43</v>
      </c>
      <c r="K1591" s="77">
        <v>19.43</v>
      </c>
      <c r="L1591" s="77">
        <v>0.36</v>
      </c>
      <c r="N1591" s="365">
        <f t="shared" si="468"/>
        <v>73.22</v>
      </c>
      <c r="O1591" s="343">
        <f t="shared" si="459"/>
        <v>53.43</v>
      </c>
      <c r="P1591" s="195" t="s">
        <v>5554</v>
      </c>
      <c r="Q1591" s="326">
        <f>IFERROR(VLOOKUP($G1591,主力整理!$A$2:$G$2301,6,0),"0")</f>
        <v>7</v>
      </c>
      <c r="T1591" s="339">
        <f t="shared" si="460"/>
        <v>7</v>
      </c>
      <c r="V1591" s="371">
        <v>0</v>
      </c>
      <c r="W1591" s="35">
        <v>0.44</v>
      </c>
      <c r="X1591" s="100">
        <v>0.64</v>
      </c>
      <c r="Y1591" s="37" t="str">
        <f>RTD("money.excel",,"2834","Price")</f>
        <v>無資料</v>
      </c>
      <c r="Z1591" s="69"/>
      <c r="AA1591" s="16" t="e">
        <f t="shared" si="461"/>
        <v>#VALUE!</v>
      </c>
      <c r="AB1591" s="3" t="e">
        <f t="shared" si="462"/>
        <v>#VALUE!</v>
      </c>
      <c r="AC1591" s="177" t="s">
        <v>2648</v>
      </c>
      <c r="AD1591" s="23" t="s">
        <v>485</v>
      </c>
      <c r="AG1591" s="34">
        <f t="shared" si="463"/>
        <v>0</v>
      </c>
      <c r="AH1591" s="125" t="s">
        <v>2151</v>
      </c>
      <c r="AI1591" s="131"/>
      <c r="AK1591" s="66">
        <f t="shared" si="466"/>
        <v>0</v>
      </c>
      <c r="AL1591" s="174">
        <f t="shared" si="467"/>
        <v>0</v>
      </c>
      <c r="AM1591" s="346">
        <f>RTD("money.excel",,$G1591,"PredictVolume")</f>
        <v>0</v>
      </c>
      <c r="AN1591" s="272">
        <f>RTD("money.excel",,$G1591,"CumulativeVolume")</f>
        <v>0</v>
      </c>
      <c r="AO1591" s="284"/>
    </row>
    <row r="1592" spans="1:41">
      <c r="A1592" s="151" t="s">
        <v>3140</v>
      </c>
      <c r="B1592" s="84">
        <v>61</v>
      </c>
      <c r="C1592" s="85"/>
      <c r="D1592" s="85">
        <v>-4</v>
      </c>
      <c r="E1592" s="85">
        <v>-1</v>
      </c>
      <c r="F1592" s="7"/>
      <c r="G1592" s="85">
        <v>2836</v>
      </c>
      <c r="H1592" s="11" t="s">
        <v>553</v>
      </c>
      <c r="I1592" s="23" t="s">
        <v>191</v>
      </c>
      <c r="J1592" s="371">
        <v>82.02</v>
      </c>
      <c r="K1592" s="77">
        <v>7.21</v>
      </c>
      <c r="L1592" s="371">
        <v>1.33</v>
      </c>
      <c r="N1592" s="365">
        <f t="shared" si="468"/>
        <v>90.559999999999988</v>
      </c>
      <c r="O1592" s="343">
        <f t="shared" si="459"/>
        <v>82.02</v>
      </c>
      <c r="P1592" s="195" t="s">
        <v>5554</v>
      </c>
      <c r="Q1592" s="326">
        <f>IFERROR(VLOOKUP($G1592,主力整理!$A$2:$G$2301,6,0),"0")</f>
        <v>1</v>
      </c>
      <c r="T1592" s="339">
        <f t="shared" si="460"/>
        <v>1</v>
      </c>
      <c r="V1592" s="371">
        <v>57.03</v>
      </c>
      <c r="W1592" s="35">
        <v>0.6</v>
      </c>
      <c r="X1592" s="59">
        <v>0.7</v>
      </c>
      <c r="Y1592" s="37" t="str">
        <f>RTD("money.excel",,"2836","Price")</f>
        <v>無資料</v>
      </c>
      <c r="Z1592" s="69"/>
      <c r="AA1592" s="16" t="e">
        <f t="shared" si="461"/>
        <v>#VALUE!</v>
      </c>
      <c r="AB1592" s="3" t="e">
        <f t="shared" si="462"/>
        <v>#VALUE!</v>
      </c>
      <c r="AD1592" s="23" t="s">
        <v>191</v>
      </c>
      <c r="AG1592" s="34">
        <f t="shared" si="463"/>
        <v>0</v>
      </c>
      <c r="AH1592" s="125" t="s">
        <v>3484</v>
      </c>
      <c r="AI1592" s="131"/>
      <c r="AK1592" s="66">
        <f t="shared" si="466"/>
        <v>0</v>
      </c>
      <c r="AL1592" s="174">
        <f t="shared" si="467"/>
        <v>0</v>
      </c>
      <c r="AM1592" s="346">
        <f>RTD("money.excel",,$G1592,"PredictVolume")</f>
        <v>0</v>
      </c>
      <c r="AN1592" s="272">
        <f>RTD("money.excel",,$G1592,"CumulativeVolume")</f>
        <v>0</v>
      </c>
      <c r="AO1592" s="284"/>
    </row>
    <row r="1593" spans="1:41">
      <c r="A1593" s="151" t="s">
        <v>3154</v>
      </c>
      <c r="B1593" s="84">
        <v>14</v>
      </c>
      <c r="C1593" s="85"/>
      <c r="D1593" s="85">
        <v>-25</v>
      </c>
      <c r="E1593" s="85">
        <v>-30</v>
      </c>
      <c r="F1593" s="7"/>
      <c r="G1593" s="85">
        <v>2838</v>
      </c>
      <c r="H1593" s="11" t="s">
        <v>553</v>
      </c>
      <c r="I1593" s="23" t="s">
        <v>228</v>
      </c>
      <c r="J1593" s="371">
        <v>89.98</v>
      </c>
      <c r="K1593" s="77">
        <v>3.07</v>
      </c>
      <c r="L1593" s="371">
        <v>0.09</v>
      </c>
      <c r="N1593" s="365">
        <f t="shared" si="468"/>
        <v>93.14</v>
      </c>
      <c r="O1593" s="343">
        <f t="shared" si="459"/>
        <v>89.98</v>
      </c>
      <c r="P1593" s="195" t="s">
        <v>5554</v>
      </c>
      <c r="Q1593" s="326">
        <f>IFERROR(VLOOKUP($G1593,主力整理!$A$2:$G$2301,6,0),"0")</f>
        <v>6</v>
      </c>
      <c r="T1593" s="339">
        <f t="shared" si="460"/>
        <v>6</v>
      </c>
      <c r="V1593" s="371">
        <v>15.18</v>
      </c>
      <c r="W1593" s="35">
        <v>0.63</v>
      </c>
      <c r="X1593" s="100">
        <v>1.1299999999999999</v>
      </c>
      <c r="Y1593" s="37" t="str">
        <f>RTD("money.excel",,"2838","Price")</f>
        <v>無資料</v>
      </c>
      <c r="Z1593" s="69"/>
      <c r="AA1593" s="16" t="e">
        <f t="shared" si="461"/>
        <v>#VALUE!</v>
      </c>
      <c r="AB1593" s="3" t="e">
        <f t="shared" si="462"/>
        <v>#VALUE!</v>
      </c>
      <c r="AD1593" s="23" t="s">
        <v>228</v>
      </c>
      <c r="AG1593" s="34">
        <f t="shared" si="463"/>
        <v>0</v>
      </c>
      <c r="AH1593" s="125" t="s">
        <v>2152</v>
      </c>
      <c r="AI1593" s="131"/>
      <c r="AK1593" s="66">
        <f t="shared" si="466"/>
        <v>0</v>
      </c>
      <c r="AL1593" s="174">
        <f t="shared" si="467"/>
        <v>0</v>
      </c>
      <c r="AM1593" s="346">
        <f>RTD("money.excel",,$G1593,"PredictVolume")</f>
        <v>0</v>
      </c>
      <c r="AN1593" s="272">
        <f>RTD("money.excel",,$G1593,"CumulativeVolume")</f>
        <v>0</v>
      </c>
      <c r="AO1593" s="284"/>
    </row>
    <row r="1594" spans="1:41">
      <c r="A1594" s="151" t="s">
        <v>3187</v>
      </c>
      <c r="B1594" s="85">
        <v>-26</v>
      </c>
      <c r="C1594" s="85"/>
      <c r="D1594" s="85">
        <v>-25</v>
      </c>
      <c r="E1594" s="85">
        <v>-7</v>
      </c>
      <c r="F1594" s="7"/>
      <c r="G1594" s="85">
        <v>2845</v>
      </c>
      <c r="H1594" s="11" t="s">
        <v>553</v>
      </c>
      <c r="I1594" s="23" t="s">
        <v>258</v>
      </c>
      <c r="J1594" s="371">
        <v>74.86</v>
      </c>
      <c r="K1594" s="371">
        <v>11.13</v>
      </c>
      <c r="L1594" s="371">
        <v>0.3</v>
      </c>
      <c r="N1594" s="365">
        <f t="shared" si="468"/>
        <v>86.289999999999992</v>
      </c>
      <c r="O1594" s="343">
        <f t="shared" si="459"/>
        <v>74.86</v>
      </c>
      <c r="P1594" s="195" t="s">
        <v>5554</v>
      </c>
      <c r="Q1594" s="326">
        <f>IFERROR(VLOOKUP($G1594,主力整理!$A$2:$G$2301,6,0),"0")</f>
        <v>6</v>
      </c>
      <c r="T1594" s="339">
        <f t="shared" si="460"/>
        <v>6</v>
      </c>
      <c r="V1594" s="371">
        <v>0</v>
      </c>
      <c r="W1594" s="35">
        <v>0.52</v>
      </c>
      <c r="X1594" s="100">
        <v>0.74</v>
      </c>
      <c r="Y1594" s="37" t="str">
        <f>RTD("money.excel",,"2845","Price")</f>
        <v>無資料</v>
      </c>
      <c r="Z1594" s="69"/>
      <c r="AA1594" s="16" t="e">
        <f t="shared" si="461"/>
        <v>#VALUE!</v>
      </c>
      <c r="AB1594" s="3" t="e">
        <f t="shared" si="462"/>
        <v>#VALUE!</v>
      </c>
      <c r="AD1594" s="23" t="s">
        <v>258</v>
      </c>
      <c r="AG1594" s="34">
        <f t="shared" si="463"/>
        <v>0</v>
      </c>
      <c r="AH1594" s="125" t="s">
        <v>2153</v>
      </c>
      <c r="AI1594" s="131"/>
      <c r="AK1594" s="66">
        <f t="shared" si="466"/>
        <v>0</v>
      </c>
      <c r="AL1594" s="174">
        <f t="shared" si="467"/>
        <v>0</v>
      </c>
      <c r="AM1594" s="346">
        <f>RTD("money.excel",,$G1594,"PredictVolume")</f>
        <v>0</v>
      </c>
      <c r="AN1594" s="272">
        <f>RTD("money.excel",,$G1594,"CumulativeVolume")</f>
        <v>0</v>
      </c>
      <c r="AO1594" s="284"/>
    </row>
    <row r="1595" spans="1:41">
      <c r="A1595" s="151" t="s">
        <v>2936</v>
      </c>
      <c r="B1595" s="85">
        <v>-5</v>
      </c>
      <c r="C1595" s="85"/>
      <c r="D1595" s="84">
        <v>0</v>
      </c>
      <c r="E1595" s="85">
        <v>-17</v>
      </c>
      <c r="F1595" s="7"/>
      <c r="G1595" s="85">
        <v>2849</v>
      </c>
      <c r="H1595" s="11" t="s">
        <v>553</v>
      </c>
      <c r="I1595" s="23" t="s">
        <v>607</v>
      </c>
      <c r="J1595" s="371">
        <v>98.31</v>
      </c>
      <c r="K1595" s="77">
        <v>59.16</v>
      </c>
      <c r="L1595" s="371">
        <v>7.0000000000000007E-2</v>
      </c>
      <c r="N1595" s="365">
        <f t="shared" si="468"/>
        <v>157.54</v>
      </c>
      <c r="O1595" s="343">
        <f t="shared" si="459"/>
        <v>98.31</v>
      </c>
      <c r="P1595" s="195" t="s">
        <v>5554</v>
      </c>
      <c r="Q1595" s="326" t="str">
        <f>IFERROR(VLOOKUP($G1595,主力整理!$A$2:$G$2301,6,0),"0")</f>
        <v>0</v>
      </c>
      <c r="T1595" s="339">
        <f t="shared" si="460"/>
        <v>0</v>
      </c>
      <c r="V1595" s="371">
        <v>21.91</v>
      </c>
      <c r="W1595" s="35">
        <v>0.73</v>
      </c>
      <c r="X1595" s="100">
        <v>1.1100000000000001</v>
      </c>
      <c r="Y1595" s="14" t="str">
        <f>RTD("money.excel",,"2849","Price")</f>
        <v>無資料</v>
      </c>
      <c r="Z1595" s="69"/>
      <c r="AA1595" s="16" t="e">
        <f t="shared" si="461"/>
        <v>#VALUE!</v>
      </c>
      <c r="AB1595" s="3" t="e">
        <f t="shared" si="462"/>
        <v>#VALUE!</v>
      </c>
      <c r="AD1595" s="23" t="s">
        <v>607</v>
      </c>
      <c r="AG1595" s="34">
        <f t="shared" si="463"/>
        <v>0</v>
      </c>
      <c r="AH1595" s="44" t="s">
        <v>2303</v>
      </c>
      <c r="AI1595" s="131"/>
      <c r="AK1595" s="66">
        <f t="shared" si="466"/>
        <v>0</v>
      </c>
      <c r="AL1595" s="174">
        <f t="shared" si="467"/>
        <v>0</v>
      </c>
      <c r="AM1595" s="346">
        <f>RTD("money.excel",,$G1595,"PredictVolume")</f>
        <v>0</v>
      </c>
      <c r="AN1595" s="272">
        <f>RTD("money.excel",,$G1595,"CumulativeVolume")</f>
        <v>0</v>
      </c>
      <c r="AO1595" s="284"/>
    </row>
    <row r="1596" spans="1:41">
      <c r="A1596" s="135" t="s">
        <v>2937</v>
      </c>
      <c r="B1596" s="85">
        <v>-11</v>
      </c>
      <c r="C1596" s="85">
        <v>-7</v>
      </c>
      <c r="D1596" s="85">
        <v>-7</v>
      </c>
      <c r="E1596" s="85">
        <v>-5</v>
      </c>
      <c r="F1596" s="59">
        <v>12.04</v>
      </c>
      <c r="G1596" s="85">
        <v>2850</v>
      </c>
      <c r="H1596" s="11" t="s">
        <v>553</v>
      </c>
      <c r="I1596" s="23" t="s">
        <v>608</v>
      </c>
      <c r="J1596" s="371">
        <v>66.45</v>
      </c>
      <c r="K1596" s="371">
        <v>8.73</v>
      </c>
      <c r="L1596" s="371">
        <v>0.24</v>
      </c>
      <c r="N1596" s="365">
        <f t="shared" si="468"/>
        <v>75.42</v>
      </c>
      <c r="O1596" s="343">
        <f t="shared" si="459"/>
        <v>66.45</v>
      </c>
      <c r="P1596" s="195" t="s">
        <v>5554</v>
      </c>
      <c r="Q1596" s="326" t="str">
        <f>IFERROR(VLOOKUP($G1596,主力整理!$A$2:$G$2301,6,0),"0")</f>
        <v>0</v>
      </c>
      <c r="T1596" s="339">
        <f t="shared" si="460"/>
        <v>0</v>
      </c>
      <c r="V1596" s="371">
        <v>8.49</v>
      </c>
      <c r="W1596" s="35">
        <v>1.95</v>
      </c>
      <c r="X1596" s="100">
        <v>5.16</v>
      </c>
      <c r="Y1596" s="37" t="str">
        <f>RTD("money.excel",,"2850","Price")</f>
        <v>無資料</v>
      </c>
      <c r="Z1596" s="69"/>
      <c r="AA1596" s="16" t="e">
        <f t="shared" si="461"/>
        <v>#VALUE!</v>
      </c>
      <c r="AB1596" s="3" t="e">
        <f t="shared" si="462"/>
        <v>#VALUE!</v>
      </c>
      <c r="AD1596" s="23" t="s">
        <v>608</v>
      </c>
      <c r="AG1596" s="34">
        <f t="shared" si="463"/>
        <v>0</v>
      </c>
      <c r="AH1596" s="63" t="s">
        <v>2304</v>
      </c>
      <c r="AI1596" s="284"/>
      <c r="AK1596" s="66">
        <f t="shared" si="466"/>
        <v>0</v>
      </c>
      <c r="AL1596" s="174">
        <f t="shared" si="467"/>
        <v>0</v>
      </c>
      <c r="AM1596" s="346">
        <f>RTD("money.excel",,$G1596,"PredictVolume")</f>
        <v>0</v>
      </c>
      <c r="AN1596" s="272">
        <f>RTD("money.excel",,$G1596,"CumulativeVolume")</f>
        <v>0</v>
      </c>
      <c r="AO1596" s="284"/>
    </row>
    <row r="1597" spans="1:41">
      <c r="A1597" s="135" t="s">
        <v>4901</v>
      </c>
      <c r="B1597" s="84">
        <v>36</v>
      </c>
      <c r="C1597" s="84">
        <v>33</v>
      </c>
      <c r="D1597" s="85">
        <v>-22</v>
      </c>
      <c r="E1597" s="85">
        <v>-3</v>
      </c>
      <c r="F1597" s="59">
        <v>13.54</v>
      </c>
      <c r="G1597" s="85">
        <v>2851</v>
      </c>
      <c r="H1597" s="11" t="s">
        <v>553</v>
      </c>
      <c r="I1597" s="23" t="s">
        <v>609</v>
      </c>
      <c r="J1597" s="371">
        <v>78.489999999999995</v>
      </c>
      <c r="K1597" s="371">
        <v>1.44</v>
      </c>
      <c r="L1597" s="371">
        <v>2.4500000000000002</v>
      </c>
      <c r="N1597" s="365">
        <f t="shared" si="468"/>
        <v>82.38</v>
      </c>
      <c r="O1597" s="343">
        <f t="shared" si="459"/>
        <v>78.489999999999995</v>
      </c>
      <c r="P1597" s="195">
        <v>0</v>
      </c>
      <c r="Q1597" s="326" t="str">
        <f>IFERROR(VLOOKUP($G1597,主力整理!$A$2:$G$2301,6,0),"0")</f>
        <v>0</v>
      </c>
      <c r="R1597" s="111">
        <v>4</v>
      </c>
      <c r="S1597" s="51">
        <v>4</v>
      </c>
      <c r="T1597" s="339">
        <f t="shared" si="460"/>
        <v>8</v>
      </c>
      <c r="V1597" s="371">
        <v>0.14000000000000001</v>
      </c>
      <c r="W1597" s="35">
        <v>1.3</v>
      </c>
      <c r="X1597" s="59">
        <v>3.12</v>
      </c>
      <c r="Y1597" s="37" t="str">
        <f>RTD("money.excel",,"2851","Price")</f>
        <v>無資料</v>
      </c>
      <c r="Z1597" s="69"/>
      <c r="AA1597" s="16" t="e">
        <f t="shared" si="461"/>
        <v>#VALUE!</v>
      </c>
      <c r="AB1597" s="3" t="e">
        <f t="shared" si="462"/>
        <v>#VALUE!</v>
      </c>
      <c r="AD1597" s="23" t="s">
        <v>609</v>
      </c>
      <c r="AG1597" s="34">
        <f t="shared" si="463"/>
        <v>0</v>
      </c>
      <c r="AH1597" s="63" t="s">
        <v>5454</v>
      </c>
      <c r="AI1597" s="131"/>
      <c r="AK1597" s="66">
        <f t="shared" si="466"/>
        <v>0</v>
      </c>
      <c r="AL1597" s="174">
        <f t="shared" si="467"/>
        <v>0</v>
      </c>
      <c r="AM1597" s="346">
        <f>RTD("money.excel",,$G1597,"PredictVolume")</f>
        <v>0</v>
      </c>
      <c r="AN1597" s="272">
        <f>RTD("money.excel",,$G1597,"CumulativeVolume")</f>
        <v>0</v>
      </c>
      <c r="AO1597" s="284"/>
    </row>
    <row r="1598" spans="1:41">
      <c r="A1598" s="135" t="s">
        <v>2938</v>
      </c>
      <c r="B1598" s="84">
        <v>18</v>
      </c>
      <c r="C1598" s="84">
        <v>17</v>
      </c>
      <c r="D1598" s="85">
        <v>-25</v>
      </c>
      <c r="E1598" s="85">
        <v>-42</v>
      </c>
      <c r="F1598" s="59">
        <v>10.98</v>
      </c>
      <c r="G1598" s="85">
        <v>2852</v>
      </c>
      <c r="H1598" s="11" t="s">
        <v>553</v>
      </c>
      <c r="I1598" s="23" t="s">
        <v>192</v>
      </c>
      <c r="J1598" s="77">
        <v>65.760000000000005</v>
      </c>
      <c r="K1598" s="371">
        <v>3.94</v>
      </c>
      <c r="L1598" s="371">
        <v>0.39</v>
      </c>
      <c r="N1598" s="365">
        <f t="shared" si="468"/>
        <v>70.09</v>
      </c>
      <c r="O1598" s="343">
        <f t="shared" si="459"/>
        <v>65.760000000000005</v>
      </c>
      <c r="P1598" s="195" t="s">
        <v>5554</v>
      </c>
      <c r="Q1598" s="326" t="str">
        <f>IFERROR(VLOOKUP($G1598,主力整理!$A$2:$G$2301,6,0),"0")</f>
        <v>0</v>
      </c>
      <c r="T1598" s="339">
        <f t="shared" si="460"/>
        <v>0</v>
      </c>
      <c r="V1598" s="371">
        <v>19.940000000000001</v>
      </c>
      <c r="W1598" s="35">
        <v>0.35</v>
      </c>
      <c r="X1598" s="100">
        <v>0.51</v>
      </c>
      <c r="Y1598" s="37" t="str">
        <f>RTD("money.excel",,"2852","Price")</f>
        <v>無資料</v>
      </c>
      <c r="Z1598" s="69"/>
      <c r="AA1598" s="16" t="e">
        <f t="shared" si="461"/>
        <v>#VALUE!</v>
      </c>
      <c r="AB1598" s="3" t="e">
        <f t="shared" si="462"/>
        <v>#VALUE!</v>
      </c>
      <c r="AD1598" s="23" t="s">
        <v>192</v>
      </c>
      <c r="AG1598" s="34">
        <f t="shared" si="463"/>
        <v>0</v>
      </c>
      <c r="AH1598" s="126" t="s">
        <v>2305</v>
      </c>
      <c r="AI1598" s="128"/>
      <c r="AK1598" s="66">
        <f t="shared" si="466"/>
        <v>0</v>
      </c>
      <c r="AL1598" s="174">
        <f t="shared" si="467"/>
        <v>0</v>
      </c>
      <c r="AM1598" s="346">
        <f>RTD("money.excel",,$G1598,"PredictVolume")</f>
        <v>0</v>
      </c>
      <c r="AN1598" s="272">
        <f>RTD("money.excel",,$G1598,"CumulativeVolume")</f>
        <v>0</v>
      </c>
      <c r="AO1598" s="34"/>
    </row>
    <row r="1599" spans="1:41">
      <c r="A1599" s="135" t="s">
        <v>4902</v>
      </c>
      <c r="B1599" s="85">
        <v>-43</v>
      </c>
      <c r="C1599" s="85">
        <v>-41</v>
      </c>
      <c r="D1599" s="85">
        <v>-65</v>
      </c>
      <c r="E1599" s="85">
        <v>-6</v>
      </c>
      <c r="F1599" s="59">
        <v>16.59</v>
      </c>
      <c r="G1599" s="85">
        <v>2855</v>
      </c>
      <c r="H1599" s="11" t="s">
        <v>553</v>
      </c>
      <c r="I1599" s="23" t="s">
        <v>611</v>
      </c>
      <c r="J1599" s="77">
        <v>78.09</v>
      </c>
      <c r="K1599" s="371">
        <v>10.71</v>
      </c>
      <c r="L1599" s="371">
        <v>0.59</v>
      </c>
      <c r="N1599" s="365">
        <f t="shared" si="468"/>
        <v>89.390000000000015</v>
      </c>
      <c r="O1599" s="343">
        <f t="shared" si="459"/>
        <v>78.09</v>
      </c>
      <c r="P1599" s="195">
        <v>1</v>
      </c>
      <c r="Q1599" s="326">
        <f>IFERROR(VLOOKUP($G1599,主力整理!$A$2:$G$2301,6,0),"0")</f>
        <v>4</v>
      </c>
      <c r="T1599" s="339">
        <f t="shared" si="460"/>
        <v>5</v>
      </c>
      <c r="V1599" s="371">
        <v>0.01</v>
      </c>
      <c r="W1599" s="35">
        <v>1.9</v>
      </c>
      <c r="X1599" s="100">
        <v>2.59</v>
      </c>
      <c r="Y1599" s="37" t="str">
        <f>RTD("money.excel",,"2855","Price")</f>
        <v>無資料</v>
      </c>
      <c r="Z1599" s="69"/>
      <c r="AA1599" s="16" t="e">
        <f t="shared" si="461"/>
        <v>#VALUE!</v>
      </c>
      <c r="AB1599" s="3" t="e">
        <f t="shared" si="462"/>
        <v>#VALUE!</v>
      </c>
      <c r="AC1599" s="177" t="s">
        <v>2648</v>
      </c>
      <c r="AD1599" s="23" t="s">
        <v>611</v>
      </c>
      <c r="AG1599" s="34">
        <f t="shared" si="463"/>
        <v>0</v>
      </c>
      <c r="AH1599" s="63" t="s">
        <v>2154</v>
      </c>
      <c r="AI1599" s="284"/>
      <c r="AK1599" s="66">
        <f t="shared" si="466"/>
        <v>0</v>
      </c>
      <c r="AL1599" s="174">
        <f t="shared" si="467"/>
        <v>0</v>
      </c>
      <c r="AM1599" s="346">
        <f>RTD("money.excel",,$G1599,"PredictVolume")</f>
        <v>0</v>
      </c>
      <c r="AN1599" s="272">
        <f>RTD("money.excel",,$G1599,"CumulativeVolume")</f>
        <v>0</v>
      </c>
      <c r="AO1599" s="284"/>
    </row>
    <row r="1600" spans="1:41">
      <c r="A1600" s="151" t="s">
        <v>5378</v>
      </c>
      <c r="B1600" s="84">
        <v>153</v>
      </c>
      <c r="C1600" s="84">
        <v>208</v>
      </c>
      <c r="D1600" s="84">
        <v>50</v>
      </c>
      <c r="E1600" s="85">
        <v>-3</v>
      </c>
      <c r="F1600" s="7">
        <v>4.9800000000000004</v>
      </c>
      <c r="G1600" s="85">
        <v>2867</v>
      </c>
      <c r="H1600" s="11" t="s">
        <v>553</v>
      </c>
      <c r="I1600" s="23" t="s">
        <v>229</v>
      </c>
      <c r="J1600" s="371">
        <v>73.39</v>
      </c>
      <c r="K1600" s="371">
        <v>7.02</v>
      </c>
      <c r="L1600" s="371">
        <v>3.48</v>
      </c>
      <c r="N1600" s="365">
        <f t="shared" si="468"/>
        <v>83.89</v>
      </c>
      <c r="O1600" s="343">
        <f t="shared" si="459"/>
        <v>73.39</v>
      </c>
      <c r="P1600" s="195" t="s">
        <v>5554</v>
      </c>
      <c r="Q1600" s="326">
        <f>IFERROR(VLOOKUP($G1600,主力整理!$A$2:$G$2301,6,0),"0")</f>
        <v>8</v>
      </c>
      <c r="R1600" s="111">
        <v>0</v>
      </c>
      <c r="S1600" s="51">
        <v>2</v>
      </c>
      <c r="T1600" s="339">
        <f t="shared" si="460"/>
        <v>10</v>
      </c>
      <c r="V1600" s="371">
        <v>0.39</v>
      </c>
      <c r="W1600" s="35">
        <v>0.15</v>
      </c>
      <c r="X1600" s="59">
        <v>1.01</v>
      </c>
      <c r="Y1600" s="37" t="str">
        <f>RTD("money.excel",,"2867","Price")</f>
        <v>無資料</v>
      </c>
      <c r="Z1600" s="69"/>
      <c r="AA1600" s="16" t="e">
        <f t="shared" si="461"/>
        <v>#VALUE!</v>
      </c>
      <c r="AB1600" s="3" t="e">
        <f t="shared" si="462"/>
        <v>#VALUE!</v>
      </c>
      <c r="AD1600" s="23" t="s">
        <v>229</v>
      </c>
      <c r="AG1600" s="34">
        <f t="shared" si="463"/>
        <v>0</v>
      </c>
      <c r="AH1600" s="125" t="s">
        <v>3439</v>
      </c>
      <c r="AI1600" s="131"/>
      <c r="AK1600" s="66">
        <f t="shared" si="466"/>
        <v>0</v>
      </c>
      <c r="AL1600" s="174">
        <f t="shared" si="467"/>
        <v>0</v>
      </c>
      <c r="AM1600" s="346">
        <f>RTD("money.excel",,$G1600,"PredictVolume")</f>
        <v>0</v>
      </c>
      <c r="AN1600" s="272">
        <f>RTD("money.excel",,$G1600,"CumulativeVolume")</f>
        <v>0</v>
      </c>
      <c r="AO1600" s="284"/>
    </row>
    <row r="1601" spans="1:41">
      <c r="A1601" s="151" t="s">
        <v>3185</v>
      </c>
      <c r="B1601" s="85">
        <v>-62</v>
      </c>
      <c r="C1601" s="84"/>
      <c r="D1601" s="84">
        <v>7</v>
      </c>
      <c r="E1601" s="84">
        <v>10</v>
      </c>
      <c r="F1601" s="7"/>
      <c r="G1601" s="85">
        <v>2880</v>
      </c>
      <c r="H1601" s="11" t="s">
        <v>553</v>
      </c>
      <c r="I1601" s="23" t="s">
        <v>391</v>
      </c>
      <c r="J1601" s="371">
        <v>70.61</v>
      </c>
      <c r="K1601" s="371">
        <v>17.59</v>
      </c>
      <c r="L1601" s="371">
        <v>0.13</v>
      </c>
      <c r="N1601" s="365">
        <f t="shared" si="468"/>
        <v>88.33</v>
      </c>
      <c r="O1601" s="343">
        <f t="shared" si="459"/>
        <v>70.61</v>
      </c>
      <c r="P1601" s="195">
        <v>2</v>
      </c>
      <c r="Q1601" s="326">
        <f>IFERROR(VLOOKUP($G1601,主力整理!$A$2:$G$2301,6,0),"0")</f>
        <v>10</v>
      </c>
      <c r="T1601" s="339">
        <f t="shared" si="460"/>
        <v>12</v>
      </c>
      <c r="V1601" s="371">
        <v>0</v>
      </c>
      <c r="W1601" s="35">
        <v>1.1200000000000001</v>
      </c>
      <c r="X1601" s="59">
        <v>0.68</v>
      </c>
      <c r="Y1601" s="37" t="str">
        <f>RTD("money.excel",,"2880","Price")</f>
        <v>無資料</v>
      </c>
      <c r="Z1601" s="69"/>
      <c r="AA1601" s="16" t="e">
        <f t="shared" si="461"/>
        <v>#VALUE!</v>
      </c>
      <c r="AB1601" s="3" t="e">
        <f t="shared" si="462"/>
        <v>#VALUE!</v>
      </c>
      <c r="AC1601" s="177" t="s">
        <v>2648</v>
      </c>
      <c r="AD1601" s="23" t="s">
        <v>391</v>
      </c>
      <c r="AG1601" s="34">
        <f t="shared" si="463"/>
        <v>0</v>
      </c>
      <c r="AH1601" s="125" t="s">
        <v>2244</v>
      </c>
      <c r="AI1601" s="131"/>
      <c r="AK1601" s="66">
        <f t="shared" si="466"/>
        <v>0</v>
      </c>
      <c r="AL1601" s="174">
        <f t="shared" si="467"/>
        <v>0</v>
      </c>
      <c r="AM1601" s="346">
        <f>RTD("money.excel",,$G1601,"PredictVolume")</f>
        <v>0</v>
      </c>
      <c r="AN1601" s="272">
        <f>RTD("money.excel",,$G1601,"CumulativeVolume")</f>
        <v>0</v>
      </c>
      <c r="AO1601" s="284"/>
    </row>
    <row r="1602" spans="1:41">
      <c r="A1602" s="151" t="s">
        <v>6338</v>
      </c>
      <c r="B1602" s="84">
        <v>138</v>
      </c>
      <c r="C1602" s="84"/>
      <c r="D1602" s="84">
        <v>7</v>
      </c>
      <c r="E1602" s="85">
        <v>-6</v>
      </c>
      <c r="F1602" s="7"/>
      <c r="G1602" s="85">
        <v>2881</v>
      </c>
      <c r="H1602" s="11" t="s">
        <v>553</v>
      </c>
      <c r="I1602" s="23" t="s">
        <v>129</v>
      </c>
      <c r="J1602" s="374">
        <v>82.37</v>
      </c>
      <c r="K1602" s="77">
        <v>23.73</v>
      </c>
      <c r="L1602" s="371">
        <v>0.7</v>
      </c>
      <c r="N1602" s="365">
        <f t="shared" si="468"/>
        <v>106.80000000000001</v>
      </c>
      <c r="O1602" s="343">
        <f t="shared" si="459"/>
        <v>82.37</v>
      </c>
      <c r="P1602" s="195">
        <v>12</v>
      </c>
      <c r="Q1602" s="326">
        <v>21</v>
      </c>
      <c r="R1602" s="111">
        <v>0</v>
      </c>
      <c r="S1602" s="51">
        <v>16</v>
      </c>
      <c r="T1602" s="339">
        <f t="shared" si="460"/>
        <v>49</v>
      </c>
      <c r="V1602" s="371">
        <v>10.83</v>
      </c>
      <c r="W1602" s="230">
        <v>4</v>
      </c>
      <c r="X1602" s="59">
        <v>13.75</v>
      </c>
      <c r="Y1602" s="37" t="str">
        <f>RTD("money.excel",,"2881","Price")</f>
        <v>無資料</v>
      </c>
      <c r="Z1602" s="68"/>
      <c r="AA1602" s="16" t="e">
        <f t="shared" si="461"/>
        <v>#VALUE!</v>
      </c>
      <c r="AB1602" s="3" t="e">
        <f t="shared" si="462"/>
        <v>#VALUE!</v>
      </c>
      <c r="AC1602" s="177" t="s">
        <v>2929</v>
      </c>
      <c r="AD1602" s="23" t="s">
        <v>129</v>
      </c>
      <c r="AG1602" s="34">
        <f t="shared" si="463"/>
        <v>0</v>
      </c>
      <c r="AH1602" s="44" t="s">
        <v>4100</v>
      </c>
      <c r="AI1602" s="131"/>
      <c r="AK1602" s="66">
        <f t="shared" si="466"/>
        <v>0</v>
      </c>
      <c r="AL1602" s="174">
        <f t="shared" si="467"/>
        <v>0</v>
      </c>
      <c r="AM1602" s="346">
        <f>RTD("money.excel",,$G1602,"PredictVolume")</f>
        <v>0</v>
      </c>
      <c r="AN1602" s="272">
        <f>RTD("money.excel",,$G1602,"CumulativeVolume")</f>
        <v>0</v>
      </c>
      <c r="AO1602" s="284"/>
    </row>
    <row r="1603" spans="1:41">
      <c r="A1603" s="151" t="s">
        <v>1318</v>
      </c>
      <c r="B1603" s="84">
        <v>89</v>
      </c>
      <c r="C1603" s="84"/>
      <c r="D1603" s="85">
        <v>-2</v>
      </c>
      <c r="E1603" s="85">
        <v>-19</v>
      </c>
      <c r="F1603" s="7"/>
      <c r="G1603" s="85">
        <v>2882</v>
      </c>
      <c r="H1603" s="11" t="s">
        <v>553</v>
      </c>
      <c r="I1603" s="23" t="s">
        <v>12</v>
      </c>
      <c r="J1603" s="374">
        <v>78.569999999999993</v>
      </c>
      <c r="K1603" s="77">
        <v>26.1</v>
      </c>
      <c r="L1603" s="77">
        <v>0.67</v>
      </c>
      <c r="N1603" s="365">
        <f t="shared" si="468"/>
        <v>105.33999999999999</v>
      </c>
      <c r="O1603" s="343">
        <f t="shared" si="459"/>
        <v>78.569999999999993</v>
      </c>
      <c r="P1603" s="195">
        <v>13</v>
      </c>
      <c r="Q1603" s="326">
        <v>23</v>
      </c>
      <c r="R1603" s="111">
        <v>1</v>
      </c>
      <c r="S1603" s="51">
        <v>32</v>
      </c>
      <c r="T1603" s="339">
        <f t="shared" si="460"/>
        <v>69</v>
      </c>
      <c r="V1603" s="371">
        <v>2.82</v>
      </c>
      <c r="W1603" s="206">
        <v>2.5</v>
      </c>
      <c r="X1603" s="59">
        <v>10.09</v>
      </c>
      <c r="Y1603" s="37" t="str">
        <f>RTD("money.excel",,"2882","Price")</f>
        <v>無資料</v>
      </c>
      <c r="Z1603" s="68"/>
      <c r="AA1603" s="16" t="e">
        <f t="shared" si="461"/>
        <v>#VALUE!</v>
      </c>
      <c r="AB1603" s="3" t="e">
        <f t="shared" si="462"/>
        <v>#VALUE!</v>
      </c>
      <c r="AC1603" s="177" t="s">
        <v>2648</v>
      </c>
      <c r="AD1603" s="23" t="s">
        <v>12</v>
      </c>
      <c r="AG1603" s="34">
        <f t="shared" si="463"/>
        <v>0</v>
      </c>
      <c r="AH1603" s="44" t="s">
        <v>4099</v>
      </c>
      <c r="AI1603" s="131"/>
      <c r="AK1603" s="66">
        <f t="shared" si="466"/>
        <v>0</v>
      </c>
      <c r="AL1603" s="174">
        <f t="shared" si="467"/>
        <v>0</v>
      </c>
      <c r="AM1603" s="346">
        <f>RTD("money.excel",,$G1603,"PredictVolume")</f>
        <v>0</v>
      </c>
      <c r="AN1603" s="272">
        <f>RTD("money.excel",,$G1603,"CumulativeVolume")</f>
        <v>0</v>
      </c>
      <c r="AO1603" s="284"/>
    </row>
    <row r="1604" spans="1:41">
      <c r="A1604" s="151" t="s">
        <v>2939</v>
      </c>
      <c r="B1604" s="85">
        <v>-3</v>
      </c>
      <c r="C1604" s="84"/>
      <c r="D1604" s="84">
        <v>116</v>
      </c>
      <c r="E1604" s="84">
        <v>62</v>
      </c>
      <c r="F1604" s="7"/>
      <c r="G1604" s="85">
        <v>2883</v>
      </c>
      <c r="H1604" s="11" t="s">
        <v>553</v>
      </c>
      <c r="I1604" s="23" t="s">
        <v>495</v>
      </c>
      <c r="J1604" s="371">
        <v>55.71</v>
      </c>
      <c r="K1604" s="371">
        <v>27.25</v>
      </c>
      <c r="L1604" s="371">
        <v>0.93</v>
      </c>
      <c r="N1604" s="365">
        <f t="shared" si="468"/>
        <v>83.890000000000015</v>
      </c>
      <c r="O1604" s="343">
        <f t="shared" si="459"/>
        <v>55.71</v>
      </c>
      <c r="P1604" s="195">
        <v>2</v>
      </c>
      <c r="Q1604" s="326">
        <f>IFERROR(VLOOKUP($G1604,主力整理!$A$2:$G$2301,6,0),"0")</f>
        <v>7</v>
      </c>
      <c r="T1604" s="339">
        <f t="shared" si="460"/>
        <v>9</v>
      </c>
      <c r="V1604" s="371">
        <v>0</v>
      </c>
      <c r="W1604" s="35">
        <v>0.6</v>
      </c>
      <c r="X1604" s="100">
        <v>0.87</v>
      </c>
      <c r="Y1604" s="37" t="str">
        <f>RTD("money.excel",,"2883","Price")</f>
        <v>無資料</v>
      </c>
      <c r="Z1604" s="69"/>
      <c r="AA1604" s="16" t="e">
        <f t="shared" si="461"/>
        <v>#VALUE!</v>
      </c>
      <c r="AB1604" s="3" t="e">
        <f t="shared" si="462"/>
        <v>#VALUE!</v>
      </c>
      <c r="AC1604" s="177" t="s">
        <v>2648</v>
      </c>
      <c r="AD1604" s="23" t="s">
        <v>495</v>
      </c>
      <c r="AG1604" s="34">
        <f t="shared" si="463"/>
        <v>0</v>
      </c>
      <c r="AH1604" s="125" t="s">
        <v>3625</v>
      </c>
      <c r="AI1604" s="131"/>
      <c r="AK1604" s="66">
        <f t="shared" si="466"/>
        <v>0</v>
      </c>
      <c r="AL1604" s="174">
        <f t="shared" si="467"/>
        <v>0</v>
      </c>
      <c r="AM1604" s="346">
        <f>RTD("money.excel",,$G1604,"PredictVolume")</f>
        <v>0</v>
      </c>
      <c r="AN1604" s="272">
        <f>RTD("money.excel",,$G1604,"CumulativeVolume")</f>
        <v>0</v>
      </c>
      <c r="AO1604" s="284"/>
    </row>
    <row r="1605" spans="1:41">
      <c r="A1605" s="151" t="s">
        <v>1364</v>
      </c>
      <c r="B1605" s="85">
        <v>-11</v>
      </c>
      <c r="C1605" s="84"/>
      <c r="D1605" s="85">
        <v>-7</v>
      </c>
      <c r="E1605" s="85">
        <v>-1</v>
      </c>
      <c r="F1605" s="7"/>
      <c r="G1605" s="85">
        <v>2884</v>
      </c>
      <c r="H1605" s="11" t="s">
        <v>553</v>
      </c>
      <c r="I1605" s="23" t="s">
        <v>496</v>
      </c>
      <c r="J1605" s="371">
        <v>61.87</v>
      </c>
      <c r="K1605" s="371">
        <v>36.22</v>
      </c>
      <c r="L1605" s="371">
        <v>0.26</v>
      </c>
      <c r="N1605" s="365">
        <f t="shared" si="468"/>
        <v>98.350000000000009</v>
      </c>
      <c r="O1605" s="343">
        <f t="shared" si="459"/>
        <v>61.87</v>
      </c>
      <c r="P1605" s="195">
        <v>2</v>
      </c>
      <c r="Q1605" s="326">
        <f>IFERROR(VLOOKUP($G1605,主力整理!$A$2:$G$2301,6,0),"0")</f>
        <v>5</v>
      </c>
      <c r="T1605" s="339">
        <f t="shared" si="460"/>
        <v>7</v>
      </c>
      <c r="V1605" s="371">
        <v>0.01</v>
      </c>
      <c r="W1605" s="35">
        <v>1.22</v>
      </c>
      <c r="X1605" s="59">
        <v>1.46</v>
      </c>
      <c r="Y1605" s="37" t="str">
        <f>RTD("money.excel",,"2884","Price")</f>
        <v>無資料</v>
      </c>
      <c r="Z1605" s="69"/>
      <c r="AA1605" s="16" t="e">
        <f t="shared" si="461"/>
        <v>#VALUE!</v>
      </c>
      <c r="AB1605" s="3" t="e">
        <f t="shared" si="462"/>
        <v>#VALUE!</v>
      </c>
      <c r="AC1605" s="177" t="s">
        <v>2648</v>
      </c>
      <c r="AD1605" s="23" t="s">
        <v>496</v>
      </c>
      <c r="AG1605" s="34">
        <f t="shared" si="463"/>
        <v>0</v>
      </c>
      <c r="AH1605" s="125" t="s">
        <v>3190</v>
      </c>
      <c r="AI1605" s="131"/>
      <c r="AK1605" s="66">
        <f t="shared" si="466"/>
        <v>0</v>
      </c>
      <c r="AL1605" s="174">
        <f t="shared" si="467"/>
        <v>0</v>
      </c>
      <c r="AM1605" s="346">
        <f>RTD("money.excel",,$G1605,"PredictVolume")</f>
        <v>0</v>
      </c>
      <c r="AN1605" s="272">
        <f>RTD("money.excel",,$G1605,"CumulativeVolume")</f>
        <v>0</v>
      </c>
      <c r="AO1605" s="284"/>
    </row>
    <row r="1606" spans="1:41">
      <c r="A1606" s="151" t="s">
        <v>1349</v>
      </c>
      <c r="B1606" s="84">
        <v>12</v>
      </c>
      <c r="C1606" s="84"/>
      <c r="D1606" s="85">
        <v>-3</v>
      </c>
      <c r="E1606" s="84">
        <v>7</v>
      </c>
      <c r="F1606" s="7"/>
      <c r="G1606" s="85">
        <v>2885</v>
      </c>
      <c r="H1606" s="11" t="s">
        <v>553</v>
      </c>
      <c r="I1606" s="23" t="s">
        <v>497</v>
      </c>
      <c r="J1606" s="77">
        <v>80.63</v>
      </c>
      <c r="K1606" s="77">
        <v>33.619999999999997</v>
      </c>
      <c r="L1606" s="371">
        <v>0.3</v>
      </c>
      <c r="N1606" s="365">
        <f t="shared" si="468"/>
        <v>114.55</v>
      </c>
      <c r="O1606" s="343">
        <f t="shared" si="459"/>
        <v>80.63</v>
      </c>
      <c r="P1606" s="195">
        <v>5</v>
      </c>
      <c r="Q1606" s="326">
        <f>IFERROR(VLOOKUP($G1606,主力整理!$A$2:$G$2301,6,0),"0")</f>
        <v>6</v>
      </c>
      <c r="T1606" s="339">
        <f t="shared" si="460"/>
        <v>11</v>
      </c>
      <c r="V1606" s="371">
        <v>0</v>
      </c>
      <c r="W1606" s="35">
        <v>1.2</v>
      </c>
      <c r="X1606" s="59">
        <v>2.0099999999999998</v>
      </c>
      <c r="Y1606" s="37" t="str">
        <f>RTD("money.excel",,"2885","Price")</f>
        <v>無資料</v>
      </c>
      <c r="Z1606" s="69"/>
      <c r="AA1606" s="16" t="e">
        <f t="shared" si="461"/>
        <v>#VALUE!</v>
      </c>
      <c r="AB1606" s="3" t="e">
        <f t="shared" si="462"/>
        <v>#VALUE!</v>
      </c>
      <c r="AC1606" s="177" t="s">
        <v>2648</v>
      </c>
      <c r="AD1606" s="23" t="s">
        <v>497</v>
      </c>
      <c r="AG1606" s="34">
        <f t="shared" si="463"/>
        <v>0</v>
      </c>
      <c r="AH1606" s="125" t="s">
        <v>2155</v>
      </c>
      <c r="AI1606" s="131"/>
      <c r="AK1606" s="66">
        <f t="shared" si="466"/>
        <v>0</v>
      </c>
      <c r="AL1606" s="174">
        <f t="shared" si="467"/>
        <v>0</v>
      </c>
      <c r="AM1606" s="346">
        <f>RTD("money.excel",,$G1606,"PredictVolume")</f>
        <v>0</v>
      </c>
      <c r="AN1606" s="272">
        <f>RTD("money.excel",,$G1606,"CumulativeVolume")</f>
        <v>0</v>
      </c>
      <c r="AO1606" s="284"/>
    </row>
    <row r="1607" spans="1:41">
      <c r="A1607" s="151" t="s">
        <v>2478</v>
      </c>
      <c r="B1607" s="85">
        <v>-16</v>
      </c>
      <c r="C1607" s="84"/>
      <c r="D1607" s="85">
        <v>-4</v>
      </c>
      <c r="E1607" s="85">
        <v>-1</v>
      </c>
      <c r="F1607" s="7"/>
      <c r="G1607" s="85">
        <v>2886</v>
      </c>
      <c r="H1607" s="11" t="s">
        <v>553</v>
      </c>
      <c r="I1607" s="23" t="s">
        <v>19</v>
      </c>
      <c r="J1607" s="371">
        <v>79</v>
      </c>
      <c r="K1607" s="371">
        <v>21.48</v>
      </c>
      <c r="L1607" s="77">
        <v>0.08</v>
      </c>
      <c r="N1607" s="365">
        <f t="shared" si="468"/>
        <v>100.56</v>
      </c>
      <c r="O1607" s="343">
        <f t="shared" si="459"/>
        <v>79</v>
      </c>
      <c r="P1607" s="195">
        <v>3</v>
      </c>
      <c r="Q1607" s="326">
        <f>IFERROR(VLOOKUP($G1607,主力整理!$A$2:$G$2301,6,0),"0")</f>
        <v>10</v>
      </c>
      <c r="T1607" s="339">
        <f t="shared" si="460"/>
        <v>13</v>
      </c>
      <c r="V1607" s="371">
        <v>0</v>
      </c>
      <c r="W1607" s="35">
        <v>1.7</v>
      </c>
      <c r="X1607" s="59">
        <v>1.84</v>
      </c>
      <c r="Y1607" s="37" t="str">
        <f>RTD("money.excel",,"2886","Price")</f>
        <v>無資料</v>
      </c>
      <c r="Z1607" s="69"/>
      <c r="AA1607" s="16" t="e">
        <f t="shared" si="461"/>
        <v>#VALUE!</v>
      </c>
      <c r="AB1607" s="3" t="e">
        <f t="shared" si="462"/>
        <v>#VALUE!</v>
      </c>
      <c r="AC1607" s="177" t="s">
        <v>2648</v>
      </c>
      <c r="AD1607" s="23" t="s">
        <v>19</v>
      </c>
      <c r="AG1607" s="34">
        <f t="shared" si="463"/>
        <v>0</v>
      </c>
      <c r="AH1607" s="125" t="s">
        <v>4101</v>
      </c>
      <c r="AI1607" s="131"/>
      <c r="AK1607" s="66">
        <f t="shared" si="466"/>
        <v>0</v>
      </c>
      <c r="AL1607" s="174">
        <f t="shared" si="467"/>
        <v>0</v>
      </c>
      <c r="AM1607" s="346">
        <f>RTD("money.excel",,$G1607,"PredictVolume")</f>
        <v>0</v>
      </c>
      <c r="AN1607" s="272">
        <f>RTD("money.excel",,$G1607,"CumulativeVolume")</f>
        <v>0</v>
      </c>
      <c r="AO1607" s="284"/>
    </row>
    <row r="1608" spans="1:41">
      <c r="A1608" s="151" t="s">
        <v>3622</v>
      </c>
      <c r="B1608" s="85">
        <v>-1</v>
      </c>
      <c r="C1608" s="84"/>
      <c r="D1608" s="84">
        <v>1</v>
      </c>
      <c r="E1608" s="84">
        <v>0</v>
      </c>
      <c r="F1608" s="7"/>
      <c r="G1608" s="85">
        <v>2887</v>
      </c>
      <c r="H1608" s="11" t="s">
        <v>553</v>
      </c>
      <c r="I1608" s="23" t="s">
        <v>498</v>
      </c>
      <c r="J1608" s="77">
        <v>65.11</v>
      </c>
      <c r="K1608" s="371">
        <v>27.6</v>
      </c>
      <c r="L1608" s="371">
        <v>0.24</v>
      </c>
      <c r="N1608" s="365">
        <f t="shared" si="468"/>
        <v>92.95</v>
      </c>
      <c r="O1608" s="343">
        <f t="shared" si="459"/>
        <v>65.11</v>
      </c>
      <c r="P1608" s="195">
        <v>8</v>
      </c>
      <c r="Q1608" s="326">
        <f>IFERROR(VLOOKUP($G1608,主力整理!$A$2:$G$2301,6,0),"0")</f>
        <v>5</v>
      </c>
      <c r="T1608" s="339">
        <f t="shared" si="460"/>
        <v>13</v>
      </c>
      <c r="V1608" s="371">
        <v>0.01</v>
      </c>
      <c r="W1608" s="35">
        <v>0.8</v>
      </c>
      <c r="X1608" s="100">
        <v>1.34</v>
      </c>
      <c r="Y1608" s="37" t="str">
        <f>RTD("money.excel",,"2887","Price")</f>
        <v>無資料</v>
      </c>
      <c r="Z1608" s="69"/>
      <c r="AA1608" s="16" t="e">
        <f t="shared" si="461"/>
        <v>#VALUE!</v>
      </c>
      <c r="AB1608" s="3" t="e">
        <f t="shared" si="462"/>
        <v>#VALUE!</v>
      </c>
      <c r="AC1608" s="177" t="s">
        <v>2648</v>
      </c>
      <c r="AD1608" s="23" t="s">
        <v>498</v>
      </c>
      <c r="AG1608" s="34">
        <f t="shared" si="463"/>
        <v>0</v>
      </c>
      <c r="AH1608" s="125" t="s">
        <v>4102</v>
      </c>
      <c r="AI1608" s="131"/>
      <c r="AK1608" s="66">
        <f t="shared" si="466"/>
        <v>0</v>
      </c>
      <c r="AL1608" s="174">
        <f t="shared" si="467"/>
        <v>0</v>
      </c>
      <c r="AM1608" s="346">
        <f>RTD("money.excel",,$G1608,"PredictVolume")</f>
        <v>0</v>
      </c>
      <c r="AN1608" s="272">
        <f>RTD("money.excel",,$G1608,"CumulativeVolume")</f>
        <v>0</v>
      </c>
      <c r="AO1608" s="284"/>
    </row>
    <row r="1609" spans="1:41">
      <c r="A1609" s="151" t="s">
        <v>2342</v>
      </c>
      <c r="B1609" s="84">
        <v>73</v>
      </c>
      <c r="C1609" s="84"/>
      <c r="D1609" s="85">
        <v>-16</v>
      </c>
      <c r="E1609" s="85">
        <v>-31</v>
      </c>
      <c r="F1609" s="7"/>
      <c r="G1609" s="85">
        <v>2888</v>
      </c>
      <c r="H1609" s="11" t="s">
        <v>553</v>
      </c>
      <c r="I1609" s="23" t="s">
        <v>32</v>
      </c>
      <c r="J1609" s="77">
        <v>60.07</v>
      </c>
      <c r="K1609" s="77">
        <v>19.64</v>
      </c>
      <c r="L1609" s="371">
        <v>3.84</v>
      </c>
      <c r="N1609" s="365">
        <f t="shared" si="468"/>
        <v>83.550000000000011</v>
      </c>
      <c r="O1609" s="343">
        <f t="shared" si="459"/>
        <v>60.07</v>
      </c>
      <c r="P1609" s="195">
        <v>2</v>
      </c>
      <c r="Q1609" s="326">
        <f>IFERROR(VLOOKUP($G1609,主力整理!$A$2:$G$2301,6,0),"0")</f>
        <v>9</v>
      </c>
      <c r="R1609" s="111">
        <v>0</v>
      </c>
      <c r="S1609" s="51">
        <v>6</v>
      </c>
      <c r="T1609" s="339">
        <f t="shared" si="460"/>
        <v>17</v>
      </c>
      <c r="V1609" s="371">
        <v>5.05</v>
      </c>
      <c r="W1609" s="35">
        <v>0.4</v>
      </c>
      <c r="X1609" s="59">
        <v>1.56</v>
      </c>
      <c r="Y1609" s="37" t="str">
        <f>RTD("money.excel",,"2888","Price")</f>
        <v>無資料</v>
      </c>
      <c r="Z1609" s="69"/>
      <c r="AA1609" s="16" t="e">
        <f t="shared" si="461"/>
        <v>#VALUE!</v>
      </c>
      <c r="AB1609" s="3" t="e">
        <f t="shared" si="462"/>
        <v>#VALUE!</v>
      </c>
      <c r="AC1609" s="177" t="s">
        <v>2648</v>
      </c>
      <c r="AD1609" s="23" t="s">
        <v>32</v>
      </c>
      <c r="AG1609" s="34">
        <f t="shared" si="463"/>
        <v>0</v>
      </c>
      <c r="AH1609" s="125" t="s">
        <v>4103</v>
      </c>
      <c r="AI1609" s="131"/>
      <c r="AK1609" s="66">
        <f t="shared" si="466"/>
        <v>0</v>
      </c>
      <c r="AL1609" s="174">
        <f t="shared" si="467"/>
        <v>0</v>
      </c>
      <c r="AM1609" s="346">
        <f>RTD("money.excel",,$G1609,"PredictVolume")</f>
        <v>0</v>
      </c>
      <c r="AN1609" s="272">
        <f>RTD("money.excel",,$G1609,"CumulativeVolume")</f>
        <v>0</v>
      </c>
      <c r="AO1609" s="284"/>
    </row>
    <row r="1610" spans="1:41">
      <c r="A1610" s="151" t="s">
        <v>6385</v>
      </c>
      <c r="B1610" s="84">
        <v>55</v>
      </c>
      <c r="C1610" s="84"/>
      <c r="D1610" s="85">
        <v>-1</v>
      </c>
      <c r="E1610" s="84">
        <v>10</v>
      </c>
      <c r="F1610" s="7"/>
      <c r="G1610" s="85">
        <v>2889</v>
      </c>
      <c r="H1610" s="11" t="s">
        <v>553</v>
      </c>
      <c r="I1610" s="23" t="s">
        <v>499</v>
      </c>
      <c r="J1610" s="371">
        <v>58.11</v>
      </c>
      <c r="K1610" s="371">
        <v>12</v>
      </c>
      <c r="L1610" s="371">
        <v>0.41</v>
      </c>
      <c r="N1610" s="365">
        <f t="shared" si="468"/>
        <v>70.52</v>
      </c>
      <c r="O1610" s="343">
        <f t="shared" si="459"/>
        <v>58.11</v>
      </c>
      <c r="P1610" s="195">
        <v>2</v>
      </c>
      <c r="Q1610" s="326">
        <v>8</v>
      </c>
      <c r="R1610" s="111">
        <v>0</v>
      </c>
      <c r="S1610" s="51">
        <v>5</v>
      </c>
      <c r="T1610" s="339">
        <f t="shared" si="460"/>
        <v>15</v>
      </c>
      <c r="V1610" s="371">
        <v>0.92</v>
      </c>
      <c r="W1610" s="35">
        <v>1</v>
      </c>
      <c r="X1610" s="59">
        <v>1.4</v>
      </c>
      <c r="Y1610" s="37" t="str">
        <f>RTD("money.excel",,"2889","Price")</f>
        <v>無資料</v>
      </c>
      <c r="Z1610" s="69"/>
      <c r="AA1610" s="16" t="e">
        <f t="shared" si="461"/>
        <v>#VALUE!</v>
      </c>
      <c r="AB1610" s="3" t="e">
        <f t="shared" si="462"/>
        <v>#VALUE!</v>
      </c>
      <c r="AC1610" s="177" t="s">
        <v>2648</v>
      </c>
      <c r="AD1610" s="23" t="s">
        <v>499</v>
      </c>
      <c r="AG1610" s="34">
        <f t="shared" si="463"/>
        <v>0</v>
      </c>
      <c r="AH1610" s="125" t="s">
        <v>3208</v>
      </c>
      <c r="AI1610" s="131"/>
      <c r="AK1610" s="66">
        <f t="shared" si="466"/>
        <v>0</v>
      </c>
      <c r="AL1610" s="174">
        <f t="shared" si="467"/>
        <v>0</v>
      </c>
      <c r="AM1610" s="346">
        <f>RTD("money.excel",,$G1610,"PredictVolume")</f>
        <v>0</v>
      </c>
      <c r="AN1610" s="272">
        <f>RTD("money.excel",,$G1610,"CumulativeVolume")</f>
        <v>0</v>
      </c>
      <c r="AO1610" s="284"/>
    </row>
    <row r="1611" spans="1:41">
      <c r="A1611" s="151" t="s">
        <v>2941</v>
      </c>
      <c r="B1611" s="85">
        <v>-2</v>
      </c>
      <c r="C1611" s="84"/>
      <c r="D1611" s="84">
        <v>4</v>
      </c>
      <c r="E1611" s="84">
        <v>28</v>
      </c>
      <c r="F1611" s="7"/>
      <c r="G1611" s="85">
        <v>2890</v>
      </c>
      <c r="H1611" s="11" t="s">
        <v>553</v>
      </c>
      <c r="I1611" s="23" t="s">
        <v>2</v>
      </c>
      <c r="J1611" s="371">
        <v>75.81</v>
      </c>
      <c r="K1611" s="371">
        <v>27.95</v>
      </c>
      <c r="L1611" s="371">
        <v>0.3</v>
      </c>
      <c r="N1611" s="365">
        <f t="shared" si="468"/>
        <v>104.06</v>
      </c>
      <c r="O1611" s="343">
        <f t="shared" si="459"/>
        <v>75.81</v>
      </c>
      <c r="P1611" s="195" t="s">
        <v>5554</v>
      </c>
      <c r="Q1611" s="326">
        <f>IFERROR(VLOOKUP($G1611,主力整理!$A$2:$G$2301,6,0),"0")</f>
        <v>8</v>
      </c>
      <c r="T1611" s="339">
        <f t="shared" si="460"/>
        <v>8</v>
      </c>
      <c r="V1611" s="371">
        <v>0.01</v>
      </c>
      <c r="W1611" s="35">
        <v>0.7</v>
      </c>
      <c r="X1611" s="100">
        <v>1.0900000000000001</v>
      </c>
      <c r="Y1611" s="37" t="str">
        <f>RTD("money.excel",,"2890","Price")</f>
        <v>無資料</v>
      </c>
      <c r="Z1611" s="69"/>
      <c r="AA1611" s="16" t="e">
        <f t="shared" si="461"/>
        <v>#VALUE!</v>
      </c>
      <c r="AB1611" s="3" t="e">
        <f t="shared" si="462"/>
        <v>#VALUE!</v>
      </c>
      <c r="AC1611" s="177" t="s">
        <v>2648</v>
      </c>
      <c r="AD1611" s="23" t="s">
        <v>2</v>
      </c>
      <c r="AG1611" s="34">
        <f t="shared" si="463"/>
        <v>0</v>
      </c>
      <c r="AH1611" s="125" t="s">
        <v>2175</v>
      </c>
      <c r="AI1611" s="131"/>
      <c r="AK1611" s="66">
        <f t="shared" si="466"/>
        <v>0</v>
      </c>
      <c r="AL1611" s="174">
        <f t="shared" si="467"/>
        <v>0</v>
      </c>
      <c r="AM1611" s="346">
        <f>RTD("money.excel",,$G1611,"PredictVolume")</f>
        <v>0</v>
      </c>
      <c r="AN1611" s="272">
        <f>RTD("money.excel",,$G1611,"CumulativeVolume")</f>
        <v>0</v>
      </c>
      <c r="AO1611" s="284"/>
    </row>
    <row r="1612" spans="1:41">
      <c r="A1612" s="151" t="s">
        <v>2479</v>
      </c>
      <c r="B1612" s="85">
        <v>-5</v>
      </c>
      <c r="C1612" s="84"/>
      <c r="D1612" s="85">
        <v>-38</v>
      </c>
      <c r="E1612" s="85">
        <v>-64</v>
      </c>
      <c r="F1612" s="7"/>
      <c r="G1612" s="85">
        <v>2891</v>
      </c>
      <c r="H1612" s="11" t="s">
        <v>553</v>
      </c>
      <c r="I1612" s="23" t="s">
        <v>16</v>
      </c>
      <c r="J1612" s="371">
        <v>73.64</v>
      </c>
      <c r="K1612" s="77">
        <v>35.35</v>
      </c>
      <c r="L1612" s="371">
        <v>0.18</v>
      </c>
      <c r="N1612" s="365">
        <f t="shared" si="468"/>
        <v>109.17000000000002</v>
      </c>
      <c r="O1612" s="343">
        <f t="shared" si="459"/>
        <v>73.64</v>
      </c>
      <c r="P1612" s="195">
        <v>9</v>
      </c>
      <c r="Q1612" s="326">
        <f>IFERROR(VLOOKUP($G1612,主力整理!$A$2:$G$2301,6,0),"0")</f>
        <v>4</v>
      </c>
      <c r="T1612" s="339">
        <f t="shared" si="460"/>
        <v>13</v>
      </c>
      <c r="V1612" s="371">
        <v>0</v>
      </c>
      <c r="W1612" s="35">
        <v>1</v>
      </c>
      <c r="X1612" s="59">
        <v>2.2000000000000002</v>
      </c>
      <c r="Y1612" s="37" t="str">
        <f>RTD("money.excel",,"2891","Price")</f>
        <v>無資料</v>
      </c>
      <c r="Z1612" s="69"/>
      <c r="AA1612" s="16" t="e">
        <f t="shared" si="461"/>
        <v>#VALUE!</v>
      </c>
      <c r="AB1612" s="3" t="e">
        <f t="shared" si="462"/>
        <v>#VALUE!</v>
      </c>
      <c r="AC1612" s="177" t="s">
        <v>2648</v>
      </c>
      <c r="AD1612" s="23" t="s">
        <v>16</v>
      </c>
      <c r="AG1612" s="34">
        <f t="shared" si="463"/>
        <v>0</v>
      </c>
      <c r="AH1612" s="125" t="s">
        <v>4122</v>
      </c>
      <c r="AI1612" s="131"/>
      <c r="AK1612" s="66">
        <f t="shared" si="466"/>
        <v>0</v>
      </c>
      <c r="AL1612" s="174">
        <f t="shared" si="467"/>
        <v>0</v>
      </c>
      <c r="AM1612" s="346">
        <f>RTD("money.excel",,$G1612,"PredictVolume")</f>
        <v>0</v>
      </c>
      <c r="AN1612" s="272">
        <f>RTD("money.excel",,$G1612,"CumulativeVolume")</f>
        <v>0</v>
      </c>
      <c r="AO1612" s="284"/>
    </row>
    <row r="1613" spans="1:41">
      <c r="A1613" s="151" t="s">
        <v>3054</v>
      </c>
      <c r="B1613" s="85">
        <v>-13</v>
      </c>
      <c r="C1613" s="84"/>
      <c r="D1613" s="84">
        <v>9</v>
      </c>
      <c r="E1613" s="84">
        <v>3</v>
      </c>
      <c r="F1613" s="7"/>
      <c r="G1613" s="85">
        <v>2892</v>
      </c>
      <c r="H1613" s="11" t="s">
        <v>553</v>
      </c>
      <c r="I1613" s="23" t="s">
        <v>500</v>
      </c>
      <c r="J1613" s="371">
        <v>63.1</v>
      </c>
      <c r="K1613" s="371">
        <v>24.03</v>
      </c>
      <c r="L1613" s="371">
        <v>0.11</v>
      </c>
      <c r="N1613" s="365">
        <f t="shared" si="468"/>
        <v>87.24</v>
      </c>
      <c r="O1613" s="343">
        <f t="shared" si="459"/>
        <v>63.1</v>
      </c>
      <c r="P1613" s="195">
        <v>2</v>
      </c>
      <c r="Q1613" s="326">
        <f>IFERROR(VLOOKUP($G1613,主力整理!$A$2:$G$2301,6,0),"0")</f>
        <v>5</v>
      </c>
      <c r="T1613" s="339">
        <f t="shared" si="460"/>
        <v>7</v>
      </c>
      <c r="V1613" s="371">
        <v>0</v>
      </c>
      <c r="W1613" s="35">
        <v>1.35</v>
      </c>
      <c r="X1613" s="59">
        <v>1.32</v>
      </c>
      <c r="Y1613" s="37" t="str">
        <f>RTD("money.excel",,"2892","Price")</f>
        <v>無資料</v>
      </c>
      <c r="Z1613" s="69"/>
      <c r="AA1613" s="16" t="e">
        <f t="shared" si="461"/>
        <v>#VALUE!</v>
      </c>
      <c r="AB1613" s="3" t="e">
        <f t="shared" si="462"/>
        <v>#VALUE!</v>
      </c>
      <c r="AC1613" s="177" t="s">
        <v>2648</v>
      </c>
      <c r="AD1613" s="23" t="s">
        <v>500</v>
      </c>
      <c r="AG1613" s="34">
        <f t="shared" si="463"/>
        <v>0</v>
      </c>
      <c r="AH1613" s="125" t="s">
        <v>2244</v>
      </c>
      <c r="AI1613" s="131"/>
      <c r="AK1613" s="66">
        <f t="shared" si="466"/>
        <v>0</v>
      </c>
      <c r="AL1613" s="174">
        <f t="shared" si="467"/>
        <v>0</v>
      </c>
      <c r="AM1613" s="346">
        <f>RTD("money.excel",,$G1613,"PredictVolume")</f>
        <v>0</v>
      </c>
      <c r="AN1613" s="272">
        <f>RTD("money.excel",,$G1613,"CumulativeVolume")</f>
        <v>0</v>
      </c>
      <c r="AO1613" s="284"/>
    </row>
    <row r="1614" spans="1:41">
      <c r="A1614" s="151" t="s">
        <v>3246</v>
      </c>
      <c r="B1614" s="85">
        <v>-18</v>
      </c>
      <c r="C1614" s="84"/>
      <c r="D1614" s="85">
        <v>-4</v>
      </c>
      <c r="E1614" s="84">
        <v>10</v>
      </c>
      <c r="F1614" s="7"/>
      <c r="G1614" s="85">
        <v>2897</v>
      </c>
      <c r="H1614" s="11" t="s">
        <v>553</v>
      </c>
      <c r="I1614" s="23" t="s">
        <v>612</v>
      </c>
      <c r="J1614" s="77">
        <v>89.31</v>
      </c>
      <c r="K1614" s="371">
        <v>1.6</v>
      </c>
      <c r="L1614" s="371">
        <v>0.28000000000000003</v>
      </c>
      <c r="N1614" s="365">
        <f t="shared" si="468"/>
        <v>91.19</v>
      </c>
      <c r="O1614" s="343">
        <f t="shared" si="459"/>
        <v>89.31</v>
      </c>
      <c r="P1614" s="195" t="s">
        <v>5554</v>
      </c>
      <c r="Q1614" s="326">
        <f>IFERROR(VLOOKUP($G1614,主力整理!$A$2:$G$2301,6,0),"0")</f>
        <v>5</v>
      </c>
      <c r="T1614" s="339">
        <f t="shared" si="460"/>
        <v>5</v>
      </c>
      <c r="W1614" s="35">
        <v>0.2</v>
      </c>
      <c r="X1614" s="100">
        <v>0.47</v>
      </c>
      <c r="Y1614" s="37" t="str">
        <f>RTD("money.excel",,"2897","Price")</f>
        <v>無資料</v>
      </c>
      <c r="Z1614" s="69"/>
      <c r="AA1614" s="16" t="e">
        <f t="shared" si="461"/>
        <v>#VALUE!</v>
      </c>
      <c r="AB1614" s="3" t="e">
        <f t="shared" si="462"/>
        <v>#VALUE!</v>
      </c>
      <c r="AD1614" s="23" t="s">
        <v>612</v>
      </c>
      <c r="AG1614" s="34">
        <f t="shared" si="463"/>
        <v>0</v>
      </c>
      <c r="AH1614" s="44" t="s">
        <v>3216</v>
      </c>
      <c r="AI1614" s="131"/>
      <c r="AK1614" s="66">
        <f t="shared" si="466"/>
        <v>0</v>
      </c>
      <c r="AL1614" s="174">
        <f t="shared" si="467"/>
        <v>0</v>
      </c>
      <c r="AM1614" s="346">
        <f>RTD("money.excel",,$G1614,"PredictVolume")</f>
        <v>0</v>
      </c>
      <c r="AN1614" s="272">
        <f>RTD("money.excel",,$G1614,"CumulativeVolume")</f>
        <v>0</v>
      </c>
      <c r="AO1614" s="284"/>
    </row>
    <row r="1615" spans="1:41">
      <c r="A1615" s="151" t="s">
        <v>3572</v>
      </c>
      <c r="B1615" s="84">
        <v>28</v>
      </c>
      <c r="C1615" s="84"/>
      <c r="D1615" s="85">
        <v>-26</v>
      </c>
      <c r="E1615" s="84">
        <v>17</v>
      </c>
      <c r="F1615" s="7"/>
      <c r="G1615" s="85">
        <v>5820</v>
      </c>
      <c r="H1615" s="11" t="s">
        <v>553</v>
      </c>
      <c r="I1615" s="17" t="s">
        <v>287</v>
      </c>
      <c r="J1615" s="371">
        <v>90.81</v>
      </c>
      <c r="K1615" s="371">
        <v>74.42</v>
      </c>
      <c r="L1615" s="77">
        <v>0.3</v>
      </c>
      <c r="N1615" s="365">
        <f t="shared" si="468"/>
        <v>165.53000000000003</v>
      </c>
      <c r="O1615" s="343">
        <f t="shared" si="459"/>
        <v>90.81</v>
      </c>
      <c r="P1615" s="195" t="s">
        <v>5554</v>
      </c>
      <c r="Q1615" s="326">
        <f>IFERROR(VLOOKUP($G1615,主力整理!$A$2:$G$2301,6,0),"0")</f>
        <v>8</v>
      </c>
      <c r="T1615" s="339">
        <f t="shared" si="460"/>
        <v>8</v>
      </c>
      <c r="V1615" s="371">
        <v>0.06</v>
      </c>
      <c r="W1615" s="35">
        <v>0.55000000000000004</v>
      </c>
      <c r="X1615" s="59">
        <v>0.78</v>
      </c>
      <c r="Y1615" s="14" t="str">
        <f>RTD("money.excel",,"5820","Price")</f>
        <v>無資料</v>
      </c>
      <c r="Z1615" s="69"/>
      <c r="AA1615" s="16" t="e">
        <f t="shared" si="461"/>
        <v>#VALUE!</v>
      </c>
      <c r="AB1615" s="3" t="e">
        <f t="shared" si="462"/>
        <v>#VALUE!</v>
      </c>
      <c r="AC1615" s="177" t="s">
        <v>2648</v>
      </c>
      <c r="AD1615" s="17" t="s">
        <v>287</v>
      </c>
      <c r="AG1615" s="34">
        <f t="shared" si="463"/>
        <v>0</v>
      </c>
      <c r="AH1615" s="125" t="s">
        <v>3124</v>
      </c>
      <c r="AI1615" s="131"/>
      <c r="AK1615" s="66">
        <f t="shared" si="466"/>
        <v>0</v>
      </c>
      <c r="AL1615" s="174">
        <f t="shared" si="467"/>
        <v>0</v>
      </c>
      <c r="AM1615" s="346">
        <f>RTD("money.excel",,$G1615,"PredictVolume")</f>
        <v>0</v>
      </c>
      <c r="AN1615" s="272">
        <f>RTD("money.excel",,$G1615,"CumulativeVolume")</f>
        <v>0</v>
      </c>
      <c r="AO1615" s="284"/>
    </row>
    <row r="1616" spans="1:41">
      <c r="A1616" s="135" t="s">
        <v>3626</v>
      </c>
      <c r="B1616" s="84">
        <v>151</v>
      </c>
      <c r="C1616" s="84">
        <v>151</v>
      </c>
      <c r="D1616" s="85">
        <v>-118</v>
      </c>
      <c r="E1616" s="85">
        <v>-637</v>
      </c>
      <c r="F1616" s="59">
        <v>63.04</v>
      </c>
      <c r="G1616" s="85">
        <v>5864</v>
      </c>
      <c r="H1616" s="11" t="s">
        <v>553</v>
      </c>
      <c r="I1616" s="17" t="s">
        <v>614</v>
      </c>
      <c r="J1616" s="371">
        <v>63.52</v>
      </c>
      <c r="K1616" s="77">
        <v>1.01</v>
      </c>
      <c r="L1616" s="371">
        <v>9.6199999999999992</v>
      </c>
      <c r="N1616" s="365">
        <f t="shared" si="468"/>
        <v>74.150000000000006</v>
      </c>
      <c r="O1616" s="343">
        <f t="shared" si="459"/>
        <v>63.52</v>
      </c>
      <c r="P1616" s="195" t="s">
        <v>5554</v>
      </c>
      <c r="Q1616" s="326" t="str">
        <f>IFERROR(VLOOKUP($G1616,主力整理!$A$2:$G$2301,6,0),"0")</f>
        <v>0</v>
      </c>
      <c r="R1616" s="111">
        <v>7</v>
      </c>
      <c r="S1616" s="51">
        <v>0</v>
      </c>
      <c r="T1616" s="339">
        <f t="shared" si="460"/>
        <v>7</v>
      </c>
      <c r="V1616" s="371">
        <v>0.57999999999999996</v>
      </c>
      <c r="W1616" s="35">
        <v>1.2</v>
      </c>
      <c r="X1616" s="59">
        <v>3.59</v>
      </c>
      <c r="Y1616" s="37" t="str">
        <f>RTD("money.excel",,"5864","Price")</f>
        <v>無資料</v>
      </c>
      <c r="Z1616" s="69"/>
      <c r="AA1616" s="16" t="e">
        <f t="shared" si="461"/>
        <v>#VALUE!</v>
      </c>
      <c r="AB1616" s="3" t="e">
        <f t="shared" si="462"/>
        <v>#VALUE!</v>
      </c>
      <c r="AD1616" s="17" t="s">
        <v>614</v>
      </c>
      <c r="AG1616" s="34">
        <f t="shared" si="463"/>
        <v>0</v>
      </c>
      <c r="AH1616" s="63" t="s">
        <v>3505</v>
      </c>
      <c r="AI1616" s="131"/>
      <c r="AK1616" s="66">
        <f t="shared" si="466"/>
        <v>0</v>
      </c>
      <c r="AL1616" s="174">
        <f t="shared" si="467"/>
        <v>0</v>
      </c>
      <c r="AM1616" s="346">
        <f>RTD("money.excel",,$G1616,"PredictVolume")</f>
        <v>0</v>
      </c>
      <c r="AN1616" s="272">
        <f>RTD("money.excel",,$G1616,"CumulativeVolume")</f>
        <v>0</v>
      </c>
      <c r="AO1616" s="284"/>
    </row>
    <row r="1617" spans="1:41">
      <c r="A1617" s="151" t="s">
        <v>2515</v>
      </c>
      <c r="B1617" s="85">
        <v>-10</v>
      </c>
      <c r="C1617" s="84"/>
      <c r="D1617" s="84">
        <v>2</v>
      </c>
      <c r="E1617" s="85">
        <v>-1</v>
      </c>
      <c r="F1617" s="7"/>
      <c r="G1617" s="85">
        <v>5876</v>
      </c>
      <c r="H1617" s="11" t="s">
        <v>553</v>
      </c>
      <c r="I1617" s="23" t="s">
        <v>1794</v>
      </c>
      <c r="J1617" s="371">
        <v>77.72</v>
      </c>
      <c r="K1617" s="371">
        <v>57.21</v>
      </c>
      <c r="L1617" s="77">
        <v>0.17</v>
      </c>
      <c r="N1617" s="365">
        <f t="shared" si="468"/>
        <v>135.1</v>
      </c>
      <c r="O1617" s="343">
        <f t="shared" si="459"/>
        <v>77.72</v>
      </c>
      <c r="P1617" s="195" t="s">
        <v>5554</v>
      </c>
      <c r="Q1617" s="326">
        <f>IFERROR(VLOOKUP($G1617,主力整理!$A$2:$G$2301,6,0),"0")</f>
        <v>14</v>
      </c>
      <c r="T1617" s="339">
        <f t="shared" si="460"/>
        <v>14</v>
      </c>
      <c r="V1617" s="371">
        <v>0.01</v>
      </c>
      <c r="W1617" s="35">
        <v>1.7</v>
      </c>
      <c r="X1617" s="59">
        <v>3.01</v>
      </c>
      <c r="Y1617" s="14" t="str">
        <f>RTD("money.excel",,"5876","Price")</f>
        <v>無資料</v>
      </c>
      <c r="Z1617" s="69"/>
      <c r="AA1617" s="16" t="e">
        <f t="shared" si="461"/>
        <v>#VALUE!</v>
      </c>
      <c r="AB1617" s="3" t="e">
        <f t="shared" si="462"/>
        <v>#VALUE!</v>
      </c>
      <c r="AC1617" s="177" t="s">
        <v>2648</v>
      </c>
      <c r="AD1617" s="23" t="s">
        <v>1794</v>
      </c>
      <c r="AG1617" s="34">
        <f t="shared" si="463"/>
        <v>0</v>
      </c>
      <c r="AH1617" s="44" t="s">
        <v>1795</v>
      </c>
      <c r="AI1617" s="131"/>
      <c r="AK1617" s="66">
        <f t="shared" si="466"/>
        <v>0</v>
      </c>
      <c r="AL1617" s="174">
        <f t="shared" si="467"/>
        <v>0</v>
      </c>
      <c r="AM1617" s="346">
        <f>RTD("money.excel",,$G1617,"PredictVolume")</f>
        <v>0</v>
      </c>
      <c r="AN1617" s="272">
        <f>RTD("money.excel",,$G1617,"CumulativeVolume")</f>
        <v>0</v>
      </c>
      <c r="AO1617" s="284"/>
    </row>
    <row r="1618" spans="1:41">
      <c r="A1618" s="151" t="s">
        <v>3492</v>
      </c>
      <c r="B1618" s="84">
        <v>4</v>
      </c>
      <c r="C1618" s="84">
        <v>12</v>
      </c>
      <c r="D1618" s="85">
        <v>-2</v>
      </c>
      <c r="E1618" s="84">
        <v>38</v>
      </c>
      <c r="F1618" s="7">
        <v>9.9</v>
      </c>
      <c r="G1618" s="85">
        <v>5878</v>
      </c>
      <c r="H1618" s="11" t="s">
        <v>553</v>
      </c>
      <c r="I1618" s="17" t="s">
        <v>615</v>
      </c>
      <c r="J1618" s="77">
        <v>76.19</v>
      </c>
      <c r="K1618" s="371">
        <v>0.01</v>
      </c>
      <c r="L1618" s="371"/>
      <c r="N1618" s="365">
        <f t="shared" si="468"/>
        <v>76.2</v>
      </c>
      <c r="O1618" s="343">
        <f t="shared" si="459"/>
        <v>76.19</v>
      </c>
      <c r="P1618" s="195" t="s">
        <v>5554</v>
      </c>
      <c r="Q1618" s="326" t="str">
        <f>IFERROR(VLOOKUP($G1618,主力整理!$A$2:$G$2301,6,0),"0")</f>
        <v>0</v>
      </c>
      <c r="T1618" s="339">
        <f t="shared" si="460"/>
        <v>0</v>
      </c>
      <c r="V1618" s="371">
        <v>40.29</v>
      </c>
      <c r="W1618" s="69">
        <v>3.2</v>
      </c>
      <c r="X1618" s="59">
        <v>3.47</v>
      </c>
      <c r="Y1618" s="37" t="str">
        <f>RTD("money.excel",,"5878","Price")</f>
        <v>無資料</v>
      </c>
      <c r="Z1618" s="69"/>
      <c r="AA1618" s="16" t="e">
        <f t="shared" si="461"/>
        <v>#VALUE!</v>
      </c>
      <c r="AB1618" s="3" t="e">
        <f t="shared" si="462"/>
        <v>#VALUE!</v>
      </c>
      <c r="AC1618" s="177" t="s">
        <v>2700</v>
      </c>
      <c r="AD1618" s="17" t="s">
        <v>615</v>
      </c>
      <c r="AG1618" s="34">
        <f t="shared" si="463"/>
        <v>0</v>
      </c>
      <c r="AH1618" s="44" t="s">
        <v>4248</v>
      </c>
      <c r="AI1618" s="131"/>
      <c r="AK1618" s="66">
        <f t="shared" si="466"/>
        <v>0</v>
      </c>
      <c r="AL1618" s="174">
        <f t="shared" si="467"/>
        <v>0</v>
      </c>
      <c r="AM1618" s="346">
        <f>RTD("money.excel",,$G1618,"PredictVolume")</f>
        <v>0</v>
      </c>
      <c r="AN1618" s="272">
        <f>RTD("money.excel",,$G1618,"CumulativeVolume")</f>
        <v>0</v>
      </c>
      <c r="AO1618" s="284"/>
    </row>
    <row r="1619" spans="1:41">
      <c r="A1619" s="151" t="s">
        <v>3197</v>
      </c>
      <c r="B1619" s="85">
        <v>-6</v>
      </c>
      <c r="C1619" s="85"/>
      <c r="D1619" s="84">
        <v>4</v>
      </c>
      <c r="E1619" s="84">
        <v>11</v>
      </c>
      <c r="F1619" s="7"/>
      <c r="G1619" s="85">
        <v>5880</v>
      </c>
      <c r="H1619" s="11" t="s">
        <v>553</v>
      </c>
      <c r="I1619" s="23" t="s">
        <v>501</v>
      </c>
      <c r="J1619" s="371">
        <v>70.27</v>
      </c>
      <c r="K1619" s="371">
        <v>18.850000000000001</v>
      </c>
      <c r="L1619" s="77">
        <v>0.08</v>
      </c>
      <c r="N1619" s="365">
        <f t="shared" si="468"/>
        <v>89.2</v>
      </c>
      <c r="O1619" s="343">
        <f t="shared" si="459"/>
        <v>70.27</v>
      </c>
      <c r="P1619" s="195">
        <v>2</v>
      </c>
      <c r="Q1619" s="326">
        <f>IFERROR(VLOOKUP($G1619,主力整理!$A$2:$G$2301,6,0),"0")</f>
        <v>6</v>
      </c>
      <c r="T1619" s="339">
        <f t="shared" si="460"/>
        <v>8</v>
      </c>
      <c r="V1619" s="371">
        <v>0.01</v>
      </c>
      <c r="W1619" s="35">
        <v>1.05</v>
      </c>
      <c r="X1619" s="59">
        <v>1.25</v>
      </c>
      <c r="Y1619" s="37" t="str">
        <f>RTD("money.excel",,"5880","Price")</f>
        <v>無資料</v>
      </c>
      <c r="Z1619" s="69"/>
      <c r="AA1619" s="16" t="e">
        <f t="shared" si="461"/>
        <v>#VALUE!</v>
      </c>
      <c r="AB1619" s="3" t="e">
        <f t="shared" si="462"/>
        <v>#VALUE!</v>
      </c>
      <c r="AC1619" s="177" t="s">
        <v>2648</v>
      </c>
      <c r="AD1619" s="23" t="s">
        <v>501</v>
      </c>
      <c r="AG1619" s="34">
        <f t="shared" si="463"/>
        <v>0</v>
      </c>
      <c r="AH1619" s="125" t="s">
        <v>4104</v>
      </c>
      <c r="AI1619" s="131"/>
      <c r="AK1619" s="66">
        <f t="shared" si="466"/>
        <v>0</v>
      </c>
      <c r="AL1619" s="174">
        <f t="shared" si="467"/>
        <v>0</v>
      </c>
      <c r="AM1619" s="346">
        <f>RTD("money.excel",,$G1619,"PredictVolume")</f>
        <v>0</v>
      </c>
      <c r="AN1619" s="272">
        <f>RTD("money.excel",,$G1619,"CumulativeVolume")</f>
        <v>0</v>
      </c>
      <c r="AO1619" s="284"/>
    </row>
    <row r="1620" spans="1:41">
      <c r="A1620" s="135" t="s">
        <v>2942</v>
      </c>
      <c r="B1620" s="85">
        <v>-27</v>
      </c>
      <c r="C1620" s="85">
        <v>-36</v>
      </c>
      <c r="D1620" s="85">
        <v>-17</v>
      </c>
      <c r="E1620" s="85">
        <v>42</v>
      </c>
      <c r="F1620" s="59">
        <v>11.92</v>
      </c>
      <c r="G1620" s="85">
        <v>6005</v>
      </c>
      <c r="H1620" s="11" t="s">
        <v>553</v>
      </c>
      <c r="I1620" s="23" t="s">
        <v>178</v>
      </c>
      <c r="J1620" s="77">
        <v>77.040000000000006</v>
      </c>
      <c r="K1620" s="371">
        <v>18.440000000000001</v>
      </c>
      <c r="L1620" s="371">
        <v>1.25</v>
      </c>
      <c r="N1620" s="365">
        <f t="shared" si="468"/>
        <v>96.73</v>
      </c>
      <c r="O1620" s="343">
        <f t="shared" si="459"/>
        <v>77.040000000000006</v>
      </c>
      <c r="P1620" s="195">
        <v>1</v>
      </c>
      <c r="Q1620" s="326">
        <f>IFERROR(VLOOKUP($G1620,主力整理!$A$2:$G$2301,6,0),"0")</f>
        <v>3</v>
      </c>
      <c r="T1620" s="339">
        <f t="shared" si="460"/>
        <v>4</v>
      </c>
      <c r="V1620" s="371">
        <v>0</v>
      </c>
      <c r="W1620" s="35">
        <v>1.1000000000000001</v>
      </c>
      <c r="X1620" s="100">
        <v>1.64</v>
      </c>
      <c r="Y1620" s="37" t="str">
        <f>RTD("money.excel",,"6005","Price")</f>
        <v>無資料</v>
      </c>
      <c r="Z1620" s="69"/>
      <c r="AA1620" s="16" t="e">
        <f t="shared" si="461"/>
        <v>#VALUE!</v>
      </c>
      <c r="AB1620" s="3" t="e">
        <f t="shared" si="462"/>
        <v>#VALUE!</v>
      </c>
      <c r="AC1620" s="177" t="s">
        <v>2648</v>
      </c>
      <c r="AD1620" s="23" t="s">
        <v>178</v>
      </c>
      <c r="AG1620" s="34">
        <f t="shared" si="463"/>
        <v>0</v>
      </c>
      <c r="AH1620" s="126" t="s">
        <v>3505</v>
      </c>
      <c r="AI1620" s="131"/>
      <c r="AK1620" s="66">
        <f t="shared" si="466"/>
        <v>0</v>
      </c>
      <c r="AL1620" s="174">
        <f t="shared" si="467"/>
        <v>0</v>
      </c>
      <c r="AM1620" s="346">
        <f>RTD("money.excel",,$G1620,"PredictVolume")</f>
        <v>0</v>
      </c>
      <c r="AN1620" s="272">
        <f>RTD("money.excel",,$G1620,"CumulativeVolume")</f>
        <v>0</v>
      </c>
      <c r="AO1620" s="284"/>
    </row>
    <row r="1621" spans="1:41">
      <c r="A1621" s="135" t="s">
        <v>6299</v>
      </c>
      <c r="B1621" s="84">
        <v>958</v>
      </c>
      <c r="C1621" s="98">
        <v>1528</v>
      </c>
      <c r="D1621" s="84">
        <v>34</v>
      </c>
      <c r="E1621" s="84">
        <v>95</v>
      </c>
      <c r="F1621" s="59">
        <v>56.82</v>
      </c>
      <c r="G1621" s="85">
        <v>6015</v>
      </c>
      <c r="H1621" s="11" t="s">
        <v>553</v>
      </c>
      <c r="I1621" s="17" t="s">
        <v>616</v>
      </c>
      <c r="J1621" s="371">
        <v>34.6</v>
      </c>
      <c r="K1621" s="77">
        <v>3</v>
      </c>
      <c r="L1621" s="77">
        <v>17.27</v>
      </c>
      <c r="N1621" s="365">
        <f t="shared" si="468"/>
        <v>54.870000000000005</v>
      </c>
      <c r="O1621" s="343">
        <f t="shared" si="459"/>
        <v>34.6</v>
      </c>
      <c r="P1621" s="195">
        <v>0</v>
      </c>
      <c r="Q1621" s="326">
        <v>5</v>
      </c>
      <c r="R1621" s="111">
        <v>14</v>
      </c>
      <c r="S1621" s="51">
        <v>0</v>
      </c>
      <c r="T1621" s="339">
        <f t="shared" si="460"/>
        <v>19</v>
      </c>
      <c r="V1621" s="371">
        <v>43.18</v>
      </c>
      <c r="W1621" s="35">
        <v>0.5</v>
      </c>
      <c r="X1621" s="100">
        <v>4.1399999999999997</v>
      </c>
      <c r="Y1621" s="37" t="str">
        <f>RTD("money.excel",,"6015","Price")</f>
        <v>無資料</v>
      </c>
      <c r="Z1621" s="69"/>
      <c r="AA1621" s="16" t="e">
        <f t="shared" si="461"/>
        <v>#VALUE!</v>
      </c>
      <c r="AB1621" s="3" t="e">
        <f t="shared" si="462"/>
        <v>#VALUE!</v>
      </c>
      <c r="AD1621" s="17" t="s">
        <v>616</v>
      </c>
      <c r="AG1621" s="34">
        <f t="shared" si="463"/>
        <v>0</v>
      </c>
      <c r="AH1621" s="63" t="s">
        <v>3504</v>
      </c>
      <c r="AI1621" s="131"/>
      <c r="AK1621" s="66">
        <f t="shared" si="466"/>
        <v>0</v>
      </c>
      <c r="AL1621" s="174">
        <f t="shared" si="467"/>
        <v>0</v>
      </c>
      <c r="AM1621" s="346">
        <f>RTD("money.excel",,$G1621,"PredictVolume")</f>
        <v>0</v>
      </c>
      <c r="AN1621" s="272">
        <f>RTD("money.excel",,$G1621,"CumulativeVolume")</f>
        <v>0</v>
      </c>
      <c r="AO1621" s="284"/>
    </row>
    <row r="1622" spans="1:41">
      <c r="A1622" s="135" t="s">
        <v>3567</v>
      </c>
      <c r="B1622" s="84">
        <v>18</v>
      </c>
      <c r="C1622" s="84">
        <v>45</v>
      </c>
      <c r="D1622" s="85">
        <v>-2</v>
      </c>
      <c r="E1622" s="84">
        <v>18</v>
      </c>
      <c r="F1622" s="59">
        <v>29.75</v>
      </c>
      <c r="G1622" s="85">
        <v>6016</v>
      </c>
      <c r="H1622" s="11" t="s">
        <v>553</v>
      </c>
      <c r="I1622" s="17" t="s">
        <v>617</v>
      </c>
      <c r="J1622" s="77">
        <v>41.55</v>
      </c>
      <c r="K1622" s="77">
        <v>2.9</v>
      </c>
      <c r="L1622" s="371">
        <v>7.49</v>
      </c>
      <c r="N1622" s="365">
        <f t="shared" si="468"/>
        <v>51.94</v>
      </c>
      <c r="O1622" s="343">
        <f t="shared" si="459"/>
        <v>41.55</v>
      </c>
      <c r="P1622" s="195">
        <v>0</v>
      </c>
      <c r="Q1622" s="326">
        <v>23</v>
      </c>
      <c r="R1622" s="111">
        <v>1</v>
      </c>
      <c r="S1622" s="51">
        <v>5</v>
      </c>
      <c r="T1622" s="339">
        <f t="shared" si="460"/>
        <v>29</v>
      </c>
      <c r="U1622" s="329" t="s">
        <v>6538</v>
      </c>
      <c r="V1622" s="371">
        <v>0.49</v>
      </c>
      <c r="W1622" s="35">
        <v>1.22</v>
      </c>
      <c r="X1622" s="100">
        <v>2.02</v>
      </c>
      <c r="Y1622" s="37" t="str">
        <f>RTD("money.excel",,"6016","Price")</f>
        <v>無資料</v>
      </c>
      <c r="Z1622" s="69"/>
      <c r="AA1622" s="16" t="e">
        <f t="shared" si="461"/>
        <v>#VALUE!</v>
      </c>
      <c r="AB1622" s="3" t="e">
        <f t="shared" si="462"/>
        <v>#VALUE!</v>
      </c>
      <c r="AD1622" s="17" t="s">
        <v>617</v>
      </c>
      <c r="AG1622" s="34">
        <f t="shared" si="463"/>
        <v>0</v>
      </c>
      <c r="AH1622" s="63" t="s">
        <v>3124</v>
      </c>
      <c r="AI1622" s="131"/>
      <c r="AK1622" s="66">
        <f t="shared" si="466"/>
        <v>0</v>
      </c>
      <c r="AL1622" s="174">
        <f t="shared" si="467"/>
        <v>0</v>
      </c>
      <c r="AM1622" s="346">
        <f>RTD("money.excel",,$G1622,"PredictVolume")</f>
        <v>0</v>
      </c>
      <c r="AN1622" s="272">
        <f>RTD("money.excel",,$G1622,"CumulativeVolume")</f>
        <v>0</v>
      </c>
      <c r="AO1622" s="284"/>
    </row>
    <row r="1623" spans="1:41">
      <c r="A1623" s="135" t="s">
        <v>2501</v>
      </c>
      <c r="B1623" s="98">
        <v>5595</v>
      </c>
      <c r="C1623" s="84">
        <v>375</v>
      </c>
      <c r="D1623" s="85">
        <v>-126</v>
      </c>
      <c r="E1623" s="85">
        <v>-373</v>
      </c>
      <c r="F1623" s="59">
        <v>32.07</v>
      </c>
      <c r="G1623" s="85">
        <v>6020</v>
      </c>
      <c r="H1623" s="11" t="s">
        <v>553</v>
      </c>
      <c r="I1623" s="17" t="s">
        <v>618</v>
      </c>
      <c r="J1623" s="77">
        <v>95.93</v>
      </c>
      <c r="K1623" s="371">
        <v>0</v>
      </c>
      <c r="L1623" s="371">
        <v>0.02</v>
      </c>
      <c r="N1623" s="365">
        <f t="shared" si="468"/>
        <v>95.95</v>
      </c>
      <c r="O1623" s="343">
        <f t="shared" si="459"/>
        <v>95.93</v>
      </c>
      <c r="P1623" s="195">
        <v>1</v>
      </c>
      <c r="Q1623" s="326" t="str">
        <f>IFERROR(VLOOKUP($G1623,主力整理!$A$2:$G$2301,6,0),"0")</f>
        <v>0</v>
      </c>
      <c r="T1623" s="339">
        <f t="shared" si="460"/>
        <v>1</v>
      </c>
      <c r="V1623" s="371">
        <v>43.01</v>
      </c>
      <c r="W1623" s="35">
        <v>0.72</v>
      </c>
      <c r="X1623" s="59">
        <v>1.03</v>
      </c>
      <c r="Y1623" s="37" t="str">
        <f>RTD("money.excel",,"6020","Price")</f>
        <v>無資料</v>
      </c>
      <c r="Z1623" s="69"/>
      <c r="AA1623" s="16" t="e">
        <f t="shared" si="461"/>
        <v>#VALUE!</v>
      </c>
      <c r="AB1623" s="3" t="e">
        <f t="shared" si="462"/>
        <v>#VALUE!</v>
      </c>
      <c r="AC1623" s="177" t="s">
        <v>2648</v>
      </c>
      <c r="AD1623" s="17" t="s">
        <v>618</v>
      </c>
      <c r="AG1623" s="34">
        <f t="shared" si="463"/>
        <v>0</v>
      </c>
      <c r="AH1623" s="63" t="s">
        <v>3505</v>
      </c>
      <c r="AI1623" s="131"/>
      <c r="AK1623" s="66">
        <f t="shared" si="466"/>
        <v>0</v>
      </c>
      <c r="AL1623" s="174">
        <f t="shared" si="467"/>
        <v>0</v>
      </c>
      <c r="AM1623" s="346">
        <f>RTD("money.excel",,$G1623,"PredictVolume")</f>
        <v>0</v>
      </c>
      <c r="AN1623" s="272">
        <f>RTD("money.excel",,$G1623,"CumulativeVolume")</f>
        <v>0</v>
      </c>
      <c r="AO1623" s="284"/>
    </row>
    <row r="1624" spans="1:41">
      <c r="A1624" s="151" t="s">
        <v>2947</v>
      </c>
      <c r="B1624" s="85">
        <v>-86</v>
      </c>
      <c r="C1624" s="85">
        <v>-105</v>
      </c>
      <c r="D1624" s="84">
        <v>48</v>
      </c>
      <c r="E1624" s="84">
        <v>56</v>
      </c>
      <c r="F1624" s="59">
        <v>-1.06</v>
      </c>
      <c r="G1624" s="85">
        <v>6021</v>
      </c>
      <c r="H1624" s="11" t="s">
        <v>553</v>
      </c>
      <c r="I1624" s="17" t="s">
        <v>619</v>
      </c>
      <c r="J1624" s="371">
        <v>88.9</v>
      </c>
      <c r="K1624" s="77">
        <v>8.02</v>
      </c>
      <c r="L1624" s="77">
        <v>0.44</v>
      </c>
      <c r="N1624" s="365">
        <f t="shared" si="468"/>
        <v>97.36</v>
      </c>
      <c r="O1624" s="343">
        <f t="shared" si="459"/>
        <v>88.9</v>
      </c>
      <c r="P1624" s="195" t="s">
        <v>5554</v>
      </c>
      <c r="Q1624" s="326" t="str">
        <f>IFERROR(VLOOKUP($G1624,主力整理!$A$2:$G$2301,6,0),"0")</f>
        <v>0</v>
      </c>
      <c r="T1624" s="339">
        <f t="shared" si="460"/>
        <v>0</v>
      </c>
      <c r="V1624" s="371">
        <v>45.51</v>
      </c>
      <c r="W1624" s="35">
        <v>0</v>
      </c>
      <c r="X1624" s="59">
        <v>0.34</v>
      </c>
      <c r="Y1624" s="37" t="str">
        <f>RTD("money.excel",,"6021","Price")</f>
        <v>無資料</v>
      </c>
      <c r="Z1624" s="69"/>
      <c r="AA1624" s="16" t="e">
        <f t="shared" si="461"/>
        <v>#VALUE!</v>
      </c>
      <c r="AB1624" s="3" t="e">
        <f t="shared" si="462"/>
        <v>#VALUE!</v>
      </c>
      <c r="AD1624" s="17" t="s">
        <v>619</v>
      </c>
      <c r="AG1624" s="34">
        <f t="shared" si="463"/>
        <v>0</v>
      </c>
      <c r="AH1624" s="44" t="s">
        <v>4249</v>
      </c>
      <c r="AI1624" s="131"/>
      <c r="AK1624" s="66">
        <f t="shared" si="466"/>
        <v>0</v>
      </c>
      <c r="AL1624" s="174">
        <f t="shared" si="467"/>
        <v>0</v>
      </c>
      <c r="AM1624" s="346">
        <f>RTD("money.excel",,$G1624,"PredictVolume")</f>
        <v>0</v>
      </c>
      <c r="AN1624" s="272">
        <f>RTD("money.excel",,$G1624,"CumulativeVolume")</f>
        <v>0</v>
      </c>
      <c r="AO1624" s="284"/>
    </row>
    <row r="1625" spans="1:41">
      <c r="A1625" s="135" t="s">
        <v>3179</v>
      </c>
      <c r="B1625" s="85">
        <v>-26</v>
      </c>
      <c r="C1625" s="85">
        <v>-10</v>
      </c>
      <c r="D1625" s="84">
        <v>51</v>
      </c>
      <c r="E1625" s="85">
        <v>-36</v>
      </c>
      <c r="F1625" s="59">
        <v>12.2</v>
      </c>
      <c r="G1625" s="85">
        <v>6023</v>
      </c>
      <c r="H1625" s="11" t="s">
        <v>553</v>
      </c>
      <c r="I1625" s="17" t="s">
        <v>291</v>
      </c>
      <c r="J1625" s="77">
        <v>82.28</v>
      </c>
      <c r="K1625" s="77">
        <v>0.36</v>
      </c>
      <c r="L1625" s="77">
        <v>0.34</v>
      </c>
      <c r="N1625" s="365">
        <f t="shared" si="468"/>
        <v>82.98</v>
      </c>
      <c r="O1625" s="343">
        <f t="shared" si="459"/>
        <v>82.28</v>
      </c>
      <c r="P1625" s="195">
        <v>1</v>
      </c>
      <c r="Q1625" s="326" t="str">
        <f>IFERROR(VLOOKUP($G1625,主力整理!$A$2:$G$2301,6,0),"0")</f>
        <v>0</v>
      </c>
      <c r="T1625" s="339">
        <f t="shared" si="460"/>
        <v>1</v>
      </c>
      <c r="V1625" s="371">
        <v>0</v>
      </c>
      <c r="W1625" s="35">
        <v>2.8</v>
      </c>
      <c r="X1625" s="59">
        <v>3.82</v>
      </c>
      <c r="Y1625" s="37" t="str">
        <f>RTD("money.excel",,"6023","Price")</f>
        <v>無資料</v>
      </c>
      <c r="Z1625" s="69"/>
      <c r="AA1625" s="16" t="e">
        <f t="shared" si="461"/>
        <v>#VALUE!</v>
      </c>
      <c r="AB1625" s="3" t="e">
        <f t="shared" si="462"/>
        <v>#VALUE!</v>
      </c>
      <c r="AC1625" s="177" t="s">
        <v>2929</v>
      </c>
      <c r="AD1625" s="17" t="s">
        <v>291</v>
      </c>
      <c r="AG1625" s="34">
        <f t="shared" si="463"/>
        <v>0</v>
      </c>
      <c r="AH1625" s="126" t="s">
        <v>4105</v>
      </c>
      <c r="AI1625" s="131"/>
      <c r="AK1625" s="66">
        <f t="shared" si="466"/>
        <v>0</v>
      </c>
      <c r="AL1625" s="174">
        <f t="shared" si="467"/>
        <v>0</v>
      </c>
      <c r="AM1625" s="346">
        <f>RTD("money.excel",,$G1625,"PredictVolume")</f>
        <v>0</v>
      </c>
      <c r="AN1625" s="272">
        <f>RTD("money.excel",,$G1625,"CumulativeVolume")</f>
        <v>0</v>
      </c>
      <c r="AO1625" s="284"/>
    </row>
    <row r="1626" spans="1:41">
      <c r="A1626" s="151" t="s">
        <v>3221</v>
      </c>
      <c r="B1626" s="85">
        <v>-28</v>
      </c>
      <c r="C1626" s="85">
        <v>-66</v>
      </c>
      <c r="D1626" s="85">
        <v>49</v>
      </c>
      <c r="E1626" s="85">
        <v>75</v>
      </c>
      <c r="F1626" s="100">
        <v>9.26</v>
      </c>
      <c r="G1626" s="85">
        <v>6024</v>
      </c>
      <c r="H1626" s="11" t="s">
        <v>553</v>
      </c>
      <c r="I1626" s="23" t="s">
        <v>613</v>
      </c>
      <c r="J1626" s="371">
        <v>68.69</v>
      </c>
      <c r="K1626" s="371">
        <v>2.29</v>
      </c>
      <c r="L1626" s="77">
        <v>1.08</v>
      </c>
      <c r="N1626" s="365">
        <f t="shared" si="468"/>
        <v>72.06</v>
      </c>
      <c r="O1626" s="343">
        <f t="shared" si="459"/>
        <v>68.69</v>
      </c>
      <c r="P1626" s="195" t="s">
        <v>5554</v>
      </c>
      <c r="Q1626" s="326" t="str">
        <f>IFERROR(VLOOKUP($G1626,主力整理!$A$2:$G$2301,6,0),"0")</f>
        <v>0</v>
      </c>
      <c r="T1626" s="339">
        <f t="shared" si="460"/>
        <v>0</v>
      </c>
      <c r="V1626" s="371">
        <v>58</v>
      </c>
      <c r="W1626" s="35">
        <v>2.87</v>
      </c>
      <c r="X1626" s="59">
        <v>3.1</v>
      </c>
      <c r="Y1626" s="37" t="str">
        <f>RTD("money.excel",,"6024","Price")</f>
        <v>無資料</v>
      </c>
      <c r="Z1626" s="69"/>
      <c r="AA1626" s="16" t="e">
        <f t="shared" si="461"/>
        <v>#VALUE!</v>
      </c>
      <c r="AB1626" s="3" t="e">
        <f t="shared" si="462"/>
        <v>#VALUE!</v>
      </c>
      <c r="AD1626" s="23" t="s">
        <v>613</v>
      </c>
      <c r="AG1626" s="34">
        <f t="shared" si="463"/>
        <v>0</v>
      </c>
      <c r="AH1626" s="63" t="s">
        <v>4105</v>
      </c>
      <c r="AI1626" s="131"/>
      <c r="AK1626" s="66">
        <f t="shared" si="466"/>
        <v>0</v>
      </c>
      <c r="AL1626" s="174">
        <f t="shared" si="467"/>
        <v>0</v>
      </c>
      <c r="AM1626" s="346">
        <f>RTD("money.excel",,$G1626,"PredictVolume")</f>
        <v>0</v>
      </c>
      <c r="AN1626" s="272">
        <f>RTD("money.excel",,$G1626,"CumulativeVolume")</f>
        <v>0</v>
      </c>
      <c r="AO1626" s="284"/>
    </row>
    <row r="1627" spans="1:41">
      <c r="A1627" s="135" t="s">
        <v>3623</v>
      </c>
      <c r="B1627" s="84">
        <v>672</v>
      </c>
      <c r="C1627" s="84">
        <v>665</v>
      </c>
      <c r="D1627" s="246">
        <v>11385</v>
      </c>
      <c r="E1627" s="84">
        <v>373</v>
      </c>
      <c r="F1627" s="59">
        <v>70.12</v>
      </c>
      <c r="G1627" s="85">
        <v>6026</v>
      </c>
      <c r="H1627" s="11" t="s">
        <v>553</v>
      </c>
      <c r="I1627" s="17" t="s">
        <v>620</v>
      </c>
      <c r="J1627" s="77">
        <v>43</v>
      </c>
      <c r="K1627" s="77">
        <v>2.44</v>
      </c>
      <c r="L1627" s="371">
        <v>19.05</v>
      </c>
      <c r="N1627" s="365">
        <f t="shared" si="468"/>
        <v>64.489999999999995</v>
      </c>
      <c r="O1627" s="343">
        <f t="shared" si="459"/>
        <v>43</v>
      </c>
      <c r="P1627" s="195">
        <v>1</v>
      </c>
      <c r="Q1627" s="326">
        <v>3</v>
      </c>
      <c r="R1627" s="111">
        <v>4</v>
      </c>
      <c r="S1627" s="51">
        <v>0</v>
      </c>
      <c r="T1627" s="339">
        <f t="shared" si="460"/>
        <v>8</v>
      </c>
      <c r="V1627" s="371">
        <v>1.46</v>
      </c>
      <c r="W1627" s="35">
        <v>0.7</v>
      </c>
      <c r="X1627" s="100">
        <v>3.6</v>
      </c>
      <c r="Y1627" s="37" t="str">
        <f>RTD("money.excel",,"6026","Price")</f>
        <v>無資料</v>
      </c>
      <c r="Z1627" s="69"/>
      <c r="AA1627" s="16" t="e">
        <f t="shared" si="461"/>
        <v>#VALUE!</v>
      </c>
      <c r="AB1627" s="3" t="e">
        <f t="shared" si="462"/>
        <v>#VALUE!</v>
      </c>
      <c r="AC1627" s="177" t="s">
        <v>2648</v>
      </c>
      <c r="AD1627" s="17" t="s">
        <v>620</v>
      </c>
      <c r="AG1627" s="34">
        <f t="shared" si="463"/>
        <v>0</v>
      </c>
      <c r="AH1627" s="63" t="s">
        <v>3505</v>
      </c>
      <c r="AI1627" s="131"/>
      <c r="AK1627" s="66">
        <f t="shared" si="466"/>
        <v>0</v>
      </c>
      <c r="AL1627" s="174">
        <f t="shared" si="467"/>
        <v>0</v>
      </c>
      <c r="AM1627" s="346">
        <f>RTD("money.excel",,$G1627,"PredictVolume")</f>
        <v>0</v>
      </c>
      <c r="AN1627" s="272">
        <f>RTD("money.excel",,$G1627,"CumulativeVolume")</f>
        <v>0</v>
      </c>
      <c r="AO1627" s="284"/>
    </row>
    <row r="1628" spans="1:41">
      <c r="B1628" s="84"/>
      <c r="C1628" s="84"/>
      <c r="D1628" s="246"/>
      <c r="E1628" s="84"/>
      <c r="F1628" s="59"/>
      <c r="G1628" s="85"/>
      <c r="H1628" s="11"/>
      <c r="I1628" s="17"/>
      <c r="J1628" s="77"/>
      <c r="K1628" s="77"/>
      <c r="L1628" s="371"/>
      <c r="N1628" s="365"/>
      <c r="O1628" s="343"/>
      <c r="P1628" s="195"/>
      <c r="W1628" s="35"/>
      <c r="X1628" s="100"/>
      <c r="Y1628" s="37"/>
      <c r="Z1628" s="69"/>
      <c r="AA1628" s="16"/>
      <c r="AB1628" s="3"/>
      <c r="AD1628" s="17"/>
      <c r="AG1628" s="34"/>
      <c r="AH1628" s="63"/>
      <c r="AI1628" s="131"/>
      <c r="AK1628" s="9"/>
      <c r="AL1628" s="5"/>
      <c r="AM1628" s="51"/>
      <c r="AN1628" s="276"/>
      <c r="AO1628" s="284"/>
    </row>
    <row r="1629" spans="1:41">
      <c r="A1629" s="135" t="s">
        <v>2552</v>
      </c>
      <c r="B1629" s="96" t="s">
        <v>2331</v>
      </c>
      <c r="C1629" s="96" t="s">
        <v>2332</v>
      </c>
      <c r="D1629" s="96" t="s">
        <v>2333</v>
      </c>
      <c r="E1629" s="96" t="s">
        <v>2334</v>
      </c>
      <c r="F1629" s="9" t="s">
        <v>1709</v>
      </c>
      <c r="G1629" s="52" t="s">
        <v>1367</v>
      </c>
      <c r="H1629" s="56" t="s">
        <v>578</v>
      </c>
      <c r="I1629" s="9" t="s">
        <v>562</v>
      </c>
      <c r="J1629" s="364" t="s">
        <v>2189</v>
      </c>
      <c r="K1629" s="364" t="s">
        <v>462</v>
      </c>
      <c r="L1629" s="364" t="s">
        <v>515</v>
      </c>
      <c r="M1629" s="364" t="s">
        <v>1699</v>
      </c>
      <c r="N1629" s="364" t="s">
        <v>6604</v>
      </c>
      <c r="O1629" s="343" t="s">
        <v>6620</v>
      </c>
      <c r="P1629" s="83" t="s">
        <v>5279</v>
      </c>
      <c r="Q1629" s="326" t="s">
        <v>5514</v>
      </c>
      <c r="R1629" s="31" t="s">
        <v>6596</v>
      </c>
      <c r="S1629" s="51" t="s">
        <v>6597</v>
      </c>
      <c r="T1629" s="338" t="s">
        <v>5627</v>
      </c>
      <c r="U1629" s="330" t="s">
        <v>6537</v>
      </c>
      <c r="V1629" s="377" t="s">
        <v>6616</v>
      </c>
      <c r="W1629" s="11" t="s">
        <v>127</v>
      </c>
      <c r="X1629" s="71" t="s">
        <v>5216</v>
      </c>
      <c r="Y1629" s="29" t="s">
        <v>3</v>
      </c>
      <c r="Z1629" s="18" t="s">
        <v>2113</v>
      </c>
      <c r="AA1629" s="15" t="s">
        <v>8</v>
      </c>
      <c r="AB1629" s="22" t="s">
        <v>4</v>
      </c>
      <c r="AC1629" s="177" t="s">
        <v>211</v>
      </c>
      <c r="AD1629" s="9" t="s">
        <v>562</v>
      </c>
      <c r="AE1629" s="75" t="s">
        <v>2114</v>
      </c>
      <c r="AF1629" s="76" t="s">
        <v>1826</v>
      </c>
      <c r="AG1629" s="33" t="s">
        <v>1827</v>
      </c>
      <c r="AH1629" s="44"/>
      <c r="AI1629" s="284"/>
      <c r="AK1629" s="9" t="s">
        <v>6666</v>
      </c>
      <c r="AL1629" s="5" t="s">
        <v>6667</v>
      </c>
      <c r="AM1629" s="51" t="s">
        <v>5339</v>
      </c>
      <c r="AN1629" s="276" t="s">
        <v>6665</v>
      </c>
      <c r="AO1629" s="284"/>
    </row>
    <row r="1630" spans="1:41">
      <c r="A1630" s="151" t="s">
        <v>6586</v>
      </c>
      <c r="B1630" s="85">
        <v>-869</v>
      </c>
      <c r="C1630" s="85">
        <v>-383</v>
      </c>
      <c r="D1630" s="84">
        <v>34</v>
      </c>
      <c r="E1630" s="85">
        <v>-18</v>
      </c>
      <c r="F1630" s="7">
        <v>-26.34</v>
      </c>
      <c r="G1630" s="85">
        <v>1432</v>
      </c>
      <c r="H1630" s="4" t="s">
        <v>562</v>
      </c>
      <c r="I1630" s="23" t="s">
        <v>1377</v>
      </c>
      <c r="J1630" s="371">
        <v>58.22</v>
      </c>
      <c r="K1630" s="77">
        <v>0.26</v>
      </c>
      <c r="L1630" s="371">
        <v>0</v>
      </c>
      <c r="N1630" s="365">
        <f t="shared" ref="N1630:N1666" si="469">J1630+K1630+L1630+M1630</f>
        <v>58.48</v>
      </c>
      <c r="O1630" s="343">
        <f t="shared" ref="O1630:O1666" si="470">J1630+M1630</f>
        <v>58.22</v>
      </c>
      <c r="P1630" s="195">
        <v>2</v>
      </c>
      <c r="Q1630" s="326" t="str">
        <f>IFERROR(VLOOKUP($G1630,主力整理!$A$2:$G$2301,6,0),"0")</f>
        <v>0</v>
      </c>
      <c r="R1630" s="111">
        <v>5</v>
      </c>
      <c r="S1630" s="51">
        <v>0</v>
      </c>
      <c r="T1630" s="339">
        <f t="shared" ref="T1630:T1666" si="471">SUM(P1630:S1630)</f>
        <v>7</v>
      </c>
      <c r="V1630" s="371">
        <v>0</v>
      </c>
      <c r="W1630" s="35">
        <v>0</v>
      </c>
      <c r="X1630" s="59">
        <v>-1.79</v>
      </c>
      <c r="Y1630" s="37" t="str">
        <f>RTD("money.excel",,"1432","Price")</f>
        <v>無資料</v>
      </c>
      <c r="Z1630" s="69"/>
      <c r="AA1630" s="16" t="e">
        <f t="shared" ref="AA1630:AA1666" si="472">Y1630-Z1630</f>
        <v>#VALUE!</v>
      </c>
      <c r="AB1630" s="3" t="e">
        <f t="shared" ref="AB1630:AB1666" si="473">AA1630/Z1630</f>
        <v>#VALUE!</v>
      </c>
      <c r="AC1630" s="177" t="s">
        <v>2648</v>
      </c>
      <c r="AD1630" s="23" t="s">
        <v>1377</v>
      </c>
      <c r="AG1630" s="34">
        <f t="shared" ref="AG1630:AG1666" si="474">AF1630-AE1630</f>
        <v>0</v>
      </c>
      <c r="AH1630" s="44" t="s">
        <v>3230</v>
      </c>
      <c r="AI1630" s="131"/>
      <c r="AK1630" s="66">
        <f t="shared" ref="AK1630" si="475">AM1630/(A1630*10000)</f>
        <v>0</v>
      </c>
      <c r="AL1630" s="174">
        <f t="shared" ref="AL1630" si="476">AN1630/(A1630*10000)</f>
        <v>0</v>
      </c>
      <c r="AM1630" s="346">
        <f>RTD("money.excel",,$G1630,"PredictVolume")</f>
        <v>0</v>
      </c>
      <c r="AN1630" s="272">
        <f>RTD("money.excel",,$G1630,"CumulativeVolume")</f>
        <v>0</v>
      </c>
      <c r="AO1630" s="284"/>
    </row>
    <row r="1631" spans="1:41">
      <c r="A1631" s="151" t="s">
        <v>4856</v>
      </c>
      <c r="B1631" s="84">
        <v>-135</v>
      </c>
      <c r="C1631" s="84">
        <v>5</v>
      </c>
      <c r="D1631" s="85">
        <v>-21</v>
      </c>
      <c r="E1631" s="85">
        <v>-2</v>
      </c>
      <c r="F1631" s="7">
        <v>3.39</v>
      </c>
      <c r="G1631" s="85">
        <v>2601</v>
      </c>
      <c r="H1631" s="4" t="s">
        <v>562</v>
      </c>
      <c r="I1631" s="23" t="s">
        <v>529</v>
      </c>
      <c r="J1631" s="371">
        <v>49.57</v>
      </c>
      <c r="K1631" s="371">
        <v>12.13</v>
      </c>
      <c r="L1631" s="371">
        <v>23.84</v>
      </c>
      <c r="N1631" s="365">
        <f t="shared" si="469"/>
        <v>85.54</v>
      </c>
      <c r="O1631" s="343">
        <f t="shared" si="470"/>
        <v>49.57</v>
      </c>
      <c r="P1631" s="195" t="s">
        <v>5554</v>
      </c>
      <c r="Q1631" s="326">
        <f>IFERROR(VLOOKUP($G1631,主力整理!$A$2:$G$2301,6,0),"0")</f>
        <v>5</v>
      </c>
      <c r="T1631" s="339">
        <f t="shared" si="471"/>
        <v>5</v>
      </c>
      <c r="V1631" s="371">
        <v>16.18</v>
      </c>
      <c r="W1631" s="35">
        <v>0</v>
      </c>
      <c r="X1631" s="100">
        <v>-0.44</v>
      </c>
      <c r="Y1631" s="37" t="str">
        <f>RTD("money.excel",,"2601","Price")</f>
        <v>無資料</v>
      </c>
      <c r="Z1631" s="69"/>
      <c r="AA1631" s="16" t="e">
        <f t="shared" si="472"/>
        <v>#VALUE!</v>
      </c>
      <c r="AB1631" s="3" t="e">
        <f t="shared" si="473"/>
        <v>#VALUE!</v>
      </c>
      <c r="AC1631" s="177" t="s">
        <v>2648</v>
      </c>
      <c r="AD1631" s="23" t="s">
        <v>529</v>
      </c>
      <c r="AG1631" s="34">
        <f t="shared" si="474"/>
        <v>0</v>
      </c>
      <c r="AH1631" s="63" t="s">
        <v>3366</v>
      </c>
      <c r="AI1631" s="131"/>
      <c r="AK1631" s="66">
        <f t="shared" ref="AK1631:AK1637" si="477">AM1631/(A1631*10000)</f>
        <v>0</v>
      </c>
      <c r="AL1631" s="174">
        <f t="shared" ref="AL1631:AL1637" si="478">AN1631/(A1631*10000)</f>
        <v>0</v>
      </c>
      <c r="AM1631" s="346">
        <f>RTD("money.excel",,$G1631,"PredictVolume")</f>
        <v>0</v>
      </c>
      <c r="AN1631" s="272">
        <f>RTD("money.excel",,$G1631,"CumulativeVolume")</f>
        <v>0</v>
      </c>
      <c r="AO1631" s="284"/>
    </row>
    <row r="1632" spans="1:41">
      <c r="A1632" s="151" t="s">
        <v>5619</v>
      </c>
      <c r="B1632" s="84">
        <v>89</v>
      </c>
      <c r="C1632" s="84">
        <v>125</v>
      </c>
      <c r="D1632" s="84">
        <v>2</v>
      </c>
      <c r="E1632" s="84">
        <v>19</v>
      </c>
      <c r="F1632" s="7">
        <v>2.74</v>
      </c>
      <c r="G1632" s="85">
        <v>2614</v>
      </c>
      <c r="H1632" s="4" t="s">
        <v>562</v>
      </c>
      <c r="I1632" s="23" t="s">
        <v>1378</v>
      </c>
      <c r="J1632" s="77">
        <v>35.35</v>
      </c>
      <c r="K1632" s="77">
        <v>3.72</v>
      </c>
      <c r="L1632" s="77">
        <v>21.02</v>
      </c>
      <c r="M1632" s="371">
        <v>5.58</v>
      </c>
      <c r="N1632" s="365">
        <f t="shared" si="469"/>
        <v>65.67</v>
      </c>
      <c r="O1632" s="343">
        <f t="shared" si="470"/>
        <v>40.93</v>
      </c>
      <c r="P1632" s="195">
        <v>5</v>
      </c>
      <c r="Q1632" s="326">
        <v>37</v>
      </c>
      <c r="R1632" s="111">
        <v>38</v>
      </c>
      <c r="S1632" s="51">
        <v>41</v>
      </c>
      <c r="T1632" s="339">
        <f t="shared" si="471"/>
        <v>121</v>
      </c>
      <c r="U1632" s="329" t="s">
        <v>6540</v>
      </c>
      <c r="V1632" s="371">
        <v>2.95</v>
      </c>
      <c r="W1632" s="35">
        <v>0.8</v>
      </c>
      <c r="X1632" s="100">
        <v>1.46</v>
      </c>
      <c r="Y1632" s="37" t="str">
        <f>RTD("money.excel",,"2614","Price")</f>
        <v>無資料</v>
      </c>
      <c r="Z1632" s="69"/>
      <c r="AA1632" s="16" t="e">
        <f t="shared" si="472"/>
        <v>#VALUE!</v>
      </c>
      <c r="AB1632" s="3" t="e">
        <f t="shared" si="473"/>
        <v>#VALUE!</v>
      </c>
      <c r="AC1632" s="177" t="s">
        <v>2648</v>
      </c>
      <c r="AD1632" s="23" t="s">
        <v>1378</v>
      </c>
      <c r="AG1632" s="34">
        <f t="shared" si="474"/>
        <v>0</v>
      </c>
      <c r="AH1632" s="44" t="s">
        <v>4469</v>
      </c>
      <c r="AI1632" s="131"/>
      <c r="AK1632" s="66">
        <f t="shared" si="477"/>
        <v>0</v>
      </c>
      <c r="AL1632" s="174">
        <f t="shared" si="478"/>
        <v>0</v>
      </c>
      <c r="AM1632" s="346">
        <f>RTD("money.excel",,$G1632,"PredictVolume")</f>
        <v>0</v>
      </c>
      <c r="AN1632" s="272">
        <f>RTD("money.excel",,$G1632,"CumulativeVolume")</f>
        <v>0</v>
      </c>
      <c r="AO1632" s="284"/>
    </row>
    <row r="1633" spans="1:41">
      <c r="A1633" s="151" t="s">
        <v>3399</v>
      </c>
      <c r="B1633" s="96">
        <v>-48</v>
      </c>
      <c r="C1633" s="96">
        <v>-69</v>
      </c>
      <c r="D1633" s="96">
        <v>-9</v>
      </c>
      <c r="E1633" s="96">
        <v>-19</v>
      </c>
      <c r="F1633" s="7">
        <v>7.42</v>
      </c>
      <c r="G1633" s="85">
        <v>2901</v>
      </c>
      <c r="H1633" s="4" t="s">
        <v>562</v>
      </c>
      <c r="I1633" s="23" t="s">
        <v>1379</v>
      </c>
      <c r="J1633" s="371">
        <v>83.87</v>
      </c>
      <c r="K1633" s="371">
        <v>0.06</v>
      </c>
      <c r="L1633" s="371">
        <v>14.05</v>
      </c>
      <c r="N1633" s="365">
        <f t="shared" si="469"/>
        <v>97.98</v>
      </c>
      <c r="O1633" s="343">
        <f t="shared" si="470"/>
        <v>83.87</v>
      </c>
      <c r="P1633" s="195" t="s">
        <v>5554</v>
      </c>
      <c r="Q1633" s="326" t="str">
        <f>IFERROR(VLOOKUP($G1633,主力整理!$A$2:$G$2301,6,0),"0")</f>
        <v>0</v>
      </c>
      <c r="T1633" s="339">
        <f t="shared" si="471"/>
        <v>0</v>
      </c>
      <c r="V1633" s="371">
        <v>49.4</v>
      </c>
      <c r="W1633" s="35">
        <v>0.18</v>
      </c>
      <c r="X1633" s="100">
        <v>0.19</v>
      </c>
      <c r="Y1633" s="14" t="str">
        <f>RTD("money.excel",,"2901","Price")</f>
        <v>無資料</v>
      </c>
      <c r="Z1633" s="69"/>
      <c r="AA1633" s="16" t="e">
        <f t="shared" si="472"/>
        <v>#VALUE!</v>
      </c>
      <c r="AB1633" s="3" t="e">
        <f t="shared" si="473"/>
        <v>#VALUE!</v>
      </c>
      <c r="AD1633" s="23" t="s">
        <v>1379</v>
      </c>
      <c r="AG1633" s="34">
        <f t="shared" si="474"/>
        <v>0</v>
      </c>
      <c r="AH1633" s="63" t="s">
        <v>4470</v>
      </c>
      <c r="AI1633" s="131"/>
      <c r="AK1633" s="66">
        <f t="shared" si="477"/>
        <v>0</v>
      </c>
      <c r="AL1633" s="174">
        <f t="shared" si="478"/>
        <v>0</v>
      </c>
      <c r="AM1633" s="346">
        <f>RTD("money.excel",,$G1633,"PredictVolume")</f>
        <v>0</v>
      </c>
      <c r="AN1633" s="272">
        <f>RTD("money.excel",,$G1633,"CumulativeVolume")</f>
        <v>0</v>
      </c>
      <c r="AO1633" s="284"/>
    </row>
    <row r="1634" spans="1:41">
      <c r="A1634" s="151" t="s">
        <v>2412</v>
      </c>
      <c r="B1634" s="96">
        <v>16</v>
      </c>
      <c r="C1634" s="96">
        <v>-15</v>
      </c>
      <c r="D1634" s="96">
        <v>-42</v>
      </c>
      <c r="E1634" s="96">
        <v>-3</v>
      </c>
      <c r="F1634" s="7">
        <v>9.42</v>
      </c>
      <c r="G1634" s="85">
        <v>2903</v>
      </c>
      <c r="H1634" s="4" t="s">
        <v>562</v>
      </c>
      <c r="I1634" s="23" t="s">
        <v>1380</v>
      </c>
      <c r="J1634" s="371">
        <v>72.48</v>
      </c>
      <c r="K1634" s="371">
        <v>17.53</v>
      </c>
      <c r="L1634" s="77">
        <v>1.1399999999999999</v>
      </c>
      <c r="N1634" s="365">
        <f t="shared" si="469"/>
        <v>91.15</v>
      </c>
      <c r="O1634" s="343">
        <f t="shared" si="470"/>
        <v>72.48</v>
      </c>
      <c r="P1634" s="195">
        <v>2</v>
      </c>
      <c r="Q1634" s="326">
        <f>IFERROR(VLOOKUP($G1634,主力整理!$A$2:$G$2301,6,0),"0")</f>
        <v>1</v>
      </c>
      <c r="T1634" s="339">
        <f t="shared" si="471"/>
        <v>3</v>
      </c>
      <c r="V1634" s="371">
        <v>23.07</v>
      </c>
      <c r="W1634" s="35">
        <v>1.1000000000000001</v>
      </c>
      <c r="X1634" s="100">
        <v>1.38</v>
      </c>
      <c r="Y1634" s="14" t="str">
        <f>RTD("money.excel",,"2903","Price")</f>
        <v>無資料</v>
      </c>
      <c r="Z1634" s="69"/>
      <c r="AA1634" s="16" t="e">
        <f t="shared" si="472"/>
        <v>#VALUE!</v>
      </c>
      <c r="AB1634" s="3" t="e">
        <f t="shared" si="473"/>
        <v>#VALUE!</v>
      </c>
      <c r="AD1634" s="23" t="s">
        <v>1380</v>
      </c>
      <c r="AG1634" s="34">
        <f t="shared" si="474"/>
        <v>0</v>
      </c>
      <c r="AH1634" s="63" t="s">
        <v>4471</v>
      </c>
      <c r="AI1634" s="131"/>
      <c r="AK1634" s="66">
        <f t="shared" si="477"/>
        <v>0</v>
      </c>
      <c r="AL1634" s="174">
        <f t="shared" si="478"/>
        <v>0</v>
      </c>
      <c r="AM1634" s="346">
        <f>RTD("money.excel",,$G1634,"PredictVolume")</f>
        <v>0</v>
      </c>
      <c r="AN1634" s="272">
        <f>RTD("money.excel",,$G1634,"CumulativeVolume")</f>
        <v>0</v>
      </c>
      <c r="AO1634" s="284"/>
    </row>
    <row r="1635" spans="1:41">
      <c r="A1635" s="151" t="s">
        <v>3186</v>
      </c>
      <c r="B1635" s="95">
        <v>-70</v>
      </c>
      <c r="C1635" s="84">
        <v>14</v>
      </c>
      <c r="D1635" s="84">
        <v>3</v>
      </c>
      <c r="E1635" s="85">
        <v>-24</v>
      </c>
      <c r="F1635" s="7">
        <v>7.53</v>
      </c>
      <c r="G1635" s="85">
        <v>2905</v>
      </c>
      <c r="H1635" s="4" t="s">
        <v>562</v>
      </c>
      <c r="I1635" s="23" t="s">
        <v>174</v>
      </c>
      <c r="J1635" s="77">
        <v>81.08</v>
      </c>
      <c r="K1635" s="371">
        <v>6.75</v>
      </c>
      <c r="L1635" s="371">
        <v>1.42</v>
      </c>
      <c r="N1635" s="365">
        <f t="shared" si="469"/>
        <v>89.25</v>
      </c>
      <c r="O1635" s="343">
        <f t="shared" si="470"/>
        <v>81.08</v>
      </c>
      <c r="P1635" s="195" t="s">
        <v>5554</v>
      </c>
      <c r="Q1635" s="326" t="str">
        <f>IFERROR(VLOOKUP($G1635,主力整理!$A$2:$G$2301,6,0),"0")</f>
        <v>0</v>
      </c>
      <c r="T1635" s="339">
        <f t="shared" si="471"/>
        <v>0</v>
      </c>
      <c r="V1635" s="371">
        <v>0</v>
      </c>
      <c r="W1635" s="35">
        <v>1</v>
      </c>
      <c r="X1635" s="100">
        <v>1.71</v>
      </c>
      <c r="Y1635" s="37" t="str">
        <f>RTD("money.excel",,"2905","Price")</f>
        <v>無資料</v>
      </c>
      <c r="Z1635" s="69"/>
      <c r="AA1635" s="16" t="e">
        <f t="shared" si="472"/>
        <v>#VALUE!</v>
      </c>
      <c r="AB1635" s="3" t="e">
        <f t="shared" si="473"/>
        <v>#VALUE!</v>
      </c>
      <c r="AC1635" s="177" t="s">
        <v>2648</v>
      </c>
      <c r="AD1635" s="23" t="s">
        <v>174</v>
      </c>
      <c r="AG1635" s="34">
        <f t="shared" si="474"/>
        <v>0</v>
      </c>
      <c r="AH1635" s="125" t="s">
        <v>4472</v>
      </c>
      <c r="AI1635" s="131"/>
      <c r="AK1635" s="66">
        <f t="shared" si="477"/>
        <v>0</v>
      </c>
      <c r="AL1635" s="174">
        <f t="shared" si="478"/>
        <v>0</v>
      </c>
      <c r="AM1635" s="346">
        <f>RTD("money.excel",,$G1635,"PredictVolume")</f>
        <v>0</v>
      </c>
      <c r="AN1635" s="272">
        <f>RTD("money.excel",,$G1635,"CumulativeVolume")</f>
        <v>0</v>
      </c>
      <c r="AO1635" s="284"/>
    </row>
    <row r="1636" spans="1:41">
      <c r="A1636" s="151" t="s">
        <v>2662</v>
      </c>
      <c r="B1636" s="85">
        <v>-33</v>
      </c>
      <c r="C1636" s="85">
        <v>-35</v>
      </c>
      <c r="D1636" s="85">
        <v>-4</v>
      </c>
      <c r="E1636" s="85">
        <v>-5</v>
      </c>
      <c r="F1636" s="7">
        <v>2.4500000000000002</v>
      </c>
      <c r="G1636" s="85">
        <v>2906</v>
      </c>
      <c r="H1636" s="4" t="s">
        <v>562</v>
      </c>
      <c r="I1636" s="23" t="s">
        <v>1381</v>
      </c>
      <c r="J1636" s="371">
        <v>66.36</v>
      </c>
      <c r="K1636" s="371">
        <v>5.19</v>
      </c>
      <c r="L1636" s="371">
        <v>3.28</v>
      </c>
      <c r="N1636" s="365">
        <f t="shared" si="469"/>
        <v>74.83</v>
      </c>
      <c r="O1636" s="343">
        <f t="shared" si="470"/>
        <v>66.36</v>
      </c>
      <c r="P1636" s="195" t="s">
        <v>5554</v>
      </c>
      <c r="Q1636" s="326" t="str">
        <f>IFERROR(VLOOKUP($G1636,主力整理!$A$2:$G$2301,6,0),"0")</f>
        <v>0</v>
      </c>
      <c r="T1636" s="339">
        <f t="shared" si="471"/>
        <v>0</v>
      </c>
      <c r="V1636" s="371">
        <v>0</v>
      </c>
      <c r="W1636" s="35">
        <v>0.3</v>
      </c>
      <c r="X1636" s="100">
        <v>0.15</v>
      </c>
      <c r="Y1636" s="37" t="str">
        <f>RTD("money.excel",,"2906","Price")</f>
        <v>無資料</v>
      </c>
      <c r="Z1636" s="69"/>
      <c r="AA1636" s="16" t="e">
        <f t="shared" si="472"/>
        <v>#VALUE!</v>
      </c>
      <c r="AB1636" s="3" t="e">
        <f t="shared" si="473"/>
        <v>#VALUE!</v>
      </c>
      <c r="AD1636" s="23" t="s">
        <v>1381</v>
      </c>
      <c r="AG1636" s="34">
        <f t="shared" si="474"/>
        <v>0</v>
      </c>
      <c r="AH1636" s="44" t="s">
        <v>3282</v>
      </c>
      <c r="AI1636" s="131"/>
      <c r="AK1636" s="66">
        <f t="shared" si="477"/>
        <v>0</v>
      </c>
      <c r="AL1636" s="174">
        <f t="shared" si="478"/>
        <v>0</v>
      </c>
      <c r="AM1636" s="346">
        <f>RTD("money.excel",,$G1636,"PredictVolume")</f>
        <v>0</v>
      </c>
      <c r="AN1636" s="272">
        <f>RTD("money.excel",,$G1636,"CumulativeVolume")</f>
        <v>0</v>
      </c>
      <c r="AO1636" s="284"/>
    </row>
    <row r="1637" spans="1:41">
      <c r="A1637" s="151" t="s">
        <v>2769</v>
      </c>
      <c r="B1637" s="85">
        <v>-29</v>
      </c>
      <c r="C1637" s="85">
        <v>-32</v>
      </c>
      <c r="D1637" s="85">
        <v>-3</v>
      </c>
      <c r="E1637" s="85">
        <v>11</v>
      </c>
      <c r="F1637" s="7">
        <v>2.29</v>
      </c>
      <c r="G1637" s="85">
        <v>2908</v>
      </c>
      <c r="H1637" s="4" t="s">
        <v>562</v>
      </c>
      <c r="I1637" s="23" t="s">
        <v>1382</v>
      </c>
      <c r="J1637" s="371">
        <v>87.93</v>
      </c>
      <c r="K1637" s="371">
        <v>7.77</v>
      </c>
      <c r="L1637" s="77">
        <v>7.46</v>
      </c>
      <c r="N1637" s="365">
        <f t="shared" si="469"/>
        <v>103.16</v>
      </c>
      <c r="O1637" s="343">
        <f t="shared" si="470"/>
        <v>87.93</v>
      </c>
      <c r="P1637" s="195" t="s">
        <v>5554</v>
      </c>
      <c r="Q1637" s="326" t="str">
        <f>IFERROR(VLOOKUP($G1637,主力整理!$A$2:$G$2301,6,0),"0")</f>
        <v>0</v>
      </c>
      <c r="T1637" s="339">
        <f t="shared" si="471"/>
        <v>0</v>
      </c>
      <c r="V1637" s="371">
        <v>13.64</v>
      </c>
      <c r="W1637" s="35">
        <v>1.07</v>
      </c>
      <c r="X1637" s="100">
        <v>1.6</v>
      </c>
      <c r="Y1637" s="37" t="str">
        <f>RTD("money.excel",,"2908","Price")</f>
        <v>無資料</v>
      </c>
      <c r="Z1637" s="69"/>
      <c r="AA1637" s="16" t="e">
        <f t="shared" si="472"/>
        <v>#VALUE!</v>
      </c>
      <c r="AB1637" s="3" t="e">
        <f t="shared" si="473"/>
        <v>#VALUE!</v>
      </c>
      <c r="AC1637" s="177" t="s">
        <v>2648</v>
      </c>
      <c r="AD1637" s="23" t="s">
        <v>1382</v>
      </c>
      <c r="AG1637" s="34">
        <f t="shared" si="474"/>
        <v>0</v>
      </c>
      <c r="AH1637" s="44" t="s">
        <v>4473</v>
      </c>
      <c r="AI1637" s="131"/>
      <c r="AK1637" s="66">
        <f t="shared" si="477"/>
        <v>0</v>
      </c>
      <c r="AL1637" s="174">
        <f t="shared" si="478"/>
        <v>0</v>
      </c>
      <c r="AM1637" s="346">
        <f>RTD("money.excel",,$G1637,"PredictVolume")</f>
        <v>0</v>
      </c>
      <c r="AN1637" s="272">
        <f>RTD("money.excel",,$G1637,"CumulativeVolume")</f>
        <v>0</v>
      </c>
      <c r="AO1637" s="284"/>
    </row>
    <row r="1638" spans="1:41">
      <c r="A1638" s="135" t="s">
        <v>2495</v>
      </c>
      <c r="B1638" s="96">
        <v>-16</v>
      </c>
      <c r="C1638" s="96">
        <v>63</v>
      </c>
      <c r="D1638" s="96">
        <v>-19</v>
      </c>
      <c r="E1638" s="96">
        <v>6</v>
      </c>
      <c r="F1638" s="59">
        <v>32.840000000000003</v>
      </c>
      <c r="G1638" s="85">
        <v>2910</v>
      </c>
      <c r="H1638" s="4" t="s">
        <v>562</v>
      </c>
      <c r="I1638" s="23" t="s">
        <v>1383</v>
      </c>
      <c r="J1638" s="77">
        <v>98.18</v>
      </c>
      <c r="K1638" s="77">
        <v>0.06</v>
      </c>
      <c r="L1638" s="77">
        <v>0.12</v>
      </c>
      <c r="N1638" s="365">
        <f t="shared" si="469"/>
        <v>98.360000000000014</v>
      </c>
      <c r="O1638" s="343">
        <f t="shared" si="470"/>
        <v>98.18</v>
      </c>
      <c r="P1638" s="195" t="s">
        <v>5554</v>
      </c>
      <c r="Q1638" s="326" t="str">
        <f>IFERROR(VLOOKUP($G1638,主力整理!$A$2:$G$2301,6,0),"0")</f>
        <v>0</v>
      </c>
      <c r="T1638" s="339">
        <f t="shared" si="471"/>
        <v>0</v>
      </c>
      <c r="V1638" s="371">
        <v>42.16</v>
      </c>
      <c r="W1638" s="35">
        <v>0.5</v>
      </c>
      <c r="X1638" s="100">
        <v>0.65</v>
      </c>
      <c r="Y1638" s="14" t="str">
        <f>RTD("money.excel",,"2910","Price")</f>
        <v>無資料</v>
      </c>
      <c r="Z1638" s="69"/>
      <c r="AA1638" s="16" t="e">
        <f t="shared" si="472"/>
        <v>#VALUE!</v>
      </c>
      <c r="AB1638" s="3" t="e">
        <f t="shared" si="473"/>
        <v>#VALUE!</v>
      </c>
      <c r="AD1638" s="23" t="s">
        <v>1383</v>
      </c>
      <c r="AG1638" s="34">
        <f t="shared" si="474"/>
        <v>0</v>
      </c>
      <c r="AH1638" s="63" t="s">
        <v>4474</v>
      </c>
      <c r="AK1638" s="66">
        <f t="shared" ref="AK1638:AK1666" si="479">AM1638/(A1638*10000)</f>
        <v>0</v>
      </c>
      <c r="AL1638" s="174">
        <f t="shared" ref="AL1638:AL1666" si="480">AN1638/(A1638*10000)</f>
        <v>0</v>
      </c>
      <c r="AM1638" s="346">
        <f>RTD("money.excel",,$G1638,"PredictVolume")</f>
        <v>0</v>
      </c>
      <c r="AN1638" s="272">
        <f>RTD("money.excel",,$G1638,"CumulativeVolume")</f>
        <v>0</v>
      </c>
    </row>
    <row r="1639" spans="1:41">
      <c r="A1639" s="151" t="s">
        <v>2913</v>
      </c>
      <c r="B1639" s="96">
        <v>4</v>
      </c>
      <c r="C1639" s="96">
        <v>18</v>
      </c>
      <c r="D1639" s="96">
        <v>3</v>
      </c>
      <c r="E1639" s="96">
        <v>-10</v>
      </c>
      <c r="F1639" s="7">
        <v>-10.24</v>
      </c>
      <c r="G1639" s="85">
        <v>2911</v>
      </c>
      <c r="H1639" s="4" t="s">
        <v>562</v>
      </c>
      <c r="I1639" s="23" t="s">
        <v>1384</v>
      </c>
      <c r="J1639" s="77">
        <v>53.02</v>
      </c>
      <c r="K1639" s="77">
        <v>16.86</v>
      </c>
      <c r="L1639" s="77">
        <v>4.0999999999999996</v>
      </c>
      <c r="N1639" s="365">
        <f t="shared" si="469"/>
        <v>73.97999999999999</v>
      </c>
      <c r="O1639" s="343">
        <f t="shared" si="470"/>
        <v>53.02</v>
      </c>
      <c r="P1639" s="195" t="s">
        <v>5554</v>
      </c>
      <c r="Q1639" s="326" t="str">
        <f>IFERROR(VLOOKUP($G1639,主力整理!$A$2:$G$2301,6,0),"0")</f>
        <v>0</v>
      </c>
      <c r="T1639" s="339">
        <f t="shared" si="471"/>
        <v>0</v>
      </c>
      <c r="V1639" s="371">
        <v>18.489999999999998</v>
      </c>
      <c r="W1639" s="35">
        <v>0</v>
      </c>
      <c r="X1639" s="100">
        <v>-1.72</v>
      </c>
      <c r="Y1639" s="14" t="str">
        <f>RTD("money.excel",,"2911","Price")</f>
        <v>無資料</v>
      </c>
      <c r="Z1639" s="69"/>
      <c r="AA1639" s="16" t="e">
        <f t="shared" si="472"/>
        <v>#VALUE!</v>
      </c>
      <c r="AB1639" s="3" t="e">
        <f t="shared" si="473"/>
        <v>#VALUE!</v>
      </c>
      <c r="AD1639" s="23" t="s">
        <v>1384</v>
      </c>
      <c r="AG1639" s="34">
        <f t="shared" si="474"/>
        <v>0</v>
      </c>
      <c r="AH1639" s="44" t="s">
        <v>2280</v>
      </c>
      <c r="AK1639" s="66">
        <f t="shared" si="479"/>
        <v>0</v>
      </c>
      <c r="AL1639" s="174">
        <f t="shared" si="480"/>
        <v>0</v>
      </c>
      <c r="AM1639" s="346">
        <f>RTD("money.excel",,$G1639,"PredictVolume")</f>
        <v>0</v>
      </c>
      <c r="AN1639" s="272">
        <f>RTD("money.excel",,$G1639,"CumulativeVolume")</f>
        <v>0</v>
      </c>
    </row>
    <row r="1640" spans="1:41">
      <c r="A1640" s="151" t="s">
        <v>2480</v>
      </c>
      <c r="B1640" s="84">
        <v>3</v>
      </c>
      <c r="C1640" s="85">
        <v>-1</v>
      </c>
      <c r="D1640" s="85">
        <v>-4</v>
      </c>
      <c r="E1640" s="84">
        <v>11</v>
      </c>
      <c r="F1640" s="7">
        <v>4.8499999999999996</v>
      </c>
      <c r="G1640" s="85">
        <v>2912</v>
      </c>
      <c r="H1640" s="4" t="s">
        <v>562</v>
      </c>
      <c r="I1640" s="23" t="s">
        <v>489</v>
      </c>
      <c r="J1640" s="77">
        <v>82.85</v>
      </c>
      <c r="K1640" s="371">
        <v>32.07</v>
      </c>
      <c r="L1640" s="371">
        <v>0.17</v>
      </c>
      <c r="N1640" s="365">
        <f t="shared" si="469"/>
        <v>115.08999999999999</v>
      </c>
      <c r="O1640" s="343">
        <f t="shared" si="470"/>
        <v>82.85</v>
      </c>
      <c r="P1640" s="195">
        <v>7</v>
      </c>
      <c r="Q1640" s="326">
        <f>IFERROR(VLOOKUP($G1640,主力整理!$A$2:$G$2301,6,0),"0")</f>
        <v>4</v>
      </c>
      <c r="T1640" s="339">
        <f t="shared" si="471"/>
        <v>11</v>
      </c>
      <c r="V1640" s="371">
        <v>0</v>
      </c>
      <c r="W1640" s="69">
        <v>9</v>
      </c>
      <c r="X1640" s="59">
        <v>10</v>
      </c>
      <c r="Y1640" s="37" t="str">
        <f>RTD("money.excel",,"2912","Price")</f>
        <v>無資料</v>
      </c>
      <c r="Z1640" s="69"/>
      <c r="AA1640" s="16" t="e">
        <f t="shared" si="472"/>
        <v>#VALUE!</v>
      </c>
      <c r="AB1640" s="3" t="e">
        <f t="shared" si="473"/>
        <v>#VALUE!</v>
      </c>
      <c r="AC1640" s="177" t="s">
        <v>2929</v>
      </c>
      <c r="AD1640" s="23" t="s">
        <v>489</v>
      </c>
      <c r="AG1640" s="34">
        <f t="shared" si="474"/>
        <v>0</v>
      </c>
      <c r="AH1640" s="125" t="s">
        <v>4475</v>
      </c>
      <c r="AI1640" s="131"/>
      <c r="AK1640" s="66">
        <f t="shared" si="479"/>
        <v>0</v>
      </c>
      <c r="AL1640" s="174">
        <f t="shared" si="480"/>
        <v>0</v>
      </c>
      <c r="AM1640" s="346">
        <f>RTD("money.excel",,$G1640,"PredictVolume")</f>
        <v>0</v>
      </c>
      <c r="AN1640" s="272">
        <f>RTD("money.excel",,$G1640,"CumulativeVolume")</f>
        <v>0</v>
      </c>
      <c r="AO1640" s="284"/>
    </row>
    <row r="1641" spans="1:41">
      <c r="A1641" s="151" t="s">
        <v>3214</v>
      </c>
      <c r="B1641" s="99">
        <v>-2176</v>
      </c>
      <c r="C1641" s="84">
        <v>16</v>
      </c>
      <c r="D1641" s="85">
        <v>-12</v>
      </c>
      <c r="E1641" s="84">
        <v>20</v>
      </c>
      <c r="F1641" s="7">
        <v>-47.72</v>
      </c>
      <c r="G1641" s="85">
        <v>2913</v>
      </c>
      <c r="H1641" s="4" t="s">
        <v>562</v>
      </c>
      <c r="I1641" s="23" t="s">
        <v>1385</v>
      </c>
      <c r="J1641" s="77">
        <v>65.3</v>
      </c>
      <c r="K1641" s="77">
        <v>11.08</v>
      </c>
      <c r="L1641" s="77">
        <v>4.3600000000000003</v>
      </c>
      <c r="N1641" s="365">
        <f t="shared" si="469"/>
        <v>80.739999999999995</v>
      </c>
      <c r="O1641" s="343">
        <f t="shared" si="470"/>
        <v>65.3</v>
      </c>
      <c r="P1641" s="195">
        <v>1</v>
      </c>
      <c r="Q1641" s="326">
        <f>IFERROR(VLOOKUP($G1641,主力整理!$A$2:$G$2301,6,0),"0")</f>
        <v>3</v>
      </c>
      <c r="T1641" s="339">
        <f t="shared" si="471"/>
        <v>4</v>
      </c>
      <c r="V1641" s="371">
        <v>0.02</v>
      </c>
      <c r="W1641" s="35">
        <v>0</v>
      </c>
      <c r="X1641" s="100">
        <v>-0.02</v>
      </c>
      <c r="Y1641" s="37" t="str">
        <f>RTD("money.excel",,"2913","Price")</f>
        <v>無資料</v>
      </c>
      <c r="Z1641" s="69"/>
      <c r="AA1641" s="16" t="e">
        <f t="shared" si="472"/>
        <v>#VALUE!</v>
      </c>
      <c r="AB1641" s="3" t="e">
        <f t="shared" si="473"/>
        <v>#VALUE!</v>
      </c>
      <c r="AC1641" s="177" t="s">
        <v>2648</v>
      </c>
      <c r="AD1641" s="23" t="s">
        <v>1385</v>
      </c>
      <c r="AG1641" s="34">
        <f t="shared" si="474"/>
        <v>0</v>
      </c>
      <c r="AH1641" s="44" t="s">
        <v>3481</v>
      </c>
      <c r="AI1641" s="131"/>
      <c r="AK1641" s="66">
        <f t="shared" si="479"/>
        <v>0</v>
      </c>
      <c r="AL1641" s="174">
        <f t="shared" si="480"/>
        <v>0</v>
      </c>
      <c r="AM1641" s="346">
        <f>RTD("money.excel",,$G1641,"PredictVolume")</f>
        <v>0</v>
      </c>
      <c r="AN1641" s="272">
        <f>RTD("money.excel",,$G1641,"CumulativeVolume")</f>
        <v>0</v>
      </c>
      <c r="AO1641" s="284"/>
    </row>
    <row r="1642" spans="1:41">
      <c r="A1642" s="151" t="s">
        <v>6390</v>
      </c>
      <c r="B1642" s="85">
        <v>141</v>
      </c>
      <c r="C1642" s="85">
        <v>-139</v>
      </c>
      <c r="D1642" s="85">
        <v>-41</v>
      </c>
      <c r="E1642" s="84">
        <v>24</v>
      </c>
      <c r="F1642" s="7">
        <v>-4.13</v>
      </c>
      <c r="G1642" s="85">
        <v>2915</v>
      </c>
      <c r="H1642" s="4" t="s">
        <v>562</v>
      </c>
      <c r="I1642" s="23" t="s">
        <v>51</v>
      </c>
      <c r="J1642" s="371">
        <v>62.23</v>
      </c>
      <c r="K1642" s="371">
        <v>17.420000000000002</v>
      </c>
      <c r="L1642" s="371">
        <v>5.26</v>
      </c>
      <c r="N1642" s="365">
        <f t="shared" si="469"/>
        <v>84.910000000000011</v>
      </c>
      <c r="O1642" s="343">
        <f t="shared" si="470"/>
        <v>62.23</v>
      </c>
      <c r="P1642" s="195">
        <v>5</v>
      </c>
      <c r="Q1642" s="326">
        <v>5</v>
      </c>
      <c r="R1642" s="111">
        <v>1</v>
      </c>
      <c r="S1642" s="51">
        <v>7</v>
      </c>
      <c r="T1642" s="339">
        <f t="shared" si="471"/>
        <v>18</v>
      </c>
      <c r="V1642" s="371">
        <v>38.159999999999997</v>
      </c>
      <c r="W1642" s="69">
        <v>5</v>
      </c>
      <c r="X1642" s="59">
        <v>26.39</v>
      </c>
      <c r="Y1642" s="37" t="str">
        <f>RTD("money.excel",,"2915","Price")</f>
        <v>無資料</v>
      </c>
      <c r="Z1642" s="69"/>
      <c r="AA1642" s="16" t="e">
        <f t="shared" si="472"/>
        <v>#VALUE!</v>
      </c>
      <c r="AB1642" s="3" t="e">
        <f t="shared" si="473"/>
        <v>#VALUE!</v>
      </c>
      <c r="AC1642" s="177" t="s">
        <v>2929</v>
      </c>
      <c r="AD1642" s="23" t="s">
        <v>51</v>
      </c>
      <c r="AG1642" s="34">
        <f t="shared" si="474"/>
        <v>0</v>
      </c>
      <c r="AH1642" s="125" t="s">
        <v>3281</v>
      </c>
      <c r="AI1642" s="131"/>
      <c r="AK1642" s="66">
        <f t="shared" si="479"/>
        <v>0</v>
      </c>
      <c r="AL1642" s="174">
        <f t="shared" si="480"/>
        <v>0</v>
      </c>
      <c r="AM1642" s="346">
        <f>RTD("money.excel",,$G1642,"PredictVolume")</f>
        <v>0</v>
      </c>
      <c r="AN1642" s="272">
        <f>RTD("money.excel",,$G1642,"CumulativeVolume")</f>
        <v>0</v>
      </c>
      <c r="AO1642" s="284"/>
    </row>
    <row r="1643" spans="1:41">
      <c r="A1643" s="151" t="s">
        <v>4740</v>
      </c>
      <c r="B1643" s="96">
        <v>-51</v>
      </c>
      <c r="C1643" s="96">
        <v>-2</v>
      </c>
      <c r="D1643" s="96">
        <v>10</v>
      </c>
      <c r="E1643" s="96">
        <v>-4</v>
      </c>
      <c r="F1643" s="7">
        <v>1.1000000000000001</v>
      </c>
      <c r="G1643" s="85">
        <v>2916</v>
      </c>
      <c r="H1643" s="4" t="s">
        <v>562</v>
      </c>
      <c r="I1643" s="17" t="s">
        <v>1368</v>
      </c>
      <c r="J1643" s="77">
        <v>76.28</v>
      </c>
      <c r="K1643" s="77">
        <v>21.22</v>
      </c>
      <c r="L1643" s="77">
        <v>0.48</v>
      </c>
      <c r="N1643" s="365">
        <f t="shared" si="469"/>
        <v>97.98</v>
      </c>
      <c r="O1643" s="343">
        <f t="shared" si="470"/>
        <v>76.28</v>
      </c>
      <c r="P1643" s="195" t="s">
        <v>5554</v>
      </c>
      <c r="Q1643" s="326" t="str">
        <f>IFERROR(VLOOKUP($G1643,主力整理!$A$2:$G$2301,6,0),"0")</f>
        <v>0</v>
      </c>
      <c r="T1643" s="339">
        <f t="shared" si="471"/>
        <v>0</v>
      </c>
      <c r="V1643" s="371">
        <v>44.93</v>
      </c>
      <c r="W1643" s="35">
        <v>1.5</v>
      </c>
      <c r="X1643" s="100">
        <v>1.61</v>
      </c>
      <c r="Y1643" s="14" t="str">
        <f>RTD("money.excel",,"2916","Price")</f>
        <v>無資料</v>
      </c>
      <c r="Z1643" s="69"/>
      <c r="AA1643" s="16" t="e">
        <f t="shared" si="472"/>
        <v>#VALUE!</v>
      </c>
      <c r="AB1643" s="3" t="e">
        <f t="shared" si="473"/>
        <v>#VALUE!</v>
      </c>
      <c r="AD1643" s="17" t="s">
        <v>1368</v>
      </c>
      <c r="AG1643" s="34">
        <f t="shared" si="474"/>
        <v>0</v>
      </c>
      <c r="AH1643" s="44" t="s">
        <v>4171</v>
      </c>
      <c r="AI1643" s="131"/>
      <c r="AK1643" s="66">
        <f t="shared" si="479"/>
        <v>0</v>
      </c>
      <c r="AL1643" s="174">
        <f t="shared" si="480"/>
        <v>0</v>
      </c>
      <c r="AM1643" s="346">
        <f>RTD("money.excel",,$G1643,"PredictVolume")</f>
        <v>0</v>
      </c>
      <c r="AN1643" s="272">
        <f>RTD("money.excel",,$G1643,"CumulativeVolume")</f>
        <v>0</v>
      </c>
      <c r="AO1643" s="284"/>
    </row>
    <row r="1644" spans="1:41">
      <c r="A1644" s="151" t="s">
        <v>2529</v>
      </c>
      <c r="B1644" s="96">
        <v>27</v>
      </c>
      <c r="C1644" s="96">
        <v>26</v>
      </c>
      <c r="D1644" s="96">
        <v>-14</v>
      </c>
      <c r="E1644" s="96">
        <v>-39</v>
      </c>
      <c r="F1644" s="7">
        <v>-19.55</v>
      </c>
      <c r="G1644" s="85">
        <v>2924</v>
      </c>
      <c r="H1644" s="4" t="s">
        <v>562</v>
      </c>
      <c r="I1644" s="17" t="s">
        <v>1369</v>
      </c>
      <c r="J1644" s="77">
        <v>80.08</v>
      </c>
      <c r="K1644" s="77">
        <v>49.87</v>
      </c>
      <c r="L1644" s="77">
        <v>7.0000000000000007E-2</v>
      </c>
      <c r="N1644" s="365">
        <f t="shared" si="469"/>
        <v>130.01999999999998</v>
      </c>
      <c r="O1644" s="343">
        <f t="shared" si="470"/>
        <v>80.08</v>
      </c>
      <c r="P1644" s="195" t="s">
        <v>5554</v>
      </c>
      <c r="Q1644" s="326" t="str">
        <f>IFERROR(VLOOKUP($G1644,主力整理!$A$2:$G$2301,6,0),"0")</f>
        <v>0</v>
      </c>
      <c r="T1644" s="339">
        <f t="shared" si="471"/>
        <v>0</v>
      </c>
      <c r="V1644" s="371">
        <v>39.89</v>
      </c>
      <c r="W1644" s="35">
        <v>0</v>
      </c>
      <c r="X1644" s="59">
        <v>-3.79</v>
      </c>
      <c r="Y1644" s="14" t="str">
        <f>RTD("money.excel",,"2924","Price")</f>
        <v>無資料</v>
      </c>
      <c r="Z1644" s="69"/>
      <c r="AA1644" s="16" t="e">
        <f t="shared" si="472"/>
        <v>#VALUE!</v>
      </c>
      <c r="AB1644" s="3" t="e">
        <f t="shared" si="473"/>
        <v>#VALUE!</v>
      </c>
      <c r="AD1644" s="17" t="s">
        <v>1369</v>
      </c>
      <c r="AG1644" s="34">
        <f t="shared" si="474"/>
        <v>0</v>
      </c>
      <c r="AH1644" s="44" t="s">
        <v>4172</v>
      </c>
      <c r="AI1644" s="284"/>
      <c r="AK1644" s="66">
        <f t="shared" si="479"/>
        <v>0</v>
      </c>
      <c r="AL1644" s="174">
        <f t="shared" si="480"/>
        <v>0</v>
      </c>
      <c r="AM1644" s="346">
        <f>RTD("money.excel",,$G1644,"PredictVolume")</f>
        <v>0</v>
      </c>
      <c r="AN1644" s="272">
        <f>RTD("money.excel",,$G1644,"CumulativeVolume")</f>
        <v>0</v>
      </c>
      <c r="AO1644" s="284"/>
    </row>
    <row r="1645" spans="1:41">
      <c r="A1645" s="151" t="s">
        <v>4857</v>
      </c>
      <c r="B1645" s="96">
        <v>439</v>
      </c>
      <c r="C1645" s="96">
        <v>703</v>
      </c>
      <c r="D1645" s="96">
        <v>2</v>
      </c>
      <c r="E1645" s="96">
        <v>-16</v>
      </c>
      <c r="F1645" s="7">
        <v>-0.87</v>
      </c>
      <c r="G1645" s="85">
        <v>2936</v>
      </c>
      <c r="H1645" s="4" t="s">
        <v>562</v>
      </c>
      <c r="I1645" s="23" t="s">
        <v>1782</v>
      </c>
      <c r="J1645" s="77">
        <v>89.39</v>
      </c>
      <c r="K1645" s="77">
        <v>87.48</v>
      </c>
      <c r="L1645" s="77">
        <v>1.17</v>
      </c>
      <c r="N1645" s="365">
        <f t="shared" si="469"/>
        <v>178.04</v>
      </c>
      <c r="O1645" s="343">
        <f t="shared" si="470"/>
        <v>89.39</v>
      </c>
      <c r="P1645" s="195" t="s">
        <v>5554</v>
      </c>
      <c r="Q1645" s="326" t="str">
        <f>IFERROR(VLOOKUP($G1645,主力整理!$A$2:$G$2301,6,0),"0")</f>
        <v>0</v>
      </c>
      <c r="T1645" s="339">
        <f t="shared" si="471"/>
        <v>0</v>
      </c>
      <c r="V1645" s="371">
        <v>34.409999999999997</v>
      </c>
      <c r="W1645" s="35">
        <v>0</v>
      </c>
      <c r="X1645" s="59">
        <v>3.24</v>
      </c>
      <c r="Y1645" s="14" t="str">
        <f>RTD("money.excel",,"2936","Price")</f>
        <v>無資料</v>
      </c>
      <c r="Z1645" s="69"/>
      <c r="AA1645" s="16" t="e">
        <f t="shared" si="472"/>
        <v>#VALUE!</v>
      </c>
      <c r="AB1645" s="3" t="e">
        <f t="shared" si="473"/>
        <v>#VALUE!</v>
      </c>
      <c r="AD1645" s="23" t="s">
        <v>1782</v>
      </c>
      <c r="AG1645" s="34">
        <f t="shared" si="474"/>
        <v>0</v>
      </c>
      <c r="AH1645" s="44" t="s">
        <v>4476</v>
      </c>
      <c r="AI1645" s="131"/>
      <c r="AK1645" s="66">
        <f t="shared" si="479"/>
        <v>0</v>
      </c>
      <c r="AL1645" s="174">
        <f t="shared" si="480"/>
        <v>0</v>
      </c>
      <c r="AM1645" s="346">
        <f>RTD("money.excel",,$G1645,"PredictVolume")</f>
        <v>0</v>
      </c>
      <c r="AN1645" s="272">
        <f>RTD("money.excel",,$G1645,"CumulativeVolume")</f>
        <v>0</v>
      </c>
      <c r="AO1645" s="284"/>
    </row>
    <row r="1646" spans="1:41">
      <c r="A1646" s="151" t="s">
        <v>4741</v>
      </c>
      <c r="B1646" s="96">
        <v>78</v>
      </c>
      <c r="C1646" s="96">
        <v>112</v>
      </c>
      <c r="D1646" s="96">
        <v>1</v>
      </c>
      <c r="E1646" s="96">
        <v>16</v>
      </c>
      <c r="F1646" s="7">
        <v>4.1399999999999997</v>
      </c>
      <c r="G1646" s="85">
        <v>2937</v>
      </c>
      <c r="H1646" s="4" t="s">
        <v>562</v>
      </c>
      <c r="I1646" s="17" t="s">
        <v>1370</v>
      </c>
      <c r="J1646" s="77">
        <v>84.59</v>
      </c>
      <c r="K1646" s="77">
        <v>0</v>
      </c>
      <c r="N1646" s="365">
        <f t="shared" si="469"/>
        <v>84.59</v>
      </c>
      <c r="O1646" s="343">
        <f t="shared" si="470"/>
        <v>84.59</v>
      </c>
      <c r="P1646" s="195" t="s">
        <v>5554</v>
      </c>
      <c r="Q1646" s="326" t="str">
        <f>IFERROR(VLOOKUP($G1646,主力整理!$A$2:$G$2301,6,0),"0")</f>
        <v>0</v>
      </c>
      <c r="T1646" s="339">
        <f t="shared" si="471"/>
        <v>0</v>
      </c>
      <c r="V1646" s="371">
        <v>38.89</v>
      </c>
      <c r="W1646" s="35">
        <v>2.35</v>
      </c>
      <c r="X1646" s="100">
        <v>3.15</v>
      </c>
      <c r="Y1646" s="14" t="str">
        <f>RTD("money.excel",,"2937","Price")</f>
        <v>無資料</v>
      </c>
      <c r="Z1646" s="69"/>
      <c r="AA1646" s="16" t="e">
        <f t="shared" si="472"/>
        <v>#VALUE!</v>
      </c>
      <c r="AB1646" s="3" t="e">
        <f t="shared" si="473"/>
        <v>#VALUE!</v>
      </c>
      <c r="AD1646" s="17" t="s">
        <v>1370</v>
      </c>
      <c r="AG1646" s="34">
        <f t="shared" si="474"/>
        <v>0</v>
      </c>
      <c r="AH1646" s="44" t="s">
        <v>4173</v>
      </c>
      <c r="AI1646" s="131"/>
      <c r="AK1646" s="66">
        <f t="shared" si="479"/>
        <v>0</v>
      </c>
      <c r="AL1646" s="174">
        <f t="shared" si="480"/>
        <v>0</v>
      </c>
      <c r="AM1646" s="346">
        <f>RTD("money.excel",,$G1646,"PredictVolume")</f>
        <v>0</v>
      </c>
      <c r="AN1646" s="272">
        <f>RTD("money.excel",,$G1646,"CumulativeVolume")</f>
        <v>0</v>
      </c>
      <c r="AO1646" s="284"/>
    </row>
    <row r="1647" spans="1:41">
      <c r="A1647" s="151" t="s">
        <v>3346</v>
      </c>
      <c r="B1647" s="85">
        <v>-98</v>
      </c>
      <c r="C1647" s="85">
        <v>-68</v>
      </c>
      <c r="D1647" s="85">
        <v>-40</v>
      </c>
      <c r="E1647" s="85">
        <v>-42</v>
      </c>
      <c r="F1647" s="59">
        <v>4.97</v>
      </c>
      <c r="G1647" s="85">
        <v>2939</v>
      </c>
      <c r="H1647" s="4" t="s">
        <v>562</v>
      </c>
      <c r="I1647" s="23" t="s">
        <v>1386</v>
      </c>
      <c r="J1647" s="77">
        <v>45.3</v>
      </c>
      <c r="K1647" s="77">
        <v>82.13</v>
      </c>
      <c r="L1647" s="77">
        <v>0</v>
      </c>
      <c r="N1647" s="365">
        <f t="shared" si="469"/>
        <v>127.42999999999999</v>
      </c>
      <c r="O1647" s="343">
        <f t="shared" si="470"/>
        <v>45.3</v>
      </c>
      <c r="P1647" s="195" t="s">
        <v>5554</v>
      </c>
      <c r="Q1647" s="326" t="str">
        <f>IFERROR(VLOOKUP($G1647,主力整理!$A$2:$G$2301,6,0),"0")</f>
        <v>0</v>
      </c>
      <c r="T1647" s="339">
        <f t="shared" si="471"/>
        <v>0</v>
      </c>
      <c r="V1647" s="371">
        <v>0</v>
      </c>
      <c r="W1647" s="35">
        <v>2</v>
      </c>
      <c r="X1647" s="100">
        <v>0.2</v>
      </c>
      <c r="Y1647" s="14" t="str">
        <f>RTD("money.excel",,"2939","Price")</f>
        <v>無資料</v>
      </c>
      <c r="Z1647" s="69"/>
      <c r="AA1647" s="16" t="e">
        <f t="shared" si="472"/>
        <v>#VALUE!</v>
      </c>
      <c r="AB1647" s="3" t="e">
        <f t="shared" si="473"/>
        <v>#VALUE!</v>
      </c>
      <c r="AD1647" s="23" t="s">
        <v>1386</v>
      </c>
      <c r="AG1647" s="34">
        <f t="shared" si="474"/>
        <v>0</v>
      </c>
      <c r="AH1647" s="44" t="s">
        <v>4477</v>
      </c>
      <c r="AI1647" s="131"/>
      <c r="AK1647" s="66">
        <f t="shared" si="479"/>
        <v>0</v>
      </c>
      <c r="AL1647" s="174">
        <f t="shared" si="480"/>
        <v>0</v>
      </c>
      <c r="AM1647" s="346">
        <f>RTD("money.excel",,$G1647,"PredictVolume")</f>
        <v>0</v>
      </c>
      <c r="AN1647" s="272">
        <f>RTD("money.excel",,$G1647,"CumulativeVolume")</f>
        <v>0</v>
      </c>
      <c r="AO1647" s="284"/>
    </row>
    <row r="1648" spans="1:41">
      <c r="A1648" s="151" t="s">
        <v>2750</v>
      </c>
      <c r="B1648" s="84">
        <v>6</v>
      </c>
      <c r="C1648" s="84">
        <v>8</v>
      </c>
      <c r="D1648" s="85">
        <v>-10</v>
      </c>
      <c r="E1648" s="85">
        <v>-3</v>
      </c>
      <c r="F1648" s="7">
        <v>1.84</v>
      </c>
      <c r="G1648" s="85">
        <v>2945</v>
      </c>
      <c r="H1648" s="4" t="s">
        <v>562</v>
      </c>
      <c r="I1648" s="23" t="s">
        <v>6453</v>
      </c>
      <c r="J1648" s="371">
        <v>82.79</v>
      </c>
      <c r="K1648" s="371">
        <v>19.559999999999999</v>
      </c>
      <c r="L1648" s="371">
        <v>0</v>
      </c>
      <c r="M1648" s="371">
        <v>83.37</v>
      </c>
      <c r="N1648" s="77">
        <f t="shared" si="469"/>
        <v>185.72000000000003</v>
      </c>
      <c r="O1648" s="369">
        <f t="shared" si="470"/>
        <v>166.16000000000003</v>
      </c>
      <c r="P1648" s="195">
        <v>0</v>
      </c>
      <c r="Q1648" s="326" t="str">
        <f>IFERROR(VLOOKUP($G1648,主力整理!$A$2:$G$2301,6,0),"0")</f>
        <v>0</v>
      </c>
      <c r="R1648" s="111">
        <v>0</v>
      </c>
      <c r="S1648" s="51">
        <v>0</v>
      </c>
      <c r="T1648" s="339">
        <f t="shared" si="471"/>
        <v>0</v>
      </c>
      <c r="W1648" s="35">
        <v>2.73</v>
      </c>
      <c r="X1648" s="59">
        <v>3.18</v>
      </c>
      <c r="Y1648" s="37" t="str">
        <f>RTD("money.excel",,"2945","Price")</f>
        <v>無資料</v>
      </c>
      <c r="Z1648" s="69"/>
      <c r="AA1648" s="16" t="e">
        <f t="shared" si="472"/>
        <v>#VALUE!</v>
      </c>
      <c r="AB1648" s="3" t="e">
        <f t="shared" si="473"/>
        <v>#VALUE!</v>
      </c>
      <c r="AD1648" s="23" t="s">
        <v>6453</v>
      </c>
      <c r="AG1648" s="34">
        <f t="shared" si="474"/>
        <v>0</v>
      </c>
      <c r="AH1648" s="44" t="s">
        <v>6454</v>
      </c>
      <c r="AI1648" s="131"/>
      <c r="AK1648" s="66">
        <f t="shared" si="479"/>
        <v>0</v>
      </c>
      <c r="AL1648" s="174">
        <f t="shared" si="480"/>
        <v>0</v>
      </c>
      <c r="AM1648" s="346">
        <f>RTD("money.excel",,$G1648,"PredictVolume")</f>
        <v>0</v>
      </c>
      <c r="AN1648" s="272">
        <f>RTD("money.excel",,$G1648,"CumulativeVolume")</f>
        <v>0</v>
      </c>
      <c r="AO1648" s="284"/>
    </row>
    <row r="1649" spans="1:41">
      <c r="A1649" s="151" t="s">
        <v>4667</v>
      </c>
      <c r="B1649" s="84">
        <v>7</v>
      </c>
      <c r="C1649" s="84">
        <v>2</v>
      </c>
      <c r="D1649" s="85">
        <v>-3</v>
      </c>
      <c r="E1649" s="84">
        <v>12</v>
      </c>
      <c r="F1649" s="7">
        <v>9.5</v>
      </c>
      <c r="G1649" s="85">
        <v>2947</v>
      </c>
      <c r="H1649" s="4" t="s">
        <v>562</v>
      </c>
      <c r="I1649" s="17" t="s">
        <v>6281</v>
      </c>
      <c r="J1649" s="371">
        <v>56.57</v>
      </c>
      <c r="K1649" s="371">
        <v>0.3</v>
      </c>
      <c r="L1649" s="371"/>
      <c r="N1649" s="365">
        <f t="shared" si="469"/>
        <v>56.87</v>
      </c>
      <c r="O1649" s="343">
        <f t="shared" si="470"/>
        <v>56.57</v>
      </c>
      <c r="P1649" s="195">
        <v>0</v>
      </c>
      <c r="Q1649" s="326" t="str">
        <f>IFERROR(VLOOKUP($G1649,主力整理!$A$2:$G$2301,6,0),"0")</f>
        <v>0</v>
      </c>
      <c r="R1649" s="111">
        <v>0</v>
      </c>
      <c r="S1649" s="51">
        <v>0</v>
      </c>
      <c r="T1649" s="339">
        <f t="shared" si="471"/>
        <v>0</v>
      </c>
      <c r="W1649" s="69">
        <v>3.6</v>
      </c>
      <c r="X1649" s="59" t="s">
        <v>5226</v>
      </c>
      <c r="Y1649" s="37" t="str">
        <f>RTD("money.excel",,"2947","Price")</f>
        <v>無資料</v>
      </c>
      <c r="Z1649" s="69"/>
      <c r="AA1649" s="16" t="e">
        <f t="shared" si="472"/>
        <v>#VALUE!</v>
      </c>
      <c r="AB1649" s="3" t="e">
        <f t="shared" si="473"/>
        <v>#VALUE!</v>
      </c>
      <c r="AC1649" s="177" t="s">
        <v>2700</v>
      </c>
      <c r="AD1649" s="17" t="s">
        <v>6281</v>
      </c>
      <c r="AG1649" s="34">
        <f t="shared" si="474"/>
        <v>0</v>
      </c>
      <c r="AH1649" s="44" t="s">
        <v>6282</v>
      </c>
      <c r="AI1649" s="131"/>
      <c r="AK1649" s="66">
        <f t="shared" si="479"/>
        <v>0</v>
      </c>
      <c r="AL1649" s="174">
        <f t="shared" si="480"/>
        <v>0</v>
      </c>
      <c r="AM1649" s="346">
        <f>RTD("money.excel",,$G1649,"PredictVolume")</f>
        <v>0</v>
      </c>
      <c r="AN1649" s="272">
        <f>RTD("money.excel",,$G1649,"CumulativeVolume")</f>
        <v>0</v>
      </c>
      <c r="AO1649" s="284"/>
    </row>
    <row r="1650" spans="1:41">
      <c r="A1650" s="151" t="s">
        <v>2357</v>
      </c>
      <c r="B1650" s="84">
        <v>35</v>
      </c>
      <c r="C1650" s="84">
        <v>19</v>
      </c>
      <c r="D1650" s="85">
        <v>-1</v>
      </c>
      <c r="E1650" s="84">
        <v>40</v>
      </c>
      <c r="F1650" s="7">
        <v>9.27</v>
      </c>
      <c r="G1650" s="85">
        <v>3171</v>
      </c>
      <c r="H1650" s="4" t="s">
        <v>562</v>
      </c>
      <c r="I1650" s="17" t="s">
        <v>1371</v>
      </c>
      <c r="J1650" s="371">
        <v>74.760000000000005</v>
      </c>
      <c r="K1650" s="371">
        <v>0.52</v>
      </c>
      <c r="L1650" s="371">
        <v>4.33</v>
      </c>
      <c r="N1650" s="365">
        <f t="shared" si="469"/>
        <v>79.61</v>
      </c>
      <c r="O1650" s="343">
        <f t="shared" si="470"/>
        <v>74.760000000000005</v>
      </c>
      <c r="P1650" s="195" t="s">
        <v>5554</v>
      </c>
      <c r="Q1650" s="326" t="str">
        <f>IFERROR(VLOOKUP($G1650,主力整理!$A$2:$G$2301,6,0),"0")</f>
        <v>0</v>
      </c>
      <c r="T1650" s="339">
        <f t="shared" si="471"/>
        <v>0</v>
      </c>
      <c r="V1650" s="371">
        <v>0</v>
      </c>
      <c r="W1650" s="35">
        <v>1.85</v>
      </c>
      <c r="X1650" s="100">
        <v>2.14</v>
      </c>
      <c r="Y1650" s="37" t="str">
        <f>RTD("money.excel",,"3171","Price")</f>
        <v>無資料</v>
      </c>
      <c r="Z1650" s="69"/>
      <c r="AA1650" s="16" t="e">
        <f t="shared" si="472"/>
        <v>#VALUE!</v>
      </c>
      <c r="AB1650" s="3" t="e">
        <f t="shared" si="473"/>
        <v>#VALUE!</v>
      </c>
      <c r="AD1650" s="17" t="s">
        <v>1371</v>
      </c>
      <c r="AG1650" s="34">
        <f t="shared" si="474"/>
        <v>0</v>
      </c>
      <c r="AH1650" s="44" t="s">
        <v>3293</v>
      </c>
      <c r="AI1650" s="131"/>
      <c r="AK1650" s="66">
        <f t="shared" si="479"/>
        <v>0</v>
      </c>
      <c r="AL1650" s="174">
        <f t="shared" si="480"/>
        <v>0</v>
      </c>
      <c r="AM1650" s="346">
        <f>RTD("money.excel",,$G1650,"PredictVolume")</f>
        <v>0</v>
      </c>
      <c r="AN1650" s="272">
        <f>RTD("money.excel",,$G1650,"CumulativeVolume")</f>
        <v>0</v>
      </c>
      <c r="AO1650" s="284"/>
    </row>
    <row r="1651" spans="1:41">
      <c r="A1651" s="151" t="s">
        <v>2226</v>
      </c>
      <c r="B1651" s="84">
        <v>256</v>
      </c>
      <c r="C1651" s="84">
        <v>232</v>
      </c>
      <c r="D1651" s="85">
        <v>-30</v>
      </c>
      <c r="E1651" s="85">
        <v>-22</v>
      </c>
      <c r="F1651" s="7">
        <v>8.33</v>
      </c>
      <c r="G1651" s="85">
        <v>4807</v>
      </c>
      <c r="H1651" s="4" t="s">
        <v>562</v>
      </c>
      <c r="I1651" s="23" t="s">
        <v>1387</v>
      </c>
      <c r="J1651" s="371">
        <v>75.14</v>
      </c>
      <c r="K1651" s="77">
        <v>72.84</v>
      </c>
      <c r="L1651" s="77">
        <v>8.8000000000000007</v>
      </c>
      <c r="N1651" s="365">
        <f t="shared" si="469"/>
        <v>156.78000000000003</v>
      </c>
      <c r="O1651" s="343">
        <f t="shared" si="470"/>
        <v>75.14</v>
      </c>
      <c r="P1651" s="195" t="s">
        <v>5554</v>
      </c>
      <c r="Q1651" s="326" t="str">
        <f>IFERROR(VLOOKUP($G1651,主力整理!$A$2:$G$2301,6,0),"0")</f>
        <v>0</v>
      </c>
      <c r="T1651" s="339">
        <f t="shared" si="471"/>
        <v>0</v>
      </c>
      <c r="V1651" s="371">
        <v>0.02</v>
      </c>
      <c r="W1651" s="35">
        <v>0.5</v>
      </c>
      <c r="X1651" s="100">
        <v>2.3199999999999998</v>
      </c>
      <c r="Y1651" s="14" t="str">
        <f>RTD("money.excel",,"4807","Price")</f>
        <v>無資料</v>
      </c>
      <c r="Z1651" s="69"/>
      <c r="AA1651" s="16" t="e">
        <f t="shared" si="472"/>
        <v>#VALUE!</v>
      </c>
      <c r="AB1651" s="3" t="e">
        <f t="shared" si="473"/>
        <v>#VALUE!</v>
      </c>
      <c r="AC1651" s="177" t="s">
        <v>2648</v>
      </c>
      <c r="AD1651" s="23" t="s">
        <v>1387</v>
      </c>
      <c r="AG1651" s="34">
        <f t="shared" si="474"/>
        <v>0</v>
      </c>
      <c r="AH1651" s="44" t="s">
        <v>4222</v>
      </c>
      <c r="AI1651" s="131"/>
      <c r="AK1651" s="66">
        <f t="shared" si="479"/>
        <v>0</v>
      </c>
      <c r="AL1651" s="174">
        <f t="shared" si="480"/>
        <v>0</v>
      </c>
      <c r="AM1651" s="346">
        <f>RTD("money.excel",,$G1651,"PredictVolume")</f>
        <v>0</v>
      </c>
      <c r="AN1651" s="272">
        <f>RTD("money.excel",,$G1651,"CumulativeVolume")</f>
        <v>0</v>
      </c>
      <c r="AO1651" s="284"/>
    </row>
    <row r="1652" spans="1:41">
      <c r="A1652" s="151" t="s">
        <v>4742</v>
      </c>
      <c r="B1652" s="96">
        <v>139</v>
      </c>
      <c r="C1652" s="96">
        <v>106</v>
      </c>
      <c r="D1652" s="96">
        <v>-7</v>
      </c>
      <c r="E1652" s="96">
        <v>1</v>
      </c>
      <c r="F1652" s="7">
        <v>9.24</v>
      </c>
      <c r="G1652" s="85">
        <v>5902</v>
      </c>
      <c r="H1652" s="4" t="s">
        <v>562</v>
      </c>
      <c r="I1652" s="17" t="s">
        <v>1372</v>
      </c>
      <c r="J1652" s="77">
        <v>79.31</v>
      </c>
      <c r="K1652" s="77">
        <v>0.02</v>
      </c>
      <c r="N1652" s="365">
        <f t="shared" si="469"/>
        <v>79.33</v>
      </c>
      <c r="O1652" s="343">
        <f t="shared" si="470"/>
        <v>79.31</v>
      </c>
      <c r="P1652" s="195" t="s">
        <v>5554</v>
      </c>
      <c r="Q1652" s="326" t="str">
        <f>IFERROR(VLOOKUP($G1652,主力整理!$A$2:$G$2301,6,0),"0")</f>
        <v>0</v>
      </c>
      <c r="T1652" s="339">
        <f t="shared" si="471"/>
        <v>0</v>
      </c>
      <c r="V1652" s="371">
        <v>64.27</v>
      </c>
      <c r="W1652" s="35">
        <v>0</v>
      </c>
      <c r="X1652" s="100">
        <v>1.37</v>
      </c>
      <c r="Y1652" s="14" t="str">
        <f>RTD("money.excel",,"5902","Price")</f>
        <v>無資料</v>
      </c>
      <c r="Z1652" s="69"/>
      <c r="AA1652" s="16" t="e">
        <f t="shared" si="472"/>
        <v>#VALUE!</v>
      </c>
      <c r="AB1652" s="3" t="e">
        <f t="shared" si="473"/>
        <v>#VALUE!</v>
      </c>
      <c r="AD1652" s="17" t="s">
        <v>1372</v>
      </c>
      <c r="AG1652" s="34">
        <f t="shared" si="474"/>
        <v>0</v>
      </c>
      <c r="AH1652" s="44" t="s">
        <v>4174</v>
      </c>
      <c r="AI1652" s="131"/>
      <c r="AK1652" s="66">
        <f t="shared" si="479"/>
        <v>0</v>
      </c>
      <c r="AL1652" s="174">
        <f t="shared" si="480"/>
        <v>0</v>
      </c>
      <c r="AM1652" s="346">
        <f>RTD("money.excel",,$G1652,"PredictVolume")</f>
        <v>0</v>
      </c>
      <c r="AN1652" s="272">
        <f>RTD("money.excel",,$G1652,"CumulativeVolume")</f>
        <v>0</v>
      </c>
      <c r="AO1652" s="284"/>
    </row>
    <row r="1653" spans="1:41">
      <c r="A1653" s="151" t="s">
        <v>2516</v>
      </c>
      <c r="B1653" s="84">
        <v>20</v>
      </c>
      <c r="C1653" s="84">
        <v>23</v>
      </c>
      <c r="D1653" s="84">
        <v>1</v>
      </c>
      <c r="E1653" s="84">
        <v>8</v>
      </c>
      <c r="F1653" s="7">
        <v>3.34</v>
      </c>
      <c r="G1653" s="85">
        <v>5903</v>
      </c>
      <c r="H1653" s="4" t="s">
        <v>562</v>
      </c>
      <c r="I1653" s="17" t="s">
        <v>288</v>
      </c>
      <c r="J1653" s="77">
        <v>93.05</v>
      </c>
      <c r="K1653" s="371">
        <v>53.59</v>
      </c>
      <c r="L1653" s="371">
        <v>0.03</v>
      </c>
      <c r="N1653" s="365">
        <f t="shared" si="469"/>
        <v>146.66999999999999</v>
      </c>
      <c r="O1653" s="343">
        <f t="shared" si="470"/>
        <v>93.05</v>
      </c>
      <c r="P1653" s="195">
        <v>10</v>
      </c>
      <c r="Q1653" s="326" t="str">
        <f>IFERROR(VLOOKUP($G1653,主力整理!$A$2:$G$2301,6,0),"0")</f>
        <v>0</v>
      </c>
      <c r="T1653" s="339">
        <f t="shared" si="471"/>
        <v>10</v>
      </c>
      <c r="V1653" s="371">
        <v>0</v>
      </c>
      <c r="W1653" s="69">
        <v>7.5</v>
      </c>
      <c r="X1653" s="59">
        <v>9.5399999999999991</v>
      </c>
      <c r="Y1653" s="14" t="str">
        <f>RTD("money.excel",,"5903","Price")</f>
        <v>無資料</v>
      </c>
      <c r="Z1653" s="69"/>
      <c r="AA1653" s="16" t="e">
        <f t="shared" si="472"/>
        <v>#VALUE!</v>
      </c>
      <c r="AB1653" s="3" t="e">
        <f t="shared" si="473"/>
        <v>#VALUE!</v>
      </c>
      <c r="AC1653" s="177" t="s">
        <v>2929</v>
      </c>
      <c r="AD1653" s="17" t="s">
        <v>288</v>
      </c>
      <c r="AG1653" s="34">
        <f t="shared" si="474"/>
        <v>0</v>
      </c>
      <c r="AH1653" s="125" t="s">
        <v>4124</v>
      </c>
      <c r="AI1653" s="131"/>
      <c r="AK1653" s="66">
        <f t="shared" si="479"/>
        <v>0</v>
      </c>
      <c r="AL1653" s="174">
        <f t="shared" si="480"/>
        <v>0</v>
      </c>
      <c r="AM1653" s="346">
        <f>RTD("money.excel",,$G1653,"PredictVolume")</f>
        <v>0</v>
      </c>
      <c r="AN1653" s="272">
        <f>RTD("money.excel",,$G1653,"CumulativeVolume")</f>
        <v>0</v>
      </c>
      <c r="AO1653" s="284"/>
    </row>
    <row r="1654" spans="1:41">
      <c r="A1654" s="135" t="s">
        <v>2517</v>
      </c>
      <c r="B1654" s="84">
        <v>22</v>
      </c>
      <c r="C1654" s="84">
        <v>22</v>
      </c>
      <c r="D1654" s="84">
        <v>3</v>
      </c>
      <c r="E1654" s="84">
        <v>22</v>
      </c>
      <c r="F1654" s="59">
        <v>16.399999999999999</v>
      </c>
      <c r="G1654" s="85">
        <v>5904</v>
      </c>
      <c r="H1654" s="4" t="s">
        <v>562</v>
      </c>
      <c r="I1654" s="17" t="s">
        <v>289</v>
      </c>
      <c r="J1654" s="371">
        <v>62.58</v>
      </c>
      <c r="K1654" s="77">
        <v>38.31</v>
      </c>
      <c r="L1654" s="371">
        <v>0.15</v>
      </c>
      <c r="N1654" s="365">
        <f t="shared" si="469"/>
        <v>101.04</v>
      </c>
      <c r="O1654" s="343">
        <f t="shared" si="470"/>
        <v>62.58</v>
      </c>
      <c r="P1654" s="195">
        <v>6</v>
      </c>
      <c r="Q1654" s="326" t="str">
        <f>IFERROR(VLOOKUP($G1654,主力整理!$A$2:$G$2301,6,0),"0")</f>
        <v>0</v>
      </c>
      <c r="T1654" s="339">
        <f t="shared" si="471"/>
        <v>6</v>
      </c>
      <c r="V1654" s="371">
        <v>0</v>
      </c>
      <c r="W1654" s="69">
        <v>19</v>
      </c>
      <c r="X1654" s="59">
        <v>22.75</v>
      </c>
      <c r="Y1654" s="37" t="str">
        <f>RTD("money.excel",,"5904","Price")</f>
        <v>無資料</v>
      </c>
      <c r="Z1654" s="69"/>
      <c r="AA1654" s="16" t="e">
        <f t="shared" si="472"/>
        <v>#VALUE!</v>
      </c>
      <c r="AB1654" s="3" t="e">
        <f t="shared" si="473"/>
        <v>#VALUE!</v>
      </c>
      <c r="AC1654" s="177" t="s">
        <v>2929</v>
      </c>
      <c r="AD1654" s="17" t="s">
        <v>289</v>
      </c>
      <c r="AG1654" s="34">
        <f t="shared" si="474"/>
        <v>0</v>
      </c>
      <c r="AH1654" s="126" t="s">
        <v>3259</v>
      </c>
      <c r="AI1654" s="131"/>
      <c r="AK1654" s="66">
        <f t="shared" si="479"/>
        <v>0</v>
      </c>
      <c r="AL1654" s="174">
        <f t="shared" si="480"/>
        <v>0</v>
      </c>
      <c r="AM1654" s="346">
        <f>RTD("money.excel",,$G1654,"PredictVolume")</f>
        <v>0</v>
      </c>
      <c r="AN1654" s="272">
        <f>RTD("money.excel",,$G1654,"CumulativeVolume")</f>
        <v>0</v>
      </c>
      <c r="AO1654" s="284"/>
    </row>
    <row r="1655" spans="1:41">
      <c r="A1655" s="151" t="s">
        <v>2408</v>
      </c>
      <c r="B1655" s="85">
        <v>-50</v>
      </c>
      <c r="C1655" s="85">
        <v>-101</v>
      </c>
      <c r="D1655" s="85">
        <v>-14</v>
      </c>
      <c r="E1655" s="85">
        <v>-34</v>
      </c>
      <c r="F1655" s="7">
        <v>-0.16</v>
      </c>
      <c r="G1655" s="85">
        <v>5905</v>
      </c>
      <c r="H1655" s="4" t="s">
        <v>562</v>
      </c>
      <c r="I1655" s="17" t="s">
        <v>1373</v>
      </c>
      <c r="J1655" s="371">
        <v>36.64</v>
      </c>
      <c r="K1655" s="77">
        <v>2.35</v>
      </c>
      <c r="L1655" s="371">
        <v>14.48</v>
      </c>
      <c r="N1655" s="365">
        <f t="shared" si="469"/>
        <v>53.47</v>
      </c>
      <c r="O1655" s="343">
        <f t="shared" si="470"/>
        <v>36.64</v>
      </c>
      <c r="P1655" s="195">
        <v>1</v>
      </c>
      <c r="Q1655" s="326">
        <f>IFERROR(VLOOKUP($G1655,主力整理!$A$2:$G$2301,6,0),"0")</f>
        <v>5</v>
      </c>
      <c r="T1655" s="339">
        <f t="shared" si="471"/>
        <v>6</v>
      </c>
      <c r="V1655" s="371">
        <v>0.04</v>
      </c>
      <c r="W1655" s="35">
        <v>0.2</v>
      </c>
      <c r="X1655" s="100">
        <v>0.26</v>
      </c>
      <c r="Y1655" s="37" t="str">
        <f>RTD("money.excel",,"5905","Price")</f>
        <v>無資料</v>
      </c>
      <c r="Z1655" s="69"/>
      <c r="AA1655" s="16" t="e">
        <f t="shared" si="472"/>
        <v>#VALUE!</v>
      </c>
      <c r="AB1655" s="3" t="e">
        <f t="shared" si="473"/>
        <v>#VALUE!</v>
      </c>
      <c r="AC1655" s="177" t="s">
        <v>2648</v>
      </c>
      <c r="AD1655" s="17" t="s">
        <v>1373</v>
      </c>
      <c r="AG1655" s="34">
        <f t="shared" si="474"/>
        <v>0</v>
      </c>
      <c r="AH1655" s="44" t="s">
        <v>4175</v>
      </c>
      <c r="AI1655" s="131"/>
      <c r="AK1655" s="66">
        <f t="shared" si="479"/>
        <v>0</v>
      </c>
      <c r="AL1655" s="174">
        <f t="shared" si="480"/>
        <v>0</v>
      </c>
      <c r="AM1655" s="346">
        <f>RTD("money.excel",,$G1655,"PredictVolume")</f>
        <v>0</v>
      </c>
      <c r="AN1655" s="272">
        <f>RTD("money.excel",,$G1655,"CumulativeVolume")</f>
        <v>0</v>
      </c>
      <c r="AO1655" s="284"/>
    </row>
    <row r="1656" spans="1:41">
      <c r="A1656" s="151" t="s">
        <v>3993</v>
      </c>
      <c r="B1656" s="96">
        <v>526</v>
      </c>
      <c r="C1656" s="96">
        <v>13</v>
      </c>
      <c r="D1656" s="96">
        <v>-23</v>
      </c>
      <c r="E1656" s="96">
        <v>-21</v>
      </c>
      <c r="F1656" s="7">
        <v>3.91</v>
      </c>
      <c r="G1656" s="85">
        <v>5906</v>
      </c>
      <c r="H1656" s="4" t="s">
        <v>562</v>
      </c>
      <c r="I1656" s="23" t="s">
        <v>1388</v>
      </c>
      <c r="J1656" s="77">
        <v>74.209999999999994</v>
      </c>
      <c r="K1656" s="77">
        <v>19.72</v>
      </c>
      <c r="L1656" s="77">
        <v>8.8000000000000007</v>
      </c>
      <c r="N1656" s="365">
        <f t="shared" si="469"/>
        <v>102.72999999999999</v>
      </c>
      <c r="O1656" s="343">
        <f t="shared" si="470"/>
        <v>74.209999999999994</v>
      </c>
      <c r="P1656" s="195" t="s">
        <v>5554</v>
      </c>
      <c r="Q1656" s="326" t="str">
        <f>IFERROR(VLOOKUP($G1656,主力整理!$A$2:$G$2301,6,0),"0")</f>
        <v>0</v>
      </c>
      <c r="T1656" s="339">
        <f t="shared" si="471"/>
        <v>0</v>
      </c>
      <c r="V1656" s="371">
        <v>18.89</v>
      </c>
      <c r="W1656" s="35">
        <v>1</v>
      </c>
      <c r="X1656" s="100">
        <v>2.35</v>
      </c>
      <c r="Y1656" s="14" t="str">
        <f>RTD("money.excel",,"5906","Price")</f>
        <v>無資料</v>
      </c>
      <c r="Z1656" s="69"/>
      <c r="AA1656" s="16" t="e">
        <f t="shared" si="472"/>
        <v>#VALUE!</v>
      </c>
      <c r="AB1656" s="3" t="e">
        <f t="shared" si="473"/>
        <v>#VALUE!</v>
      </c>
      <c r="AD1656" s="23" t="s">
        <v>1388</v>
      </c>
      <c r="AG1656" s="34">
        <f t="shared" si="474"/>
        <v>0</v>
      </c>
      <c r="AH1656" s="44" t="s">
        <v>4478</v>
      </c>
      <c r="AI1656" s="131"/>
      <c r="AK1656" s="66">
        <f t="shared" si="479"/>
        <v>0</v>
      </c>
      <c r="AL1656" s="174">
        <f t="shared" si="480"/>
        <v>0</v>
      </c>
      <c r="AM1656" s="346">
        <f>RTD("money.excel",,$G1656,"PredictVolume")</f>
        <v>0</v>
      </c>
      <c r="AN1656" s="272">
        <f>RTD("money.excel",,$G1656,"CumulativeVolume")</f>
        <v>0</v>
      </c>
      <c r="AO1656" s="284"/>
    </row>
    <row r="1657" spans="1:41">
      <c r="A1657" s="151" t="s">
        <v>2632</v>
      </c>
      <c r="B1657" s="84">
        <v>23</v>
      </c>
      <c r="C1657" s="84">
        <v>31</v>
      </c>
      <c r="D1657" s="84">
        <v>170</v>
      </c>
      <c r="E1657" s="85">
        <v>-60</v>
      </c>
      <c r="F1657" s="7">
        <v>2.14</v>
      </c>
      <c r="G1657" s="85">
        <v>5907</v>
      </c>
      <c r="H1657" s="4" t="s">
        <v>562</v>
      </c>
      <c r="I1657" s="23" t="s">
        <v>1389</v>
      </c>
      <c r="J1657" s="77">
        <v>75.36</v>
      </c>
      <c r="K1657" s="371">
        <v>53.18</v>
      </c>
      <c r="L1657" s="371">
        <v>4.99</v>
      </c>
      <c r="N1657" s="365">
        <f t="shared" si="469"/>
        <v>133.53</v>
      </c>
      <c r="O1657" s="343">
        <f t="shared" si="470"/>
        <v>75.36</v>
      </c>
      <c r="P1657" s="195" t="s">
        <v>5554</v>
      </c>
      <c r="Q1657" s="326" t="str">
        <f>IFERROR(VLOOKUP($G1657,主力整理!$A$2:$G$2301,6,0),"0")</f>
        <v>0</v>
      </c>
      <c r="T1657" s="339">
        <f t="shared" si="471"/>
        <v>0</v>
      </c>
      <c r="V1657" s="371">
        <v>50.53</v>
      </c>
      <c r="W1657" s="35">
        <v>0</v>
      </c>
      <c r="X1657" s="59">
        <v>-0.63</v>
      </c>
      <c r="Y1657" s="14" t="str">
        <f>RTD("money.excel",,"5907","Price")</f>
        <v>無資料</v>
      </c>
      <c r="Z1657" s="69"/>
      <c r="AA1657" s="16" t="e">
        <f t="shared" si="472"/>
        <v>#VALUE!</v>
      </c>
      <c r="AB1657" s="3" t="e">
        <f t="shared" si="473"/>
        <v>#VALUE!</v>
      </c>
      <c r="AC1657" s="177" t="s">
        <v>2648</v>
      </c>
      <c r="AD1657" s="23" t="s">
        <v>1389</v>
      </c>
      <c r="AG1657" s="34">
        <f t="shared" si="474"/>
        <v>0</v>
      </c>
      <c r="AH1657" s="63" t="s">
        <v>4479</v>
      </c>
      <c r="AI1657" s="131"/>
      <c r="AK1657" s="66">
        <f t="shared" si="479"/>
        <v>0</v>
      </c>
      <c r="AL1657" s="174">
        <f t="shared" si="480"/>
        <v>0</v>
      </c>
      <c r="AM1657" s="346">
        <f>RTD("money.excel",,$G1657,"PredictVolume")</f>
        <v>0</v>
      </c>
      <c r="AN1657" s="272">
        <f>RTD("money.excel",,$G1657,"CumulativeVolume")</f>
        <v>0</v>
      </c>
      <c r="AO1657" s="284"/>
    </row>
    <row r="1658" spans="1:41">
      <c r="A1658" s="151" t="s">
        <v>2962</v>
      </c>
      <c r="B1658" s="84">
        <v>132</v>
      </c>
      <c r="C1658" s="84">
        <v>103</v>
      </c>
      <c r="D1658" s="84">
        <v>12</v>
      </c>
      <c r="E1658" s="84">
        <v>21</v>
      </c>
      <c r="F1658" s="7">
        <v>9.07</v>
      </c>
      <c r="G1658" s="85">
        <v>6195</v>
      </c>
      <c r="H1658" s="4" t="s">
        <v>562</v>
      </c>
      <c r="I1658" s="17" t="s">
        <v>208</v>
      </c>
      <c r="J1658" s="77">
        <v>57.61</v>
      </c>
      <c r="K1658" s="77">
        <v>47.6</v>
      </c>
      <c r="L1658" s="77">
        <v>2.0299999999999998</v>
      </c>
      <c r="N1658" s="365">
        <f t="shared" si="469"/>
        <v>107.24000000000001</v>
      </c>
      <c r="O1658" s="343">
        <f t="shared" si="470"/>
        <v>57.61</v>
      </c>
      <c r="P1658" s="195" t="s">
        <v>5554</v>
      </c>
      <c r="Q1658" s="326" t="str">
        <f>IFERROR(VLOOKUP($G1658,主力整理!$A$2:$G$2301,6,0),"0")</f>
        <v>0</v>
      </c>
      <c r="T1658" s="339">
        <f t="shared" si="471"/>
        <v>0</v>
      </c>
      <c r="V1658" s="371">
        <v>0</v>
      </c>
      <c r="W1658" s="69">
        <v>4</v>
      </c>
      <c r="X1658" s="100">
        <v>4.88</v>
      </c>
      <c r="Y1658" s="14" t="str">
        <f>RTD("money.excel",,"6195","Price")</f>
        <v>無資料</v>
      </c>
      <c r="Z1658" s="69"/>
      <c r="AA1658" s="16" t="e">
        <f t="shared" si="472"/>
        <v>#VALUE!</v>
      </c>
      <c r="AB1658" s="3" t="e">
        <f t="shared" si="473"/>
        <v>#VALUE!</v>
      </c>
      <c r="AC1658" s="177" t="s">
        <v>2929</v>
      </c>
      <c r="AD1658" s="17" t="s">
        <v>208</v>
      </c>
      <c r="AG1658" s="34">
        <f t="shared" si="474"/>
        <v>0</v>
      </c>
      <c r="AH1658" s="125" t="s">
        <v>3926</v>
      </c>
      <c r="AI1658" s="131"/>
      <c r="AK1658" s="66">
        <f t="shared" si="479"/>
        <v>0</v>
      </c>
      <c r="AL1658" s="174">
        <f t="shared" si="480"/>
        <v>0</v>
      </c>
      <c r="AM1658" s="346">
        <f>RTD("money.excel",,$G1658,"PredictVolume")</f>
        <v>0</v>
      </c>
      <c r="AN1658" s="272">
        <f>RTD("money.excel",,$G1658,"CumulativeVolume")</f>
        <v>0</v>
      </c>
      <c r="AO1658" s="284"/>
    </row>
    <row r="1659" spans="1:41">
      <c r="A1659" s="151" t="s">
        <v>3515</v>
      </c>
      <c r="B1659" s="84">
        <v>259</v>
      </c>
      <c r="C1659" s="84">
        <v>208</v>
      </c>
      <c r="D1659" s="84">
        <v>14</v>
      </c>
      <c r="E1659" s="84">
        <v>24</v>
      </c>
      <c r="F1659" s="7">
        <v>7.3</v>
      </c>
      <c r="G1659" s="85">
        <v>6728</v>
      </c>
      <c r="H1659" s="4" t="s">
        <v>562</v>
      </c>
      <c r="I1659" s="17" t="s">
        <v>3415</v>
      </c>
      <c r="J1659" s="77">
        <v>73.39</v>
      </c>
      <c r="K1659" s="371">
        <v>0</v>
      </c>
      <c r="N1659" s="365">
        <f t="shared" si="469"/>
        <v>73.39</v>
      </c>
      <c r="O1659" s="343">
        <f t="shared" si="470"/>
        <v>73.39</v>
      </c>
      <c r="P1659" s="195" t="s">
        <v>5554</v>
      </c>
      <c r="Q1659" s="326" t="str">
        <f>IFERROR(VLOOKUP($G1659,主力整理!$A$2:$G$2301,6,0),"0")</f>
        <v>0</v>
      </c>
      <c r="T1659" s="339">
        <f t="shared" si="471"/>
        <v>0</v>
      </c>
      <c r="W1659" s="69">
        <v>4.2</v>
      </c>
      <c r="X1659" s="100">
        <v>5.25</v>
      </c>
      <c r="Y1659" s="37" t="str">
        <f>RTD("money.excel",,"6728","Price")</f>
        <v>無資料</v>
      </c>
      <c r="Z1659" s="69"/>
      <c r="AA1659" s="16" t="e">
        <f t="shared" si="472"/>
        <v>#VALUE!</v>
      </c>
      <c r="AB1659" s="3" t="e">
        <f t="shared" si="473"/>
        <v>#VALUE!</v>
      </c>
      <c r="AC1659" s="177" t="s">
        <v>2700</v>
      </c>
      <c r="AD1659" s="17" t="s">
        <v>3415</v>
      </c>
      <c r="AG1659" s="34">
        <f t="shared" si="474"/>
        <v>0</v>
      </c>
      <c r="AH1659" s="44" t="s">
        <v>3416</v>
      </c>
      <c r="AI1659" s="131"/>
      <c r="AK1659" s="66">
        <f t="shared" si="479"/>
        <v>0</v>
      </c>
      <c r="AL1659" s="174">
        <f t="shared" si="480"/>
        <v>0</v>
      </c>
      <c r="AM1659" s="346">
        <f>RTD("money.excel",,$G1659,"PredictVolume")</f>
        <v>0</v>
      </c>
      <c r="AN1659" s="272">
        <f>RTD("money.excel",,$G1659,"CumulativeVolume")</f>
        <v>0</v>
      </c>
      <c r="AO1659" s="284"/>
    </row>
    <row r="1660" spans="1:41">
      <c r="A1660" s="151" t="s">
        <v>2533</v>
      </c>
      <c r="B1660" s="85">
        <v>-27</v>
      </c>
      <c r="C1660" s="85">
        <v>-23</v>
      </c>
      <c r="D1660" s="84">
        <v>12</v>
      </c>
      <c r="E1660" s="85">
        <v>-46</v>
      </c>
      <c r="F1660" s="7">
        <v>2.65</v>
      </c>
      <c r="G1660" s="85">
        <v>8066</v>
      </c>
      <c r="H1660" s="4" t="s">
        <v>562</v>
      </c>
      <c r="I1660" s="17" t="s">
        <v>1374</v>
      </c>
      <c r="J1660" s="371">
        <v>0</v>
      </c>
      <c r="K1660" s="371">
        <v>8.43</v>
      </c>
      <c r="L1660" s="371">
        <v>6.89</v>
      </c>
      <c r="N1660" s="365">
        <f t="shared" si="469"/>
        <v>15.32</v>
      </c>
      <c r="O1660" s="343">
        <f t="shared" si="470"/>
        <v>0</v>
      </c>
      <c r="P1660" s="195">
        <v>0</v>
      </c>
      <c r="Q1660" s="326" t="str">
        <f>IFERROR(VLOOKUP($G1660,主力整理!$A$2:$G$2301,6,0),"0")</f>
        <v>0</v>
      </c>
      <c r="R1660" s="111">
        <v>0</v>
      </c>
      <c r="S1660" s="51">
        <v>0</v>
      </c>
      <c r="T1660" s="339">
        <f t="shared" si="471"/>
        <v>0</v>
      </c>
      <c r="V1660" s="371">
        <v>0.19</v>
      </c>
      <c r="W1660" s="69">
        <v>3</v>
      </c>
      <c r="X1660" s="100">
        <v>1.44</v>
      </c>
      <c r="Y1660" s="37" t="str">
        <f>RTD("money.excel",,"8066","Price")</f>
        <v>無資料</v>
      </c>
      <c r="Z1660" s="69"/>
      <c r="AA1660" s="16" t="e">
        <f t="shared" si="472"/>
        <v>#VALUE!</v>
      </c>
      <c r="AB1660" s="3" t="e">
        <f t="shared" si="473"/>
        <v>#VALUE!</v>
      </c>
      <c r="AC1660" s="177" t="s">
        <v>2929</v>
      </c>
      <c r="AD1660" s="17" t="s">
        <v>1374</v>
      </c>
      <c r="AG1660" s="34">
        <f t="shared" si="474"/>
        <v>0</v>
      </c>
      <c r="AH1660" s="44" t="s">
        <v>4176</v>
      </c>
      <c r="AI1660" s="131"/>
      <c r="AK1660" s="66">
        <f t="shared" si="479"/>
        <v>0</v>
      </c>
      <c r="AL1660" s="174">
        <f t="shared" si="480"/>
        <v>0</v>
      </c>
      <c r="AM1660" s="346">
        <f>RTD("money.excel",,$G1660,"PredictVolume")</f>
        <v>0</v>
      </c>
      <c r="AN1660" s="272">
        <f>RTD("money.excel",,$G1660,"CumulativeVolume")</f>
        <v>0</v>
      </c>
      <c r="AO1660" s="284"/>
    </row>
    <row r="1661" spans="1:41">
      <c r="A1661" s="151" t="s">
        <v>2497</v>
      </c>
      <c r="B1661" s="96">
        <v>-674</v>
      </c>
      <c r="C1661" s="96">
        <v>-604</v>
      </c>
      <c r="D1661" s="96">
        <v>76</v>
      </c>
      <c r="E1661" s="96">
        <v>-55</v>
      </c>
      <c r="F1661" s="77">
        <v>-168.94</v>
      </c>
      <c r="G1661" s="85">
        <v>8429</v>
      </c>
      <c r="H1661" s="4" t="s">
        <v>562</v>
      </c>
      <c r="I1661" s="23" t="s">
        <v>1390</v>
      </c>
      <c r="J1661" s="77">
        <v>46.45</v>
      </c>
      <c r="K1661" s="77">
        <v>43.44</v>
      </c>
      <c r="L1661" s="77">
        <v>13.44</v>
      </c>
      <c r="N1661" s="365">
        <f t="shared" si="469"/>
        <v>103.33</v>
      </c>
      <c r="O1661" s="343">
        <f t="shared" si="470"/>
        <v>46.45</v>
      </c>
      <c r="P1661" s="195" t="s">
        <v>5554</v>
      </c>
      <c r="Q1661" s="326">
        <f>IFERROR(VLOOKUP($G1661,主力整理!$A$2:$G$2301,6,0),"0")</f>
        <v>1</v>
      </c>
      <c r="T1661" s="339">
        <f t="shared" si="471"/>
        <v>1</v>
      </c>
      <c r="V1661" s="371">
        <v>25.05</v>
      </c>
      <c r="W1661" s="35">
        <v>0.02</v>
      </c>
      <c r="X1661" s="59">
        <v>-2.7</v>
      </c>
      <c r="Y1661" s="37" t="str">
        <f>RTD("money.excel",,"8429","Price")</f>
        <v>無資料</v>
      </c>
      <c r="Z1661" s="69"/>
      <c r="AA1661" s="16" t="e">
        <f t="shared" si="472"/>
        <v>#VALUE!</v>
      </c>
      <c r="AB1661" s="3" t="e">
        <f t="shared" si="473"/>
        <v>#VALUE!</v>
      </c>
      <c r="AD1661" s="23" t="s">
        <v>1390</v>
      </c>
      <c r="AG1661" s="34">
        <f t="shared" si="474"/>
        <v>0</v>
      </c>
      <c r="AH1661" s="63" t="s">
        <v>4480</v>
      </c>
      <c r="AI1661" s="131"/>
      <c r="AK1661" s="66">
        <f t="shared" si="479"/>
        <v>0</v>
      </c>
      <c r="AL1661" s="174">
        <f t="shared" si="480"/>
        <v>0</v>
      </c>
      <c r="AM1661" s="346">
        <f>RTD("money.excel",,$G1661,"PredictVolume")</f>
        <v>0</v>
      </c>
      <c r="AN1661" s="272">
        <f>RTD("money.excel",,$G1661,"CumulativeVolume")</f>
        <v>0</v>
      </c>
      <c r="AO1661" s="284"/>
    </row>
    <row r="1662" spans="1:41">
      <c r="A1662" s="135" t="s">
        <v>4743</v>
      </c>
      <c r="B1662" s="96">
        <v>-33</v>
      </c>
      <c r="C1662" s="96">
        <v>-7</v>
      </c>
      <c r="D1662" s="96">
        <v>7</v>
      </c>
      <c r="E1662" s="96">
        <v>-7</v>
      </c>
      <c r="F1662" s="59">
        <v>10.69</v>
      </c>
      <c r="G1662" s="85">
        <v>8433</v>
      </c>
      <c r="H1662" s="4" t="s">
        <v>562</v>
      </c>
      <c r="I1662" s="17" t="s">
        <v>318</v>
      </c>
      <c r="J1662" s="371">
        <v>72.680000000000007</v>
      </c>
      <c r="K1662" s="77">
        <v>1.18</v>
      </c>
      <c r="L1662" s="371">
        <v>2.89</v>
      </c>
      <c r="N1662" s="365">
        <f t="shared" si="469"/>
        <v>76.750000000000014</v>
      </c>
      <c r="O1662" s="343">
        <f t="shared" si="470"/>
        <v>72.680000000000007</v>
      </c>
      <c r="P1662" s="195" t="s">
        <v>5554</v>
      </c>
      <c r="Q1662" s="326" t="str">
        <f>IFERROR(VLOOKUP($G1662,主力整理!$A$2:$G$2301,6,0),"0")</f>
        <v>0</v>
      </c>
      <c r="T1662" s="339">
        <f t="shared" si="471"/>
        <v>0</v>
      </c>
      <c r="V1662" s="371">
        <v>38.42</v>
      </c>
      <c r="W1662" s="35">
        <v>2</v>
      </c>
      <c r="X1662" s="100">
        <v>3.35</v>
      </c>
      <c r="Y1662" s="14" t="str">
        <f>RTD("money.excel",,"8433","Price")</f>
        <v>無資料</v>
      </c>
      <c r="Z1662" s="69"/>
      <c r="AA1662" s="16" t="e">
        <f t="shared" si="472"/>
        <v>#VALUE!</v>
      </c>
      <c r="AB1662" s="3" t="e">
        <f t="shared" si="473"/>
        <v>#VALUE!</v>
      </c>
      <c r="AD1662" s="17" t="s">
        <v>318</v>
      </c>
      <c r="AG1662" s="34">
        <f t="shared" si="474"/>
        <v>0</v>
      </c>
      <c r="AH1662" s="126" t="s">
        <v>2134</v>
      </c>
      <c r="AI1662" s="131"/>
      <c r="AK1662" s="66">
        <f t="shared" si="479"/>
        <v>0</v>
      </c>
      <c r="AL1662" s="174">
        <f t="shared" si="480"/>
        <v>0</v>
      </c>
      <c r="AM1662" s="346">
        <f>RTD("money.excel",,$G1662,"PredictVolume")</f>
        <v>0</v>
      </c>
      <c r="AN1662" s="272">
        <f>RTD("money.excel",,$G1662,"CumulativeVolume")</f>
        <v>0</v>
      </c>
      <c r="AO1662" s="284"/>
    </row>
    <row r="1663" spans="1:41">
      <c r="A1663" s="151" t="s">
        <v>4858</v>
      </c>
      <c r="B1663" s="96">
        <v>-211</v>
      </c>
      <c r="C1663" s="96">
        <v>-140</v>
      </c>
      <c r="D1663" s="96">
        <v>32</v>
      </c>
      <c r="E1663" s="96">
        <v>5</v>
      </c>
      <c r="F1663" s="7">
        <v>-19.54</v>
      </c>
      <c r="G1663" s="85">
        <v>8443</v>
      </c>
      <c r="H1663" s="4" t="s">
        <v>562</v>
      </c>
      <c r="I1663" s="23" t="s">
        <v>1391</v>
      </c>
      <c r="J1663" s="77">
        <v>74.540000000000006</v>
      </c>
      <c r="K1663" s="77">
        <v>8.23</v>
      </c>
      <c r="L1663" s="77">
        <v>2.17</v>
      </c>
      <c r="N1663" s="365">
        <f t="shared" si="469"/>
        <v>84.940000000000012</v>
      </c>
      <c r="O1663" s="343">
        <f t="shared" si="470"/>
        <v>74.540000000000006</v>
      </c>
      <c r="P1663" s="195" t="s">
        <v>5554</v>
      </c>
      <c r="Q1663" s="326" t="str">
        <f>IFERROR(VLOOKUP($G1663,主力整理!$A$2:$G$2301,6,0),"0")</f>
        <v>0</v>
      </c>
      <c r="T1663" s="339">
        <f t="shared" si="471"/>
        <v>0</v>
      </c>
      <c r="V1663" s="371">
        <v>13.19</v>
      </c>
      <c r="W1663" s="35">
        <v>0.15</v>
      </c>
      <c r="X1663" s="100">
        <v>-2.81</v>
      </c>
      <c r="Y1663" s="14" t="str">
        <f>RTD("money.excel",,"8443","Price")</f>
        <v>無資料</v>
      </c>
      <c r="Z1663" s="69"/>
      <c r="AA1663" s="16" t="e">
        <f t="shared" si="472"/>
        <v>#VALUE!</v>
      </c>
      <c r="AB1663" s="3" t="e">
        <f t="shared" si="473"/>
        <v>#VALUE!</v>
      </c>
      <c r="AD1663" s="23" t="s">
        <v>1391</v>
      </c>
      <c r="AG1663" s="34">
        <f t="shared" si="474"/>
        <v>0</v>
      </c>
      <c r="AH1663" s="44" t="s">
        <v>4481</v>
      </c>
      <c r="AI1663" s="131"/>
      <c r="AK1663" s="66">
        <f t="shared" si="479"/>
        <v>0</v>
      </c>
      <c r="AL1663" s="174">
        <f t="shared" si="480"/>
        <v>0</v>
      </c>
      <c r="AM1663" s="346">
        <f>RTD("money.excel",,$G1663,"PredictVolume")</f>
        <v>0</v>
      </c>
      <c r="AN1663" s="272">
        <f>RTD("money.excel",,$G1663,"CumulativeVolume")</f>
        <v>0</v>
      </c>
      <c r="AO1663" s="284"/>
    </row>
    <row r="1664" spans="1:41">
      <c r="A1664" s="151" t="s">
        <v>3085</v>
      </c>
      <c r="B1664" s="84">
        <v>36</v>
      </c>
      <c r="C1664" s="84">
        <v>30</v>
      </c>
      <c r="D1664" s="84">
        <v>87</v>
      </c>
      <c r="E1664" s="84">
        <v>38</v>
      </c>
      <c r="F1664" s="7">
        <v>3.18</v>
      </c>
      <c r="G1664" s="85">
        <v>8454</v>
      </c>
      <c r="H1664" s="4" t="s">
        <v>562</v>
      </c>
      <c r="I1664" s="23" t="s">
        <v>237</v>
      </c>
      <c r="J1664" s="371">
        <v>78.900000000000006</v>
      </c>
      <c r="K1664" s="371">
        <v>35</v>
      </c>
      <c r="L1664" s="371">
        <v>0.66</v>
      </c>
      <c r="N1664" s="365">
        <f t="shared" si="469"/>
        <v>114.56</v>
      </c>
      <c r="O1664" s="343">
        <f t="shared" si="470"/>
        <v>78.900000000000006</v>
      </c>
      <c r="P1664" s="195">
        <v>5</v>
      </c>
      <c r="Q1664" s="326">
        <f>IFERROR(VLOOKUP($G1664,主力整理!$A$2:$G$2301,6,0),"0")</f>
        <v>1</v>
      </c>
      <c r="T1664" s="339">
        <f t="shared" si="471"/>
        <v>6</v>
      </c>
      <c r="V1664" s="371">
        <v>0.03</v>
      </c>
      <c r="W1664" s="69">
        <v>13</v>
      </c>
      <c r="X1664" s="100">
        <v>13.88</v>
      </c>
      <c r="Y1664" s="37" t="str">
        <f>RTD("money.excel",,"8454","Price")</f>
        <v>無資料</v>
      </c>
      <c r="Z1664" s="69"/>
      <c r="AA1664" s="146" t="e">
        <f t="shared" si="472"/>
        <v>#VALUE!</v>
      </c>
      <c r="AB1664" s="3" t="e">
        <f t="shared" si="473"/>
        <v>#VALUE!</v>
      </c>
      <c r="AC1664" s="177" t="s">
        <v>2929</v>
      </c>
      <c r="AD1664" s="23" t="s">
        <v>237</v>
      </c>
      <c r="AG1664" s="34">
        <f t="shared" si="474"/>
        <v>0</v>
      </c>
      <c r="AH1664" s="125" t="s">
        <v>4482</v>
      </c>
      <c r="AI1664" s="131"/>
      <c r="AK1664" s="66">
        <f t="shared" si="479"/>
        <v>0</v>
      </c>
      <c r="AL1664" s="174">
        <f t="shared" si="480"/>
        <v>0</v>
      </c>
      <c r="AM1664" s="346">
        <f>RTD("money.excel",,$G1664,"PredictVolume")</f>
        <v>0</v>
      </c>
      <c r="AN1664" s="272">
        <f>RTD("money.excel",,$G1664,"CumulativeVolume")</f>
        <v>0</v>
      </c>
      <c r="AO1664" s="284"/>
    </row>
    <row r="1665" spans="1:41">
      <c r="A1665" s="151" t="s">
        <v>4690</v>
      </c>
      <c r="B1665" s="96">
        <v>25</v>
      </c>
      <c r="C1665" s="96">
        <v>111</v>
      </c>
      <c r="D1665" s="96">
        <v>-25</v>
      </c>
      <c r="E1665" s="96">
        <v>45</v>
      </c>
      <c r="F1665" s="7">
        <v>3.04</v>
      </c>
      <c r="G1665" s="85">
        <v>8941</v>
      </c>
      <c r="H1665" s="4" t="s">
        <v>562</v>
      </c>
      <c r="I1665" s="17" t="s">
        <v>1375</v>
      </c>
      <c r="J1665" s="77">
        <v>72.58</v>
      </c>
      <c r="K1665" s="77">
        <v>1.21</v>
      </c>
      <c r="L1665" s="77">
        <v>19.940000000000001</v>
      </c>
      <c r="N1665" s="365">
        <f t="shared" si="469"/>
        <v>93.72999999999999</v>
      </c>
      <c r="O1665" s="343">
        <f t="shared" si="470"/>
        <v>72.58</v>
      </c>
      <c r="P1665" s="195" t="s">
        <v>5554</v>
      </c>
      <c r="Q1665" s="326" t="str">
        <f>IFERROR(VLOOKUP($G1665,主力整理!$A$2:$G$2301,6,0),"0")</f>
        <v>0</v>
      </c>
      <c r="T1665" s="339">
        <f t="shared" si="471"/>
        <v>0</v>
      </c>
      <c r="V1665" s="371">
        <v>39.35</v>
      </c>
      <c r="W1665" s="35">
        <v>2.5</v>
      </c>
      <c r="X1665" s="59">
        <v>2.98</v>
      </c>
      <c r="Y1665" s="37" t="str">
        <f>RTD("money.excel",,"8941","Price")</f>
        <v>無資料</v>
      </c>
      <c r="Z1665" s="69"/>
      <c r="AA1665" s="16" t="e">
        <f t="shared" si="472"/>
        <v>#VALUE!</v>
      </c>
      <c r="AB1665" s="3" t="e">
        <f t="shared" si="473"/>
        <v>#VALUE!</v>
      </c>
      <c r="AD1665" s="17" t="s">
        <v>1375</v>
      </c>
      <c r="AG1665" s="34">
        <f t="shared" si="474"/>
        <v>0</v>
      </c>
      <c r="AH1665" s="44" t="s">
        <v>4177</v>
      </c>
      <c r="AI1665" s="131"/>
      <c r="AK1665" s="66">
        <f t="shared" si="479"/>
        <v>0</v>
      </c>
      <c r="AL1665" s="174">
        <f t="shared" si="480"/>
        <v>0</v>
      </c>
      <c r="AM1665" s="346">
        <f>RTD("money.excel",,$G1665,"PredictVolume")</f>
        <v>0</v>
      </c>
      <c r="AN1665" s="272">
        <f>RTD("money.excel",,$G1665,"CumulativeVolume")</f>
        <v>0</v>
      </c>
      <c r="AO1665" s="284"/>
    </row>
    <row r="1666" spans="1:41">
      <c r="A1666" s="135" t="s">
        <v>4569</v>
      </c>
      <c r="B1666" s="96">
        <v>55</v>
      </c>
      <c r="C1666" s="96">
        <v>98</v>
      </c>
      <c r="D1666" s="96">
        <v>-4</v>
      </c>
      <c r="E1666" s="96">
        <v>41</v>
      </c>
      <c r="F1666" s="59">
        <v>10.83</v>
      </c>
      <c r="G1666" s="85">
        <v>9960</v>
      </c>
      <c r="H1666" s="4" t="s">
        <v>562</v>
      </c>
      <c r="I1666" s="17" t="s">
        <v>1376</v>
      </c>
      <c r="J1666" s="77">
        <v>77.819999999999993</v>
      </c>
      <c r="K1666" s="77">
        <v>5.04</v>
      </c>
      <c r="L1666" s="77">
        <v>64.900000000000006</v>
      </c>
      <c r="N1666" s="365">
        <f t="shared" si="469"/>
        <v>147.76</v>
      </c>
      <c r="O1666" s="343">
        <f t="shared" si="470"/>
        <v>77.819999999999993</v>
      </c>
      <c r="P1666" s="195" t="s">
        <v>5554</v>
      </c>
      <c r="Q1666" s="326" t="str">
        <f>IFERROR(VLOOKUP($G1666,主力整理!$A$2:$G$2301,6,0),"0")</f>
        <v>0</v>
      </c>
      <c r="T1666" s="339">
        <f t="shared" si="471"/>
        <v>0</v>
      </c>
      <c r="V1666" s="371">
        <v>19.64</v>
      </c>
      <c r="W1666" s="35">
        <v>1</v>
      </c>
      <c r="X1666" s="100">
        <v>1.41</v>
      </c>
      <c r="Y1666" s="14" t="str">
        <f>RTD("money.excel",,"9960","Price")</f>
        <v>無資料</v>
      </c>
      <c r="Z1666" s="69"/>
      <c r="AA1666" s="16" t="e">
        <f t="shared" si="472"/>
        <v>#VALUE!</v>
      </c>
      <c r="AB1666" s="3" t="e">
        <f t="shared" si="473"/>
        <v>#VALUE!</v>
      </c>
      <c r="AD1666" s="17" t="s">
        <v>1376</v>
      </c>
      <c r="AG1666" s="34">
        <f t="shared" si="474"/>
        <v>0</v>
      </c>
      <c r="AH1666" s="63" t="s">
        <v>4178</v>
      </c>
      <c r="AI1666" s="131"/>
      <c r="AK1666" s="66">
        <f t="shared" si="479"/>
        <v>0</v>
      </c>
      <c r="AL1666" s="174">
        <f t="shared" si="480"/>
        <v>0</v>
      </c>
      <c r="AM1666" s="346">
        <f>RTD("money.excel",,$G1666,"PredictVolume")</f>
        <v>0</v>
      </c>
      <c r="AN1666" s="272">
        <f>RTD("money.excel",,$G1666,"CumulativeVolume")</f>
        <v>0</v>
      </c>
      <c r="AO1666" s="284"/>
    </row>
    <row r="1667" spans="1:41">
      <c r="B1667" s="96"/>
      <c r="C1667" s="96"/>
      <c r="D1667" s="96"/>
      <c r="E1667" s="96"/>
      <c r="F1667" s="59"/>
      <c r="G1667" s="85"/>
      <c r="H1667" s="4"/>
      <c r="I1667" s="17"/>
      <c r="J1667" s="77"/>
      <c r="K1667" s="77"/>
      <c r="N1667" s="365"/>
      <c r="O1667" s="343"/>
      <c r="P1667" s="195"/>
      <c r="W1667" s="35"/>
      <c r="X1667" s="100"/>
      <c r="Y1667" s="14"/>
      <c r="Z1667" s="69"/>
      <c r="AA1667" s="16"/>
      <c r="AB1667" s="3"/>
      <c r="AD1667" s="17"/>
      <c r="AG1667" s="34"/>
      <c r="AH1667" s="63"/>
      <c r="AI1667" s="131"/>
      <c r="AK1667" s="66"/>
      <c r="AL1667" s="174"/>
      <c r="AM1667" s="346"/>
      <c r="AN1667" s="272"/>
      <c r="AO1667" s="284"/>
    </row>
    <row r="1668" spans="1:41">
      <c r="A1668" s="135" t="s">
        <v>2552</v>
      </c>
      <c r="B1668" s="96" t="s">
        <v>2331</v>
      </c>
      <c r="C1668" s="96" t="s">
        <v>2332</v>
      </c>
      <c r="D1668" s="96" t="s">
        <v>2333</v>
      </c>
      <c r="E1668" s="96" t="s">
        <v>2334</v>
      </c>
      <c r="F1668" s="9" t="s">
        <v>1709</v>
      </c>
      <c r="G1668" s="52" t="s">
        <v>1609</v>
      </c>
      <c r="H1668" s="56" t="s">
        <v>578</v>
      </c>
      <c r="I1668" s="9" t="s">
        <v>564</v>
      </c>
      <c r="J1668" s="364" t="s">
        <v>2189</v>
      </c>
      <c r="K1668" s="364" t="s">
        <v>1820</v>
      </c>
      <c r="L1668" s="364" t="s">
        <v>515</v>
      </c>
      <c r="M1668" s="364" t="s">
        <v>1699</v>
      </c>
      <c r="N1668" s="364" t="s">
        <v>6604</v>
      </c>
      <c r="O1668" s="343" t="s">
        <v>6620</v>
      </c>
      <c r="P1668" s="83" t="s">
        <v>5279</v>
      </c>
      <c r="Q1668" s="326" t="s">
        <v>5514</v>
      </c>
      <c r="R1668" s="31" t="s">
        <v>6596</v>
      </c>
      <c r="S1668" s="51" t="s">
        <v>6597</v>
      </c>
      <c r="T1668" s="338" t="s">
        <v>5627</v>
      </c>
      <c r="U1668" s="330" t="s">
        <v>6537</v>
      </c>
      <c r="V1668" s="377" t="s">
        <v>6616</v>
      </c>
      <c r="W1668" s="11" t="s">
        <v>127</v>
      </c>
      <c r="X1668" s="71" t="s">
        <v>5216</v>
      </c>
      <c r="Y1668" s="29" t="s">
        <v>3</v>
      </c>
      <c r="Z1668" s="18" t="s">
        <v>2113</v>
      </c>
      <c r="AA1668" s="15" t="s">
        <v>8</v>
      </c>
      <c r="AB1668" s="22" t="s">
        <v>4</v>
      </c>
      <c r="AC1668" s="358" t="s">
        <v>211</v>
      </c>
      <c r="AD1668" s="9" t="s">
        <v>564</v>
      </c>
      <c r="AE1668" s="75" t="s">
        <v>2114</v>
      </c>
      <c r="AF1668" s="76" t="s">
        <v>1826</v>
      </c>
      <c r="AG1668" s="33" t="s">
        <v>1827</v>
      </c>
      <c r="AH1668" s="44"/>
      <c r="AI1668" s="131"/>
      <c r="AK1668" s="9" t="s">
        <v>6666</v>
      </c>
      <c r="AL1668" s="5" t="s">
        <v>6667</v>
      </c>
      <c r="AM1668" s="51" t="s">
        <v>5339</v>
      </c>
      <c r="AN1668" s="276" t="s">
        <v>6665</v>
      </c>
      <c r="AO1668" s="284"/>
    </row>
    <row r="1669" spans="1:41">
      <c r="A1669" s="151" t="s">
        <v>3301</v>
      </c>
      <c r="B1669" s="96">
        <v>7</v>
      </c>
      <c r="C1669" s="96">
        <v>185</v>
      </c>
      <c r="D1669" s="96">
        <v>4</v>
      </c>
      <c r="E1669" s="96">
        <v>1</v>
      </c>
      <c r="F1669" s="7">
        <v>2.48</v>
      </c>
      <c r="G1669" s="85">
        <v>2616</v>
      </c>
      <c r="H1669" s="4" t="s">
        <v>564</v>
      </c>
      <c r="I1669" s="23" t="s">
        <v>1614</v>
      </c>
      <c r="J1669" s="77">
        <v>59.59</v>
      </c>
      <c r="K1669" s="77">
        <v>3.73</v>
      </c>
      <c r="L1669" s="77">
        <v>0.18</v>
      </c>
      <c r="N1669" s="365">
        <f t="shared" ref="N1669:N1679" si="481">J1669+K1669+L1669+M1669</f>
        <v>63.5</v>
      </c>
      <c r="O1669" s="343">
        <f t="shared" ref="O1669:O1680" si="482">J1669+M1669</f>
        <v>59.59</v>
      </c>
      <c r="P1669" s="195" t="s">
        <v>5554</v>
      </c>
      <c r="Q1669" s="326" t="str">
        <f>IFERROR(VLOOKUP($G1669,主力整理!$A$2:$G$2301,6,0),"0")</f>
        <v>0</v>
      </c>
      <c r="T1669" s="339">
        <f t="shared" ref="T1669:T1680" si="483">SUM(P1669:S1669)</f>
        <v>0</v>
      </c>
      <c r="V1669" s="371">
        <v>29.98</v>
      </c>
      <c r="W1669" s="35">
        <v>2.2000000000000002</v>
      </c>
      <c r="X1669" s="100">
        <v>2.73</v>
      </c>
      <c r="Y1669" s="14" t="str">
        <f>RTD("money.excel",,"2616","Price")</f>
        <v>無資料</v>
      </c>
      <c r="Z1669" s="69"/>
      <c r="AA1669" s="16" t="e">
        <f t="shared" ref="AA1669:AA1680" si="484">Y1669-Z1669</f>
        <v>#VALUE!</v>
      </c>
      <c r="AB1669" s="3" t="e">
        <f t="shared" ref="AB1669:AB1680" si="485">AA1669/Z1669</f>
        <v>#VALUE!</v>
      </c>
      <c r="AD1669" s="23" t="s">
        <v>1614</v>
      </c>
      <c r="AG1669" s="34">
        <f t="shared" ref="AG1669:AG1680" si="486">AF1669-AE1669</f>
        <v>0</v>
      </c>
      <c r="AH1669" s="44" t="s">
        <v>4226</v>
      </c>
      <c r="AI1669" s="131"/>
      <c r="AK1669" s="66">
        <f>AM1669/(A1669*10000)</f>
        <v>0</v>
      </c>
      <c r="AL1669" s="174">
        <f>AN1669/(A1669*10000)</f>
        <v>0</v>
      </c>
      <c r="AM1669" s="346">
        <f>RTD("money.excel",,$G1669,"PredictVolume")</f>
        <v>0</v>
      </c>
      <c r="AN1669" s="272">
        <f>RTD("money.excel",,$G1669,"CumulativeVolume")</f>
        <v>0</v>
      </c>
      <c r="AO1669" s="284"/>
    </row>
    <row r="1670" spans="1:41">
      <c r="A1670" s="151" t="s">
        <v>3044</v>
      </c>
      <c r="B1670" s="85">
        <v>-1</v>
      </c>
      <c r="C1670" s="84">
        <v>125</v>
      </c>
      <c r="D1670" s="84">
        <v>31</v>
      </c>
      <c r="E1670" s="84">
        <v>48</v>
      </c>
      <c r="F1670" s="7">
        <v>4.4000000000000004</v>
      </c>
      <c r="G1670" s="85">
        <v>8926</v>
      </c>
      <c r="H1670" s="4" t="s">
        <v>564</v>
      </c>
      <c r="I1670" s="23" t="s">
        <v>1615</v>
      </c>
      <c r="J1670" s="371">
        <v>53.91</v>
      </c>
      <c r="K1670" s="371">
        <v>7.72</v>
      </c>
      <c r="L1670" s="371">
        <v>3.54</v>
      </c>
      <c r="N1670" s="365">
        <f t="shared" si="481"/>
        <v>65.17</v>
      </c>
      <c r="O1670" s="343">
        <f t="shared" si="482"/>
        <v>53.91</v>
      </c>
      <c r="P1670" s="195" t="s">
        <v>5554</v>
      </c>
      <c r="Q1670" s="326" t="str">
        <f>IFERROR(VLOOKUP($G1670,主力整理!$A$2:$G$2301,6,0),"0")</f>
        <v>0</v>
      </c>
      <c r="T1670" s="339">
        <f t="shared" si="483"/>
        <v>0</v>
      </c>
      <c r="V1670" s="371">
        <v>0.01</v>
      </c>
      <c r="W1670" s="35">
        <v>1.9</v>
      </c>
      <c r="X1670" s="100">
        <v>1.81</v>
      </c>
      <c r="Y1670" s="37" t="str">
        <f>RTD("money.excel",,"8926","Price")</f>
        <v>無資料</v>
      </c>
      <c r="Z1670" s="69"/>
      <c r="AA1670" s="16" t="e">
        <f t="shared" si="484"/>
        <v>#VALUE!</v>
      </c>
      <c r="AB1670" s="3" t="e">
        <f t="shared" si="485"/>
        <v>#VALUE!</v>
      </c>
      <c r="AD1670" s="23" t="s">
        <v>1615</v>
      </c>
      <c r="AG1670" s="34">
        <f t="shared" si="486"/>
        <v>0</v>
      </c>
      <c r="AH1670" s="44" t="s">
        <v>3047</v>
      </c>
      <c r="AI1670" s="131"/>
      <c r="AK1670" s="66">
        <f t="shared" ref="AK1670:AK1679" si="487">AM1670/(A1670*10000)</f>
        <v>0</v>
      </c>
      <c r="AL1670" s="174">
        <f t="shared" ref="AL1670:AL1679" si="488">AN1670/(A1670*10000)</f>
        <v>0</v>
      </c>
      <c r="AM1670" s="346">
        <f>RTD("money.excel",,$G1670,"PredictVolume")</f>
        <v>0</v>
      </c>
      <c r="AN1670" s="272">
        <f>RTD("money.excel",,$G1670,"CumulativeVolume")</f>
        <v>0</v>
      </c>
      <c r="AO1670" s="284"/>
    </row>
    <row r="1671" spans="1:41">
      <c r="A1671" s="135" t="s">
        <v>2481</v>
      </c>
      <c r="B1671" s="84">
        <v>22</v>
      </c>
      <c r="C1671" s="84">
        <v>34</v>
      </c>
      <c r="D1671" s="84">
        <v>0</v>
      </c>
      <c r="E1671" s="85">
        <v>-6</v>
      </c>
      <c r="F1671" s="59">
        <v>19.16</v>
      </c>
      <c r="G1671" s="85">
        <v>8917</v>
      </c>
      <c r="H1671" s="4" t="s">
        <v>564</v>
      </c>
      <c r="I1671" s="17" t="s">
        <v>1611</v>
      </c>
      <c r="J1671" s="77">
        <v>65.709999999999994</v>
      </c>
      <c r="K1671" s="77">
        <v>1.3</v>
      </c>
      <c r="L1671" s="77">
        <v>0.01</v>
      </c>
      <c r="N1671" s="365">
        <f t="shared" si="481"/>
        <v>67.02</v>
      </c>
      <c r="O1671" s="343">
        <f t="shared" si="482"/>
        <v>65.709999999999994</v>
      </c>
      <c r="P1671" s="195" t="s">
        <v>5554</v>
      </c>
      <c r="Q1671" s="326" t="str">
        <f>IFERROR(VLOOKUP($G1671,主力整理!$A$2:$G$2301,6,0),"0")</f>
        <v>0</v>
      </c>
      <c r="T1671" s="339">
        <f t="shared" si="483"/>
        <v>0</v>
      </c>
      <c r="V1671" s="371">
        <v>0</v>
      </c>
      <c r="W1671" s="35">
        <v>2.5</v>
      </c>
      <c r="X1671" s="100">
        <v>2.4700000000000002</v>
      </c>
      <c r="Y1671" s="37" t="str">
        <f>RTD("money.excel",,"8917","Price")</f>
        <v>無資料</v>
      </c>
      <c r="Z1671" s="69"/>
      <c r="AA1671" s="16" t="e">
        <f t="shared" si="484"/>
        <v>#VALUE!</v>
      </c>
      <c r="AB1671" s="3" t="e">
        <f t="shared" si="485"/>
        <v>#VALUE!</v>
      </c>
      <c r="AD1671" s="17" t="s">
        <v>1611</v>
      </c>
      <c r="AG1671" s="34">
        <f t="shared" si="486"/>
        <v>0</v>
      </c>
      <c r="AH1671" s="63" t="s">
        <v>4225</v>
      </c>
      <c r="AI1671" s="131"/>
      <c r="AK1671" s="66">
        <f t="shared" si="487"/>
        <v>0</v>
      </c>
      <c r="AL1671" s="174">
        <f t="shared" si="488"/>
        <v>0</v>
      </c>
      <c r="AM1671" s="346">
        <f>RTD("money.excel",,$G1671,"PredictVolume")</f>
        <v>0</v>
      </c>
      <c r="AN1671" s="272">
        <f>RTD("money.excel",,$G1671,"CumulativeVolume")</f>
        <v>0</v>
      </c>
      <c r="AO1671" s="284"/>
    </row>
    <row r="1672" spans="1:41">
      <c r="A1672" s="135" t="s">
        <v>3238</v>
      </c>
      <c r="B1672" s="96">
        <v>-4</v>
      </c>
      <c r="C1672" s="96">
        <v>-17</v>
      </c>
      <c r="D1672" s="96">
        <v>6</v>
      </c>
      <c r="E1672" s="96">
        <v>-15</v>
      </c>
      <c r="F1672" s="59">
        <v>14.84</v>
      </c>
      <c r="G1672" s="85">
        <v>9931</v>
      </c>
      <c r="H1672" s="4" t="s">
        <v>564</v>
      </c>
      <c r="I1672" s="23" t="s">
        <v>1619</v>
      </c>
      <c r="J1672" s="77">
        <v>78.19</v>
      </c>
      <c r="K1672" s="77">
        <v>0.41</v>
      </c>
      <c r="L1672" s="77">
        <v>0.03</v>
      </c>
      <c r="N1672" s="365">
        <f t="shared" si="481"/>
        <v>78.63</v>
      </c>
      <c r="O1672" s="343">
        <f t="shared" si="482"/>
        <v>78.19</v>
      </c>
      <c r="P1672" s="195" t="s">
        <v>5554</v>
      </c>
      <c r="Q1672" s="326" t="str">
        <f>IFERROR(VLOOKUP($G1672,主力整理!$A$2:$G$2301,6,0),"0")</f>
        <v>0</v>
      </c>
      <c r="T1672" s="339">
        <f t="shared" si="483"/>
        <v>0</v>
      </c>
      <c r="V1672" s="371">
        <v>27.66</v>
      </c>
      <c r="W1672" s="35">
        <v>1.3</v>
      </c>
      <c r="X1672" s="100">
        <v>1.79</v>
      </c>
      <c r="Y1672" s="14" t="str">
        <f>RTD("money.excel",,"9931","Price")</f>
        <v>無資料</v>
      </c>
      <c r="Z1672" s="69"/>
      <c r="AA1672" s="16" t="e">
        <f t="shared" si="484"/>
        <v>#VALUE!</v>
      </c>
      <c r="AB1672" s="3" t="e">
        <f t="shared" si="485"/>
        <v>#VALUE!</v>
      </c>
      <c r="AD1672" s="23" t="s">
        <v>1619</v>
      </c>
      <c r="AG1672" s="34">
        <f t="shared" si="486"/>
        <v>0</v>
      </c>
      <c r="AH1672" s="63" t="s">
        <v>4225</v>
      </c>
      <c r="AI1672" s="131"/>
      <c r="AK1672" s="66">
        <f t="shared" si="487"/>
        <v>0</v>
      </c>
      <c r="AL1672" s="174">
        <f t="shared" si="488"/>
        <v>0</v>
      </c>
      <c r="AM1672" s="346">
        <f>RTD("money.excel",,$G1672,"PredictVolume")</f>
        <v>0</v>
      </c>
      <c r="AN1672" s="272">
        <f>RTD("money.excel",,$G1672,"CumulativeVolume")</f>
        <v>0</v>
      </c>
      <c r="AO1672" s="284"/>
    </row>
    <row r="1673" spans="1:41">
      <c r="A1673" s="135" t="s">
        <v>2455</v>
      </c>
      <c r="B1673" s="84">
        <v>24</v>
      </c>
      <c r="C1673" s="84">
        <v>43</v>
      </c>
      <c r="D1673" s="84">
        <v>28</v>
      </c>
      <c r="E1673" s="85">
        <v>-8</v>
      </c>
      <c r="F1673" s="59">
        <v>14.17</v>
      </c>
      <c r="G1673" s="85">
        <v>8931</v>
      </c>
      <c r="H1673" s="4" t="s">
        <v>564</v>
      </c>
      <c r="I1673" s="17" t="s">
        <v>1613</v>
      </c>
      <c r="J1673" s="77">
        <v>74.75</v>
      </c>
      <c r="K1673" s="77">
        <v>0.18</v>
      </c>
      <c r="L1673" s="77">
        <v>7.75</v>
      </c>
      <c r="N1673" s="365">
        <f t="shared" si="481"/>
        <v>82.68</v>
      </c>
      <c r="O1673" s="343">
        <f t="shared" si="482"/>
        <v>74.75</v>
      </c>
      <c r="P1673" s="195" t="s">
        <v>5554</v>
      </c>
      <c r="Q1673" s="326" t="str">
        <f>IFERROR(VLOOKUP($G1673,主力整理!$A$2:$G$2301,6,0),"0")</f>
        <v>0</v>
      </c>
      <c r="T1673" s="339">
        <f t="shared" si="483"/>
        <v>0</v>
      </c>
      <c r="V1673" s="371">
        <v>0</v>
      </c>
      <c r="W1673" s="35">
        <v>1.4</v>
      </c>
      <c r="X1673" s="59">
        <v>1.49</v>
      </c>
      <c r="Y1673" s="37" t="str">
        <f>RTD("money.excel",,"8931","Price")</f>
        <v>無資料</v>
      </c>
      <c r="Z1673" s="69"/>
      <c r="AA1673" s="16" t="e">
        <f t="shared" si="484"/>
        <v>#VALUE!</v>
      </c>
      <c r="AB1673" s="3" t="e">
        <f t="shared" si="485"/>
        <v>#VALUE!</v>
      </c>
      <c r="AD1673" s="17" t="s">
        <v>1613</v>
      </c>
      <c r="AG1673" s="34">
        <f t="shared" si="486"/>
        <v>0</v>
      </c>
      <c r="AH1673" s="63" t="s">
        <v>3047</v>
      </c>
      <c r="AI1673" s="131"/>
      <c r="AK1673" s="66">
        <f t="shared" si="487"/>
        <v>0</v>
      </c>
      <c r="AL1673" s="174">
        <f t="shared" si="488"/>
        <v>0</v>
      </c>
      <c r="AM1673" s="346">
        <f>RTD("money.excel",,$G1673,"PredictVolume")</f>
        <v>0</v>
      </c>
      <c r="AN1673" s="272">
        <f>RTD("money.excel",,$G1673,"CumulativeVolume")</f>
        <v>0</v>
      </c>
      <c r="AO1673" s="284"/>
    </row>
    <row r="1674" spans="1:41">
      <c r="A1674" s="135" t="s">
        <v>3171</v>
      </c>
      <c r="B1674" s="96">
        <v>7</v>
      </c>
      <c r="C1674" s="96">
        <v>36</v>
      </c>
      <c r="D1674" s="96">
        <v>31</v>
      </c>
      <c r="E1674" s="96">
        <v>-12</v>
      </c>
      <c r="F1674" s="59">
        <v>16.09</v>
      </c>
      <c r="G1674" s="85">
        <v>9918</v>
      </c>
      <c r="H1674" s="4" t="s">
        <v>564</v>
      </c>
      <c r="I1674" s="23" t="s">
        <v>1617</v>
      </c>
      <c r="J1674" s="77">
        <v>84.02</v>
      </c>
      <c r="K1674" s="77">
        <v>1.04</v>
      </c>
      <c r="L1674" s="77">
        <v>0.04</v>
      </c>
      <c r="N1674" s="365">
        <f t="shared" si="481"/>
        <v>85.100000000000009</v>
      </c>
      <c r="O1674" s="343">
        <f t="shared" si="482"/>
        <v>84.02</v>
      </c>
      <c r="P1674" s="195" t="s">
        <v>5554</v>
      </c>
      <c r="Q1674" s="326" t="str">
        <f>IFERROR(VLOOKUP($G1674,主力整理!$A$2:$G$2301,6,0),"0")</f>
        <v>0</v>
      </c>
      <c r="T1674" s="339">
        <f t="shared" si="483"/>
        <v>0</v>
      </c>
      <c r="V1674" s="371">
        <v>42.54</v>
      </c>
      <c r="W1674" s="35">
        <v>1.6</v>
      </c>
      <c r="X1674" s="100">
        <v>1.84</v>
      </c>
      <c r="Y1674" s="14" t="str">
        <f>RTD("money.excel",,"9918","Price")</f>
        <v>無資料</v>
      </c>
      <c r="Z1674" s="69"/>
      <c r="AA1674" s="16" t="e">
        <f t="shared" si="484"/>
        <v>#VALUE!</v>
      </c>
      <c r="AB1674" s="3" t="e">
        <f t="shared" si="485"/>
        <v>#VALUE!</v>
      </c>
      <c r="AD1674" s="23" t="s">
        <v>1617</v>
      </c>
      <c r="AG1674" s="34">
        <f t="shared" si="486"/>
        <v>0</v>
      </c>
      <c r="AH1674" s="63" t="s">
        <v>4225</v>
      </c>
      <c r="AI1674" s="131"/>
      <c r="AK1674" s="66">
        <f t="shared" si="487"/>
        <v>0</v>
      </c>
      <c r="AL1674" s="174">
        <f t="shared" si="488"/>
        <v>0</v>
      </c>
      <c r="AM1674" s="346">
        <f>RTD("money.excel",,$G1674,"PredictVolume")</f>
        <v>0</v>
      </c>
      <c r="AN1674" s="272">
        <f>RTD("money.excel",,$G1674,"CumulativeVolume")</f>
        <v>0</v>
      </c>
      <c r="AO1674" s="284"/>
    </row>
    <row r="1675" spans="1:41">
      <c r="A1675" s="135" t="s">
        <v>4798</v>
      </c>
      <c r="B1675" s="96">
        <v>16</v>
      </c>
      <c r="C1675" s="96">
        <v>15</v>
      </c>
      <c r="D1675" s="96">
        <v>24</v>
      </c>
      <c r="E1675" s="96">
        <v>2</v>
      </c>
      <c r="F1675" s="59">
        <v>15.58</v>
      </c>
      <c r="G1675" s="85">
        <v>9926</v>
      </c>
      <c r="H1675" s="4" t="s">
        <v>564</v>
      </c>
      <c r="I1675" s="23" t="s">
        <v>1618</v>
      </c>
      <c r="J1675" s="77">
        <v>85.52</v>
      </c>
      <c r="K1675" s="77">
        <v>0.23</v>
      </c>
      <c r="N1675" s="365">
        <f t="shared" si="481"/>
        <v>85.75</v>
      </c>
      <c r="O1675" s="343">
        <f t="shared" si="482"/>
        <v>85.52</v>
      </c>
      <c r="P1675" s="195" t="s">
        <v>5554</v>
      </c>
      <c r="Q1675" s="326" t="str">
        <f>IFERROR(VLOOKUP($G1675,主力整理!$A$2:$G$2301,6,0),"0")</f>
        <v>0</v>
      </c>
      <c r="T1675" s="339">
        <f t="shared" si="483"/>
        <v>0</v>
      </c>
      <c r="V1675" s="371">
        <v>22.05</v>
      </c>
      <c r="W1675" s="35">
        <v>1.8</v>
      </c>
      <c r="X1675" s="100">
        <v>2.34</v>
      </c>
      <c r="Y1675" s="14" t="str">
        <f>RTD("money.excel",,"9926","Price")</f>
        <v>無資料</v>
      </c>
      <c r="Z1675" s="69"/>
      <c r="AA1675" s="16" t="e">
        <f t="shared" si="484"/>
        <v>#VALUE!</v>
      </c>
      <c r="AB1675" s="3" t="e">
        <f t="shared" si="485"/>
        <v>#VALUE!</v>
      </c>
      <c r="AD1675" s="23" t="s">
        <v>1618</v>
      </c>
      <c r="AG1675" s="34">
        <f t="shared" si="486"/>
        <v>0</v>
      </c>
      <c r="AH1675" s="63" t="s">
        <v>4225</v>
      </c>
      <c r="AI1675" s="131"/>
      <c r="AK1675" s="66">
        <f t="shared" si="487"/>
        <v>0</v>
      </c>
      <c r="AL1675" s="174">
        <f t="shared" si="488"/>
        <v>0</v>
      </c>
      <c r="AM1675" s="346">
        <f>RTD("money.excel",,$G1675,"PredictVolume")</f>
        <v>0</v>
      </c>
      <c r="AN1675" s="272">
        <f>RTD("money.excel",,$G1675,"CumulativeVolume")</f>
        <v>0</v>
      </c>
      <c r="AO1675" s="284"/>
    </row>
    <row r="1676" spans="1:41">
      <c r="A1676" s="151" t="s">
        <v>3115</v>
      </c>
      <c r="B1676" s="84">
        <v>4</v>
      </c>
      <c r="C1676" s="85">
        <v>-6</v>
      </c>
      <c r="D1676" s="84">
        <v>10</v>
      </c>
      <c r="E1676" s="85">
        <v>-20</v>
      </c>
      <c r="F1676" s="7">
        <v>7</v>
      </c>
      <c r="G1676" s="85">
        <v>8908</v>
      </c>
      <c r="H1676" s="4" t="s">
        <v>564</v>
      </c>
      <c r="I1676" s="17" t="s">
        <v>1610</v>
      </c>
      <c r="J1676" s="77">
        <v>85.74</v>
      </c>
      <c r="K1676" s="77">
        <v>0.02</v>
      </c>
      <c r="L1676" s="77">
        <v>0.03</v>
      </c>
      <c r="N1676" s="365">
        <f t="shared" si="481"/>
        <v>85.789999999999992</v>
      </c>
      <c r="O1676" s="343">
        <f t="shared" si="482"/>
        <v>85.74</v>
      </c>
      <c r="P1676" s="195" t="s">
        <v>5554</v>
      </c>
      <c r="Q1676" s="326" t="str">
        <f>IFERROR(VLOOKUP($G1676,主力整理!$A$2:$G$2301,6,0),"0")</f>
        <v>0</v>
      </c>
      <c r="T1676" s="339">
        <f t="shared" si="483"/>
        <v>0</v>
      </c>
      <c r="V1676" s="371">
        <v>0</v>
      </c>
      <c r="W1676" s="35">
        <v>1.6</v>
      </c>
      <c r="X1676" s="100">
        <v>2.0299999999999998</v>
      </c>
      <c r="Y1676" s="37" t="str">
        <f>RTD("money.excel",,"8908","Price")</f>
        <v>無資料</v>
      </c>
      <c r="Z1676" s="69"/>
      <c r="AA1676" s="16" t="e">
        <f t="shared" si="484"/>
        <v>#VALUE!</v>
      </c>
      <c r="AB1676" s="3" t="e">
        <f t="shared" si="485"/>
        <v>#VALUE!</v>
      </c>
      <c r="AC1676" s="177" t="s">
        <v>2648</v>
      </c>
      <c r="AD1676" s="17" t="s">
        <v>1610</v>
      </c>
      <c r="AG1676" s="34">
        <f t="shared" si="486"/>
        <v>0</v>
      </c>
      <c r="AH1676" s="44" t="s">
        <v>4225</v>
      </c>
      <c r="AI1676" s="131"/>
      <c r="AK1676" s="66">
        <f t="shared" si="487"/>
        <v>0</v>
      </c>
      <c r="AL1676" s="174">
        <f t="shared" si="488"/>
        <v>0</v>
      </c>
      <c r="AM1676" s="346">
        <f>RTD("money.excel",,$G1676,"PredictVolume")</f>
        <v>0</v>
      </c>
      <c r="AN1676" s="272">
        <f>RTD("money.excel",,$G1676,"CumulativeVolume")</f>
        <v>0</v>
      </c>
      <c r="AO1676" s="284"/>
    </row>
    <row r="1677" spans="1:41">
      <c r="A1677" s="135" t="s">
        <v>3316</v>
      </c>
      <c r="B1677" s="96">
        <v>-5</v>
      </c>
      <c r="C1677" s="96">
        <v>4</v>
      </c>
      <c r="D1677" s="96">
        <v>13</v>
      </c>
      <c r="E1677" s="96">
        <v>-10</v>
      </c>
      <c r="F1677" s="59">
        <v>19.2</v>
      </c>
      <c r="G1677" s="85">
        <v>9908</v>
      </c>
      <c r="H1677" s="4" t="s">
        <v>564</v>
      </c>
      <c r="I1677" s="23" t="s">
        <v>1616</v>
      </c>
      <c r="J1677" s="77">
        <v>84.26</v>
      </c>
      <c r="K1677" s="77">
        <v>2.11</v>
      </c>
      <c r="L1677" s="77">
        <v>0.37</v>
      </c>
      <c r="N1677" s="365">
        <f t="shared" si="481"/>
        <v>86.740000000000009</v>
      </c>
      <c r="O1677" s="343">
        <f t="shared" si="482"/>
        <v>84.26</v>
      </c>
      <c r="P1677" s="195" t="s">
        <v>5554</v>
      </c>
      <c r="Q1677" s="326" t="str">
        <f>IFERROR(VLOOKUP($G1677,主力整理!$A$2:$G$2301,6,0),"0")</f>
        <v>0</v>
      </c>
      <c r="T1677" s="339">
        <f t="shared" si="483"/>
        <v>0</v>
      </c>
      <c r="V1677" s="371">
        <v>24.89</v>
      </c>
      <c r="W1677" s="35">
        <v>1.1000000000000001</v>
      </c>
      <c r="X1677" s="100">
        <v>1.64</v>
      </c>
      <c r="Y1677" s="14" t="str">
        <f>RTD("money.excel",,"9908","Price")</f>
        <v>無資料</v>
      </c>
      <c r="Z1677" s="69"/>
      <c r="AA1677" s="16" t="e">
        <f t="shared" si="484"/>
        <v>#VALUE!</v>
      </c>
      <c r="AB1677" s="3" t="e">
        <f t="shared" si="485"/>
        <v>#VALUE!</v>
      </c>
      <c r="AD1677" s="23" t="s">
        <v>1616</v>
      </c>
      <c r="AG1677" s="34">
        <f t="shared" si="486"/>
        <v>0</v>
      </c>
      <c r="AH1677" s="63" t="s">
        <v>4225</v>
      </c>
      <c r="AI1677" s="131"/>
      <c r="AK1677" s="66">
        <f t="shared" si="487"/>
        <v>0</v>
      </c>
      <c r="AL1677" s="174">
        <f t="shared" si="488"/>
        <v>0</v>
      </c>
      <c r="AM1677" s="346">
        <f>RTD("money.excel",,$G1677,"PredictVolume")</f>
        <v>0</v>
      </c>
      <c r="AN1677" s="272">
        <f>RTD("money.excel",,$G1677,"CumulativeVolume")</f>
        <v>0</v>
      </c>
      <c r="AO1677" s="284"/>
    </row>
    <row r="1678" spans="1:41">
      <c r="A1678" s="151" t="s">
        <v>2449</v>
      </c>
      <c r="B1678" s="96">
        <v>-1</v>
      </c>
      <c r="C1678" s="96">
        <v>-16</v>
      </c>
      <c r="D1678" s="96">
        <v>2</v>
      </c>
      <c r="E1678" s="96">
        <v>-11</v>
      </c>
      <c r="F1678" s="7">
        <v>3.43</v>
      </c>
      <c r="G1678" s="85">
        <v>9937</v>
      </c>
      <c r="H1678" s="4" t="s">
        <v>564</v>
      </c>
      <c r="I1678" s="23" t="s">
        <v>1620</v>
      </c>
      <c r="J1678" s="77">
        <v>87.79</v>
      </c>
      <c r="K1678" s="77">
        <v>1.9</v>
      </c>
      <c r="L1678" s="77">
        <v>0.13</v>
      </c>
      <c r="N1678" s="365">
        <f t="shared" si="481"/>
        <v>89.820000000000007</v>
      </c>
      <c r="O1678" s="343">
        <f t="shared" si="482"/>
        <v>87.79</v>
      </c>
      <c r="P1678" s="195" t="s">
        <v>5554</v>
      </c>
      <c r="Q1678" s="326" t="str">
        <f>IFERROR(VLOOKUP($G1678,主力整理!$A$2:$G$2301,6,0),"0")</f>
        <v>0</v>
      </c>
      <c r="T1678" s="339">
        <f t="shared" si="483"/>
        <v>0</v>
      </c>
      <c r="V1678" s="371">
        <v>11.68</v>
      </c>
      <c r="W1678" s="35">
        <v>2.2999999999999998</v>
      </c>
      <c r="X1678" s="100">
        <v>2.57</v>
      </c>
      <c r="Y1678" s="14" t="str">
        <f>RTD("money.excel",,"9937","Price")</f>
        <v>無資料</v>
      </c>
      <c r="Z1678" s="69"/>
      <c r="AA1678" s="16" t="e">
        <f t="shared" si="484"/>
        <v>#VALUE!</v>
      </c>
      <c r="AB1678" s="3" t="e">
        <f t="shared" si="485"/>
        <v>#VALUE!</v>
      </c>
      <c r="AD1678" s="23" t="s">
        <v>1620</v>
      </c>
      <c r="AG1678" s="34">
        <f t="shared" si="486"/>
        <v>0</v>
      </c>
      <c r="AH1678" s="44" t="s">
        <v>4226</v>
      </c>
      <c r="AI1678" s="131"/>
      <c r="AK1678" s="66">
        <f t="shared" si="487"/>
        <v>0</v>
      </c>
      <c r="AL1678" s="174">
        <f t="shared" si="488"/>
        <v>0</v>
      </c>
      <c r="AM1678" s="346">
        <f>RTD("money.excel",,$G1678,"PredictVolume")</f>
        <v>0</v>
      </c>
      <c r="AN1678" s="272">
        <f>RTD("money.excel",,$G1678,"CumulativeVolume")</f>
        <v>0</v>
      </c>
      <c r="AO1678" s="284"/>
    </row>
    <row r="1679" spans="1:41">
      <c r="A1679" s="151" t="s">
        <v>2528</v>
      </c>
      <c r="B1679" s="85">
        <v>-109</v>
      </c>
      <c r="C1679" s="85">
        <v>-131</v>
      </c>
      <c r="D1679" s="84">
        <v>4</v>
      </c>
      <c r="E1679" s="85">
        <v>-27</v>
      </c>
      <c r="F1679" s="7">
        <v>-2.85</v>
      </c>
      <c r="G1679" s="85">
        <v>6505</v>
      </c>
      <c r="H1679" s="11" t="s">
        <v>564</v>
      </c>
      <c r="I1679" s="23" t="s">
        <v>6</v>
      </c>
      <c r="J1679" s="374">
        <v>96.56</v>
      </c>
      <c r="K1679" s="371">
        <v>7.63</v>
      </c>
      <c r="L1679" s="77">
        <v>0.04</v>
      </c>
      <c r="N1679" s="365">
        <f t="shared" si="481"/>
        <v>104.23</v>
      </c>
      <c r="O1679" s="343">
        <f t="shared" si="482"/>
        <v>96.56</v>
      </c>
      <c r="P1679" s="195">
        <v>23</v>
      </c>
      <c r="Q1679" s="326">
        <f>IFERROR(VLOOKUP($G1679,主力整理!$A$2:$G$2301,6,0),"0")</f>
        <v>10</v>
      </c>
      <c r="T1679" s="339">
        <f t="shared" si="483"/>
        <v>33</v>
      </c>
      <c r="V1679" s="371">
        <v>0</v>
      </c>
      <c r="W1679" s="206">
        <v>0.59</v>
      </c>
      <c r="X1679" s="59">
        <v>0.78</v>
      </c>
      <c r="Y1679" s="37" t="str">
        <f>RTD("money.excel",,"6505","Price")</f>
        <v>無資料</v>
      </c>
      <c r="Z1679" s="68"/>
      <c r="AA1679" s="16" t="e">
        <f t="shared" si="484"/>
        <v>#VALUE!</v>
      </c>
      <c r="AB1679" s="3" t="e">
        <f t="shared" si="485"/>
        <v>#VALUE!</v>
      </c>
      <c r="AC1679" s="177" t="s">
        <v>2648</v>
      </c>
      <c r="AD1679" s="23" t="s">
        <v>6</v>
      </c>
      <c r="AG1679" s="34">
        <f t="shared" si="486"/>
        <v>0</v>
      </c>
      <c r="AH1679" s="44" t="s">
        <v>4097</v>
      </c>
      <c r="AI1679" s="131"/>
      <c r="AK1679" s="66">
        <f t="shared" si="487"/>
        <v>0</v>
      </c>
      <c r="AL1679" s="174">
        <f t="shared" si="488"/>
        <v>0</v>
      </c>
      <c r="AM1679" s="346">
        <f>RTD("money.excel",,$G1679,"PredictVolume")</f>
        <v>0</v>
      </c>
      <c r="AN1679" s="272">
        <f>RTD("money.excel",,$G1679,"CumulativeVolume")</f>
        <v>0</v>
      </c>
      <c r="AO1679" s="284"/>
    </row>
    <row r="1680" spans="1:41">
      <c r="A1680" s="151" t="s">
        <v>4804</v>
      </c>
      <c r="B1680" s="84">
        <v>88</v>
      </c>
      <c r="C1680" s="85">
        <v>-41</v>
      </c>
      <c r="D1680" s="84">
        <v>0</v>
      </c>
      <c r="E1680" s="84">
        <v>47</v>
      </c>
      <c r="F1680" s="7">
        <v>1.29</v>
      </c>
      <c r="G1680" s="85">
        <v>8927</v>
      </c>
      <c r="H1680" s="4" t="s">
        <v>564</v>
      </c>
      <c r="I1680" s="17" t="s">
        <v>1612</v>
      </c>
      <c r="J1680" s="371">
        <v>72.430000000000007</v>
      </c>
      <c r="K1680" s="371">
        <v>0.17</v>
      </c>
      <c r="L1680" s="77">
        <v>5.68</v>
      </c>
      <c r="M1680" s="371">
        <v>32.82</v>
      </c>
      <c r="N1680" s="365">
        <f>K1680+J1680+L1680+M1680</f>
        <v>111.1</v>
      </c>
      <c r="O1680" s="369">
        <f t="shared" si="482"/>
        <v>105.25</v>
      </c>
      <c r="P1680" s="195">
        <v>1</v>
      </c>
      <c r="Q1680" s="326">
        <v>12</v>
      </c>
      <c r="R1680" s="111">
        <v>8</v>
      </c>
      <c r="S1680" s="51">
        <v>20</v>
      </c>
      <c r="T1680" s="339">
        <f t="shared" si="483"/>
        <v>41</v>
      </c>
      <c r="U1680" s="329" t="s">
        <v>6539</v>
      </c>
      <c r="V1680" s="371">
        <v>0.37</v>
      </c>
      <c r="W1680" s="35">
        <v>0.47</v>
      </c>
      <c r="X1680" s="59">
        <v>0.95</v>
      </c>
      <c r="Y1680" s="37" t="str">
        <f>RTD("money.excel",,"8927","Price")</f>
        <v>無資料</v>
      </c>
      <c r="Z1680" s="69"/>
      <c r="AA1680" s="16" t="e">
        <f t="shared" si="484"/>
        <v>#VALUE!</v>
      </c>
      <c r="AB1680" s="3" t="e">
        <f t="shared" si="485"/>
        <v>#VALUE!</v>
      </c>
      <c r="AC1680" s="177" t="s">
        <v>2648</v>
      </c>
      <c r="AD1680" s="17" t="s">
        <v>1612</v>
      </c>
      <c r="AG1680" s="34">
        <f t="shared" si="486"/>
        <v>0</v>
      </c>
      <c r="AH1680" s="44" t="s">
        <v>4226</v>
      </c>
      <c r="AI1680" s="131"/>
      <c r="AK1680" s="66">
        <f>AM1680/(A1680*10000)</f>
        <v>0</v>
      </c>
      <c r="AL1680" s="174">
        <f>AN1680/(A1680*10000)</f>
        <v>0</v>
      </c>
      <c r="AM1680" s="346">
        <f>RTD("money.excel",,$G1680,"PredictVolume")</f>
        <v>0</v>
      </c>
      <c r="AN1680" s="272">
        <f>RTD("money.excel",,$G1680,"CumulativeVolume")</f>
        <v>0</v>
      </c>
      <c r="AO1680" s="284"/>
    </row>
    <row r="1681" spans="1:41">
      <c r="A1681" s="151"/>
      <c r="B1681" s="84"/>
      <c r="C1681" s="85"/>
      <c r="D1681" s="84"/>
      <c r="E1681" s="84"/>
      <c r="F1681" s="7"/>
      <c r="G1681" s="85"/>
      <c r="H1681" s="4"/>
      <c r="I1681" s="17"/>
      <c r="J1681" s="371"/>
      <c r="K1681" s="371"/>
      <c r="M1681" s="371"/>
      <c r="N1681" s="365"/>
      <c r="O1681" s="369"/>
      <c r="P1681" s="195"/>
      <c r="W1681" s="35"/>
      <c r="X1681" s="59"/>
      <c r="Y1681" s="37"/>
      <c r="Z1681" s="69"/>
      <c r="AA1681" s="16"/>
      <c r="AB1681" s="3"/>
      <c r="AD1681" s="17"/>
      <c r="AG1681" s="34"/>
      <c r="AH1681" s="44"/>
      <c r="AI1681" s="131"/>
      <c r="AO1681" s="284"/>
    </row>
    <row r="1682" spans="1:41">
      <c r="A1682" s="135" t="s">
        <v>2552</v>
      </c>
      <c r="B1682" s="96" t="s">
        <v>2331</v>
      </c>
      <c r="C1682" s="96" t="s">
        <v>2332</v>
      </c>
      <c r="D1682" s="96" t="s">
        <v>2333</v>
      </c>
      <c r="E1682" s="96" t="s">
        <v>2334</v>
      </c>
      <c r="F1682" s="9" t="s">
        <v>1709</v>
      </c>
      <c r="G1682" s="52" t="s">
        <v>905</v>
      </c>
      <c r="H1682" s="56" t="s">
        <v>578</v>
      </c>
      <c r="I1682" s="31" t="s">
        <v>566</v>
      </c>
      <c r="J1682" s="364" t="s">
        <v>2189</v>
      </c>
      <c r="K1682" s="364" t="s">
        <v>1820</v>
      </c>
      <c r="L1682" s="364" t="s">
        <v>515</v>
      </c>
      <c r="M1682" s="364" t="s">
        <v>1699</v>
      </c>
      <c r="N1682" s="364" t="s">
        <v>6604</v>
      </c>
      <c r="O1682" s="343" t="s">
        <v>6620</v>
      </c>
      <c r="P1682" s="83" t="s">
        <v>5279</v>
      </c>
      <c r="Q1682" s="326" t="s">
        <v>5514</v>
      </c>
      <c r="R1682" s="31" t="s">
        <v>6596</v>
      </c>
      <c r="S1682" s="51" t="s">
        <v>6597</v>
      </c>
      <c r="T1682" s="338" t="s">
        <v>5627</v>
      </c>
      <c r="U1682" s="330" t="s">
        <v>6537</v>
      </c>
      <c r="V1682" s="377" t="s">
        <v>6616</v>
      </c>
      <c r="W1682" s="11" t="s">
        <v>127</v>
      </c>
      <c r="X1682" s="71" t="s">
        <v>5216</v>
      </c>
      <c r="Y1682" s="29" t="s">
        <v>3</v>
      </c>
      <c r="Z1682" s="18" t="s">
        <v>2113</v>
      </c>
      <c r="AA1682" s="15" t="s">
        <v>8</v>
      </c>
      <c r="AB1682" s="22" t="s">
        <v>4</v>
      </c>
      <c r="AC1682" s="358" t="s">
        <v>211</v>
      </c>
      <c r="AD1682" s="31" t="s">
        <v>566</v>
      </c>
      <c r="AE1682" s="75" t="s">
        <v>2114</v>
      </c>
      <c r="AF1682" s="76" t="s">
        <v>1826</v>
      </c>
      <c r="AG1682" s="33" t="s">
        <v>1827</v>
      </c>
      <c r="AH1682" s="44"/>
      <c r="AI1682" s="131"/>
      <c r="AK1682" s="9" t="s">
        <v>6666</v>
      </c>
      <c r="AL1682" s="5" t="s">
        <v>6667</v>
      </c>
      <c r="AM1682" s="51" t="s">
        <v>5339</v>
      </c>
      <c r="AN1682" s="276" t="s">
        <v>6665</v>
      </c>
      <c r="AO1682" s="284"/>
    </row>
    <row r="1683" spans="1:41">
      <c r="A1683" s="151" t="s">
        <v>2925</v>
      </c>
      <c r="B1683" s="85">
        <v>-16</v>
      </c>
      <c r="C1683" s="84">
        <v>11</v>
      </c>
      <c r="D1683" s="85">
        <v>-29</v>
      </c>
      <c r="E1683" s="84">
        <v>46</v>
      </c>
      <c r="F1683" s="7">
        <v>5.99</v>
      </c>
      <c r="G1683" s="85">
        <v>1785</v>
      </c>
      <c r="H1683" s="4" t="s">
        <v>566</v>
      </c>
      <c r="I1683" s="17" t="s">
        <v>556</v>
      </c>
      <c r="J1683" s="371">
        <v>39.29</v>
      </c>
      <c r="K1683" s="77">
        <v>14.23</v>
      </c>
      <c r="L1683" s="77">
        <v>23.09</v>
      </c>
      <c r="N1683" s="365">
        <f t="shared" ref="N1683:N1714" si="489">J1683+K1683+L1683+M1683</f>
        <v>76.61</v>
      </c>
      <c r="O1683" s="343">
        <f t="shared" ref="O1683:O1714" si="490">J1683+M1683</f>
        <v>39.29</v>
      </c>
      <c r="P1683" s="195">
        <v>1</v>
      </c>
      <c r="Q1683" s="326">
        <f>IFERROR(VLOOKUP($G1683,主力整理!$A$2:$G$2301,6,0),"0")</f>
        <v>7</v>
      </c>
      <c r="R1683" s="111">
        <v>13</v>
      </c>
      <c r="T1683" s="339">
        <f t="shared" ref="T1683:T1714" si="491">SUM(P1683:S1683)</f>
        <v>21</v>
      </c>
      <c r="V1683" s="371">
        <v>0.27</v>
      </c>
      <c r="W1683" s="35">
        <v>1</v>
      </c>
      <c r="X1683" s="100">
        <v>1.69</v>
      </c>
      <c r="Y1683" s="37" t="str">
        <f>RTD("money.excel",,"1785","Price")</f>
        <v>無資料</v>
      </c>
      <c r="Z1683" s="69"/>
      <c r="AA1683" s="16" t="e">
        <f t="shared" ref="AA1683:AA1714" si="492">Y1683-Z1683</f>
        <v>#VALUE!</v>
      </c>
      <c r="AB1683" s="3" t="e">
        <f t="shared" ref="AB1683:AB1714" si="493">AA1683/Z1683</f>
        <v>#VALUE!</v>
      </c>
      <c r="AC1683" s="177" t="s">
        <v>2648</v>
      </c>
      <c r="AD1683" s="17" t="s">
        <v>556</v>
      </c>
      <c r="AG1683" s="34">
        <f t="shared" ref="AG1683:AG1714" si="494">AF1683-AE1683</f>
        <v>0</v>
      </c>
      <c r="AH1683" s="44" t="s">
        <v>3619</v>
      </c>
      <c r="AI1683" s="131"/>
      <c r="AK1683" s="66">
        <f t="shared" ref="AK1683:AK1690" si="495">AM1683/(A1683*10000)</f>
        <v>0</v>
      </c>
      <c r="AL1683" s="174">
        <f t="shared" ref="AL1683:AL1690" si="496">AN1683/(A1683*10000)</f>
        <v>0</v>
      </c>
      <c r="AM1683" s="346">
        <f>RTD("money.excel",,$G1683,"PredictVolume")</f>
        <v>0</v>
      </c>
      <c r="AN1683" s="272">
        <f>RTD("money.excel",,$G1683,"CumulativeVolume")</f>
        <v>0</v>
      </c>
      <c r="AO1683" s="284"/>
    </row>
    <row r="1684" spans="1:41">
      <c r="A1684" s="151" t="s">
        <v>3028</v>
      </c>
      <c r="B1684" s="85">
        <v>-20</v>
      </c>
      <c r="C1684" s="85">
        <v>-71</v>
      </c>
      <c r="D1684" s="85">
        <v>-9</v>
      </c>
      <c r="E1684" s="84">
        <v>0</v>
      </c>
      <c r="F1684" s="7">
        <v>0.42</v>
      </c>
      <c r="G1684" s="85">
        <v>2312</v>
      </c>
      <c r="H1684" s="4" t="s">
        <v>566</v>
      </c>
      <c r="I1684" s="23" t="s">
        <v>930</v>
      </c>
      <c r="J1684" s="371">
        <v>59.44</v>
      </c>
      <c r="K1684" s="371">
        <v>11.4</v>
      </c>
      <c r="L1684" s="371">
        <v>16.48</v>
      </c>
      <c r="N1684" s="365">
        <f t="shared" si="489"/>
        <v>87.320000000000007</v>
      </c>
      <c r="O1684" s="343">
        <f t="shared" si="490"/>
        <v>59.44</v>
      </c>
      <c r="P1684" s="195">
        <v>3</v>
      </c>
      <c r="Q1684" s="326">
        <f>IFERROR(VLOOKUP($G1684,主力整理!$A$2:$G$2301,6,0),"0")</f>
        <v>8</v>
      </c>
      <c r="T1684" s="339">
        <f t="shared" si="491"/>
        <v>11</v>
      </c>
      <c r="V1684" s="371">
        <v>0.19</v>
      </c>
      <c r="W1684" s="35">
        <v>0.3</v>
      </c>
      <c r="X1684" s="100">
        <v>0.11</v>
      </c>
      <c r="Y1684" s="37" t="str">
        <f>RTD("money.excel",,"2312","Price")</f>
        <v>無資料</v>
      </c>
      <c r="Z1684" s="69"/>
      <c r="AA1684" s="16" t="e">
        <f t="shared" si="492"/>
        <v>#VALUE!</v>
      </c>
      <c r="AB1684" s="3" t="e">
        <f t="shared" si="493"/>
        <v>#VALUE!</v>
      </c>
      <c r="AC1684" s="177" t="s">
        <v>2648</v>
      </c>
      <c r="AD1684" s="23" t="s">
        <v>930</v>
      </c>
      <c r="AG1684" s="34">
        <f t="shared" si="494"/>
        <v>0</v>
      </c>
      <c r="AH1684" s="44" t="s">
        <v>3029</v>
      </c>
      <c r="AI1684" s="284"/>
      <c r="AK1684" s="66">
        <f t="shared" si="495"/>
        <v>0</v>
      </c>
      <c r="AL1684" s="174">
        <f t="shared" si="496"/>
        <v>0</v>
      </c>
      <c r="AM1684" s="346">
        <f>RTD("money.excel",,$G1684,"PredictVolume")</f>
        <v>0</v>
      </c>
      <c r="AN1684" s="272">
        <f>RTD("money.excel",,$G1684,"CumulativeVolume")</f>
        <v>0</v>
      </c>
      <c r="AO1684" s="284"/>
    </row>
    <row r="1685" spans="1:41">
      <c r="A1685" s="151" t="s">
        <v>2458</v>
      </c>
      <c r="B1685" s="84">
        <v>129</v>
      </c>
      <c r="C1685" s="84">
        <v>122</v>
      </c>
      <c r="D1685" s="84">
        <v>46</v>
      </c>
      <c r="E1685" s="84">
        <v>25</v>
      </c>
      <c r="F1685" s="7">
        <v>2.23</v>
      </c>
      <c r="G1685" s="85">
        <v>2317</v>
      </c>
      <c r="H1685" s="11" t="s">
        <v>566</v>
      </c>
      <c r="I1685" s="23" t="s">
        <v>5</v>
      </c>
      <c r="J1685" s="374">
        <v>71.540000000000006</v>
      </c>
      <c r="K1685" s="371">
        <v>48.88</v>
      </c>
      <c r="L1685" s="77">
        <v>1.51</v>
      </c>
      <c r="N1685" s="365">
        <f t="shared" si="489"/>
        <v>121.93000000000002</v>
      </c>
      <c r="O1685" s="343">
        <f t="shared" si="490"/>
        <v>71.540000000000006</v>
      </c>
      <c r="P1685" s="313">
        <v>100</v>
      </c>
      <c r="Q1685" s="326">
        <v>9</v>
      </c>
      <c r="R1685" s="111">
        <v>1</v>
      </c>
      <c r="S1685" s="51">
        <v>39</v>
      </c>
      <c r="T1685" s="339">
        <f t="shared" si="491"/>
        <v>149</v>
      </c>
      <c r="V1685" s="371">
        <v>0.95</v>
      </c>
      <c r="W1685" s="230">
        <v>4</v>
      </c>
      <c r="X1685" s="59">
        <v>9.7200000000000006</v>
      </c>
      <c r="Y1685" s="14" t="str">
        <f>RTD("money.excel",,"2317","Price")</f>
        <v>無資料</v>
      </c>
      <c r="Z1685" s="68"/>
      <c r="AA1685" s="16" t="e">
        <f t="shared" si="492"/>
        <v>#VALUE!</v>
      </c>
      <c r="AB1685" s="3" t="e">
        <f t="shared" si="493"/>
        <v>#VALUE!</v>
      </c>
      <c r="AC1685" s="177" t="s">
        <v>2929</v>
      </c>
      <c r="AD1685" s="23" t="s">
        <v>5</v>
      </c>
      <c r="AG1685" s="34">
        <f t="shared" si="494"/>
        <v>0</v>
      </c>
      <c r="AH1685" s="44" t="s">
        <v>4030</v>
      </c>
      <c r="AI1685" s="131"/>
      <c r="AK1685" s="66">
        <f t="shared" si="495"/>
        <v>0</v>
      </c>
      <c r="AL1685" s="174">
        <f t="shared" si="496"/>
        <v>0</v>
      </c>
      <c r="AM1685" s="346">
        <f>RTD("money.excel",,$G1685,"PredictVolume")</f>
        <v>0</v>
      </c>
      <c r="AN1685" s="272">
        <f>RTD("money.excel",,$G1685,"CumulativeVolume")</f>
        <v>0</v>
      </c>
      <c r="AO1685" s="284"/>
    </row>
    <row r="1686" spans="1:41">
      <c r="A1686" s="151" t="s">
        <v>2412</v>
      </c>
      <c r="B1686" s="85">
        <v>-33</v>
      </c>
      <c r="C1686" s="85">
        <v>-50</v>
      </c>
      <c r="D1686" s="84">
        <v>33</v>
      </c>
      <c r="E1686" s="84">
        <v>22</v>
      </c>
      <c r="F1686" s="7">
        <v>2.5</v>
      </c>
      <c r="G1686" s="85">
        <v>2354</v>
      </c>
      <c r="H1686" s="11" t="s">
        <v>566</v>
      </c>
      <c r="I1686" s="23" t="s">
        <v>26</v>
      </c>
      <c r="J1686" s="371">
        <v>52.72</v>
      </c>
      <c r="K1686" s="371">
        <v>19.920000000000002</v>
      </c>
      <c r="L1686" s="77">
        <v>6.79</v>
      </c>
      <c r="N1686" s="365">
        <f t="shared" si="489"/>
        <v>79.430000000000007</v>
      </c>
      <c r="O1686" s="343">
        <f t="shared" si="490"/>
        <v>52.72</v>
      </c>
      <c r="P1686" s="195">
        <v>15</v>
      </c>
      <c r="Q1686" s="326">
        <f>IFERROR(VLOOKUP($G1686,主力整理!$A$2:$G$2301,6,0),"0")</f>
        <v>4</v>
      </c>
      <c r="T1686" s="339">
        <f t="shared" si="491"/>
        <v>19</v>
      </c>
      <c r="V1686" s="371">
        <v>0.03</v>
      </c>
      <c r="W1686" s="35">
        <v>1.8</v>
      </c>
      <c r="X1686" s="59">
        <v>3.34</v>
      </c>
      <c r="Y1686" s="37" t="str">
        <f>RTD("money.excel",,"2354","Price")</f>
        <v>無資料</v>
      </c>
      <c r="Z1686" s="69"/>
      <c r="AA1686" s="16" t="e">
        <f t="shared" si="492"/>
        <v>#VALUE!</v>
      </c>
      <c r="AB1686" s="3" t="e">
        <f t="shared" si="493"/>
        <v>#VALUE!</v>
      </c>
      <c r="AC1686" s="177" t="s">
        <v>2648</v>
      </c>
      <c r="AD1686" s="23" t="s">
        <v>26</v>
      </c>
      <c r="AG1686" s="34">
        <f t="shared" si="494"/>
        <v>0</v>
      </c>
      <c r="AH1686" s="125" t="s">
        <v>3674</v>
      </c>
      <c r="AI1686" s="131"/>
      <c r="AK1686" s="66">
        <f t="shared" si="495"/>
        <v>0</v>
      </c>
      <c r="AL1686" s="174">
        <f t="shared" si="496"/>
        <v>0</v>
      </c>
      <c r="AM1686" s="346">
        <f>RTD("money.excel",,$G1686,"PredictVolume")</f>
        <v>0</v>
      </c>
      <c r="AN1686" s="272">
        <f>RTD("money.excel",,$G1686,"CumulativeVolume")</f>
        <v>0</v>
      </c>
      <c r="AO1686" s="284"/>
    </row>
    <row r="1687" spans="1:41">
      <c r="A1687" s="151" t="s">
        <v>4806</v>
      </c>
      <c r="B1687" s="96">
        <v>-79</v>
      </c>
      <c r="C1687" s="96">
        <v>-129</v>
      </c>
      <c r="D1687" s="96">
        <v>-6</v>
      </c>
      <c r="E1687" s="96">
        <v>51</v>
      </c>
      <c r="F1687" s="7">
        <v>3.8</v>
      </c>
      <c r="G1687" s="85">
        <v>2359</v>
      </c>
      <c r="H1687" s="11" t="s">
        <v>566</v>
      </c>
      <c r="I1687" s="23" t="s">
        <v>931</v>
      </c>
      <c r="J1687" s="77">
        <v>50.5</v>
      </c>
      <c r="K1687" s="77">
        <v>3.12</v>
      </c>
      <c r="L1687" s="77">
        <v>17.13</v>
      </c>
      <c r="N1687" s="365">
        <f t="shared" si="489"/>
        <v>70.75</v>
      </c>
      <c r="O1687" s="343">
        <f t="shared" si="490"/>
        <v>50.5</v>
      </c>
      <c r="P1687" s="195" t="s">
        <v>5554</v>
      </c>
      <c r="Q1687" s="326" t="str">
        <f>IFERROR(VLOOKUP($G1687,主力整理!$A$2:$G$2301,6,0),"0")</f>
        <v>0</v>
      </c>
      <c r="T1687" s="339">
        <f t="shared" si="491"/>
        <v>0</v>
      </c>
      <c r="V1687" s="371">
        <v>19.170000000000002</v>
      </c>
      <c r="W1687" s="35">
        <v>0.5</v>
      </c>
      <c r="X1687" s="100">
        <v>0.12</v>
      </c>
      <c r="Y1687" s="14" t="str">
        <f>RTD("money.excel",,"2359","Price")</f>
        <v>無資料</v>
      </c>
      <c r="Z1687" s="69"/>
      <c r="AA1687" s="16" t="e">
        <f t="shared" si="492"/>
        <v>#VALUE!</v>
      </c>
      <c r="AB1687" s="3" t="e">
        <f t="shared" si="493"/>
        <v>#VALUE!</v>
      </c>
      <c r="AD1687" s="23" t="s">
        <v>931</v>
      </c>
      <c r="AG1687" s="34">
        <f t="shared" si="494"/>
        <v>0</v>
      </c>
      <c r="AH1687" s="44" t="s">
        <v>1684</v>
      </c>
      <c r="AI1687" s="131"/>
      <c r="AK1687" s="66">
        <f t="shared" si="495"/>
        <v>0</v>
      </c>
      <c r="AL1687" s="174">
        <f t="shared" si="496"/>
        <v>0</v>
      </c>
      <c r="AM1687" s="346">
        <f>RTD("money.excel",,$G1687,"PredictVolume")</f>
        <v>0</v>
      </c>
      <c r="AN1687" s="272">
        <f>RTD("money.excel",,$G1687,"CumulativeVolume")</f>
        <v>0</v>
      </c>
      <c r="AO1687" s="284"/>
    </row>
    <row r="1688" spans="1:41">
      <c r="A1688" s="135" t="s">
        <v>2988</v>
      </c>
      <c r="B1688" s="84">
        <v>365</v>
      </c>
      <c r="C1688" s="84">
        <v>62</v>
      </c>
      <c r="D1688" s="85">
        <v>-11</v>
      </c>
      <c r="E1688" s="85">
        <v>-11</v>
      </c>
      <c r="F1688" s="59">
        <v>20.81</v>
      </c>
      <c r="G1688" s="85">
        <v>2360</v>
      </c>
      <c r="H1688" s="4" t="s">
        <v>566</v>
      </c>
      <c r="I1688" s="23" t="s">
        <v>90</v>
      </c>
      <c r="J1688" s="371">
        <v>75.64</v>
      </c>
      <c r="K1688" s="77">
        <v>69.83</v>
      </c>
      <c r="L1688" s="77">
        <v>0.73</v>
      </c>
      <c r="N1688" s="365">
        <f t="shared" si="489"/>
        <v>146.19999999999999</v>
      </c>
      <c r="O1688" s="343">
        <f t="shared" si="490"/>
        <v>75.64</v>
      </c>
      <c r="P1688" s="195">
        <v>4</v>
      </c>
      <c r="Q1688" s="326" t="str">
        <f>IFERROR(VLOOKUP($G1688,主力整理!$A$2:$G$2301,6,0),"0")</f>
        <v>0</v>
      </c>
      <c r="R1688" s="111">
        <v>4</v>
      </c>
      <c r="S1688" s="51">
        <v>13</v>
      </c>
      <c r="T1688" s="339">
        <f t="shared" si="491"/>
        <v>21</v>
      </c>
      <c r="V1688" s="371">
        <v>1.03</v>
      </c>
      <c r="W1688" s="69">
        <v>4.5</v>
      </c>
      <c r="X1688" s="59">
        <v>9.81</v>
      </c>
      <c r="Y1688" s="14" t="str">
        <f>RTD("money.excel",,"2360","Price")</f>
        <v>無資料</v>
      </c>
      <c r="Z1688" s="69"/>
      <c r="AA1688" s="16" t="e">
        <f t="shared" si="492"/>
        <v>#VALUE!</v>
      </c>
      <c r="AB1688" s="3" t="e">
        <f t="shared" si="493"/>
        <v>#VALUE!</v>
      </c>
      <c r="AC1688" s="177" t="s">
        <v>2929</v>
      </c>
      <c r="AD1688" s="23" t="s">
        <v>90</v>
      </c>
      <c r="AG1688" s="34">
        <f t="shared" si="494"/>
        <v>0</v>
      </c>
      <c r="AH1688" s="126" t="s">
        <v>4954</v>
      </c>
      <c r="AI1688" s="131"/>
      <c r="AK1688" s="66">
        <f t="shared" si="495"/>
        <v>0</v>
      </c>
      <c r="AL1688" s="174">
        <f t="shared" si="496"/>
        <v>0</v>
      </c>
      <c r="AM1688" s="346">
        <f>RTD("money.excel",,$G1688,"PredictVolume")</f>
        <v>0</v>
      </c>
      <c r="AN1688" s="272">
        <f>RTD("money.excel",,$G1688,"CumulativeVolume")</f>
        <v>0</v>
      </c>
      <c r="AO1688" s="284"/>
    </row>
    <row r="1689" spans="1:41">
      <c r="A1689" s="151" t="s">
        <v>2446</v>
      </c>
      <c r="B1689" s="85">
        <v>-21</v>
      </c>
      <c r="C1689" s="85">
        <v>-20</v>
      </c>
      <c r="D1689" s="85">
        <v>-1</v>
      </c>
      <c r="E1689" s="85">
        <v>-2</v>
      </c>
      <c r="F1689" s="7">
        <v>8.5299999999999994</v>
      </c>
      <c r="G1689" s="85">
        <v>2373</v>
      </c>
      <c r="H1689" s="4" t="s">
        <v>566</v>
      </c>
      <c r="I1689" s="24" t="s">
        <v>458</v>
      </c>
      <c r="J1689" s="77">
        <v>90.27</v>
      </c>
      <c r="K1689" s="371">
        <v>1.75</v>
      </c>
      <c r="L1689" s="77">
        <v>0.11</v>
      </c>
      <c r="N1689" s="365">
        <f t="shared" si="489"/>
        <v>92.13</v>
      </c>
      <c r="O1689" s="343">
        <f t="shared" si="490"/>
        <v>90.27</v>
      </c>
      <c r="P1689" s="195" t="s">
        <v>5554</v>
      </c>
      <c r="Q1689" s="326" t="str">
        <f>IFERROR(VLOOKUP($G1689,主力整理!$A$2:$G$2301,6,0),"0")</f>
        <v>0</v>
      </c>
      <c r="T1689" s="339">
        <f t="shared" si="491"/>
        <v>0</v>
      </c>
      <c r="W1689" s="69">
        <v>6</v>
      </c>
      <c r="X1689" s="100">
        <v>6.4</v>
      </c>
      <c r="Y1689" s="37" t="str">
        <f>RTD("money.excel",,"2373","Price")</f>
        <v>無資料</v>
      </c>
      <c r="Z1689" s="69"/>
      <c r="AA1689" s="16" t="e">
        <f t="shared" si="492"/>
        <v>#VALUE!</v>
      </c>
      <c r="AB1689" s="3" t="e">
        <f t="shared" si="493"/>
        <v>#VALUE!</v>
      </c>
      <c r="AC1689" s="177" t="s">
        <v>2929</v>
      </c>
      <c r="AD1689" s="24" t="s">
        <v>458</v>
      </c>
      <c r="AG1689" s="34">
        <f t="shared" si="494"/>
        <v>0</v>
      </c>
      <c r="AH1689" s="127" t="s">
        <v>4032</v>
      </c>
      <c r="AI1689" s="131"/>
      <c r="AK1689" s="66">
        <f t="shared" si="495"/>
        <v>0</v>
      </c>
      <c r="AL1689" s="174">
        <f t="shared" si="496"/>
        <v>0</v>
      </c>
      <c r="AM1689" s="346">
        <f>RTD("money.excel",,$G1689,"PredictVolume")</f>
        <v>0</v>
      </c>
      <c r="AN1689" s="272">
        <f>RTD("money.excel",,$G1689,"CumulativeVolume")</f>
        <v>0</v>
      </c>
      <c r="AO1689" s="284"/>
    </row>
    <row r="1690" spans="1:41">
      <c r="A1690" s="151" t="s">
        <v>4807</v>
      </c>
      <c r="B1690" s="84">
        <v>361</v>
      </c>
      <c r="C1690" s="85">
        <v>-52</v>
      </c>
      <c r="D1690" s="84">
        <v>12</v>
      </c>
      <c r="E1690" s="84">
        <v>12</v>
      </c>
      <c r="F1690" s="7">
        <v>-30.25</v>
      </c>
      <c r="G1690" s="85">
        <v>2390</v>
      </c>
      <c r="H1690" s="4" t="s">
        <v>566</v>
      </c>
      <c r="I1690" s="23" t="s">
        <v>933</v>
      </c>
      <c r="J1690" s="77">
        <v>33.1</v>
      </c>
      <c r="K1690" s="371">
        <v>1.25</v>
      </c>
      <c r="L1690" s="77">
        <v>22.44</v>
      </c>
      <c r="N1690" s="365">
        <f t="shared" si="489"/>
        <v>56.790000000000006</v>
      </c>
      <c r="O1690" s="343">
        <f t="shared" si="490"/>
        <v>33.1</v>
      </c>
      <c r="P1690" s="195">
        <v>0</v>
      </c>
      <c r="Q1690" s="326">
        <v>5</v>
      </c>
      <c r="R1690" s="111">
        <v>24</v>
      </c>
      <c r="S1690" s="51">
        <v>0</v>
      </c>
      <c r="T1690" s="339">
        <f t="shared" si="491"/>
        <v>29</v>
      </c>
      <c r="V1690" s="371">
        <v>3.94</v>
      </c>
      <c r="W1690" s="35">
        <v>0</v>
      </c>
      <c r="X1690" s="100">
        <v>5.47</v>
      </c>
      <c r="Y1690" s="37" t="str">
        <f>RTD("money.excel",,"2390","Price")</f>
        <v>無資料</v>
      </c>
      <c r="Z1690" s="69"/>
      <c r="AA1690" s="16" t="e">
        <f t="shared" si="492"/>
        <v>#VALUE!</v>
      </c>
      <c r="AB1690" s="3" t="e">
        <f t="shared" si="493"/>
        <v>#VALUE!</v>
      </c>
      <c r="AD1690" s="23" t="s">
        <v>933</v>
      </c>
      <c r="AG1690" s="34">
        <f t="shared" si="494"/>
        <v>0</v>
      </c>
      <c r="AH1690" s="44" t="s">
        <v>4033</v>
      </c>
      <c r="AI1690" s="131"/>
      <c r="AK1690" s="66">
        <f t="shared" si="495"/>
        <v>0</v>
      </c>
      <c r="AL1690" s="174">
        <f t="shared" si="496"/>
        <v>0</v>
      </c>
      <c r="AM1690" s="346">
        <f>RTD("money.excel",,$G1690,"PredictVolume")</f>
        <v>0</v>
      </c>
      <c r="AN1690" s="272">
        <f>RTD("money.excel",,$G1690,"CumulativeVolume")</f>
        <v>0</v>
      </c>
      <c r="AO1690" s="284"/>
    </row>
    <row r="1691" spans="1:41">
      <c r="A1691" s="135" t="s">
        <v>3192</v>
      </c>
      <c r="B1691" s="85">
        <v>-37</v>
      </c>
      <c r="C1691" s="85">
        <v>-40</v>
      </c>
      <c r="D1691" s="85">
        <v>-24</v>
      </c>
      <c r="E1691" s="84">
        <v>17</v>
      </c>
      <c r="F1691" s="59">
        <v>12.63</v>
      </c>
      <c r="G1691" s="85">
        <v>2404</v>
      </c>
      <c r="H1691" s="4" t="s">
        <v>566</v>
      </c>
      <c r="I1691" s="23" t="s">
        <v>934</v>
      </c>
      <c r="J1691" s="371">
        <v>32.07</v>
      </c>
      <c r="K1691" s="371">
        <v>27.66</v>
      </c>
      <c r="L1691" s="77">
        <v>5.52</v>
      </c>
      <c r="M1691" s="371">
        <v>9.1</v>
      </c>
      <c r="N1691" s="365">
        <f t="shared" si="489"/>
        <v>74.349999999999994</v>
      </c>
      <c r="O1691" s="343">
        <f t="shared" si="490"/>
        <v>41.17</v>
      </c>
      <c r="P1691" s="195">
        <v>29</v>
      </c>
      <c r="Q1691" s="326">
        <v>11</v>
      </c>
      <c r="R1691" s="111">
        <v>16</v>
      </c>
      <c r="S1691" s="51">
        <v>10</v>
      </c>
      <c r="T1691" s="339">
        <f t="shared" si="491"/>
        <v>66</v>
      </c>
      <c r="U1691" s="329" t="s">
        <v>6539</v>
      </c>
      <c r="V1691" s="371">
        <v>3.09</v>
      </c>
      <c r="W1691" s="69">
        <v>17</v>
      </c>
      <c r="X1691" s="100">
        <v>14.98</v>
      </c>
      <c r="Y1691" s="37" t="str">
        <f>RTD("money.excel",,"2404","Price")</f>
        <v>無資料</v>
      </c>
      <c r="Z1691" s="69"/>
      <c r="AA1691" s="16" t="e">
        <f t="shared" si="492"/>
        <v>#VALUE!</v>
      </c>
      <c r="AB1691" s="3" t="e">
        <f t="shared" si="493"/>
        <v>#VALUE!</v>
      </c>
      <c r="AC1691" s="177" t="s">
        <v>2929</v>
      </c>
      <c r="AD1691" s="23" t="s">
        <v>934</v>
      </c>
      <c r="AG1691" s="34">
        <f t="shared" si="494"/>
        <v>0</v>
      </c>
      <c r="AH1691" s="63" t="s">
        <v>2168</v>
      </c>
      <c r="AI1691" s="131"/>
      <c r="AK1691" s="9" t="s">
        <v>6666</v>
      </c>
      <c r="AL1691" s="5" t="s">
        <v>6667</v>
      </c>
      <c r="AM1691" s="51" t="s">
        <v>5339</v>
      </c>
      <c r="AN1691" s="276" t="s">
        <v>6665</v>
      </c>
      <c r="AO1691" s="284"/>
    </row>
    <row r="1692" spans="1:41">
      <c r="A1692" s="135" t="s">
        <v>2548</v>
      </c>
      <c r="B1692" s="96">
        <v>-38</v>
      </c>
      <c r="C1692" s="96">
        <v>-29</v>
      </c>
      <c r="D1692" s="96">
        <v>-29</v>
      </c>
      <c r="E1692" s="96">
        <v>24</v>
      </c>
      <c r="F1692" s="59">
        <v>15.23</v>
      </c>
      <c r="G1692" s="85">
        <v>2423</v>
      </c>
      <c r="H1692" s="4" t="s">
        <v>566</v>
      </c>
      <c r="I1692" s="23" t="s">
        <v>935</v>
      </c>
      <c r="J1692" s="77">
        <v>70.41</v>
      </c>
      <c r="K1692" s="77">
        <v>2.17</v>
      </c>
      <c r="L1692" s="77">
        <v>1.69</v>
      </c>
      <c r="N1692" s="365">
        <f t="shared" si="489"/>
        <v>74.27</v>
      </c>
      <c r="O1692" s="343">
        <f t="shared" si="490"/>
        <v>70.41</v>
      </c>
      <c r="P1692" s="195" t="s">
        <v>5554</v>
      </c>
      <c r="Q1692" s="326" t="str">
        <f>IFERROR(VLOOKUP($G1692,主力整理!$A$2:$G$2301,6,0),"0")</f>
        <v>0</v>
      </c>
      <c r="T1692" s="339">
        <f t="shared" si="491"/>
        <v>0</v>
      </c>
      <c r="V1692" s="371">
        <v>37.67</v>
      </c>
      <c r="W1692" s="35">
        <v>1.2</v>
      </c>
      <c r="X1692" s="100">
        <v>1.37</v>
      </c>
      <c r="Y1692" s="14" t="str">
        <f>RTD("money.excel",,"2423","Price")</f>
        <v>無資料</v>
      </c>
      <c r="Z1692" s="69"/>
      <c r="AA1692" s="16" t="e">
        <f t="shared" si="492"/>
        <v>#VALUE!</v>
      </c>
      <c r="AB1692" s="3" t="e">
        <f t="shared" si="493"/>
        <v>#VALUE!</v>
      </c>
      <c r="AD1692" s="23" t="s">
        <v>935</v>
      </c>
      <c r="AG1692" s="34">
        <f t="shared" si="494"/>
        <v>0</v>
      </c>
      <c r="AH1692" s="63" t="s">
        <v>4034</v>
      </c>
      <c r="AI1692" s="131"/>
      <c r="AK1692" s="66">
        <f t="shared" ref="AK1692:AK1723" si="497">AM1692/(A1692*10000)</f>
        <v>0</v>
      </c>
      <c r="AL1692" s="174">
        <f t="shared" ref="AL1692:AL1723" si="498">AN1692/(A1692*10000)</f>
        <v>0</v>
      </c>
      <c r="AM1692" s="346">
        <f>RTD("money.excel",,$G1692,"PredictVolume")</f>
        <v>0</v>
      </c>
      <c r="AN1692" s="272">
        <f>RTD("money.excel",,$G1692,"CumulativeVolume")</f>
        <v>0</v>
      </c>
      <c r="AO1692" s="284"/>
    </row>
    <row r="1693" spans="1:41">
      <c r="A1693" s="135" t="s">
        <v>2534</v>
      </c>
      <c r="B1693" s="85">
        <v>-22</v>
      </c>
      <c r="C1693" s="85">
        <v>-25</v>
      </c>
      <c r="D1693" s="84">
        <v>4</v>
      </c>
      <c r="E1693" s="85">
        <v>-7</v>
      </c>
      <c r="F1693" s="59">
        <v>13.08</v>
      </c>
      <c r="G1693" s="85">
        <v>2433</v>
      </c>
      <c r="H1693" s="4" t="s">
        <v>566</v>
      </c>
      <c r="I1693" s="23" t="s">
        <v>936</v>
      </c>
      <c r="J1693" s="77">
        <v>79.45</v>
      </c>
      <c r="K1693" s="77">
        <v>0.97</v>
      </c>
      <c r="L1693" s="371">
        <v>0.27</v>
      </c>
      <c r="N1693" s="365">
        <f t="shared" si="489"/>
        <v>80.69</v>
      </c>
      <c r="O1693" s="343">
        <f t="shared" si="490"/>
        <v>79.45</v>
      </c>
      <c r="P1693" s="195" t="s">
        <v>5554</v>
      </c>
      <c r="Q1693" s="326" t="str">
        <f>IFERROR(VLOOKUP($G1693,主力整理!$A$2:$G$2301,6,0),"0")</f>
        <v>0</v>
      </c>
      <c r="T1693" s="339">
        <f t="shared" si="491"/>
        <v>0</v>
      </c>
      <c r="W1693" s="69">
        <v>3.6</v>
      </c>
      <c r="X1693" s="100">
        <v>3.93</v>
      </c>
      <c r="Y1693" s="37" t="str">
        <f>RTD("money.excel",,"2433","Price")</f>
        <v>無資料</v>
      </c>
      <c r="Z1693" s="69"/>
      <c r="AA1693" s="16" t="e">
        <f t="shared" si="492"/>
        <v>#VALUE!</v>
      </c>
      <c r="AB1693" s="3" t="e">
        <f t="shared" si="493"/>
        <v>#VALUE!</v>
      </c>
      <c r="AC1693" s="177" t="s">
        <v>2700</v>
      </c>
      <c r="AD1693" s="23" t="s">
        <v>936</v>
      </c>
      <c r="AG1693" s="34">
        <f t="shared" si="494"/>
        <v>0</v>
      </c>
      <c r="AH1693" s="63" t="s">
        <v>4035</v>
      </c>
      <c r="AI1693" s="131"/>
      <c r="AK1693" s="66">
        <f t="shared" si="497"/>
        <v>0</v>
      </c>
      <c r="AL1693" s="174">
        <f t="shared" si="498"/>
        <v>0</v>
      </c>
      <c r="AM1693" s="346">
        <f>RTD("money.excel",,$G1693,"PredictVolume")</f>
        <v>0</v>
      </c>
      <c r="AN1693" s="272">
        <f>RTD("money.excel",,$G1693,"CumulativeVolume")</f>
        <v>0</v>
      </c>
      <c r="AO1693" s="284"/>
    </row>
    <row r="1694" spans="1:41">
      <c r="A1694" s="151" t="s">
        <v>2776</v>
      </c>
      <c r="B1694" s="84">
        <v>179</v>
      </c>
      <c r="C1694" s="84">
        <v>25</v>
      </c>
      <c r="D1694" s="84">
        <v>5</v>
      </c>
      <c r="E1694" s="84">
        <v>14</v>
      </c>
      <c r="F1694" s="7">
        <v>5.08</v>
      </c>
      <c r="G1694" s="85">
        <v>2461</v>
      </c>
      <c r="H1694" s="4" t="s">
        <v>566</v>
      </c>
      <c r="I1694" s="23" t="s">
        <v>937</v>
      </c>
      <c r="J1694" s="371">
        <v>31.85</v>
      </c>
      <c r="K1694" s="371">
        <v>7.42</v>
      </c>
      <c r="L1694" s="77">
        <v>30.01</v>
      </c>
      <c r="M1694" s="371">
        <v>8.23</v>
      </c>
      <c r="N1694" s="365">
        <f t="shared" si="489"/>
        <v>77.510000000000005</v>
      </c>
      <c r="O1694" s="343">
        <f t="shared" si="490"/>
        <v>40.08</v>
      </c>
      <c r="P1694" s="195">
        <v>0</v>
      </c>
      <c r="Q1694" s="326">
        <v>32</v>
      </c>
      <c r="R1694" s="111">
        <v>26</v>
      </c>
      <c r="S1694" s="51">
        <v>13</v>
      </c>
      <c r="T1694" s="339">
        <f t="shared" si="491"/>
        <v>71</v>
      </c>
      <c r="U1694" s="329" t="s">
        <v>6539</v>
      </c>
      <c r="V1694" s="371">
        <v>3.23</v>
      </c>
      <c r="W1694" s="35">
        <v>0.54</v>
      </c>
      <c r="X1694" s="100">
        <v>2.62</v>
      </c>
      <c r="Y1694" s="37" t="str">
        <f>RTD("money.excel",,"2461","Price")</f>
        <v>無資料</v>
      </c>
      <c r="Z1694" s="69"/>
      <c r="AA1694" s="16" t="e">
        <f t="shared" si="492"/>
        <v>#VALUE!</v>
      </c>
      <c r="AB1694" s="3" t="e">
        <f t="shared" si="493"/>
        <v>#VALUE!</v>
      </c>
      <c r="AD1694" s="23" t="s">
        <v>937</v>
      </c>
      <c r="AG1694" s="34">
        <f t="shared" si="494"/>
        <v>0</v>
      </c>
      <c r="AH1694" s="44" t="s">
        <v>4036</v>
      </c>
      <c r="AI1694" s="131"/>
      <c r="AK1694" s="66">
        <f t="shared" si="497"/>
        <v>0</v>
      </c>
      <c r="AL1694" s="174">
        <f t="shared" si="498"/>
        <v>0</v>
      </c>
      <c r="AM1694" s="346">
        <f>RTD("money.excel",,$G1694,"PredictVolume")</f>
        <v>0</v>
      </c>
      <c r="AN1694" s="272">
        <f>RTD("money.excel",,$G1694,"CumulativeVolume")</f>
        <v>0</v>
      </c>
      <c r="AO1694" s="284"/>
    </row>
    <row r="1695" spans="1:41">
      <c r="A1695" s="151" t="s">
        <v>2632</v>
      </c>
      <c r="B1695" s="85">
        <v>-32</v>
      </c>
      <c r="C1695" s="85">
        <v>-32</v>
      </c>
      <c r="D1695" s="84">
        <v>1</v>
      </c>
      <c r="E1695" s="85">
        <v>-14</v>
      </c>
      <c r="F1695" s="7">
        <v>7.42</v>
      </c>
      <c r="G1695" s="85">
        <v>2464</v>
      </c>
      <c r="H1695" s="4" t="s">
        <v>566</v>
      </c>
      <c r="I1695" s="23" t="s">
        <v>938</v>
      </c>
      <c r="J1695" s="77">
        <v>25.49</v>
      </c>
      <c r="K1695" s="77">
        <v>5.29</v>
      </c>
      <c r="L1695" s="77">
        <v>10.1</v>
      </c>
      <c r="N1695" s="365">
        <f t="shared" si="489"/>
        <v>40.879999999999995</v>
      </c>
      <c r="O1695" s="343">
        <f t="shared" si="490"/>
        <v>25.49</v>
      </c>
      <c r="P1695" s="195">
        <v>1</v>
      </c>
      <c r="Q1695" s="326" t="str">
        <f>IFERROR(VLOOKUP($G1695,主力整理!$A$2:$G$2301,6,0),"0")</f>
        <v>0</v>
      </c>
      <c r="T1695" s="339">
        <f t="shared" si="491"/>
        <v>1</v>
      </c>
      <c r="V1695" s="371">
        <v>0.05</v>
      </c>
      <c r="W1695" s="35">
        <v>2</v>
      </c>
      <c r="X1695" s="100">
        <v>2.63</v>
      </c>
      <c r="Y1695" s="37" t="str">
        <f>RTD("money.excel",,"2464","Price")</f>
        <v>無資料</v>
      </c>
      <c r="Z1695" s="69"/>
      <c r="AA1695" s="16" t="e">
        <f t="shared" si="492"/>
        <v>#VALUE!</v>
      </c>
      <c r="AB1695" s="3" t="e">
        <f t="shared" si="493"/>
        <v>#VALUE!</v>
      </c>
      <c r="AC1695" s="177" t="s">
        <v>2648</v>
      </c>
      <c r="AD1695" s="23" t="s">
        <v>938</v>
      </c>
      <c r="AG1695" s="34">
        <f t="shared" si="494"/>
        <v>0</v>
      </c>
      <c r="AH1695" s="44" t="s">
        <v>2158</v>
      </c>
      <c r="AI1695" s="131"/>
      <c r="AK1695" s="66">
        <f t="shared" si="497"/>
        <v>0</v>
      </c>
      <c r="AL1695" s="174">
        <f t="shared" si="498"/>
        <v>0</v>
      </c>
      <c r="AM1695" s="346">
        <f>RTD("money.excel",,$G1695,"PredictVolume")</f>
        <v>0</v>
      </c>
      <c r="AN1695" s="272">
        <f>RTD("money.excel",,$G1695,"CumulativeVolume")</f>
        <v>0</v>
      </c>
      <c r="AO1695" s="284"/>
    </row>
    <row r="1696" spans="1:41">
      <c r="A1696" s="135" t="s">
        <v>3025</v>
      </c>
      <c r="B1696" s="85">
        <v>-28</v>
      </c>
      <c r="C1696" s="85">
        <v>-37</v>
      </c>
      <c r="D1696" s="85">
        <v>-10</v>
      </c>
      <c r="E1696" s="85">
        <v>-54</v>
      </c>
      <c r="F1696" s="59">
        <v>21.9</v>
      </c>
      <c r="G1696" s="85">
        <v>2474</v>
      </c>
      <c r="H1696" s="53" t="s">
        <v>566</v>
      </c>
      <c r="I1696" s="23" t="s">
        <v>502</v>
      </c>
      <c r="J1696" s="371">
        <v>57.84</v>
      </c>
      <c r="K1696" s="77">
        <v>47.52</v>
      </c>
      <c r="L1696" s="371">
        <v>5.51</v>
      </c>
      <c r="N1696" s="365">
        <f t="shared" si="489"/>
        <v>110.87000000000002</v>
      </c>
      <c r="O1696" s="343">
        <f t="shared" si="490"/>
        <v>57.84</v>
      </c>
      <c r="P1696" s="195">
        <v>37</v>
      </c>
      <c r="Q1696" s="326">
        <v>18</v>
      </c>
      <c r="R1696" s="111">
        <v>0</v>
      </c>
      <c r="S1696" s="51">
        <v>7</v>
      </c>
      <c r="T1696" s="339">
        <f t="shared" si="491"/>
        <v>62</v>
      </c>
      <c r="U1696" s="329" t="s">
        <v>6539</v>
      </c>
      <c r="V1696" s="371">
        <v>1.49</v>
      </c>
      <c r="W1696" s="69">
        <v>12</v>
      </c>
      <c r="X1696" s="59">
        <v>25.03</v>
      </c>
      <c r="Y1696" s="14" t="str">
        <f>RTD("money.excel",,"2474","Price")</f>
        <v>無資料</v>
      </c>
      <c r="Z1696" s="69"/>
      <c r="AA1696" s="16" t="e">
        <f t="shared" si="492"/>
        <v>#VALUE!</v>
      </c>
      <c r="AB1696" s="3" t="e">
        <f t="shared" si="493"/>
        <v>#VALUE!</v>
      </c>
      <c r="AC1696" s="177" t="s">
        <v>2929</v>
      </c>
      <c r="AD1696" s="23" t="s">
        <v>502</v>
      </c>
      <c r="AG1696" s="34">
        <f t="shared" si="494"/>
        <v>0</v>
      </c>
      <c r="AH1696" s="126" t="s">
        <v>3794</v>
      </c>
      <c r="AI1696" s="131"/>
      <c r="AK1696" s="66">
        <f t="shared" si="497"/>
        <v>0</v>
      </c>
      <c r="AL1696" s="174">
        <f t="shared" si="498"/>
        <v>0</v>
      </c>
      <c r="AM1696" s="346">
        <f>RTD("money.excel",,$G1696,"PredictVolume")</f>
        <v>0</v>
      </c>
      <c r="AN1696" s="272">
        <f>RTD("money.excel",,$G1696,"CumulativeVolume")</f>
        <v>0</v>
      </c>
      <c r="AO1696" s="284"/>
    </row>
    <row r="1697" spans="1:41">
      <c r="A1697" s="151" t="s">
        <v>2956</v>
      </c>
      <c r="B1697" s="96">
        <v>-52</v>
      </c>
      <c r="C1697" s="96">
        <v>-64</v>
      </c>
      <c r="D1697" s="96">
        <v>-4</v>
      </c>
      <c r="E1697" s="96">
        <v>7</v>
      </c>
      <c r="F1697" s="7">
        <v>4.71</v>
      </c>
      <c r="G1697" s="85">
        <v>2477</v>
      </c>
      <c r="H1697" s="4" t="s">
        <v>566</v>
      </c>
      <c r="I1697" s="23" t="s">
        <v>1729</v>
      </c>
      <c r="J1697" s="77">
        <v>79.849999999999994</v>
      </c>
      <c r="K1697" s="77">
        <v>22.93</v>
      </c>
      <c r="L1697" s="77">
        <v>11.15</v>
      </c>
      <c r="N1697" s="365">
        <f t="shared" si="489"/>
        <v>113.93</v>
      </c>
      <c r="O1697" s="343">
        <f t="shared" si="490"/>
        <v>79.849999999999994</v>
      </c>
      <c r="P1697" s="195">
        <v>1</v>
      </c>
      <c r="Q1697" s="326" t="str">
        <f>IFERROR(VLOOKUP($G1697,主力整理!$A$2:$G$2301,6,0),"0")</f>
        <v>0</v>
      </c>
      <c r="T1697" s="339">
        <f t="shared" si="491"/>
        <v>1</v>
      </c>
      <c r="V1697" s="371">
        <v>32.590000000000003</v>
      </c>
      <c r="W1697" s="35">
        <v>1.45</v>
      </c>
      <c r="X1697" s="100">
        <v>0.92</v>
      </c>
      <c r="Y1697" s="14" t="str">
        <f>RTD("money.excel",,"2477","Price")</f>
        <v>無資料</v>
      </c>
      <c r="Z1697" s="69"/>
      <c r="AA1697" s="16" t="e">
        <f t="shared" si="492"/>
        <v>#VALUE!</v>
      </c>
      <c r="AB1697" s="3" t="e">
        <f t="shared" si="493"/>
        <v>#VALUE!</v>
      </c>
      <c r="AD1697" s="23" t="s">
        <v>1729</v>
      </c>
      <c r="AG1697" s="34">
        <f t="shared" si="494"/>
        <v>0</v>
      </c>
      <c r="AH1697" s="44" t="s">
        <v>4037</v>
      </c>
      <c r="AI1697" s="131"/>
      <c r="AK1697" s="66">
        <f t="shared" si="497"/>
        <v>0</v>
      </c>
      <c r="AL1697" s="174">
        <f t="shared" si="498"/>
        <v>0</v>
      </c>
      <c r="AM1697" s="346">
        <f>RTD("money.excel",,$G1697,"PredictVolume")</f>
        <v>0</v>
      </c>
      <c r="AN1697" s="272">
        <f>RTD("money.excel",,$G1697,"CumulativeVolume")</f>
        <v>0</v>
      </c>
      <c r="AO1697" s="284"/>
    </row>
    <row r="1698" spans="1:41">
      <c r="A1698" s="151" t="s">
        <v>2582</v>
      </c>
      <c r="B1698" s="96">
        <v>-166</v>
      </c>
      <c r="C1698" s="96">
        <v>-180</v>
      </c>
      <c r="D1698" s="96">
        <v>58</v>
      </c>
      <c r="E1698" s="96">
        <v>-24</v>
      </c>
      <c r="F1698" s="7">
        <v>-1.05</v>
      </c>
      <c r="G1698" s="85">
        <v>2482</v>
      </c>
      <c r="H1698" s="4" t="s">
        <v>566</v>
      </c>
      <c r="I1698" s="23" t="s">
        <v>939</v>
      </c>
      <c r="J1698" s="77">
        <v>59.41</v>
      </c>
      <c r="K1698" s="77">
        <v>0.16</v>
      </c>
      <c r="L1698" s="77">
        <v>32.03</v>
      </c>
      <c r="N1698" s="365">
        <f t="shared" si="489"/>
        <v>91.6</v>
      </c>
      <c r="O1698" s="343">
        <f t="shared" si="490"/>
        <v>59.41</v>
      </c>
      <c r="P1698" s="195" t="s">
        <v>5554</v>
      </c>
      <c r="Q1698" s="326" t="str">
        <f>IFERROR(VLOOKUP($G1698,主力整理!$A$2:$G$2301,6,0),"0")</f>
        <v>0</v>
      </c>
      <c r="T1698" s="339">
        <f t="shared" si="491"/>
        <v>0</v>
      </c>
      <c r="V1698" s="371">
        <v>40.409999999999997</v>
      </c>
      <c r="W1698" s="35">
        <v>0</v>
      </c>
      <c r="X1698" s="100">
        <v>-0.5</v>
      </c>
      <c r="Y1698" s="14" t="str">
        <f>RTD("money.excel",,"2482","Price")</f>
        <v>無資料</v>
      </c>
      <c r="Z1698" s="69"/>
      <c r="AA1698" s="16" t="e">
        <f t="shared" si="492"/>
        <v>#VALUE!</v>
      </c>
      <c r="AB1698" s="3" t="e">
        <f t="shared" si="493"/>
        <v>#VALUE!</v>
      </c>
      <c r="AD1698" s="23" t="s">
        <v>939</v>
      </c>
      <c r="AG1698" s="34">
        <f t="shared" si="494"/>
        <v>0</v>
      </c>
      <c r="AH1698" s="44" t="s">
        <v>4038</v>
      </c>
      <c r="AI1698" s="131"/>
      <c r="AK1698" s="66">
        <f t="shared" si="497"/>
        <v>0</v>
      </c>
      <c r="AL1698" s="174">
        <f t="shared" si="498"/>
        <v>0</v>
      </c>
      <c r="AM1698" s="346">
        <f>RTD("money.excel",,$G1698,"PredictVolume")</f>
        <v>0</v>
      </c>
      <c r="AN1698" s="272">
        <f>RTD("money.excel",,$G1698,"CumulativeVolume")</f>
        <v>0</v>
      </c>
      <c r="AO1698" s="284"/>
    </row>
    <row r="1699" spans="1:41">
      <c r="A1699" s="151" t="s">
        <v>3425</v>
      </c>
      <c r="B1699" s="96">
        <v>-40</v>
      </c>
      <c r="C1699" s="96">
        <v>-47</v>
      </c>
      <c r="D1699" s="96">
        <v>-26</v>
      </c>
      <c r="E1699" s="96">
        <v>79</v>
      </c>
      <c r="F1699" s="7">
        <v>9.2100000000000009</v>
      </c>
      <c r="G1699" s="85">
        <v>2488</v>
      </c>
      <c r="H1699" s="4" t="s">
        <v>566</v>
      </c>
      <c r="I1699" s="23" t="s">
        <v>940</v>
      </c>
      <c r="J1699" s="371">
        <v>45.55</v>
      </c>
      <c r="K1699" s="371">
        <v>4.04</v>
      </c>
      <c r="L1699" s="371">
        <v>31.31</v>
      </c>
      <c r="N1699" s="365">
        <f t="shared" si="489"/>
        <v>80.899999999999991</v>
      </c>
      <c r="O1699" s="343">
        <f t="shared" si="490"/>
        <v>45.55</v>
      </c>
      <c r="P1699" s="195" t="s">
        <v>5554</v>
      </c>
      <c r="Q1699" s="326" t="str">
        <f>IFERROR(VLOOKUP($G1699,主力整理!$A$2:$G$2301,6,0),"0")</f>
        <v>0</v>
      </c>
      <c r="T1699" s="339">
        <f t="shared" si="491"/>
        <v>0</v>
      </c>
      <c r="V1699" s="371">
        <v>19.600000000000001</v>
      </c>
      <c r="W1699" s="35">
        <v>1.5</v>
      </c>
      <c r="X1699" s="100">
        <v>2.27</v>
      </c>
      <c r="Y1699" s="37" t="str">
        <f>RTD("money.excel",,"2488","Price")</f>
        <v>無資料</v>
      </c>
      <c r="Z1699" s="69"/>
      <c r="AA1699" s="16" t="e">
        <f t="shared" si="492"/>
        <v>#VALUE!</v>
      </c>
      <c r="AB1699" s="3" t="e">
        <f t="shared" si="493"/>
        <v>#VALUE!</v>
      </c>
      <c r="AD1699" s="23" t="s">
        <v>940</v>
      </c>
      <c r="AG1699" s="34">
        <f t="shared" si="494"/>
        <v>0</v>
      </c>
      <c r="AH1699" s="44" t="s">
        <v>4039</v>
      </c>
      <c r="AI1699" s="131"/>
      <c r="AK1699" s="66">
        <f t="shared" si="497"/>
        <v>0</v>
      </c>
      <c r="AL1699" s="174">
        <f t="shared" si="498"/>
        <v>0</v>
      </c>
      <c r="AM1699" s="346">
        <f>RTD("money.excel",,$G1699,"PredictVolume")</f>
        <v>0</v>
      </c>
      <c r="AN1699" s="272">
        <f>RTD("money.excel",,$G1699,"CumulativeVolume")</f>
        <v>0</v>
      </c>
      <c r="AO1699" s="284"/>
    </row>
    <row r="1700" spans="1:41">
      <c r="A1700" s="151" t="s">
        <v>3158</v>
      </c>
      <c r="B1700" s="84">
        <v>185</v>
      </c>
      <c r="C1700" s="84">
        <v>76</v>
      </c>
      <c r="D1700" s="84">
        <v>26</v>
      </c>
      <c r="E1700" s="84">
        <v>53</v>
      </c>
      <c r="F1700" s="7">
        <v>-1.04</v>
      </c>
      <c r="G1700" s="85">
        <v>2495</v>
      </c>
      <c r="H1700" s="4" t="s">
        <v>566</v>
      </c>
      <c r="I1700" s="23" t="s">
        <v>941</v>
      </c>
      <c r="J1700" s="371">
        <v>56.89</v>
      </c>
      <c r="K1700" s="371">
        <v>17.64</v>
      </c>
      <c r="L1700" s="77">
        <v>13.62</v>
      </c>
      <c r="M1700" s="371">
        <v>14.54</v>
      </c>
      <c r="N1700" s="365">
        <f t="shared" si="489"/>
        <v>102.69</v>
      </c>
      <c r="O1700" s="343">
        <f t="shared" si="490"/>
        <v>71.430000000000007</v>
      </c>
      <c r="P1700" s="195">
        <v>2</v>
      </c>
      <c r="Q1700" s="326">
        <v>2</v>
      </c>
      <c r="R1700" s="111">
        <v>5</v>
      </c>
      <c r="S1700" s="51">
        <v>5</v>
      </c>
      <c r="T1700" s="339">
        <f t="shared" si="491"/>
        <v>14</v>
      </c>
      <c r="U1700" s="329" t="s">
        <v>6538</v>
      </c>
      <c r="V1700" s="371">
        <v>2.02</v>
      </c>
      <c r="W1700" s="35">
        <v>0.3</v>
      </c>
      <c r="X1700" s="59">
        <v>0.25</v>
      </c>
      <c r="Y1700" s="37" t="str">
        <f>RTD("money.excel",,"2495","Price")</f>
        <v>無資料</v>
      </c>
      <c r="Z1700" s="69"/>
      <c r="AA1700" s="16" t="e">
        <f t="shared" si="492"/>
        <v>#VALUE!</v>
      </c>
      <c r="AB1700" s="3" t="e">
        <f t="shared" si="493"/>
        <v>#VALUE!</v>
      </c>
      <c r="AC1700" s="177" t="s">
        <v>2648</v>
      </c>
      <c r="AD1700" s="23" t="s">
        <v>941</v>
      </c>
      <c r="AG1700" s="34">
        <f t="shared" si="494"/>
        <v>0</v>
      </c>
      <c r="AH1700" s="44" t="s">
        <v>4040</v>
      </c>
      <c r="AI1700" s="131"/>
      <c r="AK1700" s="66">
        <f t="shared" si="497"/>
        <v>0</v>
      </c>
      <c r="AL1700" s="174">
        <f t="shared" si="498"/>
        <v>0</v>
      </c>
      <c r="AM1700" s="346">
        <f>RTD("money.excel",,$G1700,"PredictVolume")</f>
        <v>0</v>
      </c>
      <c r="AN1700" s="272">
        <f>RTD("money.excel",,$G1700,"CumulativeVolume")</f>
        <v>0</v>
      </c>
      <c r="AO1700" s="284"/>
    </row>
    <row r="1701" spans="1:41">
      <c r="A1701" s="151" t="s">
        <v>2446</v>
      </c>
      <c r="B1701" s="96">
        <v>61</v>
      </c>
      <c r="C1701" s="96">
        <v>72</v>
      </c>
      <c r="D1701" s="96">
        <v>2</v>
      </c>
      <c r="E1701" s="96">
        <v>11</v>
      </c>
      <c r="F1701" s="7">
        <v>2.14</v>
      </c>
      <c r="G1701" s="85">
        <v>3018</v>
      </c>
      <c r="H1701" s="4" t="s">
        <v>566</v>
      </c>
      <c r="I1701" s="23" t="s">
        <v>942</v>
      </c>
      <c r="J1701" s="371">
        <v>56.16</v>
      </c>
      <c r="K1701" s="371">
        <v>2.17</v>
      </c>
      <c r="L1701" s="371">
        <v>25.98</v>
      </c>
      <c r="N1701" s="365">
        <f t="shared" si="489"/>
        <v>84.31</v>
      </c>
      <c r="O1701" s="343">
        <f t="shared" si="490"/>
        <v>56.16</v>
      </c>
      <c r="P1701" s="195" t="s">
        <v>5554</v>
      </c>
      <c r="Q1701" s="326" t="str">
        <f>IFERROR(VLOOKUP($G1701,主力整理!$A$2:$G$2301,6,0),"0")</f>
        <v>0</v>
      </c>
      <c r="T1701" s="339">
        <f t="shared" si="491"/>
        <v>0</v>
      </c>
      <c r="V1701" s="371">
        <v>16.760000000000002</v>
      </c>
      <c r="W1701" s="35">
        <v>0</v>
      </c>
      <c r="X1701" s="100">
        <v>-0.8</v>
      </c>
      <c r="Y1701" s="14" t="str">
        <f>RTD("money.excel",,"3018","Price")</f>
        <v>無資料</v>
      </c>
      <c r="Z1701" s="69"/>
      <c r="AA1701" s="16" t="e">
        <f t="shared" si="492"/>
        <v>#VALUE!</v>
      </c>
      <c r="AB1701" s="3" t="e">
        <f t="shared" si="493"/>
        <v>#VALUE!</v>
      </c>
      <c r="AD1701" s="23" t="s">
        <v>942</v>
      </c>
      <c r="AG1701" s="34">
        <f t="shared" si="494"/>
        <v>0</v>
      </c>
      <c r="AH1701" s="44" t="s">
        <v>4041</v>
      </c>
      <c r="AI1701" s="131"/>
      <c r="AK1701" s="66">
        <f t="shared" si="497"/>
        <v>0</v>
      </c>
      <c r="AL1701" s="174">
        <f t="shared" si="498"/>
        <v>0</v>
      </c>
      <c r="AM1701" s="346">
        <f>RTD("money.excel",,$G1701,"PredictVolume")</f>
        <v>0</v>
      </c>
      <c r="AN1701" s="272">
        <f>RTD("money.excel",,$G1701,"CumulativeVolume")</f>
        <v>0</v>
      </c>
      <c r="AO1701" s="284"/>
    </row>
    <row r="1702" spans="1:41">
      <c r="A1702" s="135" t="s">
        <v>2446</v>
      </c>
      <c r="B1702" s="84">
        <v>23</v>
      </c>
      <c r="C1702" s="84">
        <v>31</v>
      </c>
      <c r="D1702" s="84">
        <v>3</v>
      </c>
      <c r="E1702" s="84">
        <v>29</v>
      </c>
      <c r="F1702" s="59">
        <v>30.9</v>
      </c>
      <c r="G1702" s="85">
        <v>3030</v>
      </c>
      <c r="H1702" s="4" t="s">
        <v>566</v>
      </c>
      <c r="I1702" s="23" t="s">
        <v>196</v>
      </c>
      <c r="J1702" s="77">
        <v>61.56</v>
      </c>
      <c r="K1702" s="77">
        <v>22.2</v>
      </c>
      <c r="L1702" s="77">
        <v>6.77</v>
      </c>
      <c r="N1702" s="365">
        <f t="shared" si="489"/>
        <v>90.53</v>
      </c>
      <c r="O1702" s="343">
        <f t="shared" si="490"/>
        <v>61.56</v>
      </c>
      <c r="P1702" s="195" t="s">
        <v>5554</v>
      </c>
      <c r="Q1702" s="326" t="str">
        <f>IFERROR(VLOOKUP($G1702,主力整理!$A$2:$G$2301,6,0),"0")</f>
        <v>0</v>
      </c>
      <c r="T1702" s="339">
        <f t="shared" si="491"/>
        <v>0</v>
      </c>
      <c r="V1702" s="371">
        <v>7.0000000000000007E-2</v>
      </c>
      <c r="W1702" s="69">
        <v>3.3</v>
      </c>
      <c r="X1702" s="100">
        <v>4.63</v>
      </c>
      <c r="Y1702" s="37" t="str">
        <f>RTD("money.excel",,"3030","Price")</f>
        <v>無資料</v>
      </c>
      <c r="Z1702" s="69"/>
      <c r="AA1702" s="16" t="e">
        <f t="shared" si="492"/>
        <v>#VALUE!</v>
      </c>
      <c r="AB1702" s="3" t="e">
        <f t="shared" si="493"/>
        <v>#VALUE!</v>
      </c>
      <c r="AC1702" s="177" t="s">
        <v>2700</v>
      </c>
      <c r="AD1702" s="23" t="s">
        <v>196</v>
      </c>
      <c r="AG1702" s="34">
        <f t="shared" si="494"/>
        <v>0</v>
      </c>
      <c r="AH1702" s="126" t="s">
        <v>4042</v>
      </c>
      <c r="AI1702" s="131"/>
      <c r="AK1702" s="66">
        <f t="shared" si="497"/>
        <v>0</v>
      </c>
      <c r="AL1702" s="174">
        <f t="shared" si="498"/>
        <v>0</v>
      </c>
      <c r="AM1702" s="346">
        <f>RTD("money.excel",,$G1702,"PredictVolume")</f>
        <v>0</v>
      </c>
      <c r="AN1702" s="272">
        <f>RTD("money.excel",,$G1702,"CumulativeVolume")</f>
        <v>0</v>
      </c>
      <c r="AO1702" s="284"/>
    </row>
    <row r="1703" spans="1:41">
      <c r="A1703" s="151" t="s">
        <v>2509</v>
      </c>
      <c r="B1703" s="96">
        <v>-110</v>
      </c>
      <c r="C1703" s="96">
        <v>-112</v>
      </c>
      <c r="D1703" s="96">
        <v>-12</v>
      </c>
      <c r="E1703" s="96">
        <v>25</v>
      </c>
      <c r="F1703" s="7">
        <v>-1.36</v>
      </c>
      <c r="G1703" s="85">
        <v>3043</v>
      </c>
      <c r="H1703" s="4" t="s">
        <v>566</v>
      </c>
      <c r="I1703" s="23" t="s">
        <v>943</v>
      </c>
      <c r="J1703" s="77">
        <v>24.75</v>
      </c>
      <c r="K1703" s="77">
        <v>1.62</v>
      </c>
      <c r="N1703" s="365">
        <f t="shared" si="489"/>
        <v>26.37</v>
      </c>
      <c r="O1703" s="343">
        <f t="shared" si="490"/>
        <v>24.75</v>
      </c>
      <c r="P1703" s="195" t="s">
        <v>5554</v>
      </c>
      <c r="Q1703" s="326">
        <f>IFERROR(VLOOKUP($G1703,主力整理!$A$2:$G$2301,6,0),"0")</f>
        <v>1</v>
      </c>
      <c r="T1703" s="339">
        <f t="shared" si="491"/>
        <v>1</v>
      </c>
      <c r="V1703" s="371">
        <v>2.39</v>
      </c>
      <c r="W1703" s="35">
        <v>0</v>
      </c>
      <c r="X1703" s="100">
        <v>-0.25</v>
      </c>
      <c r="Y1703" s="37" t="str">
        <f>RTD("money.excel",,"3043","Price")</f>
        <v>無資料</v>
      </c>
      <c r="Z1703" s="69"/>
      <c r="AA1703" s="16" t="e">
        <f t="shared" si="492"/>
        <v>#VALUE!</v>
      </c>
      <c r="AB1703" s="3" t="e">
        <f t="shared" si="493"/>
        <v>#VALUE!</v>
      </c>
      <c r="AD1703" s="23" t="s">
        <v>943</v>
      </c>
      <c r="AG1703" s="34">
        <f t="shared" si="494"/>
        <v>0</v>
      </c>
      <c r="AH1703" s="44" t="s">
        <v>4043</v>
      </c>
      <c r="AI1703" s="284"/>
      <c r="AK1703" s="66">
        <f t="shared" si="497"/>
        <v>0</v>
      </c>
      <c r="AL1703" s="174">
        <f t="shared" si="498"/>
        <v>0</v>
      </c>
      <c r="AM1703" s="346">
        <f>RTD("money.excel",,$G1703,"PredictVolume")</f>
        <v>0</v>
      </c>
      <c r="AN1703" s="272">
        <f>RTD("money.excel",,$G1703,"CumulativeVolume")</f>
        <v>0</v>
      </c>
      <c r="AO1703" s="284"/>
    </row>
    <row r="1704" spans="1:41">
      <c r="A1704" s="151" t="s">
        <v>4663</v>
      </c>
      <c r="B1704" s="96">
        <v>-2</v>
      </c>
      <c r="C1704" s="96">
        <v>29</v>
      </c>
      <c r="D1704" s="96">
        <v>-12</v>
      </c>
      <c r="E1704" s="96">
        <v>-79</v>
      </c>
      <c r="F1704" s="7">
        <v>-42.74</v>
      </c>
      <c r="G1704" s="85">
        <v>3067</v>
      </c>
      <c r="H1704" s="4" t="s">
        <v>566</v>
      </c>
      <c r="I1704" s="17" t="s">
        <v>906</v>
      </c>
      <c r="J1704" s="77">
        <v>84.89</v>
      </c>
      <c r="K1704" s="77">
        <v>30</v>
      </c>
      <c r="N1704" s="365">
        <f t="shared" si="489"/>
        <v>114.89</v>
      </c>
      <c r="O1704" s="343">
        <f t="shared" si="490"/>
        <v>84.89</v>
      </c>
      <c r="P1704" s="195" t="s">
        <v>5554</v>
      </c>
      <c r="Q1704" s="326" t="str">
        <f>IFERROR(VLOOKUP($G1704,主力整理!$A$2:$G$2301,6,0),"0")</f>
        <v>0</v>
      </c>
      <c r="T1704" s="339">
        <f t="shared" si="491"/>
        <v>0</v>
      </c>
      <c r="V1704" s="371">
        <v>54.75</v>
      </c>
      <c r="W1704" s="35">
        <v>0</v>
      </c>
      <c r="X1704" s="100">
        <v>-0.8</v>
      </c>
      <c r="Y1704" s="14" t="str">
        <f>RTD("money.excel",,"3067","Price")</f>
        <v>無資料</v>
      </c>
      <c r="Z1704" s="69"/>
      <c r="AA1704" s="16" t="e">
        <f t="shared" si="492"/>
        <v>#VALUE!</v>
      </c>
      <c r="AB1704" s="3" t="e">
        <f t="shared" si="493"/>
        <v>#VALUE!</v>
      </c>
      <c r="AD1704" s="17" t="s">
        <v>906</v>
      </c>
      <c r="AG1704" s="34">
        <f t="shared" si="494"/>
        <v>0</v>
      </c>
      <c r="AH1704" s="44" t="s">
        <v>3869</v>
      </c>
      <c r="AI1704" s="131"/>
      <c r="AK1704" s="66">
        <f t="shared" si="497"/>
        <v>0</v>
      </c>
      <c r="AL1704" s="174">
        <f t="shared" si="498"/>
        <v>0</v>
      </c>
      <c r="AM1704" s="346">
        <f>RTD("money.excel",,$G1704,"PredictVolume")</f>
        <v>0</v>
      </c>
      <c r="AN1704" s="272">
        <f>RTD("money.excel",,$G1704,"CumulativeVolume")</f>
        <v>0</v>
      </c>
      <c r="AO1704" s="284"/>
    </row>
    <row r="1705" spans="1:41">
      <c r="A1705" s="135" t="s">
        <v>4662</v>
      </c>
      <c r="B1705" s="96">
        <v>93</v>
      </c>
      <c r="C1705" s="96">
        <v>152</v>
      </c>
      <c r="D1705" s="96">
        <v>6</v>
      </c>
      <c r="E1705" s="96">
        <v>28</v>
      </c>
      <c r="F1705" s="59">
        <v>12.07</v>
      </c>
      <c r="G1705" s="85">
        <v>3093</v>
      </c>
      <c r="H1705" s="4" t="s">
        <v>566</v>
      </c>
      <c r="I1705" s="17" t="s">
        <v>907</v>
      </c>
      <c r="J1705" s="77">
        <v>68.69</v>
      </c>
      <c r="K1705" s="77">
        <v>67.66</v>
      </c>
      <c r="L1705" s="77">
        <v>3.99</v>
      </c>
      <c r="N1705" s="365">
        <f t="shared" si="489"/>
        <v>140.34</v>
      </c>
      <c r="O1705" s="343">
        <f t="shared" si="490"/>
        <v>68.69</v>
      </c>
      <c r="P1705" s="195" t="s">
        <v>5554</v>
      </c>
      <c r="Q1705" s="326" t="str">
        <f>IFERROR(VLOOKUP($G1705,主力整理!$A$2:$G$2301,6,0),"0")</f>
        <v>0</v>
      </c>
      <c r="T1705" s="339">
        <f t="shared" si="491"/>
        <v>0</v>
      </c>
      <c r="V1705" s="371">
        <v>70.44</v>
      </c>
      <c r="W1705" s="69">
        <v>4.2</v>
      </c>
      <c r="X1705" s="59">
        <v>4.8600000000000003</v>
      </c>
      <c r="Y1705" s="14" t="str">
        <f>RTD("money.excel",,"3093","Price")</f>
        <v>無資料</v>
      </c>
      <c r="Z1705" s="69"/>
      <c r="AA1705" s="16" t="e">
        <f t="shared" si="492"/>
        <v>#VALUE!</v>
      </c>
      <c r="AB1705" s="3" t="e">
        <f t="shared" si="493"/>
        <v>#VALUE!</v>
      </c>
      <c r="AC1705" s="177" t="s">
        <v>2700</v>
      </c>
      <c r="AD1705" s="17" t="s">
        <v>907</v>
      </c>
      <c r="AG1705" s="34">
        <f t="shared" si="494"/>
        <v>0</v>
      </c>
      <c r="AH1705" s="63" t="s">
        <v>3870</v>
      </c>
      <c r="AI1705" s="131"/>
      <c r="AK1705" s="66">
        <f t="shared" si="497"/>
        <v>0</v>
      </c>
      <c r="AL1705" s="174">
        <f t="shared" si="498"/>
        <v>0</v>
      </c>
      <c r="AM1705" s="346">
        <f>RTD("money.excel",,$G1705,"PredictVolume")</f>
        <v>0</v>
      </c>
      <c r="AN1705" s="272">
        <f>RTD("money.excel",,$G1705,"CumulativeVolume")</f>
        <v>0</v>
      </c>
      <c r="AO1705" s="284"/>
    </row>
    <row r="1706" spans="1:41">
      <c r="A1706" s="135" t="s">
        <v>2609</v>
      </c>
      <c r="B1706" s="84">
        <v>27</v>
      </c>
      <c r="C1706" s="84">
        <v>28</v>
      </c>
      <c r="D1706" s="85">
        <v>-11</v>
      </c>
      <c r="E1706" s="84">
        <v>52</v>
      </c>
      <c r="F1706" s="59">
        <v>21.43</v>
      </c>
      <c r="G1706" s="85">
        <v>3131</v>
      </c>
      <c r="H1706" s="4" t="s">
        <v>566</v>
      </c>
      <c r="I1706" s="17" t="s">
        <v>304</v>
      </c>
      <c r="J1706" s="371">
        <v>37.42</v>
      </c>
      <c r="K1706" s="77">
        <v>10.78</v>
      </c>
      <c r="N1706" s="365">
        <f t="shared" si="489"/>
        <v>48.2</v>
      </c>
      <c r="O1706" s="343">
        <f t="shared" si="490"/>
        <v>37.42</v>
      </c>
      <c r="P1706" s="195">
        <v>1</v>
      </c>
      <c r="Q1706" s="326" t="str">
        <f>IFERROR(VLOOKUP($G1706,主力整理!$A$2:$G$2301,6,0),"0")</f>
        <v>0</v>
      </c>
      <c r="T1706" s="339">
        <f t="shared" si="491"/>
        <v>1</v>
      </c>
      <c r="W1706" s="69">
        <v>11</v>
      </c>
      <c r="X1706" s="100">
        <v>13.92</v>
      </c>
      <c r="Y1706" s="37" t="str">
        <f>RTD("money.excel",,"3131","Price")</f>
        <v>無資料</v>
      </c>
      <c r="Z1706" s="69"/>
      <c r="AA1706" s="16" t="e">
        <f t="shared" si="492"/>
        <v>#VALUE!</v>
      </c>
      <c r="AB1706" s="3" t="e">
        <f t="shared" si="493"/>
        <v>#VALUE!</v>
      </c>
      <c r="AC1706" s="177" t="s">
        <v>2929</v>
      </c>
      <c r="AD1706" s="17" t="s">
        <v>304</v>
      </c>
      <c r="AG1706" s="34">
        <f t="shared" si="494"/>
        <v>0</v>
      </c>
      <c r="AH1706" s="63" t="s">
        <v>3684</v>
      </c>
      <c r="AI1706" s="131"/>
      <c r="AK1706" s="66">
        <f t="shared" si="497"/>
        <v>0</v>
      </c>
      <c r="AL1706" s="174">
        <f t="shared" si="498"/>
        <v>0</v>
      </c>
      <c r="AM1706" s="346">
        <f>RTD("money.excel",,$G1706,"PredictVolume")</f>
        <v>0</v>
      </c>
      <c r="AN1706" s="272">
        <f>RTD("money.excel",,$G1706,"CumulativeVolume")</f>
        <v>0</v>
      </c>
      <c r="AO1706" s="284"/>
    </row>
    <row r="1707" spans="1:41">
      <c r="A1707" s="151" t="s">
        <v>4664</v>
      </c>
      <c r="B1707" s="96">
        <v>218</v>
      </c>
      <c r="C1707" s="145">
        <v>1748</v>
      </c>
      <c r="D1707" s="96">
        <v>-31</v>
      </c>
      <c r="E1707" s="96">
        <v>12</v>
      </c>
      <c r="F1707" s="7">
        <v>5.6</v>
      </c>
      <c r="G1707" s="85">
        <v>3285</v>
      </c>
      <c r="H1707" s="4" t="s">
        <v>566</v>
      </c>
      <c r="I1707" s="17" t="s">
        <v>908</v>
      </c>
      <c r="J1707" s="77">
        <v>46.83</v>
      </c>
      <c r="K1707" s="77">
        <v>0.36</v>
      </c>
      <c r="L1707" s="77">
        <v>16.48</v>
      </c>
      <c r="N1707" s="365">
        <f t="shared" si="489"/>
        <v>63.67</v>
      </c>
      <c r="O1707" s="343">
        <f t="shared" si="490"/>
        <v>46.83</v>
      </c>
      <c r="P1707" s="195" t="s">
        <v>5554</v>
      </c>
      <c r="Q1707" s="326" t="str">
        <f>IFERROR(VLOOKUP($G1707,主力整理!$A$2:$G$2301,6,0),"0")</f>
        <v>0</v>
      </c>
      <c r="T1707" s="339">
        <f t="shared" si="491"/>
        <v>0</v>
      </c>
      <c r="V1707" s="371">
        <v>13.52</v>
      </c>
      <c r="W1707" s="35">
        <v>0.35</v>
      </c>
      <c r="X1707" s="100">
        <v>0.66</v>
      </c>
      <c r="Y1707" s="37" t="str">
        <f>RTD("money.excel",,"3285","Price")</f>
        <v>無資料</v>
      </c>
      <c r="Z1707" s="69"/>
      <c r="AA1707" s="16" t="e">
        <f t="shared" si="492"/>
        <v>#VALUE!</v>
      </c>
      <c r="AB1707" s="3" t="e">
        <f t="shared" si="493"/>
        <v>#VALUE!</v>
      </c>
      <c r="AD1707" s="17" t="s">
        <v>908</v>
      </c>
      <c r="AG1707" s="34">
        <f t="shared" si="494"/>
        <v>0</v>
      </c>
      <c r="AH1707" s="44" t="s">
        <v>3642</v>
      </c>
      <c r="AI1707" s="131"/>
      <c r="AK1707" s="66">
        <f t="shared" si="497"/>
        <v>0</v>
      </c>
      <c r="AL1707" s="174">
        <f t="shared" si="498"/>
        <v>0</v>
      </c>
      <c r="AM1707" s="346">
        <f>RTD("money.excel",,$G1707,"PredictVolume")</f>
        <v>0</v>
      </c>
      <c r="AN1707" s="272">
        <f>RTD("money.excel",,$G1707,"CumulativeVolume")</f>
        <v>0</v>
      </c>
      <c r="AO1707" s="284"/>
    </row>
    <row r="1708" spans="1:41">
      <c r="A1708" s="151" t="s">
        <v>2888</v>
      </c>
      <c r="B1708" s="84">
        <v>148</v>
      </c>
      <c r="C1708" s="84">
        <v>173</v>
      </c>
      <c r="D1708" s="85">
        <v>-5</v>
      </c>
      <c r="E1708" s="84">
        <v>12</v>
      </c>
      <c r="F1708" s="7">
        <v>8.91</v>
      </c>
      <c r="G1708" s="85">
        <v>3289</v>
      </c>
      <c r="H1708" s="4" t="s">
        <v>566</v>
      </c>
      <c r="I1708" s="17" t="s">
        <v>305</v>
      </c>
      <c r="J1708" s="371">
        <v>22.97</v>
      </c>
      <c r="K1708" s="371">
        <v>6.82</v>
      </c>
      <c r="L1708" s="371">
        <v>26.74</v>
      </c>
      <c r="N1708" s="365">
        <f t="shared" si="489"/>
        <v>56.53</v>
      </c>
      <c r="O1708" s="343">
        <f t="shared" si="490"/>
        <v>22.97</v>
      </c>
      <c r="P1708" s="195">
        <v>1</v>
      </c>
      <c r="Q1708" s="326" t="str">
        <f>IFERROR(VLOOKUP($G1708,主力整理!$A$2:$G$2301,6,0),"0")</f>
        <v>0</v>
      </c>
      <c r="T1708" s="339">
        <f t="shared" si="491"/>
        <v>1</v>
      </c>
      <c r="V1708" s="371">
        <v>1.85</v>
      </c>
      <c r="W1708" s="35">
        <v>1.5</v>
      </c>
      <c r="X1708" s="100">
        <v>2.8</v>
      </c>
      <c r="Y1708" s="37" t="str">
        <f>RTD("money.excel",,"3289","Price")</f>
        <v>無資料</v>
      </c>
      <c r="Z1708" s="69"/>
      <c r="AA1708" s="16" t="e">
        <f t="shared" si="492"/>
        <v>#VALUE!</v>
      </c>
      <c r="AB1708" s="3" t="e">
        <f t="shared" si="493"/>
        <v>#VALUE!</v>
      </c>
      <c r="AC1708" s="177" t="s">
        <v>2648</v>
      </c>
      <c r="AD1708" s="17" t="s">
        <v>305</v>
      </c>
      <c r="AG1708" s="34">
        <f t="shared" si="494"/>
        <v>0</v>
      </c>
      <c r="AH1708" s="125" t="s">
        <v>3871</v>
      </c>
      <c r="AI1708" s="131"/>
      <c r="AK1708" s="66">
        <f t="shared" si="497"/>
        <v>0</v>
      </c>
      <c r="AL1708" s="174">
        <f t="shared" si="498"/>
        <v>0</v>
      </c>
      <c r="AM1708" s="346">
        <f>RTD("money.excel",,$G1708,"PredictVolume")</f>
        <v>0</v>
      </c>
      <c r="AN1708" s="272">
        <f>RTD("money.excel",,$G1708,"CumulativeVolume")</f>
        <v>0</v>
      </c>
      <c r="AO1708" s="284"/>
    </row>
    <row r="1709" spans="1:41">
      <c r="A1709" s="135" t="s">
        <v>4665</v>
      </c>
      <c r="B1709" s="96">
        <v>36</v>
      </c>
      <c r="C1709" s="96">
        <v>105</v>
      </c>
      <c r="D1709" s="96">
        <v>1</v>
      </c>
      <c r="E1709" s="96">
        <v>-8</v>
      </c>
      <c r="F1709" s="59">
        <v>10.02</v>
      </c>
      <c r="G1709" s="85">
        <v>3303</v>
      </c>
      <c r="H1709" s="4" t="s">
        <v>566</v>
      </c>
      <c r="I1709" s="17" t="s">
        <v>909</v>
      </c>
      <c r="J1709" s="77">
        <v>49.62</v>
      </c>
      <c r="K1709" s="77">
        <v>4.29</v>
      </c>
      <c r="L1709" s="77">
        <v>13.92</v>
      </c>
      <c r="N1709" s="365">
        <f t="shared" si="489"/>
        <v>67.83</v>
      </c>
      <c r="O1709" s="343">
        <f t="shared" si="490"/>
        <v>49.62</v>
      </c>
      <c r="P1709" s="195" t="s">
        <v>5554</v>
      </c>
      <c r="Q1709" s="326" t="str">
        <f>IFERROR(VLOOKUP($G1709,主力整理!$A$2:$G$2301,6,0),"0")</f>
        <v>0</v>
      </c>
      <c r="T1709" s="339">
        <f t="shared" si="491"/>
        <v>0</v>
      </c>
      <c r="V1709" s="371">
        <v>20.3</v>
      </c>
      <c r="W1709" s="35">
        <v>1.4</v>
      </c>
      <c r="X1709" s="100">
        <v>1.54</v>
      </c>
      <c r="Y1709" s="37" t="str">
        <f>RTD("money.excel",,"3303","Price")</f>
        <v>無資料</v>
      </c>
      <c r="Z1709" s="69"/>
      <c r="AA1709" s="16" t="e">
        <f t="shared" si="492"/>
        <v>#VALUE!</v>
      </c>
      <c r="AB1709" s="3" t="e">
        <f t="shared" si="493"/>
        <v>#VALUE!</v>
      </c>
      <c r="AD1709" s="17" t="s">
        <v>909</v>
      </c>
      <c r="AG1709" s="34">
        <f t="shared" si="494"/>
        <v>0</v>
      </c>
      <c r="AH1709" s="63" t="s">
        <v>3946</v>
      </c>
      <c r="AI1709" s="131"/>
      <c r="AK1709" s="66">
        <f t="shared" si="497"/>
        <v>0</v>
      </c>
      <c r="AL1709" s="174">
        <f t="shared" si="498"/>
        <v>0</v>
      </c>
      <c r="AM1709" s="346">
        <f>RTD("money.excel",,$G1709,"PredictVolume")</f>
        <v>0</v>
      </c>
      <c r="AN1709" s="272">
        <f>RTD("money.excel",,$G1709,"CumulativeVolume")</f>
        <v>0</v>
      </c>
      <c r="AO1709" s="284"/>
    </row>
    <row r="1710" spans="1:41">
      <c r="A1710" s="151" t="s">
        <v>2498</v>
      </c>
      <c r="B1710" s="85">
        <v>-30</v>
      </c>
      <c r="C1710" s="84">
        <v>17</v>
      </c>
      <c r="D1710" s="84">
        <v>15</v>
      </c>
      <c r="E1710" s="84">
        <v>25</v>
      </c>
      <c r="F1710" s="7">
        <v>5.26</v>
      </c>
      <c r="G1710" s="85">
        <v>3305</v>
      </c>
      <c r="H1710" s="4" t="s">
        <v>566</v>
      </c>
      <c r="I1710" s="23" t="s">
        <v>944</v>
      </c>
      <c r="J1710" s="77">
        <v>43.68</v>
      </c>
      <c r="K1710" s="77">
        <v>2.36</v>
      </c>
      <c r="L1710" s="77">
        <v>8.16</v>
      </c>
      <c r="N1710" s="365">
        <f t="shared" si="489"/>
        <v>54.2</v>
      </c>
      <c r="O1710" s="343">
        <f t="shared" si="490"/>
        <v>43.68</v>
      </c>
      <c r="P1710" s="195">
        <v>4</v>
      </c>
      <c r="Q1710" s="326">
        <f>IFERROR(VLOOKUP($G1710,主力整理!$A$2:$G$2301,6,0),"0")</f>
        <v>3</v>
      </c>
      <c r="T1710" s="339">
        <f t="shared" si="491"/>
        <v>7</v>
      </c>
      <c r="V1710" s="371">
        <v>0.19</v>
      </c>
      <c r="W1710" s="35">
        <v>1.5</v>
      </c>
      <c r="X1710" s="100">
        <v>1.51</v>
      </c>
      <c r="Y1710" s="37" t="str">
        <f>RTD("money.excel",,"3305","Price")</f>
        <v>無資料</v>
      </c>
      <c r="Z1710" s="69"/>
      <c r="AA1710" s="16" t="e">
        <f t="shared" si="492"/>
        <v>#VALUE!</v>
      </c>
      <c r="AB1710" s="3" t="e">
        <f t="shared" si="493"/>
        <v>#VALUE!</v>
      </c>
      <c r="AC1710" s="177" t="s">
        <v>2648</v>
      </c>
      <c r="AD1710" s="23" t="s">
        <v>944</v>
      </c>
      <c r="AG1710" s="34">
        <f t="shared" si="494"/>
        <v>0</v>
      </c>
      <c r="AH1710" s="44" t="s">
        <v>4044</v>
      </c>
      <c r="AI1710" s="131"/>
      <c r="AK1710" s="66">
        <f t="shared" si="497"/>
        <v>0</v>
      </c>
      <c r="AL1710" s="174">
        <f t="shared" si="498"/>
        <v>0</v>
      </c>
      <c r="AM1710" s="346">
        <f>RTD("money.excel",,$G1710,"PredictVolume")</f>
        <v>0</v>
      </c>
      <c r="AN1710" s="272">
        <f>RTD("money.excel",,$G1710,"CumulativeVolume")</f>
        <v>0</v>
      </c>
      <c r="AO1710" s="284"/>
    </row>
    <row r="1711" spans="1:41">
      <c r="A1711" s="151" t="s">
        <v>2580</v>
      </c>
      <c r="B1711" s="85">
        <v>-12</v>
      </c>
      <c r="C1711" s="85">
        <v>-9</v>
      </c>
      <c r="D1711" s="84">
        <v>2</v>
      </c>
      <c r="E1711" s="84">
        <v>7</v>
      </c>
      <c r="F1711" s="7">
        <v>8.93</v>
      </c>
      <c r="G1711" s="85">
        <v>3324</v>
      </c>
      <c r="H1711" s="5" t="s">
        <v>5322</v>
      </c>
      <c r="I1711" s="17" t="s">
        <v>414</v>
      </c>
      <c r="J1711" s="77">
        <v>24.29</v>
      </c>
      <c r="K1711" s="77">
        <v>10.89</v>
      </c>
      <c r="L1711" s="371">
        <v>37.36</v>
      </c>
      <c r="N1711" s="365">
        <f t="shared" si="489"/>
        <v>72.539999999999992</v>
      </c>
      <c r="O1711" s="343">
        <f t="shared" si="490"/>
        <v>24.29</v>
      </c>
      <c r="P1711" s="195">
        <v>16</v>
      </c>
      <c r="Q1711" s="326">
        <f>IFERROR(VLOOKUP($G1711,主力整理!$A$2:$G$2301,6,0),"0")</f>
        <v>1</v>
      </c>
      <c r="R1711" s="111">
        <v>3</v>
      </c>
      <c r="S1711" s="51">
        <v>16</v>
      </c>
      <c r="T1711" s="339">
        <f t="shared" si="491"/>
        <v>36</v>
      </c>
      <c r="V1711" s="371">
        <v>2.0499999999999998</v>
      </c>
      <c r="W1711" s="69">
        <v>5.6</v>
      </c>
      <c r="X1711" s="100">
        <v>12.07</v>
      </c>
      <c r="Y1711" s="37" t="str">
        <f>RTD("money.excel",,"3324","Price")</f>
        <v>無資料</v>
      </c>
      <c r="Z1711" s="69"/>
      <c r="AA1711" s="16" t="e">
        <f t="shared" si="492"/>
        <v>#VALUE!</v>
      </c>
      <c r="AB1711" s="3" t="e">
        <f t="shared" si="493"/>
        <v>#VALUE!</v>
      </c>
      <c r="AC1711" s="177" t="s">
        <v>2929</v>
      </c>
      <c r="AD1711" s="17" t="s">
        <v>414</v>
      </c>
      <c r="AG1711" s="34">
        <f t="shared" si="494"/>
        <v>0</v>
      </c>
      <c r="AH1711" s="44" t="s">
        <v>4550</v>
      </c>
      <c r="AI1711" s="131"/>
      <c r="AK1711" s="66">
        <f t="shared" si="497"/>
        <v>0</v>
      </c>
      <c r="AL1711" s="174">
        <f t="shared" si="498"/>
        <v>0</v>
      </c>
      <c r="AM1711" s="346">
        <f>RTD("money.excel",,$G1711,"PredictVolume")</f>
        <v>0</v>
      </c>
      <c r="AN1711" s="272">
        <f>RTD("money.excel",,$G1711,"CumulativeVolume")</f>
        <v>0</v>
      </c>
      <c r="AO1711" s="284"/>
    </row>
    <row r="1712" spans="1:41">
      <c r="A1712" s="135" t="s">
        <v>3240</v>
      </c>
      <c r="B1712" s="85">
        <v>-84</v>
      </c>
      <c r="C1712" s="85">
        <v>-83</v>
      </c>
      <c r="D1712" s="84">
        <v>5</v>
      </c>
      <c r="E1712" s="85">
        <v>-79</v>
      </c>
      <c r="F1712" s="59">
        <v>16.57</v>
      </c>
      <c r="G1712" s="85">
        <v>3373</v>
      </c>
      <c r="H1712" s="4" t="s">
        <v>566</v>
      </c>
      <c r="I1712" s="17" t="s">
        <v>911</v>
      </c>
      <c r="J1712" s="77">
        <v>24.24</v>
      </c>
      <c r="K1712" s="371">
        <v>5.48</v>
      </c>
      <c r="L1712" s="371">
        <v>16.510000000000002</v>
      </c>
      <c r="N1712" s="365">
        <f t="shared" si="489"/>
        <v>46.230000000000004</v>
      </c>
      <c r="O1712" s="343">
        <f t="shared" si="490"/>
        <v>24.24</v>
      </c>
      <c r="P1712" s="195">
        <v>0</v>
      </c>
      <c r="Q1712" s="326" t="str">
        <f>IFERROR(VLOOKUP($G1712,主力整理!$A$2:$G$2301,6,0),"0")</f>
        <v>0</v>
      </c>
      <c r="R1712" s="111">
        <v>4</v>
      </c>
      <c r="S1712" s="51">
        <v>0</v>
      </c>
      <c r="T1712" s="339">
        <f t="shared" si="491"/>
        <v>4</v>
      </c>
      <c r="V1712" s="371">
        <v>35.979999999999997</v>
      </c>
      <c r="W1712" s="69">
        <v>10</v>
      </c>
      <c r="X1712" s="100">
        <v>4.6500000000000004</v>
      </c>
      <c r="Y1712" s="37" t="str">
        <f>RTD("money.excel",,"3373","Price")</f>
        <v>無資料</v>
      </c>
      <c r="Z1712" s="69"/>
      <c r="AA1712" s="16" t="e">
        <f t="shared" si="492"/>
        <v>#VALUE!</v>
      </c>
      <c r="AB1712" s="3" t="e">
        <f t="shared" si="493"/>
        <v>#VALUE!</v>
      </c>
      <c r="AC1712" s="177" t="s">
        <v>2929</v>
      </c>
      <c r="AD1712" s="17" t="s">
        <v>911</v>
      </c>
      <c r="AG1712" s="34">
        <f t="shared" si="494"/>
        <v>0</v>
      </c>
      <c r="AH1712" s="63" t="s">
        <v>4956</v>
      </c>
      <c r="AI1712" s="131"/>
      <c r="AK1712" s="66">
        <f t="shared" si="497"/>
        <v>0</v>
      </c>
      <c r="AL1712" s="174">
        <f t="shared" si="498"/>
        <v>0</v>
      </c>
      <c r="AM1712" s="346">
        <f>RTD("money.excel",,$G1712,"PredictVolume")</f>
        <v>0</v>
      </c>
      <c r="AN1712" s="272">
        <f>RTD("money.excel",,$G1712,"CumulativeVolume")</f>
        <v>0</v>
      </c>
      <c r="AO1712" s="284"/>
    </row>
    <row r="1713" spans="1:41">
      <c r="A1713" s="135" t="s">
        <v>3399</v>
      </c>
      <c r="B1713" s="84">
        <v>72</v>
      </c>
      <c r="C1713" s="84">
        <v>77</v>
      </c>
      <c r="D1713" s="84">
        <v>2</v>
      </c>
      <c r="E1713" s="84">
        <v>26</v>
      </c>
      <c r="F1713" s="59">
        <v>12.08</v>
      </c>
      <c r="G1713" s="85">
        <v>3402</v>
      </c>
      <c r="H1713" s="4" t="s">
        <v>566</v>
      </c>
      <c r="I1713" s="17" t="s">
        <v>912</v>
      </c>
      <c r="J1713" s="371">
        <v>24.14</v>
      </c>
      <c r="K1713" s="77">
        <v>4.03</v>
      </c>
      <c r="L1713" s="77">
        <v>4.7</v>
      </c>
      <c r="N1713" s="365">
        <f t="shared" si="489"/>
        <v>32.870000000000005</v>
      </c>
      <c r="O1713" s="343">
        <f t="shared" si="490"/>
        <v>24.14</v>
      </c>
      <c r="P1713" s="195">
        <v>0</v>
      </c>
      <c r="Q1713" s="326" t="str">
        <f>IFERROR(VLOOKUP($G1713,主力整理!$A$2:$G$2301,6,0),"0")</f>
        <v>0</v>
      </c>
      <c r="R1713" s="111">
        <v>2</v>
      </c>
      <c r="S1713" s="51">
        <v>0</v>
      </c>
      <c r="T1713" s="339">
        <f t="shared" si="491"/>
        <v>2</v>
      </c>
      <c r="V1713" s="371">
        <v>0.23</v>
      </c>
      <c r="W1713" s="35">
        <v>2.7</v>
      </c>
      <c r="X1713" s="100">
        <v>4.05</v>
      </c>
      <c r="Y1713" s="37" t="str">
        <f>RTD("money.excel",,"3402","Price")</f>
        <v>無資料</v>
      </c>
      <c r="Z1713" s="69"/>
      <c r="AA1713" s="16" t="e">
        <f t="shared" si="492"/>
        <v>#VALUE!</v>
      </c>
      <c r="AB1713" s="3" t="e">
        <f t="shared" si="493"/>
        <v>#VALUE!</v>
      </c>
      <c r="AD1713" s="17" t="s">
        <v>912</v>
      </c>
      <c r="AG1713" s="34">
        <f t="shared" si="494"/>
        <v>0</v>
      </c>
      <c r="AH1713" s="63" t="s">
        <v>3974</v>
      </c>
      <c r="AI1713" s="131"/>
      <c r="AK1713" s="66">
        <f t="shared" si="497"/>
        <v>0</v>
      </c>
      <c r="AL1713" s="174">
        <f t="shared" si="498"/>
        <v>0</v>
      </c>
      <c r="AM1713" s="346">
        <f>RTD("money.excel",,$G1713,"PredictVolume")</f>
        <v>0</v>
      </c>
      <c r="AN1713" s="272">
        <f>RTD("money.excel",,$G1713,"CumulativeVolume")</f>
        <v>0</v>
      </c>
      <c r="AO1713" s="284"/>
    </row>
    <row r="1714" spans="1:41">
      <c r="A1714" s="135" t="s">
        <v>2548</v>
      </c>
      <c r="B1714" s="84">
        <v>12</v>
      </c>
      <c r="C1714" s="84">
        <v>27</v>
      </c>
      <c r="D1714" s="85">
        <v>-2</v>
      </c>
      <c r="E1714" s="84">
        <v>11</v>
      </c>
      <c r="F1714" s="59">
        <v>14.21</v>
      </c>
      <c r="G1714" s="85">
        <v>3450</v>
      </c>
      <c r="H1714" s="4" t="s">
        <v>566</v>
      </c>
      <c r="I1714" s="23" t="s">
        <v>118</v>
      </c>
      <c r="J1714" s="371">
        <v>19.18</v>
      </c>
      <c r="K1714" s="371">
        <v>7.31</v>
      </c>
      <c r="L1714" s="371">
        <v>23.93</v>
      </c>
      <c r="N1714" s="365">
        <f t="shared" si="489"/>
        <v>50.42</v>
      </c>
      <c r="O1714" s="343">
        <f t="shared" si="490"/>
        <v>19.18</v>
      </c>
      <c r="P1714" s="195" t="s">
        <v>5554</v>
      </c>
      <c r="Q1714" s="326" t="str">
        <f>IFERROR(VLOOKUP($G1714,主力整理!$A$2:$G$2301,6,0),"0")</f>
        <v>0</v>
      </c>
      <c r="T1714" s="339">
        <f t="shared" si="491"/>
        <v>0</v>
      </c>
      <c r="V1714" s="371">
        <v>0.25</v>
      </c>
      <c r="W1714" s="35">
        <v>1.4</v>
      </c>
      <c r="X1714" s="100">
        <v>1.65</v>
      </c>
      <c r="Y1714" s="37" t="str">
        <f>RTD("money.excel",,"3450","Price")</f>
        <v>無資料</v>
      </c>
      <c r="Z1714" s="69"/>
      <c r="AA1714" s="16" t="e">
        <f t="shared" si="492"/>
        <v>#VALUE!</v>
      </c>
      <c r="AB1714" s="3" t="e">
        <f t="shared" si="493"/>
        <v>#VALUE!</v>
      </c>
      <c r="AC1714" s="177" t="s">
        <v>2648</v>
      </c>
      <c r="AD1714" s="23" t="s">
        <v>118</v>
      </c>
      <c r="AG1714" s="34">
        <f t="shared" si="494"/>
        <v>0</v>
      </c>
      <c r="AH1714" s="126" t="s">
        <v>3491</v>
      </c>
      <c r="AI1714" s="131"/>
      <c r="AK1714" s="66">
        <f t="shared" si="497"/>
        <v>0</v>
      </c>
      <c r="AL1714" s="174">
        <f t="shared" si="498"/>
        <v>0</v>
      </c>
      <c r="AM1714" s="346">
        <f>RTD("money.excel",,$G1714,"PredictVolume")</f>
        <v>0</v>
      </c>
      <c r="AN1714" s="272">
        <f>RTD("money.excel",,$G1714,"CumulativeVolume")</f>
        <v>0</v>
      </c>
      <c r="AO1714" s="284"/>
    </row>
    <row r="1715" spans="1:41">
      <c r="A1715" s="151" t="s">
        <v>4598</v>
      </c>
      <c r="B1715" s="96">
        <v>102</v>
      </c>
      <c r="C1715" s="96">
        <v>101</v>
      </c>
      <c r="D1715" s="96">
        <v>-2</v>
      </c>
      <c r="E1715" s="96">
        <v>44</v>
      </c>
      <c r="F1715" s="7">
        <v>0.44</v>
      </c>
      <c r="G1715" s="85">
        <v>3498</v>
      </c>
      <c r="H1715" s="4" t="s">
        <v>566</v>
      </c>
      <c r="I1715" s="17" t="s">
        <v>421</v>
      </c>
      <c r="J1715" s="371">
        <v>37.64</v>
      </c>
      <c r="K1715" s="371">
        <v>4.37</v>
      </c>
      <c r="L1715" s="371">
        <v>9.4700000000000006</v>
      </c>
      <c r="N1715" s="365">
        <f t="shared" ref="N1715:N1746" si="499">J1715+K1715+L1715+M1715</f>
        <v>51.48</v>
      </c>
      <c r="O1715" s="343">
        <f t="shared" ref="O1715:O1746" si="500">J1715+M1715</f>
        <v>37.64</v>
      </c>
      <c r="P1715" s="195" t="s">
        <v>5554</v>
      </c>
      <c r="Q1715" s="326" t="str">
        <f>IFERROR(VLOOKUP($G1715,主力整理!$A$2:$G$2301,6,0),"0")</f>
        <v>0</v>
      </c>
      <c r="T1715" s="339">
        <f t="shared" ref="T1715:T1746" si="501">SUM(P1715:S1715)</f>
        <v>0</v>
      </c>
      <c r="V1715" s="371">
        <v>15.98</v>
      </c>
      <c r="W1715" s="35">
        <v>0</v>
      </c>
      <c r="X1715" s="100">
        <v>-0.57999999999999996</v>
      </c>
      <c r="Y1715" s="37" t="str">
        <f>RTD("money.excel",,"3498","Price")</f>
        <v>無資料</v>
      </c>
      <c r="Z1715" s="69"/>
      <c r="AA1715" s="16" t="e">
        <f t="shared" ref="AA1715:AA1746" si="502">Y1715-Z1715</f>
        <v>#VALUE!</v>
      </c>
      <c r="AB1715" s="3" t="e">
        <f t="shared" ref="AB1715:AB1746" si="503">AA1715/Z1715</f>
        <v>#VALUE!</v>
      </c>
      <c r="AD1715" s="17" t="s">
        <v>421</v>
      </c>
      <c r="AG1715" s="34">
        <f t="shared" ref="AG1715:AG1746" si="504">AF1715-AE1715</f>
        <v>0</v>
      </c>
      <c r="AH1715" s="127" t="s">
        <v>2178</v>
      </c>
      <c r="AI1715" s="131"/>
      <c r="AK1715" s="66">
        <f t="shared" si="497"/>
        <v>0</v>
      </c>
      <c r="AL1715" s="174">
        <f t="shared" si="498"/>
        <v>0</v>
      </c>
      <c r="AM1715" s="346">
        <f>RTD("money.excel",,$G1715,"PredictVolume")</f>
        <v>0</v>
      </c>
      <c r="AN1715" s="272">
        <f>RTD("money.excel",,$G1715,"CumulativeVolume")</f>
        <v>0</v>
      </c>
      <c r="AO1715" s="284"/>
    </row>
    <row r="1716" spans="1:41">
      <c r="A1716" s="151" t="s">
        <v>2668</v>
      </c>
      <c r="B1716" s="84">
        <v>52</v>
      </c>
      <c r="C1716" s="85">
        <v>-7</v>
      </c>
      <c r="D1716" s="84">
        <v>66</v>
      </c>
      <c r="E1716" s="84">
        <v>1</v>
      </c>
      <c r="F1716" s="7">
        <v>-41.51</v>
      </c>
      <c r="G1716" s="85">
        <v>3508</v>
      </c>
      <c r="H1716" s="4" t="s">
        <v>566</v>
      </c>
      <c r="I1716" s="17" t="s">
        <v>433</v>
      </c>
      <c r="J1716" s="77">
        <v>27.09</v>
      </c>
      <c r="K1716" s="77">
        <v>3.89</v>
      </c>
      <c r="L1716" s="371">
        <v>15.37</v>
      </c>
      <c r="N1716" s="365">
        <f t="shared" si="499"/>
        <v>46.35</v>
      </c>
      <c r="O1716" s="343">
        <f t="shared" si="500"/>
        <v>27.09</v>
      </c>
      <c r="P1716" s="195" t="s">
        <v>5554</v>
      </c>
      <c r="Q1716" s="326" t="str">
        <f>IFERROR(VLOOKUP($G1716,主力整理!$A$2:$G$2301,6,0),"0")</f>
        <v>0</v>
      </c>
      <c r="T1716" s="339">
        <f t="shared" si="501"/>
        <v>0</v>
      </c>
      <c r="V1716" s="371">
        <v>1.23</v>
      </c>
      <c r="W1716" s="35">
        <v>0</v>
      </c>
      <c r="X1716" s="100">
        <v>-1.71</v>
      </c>
      <c r="Y1716" s="37" t="str">
        <f>RTD("money.excel",,"3508","Price")</f>
        <v>無資料</v>
      </c>
      <c r="Z1716" s="69"/>
      <c r="AA1716" s="16" t="e">
        <f t="shared" si="502"/>
        <v>#VALUE!</v>
      </c>
      <c r="AB1716" s="3" t="e">
        <f t="shared" si="503"/>
        <v>#VALUE!</v>
      </c>
      <c r="AD1716" s="17" t="s">
        <v>433</v>
      </c>
      <c r="AG1716" s="34">
        <f t="shared" si="504"/>
        <v>0</v>
      </c>
      <c r="AH1716" s="125" t="s">
        <v>3975</v>
      </c>
      <c r="AI1716" s="131"/>
      <c r="AK1716" s="66">
        <f t="shared" si="497"/>
        <v>0</v>
      </c>
      <c r="AL1716" s="174">
        <f t="shared" si="498"/>
        <v>0</v>
      </c>
      <c r="AM1716" s="346">
        <f>RTD("money.excel",,$G1716,"PredictVolume")</f>
        <v>0</v>
      </c>
      <c r="AN1716" s="272">
        <f>RTD("money.excel",,$G1716,"CumulativeVolume")</f>
        <v>0</v>
      </c>
      <c r="AO1716" s="284"/>
    </row>
    <row r="1717" spans="1:41">
      <c r="A1717" s="151" t="s">
        <v>3287</v>
      </c>
      <c r="B1717" s="96">
        <v>42</v>
      </c>
      <c r="C1717" s="96">
        <v>77</v>
      </c>
      <c r="D1717" s="96">
        <v>-2</v>
      </c>
      <c r="E1717" s="96">
        <v>130</v>
      </c>
      <c r="F1717" s="7">
        <v>-48</v>
      </c>
      <c r="G1717" s="85">
        <v>3518</v>
      </c>
      <c r="H1717" s="4" t="s">
        <v>566</v>
      </c>
      <c r="I1717" s="23" t="s">
        <v>945</v>
      </c>
      <c r="J1717" s="77">
        <v>43.35</v>
      </c>
      <c r="K1717" s="77">
        <v>7.87</v>
      </c>
      <c r="L1717" s="77">
        <v>21.98</v>
      </c>
      <c r="N1717" s="365">
        <f t="shared" si="499"/>
        <v>73.2</v>
      </c>
      <c r="O1717" s="343">
        <f t="shared" si="500"/>
        <v>43.35</v>
      </c>
      <c r="P1717" s="195" t="s">
        <v>5554</v>
      </c>
      <c r="Q1717" s="326" t="str">
        <f>IFERROR(VLOOKUP($G1717,主力整理!$A$2:$G$2301,6,0),"0")</f>
        <v>0</v>
      </c>
      <c r="T1717" s="339">
        <f t="shared" si="501"/>
        <v>0</v>
      </c>
      <c r="V1717" s="371">
        <v>10.63</v>
      </c>
      <c r="W1717" s="35">
        <v>0</v>
      </c>
      <c r="X1717" s="100">
        <v>-0.71</v>
      </c>
      <c r="Y1717" s="37" t="str">
        <f>RTD("money.excel",,"3518","Price")</f>
        <v>無資料</v>
      </c>
      <c r="Z1717" s="69"/>
      <c r="AA1717" s="16" t="e">
        <f t="shared" si="502"/>
        <v>#VALUE!</v>
      </c>
      <c r="AB1717" s="3" t="e">
        <f t="shared" si="503"/>
        <v>#VALUE!</v>
      </c>
      <c r="AD1717" s="23" t="s">
        <v>945</v>
      </c>
      <c r="AG1717" s="34">
        <f t="shared" si="504"/>
        <v>0</v>
      </c>
      <c r="AH1717" s="44" t="s">
        <v>4045</v>
      </c>
      <c r="AI1717" s="131"/>
      <c r="AK1717" s="66">
        <f t="shared" si="497"/>
        <v>0</v>
      </c>
      <c r="AL1717" s="174">
        <f t="shared" si="498"/>
        <v>0</v>
      </c>
      <c r="AM1717" s="346">
        <f>RTD("money.excel",,$G1717,"PredictVolume")</f>
        <v>0</v>
      </c>
      <c r="AN1717" s="272">
        <f>RTD("money.excel",,$G1717,"CumulativeVolume")</f>
        <v>0</v>
      </c>
      <c r="AO1717" s="284"/>
    </row>
    <row r="1718" spans="1:41">
      <c r="A1718" s="135" t="s">
        <v>3407</v>
      </c>
      <c r="B1718" s="84">
        <v>31</v>
      </c>
      <c r="C1718" s="84">
        <v>10</v>
      </c>
      <c r="D1718" s="84">
        <v>1</v>
      </c>
      <c r="E1718" s="84">
        <v>38</v>
      </c>
      <c r="F1718" s="59">
        <v>15.28</v>
      </c>
      <c r="G1718" s="85">
        <v>3541</v>
      </c>
      <c r="H1718" s="4" t="s">
        <v>566</v>
      </c>
      <c r="I1718" s="17" t="s">
        <v>307</v>
      </c>
      <c r="J1718" s="77">
        <v>23</v>
      </c>
      <c r="K1718" s="371">
        <v>2.77</v>
      </c>
      <c r="L1718" s="77">
        <v>15.31</v>
      </c>
      <c r="M1718" s="77">
        <v>13.76</v>
      </c>
      <c r="N1718" s="365">
        <f t="shared" si="499"/>
        <v>54.839999999999996</v>
      </c>
      <c r="O1718" s="343">
        <f t="shared" si="500"/>
        <v>36.76</v>
      </c>
      <c r="P1718" s="195">
        <v>3</v>
      </c>
      <c r="Q1718" s="326" t="str">
        <f>IFERROR(VLOOKUP($G1718,主力整理!$A$2:$G$2301,6,0),"0")</f>
        <v>0</v>
      </c>
      <c r="R1718" s="111">
        <v>1</v>
      </c>
      <c r="S1718" s="51">
        <v>0</v>
      </c>
      <c r="T1718" s="339">
        <f t="shared" si="501"/>
        <v>4</v>
      </c>
      <c r="U1718" s="329" t="s">
        <v>6539</v>
      </c>
      <c r="V1718" s="371">
        <v>1.3</v>
      </c>
      <c r="W1718" s="35">
        <v>2.02</v>
      </c>
      <c r="X1718" s="100">
        <v>2.82</v>
      </c>
      <c r="Y1718" s="37" t="str">
        <f>RTD("money.excel",,"3541","Price")</f>
        <v>無資料</v>
      </c>
      <c r="Z1718" s="69"/>
      <c r="AA1718" s="16" t="e">
        <f t="shared" si="502"/>
        <v>#VALUE!</v>
      </c>
      <c r="AB1718" s="3" t="e">
        <f t="shared" si="503"/>
        <v>#VALUE!</v>
      </c>
      <c r="AC1718" s="177" t="s">
        <v>2648</v>
      </c>
      <c r="AD1718" s="17" t="s">
        <v>307</v>
      </c>
      <c r="AG1718" s="34">
        <f t="shared" si="504"/>
        <v>0</v>
      </c>
      <c r="AH1718" s="126" t="s">
        <v>3976</v>
      </c>
      <c r="AI1718" s="131"/>
      <c r="AK1718" s="66">
        <f t="shared" si="497"/>
        <v>0</v>
      </c>
      <c r="AL1718" s="174">
        <f t="shared" si="498"/>
        <v>0</v>
      </c>
      <c r="AM1718" s="346">
        <f>RTD("money.excel",,$G1718,"PredictVolume")</f>
        <v>0</v>
      </c>
      <c r="AN1718" s="272">
        <f>RTD("money.excel",,$G1718,"CumulativeVolume")</f>
        <v>0</v>
      </c>
      <c r="AO1718" s="284"/>
    </row>
    <row r="1719" spans="1:41">
      <c r="A1719" s="135" t="s">
        <v>3407</v>
      </c>
      <c r="B1719" s="96">
        <v>19</v>
      </c>
      <c r="C1719" s="96">
        <v>19</v>
      </c>
      <c r="D1719" s="96">
        <v>-4</v>
      </c>
      <c r="E1719" s="96">
        <v>-5</v>
      </c>
      <c r="F1719" s="59">
        <v>15.72</v>
      </c>
      <c r="G1719" s="85">
        <v>3551</v>
      </c>
      <c r="H1719" s="4" t="s">
        <v>566</v>
      </c>
      <c r="I1719" s="17" t="s">
        <v>913</v>
      </c>
      <c r="J1719" s="77">
        <v>39.17</v>
      </c>
      <c r="K1719" s="77">
        <v>4.8600000000000003</v>
      </c>
      <c r="L1719" s="77">
        <v>9.2799999999999994</v>
      </c>
      <c r="N1719" s="365">
        <f t="shared" si="499"/>
        <v>53.31</v>
      </c>
      <c r="O1719" s="343">
        <f t="shared" si="500"/>
        <v>39.17</v>
      </c>
      <c r="P1719" s="195" t="s">
        <v>5554</v>
      </c>
      <c r="Q1719" s="326">
        <f>IFERROR(VLOOKUP($G1719,主力整理!$A$2:$G$2301,6,0),"0")</f>
        <v>1</v>
      </c>
      <c r="T1719" s="339">
        <f t="shared" si="501"/>
        <v>1</v>
      </c>
      <c r="V1719" s="371">
        <v>20.03</v>
      </c>
      <c r="W1719" s="35">
        <v>2.2000000000000002</v>
      </c>
      <c r="X1719" s="100">
        <v>4.4400000000000004</v>
      </c>
      <c r="Y1719" s="37" t="str">
        <f>RTD("money.excel",,"3551","Price")</f>
        <v>無資料</v>
      </c>
      <c r="Z1719" s="69"/>
      <c r="AA1719" s="16" t="e">
        <f t="shared" si="502"/>
        <v>#VALUE!</v>
      </c>
      <c r="AB1719" s="3" t="e">
        <f t="shared" si="503"/>
        <v>#VALUE!</v>
      </c>
      <c r="AD1719" s="17" t="s">
        <v>913</v>
      </c>
      <c r="AG1719" s="34">
        <f t="shared" si="504"/>
        <v>0</v>
      </c>
      <c r="AH1719" s="63" t="s">
        <v>3684</v>
      </c>
      <c r="AI1719" s="131"/>
      <c r="AK1719" s="66">
        <f t="shared" si="497"/>
        <v>0</v>
      </c>
      <c r="AL1719" s="174">
        <f t="shared" si="498"/>
        <v>0</v>
      </c>
      <c r="AM1719" s="346">
        <f>RTD("money.excel",,$G1719,"PredictVolume")</f>
        <v>0</v>
      </c>
      <c r="AN1719" s="272">
        <f>RTD("money.excel",,$G1719,"CumulativeVolume")</f>
        <v>0</v>
      </c>
      <c r="AO1719" s="284"/>
    </row>
    <row r="1720" spans="1:41">
      <c r="A1720" s="151" t="s">
        <v>2625</v>
      </c>
      <c r="B1720" s="98">
        <v>1368</v>
      </c>
      <c r="C1720" s="84">
        <v>763</v>
      </c>
      <c r="D1720" s="84">
        <v>1</v>
      </c>
      <c r="E1720" s="85">
        <v>-13</v>
      </c>
      <c r="F1720" s="7">
        <v>5.17</v>
      </c>
      <c r="G1720" s="85">
        <v>3552</v>
      </c>
      <c r="H1720" s="4" t="s">
        <v>566</v>
      </c>
      <c r="I1720" s="17" t="s">
        <v>397</v>
      </c>
      <c r="J1720" s="77">
        <v>36.58</v>
      </c>
      <c r="K1720" s="371">
        <v>21.55</v>
      </c>
      <c r="L1720" s="371">
        <v>26.82</v>
      </c>
      <c r="M1720" s="371">
        <v>18.88</v>
      </c>
      <c r="N1720" s="365">
        <f t="shared" si="499"/>
        <v>103.82999999999998</v>
      </c>
      <c r="O1720" s="343">
        <f t="shared" si="500"/>
        <v>55.459999999999994</v>
      </c>
      <c r="P1720" s="195">
        <v>6</v>
      </c>
      <c r="Q1720" s="326">
        <v>13</v>
      </c>
      <c r="R1720" s="111">
        <v>1</v>
      </c>
      <c r="S1720" s="51">
        <v>3</v>
      </c>
      <c r="T1720" s="339">
        <f t="shared" si="501"/>
        <v>23</v>
      </c>
      <c r="U1720" s="329" t="s">
        <v>6539</v>
      </c>
      <c r="V1720" s="371">
        <v>3.58</v>
      </c>
      <c r="W1720" s="35">
        <v>1.5</v>
      </c>
      <c r="X1720" s="100">
        <v>6.38</v>
      </c>
      <c r="Y1720" s="37" t="str">
        <f>RTD("money.excel",,"3552","Price")</f>
        <v>無資料</v>
      </c>
      <c r="Z1720" s="69"/>
      <c r="AA1720" s="16" t="e">
        <f t="shared" si="502"/>
        <v>#VALUE!</v>
      </c>
      <c r="AB1720" s="3" t="e">
        <f t="shared" si="503"/>
        <v>#VALUE!</v>
      </c>
      <c r="AC1720" s="177" t="s">
        <v>2648</v>
      </c>
      <c r="AD1720" s="17" t="s">
        <v>397</v>
      </c>
      <c r="AG1720" s="34">
        <f t="shared" si="504"/>
        <v>0</v>
      </c>
      <c r="AH1720" s="125" t="s">
        <v>3702</v>
      </c>
      <c r="AI1720" s="131"/>
      <c r="AK1720" s="66">
        <f t="shared" si="497"/>
        <v>0</v>
      </c>
      <c r="AL1720" s="174">
        <f t="shared" si="498"/>
        <v>0</v>
      </c>
      <c r="AM1720" s="346">
        <f>RTD("money.excel",,$G1720,"PredictVolume")</f>
        <v>0</v>
      </c>
      <c r="AN1720" s="272">
        <f>RTD("money.excel",,$G1720,"CumulativeVolume")</f>
        <v>0</v>
      </c>
      <c r="AO1720" s="284"/>
    </row>
    <row r="1721" spans="1:41">
      <c r="A1721" s="135" t="s">
        <v>3103</v>
      </c>
      <c r="B1721" s="85">
        <v>-22</v>
      </c>
      <c r="C1721" s="85">
        <v>-32</v>
      </c>
      <c r="D1721" s="84">
        <v>16</v>
      </c>
      <c r="E1721" s="84">
        <v>118</v>
      </c>
      <c r="F1721" s="59">
        <v>15.6</v>
      </c>
      <c r="G1721" s="85">
        <v>3580</v>
      </c>
      <c r="H1721" s="4" t="s">
        <v>566</v>
      </c>
      <c r="I1721" s="17" t="s">
        <v>434</v>
      </c>
      <c r="J1721" s="371">
        <v>22.4</v>
      </c>
      <c r="K1721" s="371">
        <v>3.17</v>
      </c>
      <c r="L1721" s="77">
        <v>56.22</v>
      </c>
      <c r="N1721" s="365">
        <f t="shared" si="499"/>
        <v>81.789999999999992</v>
      </c>
      <c r="O1721" s="343">
        <f t="shared" si="500"/>
        <v>22.4</v>
      </c>
      <c r="P1721" s="195">
        <v>1</v>
      </c>
      <c r="Q1721" s="326" t="str">
        <f>IFERROR(VLOOKUP($G1721,主力整理!$A$2:$G$2301,6,0),"0")</f>
        <v>0</v>
      </c>
      <c r="T1721" s="339">
        <f t="shared" si="501"/>
        <v>1</v>
      </c>
      <c r="V1721" s="371">
        <v>5.41</v>
      </c>
      <c r="W1721" s="35">
        <v>1.3</v>
      </c>
      <c r="X1721" s="59">
        <v>1.84</v>
      </c>
      <c r="Y1721" s="37" t="str">
        <f>RTD("money.excel",,"3580","Price")</f>
        <v>無資料</v>
      </c>
      <c r="Z1721" s="69"/>
      <c r="AA1721" s="16" t="e">
        <f t="shared" si="502"/>
        <v>#VALUE!</v>
      </c>
      <c r="AB1721" s="3" t="e">
        <f t="shared" si="503"/>
        <v>#VALUE!</v>
      </c>
      <c r="AC1721" s="177" t="s">
        <v>2648</v>
      </c>
      <c r="AD1721" s="17" t="s">
        <v>434</v>
      </c>
      <c r="AG1721" s="34">
        <f t="shared" si="504"/>
        <v>0</v>
      </c>
      <c r="AH1721" s="126" t="s">
        <v>3699</v>
      </c>
      <c r="AI1721" s="131"/>
      <c r="AK1721" s="66">
        <f t="shared" si="497"/>
        <v>0</v>
      </c>
      <c r="AL1721" s="174">
        <f t="shared" si="498"/>
        <v>0</v>
      </c>
      <c r="AM1721" s="346">
        <f>RTD("money.excel",,$G1721,"PredictVolume")</f>
        <v>0</v>
      </c>
      <c r="AN1721" s="272">
        <f>RTD("money.excel",,$G1721,"CumulativeVolume")</f>
        <v>0</v>
      </c>
      <c r="AO1721" s="284"/>
    </row>
    <row r="1722" spans="1:41">
      <c r="A1722" s="135" t="s">
        <v>2494</v>
      </c>
      <c r="B1722" s="84">
        <v>53</v>
      </c>
      <c r="C1722" s="84">
        <v>61</v>
      </c>
      <c r="D1722" s="84">
        <v>13</v>
      </c>
      <c r="E1722" s="84">
        <v>16</v>
      </c>
      <c r="F1722" s="59">
        <v>20.190000000000001</v>
      </c>
      <c r="G1722" s="85">
        <v>3587</v>
      </c>
      <c r="H1722" s="4" t="s">
        <v>566</v>
      </c>
      <c r="I1722" s="17" t="s">
        <v>308</v>
      </c>
      <c r="J1722" s="77">
        <v>26.13</v>
      </c>
      <c r="K1722" s="77">
        <v>6.26</v>
      </c>
      <c r="L1722" s="77">
        <v>18.46</v>
      </c>
      <c r="M1722" s="371">
        <v>22.13</v>
      </c>
      <c r="N1722" s="365">
        <f t="shared" si="499"/>
        <v>72.98</v>
      </c>
      <c r="O1722" s="343">
        <f t="shared" si="500"/>
        <v>48.26</v>
      </c>
      <c r="P1722" s="195">
        <v>16</v>
      </c>
      <c r="Q1722" s="326">
        <v>21</v>
      </c>
      <c r="R1722" s="111">
        <v>28</v>
      </c>
      <c r="S1722" s="51">
        <v>32</v>
      </c>
      <c r="T1722" s="339">
        <f t="shared" si="501"/>
        <v>97</v>
      </c>
      <c r="U1722" s="329" t="s">
        <v>6540</v>
      </c>
      <c r="V1722" s="371">
        <v>1.76</v>
      </c>
      <c r="W1722" s="69">
        <v>4.5</v>
      </c>
      <c r="X1722" s="100">
        <v>8.48</v>
      </c>
      <c r="Y1722" s="37" t="str">
        <f>RTD("money.excel",,"3587","Price")</f>
        <v>無資料</v>
      </c>
      <c r="Z1722" s="69"/>
      <c r="AA1722" s="16" t="e">
        <f t="shared" si="502"/>
        <v>#VALUE!</v>
      </c>
      <c r="AB1722" s="3" t="e">
        <f t="shared" si="503"/>
        <v>#VALUE!</v>
      </c>
      <c r="AC1722" s="177" t="s">
        <v>2929</v>
      </c>
      <c r="AD1722" s="17" t="s">
        <v>308</v>
      </c>
      <c r="AG1722" s="34">
        <f t="shared" si="504"/>
        <v>0</v>
      </c>
      <c r="AH1722" s="126" t="s">
        <v>3137</v>
      </c>
      <c r="AI1722" s="131"/>
      <c r="AK1722" s="66">
        <f t="shared" si="497"/>
        <v>0</v>
      </c>
      <c r="AL1722" s="174">
        <f t="shared" si="498"/>
        <v>0</v>
      </c>
      <c r="AM1722" s="346">
        <f>RTD("money.excel",,$G1722,"PredictVolume")</f>
        <v>0</v>
      </c>
      <c r="AN1722" s="272">
        <f>RTD("money.excel",,$G1722,"CumulativeVolume")</f>
        <v>0</v>
      </c>
      <c r="AO1722" s="284"/>
    </row>
    <row r="1723" spans="1:41">
      <c r="A1723" s="151" t="s">
        <v>3199</v>
      </c>
      <c r="B1723" s="85">
        <v>-62</v>
      </c>
      <c r="C1723" s="85">
        <v>-54</v>
      </c>
      <c r="D1723" s="85">
        <v>-1</v>
      </c>
      <c r="E1723" s="85">
        <v>-7</v>
      </c>
      <c r="F1723" s="7">
        <v>4.2300000000000004</v>
      </c>
      <c r="G1723" s="85">
        <v>3617</v>
      </c>
      <c r="H1723" s="4" t="s">
        <v>566</v>
      </c>
      <c r="I1723" s="23" t="s">
        <v>946</v>
      </c>
      <c r="J1723" s="371">
        <v>67.61</v>
      </c>
      <c r="K1723" s="371">
        <v>3.19</v>
      </c>
      <c r="L1723" s="371">
        <v>3.19</v>
      </c>
      <c r="N1723" s="365">
        <f t="shared" si="499"/>
        <v>73.989999999999995</v>
      </c>
      <c r="O1723" s="343">
        <f t="shared" si="500"/>
        <v>67.61</v>
      </c>
      <c r="P1723" s="195" t="s">
        <v>5554</v>
      </c>
      <c r="Q1723" s="326" t="str">
        <f>IFERROR(VLOOKUP($G1723,主力整理!$A$2:$G$2301,6,0),"0")</f>
        <v>0</v>
      </c>
      <c r="T1723" s="339">
        <f t="shared" si="501"/>
        <v>0</v>
      </c>
      <c r="V1723" s="371">
        <v>0.02</v>
      </c>
      <c r="W1723" s="69">
        <v>5.4</v>
      </c>
      <c r="X1723" s="100">
        <v>5.72</v>
      </c>
      <c r="Y1723" s="37" t="str">
        <f>RTD("money.excel",,"3617","Price")</f>
        <v>無資料</v>
      </c>
      <c r="Z1723" s="69"/>
      <c r="AA1723" s="16" t="e">
        <f t="shared" si="502"/>
        <v>#VALUE!</v>
      </c>
      <c r="AB1723" s="3" t="e">
        <f t="shared" si="503"/>
        <v>#VALUE!</v>
      </c>
      <c r="AC1723" s="177" t="s">
        <v>2700</v>
      </c>
      <c r="AD1723" s="23" t="s">
        <v>946</v>
      </c>
      <c r="AG1723" s="34">
        <f t="shared" si="504"/>
        <v>0</v>
      </c>
      <c r="AH1723" s="63" t="s">
        <v>2164</v>
      </c>
      <c r="AI1723" s="131"/>
      <c r="AK1723" s="66">
        <f t="shared" si="497"/>
        <v>0</v>
      </c>
      <c r="AL1723" s="174">
        <f t="shared" si="498"/>
        <v>0</v>
      </c>
      <c r="AM1723" s="346">
        <f>RTD("money.excel",,$G1723,"PredictVolume")</f>
        <v>0</v>
      </c>
      <c r="AN1723" s="272">
        <f>RTD("money.excel",,$G1723,"CumulativeVolume")</f>
        <v>0</v>
      </c>
      <c r="AO1723" s="284"/>
    </row>
    <row r="1724" spans="1:41">
      <c r="A1724" s="151" t="s">
        <v>3401</v>
      </c>
      <c r="B1724" s="96">
        <v>-13</v>
      </c>
      <c r="C1724" s="96">
        <v>155</v>
      </c>
      <c r="D1724" s="96">
        <v>12</v>
      </c>
      <c r="E1724" s="96">
        <v>-4</v>
      </c>
      <c r="F1724" s="7">
        <v>2.48</v>
      </c>
      <c r="G1724" s="85">
        <v>3628</v>
      </c>
      <c r="H1724" s="4" t="s">
        <v>566</v>
      </c>
      <c r="I1724" s="17" t="s">
        <v>914</v>
      </c>
      <c r="J1724" s="77">
        <v>62.39</v>
      </c>
      <c r="K1724" s="77">
        <v>0.17</v>
      </c>
      <c r="L1724" s="77">
        <v>5.16</v>
      </c>
      <c r="N1724" s="365">
        <f t="shared" si="499"/>
        <v>67.72</v>
      </c>
      <c r="O1724" s="343">
        <f t="shared" si="500"/>
        <v>62.39</v>
      </c>
      <c r="P1724" s="195" t="s">
        <v>5554</v>
      </c>
      <c r="Q1724" s="326" t="str">
        <f>IFERROR(VLOOKUP($G1724,主力整理!$A$2:$G$2301,6,0),"0")</f>
        <v>0</v>
      </c>
      <c r="T1724" s="339">
        <f t="shared" si="501"/>
        <v>0</v>
      </c>
      <c r="V1724" s="371">
        <v>63.85</v>
      </c>
      <c r="W1724" s="35">
        <v>1</v>
      </c>
      <c r="X1724" s="100">
        <v>0.93</v>
      </c>
      <c r="Y1724" s="37" t="str">
        <f>RTD("money.excel",,"3628","Price")</f>
        <v>無資料</v>
      </c>
      <c r="Z1724" s="69"/>
      <c r="AA1724" s="16" t="e">
        <f t="shared" si="502"/>
        <v>#VALUE!</v>
      </c>
      <c r="AB1724" s="3" t="e">
        <f t="shared" si="503"/>
        <v>#VALUE!</v>
      </c>
      <c r="AD1724" s="17" t="s">
        <v>914</v>
      </c>
      <c r="AG1724" s="34">
        <f t="shared" si="504"/>
        <v>0</v>
      </c>
      <c r="AH1724" s="44" t="s">
        <v>2164</v>
      </c>
      <c r="AI1724" s="131"/>
      <c r="AO1724" s="284"/>
    </row>
    <row r="1725" spans="1:41">
      <c r="A1725" s="151" t="s">
        <v>4643</v>
      </c>
      <c r="B1725" s="96">
        <v>-314</v>
      </c>
      <c r="C1725" s="96">
        <v>-29</v>
      </c>
      <c r="D1725" s="96">
        <v>5</v>
      </c>
      <c r="E1725" s="96">
        <v>56</v>
      </c>
      <c r="F1725" s="7">
        <v>-35</v>
      </c>
      <c r="G1725" s="85">
        <v>3642</v>
      </c>
      <c r="H1725" s="4" t="s">
        <v>566</v>
      </c>
      <c r="I1725" s="17" t="s">
        <v>915</v>
      </c>
      <c r="J1725" s="77">
        <v>44.87</v>
      </c>
      <c r="K1725" s="77">
        <v>0.21</v>
      </c>
      <c r="L1725" s="77">
        <v>78.930000000000007</v>
      </c>
      <c r="N1725" s="365">
        <f t="shared" si="499"/>
        <v>124.01</v>
      </c>
      <c r="O1725" s="343">
        <f t="shared" si="500"/>
        <v>44.87</v>
      </c>
      <c r="P1725" s="195" t="s">
        <v>5554</v>
      </c>
      <c r="Q1725" s="326" t="str">
        <f>IFERROR(VLOOKUP($G1725,主力整理!$A$2:$G$2301,6,0),"0")</f>
        <v>0</v>
      </c>
      <c r="T1725" s="339">
        <f t="shared" si="501"/>
        <v>0</v>
      </c>
      <c r="V1725" s="371">
        <v>7.58</v>
      </c>
      <c r="W1725" s="35">
        <v>0</v>
      </c>
      <c r="X1725" s="100">
        <v>-4.46</v>
      </c>
      <c r="Y1725" s="37" t="str">
        <f>RTD("money.excel",,"3642","Price")</f>
        <v>無資料</v>
      </c>
      <c r="Z1725" s="69"/>
      <c r="AA1725" s="16" t="e">
        <f t="shared" si="502"/>
        <v>#VALUE!</v>
      </c>
      <c r="AB1725" s="3" t="e">
        <f t="shared" si="503"/>
        <v>#VALUE!</v>
      </c>
      <c r="AD1725" s="17" t="s">
        <v>915</v>
      </c>
      <c r="AG1725" s="34">
        <f t="shared" si="504"/>
        <v>0</v>
      </c>
      <c r="AH1725" s="44" t="s">
        <v>3977</v>
      </c>
      <c r="AK1725" s="66">
        <f t="shared" ref="AK1725:AK1737" si="505">AM1725/(A1725*10000)</f>
        <v>0</v>
      </c>
      <c r="AL1725" s="174">
        <f t="shared" ref="AL1725:AL1737" si="506">AN1725/(A1725*10000)</f>
        <v>0</v>
      </c>
      <c r="AM1725" s="346">
        <f>RTD("money.excel",,$G1725,"PredictVolume")</f>
        <v>0</v>
      </c>
      <c r="AN1725" s="272">
        <f>RTD("money.excel",,$G1725,"CumulativeVolume")</f>
        <v>0</v>
      </c>
    </row>
    <row r="1726" spans="1:41">
      <c r="A1726" s="151" t="s">
        <v>4666</v>
      </c>
      <c r="B1726" s="96">
        <v>-71</v>
      </c>
      <c r="C1726" s="96">
        <v>169</v>
      </c>
      <c r="D1726" s="96">
        <v>43</v>
      </c>
      <c r="E1726" s="96">
        <v>97</v>
      </c>
      <c r="F1726" s="7">
        <v>1.35</v>
      </c>
      <c r="G1726" s="85">
        <v>3663</v>
      </c>
      <c r="H1726" s="4" t="s">
        <v>566</v>
      </c>
      <c r="I1726" s="17" t="s">
        <v>916</v>
      </c>
      <c r="J1726" s="77">
        <v>64.98</v>
      </c>
      <c r="K1726" s="77">
        <v>3.67</v>
      </c>
      <c r="L1726" s="77">
        <v>15.94</v>
      </c>
      <c r="N1726" s="365">
        <f t="shared" si="499"/>
        <v>84.59</v>
      </c>
      <c r="O1726" s="343">
        <f t="shared" si="500"/>
        <v>64.98</v>
      </c>
      <c r="P1726" s="195">
        <v>1</v>
      </c>
      <c r="Q1726" s="326">
        <f>IFERROR(VLOOKUP($G1726,主力整理!$A$2:$G$2301,6,0),"0")</f>
        <v>1</v>
      </c>
      <c r="T1726" s="339">
        <f t="shared" si="501"/>
        <v>2</v>
      </c>
      <c r="V1726" s="371">
        <v>45.82</v>
      </c>
      <c r="W1726" s="35">
        <v>0.8</v>
      </c>
      <c r="X1726" s="100">
        <v>0.64</v>
      </c>
      <c r="Y1726" s="37" t="str">
        <f>RTD("money.excel",,"3663","Price")</f>
        <v>無資料</v>
      </c>
      <c r="Z1726" s="69"/>
      <c r="AA1726" s="16" t="e">
        <f t="shared" si="502"/>
        <v>#VALUE!</v>
      </c>
      <c r="AB1726" s="3" t="e">
        <f t="shared" si="503"/>
        <v>#VALUE!</v>
      </c>
      <c r="AC1726" s="177" t="s">
        <v>2648</v>
      </c>
      <c r="AD1726" s="17" t="s">
        <v>916</v>
      </c>
      <c r="AG1726" s="34">
        <f t="shared" si="504"/>
        <v>0</v>
      </c>
      <c r="AH1726" s="44" t="s">
        <v>3978</v>
      </c>
      <c r="AI1726" s="131"/>
      <c r="AK1726" s="66">
        <f t="shared" si="505"/>
        <v>0</v>
      </c>
      <c r="AL1726" s="174">
        <f t="shared" si="506"/>
        <v>0</v>
      </c>
      <c r="AM1726" s="346">
        <f>RTD("money.excel",,$G1726,"PredictVolume")</f>
        <v>0</v>
      </c>
      <c r="AN1726" s="272">
        <f>RTD("money.excel",,$G1726,"CumulativeVolume")</f>
        <v>0</v>
      </c>
      <c r="AO1726" s="284"/>
    </row>
    <row r="1727" spans="1:41">
      <c r="A1727" s="151" t="s">
        <v>2445</v>
      </c>
      <c r="B1727" s="84">
        <v>18</v>
      </c>
      <c r="C1727" s="84">
        <v>9</v>
      </c>
      <c r="D1727" s="84">
        <v>8</v>
      </c>
      <c r="E1727" s="84">
        <v>26</v>
      </c>
      <c r="F1727" s="7">
        <v>9.18</v>
      </c>
      <c r="G1727" s="85">
        <v>3665</v>
      </c>
      <c r="H1727" s="53" t="s">
        <v>566</v>
      </c>
      <c r="I1727" s="23" t="s">
        <v>492</v>
      </c>
      <c r="J1727" s="77">
        <v>52.68</v>
      </c>
      <c r="K1727" s="77">
        <v>43.11</v>
      </c>
      <c r="L1727" s="77">
        <v>11.17</v>
      </c>
      <c r="M1727" s="371">
        <v>4.05</v>
      </c>
      <c r="N1727" s="365">
        <f t="shared" si="499"/>
        <v>111.00999999999999</v>
      </c>
      <c r="O1727" s="343">
        <f t="shared" si="500"/>
        <v>56.73</v>
      </c>
      <c r="P1727" s="195">
        <v>27</v>
      </c>
      <c r="Q1727" s="326">
        <v>30</v>
      </c>
      <c r="R1727" s="111">
        <v>28</v>
      </c>
      <c r="S1727" s="51">
        <v>20</v>
      </c>
      <c r="T1727" s="339">
        <f t="shared" si="501"/>
        <v>105</v>
      </c>
      <c r="U1727" s="329" t="s">
        <v>6539</v>
      </c>
      <c r="V1727" s="371">
        <v>8.8699999999999992</v>
      </c>
      <c r="W1727" s="69">
        <v>8.1</v>
      </c>
      <c r="X1727" s="59">
        <v>15.51</v>
      </c>
      <c r="Y1727" s="14" t="str">
        <f>RTD("money.excel",,"3665","Price")</f>
        <v>無資料</v>
      </c>
      <c r="Z1727" s="69"/>
      <c r="AA1727" s="16" t="e">
        <f t="shared" si="502"/>
        <v>#VALUE!</v>
      </c>
      <c r="AB1727" s="3" t="e">
        <f t="shared" si="503"/>
        <v>#VALUE!</v>
      </c>
      <c r="AC1727" s="177" t="s">
        <v>2929</v>
      </c>
      <c r="AD1727" s="23" t="s">
        <v>492</v>
      </c>
      <c r="AG1727" s="34">
        <f t="shared" si="504"/>
        <v>0</v>
      </c>
      <c r="AH1727" s="125" t="s">
        <v>3686</v>
      </c>
      <c r="AI1727" s="131"/>
      <c r="AK1727" s="66">
        <f t="shared" si="505"/>
        <v>0</v>
      </c>
      <c r="AL1727" s="174">
        <f t="shared" si="506"/>
        <v>0</v>
      </c>
      <c r="AM1727" s="346">
        <f>RTD("money.excel",,$G1727,"PredictVolume")</f>
        <v>0</v>
      </c>
      <c r="AN1727" s="272">
        <f>RTD("money.excel",,$G1727,"CumulativeVolume")</f>
        <v>0</v>
      </c>
      <c r="AO1727" s="284"/>
    </row>
    <row r="1728" spans="1:41">
      <c r="A1728" s="151" t="s">
        <v>2610</v>
      </c>
      <c r="B1728" s="85">
        <v>-45</v>
      </c>
      <c r="C1728" s="85">
        <v>-62</v>
      </c>
      <c r="D1728" s="85">
        <v>-8</v>
      </c>
      <c r="E1728" s="84">
        <v>7</v>
      </c>
      <c r="F1728" s="7">
        <v>1.01</v>
      </c>
      <c r="G1728" s="85">
        <v>4554</v>
      </c>
      <c r="H1728" s="4" t="s">
        <v>566</v>
      </c>
      <c r="I1728" s="25" t="s">
        <v>451</v>
      </c>
      <c r="J1728" s="371">
        <v>36.770000000000003</v>
      </c>
      <c r="K1728" s="371">
        <v>23.66</v>
      </c>
      <c r="L1728" s="371"/>
      <c r="N1728" s="365">
        <f t="shared" si="499"/>
        <v>60.430000000000007</v>
      </c>
      <c r="O1728" s="343">
        <f t="shared" si="500"/>
        <v>36.770000000000003</v>
      </c>
      <c r="P1728" s="195" t="s">
        <v>5554</v>
      </c>
      <c r="Q1728" s="326" t="str">
        <f>IFERROR(VLOOKUP($G1728,主力整理!$A$2:$G$2301,6,0),"0")</f>
        <v>0</v>
      </c>
      <c r="T1728" s="339">
        <f t="shared" si="501"/>
        <v>0</v>
      </c>
      <c r="W1728" s="35">
        <v>0.14000000000000001</v>
      </c>
      <c r="X1728" s="100">
        <v>0.24</v>
      </c>
      <c r="Y1728" s="37" t="str">
        <f>RTD("money.excel",,"4554","Price")</f>
        <v>無資料</v>
      </c>
      <c r="Z1728" s="69"/>
      <c r="AA1728" s="16" t="e">
        <f t="shared" si="502"/>
        <v>#VALUE!</v>
      </c>
      <c r="AB1728" s="3" t="e">
        <f t="shared" si="503"/>
        <v>#VALUE!</v>
      </c>
      <c r="AC1728" s="177" t="s">
        <v>2648</v>
      </c>
      <c r="AD1728" s="25" t="s">
        <v>451</v>
      </c>
      <c r="AG1728" s="34">
        <f t="shared" si="504"/>
        <v>0</v>
      </c>
      <c r="AH1728" s="127" t="s">
        <v>3456</v>
      </c>
      <c r="AI1728" s="131"/>
      <c r="AK1728" s="66">
        <f t="shared" si="505"/>
        <v>0</v>
      </c>
      <c r="AL1728" s="174">
        <f t="shared" si="506"/>
        <v>0</v>
      </c>
      <c r="AM1728" s="346">
        <f>RTD("money.excel",,$G1728,"PredictVolume")</f>
        <v>0</v>
      </c>
      <c r="AN1728" s="272">
        <f>RTD("money.excel",,$G1728,"CumulativeVolume")</f>
        <v>0</v>
      </c>
      <c r="AO1728" s="284"/>
    </row>
    <row r="1729" spans="1:41">
      <c r="A1729" s="135" t="s">
        <v>4762</v>
      </c>
      <c r="B1729" s="84">
        <v>360</v>
      </c>
      <c r="C1729" s="84">
        <v>320</v>
      </c>
      <c r="D1729" s="84">
        <v>3</v>
      </c>
      <c r="E1729" s="84">
        <v>70</v>
      </c>
      <c r="F1729" s="59">
        <v>13.61</v>
      </c>
      <c r="G1729" s="85">
        <v>4760</v>
      </c>
      <c r="H1729" s="4" t="s">
        <v>566</v>
      </c>
      <c r="I1729" s="25" t="s">
        <v>5171</v>
      </c>
      <c r="J1729" s="371">
        <v>31.25</v>
      </c>
      <c r="K1729" s="77">
        <v>2.11</v>
      </c>
      <c r="L1729" s="77">
        <v>34.229999999999997</v>
      </c>
      <c r="N1729" s="365">
        <f t="shared" si="499"/>
        <v>67.59</v>
      </c>
      <c r="O1729" s="343">
        <f t="shared" si="500"/>
        <v>31.25</v>
      </c>
      <c r="P1729" s="195">
        <v>5</v>
      </c>
      <c r="Q1729" s="326" t="str">
        <f>IFERROR(VLOOKUP($G1729,主力整理!$A$2:$G$2301,6,0),"0")</f>
        <v>0</v>
      </c>
      <c r="T1729" s="339">
        <f t="shared" si="501"/>
        <v>5</v>
      </c>
      <c r="V1729" s="371">
        <v>0.15</v>
      </c>
      <c r="W1729" s="69">
        <v>3.17</v>
      </c>
      <c r="X1729" s="100">
        <v>4.83</v>
      </c>
      <c r="Y1729" s="37" t="str">
        <f>RTD("money.excel",,"4760","Price")</f>
        <v>無資料</v>
      </c>
      <c r="Z1729" s="69"/>
      <c r="AA1729" s="16" t="e">
        <f t="shared" si="502"/>
        <v>#VALUE!</v>
      </c>
      <c r="AB1729" s="3" t="e">
        <f t="shared" si="503"/>
        <v>#VALUE!</v>
      </c>
      <c r="AC1729" s="177" t="s">
        <v>2929</v>
      </c>
      <c r="AD1729" s="25" t="s">
        <v>5171</v>
      </c>
      <c r="AG1729" s="34">
        <f t="shared" si="504"/>
        <v>0</v>
      </c>
      <c r="AH1729" s="50" t="s">
        <v>4002</v>
      </c>
      <c r="AI1729" s="131"/>
      <c r="AK1729" s="66">
        <f t="shared" si="505"/>
        <v>0</v>
      </c>
      <c r="AL1729" s="174">
        <f t="shared" si="506"/>
        <v>0</v>
      </c>
      <c r="AM1729" s="346">
        <f>RTD("money.excel",,$G1729,"PredictVolume")</f>
        <v>0</v>
      </c>
      <c r="AN1729" s="272">
        <f>RTD("money.excel",,$G1729,"CumulativeVolume")</f>
        <v>0</v>
      </c>
      <c r="AO1729" s="284"/>
    </row>
    <row r="1730" spans="1:41">
      <c r="A1730" s="151" t="s">
        <v>4667</v>
      </c>
      <c r="B1730" s="96">
        <v>16</v>
      </c>
      <c r="C1730" s="96">
        <v>14</v>
      </c>
      <c r="D1730" s="96">
        <v>-61</v>
      </c>
      <c r="E1730" s="145">
        <v>2840</v>
      </c>
      <c r="F1730" s="7">
        <v>-29</v>
      </c>
      <c r="G1730" s="85">
        <v>5205</v>
      </c>
      <c r="H1730" s="4" t="s">
        <v>566</v>
      </c>
      <c r="I1730" s="17" t="s">
        <v>1730</v>
      </c>
      <c r="J1730" s="77">
        <v>47.51</v>
      </c>
      <c r="K1730" s="77">
        <v>0</v>
      </c>
      <c r="N1730" s="365">
        <f t="shared" si="499"/>
        <v>47.51</v>
      </c>
      <c r="O1730" s="343">
        <f t="shared" si="500"/>
        <v>47.51</v>
      </c>
      <c r="P1730" s="195" t="s">
        <v>5554</v>
      </c>
      <c r="Q1730" s="326" t="str">
        <f>IFERROR(VLOOKUP($G1730,主力整理!$A$2:$G$2301,6,0),"0")</f>
        <v>0</v>
      </c>
      <c r="T1730" s="339">
        <f t="shared" si="501"/>
        <v>0</v>
      </c>
      <c r="V1730" s="371">
        <v>39.33</v>
      </c>
      <c r="W1730" s="35">
        <v>0</v>
      </c>
      <c r="X1730" s="100">
        <v>-0.59</v>
      </c>
      <c r="Y1730" s="37" t="str">
        <f>RTD("money.excel",,"5205","Price")</f>
        <v>無資料</v>
      </c>
      <c r="Z1730" s="69"/>
      <c r="AA1730" s="16" t="e">
        <f t="shared" si="502"/>
        <v>#VALUE!</v>
      </c>
      <c r="AB1730" s="3" t="e">
        <f t="shared" si="503"/>
        <v>#VALUE!</v>
      </c>
      <c r="AD1730" s="17" t="s">
        <v>1730</v>
      </c>
      <c r="AG1730" s="34">
        <f t="shared" si="504"/>
        <v>0</v>
      </c>
      <c r="AH1730" s="44" t="s">
        <v>3979</v>
      </c>
      <c r="AI1730" s="131"/>
      <c r="AK1730" s="66">
        <f t="shared" si="505"/>
        <v>0</v>
      </c>
      <c r="AL1730" s="174">
        <f t="shared" si="506"/>
        <v>0</v>
      </c>
      <c r="AM1730" s="346">
        <f>RTD("money.excel",,$G1730,"PredictVolume")</f>
        <v>0</v>
      </c>
      <c r="AN1730" s="272">
        <f>RTD("money.excel",,$G1730,"CumulativeVolume")</f>
        <v>0</v>
      </c>
      <c r="AO1730" s="284"/>
    </row>
    <row r="1731" spans="1:41">
      <c r="A1731" s="151" t="s">
        <v>4808</v>
      </c>
      <c r="B1731" s="96">
        <v>-213</v>
      </c>
      <c r="C1731" s="96">
        <v>-199</v>
      </c>
      <c r="D1731" s="96">
        <v>-9</v>
      </c>
      <c r="E1731" s="96">
        <v>75</v>
      </c>
      <c r="F1731" s="7">
        <v>2.5299999999999998</v>
      </c>
      <c r="G1731" s="85">
        <v>5225</v>
      </c>
      <c r="H1731" s="4" t="s">
        <v>566</v>
      </c>
      <c r="I1731" s="23" t="s">
        <v>947</v>
      </c>
      <c r="J1731" s="77">
        <v>70.709999999999994</v>
      </c>
      <c r="K1731" s="77">
        <v>60.4</v>
      </c>
      <c r="L1731" s="77">
        <v>5.43</v>
      </c>
      <c r="N1731" s="365">
        <f t="shared" si="499"/>
        <v>136.54</v>
      </c>
      <c r="O1731" s="343">
        <f t="shared" si="500"/>
        <v>70.709999999999994</v>
      </c>
      <c r="P1731" s="195">
        <v>1</v>
      </c>
      <c r="Q1731" s="326" t="str">
        <f>IFERROR(VLOOKUP($G1731,主力整理!$A$2:$G$2301,6,0),"0")</f>
        <v>0</v>
      </c>
      <c r="T1731" s="339">
        <f t="shared" si="501"/>
        <v>1</v>
      </c>
      <c r="V1731" s="371">
        <v>7.54</v>
      </c>
      <c r="W1731" s="35">
        <v>0</v>
      </c>
      <c r="X1731" s="243">
        <v>-11.09</v>
      </c>
      <c r="Y1731" s="14" t="str">
        <f>RTD("money.excel",,"5225","Price")</f>
        <v>無資料</v>
      </c>
      <c r="Z1731" s="69"/>
      <c r="AA1731" s="16" t="e">
        <f t="shared" si="502"/>
        <v>#VALUE!</v>
      </c>
      <c r="AB1731" s="3" t="e">
        <f t="shared" si="503"/>
        <v>#VALUE!</v>
      </c>
      <c r="AC1731" s="177" t="s">
        <v>2648</v>
      </c>
      <c r="AD1731" s="23" t="s">
        <v>947</v>
      </c>
      <c r="AG1731" s="34">
        <f t="shared" si="504"/>
        <v>0</v>
      </c>
      <c r="AH1731" s="44" t="s">
        <v>4046</v>
      </c>
      <c r="AI1731" s="131"/>
      <c r="AK1731" s="66">
        <f t="shared" si="505"/>
        <v>0</v>
      </c>
      <c r="AL1731" s="174">
        <f t="shared" si="506"/>
        <v>0</v>
      </c>
      <c r="AM1731" s="346">
        <f>RTD("money.excel",,$G1731,"PredictVolume")</f>
        <v>0</v>
      </c>
      <c r="AN1731" s="272">
        <f>RTD("money.excel",,$G1731,"CumulativeVolume")</f>
        <v>0</v>
      </c>
      <c r="AO1731" s="284"/>
    </row>
    <row r="1732" spans="1:41">
      <c r="A1732" s="151" t="s">
        <v>4599</v>
      </c>
      <c r="B1732" s="84">
        <v>68</v>
      </c>
      <c r="C1732" s="84">
        <v>92</v>
      </c>
      <c r="D1732" s="84">
        <v>33</v>
      </c>
      <c r="E1732" s="84">
        <v>26</v>
      </c>
      <c r="F1732" s="7">
        <v>-0.94</v>
      </c>
      <c r="G1732" s="85">
        <v>5383</v>
      </c>
      <c r="H1732" s="4" t="s">
        <v>566</v>
      </c>
      <c r="I1732" s="17" t="s">
        <v>917</v>
      </c>
      <c r="J1732" s="371">
        <v>57.18</v>
      </c>
      <c r="K1732" s="77">
        <v>8.7799999999999994</v>
      </c>
      <c r="N1732" s="365">
        <f t="shared" si="499"/>
        <v>65.959999999999994</v>
      </c>
      <c r="O1732" s="343">
        <f t="shared" si="500"/>
        <v>57.18</v>
      </c>
      <c r="P1732" s="195" t="s">
        <v>5554</v>
      </c>
      <c r="Q1732" s="326">
        <f>IFERROR(VLOOKUP($G1732,主力整理!$A$2:$G$2301,6,0),"0")</f>
        <v>1</v>
      </c>
      <c r="T1732" s="339">
        <f t="shared" si="501"/>
        <v>1</v>
      </c>
      <c r="W1732" s="35">
        <v>0</v>
      </c>
      <c r="X1732" s="59">
        <v>-0.81</v>
      </c>
      <c r="Y1732" s="37" t="str">
        <f>RTD("money.excel",,"5383","Price")</f>
        <v>無資料</v>
      </c>
      <c r="Z1732" s="69"/>
      <c r="AA1732" s="16" t="e">
        <f t="shared" si="502"/>
        <v>#VALUE!</v>
      </c>
      <c r="AB1732" s="3" t="e">
        <f t="shared" si="503"/>
        <v>#VALUE!</v>
      </c>
      <c r="AD1732" s="17" t="s">
        <v>917</v>
      </c>
      <c r="AG1732" s="34">
        <f t="shared" si="504"/>
        <v>0</v>
      </c>
      <c r="AH1732" s="44" t="s">
        <v>3980</v>
      </c>
      <c r="AI1732" s="131"/>
      <c r="AK1732" s="66">
        <f t="shared" si="505"/>
        <v>0</v>
      </c>
      <c r="AL1732" s="174">
        <f t="shared" si="506"/>
        <v>0</v>
      </c>
      <c r="AM1732" s="346">
        <f>RTD("money.excel",,$G1732,"PredictVolume")</f>
        <v>0</v>
      </c>
      <c r="AN1732" s="272">
        <f>RTD("money.excel",,$G1732,"CumulativeVolume")</f>
        <v>0</v>
      </c>
      <c r="AO1732" s="284"/>
    </row>
    <row r="1733" spans="1:41">
      <c r="A1733" s="151" t="s">
        <v>2598</v>
      </c>
      <c r="B1733" s="84">
        <v>267</v>
      </c>
      <c r="C1733" s="84">
        <v>308</v>
      </c>
      <c r="D1733" s="84">
        <v>0</v>
      </c>
      <c r="E1733" s="84">
        <v>35</v>
      </c>
      <c r="F1733" s="7">
        <v>8.5</v>
      </c>
      <c r="G1733" s="85">
        <v>5452</v>
      </c>
      <c r="H1733" s="4" t="s">
        <v>566</v>
      </c>
      <c r="I1733" s="17" t="s">
        <v>918</v>
      </c>
      <c r="J1733" s="371">
        <v>45.27</v>
      </c>
      <c r="K1733" s="371">
        <v>10.11</v>
      </c>
      <c r="L1733" s="371">
        <v>13.94</v>
      </c>
      <c r="N1733" s="365">
        <f t="shared" si="499"/>
        <v>69.320000000000007</v>
      </c>
      <c r="O1733" s="343">
        <f t="shared" si="500"/>
        <v>45.27</v>
      </c>
      <c r="P1733" s="195">
        <v>0</v>
      </c>
      <c r="Q1733" s="326">
        <f>IFERROR(VLOOKUP($G1733,主力整理!$A$2:$G$2301,6,0),"0")</f>
        <v>3</v>
      </c>
      <c r="R1733" s="111">
        <v>18</v>
      </c>
      <c r="S1733" s="51">
        <v>0</v>
      </c>
      <c r="T1733" s="339">
        <f t="shared" si="501"/>
        <v>21</v>
      </c>
      <c r="V1733" s="371">
        <v>0.39</v>
      </c>
      <c r="W1733" s="35">
        <v>0.6</v>
      </c>
      <c r="X1733" s="100">
        <v>1.63</v>
      </c>
      <c r="Y1733" s="37" t="str">
        <f>RTD("money.excel",,"5452","Price")</f>
        <v>無資料</v>
      </c>
      <c r="Z1733" s="69"/>
      <c r="AA1733" s="16" t="e">
        <f t="shared" si="502"/>
        <v>#VALUE!</v>
      </c>
      <c r="AB1733" s="3" t="e">
        <f t="shared" si="503"/>
        <v>#VALUE!</v>
      </c>
      <c r="AD1733" s="17" t="s">
        <v>918</v>
      </c>
      <c r="AG1733" s="34">
        <f t="shared" si="504"/>
        <v>0</v>
      </c>
      <c r="AH1733" s="44" t="s">
        <v>3981</v>
      </c>
      <c r="AI1733" s="131"/>
      <c r="AK1733" s="66">
        <f t="shared" si="505"/>
        <v>0</v>
      </c>
      <c r="AL1733" s="174">
        <f t="shared" si="506"/>
        <v>0</v>
      </c>
      <c r="AM1733" s="346">
        <f>RTD("money.excel",,$G1733,"PredictVolume")</f>
        <v>0</v>
      </c>
      <c r="AN1733" s="272">
        <f>RTD("money.excel",,$G1733,"CumulativeVolume")</f>
        <v>0</v>
      </c>
      <c r="AO1733" s="284"/>
    </row>
    <row r="1734" spans="1:41">
      <c r="A1734" s="151" t="s">
        <v>2668</v>
      </c>
      <c r="B1734" s="85">
        <v>-114</v>
      </c>
      <c r="C1734" s="85">
        <v>-77</v>
      </c>
      <c r="D1734" s="84">
        <v>62</v>
      </c>
      <c r="E1734" s="84">
        <v>11</v>
      </c>
      <c r="F1734" s="7">
        <v>4.51</v>
      </c>
      <c r="G1734" s="85">
        <v>5489</v>
      </c>
      <c r="H1734" s="4" t="s">
        <v>566</v>
      </c>
      <c r="I1734" s="17" t="s">
        <v>153</v>
      </c>
      <c r="J1734" s="77">
        <v>78.849999999999994</v>
      </c>
      <c r="K1734" s="77">
        <v>0.91</v>
      </c>
      <c r="L1734" s="77">
        <v>1.04</v>
      </c>
      <c r="N1734" s="365">
        <f t="shared" si="499"/>
        <v>80.8</v>
      </c>
      <c r="O1734" s="343">
        <f t="shared" si="500"/>
        <v>78.849999999999994</v>
      </c>
      <c r="P1734" s="195" t="s">
        <v>5554</v>
      </c>
      <c r="Q1734" s="326" t="str">
        <f>IFERROR(VLOOKUP($G1734,主力整理!$A$2:$G$2301,6,0),"0")</f>
        <v>0</v>
      </c>
      <c r="T1734" s="339">
        <f t="shared" si="501"/>
        <v>0</v>
      </c>
      <c r="V1734" s="371">
        <v>0</v>
      </c>
      <c r="W1734" s="35">
        <v>1</v>
      </c>
      <c r="X1734" s="59">
        <v>-0.28999999999999998</v>
      </c>
      <c r="Y1734" s="37" t="str">
        <f>RTD("money.excel",,"5489","Price")</f>
        <v>無資料</v>
      </c>
      <c r="Z1734" s="69"/>
      <c r="AA1734" s="16" t="e">
        <f t="shared" si="502"/>
        <v>#VALUE!</v>
      </c>
      <c r="AB1734" s="3" t="e">
        <f t="shared" si="503"/>
        <v>#VALUE!</v>
      </c>
      <c r="AD1734" s="17" t="s">
        <v>153</v>
      </c>
      <c r="AG1734" s="34">
        <f t="shared" si="504"/>
        <v>0</v>
      </c>
      <c r="AH1734" s="125" t="s">
        <v>3849</v>
      </c>
      <c r="AI1734" s="131"/>
      <c r="AK1734" s="66">
        <f t="shared" si="505"/>
        <v>0</v>
      </c>
      <c r="AL1734" s="174">
        <f t="shared" si="506"/>
        <v>0</v>
      </c>
      <c r="AM1734" s="346">
        <f>RTD("money.excel",,$G1734,"PredictVolume")</f>
        <v>0</v>
      </c>
      <c r="AN1734" s="272">
        <f>RTD("money.excel",,$G1734,"CumulativeVolume")</f>
        <v>0</v>
      </c>
      <c r="AO1734" s="284"/>
    </row>
    <row r="1735" spans="1:41">
      <c r="A1735" s="151" t="s">
        <v>2793</v>
      </c>
      <c r="B1735" s="96">
        <v>-9</v>
      </c>
      <c r="C1735" s="96">
        <v>-1</v>
      </c>
      <c r="D1735" s="96">
        <v>25</v>
      </c>
      <c r="E1735" s="96">
        <v>7</v>
      </c>
      <c r="F1735" s="7">
        <v>7.86</v>
      </c>
      <c r="G1735" s="85">
        <v>5493</v>
      </c>
      <c r="H1735" s="4" t="s">
        <v>566</v>
      </c>
      <c r="I1735" s="17" t="s">
        <v>919</v>
      </c>
      <c r="J1735" s="77">
        <v>52.63</v>
      </c>
      <c r="K1735" s="77">
        <v>7.0000000000000007E-2</v>
      </c>
      <c r="L1735" s="77">
        <v>0.61</v>
      </c>
      <c r="N1735" s="365">
        <f t="shared" si="499"/>
        <v>53.31</v>
      </c>
      <c r="O1735" s="343">
        <f t="shared" si="500"/>
        <v>52.63</v>
      </c>
      <c r="P1735" s="195" t="s">
        <v>5554</v>
      </c>
      <c r="Q1735" s="326" t="str">
        <f>IFERROR(VLOOKUP($G1735,主力整理!$A$2:$G$2301,6,0),"0")</f>
        <v>0</v>
      </c>
      <c r="T1735" s="339">
        <f t="shared" si="501"/>
        <v>0</v>
      </c>
      <c r="V1735" s="371">
        <v>18.78</v>
      </c>
      <c r="W1735" s="35">
        <v>2</v>
      </c>
      <c r="X1735" s="100">
        <v>2.8</v>
      </c>
      <c r="Y1735" s="14" t="str">
        <f>RTD("money.excel",,"5493","Price")</f>
        <v>無資料</v>
      </c>
      <c r="Z1735" s="69"/>
      <c r="AA1735" s="16" t="e">
        <f t="shared" si="502"/>
        <v>#VALUE!</v>
      </c>
      <c r="AB1735" s="3" t="e">
        <f t="shared" si="503"/>
        <v>#VALUE!</v>
      </c>
      <c r="AD1735" s="17" t="s">
        <v>919</v>
      </c>
      <c r="AG1735" s="34">
        <f t="shared" si="504"/>
        <v>0</v>
      </c>
      <c r="AH1735" s="44" t="s">
        <v>3982</v>
      </c>
      <c r="AI1735" s="131"/>
      <c r="AK1735" s="66">
        <f t="shared" si="505"/>
        <v>0</v>
      </c>
      <c r="AL1735" s="174">
        <f t="shared" si="506"/>
        <v>0</v>
      </c>
      <c r="AM1735" s="346">
        <f>RTD("money.excel",,$G1735,"PredictVolume")</f>
        <v>0</v>
      </c>
      <c r="AN1735" s="272">
        <f>RTD("money.excel",,$G1735,"CumulativeVolume")</f>
        <v>0</v>
      </c>
      <c r="AO1735" s="284"/>
    </row>
    <row r="1736" spans="1:41">
      <c r="A1736" s="135" t="s">
        <v>3448</v>
      </c>
      <c r="B1736" s="84">
        <v>20</v>
      </c>
      <c r="C1736" s="84">
        <v>26</v>
      </c>
      <c r="D1736" s="85">
        <v>-3</v>
      </c>
      <c r="E1736" s="84">
        <v>86</v>
      </c>
      <c r="F1736" s="59">
        <v>10.61</v>
      </c>
      <c r="G1736" s="85">
        <v>5536</v>
      </c>
      <c r="H1736" s="4" t="s">
        <v>566</v>
      </c>
      <c r="I1736" s="17" t="s">
        <v>290</v>
      </c>
      <c r="J1736" s="371">
        <v>18.75</v>
      </c>
      <c r="K1736" s="77">
        <v>18.02</v>
      </c>
      <c r="L1736" s="77">
        <v>1.69</v>
      </c>
      <c r="N1736" s="365">
        <f t="shared" si="499"/>
        <v>38.459999999999994</v>
      </c>
      <c r="O1736" s="343">
        <f t="shared" si="500"/>
        <v>18.75</v>
      </c>
      <c r="P1736" s="195">
        <v>4</v>
      </c>
      <c r="Q1736" s="326" t="str">
        <f>IFERROR(VLOOKUP($G1736,主力整理!$A$2:$G$2301,6,0),"0")</f>
        <v>0</v>
      </c>
      <c r="R1736" s="111">
        <v>0</v>
      </c>
      <c r="S1736" s="51">
        <v>5</v>
      </c>
      <c r="T1736" s="339">
        <f t="shared" si="501"/>
        <v>9</v>
      </c>
      <c r="V1736" s="371">
        <v>0.41</v>
      </c>
      <c r="W1736" s="69">
        <v>12</v>
      </c>
      <c r="X1736" s="100">
        <v>19.7</v>
      </c>
      <c r="Y1736" s="37" t="str">
        <f>RTD("money.excel",,"5536","Price")</f>
        <v>無資料</v>
      </c>
      <c r="Z1736" s="69"/>
      <c r="AA1736" s="16" t="e">
        <f t="shared" si="502"/>
        <v>#VALUE!</v>
      </c>
      <c r="AB1736" s="3" t="e">
        <f t="shared" si="503"/>
        <v>#VALUE!</v>
      </c>
      <c r="AC1736" s="177" t="s">
        <v>2929</v>
      </c>
      <c r="AD1736" s="17" t="s">
        <v>290</v>
      </c>
      <c r="AG1736" s="34">
        <f t="shared" si="504"/>
        <v>0</v>
      </c>
      <c r="AH1736" s="126" t="s">
        <v>2168</v>
      </c>
      <c r="AI1736" s="131"/>
      <c r="AK1736" s="66">
        <f t="shared" si="505"/>
        <v>0</v>
      </c>
      <c r="AL1736" s="174">
        <f t="shared" si="506"/>
        <v>0</v>
      </c>
      <c r="AM1736" s="346">
        <f>RTD("money.excel",,$G1736,"PredictVolume")</f>
        <v>0</v>
      </c>
      <c r="AN1736" s="272">
        <f>RTD("money.excel",,$G1736,"CumulativeVolume")</f>
        <v>0</v>
      </c>
      <c r="AO1736" s="284"/>
    </row>
    <row r="1737" spans="1:41">
      <c r="A1737" s="151" t="s">
        <v>3638</v>
      </c>
      <c r="B1737" s="85">
        <v>-65</v>
      </c>
      <c r="C1737" s="85">
        <v>-114</v>
      </c>
      <c r="D1737" s="84">
        <v>1</v>
      </c>
      <c r="E1737" s="85">
        <v>-19</v>
      </c>
      <c r="F1737" s="7">
        <v>-0.4</v>
      </c>
      <c r="G1737" s="85">
        <v>6139</v>
      </c>
      <c r="H1737" s="4" t="s">
        <v>566</v>
      </c>
      <c r="I1737" s="23" t="s">
        <v>948</v>
      </c>
      <c r="J1737" s="371">
        <v>50.41</v>
      </c>
      <c r="K1737" s="371">
        <v>14.89</v>
      </c>
      <c r="L1737" s="371">
        <v>6.42</v>
      </c>
      <c r="N1737" s="365">
        <f t="shared" si="499"/>
        <v>71.72</v>
      </c>
      <c r="O1737" s="343">
        <f t="shared" si="500"/>
        <v>50.41</v>
      </c>
      <c r="P1737" s="195">
        <v>3</v>
      </c>
      <c r="Q1737" s="326" t="str">
        <f>IFERROR(VLOOKUP($G1737,主力整理!$A$2:$G$2301,6,0),"0")</f>
        <v>0</v>
      </c>
      <c r="T1737" s="339">
        <f t="shared" si="501"/>
        <v>3</v>
      </c>
      <c r="V1737" s="371">
        <v>0</v>
      </c>
      <c r="W1737" s="35">
        <v>1</v>
      </c>
      <c r="X1737" s="100">
        <v>1.52</v>
      </c>
      <c r="Y1737" s="37" t="str">
        <f>RTD("money.excel",,"6139","Price")</f>
        <v>無資料</v>
      </c>
      <c r="Z1737" s="69"/>
      <c r="AA1737" s="16" t="e">
        <f t="shared" si="502"/>
        <v>#VALUE!</v>
      </c>
      <c r="AB1737" s="3" t="e">
        <f t="shared" si="503"/>
        <v>#VALUE!</v>
      </c>
      <c r="AC1737" s="177" t="s">
        <v>2648</v>
      </c>
      <c r="AD1737" s="23" t="s">
        <v>948</v>
      </c>
      <c r="AG1737" s="34">
        <f t="shared" si="504"/>
        <v>0</v>
      </c>
      <c r="AH1737" s="44" t="s">
        <v>2168</v>
      </c>
      <c r="AI1737" s="131"/>
      <c r="AK1737" s="66">
        <f t="shared" si="505"/>
        <v>0</v>
      </c>
      <c r="AL1737" s="174">
        <f t="shared" si="506"/>
        <v>0</v>
      </c>
      <c r="AM1737" s="346">
        <f>RTD("money.excel",,$G1737,"PredictVolume")</f>
        <v>0</v>
      </c>
      <c r="AN1737" s="272">
        <f>RTD("money.excel",,$G1737,"CumulativeVolume")</f>
        <v>0</v>
      </c>
      <c r="AO1737" s="284"/>
    </row>
    <row r="1738" spans="1:41">
      <c r="A1738" s="135" t="s">
        <v>2612</v>
      </c>
      <c r="B1738" s="84">
        <v>14</v>
      </c>
      <c r="C1738" s="84">
        <v>22</v>
      </c>
      <c r="D1738" s="84">
        <v>1</v>
      </c>
      <c r="E1738" s="84">
        <v>25</v>
      </c>
      <c r="F1738" s="59">
        <v>28.89</v>
      </c>
      <c r="G1738" s="85">
        <v>6146</v>
      </c>
      <c r="H1738" s="4" t="s">
        <v>566</v>
      </c>
      <c r="I1738" s="17" t="s">
        <v>157</v>
      </c>
      <c r="J1738" s="371">
        <v>52.92</v>
      </c>
      <c r="K1738" s="77">
        <v>55.81</v>
      </c>
      <c r="L1738" s="77">
        <v>0.7</v>
      </c>
      <c r="N1738" s="365">
        <f t="shared" si="499"/>
        <v>109.43</v>
      </c>
      <c r="O1738" s="343">
        <f t="shared" si="500"/>
        <v>52.92</v>
      </c>
      <c r="P1738" s="195">
        <v>4</v>
      </c>
      <c r="Q1738" s="326" t="str">
        <f>IFERROR(VLOOKUP($G1738,主力整理!$A$2:$G$2301,6,0),"0")</f>
        <v>0</v>
      </c>
      <c r="T1738" s="339">
        <f t="shared" si="501"/>
        <v>4</v>
      </c>
      <c r="V1738" s="371">
        <v>0</v>
      </c>
      <c r="W1738" s="69">
        <v>6</v>
      </c>
      <c r="X1738" s="59">
        <v>8.0299999999999994</v>
      </c>
      <c r="Y1738" s="14" t="str">
        <f>RTD("money.excel",,"6146","Price")</f>
        <v>無資料</v>
      </c>
      <c r="Z1738" s="69"/>
      <c r="AA1738" s="16" t="e">
        <f t="shared" si="502"/>
        <v>#VALUE!</v>
      </c>
      <c r="AB1738" s="3" t="e">
        <f t="shared" si="503"/>
        <v>#VALUE!</v>
      </c>
      <c r="AC1738" s="177" t="s">
        <v>2929</v>
      </c>
      <c r="AD1738" s="17" t="s">
        <v>157</v>
      </c>
      <c r="AG1738" s="34">
        <f t="shared" si="504"/>
        <v>0</v>
      </c>
      <c r="AH1738" s="126" t="s">
        <v>4591</v>
      </c>
      <c r="AI1738" s="131"/>
      <c r="AO1738" s="284"/>
    </row>
    <row r="1739" spans="1:41">
      <c r="A1739" s="151" t="s">
        <v>4668</v>
      </c>
      <c r="B1739" s="96">
        <v>74</v>
      </c>
      <c r="C1739" s="96">
        <v>69</v>
      </c>
      <c r="D1739" s="96">
        <v>16</v>
      </c>
      <c r="E1739" s="96">
        <v>107</v>
      </c>
      <c r="F1739" s="7">
        <v>8.08</v>
      </c>
      <c r="G1739" s="85">
        <v>6151</v>
      </c>
      <c r="H1739" s="4" t="s">
        <v>566</v>
      </c>
      <c r="I1739" s="17" t="s">
        <v>920</v>
      </c>
      <c r="J1739" s="77">
        <v>31.69</v>
      </c>
      <c r="K1739" s="77">
        <v>7.0000000000000007E-2</v>
      </c>
      <c r="L1739" s="77">
        <v>2.61</v>
      </c>
      <c r="N1739" s="365">
        <f t="shared" si="499"/>
        <v>34.370000000000005</v>
      </c>
      <c r="O1739" s="343">
        <f t="shared" si="500"/>
        <v>31.69</v>
      </c>
      <c r="P1739" s="195" t="s">
        <v>5554</v>
      </c>
      <c r="Q1739" s="326" t="str">
        <f>IFERROR(VLOOKUP($G1739,主力整理!$A$2:$G$2301,6,0),"0")</f>
        <v>0</v>
      </c>
      <c r="T1739" s="339">
        <f t="shared" si="501"/>
        <v>0</v>
      </c>
      <c r="V1739" s="371">
        <v>14.52</v>
      </c>
      <c r="W1739" s="35">
        <v>1.8</v>
      </c>
      <c r="X1739" s="100">
        <v>2.11</v>
      </c>
      <c r="Y1739" s="37" t="str">
        <f>RTD("money.excel",,"6151","Price")</f>
        <v>無資料</v>
      </c>
      <c r="Z1739" s="69"/>
      <c r="AA1739" s="16" t="e">
        <f t="shared" si="502"/>
        <v>#VALUE!</v>
      </c>
      <c r="AB1739" s="3" t="e">
        <f t="shared" si="503"/>
        <v>#VALUE!</v>
      </c>
      <c r="AD1739" s="17" t="s">
        <v>920</v>
      </c>
      <c r="AG1739" s="34">
        <f t="shared" si="504"/>
        <v>0</v>
      </c>
      <c r="AH1739" s="44" t="s">
        <v>3983</v>
      </c>
      <c r="AI1739" s="131"/>
      <c r="AK1739" s="66">
        <f>AM1739/(A1739*10000)</f>
        <v>0</v>
      </c>
      <c r="AL1739" s="174">
        <f>AN1739/(A1739*10000)</f>
        <v>0</v>
      </c>
      <c r="AM1739" s="346">
        <f>RTD("money.excel",,$G1739,"PredictVolume")</f>
        <v>0</v>
      </c>
      <c r="AN1739" s="272">
        <f>RTD("money.excel",,$G1739,"CumulativeVolume")</f>
        <v>0</v>
      </c>
      <c r="AO1739" s="284"/>
    </row>
    <row r="1740" spans="1:41">
      <c r="A1740" s="135" t="s">
        <v>2224</v>
      </c>
      <c r="B1740" s="84">
        <v>134</v>
      </c>
      <c r="C1740" s="84">
        <v>134</v>
      </c>
      <c r="D1740" s="85">
        <v>-38</v>
      </c>
      <c r="E1740" s="85">
        <v>-19</v>
      </c>
      <c r="F1740" s="59">
        <v>25.95</v>
      </c>
      <c r="G1740" s="85">
        <v>6187</v>
      </c>
      <c r="H1740" s="4" t="s">
        <v>566</v>
      </c>
      <c r="I1740" s="17" t="s">
        <v>418</v>
      </c>
      <c r="J1740" s="77">
        <v>35.93</v>
      </c>
      <c r="K1740" s="77">
        <v>18.63</v>
      </c>
      <c r="L1740" s="371">
        <v>21.41</v>
      </c>
      <c r="M1740" s="77">
        <v>20.57</v>
      </c>
      <c r="N1740" s="365">
        <f t="shared" si="499"/>
        <v>96.539999999999992</v>
      </c>
      <c r="O1740" s="343">
        <f t="shared" si="500"/>
        <v>56.5</v>
      </c>
      <c r="P1740" s="195">
        <v>5</v>
      </c>
      <c r="Q1740" s="326">
        <v>33</v>
      </c>
      <c r="R1740" s="111">
        <v>35</v>
      </c>
      <c r="S1740" s="51">
        <v>31</v>
      </c>
      <c r="T1740" s="339">
        <f t="shared" si="501"/>
        <v>104</v>
      </c>
      <c r="U1740" s="329" t="s">
        <v>6539</v>
      </c>
      <c r="V1740" s="371">
        <v>3.65</v>
      </c>
      <c r="W1740" s="69">
        <v>3</v>
      </c>
      <c r="X1740" s="100">
        <v>6.37</v>
      </c>
      <c r="Y1740" s="37" t="str">
        <f>RTD("money.excel",,"6187","Price")</f>
        <v>無資料</v>
      </c>
      <c r="Z1740" s="69"/>
      <c r="AA1740" s="16" t="e">
        <f t="shared" si="502"/>
        <v>#VALUE!</v>
      </c>
      <c r="AB1740" s="3" t="e">
        <f t="shared" si="503"/>
        <v>#VALUE!</v>
      </c>
      <c r="AC1740" s="177" t="s">
        <v>2929</v>
      </c>
      <c r="AD1740" s="17" t="s">
        <v>418</v>
      </c>
      <c r="AG1740" s="34">
        <f t="shared" si="504"/>
        <v>0</v>
      </c>
      <c r="AH1740" s="63" t="s">
        <v>3684</v>
      </c>
      <c r="AI1740" s="131"/>
      <c r="AK1740" s="66">
        <f>AM1740/(A1740*10000)</f>
        <v>0</v>
      </c>
      <c r="AL1740" s="174">
        <f>AN1740/(A1740*10000)</f>
        <v>0</v>
      </c>
      <c r="AM1740" s="346">
        <f>RTD("money.excel",,$G1740,"PredictVolume")</f>
        <v>0</v>
      </c>
      <c r="AN1740" s="272">
        <f>RTD("money.excel",,$G1740,"CumulativeVolume")</f>
        <v>0</v>
      </c>
      <c r="AO1740" s="284"/>
    </row>
    <row r="1741" spans="1:41">
      <c r="A1741" s="135" t="s">
        <v>2631</v>
      </c>
      <c r="B1741" s="96">
        <v>16</v>
      </c>
      <c r="C1741" s="96">
        <v>11</v>
      </c>
      <c r="D1741" s="96">
        <v>-11</v>
      </c>
      <c r="E1741" s="96">
        <v>-15</v>
      </c>
      <c r="F1741" s="59">
        <v>15.87</v>
      </c>
      <c r="G1741" s="85">
        <v>6192</v>
      </c>
      <c r="H1741" s="4" t="s">
        <v>566</v>
      </c>
      <c r="I1741" s="23" t="s">
        <v>949</v>
      </c>
      <c r="J1741" s="77">
        <v>66.81</v>
      </c>
      <c r="K1741" s="77">
        <v>29.19</v>
      </c>
      <c r="L1741" s="77">
        <v>3.41</v>
      </c>
      <c r="N1741" s="365">
        <f t="shared" si="499"/>
        <v>99.41</v>
      </c>
      <c r="O1741" s="343">
        <f t="shared" si="500"/>
        <v>66.81</v>
      </c>
      <c r="P1741" s="195" t="s">
        <v>5554</v>
      </c>
      <c r="Q1741" s="326" t="str">
        <f>IFERROR(VLOOKUP($G1741,主力整理!$A$2:$G$2301,6,0),"0")</f>
        <v>0</v>
      </c>
      <c r="T1741" s="339">
        <f t="shared" si="501"/>
        <v>0</v>
      </c>
      <c r="V1741" s="371">
        <v>11.48</v>
      </c>
      <c r="W1741" s="69">
        <v>3.4</v>
      </c>
      <c r="X1741" s="100">
        <v>6.97</v>
      </c>
      <c r="Y1741" s="14" t="str">
        <f>RTD("money.excel",,"6192","Price")</f>
        <v>無資料</v>
      </c>
      <c r="Z1741" s="69"/>
      <c r="AA1741" s="16" t="e">
        <f t="shared" si="502"/>
        <v>#VALUE!</v>
      </c>
      <c r="AB1741" s="3" t="e">
        <f t="shared" si="503"/>
        <v>#VALUE!</v>
      </c>
      <c r="AC1741" s="177" t="s">
        <v>2700</v>
      </c>
      <c r="AD1741" s="23" t="s">
        <v>949</v>
      </c>
      <c r="AG1741" s="34">
        <f t="shared" si="504"/>
        <v>0</v>
      </c>
      <c r="AH1741" s="63" t="s">
        <v>4047</v>
      </c>
      <c r="AI1741" s="28"/>
      <c r="AK1741" s="66">
        <f>AM1741/(A1741*10000)</f>
        <v>0</v>
      </c>
      <c r="AL1741" s="174">
        <f>AN1741/(A1741*10000)</f>
        <v>0</v>
      </c>
      <c r="AM1741" s="346">
        <f>RTD("money.excel",,$G1741,"PredictVolume")</f>
        <v>0</v>
      </c>
      <c r="AN1741" s="272">
        <f>RTD("money.excel",,$G1741,"CumulativeVolume")</f>
        <v>0</v>
      </c>
      <c r="AO1741" s="18"/>
    </row>
    <row r="1742" spans="1:41">
      <c r="A1742" s="151" t="s">
        <v>3192</v>
      </c>
      <c r="B1742" s="84">
        <v>51</v>
      </c>
      <c r="C1742" s="84">
        <v>34</v>
      </c>
      <c r="D1742" s="84">
        <v>37</v>
      </c>
      <c r="E1742" s="84">
        <v>63</v>
      </c>
      <c r="F1742" s="7">
        <v>5.33</v>
      </c>
      <c r="G1742" s="85">
        <v>6196</v>
      </c>
      <c r="H1742" s="4" t="s">
        <v>566</v>
      </c>
      <c r="I1742" s="23" t="s">
        <v>204</v>
      </c>
      <c r="J1742" s="77">
        <v>68.06</v>
      </c>
      <c r="K1742" s="371">
        <v>10.92</v>
      </c>
      <c r="L1742" s="77">
        <v>10.8</v>
      </c>
      <c r="M1742" s="371">
        <v>59.11</v>
      </c>
      <c r="N1742" s="77">
        <f t="shared" si="499"/>
        <v>148.88999999999999</v>
      </c>
      <c r="O1742" s="369">
        <f t="shared" si="500"/>
        <v>127.17</v>
      </c>
      <c r="P1742" s="195">
        <v>54</v>
      </c>
      <c r="Q1742" s="326">
        <v>23</v>
      </c>
      <c r="R1742" s="111">
        <v>27</v>
      </c>
      <c r="S1742" s="51">
        <v>26</v>
      </c>
      <c r="T1742" s="339">
        <f t="shared" si="501"/>
        <v>130</v>
      </c>
      <c r="U1742" s="329" t="s">
        <v>6540</v>
      </c>
      <c r="V1742" s="371">
        <v>2.56</v>
      </c>
      <c r="W1742" s="69">
        <v>3.5</v>
      </c>
      <c r="X1742" s="59">
        <v>6.73</v>
      </c>
      <c r="Y1742" s="37" t="str">
        <f>RTD("money.excel",,"6196","Price")</f>
        <v>無資料</v>
      </c>
      <c r="Z1742" s="69"/>
      <c r="AA1742" s="16" t="e">
        <f t="shared" si="502"/>
        <v>#VALUE!</v>
      </c>
      <c r="AB1742" s="3" t="e">
        <f t="shared" si="503"/>
        <v>#VALUE!</v>
      </c>
      <c r="AC1742" s="177" t="s">
        <v>2929</v>
      </c>
      <c r="AD1742" s="23" t="s">
        <v>204</v>
      </c>
      <c r="AG1742" s="34">
        <f t="shared" si="504"/>
        <v>0</v>
      </c>
      <c r="AH1742" s="125" t="s">
        <v>3459</v>
      </c>
      <c r="AI1742" s="131"/>
      <c r="AK1742" s="66">
        <f>AM1742/(A1742*10000)</f>
        <v>0</v>
      </c>
      <c r="AL1742" s="174">
        <f>AN1742/(A1742*10000)</f>
        <v>0</v>
      </c>
      <c r="AM1742" s="346">
        <f>RTD("money.excel",,$G1742,"PredictVolume")</f>
        <v>0</v>
      </c>
      <c r="AN1742" s="272">
        <f>RTD("money.excel",,$G1742,"CumulativeVolume")</f>
        <v>0</v>
      </c>
      <c r="AO1742" s="284"/>
    </row>
    <row r="1743" spans="1:41">
      <c r="A1743" s="135" t="s">
        <v>4809</v>
      </c>
      <c r="B1743" s="96">
        <v>-1</v>
      </c>
      <c r="C1743" s="96">
        <v>13</v>
      </c>
      <c r="D1743" s="96">
        <v>-1</v>
      </c>
      <c r="E1743" s="96">
        <v>107</v>
      </c>
      <c r="F1743" s="59">
        <v>10.34</v>
      </c>
      <c r="G1743" s="85">
        <v>6201</v>
      </c>
      <c r="H1743" s="4" t="s">
        <v>566</v>
      </c>
      <c r="I1743" s="23" t="s">
        <v>950</v>
      </c>
      <c r="J1743" s="77">
        <v>70.98</v>
      </c>
      <c r="K1743" s="77">
        <v>0.17</v>
      </c>
      <c r="L1743" s="77">
        <v>0.2</v>
      </c>
      <c r="N1743" s="365">
        <f t="shared" si="499"/>
        <v>71.350000000000009</v>
      </c>
      <c r="O1743" s="343">
        <f t="shared" si="500"/>
        <v>70.98</v>
      </c>
      <c r="P1743" s="195">
        <v>1</v>
      </c>
      <c r="Q1743" s="326" t="str">
        <f>IFERROR(VLOOKUP($G1743,主力整理!$A$2:$G$2301,6,0),"0")</f>
        <v>0</v>
      </c>
      <c r="T1743" s="339">
        <f t="shared" si="501"/>
        <v>1</v>
      </c>
      <c r="V1743" s="371">
        <v>48.99</v>
      </c>
      <c r="W1743" s="69">
        <v>3</v>
      </c>
      <c r="X1743" s="100">
        <v>4.05</v>
      </c>
      <c r="Y1743" s="14" t="str">
        <f>RTD("money.excel",,"6201","Price")</f>
        <v>無資料</v>
      </c>
      <c r="Z1743" s="69"/>
      <c r="AA1743" s="16" t="e">
        <f t="shared" si="502"/>
        <v>#VALUE!</v>
      </c>
      <c r="AB1743" s="3" t="e">
        <f t="shared" si="503"/>
        <v>#VALUE!</v>
      </c>
      <c r="AC1743" s="177" t="s">
        <v>2929</v>
      </c>
      <c r="AD1743" s="23" t="s">
        <v>950</v>
      </c>
      <c r="AG1743" s="34">
        <f t="shared" si="504"/>
        <v>0</v>
      </c>
      <c r="AH1743" s="63" t="s">
        <v>4048</v>
      </c>
      <c r="AI1743" s="131"/>
      <c r="AK1743" s="9" t="s">
        <v>6666</v>
      </c>
      <c r="AL1743" s="5" t="s">
        <v>6667</v>
      </c>
      <c r="AM1743" s="51" t="s">
        <v>5339</v>
      </c>
      <c r="AN1743" s="276" t="s">
        <v>6665</v>
      </c>
      <c r="AO1743" s="284"/>
    </row>
    <row r="1744" spans="1:41">
      <c r="A1744" s="151" t="s">
        <v>4810</v>
      </c>
      <c r="B1744" s="96">
        <v>134</v>
      </c>
      <c r="C1744" s="96">
        <v>99</v>
      </c>
      <c r="D1744" s="96">
        <v>-7</v>
      </c>
      <c r="E1744" s="96">
        <v>81</v>
      </c>
      <c r="F1744" s="7">
        <v>5.15</v>
      </c>
      <c r="G1744" s="85">
        <v>6215</v>
      </c>
      <c r="H1744" s="4" t="s">
        <v>566</v>
      </c>
      <c r="I1744" s="23" t="s">
        <v>951</v>
      </c>
      <c r="J1744" s="77">
        <v>41.93</v>
      </c>
      <c r="K1744" s="77">
        <v>5.81</v>
      </c>
      <c r="L1744" s="77">
        <v>17.72</v>
      </c>
      <c r="N1744" s="365">
        <f t="shared" si="499"/>
        <v>65.460000000000008</v>
      </c>
      <c r="O1744" s="343">
        <f t="shared" si="500"/>
        <v>41.93</v>
      </c>
      <c r="P1744" s="195" t="s">
        <v>5554</v>
      </c>
      <c r="Q1744" s="326">
        <f>IFERROR(VLOOKUP($G1744,主力整理!$A$2:$G$2301,6,0),"0")</f>
        <v>1</v>
      </c>
      <c r="T1744" s="339">
        <f t="shared" si="501"/>
        <v>1</v>
      </c>
      <c r="V1744" s="371">
        <v>24.65</v>
      </c>
      <c r="W1744" s="35">
        <v>0.5</v>
      </c>
      <c r="X1744" s="100">
        <v>0.96</v>
      </c>
      <c r="Y1744" s="37" t="str">
        <f>RTD("money.excel",,"6215","Price")</f>
        <v>無資料</v>
      </c>
      <c r="Z1744" s="69"/>
      <c r="AA1744" s="16" t="e">
        <f t="shared" si="502"/>
        <v>#VALUE!</v>
      </c>
      <c r="AB1744" s="3" t="e">
        <f t="shared" si="503"/>
        <v>#VALUE!</v>
      </c>
      <c r="AD1744" s="23" t="s">
        <v>951</v>
      </c>
      <c r="AG1744" s="34">
        <f t="shared" si="504"/>
        <v>0</v>
      </c>
      <c r="AH1744" s="44" t="s">
        <v>2158</v>
      </c>
      <c r="AI1744" s="131"/>
      <c r="AK1744" s="9" t="s">
        <v>6666</v>
      </c>
      <c r="AL1744" s="5" t="s">
        <v>6667</v>
      </c>
      <c r="AM1744" s="51" t="s">
        <v>5339</v>
      </c>
      <c r="AN1744" s="276" t="s">
        <v>6665</v>
      </c>
      <c r="AO1744" s="284"/>
    </row>
    <row r="1745" spans="1:41">
      <c r="A1745" s="151" t="s">
        <v>2602</v>
      </c>
      <c r="B1745" s="96">
        <v>44</v>
      </c>
      <c r="C1745" s="96">
        <v>26</v>
      </c>
      <c r="D1745" s="96">
        <v>142</v>
      </c>
      <c r="E1745" s="96">
        <v>5</v>
      </c>
      <c r="F1745" s="7">
        <v>-13.29</v>
      </c>
      <c r="G1745" s="85">
        <v>6247</v>
      </c>
      <c r="H1745" s="4" t="s">
        <v>566</v>
      </c>
      <c r="I1745" s="17" t="s">
        <v>921</v>
      </c>
      <c r="J1745" s="77">
        <v>87.92</v>
      </c>
      <c r="K1745" s="77">
        <v>0</v>
      </c>
      <c r="N1745" s="365">
        <f t="shared" si="499"/>
        <v>87.92</v>
      </c>
      <c r="O1745" s="343">
        <f t="shared" si="500"/>
        <v>87.92</v>
      </c>
      <c r="P1745" s="195" t="s">
        <v>5554</v>
      </c>
      <c r="Q1745" s="326" t="str">
        <f>IFERROR(VLOOKUP($G1745,主力整理!$A$2:$G$2301,6,0),"0")</f>
        <v>0</v>
      </c>
      <c r="T1745" s="339">
        <f t="shared" si="501"/>
        <v>0</v>
      </c>
      <c r="V1745" s="371">
        <v>56.35</v>
      </c>
      <c r="W1745" s="35">
        <v>0</v>
      </c>
      <c r="X1745" s="100">
        <v>-1.31</v>
      </c>
      <c r="Y1745" s="14" t="str">
        <f>RTD("money.excel",,"6247","Price")</f>
        <v>無資料</v>
      </c>
      <c r="Z1745" s="69"/>
      <c r="AA1745" s="16" t="e">
        <f t="shared" si="502"/>
        <v>#VALUE!</v>
      </c>
      <c r="AB1745" s="3" t="e">
        <f t="shared" si="503"/>
        <v>#VALUE!</v>
      </c>
      <c r="AD1745" s="17" t="s">
        <v>921</v>
      </c>
      <c r="AG1745" s="34">
        <f t="shared" si="504"/>
        <v>0</v>
      </c>
      <c r="AH1745" s="44" t="s">
        <v>3984</v>
      </c>
      <c r="AI1745" s="131"/>
      <c r="AK1745" s="66">
        <f t="shared" ref="AK1745:AK1766" si="507">AM1745/(A1745*10000)</f>
        <v>0</v>
      </c>
      <c r="AL1745" s="174">
        <f t="shared" ref="AL1745:AL1766" si="508">AN1745/(A1745*10000)</f>
        <v>0</v>
      </c>
      <c r="AM1745" s="346">
        <f>RTD("money.excel",,$G1745,"PredictVolume")</f>
        <v>0</v>
      </c>
      <c r="AN1745" s="272">
        <f>RTD("money.excel",,$G1745,"CumulativeVolume")</f>
        <v>0</v>
      </c>
      <c r="AO1745" s="284"/>
    </row>
    <row r="1746" spans="1:41">
      <c r="A1746" s="151" t="s">
        <v>2674</v>
      </c>
      <c r="B1746" s="84">
        <v>145</v>
      </c>
      <c r="C1746" s="84">
        <v>119</v>
      </c>
      <c r="D1746" s="84">
        <v>4</v>
      </c>
      <c r="E1746" s="84">
        <v>25</v>
      </c>
      <c r="F1746" s="7">
        <v>4.91</v>
      </c>
      <c r="G1746" s="85">
        <v>6275</v>
      </c>
      <c r="H1746" s="4" t="s">
        <v>566</v>
      </c>
      <c r="I1746" s="17" t="s">
        <v>922</v>
      </c>
      <c r="J1746" s="77">
        <v>22.76</v>
      </c>
      <c r="K1746" s="371">
        <v>0.84</v>
      </c>
      <c r="L1746" s="77">
        <v>16.899999999999999</v>
      </c>
      <c r="N1746" s="365">
        <f t="shared" si="499"/>
        <v>40.5</v>
      </c>
      <c r="O1746" s="343">
        <f t="shared" si="500"/>
        <v>22.76</v>
      </c>
      <c r="P1746" s="195">
        <v>3</v>
      </c>
      <c r="Q1746" s="326" t="str">
        <f>IFERROR(VLOOKUP($G1746,主力整理!$A$2:$G$2301,6,0),"0")</f>
        <v>0</v>
      </c>
      <c r="T1746" s="339">
        <f t="shared" si="501"/>
        <v>3</v>
      </c>
      <c r="V1746" s="371">
        <v>0.93</v>
      </c>
      <c r="W1746" s="35">
        <v>1.5</v>
      </c>
      <c r="X1746" s="100">
        <v>2.0099999999999998</v>
      </c>
      <c r="Y1746" s="37" t="str">
        <f>RTD("money.excel",,"6275","Price")</f>
        <v>無資料</v>
      </c>
      <c r="Z1746" s="69"/>
      <c r="AA1746" s="16" t="e">
        <f t="shared" si="502"/>
        <v>#VALUE!</v>
      </c>
      <c r="AB1746" s="3" t="e">
        <f t="shared" si="503"/>
        <v>#VALUE!</v>
      </c>
      <c r="AC1746" s="177" t="s">
        <v>2648</v>
      </c>
      <c r="AD1746" s="17" t="s">
        <v>922</v>
      </c>
      <c r="AG1746" s="34">
        <f t="shared" si="504"/>
        <v>0</v>
      </c>
      <c r="AH1746" s="44" t="s">
        <v>3640</v>
      </c>
      <c r="AI1746" s="131"/>
      <c r="AK1746" s="66">
        <f t="shared" si="507"/>
        <v>0</v>
      </c>
      <c r="AL1746" s="174">
        <f t="shared" si="508"/>
        <v>0</v>
      </c>
      <c r="AM1746" s="346">
        <f>RTD("money.excel",,$G1746,"PredictVolume")</f>
        <v>0</v>
      </c>
      <c r="AN1746" s="272">
        <f>RTD("money.excel",,$G1746,"CumulativeVolume")</f>
        <v>0</v>
      </c>
      <c r="AO1746" s="284"/>
    </row>
    <row r="1747" spans="1:41">
      <c r="A1747" s="151" t="s">
        <v>2598</v>
      </c>
      <c r="B1747" s="85">
        <v>-108</v>
      </c>
      <c r="C1747" s="85">
        <v>-152</v>
      </c>
      <c r="D1747" s="84">
        <v>52</v>
      </c>
      <c r="E1747" s="84">
        <v>68</v>
      </c>
      <c r="F1747" s="7">
        <v>-3.23</v>
      </c>
      <c r="G1747" s="85">
        <v>6283</v>
      </c>
      <c r="H1747" s="4" t="s">
        <v>566</v>
      </c>
      <c r="I1747" s="23" t="s">
        <v>604</v>
      </c>
      <c r="J1747" s="371">
        <v>67.900000000000006</v>
      </c>
      <c r="K1747" s="371">
        <v>19.190000000000001</v>
      </c>
      <c r="L1747" s="371">
        <v>17.37</v>
      </c>
      <c r="N1747" s="365">
        <f t="shared" ref="N1747:N1778" si="509">J1747+K1747+L1747+M1747</f>
        <v>104.46000000000001</v>
      </c>
      <c r="O1747" s="343">
        <f t="shared" ref="O1747:O1766" si="510">J1747+M1747</f>
        <v>67.900000000000006</v>
      </c>
      <c r="P1747" s="195" t="s">
        <v>5554</v>
      </c>
      <c r="Q1747" s="326" t="str">
        <f>IFERROR(VLOOKUP($G1747,主力整理!$A$2:$G$2301,6,0),"0")</f>
        <v>0</v>
      </c>
      <c r="T1747" s="339">
        <f t="shared" ref="T1747:T1778" si="511">SUM(P1747:S1747)</f>
        <v>0</v>
      </c>
      <c r="V1747" s="371">
        <v>0.4</v>
      </c>
      <c r="W1747" s="35">
        <v>0</v>
      </c>
      <c r="X1747" s="100">
        <v>-0.25</v>
      </c>
      <c r="Y1747" s="37" t="str">
        <f>RTD("money.excel",,"6283","Price")</f>
        <v>無資料</v>
      </c>
      <c r="Z1747" s="69"/>
      <c r="AA1747" s="16" t="e">
        <f t="shared" ref="AA1747:AA1778" si="512">Y1747-Z1747</f>
        <v>#VALUE!</v>
      </c>
      <c r="AB1747" s="3" t="e">
        <f t="shared" ref="AB1747:AB1778" si="513">AA1747/Z1747</f>
        <v>#VALUE!</v>
      </c>
      <c r="AC1747" s="177" t="s">
        <v>2648</v>
      </c>
      <c r="AD1747" s="23" t="s">
        <v>604</v>
      </c>
      <c r="AG1747" s="34">
        <f t="shared" ref="AG1747:AG1778" si="514">AF1747-AE1747</f>
        <v>0</v>
      </c>
      <c r="AH1747" s="44" t="s">
        <v>4049</v>
      </c>
      <c r="AI1747" s="131"/>
      <c r="AK1747" s="66">
        <f t="shared" si="507"/>
        <v>0</v>
      </c>
      <c r="AL1747" s="174">
        <f t="shared" si="508"/>
        <v>0</v>
      </c>
      <c r="AM1747" s="346">
        <f>RTD("money.excel",,$G1747,"PredictVolume")</f>
        <v>0</v>
      </c>
      <c r="AN1747" s="272">
        <f>RTD("money.excel",,$G1747,"CumulativeVolume")</f>
        <v>0</v>
      </c>
      <c r="AO1747" s="284"/>
    </row>
    <row r="1748" spans="1:41">
      <c r="A1748" s="135" t="s">
        <v>3083</v>
      </c>
      <c r="B1748" s="84">
        <v>8</v>
      </c>
      <c r="C1748" s="84">
        <v>8</v>
      </c>
      <c r="D1748" s="84">
        <v>3</v>
      </c>
      <c r="E1748" s="84">
        <v>16</v>
      </c>
      <c r="F1748" s="59">
        <v>21.25</v>
      </c>
      <c r="G1748" s="85">
        <v>6409</v>
      </c>
      <c r="H1748" s="4" t="s">
        <v>566</v>
      </c>
      <c r="I1748" s="23" t="s">
        <v>91</v>
      </c>
      <c r="J1748" s="371">
        <v>47.18</v>
      </c>
      <c r="K1748" s="371">
        <v>66.69</v>
      </c>
      <c r="L1748" s="77">
        <v>0.11</v>
      </c>
      <c r="N1748" s="365">
        <f t="shared" si="509"/>
        <v>113.98</v>
      </c>
      <c r="O1748" s="343">
        <f t="shared" si="510"/>
        <v>47.18</v>
      </c>
      <c r="P1748" s="195">
        <v>2</v>
      </c>
      <c r="Q1748" s="326" t="str">
        <f>IFERROR(VLOOKUP($G1748,主力整理!$A$2:$G$2301,6,0),"0")</f>
        <v>0</v>
      </c>
      <c r="T1748" s="339">
        <f t="shared" si="511"/>
        <v>2</v>
      </c>
      <c r="V1748" s="371">
        <v>0</v>
      </c>
      <c r="W1748" s="69">
        <v>23.5</v>
      </c>
      <c r="X1748" s="100">
        <v>25.94</v>
      </c>
      <c r="Y1748" s="160" t="str">
        <f>RTD("money.excel",,"6409","Price")</f>
        <v>無資料</v>
      </c>
      <c r="Z1748" s="69"/>
      <c r="AA1748" s="146" t="e">
        <f t="shared" si="512"/>
        <v>#VALUE!</v>
      </c>
      <c r="AB1748" s="3" t="e">
        <f t="shared" si="513"/>
        <v>#VALUE!</v>
      </c>
      <c r="AC1748" s="177" t="s">
        <v>2929</v>
      </c>
      <c r="AD1748" s="23" t="s">
        <v>91</v>
      </c>
      <c r="AG1748" s="34">
        <f t="shared" si="514"/>
        <v>0</v>
      </c>
      <c r="AH1748" s="126" t="s">
        <v>2164</v>
      </c>
      <c r="AI1748" s="131"/>
      <c r="AK1748" s="66">
        <f t="shared" si="507"/>
        <v>0</v>
      </c>
      <c r="AL1748" s="174">
        <f t="shared" si="508"/>
        <v>0</v>
      </c>
      <c r="AM1748" s="346">
        <f>RTD("money.excel",,$G1748,"PredictVolume")</f>
        <v>0</v>
      </c>
      <c r="AN1748" s="272">
        <f>RTD("money.excel",,$G1748,"CumulativeVolume")</f>
        <v>0</v>
      </c>
      <c r="AO1748" s="284"/>
    </row>
    <row r="1749" spans="1:41">
      <c r="A1749" s="135" t="s">
        <v>6305</v>
      </c>
      <c r="B1749" s="84">
        <v>95</v>
      </c>
      <c r="C1749" s="84">
        <v>94</v>
      </c>
      <c r="D1749" s="85">
        <v>-3</v>
      </c>
      <c r="E1749" s="84">
        <v>15</v>
      </c>
      <c r="F1749" s="59">
        <v>16.350000000000001</v>
      </c>
      <c r="G1749" s="85">
        <v>6438</v>
      </c>
      <c r="H1749" s="4" t="s">
        <v>566</v>
      </c>
      <c r="I1749" s="23" t="s">
        <v>923</v>
      </c>
      <c r="J1749" s="77">
        <v>25.76</v>
      </c>
      <c r="K1749" s="77">
        <v>17.37</v>
      </c>
      <c r="L1749" s="77">
        <v>13.03</v>
      </c>
      <c r="M1749" s="365">
        <v>8.48</v>
      </c>
      <c r="N1749" s="365">
        <f t="shared" si="509"/>
        <v>64.64</v>
      </c>
      <c r="O1749" s="343">
        <f t="shared" si="510"/>
        <v>34.24</v>
      </c>
      <c r="P1749" s="195">
        <v>7</v>
      </c>
      <c r="Q1749" s="326">
        <v>19</v>
      </c>
      <c r="R1749" s="111">
        <v>30</v>
      </c>
      <c r="S1749" s="51">
        <v>19</v>
      </c>
      <c r="T1749" s="339">
        <f t="shared" si="511"/>
        <v>75</v>
      </c>
      <c r="U1749" s="329" t="s">
        <v>6539</v>
      </c>
      <c r="V1749" s="371">
        <v>5.0999999999999996</v>
      </c>
      <c r="W1749" s="69">
        <v>4.1399999999999997</v>
      </c>
      <c r="X1749" s="100">
        <v>9.81</v>
      </c>
      <c r="Y1749" s="37" t="str">
        <f>RTD("money.excel",,"6438","Price")</f>
        <v>無資料</v>
      </c>
      <c r="Z1749" s="69"/>
      <c r="AA1749" s="16" t="e">
        <f t="shared" si="512"/>
        <v>#VALUE!</v>
      </c>
      <c r="AB1749" s="3" t="e">
        <f t="shared" si="513"/>
        <v>#VALUE!</v>
      </c>
      <c r="AC1749" s="177" t="s">
        <v>2929</v>
      </c>
      <c r="AD1749" s="23" t="s">
        <v>923</v>
      </c>
      <c r="AG1749" s="34">
        <f t="shared" si="514"/>
        <v>0</v>
      </c>
      <c r="AH1749" s="63" t="s">
        <v>3684</v>
      </c>
      <c r="AI1749" s="284"/>
      <c r="AK1749" s="66">
        <f t="shared" si="507"/>
        <v>0</v>
      </c>
      <c r="AL1749" s="174">
        <f t="shared" si="508"/>
        <v>0</v>
      </c>
      <c r="AM1749" s="346">
        <f>RTD("money.excel",,$G1749,"PredictVolume")</f>
        <v>0</v>
      </c>
      <c r="AN1749" s="272">
        <f>RTD("money.excel",,$G1749,"CumulativeVolume")</f>
        <v>0</v>
      </c>
      <c r="AO1749" s="284"/>
    </row>
    <row r="1750" spans="1:41">
      <c r="A1750" s="151" t="s">
        <v>3492</v>
      </c>
      <c r="B1750" s="96">
        <v>-146</v>
      </c>
      <c r="C1750" s="96">
        <v>-43</v>
      </c>
      <c r="D1750" s="96">
        <v>-24</v>
      </c>
      <c r="E1750" s="96">
        <v>3</v>
      </c>
      <c r="F1750" s="7">
        <v>-13.56</v>
      </c>
      <c r="G1750" s="85">
        <v>6512</v>
      </c>
      <c r="H1750" s="4" t="s">
        <v>566</v>
      </c>
      <c r="I1750" s="17" t="s">
        <v>924</v>
      </c>
      <c r="J1750" s="77">
        <v>36.5</v>
      </c>
      <c r="K1750" s="77">
        <v>0</v>
      </c>
      <c r="N1750" s="365">
        <f t="shared" si="509"/>
        <v>36.5</v>
      </c>
      <c r="O1750" s="343">
        <f t="shared" si="510"/>
        <v>36.5</v>
      </c>
      <c r="P1750" s="195" t="s">
        <v>5554</v>
      </c>
      <c r="Q1750" s="326" t="str">
        <f>IFERROR(VLOOKUP($G1750,主力整理!$A$2:$G$2301,6,0),"0")</f>
        <v>0</v>
      </c>
      <c r="T1750" s="339">
        <f t="shared" si="511"/>
        <v>0</v>
      </c>
      <c r="V1750" s="371">
        <v>19.93</v>
      </c>
      <c r="W1750" s="35">
        <v>0</v>
      </c>
      <c r="X1750" s="100">
        <v>-0.73</v>
      </c>
      <c r="Y1750" s="37" t="str">
        <f>RTD("money.excel",,"6512","Price")</f>
        <v>無資料</v>
      </c>
      <c r="Z1750" s="69"/>
      <c r="AA1750" s="16" t="e">
        <f t="shared" si="512"/>
        <v>#VALUE!</v>
      </c>
      <c r="AB1750" s="3" t="e">
        <f t="shared" si="513"/>
        <v>#VALUE!</v>
      </c>
      <c r="AD1750" s="17" t="s">
        <v>924</v>
      </c>
      <c r="AG1750" s="34">
        <f t="shared" si="514"/>
        <v>0</v>
      </c>
      <c r="AH1750" s="44" t="s">
        <v>3985</v>
      </c>
      <c r="AI1750" s="284"/>
      <c r="AK1750" s="66">
        <f t="shared" si="507"/>
        <v>0</v>
      </c>
      <c r="AL1750" s="174">
        <f t="shared" si="508"/>
        <v>0</v>
      </c>
      <c r="AM1750" s="346">
        <f>RTD("money.excel",,$G1750,"PredictVolume")</f>
        <v>0</v>
      </c>
      <c r="AN1750" s="272">
        <f>RTD("money.excel",,$G1750,"CumulativeVolume")</f>
        <v>0</v>
      </c>
      <c r="AO1750" s="284"/>
    </row>
    <row r="1751" spans="1:41">
      <c r="A1751" s="151" t="s">
        <v>3079</v>
      </c>
      <c r="B1751" s="84">
        <v>171</v>
      </c>
      <c r="C1751" s="84">
        <v>194</v>
      </c>
      <c r="D1751" s="85">
        <v>-19</v>
      </c>
      <c r="E1751" s="85">
        <v>-23</v>
      </c>
      <c r="F1751" s="7">
        <v>6.68</v>
      </c>
      <c r="G1751" s="85">
        <v>6558</v>
      </c>
      <c r="H1751" s="4" t="s">
        <v>566</v>
      </c>
      <c r="I1751" s="23" t="s">
        <v>1718</v>
      </c>
      <c r="J1751" s="371">
        <v>40.03</v>
      </c>
      <c r="K1751" s="77">
        <v>2.59</v>
      </c>
      <c r="L1751" s="77">
        <v>17.010000000000002</v>
      </c>
      <c r="N1751" s="365">
        <f t="shared" si="509"/>
        <v>59.63000000000001</v>
      </c>
      <c r="O1751" s="343">
        <f t="shared" si="510"/>
        <v>40.03</v>
      </c>
      <c r="P1751" s="195">
        <v>6</v>
      </c>
      <c r="Q1751" s="326" t="str">
        <f>IFERROR(VLOOKUP($G1751,主力整理!$A$2:$G$2301,6,0),"0")</f>
        <v>0</v>
      </c>
      <c r="R1751" s="111">
        <v>14</v>
      </c>
      <c r="S1751" s="51">
        <v>1</v>
      </c>
      <c r="T1751" s="339">
        <f t="shared" si="511"/>
        <v>21</v>
      </c>
      <c r="V1751" s="371">
        <v>0</v>
      </c>
      <c r="W1751" s="35">
        <v>0.3</v>
      </c>
      <c r="X1751" s="100">
        <v>1.42</v>
      </c>
      <c r="Y1751" s="37" t="str">
        <f>RTD("money.excel",,"6558","Price")</f>
        <v>無資料</v>
      </c>
      <c r="Z1751" s="69"/>
      <c r="AA1751" s="16" t="e">
        <f t="shared" si="512"/>
        <v>#VALUE!</v>
      </c>
      <c r="AB1751" s="3" t="e">
        <f t="shared" si="513"/>
        <v>#VALUE!</v>
      </c>
      <c r="AC1751" s="177" t="s">
        <v>6569</v>
      </c>
      <c r="AD1751" s="23" t="s">
        <v>1718</v>
      </c>
      <c r="AG1751" s="34">
        <f t="shared" si="514"/>
        <v>0</v>
      </c>
      <c r="AH1751" s="44" t="s">
        <v>3081</v>
      </c>
      <c r="AI1751" s="131"/>
      <c r="AK1751" s="66">
        <f t="shared" si="507"/>
        <v>0</v>
      </c>
      <c r="AL1751" s="174">
        <f t="shared" si="508"/>
        <v>0</v>
      </c>
      <c r="AM1751" s="346">
        <f>RTD("money.excel",,$G1751,"PredictVolume")</f>
        <v>0</v>
      </c>
      <c r="AN1751" s="272">
        <f>RTD("money.excel",,$G1751,"CumulativeVolume")</f>
        <v>0</v>
      </c>
      <c r="AO1751" s="284"/>
    </row>
    <row r="1752" spans="1:41">
      <c r="A1752" s="151" t="s">
        <v>2215</v>
      </c>
      <c r="B1752" s="85">
        <v>-41</v>
      </c>
      <c r="C1752" s="85">
        <v>-59</v>
      </c>
      <c r="D1752" s="85">
        <v>-3</v>
      </c>
      <c r="E1752" s="84">
        <v>77</v>
      </c>
      <c r="F1752" s="7">
        <v>9.6300000000000008</v>
      </c>
      <c r="G1752" s="85">
        <v>6613</v>
      </c>
      <c r="H1752" s="4" t="s">
        <v>566</v>
      </c>
      <c r="I1752" s="17" t="s">
        <v>925</v>
      </c>
      <c r="J1752" s="371">
        <v>62.19</v>
      </c>
      <c r="K1752" s="371">
        <v>1.1499999999999999</v>
      </c>
      <c r="L1752" s="77">
        <v>2.69</v>
      </c>
      <c r="N1752" s="365">
        <f t="shared" si="509"/>
        <v>66.03</v>
      </c>
      <c r="O1752" s="343">
        <f t="shared" si="510"/>
        <v>62.19</v>
      </c>
      <c r="P1752" s="195">
        <v>1</v>
      </c>
      <c r="Q1752" s="326" t="str">
        <f>IFERROR(VLOOKUP($G1752,主力整理!$A$2:$G$2301,6,0),"0")</f>
        <v>0</v>
      </c>
      <c r="T1752" s="339">
        <f t="shared" si="511"/>
        <v>1</v>
      </c>
      <c r="V1752" s="371">
        <v>0</v>
      </c>
      <c r="W1752" s="69">
        <v>8</v>
      </c>
      <c r="X1752" s="100">
        <v>12.01</v>
      </c>
      <c r="Y1752" s="37" t="str">
        <f>RTD("money.excel",,"6613","Price")</f>
        <v>無資料</v>
      </c>
      <c r="Z1752" s="69"/>
      <c r="AA1752" s="16" t="e">
        <f t="shared" si="512"/>
        <v>#VALUE!</v>
      </c>
      <c r="AB1752" s="3" t="e">
        <f t="shared" si="513"/>
        <v>#VALUE!</v>
      </c>
      <c r="AC1752" s="177" t="s">
        <v>2929</v>
      </c>
      <c r="AD1752" s="17" t="s">
        <v>925</v>
      </c>
      <c r="AG1752" s="34">
        <f t="shared" si="514"/>
        <v>0</v>
      </c>
      <c r="AH1752" s="44" t="s">
        <v>2701</v>
      </c>
      <c r="AI1752" s="131"/>
      <c r="AK1752" s="66">
        <f t="shared" si="507"/>
        <v>0</v>
      </c>
      <c r="AL1752" s="174">
        <f t="shared" si="508"/>
        <v>0</v>
      </c>
      <c r="AM1752" s="346">
        <f>RTD("money.excel",,$G1752,"PredictVolume")</f>
        <v>0</v>
      </c>
      <c r="AN1752" s="272">
        <f>RTD("money.excel",,$G1752,"CumulativeVolume")</f>
        <v>0</v>
      </c>
      <c r="AO1752" s="284"/>
    </row>
    <row r="1753" spans="1:41">
      <c r="A1753" s="135" t="s">
        <v>2998</v>
      </c>
      <c r="B1753" s="96">
        <v>-64</v>
      </c>
      <c r="C1753" s="96">
        <v>-71</v>
      </c>
      <c r="D1753" s="96">
        <v>1</v>
      </c>
      <c r="E1753" s="96">
        <v>-81</v>
      </c>
      <c r="F1753" s="59">
        <v>15.33</v>
      </c>
      <c r="G1753" s="85">
        <v>6654</v>
      </c>
      <c r="H1753" s="4" t="s">
        <v>566</v>
      </c>
      <c r="I1753" s="17" t="s">
        <v>1731</v>
      </c>
      <c r="J1753" s="77">
        <v>63.42</v>
      </c>
      <c r="K1753" s="77">
        <v>0.05</v>
      </c>
      <c r="N1753" s="365">
        <f t="shared" si="509"/>
        <v>63.47</v>
      </c>
      <c r="O1753" s="343">
        <f t="shared" si="510"/>
        <v>63.42</v>
      </c>
      <c r="P1753" s="195">
        <v>1</v>
      </c>
      <c r="Q1753" s="326" t="str">
        <f>IFERROR(VLOOKUP($G1753,主力整理!$A$2:$G$2301,6,0),"0")</f>
        <v>0</v>
      </c>
      <c r="T1753" s="339">
        <f t="shared" si="511"/>
        <v>1</v>
      </c>
      <c r="V1753" s="371">
        <v>58.78</v>
      </c>
      <c r="W1753" s="35">
        <v>1.5</v>
      </c>
      <c r="X1753" s="59">
        <v>2.06</v>
      </c>
      <c r="Y1753" s="37" t="str">
        <f>RTD("money.excel",,"6654","Price")</f>
        <v>無資料</v>
      </c>
      <c r="Z1753" s="69"/>
      <c r="AA1753" s="16" t="e">
        <f t="shared" si="512"/>
        <v>#VALUE!</v>
      </c>
      <c r="AB1753" s="3" t="e">
        <f t="shared" si="513"/>
        <v>#VALUE!</v>
      </c>
      <c r="AC1753" s="177" t="s">
        <v>2648</v>
      </c>
      <c r="AD1753" s="17" t="s">
        <v>1731</v>
      </c>
      <c r="AG1753" s="34">
        <f t="shared" si="514"/>
        <v>0</v>
      </c>
      <c r="AH1753" s="63" t="s">
        <v>3509</v>
      </c>
      <c r="AI1753" s="131"/>
      <c r="AK1753" s="66">
        <f t="shared" si="507"/>
        <v>0</v>
      </c>
      <c r="AL1753" s="174">
        <f t="shared" si="508"/>
        <v>0</v>
      </c>
      <c r="AM1753" s="346">
        <f>RTD("money.excel",,$G1753,"PredictVolume")</f>
        <v>0</v>
      </c>
      <c r="AN1753" s="272">
        <f>RTD("money.excel",,$G1753,"CumulativeVolume")</f>
        <v>0</v>
      </c>
      <c r="AO1753" s="284"/>
    </row>
    <row r="1754" spans="1:41">
      <c r="A1754" s="151" t="s">
        <v>2593</v>
      </c>
      <c r="B1754" s="84">
        <v>41</v>
      </c>
      <c r="C1754" s="84">
        <v>74</v>
      </c>
      <c r="D1754" s="84">
        <v>44</v>
      </c>
      <c r="E1754" s="84">
        <v>43</v>
      </c>
      <c r="F1754" s="7">
        <v>8.23</v>
      </c>
      <c r="G1754" s="85">
        <v>6667</v>
      </c>
      <c r="H1754" s="4" t="s">
        <v>566</v>
      </c>
      <c r="I1754" s="17" t="s">
        <v>1732</v>
      </c>
      <c r="J1754" s="77">
        <v>51.31</v>
      </c>
      <c r="K1754" s="77">
        <v>1.86</v>
      </c>
      <c r="L1754" s="77">
        <v>17.920000000000002</v>
      </c>
      <c r="N1754" s="365">
        <f t="shared" si="509"/>
        <v>71.09</v>
      </c>
      <c r="O1754" s="343">
        <f t="shared" si="510"/>
        <v>51.31</v>
      </c>
      <c r="P1754" s="195">
        <v>5</v>
      </c>
      <c r="Q1754" s="326" t="str">
        <f>IFERROR(VLOOKUP($G1754,主力整理!$A$2:$G$2301,6,0),"0")</f>
        <v>0</v>
      </c>
      <c r="R1754" s="111">
        <v>6</v>
      </c>
      <c r="S1754" s="51">
        <v>0</v>
      </c>
      <c r="T1754" s="339">
        <f t="shared" si="511"/>
        <v>11</v>
      </c>
      <c r="V1754" s="371">
        <v>0.51</v>
      </c>
      <c r="W1754" s="35">
        <v>1.66</v>
      </c>
      <c r="X1754" s="59">
        <v>2.57</v>
      </c>
      <c r="Y1754" s="37" t="str">
        <f>RTD("money.excel",,"6667","Price")</f>
        <v>無資料</v>
      </c>
      <c r="Z1754" s="69"/>
      <c r="AA1754" s="16" t="e">
        <f t="shared" si="512"/>
        <v>#VALUE!</v>
      </c>
      <c r="AB1754" s="3" t="e">
        <f t="shared" si="513"/>
        <v>#VALUE!</v>
      </c>
      <c r="AC1754" s="177" t="s">
        <v>2648</v>
      </c>
      <c r="AD1754" s="17" t="s">
        <v>1732</v>
      </c>
      <c r="AG1754" s="34">
        <f t="shared" si="514"/>
        <v>0</v>
      </c>
      <c r="AH1754" s="44" t="s">
        <v>3986</v>
      </c>
      <c r="AI1754" s="131"/>
      <c r="AK1754" s="66">
        <f t="shared" si="507"/>
        <v>0</v>
      </c>
      <c r="AL1754" s="174">
        <f t="shared" si="508"/>
        <v>0</v>
      </c>
      <c r="AM1754" s="346">
        <f>RTD("money.excel",,$G1754,"PredictVolume")</f>
        <v>0</v>
      </c>
      <c r="AN1754" s="272">
        <f>RTD("money.excel",,$G1754,"CumulativeVolume")</f>
        <v>0</v>
      </c>
      <c r="AO1754" s="284"/>
    </row>
    <row r="1755" spans="1:41">
      <c r="A1755" s="135" t="s">
        <v>6748</v>
      </c>
      <c r="B1755" s="84">
        <v>131</v>
      </c>
      <c r="C1755" s="84">
        <v>138</v>
      </c>
      <c r="D1755" s="84">
        <v>11</v>
      </c>
      <c r="E1755" s="84">
        <v>71</v>
      </c>
      <c r="F1755" s="59">
        <v>11.18</v>
      </c>
      <c r="G1755" s="85">
        <v>6691</v>
      </c>
      <c r="H1755" s="4" t="s">
        <v>566</v>
      </c>
      <c r="I1755" s="23" t="s">
        <v>6747</v>
      </c>
      <c r="J1755" s="77">
        <v>66.23</v>
      </c>
      <c r="K1755" s="77">
        <v>0.17</v>
      </c>
      <c r="M1755" s="77"/>
      <c r="N1755" s="365">
        <f t="shared" si="509"/>
        <v>66.400000000000006</v>
      </c>
      <c r="O1755" s="343">
        <f t="shared" si="510"/>
        <v>66.23</v>
      </c>
      <c r="P1755" s="195">
        <v>2</v>
      </c>
      <c r="Q1755" s="326">
        <v>0</v>
      </c>
      <c r="R1755" s="111">
        <v>0</v>
      </c>
      <c r="S1755" s="51">
        <v>0</v>
      </c>
      <c r="T1755" s="339">
        <f t="shared" si="511"/>
        <v>2</v>
      </c>
      <c r="W1755" s="69">
        <v>11</v>
      </c>
      <c r="X1755" s="100">
        <v>16.7</v>
      </c>
      <c r="Y1755" s="37" t="str">
        <f>RTD("money.excel",,"6691","Price")</f>
        <v>無資料</v>
      </c>
      <c r="Z1755" s="69"/>
      <c r="AA1755" s="16" t="e">
        <f t="shared" si="512"/>
        <v>#VALUE!</v>
      </c>
      <c r="AB1755" s="3" t="e">
        <f t="shared" si="513"/>
        <v>#VALUE!</v>
      </c>
      <c r="AC1755" s="177" t="s">
        <v>2929</v>
      </c>
      <c r="AD1755" s="23" t="s">
        <v>6747</v>
      </c>
      <c r="AG1755" s="34">
        <f t="shared" si="514"/>
        <v>0</v>
      </c>
      <c r="AH1755" s="63" t="s">
        <v>6749</v>
      </c>
      <c r="AI1755" s="131"/>
      <c r="AK1755" s="66">
        <f t="shared" si="507"/>
        <v>0</v>
      </c>
      <c r="AL1755" s="174">
        <f t="shared" si="508"/>
        <v>0</v>
      </c>
      <c r="AM1755" s="346">
        <f>RTD("money.excel",,$G1755,"PredictVolume")</f>
        <v>0</v>
      </c>
      <c r="AN1755" s="272">
        <f>RTD("money.excel",,$G1755,"CumulativeVolume")</f>
        <v>0</v>
      </c>
      <c r="AO1755" s="284"/>
    </row>
    <row r="1756" spans="1:41">
      <c r="A1756" s="151" t="s">
        <v>2407</v>
      </c>
      <c r="B1756" s="84">
        <v>258</v>
      </c>
      <c r="C1756" s="84">
        <v>245</v>
      </c>
      <c r="D1756" s="84">
        <v>22</v>
      </c>
      <c r="E1756" s="84">
        <v>59</v>
      </c>
      <c r="F1756" s="7">
        <v>4.3899999999999997</v>
      </c>
      <c r="G1756" s="85">
        <v>6698</v>
      </c>
      <c r="H1756" s="4" t="s">
        <v>566</v>
      </c>
      <c r="I1756" s="23" t="s">
        <v>2734</v>
      </c>
      <c r="J1756" s="371">
        <v>37.229999999999997</v>
      </c>
      <c r="K1756" s="77">
        <v>3.77</v>
      </c>
      <c r="L1756" s="77">
        <v>23.42</v>
      </c>
      <c r="M1756" s="77">
        <v>36.54</v>
      </c>
      <c r="N1756" s="365">
        <f t="shared" si="509"/>
        <v>100.96000000000001</v>
      </c>
      <c r="O1756" s="343">
        <f t="shared" si="510"/>
        <v>73.77</v>
      </c>
      <c r="P1756" s="195">
        <v>2</v>
      </c>
      <c r="Q1756" s="326">
        <v>7</v>
      </c>
      <c r="R1756" s="111">
        <v>11</v>
      </c>
      <c r="S1756" s="51">
        <v>17</v>
      </c>
      <c r="T1756" s="339">
        <f t="shared" si="511"/>
        <v>37</v>
      </c>
      <c r="U1756" s="329" t="s">
        <v>6538</v>
      </c>
      <c r="V1756" s="371">
        <v>1.61</v>
      </c>
      <c r="W1756" s="35">
        <v>0.5</v>
      </c>
      <c r="X1756" s="100">
        <v>0.53</v>
      </c>
      <c r="Y1756" s="37" t="str">
        <f>RTD("money.excel",,"6698","Price")</f>
        <v>無資料</v>
      </c>
      <c r="Z1756" s="69"/>
      <c r="AA1756" s="16" t="e">
        <f t="shared" si="512"/>
        <v>#VALUE!</v>
      </c>
      <c r="AB1756" s="3" t="e">
        <f t="shared" si="513"/>
        <v>#VALUE!</v>
      </c>
      <c r="AC1756" s="177" t="s">
        <v>2648</v>
      </c>
      <c r="AD1756" s="23" t="s">
        <v>2734</v>
      </c>
      <c r="AG1756" s="34">
        <f t="shared" si="514"/>
        <v>0</v>
      </c>
      <c r="AH1756" s="44" t="s">
        <v>3712</v>
      </c>
      <c r="AI1756" s="131"/>
      <c r="AK1756" s="66">
        <f t="shared" si="507"/>
        <v>0</v>
      </c>
      <c r="AL1756" s="174">
        <f t="shared" si="508"/>
        <v>0</v>
      </c>
      <c r="AM1756" s="346">
        <f>RTD("money.excel",,$G1756,"PredictVolume")</f>
        <v>0</v>
      </c>
      <c r="AN1756" s="272">
        <f>RTD("money.excel",,$G1756,"CumulativeVolume")</f>
        <v>0</v>
      </c>
      <c r="AO1756" s="284"/>
    </row>
    <row r="1757" spans="1:41">
      <c r="A1757" s="151" t="s">
        <v>2455</v>
      </c>
      <c r="B1757" s="85">
        <v>-21</v>
      </c>
      <c r="C1757" s="84">
        <v>30</v>
      </c>
      <c r="D1757" s="84">
        <v>7</v>
      </c>
      <c r="E1757" s="85">
        <v>-14</v>
      </c>
      <c r="F1757" s="7">
        <v>3.98</v>
      </c>
      <c r="G1757" s="85">
        <v>6743</v>
      </c>
      <c r="H1757" s="4" t="s">
        <v>566</v>
      </c>
      <c r="I1757" s="23" t="s">
        <v>3371</v>
      </c>
      <c r="J1757" s="371">
        <v>57.56</v>
      </c>
      <c r="K1757" s="77">
        <v>3.95</v>
      </c>
      <c r="L1757" s="77">
        <v>5.12</v>
      </c>
      <c r="N1757" s="365">
        <f t="shared" si="509"/>
        <v>66.63000000000001</v>
      </c>
      <c r="O1757" s="343">
        <f t="shared" si="510"/>
        <v>57.56</v>
      </c>
      <c r="P1757" s="195">
        <v>1</v>
      </c>
      <c r="Q1757" s="326">
        <f>IFERROR(VLOOKUP($G1757,主力整理!$A$2:$G$2301,6,0),"0")</f>
        <v>1</v>
      </c>
      <c r="R1757" s="111">
        <v>5</v>
      </c>
      <c r="S1757" s="51">
        <v>0</v>
      </c>
      <c r="T1757" s="339">
        <f t="shared" si="511"/>
        <v>7</v>
      </c>
      <c r="V1757" s="371">
        <v>4.4800000000000004</v>
      </c>
      <c r="W1757" s="69">
        <v>3.93</v>
      </c>
      <c r="X1757" s="59">
        <v>4.04</v>
      </c>
      <c r="Y1757" s="37" t="str">
        <f>RTD("money.excel",,"6743","Price")</f>
        <v>無資料</v>
      </c>
      <c r="Z1757" s="69"/>
      <c r="AA1757" s="16" t="e">
        <f t="shared" si="512"/>
        <v>#VALUE!</v>
      </c>
      <c r="AB1757" s="3" t="e">
        <f t="shared" si="513"/>
        <v>#VALUE!</v>
      </c>
      <c r="AC1757" s="177" t="s">
        <v>2929</v>
      </c>
      <c r="AD1757" s="23" t="s">
        <v>3371</v>
      </c>
      <c r="AG1757" s="34">
        <f t="shared" si="514"/>
        <v>0</v>
      </c>
      <c r="AH1757" s="44" t="s">
        <v>5343</v>
      </c>
      <c r="AI1757" s="131"/>
      <c r="AK1757" s="66">
        <f t="shared" si="507"/>
        <v>0</v>
      </c>
      <c r="AL1757" s="174">
        <f t="shared" si="508"/>
        <v>0</v>
      </c>
      <c r="AM1757" s="346">
        <f>RTD("money.excel",,$G1757,"PredictVolume")</f>
        <v>0</v>
      </c>
      <c r="AN1757" s="272">
        <f>RTD("money.excel",,$G1757,"CumulativeVolume")</f>
        <v>0</v>
      </c>
      <c r="AO1757" s="284"/>
    </row>
    <row r="1758" spans="1:41">
      <c r="A1758" s="151" t="s">
        <v>2876</v>
      </c>
      <c r="B1758" s="84">
        <v>7</v>
      </c>
      <c r="C1758" s="84">
        <v>40</v>
      </c>
      <c r="D1758" s="84">
        <v>1</v>
      </c>
      <c r="E1758" s="84">
        <v>8</v>
      </c>
      <c r="F1758" s="7">
        <v>14.24</v>
      </c>
      <c r="G1758" s="85">
        <v>8021</v>
      </c>
      <c r="H1758" s="4" t="s">
        <v>566</v>
      </c>
      <c r="I1758" s="23" t="s">
        <v>952</v>
      </c>
      <c r="J1758" s="371">
        <v>28.9</v>
      </c>
      <c r="K1758" s="77">
        <v>15.64</v>
      </c>
      <c r="L1758" s="77">
        <v>18.649999999999999</v>
      </c>
      <c r="N1758" s="365">
        <f t="shared" si="509"/>
        <v>63.19</v>
      </c>
      <c r="O1758" s="343">
        <f t="shared" si="510"/>
        <v>28.9</v>
      </c>
      <c r="P1758" s="195">
        <v>7</v>
      </c>
      <c r="Q1758" s="326">
        <f>IFERROR(VLOOKUP($G1758,主力整理!$A$2:$G$2301,6,0),"0")</f>
        <v>3</v>
      </c>
      <c r="T1758" s="339">
        <f t="shared" si="511"/>
        <v>10</v>
      </c>
      <c r="V1758" s="371">
        <v>0.61</v>
      </c>
      <c r="W1758" s="35">
        <v>1.58</v>
      </c>
      <c r="X1758" s="100">
        <v>1.98</v>
      </c>
      <c r="Y1758" s="37" t="str">
        <f>RTD("money.excel",,"8021","Price")</f>
        <v>無資料</v>
      </c>
      <c r="Z1758" s="69"/>
      <c r="AA1758" s="16" t="e">
        <f t="shared" si="512"/>
        <v>#VALUE!</v>
      </c>
      <c r="AB1758" s="3" t="e">
        <f t="shared" si="513"/>
        <v>#VALUE!</v>
      </c>
      <c r="AC1758" s="177" t="s">
        <v>2648</v>
      </c>
      <c r="AD1758" s="23" t="s">
        <v>952</v>
      </c>
      <c r="AG1758" s="34">
        <f t="shared" si="514"/>
        <v>0</v>
      </c>
      <c r="AH1758" s="44" t="s">
        <v>4050</v>
      </c>
      <c r="AI1758" s="131"/>
      <c r="AK1758" s="66">
        <f t="shared" si="507"/>
        <v>0</v>
      </c>
      <c r="AL1758" s="174">
        <f t="shared" si="508"/>
        <v>0</v>
      </c>
      <c r="AM1758" s="346">
        <f>RTD("money.excel",,$G1758,"PredictVolume")</f>
        <v>0</v>
      </c>
      <c r="AN1758" s="272">
        <f>RTD("money.excel",,$G1758,"CumulativeVolume")</f>
        <v>0</v>
      </c>
      <c r="AO1758" s="284"/>
    </row>
    <row r="1759" spans="1:41">
      <c r="A1759" s="151" t="s">
        <v>4669</v>
      </c>
      <c r="B1759" s="96">
        <v>109</v>
      </c>
      <c r="C1759" s="96">
        <v>54</v>
      </c>
      <c r="D1759" s="96">
        <v>48</v>
      </c>
      <c r="E1759" s="96">
        <v>29</v>
      </c>
      <c r="F1759" s="7">
        <v>-1.57</v>
      </c>
      <c r="G1759" s="85">
        <v>8047</v>
      </c>
      <c r="H1759" s="4" t="s">
        <v>566</v>
      </c>
      <c r="I1759" s="17" t="s">
        <v>926</v>
      </c>
      <c r="J1759" s="77">
        <v>78.040000000000006</v>
      </c>
      <c r="K1759" s="77">
        <v>0</v>
      </c>
      <c r="L1759" s="77">
        <v>5.85</v>
      </c>
      <c r="N1759" s="365">
        <f t="shared" si="509"/>
        <v>83.89</v>
      </c>
      <c r="O1759" s="343">
        <f t="shared" si="510"/>
        <v>78.040000000000006</v>
      </c>
      <c r="P1759" s="195" t="s">
        <v>5554</v>
      </c>
      <c r="Q1759" s="326" t="str">
        <f>IFERROR(VLOOKUP($G1759,主力整理!$A$2:$G$2301,6,0),"0")</f>
        <v>0</v>
      </c>
      <c r="T1759" s="339">
        <f t="shared" si="511"/>
        <v>0</v>
      </c>
      <c r="V1759" s="371">
        <v>38.46</v>
      </c>
      <c r="W1759" s="35">
        <v>0.15</v>
      </c>
      <c r="X1759" s="100">
        <v>0.27</v>
      </c>
      <c r="Y1759" s="14" t="str">
        <f>RTD("money.excel",,"8047","Price")</f>
        <v>無資料</v>
      </c>
      <c r="Z1759" s="69"/>
      <c r="AA1759" s="16" t="e">
        <f t="shared" si="512"/>
        <v>#VALUE!</v>
      </c>
      <c r="AB1759" s="3" t="e">
        <f t="shared" si="513"/>
        <v>#VALUE!</v>
      </c>
      <c r="AD1759" s="17" t="s">
        <v>926</v>
      </c>
      <c r="AG1759" s="34">
        <f t="shared" si="514"/>
        <v>0</v>
      </c>
      <c r="AH1759" s="44" t="s">
        <v>3987</v>
      </c>
      <c r="AI1759" s="131"/>
      <c r="AK1759" s="66">
        <f t="shared" si="507"/>
        <v>0</v>
      </c>
      <c r="AL1759" s="174">
        <f t="shared" si="508"/>
        <v>0</v>
      </c>
      <c r="AM1759" s="346">
        <f>RTD("money.excel",,$G1759,"PredictVolume")</f>
        <v>0</v>
      </c>
      <c r="AN1759" s="272">
        <f>RTD("money.excel",,$G1759,"CumulativeVolume")</f>
        <v>0</v>
      </c>
      <c r="AO1759" s="284"/>
    </row>
    <row r="1760" spans="1:41">
      <c r="A1760" s="151" t="s">
        <v>3155</v>
      </c>
      <c r="B1760" s="85">
        <v>-44</v>
      </c>
      <c r="C1760" s="85">
        <v>-7</v>
      </c>
      <c r="D1760" s="84">
        <v>21</v>
      </c>
      <c r="E1760" s="84">
        <v>23</v>
      </c>
      <c r="F1760" s="7">
        <v>-19.149999999999999</v>
      </c>
      <c r="G1760" s="85">
        <v>8085</v>
      </c>
      <c r="H1760" s="4" t="s">
        <v>566</v>
      </c>
      <c r="I1760" s="17" t="s">
        <v>927</v>
      </c>
      <c r="J1760" s="371">
        <v>39.950000000000003</v>
      </c>
      <c r="K1760" s="371">
        <v>0.66</v>
      </c>
      <c r="N1760" s="365">
        <f t="shared" si="509"/>
        <v>40.61</v>
      </c>
      <c r="O1760" s="343">
        <f t="shared" si="510"/>
        <v>39.950000000000003</v>
      </c>
      <c r="P1760" s="195" t="s">
        <v>5554</v>
      </c>
      <c r="Q1760" s="326">
        <f>IFERROR(VLOOKUP($G1760,主力整理!$A$2:$G$2301,6,0),"0")</f>
        <v>8</v>
      </c>
      <c r="T1760" s="339">
        <f t="shared" si="511"/>
        <v>8</v>
      </c>
      <c r="W1760" s="35">
        <v>0</v>
      </c>
      <c r="X1760" s="100">
        <v>-0.47</v>
      </c>
      <c r="Y1760" s="37" t="str">
        <f>RTD("money.excel",,"8085","Price")</f>
        <v>無資料</v>
      </c>
      <c r="Z1760" s="69"/>
      <c r="AA1760" s="16" t="e">
        <f t="shared" si="512"/>
        <v>#VALUE!</v>
      </c>
      <c r="AB1760" s="3" t="e">
        <f t="shared" si="513"/>
        <v>#VALUE!</v>
      </c>
      <c r="AD1760" s="17" t="s">
        <v>927</v>
      </c>
      <c r="AG1760" s="34">
        <f t="shared" si="514"/>
        <v>0</v>
      </c>
      <c r="AH1760" s="44" t="s">
        <v>3579</v>
      </c>
      <c r="AI1760" s="131"/>
      <c r="AK1760" s="66">
        <f t="shared" si="507"/>
        <v>0</v>
      </c>
      <c r="AL1760" s="174">
        <f t="shared" si="508"/>
        <v>0</v>
      </c>
      <c r="AM1760" s="346">
        <f>RTD("money.excel",,$G1760,"PredictVolume")</f>
        <v>0</v>
      </c>
      <c r="AN1760" s="272">
        <f>RTD("money.excel",,$G1760,"CumulativeVolume")</f>
        <v>0</v>
      </c>
      <c r="AO1760" s="284"/>
    </row>
    <row r="1761" spans="1:41">
      <c r="A1761" s="151" t="s">
        <v>2983</v>
      </c>
      <c r="B1761" s="96">
        <v>47</v>
      </c>
      <c r="C1761" s="96">
        <v>10</v>
      </c>
      <c r="D1761" s="96">
        <v>-58</v>
      </c>
      <c r="E1761" s="96">
        <v>1</v>
      </c>
      <c r="F1761" s="7">
        <v>-9.07</v>
      </c>
      <c r="G1761" s="85">
        <v>8092</v>
      </c>
      <c r="H1761" s="4" t="s">
        <v>566</v>
      </c>
      <c r="I1761" s="17" t="s">
        <v>928</v>
      </c>
      <c r="J1761" s="77">
        <v>54.79</v>
      </c>
      <c r="K1761" s="77">
        <v>0</v>
      </c>
      <c r="N1761" s="365">
        <f t="shared" si="509"/>
        <v>54.79</v>
      </c>
      <c r="O1761" s="343">
        <f t="shared" si="510"/>
        <v>54.79</v>
      </c>
      <c r="P1761" s="195" t="s">
        <v>5554</v>
      </c>
      <c r="Q1761" s="326" t="str">
        <f>IFERROR(VLOOKUP($G1761,主力整理!$A$2:$G$2301,6,0),"0")</f>
        <v>0</v>
      </c>
      <c r="T1761" s="339">
        <f t="shared" si="511"/>
        <v>0</v>
      </c>
      <c r="V1761" s="371">
        <v>32.090000000000003</v>
      </c>
      <c r="W1761" s="35">
        <v>0</v>
      </c>
      <c r="X1761" s="100">
        <v>-0.49</v>
      </c>
      <c r="Y1761" s="14" t="str">
        <f>RTD("money.excel",,"8092","Price")</f>
        <v>無資料</v>
      </c>
      <c r="Z1761" s="69"/>
      <c r="AA1761" s="16" t="e">
        <f t="shared" si="512"/>
        <v>#VALUE!</v>
      </c>
      <c r="AB1761" s="3" t="e">
        <f t="shared" si="513"/>
        <v>#VALUE!</v>
      </c>
      <c r="AD1761" s="17" t="s">
        <v>928</v>
      </c>
      <c r="AG1761" s="34">
        <f t="shared" si="514"/>
        <v>0</v>
      </c>
      <c r="AH1761" s="44" t="s">
        <v>3988</v>
      </c>
      <c r="AI1761" s="131"/>
      <c r="AK1761" s="66">
        <f t="shared" si="507"/>
        <v>0</v>
      </c>
      <c r="AL1761" s="174">
        <f t="shared" si="508"/>
        <v>0</v>
      </c>
      <c r="AM1761" s="346">
        <f>RTD("money.excel",,$G1761,"PredictVolume")</f>
        <v>0</v>
      </c>
      <c r="AN1761" s="272">
        <f>RTD("money.excel",,$G1761,"CumulativeVolume")</f>
        <v>0</v>
      </c>
      <c r="AO1761" s="284"/>
    </row>
    <row r="1762" spans="1:41">
      <c r="A1762" s="135" t="s">
        <v>2430</v>
      </c>
      <c r="B1762" s="84">
        <v>954</v>
      </c>
      <c r="C1762" s="98">
        <v>1238</v>
      </c>
      <c r="D1762" s="85">
        <v>-16</v>
      </c>
      <c r="E1762" s="84">
        <v>33</v>
      </c>
      <c r="F1762" s="59">
        <v>11.48</v>
      </c>
      <c r="G1762" s="85">
        <v>8183</v>
      </c>
      <c r="H1762" s="4" t="s">
        <v>566</v>
      </c>
      <c r="I1762" s="17" t="s">
        <v>440</v>
      </c>
      <c r="J1762" s="77">
        <v>52.32</v>
      </c>
      <c r="K1762" s="77">
        <v>6.52</v>
      </c>
      <c r="L1762" s="77">
        <v>15.36</v>
      </c>
      <c r="N1762" s="365">
        <f t="shared" si="509"/>
        <v>74.2</v>
      </c>
      <c r="O1762" s="343">
        <f t="shared" si="510"/>
        <v>52.32</v>
      </c>
      <c r="P1762" s="195" t="s">
        <v>5554</v>
      </c>
      <c r="Q1762" s="326" t="str">
        <f>IFERROR(VLOOKUP($G1762,主力整理!$A$2:$G$2301,6,0),"0")</f>
        <v>0</v>
      </c>
      <c r="R1762" s="111">
        <v>13</v>
      </c>
      <c r="T1762" s="339">
        <f t="shared" si="511"/>
        <v>13</v>
      </c>
      <c r="V1762" s="371">
        <v>2.66</v>
      </c>
      <c r="W1762" s="35">
        <v>0.8</v>
      </c>
      <c r="X1762" s="59">
        <v>2.46</v>
      </c>
      <c r="Y1762" s="37" t="str">
        <f>RTD("money.excel",,"8183","Price")</f>
        <v>無資料</v>
      </c>
      <c r="Z1762" s="69"/>
      <c r="AA1762" s="16" t="e">
        <f t="shared" si="512"/>
        <v>#VALUE!</v>
      </c>
      <c r="AB1762" s="3" t="e">
        <f t="shared" si="513"/>
        <v>#VALUE!</v>
      </c>
      <c r="AD1762" s="17" t="s">
        <v>440</v>
      </c>
      <c r="AG1762" s="34">
        <f t="shared" si="514"/>
        <v>0</v>
      </c>
      <c r="AH1762" s="126" t="s">
        <v>3704</v>
      </c>
      <c r="AI1762" s="131"/>
      <c r="AK1762" s="66">
        <f t="shared" si="507"/>
        <v>0</v>
      </c>
      <c r="AL1762" s="174">
        <f t="shared" si="508"/>
        <v>0</v>
      </c>
      <c r="AM1762" s="346">
        <f>RTD("money.excel",,$G1762,"PredictVolume")</f>
        <v>0</v>
      </c>
      <c r="AN1762" s="272">
        <f>RTD("money.excel",,$G1762,"CumulativeVolume")</f>
        <v>0</v>
      </c>
      <c r="AO1762" s="284"/>
    </row>
    <row r="1763" spans="1:41">
      <c r="A1763" s="151" t="s">
        <v>3183</v>
      </c>
      <c r="B1763" s="85">
        <v>-77</v>
      </c>
      <c r="C1763" s="84">
        <v>11</v>
      </c>
      <c r="D1763" s="85">
        <v>-52</v>
      </c>
      <c r="E1763" s="85">
        <v>-29</v>
      </c>
      <c r="F1763" s="7">
        <v>-5.53</v>
      </c>
      <c r="G1763" s="85">
        <v>8201</v>
      </c>
      <c r="H1763" s="4" t="s">
        <v>566</v>
      </c>
      <c r="I1763" s="23" t="s">
        <v>953</v>
      </c>
      <c r="J1763" s="77">
        <v>62.96</v>
      </c>
      <c r="K1763" s="77">
        <v>2.65</v>
      </c>
      <c r="L1763" s="77">
        <v>0</v>
      </c>
      <c r="N1763" s="365">
        <f t="shared" si="509"/>
        <v>65.61</v>
      </c>
      <c r="O1763" s="343">
        <f t="shared" si="510"/>
        <v>62.96</v>
      </c>
      <c r="P1763" s="195" t="s">
        <v>5554</v>
      </c>
      <c r="Q1763" s="326">
        <f>IFERROR(VLOOKUP($G1763,主力整理!$A$2:$G$2301,6,0),"0")</f>
        <v>8</v>
      </c>
      <c r="T1763" s="339">
        <f t="shared" si="511"/>
        <v>8</v>
      </c>
      <c r="V1763" s="371">
        <v>0</v>
      </c>
      <c r="W1763" s="35">
        <v>0</v>
      </c>
      <c r="X1763" s="100">
        <v>-0.76</v>
      </c>
      <c r="Y1763" s="37" t="str">
        <f>RTD("money.excel",,"8201","Price")</f>
        <v>無資料</v>
      </c>
      <c r="Z1763" s="69"/>
      <c r="AA1763" s="16" t="e">
        <f t="shared" si="512"/>
        <v>#VALUE!</v>
      </c>
      <c r="AB1763" s="3" t="e">
        <f t="shared" si="513"/>
        <v>#VALUE!</v>
      </c>
      <c r="AC1763" s="177" t="s">
        <v>2648</v>
      </c>
      <c r="AD1763" s="23" t="s">
        <v>953</v>
      </c>
      <c r="AG1763" s="34">
        <f t="shared" si="514"/>
        <v>0</v>
      </c>
      <c r="AH1763" s="44" t="s">
        <v>3184</v>
      </c>
      <c r="AI1763" s="131"/>
      <c r="AK1763" s="66">
        <f t="shared" si="507"/>
        <v>0</v>
      </c>
      <c r="AL1763" s="174">
        <f t="shared" si="508"/>
        <v>0</v>
      </c>
      <c r="AM1763" s="346">
        <f>RTD("money.excel",,$G1763,"PredictVolume")</f>
        <v>0</v>
      </c>
      <c r="AN1763" s="272">
        <f>RTD("money.excel",,$G1763,"CumulativeVolume")</f>
        <v>0</v>
      </c>
      <c r="AO1763" s="284"/>
    </row>
    <row r="1764" spans="1:41">
      <c r="A1764" s="135" t="s">
        <v>2498</v>
      </c>
      <c r="B1764" s="84">
        <v>30</v>
      </c>
      <c r="C1764" s="84">
        <v>37</v>
      </c>
      <c r="D1764" s="85">
        <v>-43</v>
      </c>
      <c r="E1764" s="85">
        <v>-46</v>
      </c>
      <c r="F1764" s="59">
        <v>12.57</v>
      </c>
      <c r="G1764" s="85">
        <v>8383</v>
      </c>
      <c r="H1764" s="4" t="s">
        <v>566</v>
      </c>
      <c r="I1764" s="17" t="s">
        <v>317</v>
      </c>
      <c r="J1764" s="371">
        <v>36.549999999999997</v>
      </c>
      <c r="K1764" s="77">
        <v>7.51</v>
      </c>
      <c r="L1764" s="77">
        <v>13.29</v>
      </c>
      <c r="N1764" s="365">
        <f t="shared" si="509"/>
        <v>57.349999999999994</v>
      </c>
      <c r="O1764" s="343">
        <f t="shared" si="510"/>
        <v>36.549999999999997</v>
      </c>
      <c r="P1764" s="195">
        <v>1</v>
      </c>
      <c r="Q1764" s="326" t="str">
        <f>IFERROR(VLOOKUP($G1764,主力整理!$A$2:$G$2301,6,0),"0")</f>
        <v>0</v>
      </c>
      <c r="T1764" s="339">
        <f t="shared" si="511"/>
        <v>1</v>
      </c>
      <c r="V1764" s="371">
        <v>0.36</v>
      </c>
      <c r="W1764" s="35">
        <v>2.5</v>
      </c>
      <c r="X1764" s="100">
        <v>2.74</v>
      </c>
      <c r="Y1764" s="37" t="str">
        <f>RTD("money.excel",,"8383","Price")</f>
        <v>無資料</v>
      </c>
      <c r="Z1764" s="69"/>
      <c r="AA1764" s="16" t="e">
        <f t="shared" si="512"/>
        <v>#VALUE!</v>
      </c>
      <c r="AB1764" s="3" t="e">
        <f t="shared" si="513"/>
        <v>#VALUE!</v>
      </c>
      <c r="AC1764" s="177" t="s">
        <v>2648</v>
      </c>
      <c r="AD1764" s="17" t="s">
        <v>317</v>
      </c>
      <c r="AG1764" s="34">
        <f t="shared" si="514"/>
        <v>0</v>
      </c>
      <c r="AH1764" s="126" t="s">
        <v>4946</v>
      </c>
      <c r="AI1764" s="131"/>
      <c r="AK1764" s="66">
        <f t="shared" si="507"/>
        <v>0</v>
      </c>
      <c r="AL1764" s="174">
        <f t="shared" si="508"/>
        <v>0</v>
      </c>
      <c r="AM1764" s="346">
        <f>RTD("money.excel",,$G1764,"PredictVolume")</f>
        <v>0</v>
      </c>
      <c r="AN1764" s="272">
        <f>RTD("money.excel",,$G1764,"CumulativeVolume")</f>
        <v>0</v>
      </c>
      <c r="AO1764" s="284"/>
    </row>
    <row r="1765" spans="1:41">
      <c r="A1765" s="135" t="s">
        <v>4670</v>
      </c>
      <c r="B1765" s="84">
        <v>127</v>
      </c>
      <c r="C1765" s="84">
        <v>132</v>
      </c>
      <c r="D1765" s="84">
        <v>11</v>
      </c>
      <c r="E1765" s="84">
        <v>4</v>
      </c>
      <c r="F1765" s="59">
        <v>20.47</v>
      </c>
      <c r="G1765" s="85">
        <v>8431</v>
      </c>
      <c r="H1765" s="4" t="s">
        <v>566</v>
      </c>
      <c r="I1765" s="17" t="s">
        <v>416</v>
      </c>
      <c r="J1765" s="77">
        <v>22.49</v>
      </c>
      <c r="K1765" s="371">
        <v>1</v>
      </c>
      <c r="L1765" s="77">
        <v>47.79</v>
      </c>
      <c r="M1765" s="77">
        <v>15.96</v>
      </c>
      <c r="N1765" s="365">
        <f t="shared" si="509"/>
        <v>87.240000000000009</v>
      </c>
      <c r="O1765" s="343">
        <f t="shared" si="510"/>
        <v>38.450000000000003</v>
      </c>
      <c r="P1765" s="195">
        <v>1</v>
      </c>
      <c r="Q1765" s="326" t="str">
        <f>IFERROR(VLOOKUP($G1765,主力整理!$A$2:$G$2301,6,0),"0")</f>
        <v>0</v>
      </c>
      <c r="R1765" s="111">
        <v>3</v>
      </c>
      <c r="S1765" s="51">
        <v>0</v>
      </c>
      <c r="T1765" s="339">
        <f t="shared" si="511"/>
        <v>4</v>
      </c>
      <c r="U1765" s="329" t="s">
        <v>6538</v>
      </c>
      <c r="V1765" s="371">
        <v>2.16</v>
      </c>
      <c r="W1765" s="35">
        <v>0.8</v>
      </c>
      <c r="X1765" s="100">
        <v>3.93</v>
      </c>
      <c r="Y1765" s="37" t="str">
        <f>RTD("money.excel",,"8431","Price")</f>
        <v>無資料</v>
      </c>
      <c r="Z1765" s="69"/>
      <c r="AA1765" s="16" t="e">
        <f t="shared" si="512"/>
        <v>#VALUE!</v>
      </c>
      <c r="AB1765" s="3" t="e">
        <f t="shared" si="513"/>
        <v>#VALUE!</v>
      </c>
      <c r="AC1765" s="177" t="s">
        <v>2648</v>
      </c>
      <c r="AD1765" s="17" t="s">
        <v>416</v>
      </c>
      <c r="AG1765" s="34">
        <f t="shared" si="514"/>
        <v>0</v>
      </c>
      <c r="AH1765" s="63" t="s">
        <v>3989</v>
      </c>
      <c r="AI1765" s="131"/>
      <c r="AK1765" s="66">
        <f t="shared" si="507"/>
        <v>0</v>
      </c>
      <c r="AL1765" s="174">
        <f t="shared" si="508"/>
        <v>0</v>
      </c>
      <c r="AM1765" s="346">
        <f>RTD("money.excel",,$G1765,"PredictVolume")</f>
        <v>0</v>
      </c>
      <c r="AN1765" s="272">
        <f>RTD("money.excel",,$G1765,"CumulativeVolume")</f>
        <v>0</v>
      </c>
      <c r="AO1765" s="284"/>
    </row>
    <row r="1766" spans="1:41">
      <c r="A1766" s="151" t="s">
        <v>3538</v>
      </c>
      <c r="B1766" s="96">
        <v>-128</v>
      </c>
      <c r="C1766" s="96">
        <v>-113</v>
      </c>
      <c r="D1766" s="96">
        <v>11</v>
      </c>
      <c r="E1766" s="96">
        <v>-25</v>
      </c>
      <c r="F1766" s="7">
        <v>-1.26</v>
      </c>
      <c r="G1766" s="85">
        <v>8455</v>
      </c>
      <c r="H1766" s="4" t="s">
        <v>566</v>
      </c>
      <c r="I1766" s="17" t="s">
        <v>1733</v>
      </c>
      <c r="J1766" s="77">
        <v>87.78</v>
      </c>
      <c r="K1766" s="77">
        <v>87.77</v>
      </c>
      <c r="N1766" s="365">
        <f t="shared" si="509"/>
        <v>175.55</v>
      </c>
      <c r="O1766" s="343">
        <f t="shared" si="510"/>
        <v>87.78</v>
      </c>
      <c r="P1766" s="195" t="s">
        <v>5554</v>
      </c>
      <c r="Q1766" s="326" t="str">
        <f>IFERROR(VLOOKUP($G1766,主力整理!$A$2:$G$2301,6,0),"0")</f>
        <v>0</v>
      </c>
      <c r="T1766" s="339">
        <f t="shared" si="511"/>
        <v>0</v>
      </c>
      <c r="V1766" s="371">
        <v>79.010000000000005</v>
      </c>
      <c r="W1766" s="35">
        <v>0</v>
      </c>
      <c r="X1766" s="59">
        <v>-0.06</v>
      </c>
      <c r="Y1766" s="14" t="str">
        <f>RTD("money.excel",,"8455","Price")</f>
        <v>無資料</v>
      </c>
      <c r="Z1766" s="69"/>
      <c r="AA1766" s="16" t="e">
        <f t="shared" si="512"/>
        <v>#VALUE!</v>
      </c>
      <c r="AB1766" s="3" t="e">
        <f t="shared" si="513"/>
        <v>#VALUE!</v>
      </c>
      <c r="AD1766" s="17" t="s">
        <v>929</v>
      </c>
      <c r="AG1766" s="34">
        <f t="shared" si="514"/>
        <v>0</v>
      </c>
      <c r="AH1766" s="44" t="s">
        <v>3990</v>
      </c>
      <c r="AI1766" s="131"/>
      <c r="AK1766" s="66">
        <f t="shared" si="507"/>
        <v>0</v>
      </c>
      <c r="AL1766" s="174">
        <f t="shared" si="508"/>
        <v>0</v>
      </c>
      <c r="AM1766" s="346">
        <f>RTD("money.excel",,$G1766,"PredictVolume")</f>
        <v>0</v>
      </c>
      <c r="AN1766" s="272">
        <f>RTD("money.excel",,$G1766,"CumulativeVolume")</f>
        <v>0</v>
      </c>
      <c r="AO1766" s="284"/>
    </row>
    <row r="1767" spans="1:41">
      <c r="A1767" s="151"/>
      <c r="B1767" s="96"/>
      <c r="C1767" s="96"/>
      <c r="D1767" s="96"/>
      <c r="E1767" s="96"/>
      <c r="F1767" s="7"/>
      <c r="G1767" s="85"/>
      <c r="H1767" s="4"/>
      <c r="I1767" s="17"/>
      <c r="J1767" s="77"/>
      <c r="K1767" s="77"/>
      <c r="N1767" s="365"/>
      <c r="O1767" s="343"/>
      <c r="P1767" s="195"/>
      <c r="W1767" s="35"/>
      <c r="X1767" s="59"/>
      <c r="Y1767" s="14"/>
      <c r="Z1767" s="69"/>
      <c r="AA1767" s="16"/>
      <c r="AB1767" s="3"/>
      <c r="AD1767" s="17"/>
      <c r="AG1767" s="34"/>
      <c r="AH1767" s="44"/>
      <c r="AI1767" s="131"/>
      <c r="AK1767" s="66"/>
      <c r="AL1767" s="174"/>
      <c r="AM1767" s="346"/>
      <c r="AN1767" s="272"/>
      <c r="AO1767" s="284"/>
    </row>
    <row r="1768" spans="1:41">
      <c r="A1768" s="135" t="s">
        <v>2552</v>
      </c>
      <c r="B1768" s="96" t="s">
        <v>2331</v>
      </c>
      <c r="C1768" s="96" t="s">
        <v>2332</v>
      </c>
      <c r="D1768" s="96" t="s">
        <v>2333</v>
      </c>
      <c r="E1768" s="96" t="s">
        <v>2334</v>
      </c>
      <c r="F1768" s="9" t="s">
        <v>1709</v>
      </c>
      <c r="G1768" s="52" t="s">
        <v>844</v>
      </c>
      <c r="H1768" s="56" t="s">
        <v>578</v>
      </c>
      <c r="I1768" s="51" t="s">
        <v>1664</v>
      </c>
      <c r="J1768" s="364" t="s">
        <v>2189</v>
      </c>
      <c r="K1768" s="364" t="s">
        <v>1820</v>
      </c>
      <c r="L1768" s="364" t="s">
        <v>515</v>
      </c>
      <c r="M1768" s="364" t="s">
        <v>1699</v>
      </c>
      <c r="N1768" s="364" t="s">
        <v>6604</v>
      </c>
      <c r="O1768" s="343" t="s">
        <v>6620</v>
      </c>
      <c r="P1768" s="83" t="s">
        <v>5279</v>
      </c>
      <c r="Q1768" s="326" t="s">
        <v>5514</v>
      </c>
      <c r="R1768" s="31" t="s">
        <v>6596</v>
      </c>
      <c r="S1768" s="51" t="s">
        <v>6597</v>
      </c>
      <c r="T1768" s="338" t="s">
        <v>5627</v>
      </c>
      <c r="U1768" s="330" t="s">
        <v>6537</v>
      </c>
      <c r="V1768" s="377" t="s">
        <v>6616</v>
      </c>
      <c r="W1768" s="11" t="s">
        <v>127</v>
      </c>
      <c r="X1768" s="71" t="s">
        <v>5216</v>
      </c>
      <c r="Y1768" s="29" t="s">
        <v>3</v>
      </c>
      <c r="Z1768" s="18" t="s">
        <v>2113</v>
      </c>
      <c r="AA1768" s="15" t="s">
        <v>8</v>
      </c>
      <c r="AB1768" s="22" t="s">
        <v>4</v>
      </c>
      <c r="AC1768" s="358" t="s">
        <v>211</v>
      </c>
      <c r="AD1768" s="51" t="s">
        <v>1664</v>
      </c>
      <c r="AE1768" s="75" t="s">
        <v>2114</v>
      </c>
      <c r="AF1768" s="76" t="s">
        <v>1826</v>
      </c>
      <c r="AG1768" s="33" t="s">
        <v>1827</v>
      </c>
      <c r="AH1768" s="44"/>
      <c r="AI1768" s="131"/>
      <c r="AK1768" s="9" t="s">
        <v>6666</v>
      </c>
      <c r="AL1768" s="5" t="s">
        <v>6667</v>
      </c>
      <c r="AM1768" s="51" t="s">
        <v>5339</v>
      </c>
      <c r="AN1768" s="276" t="s">
        <v>6665</v>
      </c>
      <c r="AO1768" s="284"/>
    </row>
    <row r="1769" spans="1:41">
      <c r="A1769" s="151" t="s">
        <v>2587</v>
      </c>
      <c r="B1769" s="85">
        <v>-77</v>
      </c>
      <c r="C1769" s="85">
        <v>-81</v>
      </c>
      <c r="D1769" s="85">
        <v>-12</v>
      </c>
      <c r="E1769" s="85">
        <v>-18</v>
      </c>
      <c r="F1769" s="7">
        <v>1.93</v>
      </c>
      <c r="G1769" s="85">
        <v>2926</v>
      </c>
      <c r="H1769" s="4" t="s">
        <v>1664</v>
      </c>
      <c r="I1769" s="17" t="s">
        <v>145</v>
      </c>
      <c r="J1769" s="77">
        <v>69.27</v>
      </c>
      <c r="K1769" s="371">
        <v>15.03</v>
      </c>
      <c r="L1769" s="371">
        <v>0.59</v>
      </c>
      <c r="N1769" s="365">
        <f t="shared" ref="N1769:N1794" si="515">J1769+K1769+L1769+M1769</f>
        <v>84.89</v>
      </c>
      <c r="O1769" s="343">
        <f t="shared" ref="O1769:O1794" si="516">J1769+M1769</f>
        <v>69.27</v>
      </c>
      <c r="P1769" s="195">
        <v>2</v>
      </c>
      <c r="Q1769" s="326" t="str">
        <f>IFERROR(VLOOKUP($G1769,主力整理!$A$2:$G$2301,6,0),"0")</f>
        <v>0</v>
      </c>
      <c r="T1769" s="339">
        <f t="shared" ref="T1769:T1794" si="517">SUM(P1769:S1769)</f>
        <v>2</v>
      </c>
      <c r="V1769" s="371">
        <v>0</v>
      </c>
      <c r="W1769" s="35">
        <v>0.84</v>
      </c>
      <c r="X1769" s="59">
        <v>1.1599999999999999</v>
      </c>
      <c r="Y1769" s="37" t="str">
        <f>RTD("money.excel",,"2926","Price")</f>
        <v>無資料</v>
      </c>
      <c r="Z1769" s="69"/>
      <c r="AA1769" s="16" t="e">
        <f t="shared" ref="AA1769:AA1794" si="518">Y1769-Z1769</f>
        <v>#VALUE!</v>
      </c>
      <c r="AB1769" s="3" t="e">
        <f t="shared" ref="AB1769:AB1794" si="519">AA1769/Z1769</f>
        <v>#VALUE!</v>
      </c>
      <c r="AC1769" s="177" t="s">
        <v>2648</v>
      </c>
      <c r="AD1769" s="17" t="s">
        <v>145</v>
      </c>
      <c r="AG1769" s="34">
        <f t="shared" ref="AG1769:AG1794" si="520">AF1769-AE1769</f>
        <v>0</v>
      </c>
      <c r="AH1769" s="125" t="s">
        <v>3733</v>
      </c>
      <c r="AI1769" s="131"/>
      <c r="AK1769" s="66">
        <f>AM1769/(A1769*10000)</f>
        <v>0</v>
      </c>
      <c r="AL1769" s="174">
        <f>AN1769/(A1769*10000)</f>
        <v>0</v>
      </c>
      <c r="AM1769" s="346">
        <f>RTD("money.excel",,$G1769,"PredictVolume")</f>
        <v>0</v>
      </c>
      <c r="AN1769" s="272">
        <f>RTD("money.excel",,$G1769,"CumulativeVolume")</f>
        <v>0</v>
      </c>
      <c r="AO1769" s="284"/>
    </row>
    <row r="1770" spans="1:41">
      <c r="A1770" s="151" t="s">
        <v>2214</v>
      </c>
      <c r="B1770" s="96">
        <v>62</v>
      </c>
      <c r="C1770" s="96">
        <v>65</v>
      </c>
      <c r="D1770" s="96">
        <v>-9</v>
      </c>
      <c r="E1770" s="96">
        <v>369</v>
      </c>
      <c r="F1770" s="7">
        <v>-28.59</v>
      </c>
      <c r="G1770" s="85">
        <v>3064</v>
      </c>
      <c r="H1770" s="4" t="s">
        <v>1664</v>
      </c>
      <c r="I1770" s="17" t="s">
        <v>133</v>
      </c>
      <c r="J1770" s="77">
        <v>53.69</v>
      </c>
      <c r="K1770" s="77">
        <v>1.29</v>
      </c>
      <c r="N1770" s="365">
        <f t="shared" si="515"/>
        <v>54.98</v>
      </c>
      <c r="O1770" s="343">
        <f t="shared" si="516"/>
        <v>53.69</v>
      </c>
      <c r="P1770" s="195" t="s">
        <v>5554</v>
      </c>
      <c r="Q1770" s="326" t="str">
        <f>IFERROR(VLOOKUP($G1770,主力整理!$A$2:$G$2301,6,0),"0")</f>
        <v>0</v>
      </c>
      <c r="T1770" s="339">
        <f t="shared" si="517"/>
        <v>0</v>
      </c>
      <c r="V1770" s="371">
        <v>28.63</v>
      </c>
      <c r="W1770" s="35">
        <v>0</v>
      </c>
      <c r="X1770" s="100">
        <v>-1.1299999999999999</v>
      </c>
      <c r="Y1770" s="14" t="str">
        <f>RTD("money.excel",,"3064","Price")</f>
        <v>無資料</v>
      </c>
      <c r="Z1770" s="69"/>
      <c r="AA1770" s="16" t="e">
        <f t="shared" si="518"/>
        <v>#VALUE!</v>
      </c>
      <c r="AB1770" s="3" t="e">
        <f t="shared" si="519"/>
        <v>#VALUE!</v>
      </c>
      <c r="AD1770" s="17" t="s">
        <v>133</v>
      </c>
      <c r="AG1770" s="34">
        <f t="shared" si="520"/>
        <v>0</v>
      </c>
      <c r="AH1770" s="125" t="s">
        <v>3732</v>
      </c>
      <c r="AI1770" s="131"/>
      <c r="AK1770" s="66">
        <f t="shared" ref="AK1770:AK1793" si="521">AM1770/(A1770*10000)</f>
        <v>0</v>
      </c>
      <c r="AL1770" s="174">
        <f t="shared" ref="AL1770:AL1793" si="522">AN1770/(A1770*10000)</f>
        <v>0</v>
      </c>
      <c r="AM1770" s="346">
        <f>RTD("money.excel",,$G1770,"PredictVolume")</f>
        <v>0</v>
      </c>
      <c r="AN1770" s="272">
        <f>RTD("money.excel",,$G1770,"CumulativeVolume")</f>
        <v>0</v>
      </c>
      <c r="AO1770" s="284"/>
    </row>
    <row r="1771" spans="1:41">
      <c r="A1771" s="151" t="s">
        <v>2785</v>
      </c>
      <c r="B1771" s="85">
        <v>-83</v>
      </c>
      <c r="C1771" s="85">
        <v>-112</v>
      </c>
      <c r="D1771" s="85">
        <v>-6</v>
      </c>
      <c r="E1771" s="85">
        <v>-37</v>
      </c>
      <c r="F1771" s="59">
        <v>-2.1800000000000002</v>
      </c>
      <c r="G1771" s="85">
        <v>3083</v>
      </c>
      <c r="H1771" s="4" t="s">
        <v>1664</v>
      </c>
      <c r="I1771" s="17" t="s">
        <v>134</v>
      </c>
      <c r="J1771" s="371">
        <v>53.25</v>
      </c>
      <c r="K1771" s="77">
        <v>2.8</v>
      </c>
      <c r="L1771" s="77">
        <v>15.05</v>
      </c>
      <c r="N1771" s="365">
        <f t="shared" si="515"/>
        <v>71.099999999999994</v>
      </c>
      <c r="O1771" s="343">
        <f t="shared" si="516"/>
        <v>53.25</v>
      </c>
      <c r="P1771" s="195" t="s">
        <v>5554</v>
      </c>
      <c r="Q1771" s="326" t="str">
        <f>IFERROR(VLOOKUP($G1771,主力整理!$A$2:$G$2301,6,0),"0")</f>
        <v>0</v>
      </c>
      <c r="T1771" s="339">
        <f t="shared" si="517"/>
        <v>0</v>
      </c>
      <c r="V1771" s="371">
        <v>1.26</v>
      </c>
      <c r="W1771" s="35">
        <v>0</v>
      </c>
      <c r="X1771" s="59">
        <v>0.01</v>
      </c>
      <c r="Y1771" s="37" t="str">
        <f>RTD("money.excel",,"3083","Price")</f>
        <v>無資料</v>
      </c>
      <c r="Z1771" s="69"/>
      <c r="AA1771" s="16" t="e">
        <f t="shared" si="518"/>
        <v>#VALUE!</v>
      </c>
      <c r="AB1771" s="3" t="e">
        <f t="shared" si="519"/>
        <v>#VALUE!</v>
      </c>
      <c r="AC1771" s="177" t="s">
        <v>2648</v>
      </c>
      <c r="AD1771" s="17" t="s">
        <v>134</v>
      </c>
      <c r="AG1771" s="34">
        <f t="shared" si="520"/>
        <v>0</v>
      </c>
      <c r="AH1771" s="125" t="s">
        <v>3177</v>
      </c>
      <c r="AI1771" s="131"/>
      <c r="AK1771" s="66">
        <f t="shared" si="521"/>
        <v>0</v>
      </c>
      <c r="AL1771" s="174">
        <f t="shared" si="522"/>
        <v>0</v>
      </c>
      <c r="AM1771" s="346">
        <f>RTD("money.excel",,$G1771,"PredictVolume")</f>
        <v>0</v>
      </c>
      <c r="AN1771" s="272">
        <f>RTD("money.excel",,$G1771,"CumulativeVolume")</f>
        <v>0</v>
      </c>
      <c r="AO1771" s="284"/>
    </row>
    <row r="1772" spans="1:41">
      <c r="A1772" s="151" t="s">
        <v>3479</v>
      </c>
      <c r="B1772" s="99">
        <v>-1876</v>
      </c>
      <c r="C1772" s="99">
        <v>-2122</v>
      </c>
      <c r="D1772" s="84">
        <v>38</v>
      </c>
      <c r="E1772" s="84">
        <v>115</v>
      </c>
      <c r="F1772" s="7">
        <v>-6.55</v>
      </c>
      <c r="G1772" s="85">
        <v>3086</v>
      </c>
      <c r="H1772" s="4" t="s">
        <v>1664</v>
      </c>
      <c r="I1772" s="17" t="s">
        <v>135</v>
      </c>
      <c r="J1772" s="77">
        <v>71.739999999999995</v>
      </c>
      <c r="K1772" s="77">
        <v>28.75</v>
      </c>
      <c r="L1772" s="371"/>
      <c r="N1772" s="365">
        <f t="shared" si="515"/>
        <v>100.49</v>
      </c>
      <c r="O1772" s="343">
        <f t="shared" si="516"/>
        <v>71.739999999999995</v>
      </c>
      <c r="P1772" s="195" t="s">
        <v>5554</v>
      </c>
      <c r="Q1772" s="326" t="str">
        <f>IFERROR(VLOOKUP($G1772,主力整理!$A$2:$G$2301,6,0),"0")</f>
        <v>0</v>
      </c>
      <c r="T1772" s="339">
        <f t="shared" si="517"/>
        <v>0</v>
      </c>
      <c r="W1772" s="35">
        <v>0</v>
      </c>
      <c r="X1772" s="100">
        <v>0.04</v>
      </c>
      <c r="Y1772" s="37" t="str">
        <f>RTD("money.excel",,"3086","Price")</f>
        <v>無資料</v>
      </c>
      <c r="Z1772" s="69"/>
      <c r="AA1772" s="16" t="e">
        <f t="shared" si="518"/>
        <v>#VALUE!</v>
      </c>
      <c r="AB1772" s="3" t="e">
        <f t="shared" si="519"/>
        <v>#VALUE!</v>
      </c>
      <c r="AC1772" s="177" t="s">
        <v>2648</v>
      </c>
      <c r="AD1772" s="17" t="s">
        <v>135</v>
      </c>
      <c r="AG1772" s="34">
        <f t="shared" si="520"/>
        <v>0</v>
      </c>
      <c r="AH1772" s="125" t="s">
        <v>3694</v>
      </c>
      <c r="AI1772" s="131"/>
      <c r="AK1772" s="66">
        <f t="shared" si="521"/>
        <v>0</v>
      </c>
      <c r="AL1772" s="174">
        <f t="shared" si="522"/>
        <v>0</v>
      </c>
      <c r="AM1772" s="346">
        <f>RTD("money.excel",,$G1772,"PredictVolume")</f>
        <v>0</v>
      </c>
      <c r="AN1772" s="272">
        <f>RTD("money.excel",,$G1772,"CumulativeVolume")</f>
        <v>0</v>
      </c>
      <c r="AO1772" s="284"/>
    </row>
    <row r="1773" spans="1:41">
      <c r="A1773" s="135" t="s">
        <v>2808</v>
      </c>
      <c r="B1773" s="84">
        <v>49</v>
      </c>
      <c r="C1773" s="84">
        <v>55</v>
      </c>
      <c r="D1773" s="85">
        <v>-1</v>
      </c>
      <c r="E1773" s="84">
        <v>31</v>
      </c>
      <c r="F1773" s="59">
        <v>52.14</v>
      </c>
      <c r="G1773" s="85">
        <v>3293</v>
      </c>
      <c r="H1773" s="4" t="s">
        <v>1664</v>
      </c>
      <c r="I1773" s="17" t="s">
        <v>479</v>
      </c>
      <c r="J1773" s="77">
        <v>28.35</v>
      </c>
      <c r="K1773" s="371">
        <v>29.16</v>
      </c>
      <c r="L1773" s="77">
        <v>11.91</v>
      </c>
      <c r="N1773" s="365">
        <f t="shared" si="515"/>
        <v>69.42</v>
      </c>
      <c r="O1773" s="343">
        <f t="shared" si="516"/>
        <v>28.35</v>
      </c>
      <c r="P1773" s="195">
        <v>12</v>
      </c>
      <c r="Q1773" s="326">
        <f>IFERROR(VLOOKUP($G1773,主力整理!$A$2:$G$2301,6,0),"0")</f>
        <v>1</v>
      </c>
      <c r="R1773" s="111">
        <v>7</v>
      </c>
      <c r="S1773" s="51">
        <v>13</v>
      </c>
      <c r="T1773" s="339">
        <f t="shared" si="517"/>
        <v>33</v>
      </c>
      <c r="V1773" s="371">
        <v>1.53</v>
      </c>
      <c r="W1773" s="69">
        <v>42</v>
      </c>
      <c r="X1773" s="100">
        <v>59.47</v>
      </c>
      <c r="Y1773" s="37" t="str">
        <f>RTD("money.excel",,"3293","Price")</f>
        <v>無資料</v>
      </c>
      <c r="Z1773" s="69"/>
      <c r="AA1773" s="16" t="e">
        <f t="shared" si="518"/>
        <v>#VALUE!</v>
      </c>
      <c r="AB1773" s="3" t="e">
        <f t="shared" si="519"/>
        <v>#VALUE!</v>
      </c>
      <c r="AC1773" s="177" t="s">
        <v>2929</v>
      </c>
      <c r="AD1773" s="17" t="s">
        <v>479</v>
      </c>
      <c r="AG1773" s="34">
        <f t="shared" si="520"/>
        <v>0</v>
      </c>
      <c r="AH1773" s="126" t="s">
        <v>3694</v>
      </c>
      <c r="AI1773" s="131"/>
      <c r="AK1773" s="66">
        <f t="shared" si="521"/>
        <v>0</v>
      </c>
      <c r="AL1773" s="174">
        <f t="shared" si="522"/>
        <v>0</v>
      </c>
      <c r="AM1773" s="346">
        <f>RTD("money.excel",,$G1773,"PredictVolume")</f>
        <v>0</v>
      </c>
      <c r="AN1773" s="272">
        <f>RTD("money.excel",,$G1773,"CumulativeVolume")</f>
        <v>0</v>
      </c>
      <c r="AO1773" s="284"/>
    </row>
    <row r="1774" spans="1:41">
      <c r="A1774" s="135" t="s">
        <v>6443</v>
      </c>
      <c r="B1774" s="84">
        <v>16</v>
      </c>
      <c r="C1774" s="84">
        <v>27</v>
      </c>
      <c r="D1774" s="84">
        <v>36</v>
      </c>
      <c r="E1774" s="84">
        <v>19</v>
      </c>
      <c r="F1774" s="59">
        <v>23.43</v>
      </c>
      <c r="G1774" s="85">
        <v>3546</v>
      </c>
      <c r="H1774" s="4" t="s">
        <v>1664</v>
      </c>
      <c r="I1774" s="17" t="s">
        <v>136</v>
      </c>
      <c r="J1774" s="371">
        <v>21.32</v>
      </c>
      <c r="K1774" s="371">
        <v>9.4600000000000009</v>
      </c>
      <c r="L1774" s="77">
        <v>24.39</v>
      </c>
      <c r="M1774" s="371">
        <v>10.68</v>
      </c>
      <c r="N1774" s="365">
        <f t="shared" si="515"/>
        <v>65.849999999999994</v>
      </c>
      <c r="O1774" s="343">
        <f t="shared" si="516"/>
        <v>32</v>
      </c>
      <c r="P1774" s="195">
        <v>23</v>
      </c>
      <c r="Q1774" s="326">
        <v>2</v>
      </c>
      <c r="R1774" s="111">
        <v>16</v>
      </c>
      <c r="S1774" s="51">
        <v>15</v>
      </c>
      <c r="T1774" s="339">
        <f t="shared" si="517"/>
        <v>56</v>
      </c>
      <c r="U1774" s="329" t="s">
        <v>6540</v>
      </c>
      <c r="V1774" s="371">
        <v>0.9</v>
      </c>
      <c r="W1774" s="69">
        <v>5.18</v>
      </c>
      <c r="X1774" s="100">
        <v>6.82</v>
      </c>
      <c r="Y1774" s="37" t="str">
        <f>RTD("money.excel",,"3546","Price")</f>
        <v>無資料</v>
      </c>
      <c r="Z1774" s="69"/>
      <c r="AA1774" s="16" t="e">
        <f t="shared" si="518"/>
        <v>#VALUE!</v>
      </c>
      <c r="AB1774" s="3" t="e">
        <f t="shared" si="519"/>
        <v>#VALUE!</v>
      </c>
      <c r="AC1774" s="177" t="s">
        <v>2929</v>
      </c>
      <c r="AD1774" s="17" t="s">
        <v>136</v>
      </c>
      <c r="AG1774" s="34">
        <f t="shared" si="520"/>
        <v>0</v>
      </c>
      <c r="AH1774" s="126" t="s">
        <v>4962</v>
      </c>
      <c r="AI1774" s="131"/>
      <c r="AK1774" s="66">
        <f t="shared" si="521"/>
        <v>0</v>
      </c>
      <c r="AL1774" s="174">
        <f t="shared" si="522"/>
        <v>0</v>
      </c>
      <c r="AM1774" s="346">
        <f>RTD("money.excel",,$G1774,"PredictVolume")</f>
        <v>0</v>
      </c>
      <c r="AN1774" s="272">
        <f>RTD("money.excel",,$G1774,"CumulativeVolume")</f>
        <v>0</v>
      </c>
      <c r="AO1774" s="284"/>
    </row>
    <row r="1775" spans="1:41">
      <c r="A1775" s="135" t="s">
        <v>4616</v>
      </c>
      <c r="B1775" s="96">
        <v>734</v>
      </c>
      <c r="C1775" s="145">
        <v>1285</v>
      </c>
      <c r="D1775" s="96">
        <v>-48</v>
      </c>
      <c r="E1775" s="96">
        <v>-50</v>
      </c>
      <c r="F1775" s="59">
        <v>12.01</v>
      </c>
      <c r="G1775" s="85">
        <v>3629</v>
      </c>
      <c r="H1775" s="4" t="s">
        <v>1664</v>
      </c>
      <c r="I1775" s="17" t="s">
        <v>4773</v>
      </c>
      <c r="J1775" s="77">
        <v>83.03</v>
      </c>
      <c r="K1775" s="77">
        <v>3.62</v>
      </c>
      <c r="L1775" s="77">
        <v>0.03</v>
      </c>
      <c r="N1775" s="365">
        <f t="shared" si="515"/>
        <v>86.68</v>
      </c>
      <c r="O1775" s="343">
        <f t="shared" si="516"/>
        <v>83.03</v>
      </c>
      <c r="P1775" s="195" t="s">
        <v>5554</v>
      </c>
      <c r="Q1775" s="326" t="str">
        <f>IFERROR(VLOOKUP($G1775,主力整理!$A$2:$G$2301,6,0),"0")</f>
        <v>0</v>
      </c>
      <c r="T1775" s="339">
        <f t="shared" si="517"/>
        <v>0</v>
      </c>
      <c r="V1775" s="371">
        <v>58.96</v>
      </c>
      <c r="W1775" s="35">
        <v>0</v>
      </c>
      <c r="X1775" s="100">
        <v>0.7</v>
      </c>
      <c r="Y1775" s="14" t="str">
        <f>RTD("money.excel",,"3629","Price")</f>
        <v>無資料</v>
      </c>
      <c r="Z1775" s="69"/>
      <c r="AA1775" s="16" t="e">
        <f t="shared" si="518"/>
        <v>#VALUE!</v>
      </c>
      <c r="AB1775" s="3" t="e">
        <f t="shared" si="519"/>
        <v>#VALUE!</v>
      </c>
      <c r="AD1775" s="17" t="s">
        <v>4773</v>
      </c>
      <c r="AG1775" s="34">
        <f t="shared" si="520"/>
        <v>0</v>
      </c>
      <c r="AH1775" s="63" t="s">
        <v>4774</v>
      </c>
      <c r="AI1775" s="131"/>
      <c r="AK1775" s="66">
        <f t="shared" si="521"/>
        <v>0</v>
      </c>
      <c r="AL1775" s="174">
        <f t="shared" si="522"/>
        <v>0</v>
      </c>
      <c r="AM1775" s="346">
        <f>RTD("money.excel",,$G1775,"PredictVolume")</f>
        <v>0</v>
      </c>
      <c r="AN1775" s="272">
        <f>RTD("money.excel",,$G1775,"CumulativeVolume")</f>
        <v>0</v>
      </c>
      <c r="AO1775" s="284"/>
    </row>
    <row r="1776" spans="1:41">
      <c r="A1776" s="151" t="s">
        <v>3318</v>
      </c>
      <c r="B1776" s="85">
        <v>-383</v>
      </c>
      <c r="C1776" s="85">
        <v>-207</v>
      </c>
      <c r="D1776" s="85">
        <v>-13</v>
      </c>
      <c r="E1776" s="85">
        <v>-13</v>
      </c>
      <c r="F1776" s="59">
        <v>-62.63</v>
      </c>
      <c r="G1776" s="85">
        <v>4803</v>
      </c>
      <c r="H1776" s="4" t="s">
        <v>1664</v>
      </c>
      <c r="I1776" s="17" t="s">
        <v>527</v>
      </c>
      <c r="J1776" s="77">
        <v>39.35</v>
      </c>
      <c r="K1776" s="77">
        <v>41.37</v>
      </c>
      <c r="L1776" s="371">
        <v>29.84</v>
      </c>
      <c r="N1776" s="365">
        <f t="shared" si="515"/>
        <v>110.56</v>
      </c>
      <c r="O1776" s="343">
        <f t="shared" si="516"/>
        <v>39.35</v>
      </c>
      <c r="P1776" s="195" t="s">
        <v>5554</v>
      </c>
      <c r="Q1776" s="326" t="str">
        <f>IFERROR(VLOOKUP($G1776,主力整理!$A$2:$G$2301,6,0),"0")</f>
        <v>0</v>
      </c>
      <c r="T1776" s="339">
        <f t="shared" si="517"/>
        <v>0</v>
      </c>
      <c r="V1776" s="371">
        <v>24.41</v>
      </c>
      <c r="W1776" s="35">
        <v>0</v>
      </c>
      <c r="X1776" s="100">
        <v>-28.88</v>
      </c>
      <c r="Y1776" s="14" t="str">
        <f>RTD("money.excel",,"4803","Price")</f>
        <v>商品錯誤</v>
      </c>
      <c r="Z1776" s="69"/>
      <c r="AA1776" s="16" t="e">
        <f t="shared" si="518"/>
        <v>#VALUE!</v>
      </c>
      <c r="AB1776" s="3" t="e">
        <f t="shared" si="519"/>
        <v>#VALUE!</v>
      </c>
      <c r="AD1776" s="17" t="s">
        <v>527</v>
      </c>
      <c r="AG1776" s="34">
        <f t="shared" si="520"/>
        <v>0</v>
      </c>
      <c r="AH1776" s="44" t="s">
        <v>3735</v>
      </c>
      <c r="AI1776" s="131"/>
      <c r="AK1776" s="66" t="e">
        <f t="shared" si="521"/>
        <v>#VALUE!</v>
      </c>
      <c r="AL1776" s="174" t="e">
        <f t="shared" si="522"/>
        <v>#VALUE!</v>
      </c>
      <c r="AM1776" s="346" t="str">
        <f>RTD("money.excel",,$G1776,"PredictVolume")</f>
        <v>商品錯誤</v>
      </c>
      <c r="AN1776" s="272" t="str">
        <f>RTD("money.excel",,$G1776,"CumulativeVolume")</f>
        <v>商品錯誤</v>
      </c>
      <c r="AO1776" s="284"/>
    </row>
    <row r="1777" spans="1:41">
      <c r="A1777" s="151" t="s">
        <v>4606</v>
      </c>
      <c r="B1777" s="96">
        <v>31</v>
      </c>
      <c r="C1777" s="96">
        <v>27</v>
      </c>
      <c r="D1777" s="96">
        <v>-74</v>
      </c>
      <c r="E1777" s="96">
        <v>-70</v>
      </c>
      <c r="F1777" s="7">
        <v>-69.28</v>
      </c>
      <c r="G1777" s="85">
        <v>4806</v>
      </c>
      <c r="H1777" s="4" t="s">
        <v>1664</v>
      </c>
      <c r="I1777" s="17" t="s">
        <v>1665</v>
      </c>
      <c r="J1777" s="77">
        <v>52.94</v>
      </c>
      <c r="K1777" s="77">
        <v>12.71</v>
      </c>
      <c r="L1777" s="77">
        <v>0</v>
      </c>
      <c r="N1777" s="365">
        <f t="shared" si="515"/>
        <v>65.650000000000006</v>
      </c>
      <c r="O1777" s="343">
        <f t="shared" si="516"/>
        <v>52.94</v>
      </c>
      <c r="P1777" s="195" t="s">
        <v>5554</v>
      </c>
      <c r="Q1777" s="326" t="str">
        <f>IFERROR(VLOOKUP($G1777,主力整理!$A$2:$G$2301,6,0),"0")</f>
        <v>0</v>
      </c>
      <c r="T1777" s="339">
        <f t="shared" si="517"/>
        <v>0</v>
      </c>
      <c r="V1777" s="371">
        <v>11.33</v>
      </c>
      <c r="W1777" s="35">
        <v>0</v>
      </c>
      <c r="X1777" s="100">
        <v>-2.77</v>
      </c>
      <c r="Y1777" s="14" t="str">
        <f>RTD("money.excel",,"4806","Price")</f>
        <v>無資料</v>
      </c>
      <c r="Z1777" s="69"/>
      <c r="AA1777" s="16" t="e">
        <f t="shared" si="518"/>
        <v>#VALUE!</v>
      </c>
      <c r="AB1777" s="3" t="e">
        <f t="shared" si="519"/>
        <v>#VALUE!</v>
      </c>
      <c r="AD1777" s="17" t="s">
        <v>1665</v>
      </c>
      <c r="AG1777" s="34">
        <f t="shared" si="520"/>
        <v>0</v>
      </c>
      <c r="AH1777" s="44" t="s">
        <v>3736</v>
      </c>
      <c r="AI1777" s="284"/>
      <c r="AK1777" s="66">
        <f t="shared" si="521"/>
        <v>0</v>
      </c>
      <c r="AL1777" s="174">
        <f t="shared" si="522"/>
        <v>0</v>
      </c>
      <c r="AM1777" s="346">
        <f>RTD("money.excel",,$G1777,"PredictVolume")</f>
        <v>0</v>
      </c>
      <c r="AN1777" s="272">
        <f>RTD("money.excel",,$G1777,"CumulativeVolume")</f>
        <v>0</v>
      </c>
      <c r="AO1777" s="284"/>
    </row>
    <row r="1778" spans="1:41">
      <c r="A1778" s="151" t="s">
        <v>2693</v>
      </c>
      <c r="B1778" s="96">
        <v>50</v>
      </c>
      <c r="C1778" s="96">
        <v>55</v>
      </c>
      <c r="D1778" s="96">
        <v>-32</v>
      </c>
      <c r="E1778" s="96">
        <v>-93</v>
      </c>
      <c r="F1778" s="7">
        <v>-52.05</v>
      </c>
      <c r="G1778" s="85">
        <v>4946</v>
      </c>
      <c r="H1778" s="4" t="s">
        <v>1664</v>
      </c>
      <c r="I1778" s="17" t="s">
        <v>138</v>
      </c>
      <c r="J1778" s="77">
        <v>28.9</v>
      </c>
      <c r="K1778" s="77">
        <v>19.21</v>
      </c>
      <c r="N1778" s="365">
        <f t="shared" si="515"/>
        <v>48.11</v>
      </c>
      <c r="O1778" s="343">
        <f t="shared" si="516"/>
        <v>28.9</v>
      </c>
      <c r="P1778" s="195" t="s">
        <v>5554</v>
      </c>
      <c r="Q1778" s="326" t="str">
        <f>IFERROR(VLOOKUP($G1778,主力整理!$A$2:$G$2301,6,0),"0")</f>
        <v>0</v>
      </c>
      <c r="T1778" s="339">
        <f t="shared" si="517"/>
        <v>0</v>
      </c>
      <c r="V1778" s="371">
        <v>27.62</v>
      </c>
      <c r="W1778" s="35">
        <v>0</v>
      </c>
      <c r="X1778" s="100">
        <v>-3.27</v>
      </c>
      <c r="Y1778" s="37" t="str">
        <f>RTD("money.excel",,"4946","Price")</f>
        <v>無資料</v>
      </c>
      <c r="Z1778" s="69"/>
      <c r="AA1778" s="16" t="e">
        <f t="shared" si="518"/>
        <v>#VALUE!</v>
      </c>
      <c r="AB1778" s="3" t="e">
        <f t="shared" si="519"/>
        <v>#VALUE!</v>
      </c>
      <c r="AD1778" s="17" t="s">
        <v>138</v>
      </c>
      <c r="AG1778" s="34">
        <f t="shared" si="520"/>
        <v>0</v>
      </c>
      <c r="AH1778" s="125" t="s">
        <v>3694</v>
      </c>
      <c r="AI1778" s="131"/>
      <c r="AK1778" s="66">
        <f t="shared" si="521"/>
        <v>0</v>
      </c>
      <c r="AL1778" s="174">
        <f t="shared" si="522"/>
        <v>0</v>
      </c>
      <c r="AM1778" s="346">
        <f>RTD("money.excel",,$G1778,"PredictVolume")</f>
        <v>0</v>
      </c>
      <c r="AN1778" s="272">
        <f>RTD("money.excel",,$G1778,"CumulativeVolume")</f>
        <v>0</v>
      </c>
      <c r="AO1778" s="284"/>
    </row>
    <row r="1779" spans="1:41">
      <c r="A1779" s="151" t="s">
        <v>2508</v>
      </c>
      <c r="B1779" s="85">
        <v>-113</v>
      </c>
      <c r="C1779" s="85">
        <v>-105</v>
      </c>
      <c r="D1779" s="85">
        <v>-28</v>
      </c>
      <c r="E1779" s="85">
        <v>-58</v>
      </c>
      <c r="F1779" s="7">
        <v>-2.12</v>
      </c>
      <c r="G1779" s="85">
        <v>5263</v>
      </c>
      <c r="H1779" s="4" t="s">
        <v>1664</v>
      </c>
      <c r="I1779" s="17" t="s">
        <v>399</v>
      </c>
      <c r="J1779" s="77">
        <v>45.41</v>
      </c>
      <c r="K1779" s="77">
        <v>11.57</v>
      </c>
      <c r="L1779" s="371">
        <v>22.23</v>
      </c>
      <c r="N1779" s="365">
        <f t="shared" si="515"/>
        <v>79.209999999999994</v>
      </c>
      <c r="O1779" s="343">
        <f t="shared" si="516"/>
        <v>45.41</v>
      </c>
      <c r="P1779" s="195">
        <v>1</v>
      </c>
      <c r="Q1779" s="326" t="str">
        <f>IFERROR(VLOOKUP($G1779,主力整理!$A$2:$G$2301,6,0),"0")</f>
        <v>0</v>
      </c>
      <c r="T1779" s="339">
        <f t="shared" si="517"/>
        <v>1</v>
      </c>
      <c r="V1779" s="371">
        <v>3.1</v>
      </c>
      <c r="W1779" s="35">
        <v>0</v>
      </c>
      <c r="X1779" s="100">
        <v>-0.88</v>
      </c>
      <c r="Y1779" s="37" t="str">
        <f>RTD("money.excel",,"5263","Price")</f>
        <v>無資料</v>
      </c>
      <c r="Z1779" s="69"/>
      <c r="AA1779" s="16" t="e">
        <f t="shared" si="518"/>
        <v>#VALUE!</v>
      </c>
      <c r="AB1779" s="3" t="e">
        <f t="shared" si="519"/>
        <v>#VALUE!</v>
      </c>
      <c r="AD1779" s="17" t="s">
        <v>399</v>
      </c>
      <c r="AG1779" s="34">
        <f t="shared" si="520"/>
        <v>0</v>
      </c>
      <c r="AH1779" s="125" t="s">
        <v>4236</v>
      </c>
      <c r="AI1779" s="131"/>
      <c r="AK1779" s="66">
        <f t="shared" si="521"/>
        <v>0</v>
      </c>
      <c r="AL1779" s="174">
        <f t="shared" si="522"/>
        <v>0</v>
      </c>
      <c r="AM1779" s="346">
        <f>RTD("money.excel",,$G1779,"PredictVolume")</f>
        <v>0</v>
      </c>
      <c r="AN1779" s="272">
        <f>RTD("money.excel",,$G1779,"CumulativeVolume")</f>
        <v>0</v>
      </c>
      <c r="AO1779" s="284"/>
    </row>
    <row r="1780" spans="1:41">
      <c r="A1780" s="135" t="s">
        <v>2310</v>
      </c>
      <c r="B1780" s="85">
        <v>-13</v>
      </c>
      <c r="C1780" s="85">
        <v>-7</v>
      </c>
      <c r="D1780" s="85">
        <v>-10</v>
      </c>
      <c r="E1780" s="85">
        <v>-20</v>
      </c>
      <c r="F1780" s="59">
        <v>15.49</v>
      </c>
      <c r="G1780" s="85">
        <v>5478</v>
      </c>
      <c r="H1780" s="4" t="s">
        <v>1664</v>
      </c>
      <c r="I1780" s="17" t="s">
        <v>402</v>
      </c>
      <c r="J1780" s="77">
        <v>59.29</v>
      </c>
      <c r="K1780" s="77">
        <v>33.090000000000003</v>
      </c>
      <c r="L1780" s="77">
        <v>4.46</v>
      </c>
      <c r="M1780" s="371">
        <v>17.239999999999998</v>
      </c>
      <c r="N1780" s="365">
        <f t="shared" si="515"/>
        <v>114.07999999999998</v>
      </c>
      <c r="O1780" s="343">
        <f t="shared" si="516"/>
        <v>76.53</v>
      </c>
      <c r="P1780" s="195">
        <v>19</v>
      </c>
      <c r="Q1780" s="326">
        <v>0</v>
      </c>
      <c r="R1780" s="111">
        <v>5</v>
      </c>
      <c r="S1780" s="51">
        <v>1</v>
      </c>
      <c r="T1780" s="339">
        <f t="shared" si="517"/>
        <v>25</v>
      </c>
      <c r="U1780" s="329" t="s">
        <v>6538</v>
      </c>
      <c r="V1780" s="371">
        <v>0.91</v>
      </c>
      <c r="W1780" s="69">
        <v>6</v>
      </c>
      <c r="X1780" s="59">
        <v>6.89</v>
      </c>
      <c r="Y1780" s="37" t="str">
        <f>RTD("money.excel",,"5478","Price")</f>
        <v>無資料</v>
      </c>
      <c r="Z1780" s="69"/>
      <c r="AA1780" s="16" t="e">
        <f t="shared" si="518"/>
        <v>#VALUE!</v>
      </c>
      <c r="AB1780" s="3" t="e">
        <f t="shared" si="519"/>
        <v>#VALUE!</v>
      </c>
      <c r="AC1780" s="177" t="s">
        <v>2929</v>
      </c>
      <c r="AD1780" s="17" t="s">
        <v>402</v>
      </c>
      <c r="AG1780" s="34">
        <f t="shared" si="520"/>
        <v>0</v>
      </c>
      <c r="AH1780" s="126" t="s">
        <v>3694</v>
      </c>
      <c r="AI1780" s="131"/>
      <c r="AK1780" s="66">
        <f t="shared" si="521"/>
        <v>0</v>
      </c>
      <c r="AL1780" s="174">
        <f t="shared" si="522"/>
        <v>0</v>
      </c>
      <c r="AM1780" s="346">
        <f>RTD("money.excel",,$G1780,"PredictVolume")</f>
        <v>0</v>
      </c>
      <c r="AN1780" s="272">
        <f>RTD("money.excel",,$G1780,"CumulativeVolume")</f>
        <v>0</v>
      </c>
      <c r="AO1780" s="284"/>
    </row>
    <row r="1781" spans="1:41">
      <c r="A1781" s="151" t="s">
        <v>2624</v>
      </c>
      <c r="B1781" s="96">
        <v>-485</v>
      </c>
      <c r="C1781" s="96">
        <v>-464</v>
      </c>
      <c r="D1781" s="96">
        <v>40</v>
      </c>
      <c r="E1781" s="96">
        <v>70</v>
      </c>
      <c r="F1781" s="77">
        <v>-106.06</v>
      </c>
      <c r="G1781" s="85">
        <v>6101</v>
      </c>
      <c r="H1781" s="4" t="s">
        <v>1664</v>
      </c>
      <c r="I1781" s="17" t="s">
        <v>1666</v>
      </c>
      <c r="J1781" s="77">
        <v>79.94</v>
      </c>
      <c r="K1781" s="77">
        <v>0.68</v>
      </c>
      <c r="L1781" s="77">
        <v>69.98</v>
      </c>
      <c r="N1781" s="365">
        <f t="shared" si="515"/>
        <v>150.60000000000002</v>
      </c>
      <c r="O1781" s="343">
        <f t="shared" si="516"/>
        <v>79.94</v>
      </c>
      <c r="P1781" s="195" t="s">
        <v>5554</v>
      </c>
      <c r="Q1781" s="326" t="str">
        <f>IFERROR(VLOOKUP($G1781,主力整理!$A$2:$G$2301,6,0),"0")</f>
        <v>0</v>
      </c>
      <c r="T1781" s="339">
        <f t="shared" si="517"/>
        <v>0</v>
      </c>
      <c r="V1781" s="371">
        <v>9.02</v>
      </c>
      <c r="W1781" s="35">
        <v>0</v>
      </c>
      <c r="X1781" s="100">
        <v>-0.98</v>
      </c>
      <c r="Y1781" s="14" t="str">
        <f>RTD("money.excel",,"6101","Price")</f>
        <v>無資料</v>
      </c>
      <c r="Z1781" s="69"/>
      <c r="AA1781" s="16" t="e">
        <f t="shared" si="518"/>
        <v>#VALUE!</v>
      </c>
      <c r="AB1781" s="3" t="e">
        <f t="shared" si="519"/>
        <v>#VALUE!</v>
      </c>
      <c r="AD1781" s="17" t="s">
        <v>1666</v>
      </c>
      <c r="AG1781" s="34">
        <f t="shared" si="520"/>
        <v>0</v>
      </c>
      <c r="AH1781" s="44" t="s">
        <v>4237</v>
      </c>
      <c r="AI1781" s="131"/>
      <c r="AK1781" s="66">
        <f t="shared" si="521"/>
        <v>0</v>
      </c>
      <c r="AL1781" s="174">
        <f t="shared" si="522"/>
        <v>0</v>
      </c>
      <c r="AM1781" s="346">
        <f>RTD("money.excel",,$G1781,"PredictVolume")</f>
        <v>0</v>
      </c>
      <c r="AN1781" s="272">
        <f>RTD("money.excel",,$G1781,"CumulativeVolume")</f>
        <v>0</v>
      </c>
      <c r="AO1781" s="284"/>
    </row>
    <row r="1782" spans="1:41">
      <c r="A1782" s="135" t="s">
        <v>2692</v>
      </c>
      <c r="B1782" s="85">
        <v>-202</v>
      </c>
      <c r="C1782" s="85">
        <v>-46</v>
      </c>
      <c r="D1782" s="84">
        <v>3</v>
      </c>
      <c r="E1782" s="84">
        <v>47</v>
      </c>
      <c r="F1782" s="59">
        <v>19.7</v>
      </c>
      <c r="G1782" s="85">
        <v>6111</v>
      </c>
      <c r="H1782" s="4" t="s">
        <v>1664</v>
      </c>
      <c r="I1782" s="17" t="s">
        <v>139</v>
      </c>
      <c r="J1782" s="77">
        <v>49.99</v>
      </c>
      <c r="K1782" s="77">
        <v>30.87</v>
      </c>
      <c r="L1782" s="77">
        <v>40.97</v>
      </c>
      <c r="M1782" s="371">
        <v>14.88</v>
      </c>
      <c r="N1782" s="77">
        <f t="shared" si="515"/>
        <v>136.71</v>
      </c>
      <c r="O1782" s="343">
        <f t="shared" si="516"/>
        <v>64.87</v>
      </c>
      <c r="P1782" s="195">
        <v>13</v>
      </c>
      <c r="Q1782" s="326">
        <v>2</v>
      </c>
      <c r="R1782" s="111">
        <v>10</v>
      </c>
      <c r="S1782" s="51">
        <v>13</v>
      </c>
      <c r="T1782" s="339">
        <f t="shared" si="517"/>
        <v>38</v>
      </c>
      <c r="U1782" s="329" t="s">
        <v>6539</v>
      </c>
      <c r="V1782" s="371">
        <v>1.2</v>
      </c>
      <c r="W1782" s="35">
        <v>0.6</v>
      </c>
      <c r="X1782" s="100">
        <v>0.13</v>
      </c>
      <c r="Y1782" s="37" t="str">
        <f>RTD("money.excel",,"6111","Price")</f>
        <v>無資料</v>
      </c>
      <c r="Z1782" s="69"/>
      <c r="AA1782" s="16" t="e">
        <f t="shared" si="518"/>
        <v>#VALUE!</v>
      </c>
      <c r="AB1782" s="3" t="e">
        <f t="shared" si="519"/>
        <v>#VALUE!</v>
      </c>
      <c r="AC1782" s="177" t="s">
        <v>2648</v>
      </c>
      <c r="AD1782" s="17" t="s">
        <v>139</v>
      </c>
      <c r="AG1782" s="34">
        <f t="shared" si="520"/>
        <v>0</v>
      </c>
      <c r="AH1782" s="126" t="s">
        <v>3694</v>
      </c>
      <c r="AI1782" s="131"/>
      <c r="AK1782" s="66">
        <f t="shared" si="521"/>
        <v>0</v>
      </c>
      <c r="AL1782" s="174">
        <f t="shared" si="522"/>
        <v>0</v>
      </c>
      <c r="AM1782" s="346">
        <f>RTD("money.excel",,$G1782,"PredictVolume")</f>
        <v>0</v>
      </c>
      <c r="AN1782" s="272">
        <f>RTD("money.excel",,$G1782,"CumulativeVolume")</f>
        <v>0</v>
      </c>
      <c r="AO1782" s="284"/>
    </row>
    <row r="1783" spans="1:41">
      <c r="A1783" s="151" t="s">
        <v>3557</v>
      </c>
      <c r="B1783" s="96">
        <v>90</v>
      </c>
      <c r="C1783" s="96">
        <v>72</v>
      </c>
      <c r="D1783" s="96">
        <v>1</v>
      </c>
      <c r="E1783" s="96">
        <v>-32</v>
      </c>
      <c r="F1783" s="7">
        <v>-5.75</v>
      </c>
      <c r="G1783" s="85">
        <v>6144</v>
      </c>
      <c r="H1783" s="4" t="s">
        <v>1664</v>
      </c>
      <c r="I1783" s="17" t="s">
        <v>1667</v>
      </c>
      <c r="J1783" s="77">
        <v>94.9</v>
      </c>
      <c r="K1783" s="77">
        <v>34.82</v>
      </c>
      <c r="N1783" s="365">
        <f t="shared" si="515"/>
        <v>129.72</v>
      </c>
      <c r="O1783" s="343">
        <f t="shared" si="516"/>
        <v>94.9</v>
      </c>
      <c r="P1783" s="195" t="s">
        <v>5554</v>
      </c>
      <c r="Q1783" s="326" t="str">
        <f>IFERROR(VLOOKUP($G1783,主力整理!$A$2:$G$2301,6,0),"0")</f>
        <v>0</v>
      </c>
      <c r="T1783" s="339">
        <f t="shared" si="517"/>
        <v>0</v>
      </c>
      <c r="V1783" s="371">
        <v>52.02</v>
      </c>
      <c r="W1783" s="35">
        <v>0</v>
      </c>
      <c r="X1783" s="100">
        <v>0.05</v>
      </c>
      <c r="Y1783" s="14" t="str">
        <f>RTD("money.excel",,"6144","Price")</f>
        <v>無資料</v>
      </c>
      <c r="Z1783" s="69"/>
      <c r="AA1783" s="16" t="e">
        <f t="shared" si="518"/>
        <v>#VALUE!</v>
      </c>
      <c r="AB1783" s="3" t="e">
        <f t="shared" si="519"/>
        <v>#VALUE!</v>
      </c>
      <c r="AD1783" s="17" t="s">
        <v>1667</v>
      </c>
      <c r="AG1783" s="34">
        <f t="shared" si="520"/>
        <v>0</v>
      </c>
      <c r="AH1783" s="44" t="s">
        <v>4238</v>
      </c>
      <c r="AI1783" s="284"/>
      <c r="AK1783" s="66">
        <f t="shared" si="521"/>
        <v>0</v>
      </c>
      <c r="AL1783" s="174">
        <f t="shared" si="522"/>
        <v>0</v>
      </c>
      <c r="AM1783" s="346">
        <f>RTD("money.excel",,$G1783,"PredictVolume")</f>
        <v>0</v>
      </c>
      <c r="AN1783" s="272">
        <f>RTD("money.excel",,$G1783,"CumulativeVolume")</f>
        <v>0</v>
      </c>
      <c r="AO1783" s="284"/>
    </row>
    <row r="1784" spans="1:41">
      <c r="A1784" s="151" t="s">
        <v>2211</v>
      </c>
      <c r="B1784" s="96">
        <v>57</v>
      </c>
      <c r="C1784" s="96">
        <v>63</v>
      </c>
      <c r="D1784" s="96">
        <v>14</v>
      </c>
      <c r="E1784" s="96">
        <v>-77</v>
      </c>
      <c r="F1784" s="7">
        <v>-23.77</v>
      </c>
      <c r="G1784" s="85">
        <v>6169</v>
      </c>
      <c r="H1784" s="4" t="s">
        <v>1664</v>
      </c>
      <c r="I1784" s="17" t="s">
        <v>140</v>
      </c>
      <c r="J1784" s="77">
        <v>32.79</v>
      </c>
      <c r="K1784" s="77">
        <v>0.8</v>
      </c>
      <c r="N1784" s="365">
        <f t="shared" si="515"/>
        <v>33.589999999999996</v>
      </c>
      <c r="O1784" s="343">
        <f t="shared" si="516"/>
        <v>32.79</v>
      </c>
      <c r="P1784" s="195" t="s">
        <v>5554</v>
      </c>
      <c r="Q1784" s="326" t="str">
        <f>IFERROR(VLOOKUP($G1784,主力整理!$A$2:$G$2301,6,0),"0")</f>
        <v>0</v>
      </c>
      <c r="T1784" s="339">
        <f t="shared" si="517"/>
        <v>0</v>
      </c>
      <c r="V1784" s="371">
        <v>26.76</v>
      </c>
      <c r="W1784" s="35">
        <v>0</v>
      </c>
      <c r="X1784" s="100">
        <v>-1.19</v>
      </c>
      <c r="Y1784" s="37" t="str">
        <f>RTD("money.excel",,"6169","Price")</f>
        <v>無資料</v>
      </c>
      <c r="Z1784" s="69"/>
      <c r="AA1784" s="16" t="e">
        <f t="shared" si="518"/>
        <v>#VALUE!</v>
      </c>
      <c r="AB1784" s="3" t="e">
        <f t="shared" si="519"/>
        <v>#VALUE!</v>
      </c>
      <c r="AD1784" s="17" t="s">
        <v>140</v>
      </c>
      <c r="AG1784" s="34">
        <f t="shared" si="520"/>
        <v>0</v>
      </c>
      <c r="AH1784" s="125" t="s">
        <v>3694</v>
      </c>
      <c r="AI1784" s="128"/>
      <c r="AK1784" s="66">
        <f t="shared" si="521"/>
        <v>0</v>
      </c>
      <c r="AL1784" s="174">
        <f t="shared" si="522"/>
        <v>0</v>
      </c>
      <c r="AM1784" s="346">
        <f>RTD("money.excel",,$G1784,"PredictVolume")</f>
        <v>0</v>
      </c>
      <c r="AN1784" s="272">
        <f>RTD("money.excel",,$G1784,"CumulativeVolume")</f>
        <v>0</v>
      </c>
      <c r="AO1784" s="34"/>
    </row>
    <row r="1785" spans="1:41">
      <c r="A1785" s="135" t="s">
        <v>2520</v>
      </c>
      <c r="B1785" s="84">
        <v>11</v>
      </c>
      <c r="C1785" s="84">
        <v>9</v>
      </c>
      <c r="D1785" s="85">
        <v>-1</v>
      </c>
      <c r="E1785" s="84">
        <v>29</v>
      </c>
      <c r="F1785" s="59">
        <v>14.12</v>
      </c>
      <c r="G1785" s="85">
        <v>6180</v>
      </c>
      <c r="H1785" s="4" t="s">
        <v>1664</v>
      </c>
      <c r="I1785" s="17" t="s">
        <v>141</v>
      </c>
      <c r="J1785" s="371">
        <v>39.71</v>
      </c>
      <c r="K1785" s="77">
        <v>15.97</v>
      </c>
      <c r="L1785" s="77">
        <v>11.07</v>
      </c>
      <c r="M1785" s="371">
        <v>20.77</v>
      </c>
      <c r="N1785" s="365">
        <f t="shared" si="515"/>
        <v>87.52</v>
      </c>
      <c r="O1785" s="343">
        <f t="shared" si="516"/>
        <v>60.480000000000004</v>
      </c>
      <c r="P1785" s="195">
        <v>19</v>
      </c>
      <c r="Q1785" s="326">
        <v>1</v>
      </c>
      <c r="R1785" s="111">
        <v>1</v>
      </c>
      <c r="S1785" s="51">
        <v>2</v>
      </c>
      <c r="T1785" s="339">
        <f t="shared" si="517"/>
        <v>23</v>
      </c>
      <c r="U1785" s="329" t="s">
        <v>6538</v>
      </c>
      <c r="V1785" s="371">
        <v>0.72</v>
      </c>
      <c r="W1785" s="69">
        <v>4</v>
      </c>
      <c r="X1785" s="100">
        <v>5.56</v>
      </c>
      <c r="Y1785" s="37" t="str">
        <f>RTD("money.excel",,"6180","Price")</f>
        <v>無資料</v>
      </c>
      <c r="Z1785" s="69"/>
      <c r="AA1785" s="16" t="e">
        <f t="shared" si="518"/>
        <v>#VALUE!</v>
      </c>
      <c r="AB1785" s="3" t="e">
        <f t="shared" si="519"/>
        <v>#VALUE!</v>
      </c>
      <c r="AC1785" s="177" t="s">
        <v>2929</v>
      </c>
      <c r="AD1785" s="17" t="s">
        <v>141</v>
      </c>
      <c r="AG1785" s="34">
        <f t="shared" si="520"/>
        <v>0</v>
      </c>
      <c r="AH1785" s="126" t="s">
        <v>4962</v>
      </c>
      <c r="AI1785" s="131"/>
      <c r="AK1785" s="66">
        <f t="shared" si="521"/>
        <v>0</v>
      </c>
      <c r="AL1785" s="174">
        <f t="shared" si="522"/>
        <v>0</v>
      </c>
      <c r="AM1785" s="346">
        <f>RTD("money.excel",,$G1785,"PredictVolume")</f>
        <v>0</v>
      </c>
      <c r="AN1785" s="272">
        <f>RTD("money.excel",,$G1785,"CumulativeVolume")</f>
        <v>0</v>
      </c>
      <c r="AO1785" s="284"/>
    </row>
    <row r="1786" spans="1:41">
      <c r="A1786" s="135" t="s">
        <v>2211</v>
      </c>
      <c r="B1786" s="84">
        <v>10</v>
      </c>
      <c r="C1786" s="84">
        <v>10</v>
      </c>
      <c r="D1786" s="84">
        <v>7</v>
      </c>
      <c r="E1786" s="84">
        <v>7</v>
      </c>
      <c r="F1786" s="59">
        <v>34.67</v>
      </c>
      <c r="G1786" s="85">
        <v>6294</v>
      </c>
      <c r="H1786" s="4" t="s">
        <v>1664</v>
      </c>
      <c r="I1786" s="17" t="s">
        <v>159</v>
      </c>
      <c r="J1786" s="371">
        <v>47.43</v>
      </c>
      <c r="K1786" s="371">
        <v>10.43</v>
      </c>
      <c r="L1786" s="371">
        <v>3.85</v>
      </c>
      <c r="N1786" s="365">
        <f t="shared" si="515"/>
        <v>61.71</v>
      </c>
      <c r="O1786" s="343">
        <f t="shared" si="516"/>
        <v>47.43</v>
      </c>
      <c r="P1786" s="195" t="s">
        <v>5554</v>
      </c>
      <c r="Q1786" s="326" t="str">
        <f>IFERROR(VLOOKUP($G1786,主力整理!$A$2:$G$2301,6,0),"0")</f>
        <v>0</v>
      </c>
      <c r="T1786" s="339">
        <f t="shared" si="517"/>
        <v>0</v>
      </c>
      <c r="W1786" s="69">
        <v>8</v>
      </c>
      <c r="X1786" s="100">
        <v>11.32</v>
      </c>
      <c r="Y1786" s="37" t="str">
        <f>RTD("money.excel",,"6294","Price")</f>
        <v>無資料</v>
      </c>
      <c r="Z1786" s="69"/>
      <c r="AA1786" s="16" t="e">
        <f t="shared" si="518"/>
        <v>#VALUE!</v>
      </c>
      <c r="AB1786" s="3" t="e">
        <f t="shared" si="519"/>
        <v>#VALUE!</v>
      </c>
      <c r="AC1786" s="177" t="s">
        <v>2700</v>
      </c>
      <c r="AD1786" s="17" t="s">
        <v>159</v>
      </c>
      <c r="AG1786" s="34">
        <f t="shared" si="520"/>
        <v>0</v>
      </c>
      <c r="AH1786" s="126" t="s">
        <v>4239</v>
      </c>
      <c r="AI1786" s="131"/>
      <c r="AK1786" s="66">
        <f t="shared" si="521"/>
        <v>0</v>
      </c>
      <c r="AL1786" s="174">
        <f t="shared" si="522"/>
        <v>0</v>
      </c>
      <c r="AM1786" s="346">
        <f>RTD("money.excel",,$G1786,"PredictVolume")</f>
        <v>0</v>
      </c>
      <c r="AN1786" s="272">
        <f>RTD("money.excel",,$G1786,"CumulativeVolume")</f>
        <v>0</v>
      </c>
      <c r="AO1786" s="284"/>
    </row>
    <row r="1787" spans="1:41">
      <c r="A1787" s="151" t="s">
        <v>2364</v>
      </c>
      <c r="B1787" s="85">
        <v>-200</v>
      </c>
      <c r="C1787" s="85">
        <v>-307</v>
      </c>
      <c r="D1787" s="85">
        <v>-23</v>
      </c>
      <c r="E1787" s="84">
        <v>335</v>
      </c>
      <c r="F1787" s="77">
        <v>-105.97</v>
      </c>
      <c r="G1787" s="85">
        <v>6482</v>
      </c>
      <c r="H1787" s="4" t="s">
        <v>1664</v>
      </c>
      <c r="I1787" s="17" t="s">
        <v>1668</v>
      </c>
      <c r="J1787" s="371">
        <v>54.47</v>
      </c>
      <c r="K1787" s="77">
        <v>5.17</v>
      </c>
      <c r="L1787" s="371"/>
      <c r="N1787" s="365">
        <f t="shared" si="515"/>
        <v>59.64</v>
      </c>
      <c r="O1787" s="343">
        <f t="shared" si="516"/>
        <v>54.47</v>
      </c>
      <c r="P1787" s="195">
        <v>1</v>
      </c>
      <c r="Q1787" s="326" t="str">
        <f>IFERROR(VLOOKUP($G1787,主力整理!$A$2:$G$2301,6,0),"0")</f>
        <v>0</v>
      </c>
      <c r="T1787" s="339">
        <f t="shared" si="517"/>
        <v>1</v>
      </c>
      <c r="W1787" s="35">
        <v>0</v>
      </c>
      <c r="X1787" s="59">
        <v>-3.39</v>
      </c>
      <c r="Y1787" s="37" t="str">
        <f>RTD("money.excel",,"6482","Price")</f>
        <v>無資料</v>
      </c>
      <c r="Z1787" s="69"/>
      <c r="AA1787" s="16" t="e">
        <f t="shared" si="518"/>
        <v>#VALUE!</v>
      </c>
      <c r="AB1787" s="3" t="e">
        <f t="shared" si="519"/>
        <v>#VALUE!</v>
      </c>
      <c r="AC1787" s="177" t="s">
        <v>2648</v>
      </c>
      <c r="AD1787" s="17" t="s">
        <v>1668</v>
      </c>
      <c r="AG1787" s="34">
        <f t="shared" si="520"/>
        <v>0</v>
      </c>
      <c r="AH1787" s="44" t="s">
        <v>4240</v>
      </c>
      <c r="AI1787" s="131"/>
      <c r="AK1787" s="66">
        <f t="shared" si="521"/>
        <v>0</v>
      </c>
      <c r="AL1787" s="174">
        <f t="shared" si="522"/>
        <v>0</v>
      </c>
      <c r="AM1787" s="346">
        <f>RTD("money.excel",,$G1787,"PredictVolume")</f>
        <v>0</v>
      </c>
      <c r="AN1787" s="272">
        <f>RTD("money.excel",,$G1787,"CumulativeVolume")</f>
        <v>0</v>
      </c>
      <c r="AO1787" s="284"/>
    </row>
    <row r="1788" spans="1:41">
      <c r="A1788" s="151" t="s">
        <v>3268</v>
      </c>
      <c r="B1788" s="84">
        <v>407</v>
      </c>
      <c r="C1788" s="85">
        <v>-30</v>
      </c>
      <c r="D1788" s="85">
        <v>-2</v>
      </c>
      <c r="E1788" s="85">
        <v>-10</v>
      </c>
      <c r="F1788" s="7">
        <v>7.34</v>
      </c>
      <c r="G1788" s="85">
        <v>6542</v>
      </c>
      <c r="H1788" s="4" t="s">
        <v>1664</v>
      </c>
      <c r="I1788" s="17" t="s">
        <v>142</v>
      </c>
      <c r="J1788" s="77">
        <v>68.319999999999993</v>
      </c>
      <c r="K1788" s="77">
        <v>20.41</v>
      </c>
      <c r="L1788" s="77">
        <v>2.82</v>
      </c>
      <c r="N1788" s="365">
        <f t="shared" si="515"/>
        <v>91.549999999999983</v>
      </c>
      <c r="O1788" s="343">
        <f t="shared" si="516"/>
        <v>68.319999999999993</v>
      </c>
      <c r="P1788" s="195" t="s">
        <v>5554</v>
      </c>
      <c r="Q1788" s="326" t="str">
        <f>IFERROR(VLOOKUP($G1788,主力整理!$A$2:$G$2301,6,0),"0")</f>
        <v>0</v>
      </c>
      <c r="T1788" s="339">
        <f t="shared" si="517"/>
        <v>0</v>
      </c>
      <c r="V1788" s="371">
        <v>0</v>
      </c>
      <c r="W1788" s="35">
        <v>0</v>
      </c>
      <c r="X1788" s="59">
        <v>1.2</v>
      </c>
      <c r="Y1788" s="37" t="str">
        <f>RTD("money.excel",,"6542","Price")</f>
        <v>無資料</v>
      </c>
      <c r="Z1788" s="69"/>
      <c r="AA1788" s="16" t="e">
        <f t="shared" si="518"/>
        <v>#VALUE!</v>
      </c>
      <c r="AB1788" s="3" t="e">
        <f t="shared" si="519"/>
        <v>#VALUE!</v>
      </c>
      <c r="AD1788" s="17" t="s">
        <v>142</v>
      </c>
      <c r="AG1788" s="34">
        <f t="shared" si="520"/>
        <v>0</v>
      </c>
      <c r="AH1788" s="125" t="s">
        <v>3694</v>
      </c>
      <c r="AI1788" s="131"/>
      <c r="AK1788" s="66">
        <f t="shared" si="521"/>
        <v>0</v>
      </c>
      <c r="AL1788" s="174">
        <f t="shared" si="522"/>
        <v>0</v>
      </c>
      <c r="AM1788" s="346">
        <f>RTD("money.excel",,$G1788,"PredictVolume")</f>
        <v>0</v>
      </c>
      <c r="AN1788" s="272">
        <f>RTD("money.excel",,$G1788,"CumulativeVolume")</f>
        <v>0</v>
      </c>
      <c r="AO1788" s="284"/>
    </row>
    <row r="1789" spans="1:41">
      <c r="A1789" s="151" t="s">
        <v>3993</v>
      </c>
      <c r="B1789" s="85">
        <v>-38</v>
      </c>
      <c r="C1789" s="85">
        <v>-23</v>
      </c>
      <c r="D1789" s="98">
        <v>1514</v>
      </c>
      <c r="E1789" s="85">
        <v>-95</v>
      </c>
      <c r="F1789" s="7">
        <v>-20.79</v>
      </c>
      <c r="G1789" s="85">
        <v>6596</v>
      </c>
      <c r="H1789" s="4" t="s">
        <v>1664</v>
      </c>
      <c r="I1789" s="17" t="s">
        <v>1669</v>
      </c>
      <c r="J1789" s="77">
        <v>43.09</v>
      </c>
      <c r="K1789" s="371">
        <v>0.24</v>
      </c>
      <c r="L1789" s="77">
        <v>0.56999999999999995</v>
      </c>
      <c r="N1789" s="365">
        <f t="shared" si="515"/>
        <v>43.900000000000006</v>
      </c>
      <c r="O1789" s="343">
        <f t="shared" si="516"/>
        <v>43.09</v>
      </c>
      <c r="P1789" s="195">
        <v>0</v>
      </c>
      <c r="Q1789" s="326" t="str">
        <f>IFERROR(VLOOKUP($G1789,主力整理!$A$2:$G$2301,6,0),"0")</f>
        <v>0</v>
      </c>
      <c r="R1789" s="111">
        <v>1</v>
      </c>
      <c r="S1789" s="51">
        <v>0</v>
      </c>
      <c r="T1789" s="339">
        <f t="shared" si="517"/>
        <v>1</v>
      </c>
      <c r="V1789" s="371">
        <v>0</v>
      </c>
      <c r="W1789" s="69">
        <v>4.5</v>
      </c>
      <c r="X1789" s="100">
        <v>2.57</v>
      </c>
      <c r="Y1789" s="37" t="str">
        <f>RTD("money.excel",,"6596","Price")</f>
        <v>無資料</v>
      </c>
      <c r="Z1789" s="69"/>
      <c r="AA1789" s="16" t="e">
        <f t="shared" si="518"/>
        <v>#VALUE!</v>
      </c>
      <c r="AB1789" s="3" t="e">
        <f t="shared" si="519"/>
        <v>#VALUE!</v>
      </c>
      <c r="AC1789" s="177" t="s">
        <v>2929</v>
      </c>
      <c r="AD1789" s="17" t="s">
        <v>1669</v>
      </c>
      <c r="AG1789" s="34">
        <f t="shared" si="520"/>
        <v>0</v>
      </c>
      <c r="AH1789" s="44" t="s">
        <v>3109</v>
      </c>
      <c r="AI1789" s="128"/>
      <c r="AK1789" s="66">
        <f t="shared" si="521"/>
        <v>0</v>
      </c>
      <c r="AL1789" s="174">
        <f t="shared" si="522"/>
        <v>0</v>
      </c>
      <c r="AM1789" s="346">
        <f>RTD("money.excel",,$G1789,"PredictVolume")</f>
        <v>0</v>
      </c>
      <c r="AN1789" s="272">
        <f>RTD("money.excel",,$G1789,"CumulativeVolume")</f>
        <v>0</v>
      </c>
      <c r="AO1789" s="34"/>
    </row>
    <row r="1790" spans="1:41">
      <c r="A1790" s="135" t="s">
        <v>2540</v>
      </c>
      <c r="B1790" s="85">
        <v>-6</v>
      </c>
      <c r="C1790" s="84">
        <v>1</v>
      </c>
      <c r="D1790" s="85">
        <v>-24</v>
      </c>
      <c r="E1790" s="85">
        <v>-38</v>
      </c>
      <c r="F1790" s="59">
        <v>52.47</v>
      </c>
      <c r="G1790" s="85">
        <v>8446</v>
      </c>
      <c r="H1790" s="4" t="s">
        <v>1664</v>
      </c>
      <c r="I1790" s="17" t="s">
        <v>300</v>
      </c>
      <c r="J1790" s="371">
        <v>48.32</v>
      </c>
      <c r="K1790" s="77">
        <v>4.45</v>
      </c>
      <c r="L1790" s="371">
        <v>4.83</v>
      </c>
      <c r="N1790" s="365">
        <f t="shared" si="515"/>
        <v>57.6</v>
      </c>
      <c r="O1790" s="343">
        <f t="shared" si="516"/>
        <v>48.32</v>
      </c>
      <c r="P1790" s="195" t="s">
        <v>5554</v>
      </c>
      <c r="Q1790" s="326" t="str">
        <f>IFERROR(VLOOKUP($G1790,主力整理!$A$2:$G$2301,6,0),"0")</f>
        <v>0</v>
      </c>
      <c r="T1790" s="339">
        <f t="shared" si="517"/>
        <v>0</v>
      </c>
      <c r="V1790" s="371">
        <v>0.02</v>
      </c>
      <c r="W1790" s="69">
        <v>3.5</v>
      </c>
      <c r="X1790" s="100">
        <v>9.5500000000000007</v>
      </c>
      <c r="Y1790" s="37" t="str">
        <f>RTD("money.excel",,"8446","Price")</f>
        <v>無資料</v>
      </c>
      <c r="Z1790" s="69"/>
      <c r="AA1790" s="16" t="e">
        <f t="shared" si="518"/>
        <v>#VALUE!</v>
      </c>
      <c r="AB1790" s="3" t="e">
        <f t="shared" si="519"/>
        <v>#VALUE!</v>
      </c>
      <c r="AC1790" s="177" t="s">
        <v>2929</v>
      </c>
      <c r="AD1790" s="17" t="s">
        <v>300</v>
      </c>
      <c r="AG1790" s="34">
        <f t="shared" si="520"/>
        <v>0</v>
      </c>
      <c r="AH1790" s="126" t="s">
        <v>2136</v>
      </c>
      <c r="AI1790" s="131"/>
      <c r="AK1790" s="66">
        <f t="shared" si="521"/>
        <v>0</v>
      </c>
      <c r="AL1790" s="174">
        <f t="shared" si="522"/>
        <v>0</v>
      </c>
      <c r="AM1790" s="346">
        <f>RTD("money.excel",,$G1790,"PredictVolume")</f>
        <v>0</v>
      </c>
      <c r="AN1790" s="272">
        <f>RTD("money.excel",,$G1790,"CumulativeVolume")</f>
        <v>0</v>
      </c>
      <c r="AO1790" s="284"/>
    </row>
    <row r="1791" spans="1:41">
      <c r="A1791" s="151" t="s">
        <v>2595</v>
      </c>
      <c r="B1791" s="85">
        <v>-143</v>
      </c>
      <c r="C1791" s="85">
        <v>-84</v>
      </c>
      <c r="D1791" s="84">
        <v>12</v>
      </c>
      <c r="E1791" s="85">
        <v>-10</v>
      </c>
      <c r="F1791" s="7">
        <v>-30.82</v>
      </c>
      <c r="G1791" s="85">
        <v>8450</v>
      </c>
      <c r="H1791" s="4" t="s">
        <v>1664</v>
      </c>
      <c r="I1791" s="17" t="s">
        <v>164</v>
      </c>
      <c r="J1791" s="77">
        <v>64.91</v>
      </c>
      <c r="K1791" s="77">
        <v>1.55</v>
      </c>
      <c r="L1791" s="77">
        <v>3.14</v>
      </c>
      <c r="N1791" s="365">
        <f t="shared" si="515"/>
        <v>69.599999999999994</v>
      </c>
      <c r="O1791" s="343">
        <f t="shared" si="516"/>
        <v>64.91</v>
      </c>
      <c r="P1791" s="195" t="s">
        <v>5554</v>
      </c>
      <c r="Q1791" s="326" t="str">
        <f>IFERROR(VLOOKUP($G1791,主力整理!$A$2:$G$2301,6,0),"0")</f>
        <v>0</v>
      </c>
      <c r="T1791" s="339">
        <f t="shared" si="517"/>
        <v>0</v>
      </c>
      <c r="V1791" s="371">
        <v>0</v>
      </c>
      <c r="W1791" s="35">
        <v>0</v>
      </c>
      <c r="X1791" s="59">
        <v>-2.89</v>
      </c>
      <c r="Y1791" s="37" t="str">
        <f>RTD("money.excel",,"8450","Price")</f>
        <v>無資料</v>
      </c>
      <c r="Z1791" s="69"/>
      <c r="AA1791" s="16" t="e">
        <f t="shared" si="518"/>
        <v>#VALUE!</v>
      </c>
      <c r="AB1791" s="3" t="e">
        <f t="shared" si="519"/>
        <v>#VALUE!</v>
      </c>
      <c r="AC1791" s="177" t="s">
        <v>2648</v>
      </c>
      <c r="AD1791" s="17" t="s">
        <v>164</v>
      </c>
      <c r="AG1791" s="34">
        <f t="shared" si="520"/>
        <v>0</v>
      </c>
      <c r="AH1791" s="125" t="s">
        <v>4241</v>
      </c>
      <c r="AI1791" s="131"/>
      <c r="AK1791" s="66">
        <f t="shared" si="521"/>
        <v>0</v>
      </c>
      <c r="AL1791" s="174">
        <f t="shared" si="522"/>
        <v>0</v>
      </c>
      <c r="AM1791" s="346">
        <f>RTD("money.excel",,$G1791,"PredictVolume")</f>
        <v>0</v>
      </c>
      <c r="AN1791" s="272">
        <f>RTD("money.excel",,$G1791,"CumulativeVolume")</f>
        <v>0</v>
      </c>
      <c r="AO1791" s="284"/>
    </row>
    <row r="1792" spans="1:41">
      <c r="A1792" s="135" t="s">
        <v>2613</v>
      </c>
      <c r="B1792" s="85">
        <v>-39</v>
      </c>
      <c r="C1792" s="85">
        <v>-22</v>
      </c>
      <c r="D1792" s="85">
        <v>-5</v>
      </c>
      <c r="E1792" s="85">
        <v>-1</v>
      </c>
      <c r="F1792" s="59">
        <v>11.3</v>
      </c>
      <c r="G1792" s="85">
        <v>8489</v>
      </c>
      <c r="H1792" s="4" t="s">
        <v>1664</v>
      </c>
      <c r="I1792" s="17" t="s">
        <v>1670</v>
      </c>
      <c r="J1792" s="77">
        <v>23.79</v>
      </c>
      <c r="K1792" s="77">
        <v>1.97</v>
      </c>
      <c r="L1792" s="77">
        <v>15.81</v>
      </c>
      <c r="N1792" s="365">
        <f t="shared" si="515"/>
        <v>41.57</v>
      </c>
      <c r="O1792" s="343">
        <f t="shared" si="516"/>
        <v>23.79</v>
      </c>
      <c r="P1792" s="195" t="s">
        <v>5554</v>
      </c>
      <c r="Q1792" s="326" t="str">
        <f>IFERROR(VLOOKUP($G1792,主力整理!$A$2:$G$2301,6,0),"0")</f>
        <v>0</v>
      </c>
      <c r="T1792" s="339">
        <f t="shared" si="517"/>
        <v>0</v>
      </c>
      <c r="V1792" s="371">
        <v>0.02</v>
      </c>
      <c r="W1792" s="35">
        <v>0.7</v>
      </c>
      <c r="X1792" s="100">
        <v>0.77</v>
      </c>
      <c r="Y1792" s="37" t="str">
        <f>RTD("money.excel",,"8489","Price")</f>
        <v>無資料</v>
      </c>
      <c r="Z1792" s="69"/>
      <c r="AA1792" s="16" t="e">
        <f t="shared" si="518"/>
        <v>#VALUE!</v>
      </c>
      <c r="AB1792" s="3" t="e">
        <f t="shared" si="519"/>
        <v>#VALUE!</v>
      </c>
      <c r="AD1792" s="17" t="s">
        <v>1670</v>
      </c>
      <c r="AG1792" s="34">
        <f t="shared" si="520"/>
        <v>0</v>
      </c>
      <c r="AH1792" s="63" t="s">
        <v>4242</v>
      </c>
      <c r="AI1792" s="131"/>
      <c r="AK1792" s="66">
        <f t="shared" si="521"/>
        <v>0</v>
      </c>
      <c r="AL1792" s="174">
        <f t="shared" si="522"/>
        <v>0</v>
      </c>
      <c r="AM1792" s="346">
        <f>RTD("money.excel",,$G1792,"PredictVolume")</f>
        <v>0</v>
      </c>
      <c r="AN1792" s="272">
        <f>RTD("money.excel",,$G1792,"CumulativeVolume")</f>
        <v>0</v>
      </c>
      <c r="AO1792" s="284"/>
    </row>
    <row r="1793" spans="1:41">
      <c r="A1793" s="151" t="s">
        <v>4690</v>
      </c>
      <c r="B1793" s="96">
        <v>-29</v>
      </c>
      <c r="C1793" s="96">
        <v>-1</v>
      </c>
      <c r="D1793" s="96">
        <v>-7</v>
      </c>
      <c r="E1793" s="96">
        <v>-2</v>
      </c>
      <c r="F1793" s="7">
        <v>2.2799999999999998</v>
      </c>
      <c r="G1793" s="85">
        <v>8923</v>
      </c>
      <c r="H1793" s="4" t="s">
        <v>1664</v>
      </c>
      <c r="I1793" s="17" t="s">
        <v>1671</v>
      </c>
      <c r="J1793" s="77">
        <v>83.03</v>
      </c>
      <c r="K1793" s="77">
        <v>3.62</v>
      </c>
      <c r="L1793" s="77">
        <v>0.03</v>
      </c>
      <c r="N1793" s="365">
        <f t="shared" si="515"/>
        <v>86.68</v>
      </c>
      <c r="O1793" s="343">
        <f t="shared" si="516"/>
        <v>83.03</v>
      </c>
      <c r="P1793" s="195" t="s">
        <v>5554</v>
      </c>
      <c r="Q1793" s="326" t="str">
        <f>IFERROR(VLOOKUP($G1793,主力整理!$A$2:$G$2301,6,0),"0")</f>
        <v>0</v>
      </c>
      <c r="T1793" s="339">
        <f t="shared" si="517"/>
        <v>0</v>
      </c>
      <c r="V1793" s="371">
        <v>58.96</v>
      </c>
      <c r="W1793" s="35">
        <v>0.85</v>
      </c>
      <c r="X1793" s="100">
        <v>0.94</v>
      </c>
      <c r="Y1793" s="14" t="str">
        <f>RTD("money.excel",,"8923","Price")</f>
        <v>無資料</v>
      </c>
      <c r="Z1793" s="69"/>
      <c r="AA1793" s="16" t="e">
        <f t="shared" si="518"/>
        <v>#VALUE!</v>
      </c>
      <c r="AB1793" s="3" t="e">
        <f t="shared" si="519"/>
        <v>#VALUE!</v>
      </c>
      <c r="AD1793" s="17" t="s">
        <v>1671</v>
      </c>
      <c r="AG1793" s="34">
        <f t="shared" si="520"/>
        <v>0</v>
      </c>
      <c r="AH1793" s="44" t="s">
        <v>2298</v>
      </c>
      <c r="AI1793" s="131"/>
      <c r="AK1793" s="66">
        <f t="shared" si="521"/>
        <v>0</v>
      </c>
      <c r="AL1793" s="174">
        <f t="shared" si="522"/>
        <v>0</v>
      </c>
      <c r="AM1793" s="346">
        <f>RTD("money.excel",,$G1793,"PredictVolume")</f>
        <v>0</v>
      </c>
      <c r="AN1793" s="272">
        <f>RTD("money.excel",,$G1793,"CumulativeVolume")</f>
        <v>0</v>
      </c>
      <c r="AO1793" s="284"/>
    </row>
    <row r="1794" spans="1:41">
      <c r="A1794" s="151" t="s">
        <v>3257</v>
      </c>
      <c r="B1794" s="85">
        <v>-19</v>
      </c>
      <c r="C1794" s="85">
        <v>-35</v>
      </c>
      <c r="D1794" s="85">
        <v>-23</v>
      </c>
      <c r="E1794" s="84">
        <v>102</v>
      </c>
      <c r="F1794" s="7">
        <v>-35.03</v>
      </c>
      <c r="G1794" s="85">
        <v>9949</v>
      </c>
      <c r="H1794" s="4" t="s">
        <v>1664</v>
      </c>
      <c r="I1794" s="17" t="s">
        <v>1672</v>
      </c>
      <c r="J1794" s="371">
        <v>61.91</v>
      </c>
      <c r="K1794" s="371">
        <v>0.12</v>
      </c>
      <c r="L1794" s="371">
        <v>46.74</v>
      </c>
      <c r="N1794" s="365">
        <f t="shared" si="515"/>
        <v>108.77</v>
      </c>
      <c r="O1794" s="343">
        <f t="shared" si="516"/>
        <v>61.91</v>
      </c>
      <c r="P1794" s="195" t="s">
        <v>5554</v>
      </c>
      <c r="Q1794" s="326" t="str">
        <f>IFERROR(VLOOKUP($G1794,主力整理!$A$2:$G$2301,6,0),"0")</f>
        <v>0</v>
      </c>
      <c r="T1794" s="339">
        <f t="shared" si="517"/>
        <v>0</v>
      </c>
      <c r="V1794" s="371">
        <v>0</v>
      </c>
      <c r="W1794" s="35">
        <v>0</v>
      </c>
      <c r="X1794" s="59">
        <v>-0.65</v>
      </c>
      <c r="Y1794" s="37" t="str">
        <f>RTD("money.excel",,"9949","Price")</f>
        <v>無資料</v>
      </c>
      <c r="Z1794" s="69"/>
      <c r="AA1794" s="16" t="e">
        <f t="shared" si="518"/>
        <v>#VALUE!</v>
      </c>
      <c r="AB1794" s="3" t="e">
        <f t="shared" si="519"/>
        <v>#VALUE!</v>
      </c>
      <c r="AD1794" s="17" t="s">
        <v>1672</v>
      </c>
      <c r="AG1794" s="34">
        <f t="shared" si="520"/>
        <v>0</v>
      </c>
      <c r="AH1794" s="44" t="s">
        <v>4243</v>
      </c>
      <c r="AI1794" s="131"/>
      <c r="AK1794" s="66">
        <f t="shared" ref="AK1794" si="523">AM1794/(A1794*10000)</f>
        <v>0</v>
      </c>
      <c r="AL1794" s="174">
        <f t="shared" ref="AL1794" si="524">AN1794/(A1794*10000)</f>
        <v>0</v>
      </c>
      <c r="AM1794" s="346">
        <f>RTD("money.excel",,$G1794,"PredictVolume")</f>
        <v>0</v>
      </c>
      <c r="AN1794" s="272">
        <f>RTD("money.excel",,$G1794,"CumulativeVolume")</f>
        <v>0</v>
      </c>
      <c r="AO1794" s="284"/>
    </row>
    <row r="1795" spans="1:41">
      <c r="A1795" s="151"/>
      <c r="B1795" s="85"/>
      <c r="C1795" s="85"/>
      <c r="D1795" s="85"/>
      <c r="E1795" s="84"/>
      <c r="F1795" s="7"/>
      <c r="G1795" s="85"/>
      <c r="H1795" s="4"/>
      <c r="I1795" s="17"/>
      <c r="J1795" s="371"/>
      <c r="K1795" s="371"/>
      <c r="L1795" s="371"/>
      <c r="N1795" s="365"/>
      <c r="O1795" s="343"/>
      <c r="P1795" s="195"/>
      <c r="W1795" s="35"/>
      <c r="X1795" s="59"/>
      <c r="Y1795" s="37"/>
      <c r="Z1795" s="69"/>
      <c r="AA1795" s="16"/>
      <c r="AB1795" s="3"/>
      <c r="AD1795" s="17"/>
      <c r="AG1795" s="34"/>
      <c r="AH1795" s="44"/>
      <c r="AI1795" s="131"/>
      <c r="AO1795" s="284"/>
    </row>
    <row r="1796" spans="1:41">
      <c r="A1796" s="135" t="s">
        <v>2552</v>
      </c>
      <c r="B1796" s="96" t="s">
        <v>2331</v>
      </c>
      <c r="C1796" s="96" t="s">
        <v>2332</v>
      </c>
      <c r="D1796" s="96" t="s">
        <v>2333</v>
      </c>
      <c r="E1796" s="96" t="s">
        <v>2334</v>
      </c>
      <c r="F1796" s="9" t="s">
        <v>1709</v>
      </c>
      <c r="G1796" s="52" t="s">
        <v>1663</v>
      </c>
      <c r="H1796" s="56" t="s">
        <v>578</v>
      </c>
      <c r="I1796" s="51" t="s">
        <v>602</v>
      </c>
      <c r="J1796" s="364" t="s">
        <v>2189</v>
      </c>
      <c r="K1796" s="364" t="s">
        <v>1820</v>
      </c>
      <c r="L1796" s="364" t="s">
        <v>515</v>
      </c>
      <c r="M1796" s="364" t="s">
        <v>1699</v>
      </c>
      <c r="N1796" s="364" t="s">
        <v>6604</v>
      </c>
      <c r="O1796" s="343" t="s">
        <v>6620</v>
      </c>
      <c r="P1796" s="83" t="s">
        <v>5279</v>
      </c>
      <c r="Q1796" s="326" t="s">
        <v>5514</v>
      </c>
      <c r="R1796" s="31" t="s">
        <v>6596</v>
      </c>
      <c r="S1796" s="51" t="s">
        <v>6597</v>
      </c>
      <c r="T1796" s="338" t="s">
        <v>5627</v>
      </c>
      <c r="U1796" s="330" t="s">
        <v>6537</v>
      </c>
      <c r="V1796" s="377" t="s">
        <v>6616</v>
      </c>
      <c r="W1796" s="11" t="s">
        <v>127</v>
      </c>
      <c r="X1796" s="71" t="s">
        <v>5216</v>
      </c>
      <c r="Y1796" s="29" t="s">
        <v>3</v>
      </c>
      <c r="Z1796" s="18" t="s">
        <v>2113</v>
      </c>
      <c r="AA1796" s="15" t="s">
        <v>8</v>
      </c>
      <c r="AB1796" s="22" t="s">
        <v>4</v>
      </c>
      <c r="AC1796" s="358" t="s">
        <v>211</v>
      </c>
      <c r="AD1796" s="51" t="s">
        <v>602</v>
      </c>
      <c r="AE1796" s="75" t="s">
        <v>2114</v>
      </c>
      <c r="AF1796" s="76" t="s">
        <v>1826</v>
      </c>
      <c r="AG1796" s="33" t="s">
        <v>1827</v>
      </c>
      <c r="AH1796" s="44"/>
      <c r="AI1796" s="131"/>
      <c r="AK1796" s="9" t="s">
        <v>6666</v>
      </c>
      <c r="AL1796" s="5" t="s">
        <v>6667</v>
      </c>
      <c r="AM1796" s="51" t="s">
        <v>5339</v>
      </c>
      <c r="AN1796" s="276" t="s">
        <v>6665</v>
      </c>
      <c r="AO1796" s="284"/>
    </row>
    <row r="1797" spans="1:41">
      <c r="A1797" s="151" t="s">
        <v>4775</v>
      </c>
      <c r="B1797" s="96">
        <v>64</v>
      </c>
      <c r="C1797" s="96">
        <v>54</v>
      </c>
      <c r="D1797" s="96">
        <v>33</v>
      </c>
      <c r="E1797" s="96">
        <v>86</v>
      </c>
      <c r="F1797" s="7">
        <v>-94.97</v>
      </c>
      <c r="G1797" s="85">
        <v>3085</v>
      </c>
      <c r="H1797" s="4" t="s">
        <v>602</v>
      </c>
      <c r="I1797" s="17" t="s">
        <v>1626</v>
      </c>
      <c r="J1797" s="77">
        <v>64.45</v>
      </c>
      <c r="K1797" s="77">
        <v>23.24</v>
      </c>
      <c r="N1797" s="365">
        <f t="shared" ref="N1797:N1804" si="525">J1797+K1797+L1797+M1797</f>
        <v>87.69</v>
      </c>
      <c r="O1797" s="343">
        <f t="shared" ref="O1797:O1804" si="526">J1797+M1797</f>
        <v>64.45</v>
      </c>
      <c r="P1797" s="195" t="s">
        <v>5554</v>
      </c>
      <c r="Q1797" s="326" t="str">
        <f>IFERROR(VLOOKUP($G1797,主力整理!$A$2:$G$2301,6,0),"0")</f>
        <v>0</v>
      </c>
      <c r="T1797" s="339">
        <f t="shared" ref="T1797:T1804" si="527">SUM(P1797:S1797)</f>
        <v>0</v>
      </c>
      <c r="V1797" s="371">
        <v>18.82</v>
      </c>
      <c r="W1797" s="35">
        <v>0</v>
      </c>
      <c r="X1797" s="100">
        <v>-2.67</v>
      </c>
      <c r="Y1797" s="14" t="str">
        <f>RTD("money.excel",,"3085","Price")</f>
        <v>無資料</v>
      </c>
      <c r="Z1797" s="69"/>
      <c r="AA1797" s="16" t="e">
        <f t="shared" ref="AA1797:AA1804" si="528">Y1797-Z1797</f>
        <v>#VALUE!</v>
      </c>
      <c r="AB1797" s="3" t="e">
        <f t="shared" ref="AB1797:AB1804" si="529">AA1797/Z1797</f>
        <v>#VALUE!</v>
      </c>
      <c r="AD1797" s="17" t="s">
        <v>1626</v>
      </c>
      <c r="AG1797" s="34">
        <f t="shared" ref="AG1797:AG1804" si="530">AF1797-AE1797</f>
        <v>0</v>
      </c>
      <c r="AH1797" s="44" t="s">
        <v>602</v>
      </c>
      <c r="AI1797" s="131"/>
      <c r="AK1797" s="66">
        <f>AM1797/(A1797*10000)</f>
        <v>0</v>
      </c>
      <c r="AL1797" s="174">
        <f>AN1797/(A1797*10000)</f>
        <v>0</v>
      </c>
      <c r="AM1797" s="346">
        <f>RTD("money.excel",,$G1797,"PredictVolume")</f>
        <v>0</v>
      </c>
      <c r="AN1797" s="272">
        <f>RTD("money.excel",,$G1797,"CumulativeVolume")</f>
        <v>0</v>
      </c>
      <c r="AO1797" s="284"/>
    </row>
    <row r="1798" spans="1:41">
      <c r="A1798" s="135" t="s">
        <v>2335</v>
      </c>
      <c r="B1798" s="84">
        <v>79</v>
      </c>
      <c r="C1798" s="84">
        <v>101</v>
      </c>
      <c r="D1798" s="84">
        <v>19</v>
      </c>
      <c r="E1798" s="84">
        <v>29</v>
      </c>
      <c r="F1798" s="59">
        <v>22.19</v>
      </c>
      <c r="G1798" s="85">
        <v>3687</v>
      </c>
      <c r="H1798" s="4" t="s">
        <v>602</v>
      </c>
      <c r="I1798" s="17" t="s">
        <v>137</v>
      </c>
      <c r="J1798" s="77">
        <v>36.99</v>
      </c>
      <c r="K1798" s="77">
        <v>6.21</v>
      </c>
      <c r="L1798" s="77">
        <v>62.7</v>
      </c>
      <c r="M1798" s="371">
        <v>14.55</v>
      </c>
      <c r="N1798" s="365">
        <f t="shared" si="525"/>
        <v>120.45</v>
      </c>
      <c r="O1798" s="343">
        <f t="shared" si="526"/>
        <v>51.540000000000006</v>
      </c>
      <c r="P1798" s="195">
        <v>0</v>
      </c>
      <c r="Q1798" s="326">
        <v>10</v>
      </c>
      <c r="R1798" s="111">
        <v>18</v>
      </c>
      <c r="S1798" s="51">
        <v>22</v>
      </c>
      <c r="T1798" s="339">
        <f t="shared" si="527"/>
        <v>50</v>
      </c>
      <c r="U1798" s="329" t="s">
        <v>6538</v>
      </c>
      <c r="V1798" s="371">
        <v>5.04</v>
      </c>
      <c r="W1798" s="35">
        <v>0.6</v>
      </c>
      <c r="X1798" s="100">
        <v>2.23</v>
      </c>
      <c r="Y1798" s="37" t="str">
        <f>RTD("money.excel",,"3687","Price")</f>
        <v>無資料</v>
      </c>
      <c r="Z1798" s="69"/>
      <c r="AA1798" s="16" t="e">
        <f t="shared" si="528"/>
        <v>#VALUE!</v>
      </c>
      <c r="AB1798" s="3" t="e">
        <f t="shared" si="529"/>
        <v>#VALUE!</v>
      </c>
      <c r="AC1798" s="177" t="s">
        <v>2648</v>
      </c>
      <c r="AD1798" s="17" t="s">
        <v>137</v>
      </c>
      <c r="AG1798" s="34">
        <f t="shared" si="530"/>
        <v>0</v>
      </c>
      <c r="AH1798" s="126" t="s">
        <v>3734</v>
      </c>
      <c r="AI1798" s="131"/>
      <c r="AK1798" s="66">
        <f t="shared" ref="AK1798:AK1804" si="531">AM1798/(A1798*10000)</f>
        <v>0</v>
      </c>
      <c r="AL1798" s="174">
        <f t="shared" ref="AL1798:AL1804" si="532">AN1798/(A1798*10000)</f>
        <v>0</v>
      </c>
      <c r="AM1798" s="346">
        <f>RTD("money.excel",,$G1798,"PredictVolume")</f>
        <v>0</v>
      </c>
      <c r="AN1798" s="272">
        <f>RTD("money.excel",,$G1798,"CumulativeVolume")</f>
        <v>0</v>
      </c>
      <c r="AO1798" s="284"/>
    </row>
    <row r="1799" spans="1:41">
      <c r="A1799" s="135" t="s">
        <v>2553</v>
      </c>
      <c r="B1799" s="85">
        <v>-25</v>
      </c>
      <c r="C1799" s="85">
        <v>-19</v>
      </c>
      <c r="D1799" s="84">
        <v>1</v>
      </c>
      <c r="E1799" s="85">
        <v>-13</v>
      </c>
      <c r="F1799" s="59">
        <v>23.94</v>
      </c>
      <c r="G1799" s="85">
        <v>5278</v>
      </c>
      <c r="H1799" s="4" t="s">
        <v>602</v>
      </c>
      <c r="I1799" s="17" t="s">
        <v>1674</v>
      </c>
      <c r="J1799" s="371">
        <v>45.06</v>
      </c>
      <c r="K1799" s="77">
        <v>43.09</v>
      </c>
      <c r="L1799" s="371"/>
      <c r="N1799" s="365">
        <f t="shared" si="525"/>
        <v>88.15</v>
      </c>
      <c r="O1799" s="343">
        <f t="shared" si="526"/>
        <v>45.06</v>
      </c>
      <c r="P1799" s="195" t="s">
        <v>5554</v>
      </c>
      <c r="Q1799" s="326" t="str">
        <f>IFERROR(VLOOKUP($G1799,主力整理!$A$2:$G$2301,6,0),"0")</f>
        <v>0</v>
      </c>
      <c r="T1799" s="339">
        <f t="shared" si="527"/>
        <v>0</v>
      </c>
      <c r="W1799" s="69">
        <v>3.46</v>
      </c>
      <c r="X1799" s="100">
        <v>12.34</v>
      </c>
      <c r="Y1799" s="14" t="str">
        <f>RTD("money.excel",,"5278","Price")</f>
        <v>無資料</v>
      </c>
      <c r="Z1799" s="69"/>
      <c r="AA1799" s="16" t="e">
        <f t="shared" si="528"/>
        <v>#VALUE!</v>
      </c>
      <c r="AB1799" s="3" t="e">
        <f t="shared" si="529"/>
        <v>#VALUE!</v>
      </c>
      <c r="AC1799" s="177" t="s">
        <v>2700</v>
      </c>
      <c r="AD1799" s="17" t="s">
        <v>1674</v>
      </c>
      <c r="AG1799" s="34">
        <f t="shared" si="530"/>
        <v>0</v>
      </c>
      <c r="AH1799" s="63" t="s">
        <v>4244</v>
      </c>
      <c r="AI1799" s="131"/>
      <c r="AK1799" s="66">
        <f t="shared" si="531"/>
        <v>0</v>
      </c>
      <c r="AL1799" s="174">
        <f t="shared" si="532"/>
        <v>0</v>
      </c>
      <c r="AM1799" s="346">
        <f>RTD("money.excel",,$G1799,"PredictVolume")</f>
        <v>0</v>
      </c>
      <c r="AN1799" s="272">
        <f>RTD("money.excel",,$G1799,"CumulativeVolume")</f>
        <v>0</v>
      </c>
      <c r="AO1799" s="284"/>
    </row>
    <row r="1800" spans="1:41">
      <c r="A1800" s="135" t="s">
        <v>3627</v>
      </c>
      <c r="B1800" s="84">
        <v>5</v>
      </c>
      <c r="C1800" s="84">
        <v>4</v>
      </c>
      <c r="D1800" s="85">
        <v>-4</v>
      </c>
      <c r="E1800" s="84">
        <v>8</v>
      </c>
      <c r="F1800" s="59">
        <v>49.97</v>
      </c>
      <c r="G1800" s="85">
        <v>5287</v>
      </c>
      <c r="H1800" s="55" t="s">
        <v>602</v>
      </c>
      <c r="I1800" s="17" t="s">
        <v>480</v>
      </c>
      <c r="J1800" s="371">
        <v>58.82</v>
      </c>
      <c r="K1800" s="371">
        <v>31.75</v>
      </c>
      <c r="L1800" s="371">
        <v>0.66</v>
      </c>
      <c r="N1800" s="365">
        <f t="shared" si="525"/>
        <v>91.22999999999999</v>
      </c>
      <c r="O1800" s="343">
        <f t="shared" si="526"/>
        <v>58.82</v>
      </c>
      <c r="P1800" s="195" t="s">
        <v>5554</v>
      </c>
      <c r="Q1800" s="326" t="str">
        <f>IFERROR(VLOOKUP($G1800,主力整理!$A$2:$G$2301,6,0),"0")</f>
        <v>0</v>
      </c>
      <c r="T1800" s="339">
        <f t="shared" si="527"/>
        <v>0</v>
      </c>
      <c r="V1800" s="371">
        <v>0</v>
      </c>
      <c r="W1800" s="69">
        <v>13.83</v>
      </c>
      <c r="X1800" s="100">
        <v>14.74</v>
      </c>
      <c r="Y1800" s="37" t="str">
        <f>RTD("money.excel",,"5287","Price")</f>
        <v>無資料</v>
      </c>
      <c r="Z1800" s="69"/>
      <c r="AA1800" s="16" t="e">
        <f t="shared" si="528"/>
        <v>#VALUE!</v>
      </c>
      <c r="AB1800" s="3" t="e">
        <f t="shared" si="529"/>
        <v>#VALUE!</v>
      </c>
      <c r="AC1800" s="177" t="s">
        <v>2700</v>
      </c>
      <c r="AD1800" s="17" t="s">
        <v>480</v>
      </c>
      <c r="AG1800" s="34">
        <f t="shared" si="530"/>
        <v>0</v>
      </c>
      <c r="AH1800" s="126" t="s">
        <v>602</v>
      </c>
      <c r="AI1800" s="131"/>
      <c r="AK1800" s="66">
        <f t="shared" si="531"/>
        <v>0</v>
      </c>
      <c r="AL1800" s="174">
        <f t="shared" si="532"/>
        <v>0</v>
      </c>
      <c r="AM1800" s="346">
        <f>RTD("money.excel",,$G1800,"PredictVolume")</f>
        <v>0</v>
      </c>
      <c r="AN1800" s="272">
        <f>RTD("money.excel",,$G1800,"CumulativeVolume")</f>
        <v>0</v>
      </c>
      <c r="AO1800" s="284"/>
    </row>
    <row r="1801" spans="1:41">
      <c r="A1801" s="135" t="s">
        <v>2602</v>
      </c>
      <c r="B1801" s="84">
        <v>29</v>
      </c>
      <c r="C1801" s="84">
        <v>56</v>
      </c>
      <c r="D1801" s="85">
        <v>-10</v>
      </c>
      <c r="E1801" s="84">
        <v>16</v>
      </c>
      <c r="F1801" s="59">
        <v>27.97</v>
      </c>
      <c r="G1801" s="85">
        <v>6741</v>
      </c>
      <c r="H1801" s="55" t="s">
        <v>602</v>
      </c>
      <c r="I1801" s="17" t="s">
        <v>5285</v>
      </c>
      <c r="J1801" s="371">
        <v>75.8</v>
      </c>
      <c r="K1801" s="371">
        <v>62.32</v>
      </c>
      <c r="N1801" s="365">
        <f t="shared" si="525"/>
        <v>138.12</v>
      </c>
      <c r="O1801" s="343">
        <f t="shared" si="526"/>
        <v>75.8</v>
      </c>
      <c r="P1801" s="195" t="s">
        <v>5554</v>
      </c>
      <c r="Q1801" s="326" t="str">
        <f>IFERROR(VLOOKUP($G1801,主力整理!$A$2:$G$2301,6,0),"0")</f>
        <v>0</v>
      </c>
      <c r="R1801" s="31"/>
      <c r="T1801" s="339">
        <f t="shared" si="527"/>
        <v>0</v>
      </c>
      <c r="W1801" s="35"/>
      <c r="X1801" s="100"/>
      <c r="Y1801" s="37" t="str">
        <f>RTD("money.excel",,"6741","Price")</f>
        <v>無資料</v>
      </c>
      <c r="Z1801" s="69"/>
      <c r="AA1801" s="16" t="e">
        <f t="shared" si="528"/>
        <v>#VALUE!</v>
      </c>
      <c r="AB1801" s="164" t="e">
        <f t="shared" si="529"/>
        <v>#VALUE!</v>
      </c>
      <c r="AD1801" s="17" t="s">
        <v>5285</v>
      </c>
      <c r="AG1801" s="34">
        <f t="shared" si="530"/>
        <v>0</v>
      </c>
      <c r="AH1801" s="63" t="s">
        <v>5292</v>
      </c>
      <c r="AI1801" s="131"/>
      <c r="AK1801" s="66">
        <f t="shared" si="531"/>
        <v>0</v>
      </c>
      <c r="AL1801" s="174">
        <f t="shared" si="532"/>
        <v>0</v>
      </c>
      <c r="AM1801" s="346">
        <f>RTD("money.excel",,$G1801,"PredictVolume")</f>
        <v>0</v>
      </c>
      <c r="AN1801" s="272">
        <f>RTD("money.excel",,$G1801,"CumulativeVolume")</f>
        <v>0</v>
      </c>
      <c r="AO1801" s="284"/>
    </row>
    <row r="1802" spans="1:41">
      <c r="A1802" s="151" t="s">
        <v>2498</v>
      </c>
      <c r="B1802" s="84">
        <v>20</v>
      </c>
      <c r="C1802" s="85">
        <v>15</v>
      </c>
      <c r="D1802" s="85">
        <v>-7</v>
      </c>
      <c r="E1802" s="84">
        <v>15</v>
      </c>
      <c r="F1802" s="7">
        <v>1.04</v>
      </c>
      <c r="G1802" s="85">
        <v>8044</v>
      </c>
      <c r="H1802" s="55" t="s">
        <v>602</v>
      </c>
      <c r="I1802" s="17" t="s">
        <v>80</v>
      </c>
      <c r="J1802" s="77">
        <v>43.7</v>
      </c>
      <c r="K1802" s="77">
        <v>32.75</v>
      </c>
      <c r="L1802" s="371">
        <v>27.47</v>
      </c>
      <c r="N1802" s="365">
        <f t="shared" si="525"/>
        <v>103.92</v>
      </c>
      <c r="O1802" s="343">
        <f t="shared" si="526"/>
        <v>43.7</v>
      </c>
      <c r="P1802" s="195">
        <v>11</v>
      </c>
      <c r="Q1802" s="326">
        <f>IFERROR(VLOOKUP($G1802,主力整理!$A$2:$G$2301,6,0),"0")</f>
        <v>6</v>
      </c>
      <c r="R1802" s="111">
        <v>12</v>
      </c>
      <c r="S1802" s="51">
        <v>3</v>
      </c>
      <c r="T1802" s="339">
        <f t="shared" si="527"/>
        <v>32</v>
      </c>
      <c r="V1802" s="371">
        <v>7.24</v>
      </c>
      <c r="W1802" s="35">
        <v>1.31</v>
      </c>
      <c r="X1802" s="100">
        <v>2.5499999999999998</v>
      </c>
      <c r="Y1802" s="37" t="str">
        <f>RTD("money.excel",,"8044","Price")</f>
        <v>無資料</v>
      </c>
      <c r="Z1802" s="69"/>
      <c r="AA1802" s="16" t="e">
        <f t="shared" si="528"/>
        <v>#VALUE!</v>
      </c>
      <c r="AB1802" s="3" t="e">
        <f t="shared" si="529"/>
        <v>#VALUE!</v>
      </c>
      <c r="AC1802" s="177" t="s">
        <v>2648</v>
      </c>
      <c r="AD1802" s="17" t="s">
        <v>80</v>
      </c>
      <c r="AG1802" s="34">
        <f t="shared" si="530"/>
        <v>0</v>
      </c>
      <c r="AH1802" s="125" t="s">
        <v>602</v>
      </c>
      <c r="AI1802" s="131"/>
      <c r="AK1802" s="66">
        <f t="shared" si="531"/>
        <v>0</v>
      </c>
      <c r="AL1802" s="174">
        <f t="shared" si="532"/>
        <v>0</v>
      </c>
      <c r="AM1802" s="346">
        <f>RTD("money.excel",,$G1802,"PredictVolume")</f>
        <v>0</v>
      </c>
      <c r="AN1802" s="272">
        <f>RTD("money.excel",,$G1802,"CumulativeVolume")</f>
        <v>0</v>
      </c>
      <c r="AO1802" s="284"/>
    </row>
    <row r="1803" spans="1:41">
      <c r="A1803" s="135" t="s">
        <v>4777</v>
      </c>
      <c r="B1803" s="96">
        <v>21</v>
      </c>
      <c r="C1803" s="96">
        <v>29</v>
      </c>
      <c r="D1803" s="96">
        <v>-2</v>
      </c>
      <c r="E1803" s="96">
        <v>-9</v>
      </c>
      <c r="F1803" s="59">
        <v>11.65</v>
      </c>
      <c r="G1803" s="85">
        <v>8472</v>
      </c>
      <c r="H1803" s="55" t="s">
        <v>602</v>
      </c>
      <c r="I1803" s="17" t="s">
        <v>1675</v>
      </c>
      <c r="J1803" s="77">
        <v>59.42</v>
      </c>
      <c r="K1803" s="77">
        <v>34.96</v>
      </c>
      <c r="N1803" s="365">
        <f t="shared" si="525"/>
        <v>94.38</v>
      </c>
      <c r="O1803" s="343">
        <f t="shared" si="526"/>
        <v>59.42</v>
      </c>
      <c r="P1803" s="195" t="s">
        <v>5554</v>
      </c>
      <c r="Q1803" s="326" t="str">
        <f>IFERROR(VLOOKUP($G1803,主力整理!$A$2:$G$2301,6,0),"0")</f>
        <v>0</v>
      </c>
      <c r="T1803" s="339">
        <f t="shared" si="527"/>
        <v>0</v>
      </c>
      <c r="V1803" s="371">
        <v>21.38</v>
      </c>
      <c r="W1803" s="35">
        <v>2.5</v>
      </c>
      <c r="X1803" s="100">
        <v>2.61</v>
      </c>
      <c r="Y1803" s="14" t="str">
        <f>RTD("money.excel",,"8472","Price")</f>
        <v>無資料</v>
      </c>
      <c r="Z1803" s="69"/>
      <c r="AA1803" s="16" t="e">
        <f t="shared" si="528"/>
        <v>#VALUE!</v>
      </c>
      <c r="AB1803" s="3" t="e">
        <f t="shared" si="529"/>
        <v>#VALUE!</v>
      </c>
      <c r="AD1803" s="17" t="s">
        <v>1675</v>
      </c>
      <c r="AG1803" s="34">
        <f t="shared" si="530"/>
        <v>0</v>
      </c>
      <c r="AH1803" s="63" t="s">
        <v>4245</v>
      </c>
      <c r="AI1803" s="131"/>
      <c r="AK1803" s="66">
        <f t="shared" si="531"/>
        <v>0</v>
      </c>
      <c r="AL1803" s="174">
        <f t="shared" si="532"/>
        <v>0</v>
      </c>
      <c r="AM1803" s="346">
        <f>RTD("money.excel",,$G1803,"PredictVolume")</f>
        <v>0</v>
      </c>
      <c r="AN1803" s="272">
        <f>RTD("money.excel",,$G1803,"CumulativeVolume")</f>
        <v>0</v>
      </c>
      <c r="AO1803" s="284"/>
    </row>
    <row r="1804" spans="1:41">
      <c r="A1804" s="151" t="s">
        <v>3492</v>
      </c>
      <c r="B1804" s="85">
        <v>-2</v>
      </c>
      <c r="C1804" s="85">
        <v>-4</v>
      </c>
      <c r="D1804" s="85">
        <v>26</v>
      </c>
      <c r="E1804" s="85">
        <v>-33</v>
      </c>
      <c r="F1804" s="7">
        <v>0.98</v>
      </c>
      <c r="G1804" s="85">
        <v>8477</v>
      </c>
      <c r="H1804" s="4" t="s">
        <v>602</v>
      </c>
      <c r="I1804" s="17" t="s">
        <v>1676</v>
      </c>
      <c r="J1804" s="77">
        <v>43.24</v>
      </c>
      <c r="K1804" s="371">
        <v>26.56</v>
      </c>
      <c r="N1804" s="365">
        <f t="shared" si="525"/>
        <v>69.8</v>
      </c>
      <c r="O1804" s="343">
        <f t="shared" si="526"/>
        <v>43.24</v>
      </c>
      <c r="P1804" s="195" t="s">
        <v>5554</v>
      </c>
      <c r="Q1804" s="326" t="str">
        <f>IFERROR(VLOOKUP($G1804,主力整理!$A$2:$G$2301,6,0),"0")</f>
        <v>0</v>
      </c>
      <c r="T1804" s="339">
        <f t="shared" si="527"/>
        <v>0</v>
      </c>
      <c r="W1804" s="35">
        <v>2.4500000000000002</v>
      </c>
      <c r="X1804" s="100">
        <v>0.5</v>
      </c>
      <c r="Y1804" s="37" t="str">
        <f>RTD("money.excel",,"8477","Price")</f>
        <v>無資料</v>
      </c>
      <c r="Z1804" s="69"/>
      <c r="AA1804" s="16" t="e">
        <f t="shared" si="528"/>
        <v>#VALUE!</v>
      </c>
      <c r="AB1804" s="3" t="e">
        <f t="shared" si="529"/>
        <v>#VALUE!</v>
      </c>
      <c r="AC1804" s="177" t="s">
        <v>2648</v>
      </c>
      <c r="AD1804" s="17" t="s">
        <v>1676</v>
      </c>
      <c r="AG1804" s="34">
        <f t="shared" si="530"/>
        <v>0</v>
      </c>
      <c r="AH1804" s="44" t="s">
        <v>602</v>
      </c>
      <c r="AI1804" s="131"/>
      <c r="AK1804" s="66">
        <f t="shared" si="531"/>
        <v>0</v>
      </c>
      <c r="AL1804" s="174">
        <f t="shared" si="532"/>
        <v>0</v>
      </c>
      <c r="AM1804" s="346">
        <f>RTD("money.excel",,$G1804,"PredictVolume")</f>
        <v>0</v>
      </c>
      <c r="AN1804" s="272">
        <f>RTD("money.excel",,$G1804,"CumulativeVolume")</f>
        <v>0</v>
      </c>
      <c r="AO1804" s="284"/>
    </row>
    <row r="1805" spans="1:41">
      <c r="A1805" s="151"/>
      <c r="B1805" s="85"/>
      <c r="C1805" s="85"/>
      <c r="D1805" s="85"/>
      <c r="E1805" s="85"/>
      <c r="F1805" s="7"/>
      <c r="G1805" s="85"/>
      <c r="H1805" s="4"/>
      <c r="I1805" s="17"/>
      <c r="J1805" s="77"/>
      <c r="K1805" s="371"/>
      <c r="N1805" s="365"/>
      <c r="O1805" s="343"/>
      <c r="P1805" s="195"/>
      <c r="W1805" s="35"/>
      <c r="X1805" s="100"/>
      <c r="Y1805" s="37"/>
      <c r="Z1805" s="69"/>
      <c r="AA1805" s="16"/>
      <c r="AB1805" s="3"/>
      <c r="AD1805" s="17"/>
      <c r="AG1805" s="34"/>
      <c r="AH1805" s="44"/>
      <c r="AI1805" s="131"/>
      <c r="AK1805" s="66"/>
      <c r="AL1805" s="174"/>
      <c r="AM1805" s="346"/>
      <c r="AN1805" s="272"/>
      <c r="AO1805" s="284"/>
    </row>
    <row r="1806" spans="1:41">
      <c r="A1806" s="135" t="s">
        <v>2552</v>
      </c>
      <c r="B1806" s="96" t="s">
        <v>2331</v>
      </c>
      <c r="C1806" s="96" t="s">
        <v>2332</v>
      </c>
      <c r="D1806" s="96" t="s">
        <v>2333</v>
      </c>
      <c r="E1806" s="96" t="s">
        <v>2334</v>
      </c>
      <c r="F1806" s="9" t="s">
        <v>1709</v>
      </c>
      <c r="G1806" s="52" t="s">
        <v>1673</v>
      </c>
      <c r="H1806" s="56" t="s">
        <v>578</v>
      </c>
      <c r="I1806" s="51" t="s">
        <v>1678</v>
      </c>
      <c r="J1806" s="364" t="s">
        <v>2189</v>
      </c>
      <c r="K1806" s="364" t="s">
        <v>1820</v>
      </c>
      <c r="L1806" s="364" t="s">
        <v>515</v>
      </c>
      <c r="M1806" s="364" t="s">
        <v>1699</v>
      </c>
      <c r="N1806" s="364" t="s">
        <v>6604</v>
      </c>
      <c r="O1806" s="343" t="s">
        <v>6620</v>
      </c>
      <c r="P1806" s="83" t="s">
        <v>5279</v>
      </c>
      <c r="Q1806" s="326" t="s">
        <v>5514</v>
      </c>
      <c r="R1806" s="31" t="s">
        <v>6596</v>
      </c>
      <c r="S1806" s="51" t="s">
        <v>6597</v>
      </c>
      <c r="T1806" s="338" t="s">
        <v>5627</v>
      </c>
      <c r="U1806" s="330" t="s">
        <v>6537</v>
      </c>
      <c r="V1806" s="377" t="s">
        <v>6616</v>
      </c>
      <c r="W1806" s="11" t="s">
        <v>127</v>
      </c>
      <c r="X1806" s="71" t="s">
        <v>5216</v>
      </c>
      <c r="Y1806" s="29" t="s">
        <v>3</v>
      </c>
      <c r="Z1806" s="18" t="s">
        <v>2113</v>
      </c>
      <c r="AA1806" s="15" t="s">
        <v>8</v>
      </c>
      <c r="AB1806" s="22" t="s">
        <v>4</v>
      </c>
      <c r="AC1806" s="358" t="s">
        <v>211</v>
      </c>
      <c r="AD1806" s="51" t="s">
        <v>1678</v>
      </c>
      <c r="AE1806" s="75" t="s">
        <v>2114</v>
      </c>
      <c r="AF1806" s="76" t="s">
        <v>1826</v>
      </c>
      <c r="AG1806" s="33" t="s">
        <v>1827</v>
      </c>
      <c r="AH1806" s="44"/>
      <c r="AI1806" s="131"/>
      <c r="AK1806" s="9" t="s">
        <v>6666</v>
      </c>
      <c r="AL1806" s="5" t="s">
        <v>6667</v>
      </c>
      <c r="AM1806" s="51" t="s">
        <v>5339</v>
      </c>
      <c r="AN1806" s="276" t="s">
        <v>6665</v>
      </c>
      <c r="AO1806" s="284"/>
    </row>
    <row r="1807" spans="1:41">
      <c r="A1807" s="151" t="s">
        <v>4776</v>
      </c>
      <c r="B1807" s="96">
        <v>-74</v>
      </c>
      <c r="C1807" s="96">
        <v>-64</v>
      </c>
      <c r="D1807" s="96">
        <v>10</v>
      </c>
      <c r="E1807" s="96">
        <v>229</v>
      </c>
      <c r="F1807" s="7">
        <v>3.28</v>
      </c>
      <c r="G1807" s="85">
        <v>6578</v>
      </c>
      <c r="H1807" s="4" t="s">
        <v>1678</v>
      </c>
      <c r="I1807" s="17" t="s">
        <v>1789</v>
      </c>
      <c r="J1807" s="77">
        <v>53.83</v>
      </c>
      <c r="K1807" s="77">
        <v>0</v>
      </c>
      <c r="N1807" s="365">
        <f>J1807+K1807+L1807+M1807</f>
        <v>53.83</v>
      </c>
      <c r="O1807" s="343">
        <f>J1807+M1807</f>
        <v>53.83</v>
      </c>
      <c r="P1807" s="195" t="s">
        <v>5554</v>
      </c>
      <c r="Q1807" s="326" t="str">
        <f>IFERROR(VLOOKUP($G1807,主力整理!$A$2:$G$2301,6,0),"0")</f>
        <v>0</v>
      </c>
      <c r="T1807" s="339">
        <f>SUM(P1807:S1807)</f>
        <v>0</v>
      </c>
      <c r="V1807" s="371">
        <v>26.7</v>
      </c>
      <c r="W1807" s="35">
        <v>1.2</v>
      </c>
      <c r="X1807" s="100">
        <v>0.25</v>
      </c>
      <c r="Y1807" s="14" t="str">
        <f>RTD("money.excel",,"6578","Price")</f>
        <v>無資料</v>
      </c>
      <c r="Z1807" s="69"/>
      <c r="AA1807" s="16" t="e">
        <f>Y1807-Z1807</f>
        <v>#VALUE!</v>
      </c>
      <c r="AB1807" s="3" t="e">
        <f>AA1807/Z1807</f>
        <v>#VALUE!</v>
      </c>
      <c r="AD1807" s="17" t="s">
        <v>1789</v>
      </c>
      <c r="AG1807" s="34">
        <f>AF1807-AE1807</f>
        <v>0</v>
      </c>
      <c r="AH1807" s="44" t="s">
        <v>4116</v>
      </c>
      <c r="AI1807" s="131"/>
      <c r="AK1807" s="66">
        <f>AM1807/(A1807*10000)</f>
        <v>0</v>
      </c>
      <c r="AL1807" s="174">
        <f>AN1807/(A1807*10000)</f>
        <v>0</v>
      </c>
      <c r="AM1807" s="346">
        <f>RTD("money.excel",,$G1807,"PredictVolume")</f>
        <v>0</v>
      </c>
      <c r="AN1807" s="272">
        <f>RTD("money.excel",,$G1807,"CumulativeVolume")</f>
        <v>0</v>
      </c>
      <c r="AO1807" s="284"/>
    </row>
    <row r="1808" spans="1:41">
      <c r="A1808" s="151" t="s">
        <v>4778</v>
      </c>
      <c r="B1808" s="96">
        <v>2</v>
      </c>
      <c r="C1808" s="96">
        <v>33</v>
      </c>
      <c r="D1808" s="96">
        <v>20</v>
      </c>
      <c r="E1808" s="96">
        <v>17</v>
      </c>
      <c r="F1808" s="7">
        <v>6.23</v>
      </c>
      <c r="G1808" s="85">
        <v>1240</v>
      </c>
      <c r="H1808" s="4" t="s">
        <v>1678</v>
      </c>
      <c r="I1808" s="17" t="s">
        <v>1788</v>
      </c>
      <c r="J1808" s="77">
        <v>57.58</v>
      </c>
      <c r="K1808" s="77">
        <v>0.26</v>
      </c>
      <c r="N1808" s="365">
        <f>J1808+K1808+L1808+M1808</f>
        <v>57.839999999999996</v>
      </c>
      <c r="O1808" s="343">
        <f>J1808+M1808</f>
        <v>57.58</v>
      </c>
      <c r="P1808" s="195" t="s">
        <v>5554</v>
      </c>
      <c r="Q1808" s="326" t="str">
        <f>IFERROR(VLOOKUP($G1808,主力整理!$A$2:$G$2301,6,0),"0")</f>
        <v>0</v>
      </c>
      <c r="T1808" s="339">
        <f>SUM(P1808:S1808)</f>
        <v>0</v>
      </c>
      <c r="V1808" s="371">
        <v>19.739999999999998</v>
      </c>
      <c r="W1808" s="35">
        <v>2.5</v>
      </c>
      <c r="X1808" s="100">
        <v>4.51</v>
      </c>
      <c r="Y1808" s="14" t="str">
        <f>RTD("money.excel",,"1240","Price")</f>
        <v>無資料</v>
      </c>
      <c r="Z1808" s="69"/>
      <c r="AA1808" s="16" t="e">
        <f>Y1808-Z1808</f>
        <v>#VALUE!</v>
      </c>
      <c r="AB1808" s="3" t="e">
        <f>AA1808/Z1808</f>
        <v>#VALUE!</v>
      </c>
      <c r="AD1808" s="17" t="s">
        <v>1788</v>
      </c>
      <c r="AG1808" s="34">
        <f>AF1808-AE1808</f>
        <v>0</v>
      </c>
      <c r="AH1808" s="44" t="s">
        <v>4116</v>
      </c>
      <c r="AI1808" s="131"/>
      <c r="AK1808" s="66">
        <f>AM1808/(A1808*10000)</f>
        <v>0</v>
      </c>
      <c r="AL1808" s="174">
        <f>AN1808/(A1808*10000)</f>
        <v>0</v>
      </c>
      <c r="AM1808" s="346">
        <f>RTD("money.excel",,$G1808,"PredictVolume")</f>
        <v>0</v>
      </c>
      <c r="AN1808" s="272">
        <f>RTD("money.excel",,$G1808,"CumulativeVolume")</f>
        <v>0</v>
      </c>
      <c r="AO1808" s="284"/>
    </row>
    <row r="1809" spans="1:41">
      <c r="A1809" s="135" t="s">
        <v>4779</v>
      </c>
      <c r="B1809" s="96">
        <v>-11</v>
      </c>
      <c r="C1809" s="96">
        <v>4</v>
      </c>
      <c r="D1809" s="96">
        <v>52</v>
      </c>
      <c r="E1809" s="96">
        <v>4</v>
      </c>
      <c r="F1809" s="59">
        <v>17.760000000000002</v>
      </c>
      <c r="G1809" s="85">
        <v>6508</v>
      </c>
      <c r="H1809" s="4" t="s">
        <v>1678</v>
      </c>
      <c r="I1809" s="17" t="s">
        <v>1681</v>
      </c>
      <c r="J1809" s="77">
        <v>63.03</v>
      </c>
      <c r="K1809" s="77">
        <v>0.1</v>
      </c>
      <c r="L1809" s="77">
        <v>0.22</v>
      </c>
      <c r="N1809" s="365">
        <f>J1809+K1809+L1809+M1809</f>
        <v>63.35</v>
      </c>
      <c r="O1809" s="343">
        <f>J1809+M1809</f>
        <v>63.03</v>
      </c>
      <c r="P1809" s="195" t="s">
        <v>5554</v>
      </c>
      <c r="Q1809" s="326" t="str">
        <f>IFERROR(VLOOKUP($G1809,主力整理!$A$2:$G$2301,6,0),"0")</f>
        <v>0</v>
      </c>
      <c r="T1809" s="339">
        <f>SUM(P1809:S1809)</f>
        <v>0</v>
      </c>
      <c r="V1809" s="371">
        <v>35.06</v>
      </c>
      <c r="W1809" s="35">
        <v>1.6</v>
      </c>
      <c r="X1809" s="100">
        <v>2.2200000000000002</v>
      </c>
      <c r="Y1809" s="14" t="str">
        <f>RTD("money.excel",,"6508","Price")</f>
        <v>無資料</v>
      </c>
      <c r="Z1809" s="69"/>
      <c r="AA1809" s="16" t="e">
        <f>Y1809-Z1809</f>
        <v>#VALUE!</v>
      </c>
      <c r="AB1809" s="3" t="e">
        <f>AA1809/Z1809</f>
        <v>#VALUE!</v>
      </c>
      <c r="AD1809" s="17" t="s">
        <v>1681</v>
      </c>
      <c r="AG1809" s="34">
        <f>AF1809-AE1809</f>
        <v>0</v>
      </c>
      <c r="AH1809" s="63" t="s">
        <v>4247</v>
      </c>
      <c r="AI1809" s="131"/>
      <c r="AK1809" s="66">
        <f>AM1809/(A1809*10000)</f>
        <v>0</v>
      </c>
      <c r="AL1809" s="174">
        <f>AN1809/(A1809*10000)</f>
        <v>0</v>
      </c>
      <c r="AM1809" s="346">
        <f>RTD("money.excel",,$G1809,"PredictVolume")</f>
        <v>0</v>
      </c>
      <c r="AN1809" s="272">
        <f>RTD("money.excel",,$G1809,"CumulativeVolume")</f>
        <v>0</v>
      </c>
      <c r="AO1809" s="284"/>
    </row>
    <row r="1810" spans="1:41">
      <c r="A1810" s="135" t="s">
        <v>2883</v>
      </c>
      <c r="B1810" s="84">
        <v>78</v>
      </c>
      <c r="C1810" s="84">
        <v>72</v>
      </c>
      <c r="D1810" s="85">
        <v>-12</v>
      </c>
      <c r="E1810" s="84">
        <v>84</v>
      </c>
      <c r="F1810" s="59">
        <v>50.65</v>
      </c>
      <c r="G1810" s="85">
        <v>4171</v>
      </c>
      <c r="H1810" s="4" t="s">
        <v>1678</v>
      </c>
      <c r="I1810" s="17" t="s">
        <v>1680</v>
      </c>
      <c r="J1810" s="371">
        <v>28.56</v>
      </c>
      <c r="K1810" s="371">
        <v>18.690000000000001</v>
      </c>
      <c r="L1810" s="77">
        <v>20.010000000000002</v>
      </c>
      <c r="N1810" s="365">
        <f>J1810+K1810+L1810+M1810</f>
        <v>67.260000000000005</v>
      </c>
      <c r="O1810" s="343">
        <f>J1810+M1810</f>
        <v>28.56</v>
      </c>
      <c r="P1810" s="195" t="s">
        <v>5554</v>
      </c>
      <c r="Q1810" s="326" t="str">
        <f>IFERROR(VLOOKUP($G1810,主力整理!$A$2:$G$2301,6,0),"0")</f>
        <v>0</v>
      </c>
      <c r="R1810" s="111">
        <v>28</v>
      </c>
      <c r="S1810" s="51">
        <v>0</v>
      </c>
      <c r="T1810" s="339">
        <f>SUM(P1810:S1810)</f>
        <v>28</v>
      </c>
      <c r="V1810" s="371">
        <v>1.28</v>
      </c>
      <c r="W1810" s="69">
        <v>3.83</v>
      </c>
      <c r="X1810" s="100">
        <v>8.92</v>
      </c>
      <c r="Y1810" s="37" t="str">
        <f>RTD("money.excel",,"4171","Price")</f>
        <v>無資料</v>
      </c>
      <c r="Z1810" s="69"/>
      <c r="AA1810" s="16" t="e">
        <f>Y1810-Z1810</f>
        <v>#VALUE!</v>
      </c>
      <c r="AB1810" s="3" t="e">
        <f>AA1810/Z1810</f>
        <v>#VALUE!</v>
      </c>
      <c r="AC1810" s="177" t="s">
        <v>2929</v>
      </c>
      <c r="AD1810" s="17" t="s">
        <v>1680</v>
      </c>
      <c r="AG1810" s="34">
        <f>AF1810-AE1810</f>
        <v>0</v>
      </c>
      <c r="AH1810" s="63" t="s">
        <v>4246</v>
      </c>
      <c r="AI1810" s="131"/>
      <c r="AK1810" s="66">
        <f>AM1810/(A1810*10000)</f>
        <v>0</v>
      </c>
      <c r="AL1810" s="174">
        <f>AN1810/(A1810*10000)</f>
        <v>0</v>
      </c>
      <c r="AM1810" s="346">
        <f>RTD("money.excel",,$G1810,"PredictVolume")</f>
        <v>0</v>
      </c>
      <c r="AN1810" s="272">
        <f>RTD("money.excel",,$G1810,"CumulativeVolume")</f>
        <v>0</v>
      </c>
      <c r="AO1810" s="284"/>
    </row>
    <row r="1811" spans="1:41">
      <c r="B1811" s="84"/>
      <c r="C1811" s="84"/>
      <c r="D1811" s="85"/>
      <c r="E1811" s="84"/>
      <c r="F1811" s="59"/>
      <c r="G1811" s="85"/>
      <c r="H1811" s="4"/>
      <c r="I1811" s="17"/>
      <c r="J1811" s="371"/>
      <c r="K1811" s="371"/>
      <c r="N1811" s="365"/>
      <c r="O1811" s="343"/>
      <c r="P1811" s="195"/>
      <c r="W1811" s="69"/>
      <c r="X1811" s="100"/>
      <c r="Y1811" s="37"/>
      <c r="Z1811" s="69"/>
      <c r="AA1811" s="16"/>
      <c r="AB1811" s="3"/>
      <c r="AD1811" s="17"/>
      <c r="AG1811" s="34"/>
      <c r="AH1811" s="63"/>
      <c r="AI1811" s="131"/>
      <c r="AK1811" s="66"/>
      <c r="AL1811" s="174"/>
      <c r="AM1811" s="346"/>
      <c r="AN1811" s="272"/>
      <c r="AO1811" s="284"/>
    </row>
    <row r="1812" spans="1:41">
      <c r="A1812" s="135" t="s">
        <v>2552</v>
      </c>
      <c r="B1812" s="96" t="s">
        <v>2331</v>
      </c>
      <c r="C1812" s="96" t="s">
        <v>2332</v>
      </c>
      <c r="D1812" s="96" t="s">
        <v>2333</v>
      </c>
      <c r="E1812" s="96" t="s">
        <v>2334</v>
      </c>
      <c r="F1812" s="9" t="s">
        <v>1709</v>
      </c>
      <c r="G1812" s="52" t="s">
        <v>1486</v>
      </c>
      <c r="H1812" s="56" t="s">
        <v>578</v>
      </c>
      <c r="I1812" s="51" t="s">
        <v>1485</v>
      </c>
      <c r="J1812" s="364" t="s">
        <v>463</v>
      </c>
      <c r="K1812" s="364" t="s">
        <v>1820</v>
      </c>
      <c r="L1812" s="364" t="s">
        <v>515</v>
      </c>
      <c r="M1812" s="364" t="s">
        <v>1699</v>
      </c>
      <c r="N1812" s="364" t="s">
        <v>6604</v>
      </c>
      <c r="O1812" s="343" t="s">
        <v>6620</v>
      </c>
      <c r="P1812" s="83" t="s">
        <v>5279</v>
      </c>
      <c r="Q1812" s="326" t="s">
        <v>5514</v>
      </c>
      <c r="R1812" s="31" t="s">
        <v>6596</v>
      </c>
      <c r="S1812" s="51" t="s">
        <v>6597</v>
      </c>
      <c r="T1812" s="338" t="s">
        <v>5627</v>
      </c>
      <c r="U1812" s="330" t="s">
        <v>6537</v>
      </c>
      <c r="V1812" s="377" t="s">
        <v>6616</v>
      </c>
      <c r="W1812" s="11" t="s">
        <v>127</v>
      </c>
      <c r="X1812" s="71" t="s">
        <v>5216</v>
      </c>
      <c r="Y1812" s="29" t="s">
        <v>3</v>
      </c>
      <c r="Z1812" s="18" t="s">
        <v>2113</v>
      </c>
      <c r="AA1812" s="15" t="s">
        <v>8</v>
      </c>
      <c r="AB1812" s="22" t="s">
        <v>4</v>
      </c>
      <c r="AC1812" s="358" t="s">
        <v>211</v>
      </c>
      <c r="AD1812" s="51" t="s">
        <v>1485</v>
      </c>
      <c r="AE1812" s="75" t="s">
        <v>2114</v>
      </c>
      <c r="AF1812" s="76" t="s">
        <v>1826</v>
      </c>
      <c r="AG1812" s="33" t="s">
        <v>1827</v>
      </c>
      <c r="AH1812" s="44"/>
      <c r="AI1812" s="131"/>
      <c r="AK1812" s="9" t="s">
        <v>6666</v>
      </c>
      <c r="AL1812" s="5" t="s">
        <v>6667</v>
      </c>
      <c r="AM1812" s="51" t="s">
        <v>5339</v>
      </c>
      <c r="AN1812" s="276" t="s">
        <v>6665</v>
      </c>
      <c r="AO1812" s="284"/>
    </row>
    <row r="1813" spans="1:41">
      <c r="A1813" s="151" t="s">
        <v>4874</v>
      </c>
      <c r="B1813" s="96">
        <v>91</v>
      </c>
      <c r="C1813" s="96">
        <v>-24</v>
      </c>
      <c r="D1813" s="96">
        <v>29</v>
      </c>
      <c r="E1813" s="96">
        <v>48</v>
      </c>
      <c r="F1813" s="7">
        <v>3.28</v>
      </c>
      <c r="G1813" s="85">
        <v>2515</v>
      </c>
      <c r="H1813" s="4" t="s">
        <v>586</v>
      </c>
      <c r="I1813" s="23" t="s">
        <v>585</v>
      </c>
      <c r="J1813" s="77">
        <v>47.4</v>
      </c>
      <c r="K1813" s="77">
        <v>7.69</v>
      </c>
      <c r="L1813" s="77">
        <v>17.89</v>
      </c>
      <c r="N1813" s="365">
        <f>J1813+K1813+L1813+M1813</f>
        <v>72.97999999999999</v>
      </c>
      <c r="O1813" s="343">
        <f>J1813+M1813</f>
        <v>47.4</v>
      </c>
      <c r="P1813" s="195" t="s">
        <v>5554</v>
      </c>
      <c r="Q1813" s="326">
        <f>IFERROR(VLOOKUP($G1813,主力整理!$A$2:$G$2301,6,0),"0")</f>
        <v>10</v>
      </c>
      <c r="T1813" s="339">
        <f>SUM(P1813:S1813)</f>
        <v>10</v>
      </c>
      <c r="V1813" s="371">
        <v>11.51</v>
      </c>
      <c r="W1813" s="35">
        <v>0.23</v>
      </c>
      <c r="X1813" s="100">
        <v>0.4</v>
      </c>
      <c r="Y1813" s="37" t="str">
        <f>RTD("money.excel",,"2515","Price")</f>
        <v>無資料</v>
      </c>
      <c r="Z1813" s="69"/>
      <c r="AA1813" s="16" t="e">
        <f>Y1813-Z1813</f>
        <v>#VALUE!</v>
      </c>
      <c r="AB1813" s="3" t="e">
        <f>AA1813/Z1813</f>
        <v>#VALUE!</v>
      </c>
      <c r="AD1813" s="23" t="s">
        <v>585</v>
      </c>
      <c r="AG1813" s="34">
        <f>AF1813-AE1813</f>
        <v>0</v>
      </c>
      <c r="AH1813" s="44" t="s">
        <v>2290</v>
      </c>
      <c r="AI1813" s="131"/>
      <c r="AK1813" s="66">
        <f>AM1813/(A1813*10000)</f>
        <v>0</v>
      </c>
      <c r="AL1813" s="174">
        <f>AN1813/(A1813*10000)</f>
        <v>0</v>
      </c>
      <c r="AM1813" s="346">
        <f>RTD("money.excel",,$G1813,"PredictVolume")</f>
        <v>0</v>
      </c>
      <c r="AN1813" s="272">
        <f>RTD("money.excel",,$G1813,"CumulativeVolume")</f>
        <v>0</v>
      </c>
      <c r="AO1813" s="284"/>
    </row>
    <row r="1814" spans="1:41">
      <c r="A1814" s="135" t="s">
        <v>3034</v>
      </c>
      <c r="B1814" s="84">
        <v>45</v>
      </c>
      <c r="C1814" s="84">
        <v>53</v>
      </c>
      <c r="D1814" s="85">
        <v>-16</v>
      </c>
      <c r="E1814" s="84">
        <v>6</v>
      </c>
      <c r="F1814" s="59">
        <v>24.36</v>
      </c>
      <c r="G1814" s="85">
        <v>5522</v>
      </c>
      <c r="H1814" s="53" t="s">
        <v>586</v>
      </c>
      <c r="I1814" s="23" t="s">
        <v>259</v>
      </c>
      <c r="J1814" s="371">
        <v>86.7</v>
      </c>
      <c r="K1814" s="371">
        <v>14.79</v>
      </c>
      <c r="L1814" s="371">
        <v>0.25</v>
      </c>
      <c r="N1814" s="365">
        <f>J1814+K1814+L1814+M1814</f>
        <v>101.74000000000001</v>
      </c>
      <c r="O1814" s="343">
        <f>J1814+M1814</f>
        <v>86.7</v>
      </c>
      <c r="P1814" s="195">
        <v>7</v>
      </c>
      <c r="Q1814" s="326">
        <v>3</v>
      </c>
      <c r="R1814" s="111">
        <v>0</v>
      </c>
      <c r="S1814" s="51">
        <v>10</v>
      </c>
      <c r="T1814" s="339">
        <f>SUM(P1814:S1814)</f>
        <v>20</v>
      </c>
      <c r="U1814" s="329" t="s">
        <v>6539</v>
      </c>
      <c r="V1814" s="371">
        <v>0.83</v>
      </c>
      <c r="W1814" s="69">
        <v>1</v>
      </c>
      <c r="X1814" s="59">
        <v>6.13</v>
      </c>
      <c r="Y1814" s="37" t="str">
        <f>RTD("money.excel",,"5522","Price")</f>
        <v>無資料</v>
      </c>
      <c r="Z1814" s="69"/>
      <c r="AA1814" s="16" t="e">
        <f>Y1814-Z1814</f>
        <v>#VALUE!</v>
      </c>
      <c r="AB1814" s="3" t="e">
        <f>AA1814/Z1814</f>
        <v>#VALUE!</v>
      </c>
      <c r="AC1814" s="177" t="s">
        <v>2929</v>
      </c>
      <c r="AD1814" s="23" t="s">
        <v>259</v>
      </c>
      <c r="AG1814" s="34">
        <f>AF1814-AE1814</f>
        <v>0</v>
      </c>
      <c r="AH1814" s="126" t="s">
        <v>3191</v>
      </c>
      <c r="AI1814" s="131"/>
      <c r="AK1814" s="66">
        <f>AM1814/(A1814*10000)</f>
        <v>0</v>
      </c>
      <c r="AL1814" s="174">
        <f>AN1814/(A1814*10000)</f>
        <v>0</v>
      </c>
      <c r="AM1814" s="346">
        <f>RTD("money.excel",,$G1814,"PredictVolume")</f>
        <v>0</v>
      </c>
      <c r="AN1814" s="272">
        <f>RTD("money.excel",,$G1814,"CumulativeVolume")</f>
        <v>0</v>
      </c>
      <c r="AO1814" s="284"/>
    </row>
    <row r="1815" spans="1:41" ht="15">
      <c r="A1815" s="284"/>
      <c r="B1815" s="284"/>
      <c r="C1815" s="284"/>
      <c r="D1815" s="284"/>
      <c r="E1815" s="284"/>
      <c r="F1815" s="284"/>
      <c r="G1815" s="284"/>
      <c r="H1815" s="284"/>
      <c r="I1815" s="284"/>
      <c r="J1815" s="284"/>
      <c r="K1815" s="284"/>
      <c r="L1815" s="284"/>
      <c r="M1815" s="284"/>
      <c r="N1815" s="284"/>
      <c r="O1815" s="284"/>
      <c r="P1815" s="284"/>
      <c r="Q1815" s="284"/>
      <c r="R1815" s="284"/>
      <c r="S1815" s="284"/>
      <c r="T1815" s="284"/>
      <c r="U1815" s="284"/>
      <c r="V1815" s="284"/>
      <c r="W1815" s="284"/>
      <c r="X1815" s="284"/>
      <c r="Y1815" s="284"/>
      <c r="Z1815" s="284"/>
      <c r="AA1815" s="284"/>
      <c r="AB1815" s="284"/>
      <c r="AC1815" s="284"/>
      <c r="AD1815" s="284"/>
      <c r="AE1815" s="284"/>
      <c r="AF1815" s="284"/>
      <c r="AG1815" s="284"/>
      <c r="AH1815" s="284"/>
      <c r="AI1815" s="284"/>
      <c r="AJ1815" s="284"/>
      <c r="AK1815" s="284"/>
      <c r="AL1815" s="284"/>
      <c r="AM1815" s="284"/>
      <c r="AN1815" s="284"/>
      <c r="AO1815" s="284"/>
    </row>
    <row r="1816" spans="1:41">
      <c r="A1816" s="135" t="s">
        <v>2552</v>
      </c>
      <c r="B1816" s="96" t="s">
        <v>2331</v>
      </c>
      <c r="C1816" s="96" t="s">
        <v>2332</v>
      </c>
      <c r="D1816" s="96" t="s">
        <v>2333</v>
      </c>
      <c r="E1816" s="96" t="s">
        <v>2334</v>
      </c>
      <c r="F1816" s="9" t="s">
        <v>1709</v>
      </c>
      <c r="G1816" s="52" t="s">
        <v>779</v>
      </c>
      <c r="H1816" s="56" t="s">
        <v>578</v>
      </c>
      <c r="I1816" s="51" t="s">
        <v>559</v>
      </c>
      <c r="J1816" s="364" t="s">
        <v>2189</v>
      </c>
      <c r="K1816" s="364" t="s">
        <v>1820</v>
      </c>
      <c r="L1816" s="364" t="s">
        <v>515</v>
      </c>
      <c r="M1816" s="364" t="s">
        <v>1699</v>
      </c>
      <c r="N1816" s="364" t="s">
        <v>6604</v>
      </c>
      <c r="O1816" s="343" t="s">
        <v>6620</v>
      </c>
      <c r="P1816" s="83" t="s">
        <v>5279</v>
      </c>
      <c r="Q1816" s="326" t="s">
        <v>5514</v>
      </c>
      <c r="R1816" s="31" t="s">
        <v>6596</v>
      </c>
      <c r="S1816" s="51" t="s">
        <v>6597</v>
      </c>
      <c r="T1816" s="338" t="s">
        <v>5627</v>
      </c>
      <c r="U1816" s="330" t="s">
        <v>6537</v>
      </c>
      <c r="V1816" s="377" t="s">
        <v>6616</v>
      </c>
      <c r="W1816" s="11" t="s">
        <v>127</v>
      </c>
      <c r="X1816" s="71" t="s">
        <v>5216</v>
      </c>
      <c r="Y1816" s="29" t="s">
        <v>3</v>
      </c>
      <c r="Z1816" s="18" t="s">
        <v>2113</v>
      </c>
      <c r="AA1816" s="15" t="s">
        <v>8</v>
      </c>
      <c r="AB1816" s="22" t="s">
        <v>4</v>
      </c>
      <c r="AC1816" s="358" t="s">
        <v>211</v>
      </c>
      <c r="AD1816" s="51" t="s">
        <v>559</v>
      </c>
      <c r="AE1816" s="75" t="s">
        <v>2114</v>
      </c>
      <c r="AF1816" s="76" t="s">
        <v>1826</v>
      </c>
      <c r="AG1816" s="33" t="s">
        <v>1827</v>
      </c>
      <c r="AH1816" s="44"/>
      <c r="AI1816" s="131"/>
      <c r="AK1816" s="9" t="s">
        <v>6666</v>
      </c>
      <c r="AL1816" s="5" t="s">
        <v>6667</v>
      </c>
      <c r="AM1816" s="51" t="s">
        <v>5339</v>
      </c>
      <c r="AN1816" s="276" t="s">
        <v>6665</v>
      </c>
      <c r="AO1816" s="284"/>
    </row>
    <row r="1817" spans="1:41">
      <c r="A1817" s="135" t="s">
        <v>2552</v>
      </c>
      <c r="B1817" s="96" t="s">
        <v>2331</v>
      </c>
      <c r="C1817" s="96" t="s">
        <v>2332</v>
      </c>
      <c r="D1817" s="96" t="s">
        <v>2333</v>
      </c>
      <c r="E1817" s="96" t="s">
        <v>2334</v>
      </c>
      <c r="F1817" s="9" t="s">
        <v>1709</v>
      </c>
      <c r="G1817" s="52" t="s">
        <v>780</v>
      </c>
      <c r="H1817" s="56" t="s">
        <v>578</v>
      </c>
      <c r="I1817" s="51" t="s">
        <v>557</v>
      </c>
      <c r="J1817" s="364" t="s">
        <v>2189</v>
      </c>
      <c r="K1817" s="364" t="s">
        <v>1820</v>
      </c>
      <c r="L1817" s="364" t="s">
        <v>515</v>
      </c>
      <c r="M1817" s="364" t="s">
        <v>1699</v>
      </c>
      <c r="N1817" s="364" t="s">
        <v>6604</v>
      </c>
      <c r="O1817" s="343" t="s">
        <v>6620</v>
      </c>
      <c r="P1817" s="83" t="s">
        <v>5279</v>
      </c>
      <c r="Q1817" s="326" t="s">
        <v>5514</v>
      </c>
      <c r="R1817" s="31" t="s">
        <v>6596</v>
      </c>
      <c r="S1817" s="51" t="s">
        <v>6597</v>
      </c>
      <c r="T1817" s="338" t="s">
        <v>5627</v>
      </c>
      <c r="U1817" s="330" t="s">
        <v>6537</v>
      </c>
      <c r="V1817" s="377" t="s">
        <v>6616</v>
      </c>
      <c r="W1817" s="11" t="s">
        <v>127</v>
      </c>
      <c r="X1817" s="71" t="s">
        <v>5216</v>
      </c>
      <c r="Y1817" s="29" t="s">
        <v>3</v>
      </c>
      <c r="Z1817" s="18" t="s">
        <v>2113</v>
      </c>
      <c r="AA1817" s="15" t="s">
        <v>8</v>
      </c>
      <c r="AB1817" s="22" t="s">
        <v>4</v>
      </c>
      <c r="AC1817" s="358" t="s">
        <v>211</v>
      </c>
      <c r="AD1817" s="51" t="s">
        <v>557</v>
      </c>
      <c r="AE1817" s="75" t="s">
        <v>2114</v>
      </c>
      <c r="AF1817" s="76" t="s">
        <v>1826</v>
      </c>
      <c r="AG1817" s="33" t="s">
        <v>1827</v>
      </c>
      <c r="AH1817" s="44"/>
      <c r="AI1817" s="131"/>
      <c r="AK1817" s="9" t="s">
        <v>6666</v>
      </c>
      <c r="AL1817" s="5" t="s">
        <v>6667</v>
      </c>
      <c r="AM1817" s="51" t="s">
        <v>5339</v>
      </c>
      <c r="AN1817" s="276" t="s">
        <v>6665</v>
      </c>
      <c r="AO1817" s="284"/>
    </row>
    <row r="1818" spans="1:41">
      <c r="A1818" s="135" t="s">
        <v>2552</v>
      </c>
      <c r="B1818" s="96" t="s">
        <v>2331</v>
      </c>
      <c r="C1818" s="96" t="s">
        <v>2332</v>
      </c>
      <c r="D1818" s="96" t="s">
        <v>2333</v>
      </c>
      <c r="E1818" s="96" t="s">
        <v>2334</v>
      </c>
      <c r="F1818" s="9" t="s">
        <v>1709</v>
      </c>
      <c r="G1818" s="52" t="s">
        <v>869</v>
      </c>
      <c r="H1818" s="56" t="s">
        <v>3433</v>
      </c>
      <c r="I1818" s="51" t="s">
        <v>561</v>
      </c>
      <c r="J1818" s="364" t="s">
        <v>2189</v>
      </c>
      <c r="K1818" s="364" t="s">
        <v>1820</v>
      </c>
      <c r="L1818" s="364" t="s">
        <v>515</v>
      </c>
      <c r="M1818" s="364" t="s">
        <v>1699</v>
      </c>
      <c r="N1818" s="364" t="s">
        <v>6604</v>
      </c>
      <c r="O1818" s="343" t="s">
        <v>6620</v>
      </c>
      <c r="P1818" s="83" t="s">
        <v>5279</v>
      </c>
      <c r="Q1818" s="326" t="s">
        <v>5514</v>
      </c>
      <c r="R1818" s="31" t="s">
        <v>6596</v>
      </c>
      <c r="S1818" s="51" t="s">
        <v>6597</v>
      </c>
      <c r="T1818" s="338" t="s">
        <v>5627</v>
      </c>
      <c r="U1818" s="330" t="s">
        <v>6537</v>
      </c>
      <c r="V1818" s="377" t="s">
        <v>6616</v>
      </c>
      <c r="W1818" s="11" t="s">
        <v>127</v>
      </c>
      <c r="X1818" s="71" t="s">
        <v>5216</v>
      </c>
      <c r="Y1818" s="29" t="s">
        <v>3</v>
      </c>
      <c r="Z1818" s="18" t="s">
        <v>2113</v>
      </c>
      <c r="AA1818" s="15" t="s">
        <v>8</v>
      </c>
      <c r="AB1818" s="22" t="s">
        <v>4</v>
      </c>
      <c r="AC1818" s="358" t="s">
        <v>211</v>
      </c>
      <c r="AD1818" s="51" t="s">
        <v>561</v>
      </c>
      <c r="AE1818" s="75" t="s">
        <v>2114</v>
      </c>
      <c r="AF1818" s="76" t="s">
        <v>1826</v>
      </c>
      <c r="AG1818" s="33" t="s">
        <v>1827</v>
      </c>
      <c r="AH1818" s="44"/>
      <c r="AI1818" s="131"/>
      <c r="AK1818" s="9" t="s">
        <v>6666</v>
      </c>
      <c r="AL1818" s="5" t="s">
        <v>6667</v>
      </c>
      <c r="AM1818" s="51" t="s">
        <v>5339</v>
      </c>
      <c r="AN1818" s="276" t="s">
        <v>6665</v>
      </c>
      <c r="AO1818" s="284"/>
    </row>
    <row r="1819" spans="1:41">
      <c r="A1819" s="135" t="s">
        <v>2552</v>
      </c>
      <c r="B1819" s="96" t="s">
        <v>2331</v>
      </c>
      <c r="C1819" s="96" t="s">
        <v>2332</v>
      </c>
      <c r="D1819" s="96" t="s">
        <v>2333</v>
      </c>
      <c r="E1819" s="96" t="s">
        <v>2334</v>
      </c>
      <c r="F1819" s="9" t="s">
        <v>1709</v>
      </c>
      <c r="G1819" s="52" t="s">
        <v>905</v>
      </c>
      <c r="H1819" s="56" t="s">
        <v>578</v>
      </c>
      <c r="I1819" s="51" t="s">
        <v>566</v>
      </c>
      <c r="J1819" s="364" t="s">
        <v>2189</v>
      </c>
      <c r="K1819" s="364" t="s">
        <v>1820</v>
      </c>
      <c r="L1819" s="364" t="s">
        <v>515</v>
      </c>
      <c r="M1819" s="364" t="s">
        <v>1699</v>
      </c>
      <c r="N1819" s="364" t="s">
        <v>6604</v>
      </c>
      <c r="O1819" s="343" t="s">
        <v>6620</v>
      </c>
      <c r="P1819" s="83" t="s">
        <v>5279</v>
      </c>
      <c r="Q1819" s="326" t="s">
        <v>5514</v>
      </c>
      <c r="R1819" s="31" t="s">
        <v>6596</v>
      </c>
      <c r="S1819" s="51" t="s">
        <v>6597</v>
      </c>
      <c r="T1819" s="338" t="s">
        <v>5627</v>
      </c>
      <c r="U1819" s="330" t="s">
        <v>6537</v>
      </c>
      <c r="V1819" s="377" t="s">
        <v>6616</v>
      </c>
      <c r="W1819" s="11" t="s">
        <v>127</v>
      </c>
      <c r="X1819" s="71" t="s">
        <v>5216</v>
      </c>
      <c r="Y1819" s="29" t="s">
        <v>3</v>
      </c>
      <c r="Z1819" s="18" t="s">
        <v>2113</v>
      </c>
      <c r="AA1819" s="15" t="s">
        <v>8</v>
      </c>
      <c r="AB1819" s="22" t="s">
        <v>4</v>
      </c>
      <c r="AC1819" s="358" t="s">
        <v>211</v>
      </c>
      <c r="AD1819" s="51" t="s">
        <v>566</v>
      </c>
      <c r="AE1819" s="75" t="s">
        <v>2114</v>
      </c>
      <c r="AF1819" s="76" t="s">
        <v>1826</v>
      </c>
      <c r="AG1819" s="33" t="s">
        <v>1827</v>
      </c>
      <c r="AH1819" s="44"/>
      <c r="AI1819" s="131"/>
      <c r="AK1819" s="9" t="s">
        <v>6666</v>
      </c>
      <c r="AL1819" s="5" t="s">
        <v>6667</v>
      </c>
      <c r="AM1819" s="51" t="s">
        <v>5339</v>
      </c>
      <c r="AN1819" s="276" t="s">
        <v>6665</v>
      </c>
      <c r="AO1819" s="284"/>
    </row>
    <row r="1820" spans="1:41">
      <c r="A1820" s="135" t="s">
        <v>2552</v>
      </c>
      <c r="B1820" s="96" t="s">
        <v>2331</v>
      </c>
      <c r="C1820" s="96" t="s">
        <v>2332</v>
      </c>
      <c r="D1820" s="96" t="s">
        <v>2333</v>
      </c>
      <c r="E1820" s="96" t="s">
        <v>2334</v>
      </c>
      <c r="F1820" s="9" t="s">
        <v>1709</v>
      </c>
      <c r="G1820" s="52" t="s">
        <v>954</v>
      </c>
      <c r="H1820" s="56" t="s">
        <v>578</v>
      </c>
      <c r="I1820" s="51" t="s">
        <v>563</v>
      </c>
      <c r="J1820" s="364" t="s">
        <v>2189</v>
      </c>
      <c r="K1820" s="364" t="s">
        <v>1820</v>
      </c>
      <c r="L1820" s="364" t="s">
        <v>515</v>
      </c>
      <c r="M1820" s="364" t="s">
        <v>1699</v>
      </c>
      <c r="N1820" s="364" t="s">
        <v>6604</v>
      </c>
      <c r="O1820" s="343" t="s">
        <v>6620</v>
      </c>
      <c r="P1820" s="83" t="s">
        <v>5279</v>
      </c>
      <c r="Q1820" s="326" t="s">
        <v>5514</v>
      </c>
      <c r="R1820" s="31" t="s">
        <v>6596</v>
      </c>
      <c r="S1820" s="51" t="s">
        <v>6597</v>
      </c>
      <c r="T1820" s="338" t="s">
        <v>5627</v>
      </c>
      <c r="U1820" s="330" t="s">
        <v>6537</v>
      </c>
      <c r="V1820" s="377" t="s">
        <v>6616</v>
      </c>
      <c r="W1820" s="11" t="s">
        <v>127</v>
      </c>
      <c r="X1820" s="71" t="s">
        <v>5216</v>
      </c>
      <c r="Y1820" s="29" t="s">
        <v>3</v>
      </c>
      <c r="Z1820" s="18" t="s">
        <v>2113</v>
      </c>
      <c r="AA1820" s="15" t="s">
        <v>8</v>
      </c>
      <c r="AB1820" s="22" t="s">
        <v>4</v>
      </c>
      <c r="AC1820" s="358" t="s">
        <v>211</v>
      </c>
      <c r="AD1820" s="51" t="s">
        <v>563</v>
      </c>
      <c r="AE1820" s="75" t="s">
        <v>2114</v>
      </c>
      <c r="AF1820" s="76" t="s">
        <v>1826</v>
      </c>
      <c r="AG1820" s="33" t="s">
        <v>1827</v>
      </c>
      <c r="AH1820" s="44"/>
      <c r="AI1820" s="131"/>
      <c r="AK1820" s="9" t="s">
        <v>6666</v>
      </c>
      <c r="AL1820" s="5" t="s">
        <v>6667</v>
      </c>
      <c r="AM1820" s="51" t="s">
        <v>5339</v>
      </c>
      <c r="AN1820" s="276" t="s">
        <v>6665</v>
      </c>
      <c r="AO1820" s="284"/>
    </row>
    <row r="1821" spans="1:41">
      <c r="A1821" s="135" t="s">
        <v>2552</v>
      </c>
      <c r="B1821" s="96" t="s">
        <v>2331</v>
      </c>
      <c r="C1821" s="96" t="s">
        <v>2332</v>
      </c>
      <c r="D1821" s="96" t="s">
        <v>2333</v>
      </c>
      <c r="E1821" s="96" t="s">
        <v>2334</v>
      </c>
      <c r="F1821" s="9" t="s">
        <v>1709</v>
      </c>
      <c r="G1821" s="52" t="s">
        <v>1185</v>
      </c>
      <c r="H1821" s="56" t="s">
        <v>578</v>
      </c>
      <c r="I1821" s="51" t="s">
        <v>429</v>
      </c>
      <c r="J1821" s="364" t="s">
        <v>2189</v>
      </c>
      <c r="K1821" s="364" t="s">
        <v>1820</v>
      </c>
      <c r="L1821" s="364" t="s">
        <v>515</v>
      </c>
      <c r="M1821" s="364" t="s">
        <v>1699</v>
      </c>
      <c r="N1821" s="364" t="s">
        <v>6604</v>
      </c>
      <c r="O1821" s="343" t="s">
        <v>6620</v>
      </c>
      <c r="P1821" s="83" t="s">
        <v>5279</v>
      </c>
      <c r="Q1821" s="326" t="s">
        <v>5514</v>
      </c>
      <c r="R1821" s="31" t="s">
        <v>6596</v>
      </c>
      <c r="S1821" s="51" t="s">
        <v>6597</v>
      </c>
      <c r="T1821" s="338" t="s">
        <v>5627</v>
      </c>
      <c r="U1821" s="330" t="s">
        <v>6537</v>
      </c>
      <c r="V1821" s="377" t="s">
        <v>6616</v>
      </c>
      <c r="W1821" s="11" t="s">
        <v>127</v>
      </c>
      <c r="X1821" s="71" t="s">
        <v>5216</v>
      </c>
      <c r="Y1821" s="29" t="s">
        <v>3</v>
      </c>
      <c r="Z1821" s="18" t="s">
        <v>2113</v>
      </c>
      <c r="AA1821" s="15" t="s">
        <v>8</v>
      </c>
      <c r="AB1821" s="22" t="s">
        <v>4</v>
      </c>
      <c r="AC1821" s="358" t="s">
        <v>211</v>
      </c>
      <c r="AD1821" s="51" t="s">
        <v>429</v>
      </c>
      <c r="AE1821" s="75" t="s">
        <v>2114</v>
      </c>
      <c r="AF1821" s="76" t="s">
        <v>1826</v>
      </c>
      <c r="AG1821" s="33" t="s">
        <v>1827</v>
      </c>
      <c r="AH1821" s="44"/>
      <c r="AI1821" s="131"/>
      <c r="AK1821" s="9" t="s">
        <v>6666</v>
      </c>
      <c r="AL1821" s="5" t="s">
        <v>6667</v>
      </c>
      <c r="AM1821" s="51" t="s">
        <v>5339</v>
      </c>
      <c r="AN1821" s="276" t="s">
        <v>6665</v>
      </c>
      <c r="AO1821" s="284"/>
    </row>
    <row r="1822" spans="1:41">
      <c r="A1822" s="135" t="s">
        <v>2552</v>
      </c>
      <c r="B1822" s="96" t="s">
        <v>2331</v>
      </c>
      <c r="C1822" s="96" t="s">
        <v>2332</v>
      </c>
      <c r="D1822" s="96" t="s">
        <v>2333</v>
      </c>
      <c r="E1822" s="96" t="s">
        <v>2334</v>
      </c>
      <c r="F1822" s="9" t="s">
        <v>1709</v>
      </c>
      <c r="G1822" s="52" t="s">
        <v>1367</v>
      </c>
      <c r="H1822" s="56" t="s">
        <v>578</v>
      </c>
      <c r="I1822" s="51" t="s">
        <v>562</v>
      </c>
      <c r="J1822" s="364" t="s">
        <v>2189</v>
      </c>
      <c r="K1822" s="364" t="s">
        <v>1820</v>
      </c>
      <c r="L1822" s="364" t="s">
        <v>515</v>
      </c>
      <c r="M1822" s="364" t="s">
        <v>1699</v>
      </c>
      <c r="N1822" s="364" t="s">
        <v>6604</v>
      </c>
      <c r="O1822" s="343" t="s">
        <v>6620</v>
      </c>
      <c r="P1822" s="83" t="s">
        <v>5279</v>
      </c>
      <c r="Q1822" s="326" t="s">
        <v>5514</v>
      </c>
      <c r="R1822" s="31" t="s">
        <v>6596</v>
      </c>
      <c r="S1822" s="51" t="s">
        <v>6597</v>
      </c>
      <c r="T1822" s="338" t="s">
        <v>5627</v>
      </c>
      <c r="U1822" s="330" t="s">
        <v>6537</v>
      </c>
      <c r="V1822" s="377" t="s">
        <v>6616</v>
      </c>
      <c r="W1822" s="11" t="s">
        <v>127</v>
      </c>
      <c r="X1822" s="71" t="s">
        <v>5216</v>
      </c>
      <c r="Y1822" s="29" t="s">
        <v>3</v>
      </c>
      <c r="Z1822" s="18" t="s">
        <v>2113</v>
      </c>
      <c r="AA1822" s="15" t="s">
        <v>8</v>
      </c>
      <c r="AB1822" s="22" t="s">
        <v>4</v>
      </c>
      <c r="AC1822" s="358" t="s">
        <v>211</v>
      </c>
      <c r="AD1822" s="51" t="s">
        <v>562</v>
      </c>
      <c r="AE1822" s="75" t="s">
        <v>2114</v>
      </c>
      <c r="AF1822" s="76" t="s">
        <v>1826</v>
      </c>
      <c r="AG1822" s="33" t="s">
        <v>1827</v>
      </c>
      <c r="AH1822" s="44"/>
      <c r="AI1822" s="131"/>
      <c r="AK1822" s="9" t="s">
        <v>6666</v>
      </c>
      <c r="AL1822" s="5" t="s">
        <v>6667</v>
      </c>
      <c r="AM1822" s="51" t="s">
        <v>5339</v>
      </c>
      <c r="AN1822" s="276" t="s">
        <v>6665</v>
      </c>
      <c r="AO1822" s="284"/>
    </row>
    <row r="1823" spans="1:41">
      <c r="A1823" s="135" t="s">
        <v>2552</v>
      </c>
      <c r="B1823" s="96" t="s">
        <v>2331</v>
      </c>
      <c r="C1823" s="96" t="s">
        <v>2332</v>
      </c>
      <c r="D1823" s="96" t="s">
        <v>2333</v>
      </c>
      <c r="E1823" s="96" t="s">
        <v>2334</v>
      </c>
      <c r="F1823" s="9" t="s">
        <v>1709</v>
      </c>
      <c r="G1823" s="52" t="s">
        <v>1392</v>
      </c>
      <c r="H1823" s="56" t="s">
        <v>578</v>
      </c>
      <c r="I1823" s="51" t="s">
        <v>1684</v>
      </c>
      <c r="J1823" s="364" t="s">
        <v>2189</v>
      </c>
      <c r="K1823" s="364" t="s">
        <v>1820</v>
      </c>
      <c r="L1823" s="364" t="s">
        <v>515</v>
      </c>
      <c r="M1823" s="364" t="s">
        <v>1699</v>
      </c>
      <c r="N1823" s="364" t="s">
        <v>6604</v>
      </c>
      <c r="O1823" s="343" t="s">
        <v>6620</v>
      </c>
      <c r="P1823" s="83" t="s">
        <v>5279</v>
      </c>
      <c r="Q1823" s="326" t="s">
        <v>5514</v>
      </c>
      <c r="R1823" s="31" t="s">
        <v>6596</v>
      </c>
      <c r="S1823" s="51" t="s">
        <v>6597</v>
      </c>
      <c r="T1823" s="338" t="s">
        <v>5627</v>
      </c>
      <c r="U1823" s="330" t="s">
        <v>6537</v>
      </c>
      <c r="V1823" s="377" t="s">
        <v>6616</v>
      </c>
      <c r="W1823" s="11" t="s">
        <v>127</v>
      </c>
      <c r="X1823" s="71" t="s">
        <v>2231</v>
      </c>
      <c r="Y1823" s="29" t="s">
        <v>3</v>
      </c>
      <c r="Z1823" s="18" t="s">
        <v>2113</v>
      </c>
      <c r="AA1823" s="15" t="s">
        <v>8</v>
      </c>
      <c r="AB1823" s="22" t="s">
        <v>4</v>
      </c>
      <c r="AC1823" s="358" t="s">
        <v>211</v>
      </c>
      <c r="AD1823" s="51" t="s">
        <v>596</v>
      </c>
      <c r="AE1823" s="75" t="s">
        <v>2114</v>
      </c>
      <c r="AF1823" s="76" t="s">
        <v>1826</v>
      </c>
      <c r="AG1823" s="33" t="s">
        <v>1827</v>
      </c>
      <c r="AH1823" s="44"/>
      <c r="AI1823" s="131"/>
      <c r="AK1823" s="9" t="s">
        <v>6666</v>
      </c>
      <c r="AL1823" s="5" t="s">
        <v>6667</v>
      </c>
      <c r="AM1823" s="51" t="s">
        <v>5339</v>
      </c>
      <c r="AN1823" s="276" t="s">
        <v>6665</v>
      </c>
      <c r="AO1823" s="284"/>
    </row>
    <row r="1824" spans="1:41">
      <c r="A1824" s="135" t="s">
        <v>2552</v>
      </c>
      <c r="B1824" s="96" t="s">
        <v>2331</v>
      </c>
      <c r="C1824" s="96" t="s">
        <v>2332</v>
      </c>
      <c r="D1824" s="96" t="s">
        <v>2333</v>
      </c>
      <c r="E1824" s="96" t="s">
        <v>2334</v>
      </c>
      <c r="F1824" s="9" t="s">
        <v>1709</v>
      </c>
      <c r="G1824" s="52" t="s">
        <v>1418</v>
      </c>
      <c r="H1824" s="56" t="s">
        <v>578</v>
      </c>
      <c r="I1824" s="51" t="s">
        <v>548</v>
      </c>
      <c r="J1824" s="364" t="s">
        <v>2189</v>
      </c>
      <c r="K1824" s="364" t="s">
        <v>1820</v>
      </c>
      <c r="L1824" s="364" t="s">
        <v>515</v>
      </c>
      <c r="M1824" s="364" t="s">
        <v>1699</v>
      </c>
      <c r="N1824" s="364" t="s">
        <v>6604</v>
      </c>
      <c r="O1824" s="343" t="s">
        <v>6620</v>
      </c>
      <c r="P1824" s="83" t="s">
        <v>5279</v>
      </c>
      <c r="Q1824" s="326" t="s">
        <v>5514</v>
      </c>
      <c r="R1824" s="31" t="s">
        <v>6596</v>
      </c>
      <c r="S1824" s="51" t="s">
        <v>6597</v>
      </c>
      <c r="T1824" s="338" t="s">
        <v>5627</v>
      </c>
      <c r="U1824" s="330" t="s">
        <v>6537</v>
      </c>
      <c r="V1824" s="377" t="s">
        <v>6616</v>
      </c>
      <c r="W1824" s="11" t="s">
        <v>127</v>
      </c>
      <c r="X1824" s="71" t="s">
        <v>5216</v>
      </c>
      <c r="Y1824" s="29" t="s">
        <v>3</v>
      </c>
      <c r="Z1824" s="18" t="s">
        <v>2113</v>
      </c>
      <c r="AA1824" s="15" t="s">
        <v>8</v>
      </c>
      <c r="AB1824" s="22" t="s">
        <v>4</v>
      </c>
      <c r="AC1824" s="358" t="s">
        <v>211</v>
      </c>
      <c r="AD1824" s="51" t="s">
        <v>548</v>
      </c>
      <c r="AE1824" s="75" t="s">
        <v>2114</v>
      </c>
      <c r="AF1824" s="76" t="s">
        <v>1826</v>
      </c>
      <c r="AG1824" s="33" t="s">
        <v>1827</v>
      </c>
      <c r="AH1824" s="44"/>
      <c r="AI1824" s="131"/>
      <c r="AK1824" s="9" t="s">
        <v>6666</v>
      </c>
      <c r="AL1824" s="5" t="s">
        <v>6667</v>
      </c>
      <c r="AM1824" s="51" t="s">
        <v>5339</v>
      </c>
      <c r="AN1824" s="276" t="s">
        <v>6665</v>
      </c>
      <c r="AO1824" s="284"/>
    </row>
    <row r="1825" spans="1:41">
      <c r="A1825" s="135" t="s">
        <v>2552</v>
      </c>
      <c r="B1825" s="96" t="s">
        <v>2331</v>
      </c>
      <c r="C1825" s="96" t="s">
        <v>2332</v>
      </c>
      <c r="D1825" s="96" t="s">
        <v>2333</v>
      </c>
      <c r="E1825" s="96" t="s">
        <v>2334</v>
      </c>
      <c r="F1825" s="9" t="s">
        <v>1709</v>
      </c>
      <c r="G1825" s="52" t="s">
        <v>2920</v>
      </c>
      <c r="H1825" s="56" t="s">
        <v>578</v>
      </c>
      <c r="I1825" s="51" t="s">
        <v>551</v>
      </c>
      <c r="J1825" s="364" t="s">
        <v>2189</v>
      </c>
      <c r="K1825" s="364" t="s">
        <v>1820</v>
      </c>
      <c r="L1825" s="364" t="s">
        <v>515</v>
      </c>
      <c r="M1825" s="364" t="s">
        <v>1699</v>
      </c>
      <c r="N1825" s="364" t="s">
        <v>6604</v>
      </c>
      <c r="O1825" s="343" t="s">
        <v>6620</v>
      </c>
      <c r="P1825" s="83" t="s">
        <v>5279</v>
      </c>
      <c r="Q1825" s="326" t="s">
        <v>5514</v>
      </c>
      <c r="R1825" s="31" t="s">
        <v>6596</v>
      </c>
      <c r="S1825" s="51" t="s">
        <v>6597</v>
      </c>
      <c r="T1825" s="338" t="s">
        <v>5627</v>
      </c>
      <c r="U1825" s="330" t="s">
        <v>6537</v>
      </c>
      <c r="V1825" s="377" t="s">
        <v>6616</v>
      </c>
      <c r="W1825" s="11" t="s">
        <v>127</v>
      </c>
      <c r="X1825" s="71" t="s">
        <v>5216</v>
      </c>
      <c r="Y1825" s="29" t="s">
        <v>3</v>
      </c>
      <c r="Z1825" s="18" t="s">
        <v>2113</v>
      </c>
      <c r="AA1825" s="15" t="s">
        <v>8</v>
      </c>
      <c r="AB1825" s="22" t="s">
        <v>4</v>
      </c>
      <c r="AC1825" s="358" t="s">
        <v>211</v>
      </c>
      <c r="AD1825" s="51" t="s">
        <v>551</v>
      </c>
      <c r="AE1825" s="75" t="s">
        <v>2114</v>
      </c>
      <c r="AF1825" s="76" t="s">
        <v>1826</v>
      </c>
      <c r="AG1825" s="33" t="s">
        <v>1827</v>
      </c>
      <c r="AH1825" s="44"/>
      <c r="AI1825" s="131"/>
      <c r="AK1825" s="9" t="s">
        <v>6666</v>
      </c>
      <c r="AL1825" s="5" t="s">
        <v>6667</v>
      </c>
      <c r="AM1825" s="51" t="s">
        <v>5339</v>
      </c>
      <c r="AN1825" s="276" t="s">
        <v>6665</v>
      </c>
      <c r="AO1825" s="284"/>
    </row>
    <row r="1826" spans="1:41">
      <c r="A1826" s="135" t="s">
        <v>2552</v>
      </c>
      <c r="B1826" s="96" t="s">
        <v>2331</v>
      </c>
      <c r="C1826" s="96" t="s">
        <v>2332</v>
      </c>
      <c r="D1826" s="96" t="s">
        <v>2333</v>
      </c>
      <c r="E1826" s="96" t="s">
        <v>2334</v>
      </c>
      <c r="F1826" s="9" t="s">
        <v>1709</v>
      </c>
      <c r="G1826" s="52" t="s">
        <v>6309</v>
      </c>
      <c r="H1826" s="56" t="s">
        <v>578</v>
      </c>
      <c r="I1826" s="51" t="s">
        <v>549</v>
      </c>
      <c r="J1826" s="364" t="s">
        <v>2189</v>
      </c>
      <c r="K1826" s="364" t="s">
        <v>1820</v>
      </c>
      <c r="L1826" s="364" t="s">
        <v>515</v>
      </c>
      <c r="M1826" s="364" t="s">
        <v>1699</v>
      </c>
      <c r="N1826" s="364" t="s">
        <v>6604</v>
      </c>
      <c r="O1826" s="343" t="s">
        <v>6620</v>
      </c>
      <c r="P1826" s="83" t="s">
        <v>5279</v>
      </c>
      <c r="Q1826" s="326" t="s">
        <v>5514</v>
      </c>
      <c r="R1826" s="31" t="s">
        <v>6596</v>
      </c>
      <c r="S1826" s="51" t="s">
        <v>6597</v>
      </c>
      <c r="T1826" s="338" t="s">
        <v>5627</v>
      </c>
      <c r="U1826" s="330" t="s">
        <v>6537</v>
      </c>
      <c r="V1826" s="377" t="s">
        <v>6616</v>
      </c>
      <c r="W1826" s="11" t="s">
        <v>127</v>
      </c>
      <c r="X1826" s="71" t="s">
        <v>5216</v>
      </c>
      <c r="Y1826" s="29" t="s">
        <v>3</v>
      </c>
      <c r="Z1826" s="18" t="s">
        <v>2113</v>
      </c>
      <c r="AA1826" s="15" t="s">
        <v>8</v>
      </c>
      <c r="AB1826" s="22" t="s">
        <v>4</v>
      </c>
      <c r="AC1826" s="358" t="s">
        <v>211</v>
      </c>
      <c r="AD1826" s="51" t="s">
        <v>549</v>
      </c>
      <c r="AE1826" s="75" t="s">
        <v>2114</v>
      </c>
      <c r="AF1826" s="76" t="s">
        <v>1826</v>
      </c>
      <c r="AG1826" s="33" t="s">
        <v>1827</v>
      </c>
      <c r="AH1826" s="44"/>
      <c r="AI1826" s="131"/>
      <c r="AK1826" s="9" t="s">
        <v>6666</v>
      </c>
      <c r="AL1826" s="5" t="s">
        <v>6667</v>
      </c>
      <c r="AM1826" s="51" t="s">
        <v>5339</v>
      </c>
      <c r="AN1826" s="276" t="s">
        <v>6665</v>
      </c>
      <c r="AO1826" s="284"/>
    </row>
    <row r="1827" spans="1:41">
      <c r="A1827" s="135" t="s">
        <v>2552</v>
      </c>
      <c r="B1827" s="96" t="s">
        <v>2331</v>
      </c>
      <c r="C1827" s="96" t="s">
        <v>2332</v>
      </c>
      <c r="D1827" s="96" t="s">
        <v>2333</v>
      </c>
      <c r="E1827" s="96" t="s">
        <v>2334</v>
      </c>
      <c r="F1827" s="9" t="s">
        <v>1709</v>
      </c>
      <c r="G1827" s="52" t="s">
        <v>1576</v>
      </c>
      <c r="H1827" s="56" t="s">
        <v>578</v>
      </c>
      <c r="I1827" s="51" t="s">
        <v>552</v>
      </c>
      <c r="J1827" s="364" t="s">
        <v>2189</v>
      </c>
      <c r="K1827" s="364" t="s">
        <v>1820</v>
      </c>
      <c r="L1827" s="364" t="s">
        <v>515</v>
      </c>
      <c r="M1827" s="364" t="s">
        <v>1699</v>
      </c>
      <c r="N1827" s="364" t="s">
        <v>6604</v>
      </c>
      <c r="O1827" s="343" t="s">
        <v>6620</v>
      </c>
      <c r="P1827" s="83" t="s">
        <v>5279</v>
      </c>
      <c r="Q1827" s="326" t="s">
        <v>5514</v>
      </c>
      <c r="R1827" s="31" t="s">
        <v>6596</v>
      </c>
      <c r="S1827" s="51" t="s">
        <v>6597</v>
      </c>
      <c r="T1827" s="338" t="s">
        <v>5627</v>
      </c>
      <c r="U1827" s="330" t="s">
        <v>6537</v>
      </c>
      <c r="V1827" s="377" t="s">
        <v>6616</v>
      </c>
      <c r="W1827" s="11" t="s">
        <v>127</v>
      </c>
      <c r="X1827" s="71" t="s">
        <v>5216</v>
      </c>
      <c r="Y1827" s="29" t="s">
        <v>3</v>
      </c>
      <c r="Z1827" s="18" t="s">
        <v>2113</v>
      </c>
      <c r="AA1827" s="15" t="s">
        <v>8</v>
      </c>
      <c r="AB1827" s="22" t="s">
        <v>4</v>
      </c>
      <c r="AC1827" s="358" t="s">
        <v>211</v>
      </c>
      <c r="AD1827" s="51" t="s">
        <v>552</v>
      </c>
      <c r="AE1827" s="75" t="s">
        <v>2114</v>
      </c>
      <c r="AF1827" s="76" t="s">
        <v>1826</v>
      </c>
      <c r="AG1827" s="34" t="e">
        <f>AF1827-AE1827</f>
        <v>#VALUE!</v>
      </c>
      <c r="AH1827" s="44"/>
      <c r="AI1827" s="131"/>
      <c r="AK1827" s="9" t="s">
        <v>6666</v>
      </c>
      <c r="AL1827" s="5" t="s">
        <v>6667</v>
      </c>
      <c r="AM1827" s="51" t="s">
        <v>5339</v>
      </c>
      <c r="AN1827" s="276" t="s">
        <v>6665</v>
      </c>
      <c r="AO1827" s="284"/>
    </row>
    <row r="1828" spans="1:41">
      <c r="A1828" s="135" t="s">
        <v>2552</v>
      </c>
      <c r="B1828" s="96" t="s">
        <v>2331</v>
      </c>
      <c r="C1828" s="96" t="s">
        <v>2332</v>
      </c>
      <c r="D1828" s="96" t="s">
        <v>2333</v>
      </c>
      <c r="E1828" s="96" t="s">
        <v>2334</v>
      </c>
      <c r="F1828" s="9" t="s">
        <v>1709</v>
      </c>
      <c r="G1828" s="52" t="s">
        <v>1609</v>
      </c>
      <c r="H1828" s="56" t="s">
        <v>578</v>
      </c>
      <c r="I1828" s="51" t="s">
        <v>564</v>
      </c>
      <c r="J1828" s="364" t="s">
        <v>2189</v>
      </c>
      <c r="K1828" s="364" t="s">
        <v>1820</v>
      </c>
      <c r="L1828" s="364" t="s">
        <v>515</v>
      </c>
      <c r="M1828" s="364" t="s">
        <v>1699</v>
      </c>
      <c r="N1828" s="364" t="s">
        <v>6604</v>
      </c>
      <c r="O1828" s="343" t="s">
        <v>6620</v>
      </c>
      <c r="P1828" s="83" t="s">
        <v>5279</v>
      </c>
      <c r="Q1828" s="326" t="s">
        <v>5514</v>
      </c>
      <c r="R1828" s="31" t="s">
        <v>6596</v>
      </c>
      <c r="S1828" s="51" t="s">
        <v>6597</v>
      </c>
      <c r="T1828" s="338" t="s">
        <v>5627</v>
      </c>
      <c r="U1828" s="330" t="s">
        <v>6537</v>
      </c>
      <c r="V1828" s="377" t="s">
        <v>6616</v>
      </c>
      <c r="W1828" s="11" t="s">
        <v>127</v>
      </c>
      <c r="X1828" s="71" t="s">
        <v>5216</v>
      </c>
      <c r="Y1828" s="29" t="s">
        <v>3</v>
      </c>
      <c r="Z1828" s="18" t="s">
        <v>2113</v>
      </c>
      <c r="AA1828" s="15" t="s">
        <v>8</v>
      </c>
      <c r="AB1828" s="22" t="s">
        <v>4</v>
      </c>
      <c r="AC1828" s="358" t="s">
        <v>211</v>
      </c>
      <c r="AD1828" s="51" t="s">
        <v>564</v>
      </c>
      <c r="AE1828" s="75" t="s">
        <v>2114</v>
      </c>
      <c r="AF1828" s="76" t="s">
        <v>1826</v>
      </c>
      <c r="AG1828" s="33" t="s">
        <v>1827</v>
      </c>
      <c r="AH1828" s="44"/>
      <c r="AI1828" s="284"/>
      <c r="AK1828" s="9" t="s">
        <v>6666</v>
      </c>
      <c r="AL1828" s="5" t="s">
        <v>6667</v>
      </c>
      <c r="AM1828" s="51" t="s">
        <v>5339</v>
      </c>
      <c r="AN1828" s="276" t="s">
        <v>6665</v>
      </c>
      <c r="AO1828" s="284"/>
    </row>
    <row r="1829" spans="1:41">
      <c r="A1829" s="135" t="s">
        <v>2552</v>
      </c>
      <c r="B1829" s="96" t="s">
        <v>2331</v>
      </c>
      <c r="C1829" s="96" t="s">
        <v>2332</v>
      </c>
      <c r="D1829" s="96" t="s">
        <v>2333</v>
      </c>
      <c r="E1829" s="96" t="s">
        <v>2334</v>
      </c>
      <c r="F1829" s="9" t="s">
        <v>1709</v>
      </c>
      <c r="G1829" s="52" t="s">
        <v>1625</v>
      </c>
      <c r="H1829" s="56" t="s">
        <v>578</v>
      </c>
      <c r="I1829" s="51" t="s">
        <v>565</v>
      </c>
      <c r="J1829" s="364" t="s">
        <v>2189</v>
      </c>
      <c r="K1829" s="364" t="s">
        <v>1820</v>
      </c>
      <c r="L1829" s="364" t="s">
        <v>515</v>
      </c>
      <c r="M1829" s="364" t="s">
        <v>1699</v>
      </c>
      <c r="N1829" s="364" t="s">
        <v>6604</v>
      </c>
      <c r="O1829" s="343" t="s">
        <v>6620</v>
      </c>
      <c r="P1829" s="83" t="s">
        <v>5279</v>
      </c>
      <c r="Q1829" s="326" t="s">
        <v>5514</v>
      </c>
      <c r="R1829" s="31" t="s">
        <v>6596</v>
      </c>
      <c r="S1829" s="51" t="s">
        <v>6597</v>
      </c>
      <c r="T1829" s="338" t="s">
        <v>5627</v>
      </c>
      <c r="U1829" s="330" t="s">
        <v>6537</v>
      </c>
      <c r="V1829" s="377" t="s">
        <v>6616</v>
      </c>
      <c r="W1829" s="11" t="s">
        <v>127</v>
      </c>
      <c r="X1829" s="71" t="s">
        <v>5216</v>
      </c>
      <c r="Y1829" s="29" t="s">
        <v>3</v>
      </c>
      <c r="Z1829" s="18" t="s">
        <v>2113</v>
      </c>
      <c r="AA1829" s="15" t="s">
        <v>8</v>
      </c>
      <c r="AB1829" s="22" t="s">
        <v>4</v>
      </c>
      <c r="AC1829" s="358" t="s">
        <v>211</v>
      </c>
      <c r="AD1829" s="51" t="s">
        <v>565</v>
      </c>
      <c r="AE1829" s="75" t="s">
        <v>2114</v>
      </c>
      <c r="AF1829" s="76" t="s">
        <v>1826</v>
      </c>
      <c r="AG1829" s="33" t="s">
        <v>1827</v>
      </c>
      <c r="AH1829" s="44"/>
      <c r="AI1829" s="131"/>
      <c r="AK1829" s="9" t="s">
        <v>6666</v>
      </c>
      <c r="AL1829" s="5" t="s">
        <v>6667</v>
      </c>
      <c r="AM1829" s="51" t="s">
        <v>5339</v>
      </c>
      <c r="AN1829" s="276" t="s">
        <v>6665</v>
      </c>
      <c r="AO1829" s="284"/>
    </row>
    <row r="1830" spans="1:41">
      <c r="A1830" s="135" t="s">
        <v>2552</v>
      </c>
      <c r="B1830" s="96" t="s">
        <v>2331</v>
      </c>
      <c r="C1830" s="96" t="s">
        <v>2332</v>
      </c>
      <c r="D1830" s="96" t="s">
        <v>2333</v>
      </c>
      <c r="E1830" s="96" t="s">
        <v>2334</v>
      </c>
      <c r="F1830" s="9" t="s">
        <v>1709</v>
      </c>
      <c r="G1830" s="52" t="s">
        <v>1677</v>
      </c>
      <c r="H1830" s="56" t="s">
        <v>578</v>
      </c>
      <c r="I1830" s="51" t="s">
        <v>1791</v>
      </c>
      <c r="J1830" s="364" t="s">
        <v>2189</v>
      </c>
      <c r="K1830" s="364" t="s">
        <v>1820</v>
      </c>
      <c r="L1830" s="364" t="s">
        <v>515</v>
      </c>
      <c r="M1830" s="364" t="s">
        <v>1699</v>
      </c>
      <c r="N1830" s="364" t="s">
        <v>6604</v>
      </c>
      <c r="O1830" s="343" t="s">
        <v>6620</v>
      </c>
      <c r="P1830" s="83" t="s">
        <v>5279</v>
      </c>
      <c r="Q1830" s="326" t="s">
        <v>5514</v>
      </c>
      <c r="R1830" s="31" t="s">
        <v>6596</v>
      </c>
      <c r="S1830" s="51" t="s">
        <v>6597</v>
      </c>
      <c r="T1830" s="338" t="s">
        <v>5627</v>
      </c>
      <c r="U1830" s="330" t="s">
        <v>6537</v>
      </c>
      <c r="V1830" s="377" t="s">
        <v>6616</v>
      </c>
      <c r="W1830" s="11" t="s">
        <v>127</v>
      </c>
      <c r="X1830" s="71" t="s">
        <v>5216</v>
      </c>
      <c r="Y1830" s="29" t="s">
        <v>3</v>
      </c>
      <c r="Z1830" s="18" t="s">
        <v>2113</v>
      </c>
      <c r="AA1830" s="15" t="s">
        <v>8</v>
      </c>
      <c r="AB1830" s="22" t="s">
        <v>4</v>
      </c>
      <c r="AC1830" s="358" t="s">
        <v>211</v>
      </c>
      <c r="AD1830" s="51" t="s">
        <v>1791</v>
      </c>
      <c r="AE1830" s="75" t="s">
        <v>2114</v>
      </c>
      <c r="AF1830" s="76" t="s">
        <v>1826</v>
      </c>
      <c r="AG1830" s="33" t="s">
        <v>1827</v>
      </c>
      <c r="AH1830" s="44"/>
      <c r="AI1830" s="284"/>
      <c r="AK1830" s="9" t="s">
        <v>6666</v>
      </c>
      <c r="AL1830" s="5" t="s">
        <v>6667</v>
      </c>
      <c r="AM1830" s="51" t="s">
        <v>5339</v>
      </c>
      <c r="AN1830" s="276" t="s">
        <v>6665</v>
      </c>
      <c r="AO1830" s="284"/>
    </row>
    <row r="1831" spans="1:41">
      <c r="A1831" s="135" t="s">
        <v>2552</v>
      </c>
      <c r="B1831" s="96" t="s">
        <v>2331</v>
      </c>
      <c r="C1831" s="96" t="s">
        <v>2332</v>
      </c>
      <c r="D1831" s="96" t="s">
        <v>2333</v>
      </c>
      <c r="E1831" s="96" t="s">
        <v>2334</v>
      </c>
      <c r="F1831" s="9" t="s">
        <v>1709</v>
      </c>
      <c r="G1831" s="52" t="s">
        <v>1677</v>
      </c>
      <c r="H1831" s="56" t="s">
        <v>578</v>
      </c>
      <c r="I1831" s="51" t="s">
        <v>553</v>
      </c>
      <c r="J1831" s="364" t="s">
        <v>2189</v>
      </c>
      <c r="K1831" s="364" t="s">
        <v>1820</v>
      </c>
      <c r="L1831" s="364" t="s">
        <v>515</v>
      </c>
      <c r="M1831" s="364" t="s">
        <v>1699</v>
      </c>
      <c r="N1831" s="364" t="s">
        <v>6604</v>
      </c>
      <c r="O1831" s="343" t="s">
        <v>6620</v>
      </c>
      <c r="P1831" s="83" t="s">
        <v>5279</v>
      </c>
      <c r="Q1831" s="326" t="s">
        <v>5514</v>
      </c>
      <c r="R1831" s="31" t="s">
        <v>6596</v>
      </c>
      <c r="S1831" s="51" t="s">
        <v>6597</v>
      </c>
      <c r="T1831" s="338" t="s">
        <v>5627</v>
      </c>
      <c r="U1831" s="330" t="s">
        <v>6537</v>
      </c>
      <c r="V1831" s="377" t="s">
        <v>6616</v>
      </c>
      <c r="W1831" s="11" t="s">
        <v>127</v>
      </c>
      <c r="X1831" s="71" t="s">
        <v>5216</v>
      </c>
      <c r="Y1831" s="29" t="s">
        <v>3</v>
      </c>
      <c r="Z1831" s="18" t="s">
        <v>2113</v>
      </c>
      <c r="AA1831" s="15" t="s">
        <v>8</v>
      </c>
      <c r="AB1831" s="22" t="s">
        <v>4</v>
      </c>
      <c r="AC1831" s="358" t="s">
        <v>211</v>
      </c>
      <c r="AD1831" s="51" t="s">
        <v>553</v>
      </c>
      <c r="AE1831" s="75" t="s">
        <v>2114</v>
      </c>
      <c r="AF1831" s="76" t="s">
        <v>1826</v>
      </c>
      <c r="AG1831" s="33" t="s">
        <v>1827</v>
      </c>
      <c r="AH1831" s="44"/>
      <c r="AI1831" s="131"/>
      <c r="AK1831" s="9" t="s">
        <v>6666</v>
      </c>
      <c r="AL1831" s="5" t="s">
        <v>6667</v>
      </c>
      <c r="AM1831" s="51" t="s">
        <v>5339</v>
      </c>
      <c r="AN1831" s="276" t="s">
        <v>6665</v>
      </c>
      <c r="AO1831" s="284"/>
    </row>
    <row r="1832" spans="1:41">
      <c r="A1832" s="135" t="s">
        <v>2552</v>
      </c>
      <c r="B1832" s="96" t="s">
        <v>2331</v>
      </c>
      <c r="C1832" s="96" t="s">
        <v>2332</v>
      </c>
      <c r="D1832" s="96" t="s">
        <v>2333</v>
      </c>
      <c r="E1832" s="96" t="s">
        <v>2334</v>
      </c>
      <c r="F1832" s="9" t="s">
        <v>1709</v>
      </c>
      <c r="G1832" s="52" t="s">
        <v>1005</v>
      </c>
      <c r="H1832" s="56" t="s">
        <v>578</v>
      </c>
      <c r="I1832" s="9" t="s">
        <v>544</v>
      </c>
      <c r="J1832" s="364" t="s">
        <v>2189</v>
      </c>
      <c r="K1832" s="364" t="s">
        <v>1820</v>
      </c>
      <c r="L1832" s="364" t="s">
        <v>515</v>
      </c>
      <c r="M1832" s="364" t="s">
        <v>1699</v>
      </c>
      <c r="N1832" s="364" t="s">
        <v>6604</v>
      </c>
      <c r="O1832" s="343" t="s">
        <v>6620</v>
      </c>
      <c r="P1832" s="83" t="s">
        <v>5279</v>
      </c>
      <c r="Q1832" s="326" t="s">
        <v>5514</v>
      </c>
      <c r="R1832" s="31" t="s">
        <v>6596</v>
      </c>
      <c r="S1832" s="51" t="s">
        <v>6597</v>
      </c>
      <c r="T1832" s="338" t="s">
        <v>5627</v>
      </c>
      <c r="U1832" s="330" t="s">
        <v>6537</v>
      </c>
      <c r="V1832" s="377" t="s">
        <v>6616</v>
      </c>
      <c r="W1832" s="11" t="s">
        <v>127</v>
      </c>
      <c r="X1832" s="71" t="s">
        <v>5216</v>
      </c>
      <c r="Y1832" s="29" t="s">
        <v>3</v>
      </c>
      <c r="Z1832" s="18" t="s">
        <v>2113</v>
      </c>
      <c r="AA1832" s="15" t="s">
        <v>8</v>
      </c>
      <c r="AB1832" s="22" t="s">
        <v>4</v>
      </c>
      <c r="AC1832" s="358" t="s">
        <v>211</v>
      </c>
      <c r="AD1832" s="9" t="s">
        <v>544</v>
      </c>
      <c r="AE1832" s="75" t="s">
        <v>2114</v>
      </c>
      <c r="AF1832" s="76" t="s">
        <v>1826</v>
      </c>
      <c r="AG1832" s="33" t="s">
        <v>1827</v>
      </c>
      <c r="AH1832" s="44"/>
      <c r="AI1832" s="131"/>
      <c r="AK1832" s="9" t="s">
        <v>6666</v>
      </c>
      <c r="AL1832" s="5" t="s">
        <v>6667</v>
      </c>
      <c r="AM1832" s="51" t="s">
        <v>5339</v>
      </c>
      <c r="AN1832" s="276" t="s">
        <v>6665</v>
      </c>
      <c r="AO1832" s="284"/>
    </row>
    <row r="1833" spans="1:41">
      <c r="A1833" s="135" t="s">
        <v>2552</v>
      </c>
      <c r="B1833" s="96" t="s">
        <v>2331</v>
      </c>
      <c r="C1833" s="96" t="s">
        <v>2332</v>
      </c>
      <c r="D1833" s="96" t="s">
        <v>2333</v>
      </c>
      <c r="E1833" s="96" t="s">
        <v>2334</v>
      </c>
      <c r="F1833" s="9" t="s">
        <v>1709</v>
      </c>
      <c r="G1833" s="52" t="s">
        <v>1074</v>
      </c>
      <c r="H1833" s="56" t="s">
        <v>578</v>
      </c>
      <c r="I1833" s="9" t="s">
        <v>542</v>
      </c>
      <c r="J1833" s="364" t="s">
        <v>2189</v>
      </c>
      <c r="K1833" s="364" t="s">
        <v>1820</v>
      </c>
      <c r="L1833" s="364" t="s">
        <v>515</v>
      </c>
      <c r="M1833" s="364" t="s">
        <v>1699</v>
      </c>
      <c r="N1833" s="364" t="s">
        <v>6604</v>
      </c>
      <c r="O1833" s="343" t="s">
        <v>6620</v>
      </c>
      <c r="P1833" s="83" t="s">
        <v>5279</v>
      </c>
      <c r="Q1833" s="326" t="s">
        <v>5514</v>
      </c>
      <c r="R1833" s="31" t="s">
        <v>6596</v>
      </c>
      <c r="S1833" s="51" t="s">
        <v>6597</v>
      </c>
      <c r="T1833" s="338" t="s">
        <v>5627</v>
      </c>
      <c r="U1833" s="330" t="s">
        <v>6537</v>
      </c>
      <c r="V1833" s="377" t="s">
        <v>6616</v>
      </c>
      <c r="W1833" s="11" t="s">
        <v>127</v>
      </c>
      <c r="X1833" s="71" t="s">
        <v>5216</v>
      </c>
      <c r="Y1833" s="29" t="s">
        <v>3</v>
      </c>
      <c r="Z1833" s="18" t="s">
        <v>2113</v>
      </c>
      <c r="AA1833" s="15" t="s">
        <v>8</v>
      </c>
      <c r="AB1833" s="22" t="s">
        <v>4</v>
      </c>
      <c r="AC1833" s="358" t="s">
        <v>211</v>
      </c>
      <c r="AD1833" s="9" t="s">
        <v>542</v>
      </c>
      <c r="AE1833" s="75" t="s">
        <v>2114</v>
      </c>
      <c r="AF1833" s="76" t="s">
        <v>1826</v>
      </c>
      <c r="AG1833" s="33" t="s">
        <v>1827</v>
      </c>
      <c r="AH1833" s="44"/>
      <c r="AI1833" s="131"/>
      <c r="AK1833" s="9" t="s">
        <v>6666</v>
      </c>
      <c r="AL1833" s="5" t="s">
        <v>6667</v>
      </c>
      <c r="AM1833" s="51" t="s">
        <v>5339</v>
      </c>
      <c r="AN1833" s="276" t="s">
        <v>6665</v>
      </c>
      <c r="AO1833" s="284"/>
    </row>
    <row r="1834" spans="1:41">
      <c r="A1834" s="135" t="s">
        <v>2552</v>
      </c>
      <c r="B1834" s="96" t="s">
        <v>2331</v>
      </c>
      <c r="C1834" s="96" t="s">
        <v>2332</v>
      </c>
      <c r="D1834" s="96" t="s">
        <v>2333</v>
      </c>
      <c r="E1834" s="96" t="s">
        <v>2334</v>
      </c>
      <c r="F1834" s="9" t="s">
        <v>1709</v>
      </c>
      <c r="G1834" s="52" t="s">
        <v>1095</v>
      </c>
      <c r="H1834" s="56" t="s">
        <v>578</v>
      </c>
      <c r="I1834" s="9" t="s">
        <v>1094</v>
      </c>
      <c r="J1834" s="364" t="s">
        <v>2189</v>
      </c>
      <c r="K1834" s="364" t="s">
        <v>1820</v>
      </c>
      <c r="L1834" s="364" t="s">
        <v>515</v>
      </c>
      <c r="M1834" s="364" t="s">
        <v>1699</v>
      </c>
      <c r="N1834" s="364" t="s">
        <v>6604</v>
      </c>
      <c r="O1834" s="343" t="s">
        <v>6620</v>
      </c>
      <c r="P1834" s="83" t="s">
        <v>5279</v>
      </c>
      <c r="Q1834" s="326" t="s">
        <v>5514</v>
      </c>
      <c r="R1834" s="31" t="s">
        <v>6596</v>
      </c>
      <c r="S1834" s="51" t="s">
        <v>6597</v>
      </c>
      <c r="T1834" s="338" t="s">
        <v>5627</v>
      </c>
      <c r="U1834" s="330" t="s">
        <v>6537</v>
      </c>
      <c r="V1834" s="377" t="s">
        <v>6616</v>
      </c>
      <c r="W1834" s="11" t="s">
        <v>127</v>
      </c>
      <c r="X1834" s="71" t="s">
        <v>5216</v>
      </c>
      <c r="Y1834" s="29" t="s">
        <v>3</v>
      </c>
      <c r="Z1834" s="18" t="s">
        <v>2113</v>
      </c>
      <c r="AA1834" s="15" t="s">
        <v>8</v>
      </c>
      <c r="AB1834" s="22" t="s">
        <v>4</v>
      </c>
      <c r="AC1834" s="358" t="s">
        <v>211</v>
      </c>
      <c r="AD1834" s="9" t="s">
        <v>1094</v>
      </c>
      <c r="AE1834" s="75" t="s">
        <v>2114</v>
      </c>
      <c r="AF1834" s="76" t="s">
        <v>1826</v>
      </c>
      <c r="AG1834" s="33" t="s">
        <v>1827</v>
      </c>
      <c r="AH1834" s="44"/>
      <c r="AI1834" s="131"/>
      <c r="AK1834" s="9" t="s">
        <v>6666</v>
      </c>
      <c r="AL1834" s="5" t="s">
        <v>6667</v>
      </c>
      <c r="AM1834" s="51" t="s">
        <v>5339</v>
      </c>
      <c r="AN1834" s="276" t="s">
        <v>6665</v>
      </c>
      <c r="AO1834" s="284"/>
    </row>
    <row r="1835" spans="1:41">
      <c r="A1835" s="135" t="s">
        <v>2552</v>
      </c>
      <c r="B1835" s="96" t="s">
        <v>2331</v>
      </c>
      <c r="C1835" s="96" t="s">
        <v>2332</v>
      </c>
      <c r="D1835" s="96" t="s">
        <v>2333</v>
      </c>
      <c r="E1835" s="96" t="s">
        <v>2334</v>
      </c>
      <c r="F1835" s="9" t="s">
        <v>1709</v>
      </c>
      <c r="G1835" s="52" t="s">
        <v>1262</v>
      </c>
      <c r="H1835" s="56" t="s">
        <v>578</v>
      </c>
      <c r="I1835" s="9" t="s">
        <v>543</v>
      </c>
      <c r="J1835" s="364" t="s">
        <v>2189</v>
      </c>
      <c r="K1835" s="364" t="s">
        <v>1820</v>
      </c>
      <c r="L1835" s="364" t="s">
        <v>515</v>
      </c>
      <c r="M1835" s="364" t="s">
        <v>1699</v>
      </c>
      <c r="N1835" s="364" t="s">
        <v>6604</v>
      </c>
      <c r="O1835" s="343" t="s">
        <v>6620</v>
      </c>
      <c r="P1835" s="83" t="s">
        <v>5279</v>
      </c>
      <c r="Q1835" s="326" t="s">
        <v>5514</v>
      </c>
      <c r="R1835" s="31" t="s">
        <v>6596</v>
      </c>
      <c r="S1835" s="51" t="s">
        <v>6597</v>
      </c>
      <c r="T1835" s="338" t="s">
        <v>5627</v>
      </c>
      <c r="U1835" s="330" t="s">
        <v>6537</v>
      </c>
      <c r="V1835" s="377" t="s">
        <v>6616</v>
      </c>
      <c r="W1835" s="11" t="s">
        <v>127</v>
      </c>
      <c r="X1835" s="71" t="s">
        <v>5216</v>
      </c>
      <c r="Y1835" s="29" t="s">
        <v>3</v>
      </c>
      <c r="Z1835" s="18" t="s">
        <v>2113</v>
      </c>
      <c r="AA1835" s="15" t="s">
        <v>8</v>
      </c>
      <c r="AB1835" s="22" t="s">
        <v>4</v>
      </c>
      <c r="AC1835" s="358" t="s">
        <v>211</v>
      </c>
      <c r="AD1835" s="9" t="s">
        <v>543</v>
      </c>
      <c r="AE1835" s="75" t="s">
        <v>2114</v>
      </c>
      <c r="AF1835" s="76" t="s">
        <v>1826</v>
      </c>
      <c r="AG1835" s="33" t="s">
        <v>1827</v>
      </c>
      <c r="AH1835" s="44"/>
      <c r="AI1835" s="284"/>
      <c r="AK1835" s="9" t="s">
        <v>6666</v>
      </c>
      <c r="AL1835" s="5" t="s">
        <v>6667</v>
      </c>
      <c r="AM1835" s="51" t="s">
        <v>5339</v>
      </c>
      <c r="AN1835" s="276" t="s">
        <v>6665</v>
      </c>
      <c r="AO1835" s="284"/>
    </row>
    <row r="1836" spans="1:41">
      <c r="A1836" s="135" t="s">
        <v>2552</v>
      </c>
      <c r="B1836" s="96" t="s">
        <v>2331</v>
      </c>
      <c r="C1836" s="96" t="s">
        <v>2332</v>
      </c>
      <c r="D1836" s="96" t="s">
        <v>2333</v>
      </c>
      <c r="E1836" s="96" t="s">
        <v>2334</v>
      </c>
      <c r="F1836" s="9" t="s">
        <v>1709</v>
      </c>
      <c r="G1836" s="52" t="s">
        <v>6308</v>
      </c>
      <c r="H1836" s="56" t="s">
        <v>578</v>
      </c>
      <c r="I1836" s="9" t="s">
        <v>1308</v>
      </c>
      <c r="J1836" s="364" t="s">
        <v>2189</v>
      </c>
      <c r="K1836" s="364" t="s">
        <v>1820</v>
      </c>
      <c r="L1836" s="364" t="s">
        <v>515</v>
      </c>
      <c r="M1836" s="364" t="s">
        <v>1699</v>
      </c>
      <c r="N1836" s="364" t="s">
        <v>6604</v>
      </c>
      <c r="O1836" s="343" t="s">
        <v>6620</v>
      </c>
      <c r="P1836" s="83" t="s">
        <v>5279</v>
      </c>
      <c r="Q1836" s="326" t="s">
        <v>5514</v>
      </c>
      <c r="R1836" s="31" t="s">
        <v>6596</v>
      </c>
      <c r="S1836" s="51" t="s">
        <v>6597</v>
      </c>
      <c r="T1836" s="338" t="s">
        <v>5627</v>
      </c>
      <c r="U1836" s="330" t="s">
        <v>6537</v>
      </c>
      <c r="V1836" s="377" t="s">
        <v>6616</v>
      </c>
      <c r="W1836" s="11" t="s">
        <v>127</v>
      </c>
      <c r="X1836" s="71" t="s">
        <v>5216</v>
      </c>
      <c r="Y1836" s="29" t="s">
        <v>3</v>
      </c>
      <c r="Z1836" s="18" t="s">
        <v>2113</v>
      </c>
      <c r="AA1836" s="15" t="s">
        <v>8</v>
      </c>
      <c r="AB1836" s="22" t="s">
        <v>4</v>
      </c>
      <c r="AC1836" s="358" t="s">
        <v>211</v>
      </c>
      <c r="AD1836" s="9" t="s">
        <v>1308</v>
      </c>
      <c r="AE1836" s="75" t="s">
        <v>2114</v>
      </c>
      <c r="AF1836" s="76" t="s">
        <v>1826</v>
      </c>
      <c r="AG1836" s="33" t="s">
        <v>1827</v>
      </c>
      <c r="AH1836" s="44"/>
      <c r="AI1836" s="284"/>
      <c r="AK1836" s="9" t="s">
        <v>6666</v>
      </c>
      <c r="AL1836" s="5" t="s">
        <v>6667</v>
      </c>
      <c r="AM1836" s="51" t="s">
        <v>5339</v>
      </c>
      <c r="AN1836" s="276" t="s">
        <v>6665</v>
      </c>
      <c r="AO1836" s="284"/>
    </row>
    <row r="1837" spans="1:41">
      <c r="A1837" s="135" t="s">
        <v>2552</v>
      </c>
      <c r="B1837" s="96" t="s">
        <v>2331</v>
      </c>
      <c r="C1837" s="96" t="s">
        <v>2332</v>
      </c>
      <c r="D1837" s="96" t="s">
        <v>2333</v>
      </c>
      <c r="E1837" s="96" t="s">
        <v>2334</v>
      </c>
      <c r="F1837" s="9" t="s">
        <v>1709</v>
      </c>
      <c r="G1837" s="52" t="s">
        <v>1342</v>
      </c>
      <c r="H1837" s="56" t="s">
        <v>578</v>
      </c>
      <c r="I1837" s="9" t="s">
        <v>541</v>
      </c>
      <c r="J1837" s="364" t="s">
        <v>2189</v>
      </c>
      <c r="K1837" s="364" t="s">
        <v>1820</v>
      </c>
      <c r="L1837" s="364" t="s">
        <v>515</v>
      </c>
      <c r="M1837" s="364" t="s">
        <v>1699</v>
      </c>
      <c r="N1837" s="364" t="s">
        <v>6604</v>
      </c>
      <c r="O1837" s="343" t="s">
        <v>6620</v>
      </c>
      <c r="P1837" s="83" t="s">
        <v>5279</v>
      </c>
      <c r="Q1837" s="326" t="s">
        <v>5514</v>
      </c>
      <c r="R1837" s="31" t="s">
        <v>6596</v>
      </c>
      <c r="S1837" s="51" t="s">
        <v>6597</v>
      </c>
      <c r="T1837" s="338" t="s">
        <v>5627</v>
      </c>
      <c r="U1837" s="330" t="s">
        <v>6537</v>
      </c>
      <c r="V1837" s="377" t="s">
        <v>6616</v>
      </c>
      <c r="W1837" s="11" t="s">
        <v>127</v>
      </c>
      <c r="X1837" s="71" t="s">
        <v>5216</v>
      </c>
      <c r="Y1837" s="29" t="s">
        <v>3</v>
      </c>
      <c r="Z1837" s="18" t="s">
        <v>2113</v>
      </c>
      <c r="AA1837" s="15" t="s">
        <v>8</v>
      </c>
      <c r="AB1837" s="22" t="s">
        <v>4</v>
      </c>
      <c r="AC1837" s="358" t="s">
        <v>211</v>
      </c>
      <c r="AD1837" s="9" t="s">
        <v>541</v>
      </c>
      <c r="AE1837" s="75" t="s">
        <v>2114</v>
      </c>
      <c r="AF1837" s="76" t="s">
        <v>1826</v>
      </c>
      <c r="AG1837" s="33" t="s">
        <v>1827</v>
      </c>
      <c r="AH1837" s="44"/>
      <c r="AI1837" s="284"/>
      <c r="AK1837" s="9" t="s">
        <v>6666</v>
      </c>
      <c r="AL1837" s="5" t="s">
        <v>6667</v>
      </c>
      <c r="AM1837" s="51" t="s">
        <v>5339</v>
      </c>
      <c r="AN1837" s="276" t="s">
        <v>6665</v>
      </c>
      <c r="AO1837" s="284"/>
    </row>
    <row r="1838" spans="1:41">
      <c r="A1838" s="135" t="s">
        <v>2552</v>
      </c>
      <c r="B1838" s="96" t="s">
        <v>2331</v>
      </c>
      <c r="C1838" s="96" t="s">
        <v>2332</v>
      </c>
      <c r="D1838" s="96" t="s">
        <v>2333</v>
      </c>
      <c r="E1838" s="96" t="s">
        <v>2334</v>
      </c>
      <c r="F1838" s="9" t="s">
        <v>1709</v>
      </c>
      <c r="G1838" s="52" t="s">
        <v>1558</v>
      </c>
      <c r="H1838" s="56" t="s">
        <v>578</v>
      </c>
      <c r="I1838" s="9" t="s">
        <v>545</v>
      </c>
      <c r="J1838" s="364" t="s">
        <v>2189</v>
      </c>
      <c r="K1838" s="364" t="s">
        <v>1820</v>
      </c>
      <c r="L1838" s="364" t="s">
        <v>515</v>
      </c>
      <c r="M1838" s="364" t="s">
        <v>1699</v>
      </c>
      <c r="N1838" s="364" t="s">
        <v>6604</v>
      </c>
      <c r="O1838" s="343" t="s">
        <v>6620</v>
      </c>
      <c r="P1838" s="83" t="s">
        <v>5279</v>
      </c>
      <c r="Q1838" s="326" t="s">
        <v>5514</v>
      </c>
      <c r="R1838" s="31" t="s">
        <v>6596</v>
      </c>
      <c r="S1838" s="51" t="s">
        <v>6597</v>
      </c>
      <c r="T1838" s="338" t="s">
        <v>5627</v>
      </c>
      <c r="U1838" s="330" t="s">
        <v>6537</v>
      </c>
      <c r="V1838" s="377" t="s">
        <v>6616</v>
      </c>
      <c r="W1838" s="11" t="s">
        <v>127</v>
      </c>
      <c r="X1838" s="71" t="s">
        <v>5216</v>
      </c>
      <c r="Y1838" s="29" t="s">
        <v>3</v>
      </c>
      <c r="Z1838" s="18" t="s">
        <v>2113</v>
      </c>
      <c r="AA1838" s="15" t="s">
        <v>8</v>
      </c>
      <c r="AB1838" s="22" t="s">
        <v>4</v>
      </c>
      <c r="AC1838" s="358" t="s">
        <v>211</v>
      </c>
      <c r="AD1838" s="9" t="s">
        <v>545</v>
      </c>
      <c r="AE1838" s="75" t="s">
        <v>2114</v>
      </c>
      <c r="AF1838" s="76" t="s">
        <v>1826</v>
      </c>
      <c r="AG1838" s="33" t="s">
        <v>1827</v>
      </c>
      <c r="AH1838" s="44"/>
      <c r="AI1838" s="284"/>
      <c r="AK1838" s="9" t="s">
        <v>6666</v>
      </c>
      <c r="AL1838" s="5" t="s">
        <v>6667</v>
      </c>
      <c r="AM1838" s="51" t="s">
        <v>5339</v>
      </c>
      <c r="AN1838" s="276" t="s">
        <v>6665</v>
      </c>
      <c r="AO1838" s="284"/>
    </row>
    <row r="1839" spans="1:41">
      <c r="A1839" s="151"/>
      <c r="B1839" s="96"/>
      <c r="C1839" s="96"/>
      <c r="D1839" s="96"/>
      <c r="E1839" s="96"/>
      <c r="F1839" s="7"/>
      <c r="H1839" s="4"/>
      <c r="I1839" s="23"/>
      <c r="J1839" s="371"/>
      <c r="K1839" s="371"/>
      <c r="N1839" s="365"/>
      <c r="O1839" s="32"/>
      <c r="T1839" s="340"/>
      <c r="W1839" s="35"/>
      <c r="X1839" s="100"/>
      <c r="Y1839" s="37"/>
      <c r="Z1839" s="69"/>
      <c r="AA1839" s="16"/>
      <c r="AB1839" s="3"/>
      <c r="AD1839" s="23"/>
      <c r="AG1839" s="34">
        <f>AF1839-AE1839</f>
        <v>0</v>
      </c>
      <c r="AH1839" s="44"/>
    </row>
    <row r="1840" spans="1:41">
      <c r="T1840" s="340"/>
    </row>
  </sheetData>
  <sortState xmlns:xlrd2="http://schemas.microsoft.com/office/spreadsheetml/2017/richdata2" ref="A3:AH1862">
    <sortCondition ref="N949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4812"/>
  <sheetViews>
    <sheetView workbookViewId="0">
      <selection activeCell="Z3" sqref="Z3"/>
    </sheetView>
  </sheetViews>
  <sheetFormatPr defaultColWidth="9.125" defaultRowHeight="16.2"/>
  <cols>
    <col min="1" max="1" width="5.75" style="135" customWidth="1"/>
    <col min="2" max="5" width="5.75" style="97" customWidth="1"/>
    <col min="6" max="6" width="8.75" style="66" customWidth="1"/>
    <col min="7" max="7" width="7.75" style="20" customWidth="1"/>
    <col min="8" max="8" width="5.75" style="13" customWidth="1"/>
    <col min="9" max="9" width="9.75" style="10" customWidth="1"/>
    <col min="10" max="10" width="6.75" style="32" customWidth="1"/>
    <col min="11" max="11" width="6.75" style="367" customWidth="1"/>
    <col min="12" max="12" width="6.75" style="77" customWidth="1"/>
    <col min="13" max="13" width="6.75" style="365" customWidth="1"/>
    <col min="14" max="14" width="7.75" style="367" customWidth="1"/>
    <col min="15" max="15" width="7.75" style="343" customWidth="1"/>
    <col min="16" max="16" width="5.75" style="166" customWidth="1"/>
    <col min="17" max="17" width="4.75" style="109" customWidth="1"/>
    <col min="18" max="18" width="4.75" style="31" customWidth="1"/>
    <col min="19" max="19" width="4.75" style="51" customWidth="1"/>
    <col min="20" max="20" width="5.75" style="339" customWidth="1"/>
    <col min="21" max="21" width="2.75" style="329" customWidth="1"/>
    <col min="22" max="22" width="6.75" style="371" customWidth="1"/>
    <col min="23" max="23" width="7.75" style="64" customWidth="1"/>
    <col min="24" max="24" width="7.75" style="240" customWidth="1"/>
    <col min="25" max="25" width="9.75" style="285" customWidth="1"/>
    <col min="26" max="26" width="9.75" style="72" customWidth="1"/>
    <col min="27" max="27" width="9.75" style="61" customWidth="1"/>
    <col min="28" max="28" width="8.75" style="12" customWidth="1"/>
    <col min="29" max="29" width="6.75" style="104" customWidth="1"/>
    <col min="30" max="30" width="8.75" style="10" customWidth="1"/>
    <col min="31" max="31" width="11.75" style="89" customWidth="1"/>
    <col min="32" max="32" width="11.75" style="88" customWidth="1"/>
    <col min="33" max="33" width="3.75" style="82" customWidth="1"/>
    <col min="34" max="34" width="3.75" style="284" customWidth="1"/>
    <col min="35" max="35" width="2.75" style="129" customWidth="1"/>
    <col min="36" max="36" width="2.75" style="264" customWidth="1"/>
    <col min="37" max="37" width="7.75" style="252" customWidth="1"/>
    <col min="38" max="38" width="7.75" style="266" customWidth="1"/>
    <col min="39" max="40" width="7.75" style="284" customWidth="1"/>
    <col min="41" max="41" width="12.75" style="252" customWidth="1"/>
    <col min="42" max="42" width="5.75" style="266" customWidth="1"/>
    <col min="43" max="16384" width="9.125" style="284"/>
  </cols>
  <sheetData>
    <row r="1" spans="1:50">
      <c r="A1" s="135" t="s">
        <v>2552</v>
      </c>
      <c r="B1" s="96" t="s">
        <v>2331</v>
      </c>
      <c r="C1" s="96" t="s">
        <v>2332</v>
      </c>
      <c r="D1" s="96" t="s">
        <v>2333</v>
      </c>
      <c r="E1" s="96" t="s">
        <v>2334</v>
      </c>
      <c r="F1" s="9" t="s">
        <v>1709</v>
      </c>
      <c r="G1" s="27" t="s">
        <v>5626</v>
      </c>
      <c r="H1" s="56" t="s">
        <v>578</v>
      </c>
      <c r="I1" s="31" t="s">
        <v>6875</v>
      </c>
      <c r="J1" s="364" t="s">
        <v>2189</v>
      </c>
      <c r="K1" s="364" t="s">
        <v>1820</v>
      </c>
      <c r="L1" s="364" t="s">
        <v>515</v>
      </c>
      <c r="M1" s="364" t="s">
        <v>1699</v>
      </c>
      <c r="N1" s="364" t="s">
        <v>6633</v>
      </c>
      <c r="O1" s="343" t="s">
        <v>6634</v>
      </c>
      <c r="P1" s="83" t="s">
        <v>5279</v>
      </c>
      <c r="Q1" s="326" t="s">
        <v>5514</v>
      </c>
      <c r="R1" s="31" t="s">
        <v>6596</v>
      </c>
      <c r="S1" s="51" t="s">
        <v>6597</v>
      </c>
      <c r="T1" s="338" t="s">
        <v>5627</v>
      </c>
      <c r="U1" s="330" t="s">
        <v>6537</v>
      </c>
      <c r="V1" s="377" t="s">
        <v>6616</v>
      </c>
      <c r="W1" s="11" t="s">
        <v>127</v>
      </c>
      <c r="X1" s="71" t="s">
        <v>6626</v>
      </c>
      <c r="Y1" s="29" t="s">
        <v>6688</v>
      </c>
      <c r="Z1" s="18" t="s">
        <v>2113</v>
      </c>
      <c r="AA1" s="15" t="s">
        <v>3598</v>
      </c>
      <c r="AB1" s="22" t="s">
        <v>2199</v>
      </c>
      <c r="AC1" s="26" t="s">
        <v>211</v>
      </c>
      <c r="AD1" s="31" t="s">
        <v>6875</v>
      </c>
      <c r="AE1" s="56" t="s">
        <v>5568</v>
      </c>
      <c r="AF1" s="114" t="s">
        <v>5575</v>
      </c>
      <c r="AG1" s="33" t="s">
        <v>1827</v>
      </c>
      <c r="AH1" s="262" t="s">
        <v>6777</v>
      </c>
      <c r="AI1" s="284"/>
      <c r="AK1" s="9" t="s">
        <v>6666</v>
      </c>
      <c r="AL1" s="5" t="s">
        <v>6667</v>
      </c>
      <c r="AM1" s="51" t="s">
        <v>5339</v>
      </c>
      <c r="AN1" s="276" t="s">
        <v>6665</v>
      </c>
      <c r="AO1" s="131"/>
      <c r="AP1" s="264"/>
    </row>
    <row r="2" spans="1:50">
      <c r="A2" s="135" t="s">
        <v>2469</v>
      </c>
      <c r="B2" s="84">
        <v>965</v>
      </c>
      <c r="C2" s="84">
        <v>950</v>
      </c>
      <c r="D2" s="84">
        <v>1</v>
      </c>
      <c r="E2" s="84">
        <v>19</v>
      </c>
      <c r="F2" s="59">
        <v>18.989999999999998</v>
      </c>
      <c r="G2" s="84">
        <v>2409</v>
      </c>
      <c r="H2" s="9" t="s">
        <v>557</v>
      </c>
      <c r="I2" s="23" t="s">
        <v>384</v>
      </c>
      <c r="J2" s="371">
        <v>56.49</v>
      </c>
      <c r="K2" s="371">
        <v>32.21</v>
      </c>
      <c r="L2" s="371">
        <v>11.65</v>
      </c>
      <c r="M2" s="77">
        <v>0.36</v>
      </c>
      <c r="N2" s="365">
        <f t="shared" ref="N2" si="0">J2+K2+L2+M2</f>
        <v>100.71000000000001</v>
      </c>
      <c r="O2" s="343">
        <f t="shared" ref="O2" si="1">J2+M2</f>
        <v>56.85</v>
      </c>
      <c r="P2" s="195">
        <v>156</v>
      </c>
      <c r="Q2" s="326">
        <v>61</v>
      </c>
      <c r="R2" s="111">
        <v>31</v>
      </c>
      <c r="S2" s="51">
        <v>32</v>
      </c>
      <c r="T2" s="339">
        <f t="shared" ref="T2" si="2">SUM(P2:S2)</f>
        <v>280</v>
      </c>
      <c r="U2" s="329" t="s">
        <v>6541</v>
      </c>
      <c r="V2" s="77">
        <v>9.9700000000000006</v>
      </c>
      <c r="W2" s="35">
        <v>0.3</v>
      </c>
      <c r="X2" s="59">
        <v>6.22</v>
      </c>
      <c r="Y2" s="37" t="str">
        <f>RTD("money.excel",,"2409","Price")</f>
        <v>無資料</v>
      </c>
      <c r="Z2" s="69">
        <v>22.9</v>
      </c>
      <c r="AA2" s="16" t="e">
        <f t="shared" ref="AA2" si="3">Y2-Z2</f>
        <v>#VALUE!</v>
      </c>
      <c r="AB2" s="3" t="e">
        <f t="shared" ref="AB2" si="4">AA2/Z2</f>
        <v>#VALUE!</v>
      </c>
      <c r="AC2" s="177" t="s">
        <v>6912</v>
      </c>
      <c r="AD2" s="23" t="s">
        <v>384</v>
      </c>
      <c r="AE2" s="89">
        <v>44559</v>
      </c>
      <c r="AG2" s="34">
        <f t="shared" ref="AG2" si="5">AF2-AE2</f>
        <v>-44559</v>
      </c>
      <c r="AH2" s="126" t="s">
        <v>4053</v>
      </c>
      <c r="AI2" s="131"/>
      <c r="AK2" s="66">
        <f t="shared" ref="AK2" si="6">AM2/(A2*10000)</f>
        <v>0</v>
      </c>
      <c r="AL2" s="174">
        <f t="shared" ref="AL2" si="7">AN2/(A2*10000)</f>
        <v>0</v>
      </c>
      <c r="AM2" s="346">
        <f>RTD("money.excel",,$G2,"PredictVolume")</f>
        <v>0</v>
      </c>
      <c r="AN2" s="272">
        <f>RTD("money.excel",,$G2,"CumulativeVolume")</f>
        <v>0</v>
      </c>
      <c r="AO2" s="284"/>
      <c r="AP2" s="284"/>
    </row>
    <row r="3" spans="1:50">
      <c r="B3" s="96"/>
      <c r="C3" s="96"/>
      <c r="D3" s="96"/>
      <c r="E3" s="96"/>
      <c r="F3" s="9"/>
      <c r="G3" s="27"/>
      <c r="H3" s="56"/>
      <c r="I3" s="31"/>
      <c r="J3" s="364"/>
      <c r="K3" s="364"/>
      <c r="L3" s="364"/>
      <c r="M3" s="364"/>
      <c r="N3" s="364"/>
      <c r="P3" s="83"/>
      <c r="Q3" s="326"/>
      <c r="T3" s="338"/>
      <c r="U3" s="330"/>
      <c r="V3" s="377"/>
      <c r="W3" s="11"/>
      <c r="X3" s="71"/>
      <c r="Y3" s="29"/>
      <c r="Z3" s="18"/>
      <c r="AA3" s="15"/>
      <c r="AB3" s="22"/>
      <c r="AC3" s="26"/>
      <c r="AD3" s="31"/>
      <c r="AE3" s="56"/>
      <c r="AF3" s="114"/>
      <c r="AG3" s="33"/>
      <c r="AH3" s="262"/>
      <c r="AI3" s="284"/>
      <c r="AK3" s="9"/>
      <c r="AL3" s="5"/>
      <c r="AM3" s="51"/>
      <c r="AN3" s="276"/>
      <c r="AO3" s="131"/>
      <c r="AP3" s="264"/>
    </row>
    <row r="4" spans="1:50">
      <c r="A4" s="135" t="s">
        <v>5396</v>
      </c>
      <c r="B4" s="98">
        <v>1304</v>
      </c>
      <c r="C4" s="98">
        <v>1044</v>
      </c>
      <c r="D4" s="85">
        <v>-3</v>
      </c>
      <c r="E4" s="84">
        <v>159</v>
      </c>
      <c r="F4" s="59">
        <v>57.62</v>
      </c>
      <c r="G4" s="84">
        <v>2603</v>
      </c>
      <c r="H4" s="9" t="s">
        <v>551</v>
      </c>
      <c r="I4" s="23" t="s">
        <v>486</v>
      </c>
      <c r="J4" s="77">
        <v>59.24</v>
      </c>
      <c r="K4" s="77">
        <v>30.16</v>
      </c>
      <c r="L4" s="371">
        <v>21.61</v>
      </c>
      <c r="M4" s="371">
        <v>14.18</v>
      </c>
      <c r="N4" s="365">
        <f t="shared" ref="N4" si="8">J4+K4+L4+M4</f>
        <v>125.19</v>
      </c>
      <c r="O4" s="343">
        <f t="shared" ref="O4" si="9">J4+M4</f>
        <v>73.42</v>
      </c>
      <c r="P4" s="195">
        <v>142</v>
      </c>
      <c r="Q4" s="326">
        <v>38</v>
      </c>
      <c r="R4" s="111">
        <v>20</v>
      </c>
      <c r="S4" s="51">
        <v>65</v>
      </c>
      <c r="T4" s="339">
        <f t="shared" ref="T4" si="10">SUM(P4:S4)</f>
        <v>265</v>
      </c>
      <c r="U4" s="329" t="s">
        <v>6541</v>
      </c>
      <c r="V4" s="77">
        <v>3.12</v>
      </c>
      <c r="W4" s="35">
        <v>2.4900000000000002</v>
      </c>
      <c r="X4" s="59">
        <v>33.51</v>
      </c>
      <c r="Y4" s="37" t="str">
        <f>RTD("money.excel",,"2603","Price")</f>
        <v>無資料</v>
      </c>
      <c r="Z4" s="69">
        <v>144</v>
      </c>
      <c r="AA4" s="16" t="e">
        <f t="shared" ref="AA4" si="11">Y4-Z4</f>
        <v>#VALUE!</v>
      </c>
      <c r="AB4" s="3" t="e">
        <f t="shared" ref="AB4" si="12">AA4/Z4</f>
        <v>#VALUE!</v>
      </c>
      <c r="AC4" s="177" t="s">
        <v>6896</v>
      </c>
      <c r="AD4" s="23" t="s">
        <v>486</v>
      </c>
      <c r="AE4" s="89">
        <v>44558</v>
      </c>
      <c r="AG4" s="34">
        <f t="shared" ref="AG4" si="13">AF4-AE4</f>
        <v>-44558</v>
      </c>
      <c r="AH4" s="126" t="s">
        <v>5209</v>
      </c>
      <c r="AI4" s="131"/>
      <c r="AK4" s="66">
        <f t="shared" ref="AK4" si="14">AM4/(A4*10000)</f>
        <v>0</v>
      </c>
      <c r="AL4" s="174">
        <f t="shared" ref="AL4" si="15">AN4/(A4*10000)</f>
        <v>0</v>
      </c>
      <c r="AM4" s="346">
        <f>RTD("money.excel",,$G4,"PredictVolume")</f>
        <v>0</v>
      </c>
      <c r="AN4" s="272">
        <f>RTD("money.excel",,$G4,"CumulativeVolume")</f>
        <v>0</v>
      </c>
      <c r="AO4" s="284"/>
      <c r="AP4" s="284"/>
    </row>
    <row r="5" spans="1:50">
      <c r="A5" s="135" t="s">
        <v>6273</v>
      </c>
      <c r="B5" s="84">
        <v>706</v>
      </c>
      <c r="C5" s="84">
        <v>799</v>
      </c>
      <c r="D5" s="85">
        <v>-1</v>
      </c>
      <c r="E5" s="84">
        <v>1</v>
      </c>
      <c r="F5" s="59">
        <v>21.35</v>
      </c>
      <c r="G5" s="84">
        <v>3481</v>
      </c>
      <c r="H5" s="9" t="s">
        <v>557</v>
      </c>
      <c r="I5" s="23" t="s">
        <v>387</v>
      </c>
      <c r="J5" s="77">
        <v>48.12</v>
      </c>
      <c r="K5" s="77">
        <v>31.5</v>
      </c>
      <c r="L5" s="371">
        <v>16.63</v>
      </c>
      <c r="M5" s="371">
        <v>1.76</v>
      </c>
      <c r="N5" s="365">
        <f t="shared" ref="N5:N6" si="16">J5+K5+L5+M5</f>
        <v>98.01</v>
      </c>
      <c r="O5" s="343">
        <f t="shared" ref="O5:O6" si="17">J5+M5</f>
        <v>49.879999999999995</v>
      </c>
      <c r="P5" s="195">
        <v>136</v>
      </c>
      <c r="Q5" s="326">
        <v>32</v>
      </c>
      <c r="R5" s="111">
        <v>27</v>
      </c>
      <c r="S5" s="51">
        <v>34</v>
      </c>
      <c r="T5" s="339">
        <f t="shared" ref="T5" si="18">SUM(P5:S5)</f>
        <v>229</v>
      </c>
      <c r="U5" s="329" t="s">
        <v>6541</v>
      </c>
      <c r="V5" s="77">
        <v>8.2200000000000006</v>
      </c>
      <c r="W5" s="35">
        <v>0.4</v>
      </c>
      <c r="X5" s="100">
        <v>6.07</v>
      </c>
      <c r="Y5" s="37" t="str">
        <f>RTD("money.excel",,"3481","Price")</f>
        <v>無資料</v>
      </c>
      <c r="Z5" s="69">
        <v>19.399999999999999</v>
      </c>
      <c r="AA5" s="16" t="e">
        <f t="shared" ref="AA5" si="19">Y5-Z5</f>
        <v>#VALUE!</v>
      </c>
      <c r="AB5" s="3" t="e">
        <f t="shared" ref="AB5" si="20">AA5/Z5</f>
        <v>#VALUE!</v>
      </c>
      <c r="AC5" s="177" t="s">
        <v>6881</v>
      </c>
      <c r="AD5" s="23" t="s">
        <v>387</v>
      </c>
      <c r="AE5" s="89">
        <v>44557</v>
      </c>
      <c r="AG5" s="34">
        <f t="shared" ref="AG5" si="21">AF5-AE5</f>
        <v>-44557</v>
      </c>
      <c r="AH5" s="126" t="s">
        <v>2176</v>
      </c>
      <c r="AI5" s="284"/>
      <c r="AK5" s="66">
        <f t="shared" ref="AK5:AK6" si="22">AM5/(A5*10000)</f>
        <v>0</v>
      </c>
      <c r="AL5" s="174">
        <f t="shared" ref="AL5:AL6" si="23">AN5/(A5*10000)</f>
        <v>0</v>
      </c>
      <c r="AM5" s="346">
        <f>RTD("money.excel",,$G5,"PredictVolume")</f>
        <v>0</v>
      </c>
      <c r="AN5" s="272">
        <f>RTD("money.excel",,$G5,"CumulativeVolume")</f>
        <v>0</v>
      </c>
      <c r="AO5" s="284"/>
      <c r="AP5" s="284"/>
    </row>
    <row r="6" spans="1:50">
      <c r="A6" s="135" t="s">
        <v>5396</v>
      </c>
      <c r="B6" s="98">
        <v>1304</v>
      </c>
      <c r="C6" s="98">
        <v>1044</v>
      </c>
      <c r="D6" s="85">
        <v>-3</v>
      </c>
      <c r="E6" s="84">
        <v>159</v>
      </c>
      <c r="F6" s="59">
        <v>57.62</v>
      </c>
      <c r="G6" s="84">
        <v>2603</v>
      </c>
      <c r="H6" s="9" t="s">
        <v>551</v>
      </c>
      <c r="I6" s="23" t="s">
        <v>486</v>
      </c>
      <c r="J6" s="77">
        <v>59.27</v>
      </c>
      <c r="K6" s="77">
        <v>30.17</v>
      </c>
      <c r="L6" s="371">
        <v>21.61</v>
      </c>
      <c r="M6" s="371">
        <v>14.18</v>
      </c>
      <c r="N6" s="365">
        <f t="shared" si="16"/>
        <v>125.22999999999999</v>
      </c>
      <c r="O6" s="343">
        <f t="shared" si="17"/>
        <v>73.45</v>
      </c>
      <c r="P6" s="195">
        <v>141</v>
      </c>
      <c r="Q6" s="326">
        <v>37</v>
      </c>
      <c r="R6" s="111">
        <v>19</v>
      </c>
      <c r="S6" s="51">
        <v>64</v>
      </c>
      <c r="T6" s="339">
        <f t="shared" ref="T6" si="24">SUM(P6:S6)</f>
        <v>261</v>
      </c>
      <c r="U6" s="329" t="s">
        <v>6541</v>
      </c>
      <c r="V6" s="77">
        <v>3.11</v>
      </c>
      <c r="W6" s="35">
        <v>2.4900000000000002</v>
      </c>
      <c r="X6" s="59">
        <v>33.51</v>
      </c>
      <c r="Y6" s="37" t="str">
        <f>RTD("money.excel",,"2603","Price")</f>
        <v>無資料</v>
      </c>
      <c r="Z6" s="69">
        <v>143.5</v>
      </c>
      <c r="AA6" s="16" t="e">
        <f>Y6-Z6</f>
        <v>#VALUE!</v>
      </c>
      <c r="AB6" s="3" t="e">
        <f>AA6/Z6</f>
        <v>#VALUE!</v>
      </c>
      <c r="AC6" s="177" t="s">
        <v>6825</v>
      </c>
      <c r="AD6" s="23" t="s">
        <v>486</v>
      </c>
      <c r="AE6" s="89">
        <v>44557</v>
      </c>
      <c r="AG6" s="34">
        <f>AF6-AE6</f>
        <v>-44557</v>
      </c>
      <c r="AH6" s="126" t="s">
        <v>5209</v>
      </c>
      <c r="AI6" s="284"/>
      <c r="AK6" s="66">
        <f t="shared" si="22"/>
        <v>0</v>
      </c>
      <c r="AL6" s="174">
        <f t="shared" si="23"/>
        <v>0</v>
      </c>
      <c r="AM6" s="346">
        <f>RTD("money.excel",,$G6,"PredictVolume")</f>
        <v>0</v>
      </c>
      <c r="AN6" s="272">
        <f>RTD("money.excel",,$G6,"CumulativeVolume")</f>
        <v>0</v>
      </c>
      <c r="AO6" s="284"/>
      <c r="AP6" s="284"/>
    </row>
    <row r="7" spans="1:50">
      <c r="A7" s="135" t="s">
        <v>2469</v>
      </c>
      <c r="B7" s="84">
        <v>965</v>
      </c>
      <c r="C7" s="84">
        <v>950</v>
      </c>
      <c r="D7" s="85">
        <v>1</v>
      </c>
      <c r="E7" s="84">
        <v>19</v>
      </c>
      <c r="F7" s="59">
        <v>18.989999999999998</v>
      </c>
      <c r="G7" s="84">
        <v>2409</v>
      </c>
      <c r="H7" s="9" t="s">
        <v>557</v>
      </c>
      <c r="I7" s="23" t="s">
        <v>384</v>
      </c>
      <c r="J7" s="371">
        <v>56.49</v>
      </c>
      <c r="K7" s="371">
        <v>32.26</v>
      </c>
      <c r="L7" s="77">
        <v>11.74</v>
      </c>
      <c r="M7" s="77">
        <v>0.36</v>
      </c>
      <c r="N7" s="365">
        <f t="shared" ref="N7:N8" si="25">J7+K7+L7+M7</f>
        <v>100.85</v>
      </c>
      <c r="O7" s="343">
        <f t="shared" ref="O7:O8" si="26">J7+M7</f>
        <v>56.85</v>
      </c>
      <c r="P7" s="195">
        <v>155</v>
      </c>
      <c r="Q7" s="326">
        <v>60</v>
      </c>
      <c r="R7" s="111">
        <v>31</v>
      </c>
      <c r="S7" s="51">
        <v>32</v>
      </c>
      <c r="T7" s="339">
        <f t="shared" ref="T7" si="27">SUM(P7:S7)</f>
        <v>278</v>
      </c>
      <c r="U7" s="329" t="s">
        <v>6541</v>
      </c>
      <c r="V7" s="371">
        <v>9.83</v>
      </c>
      <c r="W7" s="35">
        <v>0.3</v>
      </c>
      <c r="X7" s="59">
        <v>6.22</v>
      </c>
      <c r="Y7" s="37" t="str">
        <f>RTD("money.excel",,"2409","Price")</f>
        <v>無資料</v>
      </c>
      <c r="Z7" s="69">
        <v>22.7</v>
      </c>
      <c r="AA7" s="16" t="e">
        <f>Y7-Z7</f>
        <v>#VALUE!</v>
      </c>
      <c r="AB7" s="3" t="e">
        <f>AA7/Z7</f>
        <v>#VALUE!</v>
      </c>
      <c r="AC7" s="177" t="s">
        <v>6824</v>
      </c>
      <c r="AD7" s="23" t="s">
        <v>384</v>
      </c>
      <c r="AE7" s="89">
        <v>44554</v>
      </c>
      <c r="AG7" s="34">
        <f>AF7-AE7</f>
        <v>-44554</v>
      </c>
      <c r="AH7" s="126" t="s">
        <v>4053</v>
      </c>
      <c r="AI7" s="284"/>
      <c r="AK7" s="66">
        <f t="shared" ref="AK7:AK8" si="28">AM7/(A7*10000)</f>
        <v>0</v>
      </c>
      <c r="AL7" s="174">
        <f t="shared" ref="AL7:AL8" si="29">AN7/(A7*10000)</f>
        <v>0</v>
      </c>
      <c r="AM7" s="346">
        <f>RTD("money.excel",,$G7,"PredictVolume")</f>
        <v>0</v>
      </c>
      <c r="AN7" s="272">
        <f>RTD("money.excel",,$G7,"CumulativeVolume")</f>
        <v>0</v>
      </c>
      <c r="AO7" s="284"/>
      <c r="AP7" s="284"/>
    </row>
    <row r="8" spans="1:50">
      <c r="A8" s="135" t="s">
        <v>5396</v>
      </c>
      <c r="B8" s="98">
        <v>1304</v>
      </c>
      <c r="C8" s="98">
        <v>1044</v>
      </c>
      <c r="D8" s="85">
        <v>-3</v>
      </c>
      <c r="E8" s="84">
        <v>159</v>
      </c>
      <c r="F8" s="59">
        <v>57.62</v>
      </c>
      <c r="G8" s="84">
        <v>2603</v>
      </c>
      <c r="H8" s="9" t="s">
        <v>551</v>
      </c>
      <c r="I8" s="23" t="s">
        <v>486</v>
      </c>
      <c r="J8" s="77">
        <v>59.24</v>
      </c>
      <c r="K8" s="371">
        <v>30.1</v>
      </c>
      <c r="L8" s="77">
        <v>21.72</v>
      </c>
      <c r="M8" s="371">
        <v>14.18</v>
      </c>
      <c r="N8" s="365">
        <f t="shared" si="25"/>
        <v>125.24000000000001</v>
      </c>
      <c r="O8" s="343">
        <f t="shared" si="26"/>
        <v>73.42</v>
      </c>
      <c r="P8" s="195">
        <v>140</v>
      </c>
      <c r="Q8" s="326">
        <v>36</v>
      </c>
      <c r="R8" s="111">
        <v>19</v>
      </c>
      <c r="S8" s="51">
        <v>64</v>
      </c>
      <c r="T8" s="339">
        <f t="shared" ref="T8" si="30">SUM(P8:S8)</f>
        <v>259</v>
      </c>
      <c r="U8" s="329" t="s">
        <v>6541</v>
      </c>
      <c r="V8" s="371">
        <v>3.11</v>
      </c>
      <c r="W8" s="35">
        <v>2.4900000000000002</v>
      </c>
      <c r="X8" s="59">
        <v>33.51</v>
      </c>
      <c r="Y8" s="37" t="str">
        <f>RTD("money.excel",,"2603","Price")</f>
        <v>無資料</v>
      </c>
      <c r="Z8" s="69">
        <v>139.5</v>
      </c>
      <c r="AA8" s="16" t="e">
        <f>Y8-Z8</f>
        <v>#VALUE!</v>
      </c>
      <c r="AB8" s="3" t="e">
        <f>AA8/Z8</f>
        <v>#VALUE!</v>
      </c>
      <c r="AC8" s="177" t="s">
        <v>6825</v>
      </c>
      <c r="AD8" s="23" t="s">
        <v>486</v>
      </c>
      <c r="AE8" s="89">
        <v>44554</v>
      </c>
      <c r="AG8" s="34">
        <f>AF8-AE8</f>
        <v>-44554</v>
      </c>
      <c r="AH8" s="126" t="s">
        <v>5209</v>
      </c>
      <c r="AI8" s="284"/>
      <c r="AK8" s="66">
        <f t="shared" si="28"/>
        <v>0</v>
      </c>
      <c r="AL8" s="174">
        <f t="shared" si="29"/>
        <v>0</v>
      </c>
      <c r="AM8" s="346">
        <f>RTD("money.excel",,$G8,"PredictVolume")</f>
        <v>0</v>
      </c>
      <c r="AN8" s="272">
        <f>RTD("money.excel",,$G8,"CumulativeVolume")</f>
        <v>0</v>
      </c>
      <c r="AO8" s="284"/>
      <c r="AP8" s="284"/>
    </row>
    <row r="9" spans="1:50">
      <c r="A9" s="135" t="s">
        <v>6273</v>
      </c>
      <c r="B9" s="84">
        <v>706</v>
      </c>
      <c r="C9" s="84">
        <v>799</v>
      </c>
      <c r="D9" s="85">
        <v>-1</v>
      </c>
      <c r="E9" s="84">
        <v>1</v>
      </c>
      <c r="F9" s="59">
        <v>21.35</v>
      </c>
      <c r="G9" s="84">
        <v>3481</v>
      </c>
      <c r="H9" s="9" t="s">
        <v>557</v>
      </c>
      <c r="I9" s="23" t="s">
        <v>387</v>
      </c>
      <c r="J9" s="77">
        <v>47.78</v>
      </c>
      <c r="K9" s="77">
        <v>32.270000000000003</v>
      </c>
      <c r="L9" s="77">
        <v>16.95</v>
      </c>
      <c r="M9" s="365">
        <v>1.76</v>
      </c>
      <c r="N9" s="365">
        <f t="shared" ref="N9" si="31">J9+K9+L9+M9</f>
        <v>98.760000000000019</v>
      </c>
      <c r="O9" s="343">
        <f t="shared" ref="O9" si="32">J9+M9</f>
        <v>49.54</v>
      </c>
      <c r="P9" s="195">
        <v>135</v>
      </c>
      <c r="Q9" s="326">
        <v>31</v>
      </c>
      <c r="R9" s="111">
        <v>27</v>
      </c>
      <c r="S9" s="51">
        <v>34</v>
      </c>
      <c r="T9" s="339">
        <f t="shared" ref="T9" si="33">SUM(P9:S9)</f>
        <v>227</v>
      </c>
      <c r="U9" s="329" t="s">
        <v>6541</v>
      </c>
      <c r="V9" s="371">
        <v>8.51</v>
      </c>
      <c r="W9" s="35">
        <v>0.4</v>
      </c>
      <c r="X9" s="100">
        <v>6.07</v>
      </c>
      <c r="Y9" s="37" t="str">
        <f>RTD("money.excel",,"3481","Price")</f>
        <v>無資料</v>
      </c>
      <c r="Z9" s="69">
        <v>19.05</v>
      </c>
      <c r="AA9" s="16" t="e">
        <f t="shared" ref="AA9" si="34">Y9-Z9</f>
        <v>#VALUE!</v>
      </c>
      <c r="AB9" s="3" t="e">
        <f t="shared" ref="AB9" si="35">AA9/Z9</f>
        <v>#VALUE!</v>
      </c>
      <c r="AC9" s="177" t="s">
        <v>6794</v>
      </c>
      <c r="AD9" s="23" t="s">
        <v>387</v>
      </c>
      <c r="AE9" s="89">
        <v>44553</v>
      </c>
      <c r="AG9" s="34">
        <f t="shared" ref="AG9" si="36">AF9-AE9</f>
        <v>-44553</v>
      </c>
      <c r="AH9" s="126" t="s">
        <v>2176</v>
      </c>
      <c r="AI9" s="284"/>
      <c r="AK9" s="66">
        <f t="shared" ref="AK9" si="37">AM9/(A9*10000)</f>
        <v>0</v>
      </c>
      <c r="AL9" s="174">
        <f t="shared" ref="AL9" si="38">AN9/(A9*10000)</f>
        <v>0</v>
      </c>
      <c r="AM9" s="346">
        <f>RTD("money.excel",,$G9,"PredictVolume")</f>
        <v>0</v>
      </c>
      <c r="AN9" s="272">
        <f>RTD("money.excel",,$G9,"CumulativeVolume")</f>
        <v>0</v>
      </c>
      <c r="AO9" s="284"/>
      <c r="AP9" s="284"/>
    </row>
    <row r="10" spans="1:50">
      <c r="A10" s="135" t="s">
        <v>5371</v>
      </c>
      <c r="B10" s="98">
        <v>5295</v>
      </c>
      <c r="C10" s="98">
        <v>2578</v>
      </c>
      <c r="D10" s="84">
        <v>1</v>
      </c>
      <c r="E10" s="84">
        <v>125</v>
      </c>
      <c r="F10" s="59">
        <v>57.99</v>
      </c>
      <c r="G10" s="84">
        <v>2609</v>
      </c>
      <c r="H10" s="9" t="s">
        <v>551</v>
      </c>
      <c r="I10" s="23" t="s">
        <v>1475</v>
      </c>
      <c r="J10" s="371">
        <v>58.05</v>
      </c>
      <c r="K10" s="371">
        <v>15.49</v>
      </c>
      <c r="L10" s="77">
        <v>24.48</v>
      </c>
      <c r="M10" s="371">
        <v>33.18</v>
      </c>
      <c r="N10" s="77">
        <f t="shared" ref="N10" si="39">J10+K10+L10+M10</f>
        <v>131.19999999999999</v>
      </c>
      <c r="O10" s="369">
        <f t="shared" ref="O10" si="40">J10+M10</f>
        <v>91.22999999999999</v>
      </c>
      <c r="P10" s="195">
        <v>136</v>
      </c>
      <c r="Q10" s="326">
        <v>28</v>
      </c>
      <c r="R10" s="111">
        <v>18</v>
      </c>
      <c r="S10" s="51">
        <v>82</v>
      </c>
      <c r="T10" s="339">
        <f t="shared" ref="T10" si="41">SUM(P10:S10)</f>
        <v>264</v>
      </c>
      <c r="U10" s="329" t="s">
        <v>6541</v>
      </c>
      <c r="V10" s="371">
        <v>3.04</v>
      </c>
      <c r="W10" s="35">
        <v>0</v>
      </c>
      <c r="X10" s="59">
        <v>37.72</v>
      </c>
      <c r="Y10" s="37" t="str">
        <f>RTD("money.excel",,"2609","Price")</f>
        <v>無資料</v>
      </c>
      <c r="Z10" s="69">
        <v>122</v>
      </c>
      <c r="AA10" s="16" t="e">
        <f>Y10-Z10</f>
        <v>#VALUE!</v>
      </c>
      <c r="AB10" s="3" t="e">
        <f>AA10/Z10</f>
        <v>#VALUE!</v>
      </c>
      <c r="AC10" s="177" t="s">
        <v>6700</v>
      </c>
      <c r="AD10" s="23" t="s">
        <v>1475</v>
      </c>
      <c r="AE10" s="89">
        <v>44547</v>
      </c>
      <c r="AG10" s="34">
        <f>AF10-AE10</f>
        <v>-44547</v>
      </c>
      <c r="AH10" s="63" t="s">
        <v>5209</v>
      </c>
      <c r="AI10" s="131"/>
      <c r="AK10" s="66"/>
      <c r="AL10" s="174"/>
      <c r="AM10" s="346"/>
      <c r="AN10" s="272"/>
      <c r="AO10" s="131"/>
      <c r="AP10" s="264"/>
    </row>
    <row r="11" spans="1:50">
      <c r="A11" s="135" t="s">
        <v>5371</v>
      </c>
      <c r="B11" s="98">
        <v>5295</v>
      </c>
      <c r="C11" s="98">
        <v>2578</v>
      </c>
      <c r="D11" s="84">
        <v>1</v>
      </c>
      <c r="E11" s="84">
        <v>125</v>
      </c>
      <c r="F11" s="59">
        <v>57.99</v>
      </c>
      <c r="G11" s="84">
        <v>2609</v>
      </c>
      <c r="H11" s="9" t="s">
        <v>551</v>
      </c>
      <c r="I11" s="23" t="s">
        <v>1475</v>
      </c>
      <c r="J11" s="77">
        <v>58.33</v>
      </c>
      <c r="K11" s="77">
        <v>16.309999999999999</v>
      </c>
      <c r="L11" s="77">
        <v>24.73</v>
      </c>
      <c r="M11" s="371">
        <v>33.18</v>
      </c>
      <c r="N11" s="77">
        <f t="shared" ref="N11" si="42">J11+K11+L11+M11</f>
        <v>132.55000000000001</v>
      </c>
      <c r="O11" s="369">
        <f t="shared" ref="O11" si="43">J11+M11</f>
        <v>91.509999999999991</v>
      </c>
      <c r="P11" s="195">
        <v>135</v>
      </c>
      <c r="Q11" s="326">
        <v>16</v>
      </c>
      <c r="R11" s="111">
        <v>32</v>
      </c>
      <c r="S11" s="51">
        <v>9</v>
      </c>
      <c r="T11" s="339">
        <f t="shared" ref="T11" si="44">SUM(P11:S11)</f>
        <v>192</v>
      </c>
      <c r="U11" s="329" t="s">
        <v>6627</v>
      </c>
      <c r="V11" s="371">
        <v>3.44</v>
      </c>
      <c r="W11" s="35">
        <v>0</v>
      </c>
      <c r="X11" s="59">
        <v>37.72</v>
      </c>
      <c r="Y11" s="37" t="str">
        <f>RTD("money.excel",,"2609","Price")</f>
        <v>無資料</v>
      </c>
      <c r="Z11" s="69">
        <v>120</v>
      </c>
      <c r="AA11" s="16" t="e">
        <f>Y11-Z11</f>
        <v>#VALUE!</v>
      </c>
      <c r="AB11" s="3" t="e">
        <f>AA11/Z11</f>
        <v>#VALUE!</v>
      </c>
      <c r="AC11" s="107" t="s">
        <v>6628</v>
      </c>
      <c r="AD11" s="23" t="s">
        <v>1475</v>
      </c>
      <c r="AE11" s="89">
        <v>44543</v>
      </c>
      <c r="AG11" s="34">
        <f>AF11-AE11</f>
        <v>-44543</v>
      </c>
      <c r="AH11" s="63" t="s">
        <v>5209</v>
      </c>
      <c r="AI11" s="284"/>
      <c r="AK11" s="66"/>
      <c r="AL11" s="174"/>
      <c r="AM11" s="346"/>
      <c r="AN11" s="272"/>
      <c r="AO11" s="131"/>
      <c r="AP11" s="264"/>
    </row>
    <row r="12" spans="1:50">
      <c r="B12" s="96"/>
      <c r="C12" s="96"/>
      <c r="D12" s="96"/>
      <c r="E12" s="96"/>
      <c r="F12" s="9"/>
      <c r="G12" s="27"/>
      <c r="H12" s="56"/>
      <c r="I12" s="31"/>
      <c r="J12" s="369"/>
      <c r="K12" s="369"/>
      <c r="L12" s="369"/>
      <c r="M12" s="364"/>
      <c r="N12" s="364"/>
      <c r="P12" s="83"/>
      <c r="Q12" s="326"/>
      <c r="R12" s="111"/>
      <c r="T12" s="338"/>
      <c r="V12" s="377"/>
      <c r="W12" s="11"/>
      <c r="X12" s="71"/>
      <c r="Y12" s="29"/>
      <c r="Z12" s="18"/>
      <c r="AA12" s="15"/>
      <c r="AB12" s="22"/>
      <c r="AC12" s="26"/>
      <c r="AD12" s="31"/>
      <c r="AE12" s="56"/>
      <c r="AF12" s="114"/>
      <c r="AG12" s="33"/>
      <c r="AH12" s="262"/>
      <c r="AI12" s="131"/>
      <c r="AK12" s="131"/>
      <c r="AL12" s="264"/>
      <c r="AO12" s="131"/>
      <c r="AP12" s="264"/>
    </row>
    <row r="13" spans="1:50">
      <c r="A13" s="263"/>
      <c r="B13" s="182"/>
      <c r="C13" s="182"/>
      <c r="D13" s="182"/>
      <c r="E13" s="182"/>
      <c r="F13" s="183"/>
      <c r="G13" s="184"/>
      <c r="H13" s="186"/>
      <c r="I13" s="185"/>
      <c r="J13" s="366"/>
      <c r="K13" s="366"/>
      <c r="L13" s="372"/>
      <c r="M13" s="373"/>
      <c r="N13" s="366">
        <v>130</v>
      </c>
      <c r="O13" s="369">
        <v>80</v>
      </c>
      <c r="V13" s="371" t="s">
        <v>6622</v>
      </c>
      <c r="W13" s="183"/>
      <c r="X13" s="4" t="s">
        <v>2189</v>
      </c>
      <c r="Y13" s="4" t="s">
        <v>1820</v>
      </c>
      <c r="Z13" s="11" t="s">
        <v>515</v>
      </c>
      <c r="AA13" s="189"/>
      <c r="AB13" s="190"/>
      <c r="AC13" s="263" t="s">
        <v>5311</v>
      </c>
      <c r="AD13" s="185"/>
      <c r="AF13" s="194"/>
      <c r="AG13" s="192">
        <f t="shared" ref="AG13" si="45">AF13-AE13</f>
        <v>0</v>
      </c>
      <c r="AH13" s="263" t="s">
        <v>6680</v>
      </c>
      <c r="AI13" s="131"/>
      <c r="AK13" s="131"/>
      <c r="AL13" s="264"/>
      <c r="AP13" s="265"/>
      <c r="AQ13" s="287"/>
      <c r="AR13" s="287"/>
      <c r="AS13" s="287"/>
      <c r="AU13" s="287"/>
      <c r="AV13" s="287"/>
      <c r="AW13" s="287"/>
      <c r="AX13" s="287"/>
    </row>
    <row r="14" spans="1:50">
      <c r="A14" s="135" t="s">
        <v>2552</v>
      </c>
      <c r="B14" s="96" t="s">
        <v>2331</v>
      </c>
      <c r="C14" s="96" t="s">
        <v>2332</v>
      </c>
      <c r="D14" s="96" t="s">
        <v>2333</v>
      </c>
      <c r="E14" s="96" t="s">
        <v>2334</v>
      </c>
      <c r="F14" s="9" t="s">
        <v>1709</v>
      </c>
      <c r="G14" s="27" t="s">
        <v>5626</v>
      </c>
      <c r="H14" s="56" t="s">
        <v>578</v>
      </c>
      <c r="I14" s="31" t="s">
        <v>6875</v>
      </c>
      <c r="J14" s="364" t="s">
        <v>2189</v>
      </c>
      <c r="K14" s="364" t="s">
        <v>1820</v>
      </c>
      <c r="L14" s="364" t="s">
        <v>515</v>
      </c>
      <c r="M14" s="364" t="s">
        <v>1699</v>
      </c>
      <c r="N14" s="364" t="s">
        <v>6633</v>
      </c>
      <c r="O14" s="343" t="s">
        <v>6634</v>
      </c>
      <c r="P14" s="83" t="s">
        <v>5279</v>
      </c>
      <c r="Q14" s="326" t="s">
        <v>5514</v>
      </c>
      <c r="R14" s="31" t="s">
        <v>6596</v>
      </c>
      <c r="S14" s="51" t="s">
        <v>6597</v>
      </c>
      <c r="T14" s="338" t="s">
        <v>5627</v>
      </c>
      <c r="U14" s="330" t="s">
        <v>6537</v>
      </c>
      <c r="V14" s="377" t="s">
        <v>6616</v>
      </c>
      <c r="W14" s="11" t="s">
        <v>127</v>
      </c>
      <c r="X14" s="71" t="s">
        <v>6626</v>
      </c>
      <c r="Y14" s="29" t="s">
        <v>6688</v>
      </c>
      <c r="Z14" s="18" t="s">
        <v>2113</v>
      </c>
      <c r="AA14" s="15" t="s">
        <v>3598</v>
      </c>
      <c r="AB14" s="22" t="s">
        <v>2199</v>
      </c>
      <c r="AC14" s="26" t="s">
        <v>211</v>
      </c>
      <c r="AD14" s="31" t="s">
        <v>6875</v>
      </c>
      <c r="AE14" s="56" t="s">
        <v>5568</v>
      </c>
      <c r="AF14" s="114" t="s">
        <v>5575</v>
      </c>
      <c r="AG14" s="33" t="s">
        <v>1827</v>
      </c>
      <c r="AH14" s="262" t="s">
        <v>6777</v>
      </c>
      <c r="AI14" s="131"/>
      <c r="AK14" s="9" t="s">
        <v>6666</v>
      </c>
      <c r="AL14" s="5" t="s">
        <v>6667</v>
      </c>
      <c r="AM14" s="51" t="s">
        <v>5339</v>
      </c>
      <c r="AN14" s="276" t="s">
        <v>6665</v>
      </c>
      <c r="AO14" s="131"/>
      <c r="AP14" s="264"/>
    </row>
    <row r="15" spans="1:50">
      <c r="B15" s="96"/>
      <c r="C15" s="96"/>
      <c r="D15" s="96"/>
      <c r="E15" s="96"/>
      <c r="F15" s="9"/>
      <c r="G15" s="27"/>
      <c r="H15" s="56"/>
      <c r="I15" s="31"/>
      <c r="J15" s="364"/>
      <c r="K15" s="364"/>
      <c r="L15" s="364"/>
      <c r="M15" s="364"/>
      <c r="N15" s="364"/>
      <c r="P15" s="83"/>
      <c r="Q15" s="326"/>
      <c r="T15" s="338"/>
      <c r="U15" s="330"/>
      <c r="V15" s="377"/>
      <c r="W15" s="11"/>
      <c r="X15" s="71"/>
      <c r="Y15" s="29"/>
      <c r="Z15" s="18"/>
      <c r="AA15" s="15"/>
      <c r="AB15" s="22"/>
      <c r="AC15" s="26"/>
      <c r="AD15" s="31"/>
      <c r="AE15" s="56"/>
      <c r="AF15" s="114"/>
      <c r="AG15" s="33"/>
      <c r="AH15" s="262"/>
      <c r="AI15" s="284"/>
      <c r="AK15" s="131"/>
      <c r="AL15" s="264"/>
      <c r="AO15" s="131"/>
      <c r="AP15" s="264"/>
    </row>
    <row r="16" spans="1:50">
      <c r="A16" s="135" t="s">
        <v>2474</v>
      </c>
      <c r="B16" s="84">
        <v>43</v>
      </c>
      <c r="C16" s="84">
        <v>29</v>
      </c>
      <c r="D16" s="85">
        <v>-16</v>
      </c>
      <c r="E16" s="85">
        <v>-12</v>
      </c>
      <c r="F16" s="59">
        <v>22.93</v>
      </c>
      <c r="G16" s="84">
        <v>2492</v>
      </c>
      <c r="H16" s="216" t="s">
        <v>559</v>
      </c>
      <c r="I16" s="23" t="s">
        <v>344</v>
      </c>
      <c r="J16" s="77">
        <v>56.05</v>
      </c>
      <c r="K16" s="371">
        <v>22.69</v>
      </c>
      <c r="L16" s="77">
        <v>11.83</v>
      </c>
      <c r="M16" s="77">
        <v>28.95</v>
      </c>
      <c r="N16" s="365">
        <f t="shared" ref="N16" si="46">K16+J16+L16+M16</f>
        <v>119.52</v>
      </c>
      <c r="O16" s="369">
        <f t="shared" ref="O16" si="47">J16+M16</f>
        <v>85</v>
      </c>
      <c r="P16" s="195">
        <v>60</v>
      </c>
      <c r="Q16" s="326">
        <v>16</v>
      </c>
      <c r="R16" s="111">
        <v>4</v>
      </c>
      <c r="S16" s="51">
        <v>10</v>
      </c>
      <c r="T16" s="339">
        <f t="shared" ref="T16" si="48">SUM(P16:S16)</f>
        <v>90</v>
      </c>
      <c r="V16" s="371">
        <v>3.9</v>
      </c>
      <c r="W16" s="69">
        <v>6.01</v>
      </c>
      <c r="X16" s="59">
        <v>17.829999999999998</v>
      </c>
      <c r="Y16" s="37">
        <v>167.5</v>
      </c>
      <c r="Z16" s="69">
        <v>174.5</v>
      </c>
      <c r="AA16" s="16">
        <f t="shared" ref="AA16" si="49">Y16-Z16</f>
        <v>-7</v>
      </c>
      <c r="AB16" s="3">
        <f t="shared" ref="AB16" si="50">AA16/Z16</f>
        <v>-4.0114613180515762E-2</v>
      </c>
      <c r="AC16" s="105" t="s">
        <v>6514</v>
      </c>
      <c r="AD16" s="23" t="s">
        <v>344</v>
      </c>
      <c r="AE16" s="89">
        <v>44530</v>
      </c>
      <c r="AF16" s="88">
        <v>44558</v>
      </c>
      <c r="AG16" s="34">
        <f t="shared" ref="AG16" si="51">AF16-AE16</f>
        <v>28</v>
      </c>
      <c r="AH16" s="50" t="s">
        <v>4081</v>
      </c>
      <c r="AI16" s="131"/>
      <c r="AK16" s="131"/>
      <c r="AL16" s="264"/>
      <c r="AO16" s="284"/>
      <c r="AP16" s="264"/>
    </row>
    <row r="17" spans="1:42">
      <c r="A17" s="135" t="s">
        <v>2514</v>
      </c>
      <c r="B17" s="84">
        <v>9</v>
      </c>
      <c r="C17" s="84">
        <v>11</v>
      </c>
      <c r="D17" s="85">
        <v>-5</v>
      </c>
      <c r="E17" s="84">
        <v>16</v>
      </c>
      <c r="F17" s="59">
        <v>25.8</v>
      </c>
      <c r="G17" s="84">
        <v>5483</v>
      </c>
      <c r="H17" s="203" t="s">
        <v>558</v>
      </c>
      <c r="I17" s="17" t="s">
        <v>285</v>
      </c>
      <c r="J17" s="77">
        <v>59.25</v>
      </c>
      <c r="K17" s="77">
        <v>31.4</v>
      </c>
      <c r="L17" s="77">
        <v>8.48</v>
      </c>
      <c r="M17" s="77">
        <v>5.55</v>
      </c>
      <c r="N17" s="365">
        <f t="shared" ref="N17:N23" si="52">K17+J17+L17+M17</f>
        <v>104.68</v>
      </c>
      <c r="O17" s="343">
        <f t="shared" ref="O17:O23" si="53">J17+M17</f>
        <v>64.8</v>
      </c>
      <c r="P17" s="195">
        <v>7</v>
      </c>
      <c r="Q17" s="326">
        <v>16</v>
      </c>
      <c r="R17" s="111">
        <v>3</v>
      </c>
      <c r="S17" s="51">
        <v>28</v>
      </c>
      <c r="T17" s="339">
        <f t="shared" ref="T17:T23" si="54">SUM(P17:S17)</f>
        <v>54</v>
      </c>
      <c r="V17" s="371">
        <v>1.41</v>
      </c>
      <c r="W17" s="69">
        <v>5.5</v>
      </c>
      <c r="X17" s="59">
        <v>12.22</v>
      </c>
      <c r="Y17" s="37">
        <v>217</v>
      </c>
      <c r="Z17" s="69">
        <v>196</v>
      </c>
      <c r="AA17" s="16">
        <f>Y17-Z17</f>
        <v>21</v>
      </c>
      <c r="AB17" s="66">
        <f>AA17/Z17</f>
        <v>0.10714285714285714</v>
      </c>
      <c r="AC17" s="105" t="s">
        <v>6451</v>
      </c>
      <c r="AD17" s="17" t="s">
        <v>285</v>
      </c>
      <c r="AE17" s="89">
        <v>44517</v>
      </c>
      <c r="AF17" s="88">
        <v>44544</v>
      </c>
      <c r="AG17" s="34">
        <f>AF17-AE17</f>
        <v>27</v>
      </c>
      <c r="AH17" s="126" t="s">
        <v>3739</v>
      </c>
      <c r="AI17" s="131"/>
      <c r="AL17" s="265"/>
      <c r="AM17" s="287"/>
      <c r="AN17" s="287"/>
      <c r="AO17" s="284"/>
      <c r="AP17" s="264"/>
    </row>
    <row r="18" spans="1:42">
      <c r="A18" s="151" t="s">
        <v>1318</v>
      </c>
      <c r="B18" s="84">
        <v>89</v>
      </c>
      <c r="C18" s="84"/>
      <c r="D18" s="85">
        <v>-2</v>
      </c>
      <c r="E18" s="85">
        <v>-19</v>
      </c>
      <c r="F18" s="7"/>
      <c r="G18" s="84">
        <v>2882</v>
      </c>
      <c r="H18" s="18" t="s">
        <v>553</v>
      </c>
      <c r="I18" s="23" t="s">
        <v>12</v>
      </c>
      <c r="J18" s="374">
        <v>78.569999999999993</v>
      </c>
      <c r="K18" s="77">
        <v>26.1</v>
      </c>
      <c r="L18" s="77">
        <v>0.67</v>
      </c>
      <c r="M18" s="371">
        <v>1.66</v>
      </c>
      <c r="N18" s="365">
        <f t="shared" si="52"/>
        <v>106.99999999999999</v>
      </c>
      <c r="O18" s="369">
        <f t="shared" si="53"/>
        <v>80.22999999999999</v>
      </c>
      <c r="P18" s="195">
        <v>13</v>
      </c>
      <c r="Q18" s="326">
        <v>23</v>
      </c>
      <c r="R18" s="111">
        <v>1</v>
      </c>
      <c r="S18" s="51">
        <v>32</v>
      </c>
      <c r="T18" s="339">
        <f t="shared" si="54"/>
        <v>69</v>
      </c>
      <c r="V18" s="371">
        <v>0.94</v>
      </c>
      <c r="W18" s="206">
        <v>2.5</v>
      </c>
      <c r="X18" s="59">
        <v>10.09</v>
      </c>
      <c r="Y18" s="37">
        <v>60.2</v>
      </c>
      <c r="Z18" s="68">
        <v>63</v>
      </c>
      <c r="AA18" s="16">
        <f t="shared" ref="AA18" si="55">Y18-Z18</f>
        <v>-2.7999999999999972</v>
      </c>
      <c r="AB18" s="80">
        <f t="shared" ref="AB18" si="56">AA18/Z18</f>
        <v>-4.4444444444444398E-2</v>
      </c>
      <c r="AC18" s="105" t="s">
        <v>6452</v>
      </c>
      <c r="AD18" s="23" t="s">
        <v>12</v>
      </c>
      <c r="AE18" s="89">
        <v>44517</v>
      </c>
      <c r="AF18" s="88">
        <v>44544</v>
      </c>
      <c r="AG18" s="34">
        <f t="shared" ref="AG18" si="57">AF18-AE18</f>
        <v>27</v>
      </c>
      <c r="AH18" s="44" t="s">
        <v>4099</v>
      </c>
      <c r="AI18" s="131"/>
      <c r="AO18" s="284"/>
      <c r="AP18" s="264"/>
    </row>
    <row r="19" spans="1:42">
      <c r="A19" s="135" t="s">
        <v>6273</v>
      </c>
      <c r="B19" s="84">
        <v>706</v>
      </c>
      <c r="C19" s="84">
        <v>799</v>
      </c>
      <c r="D19" s="85">
        <v>-8</v>
      </c>
      <c r="E19" s="84">
        <v>7</v>
      </c>
      <c r="F19" s="59">
        <v>21.35</v>
      </c>
      <c r="G19" s="84">
        <v>3481</v>
      </c>
      <c r="H19" s="9" t="s">
        <v>557</v>
      </c>
      <c r="I19" s="23" t="s">
        <v>387</v>
      </c>
      <c r="J19" s="371">
        <v>46.44</v>
      </c>
      <c r="K19" s="77">
        <v>31.29</v>
      </c>
      <c r="L19" s="371">
        <v>17.21</v>
      </c>
      <c r="M19" s="371">
        <v>1.76</v>
      </c>
      <c r="N19" s="365">
        <f t="shared" si="52"/>
        <v>96.7</v>
      </c>
      <c r="O19" s="343">
        <f t="shared" si="53"/>
        <v>48.199999999999996</v>
      </c>
      <c r="P19" s="195">
        <v>135</v>
      </c>
      <c r="Q19" s="326">
        <v>13</v>
      </c>
      <c r="R19" s="111">
        <v>5</v>
      </c>
      <c r="S19" s="51">
        <v>17</v>
      </c>
      <c r="T19" s="339">
        <f t="shared" si="54"/>
        <v>170</v>
      </c>
      <c r="U19" s="329" t="s">
        <v>6560</v>
      </c>
      <c r="V19" s="156">
        <v>10.26</v>
      </c>
      <c r="W19" s="35">
        <v>0.4</v>
      </c>
      <c r="X19" s="100">
        <v>6.07</v>
      </c>
      <c r="Y19" s="37">
        <v>18.75</v>
      </c>
      <c r="Z19" s="69">
        <v>18.850000000000001</v>
      </c>
      <c r="AA19" s="16">
        <f t="shared" ref="AA19" si="58">Y19-Z19</f>
        <v>-0.10000000000000142</v>
      </c>
      <c r="AB19" s="80">
        <f t="shared" ref="AB19" si="59">AA19/Z19</f>
        <v>-5.3050397877984837E-3</v>
      </c>
      <c r="AC19" s="107" t="s">
        <v>5496</v>
      </c>
      <c r="AD19" s="23" t="s">
        <v>387</v>
      </c>
      <c r="AE19" s="89">
        <v>44537</v>
      </c>
      <c r="AF19" s="88">
        <v>44543</v>
      </c>
      <c r="AG19" s="34">
        <f t="shared" ref="AG19" si="60">AF19-AE19</f>
        <v>6</v>
      </c>
      <c r="AH19" s="126" t="s">
        <v>2176</v>
      </c>
      <c r="AI19" s="131"/>
      <c r="AK19" s="131"/>
      <c r="AL19" s="264"/>
      <c r="AO19" s="284"/>
      <c r="AP19" s="264"/>
    </row>
    <row r="20" spans="1:42">
      <c r="A20" s="135" t="s">
        <v>2469</v>
      </c>
      <c r="B20" s="84">
        <v>965</v>
      </c>
      <c r="C20" s="84">
        <v>950</v>
      </c>
      <c r="D20" s="85">
        <v>-7</v>
      </c>
      <c r="E20" s="84">
        <v>18</v>
      </c>
      <c r="F20" s="59">
        <v>18.989999999999998</v>
      </c>
      <c r="G20" s="84">
        <v>2409</v>
      </c>
      <c r="H20" s="9" t="s">
        <v>557</v>
      </c>
      <c r="I20" s="23" t="s">
        <v>384</v>
      </c>
      <c r="J20" s="371">
        <v>54.99</v>
      </c>
      <c r="K20" s="77">
        <v>32.630000000000003</v>
      </c>
      <c r="L20" s="371">
        <v>12.09</v>
      </c>
      <c r="M20" s="77">
        <v>0.36</v>
      </c>
      <c r="N20" s="365">
        <f t="shared" si="52"/>
        <v>100.07000000000001</v>
      </c>
      <c r="O20" s="343">
        <f t="shared" si="53"/>
        <v>55.35</v>
      </c>
      <c r="P20" s="195">
        <v>154</v>
      </c>
      <c r="Q20" s="326">
        <v>24</v>
      </c>
      <c r="R20" s="111">
        <v>4</v>
      </c>
      <c r="S20" s="51">
        <v>12</v>
      </c>
      <c r="T20" s="339">
        <f t="shared" si="54"/>
        <v>194</v>
      </c>
      <c r="U20" s="329" t="s">
        <v>6560</v>
      </c>
      <c r="V20" s="156">
        <v>10.61</v>
      </c>
      <c r="W20" s="35">
        <v>0.3</v>
      </c>
      <c r="X20" s="59">
        <v>6.22</v>
      </c>
      <c r="Y20" s="37">
        <v>22.2</v>
      </c>
      <c r="Z20" s="69">
        <v>21.9</v>
      </c>
      <c r="AA20" s="16">
        <f>Y20-Z20</f>
        <v>0.30000000000000071</v>
      </c>
      <c r="AB20" s="66">
        <f>AA20/Z20</f>
        <v>1.3698630136986335E-2</v>
      </c>
      <c r="AC20" s="107" t="s">
        <v>5458</v>
      </c>
      <c r="AD20" s="23" t="s">
        <v>384</v>
      </c>
      <c r="AE20" s="89">
        <v>44537</v>
      </c>
      <c r="AF20" s="88">
        <v>44540</v>
      </c>
      <c r="AG20" s="34">
        <f>AF20-AE20</f>
        <v>3</v>
      </c>
      <c r="AH20" s="126" t="s">
        <v>4053</v>
      </c>
      <c r="AI20" s="131"/>
      <c r="AO20" s="284"/>
      <c r="AP20" s="264"/>
    </row>
    <row r="21" spans="1:42">
      <c r="A21" s="135" t="s">
        <v>5371</v>
      </c>
      <c r="B21" s="98">
        <v>5295</v>
      </c>
      <c r="C21" s="98">
        <v>2578</v>
      </c>
      <c r="D21" s="84">
        <v>1</v>
      </c>
      <c r="E21" s="84">
        <v>133</v>
      </c>
      <c r="F21" s="59">
        <v>57.99</v>
      </c>
      <c r="G21" s="84">
        <v>2609</v>
      </c>
      <c r="H21" s="9" t="s">
        <v>551</v>
      </c>
      <c r="I21" s="23" t="s">
        <v>1475</v>
      </c>
      <c r="J21" s="77">
        <v>57.55</v>
      </c>
      <c r="K21" s="77">
        <v>15.45</v>
      </c>
      <c r="L21" s="371">
        <v>24.05</v>
      </c>
      <c r="M21" s="371">
        <v>33.18</v>
      </c>
      <c r="N21" s="77">
        <f t="shared" si="52"/>
        <v>130.22999999999999</v>
      </c>
      <c r="O21" s="369">
        <f t="shared" si="53"/>
        <v>90.72999999999999</v>
      </c>
      <c r="P21" s="195">
        <v>131</v>
      </c>
      <c r="Q21" s="326">
        <v>15</v>
      </c>
      <c r="R21" s="111">
        <v>33</v>
      </c>
      <c r="S21" s="51">
        <v>11</v>
      </c>
      <c r="T21" s="339">
        <f t="shared" si="54"/>
        <v>190</v>
      </c>
      <c r="V21" s="156">
        <v>3.42</v>
      </c>
      <c r="W21" s="35">
        <v>0</v>
      </c>
      <c r="X21" s="59">
        <v>37.72</v>
      </c>
      <c r="Y21" s="37">
        <v>124</v>
      </c>
      <c r="Z21" s="46">
        <v>115</v>
      </c>
      <c r="AA21" s="16">
        <f>Y21-Z21</f>
        <v>9</v>
      </c>
      <c r="AB21" s="66">
        <f>AA21/Z21</f>
        <v>7.8260869565217397E-2</v>
      </c>
      <c r="AC21" s="107" t="s">
        <v>6516</v>
      </c>
      <c r="AD21" s="23" t="s">
        <v>1475</v>
      </c>
      <c r="AE21" s="89">
        <v>44530</v>
      </c>
      <c r="AF21" s="88">
        <v>44540</v>
      </c>
      <c r="AG21" s="34">
        <f>AF21-AE21</f>
        <v>10</v>
      </c>
      <c r="AH21" s="63" t="s">
        <v>5209</v>
      </c>
      <c r="AI21" s="131"/>
      <c r="AO21" s="131"/>
      <c r="AP21" s="264"/>
    </row>
    <row r="22" spans="1:42">
      <c r="A22" s="135" t="s">
        <v>5371</v>
      </c>
      <c r="B22" s="98">
        <v>5295</v>
      </c>
      <c r="C22" s="98">
        <v>2578</v>
      </c>
      <c r="D22" s="84">
        <v>1</v>
      </c>
      <c r="E22" s="84">
        <v>133</v>
      </c>
      <c r="F22" s="59">
        <v>57.99</v>
      </c>
      <c r="G22" s="84">
        <v>2609</v>
      </c>
      <c r="H22" s="5" t="s">
        <v>551</v>
      </c>
      <c r="I22" s="23" t="s">
        <v>1475</v>
      </c>
      <c r="J22" s="77">
        <v>57.19</v>
      </c>
      <c r="K22" s="77">
        <v>15.12</v>
      </c>
      <c r="L22" s="371">
        <v>25.29</v>
      </c>
      <c r="M22" s="371">
        <v>33.18</v>
      </c>
      <c r="N22" s="77">
        <f t="shared" si="52"/>
        <v>130.78</v>
      </c>
      <c r="O22" s="369">
        <f t="shared" si="53"/>
        <v>90.37</v>
      </c>
      <c r="P22" s="195">
        <v>128</v>
      </c>
      <c r="Q22" s="326">
        <v>14</v>
      </c>
      <c r="R22" s="111">
        <v>33</v>
      </c>
      <c r="S22" s="51">
        <v>11</v>
      </c>
      <c r="T22" s="339">
        <f t="shared" si="54"/>
        <v>186</v>
      </c>
      <c r="V22" s="156">
        <v>3.42</v>
      </c>
      <c r="W22" s="35">
        <v>0</v>
      </c>
      <c r="X22" s="59">
        <v>37.72</v>
      </c>
      <c r="Y22" s="37">
        <v>124</v>
      </c>
      <c r="Z22" s="46">
        <v>108.5</v>
      </c>
      <c r="AA22" s="16">
        <f>Y22-Z22</f>
        <v>15.5</v>
      </c>
      <c r="AB22" s="66">
        <f>AA22/Z22</f>
        <v>0.14285714285714285</v>
      </c>
      <c r="AC22" s="107" t="s">
        <v>6490</v>
      </c>
      <c r="AD22" s="23" t="s">
        <v>1475</v>
      </c>
      <c r="AE22" s="89">
        <v>44525</v>
      </c>
      <c r="AF22" s="88">
        <v>44540</v>
      </c>
      <c r="AG22" s="34">
        <f>AF22-AE22</f>
        <v>15</v>
      </c>
      <c r="AH22" s="63" t="s">
        <v>5209</v>
      </c>
      <c r="AI22" s="131"/>
      <c r="AO22" s="131"/>
      <c r="AP22" s="264"/>
    </row>
    <row r="23" spans="1:42">
      <c r="A23" s="135" t="s">
        <v>5371</v>
      </c>
      <c r="B23" s="98">
        <v>5295</v>
      </c>
      <c r="C23" s="98">
        <v>2578</v>
      </c>
      <c r="D23" s="84">
        <v>1</v>
      </c>
      <c r="E23" s="84">
        <v>133</v>
      </c>
      <c r="F23" s="59">
        <v>55.99</v>
      </c>
      <c r="G23" s="84">
        <v>2609</v>
      </c>
      <c r="H23" s="5" t="s">
        <v>5527</v>
      </c>
      <c r="I23" s="23" t="s">
        <v>1475</v>
      </c>
      <c r="J23" s="77">
        <v>57.19</v>
      </c>
      <c r="K23" s="77">
        <v>14.98</v>
      </c>
      <c r="L23" s="371">
        <v>25.55</v>
      </c>
      <c r="M23" s="371">
        <v>33.18</v>
      </c>
      <c r="N23" s="77">
        <f t="shared" si="52"/>
        <v>130.9</v>
      </c>
      <c r="O23" s="369">
        <f t="shared" si="53"/>
        <v>90.37</v>
      </c>
      <c r="P23" s="195">
        <v>89</v>
      </c>
      <c r="Q23" s="326">
        <v>13</v>
      </c>
      <c r="R23" s="111">
        <v>33</v>
      </c>
      <c r="S23" s="51">
        <v>11</v>
      </c>
      <c r="T23" s="339">
        <f t="shared" si="54"/>
        <v>146</v>
      </c>
      <c r="V23" s="156">
        <v>3.42</v>
      </c>
      <c r="W23" s="35">
        <v>0</v>
      </c>
      <c r="X23" s="59">
        <v>37.72</v>
      </c>
      <c r="Y23" s="37">
        <v>124</v>
      </c>
      <c r="Z23" s="46">
        <v>111</v>
      </c>
      <c r="AA23" s="16">
        <f>Y23-Z23</f>
        <v>13</v>
      </c>
      <c r="AB23" s="66">
        <f>AA23/Z23</f>
        <v>0.11711711711711711</v>
      </c>
      <c r="AC23" s="107" t="s">
        <v>6472</v>
      </c>
      <c r="AD23" s="23" t="s">
        <v>1475</v>
      </c>
      <c r="AE23" s="89">
        <v>44522</v>
      </c>
      <c r="AF23" s="88">
        <v>44540</v>
      </c>
      <c r="AG23" s="34">
        <f>AF23-AE23</f>
        <v>18</v>
      </c>
      <c r="AH23" s="63" t="s">
        <v>5209</v>
      </c>
      <c r="AI23" s="128"/>
      <c r="AO23" s="131"/>
      <c r="AP23" s="264"/>
    </row>
    <row r="24" spans="1:42">
      <c r="A24" s="135" t="s">
        <v>6273</v>
      </c>
      <c r="B24" s="84">
        <v>706</v>
      </c>
      <c r="C24" s="84">
        <v>799</v>
      </c>
      <c r="D24" s="85">
        <v>-8</v>
      </c>
      <c r="E24" s="84">
        <v>7</v>
      </c>
      <c r="F24" s="59">
        <v>21.35</v>
      </c>
      <c r="G24" s="84">
        <v>3481</v>
      </c>
      <c r="H24" s="9" t="s">
        <v>557</v>
      </c>
      <c r="I24" s="23" t="s">
        <v>387</v>
      </c>
      <c r="J24" s="77">
        <v>47.56</v>
      </c>
      <c r="K24" s="371">
        <v>31.91</v>
      </c>
      <c r="L24" s="371">
        <v>17.02</v>
      </c>
      <c r="N24" s="365">
        <f t="shared" ref="N24" si="61">K24+J24+L24</f>
        <v>96.49</v>
      </c>
      <c r="P24" s="195">
        <v>132</v>
      </c>
      <c r="Q24" s="326">
        <v>11</v>
      </c>
      <c r="R24" s="111">
        <v>7</v>
      </c>
      <c r="S24" s="51">
        <v>31</v>
      </c>
      <c r="T24" s="339">
        <f t="shared" ref="T24:T37" si="62">SUM(P24:S24)</f>
        <v>181</v>
      </c>
      <c r="V24" s="371">
        <v>4.05</v>
      </c>
      <c r="W24" s="35">
        <v>0.4</v>
      </c>
      <c r="X24" s="100">
        <v>6.07</v>
      </c>
      <c r="Y24" s="37">
        <v>18.850000000000001</v>
      </c>
      <c r="Z24" s="69">
        <v>17.8</v>
      </c>
      <c r="AA24" s="16">
        <f t="shared" ref="AA24" si="63">Y24-Z24</f>
        <v>1.0500000000000007</v>
      </c>
      <c r="AB24" s="66">
        <f t="shared" ref="AB24" si="64">AA24/Z24</f>
        <v>5.898876404494386E-2</v>
      </c>
      <c r="AC24" s="107" t="s">
        <v>5592</v>
      </c>
      <c r="AD24" s="23" t="s">
        <v>387</v>
      </c>
      <c r="AE24" s="89">
        <v>44525</v>
      </c>
      <c r="AF24" s="88">
        <v>44538</v>
      </c>
      <c r="AG24" s="34">
        <f t="shared" ref="AG24" si="65">AF24-AE24</f>
        <v>13</v>
      </c>
      <c r="AH24" s="126" t="s">
        <v>2176</v>
      </c>
      <c r="AI24" s="131"/>
      <c r="AO24" s="284"/>
      <c r="AP24" s="264"/>
    </row>
    <row r="25" spans="1:42">
      <c r="A25" s="135" t="s">
        <v>2469</v>
      </c>
      <c r="B25" s="84">
        <v>965</v>
      </c>
      <c r="C25" s="84">
        <v>950</v>
      </c>
      <c r="D25" s="85">
        <v>-7</v>
      </c>
      <c r="E25" s="84">
        <v>18</v>
      </c>
      <c r="F25" s="59">
        <v>18.989999999999998</v>
      </c>
      <c r="G25" s="84">
        <v>2409</v>
      </c>
      <c r="H25" s="9" t="s">
        <v>557</v>
      </c>
      <c r="I25" s="23" t="s">
        <v>384</v>
      </c>
      <c r="J25" s="371">
        <v>55.5</v>
      </c>
      <c r="K25" s="77">
        <v>32.72</v>
      </c>
      <c r="L25" s="371">
        <v>12.09</v>
      </c>
      <c r="N25" s="365">
        <f t="shared" ref="N25:N30" si="66">K25+J25+L25</f>
        <v>100.31</v>
      </c>
      <c r="P25" s="195">
        <v>153</v>
      </c>
      <c r="Q25" s="326">
        <v>23</v>
      </c>
      <c r="R25" s="111">
        <v>8</v>
      </c>
      <c r="S25" s="51">
        <v>26</v>
      </c>
      <c r="T25" s="339">
        <f t="shared" si="62"/>
        <v>210</v>
      </c>
      <c r="V25" s="371">
        <v>8.02</v>
      </c>
      <c r="W25" s="35">
        <v>0.3</v>
      </c>
      <c r="X25" s="59">
        <v>6.22</v>
      </c>
      <c r="Y25" s="37">
        <v>21.9</v>
      </c>
      <c r="Z25" s="69">
        <v>20.100000000000001</v>
      </c>
      <c r="AA25" s="16">
        <f t="shared" ref="AA25:AA30" si="67">Y25-Z25</f>
        <v>1.7999999999999972</v>
      </c>
      <c r="AB25" s="66">
        <f t="shared" ref="AB25:AB30" si="68">AA25/Z25</f>
        <v>8.9552238805970005E-2</v>
      </c>
      <c r="AC25" s="107" t="s">
        <v>6343</v>
      </c>
      <c r="AD25" s="23" t="s">
        <v>384</v>
      </c>
      <c r="AE25" s="89">
        <v>44529</v>
      </c>
      <c r="AF25" s="88">
        <v>44538</v>
      </c>
      <c r="AG25" s="34">
        <f t="shared" ref="AG25:AG30" si="69">AF25-AE25</f>
        <v>9</v>
      </c>
      <c r="AH25" s="126" t="s">
        <v>4053</v>
      </c>
      <c r="AI25" s="284"/>
      <c r="AO25" s="284"/>
      <c r="AP25" s="264"/>
    </row>
    <row r="26" spans="1:42">
      <c r="A26" s="135" t="s">
        <v>2469</v>
      </c>
      <c r="B26" s="84">
        <v>965</v>
      </c>
      <c r="C26" s="84">
        <v>950</v>
      </c>
      <c r="D26" s="85">
        <v>-7</v>
      </c>
      <c r="E26" s="84">
        <v>18</v>
      </c>
      <c r="F26" s="59">
        <v>18.09</v>
      </c>
      <c r="G26" s="84">
        <v>2409</v>
      </c>
      <c r="H26" s="9" t="s">
        <v>557</v>
      </c>
      <c r="I26" s="23" t="s">
        <v>384</v>
      </c>
      <c r="J26" s="77">
        <v>56.08</v>
      </c>
      <c r="K26" s="371">
        <v>32.619999999999997</v>
      </c>
      <c r="L26" s="371">
        <v>12.32</v>
      </c>
      <c r="N26" s="365">
        <f t="shared" si="66"/>
        <v>101.01999999999998</v>
      </c>
      <c r="P26" s="195">
        <v>151</v>
      </c>
      <c r="Q26" s="326">
        <v>22</v>
      </c>
      <c r="R26" s="111">
        <v>8</v>
      </c>
      <c r="S26" s="51">
        <v>26</v>
      </c>
      <c r="T26" s="339">
        <f t="shared" si="62"/>
        <v>207</v>
      </c>
      <c r="V26" s="371">
        <v>8.75</v>
      </c>
      <c r="W26" s="35">
        <v>0.3</v>
      </c>
      <c r="X26" s="59">
        <v>6.22</v>
      </c>
      <c r="Y26" s="37">
        <v>21.9</v>
      </c>
      <c r="Z26" s="69">
        <v>21.05</v>
      </c>
      <c r="AA26" s="16">
        <f t="shared" si="67"/>
        <v>0.84999999999999787</v>
      </c>
      <c r="AB26" s="66">
        <f t="shared" si="68"/>
        <v>4.0380047505938141E-2</v>
      </c>
      <c r="AC26" s="107" t="s">
        <v>6482</v>
      </c>
      <c r="AD26" s="23" t="s">
        <v>384</v>
      </c>
      <c r="AE26" s="89">
        <v>44524</v>
      </c>
      <c r="AF26" s="88">
        <v>44538</v>
      </c>
      <c r="AG26" s="34">
        <f t="shared" si="69"/>
        <v>14</v>
      </c>
      <c r="AH26" s="126" t="s">
        <v>4053</v>
      </c>
      <c r="AI26" s="131"/>
      <c r="AO26" s="284"/>
      <c r="AP26" s="264"/>
    </row>
    <row r="27" spans="1:42">
      <c r="A27" s="135" t="s">
        <v>5576</v>
      </c>
      <c r="B27" s="98">
        <v>1829</v>
      </c>
      <c r="C27" s="98">
        <v>1896</v>
      </c>
      <c r="D27" s="85">
        <v>-4</v>
      </c>
      <c r="E27" s="84">
        <v>207</v>
      </c>
      <c r="F27" s="59">
        <v>53.29</v>
      </c>
      <c r="G27" s="85">
        <v>2615</v>
      </c>
      <c r="H27" s="5" t="s">
        <v>551</v>
      </c>
      <c r="I27" s="23" t="s">
        <v>256</v>
      </c>
      <c r="J27" s="371">
        <v>84.52</v>
      </c>
      <c r="K27" s="77">
        <v>43.95</v>
      </c>
      <c r="L27" s="77">
        <v>8.1999999999999993</v>
      </c>
      <c r="N27" s="365">
        <f t="shared" si="66"/>
        <v>136.66999999999999</v>
      </c>
      <c r="P27" s="195">
        <v>92</v>
      </c>
      <c r="Q27" s="326">
        <v>11</v>
      </c>
      <c r="R27" s="111">
        <v>31</v>
      </c>
      <c r="S27" s="51">
        <v>14</v>
      </c>
      <c r="T27" s="339">
        <f t="shared" si="62"/>
        <v>148</v>
      </c>
      <c r="U27" s="329" t="s">
        <v>6541</v>
      </c>
      <c r="V27" s="371">
        <v>7.59</v>
      </c>
      <c r="W27" s="35">
        <v>2</v>
      </c>
      <c r="X27" s="59">
        <v>33.86</v>
      </c>
      <c r="Y27" s="14">
        <v>197</v>
      </c>
      <c r="Z27" s="69">
        <v>164.5</v>
      </c>
      <c r="AA27" s="16">
        <f t="shared" si="67"/>
        <v>32.5</v>
      </c>
      <c r="AB27" s="66">
        <f t="shared" si="68"/>
        <v>0.19756838905775076</v>
      </c>
      <c r="AC27" s="107" t="s">
        <v>6532</v>
      </c>
      <c r="AD27" s="23" t="s">
        <v>256</v>
      </c>
      <c r="AE27" s="89">
        <v>44532</v>
      </c>
      <c r="AF27" s="88">
        <v>44538</v>
      </c>
      <c r="AG27" s="34">
        <f t="shared" si="69"/>
        <v>6</v>
      </c>
      <c r="AH27" s="126" t="s">
        <v>3283</v>
      </c>
      <c r="AI27" s="131"/>
      <c r="AO27" s="284"/>
      <c r="AP27" s="264"/>
    </row>
    <row r="28" spans="1:42">
      <c r="A28" s="151" t="s">
        <v>6338</v>
      </c>
      <c r="B28" s="84">
        <v>138</v>
      </c>
      <c r="C28" s="84"/>
      <c r="D28" s="84">
        <v>7</v>
      </c>
      <c r="E28" s="85">
        <v>-6</v>
      </c>
      <c r="F28" s="7"/>
      <c r="G28" s="85">
        <v>2881</v>
      </c>
      <c r="H28" s="19" t="s">
        <v>553</v>
      </c>
      <c r="I28" s="23" t="s">
        <v>129</v>
      </c>
      <c r="J28" s="374">
        <v>82.37</v>
      </c>
      <c r="K28" s="77">
        <v>23.73</v>
      </c>
      <c r="L28" s="371">
        <v>0.7</v>
      </c>
      <c r="N28" s="365">
        <f t="shared" si="66"/>
        <v>106.80000000000001</v>
      </c>
      <c r="P28" s="195">
        <v>12</v>
      </c>
      <c r="Q28" s="326">
        <v>21</v>
      </c>
      <c r="R28" s="111">
        <v>0</v>
      </c>
      <c r="S28" s="51">
        <v>16</v>
      </c>
      <c r="T28" s="339">
        <f t="shared" si="62"/>
        <v>49</v>
      </c>
      <c r="V28" s="371">
        <v>10.83</v>
      </c>
      <c r="W28" s="7">
        <v>4</v>
      </c>
      <c r="X28" s="59">
        <v>13.75</v>
      </c>
      <c r="Y28" s="37">
        <v>76</v>
      </c>
      <c r="Z28" s="68">
        <v>76.400000000000006</v>
      </c>
      <c r="AA28" s="16">
        <f t="shared" si="67"/>
        <v>-0.40000000000000568</v>
      </c>
      <c r="AB28" s="80">
        <f t="shared" si="68"/>
        <v>-5.2356020942409117E-3</v>
      </c>
      <c r="AC28" s="105" t="s">
        <v>6450</v>
      </c>
      <c r="AD28" s="23" t="s">
        <v>129</v>
      </c>
      <c r="AE28" s="89">
        <v>44517</v>
      </c>
      <c r="AF28" s="88">
        <v>44538</v>
      </c>
      <c r="AG28" s="34">
        <f t="shared" si="69"/>
        <v>21</v>
      </c>
      <c r="AH28" s="44" t="s">
        <v>4100</v>
      </c>
      <c r="AI28" s="284"/>
      <c r="AO28" s="284"/>
      <c r="AP28" s="264"/>
    </row>
    <row r="29" spans="1:42">
      <c r="A29" s="135" t="s">
        <v>2484</v>
      </c>
      <c r="B29" s="84">
        <v>241</v>
      </c>
      <c r="C29" s="84">
        <v>242</v>
      </c>
      <c r="D29" s="85">
        <v>-2</v>
      </c>
      <c r="E29" s="84">
        <v>66</v>
      </c>
      <c r="F29" s="59">
        <v>34.729999999999997</v>
      </c>
      <c r="G29" s="84">
        <v>3034</v>
      </c>
      <c r="H29" s="9" t="s">
        <v>558</v>
      </c>
      <c r="I29" s="23" t="s">
        <v>38</v>
      </c>
      <c r="J29" s="371">
        <v>49.45</v>
      </c>
      <c r="K29" s="371">
        <v>61.94</v>
      </c>
      <c r="L29" s="371">
        <v>6.61</v>
      </c>
      <c r="N29" s="365">
        <f t="shared" si="66"/>
        <v>118</v>
      </c>
      <c r="P29" s="195">
        <v>86</v>
      </c>
      <c r="Q29" s="326">
        <v>13</v>
      </c>
      <c r="R29" s="111">
        <v>4</v>
      </c>
      <c r="S29" s="51">
        <v>17</v>
      </c>
      <c r="T29" s="339">
        <f t="shared" si="62"/>
        <v>120</v>
      </c>
      <c r="V29" s="371">
        <v>16.579999999999998</v>
      </c>
      <c r="W29" s="46">
        <v>15.6</v>
      </c>
      <c r="X29" s="100">
        <v>51.89</v>
      </c>
      <c r="Y29" s="14">
        <v>513</v>
      </c>
      <c r="Z29" s="69">
        <v>470</v>
      </c>
      <c r="AA29" s="16">
        <f t="shared" si="67"/>
        <v>43</v>
      </c>
      <c r="AB29" s="66">
        <f t="shared" si="68"/>
        <v>9.1489361702127653E-2</v>
      </c>
      <c r="AC29" s="105" t="s">
        <v>6497</v>
      </c>
      <c r="AD29" s="23" t="s">
        <v>38</v>
      </c>
      <c r="AE29" s="89">
        <v>44527</v>
      </c>
      <c r="AF29" s="88">
        <v>44537</v>
      </c>
      <c r="AG29" s="34">
        <f t="shared" si="69"/>
        <v>10</v>
      </c>
      <c r="AH29" s="126" t="s">
        <v>4028</v>
      </c>
      <c r="AI29" s="131"/>
      <c r="AO29" s="284"/>
      <c r="AP29" s="264"/>
    </row>
    <row r="30" spans="1:42">
      <c r="A30" s="135" t="s">
        <v>5396</v>
      </c>
      <c r="B30" s="98">
        <v>1304</v>
      </c>
      <c r="C30" s="98">
        <v>1044</v>
      </c>
      <c r="D30" s="84">
        <v>7</v>
      </c>
      <c r="E30" s="84">
        <v>159</v>
      </c>
      <c r="F30" s="59">
        <v>57.62</v>
      </c>
      <c r="G30" s="84">
        <v>2603</v>
      </c>
      <c r="H30" s="9" t="s">
        <v>551</v>
      </c>
      <c r="I30" s="23" t="s">
        <v>486</v>
      </c>
      <c r="J30" s="77">
        <v>57.5</v>
      </c>
      <c r="K30" s="77">
        <v>30.06</v>
      </c>
      <c r="L30" s="77">
        <v>22.85</v>
      </c>
      <c r="N30" s="365">
        <f t="shared" si="66"/>
        <v>110.41</v>
      </c>
      <c r="O30" s="376"/>
      <c r="P30" s="195">
        <v>134</v>
      </c>
      <c r="Q30" s="326">
        <v>18</v>
      </c>
      <c r="R30" s="111">
        <v>17</v>
      </c>
      <c r="S30" s="51">
        <v>20</v>
      </c>
      <c r="T30" s="339">
        <f t="shared" si="62"/>
        <v>189</v>
      </c>
      <c r="U30" s="329" t="s">
        <v>6540</v>
      </c>
      <c r="V30" s="371">
        <v>3.38</v>
      </c>
      <c r="W30" s="35">
        <v>2.4900000000000002</v>
      </c>
      <c r="X30" s="59">
        <v>33.51</v>
      </c>
      <c r="Y30" s="37">
        <v>141</v>
      </c>
      <c r="Z30" s="69">
        <v>133.5</v>
      </c>
      <c r="AA30" s="16">
        <f t="shared" si="67"/>
        <v>7.5</v>
      </c>
      <c r="AB30" s="66">
        <f t="shared" si="68"/>
        <v>5.6179775280898875E-2</v>
      </c>
      <c r="AC30" s="107" t="s">
        <v>6531</v>
      </c>
      <c r="AD30" s="23" t="s">
        <v>486</v>
      </c>
      <c r="AE30" s="89">
        <v>44532</v>
      </c>
      <c r="AF30" s="88">
        <v>44536</v>
      </c>
      <c r="AG30" s="34">
        <f t="shared" si="69"/>
        <v>4</v>
      </c>
      <c r="AH30" s="126" t="s">
        <v>5209</v>
      </c>
      <c r="AI30" s="131"/>
      <c r="AO30" s="284"/>
      <c r="AP30" s="264"/>
    </row>
    <row r="31" spans="1:42">
      <c r="A31" s="135" t="s">
        <v>6316</v>
      </c>
      <c r="B31" s="84">
        <v>118</v>
      </c>
      <c r="C31" s="84">
        <v>101</v>
      </c>
      <c r="D31" s="85">
        <v>-12</v>
      </c>
      <c r="E31" s="84">
        <v>19</v>
      </c>
      <c r="F31" s="59">
        <v>27.78</v>
      </c>
      <c r="G31" s="84">
        <v>2327</v>
      </c>
      <c r="H31" s="213" t="s">
        <v>559</v>
      </c>
      <c r="I31" s="23" t="s">
        <v>86</v>
      </c>
      <c r="J31" s="77">
        <v>47.47</v>
      </c>
      <c r="K31" s="77">
        <v>52.64</v>
      </c>
      <c r="L31" s="371">
        <v>10.68</v>
      </c>
      <c r="N31" s="365">
        <f t="shared" ref="N31" si="70">K31+J31+L31</f>
        <v>110.78999999999999</v>
      </c>
      <c r="P31" s="195">
        <v>103</v>
      </c>
      <c r="Q31" s="326">
        <v>12</v>
      </c>
      <c r="R31" s="111">
        <v>5</v>
      </c>
      <c r="S31" s="51">
        <v>22</v>
      </c>
      <c r="T31" s="339">
        <f t="shared" si="62"/>
        <v>142</v>
      </c>
      <c r="V31" s="371">
        <v>11.95</v>
      </c>
      <c r="W31" s="46">
        <v>10.08</v>
      </c>
      <c r="X31" s="100">
        <v>46.83</v>
      </c>
      <c r="Y31" s="14">
        <v>465</v>
      </c>
      <c r="Z31" s="69">
        <v>459.5</v>
      </c>
      <c r="AA31" s="16">
        <f t="shared" ref="AA31" si="71">Y31-Z31</f>
        <v>5.5</v>
      </c>
      <c r="AB31" s="66">
        <f t="shared" ref="AB31" si="72">AA31/Z31</f>
        <v>1.1969532100108813E-2</v>
      </c>
      <c r="AC31" s="105" t="s">
        <v>6498</v>
      </c>
      <c r="AD31" s="23" t="s">
        <v>86</v>
      </c>
      <c r="AE31" s="89">
        <v>44527</v>
      </c>
      <c r="AF31" s="88">
        <v>44536</v>
      </c>
      <c r="AG31" s="34">
        <f t="shared" ref="AG31" si="73">AF31-AE31</f>
        <v>9</v>
      </c>
      <c r="AH31" s="126" t="s">
        <v>2676</v>
      </c>
      <c r="AI31" s="131"/>
      <c r="AO31" s="284"/>
      <c r="AP31" s="264"/>
    </row>
    <row r="32" spans="1:42">
      <c r="A32" s="135" t="s">
        <v>5396</v>
      </c>
      <c r="B32" s="98">
        <v>1304</v>
      </c>
      <c r="C32" s="98">
        <v>1044</v>
      </c>
      <c r="D32" s="84">
        <v>7</v>
      </c>
      <c r="E32" s="84">
        <v>159</v>
      </c>
      <c r="F32" s="59">
        <v>57.62</v>
      </c>
      <c r="G32" s="84">
        <v>2603</v>
      </c>
      <c r="H32" s="9" t="s">
        <v>551</v>
      </c>
      <c r="I32" s="23" t="s">
        <v>486</v>
      </c>
      <c r="J32" s="77">
        <v>57.5</v>
      </c>
      <c r="K32" s="77">
        <v>29.52</v>
      </c>
      <c r="L32" s="371">
        <v>21.08</v>
      </c>
      <c r="N32" s="365">
        <f>K32+J32+L32</f>
        <v>108.1</v>
      </c>
      <c r="P32" s="195">
        <v>132</v>
      </c>
      <c r="Q32" s="326">
        <v>17</v>
      </c>
      <c r="R32" s="111">
        <v>23</v>
      </c>
      <c r="S32" s="51">
        <v>33</v>
      </c>
      <c r="T32" s="339">
        <f t="shared" si="62"/>
        <v>205</v>
      </c>
      <c r="V32" s="371">
        <v>3.42</v>
      </c>
      <c r="W32" s="35">
        <v>2.4900000000000002</v>
      </c>
      <c r="X32" s="59">
        <v>33.51</v>
      </c>
      <c r="Y32" s="37">
        <v>133.5</v>
      </c>
      <c r="Z32" s="46">
        <v>124.5</v>
      </c>
      <c r="AA32" s="16">
        <f>Y32-Z32</f>
        <v>9</v>
      </c>
      <c r="AB32" s="66">
        <f>AA32/Z32</f>
        <v>7.2289156626506021E-2</v>
      </c>
      <c r="AC32" s="107" t="s">
        <v>6489</v>
      </c>
      <c r="AD32" s="23" t="s">
        <v>486</v>
      </c>
      <c r="AE32" s="89">
        <v>44530</v>
      </c>
      <c r="AF32" s="88">
        <v>44533</v>
      </c>
      <c r="AG32" s="34">
        <f>AF32-AE32</f>
        <v>3</v>
      </c>
      <c r="AH32" s="126" t="s">
        <v>5209</v>
      </c>
      <c r="AI32" s="131"/>
      <c r="AO32" s="284"/>
      <c r="AP32" s="264"/>
    </row>
    <row r="33" spans="1:42">
      <c r="A33" s="135" t="s">
        <v>5396</v>
      </c>
      <c r="B33" s="98">
        <v>1304</v>
      </c>
      <c r="C33" s="98">
        <v>1044</v>
      </c>
      <c r="D33" s="84">
        <v>7</v>
      </c>
      <c r="E33" s="84">
        <v>159</v>
      </c>
      <c r="F33" s="59">
        <v>57.62</v>
      </c>
      <c r="G33" s="84">
        <v>2603</v>
      </c>
      <c r="H33" s="9" t="s">
        <v>551</v>
      </c>
      <c r="I33" s="23" t="s">
        <v>486</v>
      </c>
      <c r="J33" s="77">
        <v>57.04</v>
      </c>
      <c r="K33" s="77">
        <v>29.63</v>
      </c>
      <c r="L33" s="371">
        <v>21.83</v>
      </c>
      <c r="N33" s="365">
        <f>K33+J33+L33</f>
        <v>108.5</v>
      </c>
      <c r="P33" s="195">
        <v>131</v>
      </c>
      <c r="Q33" s="326">
        <v>16</v>
      </c>
      <c r="R33" s="111">
        <v>23</v>
      </c>
      <c r="S33" s="51">
        <v>33</v>
      </c>
      <c r="T33" s="339">
        <f t="shared" si="62"/>
        <v>203</v>
      </c>
      <c r="V33" s="371">
        <v>3.35</v>
      </c>
      <c r="W33" s="35">
        <v>2.4900000000000002</v>
      </c>
      <c r="X33" s="59">
        <v>33.51</v>
      </c>
      <c r="Y33" s="37">
        <v>133.5</v>
      </c>
      <c r="Z33" s="46">
        <v>118.5</v>
      </c>
      <c r="AA33" s="16">
        <f>Y33-Z33</f>
        <v>15</v>
      </c>
      <c r="AB33" s="66">
        <f>AA33/Z33</f>
        <v>0.12658227848101267</v>
      </c>
      <c r="AC33" s="107" t="s">
        <v>6489</v>
      </c>
      <c r="AD33" s="23" t="s">
        <v>486</v>
      </c>
      <c r="AE33" s="89">
        <v>44525</v>
      </c>
      <c r="AF33" s="88">
        <v>44533</v>
      </c>
      <c r="AG33" s="34">
        <f>AF33-AE33</f>
        <v>8</v>
      </c>
      <c r="AH33" s="126" t="s">
        <v>5209</v>
      </c>
      <c r="AI33" s="131"/>
      <c r="AO33" s="284"/>
      <c r="AP33" s="264"/>
    </row>
    <row r="34" spans="1:42">
      <c r="A34" s="135" t="s">
        <v>5576</v>
      </c>
      <c r="B34" s="98">
        <v>1829</v>
      </c>
      <c r="C34" s="98">
        <v>1896</v>
      </c>
      <c r="D34" s="85">
        <v>-4</v>
      </c>
      <c r="E34" s="84">
        <v>207</v>
      </c>
      <c r="F34" s="59">
        <v>53.29</v>
      </c>
      <c r="G34" s="85">
        <v>2615</v>
      </c>
      <c r="H34" s="5" t="s">
        <v>551</v>
      </c>
      <c r="I34" s="23" t="s">
        <v>256</v>
      </c>
      <c r="J34" s="371">
        <v>84.52</v>
      </c>
      <c r="K34" s="77">
        <v>43.72</v>
      </c>
      <c r="L34" s="371">
        <v>7.22</v>
      </c>
      <c r="N34" s="365">
        <f>K34+J34+L34</f>
        <v>135.46</v>
      </c>
      <c r="P34" s="195">
        <v>90</v>
      </c>
      <c r="Q34" s="326">
        <v>10</v>
      </c>
      <c r="R34" s="111">
        <v>35</v>
      </c>
      <c r="S34" s="51">
        <v>21</v>
      </c>
      <c r="T34" s="339">
        <f t="shared" si="62"/>
        <v>156</v>
      </c>
      <c r="V34" s="371">
        <v>7.75</v>
      </c>
      <c r="W34" s="73">
        <v>2</v>
      </c>
      <c r="X34" s="59">
        <v>33.86</v>
      </c>
      <c r="Y34" s="14">
        <v>164.5</v>
      </c>
      <c r="Z34" s="69">
        <v>154.5</v>
      </c>
      <c r="AA34" s="16">
        <f>Y34-Z34</f>
        <v>10</v>
      </c>
      <c r="AB34" s="66">
        <f>AA34/Z34</f>
        <v>6.4724919093851127E-2</v>
      </c>
      <c r="AC34" s="107" t="s">
        <v>6515</v>
      </c>
      <c r="AD34" s="23" t="s">
        <v>256</v>
      </c>
      <c r="AE34" s="89">
        <v>44530</v>
      </c>
      <c r="AF34" s="88">
        <v>44533</v>
      </c>
      <c r="AG34" s="34">
        <f>AF34-AE34</f>
        <v>3</v>
      </c>
      <c r="AH34" s="126" t="s">
        <v>3283</v>
      </c>
      <c r="AI34" s="284"/>
      <c r="AO34" s="284"/>
      <c r="AP34" s="264"/>
    </row>
    <row r="35" spans="1:42">
      <c r="A35" s="135" t="s">
        <v>3154</v>
      </c>
      <c r="B35" s="84">
        <v>142</v>
      </c>
      <c r="C35" s="84">
        <v>168</v>
      </c>
      <c r="D35" s="85">
        <v>-6</v>
      </c>
      <c r="E35" s="84">
        <v>50</v>
      </c>
      <c r="F35" s="59">
        <v>29.85</v>
      </c>
      <c r="G35" s="84">
        <v>2408</v>
      </c>
      <c r="H35" s="18" t="s">
        <v>558</v>
      </c>
      <c r="I35" s="23" t="s">
        <v>383</v>
      </c>
      <c r="J35" s="77">
        <v>82.93</v>
      </c>
      <c r="K35" s="77">
        <v>20.48</v>
      </c>
      <c r="L35" s="371">
        <v>2.2799999999999998</v>
      </c>
      <c r="N35" s="365">
        <f t="shared" ref="N35" si="74">K35+J35+L35</f>
        <v>105.69000000000001</v>
      </c>
      <c r="P35" s="195">
        <v>63</v>
      </c>
      <c r="Q35" s="326">
        <v>19</v>
      </c>
      <c r="R35" s="111">
        <v>1</v>
      </c>
      <c r="S35" s="51">
        <v>19</v>
      </c>
      <c r="T35" s="339">
        <f t="shared" si="62"/>
        <v>102</v>
      </c>
      <c r="V35" s="371">
        <v>20.7</v>
      </c>
      <c r="W35" s="73">
        <v>1.3</v>
      </c>
      <c r="X35" s="59">
        <v>5.62</v>
      </c>
      <c r="Y35" s="37">
        <v>78.8</v>
      </c>
      <c r="Z35" s="69">
        <v>74.2</v>
      </c>
      <c r="AA35" s="16">
        <f t="shared" ref="AA35" si="75">Y35-Z35</f>
        <v>4.5999999999999943</v>
      </c>
      <c r="AB35" s="66">
        <f t="shared" ref="AB35" si="76">AA35/Z35</f>
        <v>6.1994609164420407E-2</v>
      </c>
      <c r="AC35" s="107" t="s">
        <v>5360</v>
      </c>
      <c r="AD35" s="23" t="s">
        <v>383</v>
      </c>
      <c r="AE35" s="89">
        <v>44529</v>
      </c>
      <c r="AF35" s="88">
        <v>44533</v>
      </c>
      <c r="AG35" s="34">
        <f t="shared" ref="AG35" si="77">AF35-AE35</f>
        <v>4</v>
      </c>
      <c r="AH35" s="126" t="s">
        <v>4026</v>
      </c>
      <c r="AO35" s="284"/>
      <c r="AP35" s="264"/>
    </row>
    <row r="36" spans="1:42">
      <c r="A36" s="135" t="s">
        <v>3154</v>
      </c>
      <c r="B36" s="84">
        <v>142</v>
      </c>
      <c r="C36" s="84">
        <v>168</v>
      </c>
      <c r="D36" s="85">
        <v>-6</v>
      </c>
      <c r="E36" s="84">
        <v>50</v>
      </c>
      <c r="F36" s="59">
        <v>29.85</v>
      </c>
      <c r="G36" s="84">
        <v>2408</v>
      </c>
      <c r="H36" s="18" t="s">
        <v>558</v>
      </c>
      <c r="I36" s="23" t="s">
        <v>383</v>
      </c>
      <c r="J36" s="77">
        <v>82.93</v>
      </c>
      <c r="K36" s="77">
        <v>20.399999999999999</v>
      </c>
      <c r="L36" s="371">
        <v>2.4</v>
      </c>
      <c r="N36" s="365">
        <f>K36+J36+L36</f>
        <v>105.73000000000002</v>
      </c>
      <c r="P36" s="195">
        <v>63</v>
      </c>
      <c r="Q36" s="326">
        <v>18</v>
      </c>
      <c r="R36" s="111">
        <v>1</v>
      </c>
      <c r="S36" s="51">
        <v>19</v>
      </c>
      <c r="T36" s="339">
        <f t="shared" si="62"/>
        <v>101</v>
      </c>
      <c r="V36" s="371">
        <v>19.72</v>
      </c>
      <c r="W36" s="73">
        <v>1.3</v>
      </c>
      <c r="X36" s="59">
        <v>5.62</v>
      </c>
      <c r="Y36" s="37">
        <v>78.8</v>
      </c>
      <c r="Z36" s="69">
        <v>73.3</v>
      </c>
      <c r="AA36" s="16">
        <f>Y36-Z36</f>
        <v>5.5</v>
      </c>
      <c r="AB36" s="66">
        <f>AA36/Z36</f>
        <v>7.5034106412005461E-2</v>
      </c>
      <c r="AC36" s="107" t="s">
        <v>5360</v>
      </c>
      <c r="AD36" s="23" t="s">
        <v>383</v>
      </c>
      <c r="AE36" s="89">
        <v>44527</v>
      </c>
      <c r="AF36" s="88">
        <v>44533</v>
      </c>
      <c r="AG36" s="34">
        <f>AF36-AE36</f>
        <v>6</v>
      </c>
      <c r="AH36" s="126" t="s">
        <v>4026</v>
      </c>
      <c r="AO36" s="284"/>
      <c r="AP36" s="264"/>
    </row>
    <row r="37" spans="1:42">
      <c r="A37" s="135" t="s">
        <v>2448</v>
      </c>
      <c r="B37" s="98">
        <v>1411</v>
      </c>
      <c r="C37" s="98">
        <v>1727</v>
      </c>
      <c r="D37" s="84">
        <v>2</v>
      </c>
      <c r="E37" s="84">
        <v>59</v>
      </c>
      <c r="F37" s="59">
        <v>17.149999999999999</v>
      </c>
      <c r="G37" s="85">
        <v>2002</v>
      </c>
      <c r="H37" s="5" t="s">
        <v>548</v>
      </c>
      <c r="I37" s="23" t="s">
        <v>488</v>
      </c>
      <c r="J37" s="371">
        <v>60.33</v>
      </c>
      <c r="K37" s="371">
        <v>20.99</v>
      </c>
      <c r="L37" s="77">
        <v>2.37</v>
      </c>
      <c r="N37" s="365">
        <f t="shared" ref="N37" si="78">K37+J37+L37</f>
        <v>83.69</v>
      </c>
      <c r="P37" s="195">
        <v>175</v>
      </c>
      <c r="Q37" s="326">
        <v>17</v>
      </c>
      <c r="R37" s="111">
        <v>2</v>
      </c>
      <c r="S37" s="51">
        <v>40</v>
      </c>
      <c r="T37" s="339">
        <f t="shared" si="62"/>
        <v>234</v>
      </c>
      <c r="V37" s="371">
        <v>0.77</v>
      </c>
      <c r="W37" s="35">
        <v>0.3</v>
      </c>
      <c r="X37" s="59">
        <v>1.9</v>
      </c>
      <c r="Y37" s="37">
        <v>34.1</v>
      </c>
      <c r="Z37" s="69">
        <v>33.799999999999997</v>
      </c>
      <c r="AA37" s="16">
        <f t="shared" ref="AA37" si="79">Y37-Z37</f>
        <v>0.30000000000000426</v>
      </c>
      <c r="AB37" s="66">
        <f t="shared" ref="AB37" si="80">AA37/Z37</f>
        <v>8.8757396449705411E-3</v>
      </c>
      <c r="AC37" s="107" t="s">
        <v>6475</v>
      </c>
      <c r="AD37" s="23" t="s">
        <v>488</v>
      </c>
      <c r="AE37" s="89">
        <v>44523</v>
      </c>
      <c r="AF37" s="88">
        <v>44533</v>
      </c>
      <c r="AG37" s="34">
        <f t="shared" ref="AG37" si="81">AF37-AE37</f>
        <v>10</v>
      </c>
      <c r="AH37" s="126" t="s">
        <v>548</v>
      </c>
      <c r="AI37" s="284"/>
      <c r="AO37" s="284"/>
      <c r="AP37" s="264"/>
    </row>
    <row r="38" spans="1:42">
      <c r="B38" s="84"/>
      <c r="C38" s="84"/>
      <c r="D38" s="84"/>
      <c r="E38" s="85"/>
      <c r="F38" s="59"/>
      <c r="G38" s="58"/>
      <c r="H38" s="9"/>
      <c r="I38" s="17"/>
      <c r="J38" s="371"/>
      <c r="K38" s="371"/>
      <c r="N38" s="365"/>
      <c r="P38" s="232"/>
      <c r="W38" s="46"/>
      <c r="X38" s="100"/>
      <c r="Y38" s="37"/>
      <c r="Z38" s="69"/>
      <c r="AA38" s="16"/>
      <c r="AB38" s="66"/>
      <c r="AC38" s="107"/>
      <c r="AD38" s="17"/>
      <c r="AG38" s="34"/>
      <c r="AH38" s="63"/>
      <c r="AI38" s="131"/>
      <c r="AO38" s="131"/>
      <c r="AP38" s="264"/>
    </row>
    <row r="39" spans="1:42">
      <c r="AI39" s="131"/>
    </row>
    <row r="40" spans="1:42">
      <c r="AI40" s="131"/>
    </row>
    <row r="41" spans="1:42">
      <c r="AI41" s="131"/>
    </row>
    <row r="42" spans="1:42">
      <c r="AI42" s="131"/>
    </row>
    <row r="43" spans="1:42">
      <c r="AI43" s="284"/>
    </row>
    <row r="44" spans="1:42">
      <c r="AI44" s="131"/>
    </row>
    <row r="45" spans="1:42">
      <c r="AI45" s="131"/>
    </row>
    <row r="46" spans="1:42">
      <c r="AI46" s="131"/>
    </row>
    <row r="47" spans="1:42">
      <c r="AI47" s="131"/>
    </row>
    <row r="48" spans="1:42">
      <c r="AI48" s="284"/>
    </row>
    <row r="49" spans="35:35">
      <c r="AI49" s="131"/>
    </row>
    <row r="50" spans="35:35">
      <c r="AI50" s="131"/>
    </row>
    <row r="51" spans="35:35">
      <c r="AI51" s="131"/>
    </row>
    <row r="52" spans="35:35">
      <c r="AI52" s="284"/>
    </row>
    <row r="53" spans="35:35">
      <c r="AI53" s="131"/>
    </row>
    <row r="54" spans="35:35">
      <c r="AI54" s="131"/>
    </row>
    <row r="55" spans="35:35">
      <c r="AI55" s="131"/>
    </row>
    <row r="56" spans="35:35">
      <c r="AI56" s="131"/>
    </row>
    <row r="57" spans="35:35">
      <c r="AI57" s="131"/>
    </row>
    <row r="58" spans="35:35">
      <c r="AI58" s="284"/>
    </row>
    <row r="59" spans="35:35">
      <c r="AI59" s="284"/>
    </row>
    <row r="60" spans="35:35">
      <c r="AI60" s="131"/>
    </row>
    <row r="61" spans="35:35">
      <c r="AI61" s="131"/>
    </row>
    <row r="62" spans="35:35">
      <c r="AI62" s="131"/>
    </row>
    <row r="63" spans="35:35">
      <c r="AI63" s="131"/>
    </row>
    <row r="64" spans="35:35">
      <c r="AI64" s="131"/>
    </row>
    <row r="65" spans="35:35">
      <c r="AI65" s="131"/>
    </row>
    <row r="66" spans="35:35">
      <c r="AI66" s="131"/>
    </row>
    <row r="67" spans="35:35">
      <c r="AI67" s="131"/>
    </row>
    <row r="68" spans="35:35">
      <c r="AI68" s="131"/>
    </row>
    <row r="70" spans="35:35">
      <c r="AI70" s="131"/>
    </row>
    <row r="71" spans="35:35">
      <c r="AI71" s="131"/>
    </row>
    <row r="72" spans="35:35">
      <c r="AI72" s="131"/>
    </row>
    <row r="73" spans="35:35">
      <c r="AI73" s="284"/>
    </row>
    <row r="74" spans="35:35">
      <c r="AI74" s="131"/>
    </row>
    <row r="75" spans="35:35">
      <c r="AI75" s="284"/>
    </row>
    <row r="76" spans="35:35">
      <c r="AI76" s="131"/>
    </row>
    <row r="77" spans="35:35">
      <c r="AI77" s="284"/>
    </row>
    <row r="78" spans="35:35">
      <c r="AI78" s="131"/>
    </row>
    <row r="79" spans="35:35">
      <c r="AI79" s="131"/>
    </row>
    <row r="80" spans="35:35">
      <c r="AI80" s="131"/>
    </row>
    <row r="81" spans="35:35">
      <c r="AI81" s="131"/>
    </row>
    <row r="82" spans="35:35">
      <c r="AI82" s="131"/>
    </row>
    <row r="83" spans="35:35">
      <c r="AI83" s="131"/>
    </row>
    <row r="84" spans="35:35">
      <c r="AI84" s="131"/>
    </row>
    <row r="85" spans="35:35">
      <c r="AI85" s="131"/>
    </row>
    <row r="86" spans="35:35">
      <c r="AI86" s="131"/>
    </row>
    <row r="87" spans="35:35">
      <c r="AI87" s="284"/>
    </row>
    <row r="88" spans="35:35">
      <c r="AI88" s="131"/>
    </row>
    <row r="89" spans="35:35">
      <c r="AI89" s="131"/>
    </row>
    <row r="90" spans="35:35">
      <c r="AI90" s="131"/>
    </row>
    <row r="91" spans="35:35">
      <c r="AI91" s="131"/>
    </row>
    <row r="92" spans="35:35">
      <c r="AI92" s="131"/>
    </row>
    <row r="93" spans="35:35">
      <c r="AI93" s="284"/>
    </row>
    <row r="94" spans="35:35">
      <c r="AI94" s="131"/>
    </row>
    <row r="95" spans="35:35">
      <c r="AI95" s="131"/>
    </row>
    <row r="96" spans="35:35">
      <c r="AI96" s="284"/>
    </row>
    <row r="97" spans="35:35">
      <c r="AI97" s="131"/>
    </row>
    <row r="98" spans="35:35">
      <c r="AI98" s="131"/>
    </row>
    <row r="99" spans="35:35">
      <c r="AI99" s="131"/>
    </row>
    <row r="100" spans="35:35">
      <c r="AI100" s="131"/>
    </row>
    <row r="101" spans="35:35">
      <c r="AI101" s="131"/>
    </row>
    <row r="102" spans="35:35">
      <c r="AI102" s="131"/>
    </row>
    <row r="103" spans="35:35">
      <c r="AI103" s="131"/>
    </row>
    <row r="104" spans="35:35">
      <c r="AI104" s="131"/>
    </row>
    <row r="105" spans="35:35">
      <c r="AI105" s="131"/>
    </row>
    <row r="106" spans="35:35">
      <c r="AI106" s="131"/>
    </row>
    <row r="107" spans="35:35">
      <c r="AI107" s="131"/>
    </row>
    <row r="108" spans="35:35">
      <c r="AI108" s="131"/>
    </row>
    <row r="109" spans="35:35">
      <c r="AI109" s="131"/>
    </row>
    <row r="110" spans="35:35">
      <c r="AI110" s="131"/>
    </row>
    <row r="111" spans="35:35">
      <c r="AI111" s="131"/>
    </row>
    <row r="112" spans="35:35">
      <c r="AI112" s="131"/>
    </row>
    <row r="113" spans="35:35">
      <c r="AI113" s="131"/>
    </row>
    <row r="114" spans="35:35">
      <c r="AI114" s="131"/>
    </row>
    <row r="115" spans="35:35">
      <c r="AI115" s="131"/>
    </row>
    <row r="116" spans="35:35">
      <c r="AI116" s="131"/>
    </row>
    <row r="117" spans="35:35">
      <c r="AI117" s="131"/>
    </row>
    <row r="118" spans="35:35">
      <c r="AI118" s="131"/>
    </row>
    <row r="119" spans="35:35">
      <c r="AI119" s="131"/>
    </row>
    <row r="120" spans="35:35">
      <c r="AI120" s="131"/>
    </row>
    <row r="121" spans="35:35">
      <c r="AI121" s="131"/>
    </row>
    <row r="122" spans="35:35">
      <c r="AI122" s="131"/>
    </row>
    <row r="123" spans="35:35">
      <c r="AI123" s="131"/>
    </row>
    <row r="124" spans="35:35">
      <c r="AI124" s="131"/>
    </row>
    <row r="125" spans="35:35">
      <c r="AI125" s="131"/>
    </row>
    <row r="126" spans="35:35">
      <c r="AI126" s="131"/>
    </row>
    <row r="127" spans="35:35">
      <c r="AI127" s="131"/>
    </row>
    <row r="128" spans="35:35">
      <c r="AI128" s="131"/>
    </row>
    <row r="129" spans="35:35">
      <c r="AI129" s="131"/>
    </row>
    <row r="130" spans="35:35">
      <c r="AI130" s="131"/>
    </row>
    <row r="131" spans="35:35">
      <c r="AI131" s="131"/>
    </row>
    <row r="132" spans="35:35">
      <c r="AI132" s="131"/>
    </row>
    <row r="133" spans="35:35">
      <c r="AI133" s="284"/>
    </row>
    <row r="134" spans="35:35">
      <c r="AI134" s="131"/>
    </row>
    <row r="135" spans="35:35">
      <c r="AI135" s="131"/>
    </row>
    <row r="136" spans="35:35">
      <c r="AI136" s="131"/>
    </row>
    <row r="137" spans="35:35">
      <c r="AI137" s="131"/>
    </row>
    <row r="138" spans="35:35">
      <c r="AI138" s="131"/>
    </row>
    <row r="139" spans="35:35">
      <c r="AI139" s="131"/>
    </row>
    <row r="140" spans="35:35">
      <c r="AI140" s="131"/>
    </row>
    <row r="141" spans="35:35">
      <c r="AI141" s="131"/>
    </row>
    <row r="142" spans="35:35">
      <c r="AI142" s="131"/>
    </row>
    <row r="143" spans="35:35">
      <c r="AI143" s="131"/>
    </row>
    <row r="144" spans="35:35">
      <c r="AI144" s="131"/>
    </row>
    <row r="145" spans="35:35">
      <c r="AI145" s="131"/>
    </row>
    <row r="146" spans="35:35">
      <c r="AI146" s="131"/>
    </row>
    <row r="147" spans="35:35">
      <c r="AI147" s="131"/>
    </row>
    <row r="148" spans="35:35">
      <c r="AI148" s="131"/>
    </row>
    <row r="149" spans="35:35">
      <c r="AI149" s="131"/>
    </row>
    <row r="150" spans="35:35">
      <c r="AI150" s="131"/>
    </row>
    <row r="151" spans="35:35">
      <c r="AI151" s="131"/>
    </row>
    <row r="152" spans="35:35">
      <c r="AI152" s="131"/>
    </row>
    <row r="153" spans="35:35">
      <c r="AI153" s="131"/>
    </row>
    <row r="154" spans="35:35">
      <c r="AI154" s="131"/>
    </row>
    <row r="155" spans="35:35">
      <c r="AI155" s="131"/>
    </row>
    <row r="156" spans="35:35">
      <c r="AI156" s="131"/>
    </row>
    <row r="157" spans="35:35">
      <c r="AI157" s="131"/>
    </row>
    <row r="158" spans="35:35">
      <c r="AI158" s="131"/>
    </row>
    <row r="159" spans="35:35">
      <c r="AI159" s="131"/>
    </row>
    <row r="160" spans="35:35">
      <c r="AI160" s="131"/>
    </row>
    <row r="161" spans="35:35">
      <c r="AI161" s="131"/>
    </row>
    <row r="163" spans="35:35">
      <c r="AI163" s="131"/>
    </row>
    <row r="164" spans="35:35">
      <c r="AI164" s="131"/>
    </row>
    <row r="165" spans="35:35">
      <c r="AI165" s="131"/>
    </row>
    <row r="166" spans="35:35">
      <c r="AI166" s="131"/>
    </row>
    <row r="167" spans="35:35">
      <c r="AI167" s="131"/>
    </row>
    <row r="169" spans="35:35">
      <c r="AI169" s="131"/>
    </row>
    <row r="170" spans="35:35">
      <c r="AI170" s="131"/>
    </row>
    <row r="171" spans="35:35">
      <c r="AI171" s="131"/>
    </row>
    <row r="172" spans="35:35">
      <c r="AI172" s="131"/>
    </row>
    <row r="173" spans="35:35">
      <c r="AI173" s="131"/>
    </row>
    <row r="174" spans="35:35">
      <c r="AI174" s="131"/>
    </row>
    <row r="175" spans="35:35">
      <c r="AI175" s="131"/>
    </row>
    <row r="176" spans="35:35">
      <c r="AI176" s="131"/>
    </row>
    <row r="177" spans="35:35">
      <c r="AI177" s="131"/>
    </row>
    <row r="178" spans="35:35">
      <c r="AI178" s="131"/>
    </row>
    <row r="179" spans="35:35">
      <c r="AI179" s="131"/>
    </row>
    <row r="180" spans="35:35">
      <c r="AI180" s="284"/>
    </row>
    <row r="181" spans="35:35">
      <c r="AI181" s="131"/>
    </row>
    <row r="183" spans="35:35">
      <c r="AI183" s="131"/>
    </row>
    <row r="184" spans="35:35">
      <c r="AI184" s="131"/>
    </row>
    <row r="185" spans="35:35">
      <c r="AI185" s="131"/>
    </row>
    <row r="186" spans="35:35">
      <c r="AI186" s="131"/>
    </row>
    <row r="187" spans="35:35">
      <c r="AI187" s="131"/>
    </row>
    <row r="188" spans="35:35">
      <c r="AI188" s="131"/>
    </row>
    <row r="189" spans="35:35">
      <c r="AI189" s="131"/>
    </row>
    <row r="190" spans="35:35">
      <c r="AI190" s="131"/>
    </row>
    <row r="191" spans="35:35">
      <c r="AI191" s="131"/>
    </row>
    <row r="192" spans="35:35">
      <c r="AI192" s="131"/>
    </row>
    <row r="193" spans="35:35">
      <c r="AI193" s="131"/>
    </row>
    <row r="195" spans="35:35">
      <c r="AI195" s="131"/>
    </row>
    <row r="196" spans="35:35">
      <c r="AI196" s="131"/>
    </row>
    <row r="197" spans="35:35">
      <c r="AI197" s="131"/>
    </row>
    <row r="198" spans="35:35">
      <c r="AI198" s="131"/>
    </row>
    <row r="199" spans="35:35">
      <c r="AI199" s="131"/>
    </row>
    <row r="200" spans="35:35">
      <c r="AI200" s="131"/>
    </row>
    <row r="201" spans="35:35">
      <c r="AI201" s="131"/>
    </row>
    <row r="202" spans="35:35">
      <c r="AI202" s="131"/>
    </row>
    <row r="203" spans="35:35">
      <c r="AI203" s="131"/>
    </row>
    <row r="204" spans="35:35">
      <c r="AI204" s="131"/>
    </row>
    <row r="205" spans="35:35">
      <c r="AI205" s="131"/>
    </row>
    <row r="206" spans="35:35">
      <c r="AI206" s="131"/>
    </row>
    <row r="207" spans="35:35">
      <c r="AI207" s="131"/>
    </row>
    <row r="208" spans="35:35">
      <c r="AI208" s="131"/>
    </row>
    <row r="209" spans="35:35">
      <c r="AI209" s="131"/>
    </row>
    <row r="210" spans="35:35">
      <c r="AI210" s="131"/>
    </row>
    <row r="211" spans="35:35">
      <c r="AI211" s="131"/>
    </row>
    <row r="212" spans="35:35">
      <c r="AI212" s="131"/>
    </row>
    <row r="213" spans="35:35">
      <c r="AI213" s="131"/>
    </row>
    <row r="214" spans="35:35">
      <c r="AI214" s="131"/>
    </row>
    <row r="215" spans="35:35">
      <c r="AI215" s="131"/>
    </row>
    <row r="216" spans="35:35">
      <c r="AI216" s="131"/>
    </row>
    <row r="217" spans="35:35">
      <c r="AI217" s="131"/>
    </row>
    <row r="218" spans="35:35">
      <c r="AI218" s="131"/>
    </row>
    <row r="219" spans="35:35">
      <c r="AI219" s="131"/>
    </row>
    <row r="220" spans="35:35">
      <c r="AI220" s="131"/>
    </row>
    <row r="221" spans="35:35">
      <c r="AI221" s="131"/>
    </row>
    <row r="222" spans="35:35">
      <c r="AI222" s="131"/>
    </row>
    <row r="223" spans="35:35">
      <c r="AI223" s="131"/>
    </row>
    <row r="224" spans="35:35">
      <c r="AI224" s="131"/>
    </row>
    <row r="225" spans="35:35">
      <c r="AI225" s="131"/>
    </row>
    <row r="226" spans="35:35">
      <c r="AI226" s="131"/>
    </row>
    <row r="227" spans="35:35">
      <c r="AI227" s="131"/>
    </row>
    <row r="228" spans="35:35">
      <c r="AI228" s="131"/>
    </row>
    <row r="229" spans="35:35">
      <c r="AI229" s="131"/>
    </row>
    <row r="230" spans="35:35">
      <c r="AI230" s="131"/>
    </row>
    <row r="231" spans="35:35">
      <c r="AI231" s="131"/>
    </row>
    <row r="232" spans="35:35">
      <c r="AI232" s="131"/>
    </row>
    <row r="233" spans="35:35">
      <c r="AI233" s="131"/>
    </row>
    <row r="234" spans="35:35">
      <c r="AI234" s="131"/>
    </row>
    <row r="235" spans="35:35">
      <c r="AI235" s="131"/>
    </row>
    <row r="236" spans="35:35">
      <c r="AI236" s="131"/>
    </row>
    <row r="237" spans="35:35">
      <c r="AI237" s="131"/>
    </row>
    <row r="238" spans="35:35">
      <c r="AI238" s="131"/>
    </row>
    <row r="239" spans="35:35">
      <c r="AI239" s="131"/>
    </row>
    <row r="240" spans="35:35">
      <c r="AI240" s="131"/>
    </row>
    <row r="241" spans="35:35">
      <c r="AI241" s="131"/>
    </row>
    <row r="242" spans="35:35">
      <c r="AI242" s="131"/>
    </row>
    <row r="243" spans="35:35">
      <c r="AI243" s="131"/>
    </row>
    <row r="244" spans="35:35">
      <c r="AI244" s="131"/>
    </row>
    <row r="245" spans="35:35">
      <c r="AI245" s="131"/>
    </row>
    <row r="246" spans="35:35">
      <c r="AI246" s="131"/>
    </row>
    <row r="247" spans="35:35">
      <c r="AI247" s="131"/>
    </row>
    <row r="248" spans="35:35">
      <c r="AI248" s="131"/>
    </row>
    <row r="249" spans="35:35">
      <c r="AI249" s="131"/>
    </row>
    <row r="250" spans="35:35">
      <c r="AI250" s="131"/>
    </row>
    <row r="251" spans="35:35">
      <c r="AI251" s="131"/>
    </row>
    <row r="252" spans="35:35">
      <c r="AI252" s="131"/>
    </row>
    <row r="253" spans="35:35">
      <c r="AI253" s="131"/>
    </row>
    <row r="254" spans="35:35">
      <c r="AI254" s="131"/>
    </row>
    <row r="255" spans="35:35">
      <c r="AI255" s="131"/>
    </row>
    <row r="256" spans="35:35">
      <c r="AI256" s="284"/>
    </row>
    <row r="257" spans="35:35">
      <c r="AI257" s="131"/>
    </row>
    <row r="258" spans="35:35">
      <c r="AI258" s="131"/>
    </row>
    <row r="259" spans="35:35">
      <c r="AI259" s="131"/>
    </row>
    <row r="260" spans="35:35">
      <c r="AI260" s="131"/>
    </row>
    <row r="261" spans="35:35">
      <c r="AI261" s="131"/>
    </row>
    <row r="262" spans="35:35">
      <c r="AI262" s="131"/>
    </row>
    <row r="263" spans="35:35">
      <c r="AI263" s="131"/>
    </row>
    <row r="264" spans="35:35">
      <c r="AI264" s="52"/>
    </row>
    <row r="265" spans="35:35">
      <c r="AI265" s="131"/>
    </row>
    <row r="266" spans="35:35">
      <c r="AI266" s="131"/>
    </row>
    <row r="267" spans="35:35">
      <c r="AI267" s="131"/>
    </row>
    <row r="268" spans="35:35">
      <c r="AI268" s="131"/>
    </row>
    <row r="269" spans="35:35">
      <c r="AI269" s="131"/>
    </row>
    <row r="270" spans="35:35">
      <c r="AI270" s="131"/>
    </row>
    <row r="271" spans="35:35">
      <c r="AI271" s="131"/>
    </row>
    <row r="272" spans="35:35">
      <c r="AI272" s="131"/>
    </row>
    <row r="273" spans="35:35">
      <c r="AI273" s="131"/>
    </row>
    <row r="274" spans="35:35">
      <c r="AI274" s="131"/>
    </row>
    <row r="275" spans="35:35">
      <c r="AI275" s="131"/>
    </row>
    <row r="276" spans="35:35">
      <c r="AI276" s="131"/>
    </row>
    <row r="277" spans="35:35">
      <c r="AI277" s="131"/>
    </row>
    <row r="278" spans="35:35">
      <c r="AI278" s="131"/>
    </row>
    <row r="279" spans="35:35">
      <c r="AI279" s="131"/>
    </row>
    <row r="280" spans="35:35">
      <c r="AI280" s="131"/>
    </row>
    <row r="281" spans="35:35">
      <c r="AI281" s="131"/>
    </row>
    <row r="282" spans="35:35">
      <c r="AI282" s="131"/>
    </row>
    <row r="283" spans="35:35">
      <c r="AI283" s="131"/>
    </row>
    <row r="284" spans="35:35">
      <c r="AI284" s="131"/>
    </row>
    <row r="285" spans="35:35">
      <c r="AI285" s="131"/>
    </row>
    <row r="286" spans="35:35">
      <c r="AI286" s="131"/>
    </row>
    <row r="287" spans="35:35">
      <c r="AI287" s="131"/>
    </row>
    <row r="288" spans="35:35">
      <c r="AI288" s="131"/>
    </row>
    <row r="289" spans="35:35">
      <c r="AI289" s="131"/>
    </row>
    <row r="290" spans="35:35">
      <c r="AI290" s="131"/>
    </row>
    <row r="291" spans="35:35">
      <c r="AI291" s="131"/>
    </row>
    <row r="292" spans="35:35">
      <c r="AI292" s="131"/>
    </row>
    <row r="293" spans="35:35">
      <c r="AI293" s="131"/>
    </row>
    <row r="294" spans="35:35">
      <c r="AI294" s="284"/>
    </row>
    <row r="295" spans="35:35">
      <c r="AI295" s="131"/>
    </row>
    <row r="297" spans="35:35">
      <c r="AI297" s="131"/>
    </row>
    <row r="298" spans="35:35">
      <c r="AI298" s="131"/>
    </row>
    <row r="299" spans="35:35">
      <c r="AI299" s="131"/>
    </row>
    <row r="300" spans="35:35">
      <c r="AI300" s="131"/>
    </row>
    <row r="301" spans="35:35">
      <c r="AI301" s="131"/>
    </row>
    <row r="302" spans="35:35">
      <c r="AI302" s="131"/>
    </row>
    <row r="303" spans="35:35">
      <c r="AI303" s="131"/>
    </row>
    <row r="304" spans="35:35">
      <c r="AI304" s="131"/>
    </row>
    <row r="305" spans="35:35">
      <c r="AI305" s="131"/>
    </row>
    <row r="306" spans="35:35">
      <c r="AI306" s="131"/>
    </row>
    <row r="307" spans="35:35">
      <c r="AI307" s="131"/>
    </row>
    <row r="308" spans="35:35">
      <c r="AI308" s="131"/>
    </row>
    <row r="309" spans="35:35">
      <c r="AI309" s="131"/>
    </row>
    <row r="310" spans="35:35">
      <c r="AI310" s="131"/>
    </row>
    <row r="311" spans="35:35">
      <c r="AI311" s="131"/>
    </row>
    <row r="312" spans="35:35">
      <c r="AI312" s="284"/>
    </row>
    <row r="313" spans="35:35">
      <c r="AI313" s="131"/>
    </row>
    <row r="314" spans="35:35">
      <c r="AI314" s="131"/>
    </row>
    <row r="315" spans="35:35">
      <c r="AI315" s="131"/>
    </row>
    <row r="316" spans="35:35">
      <c r="AI316" s="131"/>
    </row>
    <row r="317" spans="35:35">
      <c r="AI317" s="131"/>
    </row>
    <row r="318" spans="35:35">
      <c r="AI318" s="131"/>
    </row>
    <row r="319" spans="35:35">
      <c r="AI319" s="131"/>
    </row>
    <row r="320" spans="35:35">
      <c r="AI320" s="131"/>
    </row>
    <row r="321" spans="35:35">
      <c r="AI321" s="131"/>
    </row>
    <row r="322" spans="35:35">
      <c r="AI322" s="131"/>
    </row>
    <row r="323" spans="35:35">
      <c r="AI323" s="131"/>
    </row>
    <row r="324" spans="35:35">
      <c r="AI324" s="131"/>
    </row>
    <row r="325" spans="35:35">
      <c r="AI325" s="131"/>
    </row>
    <row r="326" spans="35:35">
      <c r="AI326" s="131"/>
    </row>
    <row r="327" spans="35:35">
      <c r="AI327" s="131"/>
    </row>
    <row r="328" spans="35:35">
      <c r="AI328" s="131"/>
    </row>
    <row r="329" spans="35:35">
      <c r="AI329" s="131"/>
    </row>
    <row r="330" spans="35:35">
      <c r="AI330" s="131"/>
    </row>
    <row r="331" spans="35:35">
      <c r="AI331" s="131"/>
    </row>
    <row r="332" spans="35:35">
      <c r="AI332" s="131"/>
    </row>
    <row r="333" spans="35:35">
      <c r="AI333" s="131"/>
    </row>
    <row r="334" spans="35:35">
      <c r="AI334" s="131"/>
    </row>
    <row r="335" spans="35:35">
      <c r="AI335" s="131"/>
    </row>
    <row r="336" spans="35:35">
      <c r="AI336" s="131"/>
    </row>
    <row r="337" spans="35:35">
      <c r="AI337" s="131"/>
    </row>
    <row r="338" spans="35:35">
      <c r="AI338" s="131"/>
    </row>
    <row r="339" spans="35:35">
      <c r="AI339" s="131"/>
    </row>
    <row r="340" spans="35:35">
      <c r="AI340" s="284"/>
    </row>
    <row r="341" spans="35:35">
      <c r="AI341" s="131"/>
    </row>
    <row r="342" spans="35:35">
      <c r="AI342" s="131"/>
    </row>
    <row r="343" spans="35:35">
      <c r="AI343" s="131"/>
    </row>
    <row r="344" spans="35:35">
      <c r="AI344" s="131"/>
    </row>
    <row r="345" spans="35:35">
      <c r="AI345" s="131"/>
    </row>
    <row r="346" spans="35:35">
      <c r="AI346" s="131"/>
    </row>
    <row r="347" spans="35:35">
      <c r="AI347" s="131"/>
    </row>
    <row r="348" spans="35:35">
      <c r="AI348" s="131"/>
    </row>
    <row r="349" spans="35:35">
      <c r="AI349" s="131"/>
    </row>
    <row r="350" spans="35:35">
      <c r="AI350" s="131"/>
    </row>
    <row r="351" spans="35:35">
      <c r="AI351" s="131"/>
    </row>
    <row r="352" spans="35:35">
      <c r="AI352" s="131"/>
    </row>
    <row r="353" spans="35:35">
      <c r="AI353" s="131"/>
    </row>
    <row r="354" spans="35:35">
      <c r="AI354" s="131"/>
    </row>
    <row r="355" spans="35:35">
      <c r="AI355" s="131"/>
    </row>
    <row r="356" spans="35:35">
      <c r="AI356" s="131"/>
    </row>
    <row r="357" spans="35:35">
      <c r="AI357" s="131"/>
    </row>
    <row r="358" spans="35:35">
      <c r="AI358" s="284"/>
    </row>
    <row r="359" spans="35:35">
      <c r="AI359" s="131"/>
    </row>
    <row r="360" spans="35:35">
      <c r="AI360" s="284"/>
    </row>
    <row r="361" spans="35:35">
      <c r="AI361" s="131"/>
    </row>
    <row r="362" spans="35:35">
      <c r="AI362" s="131"/>
    </row>
    <row r="363" spans="35:35">
      <c r="AI363" s="131"/>
    </row>
    <row r="364" spans="35:35">
      <c r="AI364" s="131"/>
    </row>
    <row r="365" spans="35:35">
      <c r="AI365" s="131"/>
    </row>
    <row r="366" spans="35:35">
      <c r="AI366" s="131"/>
    </row>
    <row r="367" spans="35:35">
      <c r="AI367" s="131"/>
    </row>
    <row r="368" spans="35:35">
      <c r="AI368" s="131"/>
    </row>
    <row r="369" spans="35:35">
      <c r="AI369" s="131"/>
    </row>
    <row r="370" spans="35:35">
      <c r="AI370" s="131"/>
    </row>
    <row r="371" spans="35:35">
      <c r="AI371" s="131"/>
    </row>
    <row r="372" spans="35:35">
      <c r="AI372" s="131"/>
    </row>
    <row r="373" spans="35:35">
      <c r="AI373" s="131"/>
    </row>
    <row r="374" spans="35:35">
      <c r="AI374" s="131"/>
    </row>
    <row r="375" spans="35:35">
      <c r="AI375" s="131"/>
    </row>
    <row r="376" spans="35:35">
      <c r="AI376" s="131"/>
    </row>
    <row r="377" spans="35:35">
      <c r="AI377" s="131"/>
    </row>
    <row r="378" spans="35:35">
      <c r="AI378" s="131"/>
    </row>
    <row r="379" spans="35:35">
      <c r="AI379" s="131"/>
    </row>
    <row r="380" spans="35:35">
      <c r="AI380" s="131"/>
    </row>
    <row r="381" spans="35:35">
      <c r="AI381" s="131"/>
    </row>
    <row r="382" spans="35:35">
      <c r="AI382" s="131"/>
    </row>
    <row r="383" spans="35:35">
      <c r="AI383" s="131"/>
    </row>
    <row r="384" spans="35:35">
      <c r="AI384" s="131"/>
    </row>
    <row r="385" spans="35:35">
      <c r="AI385" s="131"/>
    </row>
    <row r="386" spans="35:35">
      <c r="AI386" s="131"/>
    </row>
    <row r="387" spans="35:35">
      <c r="AI387" s="131"/>
    </row>
    <row r="388" spans="35:35">
      <c r="AI388" s="131"/>
    </row>
    <row r="389" spans="35:35">
      <c r="AI389" s="131"/>
    </row>
    <row r="390" spans="35:35">
      <c r="AI390" s="131"/>
    </row>
    <row r="391" spans="35:35">
      <c r="AI391" s="131"/>
    </row>
    <row r="392" spans="35:35">
      <c r="AI392" s="131"/>
    </row>
    <row r="393" spans="35:35">
      <c r="AI393" s="131"/>
    </row>
    <row r="394" spans="35:35">
      <c r="AI394" s="131"/>
    </row>
    <row r="395" spans="35:35">
      <c r="AI395" s="284"/>
    </row>
    <row r="396" spans="35:35">
      <c r="AI396" s="131"/>
    </row>
    <row r="397" spans="35:35">
      <c r="AI397" s="131"/>
    </row>
    <row r="398" spans="35:35">
      <c r="AI398" s="131"/>
    </row>
    <row r="399" spans="35:35">
      <c r="AI399" s="131"/>
    </row>
    <row r="400" spans="35:35">
      <c r="AI400" s="131"/>
    </row>
    <row r="401" spans="35:35">
      <c r="AI401" s="131"/>
    </row>
    <row r="402" spans="35:35">
      <c r="AI402" s="131"/>
    </row>
    <row r="403" spans="35:35">
      <c r="AI403" s="131"/>
    </row>
    <row r="404" spans="35:35">
      <c r="AI404" s="131"/>
    </row>
    <row r="405" spans="35:35">
      <c r="AI405" s="131"/>
    </row>
    <row r="406" spans="35:35">
      <c r="AI406" s="131"/>
    </row>
    <row r="407" spans="35:35">
      <c r="AI407" s="131"/>
    </row>
    <row r="408" spans="35:35">
      <c r="AI408" s="131"/>
    </row>
    <row r="409" spans="35:35">
      <c r="AI409" s="131"/>
    </row>
    <row r="410" spans="35:35">
      <c r="AI410" s="131"/>
    </row>
    <row r="411" spans="35:35">
      <c r="AI411" s="131"/>
    </row>
    <row r="412" spans="35:35">
      <c r="AI412" s="131"/>
    </row>
    <row r="413" spans="35:35">
      <c r="AI413" s="131"/>
    </row>
    <row r="414" spans="35:35">
      <c r="AI414" s="131"/>
    </row>
    <row r="415" spans="35:35">
      <c r="AI415" s="131"/>
    </row>
    <row r="416" spans="35:35">
      <c r="AI416" s="131"/>
    </row>
    <row r="417" spans="35:35">
      <c r="AI417" s="131"/>
    </row>
    <row r="418" spans="35:35">
      <c r="AI418" s="131"/>
    </row>
    <row r="419" spans="35:35">
      <c r="AI419" s="131"/>
    </row>
    <row r="420" spans="35:35">
      <c r="AI420" s="131"/>
    </row>
    <row r="421" spans="35:35">
      <c r="AI421" s="131"/>
    </row>
    <row r="422" spans="35:35">
      <c r="AI422" s="131"/>
    </row>
    <row r="423" spans="35:35">
      <c r="AI423" s="131"/>
    </row>
    <row r="424" spans="35:35">
      <c r="AI424" s="131"/>
    </row>
    <row r="425" spans="35:35">
      <c r="AI425" s="131"/>
    </row>
    <row r="426" spans="35:35">
      <c r="AI426" s="131"/>
    </row>
    <row r="427" spans="35:35">
      <c r="AI427" s="131"/>
    </row>
    <row r="428" spans="35:35">
      <c r="AI428" s="131"/>
    </row>
    <row r="429" spans="35:35">
      <c r="AI429" s="131"/>
    </row>
    <row r="430" spans="35:35">
      <c r="AI430" s="131"/>
    </row>
    <row r="431" spans="35:35">
      <c r="AI431" s="131"/>
    </row>
    <row r="432" spans="35:35">
      <c r="AI432" s="131"/>
    </row>
    <row r="433" spans="35:35">
      <c r="AI433" s="131"/>
    </row>
    <row r="434" spans="35:35">
      <c r="AI434" s="131"/>
    </row>
    <row r="435" spans="35:35">
      <c r="AI435" s="131"/>
    </row>
    <row r="436" spans="35:35">
      <c r="AI436" s="131"/>
    </row>
    <row r="437" spans="35:35">
      <c r="AI437" s="131"/>
    </row>
    <row r="438" spans="35:35">
      <c r="AI438" s="131"/>
    </row>
    <row r="439" spans="35:35">
      <c r="AI439" s="131"/>
    </row>
    <row r="440" spans="35:35">
      <c r="AI440" s="286"/>
    </row>
    <row r="441" spans="35:35">
      <c r="AI441" s="131"/>
    </row>
    <row r="442" spans="35:35">
      <c r="AI442" s="131"/>
    </row>
    <row r="443" spans="35:35">
      <c r="AI443" s="131"/>
    </row>
    <row r="444" spans="35:35">
      <c r="AI444" s="131"/>
    </row>
    <row r="445" spans="35:35">
      <c r="AI445" s="131"/>
    </row>
    <row r="446" spans="35:35">
      <c r="AI446" s="131"/>
    </row>
    <row r="447" spans="35:35">
      <c r="AI447" s="131"/>
    </row>
    <row r="448" spans="35:35">
      <c r="AI448" s="131"/>
    </row>
    <row r="449" spans="35:35">
      <c r="AI449" s="131"/>
    </row>
    <row r="450" spans="35:35">
      <c r="AI450" s="131"/>
    </row>
    <row r="451" spans="35:35">
      <c r="AI451" s="131"/>
    </row>
    <row r="452" spans="35:35">
      <c r="AI452" s="131"/>
    </row>
    <row r="453" spans="35:35">
      <c r="AI453" s="131"/>
    </row>
    <row r="454" spans="35:35">
      <c r="AI454" s="131"/>
    </row>
    <row r="455" spans="35:35">
      <c r="AI455" s="131"/>
    </row>
    <row r="456" spans="35:35">
      <c r="AI456" s="131"/>
    </row>
    <row r="457" spans="35:35">
      <c r="AI457" s="131"/>
    </row>
    <row r="458" spans="35:35">
      <c r="AI458" s="131"/>
    </row>
    <row r="459" spans="35:35">
      <c r="AI459" s="131"/>
    </row>
    <row r="460" spans="35:35">
      <c r="AI460" s="131"/>
    </row>
    <row r="461" spans="35:35">
      <c r="AI461" s="131"/>
    </row>
    <row r="462" spans="35:35">
      <c r="AI462" s="131"/>
    </row>
    <row r="463" spans="35:35">
      <c r="AI463" s="131"/>
    </row>
    <row r="464" spans="35:35">
      <c r="AI464" s="131"/>
    </row>
    <row r="465" spans="35:35">
      <c r="AI465" s="131"/>
    </row>
    <row r="466" spans="35:35">
      <c r="AI466" s="131"/>
    </row>
    <row r="467" spans="35:35">
      <c r="AI467" s="131"/>
    </row>
    <row r="468" spans="35:35">
      <c r="AI468" s="131"/>
    </row>
    <row r="469" spans="35:35">
      <c r="AI469" s="131"/>
    </row>
    <row r="470" spans="35:35">
      <c r="AI470" s="131"/>
    </row>
    <row r="471" spans="35:35">
      <c r="AI471" s="131"/>
    </row>
    <row r="472" spans="35:35">
      <c r="AI472" s="131"/>
    </row>
    <row r="473" spans="35:35">
      <c r="AI473" s="131"/>
    </row>
    <row r="474" spans="35:35">
      <c r="AI474" s="131"/>
    </row>
    <row r="475" spans="35:35">
      <c r="AI475" s="131"/>
    </row>
    <row r="476" spans="35:35">
      <c r="AI476" s="131"/>
    </row>
    <row r="477" spans="35:35">
      <c r="AI477" s="131"/>
    </row>
    <row r="478" spans="35:35">
      <c r="AI478" s="131"/>
    </row>
    <row r="479" spans="35:35">
      <c r="AI479" s="131"/>
    </row>
    <row r="480" spans="35:35">
      <c r="AI480" s="131"/>
    </row>
    <row r="481" spans="35:35">
      <c r="AI481" s="34"/>
    </row>
    <row r="482" spans="35:35">
      <c r="AI482" s="131"/>
    </row>
    <row r="483" spans="35:35">
      <c r="AI483" s="131"/>
    </row>
    <row r="484" spans="35:35">
      <c r="AI484" s="284"/>
    </row>
    <row r="485" spans="35:35">
      <c r="AI485" s="131"/>
    </row>
    <row r="486" spans="35:35">
      <c r="AI486" s="131"/>
    </row>
    <row r="487" spans="35:35">
      <c r="AI487" s="131"/>
    </row>
    <row r="488" spans="35:35">
      <c r="AI488" s="131"/>
    </row>
    <row r="489" spans="35:35">
      <c r="AI489" s="131"/>
    </row>
    <row r="490" spans="35:35">
      <c r="AI490" s="284"/>
    </row>
    <row r="491" spans="35:35">
      <c r="AI491" s="131"/>
    </row>
    <row r="492" spans="35:35">
      <c r="AI492" s="131"/>
    </row>
    <row r="493" spans="35:35">
      <c r="AI493" s="131"/>
    </row>
    <row r="494" spans="35:35">
      <c r="AI494" s="131"/>
    </row>
    <row r="495" spans="35:35">
      <c r="AI495" s="131"/>
    </row>
    <row r="496" spans="35:35">
      <c r="AI496" s="131"/>
    </row>
    <row r="497" spans="35:35">
      <c r="AI497" s="131"/>
    </row>
    <row r="498" spans="35:35">
      <c r="AI498" s="131"/>
    </row>
    <row r="499" spans="35:35">
      <c r="AI499" s="131"/>
    </row>
    <row r="500" spans="35:35">
      <c r="AI500" s="131"/>
    </row>
    <row r="501" spans="35:35">
      <c r="AI501" s="284"/>
    </row>
    <row r="502" spans="35:35">
      <c r="AI502" s="131"/>
    </row>
    <row r="503" spans="35:35">
      <c r="AI503" s="131"/>
    </row>
    <row r="504" spans="35:35">
      <c r="AI504" s="131"/>
    </row>
    <row r="505" spans="35:35">
      <c r="AI505" s="131"/>
    </row>
    <row r="506" spans="35:35">
      <c r="AI506" s="131"/>
    </row>
    <row r="507" spans="35:35">
      <c r="AI507" s="131"/>
    </row>
    <row r="508" spans="35:35">
      <c r="AI508" s="131"/>
    </row>
    <row r="509" spans="35:35">
      <c r="AI509" s="131"/>
    </row>
    <row r="510" spans="35:35">
      <c r="AI510" s="131"/>
    </row>
    <row r="511" spans="35:35">
      <c r="AI511" s="284"/>
    </row>
    <row r="512" spans="35:35">
      <c r="AI512" s="131"/>
    </row>
    <row r="513" spans="35:35">
      <c r="AI513" s="131"/>
    </row>
    <row r="514" spans="35:35">
      <c r="AI514" s="131"/>
    </row>
    <row r="515" spans="35:35">
      <c r="AI515" s="131"/>
    </row>
    <row r="516" spans="35:35">
      <c r="AI516" s="131"/>
    </row>
    <row r="517" spans="35:35">
      <c r="AI517" s="131"/>
    </row>
    <row r="518" spans="35:35">
      <c r="AI518" s="131"/>
    </row>
    <row r="519" spans="35:35">
      <c r="AI519" s="284"/>
    </row>
    <row r="520" spans="35:35">
      <c r="AI520" s="131"/>
    </row>
    <row r="521" spans="35:35">
      <c r="AI521" s="131"/>
    </row>
    <row r="522" spans="35:35">
      <c r="AI522" s="131"/>
    </row>
    <row r="523" spans="35:35">
      <c r="AI523" s="131"/>
    </row>
    <row r="524" spans="35:35">
      <c r="AI524" s="131"/>
    </row>
    <row r="525" spans="35:35">
      <c r="AI525" s="131"/>
    </row>
    <row r="526" spans="35:35">
      <c r="AI526" s="131"/>
    </row>
    <row r="527" spans="35:35">
      <c r="AI527" s="131"/>
    </row>
    <row r="528" spans="35:35">
      <c r="AI528" s="131"/>
    </row>
    <row r="529" spans="35:35">
      <c r="AI529" s="284"/>
    </row>
    <row r="530" spans="35:35">
      <c r="AI530" s="131"/>
    </row>
    <row r="531" spans="35:35">
      <c r="AI531" s="131"/>
    </row>
    <row r="532" spans="35:35">
      <c r="AI532" s="131"/>
    </row>
    <row r="533" spans="35:35">
      <c r="AI533" s="131"/>
    </row>
    <row r="534" spans="35:35">
      <c r="AI534" s="131"/>
    </row>
    <row r="535" spans="35:35">
      <c r="AI535" s="131"/>
    </row>
    <row r="536" spans="35:35">
      <c r="AI536" s="131"/>
    </row>
    <row r="537" spans="35:35">
      <c r="AI537" s="131"/>
    </row>
    <row r="538" spans="35:35">
      <c r="AI538" s="131"/>
    </row>
    <row r="539" spans="35:35">
      <c r="AI539" s="131"/>
    </row>
    <row r="540" spans="35:35">
      <c r="AI540" s="131"/>
    </row>
    <row r="541" spans="35:35">
      <c r="AI541" s="131"/>
    </row>
    <row r="542" spans="35:35">
      <c r="AI542" s="131"/>
    </row>
    <row r="543" spans="35:35">
      <c r="AI543" s="131"/>
    </row>
    <row r="544" spans="35:35">
      <c r="AI544" s="131"/>
    </row>
    <row r="545" spans="35:35">
      <c r="AI545" s="131"/>
    </row>
    <row r="546" spans="35:35">
      <c r="AI546" s="131"/>
    </row>
    <row r="547" spans="35:35">
      <c r="AI547" s="131"/>
    </row>
    <row r="548" spans="35:35">
      <c r="AI548" s="131"/>
    </row>
    <row r="549" spans="35:35">
      <c r="AI549" s="131"/>
    </row>
    <row r="550" spans="35:35">
      <c r="AI550" s="284"/>
    </row>
    <row r="551" spans="35:35">
      <c r="AI551" s="131"/>
    </row>
    <row r="552" spans="35:35">
      <c r="AI552" s="131"/>
    </row>
    <row r="553" spans="35:35">
      <c r="AI553" s="131"/>
    </row>
    <row r="555" spans="35:35">
      <c r="AI555" s="131"/>
    </row>
    <row r="556" spans="35:35">
      <c r="AI556" s="131"/>
    </row>
    <row r="557" spans="35:35">
      <c r="AI557" s="131"/>
    </row>
    <row r="558" spans="35:35">
      <c r="AI558" s="131"/>
    </row>
    <row r="559" spans="35:35">
      <c r="AI559" s="131"/>
    </row>
    <row r="560" spans="35:35">
      <c r="AI560" s="131"/>
    </row>
    <row r="561" spans="35:35">
      <c r="AI561" s="131"/>
    </row>
    <row r="562" spans="35:35">
      <c r="AI562" s="131"/>
    </row>
    <row r="563" spans="35:35">
      <c r="AI563" s="284"/>
    </row>
    <row r="564" spans="35:35">
      <c r="AI564" s="131"/>
    </row>
    <row r="565" spans="35:35">
      <c r="AI565" s="131"/>
    </row>
    <row r="566" spans="35:35">
      <c r="AI566" s="131"/>
    </row>
    <row r="567" spans="35:35">
      <c r="AI567" s="284"/>
    </row>
    <row r="568" spans="35:35">
      <c r="AI568" s="131"/>
    </row>
    <row r="569" spans="35:35">
      <c r="AI569" s="131"/>
    </row>
    <row r="570" spans="35:35">
      <c r="AI570" s="131"/>
    </row>
    <row r="571" spans="35:35">
      <c r="AI571" s="131"/>
    </row>
    <row r="572" spans="35:35">
      <c r="AI572" s="131"/>
    </row>
    <row r="573" spans="35:35">
      <c r="AI573" s="131"/>
    </row>
    <row r="574" spans="35:35">
      <c r="AI574" s="131"/>
    </row>
    <row r="575" spans="35:35">
      <c r="AI575" s="131"/>
    </row>
    <row r="576" spans="35:35">
      <c r="AI576" s="131"/>
    </row>
    <row r="577" spans="35:35">
      <c r="AI577" s="131"/>
    </row>
    <row r="578" spans="35:35">
      <c r="AI578" s="131"/>
    </row>
    <row r="579" spans="35:35">
      <c r="AI579" s="131"/>
    </row>
    <row r="580" spans="35:35">
      <c r="AI580" s="131"/>
    </row>
    <row r="581" spans="35:35">
      <c r="AI581" s="131"/>
    </row>
    <row r="582" spans="35:35">
      <c r="AI582" s="131"/>
    </row>
    <row r="583" spans="35:35">
      <c r="AI583" s="131"/>
    </row>
    <row r="584" spans="35:35">
      <c r="AI584" s="131"/>
    </row>
    <row r="585" spans="35:35">
      <c r="AI585" s="131"/>
    </row>
    <row r="586" spans="35:35">
      <c r="AI586" s="131"/>
    </row>
    <row r="587" spans="35:35">
      <c r="AI587" s="131"/>
    </row>
    <row r="588" spans="35:35">
      <c r="AI588" s="131"/>
    </row>
    <row r="589" spans="35:35">
      <c r="AI589" s="131"/>
    </row>
    <row r="590" spans="35:35">
      <c r="AI590" s="131"/>
    </row>
    <row r="591" spans="35:35">
      <c r="AI591" s="131"/>
    </row>
    <row r="592" spans="35:35">
      <c r="AI592" s="131"/>
    </row>
    <row r="593" spans="35:35">
      <c r="AI593" s="131"/>
    </row>
    <row r="594" spans="35:35">
      <c r="AI594" s="131"/>
    </row>
    <row r="595" spans="35:35">
      <c r="AI595" s="131"/>
    </row>
    <row r="596" spans="35:35">
      <c r="AI596" s="131"/>
    </row>
    <row r="597" spans="35:35">
      <c r="AI597" s="131"/>
    </row>
    <row r="598" spans="35:35">
      <c r="AI598" s="131"/>
    </row>
    <row r="599" spans="35:35">
      <c r="AI599" s="131"/>
    </row>
    <row r="600" spans="35:35">
      <c r="AI600" s="131"/>
    </row>
    <row r="601" spans="35:35">
      <c r="AI601" s="131"/>
    </row>
    <row r="602" spans="35:35">
      <c r="AI602" s="131"/>
    </row>
    <row r="603" spans="35:35">
      <c r="AI603" s="131"/>
    </row>
    <row r="604" spans="35:35">
      <c r="AI604" s="131"/>
    </row>
    <row r="605" spans="35:35">
      <c r="AI605" s="131"/>
    </row>
    <row r="606" spans="35:35">
      <c r="AI606" s="131"/>
    </row>
    <row r="607" spans="35:35">
      <c r="AI607" s="131"/>
    </row>
    <row r="608" spans="35:35">
      <c r="AI608" s="131"/>
    </row>
    <row r="609" spans="35:35">
      <c r="AI609" s="131"/>
    </row>
    <row r="610" spans="35:35">
      <c r="AI610" s="131"/>
    </row>
    <row r="611" spans="35:35">
      <c r="AI611" s="131"/>
    </row>
    <row r="612" spans="35:35">
      <c r="AI612" s="28"/>
    </row>
    <row r="613" spans="35:35">
      <c r="AI613" s="131"/>
    </row>
    <row r="614" spans="35:35">
      <c r="AI614" s="131"/>
    </row>
    <row r="615" spans="35:35">
      <c r="AI615" s="131"/>
    </row>
    <row r="616" spans="35:35">
      <c r="AI616" s="131"/>
    </row>
    <row r="617" spans="35:35">
      <c r="AI617" s="131"/>
    </row>
    <row r="618" spans="35:35">
      <c r="AI618" s="131"/>
    </row>
    <row r="619" spans="35:35">
      <c r="AI619" s="131"/>
    </row>
    <row r="620" spans="35:35">
      <c r="AI620" s="131"/>
    </row>
    <row r="621" spans="35:35">
      <c r="AI621" s="131"/>
    </row>
    <row r="622" spans="35:35">
      <c r="AI622" s="131"/>
    </row>
    <row r="623" spans="35:35">
      <c r="AI623" s="131"/>
    </row>
    <row r="624" spans="35:35">
      <c r="AI624" s="131"/>
    </row>
    <row r="625" spans="35:35">
      <c r="AI625" s="131"/>
    </row>
    <row r="626" spans="35:35">
      <c r="AI626" s="131"/>
    </row>
    <row r="627" spans="35:35">
      <c r="AI627" s="131"/>
    </row>
    <row r="628" spans="35:35">
      <c r="AI628" s="131"/>
    </row>
    <row r="629" spans="35:35">
      <c r="AI629" s="131"/>
    </row>
    <row r="630" spans="35:35">
      <c r="AI630" s="131"/>
    </row>
    <row r="631" spans="35:35">
      <c r="AI631" s="131"/>
    </row>
    <row r="632" spans="35:35">
      <c r="AI632" s="131"/>
    </row>
    <row r="633" spans="35:35">
      <c r="AI633" s="131"/>
    </row>
    <row r="634" spans="35:35">
      <c r="AI634" s="131"/>
    </row>
    <row r="635" spans="35:35">
      <c r="AI635" s="131"/>
    </row>
    <row r="636" spans="35:35">
      <c r="AI636" s="131"/>
    </row>
    <row r="637" spans="35:35">
      <c r="AI637" s="131"/>
    </row>
    <row r="638" spans="35:35">
      <c r="AI638" s="131"/>
    </row>
    <row r="639" spans="35:35">
      <c r="AI639" s="131"/>
    </row>
    <row r="640" spans="35:35">
      <c r="AI640" s="131"/>
    </row>
    <row r="641" spans="35:35">
      <c r="AI641" s="131"/>
    </row>
    <row r="642" spans="35:35">
      <c r="AI642" s="131"/>
    </row>
    <row r="643" spans="35:35">
      <c r="AI643" s="131"/>
    </row>
    <row r="644" spans="35:35">
      <c r="AI644" s="131"/>
    </row>
    <row r="645" spans="35:35">
      <c r="AI645" s="284"/>
    </row>
    <row r="646" spans="35:35">
      <c r="AI646" s="284"/>
    </row>
    <row r="647" spans="35:35">
      <c r="AI647" s="131"/>
    </row>
    <row r="648" spans="35:35">
      <c r="AI648" s="131"/>
    </row>
    <row r="649" spans="35:35">
      <c r="AI649" s="131"/>
    </row>
    <row r="650" spans="35:35">
      <c r="AI650" s="131"/>
    </row>
    <row r="651" spans="35:35">
      <c r="AI651" s="131"/>
    </row>
    <row r="652" spans="35:35">
      <c r="AI652" s="131"/>
    </row>
    <row r="653" spans="35:35">
      <c r="AI653" s="131"/>
    </row>
    <row r="654" spans="35:35">
      <c r="AI654" s="131"/>
    </row>
    <row r="655" spans="35:35">
      <c r="AI655" s="131"/>
    </row>
    <row r="656" spans="35:35">
      <c r="AI656" s="131"/>
    </row>
    <row r="657" spans="35:35">
      <c r="AI657" s="131"/>
    </row>
    <row r="658" spans="35:35">
      <c r="AI658" s="131"/>
    </row>
    <row r="659" spans="35:35">
      <c r="AI659" s="131"/>
    </row>
    <row r="660" spans="35:35">
      <c r="AI660" s="131"/>
    </row>
    <row r="661" spans="35:35">
      <c r="AI661" s="131"/>
    </row>
    <row r="662" spans="35:35">
      <c r="AI662" s="131"/>
    </row>
    <row r="663" spans="35:35">
      <c r="AI663" s="131"/>
    </row>
    <row r="664" spans="35:35">
      <c r="AI664" s="131"/>
    </row>
    <row r="665" spans="35:35">
      <c r="AI665" s="131"/>
    </row>
    <row r="666" spans="35:35">
      <c r="AI666" s="131"/>
    </row>
    <row r="667" spans="35:35">
      <c r="AI667" s="131"/>
    </row>
    <row r="668" spans="35:35">
      <c r="AI668" s="131"/>
    </row>
    <row r="669" spans="35:35">
      <c r="AI669" s="131"/>
    </row>
    <row r="670" spans="35:35">
      <c r="AI670" s="131"/>
    </row>
    <row r="671" spans="35:35">
      <c r="AI671" s="131"/>
    </row>
    <row r="672" spans="35:35">
      <c r="AI672" s="131"/>
    </row>
    <row r="673" spans="35:35">
      <c r="AI673" s="131"/>
    </row>
    <row r="674" spans="35:35">
      <c r="AI674" s="131"/>
    </row>
    <row r="675" spans="35:35">
      <c r="AI675" s="131"/>
    </row>
    <row r="676" spans="35:35">
      <c r="AI676" s="131"/>
    </row>
    <row r="677" spans="35:35">
      <c r="AI677" s="131"/>
    </row>
    <row r="678" spans="35:35">
      <c r="AI678" s="131"/>
    </row>
    <row r="679" spans="35:35">
      <c r="AI679" s="131"/>
    </row>
    <row r="680" spans="35:35">
      <c r="AI680" s="131"/>
    </row>
    <row r="681" spans="35:35">
      <c r="AI681" s="131"/>
    </row>
    <row r="682" spans="35:35">
      <c r="AI682" s="131"/>
    </row>
    <row r="683" spans="35:35">
      <c r="AI683" s="131"/>
    </row>
    <row r="684" spans="35:35">
      <c r="AI684" s="131"/>
    </row>
    <row r="685" spans="35:35">
      <c r="AI685" s="284"/>
    </row>
    <row r="686" spans="35:35">
      <c r="AI686" s="131"/>
    </row>
    <row r="687" spans="35:35">
      <c r="AI687" s="131"/>
    </row>
    <row r="688" spans="35:35">
      <c r="AI688" s="131"/>
    </row>
    <row r="689" spans="35:35">
      <c r="AI689" s="131"/>
    </row>
    <row r="690" spans="35:35">
      <c r="AI690" s="131"/>
    </row>
    <row r="691" spans="35:35">
      <c r="AI691" s="131"/>
    </row>
    <row r="692" spans="35:35">
      <c r="AI692" s="131"/>
    </row>
    <row r="693" spans="35:35">
      <c r="AI693" s="131"/>
    </row>
    <row r="694" spans="35:35">
      <c r="AI694" s="131"/>
    </row>
    <row r="695" spans="35:35">
      <c r="AI695" s="131"/>
    </row>
    <row r="696" spans="35:35">
      <c r="AI696" s="131"/>
    </row>
    <row r="697" spans="35:35">
      <c r="AI697" s="131"/>
    </row>
    <row r="698" spans="35:35">
      <c r="AI698" s="131"/>
    </row>
    <row r="699" spans="35:35">
      <c r="AI699" s="131"/>
    </row>
    <row r="700" spans="35:35">
      <c r="AI700" s="131"/>
    </row>
    <row r="701" spans="35:35">
      <c r="AI701" s="131"/>
    </row>
    <row r="702" spans="35:35">
      <c r="AI702" s="131"/>
    </row>
    <row r="703" spans="35:35">
      <c r="AI703" s="131"/>
    </row>
    <row r="704" spans="35:35">
      <c r="AI704" s="131"/>
    </row>
    <row r="705" spans="35:35">
      <c r="AI705" s="131"/>
    </row>
    <row r="706" spans="35:35">
      <c r="AI706" s="131"/>
    </row>
    <row r="707" spans="35:35">
      <c r="AI707" s="131"/>
    </row>
    <row r="708" spans="35:35">
      <c r="AI708" s="131"/>
    </row>
    <row r="709" spans="35:35">
      <c r="AI709" s="131"/>
    </row>
    <row r="710" spans="35:35">
      <c r="AI710" s="131"/>
    </row>
    <row r="711" spans="35:35">
      <c r="AI711" s="131"/>
    </row>
    <row r="712" spans="35:35">
      <c r="AI712" s="131"/>
    </row>
    <row r="713" spans="35:35">
      <c r="AI713" s="131"/>
    </row>
    <row r="714" spans="35:35">
      <c r="AI714" s="131"/>
    </row>
    <row r="715" spans="35:35">
      <c r="AI715" s="131"/>
    </row>
    <row r="716" spans="35:35">
      <c r="AI716" s="131"/>
    </row>
    <row r="717" spans="35:35">
      <c r="AI717" s="131"/>
    </row>
    <row r="718" spans="35:35">
      <c r="AI718" s="131"/>
    </row>
    <row r="719" spans="35:35">
      <c r="AI719" s="131"/>
    </row>
    <row r="720" spans="35:35">
      <c r="AI720" s="131"/>
    </row>
    <row r="721" spans="35:35">
      <c r="AI721" s="131"/>
    </row>
    <row r="722" spans="35:35">
      <c r="AI722" s="131"/>
    </row>
    <row r="723" spans="35:35">
      <c r="AI723" s="131"/>
    </row>
    <row r="724" spans="35:35">
      <c r="AI724" s="131"/>
    </row>
    <row r="725" spans="35:35">
      <c r="AI725" s="131"/>
    </row>
    <row r="726" spans="35:35">
      <c r="AI726" s="131"/>
    </row>
    <row r="727" spans="35:35">
      <c r="AI727" s="131"/>
    </row>
    <row r="728" spans="35:35">
      <c r="AI728" s="131"/>
    </row>
    <row r="729" spans="35:35">
      <c r="AI729" s="131"/>
    </row>
    <row r="730" spans="35:35">
      <c r="AI730" s="131"/>
    </row>
    <row r="731" spans="35:35">
      <c r="AI731" s="131"/>
    </row>
    <row r="732" spans="35:35">
      <c r="AI732" s="131"/>
    </row>
    <row r="733" spans="35:35">
      <c r="AI733" s="131"/>
    </row>
    <row r="734" spans="35:35">
      <c r="AI734" s="131"/>
    </row>
    <row r="735" spans="35:35">
      <c r="AI735" s="131"/>
    </row>
    <row r="736" spans="35:35">
      <c r="AI736" s="131"/>
    </row>
    <row r="737" spans="35:35">
      <c r="AI737" s="131"/>
    </row>
    <row r="738" spans="35:35">
      <c r="AI738" s="131"/>
    </row>
    <row r="739" spans="35:35">
      <c r="AI739" s="131"/>
    </row>
    <row r="740" spans="35:35">
      <c r="AI740" s="131"/>
    </row>
    <row r="741" spans="35:35">
      <c r="AI741" s="131"/>
    </row>
    <row r="742" spans="35:35">
      <c r="AI742" s="131"/>
    </row>
    <row r="743" spans="35:35">
      <c r="AI743" s="284"/>
    </row>
    <row r="744" spans="35:35">
      <c r="AI744" s="131"/>
    </row>
    <row r="745" spans="35:35">
      <c r="AI745" s="131"/>
    </row>
    <row r="746" spans="35:35">
      <c r="AI746" s="131"/>
    </row>
    <row r="747" spans="35:35">
      <c r="AI747" s="131"/>
    </row>
    <row r="748" spans="35:35">
      <c r="AI748" s="131"/>
    </row>
    <row r="749" spans="35:35">
      <c r="AI749" s="131"/>
    </row>
    <row r="750" spans="35:35">
      <c r="AI750" s="131"/>
    </row>
    <row r="751" spans="35:35">
      <c r="AI751" s="131"/>
    </row>
    <row r="752" spans="35:35">
      <c r="AI752" s="131"/>
    </row>
    <row r="753" spans="35:35">
      <c r="AI753" s="131"/>
    </row>
    <row r="754" spans="35:35">
      <c r="AI754" s="131"/>
    </row>
    <row r="755" spans="35:35">
      <c r="AI755" s="131"/>
    </row>
    <row r="756" spans="35:35">
      <c r="AI756" s="131"/>
    </row>
    <row r="757" spans="35:35">
      <c r="AI757" s="131"/>
    </row>
    <row r="758" spans="35:35">
      <c r="AI758" s="131"/>
    </row>
    <row r="759" spans="35:35">
      <c r="AI759" s="131"/>
    </row>
    <row r="760" spans="35:35">
      <c r="AI760" s="131"/>
    </row>
    <row r="761" spans="35:35">
      <c r="AI761" s="131"/>
    </row>
    <row r="762" spans="35:35">
      <c r="AI762" s="131"/>
    </row>
    <row r="763" spans="35:35">
      <c r="AI763" s="131"/>
    </row>
    <row r="764" spans="35:35">
      <c r="AI764" s="131"/>
    </row>
    <row r="765" spans="35:35">
      <c r="AI765" s="131"/>
    </row>
    <row r="766" spans="35:35">
      <c r="AI766" s="131"/>
    </row>
    <row r="767" spans="35:35">
      <c r="AI767" s="131"/>
    </row>
    <row r="768" spans="35:35">
      <c r="AI768" s="131"/>
    </row>
    <row r="769" spans="35:35">
      <c r="AI769" s="131"/>
    </row>
    <row r="770" spans="35:35">
      <c r="AI770" s="131"/>
    </row>
    <row r="771" spans="35:35">
      <c r="AI771" s="131"/>
    </row>
    <row r="772" spans="35:35">
      <c r="AI772" s="131"/>
    </row>
    <row r="773" spans="35:35">
      <c r="AI773" s="131"/>
    </row>
    <row r="774" spans="35:35">
      <c r="AI774" s="131"/>
    </row>
    <row r="775" spans="35:35">
      <c r="AI775" s="131"/>
    </row>
    <row r="776" spans="35:35">
      <c r="AI776" s="131"/>
    </row>
    <row r="777" spans="35:35">
      <c r="AI777" s="131"/>
    </row>
    <row r="778" spans="35:35">
      <c r="AI778" s="131"/>
    </row>
    <row r="779" spans="35:35">
      <c r="AI779" s="131"/>
    </row>
    <row r="780" spans="35:35">
      <c r="AI780" s="131"/>
    </row>
    <row r="781" spans="35:35">
      <c r="AI781" s="131"/>
    </row>
    <row r="782" spans="35:35">
      <c r="AI782" s="131"/>
    </row>
    <row r="783" spans="35:35">
      <c r="AI783" s="131"/>
    </row>
    <row r="784" spans="35:35">
      <c r="AI784" s="131"/>
    </row>
    <row r="785" spans="35:35">
      <c r="AI785" s="131"/>
    </row>
    <row r="786" spans="35:35">
      <c r="AI786" s="131"/>
    </row>
    <row r="787" spans="35:35">
      <c r="AI787" s="131"/>
    </row>
    <row r="788" spans="35:35">
      <c r="AI788" s="131"/>
    </row>
    <row r="789" spans="35:35">
      <c r="AI789" s="131"/>
    </row>
    <row r="790" spans="35:35">
      <c r="AI790" s="131"/>
    </row>
    <row r="791" spans="35:35">
      <c r="AI791" s="131"/>
    </row>
    <row r="792" spans="35:35">
      <c r="AI792" s="131"/>
    </row>
    <row r="793" spans="35:35">
      <c r="AI793" s="131"/>
    </row>
    <row r="794" spans="35:35">
      <c r="AI794" s="131"/>
    </row>
    <row r="795" spans="35:35">
      <c r="AI795" s="131"/>
    </row>
    <row r="796" spans="35:35">
      <c r="AI796" s="131"/>
    </row>
    <row r="797" spans="35:35">
      <c r="AI797" s="131"/>
    </row>
    <row r="798" spans="35:35">
      <c r="AI798" s="131"/>
    </row>
    <row r="799" spans="35:35">
      <c r="AI799" s="131"/>
    </row>
    <row r="800" spans="35:35">
      <c r="AI800" s="284"/>
    </row>
    <row r="801" spans="35:35">
      <c r="AI801" s="131"/>
    </row>
    <row r="802" spans="35:35">
      <c r="AI802" s="131"/>
    </row>
    <row r="803" spans="35:35">
      <c r="AI803" s="131"/>
    </row>
    <row r="804" spans="35:35">
      <c r="AI804" s="131"/>
    </row>
    <row r="805" spans="35:35">
      <c r="AI805" s="131"/>
    </row>
    <row r="806" spans="35:35">
      <c r="AI806" s="131"/>
    </row>
    <row r="807" spans="35:35">
      <c r="AI807" s="131"/>
    </row>
    <row r="808" spans="35:35">
      <c r="AI808" s="131"/>
    </row>
    <row r="809" spans="35:35">
      <c r="AI809" s="131"/>
    </row>
    <row r="810" spans="35:35">
      <c r="AI810" s="131"/>
    </row>
    <row r="811" spans="35:35">
      <c r="AI811" s="131"/>
    </row>
    <row r="812" spans="35:35">
      <c r="AI812" s="131"/>
    </row>
    <row r="813" spans="35:35">
      <c r="AI813" s="131"/>
    </row>
    <row r="814" spans="35:35">
      <c r="AI814" s="131"/>
    </row>
    <row r="815" spans="35:35">
      <c r="AI815" s="131"/>
    </row>
    <row r="816" spans="35:35">
      <c r="AI816" s="131"/>
    </row>
    <row r="817" spans="35:35">
      <c r="AI817" s="131"/>
    </row>
    <row r="818" spans="35:35">
      <c r="AI818" s="131"/>
    </row>
    <row r="819" spans="35:35">
      <c r="AI819" s="131"/>
    </row>
    <row r="820" spans="35:35">
      <c r="AI820" s="131"/>
    </row>
    <row r="821" spans="35:35">
      <c r="AI821" s="131"/>
    </row>
    <row r="822" spans="35:35">
      <c r="AI822" s="131"/>
    </row>
    <row r="823" spans="35:35">
      <c r="AI823" s="131"/>
    </row>
    <row r="824" spans="35:35">
      <c r="AI824" s="131"/>
    </row>
    <row r="825" spans="35:35">
      <c r="AI825" s="131"/>
    </row>
    <row r="826" spans="35:35">
      <c r="AI826" s="131"/>
    </row>
    <row r="827" spans="35:35">
      <c r="AI827" s="131"/>
    </row>
    <row r="828" spans="35:35">
      <c r="AI828" s="253"/>
    </row>
    <row r="829" spans="35:35">
      <c r="AI829" s="131"/>
    </row>
    <row r="830" spans="35:35">
      <c r="AI830" s="131"/>
    </row>
    <row r="831" spans="35:35">
      <c r="AI831" s="131"/>
    </row>
    <row r="832" spans="35:35">
      <c r="AI832" s="131"/>
    </row>
    <row r="833" spans="35:35">
      <c r="AI833" s="131"/>
    </row>
    <row r="834" spans="35:35">
      <c r="AI834" s="131"/>
    </row>
    <row r="835" spans="35:35">
      <c r="AI835" s="131"/>
    </row>
    <row r="836" spans="35:35">
      <c r="AI836" s="131"/>
    </row>
    <row r="837" spans="35:35">
      <c r="AI837" s="131"/>
    </row>
    <row r="838" spans="35:35">
      <c r="AI838" s="131"/>
    </row>
    <row r="839" spans="35:35">
      <c r="AI839" s="131"/>
    </row>
    <row r="840" spans="35:35">
      <c r="AI840" s="131"/>
    </row>
    <row r="841" spans="35:35">
      <c r="AI841" s="131"/>
    </row>
    <row r="842" spans="35:35">
      <c r="AI842" s="284"/>
    </row>
    <row r="843" spans="35:35">
      <c r="AI843" s="131"/>
    </row>
    <row r="844" spans="35:35">
      <c r="AI844" s="131"/>
    </row>
    <row r="845" spans="35:35">
      <c r="AI845" s="131"/>
    </row>
    <row r="846" spans="35:35">
      <c r="AI846" s="131"/>
    </row>
    <row r="847" spans="35:35">
      <c r="AI847" s="131"/>
    </row>
    <row r="848" spans="35:35">
      <c r="AI848" s="131"/>
    </row>
    <row r="849" spans="35:35">
      <c r="AI849" s="131"/>
    </row>
    <row r="850" spans="35:35">
      <c r="AI850" s="131"/>
    </row>
    <row r="852" spans="35:35">
      <c r="AI852" s="131"/>
    </row>
    <row r="853" spans="35:35">
      <c r="AI853" s="131"/>
    </row>
    <row r="854" spans="35:35">
      <c r="AI854" s="284"/>
    </row>
    <row r="855" spans="35:35">
      <c r="AI855" s="131"/>
    </row>
    <row r="856" spans="35:35">
      <c r="AI856" s="284"/>
    </row>
    <row r="857" spans="35:35">
      <c r="AI857" s="131"/>
    </row>
    <row r="858" spans="35:35">
      <c r="AI858" s="131"/>
    </row>
    <row r="859" spans="35:35">
      <c r="AI859" s="131"/>
    </row>
    <row r="860" spans="35:35">
      <c r="AI860" s="284"/>
    </row>
    <row r="861" spans="35:35">
      <c r="AI861" s="128"/>
    </row>
    <row r="863" spans="35:35">
      <c r="AI863" s="131"/>
    </row>
    <row r="864" spans="35:35">
      <c r="AI864" s="284"/>
    </row>
    <row r="865" spans="35:35">
      <c r="AI865" s="131"/>
    </row>
    <row r="866" spans="35:35">
      <c r="AI866" s="131"/>
    </row>
    <row r="867" spans="35:35">
      <c r="AI867" s="284"/>
    </row>
    <row r="868" spans="35:35">
      <c r="AI868" s="131"/>
    </row>
    <row r="869" spans="35:35">
      <c r="AI869" s="131"/>
    </row>
    <row r="870" spans="35:35">
      <c r="AI870" s="131"/>
    </row>
    <row r="871" spans="35:35">
      <c r="AI871" s="131"/>
    </row>
    <row r="872" spans="35:35">
      <c r="AI872" s="131"/>
    </row>
    <row r="873" spans="35:35">
      <c r="AI873" s="284"/>
    </row>
    <row r="874" spans="35:35">
      <c r="AI874" s="131"/>
    </row>
    <row r="875" spans="35:35">
      <c r="AI875" s="131"/>
    </row>
    <row r="876" spans="35:35">
      <c r="AI876" s="131"/>
    </row>
    <row r="877" spans="35:35">
      <c r="AI877" s="131"/>
    </row>
    <row r="879" spans="35:35">
      <c r="AI879" s="284"/>
    </row>
    <row r="880" spans="35:35">
      <c r="AI880" s="131"/>
    </row>
    <row r="881" spans="35:35">
      <c r="AI881" s="131"/>
    </row>
    <row r="882" spans="35:35">
      <c r="AI882" s="131"/>
    </row>
    <row r="883" spans="35:35">
      <c r="AI883" s="131"/>
    </row>
    <row r="884" spans="35:35">
      <c r="AI884" s="131"/>
    </row>
    <row r="885" spans="35:35">
      <c r="AI885" s="131"/>
    </row>
    <row r="886" spans="35:35">
      <c r="AI886" s="131"/>
    </row>
    <row r="887" spans="35:35">
      <c r="AI887" s="131"/>
    </row>
    <row r="888" spans="35:35">
      <c r="AI888" s="27"/>
    </row>
    <row r="889" spans="35:35">
      <c r="AI889" s="131"/>
    </row>
    <row r="890" spans="35:35">
      <c r="AI890" s="131"/>
    </row>
    <row r="891" spans="35:35">
      <c r="AI891" s="131"/>
    </row>
    <row r="892" spans="35:35">
      <c r="AI892" s="131"/>
    </row>
    <row r="893" spans="35:35">
      <c r="AI893" s="131"/>
    </row>
    <row r="894" spans="35:35">
      <c r="AI894" s="131"/>
    </row>
    <row r="895" spans="35:35">
      <c r="AI895" s="131"/>
    </row>
    <row r="896" spans="35:35">
      <c r="AI896" s="284"/>
    </row>
    <row r="897" spans="35:35">
      <c r="AI897" s="131"/>
    </row>
    <row r="898" spans="35:35">
      <c r="AI898" s="131"/>
    </row>
    <row r="899" spans="35:35">
      <c r="AI899" s="131"/>
    </row>
    <row r="900" spans="35:35">
      <c r="AI900" s="131"/>
    </row>
    <row r="901" spans="35:35">
      <c r="AI901" s="131"/>
    </row>
    <row r="902" spans="35:35">
      <c r="AI902" s="131"/>
    </row>
    <row r="903" spans="35:35">
      <c r="AI903" s="284"/>
    </row>
    <row r="904" spans="35:35">
      <c r="AI904" s="131"/>
    </row>
    <row r="905" spans="35:35">
      <c r="AI905" s="131"/>
    </row>
    <row r="906" spans="35:35">
      <c r="AI906" s="131"/>
    </row>
    <row r="907" spans="35:35">
      <c r="AI907" s="131"/>
    </row>
    <row r="908" spans="35:35">
      <c r="AI908" s="131"/>
    </row>
    <row r="909" spans="35:35">
      <c r="AI909" s="131"/>
    </row>
    <row r="910" spans="35:35">
      <c r="AI910" s="131"/>
    </row>
    <row r="911" spans="35:35">
      <c r="AI911" s="284"/>
    </row>
    <row r="912" spans="35:35">
      <c r="AI912" s="131"/>
    </row>
    <row r="913" spans="35:35">
      <c r="AI913" s="131"/>
    </row>
    <row r="914" spans="35:35">
      <c r="AI914" s="131"/>
    </row>
    <row r="915" spans="35:35">
      <c r="AI915" s="131"/>
    </row>
    <row r="916" spans="35:35">
      <c r="AI916" s="131"/>
    </row>
    <row r="917" spans="35:35">
      <c r="AI917" s="131"/>
    </row>
    <row r="918" spans="35:35">
      <c r="AI918" s="131"/>
    </row>
    <row r="919" spans="35:35">
      <c r="AI919" s="131"/>
    </row>
    <row r="920" spans="35:35">
      <c r="AI920" s="131"/>
    </row>
    <row r="921" spans="35:35">
      <c r="AI921" s="128"/>
    </row>
    <row r="922" spans="35:35">
      <c r="AI922" s="128"/>
    </row>
    <row r="923" spans="35:35">
      <c r="AI923" s="131"/>
    </row>
    <row r="924" spans="35:35">
      <c r="AI924" s="131"/>
    </row>
    <row r="925" spans="35:35">
      <c r="AI925" s="131"/>
    </row>
    <row r="926" spans="35:35">
      <c r="AI926" s="131"/>
    </row>
    <row r="927" spans="35:35">
      <c r="AI927" s="131"/>
    </row>
    <row r="928" spans="35:35">
      <c r="AI928" s="131"/>
    </row>
    <row r="929" spans="35:35">
      <c r="AI929" s="131"/>
    </row>
    <row r="930" spans="35:35">
      <c r="AI930" s="131"/>
    </row>
    <row r="931" spans="35:35">
      <c r="AI931" s="131"/>
    </row>
    <row r="932" spans="35:35">
      <c r="AI932" s="131"/>
    </row>
    <row r="933" spans="35:35">
      <c r="AI933" s="131"/>
    </row>
    <row r="934" spans="35:35">
      <c r="AI934" s="284"/>
    </row>
    <row r="935" spans="35:35">
      <c r="AI935" s="131"/>
    </row>
    <row r="936" spans="35:35">
      <c r="AI936" s="131"/>
    </row>
    <row r="937" spans="35:35">
      <c r="AI937" s="284"/>
    </row>
    <row r="938" spans="35:35">
      <c r="AI938" s="131"/>
    </row>
    <row r="939" spans="35:35">
      <c r="AI939" s="131"/>
    </row>
    <row r="940" spans="35:35">
      <c r="AI940" s="131"/>
    </row>
    <row r="941" spans="35:35">
      <c r="AI941" s="44"/>
    </row>
    <row r="943" spans="35:35">
      <c r="AI943" s="131"/>
    </row>
    <row r="944" spans="35:35">
      <c r="AI944" s="131"/>
    </row>
    <row r="945" spans="35:35">
      <c r="AI945" s="131"/>
    </row>
    <row r="946" spans="35:35">
      <c r="AI946" s="131"/>
    </row>
    <row r="947" spans="35:35">
      <c r="AI947" s="131"/>
    </row>
    <row r="948" spans="35:35">
      <c r="AI948" s="131"/>
    </row>
    <row r="949" spans="35:35">
      <c r="AI949" s="131"/>
    </row>
    <row r="950" spans="35:35">
      <c r="AI950" s="131"/>
    </row>
    <row r="951" spans="35:35">
      <c r="AI951" s="128"/>
    </row>
    <row r="952" spans="35:35">
      <c r="AI952" s="131"/>
    </row>
    <row r="953" spans="35:35">
      <c r="AI953" s="131"/>
    </row>
    <row r="954" spans="35:35">
      <c r="AI954" s="131"/>
    </row>
    <row r="955" spans="35:35">
      <c r="AI955" s="131"/>
    </row>
    <row r="956" spans="35:35">
      <c r="AI956" s="131"/>
    </row>
    <row r="957" spans="35:35">
      <c r="AI957" s="131"/>
    </row>
    <row r="958" spans="35:35">
      <c r="AI958" s="131"/>
    </row>
    <row r="959" spans="35:35">
      <c r="AI959" s="131"/>
    </row>
    <row r="961" spans="35:35">
      <c r="AI961" s="131"/>
    </row>
    <row r="962" spans="35:35">
      <c r="AI962" s="131"/>
    </row>
    <row r="963" spans="35:35">
      <c r="AI963" s="131"/>
    </row>
    <row r="964" spans="35:35">
      <c r="AI964" s="131"/>
    </row>
    <row r="965" spans="35:35">
      <c r="AI965" s="284"/>
    </row>
    <row r="966" spans="35:35">
      <c r="AI966" s="131"/>
    </row>
    <row r="967" spans="35:35">
      <c r="AI967" s="131"/>
    </row>
    <row r="968" spans="35:35">
      <c r="AI968" s="131"/>
    </row>
    <row r="969" spans="35:35">
      <c r="AI969" s="131"/>
    </row>
    <row r="970" spans="35:35">
      <c r="AI970" s="131"/>
    </row>
    <row r="971" spans="35:35">
      <c r="AI971" s="131"/>
    </row>
    <row r="972" spans="35:35">
      <c r="AI972" s="128"/>
    </row>
    <row r="973" spans="35:35">
      <c r="AI973" s="131"/>
    </row>
    <row r="974" spans="35:35">
      <c r="AI974" s="284"/>
    </row>
    <row r="975" spans="35:35">
      <c r="AI975" s="131"/>
    </row>
    <row r="976" spans="35:35">
      <c r="AI976" s="131"/>
    </row>
    <row r="977" spans="35:35">
      <c r="AI977" s="131"/>
    </row>
    <row r="978" spans="35:35">
      <c r="AI978" s="131"/>
    </row>
    <row r="979" spans="35:35">
      <c r="AI979" s="131"/>
    </row>
    <row r="980" spans="35:35">
      <c r="AI980" s="131"/>
    </row>
    <row r="981" spans="35:35">
      <c r="AI981" s="131"/>
    </row>
    <row r="982" spans="35:35">
      <c r="AI982" s="131"/>
    </row>
    <row r="983" spans="35:35">
      <c r="AI983" s="131"/>
    </row>
    <row r="984" spans="35:35">
      <c r="AI984" s="131"/>
    </row>
    <row r="985" spans="35:35">
      <c r="AI985" s="131"/>
    </row>
    <row r="986" spans="35:35">
      <c r="AI986" s="131"/>
    </row>
    <row r="987" spans="35:35">
      <c r="AI987" s="131"/>
    </row>
    <row r="988" spans="35:35">
      <c r="AI988" s="131"/>
    </row>
    <row r="989" spans="35:35">
      <c r="AI989" s="131"/>
    </row>
    <row r="990" spans="35:35">
      <c r="AI990" s="131"/>
    </row>
    <row r="991" spans="35:35">
      <c r="AI991" s="131"/>
    </row>
    <row r="992" spans="35:35">
      <c r="AI992" s="131"/>
    </row>
    <row r="993" spans="35:35">
      <c r="AI993" s="128"/>
    </row>
    <row r="994" spans="35:35">
      <c r="AI994" s="131"/>
    </row>
    <row r="995" spans="35:35">
      <c r="AI995" s="131"/>
    </row>
    <row r="996" spans="35:35">
      <c r="AI996" s="131"/>
    </row>
    <row r="997" spans="35:35">
      <c r="AI997" s="131"/>
    </row>
    <row r="998" spans="35:35">
      <c r="AI998" s="131"/>
    </row>
    <row r="999" spans="35:35">
      <c r="AI999" s="28"/>
    </row>
    <row r="1000" spans="35:35">
      <c r="AI1000" s="128"/>
    </row>
    <row r="1001" spans="35:35">
      <c r="AI1001" s="284"/>
    </row>
    <row r="1002" spans="35:35">
      <c r="AI1002" s="284"/>
    </row>
    <row r="1003" spans="35:35">
      <c r="AI1003" s="131"/>
    </row>
    <row r="1004" spans="35:35">
      <c r="AI1004" s="128"/>
    </row>
    <row r="1005" spans="35:35">
      <c r="AI1005" s="131"/>
    </row>
    <row r="1006" spans="35:35">
      <c r="AI1006" s="131"/>
    </row>
    <row r="1007" spans="35:35">
      <c r="AI1007" s="131"/>
    </row>
    <row r="1008" spans="35:35">
      <c r="AI1008" s="44"/>
    </row>
    <row r="1009" spans="35:35">
      <c r="AI1009" s="131"/>
    </row>
    <row r="1011" spans="35:35">
      <c r="AI1011" s="131"/>
    </row>
    <row r="1012" spans="35:35">
      <c r="AI1012" s="128"/>
    </row>
    <row r="1013" spans="35:35">
      <c r="AI1013" s="131"/>
    </row>
    <row r="1014" spans="35:35">
      <c r="AI1014" s="131"/>
    </row>
    <row r="1015" spans="35:35">
      <c r="AI1015" s="128"/>
    </row>
    <row r="1016" spans="35:35">
      <c r="AI1016" s="131"/>
    </row>
    <row r="1017" spans="35:35">
      <c r="AI1017" s="131"/>
    </row>
    <row r="1018" spans="35:35">
      <c r="AI1018" s="131"/>
    </row>
    <row r="1019" spans="35:35">
      <c r="AI1019" s="131"/>
    </row>
    <row r="1020" spans="35:35">
      <c r="AI1020" s="131"/>
    </row>
    <row r="1021" spans="35:35">
      <c r="AI1021" s="131"/>
    </row>
    <row r="1022" spans="35:35">
      <c r="AI1022" s="131"/>
    </row>
    <row r="1023" spans="35:35">
      <c r="AI1023" s="131"/>
    </row>
    <row r="1024" spans="35:35">
      <c r="AI1024" s="131"/>
    </row>
    <row r="1025" spans="35:36">
      <c r="AI1025" s="131"/>
    </row>
    <row r="1026" spans="35:36">
      <c r="AI1026" s="284"/>
    </row>
    <row r="1027" spans="35:36">
      <c r="AI1027" s="131"/>
    </row>
    <row r="1028" spans="35:36">
      <c r="AI1028" s="131"/>
    </row>
    <row r="1029" spans="35:36">
      <c r="AI1029" s="131"/>
    </row>
    <row r="1030" spans="35:36">
      <c r="AI1030" s="131"/>
    </row>
    <row r="1031" spans="35:36">
      <c r="AI1031" s="131"/>
      <c r="AJ1031" s="264" t="s">
        <v>5277</v>
      </c>
    </row>
    <row r="1032" spans="35:36">
      <c r="AI1032" s="131"/>
    </row>
    <row r="1033" spans="35:36">
      <c r="AI1033" s="128"/>
    </row>
    <row r="1034" spans="35:36">
      <c r="AI1034" s="131"/>
    </row>
    <row r="1035" spans="35:36">
      <c r="AI1035" s="131"/>
    </row>
    <row r="1036" spans="35:36">
      <c r="AI1036" s="131"/>
    </row>
    <row r="1037" spans="35:36">
      <c r="AI1037" s="131"/>
    </row>
    <row r="1038" spans="35:36">
      <c r="AI1038" s="284"/>
    </row>
    <row r="1040" spans="35:36">
      <c r="AI1040" s="131"/>
    </row>
    <row r="1041" spans="35:35">
      <c r="AI1041" s="131"/>
    </row>
    <row r="1042" spans="35:35">
      <c r="AI1042" s="131"/>
    </row>
    <row r="1043" spans="35:35">
      <c r="AI1043" s="28"/>
    </row>
    <row r="1044" spans="35:35">
      <c r="AI1044" s="131"/>
    </row>
    <row r="1045" spans="35:35">
      <c r="AI1045" s="284"/>
    </row>
    <row r="1046" spans="35:35">
      <c r="AI1046" s="128"/>
    </row>
    <row r="1047" spans="35:35">
      <c r="AI1047" s="131"/>
    </row>
    <row r="1048" spans="35:35">
      <c r="AI1048" s="131"/>
    </row>
    <row r="1049" spans="35:35">
      <c r="AI1049" s="131"/>
    </row>
    <row r="1050" spans="35:35">
      <c r="AI1050" s="131"/>
    </row>
    <row r="1051" spans="35:35">
      <c r="AI1051" s="131"/>
    </row>
    <row r="1052" spans="35:35">
      <c r="AI1052" s="131"/>
    </row>
    <row r="1053" spans="35:35">
      <c r="AI1053" s="131"/>
    </row>
    <row r="1054" spans="35:35">
      <c r="AI1054" s="131"/>
    </row>
    <row r="1055" spans="35:35">
      <c r="AI1055" s="131"/>
    </row>
    <row r="1056" spans="35:35">
      <c r="AI1056" s="131"/>
    </row>
    <row r="1057" spans="35:35">
      <c r="AI1057" s="131"/>
    </row>
    <row r="1058" spans="35:35">
      <c r="AI1058" s="131"/>
    </row>
    <row r="1059" spans="35:35">
      <c r="AI1059" s="131"/>
    </row>
    <row r="1060" spans="35:35">
      <c r="AI1060" s="284"/>
    </row>
    <row r="1062" spans="35:35">
      <c r="AI1062" s="131"/>
    </row>
    <row r="1063" spans="35:35">
      <c r="AI1063" s="131"/>
    </row>
    <row r="1064" spans="35:35">
      <c r="AI1064" s="131"/>
    </row>
    <row r="1065" spans="35:35">
      <c r="AI1065" s="131"/>
    </row>
    <row r="1066" spans="35:35">
      <c r="AI1066" s="131"/>
    </row>
    <row r="1067" spans="35:35">
      <c r="AI1067" s="131"/>
    </row>
    <row r="1068" spans="35:35">
      <c r="AI1068" s="131"/>
    </row>
    <row r="1069" spans="35:35">
      <c r="AI1069" s="131"/>
    </row>
    <row r="1070" spans="35:35">
      <c r="AI1070" s="131"/>
    </row>
    <row r="1071" spans="35:35">
      <c r="AI1071" s="131"/>
    </row>
    <row r="1072" spans="35:35">
      <c r="AI1072" s="131"/>
    </row>
    <row r="1073" spans="35:35">
      <c r="AI1073" s="131"/>
    </row>
    <row r="1074" spans="35:35">
      <c r="AI1074" s="131"/>
    </row>
    <row r="1075" spans="35:35">
      <c r="AI1075" s="131"/>
    </row>
    <row r="1077" spans="35:35">
      <c r="AI1077" s="131"/>
    </row>
    <row r="1078" spans="35:35">
      <c r="AI1078" s="128"/>
    </row>
    <row r="1079" spans="35:35">
      <c r="AI1079" s="131"/>
    </row>
    <row r="1080" spans="35:35">
      <c r="AI1080" s="131"/>
    </row>
    <row r="1081" spans="35:35">
      <c r="AI1081" s="131"/>
    </row>
    <row r="1082" spans="35:35">
      <c r="AI1082" s="131"/>
    </row>
    <row r="1083" spans="35:35">
      <c r="AI1083" s="131"/>
    </row>
    <row r="1084" spans="35:35">
      <c r="AI1084" s="131"/>
    </row>
    <row r="1086" spans="35:35">
      <c r="AI1086" s="131"/>
    </row>
    <row r="1087" spans="35:35">
      <c r="AI1087" s="131"/>
    </row>
    <row r="1088" spans="35:35">
      <c r="AI1088" s="131"/>
    </row>
    <row r="1089" spans="35:35">
      <c r="AI1089" s="131"/>
    </row>
    <row r="1090" spans="35:35">
      <c r="AI1090" s="131"/>
    </row>
    <row r="1091" spans="35:35">
      <c r="AI1091" s="131"/>
    </row>
    <row r="1092" spans="35:35">
      <c r="AI1092" s="131"/>
    </row>
    <row r="1093" spans="35:35">
      <c r="AI1093" s="131"/>
    </row>
    <row r="1094" spans="35:35">
      <c r="AI1094" s="131"/>
    </row>
    <row r="1095" spans="35:35">
      <c r="AI1095" s="128"/>
    </row>
    <row r="1096" spans="35:35">
      <c r="AI1096" s="131"/>
    </row>
    <row r="1097" spans="35:35">
      <c r="AI1097" s="131"/>
    </row>
    <row r="1098" spans="35:35">
      <c r="AI1098" s="131"/>
    </row>
    <row r="1100" spans="35:35">
      <c r="AI1100" s="131"/>
    </row>
    <row r="1101" spans="35:35">
      <c r="AI1101" s="131"/>
    </row>
    <row r="1102" spans="35:35">
      <c r="AI1102" s="284"/>
    </row>
    <row r="1103" spans="35:35">
      <c r="AI1103" s="131"/>
    </row>
    <row r="1104" spans="35:35">
      <c r="AI1104" s="284"/>
    </row>
    <row r="1105" spans="35:35">
      <c r="AI1105" s="131"/>
    </row>
    <row r="1106" spans="35:35">
      <c r="AI1106" s="131"/>
    </row>
    <row r="1107" spans="35:35">
      <c r="AI1107" s="131"/>
    </row>
    <row r="1108" spans="35:35">
      <c r="AI1108" s="284"/>
    </row>
    <row r="1109" spans="35:35">
      <c r="AI1109" s="284"/>
    </row>
    <row r="1110" spans="35:35">
      <c r="AI1110" s="131"/>
    </row>
    <row r="1111" spans="35:35">
      <c r="AI1111" s="131"/>
    </row>
    <row r="1112" spans="35:35">
      <c r="AI1112" s="131"/>
    </row>
    <row r="1113" spans="35:35">
      <c r="AI1113" s="131"/>
    </row>
    <row r="1114" spans="35:35">
      <c r="AI1114" s="284"/>
    </row>
    <row r="1115" spans="35:35">
      <c r="AI1115" s="131"/>
    </row>
    <row r="1116" spans="35:35">
      <c r="AI1116" s="284"/>
    </row>
    <row r="1117" spans="35:35">
      <c r="AI1117" s="131"/>
    </row>
    <row r="1118" spans="35:35">
      <c r="AI1118" s="284"/>
    </row>
    <row r="1119" spans="35:35">
      <c r="AI1119" s="131"/>
    </row>
    <row r="1120" spans="35:35">
      <c r="AI1120" s="131"/>
    </row>
    <row r="1121" spans="35:35">
      <c r="AI1121" s="131"/>
    </row>
    <row r="1122" spans="35:35">
      <c r="AI1122" s="131"/>
    </row>
    <row r="1123" spans="35:35">
      <c r="AI1123" s="131"/>
    </row>
    <row r="1124" spans="35:35">
      <c r="AI1124" s="131"/>
    </row>
    <row r="1125" spans="35:35">
      <c r="AI1125" s="131"/>
    </row>
    <row r="1126" spans="35:35">
      <c r="AI1126" s="131"/>
    </row>
    <row r="1127" spans="35:35">
      <c r="AI1127" s="131"/>
    </row>
    <row r="1128" spans="35:35">
      <c r="AI1128" s="131"/>
    </row>
    <row r="1129" spans="35:35">
      <c r="AI1129" s="131"/>
    </row>
    <row r="1130" spans="35:35">
      <c r="AI1130" s="131"/>
    </row>
    <row r="1131" spans="35:35">
      <c r="AI1131" s="131"/>
    </row>
    <row r="1132" spans="35:35">
      <c r="AI1132" s="131"/>
    </row>
    <row r="1133" spans="35:35">
      <c r="AI1133" s="131"/>
    </row>
    <row r="1134" spans="35:35">
      <c r="AI1134" s="131"/>
    </row>
    <row r="1135" spans="35:35">
      <c r="AI1135" s="284"/>
    </row>
    <row r="1136" spans="35:35">
      <c r="AI1136" s="131"/>
    </row>
    <row r="1137" spans="35:35">
      <c r="AI1137" s="131"/>
    </row>
    <row r="1138" spans="35:35">
      <c r="AI1138" s="131"/>
    </row>
    <row r="1139" spans="35:35">
      <c r="AI1139" s="131"/>
    </row>
    <row r="1140" spans="35:35">
      <c r="AI1140" s="131"/>
    </row>
    <row r="1141" spans="35:35">
      <c r="AI1141" s="131"/>
    </row>
    <row r="1142" spans="35:35">
      <c r="AI1142" s="131"/>
    </row>
    <row r="1143" spans="35:35">
      <c r="AI1143" s="284"/>
    </row>
    <row r="1144" spans="35:35">
      <c r="AI1144" s="131"/>
    </row>
    <row r="1145" spans="35:35">
      <c r="AI1145" s="131"/>
    </row>
    <row r="1146" spans="35:35">
      <c r="AI1146" s="131"/>
    </row>
    <row r="1147" spans="35:35">
      <c r="AI1147" s="131"/>
    </row>
    <row r="1148" spans="35:35">
      <c r="AI1148" s="131"/>
    </row>
    <row r="1149" spans="35:35">
      <c r="AI1149" s="131"/>
    </row>
    <row r="1150" spans="35:35">
      <c r="AI1150" s="131"/>
    </row>
    <row r="1151" spans="35:35">
      <c r="AI1151" s="131"/>
    </row>
    <row r="1152" spans="35:35">
      <c r="AI1152" s="131"/>
    </row>
    <row r="1153" spans="35:35">
      <c r="AI1153" s="131"/>
    </row>
    <row r="1154" spans="35:35">
      <c r="AI1154" s="128"/>
    </row>
    <row r="1155" spans="35:35">
      <c r="AI1155" s="131"/>
    </row>
    <row r="1156" spans="35:35">
      <c r="AI1156" s="131"/>
    </row>
    <row r="1157" spans="35:35">
      <c r="AI1157" s="284"/>
    </row>
    <row r="1158" spans="35:35">
      <c r="AI1158" s="131"/>
    </row>
    <row r="1159" spans="35:35">
      <c r="AI1159" s="131"/>
    </row>
    <row r="1160" spans="35:35">
      <c r="AI1160" s="131"/>
    </row>
    <row r="1161" spans="35:35">
      <c r="AI1161" s="131"/>
    </row>
    <row r="1162" spans="35:35">
      <c r="AI1162" s="131"/>
    </row>
    <row r="1163" spans="35:35">
      <c r="AI1163" s="131"/>
    </row>
    <row r="1164" spans="35:35">
      <c r="AI1164" s="131"/>
    </row>
    <row r="1165" spans="35:35">
      <c r="AI1165" s="284"/>
    </row>
    <row r="1166" spans="35:35">
      <c r="AI1166" s="284"/>
    </row>
    <row r="1167" spans="35:35">
      <c r="AI1167" s="131"/>
    </row>
    <row r="1168" spans="35:35">
      <c r="AI1168" s="284"/>
    </row>
    <row r="1169" spans="35:35">
      <c r="AI1169" s="131"/>
    </row>
    <row r="1170" spans="35:35">
      <c r="AI1170" s="131"/>
    </row>
    <row r="1171" spans="35:35">
      <c r="AI1171" s="131"/>
    </row>
    <row r="1172" spans="35:35">
      <c r="AI1172" s="131"/>
    </row>
    <row r="1173" spans="35:35">
      <c r="AI1173" s="131"/>
    </row>
    <row r="1174" spans="35:35">
      <c r="AI1174" s="131"/>
    </row>
    <row r="1175" spans="35:35">
      <c r="AI1175" s="131"/>
    </row>
    <row r="1176" spans="35:35">
      <c r="AI1176" s="284"/>
    </row>
    <row r="1177" spans="35:35">
      <c r="AI1177" s="131"/>
    </row>
    <row r="1178" spans="35:35">
      <c r="AI1178" s="131"/>
    </row>
    <row r="1179" spans="35:35">
      <c r="AI1179" s="131"/>
    </row>
    <row r="1180" spans="35:35">
      <c r="AI1180" s="131"/>
    </row>
    <row r="1181" spans="35:35">
      <c r="AI1181" s="131"/>
    </row>
    <row r="1182" spans="35:35">
      <c r="AI1182" s="131"/>
    </row>
    <row r="1183" spans="35:35">
      <c r="AI1183" s="131"/>
    </row>
    <row r="1184" spans="35:35">
      <c r="AI1184" s="131"/>
    </row>
    <row r="1185" spans="35:35">
      <c r="AI1185" s="131"/>
    </row>
    <row r="1186" spans="35:35">
      <c r="AI1186" s="131"/>
    </row>
    <row r="1187" spans="35:35">
      <c r="AI1187" s="131"/>
    </row>
    <row r="1188" spans="35:35">
      <c r="AI1188" s="132"/>
    </row>
    <row r="1189" spans="35:35">
      <c r="AI1189" s="131"/>
    </row>
    <row r="1190" spans="35:35">
      <c r="AI1190" s="131"/>
    </row>
    <row r="1191" spans="35:35">
      <c r="AI1191" s="131"/>
    </row>
    <row r="1192" spans="35:35">
      <c r="AI1192" s="131"/>
    </row>
    <row r="1193" spans="35:35">
      <c r="AI1193" s="131"/>
    </row>
    <row r="1194" spans="35:35">
      <c r="AI1194" s="131"/>
    </row>
    <row r="1195" spans="35:35">
      <c r="AI1195" s="131"/>
    </row>
    <row r="1196" spans="35:35">
      <c r="AI1196" s="284"/>
    </row>
    <row r="1197" spans="35:35">
      <c r="AI1197" s="131"/>
    </row>
    <row r="1198" spans="35:35">
      <c r="AI1198" s="131"/>
    </row>
    <row r="1199" spans="35:35">
      <c r="AI1199" s="131"/>
    </row>
    <row r="1200" spans="35:35">
      <c r="AI1200" s="131"/>
    </row>
    <row r="1201" spans="35:35">
      <c r="AI1201" s="131"/>
    </row>
    <row r="1202" spans="35:35">
      <c r="AI1202" s="131"/>
    </row>
    <row r="1203" spans="35:35">
      <c r="AI1203" s="131"/>
    </row>
    <row r="1204" spans="35:35">
      <c r="AI1204" s="131"/>
    </row>
    <row r="1205" spans="35:35">
      <c r="AI1205" s="131"/>
    </row>
    <row r="1206" spans="35:35">
      <c r="AI1206" s="131"/>
    </row>
    <row r="1207" spans="35:35">
      <c r="AI1207" s="131"/>
    </row>
    <row r="1208" spans="35:35">
      <c r="AI1208" s="131"/>
    </row>
    <row r="1209" spans="35:35">
      <c r="AI1209" s="131"/>
    </row>
    <row r="1210" spans="35:35">
      <c r="AI1210" s="131"/>
    </row>
    <row r="1211" spans="35:35">
      <c r="AI1211" s="284"/>
    </row>
    <row r="1212" spans="35:35">
      <c r="AI1212" s="284"/>
    </row>
    <row r="1213" spans="35:35">
      <c r="AI1213" s="131"/>
    </row>
    <row r="1214" spans="35:35">
      <c r="AI1214" s="131"/>
    </row>
    <row r="1215" spans="35:35">
      <c r="AI1215" s="131"/>
    </row>
    <row r="1216" spans="35:35">
      <c r="AI1216" s="131"/>
    </row>
    <row r="1217" spans="35:35">
      <c r="AI1217" s="131"/>
    </row>
    <row r="1218" spans="35:35">
      <c r="AI1218" s="131"/>
    </row>
    <row r="1219" spans="35:35">
      <c r="AI1219" s="131"/>
    </row>
    <row r="1220" spans="35:35">
      <c r="AI1220" s="131"/>
    </row>
    <row r="1221" spans="35:35">
      <c r="AI1221" s="131"/>
    </row>
    <row r="1222" spans="35:35">
      <c r="AI1222" s="284"/>
    </row>
    <row r="1223" spans="35:35">
      <c r="AI1223" s="131"/>
    </row>
    <row r="1224" spans="35:35">
      <c r="AI1224" s="131"/>
    </row>
    <row r="1225" spans="35:35">
      <c r="AI1225" s="131"/>
    </row>
    <row r="1226" spans="35:35">
      <c r="AI1226" s="131"/>
    </row>
    <row r="1227" spans="35:35">
      <c r="AI1227" s="131"/>
    </row>
    <row r="1228" spans="35:35">
      <c r="AI1228" s="131"/>
    </row>
    <row r="1229" spans="35:35">
      <c r="AI1229" s="128"/>
    </row>
    <row r="1230" spans="35:35">
      <c r="AI1230" s="131"/>
    </row>
    <row r="1232" spans="35:35">
      <c r="AI1232" s="131"/>
    </row>
    <row r="1233" spans="35:35">
      <c r="AI1233" s="284"/>
    </row>
    <row r="1234" spans="35:35">
      <c r="AI1234" s="131"/>
    </row>
    <row r="1235" spans="35:35">
      <c r="AI1235" s="131"/>
    </row>
    <row r="1236" spans="35:35">
      <c r="AI1236" s="131"/>
    </row>
    <row r="1237" spans="35:35">
      <c r="AI1237" s="131"/>
    </row>
    <row r="1238" spans="35:35">
      <c r="AI1238" s="131"/>
    </row>
    <row r="1239" spans="35:35">
      <c r="AI1239" s="131"/>
    </row>
    <row r="1240" spans="35:35">
      <c r="AI1240" s="131"/>
    </row>
    <row r="1241" spans="35:35">
      <c r="AI1241" s="131"/>
    </row>
    <row r="1242" spans="35:35">
      <c r="AI1242" s="131"/>
    </row>
    <row r="1243" spans="35:35">
      <c r="AI1243" s="131"/>
    </row>
    <row r="1244" spans="35:35">
      <c r="AI1244" s="131"/>
    </row>
    <row r="1245" spans="35:35">
      <c r="AI1245" s="131"/>
    </row>
    <row r="1246" spans="35:35">
      <c r="AI1246" s="131"/>
    </row>
    <row r="1247" spans="35:35">
      <c r="AI1247" s="131"/>
    </row>
    <row r="1248" spans="35:35">
      <c r="AI1248" s="131"/>
    </row>
    <row r="1249" spans="35:35">
      <c r="AI1249" s="131"/>
    </row>
    <row r="1250" spans="35:35">
      <c r="AI1250" s="131"/>
    </row>
    <row r="1251" spans="35:35">
      <c r="AI1251" s="131"/>
    </row>
    <row r="1252" spans="35:35">
      <c r="AI1252" s="131"/>
    </row>
    <row r="1253" spans="35:35">
      <c r="AI1253" s="131"/>
    </row>
    <row r="1254" spans="35:35">
      <c r="AI1254" s="131"/>
    </row>
    <row r="1255" spans="35:35">
      <c r="AI1255" s="131"/>
    </row>
    <row r="1256" spans="35:35">
      <c r="AI1256" s="131"/>
    </row>
    <row r="1258" spans="35:35">
      <c r="AI1258" s="131"/>
    </row>
    <row r="1259" spans="35:35">
      <c r="AI1259" s="131"/>
    </row>
    <row r="1260" spans="35:35">
      <c r="AI1260" s="131"/>
    </row>
    <row r="1261" spans="35:35">
      <c r="AI1261" s="131"/>
    </row>
    <row r="1262" spans="35:35">
      <c r="AI1262" s="131"/>
    </row>
    <row r="1263" spans="35:35">
      <c r="AI1263" s="131"/>
    </row>
    <row r="1264" spans="35:35">
      <c r="AI1264" s="131"/>
    </row>
    <row r="1265" spans="1:35">
      <c r="AI1265" s="131"/>
    </row>
    <row r="1266" spans="1:35">
      <c r="AI1266" s="52"/>
    </row>
    <row r="1267" spans="1:35">
      <c r="AI1267" s="131"/>
    </row>
    <row r="1268" spans="1:35">
      <c r="AI1268" s="131"/>
    </row>
    <row r="1269" spans="1:35">
      <c r="AI1269" s="131"/>
    </row>
    <row r="1270" spans="1:35">
      <c r="AI1270" s="131"/>
    </row>
    <row r="1271" spans="1:35">
      <c r="AI1271" s="131"/>
    </row>
    <row r="1272" spans="1:35">
      <c r="AI1272" s="131"/>
    </row>
    <row r="1273" spans="1:35">
      <c r="AI1273" s="131"/>
    </row>
    <row r="1274" spans="1:35">
      <c r="AI1274" s="131"/>
    </row>
    <row r="1275" spans="1:35">
      <c r="AI1275" s="131"/>
    </row>
    <row r="1276" spans="1:35" ht="26.4">
      <c r="A1276" s="284"/>
      <c r="B1276" s="284"/>
      <c r="C1276" s="284"/>
      <c r="D1276" s="284"/>
      <c r="E1276" s="284"/>
      <c r="F1276" s="284"/>
      <c r="H1276" s="284"/>
      <c r="I1276" s="284"/>
      <c r="J1276" s="375"/>
      <c r="K1276" s="375"/>
      <c r="L1276" s="375"/>
      <c r="M1276" s="368"/>
      <c r="N1276" s="368"/>
      <c r="T1276" s="349"/>
      <c r="V1276" s="378"/>
      <c r="W1276" s="64" ph="1"/>
      <c r="X1276" s="241"/>
      <c r="AA1276" s="284"/>
      <c r="AB1276" s="284"/>
      <c r="AC1276" s="284"/>
      <c r="AD1276" s="284"/>
      <c r="AE1276" s="284"/>
      <c r="AF1276" s="284"/>
      <c r="AG1276" s="8"/>
      <c r="AI1276" s="131"/>
    </row>
    <row r="1277" spans="1:35">
      <c r="A1277" s="284"/>
      <c r="Y1277" s="284"/>
      <c r="Z1277" s="207"/>
      <c r="AI1277" s="284"/>
    </row>
    <row r="1278" spans="1:35">
      <c r="AI1278" s="27"/>
    </row>
    <row r="1279" spans="1:35">
      <c r="AI1279" s="284"/>
    </row>
    <row r="1280" spans="1:35">
      <c r="AI1280" s="131"/>
    </row>
    <row r="1281" spans="1:35">
      <c r="AI1281" s="131"/>
    </row>
    <row r="1282" spans="1:35">
      <c r="AI1282" s="131"/>
    </row>
    <row r="1283" spans="1:35">
      <c r="A1283" s="284"/>
      <c r="G1283" s="284"/>
      <c r="AI1283" s="131"/>
    </row>
    <row r="1284" spans="1:35">
      <c r="AI1284" s="131"/>
    </row>
    <row r="1285" spans="1:35">
      <c r="AI1285" s="131"/>
    </row>
    <row r="1286" spans="1:35" ht="26.4">
      <c r="A1286" s="284"/>
      <c r="B1286" s="284"/>
      <c r="C1286" s="284"/>
      <c r="D1286" s="284"/>
      <c r="E1286" s="284"/>
      <c r="F1286" s="284"/>
      <c r="H1286" s="284"/>
      <c r="I1286" s="284"/>
      <c r="J1286" s="375"/>
      <c r="K1286" s="375"/>
      <c r="L1286" s="375"/>
      <c r="M1286" s="368"/>
      <c r="N1286" s="368"/>
      <c r="T1286" s="349"/>
      <c r="V1286" s="378"/>
      <c r="W1286" s="64" ph="1"/>
      <c r="X1286" s="241"/>
      <c r="AA1286" s="284"/>
      <c r="AB1286" s="284"/>
      <c r="AC1286" s="284"/>
      <c r="AD1286" s="284"/>
      <c r="AE1286" s="284"/>
      <c r="AF1286" s="284"/>
      <c r="AG1286" s="8"/>
      <c r="AI1286" s="131"/>
    </row>
    <row r="1287" spans="1:35">
      <c r="A1287" s="284"/>
      <c r="Y1287" s="284"/>
      <c r="Z1287" s="207"/>
      <c r="AI1287" s="131"/>
    </row>
    <row r="1288" spans="1:35">
      <c r="O1288" s="370"/>
      <c r="AI1288" s="131"/>
    </row>
    <row r="1289" spans="1:35">
      <c r="AI1289" s="131"/>
    </row>
    <row r="1290" spans="1:35" ht="26.4">
      <c r="A1290" s="284"/>
      <c r="B1290" s="284"/>
      <c r="C1290" s="284"/>
      <c r="D1290" s="284"/>
      <c r="E1290" s="284"/>
      <c r="F1290" s="284"/>
      <c r="H1290" s="284"/>
      <c r="I1290" s="284"/>
      <c r="J1290" s="375"/>
      <c r="K1290" s="375"/>
      <c r="L1290" s="375"/>
      <c r="M1290" s="368"/>
      <c r="N1290" s="368"/>
      <c r="T1290" s="349"/>
      <c r="V1290" s="378"/>
      <c r="W1290" s="64" ph="1"/>
      <c r="X1290" s="241"/>
      <c r="AA1290" s="284"/>
      <c r="AB1290" s="284"/>
      <c r="AC1290" s="284"/>
      <c r="AD1290" s="284"/>
      <c r="AE1290" s="284"/>
      <c r="AF1290" s="284"/>
      <c r="AG1290" s="8"/>
      <c r="AI1290" s="131"/>
    </row>
    <row r="1291" spans="1:35">
      <c r="A1291" s="284"/>
      <c r="Y1291" s="284"/>
      <c r="Z1291" s="207"/>
      <c r="AI1291" s="131"/>
    </row>
    <row r="1292" spans="1:35">
      <c r="AI1292" s="131"/>
    </row>
    <row r="1293" spans="1:35">
      <c r="A1293" s="284"/>
      <c r="G1293" s="284"/>
      <c r="AI1293" s="131"/>
    </row>
    <row r="1294" spans="1:35">
      <c r="AI1294" s="131"/>
    </row>
    <row r="1295" spans="1:35" ht="26.4">
      <c r="A1295" s="284"/>
      <c r="B1295" s="284"/>
      <c r="C1295" s="284"/>
      <c r="D1295" s="284"/>
      <c r="E1295" s="284"/>
      <c r="F1295" s="284"/>
      <c r="H1295" s="284"/>
      <c r="I1295" s="284"/>
      <c r="J1295" s="375"/>
      <c r="K1295" s="375"/>
      <c r="L1295" s="375"/>
      <c r="M1295" s="368"/>
      <c r="N1295" s="368"/>
      <c r="T1295" s="349"/>
      <c r="V1295" s="378"/>
      <c r="W1295" s="64" ph="1"/>
      <c r="X1295" s="241"/>
      <c r="AA1295" s="284"/>
      <c r="AB1295" s="284"/>
      <c r="AC1295" s="284"/>
      <c r="AD1295" s="284"/>
      <c r="AE1295" s="284"/>
      <c r="AF1295" s="284"/>
      <c r="AG1295" s="8"/>
      <c r="AI1295" s="131"/>
    </row>
    <row r="1296" spans="1:35" ht="26.4">
      <c r="A1296" s="284"/>
      <c r="B1296" s="284"/>
      <c r="C1296" s="284"/>
      <c r="D1296" s="284"/>
      <c r="E1296" s="284"/>
      <c r="F1296" s="284"/>
      <c r="H1296" s="284"/>
      <c r="I1296" s="284"/>
      <c r="J1296" s="375"/>
      <c r="K1296" s="375"/>
      <c r="L1296" s="375"/>
      <c r="M1296" s="368"/>
      <c r="N1296" s="368"/>
      <c r="T1296" s="349"/>
      <c r="V1296" s="378"/>
      <c r="W1296" s="64" ph="1"/>
      <c r="X1296" s="241"/>
      <c r="Y1296" s="284"/>
      <c r="Z1296" s="207"/>
      <c r="AA1296" s="284"/>
      <c r="AB1296" s="284"/>
      <c r="AC1296" s="284"/>
      <c r="AD1296" s="284"/>
      <c r="AE1296" s="284"/>
      <c r="AF1296" s="284"/>
      <c r="AG1296" s="8"/>
      <c r="AI1296" s="131"/>
    </row>
    <row r="1297" spans="1:35" ht="26.4">
      <c r="A1297" s="284"/>
      <c r="B1297" s="284"/>
      <c r="C1297" s="284"/>
      <c r="D1297" s="284"/>
      <c r="E1297" s="284"/>
      <c r="F1297" s="284"/>
      <c r="G1297" s="284"/>
      <c r="H1297" s="284"/>
      <c r="I1297" s="284"/>
      <c r="J1297" s="375"/>
      <c r="K1297" s="375"/>
      <c r="L1297" s="375"/>
      <c r="M1297" s="368"/>
      <c r="N1297" s="368"/>
      <c r="T1297" s="349"/>
      <c r="V1297" s="378"/>
      <c r="W1297" s="64" ph="1"/>
      <c r="X1297" s="241"/>
      <c r="Y1297" s="284"/>
      <c r="Z1297" s="207"/>
      <c r="AA1297" s="284"/>
      <c r="AB1297" s="284"/>
      <c r="AC1297" s="284"/>
      <c r="AD1297" s="284"/>
      <c r="AE1297" s="284"/>
      <c r="AF1297" s="284"/>
      <c r="AG1297" s="8"/>
      <c r="AI1297" s="131"/>
    </row>
    <row r="1298" spans="1:35">
      <c r="A1298" s="284"/>
      <c r="O1298" s="370"/>
      <c r="Y1298" s="284"/>
      <c r="Z1298" s="207"/>
      <c r="AI1298" s="131"/>
    </row>
    <row r="1299" spans="1:35" ht="26.4">
      <c r="A1299" s="284"/>
      <c r="B1299" s="284"/>
      <c r="C1299" s="284"/>
      <c r="D1299" s="284"/>
      <c r="E1299" s="284"/>
      <c r="F1299" s="284"/>
      <c r="H1299" s="284"/>
      <c r="I1299" s="284"/>
      <c r="J1299" s="375"/>
      <c r="K1299" s="375"/>
      <c r="L1299" s="375"/>
      <c r="M1299" s="368"/>
      <c r="N1299" s="368"/>
      <c r="T1299" s="349"/>
      <c r="V1299" s="378"/>
      <c r="W1299" s="64" ph="1"/>
      <c r="X1299" s="241"/>
      <c r="AA1299" s="284"/>
      <c r="AB1299" s="284"/>
      <c r="AC1299" s="284"/>
      <c r="AD1299" s="284"/>
      <c r="AE1299" s="284"/>
      <c r="AF1299" s="284"/>
      <c r="AG1299" s="8"/>
      <c r="AI1299" s="131"/>
    </row>
    <row r="1300" spans="1:35" ht="26.4">
      <c r="A1300" s="284"/>
      <c r="B1300" s="284"/>
      <c r="C1300" s="284"/>
      <c r="D1300" s="284"/>
      <c r="E1300" s="284"/>
      <c r="F1300" s="284"/>
      <c r="H1300" s="284"/>
      <c r="I1300" s="284"/>
      <c r="J1300" s="375"/>
      <c r="K1300" s="375"/>
      <c r="L1300" s="375"/>
      <c r="M1300" s="368"/>
      <c r="N1300" s="368"/>
      <c r="T1300" s="349"/>
      <c r="V1300" s="378"/>
      <c r="W1300" s="64" ph="1"/>
      <c r="X1300" s="241"/>
      <c r="Y1300" s="284"/>
      <c r="Z1300" s="207"/>
      <c r="AA1300" s="284"/>
      <c r="AB1300" s="284"/>
      <c r="AC1300" s="284"/>
      <c r="AD1300" s="284"/>
      <c r="AE1300" s="284"/>
      <c r="AF1300" s="284"/>
      <c r="AG1300" s="8"/>
      <c r="AI1300" s="131"/>
    </row>
    <row r="1301" spans="1:35">
      <c r="A1301" s="284"/>
      <c r="Y1301" s="284"/>
      <c r="Z1301" s="207"/>
      <c r="AI1301" s="284"/>
    </row>
    <row r="1302" spans="1:35" ht="26.4">
      <c r="A1302" s="284"/>
      <c r="B1302" s="284"/>
      <c r="C1302" s="284"/>
      <c r="D1302" s="284"/>
      <c r="E1302" s="284"/>
      <c r="F1302" s="284"/>
      <c r="G1302" s="284"/>
      <c r="H1302" s="284"/>
      <c r="I1302" s="284"/>
      <c r="J1302" s="375"/>
      <c r="K1302" s="375"/>
      <c r="L1302" s="375"/>
      <c r="M1302" s="368"/>
      <c r="N1302" s="368"/>
      <c r="O1302" s="370"/>
      <c r="T1302" s="349"/>
      <c r="V1302" s="378"/>
      <c r="W1302" s="64" ph="1"/>
      <c r="X1302" s="241"/>
      <c r="AA1302" s="284"/>
      <c r="AB1302" s="284"/>
      <c r="AC1302" s="284"/>
      <c r="AD1302" s="284"/>
      <c r="AE1302" s="284"/>
      <c r="AF1302" s="284"/>
      <c r="AG1302" s="8"/>
      <c r="AI1302" s="284"/>
    </row>
    <row r="1303" spans="1:35">
      <c r="A1303" s="284"/>
      <c r="G1303" s="284"/>
      <c r="Y1303" s="284"/>
      <c r="Z1303" s="207"/>
      <c r="AI1303" s="28"/>
    </row>
    <row r="1304" spans="1:35" ht="26.4">
      <c r="A1304" s="284"/>
      <c r="B1304" s="284"/>
      <c r="C1304" s="284"/>
      <c r="D1304" s="284"/>
      <c r="E1304" s="284"/>
      <c r="F1304" s="284"/>
      <c r="G1304" s="284"/>
      <c r="H1304" s="284"/>
      <c r="I1304" s="284"/>
      <c r="J1304" s="375"/>
      <c r="K1304" s="375"/>
      <c r="L1304" s="375"/>
      <c r="M1304" s="368"/>
      <c r="N1304" s="368"/>
      <c r="T1304" s="349"/>
      <c r="V1304" s="378"/>
      <c r="W1304" s="64" ph="1"/>
      <c r="X1304" s="241"/>
      <c r="AA1304" s="284"/>
      <c r="AB1304" s="284"/>
      <c r="AC1304" s="284"/>
      <c r="AD1304" s="284"/>
      <c r="AE1304" s="284"/>
      <c r="AF1304" s="284"/>
      <c r="AG1304" s="8"/>
      <c r="AI1304" s="131"/>
    </row>
    <row r="1305" spans="1:35" ht="26.4">
      <c r="A1305" s="284"/>
      <c r="B1305" s="284"/>
      <c r="C1305" s="284"/>
      <c r="D1305" s="284"/>
      <c r="E1305" s="284"/>
      <c r="F1305" s="284"/>
      <c r="H1305" s="284"/>
      <c r="I1305" s="284"/>
      <c r="J1305" s="375"/>
      <c r="K1305" s="375"/>
      <c r="L1305" s="375"/>
      <c r="M1305" s="368"/>
      <c r="N1305" s="368"/>
      <c r="T1305" s="349"/>
      <c r="V1305" s="378"/>
      <c r="W1305" s="64" ph="1"/>
      <c r="X1305" s="241"/>
      <c r="Y1305" s="284"/>
      <c r="Z1305" s="207"/>
      <c r="AA1305" s="284"/>
      <c r="AB1305" s="284"/>
      <c r="AC1305" s="284"/>
      <c r="AD1305" s="284"/>
      <c r="AE1305" s="284"/>
      <c r="AF1305" s="284"/>
      <c r="AG1305" s="8"/>
      <c r="AI1305" s="131"/>
    </row>
    <row r="1306" spans="1:35" ht="26.4">
      <c r="A1306" s="284"/>
      <c r="B1306" s="284"/>
      <c r="C1306" s="284"/>
      <c r="D1306" s="284"/>
      <c r="E1306" s="284"/>
      <c r="F1306" s="284"/>
      <c r="G1306" s="284"/>
      <c r="H1306" s="284"/>
      <c r="I1306" s="284"/>
      <c r="J1306" s="375"/>
      <c r="K1306" s="375"/>
      <c r="L1306" s="375"/>
      <c r="M1306" s="368"/>
      <c r="N1306" s="368"/>
      <c r="T1306" s="349"/>
      <c r="V1306" s="378"/>
      <c r="W1306" s="64" ph="1"/>
      <c r="X1306" s="241"/>
      <c r="Y1306" s="284"/>
      <c r="Z1306" s="207"/>
      <c r="AA1306" s="284"/>
      <c r="AB1306" s="284"/>
      <c r="AC1306" s="284"/>
      <c r="AD1306" s="284"/>
      <c r="AE1306" s="284"/>
      <c r="AF1306" s="284"/>
      <c r="AG1306" s="8"/>
      <c r="AI1306" s="131"/>
    </row>
    <row r="1307" spans="1:35" ht="26.4">
      <c r="A1307" s="284"/>
      <c r="B1307" s="284"/>
      <c r="C1307" s="284"/>
      <c r="D1307" s="284"/>
      <c r="E1307" s="284"/>
      <c r="F1307" s="284"/>
      <c r="G1307" s="284"/>
      <c r="H1307" s="284"/>
      <c r="I1307" s="284"/>
      <c r="J1307" s="375"/>
      <c r="K1307" s="375"/>
      <c r="L1307" s="375"/>
      <c r="M1307" s="368"/>
      <c r="N1307" s="368"/>
      <c r="O1307" s="370"/>
      <c r="T1307" s="349"/>
      <c r="V1307" s="378"/>
      <c r="W1307" s="64" ph="1"/>
      <c r="X1307" s="241"/>
      <c r="Y1307" s="284"/>
      <c r="Z1307" s="207"/>
      <c r="AA1307" s="284"/>
      <c r="AB1307" s="284"/>
      <c r="AC1307" s="284"/>
      <c r="AD1307" s="284"/>
      <c r="AE1307" s="284"/>
      <c r="AF1307" s="284"/>
      <c r="AG1307" s="8"/>
      <c r="AI1307" s="131"/>
    </row>
    <row r="1308" spans="1:35" ht="26.4">
      <c r="A1308" s="284"/>
      <c r="B1308" s="284"/>
      <c r="C1308" s="284"/>
      <c r="D1308" s="284"/>
      <c r="E1308" s="284"/>
      <c r="F1308" s="284"/>
      <c r="H1308" s="284"/>
      <c r="I1308" s="284"/>
      <c r="J1308" s="375"/>
      <c r="K1308" s="375"/>
      <c r="L1308" s="375"/>
      <c r="M1308" s="368"/>
      <c r="N1308" s="368"/>
      <c r="O1308" s="370"/>
      <c r="T1308" s="349"/>
      <c r="V1308" s="378"/>
      <c r="W1308" s="64" ph="1"/>
      <c r="X1308" s="241"/>
      <c r="Y1308" s="284"/>
      <c r="Z1308" s="207"/>
      <c r="AA1308" s="284"/>
      <c r="AB1308" s="284"/>
      <c r="AC1308" s="284"/>
      <c r="AD1308" s="284"/>
      <c r="AE1308" s="284"/>
      <c r="AF1308" s="284"/>
      <c r="AG1308" s="8"/>
      <c r="AI1308" s="131"/>
    </row>
    <row r="1309" spans="1:35" ht="26.4">
      <c r="A1309" s="284"/>
      <c r="B1309" s="284"/>
      <c r="C1309" s="284"/>
      <c r="D1309" s="284"/>
      <c r="E1309" s="284"/>
      <c r="F1309" s="284"/>
      <c r="G1309" s="284"/>
      <c r="H1309" s="284"/>
      <c r="I1309" s="284"/>
      <c r="J1309" s="375"/>
      <c r="K1309" s="375"/>
      <c r="L1309" s="375"/>
      <c r="M1309" s="368"/>
      <c r="N1309" s="368"/>
      <c r="O1309" s="370"/>
      <c r="T1309" s="349"/>
      <c r="V1309" s="378"/>
      <c r="W1309" s="64" ph="1"/>
      <c r="X1309" s="241"/>
      <c r="Y1309" s="284"/>
      <c r="Z1309" s="207"/>
      <c r="AA1309" s="284"/>
      <c r="AB1309" s="284"/>
      <c r="AC1309" s="284"/>
      <c r="AD1309" s="284"/>
      <c r="AE1309" s="284"/>
      <c r="AF1309" s="284"/>
      <c r="AG1309" s="8"/>
      <c r="AI1309" s="131"/>
    </row>
    <row r="1310" spans="1:35" ht="26.4">
      <c r="A1310" s="284"/>
      <c r="B1310" s="284"/>
      <c r="C1310" s="284"/>
      <c r="D1310" s="284"/>
      <c r="E1310" s="284"/>
      <c r="F1310" s="284"/>
      <c r="H1310" s="284"/>
      <c r="I1310" s="284"/>
      <c r="J1310" s="375"/>
      <c r="K1310" s="375"/>
      <c r="L1310" s="375"/>
      <c r="M1310" s="368"/>
      <c r="N1310" s="368"/>
      <c r="T1310" s="349"/>
      <c r="V1310" s="378"/>
      <c r="W1310" s="64" ph="1"/>
      <c r="X1310" s="241"/>
      <c r="Y1310" s="284"/>
      <c r="Z1310" s="207"/>
      <c r="AA1310" s="284"/>
      <c r="AB1310" s="284"/>
      <c r="AC1310" s="284"/>
      <c r="AD1310" s="284"/>
      <c r="AE1310" s="284"/>
      <c r="AF1310" s="284"/>
      <c r="AG1310" s="8"/>
      <c r="AI1310" s="131"/>
    </row>
    <row r="1311" spans="1:35" ht="26.4">
      <c r="A1311" s="284"/>
      <c r="B1311" s="284"/>
      <c r="C1311" s="284"/>
      <c r="D1311" s="284"/>
      <c r="E1311" s="284"/>
      <c r="F1311" s="284"/>
      <c r="G1311" s="284"/>
      <c r="H1311" s="284"/>
      <c r="I1311" s="284"/>
      <c r="J1311" s="375"/>
      <c r="K1311" s="375"/>
      <c r="L1311" s="375"/>
      <c r="M1311" s="368"/>
      <c r="N1311" s="368"/>
      <c r="O1311" s="370"/>
      <c r="T1311" s="349"/>
      <c r="V1311" s="378"/>
      <c r="W1311" s="64" ph="1"/>
      <c r="X1311" s="241"/>
      <c r="Y1311" s="284"/>
      <c r="Z1311" s="207"/>
      <c r="AA1311" s="284"/>
      <c r="AB1311" s="284"/>
      <c r="AC1311" s="284"/>
      <c r="AD1311" s="284"/>
      <c r="AE1311" s="284"/>
      <c r="AF1311" s="284"/>
      <c r="AG1311" s="8"/>
      <c r="AI1311" s="131"/>
    </row>
    <row r="1312" spans="1:35" ht="26.4">
      <c r="A1312" s="284"/>
      <c r="G1312" s="284"/>
      <c r="O1312" s="370"/>
      <c r="W1312" s="64" ph="1"/>
      <c r="Y1312" s="284"/>
      <c r="Z1312" s="207"/>
      <c r="AI1312" s="131"/>
    </row>
    <row r="1313" spans="1:35" ht="26.4">
      <c r="A1313" s="284"/>
      <c r="G1313" s="284"/>
      <c r="W1313" s="64" ph="1"/>
      <c r="AI1313" s="131"/>
    </row>
    <row r="1314" spans="1:35">
      <c r="A1314" s="284"/>
      <c r="G1314" s="284"/>
      <c r="O1314" s="370"/>
      <c r="AI1314" s="131"/>
    </row>
    <row r="1315" spans="1:35" ht="26.4">
      <c r="A1315" s="284"/>
      <c r="G1315" s="284"/>
      <c r="W1315" s="64" ph="1"/>
      <c r="AI1315" s="131"/>
    </row>
    <row r="1316" spans="1:35" ht="26.4">
      <c r="A1316" s="284"/>
      <c r="G1316" s="284"/>
      <c r="O1316" s="370"/>
      <c r="W1316" s="64" ph="1"/>
      <c r="AI1316" s="131"/>
    </row>
    <row r="1317" spans="1:35" ht="26.4">
      <c r="A1317" s="284"/>
      <c r="G1317" s="284"/>
      <c r="O1317" s="370"/>
      <c r="W1317" s="64" ph="1"/>
      <c r="AI1317" s="284"/>
    </row>
    <row r="1318" spans="1:35" ht="26.4">
      <c r="A1318" s="284"/>
      <c r="G1318" s="284"/>
      <c r="O1318" s="370"/>
      <c r="W1318" s="64" ph="1"/>
      <c r="AI1318" s="131"/>
    </row>
    <row r="1319" spans="1:35" ht="26.4">
      <c r="A1319" s="284"/>
      <c r="O1319" s="370"/>
      <c r="W1319" s="64" ph="1"/>
      <c r="AI1319" s="131"/>
    </row>
    <row r="1320" spans="1:35" ht="26.4">
      <c r="A1320" s="284"/>
      <c r="B1320" s="284"/>
      <c r="C1320" s="284"/>
      <c r="D1320" s="284"/>
      <c r="E1320" s="284"/>
      <c r="F1320" s="284"/>
      <c r="G1320" s="284"/>
      <c r="H1320" s="284"/>
      <c r="I1320" s="284"/>
      <c r="J1320" s="375"/>
      <c r="K1320" s="375"/>
      <c r="L1320" s="375"/>
      <c r="M1320" s="368"/>
      <c r="N1320" s="368"/>
      <c r="O1320" s="370"/>
      <c r="T1320" s="349"/>
      <c r="V1320" s="378"/>
      <c r="W1320" s="64" ph="1"/>
      <c r="X1320" s="241"/>
      <c r="Y1320" s="284"/>
      <c r="Z1320" s="207"/>
      <c r="AA1320" s="284"/>
      <c r="AB1320" s="284"/>
      <c r="AC1320" s="284"/>
      <c r="AD1320" s="284"/>
      <c r="AE1320" s="284"/>
      <c r="AF1320" s="284"/>
      <c r="AG1320" s="284"/>
      <c r="AI1320" s="131"/>
    </row>
    <row r="1321" spans="1:35" ht="26.4">
      <c r="A1321" s="284"/>
      <c r="B1321" s="284"/>
      <c r="C1321" s="284"/>
      <c r="D1321" s="284"/>
      <c r="E1321" s="284"/>
      <c r="F1321" s="284"/>
      <c r="G1321" s="284"/>
      <c r="H1321" s="284"/>
      <c r="I1321" s="284"/>
      <c r="J1321" s="375"/>
      <c r="K1321" s="375"/>
      <c r="L1321" s="375"/>
      <c r="M1321" s="368"/>
      <c r="N1321" s="368"/>
      <c r="O1321" s="370"/>
      <c r="T1321" s="349"/>
      <c r="V1321" s="378"/>
      <c r="W1321" s="64" ph="1"/>
      <c r="X1321" s="241"/>
      <c r="Y1321" s="284"/>
      <c r="Z1321" s="207"/>
      <c r="AA1321" s="284"/>
      <c r="AB1321" s="284"/>
      <c r="AC1321" s="284"/>
      <c r="AD1321" s="284"/>
      <c r="AE1321" s="284"/>
      <c r="AF1321" s="284"/>
      <c r="AG1321" s="284"/>
      <c r="AI1321" s="131"/>
    </row>
    <row r="1322" spans="1:35" ht="26.4">
      <c r="A1322" s="284"/>
      <c r="B1322" s="284"/>
      <c r="C1322" s="284"/>
      <c r="D1322" s="284"/>
      <c r="E1322" s="284"/>
      <c r="F1322" s="284"/>
      <c r="G1322" s="284"/>
      <c r="H1322" s="284"/>
      <c r="I1322" s="284"/>
      <c r="J1322" s="375"/>
      <c r="K1322" s="375"/>
      <c r="L1322" s="375"/>
      <c r="M1322" s="368"/>
      <c r="N1322" s="368"/>
      <c r="O1322" s="370"/>
      <c r="T1322" s="349"/>
      <c r="V1322" s="378"/>
      <c r="W1322" s="64" ph="1"/>
      <c r="X1322" s="241"/>
      <c r="Y1322" s="284"/>
      <c r="Z1322" s="207"/>
      <c r="AA1322" s="284"/>
      <c r="AB1322" s="284"/>
      <c r="AC1322" s="284"/>
      <c r="AD1322" s="284"/>
      <c r="AE1322" s="284"/>
      <c r="AF1322" s="284"/>
      <c r="AG1322" s="284"/>
      <c r="AI1322" s="131"/>
    </row>
    <row r="1323" spans="1:35">
      <c r="O1323" s="370"/>
      <c r="AI1323" s="131"/>
    </row>
    <row r="1324" spans="1:35" ht="26.4">
      <c r="A1324" s="284"/>
      <c r="B1324" s="284"/>
      <c r="C1324" s="284"/>
      <c r="D1324" s="284"/>
      <c r="E1324" s="284"/>
      <c r="F1324" s="284"/>
      <c r="G1324" s="284"/>
      <c r="H1324" s="284"/>
      <c r="I1324" s="284"/>
      <c r="J1324" s="375"/>
      <c r="K1324" s="375"/>
      <c r="L1324" s="375"/>
      <c r="M1324" s="368"/>
      <c r="N1324" s="368"/>
      <c r="T1324" s="349"/>
      <c r="V1324" s="378"/>
      <c r="W1324" s="64" ph="1"/>
      <c r="X1324" s="241"/>
      <c r="Y1324" s="284"/>
      <c r="Z1324" s="207"/>
      <c r="AA1324" s="284"/>
      <c r="AB1324" s="284"/>
      <c r="AC1324" s="284"/>
      <c r="AD1324" s="284"/>
      <c r="AE1324" s="284"/>
      <c r="AF1324" s="284"/>
      <c r="AG1324" s="284"/>
      <c r="AI1324" s="131"/>
    </row>
    <row r="1325" spans="1:35" ht="26.4">
      <c r="A1325" s="284"/>
      <c r="B1325" s="284"/>
      <c r="C1325" s="284"/>
      <c r="D1325" s="284"/>
      <c r="E1325" s="284"/>
      <c r="F1325" s="284"/>
      <c r="G1325" s="284"/>
      <c r="H1325" s="284"/>
      <c r="I1325" s="284"/>
      <c r="J1325" s="375"/>
      <c r="K1325" s="375"/>
      <c r="L1325" s="375"/>
      <c r="M1325" s="368"/>
      <c r="N1325" s="368"/>
      <c r="T1325" s="349"/>
      <c r="V1325" s="378"/>
      <c r="W1325" s="64" ph="1"/>
      <c r="X1325" s="241"/>
      <c r="Y1325" s="284"/>
      <c r="Z1325" s="207"/>
      <c r="AA1325" s="284"/>
      <c r="AB1325" s="284"/>
      <c r="AC1325" s="284"/>
      <c r="AD1325" s="284"/>
      <c r="AE1325" s="284"/>
      <c r="AF1325" s="284"/>
      <c r="AG1325" s="284"/>
      <c r="AI1325" s="131"/>
    </row>
    <row r="1326" spans="1:35" ht="26.4">
      <c r="A1326" s="284"/>
      <c r="B1326" s="284"/>
      <c r="C1326" s="284"/>
      <c r="D1326" s="284"/>
      <c r="E1326" s="284"/>
      <c r="F1326" s="284"/>
      <c r="G1326" s="284"/>
      <c r="H1326" s="284"/>
      <c r="I1326" s="284"/>
      <c r="J1326" s="375"/>
      <c r="K1326" s="375"/>
      <c r="L1326" s="375"/>
      <c r="M1326" s="368"/>
      <c r="N1326" s="368"/>
      <c r="T1326" s="349"/>
      <c r="V1326" s="378"/>
      <c r="W1326" s="64" ph="1"/>
      <c r="X1326" s="241"/>
      <c r="Y1326" s="284"/>
      <c r="Z1326" s="207"/>
      <c r="AA1326" s="284"/>
      <c r="AB1326" s="284"/>
      <c r="AC1326" s="284"/>
      <c r="AD1326" s="284"/>
      <c r="AE1326" s="284"/>
      <c r="AF1326" s="284"/>
      <c r="AG1326" s="284"/>
      <c r="AI1326" s="131"/>
    </row>
    <row r="1327" spans="1:35" ht="26.4">
      <c r="A1327" s="284"/>
      <c r="B1327" s="284"/>
      <c r="C1327" s="284"/>
      <c r="D1327" s="284"/>
      <c r="E1327" s="284"/>
      <c r="F1327" s="284"/>
      <c r="G1327" s="284"/>
      <c r="H1327" s="284"/>
      <c r="I1327" s="284"/>
      <c r="J1327" s="375"/>
      <c r="K1327" s="375"/>
      <c r="L1327" s="375"/>
      <c r="M1327" s="368"/>
      <c r="N1327" s="368"/>
      <c r="T1327" s="349"/>
      <c r="V1327" s="378"/>
      <c r="W1327" s="64" ph="1"/>
      <c r="X1327" s="241"/>
      <c r="Y1327" s="284"/>
      <c r="Z1327" s="207"/>
      <c r="AA1327" s="284"/>
      <c r="AB1327" s="284"/>
      <c r="AC1327" s="284"/>
      <c r="AD1327" s="284"/>
      <c r="AE1327" s="284"/>
      <c r="AF1327" s="284"/>
      <c r="AG1327" s="284"/>
      <c r="AI1327" s="131"/>
    </row>
    <row r="1328" spans="1:35">
      <c r="AI1328" s="131"/>
    </row>
    <row r="1329" spans="15:35">
      <c r="AI1329" s="28"/>
    </row>
    <row r="1330" spans="15:35">
      <c r="AI1330" s="131"/>
    </row>
    <row r="1331" spans="15:35">
      <c r="AI1331" s="131"/>
    </row>
    <row r="1332" spans="15:35">
      <c r="O1332" s="370"/>
      <c r="AI1332" s="131"/>
    </row>
    <row r="1333" spans="15:35">
      <c r="O1333" s="370"/>
      <c r="AI1333" s="131"/>
    </row>
    <row r="1334" spans="15:35">
      <c r="O1334" s="370"/>
      <c r="AI1334" s="131"/>
    </row>
    <row r="1335" spans="15:35">
      <c r="AI1335" s="131"/>
    </row>
    <row r="1336" spans="15:35">
      <c r="O1336" s="370"/>
      <c r="AI1336" s="128"/>
    </row>
    <row r="1337" spans="15:35">
      <c r="O1337" s="370"/>
      <c r="AI1337" s="131"/>
    </row>
    <row r="1338" spans="15:35">
      <c r="O1338" s="370"/>
      <c r="AI1338" s="131"/>
    </row>
    <row r="1339" spans="15:35">
      <c r="O1339" s="370"/>
      <c r="AI1339" s="131"/>
    </row>
    <row r="1340" spans="15:35">
      <c r="AI1340" s="131"/>
    </row>
    <row r="1341" spans="15:35">
      <c r="AI1341" s="131"/>
    </row>
    <row r="1342" spans="15:35">
      <c r="AI1342" s="131"/>
    </row>
    <row r="1343" spans="15:35">
      <c r="AI1343" s="131"/>
    </row>
    <row r="1344" spans="15:35">
      <c r="AI1344" s="131"/>
    </row>
    <row r="1345" spans="35:35">
      <c r="AI1345" s="131"/>
    </row>
    <row r="1346" spans="35:35">
      <c r="AI1346" s="131"/>
    </row>
    <row r="1347" spans="35:35">
      <c r="AI1347" s="131"/>
    </row>
    <row r="1348" spans="35:35">
      <c r="AI1348" s="131"/>
    </row>
    <row r="1349" spans="35:35">
      <c r="AI1349" s="131"/>
    </row>
    <row r="1350" spans="35:35">
      <c r="AI1350" s="131"/>
    </row>
    <row r="1351" spans="35:35">
      <c r="AI1351" s="131"/>
    </row>
    <row r="1352" spans="35:35">
      <c r="AI1352" s="131"/>
    </row>
    <row r="1353" spans="35:35">
      <c r="AI1353" s="131"/>
    </row>
    <row r="1354" spans="35:35">
      <c r="AI1354" s="131"/>
    </row>
    <row r="1355" spans="35:35">
      <c r="AI1355" s="131"/>
    </row>
    <row r="1356" spans="35:35">
      <c r="AI1356" s="131"/>
    </row>
    <row r="1357" spans="35:35">
      <c r="AI1357" s="131"/>
    </row>
    <row r="1358" spans="35:35">
      <c r="AI1358" s="131"/>
    </row>
    <row r="1359" spans="35:35">
      <c r="AI1359" s="131"/>
    </row>
    <row r="1360" spans="35:35">
      <c r="AI1360" s="131"/>
    </row>
    <row r="1361" spans="35:35">
      <c r="AI1361" s="131"/>
    </row>
    <row r="1362" spans="35:35">
      <c r="AI1362" s="131"/>
    </row>
    <row r="1363" spans="35:35">
      <c r="AI1363" s="131"/>
    </row>
    <row r="1364" spans="35:35">
      <c r="AI1364" s="131"/>
    </row>
    <row r="1365" spans="35:35">
      <c r="AI1365" s="131"/>
    </row>
    <row r="1366" spans="35:35">
      <c r="AI1366" s="131"/>
    </row>
    <row r="1367" spans="35:35">
      <c r="AI1367" s="131"/>
    </row>
    <row r="1368" spans="35:35">
      <c r="AI1368" s="131"/>
    </row>
    <row r="1369" spans="35:35">
      <c r="AI1369" s="131"/>
    </row>
    <row r="1370" spans="35:35">
      <c r="AI1370" s="131"/>
    </row>
    <row r="1371" spans="35:35">
      <c r="AI1371" s="131"/>
    </row>
    <row r="1372" spans="35:35">
      <c r="AI1372" s="131"/>
    </row>
    <row r="1373" spans="35:35">
      <c r="AI1373" s="131"/>
    </row>
    <row r="1374" spans="35:35">
      <c r="AI1374" s="131"/>
    </row>
    <row r="1375" spans="35:35">
      <c r="AI1375" s="131"/>
    </row>
    <row r="1376" spans="35:35">
      <c r="AI1376" s="284"/>
    </row>
    <row r="1377" spans="35:35">
      <c r="AI1377" s="131"/>
    </row>
    <row r="1378" spans="35:35">
      <c r="AI1378" s="131"/>
    </row>
    <row r="1379" spans="35:35">
      <c r="AI1379" s="131"/>
    </row>
    <row r="1380" spans="35:35">
      <c r="AI1380" s="131"/>
    </row>
    <row r="1381" spans="35:35">
      <c r="AI1381" s="286"/>
    </row>
    <row r="1382" spans="35:35">
      <c r="AI1382" s="131"/>
    </row>
    <row r="1383" spans="35:35">
      <c r="AI1383" s="131"/>
    </row>
    <row r="1384" spans="35:35">
      <c r="AI1384" s="131"/>
    </row>
    <row r="1385" spans="35:35">
      <c r="AI1385" s="131"/>
    </row>
    <row r="1386" spans="35:35">
      <c r="AI1386" s="131"/>
    </row>
    <row r="1387" spans="35:35">
      <c r="AI1387" s="131"/>
    </row>
    <row r="1388" spans="35:35">
      <c r="AI1388" s="236"/>
    </row>
    <row r="1389" spans="35:35">
      <c r="AI1389" s="131"/>
    </row>
    <row r="1390" spans="35:35">
      <c r="AI1390" s="131"/>
    </row>
    <row r="1391" spans="35:35">
      <c r="AI1391" s="131"/>
    </row>
    <row r="1392" spans="35:35">
      <c r="AI1392" s="131"/>
    </row>
    <row r="1393" spans="35:35">
      <c r="AI1393" s="131"/>
    </row>
    <row r="1394" spans="35:35">
      <c r="AI1394" s="131"/>
    </row>
    <row r="1395" spans="35:35">
      <c r="AI1395" s="131"/>
    </row>
    <row r="1396" spans="35:35">
      <c r="AI1396" s="131"/>
    </row>
    <row r="1397" spans="35:35">
      <c r="AI1397" s="131"/>
    </row>
    <row r="1398" spans="35:35">
      <c r="AI1398" s="131"/>
    </row>
    <row r="1399" spans="35:35">
      <c r="AI1399" s="284"/>
    </row>
    <row r="1400" spans="35:35">
      <c r="AI1400" s="131"/>
    </row>
    <row r="1401" spans="35:35">
      <c r="AI1401" s="131"/>
    </row>
    <row r="1402" spans="35:35">
      <c r="AI1402" s="131"/>
    </row>
    <row r="1403" spans="35:35">
      <c r="AI1403" s="131"/>
    </row>
    <row r="1404" spans="35:35">
      <c r="AI1404" s="131"/>
    </row>
    <row r="1405" spans="35:35">
      <c r="AI1405" s="131"/>
    </row>
    <row r="1406" spans="35:35">
      <c r="AI1406" s="131"/>
    </row>
    <row r="1407" spans="35:35">
      <c r="AI1407" s="131"/>
    </row>
    <row r="1408" spans="35:35">
      <c r="AI1408" s="131"/>
    </row>
    <row r="1409" spans="35:35">
      <c r="AI1409" s="131"/>
    </row>
    <row r="1410" spans="35:35">
      <c r="AI1410" s="131"/>
    </row>
    <row r="1411" spans="35:35">
      <c r="AI1411" s="284"/>
    </row>
    <row r="1412" spans="35:35">
      <c r="AI1412" s="131"/>
    </row>
    <row r="1413" spans="35:35">
      <c r="AI1413" s="28"/>
    </row>
    <row r="1414" spans="35:35">
      <c r="AI1414" s="284"/>
    </row>
    <row r="1415" spans="35:35">
      <c r="AI1415" s="131"/>
    </row>
    <row r="1416" spans="35:35">
      <c r="AI1416" s="131"/>
    </row>
    <row r="1417" spans="35:35">
      <c r="AI1417" s="131"/>
    </row>
    <row r="1418" spans="35:35">
      <c r="AI1418" s="131"/>
    </row>
    <row r="1419" spans="35:35">
      <c r="AI1419" s="284"/>
    </row>
    <row r="1420" spans="35:35">
      <c r="AI1420" s="131"/>
    </row>
    <row r="1421" spans="35:35">
      <c r="AI1421" s="131"/>
    </row>
    <row r="1422" spans="35:35">
      <c r="AI1422" s="131"/>
    </row>
    <row r="1423" spans="35:35">
      <c r="AI1423" s="131"/>
    </row>
    <row r="1424" spans="35:35">
      <c r="AI1424" s="131"/>
    </row>
    <row r="1425" spans="35:35">
      <c r="AI1425" s="131"/>
    </row>
    <row r="1426" spans="35:35">
      <c r="AI1426" s="131"/>
    </row>
    <row r="1427" spans="35:35">
      <c r="AI1427" s="131"/>
    </row>
    <row r="1428" spans="35:35">
      <c r="AI1428" s="131"/>
    </row>
    <row r="1429" spans="35:35">
      <c r="AI1429" s="131"/>
    </row>
    <row r="1430" spans="35:35">
      <c r="AI1430" s="131"/>
    </row>
    <row r="1431" spans="35:35">
      <c r="AI1431" s="131"/>
    </row>
    <row r="1432" spans="35:35">
      <c r="AI1432" s="131"/>
    </row>
    <row r="1433" spans="35:35">
      <c r="AI1433" s="131"/>
    </row>
    <row r="1434" spans="35:35">
      <c r="AI1434" s="131"/>
    </row>
    <row r="1435" spans="35:35">
      <c r="AI1435" s="131"/>
    </row>
    <row r="1436" spans="35:35">
      <c r="AI1436" s="131"/>
    </row>
    <row r="1437" spans="35:35">
      <c r="AI1437" s="131"/>
    </row>
    <row r="1438" spans="35:35">
      <c r="AI1438" s="131"/>
    </row>
    <row r="1439" spans="35:35">
      <c r="AI1439" s="284"/>
    </row>
    <row r="1440" spans="35:35">
      <c r="AI1440" s="131"/>
    </row>
    <row r="1441" spans="1:35">
      <c r="AI1441" s="131"/>
    </row>
    <row r="1442" spans="1:35">
      <c r="AI1442" s="131"/>
    </row>
    <row r="1443" spans="1:35">
      <c r="AI1443" s="131"/>
    </row>
    <row r="1444" spans="1:35">
      <c r="AI1444" s="131"/>
    </row>
    <row r="1445" spans="1:35">
      <c r="AI1445" s="131"/>
    </row>
    <row r="1446" spans="1:35">
      <c r="AI1446" s="131"/>
    </row>
    <row r="1447" spans="1:35">
      <c r="AI1447" s="131"/>
    </row>
    <row r="1448" spans="1:35">
      <c r="AI1448" s="131"/>
    </row>
    <row r="1449" spans="1:35">
      <c r="AI1449" s="131"/>
    </row>
    <row r="1450" spans="1:35">
      <c r="AI1450" s="131"/>
    </row>
    <row r="1451" spans="1:35">
      <c r="AI1451" s="131"/>
    </row>
    <row r="1452" spans="1:35">
      <c r="AI1452" s="131"/>
    </row>
    <row r="1453" spans="1:35" ht="26.4">
      <c r="A1453" s="284"/>
      <c r="B1453" s="284"/>
      <c r="C1453" s="284"/>
      <c r="D1453" s="284"/>
      <c r="E1453" s="284"/>
      <c r="F1453" s="284"/>
      <c r="G1453" s="284"/>
      <c r="H1453" s="284"/>
      <c r="I1453" s="284"/>
      <c r="J1453" s="375"/>
      <c r="K1453" s="375"/>
      <c r="L1453" s="375"/>
      <c r="M1453" s="368"/>
      <c r="N1453" s="368"/>
      <c r="T1453" s="349"/>
      <c r="V1453" s="378"/>
      <c r="W1453" s="64" ph="1"/>
      <c r="X1453" s="241"/>
      <c r="Y1453" s="284"/>
      <c r="Z1453" s="207"/>
      <c r="AA1453" s="284"/>
      <c r="AB1453" s="284"/>
      <c r="AC1453" s="284"/>
      <c r="AD1453" s="284"/>
      <c r="AE1453" s="284"/>
      <c r="AF1453" s="284"/>
      <c r="AG1453" s="284"/>
      <c r="AI1453" s="131"/>
    </row>
    <row r="1454" spans="1:35">
      <c r="AI1454" s="131"/>
    </row>
    <row r="1455" spans="1:35">
      <c r="AI1455" s="131"/>
    </row>
    <row r="1456" spans="1:35">
      <c r="AI1456" s="131"/>
    </row>
    <row r="1457" spans="1:35">
      <c r="AI1457" s="131"/>
    </row>
    <row r="1458" spans="1:35">
      <c r="AI1458" s="131"/>
    </row>
    <row r="1459" spans="1:35">
      <c r="AI1459" s="131"/>
    </row>
    <row r="1460" spans="1:35">
      <c r="AI1460" s="131"/>
    </row>
    <row r="1461" spans="1:35">
      <c r="AI1461" s="131"/>
    </row>
    <row r="1462" spans="1:35">
      <c r="AI1462" s="131"/>
    </row>
    <row r="1463" spans="1:35" ht="26.4">
      <c r="A1463" s="284"/>
      <c r="B1463" s="284"/>
      <c r="C1463" s="284"/>
      <c r="D1463" s="284"/>
      <c r="E1463" s="284"/>
      <c r="F1463" s="284"/>
      <c r="G1463" s="284"/>
      <c r="H1463" s="284"/>
      <c r="I1463" s="284"/>
      <c r="J1463" s="375"/>
      <c r="K1463" s="375"/>
      <c r="L1463" s="375"/>
      <c r="M1463" s="368"/>
      <c r="N1463" s="368"/>
      <c r="T1463" s="349"/>
      <c r="V1463" s="378"/>
      <c r="W1463" s="64" ph="1"/>
      <c r="X1463" s="241"/>
      <c r="Y1463" s="284"/>
      <c r="Z1463" s="207"/>
      <c r="AA1463" s="284"/>
      <c r="AB1463" s="284"/>
      <c r="AC1463" s="284"/>
      <c r="AD1463" s="284"/>
      <c r="AE1463" s="284"/>
      <c r="AF1463" s="284"/>
      <c r="AG1463" s="284"/>
      <c r="AI1463" s="131"/>
    </row>
    <row r="1464" spans="1:35">
      <c r="AI1464" s="131"/>
    </row>
    <row r="1465" spans="1:35">
      <c r="O1465" s="370"/>
      <c r="AI1465" s="131"/>
    </row>
    <row r="1466" spans="1:35">
      <c r="AI1466" s="131"/>
    </row>
    <row r="1467" spans="1:35" ht="26.4">
      <c r="A1467" s="284"/>
      <c r="B1467" s="284"/>
      <c r="C1467" s="284"/>
      <c r="D1467" s="284"/>
      <c r="E1467" s="284"/>
      <c r="F1467" s="284"/>
      <c r="G1467" s="284"/>
      <c r="H1467" s="284"/>
      <c r="I1467" s="284"/>
      <c r="J1467" s="375"/>
      <c r="K1467" s="375"/>
      <c r="L1467" s="375"/>
      <c r="M1467" s="368"/>
      <c r="N1467" s="368"/>
      <c r="T1467" s="349"/>
      <c r="V1467" s="378"/>
      <c r="W1467" s="64" ph="1"/>
      <c r="X1467" s="241"/>
      <c r="Y1467" s="284"/>
      <c r="Z1467" s="207"/>
      <c r="AA1467" s="284"/>
      <c r="AB1467" s="284"/>
      <c r="AC1467" s="284"/>
      <c r="AD1467" s="284"/>
      <c r="AE1467" s="284"/>
      <c r="AF1467" s="284"/>
      <c r="AG1467" s="284"/>
      <c r="AI1467" s="131"/>
    </row>
    <row r="1468" spans="1:35">
      <c r="AI1468" s="131"/>
    </row>
    <row r="1469" spans="1:35">
      <c r="AI1469" s="131"/>
    </row>
    <row r="1470" spans="1:35">
      <c r="AI1470" s="131"/>
    </row>
    <row r="1471" spans="1:35">
      <c r="AI1471" s="131"/>
    </row>
    <row r="1472" spans="1:35" ht="26.4">
      <c r="A1472" s="284"/>
      <c r="B1472" s="284"/>
      <c r="C1472" s="284"/>
      <c r="D1472" s="284"/>
      <c r="E1472" s="284"/>
      <c r="F1472" s="284"/>
      <c r="G1472" s="284"/>
      <c r="H1472" s="284"/>
      <c r="I1472" s="284"/>
      <c r="J1472" s="375"/>
      <c r="K1472" s="375"/>
      <c r="L1472" s="375"/>
      <c r="M1472" s="368"/>
      <c r="N1472" s="368"/>
      <c r="T1472" s="349"/>
      <c r="V1472" s="378"/>
      <c r="W1472" s="64" ph="1"/>
      <c r="X1472" s="241"/>
      <c r="Y1472" s="284"/>
      <c r="Z1472" s="207"/>
      <c r="AA1472" s="284"/>
      <c r="AB1472" s="284"/>
      <c r="AC1472" s="284"/>
      <c r="AD1472" s="284"/>
      <c r="AE1472" s="284"/>
      <c r="AF1472" s="284"/>
      <c r="AG1472" s="284"/>
      <c r="AI1472" s="131"/>
    </row>
    <row r="1473" spans="1:35" ht="26.4">
      <c r="A1473" s="284"/>
      <c r="B1473" s="284"/>
      <c r="C1473" s="284"/>
      <c r="D1473" s="284"/>
      <c r="E1473" s="284"/>
      <c r="F1473" s="284"/>
      <c r="G1473" s="284"/>
      <c r="H1473" s="284"/>
      <c r="I1473" s="284"/>
      <c r="J1473" s="375"/>
      <c r="K1473" s="375"/>
      <c r="L1473" s="375"/>
      <c r="M1473" s="368"/>
      <c r="N1473" s="368"/>
      <c r="T1473" s="349"/>
      <c r="V1473" s="378"/>
      <c r="W1473" s="64" ph="1"/>
      <c r="X1473" s="241"/>
      <c r="Y1473" s="284"/>
      <c r="Z1473" s="207"/>
      <c r="AA1473" s="284"/>
      <c r="AB1473" s="284"/>
      <c r="AC1473" s="284"/>
      <c r="AD1473" s="284"/>
      <c r="AE1473" s="284"/>
      <c r="AF1473" s="284"/>
      <c r="AG1473" s="284"/>
      <c r="AI1473" s="131"/>
    </row>
    <row r="1474" spans="1:35" ht="26.4">
      <c r="A1474" s="284"/>
      <c r="B1474" s="284"/>
      <c r="C1474" s="284"/>
      <c r="D1474" s="284"/>
      <c r="E1474" s="284"/>
      <c r="F1474" s="284"/>
      <c r="G1474" s="284"/>
      <c r="H1474" s="284"/>
      <c r="I1474" s="284"/>
      <c r="J1474" s="375"/>
      <c r="K1474" s="375"/>
      <c r="L1474" s="375"/>
      <c r="M1474" s="368"/>
      <c r="N1474" s="368"/>
      <c r="T1474" s="349"/>
      <c r="V1474" s="378"/>
      <c r="W1474" s="64" ph="1"/>
      <c r="X1474" s="241"/>
      <c r="Y1474" s="284"/>
      <c r="Z1474" s="207"/>
      <c r="AA1474" s="284"/>
      <c r="AB1474" s="284"/>
      <c r="AC1474" s="284"/>
      <c r="AD1474" s="284"/>
      <c r="AE1474" s="284"/>
      <c r="AF1474" s="284"/>
      <c r="AG1474" s="284"/>
      <c r="AI1474" s="131"/>
    </row>
    <row r="1475" spans="1:35">
      <c r="O1475" s="370"/>
      <c r="AI1475" s="131"/>
    </row>
    <row r="1476" spans="1:35" ht="26.4">
      <c r="A1476" s="284"/>
      <c r="B1476" s="284"/>
      <c r="C1476" s="284"/>
      <c r="D1476" s="284"/>
      <c r="E1476" s="284"/>
      <c r="F1476" s="284"/>
      <c r="G1476" s="284"/>
      <c r="H1476" s="284"/>
      <c r="I1476" s="284"/>
      <c r="J1476" s="375"/>
      <c r="K1476" s="375"/>
      <c r="L1476" s="375"/>
      <c r="M1476" s="368"/>
      <c r="N1476" s="368"/>
      <c r="T1476" s="349"/>
      <c r="V1476" s="378"/>
      <c r="W1476" s="64" ph="1"/>
      <c r="X1476" s="241"/>
      <c r="Y1476" s="284"/>
      <c r="Z1476" s="207"/>
      <c r="AA1476" s="284"/>
      <c r="AB1476" s="284"/>
      <c r="AC1476" s="284"/>
      <c r="AD1476" s="284"/>
      <c r="AE1476" s="284"/>
      <c r="AF1476" s="284"/>
      <c r="AG1476" s="284"/>
      <c r="AI1476" s="131"/>
    </row>
    <row r="1477" spans="1:35" ht="26.4">
      <c r="A1477" s="284"/>
      <c r="B1477" s="284"/>
      <c r="C1477" s="284"/>
      <c r="D1477" s="284"/>
      <c r="E1477" s="284"/>
      <c r="F1477" s="284"/>
      <c r="G1477" s="284"/>
      <c r="H1477" s="284"/>
      <c r="I1477" s="284"/>
      <c r="J1477" s="375"/>
      <c r="K1477" s="375"/>
      <c r="L1477" s="375"/>
      <c r="M1477" s="368"/>
      <c r="N1477" s="368"/>
      <c r="T1477" s="349"/>
      <c r="V1477" s="378"/>
      <c r="W1477" s="64" ph="1"/>
      <c r="X1477" s="241"/>
      <c r="Y1477" s="284"/>
      <c r="Z1477" s="207"/>
      <c r="AA1477" s="284"/>
      <c r="AB1477" s="284"/>
      <c r="AC1477" s="284"/>
      <c r="AD1477" s="284"/>
      <c r="AE1477" s="284"/>
      <c r="AF1477" s="284"/>
      <c r="AG1477" s="284"/>
      <c r="AI1477" s="131"/>
    </row>
    <row r="1478" spans="1:35">
      <c r="AI1478" s="284"/>
    </row>
    <row r="1479" spans="1:35" ht="26.4">
      <c r="A1479" s="284"/>
      <c r="B1479" s="284"/>
      <c r="C1479" s="284"/>
      <c r="D1479" s="284"/>
      <c r="E1479" s="284"/>
      <c r="F1479" s="284"/>
      <c r="G1479" s="284"/>
      <c r="H1479" s="284"/>
      <c r="I1479" s="284"/>
      <c r="J1479" s="375"/>
      <c r="K1479" s="375"/>
      <c r="L1479" s="375"/>
      <c r="M1479" s="368"/>
      <c r="N1479" s="368"/>
      <c r="O1479" s="370"/>
      <c r="T1479" s="349"/>
      <c r="V1479" s="378"/>
      <c r="W1479" s="64" ph="1"/>
      <c r="X1479" s="241"/>
      <c r="Y1479" s="284"/>
      <c r="Z1479" s="207"/>
      <c r="AA1479" s="284"/>
      <c r="AB1479" s="284"/>
      <c r="AC1479" s="284"/>
      <c r="AD1479" s="284"/>
      <c r="AE1479" s="284"/>
      <c r="AF1479" s="284"/>
      <c r="AG1479" s="284"/>
      <c r="AI1479" s="131"/>
    </row>
    <row r="1480" spans="1:35">
      <c r="AI1480" s="131"/>
    </row>
    <row r="1481" spans="1:35" ht="26.4">
      <c r="A1481" s="284"/>
      <c r="B1481" s="284"/>
      <c r="C1481" s="284"/>
      <c r="D1481" s="284"/>
      <c r="E1481" s="284"/>
      <c r="F1481" s="284"/>
      <c r="G1481" s="284"/>
      <c r="H1481" s="284"/>
      <c r="I1481" s="284"/>
      <c r="J1481" s="375"/>
      <c r="K1481" s="375"/>
      <c r="L1481" s="375"/>
      <c r="M1481" s="368"/>
      <c r="N1481" s="368"/>
      <c r="T1481" s="349"/>
      <c r="V1481" s="378"/>
      <c r="W1481" s="64" ph="1"/>
      <c r="X1481" s="241"/>
      <c r="Y1481" s="284"/>
      <c r="Z1481" s="207"/>
      <c r="AA1481" s="284"/>
      <c r="AB1481" s="284"/>
      <c r="AC1481" s="284"/>
      <c r="AD1481" s="284"/>
      <c r="AE1481" s="284"/>
      <c r="AF1481" s="284"/>
      <c r="AG1481" s="284"/>
      <c r="AI1481" s="131"/>
    </row>
    <row r="1482" spans="1:35" ht="26.4">
      <c r="A1482" s="284"/>
      <c r="B1482" s="284"/>
      <c r="C1482" s="284"/>
      <c r="D1482" s="284"/>
      <c r="E1482" s="284"/>
      <c r="F1482" s="284"/>
      <c r="G1482" s="284"/>
      <c r="H1482" s="284"/>
      <c r="I1482" s="284"/>
      <c r="J1482" s="375"/>
      <c r="K1482" s="375"/>
      <c r="L1482" s="375"/>
      <c r="M1482" s="368"/>
      <c r="N1482" s="368"/>
      <c r="T1482" s="349"/>
      <c r="V1482" s="378"/>
      <c r="W1482" s="64" ph="1"/>
      <c r="X1482" s="241"/>
      <c r="Y1482" s="284"/>
      <c r="Z1482" s="207"/>
      <c r="AA1482" s="284"/>
      <c r="AB1482" s="284"/>
      <c r="AC1482" s="284"/>
      <c r="AD1482" s="284"/>
      <c r="AE1482" s="284"/>
      <c r="AF1482" s="284"/>
      <c r="AG1482" s="284"/>
      <c r="AI1482" s="131"/>
    </row>
    <row r="1483" spans="1:35" ht="26.4">
      <c r="A1483" s="284"/>
      <c r="B1483" s="284"/>
      <c r="C1483" s="284"/>
      <c r="D1483" s="284"/>
      <c r="E1483" s="284"/>
      <c r="F1483" s="284"/>
      <c r="G1483" s="284"/>
      <c r="H1483" s="284"/>
      <c r="I1483" s="284"/>
      <c r="J1483" s="375"/>
      <c r="K1483" s="375"/>
      <c r="L1483" s="375"/>
      <c r="M1483" s="368"/>
      <c r="N1483" s="368"/>
      <c r="T1483" s="349"/>
      <c r="V1483" s="378"/>
      <c r="W1483" s="64" ph="1"/>
      <c r="X1483" s="241"/>
      <c r="Y1483" s="284"/>
      <c r="Z1483" s="207"/>
      <c r="AA1483" s="284"/>
      <c r="AB1483" s="284"/>
      <c r="AC1483" s="284"/>
      <c r="AD1483" s="284"/>
      <c r="AE1483" s="284"/>
      <c r="AF1483" s="284"/>
      <c r="AG1483" s="284"/>
      <c r="AI1483" s="131"/>
    </row>
    <row r="1484" spans="1:35" ht="26.4">
      <c r="A1484" s="284"/>
      <c r="B1484" s="284"/>
      <c r="C1484" s="284"/>
      <c r="D1484" s="284"/>
      <c r="E1484" s="284"/>
      <c r="F1484" s="284"/>
      <c r="G1484" s="284"/>
      <c r="H1484" s="284"/>
      <c r="I1484" s="284"/>
      <c r="J1484" s="375"/>
      <c r="K1484" s="375"/>
      <c r="L1484" s="375"/>
      <c r="M1484" s="368"/>
      <c r="N1484" s="368"/>
      <c r="O1484" s="370"/>
      <c r="T1484" s="349"/>
      <c r="V1484" s="378"/>
      <c r="W1484" s="64" ph="1"/>
      <c r="X1484" s="241"/>
      <c r="Y1484" s="284"/>
      <c r="Z1484" s="207"/>
      <c r="AA1484" s="284"/>
      <c r="AB1484" s="284"/>
      <c r="AC1484" s="284"/>
      <c r="AD1484" s="284"/>
      <c r="AE1484" s="284"/>
      <c r="AF1484" s="284"/>
      <c r="AG1484" s="284"/>
      <c r="AI1484" s="131"/>
    </row>
    <row r="1485" spans="1:35" ht="26.4">
      <c r="A1485" s="284"/>
      <c r="B1485" s="284"/>
      <c r="C1485" s="284"/>
      <c r="D1485" s="284"/>
      <c r="E1485" s="284"/>
      <c r="F1485" s="284"/>
      <c r="G1485" s="284"/>
      <c r="H1485" s="284"/>
      <c r="I1485" s="284"/>
      <c r="J1485" s="375"/>
      <c r="K1485" s="375"/>
      <c r="L1485" s="375"/>
      <c r="M1485" s="368"/>
      <c r="N1485" s="368"/>
      <c r="O1485" s="370"/>
      <c r="T1485" s="349"/>
      <c r="V1485" s="378"/>
      <c r="W1485" s="64" ph="1"/>
      <c r="X1485" s="241"/>
      <c r="Y1485" s="284"/>
      <c r="Z1485" s="207"/>
      <c r="AA1485" s="284"/>
      <c r="AB1485" s="284"/>
      <c r="AC1485" s="284"/>
      <c r="AD1485" s="284"/>
      <c r="AE1485" s="284"/>
      <c r="AF1485" s="284"/>
      <c r="AG1485" s="284"/>
      <c r="AI1485" s="131"/>
    </row>
    <row r="1486" spans="1:35" ht="26.4">
      <c r="A1486" s="284"/>
      <c r="B1486" s="284"/>
      <c r="C1486" s="284"/>
      <c r="D1486" s="284"/>
      <c r="E1486" s="284"/>
      <c r="F1486" s="284"/>
      <c r="G1486" s="284"/>
      <c r="H1486" s="284"/>
      <c r="I1486" s="284"/>
      <c r="J1486" s="375"/>
      <c r="K1486" s="375"/>
      <c r="L1486" s="375"/>
      <c r="M1486" s="368"/>
      <c r="N1486" s="368"/>
      <c r="O1486" s="370"/>
      <c r="T1486" s="349"/>
      <c r="V1486" s="378"/>
      <c r="W1486" s="64" ph="1"/>
      <c r="X1486" s="241"/>
      <c r="Y1486" s="284"/>
      <c r="Z1486" s="207"/>
      <c r="AA1486" s="284"/>
      <c r="AB1486" s="284"/>
      <c r="AC1486" s="284"/>
      <c r="AD1486" s="284"/>
      <c r="AE1486" s="284"/>
      <c r="AF1486" s="284"/>
      <c r="AG1486" s="284"/>
      <c r="AI1486" s="131"/>
    </row>
    <row r="1487" spans="1:35" ht="26.4">
      <c r="A1487" s="284"/>
      <c r="B1487" s="284"/>
      <c r="C1487" s="284"/>
      <c r="D1487" s="284"/>
      <c r="E1487" s="284"/>
      <c r="F1487" s="284"/>
      <c r="G1487" s="284"/>
      <c r="H1487" s="284"/>
      <c r="I1487" s="284"/>
      <c r="J1487" s="375"/>
      <c r="K1487" s="375"/>
      <c r="L1487" s="375"/>
      <c r="M1487" s="368"/>
      <c r="N1487" s="368"/>
      <c r="T1487" s="349"/>
      <c r="V1487" s="378"/>
      <c r="W1487" s="64" ph="1"/>
      <c r="X1487" s="241"/>
      <c r="Y1487" s="284"/>
      <c r="Z1487" s="207"/>
      <c r="AA1487" s="284"/>
      <c r="AB1487" s="284"/>
      <c r="AC1487" s="284"/>
      <c r="AD1487" s="284"/>
      <c r="AE1487" s="284"/>
      <c r="AF1487" s="284"/>
      <c r="AG1487" s="284"/>
      <c r="AI1487" s="131"/>
    </row>
    <row r="1488" spans="1:35" ht="26.4">
      <c r="A1488" s="284"/>
      <c r="B1488" s="284"/>
      <c r="C1488" s="284"/>
      <c r="D1488" s="284"/>
      <c r="E1488" s="284"/>
      <c r="F1488" s="284"/>
      <c r="G1488" s="284"/>
      <c r="H1488" s="284"/>
      <c r="I1488" s="284"/>
      <c r="J1488" s="375"/>
      <c r="K1488" s="375"/>
      <c r="L1488" s="375"/>
      <c r="M1488" s="368"/>
      <c r="N1488" s="368"/>
      <c r="O1488" s="370"/>
      <c r="T1488" s="349"/>
      <c r="V1488" s="378"/>
      <c r="W1488" s="64" ph="1"/>
      <c r="X1488" s="241"/>
      <c r="Y1488" s="284"/>
      <c r="Z1488" s="207"/>
      <c r="AA1488" s="284"/>
      <c r="AB1488" s="284"/>
      <c r="AC1488" s="284"/>
      <c r="AD1488" s="284"/>
      <c r="AE1488" s="284"/>
      <c r="AF1488" s="284"/>
      <c r="AG1488" s="284"/>
      <c r="AI1488" s="131"/>
    </row>
    <row r="1489" spans="1:35" ht="26.4">
      <c r="A1489" s="284"/>
      <c r="B1489" s="284"/>
      <c r="C1489" s="284"/>
      <c r="D1489" s="284"/>
      <c r="E1489" s="284"/>
      <c r="F1489" s="284"/>
      <c r="G1489" s="284"/>
      <c r="H1489" s="284"/>
      <c r="I1489" s="284"/>
      <c r="J1489" s="375"/>
      <c r="K1489" s="375"/>
      <c r="L1489" s="375"/>
      <c r="M1489" s="368"/>
      <c r="N1489" s="368"/>
      <c r="O1489" s="370"/>
      <c r="T1489" s="349"/>
      <c r="V1489" s="378"/>
      <c r="W1489" s="64" ph="1"/>
      <c r="X1489" s="241"/>
      <c r="Y1489" s="284"/>
      <c r="Z1489" s="207"/>
      <c r="AA1489" s="284"/>
      <c r="AB1489" s="284"/>
      <c r="AC1489" s="284"/>
      <c r="AD1489" s="284"/>
      <c r="AE1489" s="284"/>
      <c r="AF1489" s="284"/>
      <c r="AG1489" s="284"/>
      <c r="AI1489" s="131"/>
    </row>
    <row r="1490" spans="1:35" ht="26.4">
      <c r="A1490" s="284"/>
      <c r="B1490" s="284"/>
      <c r="C1490" s="284"/>
      <c r="D1490" s="284"/>
      <c r="E1490" s="284"/>
      <c r="F1490" s="284"/>
      <c r="G1490" s="284"/>
      <c r="H1490" s="284"/>
      <c r="I1490" s="284"/>
      <c r="J1490" s="375"/>
      <c r="K1490" s="375"/>
      <c r="L1490" s="375"/>
      <c r="M1490" s="368"/>
      <c r="N1490" s="368"/>
      <c r="T1490" s="349"/>
      <c r="V1490" s="378"/>
      <c r="W1490" s="64" ph="1"/>
      <c r="X1490" s="241"/>
      <c r="Y1490" s="284"/>
      <c r="Z1490" s="207"/>
      <c r="AA1490" s="284"/>
      <c r="AB1490" s="284"/>
      <c r="AC1490" s="284"/>
      <c r="AD1490" s="284"/>
      <c r="AE1490" s="284"/>
      <c r="AF1490" s="284"/>
      <c r="AG1490" s="284"/>
      <c r="AI1490" s="131"/>
    </row>
    <row r="1491" spans="1:35">
      <c r="O1491" s="370"/>
      <c r="AI1491" s="131"/>
    </row>
    <row r="1492" spans="1:35" ht="26.4">
      <c r="A1492" s="284"/>
      <c r="B1492" s="284"/>
      <c r="C1492" s="284"/>
      <c r="D1492" s="284"/>
      <c r="E1492" s="284"/>
      <c r="F1492" s="284"/>
      <c r="G1492" s="284"/>
      <c r="H1492" s="284"/>
      <c r="I1492" s="284"/>
      <c r="J1492" s="375"/>
      <c r="K1492" s="375"/>
      <c r="L1492" s="375"/>
      <c r="M1492" s="368"/>
      <c r="N1492" s="368"/>
      <c r="T1492" s="349"/>
      <c r="V1492" s="378"/>
      <c r="W1492" s="64" ph="1"/>
      <c r="X1492" s="241"/>
      <c r="Y1492" s="284"/>
      <c r="Z1492" s="207"/>
      <c r="AA1492" s="284"/>
      <c r="AB1492" s="284"/>
      <c r="AC1492" s="284"/>
      <c r="AD1492" s="284"/>
      <c r="AE1492" s="284"/>
      <c r="AF1492" s="284"/>
      <c r="AG1492" s="284"/>
      <c r="AI1492" s="131"/>
    </row>
    <row r="1493" spans="1:35" ht="26.4">
      <c r="A1493" s="284"/>
      <c r="B1493" s="284"/>
      <c r="C1493" s="284"/>
      <c r="D1493" s="284"/>
      <c r="E1493" s="284"/>
      <c r="F1493" s="284"/>
      <c r="G1493" s="284"/>
      <c r="H1493" s="284"/>
      <c r="I1493" s="284"/>
      <c r="J1493" s="375"/>
      <c r="K1493" s="375"/>
      <c r="L1493" s="375"/>
      <c r="M1493" s="368"/>
      <c r="N1493" s="368"/>
      <c r="O1493" s="370"/>
      <c r="T1493" s="349"/>
      <c r="V1493" s="378"/>
      <c r="W1493" s="64" ph="1"/>
      <c r="X1493" s="241"/>
      <c r="Y1493" s="284"/>
      <c r="Z1493" s="207"/>
      <c r="AA1493" s="284"/>
      <c r="AB1493" s="284"/>
      <c r="AC1493" s="284"/>
      <c r="AD1493" s="284"/>
      <c r="AE1493" s="284"/>
      <c r="AF1493" s="284"/>
      <c r="AG1493" s="284"/>
      <c r="AI1493" s="131"/>
    </row>
    <row r="1494" spans="1:35" ht="26.4">
      <c r="A1494" s="284"/>
      <c r="B1494" s="284"/>
      <c r="C1494" s="284"/>
      <c r="D1494" s="284"/>
      <c r="E1494" s="284"/>
      <c r="F1494" s="284"/>
      <c r="G1494" s="284"/>
      <c r="H1494" s="284"/>
      <c r="I1494" s="284"/>
      <c r="J1494" s="375"/>
      <c r="K1494" s="375"/>
      <c r="L1494" s="375"/>
      <c r="M1494" s="368"/>
      <c r="N1494" s="368"/>
      <c r="O1494" s="370"/>
      <c r="T1494" s="349"/>
      <c r="V1494" s="378"/>
      <c r="W1494" s="64" ph="1"/>
      <c r="X1494" s="241"/>
      <c r="Y1494" s="284"/>
      <c r="Z1494" s="207"/>
      <c r="AA1494" s="284"/>
      <c r="AB1494" s="284"/>
      <c r="AC1494" s="284"/>
      <c r="AD1494" s="284"/>
      <c r="AE1494" s="284"/>
      <c r="AF1494" s="284"/>
      <c r="AG1494" s="284"/>
      <c r="AI1494" s="131"/>
    </row>
    <row r="1495" spans="1:35" ht="26.4">
      <c r="A1495" s="284"/>
      <c r="B1495" s="284"/>
      <c r="C1495" s="284"/>
      <c r="D1495" s="284"/>
      <c r="E1495" s="284"/>
      <c r="F1495" s="284"/>
      <c r="G1495" s="284"/>
      <c r="H1495" s="284"/>
      <c r="I1495" s="284"/>
      <c r="J1495" s="375"/>
      <c r="K1495" s="375"/>
      <c r="L1495" s="375"/>
      <c r="M1495" s="368"/>
      <c r="N1495" s="368"/>
      <c r="O1495" s="370"/>
      <c r="T1495" s="349"/>
      <c r="V1495" s="378"/>
      <c r="W1495" s="64" ph="1"/>
      <c r="X1495" s="241"/>
      <c r="Y1495" s="284"/>
      <c r="Z1495" s="207"/>
      <c r="AA1495" s="284"/>
      <c r="AB1495" s="284"/>
      <c r="AC1495" s="284"/>
      <c r="AD1495" s="284"/>
      <c r="AE1495" s="284"/>
      <c r="AF1495" s="284"/>
      <c r="AG1495" s="284"/>
      <c r="AI1495" s="131"/>
    </row>
    <row r="1496" spans="1:35" ht="26.4">
      <c r="A1496" s="284"/>
      <c r="B1496" s="284"/>
      <c r="C1496" s="284"/>
      <c r="D1496" s="284"/>
      <c r="E1496" s="284"/>
      <c r="F1496" s="284"/>
      <c r="G1496" s="284"/>
      <c r="H1496" s="284"/>
      <c r="I1496" s="284"/>
      <c r="J1496" s="375"/>
      <c r="K1496" s="375"/>
      <c r="L1496" s="375"/>
      <c r="M1496" s="368"/>
      <c r="N1496" s="368"/>
      <c r="O1496" s="370"/>
      <c r="T1496" s="349"/>
      <c r="V1496" s="378"/>
      <c r="W1496" s="64" ph="1"/>
      <c r="X1496" s="241"/>
      <c r="Y1496" s="284"/>
      <c r="Z1496" s="207"/>
      <c r="AA1496" s="284"/>
      <c r="AB1496" s="284"/>
      <c r="AC1496" s="284"/>
      <c r="AD1496" s="284"/>
      <c r="AE1496" s="284"/>
      <c r="AF1496" s="284"/>
      <c r="AG1496" s="284"/>
      <c r="AI1496" s="131"/>
    </row>
    <row r="1497" spans="1:35" ht="26.4">
      <c r="A1497" s="284"/>
      <c r="B1497" s="284"/>
      <c r="C1497" s="284"/>
      <c r="D1497" s="284"/>
      <c r="E1497" s="284"/>
      <c r="F1497" s="284"/>
      <c r="G1497" s="284"/>
      <c r="H1497" s="284"/>
      <c r="I1497" s="284"/>
      <c r="J1497" s="375"/>
      <c r="K1497" s="375"/>
      <c r="L1497" s="375"/>
      <c r="M1497" s="368"/>
      <c r="N1497" s="368"/>
      <c r="O1497" s="370"/>
      <c r="T1497" s="349"/>
      <c r="V1497" s="378"/>
      <c r="W1497" s="64" ph="1"/>
      <c r="X1497" s="241"/>
      <c r="Y1497" s="284"/>
      <c r="Z1497" s="207"/>
      <c r="AA1497" s="284"/>
      <c r="AB1497" s="284"/>
      <c r="AC1497" s="284"/>
      <c r="AD1497" s="284"/>
      <c r="AE1497" s="284"/>
      <c r="AF1497" s="284"/>
      <c r="AG1497" s="284"/>
      <c r="AI1497" s="131"/>
    </row>
    <row r="1498" spans="1:35" ht="26.4">
      <c r="A1498" s="284"/>
      <c r="B1498" s="284"/>
      <c r="C1498" s="284"/>
      <c r="D1498" s="284"/>
      <c r="E1498" s="284"/>
      <c r="F1498" s="284"/>
      <c r="G1498" s="284"/>
      <c r="H1498" s="284"/>
      <c r="I1498" s="284"/>
      <c r="J1498" s="375"/>
      <c r="K1498" s="375"/>
      <c r="L1498" s="375"/>
      <c r="M1498" s="368"/>
      <c r="N1498" s="368"/>
      <c r="O1498" s="370"/>
      <c r="T1498" s="349"/>
      <c r="V1498" s="378"/>
      <c r="W1498" s="64" ph="1"/>
      <c r="X1498" s="241"/>
      <c r="Y1498" s="284"/>
      <c r="Z1498" s="207"/>
      <c r="AA1498" s="284"/>
      <c r="AB1498" s="284"/>
      <c r="AC1498" s="284"/>
      <c r="AD1498" s="284"/>
      <c r="AE1498" s="284"/>
      <c r="AF1498" s="284"/>
      <c r="AG1498" s="284"/>
      <c r="AI1498" s="131"/>
    </row>
    <row r="1499" spans="1:35" ht="26.4">
      <c r="A1499" s="284"/>
      <c r="B1499" s="284"/>
      <c r="C1499" s="284"/>
      <c r="D1499" s="284"/>
      <c r="E1499" s="284"/>
      <c r="F1499" s="284"/>
      <c r="G1499" s="284"/>
      <c r="H1499" s="284"/>
      <c r="I1499" s="284"/>
      <c r="J1499" s="375"/>
      <c r="K1499" s="375"/>
      <c r="L1499" s="375"/>
      <c r="M1499" s="368"/>
      <c r="N1499" s="368"/>
      <c r="O1499" s="370"/>
      <c r="T1499" s="349"/>
      <c r="V1499" s="378"/>
      <c r="W1499" s="64" ph="1"/>
      <c r="X1499" s="241"/>
      <c r="Y1499" s="284"/>
      <c r="Z1499" s="207"/>
      <c r="AA1499" s="284"/>
      <c r="AB1499" s="284"/>
      <c r="AC1499" s="284"/>
      <c r="AD1499" s="284"/>
      <c r="AE1499" s="284"/>
      <c r="AF1499" s="284"/>
      <c r="AG1499" s="284"/>
      <c r="AI1499" s="131"/>
    </row>
    <row r="1500" spans="1:35">
      <c r="O1500" s="370"/>
      <c r="AI1500" s="131"/>
    </row>
    <row r="1501" spans="1:35" ht="26.4">
      <c r="A1501" s="284"/>
      <c r="B1501" s="284"/>
      <c r="C1501" s="284"/>
      <c r="D1501" s="284"/>
      <c r="E1501" s="284"/>
      <c r="F1501" s="284"/>
      <c r="G1501" s="284"/>
      <c r="H1501" s="284"/>
      <c r="I1501" s="284"/>
      <c r="J1501" s="375"/>
      <c r="K1501" s="375"/>
      <c r="L1501" s="375"/>
      <c r="M1501" s="368"/>
      <c r="N1501" s="368"/>
      <c r="O1501" s="370"/>
      <c r="T1501" s="349"/>
      <c r="V1501" s="378"/>
      <c r="W1501" s="64" ph="1"/>
      <c r="X1501" s="241"/>
      <c r="Y1501" s="284"/>
      <c r="Z1501" s="207"/>
      <c r="AA1501" s="284"/>
      <c r="AB1501" s="284"/>
      <c r="AC1501" s="284"/>
      <c r="AD1501" s="284"/>
      <c r="AE1501" s="284"/>
      <c r="AF1501" s="284"/>
      <c r="AG1501" s="284"/>
      <c r="AI1501" s="131"/>
    </row>
    <row r="1502" spans="1:35" ht="26.4">
      <c r="A1502" s="284"/>
      <c r="B1502" s="284"/>
      <c r="C1502" s="284"/>
      <c r="D1502" s="284"/>
      <c r="E1502" s="284"/>
      <c r="F1502" s="284"/>
      <c r="G1502" s="284"/>
      <c r="H1502" s="284"/>
      <c r="I1502" s="284"/>
      <c r="J1502" s="375"/>
      <c r="K1502" s="375"/>
      <c r="L1502" s="375"/>
      <c r="M1502" s="368"/>
      <c r="N1502" s="368"/>
      <c r="O1502" s="370"/>
      <c r="T1502" s="349"/>
      <c r="V1502" s="378"/>
      <c r="W1502" s="64" ph="1"/>
      <c r="X1502" s="241"/>
      <c r="Y1502" s="284"/>
      <c r="Z1502" s="207"/>
      <c r="AA1502" s="284"/>
      <c r="AB1502" s="284"/>
      <c r="AC1502" s="284"/>
      <c r="AD1502" s="284"/>
      <c r="AE1502" s="284"/>
      <c r="AF1502" s="284"/>
      <c r="AG1502" s="284"/>
      <c r="AI1502" s="131"/>
    </row>
    <row r="1503" spans="1:35" ht="26.4">
      <c r="A1503" s="284"/>
      <c r="B1503" s="284"/>
      <c r="C1503" s="284"/>
      <c r="D1503" s="284"/>
      <c r="E1503" s="284"/>
      <c r="F1503" s="284"/>
      <c r="G1503" s="284"/>
      <c r="H1503" s="284"/>
      <c r="I1503" s="284"/>
      <c r="J1503" s="375"/>
      <c r="K1503" s="375"/>
      <c r="L1503" s="375"/>
      <c r="M1503" s="368"/>
      <c r="N1503" s="368"/>
      <c r="T1503" s="349"/>
      <c r="V1503" s="378"/>
      <c r="W1503" s="64" ph="1"/>
      <c r="X1503" s="241"/>
      <c r="Y1503" s="284"/>
      <c r="Z1503" s="207"/>
      <c r="AA1503" s="284"/>
      <c r="AB1503" s="284"/>
      <c r="AC1503" s="284"/>
      <c r="AD1503" s="284"/>
      <c r="AE1503" s="284"/>
      <c r="AF1503" s="284"/>
      <c r="AG1503" s="284"/>
      <c r="AI1503" s="131"/>
    </row>
    <row r="1504" spans="1:35" ht="26.4">
      <c r="A1504" s="284"/>
      <c r="B1504" s="284"/>
      <c r="C1504" s="284"/>
      <c r="D1504" s="284"/>
      <c r="E1504" s="284"/>
      <c r="F1504" s="284"/>
      <c r="G1504" s="284"/>
      <c r="H1504" s="284"/>
      <c r="I1504" s="284"/>
      <c r="J1504" s="375"/>
      <c r="K1504" s="375"/>
      <c r="L1504" s="375"/>
      <c r="M1504" s="368"/>
      <c r="N1504" s="368"/>
      <c r="O1504" s="370"/>
      <c r="T1504" s="349"/>
      <c r="V1504" s="378"/>
      <c r="W1504" s="64" ph="1"/>
      <c r="X1504" s="241"/>
      <c r="Y1504" s="284"/>
      <c r="Z1504" s="207"/>
      <c r="AA1504" s="284"/>
      <c r="AB1504" s="284"/>
      <c r="AC1504" s="284"/>
      <c r="AD1504" s="284"/>
      <c r="AE1504" s="284"/>
      <c r="AF1504" s="284"/>
      <c r="AG1504" s="284"/>
      <c r="AI1504" s="131"/>
    </row>
    <row r="1505" spans="1:35" ht="26.4">
      <c r="A1505" s="284"/>
      <c r="B1505" s="284"/>
      <c r="C1505" s="284"/>
      <c r="D1505" s="284"/>
      <c r="E1505" s="284"/>
      <c r="F1505" s="284"/>
      <c r="G1505" s="284"/>
      <c r="H1505" s="284"/>
      <c r="I1505" s="284"/>
      <c r="J1505" s="375"/>
      <c r="K1505" s="375"/>
      <c r="L1505" s="375"/>
      <c r="M1505" s="368"/>
      <c r="N1505" s="368"/>
      <c r="O1505" s="370"/>
      <c r="T1505" s="349"/>
      <c r="V1505" s="378"/>
      <c r="W1505" s="64" ph="1"/>
      <c r="X1505" s="241"/>
      <c r="Y1505" s="284"/>
      <c r="Z1505" s="207"/>
      <c r="AA1505" s="284"/>
      <c r="AB1505" s="284"/>
      <c r="AC1505" s="284"/>
      <c r="AD1505" s="284"/>
      <c r="AE1505" s="284"/>
      <c r="AF1505" s="284"/>
      <c r="AG1505" s="284"/>
      <c r="AI1505" s="131"/>
    </row>
    <row r="1506" spans="1:35" ht="26.4">
      <c r="A1506" s="284"/>
      <c r="B1506" s="284"/>
      <c r="C1506" s="284"/>
      <c r="D1506" s="284"/>
      <c r="E1506" s="284"/>
      <c r="F1506" s="284"/>
      <c r="G1506" s="284"/>
      <c r="H1506" s="284"/>
      <c r="I1506" s="284"/>
      <c r="J1506" s="375"/>
      <c r="K1506" s="375"/>
      <c r="L1506" s="375"/>
      <c r="M1506" s="368"/>
      <c r="N1506" s="368"/>
      <c r="O1506" s="370"/>
      <c r="T1506" s="349"/>
      <c r="V1506" s="378"/>
      <c r="W1506" s="64" ph="1"/>
      <c r="X1506" s="241"/>
      <c r="Y1506" s="284"/>
      <c r="Z1506" s="207"/>
      <c r="AA1506" s="284"/>
      <c r="AB1506" s="284"/>
      <c r="AC1506" s="284"/>
      <c r="AD1506" s="284"/>
      <c r="AE1506" s="284"/>
      <c r="AF1506" s="284"/>
      <c r="AG1506" s="284"/>
      <c r="AI1506" s="131"/>
    </row>
    <row r="1507" spans="1:35" ht="26.4">
      <c r="A1507" s="284"/>
      <c r="B1507" s="284"/>
      <c r="C1507" s="284"/>
      <c r="D1507" s="284"/>
      <c r="E1507" s="284"/>
      <c r="F1507" s="284"/>
      <c r="G1507" s="284"/>
      <c r="H1507" s="284"/>
      <c r="I1507" s="284"/>
      <c r="J1507" s="375"/>
      <c r="K1507" s="375"/>
      <c r="L1507" s="375"/>
      <c r="M1507" s="368"/>
      <c r="N1507" s="368"/>
      <c r="O1507" s="370"/>
      <c r="T1507" s="349"/>
      <c r="V1507" s="378"/>
      <c r="W1507" s="64" ph="1"/>
      <c r="X1507" s="241"/>
      <c r="Y1507" s="284"/>
      <c r="Z1507" s="207"/>
      <c r="AA1507" s="284"/>
      <c r="AB1507" s="284"/>
      <c r="AC1507" s="284"/>
      <c r="AD1507" s="284"/>
      <c r="AE1507" s="284"/>
      <c r="AF1507" s="284"/>
      <c r="AG1507" s="284"/>
      <c r="AI1507" s="131"/>
    </row>
    <row r="1508" spans="1:35" ht="26.4">
      <c r="A1508" s="284"/>
      <c r="B1508" s="284"/>
      <c r="C1508" s="284"/>
      <c r="D1508" s="284"/>
      <c r="E1508" s="284"/>
      <c r="F1508" s="284"/>
      <c r="G1508" s="284"/>
      <c r="H1508" s="284"/>
      <c r="I1508" s="284"/>
      <c r="J1508" s="375"/>
      <c r="K1508" s="375"/>
      <c r="L1508" s="375"/>
      <c r="M1508" s="368"/>
      <c r="N1508" s="368"/>
      <c r="O1508" s="370"/>
      <c r="T1508" s="349"/>
      <c r="V1508" s="378"/>
      <c r="W1508" s="64" ph="1"/>
      <c r="X1508" s="241"/>
      <c r="Y1508" s="284"/>
      <c r="Z1508" s="207"/>
      <c r="AA1508" s="284"/>
      <c r="AB1508" s="284"/>
      <c r="AC1508" s="284"/>
      <c r="AD1508" s="284"/>
      <c r="AE1508" s="284"/>
      <c r="AF1508" s="284"/>
      <c r="AG1508" s="284"/>
      <c r="AI1508" s="131"/>
    </row>
    <row r="1509" spans="1:35" ht="26.4">
      <c r="A1509" s="284"/>
      <c r="B1509" s="284"/>
      <c r="C1509" s="284"/>
      <c r="D1509" s="284"/>
      <c r="E1509" s="284"/>
      <c r="F1509" s="284"/>
      <c r="G1509" s="284"/>
      <c r="H1509" s="284"/>
      <c r="I1509" s="284"/>
      <c r="J1509" s="375"/>
      <c r="K1509" s="375"/>
      <c r="L1509" s="375"/>
      <c r="M1509" s="368"/>
      <c r="N1509" s="368"/>
      <c r="O1509" s="370"/>
      <c r="T1509" s="349"/>
      <c r="V1509" s="378"/>
      <c r="W1509" s="64" ph="1"/>
      <c r="X1509" s="241"/>
      <c r="Y1509" s="284"/>
      <c r="Z1509" s="207"/>
      <c r="AA1509" s="284"/>
      <c r="AB1509" s="284"/>
      <c r="AC1509" s="284"/>
      <c r="AD1509" s="284"/>
      <c r="AE1509" s="284"/>
      <c r="AF1509" s="284"/>
      <c r="AG1509" s="284"/>
      <c r="AI1509" s="131"/>
    </row>
    <row r="1510" spans="1:35" ht="26.4">
      <c r="A1510" s="284"/>
      <c r="B1510" s="284"/>
      <c r="C1510" s="284"/>
      <c r="D1510" s="284"/>
      <c r="E1510" s="284"/>
      <c r="F1510" s="284"/>
      <c r="G1510" s="284"/>
      <c r="H1510" s="284"/>
      <c r="I1510" s="284"/>
      <c r="J1510" s="375"/>
      <c r="K1510" s="375"/>
      <c r="L1510" s="375"/>
      <c r="M1510" s="368"/>
      <c r="N1510" s="368"/>
      <c r="O1510" s="370"/>
      <c r="T1510" s="349"/>
      <c r="V1510" s="378"/>
      <c r="W1510" s="64" ph="1"/>
      <c r="X1510" s="241"/>
      <c r="Y1510" s="284"/>
      <c r="Z1510" s="207"/>
      <c r="AA1510" s="284"/>
      <c r="AB1510" s="284"/>
      <c r="AC1510" s="284"/>
      <c r="AD1510" s="284"/>
      <c r="AE1510" s="284"/>
      <c r="AF1510" s="284"/>
      <c r="AG1510" s="284"/>
      <c r="AI1510" s="131"/>
    </row>
    <row r="1511" spans="1:35" ht="26.4">
      <c r="A1511" s="284"/>
      <c r="B1511" s="284"/>
      <c r="C1511" s="284"/>
      <c r="D1511" s="284"/>
      <c r="E1511" s="284"/>
      <c r="F1511" s="284"/>
      <c r="G1511" s="284"/>
      <c r="H1511" s="284"/>
      <c r="I1511" s="284"/>
      <c r="J1511" s="375"/>
      <c r="K1511" s="375"/>
      <c r="L1511" s="375"/>
      <c r="M1511" s="368"/>
      <c r="N1511" s="368"/>
      <c r="O1511" s="370"/>
      <c r="T1511" s="349"/>
      <c r="V1511" s="378"/>
      <c r="W1511" s="64" ph="1"/>
      <c r="X1511" s="241"/>
      <c r="Y1511" s="284"/>
      <c r="Z1511" s="207"/>
      <c r="AA1511" s="284"/>
      <c r="AB1511" s="284"/>
      <c r="AC1511" s="284"/>
      <c r="AD1511" s="284"/>
      <c r="AE1511" s="284"/>
      <c r="AF1511" s="284"/>
      <c r="AG1511" s="284"/>
      <c r="AI1511" s="128"/>
    </row>
    <row r="1512" spans="1:35">
      <c r="AI1512" s="131"/>
    </row>
    <row r="1513" spans="1:35" ht="26.4">
      <c r="A1513" s="284"/>
      <c r="B1513" s="284"/>
      <c r="C1513" s="284"/>
      <c r="D1513" s="284"/>
      <c r="E1513" s="284"/>
      <c r="F1513" s="284"/>
      <c r="G1513" s="284"/>
      <c r="H1513" s="284"/>
      <c r="I1513" s="284"/>
      <c r="J1513" s="375"/>
      <c r="K1513" s="375"/>
      <c r="L1513" s="375"/>
      <c r="M1513" s="368"/>
      <c r="N1513" s="368"/>
      <c r="O1513" s="370"/>
      <c r="T1513" s="349"/>
      <c r="V1513" s="378"/>
      <c r="W1513" s="64" ph="1"/>
      <c r="X1513" s="241"/>
      <c r="Y1513" s="284"/>
      <c r="Z1513" s="207"/>
      <c r="AA1513" s="284"/>
      <c r="AB1513" s="284"/>
      <c r="AC1513" s="284"/>
      <c r="AD1513" s="284"/>
      <c r="AE1513" s="284"/>
      <c r="AF1513" s="284"/>
      <c r="AG1513" s="284"/>
      <c r="AI1513" s="131"/>
    </row>
    <row r="1514" spans="1:35" ht="26.4">
      <c r="A1514" s="284"/>
      <c r="B1514" s="284"/>
      <c r="C1514" s="284"/>
      <c r="D1514" s="284"/>
      <c r="E1514" s="284"/>
      <c r="F1514" s="284"/>
      <c r="G1514" s="284"/>
      <c r="H1514" s="284"/>
      <c r="I1514" s="284"/>
      <c r="J1514" s="375"/>
      <c r="K1514" s="375"/>
      <c r="L1514" s="375"/>
      <c r="M1514" s="368"/>
      <c r="N1514" s="368"/>
      <c r="O1514" s="370"/>
      <c r="T1514" s="349"/>
      <c r="V1514" s="378"/>
      <c r="W1514" s="64" ph="1"/>
      <c r="X1514" s="241"/>
      <c r="Y1514" s="284"/>
      <c r="Z1514" s="207"/>
      <c r="AA1514" s="284"/>
      <c r="AB1514" s="284"/>
      <c r="AC1514" s="284"/>
      <c r="AD1514" s="284"/>
      <c r="AE1514" s="284"/>
      <c r="AF1514" s="284"/>
      <c r="AG1514" s="284"/>
      <c r="AI1514" s="131"/>
    </row>
    <row r="1515" spans="1:35" ht="26.4">
      <c r="A1515" s="284"/>
      <c r="B1515" s="284"/>
      <c r="C1515" s="284"/>
      <c r="D1515" s="284"/>
      <c r="E1515" s="284"/>
      <c r="F1515" s="284"/>
      <c r="G1515" s="284"/>
      <c r="H1515" s="284"/>
      <c r="I1515" s="284"/>
      <c r="J1515" s="375"/>
      <c r="K1515" s="375"/>
      <c r="L1515" s="375"/>
      <c r="M1515" s="368"/>
      <c r="N1515" s="368"/>
      <c r="O1515" s="370"/>
      <c r="T1515" s="349"/>
      <c r="V1515" s="378"/>
      <c r="W1515" s="64" ph="1"/>
      <c r="X1515" s="241"/>
      <c r="Y1515" s="284"/>
      <c r="Z1515" s="207"/>
      <c r="AA1515" s="284"/>
      <c r="AB1515" s="284"/>
      <c r="AC1515" s="284"/>
      <c r="AD1515" s="284"/>
      <c r="AE1515" s="284"/>
      <c r="AF1515" s="284"/>
      <c r="AG1515" s="284"/>
      <c r="AI1515" s="131"/>
    </row>
    <row r="1516" spans="1:35" ht="26.4">
      <c r="A1516" s="284"/>
      <c r="B1516" s="284"/>
      <c r="C1516" s="284"/>
      <c r="D1516" s="284"/>
      <c r="E1516" s="284"/>
      <c r="F1516" s="284"/>
      <c r="G1516" s="284"/>
      <c r="H1516" s="284"/>
      <c r="I1516" s="284"/>
      <c r="J1516" s="375"/>
      <c r="K1516" s="375"/>
      <c r="L1516" s="375"/>
      <c r="M1516" s="368"/>
      <c r="N1516" s="368"/>
      <c r="O1516" s="370"/>
      <c r="T1516" s="349"/>
      <c r="V1516" s="378"/>
      <c r="W1516" s="64" ph="1"/>
      <c r="X1516" s="241"/>
      <c r="Y1516" s="284"/>
      <c r="Z1516" s="207"/>
      <c r="AA1516" s="284"/>
      <c r="AB1516" s="284"/>
      <c r="AC1516" s="284"/>
      <c r="AD1516" s="284"/>
      <c r="AE1516" s="284"/>
      <c r="AF1516" s="284"/>
      <c r="AG1516" s="284"/>
      <c r="AI1516" s="131"/>
    </row>
    <row r="1517" spans="1:35" ht="26.4">
      <c r="A1517" s="284"/>
      <c r="B1517" s="284"/>
      <c r="C1517" s="284"/>
      <c r="D1517" s="284"/>
      <c r="E1517" s="284"/>
      <c r="F1517" s="284"/>
      <c r="G1517" s="284"/>
      <c r="H1517" s="284"/>
      <c r="I1517" s="284"/>
      <c r="J1517" s="375"/>
      <c r="K1517" s="375"/>
      <c r="L1517" s="375"/>
      <c r="M1517" s="368"/>
      <c r="N1517" s="368"/>
      <c r="O1517" s="370"/>
      <c r="T1517" s="349"/>
      <c r="V1517" s="378"/>
      <c r="W1517" s="64" ph="1"/>
      <c r="X1517" s="241"/>
      <c r="Y1517" s="284"/>
      <c r="Z1517" s="207"/>
      <c r="AA1517" s="284"/>
      <c r="AB1517" s="284"/>
      <c r="AC1517" s="284"/>
      <c r="AD1517" s="284"/>
      <c r="AE1517" s="284"/>
      <c r="AF1517" s="284"/>
      <c r="AG1517" s="284"/>
      <c r="AI1517" s="131"/>
    </row>
    <row r="1518" spans="1:35" ht="26.4">
      <c r="A1518" s="284"/>
      <c r="B1518" s="284"/>
      <c r="C1518" s="284"/>
      <c r="D1518" s="284"/>
      <c r="E1518" s="284"/>
      <c r="F1518" s="284"/>
      <c r="G1518" s="284"/>
      <c r="H1518" s="284"/>
      <c r="I1518" s="284"/>
      <c r="J1518" s="375"/>
      <c r="K1518" s="375"/>
      <c r="L1518" s="375"/>
      <c r="M1518" s="368"/>
      <c r="N1518" s="368"/>
      <c r="O1518" s="370"/>
      <c r="T1518" s="349"/>
      <c r="V1518" s="378"/>
      <c r="W1518" s="64" ph="1"/>
      <c r="X1518" s="241"/>
      <c r="Y1518" s="284"/>
      <c r="Z1518" s="207"/>
      <c r="AA1518" s="284"/>
      <c r="AB1518" s="284"/>
      <c r="AC1518" s="284"/>
      <c r="AD1518" s="284"/>
      <c r="AE1518" s="284"/>
      <c r="AF1518" s="284"/>
      <c r="AG1518" s="284"/>
      <c r="AI1518" s="131"/>
    </row>
    <row r="1519" spans="1:35" ht="26.4">
      <c r="A1519" s="284"/>
      <c r="B1519" s="284"/>
      <c r="C1519" s="284"/>
      <c r="D1519" s="284"/>
      <c r="E1519" s="284"/>
      <c r="F1519" s="284"/>
      <c r="G1519" s="284"/>
      <c r="H1519" s="284"/>
      <c r="I1519" s="284"/>
      <c r="J1519" s="375"/>
      <c r="K1519" s="375"/>
      <c r="L1519" s="375"/>
      <c r="M1519" s="368"/>
      <c r="N1519" s="368"/>
      <c r="O1519" s="370"/>
      <c r="T1519" s="349"/>
      <c r="V1519" s="378"/>
      <c r="W1519" s="64" ph="1"/>
      <c r="X1519" s="241"/>
      <c r="Y1519" s="284"/>
      <c r="Z1519" s="207"/>
      <c r="AA1519" s="284"/>
      <c r="AB1519" s="284"/>
      <c r="AC1519" s="284"/>
      <c r="AD1519" s="284"/>
      <c r="AE1519" s="284"/>
      <c r="AF1519" s="284"/>
      <c r="AG1519" s="284"/>
      <c r="AI1519" s="131"/>
    </row>
    <row r="1520" spans="1:35" ht="26.4">
      <c r="A1520" s="284"/>
      <c r="B1520" s="284"/>
      <c r="C1520" s="284"/>
      <c r="D1520" s="284"/>
      <c r="E1520" s="284"/>
      <c r="F1520" s="284"/>
      <c r="G1520" s="284"/>
      <c r="H1520" s="284"/>
      <c r="I1520" s="284"/>
      <c r="J1520" s="375"/>
      <c r="K1520" s="375"/>
      <c r="L1520" s="375"/>
      <c r="M1520" s="368"/>
      <c r="N1520" s="368"/>
      <c r="O1520" s="370"/>
      <c r="T1520" s="349"/>
      <c r="V1520" s="378"/>
      <c r="W1520" s="64" ph="1"/>
      <c r="X1520" s="241"/>
      <c r="Y1520" s="284"/>
      <c r="Z1520" s="207"/>
      <c r="AA1520" s="284"/>
      <c r="AB1520" s="284"/>
      <c r="AC1520" s="284"/>
      <c r="AD1520" s="284"/>
      <c r="AE1520" s="284"/>
      <c r="AF1520" s="284"/>
      <c r="AG1520" s="284"/>
      <c r="AI1520" s="131"/>
    </row>
    <row r="1521" spans="1:35">
      <c r="O1521" s="370"/>
      <c r="AI1521" s="131"/>
    </row>
    <row r="1522" spans="1:35" ht="26.4">
      <c r="A1522" s="284"/>
      <c r="B1522" s="284"/>
      <c r="C1522" s="284"/>
      <c r="D1522" s="284"/>
      <c r="E1522" s="284"/>
      <c r="F1522" s="284"/>
      <c r="G1522" s="284"/>
      <c r="H1522" s="284"/>
      <c r="I1522" s="284"/>
      <c r="J1522" s="375"/>
      <c r="K1522" s="375"/>
      <c r="L1522" s="375"/>
      <c r="M1522" s="368"/>
      <c r="N1522" s="368"/>
      <c r="O1522" s="370"/>
      <c r="T1522" s="349"/>
      <c r="V1522" s="378"/>
      <c r="W1522" s="64" ph="1"/>
      <c r="X1522" s="241"/>
      <c r="Y1522" s="284"/>
      <c r="Z1522" s="207"/>
      <c r="AA1522" s="284"/>
      <c r="AB1522" s="284"/>
      <c r="AC1522" s="284"/>
      <c r="AD1522" s="284"/>
      <c r="AE1522" s="284"/>
      <c r="AF1522" s="284"/>
      <c r="AG1522" s="284"/>
      <c r="AI1522" s="131"/>
    </row>
    <row r="1523" spans="1:35" ht="26.4">
      <c r="A1523" s="284"/>
      <c r="B1523" s="284"/>
      <c r="C1523" s="284"/>
      <c r="D1523" s="284"/>
      <c r="E1523" s="284"/>
      <c r="F1523" s="284"/>
      <c r="G1523" s="284"/>
      <c r="H1523" s="284"/>
      <c r="I1523" s="284"/>
      <c r="J1523" s="375"/>
      <c r="K1523" s="375"/>
      <c r="L1523" s="375"/>
      <c r="M1523" s="368"/>
      <c r="N1523" s="368"/>
      <c r="O1523" s="370"/>
      <c r="T1523" s="349"/>
      <c r="V1523" s="378"/>
      <c r="W1523" s="64" ph="1"/>
      <c r="X1523" s="241"/>
      <c r="Y1523" s="284"/>
      <c r="Z1523" s="207"/>
      <c r="AA1523" s="284"/>
      <c r="AB1523" s="284"/>
      <c r="AC1523" s="284"/>
      <c r="AD1523" s="284"/>
      <c r="AE1523" s="284"/>
      <c r="AF1523" s="284"/>
      <c r="AG1523" s="284"/>
      <c r="AI1523" s="131"/>
    </row>
    <row r="1524" spans="1:35" ht="26.4">
      <c r="A1524" s="284"/>
      <c r="B1524" s="284"/>
      <c r="C1524" s="284"/>
      <c r="D1524" s="284"/>
      <c r="E1524" s="284"/>
      <c r="F1524" s="284"/>
      <c r="G1524" s="284"/>
      <c r="H1524" s="284"/>
      <c r="I1524" s="284"/>
      <c r="J1524" s="375"/>
      <c r="K1524" s="375"/>
      <c r="L1524" s="375"/>
      <c r="M1524" s="368"/>
      <c r="N1524" s="368"/>
      <c r="T1524" s="349"/>
      <c r="V1524" s="378"/>
      <c r="W1524" s="64" ph="1"/>
      <c r="X1524" s="241"/>
      <c r="Y1524" s="284"/>
      <c r="Z1524" s="207"/>
      <c r="AA1524" s="284"/>
      <c r="AB1524" s="284"/>
      <c r="AC1524" s="284"/>
      <c r="AD1524" s="284"/>
      <c r="AE1524" s="284"/>
      <c r="AF1524" s="284"/>
      <c r="AG1524" s="284"/>
      <c r="AI1524" s="131"/>
    </row>
    <row r="1525" spans="1:35" ht="26.4">
      <c r="A1525" s="284"/>
      <c r="B1525" s="284"/>
      <c r="C1525" s="284"/>
      <c r="D1525" s="284"/>
      <c r="E1525" s="284"/>
      <c r="F1525" s="284"/>
      <c r="G1525" s="284"/>
      <c r="H1525" s="284"/>
      <c r="I1525" s="284"/>
      <c r="J1525" s="375"/>
      <c r="K1525" s="375"/>
      <c r="L1525" s="375"/>
      <c r="M1525" s="368"/>
      <c r="N1525" s="368"/>
      <c r="O1525" s="370"/>
      <c r="T1525" s="349"/>
      <c r="V1525" s="378"/>
      <c r="W1525" s="64" ph="1"/>
      <c r="X1525" s="241"/>
      <c r="Y1525" s="284"/>
      <c r="Z1525" s="207"/>
      <c r="AA1525" s="284"/>
      <c r="AB1525" s="284"/>
      <c r="AC1525" s="284"/>
      <c r="AD1525" s="284"/>
      <c r="AE1525" s="284"/>
      <c r="AF1525" s="284"/>
      <c r="AG1525" s="284"/>
      <c r="AI1525" s="284"/>
    </row>
    <row r="1526" spans="1:35" ht="26.4">
      <c r="A1526" s="284"/>
      <c r="B1526" s="284"/>
      <c r="C1526" s="284"/>
      <c r="D1526" s="284"/>
      <c r="E1526" s="284"/>
      <c r="F1526" s="284"/>
      <c r="G1526" s="284"/>
      <c r="H1526" s="284"/>
      <c r="I1526" s="284"/>
      <c r="J1526" s="375"/>
      <c r="K1526" s="375"/>
      <c r="L1526" s="375"/>
      <c r="M1526" s="368"/>
      <c r="N1526" s="368"/>
      <c r="O1526" s="370"/>
      <c r="T1526" s="349"/>
      <c r="V1526" s="378"/>
      <c r="W1526" s="64" ph="1"/>
      <c r="X1526" s="241"/>
      <c r="Y1526" s="284"/>
      <c r="Z1526" s="207"/>
      <c r="AA1526" s="284"/>
      <c r="AB1526" s="284"/>
      <c r="AC1526" s="284"/>
      <c r="AD1526" s="284"/>
      <c r="AE1526" s="284"/>
      <c r="AF1526" s="284"/>
      <c r="AG1526" s="284"/>
      <c r="AI1526" s="131"/>
    </row>
    <row r="1527" spans="1:35" ht="26.4">
      <c r="A1527" s="284"/>
      <c r="B1527" s="284"/>
      <c r="C1527" s="284"/>
      <c r="D1527" s="284"/>
      <c r="E1527" s="284"/>
      <c r="F1527" s="284"/>
      <c r="G1527" s="284"/>
      <c r="H1527" s="284"/>
      <c r="I1527" s="284"/>
      <c r="J1527" s="375"/>
      <c r="K1527" s="375"/>
      <c r="L1527" s="375"/>
      <c r="M1527" s="368"/>
      <c r="N1527" s="368"/>
      <c r="O1527" s="370"/>
      <c r="T1527" s="349"/>
      <c r="V1527" s="378"/>
      <c r="W1527" s="64" ph="1"/>
      <c r="X1527" s="241"/>
      <c r="Y1527" s="284"/>
      <c r="Z1527" s="207"/>
      <c r="AA1527" s="284"/>
      <c r="AB1527" s="284"/>
      <c r="AC1527" s="284"/>
      <c r="AD1527" s="284"/>
      <c r="AE1527" s="284"/>
      <c r="AF1527" s="284"/>
      <c r="AG1527" s="284"/>
      <c r="AI1527" s="131"/>
    </row>
    <row r="1528" spans="1:35" ht="26.4">
      <c r="A1528" s="284"/>
      <c r="B1528" s="284"/>
      <c r="C1528" s="284"/>
      <c r="D1528" s="284"/>
      <c r="E1528" s="284"/>
      <c r="F1528" s="284"/>
      <c r="G1528" s="284"/>
      <c r="H1528" s="284"/>
      <c r="I1528" s="284"/>
      <c r="J1528" s="375"/>
      <c r="K1528" s="375"/>
      <c r="L1528" s="375"/>
      <c r="M1528" s="368"/>
      <c r="N1528" s="368"/>
      <c r="O1528" s="370"/>
      <c r="T1528" s="349"/>
      <c r="V1528" s="378"/>
      <c r="W1528" s="64" ph="1"/>
      <c r="X1528" s="241"/>
      <c r="Y1528" s="284"/>
      <c r="Z1528" s="207"/>
      <c r="AA1528" s="284"/>
      <c r="AB1528" s="284"/>
      <c r="AC1528" s="284"/>
      <c r="AD1528" s="284"/>
      <c r="AE1528" s="284"/>
      <c r="AF1528" s="284"/>
      <c r="AG1528" s="284"/>
      <c r="AI1528" s="131"/>
    </row>
    <row r="1529" spans="1:35" ht="26.4">
      <c r="A1529" s="284"/>
      <c r="B1529" s="284"/>
      <c r="C1529" s="284"/>
      <c r="D1529" s="284"/>
      <c r="E1529" s="284"/>
      <c r="F1529" s="284"/>
      <c r="G1529" s="284"/>
      <c r="H1529" s="284"/>
      <c r="I1529" s="284"/>
      <c r="J1529" s="375"/>
      <c r="K1529" s="375"/>
      <c r="L1529" s="375"/>
      <c r="M1529" s="368"/>
      <c r="N1529" s="368"/>
      <c r="O1529" s="370"/>
      <c r="T1529" s="349"/>
      <c r="V1529" s="378"/>
      <c r="W1529" s="64" ph="1"/>
      <c r="X1529" s="241"/>
      <c r="Y1529" s="284"/>
      <c r="Z1529" s="207"/>
      <c r="AA1529" s="284"/>
      <c r="AB1529" s="284"/>
      <c r="AC1529" s="284"/>
      <c r="AD1529" s="284"/>
      <c r="AE1529" s="284"/>
      <c r="AF1529" s="284"/>
      <c r="AG1529" s="284"/>
      <c r="AI1529" s="131"/>
    </row>
    <row r="1530" spans="1:35" ht="26.4">
      <c r="A1530" s="284"/>
      <c r="B1530" s="284"/>
      <c r="C1530" s="284"/>
      <c r="D1530" s="284"/>
      <c r="E1530" s="284"/>
      <c r="F1530" s="284"/>
      <c r="G1530" s="284"/>
      <c r="H1530" s="284"/>
      <c r="I1530" s="284"/>
      <c r="J1530" s="375"/>
      <c r="K1530" s="375"/>
      <c r="L1530" s="375"/>
      <c r="M1530" s="368"/>
      <c r="N1530" s="368"/>
      <c r="O1530" s="370"/>
      <c r="T1530" s="349"/>
      <c r="V1530" s="378"/>
      <c r="W1530" s="64" ph="1"/>
      <c r="X1530" s="241"/>
      <c r="Y1530" s="284"/>
      <c r="Z1530" s="207"/>
      <c r="AA1530" s="284"/>
      <c r="AB1530" s="284"/>
      <c r="AC1530" s="284"/>
      <c r="AD1530" s="284"/>
      <c r="AE1530" s="284"/>
      <c r="AF1530" s="284"/>
      <c r="AG1530" s="284"/>
      <c r="AI1530" s="131"/>
    </row>
    <row r="1531" spans="1:35" ht="26.4">
      <c r="A1531" s="284"/>
      <c r="B1531" s="284"/>
      <c r="C1531" s="284"/>
      <c r="D1531" s="284"/>
      <c r="E1531" s="284"/>
      <c r="F1531" s="284"/>
      <c r="G1531" s="284"/>
      <c r="H1531" s="284"/>
      <c r="I1531" s="284"/>
      <c r="J1531" s="375"/>
      <c r="K1531" s="375"/>
      <c r="L1531" s="375"/>
      <c r="M1531" s="368"/>
      <c r="N1531" s="368"/>
      <c r="O1531" s="370"/>
      <c r="T1531" s="349"/>
      <c r="V1531" s="378"/>
      <c r="W1531" s="64" ph="1"/>
      <c r="X1531" s="241"/>
      <c r="Y1531" s="284"/>
      <c r="Z1531" s="207"/>
      <c r="AA1531" s="284"/>
      <c r="AB1531" s="284"/>
      <c r="AC1531" s="284"/>
      <c r="AD1531" s="284"/>
      <c r="AE1531" s="284"/>
      <c r="AF1531" s="284"/>
      <c r="AG1531" s="284"/>
      <c r="AI1531" s="131"/>
    </row>
    <row r="1532" spans="1:35" ht="26.4">
      <c r="A1532" s="284"/>
      <c r="B1532" s="284"/>
      <c r="C1532" s="284"/>
      <c r="D1532" s="284"/>
      <c r="E1532" s="284"/>
      <c r="F1532" s="284"/>
      <c r="G1532" s="284"/>
      <c r="H1532" s="284"/>
      <c r="I1532" s="284"/>
      <c r="J1532" s="375"/>
      <c r="K1532" s="375"/>
      <c r="L1532" s="375"/>
      <c r="M1532" s="368"/>
      <c r="N1532" s="368"/>
      <c r="O1532" s="370"/>
      <c r="T1532" s="349"/>
      <c r="V1532" s="378"/>
      <c r="W1532" s="64" ph="1"/>
      <c r="X1532" s="241"/>
      <c r="Y1532" s="284"/>
      <c r="Z1532" s="207"/>
      <c r="AA1532" s="284"/>
      <c r="AB1532" s="284"/>
      <c r="AC1532" s="284"/>
      <c r="AD1532" s="284"/>
      <c r="AE1532" s="284"/>
      <c r="AF1532" s="284"/>
      <c r="AG1532" s="284"/>
      <c r="AI1532" s="131"/>
    </row>
    <row r="1533" spans="1:35" ht="26.4">
      <c r="A1533" s="284"/>
      <c r="B1533" s="284"/>
      <c r="C1533" s="284"/>
      <c r="D1533" s="284"/>
      <c r="E1533" s="284"/>
      <c r="F1533" s="284"/>
      <c r="G1533" s="284"/>
      <c r="H1533" s="284"/>
      <c r="I1533" s="284"/>
      <c r="J1533" s="375"/>
      <c r="K1533" s="375"/>
      <c r="L1533" s="375"/>
      <c r="M1533" s="368"/>
      <c r="N1533" s="368"/>
      <c r="T1533" s="349"/>
      <c r="V1533" s="378"/>
      <c r="W1533" s="64" ph="1"/>
      <c r="X1533" s="241"/>
      <c r="Y1533" s="284"/>
      <c r="Z1533" s="207"/>
      <c r="AA1533" s="284"/>
      <c r="AB1533" s="284"/>
      <c r="AC1533" s="284"/>
      <c r="AD1533" s="284"/>
      <c r="AE1533" s="284"/>
      <c r="AF1533" s="284"/>
      <c r="AG1533" s="284"/>
      <c r="AI1533" s="131"/>
    </row>
    <row r="1534" spans="1:35" ht="26.4">
      <c r="A1534" s="284"/>
      <c r="B1534" s="284"/>
      <c r="C1534" s="284"/>
      <c r="D1534" s="284"/>
      <c r="E1534" s="284"/>
      <c r="F1534" s="284"/>
      <c r="G1534" s="284"/>
      <c r="H1534" s="284"/>
      <c r="I1534" s="284"/>
      <c r="J1534" s="375"/>
      <c r="K1534" s="375"/>
      <c r="L1534" s="375"/>
      <c r="M1534" s="368"/>
      <c r="N1534" s="368"/>
      <c r="O1534" s="370"/>
      <c r="T1534" s="349"/>
      <c r="V1534" s="378"/>
      <c r="W1534" s="64" ph="1"/>
      <c r="X1534" s="241"/>
      <c r="Y1534" s="284"/>
      <c r="Z1534" s="207"/>
      <c r="AA1534" s="284"/>
      <c r="AB1534" s="284"/>
      <c r="AC1534" s="284"/>
      <c r="AD1534" s="284"/>
      <c r="AE1534" s="284"/>
      <c r="AF1534" s="284"/>
      <c r="AG1534" s="284"/>
      <c r="AI1534" s="131"/>
    </row>
    <row r="1535" spans="1:35" ht="26.4">
      <c r="A1535" s="284"/>
      <c r="B1535" s="284"/>
      <c r="C1535" s="284"/>
      <c r="D1535" s="284"/>
      <c r="E1535" s="284"/>
      <c r="F1535" s="284"/>
      <c r="G1535" s="284"/>
      <c r="H1535" s="284"/>
      <c r="I1535" s="284"/>
      <c r="J1535" s="375"/>
      <c r="K1535" s="375"/>
      <c r="L1535" s="375"/>
      <c r="M1535" s="368"/>
      <c r="N1535" s="368"/>
      <c r="O1535" s="370"/>
      <c r="T1535" s="349"/>
      <c r="V1535" s="378"/>
      <c r="W1535" s="64" ph="1"/>
      <c r="X1535" s="241"/>
      <c r="Y1535" s="284"/>
      <c r="Z1535" s="207"/>
      <c r="AA1535" s="284"/>
      <c r="AB1535" s="284"/>
      <c r="AC1535" s="284"/>
      <c r="AD1535" s="284"/>
      <c r="AE1535" s="284"/>
      <c r="AF1535" s="284"/>
      <c r="AG1535" s="284"/>
      <c r="AI1535" s="131"/>
    </row>
    <row r="1536" spans="1:35" ht="26.4">
      <c r="A1536" s="284"/>
      <c r="B1536" s="284"/>
      <c r="C1536" s="284"/>
      <c r="D1536" s="284"/>
      <c r="E1536" s="284"/>
      <c r="F1536" s="284"/>
      <c r="G1536" s="284"/>
      <c r="H1536" s="284"/>
      <c r="I1536" s="284"/>
      <c r="J1536" s="375"/>
      <c r="K1536" s="375"/>
      <c r="L1536" s="375"/>
      <c r="M1536" s="368"/>
      <c r="N1536" s="368"/>
      <c r="O1536" s="370"/>
      <c r="T1536" s="349"/>
      <c r="V1536" s="378"/>
      <c r="W1536" s="64" ph="1"/>
      <c r="X1536" s="241"/>
      <c r="Y1536" s="284"/>
      <c r="Z1536" s="207"/>
      <c r="AA1536" s="284"/>
      <c r="AB1536" s="284"/>
      <c r="AC1536" s="284"/>
      <c r="AD1536" s="284"/>
      <c r="AE1536" s="284"/>
      <c r="AF1536" s="284"/>
      <c r="AG1536" s="284"/>
      <c r="AI1536" s="131"/>
    </row>
    <row r="1537" spans="1:35" ht="26.4">
      <c r="A1537" s="284"/>
      <c r="B1537" s="284"/>
      <c r="C1537" s="284"/>
      <c r="D1537" s="284"/>
      <c r="E1537" s="284"/>
      <c r="F1537" s="284"/>
      <c r="G1537" s="284"/>
      <c r="H1537" s="284"/>
      <c r="I1537" s="284"/>
      <c r="J1537" s="375"/>
      <c r="K1537" s="375"/>
      <c r="L1537" s="375"/>
      <c r="M1537" s="368"/>
      <c r="N1537" s="368"/>
      <c r="O1537" s="370"/>
      <c r="T1537" s="349"/>
      <c r="V1537" s="378"/>
      <c r="W1537" s="64" ph="1"/>
      <c r="X1537" s="241"/>
      <c r="Y1537" s="284"/>
      <c r="Z1537" s="207"/>
      <c r="AA1537" s="284"/>
      <c r="AB1537" s="284"/>
      <c r="AC1537" s="284"/>
      <c r="AD1537" s="284"/>
      <c r="AE1537" s="284"/>
      <c r="AF1537" s="284"/>
      <c r="AG1537" s="284"/>
      <c r="AI1537" s="131"/>
    </row>
    <row r="1538" spans="1:35" ht="26.4">
      <c r="A1538" s="284"/>
      <c r="B1538" s="284"/>
      <c r="C1538" s="284"/>
      <c r="D1538" s="284"/>
      <c r="E1538" s="284"/>
      <c r="F1538" s="284"/>
      <c r="G1538" s="284"/>
      <c r="H1538" s="284"/>
      <c r="I1538" s="284"/>
      <c r="J1538" s="375"/>
      <c r="K1538" s="375"/>
      <c r="L1538" s="375"/>
      <c r="M1538" s="368"/>
      <c r="N1538" s="368"/>
      <c r="O1538" s="370"/>
      <c r="T1538" s="349"/>
      <c r="V1538" s="378"/>
      <c r="W1538" s="64" ph="1"/>
      <c r="X1538" s="241"/>
      <c r="Y1538" s="284"/>
      <c r="Z1538" s="207"/>
      <c r="AA1538" s="284"/>
      <c r="AB1538" s="284"/>
      <c r="AC1538" s="284"/>
      <c r="AD1538" s="284"/>
      <c r="AE1538" s="284"/>
      <c r="AF1538" s="284"/>
      <c r="AG1538" s="284"/>
      <c r="AI1538" s="131"/>
    </row>
    <row r="1539" spans="1:35" ht="26.4">
      <c r="A1539" s="284"/>
      <c r="B1539" s="284"/>
      <c r="C1539" s="284"/>
      <c r="D1539" s="284"/>
      <c r="E1539" s="284"/>
      <c r="F1539" s="284"/>
      <c r="G1539" s="284"/>
      <c r="H1539" s="284"/>
      <c r="I1539" s="284"/>
      <c r="J1539" s="375"/>
      <c r="K1539" s="375"/>
      <c r="L1539" s="375"/>
      <c r="M1539" s="368"/>
      <c r="N1539" s="368"/>
      <c r="O1539" s="370"/>
      <c r="T1539" s="349"/>
      <c r="V1539" s="378"/>
      <c r="W1539" s="64" ph="1"/>
      <c r="X1539" s="241"/>
      <c r="Y1539" s="284"/>
      <c r="Z1539" s="207"/>
      <c r="AA1539" s="284"/>
      <c r="AB1539" s="284"/>
      <c r="AC1539" s="284"/>
      <c r="AD1539" s="284"/>
      <c r="AE1539" s="284"/>
      <c r="AF1539" s="284"/>
      <c r="AG1539" s="284"/>
      <c r="AI1539" s="131"/>
    </row>
    <row r="1540" spans="1:35" ht="26.4">
      <c r="A1540" s="284"/>
      <c r="B1540" s="284"/>
      <c r="C1540" s="284"/>
      <c r="D1540" s="284"/>
      <c r="E1540" s="284"/>
      <c r="F1540" s="284"/>
      <c r="G1540" s="284"/>
      <c r="H1540" s="284"/>
      <c r="I1540" s="284"/>
      <c r="J1540" s="375"/>
      <c r="K1540" s="375"/>
      <c r="L1540" s="375"/>
      <c r="M1540" s="368"/>
      <c r="N1540" s="368"/>
      <c r="O1540" s="370"/>
      <c r="T1540" s="349"/>
      <c r="V1540" s="378"/>
      <c r="W1540" s="64" ph="1"/>
      <c r="X1540" s="241"/>
      <c r="Y1540" s="284"/>
      <c r="Z1540" s="207"/>
      <c r="AA1540" s="284"/>
      <c r="AB1540" s="284"/>
      <c r="AC1540" s="284"/>
      <c r="AD1540" s="284"/>
      <c r="AE1540" s="284"/>
      <c r="AF1540" s="284"/>
      <c r="AG1540" s="284"/>
      <c r="AI1540" s="28"/>
    </row>
    <row r="1541" spans="1:35" ht="26.4">
      <c r="A1541" s="284"/>
      <c r="B1541" s="284"/>
      <c r="C1541" s="284"/>
      <c r="D1541" s="284"/>
      <c r="E1541" s="284"/>
      <c r="F1541" s="284"/>
      <c r="G1541" s="284"/>
      <c r="H1541" s="284"/>
      <c r="I1541" s="284"/>
      <c r="J1541" s="375"/>
      <c r="K1541" s="375"/>
      <c r="L1541" s="375"/>
      <c r="M1541" s="368"/>
      <c r="N1541" s="368"/>
      <c r="O1541" s="370"/>
      <c r="T1541" s="349"/>
      <c r="V1541" s="378"/>
      <c r="W1541" s="64" ph="1"/>
      <c r="X1541" s="241"/>
      <c r="Y1541" s="284"/>
      <c r="Z1541" s="207"/>
      <c r="AA1541" s="284"/>
      <c r="AB1541" s="284"/>
      <c r="AC1541" s="284"/>
      <c r="AD1541" s="284"/>
      <c r="AE1541" s="284"/>
      <c r="AF1541" s="284"/>
      <c r="AG1541" s="284"/>
      <c r="AI1541" s="131"/>
    </row>
    <row r="1542" spans="1:35" ht="26.4">
      <c r="A1542" s="284"/>
      <c r="B1542" s="284"/>
      <c r="C1542" s="284"/>
      <c r="D1542" s="284"/>
      <c r="E1542" s="284"/>
      <c r="F1542" s="284"/>
      <c r="G1542" s="284"/>
      <c r="H1542" s="284"/>
      <c r="I1542" s="284"/>
      <c r="J1542" s="375"/>
      <c r="K1542" s="375"/>
      <c r="L1542" s="375"/>
      <c r="M1542" s="368"/>
      <c r="N1542" s="368"/>
      <c r="O1542" s="370"/>
      <c r="T1542" s="349"/>
      <c r="V1542" s="378"/>
      <c r="W1542" s="64" ph="1"/>
      <c r="X1542" s="241"/>
      <c r="Y1542" s="284"/>
      <c r="Z1542" s="207"/>
      <c r="AA1542" s="284"/>
      <c r="AB1542" s="284"/>
      <c r="AC1542" s="284"/>
      <c r="AD1542" s="284"/>
      <c r="AE1542" s="284"/>
      <c r="AF1542" s="284"/>
      <c r="AG1542" s="284"/>
      <c r="AI1542" s="131"/>
    </row>
    <row r="1543" spans="1:35" ht="26.4">
      <c r="A1543" s="284"/>
      <c r="B1543" s="284"/>
      <c r="C1543" s="284"/>
      <c r="D1543" s="284"/>
      <c r="E1543" s="284"/>
      <c r="F1543" s="284"/>
      <c r="G1543" s="284"/>
      <c r="H1543" s="284"/>
      <c r="I1543" s="284"/>
      <c r="J1543" s="375"/>
      <c r="K1543" s="375"/>
      <c r="L1543" s="375"/>
      <c r="M1543" s="368"/>
      <c r="N1543" s="368"/>
      <c r="O1543" s="370"/>
      <c r="T1543" s="349"/>
      <c r="V1543" s="378"/>
      <c r="W1543" s="64" ph="1"/>
      <c r="X1543" s="241"/>
      <c r="Y1543" s="284"/>
      <c r="Z1543" s="207"/>
      <c r="AA1543" s="284"/>
      <c r="AB1543" s="284"/>
      <c r="AC1543" s="284"/>
      <c r="AD1543" s="284"/>
      <c r="AE1543" s="284"/>
      <c r="AF1543" s="284"/>
      <c r="AG1543" s="284"/>
      <c r="AI1543" s="131"/>
    </row>
    <row r="1544" spans="1:35" ht="26.4">
      <c r="A1544" s="284"/>
      <c r="B1544" s="284"/>
      <c r="C1544" s="284"/>
      <c r="D1544" s="284"/>
      <c r="E1544" s="284"/>
      <c r="F1544" s="284"/>
      <c r="G1544" s="284"/>
      <c r="H1544" s="284"/>
      <c r="I1544" s="284"/>
      <c r="J1544" s="375"/>
      <c r="K1544" s="375"/>
      <c r="L1544" s="375"/>
      <c r="M1544" s="368"/>
      <c r="N1544" s="368"/>
      <c r="O1544" s="370"/>
      <c r="T1544" s="349"/>
      <c r="V1544" s="378"/>
      <c r="W1544" s="64" ph="1"/>
      <c r="X1544" s="241"/>
      <c r="Y1544" s="284"/>
      <c r="Z1544" s="207"/>
      <c r="AA1544" s="284"/>
      <c r="AB1544" s="284"/>
      <c r="AC1544" s="284"/>
      <c r="AD1544" s="284"/>
      <c r="AE1544" s="284"/>
      <c r="AF1544" s="284"/>
      <c r="AG1544" s="284"/>
      <c r="AI1544" s="131"/>
    </row>
    <row r="1545" spans="1:35" ht="26.4">
      <c r="A1545" s="284"/>
      <c r="B1545" s="284"/>
      <c r="C1545" s="284"/>
      <c r="D1545" s="284"/>
      <c r="E1545" s="284"/>
      <c r="F1545" s="284"/>
      <c r="G1545" s="284"/>
      <c r="H1545" s="284"/>
      <c r="I1545" s="284"/>
      <c r="J1545" s="375"/>
      <c r="K1545" s="375"/>
      <c r="L1545" s="375"/>
      <c r="M1545" s="368"/>
      <c r="N1545" s="368"/>
      <c r="O1545" s="370"/>
      <c r="T1545" s="349"/>
      <c r="V1545" s="378"/>
      <c r="W1545" s="64" ph="1"/>
      <c r="X1545" s="241"/>
      <c r="Y1545" s="284"/>
      <c r="Z1545" s="207"/>
      <c r="AA1545" s="284"/>
      <c r="AB1545" s="284"/>
      <c r="AC1545" s="284"/>
      <c r="AD1545" s="284"/>
      <c r="AE1545" s="284"/>
      <c r="AF1545" s="284"/>
      <c r="AG1545" s="284"/>
      <c r="AI1545" s="131"/>
    </row>
    <row r="1546" spans="1:35" ht="26.4">
      <c r="A1546" s="284"/>
      <c r="B1546" s="284"/>
      <c r="C1546" s="284"/>
      <c r="D1546" s="284"/>
      <c r="E1546" s="284"/>
      <c r="F1546" s="284"/>
      <c r="G1546" s="284"/>
      <c r="H1546" s="284"/>
      <c r="I1546" s="284"/>
      <c r="J1546" s="375"/>
      <c r="K1546" s="375"/>
      <c r="L1546" s="375"/>
      <c r="M1546" s="368"/>
      <c r="N1546" s="368"/>
      <c r="O1546" s="370"/>
      <c r="T1546" s="349"/>
      <c r="V1546" s="378"/>
      <c r="W1546" s="64" ph="1"/>
      <c r="X1546" s="241"/>
      <c r="Y1546" s="284"/>
      <c r="Z1546" s="207"/>
      <c r="AA1546" s="284"/>
      <c r="AB1546" s="284"/>
      <c r="AC1546" s="284"/>
      <c r="AD1546" s="284"/>
      <c r="AE1546" s="284"/>
      <c r="AF1546" s="284"/>
      <c r="AG1546" s="284"/>
      <c r="AI1546" s="131"/>
    </row>
    <row r="1547" spans="1:35" ht="26.4">
      <c r="A1547" s="284"/>
      <c r="B1547" s="284"/>
      <c r="C1547" s="284"/>
      <c r="D1547" s="284"/>
      <c r="E1547" s="284"/>
      <c r="F1547" s="284"/>
      <c r="G1547" s="284"/>
      <c r="H1547" s="284"/>
      <c r="I1547" s="284"/>
      <c r="J1547" s="375"/>
      <c r="K1547" s="375"/>
      <c r="L1547" s="375"/>
      <c r="M1547" s="368"/>
      <c r="N1547" s="368"/>
      <c r="O1547" s="370"/>
      <c r="T1547" s="349"/>
      <c r="V1547" s="378"/>
      <c r="W1547" s="64" ph="1"/>
      <c r="X1547" s="241"/>
      <c r="Y1547" s="284"/>
      <c r="Z1547" s="207"/>
      <c r="AA1547" s="284"/>
      <c r="AB1547" s="284"/>
      <c r="AC1547" s="284"/>
      <c r="AD1547" s="284"/>
      <c r="AE1547" s="284"/>
      <c r="AF1547" s="284"/>
      <c r="AG1547" s="284"/>
      <c r="AI1547" s="131"/>
    </row>
    <row r="1548" spans="1:35" ht="26.4">
      <c r="A1548" s="284"/>
      <c r="B1548" s="284"/>
      <c r="C1548" s="284"/>
      <c r="D1548" s="284"/>
      <c r="E1548" s="284"/>
      <c r="F1548" s="284"/>
      <c r="G1548" s="284"/>
      <c r="H1548" s="284"/>
      <c r="I1548" s="284"/>
      <c r="J1548" s="375"/>
      <c r="K1548" s="375"/>
      <c r="L1548" s="375"/>
      <c r="M1548" s="368"/>
      <c r="N1548" s="368"/>
      <c r="O1548" s="370"/>
      <c r="T1548" s="349"/>
      <c r="V1548" s="378"/>
      <c r="W1548" s="64" ph="1"/>
      <c r="X1548" s="241"/>
      <c r="Y1548" s="284"/>
      <c r="Z1548" s="207"/>
      <c r="AA1548" s="284"/>
      <c r="AB1548" s="284"/>
      <c r="AC1548" s="284"/>
      <c r="AD1548" s="284"/>
      <c r="AE1548" s="284"/>
      <c r="AF1548" s="284"/>
      <c r="AG1548" s="284"/>
      <c r="AI1548" s="131"/>
    </row>
    <row r="1549" spans="1:35" ht="26.4">
      <c r="A1549" s="284"/>
      <c r="B1549" s="284"/>
      <c r="C1549" s="284"/>
      <c r="D1549" s="284"/>
      <c r="E1549" s="284"/>
      <c r="F1549" s="284"/>
      <c r="G1549" s="284"/>
      <c r="H1549" s="284"/>
      <c r="I1549" s="284"/>
      <c r="J1549" s="375"/>
      <c r="K1549" s="375"/>
      <c r="L1549" s="375"/>
      <c r="M1549" s="368"/>
      <c r="N1549" s="368"/>
      <c r="O1549" s="370"/>
      <c r="T1549" s="349"/>
      <c r="V1549" s="378"/>
      <c r="W1549" s="64" ph="1"/>
      <c r="X1549" s="241"/>
      <c r="Y1549" s="284"/>
      <c r="Z1549" s="207"/>
      <c r="AA1549" s="284"/>
      <c r="AB1549" s="284"/>
      <c r="AC1549" s="284"/>
      <c r="AD1549" s="284"/>
      <c r="AE1549" s="284"/>
      <c r="AF1549" s="284"/>
      <c r="AG1549" s="284"/>
      <c r="AI1549" s="131"/>
    </row>
    <row r="1550" spans="1:35" ht="26.4">
      <c r="A1550" s="284"/>
      <c r="B1550" s="284"/>
      <c r="C1550" s="284"/>
      <c r="D1550" s="284"/>
      <c r="E1550" s="284"/>
      <c r="F1550" s="284"/>
      <c r="G1550" s="284"/>
      <c r="H1550" s="284"/>
      <c r="I1550" s="284"/>
      <c r="J1550" s="375"/>
      <c r="K1550" s="375"/>
      <c r="L1550" s="375"/>
      <c r="M1550" s="368"/>
      <c r="N1550" s="368"/>
      <c r="O1550" s="370"/>
      <c r="T1550" s="349"/>
      <c r="V1550" s="378"/>
      <c r="W1550" s="64" ph="1"/>
      <c r="X1550" s="241"/>
      <c r="Y1550" s="284"/>
      <c r="Z1550" s="207"/>
      <c r="AA1550" s="284"/>
      <c r="AB1550" s="284"/>
      <c r="AC1550" s="284"/>
      <c r="AD1550" s="284"/>
      <c r="AE1550" s="284"/>
      <c r="AF1550" s="284"/>
      <c r="AG1550" s="284"/>
      <c r="AI1550" s="131"/>
    </row>
    <row r="1551" spans="1:35" ht="26.4">
      <c r="A1551" s="284"/>
      <c r="B1551" s="284"/>
      <c r="C1551" s="284"/>
      <c r="D1551" s="284"/>
      <c r="E1551" s="284"/>
      <c r="F1551" s="284"/>
      <c r="G1551" s="284"/>
      <c r="H1551" s="284"/>
      <c r="I1551" s="284"/>
      <c r="J1551" s="375"/>
      <c r="K1551" s="375"/>
      <c r="L1551" s="375"/>
      <c r="M1551" s="368"/>
      <c r="N1551" s="368"/>
      <c r="O1551" s="370"/>
      <c r="T1551" s="349"/>
      <c r="V1551" s="378"/>
      <c r="W1551" s="64" ph="1"/>
      <c r="X1551" s="241"/>
      <c r="Y1551" s="284"/>
      <c r="Z1551" s="207"/>
      <c r="AA1551" s="284"/>
      <c r="AB1551" s="284"/>
      <c r="AC1551" s="284"/>
      <c r="AD1551" s="284"/>
      <c r="AE1551" s="284"/>
      <c r="AF1551" s="284"/>
      <c r="AG1551" s="284"/>
      <c r="AI1551" s="131"/>
    </row>
    <row r="1552" spans="1:35" ht="26.4">
      <c r="A1552" s="284"/>
      <c r="B1552" s="284"/>
      <c r="C1552" s="284"/>
      <c r="D1552" s="284"/>
      <c r="E1552" s="284"/>
      <c r="F1552" s="284"/>
      <c r="G1552" s="284"/>
      <c r="H1552" s="284"/>
      <c r="I1552" s="284"/>
      <c r="J1552" s="375"/>
      <c r="K1552" s="375"/>
      <c r="L1552" s="375"/>
      <c r="M1552" s="368"/>
      <c r="N1552" s="368"/>
      <c r="O1552" s="370"/>
      <c r="T1552" s="349"/>
      <c r="V1552" s="378"/>
      <c r="W1552" s="64" ph="1"/>
      <c r="X1552" s="241"/>
      <c r="Y1552" s="284"/>
      <c r="Z1552" s="207"/>
      <c r="AA1552" s="284"/>
      <c r="AB1552" s="284"/>
      <c r="AC1552" s="284"/>
      <c r="AD1552" s="284"/>
      <c r="AE1552" s="284"/>
      <c r="AF1552" s="284"/>
      <c r="AG1552" s="284"/>
      <c r="AI1552" s="131"/>
    </row>
    <row r="1553" spans="1:35" ht="26.4">
      <c r="A1553" s="284"/>
      <c r="B1553" s="284"/>
      <c r="C1553" s="284"/>
      <c r="D1553" s="284"/>
      <c r="E1553" s="284"/>
      <c r="F1553" s="284"/>
      <c r="G1553" s="284"/>
      <c r="H1553" s="284"/>
      <c r="I1553" s="284"/>
      <c r="J1553" s="375"/>
      <c r="K1553" s="375"/>
      <c r="L1553" s="375"/>
      <c r="M1553" s="368"/>
      <c r="N1553" s="368"/>
      <c r="O1553" s="370"/>
      <c r="T1553" s="349"/>
      <c r="V1553" s="378"/>
      <c r="W1553" s="64" ph="1"/>
      <c r="X1553" s="241"/>
      <c r="Y1553" s="284"/>
      <c r="Z1553" s="207"/>
      <c r="AA1553" s="284"/>
      <c r="AB1553" s="284"/>
      <c r="AC1553" s="284"/>
      <c r="AD1553" s="284"/>
      <c r="AE1553" s="284"/>
      <c r="AF1553" s="284"/>
      <c r="AG1553" s="284"/>
      <c r="AI1553" s="131"/>
    </row>
    <row r="1554" spans="1:35" ht="26.4">
      <c r="A1554" s="284"/>
      <c r="B1554" s="284"/>
      <c r="C1554" s="284"/>
      <c r="D1554" s="284"/>
      <c r="E1554" s="284"/>
      <c r="F1554" s="284"/>
      <c r="G1554" s="284"/>
      <c r="H1554" s="284"/>
      <c r="I1554" s="284"/>
      <c r="J1554" s="375"/>
      <c r="K1554" s="375"/>
      <c r="L1554" s="375"/>
      <c r="M1554" s="368"/>
      <c r="N1554" s="368"/>
      <c r="O1554" s="370"/>
      <c r="T1554" s="349"/>
      <c r="V1554" s="378"/>
      <c r="W1554" s="64" ph="1"/>
      <c r="X1554" s="241"/>
      <c r="Y1554" s="284"/>
      <c r="Z1554" s="207"/>
      <c r="AA1554" s="284"/>
      <c r="AB1554" s="284"/>
      <c r="AC1554" s="284"/>
      <c r="AD1554" s="284"/>
      <c r="AE1554" s="284"/>
      <c r="AF1554" s="284"/>
      <c r="AG1554" s="284"/>
      <c r="AI1554" s="284"/>
    </row>
    <row r="1555" spans="1:35" ht="26.4">
      <c r="A1555" s="284"/>
      <c r="B1555" s="284"/>
      <c r="C1555" s="284"/>
      <c r="D1555" s="284"/>
      <c r="E1555" s="284"/>
      <c r="F1555" s="284"/>
      <c r="G1555" s="284"/>
      <c r="H1555" s="284"/>
      <c r="I1555" s="284"/>
      <c r="J1555" s="375"/>
      <c r="K1555" s="375"/>
      <c r="L1555" s="375"/>
      <c r="M1555" s="368"/>
      <c r="N1555" s="368"/>
      <c r="O1555" s="370"/>
      <c r="T1555" s="349"/>
      <c r="V1555" s="378"/>
      <c r="W1555" s="64" ph="1"/>
      <c r="X1555" s="241"/>
      <c r="Y1555" s="284"/>
      <c r="Z1555" s="207"/>
      <c r="AA1555" s="284"/>
      <c r="AB1555" s="284"/>
      <c r="AC1555" s="284"/>
      <c r="AD1555" s="284"/>
      <c r="AE1555" s="284"/>
      <c r="AF1555" s="284"/>
      <c r="AG1555" s="284"/>
      <c r="AI1555" s="131"/>
    </row>
    <row r="1556" spans="1:35" ht="26.4">
      <c r="A1556" s="284"/>
      <c r="B1556" s="284"/>
      <c r="C1556" s="284"/>
      <c r="D1556" s="284"/>
      <c r="E1556" s="284"/>
      <c r="F1556" s="284"/>
      <c r="G1556" s="284"/>
      <c r="H1556" s="284"/>
      <c r="I1556" s="284"/>
      <c r="J1556" s="375"/>
      <c r="K1556" s="375"/>
      <c r="L1556" s="375"/>
      <c r="M1556" s="368"/>
      <c r="N1556" s="368"/>
      <c r="O1556" s="370"/>
      <c r="T1556" s="349"/>
      <c r="V1556" s="378"/>
      <c r="W1556" s="64" ph="1"/>
      <c r="X1556" s="241"/>
      <c r="Y1556" s="284"/>
      <c r="Z1556" s="207"/>
      <c r="AA1556" s="284"/>
      <c r="AB1556" s="284"/>
      <c r="AC1556" s="284"/>
      <c r="AD1556" s="284"/>
      <c r="AE1556" s="284"/>
      <c r="AF1556" s="284"/>
      <c r="AG1556" s="284"/>
      <c r="AI1556" s="131"/>
    </row>
    <row r="1557" spans="1:35" ht="26.4">
      <c r="A1557" s="284"/>
      <c r="B1557" s="284"/>
      <c r="C1557" s="284"/>
      <c r="D1557" s="284"/>
      <c r="E1557" s="284"/>
      <c r="F1557" s="284"/>
      <c r="G1557" s="284"/>
      <c r="H1557" s="284"/>
      <c r="I1557" s="284"/>
      <c r="J1557" s="375"/>
      <c r="K1557" s="375"/>
      <c r="L1557" s="375"/>
      <c r="M1557" s="368"/>
      <c r="N1557" s="368"/>
      <c r="O1557" s="370"/>
      <c r="T1557" s="349"/>
      <c r="V1557" s="378"/>
      <c r="W1557" s="64" ph="1"/>
      <c r="X1557" s="241"/>
      <c r="Y1557" s="284"/>
      <c r="Z1557" s="207"/>
      <c r="AA1557" s="284"/>
      <c r="AB1557" s="284"/>
      <c r="AC1557" s="284"/>
      <c r="AD1557" s="284"/>
      <c r="AE1557" s="284"/>
      <c r="AF1557" s="284"/>
      <c r="AG1557" s="284"/>
      <c r="AI1557" s="131"/>
    </row>
    <row r="1558" spans="1:35" ht="26.4">
      <c r="A1558" s="284"/>
      <c r="B1558" s="284"/>
      <c r="C1558" s="284"/>
      <c r="D1558" s="284"/>
      <c r="E1558" s="284"/>
      <c r="F1558" s="284"/>
      <c r="G1558" s="284"/>
      <c r="H1558" s="284"/>
      <c r="I1558" s="284"/>
      <c r="J1558" s="375"/>
      <c r="K1558" s="375"/>
      <c r="L1558" s="375"/>
      <c r="M1558" s="368"/>
      <c r="N1558" s="368"/>
      <c r="O1558" s="370"/>
      <c r="T1558" s="349"/>
      <c r="V1558" s="378"/>
      <c r="W1558" s="64" ph="1"/>
      <c r="X1558" s="241"/>
      <c r="Y1558" s="284"/>
      <c r="Z1558" s="207"/>
      <c r="AA1558" s="284"/>
      <c r="AB1558" s="284"/>
      <c r="AC1558" s="284"/>
      <c r="AD1558" s="284"/>
      <c r="AE1558" s="284"/>
      <c r="AF1558" s="284"/>
      <c r="AG1558" s="284"/>
      <c r="AI1558" s="131"/>
    </row>
    <row r="1559" spans="1:35" ht="26.4">
      <c r="A1559" s="284"/>
      <c r="B1559" s="284"/>
      <c r="C1559" s="284"/>
      <c r="D1559" s="284"/>
      <c r="E1559" s="284"/>
      <c r="F1559" s="284"/>
      <c r="G1559" s="284"/>
      <c r="H1559" s="284"/>
      <c r="I1559" s="284"/>
      <c r="J1559" s="375"/>
      <c r="K1559" s="375"/>
      <c r="L1559" s="375"/>
      <c r="M1559" s="368"/>
      <c r="N1559" s="368"/>
      <c r="O1559" s="370"/>
      <c r="T1559" s="349"/>
      <c r="V1559" s="378"/>
      <c r="W1559" s="64" ph="1"/>
      <c r="X1559" s="241"/>
      <c r="Y1559" s="284"/>
      <c r="Z1559" s="207"/>
      <c r="AA1559" s="284"/>
      <c r="AB1559" s="284"/>
      <c r="AC1559" s="284"/>
      <c r="AD1559" s="284"/>
      <c r="AE1559" s="284"/>
      <c r="AF1559" s="284"/>
      <c r="AG1559" s="284"/>
      <c r="AI1559" s="131"/>
    </row>
    <row r="1560" spans="1:35" ht="26.4">
      <c r="A1560" s="284"/>
      <c r="B1560" s="284"/>
      <c r="C1560" s="284"/>
      <c r="D1560" s="284"/>
      <c r="E1560" s="284"/>
      <c r="F1560" s="284"/>
      <c r="G1560" s="284"/>
      <c r="H1560" s="284"/>
      <c r="I1560" s="284"/>
      <c r="J1560" s="375"/>
      <c r="K1560" s="375"/>
      <c r="L1560" s="375"/>
      <c r="M1560" s="368"/>
      <c r="N1560" s="368"/>
      <c r="O1560" s="370"/>
      <c r="T1560" s="349"/>
      <c r="V1560" s="378"/>
      <c r="W1560" s="64" ph="1"/>
      <c r="X1560" s="241"/>
      <c r="Y1560" s="284"/>
      <c r="Z1560" s="207"/>
      <c r="AA1560" s="284"/>
      <c r="AB1560" s="284"/>
      <c r="AC1560" s="284"/>
      <c r="AD1560" s="284"/>
      <c r="AE1560" s="284"/>
      <c r="AF1560" s="284"/>
      <c r="AG1560" s="284"/>
      <c r="AI1560" s="131"/>
    </row>
    <row r="1561" spans="1:35" ht="26.4">
      <c r="A1561" s="284"/>
      <c r="B1561" s="284"/>
      <c r="C1561" s="284"/>
      <c r="D1561" s="284"/>
      <c r="E1561" s="284"/>
      <c r="F1561" s="284"/>
      <c r="G1561" s="284"/>
      <c r="H1561" s="284"/>
      <c r="I1561" s="284"/>
      <c r="J1561" s="375"/>
      <c r="K1561" s="375"/>
      <c r="L1561" s="375"/>
      <c r="M1561" s="368"/>
      <c r="N1561" s="368"/>
      <c r="O1561" s="370"/>
      <c r="T1561" s="349"/>
      <c r="V1561" s="378"/>
      <c r="W1561" s="64" ph="1"/>
      <c r="X1561" s="241"/>
      <c r="Y1561" s="284"/>
      <c r="Z1561" s="207"/>
      <c r="AA1561" s="284"/>
      <c r="AB1561" s="284"/>
      <c r="AC1561" s="284"/>
      <c r="AD1561" s="284"/>
      <c r="AE1561" s="284"/>
      <c r="AF1561" s="284"/>
      <c r="AG1561" s="284"/>
      <c r="AI1561" s="131"/>
    </row>
    <row r="1562" spans="1:35" ht="26.4">
      <c r="A1562" s="284"/>
      <c r="B1562" s="284"/>
      <c r="C1562" s="284"/>
      <c r="D1562" s="284"/>
      <c r="E1562" s="284"/>
      <c r="F1562" s="284"/>
      <c r="G1562" s="284"/>
      <c r="H1562" s="284"/>
      <c r="I1562" s="284"/>
      <c r="J1562" s="375"/>
      <c r="K1562" s="375"/>
      <c r="L1562" s="375"/>
      <c r="M1562" s="368"/>
      <c r="N1562" s="368"/>
      <c r="O1562" s="370"/>
      <c r="T1562" s="349"/>
      <c r="V1562" s="378"/>
      <c r="W1562" s="64" ph="1"/>
      <c r="X1562" s="241"/>
      <c r="Y1562" s="284"/>
      <c r="Z1562" s="207"/>
      <c r="AA1562" s="284"/>
      <c r="AB1562" s="284"/>
      <c r="AC1562" s="284"/>
      <c r="AD1562" s="284"/>
      <c r="AE1562" s="284"/>
      <c r="AF1562" s="284"/>
      <c r="AG1562" s="284"/>
      <c r="AI1562" s="131"/>
    </row>
    <row r="1563" spans="1:35" ht="26.4">
      <c r="A1563" s="284"/>
      <c r="B1563" s="284"/>
      <c r="C1563" s="284"/>
      <c r="D1563" s="284"/>
      <c r="E1563" s="284"/>
      <c r="F1563" s="284"/>
      <c r="G1563" s="284"/>
      <c r="H1563" s="284"/>
      <c r="I1563" s="284"/>
      <c r="J1563" s="375"/>
      <c r="K1563" s="375"/>
      <c r="L1563" s="375"/>
      <c r="M1563" s="368"/>
      <c r="N1563" s="368"/>
      <c r="O1563" s="370"/>
      <c r="T1563" s="349"/>
      <c r="V1563" s="378"/>
      <c r="W1563" s="64" ph="1"/>
      <c r="X1563" s="241"/>
      <c r="Y1563" s="284"/>
      <c r="Z1563" s="207"/>
      <c r="AA1563" s="284"/>
      <c r="AB1563" s="284"/>
      <c r="AC1563" s="284"/>
      <c r="AD1563" s="284"/>
      <c r="AE1563" s="284"/>
      <c r="AF1563" s="284"/>
      <c r="AG1563" s="284"/>
      <c r="AI1563" s="131"/>
    </row>
    <row r="1564" spans="1:35" ht="26.4">
      <c r="A1564" s="284"/>
      <c r="B1564" s="284"/>
      <c r="C1564" s="284"/>
      <c r="D1564" s="284"/>
      <c r="E1564" s="284"/>
      <c r="F1564" s="284"/>
      <c r="G1564" s="284"/>
      <c r="H1564" s="284"/>
      <c r="I1564" s="284"/>
      <c r="J1564" s="375"/>
      <c r="K1564" s="375"/>
      <c r="L1564" s="375"/>
      <c r="M1564" s="368"/>
      <c r="N1564" s="368"/>
      <c r="O1564" s="370"/>
      <c r="T1564" s="349"/>
      <c r="V1564" s="378"/>
      <c r="W1564" s="64" ph="1"/>
      <c r="X1564" s="241"/>
      <c r="Y1564" s="284"/>
      <c r="Z1564" s="207"/>
      <c r="AA1564" s="284"/>
      <c r="AB1564" s="284"/>
      <c r="AC1564" s="284"/>
      <c r="AD1564" s="284"/>
      <c r="AE1564" s="284"/>
      <c r="AF1564" s="284"/>
      <c r="AG1564" s="284"/>
      <c r="AI1564" s="131"/>
    </row>
    <row r="1565" spans="1:35" ht="26.4">
      <c r="A1565" s="284"/>
      <c r="B1565" s="284"/>
      <c r="C1565" s="284"/>
      <c r="D1565" s="284"/>
      <c r="E1565" s="284"/>
      <c r="F1565" s="284"/>
      <c r="G1565" s="284"/>
      <c r="H1565" s="284"/>
      <c r="I1565" s="284"/>
      <c r="J1565" s="375"/>
      <c r="K1565" s="375"/>
      <c r="L1565" s="375"/>
      <c r="M1565" s="368"/>
      <c r="N1565" s="368"/>
      <c r="O1565" s="370"/>
      <c r="T1565" s="349"/>
      <c r="V1565" s="378"/>
      <c r="W1565" s="64" ph="1"/>
      <c r="X1565" s="241"/>
      <c r="Y1565" s="284"/>
      <c r="Z1565" s="207"/>
      <c r="AA1565" s="284"/>
      <c r="AB1565" s="284"/>
      <c r="AC1565" s="284"/>
      <c r="AD1565" s="284"/>
      <c r="AE1565" s="284"/>
      <c r="AF1565" s="284"/>
      <c r="AG1565" s="284"/>
      <c r="AI1565" s="284"/>
    </row>
    <row r="1566" spans="1:35" ht="26.4">
      <c r="A1566" s="284"/>
      <c r="B1566" s="284"/>
      <c r="C1566" s="284"/>
      <c r="D1566" s="284"/>
      <c r="E1566" s="284"/>
      <c r="F1566" s="284"/>
      <c r="G1566" s="284"/>
      <c r="H1566" s="284"/>
      <c r="I1566" s="284"/>
      <c r="J1566" s="375"/>
      <c r="K1566" s="375"/>
      <c r="L1566" s="375"/>
      <c r="M1566" s="368"/>
      <c r="N1566" s="368"/>
      <c r="O1566" s="370"/>
      <c r="T1566" s="349"/>
      <c r="V1566" s="378"/>
      <c r="W1566" s="64" ph="1"/>
      <c r="X1566" s="241"/>
      <c r="Y1566" s="284"/>
      <c r="Z1566" s="207"/>
      <c r="AA1566" s="284"/>
      <c r="AB1566" s="284"/>
      <c r="AC1566" s="284"/>
      <c r="AD1566" s="284"/>
      <c r="AE1566" s="284"/>
      <c r="AF1566" s="284"/>
      <c r="AG1566" s="284"/>
      <c r="AI1566" s="131"/>
    </row>
    <row r="1567" spans="1:35" ht="26.4">
      <c r="A1567" s="284"/>
      <c r="B1567" s="284"/>
      <c r="C1567" s="284"/>
      <c r="D1567" s="284"/>
      <c r="E1567" s="284"/>
      <c r="F1567" s="284"/>
      <c r="G1567" s="284"/>
      <c r="H1567" s="284"/>
      <c r="I1567" s="284"/>
      <c r="J1567" s="375"/>
      <c r="K1567" s="375"/>
      <c r="L1567" s="375"/>
      <c r="M1567" s="368"/>
      <c r="N1567" s="368"/>
      <c r="O1567" s="370"/>
      <c r="T1567" s="349"/>
      <c r="V1567" s="378"/>
      <c r="W1567" s="64" ph="1"/>
      <c r="X1567" s="241"/>
      <c r="Y1567" s="284"/>
      <c r="Z1567" s="207"/>
      <c r="AA1567" s="284"/>
      <c r="AB1567" s="284"/>
      <c r="AC1567" s="284"/>
      <c r="AD1567" s="284"/>
      <c r="AE1567" s="284"/>
      <c r="AF1567" s="284"/>
      <c r="AG1567" s="284"/>
      <c r="AI1567" s="131"/>
    </row>
    <row r="1568" spans="1:35" ht="26.4">
      <c r="A1568" s="284"/>
      <c r="B1568" s="284"/>
      <c r="C1568" s="284"/>
      <c r="D1568" s="284"/>
      <c r="E1568" s="284"/>
      <c r="F1568" s="284"/>
      <c r="G1568" s="284"/>
      <c r="H1568" s="284"/>
      <c r="I1568" s="284"/>
      <c r="J1568" s="375"/>
      <c r="K1568" s="375"/>
      <c r="L1568" s="375"/>
      <c r="M1568" s="368"/>
      <c r="N1568" s="368"/>
      <c r="O1568" s="370"/>
      <c r="T1568" s="349"/>
      <c r="V1568" s="378"/>
      <c r="W1568" s="64" ph="1"/>
      <c r="X1568" s="241"/>
      <c r="Y1568" s="284"/>
      <c r="Z1568" s="207"/>
      <c r="AA1568" s="284"/>
      <c r="AB1568" s="284"/>
      <c r="AC1568" s="284"/>
      <c r="AD1568" s="284"/>
      <c r="AE1568" s="284"/>
      <c r="AF1568" s="284"/>
      <c r="AG1568" s="284"/>
      <c r="AI1568" s="284"/>
    </row>
    <row r="1569" spans="1:35" ht="26.4">
      <c r="A1569" s="284"/>
      <c r="B1569" s="284"/>
      <c r="C1569" s="284"/>
      <c r="D1569" s="284"/>
      <c r="E1569" s="284"/>
      <c r="F1569" s="284"/>
      <c r="G1569" s="284"/>
      <c r="H1569" s="284"/>
      <c r="I1569" s="284"/>
      <c r="J1569" s="375"/>
      <c r="K1569" s="375"/>
      <c r="L1569" s="375"/>
      <c r="M1569" s="368"/>
      <c r="N1569" s="368"/>
      <c r="O1569" s="370"/>
      <c r="T1569" s="349"/>
      <c r="V1569" s="378"/>
      <c r="W1569" s="64" ph="1"/>
      <c r="X1569" s="241"/>
      <c r="Y1569" s="284"/>
      <c r="Z1569" s="207"/>
      <c r="AA1569" s="284"/>
      <c r="AB1569" s="284"/>
      <c r="AC1569" s="284"/>
      <c r="AD1569" s="284"/>
      <c r="AE1569" s="284"/>
      <c r="AF1569" s="284"/>
      <c r="AG1569" s="284"/>
      <c r="AI1569" s="131"/>
    </row>
    <row r="1570" spans="1:35" ht="26.4">
      <c r="A1570" s="284"/>
      <c r="B1570" s="284"/>
      <c r="C1570" s="284"/>
      <c r="D1570" s="284"/>
      <c r="E1570" s="284"/>
      <c r="F1570" s="284"/>
      <c r="G1570" s="284"/>
      <c r="H1570" s="284"/>
      <c r="I1570" s="284"/>
      <c r="J1570" s="375"/>
      <c r="K1570" s="375"/>
      <c r="L1570" s="375"/>
      <c r="M1570" s="368"/>
      <c r="N1570" s="368"/>
      <c r="O1570" s="370"/>
      <c r="T1570" s="349"/>
      <c r="V1570" s="378"/>
      <c r="W1570" s="64" ph="1"/>
      <c r="X1570" s="241"/>
      <c r="Y1570" s="284"/>
      <c r="Z1570" s="207"/>
      <c r="AA1570" s="284"/>
      <c r="AB1570" s="284"/>
      <c r="AC1570" s="284"/>
      <c r="AD1570" s="284"/>
      <c r="AE1570" s="284"/>
      <c r="AF1570" s="284"/>
      <c r="AG1570" s="284"/>
      <c r="AI1570" s="131"/>
    </row>
    <row r="1571" spans="1:35" ht="26.4">
      <c r="A1571" s="284"/>
      <c r="B1571" s="284"/>
      <c r="C1571" s="284"/>
      <c r="D1571" s="284"/>
      <c r="E1571" s="284"/>
      <c r="F1571" s="284"/>
      <c r="G1571" s="284"/>
      <c r="H1571" s="284"/>
      <c r="I1571" s="284"/>
      <c r="J1571" s="375"/>
      <c r="K1571" s="375"/>
      <c r="L1571" s="375"/>
      <c r="M1571" s="368"/>
      <c r="N1571" s="368"/>
      <c r="O1571" s="370"/>
      <c r="T1571" s="349"/>
      <c r="V1571" s="378"/>
      <c r="W1571" s="64" ph="1"/>
      <c r="X1571" s="241"/>
      <c r="Y1571" s="284"/>
      <c r="Z1571" s="207"/>
      <c r="AA1571" s="284"/>
      <c r="AB1571" s="284"/>
      <c r="AC1571" s="284"/>
      <c r="AD1571" s="284"/>
      <c r="AE1571" s="284"/>
      <c r="AF1571" s="284"/>
      <c r="AG1571" s="284"/>
      <c r="AI1571" s="131"/>
    </row>
    <row r="1572" spans="1:35" ht="26.4">
      <c r="A1572" s="284"/>
      <c r="B1572" s="284"/>
      <c r="C1572" s="284"/>
      <c r="D1572" s="284"/>
      <c r="E1572" s="284"/>
      <c r="F1572" s="284"/>
      <c r="G1572" s="284"/>
      <c r="H1572" s="284"/>
      <c r="I1572" s="284"/>
      <c r="J1572" s="375"/>
      <c r="K1572" s="375"/>
      <c r="L1572" s="375"/>
      <c r="M1572" s="368"/>
      <c r="N1572" s="368"/>
      <c r="O1572" s="370"/>
      <c r="T1572" s="349"/>
      <c r="V1572" s="378"/>
      <c r="W1572" s="64" ph="1"/>
      <c r="X1572" s="241"/>
      <c r="Y1572" s="284"/>
      <c r="Z1572" s="207"/>
      <c r="AA1572" s="284"/>
      <c r="AB1572" s="284"/>
      <c r="AC1572" s="284"/>
      <c r="AD1572" s="284"/>
      <c r="AE1572" s="284"/>
      <c r="AF1572" s="284"/>
      <c r="AG1572" s="284"/>
      <c r="AI1572" s="131"/>
    </row>
    <row r="1573" spans="1:35" ht="26.4">
      <c r="A1573" s="284"/>
      <c r="B1573" s="284"/>
      <c r="C1573" s="284"/>
      <c r="D1573" s="284"/>
      <c r="E1573" s="284"/>
      <c r="F1573" s="284"/>
      <c r="G1573" s="284"/>
      <c r="H1573" s="284"/>
      <c r="I1573" s="284"/>
      <c r="J1573" s="375"/>
      <c r="K1573" s="375"/>
      <c r="L1573" s="375"/>
      <c r="M1573" s="368"/>
      <c r="N1573" s="368"/>
      <c r="O1573" s="370"/>
      <c r="T1573" s="349"/>
      <c r="V1573" s="378"/>
      <c r="W1573" s="64" ph="1"/>
      <c r="X1573" s="241"/>
      <c r="Y1573" s="284"/>
      <c r="Z1573" s="207"/>
      <c r="AA1573" s="284"/>
      <c r="AB1573" s="284"/>
      <c r="AC1573" s="284"/>
      <c r="AD1573" s="284"/>
      <c r="AE1573" s="284"/>
      <c r="AF1573" s="284"/>
      <c r="AG1573" s="284"/>
      <c r="AI1573" s="131"/>
    </row>
    <row r="1574" spans="1:35" ht="26.4">
      <c r="A1574" s="284"/>
      <c r="B1574" s="284"/>
      <c r="C1574" s="284"/>
      <c r="D1574" s="284"/>
      <c r="E1574" s="284"/>
      <c r="F1574" s="284"/>
      <c r="G1574" s="284"/>
      <c r="H1574" s="284"/>
      <c r="I1574" s="284"/>
      <c r="J1574" s="375"/>
      <c r="K1574" s="375"/>
      <c r="L1574" s="375"/>
      <c r="M1574" s="368"/>
      <c r="N1574" s="368"/>
      <c r="O1574" s="370"/>
      <c r="T1574" s="349"/>
      <c r="V1574" s="378"/>
      <c r="W1574" s="64" ph="1"/>
      <c r="X1574" s="241"/>
      <c r="Y1574" s="284"/>
      <c r="Z1574" s="207"/>
      <c r="AA1574" s="284"/>
      <c r="AB1574" s="284"/>
      <c r="AC1574" s="284"/>
      <c r="AD1574" s="284"/>
      <c r="AE1574" s="284"/>
      <c r="AF1574" s="284"/>
      <c r="AG1574" s="284"/>
      <c r="AI1574" s="131"/>
    </row>
    <row r="1575" spans="1:35" ht="26.4">
      <c r="A1575" s="284"/>
      <c r="B1575" s="284"/>
      <c r="C1575" s="284"/>
      <c r="D1575" s="284"/>
      <c r="E1575" s="284"/>
      <c r="F1575" s="284"/>
      <c r="G1575" s="284"/>
      <c r="H1575" s="284"/>
      <c r="I1575" s="284"/>
      <c r="J1575" s="375"/>
      <c r="K1575" s="375"/>
      <c r="L1575" s="375"/>
      <c r="M1575" s="368"/>
      <c r="N1575" s="368"/>
      <c r="O1575" s="370"/>
      <c r="T1575" s="349"/>
      <c r="V1575" s="378"/>
      <c r="W1575" s="64" ph="1"/>
      <c r="X1575" s="241"/>
      <c r="Y1575" s="284"/>
      <c r="Z1575" s="207"/>
      <c r="AA1575" s="284"/>
      <c r="AB1575" s="284"/>
      <c r="AC1575" s="284"/>
      <c r="AD1575" s="284"/>
      <c r="AE1575" s="284"/>
      <c r="AF1575" s="284"/>
      <c r="AG1575" s="284"/>
      <c r="AI1575" s="131"/>
    </row>
    <row r="1576" spans="1:35" ht="26.4">
      <c r="A1576" s="284"/>
      <c r="B1576" s="284"/>
      <c r="C1576" s="284"/>
      <c r="D1576" s="284"/>
      <c r="E1576" s="284"/>
      <c r="F1576" s="284"/>
      <c r="G1576" s="284"/>
      <c r="H1576" s="284"/>
      <c r="I1576" s="284"/>
      <c r="J1576" s="375"/>
      <c r="K1576" s="375"/>
      <c r="L1576" s="375"/>
      <c r="M1576" s="368"/>
      <c r="N1576" s="368"/>
      <c r="O1576" s="370"/>
      <c r="T1576" s="349"/>
      <c r="V1576" s="378"/>
      <c r="W1576" s="64" ph="1"/>
      <c r="X1576" s="241"/>
      <c r="Y1576" s="284"/>
      <c r="Z1576" s="207"/>
      <c r="AA1576" s="284"/>
      <c r="AB1576" s="284"/>
      <c r="AC1576" s="284"/>
      <c r="AD1576" s="284"/>
      <c r="AE1576" s="284"/>
      <c r="AF1576" s="284"/>
      <c r="AG1576" s="284"/>
      <c r="AI1576" s="131"/>
    </row>
    <row r="1577" spans="1:35" ht="26.4">
      <c r="A1577" s="284"/>
      <c r="B1577" s="284"/>
      <c r="C1577" s="284"/>
      <c r="D1577" s="284"/>
      <c r="E1577" s="284"/>
      <c r="F1577" s="284"/>
      <c r="G1577" s="284"/>
      <c r="H1577" s="284"/>
      <c r="I1577" s="284"/>
      <c r="J1577" s="375"/>
      <c r="K1577" s="375"/>
      <c r="L1577" s="375"/>
      <c r="M1577" s="368"/>
      <c r="N1577" s="368"/>
      <c r="O1577" s="370"/>
      <c r="T1577" s="349"/>
      <c r="V1577" s="378"/>
      <c r="W1577" s="64" ph="1"/>
      <c r="X1577" s="241"/>
      <c r="Y1577" s="284"/>
      <c r="Z1577" s="207"/>
      <c r="AA1577" s="284"/>
      <c r="AB1577" s="284"/>
      <c r="AC1577" s="284"/>
      <c r="AD1577" s="284"/>
      <c r="AE1577" s="284"/>
      <c r="AF1577" s="284"/>
      <c r="AG1577" s="284"/>
      <c r="AI1577" s="131"/>
    </row>
    <row r="1578" spans="1:35" ht="26.4">
      <c r="A1578" s="284"/>
      <c r="B1578" s="284"/>
      <c r="C1578" s="284"/>
      <c r="D1578" s="284"/>
      <c r="E1578" s="284"/>
      <c r="F1578" s="284"/>
      <c r="G1578" s="284"/>
      <c r="H1578" s="284"/>
      <c r="I1578" s="284"/>
      <c r="J1578" s="375"/>
      <c r="K1578" s="375"/>
      <c r="L1578" s="375"/>
      <c r="M1578" s="368"/>
      <c r="N1578" s="368"/>
      <c r="O1578" s="370"/>
      <c r="T1578" s="349"/>
      <c r="V1578" s="378"/>
      <c r="W1578" s="64" ph="1"/>
      <c r="X1578" s="241"/>
      <c r="Y1578" s="284"/>
      <c r="Z1578" s="207"/>
      <c r="AA1578" s="284"/>
      <c r="AB1578" s="284"/>
      <c r="AC1578" s="284"/>
      <c r="AD1578" s="284"/>
      <c r="AE1578" s="284"/>
      <c r="AF1578" s="284"/>
      <c r="AG1578" s="284"/>
      <c r="AI1578" s="131"/>
    </row>
    <row r="1579" spans="1:35" ht="26.4">
      <c r="A1579" s="284"/>
      <c r="B1579" s="284"/>
      <c r="C1579" s="284"/>
      <c r="D1579" s="284"/>
      <c r="E1579" s="284"/>
      <c r="F1579" s="284"/>
      <c r="G1579" s="284"/>
      <c r="H1579" s="284"/>
      <c r="I1579" s="284"/>
      <c r="J1579" s="375"/>
      <c r="K1579" s="375"/>
      <c r="L1579" s="375"/>
      <c r="M1579" s="368"/>
      <c r="N1579" s="368"/>
      <c r="O1579" s="370"/>
      <c r="T1579" s="349"/>
      <c r="V1579" s="378"/>
      <c r="W1579" s="64" ph="1"/>
      <c r="X1579" s="241"/>
      <c r="Y1579" s="284"/>
      <c r="Z1579" s="207"/>
      <c r="AA1579" s="284"/>
      <c r="AB1579" s="284"/>
      <c r="AC1579" s="284"/>
      <c r="AD1579" s="284"/>
      <c r="AE1579" s="284"/>
      <c r="AF1579" s="284"/>
      <c r="AG1579" s="284"/>
      <c r="AI1579" s="131"/>
    </row>
    <row r="1580" spans="1:35" ht="26.4">
      <c r="A1580" s="284"/>
      <c r="B1580" s="284"/>
      <c r="C1580" s="284"/>
      <c r="D1580" s="284"/>
      <c r="E1580" s="284"/>
      <c r="F1580" s="284"/>
      <c r="G1580" s="284"/>
      <c r="H1580" s="284"/>
      <c r="I1580" s="284"/>
      <c r="J1580" s="375"/>
      <c r="K1580" s="375"/>
      <c r="L1580" s="375"/>
      <c r="M1580" s="368"/>
      <c r="N1580" s="368"/>
      <c r="O1580" s="370"/>
      <c r="T1580" s="349"/>
      <c r="V1580" s="378"/>
      <c r="W1580" s="64" ph="1"/>
      <c r="X1580" s="241"/>
      <c r="Y1580" s="284"/>
      <c r="Z1580" s="207"/>
      <c r="AA1580" s="284"/>
      <c r="AB1580" s="284"/>
      <c r="AC1580" s="284"/>
      <c r="AD1580" s="284"/>
      <c r="AE1580" s="284"/>
      <c r="AF1580" s="284"/>
      <c r="AG1580" s="284"/>
      <c r="AI1580" s="131"/>
    </row>
    <row r="1581" spans="1:35" ht="26.4">
      <c r="A1581" s="284"/>
      <c r="B1581" s="284"/>
      <c r="C1581" s="284"/>
      <c r="D1581" s="284"/>
      <c r="E1581" s="284"/>
      <c r="F1581" s="284"/>
      <c r="G1581" s="284"/>
      <c r="H1581" s="284"/>
      <c r="I1581" s="284"/>
      <c r="J1581" s="375"/>
      <c r="K1581" s="375"/>
      <c r="L1581" s="375"/>
      <c r="M1581" s="368"/>
      <c r="N1581" s="368"/>
      <c r="O1581" s="370"/>
      <c r="T1581" s="349"/>
      <c r="V1581" s="378"/>
      <c r="W1581" s="64" ph="1"/>
      <c r="X1581" s="241"/>
      <c r="Y1581" s="284"/>
      <c r="Z1581" s="207"/>
      <c r="AA1581" s="284"/>
      <c r="AB1581" s="284"/>
      <c r="AC1581" s="284"/>
      <c r="AD1581" s="284"/>
      <c r="AE1581" s="284"/>
      <c r="AF1581" s="284"/>
      <c r="AG1581" s="284"/>
      <c r="AI1581" s="131"/>
    </row>
    <row r="1582" spans="1:35" ht="26.4">
      <c r="A1582" s="284"/>
      <c r="B1582" s="284"/>
      <c r="C1582" s="284"/>
      <c r="D1582" s="284"/>
      <c r="E1582" s="284"/>
      <c r="F1582" s="284"/>
      <c r="G1582" s="284"/>
      <c r="H1582" s="284"/>
      <c r="I1582" s="284"/>
      <c r="J1582" s="375"/>
      <c r="K1582" s="375"/>
      <c r="L1582" s="375"/>
      <c r="M1582" s="368"/>
      <c r="N1582" s="368"/>
      <c r="O1582" s="370"/>
      <c r="T1582" s="349"/>
      <c r="V1582" s="378"/>
      <c r="W1582" s="64" ph="1"/>
      <c r="X1582" s="241"/>
      <c r="Y1582" s="284"/>
      <c r="Z1582" s="207"/>
      <c r="AA1582" s="284"/>
      <c r="AB1582" s="284"/>
      <c r="AC1582" s="284"/>
      <c r="AD1582" s="284"/>
      <c r="AE1582" s="284"/>
      <c r="AF1582" s="284"/>
      <c r="AG1582" s="284"/>
      <c r="AI1582" s="131"/>
    </row>
    <row r="1583" spans="1:35" ht="26.4">
      <c r="A1583" s="284"/>
      <c r="B1583" s="284"/>
      <c r="C1583" s="284"/>
      <c r="D1583" s="284"/>
      <c r="E1583" s="284"/>
      <c r="F1583" s="284"/>
      <c r="G1583" s="284"/>
      <c r="H1583" s="284"/>
      <c r="I1583" s="284"/>
      <c r="J1583" s="375"/>
      <c r="K1583" s="375"/>
      <c r="L1583" s="375"/>
      <c r="M1583" s="368"/>
      <c r="N1583" s="368"/>
      <c r="O1583" s="370"/>
      <c r="T1583" s="349"/>
      <c r="V1583" s="378"/>
      <c r="W1583" s="64" ph="1"/>
      <c r="X1583" s="241"/>
      <c r="Y1583" s="284"/>
      <c r="Z1583" s="207"/>
      <c r="AA1583" s="284"/>
      <c r="AB1583" s="284"/>
      <c r="AC1583" s="284"/>
      <c r="AD1583" s="284"/>
      <c r="AE1583" s="284"/>
      <c r="AF1583" s="284"/>
      <c r="AG1583" s="284"/>
      <c r="AI1583" s="131"/>
    </row>
    <row r="1584" spans="1:35" ht="26.4">
      <c r="A1584" s="284"/>
      <c r="B1584" s="284"/>
      <c r="C1584" s="284"/>
      <c r="D1584" s="284"/>
      <c r="E1584" s="284"/>
      <c r="F1584" s="284"/>
      <c r="G1584" s="284"/>
      <c r="H1584" s="284"/>
      <c r="I1584" s="284"/>
      <c r="J1584" s="375"/>
      <c r="K1584" s="375"/>
      <c r="L1584" s="375"/>
      <c r="M1584" s="368"/>
      <c r="N1584" s="368"/>
      <c r="O1584" s="370"/>
      <c r="T1584" s="349"/>
      <c r="V1584" s="378"/>
      <c r="W1584" s="64" ph="1"/>
      <c r="X1584" s="241"/>
      <c r="Y1584" s="284"/>
      <c r="Z1584" s="207"/>
      <c r="AA1584" s="284"/>
      <c r="AB1584" s="284"/>
      <c r="AC1584" s="284"/>
      <c r="AD1584" s="284"/>
      <c r="AE1584" s="284"/>
      <c r="AF1584" s="284"/>
      <c r="AG1584" s="284"/>
      <c r="AI1584" s="131"/>
    </row>
    <row r="1585" spans="1:35" ht="26.4">
      <c r="A1585" s="284"/>
      <c r="B1585" s="284"/>
      <c r="C1585" s="284"/>
      <c r="D1585" s="284"/>
      <c r="E1585" s="284"/>
      <c r="F1585" s="284"/>
      <c r="G1585" s="284"/>
      <c r="H1585" s="284"/>
      <c r="I1585" s="284"/>
      <c r="J1585" s="375"/>
      <c r="K1585" s="375"/>
      <c r="L1585" s="375"/>
      <c r="M1585" s="368"/>
      <c r="N1585" s="368"/>
      <c r="O1585" s="370"/>
      <c r="T1585" s="349"/>
      <c r="V1585" s="378"/>
      <c r="W1585" s="64" ph="1"/>
      <c r="X1585" s="241"/>
      <c r="Y1585" s="284"/>
      <c r="Z1585" s="207"/>
      <c r="AA1585" s="284"/>
      <c r="AB1585" s="284"/>
      <c r="AC1585" s="284"/>
      <c r="AD1585" s="284"/>
      <c r="AE1585" s="284"/>
      <c r="AF1585" s="284"/>
      <c r="AG1585" s="284"/>
      <c r="AI1585" s="131"/>
    </row>
    <row r="1586" spans="1:35" ht="26.4">
      <c r="A1586" s="284"/>
      <c r="B1586" s="284"/>
      <c r="C1586" s="284"/>
      <c r="D1586" s="284"/>
      <c r="E1586" s="284"/>
      <c r="F1586" s="284"/>
      <c r="G1586" s="284"/>
      <c r="H1586" s="284"/>
      <c r="I1586" s="284"/>
      <c r="J1586" s="375"/>
      <c r="K1586" s="375"/>
      <c r="L1586" s="375"/>
      <c r="M1586" s="368"/>
      <c r="N1586" s="368"/>
      <c r="O1586" s="370"/>
      <c r="T1586" s="349"/>
      <c r="V1586" s="378"/>
      <c r="W1586" s="64" ph="1"/>
      <c r="X1586" s="241"/>
      <c r="Y1586" s="284"/>
      <c r="Z1586" s="207"/>
      <c r="AA1586" s="284"/>
      <c r="AB1586" s="284"/>
      <c r="AC1586" s="284"/>
      <c r="AD1586" s="284"/>
      <c r="AE1586" s="284"/>
      <c r="AF1586" s="284"/>
      <c r="AG1586" s="284"/>
      <c r="AI1586" s="131"/>
    </row>
    <row r="1587" spans="1:35" ht="26.4">
      <c r="A1587" s="284"/>
      <c r="B1587" s="284"/>
      <c r="C1587" s="284"/>
      <c r="D1587" s="284"/>
      <c r="E1587" s="284"/>
      <c r="F1587" s="284"/>
      <c r="G1587" s="284"/>
      <c r="H1587" s="284"/>
      <c r="I1587" s="284"/>
      <c r="J1587" s="375"/>
      <c r="K1587" s="375"/>
      <c r="L1587" s="375"/>
      <c r="M1587" s="368"/>
      <c r="N1587" s="368"/>
      <c r="O1587" s="370"/>
      <c r="T1587" s="349"/>
      <c r="V1587" s="378"/>
      <c r="W1587" s="64" ph="1"/>
      <c r="X1587" s="241"/>
      <c r="Y1587" s="284"/>
      <c r="Z1587" s="207"/>
      <c r="AA1587" s="284"/>
      <c r="AB1587" s="284"/>
      <c r="AC1587" s="284"/>
      <c r="AD1587" s="284"/>
      <c r="AE1587" s="284"/>
      <c r="AF1587" s="284"/>
      <c r="AG1587" s="284"/>
      <c r="AI1587" s="131"/>
    </row>
    <row r="1588" spans="1:35" ht="26.4">
      <c r="A1588" s="284"/>
      <c r="B1588" s="284"/>
      <c r="C1588" s="284"/>
      <c r="D1588" s="284"/>
      <c r="E1588" s="284"/>
      <c r="F1588" s="284"/>
      <c r="G1588" s="284"/>
      <c r="H1588" s="284"/>
      <c r="I1588" s="284"/>
      <c r="J1588" s="375"/>
      <c r="K1588" s="375"/>
      <c r="L1588" s="375"/>
      <c r="M1588" s="368"/>
      <c r="N1588" s="368"/>
      <c r="O1588" s="370"/>
      <c r="T1588" s="349"/>
      <c r="V1588" s="378"/>
      <c r="W1588" s="64" ph="1"/>
      <c r="X1588" s="241"/>
      <c r="Y1588" s="284"/>
      <c r="Z1588" s="207"/>
      <c r="AA1588" s="284"/>
      <c r="AB1588" s="284"/>
      <c r="AC1588" s="284"/>
      <c r="AD1588" s="284"/>
      <c r="AE1588" s="284"/>
      <c r="AF1588" s="284"/>
      <c r="AG1588" s="284"/>
      <c r="AI1588" s="131"/>
    </row>
    <row r="1589" spans="1:35" ht="26.4">
      <c r="A1589" s="284"/>
      <c r="B1589" s="284"/>
      <c r="C1589" s="284"/>
      <c r="D1589" s="284"/>
      <c r="E1589" s="284"/>
      <c r="F1589" s="284"/>
      <c r="G1589" s="284"/>
      <c r="H1589" s="284"/>
      <c r="I1589" s="284"/>
      <c r="J1589" s="375"/>
      <c r="K1589" s="375"/>
      <c r="L1589" s="375"/>
      <c r="M1589" s="368"/>
      <c r="N1589" s="368"/>
      <c r="O1589" s="370"/>
      <c r="T1589" s="349"/>
      <c r="V1589" s="378"/>
      <c r="W1589" s="64" ph="1"/>
      <c r="X1589" s="241"/>
      <c r="Y1589" s="284"/>
      <c r="Z1589" s="207"/>
      <c r="AA1589" s="284"/>
      <c r="AB1589" s="284"/>
      <c r="AC1589" s="284"/>
      <c r="AD1589" s="284"/>
      <c r="AE1589" s="284"/>
      <c r="AF1589" s="284"/>
      <c r="AG1589" s="284"/>
      <c r="AI1589" s="131"/>
    </row>
    <row r="1590" spans="1:35" ht="26.4">
      <c r="A1590" s="284"/>
      <c r="B1590" s="284"/>
      <c r="C1590" s="284"/>
      <c r="D1590" s="284"/>
      <c r="E1590" s="284"/>
      <c r="F1590" s="284"/>
      <c r="G1590" s="284"/>
      <c r="H1590" s="284"/>
      <c r="I1590" s="284"/>
      <c r="J1590" s="375"/>
      <c r="K1590" s="375"/>
      <c r="L1590" s="375"/>
      <c r="M1590" s="368"/>
      <c r="N1590" s="368"/>
      <c r="O1590" s="370"/>
      <c r="T1590" s="349"/>
      <c r="V1590" s="378"/>
      <c r="W1590" s="64" ph="1"/>
      <c r="X1590" s="241"/>
      <c r="Y1590" s="284"/>
      <c r="Z1590" s="207"/>
      <c r="AA1590" s="284"/>
      <c r="AB1590" s="284"/>
      <c r="AC1590" s="284"/>
      <c r="AD1590" s="284"/>
      <c r="AE1590" s="284"/>
      <c r="AF1590" s="284"/>
      <c r="AG1590" s="284"/>
      <c r="AI1590" s="131"/>
    </row>
    <row r="1591" spans="1:35" ht="26.4">
      <c r="A1591" s="284"/>
      <c r="B1591" s="284"/>
      <c r="C1591" s="284"/>
      <c r="D1591" s="284"/>
      <c r="E1591" s="284"/>
      <c r="F1591" s="284"/>
      <c r="G1591" s="284"/>
      <c r="H1591" s="284"/>
      <c r="I1591" s="284"/>
      <c r="J1591" s="375"/>
      <c r="K1591" s="375"/>
      <c r="L1591" s="375"/>
      <c r="M1591" s="368"/>
      <c r="N1591" s="368"/>
      <c r="O1591" s="370"/>
      <c r="T1591" s="349"/>
      <c r="V1591" s="378"/>
      <c r="W1591" s="64" ph="1"/>
      <c r="X1591" s="241"/>
      <c r="Y1591" s="284"/>
      <c r="Z1591" s="207"/>
      <c r="AA1591" s="284"/>
      <c r="AB1591" s="284"/>
      <c r="AC1591" s="284"/>
      <c r="AD1591" s="284"/>
      <c r="AE1591" s="284"/>
      <c r="AF1591" s="284"/>
      <c r="AG1591" s="284"/>
      <c r="AI1591" s="284"/>
    </row>
    <row r="1592" spans="1:35" ht="26.4">
      <c r="A1592" s="284"/>
      <c r="B1592" s="284"/>
      <c r="C1592" s="284"/>
      <c r="D1592" s="284"/>
      <c r="E1592" s="284"/>
      <c r="F1592" s="284"/>
      <c r="G1592" s="284"/>
      <c r="H1592" s="284"/>
      <c r="I1592" s="284"/>
      <c r="J1592" s="375"/>
      <c r="K1592" s="375"/>
      <c r="L1592" s="375"/>
      <c r="M1592" s="368"/>
      <c r="N1592" s="368"/>
      <c r="O1592" s="370"/>
      <c r="T1592" s="349"/>
      <c r="V1592" s="378"/>
      <c r="W1592" s="64" ph="1"/>
      <c r="X1592" s="241"/>
      <c r="Y1592" s="284"/>
      <c r="Z1592" s="207"/>
      <c r="AA1592" s="284"/>
      <c r="AB1592" s="284"/>
      <c r="AC1592" s="284"/>
      <c r="AD1592" s="284"/>
      <c r="AE1592" s="284"/>
      <c r="AF1592" s="284"/>
      <c r="AG1592" s="284"/>
      <c r="AI1592" s="131"/>
    </row>
    <row r="1593" spans="1:35" ht="26.4">
      <c r="A1593" s="284"/>
      <c r="B1593" s="284"/>
      <c r="C1593" s="284"/>
      <c r="D1593" s="284"/>
      <c r="E1593" s="284"/>
      <c r="F1593" s="284"/>
      <c r="G1593" s="284"/>
      <c r="H1593" s="284"/>
      <c r="I1593" s="284"/>
      <c r="J1593" s="375"/>
      <c r="K1593" s="375"/>
      <c r="L1593" s="375"/>
      <c r="M1593" s="368"/>
      <c r="N1593" s="368"/>
      <c r="O1593" s="370"/>
      <c r="T1593" s="349"/>
      <c r="V1593" s="378"/>
      <c r="W1593" s="64" ph="1"/>
      <c r="X1593" s="241"/>
      <c r="Y1593" s="284"/>
      <c r="Z1593" s="207"/>
      <c r="AA1593" s="284"/>
      <c r="AB1593" s="284"/>
      <c r="AC1593" s="284"/>
      <c r="AD1593" s="284"/>
      <c r="AE1593" s="284"/>
      <c r="AF1593" s="284"/>
      <c r="AG1593" s="284"/>
      <c r="AI1593" s="131"/>
    </row>
    <row r="1594" spans="1:35" ht="26.4">
      <c r="A1594" s="284"/>
      <c r="B1594" s="284"/>
      <c r="C1594" s="284"/>
      <c r="D1594" s="284"/>
      <c r="E1594" s="284"/>
      <c r="F1594" s="284"/>
      <c r="G1594" s="284"/>
      <c r="H1594" s="284"/>
      <c r="I1594" s="284"/>
      <c r="J1594" s="375"/>
      <c r="K1594" s="375"/>
      <c r="L1594" s="375"/>
      <c r="M1594" s="368"/>
      <c r="N1594" s="368"/>
      <c r="O1594" s="370"/>
      <c r="T1594" s="349"/>
      <c r="V1594" s="378"/>
      <c r="W1594" s="64" ph="1"/>
      <c r="X1594" s="241"/>
      <c r="Y1594" s="284"/>
      <c r="Z1594" s="207"/>
      <c r="AA1594" s="284"/>
      <c r="AB1594" s="284"/>
      <c r="AC1594" s="284"/>
      <c r="AD1594" s="284"/>
      <c r="AE1594" s="284"/>
      <c r="AF1594" s="284"/>
      <c r="AG1594" s="284"/>
      <c r="AI1594" s="131"/>
    </row>
    <row r="1595" spans="1:35" ht="26.4">
      <c r="A1595" s="284"/>
      <c r="B1595" s="284"/>
      <c r="C1595" s="284"/>
      <c r="D1595" s="284"/>
      <c r="E1595" s="284"/>
      <c r="F1595" s="284"/>
      <c r="G1595" s="284"/>
      <c r="H1595" s="284"/>
      <c r="I1595" s="284"/>
      <c r="J1595" s="375"/>
      <c r="K1595" s="375"/>
      <c r="L1595" s="375"/>
      <c r="M1595" s="368"/>
      <c r="N1595" s="368"/>
      <c r="O1595" s="370"/>
      <c r="T1595" s="349"/>
      <c r="V1595" s="378"/>
      <c r="W1595" s="64" ph="1"/>
      <c r="X1595" s="241"/>
      <c r="Y1595" s="284"/>
      <c r="Z1595" s="207"/>
      <c r="AA1595" s="284"/>
      <c r="AB1595" s="284"/>
      <c r="AC1595" s="284"/>
      <c r="AD1595" s="284"/>
      <c r="AE1595" s="284"/>
      <c r="AF1595" s="284"/>
      <c r="AG1595" s="284"/>
      <c r="AI1595" s="131"/>
    </row>
    <row r="1596" spans="1:35" ht="26.4">
      <c r="A1596" s="284"/>
      <c r="B1596" s="284"/>
      <c r="C1596" s="284"/>
      <c r="D1596" s="284"/>
      <c r="E1596" s="284"/>
      <c r="F1596" s="284"/>
      <c r="G1596" s="284"/>
      <c r="H1596" s="284"/>
      <c r="I1596" s="284"/>
      <c r="J1596" s="375"/>
      <c r="K1596" s="375"/>
      <c r="L1596" s="375"/>
      <c r="M1596" s="368"/>
      <c r="N1596" s="368"/>
      <c r="O1596" s="370"/>
      <c r="T1596" s="349"/>
      <c r="V1596" s="378"/>
      <c r="W1596" s="64" ph="1"/>
      <c r="X1596" s="241"/>
      <c r="Y1596" s="284"/>
      <c r="Z1596" s="207"/>
      <c r="AA1596" s="284"/>
      <c r="AB1596" s="284"/>
      <c r="AC1596" s="284"/>
      <c r="AD1596" s="284"/>
      <c r="AE1596" s="284"/>
      <c r="AF1596" s="284"/>
      <c r="AG1596" s="284"/>
      <c r="AI1596" s="131"/>
    </row>
    <row r="1597" spans="1:35" ht="26.4">
      <c r="A1597" s="284"/>
      <c r="B1597" s="284"/>
      <c r="C1597" s="284"/>
      <c r="D1597" s="284"/>
      <c r="E1597" s="284"/>
      <c r="F1597" s="284"/>
      <c r="G1597" s="284"/>
      <c r="H1597" s="284"/>
      <c r="I1597" s="284"/>
      <c r="J1597" s="375"/>
      <c r="K1597" s="375"/>
      <c r="L1597" s="375"/>
      <c r="M1597" s="368"/>
      <c r="N1597" s="368"/>
      <c r="O1597" s="370"/>
      <c r="T1597" s="349"/>
      <c r="V1597" s="378"/>
      <c r="W1597" s="64" ph="1"/>
      <c r="X1597" s="241"/>
      <c r="Y1597" s="284"/>
      <c r="Z1597" s="207"/>
      <c r="AA1597" s="284"/>
      <c r="AB1597" s="284"/>
      <c r="AC1597" s="284"/>
      <c r="AD1597" s="284"/>
      <c r="AE1597" s="284"/>
      <c r="AF1597" s="284"/>
      <c r="AG1597" s="284"/>
      <c r="AI1597" s="131"/>
    </row>
    <row r="1598" spans="1:35" ht="26.4">
      <c r="A1598" s="284"/>
      <c r="B1598" s="284"/>
      <c r="C1598" s="284"/>
      <c r="D1598" s="284"/>
      <c r="E1598" s="284"/>
      <c r="F1598" s="284"/>
      <c r="G1598" s="284"/>
      <c r="H1598" s="284"/>
      <c r="I1598" s="284"/>
      <c r="J1598" s="375"/>
      <c r="K1598" s="375"/>
      <c r="L1598" s="375"/>
      <c r="M1598" s="368"/>
      <c r="N1598" s="368"/>
      <c r="O1598" s="370"/>
      <c r="T1598" s="349"/>
      <c r="V1598" s="378"/>
      <c r="W1598" s="64" ph="1"/>
      <c r="X1598" s="241"/>
      <c r="Y1598" s="284"/>
      <c r="Z1598" s="207"/>
      <c r="AA1598" s="284"/>
      <c r="AB1598" s="284"/>
      <c r="AC1598" s="284"/>
      <c r="AD1598" s="284"/>
      <c r="AE1598" s="284"/>
      <c r="AF1598" s="284"/>
      <c r="AG1598" s="284"/>
      <c r="AI1598" s="131"/>
    </row>
    <row r="1599" spans="1:35" ht="26.4">
      <c r="A1599" s="284"/>
      <c r="B1599" s="284"/>
      <c r="C1599" s="284"/>
      <c r="D1599" s="284"/>
      <c r="E1599" s="284"/>
      <c r="F1599" s="284"/>
      <c r="G1599" s="284"/>
      <c r="H1599" s="284"/>
      <c r="I1599" s="284"/>
      <c r="J1599" s="375"/>
      <c r="K1599" s="375"/>
      <c r="L1599" s="375"/>
      <c r="M1599" s="368"/>
      <c r="N1599" s="368"/>
      <c r="O1599" s="370"/>
      <c r="T1599" s="349"/>
      <c r="V1599" s="378"/>
      <c r="W1599" s="64" ph="1"/>
      <c r="X1599" s="241"/>
      <c r="Y1599" s="284"/>
      <c r="Z1599" s="207"/>
      <c r="AA1599" s="284"/>
      <c r="AB1599" s="284"/>
      <c r="AC1599" s="284"/>
      <c r="AD1599" s="284"/>
      <c r="AE1599" s="284"/>
      <c r="AF1599" s="284"/>
      <c r="AG1599" s="284"/>
      <c r="AI1599" s="131"/>
    </row>
    <row r="1600" spans="1:35" ht="26.4">
      <c r="A1600" s="284"/>
      <c r="B1600" s="284"/>
      <c r="C1600" s="284"/>
      <c r="D1600" s="284"/>
      <c r="E1600" s="284"/>
      <c r="F1600" s="284"/>
      <c r="G1600" s="284"/>
      <c r="H1600" s="284"/>
      <c r="I1600" s="284"/>
      <c r="J1600" s="375"/>
      <c r="K1600" s="375"/>
      <c r="L1600" s="375"/>
      <c r="M1600" s="368"/>
      <c r="N1600" s="368"/>
      <c r="O1600" s="370"/>
      <c r="T1600" s="349"/>
      <c r="V1600" s="378"/>
      <c r="W1600" s="64" ph="1"/>
      <c r="X1600" s="241"/>
      <c r="Y1600" s="284"/>
      <c r="Z1600" s="207"/>
      <c r="AA1600" s="284"/>
      <c r="AB1600" s="284"/>
      <c r="AC1600" s="284"/>
      <c r="AD1600" s="284"/>
      <c r="AE1600" s="284"/>
      <c r="AF1600" s="284"/>
      <c r="AG1600" s="284"/>
      <c r="AI1600" s="131"/>
    </row>
    <row r="1601" spans="1:35" ht="26.4">
      <c r="A1601" s="284"/>
      <c r="B1601" s="284"/>
      <c r="C1601" s="284"/>
      <c r="D1601" s="284"/>
      <c r="E1601" s="284"/>
      <c r="F1601" s="284"/>
      <c r="G1601" s="284"/>
      <c r="H1601" s="284"/>
      <c r="I1601" s="284"/>
      <c r="J1601" s="375"/>
      <c r="K1601" s="375"/>
      <c r="L1601" s="375"/>
      <c r="M1601" s="368"/>
      <c r="N1601" s="368"/>
      <c r="O1601" s="370"/>
      <c r="T1601" s="349"/>
      <c r="V1601" s="378"/>
      <c r="W1601" s="64" ph="1"/>
      <c r="X1601" s="241"/>
      <c r="Y1601" s="284"/>
      <c r="Z1601" s="207"/>
      <c r="AA1601" s="284"/>
      <c r="AB1601" s="284"/>
      <c r="AC1601" s="284"/>
      <c r="AD1601" s="284"/>
      <c r="AE1601" s="284"/>
      <c r="AF1601" s="284"/>
      <c r="AG1601" s="284"/>
      <c r="AI1601" s="131"/>
    </row>
    <row r="1602" spans="1:35" ht="26.4">
      <c r="A1602" s="284"/>
      <c r="B1602" s="284"/>
      <c r="C1602" s="284"/>
      <c r="D1602" s="284"/>
      <c r="E1602" s="284"/>
      <c r="F1602" s="284"/>
      <c r="G1602" s="284"/>
      <c r="H1602" s="284"/>
      <c r="I1602" s="284"/>
      <c r="J1602" s="375"/>
      <c r="K1602" s="375"/>
      <c r="L1602" s="375"/>
      <c r="M1602" s="368"/>
      <c r="N1602" s="368"/>
      <c r="O1602" s="370"/>
      <c r="T1602" s="349"/>
      <c r="V1602" s="378"/>
      <c r="W1602" s="64" ph="1"/>
      <c r="X1602" s="241"/>
      <c r="Y1602" s="284"/>
      <c r="Z1602" s="207"/>
      <c r="AA1602" s="284"/>
      <c r="AB1602" s="284"/>
      <c r="AC1602" s="284"/>
      <c r="AD1602" s="284"/>
      <c r="AE1602" s="284"/>
      <c r="AF1602" s="284"/>
      <c r="AG1602" s="284"/>
      <c r="AI1602" s="131"/>
    </row>
    <row r="1603" spans="1:35" ht="26.4">
      <c r="A1603" s="284"/>
      <c r="B1603" s="284"/>
      <c r="C1603" s="284"/>
      <c r="D1603" s="284"/>
      <c r="E1603" s="284"/>
      <c r="F1603" s="284"/>
      <c r="G1603" s="284"/>
      <c r="H1603" s="284"/>
      <c r="I1603" s="284"/>
      <c r="J1603" s="375"/>
      <c r="K1603" s="375"/>
      <c r="L1603" s="375"/>
      <c r="M1603" s="368"/>
      <c r="N1603" s="368"/>
      <c r="O1603" s="370"/>
      <c r="T1603" s="349"/>
      <c r="V1603" s="378"/>
      <c r="W1603" s="64" ph="1"/>
      <c r="X1603" s="241"/>
      <c r="Y1603" s="284"/>
      <c r="Z1603" s="207"/>
      <c r="AA1603" s="284"/>
      <c r="AB1603" s="284"/>
      <c r="AC1603" s="284"/>
      <c r="AD1603" s="284"/>
      <c r="AE1603" s="284"/>
      <c r="AF1603" s="284"/>
      <c r="AG1603" s="284"/>
      <c r="AI1603" s="131"/>
    </row>
    <row r="1604" spans="1:35" ht="26.4">
      <c r="A1604" s="284"/>
      <c r="B1604" s="284"/>
      <c r="C1604" s="284"/>
      <c r="D1604" s="284"/>
      <c r="E1604" s="284"/>
      <c r="F1604" s="284"/>
      <c r="G1604" s="284"/>
      <c r="H1604" s="284"/>
      <c r="I1604" s="284"/>
      <c r="J1604" s="375"/>
      <c r="K1604" s="375"/>
      <c r="L1604" s="375"/>
      <c r="M1604" s="368"/>
      <c r="N1604" s="368"/>
      <c r="O1604" s="370"/>
      <c r="T1604" s="349"/>
      <c r="V1604" s="378"/>
      <c r="W1604" s="64" ph="1"/>
      <c r="X1604" s="241"/>
      <c r="Y1604" s="284"/>
      <c r="Z1604" s="207"/>
      <c r="AA1604" s="284"/>
      <c r="AB1604" s="284"/>
      <c r="AC1604" s="284"/>
      <c r="AD1604" s="284"/>
      <c r="AE1604" s="284"/>
      <c r="AF1604" s="284"/>
      <c r="AG1604" s="284"/>
      <c r="AI1604" s="131"/>
    </row>
    <row r="1605" spans="1:35" ht="26.4">
      <c r="A1605" s="284"/>
      <c r="B1605" s="284"/>
      <c r="C1605" s="284"/>
      <c r="D1605" s="284"/>
      <c r="E1605" s="284"/>
      <c r="F1605" s="284"/>
      <c r="G1605" s="284"/>
      <c r="H1605" s="284"/>
      <c r="I1605" s="284"/>
      <c r="J1605" s="375"/>
      <c r="K1605" s="375"/>
      <c r="L1605" s="375"/>
      <c r="M1605" s="368"/>
      <c r="N1605" s="368"/>
      <c r="O1605" s="370"/>
      <c r="T1605" s="349"/>
      <c r="V1605" s="378"/>
      <c r="W1605" s="64" ph="1"/>
      <c r="X1605" s="241"/>
      <c r="Y1605" s="284"/>
      <c r="Z1605" s="207"/>
      <c r="AA1605" s="284"/>
      <c r="AB1605" s="284"/>
      <c r="AC1605" s="284"/>
      <c r="AD1605" s="284"/>
      <c r="AE1605" s="284"/>
      <c r="AF1605" s="284"/>
      <c r="AG1605" s="284"/>
      <c r="AI1605" s="131"/>
    </row>
    <row r="1606" spans="1:35" ht="26.4">
      <c r="A1606" s="284"/>
      <c r="B1606" s="284"/>
      <c r="C1606" s="284"/>
      <c r="D1606" s="284"/>
      <c r="E1606" s="284"/>
      <c r="F1606" s="284"/>
      <c r="G1606" s="284"/>
      <c r="H1606" s="284"/>
      <c r="I1606" s="284"/>
      <c r="J1606" s="375"/>
      <c r="K1606" s="375"/>
      <c r="L1606" s="375"/>
      <c r="M1606" s="368"/>
      <c r="N1606" s="368"/>
      <c r="O1606" s="370"/>
      <c r="T1606" s="349"/>
      <c r="V1606" s="378"/>
      <c r="W1606" s="64" ph="1"/>
      <c r="X1606" s="241"/>
      <c r="Y1606" s="284"/>
      <c r="Z1606" s="207"/>
      <c r="AA1606" s="284"/>
      <c r="AB1606" s="284"/>
      <c r="AC1606" s="284"/>
      <c r="AD1606" s="284"/>
      <c r="AE1606" s="284"/>
      <c r="AF1606" s="284"/>
      <c r="AG1606" s="284"/>
      <c r="AI1606" s="131"/>
    </row>
    <row r="1607" spans="1:35" ht="26.4">
      <c r="A1607" s="284"/>
      <c r="B1607" s="284"/>
      <c r="C1607" s="284"/>
      <c r="D1607" s="284"/>
      <c r="E1607" s="284"/>
      <c r="F1607" s="284"/>
      <c r="G1607" s="284"/>
      <c r="H1607" s="284"/>
      <c r="I1607" s="284"/>
      <c r="J1607" s="375"/>
      <c r="K1607" s="375"/>
      <c r="L1607" s="375"/>
      <c r="M1607" s="368"/>
      <c r="N1607" s="368"/>
      <c r="O1607" s="370"/>
      <c r="T1607" s="349"/>
      <c r="V1607" s="378"/>
      <c r="W1607" s="64" ph="1"/>
      <c r="X1607" s="241"/>
      <c r="Y1607" s="284"/>
      <c r="Z1607" s="207"/>
      <c r="AA1607" s="284"/>
      <c r="AB1607" s="284"/>
      <c r="AC1607" s="284"/>
      <c r="AD1607" s="284"/>
      <c r="AE1607" s="284"/>
      <c r="AF1607" s="284"/>
      <c r="AG1607" s="284"/>
      <c r="AI1607" s="131"/>
    </row>
    <row r="1608" spans="1:35" ht="26.4">
      <c r="A1608" s="284"/>
      <c r="B1608" s="284"/>
      <c r="C1608" s="284"/>
      <c r="D1608" s="284"/>
      <c r="E1608" s="284"/>
      <c r="F1608" s="284"/>
      <c r="G1608" s="284"/>
      <c r="H1608" s="284"/>
      <c r="I1608" s="284"/>
      <c r="J1608" s="375"/>
      <c r="K1608" s="375"/>
      <c r="L1608" s="375"/>
      <c r="M1608" s="368"/>
      <c r="N1608" s="368"/>
      <c r="O1608" s="370"/>
      <c r="T1608" s="349"/>
      <c r="V1608" s="378"/>
      <c r="W1608" s="64" ph="1"/>
      <c r="X1608" s="241"/>
      <c r="Y1608" s="284"/>
      <c r="Z1608" s="207"/>
      <c r="AA1608" s="284"/>
      <c r="AB1608" s="284"/>
      <c r="AC1608" s="284"/>
      <c r="AD1608" s="284"/>
      <c r="AE1608" s="284"/>
      <c r="AF1608" s="284"/>
      <c r="AG1608" s="284"/>
      <c r="AI1608" s="131"/>
    </row>
    <row r="1609" spans="1:35" ht="26.4">
      <c r="A1609" s="284"/>
      <c r="B1609" s="284"/>
      <c r="C1609" s="284"/>
      <c r="D1609" s="284"/>
      <c r="E1609" s="284"/>
      <c r="F1609" s="284"/>
      <c r="G1609" s="284"/>
      <c r="H1609" s="284"/>
      <c r="I1609" s="284"/>
      <c r="J1609" s="375"/>
      <c r="K1609" s="375"/>
      <c r="L1609" s="375"/>
      <c r="M1609" s="368"/>
      <c r="N1609" s="368"/>
      <c r="O1609" s="370"/>
      <c r="T1609" s="349"/>
      <c r="V1609" s="378"/>
      <c r="W1609" s="64" ph="1"/>
      <c r="X1609" s="241"/>
      <c r="Y1609" s="284"/>
      <c r="Z1609" s="207"/>
      <c r="AA1609" s="284"/>
      <c r="AB1609" s="284"/>
      <c r="AC1609" s="284"/>
      <c r="AD1609" s="284"/>
      <c r="AE1609" s="284"/>
      <c r="AF1609" s="284"/>
      <c r="AG1609" s="284"/>
      <c r="AI1609" s="131"/>
    </row>
    <row r="1610" spans="1:35" ht="26.4">
      <c r="A1610" s="284"/>
      <c r="B1610" s="284"/>
      <c r="C1610" s="284"/>
      <c r="D1610" s="284"/>
      <c r="E1610" s="284"/>
      <c r="F1610" s="284"/>
      <c r="G1610" s="284"/>
      <c r="H1610" s="284"/>
      <c r="I1610" s="284"/>
      <c r="J1610" s="375"/>
      <c r="K1610" s="375"/>
      <c r="L1610" s="375"/>
      <c r="M1610" s="368"/>
      <c r="N1610" s="368"/>
      <c r="O1610" s="370"/>
      <c r="T1610" s="349"/>
      <c r="V1610" s="378"/>
      <c r="W1610" s="64" ph="1"/>
      <c r="X1610" s="241"/>
      <c r="Y1610" s="284"/>
      <c r="Z1610" s="207"/>
      <c r="AA1610" s="284"/>
      <c r="AB1610" s="284"/>
      <c r="AC1610" s="284"/>
      <c r="AD1610" s="284"/>
      <c r="AE1610" s="284"/>
      <c r="AF1610" s="284"/>
      <c r="AG1610" s="284"/>
      <c r="AI1610" s="131"/>
    </row>
    <row r="1611" spans="1:35" ht="26.4">
      <c r="A1611" s="284"/>
      <c r="B1611" s="284"/>
      <c r="C1611" s="284"/>
      <c r="D1611" s="284"/>
      <c r="E1611" s="284"/>
      <c r="F1611" s="284"/>
      <c r="G1611" s="284"/>
      <c r="H1611" s="284"/>
      <c r="I1611" s="284"/>
      <c r="J1611" s="375"/>
      <c r="K1611" s="375"/>
      <c r="L1611" s="375"/>
      <c r="M1611" s="368"/>
      <c r="N1611" s="368"/>
      <c r="O1611" s="370"/>
      <c r="T1611" s="349"/>
      <c r="V1611" s="378"/>
      <c r="W1611" s="64" ph="1"/>
      <c r="X1611" s="241"/>
      <c r="Y1611" s="284"/>
      <c r="Z1611" s="207"/>
      <c r="AA1611" s="284"/>
      <c r="AB1611" s="284"/>
      <c r="AC1611" s="284"/>
      <c r="AD1611" s="284"/>
      <c r="AE1611" s="284"/>
      <c r="AF1611" s="284"/>
      <c r="AG1611" s="284"/>
      <c r="AI1611" s="131"/>
    </row>
    <row r="1612" spans="1:35" ht="26.4">
      <c r="A1612" s="284"/>
      <c r="B1612" s="284"/>
      <c r="C1612" s="284"/>
      <c r="D1612" s="284"/>
      <c r="E1612" s="284"/>
      <c r="F1612" s="284"/>
      <c r="G1612" s="284"/>
      <c r="H1612" s="284"/>
      <c r="I1612" s="284"/>
      <c r="J1612" s="375"/>
      <c r="K1612" s="375"/>
      <c r="L1612" s="375"/>
      <c r="M1612" s="368"/>
      <c r="N1612" s="368"/>
      <c r="O1612" s="370"/>
      <c r="T1612" s="349"/>
      <c r="V1612" s="378"/>
      <c r="W1612" s="64" ph="1"/>
      <c r="X1612" s="241"/>
      <c r="Y1612" s="284"/>
      <c r="Z1612" s="207"/>
      <c r="AA1612" s="284"/>
      <c r="AB1612" s="284"/>
      <c r="AC1612" s="284"/>
      <c r="AD1612" s="284"/>
      <c r="AE1612" s="284"/>
      <c r="AF1612" s="284"/>
      <c r="AG1612" s="284"/>
      <c r="AI1612" s="131"/>
    </row>
    <row r="1613" spans="1:35" ht="26.4">
      <c r="A1613" s="284"/>
      <c r="B1613" s="284"/>
      <c r="C1613" s="284"/>
      <c r="D1613" s="284"/>
      <c r="E1613" s="284"/>
      <c r="F1613" s="284"/>
      <c r="G1613" s="284"/>
      <c r="H1613" s="284"/>
      <c r="I1613" s="284"/>
      <c r="J1613" s="375"/>
      <c r="K1613" s="375"/>
      <c r="L1613" s="375"/>
      <c r="M1613" s="368"/>
      <c r="N1613" s="368"/>
      <c r="O1613" s="370"/>
      <c r="T1613" s="349"/>
      <c r="V1613" s="378"/>
      <c r="W1613" s="64" ph="1"/>
      <c r="X1613" s="241"/>
      <c r="Y1613" s="284"/>
      <c r="Z1613" s="207"/>
      <c r="AA1613" s="284"/>
      <c r="AB1613" s="284"/>
      <c r="AC1613" s="284"/>
      <c r="AD1613" s="284"/>
      <c r="AE1613" s="284"/>
      <c r="AF1613" s="284"/>
      <c r="AG1613" s="284"/>
      <c r="AI1613" s="131"/>
    </row>
    <row r="1614" spans="1:35" ht="26.4">
      <c r="A1614" s="284"/>
      <c r="B1614" s="284"/>
      <c r="C1614" s="284"/>
      <c r="D1614" s="284"/>
      <c r="E1614" s="284"/>
      <c r="F1614" s="284"/>
      <c r="G1614" s="284"/>
      <c r="H1614" s="284"/>
      <c r="I1614" s="284"/>
      <c r="J1614" s="375"/>
      <c r="K1614" s="375"/>
      <c r="L1614" s="375"/>
      <c r="M1614" s="368"/>
      <c r="N1614" s="368"/>
      <c r="O1614" s="370"/>
      <c r="T1614" s="349"/>
      <c r="V1614" s="378"/>
      <c r="W1614" s="64" ph="1"/>
      <c r="X1614" s="241"/>
      <c r="Y1614" s="284"/>
      <c r="Z1614" s="207"/>
      <c r="AA1614" s="284"/>
      <c r="AB1614" s="284"/>
      <c r="AC1614" s="284"/>
      <c r="AD1614" s="284"/>
      <c r="AE1614" s="284"/>
      <c r="AF1614" s="284"/>
      <c r="AG1614" s="284"/>
      <c r="AI1614" s="131"/>
    </row>
    <row r="1615" spans="1:35" ht="26.4">
      <c r="A1615" s="284"/>
      <c r="B1615" s="284"/>
      <c r="C1615" s="284"/>
      <c r="D1615" s="284"/>
      <c r="E1615" s="284"/>
      <c r="F1615" s="284"/>
      <c r="G1615" s="284"/>
      <c r="H1615" s="284"/>
      <c r="I1615" s="284"/>
      <c r="J1615" s="375"/>
      <c r="K1615" s="375"/>
      <c r="L1615" s="375"/>
      <c r="M1615" s="368"/>
      <c r="N1615" s="368"/>
      <c r="O1615" s="370"/>
      <c r="T1615" s="349"/>
      <c r="V1615" s="378"/>
      <c r="W1615" s="64" ph="1"/>
      <c r="X1615" s="241"/>
      <c r="Y1615" s="284"/>
      <c r="Z1615" s="207"/>
      <c r="AA1615" s="284"/>
      <c r="AB1615" s="284"/>
      <c r="AC1615" s="284"/>
      <c r="AD1615" s="284"/>
      <c r="AE1615" s="284"/>
      <c r="AF1615" s="284"/>
      <c r="AG1615" s="284"/>
      <c r="AI1615" s="131"/>
    </row>
    <row r="1616" spans="1:35" ht="26.4">
      <c r="A1616" s="284"/>
      <c r="B1616" s="284"/>
      <c r="C1616" s="284"/>
      <c r="D1616" s="284"/>
      <c r="E1616" s="284"/>
      <c r="F1616" s="284"/>
      <c r="G1616" s="284"/>
      <c r="H1616" s="284"/>
      <c r="I1616" s="284"/>
      <c r="J1616" s="375"/>
      <c r="K1616" s="375"/>
      <c r="L1616" s="375"/>
      <c r="M1616" s="368"/>
      <c r="N1616" s="368"/>
      <c r="O1616" s="370"/>
      <c r="T1616" s="349"/>
      <c r="V1616" s="378"/>
      <c r="W1616" s="64" ph="1"/>
      <c r="X1616" s="241"/>
      <c r="Y1616" s="284"/>
      <c r="Z1616" s="207"/>
      <c r="AA1616" s="284"/>
      <c r="AB1616" s="284"/>
      <c r="AC1616" s="284"/>
      <c r="AD1616" s="284"/>
      <c r="AE1616" s="284"/>
      <c r="AF1616" s="284"/>
      <c r="AG1616" s="284"/>
      <c r="AI1616" s="131"/>
    </row>
    <row r="1617" spans="1:35" ht="26.4">
      <c r="A1617" s="284"/>
      <c r="B1617" s="284"/>
      <c r="C1617" s="284"/>
      <c r="D1617" s="284"/>
      <c r="E1617" s="284"/>
      <c r="F1617" s="284"/>
      <c r="G1617" s="284"/>
      <c r="H1617" s="284"/>
      <c r="I1617" s="284"/>
      <c r="J1617" s="375"/>
      <c r="K1617" s="375"/>
      <c r="L1617" s="375"/>
      <c r="M1617" s="368"/>
      <c r="N1617" s="368"/>
      <c r="O1617" s="370"/>
      <c r="T1617" s="349"/>
      <c r="V1617" s="378"/>
      <c r="W1617" s="64" ph="1"/>
      <c r="X1617" s="241"/>
      <c r="Y1617" s="284"/>
      <c r="Z1617" s="207"/>
      <c r="AA1617" s="284"/>
      <c r="AB1617" s="284"/>
      <c r="AC1617" s="284"/>
      <c r="AD1617" s="284"/>
      <c r="AE1617" s="284"/>
      <c r="AF1617" s="284"/>
      <c r="AG1617" s="284"/>
      <c r="AI1617" s="131"/>
    </row>
    <row r="1618" spans="1:35" ht="26.4">
      <c r="A1618" s="284"/>
      <c r="B1618" s="284"/>
      <c r="C1618" s="284"/>
      <c r="D1618" s="284"/>
      <c r="E1618" s="284"/>
      <c r="F1618" s="284"/>
      <c r="G1618" s="284"/>
      <c r="H1618" s="284"/>
      <c r="I1618" s="284"/>
      <c r="J1618" s="375"/>
      <c r="K1618" s="375"/>
      <c r="L1618" s="375"/>
      <c r="M1618" s="368"/>
      <c r="N1618" s="368"/>
      <c r="O1618" s="370"/>
      <c r="T1618" s="349"/>
      <c r="V1618" s="378"/>
      <c r="W1618" s="64" ph="1"/>
      <c r="X1618" s="241"/>
      <c r="Y1618" s="284"/>
      <c r="Z1618" s="207"/>
      <c r="AA1618" s="284"/>
      <c r="AB1618" s="284"/>
      <c r="AC1618" s="284"/>
      <c r="AD1618" s="284"/>
      <c r="AE1618" s="284"/>
      <c r="AF1618" s="284"/>
      <c r="AG1618" s="284"/>
      <c r="AI1618" s="131"/>
    </row>
    <row r="1619" spans="1:35" ht="26.4">
      <c r="A1619" s="284"/>
      <c r="B1619" s="284"/>
      <c r="C1619" s="284"/>
      <c r="D1619" s="284"/>
      <c r="E1619" s="284"/>
      <c r="F1619" s="284"/>
      <c r="G1619" s="284"/>
      <c r="H1619" s="284"/>
      <c r="I1619" s="284"/>
      <c r="J1619" s="375"/>
      <c r="K1619" s="375"/>
      <c r="L1619" s="375"/>
      <c r="M1619" s="368"/>
      <c r="N1619" s="368"/>
      <c r="O1619" s="370"/>
      <c r="T1619" s="349"/>
      <c r="V1619" s="378"/>
      <c r="W1619" s="64" ph="1"/>
      <c r="X1619" s="241"/>
      <c r="Y1619" s="284"/>
      <c r="Z1619" s="207"/>
      <c r="AA1619" s="284"/>
      <c r="AB1619" s="284"/>
      <c r="AC1619" s="284"/>
      <c r="AD1619" s="284"/>
      <c r="AE1619" s="284"/>
      <c r="AF1619" s="284"/>
      <c r="AG1619" s="284"/>
      <c r="AI1619" s="131"/>
    </row>
    <row r="1620" spans="1:35" ht="26.4">
      <c r="A1620" s="284"/>
      <c r="B1620" s="284"/>
      <c r="C1620" s="284"/>
      <c r="D1620" s="284"/>
      <c r="E1620" s="284"/>
      <c r="F1620" s="284"/>
      <c r="G1620" s="284"/>
      <c r="H1620" s="284"/>
      <c r="I1620" s="284"/>
      <c r="J1620" s="375"/>
      <c r="K1620" s="375"/>
      <c r="L1620" s="375"/>
      <c r="M1620" s="368"/>
      <c r="N1620" s="368"/>
      <c r="O1620" s="370"/>
      <c r="T1620" s="349"/>
      <c r="V1620" s="378"/>
      <c r="W1620" s="64" ph="1"/>
      <c r="X1620" s="241"/>
      <c r="Y1620" s="284"/>
      <c r="Z1620" s="207"/>
      <c r="AA1620" s="284"/>
      <c r="AB1620" s="284"/>
      <c r="AC1620" s="284"/>
      <c r="AD1620" s="284"/>
      <c r="AE1620" s="284"/>
      <c r="AF1620" s="284"/>
      <c r="AG1620" s="284"/>
      <c r="AI1620" s="131"/>
    </row>
    <row r="1621" spans="1:35" ht="26.4">
      <c r="A1621" s="284"/>
      <c r="B1621" s="284"/>
      <c r="C1621" s="284"/>
      <c r="D1621" s="284"/>
      <c r="E1621" s="284"/>
      <c r="F1621" s="284"/>
      <c r="G1621" s="284"/>
      <c r="H1621" s="284"/>
      <c r="I1621" s="284"/>
      <c r="J1621" s="375"/>
      <c r="K1621" s="375"/>
      <c r="L1621" s="375"/>
      <c r="M1621" s="368"/>
      <c r="N1621" s="368"/>
      <c r="O1621" s="370"/>
      <c r="T1621" s="349"/>
      <c r="V1621" s="378"/>
      <c r="W1621" s="64" ph="1"/>
      <c r="X1621" s="241"/>
      <c r="Y1621" s="284"/>
      <c r="Z1621" s="207"/>
      <c r="AA1621" s="284"/>
      <c r="AB1621" s="284"/>
      <c r="AC1621" s="284"/>
      <c r="AD1621" s="284"/>
      <c r="AE1621" s="284"/>
      <c r="AF1621" s="284"/>
      <c r="AG1621" s="284"/>
      <c r="AI1621" s="131"/>
    </row>
    <row r="1622" spans="1:35" ht="26.4">
      <c r="A1622" s="284"/>
      <c r="B1622" s="284"/>
      <c r="C1622" s="284"/>
      <c r="D1622" s="284"/>
      <c r="E1622" s="284"/>
      <c r="F1622" s="284"/>
      <c r="G1622" s="284"/>
      <c r="H1622" s="284"/>
      <c r="I1622" s="284"/>
      <c r="J1622" s="375"/>
      <c r="K1622" s="375"/>
      <c r="L1622" s="375"/>
      <c r="M1622" s="368"/>
      <c r="N1622" s="368"/>
      <c r="O1622" s="370"/>
      <c r="T1622" s="349"/>
      <c r="V1622" s="378"/>
      <c r="W1622" s="64" ph="1"/>
      <c r="X1622" s="241"/>
      <c r="Y1622" s="284"/>
      <c r="Z1622" s="207"/>
      <c r="AA1622" s="284"/>
      <c r="AB1622" s="284"/>
      <c r="AC1622" s="284"/>
      <c r="AD1622" s="284"/>
      <c r="AE1622" s="284"/>
      <c r="AF1622" s="284"/>
      <c r="AG1622" s="284"/>
      <c r="AI1622" s="131"/>
    </row>
    <row r="1623" spans="1:35" ht="26.4">
      <c r="A1623" s="284"/>
      <c r="B1623" s="284"/>
      <c r="C1623" s="284"/>
      <c r="D1623" s="284"/>
      <c r="E1623" s="284"/>
      <c r="F1623" s="284"/>
      <c r="G1623" s="284"/>
      <c r="H1623" s="284"/>
      <c r="I1623" s="284"/>
      <c r="J1623" s="375"/>
      <c r="K1623" s="375"/>
      <c r="L1623" s="375"/>
      <c r="M1623" s="368"/>
      <c r="N1623" s="368"/>
      <c r="O1623" s="370"/>
      <c r="T1623" s="349"/>
      <c r="V1623" s="378"/>
      <c r="W1623" s="64" ph="1"/>
      <c r="X1623" s="241"/>
      <c r="Y1623" s="284"/>
      <c r="Z1623" s="207"/>
      <c r="AA1623" s="284"/>
      <c r="AB1623" s="284"/>
      <c r="AC1623" s="284"/>
      <c r="AD1623" s="284"/>
      <c r="AE1623" s="284"/>
      <c r="AF1623" s="284"/>
      <c r="AG1623" s="284"/>
      <c r="AI1623" s="131"/>
    </row>
    <row r="1624" spans="1:35" ht="26.4">
      <c r="A1624" s="284"/>
      <c r="B1624" s="284"/>
      <c r="C1624" s="284"/>
      <c r="D1624" s="284"/>
      <c r="E1624" s="284"/>
      <c r="F1624" s="284"/>
      <c r="G1624" s="284"/>
      <c r="H1624" s="284"/>
      <c r="I1624" s="284"/>
      <c r="J1624" s="375"/>
      <c r="K1624" s="375"/>
      <c r="L1624" s="375"/>
      <c r="M1624" s="368"/>
      <c r="N1624" s="368"/>
      <c r="O1624" s="370"/>
      <c r="T1624" s="349"/>
      <c r="V1624" s="378"/>
      <c r="W1624" s="64" ph="1"/>
      <c r="X1624" s="241"/>
      <c r="Y1624" s="284"/>
      <c r="Z1624" s="207"/>
      <c r="AA1624" s="284"/>
      <c r="AB1624" s="284"/>
      <c r="AC1624" s="284"/>
      <c r="AD1624" s="284"/>
      <c r="AE1624" s="284"/>
      <c r="AF1624" s="284"/>
      <c r="AG1624" s="284"/>
      <c r="AI1624" s="284"/>
    </row>
    <row r="1625" spans="1:35" ht="26.4">
      <c r="A1625" s="284"/>
      <c r="B1625" s="284"/>
      <c r="C1625" s="284"/>
      <c r="D1625" s="284"/>
      <c r="E1625" s="284"/>
      <c r="F1625" s="284"/>
      <c r="G1625" s="284"/>
      <c r="H1625" s="284"/>
      <c r="I1625" s="284"/>
      <c r="J1625" s="375"/>
      <c r="K1625" s="375"/>
      <c r="L1625" s="375"/>
      <c r="M1625" s="368"/>
      <c r="N1625" s="368"/>
      <c r="O1625" s="370"/>
      <c r="T1625" s="349"/>
      <c r="V1625" s="378"/>
      <c r="W1625" s="64" ph="1"/>
      <c r="X1625" s="241"/>
      <c r="Y1625" s="284"/>
      <c r="Z1625" s="207"/>
      <c r="AA1625" s="284"/>
      <c r="AB1625" s="284"/>
      <c r="AC1625" s="284"/>
      <c r="AD1625" s="284"/>
      <c r="AE1625" s="284"/>
      <c r="AF1625" s="284"/>
      <c r="AG1625" s="284"/>
      <c r="AI1625" s="284"/>
    </row>
    <row r="1626" spans="1:35" ht="26.4">
      <c r="A1626" s="284"/>
      <c r="B1626" s="284"/>
      <c r="C1626" s="284"/>
      <c r="D1626" s="284"/>
      <c r="E1626" s="284"/>
      <c r="F1626" s="284"/>
      <c r="G1626" s="284"/>
      <c r="H1626" s="284"/>
      <c r="I1626" s="284"/>
      <c r="J1626" s="375"/>
      <c r="K1626" s="375"/>
      <c r="L1626" s="375"/>
      <c r="M1626" s="368"/>
      <c r="N1626" s="368"/>
      <c r="O1626" s="370"/>
      <c r="T1626" s="349"/>
      <c r="V1626" s="378"/>
      <c r="W1626" s="64" ph="1"/>
      <c r="X1626" s="241"/>
      <c r="Y1626" s="284"/>
      <c r="Z1626" s="207"/>
      <c r="AA1626" s="284"/>
      <c r="AB1626" s="284"/>
      <c r="AC1626" s="284"/>
      <c r="AD1626" s="284"/>
      <c r="AE1626" s="284"/>
      <c r="AF1626" s="284"/>
      <c r="AG1626" s="284"/>
      <c r="AI1626" s="131"/>
    </row>
    <row r="1627" spans="1:35" ht="26.4">
      <c r="A1627" s="284"/>
      <c r="B1627" s="284"/>
      <c r="C1627" s="284"/>
      <c r="D1627" s="284"/>
      <c r="E1627" s="284"/>
      <c r="F1627" s="284"/>
      <c r="G1627" s="284"/>
      <c r="H1627" s="284"/>
      <c r="I1627" s="284"/>
      <c r="J1627" s="375"/>
      <c r="K1627" s="375"/>
      <c r="L1627" s="375"/>
      <c r="M1627" s="368"/>
      <c r="N1627" s="368"/>
      <c r="O1627" s="370"/>
      <c r="T1627" s="349"/>
      <c r="V1627" s="378"/>
      <c r="W1627" s="64" ph="1"/>
      <c r="X1627" s="241"/>
      <c r="Y1627" s="284"/>
      <c r="Z1627" s="207"/>
      <c r="AA1627" s="284"/>
      <c r="AB1627" s="284"/>
      <c r="AC1627" s="284"/>
      <c r="AD1627" s="284"/>
      <c r="AE1627" s="284"/>
      <c r="AF1627" s="284"/>
      <c r="AG1627" s="284"/>
      <c r="AI1627" s="131"/>
    </row>
    <row r="1628" spans="1:35" ht="26.4">
      <c r="A1628" s="284"/>
      <c r="B1628" s="284"/>
      <c r="C1628" s="284"/>
      <c r="D1628" s="284"/>
      <c r="E1628" s="284"/>
      <c r="F1628" s="284"/>
      <c r="G1628" s="284"/>
      <c r="H1628" s="284"/>
      <c r="I1628" s="284"/>
      <c r="J1628" s="375"/>
      <c r="K1628" s="375"/>
      <c r="L1628" s="375"/>
      <c r="M1628" s="368"/>
      <c r="N1628" s="368"/>
      <c r="O1628" s="370"/>
      <c r="T1628" s="349"/>
      <c r="V1628" s="378"/>
      <c r="W1628" s="64" ph="1"/>
      <c r="X1628" s="241"/>
      <c r="Y1628" s="284"/>
      <c r="Z1628" s="207"/>
      <c r="AA1628" s="284"/>
      <c r="AB1628" s="284"/>
      <c r="AC1628" s="284"/>
      <c r="AD1628" s="284"/>
      <c r="AE1628" s="284"/>
      <c r="AF1628" s="284"/>
      <c r="AG1628" s="284"/>
      <c r="AI1628" s="131"/>
    </row>
    <row r="1629" spans="1:35" ht="26.4">
      <c r="A1629" s="284"/>
      <c r="B1629" s="284"/>
      <c r="C1629" s="284"/>
      <c r="D1629" s="284"/>
      <c r="E1629" s="284"/>
      <c r="F1629" s="284"/>
      <c r="G1629" s="284"/>
      <c r="H1629" s="284"/>
      <c r="I1629" s="284"/>
      <c r="J1629" s="375"/>
      <c r="K1629" s="375"/>
      <c r="L1629" s="375"/>
      <c r="M1629" s="368"/>
      <c r="N1629" s="368"/>
      <c r="O1629" s="370"/>
      <c r="T1629" s="349"/>
      <c r="V1629" s="378"/>
      <c r="W1629" s="64" ph="1"/>
      <c r="X1629" s="241"/>
      <c r="Y1629" s="284"/>
      <c r="Z1629" s="207"/>
      <c r="AA1629" s="284"/>
      <c r="AB1629" s="284"/>
      <c r="AC1629" s="284"/>
      <c r="AD1629" s="284"/>
      <c r="AE1629" s="284"/>
      <c r="AF1629" s="284"/>
      <c r="AG1629" s="284"/>
      <c r="AI1629" s="131"/>
    </row>
    <row r="1630" spans="1:35" ht="26.4">
      <c r="A1630" s="284"/>
      <c r="B1630" s="284"/>
      <c r="C1630" s="284"/>
      <c r="D1630" s="284"/>
      <c r="E1630" s="284"/>
      <c r="F1630" s="284"/>
      <c r="G1630" s="284"/>
      <c r="H1630" s="284"/>
      <c r="I1630" s="284"/>
      <c r="J1630" s="375"/>
      <c r="K1630" s="375"/>
      <c r="L1630" s="375"/>
      <c r="M1630" s="368"/>
      <c r="N1630" s="368"/>
      <c r="O1630" s="370"/>
      <c r="T1630" s="349"/>
      <c r="V1630" s="378"/>
      <c r="W1630" s="64" ph="1"/>
      <c r="X1630" s="241"/>
      <c r="Y1630" s="284"/>
      <c r="Z1630" s="207"/>
      <c r="AA1630" s="284"/>
      <c r="AB1630" s="284"/>
      <c r="AC1630" s="284"/>
      <c r="AD1630" s="284"/>
      <c r="AE1630" s="284"/>
      <c r="AF1630" s="284"/>
      <c r="AG1630" s="284"/>
      <c r="AI1630" s="131"/>
    </row>
    <row r="1631" spans="1:35" ht="26.4">
      <c r="A1631" s="284"/>
      <c r="B1631" s="284"/>
      <c r="C1631" s="284"/>
      <c r="D1631" s="284"/>
      <c r="E1631" s="284"/>
      <c r="F1631" s="284"/>
      <c r="G1631" s="284"/>
      <c r="H1631" s="284"/>
      <c r="I1631" s="284"/>
      <c r="J1631" s="375"/>
      <c r="K1631" s="375"/>
      <c r="L1631" s="375"/>
      <c r="M1631" s="368"/>
      <c r="N1631" s="368"/>
      <c r="O1631" s="370"/>
      <c r="T1631" s="349"/>
      <c r="V1631" s="378"/>
      <c r="W1631" s="64" ph="1"/>
      <c r="X1631" s="241"/>
      <c r="Y1631" s="284"/>
      <c r="Z1631" s="207"/>
      <c r="AA1631" s="284"/>
      <c r="AB1631" s="284"/>
      <c r="AC1631" s="284"/>
      <c r="AD1631" s="284"/>
      <c r="AE1631" s="284"/>
      <c r="AF1631" s="284"/>
      <c r="AG1631" s="284"/>
      <c r="AI1631" s="131"/>
    </row>
    <row r="1632" spans="1:35" ht="26.4">
      <c r="A1632" s="284"/>
      <c r="B1632" s="284"/>
      <c r="C1632" s="284"/>
      <c r="D1632" s="284"/>
      <c r="E1632" s="284"/>
      <c r="F1632" s="284"/>
      <c r="G1632" s="284"/>
      <c r="H1632" s="284"/>
      <c r="I1632" s="284"/>
      <c r="J1632" s="375"/>
      <c r="K1632" s="375"/>
      <c r="L1632" s="375"/>
      <c r="M1632" s="368"/>
      <c r="N1632" s="368"/>
      <c r="O1632" s="370"/>
      <c r="T1632" s="349"/>
      <c r="V1632" s="378"/>
      <c r="W1632" s="64" ph="1"/>
      <c r="X1632" s="241"/>
      <c r="Y1632" s="284"/>
      <c r="Z1632" s="207"/>
      <c r="AA1632" s="284"/>
      <c r="AB1632" s="284"/>
      <c r="AC1632" s="284"/>
      <c r="AD1632" s="284"/>
      <c r="AE1632" s="284"/>
      <c r="AF1632" s="284"/>
      <c r="AG1632" s="284"/>
      <c r="AI1632" s="131"/>
    </row>
    <row r="1633" spans="1:35" ht="26.4">
      <c r="A1633" s="284"/>
      <c r="B1633" s="284"/>
      <c r="C1633" s="284"/>
      <c r="D1633" s="284"/>
      <c r="E1633" s="284"/>
      <c r="F1633" s="284"/>
      <c r="G1633" s="284"/>
      <c r="H1633" s="284"/>
      <c r="I1633" s="284"/>
      <c r="J1633" s="375"/>
      <c r="K1633" s="375"/>
      <c r="L1633" s="375"/>
      <c r="M1633" s="368"/>
      <c r="N1633" s="368"/>
      <c r="O1633" s="370"/>
      <c r="T1633" s="349"/>
      <c r="V1633" s="378"/>
      <c r="W1633" s="64" ph="1"/>
      <c r="X1633" s="241"/>
      <c r="Y1633" s="284"/>
      <c r="Z1633" s="207"/>
      <c r="AA1633" s="284"/>
      <c r="AB1633" s="284"/>
      <c r="AC1633" s="284"/>
      <c r="AD1633" s="284"/>
      <c r="AE1633" s="284"/>
      <c r="AF1633" s="284"/>
      <c r="AG1633" s="284"/>
      <c r="AI1633" s="131"/>
    </row>
    <row r="1634" spans="1:35" ht="26.4">
      <c r="A1634" s="284"/>
      <c r="B1634" s="284"/>
      <c r="C1634" s="284"/>
      <c r="D1634" s="284"/>
      <c r="E1634" s="284"/>
      <c r="F1634" s="284"/>
      <c r="G1634" s="284"/>
      <c r="H1634" s="284"/>
      <c r="I1634" s="284"/>
      <c r="J1634" s="375"/>
      <c r="K1634" s="375"/>
      <c r="L1634" s="375"/>
      <c r="M1634" s="368"/>
      <c r="N1634" s="368"/>
      <c r="O1634" s="370"/>
      <c r="T1634" s="349"/>
      <c r="V1634" s="378"/>
      <c r="W1634" s="64" ph="1"/>
      <c r="X1634" s="241"/>
      <c r="Y1634" s="284"/>
      <c r="Z1634" s="207"/>
      <c r="AA1634" s="284"/>
      <c r="AB1634" s="284"/>
      <c r="AC1634" s="284"/>
      <c r="AD1634" s="284"/>
      <c r="AE1634" s="284"/>
      <c r="AF1634" s="284"/>
      <c r="AG1634" s="284"/>
      <c r="AI1634" s="284"/>
    </row>
    <row r="1635" spans="1:35" ht="26.4">
      <c r="A1635" s="284"/>
      <c r="B1635" s="284"/>
      <c r="C1635" s="284"/>
      <c r="D1635" s="284"/>
      <c r="E1635" s="284"/>
      <c r="F1635" s="284"/>
      <c r="G1635" s="284"/>
      <c r="H1635" s="284"/>
      <c r="I1635" s="284"/>
      <c r="J1635" s="375"/>
      <c r="K1635" s="375"/>
      <c r="L1635" s="375"/>
      <c r="M1635" s="368"/>
      <c r="N1635" s="368"/>
      <c r="O1635" s="370"/>
      <c r="T1635" s="349"/>
      <c r="V1635" s="378"/>
      <c r="W1635" s="64" ph="1"/>
      <c r="X1635" s="241"/>
      <c r="Y1635" s="284"/>
      <c r="Z1635" s="207"/>
      <c r="AA1635" s="284"/>
      <c r="AB1635" s="284"/>
      <c r="AC1635" s="284"/>
      <c r="AD1635" s="284"/>
      <c r="AE1635" s="284"/>
      <c r="AF1635" s="284"/>
      <c r="AG1635" s="284"/>
      <c r="AI1635" s="131"/>
    </row>
    <row r="1636" spans="1:35" ht="26.4">
      <c r="A1636" s="284"/>
      <c r="B1636" s="284"/>
      <c r="C1636" s="284"/>
      <c r="D1636" s="284"/>
      <c r="E1636" s="284"/>
      <c r="F1636" s="284"/>
      <c r="G1636" s="284"/>
      <c r="H1636" s="284"/>
      <c r="I1636" s="284"/>
      <c r="J1636" s="375"/>
      <c r="K1636" s="375"/>
      <c r="L1636" s="375"/>
      <c r="M1636" s="368"/>
      <c r="N1636" s="368"/>
      <c r="O1636" s="370"/>
      <c r="T1636" s="349"/>
      <c r="V1636" s="378"/>
      <c r="W1636" s="64" ph="1"/>
      <c r="X1636" s="241"/>
      <c r="Y1636" s="284"/>
      <c r="Z1636" s="207"/>
      <c r="AA1636" s="284"/>
      <c r="AB1636" s="284"/>
      <c r="AC1636" s="284"/>
      <c r="AD1636" s="284"/>
      <c r="AE1636" s="284"/>
      <c r="AF1636" s="284"/>
      <c r="AG1636" s="284"/>
      <c r="AI1636" s="131"/>
    </row>
    <row r="1637" spans="1:35" ht="26.4">
      <c r="A1637" s="284"/>
      <c r="B1637" s="284"/>
      <c r="C1637" s="284"/>
      <c r="D1637" s="284"/>
      <c r="E1637" s="284"/>
      <c r="F1637" s="284"/>
      <c r="G1637" s="284"/>
      <c r="H1637" s="284"/>
      <c r="I1637" s="284"/>
      <c r="J1637" s="375"/>
      <c r="K1637" s="375"/>
      <c r="L1637" s="375"/>
      <c r="M1637" s="368"/>
      <c r="N1637" s="368"/>
      <c r="O1637" s="370"/>
      <c r="T1637" s="349"/>
      <c r="V1637" s="378"/>
      <c r="W1637" s="64" ph="1"/>
      <c r="X1637" s="241"/>
      <c r="Y1637" s="284"/>
      <c r="Z1637" s="207"/>
      <c r="AA1637" s="284"/>
      <c r="AB1637" s="284"/>
      <c r="AC1637" s="284"/>
      <c r="AD1637" s="284"/>
      <c r="AE1637" s="284"/>
      <c r="AF1637" s="284"/>
      <c r="AG1637" s="284"/>
      <c r="AI1637" s="131"/>
    </row>
    <row r="1638" spans="1:35" ht="26.4">
      <c r="A1638" s="284"/>
      <c r="B1638" s="284"/>
      <c r="C1638" s="284"/>
      <c r="D1638" s="284"/>
      <c r="E1638" s="284"/>
      <c r="F1638" s="284"/>
      <c r="G1638" s="284"/>
      <c r="H1638" s="284"/>
      <c r="I1638" s="284"/>
      <c r="J1638" s="375"/>
      <c r="K1638" s="375"/>
      <c r="L1638" s="375"/>
      <c r="M1638" s="368"/>
      <c r="N1638" s="368"/>
      <c r="O1638" s="370"/>
      <c r="T1638" s="349"/>
      <c r="V1638" s="378"/>
      <c r="W1638" s="64" ph="1"/>
      <c r="X1638" s="241"/>
      <c r="Y1638" s="284"/>
      <c r="Z1638" s="207"/>
      <c r="AA1638" s="284"/>
      <c r="AB1638" s="284"/>
      <c r="AC1638" s="284"/>
      <c r="AD1638" s="284"/>
      <c r="AE1638" s="284"/>
      <c r="AF1638" s="284"/>
      <c r="AG1638" s="284"/>
      <c r="AI1638" s="131"/>
    </row>
    <row r="1639" spans="1:35" ht="26.4">
      <c r="A1639" s="284"/>
      <c r="B1639" s="284"/>
      <c r="C1639" s="284"/>
      <c r="D1639" s="284"/>
      <c r="E1639" s="284"/>
      <c r="F1639" s="284"/>
      <c r="G1639" s="284"/>
      <c r="H1639" s="284"/>
      <c r="I1639" s="284"/>
      <c r="J1639" s="375"/>
      <c r="K1639" s="375"/>
      <c r="L1639" s="375"/>
      <c r="M1639" s="368"/>
      <c r="N1639" s="368"/>
      <c r="O1639" s="370"/>
      <c r="T1639" s="349"/>
      <c r="V1639" s="378"/>
      <c r="W1639" s="64" ph="1"/>
      <c r="X1639" s="241"/>
      <c r="Y1639" s="284"/>
      <c r="Z1639" s="207"/>
      <c r="AA1639" s="284"/>
      <c r="AB1639" s="284"/>
      <c r="AC1639" s="284"/>
      <c r="AD1639" s="284"/>
      <c r="AE1639" s="284"/>
      <c r="AF1639" s="284"/>
      <c r="AG1639" s="284"/>
      <c r="AI1639" s="131"/>
    </row>
    <row r="1640" spans="1:35" ht="26.4">
      <c r="A1640" s="284"/>
      <c r="B1640" s="284"/>
      <c r="C1640" s="284"/>
      <c r="D1640" s="284"/>
      <c r="E1640" s="284"/>
      <c r="F1640" s="284"/>
      <c r="G1640" s="284"/>
      <c r="H1640" s="284"/>
      <c r="I1640" s="284"/>
      <c r="J1640" s="375"/>
      <c r="K1640" s="375"/>
      <c r="L1640" s="375"/>
      <c r="M1640" s="368"/>
      <c r="N1640" s="368"/>
      <c r="O1640" s="370"/>
      <c r="T1640" s="349"/>
      <c r="V1640" s="378"/>
      <c r="W1640" s="64" ph="1"/>
      <c r="X1640" s="241"/>
      <c r="Y1640" s="284"/>
      <c r="Z1640" s="207"/>
      <c r="AA1640" s="284"/>
      <c r="AB1640" s="284"/>
      <c r="AC1640" s="284"/>
      <c r="AD1640" s="284"/>
      <c r="AE1640" s="284"/>
      <c r="AF1640" s="284"/>
      <c r="AG1640" s="284"/>
      <c r="AI1640" s="131"/>
    </row>
    <row r="1641" spans="1:35" ht="26.4">
      <c r="A1641" s="284"/>
      <c r="B1641" s="284"/>
      <c r="C1641" s="284"/>
      <c r="D1641" s="284"/>
      <c r="E1641" s="284"/>
      <c r="F1641" s="284"/>
      <c r="G1641" s="284"/>
      <c r="H1641" s="284"/>
      <c r="I1641" s="284"/>
      <c r="J1641" s="375"/>
      <c r="K1641" s="375"/>
      <c r="L1641" s="375"/>
      <c r="M1641" s="368"/>
      <c r="N1641" s="368"/>
      <c r="O1641" s="370"/>
      <c r="T1641" s="349"/>
      <c r="V1641" s="378"/>
      <c r="W1641" s="64" ph="1"/>
      <c r="X1641" s="241"/>
      <c r="Y1641" s="284"/>
      <c r="Z1641" s="207"/>
      <c r="AA1641" s="284"/>
      <c r="AB1641" s="284"/>
      <c r="AC1641" s="284"/>
      <c r="AD1641" s="284"/>
      <c r="AE1641" s="284"/>
      <c r="AF1641" s="284"/>
      <c r="AG1641" s="284"/>
      <c r="AI1641" s="131"/>
    </row>
    <row r="1642" spans="1:35" ht="26.4">
      <c r="A1642" s="284"/>
      <c r="B1642" s="284"/>
      <c r="C1642" s="284"/>
      <c r="D1642" s="284"/>
      <c r="E1642" s="284"/>
      <c r="F1642" s="284"/>
      <c r="G1642" s="284"/>
      <c r="H1642" s="284"/>
      <c r="I1642" s="284"/>
      <c r="J1642" s="375"/>
      <c r="K1642" s="375"/>
      <c r="L1642" s="375"/>
      <c r="M1642" s="368"/>
      <c r="N1642" s="368"/>
      <c r="O1642" s="370"/>
      <c r="T1642" s="349"/>
      <c r="V1642" s="378"/>
      <c r="W1642" s="64" ph="1"/>
      <c r="X1642" s="241"/>
      <c r="Y1642" s="284"/>
      <c r="Z1642" s="207"/>
      <c r="AA1642" s="284"/>
      <c r="AB1642" s="284"/>
      <c r="AC1642" s="284"/>
      <c r="AD1642" s="284"/>
      <c r="AE1642" s="284"/>
      <c r="AF1642" s="284"/>
      <c r="AG1642" s="284"/>
      <c r="AI1642" s="131"/>
    </row>
    <row r="1643" spans="1:35" ht="26.4">
      <c r="A1643" s="284"/>
      <c r="B1643" s="284"/>
      <c r="C1643" s="284"/>
      <c r="D1643" s="284"/>
      <c r="E1643" s="284"/>
      <c r="F1643" s="284"/>
      <c r="G1643" s="284"/>
      <c r="H1643" s="284"/>
      <c r="I1643" s="284"/>
      <c r="J1643" s="375"/>
      <c r="K1643" s="375"/>
      <c r="L1643" s="375"/>
      <c r="M1643" s="368"/>
      <c r="N1643" s="368"/>
      <c r="O1643" s="370"/>
      <c r="T1643" s="349"/>
      <c r="V1643" s="378"/>
      <c r="W1643" s="64" ph="1"/>
      <c r="X1643" s="241"/>
      <c r="Y1643" s="284"/>
      <c r="Z1643" s="207"/>
      <c r="AA1643" s="284"/>
      <c r="AB1643" s="284"/>
      <c r="AC1643" s="284"/>
      <c r="AD1643" s="284"/>
      <c r="AE1643" s="284"/>
      <c r="AF1643" s="284"/>
      <c r="AG1643" s="284"/>
      <c r="AI1643" s="131"/>
    </row>
    <row r="1644" spans="1:35" ht="26.4">
      <c r="A1644" s="284"/>
      <c r="B1644" s="284"/>
      <c r="C1644" s="284"/>
      <c r="D1644" s="284"/>
      <c r="E1644" s="284"/>
      <c r="F1644" s="284"/>
      <c r="G1644" s="284"/>
      <c r="H1644" s="284"/>
      <c r="I1644" s="284"/>
      <c r="J1644" s="375"/>
      <c r="K1644" s="375"/>
      <c r="L1644" s="375"/>
      <c r="M1644" s="368"/>
      <c r="N1644" s="368"/>
      <c r="O1644" s="370"/>
      <c r="T1644" s="349"/>
      <c r="V1644" s="378"/>
      <c r="W1644" s="64" ph="1"/>
      <c r="X1644" s="241"/>
      <c r="Y1644" s="284"/>
      <c r="Z1644" s="207"/>
      <c r="AA1644" s="284"/>
      <c r="AB1644" s="284"/>
      <c r="AC1644" s="284"/>
      <c r="AD1644" s="284"/>
      <c r="AE1644" s="284"/>
      <c r="AF1644" s="284"/>
      <c r="AG1644" s="284"/>
      <c r="AI1644" s="284"/>
    </row>
    <row r="1645" spans="1:35" ht="26.4">
      <c r="A1645" s="284"/>
      <c r="B1645" s="284"/>
      <c r="C1645" s="284"/>
      <c r="D1645" s="284"/>
      <c r="E1645" s="284"/>
      <c r="F1645" s="284"/>
      <c r="G1645" s="284"/>
      <c r="H1645" s="284"/>
      <c r="I1645" s="284"/>
      <c r="J1645" s="375"/>
      <c r="K1645" s="375"/>
      <c r="L1645" s="375"/>
      <c r="M1645" s="368"/>
      <c r="N1645" s="368"/>
      <c r="O1645" s="370"/>
      <c r="T1645" s="349"/>
      <c r="V1645" s="378"/>
      <c r="W1645" s="64" ph="1"/>
      <c r="X1645" s="241"/>
      <c r="Y1645" s="284"/>
      <c r="Z1645" s="207"/>
      <c r="AA1645" s="284"/>
      <c r="AB1645" s="284"/>
      <c r="AC1645" s="284"/>
      <c r="AD1645" s="284"/>
      <c r="AE1645" s="284"/>
      <c r="AF1645" s="284"/>
      <c r="AG1645" s="284"/>
      <c r="AI1645" s="131"/>
    </row>
    <row r="1646" spans="1:35" ht="26.4">
      <c r="A1646" s="284"/>
      <c r="B1646" s="284"/>
      <c r="C1646" s="284"/>
      <c r="D1646" s="284"/>
      <c r="E1646" s="284"/>
      <c r="F1646" s="284"/>
      <c r="G1646" s="284"/>
      <c r="H1646" s="284"/>
      <c r="I1646" s="284"/>
      <c r="J1646" s="375"/>
      <c r="K1646" s="375"/>
      <c r="L1646" s="375"/>
      <c r="M1646" s="368"/>
      <c r="N1646" s="368"/>
      <c r="O1646" s="370"/>
      <c r="T1646" s="349"/>
      <c r="V1646" s="378"/>
      <c r="W1646" s="64" ph="1"/>
      <c r="X1646" s="241"/>
      <c r="Y1646" s="284"/>
      <c r="Z1646" s="207"/>
      <c r="AA1646" s="284"/>
      <c r="AB1646" s="284"/>
      <c r="AC1646" s="284"/>
      <c r="AD1646" s="284"/>
      <c r="AE1646" s="284"/>
      <c r="AF1646" s="284"/>
      <c r="AG1646" s="284"/>
      <c r="AI1646" s="131"/>
    </row>
    <row r="1647" spans="1:35" ht="26.4">
      <c r="A1647" s="284"/>
      <c r="B1647" s="284"/>
      <c r="C1647" s="284"/>
      <c r="D1647" s="284"/>
      <c r="E1647" s="284"/>
      <c r="F1647" s="284"/>
      <c r="G1647" s="284"/>
      <c r="H1647" s="284"/>
      <c r="I1647" s="284"/>
      <c r="J1647" s="375"/>
      <c r="K1647" s="375"/>
      <c r="L1647" s="375"/>
      <c r="M1647" s="368"/>
      <c r="N1647" s="368"/>
      <c r="O1647" s="370"/>
      <c r="T1647" s="349"/>
      <c r="V1647" s="378"/>
      <c r="W1647" s="64" ph="1"/>
      <c r="X1647" s="241"/>
      <c r="Y1647" s="284"/>
      <c r="Z1647" s="207"/>
      <c r="AA1647" s="284"/>
      <c r="AB1647" s="284"/>
      <c r="AC1647" s="284"/>
      <c r="AD1647" s="284"/>
      <c r="AE1647" s="284"/>
      <c r="AF1647" s="284"/>
      <c r="AG1647" s="284"/>
      <c r="AI1647" s="131"/>
    </row>
    <row r="1648" spans="1:35" ht="26.4">
      <c r="A1648" s="284"/>
      <c r="B1648" s="284"/>
      <c r="C1648" s="284"/>
      <c r="D1648" s="284"/>
      <c r="E1648" s="284"/>
      <c r="F1648" s="284"/>
      <c r="G1648" s="284"/>
      <c r="H1648" s="284"/>
      <c r="I1648" s="284"/>
      <c r="J1648" s="375"/>
      <c r="K1648" s="375"/>
      <c r="L1648" s="375"/>
      <c r="M1648" s="368"/>
      <c r="N1648" s="368"/>
      <c r="O1648" s="370"/>
      <c r="T1648" s="349"/>
      <c r="V1648" s="378"/>
      <c r="W1648" s="64" ph="1"/>
      <c r="X1648" s="241"/>
      <c r="Y1648" s="284"/>
      <c r="Z1648" s="207"/>
      <c r="AA1648" s="284"/>
      <c r="AB1648" s="284"/>
      <c r="AC1648" s="284"/>
      <c r="AD1648" s="284"/>
      <c r="AE1648" s="284"/>
      <c r="AF1648" s="284"/>
      <c r="AG1648" s="284"/>
      <c r="AI1648" s="284"/>
    </row>
    <row r="1649" spans="1:35" ht="26.4">
      <c r="A1649" s="284"/>
      <c r="B1649" s="284"/>
      <c r="C1649" s="284"/>
      <c r="D1649" s="284"/>
      <c r="E1649" s="284"/>
      <c r="F1649" s="284"/>
      <c r="G1649" s="284"/>
      <c r="H1649" s="284"/>
      <c r="I1649" s="284"/>
      <c r="J1649" s="375"/>
      <c r="K1649" s="375"/>
      <c r="L1649" s="375"/>
      <c r="M1649" s="368"/>
      <c r="N1649" s="368"/>
      <c r="O1649" s="370"/>
      <c r="T1649" s="349"/>
      <c r="V1649" s="378"/>
      <c r="W1649" s="64" ph="1"/>
      <c r="X1649" s="241"/>
      <c r="Y1649" s="284"/>
      <c r="Z1649" s="207"/>
      <c r="AA1649" s="284"/>
      <c r="AB1649" s="284"/>
      <c r="AC1649" s="284"/>
      <c r="AD1649" s="284"/>
      <c r="AE1649" s="284"/>
      <c r="AF1649" s="284"/>
      <c r="AG1649" s="284"/>
      <c r="AI1649" s="131"/>
    </row>
    <row r="1650" spans="1:35" ht="26.4">
      <c r="A1650" s="284"/>
      <c r="B1650" s="284"/>
      <c r="C1650" s="284"/>
      <c r="D1650" s="284"/>
      <c r="E1650" s="284"/>
      <c r="F1650" s="284"/>
      <c r="G1650" s="284"/>
      <c r="H1650" s="284"/>
      <c r="I1650" s="284"/>
      <c r="J1650" s="375"/>
      <c r="K1650" s="375"/>
      <c r="L1650" s="375"/>
      <c r="M1650" s="368"/>
      <c r="N1650" s="368"/>
      <c r="O1650" s="370"/>
      <c r="T1650" s="349"/>
      <c r="V1650" s="378"/>
      <c r="W1650" s="64" ph="1"/>
      <c r="X1650" s="241"/>
      <c r="Y1650" s="284"/>
      <c r="Z1650" s="207"/>
      <c r="AA1650" s="284"/>
      <c r="AB1650" s="284"/>
      <c r="AC1650" s="284"/>
      <c r="AD1650" s="284"/>
      <c r="AE1650" s="284"/>
      <c r="AF1650" s="284"/>
      <c r="AG1650" s="284"/>
      <c r="AI1650" s="131"/>
    </row>
    <row r="1651" spans="1:35" ht="26.4">
      <c r="A1651" s="284"/>
      <c r="B1651" s="284"/>
      <c r="C1651" s="284"/>
      <c r="D1651" s="284"/>
      <c r="E1651" s="284"/>
      <c r="F1651" s="284"/>
      <c r="G1651" s="284"/>
      <c r="H1651" s="284"/>
      <c r="I1651" s="284"/>
      <c r="J1651" s="375"/>
      <c r="K1651" s="375"/>
      <c r="L1651" s="375"/>
      <c r="M1651" s="368"/>
      <c r="N1651" s="368"/>
      <c r="O1651" s="370"/>
      <c r="T1651" s="349"/>
      <c r="V1651" s="378"/>
      <c r="W1651" s="64" ph="1"/>
      <c r="X1651" s="241"/>
      <c r="Y1651" s="284"/>
      <c r="Z1651" s="207"/>
      <c r="AA1651" s="284"/>
      <c r="AB1651" s="284"/>
      <c r="AC1651" s="284"/>
      <c r="AD1651" s="284"/>
      <c r="AE1651" s="284"/>
      <c r="AF1651" s="284"/>
      <c r="AG1651" s="284"/>
      <c r="AI1651" s="131"/>
    </row>
    <row r="1652" spans="1:35" ht="26.4">
      <c r="A1652" s="284"/>
      <c r="B1652" s="284"/>
      <c r="C1652" s="284"/>
      <c r="D1652" s="284"/>
      <c r="E1652" s="284"/>
      <c r="F1652" s="284"/>
      <c r="G1652" s="284"/>
      <c r="H1652" s="284"/>
      <c r="I1652" s="284"/>
      <c r="J1652" s="375"/>
      <c r="K1652" s="375"/>
      <c r="L1652" s="375"/>
      <c r="M1652" s="368"/>
      <c r="N1652" s="368"/>
      <c r="O1652" s="370"/>
      <c r="T1652" s="349"/>
      <c r="V1652" s="378"/>
      <c r="W1652" s="64" ph="1"/>
      <c r="X1652" s="241"/>
      <c r="Y1652" s="284"/>
      <c r="Z1652" s="207"/>
      <c r="AA1652" s="284"/>
      <c r="AB1652" s="284"/>
      <c r="AC1652" s="284"/>
      <c r="AD1652" s="284"/>
      <c r="AE1652" s="284"/>
      <c r="AF1652" s="284"/>
      <c r="AG1652" s="284"/>
      <c r="AI1652" s="131"/>
    </row>
    <row r="1653" spans="1:35" ht="26.4">
      <c r="A1653" s="284"/>
      <c r="B1653" s="284"/>
      <c r="C1653" s="284"/>
      <c r="D1653" s="284"/>
      <c r="E1653" s="284"/>
      <c r="F1653" s="284"/>
      <c r="G1653" s="284"/>
      <c r="H1653" s="284"/>
      <c r="I1653" s="284"/>
      <c r="J1653" s="375"/>
      <c r="K1653" s="375"/>
      <c r="L1653" s="375"/>
      <c r="M1653" s="368"/>
      <c r="N1653" s="368"/>
      <c r="O1653" s="370"/>
      <c r="T1653" s="349"/>
      <c r="V1653" s="378"/>
      <c r="W1653" s="64" ph="1"/>
      <c r="X1653" s="241"/>
      <c r="Y1653" s="284"/>
      <c r="Z1653" s="207"/>
      <c r="AA1653" s="284"/>
      <c r="AB1653" s="284"/>
      <c r="AC1653" s="284"/>
      <c r="AD1653" s="284"/>
      <c r="AE1653" s="284"/>
      <c r="AF1653" s="284"/>
      <c r="AG1653" s="284"/>
      <c r="AI1653" s="131"/>
    </row>
    <row r="1654" spans="1:35" ht="26.4">
      <c r="A1654" s="284"/>
      <c r="B1654" s="284"/>
      <c r="C1654" s="284"/>
      <c r="D1654" s="284"/>
      <c r="E1654" s="284"/>
      <c r="F1654" s="284"/>
      <c r="G1654" s="284"/>
      <c r="H1654" s="284"/>
      <c r="I1654" s="284"/>
      <c r="J1654" s="375"/>
      <c r="K1654" s="375"/>
      <c r="L1654" s="375"/>
      <c r="M1654" s="368"/>
      <c r="N1654" s="368"/>
      <c r="O1654" s="370"/>
      <c r="T1654" s="349"/>
      <c r="V1654" s="378"/>
      <c r="W1654" s="64" ph="1"/>
      <c r="X1654" s="241"/>
      <c r="Y1654" s="284"/>
      <c r="Z1654" s="207"/>
      <c r="AA1654" s="284"/>
      <c r="AB1654" s="284"/>
      <c r="AC1654" s="284"/>
      <c r="AD1654" s="284"/>
      <c r="AE1654" s="284"/>
      <c r="AF1654" s="284"/>
      <c r="AG1654" s="284"/>
      <c r="AI1654" s="131"/>
    </row>
    <row r="1655" spans="1:35" ht="26.4">
      <c r="A1655" s="284"/>
      <c r="B1655" s="284"/>
      <c r="C1655" s="284"/>
      <c r="D1655" s="284"/>
      <c r="E1655" s="284"/>
      <c r="F1655" s="284"/>
      <c r="G1655" s="284"/>
      <c r="H1655" s="284"/>
      <c r="I1655" s="284"/>
      <c r="J1655" s="375"/>
      <c r="K1655" s="375"/>
      <c r="L1655" s="375"/>
      <c r="M1655" s="368"/>
      <c r="N1655" s="368"/>
      <c r="O1655" s="370"/>
      <c r="T1655" s="349"/>
      <c r="V1655" s="378"/>
      <c r="W1655" s="64" ph="1"/>
      <c r="X1655" s="241"/>
      <c r="Y1655" s="284"/>
      <c r="Z1655" s="207"/>
      <c r="AA1655" s="284"/>
      <c r="AB1655" s="284"/>
      <c r="AC1655" s="284"/>
      <c r="AD1655" s="284"/>
      <c r="AE1655" s="284"/>
      <c r="AF1655" s="284"/>
      <c r="AG1655" s="284"/>
      <c r="AI1655" s="131"/>
    </row>
    <row r="1656" spans="1:35" ht="26.4">
      <c r="A1656" s="284"/>
      <c r="B1656" s="284"/>
      <c r="C1656" s="284"/>
      <c r="D1656" s="284"/>
      <c r="E1656" s="284"/>
      <c r="F1656" s="284"/>
      <c r="G1656" s="284"/>
      <c r="H1656" s="284"/>
      <c r="I1656" s="284"/>
      <c r="J1656" s="375"/>
      <c r="K1656" s="375"/>
      <c r="L1656" s="375"/>
      <c r="M1656" s="368"/>
      <c r="N1656" s="368"/>
      <c r="O1656" s="370"/>
      <c r="T1656" s="349"/>
      <c r="V1656" s="378"/>
      <c r="W1656" s="64" ph="1"/>
      <c r="X1656" s="241"/>
      <c r="Y1656" s="284"/>
      <c r="Z1656" s="207"/>
      <c r="AA1656" s="284"/>
      <c r="AB1656" s="284"/>
      <c r="AC1656" s="284"/>
      <c r="AD1656" s="284"/>
      <c r="AE1656" s="284"/>
      <c r="AF1656" s="284"/>
      <c r="AG1656" s="284"/>
      <c r="AI1656" s="131"/>
    </row>
    <row r="1657" spans="1:35" ht="26.4">
      <c r="A1657" s="284"/>
      <c r="B1657" s="284"/>
      <c r="C1657" s="284"/>
      <c r="D1657" s="284"/>
      <c r="E1657" s="284"/>
      <c r="F1657" s="284"/>
      <c r="G1657" s="284"/>
      <c r="H1657" s="284"/>
      <c r="I1657" s="284"/>
      <c r="J1657" s="375"/>
      <c r="K1657" s="375"/>
      <c r="L1657" s="375"/>
      <c r="M1657" s="368"/>
      <c r="N1657" s="368"/>
      <c r="O1657" s="370"/>
      <c r="T1657" s="349"/>
      <c r="V1657" s="378"/>
      <c r="W1657" s="64" ph="1"/>
      <c r="X1657" s="241"/>
      <c r="Y1657" s="284"/>
      <c r="Z1657" s="207"/>
      <c r="AA1657" s="284"/>
      <c r="AB1657" s="284"/>
      <c r="AC1657" s="284"/>
      <c r="AD1657" s="284"/>
      <c r="AE1657" s="284"/>
      <c r="AF1657" s="284"/>
      <c r="AG1657" s="284"/>
      <c r="AI1657" s="131"/>
    </row>
    <row r="1658" spans="1:35" ht="26.4">
      <c r="A1658" s="284"/>
      <c r="B1658" s="284"/>
      <c r="C1658" s="284"/>
      <c r="D1658" s="284"/>
      <c r="E1658" s="284"/>
      <c r="F1658" s="284"/>
      <c r="G1658" s="284"/>
      <c r="H1658" s="284"/>
      <c r="I1658" s="284"/>
      <c r="J1658" s="375"/>
      <c r="K1658" s="375"/>
      <c r="L1658" s="375"/>
      <c r="M1658" s="368"/>
      <c r="N1658" s="368"/>
      <c r="O1658" s="370"/>
      <c r="T1658" s="349"/>
      <c r="V1658" s="378"/>
      <c r="W1658" s="64" ph="1"/>
      <c r="X1658" s="241"/>
      <c r="Y1658" s="284"/>
      <c r="Z1658" s="207"/>
      <c r="AA1658" s="284"/>
      <c r="AB1658" s="284"/>
      <c r="AC1658" s="284"/>
      <c r="AD1658" s="284"/>
      <c r="AE1658" s="284"/>
      <c r="AF1658" s="284"/>
      <c r="AG1658" s="284"/>
      <c r="AI1658" s="131"/>
    </row>
    <row r="1659" spans="1:35" ht="26.4">
      <c r="A1659" s="284"/>
      <c r="B1659" s="284"/>
      <c r="C1659" s="284"/>
      <c r="D1659" s="284"/>
      <c r="E1659" s="284"/>
      <c r="F1659" s="284"/>
      <c r="G1659" s="284"/>
      <c r="H1659" s="284"/>
      <c r="I1659" s="284"/>
      <c r="J1659" s="375"/>
      <c r="K1659" s="375"/>
      <c r="L1659" s="375"/>
      <c r="M1659" s="368"/>
      <c r="N1659" s="368"/>
      <c r="O1659" s="370"/>
      <c r="T1659" s="349"/>
      <c r="V1659" s="378"/>
      <c r="W1659" s="64" ph="1"/>
      <c r="X1659" s="241"/>
      <c r="Y1659" s="284"/>
      <c r="Z1659" s="207"/>
      <c r="AA1659" s="284"/>
      <c r="AB1659" s="284"/>
      <c r="AC1659" s="284"/>
      <c r="AD1659" s="284"/>
      <c r="AE1659" s="284"/>
      <c r="AF1659" s="284"/>
      <c r="AG1659" s="284"/>
      <c r="AI1659" s="131"/>
    </row>
    <row r="1660" spans="1:35" ht="26.4">
      <c r="A1660" s="284"/>
      <c r="B1660" s="284"/>
      <c r="C1660" s="284"/>
      <c r="D1660" s="284"/>
      <c r="E1660" s="284"/>
      <c r="F1660" s="284"/>
      <c r="G1660" s="284"/>
      <c r="H1660" s="284"/>
      <c r="I1660" s="284"/>
      <c r="J1660" s="375"/>
      <c r="K1660" s="375"/>
      <c r="L1660" s="375"/>
      <c r="M1660" s="368"/>
      <c r="N1660" s="368"/>
      <c r="O1660" s="370"/>
      <c r="T1660" s="349"/>
      <c r="V1660" s="378"/>
      <c r="W1660" s="64" ph="1"/>
      <c r="X1660" s="241"/>
      <c r="Y1660" s="284"/>
      <c r="Z1660" s="207"/>
      <c r="AA1660" s="284"/>
      <c r="AB1660" s="284"/>
      <c r="AC1660" s="284"/>
      <c r="AD1660" s="284"/>
      <c r="AE1660" s="284"/>
      <c r="AF1660" s="284"/>
      <c r="AG1660" s="284"/>
      <c r="AI1660" s="131"/>
    </row>
    <row r="1661" spans="1:35" ht="26.4">
      <c r="A1661" s="284"/>
      <c r="B1661" s="284"/>
      <c r="C1661" s="284"/>
      <c r="D1661" s="284"/>
      <c r="E1661" s="284"/>
      <c r="F1661" s="284"/>
      <c r="G1661" s="284"/>
      <c r="H1661" s="284"/>
      <c r="I1661" s="284"/>
      <c r="J1661" s="375"/>
      <c r="K1661" s="375"/>
      <c r="L1661" s="375"/>
      <c r="M1661" s="368"/>
      <c r="N1661" s="368"/>
      <c r="O1661" s="370"/>
      <c r="T1661" s="349"/>
      <c r="V1661" s="378"/>
      <c r="W1661" s="64" ph="1"/>
      <c r="X1661" s="241"/>
      <c r="Y1661" s="284"/>
      <c r="Z1661" s="207"/>
      <c r="AA1661" s="284"/>
      <c r="AB1661" s="284"/>
      <c r="AC1661" s="284"/>
      <c r="AD1661" s="284"/>
      <c r="AE1661" s="284"/>
      <c r="AF1661" s="284"/>
      <c r="AG1661" s="284"/>
      <c r="AI1661" s="131"/>
    </row>
    <row r="1662" spans="1:35" ht="26.4">
      <c r="A1662" s="284"/>
      <c r="B1662" s="284"/>
      <c r="C1662" s="284"/>
      <c r="D1662" s="284"/>
      <c r="E1662" s="284"/>
      <c r="F1662" s="284"/>
      <c r="G1662" s="284"/>
      <c r="H1662" s="284"/>
      <c r="I1662" s="284"/>
      <c r="J1662" s="375"/>
      <c r="K1662" s="375"/>
      <c r="L1662" s="375"/>
      <c r="M1662" s="368"/>
      <c r="N1662" s="368"/>
      <c r="O1662" s="370"/>
      <c r="T1662" s="349"/>
      <c r="V1662" s="378"/>
      <c r="W1662" s="64" ph="1"/>
      <c r="X1662" s="241"/>
      <c r="Y1662" s="284"/>
      <c r="Z1662" s="207"/>
      <c r="AA1662" s="284"/>
      <c r="AB1662" s="284"/>
      <c r="AC1662" s="284"/>
      <c r="AD1662" s="284"/>
      <c r="AE1662" s="284"/>
      <c r="AF1662" s="284"/>
      <c r="AG1662" s="284"/>
      <c r="AI1662" s="131"/>
    </row>
    <row r="1663" spans="1:35" ht="26.4">
      <c r="A1663" s="284"/>
      <c r="B1663" s="284"/>
      <c r="C1663" s="284"/>
      <c r="D1663" s="284"/>
      <c r="E1663" s="284"/>
      <c r="F1663" s="284"/>
      <c r="G1663" s="284"/>
      <c r="H1663" s="284"/>
      <c r="I1663" s="284"/>
      <c r="J1663" s="375"/>
      <c r="K1663" s="375"/>
      <c r="L1663" s="375"/>
      <c r="M1663" s="368"/>
      <c r="N1663" s="368"/>
      <c r="O1663" s="370"/>
      <c r="T1663" s="349"/>
      <c r="V1663" s="378"/>
      <c r="W1663" s="64" ph="1"/>
      <c r="X1663" s="241"/>
      <c r="Y1663" s="284"/>
      <c r="Z1663" s="207"/>
      <c r="AA1663" s="284"/>
      <c r="AB1663" s="284"/>
      <c r="AC1663" s="284"/>
      <c r="AD1663" s="284"/>
      <c r="AE1663" s="284"/>
      <c r="AF1663" s="284"/>
      <c r="AG1663" s="284"/>
      <c r="AI1663" s="131"/>
    </row>
    <row r="1664" spans="1:35" ht="26.4">
      <c r="A1664" s="284"/>
      <c r="B1664" s="284"/>
      <c r="C1664" s="284"/>
      <c r="D1664" s="284"/>
      <c r="E1664" s="284"/>
      <c r="F1664" s="284"/>
      <c r="G1664" s="284"/>
      <c r="H1664" s="284"/>
      <c r="I1664" s="284"/>
      <c r="J1664" s="375"/>
      <c r="K1664" s="375"/>
      <c r="L1664" s="375"/>
      <c r="M1664" s="368"/>
      <c r="N1664" s="368"/>
      <c r="O1664" s="370"/>
      <c r="T1664" s="349"/>
      <c r="V1664" s="378"/>
      <c r="W1664" s="64" ph="1"/>
      <c r="X1664" s="241"/>
      <c r="Y1664" s="284"/>
      <c r="Z1664" s="207"/>
      <c r="AA1664" s="284"/>
      <c r="AB1664" s="284"/>
      <c r="AC1664" s="284"/>
      <c r="AD1664" s="284"/>
      <c r="AE1664" s="284"/>
      <c r="AF1664" s="284"/>
      <c r="AG1664" s="284"/>
      <c r="AI1664" s="131"/>
    </row>
    <row r="1665" spans="1:35" ht="26.4">
      <c r="A1665" s="284"/>
      <c r="B1665" s="284"/>
      <c r="C1665" s="284"/>
      <c r="D1665" s="284"/>
      <c r="E1665" s="284"/>
      <c r="F1665" s="284"/>
      <c r="G1665" s="284"/>
      <c r="H1665" s="284"/>
      <c r="I1665" s="284"/>
      <c r="J1665" s="375"/>
      <c r="K1665" s="375"/>
      <c r="L1665" s="375"/>
      <c r="M1665" s="368"/>
      <c r="N1665" s="368"/>
      <c r="O1665" s="370"/>
      <c r="T1665" s="349"/>
      <c r="V1665" s="378"/>
      <c r="W1665" s="64" ph="1"/>
      <c r="X1665" s="241"/>
      <c r="Y1665" s="284"/>
      <c r="Z1665" s="207"/>
      <c r="AA1665" s="284"/>
      <c r="AB1665" s="284"/>
      <c r="AC1665" s="284"/>
      <c r="AD1665" s="284"/>
      <c r="AE1665" s="284"/>
      <c r="AF1665" s="284"/>
      <c r="AG1665" s="284"/>
      <c r="AI1665" s="131"/>
    </row>
    <row r="1666" spans="1:35" ht="26.4">
      <c r="A1666" s="284"/>
      <c r="B1666" s="284"/>
      <c r="C1666" s="284"/>
      <c r="D1666" s="284"/>
      <c r="E1666" s="284"/>
      <c r="F1666" s="284"/>
      <c r="G1666" s="284"/>
      <c r="H1666" s="284"/>
      <c r="I1666" s="284"/>
      <c r="J1666" s="375"/>
      <c r="K1666" s="375"/>
      <c r="L1666" s="375"/>
      <c r="M1666" s="368"/>
      <c r="N1666" s="368"/>
      <c r="O1666" s="370"/>
      <c r="T1666" s="349"/>
      <c r="V1666" s="378"/>
      <c r="W1666" s="64" ph="1"/>
      <c r="X1666" s="241"/>
      <c r="Y1666" s="284"/>
      <c r="Z1666" s="207"/>
      <c r="AA1666" s="284"/>
      <c r="AB1666" s="284"/>
      <c r="AC1666" s="284"/>
      <c r="AD1666" s="284"/>
      <c r="AE1666" s="284"/>
      <c r="AF1666" s="284"/>
      <c r="AG1666" s="284"/>
      <c r="AI1666" s="131"/>
    </row>
    <row r="1667" spans="1:35" ht="26.4">
      <c r="A1667" s="284"/>
      <c r="B1667" s="284"/>
      <c r="C1667" s="284"/>
      <c r="D1667" s="284"/>
      <c r="E1667" s="284"/>
      <c r="F1667" s="284"/>
      <c r="G1667" s="284"/>
      <c r="H1667" s="284"/>
      <c r="I1667" s="284"/>
      <c r="J1667" s="375"/>
      <c r="K1667" s="375"/>
      <c r="L1667" s="375"/>
      <c r="M1667" s="368"/>
      <c r="N1667" s="368"/>
      <c r="O1667" s="370"/>
      <c r="T1667" s="349"/>
      <c r="V1667" s="378"/>
      <c r="W1667" s="64" ph="1"/>
      <c r="X1667" s="241"/>
      <c r="Y1667" s="284"/>
      <c r="Z1667" s="207"/>
      <c r="AA1667" s="284"/>
      <c r="AB1667" s="284"/>
      <c r="AC1667" s="284"/>
      <c r="AD1667" s="284"/>
      <c r="AE1667" s="284"/>
      <c r="AF1667" s="284"/>
      <c r="AG1667" s="284"/>
      <c r="AI1667" s="131"/>
    </row>
    <row r="1668" spans="1:35" ht="26.4">
      <c r="A1668" s="284"/>
      <c r="B1668" s="284"/>
      <c r="C1668" s="284"/>
      <c r="D1668" s="284"/>
      <c r="E1668" s="284"/>
      <c r="F1668" s="284"/>
      <c r="G1668" s="284"/>
      <c r="H1668" s="284"/>
      <c r="I1668" s="284"/>
      <c r="J1668" s="375"/>
      <c r="K1668" s="375"/>
      <c r="L1668" s="375"/>
      <c r="M1668" s="368"/>
      <c r="N1668" s="368"/>
      <c r="O1668" s="370"/>
      <c r="T1668" s="349"/>
      <c r="V1668" s="378"/>
      <c r="W1668" s="64" ph="1"/>
      <c r="X1668" s="241"/>
      <c r="Y1668" s="284"/>
      <c r="Z1668" s="207"/>
      <c r="AA1668" s="284"/>
      <c r="AB1668" s="284"/>
      <c r="AC1668" s="284"/>
      <c r="AD1668" s="284"/>
      <c r="AE1668" s="284"/>
      <c r="AF1668" s="284"/>
      <c r="AG1668" s="284"/>
      <c r="AI1668" s="131"/>
    </row>
    <row r="1669" spans="1:35" ht="26.4">
      <c r="A1669" s="284"/>
      <c r="B1669" s="284"/>
      <c r="C1669" s="284"/>
      <c r="D1669" s="284"/>
      <c r="E1669" s="284"/>
      <c r="F1669" s="284"/>
      <c r="G1669" s="284"/>
      <c r="H1669" s="284"/>
      <c r="I1669" s="284"/>
      <c r="J1669" s="375"/>
      <c r="K1669" s="375"/>
      <c r="L1669" s="375"/>
      <c r="M1669" s="368"/>
      <c r="N1669" s="368"/>
      <c r="O1669" s="370"/>
      <c r="T1669" s="349"/>
      <c r="V1669" s="378"/>
      <c r="W1669" s="64" ph="1"/>
      <c r="X1669" s="241"/>
      <c r="Y1669" s="284"/>
      <c r="Z1669" s="207"/>
      <c r="AA1669" s="284"/>
      <c r="AB1669" s="284"/>
      <c r="AC1669" s="284"/>
      <c r="AD1669" s="284"/>
      <c r="AE1669" s="284"/>
      <c r="AF1669" s="284"/>
      <c r="AG1669" s="284"/>
      <c r="AI1669" s="131"/>
    </row>
    <row r="1670" spans="1:35" ht="26.4">
      <c r="A1670" s="284"/>
      <c r="B1670" s="284"/>
      <c r="C1670" s="284"/>
      <c r="D1670" s="284"/>
      <c r="E1670" s="284"/>
      <c r="F1670" s="284"/>
      <c r="G1670" s="284"/>
      <c r="H1670" s="284"/>
      <c r="I1670" s="284"/>
      <c r="J1670" s="375"/>
      <c r="K1670" s="375"/>
      <c r="L1670" s="375"/>
      <c r="M1670" s="368"/>
      <c r="N1670" s="368"/>
      <c r="O1670" s="370"/>
      <c r="T1670" s="349"/>
      <c r="V1670" s="378"/>
      <c r="W1670" s="64" ph="1"/>
      <c r="X1670" s="241"/>
      <c r="Y1670" s="284"/>
      <c r="Z1670" s="207"/>
      <c r="AA1670" s="284"/>
      <c r="AB1670" s="284"/>
      <c r="AC1670" s="284"/>
      <c r="AD1670" s="284"/>
      <c r="AE1670" s="284"/>
      <c r="AF1670" s="284"/>
      <c r="AG1670" s="284"/>
    </row>
    <row r="1671" spans="1:35" ht="26.4">
      <c r="A1671" s="284"/>
      <c r="B1671" s="284"/>
      <c r="C1671" s="284"/>
      <c r="D1671" s="284"/>
      <c r="E1671" s="284"/>
      <c r="F1671" s="284"/>
      <c r="G1671" s="284"/>
      <c r="H1671" s="284"/>
      <c r="I1671" s="284"/>
      <c r="J1671" s="375"/>
      <c r="K1671" s="375"/>
      <c r="L1671" s="375"/>
      <c r="M1671" s="368"/>
      <c r="N1671" s="368"/>
      <c r="O1671" s="370"/>
      <c r="T1671" s="349"/>
      <c r="V1671" s="378"/>
      <c r="W1671" s="64" ph="1"/>
      <c r="X1671" s="241"/>
      <c r="Y1671" s="284"/>
      <c r="Z1671" s="207"/>
      <c r="AA1671" s="284"/>
      <c r="AB1671" s="284"/>
      <c r="AC1671" s="284"/>
      <c r="AD1671" s="284"/>
      <c r="AE1671" s="284"/>
      <c r="AF1671" s="284"/>
      <c r="AG1671" s="284"/>
      <c r="AI1671" s="131"/>
    </row>
    <row r="1672" spans="1:35" ht="26.4">
      <c r="A1672" s="284"/>
      <c r="B1672" s="284"/>
      <c r="C1672" s="284"/>
      <c r="D1672" s="284"/>
      <c r="E1672" s="284"/>
      <c r="F1672" s="284"/>
      <c r="G1672" s="284"/>
      <c r="H1672" s="284"/>
      <c r="I1672" s="284"/>
      <c r="J1672" s="375"/>
      <c r="K1672" s="375"/>
      <c r="L1672" s="375"/>
      <c r="M1672" s="368"/>
      <c r="N1672" s="368"/>
      <c r="O1672" s="370"/>
      <c r="T1672" s="349"/>
      <c r="V1672" s="378"/>
      <c r="W1672" s="64" ph="1"/>
      <c r="X1672" s="241"/>
      <c r="Y1672" s="284"/>
      <c r="Z1672" s="207"/>
      <c r="AA1672" s="284"/>
      <c r="AB1672" s="284"/>
      <c r="AC1672" s="284"/>
      <c r="AD1672" s="284"/>
      <c r="AE1672" s="284"/>
      <c r="AF1672" s="284"/>
      <c r="AG1672" s="284"/>
      <c r="AI1672" s="131"/>
    </row>
    <row r="1673" spans="1:35" ht="26.4">
      <c r="A1673" s="284"/>
      <c r="B1673" s="284"/>
      <c r="C1673" s="284"/>
      <c r="D1673" s="284"/>
      <c r="E1673" s="284"/>
      <c r="F1673" s="284"/>
      <c r="G1673" s="284"/>
      <c r="H1673" s="284"/>
      <c r="I1673" s="284"/>
      <c r="J1673" s="375"/>
      <c r="K1673" s="375"/>
      <c r="L1673" s="375"/>
      <c r="M1673" s="368"/>
      <c r="N1673" s="368"/>
      <c r="O1673" s="370"/>
      <c r="T1673" s="349"/>
      <c r="V1673" s="378"/>
      <c r="W1673" s="64" ph="1"/>
      <c r="X1673" s="241"/>
      <c r="Y1673" s="284"/>
      <c r="Z1673" s="207"/>
      <c r="AA1673" s="284"/>
      <c r="AB1673" s="284"/>
      <c r="AC1673" s="284"/>
      <c r="AD1673" s="284"/>
      <c r="AE1673" s="284"/>
      <c r="AF1673" s="284"/>
      <c r="AG1673" s="284"/>
      <c r="AI1673" s="131"/>
    </row>
    <row r="1674" spans="1:35" ht="26.4">
      <c r="A1674" s="284"/>
      <c r="B1674" s="284"/>
      <c r="C1674" s="284"/>
      <c r="D1674" s="284"/>
      <c r="E1674" s="284"/>
      <c r="F1674" s="284"/>
      <c r="G1674" s="284"/>
      <c r="H1674" s="284"/>
      <c r="I1674" s="284"/>
      <c r="J1674" s="375"/>
      <c r="K1674" s="375"/>
      <c r="L1674" s="375"/>
      <c r="M1674" s="368"/>
      <c r="N1674" s="368"/>
      <c r="O1674" s="370"/>
      <c r="T1674" s="349"/>
      <c r="V1674" s="378"/>
      <c r="W1674" s="64" ph="1"/>
      <c r="X1674" s="241"/>
      <c r="Y1674" s="284"/>
      <c r="Z1674" s="207"/>
      <c r="AA1674" s="284"/>
      <c r="AB1674" s="284"/>
      <c r="AC1674" s="284"/>
      <c r="AD1674" s="284"/>
      <c r="AE1674" s="284"/>
      <c r="AF1674" s="284"/>
      <c r="AG1674" s="284"/>
      <c r="AI1674" s="131"/>
    </row>
    <row r="1675" spans="1:35" ht="26.4">
      <c r="A1675" s="284"/>
      <c r="B1675" s="284"/>
      <c r="C1675" s="284"/>
      <c r="D1675" s="284"/>
      <c r="E1675" s="284"/>
      <c r="F1675" s="284"/>
      <c r="G1675" s="284"/>
      <c r="H1675" s="284"/>
      <c r="I1675" s="284"/>
      <c r="J1675" s="375"/>
      <c r="K1675" s="375"/>
      <c r="L1675" s="375"/>
      <c r="M1675" s="368"/>
      <c r="N1675" s="368"/>
      <c r="O1675" s="370"/>
      <c r="T1675" s="349"/>
      <c r="V1675" s="378"/>
      <c r="W1675" s="64" ph="1"/>
      <c r="X1675" s="241"/>
      <c r="Y1675" s="284"/>
      <c r="Z1675" s="207"/>
      <c r="AA1675" s="284"/>
      <c r="AB1675" s="284"/>
      <c r="AC1675" s="284"/>
      <c r="AD1675" s="284"/>
      <c r="AE1675" s="284"/>
      <c r="AF1675" s="284"/>
      <c r="AG1675" s="284"/>
      <c r="AI1675" s="131"/>
    </row>
    <row r="1676" spans="1:35" ht="26.4">
      <c r="A1676" s="284"/>
      <c r="B1676" s="284"/>
      <c r="C1676" s="284"/>
      <c r="D1676" s="284"/>
      <c r="E1676" s="284"/>
      <c r="F1676" s="284"/>
      <c r="G1676" s="284"/>
      <c r="H1676" s="284"/>
      <c r="I1676" s="284"/>
      <c r="J1676" s="375"/>
      <c r="K1676" s="375"/>
      <c r="L1676" s="375"/>
      <c r="M1676" s="368"/>
      <c r="N1676" s="368"/>
      <c r="O1676" s="370"/>
      <c r="T1676" s="349"/>
      <c r="V1676" s="378"/>
      <c r="W1676" s="64" ph="1"/>
      <c r="X1676" s="241"/>
      <c r="Y1676" s="284"/>
      <c r="Z1676" s="207"/>
      <c r="AA1676" s="284"/>
      <c r="AB1676" s="284"/>
      <c r="AC1676" s="284"/>
      <c r="AD1676" s="284"/>
      <c r="AE1676" s="284"/>
      <c r="AF1676" s="284"/>
      <c r="AG1676" s="284"/>
      <c r="AI1676" s="131"/>
    </row>
    <row r="1677" spans="1:35" ht="26.4">
      <c r="A1677" s="284"/>
      <c r="B1677" s="284"/>
      <c r="C1677" s="284"/>
      <c r="D1677" s="284"/>
      <c r="E1677" s="284"/>
      <c r="F1677" s="284"/>
      <c r="G1677" s="284"/>
      <c r="H1677" s="284"/>
      <c r="I1677" s="284"/>
      <c r="J1677" s="375"/>
      <c r="K1677" s="375"/>
      <c r="L1677" s="375"/>
      <c r="M1677" s="368"/>
      <c r="N1677" s="368"/>
      <c r="O1677" s="370"/>
      <c r="T1677" s="349"/>
      <c r="V1677" s="378"/>
      <c r="W1677" s="64" ph="1"/>
      <c r="X1677" s="241"/>
      <c r="Y1677" s="284"/>
      <c r="Z1677" s="207"/>
      <c r="AA1677" s="284"/>
      <c r="AB1677" s="284"/>
      <c r="AC1677" s="284"/>
      <c r="AD1677" s="284"/>
      <c r="AE1677" s="284"/>
      <c r="AF1677" s="284"/>
      <c r="AG1677" s="284"/>
      <c r="AI1677" s="131"/>
    </row>
    <row r="1678" spans="1:35" ht="26.4">
      <c r="A1678" s="284"/>
      <c r="B1678" s="284"/>
      <c r="C1678" s="284"/>
      <c r="D1678" s="284"/>
      <c r="E1678" s="284"/>
      <c r="F1678" s="284"/>
      <c r="G1678" s="284"/>
      <c r="H1678" s="284"/>
      <c r="I1678" s="284"/>
      <c r="J1678" s="375"/>
      <c r="K1678" s="375"/>
      <c r="L1678" s="375"/>
      <c r="M1678" s="368"/>
      <c r="N1678" s="368"/>
      <c r="O1678" s="370"/>
      <c r="T1678" s="349"/>
      <c r="V1678" s="378"/>
      <c r="W1678" s="64" ph="1"/>
      <c r="X1678" s="241"/>
      <c r="Y1678" s="284"/>
      <c r="Z1678" s="207"/>
      <c r="AA1678" s="284"/>
      <c r="AB1678" s="284"/>
      <c r="AC1678" s="284"/>
      <c r="AD1678" s="284"/>
      <c r="AE1678" s="284"/>
      <c r="AF1678" s="284"/>
      <c r="AG1678" s="284"/>
      <c r="AI1678" s="131"/>
    </row>
    <row r="1679" spans="1:35" ht="26.4">
      <c r="A1679" s="284"/>
      <c r="B1679" s="284"/>
      <c r="C1679" s="284"/>
      <c r="D1679" s="284"/>
      <c r="E1679" s="284"/>
      <c r="F1679" s="284"/>
      <c r="G1679" s="284"/>
      <c r="H1679" s="284"/>
      <c r="I1679" s="284"/>
      <c r="J1679" s="375"/>
      <c r="K1679" s="375"/>
      <c r="L1679" s="375"/>
      <c r="M1679" s="368"/>
      <c r="N1679" s="368"/>
      <c r="O1679" s="370"/>
      <c r="T1679" s="349"/>
      <c r="V1679" s="378"/>
      <c r="W1679" s="64" ph="1"/>
      <c r="X1679" s="241"/>
      <c r="Y1679" s="284"/>
      <c r="Z1679" s="207"/>
      <c r="AA1679" s="284"/>
      <c r="AB1679" s="284"/>
      <c r="AC1679" s="284"/>
      <c r="AD1679" s="284"/>
      <c r="AE1679" s="284"/>
      <c r="AF1679" s="284"/>
      <c r="AG1679" s="284"/>
      <c r="AI1679" s="131"/>
    </row>
    <row r="1680" spans="1:35" ht="26.4">
      <c r="A1680" s="284"/>
      <c r="B1680" s="284"/>
      <c r="C1680" s="284"/>
      <c r="D1680" s="284"/>
      <c r="E1680" s="284"/>
      <c r="F1680" s="284"/>
      <c r="G1680" s="284"/>
      <c r="H1680" s="284"/>
      <c r="I1680" s="284"/>
      <c r="J1680" s="375"/>
      <c r="K1680" s="375"/>
      <c r="L1680" s="375"/>
      <c r="M1680" s="368"/>
      <c r="N1680" s="368"/>
      <c r="O1680" s="370"/>
      <c r="T1680" s="349"/>
      <c r="V1680" s="378"/>
      <c r="W1680" s="64" ph="1"/>
      <c r="X1680" s="241"/>
      <c r="Y1680" s="284"/>
      <c r="Z1680" s="207"/>
      <c r="AA1680" s="284"/>
      <c r="AB1680" s="284"/>
      <c r="AC1680" s="284"/>
      <c r="AD1680" s="284"/>
      <c r="AE1680" s="284"/>
      <c r="AF1680" s="284"/>
      <c r="AG1680" s="284"/>
      <c r="AI1680" s="131"/>
    </row>
    <row r="1681" spans="1:35" ht="26.4">
      <c r="A1681" s="284"/>
      <c r="B1681" s="284"/>
      <c r="C1681" s="284"/>
      <c r="D1681" s="284"/>
      <c r="E1681" s="284"/>
      <c r="F1681" s="284"/>
      <c r="G1681" s="284"/>
      <c r="H1681" s="284"/>
      <c r="I1681" s="284"/>
      <c r="J1681" s="375"/>
      <c r="K1681" s="375"/>
      <c r="L1681" s="375"/>
      <c r="M1681" s="368"/>
      <c r="N1681" s="368"/>
      <c r="O1681" s="370"/>
      <c r="T1681" s="349"/>
      <c r="V1681" s="378"/>
      <c r="W1681" s="64" ph="1"/>
      <c r="X1681" s="241"/>
      <c r="Y1681" s="284"/>
      <c r="Z1681" s="207"/>
      <c r="AA1681" s="284"/>
      <c r="AB1681" s="284"/>
      <c r="AC1681" s="284"/>
      <c r="AD1681" s="284"/>
      <c r="AE1681" s="284"/>
      <c r="AF1681" s="284"/>
      <c r="AG1681" s="284"/>
      <c r="AI1681" s="131"/>
    </row>
    <row r="1682" spans="1:35" ht="26.4">
      <c r="A1682" s="284"/>
      <c r="B1682" s="284"/>
      <c r="C1682" s="284"/>
      <c r="D1682" s="284"/>
      <c r="E1682" s="284"/>
      <c r="F1682" s="284"/>
      <c r="G1682" s="284"/>
      <c r="H1682" s="284"/>
      <c r="I1682" s="284"/>
      <c r="J1682" s="375"/>
      <c r="K1682" s="375"/>
      <c r="L1682" s="375"/>
      <c r="M1682" s="368"/>
      <c r="N1682" s="368"/>
      <c r="O1682" s="370"/>
      <c r="T1682" s="349"/>
      <c r="V1682" s="378"/>
      <c r="W1682" s="64" ph="1"/>
      <c r="X1682" s="241"/>
      <c r="Y1682" s="284"/>
      <c r="Z1682" s="207"/>
      <c r="AA1682" s="284"/>
      <c r="AB1682" s="284"/>
      <c r="AC1682" s="284"/>
      <c r="AD1682" s="284"/>
      <c r="AE1682" s="284"/>
      <c r="AF1682" s="284"/>
      <c r="AG1682" s="284"/>
      <c r="AI1682" s="131"/>
    </row>
    <row r="1683" spans="1:35" ht="26.4">
      <c r="A1683" s="284"/>
      <c r="B1683" s="284"/>
      <c r="C1683" s="284"/>
      <c r="D1683" s="284"/>
      <c r="E1683" s="284"/>
      <c r="F1683" s="284"/>
      <c r="G1683" s="284"/>
      <c r="H1683" s="284"/>
      <c r="I1683" s="284"/>
      <c r="J1683" s="375"/>
      <c r="K1683" s="375"/>
      <c r="L1683" s="375"/>
      <c r="M1683" s="368"/>
      <c r="N1683" s="368"/>
      <c r="O1683" s="370"/>
      <c r="T1683" s="349"/>
      <c r="V1683" s="378"/>
      <c r="W1683" s="64" ph="1"/>
      <c r="X1683" s="241"/>
      <c r="Y1683" s="284"/>
      <c r="Z1683" s="207"/>
      <c r="AA1683" s="284"/>
      <c r="AB1683" s="284"/>
      <c r="AC1683" s="284"/>
      <c r="AD1683" s="284"/>
      <c r="AE1683" s="284"/>
      <c r="AF1683" s="284"/>
      <c r="AG1683" s="284"/>
      <c r="AI1683" s="131"/>
    </row>
    <row r="1684" spans="1:35" ht="26.4">
      <c r="A1684" s="284"/>
      <c r="B1684" s="284"/>
      <c r="C1684" s="284"/>
      <c r="D1684" s="284"/>
      <c r="E1684" s="284"/>
      <c r="F1684" s="284"/>
      <c r="G1684" s="284"/>
      <c r="H1684" s="284"/>
      <c r="I1684" s="284"/>
      <c r="J1684" s="375"/>
      <c r="K1684" s="375"/>
      <c r="L1684" s="375"/>
      <c r="M1684" s="368"/>
      <c r="N1684" s="368"/>
      <c r="O1684" s="370"/>
      <c r="T1684" s="349"/>
      <c r="V1684" s="378"/>
      <c r="W1684" s="64" ph="1"/>
      <c r="X1684" s="241"/>
      <c r="Y1684" s="284"/>
      <c r="Z1684" s="207"/>
      <c r="AA1684" s="284"/>
      <c r="AB1684" s="284"/>
      <c r="AC1684" s="284"/>
      <c r="AD1684" s="284"/>
      <c r="AE1684" s="284"/>
      <c r="AF1684" s="284"/>
      <c r="AG1684" s="284"/>
      <c r="AI1684" s="131"/>
    </row>
    <row r="1685" spans="1:35" ht="26.4">
      <c r="A1685" s="284"/>
      <c r="B1685" s="284"/>
      <c r="C1685" s="284"/>
      <c r="D1685" s="284"/>
      <c r="E1685" s="284"/>
      <c r="F1685" s="284"/>
      <c r="G1685" s="284"/>
      <c r="H1685" s="284"/>
      <c r="I1685" s="284"/>
      <c r="J1685" s="375"/>
      <c r="K1685" s="375"/>
      <c r="L1685" s="375"/>
      <c r="M1685" s="368"/>
      <c r="N1685" s="368"/>
      <c r="O1685" s="370"/>
      <c r="T1685" s="349"/>
      <c r="V1685" s="378"/>
      <c r="W1685" s="64" ph="1"/>
      <c r="X1685" s="241"/>
      <c r="Y1685" s="284"/>
      <c r="Z1685" s="207"/>
      <c r="AA1685" s="284"/>
      <c r="AB1685" s="284"/>
      <c r="AC1685" s="284"/>
      <c r="AD1685" s="284"/>
      <c r="AE1685" s="284"/>
      <c r="AF1685" s="284"/>
      <c r="AG1685" s="284"/>
      <c r="AI1685" s="131"/>
    </row>
    <row r="1686" spans="1:35" ht="26.4">
      <c r="A1686" s="284"/>
      <c r="B1686" s="284"/>
      <c r="C1686" s="284"/>
      <c r="D1686" s="284"/>
      <c r="E1686" s="284"/>
      <c r="F1686" s="284"/>
      <c r="G1686" s="284"/>
      <c r="H1686" s="284"/>
      <c r="I1686" s="284"/>
      <c r="J1686" s="375"/>
      <c r="K1686" s="375"/>
      <c r="L1686" s="375"/>
      <c r="M1686" s="368"/>
      <c r="N1686" s="368"/>
      <c r="O1686" s="370"/>
      <c r="T1686" s="349"/>
      <c r="V1686" s="378"/>
      <c r="W1686" s="64" ph="1"/>
      <c r="X1686" s="241"/>
      <c r="Y1686" s="284"/>
      <c r="Z1686" s="207"/>
      <c r="AA1686" s="284"/>
      <c r="AB1686" s="284"/>
      <c r="AC1686" s="284"/>
      <c r="AD1686" s="284"/>
      <c r="AE1686" s="284"/>
      <c r="AF1686" s="284"/>
      <c r="AG1686" s="284"/>
      <c r="AI1686" s="131"/>
    </row>
    <row r="1687" spans="1:35" ht="26.4">
      <c r="A1687" s="284"/>
      <c r="B1687" s="284"/>
      <c r="C1687" s="284"/>
      <c r="D1687" s="284"/>
      <c r="E1687" s="284"/>
      <c r="F1687" s="284"/>
      <c r="G1687" s="284"/>
      <c r="H1687" s="284"/>
      <c r="I1687" s="284"/>
      <c r="J1687" s="375"/>
      <c r="K1687" s="375"/>
      <c r="L1687" s="375"/>
      <c r="M1687" s="368"/>
      <c r="N1687" s="368"/>
      <c r="O1687" s="370"/>
      <c r="T1687" s="349"/>
      <c r="V1687" s="378"/>
      <c r="W1687" s="64" ph="1"/>
      <c r="X1687" s="241"/>
      <c r="Y1687" s="284"/>
      <c r="Z1687" s="207"/>
      <c r="AA1687" s="284"/>
      <c r="AB1687" s="284"/>
      <c r="AC1687" s="284"/>
      <c r="AD1687" s="284"/>
      <c r="AE1687" s="284"/>
      <c r="AF1687" s="284"/>
      <c r="AG1687" s="284"/>
      <c r="AI1687" s="131"/>
    </row>
    <row r="1688" spans="1:35" ht="26.4">
      <c r="A1688" s="284"/>
      <c r="B1688" s="284"/>
      <c r="C1688" s="284"/>
      <c r="D1688" s="284"/>
      <c r="E1688" s="284"/>
      <c r="F1688" s="284"/>
      <c r="G1688" s="284"/>
      <c r="H1688" s="284"/>
      <c r="I1688" s="284"/>
      <c r="J1688" s="375"/>
      <c r="K1688" s="375"/>
      <c r="L1688" s="375"/>
      <c r="M1688" s="368"/>
      <c r="N1688" s="368"/>
      <c r="O1688" s="370"/>
      <c r="T1688" s="349"/>
      <c r="V1688" s="378"/>
      <c r="W1688" s="64" ph="1"/>
      <c r="X1688" s="241"/>
      <c r="Y1688" s="284"/>
      <c r="Z1688" s="207"/>
      <c r="AA1688" s="284"/>
      <c r="AB1688" s="284"/>
      <c r="AC1688" s="284"/>
      <c r="AD1688" s="284"/>
      <c r="AE1688" s="284"/>
      <c r="AF1688" s="284"/>
      <c r="AG1688" s="284"/>
      <c r="AI1688" s="131"/>
    </row>
    <row r="1689" spans="1:35" ht="26.4">
      <c r="A1689" s="284"/>
      <c r="B1689" s="284"/>
      <c r="C1689" s="284"/>
      <c r="D1689" s="284"/>
      <c r="E1689" s="284"/>
      <c r="F1689" s="284"/>
      <c r="G1689" s="284"/>
      <c r="H1689" s="284"/>
      <c r="I1689" s="284"/>
      <c r="J1689" s="375"/>
      <c r="K1689" s="375"/>
      <c r="L1689" s="375"/>
      <c r="M1689" s="368"/>
      <c r="N1689" s="368"/>
      <c r="O1689" s="370"/>
      <c r="T1689" s="349"/>
      <c r="V1689" s="378"/>
      <c r="W1689" s="64" ph="1"/>
      <c r="X1689" s="241"/>
      <c r="Y1689" s="284"/>
      <c r="Z1689" s="207"/>
      <c r="AA1689" s="284"/>
      <c r="AB1689" s="284"/>
      <c r="AC1689" s="284"/>
      <c r="AD1689" s="284"/>
      <c r="AE1689" s="284"/>
      <c r="AF1689" s="284"/>
      <c r="AG1689" s="284"/>
      <c r="AI1689" s="131"/>
    </row>
    <row r="1690" spans="1:35" ht="26.4">
      <c r="A1690" s="284"/>
      <c r="B1690" s="284"/>
      <c r="C1690" s="284"/>
      <c r="D1690" s="284"/>
      <c r="E1690" s="284"/>
      <c r="F1690" s="284"/>
      <c r="G1690" s="284"/>
      <c r="H1690" s="284"/>
      <c r="I1690" s="284"/>
      <c r="J1690" s="375"/>
      <c r="K1690" s="375"/>
      <c r="L1690" s="375"/>
      <c r="M1690" s="368"/>
      <c r="N1690" s="368"/>
      <c r="O1690" s="370"/>
      <c r="T1690" s="349"/>
      <c r="V1690" s="378"/>
      <c r="W1690" s="64" ph="1"/>
      <c r="X1690" s="241"/>
      <c r="Y1690" s="284"/>
      <c r="Z1690" s="207"/>
      <c r="AA1690" s="284"/>
      <c r="AB1690" s="284"/>
      <c r="AC1690" s="284"/>
      <c r="AD1690" s="284"/>
      <c r="AE1690" s="284"/>
      <c r="AF1690" s="284"/>
      <c r="AG1690" s="284"/>
      <c r="AI1690" s="131"/>
    </row>
    <row r="1691" spans="1:35" ht="26.4">
      <c r="A1691" s="284"/>
      <c r="B1691" s="284"/>
      <c r="C1691" s="284"/>
      <c r="D1691" s="284"/>
      <c r="E1691" s="284"/>
      <c r="F1691" s="284"/>
      <c r="G1691" s="284"/>
      <c r="H1691" s="284"/>
      <c r="I1691" s="284"/>
      <c r="J1691" s="375"/>
      <c r="K1691" s="375"/>
      <c r="L1691" s="375"/>
      <c r="M1691" s="368"/>
      <c r="N1691" s="368"/>
      <c r="O1691" s="370"/>
      <c r="T1691" s="349"/>
      <c r="V1691" s="378"/>
      <c r="W1691" s="64" ph="1"/>
      <c r="X1691" s="241"/>
      <c r="Y1691" s="284"/>
      <c r="Z1691" s="207"/>
      <c r="AA1691" s="284"/>
      <c r="AB1691" s="284"/>
      <c r="AC1691" s="284"/>
      <c r="AD1691" s="284"/>
      <c r="AE1691" s="284"/>
      <c r="AF1691" s="284"/>
      <c r="AG1691" s="284"/>
      <c r="AI1691" s="131"/>
    </row>
    <row r="1692" spans="1:35" ht="26.4">
      <c r="A1692" s="284"/>
      <c r="B1692" s="284"/>
      <c r="C1692" s="284"/>
      <c r="D1692" s="284"/>
      <c r="E1692" s="284"/>
      <c r="F1692" s="284"/>
      <c r="G1692" s="284"/>
      <c r="H1692" s="284"/>
      <c r="I1692" s="284"/>
      <c r="J1692" s="375"/>
      <c r="K1692" s="375"/>
      <c r="L1692" s="375"/>
      <c r="M1692" s="368"/>
      <c r="N1692" s="368"/>
      <c r="O1692" s="370"/>
      <c r="T1692" s="349"/>
      <c r="V1692" s="378"/>
      <c r="W1692" s="64" ph="1"/>
      <c r="X1692" s="241"/>
      <c r="Y1692" s="284"/>
      <c r="Z1692" s="207"/>
      <c r="AA1692" s="284"/>
      <c r="AB1692" s="284"/>
      <c r="AC1692" s="284"/>
      <c r="AD1692" s="284"/>
      <c r="AE1692" s="284"/>
      <c r="AF1692" s="284"/>
      <c r="AG1692" s="284"/>
      <c r="AI1692" s="131"/>
    </row>
    <row r="1693" spans="1:35" ht="26.4">
      <c r="A1693" s="284"/>
      <c r="B1693" s="284"/>
      <c r="C1693" s="284"/>
      <c r="D1693" s="284"/>
      <c r="E1693" s="284"/>
      <c r="F1693" s="284"/>
      <c r="G1693" s="284"/>
      <c r="H1693" s="284"/>
      <c r="I1693" s="284"/>
      <c r="J1693" s="375"/>
      <c r="K1693" s="375"/>
      <c r="L1693" s="375"/>
      <c r="M1693" s="368"/>
      <c r="N1693" s="368"/>
      <c r="O1693" s="370"/>
      <c r="T1693" s="349"/>
      <c r="V1693" s="378"/>
      <c r="W1693" s="64" ph="1"/>
      <c r="X1693" s="241"/>
      <c r="Y1693" s="284"/>
      <c r="Z1693" s="207"/>
      <c r="AA1693" s="284"/>
      <c r="AB1693" s="284"/>
      <c r="AC1693" s="284"/>
      <c r="AD1693" s="284"/>
      <c r="AE1693" s="284"/>
      <c r="AF1693" s="284"/>
      <c r="AG1693" s="284"/>
      <c r="AI1693" s="131"/>
    </row>
    <row r="1694" spans="1:35" ht="26.4">
      <c r="A1694" s="284"/>
      <c r="B1694" s="284"/>
      <c r="C1694" s="284"/>
      <c r="D1694" s="284"/>
      <c r="E1694" s="284"/>
      <c r="F1694" s="284"/>
      <c r="G1694" s="284"/>
      <c r="H1694" s="284"/>
      <c r="I1694" s="284"/>
      <c r="J1694" s="375"/>
      <c r="K1694" s="375"/>
      <c r="L1694" s="375"/>
      <c r="M1694" s="368"/>
      <c r="N1694" s="368"/>
      <c r="O1694" s="370"/>
      <c r="T1694" s="349"/>
      <c r="V1694" s="378"/>
      <c r="W1694" s="64" ph="1"/>
      <c r="X1694" s="241"/>
      <c r="Y1694" s="284"/>
      <c r="Z1694" s="207"/>
      <c r="AA1694" s="284"/>
      <c r="AB1694" s="284"/>
      <c r="AC1694" s="284"/>
      <c r="AD1694" s="284"/>
      <c r="AE1694" s="284"/>
      <c r="AF1694" s="284"/>
      <c r="AG1694" s="284"/>
      <c r="AI1694" s="131"/>
    </row>
    <row r="1695" spans="1:35" ht="26.4">
      <c r="A1695" s="284"/>
      <c r="B1695" s="284"/>
      <c r="C1695" s="284"/>
      <c r="D1695" s="284"/>
      <c r="E1695" s="284"/>
      <c r="F1695" s="284"/>
      <c r="G1695" s="284"/>
      <c r="H1695" s="284"/>
      <c r="I1695" s="284"/>
      <c r="J1695" s="375"/>
      <c r="K1695" s="375"/>
      <c r="L1695" s="375"/>
      <c r="M1695" s="368"/>
      <c r="N1695" s="368"/>
      <c r="O1695" s="370"/>
      <c r="T1695" s="349"/>
      <c r="V1695" s="378"/>
      <c r="W1695" s="64" ph="1"/>
      <c r="X1695" s="241"/>
      <c r="Y1695" s="284"/>
      <c r="Z1695" s="207"/>
      <c r="AA1695" s="284"/>
      <c r="AB1695" s="284"/>
      <c r="AC1695" s="284"/>
      <c r="AD1695" s="284"/>
      <c r="AE1695" s="284"/>
      <c r="AF1695" s="284"/>
      <c r="AG1695" s="284"/>
      <c r="AI1695" s="131"/>
    </row>
    <row r="1696" spans="1:35" ht="26.4">
      <c r="A1696" s="284"/>
      <c r="B1696" s="284"/>
      <c r="C1696" s="284"/>
      <c r="D1696" s="284"/>
      <c r="E1696" s="284"/>
      <c r="F1696" s="284"/>
      <c r="G1696" s="284"/>
      <c r="H1696" s="284"/>
      <c r="I1696" s="284"/>
      <c r="J1696" s="375"/>
      <c r="K1696" s="375"/>
      <c r="L1696" s="375"/>
      <c r="M1696" s="368"/>
      <c r="N1696" s="368"/>
      <c r="O1696" s="370"/>
      <c r="T1696" s="349"/>
      <c r="V1696" s="378"/>
      <c r="W1696" s="64" ph="1"/>
      <c r="X1696" s="241"/>
      <c r="Y1696" s="284"/>
      <c r="Z1696" s="207"/>
      <c r="AA1696" s="284"/>
      <c r="AB1696" s="284"/>
      <c r="AC1696" s="284"/>
      <c r="AD1696" s="284"/>
      <c r="AE1696" s="284"/>
      <c r="AF1696" s="284"/>
      <c r="AG1696" s="284"/>
      <c r="AI1696" s="131"/>
    </row>
    <row r="1697" spans="1:35" ht="26.4">
      <c r="A1697" s="284"/>
      <c r="B1697" s="284"/>
      <c r="C1697" s="284"/>
      <c r="D1697" s="284"/>
      <c r="E1697" s="284"/>
      <c r="F1697" s="284"/>
      <c r="G1697" s="284"/>
      <c r="H1697" s="284"/>
      <c r="I1697" s="284"/>
      <c r="J1697" s="375"/>
      <c r="K1697" s="375"/>
      <c r="L1697" s="375"/>
      <c r="M1697" s="368"/>
      <c r="N1697" s="368"/>
      <c r="O1697" s="370"/>
      <c r="T1697" s="349"/>
      <c r="V1697" s="378"/>
      <c r="W1697" s="64" ph="1"/>
      <c r="X1697" s="241"/>
      <c r="Y1697" s="284"/>
      <c r="Z1697" s="207"/>
      <c r="AA1697" s="284"/>
      <c r="AB1697" s="284"/>
      <c r="AC1697" s="284"/>
      <c r="AD1697" s="284"/>
      <c r="AE1697" s="284"/>
      <c r="AF1697" s="284"/>
      <c r="AG1697" s="284"/>
      <c r="AI1697" s="131"/>
    </row>
    <row r="1698" spans="1:35" ht="26.4">
      <c r="A1698" s="284"/>
      <c r="B1698" s="284"/>
      <c r="C1698" s="284"/>
      <c r="D1698" s="284"/>
      <c r="E1698" s="284"/>
      <c r="F1698" s="284"/>
      <c r="G1698" s="284"/>
      <c r="H1698" s="284"/>
      <c r="I1698" s="284"/>
      <c r="J1698" s="375"/>
      <c r="K1698" s="375"/>
      <c r="L1698" s="375"/>
      <c r="M1698" s="368"/>
      <c r="N1698" s="368"/>
      <c r="O1698" s="370"/>
      <c r="T1698" s="349"/>
      <c r="V1698" s="378"/>
      <c r="W1698" s="64" ph="1"/>
      <c r="X1698" s="241"/>
      <c r="Y1698" s="284"/>
      <c r="Z1698" s="207"/>
      <c r="AA1698" s="284"/>
      <c r="AB1698" s="284"/>
      <c r="AC1698" s="284"/>
      <c r="AD1698" s="284"/>
      <c r="AE1698" s="284"/>
      <c r="AF1698" s="284"/>
      <c r="AG1698" s="284"/>
      <c r="AI1698" s="131"/>
    </row>
    <row r="1699" spans="1:35" ht="26.4">
      <c r="A1699" s="284"/>
      <c r="B1699" s="284"/>
      <c r="C1699" s="284"/>
      <c r="D1699" s="284"/>
      <c r="E1699" s="284"/>
      <c r="F1699" s="284"/>
      <c r="G1699" s="284"/>
      <c r="H1699" s="284"/>
      <c r="I1699" s="284"/>
      <c r="J1699" s="375"/>
      <c r="K1699" s="375"/>
      <c r="L1699" s="375"/>
      <c r="M1699" s="368"/>
      <c r="N1699" s="368"/>
      <c r="O1699" s="370"/>
      <c r="T1699" s="349"/>
      <c r="V1699" s="378"/>
      <c r="W1699" s="64" ph="1"/>
      <c r="X1699" s="241"/>
      <c r="Y1699" s="284"/>
      <c r="Z1699" s="207"/>
      <c r="AA1699" s="284"/>
      <c r="AB1699" s="284"/>
      <c r="AC1699" s="284"/>
      <c r="AD1699" s="284"/>
      <c r="AE1699" s="284"/>
      <c r="AF1699" s="284"/>
      <c r="AG1699" s="284"/>
      <c r="AI1699" s="131"/>
    </row>
    <row r="1700" spans="1:35" ht="26.4">
      <c r="A1700" s="284"/>
      <c r="B1700" s="284"/>
      <c r="C1700" s="284"/>
      <c r="D1700" s="284"/>
      <c r="E1700" s="284"/>
      <c r="F1700" s="284"/>
      <c r="G1700" s="284"/>
      <c r="H1700" s="284"/>
      <c r="I1700" s="284"/>
      <c r="J1700" s="375"/>
      <c r="K1700" s="375"/>
      <c r="L1700" s="375"/>
      <c r="M1700" s="368"/>
      <c r="N1700" s="368"/>
      <c r="O1700" s="370"/>
      <c r="T1700" s="349"/>
      <c r="V1700" s="378"/>
      <c r="W1700" s="64" ph="1"/>
      <c r="X1700" s="241"/>
      <c r="Y1700" s="284"/>
      <c r="Z1700" s="207"/>
      <c r="AA1700" s="284"/>
      <c r="AB1700" s="284"/>
      <c r="AC1700" s="284"/>
      <c r="AD1700" s="284"/>
      <c r="AE1700" s="284"/>
      <c r="AF1700" s="284"/>
      <c r="AG1700" s="284"/>
      <c r="AI1700" s="131"/>
    </row>
    <row r="1701" spans="1:35" ht="26.4">
      <c r="A1701" s="284"/>
      <c r="B1701" s="284"/>
      <c r="C1701" s="284"/>
      <c r="D1701" s="284"/>
      <c r="E1701" s="284"/>
      <c r="F1701" s="284"/>
      <c r="G1701" s="284"/>
      <c r="H1701" s="284"/>
      <c r="I1701" s="284"/>
      <c r="J1701" s="375"/>
      <c r="K1701" s="375"/>
      <c r="L1701" s="375"/>
      <c r="M1701" s="368"/>
      <c r="N1701" s="368"/>
      <c r="O1701" s="370"/>
      <c r="T1701" s="349"/>
      <c r="V1701" s="378"/>
      <c r="W1701" s="64" ph="1"/>
      <c r="X1701" s="241"/>
      <c r="Y1701" s="284"/>
      <c r="Z1701" s="207"/>
      <c r="AA1701" s="284"/>
      <c r="AB1701" s="284"/>
      <c r="AC1701" s="284"/>
      <c r="AD1701" s="284"/>
      <c r="AE1701" s="284"/>
      <c r="AF1701" s="284"/>
      <c r="AG1701" s="284"/>
      <c r="AI1701" s="131"/>
    </row>
    <row r="1702" spans="1:35" ht="26.4">
      <c r="A1702" s="284"/>
      <c r="B1702" s="284"/>
      <c r="C1702" s="284"/>
      <c r="D1702" s="284"/>
      <c r="E1702" s="284"/>
      <c r="F1702" s="284"/>
      <c r="G1702" s="284"/>
      <c r="H1702" s="284"/>
      <c r="I1702" s="284"/>
      <c r="J1702" s="375"/>
      <c r="K1702" s="375"/>
      <c r="L1702" s="375"/>
      <c r="M1702" s="368"/>
      <c r="N1702" s="368"/>
      <c r="O1702" s="370"/>
      <c r="T1702" s="349"/>
      <c r="V1702" s="378"/>
      <c r="W1702" s="64" ph="1"/>
      <c r="X1702" s="241"/>
      <c r="Y1702" s="284"/>
      <c r="Z1702" s="207"/>
      <c r="AA1702" s="284"/>
      <c r="AB1702" s="284"/>
      <c r="AC1702" s="284"/>
      <c r="AD1702" s="284"/>
      <c r="AE1702" s="284"/>
      <c r="AF1702" s="284"/>
      <c r="AG1702" s="284"/>
      <c r="AI1702" s="131"/>
    </row>
    <row r="1703" spans="1:35" ht="26.4">
      <c r="A1703" s="284"/>
      <c r="B1703" s="284"/>
      <c r="C1703" s="284"/>
      <c r="D1703" s="284"/>
      <c r="E1703" s="284"/>
      <c r="F1703" s="284"/>
      <c r="G1703" s="284"/>
      <c r="H1703" s="284"/>
      <c r="I1703" s="284"/>
      <c r="J1703" s="375"/>
      <c r="K1703" s="375"/>
      <c r="L1703" s="375"/>
      <c r="M1703" s="368"/>
      <c r="N1703" s="368"/>
      <c r="O1703" s="370"/>
      <c r="T1703" s="349"/>
      <c r="V1703" s="378"/>
      <c r="W1703" s="64" ph="1"/>
      <c r="X1703" s="241"/>
      <c r="Y1703" s="284"/>
      <c r="Z1703" s="207"/>
      <c r="AA1703" s="284"/>
      <c r="AB1703" s="284"/>
      <c r="AC1703" s="284"/>
      <c r="AD1703" s="284"/>
      <c r="AE1703" s="284"/>
      <c r="AF1703" s="284"/>
      <c r="AG1703" s="284"/>
      <c r="AI1703" s="131"/>
    </row>
    <row r="1704" spans="1:35" ht="26.4">
      <c r="A1704" s="284"/>
      <c r="B1704" s="284"/>
      <c r="C1704" s="284"/>
      <c r="D1704" s="284"/>
      <c r="E1704" s="284"/>
      <c r="F1704" s="284"/>
      <c r="G1704" s="284"/>
      <c r="H1704" s="284"/>
      <c r="I1704" s="284"/>
      <c r="J1704" s="375"/>
      <c r="K1704" s="375"/>
      <c r="L1704" s="375"/>
      <c r="M1704" s="368"/>
      <c r="N1704" s="368"/>
      <c r="O1704" s="370"/>
      <c r="T1704" s="349"/>
      <c r="V1704" s="378"/>
      <c r="W1704" s="64" ph="1"/>
      <c r="X1704" s="241"/>
      <c r="Y1704" s="284"/>
      <c r="Z1704" s="207"/>
      <c r="AA1704" s="284"/>
      <c r="AB1704" s="284"/>
      <c r="AC1704" s="284"/>
      <c r="AD1704" s="284"/>
      <c r="AE1704" s="284"/>
      <c r="AF1704" s="284"/>
      <c r="AG1704" s="284"/>
      <c r="AI1704" s="131"/>
    </row>
    <row r="1705" spans="1:35" ht="26.4">
      <c r="A1705" s="284"/>
      <c r="B1705" s="284"/>
      <c r="C1705" s="284"/>
      <c r="D1705" s="284"/>
      <c r="E1705" s="284"/>
      <c r="F1705" s="284"/>
      <c r="G1705" s="284"/>
      <c r="H1705" s="284"/>
      <c r="I1705" s="284"/>
      <c r="J1705" s="375"/>
      <c r="K1705" s="375"/>
      <c r="L1705" s="375"/>
      <c r="M1705" s="368"/>
      <c r="N1705" s="368"/>
      <c r="O1705" s="370"/>
      <c r="T1705" s="349"/>
      <c r="V1705" s="378"/>
      <c r="W1705" s="64" ph="1"/>
      <c r="X1705" s="241"/>
      <c r="Y1705" s="284"/>
      <c r="Z1705" s="207"/>
      <c r="AA1705" s="284"/>
      <c r="AB1705" s="284"/>
      <c r="AC1705" s="284"/>
      <c r="AD1705" s="284"/>
      <c r="AE1705" s="284"/>
      <c r="AF1705" s="284"/>
      <c r="AG1705" s="284"/>
      <c r="AI1705" s="131"/>
    </row>
    <row r="1706" spans="1:35" ht="26.4">
      <c r="A1706" s="284"/>
      <c r="B1706" s="284"/>
      <c r="C1706" s="284"/>
      <c r="D1706" s="284"/>
      <c r="E1706" s="284"/>
      <c r="F1706" s="284"/>
      <c r="G1706" s="284"/>
      <c r="H1706" s="284"/>
      <c r="I1706" s="284"/>
      <c r="J1706" s="375"/>
      <c r="K1706" s="375"/>
      <c r="L1706" s="375"/>
      <c r="M1706" s="368"/>
      <c r="N1706" s="368"/>
      <c r="O1706" s="370"/>
      <c r="T1706" s="349"/>
      <c r="V1706" s="378"/>
      <c r="W1706" s="64" ph="1"/>
      <c r="X1706" s="241"/>
      <c r="Y1706" s="284"/>
      <c r="Z1706" s="207"/>
      <c r="AA1706" s="284"/>
      <c r="AB1706" s="284"/>
      <c r="AC1706" s="284"/>
      <c r="AD1706" s="284"/>
      <c r="AE1706" s="284"/>
      <c r="AF1706" s="284"/>
      <c r="AG1706" s="284"/>
      <c r="AI1706" s="131"/>
    </row>
    <row r="1707" spans="1:35" ht="26.4">
      <c r="A1707" s="284"/>
      <c r="B1707" s="284"/>
      <c r="C1707" s="284"/>
      <c r="D1707" s="284"/>
      <c r="E1707" s="284"/>
      <c r="F1707" s="284"/>
      <c r="G1707" s="284"/>
      <c r="H1707" s="284"/>
      <c r="I1707" s="284"/>
      <c r="J1707" s="375"/>
      <c r="K1707" s="375"/>
      <c r="L1707" s="375"/>
      <c r="M1707" s="368"/>
      <c r="N1707" s="368"/>
      <c r="O1707" s="370"/>
      <c r="T1707" s="349"/>
      <c r="V1707" s="378"/>
      <c r="W1707" s="64" ph="1"/>
      <c r="X1707" s="241"/>
      <c r="Y1707" s="284"/>
      <c r="Z1707" s="207"/>
      <c r="AA1707" s="284"/>
      <c r="AB1707" s="284"/>
      <c r="AC1707" s="284"/>
      <c r="AD1707" s="284"/>
      <c r="AE1707" s="284"/>
      <c r="AF1707" s="284"/>
      <c r="AG1707" s="284"/>
      <c r="AI1707" s="131"/>
    </row>
    <row r="1708" spans="1:35" ht="26.4">
      <c r="A1708" s="284"/>
      <c r="B1708" s="284"/>
      <c r="C1708" s="284"/>
      <c r="D1708" s="284"/>
      <c r="E1708" s="284"/>
      <c r="F1708" s="284"/>
      <c r="G1708" s="284"/>
      <c r="H1708" s="284"/>
      <c r="I1708" s="284"/>
      <c r="J1708" s="375"/>
      <c r="K1708" s="375"/>
      <c r="L1708" s="375"/>
      <c r="M1708" s="368"/>
      <c r="N1708" s="368"/>
      <c r="O1708" s="370"/>
      <c r="T1708" s="349"/>
      <c r="V1708" s="378"/>
      <c r="W1708" s="64" ph="1"/>
      <c r="X1708" s="241"/>
      <c r="Y1708" s="284"/>
      <c r="Z1708" s="207"/>
      <c r="AA1708" s="284"/>
      <c r="AB1708" s="284"/>
      <c r="AC1708" s="284"/>
      <c r="AD1708" s="284"/>
      <c r="AE1708" s="284"/>
      <c r="AF1708" s="284"/>
      <c r="AG1708" s="284"/>
      <c r="AI1708" s="131"/>
    </row>
    <row r="1709" spans="1:35" ht="26.4">
      <c r="A1709" s="284"/>
      <c r="B1709" s="284"/>
      <c r="C1709" s="284"/>
      <c r="D1709" s="284"/>
      <c r="E1709" s="284"/>
      <c r="F1709" s="284"/>
      <c r="G1709" s="284"/>
      <c r="H1709" s="284"/>
      <c r="I1709" s="284"/>
      <c r="J1709" s="375"/>
      <c r="K1709" s="375"/>
      <c r="L1709" s="375"/>
      <c r="M1709" s="368"/>
      <c r="N1709" s="368"/>
      <c r="O1709" s="370"/>
      <c r="T1709" s="349"/>
      <c r="V1709" s="378"/>
      <c r="W1709" s="64" ph="1"/>
      <c r="X1709" s="241"/>
      <c r="Y1709" s="284"/>
      <c r="Z1709" s="207"/>
      <c r="AA1709" s="284"/>
      <c r="AB1709" s="284"/>
      <c r="AC1709" s="284"/>
      <c r="AD1709" s="284"/>
      <c r="AE1709" s="284"/>
      <c r="AF1709" s="284"/>
      <c r="AG1709" s="284"/>
      <c r="AI1709" s="131"/>
    </row>
    <row r="1710" spans="1:35" ht="26.4">
      <c r="A1710" s="284"/>
      <c r="B1710" s="284"/>
      <c r="C1710" s="284"/>
      <c r="D1710" s="284"/>
      <c r="E1710" s="284"/>
      <c r="F1710" s="284"/>
      <c r="G1710" s="284"/>
      <c r="H1710" s="284"/>
      <c r="I1710" s="284"/>
      <c r="J1710" s="375"/>
      <c r="K1710" s="375"/>
      <c r="L1710" s="375"/>
      <c r="M1710" s="368"/>
      <c r="N1710" s="368"/>
      <c r="O1710" s="370"/>
      <c r="T1710" s="349"/>
      <c r="V1710" s="378"/>
      <c r="W1710" s="64" ph="1"/>
      <c r="X1710" s="241"/>
      <c r="Y1710" s="284"/>
      <c r="Z1710" s="207"/>
      <c r="AA1710" s="284"/>
      <c r="AB1710" s="284"/>
      <c r="AC1710" s="284"/>
      <c r="AD1710" s="284"/>
      <c r="AE1710" s="284"/>
      <c r="AF1710" s="284"/>
      <c r="AG1710" s="284"/>
      <c r="AI1710" s="131"/>
    </row>
    <row r="1711" spans="1:35" ht="26.4">
      <c r="A1711" s="284"/>
      <c r="B1711" s="284"/>
      <c r="C1711" s="284"/>
      <c r="D1711" s="284"/>
      <c r="E1711" s="284"/>
      <c r="F1711" s="284"/>
      <c r="G1711" s="284"/>
      <c r="H1711" s="284"/>
      <c r="I1711" s="284"/>
      <c r="J1711" s="375"/>
      <c r="K1711" s="375"/>
      <c r="L1711" s="375"/>
      <c r="M1711" s="368"/>
      <c r="N1711" s="368"/>
      <c r="O1711" s="370"/>
      <c r="T1711" s="349"/>
      <c r="V1711" s="378"/>
      <c r="W1711" s="64" ph="1"/>
      <c r="X1711" s="241"/>
      <c r="Y1711" s="284"/>
      <c r="Z1711" s="207"/>
      <c r="AA1711" s="284"/>
      <c r="AB1711" s="284"/>
      <c r="AC1711" s="284"/>
      <c r="AD1711" s="284"/>
      <c r="AE1711" s="284"/>
      <c r="AF1711" s="284"/>
      <c r="AG1711" s="284"/>
      <c r="AI1711" s="131"/>
    </row>
    <row r="1712" spans="1:35" ht="26.4">
      <c r="A1712" s="284"/>
      <c r="B1712" s="284"/>
      <c r="C1712" s="284"/>
      <c r="D1712" s="284"/>
      <c r="E1712" s="284"/>
      <c r="F1712" s="284"/>
      <c r="G1712" s="284"/>
      <c r="H1712" s="284"/>
      <c r="I1712" s="284"/>
      <c r="J1712" s="375"/>
      <c r="K1712" s="375"/>
      <c r="L1712" s="375"/>
      <c r="M1712" s="368"/>
      <c r="N1712" s="368"/>
      <c r="O1712" s="370"/>
      <c r="T1712" s="349"/>
      <c r="V1712" s="378"/>
      <c r="W1712" s="64" ph="1"/>
      <c r="X1712" s="241"/>
      <c r="Y1712" s="284"/>
      <c r="Z1712" s="207"/>
      <c r="AA1712" s="284"/>
      <c r="AB1712" s="284"/>
      <c r="AC1712" s="284"/>
      <c r="AD1712" s="284"/>
      <c r="AE1712" s="284"/>
      <c r="AF1712" s="284"/>
      <c r="AG1712" s="284"/>
      <c r="AI1712" s="131"/>
    </row>
    <row r="1713" spans="1:35" ht="26.4">
      <c r="A1713" s="284"/>
      <c r="B1713" s="284"/>
      <c r="C1713" s="284"/>
      <c r="D1713" s="284"/>
      <c r="E1713" s="284"/>
      <c r="F1713" s="284"/>
      <c r="G1713" s="284"/>
      <c r="H1713" s="284"/>
      <c r="I1713" s="284"/>
      <c r="J1713" s="375"/>
      <c r="K1713" s="375"/>
      <c r="L1713" s="375"/>
      <c r="M1713" s="368"/>
      <c r="N1713" s="368"/>
      <c r="O1713" s="370"/>
      <c r="T1713" s="349"/>
      <c r="V1713" s="378"/>
      <c r="W1713" s="64" ph="1"/>
      <c r="X1713" s="241"/>
      <c r="Y1713" s="284"/>
      <c r="Z1713" s="207"/>
      <c r="AA1713" s="284"/>
      <c r="AB1713" s="284"/>
      <c r="AC1713" s="284"/>
      <c r="AD1713" s="284"/>
      <c r="AE1713" s="284"/>
      <c r="AF1713" s="284"/>
      <c r="AG1713" s="284"/>
      <c r="AI1713" s="131"/>
    </row>
    <row r="1714" spans="1:35" ht="26.4">
      <c r="A1714" s="284"/>
      <c r="B1714" s="284"/>
      <c r="C1714" s="284"/>
      <c r="D1714" s="284"/>
      <c r="E1714" s="284"/>
      <c r="F1714" s="284"/>
      <c r="G1714" s="284"/>
      <c r="H1714" s="284"/>
      <c r="I1714" s="284"/>
      <c r="J1714" s="375"/>
      <c r="K1714" s="375"/>
      <c r="L1714" s="375"/>
      <c r="M1714" s="368"/>
      <c r="N1714" s="368"/>
      <c r="O1714" s="370"/>
      <c r="T1714" s="349"/>
      <c r="V1714" s="378"/>
      <c r="W1714" s="64" ph="1"/>
      <c r="X1714" s="241"/>
      <c r="Y1714" s="284"/>
      <c r="Z1714" s="207"/>
      <c r="AA1714" s="284"/>
      <c r="AB1714" s="284"/>
      <c r="AC1714" s="284"/>
      <c r="AD1714" s="284"/>
      <c r="AE1714" s="284"/>
      <c r="AF1714" s="284"/>
      <c r="AG1714" s="284"/>
      <c r="AI1714" s="131"/>
    </row>
    <row r="1715" spans="1:35" ht="26.4">
      <c r="A1715" s="284"/>
      <c r="B1715" s="284"/>
      <c r="C1715" s="284"/>
      <c r="D1715" s="284"/>
      <c r="E1715" s="284"/>
      <c r="F1715" s="284"/>
      <c r="G1715" s="284"/>
      <c r="H1715" s="284"/>
      <c r="I1715" s="284"/>
      <c r="J1715" s="375"/>
      <c r="K1715" s="375"/>
      <c r="L1715" s="375"/>
      <c r="M1715" s="368"/>
      <c r="N1715" s="368"/>
      <c r="O1715" s="370"/>
      <c r="T1715" s="349"/>
      <c r="V1715" s="378"/>
      <c r="W1715" s="64" ph="1"/>
      <c r="X1715" s="241"/>
      <c r="Y1715" s="284"/>
      <c r="Z1715" s="207"/>
      <c r="AA1715" s="284"/>
      <c r="AB1715" s="284"/>
      <c r="AC1715" s="284"/>
      <c r="AD1715" s="284"/>
      <c r="AE1715" s="284"/>
      <c r="AF1715" s="284"/>
      <c r="AG1715" s="284"/>
      <c r="AI1715" s="284"/>
    </row>
    <row r="1716" spans="1:35" ht="26.4">
      <c r="A1716" s="284"/>
      <c r="B1716" s="284"/>
      <c r="C1716" s="284"/>
      <c r="D1716" s="284"/>
      <c r="E1716" s="284"/>
      <c r="F1716" s="284"/>
      <c r="G1716" s="284"/>
      <c r="H1716" s="284"/>
      <c r="I1716" s="284"/>
      <c r="J1716" s="375"/>
      <c r="K1716" s="375"/>
      <c r="L1716" s="375"/>
      <c r="M1716" s="368"/>
      <c r="N1716" s="368"/>
      <c r="O1716" s="370"/>
      <c r="T1716" s="349"/>
      <c r="V1716" s="378"/>
      <c r="W1716" s="64" ph="1"/>
      <c r="X1716" s="241"/>
      <c r="Y1716" s="284"/>
      <c r="Z1716" s="207"/>
      <c r="AA1716" s="284"/>
      <c r="AB1716" s="284"/>
      <c r="AC1716" s="284"/>
      <c r="AD1716" s="284"/>
      <c r="AE1716" s="284"/>
      <c r="AF1716" s="284"/>
      <c r="AG1716" s="284"/>
      <c r="AI1716" s="131"/>
    </row>
    <row r="1717" spans="1:35" ht="26.4">
      <c r="A1717" s="284"/>
      <c r="B1717" s="284"/>
      <c r="C1717" s="284"/>
      <c r="D1717" s="284"/>
      <c r="E1717" s="284"/>
      <c r="F1717" s="284"/>
      <c r="G1717" s="284"/>
      <c r="H1717" s="284"/>
      <c r="I1717" s="284"/>
      <c r="J1717" s="375"/>
      <c r="K1717" s="375"/>
      <c r="L1717" s="375"/>
      <c r="M1717" s="368"/>
      <c r="N1717" s="368"/>
      <c r="O1717" s="370"/>
      <c r="T1717" s="349"/>
      <c r="V1717" s="378"/>
      <c r="W1717" s="64" ph="1"/>
      <c r="X1717" s="241"/>
      <c r="Y1717" s="284"/>
      <c r="Z1717" s="207"/>
      <c r="AA1717" s="284"/>
      <c r="AB1717" s="284"/>
      <c r="AC1717" s="284"/>
      <c r="AD1717" s="284"/>
      <c r="AE1717" s="284"/>
      <c r="AF1717" s="284"/>
      <c r="AG1717" s="284"/>
      <c r="AI1717" s="131"/>
    </row>
    <row r="1718" spans="1:35" ht="26.4">
      <c r="A1718" s="284"/>
      <c r="B1718" s="284"/>
      <c r="C1718" s="284"/>
      <c r="D1718" s="284"/>
      <c r="E1718" s="284"/>
      <c r="F1718" s="284"/>
      <c r="G1718" s="284"/>
      <c r="H1718" s="284"/>
      <c r="I1718" s="284"/>
      <c r="J1718" s="375"/>
      <c r="K1718" s="375"/>
      <c r="L1718" s="375"/>
      <c r="M1718" s="368"/>
      <c r="N1718" s="368"/>
      <c r="O1718" s="370"/>
      <c r="T1718" s="349"/>
      <c r="V1718" s="378"/>
      <c r="W1718" s="64" ph="1"/>
      <c r="X1718" s="241"/>
      <c r="Y1718" s="284"/>
      <c r="Z1718" s="207"/>
      <c r="AA1718" s="284"/>
      <c r="AB1718" s="284"/>
      <c r="AC1718" s="284"/>
      <c r="AD1718" s="284"/>
      <c r="AE1718" s="284"/>
      <c r="AF1718" s="284"/>
      <c r="AG1718" s="284"/>
      <c r="AI1718" s="131"/>
    </row>
    <row r="1719" spans="1:35" ht="26.4">
      <c r="A1719" s="284"/>
      <c r="B1719" s="284"/>
      <c r="C1719" s="284"/>
      <c r="D1719" s="284"/>
      <c r="E1719" s="284"/>
      <c r="F1719" s="284"/>
      <c r="G1719" s="284"/>
      <c r="H1719" s="284"/>
      <c r="I1719" s="284"/>
      <c r="J1719" s="375"/>
      <c r="K1719" s="375"/>
      <c r="L1719" s="375"/>
      <c r="M1719" s="368"/>
      <c r="N1719" s="368"/>
      <c r="O1719" s="370"/>
      <c r="T1719" s="349"/>
      <c r="V1719" s="378"/>
      <c r="W1719" s="64" ph="1"/>
      <c r="X1719" s="241"/>
      <c r="Y1719" s="284"/>
      <c r="Z1719" s="207"/>
      <c r="AA1719" s="284"/>
      <c r="AB1719" s="284"/>
      <c r="AC1719" s="284"/>
      <c r="AD1719" s="284"/>
      <c r="AE1719" s="284"/>
      <c r="AF1719" s="284"/>
      <c r="AG1719" s="284"/>
      <c r="AI1719" s="131"/>
    </row>
    <row r="1720" spans="1:35" ht="26.4">
      <c r="A1720" s="284"/>
      <c r="B1720" s="284"/>
      <c r="C1720" s="284"/>
      <c r="D1720" s="284"/>
      <c r="E1720" s="284"/>
      <c r="F1720" s="284"/>
      <c r="G1720" s="284"/>
      <c r="H1720" s="284"/>
      <c r="I1720" s="284"/>
      <c r="J1720" s="375"/>
      <c r="K1720" s="375"/>
      <c r="L1720" s="375"/>
      <c r="M1720" s="368"/>
      <c r="N1720" s="368"/>
      <c r="O1720" s="370"/>
      <c r="T1720" s="349"/>
      <c r="V1720" s="378"/>
      <c r="W1720" s="64" ph="1"/>
      <c r="X1720" s="241"/>
      <c r="Y1720" s="284"/>
      <c r="Z1720" s="207"/>
      <c r="AA1720" s="284"/>
      <c r="AB1720" s="284"/>
      <c r="AC1720" s="284"/>
      <c r="AD1720" s="284"/>
      <c r="AE1720" s="284"/>
      <c r="AF1720" s="284"/>
      <c r="AG1720" s="284"/>
      <c r="AI1720" s="131"/>
    </row>
    <row r="1721" spans="1:35" ht="26.4">
      <c r="A1721" s="284"/>
      <c r="B1721" s="284"/>
      <c r="C1721" s="284"/>
      <c r="D1721" s="284"/>
      <c r="E1721" s="284"/>
      <c r="F1721" s="284"/>
      <c r="G1721" s="284"/>
      <c r="H1721" s="284"/>
      <c r="I1721" s="284"/>
      <c r="J1721" s="375"/>
      <c r="K1721" s="375"/>
      <c r="L1721" s="375"/>
      <c r="M1721" s="368"/>
      <c r="N1721" s="368"/>
      <c r="O1721" s="370"/>
      <c r="T1721" s="349"/>
      <c r="V1721" s="378"/>
      <c r="W1721" s="64" ph="1"/>
      <c r="X1721" s="241"/>
      <c r="Y1721" s="284"/>
      <c r="Z1721" s="207"/>
      <c r="AA1721" s="284"/>
      <c r="AB1721" s="284"/>
      <c r="AC1721" s="284"/>
      <c r="AD1721" s="284"/>
      <c r="AE1721" s="284"/>
      <c r="AF1721" s="284"/>
      <c r="AG1721" s="284"/>
      <c r="AI1721" s="131"/>
    </row>
    <row r="1722" spans="1:35" ht="26.4">
      <c r="A1722" s="284"/>
      <c r="B1722" s="284"/>
      <c r="C1722" s="284"/>
      <c r="D1722" s="284"/>
      <c r="E1722" s="284"/>
      <c r="F1722" s="284"/>
      <c r="G1722" s="284"/>
      <c r="H1722" s="284"/>
      <c r="I1722" s="284"/>
      <c r="J1722" s="375"/>
      <c r="K1722" s="375"/>
      <c r="L1722" s="375"/>
      <c r="M1722" s="368"/>
      <c r="N1722" s="368"/>
      <c r="O1722" s="370"/>
      <c r="T1722" s="349"/>
      <c r="V1722" s="378"/>
      <c r="W1722" s="64" ph="1"/>
      <c r="X1722" s="241"/>
      <c r="Y1722" s="284"/>
      <c r="Z1722" s="207"/>
      <c r="AA1722" s="284"/>
      <c r="AB1722" s="284"/>
      <c r="AC1722" s="284"/>
      <c r="AD1722" s="284"/>
      <c r="AE1722" s="284"/>
      <c r="AF1722" s="284"/>
      <c r="AG1722" s="284"/>
      <c r="AI1722" s="131"/>
    </row>
    <row r="1723" spans="1:35" ht="26.4">
      <c r="A1723" s="284"/>
      <c r="B1723" s="284"/>
      <c r="C1723" s="284"/>
      <c r="D1723" s="284"/>
      <c r="E1723" s="284"/>
      <c r="F1723" s="284"/>
      <c r="G1723" s="284"/>
      <c r="H1723" s="284"/>
      <c r="I1723" s="284"/>
      <c r="J1723" s="375"/>
      <c r="K1723" s="375"/>
      <c r="L1723" s="375"/>
      <c r="M1723" s="368"/>
      <c r="N1723" s="368"/>
      <c r="O1723" s="370"/>
      <c r="T1723" s="349"/>
      <c r="V1723" s="378"/>
      <c r="W1723" s="64" ph="1"/>
      <c r="X1723" s="241"/>
      <c r="Y1723" s="284"/>
      <c r="Z1723" s="207"/>
      <c r="AA1723" s="284"/>
      <c r="AB1723" s="284"/>
      <c r="AC1723" s="284"/>
      <c r="AD1723" s="284"/>
      <c r="AE1723" s="284"/>
      <c r="AF1723" s="284"/>
      <c r="AG1723" s="284"/>
      <c r="AI1723" s="131"/>
    </row>
    <row r="1724" spans="1:35" ht="26.4">
      <c r="A1724" s="284"/>
      <c r="B1724" s="284"/>
      <c r="C1724" s="284"/>
      <c r="D1724" s="284"/>
      <c r="E1724" s="284"/>
      <c r="F1724" s="284"/>
      <c r="G1724" s="284"/>
      <c r="H1724" s="284"/>
      <c r="I1724" s="284"/>
      <c r="J1724" s="375"/>
      <c r="K1724" s="375"/>
      <c r="L1724" s="375"/>
      <c r="M1724" s="368"/>
      <c r="N1724" s="368"/>
      <c r="O1724" s="370"/>
      <c r="T1724" s="349"/>
      <c r="V1724" s="378"/>
      <c r="W1724" s="64" ph="1"/>
      <c r="X1724" s="241"/>
      <c r="Y1724" s="284"/>
      <c r="Z1724" s="207"/>
      <c r="AA1724" s="284"/>
      <c r="AB1724" s="284"/>
      <c r="AC1724" s="284"/>
      <c r="AD1724" s="284"/>
      <c r="AE1724" s="284"/>
      <c r="AF1724" s="284"/>
      <c r="AG1724" s="284"/>
      <c r="AI1724" s="131"/>
    </row>
    <row r="1725" spans="1:35" ht="26.4">
      <c r="A1725" s="284"/>
      <c r="B1725" s="284"/>
      <c r="C1725" s="284"/>
      <c r="D1725" s="284"/>
      <c r="E1725" s="284"/>
      <c r="F1725" s="284"/>
      <c r="G1725" s="284"/>
      <c r="H1725" s="284"/>
      <c r="I1725" s="284"/>
      <c r="J1725" s="375"/>
      <c r="K1725" s="375"/>
      <c r="L1725" s="375"/>
      <c r="M1725" s="368"/>
      <c r="N1725" s="368"/>
      <c r="O1725" s="370"/>
      <c r="T1725" s="349"/>
      <c r="V1725" s="378"/>
      <c r="W1725" s="64" ph="1"/>
      <c r="X1725" s="241"/>
      <c r="Y1725" s="284"/>
      <c r="Z1725" s="207"/>
      <c r="AA1725" s="284"/>
      <c r="AB1725" s="284"/>
      <c r="AC1725" s="284"/>
      <c r="AD1725" s="284"/>
      <c r="AE1725" s="284"/>
      <c r="AF1725" s="284"/>
      <c r="AG1725" s="284"/>
      <c r="AI1725" s="131"/>
    </row>
    <row r="1726" spans="1:35" ht="26.4">
      <c r="A1726" s="284"/>
      <c r="B1726" s="284"/>
      <c r="C1726" s="284"/>
      <c r="D1726" s="284"/>
      <c r="E1726" s="284"/>
      <c r="F1726" s="284"/>
      <c r="G1726" s="284"/>
      <c r="H1726" s="284"/>
      <c r="I1726" s="284"/>
      <c r="J1726" s="375"/>
      <c r="K1726" s="375"/>
      <c r="L1726" s="375"/>
      <c r="M1726" s="368"/>
      <c r="N1726" s="368"/>
      <c r="O1726" s="370"/>
      <c r="T1726" s="349"/>
      <c r="V1726" s="378"/>
      <c r="W1726" s="64" ph="1"/>
      <c r="X1726" s="241"/>
      <c r="Y1726" s="284"/>
      <c r="Z1726" s="207"/>
      <c r="AA1726" s="284"/>
      <c r="AB1726" s="284"/>
      <c r="AC1726" s="284"/>
      <c r="AD1726" s="284"/>
      <c r="AE1726" s="284"/>
      <c r="AF1726" s="284"/>
      <c r="AG1726" s="284"/>
      <c r="AI1726" s="131"/>
    </row>
    <row r="1727" spans="1:35" ht="26.4">
      <c r="A1727" s="284"/>
      <c r="B1727" s="284"/>
      <c r="C1727" s="284"/>
      <c r="D1727" s="284"/>
      <c r="E1727" s="284"/>
      <c r="F1727" s="284"/>
      <c r="G1727" s="284"/>
      <c r="H1727" s="284"/>
      <c r="I1727" s="284"/>
      <c r="J1727" s="375"/>
      <c r="K1727" s="375"/>
      <c r="L1727" s="375"/>
      <c r="M1727" s="368"/>
      <c r="N1727" s="368"/>
      <c r="O1727" s="370"/>
      <c r="T1727" s="349"/>
      <c r="V1727" s="378"/>
      <c r="W1727" s="64" ph="1"/>
      <c r="X1727" s="241"/>
      <c r="Y1727" s="284"/>
      <c r="Z1727" s="207"/>
      <c r="AA1727" s="284"/>
      <c r="AB1727" s="284"/>
      <c r="AC1727" s="284"/>
      <c r="AD1727" s="284"/>
      <c r="AE1727" s="284"/>
      <c r="AF1727" s="284"/>
      <c r="AG1727" s="284"/>
      <c r="AI1727" s="131"/>
    </row>
    <row r="1728" spans="1:35" ht="26.4">
      <c r="A1728" s="284"/>
      <c r="B1728" s="284"/>
      <c r="C1728" s="284"/>
      <c r="D1728" s="284"/>
      <c r="E1728" s="284"/>
      <c r="F1728" s="284"/>
      <c r="G1728" s="284"/>
      <c r="H1728" s="284"/>
      <c r="I1728" s="284"/>
      <c r="J1728" s="375"/>
      <c r="K1728" s="375"/>
      <c r="L1728" s="375"/>
      <c r="M1728" s="368"/>
      <c r="N1728" s="368"/>
      <c r="O1728" s="370"/>
      <c r="T1728" s="349"/>
      <c r="V1728" s="378"/>
      <c r="W1728" s="64" ph="1"/>
      <c r="X1728" s="241"/>
      <c r="Y1728" s="284"/>
      <c r="Z1728" s="207"/>
      <c r="AA1728" s="284"/>
      <c r="AB1728" s="284"/>
      <c r="AC1728" s="284"/>
      <c r="AD1728" s="284"/>
      <c r="AE1728" s="284"/>
      <c r="AF1728" s="284"/>
      <c r="AG1728" s="284"/>
      <c r="AI1728" s="131"/>
    </row>
    <row r="1729" spans="1:35" ht="26.4">
      <c r="A1729" s="284"/>
      <c r="B1729" s="284"/>
      <c r="C1729" s="284"/>
      <c r="D1729" s="284"/>
      <c r="E1729" s="284"/>
      <c r="F1729" s="284"/>
      <c r="G1729" s="284"/>
      <c r="H1729" s="284"/>
      <c r="I1729" s="284"/>
      <c r="J1729" s="375"/>
      <c r="K1729" s="375"/>
      <c r="L1729" s="375"/>
      <c r="M1729" s="368"/>
      <c r="N1729" s="368"/>
      <c r="O1729" s="370"/>
      <c r="T1729" s="349"/>
      <c r="V1729" s="378"/>
      <c r="W1729" s="64" ph="1"/>
      <c r="X1729" s="241"/>
      <c r="Y1729" s="284"/>
      <c r="Z1729" s="207"/>
      <c r="AA1729" s="284"/>
      <c r="AB1729" s="284"/>
      <c r="AC1729" s="284"/>
      <c r="AD1729" s="284"/>
      <c r="AE1729" s="284"/>
      <c r="AF1729" s="284"/>
      <c r="AG1729" s="284"/>
      <c r="AI1729" s="131"/>
    </row>
    <row r="1730" spans="1:35" ht="26.4">
      <c r="A1730" s="284"/>
      <c r="B1730" s="284"/>
      <c r="C1730" s="284"/>
      <c r="D1730" s="284"/>
      <c r="E1730" s="284"/>
      <c r="F1730" s="284"/>
      <c r="G1730" s="284"/>
      <c r="H1730" s="284"/>
      <c r="I1730" s="284"/>
      <c r="J1730" s="375"/>
      <c r="K1730" s="375"/>
      <c r="L1730" s="375"/>
      <c r="M1730" s="368"/>
      <c r="N1730" s="368"/>
      <c r="O1730" s="370"/>
      <c r="T1730" s="349"/>
      <c r="V1730" s="378"/>
      <c r="W1730" s="64" ph="1"/>
      <c r="X1730" s="241"/>
      <c r="Y1730" s="284"/>
      <c r="Z1730" s="207"/>
      <c r="AA1730" s="284"/>
      <c r="AB1730" s="284"/>
      <c r="AC1730" s="284"/>
      <c r="AD1730" s="284"/>
      <c r="AE1730" s="284"/>
      <c r="AF1730" s="284"/>
      <c r="AG1730" s="284"/>
      <c r="AI1730" s="131"/>
    </row>
    <row r="1731" spans="1:35" ht="26.4">
      <c r="A1731" s="284"/>
      <c r="B1731" s="284"/>
      <c r="C1731" s="284"/>
      <c r="D1731" s="284"/>
      <c r="E1731" s="284"/>
      <c r="F1731" s="284"/>
      <c r="G1731" s="284"/>
      <c r="H1731" s="284"/>
      <c r="I1731" s="284"/>
      <c r="J1731" s="375"/>
      <c r="K1731" s="375"/>
      <c r="L1731" s="375"/>
      <c r="M1731" s="368"/>
      <c r="N1731" s="368"/>
      <c r="O1731" s="370"/>
      <c r="T1731" s="349"/>
      <c r="V1731" s="378"/>
      <c r="W1731" s="64" ph="1"/>
      <c r="X1731" s="241"/>
      <c r="Y1731" s="284"/>
      <c r="Z1731" s="207"/>
      <c r="AA1731" s="284"/>
      <c r="AB1731" s="284"/>
      <c r="AC1731" s="284"/>
      <c r="AD1731" s="284"/>
      <c r="AE1731" s="284"/>
      <c r="AF1731" s="284"/>
      <c r="AG1731" s="284"/>
      <c r="AI1731" s="131"/>
    </row>
    <row r="1732" spans="1:35" ht="26.4">
      <c r="A1732" s="284"/>
      <c r="B1732" s="284"/>
      <c r="C1732" s="284"/>
      <c r="D1732" s="284"/>
      <c r="E1732" s="284"/>
      <c r="F1732" s="284"/>
      <c r="G1732" s="284"/>
      <c r="H1732" s="284"/>
      <c r="I1732" s="284"/>
      <c r="J1732" s="375"/>
      <c r="K1732" s="375"/>
      <c r="L1732" s="375"/>
      <c r="M1732" s="368"/>
      <c r="N1732" s="368"/>
      <c r="O1732" s="370"/>
      <c r="T1732" s="349"/>
      <c r="V1732" s="378"/>
      <c r="W1732" s="64" ph="1"/>
      <c r="X1732" s="241"/>
      <c r="Y1732" s="284"/>
      <c r="Z1732" s="207"/>
      <c r="AA1732" s="284"/>
      <c r="AB1732" s="284"/>
      <c r="AC1732" s="284"/>
      <c r="AD1732" s="284"/>
      <c r="AE1732" s="284"/>
      <c r="AF1732" s="284"/>
      <c r="AG1732" s="284"/>
      <c r="AI1732" s="131"/>
    </row>
    <row r="1733" spans="1:35" ht="26.4">
      <c r="A1733" s="284"/>
      <c r="B1733" s="284"/>
      <c r="C1733" s="284"/>
      <c r="D1733" s="284"/>
      <c r="E1733" s="284"/>
      <c r="F1733" s="284"/>
      <c r="G1733" s="284"/>
      <c r="H1733" s="284"/>
      <c r="I1733" s="284"/>
      <c r="J1733" s="375"/>
      <c r="K1733" s="375"/>
      <c r="L1733" s="375"/>
      <c r="M1733" s="368"/>
      <c r="N1733" s="368"/>
      <c r="O1733" s="370"/>
      <c r="T1733" s="349"/>
      <c r="V1733" s="378"/>
      <c r="W1733" s="64" ph="1"/>
      <c r="X1733" s="241"/>
      <c r="Y1733" s="284"/>
      <c r="Z1733" s="207"/>
      <c r="AA1733" s="284"/>
      <c r="AB1733" s="284"/>
      <c r="AC1733" s="284"/>
      <c r="AD1733" s="284"/>
      <c r="AE1733" s="284"/>
      <c r="AF1733" s="284"/>
      <c r="AG1733" s="284"/>
      <c r="AI1733" s="131"/>
    </row>
    <row r="1734" spans="1:35" ht="26.4">
      <c r="A1734" s="284"/>
      <c r="B1734" s="284"/>
      <c r="C1734" s="284"/>
      <c r="D1734" s="284"/>
      <c r="E1734" s="284"/>
      <c r="F1734" s="284"/>
      <c r="G1734" s="284"/>
      <c r="H1734" s="284"/>
      <c r="I1734" s="284"/>
      <c r="J1734" s="375"/>
      <c r="K1734" s="375"/>
      <c r="L1734" s="375"/>
      <c r="M1734" s="368"/>
      <c r="N1734" s="368"/>
      <c r="O1734" s="370"/>
      <c r="T1734" s="349"/>
      <c r="V1734" s="378"/>
      <c r="W1734" s="64" ph="1"/>
      <c r="X1734" s="241"/>
      <c r="Y1734" s="284"/>
      <c r="Z1734" s="207"/>
      <c r="AA1734" s="284"/>
      <c r="AB1734" s="284"/>
      <c r="AC1734" s="284"/>
      <c r="AD1734" s="284"/>
      <c r="AE1734" s="284"/>
      <c r="AF1734" s="284"/>
      <c r="AG1734" s="284"/>
      <c r="AI1734" s="131"/>
    </row>
    <row r="1735" spans="1:35" ht="26.4">
      <c r="A1735" s="284"/>
      <c r="B1735" s="284"/>
      <c r="C1735" s="284"/>
      <c r="D1735" s="284"/>
      <c r="E1735" s="284"/>
      <c r="F1735" s="284"/>
      <c r="G1735" s="284"/>
      <c r="H1735" s="284"/>
      <c r="I1735" s="284"/>
      <c r="J1735" s="375"/>
      <c r="K1735" s="375"/>
      <c r="L1735" s="375"/>
      <c r="M1735" s="368"/>
      <c r="N1735" s="368"/>
      <c r="O1735" s="370"/>
      <c r="T1735" s="349"/>
      <c r="V1735" s="378"/>
      <c r="W1735" s="64" ph="1"/>
      <c r="X1735" s="241"/>
      <c r="Y1735" s="284"/>
      <c r="Z1735" s="207"/>
      <c r="AA1735" s="284"/>
      <c r="AB1735" s="284"/>
      <c r="AC1735" s="284"/>
      <c r="AD1735" s="284"/>
      <c r="AE1735" s="284"/>
      <c r="AF1735" s="284"/>
      <c r="AG1735" s="284"/>
      <c r="AI1735" s="131"/>
    </row>
    <row r="1736" spans="1:35" ht="26.4">
      <c r="A1736" s="284"/>
      <c r="B1736" s="284"/>
      <c r="C1736" s="284"/>
      <c r="D1736" s="284"/>
      <c r="E1736" s="284"/>
      <c r="F1736" s="284"/>
      <c r="G1736" s="284"/>
      <c r="H1736" s="284"/>
      <c r="I1736" s="284"/>
      <c r="J1736" s="375"/>
      <c r="K1736" s="375"/>
      <c r="L1736" s="375"/>
      <c r="M1736" s="368"/>
      <c r="N1736" s="368"/>
      <c r="O1736" s="370"/>
      <c r="T1736" s="349"/>
      <c r="V1736" s="378"/>
      <c r="W1736" s="64" ph="1"/>
      <c r="X1736" s="241"/>
      <c r="Y1736" s="284"/>
      <c r="Z1736" s="207"/>
      <c r="AA1736" s="284"/>
      <c r="AB1736" s="284"/>
      <c r="AC1736" s="284"/>
      <c r="AD1736" s="284"/>
      <c r="AE1736" s="284"/>
      <c r="AF1736" s="284"/>
      <c r="AG1736" s="284"/>
      <c r="AI1736" s="131"/>
    </row>
    <row r="1737" spans="1:35" ht="26.4">
      <c r="A1737" s="284"/>
      <c r="B1737" s="284"/>
      <c r="C1737" s="284"/>
      <c r="D1737" s="284"/>
      <c r="E1737" s="284"/>
      <c r="F1737" s="284"/>
      <c r="G1737" s="284"/>
      <c r="H1737" s="284"/>
      <c r="I1737" s="284"/>
      <c r="J1737" s="375"/>
      <c r="K1737" s="375"/>
      <c r="L1737" s="375"/>
      <c r="M1737" s="368"/>
      <c r="N1737" s="368"/>
      <c r="O1737" s="370"/>
      <c r="T1737" s="349"/>
      <c r="V1737" s="378"/>
      <c r="W1737" s="64" ph="1"/>
      <c r="X1737" s="241"/>
      <c r="Y1737" s="284"/>
      <c r="Z1737" s="207"/>
      <c r="AA1737" s="284"/>
      <c r="AB1737" s="284"/>
      <c r="AC1737" s="284"/>
      <c r="AD1737" s="284"/>
      <c r="AE1737" s="284"/>
      <c r="AF1737" s="284"/>
      <c r="AG1737" s="284"/>
      <c r="AI1737" s="131"/>
    </row>
    <row r="1738" spans="1:35" ht="26.4">
      <c r="A1738" s="284"/>
      <c r="B1738" s="284"/>
      <c r="C1738" s="284"/>
      <c r="D1738" s="284"/>
      <c r="E1738" s="284"/>
      <c r="F1738" s="284"/>
      <c r="G1738" s="284"/>
      <c r="H1738" s="284"/>
      <c r="I1738" s="284"/>
      <c r="J1738" s="375"/>
      <c r="K1738" s="375"/>
      <c r="L1738" s="375"/>
      <c r="M1738" s="368"/>
      <c r="N1738" s="368"/>
      <c r="O1738" s="370"/>
      <c r="T1738" s="349"/>
      <c r="V1738" s="378"/>
      <c r="W1738" s="64" ph="1"/>
      <c r="X1738" s="241"/>
      <c r="Y1738" s="284"/>
      <c r="Z1738" s="207"/>
      <c r="AA1738" s="284"/>
      <c r="AB1738" s="284"/>
      <c r="AC1738" s="284"/>
      <c r="AD1738" s="284"/>
      <c r="AE1738" s="284"/>
      <c r="AF1738" s="284"/>
      <c r="AG1738" s="284"/>
      <c r="AI1738" s="131"/>
    </row>
    <row r="1739" spans="1:35" ht="26.4">
      <c r="A1739" s="284"/>
      <c r="B1739" s="284"/>
      <c r="C1739" s="284"/>
      <c r="D1739" s="284"/>
      <c r="E1739" s="284"/>
      <c r="F1739" s="284"/>
      <c r="G1739" s="284"/>
      <c r="H1739" s="284"/>
      <c r="I1739" s="284"/>
      <c r="J1739" s="375"/>
      <c r="K1739" s="375"/>
      <c r="L1739" s="375"/>
      <c r="M1739" s="368"/>
      <c r="N1739" s="368"/>
      <c r="O1739" s="370"/>
      <c r="T1739" s="349"/>
      <c r="V1739" s="378"/>
      <c r="W1739" s="64" ph="1"/>
      <c r="X1739" s="241"/>
      <c r="Y1739" s="284"/>
      <c r="Z1739" s="207"/>
      <c r="AA1739" s="284"/>
      <c r="AB1739" s="284"/>
      <c r="AC1739" s="284"/>
      <c r="AD1739" s="284"/>
      <c r="AE1739" s="284"/>
      <c r="AF1739" s="284"/>
      <c r="AG1739" s="284"/>
      <c r="AI1739" s="131"/>
    </row>
    <row r="1740" spans="1:35" ht="26.4">
      <c r="A1740" s="284"/>
      <c r="B1740" s="284"/>
      <c r="C1740" s="284"/>
      <c r="D1740" s="284"/>
      <c r="E1740" s="284"/>
      <c r="F1740" s="284"/>
      <c r="G1740" s="284"/>
      <c r="H1740" s="284"/>
      <c r="I1740" s="284"/>
      <c r="J1740" s="375"/>
      <c r="K1740" s="375"/>
      <c r="L1740" s="375"/>
      <c r="M1740" s="368"/>
      <c r="N1740" s="368"/>
      <c r="O1740" s="370"/>
      <c r="T1740" s="349"/>
      <c r="V1740" s="378"/>
      <c r="W1740" s="64" ph="1"/>
      <c r="X1740" s="241"/>
      <c r="Y1740" s="284"/>
      <c r="Z1740" s="207"/>
      <c r="AA1740" s="284"/>
      <c r="AB1740" s="284"/>
      <c r="AC1740" s="284"/>
      <c r="AD1740" s="284"/>
      <c r="AE1740" s="284"/>
      <c r="AF1740" s="284"/>
      <c r="AG1740" s="284"/>
      <c r="AI1740" s="131"/>
    </row>
    <row r="1741" spans="1:35" ht="26.4">
      <c r="A1741" s="284"/>
      <c r="B1741" s="284"/>
      <c r="C1741" s="284"/>
      <c r="D1741" s="284"/>
      <c r="E1741" s="284"/>
      <c r="F1741" s="284"/>
      <c r="G1741" s="284"/>
      <c r="H1741" s="284"/>
      <c r="I1741" s="284"/>
      <c r="J1741" s="375"/>
      <c r="K1741" s="375"/>
      <c r="L1741" s="375"/>
      <c r="M1741" s="368"/>
      <c r="N1741" s="368"/>
      <c r="O1741" s="370"/>
      <c r="T1741" s="349"/>
      <c r="V1741" s="378"/>
      <c r="W1741" s="64" ph="1"/>
      <c r="X1741" s="241"/>
      <c r="Y1741" s="284"/>
      <c r="Z1741" s="207"/>
      <c r="AA1741" s="284"/>
      <c r="AB1741" s="284"/>
      <c r="AC1741" s="284"/>
      <c r="AD1741" s="284"/>
      <c r="AE1741" s="284"/>
      <c r="AF1741" s="284"/>
      <c r="AG1741" s="284"/>
      <c r="AI1741" s="131"/>
    </row>
    <row r="1742" spans="1:35" ht="26.4">
      <c r="A1742" s="284"/>
      <c r="B1742" s="284"/>
      <c r="C1742" s="284"/>
      <c r="D1742" s="284"/>
      <c r="E1742" s="284"/>
      <c r="F1742" s="284"/>
      <c r="G1742" s="284"/>
      <c r="H1742" s="284"/>
      <c r="I1742" s="284"/>
      <c r="J1742" s="375"/>
      <c r="K1742" s="375"/>
      <c r="L1742" s="375"/>
      <c r="M1742" s="368"/>
      <c r="N1742" s="368"/>
      <c r="O1742" s="370"/>
      <c r="T1742" s="349"/>
      <c r="V1742" s="378"/>
      <c r="W1742" s="64" ph="1"/>
      <c r="X1742" s="241"/>
      <c r="Y1742" s="284"/>
      <c r="Z1742" s="207"/>
      <c r="AA1742" s="284"/>
      <c r="AB1742" s="284"/>
      <c r="AC1742" s="284"/>
      <c r="AD1742" s="284"/>
      <c r="AE1742" s="284"/>
      <c r="AF1742" s="284"/>
      <c r="AG1742" s="284"/>
      <c r="AI1742" s="131"/>
    </row>
    <row r="1743" spans="1:35" ht="26.4">
      <c r="A1743" s="284"/>
      <c r="B1743" s="284"/>
      <c r="C1743" s="284"/>
      <c r="D1743" s="284"/>
      <c r="E1743" s="284"/>
      <c r="F1743" s="284"/>
      <c r="G1743" s="284"/>
      <c r="H1743" s="284"/>
      <c r="I1743" s="284"/>
      <c r="J1743" s="375"/>
      <c r="K1743" s="375"/>
      <c r="L1743" s="375"/>
      <c r="M1743" s="368"/>
      <c r="N1743" s="368"/>
      <c r="O1743" s="370"/>
      <c r="T1743" s="349"/>
      <c r="V1743" s="378"/>
      <c r="W1743" s="64" ph="1"/>
      <c r="X1743" s="241"/>
      <c r="Y1743" s="284"/>
      <c r="Z1743" s="207"/>
      <c r="AA1743" s="284"/>
      <c r="AB1743" s="284"/>
      <c r="AC1743" s="284"/>
      <c r="AD1743" s="284"/>
      <c r="AE1743" s="284"/>
      <c r="AF1743" s="284"/>
      <c r="AG1743" s="284"/>
      <c r="AI1743" s="131"/>
    </row>
    <row r="1744" spans="1:35" ht="26.4">
      <c r="A1744" s="284"/>
      <c r="B1744" s="284"/>
      <c r="C1744" s="284"/>
      <c r="D1744" s="284"/>
      <c r="E1744" s="284"/>
      <c r="F1744" s="284"/>
      <c r="G1744" s="284"/>
      <c r="H1744" s="284"/>
      <c r="I1744" s="284"/>
      <c r="J1744" s="375"/>
      <c r="K1744" s="375"/>
      <c r="L1744" s="375"/>
      <c r="M1744" s="368"/>
      <c r="N1744" s="368"/>
      <c r="O1744" s="370"/>
      <c r="T1744" s="349"/>
      <c r="V1744" s="378"/>
      <c r="W1744" s="64" ph="1"/>
      <c r="X1744" s="241"/>
      <c r="Y1744" s="284"/>
      <c r="Z1744" s="207"/>
      <c r="AA1744" s="284"/>
      <c r="AB1744" s="284"/>
      <c r="AC1744" s="284"/>
      <c r="AD1744" s="284"/>
      <c r="AE1744" s="284"/>
      <c r="AF1744" s="284"/>
      <c r="AG1744" s="284"/>
      <c r="AI1744" s="131"/>
    </row>
    <row r="1745" spans="1:35" ht="26.4">
      <c r="A1745" s="284"/>
      <c r="B1745" s="284"/>
      <c r="C1745" s="284"/>
      <c r="D1745" s="284"/>
      <c r="E1745" s="284"/>
      <c r="F1745" s="284"/>
      <c r="G1745" s="284"/>
      <c r="H1745" s="284"/>
      <c r="I1745" s="284"/>
      <c r="J1745" s="375"/>
      <c r="K1745" s="375"/>
      <c r="L1745" s="375"/>
      <c r="M1745" s="368"/>
      <c r="N1745" s="368"/>
      <c r="O1745" s="370"/>
      <c r="T1745" s="349"/>
      <c r="V1745" s="378"/>
      <c r="W1745" s="64" ph="1"/>
      <c r="X1745" s="241"/>
      <c r="Y1745" s="284"/>
      <c r="Z1745" s="207"/>
      <c r="AA1745" s="284"/>
      <c r="AB1745" s="284"/>
      <c r="AC1745" s="284"/>
      <c r="AD1745" s="284"/>
      <c r="AE1745" s="284"/>
      <c r="AF1745" s="284"/>
      <c r="AG1745" s="284"/>
      <c r="AI1745" s="131"/>
    </row>
    <row r="1746" spans="1:35" ht="26.4">
      <c r="A1746" s="284"/>
      <c r="B1746" s="284"/>
      <c r="C1746" s="284"/>
      <c r="D1746" s="284"/>
      <c r="E1746" s="284"/>
      <c r="F1746" s="284"/>
      <c r="G1746" s="284"/>
      <c r="H1746" s="284"/>
      <c r="I1746" s="284"/>
      <c r="J1746" s="375"/>
      <c r="K1746" s="375"/>
      <c r="L1746" s="375"/>
      <c r="M1746" s="368"/>
      <c r="N1746" s="368"/>
      <c r="O1746" s="370"/>
      <c r="T1746" s="349"/>
      <c r="V1746" s="378"/>
      <c r="W1746" s="64" ph="1"/>
      <c r="X1746" s="241"/>
      <c r="Y1746" s="284"/>
      <c r="Z1746" s="207"/>
      <c r="AA1746" s="284"/>
      <c r="AB1746" s="284"/>
      <c r="AC1746" s="284"/>
      <c r="AD1746" s="284"/>
      <c r="AE1746" s="284"/>
      <c r="AF1746" s="284"/>
      <c r="AG1746" s="284"/>
      <c r="AI1746" s="131"/>
    </row>
    <row r="1747" spans="1:35" ht="26.4">
      <c r="A1747" s="284"/>
      <c r="B1747" s="284"/>
      <c r="C1747" s="284"/>
      <c r="D1747" s="284"/>
      <c r="E1747" s="284"/>
      <c r="F1747" s="284"/>
      <c r="G1747" s="284"/>
      <c r="H1747" s="284"/>
      <c r="I1747" s="284"/>
      <c r="J1747" s="375"/>
      <c r="K1747" s="375"/>
      <c r="L1747" s="375"/>
      <c r="M1747" s="368"/>
      <c r="N1747" s="368"/>
      <c r="O1747" s="370"/>
      <c r="T1747" s="349"/>
      <c r="V1747" s="378"/>
      <c r="W1747" s="64" ph="1"/>
      <c r="X1747" s="241"/>
      <c r="Y1747" s="284"/>
      <c r="Z1747" s="207"/>
      <c r="AA1747" s="284"/>
      <c r="AB1747" s="284"/>
      <c r="AC1747" s="284"/>
      <c r="AD1747" s="284"/>
      <c r="AE1747" s="284"/>
      <c r="AF1747" s="284"/>
      <c r="AG1747" s="284"/>
      <c r="AI1747" s="131"/>
    </row>
    <row r="1748" spans="1:35" ht="26.4">
      <c r="A1748" s="284"/>
      <c r="B1748" s="284"/>
      <c r="C1748" s="284"/>
      <c r="D1748" s="284"/>
      <c r="E1748" s="284"/>
      <c r="F1748" s="284"/>
      <c r="G1748" s="284"/>
      <c r="H1748" s="284"/>
      <c r="I1748" s="284"/>
      <c r="J1748" s="375"/>
      <c r="K1748" s="375"/>
      <c r="L1748" s="375"/>
      <c r="M1748" s="368"/>
      <c r="N1748" s="368"/>
      <c r="O1748" s="370"/>
      <c r="T1748" s="349"/>
      <c r="V1748" s="378"/>
      <c r="W1748" s="64" ph="1"/>
      <c r="X1748" s="241"/>
      <c r="Y1748" s="284"/>
      <c r="Z1748" s="207"/>
      <c r="AA1748" s="284"/>
      <c r="AB1748" s="284"/>
      <c r="AC1748" s="284"/>
      <c r="AD1748" s="284"/>
      <c r="AE1748" s="284"/>
      <c r="AF1748" s="284"/>
      <c r="AG1748" s="284"/>
      <c r="AI1748" s="131"/>
    </row>
    <row r="1749" spans="1:35" ht="26.4">
      <c r="A1749" s="284"/>
      <c r="B1749" s="284"/>
      <c r="C1749" s="284"/>
      <c r="D1749" s="284"/>
      <c r="E1749" s="284"/>
      <c r="F1749" s="284"/>
      <c r="G1749" s="284"/>
      <c r="H1749" s="284"/>
      <c r="I1749" s="284"/>
      <c r="J1749" s="375"/>
      <c r="K1749" s="375"/>
      <c r="L1749" s="375"/>
      <c r="M1749" s="368"/>
      <c r="N1749" s="368"/>
      <c r="O1749" s="370"/>
      <c r="T1749" s="349"/>
      <c r="V1749" s="378"/>
      <c r="W1749" s="64" ph="1"/>
      <c r="X1749" s="241"/>
      <c r="Y1749" s="284"/>
      <c r="Z1749" s="207"/>
      <c r="AA1749" s="284"/>
      <c r="AB1749" s="284"/>
      <c r="AC1749" s="284"/>
      <c r="AD1749" s="284"/>
      <c r="AE1749" s="284"/>
      <c r="AF1749" s="284"/>
      <c r="AG1749" s="284"/>
      <c r="AI1749" s="131"/>
    </row>
    <row r="1750" spans="1:35" ht="26.4">
      <c r="A1750" s="284"/>
      <c r="B1750" s="284"/>
      <c r="C1750" s="284"/>
      <c r="D1750" s="284"/>
      <c r="E1750" s="284"/>
      <c r="F1750" s="284"/>
      <c r="G1750" s="284"/>
      <c r="H1750" s="284"/>
      <c r="I1750" s="284"/>
      <c r="J1750" s="375"/>
      <c r="K1750" s="375"/>
      <c r="L1750" s="375"/>
      <c r="M1750" s="368"/>
      <c r="N1750" s="368"/>
      <c r="O1750" s="370"/>
      <c r="T1750" s="349"/>
      <c r="V1750" s="378"/>
      <c r="W1750" s="64" ph="1"/>
      <c r="X1750" s="241"/>
      <c r="Y1750" s="284"/>
      <c r="Z1750" s="207"/>
      <c r="AA1750" s="284"/>
      <c r="AB1750" s="284"/>
      <c r="AC1750" s="284"/>
      <c r="AD1750" s="284"/>
      <c r="AE1750" s="284"/>
      <c r="AF1750" s="284"/>
      <c r="AG1750" s="284"/>
      <c r="AI1750" s="131"/>
    </row>
    <row r="1751" spans="1:35" ht="26.4">
      <c r="A1751" s="284"/>
      <c r="B1751" s="284"/>
      <c r="C1751" s="284"/>
      <c r="D1751" s="284"/>
      <c r="E1751" s="284"/>
      <c r="F1751" s="284"/>
      <c r="G1751" s="284"/>
      <c r="H1751" s="284"/>
      <c r="I1751" s="284"/>
      <c r="J1751" s="375"/>
      <c r="K1751" s="375"/>
      <c r="L1751" s="375"/>
      <c r="M1751" s="368"/>
      <c r="N1751" s="368"/>
      <c r="O1751" s="370"/>
      <c r="T1751" s="349"/>
      <c r="V1751" s="378"/>
      <c r="W1751" s="64" ph="1"/>
      <c r="X1751" s="241"/>
      <c r="Y1751" s="284"/>
      <c r="Z1751" s="207"/>
      <c r="AA1751" s="284"/>
      <c r="AB1751" s="284"/>
      <c r="AC1751" s="284"/>
      <c r="AD1751" s="284"/>
      <c r="AE1751" s="284"/>
      <c r="AF1751" s="284"/>
      <c r="AG1751" s="284"/>
      <c r="AI1751" s="131"/>
    </row>
    <row r="1752" spans="1:35" ht="26.4">
      <c r="A1752" s="284"/>
      <c r="B1752" s="284"/>
      <c r="C1752" s="284"/>
      <c r="D1752" s="284"/>
      <c r="E1752" s="284"/>
      <c r="F1752" s="284"/>
      <c r="G1752" s="284"/>
      <c r="H1752" s="284"/>
      <c r="I1752" s="284"/>
      <c r="J1752" s="375"/>
      <c r="K1752" s="375"/>
      <c r="L1752" s="375"/>
      <c r="M1752" s="368"/>
      <c r="N1752" s="368"/>
      <c r="O1752" s="370"/>
      <c r="T1752" s="349"/>
      <c r="V1752" s="378"/>
      <c r="W1752" s="64" ph="1"/>
      <c r="X1752" s="241"/>
      <c r="Y1752" s="284"/>
      <c r="Z1752" s="207"/>
      <c r="AA1752" s="284"/>
      <c r="AB1752" s="284"/>
      <c r="AC1752" s="284"/>
      <c r="AD1752" s="284"/>
      <c r="AE1752" s="284"/>
      <c r="AF1752" s="284"/>
      <c r="AG1752" s="284"/>
      <c r="AI1752" s="131"/>
    </row>
    <row r="1753" spans="1:35" ht="26.4">
      <c r="A1753" s="284"/>
      <c r="B1753" s="284"/>
      <c r="C1753" s="284"/>
      <c r="D1753" s="284"/>
      <c r="E1753" s="284"/>
      <c r="F1753" s="284"/>
      <c r="G1753" s="284"/>
      <c r="H1753" s="284"/>
      <c r="I1753" s="284"/>
      <c r="J1753" s="375"/>
      <c r="K1753" s="375"/>
      <c r="L1753" s="375"/>
      <c r="M1753" s="368"/>
      <c r="N1753" s="368"/>
      <c r="O1753" s="370"/>
      <c r="T1753" s="349"/>
      <c r="V1753" s="378"/>
      <c r="W1753" s="64" ph="1"/>
      <c r="X1753" s="241"/>
      <c r="Y1753" s="284"/>
      <c r="Z1753" s="207"/>
      <c r="AA1753" s="284"/>
      <c r="AB1753" s="284"/>
      <c r="AC1753" s="284"/>
      <c r="AD1753" s="284"/>
      <c r="AE1753" s="284"/>
      <c r="AF1753" s="284"/>
      <c r="AG1753" s="284"/>
      <c r="AI1753" s="131"/>
    </row>
    <row r="1754" spans="1:35" ht="26.4">
      <c r="A1754" s="284"/>
      <c r="B1754" s="284"/>
      <c r="C1754" s="284"/>
      <c r="D1754" s="284"/>
      <c r="E1754" s="284"/>
      <c r="F1754" s="284"/>
      <c r="G1754" s="284"/>
      <c r="H1754" s="284"/>
      <c r="I1754" s="284"/>
      <c r="J1754" s="375"/>
      <c r="K1754" s="375"/>
      <c r="L1754" s="375"/>
      <c r="M1754" s="368"/>
      <c r="N1754" s="368"/>
      <c r="O1754" s="370"/>
      <c r="T1754" s="349"/>
      <c r="V1754" s="378"/>
      <c r="W1754" s="64" ph="1"/>
      <c r="X1754" s="241"/>
      <c r="Y1754" s="284"/>
      <c r="Z1754" s="207"/>
      <c r="AA1754" s="284"/>
      <c r="AB1754" s="284"/>
      <c r="AC1754" s="284"/>
      <c r="AD1754" s="284"/>
      <c r="AE1754" s="284"/>
      <c r="AF1754" s="284"/>
      <c r="AG1754" s="284"/>
      <c r="AI1754" s="131"/>
    </row>
    <row r="1755" spans="1:35" ht="26.4">
      <c r="A1755" s="284"/>
      <c r="B1755" s="284"/>
      <c r="C1755" s="284"/>
      <c r="D1755" s="284"/>
      <c r="E1755" s="284"/>
      <c r="F1755" s="284"/>
      <c r="G1755" s="284"/>
      <c r="H1755" s="284"/>
      <c r="I1755" s="284"/>
      <c r="J1755" s="375"/>
      <c r="K1755" s="375"/>
      <c r="L1755" s="375"/>
      <c r="M1755" s="368"/>
      <c r="N1755" s="368"/>
      <c r="O1755" s="370"/>
      <c r="T1755" s="349"/>
      <c r="V1755" s="378"/>
      <c r="W1755" s="64" ph="1"/>
      <c r="X1755" s="241"/>
      <c r="Y1755" s="284"/>
      <c r="Z1755" s="207"/>
      <c r="AA1755" s="284"/>
      <c r="AB1755" s="284"/>
      <c r="AC1755" s="284"/>
      <c r="AD1755" s="284"/>
      <c r="AE1755" s="284"/>
      <c r="AF1755" s="284"/>
      <c r="AG1755" s="284"/>
      <c r="AI1755" s="131"/>
    </row>
    <row r="1756" spans="1:35" ht="26.4">
      <c r="A1756" s="284"/>
      <c r="B1756" s="284"/>
      <c r="C1756" s="284"/>
      <c r="D1756" s="284"/>
      <c r="E1756" s="284"/>
      <c r="F1756" s="284"/>
      <c r="G1756" s="284"/>
      <c r="H1756" s="284"/>
      <c r="I1756" s="284"/>
      <c r="J1756" s="375"/>
      <c r="K1756" s="375"/>
      <c r="L1756" s="375"/>
      <c r="M1756" s="368"/>
      <c r="N1756" s="368"/>
      <c r="O1756" s="370"/>
      <c r="T1756" s="349"/>
      <c r="V1756" s="378"/>
      <c r="W1756" s="64" ph="1"/>
      <c r="X1756" s="241"/>
      <c r="Y1756" s="284"/>
      <c r="Z1756" s="207"/>
      <c r="AA1756" s="284"/>
      <c r="AB1756" s="284"/>
      <c r="AC1756" s="284"/>
      <c r="AD1756" s="284"/>
      <c r="AE1756" s="284"/>
      <c r="AF1756" s="284"/>
      <c r="AG1756" s="284"/>
      <c r="AI1756" s="131"/>
    </row>
    <row r="1757" spans="1:35" ht="26.4">
      <c r="A1757" s="284"/>
      <c r="B1757" s="284"/>
      <c r="C1757" s="284"/>
      <c r="D1757" s="284"/>
      <c r="E1757" s="284"/>
      <c r="F1757" s="284"/>
      <c r="G1757" s="284"/>
      <c r="H1757" s="284"/>
      <c r="I1757" s="284"/>
      <c r="J1757" s="375"/>
      <c r="K1757" s="375"/>
      <c r="L1757" s="375"/>
      <c r="M1757" s="368"/>
      <c r="N1757" s="368"/>
      <c r="O1757" s="370"/>
      <c r="T1757" s="349"/>
      <c r="V1757" s="378"/>
      <c r="W1757" s="64" ph="1"/>
      <c r="X1757" s="241"/>
      <c r="Y1757" s="284"/>
      <c r="Z1757" s="207"/>
      <c r="AA1757" s="284"/>
      <c r="AB1757" s="284"/>
      <c r="AC1757" s="284"/>
      <c r="AD1757" s="284"/>
      <c r="AE1757" s="284"/>
      <c r="AF1757" s="284"/>
      <c r="AG1757" s="284"/>
      <c r="AI1757" s="131"/>
    </row>
    <row r="1758" spans="1:35" ht="26.4">
      <c r="A1758" s="284"/>
      <c r="B1758" s="284"/>
      <c r="C1758" s="284"/>
      <c r="D1758" s="284"/>
      <c r="E1758" s="284"/>
      <c r="F1758" s="284"/>
      <c r="G1758" s="284"/>
      <c r="H1758" s="284"/>
      <c r="I1758" s="284"/>
      <c r="J1758" s="375"/>
      <c r="K1758" s="375"/>
      <c r="L1758" s="375"/>
      <c r="M1758" s="368"/>
      <c r="N1758" s="368"/>
      <c r="O1758" s="370"/>
      <c r="T1758" s="349"/>
      <c r="V1758" s="378"/>
      <c r="W1758" s="64" ph="1"/>
      <c r="X1758" s="241"/>
      <c r="Y1758" s="284"/>
      <c r="Z1758" s="207"/>
      <c r="AA1758" s="284"/>
      <c r="AB1758" s="284"/>
      <c r="AC1758" s="284"/>
      <c r="AD1758" s="284"/>
      <c r="AE1758" s="284"/>
      <c r="AF1758" s="284"/>
      <c r="AG1758" s="284"/>
      <c r="AI1758" s="284"/>
    </row>
    <row r="1759" spans="1:35" ht="26.4">
      <c r="A1759" s="284"/>
      <c r="B1759" s="284"/>
      <c r="C1759" s="284"/>
      <c r="D1759" s="284"/>
      <c r="E1759" s="284"/>
      <c r="F1759" s="284"/>
      <c r="G1759" s="284"/>
      <c r="H1759" s="284"/>
      <c r="I1759" s="284"/>
      <c r="J1759" s="375"/>
      <c r="K1759" s="375"/>
      <c r="L1759" s="375"/>
      <c r="M1759" s="368"/>
      <c r="N1759" s="368"/>
      <c r="O1759" s="370"/>
      <c r="T1759" s="349"/>
      <c r="V1759" s="378"/>
      <c r="W1759" s="64" ph="1"/>
      <c r="X1759" s="241"/>
      <c r="Y1759" s="284"/>
      <c r="Z1759" s="207"/>
      <c r="AA1759" s="284"/>
      <c r="AB1759" s="284"/>
      <c r="AC1759" s="284"/>
      <c r="AD1759" s="284"/>
      <c r="AE1759" s="284"/>
      <c r="AF1759" s="284"/>
      <c r="AG1759" s="284"/>
      <c r="AI1759" s="284"/>
    </row>
    <row r="1760" spans="1:35" ht="26.4">
      <c r="A1760" s="284"/>
      <c r="B1760" s="284"/>
      <c r="C1760" s="284"/>
      <c r="D1760" s="284"/>
      <c r="E1760" s="284"/>
      <c r="F1760" s="284"/>
      <c r="G1760" s="284"/>
      <c r="H1760" s="284"/>
      <c r="I1760" s="284"/>
      <c r="J1760" s="375"/>
      <c r="K1760" s="375"/>
      <c r="L1760" s="375"/>
      <c r="M1760" s="368"/>
      <c r="N1760" s="368"/>
      <c r="O1760" s="370"/>
      <c r="T1760" s="349"/>
      <c r="V1760" s="378"/>
      <c r="W1760" s="64" ph="1"/>
      <c r="X1760" s="241"/>
      <c r="Y1760" s="284"/>
      <c r="Z1760" s="207"/>
      <c r="AA1760" s="284"/>
      <c r="AB1760" s="284"/>
      <c r="AC1760" s="284"/>
      <c r="AD1760" s="284"/>
      <c r="AE1760" s="284"/>
      <c r="AF1760" s="284"/>
      <c r="AG1760" s="284"/>
      <c r="AI1760" s="131"/>
    </row>
    <row r="1761" spans="1:35" ht="26.4">
      <c r="A1761" s="284"/>
      <c r="B1761" s="284"/>
      <c r="C1761" s="284"/>
      <c r="D1761" s="284"/>
      <c r="E1761" s="284"/>
      <c r="F1761" s="284"/>
      <c r="G1761" s="284"/>
      <c r="H1761" s="284"/>
      <c r="I1761" s="284"/>
      <c r="J1761" s="375"/>
      <c r="K1761" s="375"/>
      <c r="L1761" s="375"/>
      <c r="M1761" s="368"/>
      <c r="N1761" s="368"/>
      <c r="O1761" s="370"/>
      <c r="T1761" s="349"/>
      <c r="V1761" s="378"/>
      <c r="W1761" s="64" ph="1"/>
      <c r="X1761" s="241"/>
      <c r="Y1761" s="284"/>
      <c r="Z1761" s="207"/>
      <c r="AA1761" s="284"/>
      <c r="AB1761" s="284"/>
      <c r="AC1761" s="284"/>
      <c r="AD1761" s="284"/>
      <c r="AE1761" s="284"/>
      <c r="AF1761" s="284"/>
      <c r="AG1761" s="284"/>
      <c r="AI1761" s="131"/>
    </row>
    <row r="1762" spans="1:35" ht="26.4">
      <c r="A1762" s="284"/>
      <c r="B1762" s="284"/>
      <c r="C1762" s="284"/>
      <c r="D1762" s="284"/>
      <c r="E1762" s="284"/>
      <c r="F1762" s="284"/>
      <c r="G1762" s="284"/>
      <c r="H1762" s="284"/>
      <c r="I1762" s="284"/>
      <c r="J1762" s="375"/>
      <c r="K1762" s="375"/>
      <c r="L1762" s="375"/>
      <c r="M1762" s="368"/>
      <c r="N1762" s="368"/>
      <c r="O1762" s="370"/>
      <c r="T1762" s="349"/>
      <c r="V1762" s="378"/>
      <c r="W1762" s="64" ph="1"/>
      <c r="X1762" s="241"/>
      <c r="Y1762" s="284"/>
      <c r="Z1762" s="207"/>
      <c r="AA1762" s="284"/>
      <c r="AB1762" s="284"/>
      <c r="AC1762" s="284"/>
      <c r="AD1762" s="284"/>
      <c r="AE1762" s="284"/>
      <c r="AF1762" s="284"/>
      <c r="AG1762" s="284"/>
      <c r="AI1762" s="131"/>
    </row>
    <row r="1763" spans="1:35" ht="26.4">
      <c r="A1763" s="284"/>
      <c r="B1763" s="284"/>
      <c r="C1763" s="284"/>
      <c r="D1763" s="284"/>
      <c r="E1763" s="284"/>
      <c r="F1763" s="284"/>
      <c r="G1763" s="284"/>
      <c r="H1763" s="284"/>
      <c r="I1763" s="284"/>
      <c r="J1763" s="375"/>
      <c r="K1763" s="375"/>
      <c r="L1763" s="375"/>
      <c r="M1763" s="368"/>
      <c r="N1763" s="368"/>
      <c r="O1763" s="370"/>
      <c r="T1763" s="349"/>
      <c r="V1763" s="378"/>
      <c r="W1763" s="64" ph="1"/>
      <c r="X1763" s="241"/>
      <c r="Y1763" s="284"/>
      <c r="Z1763" s="207"/>
      <c r="AA1763" s="284"/>
      <c r="AB1763" s="284"/>
      <c r="AC1763" s="284"/>
      <c r="AD1763" s="284"/>
      <c r="AE1763" s="284"/>
      <c r="AF1763" s="284"/>
      <c r="AG1763" s="284"/>
      <c r="AI1763" s="131"/>
    </row>
    <row r="1764" spans="1:35" ht="26.4">
      <c r="A1764" s="284"/>
      <c r="B1764" s="284"/>
      <c r="C1764" s="284"/>
      <c r="D1764" s="284"/>
      <c r="E1764" s="284"/>
      <c r="F1764" s="284"/>
      <c r="G1764" s="284"/>
      <c r="H1764" s="284"/>
      <c r="I1764" s="284"/>
      <c r="J1764" s="375"/>
      <c r="K1764" s="375"/>
      <c r="L1764" s="375"/>
      <c r="M1764" s="368"/>
      <c r="N1764" s="368"/>
      <c r="O1764" s="370"/>
      <c r="T1764" s="349"/>
      <c r="V1764" s="378"/>
      <c r="W1764" s="64" ph="1"/>
      <c r="X1764" s="241"/>
      <c r="Y1764" s="284"/>
      <c r="Z1764" s="207"/>
      <c r="AA1764" s="284"/>
      <c r="AB1764" s="284"/>
      <c r="AC1764" s="284"/>
      <c r="AD1764" s="284"/>
      <c r="AE1764" s="284"/>
      <c r="AF1764" s="284"/>
      <c r="AG1764" s="284"/>
      <c r="AI1764" s="131"/>
    </row>
    <row r="1765" spans="1:35" ht="26.4">
      <c r="A1765" s="284"/>
      <c r="B1765" s="284"/>
      <c r="C1765" s="284"/>
      <c r="D1765" s="284"/>
      <c r="E1765" s="284"/>
      <c r="F1765" s="284"/>
      <c r="G1765" s="284"/>
      <c r="H1765" s="284"/>
      <c r="I1765" s="284"/>
      <c r="J1765" s="375"/>
      <c r="K1765" s="375"/>
      <c r="L1765" s="375"/>
      <c r="M1765" s="368"/>
      <c r="N1765" s="368"/>
      <c r="O1765" s="370"/>
      <c r="T1765" s="349"/>
      <c r="V1765" s="378"/>
      <c r="W1765" s="64" ph="1"/>
      <c r="X1765" s="241"/>
      <c r="Y1765" s="284"/>
      <c r="Z1765" s="207"/>
      <c r="AA1765" s="284"/>
      <c r="AB1765" s="284"/>
      <c r="AC1765" s="284"/>
      <c r="AD1765" s="284"/>
      <c r="AE1765" s="284"/>
      <c r="AF1765" s="284"/>
      <c r="AG1765" s="284"/>
      <c r="AI1765" s="131"/>
    </row>
    <row r="1766" spans="1:35" ht="26.4">
      <c r="A1766" s="284"/>
      <c r="B1766" s="284"/>
      <c r="C1766" s="284"/>
      <c r="D1766" s="284"/>
      <c r="E1766" s="284"/>
      <c r="F1766" s="284"/>
      <c r="G1766" s="284"/>
      <c r="H1766" s="284"/>
      <c r="I1766" s="284"/>
      <c r="J1766" s="375"/>
      <c r="K1766" s="375"/>
      <c r="L1766" s="375"/>
      <c r="M1766" s="368"/>
      <c r="N1766" s="368"/>
      <c r="O1766" s="370"/>
      <c r="T1766" s="349"/>
      <c r="V1766" s="378"/>
      <c r="W1766" s="64" ph="1"/>
      <c r="X1766" s="241"/>
      <c r="Y1766" s="284"/>
      <c r="Z1766" s="207"/>
      <c r="AA1766" s="284"/>
      <c r="AB1766" s="284"/>
      <c r="AC1766" s="284"/>
      <c r="AD1766" s="284"/>
      <c r="AE1766" s="284"/>
      <c r="AF1766" s="284"/>
      <c r="AG1766" s="284"/>
      <c r="AI1766" s="131"/>
    </row>
    <row r="1767" spans="1:35" ht="26.4">
      <c r="A1767" s="284"/>
      <c r="B1767" s="284"/>
      <c r="C1767" s="284"/>
      <c r="D1767" s="284"/>
      <c r="E1767" s="284"/>
      <c r="F1767" s="284"/>
      <c r="G1767" s="284"/>
      <c r="H1767" s="284"/>
      <c r="I1767" s="284"/>
      <c r="J1767" s="375"/>
      <c r="K1767" s="375"/>
      <c r="L1767" s="375"/>
      <c r="M1767" s="368"/>
      <c r="N1767" s="368"/>
      <c r="O1767" s="370"/>
      <c r="T1767" s="349"/>
      <c r="V1767" s="378"/>
      <c r="W1767" s="64" ph="1"/>
      <c r="X1767" s="241"/>
      <c r="Y1767" s="284"/>
      <c r="Z1767" s="207"/>
      <c r="AA1767" s="284"/>
      <c r="AB1767" s="284"/>
      <c r="AC1767" s="284"/>
      <c r="AD1767" s="284"/>
      <c r="AE1767" s="284"/>
      <c r="AF1767" s="284"/>
      <c r="AG1767" s="284"/>
      <c r="AI1767" s="131"/>
    </row>
    <row r="1768" spans="1:35" ht="26.4">
      <c r="A1768" s="284"/>
      <c r="B1768" s="284"/>
      <c r="C1768" s="284"/>
      <c r="D1768" s="284"/>
      <c r="E1768" s="284"/>
      <c r="F1768" s="284"/>
      <c r="G1768" s="284"/>
      <c r="H1768" s="284"/>
      <c r="I1768" s="284"/>
      <c r="J1768" s="375"/>
      <c r="K1768" s="375"/>
      <c r="L1768" s="375"/>
      <c r="M1768" s="368"/>
      <c r="N1768" s="368"/>
      <c r="O1768" s="370"/>
      <c r="T1768" s="349"/>
      <c r="V1768" s="378"/>
      <c r="W1768" s="64" ph="1"/>
      <c r="X1768" s="241"/>
      <c r="Y1768" s="284"/>
      <c r="Z1768" s="207"/>
      <c r="AA1768" s="284"/>
      <c r="AB1768" s="284"/>
      <c r="AC1768" s="284"/>
      <c r="AD1768" s="284"/>
      <c r="AE1768" s="284"/>
      <c r="AF1768" s="284"/>
      <c r="AG1768" s="284"/>
      <c r="AI1768" s="131"/>
    </row>
    <row r="1769" spans="1:35" ht="26.4">
      <c r="A1769" s="284"/>
      <c r="B1769" s="284"/>
      <c r="C1769" s="284"/>
      <c r="D1769" s="284"/>
      <c r="E1769" s="284"/>
      <c r="F1769" s="284"/>
      <c r="G1769" s="284"/>
      <c r="H1769" s="284"/>
      <c r="I1769" s="284"/>
      <c r="J1769" s="375"/>
      <c r="K1769" s="375"/>
      <c r="L1769" s="375"/>
      <c r="M1769" s="368"/>
      <c r="N1769" s="368"/>
      <c r="O1769" s="370"/>
      <c r="T1769" s="349"/>
      <c r="V1769" s="378"/>
      <c r="W1769" s="64" ph="1"/>
      <c r="X1769" s="241"/>
      <c r="Y1769" s="284"/>
      <c r="Z1769" s="207"/>
      <c r="AA1769" s="284"/>
      <c r="AB1769" s="284"/>
      <c r="AC1769" s="284"/>
      <c r="AD1769" s="284"/>
      <c r="AE1769" s="284"/>
      <c r="AF1769" s="284"/>
      <c r="AG1769" s="284"/>
      <c r="AI1769" s="131"/>
    </row>
    <row r="1770" spans="1:35" ht="26.4">
      <c r="A1770" s="284"/>
      <c r="B1770" s="284"/>
      <c r="C1770" s="284"/>
      <c r="D1770" s="284"/>
      <c r="E1770" s="284"/>
      <c r="F1770" s="284"/>
      <c r="G1770" s="284"/>
      <c r="H1770" s="284"/>
      <c r="I1770" s="284"/>
      <c r="J1770" s="375"/>
      <c r="K1770" s="375"/>
      <c r="L1770" s="375"/>
      <c r="M1770" s="368"/>
      <c r="N1770" s="368"/>
      <c r="O1770" s="370"/>
      <c r="T1770" s="349"/>
      <c r="V1770" s="378"/>
      <c r="W1770" s="64" ph="1"/>
      <c r="X1770" s="241"/>
      <c r="Y1770" s="284"/>
      <c r="Z1770" s="207"/>
      <c r="AA1770" s="284"/>
      <c r="AB1770" s="284"/>
      <c r="AC1770" s="284"/>
      <c r="AD1770" s="284"/>
      <c r="AE1770" s="284"/>
      <c r="AF1770" s="284"/>
      <c r="AG1770" s="284"/>
      <c r="AI1770" s="131"/>
    </row>
    <row r="1771" spans="1:35" ht="26.4">
      <c r="A1771" s="284"/>
      <c r="B1771" s="284"/>
      <c r="C1771" s="284"/>
      <c r="D1771" s="284"/>
      <c r="E1771" s="284"/>
      <c r="F1771" s="284"/>
      <c r="G1771" s="284"/>
      <c r="H1771" s="284"/>
      <c r="I1771" s="284"/>
      <c r="J1771" s="375"/>
      <c r="K1771" s="375"/>
      <c r="L1771" s="375"/>
      <c r="M1771" s="368"/>
      <c r="N1771" s="368"/>
      <c r="O1771" s="370"/>
      <c r="T1771" s="349"/>
      <c r="V1771" s="378"/>
      <c r="W1771" s="64" ph="1"/>
      <c r="X1771" s="241"/>
      <c r="Y1771" s="284"/>
      <c r="Z1771" s="207"/>
      <c r="AA1771" s="284"/>
      <c r="AB1771" s="284"/>
      <c r="AC1771" s="284"/>
      <c r="AD1771" s="284"/>
      <c r="AE1771" s="284"/>
      <c r="AF1771" s="284"/>
      <c r="AG1771" s="284"/>
      <c r="AI1771" s="131"/>
    </row>
    <row r="1772" spans="1:35" ht="26.4">
      <c r="A1772" s="284"/>
      <c r="B1772" s="284"/>
      <c r="C1772" s="284"/>
      <c r="D1772" s="284"/>
      <c r="E1772" s="284"/>
      <c r="F1772" s="284"/>
      <c r="G1772" s="284"/>
      <c r="H1772" s="284"/>
      <c r="I1772" s="284"/>
      <c r="J1772" s="375"/>
      <c r="K1772" s="375"/>
      <c r="L1772" s="375"/>
      <c r="M1772" s="368"/>
      <c r="N1772" s="368"/>
      <c r="O1772" s="370"/>
      <c r="T1772" s="349"/>
      <c r="V1772" s="378"/>
      <c r="W1772" s="64" ph="1"/>
      <c r="X1772" s="241"/>
      <c r="Y1772" s="284"/>
      <c r="Z1772" s="207"/>
      <c r="AA1772" s="284"/>
      <c r="AB1772" s="284"/>
      <c r="AC1772" s="284"/>
      <c r="AD1772" s="284"/>
      <c r="AE1772" s="284"/>
      <c r="AF1772" s="284"/>
      <c r="AG1772" s="284"/>
      <c r="AI1772" s="284"/>
    </row>
    <row r="1773" spans="1:35" ht="26.4">
      <c r="A1773" s="284"/>
      <c r="B1773" s="284"/>
      <c r="C1773" s="284"/>
      <c r="D1773" s="284"/>
      <c r="E1773" s="284"/>
      <c r="F1773" s="284"/>
      <c r="G1773" s="284"/>
      <c r="H1773" s="284"/>
      <c r="I1773" s="284"/>
      <c r="J1773" s="375"/>
      <c r="K1773" s="375"/>
      <c r="L1773" s="375"/>
      <c r="M1773" s="368"/>
      <c r="N1773" s="368"/>
      <c r="O1773" s="370"/>
      <c r="T1773" s="349"/>
      <c r="V1773" s="378"/>
      <c r="W1773" s="64" ph="1"/>
      <c r="X1773" s="241"/>
      <c r="Y1773" s="284"/>
      <c r="Z1773" s="207"/>
      <c r="AA1773" s="284"/>
      <c r="AB1773" s="284"/>
      <c r="AC1773" s="284"/>
      <c r="AD1773" s="284"/>
      <c r="AE1773" s="284"/>
      <c r="AF1773" s="284"/>
      <c r="AG1773" s="284"/>
      <c r="AI1773" s="131"/>
    </row>
    <row r="1774" spans="1:35" ht="26.4">
      <c r="A1774" s="284"/>
      <c r="B1774" s="284"/>
      <c r="C1774" s="284"/>
      <c r="D1774" s="284"/>
      <c r="E1774" s="284"/>
      <c r="F1774" s="284"/>
      <c r="G1774" s="284"/>
      <c r="H1774" s="284"/>
      <c r="I1774" s="284"/>
      <c r="J1774" s="375"/>
      <c r="K1774" s="375"/>
      <c r="L1774" s="375"/>
      <c r="M1774" s="368"/>
      <c r="N1774" s="368"/>
      <c r="O1774" s="370"/>
      <c r="T1774" s="349"/>
      <c r="V1774" s="378"/>
      <c r="W1774" s="64" ph="1"/>
      <c r="X1774" s="241"/>
      <c r="Y1774" s="284"/>
      <c r="Z1774" s="207"/>
      <c r="AA1774" s="284"/>
      <c r="AB1774" s="284"/>
      <c r="AC1774" s="284"/>
      <c r="AD1774" s="284"/>
      <c r="AE1774" s="284"/>
      <c r="AF1774" s="284"/>
      <c r="AG1774" s="284"/>
      <c r="AI1774" s="131"/>
    </row>
    <row r="1775" spans="1:35" ht="26.4">
      <c r="A1775" s="284"/>
      <c r="B1775" s="284"/>
      <c r="C1775" s="284"/>
      <c r="D1775" s="284"/>
      <c r="E1775" s="284"/>
      <c r="F1775" s="284"/>
      <c r="G1775" s="284"/>
      <c r="H1775" s="284"/>
      <c r="I1775" s="284"/>
      <c r="J1775" s="375"/>
      <c r="K1775" s="375"/>
      <c r="L1775" s="375"/>
      <c r="M1775" s="368"/>
      <c r="N1775" s="368"/>
      <c r="O1775" s="370"/>
      <c r="T1775" s="349"/>
      <c r="V1775" s="378"/>
      <c r="W1775" s="64" ph="1"/>
      <c r="X1775" s="241"/>
      <c r="Y1775" s="284"/>
      <c r="Z1775" s="207"/>
      <c r="AA1775" s="284"/>
      <c r="AB1775" s="284"/>
      <c r="AC1775" s="284"/>
      <c r="AD1775" s="284"/>
      <c r="AE1775" s="284"/>
      <c r="AF1775" s="284"/>
      <c r="AG1775" s="284"/>
      <c r="AI1775" s="131"/>
    </row>
    <row r="1776" spans="1:35" ht="26.4">
      <c r="A1776" s="284"/>
      <c r="B1776" s="284"/>
      <c r="C1776" s="284"/>
      <c r="D1776" s="284"/>
      <c r="E1776" s="284"/>
      <c r="F1776" s="284"/>
      <c r="G1776" s="284"/>
      <c r="H1776" s="284"/>
      <c r="I1776" s="284"/>
      <c r="J1776" s="375"/>
      <c r="K1776" s="375"/>
      <c r="L1776" s="375"/>
      <c r="M1776" s="368"/>
      <c r="N1776" s="368"/>
      <c r="O1776" s="370"/>
      <c r="T1776" s="349"/>
      <c r="V1776" s="378"/>
      <c r="W1776" s="64" ph="1"/>
      <c r="X1776" s="241"/>
      <c r="Y1776" s="284"/>
      <c r="Z1776" s="207"/>
      <c r="AA1776" s="284"/>
      <c r="AB1776" s="284"/>
      <c r="AC1776" s="284"/>
      <c r="AD1776" s="284"/>
      <c r="AE1776" s="284"/>
      <c r="AF1776" s="284"/>
      <c r="AG1776" s="284"/>
      <c r="AI1776" s="131"/>
    </row>
    <row r="1777" spans="1:35" ht="26.4">
      <c r="A1777" s="284"/>
      <c r="B1777" s="284"/>
      <c r="C1777" s="284"/>
      <c r="D1777" s="284"/>
      <c r="E1777" s="284"/>
      <c r="F1777" s="284"/>
      <c r="G1777" s="284"/>
      <c r="H1777" s="284"/>
      <c r="I1777" s="284"/>
      <c r="J1777" s="375"/>
      <c r="K1777" s="375"/>
      <c r="L1777" s="375"/>
      <c r="M1777" s="368"/>
      <c r="N1777" s="368"/>
      <c r="O1777" s="370"/>
      <c r="T1777" s="349"/>
      <c r="V1777" s="378"/>
      <c r="W1777" s="64" ph="1"/>
      <c r="X1777" s="241"/>
      <c r="Y1777" s="284"/>
      <c r="Z1777" s="207"/>
      <c r="AA1777" s="284"/>
      <c r="AB1777" s="284"/>
      <c r="AC1777" s="284"/>
      <c r="AD1777" s="284"/>
      <c r="AE1777" s="284"/>
      <c r="AF1777" s="284"/>
      <c r="AG1777" s="284"/>
      <c r="AI1777" s="131"/>
    </row>
    <row r="1778" spans="1:35" ht="26.4">
      <c r="A1778" s="284"/>
      <c r="B1778" s="284"/>
      <c r="C1778" s="284"/>
      <c r="D1778" s="284"/>
      <c r="E1778" s="284"/>
      <c r="F1778" s="284"/>
      <c r="G1778" s="284"/>
      <c r="H1778" s="284"/>
      <c r="I1778" s="284"/>
      <c r="J1778" s="375"/>
      <c r="K1778" s="375"/>
      <c r="L1778" s="375"/>
      <c r="M1778" s="368"/>
      <c r="N1778" s="368"/>
      <c r="O1778" s="370"/>
      <c r="T1778" s="349"/>
      <c r="V1778" s="378"/>
      <c r="W1778" s="64" ph="1"/>
      <c r="X1778" s="241"/>
      <c r="Y1778" s="284"/>
      <c r="Z1778" s="207"/>
      <c r="AA1778" s="284"/>
      <c r="AB1778" s="284"/>
      <c r="AC1778" s="284"/>
      <c r="AD1778" s="284"/>
      <c r="AE1778" s="284"/>
      <c r="AF1778" s="284"/>
      <c r="AG1778" s="284"/>
      <c r="AI1778" s="131"/>
    </row>
    <row r="1779" spans="1:35" ht="26.4">
      <c r="A1779" s="284"/>
      <c r="B1779" s="284"/>
      <c r="C1779" s="284"/>
      <c r="D1779" s="284"/>
      <c r="E1779" s="284"/>
      <c r="F1779" s="284"/>
      <c r="G1779" s="284"/>
      <c r="H1779" s="284"/>
      <c r="I1779" s="284"/>
      <c r="J1779" s="375"/>
      <c r="K1779" s="375"/>
      <c r="L1779" s="375"/>
      <c r="M1779" s="368"/>
      <c r="N1779" s="368"/>
      <c r="O1779" s="370"/>
      <c r="T1779" s="349"/>
      <c r="V1779" s="378"/>
      <c r="W1779" s="64" ph="1"/>
      <c r="X1779" s="241"/>
      <c r="Y1779" s="284"/>
      <c r="Z1779" s="207"/>
      <c r="AA1779" s="284"/>
      <c r="AB1779" s="284"/>
      <c r="AC1779" s="284"/>
      <c r="AD1779" s="284"/>
      <c r="AE1779" s="284"/>
      <c r="AF1779" s="284"/>
      <c r="AG1779" s="284"/>
      <c r="AI1779" s="52"/>
    </row>
    <row r="1780" spans="1:35" ht="26.4">
      <c r="A1780" s="284"/>
      <c r="B1780" s="284"/>
      <c r="C1780" s="284"/>
      <c r="D1780" s="284"/>
      <c r="E1780" s="284"/>
      <c r="F1780" s="284"/>
      <c r="G1780" s="284"/>
      <c r="H1780" s="284"/>
      <c r="I1780" s="284"/>
      <c r="J1780" s="375"/>
      <c r="K1780" s="375"/>
      <c r="L1780" s="375"/>
      <c r="M1780" s="368"/>
      <c r="N1780" s="368"/>
      <c r="O1780" s="370"/>
      <c r="T1780" s="349"/>
      <c r="V1780" s="378"/>
      <c r="W1780" s="64" ph="1"/>
      <c r="X1780" s="241"/>
      <c r="Y1780" s="284"/>
      <c r="Z1780" s="207"/>
      <c r="AA1780" s="284"/>
      <c r="AB1780" s="284"/>
      <c r="AC1780" s="284"/>
      <c r="AD1780" s="284"/>
      <c r="AE1780" s="284"/>
      <c r="AF1780" s="284"/>
      <c r="AG1780" s="284"/>
      <c r="AI1780" s="131"/>
    </row>
    <row r="1781" spans="1:35" ht="26.4">
      <c r="A1781" s="284"/>
      <c r="B1781" s="284"/>
      <c r="C1781" s="284"/>
      <c r="D1781" s="284"/>
      <c r="E1781" s="284"/>
      <c r="F1781" s="284"/>
      <c r="G1781" s="284"/>
      <c r="H1781" s="284"/>
      <c r="I1781" s="284"/>
      <c r="J1781" s="375"/>
      <c r="K1781" s="375"/>
      <c r="L1781" s="375"/>
      <c r="M1781" s="368"/>
      <c r="N1781" s="368"/>
      <c r="O1781" s="370"/>
      <c r="T1781" s="349"/>
      <c r="V1781" s="378"/>
      <c r="W1781" s="64" ph="1"/>
      <c r="X1781" s="241"/>
      <c r="Y1781" s="284"/>
      <c r="Z1781" s="207"/>
      <c r="AA1781" s="284"/>
      <c r="AB1781" s="284"/>
      <c r="AC1781" s="284"/>
      <c r="AD1781" s="284"/>
      <c r="AE1781" s="284"/>
      <c r="AF1781" s="284"/>
      <c r="AG1781" s="284"/>
      <c r="AI1781" s="131"/>
    </row>
    <row r="1782" spans="1:35" ht="26.4">
      <c r="A1782" s="284"/>
      <c r="B1782" s="284"/>
      <c r="C1782" s="284"/>
      <c r="D1782" s="284"/>
      <c r="E1782" s="284"/>
      <c r="F1782" s="284"/>
      <c r="G1782" s="284"/>
      <c r="H1782" s="284"/>
      <c r="I1782" s="284"/>
      <c r="J1782" s="375"/>
      <c r="K1782" s="375"/>
      <c r="L1782" s="375"/>
      <c r="M1782" s="368"/>
      <c r="N1782" s="368"/>
      <c r="O1782" s="370"/>
      <c r="T1782" s="349"/>
      <c r="V1782" s="378"/>
      <c r="W1782" s="64" ph="1"/>
      <c r="X1782" s="241"/>
      <c r="Y1782" s="284"/>
      <c r="Z1782" s="207"/>
      <c r="AA1782" s="284"/>
      <c r="AB1782" s="284"/>
      <c r="AC1782" s="284"/>
      <c r="AD1782" s="284"/>
      <c r="AE1782" s="284"/>
      <c r="AF1782" s="284"/>
      <c r="AG1782" s="284"/>
      <c r="AI1782" s="131"/>
    </row>
    <row r="1783" spans="1:35" ht="26.4">
      <c r="A1783" s="284"/>
      <c r="B1783" s="284"/>
      <c r="C1783" s="284"/>
      <c r="D1783" s="284"/>
      <c r="E1783" s="284"/>
      <c r="F1783" s="284"/>
      <c r="G1783" s="284"/>
      <c r="H1783" s="284"/>
      <c r="I1783" s="284"/>
      <c r="J1783" s="375"/>
      <c r="K1783" s="375"/>
      <c r="L1783" s="375"/>
      <c r="M1783" s="368"/>
      <c r="N1783" s="368"/>
      <c r="O1783" s="370"/>
      <c r="T1783" s="349"/>
      <c r="V1783" s="378"/>
      <c r="W1783" s="64" ph="1"/>
      <c r="X1783" s="241"/>
      <c r="Y1783" s="284"/>
      <c r="Z1783" s="207"/>
      <c r="AA1783" s="284"/>
      <c r="AB1783" s="284"/>
      <c r="AC1783" s="284"/>
      <c r="AD1783" s="284"/>
      <c r="AE1783" s="284"/>
      <c r="AF1783" s="284"/>
      <c r="AG1783" s="284"/>
      <c r="AI1783" s="131"/>
    </row>
    <row r="1784" spans="1:35" ht="26.4">
      <c r="A1784" s="284"/>
      <c r="B1784" s="284"/>
      <c r="C1784" s="284"/>
      <c r="D1784" s="284"/>
      <c r="E1784" s="284"/>
      <c r="F1784" s="284"/>
      <c r="G1784" s="284"/>
      <c r="H1784" s="284"/>
      <c r="I1784" s="284"/>
      <c r="J1784" s="375"/>
      <c r="K1784" s="375"/>
      <c r="L1784" s="375"/>
      <c r="M1784" s="368"/>
      <c r="N1784" s="368"/>
      <c r="O1784" s="370"/>
      <c r="T1784" s="349"/>
      <c r="V1784" s="378"/>
      <c r="W1784" s="64" ph="1"/>
      <c r="X1784" s="241"/>
      <c r="Y1784" s="284"/>
      <c r="Z1784" s="207"/>
      <c r="AA1784" s="284"/>
      <c r="AB1784" s="284"/>
      <c r="AC1784" s="284"/>
      <c r="AD1784" s="284"/>
      <c r="AE1784" s="284"/>
      <c r="AF1784" s="284"/>
      <c r="AG1784" s="284"/>
      <c r="AI1784" s="131"/>
    </row>
    <row r="1785" spans="1:35" ht="26.4">
      <c r="A1785" s="284"/>
      <c r="B1785" s="284"/>
      <c r="C1785" s="284"/>
      <c r="D1785" s="284"/>
      <c r="E1785" s="284"/>
      <c r="F1785" s="284"/>
      <c r="G1785" s="284"/>
      <c r="H1785" s="284"/>
      <c r="I1785" s="284"/>
      <c r="J1785" s="375"/>
      <c r="K1785" s="375"/>
      <c r="L1785" s="375"/>
      <c r="M1785" s="368"/>
      <c r="N1785" s="368"/>
      <c r="O1785" s="370"/>
      <c r="T1785" s="349"/>
      <c r="V1785" s="378"/>
      <c r="W1785" s="64" ph="1"/>
      <c r="X1785" s="241"/>
      <c r="Y1785" s="284"/>
      <c r="Z1785" s="207"/>
      <c r="AA1785" s="284"/>
      <c r="AB1785" s="284"/>
      <c r="AC1785" s="284"/>
      <c r="AD1785" s="284"/>
      <c r="AE1785" s="284"/>
      <c r="AF1785" s="284"/>
      <c r="AG1785" s="284"/>
      <c r="AI1785" s="131"/>
    </row>
    <row r="1786" spans="1:35" ht="26.4">
      <c r="A1786" s="284"/>
      <c r="B1786" s="284"/>
      <c r="C1786" s="284"/>
      <c r="D1786" s="284"/>
      <c r="E1786" s="284"/>
      <c r="F1786" s="284"/>
      <c r="G1786" s="284"/>
      <c r="H1786" s="284"/>
      <c r="I1786" s="284"/>
      <c r="J1786" s="375"/>
      <c r="K1786" s="375"/>
      <c r="L1786" s="375"/>
      <c r="M1786" s="368"/>
      <c r="N1786" s="368"/>
      <c r="O1786" s="370"/>
      <c r="T1786" s="349"/>
      <c r="V1786" s="378"/>
      <c r="W1786" s="64" ph="1"/>
      <c r="X1786" s="241"/>
      <c r="Y1786" s="284"/>
      <c r="Z1786" s="207"/>
      <c r="AA1786" s="284"/>
      <c r="AB1786" s="284"/>
      <c r="AC1786" s="284"/>
      <c r="AD1786" s="284"/>
      <c r="AE1786" s="284"/>
      <c r="AF1786" s="284"/>
      <c r="AG1786" s="284"/>
      <c r="AI1786" s="131"/>
    </row>
    <row r="1787" spans="1:35" ht="26.4">
      <c r="A1787" s="284"/>
      <c r="B1787" s="284"/>
      <c r="C1787" s="284"/>
      <c r="D1787" s="284"/>
      <c r="E1787" s="284"/>
      <c r="F1787" s="284"/>
      <c r="G1787" s="284"/>
      <c r="H1787" s="284"/>
      <c r="I1787" s="284"/>
      <c r="J1787" s="375"/>
      <c r="K1787" s="375"/>
      <c r="L1787" s="375"/>
      <c r="M1787" s="368"/>
      <c r="N1787" s="368"/>
      <c r="O1787" s="370"/>
      <c r="T1787" s="349"/>
      <c r="V1787" s="378"/>
      <c r="W1787" s="64" ph="1"/>
      <c r="X1787" s="241"/>
      <c r="Y1787" s="284"/>
      <c r="Z1787" s="207"/>
      <c r="AA1787" s="284"/>
      <c r="AB1787" s="284"/>
      <c r="AC1787" s="284"/>
      <c r="AD1787" s="284"/>
      <c r="AE1787" s="284"/>
      <c r="AF1787" s="284"/>
      <c r="AG1787" s="284"/>
      <c r="AI1787" s="131"/>
    </row>
    <row r="1788" spans="1:35" ht="26.4">
      <c r="A1788" s="284"/>
      <c r="B1788" s="284"/>
      <c r="C1788" s="284"/>
      <c r="D1788" s="284"/>
      <c r="E1788" s="284"/>
      <c r="F1788" s="284"/>
      <c r="G1788" s="284"/>
      <c r="H1788" s="284"/>
      <c r="I1788" s="284"/>
      <c r="J1788" s="375"/>
      <c r="K1788" s="375"/>
      <c r="L1788" s="375"/>
      <c r="M1788" s="368"/>
      <c r="N1788" s="368"/>
      <c r="O1788" s="370"/>
      <c r="T1788" s="349"/>
      <c r="V1788" s="378"/>
      <c r="W1788" s="64" ph="1"/>
      <c r="X1788" s="241"/>
      <c r="Y1788" s="284"/>
      <c r="Z1788" s="207"/>
      <c r="AA1788" s="284"/>
      <c r="AB1788" s="284"/>
      <c r="AC1788" s="284"/>
      <c r="AD1788" s="284"/>
      <c r="AE1788" s="284"/>
      <c r="AF1788" s="284"/>
      <c r="AG1788" s="284"/>
      <c r="AI1788" s="131"/>
    </row>
    <row r="1789" spans="1:35" ht="26.4">
      <c r="A1789" s="284"/>
      <c r="B1789" s="284"/>
      <c r="C1789" s="284"/>
      <c r="D1789" s="284"/>
      <c r="E1789" s="284"/>
      <c r="F1789" s="284"/>
      <c r="G1789" s="284"/>
      <c r="H1789" s="284"/>
      <c r="I1789" s="284"/>
      <c r="J1789" s="375"/>
      <c r="K1789" s="375"/>
      <c r="L1789" s="375"/>
      <c r="M1789" s="368"/>
      <c r="N1789" s="368"/>
      <c r="O1789" s="370"/>
      <c r="T1789" s="349"/>
      <c r="V1789" s="378"/>
      <c r="W1789" s="64" ph="1"/>
      <c r="X1789" s="241"/>
      <c r="Y1789" s="284"/>
      <c r="Z1789" s="207"/>
      <c r="AA1789" s="284"/>
      <c r="AB1789" s="284"/>
      <c r="AC1789" s="284"/>
      <c r="AD1789" s="284"/>
      <c r="AE1789" s="284"/>
      <c r="AF1789" s="284"/>
      <c r="AG1789" s="284"/>
      <c r="AI1789" s="131"/>
    </row>
    <row r="1790" spans="1:35" ht="26.4">
      <c r="A1790" s="284"/>
      <c r="B1790" s="284"/>
      <c r="C1790" s="284"/>
      <c r="D1790" s="284"/>
      <c r="E1790" s="284"/>
      <c r="F1790" s="284"/>
      <c r="G1790" s="284"/>
      <c r="H1790" s="284"/>
      <c r="I1790" s="284"/>
      <c r="J1790" s="375"/>
      <c r="K1790" s="375"/>
      <c r="L1790" s="375"/>
      <c r="M1790" s="368"/>
      <c r="N1790" s="368"/>
      <c r="O1790" s="370"/>
      <c r="T1790" s="349"/>
      <c r="V1790" s="378"/>
      <c r="W1790" s="64" ph="1"/>
      <c r="X1790" s="241"/>
      <c r="Y1790" s="284"/>
      <c r="Z1790" s="207"/>
      <c r="AA1790" s="284"/>
      <c r="AB1790" s="284"/>
      <c r="AC1790" s="284"/>
      <c r="AD1790" s="284"/>
      <c r="AE1790" s="284"/>
      <c r="AF1790" s="284"/>
      <c r="AG1790" s="284"/>
      <c r="AI1790" s="131"/>
    </row>
    <row r="1791" spans="1:35" ht="26.4">
      <c r="A1791" s="284"/>
      <c r="B1791" s="284"/>
      <c r="C1791" s="284"/>
      <c r="D1791" s="284"/>
      <c r="E1791" s="284"/>
      <c r="F1791" s="284"/>
      <c r="G1791" s="284"/>
      <c r="H1791" s="284"/>
      <c r="I1791" s="284"/>
      <c r="J1791" s="375"/>
      <c r="K1791" s="375"/>
      <c r="L1791" s="375"/>
      <c r="M1791" s="368"/>
      <c r="N1791" s="368"/>
      <c r="O1791" s="370"/>
      <c r="T1791" s="349"/>
      <c r="V1791" s="378"/>
      <c r="W1791" s="64" ph="1"/>
      <c r="X1791" s="241"/>
      <c r="Y1791" s="284"/>
      <c r="Z1791" s="207"/>
      <c r="AA1791" s="284"/>
      <c r="AB1791" s="284"/>
      <c r="AC1791" s="284"/>
      <c r="AD1791" s="284"/>
      <c r="AE1791" s="284"/>
      <c r="AF1791" s="284"/>
      <c r="AG1791" s="284"/>
      <c r="AI1791" s="131"/>
    </row>
    <row r="1792" spans="1:35" ht="26.4">
      <c r="A1792" s="284"/>
      <c r="B1792" s="284"/>
      <c r="C1792" s="284"/>
      <c r="D1792" s="284"/>
      <c r="E1792" s="284"/>
      <c r="F1792" s="284"/>
      <c r="G1792" s="284"/>
      <c r="H1792" s="284"/>
      <c r="I1792" s="284"/>
      <c r="J1792" s="375"/>
      <c r="K1792" s="375"/>
      <c r="L1792" s="375"/>
      <c r="M1792" s="368"/>
      <c r="N1792" s="368"/>
      <c r="O1792" s="370"/>
      <c r="T1792" s="349"/>
      <c r="V1792" s="378"/>
      <c r="W1792" s="64" ph="1"/>
      <c r="X1792" s="241"/>
      <c r="Y1792" s="284"/>
      <c r="Z1792" s="207"/>
      <c r="AA1792" s="284"/>
      <c r="AB1792" s="284"/>
      <c r="AC1792" s="284"/>
      <c r="AD1792" s="284"/>
      <c r="AE1792" s="284"/>
      <c r="AF1792" s="284"/>
      <c r="AG1792" s="284"/>
      <c r="AI1792" s="131"/>
    </row>
    <row r="1793" spans="1:35" ht="26.4">
      <c r="A1793" s="284"/>
      <c r="B1793" s="284"/>
      <c r="C1793" s="284"/>
      <c r="D1793" s="284"/>
      <c r="E1793" s="284"/>
      <c r="F1793" s="284"/>
      <c r="G1793" s="284"/>
      <c r="H1793" s="284"/>
      <c r="I1793" s="284"/>
      <c r="J1793" s="375"/>
      <c r="K1793" s="375"/>
      <c r="L1793" s="375"/>
      <c r="M1793" s="368"/>
      <c r="N1793" s="368"/>
      <c r="O1793" s="370"/>
      <c r="T1793" s="349"/>
      <c r="V1793" s="378"/>
      <c r="W1793" s="64" ph="1"/>
      <c r="X1793" s="241"/>
      <c r="Y1793" s="284"/>
      <c r="Z1793" s="207"/>
      <c r="AA1793" s="284"/>
      <c r="AB1793" s="284"/>
      <c r="AC1793" s="284"/>
      <c r="AD1793" s="284"/>
      <c r="AE1793" s="284"/>
      <c r="AF1793" s="284"/>
      <c r="AG1793" s="284"/>
      <c r="AI1793" s="131"/>
    </row>
    <row r="1794" spans="1:35" ht="26.4">
      <c r="A1794" s="284"/>
      <c r="B1794" s="284"/>
      <c r="C1794" s="284"/>
      <c r="D1794" s="284"/>
      <c r="E1794" s="284"/>
      <c r="F1794" s="284"/>
      <c r="G1794" s="284"/>
      <c r="H1794" s="284"/>
      <c r="I1794" s="284"/>
      <c r="J1794" s="375"/>
      <c r="K1794" s="375"/>
      <c r="L1794" s="375"/>
      <c r="M1794" s="368"/>
      <c r="N1794" s="368"/>
      <c r="O1794" s="370"/>
      <c r="T1794" s="349"/>
      <c r="V1794" s="378"/>
      <c r="W1794" s="64" ph="1"/>
      <c r="X1794" s="241"/>
      <c r="Y1794" s="284"/>
      <c r="Z1794" s="207"/>
      <c r="AA1794" s="284"/>
      <c r="AB1794" s="284"/>
      <c r="AC1794" s="284"/>
      <c r="AD1794" s="284"/>
      <c r="AE1794" s="284"/>
      <c r="AF1794" s="284"/>
      <c r="AG1794" s="284"/>
      <c r="AI1794" s="131"/>
    </row>
    <row r="1795" spans="1:35" ht="26.4">
      <c r="A1795" s="284"/>
      <c r="B1795" s="284"/>
      <c r="C1795" s="284"/>
      <c r="D1795" s="284"/>
      <c r="E1795" s="284"/>
      <c r="F1795" s="284"/>
      <c r="G1795" s="284"/>
      <c r="H1795" s="284"/>
      <c r="I1795" s="284"/>
      <c r="J1795" s="375"/>
      <c r="K1795" s="375"/>
      <c r="L1795" s="375"/>
      <c r="M1795" s="368"/>
      <c r="N1795" s="368"/>
      <c r="O1795" s="370"/>
      <c r="T1795" s="349"/>
      <c r="V1795" s="378"/>
      <c r="W1795" s="64" ph="1"/>
      <c r="X1795" s="241"/>
      <c r="Y1795" s="284"/>
      <c r="Z1795" s="207"/>
      <c r="AA1795" s="284"/>
      <c r="AB1795" s="284"/>
      <c r="AC1795" s="284"/>
      <c r="AD1795" s="284"/>
      <c r="AE1795" s="284"/>
      <c r="AF1795" s="284"/>
      <c r="AG1795" s="284"/>
      <c r="AI1795" s="131"/>
    </row>
    <row r="1796" spans="1:35" ht="26.4">
      <c r="A1796" s="284"/>
      <c r="B1796" s="284"/>
      <c r="C1796" s="284"/>
      <c r="D1796" s="284"/>
      <c r="E1796" s="284"/>
      <c r="F1796" s="284"/>
      <c r="G1796" s="284"/>
      <c r="H1796" s="284"/>
      <c r="I1796" s="284"/>
      <c r="J1796" s="375"/>
      <c r="K1796" s="375"/>
      <c r="L1796" s="375"/>
      <c r="M1796" s="368"/>
      <c r="N1796" s="368"/>
      <c r="O1796" s="370"/>
      <c r="T1796" s="349"/>
      <c r="V1796" s="378"/>
      <c r="W1796" s="64" ph="1"/>
      <c r="X1796" s="241"/>
      <c r="Y1796" s="284"/>
      <c r="Z1796" s="207"/>
      <c r="AA1796" s="284"/>
      <c r="AB1796" s="284"/>
      <c r="AC1796" s="284"/>
      <c r="AD1796" s="284"/>
      <c r="AE1796" s="284"/>
      <c r="AF1796" s="284"/>
      <c r="AG1796" s="284"/>
      <c r="AI1796" s="131"/>
    </row>
    <row r="1797" spans="1:35" ht="26.4">
      <c r="A1797" s="284"/>
      <c r="B1797" s="284"/>
      <c r="C1797" s="284"/>
      <c r="D1797" s="284"/>
      <c r="E1797" s="284"/>
      <c r="F1797" s="284"/>
      <c r="G1797" s="284"/>
      <c r="H1797" s="284"/>
      <c r="I1797" s="284"/>
      <c r="J1797" s="375"/>
      <c r="K1797" s="375"/>
      <c r="L1797" s="375"/>
      <c r="M1797" s="368"/>
      <c r="N1797" s="368"/>
      <c r="O1797" s="370"/>
      <c r="T1797" s="349"/>
      <c r="V1797" s="378"/>
      <c r="W1797" s="64" ph="1"/>
      <c r="X1797" s="241"/>
      <c r="Y1797" s="284"/>
      <c r="Z1797" s="207"/>
      <c r="AA1797" s="284"/>
      <c r="AB1797" s="284"/>
      <c r="AC1797" s="284"/>
      <c r="AD1797" s="284"/>
      <c r="AE1797" s="284"/>
      <c r="AF1797" s="284"/>
      <c r="AG1797" s="284"/>
      <c r="AI1797" s="131"/>
    </row>
    <row r="1798" spans="1:35" ht="26.4">
      <c r="A1798" s="284"/>
      <c r="B1798" s="284"/>
      <c r="C1798" s="284"/>
      <c r="D1798" s="284"/>
      <c r="E1798" s="284"/>
      <c r="F1798" s="284"/>
      <c r="G1798" s="284"/>
      <c r="H1798" s="284"/>
      <c r="I1798" s="284"/>
      <c r="J1798" s="375"/>
      <c r="K1798" s="375"/>
      <c r="L1798" s="375"/>
      <c r="M1798" s="368"/>
      <c r="N1798" s="368"/>
      <c r="O1798" s="370"/>
      <c r="T1798" s="349"/>
      <c r="V1798" s="378"/>
      <c r="W1798" s="64" ph="1"/>
      <c r="X1798" s="241"/>
      <c r="Y1798" s="284"/>
      <c r="Z1798" s="207"/>
      <c r="AA1798" s="284"/>
      <c r="AB1798" s="284"/>
      <c r="AC1798" s="284"/>
      <c r="AD1798" s="284"/>
      <c r="AE1798" s="284"/>
      <c r="AF1798" s="284"/>
      <c r="AG1798" s="284"/>
      <c r="AI1798" s="131"/>
    </row>
    <row r="1799" spans="1:35" ht="26.4">
      <c r="A1799" s="284"/>
      <c r="B1799" s="284"/>
      <c r="C1799" s="284"/>
      <c r="D1799" s="284"/>
      <c r="E1799" s="284"/>
      <c r="F1799" s="284"/>
      <c r="G1799" s="284"/>
      <c r="H1799" s="284"/>
      <c r="I1799" s="284"/>
      <c r="J1799" s="375"/>
      <c r="K1799" s="375"/>
      <c r="L1799" s="375"/>
      <c r="M1799" s="368"/>
      <c r="N1799" s="368"/>
      <c r="O1799" s="370"/>
      <c r="T1799" s="349"/>
      <c r="V1799" s="378"/>
      <c r="W1799" s="64" ph="1"/>
      <c r="X1799" s="241"/>
      <c r="Y1799" s="284"/>
      <c r="Z1799" s="207"/>
      <c r="AA1799" s="284"/>
      <c r="AB1799" s="284"/>
      <c r="AC1799" s="284"/>
      <c r="AD1799" s="284"/>
      <c r="AE1799" s="284"/>
      <c r="AF1799" s="284"/>
      <c r="AG1799" s="284"/>
      <c r="AI1799" s="131"/>
    </row>
    <row r="1800" spans="1:35" ht="26.4">
      <c r="A1800" s="284"/>
      <c r="B1800" s="284"/>
      <c r="C1800" s="284"/>
      <c r="D1800" s="284"/>
      <c r="E1800" s="284"/>
      <c r="F1800" s="284"/>
      <c r="G1800" s="284"/>
      <c r="H1800" s="284"/>
      <c r="I1800" s="284"/>
      <c r="J1800" s="375"/>
      <c r="K1800" s="375"/>
      <c r="L1800" s="375"/>
      <c r="M1800" s="368"/>
      <c r="N1800" s="368"/>
      <c r="O1800" s="370"/>
      <c r="T1800" s="349"/>
      <c r="V1800" s="378"/>
      <c r="W1800" s="64" ph="1"/>
      <c r="X1800" s="241"/>
      <c r="Y1800" s="284"/>
      <c r="Z1800" s="207"/>
      <c r="AA1800" s="284"/>
      <c r="AB1800" s="284"/>
      <c r="AC1800" s="284"/>
      <c r="AD1800" s="284"/>
      <c r="AE1800" s="284"/>
      <c r="AF1800" s="284"/>
      <c r="AG1800" s="284"/>
      <c r="AI1800" s="131"/>
    </row>
    <row r="1801" spans="1:35" ht="26.4">
      <c r="A1801" s="284"/>
      <c r="B1801" s="284"/>
      <c r="C1801" s="284"/>
      <c r="D1801" s="284"/>
      <c r="E1801" s="284"/>
      <c r="F1801" s="284"/>
      <c r="G1801" s="284"/>
      <c r="H1801" s="284"/>
      <c r="I1801" s="284"/>
      <c r="J1801" s="375"/>
      <c r="K1801" s="375"/>
      <c r="L1801" s="375"/>
      <c r="M1801" s="368"/>
      <c r="N1801" s="368"/>
      <c r="O1801" s="370"/>
      <c r="T1801" s="349"/>
      <c r="V1801" s="378"/>
      <c r="W1801" s="64" ph="1"/>
      <c r="X1801" s="241"/>
      <c r="Y1801" s="284"/>
      <c r="Z1801" s="207"/>
      <c r="AA1801" s="284"/>
      <c r="AB1801" s="284"/>
      <c r="AC1801" s="284"/>
      <c r="AD1801" s="284"/>
      <c r="AE1801" s="284"/>
      <c r="AF1801" s="284"/>
      <c r="AG1801" s="284"/>
      <c r="AI1801" s="131"/>
    </row>
    <row r="1802" spans="1:35" ht="26.4">
      <c r="A1802" s="284"/>
      <c r="B1802" s="284"/>
      <c r="C1802" s="284"/>
      <c r="D1802" s="284"/>
      <c r="E1802" s="284"/>
      <c r="F1802" s="284"/>
      <c r="G1802" s="284"/>
      <c r="H1802" s="284"/>
      <c r="I1802" s="284"/>
      <c r="J1802" s="375"/>
      <c r="K1802" s="375"/>
      <c r="L1802" s="375"/>
      <c r="M1802" s="368"/>
      <c r="N1802" s="368"/>
      <c r="O1802" s="370"/>
      <c r="T1802" s="349"/>
      <c r="V1802" s="378"/>
      <c r="W1802" s="64" ph="1"/>
      <c r="X1802" s="241"/>
      <c r="Y1802" s="284"/>
      <c r="Z1802" s="207"/>
      <c r="AA1802" s="284"/>
      <c r="AB1802" s="284"/>
      <c r="AC1802" s="284"/>
      <c r="AD1802" s="284"/>
      <c r="AE1802" s="284"/>
      <c r="AF1802" s="284"/>
      <c r="AG1802" s="284"/>
      <c r="AI1802" s="131"/>
    </row>
    <row r="1803" spans="1:35" ht="26.4">
      <c r="A1803" s="284"/>
      <c r="B1803" s="284"/>
      <c r="C1803" s="284"/>
      <c r="D1803" s="284"/>
      <c r="E1803" s="284"/>
      <c r="F1803" s="284"/>
      <c r="G1803" s="284"/>
      <c r="H1803" s="284"/>
      <c r="I1803" s="284"/>
      <c r="J1803" s="375"/>
      <c r="K1803" s="375"/>
      <c r="L1803" s="375"/>
      <c r="M1803" s="368"/>
      <c r="N1803" s="368"/>
      <c r="O1803" s="370"/>
      <c r="T1803" s="349"/>
      <c r="V1803" s="378"/>
      <c r="W1803" s="64" ph="1"/>
      <c r="X1803" s="241"/>
      <c r="Y1803" s="284"/>
      <c r="Z1803" s="207"/>
      <c r="AA1803" s="284"/>
      <c r="AB1803" s="284"/>
      <c r="AC1803" s="284"/>
      <c r="AD1803" s="284"/>
      <c r="AE1803" s="284"/>
      <c r="AF1803" s="284"/>
      <c r="AG1803" s="284"/>
      <c r="AI1803" s="131"/>
    </row>
    <row r="1804" spans="1:35" ht="26.4">
      <c r="A1804" s="284"/>
      <c r="B1804" s="284"/>
      <c r="C1804" s="284"/>
      <c r="D1804" s="284"/>
      <c r="E1804" s="284"/>
      <c r="F1804" s="284"/>
      <c r="G1804" s="284"/>
      <c r="H1804" s="284"/>
      <c r="I1804" s="284"/>
      <c r="J1804" s="375"/>
      <c r="K1804" s="375"/>
      <c r="L1804" s="375"/>
      <c r="M1804" s="368"/>
      <c r="N1804" s="368"/>
      <c r="O1804" s="370"/>
      <c r="T1804" s="349"/>
      <c r="V1804" s="378"/>
      <c r="W1804" s="64" ph="1"/>
      <c r="X1804" s="241"/>
      <c r="Y1804" s="284"/>
      <c r="Z1804" s="207"/>
      <c r="AA1804" s="284"/>
      <c r="AB1804" s="284"/>
      <c r="AC1804" s="284"/>
      <c r="AD1804" s="284"/>
      <c r="AE1804" s="284"/>
      <c r="AF1804" s="284"/>
      <c r="AG1804" s="284"/>
      <c r="AI1804" s="131"/>
    </row>
    <row r="1805" spans="1:35" ht="26.4">
      <c r="A1805" s="284"/>
      <c r="B1805" s="284"/>
      <c r="C1805" s="284"/>
      <c r="D1805" s="284"/>
      <c r="E1805" s="284"/>
      <c r="F1805" s="284"/>
      <c r="G1805" s="284"/>
      <c r="H1805" s="284"/>
      <c r="I1805" s="284"/>
      <c r="J1805" s="375"/>
      <c r="K1805" s="375"/>
      <c r="L1805" s="375"/>
      <c r="M1805" s="368"/>
      <c r="N1805" s="368"/>
      <c r="O1805" s="370"/>
      <c r="T1805" s="349"/>
      <c r="V1805" s="378"/>
      <c r="W1805" s="64" ph="1"/>
      <c r="X1805" s="241"/>
      <c r="Y1805" s="284"/>
      <c r="Z1805" s="207"/>
      <c r="AA1805" s="284"/>
      <c r="AB1805" s="284"/>
      <c r="AC1805" s="284"/>
      <c r="AD1805" s="284"/>
      <c r="AE1805" s="284"/>
      <c r="AF1805" s="284"/>
      <c r="AG1805" s="284"/>
      <c r="AI1805" s="131"/>
    </row>
    <row r="1806" spans="1:35" ht="26.4">
      <c r="A1806" s="284"/>
      <c r="B1806" s="284"/>
      <c r="C1806" s="284"/>
      <c r="D1806" s="284"/>
      <c r="E1806" s="284"/>
      <c r="F1806" s="284"/>
      <c r="G1806" s="284"/>
      <c r="H1806" s="284"/>
      <c r="I1806" s="284"/>
      <c r="J1806" s="375"/>
      <c r="K1806" s="375"/>
      <c r="L1806" s="375"/>
      <c r="M1806" s="368"/>
      <c r="N1806" s="368"/>
      <c r="O1806" s="370"/>
      <c r="T1806" s="349"/>
      <c r="V1806" s="378"/>
      <c r="W1806" s="64" ph="1"/>
      <c r="X1806" s="241"/>
      <c r="Y1806" s="284"/>
      <c r="Z1806" s="207"/>
      <c r="AA1806" s="284"/>
      <c r="AB1806" s="284"/>
      <c r="AC1806" s="284"/>
      <c r="AD1806" s="284"/>
      <c r="AE1806" s="284"/>
      <c r="AF1806" s="284"/>
      <c r="AG1806" s="284"/>
      <c r="AI1806" s="131"/>
    </row>
    <row r="1807" spans="1:35" ht="26.4">
      <c r="A1807" s="284"/>
      <c r="B1807" s="284"/>
      <c r="C1807" s="284"/>
      <c r="D1807" s="284"/>
      <c r="E1807" s="284"/>
      <c r="F1807" s="284"/>
      <c r="G1807" s="284"/>
      <c r="H1807" s="284"/>
      <c r="I1807" s="284"/>
      <c r="J1807" s="375"/>
      <c r="K1807" s="375"/>
      <c r="L1807" s="375"/>
      <c r="M1807" s="368"/>
      <c r="N1807" s="368"/>
      <c r="O1807" s="370"/>
      <c r="T1807" s="349"/>
      <c r="V1807" s="378"/>
      <c r="W1807" s="64" ph="1"/>
      <c r="X1807" s="241"/>
      <c r="Y1807" s="284"/>
      <c r="Z1807" s="207"/>
      <c r="AA1807" s="284"/>
      <c r="AB1807" s="284"/>
      <c r="AC1807" s="284"/>
      <c r="AD1807" s="284"/>
      <c r="AE1807" s="284"/>
      <c r="AF1807" s="284"/>
      <c r="AG1807" s="284"/>
      <c r="AI1807" s="131"/>
    </row>
    <row r="1808" spans="1:35" ht="26.4">
      <c r="A1808" s="284"/>
      <c r="B1808" s="284"/>
      <c r="C1808" s="284"/>
      <c r="D1808" s="284"/>
      <c r="E1808" s="284"/>
      <c r="F1808" s="284"/>
      <c r="G1808" s="284"/>
      <c r="H1808" s="284"/>
      <c r="I1808" s="284"/>
      <c r="J1808" s="375"/>
      <c r="K1808" s="375"/>
      <c r="L1808" s="375"/>
      <c r="M1808" s="368"/>
      <c r="N1808" s="368"/>
      <c r="O1808" s="370"/>
      <c r="T1808" s="349"/>
      <c r="V1808" s="378"/>
      <c r="W1808" s="64" ph="1"/>
      <c r="X1808" s="241"/>
      <c r="Y1808" s="284"/>
      <c r="Z1808" s="207"/>
      <c r="AA1808" s="284"/>
      <c r="AB1808" s="284"/>
      <c r="AC1808" s="284"/>
      <c r="AD1808" s="284"/>
      <c r="AE1808" s="284"/>
      <c r="AF1808" s="284"/>
      <c r="AG1808" s="284"/>
      <c r="AI1808" s="131"/>
    </row>
    <row r="1809" spans="1:35" ht="26.4">
      <c r="A1809" s="284"/>
      <c r="B1809" s="284"/>
      <c r="C1809" s="284"/>
      <c r="D1809" s="284"/>
      <c r="E1809" s="284"/>
      <c r="F1809" s="284"/>
      <c r="G1809" s="284"/>
      <c r="H1809" s="284"/>
      <c r="I1809" s="284"/>
      <c r="J1809" s="375"/>
      <c r="K1809" s="375"/>
      <c r="L1809" s="375"/>
      <c r="M1809" s="368"/>
      <c r="N1809" s="368"/>
      <c r="O1809" s="370"/>
      <c r="T1809" s="349"/>
      <c r="V1809" s="378"/>
      <c r="W1809" s="64" ph="1"/>
      <c r="X1809" s="241"/>
      <c r="Y1809" s="284"/>
      <c r="Z1809" s="207"/>
      <c r="AA1809" s="284"/>
      <c r="AB1809" s="284"/>
      <c r="AC1809" s="284"/>
      <c r="AD1809" s="284"/>
      <c r="AE1809" s="284"/>
      <c r="AF1809" s="284"/>
      <c r="AG1809" s="284"/>
      <c r="AI1809" s="131"/>
    </row>
    <row r="1810" spans="1:35" ht="26.4">
      <c r="A1810" s="284"/>
      <c r="B1810" s="284"/>
      <c r="C1810" s="284"/>
      <c r="D1810" s="284"/>
      <c r="E1810" s="284"/>
      <c r="F1810" s="284"/>
      <c r="G1810" s="284"/>
      <c r="H1810" s="284"/>
      <c r="I1810" s="284"/>
      <c r="J1810" s="375"/>
      <c r="K1810" s="375"/>
      <c r="L1810" s="375"/>
      <c r="M1810" s="368"/>
      <c r="N1810" s="368"/>
      <c r="O1810" s="370"/>
      <c r="T1810" s="349"/>
      <c r="V1810" s="378"/>
      <c r="W1810" s="64" ph="1"/>
      <c r="X1810" s="241"/>
      <c r="Y1810" s="284"/>
      <c r="Z1810" s="207"/>
      <c r="AA1810" s="284"/>
      <c r="AB1810" s="284"/>
      <c r="AC1810" s="284"/>
      <c r="AD1810" s="284"/>
      <c r="AE1810" s="284"/>
      <c r="AF1810" s="284"/>
      <c r="AG1810" s="284"/>
      <c r="AI1810" s="131"/>
    </row>
    <row r="1811" spans="1:35" ht="26.4">
      <c r="A1811" s="284"/>
      <c r="B1811" s="284"/>
      <c r="C1811" s="284"/>
      <c r="D1811" s="284"/>
      <c r="E1811" s="284"/>
      <c r="F1811" s="284"/>
      <c r="G1811" s="284"/>
      <c r="H1811" s="284"/>
      <c r="I1811" s="284"/>
      <c r="J1811" s="375"/>
      <c r="K1811" s="375"/>
      <c r="L1811" s="375"/>
      <c r="M1811" s="368"/>
      <c r="N1811" s="368"/>
      <c r="O1811" s="370"/>
      <c r="T1811" s="349"/>
      <c r="V1811" s="378"/>
      <c r="W1811" s="64" ph="1"/>
      <c r="X1811" s="241"/>
      <c r="Y1811" s="284"/>
      <c r="Z1811" s="207"/>
      <c r="AA1811" s="284"/>
      <c r="AB1811" s="284"/>
      <c r="AC1811" s="284"/>
      <c r="AD1811" s="284"/>
      <c r="AE1811" s="284"/>
      <c r="AF1811" s="284"/>
      <c r="AG1811" s="284"/>
      <c r="AI1811" s="131"/>
    </row>
    <row r="1812" spans="1:35" ht="26.4">
      <c r="A1812" s="284"/>
      <c r="B1812" s="284"/>
      <c r="C1812" s="284"/>
      <c r="D1812" s="284"/>
      <c r="E1812" s="284"/>
      <c r="F1812" s="284"/>
      <c r="G1812" s="284"/>
      <c r="H1812" s="284"/>
      <c r="I1812" s="284"/>
      <c r="J1812" s="375"/>
      <c r="K1812" s="375"/>
      <c r="L1812" s="375"/>
      <c r="M1812" s="368"/>
      <c r="N1812" s="368"/>
      <c r="O1812" s="370"/>
      <c r="T1812" s="349"/>
      <c r="V1812" s="378"/>
      <c r="W1812" s="64" ph="1"/>
      <c r="X1812" s="241"/>
      <c r="Y1812" s="284"/>
      <c r="Z1812" s="207"/>
      <c r="AA1812" s="284"/>
      <c r="AB1812" s="284"/>
      <c r="AC1812" s="284"/>
      <c r="AD1812" s="284"/>
      <c r="AE1812" s="284"/>
      <c r="AF1812" s="284"/>
      <c r="AG1812" s="284"/>
      <c r="AI1812" s="128"/>
    </row>
    <row r="1813" spans="1:35" ht="26.4">
      <c r="A1813" s="284"/>
      <c r="B1813" s="284"/>
      <c r="C1813" s="284"/>
      <c r="D1813" s="284"/>
      <c r="E1813" s="284"/>
      <c r="F1813" s="284"/>
      <c r="G1813" s="284"/>
      <c r="H1813" s="284"/>
      <c r="I1813" s="284"/>
      <c r="J1813" s="375"/>
      <c r="K1813" s="375"/>
      <c r="L1813" s="375"/>
      <c r="M1813" s="368"/>
      <c r="N1813" s="368"/>
      <c r="O1813" s="370"/>
      <c r="T1813" s="349"/>
      <c r="V1813" s="378"/>
      <c r="W1813" s="64" ph="1"/>
      <c r="X1813" s="241"/>
      <c r="Y1813" s="284"/>
      <c r="Z1813" s="207"/>
      <c r="AA1813" s="284"/>
      <c r="AB1813" s="284"/>
      <c r="AC1813" s="284"/>
      <c r="AD1813" s="284"/>
      <c r="AE1813" s="284"/>
      <c r="AF1813" s="284"/>
      <c r="AG1813" s="284"/>
      <c r="AI1813" s="131"/>
    </row>
    <row r="1814" spans="1:35" ht="26.4">
      <c r="A1814" s="284"/>
      <c r="B1814" s="284"/>
      <c r="C1814" s="284"/>
      <c r="D1814" s="284"/>
      <c r="E1814" s="284"/>
      <c r="F1814" s="284"/>
      <c r="G1814" s="284"/>
      <c r="H1814" s="284"/>
      <c r="I1814" s="284"/>
      <c r="J1814" s="375"/>
      <c r="K1814" s="375"/>
      <c r="L1814" s="375"/>
      <c r="M1814" s="368"/>
      <c r="N1814" s="368"/>
      <c r="O1814" s="370"/>
      <c r="T1814" s="349"/>
      <c r="V1814" s="378"/>
      <c r="W1814" s="64" ph="1"/>
      <c r="X1814" s="241"/>
      <c r="Y1814" s="284"/>
      <c r="Z1814" s="207"/>
      <c r="AA1814" s="284"/>
      <c r="AB1814" s="284"/>
      <c r="AC1814" s="284"/>
      <c r="AD1814" s="284"/>
      <c r="AE1814" s="284"/>
      <c r="AF1814" s="284"/>
      <c r="AG1814" s="284"/>
      <c r="AI1814" s="131"/>
    </row>
    <row r="1815" spans="1:35" ht="26.4">
      <c r="A1815" s="284"/>
      <c r="B1815" s="284"/>
      <c r="C1815" s="284"/>
      <c r="D1815" s="284"/>
      <c r="E1815" s="284"/>
      <c r="F1815" s="284"/>
      <c r="G1815" s="284"/>
      <c r="H1815" s="284"/>
      <c r="I1815" s="284"/>
      <c r="J1815" s="375"/>
      <c r="K1815" s="375"/>
      <c r="L1815" s="375"/>
      <c r="M1815" s="368"/>
      <c r="N1815" s="368"/>
      <c r="O1815" s="370"/>
      <c r="T1815" s="349"/>
      <c r="V1815" s="378"/>
      <c r="W1815" s="64" ph="1"/>
      <c r="X1815" s="241"/>
      <c r="Y1815" s="284"/>
      <c r="Z1815" s="207"/>
      <c r="AA1815" s="284"/>
      <c r="AB1815" s="284"/>
      <c r="AC1815" s="284"/>
      <c r="AD1815" s="284"/>
      <c r="AE1815" s="284"/>
      <c r="AF1815" s="284"/>
      <c r="AG1815" s="284"/>
      <c r="AI1815" s="131"/>
    </row>
    <row r="1816" spans="1:35" ht="26.4">
      <c r="A1816" s="284"/>
      <c r="B1816" s="284"/>
      <c r="C1816" s="284"/>
      <c r="D1816" s="284"/>
      <c r="E1816" s="284"/>
      <c r="F1816" s="284"/>
      <c r="G1816" s="284"/>
      <c r="H1816" s="284"/>
      <c r="I1816" s="284"/>
      <c r="J1816" s="375"/>
      <c r="K1816" s="375"/>
      <c r="L1816" s="375"/>
      <c r="M1816" s="368"/>
      <c r="N1816" s="368"/>
      <c r="O1816" s="370"/>
      <c r="T1816" s="349"/>
      <c r="V1816" s="378"/>
      <c r="W1816" s="64" ph="1"/>
      <c r="X1816" s="241"/>
      <c r="Y1816" s="284"/>
      <c r="Z1816" s="207"/>
      <c r="AA1816" s="284"/>
      <c r="AB1816" s="284"/>
      <c r="AC1816" s="284"/>
      <c r="AD1816" s="284"/>
      <c r="AE1816" s="284"/>
      <c r="AF1816" s="284"/>
      <c r="AG1816" s="284"/>
      <c r="AI1816" s="131"/>
    </row>
    <row r="1817" spans="1:35" ht="26.4">
      <c r="A1817" s="284"/>
      <c r="B1817" s="284"/>
      <c r="C1817" s="284"/>
      <c r="D1817" s="284"/>
      <c r="E1817" s="284"/>
      <c r="F1817" s="284"/>
      <c r="G1817" s="284"/>
      <c r="H1817" s="284"/>
      <c r="I1817" s="284"/>
      <c r="J1817" s="375"/>
      <c r="K1817" s="375"/>
      <c r="L1817" s="375"/>
      <c r="M1817" s="368"/>
      <c r="N1817" s="368"/>
      <c r="O1817" s="370"/>
      <c r="T1817" s="349"/>
      <c r="V1817" s="378"/>
      <c r="W1817" s="64" ph="1"/>
      <c r="X1817" s="241"/>
      <c r="Y1817" s="284"/>
      <c r="Z1817" s="207"/>
      <c r="AA1817" s="284"/>
      <c r="AB1817" s="284"/>
      <c r="AC1817" s="284"/>
      <c r="AD1817" s="284"/>
      <c r="AE1817" s="284"/>
      <c r="AF1817" s="284"/>
      <c r="AG1817" s="284"/>
      <c r="AI1817" s="131"/>
    </row>
    <row r="1818" spans="1:35" ht="26.4">
      <c r="A1818" s="284"/>
      <c r="B1818" s="284"/>
      <c r="C1818" s="284"/>
      <c r="D1818" s="284"/>
      <c r="E1818" s="284"/>
      <c r="F1818" s="284"/>
      <c r="G1818" s="284"/>
      <c r="H1818" s="284"/>
      <c r="I1818" s="284"/>
      <c r="J1818" s="375"/>
      <c r="K1818" s="375"/>
      <c r="L1818" s="375"/>
      <c r="M1818" s="368"/>
      <c r="N1818" s="368"/>
      <c r="O1818" s="370"/>
      <c r="T1818" s="349"/>
      <c r="V1818" s="378"/>
      <c r="W1818" s="64" ph="1"/>
      <c r="X1818" s="241"/>
      <c r="Y1818" s="284"/>
      <c r="Z1818" s="207"/>
      <c r="AA1818" s="284"/>
      <c r="AB1818" s="284"/>
      <c r="AC1818" s="284"/>
      <c r="AD1818" s="284"/>
      <c r="AE1818" s="284"/>
      <c r="AF1818" s="284"/>
      <c r="AG1818" s="284"/>
      <c r="AI1818" s="131"/>
    </row>
    <row r="1819" spans="1:35" ht="26.4">
      <c r="A1819" s="284"/>
      <c r="B1819" s="284"/>
      <c r="C1819" s="284"/>
      <c r="D1819" s="284"/>
      <c r="E1819" s="284"/>
      <c r="F1819" s="284"/>
      <c r="G1819" s="284"/>
      <c r="H1819" s="284"/>
      <c r="I1819" s="284"/>
      <c r="J1819" s="375"/>
      <c r="K1819" s="375"/>
      <c r="L1819" s="375"/>
      <c r="M1819" s="368"/>
      <c r="N1819" s="368"/>
      <c r="O1819" s="370"/>
      <c r="T1819" s="349"/>
      <c r="V1819" s="378"/>
      <c r="W1819" s="64" ph="1"/>
      <c r="X1819" s="241"/>
      <c r="Y1819" s="284"/>
      <c r="Z1819" s="207"/>
      <c r="AA1819" s="284"/>
      <c r="AB1819" s="284"/>
      <c r="AC1819" s="284"/>
      <c r="AD1819" s="284"/>
      <c r="AE1819" s="284"/>
      <c r="AF1819" s="284"/>
      <c r="AG1819" s="284"/>
      <c r="AI1819" s="131"/>
    </row>
    <row r="1820" spans="1:35" ht="26.4">
      <c r="A1820" s="284"/>
      <c r="B1820" s="284"/>
      <c r="C1820" s="284"/>
      <c r="D1820" s="284"/>
      <c r="E1820" s="284"/>
      <c r="F1820" s="284"/>
      <c r="G1820" s="284"/>
      <c r="H1820" s="284"/>
      <c r="I1820" s="284"/>
      <c r="J1820" s="375"/>
      <c r="K1820" s="375"/>
      <c r="L1820" s="375"/>
      <c r="M1820" s="368"/>
      <c r="N1820" s="368"/>
      <c r="O1820" s="370"/>
      <c r="T1820" s="349"/>
      <c r="V1820" s="378"/>
      <c r="W1820" s="64" ph="1"/>
      <c r="X1820" s="241"/>
      <c r="Y1820" s="284"/>
      <c r="Z1820" s="207"/>
      <c r="AA1820" s="284"/>
      <c r="AB1820" s="284"/>
      <c r="AC1820" s="284"/>
      <c r="AD1820" s="284"/>
      <c r="AE1820" s="284"/>
      <c r="AF1820" s="284"/>
      <c r="AG1820" s="284"/>
      <c r="AI1820" s="131"/>
    </row>
    <row r="1821" spans="1:35" ht="26.4">
      <c r="A1821" s="284"/>
      <c r="B1821" s="284"/>
      <c r="C1821" s="284"/>
      <c r="D1821" s="284"/>
      <c r="E1821" s="284"/>
      <c r="F1821" s="284"/>
      <c r="G1821" s="284"/>
      <c r="H1821" s="284"/>
      <c r="I1821" s="284"/>
      <c r="J1821" s="375"/>
      <c r="K1821" s="375"/>
      <c r="L1821" s="375"/>
      <c r="M1821" s="368"/>
      <c r="N1821" s="368"/>
      <c r="O1821" s="370"/>
      <c r="T1821" s="349"/>
      <c r="V1821" s="378"/>
      <c r="W1821" s="64" ph="1"/>
      <c r="X1821" s="241"/>
      <c r="Y1821" s="284"/>
      <c r="Z1821" s="207"/>
      <c r="AA1821" s="284"/>
      <c r="AB1821" s="284"/>
      <c r="AC1821" s="284"/>
      <c r="AD1821" s="284"/>
      <c r="AE1821" s="284"/>
      <c r="AF1821" s="284"/>
      <c r="AG1821" s="284"/>
      <c r="AI1821" s="131"/>
    </row>
    <row r="1822" spans="1:35" ht="26.4">
      <c r="A1822" s="284"/>
      <c r="B1822" s="284"/>
      <c r="C1822" s="284"/>
      <c r="D1822" s="284"/>
      <c r="E1822" s="284"/>
      <c r="F1822" s="284"/>
      <c r="G1822" s="284"/>
      <c r="H1822" s="284"/>
      <c r="I1822" s="284"/>
      <c r="J1822" s="375"/>
      <c r="K1822" s="375"/>
      <c r="L1822" s="375"/>
      <c r="M1822" s="368"/>
      <c r="N1822" s="368"/>
      <c r="O1822" s="370"/>
      <c r="T1822" s="349"/>
      <c r="V1822" s="378"/>
      <c r="W1822" s="64" ph="1"/>
      <c r="X1822" s="241"/>
      <c r="Y1822" s="284"/>
      <c r="Z1822" s="207"/>
      <c r="AA1822" s="284"/>
      <c r="AB1822" s="284"/>
      <c r="AC1822" s="284"/>
      <c r="AD1822" s="284"/>
      <c r="AE1822" s="284"/>
      <c r="AF1822" s="284"/>
      <c r="AG1822" s="284"/>
      <c r="AI1822" s="131"/>
    </row>
    <row r="1823" spans="1:35" ht="26.4">
      <c r="A1823" s="284"/>
      <c r="B1823" s="284"/>
      <c r="C1823" s="284"/>
      <c r="D1823" s="284"/>
      <c r="E1823" s="284"/>
      <c r="F1823" s="284"/>
      <c r="G1823" s="284"/>
      <c r="H1823" s="284"/>
      <c r="I1823" s="284"/>
      <c r="J1823" s="375"/>
      <c r="K1823" s="375"/>
      <c r="L1823" s="375"/>
      <c r="M1823" s="368"/>
      <c r="N1823" s="368"/>
      <c r="O1823" s="370"/>
      <c r="T1823" s="349"/>
      <c r="V1823" s="378"/>
      <c r="W1823" s="64" ph="1"/>
      <c r="X1823" s="241"/>
      <c r="Y1823" s="284"/>
      <c r="Z1823" s="207"/>
      <c r="AA1823" s="284"/>
      <c r="AB1823" s="284"/>
      <c r="AC1823" s="284"/>
      <c r="AD1823" s="284"/>
      <c r="AE1823" s="284"/>
      <c r="AF1823" s="284"/>
      <c r="AG1823" s="284"/>
      <c r="AI1823" s="131"/>
    </row>
    <row r="1824" spans="1:35" ht="26.4">
      <c r="A1824" s="284"/>
      <c r="B1824" s="284"/>
      <c r="C1824" s="284"/>
      <c r="D1824" s="284"/>
      <c r="E1824" s="284"/>
      <c r="F1824" s="284"/>
      <c r="G1824" s="284"/>
      <c r="H1824" s="284"/>
      <c r="I1824" s="284"/>
      <c r="J1824" s="375"/>
      <c r="K1824" s="375"/>
      <c r="L1824" s="375"/>
      <c r="M1824" s="368"/>
      <c r="N1824" s="368"/>
      <c r="O1824" s="370"/>
      <c r="T1824" s="349"/>
      <c r="V1824" s="378"/>
      <c r="W1824" s="64" ph="1"/>
      <c r="X1824" s="241"/>
      <c r="Y1824" s="284"/>
      <c r="Z1824" s="207"/>
      <c r="AA1824" s="284"/>
      <c r="AB1824" s="284"/>
      <c r="AC1824" s="284"/>
      <c r="AD1824" s="284"/>
      <c r="AE1824" s="284"/>
      <c r="AF1824" s="284"/>
      <c r="AG1824" s="284"/>
      <c r="AI1824" s="131"/>
    </row>
    <row r="1825" spans="1:35" ht="26.4">
      <c r="A1825" s="284"/>
      <c r="B1825" s="284"/>
      <c r="C1825" s="284"/>
      <c r="D1825" s="284"/>
      <c r="E1825" s="284"/>
      <c r="F1825" s="284"/>
      <c r="G1825" s="284"/>
      <c r="H1825" s="284"/>
      <c r="I1825" s="284"/>
      <c r="J1825" s="375"/>
      <c r="K1825" s="375"/>
      <c r="L1825" s="375"/>
      <c r="M1825" s="368"/>
      <c r="N1825" s="368"/>
      <c r="O1825" s="370"/>
      <c r="T1825" s="349"/>
      <c r="V1825" s="378"/>
      <c r="W1825" s="64" ph="1"/>
      <c r="X1825" s="241"/>
      <c r="Y1825" s="284"/>
      <c r="Z1825" s="207"/>
      <c r="AA1825" s="284"/>
      <c r="AB1825" s="284"/>
      <c r="AC1825" s="284"/>
      <c r="AD1825" s="284"/>
      <c r="AE1825" s="284"/>
      <c r="AF1825" s="284"/>
      <c r="AG1825" s="284"/>
      <c r="AI1825" s="131"/>
    </row>
    <row r="1826" spans="1:35" ht="26.4">
      <c r="A1826" s="284"/>
      <c r="B1826" s="284"/>
      <c r="C1826" s="284"/>
      <c r="D1826" s="284"/>
      <c r="E1826" s="284"/>
      <c r="F1826" s="284"/>
      <c r="G1826" s="284"/>
      <c r="H1826" s="284"/>
      <c r="I1826" s="284"/>
      <c r="J1826" s="375"/>
      <c r="K1826" s="375"/>
      <c r="L1826" s="375"/>
      <c r="M1826" s="368"/>
      <c r="N1826" s="368"/>
      <c r="O1826" s="370"/>
      <c r="T1826" s="349"/>
      <c r="V1826" s="378"/>
      <c r="W1826" s="64" ph="1"/>
      <c r="X1826" s="241"/>
      <c r="Y1826" s="284"/>
      <c r="Z1826" s="207"/>
      <c r="AA1826" s="284"/>
      <c r="AB1826" s="284"/>
      <c r="AC1826" s="284"/>
      <c r="AD1826" s="284"/>
      <c r="AE1826" s="284"/>
      <c r="AF1826" s="284"/>
      <c r="AG1826" s="284"/>
      <c r="AI1826" s="131"/>
    </row>
    <row r="1827" spans="1:35" ht="26.4">
      <c r="A1827" s="284"/>
      <c r="B1827" s="284"/>
      <c r="C1827" s="284"/>
      <c r="D1827" s="284"/>
      <c r="E1827" s="284"/>
      <c r="F1827" s="284"/>
      <c r="G1827" s="284"/>
      <c r="H1827" s="284"/>
      <c r="I1827" s="284"/>
      <c r="J1827" s="375"/>
      <c r="K1827" s="375"/>
      <c r="L1827" s="375"/>
      <c r="M1827" s="368"/>
      <c r="N1827" s="368"/>
      <c r="O1827" s="370"/>
      <c r="T1827" s="349"/>
      <c r="V1827" s="378"/>
      <c r="W1827" s="64" ph="1"/>
      <c r="X1827" s="241"/>
      <c r="Y1827" s="284"/>
      <c r="Z1827" s="207"/>
      <c r="AA1827" s="284"/>
      <c r="AB1827" s="284"/>
      <c r="AC1827" s="284"/>
      <c r="AD1827" s="284"/>
      <c r="AE1827" s="284"/>
      <c r="AF1827" s="284"/>
      <c r="AG1827" s="284"/>
      <c r="AI1827" s="131"/>
    </row>
    <row r="1828" spans="1:35" ht="26.4">
      <c r="A1828" s="284"/>
      <c r="B1828" s="284"/>
      <c r="C1828" s="284"/>
      <c r="D1828" s="284"/>
      <c r="E1828" s="284"/>
      <c r="F1828" s="284"/>
      <c r="G1828" s="284"/>
      <c r="H1828" s="284"/>
      <c r="I1828" s="284"/>
      <c r="J1828" s="375"/>
      <c r="K1828" s="375"/>
      <c r="L1828" s="375"/>
      <c r="M1828" s="368"/>
      <c r="N1828" s="368"/>
      <c r="O1828" s="370"/>
      <c r="T1828" s="349"/>
      <c r="V1828" s="378"/>
      <c r="W1828" s="64" ph="1"/>
      <c r="X1828" s="241"/>
      <c r="Y1828" s="284"/>
      <c r="Z1828" s="207"/>
      <c r="AA1828" s="284"/>
      <c r="AB1828" s="284"/>
      <c r="AC1828" s="284"/>
      <c r="AD1828" s="284"/>
      <c r="AE1828" s="284"/>
      <c r="AF1828" s="284"/>
      <c r="AG1828" s="284"/>
      <c r="AI1828" s="131"/>
    </row>
    <row r="1829" spans="1:35" ht="26.4">
      <c r="A1829" s="284"/>
      <c r="B1829" s="284"/>
      <c r="C1829" s="284"/>
      <c r="D1829" s="284"/>
      <c r="E1829" s="284"/>
      <c r="F1829" s="284"/>
      <c r="G1829" s="284"/>
      <c r="H1829" s="284"/>
      <c r="I1829" s="284"/>
      <c r="J1829" s="375"/>
      <c r="K1829" s="375"/>
      <c r="L1829" s="375"/>
      <c r="M1829" s="368"/>
      <c r="N1829" s="368"/>
      <c r="O1829" s="370"/>
      <c r="T1829" s="349"/>
      <c r="V1829" s="378"/>
      <c r="W1829" s="64" ph="1"/>
      <c r="X1829" s="241"/>
      <c r="Y1829" s="284"/>
      <c r="Z1829" s="207"/>
      <c r="AA1829" s="284"/>
      <c r="AB1829" s="284"/>
      <c r="AC1829" s="284"/>
      <c r="AD1829" s="284"/>
      <c r="AE1829" s="284"/>
      <c r="AF1829" s="284"/>
      <c r="AG1829" s="284"/>
      <c r="AI1829" s="131"/>
    </row>
    <row r="1830" spans="1:35" ht="26.4">
      <c r="A1830" s="284"/>
      <c r="B1830" s="284"/>
      <c r="C1830" s="284"/>
      <c r="D1830" s="284"/>
      <c r="E1830" s="284"/>
      <c r="F1830" s="284"/>
      <c r="G1830" s="284"/>
      <c r="H1830" s="284"/>
      <c r="I1830" s="284"/>
      <c r="J1830" s="375"/>
      <c r="K1830" s="375"/>
      <c r="L1830" s="375"/>
      <c r="M1830" s="368"/>
      <c r="N1830" s="368"/>
      <c r="O1830" s="370"/>
      <c r="T1830" s="349"/>
      <c r="V1830" s="378"/>
      <c r="W1830" s="64" ph="1"/>
      <c r="X1830" s="241"/>
      <c r="Y1830" s="284"/>
      <c r="Z1830" s="207"/>
      <c r="AA1830" s="284"/>
      <c r="AB1830" s="284"/>
      <c r="AC1830" s="284"/>
      <c r="AD1830" s="284"/>
      <c r="AE1830" s="284"/>
      <c r="AF1830" s="284"/>
      <c r="AG1830" s="284"/>
      <c r="AI1830" s="131"/>
    </row>
    <row r="1831" spans="1:35" ht="26.4">
      <c r="A1831" s="284"/>
      <c r="B1831" s="284"/>
      <c r="C1831" s="284"/>
      <c r="D1831" s="284"/>
      <c r="E1831" s="284"/>
      <c r="F1831" s="284"/>
      <c r="G1831" s="284"/>
      <c r="H1831" s="284"/>
      <c r="I1831" s="284"/>
      <c r="J1831" s="375"/>
      <c r="K1831" s="375"/>
      <c r="L1831" s="375"/>
      <c r="M1831" s="368"/>
      <c r="N1831" s="368"/>
      <c r="O1831" s="370"/>
      <c r="T1831" s="349"/>
      <c r="V1831" s="378"/>
      <c r="W1831" s="64" ph="1"/>
      <c r="X1831" s="241"/>
      <c r="Y1831" s="284"/>
      <c r="Z1831" s="207"/>
      <c r="AA1831" s="284"/>
      <c r="AB1831" s="284"/>
      <c r="AC1831" s="284"/>
      <c r="AD1831" s="284"/>
      <c r="AE1831" s="284"/>
      <c r="AF1831" s="284"/>
      <c r="AG1831" s="284"/>
      <c r="AI1831" s="131"/>
    </row>
    <row r="1832" spans="1:35" ht="26.4">
      <c r="A1832" s="284"/>
      <c r="B1832" s="284"/>
      <c r="C1832" s="284"/>
      <c r="D1832" s="284"/>
      <c r="E1832" s="284"/>
      <c r="F1832" s="284"/>
      <c r="G1832" s="284"/>
      <c r="H1832" s="284"/>
      <c r="I1832" s="284"/>
      <c r="J1832" s="375"/>
      <c r="K1832" s="375"/>
      <c r="L1832" s="375"/>
      <c r="M1832" s="368"/>
      <c r="N1832" s="368"/>
      <c r="O1832" s="370"/>
      <c r="T1832" s="349"/>
      <c r="V1832" s="378"/>
      <c r="W1832" s="64" ph="1"/>
      <c r="X1832" s="241"/>
      <c r="Y1832" s="284"/>
      <c r="Z1832" s="207"/>
      <c r="AA1832" s="284"/>
      <c r="AB1832" s="284"/>
      <c r="AC1832" s="284"/>
      <c r="AD1832" s="284"/>
      <c r="AE1832" s="284"/>
      <c r="AF1832" s="284"/>
      <c r="AG1832" s="284"/>
      <c r="AI1832" s="131"/>
    </row>
    <row r="1833" spans="1:35" ht="26.4">
      <c r="A1833" s="284"/>
      <c r="B1833" s="284"/>
      <c r="C1833" s="284"/>
      <c r="D1833" s="284"/>
      <c r="E1833" s="284"/>
      <c r="F1833" s="284"/>
      <c r="G1833" s="284"/>
      <c r="H1833" s="284"/>
      <c r="I1833" s="284"/>
      <c r="J1833" s="375"/>
      <c r="K1833" s="375"/>
      <c r="L1833" s="375"/>
      <c r="M1833" s="368"/>
      <c r="N1833" s="368"/>
      <c r="O1833" s="370"/>
      <c r="T1833" s="349"/>
      <c r="V1833" s="378"/>
      <c r="W1833" s="64" ph="1"/>
      <c r="X1833" s="241"/>
      <c r="Y1833" s="284"/>
      <c r="Z1833" s="207"/>
      <c r="AA1833" s="284"/>
      <c r="AB1833" s="284"/>
      <c r="AC1833" s="284"/>
      <c r="AD1833" s="284"/>
      <c r="AE1833" s="284"/>
      <c r="AF1833" s="284"/>
      <c r="AG1833" s="284"/>
      <c r="AI1833" s="131"/>
    </row>
    <row r="1834" spans="1:35" ht="26.4">
      <c r="A1834" s="284"/>
      <c r="B1834" s="284"/>
      <c r="C1834" s="284"/>
      <c r="D1834" s="284"/>
      <c r="E1834" s="284"/>
      <c r="F1834" s="284"/>
      <c r="G1834" s="284"/>
      <c r="H1834" s="284"/>
      <c r="I1834" s="284"/>
      <c r="J1834" s="375"/>
      <c r="K1834" s="375"/>
      <c r="L1834" s="375"/>
      <c r="M1834" s="368"/>
      <c r="N1834" s="368"/>
      <c r="O1834" s="370"/>
      <c r="T1834" s="349"/>
      <c r="V1834" s="378"/>
      <c r="W1834" s="64" ph="1"/>
      <c r="X1834" s="241"/>
      <c r="Y1834" s="284"/>
      <c r="Z1834" s="207"/>
      <c r="AA1834" s="284"/>
      <c r="AB1834" s="284"/>
      <c r="AC1834" s="284"/>
      <c r="AD1834" s="284"/>
      <c r="AE1834" s="284"/>
      <c r="AF1834" s="284"/>
      <c r="AG1834" s="284"/>
      <c r="AI1834" s="131"/>
    </row>
    <row r="1835" spans="1:35" ht="26.4">
      <c r="A1835" s="284"/>
      <c r="B1835" s="284"/>
      <c r="C1835" s="284"/>
      <c r="D1835" s="284"/>
      <c r="E1835" s="284"/>
      <c r="F1835" s="284"/>
      <c r="G1835" s="284"/>
      <c r="H1835" s="284"/>
      <c r="I1835" s="284"/>
      <c r="J1835" s="375"/>
      <c r="K1835" s="375"/>
      <c r="L1835" s="375"/>
      <c r="M1835" s="368"/>
      <c r="N1835" s="368"/>
      <c r="O1835" s="370"/>
      <c r="T1835" s="349"/>
      <c r="V1835" s="378"/>
      <c r="W1835" s="64" ph="1"/>
      <c r="X1835" s="241"/>
      <c r="Y1835" s="284"/>
      <c r="Z1835" s="207"/>
      <c r="AA1835" s="284"/>
      <c r="AB1835" s="284"/>
      <c r="AC1835" s="284"/>
      <c r="AD1835" s="284"/>
      <c r="AE1835" s="284"/>
      <c r="AF1835" s="284"/>
      <c r="AG1835" s="284"/>
      <c r="AI1835" s="131"/>
    </row>
    <row r="1836" spans="1:35" ht="26.4">
      <c r="A1836" s="284"/>
      <c r="B1836" s="284"/>
      <c r="C1836" s="284"/>
      <c r="D1836" s="284"/>
      <c r="E1836" s="284"/>
      <c r="F1836" s="284"/>
      <c r="G1836" s="284"/>
      <c r="H1836" s="284"/>
      <c r="I1836" s="284"/>
      <c r="J1836" s="375"/>
      <c r="K1836" s="375"/>
      <c r="L1836" s="375"/>
      <c r="M1836" s="368"/>
      <c r="N1836" s="368"/>
      <c r="O1836" s="370"/>
      <c r="T1836" s="349"/>
      <c r="V1836" s="378"/>
      <c r="W1836" s="64" ph="1"/>
      <c r="X1836" s="241"/>
      <c r="Y1836" s="284"/>
      <c r="Z1836" s="207"/>
      <c r="AA1836" s="284"/>
      <c r="AB1836" s="284"/>
      <c r="AC1836" s="284"/>
      <c r="AD1836" s="284"/>
      <c r="AE1836" s="284"/>
      <c r="AF1836" s="284"/>
      <c r="AG1836" s="284"/>
      <c r="AI1836" s="284"/>
    </row>
    <row r="1837" spans="1:35" ht="26.4">
      <c r="A1837" s="284"/>
      <c r="B1837" s="284"/>
      <c r="C1837" s="284"/>
      <c r="D1837" s="284"/>
      <c r="E1837" s="284"/>
      <c r="F1837" s="284"/>
      <c r="G1837" s="284"/>
      <c r="H1837" s="284"/>
      <c r="I1837" s="284"/>
      <c r="J1837" s="375"/>
      <c r="K1837" s="375"/>
      <c r="L1837" s="375"/>
      <c r="M1837" s="368"/>
      <c r="N1837" s="368"/>
      <c r="O1837" s="370"/>
      <c r="T1837" s="349"/>
      <c r="V1837" s="378"/>
      <c r="W1837" s="64" ph="1"/>
      <c r="X1837" s="241"/>
      <c r="Y1837" s="284"/>
      <c r="Z1837" s="207"/>
      <c r="AA1837" s="284"/>
      <c r="AB1837" s="284"/>
      <c r="AC1837" s="284"/>
      <c r="AD1837" s="284"/>
      <c r="AE1837" s="284"/>
      <c r="AF1837" s="284"/>
      <c r="AG1837" s="284"/>
      <c r="AI1837" s="131"/>
    </row>
    <row r="1838" spans="1:35" ht="26.4">
      <c r="A1838" s="284"/>
      <c r="B1838" s="284"/>
      <c r="C1838" s="284"/>
      <c r="D1838" s="284"/>
      <c r="E1838" s="284"/>
      <c r="F1838" s="284"/>
      <c r="G1838" s="284"/>
      <c r="H1838" s="284"/>
      <c r="I1838" s="284"/>
      <c r="J1838" s="375"/>
      <c r="K1838" s="375"/>
      <c r="L1838" s="375"/>
      <c r="M1838" s="368"/>
      <c r="N1838" s="368"/>
      <c r="O1838" s="370"/>
      <c r="T1838" s="349"/>
      <c r="V1838" s="378"/>
      <c r="W1838" s="64" ph="1"/>
      <c r="X1838" s="241"/>
      <c r="Y1838" s="284"/>
      <c r="Z1838" s="207"/>
      <c r="AA1838" s="284"/>
      <c r="AB1838" s="284"/>
      <c r="AC1838" s="284"/>
      <c r="AD1838" s="284"/>
      <c r="AE1838" s="284"/>
      <c r="AF1838" s="284"/>
      <c r="AG1838" s="284"/>
      <c r="AI1838" s="131"/>
    </row>
    <row r="1839" spans="1:35" ht="26.4">
      <c r="A1839" s="284"/>
      <c r="B1839" s="284"/>
      <c r="C1839" s="284"/>
      <c r="D1839" s="284"/>
      <c r="E1839" s="284"/>
      <c r="F1839" s="284"/>
      <c r="G1839" s="284"/>
      <c r="H1839" s="284"/>
      <c r="I1839" s="284"/>
      <c r="J1839" s="375"/>
      <c r="K1839" s="375"/>
      <c r="L1839" s="375"/>
      <c r="M1839" s="368"/>
      <c r="N1839" s="368"/>
      <c r="O1839" s="370"/>
      <c r="T1839" s="349"/>
      <c r="V1839" s="378"/>
      <c r="W1839" s="64" ph="1"/>
      <c r="X1839" s="241"/>
      <c r="Y1839" s="284"/>
      <c r="Z1839" s="207"/>
      <c r="AA1839" s="284"/>
      <c r="AB1839" s="284"/>
      <c r="AC1839" s="284"/>
      <c r="AD1839" s="284"/>
      <c r="AE1839" s="284"/>
      <c r="AF1839" s="284"/>
      <c r="AG1839" s="284"/>
      <c r="AI1839" s="131"/>
    </row>
    <row r="1840" spans="1:35" ht="26.4">
      <c r="A1840" s="284"/>
      <c r="B1840" s="284"/>
      <c r="C1840" s="284"/>
      <c r="D1840" s="284"/>
      <c r="E1840" s="284"/>
      <c r="F1840" s="284"/>
      <c r="G1840" s="284"/>
      <c r="H1840" s="284"/>
      <c r="I1840" s="284"/>
      <c r="J1840" s="375"/>
      <c r="K1840" s="375"/>
      <c r="L1840" s="375"/>
      <c r="M1840" s="368"/>
      <c r="N1840" s="368"/>
      <c r="O1840" s="370"/>
      <c r="T1840" s="349"/>
      <c r="V1840" s="378"/>
      <c r="W1840" s="64" ph="1"/>
      <c r="X1840" s="241"/>
      <c r="Y1840" s="284"/>
      <c r="Z1840" s="207"/>
      <c r="AA1840" s="284"/>
      <c r="AB1840" s="284"/>
      <c r="AC1840" s="284"/>
      <c r="AD1840" s="284"/>
      <c r="AE1840" s="284"/>
      <c r="AF1840" s="284"/>
      <c r="AG1840" s="284"/>
      <c r="AI1840" s="131"/>
    </row>
    <row r="1841" spans="1:35" ht="26.4">
      <c r="A1841" s="284"/>
      <c r="B1841" s="284"/>
      <c r="C1841" s="284"/>
      <c r="D1841" s="284"/>
      <c r="E1841" s="284"/>
      <c r="F1841" s="284"/>
      <c r="G1841" s="284"/>
      <c r="H1841" s="284"/>
      <c r="I1841" s="284"/>
      <c r="J1841" s="375"/>
      <c r="K1841" s="375"/>
      <c r="L1841" s="375"/>
      <c r="M1841" s="368"/>
      <c r="N1841" s="368"/>
      <c r="O1841" s="370"/>
      <c r="T1841" s="349"/>
      <c r="V1841" s="378"/>
      <c r="W1841" s="64" ph="1"/>
      <c r="X1841" s="241"/>
      <c r="Y1841" s="284"/>
      <c r="Z1841" s="207"/>
      <c r="AA1841" s="284"/>
      <c r="AB1841" s="284"/>
      <c r="AC1841" s="284"/>
      <c r="AD1841" s="284"/>
      <c r="AE1841" s="284"/>
      <c r="AF1841" s="284"/>
      <c r="AG1841" s="284"/>
      <c r="AI1841" s="284"/>
    </row>
    <row r="1842" spans="1:35" ht="26.4">
      <c r="A1842" s="284"/>
      <c r="B1842" s="284"/>
      <c r="C1842" s="284"/>
      <c r="D1842" s="284"/>
      <c r="E1842" s="284"/>
      <c r="F1842" s="284"/>
      <c r="G1842" s="284"/>
      <c r="H1842" s="284"/>
      <c r="I1842" s="284"/>
      <c r="J1842" s="375"/>
      <c r="K1842" s="375"/>
      <c r="L1842" s="375"/>
      <c r="M1842" s="368"/>
      <c r="N1842" s="368"/>
      <c r="O1842" s="370"/>
      <c r="T1842" s="349"/>
      <c r="V1842" s="378"/>
      <c r="W1842" s="64" ph="1"/>
      <c r="X1842" s="241"/>
      <c r="Y1842" s="284"/>
      <c r="Z1842" s="207"/>
      <c r="AA1842" s="284"/>
      <c r="AB1842" s="284"/>
      <c r="AC1842" s="284"/>
      <c r="AD1842" s="284"/>
      <c r="AE1842" s="284"/>
      <c r="AF1842" s="284"/>
      <c r="AG1842" s="284"/>
      <c r="AI1842" s="131"/>
    </row>
    <row r="1843" spans="1:35" ht="26.4">
      <c r="A1843" s="284"/>
      <c r="B1843" s="284"/>
      <c r="C1843" s="284"/>
      <c r="D1843" s="284"/>
      <c r="E1843" s="284"/>
      <c r="F1843" s="284"/>
      <c r="G1843" s="284"/>
      <c r="H1843" s="284"/>
      <c r="I1843" s="284"/>
      <c r="J1843" s="375"/>
      <c r="K1843" s="375"/>
      <c r="L1843" s="375"/>
      <c r="M1843" s="368"/>
      <c r="N1843" s="368"/>
      <c r="O1843" s="370"/>
      <c r="T1843" s="349"/>
      <c r="V1843" s="378"/>
      <c r="W1843" s="64" ph="1"/>
      <c r="X1843" s="241"/>
      <c r="Y1843" s="284"/>
      <c r="Z1843" s="207"/>
      <c r="AA1843" s="284"/>
      <c r="AB1843" s="284"/>
      <c r="AC1843" s="284"/>
      <c r="AD1843" s="284"/>
      <c r="AE1843" s="284"/>
      <c r="AF1843" s="284"/>
      <c r="AG1843" s="284"/>
      <c r="AI1843" s="131"/>
    </row>
    <row r="1844" spans="1:35" ht="26.4">
      <c r="A1844" s="284"/>
      <c r="B1844" s="284"/>
      <c r="C1844" s="284"/>
      <c r="D1844" s="284"/>
      <c r="E1844" s="284"/>
      <c r="F1844" s="284"/>
      <c r="G1844" s="284"/>
      <c r="H1844" s="284"/>
      <c r="I1844" s="284"/>
      <c r="J1844" s="375"/>
      <c r="K1844" s="375"/>
      <c r="L1844" s="375"/>
      <c r="M1844" s="368"/>
      <c r="N1844" s="368"/>
      <c r="O1844" s="370"/>
      <c r="T1844" s="349"/>
      <c r="V1844" s="378"/>
      <c r="W1844" s="64" ph="1"/>
      <c r="X1844" s="241"/>
      <c r="Y1844" s="284"/>
      <c r="Z1844" s="207"/>
      <c r="AA1844" s="284"/>
      <c r="AB1844" s="284"/>
      <c r="AC1844" s="284"/>
      <c r="AD1844" s="284"/>
      <c r="AE1844" s="284"/>
      <c r="AF1844" s="284"/>
      <c r="AG1844" s="284"/>
      <c r="AI1844" s="131"/>
    </row>
    <row r="1845" spans="1:35" ht="26.4">
      <c r="A1845" s="284"/>
      <c r="B1845" s="284"/>
      <c r="C1845" s="284"/>
      <c r="D1845" s="284"/>
      <c r="E1845" s="284"/>
      <c r="F1845" s="284"/>
      <c r="G1845" s="284"/>
      <c r="H1845" s="284"/>
      <c r="I1845" s="284"/>
      <c r="J1845" s="375"/>
      <c r="K1845" s="375"/>
      <c r="L1845" s="375"/>
      <c r="M1845" s="368"/>
      <c r="N1845" s="368"/>
      <c r="O1845" s="370"/>
      <c r="T1845" s="349"/>
      <c r="V1845" s="378"/>
      <c r="W1845" s="64" ph="1"/>
      <c r="X1845" s="241"/>
      <c r="Y1845" s="284"/>
      <c r="Z1845" s="207"/>
      <c r="AA1845" s="284"/>
      <c r="AB1845" s="284"/>
      <c r="AC1845" s="284"/>
      <c r="AD1845" s="284"/>
      <c r="AE1845" s="284"/>
      <c r="AF1845" s="284"/>
      <c r="AG1845" s="284"/>
      <c r="AI1845" s="131"/>
    </row>
    <row r="1846" spans="1:35" ht="26.4">
      <c r="A1846" s="284"/>
      <c r="B1846" s="284"/>
      <c r="C1846" s="284"/>
      <c r="D1846" s="284"/>
      <c r="E1846" s="284"/>
      <c r="F1846" s="284"/>
      <c r="G1846" s="284"/>
      <c r="H1846" s="284"/>
      <c r="I1846" s="284"/>
      <c r="J1846" s="375"/>
      <c r="K1846" s="375"/>
      <c r="L1846" s="375"/>
      <c r="M1846" s="368"/>
      <c r="N1846" s="368"/>
      <c r="O1846" s="370"/>
      <c r="T1846" s="349"/>
      <c r="V1846" s="378"/>
      <c r="W1846" s="64" ph="1"/>
      <c r="X1846" s="241"/>
      <c r="Y1846" s="284"/>
      <c r="Z1846" s="207"/>
      <c r="AA1846" s="284"/>
      <c r="AB1846" s="284"/>
      <c r="AC1846" s="284"/>
      <c r="AD1846" s="284"/>
      <c r="AE1846" s="284"/>
      <c r="AF1846" s="284"/>
      <c r="AG1846" s="284"/>
      <c r="AI1846" s="131"/>
    </row>
    <row r="1847" spans="1:35" ht="26.4">
      <c r="A1847" s="284"/>
      <c r="B1847" s="284"/>
      <c r="C1847" s="284"/>
      <c r="D1847" s="284"/>
      <c r="E1847" s="284"/>
      <c r="F1847" s="284"/>
      <c r="G1847" s="284"/>
      <c r="H1847" s="284"/>
      <c r="I1847" s="284"/>
      <c r="J1847" s="375"/>
      <c r="K1847" s="375"/>
      <c r="L1847" s="375"/>
      <c r="M1847" s="368"/>
      <c r="N1847" s="368"/>
      <c r="O1847" s="370"/>
      <c r="T1847" s="349"/>
      <c r="V1847" s="378"/>
      <c r="W1847" s="64" ph="1"/>
      <c r="X1847" s="241"/>
      <c r="Y1847" s="284"/>
      <c r="Z1847" s="207"/>
      <c r="AA1847" s="284"/>
      <c r="AB1847" s="284"/>
      <c r="AC1847" s="284"/>
      <c r="AD1847" s="284"/>
      <c r="AE1847" s="284"/>
      <c r="AF1847" s="284"/>
      <c r="AG1847" s="284"/>
      <c r="AI1847" s="131"/>
    </row>
    <row r="1848" spans="1:35" ht="26.4">
      <c r="A1848" s="284"/>
      <c r="B1848" s="284"/>
      <c r="C1848" s="284"/>
      <c r="D1848" s="284"/>
      <c r="E1848" s="284"/>
      <c r="F1848" s="284"/>
      <c r="G1848" s="284"/>
      <c r="H1848" s="284"/>
      <c r="I1848" s="284"/>
      <c r="J1848" s="375"/>
      <c r="K1848" s="375"/>
      <c r="L1848" s="375"/>
      <c r="M1848" s="368"/>
      <c r="N1848" s="368"/>
      <c r="O1848" s="370"/>
      <c r="T1848" s="349"/>
      <c r="V1848" s="378"/>
      <c r="W1848" s="64" ph="1"/>
      <c r="X1848" s="241"/>
      <c r="Y1848" s="284"/>
      <c r="Z1848" s="207"/>
      <c r="AA1848" s="284"/>
      <c r="AB1848" s="284"/>
      <c r="AC1848" s="284"/>
      <c r="AD1848" s="284"/>
      <c r="AE1848" s="284"/>
      <c r="AF1848" s="284"/>
      <c r="AG1848" s="284"/>
      <c r="AI1848" s="131"/>
    </row>
    <row r="1849" spans="1:35" ht="26.4">
      <c r="A1849" s="284"/>
      <c r="B1849" s="284"/>
      <c r="C1849" s="284"/>
      <c r="D1849" s="284"/>
      <c r="E1849" s="284"/>
      <c r="F1849" s="284"/>
      <c r="G1849" s="284"/>
      <c r="H1849" s="284"/>
      <c r="I1849" s="284"/>
      <c r="J1849" s="375"/>
      <c r="K1849" s="375"/>
      <c r="L1849" s="375"/>
      <c r="M1849" s="368"/>
      <c r="N1849" s="368"/>
      <c r="O1849" s="370"/>
      <c r="T1849" s="349"/>
      <c r="V1849" s="378"/>
      <c r="W1849" s="64" ph="1"/>
      <c r="X1849" s="241"/>
      <c r="Y1849" s="284"/>
      <c r="Z1849" s="207"/>
      <c r="AA1849" s="284"/>
      <c r="AB1849" s="284"/>
      <c r="AC1849" s="284"/>
      <c r="AD1849" s="284"/>
      <c r="AE1849" s="284"/>
      <c r="AF1849" s="284"/>
      <c r="AG1849" s="284"/>
      <c r="AI1849" s="131"/>
    </row>
    <row r="1850" spans="1:35" ht="26.4">
      <c r="A1850" s="284"/>
      <c r="B1850" s="284"/>
      <c r="C1850" s="284"/>
      <c r="D1850" s="284"/>
      <c r="E1850" s="284"/>
      <c r="F1850" s="284"/>
      <c r="G1850" s="284"/>
      <c r="H1850" s="284"/>
      <c r="I1850" s="284"/>
      <c r="J1850" s="375"/>
      <c r="K1850" s="375"/>
      <c r="L1850" s="375"/>
      <c r="M1850" s="368"/>
      <c r="N1850" s="368"/>
      <c r="O1850" s="370"/>
      <c r="T1850" s="349"/>
      <c r="V1850" s="378"/>
      <c r="W1850" s="64" ph="1"/>
      <c r="X1850" s="241"/>
      <c r="Y1850" s="284"/>
      <c r="Z1850" s="207"/>
      <c r="AA1850" s="284"/>
      <c r="AB1850" s="284"/>
      <c r="AC1850" s="284"/>
      <c r="AD1850" s="284"/>
      <c r="AE1850" s="284"/>
      <c r="AF1850" s="284"/>
      <c r="AG1850" s="284"/>
      <c r="AI1850" s="131"/>
    </row>
    <row r="1851" spans="1:35" ht="26.4">
      <c r="A1851" s="284"/>
      <c r="B1851" s="284"/>
      <c r="C1851" s="284"/>
      <c r="D1851" s="284"/>
      <c r="E1851" s="284"/>
      <c r="F1851" s="284"/>
      <c r="G1851" s="284"/>
      <c r="H1851" s="284"/>
      <c r="I1851" s="284"/>
      <c r="J1851" s="375"/>
      <c r="K1851" s="375"/>
      <c r="L1851" s="375"/>
      <c r="M1851" s="368"/>
      <c r="N1851" s="368"/>
      <c r="O1851" s="370"/>
      <c r="T1851" s="349"/>
      <c r="V1851" s="378"/>
      <c r="W1851" s="64" ph="1"/>
      <c r="X1851" s="241"/>
      <c r="Y1851" s="284"/>
      <c r="Z1851" s="207"/>
      <c r="AA1851" s="284"/>
      <c r="AB1851" s="284"/>
      <c r="AC1851" s="284"/>
      <c r="AD1851" s="284"/>
      <c r="AE1851" s="284"/>
      <c r="AF1851" s="284"/>
      <c r="AG1851" s="284"/>
      <c r="AI1851" s="131"/>
    </row>
    <row r="1852" spans="1:35" ht="26.4">
      <c r="A1852" s="284"/>
      <c r="B1852" s="284"/>
      <c r="C1852" s="284"/>
      <c r="D1852" s="284"/>
      <c r="E1852" s="284"/>
      <c r="F1852" s="284"/>
      <c r="G1852" s="284"/>
      <c r="H1852" s="284"/>
      <c r="I1852" s="284"/>
      <c r="J1852" s="375"/>
      <c r="K1852" s="375"/>
      <c r="L1852" s="375"/>
      <c r="M1852" s="368"/>
      <c r="N1852" s="368"/>
      <c r="O1852" s="370"/>
      <c r="T1852" s="349"/>
      <c r="V1852" s="378"/>
      <c r="W1852" s="64" ph="1"/>
      <c r="X1852" s="241"/>
      <c r="Y1852" s="284"/>
      <c r="Z1852" s="207"/>
      <c r="AA1852" s="284"/>
      <c r="AB1852" s="284"/>
      <c r="AC1852" s="284"/>
      <c r="AD1852" s="284"/>
      <c r="AE1852" s="284"/>
      <c r="AF1852" s="284"/>
      <c r="AG1852" s="284"/>
      <c r="AI1852" s="131"/>
    </row>
    <row r="1853" spans="1:35" ht="26.4">
      <c r="A1853" s="284"/>
      <c r="B1853" s="284"/>
      <c r="C1853" s="284"/>
      <c r="D1853" s="284"/>
      <c r="E1853" s="284"/>
      <c r="F1853" s="284"/>
      <c r="G1853" s="284"/>
      <c r="H1853" s="284"/>
      <c r="I1853" s="284"/>
      <c r="J1853" s="375"/>
      <c r="K1853" s="375"/>
      <c r="L1853" s="375"/>
      <c r="M1853" s="368"/>
      <c r="N1853" s="368"/>
      <c r="O1853" s="370"/>
      <c r="T1853" s="349"/>
      <c r="V1853" s="378"/>
      <c r="W1853" s="64" ph="1"/>
      <c r="X1853" s="241"/>
      <c r="Y1853" s="284"/>
      <c r="Z1853" s="207"/>
      <c r="AA1853" s="284"/>
      <c r="AB1853" s="284"/>
      <c r="AC1853" s="284"/>
      <c r="AD1853" s="284"/>
      <c r="AE1853" s="284"/>
      <c r="AF1853" s="284"/>
      <c r="AG1853" s="284"/>
      <c r="AI1853" s="284"/>
    </row>
    <row r="1854" spans="1:35" ht="26.4">
      <c r="A1854" s="284"/>
      <c r="B1854" s="284"/>
      <c r="C1854" s="284"/>
      <c r="D1854" s="284"/>
      <c r="E1854" s="284"/>
      <c r="F1854" s="284"/>
      <c r="G1854" s="284"/>
      <c r="H1854" s="284"/>
      <c r="I1854" s="284"/>
      <c r="J1854" s="375"/>
      <c r="K1854" s="375"/>
      <c r="L1854" s="375"/>
      <c r="M1854" s="368"/>
      <c r="N1854" s="368"/>
      <c r="O1854" s="370"/>
      <c r="T1854" s="349"/>
      <c r="V1854" s="378"/>
      <c r="W1854" s="64" ph="1"/>
      <c r="X1854" s="241"/>
      <c r="Y1854" s="284"/>
      <c r="Z1854" s="207"/>
      <c r="AA1854" s="284"/>
      <c r="AB1854" s="284"/>
      <c r="AC1854" s="284"/>
      <c r="AD1854" s="284"/>
      <c r="AE1854" s="284"/>
      <c r="AF1854" s="284"/>
      <c r="AG1854" s="284"/>
      <c r="AI1854" s="284"/>
    </row>
    <row r="1855" spans="1:35" ht="26.4">
      <c r="A1855" s="284"/>
      <c r="B1855" s="284"/>
      <c r="C1855" s="284"/>
      <c r="D1855" s="284"/>
      <c r="E1855" s="284"/>
      <c r="F1855" s="284"/>
      <c r="G1855" s="284"/>
      <c r="H1855" s="284"/>
      <c r="I1855" s="284"/>
      <c r="J1855" s="375"/>
      <c r="K1855" s="375"/>
      <c r="L1855" s="375"/>
      <c r="M1855" s="368"/>
      <c r="N1855" s="368"/>
      <c r="O1855" s="370"/>
      <c r="T1855" s="349"/>
      <c r="V1855" s="378"/>
      <c r="W1855" s="64" ph="1"/>
      <c r="X1855" s="241"/>
      <c r="Y1855" s="284"/>
      <c r="Z1855" s="207"/>
      <c r="AA1855" s="284"/>
      <c r="AB1855" s="284"/>
      <c r="AC1855" s="284"/>
      <c r="AD1855" s="284"/>
      <c r="AE1855" s="284"/>
      <c r="AF1855" s="284"/>
      <c r="AG1855" s="284"/>
      <c r="AI1855" s="284"/>
    </row>
    <row r="1856" spans="1:35" ht="26.4">
      <c r="A1856" s="284"/>
      <c r="B1856" s="284"/>
      <c r="C1856" s="284"/>
      <c r="D1856" s="284"/>
      <c r="E1856" s="284"/>
      <c r="F1856" s="284"/>
      <c r="G1856" s="284"/>
      <c r="H1856" s="284"/>
      <c r="I1856" s="284"/>
      <c r="J1856" s="375"/>
      <c r="K1856" s="375"/>
      <c r="L1856" s="375"/>
      <c r="M1856" s="368"/>
      <c r="N1856" s="368"/>
      <c r="O1856" s="370"/>
      <c r="T1856" s="349"/>
      <c r="V1856" s="378"/>
      <c r="W1856" s="64" ph="1"/>
      <c r="X1856" s="241"/>
      <c r="Y1856" s="284"/>
      <c r="Z1856" s="207"/>
      <c r="AA1856" s="284"/>
      <c r="AB1856" s="284"/>
      <c r="AC1856" s="284"/>
      <c r="AD1856" s="284"/>
      <c r="AE1856" s="284"/>
      <c r="AF1856" s="284"/>
      <c r="AG1856" s="284"/>
      <c r="AI1856" s="284"/>
    </row>
    <row r="1857" spans="1:35" ht="26.4">
      <c r="A1857" s="284"/>
      <c r="B1857" s="284"/>
      <c r="C1857" s="284"/>
      <c r="D1857" s="284"/>
      <c r="E1857" s="284"/>
      <c r="F1857" s="284"/>
      <c r="G1857" s="284"/>
      <c r="H1857" s="284"/>
      <c r="I1857" s="284"/>
      <c r="J1857" s="375"/>
      <c r="K1857" s="375"/>
      <c r="L1857" s="375"/>
      <c r="M1857" s="368"/>
      <c r="N1857" s="368"/>
      <c r="O1857" s="370"/>
      <c r="T1857" s="349"/>
      <c r="V1857" s="378"/>
      <c r="W1857" s="64" ph="1"/>
      <c r="X1857" s="241"/>
      <c r="Y1857" s="284"/>
      <c r="Z1857" s="207"/>
      <c r="AA1857" s="284"/>
      <c r="AB1857" s="284"/>
      <c r="AC1857" s="284"/>
      <c r="AD1857" s="284"/>
      <c r="AE1857" s="284"/>
      <c r="AF1857" s="284"/>
      <c r="AG1857" s="284"/>
      <c r="AI1857" s="284"/>
    </row>
    <row r="1858" spans="1:35" ht="26.4">
      <c r="A1858" s="284"/>
      <c r="B1858" s="284"/>
      <c r="C1858" s="284"/>
      <c r="D1858" s="284"/>
      <c r="E1858" s="284"/>
      <c r="F1858" s="284"/>
      <c r="G1858" s="284"/>
      <c r="H1858" s="284"/>
      <c r="I1858" s="284"/>
      <c r="J1858" s="375"/>
      <c r="K1858" s="375"/>
      <c r="L1858" s="375"/>
      <c r="M1858" s="368"/>
      <c r="N1858" s="368"/>
      <c r="O1858" s="370"/>
      <c r="T1858" s="349"/>
      <c r="V1858" s="378"/>
      <c r="W1858" s="64" ph="1"/>
      <c r="X1858" s="241"/>
      <c r="Y1858" s="284"/>
      <c r="Z1858" s="207"/>
      <c r="AA1858" s="284"/>
      <c r="AB1858" s="284"/>
      <c r="AC1858" s="284"/>
      <c r="AD1858" s="284"/>
      <c r="AE1858" s="284"/>
      <c r="AF1858" s="284"/>
      <c r="AG1858" s="284"/>
      <c r="AI1858" s="284"/>
    </row>
    <row r="1859" spans="1:35" ht="26.4">
      <c r="A1859" s="284"/>
      <c r="B1859" s="284"/>
      <c r="C1859" s="284"/>
      <c r="D1859" s="284"/>
      <c r="E1859" s="284"/>
      <c r="F1859" s="284"/>
      <c r="G1859" s="284"/>
      <c r="H1859" s="284"/>
      <c r="I1859" s="284"/>
      <c r="J1859" s="375"/>
      <c r="K1859" s="375"/>
      <c r="L1859" s="375"/>
      <c r="M1859" s="368"/>
      <c r="N1859" s="368"/>
      <c r="O1859" s="370"/>
      <c r="T1859" s="349"/>
      <c r="V1859" s="378"/>
      <c r="W1859" s="64" ph="1"/>
      <c r="X1859" s="241"/>
      <c r="Y1859" s="284"/>
      <c r="Z1859" s="207"/>
      <c r="AA1859" s="284"/>
      <c r="AB1859" s="284"/>
      <c r="AC1859" s="284"/>
      <c r="AD1859" s="284"/>
      <c r="AE1859" s="284"/>
      <c r="AF1859" s="284"/>
      <c r="AG1859" s="284"/>
      <c r="AI1859" s="284"/>
    </row>
    <row r="1860" spans="1:35" ht="26.4">
      <c r="A1860" s="284"/>
      <c r="B1860" s="284"/>
      <c r="C1860" s="284"/>
      <c r="D1860" s="284"/>
      <c r="E1860" s="284"/>
      <c r="F1860" s="284"/>
      <c r="G1860" s="284"/>
      <c r="H1860" s="284"/>
      <c r="I1860" s="284"/>
      <c r="J1860" s="375"/>
      <c r="K1860" s="375"/>
      <c r="L1860" s="375"/>
      <c r="M1860" s="368"/>
      <c r="N1860" s="368"/>
      <c r="O1860" s="370"/>
      <c r="T1860" s="349"/>
      <c r="V1860" s="378"/>
      <c r="W1860" s="64" ph="1"/>
      <c r="X1860" s="241"/>
      <c r="Y1860" s="284"/>
      <c r="Z1860" s="207"/>
      <c r="AA1860" s="284"/>
      <c r="AB1860" s="284"/>
      <c r="AC1860" s="284"/>
      <c r="AD1860" s="284"/>
      <c r="AE1860" s="284"/>
      <c r="AF1860" s="284"/>
      <c r="AG1860" s="284"/>
      <c r="AI1860" s="284"/>
    </row>
    <row r="1861" spans="1:35" ht="26.4">
      <c r="A1861" s="284"/>
      <c r="B1861" s="284"/>
      <c r="C1861" s="284"/>
      <c r="D1861" s="284"/>
      <c r="E1861" s="284"/>
      <c r="F1861" s="284"/>
      <c r="G1861" s="284"/>
      <c r="H1861" s="284"/>
      <c r="I1861" s="284"/>
      <c r="J1861" s="375"/>
      <c r="K1861" s="375"/>
      <c r="L1861" s="375"/>
      <c r="M1861" s="368"/>
      <c r="N1861" s="368"/>
      <c r="O1861" s="370"/>
      <c r="T1861" s="349"/>
      <c r="V1861" s="378"/>
      <c r="W1861" s="64" ph="1"/>
      <c r="X1861" s="241"/>
      <c r="Y1861" s="284"/>
      <c r="Z1861" s="207"/>
      <c r="AA1861" s="284"/>
      <c r="AB1861" s="284"/>
      <c r="AC1861" s="284"/>
      <c r="AD1861" s="284"/>
      <c r="AE1861" s="284"/>
      <c r="AF1861" s="284"/>
      <c r="AG1861" s="284"/>
      <c r="AI1861" s="284"/>
    </row>
    <row r="1862" spans="1:35" ht="26.4">
      <c r="A1862" s="284"/>
      <c r="B1862" s="284"/>
      <c r="C1862" s="284"/>
      <c r="D1862" s="284"/>
      <c r="E1862" s="284"/>
      <c r="F1862" s="284"/>
      <c r="G1862" s="284"/>
      <c r="H1862" s="284"/>
      <c r="I1862" s="284"/>
      <c r="J1862" s="375"/>
      <c r="K1862" s="375"/>
      <c r="L1862" s="375"/>
      <c r="M1862" s="368"/>
      <c r="N1862" s="368"/>
      <c r="O1862" s="370"/>
      <c r="T1862" s="349"/>
      <c r="V1862" s="378"/>
      <c r="W1862" s="64" ph="1"/>
      <c r="X1862" s="241"/>
      <c r="Y1862" s="284"/>
      <c r="Z1862" s="207"/>
      <c r="AA1862" s="284"/>
      <c r="AB1862" s="284"/>
      <c r="AC1862" s="284"/>
      <c r="AD1862" s="284"/>
      <c r="AE1862" s="284"/>
      <c r="AF1862" s="284"/>
      <c r="AG1862" s="284"/>
      <c r="AI1862" s="131"/>
    </row>
    <row r="1863" spans="1:35" ht="26.4">
      <c r="A1863" s="284"/>
      <c r="B1863" s="284"/>
      <c r="C1863" s="284"/>
      <c r="D1863" s="284"/>
      <c r="E1863" s="284"/>
      <c r="F1863" s="284"/>
      <c r="G1863" s="284"/>
      <c r="H1863" s="284"/>
      <c r="I1863" s="284"/>
      <c r="J1863" s="375"/>
      <c r="K1863" s="375"/>
      <c r="L1863" s="375"/>
      <c r="M1863" s="368"/>
      <c r="N1863" s="368"/>
      <c r="O1863" s="370"/>
      <c r="T1863" s="349"/>
      <c r="V1863" s="378"/>
      <c r="W1863" s="64" ph="1"/>
      <c r="X1863" s="241"/>
      <c r="Y1863" s="284"/>
      <c r="Z1863" s="207"/>
      <c r="AA1863" s="284"/>
      <c r="AB1863" s="284"/>
      <c r="AC1863" s="284"/>
      <c r="AD1863" s="284"/>
      <c r="AE1863" s="284"/>
      <c r="AF1863" s="284"/>
      <c r="AG1863" s="284"/>
      <c r="AI1863" s="284"/>
    </row>
    <row r="1864" spans="1:35" ht="26.4">
      <c r="A1864" s="284"/>
      <c r="B1864" s="284"/>
      <c r="C1864" s="284"/>
      <c r="D1864" s="284"/>
      <c r="E1864" s="284"/>
      <c r="F1864" s="284"/>
      <c r="G1864" s="284"/>
      <c r="H1864" s="284"/>
      <c r="I1864" s="284"/>
      <c r="J1864" s="375"/>
      <c r="K1864" s="375"/>
      <c r="L1864" s="375"/>
      <c r="M1864" s="368"/>
      <c r="N1864" s="368"/>
      <c r="O1864" s="370"/>
      <c r="T1864" s="349"/>
      <c r="V1864" s="378"/>
      <c r="W1864" s="64" ph="1"/>
      <c r="X1864" s="241"/>
      <c r="Y1864" s="284"/>
      <c r="Z1864" s="207"/>
      <c r="AA1864" s="284"/>
      <c r="AB1864" s="284"/>
      <c r="AC1864" s="284"/>
      <c r="AD1864" s="284"/>
      <c r="AE1864" s="284"/>
      <c r="AF1864" s="284"/>
      <c r="AG1864" s="284"/>
      <c r="AI1864" s="284"/>
    </row>
    <row r="1865" spans="1:35" ht="26.4">
      <c r="A1865" s="284"/>
      <c r="B1865" s="284"/>
      <c r="C1865" s="284"/>
      <c r="D1865" s="284"/>
      <c r="E1865" s="284"/>
      <c r="F1865" s="284"/>
      <c r="G1865" s="284"/>
      <c r="H1865" s="284"/>
      <c r="I1865" s="284"/>
      <c r="J1865" s="375"/>
      <c r="K1865" s="375"/>
      <c r="L1865" s="375"/>
      <c r="M1865" s="368"/>
      <c r="N1865" s="368"/>
      <c r="O1865" s="370"/>
      <c r="T1865" s="349"/>
      <c r="V1865" s="378"/>
      <c r="W1865" s="64" ph="1"/>
      <c r="X1865" s="241"/>
      <c r="Y1865" s="284"/>
      <c r="Z1865" s="207"/>
      <c r="AA1865" s="284"/>
      <c r="AB1865" s="284"/>
      <c r="AC1865" s="284"/>
      <c r="AD1865" s="284"/>
      <c r="AE1865" s="284"/>
      <c r="AF1865" s="284"/>
      <c r="AG1865" s="284"/>
      <c r="AI1865" s="284"/>
    </row>
    <row r="1866" spans="1:35" ht="26.4">
      <c r="A1866" s="284"/>
      <c r="B1866" s="284"/>
      <c r="C1866" s="284"/>
      <c r="D1866" s="284"/>
      <c r="E1866" s="284"/>
      <c r="F1866" s="284"/>
      <c r="G1866" s="284"/>
      <c r="H1866" s="284"/>
      <c r="I1866" s="284"/>
      <c r="J1866" s="375"/>
      <c r="K1866" s="375"/>
      <c r="L1866" s="375"/>
      <c r="M1866" s="368"/>
      <c r="N1866" s="368"/>
      <c r="O1866" s="370"/>
      <c r="T1866" s="349"/>
      <c r="V1866" s="378"/>
      <c r="W1866" s="64" ph="1"/>
      <c r="X1866" s="241"/>
      <c r="Y1866" s="284"/>
      <c r="Z1866" s="207"/>
      <c r="AA1866" s="284"/>
      <c r="AB1866" s="284"/>
      <c r="AC1866" s="284"/>
      <c r="AD1866" s="284"/>
      <c r="AE1866" s="284"/>
      <c r="AF1866" s="284"/>
      <c r="AG1866" s="284"/>
      <c r="AI1866" s="131"/>
    </row>
    <row r="1867" spans="1:35" ht="26.4">
      <c r="A1867" s="284"/>
      <c r="B1867" s="284"/>
      <c r="C1867" s="284"/>
      <c r="D1867" s="284"/>
      <c r="E1867" s="284"/>
      <c r="F1867" s="284"/>
      <c r="G1867" s="284"/>
      <c r="H1867" s="284"/>
      <c r="I1867" s="284"/>
      <c r="J1867" s="375"/>
      <c r="K1867" s="375"/>
      <c r="L1867" s="375"/>
      <c r="M1867" s="368"/>
      <c r="N1867" s="368"/>
      <c r="O1867" s="370"/>
      <c r="T1867" s="349"/>
      <c r="V1867" s="378"/>
      <c r="W1867" s="64" ph="1"/>
      <c r="X1867" s="241"/>
      <c r="Y1867" s="284"/>
      <c r="Z1867" s="207"/>
      <c r="AA1867" s="284"/>
      <c r="AB1867" s="284"/>
      <c r="AC1867" s="284"/>
      <c r="AD1867" s="284"/>
      <c r="AE1867" s="284"/>
      <c r="AF1867" s="284"/>
      <c r="AG1867" s="284"/>
      <c r="AI1867" s="284"/>
    </row>
    <row r="1868" spans="1:35" ht="26.4">
      <c r="A1868" s="284"/>
      <c r="B1868" s="284"/>
      <c r="C1868" s="284"/>
      <c r="D1868" s="284"/>
      <c r="E1868" s="284"/>
      <c r="F1868" s="284"/>
      <c r="G1868" s="284"/>
      <c r="H1868" s="284"/>
      <c r="I1868" s="284"/>
      <c r="J1868" s="375"/>
      <c r="K1868" s="375"/>
      <c r="L1868" s="375"/>
      <c r="M1868" s="368"/>
      <c r="N1868" s="368"/>
      <c r="O1868" s="370"/>
      <c r="T1868" s="349"/>
      <c r="V1868" s="378"/>
      <c r="W1868" s="64" ph="1"/>
      <c r="X1868" s="241"/>
      <c r="Y1868" s="284"/>
      <c r="Z1868" s="207"/>
      <c r="AA1868" s="284"/>
      <c r="AB1868" s="284"/>
      <c r="AC1868" s="284"/>
      <c r="AD1868" s="284"/>
      <c r="AE1868" s="284"/>
      <c r="AF1868" s="284"/>
      <c r="AG1868" s="284"/>
      <c r="AI1868" s="284"/>
    </row>
    <row r="1869" spans="1:35" ht="26.4">
      <c r="A1869" s="284"/>
      <c r="B1869" s="284"/>
      <c r="C1869" s="284"/>
      <c r="D1869" s="284"/>
      <c r="E1869" s="284"/>
      <c r="F1869" s="284"/>
      <c r="G1869" s="284"/>
      <c r="H1869" s="284"/>
      <c r="I1869" s="284"/>
      <c r="J1869" s="375"/>
      <c r="K1869" s="375"/>
      <c r="L1869" s="375"/>
      <c r="M1869" s="368"/>
      <c r="N1869" s="368"/>
      <c r="O1869" s="370"/>
      <c r="T1869" s="349"/>
      <c r="V1869" s="378"/>
      <c r="W1869" s="64" ph="1"/>
      <c r="X1869" s="241"/>
      <c r="Y1869" s="284"/>
      <c r="Z1869" s="207"/>
      <c r="AA1869" s="284"/>
      <c r="AB1869" s="284"/>
      <c r="AC1869" s="284"/>
      <c r="AD1869" s="284"/>
      <c r="AE1869" s="284"/>
      <c r="AF1869" s="284"/>
      <c r="AG1869" s="284"/>
      <c r="AI1869" s="131"/>
    </row>
    <row r="1870" spans="1:35" ht="26.4">
      <c r="A1870" s="284"/>
      <c r="B1870" s="284"/>
      <c r="C1870" s="284"/>
      <c r="D1870" s="284"/>
      <c r="E1870" s="284"/>
      <c r="F1870" s="284"/>
      <c r="G1870" s="284"/>
      <c r="H1870" s="284"/>
      <c r="I1870" s="284"/>
      <c r="J1870" s="375"/>
      <c r="K1870" s="375"/>
      <c r="L1870" s="375"/>
      <c r="M1870" s="368"/>
      <c r="N1870" s="368"/>
      <c r="O1870" s="370"/>
      <c r="T1870" s="349"/>
      <c r="V1870" s="378"/>
      <c r="W1870" s="64" ph="1"/>
      <c r="X1870" s="241"/>
      <c r="Y1870" s="284"/>
      <c r="Z1870" s="207"/>
      <c r="AA1870" s="284"/>
      <c r="AB1870" s="284"/>
      <c r="AC1870" s="284"/>
      <c r="AD1870" s="284"/>
      <c r="AE1870" s="284"/>
      <c r="AF1870" s="284"/>
      <c r="AG1870" s="284"/>
      <c r="AI1870" s="131"/>
    </row>
    <row r="1871" spans="1:35" ht="26.4">
      <c r="A1871" s="284"/>
      <c r="B1871" s="284"/>
      <c r="C1871" s="284"/>
      <c r="D1871" s="284"/>
      <c r="E1871" s="284"/>
      <c r="F1871" s="284"/>
      <c r="G1871" s="284"/>
      <c r="H1871" s="284"/>
      <c r="I1871" s="284"/>
      <c r="J1871" s="375"/>
      <c r="K1871" s="375"/>
      <c r="L1871" s="375"/>
      <c r="M1871" s="368"/>
      <c r="N1871" s="368"/>
      <c r="O1871" s="370"/>
      <c r="T1871" s="349"/>
      <c r="V1871" s="378"/>
      <c r="W1871" s="64" ph="1"/>
      <c r="X1871" s="241"/>
      <c r="Y1871" s="284"/>
      <c r="Z1871" s="207"/>
      <c r="AA1871" s="284"/>
      <c r="AB1871" s="284"/>
      <c r="AC1871" s="284"/>
      <c r="AD1871" s="284"/>
      <c r="AE1871" s="284"/>
      <c r="AF1871" s="284"/>
      <c r="AG1871" s="284"/>
    </row>
    <row r="1872" spans="1:35" ht="26.4">
      <c r="A1872" s="284"/>
      <c r="B1872" s="284"/>
      <c r="C1872" s="284"/>
      <c r="D1872" s="284"/>
      <c r="E1872" s="284"/>
      <c r="F1872" s="284"/>
      <c r="G1872" s="284"/>
      <c r="H1872" s="284"/>
      <c r="I1872" s="284"/>
      <c r="J1872" s="375"/>
      <c r="K1872" s="375"/>
      <c r="L1872" s="375"/>
      <c r="M1872" s="368"/>
      <c r="N1872" s="368"/>
      <c r="O1872" s="370"/>
      <c r="T1872" s="349"/>
      <c r="V1872" s="378"/>
      <c r="W1872" s="64" ph="1"/>
      <c r="X1872" s="241"/>
      <c r="Y1872" s="284"/>
      <c r="Z1872" s="207"/>
      <c r="AA1872" s="284"/>
      <c r="AB1872" s="284"/>
      <c r="AC1872" s="284"/>
      <c r="AD1872" s="284"/>
      <c r="AE1872" s="284"/>
      <c r="AF1872" s="284"/>
      <c r="AG1872" s="284"/>
    </row>
    <row r="1873" spans="1:33" ht="26.4">
      <c r="A1873" s="284"/>
      <c r="B1873" s="284"/>
      <c r="C1873" s="284"/>
      <c r="D1873" s="284"/>
      <c r="E1873" s="284"/>
      <c r="F1873" s="284"/>
      <c r="G1873" s="284"/>
      <c r="H1873" s="284"/>
      <c r="I1873" s="284"/>
      <c r="J1873" s="375"/>
      <c r="K1873" s="375"/>
      <c r="L1873" s="375"/>
      <c r="M1873" s="368"/>
      <c r="N1873" s="368"/>
      <c r="O1873" s="370"/>
      <c r="T1873" s="349"/>
      <c r="V1873" s="378"/>
      <c r="W1873" s="64" ph="1"/>
      <c r="X1873" s="241"/>
      <c r="Y1873" s="284"/>
      <c r="Z1873" s="207"/>
      <c r="AA1873" s="284"/>
      <c r="AB1873" s="284"/>
      <c r="AC1873" s="284"/>
      <c r="AD1873" s="284"/>
      <c r="AE1873" s="284"/>
      <c r="AF1873" s="284"/>
      <c r="AG1873" s="284"/>
    </row>
    <row r="1874" spans="1:33" ht="26.4">
      <c r="A1874" s="284"/>
      <c r="B1874" s="284"/>
      <c r="C1874" s="284"/>
      <c r="D1874" s="284"/>
      <c r="E1874" s="284"/>
      <c r="F1874" s="284"/>
      <c r="G1874" s="284"/>
      <c r="H1874" s="284"/>
      <c r="I1874" s="284"/>
      <c r="J1874" s="375"/>
      <c r="K1874" s="375"/>
      <c r="L1874" s="375"/>
      <c r="M1874" s="368"/>
      <c r="N1874" s="368"/>
      <c r="O1874" s="370"/>
      <c r="T1874" s="349"/>
      <c r="V1874" s="378"/>
      <c r="W1874" s="64" ph="1"/>
      <c r="X1874" s="241"/>
      <c r="Y1874" s="284"/>
      <c r="Z1874" s="207"/>
      <c r="AA1874" s="284"/>
      <c r="AB1874" s="284"/>
      <c r="AC1874" s="284"/>
      <c r="AD1874" s="284"/>
      <c r="AE1874" s="284"/>
      <c r="AF1874" s="284"/>
      <c r="AG1874" s="284"/>
    </row>
    <row r="1875" spans="1:33" ht="26.4">
      <c r="A1875" s="284"/>
      <c r="B1875" s="284"/>
      <c r="C1875" s="284"/>
      <c r="D1875" s="284"/>
      <c r="E1875" s="284"/>
      <c r="F1875" s="284"/>
      <c r="G1875" s="284"/>
      <c r="H1875" s="284"/>
      <c r="I1875" s="284"/>
      <c r="J1875" s="375"/>
      <c r="K1875" s="375"/>
      <c r="L1875" s="375"/>
      <c r="M1875" s="368"/>
      <c r="N1875" s="368"/>
      <c r="O1875" s="370"/>
      <c r="T1875" s="349"/>
      <c r="V1875" s="378"/>
      <c r="W1875" s="64" ph="1"/>
      <c r="X1875" s="241"/>
      <c r="Y1875" s="284"/>
      <c r="Z1875" s="207"/>
      <c r="AA1875" s="284"/>
      <c r="AB1875" s="284"/>
      <c r="AC1875" s="284"/>
      <c r="AD1875" s="284"/>
      <c r="AE1875" s="284"/>
      <c r="AF1875" s="284"/>
      <c r="AG1875" s="284"/>
    </row>
    <row r="1876" spans="1:33" ht="26.4">
      <c r="A1876" s="284"/>
      <c r="B1876" s="284"/>
      <c r="C1876" s="284"/>
      <c r="D1876" s="284"/>
      <c r="E1876" s="284"/>
      <c r="F1876" s="284"/>
      <c r="G1876" s="284"/>
      <c r="H1876" s="284"/>
      <c r="I1876" s="284"/>
      <c r="J1876" s="375"/>
      <c r="K1876" s="375"/>
      <c r="L1876" s="375"/>
      <c r="M1876" s="368"/>
      <c r="N1876" s="368"/>
      <c r="O1876" s="370"/>
      <c r="T1876" s="349"/>
      <c r="V1876" s="378"/>
      <c r="W1876" s="64" ph="1"/>
      <c r="X1876" s="241"/>
      <c r="Y1876" s="284"/>
      <c r="Z1876" s="207"/>
      <c r="AA1876" s="284"/>
      <c r="AB1876" s="284"/>
      <c r="AC1876" s="284"/>
      <c r="AD1876" s="284"/>
      <c r="AE1876" s="284"/>
      <c r="AF1876" s="284"/>
      <c r="AG1876" s="284"/>
    </row>
    <row r="1877" spans="1:33" ht="26.4">
      <c r="A1877" s="284"/>
      <c r="B1877" s="284"/>
      <c r="C1877" s="284"/>
      <c r="D1877" s="284"/>
      <c r="E1877" s="284"/>
      <c r="F1877" s="284"/>
      <c r="G1877" s="284"/>
      <c r="H1877" s="284"/>
      <c r="I1877" s="284"/>
      <c r="J1877" s="375"/>
      <c r="K1877" s="375"/>
      <c r="L1877" s="375"/>
      <c r="M1877" s="368"/>
      <c r="N1877" s="368"/>
      <c r="O1877" s="370"/>
      <c r="T1877" s="349"/>
      <c r="V1877" s="378"/>
      <c r="W1877" s="64" ph="1"/>
      <c r="X1877" s="241"/>
      <c r="Y1877" s="284"/>
      <c r="Z1877" s="207"/>
      <c r="AA1877" s="284"/>
      <c r="AB1877" s="284"/>
      <c r="AC1877" s="284"/>
      <c r="AD1877" s="284"/>
      <c r="AE1877" s="284"/>
      <c r="AF1877" s="284"/>
      <c r="AG1877" s="284"/>
    </row>
    <row r="1878" spans="1:33" ht="26.4">
      <c r="A1878" s="284"/>
      <c r="B1878" s="284"/>
      <c r="C1878" s="284"/>
      <c r="D1878" s="284"/>
      <c r="E1878" s="284"/>
      <c r="F1878" s="284"/>
      <c r="G1878" s="284"/>
      <c r="H1878" s="284"/>
      <c r="I1878" s="284"/>
      <c r="J1878" s="375"/>
      <c r="K1878" s="375"/>
      <c r="L1878" s="375"/>
      <c r="M1878" s="368"/>
      <c r="N1878" s="368"/>
      <c r="O1878" s="370"/>
      <c r="T1878" s="349"/>
      <c r="V1878" s="378"/>
      <c r="W1878" s="64" ph="1"/>
      <c r="X1878" s="241"/>
      <c r="Y1878" s="284"/>
      <c r="Z1878" s="207"/>
      <c r="AA1878" s="284"/>
      <c r="AB1878" s="284"/>
      <c r="AC1878" s="284"/>
      <c r="AD1878" s="284"/>
      <c r="AE1878" s="284"/>
      <c r="AF1878" s="284"/>
      <c r="AG1878" s="284"/>
    </row>
    <row r="1879" spans="1:33" ht="26.4">
      <c r="A1879" s="284"/>
      <c r="B1879" s="284"/>
      <c r="C1879" s="284"/>
      <c r="D1879" s="284"/>
      <c r="E1879" s="284"/>
      <c r="F1879" s="284"/>
      <c r="G1879" s="284"/>
      <c r="H1879" s="284"/>
      <c r="I1879" s="284"/>
      <c r="J1879" s="375"/>
      <c r="K1879" s="375"/>
      <c r="L1879" s="375"/>
      <c r="M1879" s="368"/>
      <c r="N1879" s="368"/>
      <c r="O1879" s="370"/>
      <c r="T1879" s="349"/>
      <c r="V1879" s="378"/>
      <c r="W1879" s="64" ph="1"/>
      <c r="X1879" s="241"/>
      <c r="Y1879" s="284"/>
      <c r="Z1879" s="207"/>
      <c r="AA1879" s="284"/>
      <c r="AB1879" s="284"/>
      <c r="AC1879" s="284"/>
      <c r="AD1879" s="284"/>
      <c r="AE1879" s="284"/>
      <c r="AF1879" s="284"/>
      <c r="AG1879" s="284"/>
    </row>
    <row r="1880" spans="1:33" ht="26.4">
      <c r="A1880" s="284"/>
      <c r="B1880" s="284"/>
      <c r="C1880" s="284"/>
      <c r="D1880" s="284"/>
      <c r="E1880" s="284"/>
      <c r="F1880" s="284"/>
      <c r="G1880" s="284"/>
      <c r="H1880" s="284"/>
      <c r="I1880" s="284"/>
      <c r="J1880" s="375"/>
      <c r="K1880" s="375"/>
      <c r="L1880" s="375"/>
      <c r="M1880" s="368"/>
      <c r="N1880" s="368"/>
      <c r="O1880" s="370"/>
      <c r="T1880" s="349"/>
      <c r="V1880" s="378"/>
      <c r="W1880" s="64" ph="1"/>
      <c r="X1880" s="241"/>
      <c r="Y1880" s="284"/>
      <c r="Z1880" s="207"/>
      <c r="AA1880" s="284"/>
      <c r="AB1880" s="284"/>
      <c r="AC1880" s="284"/>
      <c r="AD1880" s="284"/>
      <c r="AE1880" s="284"/>
      <c r="AF1880" s="284"/>
      <c r="AG1880" s="284"/>
    </row>
    <row r="1881" spans="1:33" ht="26.4">
      <c r="A1881" s="284"/>
      <c r="B1881" s="284"/>
      <c r="C1881" s="284"/>
      <c r="D1881" s="284"/>
      <c r="E1881" s="284"/>
      <c r="F1881" s="284"/>
      <c r="G1881" s="284"/>
      <c r="H1881" s="284"/>
      <c r="I1881" s="284"/>
      <c r="J1881" s="375"/>
      <c r="K1881" s="375"/>
      <c r="L1881" s="375"/>
      <c r="M1881" s="368"/>
      <c r="N1881" s="368"/>
      <c r="O1881" s="370"/>
      <c r="T1881" s="349"/>
      <c r="V1881" s="378"/>
      <c r="W1881" s="64" ph="1"/>
      <c r="X1881" s="241"/>
      <c r="Y1881" s="284"/>
      <c r="Z1881" s="207"/>
      <c r="AA1881" s="284"/>
      <c r="AB1881" s="284"/>
      <c r="AC1881" s="284"/>
      <c r="AD1881" s="284"/>
      <c r="AE1881" s="284"/>
      <c r="AF1881" s="284"/>
      <c r="AG1881" s="284"/>
    </row>
    <row r="1882" spans="1:33" ht="26.4">
      <c r="A1882" s="284"/>
      <c r="B1882" s="284"/>
      <c r="C1882" s="284"/>
      <c r="D1882" s="284"/>
      <c r="E1882" s="284"/>
      <c r="F1882" s="284"/>
      <c r="G1882" s="284"/>
      <c r="H1882" s="284"/>
      <c r="I1882" s="284"/>
      <c r="J1882" s="375"/>
      <c r="K1882" s="375"/>
      <c r="L1882" s="375"/>
      <c r="M1882" s="368"/>
      <c r="N1882" s="368"/>
      <c r="O1882" s="370"/>
      <c r="T1882" s="349"/>
      <c r="V1882" s="378"/>
      <c r="W1882" s="64" ph="1"/>
      <c r="X1882" s="241"/>
      <c r="Y1882" s="284"/>
      <c r="Z1882" s="207"/>
      <c r="AA1882" s="284"/>
      <c r="AB1882" s="284"/>
      <c r="AC1882" s="284"/>
      <c r="AD1882" s="284"/>
      <c r="AE1882" s="284"/>
      <c r="AF1882" s="284"/>
      <c r="AG1882" s="284"/>
    </row>
    <row r="1883" spans="1:33" ht="26.4">
      <c r="A1883" s="284"/>
      <c r="B1883" s="284"/>
      <c r="C1883" s="284"/>
      <c r="D1883" s="284"/>
      <c r="E1883" s="284"/>
      <c r="F1883" s="284"/>
      <c r="G1883" s="284"/>
      <c r="H1883" s="284"/>
      <c r="I1883" s="284"/>
      <c r="J1883" s="375"/>
      <c r="K1883" s="375"/>
      <c r="L1883" s="375"/>
      <c r="M1883" s="368"/>
      <c r="N1883" s="368"/>
      <c r="O1883" s="370"/>
      <c r="T1883" s="349"/>
      <c r="V1883" s="378"/>
      <c r="W1883" s="64" ph="1"/>
      <c r="X1883" s="241"/>
      <c r="Y1883" s="284"/>
      <c r="Z1883" s="207"/>
      <c r="AA1883" s="284"/>
      <c r="AB1883" s="284"/>
      <c r="AC1883" s="284"/>
      <c r="AD1883" s="284"/>
      <c r="AE1883" s="284"/>
      <c r="AF1883" s="284"/>
      <c r="AG1883" s="284"/>
    </row>
    <row r="1884" spans="1:33" ht="26.4">
      <c r="A1884" s="284"/>
      <c r="B1884" s="284"/>
      <c r="C1884" s="284"/>
      <c r="D1884" s="284"/>
      <c r="E1884" s="284"/>
      <c r="F1884" s="284"/>
      <c r="G1884" s="284"/>
      <c r="H1884" s="284"/>
      <c r="I1884" s="284"/>
      <c r="J1884" s="375"/>
      <c r="K1884" s="375"/>
      <c r="L1884" s="375"/>
      <c r="M1884" s="368"/>
      <c r="N1884" s="368"/>
      <c r="O1884" s="370"/>
      <c r="T1884" s="349"/>
      <c r="V1884" s="378"/>
      <c r="W1884" s="64" ph="1"/>
      <c r="X1884" s="241"/>
      <c r="Y1884" s="284"/>
      <c r="Z1884" s="207"/>
      <c r="AA1884" s="284"/>
      <c r="AB1884" s="284"/>
      <c r="AC1884" s="284"/>
      <c r="AD1884" s="284"/>
      <c r="AE1884" s="284"/>
      <c r="AF1884" s="284"/>
      <c r="AG1884" s="284"/>
    </row>
    <row r="1885" spans="1:33" ht="26.4">
      <c r="A1885" s="284"/>
      <c r="B1885" s="284"/>
      <c r="C1885" s="284"/>
      <c r="D1885" s="284"/>
      <c r="E1885" s="284"/>
      <c r="F1885" s="284"/>
      <c r="G1885" s="284"/>
      <c r="H1885" s="284"/>
      <c r="I1885" s="284"/>
      <c r="J1885" s="375"/>
      <c r="K1885" s="375"/>
      <c r="L1885" s="375"/>
      <c r="M1885" s="368"/>
      <c r="N1885" s="368"/>
      <c r="O1885" s="370"/>
      <c r="T1885" s="349"/>
      <c r="V1885" s="378"/>
      <c r="W1885" s="64" ph="1"/>
      <c r="X1885" s="241"/>
      <c r="Y1885" s="284"/>
      <c r="Z1885" s="207"/>
      <c r="AA1885" s="284"/>
      <c r="AB1885" s="284"/>
      <c r="AC1885" s="284"/>
      <c r="AD1885" s="284"/>
      <c r="AE1885" s="284"/>
      <c r="AF1885" s="284"/>
      <c r="AG1885" s="284"/>
    </row>
    <row r="1886" spans="1:33" ht="26.4">
      <c r="A1886" s="284"/>
      <c r="B1886" s="284"/>
      <c r="C1886" s="284"/>
      <c r="D1886" s="284"/>
      <c r="E1886" s="284"/>
      <c r="F1886" s="284"/>
      <c r="G1886" s="284"/>
      <c r="H1886" s="284"/>
      <c r="I1886" s="284"/>
      <c r="J1886" s="375"/>
      <c r="K1886" s="375"/>
      <c r="L1886" s="375"/>
      <c r="M1886" s="368"/>
      <c r="N1886" s="368"/>
      <c r="O1886" s="370"/>
      <c r="T1886" s="349"/>
      <c r="V1886" s="378"/>
      <c r="W1886" s="64" ph="1"/>
      <c r="X1886" s="241"/>
      <c r="Y1886" s="284"/>
      <c r="Z1886" s="207"/>
      <c r="AA1886" s="284"/>
      <c r="AB1886" s="284"/>
      <c r="AC1886" s="284"/>
      <c r="AD1886" s="284"/>
      <c r="AE1886" s="284"/>
      <c r="AF1886" s="284"/>
      <c r="AG1886" s="284"/>
    </row>
    <row r="1887" spans="1:33" ht="26.4">
      <c r="A1887" s="284"/>
      <c r="B1887" s="284"/>
      <c r="C1887" s="284"/>
      <c r="D1887" s="284"/>
      <c r="E1887" s="284"/>
      <c r="F1887" s="284"/>
      <c r="G1887" s="284"/>
      <c r="H1887" s="284"/>
      <c r="I1887" s="284"/>
      <c r="J1887" s="375"/>
      <c r="K1887" s="375"/>
      <c r="L1887" s="375"/>
      <c r="M1887" s="368"/>
      <c r="N1887" s="368"/>
      <c r="O1887" s="370"/>
      <c r="T1887" s="349"/>
      <c r="V1887" s="378"/>
      <c r="W1887" s="64" ph="1"/>
      <c r="X1887" s="241"/>
      <c r="Y1887" s="284"/>
      <c r="Z1887" s="207"/>
      <c r="AA1887" s="284"/>
      <c r="AB1887" s="284"/>
      <c r="AC1887" s="284"/>
      <c r="AD1887" s="284"/>
      <c r="AE1887" s="284"/>
      <c r="AF1887" s="284"/>
      <c r="AG1887" s="284"/>
    </row>
    <row r="1888" spans="1:33" ht="26.4">
      <c r="A1888" s="284"/>
      <c r="B1888" s="284"/>
      <c r="C1888" s="284"/>
      <c r="D1888" s="284"/>
      <c r="E1888" s="284"/>
      <c r="F1888" s="284"/>
      <c r="G1888" s="284"/>
      <c r="H1888" s="284"/>
      <c r="I1888" s="284"/>
      <c r="J1888" s="375"/>
      <c r="K1888" s="375"/>
      <c r="L1888" s="375"/>
      <c r="M1888" s="368"/>
      <c r="N1888" s="368"/>
      <c r="O1888" s="370"/>
      <c r="T1888" s="349"/>
      <c r="V1888" s="378"/>
      <c r="W1888" s="64" ph="1"/>
      <c r="X1888" s="241"/>
      <c r="Y1888" s="284"/>
      <c r="Z1888" s="207"/>
      <c r="AA1888" s="284"/>
      <c r="AB1888" s="284"/>
      <c r="AC1888" s="284"/>
      <c r="AD1888" s="284"/>
      <c r="AE1888" s="284"/>
      <c r="AF1888" s="284"/>
      <c r="AG1888" s="284"/>
    </row>
    <row r="1889" spans="1:33" ht="26.4">
      <c r="A1889" s="284"/>
      <c r="B1889" s="284"/>
      <c r="C1889" s="284"/>
      <c r="D1889" s="284"/>
      <c r="E1889" s="284"/>
      <c r="F1889" s="284"/>
      <c r="G1889" s="284"/>
      <c r="H1889" s="284"/>
      <c r="I1889" s="284"/>
      <c r="J1889" s="375"/>
      <c r="K1889" s="375"/>
      <c r="L1889" s="375"/>
      <c r="M1889" s="368"/>
      <c r="N1889" s="368"/>
      <c r="O1889" s="370"/>
      <c r="T1889" s="349"/>
      <c r="V1889" s="378"/>
      <c r="W1889" s="64" ph="1"/>
      <c r="X1889" s="241"/>
      <c r="Y1889" s="284"/>
      <c r="Z1889" s="207"/>
      <c r="AA1889" s="284"/>
      <c r="AB1889" s="284"/>
      <c r="AC1889" s="284"/>
      <c r="AD1889" s="284"/>
      <c r="AE1889" s="284"/>
      <c r="AF1889" s="284"/>
      <c r="AG1889" s="284"/>
    </row>
    <row r="1890" spans="1:33" ht="26.4">
      <c r="A1890" s="284"/>
      <c r="B1890" s="284"/>
      <c r="C1890" s="284"/>
      <c r="D1890" s="284"/>
      <c r="E1890" s="284"/>
      <c r="F1890" s="284"/>
      <c r="G1890" s="284"/>
      <c r="H1890" s="284"/>
      <c r="I1890" s="284"/>
      <c r="J1890" s="375"/>
      <c r="K1890" s="375"/>
      <c r="L1890" s="375"/>
      <c r="M1890" s="368"/>
      <c r="N1890" s="368"/>
      <c r="O1890" s="370"/>
      <c r="T1890" s="349"/>
      <c r="V1890" s="378"/>
      <c r="W1890" s="64" ph="1"/>
      <c r="X1890" s="241"/>
      <c r="Y1890" s="284"/>
      <c r="Z1890" s="207"/>
      <c r="AA1890" s="284"/>
      <c r="AB1890" s="284"/>
      <c r="AC1890" s="284"/>
      <c r="AD1890" s="284"/>
      <c r="AE1890" s="284"/>
      <c r="AF1890" s="284"/>
      <c r="AG1890" s="284"/>
    </row>
    <row r="1891" spans="1:33" ht="26.4">
      <c r="A1891" s="284"/>
      <c r="B1891" s="284"/>
      <c r="C1891" s="284"/>
      <c r="D1891" s="284"/>
      <c r="E1891" s="284"/>
      <c r="F1891" s="284"/>
      <c r="G1891" s="284"/>
      <c r="H1891" s="284"/>
      <c r="I1891" s="284"/>
      <c r="J1891" s="375"/>
      <c r="K1891" s="375"/>
      <c r="L1891" s="375"/>
      <c r="M1891" s="368"/>
      <c r="N1891" s="368"/>
      <c r="O1891" s="370"/>
      <c r="T1891" s="349"/>
      <c r="V1891" s="378"/>
      <c r="W1891" s="64" ph="1"/>
      <c r="X1891" s="241"/>
      <c r="Y1891" s="284"/>
      <c r="Z1891" s="207"/>
      <c r="AA1891" s="284"/>
      <c r="AB1891" s="284"/>
      <c r="AC1891" s="284"/>
      <c r="AD1891" s="284"/>
      <c r="AE1891" s="284"/>
      <c r="AF1891" s="284"/>
      <c r="AG1891" s="284"/>
    </row>
    <row r="1892" spans="1:33" ht="26.4">
      <c r="A1892" s="284"/>
      <c r="B1892" s="284"/>
      <c r="C1892" s="284"/>
      <c r="D1892" s="284"/>
      <c r="E1892" s="284"/>
      <c r="F1892" s="284"/>
      <c r="G1892" s="284"/>
      <c r="H1892" s="284"/>
      <c r="I1892" s="284"/>
      <c r="J1892" s="375"/>
      <c r="K1892" s="375"/>
      <c r="L1892" s="375"/>
      <c r="M1892" s="368"/>
      <c r="N1892" s="368"/>
      <c r="O1892" s="370"/>
      <c r="T1892" s="349"/>
      <c r="V1892" s="378"/>
      <c r="W1892" s="64" ph="1"/>
      <c r="X1892" s="241"/>
      <c r="Y1892" s="284"/>
      <c r="Z1892" s="207"/>
      <c r="AA1892" s="284"/>
      <c r="AB1892" s="284"/>
      <c r="AC1892" s="284"/>
      <c r="AD1892" s="284"/>
      <c r="AE1892" s="284"/>
      <c r="AF1892" s="284"/>
      <c r="AG1892" s="284"/>
    </row>
    <row r="1893" spans="1:33" ht="26.4">
      <c r="A1893" s="284"/>
      <c r="B1893" s="284"/>
      <c r="C1893" s="284"/>
      <c r="D1893" s="284"/>
      <c r="E1893" s="284"/>
      <c r="F1893" s="284"/>
      <c r="G1893" s="284"/>
      <c r="H1893" s="284"/>
      <c r="I1893" s="284"/>
      <c r="J1893" s="375"/>
      <c r="K1893" s="375"/>
      <c r="L1893" s="375"/>
      <c r="M1893" s="368"/>
      <c r="N1893" s="368"/>
      <c r="O1893" s="370"/>
      <c r="T1893" s="349"/>
      <c r="V1893" s="378"/>
      <c r="W1893" s="64" ph="1"/>
      <c r="X1893" s="241"/>
      <c r="Y1893" s="284"/>
      <c r="Z1893" s="207"/>
      <c r="AA1893" s="284"/>
      <c r="AB1893" s="284"/>
      <c r="AC1893" s="284"/>
      <c r="AD1893" s="284"/>
      <c r="AE1893" s="284"/>
      <c r="AF1893" s="284"/>
      <c r="AG1893" s="284"/>
    </row>
    <row r="1894" spans="1:33" ht="26.4">
      <c r="A1894" s="284"/>
      <c r="B1894" s="284"/>
      <c r="C1894" s="284"/>
      <c r="D1894" s="284"/>
      <c r="E1894" s="284"/>
      <c r="F1894" s="284"/>
      <c r="G1894" s="284"/>
      <c r="H1894" s="284"/>
      <c r="I1894" s="284"/>
      <c r="J1894" s="375"/>
      <c r="K1894" s="375"/>
      <c r="L1894" s="375"/>
      <c r="M1894" s="368"/>
      <c r="N1894" s="368"/>
      <c r="O1894" s="370"/>
      <c r="T1894" s="349"/>
      <c r="V1894" s="378"/>
      <c r="W1894" s="64" ph="1"/>
      <c r="X1894" s="241"/>
      <c r="Y1894" s="284"/>
      <c r="Z1894" s="207"/>
      <c r="AA1894" s="284"/>
      <c r="AB1894" s="284"/>
      <c r="AC1894" s="284"/>
      <c r="AD1894" s="284"/>
      <c r="AE1894" s="284"/>
      <c r="AF1894" s="284"/>
      <c r="AG1894" s="284"/>
    </row>
    <row r="1895" spans="1:33" ht="26.4">
      <c r="A1895" s="284"/>
      <c r="B1895" s="284"/>
      <c r="C1895" s="284"/>
      <c r="D1895" s="284"/>
      <c r="E1895" s="284"/>
      <c r="F1895" s="284"/>
      <c r="G1895" s="284"/>
      <c r="H1895" s="284"/>
      <c r="I1895" s="284"/>
      <c r="J1895" s="375"/>
      <c r="K1895" s="375"/>
      <c r="L1895" s="375"/>
      <c r="M1895" s="368"/>
      <c r="N1895" s="368"/>
      <c r="O1895" s="370"/>
      <c r="T1895" s="349"/>
      <c r="V1895" s="378"/>
      <c r="W1895" s="64" ph="1"/>
      <c r="X1895" s="241"/>
      <c r="Y1895" s="284"/>
      <c r="Z1895" s="207"/>
      <c r="AA1895" s="284"/>
      <c r="AB1895" s="284"/>
      <c r="AC1895" s="284"/>
      <c r="AD1895" s="284"/>
      <c r="AE1895" s="284"/>
      <c r="AF1895" s="284"/>
      <c r="AG1895" s="284"/>
    </row>
    <row r="1896" spans="1:33" ht="26.4">
      <c r="A1896" s="284"/>
      <c r="B1896" s="284"/>
      <c r="C1896" s="284"/>
      <c r="D1896" s="284"/>
      <c r="E1896" s="284"/>
      <c r="F1896" s="284"/>
      <c r="G1896" s="284"/>
      <c r="H1896" s="284"/>
      <c r="I1896" s="284"/>
      <c r="J1896" s="375"/>
      <c r="K1896" s="375"/>
      <c r="L1896" s="375"/>
      <c r="M1896" s="368"/>
      <c r="N1896" s="368"/>
      <c r="O1896" s="370"/>
      <c r="T1896" s="349"/>
      <c r="V1896" s="378"/>
      <c r="W1896" s="64" ph="1"/>
      <c r="X1896" s="241"/>
      <c r="Y1896" s="284"/>
      <c r="Z1896" s="207"/>
      <c r="AA1896" s="284"/>
      <c r="AB1896" s="284"/>
      <c r="AC1896" s="284"/>
      <c r="AD1896" s="284"/>
      <c r="AE1896" s="284"/>
      <c r="AF1896" s="284"/>
      <c r="AG1896" s="284"/>
    </row>
    <row r="1897" spans="1:33" ht="26.4">
      <c r="A1897" s="284"/>
      <c r="B1897" s="284"/>
      <c r="C1897" s="284"/>
      <c r="D1897" s="284"/>
      <c r="E1897" s="284"/>
      <c r="F1897" s="284"/>
      <c r="G1897" s="284"/>
      <c r="H1897" s="284"/>
      <c r="I1897" s="284"/>
      <c r="J1897" s="375"/>
      <c r="K1897" s="375"/>
      <c r="L1897" s="375"/>
      <c r="M1897" s="368"/>
      <c r="N1897" s="368"/>
      <c r="O1897" s="370"/>
      <c r="T1897" s="349"/>
      <c r="V1897" s="378"/>
      <c r="W1897" s="64" ph="1"/>
      <c r="X1897" s="241"/>
      <c r="Y1897" s="284"/>
      <c r="Z1897" s="207"/>
      <c r="AA1897" s="284"/>
      <c r="AB1897" s="284"/>
      <c r="AC1897" s="284"/>
      <c r="AD1897" s="284"/>
      <c r="AE1897" s="284"/>
      <c r="AF1897" s="284"/>
      <c r="AG1897" s="284"/>
    </row>
    <row r="1898" spans="1:33" ht="26.4">
      <c r="A1898" s="284"/>
      <c r="B1898" s="284"/>
      <c r="C1898" s="284"/>
      <c r="D1898" s="284"/>
      <c r="E1898" s="284"/>
      <c r="F1898" s="284"/>
      <c r="G1898" s="284"/>
      <c r="H1898" s="284"/>
      <c r="I1898" s="284"/>
      <c r="J1898" s="375"/>
      <c r="K1898" s="375"/>
      <c r="L1898" s="375"/>
      <c r="M1898" s="368"/>
      <c r="N1898" s="368"/>
      <c r="O1898" s="370"/>
      <c r="T1898" s="349"/>
      <c r="V1898" s="378"/>
      <c r="W1898" s="64" ph="1"/>
      <c r="X1898" s="241"/>
      <c r="Y1898" s="284"/>
      <c r="Z1898" s="207"/>
      <c r="AA1898" s="284"/>
      <c r="AB1898" s="284"/>
      <c r="AC1898" s="284"/>
      <c r="AD1898" s="284"/>
      <c r="AE1898" s="284"/>
      <c r="AF1898" s="284"/>
      <c r="AG1898" s="284"/>
    </row>
    <row r="1899" spans="1:33" ht="26.4">
      <c r="A1899" s="284"/>
      <c r="B1899" s="284"/>
      <c r="C1899" s="284"/>
      <c r="D1899" s="284"/>
      <c r="E1899" s="284"/>
      <c r="F1899" s="284"/>
      <c r="G1899" s="284"/>
      <c r="H1899" s="284"/>
      <c r="I1899" s="284"/>
      <c r="J1899" s="375"/>
      <c r="K1899" s="375"/>
      <c r="L1899" s="375"/>
      <c r="M1899" s="368"/>
      <c r="N1899" s="368"/>
      <c r="O1899" s="370"/>
      <c r="T1899" s="349"/>
      <c r="V1899" s="378"/>
      <c r="W1899" s="64" ph="1"/>
      <c r="X1899" s="241"/>
      <c r="Y1899" s="284"/>
      <c r="Z1899" s="207"/>
      <c r="AA1899" s="284"/>
      <c r="AB1899" s="284"/>
      <c r="AC1899" s="284"/>
      <c r="AD1899" s="284"/>
      <c r="AE1899" s="284"/>
      <c r="AF1899" s="284"/>
      <c r="AG1899" s="284"/>
    </row>
    <row r="1900" spans="1:33" ht="26.4">
      <c r="A1900" s="284"/>
      <c r="B1900" s="284"/>
      <c r="C1900" s="284"/>
      <c r="D1900" s="284"/>
      <c r="E1900" s="284"/>
      <c r="F1900" s="284"/>
      <c r="G1900" s="284"/>
      <c r="H1900" s="284"/>
      <c r="I1900" s="284"/>
      <c r="J1900" s="375"/>
      <c r="K1900" s="375"/>
      <c r="L1900" s="375"/>
      <c r="M1900" s="368"/>
      <c r="N1900" s="368"/>
      <c r="O1900" s="370"/>
      <c r="T1900" s="349"/>
      <c r="V1900" s="378"/>
      <c r="W1900" s="64" ph="1"/>
      <c r="X1900" s="241"/>
      <c r="Y1900" s="284"/>
      <c r="Z1900" s="207"/>
      <c r="AA1900" s="284"/>
      <c r="AB1900" s="284"/>
      <c r="AC1900" s="284"/>
      <c r="AD1900" s="284"/>
      <c r="AE1900" s="284"/>
      <c r="AF1900" s="284"/>
      <c r="AG1900" s="284"/>
    </row>
    <row r="1901" spans="1:33" ht="26.4">
      <c r="A1901" s="284"/>
      <c r="B1901" s="284"/>
      <c r="C1901" s="284"/>
      <c r="D1901" s="284"/>
      <c r="E1901" s="284"/>
      <c r="F1901" s="284"/>
      <c r="G1901" s="284"/>
      <c r="H1901" s="284"/>
      <c r="I1901" s="284"/>
      <c r="J1901" s="375"/>
      <c r="K1901" s="375"/>
      <c r="L1901" s="375"/>
      <c r="M1901" s="368"/>
      <c r="N1901" s="368"/>
      <c r="O1901" s="370"/>
      <c r="T1901" s="349"/>
      <c r="V1901" s="378"/>
      <c r="W1901" s="64" ph="1"/>
      <c r="X1901" s="241"/>
      <c r="Y1901" s="284"/>
      <c r="Z1901" s="207"/>
      <c r="AA1901" s="284"/>
      <c r="AB1901" s="284"/>
      <c r="AC1901" s="284"/>
      <c r="AD1901" s="284"/>
      <c r="AE1901" s="284"/>
      <c r="AF1901" s="284"/>
      <c r="AG1901" s="284"/>
    </row>
    <row r="1902" spans="1:33" ht="26.4">
      <c r="A1902" s="284"/>
      <c r="B1902" s="284"/>
      <c r="C1902" s="284"/>
      <c r="D1902" s="284"/>
      <c r="E1902" s="284"/>
      <c r="F1902" s="284"/>
      <c r="G1902" s="284"/>
      <c r="H1902" s="284"/>
      <c r="I1902" s="284"/>
      <c r="J1902" s="375"/>
      <c r="K1902" s="375"/>
      <c r="L1902" s="375"/>
      <c r="M1902" s="368"/>
      <c r="N1902" s="368"/>
      <c r="O1902" s="370"/>
      <c r="T1902" s="349"/>
      <c r="V1902" s="378"/>
      <c r="W1902" s="64" ph="1"/>
      <c r="X1902" s="241"/>
      <c r="Y1902" s="284"/>
      <c r="Z1902" s="207"/>
      <c r="AA1902" s="284"/>
      <c r="AB1902" s="284"/>
      <c r="AC1902" s="284"/>
      <c r="AD1902" s="284"/>
      <c r="AE1902" s="284"/>
      <c r="AF1902" s="284"/>
      <c r="AG1902" s="284"/>
    </row>
    <row r="1903" spans="1:33" ht="26.4">
      <c r="A1903" s="284"/>
      <c r="B1903" s="284"/>
      <c r="C1903" s="284"/>
      <c r="D1903" s="284"/>
      <c r="E1903" s="284"/>
      <c r="F1903" s="284"/>
      <c r="G1903" s="284"/>
      <c r="H1903" s="284"/>
      <c r="I1903" s="284"/>
      <c r="J1903" s="375"/>
      <c r="K1903" s="375"/>
      <c r="L1903" s="375"/>
      <c r="M1903" s="368"/>
      <c r="N1903" s="368"/>
      <c r="O1903" s="370"/>
      <c r="T1903" s="349"/>
      <c r="V1903" s="378"/>
      <c r="W1903" s="64" ph="1"/>
      <c r="X1903" s="241"/>
      <c r="Y1903" s="284"/>
      <c r="Z1903" s="207"/>
      <c r="AA1903" s="284"/>
      <c r="AB1903" s="284"/>
      <c r="AC1903" s="284"/>
      <c r="AD1903" s="284"/>
      <c r="AE1903" s="284"/>
      <c r="AF1903" s="284"/>
      <c r="AG1903" s="284"/>
    </row>
    <row r="1904" spans="1:33" ht="26.4">
      <c r="A1904" s="284"/>
      <c r="B1904" s="284"/>
      <c r="C1904" s="284"/>
      <c r="D1904" s="284"/>
      <c r="E1904" s="284"/>
      <c r="F1904" s="284"/>
      <c r="G1904" s="284"/>
      <c r="H1904" s="284"/>
      <c r="I1904" s="284"/>
      <c r="J1904" s="375"/>
      <c r="K1904" s="375"/>
      <c r="L1904" s="375"/>
      <c r="M1904" s="368"/>
      <c r="N1904" s="368"/>
      <c r="O1904" s="370"/>
      <c r="T1904" s="349"/>
      <c r="V1904" s="378"/>
      <c r="W1904" s="64" ph="1"/>
      <c r="X1904" s="241"/>
      <c r="Y1904" s="284"/>
      <c r="Z1904" s="207"/>
      <c r="AA1904" s="284"/>
      <c r="AB1904" s="284"/>
      <c r="AC1904" s="284"/>
      <c r="AD1904" s="284"/>
      <c r="AE1904" s="284"/>
      <c r="AF1904" s="284"/>
      <c r="AG1904" s="284"/>
    </row>
    <row r="1905" spans="1:33" ht="26.4">
      <c r="A1905" s="284"/>
      <c r="B1905" s="284"/>
      <c r="C1905" s="284"/>
      <c r="D1905" s="284"/>
      <c r="E1905" s="284"/>
      <c r="F1905" s="284"/>
      <c r="G1905" s="284"/>
      <c r="H1905" s="284"/>
      <c r="I1905" s="284"/>
      <c r="J1905" s="375"/>
      <c r="K1905" s="375"/>
      <c r="L1905" s="375"/>
      <c r="M1905" s="368"/>
      <c r="N1905" s="368"/>
      <c r="O1905" s="370"/>
      <c r="T1905" s="349"/>
      <c r="V1905" s="378"/>
      <c r="W1905" s="64" ph="1"/>
      <c r="X1905" s="241"/>
      <c r="Y1905" s="284"/>
      <c r="Z1905" s="207"/>
      <c r="AA1905" s="284"/>
      <c r="AB1905" s="284"/>
      <c r="AC1905" s="284"/>
      <c r="AD1905" s="284"/>
      <c r="AE1905" s="284"/>
      <c r="AF1905" s="284"/>
      <c r="AG1905" s="284"/>
    </row>
    <row r="1906" spans="1:33" ht="26.4">
      <c r="A1906" s="284"/>
      <c r="B1906" s="284"/>
      <c r="C1906" s="284"/>
      <c r="D1906" s="284"/>
      <c r="E1906" s="284"/>
      <c r="F1906" s="284"/>
      <c r="G1906" s="284"/>
      <c r="H1906" s="284"/>
      <c r="I1906" s="284"/>
      <c r="J1906" s="375"/>
      <c r="K1906" s="375"/>
      <c r="L1906" s="375"/>
      <c r="M1906" s="368"/>
      <c r="N1906" s="368"/>
      <c r="O1906" s="370"/>
      <c r="T1906" s="349"/>
      <c r="V1906" s="378"/>
      <c r="W1906" s="64" ph="1"/>
      <c r="X1906" s="241"/>
      <c r="Y1906" s="284"/>
      <c r="Z1906" s="207"/>
      <c r="AA1906" s="284"/>
      <c r="AB1906" s="284"/>
      <c r="AC1906" s="284"/>
      <c r="AD1906" s="284"/>
      <c r="AE1906" s="284"/>
      <c r="AF1906" s="284"/>
      <c r="AG1906" s="284"/>
    </row>
    <row r="1907" spans="1:33" ht="26.4">
      <c r="A1907" s="284"/>
      <c r="B1907" s="284"/>
      <c r="C1907" s="284"/>
      <c r="D1907" s="284"/>
      <c r="E1907" s="284"/>
      <c r="F1907" s="284"/>
      <c r="G1907" s="284"/>
      <c r="H1907" s="284"/>
      <c r="I1907" s="284"/>
      <c r="J1907" s="375"/>
      <c r="K1907" s="375"/>
      <c r="L1907" s="375"/>
      <c r="M1907" s="368"/>
      <c r="N1907" s="368"/>
      <c r="O1907" s="370"/>
      <c r="T1907" s="349"/>
      <c r="V1907" s="378"/>
      <c r="W1907" s="64" ph="1"/>
      <c r="X1907" s="241"/>
      <c r="Y1907" s="284"/>
      <c r="Z1907" s="207"/>
      <c r="AA1907" s="284"/>
      <c r="AB1907" s="284"/>
      <c r="AC1907" s="284"/>
      <c r="AD1907" s="284"/>
      <c r="AE1907" s="284"/>
      <c r="AF1907" s="284"/>
      <c r="AG1907" s="284"/>
    </row>
    <row r="1908" spans="1:33" ht="26.4">
      <c r="A1908" s="284"/>
      <c r="B1908" s="284"/>
      <c r="C1908" s="284"/>
      <c r="D1908" s="284"/>
      <c r="E1908" s="284"/>
      <c r="F1908" s="284"/>
      <c r="G1908" s="284"/>
      <c r="H1908" s="284"/>
      <c r="I1908" s="284"/>
      <c r="J1908" s="375"/>
      <c r="K1908" s="375"/>
      <c r="L1908" s="375"/>
      <c r="M1908" s="368"/>
      <c r="N1908" s="368"/>
      <c r="O1908" s="370"/>
      <c r="T1908" s="349"/>
      <c r="V1908" s="378"/>
      <c r="W1908" s="64" ph="1"/>
      <c r="X1908" s="241"/>
      <c r="Y1908" s="284"/>
      <c r="Z1908" s="207"/>
      <c r="AA1908" s="284"/>
      <c r="AB1908" s="284"/>
      <c r="AC1908" s="284"/>
      <c r="AD1908" s="284"/>
      <c r="AE1908" s="284"/>
      <c r="AF1908" s="284"/>
      <c r="AG1908" s="284"/>
    </row>
    <row r="1909" spans="1:33" ht="26.4">
      <c r="A1909" s="284"/>
      <c r="B1909" s="284"/>
      <c r="C1909" s="284"/>
      <c r="D1909" s="284"/>
      <c r="E1909" s="284"/>
      <c r="F1909" s="284"/>
      <c r="G1909" s="284"/>
      <c r="H1909" s="284"/>
      <c r="I1909" s="284"/>
      <c r="J1909" s="375"/>
      <c r="K1909" s="375"/>
      <c r="L1909" s="375"/>
      <c r="M1909" s="368"/>
      <c r="N1909" s="368"/>
      <c r="O1909" s="370"/>
      <c r="T1909" s="349"/>
      <c r="V1909" s="378"/>
      <c r="W1909" s="64" ph="1"/>
      <c r="X1909" s="241"/>
      <c r="Y1909" s="284"/>
      <c r="Z1909" s="207"/>
      <c r="AA1909" s="284"/>
      <c r="AB1909" s="284"/>
      <c r="AC1909" s="284"/>
      <c r="AD1909" s="284"/>
      <c r="AE1909" s="284"/>
      <c r="AF1909" s="284"/>
      <c r="AG1909" s="284"/>
    </row>
    <row r="1910" spans="1:33" ht="26.4">
      <c r="A1910" s="284"/>
      <c r="B1910" s="284"/>
      <c r="C1910" s="284"/>
      <c r="D1910" s="284"/>
      <c r="E1910" s="284"/>
      <c r="F1910" s="284"/>
      <c r="G1910" s="284"/>
      <c r="H1910" s="284"/>
      <c r="I1910" s="284"/>
      <c r="J1910" s="375"/>
      <c r="K1910" s="375"/>
      <c r="L1910" s="375"/>
      <c r="M1910" s="368"/>
      <c r="N1910" s="368"/>
      <c r="O1910" s="370"/>
      <c r="T1910" s="349"/>
      <c r="V1910" s="378"/>
      <c r="W1910" s="64" ph="1"/>
      <c r="X1910" s="241"/>
      <c r="Y1910" s="284"/>
      <c r="Z1910" s="207"/>
      <c r="AA1910" s="284"/>
      <c r="AB1910" s="284"/>
      <c r="AC1910" s="284"/>
      <c r="AD1910" s="284"/>
      <c r="AE1910" s="284"/>
      <c r="AF1910" s="284"/>
      <c r="AG1910" s="284"/>
    </row>
    <row r="1911" spans="1:33" ht="26.4">
      <c r="A1911" s="284"/>
      <c r="B1911" s="284"/>
      <c r="C1911" s="284"/>
      <c r="D1911" s="284"/>
      <c r="E1911" s="284"/>
      <c r="F1911" s="284"/>
      <c r="G1911" s="284"/>
      <c r="H1911" s="284"/>
      <c r="I1911" s="284"/>
      <c r="J1911" s="375"/>
      <c r="K1911" s="375"/>
      <c r="L1911" s="375"/>
      <c r="M1911" s="368"/>
      <c r="N1911" s="368"/>
      <c r="O1911" s="370"/>
      <c r="T1911" s="349"/>
      <c r="V1911" s="378"/>
      <c r="W1911" s="64" ph="1"/>
      <c r="X1911" s="241"/>
      <c r="Y1911" s="284"/>
      <c r="Z1911" s="207"/>
      <c r="AA1911" s="284"/>
      <c r="AB1911" s="284"/>
      <c r="AC1911" s="284"/>
      <c r="AD1911" s="284"/>
      <c r="AE1911" s="284"/>
      <c r="AF1911" s="284"/>
      <c r="AG1911" s="284"/>
    </row>
    <row r="1912" spans="1:33" ht="26.4">
      <c r="A1912" s="284"/>
      <c r="B1912" s="284"/>
      <c r="C1912" s="284"/>
      <c r="D1912" s="284"/>
      <c r="E1912" s="284"/>
      <c r="F1912" s="284"/>
      <c r="G1912" s="284"/>
      <c r="H1912" s="284"/>
      <c r="I1912" s="284"/>
      <c r="J1912" s="375"/>
      <c r="K1912" s="375"/>
      <c r="L1912" s="375"/>
      <c r="M1912" s="368"/>
      <c r="N1912" s="368"/>
      <c r="O1912" s="370"/>
      <c r="T1912" s="349"/>
      <c r="V1912" s="378"/>
      <c r="W1912" s="64" ph="1"/>
      <c r="X1912" s="241"/>
      <c r="Y1912" s="284"/>
      <c r="Z1912" s="207"/>
      <c r="AA1912" s="284"/>
      <c r="AB1912" s="284"/>
      <c r="AC1912" s="284"/>
      <c r="AD1912" s="284"/>
      <c r="AE1912" s="284"/>
      <c r="AF1912" s="284"/>
      <c r="AG1912" s="284"/>
    </row>
    <row r="1913" spans="1:33" ht="26.4">
      <c r="A1913" s="284"/>
      <c r="B1913" s="284"/>
      <c r="C1913" s="284"/>
      <c r="D1913" s="284"/>
      <c r="E1913" s="284"/>
      <c r="F1913" s="284"/>
      <c r="G1913" s="284"/>
      <c r="H1913" s="284"/>
      <c r="I1913" s="284"/>
      <c r="J1913" s="375"/>
      <c r="K1913" s="375"/>
      <c r="L1913" s="375"/>
      <c r="M1913" s="368"/>
      <c r="N1913" s="368"/>
      <c r="O1913" s="370"/>
      <c r="T1913" s="349"/>
      <c r="V1913" s="378"/>
      <c r="W1913" s="64" ph="1"/>
      <c r="X1913" s="241"/>
      <c r="Y1913" s="284"/>
      <c r="Z1913" s="207"/>
      <c r="AA1913" s="284"/>
      <c r="AB1913" s="284"/>
      <c r="AC1913" s="284"/>
      <c r="AD1913" s="284"/>
      <c r="AE1913" s="284"/>
      <c r="AF1913" s="284"/>
      <c r="AG1913" s="284"/>
    </row>
    <row r="1914" spans="1:33" ht="26.4">
      <c r="A1914" s="284"/>
      <c r="B1914" s="284"/>
      <c r="C1914" s="284"/>
      <c r="D1914" s="284"/>
      <c r="E1914" s="284"/>
      <c r="F1914" s="284"/>
      <c r="G1914" s="284"/>
      <c r="H1914" s="284"/>
      <c r="I1914" s="284"/>
      <c r="J1914" s="375"/>
      <c r="K1914" s="375"/>
      <c r="L1914" s="375"/>
      <c r="M1914" s="368"/>
      <c r="N1914" s="368"/>
      <c r="O1914" s="370"/>
      <c r="T1914" s="349"/>
      <c r="V1914" s="378"/>
      <c r="W1914" s="64" ph="1"/>
      <c r="X1914" s="241"/>
      <c r="Y1914" s="284"/>
      <c r="Z1914" s="207"/>
      <c r="AA1914" s="284"/>
      <c r="AB1914" s="284"/>
      <c r="AC1914" s="284"/>
      <c r="AD1914" s="284"/>
      <c r="AE1914" s="284"/>
      <c r="AF1914" s="284"/>
      <c r="AG1914" s="284"/>
    </row>
    <row r="1915" spans="1:33" ht="26.4">
      <c r="A1915" s="284"/>
      <c r="B1915" s="284"/>
      <c r="C1915" s="284"/>
      <c r="D1915" s="284"/>
      <c r="E1915" s="284"/>
      <c r="F1915" s="284"/>
      <c r="G1915" s="284"/>
      <c r="H1915" s="284"/>
      <c r="I1915" s="284"/>
      <c r="J1915" s="375"/>
      <c r="K1915" s="375"/>
      <c r="L1915" s="375"/>
      <c r="M1915" s="368"/>
      <c r="N1915" s="368"/>
      <c r="O1915" s="370"/>
      <c r="T1915" s="349"/>
      <c r="V1915" s="378"/>
      <c r="W1915" s="64" ph="1"/>
      <c r="X1915" s="241"/>
      <c r="Y1915" s="284"/>
      <c r="Z1915" s="207"/>
      <c r="AA1915" s="284"/>
      <c r="AB1915" s="284"/>
      <c r="AC1915" s="284"/>
      <c r="AD1915" s="284"/>
      <c r="AE1915" s="284"/>
      <c r="AF1915" s="284"/>
      <c r="AG1915" s="284"/>
    </row>
    <row r="1916" spans="1:33" ht="26.4">
      <c r="A1916" s="284"/>
      <c r="B1916" s="284"/>
      <c r="C1916" s="284"/>
      <c r="D1916" s="284"/>
      <c r="E1916" s="284"/>
      <c r="F1916" s="284"/>
      <c r="G1916" s="284"/>
      <c r="H1916" s="284"/>
      <c r="I1916" s="284"/>
      <c r="J1916" s="375"/>
      <c r="K1916" s="375"/>
      <c r="L1916" s="375"/>
      <c r="M1916" s="368"/>
      <c r="N1916" s="368"/>
      <c r="O1916" s="370"/>
      <c r="T1916" s="349"/>
      <c r="V1916" s="378"/>
      <c r="W1916" s="64" ph="1"/>
      <c r="X1916" s="241"/>
      <c r="Y1916" s="284"/>
      <c r="Z1916" s="207"/>
      <c r="AA1916" s="284"/>
      <c r="AB1916" s="284"/>
      <c r="AC1916" s="284"/>
      <c r="AD1916" s="284"/>
      <c r="AE1916" s="284"/>
      <c r="AF1916" s="284"/>
      <c r="AG1916" s="284"/>
    </row>
    <row r="1917" spans="1:33" ht="26.4">
      <c r="A1917" s="284"/>
      <c r="B1917" s="284"/>
      <c r="C1917" s="284"/>
      <c r="D1917" s="284"/>
      <c r="E1917" s="284"/>
      <c r="F1917" s="284"/>
      <c r="G1917" s="284"/>
      <c r="H1917" s="284"/>
      <c r="I1917" s="284"/>
      <c r="J1917" s="375"/>
      <c r="K1917" s="375"/>
      <c r="L1917" s="375"/>
      <c r="M1917" s="368"/>
      <c r="N1917" s="368"/>
      <c r="O1917" s="370"/>
      <c r="T1917" s="349"/>
      <c r="V1917" s="378"/>
      <c r="W1917" s="64" ph="1"/>
      <c r="X1917" s="241"/>
      <c r="Y1917" s="284"/>
      <c r="Z1917" s="207"/>
      <c r="AA1917" s="284"/>
      <c r="AB1917" s="284"/>
      <c r="AC1917" s="284"/>
      <c r="AD1917" s="284"/>
      <c r="AE1917" s="284"/>
      <c r="AF1917" s="284"/>
      <c r="AG1917" s="284"/>
    </row>
    <row r="1918" spans="1:33" ht="26.4">
      <c r="A1918" s="284"/>
      <c r="B1918" s="284"/>
      <c r="C1918" s="284"/>
      <c r="D1918" s="284"/>
      <c r="E1918" s="284"/>
      <c r="F1918" s="284"/>
      <c r="G1918" s="284"/>
      <c r="H1918" s="284"/>
      <c r="I1918" s="284"/>
      <c r="J1918" s="375"/>
      <c r="K1918" s="375"/>
      <c r="L1918" s="375"/>
      <c r="M1918" s="368"/>
      <c r="N1918" s="368"/>
      <c r="O1918" s="370"/>
      <c r="T1918" s="349"/>
      <c r="V1918" s="378"/>
      <c r="W1918" s="64" ph="1"/>
      <c r="X1918" s="241"/>
      <c r="Y1918" s="284"/>
      <c r="Z1918" s="207"/>
      <c r="AA1918" s="284"/>
      <c r="AB1918" s="284"/>
      <c r="AC1918" s="284"/>
      <c r="AD1918" s="284"/>
      <c r="AE1918" s="284"/>
      <c r="AF1918" s="284"/>
      <c r="AG1918" s="284"/>
    </row>
    <row r="1919" spans="1:33" ht="26.4">
      <c r="A1919" s="284"/>
      <c r="B1919" s="284"/>
      <c r="C1919" s="284"/>
      <c r="D1919" s="284"/>
      <c r="E1919" s="284"/>
      <c r="F1919" s="284"/>
      <c r="G1919" s="284"/>
      <c r="H1919" s="284"/>
      <c r="I1919" s="284"/>
      <c r="J1919" s="375"/>
      <c r="K1919" s="375"/>
      <c r="L1919" s="375"/>
      <c r="M1919" s="368"/>
      <c r="N1919" s="368"/>
      <c r="O1919" s="370"/>
      <c r="T1919" s="349"/>
      <c r="V1919" s="378"/>
      <c r="W1919" s="64" ph="1"/>
      <c r="X1919" s="241"/>
      <c r="Y1919" s="284"/>
      <c r="Z1919" s="207"/>
      <c r="AA1919" s="284"/>
      <c r="AB1919" s="284"/>
      <c r="AC1919" s="284"/>
      <c r="AD1919" s="284"/>
      <c r="AE1919" s="284"/>
      <c r="AF1919" s="284"/>
      <c r="AG1919" s="284"/>
    </row>
    <row r="1920" spans="1:33" ht="26.4">
      <c r="A1920" s="284"/>
      <c r="B1920" s="284"/>
      <c r="C1920" s="284"/>
      <c r="D1920" s="284"/>
      <c r="E1920" s="284"/>
      <c r="F1920" s="284"/>
      <c r="G1920" s="284"/>
      <c r="H1920" s="284"/>
      <c r="I1920" s="284"/>
      <c r="J1920" s="375"/>
      <c r="K1920" s="375"/>
      <c r="L1920" s="375"/>
      <c r="M1920" s="368"/>
      <c r="N1920" s="368"/>
      <c r="O1920" s="370"/>
      <c r="T1920" s="349"/>
      <c r="V1920" s="378"/>
      <c r="W1920" s="64" ph="1"/>
      <c r="X1920" s="241"/>
      <c r="Y1920" s="284"/>
      <c r="Z1920" s="207"/>
      <c r="AA1920" s="284"/>
      <c r="AB1920" s="284"/>
      <c r="AC1920" s="284"/>
      <c r="AD1920" s="284"/>
      <c r="AE1920" s="284"/>
      <c r="AF1920" s="284"/>
      <c r="AG1920" s="284"/>
    </row>
    <row r="1921" spans="1:33" ht="26.4">
      <c r="A1921" s="284"/>
      <c r="B1921" s="284"/>
      <c r="C1921" s="284"/>
      <c r="D1921" s="284"/>
      <c r="E1921" s="284"/>
      <c r="F1921" s="284"/>
      <c r="G1921" s="284"/>
      <c r="H1921" s="284"/>
      <c r="I1921" s="284"/>
      <c r="J1921" s="375"/>
      <c r="K1921" s="375"/>
      <c r="L1921" s="375"/>
      <c r="M1921" s="368"/>
      <c r="N1921" s="368"/>
      <c r="O1921" s="370"/>
      <c r="T1921" s="349"/>
      <c r="V1921" s="378"/>
      <c r="W1921" s="64" ph="1"/>
      <c r="X1921" s="241"/>
      <c r="Y1921" s="284"/>
      <c r="Z1921" s="207"/>
      <c r="AA1921" s="284"/>
      <c r="AB1921" s="284"/>
      <c r="AC1921" s="284"/>
      <c r="AD1921" s="284"/>
      <c r="AE1921" s="284"/>
      <c r="AF1921" s="284"/>
      <c r="AG1921" s="284"/>
    </row>
    <row r="1922" spans="1:33" ht="26.4">
      <c r="A1922" s="284"/>
      <c r="B1922" s="284"/>
      <c r="C1922" s="284"/>
      <c r="D1922" s="284"/>
      <c r="E1922" s="284"/>
      <c r="F1922" s="284"/>
      <c r="G1922" s="284"/>
      <c r="H1922" s="284"/>
      <c r="I1922" s="284"/>
      <c r="J1922" s="375"/>
      <c r="K1922" s="375"/>
      <c r="L1922" s="375"/>
      <c r="M1922" s="368"/>
      <c r="N1922" s="368"/>
      <c r="O1922" s="370"/>
      <c r="T1922" s="349"/>
      <c r="V1922" s="378"/>
      <c r="W1922" s="64" ph="1"/>
      <c r="X1922" s="241"/>
      <c r="Y1922" s="284"/>
      <c r="Z1922" s="207"/>
      <c r="AA1922" s="284"/>
      <c r="AB1922" s="284"/>
      <c r="AC1922" s="284"/>
      <c r="AD1922" s="284"/>
      <c r="AE1922" s="284"/>
      <c r="AF1922" s="284"/>
      <c r="AG1922" s="284"/>
    </row>
    <row r="1923" spans="1:33" ht="26.4">
      <c r="A1923" s="284"/>
      <c r="B1923" s="284"/>
      <c r="C1923" s="284"/>
      <c r="D1923" s="284"/>
      <c r="E1923" s="284"/>
      <c r="F1923" s="284"/>
      <c r="G1923" s="284"/>
      <c r="H1923" s="284"/>
      <c r="I1923" s="284"/>
      <c r="J1923" s="375"/>
      <c r="K1923" s="375"/>
      <c r="L1923" s="375"/>
      <c r="M1923" s="368"/>
      <c r="N1923" s="368"/>
      <c r="O1923" s="370"/>
      <c r="T1923" s="349"/>
      <c r="V1923" s="378"/>
      <c r="W1923" s="64" ph="1"/>
      <c r="X1923" s="241"/>
      <c r="Y1923" s="284"/>
      <c r="Z1923" s="207"/>
      <c r="AA1923" s="284"/>
      <c r="AB1923" s="284"/>
      <c r="AC1923" s="284"/>
      <c r="AD1923" s="284"/>
      <c r="AE1923" s="284"/>
      <c r="AF1923" s="284"/>
      <c r="AG1923" s="284"/>
    </row>
    <row r="1924" spans="1:33" ht="26.4">
      <c r="A1924" s="284"/>
      <c r="B1924" s="284"/>
      <c r="C1924" s="284"/>
      <c r="D1924" s="284"/>
      <c r="E1924" s="284"/>
      <c r="F1924" s="284"/>
      <c r="G1924" s="284"/>
      <c r="H1924" s="284"/>
      <c r="I1924" s="284"/>
      <c r="J1924" s="375"/>
      <c r="K1924" s="375"/>
      <c r="L1924" s="375"/>
      <c r="M1924" s="368"/>
      <c r="N1924" s="368"/>
      <c r="O1924" s="370"/>
      <c r="T1924" s="349"/>
      <c r="V1924" s="378"/>
      <c r="W1924" s="64" ph="1"/>
      <c r="X1924" s="241"/>
      <c r="Y1924" s="284"/>
      <c r="Z1924" s="207"/>
      <c r="AA1924" s="284"/>
      <c r="AB1924" s="284"/>
      <c r="AC1924" s="284"/>
      <c r="AD1924" s="284"/>
      <c r="AE1924" s="284"/>
      <c r="AF1924" s="284"/>
      <c r="AG1924" s="284"/>
    </row>
    <row r="1925" spans="1:33" ht="26.4">
      <c r="A1925" s="284"/>
      <c r="B1925" s="284"/>
      <c r="C1925" s="284"/>
      <c r="D1925" s="284"/>
      <c r="E1925" s="284"/>
      <c r="F1925" s="284"/>
      <c r="G1925" s="284"/>
      <c r="H1925" s="284"/>
      <c r="I1925" s="284"/>
      <c r="J1925" s="375"/>
      <c r="K1925" s="375"/>
      <c r="L1925" s="375"/>
      <c r="M1925" s="368"/>
      <c r="N1925" s="368"/>
      <c r="O1925" s="370"/>
      <c r="T1925" s="349"/>
      <c r="V1925" s="378"/>
      <c r="W1925" s="64" ph="1"/>
      <c r="X1925" s="241"/>
      <c r="Y1925" s="284"/>
      <c r="Z1925" s="207"/>
      <c r="AA1925" s="284"/>
      <c r="AB1925" s="284"/>
      <c r="AC1925" s="284"/>
      <c r="AD1925" s="284"/>
      <c r="AE1925" s="284"/>
      <c r="AF1925" s="284"/>
      <c r="AG1925" s="284"/>
    </row>
    <row r="1926" spans="1:33" ht="26.4">
      <c r="A1926" s="284"/>
      <c r="B1926" s="284"/>
      <c r="C1926" s="284"/>
      <c r="D1926" s="284"/>
      <c r="E1926" s="284"/>
      <c r="F1926" s="284"/>
      <c r="G1926" s="284"/>
      <c r="H1926" s="284"/>
      <c r="I1926" s="284"/>
      <c r="J1926" s="375"/>
      <c r="K1926" s="375"/>
      <c r="L1926" s="375"/>
      <c r="M1926" s="368"/>
      <c r="N1926" s="368"/>
      <c r="O1926" s="370"/>
      <c r="T1926" s="349"/>
      <c r="V1926" s="378"/>
      <c r="W1926" s="64" ph="1"/>
      <c r="X1926" s="241"/>
      <c r="Y1926" s="284"/>
      <c r="Z1926" s="207"/>
      <c r="AA1926" s="284"/>
      <c r="AB1926" s="284"/>
      <c r="AC1926" s="284"/>
      <c r="AD1926" s="284"/>
      <c r="AE1926" s="284"/>
      <c r="AF1926" s="284"/>
      <c r="AG1926" s="284"/>
    </row>
    <row r="1927" spans="1:33" ht="26.4">
      <c r="A1927" s="284"/>
      <c r="B1927" s="284"/>
      <c r="C1927" s="284"/>
      <c r="D1927" s="284"/>
      <c r="E1927" s="284"/>
      <c r="F1927" s="284"/>
      <c r="G1927" s="284"/>
      <c r="H1927" s="284"/>
      <c r="I1927" s="284"/>
      <c r="J1927" s="375"/>
      <c r="K1927" s="375"/>
      <c r="L1927" s="375"/>
      <c r="M1927" s="368"/>
      <c r="N1927" s="368"/>
      <c r="O1927" s="370"/>
      <c r="T1927" s="349"/>
      <c r="V1927" s="378"/>
      <c r="W1927" s="64" ph="1"/>
      <c r="X1927" s="241"/>
      <c r="Y1927" s="284"/>
      <c r="Z1927" s="207"/>
      <c r="AA1927" s="284"/>
      <c r="AB1927" s="284"/>
      <c r="AC1927" s="284"/>
      <c r="AD1927" s="284"/>
      <c r="AE1927" s="284"/>
      <c r="AF1927" s="284"/>
      <c r="AG1927" s="284"/>
    </row>
    <row r="1928" spans="1:33" ht="26.4">
      <c r="A1928" s="284"/>
      <c r="B1928" s="284"/>
      <c r="C1928" s="284"/>
      <c r="D1928" s="284"/>
      <c r="E1928" s="284"/>
      <c r="F1928" s="284"/>
      <c r="G1928" s="284"/>
      <c r="H1928" s="284"/>
      <c r="I1928" s="284"/>
      <c r="J1928" s="375"/>
      <c r="K1928" s="375"/>
      <c r="L1928" s="375"/>
      <c r="M1928" s="368"/>
      <c r="N1928" s="368"/>
      <c r="O1928" s="370"/>
      <c r="T1928" s="349"/>
      <c r="V1928" s="378"/>
      <c r="W1928" s="64" ph="1"/>
      <c r="X1928" s="241"/>
      <c r="Y1928" s="284"/>
      <c r="Z1928" s="207"/>
      <c r="AA1928" s="284"/>
      <c r="AB1928" s="284"/>
      <c r="AC1928" s="284"/>
      <c r="AD1928" s="284"/>
      <c r="AE1928" s="284"/>
      <c r="AF1928" s="284"/>
      <c r="AG1928" s="284"/>
    </row>
    <row r="1929" spans="1:33" ht="26.4">
      <c r="A1929" s="284"/>
      <c r="B1929" s="284"/>
      <c r="C1929" s="284"/>
      <c r="D1929" s="284"/>
      <c r="E1929" s="284"/>
      <c r="F1929" s="284"/>
      <c r="G1929" s="284"/>
      <c r="H1929" s="284"/>
      <c r="I1929" s="284"/>
      <c r="J1929" s="375"/>
      <c r="K1929" s="375"/>
      <c r="L1929" s="375"/>
      <c r="M1929" s="368"/>
      <c r="N1929" s="368"/>
      <c r="O1929" s="370"/>
      <c r="T1929" s="349"/>
      <c r="V1929" s="378"/>
      <c r="W1929" s="64" ph="1"/>
      <c r="X1929" s="241"/>
      <c r="Y1929" s="284"/>
      <c r="Z1929" s="207"/>
      <c r="AA1929" s="284"/>
      <c r="AB1929" s="284"/>
      <c r="AC1929" s="284"/>
      <c r="AD1929" s="284"/>
      <c r="AE1929" s="284"/>
      <c r="AF1929" s="284"/>
      <c r="AG1929" s="284"/>
    </row>
    <row r="1930" spans="1:33" ht="26.4">
      <c r="A1930" s="284"/>
      <c r="B1930" s="284"/>
      <c r="C1930" s="284"/>
      <c r="D1930" s="284"/>
      <c r="E1930" s="284"/>
      <c r="F1930" s="284"/>
      <c r="G1930" s="284"/>
      <c r="H1930" s="284"/>
      <c r="I1930" s="284"/>
      <c r="J1930" s="375"/>
      <c r="K1930" s="375"/>
      <c r="L1930" s="375"/>
      <c r="M1930" s="368"/>
      <c r="N1930" s="368"/>
      <c r="O1930" s="370"/>
      <c r="T1930" s="349"/>
      <c r="V1930" s="378"/>
      <c r="W1930" s="64" ph="1"/>
      <c r="X1930" s="241"/>
      <c r="Y1930" s="284"/>
      <c r="Z1930" s="207"/>
      <c r="AA1930" s="284"/>
      <c r="AB1930" s="284"/>
      <c r="AC1930" s="284"/>
      <c r="AD1930" s="284"/>
      <c r="AE1930" s="284"/>
      <c r="AF1930" s="284"/>
      <c r="AG1930" s="284"/>
    </row>
    <row r="1931" spans="1:33" ht="26.4">
      <c r="A1931" s="284"/>
      <c r="B1931" s="284"/>
      <c r="C1931" s="284"/>
      <c r="D1931" s="284"/>
      <c r="E1931" s="284"/>
      <c r="F1931" s="284"/>
      <c r="G1931" s="284"/>
      <c r="H1931" s="284"/>
      <c r="I1931" s="284"/>
      <c r="J1931" s="375"/>
      <c r="K1931" s="375"/>
      <c r="L1931" s="375"/>
      <c r="M1931" s="368"/>
      <c r="N1931" s="368"/>
      <c r="O1931" s="370"/>
      <c r="T1931" s="349"/>
      <c r="V1931" s="378"/>
      <c r="W1931" s="64" ph="1"/>
      <c r="X1931" s="241"/>
      <c r="Y1931" s="284"/>
      <c r="Z1931" s="207"/>
      <c r="AA1931" s="284"/>
      <c r="AB1931" s="284"/>
      <c r="AC1931" s="284"/>
      <c r="AD1931" s="284"/>
      <c r="AE1931" s="284"/>
      <c r="AF1931" s="284"/>
      <c r="AG1931" s="284"/>
    </row>
    <row r="1932" spans="1:33" ht="26.4">
      <c r="A1932" s="284"/>
      <c r="B1932" s="284"/>
      <c r="C1932" s="284"/>
      <c r="D1932" s="284"/>
      <c r="E1932" s="284"/>
      <c r="F1932" s="284"/>
      <c r="G1932" s="284"/>
      <c r="H1932" s="284"/>
      <c r="I1932" s="284"/>
      <c r="J1932" s="375"/>
      <c r="K1932" s="375"/>
      <c r="L1932" s="375"/>
      <c r="M1932" s="368"/>
      <c r="N1932" s="368"/>
      <c r="O1932" s="370"/>
      <c r="T1932" s="349"/>
      <c r="V1932" s="378"/>
      <c r="W1932" s="64" ph="1"/>
      <c r="X1932" s="241"/>
      <c r="Y1932" s="284"/>
      <c r="Z1932" s="207"/>
      <c r="AA1932" s="284"/>
      <c r="AB1932" s="284"/>
      <c r="AC1932" s="284"/>
      <c r="AD1932" s="284"/>
      <c r="AE1932" s="284"/>
      <c r="AF1932" s="284"/>
      <c r="AG1932" s="284"/>
    </row>
    <row r="1933" spans="1:33" ht="26.4">
      <c r="A1933" s="284"/>
      <c r="B1933" s="284"/>
      <c r="C1933" s="284"/>
      <c r="D1933" s="284"/>
      <c r="E1933" s="284"/>
      <c r="F1933" s="284"/>
      <c r="G1933" s="284"/>
      <c r="H1933" s="284"/>
      <c r="I1933" s="284"/>
      <c r="J1933" s="375"/>
      <c r="K1933" s="375"/>
      <c r="L1933" s="375"/>
      <c r="M1933" s="368"/>
      <c r="N1933" s="368"/>
      <c r="O1933" s="370"/>
      <c r="T1933" s="349"/>
      <c r="V1933" s="378"/>
      <c r="W1933" s="64" ph="1"/>
      <c r="X1933" s="241"/>
      <c r="Y1933" s="284"/>
      <c r="Z1933" s="207"/>
      <c r="AA1933" s="284"/>
      <c r="AB1933" s="284"/>
      <c r="AC1933" s="284"/>
      <c r="AD1933" s="284"/>
      <c r="AE1933" s="284"/>
      <c r="AF1933" s="284"/>
      <c r="AG1933" s="284"/>
    </row>
    <row r="1934" spans="1:33" ht="26.4">
      <c r="A1934" s="284"/>
      <c r="B1934" s="284"/>
      <c r="C1934" s="284"/>
      <c r="D1934" s="284"/>
      <c r="E1934" s="284"/>
      <c r="F1934" s="284"/>
      <c r="G1934" s="284"/>
      <c r="H1934" s="284"/>
      <c r="I1934" s="284"/>
      <c r="J1934" s="375"/>
      <c r="K1934" s="375"/>
      <c r="L1934" s="375"/>
      <c r="M1934" s="368"/>
      <c r="N1934" s="368"/>
      <c r="O1934" s="370"/>
      <c r="T1934" s="349"/>
      <c r="V1934" s="378"/>
      <c r="W1934" s="64" ph="1"/>
      <c r="X1934" s="241"/>
      <c r="Y1934" s="284"/>
      <c r="Z1934" s="207"/>
      <c r="AA1934" s="284"/>
      <c r="AB1934" s="284"/>
      <c r="AC1934" s="284"/>
      <c r="AD1934" s="284"/>
      <c r="AE1934" s="284"/>
      <c r="AF1934" s="284"/>
      <c r="AG1934" s="284"/>
    </row>
    <row r="1935" spans="1:33" ht="26.4">
      <c r="A1935" s="284"/>
      <c r="B1935" s="284"/>
      <c r="C1935" s="284"/>
      <c r="D1935" s="284"/>
      <c r="E1935" s="284"/>
      <c r="F1935" s="284"/>
      <c r="G1935" s="284"/>
      <c r="H1935" s="284"/>
      <c r="I1935" s="284"/>
      <c r="J1935" s="375"/>
      <c r="K1935" s="375"/>
      <c r="L1935" s="375"/>
      <c r="M1935" s="368"/>
      <c r="N1935" s="368"/>
      <c r="O1935" s="370"/>
      <c r="T1935" s="349"/>
      <c r="V1935" s="378"/>
      <c r="W1935" s="64" ph="1"/>
      <c r="X1935" s="241"/>
      <c r="Y1935" s="284"/>
      <c r="Z1935" s="207"/>
      <c r="AA1935" s="284"/>
      <c r="AB1935" s="284"/>
      <c r="AC1935" s="284"/>
      <c r="AD1935" s="284"/>
      <c r="AE1935" s="284"/>
      <c r="AF1935" s="284"/>
      <c r="AG1935" s="284"/>
    </row>
    <row r="1936" spans="1:33" ht="26.4">
      <c r="A1936" s="284"/>
      <c r="B1936" s="284"/>
      <c r="C1936" s="284"/>
      <c r="D1936" s="284"/>
      <c r="E1936" s="284"/>
      <c r="F1936" s="284"/>
      <c r="G1936" s="284"/>
      <c r="H1936" s="284"/>
      <c r="I1936" s="284"/>
      <c r="J1936" s="375"/>
      <c r="K1936" s="375"/>
      <c r="L1936" s="375"/>
      <c r="M1936" s="368"/>
      <c r="N1936" s="368"/>
      <c r="O1936" s="370"/>
      <c r="T1936" s="349"/>
      <c r="V1936" s="378"/>
      <c r="W1936" s="64" ph="1"/>
      <c r="X1936" s="241"/>
      <c r="Y1936" s="284"/>
      <c r="Z1936" s="207"/>
      <c r="AA1936" s="284"/>
      <c r="AB1936" s="284"/>
      <c r="AC1936" s="284"/>
      <c r="AD1936" s="284"/>
      <c r="AE1936" s="284"/>
      <c r="AF1936" s="284"/>
      <c r="AG1936" s="284"/>
    </row>
    <row r="1937" spans="1:33" ht="26.4">
      <c r="A1937" s="284"/>
      <c r="B1937" s="284"/>
      <c r="C1937" s="284"/>
      <c r="D1937" s="284"/>
      <c r="E1937" s="284"/>
      <c r="F1937" s="284"/>
      <c r="G1937" s="284"/>
      <c r="H1937" s="284"/>
      <c r="I1937" s="284"/>
      <c r="J1937" s="375"/>
      <c r="K1937" s="375"/>
      <c r="L1937" s="375"/>
      <c r="M1937" s="368"/>
      <c r="N1937" s="368"/>
      <c r="O1937" s="370"/>
      <c r="T1937" s="349"/>
      <c r="V1937" s="378"/>
      <c r="W1937" s="64" ph="1"/>
      <c r="X1937" s="241"/>
      <c r="Y1937" s="284"/>
      <c r="Z1937" s="207"/>
      <c r="AA1937" s="284"/>
      <c r="AB1937" s="284"/>
      <c r="AC1937" s="284"/>
      <c r="AD1937" s="284"/>
      <c r="AE1937" s="284"/>
      <c r="AF1937" s="284"/>
      <c r="AG1937" s="284"/>
    </row>
    <row r="1938" spans="1:33" ht="26.4">
      <c r="A1938" s="284"/>
      <c r="B1938" s="284"/>
      <c r="C1938" s="284"/>
      <c r="D1938" s="284"/>
      <c r="E1938" s="284"/>
      <c r="F1938" s="284"/>
      <c r="G1938" s="284"/>
      <c r="H1938" s="284"/>
      <c r="I1938" s="284"/>
      <c r="J1938" s="375"/>
      <c r="K1938" s="375"/>
      <c r="L1938" s="375"/>
      <c r="M1938" s="368"/>
      <c r="N1938" s="368"/>
      <c r="O1938" s="370"/>
      <c r="T1938" s="349"/>
      <c r="V1938" s="378"/>
      <c r="W1938" s="64" ph="1"/>
      <c r="X1938" s="241"/>
      <c r="Y1938" s="284"/>
      <c r="Z1938" s="207"/>
      <c r="AA1938" s="284"/>
      <c r="AB1938" s="284"/>
      <c r="AC1938" s="284"/>
      <c r="AD1938" s="284"/>
      <c r="AE1938" s="284"/>
      <c r="AF1938" s="284"/>
      <c r="AG1938" s="284"/>
    </row>
    <row r="1939" spans="1:33" ht="26.4">
      <c r="A1939" s="284"/>
      <c r="B1939" s="284"/>
      <c r="C1939" s="284"/>
      <c r="D1939" s="284"/>
      <c r="E1939" s="284"/>
      <c r="F1939" s="284"/>
      <c r="G1939" s="284"/>
      <c r="H1939" s="284"/>
      <c r="I1939" s="284"/>
      <c r="J1939" s="375"/>
      <c r="K1939" s="375"/>
      <c r="L1939" s="375"/>
      <c r="M1939" s="368"/>
      <c r="N1939" s="368"/>
      <c r="O1939" s="370"/>
      <c r="T1939" s="349"/>
      <c r="V1939" s="378"/>
      <c r="W1939" s="64" ph="1"/>
      <c r="X1939" s="241"/>
      <c r="Y1939" s="284"/>
      <c r="Z1939" s="207"/>
      <c r="AA1939" s="284"/>
      <c r="AB1939" s="284"/>
      <c r="AC1939" s="284"/>
      <c r="AD1939" s="284"/>
      <c r="AE1939" s="284"/>
      <c r="AF1939" s="284"/>
      <c r="AG1939" s="284"/>
    </row>
    <row r="1940" spans="1:33" ht="26.4">
      <c r="A1940" s="284"/>
      <c r="B1940" s="284"/>
      <c r="C1940" s="284"/>
      <c r="D1940" s="284"/>
      <c r="E1940" s="284"/>
      <c r="F1940" s="284"/>
      <c r="G1940" s="284"/>
      <c r="H1940" s="284"/>
      <c r="I1940" s="284"/>
      <c r="J1940" s="375"/>
      <c r="K1940" s="375"/>
      <c r="L1940" s="375"/>
      <c r="M1940" s="368"/>
      <c r="N1940" s="368"/>
      <c r="O1940" s="370"/>
      <c r="T1940" s="349"/>
      <c r="V1940" s="378"/>
      <c r="W1940" s="64" ph="1"/>
      <c r="X1940" s="241"/>
      <c r="Y1940" s="284"/>
      <c r="Z1940" s="207"/>
      <c r="AA1940" s="284"/>
      <c r="AB1940" s="284"/>
      <c r="AC1940" s="284"/>
      <c r="AD1940" s="284"/>
      <c r="AE1940" s="284"/>
      <c r="AF1940" s="284"/>
      <c r="AG1940" s="284"/>
    </row>
    <row r="1941" spans="1:33" ht="26.4">
      <c r="A1941" s="284"/>
      <c r="B1941" s="284"/>
      <c r="C1941" s="284"/>
      <c r="D1941" s="284"/>
      <c r="E1941" s="284"/>
      <c r="F1941" s="284"/>
      <c r="G1941" s="284"/>
      <c r="H1941" s="284"/>
      <c r="I1941" s="284"/>
      <c r="J1941" s="375"/>
      <c r="K1941" s="375"/>
      <c r="L1941" s="375"/>
      <c r="M1941" s="368"/>
      <c r="N1941" s="368"/>
      <c r="O1941" s="370"/>
      <c r="T1941" s="349"/>
      <c r="V1941" s="378"/>
      <c r="W1941" s="64" ph="1"/>
      <c r="X1941" s="241"/>
      <c r="Y1941" s="284"/>
      <c r="Z1941" s="207"/>
      <c r="AA1941" s="284"/>
      <c r="AB1941" s="284"/>
      <c r="AC1941" s="284"/>
      <c r="AD1941" s="284"/>
      <c r="AE1941" s="284"/>
      <c r="AF1941" s="284"/>
      <c r="AG1941" s="284"/>
    </row>
    <row r="1942" spans="1:33" ht="26.4">
      <c r="A1942" s="284"/>
      <c r="B1942" s="284"/>
      <c r="C1942" s="284"/>
      <c r="D1942" s="284"/>
      <c r="E1942" s="284"/>
      <c r="F1942" s="284"/>
      <c r="G1942" s="284"/>
      <c r="H1942" s="284"/>
      <c r="I1942" s="284"/>
      <c r="J1942" s="375"/>
      <c r="K1942" s="375"/>
      <c r="L1942" s="375"/>
      <c r="M1942" s="368"/>
      <c r="N1942" s="368"/>
      <c r="O1942" s="370"/>
      <c r="T1942" s="349"/>
      <c r="V1942" s="378"/>
      <c r="W1942" s="64" ph="1"/>
      <c r="X1942" s="241"/>
      <c r="Y1942" s="284"/>
      <c r="Z1942" s="207"/>
      <c r="AA1942" s="284"/>
      <c r="AB1942" s="284"/>
      <c r="AC1942" s="284"/>
      <c r="AD1942" s="284"/>
      <c r="AE1942" s="284"/>
      <c r="AF1942" s="284"/>
      <c r="AG1942" s="284"/>
    </row>
    <row r="1943" spans="1:33" ht="26.4">
      <c r="A1943" s="284"/>
      <c r="B1943" s="284"/>
      <c r="C1943" s="284"/>
      <c r="D1943" s="284"/>
      <c r="E1943" s="284"/>
      <c r="F1943" s="284"/>
      <c r="G1943" s="284"/>
      <c r="H1943" s="284"/>
      <c r="I1943" s="284"/>
      <c r="J1943" s="375"/>
      <c r="K1943" s="375"/>
      <c r="L1943" s="375"/>
      <c r="M1943" s="368"/>
      <c r="N1943" s="368"/>
      <c r="O1943" s="370"/>
      <c r="T1943" s="349"/>
      <c r="V1943" s="378"/>
      <c r="W1943" s="64" ph="1"/>
      <c r="X1943" s="241"/>
      <c r="Y1943" s="284"/>
      <c r="Z1943" s="207"/>
      <c r="AA1943" s="284"/>
      <c r="AB1943" s="284"/>
      <c r="AC1943" s="284"/>
      <c r="AD1943" s="284"/>
      <c r="AE1943" s="284"/>
      <c r="AF1943" s="284"/>
      <c r="AG1943" s="284"/>
    </row>
    <row r="1944" spans="1:33" ht="26.4">
      <c r="A1944" s="284"/>
      <c r="B1944" s="284"/>
      <c r="C1944" s="284"/>
      <c r="D1944" s="284"/>
      <c r="E1944" s="284"/>
      <c r="F1944" s="284"/>
      <c r="G1944" s="284"/>
      <c r="H1944" s="284"/>
      <c r="I1944" s="284"/>
      <c r="J1944" s="375"/>
      <c r="K1944" s="375"/>
      <c r="L1944" s="375"/>
      <c r="M1944" s="368"/>
      <c r="N1944" s="368"/>
      <c r="O1944" s="370"/>
      <c r="T1944" s="349"/>
      <c r="V1944" s="378"/>
      <c r="W1944" s="64" ph="1"/>
      <c r="X1944" s="241"/>
      <c r="Y1944" s="284"/>
      <c r="Z1944" s="207"/>
      <c r="AA1944" s="284"/>
      <c r="AB1944" s="284"/>
      <c r="AC1944" s="284"/>
      <c r="AD1944" s="284"/>
      <c r="AE1944" s="284"/>
      <c r="AF1944" s="284"/>
      <c r="AG1944" s="284"/>
    </row>
    <row r="1945" spans="1:33" ht="26.4">
      <c r="A1945" s="284"/>
      <c r="B1945" s="284"/>
      <c r="C1945" s="284"/>
      <c r="D1945" s="284"/>
      <c r="E1945" s="284"/>
      <c r="F1945" s="284"/>
      <c r="G1945" s="284"/>
      <c r="H1945" s="284"/>
      <c r="I1945" s="284"/>
      <c r="J1945" s="375"/>
      <c r="K1945" s="375"/>
      <c r="L1945" s="375"/>
      <c r="M1945" s="368"/>
      <c r="N1945" s="368"/>
      <c r="O1945" s="370"/>
      <c r="T1945" s="349"/>
      <c r="V1945" s="378"/>
      <c r="W1945" s="64" ph="1"/>
      <c r="X1945" s="241"/>
      <c r="Y1945" s="284"/>
      <c r="Z1945" s="207"/>
      <c r="AA1945" s="284"/>
      <c r="AB1945" s="284"/>
      <c r="AC1945" s="284"/>
      <c r="AD1945" s="284"/>
      <c r="AE1945" s="284"/>
      <c r="AF1945" s="284"/>
      <c r="AG1945" s="284"/>
    </row>
    <row r="1946" spans="1:33" ht="26.4">
      <c r="A1946" s="284"/>
      <c r="B1946" s="284"/>
      <c r="C1946" s="284"/>
      <c r="D1946" s="284"/>
      <c r="E1946" s="284"/>
      <c r="F1946" s="284"/>
      <c r="G1946" s="284"/>
      <c r="H1946" s="284"/>
      <c r="I1946" s="284"/>
      <c r="J1946" s="375"/>
      <c r="K1946" s="375"/>
      <c r="L1946" s="375"/>
      <c r="M1946" s="368"/>
      <c r="N1946" s="368"/>
      <c r="O1946" s="370"/>
      <c r="T1946" s="349"/>
      <c r="V1946" s="378"/>
      <c r="W1946" s="64" ph="1"/>
      <c r="X1946" s="241"/>
      <c r="Y1946" s="284"/>
      <c r="Z1946" s="207"/>
      <c r="AA1946" s="284"/>
      <c r="AB1946" s="284"/>
      <c r="AC1946" s="284"/>
      <c r="AD1946" s="284"/>
      <c r="AE1946" s="284"/>
      <c r="AF1946" s="284"/>
      <c r="AG1946" s="284"/>
    </row>
    <row r="1947" spans="1:33" ht="26.4">
      <c r="A1947" s="284"/>
      <c r="B1947" s="284"/>
      <c r="C1947" s="284"/>
      <c r="D1947" s="284"/>
      <c r="E1947" s="284"/>
      <c r="F1947" s="284"/>
      <c r="G1947" s="284"/>
      <c r="H1947" s="284"/>
      <c r="I1947" s="284"/>
      <c r="J1947" s="375"/>
      <c r="K1947" s="375"/>
      <c r="L1947" s="375"/>
      <c r="M1947" s="368"/>
      <c r="N1947" s="368"/>
      <c r="O1947" s="370"/>
      <c r="T1947" s="349"/>
      <c r="V1947" s="378"/>
      <c r="W1947" s="64" ph="1"/>
      <c r="X1947" s="241"/>
      <c r="Y1947" s="284"/>
      <c r="Z1947" s="207"/>
      <c r="AA1947" s="284"/>
      <c r="AB1947" s="284"/>
      <c r="AC1947" s="284"/>
      <c r="AD1947" s="284"/>
      <c r="AE1947" s="284"/>
      <c r="AF1947" s="284"/>
      <c r="AG1947" s="284"/>
    </row>
    <row r="1948" spans="1:33" ht="26.4">
      <c r="A1948" s="284"/>
      <c r="B1948" s="284"/>
      <c r="C1948" s="284"/>
      <c r="D1948" s="284"/>
      <c r="E1948" s="284"/>
      <c r="F1948" s="284"/>
      <c r="G1948" s="284"/>
      <c r="H1948" s="284"/>
      <c r="I1948" s="284"/>
      <c r="J1948" s="375"/>
      <c r="K1948" s="375"/>
      <c r="L1948" s="375"/>
      <c r="M1948" s="368"/>
      <c r="N1948" s="368"/>
      <c r="O1948" s="370"/>
      <c r="T1948" s="349"/>
      <c r="V1948" s="378"/>
      <c r="W1948" s="64" ph="1"/>
      <c r="X1948" s="241"/>
      <c r="Y1948" s="284"/>
      <c r="Z1948" s="207"/>
      <c r="AA1948" s="284"/>
      <c r="AB1948" s="284"/>
      <c r="AC1948" s="284"/>
      <c r="AD1948" s="284"/>
      <c r="AE1948" s="284"/>
      <c r="AF1948" s="284"/>
      <c r="AG1948" s="284"/>
    </row>
    <row r="1949" spans="1:33" ht="26.4">
      <c r="A1949" s="284"/>
      <c r="B1949" s="284"/>
      <c r="C1949" s="284"/>
      <c r="D1949" s="284"/>
      <c r="E1949" s="284"/>
      <c r="F1949" s="284"/>
      <c r="G1949" s="284"/>
      <c r="H1949" s="284"/>
      <c r="I1949" s="284"/>
      <c r="J1949" s="375"/>
      <c r="K1949" s="375"/>
      <c r="L1949" s="375"/>
      <c r="M1949" s="368"/>
      <c r="N1949" s="368"/>
      <c r="O1949" s="370"/>
      <c r="T1949" s="349"/>
      <c r="V1949" s="378"/>
      <c r="W1949" s="64" ph="1"/>
      <c r="X1949" s="241"/>
      <c r="Y1949" s="284"/>
      <c r="Z1949" s="207"/>
      <c r="AA1949" s="284"/>
      <c r="AB1949" s="284"/>
      <c r="AC1949" s="284"/>
      <c r="AD1949" s="284"/>
      <c r="AE1949" s="284"/>
      <c r="AF1949" s="284"/>
      <c r="AG1949" s="284"/>
    </row>
    <row r="1950" spans="1:33" ht="26.4">
      <c r="A1950" s="284"/>
      <c r="B1950" s="284"/>
      <c r="C1950" s="284"/>
      <c r="D1950" s="284"/>
      <c r="E1950" s="284"/>
      <c r="F1950" s="284"/>
      <c r="G1950" s="284"/>
      <c r="H1950" s="284"/>
      <c r="I1950" s="284"/>
      <c r="J1950" s="375"/>
      <c r="K1950" s="375"/>
      <c r="L1950" s="375"/>
      <c r="M1950" s="368"/>
      <c r="N1950" s="368"/>
      <c r="O1950" s="370"/>
      <c r="T1950" s="349"/>
      <c r="V1950" s="378"/>
      <c r="W1950" s="64" ph="1"/>
      <c r="X1950" s="241"/>
      <c r="Y1950" s="284"/>
      <c r="Z1950" s="207"/>
      <c r="AA1950" s="284"/>
      <c r="AB1950" s="284"/>
      <c r="AC1950" s="284"/>
      <c r="AD1950" s="284"/>
      <c r="AE1950" s="284"/>
      <c r="AF1950" s="284"/>
      <c r="AG1950" s="284"/>
    </row>
    <row r="1951" spans="1:33" ht="26.4">
      <c r="A1951" s="284"/>
      <c r="B1951" s="284"/>
      <c r="C1951" s="284"/>
      <c r="D1951" s="284"/>
      <c r="E1951" s="284"/>
      <c r="F1951" s="284"/>
      <c r="G1951" s="284"/>
      <c r="H1951" s="284"/>
      <c r="I1951" s="284"/>
      <c r="J1951" s="375"/>
      <c r="K1951" s="375"/>
      <c r="L1951" s="375"/>
      <c r="M1951" s="368"/>
      <c r="N1951" s="368"/>
      <c r="O1951" s="370"/>
      <c r="T1951" s="349"/>
      <c r="V1951" s="378"/>
      <c r="W1951" s="64" ph="1"/>
      <c r="X1951" s="241"/>
      <c r="Y1951" s="284"/>
      <c r="Z1951" s="207"/>
      <c r="AA1951" s="284"/>
      <c r="AB1951" s="284"/>
      <c r="AC1951" s="284"/>
      <c r="AD1951" s="284"/>
      <c r="AE1951" s="284"/>
      <c r="AF1951" s="284"/>
      <c r="AG1951" s="284"/>
    </row>
    <row r="1952" spans="1:33" ht="26.4">
      <c r="A1952" s="284"/>
      <c r="B1952" s="284"/>
      <c r="C1952" s="284"/>
      <c r="D1952" s="284"/>
      <c r="E1952" s="284"/>
      <c r="F1952" s="284"/>
      <c r="G1952" s="284"/>
      <c r="H1952" s="284"/>
      <c r="I1952" s="284"/>
      <c r="J1952" s="375"/>
      <c r="K1952" s="375"/>
      <c r="L1952" s="375"/>
      <c r="M1952" s="368"/>
      <c r="N1952" s="368"/>
      <c r="O1952" s="370"/>
      <c r="T1952" s="349"/>
      <c r="V1952" s="378"/>
      <c r="W1952" s="64" ph="1"/>
      <c r="X1952" s="241"/>
      <c r="Y1952" s="284"/>
      <c r="Z1952" s="207"/>
      <c r="AA1952" s="284"/>
      <c r="AB1952" s="284"/>
      <c r="AC1952" s="284"/>
      <c r="AD1952" s="284"/>
      <c r="AE1952" s="284"/>
      <c r="AF1952" s="284"/>
      <c r="AG1952" s="284"/>
    </row>
    <row r="1953" spans="1:33" ht="26.4">
      <c r="A1953" s="284"/>
      <c r="B1953" s="284"/>
      <c r="C1953" s="284"/>
      <c r="D1953" s="284"/>
      <c r="E1953" s="284"/>
      <c r="F1953" s="284"/>
      <c r="G1953" s="284"/>
      <c r="H1953" s="284"/>
      <c r="I1953" s="284"/>
      <c r="J1953" s="375"/>
      <c r="K1953" s="375"/>
      <c r="L1953" s="375"/>
      <c r="M1953" s="368"/>
      <c r="N1953" s="368"/>
      <c r="O1953" s="370"/>
      <c r="T1953" s="349"/>
      <c r="V1953" s="378"/>
      <c r="W1953" s="64" ph="1"/>
      <c r="X1953" s="241"/>
      <c r="Y1953" s="284"/>
      <c r="Z1953" s="207"/>
      <c r="AA1953" s="284"/>
      <c r="AB1953" s="284"/>
      <c r="AC1953" s="284"/>
      <c r="AD1953" s="284"/>
      <c r="AE1953" s="284"/>
      <c r="AF1953" s="284"/>
      <c r="AG1953" s="284"/>
    </row>
    <row r="1954" spans="1:33" ht="26.4">
      <c r="A1954" s="284"/>
      <c r="B1954" s="284"/>
      <c r="C1954" s="284"/>
      <c r="D1954" s="284"/>
      <c r="E1954" s="284"/>
      <c r="F1954" s="284"/>
      <c r="G1954" s="284"/>
      <c r="H1954" s="284"/>
      <c r="I1954" s="284"/>
      <c r="J1954" s="375"/>
      <c r="K1954" s="375"/>
      <c r="L1954" s="375"/>
      <c r="M1954" s="368"/>
      <c r="N1954" s="368"/>
      <c r="O1954" s="370"/>
      <c r="T1954" s="349"/>
      <c r="V1954" s="378"/>
      <c r="W1954" s="64" ph="1"/>
      <c r="X1954" s="241"/>
      <c r="Y1954" s="284"/>
      <c r="Z1954" s="207"/>
      <c r="AA1954" s="284"/>
      <c r="AB1954" s="284"/>
      <c r="AC1954" s="284"/>
      <c r="AD1954" s="284"/>
      <c r="AE1954" s="284"/>
      <c r="AF1954" s="284"/>
      <c r="AG1954" s="284"/>
    </row>
    <row r="1955" spans="1:33" ht="26.4">
      <c r="A1955" s="284"/>
      <c r="B1955" s="284"/>
      <c r="C1955" s="284"/>
      <c r="D1955" s="284"/>
      <c r="E1955" s="284"/>
      <c r="F1955" s="284"/>
      <c r="G1955" s="284"/>
      <c r="H1955" s="284"/>
      <c r="I1955" s="284"/>
      <c r="J1955" s="375"/>
      <c r="K1955" s="375"/>
      <c r="L1955" s="375"/>
      <c r="M1955" s="368"/>
      <c r="N1955" s="368"/>
      <c r="O1955" s="370"/>
      <c r="T1955" s="349"/>
      <c r="V1955" s="378"/>
      <c r="W1955" s="64" ph="1"/>
      <c r="X1955" s="241"/>
      <c r="Y1955" s="284"/>
      <c r="Z1955" s="207"/>
      <c r="AA1955" s="284"/>
      <c r="AB1955" s="284"/>
      <c r="AC1955" s="284"/>
      <c r="AD1955" s="284"/>
      <c r="AE1955" s="284"/>
      <c r="AF1955" s="284"/>
      <c r="AG1955" s="284"/>
    </row>
    <row r="1956" spans="1:33" ht="26.4">
      <c r="A1956" s="284"/>
      <c r="B1956" s="284"/>
      <c r="C1956" s="284"/>
      <c r="D1956" s="284"/>
      <c r="E1956" s="284"/>
      <c r="F1956" s="284"/>
      <c r="G1956" s="284"/>
      <c r="H1956" s="284"/>
      <c r="I1956" s="284"/>
      <c r="J1956" s="375"/>
      <c r="K1956" s="375"/>
      <c r="L1956" s="375"/>
      <c r="M1956" s="368"/>
      <c r="N1956" s="368"/>
      <c r="O1956" s="370"/>
      <c r="T1956" s="349"/>
      <c r="V1956" s="378"/>
      <c r="W1956" s="64" ph="1"/>
      <c r="X1956" s="241"/>
      <c r="Y1956" s="284"/>
      <c r="Z1956" s="207"/>
      <c r="AA1956" s="284"/>
      <c r="AB1956" s="284"/>
      <c r="AC1956" s="284"/>
      <c r="AD1956" s="284"/>
      <c r="AE1956" s="284"/>
      <c r="AF1956" s="284"/>
      <c r="AG1956" s="284"/>
    </row>
    <row r="1957" spans="1:33" ht="26.4">
      <c r="A1957" s="284"/>
      <c r="B1957" s="284"/>
      <c r="C1957" s="284"/>
      <c r="D1957" s="284"/>
      <c r="E1957" s="284"/>
      <c r="F1957" s="284"/>
      <c r="G1957" s="284"/>
      <c r="H1957" s="284"/>
      <c r="I1957" s="284"/>
      <c r="J1957" s="375"/>
      <c r="K1957" s="375"/>
      <c r="L1957" s="375"/>
      <c r="M1957" s="368"/>
      <c r="N1957" s="368"/>
      <c r="O1957" s="370"/>
      <c r="T1957" s="349"/>
      <c r="V1957" s="378"/>
      <c r="W1957" s="64" ph="1"/>
      <c r="X1957" s="241"/>
      <c r="Y1957" s="284"/>
      <c r="Z1957" s="207"/>
      <c r="AA1957" s="284"/>
      <c r="AB1957" s="284"/>
      <c r="AC1957" s="284"/>
      <c r="AD1957" s="284"/>
      <c r="AE1957" s="284"/>
      <c r="AF1957" s="284"/>
      <c r="AG1957" s="284"/>
    </row>
    <row r="1958" spans="1:33" ht="26.4">
      <c r="A1958" s="284"/>
      <c r="B1958" s="284"/>
      <c r="C1958" s="284"/>
      <c r="D1958" s="284"/>
      <c r="E1958" s="284"/>
      <c r="F1958" s="284"/>
      <c r="G1958" s="284"/>
      <c r="H1958" s="284"/>
      <c r="I1958" s="284"/>
      <c r="J1958" s="375"/>
      <c r="K1958" s="375"/>
      <c r="L1958" s="375"/>
      <c r="M1958" s="368"/>
      <c r="N1958" s="368"/>
      <c r="O1958" s="370"/>
      <c r="T1958" s="349"/>
      <c r="V1958" s="378"/>
      <c r="W1958" s="64" ph="1"/>
      <c r="X1958" s="241"/>
      <c r="Y1958" s="284"/>
      <c r="Z1958" s="207"/>
      <c r="AA1958" s="284"/>
      <c r="AB1958" s="284"/>
      <c r="AC1958" s="284"/>
      <c r="AD1958" s="284"/>
      <c r="AE1958" s="284"/>
      <c r="AF1958" s="284"/>
      <c r="AG1958" s="284"/>
    </row>
    <row r="1959" spans="1:33" ht="26.4">
      <c r="A1959" s="284"/>
      <c r="B1959" s="284"/>
      <c r="C1959" s="284"/>
      <c r="D1959" s="284"/>
      <c r="E1959" s="284"/>
      <c r="F1959" s="284"/>
      <c r="G1959" s="284"/>
      <c r="H1959" s="284"/>
      <c r="I1959" s="284"/>
      <c r="J1959" s="375"/>
      <c r="K1959" s="375"/>
      <c r="L1959" s="375"/>
      <c r="M1959" s="368"/>
      <c r="N1959" s="368"/>
      <c r="O1959" s="370"/>
      <c r="T1959" s="349"/>
      <c r="V1959" s="378"/>
      <c r="W1959" s="64" ph="1"/>
      <c r="X1959" s="241"/>
      <c r="Y1959" s="284"/>
      <c r="Z1959" s="207"/>
      <c r="AA1959" s="284"/>
      <c r="AB1959" s="284"/>
      <c r="AC1959" s="284"/>
      <c r="AD1959" s="284"/>
      <c r="AE1959" s="284"/>
      <c r="AF1959" s="284"/>
      <c r="AG1959" s="284"/>
    </row>
    <row r="1960" spans="1:33" ht="26.4">
      <c r="A1960" s="284"/>
      <c r="B1960" s="284"/>
      <c r="C1960" s="284"/>
      <c r="D1960" s="284"/>
      <c r="E1960" s="284"/>
      <c r="F1960" s="284"/>
      <c r="G1960" s="284"/>
      <c r="H1960" s="284"/>
      <c r="I1960" s="284"/>
      <c r="J1960" s="375"/>
      <c r="K1960" s="375"/>
      <c r="L1960" s="375"/>
      <c r="M1960" s="368"/>
      <c r="N1960" s="368"/>
      <c r="O1960" s="370"/>
      <c r="T1960" s="349"/>
      <c r="V1960" s="378"/>
      <c r="W1960" s="64" ph="1"/>
      <c r="X1960" s="241"/>
      <c r="Y1960" s="284"/>
      <c r="Z1960" s="207"/>
      <c r="AA1960" s="284"/>
      <c r="AB1960" s="284"/>
      <c r="AC1960" s="284"/>
      <c r="AD1960" s="284"/>
      <c r="AE1960" s="284"/>
      <c r="AF1960" s="284"/>
      <c r="AG1960" s="284"/>
    </row>
    <row r="1961" spans="1:33" ht="26.4">
      <c r="A1961" s="284"/>
      <c r="B1961" s="284"/>
      <c r="C1961" s="284"/>
      <c r="D1961" s="284"/>
      <c r="E1961" s="284"/>
      <c r="F1961" s="284"/>
      <c r="G1961" s="284"/>
      <c r="H1961" s="284"/>
      <c r="I1961" s="284"/>
      <c r="J1961" s="375"/>
      <c r="K1961" s="375"/>
      <c r="L1961" s="375"/>
      <c r="M1961" s="368"/>
      <c r="N1961" s="368"/>
      <c r="O1961" s="370"/>
      <c r="T1961" s="349"/>
      <c r="V1961" s="378"/>
      <c r="W1961" s="64" ph="1"/>
      <c r="X1961" s="241"/>
      <c r="Y1961" s="284"/>
      <c r="Z1961" s="207"/>
      <c r="AA1961" s="284"/>
      <c r="AB1961" s="284"/>
      <c r="AC1961" s="284"/>
      <c r="AD1961" s="284"/>
      <c r="AE1961" s="284"/>
      <c r="AF1961" s="284"/>
      <c r="AG1961" s="284"/>
    </row>
    <row r="1962" spans="1:33" ht="26.4">
      <c r="A1962" s="284"/>
      <c r="B1962" s="284"/>
      <c r="C1962" s="284"/>
      <c r="D1962" s="284"/>
      <c r="E1962" s="284"/>
      <c r="F1962" s="284"/>
      <c r="G1962" s="284"/>
      <c r="H1962" s="284"/>
      <c r="I1962" s="284"/>
      <c r="J1962" s="375"/>
      <c r="K1962" s="375"/>
      <c r="L1962" s="375"/>
      <c r="M1962" s="368"/>
      <c r="N1962" s="368"/>
      <c r="O1962" s="370"/>
      <c r="T1962" s="349"/>
      <c r="V1962" s="378"/>
      <c r="W1962" s="64" ph="1"/>
      <c r="X1962" s="241"/>
      <c r="Y1962" s="284"/>
      <c r="Z1962" s="207"/>
      <c r="AA1962" s="284"/>
      <c r="AB1962" s="284"/>
      <c r="AC1962" s="284"/>
      <c r="AD1962" s="284"/>
      <c r="AE1962" s="284"/>
      <c r="AF1962" s="284"/>
      <c r="AG1962" s="284"/>
    </row>
    <row r="1963" spans="1:33" ht="26.4">
      <c r="A1963" s="284"/>
      <c r="B1963" s="284"/>
      <c r="C1963" s="284"/>
      <c r="D1963" s="284"/>
      <c r="E1963" s="284"/>
      <c r="F1963" s="284"/>
      <c r="G1963" s="284"/>
      <c r="H1963" s="284"/>
      <c r="I1963" s="284"/>
      <c r="J1963" s="375"/>
      <c r="K1963" s="375"/>
      <c r="L1963" s="375"/>
      <c r="M1963" s="368"/>
      <c r="N1963" s="368"/>
      <c r="O1963" s="370"/>
      <c r="T1963" s="349"/>
      <c r="V1963" s="378"/>
      <c r="W1963" s="64" ph="1"/>
      <c r="X1963" s="241"/>
      <c r="Y1963" s="284"/>
      <c r="Z1963" s="207"/>
      <c r="AA1963" s="284"/>
      <c r="AB1963" s="284"/>
      <c r="AC1963" s="284"/>
      <c r="AD1963" s="284"/>
      <c r="AE1963" s="284"/>
      <c r="AF1963" s="284"/>
      <c r="AG1963" s="284"/>
    </row>
    <row r="1964" spans="1:33" ht="26.4">
      <c r="A1964" s="284"/>
      <c r="B1964" s="284"/>
      <c r="C1964" s="284"/>
      <c r="D1964" s="284"/>
      <c r="E1964" s="284"/>
      <c r="F1964" s="284"/>
      <c r="G1964" s="284"/>
      <c r="H1964" s="284"/>
      <c r="I1964" s="284"/>
      <c r="J1964" s="375"/>
      <c r="K1964" s="375"/>
      <c r="L1964" s="375"/>
      <c r="M1964" s="368"/>
      <c r="N1964" s="368"/>
      <c r="O1964" s="370"/>
      <c r="T1964" s="349"/>
      <c r="V1964" s="378"/>
      <c r="W1964" s="64" ph="1"/>
      <c r="X1964" s="241"/>
      <c r="Y1964" s="284"/>
      <c r="Z1964" s="207"/>
      <c r="AA1964" s="284"/>
      <c r="AB1964" s="284"/>
      <c r="AC1964" s="284"/>
      <c r="AD1964" s="284"/>
      <c r="AE1964" s="284"/>
      <c r="AF1964" s="284"/>
      <c r="AG1964" s="284"/>
    </row>
    <row r="1965" spans="1:33" ht="26.4">
      <c r="A1965" s="284"/>
      <c r="B1965" s="284"/>
      <c r="C1965" s="284"/>
      <c r="D1965" s="284"/>
      <c r="E1965" s="284"/>
      <c r="F1965" s="284"/>
      <c r="G1965" s="284"/>
      <c r="H1965" s="284"/>
      <c r="I1965" s="284"/>
      <c r="J1965" s="375"/>
      <c r="K1965" s="375"/>
      <c r="L1965" s="375"/>
      <c r="M1965" s="368"/>
      <c r="N1965" s="368"/>
      <c r="O1965" s="370"/>
      <c r="T1965" s="349"/>
      <c r="V1965" s="378"/>
      <c r="W1965" s="64" ph="1"/>
      <c r="X1965" s="241"/>
      <c r="Y1965" s="284"/>
      <c r="Z1965" s="207"/>
      <c r="AA1965" s="284"/>
      <c r="AB1965" s="284"/>
      <c r="AC1965" s="284"/>
      <c r="AD1965" s="284"/>
      <c r="AE1965" s="284"/>
      <c r="AF1965" s="284"/>
      <c r="AG1965" s="284"/>
    </row>
    <row r="1966" spans="1:33" ht="26.4">
      <c r="A1966" s="284"/>
      <c r="B1966" s="284"/>
      <c r="C1966" s="284"/>
      <c r="D1966" s="284"/>
      <c r="E1966" s="284"/>
      <c r="F1966" s="284"/>
      <c r="G1966" s="284"/>
      <c r="H1966" s="284"/>
      <c r="I1966" s="284"/>
      <c r="J1966" s="375"/>
      <c r="K1966" s="375"/>
      <c r="L1966" s="375"/>
      <c r="M1966" s="368"/>
      <c r="N1966" s="368"/>
      <c r="O1966" s="370"/>
      <c r="T1966" s="349"/>
      <c r="V1966" s="378"/>
      <c r="W1966" s="64" ph="1"/>
      <c r="X1966" s="241"/>
      <c r="Y1966" s="284"/>
      <c r="Z1966" s="207"/>
      <c r="AA1966" s="284"/>
      <c r="AB1966" s="284"/>
      <c r="AC1966" s="284"/>
      <c r="AD1966" s="284"/>
      <c r="AE1966" s="284"/>
      <c r="AF1966" s="284"/>
      <c r="AG1966" s="284"/>
    </row>
    <row r="1967" spans="1:33" ht="26.4">
      <c r="A1967" s="284"/>
      <c r="B1967" s="284"/>
      <c r="C1967" s="284"/>
      <c r="D1967" s="284"/>
      <c r="E1967" s="284"/>
      <c r="F1967" s="284"/>
      <c r="G1967" s="284"/>
      <c r="H1967" s="284"/>
      <c r="I1967" s="284"/>
      <c r="J1967" s="375"/>
      <c r="K1967" s="375"/>
      <c r="L1967" s="375"/>
      <c r="M1967" s="368"/>
      <c r="N1967" s="368"/>
      <c r="O1967" s="370"/>
      <c r="T1967" s="349"/>
      <c r="V1967" s="378"/>
      <c r="W1967" s="64" ph="1"/>
      <c r="X1967" s="241"/>
      <c r="Y1967" s="284"/>
      <c r="Z1967" s="207"/>
      <c r="AA1967" s="284"/>
      <c r="AB1967" s="284"/>
      <c r="AC1967" s="284"/>
      <c r="AD1967" s="284"/>
      <c r="AE1967" s="284"/>
      <c r="AF1967" s="284"/>
      <c r="AG1967" s="284"/>
    </row>
    <row r="1968" spans="1:33" ht="26.4">
      <c r="A1968" s="284"/>
      <c r="B1968" s="284"/>
      <c r="C1968" s="284"/>
      <c r="D1968" s="284"/>
      <c r="E1968" s="284"/>
      <c r="F1968" s="284"/>
      <c r="G1968" s="284"/>
      <c r="H1968" s="284"/>
      <c r="I1968" s="284"/>
      <c r="J1968" s="375"/>
      <c r="K1968" s="375"/>
      <c r="L1968" s="375"/>
      <c r="M1968" s="368"/>
      <c r="N1968" s="368"/>
      <c r="O1968" s="370"/>
      <c r="T1968" s="349"/>
      <c r="V1968" s="378"/>
      <c r="W1968" s="64" ph="1"/>
      <c r="X1968" s="241"/>
      <c r="Y1968" s="284"/>
      <c r="Z1968" s="207"/>
      <c r="AA1968" s="284"/>
      <c r="AB1968" s="284"/>
      <c r="AC1968" s="284"/>
      <c r="AD1968" s="284"/>
      <c r="AE1968" s="284"/>
      <c r="AF1968" s="284"/>
      <c r="AG1968" s="284"/>
    </row>
    <row r="1969" spans="1:33" ht="26.4">
      <c r="A1969" s="284"/>
      <c r="B1969" s="284"/>
      <c r="C1969" s="284"/>
      <c r="D1969" s="284"/>
      <c r="E1969" s="284"/>
      <c r="F1969" s="284"/>
      <c r="G1969" s="284"/>
      <c r="H1969" s="284"/>
      <c r="I1969" s="284"/>
      <c r="J1969" s="375"/>
      <c r="K1969" s="375"/>
      <c r="L1969" s="375"/>
      <c r="M1969" s="368"/>
      <c r="N1969" s="368"/>
      <c r="O1969" s="370"/>
      <c r="T1969" s="349"/>
      <c r="V1969" s="378"/>
      <c r="W1969" s="64" ph="1"/>
      <c r="X1969" s="241"/>
      <c r="Y1969" s="284"/>
      <c r="Z1969" s="207"/>
      <c r="AA1969" s="284"/>
      <c r="AB1969" s="284"/>
      <c r="AC1969" s="284"/>
      <c r="AD1969" s="284"/>
      <c r="AE1969" s="284"/>
      <c r="AF1969" s="284"/>
      <c r="AG1969" s="284"/>
    </row>
    <row r="1970" spans="1:33" ht="26.4">
      <c r="A1970" s="284"/>
      <c r="B1970" s="284"/>
      <c r="C1970" s="284"/>
      <c r="D1970" s="284"/>
      <c r="E1970" s="284"/>
      <c r="F1970" s="284"/>
      <c r="G1970" s="284"/>
      <c r="H1970" s="284"/>
      <c r="I1970" s="284"/>
      <c r="J1970" s="375"/>
      <c r="K1970" s="375"/>
      <c r="L1970" s="375"/>
      <c r="M1970" s="368"/>
      <c r="N1970" s="368"/>
      <c r="O1970" s="370"/>
      <c r="T1970" s="349"/>
      <c r="V1970" s="378"/>
      <c r="W1970" s="64" ph="1"/>
      <c r="X1970" s="241"/>
      <c r="Y1970" s="284"/>
      <c r="Z1970" s="207"/>
      <c r="AA1970" s="284"/>
      <c r="AB1970" s="284"/>
      <c r="AC1970" s="284"/>
      <c r="AD1970" s="284"/>
      <c r="AE1970" s="284"/>
      <c r="AF1970" s="284"/>
      <c r="AG1970" s="284"/>
    </row>
    <row r="1971" spans="1:33" ht="26.4">
      <c r="A1971" s="284"/>
      <c r="B1971" s="284"/>
      <c r="C1971" s="284"/>
      <c r="D1971" s="284"/>
      <c r="E1971" s="284"/>
      <c r="F1971" s="284"/>
      <c r="G1971" s="284"/>
      <c r="H1971" s="284"/>
      <c r="I1971" s="284"/>
      <c r="J1971" s="375"/>
      <c r="K1971" s="375"/>
      <c r="L1971" s="375"/>
      <c r="M1971" s="368"/>
      <c r="N1971" s="368"/>
      <c r="O1971" s="370"/>
      <c r="T1971" s="349"/>
      <c r="V1971" s="378"/>
      <c r="W1971" s="64" ph="1"/>
      <c r="X1971" s="241"/>
      <c r="Y1971" s="284"/>
      <c r="Z1971" s="207"/>
      <c r="AA1971" s="284"/>
      <c r="AB1971" s="284"/>
      <c r="AC1971" s="284"/>
      <c r="AD1971" s="284"/>
      <c r="AE1971" s="284"/>
      <c r="AF1971" s="284"/>
      <c r="AG1971" s="284"/>
    </row>
    <row r="1972" spans="1:33" ht="26.4">
      <c r="A1972" s="284"/>
      <c r="B1972" s="284"/>
      <c r="C1972" s="284"/>
      <c r="D1972" s="284"/>
      <c r="E1972" s="284"/>
      <c r="F1972" s="284"/>
      <c r="G1972" s="284"/>
      <c r="H1972" s="284"/>
      <c r="I1972" s="284"/>
      <c r="J1972" s="375"/>
      <c r="K1972" s="375"/>
      <c r="L1972" s="375"/>
      <c r="M1972" s="368"/>
      <c r="N1972" s="368"/>
      <c r="O1972" s="370"/>
      <c r="T1972" s="349"/>
      <c r="V1972" s="378"/>
      <c r="W1972" s="64" ph="1"/>
      <c r="X1972" s="241"/>
      <c r="Y1972" s="284"/>
      <c r="Z1972" s="207"/>
      <c r="AA1972" s="284"/>
      <c r="AB1972" s="284"/>
      <c r="AC1972" s="284"/>
      <c r="AD1972" s="284"/>
      <c r="AE1972" s="284"/>
      <c r="AF1972" s="284"/>
      <c r="AG1972" s="284"/>
    </row>
    <row r="1973" spans="1:33" ht="26.4">
      <c r="A1973" s="284"/>
      <c r="B1973" s="284"/>
      <c r="C1973" s="284"/>
      <c r="D1973" s="284"/>
      <c r="E1973" s="284"/>
      <c r="F1973" s="284"/>
      <c r="G1973" s="284"/>
      <c r="H1973" s="284"/>
      <c r="I1973" s="284"/>
      <c r="J1973" s="375"/>
      <c r="K1973" s="375"/>
      <c r="L1973" s="375"/>
      <c r="M1973" s="368"/>
      <c r="N1973" s="368"/>
      <c r="O1973" s="370"/>
      <c r="T1973" s="349"/>
      <c r="V1973" s="378"/>
      <c r="W1973" s="64" ph="1"/>
      <c r="X1973" s="241"/>
      <c r="Y1973" s="284"/>
      <c r="Z1973" s="207"/>
      <c r="AA1973" s="284"/>
      <c r="AB1973" s="284"/>
      <c r="AC1973" s="284"/>
      <c r="AD1973" s="284"/>
      <c r="AE1973" s="284"/>
      <c r="AF1973" s="284"/>
      <c r="AG1973" s="284"/>
    </row>
    <row r="1974" spans="1:33" ht="26.4">
      <c r="A1974" s="284"/>
      <c r="B1974" s="284"/>
      <c r="C1974" s="284"/>
      <c r="D1974" s="284"/>
      <c r="E1974" s="284"/>
      <c r="F1974" s="284"/>
      <c r="G1974" s="284"/>
      <c r="H1974" s="284"/>
      <c r="I1974" s="284"/>
      <c r="J1974" s="375"/>
      <c r="K1974" s="375"/>
      <c r="L1974" s="375"/>
      <c r="M1974" s="368"/>
      <c r="N1974" s="368"/>
      <c r="O1974" s="370"/>
      <c r="T1974" s="349"/>
      <c r="V1974" s="378"/>
      <c r="W1974" s="64" ph="1"/>
      <c r="X1974" s="241"/>
      <c r="Y1974" s="284"/>
      <c r="Z1974" s="207"/>
      <c r="AA1974" s="284"/>
      <c r="AB1974" s="284"/>
      <c r="AC1974" s="284"/>
      <c r="AD1974" s="284"/>
      <c r="AE1974" s="284"/>
      <c r="AF1974" s="284"/>
      <c r="AG1974" s="284"/>
    </row>
    <row r="1975" spans="1:33" ht="26.4">
      <c r="A1975" s="284"/>
      <c r="B1975" s="284"/>
      <c r="C1975" s="284"/>
      <c r="D1975" s="284"/>
      <c r="E1975" s="284"/>
      <c r="F1975" s="284"/>
      <c r="G1975" s="284"/>
      <c r="H1975" s="284"/>
      <c r="I1975" s="284"/>
      <c r="J1975" s="375"/>
      <c r="K1975" s="375"/>
      <c r="L1975" s="375"/>
      <c r="M1975" s="368"/>
      <c r="N1975" s="368"/>
      <c r="O1975" s="370"/>
      <c r="T1975" s="349"/>
      <c r="V1975" s="378"/>
      <c r="W1975" s="64" ph="1"/>
      <c r="X1975" s="241"/>
      <c r="Y1975" s="284"/>
      <c r="Z1975" s="207"/>
      <c r="AA1975" s="284"/>
      <c r="AB1975" s="284"/>
      <c r="AC1975" s="284"/>
      <c r="AD1975" s="284"/>
      <c r="AE1975" s="284"/>
      <c r="AF1975" s="284"/>
      <c r="AG1975" s="284"/>
    </row>
    <row r="1976" spans="1:33" ht="26.4">
      <c r="A1976" s="284"/>
      <c r="B1976" s="284"/>
      <c r="C1976" s="284"/>
      <c r="D1976" s="284"/>
      <c r="E1976" s="284"/>
      <c r="F1976" s="284"/>
      <c r="G1976" s="284"/>
      <c r="H1976" s="284"/>
      <c r="I1976" s="284"/>
      <c r="J1976" s="375"/>
      <c r="K1976" s="375"/>
      <c r="L1976" s="375"/>
      <c r="M1976" s="368"/>
      <c r="N1976" s="368"/>
      <c r="O1976" s="370"/>
      <c r="T1976" s="349"/>
      <c r="V1976" s="378"/>
      <c r="W1976" s="64" ph="1"/>
      <c r="X1976" s="241"/>
      <c r="Y1976" s="284"/>
      <c r="Z1976" s="207"/>
      <c r="AA1976" s="284"/>
      <c r="AB1976" s="284"/>
      <c r="AC1976" s="284"/>
      <c r="AD1976" s="284"/>
      <c r="AE1976" s="284"/>
      <c r="AF1976" s="284"/>
      <c r="AG1976" s="284"/>
    </row>
    <row r="1977" spans="1:33" ht="26.4">
      <c r="A1977" s="284"/>
      <c r="B1977" s="284"/>
      <c r="C1977" s="284"/>
      <c r="D1977" s="284"/>
      <c r="E1977" s="284"/>
      <c r="F1977" s="284"/>
      <c r="G1977" s="284"/>
      <c r="H1977" s="284"/>
      <c r="I1977" s="284"/>
      <c r="J1977" s="375"/>
      <c r="K1977" s="375"/>
      <c r="L1977" s="375"/>
      <c r="M1977" s="368"/>
      <c r="N1977" s="368"/>
      <c r="O1977" s="370"/>
      <c r="T1977" s="349"/>
      <c r="V1977" s="378"/>
      <c r="W1977" s="64" ph="1"/>
      <c r="X1977" s="241"/>
      <c r="Y1977" s="284"/>
      <c r="Z1977" s="207"/>
      <c r="AA1977" s="284"/>
      <c r="AB1977" s="284"/>
      <c r="AC1977" s="284"/>
      <c r="AD1977" s="284"/>
      <c r="AE1977" s="284"/>
      <c r="AF1977" s="284"/>
      <c r="AG1977" s="284"/>
    </row>
    <row r="1978" spans="1:33" ht="26.4">
      <c r="A1978" s="284"/>
      <c r="B1978" s="284"/>
      <c r="C1978" s="284"/>
      <c r="D1978" s="284"/>
      <c r="E1978" s="284"/>
      <c r="F1978" s="284"/>
      <c r="G1978" s="284"/>
      <c r="H1978" s="284"/>
      <c r="I1978" s="284"/>
      <c r="J1978" s="375"/>
      <c r="K1978" s="375"/>
      <c r="L1978" s="375"/>
      <c r="M1978" s="368"/>
      <c r="N1978" s="368"/>
      <c r="O1978" s="370"/>
      <c r="T1978" s="349"/>
      <c r="V1978" s="378"/>
      <c r="W1978" s="64" ph="1"/>
      <c r="X1978" s="241"/>
      <c r="Y1978" s="284"/>
      <c r="Z1978" s="207"/>
      <c r="AA1978" s="284"/>
      <c r="AB1978" s="284"/>
      <c r="AC1978" s="284"/>
      <c r="AD1978" s="284"/>
      <c r="AE1978" s="284"/>
      <c r="AF1978" s="284"/>
      <c r="AG1978" s="284"/>
    </row>
    <row r="1979" spans="1:33" ht="26.4">
      <c r="A1979" s="284"/>
      <c r="B1979" s="284"/>
      <c r="C1979" s="284"/>
      <c r="D1979" s="284"/>
      <c r="E1979" s="284"/>
      <c r="F1979" s="284"/>
      <c r="G1979" s="284"/>
      <c r="H1979" s="284"/>
      <c r="I1979" s="284"/>
      <c r="J1979" s="375"/>
      <c r="K1979" s="375"/>
      <c r="L1979" s="375"/>
      <c r="M1979" s="368"/>
      <c r="N1979" s="368"/>
      <c r="O1979" s="370"/>
      <c r="T1979" s="349"/>
      <c r="V1979" s="378"/>
      <c r="W1979" s="64" ph="1"/>
      <c r="X1979" s="241"/>
      <c r="Y1979" s="284"/>
      <c r="Z1979" s="207"/>
      <c r="AA1979" s="284"/>
      <c r="AB1979" s="284"/>
      <c r="AC1979" s="284"/>
      <c r="AD1979" s="284"/>
      <c r="AE1979" s="284"/>
      <c r="AF1979" s="284"/>
      <c r="AG1979" s="284"/>
    </row>
    <row r="1980" spans="1:33" ht="26.4">
      <c r="A1980" s="284"/>
      <c r="B1980" s="284"/>
      <c r="C1980" s="284"/>
      <c r="D1980" s="284"/>
      <c r="E1980" s="284"/>
      <c r="F1980" s="284"/>
      <c r="G1980" s="284"/>
      <c r="H1980" s="284"/>
      <c r="I1980" s="284"/>
      <c r="J1980" s="375"/>
      <c r="K1980" s="375"/>
      <c r="L1980" s="375"/>
      <c r="M1980" s="368"/>
      <c r="N1980" s="368"/>
      <c r="O1980" s="370"/>
      <c r="T1980" s="349"/>
      <c r="V1980" s="378"/>
      <c r="W1980" s="64" ph="1"/>
      <c r="X1980" s="241"/>
      <c r="Y1980" s="284"/>
      <c r="Z1980" s="207"/>
      <c r="AA1980" s="284"/>
      <c r="AB1980" s="284"/>
      <c r="AC1980" s="284"/>
      <c r="AD1980" s="284"/>
      <c r="AE1980" s="284"/>
      <c r="AF1980" s="284"/>
      <c r="AG1980" s="284"/>
    </row>
    <row r="1981" spans="1:33" ht="26.4">
      <c r="A1981" s="284"/>
      <c r="B1981" s="284"/>
      <c r="C1981" s="284"/>
      <c r="D1981" s="284"/>
      <c r="E1981" s="284"/>
      <c r="F1981" s="284"/>
      <c r="G1981" s="284"/>
      <c r="H1981" s="284"/>
      <c r="I1981" s="284"/>
      <c r="J1981" s="375"/>
      <c r="K1981" s="375"/>
      <c r="L1981" s="375"/>
      <c r="M1981" s="368"/>
      <c r="N1981" s="368"/>
      <c r="O1981" s="370"/>
      <c r="T1981" s="349"/>
      <c r="V1981" s="378"/>
      <c r="W1981" s="64" ph="1"/>
      <c r="X1981" s="241"/>
      <c r="Y1981" s="284"/>
      <c r="Z1981" s="207"/>
      <c r="AA1981" s="284"/>
      <c r="AB1981" s="284"/>
      <c r="AC1981" s="284"/>
      <c r="AD1981" s="284"/>
      <c r="AE1981" s="284"/>
      <c r="AF1981" s="284"/>
      <c r="AG1981" s="284"/>
    </row>
    <row r="1982" spans="1:33" ht="26.4">
      <c r="A1982" s="284"/>
      <c r="B1982" s="284"/>
      <c r="C1982" s="284"/>
      <c r="D1982" s="284"/>
      <c r="E1982" s="284"/>
      <c r="F1982" s="284"/>
      <c r="G1982" s="284"/>
      <c r="H1982" s="284"/>
      <c r="I1982" s="284"/>
      <c r="J1982" s="375"/>
      <c r="K1982" s="375"/>
      <c r="L1982" s="375"/>
      <c r="M1982" s="368"/>
      <c r="N1982" s="368"/>
      <c r="O1982" s="370"/>
      <c r="T1982" s="349"/>
      <c r="V1982" s="378"/>
      <c r="W1982" s="64" ph="1"/>
      <c r="X1982" s="241"/>
      <c r="Y1982" s="284"/>
      <c r="Z1982" s="207"/>
      <c r="AA1982" s="284"/>
      <c r="AB1982" s="284"/>
      <c r="AC1982" s="284"/>
      <c r="AD1982" s="284"/>
      <c r="AE1982" s="284"/>
      <c r="AF1982" s="284"/>
      <c r="AG1982" s="284"/>
    </row>
    <row r="1983" spans="1:33" ht="26.4">
      <c r="A1983" s="284"/>
      <c r="B1983" s="284"/>
      <c r="C1983" s="284"/>
      <c r="D1983" s="284"/>
      <c r="E1983" s="284"/>
      <c r="F1983" s="284"/>
      <c r="G1983" s="284"/>
      <c r="H1983" s="284"/>
      <c r="I1983" s="284"/>
      <c r="J1983" s="375"/>
      <c r="K1983" s="375"/>
      <c r="L1983" s="375"/>
      <c r="M1983" s="368"/>
      <c r="N1983" s="368"/>
      <c r="O1983" s="370"/>
      <c r="T1983" s="349"/>
      <c r="V1983" s="378"/>
      <c r="W1983" s="64" ph="1"/>
      <c r="X1983" s="241"/>
      <c r="Y1983" s="284"/>
      <c r="Z1983" s="207"/>
      <c r="AA1983" s="284"/>
      <c r="AB1983" s="284"/>
      <c r="AC1983" s="284"/>
      <c r="AD1983" s="284"/>
      <c r="AE1983" s="284"/>
      <c r="AF1983" s="284"/>
      <c r="AG1983" s="284"/>
    </row>
    <row r="1984" spans="1:33" ht="26.4">
      <c r="A1984" s="284"/>
      <c r="B1984" s="284"/>
      <c r="C1984" s="284"/>
      <c r="D1984" s="284"/>
      <c r="E1984" s="284"/>
      <c r="F1984" s="284"/>
      <c r="G1984" s="284"/>
      <c r="H1984" s="284"/>
      <c r="I1984" s="284"/>
      <c r="J1984" s="375"/>
      <c r="K1984" s="375"/>
      <c r="L1984" s="375"/>
      <c r="M1984" s="368"/>
      <c r="N1984" s="368"/>
      <c r="O1984" s="370"/>
      <c r="T1984" s="349"/>
      <c r="V1984" s="378"/>
      <c r="W1984" s="64" ph="1"/>
      <c r="X1984" s="241"/>
      <c r="Y1984" s="284"/>
      <c r="Z1984" s="207"/>
      <c r="AA1984" s="284"/>
      <c r="AB1984" s="284"/>
      <c r="AC1984" s="284"/>
      <c r="AD1984" s="284"/>
      <c r="AE1984" s="284"/>
      <c r="AF1984" s="284"/>
      <c r="AG1984" s="284"/>
    </row>
    <row r="1985" spans="1:33" ht="26.4">
      <c r="A1985" s="284"/>
      <c r="B1985" s="284"/>
      <c r="C1985" s="284"/>
      <c r="D1985" s="284"/>
      <c r="E1985" s="284"/>
      <c r="F1985" s="284"/>
      <c r="G1985" s="284"/>
      <c r="H1985" s="284"/>
      <c r="I1985" s="284"/>
      <c r="J1985" s="375"/>
      <c r="K1985" s="375"/>
      <c r="L1985" s="375"/>
      <c r="M1985" s="368"/>
      <c r="N1985" s="368"/>
      <c r="O1985" s="370"/>
      <c r="T1985" s="349"/>
      <c r="V1985" s="378"/>
      <c r="W1985" s="64" ph="1"/>
      <c r="X1985" s="241"/>
      <c r="Y1985" s="284"/>
      <c r="Z1985" s="207"/>
      <c r="AA1985" s="284"/>
      <c r="AB1985" s="284"/>
      <c r="AC1985" s="284"/>
      <c r="AD1985" s="284"/>
      <c r="AE1985" s="284"/>
      <c r="AF1985" s="284"/>
      <c r="AG1985" s="284"/>
    </row>
    <row r="1986" spans="1:33" ht="26.4">
      <c r="A1986" s="284"/>
      <c r="B1986" s="284"/>
      <c r="C1986" s="284"/>
      <c r="D1986" s="284"/>
      <c r="E1986" s="284"/>
      <c r="F1986" s="284"/>
      <c r="G1986" s="284"/>
      <c r="H1986" s="284"/>
      <c r="I1986" s="284"/>
      <c r="J1986" s="375"/>
      <c r="K1986" s="375"/>
      <c r="L1986" s="375"/>
      <c r="M1986" s="368"/>
      <c r="N1986" s="368"/>
      <c r="O1986" s="370"/>
      <c r="T1986" s="349"/>
      <c r="V1986" s="378"/>
      <c r="W1986" s="64" ph="1"/>
      <c r="X1986" s="241"/>
      <c r="Y1986" s="284"/>
      <c r="Z1986" s="207"/>
      <c r="AA1986" s="284"/>
      <c r="AB1986" s="284"/>
      <c r="AC1986" s="284"/>
      <c r="AD1986" s="284"/>
      <c r="AE1986" s="284"/>
      <c r="AF1986" s="284"/>
      <c r="AG1986" s="284"/>
    </row>
    <row r="1987" spans="1:33" ht="26.4">
      <c r="A1987" s="284"/>
      <c r="B1987" s="284"/>
      <c r="C1987" s="284"/>
      <c r="D1987" s="284"/>
      <c r="E1987" s="284"/>
      <c r="F1987" s="284"/>
      <c r="G1987" s="284"/>
      <c r="H1987" s="284"/>
      <c r="I1987" s="284"/>
      <c r="J1987" s="375"/>
      <c r="K1987" s="375"/>
      <c r="L1987" s="375"/>
      <c r="M1987" s="368"/>
      <c r="N1987" s="368"/>
      <c r="O1987" s="370"/>
      <c r="T1987" s="349"/>
      <c r="V1987" s="378"/>
      <c r="W1987" s="64" ph="1"/>
      <c r="X1987" s="241"/>
      <c r="Y1987" s="284"/>
      <c r="Z1987" s="207"/>
      <c r="AA1987" s="284"/>
      <c r="AB1987" s="284"/>
      <c r="AC1987" s="284"/>
      <c r="AD1987" s="284"/>
      <c r="AE1987" s="284"/>
      <c r="AF1987" s="284"/>
      <c r="AG1987" s="284"/>
    </row>
    <row r="1988" spans="1:33" ht="26.4">
      <c r="A1988" s="284"/>
      <c r="B1988" s="284"/>
      <c r="C1988" s="284"/>
      <c r="D1988" s="284"/>
      <c r="E1988" s="284"/>
      <c r="F1988" s="284"/>
      <c r="G1988" s="284"/>
      <c r="H1988" s="284"/>
      <c r="I1988" s="284"/>
      <c r="J1988" s="375"/>
      <c r="K1988" s="375"/>
      <c r="L1988" s="375"/>
      <c r="M1988" s="368"/>
      <c r="N1988" s="368"/>
      <c r="O1988" s="370"/>
      <c r="T1988" s="349"/>
      <c r="V1988" s="378"/>
      <c r="W1988" s="64" ph="1"/>
      <c r="X1988" s="241"/>
      <c r="Y1988" s="284"/>
      <c r="Z1988" s="207"/>
      <c r="AA1988" s="284"/>
      <c r="AB1988" s="284"/>
      <c r="AC1988" s="284"/>
      <c r="AD1988" s="284"/>
      <c r="AE1988" s="284"/>
      <c r="AF1988" s="284"/>
      <c r="AG1988" s="284"/>
    </row>
    <row r="1989" spans="1:33" ht="26.4">
      <c r="A1989" s="284"/>
      <c r="B1989" s="284"/>
      <c r="C1989" s="284"/>
      <c r="D1989" s="284"/>
      <c r="E1989" s="284"/>
      <c r="F1989" s="284"/>
      <c r="G1989" s="284"/>
      <c r="H1989" s="284"/>
      <c r="I1989" s="284"/>
      <c r="J1989" s="375"/>
      <c r="K1989" s="375"/>
      <c r="L1989" s="375"/>
      <c r="M1989" s="368"/>
      <c r="N1989" s="368"/>
      <c r="O1989" s="370"/>
      <c r="T1989" s="349"/>
      <c r="V1989" s="378"/>
      <c r="W1989" s="64" ph="1"/>
      <c r="X1989" s="241"/>
      <c r="Y1989" s="284"/>
      <c r="Z1989" s="207"/>
      <c r="AA1989" s="284"/>
      <c r="AB1989" s="284"/>
      <c r="AC1989" s="284"/>
      <c r="AD1989" s="284"/>
      <c r="AE1989" s="284"/>
      <c r="AF1989" s="284"/>
      <c r="AG1989" s="284"/>
    </row>
    <row r="1990" spans="1:33" ht="26.4">
      <c r="A1990" s="284"/>
      <c r="B1990" s="284"/>
      <c r="C1990" s="284"/>
      <c r="D1990" s="284"/>
      <c r="E1990" s="284"/>
      <c r="F1990" s="284"/>
      <c r="G1990" s="284"/>
      <c r="H1990" s="284"/>
      <c r="I1990" s="284"/>
      <c r="J1990" s="375"/>
      <c r="K1990" s="375"/>
      <c r="L1990" s="375"/>
      <c r="M1990" s="368"/>
      <c r="N1990" s="368"/>
      <c r="O1990" s="370"/>
      <c r="T1990" s="349"/>
      <c r="V1990" s="378"/>
      <c r="W1990" s="64" ph="1"/>
      <c r="X1990" s="241"/>
      <c r="Y1990" s="284"/>
      <c r="Z1990" s="207"/>
      <c r="AA1990" s="284"/>
      <c r="AB1990" s="284"/>
      <c r="AC1990" s="284"/>
      <c r="AD1990" s="284"/>
      <c r="AE1990" s="284"/>
      <c r="AF1990" s="284"/>
      <c r="AG1990" s="284"/>
    </row>
    <row r="1991" spans="1:33" ht="26.4">
      <c r="A1991" s="284"/>
      <c r="B1991" s="284"/>
      <c r="C1991" s="284"/>
      <c r="D1991" s="284"/>
      <c r="E1991" s="284"/>
      <c r="F1991" s="284"/>
      <c r="G1991" s="284"/>
      <c r="H1991" s="284"/>
      <c r="I1991" s="284"/>
      <c r="J1991" s="375"/>
      <c r="K1991" s="375"/>
      <c r="L1991" s="375"/>
      <c r="M1991" s="368"/>
      <c r="N1991" s="368"/>
      <c r="O1991" s="370"/>
      <c r="T1991" s="349"/>
      <c r="V1991" s="378"/>
      <c r="W1991" s="64" ph="1"/>
      <c r="X1991" s="241"/>
      <c r="Y1991" s="284"/>
      <c r="Z1991" s="207"/>
      <c r="AA1991" s="284"/>
      <c r="AB1991" s="284"/>
      <c r="AC1991" s="284"/>
      <c r="AD1991" s="284"/>
      <c r="AE1991" s="284"/>
      <c r="AF1991" s="284"/>
      <c r="AG1991" s="284"/>
    </row>
    <row r="1992" spans="1:33" ht="26.4">
      <c r="A1992" s="284"/>
      <c r="B1992" s="284"/>
      <c r="C1992" s="284"/>
      <c r="D1992" s="284"/>
      <c r="E1992" s="284"/>
      <c r="F1992" s="284"/>
      <c r="G1992" s="284"/>
      <c r="H1992" s="284"/>
      <c r="I1992" s="284"/>
      <c r="J1992" s="375"/>
      <c r="K1992" s="375"/>
      <c r="L1992" s="375"/>
      <c r="M1992" s="368"/>
      <c r="N1992" s="368"/>
      <c r="O1992" s="370"/>
      <c r="T1992" s="349"/>
      <c r="V1992" s="378"/>
      <c r="W1992" s="64" ph="1"/>
      <c r="X1992" s="241"/>
      <c r="Y1992" s="284"/>
      <c r="Z1992" s="207"/>
      <c r="AA1992" s="284"/>
      <c r="AB1992" s="284"/>
      <c r="AC1992" s="284"/>
      <c r="AD1992" s="284"/>
      <c r="AE1992" s="284"/>
      <c r="AF1992" s="284"/>
      <c r="AG1992" s="284"/>
    </row>
    <row r="1993" spans="1:33" ht="26.4">
      <c r="A1993" s="284"/>
      <c r="B1993" s="284"/>
      <c r="C1993" s="284"/>
      <c r="D1993" s="284"/>
      <c r="E1993" s="284"/>
      <c r="F1993" s="284"/>
      <c r="G1993" s="284"/>
      <c r="H1993" s="284"/>
      <c r="I1993" s="284"/>
      <c r="J1993" s="375"/>
      <c r="K1993" s="375"/>
      <c r="L1993" s="375"/>
      <c r="M1993" s="368"/>
      <c r="N1993" s="368"/>
      <c r="O1993" s="370"/>
      <c r="T1993" s="349"/>
      <c r="V1993" s="378"/>
      <c r="W1993" s="64" ph="1"/>
      <c r="X1993" s="241"/>
      <c r="Y1993" s="284"/>
      <c r="Z1993" s="207"/>
      <c r="AA1993" s="284"/>
      <c r="AB1993" s="284"/>
      <c r="AC1993" s="284"/>
      <c r="AD1993" s="284"/>
      <c r="AE1993" s="284"/>
      <c r="AF1993" s="284"/>
      <c r="AG1993" s="284"/>
    </row>
    <row r="1994" spans="1:33" ht="26.4">
      <c r="A1994" s="284"/>
      <c r="B1994" s="284"/>
      <c r="C1994" s="284"/>
      <c r="D1994" s="284"/>
      <c r="E1994" s="284"/>
      <c r="F1994" s="284"/>
      <c r="G1994" s="284"/>
      <c r="H1994" s="284"/>
      <c r="I1994" s="284"/>
      <c r="J1994" s="375"/>
      <c r="K1994" s="375"/>
      <c r="L1994" s="375"/>
      <c r="M1994" s="368"/>
      <c r="N1994" s="368"/>
      <c r="O1994" s="370"/>
      <c r="T1994" s="349"/>
      <c r="V1994" s="378"/>
      <c r="W1994" s="64" ph="1"/>
      <c r="X1994" s="241"/>
      <c r="Y1994" s="284"/>
      <c r="Z1994" s="207"/>
      <c r="AA1994" s="284"/>
      <c r="AB1994" s="284"/>
      <c r="AC1994" s="284"/>
      <c r="AD1994" s="284"/>
      <c r="AE1994" s="284"/>
      <c r="AF1994" s="284"/>
      <c r="AG1994" s="284"/>
    </row>
    <row r="1995" spans="1:33" ht="26.4">
      <c r="A1995" s="284"/>
      <c r="B1995" s="284"/>
      <c r="C1995" s="284"/>
      <c r="D1995" s="284"/>
      <c r="E1995" s="284"/>
      <c r="F1995" s="284"/>
      <c r="G1995" s="284"/>
      <c r="H1995" s="284"/>
      <c r="I1995" s="284"/>
      <c r="J1995" s="375"/>
      <c r="K1995" s="375"/>
      <c r="L1995" s="375"/>
      <c r="M1995" s="368"/>
      <c r="N1995" s="368"/>
      <c r="O1995" s="370"/>
      <c r="T1995" s="349"/>
      <c r="V1995" s="378"/>
      <c r="W1995" s="64" ph="1"/>
      <c r="X1995" s="241"/>
      <c r="Y1995" s="284"/>
      <c r="Z1995" s="207"/>
      <c r="AA1995" s="284"/>
      <c r="AB1995" s="284"/>
      <c r="AC1995" s="284"/>
      <c r="AD1995" s="284"/>
      <c r="AE1995" s="284"/>
      <c r="AF1995" s="284"/>
      <c r="AG1995" s="284"/>
    </row>
    <row r="1996" spans="1:33" ht="26.4">
      <c r="A1996" s="284"/>
      <c r="B1996" s="284"/>
      <c r="C1996" s="284"/>
      <c r="D1996" s="284"/>
      <c r="E1996" s="284"/>
      <c r="F1996" s="284"/>
      <c r="G1996" s="284"/>
      <c r="H1996" s="284"/>
      <c r="I1996" s="284"/>
      <c r="J1996" s="375"/>
      <c r="K1996" s="375"/>
      <c r="L1996" s="375"/>
      <c r="M1996" s="368"/>
      <c r="N1996" s="368"/>
      <c r="O1996" s="370"/>
      <c r="T1996" s="349"/>
      <c r="V1996" s="378"/>
      <c r="W1996" s="64" ph="1"/>
      <c r="X1996" s="241"/>
      <c r="Y1996" s="284"/>
      <c r="Z1996" s="207"/>
      <c r="AA1996" s="284"/>
      <c r="AB1996" s="284"/>
      <c r="AC1996" s="284"/>
      <c r="AD1996" s="284"/>
      <c r="AE1996" s="284"/>
      <c r="AF1996" s="284"/>
      <c r="AG1996" s="284"/>
    </row>
    <row r="1997" spans="1:33" ht="26.4">
      <c r="A1997" s="284"/>
      <c r="B1997" s="284"/>
      <c r="C1997" s="284"/>
      <c r="D1997" s="284"/>
      <c r="E1997" s="284"/>
      <c r="F1997" s="284"/>
      <c r="G1997" s="284"/>
      <c r="H1997" s="284"/>
      <c r="I1997" s="284"/>
      <c r="J1997" s="375"/>
      <c r="K1997" s="375"/>
      <c r="L1997" s="375"/>
      <c r="M1997" s="368"/>
      <c r="N1997" s="368"/>
      <c r="O1997" s="370"/>
      <c r="T1997" s="349"/>
      <c r="V1997" s="378"/>
      <c r="W1997" s="64" ph="1"/>
      <c r="X1997" s="241"/>
      <c r="Y1997" s="284"/>
      <c r="Z1997" s="207"/>
      <c r="AA1997" s="284"/>
      <c r="AB1997" s="284"/>
      <c r="AC1997" s="284"/>
      <c r="AD1997" s="284"/>
      <c r="AE1997" s="284"/>
      <c r="AF1997" s="284"/>
      <c r="AG1997" s="284"/>
    </row>
    <row r="1998" spans="1:33" ht="26.4">
      <c r="A1998" s="284"/>
      <c r="B1998" s="284"/>
      <c r="C1998" s="284"/>
      <c r="D1998" s="284"/>
      <c r="E1998" s="284"/>
      <c r="F1998" s="284"/>
      <c r="G1998" s="284"/>
      <c r="H1998" s="284"/>
      <c r="I1998" s="284"/>
      <c r="J1998" s="375"/>
      <c r="K1998" s="375"/>
      <c r="L1998" s="375"/>
      <c r="M1998" s="368"/>
      <c r="N1998" s="368"/>
      <c r="O1998" s="370"/>
      <c r="T1998" s="349"/>
      <c r="V1998" s="378"/>
      <c r="W1998" s="64" ph="1"/>
      <c r="X1998" s="241"/>
      <c r="Y1998" s="284"/>
      <c r="Z1998" s="207"/>
      <c r="AA1998" s="284"/>
      <c r="AB1998" s="284"/>
      <c r="AC1998" s="284"/>
      <c r="AD1998" s="284"/>
      <c r="AE1998" s="284"/>
      <c r="AF1998" s="284"/>
      <c r="AG1998" s="284"/>
    </row>
    <row r="1999" spans="1:33" ht="26.4">
      <c r="A1999" s="284"/>
      <c r="B1999" s="284"/>
      <c r="C1999" s="284"/>
      <c r="D1999" s="284"/>
      <c r="E1999" s="284"/>
      <c r="F1999" s="284"/>
      <c r="G1999" s="284"/>
      <c r="H1999" s="284"/>
      <c r="I1999" s="284"/>
      <c r="J1999" s="375"/>
      <c r="K1999" s="375"/>
      <c r="L1999" s="375"/>
      <c r="M1999" s="368"/>
      <c r="N1999" s="368"/>
      <c r="O1999" s="370"/>
      <c r="T1999" s="349"/>
      <c r="V1999" s="378"/>
      <c r="W1999" s="64" ph="1"/>
      <c r="X1999" s="241"/>
      <c r="Y1999" s="284"/>
      <c r="Z1999" s="207"/>
      <c r="AA1999" s="284"/>
      <c r="AB1999" s="284"/>
      <c r="AC1999" s="284"/>
      <c r="AD1999" s="284"/>
      <c r="AE1999" s="284"/>
      <c r="AF1999" s="284"/>
      <c r="AG1999" s="284"/>
    </row>
    <row r="2000" spans="1:33" ht="26.4">
      <c r="A2000" s="284"/>
      <c r="B2000" s="284"/>
      <c r="C2000" s="284"/>
      <c r="D2000" s="284"/>
      <c r="E2000" s="284"/>
      <c r="F2000" s="284"/>
      <c r="G2000" s="284"/>
      <c r="H2000" s="284"/>
      <c r="I2000" s="284"/>
      <c r="J2000" s="375"/>
      <c r="K2000" s="375"/>
      <c r="L2000" s="375"/>
      <c r="M2000" s="368"/>
      <c r="N2000" s="368"/>
      <c r="O2000" s="370"/>
      <c r="T2000" s="349"/>
      <c r="V2000" s="378"/>
      <c r="W2000" s="64" ph="1"/>
      <c r="X2000" s="241"/>
      <c r="Y2000" s="284"/>
      <c r="Z2000" s="207"/>
      <c r="AA2000" s="284"/>
      <c r="AB2000" s="284"/>
      <c r="AC2000" s="284"/>
      <c r="AD2000" s="284"/>
      <c r="AE2000" s="284"/>
      <c r="AF2000" s="284"/>
      <c r="AG2000" s="284"/>
    </row>
    <row r="2001" spans="1:33" ht="26.4">
      <c r="A2001" s="284"/>
      <c r="B2001" s="284"/>
      <c r="C2001" s="284"/>
      <c r="D2001" s="284"/>
      <c r="E2001" s="284"/>
      <c r="F2001" s="284"/>
      <c r="G2001" s="284"/>
      <c r="H2001" s="284"/>
      <c r="I2001" s="284"/>
      <c r="J2001" s="375"/>
      <c r="K2001" s="375"/>
      <c r="L2001" s="375"/>
      <c r="M2001" s="368"/>
      <c r="N2001" s="368"/>
      <c r="O2001" s="370"/>
      <c r="T2001" s="349"/>
      <c r="V2001" s="378"/>
      <c r="W2001" s="64" ph="1"/>
      <c r="X2001" s="241"/>
      <c r="Y2001" s="284"/>
      <c r="Z2001" s="207"/>
      <c r="AA2001" s="284"/>
      <c r="AB2001" s="284"/>
      <c r="AC2001" s="284"/>
      <c r="AD2001" s="284"/>
      <c r="AE2001" s="284"/>
      <c r="AF2001" s="284"/>
      <c r="AG2001" s="284"/>
    </row>
    <row r="2002" spans="1:33" ht="26.4">
      <c r="A2002" s="284"/>
      <c r="B2002" s="284"/>
      <c r="C2002" s="284"/>
      <c r="D2002" s="284"/>
      <c r="E2002" s="284"/>
      <c r="F2002" s="284"/>
      <c r="G2002" s="284"/>
      <c r="H2002" s="284"/>
      <c r="I2002" s="284"/>
      <c r="J2002" s="375"/>
      <c r="K2002" s="375"/>
      <c r="L2002" s="375"/>
      <c r="M2002" s="368"/>
      <c r="N2002" s="368"/>
      <c r="O2002" s="370"/>
      <c r="T2002" s="349"/>
      <c r="V2002" s="378"/>
      <c r="W2002" s="64" ph="1"/>
      <c r="X2002" s="241"/>
      <c r="Y2002" s="284"/>
      <c r="Z2002" s="207"/>
      <c r="AA2002" s="284"/>
      <c r="AB2002" s="284"/>
      <c r="AC2002" s="284"/>
      <c r="AD2002" s="284"/>
      <c r="AE2002" s="284"/>
      <c r="AF2002" s="284"/>
      <c r="AG2002" s="284"/>
    </row>
    <row r="2003" spans="1:33" ht="26.4">
      <c r="A2003" s="284"/>
      <c r="B2003" s="284"/>
      <c r="C2003" s="284"/>
      <c r="D2003" s="284"/>
      <c r="E2003" s="284"/>
      <c r="F2003" s="284"/>
      <c r="G2003" s="284"/>
      <c r="H2003" s="284"/>
      <c r="I2003" s="284"/>
      <c r="J2003" s="375"/>
      <c r="K2003" s="375"/>
      <c r="L2003" s="375"/>
      <c r="M2003" s="368"/>
      <c r="N2003" s="368"/>
      <c r="O2003" s="370"/>
      <c r="T2003" s="349"/>
      <c r="V2003" s="378"/>
      <c r="W2003" s="64" ph="1"/>
      <c r="X2003" s="241"/>
      <c r="Y2003" s="284"/>
      <c r="Z2003" s="207"/>
      <c r="AA2003" s="284"/>
      <c r="AB2003" s="284"/>
      <c r="AC2003" s="284"/>
      <c r="AD2003" s="284"/>
      <c r="AE2003" s="284"/>
      <c r="AF2003" s="284"/>
      <c r="AG2003" s="284"/>
    </row>
    <row r="2004" spans="1:33" ht="26.4">
      <c r="A2004" s="284"/>
      <c r="B2004" s="284"/>
      <c r="C2004" s="284"/>
      <c r="D2004" s="284"/>
      <c r="E2004" s="284"/>
      <c r="F2004" s="284"/>
      <c r="G2004" s="284"/>
      <c r="H2004" s="284"/>
      <c r="I2004" s="284"/>
      <c r="J2004" s="375"/>
      <c r="K2004" s="375"/>
      <c r="L2004" s="375"/>
      <c r="M2004" s="368"/>
      <c r="N2004" s="368"/>
      <c r="O2004" s="370"/>
      <c r="T2004" s="349"/>
      <c r="V2004" s="378"/>
      <c r="W2004" s="64" ph="1"/>
      <c r="X2004" s="241"/>
      <c r="Y2004" s="284"/>
      <c r="Z2004" s="207"/>
      <c r="AA2004" s="284"/>
      <c r="AB2004" s="284"/>
      <c r="AC2004" s="284"/>
      <c r="AD2004" s="284"/>
      <c r="AE2004" s="284"/>
      <c r="AF2004" s="284"/>
      <c r="AG2004" s="284"/>
    </row>
    <row r="2005" spans="1:33" ht="26.4">
      <c r="A2005" s="284"/>
      <c r="B2005" s="284"/>
      <c r="C2005" s="284"/>
      <c r="D2005" s="284"/>
      <c r="E2005" s="284"/>
      <c r="F2005" s="284"/>
      <c r="G2005" s="284"/>
      <c r="H2005" s="284"/>
      <c r="I2005" s="284"/>
      <c r="J2005" s="375"/>
      <c r="K2005" s="375"/>
      <c r="L2005" s="375"/>
      <c r="M2005" s="368"/>
      <c r="N2005" s="368"/>
      <c r="O2005" s="370"/>
      <c r="T2005" s="349"/>
      <c r="V2005" s="378"/>
      <c r="W2005" s="64" ph="1"/>
      <c r="X2005" s="241"/>
      <c r="Y2005" s="284"/>
      <c r="Z2005" s="207"/>
      <c r="AA2005" s="284"/>
      <c r="AB2005" s="284"/>
      <c r="AC2005" s="284"/>
      <c r="AD2005" s="284"/>
      <c r="AE2005" s="284"/>
      <c r="AF2005" s="284"/>
      <c r="AG2005" s="284"/>
    </row>
    <row r="2006" spans="1:33" ht="26.4">
      <c r="A2006" s="284"/>
      <c r="B2006" s="284"/>
      <c r="C2006" s="284"/>
      <c r="D2006" s="284"/>
      <c r="E2006" s="284"/>
      <c r="F2006" s="284"/>
      <c r="G2006" s="284"/>
      <c r="H2006" s="284"/>
      <c r="I2006" s="284"/>
      <c r="J2006" s="375"/>
      <c r="K2006" s="375"/>
      <c r="L2006" s="375"/>
      <c r="M2006" s="368"/>
      <c r="N2006" s="368"/>
      <c r="O2006" s="370"/>
      <c r="T2006" s="349"/>
      <c r="V2006" s="378"/>
      <c r="W2006" s="64" ph="1"/>
      <c r="X2006" s="241"/>
      <c r="Y2006" s="284"/>
      <c r="Z2006" s="207"/>
      <c r="AA2006" s="284"/>
      <c r="AB2006" s="284"/>
      <c r="AC2006" s="284"/>
      <c r="AD2006" s="284"/>
      <c r="AE2006" s="284"/>
      <c r="AF2006" s="284"/>
      <c r="AG2006" s="284"/>
    </row>
    <row r="2007" spans="1:33" ht="26.4">
      <c r="A2007" s="284"/>
      <c r="B2007" s="284"/>
      <c r="C2007" s="284"/>
      <c r="D2007" s="284"/>
      <c r="E2007" s="284"/>
      <c r="F2007" s="284"/>
      <c r="G2007" s="284"/>
      <c r="H2007" s="284"/>
      <c r="I2007" s="284"/>
      <c r="J2007" s="375"/>
      <c r="K2007" s="375"/>
      <c r="L2007" s="375"/>
      <c r="M2007" s="368"/>
      <c r="N2007" s="368"/>
      <c r="O2007" s="370"/>
      <c r="T2007" s="349"/>
      <c r="V2007" s="378"/>
      <c r="W2007" s="64" ph="1"/>
      <c r="X2007" s="241"/>
      <c r="Y2007" s="284"/>
      <c r="Z2007" s="207"/>
      <c r="AA2007" s="284"/>
      <c r="AB2007" s="284"/>
      <c r="AC2007" s="284"/>
      <c r="AD2007" s="284"/>
      <c r="AE2007" s="284"/>
      <c r="AF2007" s="284"/>
      <c r="AG2007" s="284"/>
    </row>
    <row r="2008" spans="1:33" ht="26.4">
      <c r="A2008" s="284"/>
      <c r="B2008" s="284"/>
      <c r="C2008" s="284"/>
      <c r="D2008" s="284"/>
      <c r="E2008" s="284"/>
      <c r="F2008" s="284"/>
      <c r="G2008" s="284"/>
      <c r="H2008" s="284"/>
      <c r="I2008" s="284"/>
      <c r="J2008" s="375"/>
      <c r="K2008" s="375"/>
      <c r="L2008" s="375"/>
      <c r="M2008" s="368"/>
      <c r="N2008" s="368"/>
      <c r="O2008" s="370"/>
      <c r="T2008" s="349"/>
      <c r="V2008" s="378"/>
      <c r="W2008" s="64" ph="1"/>
      <c r="X2008" s="241"/>
      <c r="Y2008" s="284"/>
      <c r="Z2008" s="207"/>
      <c r="AA2008" s="284"/>
      <c r="AB2008" s="284"/>
      <c r="AC2008" s="284"/>
      <c r="AD2008" s="284"/>
      <c r="AE2008" s="284"/>
      <c r="AF2008" s="284"/>
      <c r="AG2008" s="284"/>
    </row>
    <row r="2009" spans="1:33" ht="26.4">
      <c r="A2009" s="284"/>
      <c r="B2009" s="284"/>
      <c r="C2009" s="284"/>
      <c r="D2009" s="284"/>
      <c r="E2009" s="284"/>
      <c r="F2009" s="284"/>
      <c r="G2009" s="284"/>
      <c r="H2009" s="284"/>
      <c r="I2009" s="284"/>
      <c r="J2009" s="375"/>
      <c r="K2009" s="375"/>
      <c r="L2009" s="375"/>
      <c r="M2009" s="368"/>
      <c r="N2009" s="368"/>
      <c r="O2009" s="370"/>
      <c r="T2009" s="349"/>
      <c r="V2009" s="378"/>
      <c r="W2009" s="64" ph="1"/>
      <c r="X2009" s="241"/>
      <c r="Y2009" s="284"/>
      <c r="Z2009" s="207"/>
      <c r="AA2009" s="284"/>
      <c r="AB2009" s="284"/>
      <c r="AC2009" s="284"/>
      <c r="AD2009" s="284"/>
      <c r="AE2009" s="284"/>
      <c r="AF2009" s="284"/>
      <c r="AG2009" s="284"/>
    </row>
    <row r="2010" spans="1:33" ht="26.4">
      <c r="A2010" s="284"/>
      <c r="B2010" s="284"/>
      <c r="C2010" s="284"/>
      <c r="D2010" s="284"/>
      <c r="E2010" s="284"/>
      <c r="F2010" s="284"/>
      <c r="G2010" s="284"/>
      <c r="H2010" s="284"/>
      <c r="I2010" s="284"/>
      <c r="J2010" s="375"/>
      <c r="K2010" s="375"/>
      <c r="L2010" s="375"/>
      <c r="M2010" s="368"/>
      <c r="N2010" s="368"/>
      <c r="O2010" s="370"/>
      <c r="T2010" s="349"/>
      <c r="V2010" s="378"/>
      <c r="W2010" s="64" ph="1"/>
      <c r="X2010" s="241"/>
      <c r="Y2010" s="284"/>
      <c r="Z2010" s="207"/>
      <c r="AA2010" s="284"/>
      <c r="AB2010" s="284"/>
      <c r="AC2010" s="284"/>
      <c r="AD2010" s="284"/>
      <c r="AE2010" s="284"/>
      <c r="AF2010" s="284"/>
      <c r="AG2010" s="284"/>
    </row>
    <row r="2011" spans="1:33" ht="26.4">
      <c r="A2011" s="284"/>
      <c r="B2011" s="284"/>
      <c r="C2011" s="284"/>
      <c r="D2011" s="284"/>
      <c r="E2011" s="284"/>
      <c r="F2011" s="284"/>
      <c r="G2011" s="284"/>
      <c r="H2011" s="284"/>
      <c r="I2011" s="284"/>
      <c r="J2011" s="375"/>
      <c r="K2011" s="375"/>
      <c r="L2011" s="375"/>
      <c r="M2011" s="368"/>
      <c r="N2011" s="368"/>
      <c r="O2011" s="370"/>
      <c r="T2011" s="349"/>
      <c r="V2011" s="378"/>
      <c r="W2011" s="64" ph="1"/>
      <c r="X2011" s="241"/>
      <c r="Y2011" s="284"/>
      <c r="Z2011" s="207"/>
      <c r="AA2011" s="284"/>
      <c r="AB2011" s="284"/>
      <c r="AC2011" s="284"/>
      <c r="AD2011" s="284"/>
      <c r="AE2011" s="284"/>
      <c r="AF2011" s="284"/>
      <c r="AG2011" s="284"/>
    </row>
    <row r="2012" spans="1:33" ht="26.4">
      <c r="A2012" s="284"/>
      <c r="B2012" s="284"/>
      <c r="C2012" s="284"/>
      <c r="D2012" s="284"/>
      <c r="E2012" s="284"/>
      <c r="F2012" s="284"/>
      <c r="G2012" s="284"/>
      <c r="H2012" s="284"/>
      <c r="I2012" s="284"/>
      <c r="J2012" s="375"/>
      <c r="K2012" s="375"/>
      <c r="L2012" s="375"/>
      <c r="M2012" s="368"/>
      <c r="N2012" s="368"/>
      <c r="O2012" s="370"/>
      <c r="T2012" s="349"/>
      <c r="V2012" s="378"/>
      <c r="W2012" s="64" ph="1"/>
      <c r="X2012" s="241"/>
      <c r="Y2012" s="284"/>
      <c r="Z2012" s="207"/>
      <c r="AA2012" s="284"/>
      <c r="AB2012" s="284"/>
      <c r="AC2012" s="284"/>
      <c r="AD2012" s="284"/>
      <c r="AE2012" s="284"/>
      <c r="AF2012" s="284"/>
      <c r="AG2012" s="284"/>
    </row>
    <row r="2013" spans="1:33" ht="26.4">
      <c r="A2013" s="284"/>
      <c r="B2013" s="284"/>
      <c r="C2013" s="284"/>
      <c r="D2013" s="284"/>
      <c r="E2013" s="284"/>
      <c r="F2013" s="284"/>
      <c r="G2013" s="284"/>
      <c r="H2013" s="284"/>
      <c r="I2013" s="284"/>
      <c r="J2013" s="375"/>
      <c r="K2013" s="375"/>
      <c r="L2013" s="375"/>
      <c r="M2013" s="368"/>
      <c r="N2013" s="368"/>
      <c r="O2013" s="370"/>
      <c r="T2013" s="349"/>
      <c r="V2013" s="378"/>
      <c r="W2013" s="64" ph="1"/>
      <c r="X2013" s="241"/>
      <c r="Y2013" s="284"/>
      <c r="Z2013" s="207"/>
      <c r="AA2013" s="284"/>
      <c r="AB2013" s="284"/>
      <c r="AC2013" s="284"/>
      <c r="AD2013" s="284"/>
      <c r="AE2013" s="284"/>
      <c r="AF2013" s="284"/>
      <c r="AG2013" s="284"/>
    </row>
    <row r="2014" spans="1:33" ht="26.4">
      <c r="A2014" s="284"/>
      <c r="B2014" s="284"/>
      <c r="C2014" s="284"/>
      <c r="D2014" s="284"/>
      <c r="E2014" s="284"/>
      <c r="F2014" s="284"/>
      <c r="G2014" s="284"/>
      <c r="H2014" s="284"/>
      <c r="I2014" s="284"/>
      <c r="J2014" s="375"/>
      <c r="K2014" s="375"/>
      <c r="L2014" s="375"/>
      <c r="M2014" s="368"/>
      <c r="N2014" s="368"/>
      <c r="O2014" s="370"/>
      <c r="T2014" s="349"/>
      <c r="V2014" s="378"/>
      <c r="W2014" s="64" ph="1"/>
      <c r="X2014" s="241"/>
      <c r="Y2014" s="284"/>
      <c r="Z2014" s="207"/>
      <c r="AA2014" s="284"/>
      <c r="AB2014" s="284"/>
      <c r="AC2014" s="284"/>
      <c r="AD2014" s="284"/>
      <c r="AE2014" s="284"/>
      <c r="AF2014" s="284"/>
      <c r="AG2014" s="284"/>
    </row>
    <row r="2015" spans="1:33" ht="26.4">
      <c r="A2015" s="284"/>
      <c r="B2015" s="284"/>
      <c r="C2015" s="284"/>
      <c r="D2015" s="284"/>
      <c r="E2015" s="284"/>
      <c r="F2015" s="284"/>
      <c r="G2015" s="284"/>
      <c r="H2015" s="284"/>
      <c r="I2015" s="284"/>
      <c r="J2015" s="375"/>
      <c r="K2015" s="375"/>
      <c r="L2015" s="375"/>
      <c r="M2015" s="368"/>
      <c r="N2015" s="368"/>
      <c r="O2015" s="370"/>
      <c r="T2015" s="349"/>
      <c r="V2015" s="378"/>
      <c r="W2015" s="64" ph="1"/>
      <c r="X2015" s="241"/>
      <c r="Y2015" s="284"/>
      <c r="Z2015" s="207"/>
      <c r="AA2015" s="284"/>
      <c r="AB2015" s="284"/>
      <c r="AC2015" s="284"/>
      <c r="AD2015" s="284"/>
      <c r="AE2015" s="284"/>
      <c r="AF2015" s="284"/>
      <c r="AG2015" s="284"/>
    </row>
    <row r="2016" spans="1:33" ht="26.4">
      <c r="A2016" s="284"/>
      <c r="B2016" s="284"/>
      <c r="C2016" s="284"/>
      <c r="D2016" s="284"/>
      <c r="E2016" s="284"/>
      <c r="F2016" s="284"/>
      <c r="G2016" s="284"/>
      <c r="H2016" s="284"/>
      <c r="I2016" s="284"/>
      <c r="J2016" s="375"/>
      <c r="K2016" s="375"/>
      <c r="L2016" s="375"/>
      <c r="M2016" s="368"/>
      <c r="N2016" s="368"/>
      <c r="O2016" s="370"/>
      <c r="T2016" s="349"/>
      <c r="V2016" s="378"/>
      <c r="W2016" s="64" ph="1"/>
      <c r="X2016" s="241"/>
      <c r="Y2016" s="284"/>
      <c r="Z2016" s="207"/>
      <c r="AA2016" s="284"/>
      <c r="AB2016" s="284"/>
      <c r="AC2016" s="284"/>
      <c r="AD2016" s="284"/>
      <c r="AE2016" s="284"/>
      <c r="AF2016" s="284"/>
      <c r="AG2016" s="284"/>
    </row>
    <row r="2017" spans="1:33" ht="26.4">
      <c r="A2017" s="284"/>
      <c r="B2017" s="284"/>
      <c r="C2017" s="284"/>
      <c r="D2017" s="284"/>
      <c r="E2017" s="284"/>
      <c r="F2017" s="284"/>
      <c r="G2017" s="284"/>
      <c r="H2017" s="284"/>
      <c r="I2017" s="284"/>
      <c r="J2017" s="375"/>
      <c r="K2017" s="375"/>
      <c r="L2017" s="375"/>
      <c r="M2017" s="368"/>
      <c r="N2017" s="368"/>
      <c r="O2017" s="370"/>
      <c r="T2017" s="349"/>
      <c r="V2017" s="378"/>
      <c r="W2017" s="64" ph="1"/>
      <c r="X2017" s="241"/>
      <c r="Y2017" s="284"/>
      <c r="Z2017" s="207"/>
      <c r="AA2017" s="284"/>
      <c r="AB2017" s="284"/>
      <c r="AC2017" s="284"/>
      <c r="AD2017" s="284"/>
      <c r="AE2017" s="284"/>
      <c r="AF2017" s="284"/>
      <c r="AG2017" s="284"/>
    </row>
    <row r="2018" spans="1:33" ht="26.4">
      <c r="A2018" s="284"/>
      <c r="B2018" s="284"/>
      <c r="C2018" s="284"/>
      <c r="D2018" s="284"/>
      <c r="E2018" s="284"/>
      <c r="F2018" s="284"/>
      <c r="G2018" s="284"/>
      <c r="H2018" s="284"/>
      <c r="I2018" s="284"/>
      <c r="J2018" s="375"/>
      <c r="K2018" s="375"/>
      <c r="L2018" s="375"/>
      <c r="M2018" s="368"/>
      <c r="N2018" s="368"/>
      <c r="O2018" s="370"/>
      <c r="T2018" s="349"/>
      <c r="V2018" s="378"/>
      <c r="W2018" s="64" ph="1"/>
      <c r="X2018" s="241"/>
      <c r="Y2018" s="284"/>
      <c r="Z2018" s="207"/>
      <c r="AA2018" s="284"/>
      <c r="AB2018" s="284"/>
      <c r="AC2018" s="284"/>
      <c r="AD2018" s="284"/>
      <c r="AE2018" s="284"/>
      <c r="AF2018" s="284"/>
      <c r="AG2018" s="284"/>
    </row>
    <row r="2019" spans="1:33" ht="26.4">
      <c r="A2019" s="284"/>
      <c r="B2019" s="284"/>
      <c r="C2019" s="284"/>
      <c r="D2019" s="284"/>
      <c r="E2019" s="284"/>
      <c r="F2019" s="284"/>
      <c r="G2019" s="284"/>
      <c r="H2019" s="284"/>
      <c r="I2019" s="284"/>
      <c r="J2019" s="375"/>
      <c r="K2019" s="375"/>
      <c r="L2019" s="375"/>
      <c r="M2019" s="368"/>
      <c r="N2019" s="368"/>
      <c r="O2019" s="370"/>
      <c r="T2019" s="349"/>
      <c r="V2019" s="378"/>
      <c r="W2019" s="64" ph="1"/>
      <c r="X2019" s="241"/>
      <c r="Y2019" s="284"/>
      <c r="Z2019" s="207"/>
      <c r="AA2019" s="284"/>
      <c r="AB2019" s="284"/>
      <c r="AC2019" s="284"/>
      <c r="AD2019" s="284"/>
      <c r="AE2019" s="284"/>
      <c r="AF2019" s="284"/>
      <c r="AG2019" s="284"/>
    </row>
    <row r="2020" spans="1:33" ht="26.4">
      <c r="A2020" s="284"/>
      <c r="B2020" s="284"/>
      <c r="C2020" s="284"/>
      <c r="D2020" s="284"/>
      <c r="E2020" s="284"/>
      <c r="F2020" s="284"/>
      <c r="G2020" s="284"/>
      <c r="H2020" s="284"/>
      <c r="I2020" s="284"/>
      <c r="J2020" s="375"/>
      <c r="K2020" s="375"/>
      <c r="L2020" s="375"/>
      <c r="M2020" s="368"/>
      <c r="N2020" s="368"/>
      <c r="O2020" s="370"/>
      <c r="T2020" s="349"/>
      <c r="V2020" s="378"/>
      <c r="W2020" s="64" ph="1"/>
      <c r="X2020" s="241"/>
      <c r="Y2020" s="284"/>
      <c r="Z2020" s="207"/>
      <c r="AA2020" s="284"/>
      <c r="AB2020" s="284"/>
      <c r="AC2020" s="284"/>
      <c r="AD2020" s="284"/>
      <c r="AE2020" s="284"/>
      <c r="AF2020" s="284"/>
      <c r="AG2020" s="284"/>
    </row>
    <row r="2021" spans="1:33" ht="26.4">
      <c r="A2021" s="284"/>
      <c r="B2021" s="284"/>
      <c r="C2021" s="284"/>
      <c r="D2021" s="284"/>
      <c r="E2021" s="284"/>
      <c r="F2021" s="284"/>
      <c r="G2021" s="284"/>
      <c r="H2021" s="284"/>
      <c r="I2021" s="284"/>
      <c r="J2021" s="375"/>
      <c r="K2021" s="375"/>
      <c r="L2021" s="375"/>
      <c r="M2021" s="368"/>
      <c r="N2021" s="368"/>
      <c r="O2021" s="370"/>
      <c r="T2021" s="349"/>
      <c r="V2021" s="378"/>
      <c r="W2021" s="64" ph="1"/>
      <c r="X2021" s="241"/>
      <c r="Y2021" s="284"/>
      <c r="Z2021" s="207"/>
      <c r="AA2021" s="284"/>
      <c r="AB2021" s="284"/>
      <c r="AC2021" s="284"/>
      <c r="AD2021" s="284"/>
      <c r="AE2021" s="284"/>
      <c r="AF2021" s="284"/>
      <c r="AG2021" s="284"/>
    </row>
    <row r="2022" spans="1:33" ht="26.4">
      <c r="A2022" s="284"/>
      <c r="B2022" s="284"/>
      <c r="C2022" s="284"/>
      <c r="D2022" s="284"/>
      <c r="E2022" s="284"/>
      <c r="F2022" s="284"/>
      <c r="G2022" s="284"/>
      <c r="H2022" s="284"/>
      <c r="I2022" s="284"/>
      <c r="J2022" s="375"/>
      <c r="K2022" s="375"/>
      <c r="L2022" s="375"/>
      <c r="M2022" s="368"/>
      <c r="N2022" s="368"/>
      <c r="O2022" s="370"/>
      <c r="T2022" s="349"/>
      <c r="V2022" s="378"/>
      <c r="W2022" s="64" ph="1"/>
      <c r="X2022" s="241"/>
      <c r="Y2022" s="284"/>
      <c r="Z2022" s="207"/>
      <c r="AA2022" s="284"/>
      <c r="AB2022" s="284"/>
      <c r="AC2022" s="284"/>
      <c r="AD2022" s="284"/>
      <c r="AE2022" s="284"/>
      <c r="AF2022" s="284"/>
      <c r="AG2022" s="284"/>
    </row>
    <row r="2023" spans="1:33" ht="26.4">
      <c r="A2023" s="284"/>
      <c r="B2023" s="284"/>
      <c r="C2023" s="284"/>
      <c r="D2023" s="284"/>
      <c r="E2023" s="284"/>
      <c r="F2023" s="284"/>
      <c r="G2023" s="284"/>
      <c r="H2023" s="284"/>
      <c r="I2023" s="284"/>
      <c r="J2023" s="375"/>
      <c r="K2023" s="375"/>
      <c r="L2023" s="375"/>
      <c r="M2023" s="368"/>
      <c r="N2023" s="368"/>
      <c r="O2023" s="370"/>
      <c r="T2023" s="349"/>
      <c r="V2023" s="378"/>
      <c r="W2023" s="64" ph="1"/>
      <c r="X2023" s="241"/>
      <c r="Y2023" s="284"/>
      <c r="Z2023" s="207"/>
      <c r="AA2023" s="284"/>
      <c r="AB2023" s="284"/>
      <c r="AC2023" s="284"/>
      <c r="AD2023" s="284"/>
      <c r="AE2023" s="284"/>
      <c r="AF2023" s="284"/>
      <c r="AG2023" s="284"/>
    </row>
    <row r="2024" spans="1:33" ht="26.4">
      <c r="A2024" s="284"/>
      <c r="B2024" s="284"/>
      <c r="C2024" s="284"/>
      <c r="D2024" s="284"/>
      <c r="E2024" s="284"/>
      <c r="F2024" s="284"/>
      <c r="G2024" s="284"/>
      <c r="H2024" s="284"/>
      <c r="I2024" s="284"/>
      <c r="J2024" s="375"/>
      <c r="K2024" s="375"/>
      <c r="L2024" s="375"/>
      <c r="M2024" s="368"/>
      <c r="N2024" s="368"/>
      <c r="O2024" s="370"/>
      <c r="T2024" s="349"/>
      <c r="V2024" s="378"/>
      <c r="W2024" s="64" ph="1"/>
      <c r="X2024" s="241"/>
      <c r="Y2024" s="284"/>
      <c r="Z2024" s="207"/>
      <c r="AA2024" s="284"/>
      <c r="AB2024" s="284"/>
      <c r="AC2024" s="284"/>
      <c r="AD2024" s="284"/>
      <c r="AE2024" s="284"/>
      <c r="AF2024" s="284"/>
      <c r="AG2024" s="284"/>
    </row>
    <row r="2025" spans="1:33" ht="26.4">
      <c r="A2025" s="284"/>
      <c r="B2025" s="284"/>
      <c r="C2025" s="284"/>
      <c r="D2025" s="284"/>
      <c r="E2025" s="284"/>
      <c r="F2025" s="284"/>
      <c r="G2025" s="284"/>
      <c r="H2025" s="284"/>
      <c r="I2025" s="284"/>
      <c r="J2025" s="375"/>
      <c r="K2025" s="375"/>
      <c r="L2025" s="375"/>
      <c r="M2025" s="368"/>
      <c r="N2025" s="368"/>
      <c r="O2025" s="370"/>
      <c r="T2025" s="349"/>
      <c r="V2025" s="378"/>
      <c r="W2025" s="64" ph="1"/>
      <c r="X2025" s="241"/>
      <c r="Y2025" s="284"/>
      <c r="Z2025" s="207"/>
      <c r="AA2025" s="284"/>
      <c r="AB2025" s="284"/>
      <c r="AC2025" s="284"/>
      <c r="AD2025" s="284"/>
      <c r="AE2025" s="284"/>
      <c r="AF2025" s="284"/>
      <c r="AG2025" s="284"/>
    </row>
    <row r="2026" spans="1:33" ht="26.4">
      <c r="A2026" s="284"/>
      <c r="B2026" s="284"/>
      <c r="C2026" s="284"/>
      <c r="D2026" s="284"/>
      <c r="E2026" s="284"/>
      <c r="F2026" s="284"/>
      <c r="G2026" s="284"/>
      <c r="H2026" s="284"/>
      <c r="I2026" s="284"/>
      <c r="J2026" s="375"/>
      <c r="K2026" s="375"/>
      <c r="L2026" s="375"/>
      <c r="M2026" s="368"/>
      <c r="N2026" s="368"/>
      <c r="O2026" s="370"/>
      <c r="T2026" s="349"/>
      <c r="V2026" s="378"/>
      <c r="W2026" s="64" ph="1"/>
      <c r="X2026" s="241"/>
      <c r="Y2026" s="284"/>
      <c r="Z2026" s="207"/>
      <c r="AA2026" s="284"/>
      <c r="AB2026" s="284"/>
      <c r="AC2026" s="284"/>
      <c r="AD2026" s="284"/>
      <c r="AE2026" s="284"/>
      <c r="AF2026" s="284"/>
      <c r="AG2026" s="284"/>
    </row>
    <row r="2027" spans="1:33" ht="26.4">
      <c r="A2027" s="284"/>
      <c r="B2027" s="284"/>
      <c r="C2027" s="284"/>
      <c r="D2027" s="284"/>
      <c r="E2027" s="284"/>
      <c r="F2027" s="284"/>
      <c r="G2027" s="284"/>
      <c r="H2027" s="284"/>
      <c r="I2027" s="284"/>
      <c r="J2027" s="375"/>
      <c r="K2027" s="375"/>
      <c r="L2027" s="375"/>
      <c r="M2027" s="368"/>
      <c r="N2027" s="368"/>
      <c r="O2027" s="370"/>
      <c r="T2027" s="349"/>
      <c r="V2027" s="378"/>
      <c r="W2027" s="64" ph="1"/>
      <c r="X2027" s="241"/>
      <c r="Y2027" s="284"/>
      <c r="Z2027" s="207"/>
      <c r="AA2027" s="284"/>
      <c r="AB2027" s="284"/>
      <c r="AC2027" s="284"/>
      <c r="AD2027" s="284"/>
      <c r="AE2027" s="284"/>
      <c r="AF2027" s="284"/>
      <c r="AG2027" s="284"/>
    </row>
    <row r="2028" spans="1:33" ht="26.4">
      <c r="A2028" s="284"/>
      <c r="B2028" s="284"/>
      <c r="C2028" s="284"/>
      <c r="D2028" s="284"/>
      <c r="E2028" s="284"/>
      <c r="F2028" s="284"/>
      <c r="G2028" s="284"/>
      <c r="H2028" s="284"/>
      <c r="I2028" s="284"/>
      <c r="J2028" s="375"/>
      <c r="K2028" s="375"/>
      <c r="L2028" s="375"/>
      <c r="M2028" s="368"/>
      <c r="N2028" s="368"/>
      <c r="O2028" s="370"/>
      <c r="T2028" s="349"/>
      <c r="V2028" s="378"/>
      <c r="W2028" s="64" ph="1"/>
      <c r="X2028" s="241"/>
      <c r="Y2028" s="284"/>
      <c r="Z2028" s="207"/>
      <c r="AA2028" s="284"/>
      <c r="AB2028" s="284"/>
      <c r="AC2028" s="284"/>
      <c r="AD2028" s="284"/>
      <c r="AE2028" s="284"/>
      <c r="AF2028" s="284"/>
      <c r="AG2028" s="284"/>
    </row>
    <row r="2029" spans="1:33" ht="26.4">
      <c r="A2029" s="284"/>
      <c r="B2029" s="284"/>
      <c r="C2029" s="284"/>
      <c r="D2029" s="284"/>
      <c r="E2029" s="284"/>
      <c r="F2029" s="284"/>
      <c r="G2029" s="284"/>
      <c r="H2029" s="284"/>
      <c r="I2029" s="284"/>
      <c r="J2029" s="375"/>
      <c r="K2029" s="375"/>
      <c r="L2029" s="375"/>
      <c r="M2029" s="368"/>
      <c r="N2029" s="368"/>
      <c r="O2029" s="370"/>
      <c r="T2029" s="349"/>
      <c r="V2029" s="378"/>
      <c r="W2029" s="64" ph="1"/>
      <c r="X2029" s="241"/>
      <c r="Y2029" s="284"/>
      <c r="Z2029" s="207"/>
      <c r="AA2029" s="284"/>
      <c r="AB2029" s="284"/>
      <c r="AC2029" s="284"/>
      <c r="AD2029" s="284"/>
      <c r="AE2029" s="284"/>
      <c r="AF2029" s="284"/>
      <c r="AG2029" s="284"/>
    </row>
    <row r="2030" spans="1:33" ht="26.4">
      <c r="A2030" s="284"/>
      <c r="B2030" s="284"/>
      <c r="C2030" s="284"/>
      <c r="D2030" s="284"/>
      <c r="E2030" s="284"/>
      <c r="F2030" s="284"/>
      <c r="G2030" s="284"/>
      <c r="H2030" s="284"/>
      <c r="I2030" s="284"/>
      <c r="J2030" s="375"/>
      <c r="K2030" s="375"/>
      <c r="L2030" s="375"/>
      <c r="M2030" s="368"/>
      <c r="N2030" s="368"/>
      <c r="O2030" s="370"/>
      <c r="T2030" s="349"/>
      <c r="V2030" s="378"/>
      <c r="W2030" s="64" ph="1"/>
      <c r="X2030" s="241"/>
      <c r="Y2030" s="284"/>
      <c r="Z2030" s="207"/>
      <c r="AA2030" s="284"/>
      <c r="AB2030" s="284"/>
      <c r="AC2030" s="284"/>
      <c r="AD2030" s="284"/>
      <c r="AE2030" s="284"/>
      <c r="AF2030" s="284"/>
      <c r="AG2030" s="284"/>
    </row>
    <row r="2031" spans="1:33" ht="26.4">
      <c r="A2031" s="284"/>
      <c r="B2031" s="284"/>
      <c r="C2031" s="284"/>
      <c r="D2031" s="284"/>
      <c r="E2031" s="284"/>
      <c r="F2031" s="284"/>
      <c r="G2031" s="284"/>
      <c r="H2031" s="284"/>
      <c r="I2031" s="284"/>
      <c r="J2031" s="375"/>
      <c r="K2031" s="375"/>
      <c r="L2031" s="375"/>
      <c r="M2031" s="368"/>
      <c r="N2031" s="368"/>
      <c r="O2031" s="370"/>
      <c r="T2031" s="349"/>
      <c r="V2031" s="378"/>
      <c r="W2031" s="64" ph="1"/>
      <c r="X2031" s="241"/>
      <c r="Y2031" s="284"/>
      <c r="Z2031" s="207"/>
      <c r="AA2031" s="284"/>
      <c r="AB2031" s="284"/>
      <c r="AC2031" s="284"/>
      <c r="AD2031" s="284"/>
      <c r="AE2031" s="284"/>
      <c r="AF2031" s="284"/>
      <c r="AG2031" s="284"/>
    </row>
    <row r="2032" spans="1:33" ht="26.4">
      <c r="A2032" s="284"/>
      <c r="B2032" s="284"/>
      <c r="C2032" s="284"/>
      <c r="D2032" s="284"/>
      <c r="E2032" s="284"/>
      <c r="F2032" s="284"/>
      <c r="G2032" s="284"/>
      <c r="H2032" s="284"/>
      <c r="I2032" s="284"/>
      <c r="J2032" s="375"/>
      <c r="K2032" s="375"/>
      <c r="L2032" s="375"/>
      <c r="M2032" s="368"/>
      <c r="N2032" s="368"/>
      <c r="O2032" s="370"/>
      <c r="T2032" s="349"/>
      <c r="V2032" s="378"/>
      <c r="W2032" s="64" ph="1"/>
      <c r="X2032" s="241"/>
      <c r="Y2032" s="284"/>
      <c r="Z2032" s="207"/>
      <c r="AA2032" s="284"/>
      <c r="AB2032" s="284"/>
      <c r="AC2032" s="284"/>
      <c r="AD2032" s="284"/>
      <c r="AE2032" s="284"/>
      <c r="AF2032" s="284"/>
      <c r="AG2032" s="284"/>
    </row>
    <row r="2033" spans="1:33" ht="26.4">
      <c r="A2033" s="284"/>
      <c r="B2033" s="284"/>
      <c r="C2033" s="284"/>
      <c r="D2033" s="284"/>
      <c r="E2033" s="284"/>
      <c r="F2033" s="284"/>
      <c r="G2033" s="284"/>
      <c r="H2033" s="284"/>
      <c r="I2033" s="284"/>
      <c r="J2033" s="375"/>
      <c r="K2033" s="375"/>
      <c r="L2033" s="375"/>
      <c r="M2033" s="368"/>
      <c r="N2033" s="368"/>
      <c r="O2033" s="370"/>
      <c r="T2033" s="349"/>
      <c r="V2033" s="378"/>
      <c r="W2033" s="64" ph="1"/>
      <c r="X2033" s="241"/>
      <c r="Y2033" s="284"/>
      <c r="Z2033" s="207"/>
      <c r="AA2033" s="284"/>
      <c r="AB2033" s="284"/>
      <c r="AC2033" s="284"/>
      <c r="AD2033" s="284"/>
      <c r="AE2033" s="284"/>
      <c r="AF2033" s="284"/>
      <c r="AG2033" s="284"/>
    </row>
    <row r="2034" spans="1:33" ht="26.4">
      <c r="A2034" s="284"/>
      <c r="B2034" s="284"/>
      <c r="C2034" s="284"/>
      <c r="D2034" s="284"/>
      <c r="E2034" s="284"/>
      <c r="F2034" s="284"/>
      <c r="G2034" s="284"/>
      <c r="H2034" s="284"/>
      <c r="I2034" s="284"/>
      <c r="J2034" s="375"/>
      <c r="K2034" s="375"/>
      <c r="L2034" s="375"/>
      <c r="M2034" s="368"/>
      <c r="N2034" s="368"/>
      <c r="O2034" s="370"/>
      <c r="T2034" s="349"/>
      <c r="V2034" s="378"/>
      <c r="W2034" s="64" ph="1"/>
      <c r="X2034" s="241"/>
      <c r="Y2034" s="284"/>
      <c r="Z2034" s="207"/>
      <c r="AA2034" s="284"/>
      <c r="AB2034" s="284"/>
      <c r="AC2034" s="284"/>
      <c r="AD2034" s="284"/>
      <c r="AE2034" s="284"/>
      <c r="AF2034" s="284"/>
      <c r="AG2034" s="284"/>
    </row>
    <row r="2035" spans="1:33" ht="26.4">
      <c r="A2035" s="284"/>
      <c r="B2035" s="284"/>
      <c r="C2035" s="284"/>
      <c r="D2035" s="284"/>
      <c r="E2035" s="284"/>
      <c r="F2035" s="284"/>
      <c r="G2035" s="284"/>
      <c r="H2035" s="284"/>
      <c r="I2035" s="284"/>
      <c r="J2035" s="375"/>
      <c r="K2035" s="375"/>
      <c r="L2035" s="375"/>
      <c r="M2035" s="368"/>
      <c r="N2035" s="368"/>
      <c r="O2035" s="370"/>
      <c r="T2035" s="349"/>
      <c r="V2035" s="378"/>
      <c r="W2035" s="64" ph="1"/>
      <c r="X2035" s="241"/>
      <c r="Y2035" s="284"/>
      <c r="Z2035" s="207"/>
      <c r="AA2035" s="284"/>
      <c r="AB2035" s="284"/>
      <c r="AC2035" s="284"/>
      <c r="AD2035" s="284"/>
      <c r="AE2035" s="284"/>
      <c r="AF2035" s="284"/>
      <c r="AG2035" s="284"/>
    </row>
    <row r="2036" spans="1:33" ht="26.4">
      <c r="A2036" s="284"/>
      <c r="B2036" s="284"/>
      <c r="C2036" s="284"/>
      <c r="D2036" s="284"/>
      <c r="E2036" s="284"/>
      <c r="F2036" s="284"/>
      <c r="G2036" s="284"/>
      <c r="H2036" s="284"/>
      <c r="I2036" s="284"/>
      <c r="J2036" s="375"/>
      <c r="K2036" s="375"/>
      <c r="L2036" s="375"/>
      <c r="M2036" s="368"/>
      <c r="N2036" s="368"/>
      <c r="O2036" s="370"/>
      <c r="T2036" s="349"/>
      <c r="V2036" s="378"/>
      <c r="W2036" s="64" ph="1"/>
      <c r="X2036" s="241"/>
      <c r="Y2036" s="284"/>
      <c r="Z2036" s="207"/>
      <c r="AA2036" s="284"/>
      <c r="AB2036" s="284"/>
      <c r="AC2036" s="284"/>
      <c r="AD2036" s="284"/>
      <c r="AE2036" s="284"/>
      <c r="AF2036" s="284"/>
      <c r="AG2036" s="284"/>
    </row>
    <row r="2037" spans="1:33" ht="26.4">
      <c r="A2037" s="284"/>
      <c r="B2037" s="284"/>
      <c r="C2037" s="284"/>
      <c r="D2037" s="284"/>
      <c r="E2037" s="284"/>
      <c r="F2037" s="284"/>
      <c r="G2037" s="284"/>
      <c r="H2037" s="284"/>
      <c r="I2037" s="284"/>
      <c r="J2037" s="375"/>
      <c r="K2037" s="375"/>
      <c r="L2037" s="375"/>
      <c r="M2037" s="368"/>
      <c r="N2037" s="368"/>
      <c r="O2037" s="370"/>
      <c r="T2037" s="349"/>
      <c r="V2037" s="378"/>
      <c r="W2037" s="64" ph="1"/>
      <c r="X2037" s="241"/>
      <c r="Y2037" s="284"/>
      <c r="Z2037" s="207"/>
      <c r="AA2037" s="284"/>
      <c r="AB2037" s="284"/>
      <c r="AC2037" s="284"/>
      <c r="AD2037" s="284"/>
      <c r="AE2037" s="284"/>
      <c r="AF2037" s="284"/>
      <c r="AG2037" s="284"/>
    </row>
    <row r="2038" spans="1:33" ht="26.4">
      <c r="A2038" s="284"/>
      <c r="B2038" s="284"/>
      <c r="C2038" s="284"/>
      <c r="D2038" s="284"/>
      <c r="E2038" s="284"/>
      <c r="F2038" s="284"/>
      <c r="G2038" s="284"/>
      <c r="H2038" s="284"/>
      <c r="I2038" s="284"/>
      <c r="J2038" s="375"/>
      <c r="K2038" s="375"/>
      <c r="L2038" s="375"/>
      <c r="M2038" s="368"/>
      <c r="N2038" s="368"/>
      <c r="O2038" s="370"/>
      <c r="T2038" s="349"/>
      <c r="V2038" s="378"/>
      <c r="W2038" s="64" ph="1"/>
      <c r="X2038" s="241"/>
      <c r="Y2038" s="284"/>
      <c r="Z2038" s="207"/>
      <c r="AA2038" s="284"/>
      <c r="AB2038" s="284"/>
      <c r="AC2038" s="284"/>
      <c r="AD2038" s="284"/>
      <c r="AE2038" s="284"/>
      <c r="AF2038" s="284"/>
      <c r="AG2038" s="284"/>
    </row>
    <row r="2039" spans="1:33" ht="26.4">
      <c r="A2039" s="284"/>
      <c r="B2039" s="284"/>
      <c r="C2039" s="284"/>
      <c r="D2039" s="284"/>
      <c r="E2039" s="284"/>
      <c r="F2039" s="284"/>
      <c r="G2039" s="284"/>
      <c r="H2039" s="284"/>
      <c r="I2039" s="284"/>
      <c r="J2039" s="375"/>
      <c r="K2039" s="375"/>
      <c r="L2039" s="375"/>
      <c r="M2039" s="368"/>
      <c r="N2039" s="368"/>
      <c r="O2039" s="370"/>
      <c r="T2039" s="349"/>
      <c r="V2039" s="378"/>
      <c r="W2039" s="64" ph="1"/>
      <c r="X2039" s="241"/>
      <c r="Y2039" s="284"/>
      <c r="Z2039" s="207"/>
      <c r="AA2039" s="284"/>
      <c r="AB2039" s="284"/>
      <c r="AC2039" s="284"/>
      <c r="AD2039" s="284"/>
      <c r="AE2039" s="284"/>
      <c r="AF2039" s="284"/>
      <c r="AG2039" s="284"/>
    </row>
    <row r="2040" spans="1:33" ht="26.4">
      <c r="A2040" s="284"/>
      <c r="B2040" s="284"/>
      <c r="C2040" s="284"/>
      <c r="D2040" s="284"/>
      <c r="E2040" s="284"/>
      <c r="F2040" s="284"/>
      <c r="G2040" s="284"/>
      <c r="H2040" s="284"/>
      <c r="I2040" s="284"/>
      <c r="J2040" s="375"/>
      <c r="K2040" s="375"/>
      <c r="L2040" s="375"/>
      <c r="M2040" s="368"/>
      <c r="N2040" s="368"/>
      <c r="O2040" s="370"/>
      <c r="T2040" s="349"/>
      <c r="V2040" s="378"/>
      <c r="W2040" s="64" ph="1"/>
      <c r="X2040" s="241"/>
      <c r="Y2040" s="284"/>
      <c r="Z2040" s="207"/>
      <c r="AA2040" s="284"/>
      <c r="AB2040" s="284"/>
      <c r="AC2040" s="284"/>
      <c r="AD2040" s="284"/>
      <c r="AE2040" s="284"/>
      <c r="AF2040" s="284"/>
      <c r="AG2040" s="284"/>
    </row>
    <row r="2041" spans="1:33" ht="26.4">
      <c r="A2041" s="284"/>
      <c r="B2041" s="284"/>
      <c r="C2041" s="284"/>
      <c r="D2041" s="284"/>
      <c r="E2041" s="284"/>
      <c r="F2041" s="284"/>
      <c r="G2041" s="284"/>
      <c r="H2041" s="284"/>
      <c r="I2041" s="284"/>
      <c r="J2041" s="375"/>
      <c r="K2041" s="375"/>
      <c r="L2041" s="375"/>
      <c r="M2041" s="368"/>
      <c r="N2041" s="368"/>
      <c r="O2041" s="370"/>
      <c r="T2041" s="349"/>
      <c r="V2041" s="378"/>
      <c r="W2041" s="64" ph="1"/>
      <c r="X2041" s="241"/>
      <c r="Y2041" s="284"/>
      <c r="Z2041" s="207"/>
      <c r="AA2041" s="284"/>
      <c r="AB2041" s="284"/>
      <c r="AC2041" s="284"/>
      <c r="AD2041" s="284"/>
      <c r="AE2041" s="284"/>
      <c r="AF2041" s="284"/>
      <c r="AG2041" s="284"/>
    </row>
    <row r="2042" spans="1:33" ht="26.4">
      <c r="A2042" s="284"/>
      <c r="B2042" s="284"/>
      <c r="C2042" s="284"/>
      <c r="D2042" s="284"/>
      <c r="E2042" s="284"/>
      <c r="F2042" s="284"/>
      <c r="G2042" s="284"/>
      <c r="H2042" s="284"/>
      <c r="I2042" s="284"/>
      <c r="J2042" s="375"/>
      <c r="K2042" s="375"/>
      <c r="L2042" s="375"/>
      <c r="M2042" s="368"/>
      <c r="N2042" s="368"/>
      <c r="O2042" s="370"/>
      <c r="T2042" s="349"/>
      <c r="V2042" s="378"/>
      <c r="W2042" s="64" ph="1"/>
      <c r="X2042" s="241"/>
      <c r="Y2042" s="284"/>
      <c r="Z2042" s="207"/>
      <c r="AA2042" s="284"/>
      <c r="AB2042" s="284"/>
      <c r="AC2042" s="284"/>
      <c r="AD2042" s="284"/>
      <c r="AE2042" s="284"/>
      <c r="AF2042" s="284"/>
      <c r="AG2042" s="284"/>
    </row>
    <row r="2043" spans="1:33" ht="26.4">
      <c r="A2043" s="284"/>
      <c r="B2043" s="284"/>
      <c r="C2043" s="284"/>
      <c r="D2043" s="284"/>
      <c r="E2043" s="284"/>
      <c r="F2043" s="284"/>
      <c r="G2043" s="284"/>
      <c r="H2043" s="284"/>
      <c r="I2043" s="284"/>
      <c r="J2043" s="375"/>
      <c r="K2043" s="375"/>
      <c r="L2043" s="375"/>
      <c r="M2043" s="368"/>
      <c r="N2043" s="368"/>
      <c r="O2043" s="370"/>
      <c r="T2043" s="349"/>
      <c r="V2043" s="378"/>
      <c r="W2043" s="64" ph="1"/>
      <c r="X2043" s="241"/>
      <c r="Y2043" s="284"/>
      <c r="Z2043" s="207"/>
      <c r="AA2043" s="284"/>
      <c r="AB2043" s="284"/>
      <c r="AC2043" s="284"/>
      <c r="AD2043" s="284"/>
      <c r="AE2043" s="284"/>
      <c r="AF2043" s="284"/>
      <c r="AG2043" s="284"/>
    </row>
    <row r="2044" spans="1:33" ht="26.4">
      <c r="A2044" s="284"/>
      <c r="B2044" s="284"/>
      <c r="C2044" s="284"/>
      <c r="D2044" s="284"/>
      <c r="E2044" s="284"/>
      <c r="F2044" s="284"/>
      <c r="G2044" s="284"/>
      <c r="H2044" s="284"/>
      <c r="I2044" s="284"/>
      <c r="J2044" s="375"/>
      <c r="K2044" s="375"/>
      <c r="L2044" s="375"/>
      <c r="M2044" s="368"/>
      <c r="N2044" s="368"/>
      <c r="O2044" s="370"/>
      <c r="T2044" s="349"/>
      <c r="V2044" s="378"/>
      <c r="W2044" s="64" ph="1"/>
      <c r="X2044" s="241"/>
      <c r="Y2044" s="284"/>
      <c r="Z2044" s="207"/>
      <c r="AA2044" s="284"/>
      <c r="AB2044" s="284"/>
      <c r="AC2044" s="284"/>
      <c r="AD2044" s="284"/>
      <c r="AE2044" s="284"/>
      <c r="AF2044" s="284"/>
      <c r="AG2044" s="284"/>
    </row>
    <row r="2045" spans="1:33" ht="26.4">
      <c r="A2045" s="284"/>
      <c r="B2045" s="284"/>
      <c r="C2045" s="284"/>
      <c r="D2045" s="284"/>
      <c r="E2045" s="284"/>
      <c r="F2045" s="284"/>
      <c r="G2045" s="284"/>
      <c r="H2045" s="284"/>
      <c r="I2045" s="284"/>
      <c r="J2045" s="375"/>
      <c r="K2045" s="375"/>
      <c r="L2045" s="375"/>
      <c r="M2045" s="368"/>
      <c r="N2045" s="368"/>
      <c r="O2045" s="370"/>
      <c r="T2045" s="349"/>
      <c r="V2045" s="378"/>
      <c r="W2045" s="64" ph="1"/>
      <c r="X2045" s="241"/>
      <c r="Y2045" s="284"/>
      <c r="Z2045" s="207"/>
      <c r="AA2045" s="284"/>
      <c r="AB2045" s="284"/>
      <c r="AC2045" s="284"/>
      <c r="AD2045" s="284"/>
      <c r="AE2045" s="284"/>
      <c r="AF2045" s="284"/>
      <c r="AG2045" s="284"/>
    </row>
    <row r="2046" spans="1:33" ht="26.4">
      <c r="A2046" s="284"/>
      <c r="B2046" s="284"/>
      <c r="C2046" s="284"/>
      <c r="D2046" s="284"/>
      <c r="E2046" s="284"/>
      <c r="F2046" s="284"/>
      <c r="G2046" s="284"/>
      <c r="H2046" s="284"/>
      <c r="I2046" s="284"/>
      <c r="J2046" s="375"/>
      <c r="K2046" s="375"/>
      <c r="L2046" s="375"/>
      <c r="M2046" s="368"/>
      <c r="N2046" s="368"/>
      <c r="O2046" s="370"/>
      <c r="T2046" s="349"/>
      <c r="V2046" s="378"/>
      <c r="W2046" s="64" ph="1"/>
      <c r="X2046" s="241"/>
      <c r="Y2046" s="284"/>
      <c r="Z2046" s="207"/>
      <c r="AA2046" s="284"/>
      <c r="AB2046" s="284"/>
      <c r="AC2046" s="284"/>
      <c r="AD2046" s="284"/>
      <c r="AE2046" s="284"/>
      <c r="AF2046" s="284"/>
      <c r="AG2046" s="284"/>
    </row>
    <row r="2047" spans="1:33" ht="26.4">
      <c r="A2047" s="284"/>
      <c r="B2047" s="284"/>
      <c r="C2047" s="284"/>
      <c r="D2047" s="284"/>
      <c r="E2047" s="284"/>
      <c r="F2047" s="284"/>
      <c r="G2047" s="284"/>
      <c r="H2047" s="284"/>
      <c r="I2047" s="284"/>
      <c r="J2047" s="375"/>
      <c r="K2047" s="375"/>
      <c r="L2047" s="375"/>
      <c r="M2047" s="368"/>
      <c r="N2047" s="368"/>
      <c r="O2047" s="370"/>
      <c r="T2047" s="349"/>
      <c r="V2047" s="378"/>
      <c r="W2047" s="64" ph="1"/>
      <c r="X2047" s="241"/>
      <c r="Y2047" s="284"/>
      <c r="Z2047" s="207"/>
      <c r="AA2047" s="284"/>
      <c r="AB2047" s="284"/>
      <c r="AC2047" s="284"/>
      <c r="AD2047" s="284"/>
      <c r="AE2047" s="284"/>
      <c r="AF2047" s="284"/>
      <c r="AG2047" s="284"/>
    </row>
    <row r="2048" spans="1:33" ht="26.4">
      <c r="A2048" s="284"/>
      <c r="B2048" s="284"/>
      <c r="C2048" s="284"/>
      <c r="D2048" s="284"/>
      <c r="E2048" s="284"/>
      <c r="F2048" s="284"/>
      <c r="G2048" s="284"/>
      <c r="H2048" s="284"/>
      <c r="I2048" s="284"/>
      <c r="J2048" s="375"/>
      <c r="K2048" s="375"/>
      <c r="L2048" s="375"/>
      <c r="M2048" s="368"/>
      <c r="N2048" s="368"/>
      <c r="O2048" s="370"/>
      <c r="T2048" s="349"/>
      <c r="V2048" s="378"/>
      <c r="W2048" s="64" ph="1"/>
      <c r="X2048" s="241"/>
      <c r="Y2048" s="284"/>
      <c r="Z2048" s="207"/>
      <c r="AA2048" s="284"/>
      <c r="AB2048" s="284"/>
      <c r="AC2048" s="284"/>
      <c r="AD2048" s="284"/>
      <c r="AE2048" s="284"/>
      <c r="AF2048" s="284"/>
      <c r="AG2048" s="284"/>
    </row>
    <row r="2049" spans="1:33" ht="26.4">
      <c r="A2049" s="284"/>
      <c r="B2049" s="284"/>
      <c r="C2049" s="284"/>
      <c r="D2049" s="284"/>
      <c r="E2049" s="284"/>
      <c r="F2049" s="284"/>
      <c r="G2049" s="284"/>
      <c r="H2049" s="284"/>
      <c r="I2049" s="284"/>
      <c r="J2049" s="375"/>
      <c r="K2049" s="375"/>
      <c r="L2049" s="375"/>
      <c r="M2049" s="368"/>
      <c r="N2049" s="368"/>
      <c r="O2049" s="370"/>
      <c r="T2049" s="349"/>
      <c r="V2049" s="378"/>
      <c r="W2049" s="64" ph="1"/>
      <c r="X2049" s="241"/>
      <c r="Y2049" s="284"/>
      <c r="Z2049" s="207"/>
      <c r="AA2049" s="284"/>
      <c r="AB2049" s="284"/>
      <c r="AC2049" s="284"/>
      <c r="AD2049" s="284"/>
      <c r="AE2049" s="284"/>
      <c r="AF2049" s="284"/>
      <c r="AG2049" s="284"/>
    </row>
    <row r="2050" spans="1:33" ht="26.4">
      <c r="A2050" s="284"/>
      <c r="B2050" s="284"/>
      <c r="C2050" s="284"/>
      <c r="D2050" s="284"/>
      <c r="E2050" s="284"/>
      <c r="F2050" s="284"/>
      <c r="G2050" s="284"/>
      <c r="H2050" s="284"/>
      <c r="I2050" s="284"/>
      <c r="J2050" s="375"/>
      <c r="K2050" s="375"/>
      <c r="L2050" s="375"/>
      <c r="M2050" s="368"/>
      <c r="N2050" s="368"/>
      <c r="O2050" s="370"/>
      <c r="T2050" s="349"/>
      <c r="V2050" s="378"/>
      <c r="W2050" s="64" ph="1"/>
      <c r="X2050" s="241"/>
      <c r="Y2050" s="284"/>
      <c r="Z2050" s="207"/>
      <c r="AA2050" s="284"/>
      <c r="AB2050" s="284"/>
      <c r="AC2050" s="284"/>
      <c r="AD2050" s="284"/>
      <c r="AE2050" s="284"/>
      <c r="AF2050" s="284"/>
      <c r="AG2050" s="284"/>
    </row>
    <row r="2051" spans="1:33" ht="26.4">
      <c r="A2051" s="284"/>
      <c r="B2051" s="284"/>
      <c r="C2051" s="284"/>
      <c r="D2051" s="284"/>
      <c r="E2051" s="284"/>
      <c r="F2051" s="284"/>
      <c r="G2051" s="284"/>
      <c r="H2051" s="284"/>
      <c r="I2051" s="284"/>
      <c r="J2051" s="375"/>
      <c r="K2051" s="375"/>
      <c r="L2051" s="375"/>
      <c r="M2051" s="368"/>
      <c r="N2051" s="368"/>
      <c r="O2051" s="370"/>
      <c r="T2051" s="349"/>
      <c r="V2051" s="378"/>
      <c r="W2051" s="64" ph="1"/>
      <c r="X2051" s="241"/>
      <c r="Y2051" s="284"/>
      <c r="Z2051" s="207"/>
      <c r="AA2051" s="284"/>
      <c r="AB2051" s="284"/>
      <c r="AC2051" s="284"/>
      <c r="AD2051" s="284"/>
      <c r="AE2051" s="284"/>
      <c r="AF2051" s="284"/>
      <c r="AG2051" s="284"/>
    </row>
    <row r="2052" spans="1:33" ht="26.4">
      <c r="A2052" s="284"/>
      <c r="B2052" s="284"/>
      <c r="C2052" s="284"/>
      <c r="D2052" s="284"/>
      <c r="E2052" s="284"/>
      <c r="F2052" s="284"/>
      <c r="G2052" s="284"/>
      <c r="H2052" s="284"/>
      <c r="I2052" s="284"/>
      <c r="J2052" s="375"/>
      <c r="K2052" s="375"/>
      <c r="L2052" s="375"/>
      <c r="M2052" s="368"/>
      <c r="N2052" s="368"/>
      <c r="O2052" s="370"/>
      <c r="T2052" s="349"/>
      <c r="V2052" s="378"/>
      <c r="W2052" s="64" ph="1"/>
      <c r="X2052" s="241"/>
      <c r="Y2052" s="284"/>
      <c r="Z2052" s="207"/>
      <c r="AA2052" s="284"/>
      <c r="AB2052" s="284"/>
      <c r="AC2052" s="284"/>
      <c r="AD2052" s="284"/>
      <c r="AE2052" s="284"/>
      <c r="AF2052" s="284"/>
      <c r="AG2052" s="284"/>
    </row>
    <row r="2053" spans="1:33" ht="26.4">
      <c r="A2053" s="284"/>
      <c r="B2053" s="284"/>
      <c r="C2053" s="284"/>
      <c r="D2053" s="284"/>
      <c r="E2053" s="284"/>
      <c r="F2053" s="284"/>
      <c r="G2053" s="284"/>
      <c r="H2053" s="284"/>
      <c r="I2053" s="284"/>
      <c r="J2053" s="375"/>
      <c r="K2053" s="375"/>
      <c r="L2053" s="375"/>
      <c r="M2053" s="368"/>
      <c r="N2053" s="368"/>
      <c r="O2053" s="370"/>
      <c r="T2053" s="349"/>
      <c r="V2053" s="378"/>
      <c r="W2053" s="64" ph="1"/>
      <c r="X2053" s="241"/>
      <c r="Y2053" s="284"/>
      <c r="Z2053" s="207"/>
      <c r="AA2053" s="284"/>
      <c r="AB2053" s="284"/>
      <c r="AC2053" s="284"/>
      <c r="AD2053" s="284"/>
      <c r="AE2053" s="284"/>
      <c r="AF2053" s="284"/>
      <c r="AG2053" s="284"/>
    </row>
    <row r="2054" spans="1:33" ht="26.4">
      <c r="A2054" s="284"/>
      <c r="B2054" s="284"/>
      <c r="C2054" s="284"/>
      <c r="D2054" s="284"/>
      <c r="E2054" s="284"/>
      <c r="F2054" s="284"/>
      <c r="G2054" s="284"/>
      <c r="H2054" s="284"/>
      <c r="I2054" s="284"/>
      <c r="J2054" s="375"/>
      <c r="K2054" s="375"/>
      <c r="L2054" s="375"/>
      <c r="M2054" s="368"/>
      <c r="N2054" s="368"/>
      <c r="O2054" s="370"/>
      <c r="T2054" s="349"/>
      <c r="V2054" s="378"/>
      <c r="W2054" s="64" ph="1"/>
      <c r="X2054" s="241"/>
      <c r="Y2054" s="284"/>
      <c r="Z2054" s="207"/>
      <c r="AA2054" s="284"/>
      <c r="AB2054" s="284"/>
      <c r="AC2054" s="284"/>
      <c r="AD2054" s="284"/>
      <c r="AE2054" s="284"/>
      <c r="AF2054" s="284"/>
      <c r="AG2054" s="284"/>
    </row>
    <row r="2055" spans="1:33" ht="26.4">
      <c r="A2055" s="284"/>
      <c r="B2055" s="284"/>
      <c r="C2055" s="284"/>
      <c r="D2055" s="284"/>
      <c r="E2055" s="284"/>
      <c r="F2055" s="284"/>
      <c r="G2055" s="284"/>
      <c r="H2055" s="284"/>
      <c r="I2055" s="284"/>
      <c r="J2055" s="375"/>
      <c r="K2055" s="375"/>
      <c r="L2055" s="375"/>
      <c r="M2055" s="368"/>
      <c r="N2055" s="368"/>
      <c r="O2055" s="370"/>
      <c r="T2055" s="349"/>
      <c r="V2055" s="378"/>
      <c r="W2055" s="64" ph="1"/>
      <c r="X2055" s="241"/>
      <c r="Y2055" s="284"/>
      <c r="Z2055" s="207"/>
      <c r="AA2055" s="284"/>
      <c r="AB2055" s="284"/>
      <c r="AC2055" s="284"/>
      <c r="AD2055" s="284"/>
      <c r="AE2055" s="284"/>
      <c r="AF2055" s="284"/>
      <c r="AG2055" s="284"/>
    </row>
    <row r="2056" spans="1:33" ht="26.4">
      <c r="A2056" s="284"/>
      <c r="B2056" s="284"/>
      <c r="C2056" s="284"/>
      <c r="D2056" s="284"/>
      <c r="E2056" s="284"/>
      <c r="F2056" s="284"/>
      <c r="G2056" s="284"/>
      <c r="H2056" s="284"/>
      <c r="I2056" s="284"/>
      <c r="J2056" s="375"/>
      <c r="K2056" s="375"/>
      <c r="L2056" s="375"/>
      <c r="M2056" s="368"/>
      <c r="N2056" s="368"/>
      <c r="O2056" s="370"/>
      <c r="T2056" s="349"/>
      <c r="V2056" s="378"/>
      <c r="W2056" s="64" ph="1"/>
      <c r="X2056" s="241"/>
      <c r="Y2056" s="284"/>
      <c r="Z2056" s="207"/>
      <c r="AA2056" s="284"/>
      <c r="AB2056" s="284"/>
      <c r="AC2056" s="284"/>
      <c r="AD2056" s="284"/>
      <c r="AE2056" s="284"/>
      <c r="AF2056" s="284"/>
      <c r="AG2056" s="284"/>
    </row>
    <row r="2057" spans="1:33" ht="26.4">
      <c r="A2057" s="284"/>
      <c r="B2057" s="284"/>
      <c r="C2057" s="284"/>
      <c r="D2057" s="284"/>
      <c r="E2057" s="284"/>
      <c r="F2057" s="284"/>
      <c r="G2057" s="284"/>
      <c r="H2057" s="284"/>
      <c r="I2057" s="284"/>
      <c r="J2057" s="375"/>
      <c r="K2057" s="375"/>
      <c r="L2057" s="375"/>
      <c r="M2057" s="368"/>
      <c r="N2057" s="368"/>
      <c r="O2057" s="370"/>
      <c r="T2057" s="349"/>
      <c r="V2057" s="378"/>
      <c r="W2057" s="64" ph="1"/>
      <c r="X2057" s="241"/>
      <c r="Y2057" s="284"/>
      <c r="Z2057" s="207"/>
      <c r="AA2057" s="284"/>
      <c r="AB2057" s="284"/>
      <c r="AC2057" s="284"/>
      <c r="AD2057" s="284"/>
      <c r="AE2057" s="284"/>
      <c r="AF2057" s="284"/>
      <c r="AG2057" s="284"/>
    </row>
    <row r="2058" spans="1:33" ht="26.4">
      <c r="A2058" s="284"/>
      <c r="B2058" s="284"/>
      <c r="C2058" s="284"/>
      <c r="D2058" s="284"/>
      <c r="E2058" s="284"/>
      <c r="F2058" s="284"/>
      <c r="G2058" s="284"/>
      <c r="H2058" s="284"/>
      <c r="I2058" s="284"/>
      <c r="J2058" s="375"/>
      <c r="K2058" s="375"/>
      <c r="L2058" s="375"/>
      <c r="M2058" s="368"/>
      <c r="N2058" s="368"/>
      <c r="O2058" s="370"/>
      <c r="T2058" s="349"/>
      <c r="V2058" s="378"/>
      <c r="W2058" s="64" ph="1"/>
      <c r="X2058" s="241"/>
      <c r="Y2058" s="284"/>
      <c r="Z2058" s="207"/>
      <c r="AA2058" s="284"/>
      <c r="AB2058" s="284"/>
      <c r="AC2058" s="284"/>
      <c r="AD2058" s="284"/>
      <c r="AE2058" s="284"/>
      <c r="AF2058" s="284"/>
      <c r="AG2058" s="284"/>
    </row>
    <row r="2059" spans="1:33" ht="26.4">
      <c r="A2059" s="284"/>
      <c r="B2059" s="284"/>
      <c r="C2059" s="284"/>
      <c r="D2059" s="284"/>
      <c r="E2059" s="284"/>
      <c r="F2059" s="284"/>
      <c r="G2059" s="284"/>
      <c r="H2059" s="284"/>
      <c r="I2059" s="284"/>
      <c r="J2059" s="375"/>
      <c r="K2059" s="375"/>
      <c r="L2059" s="375"/>
      <c r="M2059" s="368"/>
      <c r="N2059" s="368"/>
      <c r="O2059" s="370"/>
      <c r="T2059" s="349"/>
      <c r="V2059" s="378"/>
      <c r="W2059" s="64" ph="1"/>
      <c r="X2059" s="241"/>
      <c r="Y2059" s="284"/>
      <c r="Z2059" s="207"/>
      <c r="AA2059" s="284"/>
      <c r="AB2059" s="284"/>
      <c r="AC2059" s="284"/>
      <c r="AD2059" s="284"/>
      <c r="AE2059" s="284"/>
      <c r="AF2059" s="284"/>
      <c r="AG2059" s="284"/>
    </row>
    <row r="2060" spans="1:33" ht="26.4">
      <c r="A2060" s="284"/>
      <c r="B2060" s="284"/>
      <c r="C2060" s="284"/>
      <c r="D2060" s="284"/>
      <c r="E2060" s="284"/>
      <c r="F2060" s="284"/>
      <c r="G2060" s="284"/>
      <c r="H2060" s="284"/>
      <c r="I2060" s="284"/>
      <c r="J2060" s="375"/>
      <c r="K2060" s="375"/>
      <c r="L2060" s="375"/>
      <c r="M2060" s="368"/>
      <c r="N2060" s="368"/>
      <c r="O2060" s="370"/>
      <c r="T2060" s="349"/>
      <c r="V2060" s="378"/>
      <c r="W2060" s="64" ph="1"/>
      <c r="X2060" s="241"/>
      <c r="Y2060" s="284"/>
      <c r="Z2060" s="207"/>
      <c r="AA2060" s="284"/>
      <c r="AB2060" s="284"/>
      <c r="AC2060" s="284"/>
      <c r="AD2060" s="284"/>
      <c r="AE2060" s="284"/>
      <c r="AF2060" s="284"/>
      <c r="AG2060" s="284"/>
    </row>
    <row r="2061" spans="1:33" ht="26.4">
      <c r="A2061" s="284"/>
      <c r="B2061" s="284"/>
      <c r="C2061" s="284"/>
      <c r="D2061" s="284"/>
      <c r="E2061" s="284"/>
      <c r="F2061" s="284"/>
      <c r="G2061" s="284"/>
      <c r="H2061" s="284"/>
      <c r="I2061" s="284"/>
      <c r="J2061" s="375"/>
      <c r="K2061" s="375"/>
      <c r="L2061" s="375"/>
      <c r="M2061" s="368"/>
      <c r="N2061" s="368"/>
      <c r="O2061" s="370"/>
      <c r="T2061" s="349"/>
      <c r="V2061" s="378"/>
      <c r="W2061" s="64" ph="1"/>
      <c r="X2061" s="241"/>
      <c r="Y2061" s="284"/>
      <c r="Z2061" s="207"/>
      <c r="AA2061" s="284"/>
      <c r="AB2061" s="284"/>
      <c r="AC2061" s="284"/>
      <c r="AD2061" s="284"/>
      <c r="AE2061" s="284"/>
      <c r="AF2061" s="284"/>
      <c r="AG2061" s="284"/>
    </row>
    <row r="2062" spans="1:33" ht="26.4">
      <c r="A2062" s="284"/>
      <c r="B2062" s="284"/>
      <c r="C2062" s="284"/>
      <c r="D2062" s="284"/>
      <c r="E2062" s="284"/>
      <c r="F2062" s="284"/>
      <c r="G2062" s="284"/>
      <c r="H2062" s="284"/>
      <c r="I2062" s="284"/>
      <c r="J2062" s="375"/>
      <c r="K2062" s="375"/>
      <c r="L2062" s="375"/>
      <c r="M2062" s="368"/>
      <c r="N2062" s="368"/>
      <c r="O2062" s="370"/>
      <c r="T2062" s="349"/>
      <c r="V2062" s="378"/>
      <c r="W2062" s="64" ph="1"/>
      <c r="X2062" s="241"/>
      <c r="Y2062" s="284"/>
      <c r="Z2062" s="207"/>
      <c r="AA2062" s="284"/>
      <c r="AB2062" s="284"/>
      <c r="AC2062" s="284"/>
      <c r="AD2062" s="284"/>
      <c r="AE2062" s="284"/>
      <c r="AF2062" s="284"/>
      <c r="AG2062" s="284"/>
    </row>
    <row r="2063" spans="1:33" ht="26.4">
      <c r="A2063" s="284"/>
      <c r="B2063" s="284"/>
      <c r="C2063" s="284"/>
      <c r="D2063" s="284"/>
      <c r="E2063" s="284"/>
      <c r="F2063" s="284"/>
      <c r="G2063" s="284"/>
      <c r="H2063" s="284"/>
      <c r="I2063" s="284"/>
      <c r="J2063" s="375"/>
      <c r="K2063" s="375"/>
      <c r="L2063" s="375"/>
      <c r="M2063" s="368"/>
      <c r="N2063" s="368"/>
      <c r="O2063" s="370"/>
      <c r="T2063" s="349"/>
      <c r="V2063" s="378"/>
      <c r="W2063" s="64" ph="1"/>
      <c r="X2063" s="241"/>
      <c r="Y2063" s="284"/>
      <c r="Z2063" s="207"/>
      <c r="AA2063" s="284"/>
      <c r="AB2063" s="284"/>
      <c r="AC2063" s="284"/>
      <c r="AD2063" s="284"/>
      <c r="AE2063" s="284"/>
      <c r="AF2063" s="284"/>
      <c r="AG2063" s="284"/>
    </row>
    <row r="2064" spans="1:33" ht="26.4">
      <c r="A2064" s="284"/>
      <c r="B2064" s="284"/>
      <c r="C2064" s="284"/>
      <c r="D2064" s="284"/>
      <c r="E2064" s="284"/>
      <c r="F2064" s="284"/>
      <c r="G2064" s="284"/>
      <c r="H2064" s="284"/>
      <c r="I2064" s="284"/>
      <c r="J2064" s="375"/>
      <c r="K2064" s="375"/>
      <c r="L2064" s="375"/>
      <c r="M2064" s="368"/>
      <c r="N2064" s="368"/>
      <c r="O2064" s="370"/>
      <c r="T2064" s="349"/>
      <c r="V2064" s="378"/>
      <c r="W2064" s="64" ph="1"/>
      <c r="X2064" s="241"/>
      <c r="Y2064" s="284"/>
      <c r="Z2064" s="207"/>
      <c r="AA2064" s="284"/>
      <c r="AB2064" s="284"/>
      <c r="AC2064" s="284"/>
      <c r="AD2064" s="284"/>
      <c r="AE2064" s="284"/>
      <c r="AF2064" s="284"/>
      <c r="AG2064" s="284"/>
    </row>
    <row r="2065" spans="1:33" ht="26.4">
      <c r="A2065" s="284"/>
      <c r="B2065" s="284"/>
      <c r="C2065" s="284"/>
      <c r="D2065" s="284"/>
      <c r="E2065" s="284"/>
      <c r="F2065" s="284"/>
      <c r="G2065" s="284"/>
      <c r="H2065" s="284"/>
      <c r="I2065" s="284"/>
      <c r="J2065" s="375"/>
      <c r="K2065" s="375"/>
      <c r="L2065" s="375"/>
      <c r="M2065" s="368"/>
      <c r="N2065" s="368"/>
      <c r="O2065" s="370"/>
      <c r="T2065" s="349"/>
      <c r="V2065" s="378"/>
      <c r="W2065" s="64" ph="1"/>
      <c r="X2065" s="241"/>
      <c r="Y2065" s="284"/>
      <c r="Z2065" s="207"/>
      <c r="AA2065" s="284"/>
      <c r="AB2065" s="284"/>
      <c r="AC2065" s="284"/>
      <c r="AD2065" s="284"/>
      <c r="AE2065" s="284"/>
      <c r="AF2065" s="284"/>
      <c r="AG2065" s="284"/>
    </row>
    <row r="2066" spans="1:33" ht="26.4">
      <c r="A2066" s="284"/>
      <c r="B2066" s="284"/>
      <c r="C2066" s="284"/>
      <c r="D2066" s="284"/>
      <c r="E2066" s="284"/>
      <c r="F2066" s="284"/>
      <c r="G2066" s="284"/>
      <c r="H2066" s="284"/>
      <c r="I2066" s="284"/>
      <c r="J2066" s="375"/>
      <c r="K2066" s="375"/>
      <c r="L2066" s="375"/>
      <c r="M2066" s="368"/>
      <c r="N2066" s="368"/>
      <c r="O2066" s="370"/>
      <c r="T2066" s="349"/>
      <c r="V2066" s="378"/>
      <c r="W2066" s="64" ph="1"/>
      <c r="X2066" s="241"/>
      <c r="Y2066" s="284"/>
      <c r="Z2066" s="207"/>
      <c r="AA2066" s="284"/>
      <c r="AB2066" s="284"/>
      <c r="AC2066" s="284"/>
      <c r="AD2066" s="284"/>
      <c r="AE2066" s="284"/>
      <c r="AF2066" s="284"/>
      <c r="AG2066" s="284"/>
    </row>
    <row r="2067" spans="1:33" ht="26.4">
      <c r="A2067" s="284"/>
      <c r="B2067" s="284"/>
      <c r="C2067" s="284"/>
      <c r="D2067" s="284"/>
      <c r="E2067" s="284"/>
      <c r="F2067" s="284"/>
      <c r="G2067" s="284"/>
      <c r="H2067" s="284"/>
      <c r="I2067" s="284"/>
      <c r="J2067" s="375"/>
      <c r="K2067" s="375"/>
      <c r="L2067" s="375"/>
      <c r="M2067" s="368"/>
      <c r="N2067" s="368"/>
      <c r="O2067" s="370"/>
      <c r="T2067" s="349"/>
      <c r="V2067" s="378"/>
      <c r="W2067" s="64" ph="1"/>
      <c r="X2067" s="241"/>
      <c r="Y2067" s="284"/>
      <c r="Z2067" s="207"/>
      <c r="AA2067" s="284"/>
      <c r="AB2067" s="284"/>
      <c r="AC2067" s="284"/>
      <c r="AD2067" s="284"/>
      <c r="AE2067" s="284"/>
      <c r="AF2067" s="284"/>
      <c r="AG2067" s="284"/>
    </row>
    <row r="2068" spans="1:33" ht="26.4">
      <c r="A2068" s="284"/>
      <c r="B2068" s="284"/>
      <c r="C2068" s="284"/>
      <c r="D2068" s="284"/>
      <c r="E2068" s="284"/>
      <c r="F2068" s="284"/>
      <c r="G2068" s="284"/>
      <c r="H2068" s="284"/>
      <c r="I2068" s="284"/>
      <c r="J2068" s="375"/>
      <c r="K2068" s="375"/>
      <c r="L2068" s="375"/>
      <c r="M2068" s="368"/>
      <c r="N2068" s="368"/>
      <c r="O2068" s="370"/>
      <c r="T2068" s="349"/>
      <c r="V2068" s="378"/>
      <c r="W2068" s="64" ph="1"/>
      <c r="X2068" s="241"/>
      <c r="Y2068" s="284"/>
      <c r="Z2068" s="207"/>
      <c r="AA2068" s="284"/>
      <c r="AB2068" s="284"/>
      <c r="AC2068" s="284"/>
      <c r="AD2068" s="284"/>
      <c r="AE2068" s="284"/>
      <c r="AF2068" s="284"/>
      <c r="AG2068" s="284"/>
    </row>
    <row r="2069" spans="1:33" ht="26.4">
      <c r="A2069" s="284"/>
      <c r="B2069" s="284"/>
      <c r="C2069" s="284"/>
      <c r="D2069" s="284"/>
      <c r="E2069" s="284"/>
      <c r="F2069" s="284"/>
      <c r="G2069" s="284"/>
      <c r="H2069" s="284"/>
      <c r="I2069" s="284"/>
      <c r="J2069" s="375"/>
      <c r="K2069" s="375"/>
      <c r="L2069" s="375"/>
      <c r="M2069" s="368"/>
      <c r="N2069" s="368"/>
      <c r="O2069" s="370"/>
      <c r="T2069" s="349"/>
      <c r="V2069" s="378"/>
      <c r="W2069" s="64" ph="1"/>
      <c r="X2069" s="241"/>
      <c r="Y2069" s="284"/>
      <c r="Z2069" s="207"/>
      <c r="AA2069" s="284"/>
      <c r="AB2069" s="284"/>
      <c r="AC2069" s="284"/>
      <c r="AD2069" s="284"/>
      <c r="AE2069" s="284"/>
      <c r="AF2069" s="284"/>
      <c r="AG2069" s="284"/>
    </row>
    <row r="2070" spans="1:33" ht="26.4">
      <c r="A2070" s="284"/>
      <c r="B2070" s="284"/>
      <c r="C2070" s="284"/>
      <c r="D2070" s="284"/>
      <c r="E2070" s="284"/>
      <c r="F2070" s="284"/>
      <c r="G2070" s="284"/>
      <c r="H2070" s="284"/>
      <c r="I2070" s="284"/>
      <c r="J2070" s="375"/>
      <c r="K2070" s="375"/>
      <c r="L2070" s="375"/>
      <c r="M2070" s="368"/>
      <c r="N2070" s="368"/>
      <c r="O2070" s="370"/>
      <c r="T2070" s="349"/>
      <c r="V2070" s="378"/>
      <c r="W2070" s="64" ph="1"/>
      <c r="X2070" s="241"/>
      <c r="Y2070" s="284"/>
      <c r="Z2070" s="207"/>
      <c r="AA2070" s="284"/>
      <c r="AB2070" s="284"/>
      <c r="AC2070" s="284"/>
      <c r="AD2070" s="284"/>
      <c r="AE2070" s="284"/>
      <c r="AF2070" s="284"/>
      <c r="AG2070" s="284"/>
    </row>
    <row r="2071" spans="1:33" ht="26.4">
      <c r="A2071" s="284"/>
      <c r="B2071" s="284"/>
      <c r="C2071" s="284"/>
      <c r="D2071" s="284"/>
      <c r="E2071" s="284"/>
      <c r="F2071" s="284"/>
      <c r="G2071" s="284"/>
      <c r="H2071" s="284"/>
      <c r="I2071" s="284"/>
      <c r="J2071" s="375"/>
      <c r="K2071" s="375"/>
      <c r="L2071" s="375"/>
      <c r="M2071" s="368"/>
      <c r="N2071" s="368"/>
      <c r="O2071" s="370"/>
      <c r="T2071" s="349"/>
      <c r="V2071" s="378"/>
      <c r="W2071" s="64" ph="1"/>
      <c r="X2071" s="241"/>
      <c r="Y2071" s="284"/>
      <c r="Z2071" s="207"/>
      <c r="AA2071" s="284"/>
      <c r="AB2071" s="284"/>
      <c r="AC2071" s="284"/>
      <c r="AD2071" s="284"/>
      <c r="AE2071" s="284"/>
      <c r="AF2071" s="284"/>
      <c r="AG2071" s="284"/>
    </row>
    <row r="2072" spans="1:33" ht="26.4">
      <c r="A2072" s="284"/>
      <c r="B2072" s="284"/>
      <c r="C2072" s="284"/>
      <c r="D2072" s="284"/>
      <c r="E2072" s="284"/>
      <c r="F2072" s="284"/>
      <c r="G2072" s="284"/>
      <c r="H2072" s="284"/>
      <c r="I2072" s="284"/>
      <c r="J2072" s="375"/>
      <c r="K2072" s="375"/>
      <c r="L2072" s="375"/>
      <c r="M2072" s="368"/>
      <c r="N2072" s="368"/>
      <c r="O2072" s="370"/>
      <c r="T2072" s="349"/>
      <c r="V2072" s="378"/>
      <c r="W2072" s="64" ph="1"/>
      <c r="X2072" s="241"/>
      <c r="Y2072" s="284"/>
      <c r="Z2072" s="207"/>
      <c r="AA2072" s="284"/>
      <c r="AB2072" s="284"/>
      <c r="AC2072" s="284"/>
      <c r="AD2072" s="284"/>
      <c r="AE2072" s="284"/>
      <c r="AF2072" s="284"/>
      <c r="AG2072" s="284"/>
    </row>
    <row r="2073" spans="1:33" ht="26.4">
      <c r="A2073" s="284"/>
      <c r="B2073" s="284"/>
      <c r="C2073" s="284"/>
      <c r="D2073" s="284"/>
      <c r="E2073" s="284"/>
      <c r="F2073" s="284"/>
      <c r="G2073" s="284"/>
      <c r="H2073" s="284"/>
      <c r="I2073" s="284"/>
      <c r="J2073" s="375"/>
      <c r="K2073" s="375"/>
      <c r="L2073" s="375"/>
      <c r="M2073" s="368"/>
      <c r="N2073" s="368"/>
      <c r="O2073" s="370"/>
      <c r="T2073" s="349"/>
      <c r="V2073" s="378"/>
      <c r="W2073" s="64" ph="1"/>
      <c r="X2073" s="241"/>
      <c r="Y2073" s="284"/>
      <c r="Z2073" s="207"/>
      <c r="AA2073" s="284"/>
      <c r="AB2073" s="284"/>
      <c r="AC2073" s="284"/>
      <c r="AD2073" s="284"/>
      <c r="AE2073" s="284"/>
      <c r="AF2073" s="284"/>
      <c r="AG2073" s="284"/>
    </row>
    <row r="2074" spans="1:33" ht="26.4">
      <c r="A2074" s="284"/>
      <c r="B2074" s="284"/>
      <c r="C2074" s="284"/>
      <c r="D2074" s="284"/>
      <c r="E2074" s="284"/>
      <c r="F2074" s="284"/>
      <c r="G2074" s="284"/>
      <c r="H2074" s="284"/>
      <c r="I2074" s="284"/>
      <c r="J2074" s="375"/>
      <c r="K2074" s="375"/>
      <c r="L2074" s="375"/>
      <c r="M2074" s="368"/>
      <c r="N2074" s="368"/>
      <c r="O2074" s="370"/>
      <c r="T2074" s="349"/>
      <c r="V2074" s="378"/>
      <c r="W2074" s="64" ph="1"/>
      <c r="X2074" s="241"/>
      <c r="Y2074" s="284"/>
      <c r="Z2074" s="207"/>
      <c r="AA2074" s="284"/>
      <c r="AB2074" s="284"/>
      <c r="AC2074" s="284"/>
      <c r="AD2074" s="284"/>
      <c r="AE2074" s="284"/>
      <c r="AF2074" s="284"/>
      <c r="AG2074" s="284"/>
    </row>
    <row r="2075" spans="1:33" ht="26.4">
      <c r="A2075" s="284"/>
      <c r="B2075" s="284"/>
      <c r="C2075" s="284"/>
      <c r="D2075" s="284"/>
      <c r="E2075" s="284"/>
      <c r="F2075" s="284"/>
      <c r="G2075" s="284"/>
      <c r="H2075" s="284"/>
      <c r="I2075" s="284"/>
      <c r="J2075" s="375"/>
      <c r="K2075" s="375"/>
      <c r="L2075" s="375"/>
      <c r="M2075" s="368"/>
      <c r="N2075" s="368"/>
      <c r="O2075" s="370"/>
      <c r="T2075" s="349"/>
      <c r="V2075" s="378"/>
      <c r="W2075" s="64" ph="1"/>
      <c r="X2075" s="241"/>
      <c r="Y2075" s="284"/>
      <c r="Z2075" s="207"/>
      <c r="AA2075" s="284"/>
      <c r="AB2075" s="284"/>
      <c r="AC2075" s="284"/>
      <c r="AD2075" s="284"/>
      <c r="AE2075" s="284"/>
      <c r="AF2075" s="284"/>
      <c r="AG2075" s="284"/>
    </row>
    <row r="2076" spans="1:33" ht="26.4">
      <c r="A2076" s="284"/>
      <c r="B2076" s="284"/>
      <c r="C2076" s="284"/>
      <c r="D2076" s="284"/>
      <c r="E2076" s="284"/>
      <c r="F2076" s="284"/>
      <c r="G2076" s="284"/>
      <c r="H2076" s="284"/>
      <c r="I2076" s="284"/>
      <c r="J2076" s="375"/>
      <c r="K2076" s="375"/>
      <c r="L2076" s="375"/>
      <c r="M2076" s="368"/>
      <c r="N2076" s="368"/>
      <c r="O2076" s="370"/>
      <c r="T2076" s="349"/>
      <c r="V2076" s="378"/>
      <c r="W2076" s="64" ph="1"/>
      <c r="X2076" s="241"/>
      <c r="Y2076" s="284"/>
      <c r="Z2076" s="207"/>
      <c r="AA2076" s="284"/>
      <c r="AB2076" s="284"/>
      <c r="AC2076" s="284"/>
      <c r="AD2076" s="284"/>
      <c r="AE2076" s="284"/>
      <c r="AF2076" s="284"/>
      <c r="AG2076" s="284"/>
    </row>
    <row r="2077" spans="1:33" ht="26.4">
      <c r="A2077" s="284"/>
      <c r="B2077" s="284"/>
      <c r="C2077" s="284"/>
      <c r="D2077" s="284"/>
      <c r="E2077" s="284"/>
      <c r="F2077" s="284"/>
      <c r="G2077" s="284"/>
      <c r="H2077" s="284"/>
      <c r="I2077" s="284"/>
      <c r="J2077" s="375"/>
      <c r="K2077" s="375"/>
      <c r="L2077" s="375"/>
      <c r="M2077" s="368"/>
      <c r="N2077" s="368"/>
      <c r="O2077" s="370"/>
      <c r="T2077" s="349"/>
      <c r="V2077" s="378"/>
      <c r="W2077" s="64" ph="1"/>
      <c r="X2077" s="241"/>
      <c r="Y2077" s="284"/>
      <c r="Z2077" s="207"/>
      <c r="AA2077" s="284"/>
      <c r="AB2077" s="284"/>
      <c r="AC2077" s="284"/>
      <c r="AD2077" s="284"/>
      <c r="AE2077" s="284"/>
      <c r="AF2077" s="284"/>
      <c r="AG2077" s="284"/>
    </row>
    <row r="2078" spans="1:33" ht="26.4">
      <c r="A2078" s="284"/>
      <c r="B2078" s="284"/>
      <c r="C2078" s="284"/>
      <c r="D2078" s="284"/>
      <c r="E2078" s="284"/>
      <c r="F2078" s="284"/>
      <c r="G2078" s="284"/>
      <c r="H2078" s="284"/>
      <c r="I2078" s="284"/>
      <c r="J2078" s="375"/>
      <c r="K2078" s="375"/>
      <c r="L2078" s="375"/>
      <c r="M2078" s="368"/>
      <c r="N2078" s="368"/>
      <c r="O2078" s="370"/>
      <c r="T2078" s="349"/>
      <c r="V2078" s="378"/>
      <c r="W2078" s="64" ph="1"/>
      <c r="X2078" s="241"/>
      <c r="Y2078" s="284"/>
      <c r="Z2078" s="207"/>
      <c r="AA2078" s="284"/>
      <c r="AB2078" s="284"/>
      <c r="AC2078" s="284"/>
      <c r="AD2078" s="284"/>
      <c r="AE2078" s="284"/>
      <c r="AF2078" s="284"/>
      <c r="AG2078" s="284"/>
    </row>
    <row r="2079" spans="1:33" ht="26.4">
      <c r="A2079" s="284"/>
      <c r="B2079" s="284"/>
      <c r="C2079" s="284"/>
      <c r="D2079" s="284"/>
      <c r="E2079" s="284"/>
      <c r="F2079" s="284"/>
      <c r="G2079" s="284"/>
      <c r="H2079" s="284"/>
      <c r="I2079" s="284"/>
      <c r="J2079" s="375"/>
      <c r="K2079" s="375"/>
      <c r="L2079" s="375"/>
      <c r="M2079" s="368"/>
      <c r="N2079" s="368"/>
      <c r="O2079" s="370"/>
      <c r="T2079" s="349"/>
      <c r="V2079" s="378"/>
      <c r="W2079" s="64" ph="1"/>
      <c r="X2079" s="241"/>
      <c r="Y2079" s="284"/>
      <c r="Z2079" s="207"/>
      <c r="AA2079" s="284"/>
      <c r="AB2079" s="284"/>
      <c r="AC2079" s="284"/>
      <c r="AD2079" s="284"/>
      <c r="AE2079" s="284"/>
      <c r="AF2079" s="284"/>
      <c r="AG2079" s="284"/>
    </row>
    <row r="2080" spans="1:33" ht="26.4">
      <c r="A2080" s="284"/>
      <c r="B2080" s="284"/>
      <c r="C2080" s="284"/>
      <c r="D2080" s="284"/>
      <c r="E2080" s="284"/>
      <c r="F2080" s="284"/>
      <c r="G2080" s="284"/>
      <c r="H2080" s="284"/>
      <c r="I2080" s="284"/>
      <c r="J2080" s="375"/>
      <c r="K2080" s="375"/>
      <c r="L2080" s="375"/>
      <c r="M2080" s="368"/>
      <c r="N2080" s="368"/>
      <c r="O2080" s="370"/>
      <c r="T2080" s="349"/>
      <c r="V2080" s="378"/>
      <c r="W2080" s="64" ph="1"/>
      <c r="X2080" s="241"/>
      <c r="Y2080" s="284"/>
      <c r="Z2080" s="207"/>
      <c r="AA2080" s="284"/>
      <c r="AB2080" s="284"/>
      <c r="AC2080" s="284"/>
      <c r="AD2080" s="284"/>
      <c r="AE2080" s="284"/>
      <c r="AF2080" s="284"/>
      <c r="AG2080" s="284"/>
    </row>
    <row r="2081" spans="1:33" ht="26.4">
      <c r="A2081" s="284"/>
      <c r="B2081" s="284"/>
      <c r="C2081" s="284"/>
      <c r="D2081" s="284"/>
      <c r="E2081" s="284"/>
      <c r="F2081" s="284"/>
      <c r="G2081" s="284"/>
      <c r="H2081" s="284"/>
      <c r="I2081" s="284"/>
      <c r="J2081" s="375"/>
      <c r="K2081" s="375"/>
      <c r="L2081" s="375"/>
      <c r="M2081" s="368"/>
      <c r="N2081" s="368"/>
      <c r="O2081" s="370"/>
      <c r="T2081" s="349"/>
      <c r="V2081" s="378"/>
      <c r="W2081" s="64" ph="1"/>
      <c r="X2081" s="241"/>
      <c r="Y2081" s="284"/>
      <c r="Z2081" s="207"/>
      <c r="AA2081" s="284"/>
      <c r="AB2081" s="284"/>
      <c r="AC2081" s="284"/>
      <c r="AD2081" s="284"/>
      <c r="AE2081" s="284"/>
      <c r="AF2081" s="284"/>
      <c r="AG2081" s="284"/>
    </row>
    <row r="2082" spans="1:33" ht="26.4">
      <c r="A2082" s="284"/>
      <c r="B2082" s="284"/>
      <c r="C2082" s="284"/>
      <c r="D2082" s="284"/>
      <c r="E2082" s="284"/>
      <c r="F2082" s="284"/>
      <c r="G2082" s="284"/>
      <c r="H2082" s="284"/>
      <c r="I2082" s="284"/>
      <c r="J2082" s="375"/>
      <c r="K2082" s="375"/>
      <c r="L2082" s="375"/>
      <c r="M2082" s="368"/>
      <c r="N2082" s="368"/>
      <c r="O2082" s="370"/>
      <c r="T2082" s="349"/>
      <c r="V2082" s="378"/>
      <c r="W2082" s="64" ph="1"/>
      <c r="X2082" s="241"/>
      <c r="Y2082" s="284"/>
      <c r="Z2082" s="207"/>
      <c r="AA2082" s="284"/>
      <c r="AB2082" s="284"/>
      <c r="AC2082" s="284"/>
      <c r="AD2082" s="284"/>
      <c r="AE2082" s="284"/>
      <c r="AF2082" s="284"/>
      <c r="AG2082" s="284"/>
    </row>
    <row r="2083" spans="1:33" ht="26.4">
      <c r="A2083" s="284"/>
      <c r="B2083" s="284"/>
      <c r="C2083" s="284"/>
      <c r="D2083" s="284"/>
      <c r="E2083" s="284"/>
      <c r="F2083" s="284"/>
      <c r="G2083" s="284"/>
      <c r="H2083" s="284"/>
      <c r="I2083" s="284"/>
      <c r="J2083" s="375"/>
      <c r="K2083" s="375"/>
      <c r="L2083" s="375"/>
      <c r="M2083" s="368"/>
      <c r="N2083" s="368"/>
      <c r="O2083" s="370"/>
      <c r="T2083" s="349"/>
      <c r="V2083" s="378"/>
      <c r="W2083" s="64" ph="1"/>
      <c r="X2083" s="241"/>
      <c r="Y2083" s="284"/>
      <c r="Z2083" s="207"/>
      <c r="AA2083" s="284"/>
      <c r="AB2083" s="284"/>
      <c r="AC2083" s="284"/>
      <c r="AD2083" s="284"/>
      <c r="AE2083" s="284"/>
      <c r="AF2083" s="284"/>
      <c r="AG2083" s="284"/>
    </row>
    <row r="2084" spans="1:33" ht="26.4">
      <c r="A2084" s="284"/>
      <c r="B2084" s="284"/>
      <c r="C2084" s="284"/>
      <c r="D2084" s="284"/>
      <c r="E2084" s="284"/>
      <c r="F2084" s="284"/>
      <c r="G2084" s="284"/>
      <c r="H2084" s="284"/>
      <c r="I2084" s="284"/>
      <c r="J2084" s="375"/>
      <c r="K2084" s="375"/>
      <c r="L2084" s="375"/>
      <c r="M2084" s="368"/>
      <c r="N2084" s="368"/>
      <c r="O2084" s="370"/>
      <c r="T2084" s="349"/>
      <c r="V2084" s="378"/>
      <c r="W2084" s="64" ph="1"/>
      <c r="X2084" s="241"/>
      <c r="Y2084" s="284"/>
      <c r="Z2084" s="207"/>
      <c r="AA2084" s="284"/>
      <c r="AB2084" s="284"/>
      <c r="AC2084" s="284"/>
      <c r="AD2084" s="284"/>
      <c r="AE2084" s="284"/>
      <c r="AF2084" s="284"/>
      <c r="AG2084" s="284"/>
    </row>
    <row r="2085" spans="1:33" ht="26.4">
      <c r="A2085" s="284"/>
      <c r="B2085" s="284"/>
      <c r="C2085" s="284"/>
      <c r="D2085" s="284"/>
      <c r="E2085" s="284"/>
      <c r="F2085" s="284"/>
      <c r="G2085" s="284"/>
      <c r="H2085" s="284"/>
      <c r="I2085" s="284"/>
      <c r="J2085" s="375"/>
      <c r="K2085" s="375"/>
      <c r="L2085" s="375"/>
      <c r="M2085" s="368"/>
      <c r="N2085" s="368"/>
      <c r="O2085" s="370"/>
      <c r="T2085" s="349"/>
      <c r="V2085" s="378"/>
      <c r="W2085" s="64" ph="1"/>
      <c r="X2085" s="241"/>
      <c r="Y2085" s="284"/>
      <c r="Z2085" s="207"/>
      <c r="AA2085" s="284"/>
      <c r="AB2085" s="284"/>
      <c r="AC2085" s="284"/>
      <c r="AD2085" s="284"/>
      <c r="AE2085" s="284"/>
      <c r="AF2085" s="284"/>
      <c r="AG2085" s="284"/>
    </row>
    <row r="2086" spans="1:33" ht="26.4">
      <c r="A2086" s="284"/>
      <c r="B2086" s="284"/>
      <c r="C2086" s="284"/>
      <c r="D2086" s="284"/>
      <c r="E2086" s="284"/>
      <c r="F2086" s="284"/>
      <c r="G2086" s="284"/>
      <c r="H2086" s="284"/>
      <c r="I2086" s="284"/>
      <c r="J2086" s="375"/>
      <c r="K2086" s="375"/>
      <c r="L2086" s="375"/>
      <c r="M2086" s="368"/>
      <c r="N2086" s="368"/>
      <c r="O2086" s="370"/>
      <c r="T2086" s="349"/>
      <c r="V2086" s="378"/>
      <c r="W2086" s="64" ph="1"/>
      <c r="X2086" s="241"/>
      <c r="Y2086" s="284"/>
      <c r="Z2086" s="207"/>
      <c r="AA2086" s="284"/>
      <c r="AB2086" s="284"/>
      <c r="AC2086" s="284"/>
      <c r="AD2086" s="284"/>
      <c r="AE2086" s="284"/>
      <c r="AF2086" s="284"/>
      <c r="AG2086" s="284"/>
    </row>
    <row r="2087" spans="1:33" ht="26.4">
      <c r="A2087" s="284"/>
      <c r="B2087" s="284"/>
      <c r="C2087" s="284"/>
      <c r="D2087" s="284"/>
      <c r="E2087" s="284"/>
      <c r="F2087" s="284"/>
      <c r="G2087" s="284"/>
      <c r="H2087" s="284"/>
      <c r="I2087" s="284"/>
      <c r="J2087" s="375"/>
      <c r="K2087" s="375"/>
      <c r="L2087" s="375"/>
      <c r="M2087" s="368"/>
      <c r="N2087" s="368"/>
      <c r="O2087" s="370"/>
      <c r="T2087" s="349"/>
      <c r="V2087" s="378"/>
      <c r="W2087" s="64" ph="1"/>
      <c r="X2087" s="241"/>
      <c r="Y2087" s="284"/>
      <c r="Z2087" s="207"/>
      <c r="AA2087" s="284"/>
      <c r="AB2087" s="284"/>
      <c r="AC2087" s="284"/>
      <c r="AD2087" s="284"/>
      <c r="AE2087" s="284"/>
      <c r="AF2087" s="284"/>
      <c r="AG2087" s="284"/>
    </row>
    <row r="2088" spans="1:33" ht="26.4">
      <c r="A2088" s="284"/>
      <c r="B2088" s="284"/>
      <c r="C2088" s="284"/>
      <c r="D2088" s="284"/>
      <c r="E2088" s="284"/>
      <c r="F2088" s="284"/>
      <c r="G2088" s="284"/>
      <c r="H2088" s="284"/>
      <c r="I2088" s="284"/>
      <c r="J2088" s="375"/>
      <c r="K2088" s="375"/>
      <c r="L2088" s="375"/>
      <c r="M2088" s="368"/>
      <c r="N2088" s="368"/>
      <c r="O2088" s="370"/>
      <c r="T2088" s="349"/>
      <c r="V2088" s="378"/>
      <c r="W2088" s="64" ph="1"/>
      <c r="X2088" s="241"/>
      <c r="Y2088" s="284"/>
      <c r="Z2088" s="207"/>
      <c r="AA2088" s="284"/>
      <c r="AB2088" s="284"/>
      <c r="AC2088" s="284"/>
      <c r="AD2088" s="284"/>
      <c r="AE2088" s="284"/>
      <c r="AF2088" s="284"/>
      <c r="AG2088" s="284"/>
    </row>
    <row r="2089" spans="1:33" ht="26.4">
      <c r="A2089" s="284"/>
      <c r="B2089" s="284"/>
      <c r="C2089" s="284"/>
      <c r="D2089" s="284"/>
      <c r="E2089" s="284"/>
      <c r="F2089" s="284"/>
      <c r="G2089" s="284"/>
      <c r="H2089" s="284"/>
      <c r="I2089" s="284"/>
      <c r="J2089" s="375"/>
      <c r="K2089" s="375"/>
      <c r="L2089" s="375"/>
      <c r="M2089" s="368"/>
      <c r="N2089" s="368"/>
      <c r="O2089" s="370"/>
      <c r="T2089" s="349"/>
      <c r="V2089" s="378"/>
      <c r="W2089" s="64" ph="1"/>
      <c r="X2089" s="241"/>
      <c r="Y2089" s="284"/>
      <c r="Z2089" s="207"/>
      <c r="AA2089" s="284"/>
      <c r="AB2089" s="284"/>
      <c r="AC2089" s="284"/>
      <c r="AD2089" s="284"/>
      <c r="AE2089" s="284"/>
      <c r="AF2089" s="284"/>
      <c r="AG2089" s="284"/>
    </row>
    <row r="2090" spans="1:33" ht="26.4">
      <c r="A2090" s="284"/>
      <c r="B2090" s="284"/>
      <c r="C2090" s="284"/>
      <c r="D2090" s="284"/>
      <c r="E2090" s="284"/>
      <c r="F2090" s="284"/>
      <c r="G2090" s="284"/>
      <c r="H2090" s="284"/>
      <c r="I2090" s="284"/>
      <c r="J2090" s="375"/>
      <c r="K2090" s="375"/>
      <c r="L2090" s="375"/>
      <c r="M2090" s="368"/>
      <c r="N2090" s="368"/>
      <c r="O2090" s="370"/>
      <c r="T2090" s="349"/>
      <c r="V2090" s="378"/>
      <c r="W2090" s="64" ph="1"/>
      <c r="X2090" s="241"/>
      <c r="Y2090" s="284"/>
      <c r="Z2090" s="207"/>
      <c r="AA2090" s="284"/>
      <c r="AB2090" s="284"/>
      <c r="AC2090" s="284"/>
      <c r="AD2090" s="284"/>
      <c r="AE2090" s="284"/>
      <c r="AF2090" s="284"/>
      <c r="AG2090" s="284"/>
    </row>
    <row r="2091" spans="1:33" ht="26.4">
      <c r="A2091" s="284"/>
      <c r="B2091" s="284"/>
      <c r="C2091" s="284"/>
      <c r="D2091" s="284"/>
      <c r="E2091" s="284"/>
      <c r="F2091" s="284"/>
      <c r="G2091" s="284"/>
      <c r="H2091" s="284"/>
      <c r="I2091" s="284"/>
      <c r="J2091" s="375"/>
      <c r="K2091" s="375"/>
      <c r="L2091" s="375"/>
      <c r="M2091" s="368"/>
      <c r="N2091" s="368"/>
      <c r="O2091" s="370"/>
      <c r="T2091" s="349"/>
      <c r="V2091" s="378"/>
      <c r="W2091" s="64" ph="1"/>
      <c r="X2091" s="241"/>
      <c r="Y2091" s="284"/>
      <c r="Z2091" s="207"/>
      <c r="AA2091" s="284"/>
      <c r="AB2091" s="284"/>
      <c r="AC2091" s="284"/>
      <c r="AD2091" s="284"/>
      <c r="AE2091" s="284"/>
      <c r="AF2091" s="284"/>
      <c r="AG2091" s="284"/>
    </row>
    <row r="2092" spans="1:33" ht="26.4">
      <c r="A2092" s="284"/>
      <c r="B2092" s="284"/>
      <c r="C2092" s="284"/>
      <c r="D2092" s="284"/>
      <c r="E2092" s="284"/>
      <c r="F2092" s="284"/>
      <c r="G2092" s="284"/>
      <c r="H2092" s="284"/>
      <c r="I2092" s="284"/>
      <c r="J2092" s="375"/>
      <c r="K2092" s="375"/>
      <c r="L2092" s="375"/>
      <c r="M2092" s="368"/>
      <c r="N2092" s="368"/>
      <c r="O2092" s="370"/>
      <c r="T2092" s="349"/>
      <c r="V2092" s="378"/>
      <c r="W2092" s="64" ph="1"/>
      <c r="X2092" s="241"/>
      <c r="Y2092" s="284"/>
      <c r="Z2092" s="207"/>
      <c r="AA2092" s="284"/>
      <c r="AB2092" s="284"/>
      <c r="AC2092" s="284"/>
      <c r="AD2092" s="284"/>
      <c r="AE2092" s="284"/>
      <c r="AF2092" s="284"/>
      <c r="AG2092" s="284"/>
    </row>
    <row r="2093" spans="1:33" ht="26.4">
      <c r="A2093" s="284"/>
      <c r="B2093" s="284"/>
      <c r="C2093" s="284"/>
      <c r="D2093" s="284"/>
      <c r="E2093" s="284"/>
      <c r="F2093" s="284"/>
      <c r="G2093" s="284"/>
      <c r="H2093" s="284"/>
      <c r="I2093" s="284"/>
      <c r="J2093" s="375"/>
      <c r="K2093" s="375"/>
      <c r="L2093" s="375"/>
      <c r="M2093" s="368"/>
      <c r="N2093" s="368"/>
      <c r="O2093" s="370"/>
      <c r="T2093" s="349"/>
      <c r="V2093" s="378"/>
      <c r="W2093" s="64" ph="1"/>
      <c r="X2093" s="241"/>
      <c r="Y2093" s="284"/>
      <c r="Z2093" s="207"/>
      <c r="AA2093" s="284"/>
      <c r="AB2093" s="284"/>
      <c r="AC2093" s="284"/>
      <c r="AD2093" s="284"/>
      <c r="AE2093" s="284"/>
      <c r="AF2093" s="284"/>
      <c r="AG2093" s="284"/>
    </row>
    <row r="2094" spans="1:33" ht="26.4">
      <c r="A2094" s="284"/>
      <c r="B2094" s="284"/>
      <c r="C2094" s="284"/>
      <c r="D2094" s="284"/>
      <c r="E2094" s="284"/>
      <c r="F2094" s="284"/>
      <c r="G2094" s="284"/>
      <c r="H2094" s="284"/>
      <c r="I2094" s="284"/>
      <c r="J2094" s="375"/>
      <c r="K2094" s="375"/>
      <c r="L2094" s="375"/>
      <c r="M2094" s="368"/>
      <c r="N2094" s="368"/>
      <c r="O2094" s="370"/>
      <c r="T2094" s="349"/>
      <c r="V2094" s="378"/>
      <c r="W2094" s="64" ph="1"/>
      <c r="X2094" s="241"/>
      <c r="Y2094" s="284"/>
      <c r="Z2094" s="207"/>
      <c r="AA2094" s="284"/>
      <c r="AB2094" s="284"/>
      <c r="AC2094" s="284"/>
      <c r="AD2094" s="284"/>
      <c r="AE2094" s="284"/>
      <c r="AF2094" s="284"/>
      <c r="AG2094" s="284"/>
    </row>
    <row r="2095" spans="1:33" ht="26.4">
      <c r="A2095" s="284"/>
      <c r="B2095" s="284"/>
      <c r="C2095" s="284"/>
      <c r="D2095" s="284"/>
      <c r="E2095" s="284"/>
      <c r="F2095" s="284"/>
      <c r="G2095" s="284"/>
      <c r="H2095" s="284"/>
      <c r="I2095" s="284"/>
      <c r="J2095" s="375"/>
      <c r="K2095" s="375"/>
      <c r="L2095" s="375"/>
      <c r="M2095" s="368"/>
      <c r="N2095" s="368"/>
      <c r="O2095" s="370"/>
      <c r="T2095" s="349"/>
      <c r="V2095" s="378"/>
      <c r="W2095" s="64" ph="1"/>
      <c r="X2095" s="241"/>
      <c r="Y2095" s="284"/>
      <c r="Z2095" s="207"/>
      <c r="AA2095" s="284"/>
      <c r="AB2095" s="284"/>
      <c r="AC2095" s="284"/>
      <c r="AD2095" s="284"/>
      <c r="AE2095" s="284"/>
      <c r="AF2095" s="284"/>
      <c r="AG2095" s="284"/>
    </row>
    <row r="2096" spans="1:33" ht="26.4">
      <c r="A2096" s="284"/>
      <c r="B2096" s="284"/>
      <c r="C2096" s="284"/>
      <c r="D2096" s="284"/>
      <c r="E2096" s="284"/>
      <c r="F2096" s="284"/>
      <c r="G2096" s="284"/>
      <c r="H2096" s="284"/>
      <c r="I2096" s="284"/>
      <c r="J2096" s="375"/>
      <c r="K2096" s="375"/>
      <c r="L2096" s="375"/>
      <c r="M2096" s="368"/>
      <c r="N2096" s="368"/>
      <c r="O2096" s="370"/>
      <c r="T2096" s="349"/>
      <c r="V2096" s="378"/>
      <c r="W2096" s="64" ph="1"/>
      <c r="X2096" s="241"/>
      <c r="Y2096" s="284"/>
      <c r="Z2096" s="207"/>
      <c r="AA2096" s="284"/>
      <c r="AB2096" s="284"/>
      <c r="AC2096" s="284"/>
      <c r="AD2096" s="284"/>
      <c r="AE2096" s="284"/>
      <c r="AF2096" s="284"/>
      <c r="AG2096" s="284"/>
    </row>
    <row r="2097" spans="1:33" ht="26.4">
      <c r="A2097" s="284"/>
      <c r="B2097" s="284"/>
      <c r="C2097" s="284"/>
      <c r="D2097" s="284"/>
      <c r="E2097" s="284"/>
      <c r="F2097" s="284"/>
      <c r="G2097" s="284"/>
      <c r="H2097" s="284"/>
      <c r="I2097" s="284"/>
      <c r="J2097" s="375"/>
      <c r="K2097" s="375"/>
      <c r="L2097" s="375"/>
      <c r="M2097" s="368"/>
      <c r="N2097" s="368"/>
      <c r="O2097" s="370"/>
      <c r="T2097" s="349"/>
      <c r="V2097" s="378"/>
      <c r="W2097" s="64" ph="1"/>
      <c r="X2097" s="241"/>
      <c r="Y2097" s="284"/>
      <c r="Z2097" s="207"/>
      <c r="AA2097" s="284"/>
      <c r="AB2097" s="284"/>
      <c r="AC2097" s="284"/>
      <c r="AD2097" s="284"/>
      <c r="AE2097" s="284"/>
      <c r="AF2097" s="284"/>
      <c r="AG2097" s="284"/>
    </row>
    <row r="2098" spans="1:33" ht="26.4">
      <c r="A2098" s="284"/>
      <c r="B2098" s="284"/>
      <c r="C2098" s="284"/>
      <c r="D2098" s="284"/>
      <c r="E2098" s="284"/>
      <c r="F2098" s="284"/>
      <c r="G2098" s="284"/>
      <c r="H2098" s="284"/>
      <c r="I2098" s="284"/>
      <c r="J2098" s="375"/>
      <c r="K2098" s="375"/>
      <c r="L2098" s="375"/>
      <c r="M2098" s="368"/>
      <c r="N2098" s="368"/>
      <c r="O2098" s="370"/>
      <c r="T2098" s="349"/>
      <c r="V2098" s="378"/>
      <c r="W2098" s="64" ph="1"/>
      <c r="X2098" s="241"/>
      <c r="Y2098" s="284"/>
      <c r="Z2098" s="207"/>
      <c r="AA2098" s="284"/>
      <c r="AB2098" s="284"/>
      <c r="AC2098" s="284"/>
      <c r="AD2098" s="284"/>
      <c r="AE2098" s="284"/>
      <c r="AF2098" s="284"/>
      <c r="AG2098" s="284"/>
    </row>
    <row r="2099" spans="1:33" ht="26.4">
      <c r="A2099" s="284"/>
      <c r="B2099" s="284"/>
      <c r="C2099" s="284"/>
      <c r="D2099" s="284"/>
      <c r="E2099" s="284"/>
      <c r="F2099" s="284"/>
      <c r="G2099" s="284"/>
      <c r="H2099" s="284"/>
      <c r="I2099" s="284"/>
      <c r="J2099" s="375"/>
      <c r="K2099" s="375"/>
      <c r="L2099" s="375"/>
      <c r="M2099" s="368"/>
      <c r="N2099" s="368"/>
      <c r="O2099" s="370"/>
      <c r="T2099" s="349"/>
      <c r="V2099" s="378"/>
      <c r="W2099" s="64" ph="1"/>
      <c r="X2099" s="241"/>
      <c r="Y2099" s="284"/>
      <c r="Z2099" s="207"/>
      <c r="AA2099" s="284"/>
      <c r="AB2099" s="284"/>
      <c r="AC2099" s="284"/>
      <c r="AD2099" s="284"/>
      <c r="AE2099" s="284"/>
      <c r="AF2099" s="284"/>
      <c r="AG2099" s="284"/>
    </row>
    <row r="2100" spans="1:33" ht="26.4">
      <c r="A2100" s="284"/>
      <c r="B2100" s="284"/>
      <c r="C2100" s="284"/>
      <c r="D2100" s="284"/>
      <c r="E2100" s="284"/>
      <c r="F2100" s="284"/>
      <c r="G2100" s="284"/>
      <c r="H2100" s="284"/>
      <c r="I2100" s="284"/>
      <c r="J2100" s="375"/>
      <c r="K2100" s="375"/>
      <c r="L2100" s="375"/>
      <c r="M2100" s="368"/>
      <c r="N2100" s="368"/>
      <c r="O2100" s="370"/>
      <c r="T2100" s="349"/>
      <c r="V2100" s="378"/>
      <c r="W2100" s="64" ph="1"/>
      <c r="X2100" s="241"/>
      <c r="Y2100" s="284"/>
      <c r="Z2100" s="207"/>
      <c r="AA2100" s="284"/>
      <c r="AB2100" s="284"/>
      <c r="AC2100" s="284"/>
      <c r="AD2100" s="284"/>
      <c r="AE2100" s="284"/>
      <c r="AF2100" s="284"/>
      <c r="AG2100" s="284"/>
    </row>
    <row r="2101" spans="1:33" ht="26.4">
      <c r="A2101" s="284"/>
      <c r="B2101" s="284"/>
      <c r="C2101" s="284"/>
      <c r="D2101" s="284"/>
      <c r="E2101" s="284"/>
      <c r="F2101" s="284"/>
      <c r="G2101" s="284"/>
      <c r="H2101" s="284"/>
      <c r="I2101" s="284"/>
      <c r="J2101" s="375"/>
      <c r="K2101" s="375"/>
      <c r="L2101" s="375"/>
      <c r="M2101" s="368"/>
      <c r="N2101" s="368"/>
      <c r="O2101" s="370"/>
      <c r="T2101" s="349"/>
      <c r="V2101" s="378"/>
      <c r="W2101" s="64" ph="1"/>
      <c r="X2101" s="241"/>
      <c r="Y2101" s="284"/>
      <c r="Z2101" s="207"/>
      <c r="AA2101" s="284"/>
      <c r="AB2101" s="284"/>
      <c r="AC2101" s="284"/>
      <c r="AD2101" s="284"/>
      <c r="AE2101" s="284"/>
      <c r="AF2101" s="284"/>
      <c r="AG2101" s="284"/>
    </row>
    <row r="2102" spans="1:33" ht="26.4">
      <c r="A2102" s="284"/>
      <c r="B2102" s="284"/>
      <c r="C2102" s="284"/>
      <c r="D2102" s="284"/>
      <c r="E2102" s="284"/>
      <c r="F2102" s="284"/>
      <c r="G2102" s="284"/>
      <c r="H2102" s="284"/>
      <c r="I2102" s="284"/>
      <c r="J2102" s="375"/>
      <c r="K2102" s="375"/>
      <c r="L2102" s="375"/>
      <c r="M2102" s="368"/>
      <c r="N2102" s="368"/>
      <c r="O2102" s="370"/>
      <c r="T2102" s="349"/>
      <c r="V2102" s="378"/>
      <c r="W2102" s="64" ph="1"/>
      <c r="X2102" s="241"/>
      <c r="Y2102" s="284"/>
      <c r="Z2102" s="207"/>
      <c r="AA2102" s="284"/>
      <c r="AB2102" s="284"/>
      <c r="AC2102" s="284"/>
      <c r="AD2102" s="284"/>
      <c r="AE2102" s="284"/>
      <c r="AF2102" s="284"/>
      <c r="AG2102" s="284"/>
    </row>
    <row r="2103" spans="1:33" ht="26.4">
      <c r="A2103" s="284"/>
      <c r="B2103" s="284"/>
      <c r="C2103" s="284"/>
      <c r="D2103" s="284"/>
      <c r="E2103" s="284"/>
      <c r="F2103" s="284"/>
      <c r="G2103" s="284"/>
      <c r="H2103" s="284"/>
      <c r="I2103" s="284"/>
      <c r="J2103" s="375"/>
      <c r="K2103" s="375"/>
      <c r="L2103" s="375"/>
      <c r="M2103" s="368"/>
      <c r="N2103" s="368"/>
      <c r="O2103" s="370"/>
      <c r="T2103" s="349"/>
      <c r="V2103" s="378"/>
      <c r="W2103" s="64" ph="1"/>
      <c r="X2103" s="241"/>
      <c r="Y2103" s="284"/>
      <c r="Z2103" s="207"/>
      <c r="AA2103" s="284"/>
      <c r="AB2103" s="284"/>
      <c r="AC2103" s="284"/>
      <c r="AD2103" s="284"/>
      <c r="AE2103" s="284"/>
      <c r="AF2103" s="284"/>
      <c r="AG2103" s="284"/>
    </row>
    <row r="2104" spans="1:33" ht="26.4">
      <c r="A2104" s="284"/>
      <c r="B2104" s="284"/>
      <c r="C2104" s="284"/>
      <c r="D2104" s="284"/>
      <c r="E2104" s="284"/>
      <c r="F2104" s="284"/>
      <c r="G2104" s="284"/>
      <c r="H2104" s="284"/>
      <c r="I2104" s="284"/>
      <c r="J2104" s="375"/>
      <c r="K2104" s="375"/>
      <c r="L2104" s="375"/>
      <c r="M2104" s="368"/>
      <c r="N2104" s="368"/>
      <c r="O2104" s="370"/>
      <c r="T2104" s="349"/>
      <c r="V2104" s="378"/>
      <c r="W2104" s="64" ph="1"/>
      <c r="X2104" s="241"/>
      <c r="Y2104" s="284"/>
      <c r="Z2104" s="207"/>
      <c r="AA2104" s="284"/>
      <c r="AB2104" s="284"/>
      <c r="AC2104" s="284"/>
      <c r="AD2104" s="284"/>
      <c r="AE2104" s="284"/>
      <c r="AF2104" s="284"/>
      <c r="AG2104" s="284"/>
    </row>
    <row r="2105" spans="1:33" ht="26.4">
      <c r="A2105" s="284"/>
      <c r="B2105" s="284"/>
      <c r="C2105" s="284"/>
      <c r="D2105" s="284"/>
      <c r="E2105" s="284"/>
      <c r="F2105" s="284"/>
      <c r="G2105" s="284"/>
      <c r="H2105" s="284"/>
      <c r="I2105" s="284"/>
      <c r="J2105" s="375"/>
      <c r="K2105" s="375"/>
      <c r="L2105" s="375"/>
      <c r="M2105" s="368"/>
      <c r="N2105" s="368"/>
      <c r="O2105" s="370"/>
      <c r="T2105" s="349"/>
      <c r="V2105" s="378"/>
      <c r="W2105" s="64" ph="1"/>
      <c r="X2105" s="241"/>
      <c r="Y2105" s="284"/>
      <c r="Z2105" s="207"/>
      <c r="AA2105" s="284"/>
      <c r="AB2105" s="284"/>
      <c r="AC2105" s="284"/>
      <c r="AD2105" s="284"/>
      <c r="AE2105" s="284"/>
      <c r="AF2105" s="284"/>
      <c r="AG2105" s="284"/>
    </row>
    <row r="2106" spans="1:33" ht="26.4">
      <c r="A2106" s="284"/>
      <c r="B2106" s="284"/>
      <c r="C2106" s="284"/>
      <c r="D2106" s="284"/>
      <c r="E2106" s="284"/>
      <c r="F2106" s="284"/>
      <c r="G2106" s="284"/>
      <c r="H2106" s="284"/>
      <c r="I2106" s="284"/>
      <c r="J2106" s="375"/>
      <c r="K2106" s="375"/>
      <c r="L2106" s="375"/>
      <c r="M2106" s="368"/>
      <c r="N2106" s="368"/>
      <c r="O2106" s="370"/>
      <c r="T2106" s="349"/>
      <c r="V2106" s="378"/>
      <c r="W2106" s="64" ph="1"/>
      <c r="X2106" s="241"/>
      <c r="Y2106" s="284"/>
      <c r="Z2106" s="207"/>
      <c r="AA2106" s="284"/>
      <c r="AB2106" s="284"/>
      <c r="AC2106" s="284"/>
      <c r="AD2106" s="284"/>
      <c r="AE2106" s="284"/>
      <c r="AF2106" s="284"/>
      <c r="AG2106" s="284"/>
    </row>
    <row r="2107" spans="1:33" ht="26.4">
      <c r="A2107" s="284"/>
      <c r="B2107" s="284"/>
      <c r="C2107" s="284"/>
      <c r="D2107" s="284"/>
      <c r="E2107" s="284"/>
      <c r="F2107" s="284"/>
      <c r="G2107" s="284"/>
      <c r="H2107" s="284"/>
      <c r="I2107" s="284"/>
      <c r="J2107" s="375"/>
      <c r="K2107" s="375"/>
      <c r="L2107" s="375"/>
      <c r="M2107" s="368"/>
      <c r="N2107" s="368"/>
      <c r="O2107" s="370"/>
      <c r="T2107" s="349"/>
      <c r="V2107" s="378"/>
      <c r="W2107" s="64" ph="1"/>
      <c r="X2107" s="241"/>
      <c r="Y2107" s="284"/>
      <c r="Z2107" s="207"/>
      <c r="AA2107" s="284"/>
      <c r="AB2107" s="284"/>
      <c r="AC2107" s="284"/>
      <c r="AD2107" s="284"/>
      <c r="AE2107" s="284"/>
      <c r="AF2107" s="284"/>
      <c r="AG2107" s="284"/>
    </row>
    <row r="2108" spans="1:33" ht="26.4">
      <c r="A2108" s="284"/>
      <c r="B2108" s="284"/>
      <c r="C2108" s="284"/>
      <c r="D2108" s="284"/>
      <c r="E2108" s="284"/>
      <c r="F2108" s="284"/>
      <c r="G2108" s="284"/>
      <c r="H2108" s="284"/>
      <c r="I2108" s="284"/>
      <c r="J2108" s="375"/>
      <c r="K2108" s="375"/>
      <c r="L2108" s="375"/>
      <c r="M2108" s="368"/>
      <c r="N2108" s="368"/>
      <c r="O2108" s="370"/>
      <c r="T2108" s="349"/>
      <c r="V2108" s="378"/>
      <c r="W2108" s="64" ph="1"/>
      <c r="X2108" s="241"/>
      <c r="Y2108" s="284"/>
      <c r="Z2108" s="207"/>
      <c r="AA2108" s="284"/>
      <c r="AB2108" s="284"/>
      <c r="AC2108" s="284"/>
      <c r="AD2108" s="284"/>
      <c r="AE2108" s="284"/>
      <c r="AF2108" s="284"/>
      <c r="AG2108" s="284"/>
    </row>
    <row r="2109" spans="1:33" ht="26.4">
      <c r="A2109" s="284"/>
      <c r="B2109" s="284"/>
      <c r="C2109" s="284"/>
      <c r="D2109" s="284"/>
      <c r="E2109" s="284"/>
      <c r="F2109" s="284"/>
      <c r="G2109" s="284"/>
      <c r="H2109" s="284"/>
      <c r="I2109" s="284"/>
      <c r="J2109" s="375"/>
      <c r="K2109" s="375"/>
      <c r="L2109" s="375"/>
      <c r="M2109" s="368"/>
      <c r="N2109" s="368"/>
      <c r="O2109" s="370"/>
      <c r="T2109" s="349"/>
      <c r="V2109" s="378"/>
      <c r="W2109" s="64" ph="1"/>
      <c r="X2109" s="241"/>
      <c r="Y2109" s="284"/>
      <c r="Z2109" s="207"/>
      <c r="AA2109" s="284"/>
      <c r="AB2109" s="284"/>
      <c r="AC2109" s="284"/>
      <c r="AD2109" s="284"/>
      <c r="AE2109" s="284"/>
      <c r="AF2109" s="284"/>
      <c r="AG2109" s="284"/>
    </row>
    <row r="2110" spans="1:33" ht="26.4">
      <c r="A2110" s="284"/>
      <c r="B2110" s="284"/>
      <c r="C2110" s="284"/>
      <c r="D2110" s="284"/>
      <c r="E2110" s="284"/>
      <c r="F2110" s="284"/>
      <c r="G2110" s="284"/>
      <c r="H2110" s="284"/>
      <c r="I2110" s="284"/>
      <c r="J2110" s="375"/>
      <c r="K2110" s="375"/>
      <c r="L2110" s="375"/>
      <c r="M2110" s="368"/>
      <c r="N2110" s="368"/>
      <c r="O2110" s="370"/>
      <c r="T2110" s="349"/>
      <c r="V2110" s="378"/>
      <c r="W2110" s="64" ph="1"/>
      <c r="X2110" s="241"/>
      <c r="Y2110" s="284"/>
      <c r="Z2110" s="207"/>
      <c r="AA2110" s="284"/>
      <c r="AB2110" s="284"/>
      <c r="AC2110" s="284"/>
      <c r="AD2110" s="284"/>
      <c r="AE2110" s="284"/>
      <c r="AF2110" s="284"/>
      <c r="AG2110" s="284"/>
    </row>
    <row r="2111" spans="1:33" ht="26.4">
      <c r="A2111" s="284"/>
      <c r="B2111" s="284"/>
      <c r="C2111" s="284"/>
      <c r="D2111" s="284"/>
      <c r="E2111" s="284"/>
      <c r="F2111" s="284"/>
      <c r="G2111" s="284"/>
      <c r="H2111" s="284"/>
      <c r="I2111" s="284"/>
      <c r="J2111" s="375"/>
      <c r="K2111" s="375"/>
      <c r="L2111" s="375"/>
      <c r="M2111" s="368"/>
      <c r="N2111" s="368"/>
      <c r="O2111" s="370"/>
      <c r="T2111" s="349"/>
      <c r="V2111" s="378"/>
      <c r="W2111" s="64" ph="1"/>
      <c r="X2111" s="241"/>
      <c r="Y2111" s="284"/>
      <c r="Z2111" s="207"/>
      <c r="AA2111" s="284"/>
      <c r="AB2111" s="284"/>
      <c r="AC2111" s="284"/>
      <c r="AD2111" s="284"/>
      <c r="AE2111" s="284"/>
      <c r="AF2111" s="284"/>
      <c r="AG2111" s="284"/>
    </row>
    <row r="2112" spans="1:33" ht="26.4">
      <c r="A2112" s="284"/>
      <c r="B2112" s="284"/>
      <c r="C2112" s="284"/>
      <c r="D2112" s="284"/>
      <c r="E2112" s="284"/>
      <c r="F2112" s="284"/>
      <c r="G2112" s="284"/>
      <c r="H2112" s="284"/>
      <c r="I2112" s="284"/>
      <c r="J2112" s="375"/>
      <c r="K2112" s="375"/>
      <c r="L2112" s="375"/>
      <c r="M2112" s="368"/>
      <c r="N2112" s="368"/>
      <c r="O2112" s="370"/>
      <c r="T2112" s="349"/>
      <c r="V2112" s="378"/>
      <c r="W2112" s="64" ph="1"/>
      <c r="X2112" s="241"/>
      <c r="Y2112" s="284"/>
      <c r="Z2112" s="207"/>
      <c r="AA2112" s="284"/>
      <c r="AB2112" s="284"/>
      <c r="AC2112" s="284"/>
      <c r="AD2112" s="284"/>
      <c r="AE2112" s="284"/>
      <c r="AF2112" s="284"/>
      <c r="AG2112" s="284"/>
    </row>
    <row r="2113" spans="1:33" ht="26.4">
      <c r="A2113" s="284"/>
      <c r="B2113" s="284"/>
      <c r="C2113" s="284"/>
      <c r="D2113" s="284"/>
      <c r="E2113" s="284"/>
      <c r="F2113" s="284"/>
      <c r="G2113" s="284"/>
      <c r="H2113" s="284"/>
      <c r="I2113" s="284"/>
      <c r="J2113" s="375"/>
      <c r="K2113" s="375"/>
      <c r="L2113" s="375"/>
      <c r="M2113" s="368"/>
      <c r="N2113" s="368"/>
      <c r="O2113" s="370"/>
      <c r="T2113" s="349"/>
      <c r="V2113" s="378"/>
      <c r="W2113" s="64" ph="1"/>
      <c r="X2113" s="241"/>
      <c r="Y2113" s="284"/>
      <c r="Z2113" s="207"/>
      <c r="AA2113" s="284"/>
      <c r="AB2113" s="284"/>
      <c r="AC2113" s="284"/>
      <c r="AD2113" s="284"/>
      <c r="AE2113" s="284"/>
      <c r="AF2113" s="284"/>
      <c r="AG2113" s="284"/>
    </row>
    <row r="2114" spans="1:33" ht="26.4">
      <c r="A2114" s="284"/>
      <c r="B2114" s="284"/>
      <c r="C2114" s="284"/>
      <c r="D2114" s="284"/>
      <c r="E2114" s="284"/>
      <c r="F2114" s="284"/>
      <c r="G2114" s="284"/>
      <c r="H2114" s="284"/>
      <c r="I2114" s="284"/>
      <c r="J2114" s="375"/>
      <c r="K2114" s="375"/>
      <c r="L2114" s="375"/>
      <c r="M2114" s="368"/>
      <c r="N2114" s="368"/>
      <c r="O2114" s="370"/>
      <c r="T2114" s="349"/>
      <c r="V2114" s="378"/>
      <c r="W2114" s="64" ph="1"/>
      <c r="X2114" s="241"/>
      <c r="Y2114" s="284"/>
      <c r="Z2114" s="207"/>
      <c r="AA2114" s="284"/>
      <c r="AB2114" s="284"/>
      <c r="AC2114" s="284"/>
      <c r="AD2114" s="284"/>
      <c r="AE2114" s="284"/>
      <c r="AF2114" s="284"/>
      <c r="AG2114" s="284"/>
    </row>
    <row r="2115" spans="1:33" ht="26.4">
      <c r="A2115" s="284"/>
      <c r="B2115" s="284"/>
      <c r="C2115" s="284"/>
      <c r="D2115" s="284"/>
      <c r="E2115" s="284"/>
      <c r="F2115" s="284"/>
      <c r="G2115" s="284"/>
      <c r="H2115" s="284"/>
      <c r="I2115" s="284"/>
      <c r="J2115" s="375"/>
      <c r="K2115" s="375"/>
      <c r="L2115" s="375"/>
      <c r="M2115" s="368"/>
      <c r="N2115" s="368"/>
      <c r="O2115" s="370"/>
      <c r="T2115" s="349"/>
      <c r="V2115" s="378"/>
      <c r="W2115" s="64" ph="1"/>
      <c r="X2115" s="241"/>
      <c r="Y2115" s="284"/>
      <c r="Z2115" s="207"/>
      <c r="AA2115" s="284"/>
      <c r="AB2115" s="284"/>
      <c r="AC2115" s="284"/>
      <c r="AD2115" s="284"/>
      <c r="AE2115" s="284"/>
      <c r="AF2115" s="284"/>
      <c r="AG2115" s="284"/>
    </row>
    <row r="2116" spans="1:33" ht="26.4">
      <c r="A2116" s="284"/>
      <c r="B2116" s="284"/>
      <c r="C2116" s="284"/>
      <c r="D2116" s="284"/>
      <c r="E2116" s="284"/>
      <c r="F2116" s="284"/>
      <c r="G2116" s="284"/>
      <c r="H2116" s="284"/>
      <c r="I2116" s="284"/>
      <c r="J2116" s="375"/>
      <c r="K2116" s="375"/>
      <c r="L2116" s="375"/>
      <c r="M2116" s="368"/>
      <c r="N2116" s="368"/>
      <c r="O2116" s="370"/>
      <c r="T2116" s="349"/>
      <c r="V2116" s="378"/>
      <c r="W2116" s="64" ph="1"/>
      <c r="X2116" s="241"/>
      <c r="Y2116" s="284"/>
      <c r="Z2116" s="207"/>
      <c r="AA2116" s="284"/>
      <c r="AB2116" s="284"/>
      <c r="AC2116" s="284"/>
      <c r="AD2116" s="284"/>
      <c r="AE2116" s="284"/>
      <c r="AF2116" s="284"/>
      <c r="AG2116" s="284"/>
    </row>
    <row r="2117" spans="1:33" ht="26.4">
      <c r="A2117" s="284"/>
      <c r="B2117" s="284"/>
      <c r="C2117" s="284"/>
      <c r="D2117" s="284"/>
      <c r="E2117" s="284"/>
      <c r="F2117" s="284"/>
      <c r="G2117" s="284"/>
      <c r="H2117" s="284"/>
      <c r="I2117" s="284"/>
      <c r="J2117" s="375"/>
      <c r="K2117" s="375"/>
      <c r="L2117" s="375"/>
      <c r="M2117" s="368"/>
      <c r="N2117" s="368"/>
      <c r="O2117" s="370"/>
      <c r="T2117" s="349"/>
      <c r="V2117" s="378"/>
      <c r="W2117" s="64" ph="1"/>
      <c r="X2117" s="241"/>
      <c r="Y2117" s="284"/>
      <c r="Z2117" s="207"/>
      <c r="AA2117" s="284"/>
      <c r="AB2117" s="284"/>
      <c r="AC2117" s="284"/>
      <c r="AD2117" s="284"/>
      <c r="AE2117" s="284"/>
      <c r="AF2117" s="284"/>
      <c r="AG2117" s="284"/>
    </row>
    <row r="2118" spans="1:33" ht="26.4">
      <c r="A2118" s="284"/>
      <c r="B2118" s="284"/>
      <c r="C2118" s="284"/>
      <c r="D2118" s="284"/>
      <c r="E2118" s="284"/>
      <c r="F2118" s="284"/>
      <c r="G2118" s="284"/>
      <c r="H2118" s="284"/>
      <c r="I2118" s="284"/>
      <c r="J2118" s="375"/>
      <c r="K2118" s="375"/>
      <c r="L2118" s="375"/>
      <c r="M2118" s="368"/>
      <c r="N2118" s="368"/>
      <c r="O2118" s="370"/>
      <c r="T2118" s="349"/>
      <c r="V2118" s="378"/>
      <c r="W2118" s="64" ph="1"/>
      <c r="X2118" s="241"/>
      <c r="Y2118" s="284"/>
      <c r="Z2118" s="207"/>
      <c r="AA2118" s="284"/>
      <c r="AB2118" s="284"/>
      <c r="AC2118" s="284"/>
      <c r="AD2118" s="284"/>
      <c r="AE2118" s="284"/>
      <c r="AF2118" s="284"/>
      <c r="AG2118" s="284"/>
    </row>
    <row r="2119" spans="1:33" ht="26.4">
      <c r="A2119" s="284"/>
      <c r="B2119" s="284"/>
      <c r="C2119" s="284"/>
      <c r="D2119" s="284"/>
      <c r="E2119" s="284"/>
      <c r="F2119" s="284"/>
      <c r="G2119" s="284"/>
      <c r="H2119" s="284"/>
      <c r="I2119" s="284"/>
      <c r="J2119" s="375"/>
      <c r="K2119" s="375"/>
      <c r="L2119" s="375"/>
      <c r="M2119" s="368"/>
      <c r="N2119" s="368"/>
      <c r="O2119" s="370"/>
      <c r="T2119" s="349"/>
      <c r="V2119" s="378"/>
      <c r="W2119" s="64" ph="1"/>
      <c r="X2119" s="241"/>
      <c r="Y2119" s="284"/>
      <c r="Z2119" s="207"/>
      <c r="AA2119" s="284"/>
      <c r="AB2119" s="284"/>
      <c r="AC2119" s="284"/>
      <c r="AD2119" s="284"/>
      <c r="AE2119" s="284"/>
      <c r="AF2119" s="284"/>
      <c r="AG2119" s="284"/>
    </row>
    <row r="2120" spans="1:33" ht="26.4">
      <c r="A2120" s="284"/>
      <c r="B2120" s="284"/>
      <c r="C2120" s="284"/>
      <c r="D2120" s="284"/>
      <c r="E2120" s="284"/>
      <c r="F2120" s="284"/>
      <c r="G2120" s="284"/>
      <c r="H2120" s="284"/>
      <c r="I2120" s="284"/>
      <c r="J2120" s="375"/>
      <c r="K2120" s="375"/>
      <c r="L2120" s="375"/>
      <c r="M2120" s="368"/>
      <c r="N2120" s="368"/>
      <c r="O2120" s="370"/>
      <c r="T2120" s="349"/>
      <c r="V2120" s="378"/>
      <c r="W2120" s="64" ph="1"/>
      <c r="X2120" s="241"/>
      <c r="Y2120" s="284"/>
      <c r="Z2120" s="207"/>
      <c r="AA2120" s="284"/>
      <c r="AB2120" s="284"/>
      <c r="AC2120" s="284"/>
      <c r="AD2120" s="284"/>
      <c r="AE2120" s="284"/>
      <c r="AF2120" s="284"/>
      <c r="AG2120" s="284"/>
    </row>
    <row r="2121" spans="1:33" ht="26.4">
      <c r="A2121" s="284"/>
      <c r="B2121" s="284"/>
      <c r="C2121" s="284"/>
      <c r="D2121" s="284"/>
      <c r="E2121" s="284"/>
      <c r="F2121" s="284"/>
      <c r="G2121" s="284"/>
      <c r="H2121" s="284"/>
      <c r="I2121" s="284"/>
      <c r="J2121" s="375"/>
      <c r="K2121" s="375"/>
      <c r="L2121" s="375"/>
      <c r="M2121" s="368"/>
      <c r="N2121" s="368"/>
      <c r="O2121" s="370"/>
      <c r="T2121" s="349"/>
      <c r="V2121" s="378"/>
      <c r="W2121" s="64" ph="1"/>
      <c r="X2121" s="241"/>
      <c r="Y2121" s="284"/>
      <c r="Z2121" s="207"/>
      <c r="AA2121" s="284"/>
      <c r="AB2121" s="284"/>
      <c r="AC2121" s="284"/>
      <c r="AD2121" s="284"/>
      <c r="AE2121" s="284"/>
      <c r="AF2121" s="284"/>
      <c r="AG2121" s="284"/>
    </row>
    <row r="2122" spans="1:33" ht="26.4">
      <c r="A2122" s="284"/>
      <c r="B2122" s="284"/>
      <c r="C2122" s="284"/>
      <c r="D2122" s="284"/>
      <c r="E2122" s="284"/>
      <c r="F2122" s="284"/>
      <c r="G2122" s="284"/>
      <c r="H2122" s="284"/>
      <c r="I2122" s="284"/>
      <c r="J2122" s="375"/>
      <c r="K2122" s="375"/>
      <c r="L2122" s="375"/>
      <c r="M2122" s="368"/>
      <c r="N2122" s="368"/>
      <c r="O2122" s="370"/>
      <c r="T2122" s="349"/>
      <c r="V2122" s="378"/>
      <c r="W2122" s="64" ph="1"/>
      <c r="X2122" s="241"/>
      <c r="Y2122" s="284"/>
      <c r="Z2122" s="207"/>
      <c r="AA2122" s="284"/>
      <c r="AB2122" s="284"/>
      <c r="AC2122" s="284"/>
      <c r="AD2122" s="284"/>
      <c r="AE2122" s="284"/>
      <c r="AF2122" s="284"/>
      <c r="AG2122" s="284"/>
    </row>
    <row r="2123" spans="1:33" ht="26.4">
      <c r="A2123" s="284"/>
      <c r="B2123" s="284"/>
      <c r="C2123" s="284"/>
      <c r="D2123" s="284"/>
      <c r="E2123" s="284"/>
      <c r="F2123" s="284"/>
      <c r="G2123" s="284"/>
      <c r="H2123" s="284"/>
      <c r="I2123" s="284"/>
      <c r="J2123" s="375"/>
      <c r="K2123" s="375"/>
      <c r="L2123" s="375"/>
      <c r="M2123" s="368"/>
      <c r="N2123" s="368"/>
      <c r="O2123" s="370"/>
      <c r="T2123" s="349"/>
      <c r="V2123" s="378"/>
      <c r="W2123" s="64" ph="1"/>
      <c r="X2123" s="241"/>
      <c r="Y2123" s="284"/>
      <c r="Z2123" s="207"/>
      <c r="AA2123" s="284"/>
      <c r="AB2123" s="284"/>
      <c r="AC2123" s="284"/>
      <c r="AD2123" s="284"/>
      <c r="AE2123" s="284"/>
      <c r="AF2123" s="284"/>
      <c r="AG2123" s="284"/>
    </row>
    <row r="2124" spans="1:33" ht="26.4">
      <c r="A2124" s="284"/>
      <c r="B2124" s="284"/>
      <c r="C2124" s="284"/>
      <c r="D2124" s="284"/>
      <c r="E2124" s="284"/>
      <c r="F2124" s="284"/>
      <c r="G2124" s="284"/>
      <c r="H2124" s="284"/>
      <c r="I2124" s="284"/>
      <c r="J2124" s="375"/>
      <c r="K2124" s="375"/>
      <c r="L2124" s="375"/>
      <c r="M2124" s="368"/>
      <c r="N2124" s="368"/>
      <c r="O2124" s="370"/>
      <c r="T2124" s="349"/>
      <c r="V2124" s="378"/>
      <c r="W2124" s="64" ph="1"/>
      <c r="X2124" s="241"/>
      <c r="Y2124" s="284"/>
      <c r="Z2124" s="207"/>
      <c r="AA2124" s="284"/>
      <c r="AB2124" s="284"/>
      <c r="AC2124" s="284"/>
      <c r="AD2124" s="284"/>
      <c r="AE2124" s="284"/>
      <c r="AF2124" s="284"/>
      <c r="AG2124" s="284"/>
    </row>
    <row r="2125" spans="1:33" ht="26.4">
      <c r="A2125" s="284"/>
      <c r="B2125" s="284"/>
      <c r="C2125" s="284"/>
      <c r="D2125" s="284"/>
      <c r="E2125" s="284"/>
      <c r="F2125" s="284"/>
      <c r="G2125" s="284"/>
      <c r="H2125" s="284"/>
      <c r="I2125" s="284"/>
      <c r="J2125" s="375"/>
      <c r="K2125" s="375"/>
      <c r="L2125" s="375"/>
      <c r="M2125" s="368"/>
      <c r="N2125" s="368"/>
      <c r="O2125" s="370"/>
      <c r="T2125" s="349"/>
      <c r="V2125" s="378"/>
      <c r="W2125" s="64" ph="1"/>
      <c r="X2125" s="241"/>
      <c r="Y2125" s="284"/>
      <c r="Z2125" s="207"/>
      <c r="AA2125" s="284"/>
      <c r="AB2125" s="284"/>
      <c r="AC2125" s="284"/>
      <c r="AD2125" s="284"/>
      <c r="AE2125" s="284"/>
      <c r="AF2125" s="284"/>
      <c r="AG2125" s="284"/>
    </row>
    <row r="2126" spans="1:33" ht="26.4">
      <c r="A2126" s="284"/>
      <c r="B2126" s="284"/>
      <c r="C2126" s="284"/>
      <c r="D2126" s="284"/>
      <c r="E2126" s="284"/>
      <c r="F2126" s="284"/>
      <c r="G2126" s="284"/>
      <c r="H2126" s="284"/>
      <c r="I2126" s="284"/>
      <c r="J2126" s="375"/>
      <c r="K2126" s="375"/>
      <c r="L2126" s="375"/>
      <c r="M2126" s="368"/>
      <c r="N2126" s="368"/>
      <c r="O2126" s="370"/>
      <c r="T2126" s="349"/>
      <c r="V2126" s="378"/>
      <c r="W2126" s="64" ph="1"/>
      <c r="X2126" s="241"/>
      <c r="Y2126" s="284"/>
      <c r="Z2126" s="207"/>
      <c r="AA2126" s="284"/>
      <c r="AB2126" s="284"/>
      <c r="AC2126" s="284"/>
      <c r="AD2126" s="284"/>
      <c r="AE2126" s="284"/>
      <c r="AF2126" s="284"/>
      <c r="AG2126" s="284"/>
    </row>
    <row r="2127" spans="1:33" ht="26.4">
      <c r="A2127" s="284"/>
      <c r="B2127" s="284"/>
      <c r="C2127" s="284"/>
      <c r="D2127" s="284"/>
      <c r="E2127" s="284"/>
      <c r="F2127" s="284"/>
      <c r="G2127" s="284"/>
      <c r="H2127" s="284"/>
      <c r="I2127" s="284"/>
      <c r="J2127" s="375"/>
      <c r="K2127" s="375"/>
      <c r="L2127" s="375"/>
      <c r="M2127" s="368"/>
      <c r="N2127" s="368"/>
      <c r="O2127" s="370"/>
      <c r="T2127" s="349"/>
      <c r="V2127" s="378"/>
      <c r="W2127" s="64" ph="1"/>
      <c r="X2127" s="241"/>
      <c r="Y2127" s="284"/>
      <c r="Z2127" s="207"/>
      <c r="AA2127" s="284"/>
      <c r="AB2127" s="284"/>
      <c r="AC2127" s="284"/>
      <c r="AD2127" s="284"/>
      <c r="AE2127" s="284"/>
      <c r="AF2127" s="284"/>
      <c r="AG2127" s="284"/>
    </row>
    <row r="2128" spans="1:33" ht="26.4">
      <c r="A2128" s="284"/>
      <c r="B2128" s="284"/>
      <c r="C2128" s="284"/>
      <c r="D2128" s="284"/>
      <c r="E2128" s="284"/>
      <c r="F2128" s="284"/>
      <c r="G2128" s="284"/>
      <c r="H2128" s="284"/>
      <c r="I2128" s="284"/>
      <c r="J2128" s="375"/>
      <c r="K2128" s="375"/>
      <c r="L2128" s="375"/>
      <c r="M2128" s="368"/>
      <c r="N2128" s="368"/>
      <c r="O2128" s="370"/>
      <c r="T2128" s="349"/>
      <c r="V2128" s="378"/>
      <c r="W2128" s="64" ph="1"/>
      <c r="X2128" s="241"/>
      <c r="Y2128" s="284"/>
      <c r="Z2128" s="207"/>
      <c r="AA2128" s="284"/>
      <c r="AB2128" s="284"/>
      <c r="AC2128" s="284"/>
      <c r="AD2128" s="284"/>
      <c r="AE2128" s="284"/>
      <c r="AF2128" s="284"/>
      <c r="AG2128" s="284"/>
    </row>
    <row r="2129" spans="1:33" ht="26.4">
      <c r="A2129" s="284"/>
      <c r="B2129" s="284"/>
      <c r="C2129" s="284"/>
      <c r="D2129" s="284"/>
      <c r="E2129" s="284"/>
      <c r="F2129" s="284"/>
      <c r="G2129" s="284"/>
      <c r="H2129" s="284"/>
      <c r="I2129" s="284"/>
      <c r="J2129" s="375"/>
      <c r="K2129" s="375"/>
      <c r="L2129" s="375"/>
      <c r="M2129" s="368"/>
      <c r="N2129" s="368"/>
      <c r="O2129" s="370"/>
      <c r="T2129" s="349"/>
      <c r="V2129" s="378"/>
      <c r="W2129" s="64" ph="1"/>
      <c r="X2129" s="241"/>
      <c r="Y2129" s="284"/>
      <c r="Z2129" s="207"/>
      <c r="AA2129" s="284"/>
      <c r="AB2129" s="284"/>
      <c r="AC2129" s="284"/>
      <c r="AD2129" s="284"/>
      <c r="AE2129" s="284"/>
      <c r="AF2129" s="284"/>
      <c r="AG2129" s="284"/>
    </row>
    <row r="2130" spans="1:33" ht="26.4">
      <c r="A2130" s="284"/>
      <c r="B2130" s="284"/>
      <c r="C2130" s="284"/>
      <c r="D2130" s="284"/>
      <c r="E2130" s="284"/>
      <c r="F2130" s="284"/>
      <c r="G2130" s="284"/>
      <c r="H2130" s="284"/>
      <c r="I2130" s="284"/>
      <c r="J2130" s="375"/>
      <c r="K2130" s="375"/>
      <c r="L2130" s="375"/>
      <c r="M2130" s="368"/>
      <c r="N2130" s="368"/>
      <c r="O2130" s="370"/>
      <c r="T2130" s="349"/>
      <c r="V2130" s="378"/>
      <c r="W2130" s="64" ph="1"/>
      <c r="X2130" s="241"/>
      <c r="Y2130" s="284"/>
      <c r="Z2130" s="207"/>
      <c r="AA2130" s="284"/>
      <c r="AB2130" s="284"/>
      <c r="AC2130" s="284"/>
      <c r="AD2130" s="284"/>
      <c r="AE2130" s="284"/>
      <c r="AF2130" s="284"/>
      <c r="AG2130" s="284"/>
    </row>
    <row r="2131" spans="1:33" ht="26.4">
      <c r="A2131" s="284"/>
      <c r="B2131" s="284"/>
      <c r="C2131" s="284"/>
      <c r="D2131" s="284"/>
      <c r="E2131" s="284"/>
      <c r="F2131" s="284"/>
      <c r="G2131" s="284"/>
      <c r="H2131" s="284"/>
      <c r="I2131" s="284"/>
      <c r="J2131" s="375"/>
      <c r="K2131" s="375"/>
      <c r="L2131" s="375"/>
      <c r="M2131" s="368"/>
      <c r="N2131" s="368"/>
      <c r="O2131" s="370"/>
      <c r="T2131" s="349"/>
      <c r="V2131" s="378"/>
      <c r="W2131" s="64" ph="1"/>
      <c r="X2131" s="241"/>
      <c r="Y2131" s="284"/>
      <c r="Z2131" s="207"/>
      <c r="AA2131" s="284"/>
      <c r="AB2131" s="284"/>
      <c r="AC2131" s="284"/>
      <c r="AD2131" s="284"/>
      <c r="AE2131" s="284"/>
      <c r="AF2131" s="284"/>
      <c r="AG2131" s="284"/>
    </row>
    <row r="2132" spans="1:33" ht="26.4">
      <c r="A2132" s="284"/>
      <c r="B2132" s="284"/>
      <c r="C2132" s="284"/>
      <c r="D2132" s="284"/>
      <c r="E2132" s="284"/>
      <c r="F2132" s="284"/>
      <c r="G2132" s="284"/>
      <c r="H2132" s="284"/>
      <c r="I2132" s="284"/>
      <c r="J2132" s="375"/>
      <c r="K2132" s="375"/>
      <c r="L2132" s="375"/>
      <c r="M2132" s="368"/>
      <c r="N2132" s="368"/>
      <c r="O2132" s="370"/>
      <c r="T2132" s="349"/>
      <c r="V2132" s="378"/>
      <c r="W2132" s="64" ph="1"/>
      <c r="X2132" s="241"/>
      <c r="Y2132" s="284"/>
      <c r="Z2132" s="207"/>
      <c r="AA2132" s="284"/>
      <c r="AB2132" s="284"/>
      <c r="AC2132" s="284"/>
      <c r="AD2132" s="284"/>
      <c r="AE2132" s="284"/>
      <c r="AF2132" s="284"/>
      <c r="AG2132" s="284"/>
    </row>
    <row r="2133" spans="1:33" ht="26.4">
      <c r="A2133" s="284"/>
      <c r="B2133" s="284"/>
      <c r="C2133" s="284"/>
      <c r="D2133" s="284"/>
      <c r="E2133" s="284"/>
      <c r="F2133" s="284"/>
      <c r="G2133" s="284"/>
      <c r="H2133" s="284"/>
      <c r="I2133" s="284"/>
      <c r="J2133" s="375"/>
      <c r="K2133" s="375"/>
      <c r="L2133" s="375"/>
      <c r="M2133" s="368"/>
      <c r="N2133" s="368"/>
      <c r="O2133" s="370"/>
      <c r="T2133" s="349"/>
      <c r="V2133" s="378"/>
      <c r="W2133" s="64" ph="1"/>
      <c r="X2133" s="241"/>
      <c r="Y2133" s="284"/>
      <c r="Z2133" s="207"/>
      <c r="AA2133" s="284"/>
      <c r="AB2133" s="284"/>
      <c r="AC2133" s="284"/>
      <c r="AD2133" s="284"/>
      <c r="AE2133" s="284"/>
      <c r="AF2133" s="284"/>
      <c r="AG2133" s="284"/>
    </row>
    <row r="2134" spans="1:33" ht="26.4">
      <c r="A2134" s="284"/>
      <c r="B2134" s="284"/>
      <c r="C2134" s="284"/>
      <c r="D2134" s="284"/>
      <c r="E2134" s="284"/>
      <c r="F2134" s="284"/>
      <c r="G2134" s="284"/>
      <c r="H2134" s="284"/>
      <c r="I2134" s="284"/>
      <c r="J2134" s="375"/>
      <c r="K2134" s="375"/>
      <c r="L2134" s="375"/>
      <c r="M2134" s="368"/>
      <c r="N2134" s="368"/>
      <c r="O2134" s="370"/>
      <c r="T2134" s="349"/>
      <c r="V2134" s="378"/>
      <c r="W2134" s="64" ph="1"/>
      <c r="X2134" s="241"/>
      <c r="Y2134" s="284"/>
      <c r="Z2134" s="207"/>
      <c r="AA2134" s="284"/>
      <c r="AB2134" s="284"/>
      <c r="AC2134" s="284"/>
      <c r="AD2134" s="284"/>
      <c r="AE2134" s="284"/>
      <c r="AF2134" s="284"/>
      <c r="AG2134" s="284"/>
    </row>
    <row r="2135" spans="1:33" ht="26.4">
      <c r="A2135" s="284"/>
      <c r="B2135" s="284"/>
      <c r="C2135" s="284"/>
      <c r="D2135" s="284"/>
      <c r="E2135" s="284"/>
      <c r="F2135" s="284"/>
      <c r="G2135" s="284"/>
      <c r="H2135" s="284"/>
      <c r="I2135" s="284"/>
      <c r="J2135" s="375"/>
      <c r="K2135" s="375"/>
      <c r="L2135" s="375"/>
      <c r="M2135" s="368"/>
      <c r="N2135" s="368"/>
      <c r="O2135" s="370"/>
      <c r="T2135" s="349"/>
      <c r="V2135" s="378"/>
      <c r="W2135" s="64" ph="1"/>
      <c r="X2135" s="241"/>
      <c r="Y2135" s="284"/>
      <c r="Z2135" s="207"/>
      <c r="AA2135" s="284"/>
      <c r="AB2135" s="284"/>
      <c r="AC2135" s="284"/>
      <c r="AD2135" s="284"/>
      <c r="AE2135" s="284"/>
      <c r="AF2135" s="284"/>
      <c r="AG2135" s="284"/>
    </row>
    <row r="2136" spans="1:33" ht="26.4">
      <c r="A2136" s="284"/>
      <c r="B2136" s="284"/>
      <c r="C2136" s="284"/>
      <c r="D2136" s="284"/>
      <c r="E2136" s="284"/>
      <c r="F2136" s="284"/>
      <c r="G2136" s="284"/>
      <c r="H2136" s="284"/>
      <c r="I2136" s="284"/>
      <c r="J2136" s="375"/>
      <c r="K2136" s="375"/>
      <c r="L2136" s="375"/>
      <c r="M2136" s="368"/>
      <c r="N2136" s="368"/>
      <c r="O2136" s="370"/>
      <c r="T2136" s="349"/>
      <c r="V2136" s="378"/>
      <c r="W2136" s="64" ph="1"/>
      <c r="X2136" s="241"/>
      <c r="Y2136" s="284"/>
      <c r="Z2136" s="207"/>
      <c r="AA2136" s="284"/>
      <c r="AB2136" s="284"/>
      <c r="AC2136" s="284"/>
      <c r="AD2136" s="284"/>
      <c r="AE2136" s="284"/>
      <c r="AF2136" s="284"/>
      <c r="AG2136" s="284"/>
    </row>
    <row r="2137" spans="1:33" ht="26.4">
      <c r="A2137" s="284"/>
      <c r="B2137" s="284"/>
      <c r="C2137" s="284"/>
      <c r="D2137" s="284"/>
      <c r="E2137" s="284"/>
      <c r="F2137" s="284"/>
      <c r="G2137" s="284"/>
      <c r="H2137" s="284"/>
      <c r="I2137" s="284"/>
      <c r="J2137" s="375"/>
      <c r="K2137" s="375"/>
      <c r="L2137" s="375"/>
      <c r="M2137" s="368"/>
      <c r="N2137" s="368"/>
      <c r="O2137" s="370"/>
      <c r="T2137" s="349"/>
      <c r="V2137" s="378"/>
      <c r="W2137" s="64" ph="1"/>
      <c r="X2137" s="241"/>
      <c r="Y2137" s="284"/>
      <c r="Z2137" s="207"/>
      <c r="AA2137" s="284"/>
      <c r="AB2137" s="284"/>
      <c r="AC2137" s="284"/>
      <c r="AD2137" s="284"/>
      <c r="AE2137" s="284"/>
      <c r="AF2137" s="284"/>
      <c r="AG2137" s="284"/>
    </row>
    <row r="2138" spans="1:33" ht="26.4">
      <c r="A2138" s="284"/>
      <c r="B2138" s="284"/>
      <c r="C2138" s="284"/>
      <c r="D2138" s="284"/>
      <c r="E2138" s="284"/>
      <c r="F2138" s="284"/>
      <c r="G2138" s="284"/>
      <c r="H2138" s="284"/>
      <c r="I2138" s="284"/>
      <c r="J2138" s="375"/>
      <c r="K2138" s="375"/>
      <c r="L2138" s="375"/>
      <c r="M2138" s="368"/>
      <c r="N2138" s="368"/>
      <c r="O2138" s="370"/>
      <c r="T2138" s="349"/>
      <c r="V2138" s="378"/>
      <c r="W2138" s="64" ph="1"/>
      <c r="X2138" s="241"/>
      <c r="Y2138" s="284"/>
      <c r="Z2138" s="207"/>
      <c r="AA2138" s="284"/>
      <c r="AB2138" s="284"/>
      <c r="AC2138" s="284"/>
      <c r="AD2138" s="284"/>
      <c r="AE2138" s="284"/>
      <c r="AF2138" s="284"/>
      <c r="AG2138" s="284"/>
    </row>
    <row r="2139" spans="1:33" ht="26.4">
      <c r="A2139" s="284"/>
      <c r="B2139" s="284"/>
      <c r="C2139" s="284"/>
      <c r="D2139" s="284"/>
      <c r="E2139" s="284"/>
      <c r="F2139" s="284"/>
      <c r="G2139" s="284"/>
      <c r="H2139" s="284"/>
      <c r="I2139" s="284"/>
      <c r="J2139" s="375"/>
      <c r="K2139" s="375"/>
      <c r="L2139" s="375"/>
      <c r="M2139" s="368"/>
      <c r="N2139" s="368"/>
      <c r="O2139" s="370"/>
      <c r="T2139" s="349"/>
      <c r="V2139" s="378"/>
      <c r="W2139" s="64" ph="1"/>
      <c r="X2139" s="241"/>
      <c r="Y2139" s="284"/>
      <c r="Z2139" s="207"/>
      <c r="AA2139" s="284"/>
      <c r="AB2139" s="284"/>
      <c r="AC2139" s="284"/>
      <c r="AD2139" s="284"/>
      <c r="AE2139" s="284"/>
      <c r="AF2139" s="284"/>
      <c r="AG2139" s="284"/>
    </row>
    <row r="2140" spans="1:33" ht="26.4">
      <c r="A2140" s="284"/>
      <c r="B2140" s="284"/>
      <c r="C2140" s="284"/>
      <c r="D2140" s="284"/>
      <c r="E2140" s="284"/>
      <c r="F2140" s="284"/>
      <c r="G2140" s="284"/>
      <c r="H2140" s="284"/>
      <c r="I2140" s="284"/>
      <c r="J2140" s="375"/>
      <c r="K2140" s="375"/>
      <c r="L2140" s="375"/>
      <c r="M2140" s="368"/>
      <c r="N2140" s="368"/>
      <c r="O2140" s="370"/>
      <c r="T2140" s="349"/>
      <c r="V2140" s="378"/>
      <c r="W2140" s="64" ph="1"/>
      <c r="X2140" s="241"/>
      <c r="Y2140" s="284"/>
      <c r="Z2140" s="207"/>
      <c r="AA2140" s="284"/>
      <c r="AB2140" s="284"/>
      <c r="AC2140" s="284"/>
      <c r="AD2140" s="284"/>
      <c r="AE2140" s="284"/>
      <c r="AF2140" s="284"/>
      <c r="AG2140" s="284"/>
    </row>
    <row r="2141" spans="1:33" ht="26.4">
      <c r="A2141" s="284"/>
      <c r="B2141" s="284"/>
      <c r="C2141" s="284"/>
      <c r="D2141" s="284"/>
      <c r="E2141" s="284"/>
      <c r="F2141" s="284"/>
      <c r="G2141" s="284"/>
      <c r="H2141" s="284"/>
      <c r="I2141" s="284"/>
      <c r="J2141" s="375"/>
      <c r="K2141" s="375"/>
      <c r="L2141" s="375"/>
      <c r="M2141" s="368"/>
      <c r="N2141" s="368"/>
      <c r="O2141" s="370"/>
      <c r="T2141" s="349"/>
      <c r="V2141" s="378"/>
      <c r="W2141" s="64" ph="1"/>
      <c r="X2141" s="241"/>
      <c r="Y2141" s="284"/>
      <c r="Z2141" s="207"/>
      <c r="AA2141" s="284"/>
      <c r="AB2141" s="284"/>
      <c r="AC2141" s="284"/>
      <c r="AD2141" s="284"/>
      <c r="AE2141" s="284"/>
      <c r="AF2141" s="284"/>
      <c r="AG2141" s="284"/>
    </row>
    <row r="2142" spans="1:33" ht="26.4">
      <c r="A2142" s="284"/>
      <c r="B2142" s="284"/>
      <c r="C2142" s="284"/>
      <c r="D2142" s="284"/>
      <c r="E2142" s="284"/>
      <c r="F2142" s="284"/>
      <c r="G2142" s="284"/>
      <c r="H2142" s="284"/>
      <c r="I2142" s="284"/>
      <c r="J2142" s="375"/>
      <c r="K2142" s="375"/>
      <c r="L2142" s="375"/>
      <c r="M2142" s="368"/>
      <c r="N2142" s="368"/>
      <c r="O2142" s="370"/>
      <c r="T2142" s="349"/>
      <c r="V2142" s="378"/>
      <c r="W2142" s="64" ph="1"/>
      <c r="X2142" s="241"/>
      <c r="Y2142" s="284"/>
      <c r="Z2142" s="207"/>
      <c r="AA2142" s="284"/>
      <c r="AB2142" s="284"/>
      <c r="AC2142" s="284"/>
      <c r="AD2142" s="284"/>
      <c r="AE2142" s="284"/>
      <c r="AF2142" s="284"/>
      <c r="AG2142" s="284"/>
    </row>
    <row r="2143" spans="1:33" ht="26.4">
      <c r="A2143" s="284"/>
      <c r="B2143" s="284"/>
      <c r="C2143" s="284"/>
      <c r="D2143" s="284"/>
      <c r="E2143" s="284"/>
      <c r="F2143" s="284"/>
      <c r="G2143" s="284"/>
      <c r="H2143" s="284"/>
      <c r="I2143" s="284"/>
      <c r="J2143" s="375"/>
      <c r="K2143" s="375"/>
      <c r="L2143" s="375"/>
      <c r="M2143" s="368"/>
      <c r="N2143" s="368"/>
      <c r="O2143" s="370"/>
      <c r="T2143" s="349"/>
      <c r="V2143" s="378"/>
      <c r="W2143" s="64" ph="1"/>
      <c r="X2143" s="241"/>
      <c r="Y2143" s="284"/>
      <c r="Z2143" s="207"/>
      <c r="AA2143" s="284"/>
      <c r="AB2143" s="284"/>
      <c r="AC2143" s="284"/>
      <c r="AD2143" s="284"/>
      <c r="AE2143" s="284"/>
      <c r="AF2143" s="284"/>
      <c r="AG2143" s="284"/>
    </row>
    <row r="2144" spans="1:33" ht="26.4">
      <c r="A2144" s="284"/>
      <c r="B2144" s="284"/>
      <c r="C2144" s="284"/>
      <c r="D2144" s="284"/>
      <c r="E2144" s="284"/>
      <c r="F2144" s="284"/>
      <c r="G2144" s="284"/>
      <c r="H2144" s="284"/>
      <c r="I2144" s="284"/>
      <c r="J2144" s="375"/>
      <c r="K2144" s="375"/>
      <c r="L2144" s="375"/>
      <c r="M2144" s="368"/>
      <c r="N2144" s="368"/>
      <c r="O2144" s="370"/>
      <c r="T2144" s="349"/>
      <c r="V2144" s="378"/>
      <c r="W2144" s="64" ph="1"/>
      <c r="X2144" s="241"/>
      <c r="Y2144" s="284"/>
      <c r="Z2144" s="207"/>
      <c r="AA2144" s="284"/>
      <c r="AB2144" s="284"/>
      <c r="AC2144" s="284"/>
      <c r="AD2144" s="284"/>
      <c r="AE2144" s="284"/>
      <c r="AF2144" s="284"/>
      <c r="AG2144" s="284"/>
    </row>
    <row r="2145" spans="1:33" ht="26.4">
      <c r="A2145" s="284"/>
      <c r="B2145" s="284"/>
      <c r="C2145" s="284"/>
      <c r="D2145" s="284"/>
      <c r="E2145" s="284"/>
      <c r="F2145" s="284"/>
      <c r="G2145" s="284"/>
      <c r="H2145" s="284"/>
      <c r="I2145" s="284"/>
      <c r="J2145" s="375"/>
      <c r="K2145" s="375"/>
      <c r="L2145" s="375"/>
      <c r="M2145" s="368"/>
      <c r="N2145" s="368"/>
      <c r="O2145" s="370"/>
      <c r="T2145" s="349"/>
      <c r="V2145" s="378"/>
      <c r="W2145" s="64" ph="1"/>
      <c r="X2145" s="241"/>
      <c r="Y2145" s="284"/>
      <c r="Z2145" s="207"/>
      <c r="AA2145" s="284"/>
      <c r="AB2145" s="284"/>
      <c r="AC2145" s="284"/>
      <c r="AD2145" s="284"/>
      <c r="AE2145" s="284"/>
      <c r="AF2145" s="284"/>
      <c r="AG2145" s="284"/>
    </row>
    <row r="2146" spans="1:33" ht="26.4">
      <c r="A2146" s="284"/>
      <c r="B2146" s="284"/>
      <c r="C2146" s="284"/>
      <c r="D2146" s="284"/>
      <c r="E2146" s="284"/>
      <c r="F2146" s="284"/>
      <c r="G2146" s="284"/>
      <c r="H2146" s="284"/>
      <c r="I2146" s="284"/>
      <c r="J2146" s="375"/>
      <c r="K2146" s="375"/>
      <c r="L2146" s="375"/>
      <c r="M2146" s="368"/>
      <c r="N2146" s="368"/>
      <c r="O2146" s="370"/>
      <c r="T2146" s="349"/>
      <c r="V2146" s="378"/>
      <c r="W2146" s="64" ph="1"/>
      <c r="X2146" s="241"/>
      <c r="Y2146" s="284"/>
      <c r="Z2146" s="207"/>
      <c r="AA2146" s="284"/>
      <c r="AB2146" s="284"/>
      <c r="AC2146" s="284"/>
      <c r="AD2146" s="284"/>
      <c r="AE2146" s="284"/>
      <c r="AF2146" s="284"/>
      <c r="AG2146" s="284"/>
    </row>
    <row r="2147" spans="1:33" ht="26.4">
      <c r="A2147" s="284"/>
      <c r="B2147" s="284"/>
      <c r="C2147" s="284"/>
      <c r="D2147" s="284"/>
      <c r="E2147" s="284"/>
      <c r="F2147" s="284"/>
      <c r="G2147" s="284"/>
      <c r="H2147" s="284"/>
      <c r="I2147" s="284"/>
      <c r="J2147" s="375"/>
      <c r="K2147" s="375"/>
      <c r="L2147" s="375"/>
      <c r="M2147" s="368"/>
      <c r="N2147" s="368"/>
      <c r="O2147" s="370"/>
      <c r="T2147" s="349"/>
      <c r="V2147" s="378"/>
      <c r="W2147" s="64" ph="1"/>
      <c r="X2147" s="241"/>
      <c r="Y2147" s="284"/>
      <c r="Z2147" s="207"/>
      <c r="AA2147" s="284"/>
      <c r="AB2147" s="284"/>
      <c r="AC2147" s="284"/>
      <c r="AD2147" s="284"/>
      <c r="AE2147" s="284"/>
      <c r="AF2147" s="284"/>
      <c r="AG2147" s="284"/>
    </row>
    <row r="2148" spans="1:33" ht="26.4">
      <c r="A2148" s="284"/>
      <c r="B2148" s="284"/>
      <c r="C2148" s="284"/>
      <c r="D2148" s="284"/>
      <c r="E2148" s="284"/>
      <c r="F2148" s="284"/>
      <c r="G2148" s="284"/>
      <c r="H2148" s="284"/>
      <c r="I2148" s="284"/>
      <c r="J2148" s="375"/>
      <c r="K2148" s="375"/>
      <c r="L2148" s="375"/>
      <c r="M2148" s="368"/>
      <c r="N2148" s="368"/>
      <c r="O2148" s="370"/>
      <c r="T2148" s="349"/>
      <c r="V2148" s="378"/>
      <c r="W2148" s="64" ph="1"/>
      <c r="X2148" s="241"/>
      <c r="Y2148" s="284"/>
      <c r="Z2148" s="207"/>
      <c r="AA2148" s="284"/>
      <c r="AB2148" s="284"/>
      <c r="AC2148" s="284"/>
      <c r="AD2148" s="284"/>
      <c r="AE2148" s="284"/>
      <c r="AF2148" s="284"/>
      <c r="AG2148" s="284"/>
    </row>
    <row r="2149" spans="1:33" ht="26.4">
      <c r="A2149" s="284"/>
      <c r="B2149" s="284"/>
      <c r="C2149" s="284"/>
      <c r="D2149" s="284"/>
      <c r="E2149" s="284"/>
      <c r="F2149" s="284"/>
      <c r="G2149" s="284"/>
      <c r="H2149" s="284"/>
      <c r="I2149" s="284"/>
      <c r="J2149" s="375"/>
      <c r="K2149" s="375"/>
      <c r="L2149" s="375"/>
      <c r="M2149" s="368"/>
      <c r="N2149" s="368"/>
      <c r="O2149" s="370"/>
      <c r="T2149" s="349"/>
      <c r="V2149" s="378"/>
      <c r="W2149" s="64" ph="1"/>
      <c r="X2149" s="241"/>
      <c r="Y2149" s="284"/>
      <c r="Z2149" s="207"/>
      <c r="AA2149" s="284"/>
      <c r="AB2149" s="284"/>
      <c r="AC2149" s="284"/>
      <c r="AD2149" s="284"/>
      <c r="AE2149" s="284"/>
      <c r="AF2149" s="284"/>
      <c r="AG2149" s="284"/>
    </row>
    <row r="2150" spans="1:33" ht="26.4">
      <c r="A2150" s="284"/>
      <c r="B2150" s="284"/>
      <c r="C2150" s="284"/>
      <c r="D2150" s="284"/>
      <c r="E2150" s="284"/>
      <c r="F2150" s="284"/>
      <c r="G2150" s="284"/>
      <c r="H2150" s="284"/>
      <c r="I2150" s="284"/>
      <c r="J2150" s="375"/>
      <c r="K2150" s="375"/>
      <c r="L2150" s="375"/>
      <c r="M2150" s="368"/>
      <c r="N2150" s="368"/>
      <c r="O2150" s="370"/>
      <c r="T2150" s="349"/>
      <c r="V2150" s="378"/>
      <c r="W2150" s="64" ph="1"/>
      <c r="X2150" s="241"/>
      <c r="Y2150" s="284"/>
      <c r="Z2150" s="207"/>
      <c r="AA2150" s="284"/>
      <c r="AB2150" s="284"/>
      <c r="AC2150" s="284"/>
      <c r="AD2150" s="284"/>
      <c r="AE2150" s="284"/>
      <c r="AF2150" s="284"/>
      <c r="AG2150" s="284"/>
    </row>
    <row r="2151" spans="1:33" ht="26.4">
      <c r="A2151" s="284"/>
      <c r="B2151" s="284"/>
      <c r="C2151" s="284"/>
      <c r="D2151" s="284"/>
      <c r="E2151" s="284"/>
      <c r="F2151" s="284"/>
      <c r="G2151" s="284"/>
      <c r="H2151" s="284"/>
      <c r="I2151" s="284"/>
      <c r="J2151" s="375"/>
      <c r="K2151" s="375"/>
      <c r="L2151" s="375"/>
      <c r="M2151" s="368"/>
      <c r="N2151" s="368"/>
      <c r="O2151" s="370"/>
      <c r="T2151" s="349"/>
      <c r="V2151" s="378"/>
      <c r="W2151" s="64" ph="1"/>
      <c r="X2151" s="241"/>
      <c r="Y2151" s="284"/>
      <c r="Z2151" s="207"/>
      <c r="AA2151" s="284"/>
      <c r="AB2151" s="284"/>
      <c r="AC2151" s="284"/>
      <c r="AD2151" s="284"/>
      <c r="AE2151" s="284"/>
      <c r="AF2151" s="284"/>
      <c r="AG2151" s="284"/>
    </row>
    <row r="2152" spans="1:33" ht="26.4">
      <c r="A2152" s="284"/>
      <c r="B2152" s="284"/>
      <c r="C2152" s="284"/>
      <c r="D2152" s="284"/>
      <c r="E2152" s="284"/>
      <c r="F2152" s="284"/>
      <c r="G2152" s="284"/>
      <c r="H2152" s="284"/>
      <c r="I2152" s="284"/>
      <c r="J2152" s="375"/>
      <c r="K2152" s="375"/>
      <c r="L2152" s="375"/>
      <c r="M2152" s="368"/>
      <c r="N2152" s="368"/>
      <c r="O2152" s="370"/>
      <c r="T2152" s="349"/>
      <c r="V2152" s="378"/>
      <c r="W2152" s="64" ph="1"/>
      <c r="X2152" s="241"/>
      <c r="Y2152" s="284"/>
      <c r="Z2152" s="207"/>
      <c r="AA2152" s="284"/>
      <c r="AB2152" s="284"/>
      <c r="AC2152" s="284"/>
      <c r="AD2152" s="284"/>
      <c r="AE2152" s="284"/>
      <c r="AF2152" s="284"/>
      <c r="AG2152" s="284"/>
    </row>
    <row r="2153" spans="1:33" ht="26.4">
      <c r="A2153" s="284"/>
      <c r="B2153" s="284"/>
      <c r="C2153" s="284"/>
      <c r="D2153" s="284"/>
      <c r="E2153" s="284"/>
      <c r="F2153" s="284"/>
      <c r="G2153" s="284"/>
      <c r="H2153" s="284"/>
      <c r="I2153" s="284"/>
      <c r="J2153" s="375"/>
      <c r="K2153" s="375"/>
      <c r="L2153" s="375"/>
      <c r="M2153" s="368"/>
      <c r="N2153" s="368"/>
      <c r="O2153" s="370"/>
      <c r="T2153" s="349"/>
      <c r="V2153" s="378"/>
      <c r="W2153" s="64" ph="1"/>
      <c r="X2153" s="241"/>
      <c r="Y2153" s="284"/>
      <c r="Z2153" s="207"/>
      <c r="AA2153" s="284"/>
      <c r="AB2153" s="284"/>
      <c r="AC2153" s="284"/>
      <c r="AD2153" s="284"/>
      <c r="AE2153" s="284"/>
      <c r="AF2153" s="284"/>
      <c r="AG2153" s="284"/>
    </row>
    <row r="2154" spans="1:33" ht="26.4">
      <c r="A2154" s="284"/>
      <c r="B2154" s="284"/>
      <c r="C2154" s="284"/>
      <c r="D2154" s="284"/>
      <c r="E2154" s="284"/>
      <c r="F2154" s="284"/>
      <c r="G2154" s="284"/>
      <c r="H2154" s="284"/>
      <c r="I2154" s="284"/>
      <c r="J2154" s="375"/>
      <c r="K2154" s="375"/>
      <c r="L2154" s="375"/>
      <c r="M2154" s="368"/>
      <c r="N2154" s="368"/>
      <c r="O2154" s="370"/>
      <c r="T2154" s="349"/>
      <c r="V2154" s="378"/>
      <c r="W2154" s="64" ph="1"/>
      <c r="X2154" s="241"/>
      <c r="Y2154" s="284"/>
      <c r="Z2154" s="207"/>
      <c r="AA2154" s="284"/>
      <c r="AB2154" s="284"/>
      <c r="AC2154" s="284"/>
      <c r="AD2154" s="284"/>
      <c r="AE2154" s="284"/>
      <c r="AF2154" s="284"/>
      <c r="AG2154" s="284"/>
    </row>
    <row r="2155" spans="1:33" ht="26.4">
      <c r="A2155" s="284"/>
      <c r="B2155" s="284"/>
      <c r="C2155" s="284"/>
      <c r="D2155" s="284"/>
      <c r="E2155" s="284"/>
      <c r="F2155" s="284"/>
      <c r="G2155" s="284"/>
      <c r="H2155" s="284"/>
      <c r="I2155" s="284"/>
      <c r="J2155" s="375"/>
      <c r="K2155" s="375"/>
      <c r="L2155" s="375"/>
      <c r="M2155" s="368"/>
      <c r="N2155" s="368"/>
      <c r="O2155" s="370"/>
      <c r="T2155" s="349"/>
      <c r="V2155" s="378"/>
      <c r="W2155" s="64" ph="1"/>
      <c r="X2155" s="241"/>
      <c r="Y2155" s="284"/>
      <c r="Z2155" s="207"/>
      <c r="AA2155" s="284"/>
      <c r="AB2155" s="284"/>
      <c r="AC2155" s="284"/>
      <c r="AD2155" s="284"/>
      <c r="AE2155" s="284"/>
      <c r="AF2155" s="284"/>
      <c r="AG2155" s="284"/>
    </row>
    <row r="2156" spans="1:33" ht="26.4">
      <c r="A2156" s="284"/>
      <c r="B2156" s="284"/>
      <c r="C2156" s="284"/>
      <c r="D2156" s="284"/>
      <c r="E2156" s="284"/>
      <c r="F2156" s="284"/>
      <c r="G2156" s="284"/>
      <c r="H2156" s="284"/>
      <c r="I2156" s="284"/>
      <c r="J2156" s="375"/>
      <c r="K2156" s="375"/>
      <c r="L2156" s="375"/>
      <c r="M2156" s="368"/>
      <c r="N2156" s="368"/>
      <c r="O2156" s="370"/>
      <c r="T2156" s="349"/>
      <c r="V2156" s="378"/>
      <c r="W2156" s="64" ph="1"/>
      <c r="X2156" s="241"/>
      <c r="Y2156" s="284"/>
      <c r="Z2156" s="207"/>
      <c r="AA2156" s="284"/>
      <c r="AB2156" s="284"/>
      <c r="AC2156" s="284"/>
      <c r="AD2156" s="284"/>
      <c r="AE2156" s="284"/>
      <c r="AF2156" s="284"/>
      <c r="AG2156" s="284"/>
    </row>
    <row r="2157" spans="1:33" ht="26.4">
      <c r="A2157" s="284"/>
      <c r="B2157" s="284"/>
      <c r="C2157" s="284"/>
      <c r="D2157" s="284"/>
      <c r="E2157" s="284"/>
      <c r="F2157" s="284"/>
      <c r="G2157" s="284"/>
      <c r="H2157" s="284"/>
      <c r="I2157" s="284"/>
      <c r="J2157" s="375"/>
      <c r="K2157" s="375"/>
      <c r="L2157" s="375"/>
      <c r="M2157" s="368"/>
      <c r="N2157" s="368"/>
      <c r="O2157" s="370"/>
      <c r="T2157" s="349"/>
      <c r="V2157" s="378"/>
      <c r="W2157" s="64" ph="1"/>
      <c r="X2157" s="241"/>
      <c r="Y2157" s="284"/>
      <c r="Z2157" s="207"/>
      <c r="AA2157" s="284"/>
      <c r="AB2157" s="284"/>
      <c r="AC2157" s="284"/>
      <c r="AD2157" s="284"/>
      <c r="AE2157" s="284"/>
      <c r="AF2157" s="284"/>
      <c r="AG2157" s="284"/>
    </row>
    <row r="2158" spans="1:33" ht="26.4">
      <c r="A2158" s="284"/>
      <c r="B2158" s="284"/>
      <c r="C2158" s="284"/>
      <c r="D2158" s="284"/>
      <c r="E2158" s="284"/>
      <c r="F2158" s="284"/>
      <c r="G2158" s="284"/>
      <c r="H2158" s="284"/>
      <c r="I2158" s="284"/>
      <c r="J2158" s="375"/>
      <c r="K2158" s="375"/>
      <c r="L2158" s="375"/>
      <c r="M2158" s="368"/>
      <c r="N2158" s="368"/>
      <c r="O2158" s="370"/>
      <c r="T2158" s="349"/>
      <c r="V2158" s="378"/>
      <c r="W2158" s="64" ph="1"/>
      <c r="X2158" s="241"/>
      <c r="Y2158" s="284"/>
      <c r="Z2158" s="207"/>
      <c r="AA2158" s="284"/>
      <c r="AB2158" s="284"/>
      <c r="AC2158" s="284"/>
      <c r="AD2158" s="284"/>
      <c r="AE2158" s="284"/>
      <c r="AF2158" s="284"/>
      <c r="AG2158" s="284"/>
    </row>
    <row r="2159" spans="1:33" ht="26.4">
      <c r="A2159" s="284"/>
      <c r="B2159" s="284"/>
      <c r="C2159" s="284"/>
      <c r="D2159" s="284"/>
      <c r="E2159" s="284"/>
      <c r="F2159" s="284"/>
      <c r="G2159" s="284"/>
      <c r="H2159" s="284"/>
      <c r="I2159" s="284"/>
      <c r="J2159" s="375"/>
      <c r="K2159" s="375"/>
      <c r="L2159" s="375"/>
      <c r="M2159" s="368"/>
      <c r="N2159" s="368"/>
      <c r="O2159" s="370"/>
      <c r="T2159" s="349"/>
      <c r="V2159" s="378"/>
      <c r="W2159" s="64" ph="1"/>
      <c r="X2159" s="241"/>
      <c r="Y2159" s="284"/>
      <c r="Z2159" s="207"/>
      <c r="AA2159" s="284"/>
      <c r="AB2159" s="284"/>
      <c r="AC2159" s="284"/>
      <c r="AD2159" s="284"/>
      <c r="AE2159" s="284"/>
      <c r="AF2159" s="284"/>
      <c r="AG2159" s="284"/>
    </row>
    <row r="2160" spans="1:33" ht="26.4">
      <c r="A2160" s="284"/>
      <c r="B2160" s="284"/>
      <c r="C2160" s="284"/>
      <c r="D2160" s="284"/>
      <c r="E2160" s="284"/>
      <c r="F2160" s="284"/>
      <c r="G2160" s="284"/>
      <c r="H2160" s="284"/>
      <c r="I2160" s="284"/>
      <c r="J2160" s="375"/>
      <c r="K2160" s="375"/>
      <c r="L2160" s="375"/>
      <c r="M2160" s="368"/>
      <c r="N2160" s="368"/>
      <c r="O2160" s="370"/>
      <c r="T2160" s="349"/>
      <c r="V2160" s="378"/>
      <c r="W2160" s="64" ph="1"/>
      <c r="X2160" s="241"/>
      <c r="Y2160" s="284"/>
      <c r="Z2160" s="207"/>
      <c r="AA2160" s="284"/>
      <c r="AB2160" s="284"/>
      <c r="AC2160" s="284"/>
      <c r="AD2160" s="284"/>
      <c r="AE2160" s="284"/>
      <c r="AF2160" s="284"/>
      <c r="AG2160" s="284"/>
    </row>
    <row r="2161" spans="1:33" ht="26.4">
      <c r="A2161" s="284"/>
      <c r="B2161" s="284"/>
      <c r="C2161" s="284"/>
      <c r="D2161" s="284"/>
      <c r="E2161" s="284"/>
      <c r="F2161" s="284"/>
      <c r="G2161" s="284"/>
      <c r="H2161" s="284"/>
      <c r="I2161" s="284"/>
      <c r="J2161" s="375"/>
      <c r="K2161" s="375"/>
      <c r="L2161" s="375"/>
      <c r="M2161" s="368"/>
      <c r="N2161" s="368"/>
      <c r="O2161" s="370"/>
      <c r="T2161" s="349"/>
      <c r="V2161" s="378"/>
      <c r="W2161" s="64" ph="1"/>
      <c r="X2161" s="241"/>
      <c r="Y2161" s="284"/>
      <c r="Z2161" s="207"/>
      <c r="AA2161" s="284"/>
      <c r="AB2161" s="284"/>
      <c r="AC2161" s="284"/>
      <c r="AD2161" s="284"/>
      <c r="AE2161" s="284"/>
      <c r="AF2161" s="284"/>
      <c r="AG2161" s="284"/>
    </row>
    <row r="2162" spans="1:33" ht="26.4">
      <c r="A2162" s="284"/>
      <c r="B2162" s="284"/>
      <c r="C2162" s="284"/>
      <c r="D2162" s="284"/>
      <c r="E2162" s="284"/>
      <c r="F2162" s="284"/>
      <c r="G2162" s="284"/>
      <c r="H2162" s="284"/>
      <c r="I2162" s="284"/>
      <c r="J2162" s="375"/>
      <c r="K2162" s="375"/>
      <c r="L2162" s="375"/>
      <c r="M2162" s="368"/>
      <c r="N2162" s="368"/>
      <c r="O2162" s="370"/>
      <c r="T2162" s="349"/>
      <c r="V2162" s="378"/>
      <c r="W2162" s="64" ph="1"/>
      <c r="X2162" s="241"/>
      <c r="Y2162" s="284"/>
      <c r="Z2162" s="207"/>
      <c r="AA2162" s="284"/>
      <c r="AB2162" s="284"/>
      <c r="AC2162" s="284"/>
      <c r="AD2162" s="284"/>
      <c r="AE2162" s="284"/>
      <c r="AF2162" s="284"/>
      <c r="AG2162" s="284"/>
    </row>
    <row r="2163" spans="1:33" ht="26.4">
      <c r="A2163" s="284"/>
      <c r="B2163" s="284"/>
      <c r="C2163" s="284"/>
      <c r="D2163" s="284"/>
      <c r="E2163" s="284"/>
      <c r="F2163" s="284"/>
      <c r="G2163" s="284"/>
      <c r="H2163" s="284"/>
      <c r="I2163" s="284"/>
      <c r="J2163" s="375"/>
      <c r="K2163" s="375"/>
      <c r="L2163" s="375"/>
      <c r="M2163" s="368"/>
      <c r="N2163" s="368"/>
      <c r="O2163" s="370"/>
      <c r="T2163" s="349"/>
      <c r="V2163" s="378"/>
      <c r="W2163" s="64" ph="1"/>
      <c r="X2163" s="241"/>
      <c r="Y2163" s="284"/>
      <c r="Z2163" s="207"/>
      <c r="AA2163" s="284"/>
      <c r="AB2163" s="284"/>
      <c r="AC2163" s="284"/>
      <c r="AD2163" s="284"/>
      <c r="AE2163" s="284"/>
      <c r="AF2163" s="284"/>
      <c r="AG2163" s="284"/>
    </row>
    <row r="2164" spans="1:33" ht="26.4">
      <c r="A2164" s="284"/>
      <c r="B2164" s="284"/>
      <c r="C2164" s="284"/>
      <c r="D2164" s="284"/>
      <c r="E2164" s="284"/>
      <c r="F2164" s="284"/>
      <c r="G2164" s="284"/>
      <c r="H2164" s="284"/>
      <c r="I2164" s="284"/>
      <c r="J2164" s="375"/>
      <c r="K2164" s="375"/>
      <c r="L2164" s="375"/>
      <c r="M2164" s="368"/>
      <c r="N2164" s="368"/>
      <c r="O2164" s="370"/>
      <c r="T2164" s="349"/>
      <c r="V2164" s="378"/>
      <c r="W2164" s="64" ph="1"/>
      <c r="X2164" s="241"/>
      <c r="Y2164" s="284"/>
      <c r="Z2164" s="207"/>
      <c r="AA2164" s="284"/>
      <c r="AB2164" s="284"/>
      <c r="AC2164" s="284"/>
      <c r="AD2164" s="284"/>
      <c r="AE2164" s="284"/>
      <c r="AF2164" s="284"/>
      <c r="AG2164" s="284"/>
    </row>
    <row r="2165" spans="1:33" ht="26.4">
      <c r="A2165" s="284"/>
      <c r="B2165" s="284"/>
      <c r="C2165" s="284"/>
      <c r="D2165" s="284"/>
      <c r="E2165" s="284"/>
      <c r="F2165" s="284"/>
      <c r="G2165" s="284"/>
      <c r="H2165" s="284"/>
      <c r="I2165" s="284"/>
      <c r="J2165" s="375"/>
      <c r="K2165" s="375"/>
      <c r="L2165" s="375"/>
      <c r="M2165" s="368"/>
      <c r="N2165" s="368"/>
      <c r="O2165" s="370"/>
      <c r="T2165" s="349"/>
      <c r="V2165" s="378"/>
      <c r="W2165" s="64" ph="1"/>
      <c r="X2165" s="241"/>
      <c r="Y2165" s="284"/>
      <c r="Z2165" s="207"/>
      <c r="AA2165" s="284"/>
      <c r="AB2165" s="284"/>
      <c r="AC2165" s="284"/>
      <c r="AD2165" s="284"/>
      <c r="AE2165" s="284"/>
      <c r="AF2165" s="284"/>
      <c r="AG2165" s="284"/>
    </row>
    <row r="2166" spans="1:33" ht="26.4">
      <c r="A2166" s="284"/>
      <c r="B2166" s="284"/>
      <c r="C2166" s="284"/>
      <c r="D2166" s="284"/>
      <c r="E2166" s="284"/>
      <c r="F2166" s="284"/>
      <c r="G2166" s="284"/>
      <c r="H2166" s="284"/>
      <c r="I2166" s="284"/>
      <c r="J2166" s="375"/>
      <c r="K2166" s="375"/>
      <c r="L2166" s="375"/>
      <c r="M2166" s="368"/>
      <c r="N2166" s="368"/>
      <c r="O2166" s="370"/>
      <c r="T2166" s="349"/>
      <c r="V2166" s="378"/>
      <c r="W2166" s="64" ph="1"/>
      <c r="X2166" s="241"/>
      <c r="Y2166" s="284"/>
      <c r="Z2166" s="207"/>
      <c r="AA2166" s="284"/>
      <c r="AB2166" s="284"/>
      <c r="AC2166" s="284"/>
      <c r="AD2166" s="284"/>
      <c r="AE2166" s="284"/>
      <c r="AF2166" s="284"/>
      <c r="AG2166" s="284"/>
    </row>
    <row r="2167" spans="1:33" ht="26.4">
      <c r="A2167" s="284"/>
      <c r="B2167" s="284"/>
      <c r="C2167" s="284"/>
      <c r="D2167" s="284"/>
      <c r="E2167" s="284"/>
      <c r="F2167" s="284"/>
      <c r="G2167" s="284"/>
      <c r="H2167" s="284"/>
      <c r="I2167" s="284"/>
      <c r="J2167" s="375"/>
      <c r="K2167" s="375"/>
      <c r="L2167" s="375"/>
      <c r="M2167" s="368"/>
      <c r="N2167" s="368"/>
      <c r="O2167" s="370"/>
      <c r="T2167" s="349"/>
      <c r="V2167" s="378"/>
      <c r="W2167" s="64" ph="1"/>
      <c r="X2167" s="241"/>
      <c r="Y2167" s="284"/>
      <c r="Z2167" s="207"/>
      <c r="AA2167" s="284"/>
      <c r="AB2167" s="284"/>
      <c r="AC2167" s="284"/>
      <c r="AD2167" s="284"/>
      <c r="AE2167" s="284"/>
      <c r="AF2167" s="284"/>
      <c r="AG2167" s="284"/>
    </row>
    <row r="2168" spans="1:33" ht="26.4">
      <c r="A2168" s="284"/>
      <c r="B2168" s="284"/>
      <c r="C2168" s="284"/>
      <c r="D2168" s="284"/>
      <c r="E2168" s="284"/>
      <c r="F2168" s="284"/>
      <c r="G2168" s="284"/>
      <c r="H2168" s="284"/>
      <c r="I2168" s="284"/>
      <c r="J2168" s="375"/>
      <c r="K2168" s="375"/>
      <c r="L2168" s="375"/>
      <c r="M2168" s="368"/>
      <c r="N2168" s="368"/>
      <c r="O2168" s="370"/>
      <c r="T2168" s="349"/>
      <c r="V2168" s="378"/>
      <c r="W2168" s="64" ph="1"/>
      <c r="X2168" s="241"/>
      <c r="Y2168" s="284"/>
      <c r="Z2168" s="207"/>
      <c r="AA2168" s="284"/>
      <c r="AB2168" s="284"/>
      <c r="AC2168" s="284"/>
      <c r="AD2168" s="284"/>
      <c r="AE2168" s="284"/>
      <c r="AF2168" s="284"/>
      <c r="AG2168" s="284"/>
    </row>
    <row r="2169" spans="1:33" ht="26.4">
      <c r="A2169" s="284"/>
      <c r="B2169" s="284"/>
      <c r="C2169" s="284"/>
      <c r="D2169" s="284"/>
      <c r="E2169" s="284"/>
      <c r="F2169" s="284"/>
      <c r="G2169" s="284"/>
      <c r="H2169" s="284"/>
      <c r="I2169" s="284"/>
      <c r="J2169" s="375"/>
      <c r="K2169" s="375"/>
      <c r="L2169" s="375"/>
      <c r="M2169" s="368"/>
      <c r="N2169" s="368"/>
      <c r="O2169" s="370"/>
      <c r="T2169" s="349"/>
      <c r="V2169" s="378"/>
      <c r="W2169" s="64" ph="1"/>
      <c r="X2169" s="241"/>
      <c r="Y2169" s="284"/>
      <c r="Z2169" s="207"/>
      <c r="AA2169" s="284"/>
      <c r="AB2169" s="284"/>
      <c r="AC2169" s="284"/>
      <c r="AD2169" s="284"/>
      <c r="AE2169" s="284"/>
      <c r="AF2169" s="284"/>
      <c r="AG2169" s="284"/>
    </row>
    <row r="2170" spans="1:33" ht="26.4">
      <c r="A2170" s="284"/>
      <c r="B2170" s="284"/>
      <c r="C2170" s="284"/>
      <c r="D2170" s="284"/>
      <c r="E2170" s="284"/>
      <c r="F2170" s="284"/>
      <c r="G2170" s="284"/>
      <c r="H2170" s="284"/>
      <c r="I2170" s="284"/>
      <c r="J2170" s="375"/>
      <c r="K2170" s="375"/>
      <c r="L2170" s="375"/>
      <c r="M2170" s="368"/>
      <c r="N2170" s="368"/>
      <c r="O2170" s="370"/>
      <c r="T2170" s="349"/>
      <c r="V2170" s="378"/>
      <c r="W2170" s="64" ph="1"/>
      <c r="X2170" s="241"/>
      <c r="Y2170" s="284"/>
      <c r="Z2170" s="207"/>
      <c r="AA2170" s="284"/>
      <c r="AB2170" s="284"/>
      <c r="AC2170" s="284"/>
      <c r="AD2170" s="284"/>
      <c r="AE2170" s="284"/>
      <c r="AF2170" s="284"/>
      <c r="AG2170" s="284"/>
    </row>
    <row r="2171" spans="1:33" ht="26.4">
      <c r="A2171" s="284"/>
      <c r="B2171" s="284"/>
      <c r="C2171" s="284"/>
      <c r="D2171" s="284"/>
      <c r="E2171" s="284"/>
      <c r="F2171" s="284"/>
      <c r="G2171" s="284"/>
      <c r="H2171" s="284"/>
      <c r="I2171" s="284"/>
      <c r="J2171" s="375"/>
      <c r="K2171" s="375"/>
      <c r="L2171" s="375"/>
      <c r="M2171" s="368"/>
      <c r="N2171" s="368"/>
      <c r="O2171" s="370"/>
      <c r="T2171" s="349"/>
      <c r="V2171" s="378"/>
      <c r="W2171" s="64" ph="1"/>
      <c r="X2171" s="241"/>
      <c r="Y2171" s="284"/>
      <c r="Z2171" s="207"/>
      <c r="AA2171" s="284"/>
      <c r="AB2171" s="284"/>
      <c r="AC2171" s="284"/>
      <c r="AD2171" s="284"/>
      <c r="AE2171" s="284"/>
      <c r="AF2171" s="284"/>
      <c r="AG2171" s="284"/>
    </row>
    <row r="2172" spans="1:33" ht="26.4">
      <c r="A2172" s="284"/>
      <c r="B2172" s="284"/>
      <c r="C2172" s="284"/>
      <c r="D2172" s="284"/>
      <c r="E2172" s="284"/>
      <c r="F2172" s="284"/>
      <c r="G2172" s="284"/>
      <c r="H2172" s="284"/>
      <c r="I2172" s="284"/>
      <c r="J2172" s="375"/>
      <c r="K2172" s="375"/>
      <c r="L2172" s="375"/>
      <c r="M2172" s="368"/>
      <c r="N2172" s="368"/>
      <c r="O2172" s="370"/>
      <c r="T2172" s="349"/>
      <c r="V2172" s="378"/>
      <c r="W2172" s="64" ph="1"/>
      <c r="X2172" s="241"/>
      <c r="Y2172" s="284"/>
      <c r="Z2172" s="207"/>
      <c r="AA2172" s="284"/>
      <c r="AB2172" s="284"/>
      <c r="AC2172" s="284"/>
      <c r="AD2172" s="284"/>
      <c r="AE2172" s="284"/>
      <c r="AF2172" s="284"/>
      <c r="AG2172" s="284"/>
    </row>
    <row r="2173" spans="1:33" ht="26.4">
      <c r="A2173" s="284"/>
      <c r="B2173" s="284"/>
      <c r="C2173" s="284"/>
      <c r="D2173" s="284"/>
      <c r="E2173" s="284"/>
      <c r="F2173" s="284"/>
      <c r="G2173" s="284"/>
      <c r="H2173" s="284"/>
      <c r="I2173" s="284"/>
      <c r="J2173" s="375"/>
      <c r="K2173" s="375"/>
      <c r="L2173" s="375"/>
      <c r="M2173" s="368"/>
      <c r="N2173" s="368"/>
      <c r="O2173" s="370"/>
      <c r="T2173" s="349"/>
      <c r="V2173" s="378"/>
      <c r="W2173" s="64" ph="1"/>
      <c r="X2173" s="241"/>
      <c r="Y2173" s="284"/>
      <c r="Z2173" s="207"/>
      <c r="AA2173" s="284"/>
      <c r="AB2173" s="284"/>
      <c r="AC2173" s="284"/>
      <c r="AD2173" s="284"/>
      <c r="AE2173" s="284"/>
      <c r="AF2173" s="284"/>
      <c r="AG2173" s="284"/>
    </row>
    <row r="2174" spans="1:33" ht="26.4">
      <c r="A2174" s="284"/>
      <c r="B2174" s="284"/>
      <c r="C2174" s="284"/>
      <c r="D2174" s="284"/>
      <c r="E2174" s="284"/>
      <c r="F2174" s="284"/>
      <c r="G2174" s="284"/>
      <c r="H2174" s="284"/>
      <c r="I2174" s="284"/>
      <c r="J2174" s="375"/>
      <c r="K2174" s="375"/>
      <c r="L2174" s="375"/>
      <c r="M2174" s="368"/>
      <c r="N2174" s="368"/>
      <c r="O2174" s="370"/>
      <c r="T2174" s="349"/>
      <c r="V2174" s="378"/>
      <c r="W2174" s="64" ph="1"/>
      <c r="X2174" s="241"/>
      <c r="Y2174" s="284"/>
      <c r="Z2174" s="207"/>
      <c r="AA2174" s="284"/>
      <c r="AB2174" s="284"/>
      <c r="AC2174" s="284"/>
      <c r="AD2174" s="284"/>
      <c r="AE2174" s="284"/>
      <c r="AF2174" s="284"/>
      <c r="AG2174" s="284"/>
    </row>
    <row r="2175" spans="1:33" ht="26.4">
      <c r="A2175" s="284"/>
      <c r="B2175" s="284"/>
      <c r="C2175" s="284"/>
      <c r="D2175" s="284"/>
      <c r="E2175" s="284"/>
      <c r="F2175" s="284"/>
      <c r="G2175" s="284"/>
      <c r="H2175" s="284"/>
      <c r="I2175" s="284"/>
      <c r="J2175" s="375"/>
      <c r="K2175" s="375"/>
      <c r="L2175" s="375"/>
      <c r="M2175" s="368"/>
      <c r="N2175" s="368"/>
      <c r="O2175" s="370"/>
      <c r="T2175" s="349"/>
      <c r="V2175" s="378"/>
      <c r="W2175" s="64" ph="1"/>
      <c r="X2175" s="241"/>
      <c r="Y2175" s="284"/>
      <c r="Z2175" s="207"/>
      <c r="AA2175" s="284"/>
      <c r="AB2175" s="284"/>
      <c r="AC2175" s="284"/>
      <c r="AD2175" s="284"/>
      <c r="AE2175" s="284"/>
      <c r="AF2175" s="284"/>
      <c r="AG2175" s="284"/>
    </row>
    <row r="2176" spans="1:33" ht="26.4">
      <c r="A2176" s="284"/>
      <c r="B2176" s="284"/>
      <c r="C2176" s="284"/>
      <c r="D2176" s="284"/>
      <c r="E2176" s="284"/>
      <c r="F2176" s="284"/>
      <c r="G2176" s="284"/>
      <c r="H2176" s="284"/>
      <c r="I2176" s="284"/>
      <c r="J2176" s="375"/>
      <c r="K2176" s="375"/>
      <c r="L2176" s="375"/>
      <c r="M2176" s="368"/>
      <c r="N2176" s="368"/>
      <c r="O2176" s="370"/>
      <c r="T2176" s="349"/>
      <c r="V2176" s="378"/>
      <c r="W2176" s="64" ph="1"/>
      <c r="X2176" s="241"/>
      <c r="Y2176" s="284"/>
      <c r="Z2176" s="207"/>
      <c r="AA2176" s="284"/>
      <c r="AB2176" s="284"/>
      <c r="AC2176" s="284"/>
      <c r="AD2176" s="284"/>
      <c r="AE2176" s="284"/>
      <c r="AF2176" s="284"/>
      <c r="AG2176" s="284"/>
    </row>
    <row r="2177" spans="1:33" ht="26.4">
      <c r="A2177" s="284"/>
      <c r="B2177" s="284"/>
      <c r="C2177" s="284"/>
      <c r="D2177" s="284"/>
      <c r="E2177" s="284"/>
      <c r="F2177" s="284"/>
      <c r="G2177" s="284"/>
      <c r="H2177" s="284"/>
      <c r="I2177" s="284"/>
      <c r="J2177" s="375"/>
      <c r="K2177" s="375"/>
      <c r="L2177" s="375"/>
      <c r="M2177" s="368"/>
      <c r="N2177" s="368"/>
      <c r="O2177" s="370"/>
      <c r="T2177" s="349"/>
      <c r="V2177" s="378"/>
      <c r="W2177" s="64" ph="1"/>
      <c r="X2177" s="241"/>
      <c r="Y2177" s="284"/>
      <c r="Z2177" s="207"/>
      <c r="AA2177" s="284"/>
      <c r="AB2177" s="284"/>
      <c r="AC2177" s="284"/>
      <c r="AD2177" s="284"/>
      <c r="AE2177" s="284"/>
      <c r="AF2177" s="284"/>
      <c r="AG2177" s="284"/>
    </row>
    <row r="2178" spans="1:33" ht="26.4">
      <c r="A2178" s="284"/>
      <c r="B2178" s="284"/>
      <c r="C2178" s="284"/>
      <c r="D2178" s="284"/>
      <c r="E2178" s="284"/>
      <c r="F2178" s="284"/>
      <c r="G2178" s="284"/>
      <c r="H2178" s="284"/>
      <c r="I2178" s="284"/>
      <c r="J2178" s="375"/>
      <c r="K2178" s="375"/>
      <c r="L2178" s="375"/>
      <c r="M2178" s="368"/>
      <c r="N2178" s="368"/>
      <c r="O2178" s="370"/>
      <c r="T2178" s="349"/>
      <c r="V2178" s="378"/>
      <c r="W2178" s="64" ph="1"/>
      <c r="X2178" s="241"/>
      <c r="Y2178" s="284"/>
      <c r="Z2178" s="207"/>
      <c r="AA2178" s="284"/>
      <c r="AB2178" s="284"/>
      <c r="AC2178" s="284"/>
      <c r="AD2178" s="284"/>
      <c r="AE2178" s="284"/>
      <c r="AF2178" s="284"/>
      <c r="AG2178" s="284"/>
    </row>
    <row r="2179" spans="1:33" ht="26.4">
      <c r="A2179" s="284"/>
      <c r="B2179" s="284"/>
      <c r="C2179" s="284"/>
      <c r="D2179" s="284"/>
      <c r="E2179" s="284"/>
      <c r="F2179" s="284"/>
      <c r="G2179" s="284"/>
      <c r="H2179" s="284"/>
      <c r="I2179" s="284"/>
      <c r="J2179" s="375"/>
      <c r="K2179" s="375"/>
      <c r="L2179" s="375"/>
      <c r="M2179" s="368"/>
      <c r="N2179" s="368"/>
      <c r="O2179" s="370"/>
      <c r="T2179" s="349"/>
      <c r="V2179" s="378"/>
      <c r="W2179" s="64" ph="1"/>
      <c r="X2179" s="241"/>
      <c r="Y2179" s="284"/>
      <c r="Z2179" s="207"/>
      <c r="AA2179" s="284"/>
      <c r="AB2179" s="284"/>
      <c r="AC2179" s="284"/>
      <c r="AD2179" s="284"/>
      <c r="AE2179" s="284"/>
      <c r="AF2179" s="284"/>
      <c r="AG2179" s="284"/>
    </row>
    <row r="2180" spans="1:33" ht="26.4">
      <c r="A2180" s="284"/>
      <c r="B2180" s="284"/>
      <c r="C2180" s="284"/>
      <c r="D2180" s="284"/>
      <c r="E2180" s="284"/>
      <c r="F2180" s="284"/>
      <c r="G2180" s="284"/>
      <c r="H2180" s="284"/>
      <c r="I2180" s="284"/>
      <c r="J2180" s="375"/>
      <c r="K2180" s="375"/>
      <c r="L2180" s="375"/>
      <c r="M2180" s="368"/>
      <c r="N2180" s="368"/>
      <c r="O2180" s="370"/>
      <c r="T2180" s="349"/>
      <c r="V2180" s="378"/>
      <c r="W2180" s="64" ph="1"/>
      <c r="X2180" s="241"/>
      <c r="Y2180" s="284"/>
      <c r="Z2180" s="207"/>
      <c r="AA2180" s="284"/>
      <c r="AB2180" s="284"/>
      <c r="AC2180" s="284"/>
      <c r="AD2180" s="284"/>
      <c r="AE2180" s="284"/>
      <c r="AF2180" s="284"/>
      <c r="AG2180" s="284"/>
    </row>
    <row r="2181" spans="1:33" ht="26.4">
      <c r="A2181" s="284"/>
      <c r="B2181" s="284"/>
      <c r="C2181" s="284"/>
      <c r="D2181" s="284"/>
      <c r="E2181" s="284"/>
      <c r="F2181" s="284"/>
      <c r="G2181" s="284"/>
      <c r="H2181" s="284"/>
      <c r="I2181" s="284"/>
      <c r="J2181" s="375"/>
      <c r="K2181" s="375"/>
      <c r="L2181" s="375"/>
      <c r="M2181" s="368"/>
      <c r="N2181" s="368"/>
      <c r="O2181" s="370"/>
      <c r="T2181" s="349"/>
      <c r="V2181" s="378"/>
      <c r="W2181" s="64" ph="1"/>
      <c r="X2181" s="241"/>
      <c r="Y2181" s="284"/>
      <c r="Z2181" s="207"/>
      <c r="AA2181" s="284"/>
      <c r="AB2181" s="284"/>
      <c r="AC2181" s="284"/>
      <c r="AD2181" s="284"/>
      <c r="AE2181" s="284"/>
      <c r="AF2181" s="284"/>
      <c r="AG2181" s="284"/>
    </row>
    <row r="2182" spans="1:33" ht="26.4">
      <c r="A2182" s="284"/>
      <c r="B2182" s="284"/>
      <c r="C2182" s="284"/>
      <c r="D2182" s="284"/>
      <c r="E2182" s="284"/>
      <c r="F2182" s="284"/>
      <c r="G2182" s="284"/>
      <c r="H2182" s="284"/>
      <c r="I2182" s="284"/>
      <c r="J2182" s="375"/>
      <c r="K2182" s="375"/>
      <c r="L2182" s="375"/>
      <c r="M2182" s="368"/>
      <c r="N2182" s="368"/>
      <c r="O2182" s="370"/>
      <c r="T2182" s="349"/>
      <c r="V2182" s="378"/>
      <c r="W2182" s="64" ph="1"/>
      <c r="X2182" s="241"/>
      <c r="Y2182" s="284"/>
      <c r="Z2182" s="207"/>
      <c r="AA2182" s="284"/>
      <c r="AB2182" s="284"/>
      <c r="AC2182" s="284"/>
      <c r="AD2182" s="284"/>
      <c r="AE2182" s="284"/>
      <c r="AF2182" s="284"/>
      <c r="AG2182" s="284"/>
    </row>
    <row r="2183" spans="1:33" ht="26.4">
      <c r="A2183" s="284"/>
      <c r="B2183" s="284"/>
      <c r="C2183" s="284"/>
      <c r="D2183" s="284"/>
      <c r="E2183" s="284"/>
      <c r="F2183" s="284"/>
      <c r="G2183" s="284"/>
      <c r="H2183" s="284"/>
      <c r="I2183" s="284"/>
      <c r="J2183" s="375"/>
      <c r="K2183" s="375"/>
      <c r="L2183" s="375"/>
      <c r="M2183" s="368"/>
      <c r="N2183" s="368"/>
      <c r="O2183" s="370"/>
      <c r="T2183" s="349"/>
      <c r="V2183" s="378"/>
      <c r="W2183" s="64" ph="1"/>
      <c r="X2183" s="241"/>
      <c r="Y2183" s="284"/>
      <c r="Z2183" s="207"/>
      <c r="AA2183" s="284"/>
      <c r="AB2183" s="284"/>
      <c r="AC2183" s="284"/>
      <c r="AD2183" s="284"/>
      <c r="AE2183" s="284"/>
      <c r="AF2183" s="284"/>
      <c r="AG2183" s="284"/>
    </row>
    <row r="2184" spans="1:33" ht="26.4">
      <c r="A2184" s="284"/>
      <c r="B2184" s="284"/>
      <c r="C2184" s="284"/>
      <c r="D2184" s="284"/>
      <c r="E2184" s="284"/>
      <c r="F2184" s="284"/>
      <c r="G2184" s="284"/>
      <c r="H2184" s="284"/>
      <c r="I2184" s="284"/>
      <c r="J2184" s="375"/>
      <c r="K2184" s="375"/>
      <c r="L2184" s="375"/>
      <c r="M2184" s="368"/>
      <c r="N2184" s="368"/>
      <c r="O2184" s="370"/>
      <c r="T2184" s="349"/>
      <c r="V2184" s="378"/>
      <c r="W2184" s="64" ph="1"/>
      <c r="X2184" s="241"/>
      <c r="Y2184" s="284"/>
      <c r="Z2184" s="207"/>
      <c r="AA2184" s="284"/>
      <c r="AB2184" s="284"/>
      <c r="AC2184" s="284"/>
      <c r="AD2184" s="284"/>
      <c r="AE2184" s="284"/>
      <c r="AF2184" s="284"/>
      <c r="AG2184" s="284"/>
    </row>
    <row r="2185" spans="1:33" ht="26.4">
      <c r="A2185" s="284"/>
      <c r="B2185" s="284"/>
      <c r="C2185" s="284"/>
      <c r="D2185" s="284"/>
      <c r="E2185" s="284"/>
      <c r="F2185" s="284"/>
      <c r="G2185" s="284"/>
      <c r="H2185" s="284"/>
      <c r="I2185" s="284"/>
      <c r="J2185" s="375"/>
      <c r="K2185" s="375"/>
      <c r="L2185" s="375"/>
      <c r="M2185" s="368"/>
      <c r="N2185" s="368"/>
      <c r="O2185" s="370"/>
      <c r="T2185" s="349"/>
      <c r="V2185" s="378"/>
      <c r="W2185" s="64" ph="1"/>
      <c r="X2185" s="241"/>
      <c r="Y2185" s="284"/>
      <c r="Z2185" s="207"/>
      <c r="AA2185" s="284"/>
      <c r="AB2185" s="284"/>
      <c r="AC2185" s="284"/>
      <c r="AD2185" s="284"/>
      <c r="AE2185" s="284"/>
      <c r="AF2185" s="284"/>
      <c r="AG2185" s="284"/>
    </row>
    <row r="2186" spans="1:33" ht="26.4">
      <c r="A2186" s="284"/>
      <c r="B2186" s="284"/>
      <c r="C2186" s="284"/>
      <c r="D2186" s="284"/>
      <c r="E2186" s="284"/>
      <c r="F2186" s="284"/>
      <c r="G2186" s="284"/>
      <c r="H2186" s="284"/>
      <c r="I2186" s="284"/>
      <c r="J2186" s="375"/>
      <c r="K2186" s="375"/>
      <c r="L2186" s="375"/>
      <c r="M2186" s="368"/>
      <c r="N2186" s="368"/>
      <c r="O2186" s="370"/>
      <c r="T2186" s="349"/>
      <c r="V2186" s="378"/>
      <c r="W2186" s="64" ph="1"/>
      <c r="X2186" s="241"/>
      <c r="Y2186" s="284"/>
      <c r="Z2186" s="207"/>
      <c r="AA2186" s="284"/>
      <c r="AB2186" s="284"/>
      <c r="AC2186" s="284"/>
      <c r="AD2186" s="284"/>
      <c r="AE2186" s="284"/>
      <c r="AF2186" s="284"/>
      <c r="AG2186" s="284"/>
    </row>
    <row r="2187" spans="1:33" ht="26.4">
      <c r="A2187" s="284"/>
      <c r="B2187" s="284"/>
      <c r="C2187" s="284"/>
      <c r="D2187" s="284"/>
      <c r="E2187" s="284"/>
      <c r="F2187" s="284"/>
      <c r="G2187" s="284"/>
      <c r="H2187" s="284"/>
      <c r="I2187" s="284"/>
      <c r="J2187" s="375"/>
      <c r="K2187" s="375"/>
      <c r="L2187" s="375"/>
      <c r="M2187" s="368"/>
      <c r="N2187" s="368"/>
      <c r="O2187" s="370"/>
      <c r="T2187" s="349"/>
      <c r="V2187" s="378"/>
      <c r="W2187" s="64" ph="1"/>
      <c r="X2187" s="241"/>
      <c r="Y2187" s="284"/>
      <c r="Z2187" s="207"/>
      <c r="AA2187" s="284"/>
      <c r="AB2187" s="284"/>
      <c r="AC2187" s="284"/>
      <c r="AD2187" s="284"/>
      <c r="AE2187" s="284"/>
      <c r="AF2187" s="284"/>
      <c r="AG2187" s="284"/>
    </row>
    <row r="2188" spans="1:33" ht="26.4">
      <c r="A2188" s="284"/>
      <c r="B2188" s="284"/>
      <c r="C2188" s="284"/>
      <c r="D2188" s="284"/>
      <c r="E2188" s="284"/>
      <c r="F2188" s="284"/>
      <c r="G2188" s="284"/>
      <c r="H2188" s="284"/>
      <c r="I2188" s="284"/>
      <c r="J2188" s="375"/>
      <c r="K2188" s="375"/>
      <c r="L2188" s="375"/>
      <c r="M2188" s="368"/>
      <c r="N2188" s="368"/>
      <c r="O2188" s="370"/>
      <c r="T2188" s="349"/>
      <c r="V2188" s="378"/>
      <c r="W2188" s="64" ph="1"/>
      <c r="X2188" s="241"/>
      <c r="Y2188" s="284"/>
      <c r="Z2188" s="207"/>
      <c r="AA2188" s="284"/>
      <c r="AB2188" s="284"/>
      <c r="AC2188" s="284"/>
      <c r="AD2188" s="284"/>
      <c r="AE2188" s="284"/>
      <c r="AF2188" s="284"/>
      <c r="AG2188" s="284"/>
    </row>
    <row r="2189" spans="1:33" ht="26.4">
      <c r="A2189" s="284"/>
      <c r="B2189" s="284"/>
      <c r="C2189" s="284"/>
      <c r="D2189" s="284"/>
      <c r="E2189" s="284"/>
      <c r="F2189" s="284"/>
      <c r="G2189" s="284"/>
      <c r="H2189" s="284"/>
      <c r="I2189" s="284"/>
      <c r="J2189" s="375"/>
      <c r="K2189" s="375"/>
      <c r="L2189" s="375"/>
      <c r="M2189" s="368"/>
      <c r="N2189" s="368"/>
      <c r="O2189" s="370"/>
      <c r="T2189" s="349"/>
      <c r="V2189" s="378"/>
      <c r="W2189" s="64" ph="1"/>
      <c r="X2189" s="241"/>
      <c r="Y2189" s="284"/>
      <c r="Z2189" s="207"/>
      <c r="AA2189" s="284"/>
      <c r="AB2189" s="284"/>
      <c r="AC2189" s="284"/>
      <c r="AD2189" s="284"/>
      <c r="AE2189" s="284"/>
      <c r="AF2189" s="284"/>
      <c r="AG2189" s="284"/>
    </row>
    <row r="2190" spans="1:33" ht="26.4">
      <c r="A2190" s="284"/>
      <c r="B2190" s="284"/>
      <c r="C2190" s="284"/>
      <c r="D2190" s="284"/>
      <c r="E2190" s="284"/>
      <c r="F2190" s="284"/>
      <c r="G2190" s="284"/>
      <c r="H2190" s="284"/>
      <c r="I2190" s="284"/>
      <c r="J2190" s="375"/>
      <c r="K2190" s="375"/>
      <c r="L2190" s="375"/>
      <c r="M2190" s="368"/>
      <c r="N2190" s="368"/>
      <c r="O2190" s="370"/>
      <c r="T2190" s="349"/>
      <c r="V2190" s="378"/>
      <c r="W2190" s="64" ph="1"/>
      <c r="X2190" s="241"/>
      <c r="Y2190" s="284"/>
      <c r="Z2190" s="207"/>
      <c r="AA2190" s="284"/>
      <c r="AB2190" s="284"/>
      <c r="AC2190" s="284"/>
      <c r="AD2190" s="284"/>
      <c r="AE2190" s="284"/>
      <c r="AF2190" s="284"/>
      <c r="AG2190" s="284"/>
    </row>
    <row r="2191" spans="1:33" ht="26.4">
      <c r="A2191" s="284"/>
      <c r="B2191" s="284"/>
      <c r="C2191" s="284"/>
      <c r="D2191" s="284"/>
      <c r="E2191" s="284"/>
      <c r="F2191" s="284"/>
      <c r="G2191" s="284"/>
      <c r="H2191" s="284"/>
      <c r="I2191" s="284"/>
      <c r="J2191" s="375"/>
      <c r="K2191" s="375"/>
      <c r="L2191" s="375"/>
      <c r="M2191" s="368"/>
      <c r="N2191" s="368"/>
      <c r="O2191" s="370"/>
      <c r="T2191" s="349"/>
      <c r="V2191" s="378"/>
      <c r="W2191" s="64" ph="1"/>
      <c r="X2191" s="241"/>
      <c r="Y2191" s="284"/>
      <c r="Z2191" s="207"/>
      <c r="AA2191" s="284"/>
      <c r="AB2191" s="284"/>
      <c r="AC2191" s="284"/>
      <c r="AD2191" s="284"/>
      <c r="AE2191" s="284"/>
      <c r="AF2191" s="284"/>
      <c r="AG2191" s="284"/>
    </row>
    <row r="2192" spans="1:33" ht="26.4">
      <c r="A2192" s="284"/>
      <c r="B2192" s="284"/>
      <c r="C2192" s="284"/>
      <c r="D2192" s="284"/>
      <c r="E2192" s="284"/>
      <c r="F2192" s="284"/>
      <c r="G2192" s="284"/>
      <c r="H2192" s="284"/>
      <c r="I2192" s="284"/>
      <c r="J2192" s="375"/>
      <c r="K2192" s="375"/>
      <c r="L2192" s="375"/>
      <c r="M2192" s="368"/>
      <c r="N2192" s="368"/>
      <c r="O2192" s="370"/>
      <c r="T2192" s="349"/>
      <c r="V2192" s="378"/>
      <c r="W2192" s="64" ph="1"/>
      <c r="X2192" s="241"/>
      <c r="Y2192" s="284"/>
      <c r="Z2192" s="207"/>
      <c r="AA2192" s="284"/>
      <c r="AB2192" s="284"/>
      <c r="AC2192" s="284"/>
      <c r="AD2192" s="284"/>
      <c r="AE2192" s="284"/>
      <c r="AF2192" s="284"/>
      <c r="AG2192" s="284"/>
    </row>
    <row r="2193" spans="1:33" ht="26.4">
      <c r="A2193" s="284"/>
      <c r="B2193" s="284"/>
      <c r="C2193" s="284"/>
      <c r="D2193" s="284"/>
      <c r="E2193" s="284"/>
      <c r="F2193" s="284"/>
      <c r="G2193" s="284"/>
      <c r="H2193" s="284"/>
      <c r="I2193" s="284"/>
      <c r="J2193" s="375"/>
      <c r="K2193" s="375"/>
      <c r="L2193" s="375"/>
      <c r="M2193" s="368"/>
      <c r="N2193" s="368"/>
      <c r="O2193" s="370"/>
      <c r="T2193" s="349"/>
      <c r="V2193" s="378"/>
      <c r="W2193" s="64" ph="1"/>
      <c r="X2193" s="241"/>
      <c r="Y2193" s="284"/>
      <c r="Z2193" s="207"/>
      <c r="AA2193" s="284"/>
      <c r="AB2193" s="284"/>
      <c r="AC2193" s="284"/>
      <c r="AD2193" s="284"/>
      <c r="AE2193" s="284"/>
      <c r="AF2193" s="284"/>
      <c r="AG2193" s="284"/>
    </row>
    <row r="2194" spans="1:33" ht="26.4">
      <c r="A2194" s="284"/>
      <c r="B2194" s="284"/>
      <c r="C2194" s="284"/>
      <c r="D2194" s="284"/>
      <c r="E2194" s="284"/>
      <c r="F2194" s="284"/>
      <c r="G2194" s="284"/>
      <c r="H2194" s="284"/>
      <c r="I2194" s="284"/>
      <c r="J2194" s="375"/>
      <c r="K2194" s="375"/>
      <c r="L2194" s="375"/>
      <c r="M2194" s="368"/>
      <c r="N2194" s="368"/>
      <c r="O2194" s="370"/>
      <c r="T2194" s="349"/>
      <c r="V2194" s="378"/>
      <c r="W2194" s="64" ph="1"/>
      <c r="X2194" s="241"/>
      <c r="Y2194" s="284"/>
      <c r="Z2194" s="207"/>
      <c r="AA2194" s="284"/>
      <c r="AB2194" s="284"/>
      <c r="AC2194" s="284"/>
      <c r="AD2194" s="284"/>
      <c r="AE2194" s="284"/>
      <c r="AF2194" s="284"/>
      <c r="AG2194" s="284"/>
    </row>
    <row r="2195" spans="1:33" ht="26.4">
      <c r="A2195" s="284"/>
      <c r="B2195" s="284"/>
      <c r="C2195" s="284"/>
      <c r="D2195" s="284"/>
      <c r="E2195" s="284"/>
      <c r="F2195" s="284"/>
      <c r="G2195" s="284"/>
      <c r="H2195" s="284"/>
      <c r="I2195" s="284"/>
      <c r="J2195" s="375"/>
      <c r="K2195" s="375"/>
      <c r="L2195" s="375"/>
      <c r="M2195" s="368"/>
      <c r="N2195" s="368"/>
      <c r="O2195" s="370"/>
      <c r="T2195" s="349"/>
      <c r="V2195" s="378"/>
      <c r="W2195" s="64" ph="1"/>
      <c r="X2195" s="241"/>
      <c r="Y2195" s="284"/>
      <c r="Z2195" s="207"/>
      <c r="AA2195" s="284"/>
      <c r="AB2195" s="284"/>
      <c r="AC2195" s="284"/>
      <c r="AD2195" s="284"/>
      <c r="AE2195" s="284"/>
      <c r="AF2195" s="284"/>
      <c r="AG2195" s="284"/>
    </row>
    <row r="2196" spans="1:33" ht="26.4">
      <c r="A2196" s="284"/>
      <c r="B2196" s="284"/>
      <c r="C2196" s="284"/>
      <c r="D2196" s="284"/>
      <c r="E2196" s="284"/>
      <c r="F2196" s="284"/>
      <c r="G2196" s="284"/>
      <c r="H2196" s="284"/>
      <c r="I2196" s="284"/>
      <c r="J2196" s="375"/>
      <c r="K2196" s="375"/>
      <c r="L2196" s="375"/>
      <c r="M2196" s="368"/>
      <c r="N2196" s="368"/>
      <c r="O2196" s="370"/>
      <c r="T2196" s="349"/>
      <c r="V2196" s="378"/>
      <c r="W2196" s="64" ph="1"/>
      <c r="X2196" s="241"/>
      <c r="Y2196" s="284"/>
      <c r="Z2196" s="207"/>
      <c r="AA2196" s="284"/>
      <c r="AB2196" s="284"/>
      <c r="AC2196" s="284"/>
      <c r="AD2196" s="284"/>
      <c r="AE2196" s="284"/>
      <c r="AF2196" s="284"/>
      <c r="AG2196" s="284"/>
    </row>
    <row r="2197" spans="1:33" ht="26.4">
      <c r="A2197" s="284"/>
      <c r="B2197" s="284"/>
      <c r="C2197" s="284"/>
      <c r="D2197" s="284"/>
      <c r="E2197" s="284"/>
      <c r="F2197" s="284"/>
      <c r="G2197" s="284"/>
      <c r="H2197" s="284"/>
      <c r="I2197" s="284"/>
      <c r="J2197" s="375"/>
      <c r="K2197" s="375"/>
      <c r="L2197" s="375"/>
      <c r="M2197" s="368"/>
      <c r="N2197" s="368"/>
      <c r="O2197" s="370"/>
      <c r="T2197" s="349"/>
      <c r="V2197" s="378"/>
      <c r="W2197" s="64" ph="1"/>
      <c r="X2197" s="241"/>
      <c r="Y2197" s="284"/>
      <c r="Z2197" s="207"/>
      <c r="AA2197" s="284"/>
      <c r="AB2197" s="284"/>
      <c r="AC2197" s="284"/>
      <c r="AD2197" s="284"/>
      <c r="AE2197" s="284"/>
      <c r="AF2197" s="284"/>
      <c r="AG2197" s="284"/>
    </row>
    <row r="2198" spans="1:33" ht="26.4">
      <c r="A2198" s="284"/>
      <c r="B2198" s="284"/>
      <c r="C2198" s="284"/>
      <c r="D2198" s="284"/>
      <c r="E2198" s="284"/>
      <c r="F2198" s="284"/>
      <c r="G2198" s="284"/>
      <c r="H2198" s="284"/>
      <c r="I2198" s="284"/>
      <c r="J2198" s="375"/>
      <c r="K2198" s="375"/>
      <c r="L2198" s="375"/>
      <c r="M2198" s="368"/>
      <c r="N2198" s="368"/>
      <c r="O2198" s="370"/>
      <c r="T2198" s="349"/>
      <c r="V2198" s="378"/>
      <c r="W2198" s="64" ph="1"/>
      <c r="X2198" s="241"/>
      <c r="Y2198" s="284"/>
      <c r="Z2198" s="207"/>
      <c r="AA2198" s="284"/>
      <c r="AB2198" s="284"/>
      <c r="AC2198" s="284"/>
      <c r="AD2198" s="284"/>
      <c r="AE2198" s="284"/>
      <c r="AF2198" s="284"/>
      <c r="AG2198" s="284"/>
    </row>
    <row r="2199" spans="1:33" ht="26.4">
      <c r="A2199" s="284"/>
      <c r="B2199" s="284"/>
      <c r="C2199" s="284"/>
      <c r="D2199" s="284"/>
      <c r="E2199" s="284"/>
      <c r="F2199" s="284"/>
      <c r="G2199" s="284"/>
      <c r="H2199" s="284"/>
      <c r="I2199" s="284"/>
      <c r="J2199" s="375"/>
      <c r="K2199" s="375"/>
      <c r="L2199" s="375"/>
      <c r="M2199" s="368"/>
      <c r="N2199" s="368"/>
      <c r="O2199" s="370"/>
      <c r="T2199" s="349"/>
      <c r="V2199" s="378"/>
      <c r="W2199" s="64" ph="1"/>
      <c r="X2199" s="241"/>
      <c r="Y2199" s="284"/>
      <c r="Z2199" s="207"/>
      <c r="AA2199" s="284"/>
      <c r="AB2199" s="284"/>
      <c r="AC2199" s="284"/>
      <c r="AD2199" s="284"/>
      <c r="AE2199" s="284"/>
      <c r="AF2199" s="284"/>
      <c r="AG2199" s="284"/>
    </row>
    <row r="2200" spans="1:33" ht="26.4">
      <c r="A2200" s="284"/>
      <c r="B2200" s="284"/>
      <c r="C2200" s="284"/>
      <c r="D2200" s="284"/>
      <c r="E2200" s="284"/>
      <c r="F2200" s="284"/>
      <c r="G2200" s="284"/>
      <c r="H2200" s="284"/>
      <c r="I2200" s="284"/>
      <c r="J2200" s="375"/>
      <c r="K2200" s="375"/>
      <c r="L2200" s="375"/>
      <c r="M2200" s="368"/>
      <c r="N2200" s="368"/>
      <c r="O2200" s="370"/>
      <c r="T2200" s="349"/>
      <c r="V2200" s="378"/>
      <c r="W2200" s="64" ph="1"/>
      <c r="X2200" s="241"/>
      <c r="Y2200" s="284"/>
      <c r="Z2200" s="207"/>
      <c r="AA2200" s="284"/>
      <c r="AB2200" s="284"/>
      <c r="AC2200" s="284"/>
      <c r="AD2200" s="284"/>
      <c r="AE2200" s="284"/>
      <c r="AF2200" s="284"/>
      <c r="AG2200" s="284"/>
    </row>
    <row r="2201" spans="1:33" ht="26.4">
      <c r="A2201" s="284"/>
      <c r="B2201" s="284"/>
      <c r="C2201" s="284"/>
      <c r="D2201" s="284"/>
      <c r="E2201" s="284"/>
      <c r="F2201" s="284"/>
      <c r="G2201" s="284"/>
      <c r="H2201" s="284"/>
      <c r="I2201" s="284"/>
      <c r="J2201" s="375"/>
      <c r="K2201" s="375"/>
      <c r="L2201" s="375"/>
      <c r="M2201" s="368"/>
      <c r="N2201" s="368"/>
      <c r="O2201" s="370"/>
      <c r="T2201" s="349"/>
      <c r="V2201" s="378"/>
      <c r="W2201" s="64" ph="1"/>
      <c r="X2201" s="241"/>
      <c r="Y2201" s="284"/>
      <c r="Z2201" s="207"/>
      <c r="AA2201" s="284"/>
      <c r="AB2201" s="284"/>
      <c r="AC2201" s="284"/>
      <c r="AD2201" s="284"/>
      <c r="AE2201" s="284"/>
      <c r="AF2201" s="284"/>
      <c r="AG2201" s="284"/>
    </row>
    <row r="2202" spans="1:33" ht="26.4">
      <c r="A2202" s="284"/>
      <c r="B2202" s="284"/>
      <c r="C2202" s="284"/>
      <c r="D2202" s="284"/>
      <c r="E2202" s="284"/>
      <c r="F2202" s="284"/>
      <c r="G2202" s="284"/>
      <c r="H2202" s="284"/>
      <c r="I2202" s="284"/>
      <c r="J2202" s="375"/>
      <c r="K2202" s="375"/>
      <c r="L2202" s="375"/>
      <c r="M2202" s="368"/>
      <c r="N2202" s="368"/>
      <c r="O2202" s="370"/>
      <c r="T2202" s="349"/>
      <c r="V2202" s="378"/>
      <c r="W2202" s="64" ph="1"/>
      <c r="X2202" s="241"/>
      <c r="Y2202" s="284"/>
      <c r="Z2202" s="207"/>
      <c r="AA2202" s="284"/>
      <c r="AB2202" s="284"/>
      <c r="AC2202" s="284"/>
      <c r="AD2202" s="284"/>
      <c r="AE2202" s="284"/>
      <c r="AF2202" s="284"/>
      <c r="AG2202" s="284"/>
    </row>
    <row r="2203" spans="1:33" ht="26.4">
      <c r="A2203" s="284"/>
      <c r="B2203" s="284"/>
      <c r="C2203" s="284"/>
      <c r="D2203" s="284"/>
      <c r="E2203" s="284"/>
      <c r="F2203" s="284"/>
      <c r="G2203" s="284"/>
      <c r="H2203" s="284"/>
      <c r="I2203" s="284"/>
      <c r="J2203" s="375"/>
      <c r="K2203" s="375"/>
      <c r="L2203" s="375"/>
      <c r="M2203" s="368"/>
      <c r="N2203" s="368"/>
      <c r="O2203" s="370"/>
      <c r="T2203" s="349"/>
      <c r="V2203" s="378"/>
      <c r="W2203" s="64" ph="1"/>
      <c r="X2203" s="241"/>
      <c r="Y2203" s="284"/>
      <c r="Z2203" s="207"/>
      <c r="AA2203" s="284"/>
      <c r="AB2203" s="284"/>
      <c r="AC2203" s="284"/>
      <c r="AD2203" s="284"/>
      <c r="AE2203" s="284"/>
      <c r="AF2203" s="284"/>
      <c r="AG2203" s="284"/>
    </row>
    <row r="2204" spans="1:33" ht="26.4">
      <c r="A2204" s="284"/>
      <c r="B2204" s="284"/>
      <c r="C2204" s="284"/>
      <c r="D2204" s="284"/>
      <c r="E2204" s="284"/>
      <c r="F2204" s="284"/>
      <c r="G2204" s="284"/>
      <c r="H2204" s="284"/>
      <c r="I2204" s="284"/>
      <c r="J2204" s="375"/>
      <c r="K2204" s="375"/>
      <c r="L2204" s="375"/>
      <c r="M2204" s="368"/>
      <c r="N2204" s="368"/>
      <c r="O2204" s="370"/>
      <c r="T2204" s="349"/>
      <c r="V2204" s="378"/>
      <c r="W2204" s="64" ph="1"/>
      <c r="X2204" s="241"/>
      <c r="Y2204" s="284"/>
      <c r="Z2204" s="207"/>
      <c r="AA2204" s="284"/>
      <c r="AB2204" s="284"/>
      <c r="AC2204" s="284"/>
      <c r="AD2204" s="284"/>
      <c r="AE2204" s="284"/>
      <c r="AF2204" s="284"/>
      <c r="AG2204" s="284"/>
    </row>
    <row r="2205" spans="1:33" ht="26.4">
      <c r="A2205" s="284"/>
      <c r="B2205" s="284"/>
      <c r="C2205" s="284"/>
      <c r="D2205" s="284"/>
      <c r="E2205" s="284"/>
      <c r="F2205" s="284"/>
      <c r="G2205" s="284"/>
      <c r="H2205" s="284"/>
      <c r="I2205" s="284"/>
      <c r="J2205" s="375"/>
      <c r="K2205" s="375"/>
      <c r="L2205" s="375"/>
      <c r="M2205" s="368"/>
      <c r="N2205" s="368"/>
      <c r="O2205" s="370"/>
      <c r="T2205" s="349"/>
      <c r="V2205" s="378"/>
      <c r="W2205" s="64" ph="1"/>
      <c r="X2205" s="241"/>
      <c r="Y2205" s="284"/>
      <c r="Z2205" s="207"/>
      <c r="AA2205" s="284"/>
      <c r="AB2205" s="284"/>
      <c r="AC2205" s="284"/>
      <c r="AD2205" s="284"/>
      <c r="AE2205" s="284"/>
      <c r="AF2205" s="284"/>
      <c r="AG2205" s="284"/>
    </row>
    <row r="2206" spans="1:33" ht="26.4">
      <c r="A2206" s="284"/>
      <c r="B2206" s="284"/>
      <c r="C2206" s="284"/>
      <c r="D2206" s="284"/>
      <c r="E2206" s="284"/>
      <c r="F2206" s="284"/>
      <c r="G2206" s="284"/>
      <c r="H2206" s="284"/>
      <c r="I2206" s="284"/>
      <c r="J2206" s="375"/>
      <c r="K2206" s="375"/>
      <c r="L2206" s="375"/>
      <c r="M2206" s="368"/>
      <c r="N2206" s="368"/>
      <c r="O2206" s="370"/>
      <c r="T2206" s="349"/>
      <c r="V2206" s="378"/>
      <c r="W2206" s="64" ph="1"/>
      <c r="X2206" s="241"/>
      <c r="Y2206" s="284"/>
      <c r="Z2206" s="207"/>
      <c r="AA2206" s="284"/>
      <c r="AB2206" s="284"/>
      <c r="AC2206" s="284"/>
      <c r="AD2206" s="284"/>
      <c r="AE2206" s="284"/>
      <c r="AF2206" s="284"/>
      <c r="AG2206" s="284"/>
    </row>
    <row r="2207" spans="1:33" ht="26.4">
      <c r="A2207" s="284"/>
      <c r="B2207" s="284"/>
      <c r="C2207" s="284"/>
      <c r="D2207" s="284"/>
      <c r="E2207" s="284"/>
      <c r="F2207" s="284"/>
      <c r="G2207" s="284"/>
      <c r="H2207" s="284"/>
      <c r="I2207" s="284"/>
      <c r="J2207" s="375"/>
      <c r="K2207" s="375"/>
      <c r="L2207" s="375"/>
      <c r="M2207" s="368"/>
      <c r="N2207" s="368"/>
      <c r="O2207" s="370"/>
      <c r="T2207" s="349"/>
      <c r="V2207" s="378"/>
      <c r="W2207" s="64" ph="1"/>
      <c r="X2207" s="241"/>
      <c r="Y2207" s="284"/>
      <c r="Z2207" s="207"/>
      <c r="AA2207" s="284"/>
      <c r="AB2207" s="284"/>
      <c r="AC2207" s="284"/>
      <c r="AD2207" s="284"/>
      <c r="AE2207" s="284"/>
      <c r="AF2207" s="284"/>
      <c r="AG2207" s="284"/>
    </row>
    <row r="2208" spans="1:33" ht="26.4">
      <c r="A2208" s="284"/>
      <c r="B2208" s="284"/>
      <c r="C2208" s="284"/>
      <c r="D2208" s="284"/>
      <c r="E2208" s="284"/>
      <c r="F2208" s="284"/>
      <c r="G2208" s="284"/>
      <c r="H2208" s="284"/>
      <c r="I2208" s="284"/>
      <c r="J2208" s="375"/>
      <c r="K2208" s="375"/>
      <c r="L2208" s="375"/>
      <c r="M2208" s="368"/>
      <c r="N2208" s="368"/>
      <c r="O2208" s="370"/>
      <c r="T2208" s="349"/>
      <c r="V2208" s="378"/>
      <c r="W2208" s="64" ph="1"/>
      <c r="X2208" s="241"/>
      <c r="Y2208" s="284"/>
      <c r="Z2208" s="207"/>
      <c r="AA2208" s="284"/>
      <c r="AB2208" s="284"/>
      <c r="AC2208" s="284"/>
      <c r="AD2208" s="284"/>
      <c r="AE2208" s="284"/>
      <c r="AF2208" s="284"/>
      <c r="AG2208" s="284"/>
    </row>
    <row r="2209" spans="1:33" ht="26.4">
      <c r="A2209" s="284"/>
      <c r="B2209" s="284"/>
      <c r="C2209" s="284"/>
      <c r="D2209" s="284"/>
      <c r="E2209" s="284"/>
      <c r="F2209" s="284"/>
      <c r="G2209" s="284"/>
      <c r="H2209" s="284"/>
      <c r="I2209" s="284"/>
      <c r="J2209" s="375"/>
      <c r="K2209" s="375"/>
      <c r="L2209" s="375"/>
      <c r="M2209" s="368"/>
      <c r="N2209" s="368"/>
      <c r="O2209" s="370"/>
      <c r="T2209" s="349"/>
      <c r="V2209" s="378"/>
      <c r="W2209" s="64" ph="1"/>
      <c r="X2209" s="241"/>
      <c r="Y2209" s="284"/>
      <c r="Z2209" s="207"/>
      <c r="AA2209" s="284"/>
      <c r="AB2209" s="284"/>
      <c r="AC2209" s="284"/>
      <c r="AD2209" s="284"/>
      <c r="AE2209" s="284"/>
      <c r="AF2209" s="284"/>
      <c r="AG2209" s="284"/>
    </row>
    <row r="2210" spans="1:33" ht="26.4">
      <c r="A2210" s="284"/>
      <c r="B2210" s="284"/>
      <c r="C2210" s="284"/>
      <c r="D2210" s="284"/>
      <c r="E2210" s="284"/>
      <c r="F2210" s="284"/>
      <c r="G2210" s="284"/>
      <c r="H2210" s="284"/>
      <c r="I2210" s="284"/>
      <c r="J2210" s="375"/>
      <c r="K2210" s="375"/>
      <c r="L2210" s="375"/>
      <c r="M2210" s="368"/>
      <c r="N2210" s="368"/>
      <c r="O2210" s="370"/>
      <c r="T2210" s="349"/>
      <c r="V2210" s="378"/>
      <c r="W2210" s="64" ph="1"/>
      <c r="X2210" s="241"/>
      <c r="Y2210" s="284"/>
      <c r="Z2210" s="207"/>
      <c r="AA2210" s="284"/>
      <c r="AB2210" s="284"/>
      <c r="AC2210" s="284"/>
      <c r="AD2210" s="284"/>
      <c r="AE2210" s="284"/>
      <c r="AF2210" s="284"/>
      <c r="AG2210" s="284"/>
    </row>
    <row r="2211" spans="1:33" ht="26.4">
      <c r="A2211" s="284"/>
      <c r="B2211" s="284"/>
      <c r="C2211" s="284"/>
      <c r="D2211" s="284"/>
      <c r="E2211" s="284"/>
      <c r="F2211" s="284"/>
      <c r="G2211" s="284"/>
      <c r="H2211" s="284"/>
      <c r="I2211" s="284"/>
      <c r="J2211" s="375"/>
      <c r="K2211" s="375"/>
      <c r="L2211" s="375"/>
      <c r="M2211" s="368"/>
      <c r="N2211" s="368"/>
      <c r="O2211" s="370"/>
      <c r="T2211" s="349"/>
      <c r="V2211" s="378"/>
      <c r="W2211" s="64" ph="1"/>
      <c r="X2211" s="241"/>
      <c r="Y2211" s="284"/>
      <c r="Z2211" s="207"/>
      <c r="AA2211" s="284"/>
      <c r="AB2211" s="284"/>
      <c r="AC2211" s="284"/>
      <c r="AD2211" s="284"/>
      <c r="AE2211" s="284"/>
      <c r="AF2211" s="284"/>
      <c r="AG2211" s="284"/>
    </row>
    <row r="2212" spans="1:33" ht="26.4">
      <c r="A2212" s="284"/>
      <c r="B2212" s="284"/>
      <c r="C2212" s="284"/>
      <c r="D2212" s="284"/>
      <c r="E2212" s="284"/>
      <c r="F2212" s="284"/>
      <c r="G2212" s="284"/>
      <c r="H2212" s="284"/>
      <c r="I2212" s="284"/>
      <c r="J2212" s="375"/>
      <c r="K2212" s="375"/>
      <c r="L2212" s="375"/>
      <c r="M2212" s="368"/>
      <c r="N2212" s="368"/>
      <c r="O2212" s="370"/>
      <c r="T2212" s="349"/>
      <c r="V2212" s="378"/>
      <c r="W2212" s="64" ph="1"/>
      <c r="X2212" s="241"/>
      <c r="Y2212" s="284"/>
      <c r="Z2212" s="207"/>
      <c r="AA2212" s="284"/>
      <c r="AB2212" s="284"/>
      <c r="AC2212" s="284"/>
      <c r="AD2212" s="284"/>
      <c r="AE2212" s="284"/>
      <c r="AF2212" s="284"/>
      <c r="AG2212" s="284"/>
    </row>
    <row r="2213" spans="1:33" ht="26.4">
      <c r="A2213" s="284"/>
      <c r="B2213" s="284"/>
      <c r="C2213" s="284"/>
      <c r="D2213" s="284"/>
      <c r="E2213" s="284"/>
      <c r="F2213" s="284"/>
      <c r="G2213" s="284"/>
      <c r="H2213" s="284"/>
      <c r="I2213" s="284"/>
      <c r="J2213" s="375"/>
      <c r="K2213" s="375"/>
      <c r="L2213" s="375"/>
      <c r="M2213" s="368"/>
      <c r="N2213" s="368"/>
      <c r="O2213" s="370"/>
      <c r="T2213" s="349"/>
      <c r="V2213" s="378"/>
      <c r="W2213" s="64" ph="1"/>
      <c r="X2213" s="241"/>
      <c r="Y2213" s="284"/>
      <c r="Z2213" s="207"/>
      <c r="AA2213" s="284"/>
      <c r="AB2213" s="284"/>
      <c r="AC2213" s="284"/>
      <c r="AD2213" s="284"/>
      <c r="AE2213" s="284"/>
      <c r="AF2213" s="284"/>
      <c r="AG2213" s="284"/>
    </row>
    <row r="2214" spans="1:33" ht="26.4">
      <c r="A2214" s="284"/>
      <c r="B2214" s="284"/>
      <c r="C2214" s="284"/>
      <c r="D2214" s="284"/>
      <c r="E2214" s="284"/>
      <c r="F2214" s="284"/>
      <c r="G2214" s="284"/>
      <c r="H2214" s="284"/>
      <c r="I2214" s="284"/>
      <c r="J2214" s="375"/>
      <c r="K2214" s="375"/>
      <c r="L2214" s="375"/>
      <c r="M2214" s="368"/>
      <c r="N2214" s="368"/>
      <c r="O2214" s="370"/>
      <c r="T2214" s="349"/>
      <c r="V2214" s="378"/>
      <c r="W2214" s="64" ph="1"/>
      <c r="X2214" s="241"/>
      <c r="Y2214" s="284"/>
      <c r="Z2214" s="207"/>
      <c r="AA2214" s="284"/>
      <c r="AB2214" s="284"/>
      <c r="AC2214" s="284"/>
      <c r="AD2214" s="284"/>
      <c r="AE2214" s="284"/>
      <c r="AF2214" s="284"/>
      <c r="AG2214" s="284"/>
    </row>
    <row r="2215" spans="1:33" ht="26.4">
      <c r="A2215" s="284"/>
      <c r="B2215" s="284"/>
      <c r="C2215" s="284"/>
      <c r="D2215" s="284"/>
      <c r="E2215" s="284"/>
      <c r="F2215" s="284"/>
      <c r="G2215" s="284"/>
      <c r="H2215" s="284"/>
      <c r="I2215" s="284"/>
      <c r="J2215" s="375"/>
      <c r="K2215" s="375"/>
      <c r="L2215" s="375"/>
      <c r="M2215" s="368"/>
      <c r="N2215" s="368"/>
      <c r="O2215" s="370"/>
      <c r="T2215" s="349"/>
      <c r="V2215" s="378"/>
      <c r="W2215" s="64" ph="1"/>
      <c r="X2215" s="241"/>
      <c r="Y2215" s="284"/>
      <c r="Z2215" s="207"/>
      <c r="AA2215" s="284"/>
      <c r="AB2215" s="284"/>
      <c r="AC2215" s="284"/>
      <c r="AD2215" s="284"/>
      <c r="AE2215" s="284"/>
      <c r="AF2215" s="284"/>
      <c r="AG2215" s="284"/>
    </row>
    <row r="2216" spans="1:33" ht="26.4">
      <c r="A2216" s="284"/>
      <c r="B2216" s="284"/>
      <c r="C2216" s="284"/>
      <c r="D2216" s="284"/>
      <c r="E2216" s="284"/>
      <c r="F2216" s="284"/>
      <c r="G2216" s="284"/>
      <c r="H2216" s="284"/>
      <c r="I2216" s="284"/>
      <c r="J2216" s="375"/>
      <c r="K2216" s="375"/>
      <c r="L2216" s="375"/>
      <c r="M2216" s="368"/>
      <c r="N2216" s="368"/>
      <c r="O2216" s="370"/>
      <c r="T2216" s="349"/>
      <c r="V2216" s="378"/>
      <c r="W2216" s="64" ph="1"/>
      <c r="X2216" s="241"/>
      <c r="Y2216" s="284"/>
      <c r="Z2216" s="207"/>
      <c r="AA2216" s="284"/>
      <c r="AB2216" s="284"/>
      <c r="AC2216" s="284"/>
      <c r="AD2216" s="284"/>
      <c r="AE2216" s="284"/>
      <c r="AF2216" s="284"/>
      <c r="AG2216" s="284"/>
    </row>
    <row r="2217" spans="1:33" ht="26.4">
      <c r="A2217" s="284"/>
      <c r="B2217" s="284"/>
      <c r="C2217" s="284"/>
      <c r="D2217" s="284"/>
      <c r="E2217" s="284"/>
      <c r="F2217" s="284"/>
      <c r="G2217" s="284"/>
      <c r="H2217" s="284"/>
      <c r="I2217" s="284"/>
      <c r="J2217" s="375"/>
      <c r="K2217" s="375"/>
      <c r="L2217" s="375"/>
      <c r="M2217" s="368"/>
      <c r="N2217" s="368"/>
      <c r="O2217" s="370"/>
      <c r="T2217" s="349"/>
      <c r="V2217" s="378"/>
      <c r="W2217" s="64" ph="1"/>
      <c r="X2217" s="241"/>
      <c r="Y2217" s="284"/>
      <c r="Z2217" s="207"/>
      <c r="AA2217" s="284"/>
      <c r="AB2217" s="284"/>
      <c r="AC2217" s="284"/>
      <c r="AD2217" s="284"/>
      <c r="AE2217" s="284"/>
      <c r="AF2217" s="284"/>
      <c r="AG2217" s="284"/>
    </row>
    <row r="2218" spans="1:33" ht="26.4">
      <c r="A2218" s="284"/>
      <c r="B2218" s="284"/>
      <c r="C2218" s="284"/>
      <c r="D2218" s="284"/>
      <c r="E2218" s="284"/>
      <c r="F2218" s="284"/>
      <c r="G2218" s="284"/>
      <c r="H2218" s="284"/>
      <c r="I2218" s="284"/>
      <c r="J2218" s="375"/>
      <c r="K2218" s="375"/>
      <c r="L2218" s="375"/>
      <c r="M2218" s="368"/>
      <c r="N2218" s="368"/>
      <c r="O2218" s="370"/>
      <c r="T2218" s="349"/>
      <c r="V2218" s="378"/>
      <c r="W2218" s="64" ph="1"/>
      <c r="X2218" s="241"/>
      <c r="Y2218" s="284"/>
      <c r="Z2218" s="207"/>
      <c r="AA2218" s="284"/>
      <c r="AB2218" s="284"/>
      <c r="AC2218" s="284"/>
      <c r="AD2218" s="284"/>
      <c r="AE2218" s="284"/>
      <c r="AF2218" s="284"/>
      <c r="AG2218" s="284"/>
    </row>
    <row r="2219" spans="1:33" ht="26.4">
      <c r="A2219" s="284"/>
      <c r="B2219" s="284"/>
      <c r="C2219" s="284"/>
      <c r="D2219" s="284"/>
      <c r="E2219" s="284"/>
      <c r="F2219" s="284"/>
      <c r="G2219" s="284"/>
      <c r="H2219" s="284"/>
      <c r="I2219" s="284"/>
      <c r="J2219" s="375"/>
      <c r="K2219" s="375"/>
      <c r="L2219" s="375"/>
      <c r="M2219" s="368"/>
      <c r="N2219" s="368"/>
      <c r="O2219" s="370"/>
      <c r="T2219" s="349"/>
      <c r="V2219" s="378"/>
      <c r="W2219" s="64" ph="1"/>
      <c r="X2219" s="241"/>
      <c r="Y2219" s="284"/>
      <c r="Z2219" s="207"/>
      <c r="AA2219" s="284"/>
      <c r="AB2219" s="284"/>
      <c r="AC2219" s="284"/>
      <c r="AD2219" s="284"/>
      <c r="AE2219" s="284"/>
      <c r="AF2219" s="284"/>
      <c r="AG2219" s="284"/>
    </row>
    <row r="2220" spans="1:33" ht="26.4">
      <c r="A2220" s="284"/>
      <c r="B2220" s="284"/>
      <c r="C2220" s="284"/>
      <c r="D2220" s="284"/>
      <c r="E2220" s="284"/>
      <c r="F2220" s="284"/>
      <c r="G2220" s="284"/>
      <c r="H2220" s="284"/>
      <c r="I2220" s="284"/>
      <c r="J2220" s="375"/>
      <c r="K2220" s="375"/>
      <c r="L2220" s="375"/>
      <c r="M2220" s="368"/>
      <c r="N2220" s="368"/>
      <c r="O2220" s="370"/>
      <c r="T2220" s="349"/>
      <c r="V2220" s="378"/>
      <c r="W2220" s="64" ph="1"/>
      <c r="X2220" s="241"/>
      <c r="Y2220" s="284"/>
      <c r="Z2220" s="207"/>
      <c r="AA2220" s="284"/>
      <c r="AB2220" s="284"/>
      <c r="AC2220" s="284"/>
      <c r="AD2220" s="284"/>
      <c r="AE2220" s="284"/>
      <c r="AF2220" s="284"/>
      <c r="AG2220" s="284"/>
    </row>
    <row r="2221" spans="1:33" ht="26.4">
      <c r="A2221" s="284"/>
      <c r="B2221" s="284"/>
      <c r="C2221" s="284"/>
      <c r="D2221" s="284"/>
      <c r="E2221" s="284"/>
      <c r="F2221" s="284"/>
      <c r="G2221" s="284"/>
      <c r="H2221" s="284"/>
      <c r="I2221" s="284"/>
      <c r="J2221" s="375"/>
      <c r="K2221" s="375"/>
      <c r="L2221" s="375"/>
      <c r="M2221" s="368"/>
      <c r="N2221" s="368"/>
      <c r="O2221" s="370"/>
      <c r="T2221" s="349"/>
      <c r="V2221" s="378"/>
      <c r="W2221" s="64" ph="1"/>
      <c r="X2221" s="241"/>
      <c r="Y2221" s="284"/>
      <c r="Z2221" s="207"/>
      <c r="AA2221" s="284"/>
      <c r="AB2221" s="284"/>
      <c r="AC2221" s="284"/>
      <c r="AD2221" s="284"/>
      <c r="AE2221" s="284"/>
      <c r="AF2221" s="284"/>
      <c r="AG2221" s="284"/>
    </row>
    <row r="2222" spans="1:33" ht="26.4">
      <c r="A2222" s="284"/>
      <c r="B2222" s="284"/>
      <c r="C2222" s="284"/>
      <c r="D2222" s="284"/>
      <c r="E2222" s="284"/>
      <c r="F2222" s="284"/>
      <c r="G2222" s="284"/>
      <c r="H2222" s="284"/>
      <c r="I2222" s="284"/>
      <c r="J2222" s="375"/>
      <c r="K2222" s="375"/>
      <c r="L2222" s="375"/>
      <c r="M2222" s="368"/>
      <c r="N2222" s="368"/>
      <c r="O2222" s="370"/>
      <c r="T2222" s="349"/>
      <c r="V2222" s="378"/>
      <c r="W2222" s="64" ph="1"/>
      <c r="X2222" s="241"/>
      <c r="Y2222" s="284"/>
      <c r="Z2222" s="207"/>
      <c r="AA2222" s="284"/>
      <c r="AB2222" s="284"/>
      <c r="AC2222" s="284"/>
      <c r="AD2222" s="284"/>
      <c r="AE2222" s="284"/>
      <c r="AF2222" s="284"/>
      <c r="AG2222" s="284"/>
    </row>
    <row r="2223" spans="1:33" ht="26.4">
      <c r="A2223" s="284"/>
      <c r="B2223" s="284"/>
      <c r="C2223" s="284"/>
      <c r="D2223" s="284"/>
      <c r="E2223" s="284"/>
      <c r="F2223" s="284"/>
      <c r="G2223" s="284"/>
      <c r="H2223" s="284"/>
      <c r="I2223" s="284"/>
      <c r="J2223" s="375"/>
      <c r="K2223" s="375"/>
      <c r="L2223" s="375"/>
      <c r="M2223" s="368"/>
      <c r="N2223" s="368"/>
      <c r="O2223" s="370"/>
      <c r="T2223" s="349"/>
      <c r="V2223" s="378"/>
      <c r="W2223" s="64" ph="1"/>
      <c r="X2223" s="241"/>
      <c r="Y2223" s="284"/>
      <c r="Z2223" s="207"/>
      <c r="AA2223" s="284"/>
      <c r="AB2223" s="284"/>
      <c r="AC2223" s="284"/>
      <c r="AD2223" s="284"/>
      <c r="AE2223" s="284"/>
      <c r="AF2223" s="284"/>
      <c r="AG2223" s="284"/>
    </row>
    <row r="2224" spans="1:33" ht="26.4">
      <c r="A2224" s="284"/>
      <c r="B2224" s="284"/>
      <c r="C2224" s="284"/>
      <c r="D2224" s="284"/>
      <c r="E2224" s="284"/>
      <c r="F2224" s="284"/>
      <c r="G2224" s="284"/>
      <c r="H2224" s="284"/>
      <c r="I2224" s="284"/>
      <c r="J2224" s="375"/>
      <c r="K2224" s="375"/>
      <c r="L2224" s="375"/>
      <c r="M2224" s="368"/>
      <c r="N2224" s="368"/>
      <c r="O2224" s="370"/>
      <c r="T2224" s="349"/>
      <c r="V2224" s="378"/>
      <c r="W2224" s="64" ph="1"/>
      <c r="X2224" s="241"/>
      <c r="Y2224" s="284"/>
      <c r="Z2224" s="207"/>
      <c r="AA2224" s="284"/>
      <c r="AB2224" s="284"/>
      <c r="AC2224" s="284"/>
      <c r="AD2224" s="284"/>
      <c r="AE2224" s="284"/>
      <c r="AF2224" s="284"/>
      <c r="AG2224" s="284"/>
    </row>
    <row r="2225" spans="1:33" ht="26.4">
      <c r="A2225" s="284"/>
      <c r="B2225" s="284"/>
      <c r="C2225" s="284"/>
      <c r="D2225" s="284"/>
      <c r="E2225" s="284"/>
      <c r="F2225" s="284"/>
      <c r="G2225" s="284"/>
      <c r="H2225" s="284"/>
      <c r="I2225" s="284"/>
      <c r="J2225" s="375"/>
      <c r="K2225" s="375"/>
      <c r="L2225" s="375"/>
      <c r="M2225" s="368"/>
      <c r="N2225" s="368"/>
      <c r="O2225" s="370"/>
      <c r="T2225" s="349"/>
      <c r="V2225" s="378"/>
      <c r="W2225" s="64" ph="1"/>
      <c r="X2225" s="241"/>
      <c r="Y2225" s="284"/>
      <c r="Z2225" s="207"/>
      <c r="AA2225" s="284"/>
      <c r="AB2225" s="284"/>
      <c r="AC2225" s="284"/>
      <c r="AD2225" s="284"/>
      <c r="AE2225" s="284"/>
      <c r="AF2225" s="284"/>
      <c r="AG2225" s="284"/>
    </row>
    <row r="2226" spans="1:33" ht="26.4">
      <c r="A2226" s="284"/>
      <c r="B2226" s="284"/>
      <c r="C2226" s="284"/>
      <c r="D2226" s="284"/>
      <c r="E2226" s="284"/>
      <c r="F2226" s="284"/>
      <c r="G2226" s="284"/>
      <c r="H2226" s="284"/>
      <c r="I2226" s="284"/>
      <c r="J2226" s="375"/>
      <c r="K2226" s="375"/>
      <c r="L2226" s="375"/>
      <c r="M2226" s="368"/>
      <c r="N2226" s="368"/>
      <c r="O2226" s="370"/>
      <c r="T2226" s="349"/>
      <c r="V2226" s="378"/>
      <c r="W2226" s="64" ph="1"/>
      <c r="X2226" s="241"/>
      <c r="Y2226" s="284"/>
      <c r="Z2226" s="207"/>
      <c r="AA2226" s="284"/>
      <c r="AB2226" s="284"/>
      <c r="AC2226" s="284"/>
      <c r="AD2226" s="284"/>
      <c r="AE2226" s="284"/>
      <c r="AF2226" s="284"/>
      <c r="AG2226" s="284"/>
    </row>
    <row r="2227" spans="1:33" ht="26.4">
      <c r="A2227" s="284"/>
      <c r="B2227" s="284"/>
      <c r="C2227" s="284"/>
      <c r="D2227" s="284"/>
      <c r="E2227" s="284"/>
      <c r="F2227" s="284"/>
      <c r="G2227" s="284"/>
      <c r="H2227" s="284"/>
      <c r="I2227" s="284"/>
      <c r="J2227" s="375"/>
      <c r="K2227" s="375"/>
      <c r="L2227" s="375"/>
      <c r="M2227" s="368"/>
      <c r="N2227" s="368"/>
      <c r="O2227" s="370"/>
      <c r="T2227" s="349"/>
      <c r="V2227" s="378"/>
      <c r="W2227" s="64" ph="1"/>
      <c r="X2227" s="241"/>
      <c r="Y2227" s="284"/>
      <c r="Z2227" s="207"/>
      <c r="AA2227" s="284"/>
      <c r="AB2227" s="284"/>
      <c r="AC2227" s="284"/>
      <c r="AD2227" s="284"/>
      <c r="AE2227" s="284"/>
      <c r="AF2227" s="284"/>
      <c r="AG2227" s="284"/>
    </row>
    <row r="2228" spans="1:33" ht="26.4">
      <c r="A2228" s="284"/>
      <c r="B2228" s="284"/>
      <c r="C2228" s="284"/>
      <c r="D2228" s="284"/>
      <c r="E2228" s="284"/>
      <c r="F2228" s="284"/>
      <c r="G2228" s="284"/>
      <c r="H2228" s="284"/>
      <c r="I2228" s="284"/>
      <c r="J2228" s="375"/>
      <c r="K2228" s="375"/>
      <c r="L2228" s="375"/>
      <c r="M2228" s="368"/>
      <c r="N2228" s="368"/>
      <c r="O2228" s="370"/>
      <c r="T2228" s="349"/>
      <c r="V2228" s="378"/>
      <c r="W2228" s="64" ph="1"/>
      <c r="X2228" s="241"/>
      <c r="Y2228" s="284"/>
      <c r="Z2228" s="207"/>
      <c r="AA2228" s="284"/>
      <c r="AB2228" s="284"/>
      <c r="AC2228" s="284"/>
      <c r="AD2228" s="284"/>
      <c r="AE2228" s="284"/>
      <c r="AF2228" s="284"/>
      <c r="AG2228" s="284"/>
    </row>
    <row r="2229" spans="1:33" ht="26.4">
      <c r="A2229" s="284"/>
      <c r="B2229" s="284"/>
      <c r="C2229" s="284"/>
      <c r="D2229" s="284"/>
      <c r="E2229" s="284"/>
      <c r="F2229" s="284"/>
      <c r="G2229" s="284"/>
      <c r="H2229" s="284"/>
      <c r="I2229" s="284"/>
      <c r="J2229" s="375"/>
      <c r="K2229" s="375"/>
      <c r="L2229" s="375"/>
      <c r="M2229" s="368"/>
      <c r="N2229" s="368"/>
      <c r="O2229" s="370"/>
      <c r="T2229" s="349"/>
      <c r="V2229" s="378"/>
      <c r="W2229" s="64" ph="1"/>
      <c r="X2229" s="241"/>
      <c r="Y2229" s="284"/>
      <c r="Z2229" s="207"/>
      <c r="AA2229" s="284"/>
      <c r="AB2229" s="284"/>
      <c r="AC2229" s="284"/>
      <c r="AD2229" s="284"/>
      <c r="AE2229" s="284"/>
      <c r="AF2229" s="284"/>
      <c r="AG2229" s="284"/>
    </row>
    <row r="2230" spans="1:33" ht="26.4">
      <c r="A2230" s="284"/>
      <c r="B2230" s="284"/>
      <c r="C2230" s="284"/>
      <c r="D2230" s="284"/>
      <c r="E2230" s="284"/>
      <c r="F2230" s="284"/>
      <c r="G2230" s="284"/>
      <c r="H2230" s="284"/>
      <c r="I2230" s="284"/>
      <c r="J2230" s="375"/>
      <c r="K2230" s="375"/>
      <c r="L2230" s="375"/>
      <c r="M2230" s="368"/>
      <c r="N2230" s="368"/>
      <c r="O2230" s="370"/>
      <c r="T2230" s="349"/>
      <c r="V2230" s="378"/>
      <c r="W2230" s="64" ph="1"/>
      <c r="X2230" s="241"/>
      <c r="Y2230" s="284"/>
      <c r="Z2230" s="207"/>
      <c r="AA2230" s="284"/>
      <c r="AB2230" s="284"/>
      <c r="AC2230" s="284"/>
      <c r="AD2230" s="284"/>
      <c r="AE2230" s="284"/>
      <c r="AF2230" s="284"/>
      <c r="AG2230" s="284"/>
    </row>
    <row r="2231" spans="1:33" ht="26.4">
      <c r="A2231" s="284"/>
      <c r="B2231" s="284"/>
      <c r="C2231" s="284"/>
      <c r="D2231" s="284"/>
      <c r="E2231" s="284"/>
      <c r="F2231" s="284"/>
      <c r="G2231" s="284"/>
      <c r="H2231" s="284"/>
      <c r="I2231" s="284"/>
      <c r="J2231" s="375"/>
      <c r="K2231" s="375"/>
      <c r="L2231" s="375"/>
      <c r="M2231" s="368"/>
      <c r="N2231" s="368"/>
      <c r="O2231" s="370"/>
      <c r="T2231" s="349"/>
      <c r="V2231" s="378"/>
      <c r="W2231" s="64" ph="1"/>
      <c r="X2231" s="241"/>
      <c r="Y2231" s="284"/>
      <c r="Z2231" s="207"/>
      <c r="AA2231" s="284"/>
      <c r="AB2231" s="284"/>
      <c r="AC2231" s="284"/>
      <c r="AD2231" s="284"/>
      <c r="AE2231" s="284"/>
      <c r="AF2231" s="284"/>
      <c r="AG2231" s="284"/>
    </row>
    <row r="2232" spans="1:33" ht="26.4">
      <c r="A2232" s="284"/>
      <c r="B2232" s="284"/>
      <c r="C2232" s="284"/>
      <c r="D2232" s="284"/>
      <c r="E2232" s="284"/>
      <c r="F2232" s="284"/>
      <c r="G2232" s="284"/>
      <c r="H2232" s="284"/>
      <c r="I2232" s="284"/>
      <c r="J2232" s="375"/>
      <c r="K2232" s="375"/>
      <c r="L2232" s="375"/>
      <c r="M2232" s="368"/>
      <c r="N2232" s="368"/>
      <c r="O2232" s="370"/>
      <c r="T2232" s="349"/>
      <c r="V2232" s="378"/>
      <c r="W2232" s="64" ph="1"/>
      <c r="X2232" s="241"/>
      <c r="Y2232" s="284"/>
      <c r="Z2232" s="207"/>
      <c r="AA2232" s="284"/>
      <c r="AB2232" s="284"/>
      <c r="AC2232" s="284"/>
      <c r="AD2232" s="284"/>
      <c r="AE2232" s="284"/>
      <c r="AF2232" s="284"/>
      <c r="AG2232" s="284"/>
    </row>
    <row r="2233" spans="1:33" ht="26.4">
      <c r="A2233" s="284"/>
      <c r="B2233" s="284"/>
      <c r="C2233" s="284"/>
      <c r="D2233" s="284"/>
      <c r="E2233" s="284"/>
      <c r="F2233" s="284"/>
      <c r="G2233" s="284"/>
      <c r="H2233" s="284"/>
      <c r="I2233" s="284"/>
      <c r="J2233" s="375"/>
      <c r="K2233" s="375"/>
      <c r="L2233" s="375"/>
      <c r="M2233" s="368"/>
      <c r="N2233" s="368"/>
      <c r="O2233" s="370"/>
      <c r="T2233" s="349"/>
      <c r="V2233" s="378"/>
      <c r="W2233" s="64" ph="1"/>
      <c r="X2233" s="241"/>
      <c r="Y2233" s="284"/>
      <c r="Z2233" s="207"/>
      <c r="AA2233" s="284"/>
      <c r="AB2233" s="284"/>
      <c r="AC2233" s="284"/>
      <c r="AD2233" s="284"/>
      <c r="AE2233" s="284"/>
      <c r="AF2233" s="284"/>
      <c r="AG2233" s="284"/>
    </row>
    <row r="2234" spans="1:33" ht="26.4">
      <c r="A2234" s="284"/>
      <c r="B2234" s="284"/>
      <c r="C2234" s="284"/>
      <c r="D2234" s="284"/>
      <c r="E2234" s="284"/>
      <c r="F2234" s="284"/>
      <c r="G2234" s="284"/>
      <c r="H2234" s="284"/>
      <c r="I2234" s="284"/>
      <c r="J2234" s="375"/>
      <c r="K2234" s="375"/>
      <c r="L2234" s="375"/>
      <c r="M2234" s="368"/>
      <c r="N2234" s="368"/>
      <c r="O2234" s="370"/>
      <c r="T2234" s="349"/>
      <c r="V2234" s="378"/>
      <c r="W2234" s="64" ph="1"/>
      <c r="X2234" s="241"/>
      <c r="Y2234" s="284"/>
      <c r="Z2234" s="207"/>
      <c r="AA2234" s="284"/>
      <c r="AB2234" s="284"/>
      <c r="AC2234" s="284"/>
      <c r="AD2234" s="284"/>
      <c r="AE2234" s="284"/>
      <c r="AF2234" s="284"/>
      <c r="AG2234" s="284"/>
    </row>
    <row r="2235" spans="1:33" ht="26.4">
      <c r="A2235" s="284"/>
      <c r="B2235" s="284"/>
      <c r="C2235" s="284"/>
      <c r="D2235" s="284"/>
      <c r="E2235" s="284"/>
      <c r="F2235" s="284"/>
      <c r="G2235" s="284"/>
      <c r="H2235" s="284"/>
      <c r="I2235" s="284"/>
      <c r="J2235" s="375"/>
      <c r="K2235" s="375"/>
      <c r="L2235" s="375"/>
      <c r="M2235" s="368"/>
      <c r="N2235" s="368"/>
      <c r="O2235" s="370"/>
      <c r="T2235" s="349"/>
      <c r="V2235" s="378"/>
      <c r="W2235" s="64" ph="1"/>
      <c r="X2235" s="241"/>
      <c r="Y2235" s="284"/>
      <c r="Z2235" s="207"/>
      <c r="AA2235" s="284"/>
      <c r="AB2235" s="284"/>
      <c r="AC2235" s="284"/>
      <c r="AD2235" s="284"/>
      <c r="AE2235" s="284"/>
      <c r="AF2235" s="284"/>
      <c r="AG2235" s="284"/>
    </row>
    <row r="2236" spans="1:33" ht="26.4">
      <c r="A2236" s="284"/>
      <c r="B2236" s="284"/>
      <c r="C2236" s="284"/>
      <c r="D2236" s="284"/>
      <c r="E2236" s="284"/>
      <c r="F2236" s="284"/>
      <c r="G2236" s="284"/>
      <c r="H2236" s="284"/>
      <c r="I2236" s="284"/>
      <c r="J2236" s="375"/>
      <c r="K2236" s="375"/>
      <c r="L2236" s="375"/>
      <c r="M2236" s="368"/>
      <c r="N2236" s="368"/>
      <c r="O2236" s="370"/>
      <c r="T2236" s="349"/>
      <c r="V2236" s="378"/>
      <c r="W2236" s="64" ph="1"/>
      <c r="X2236" s="241"/>
      <c r="Y2236" s="284"/>
      <c r="Z2236" s="207"/>
      <c r="AA2236" s="284"/>
      <c r="AB2236" s="284"/>
      <c r="AC2236" s="284"/>
      <c r="AD2236" s="284"/>
      <c r="AE2236" s="284"/>
      <c r="AF2236" s="284"/>
      <c r="AG2236" s="284"/>
    </row>
    <row r="2237" spans="1:33" ht="26.4">
      <c r="A2237" s="284"/>
      <c r="B2237" s="284"/>
      <c r="C2237" s="284"/>
      <c r="D2237" s="284"/>
      <c r="E2237" s="284"/>
      <c r="F2237" s="284"/>
      <c r="G2237" s="284"/>
      <c r="H2237" s="284"/>
      <c r="I2237" s="284"/>
      <c r="J2237" s="375"/>
      <c r="K2237" s="375"/>
      <c r="L2237" s="375"/>
      <c r="M2237" s="368"/>
      <c r="N2237" s="368"/>
      <c r="O2237" s="370"/>
      <c r="T2237" s="349"/>
      <c r="V2237" s="378"/>
      <c r="W2237" s="64" ph="1"/>
      <c r="X2237" s="241"/>
      <c r="Y2237" s="284"/>
      <c r="Z2237" s="207"/>
      <c r="AA2237" s="284"/>
      <c r="AB2237" s="284"/>
      <c r="AC2237" s="284"/>
      <c r="AD2237" s="284"/>
      <c r="AE2237" s="284"/>
      <c r="AF2237" s="284"/>
      <c r="AG2237" s="284"/>
    </row>
    <row r="2238" spans="1:33" ht="26.4">
      <c r="A2238" s="284"/>
      <c r="B2238" s="284"/>
      <c r="C2238" s="284"/>
      <c r="D2238" s="284"/>
      <c r="E2238" s="284"/>
      <c r="F2238" s="284"/>
      <c r="G2238" s="284"/>
      <c r="H2238" s="284"/>
      <c r="I2238" s="284"/>
      <c r="J2238" s="375"/>
      <c r="K2238" s="375"/>
      <c r="L2238" s="375"/>
      <c r="M2238" s="368"/>
      <c r="N2238" s="368"/>
      <c r="O2238" s="370"/>
      <c r="T2238" s="349"/>
      <c r="V2238" s="378"/>
      <c r="W2238" s="64" ph="1"/>
      <c r="X2238" s="241"/>
      <c r="Y2238" s="284"/>
      <c r="Z2238" s="207"/>
      <c r="AA2238" s="284"/>
      <c r="AB2238" s="284"/>
      <c r="AC2238" s="284"/>
      <c r="AD2238" s="284"/>
      <c r="AE2238" s="284"/>
      <c r="AF2238" s="284"/>
      <c r="AG2238" s="284"/>
    </row>
    <row r="2239" spans="1:33" ht="26.4">
      <c r="A2239" s="284"/>
      <c r="B2239" s="284"/>
      <c r="C2239" s="284"/>
      <c r="D2239" s="284"/>
      <c r="E2239" s="284"/>
      <c r="F2239" s="284"/>
      <c r="G2239" s="284"/>
      <c r="H2239" s="284"/>
      <c r="I2239" s="284"/>
      <c r="J2239" s="375"/>
      <c r="K2239" s="375"/>
      <c r="L2239" s="375"/>
      <c r="M2239" s="368"/>
      <c r="N2239" s="368"/>
      <c r="O2239" s="370"/>
      <c r="T2239" s="349"/>
      <c r="V2239" s="378"/>
      <c r="W2239" s="64" ph="1"/>
      <c r="X2239" s="241"/>
      <c r="Y2239" s="284"/>
      <c r="Z2239" s="207"/>
      <c r="AA2239" s="284"/>
      <c r="AB2239" s="284"/>
      <c r="AC2239" s="284"/>
      <c r="AD2239" s="284"/>
      <c r="AE2239" s="284"/>
      <c r="AF2239" s="284"/>
      <c r="AG2239" s="284"/>
    </row>
    <row r="2240" spans="1:33" ht="26.4">
      <c r="A2240" s="284"/>
      <c r="B2240" s="284"/>
      <c r="C2240" s="284"/>
      <c r="D2240" s="284"/>
      <c r="E2240" s="284"/>
      <c r="F2240" s="284"/>
      <c r="G2240" s="284"/>
      <c r="H2240" s="284"/>
      <c r="I2240" s="284"/>
      <c r="J2240" s="375"/>
      <c r="K2240" s="375"/>
      <c r="L2240" s="375"/>
      <c r="M2240" s="368"/>
      <c r="N2240" s="368"/>
      <c r="O2240" s="370"/>
      <c r="T2240" s="349"/>
      <c r="V2240" s="378"/>
      <c r="W2240" s="64" ph="1"/>
      <c r="X2240" s="241"/>
      <c r="Y2240" s="284"/>
      <c r="Z2240" s="207"/>
      <c r="AA2240" s="284"/>
      <c r="AB2240" s="284"/>
      <c r="AC2240" s="284"/>
      <c r="AD2240" s="284"/>
      <c r="AE2240" s="284"/>
      <c r="AF2240" s="284"/>
      <c r="AG2240" s="284"/>
    </row>
    <row r="2241" spans="1:33" ht="26.4">
      <c r="A2241" s="284"/>
      <c r="B2241" s="284"/>
      <c r="C2241" s="284"/>
      <c r="D2241" s="284"/>
      <c r="E2241" s="284"/>
      <c r="F2241" s="284"/>
      <c r="G2241" s="284"/>
      <c r="H2241" s="284"/>
      <c r="I2241" s="284"/>
      <c r="J2241" s="375"/>
      <c r="K2241" s="375"/>
      <c r="L2241" s="375"/>
      <c r="M2241" s="368"/>
      <c r="N2241" s="368"/>
      <c r="O2241" s="370"/>
      <c r="T2241" s="349"/>
      <c r="V2241" s="378"/>
      <c r="W2241" s="64" ph="1"/>
      <c r="X2241" s="241"/>
      <c r="Y2241" s="284"/>
      <c r="Z2241" s="207"/>
      <c r="AA2241" s="284"/>
      <c r="AB2241" s="284"/>
      <c r="AC2241" s="284"/>
      <c r="AD2241" s="284"/>
      <c r="AE2241" s="284"/>
      <c r="AF2241" s="284"/>
      <c r="AG2241" s="284"/>
    </row>
    <row r="2242" spans="1:33" ht="26.4">
      <c r="A2242" s="284"/>
      <c r="B2242" s="284"/>
      <c r="C2242" s="284"/>
      <c r="D2242" s="284"/>
      <c r="E2242" s="284"/>
      <c r="F2242" s="284"/>
      <c r="G2242" s="284"/>
      <c r="H2242" s="284"/>
      <c r="I2242" s="284"/>
      <c r="J2242" s="375"/>
      <c r="K2242" s="375"/>
      <c r="L2242" s="375"/>
      <c r="M2242" s="368"/>
      <c r="N2242" s="368"/>
      <c r="O2242" s="370"/>
      <c r="T2242" s="349"/>
      <c r="V2242" s="378"/>
      <c r="W2242" s="64" ph="1"/>
      <c r="X2242" s="241"/>
      <c r="Y2242" s="284"/>
      <c r="Z2242" s="207"/>
      <c r="AA2242" s="284"/>
      <c r="AB2242" s="284"/>
      <c r="AC2242" s="284"/>
      <c r="AD2242" s="284"/>
      <c r="AE2242" s="284"/>
      <c r="AF2242" s="284"/>
      <c r="AG2242" s="284"/>
    </row>
    <row r="2243" spans="1:33" ht="26.4">
      <c r="A2243" s="284"/>
      <c r="B2243" s="284"/>
      <c r="C2243" s="284"/>
      <c r="D2243" s="284"/>
      <c r="E2243" s="284"/>
      <c r="F2243" s="284"/>
      <c r="G2243" s="284"/>
      <c r="H2243" s="284"/>
      <c r="I2243" s="284"/>
      <c r="J2243" s="375"/>
      <c r="K2243" s="375"/>
      <c r="L2243" s="375"/>
      <c r="M2243" s="368"/>
      <c r="N2243" s="368"/>
      <c r="O2243" s="370"/>
      <c r="T2243" s="349"/>
      <c r="V2243" s="378"/>
      <c r="W2243" s="64" ph="1"/>
      <c r="X2243" s="241"/>
      <c r="Y2243" s="284"/>
      <c r="Z2243" s="207"/>
      <c r="AA2243" s="284"/>
      <c r="AB2243" s="284"/>
      <c r="AC2243" s="284"/>
      <c r="AD2243" s="284"/>
      <c r="AE2243" s="284"/>
      <c r="AF2243" s="284"/>
      <c r="AG2243" s="284"/>
    </row>
    <row r="2244" spans="1:33" ht="26.4">
      <c r="A2244" s="284"/>
      <c r="B2244" s="284"/>
      <c r="C2244" s="284"/>
      <c r="D2244" s="284"/>
      <c r="E2244" s="284"/>
      <c r="F2244" s="284"/>
      <c r="G2244" s="284"/>
      <c r="H2244" s="284"/>
      <c r="I2244" s="284"/>
      <c r="J2244" s="375"/>
      <c r="K2244" s="375"/>
      <c r="L2244" s="375"/>
      <c r="M2244" s="368"/>
      <c r="N2244" s="368"/>
      <c r="O2244" s="370"/>
      <c r="T2244" s="349"/>
      <c r="V2244" s="378"/>
      <c r="W2244" s="64" ph="1"/>
      <c r="X2244" s="241"/>
      <c r="Y2244" s="284"/>
      <c r="Z2244" s="207"/>
      <c r="AA2244" s="284"/>
      <c r="AB2244" s="284"/>
      <c r="AC2244" s="284"/>
      <c r="AD2244" s="284"/>
      <c r="AE2244" s="284"/>
      <c r="AF2244" s="284"/>
      <c r="AG2244" s="284"/>
    </row>
    <row r="2245" spans="1:33" ht="26.4">
      <c r="A2245" s="284"/>
      <c r="B2245" s="284"/>
      <c r="C2245" s="284"/>
      <c r="D2245" s="284"/>
      <c r="E2245" s="284"/>
      <c r="F2245" s="284"/>
      <c r="G2245" s="284"/>
      <c r="H2245" s="284"/>
      <c r="I2245" s="284"/>
      <c r="J2245" s="375"/>
      <c r="K2245" s="375"/>
      <c r="L2245" s="375"/>
      <c r="M2245" s="368"/>
      <c r="N2245" s="368"/>
      <c r="O2245" s="370"/>
      <c r="T2245" s="349"/>
      <c r="V2245" s="378"/>
      <c r="W2245" s="64" ph="1"/>
      <c r="X2245" s="241"/>
      <c r="Y2245" s="284"/>
      <c r="Z2245" s="207"/>
      <c r="AA2245" s="284"/>
      <c r="AB2245" s="284"/>
      <c r="AC2245" s="284"/>
      <c r="AD2245" s="284"/>
      <c r="AE2245" s="284"/>
      <c r="AF2245" s="284"/>
      <c r="AG2245" s="284"/>
    </row>
    <row r="2246" spans="1:33" ht="26.4">
      <c r="A2246" s="284"/>
      <c r="B2246" s="284"/>
      <c r="C2246" s="284"/>
      <c r="D2246" s="284"/>
      <c r="E2246" s="284"/>
      <c r="F2246" s="284"/>
      <c r="G2246" s="284"/>
      <c r="H2246" s="284"/>
      <c r="I2246" s="284"/>
      <c r="J2246" s="375"/>
      <c r="K2246" s="375"/>
      <c r="L2246" s="375"/>
      <c r="M2246" s="368"/>
      <c r="N2246" s="368"/>
      <c r="O2246" s="370"/>
      <c r="T2246" s="349"/>
      <c r="V2246" s="378"/>
      <c r="W2246" s="64" ph="1"/>
      <c r="X2246" s="241"/>
      <c r="Y2246" s="284"/>
      <c r="Z2246" s="207"/>
      <c r="AA2246" s="284"/>
      <c r="AB2246" s="284"/>
      <c r="AC2246" s="284"/>
      <c r="AD2246" s="284"/>
      <c r="AE2246" s="284"/>
      <c r="AF2246" s="284"/>
      <c r="AG2246" s="284"/>
    </row>
    <row r="2247" spans="1:33" ht="26.4">
      <c r="A2247" s="284"/>
      <c r="B2247" s="284"/>
      <c r="C2247" s="284"/>
      <c r="D2247" s="284"/>
      <c r="E2247" s="284"/>
      <c r="F2247" s="284"/>
      <c r="G2247" s="284"/>
      <c r="H2247" s="284"/>
      <c r="I2247" s="284"/>
      <c r="J2247" s="375"/>
      <c r="K2247" s="375"/>
      <c r="L2247" s="375"/>
      <c r="M2247" s="368"/>
      <c r="N2247" s="368"/>
      <c r="O2247" s="370"/>
      <c r="T2247" s="349"/>
      <c r="V2247" s="378"/>
      <c r="W2247" s="64" ph="1"/>
      <c r="X2247" s="241"/>
      <c r="Y2247" s="284"/>
      <c r="Z2247" s="207"/>
      <c r="AA2247" s="284"/>
      <c r="AB2247" s="284"/>
      <c r="AC2247" s="284"/>
      <c r="AD2247" s="284"/>
      <c r="AE2247" s="284"/>
      <c r="AF2247" s="284"/>
      <c r="AG2247" s="284"/>
    </row>
    <row r="2248" spans="1:33" ht="26.4">
      <c r="A2248" s="284"/>
      <c r="B2248" s="284"/>
      <c r="C2248" s="284"/>
      <c r="D2248" s="284"/>
      <c r="E2248" s="284"/>
      <c r="F2248" s="284"/>
      <c r="G2248" s="284"/>
      <c r="H2248" s="284"/>
      <c r="I2248" s="284"/>
      <c r="J2248" s="375"/>
      <c r="K2248" s="375"/>
      <c r="L2248" s="375"/>
      <c r="M2248" s="368"/>
      <c r="N2248" s="368"/>
      <c r="O2248" s="370"/>
      <c r="T2248" s="349"/>
      <c r="V2248" s="378"/>
      <c r="W2248" s="64" ph="1"/>
      <c r="X2248" s="241"/>
      <c r="Y2248" s="284"/>
      <c r="Z2248" s="207"/>
      <c r="AA2248" s="284"/>
      <c r="AB2248" s="284"/>
      <c r="AC2248" s="284"/>
      <c r="AD2248" s="284"/>
      <c r="AE2248" s="284"/>
      <c r="AF2248" s="284"/>
      <c r="AG2248" s="284"/>
    </row>
    <row r="2249" spans="1:33" ht="26.4">
      <c r="A2249" s="284"/>
      <c r="B2249" s="284"/>
      <c r="C2249" s="284"/>
      <c r="D2249" s="284"/>
      <c r="E2249" s="284"/>
      <c r="F2249" s="284"/>
      <c r="G2249" s="284"/>
      <c r="H2249" s="284"/>
      <c r="I2249" s="284"/>
      <c r="J2249" s="375"/>
      <c r="K2249" s="375"/>
      <c r="L2249" s="375"/>
      <c r="M2249" s="368"/>
      <c r="N2249" s="368"/>
      <c r="O2249" s="370"/>
      <c r="T2249" s="349"/>
      <c r="V2249" s="378"/>
      <c r="W2249" s="64" ph="1"/>
      <c r="X2249" s="241"/>
      <c r="Y2249" s="284"/>
      <c r="Z2249" s="207"/>
      <c r="AA2249" s="284"/>
      <c r="AB2249" s="284"/>
      <c r="AC2249" s="284"/>
      <c r="AD2249" s="284"/>
      <c r="AE2249" s="284"/>
      <c r="AF2249" s="284"/>
      <c r="AG2249" s="284"/>
    </row>
    <row r="2250" spans="1:33" ht="26.4">
      <c r="A2250" s="284"/>
      <c r="B2250" s="284"/>
      <c r="C2250" s="284"/>
      <c r="D2250" s="284"/>
      <c r="E2250" s="284"/>
      <c r="F2250" s="284"/>
      <c r="G2250" s="284"/>
      <c r="H2250" s="284"/>
      <c r="I2250" s="284"/>
      <c r="J2250" s="375"/>
      <c r="K2250" s="375"/>
      <c r="L2250" s="375"/>
      <c r="M2250" s="368"/>
      <c r="N2250" s="368"/>
      <c r="O2250" s="370"/>
      <c r="T2250" s="349"/>
      <c r="V2250" s="378"/>
      <c r="W2250" s="64" ph="1"/>
      <c r="X2250" s="241"/>
      <c r="Y2250" s="284"/>
      <c r="Z2250" s="207"/>
      <c r="AA2250" s="284"/>
      <c r="AB2250" s="284"/>
      <c r="AC2250" s="284"/>
      <c r="AD2250" s="284"/>
      <c r="AE2250" s="284"/>
      <c r="AF2250" s="284"/>
      <c r="AG2250" s="284"/>
    </row>
    <row r="2251" spans="1:33" ht="26.4">
      <c r="A2251" s="284"/>
      <c r="B2251" s="284"/>
      <c r="C2251" s="284"/>
      <c r="D2251" s="284"/>
      <c r="E2251" s="284"/>
      <c r="F2251" s="284"/>
      <c r="G2251" s="284"/>
      <c r="H2251" s="284"/>
      <c r="I2251" s="284"/>
      <c r="J2251" s="375"/>
      <c r="K2251" s="375"/>
      <c r="L2251" s="375"/>
      <c r="M2251" s="368"/>
      <c r="N2251" s="368"/>
      <c r="O2251" s="370"/>
      <c r="T2251" s="349"/>
      <c r="V2251" s="378"/>
      <c r="W2251" s="64" ph="1"/>
      <c r="X2251" s="241"/>
      <c r="Y2251" s="284"/>
      <c r="Z2251" s="207"/>
      <c r="AA2251" s="284"/>
      <c r="AB2251" s="284"/>
      <c r="AC2251" s="284"/>
      <c r="AD2251" s="284"/>
      <c r="AE2251" s="284"/>
      <c r="AF2251" s="284"/>
      <c r="AG2251" s="284"/>
    </row>
    <row r="2252" spans="1:33" ht="26.4">
      <c r="A2252" s="284"/>
      <c r="B2252" s="284"/>
      <c r="C2252" s="284"/>
      <c r="D2252" s="284"/>
      <c r="E2252" s="284"/>
      <c r="F2252" s="284"/>
      <c r="G2252" s="284"/>
      <c r="H2252" s="284"/>
      <c r="I2252" s="284"/>
      <c r="J2252" s="375"/>
      <c r="K2252" s="375"/>
      <c r="L2252" s="375"/>
      <c r="M2252" s="368"/>
      <c r="N2252" s="368"/>
      <c r="O2252" s="370"/>
      <c r="T2252" s="349"/>
      <c r="V2252" s="378"/>
      <c r="W2252" s="64" ph="1"/>
      <c r="X2252" s="241"/>
      <c r="Y2252" s="284"/>
      <c r="Z2252" s="207"/>
      <c r="AA2252" s="284"/>
      <c r="AB2252" s="284"/>
      <c r="AC2252" s="284"/>
      <c r="AD2252" s="284"/>
      <c r="AE2252" s="284"/>
      <c r="AF2252" s="284"/>
      <c r="AG2252" s="284"/>
    </row>
    <row r="2253" spans="1:33" ht="26.4">
      <c r="A2253" s="284"/>
      <c r="B2253" s="284"/>
      <c r="C2253" s="284"/>
      <c r="D2253" s="284"/>
      <c r="E2253" s="284"/>
      <c r="F2253" s="284"/>
      <c r="G2253" s="284"/>
      <c r="H2253" s="284"/>
      <c r="I2253" s="284"/>
      <c r="J2253" s="375"/>
      <c r="K2253" s="375"/>
      <c r="L2253" s="375"/>
      <c r="M2253" s="368"/>
      <c r="N2253" s="368"/>
      <c r="O2253" s="370"/>
      <c r="T2253" s="349"/>
      <c r="V2253" s="378"/>
      <c r="W2253" s="64" ph="1"/>
      <c r="X2253" s="241"/>
      <c r="Y2253" s="284"/>
      <c r="Z2253" s="207"/>
      <c r="AA2253" s="284"/>
      <c r="AB2253" s="284"/>
      <c r="AC2253" s="284"/>
      <c r="AD2253" s="284"/>
      <c r="AE2253" s="284"/>
      <c r="AF2253" s="284"/>
      <c r="AG2253" s="284"/>
    </row>
    <row r="2254" spans="1:33" ht="26.4">
      <c r="A2254" s="284"/>
      <c r="B2254" s="284"/>
      <c r="C2254" s="284"/>
      <c r="D2254" s="284"/>
      <c r="E2254" s="284"/>
      <c r="F2254" s="284"/>
      <c r="G2254" s="284"/>
      <c r="H2254" s="284"/>
      <c r="I2254" s="284"/>
      <c r="J2254" s="375"/>
      <c r="K2254" s="375"/>
      <c r="L2254" s="375"/>
      <c r="M2254" s="368"/>
      <c r="N2254" s="368"/>
      <c r="O2254" s="370"/>
      <c r="T2254" s="349"/>
      <c r="V2254" s="378"/>
      <c r="W2254" s="64" ph="1"/>
      <c r="X2254" s="241"/>
      <c r="Y2254" s="284"/>
      <c r="Z2254" s="207"/>
      <c r="AA2254" s="284"/>
      <c r="AB2254" s="284"/>
      <c r="AC2254" s="284"/>
      <c r="AD2254" s="284"/>
      <c r="AE2254" s="284"/>
      <c r="AF2254" s="284"/>
      <c r="AG2254" s="284"/>
    </row>
    <row r="2255" spans="1:33" ht="26.4">
      <c r="A2255" s="284"/>
      <c r="B2255" s="284"/>
      <c r="C2255" s="284"/>
      <c r="D2255" s="284"/>
      <c r="E2255" s="284"/>
      <c r="F2255" s="284"/>
      <c r="G2255" s="284"/>
      <c r="H2255" s="284"/>
      <c r="I2255" s="284"/>
      <c r="J2255" s="375"/>
      <c r="K2255" s="375"/>
      <c r="L2255" s="375"/>
      <c r="M2255" s="368"/>
      <c r="N2255" s="368"/>
      <c r="O2255" s="370"/>
      <c r="T2255" s="349"/>
      <c r="V2255" s="378"/>
      <c r="W2255" s="64" ph="1"/>
      <c r="X2255" s="241"/>
      <c r="Y2255" s="284"/>
      <c r="Z2255" s="207"/>
      <c r="AA2255" s="284"/>
      <c r="AB2255" s="284"/>
      <c r="AC2255" s="284"/>
      <c r="AD2255" s="284"/>
      <c r="AE2255" s="284"/>
      <c r="AF2255" s="284"/>
      <c r="AG2255" s="284"/>
    </row>
    <row r="2256" spans="1:33" ht="26.4">
      <c r="A2256" s="284"/>
      <c r="B2256" s="284"/>
      <c r="C2256" s="284"/>
      <c r="D2256" s="284"/>
      <c r="E2256" s="284"/>
      <c r="F2256" s="284"/>
      <c r="G2256" s="284"/>
      <c r="H2256" s="284"/>
      <c r="I2256" s="284"/>
      <c r="J2256" s="375"/>
      <c r="K2256" s="375"/>
      <c r="L2256" s="375"/>
      <c r="M2256" s="368"/>
      <c r="N2256" s="368"/>
      <c r="O2256" s="370"/>
      <c r="T2256" s="349"/>
      <c r="V2256" s="378"/>
      <c r="W2256" s="64" ph="1"/>
      <c r="X2256" s="241"/>
      <c r="Y2256" s="284"/>
      <c r="Z2256" s="207"/>
      <c r="AA2256" s="284"/>
      <c r="AB2256" s="284"/>
      <c r="AC2256" s="284"/>
      <c r="AD2256" s="284"/>
      <c r="AE2256" s="284"/>
      <c r="AF2256" s="284"/>
      <c r="AG2256" s="284"/>
    </row>
    <row r="2257" spans="1:33" ht="26.4">
      <c r="A2257" s="284"/>
      <c r="B2257" s="284"/>
      <c r="C2257" s="284"/>
      <c r="D2257" s="284"/>
      <c r="E2257" s="284"/>
      <c r="F2257" s="284"/>
      <c r="G2257" s="284"/>
      <c r="H2257" s="284"/>
      <c r="I2257" s="284"/>
      <c r="J2257" s="375"/>
      <c r="K2257" s="375"/>
      <c r="L2257" s="375"/>
      <c r="M2257" s="368"/>
      <c r="N2257" s="368"/>
      <c r="O2257" s="370"/>
      <c r="T2257" s="349"/>
      <c r="V2257" s="378"/>
      <c r="W2257" s="64" ph="1"/>
      <c r="X2257" s="241"/>
      <c r="Y2257" s="284"/>
      <c r="Z2257" s="207"/>
      <c r="AA2257" s="284"/>
      <c r="AB2257" s="284"/>
      <c r="AC2257" s="284"/>
      <c r="AD2257" s="284"/>
      <c r="AE2257" s="284"/>
      <c r="AF2257" s="284"/>
      <c r="AG2257" s="284"/>
    </row>
    <row r="2258" spans="1:33" ht="26.4">
      <c r="A2258" s="284"/>
      <c r="B2258" s="284"/>
      <c r="C2258" s="284"/>
      <c r="D2258" s="284"/>
      <c r="E2258" s="284"/>
      <c r="F2258" s="284"/>
      <c r="G2258" s="284"/>
      <c r="H2258" s="284"/>
      <c r="I2258" s="284"/>
      <c r="J2258" s="375"/>
      <c r="K2258" s="375"/>
      <c r="L2258" s="375"/>
      <c r="M2258" s="368"/>
      <c r="N2258" s="368"/>
      <c r="O2258" s="370"/>
      <c r="T2258" s="349"/>
      <c r="V2258" s="378"/>
      <c r="W2258" s="64" ph="1"/>
      <c r="X2258" s="241"/>
      <c r="Y2258" s="284"/>
      <c r="Z2258" s="207"/>
      <c r="AA2258" s="284"/>
      <c r="AB2258" s="284"/>
      <c r="AC2258" s="284"/>
      <c r="AD2258" s="284"/>
      <c r="AE2258" s="284"/>
      <c r="AF2258" s="284"/>
      <c r="AG2258" s="284"/>
    </row>
    <row r="2259" spans="1:33" ht="26.4">
      <c r="A2259" s="284"/>
      <c r="B2259" s="284"/>
      <c r="C2259" s="284"/>
      <c r="D2259" s="284"/>
      <c r="E2259" s="284"/>
      <c r="F2259" s="284"/>
      <c r="G2259" s="284"/>
      <c r="H2259" s="284"/>
      <c r="I2259" s="284"/>
      <c r="J2259" s="375"/>
      <c r="K2259" s="375"/>
      <c r="L2259" s="375"/>
      <c r="M2259" s="368"/>
      <c r="N2259" s="368"/>
      <c r="O2259" s="370"/>
      <c r="T2259" s="349"/>
      <c r="V2259" s="378"/>
      <c r="W2259" s="64" ph="1"/>
      <c r="X2259" s="241"/>
      <c r="Y2259" s="284"/>
      <c r="Z2259" s="207"/>
      <c r="AA2259" s="284"/>
      <c r="AB2259" s="284"/>
      <c r="AC2259" s="284"/>
      <c r="AD2259" s="284"/>
      <c r="AE2259" s="284"/>
      <c r="AF2259" s="284"/>
      <c r="AG2259" s="284"/>
    </row>
    <row r="2260" spans="1:33" ht="26.4">
      <c r="A2260" s="284"/>
      <c r="B2260" s="284"/>
      <c r="C2260" s="284"/>
      <c r="D2260" s="284"/>
      <c r="E2260" s="284"/>
      <c r="F2260" s="284"/>
      <c r="G2260" s="284"/>
      <c r="H2260" s="284"/>
      <c r="I2260" s="284"/>
      <c r="J2260" s="375"/>
      <c r="K2260" s="375"/>
      <c r="L2260" s="375"/>
      <c r="M2260" s="368"/>
      <c r="N2260" s="368"/>
      <c r="O2260" s="370"/>
      <c r="T2260" s="349"/>
      <c r="V2260" s="378"/>
      <c r="W2260" s="64" ph="1"/>
      <c r="X2260" s="241"/>
      <c r="Y2260" s="284"/>
      <c r="Z2260" s="207"/>
      <c r="AA2260" s="284"/>
      <c r="AB2260" s="284"/>
      <c r="AC2260" s="284"/>
      <c r="AD2260" s="284"/>
      <c r="AE2260" s="284"/>
      <c r="AF2260" s="284"/>
      <c r="AG2260" s="284"/>
    </row>
    <row r="2261" spans="1:33" ht="26.4">
      <c r="A2261" s="284"/>
      <c r="B2261" s="284"/>
      <c r="C2261" s="284"/>
      <c r="D2261" s="284"/>
      <c r="E2261" s="284"/>
      <c r="F2261" s="284"/>
      <c r="G2261" s="284"/>
      <c r="H2261" s="284"/>
      <c r="I2261" s="284"/>
      <c r="J2261" s="375"/>
      <c r="K2261" s="375"/>
      <c r="L2261" s="375"/>
      <c r="M2261" s="368"/>
      <c r="N2261" s="368"/>
      <c r="O2261" s="370"/>
      <c r="T2261" s="349"/>
      <c r="V2261" s="378"/>
      <c r="W2261" s="64" ph="1"/>
      <c r="X2261" s="241"/>
      <c r="Y2261" s="284"/>
      <c r="Z2261" s="207"/>
      <c r="AA2261" s="284"/>
      <c r="AB2261" s="284"/>
      <c r="AC2261" s="284"/>
      <c r="AD2261" s="284"/>
      <c r="AE2261" s="284"/>
      <c r="AF2261" s="284"/>
      <c r="AG2261" s="284"/>
    </row>
    <row r="2262" spans="1:33" ht="26.4">
      <c r="A2262" s="284"/>
      <c r="B2262" s="284"/>
      <c r="C2262" s="284"/>
      <c r="D2262" s="284"/>
      <c r="E2262" s="284"/>
      <c r="F2262" s="284"/>
      <c r="G2262" s="284"/>
      <c r="H2262" s="284"/>
      <c r="I2262" s="284"/>
      <c r="J2262" s="375"/>
      <c r="K2262" s="375"/>
      <c r="L2262" s="375"/>
      <c r="M2262" s="368"/>
      <c r="N2262" s="368"/>
      <c r="O2262" s="370"/>
      <c r="T2262" s="349"/>
      <c r="V2262" s="378"/>
      <c r="W2262" s="64" ph="1"/>
      <c r="X2262" s="241"/>
      <c r="Y2262" s="284"/>
      <c r="Z2262" s="207"/>
      <c r="AA2262" s="284"/>
      <c r="AB2262" s="284"/>
      <c r="AC2262" s="284"/>
      <c r="AD2262" s="284"/>
      <c r="AE2262" s="284"/>
      <c r="AF2262" s="284"/>
      <c r="AG2262" s="284"/>
    </row>
    <row r="2263" spans="1:33" ht="26.4">
      <c r="A2263" s="284"/>
      <c r="B2263" s="284"/>
      <c r="C2263" s="284"/>
      <c r="D2263" s="284"/>
      <c r="E2263" s="284"/>
      <c r="F2263" s="284"/>
      <c r="G2263" s="284"/>
      <c r="H2263" s="284"/>
      <c r="I2263" s="284"/>
      <c r="J2263" s="375"/>
      <c r="K2263" s="375"/>
      <c r="L2263" s="375"/>
      <c r="M2263" s="368"/>
      <c r="N2263" s="368"/>
      <c r="O2263" s="370"/>
      <c r="T2263" s="349"/>
      <c r="V2263" s="378"/>
      <c r="W2263" s="64" ph="1"/>
      <c r="X2263" s="241"/>
      <c r="Y2263" s="284"/>
      <c r="Z2263" s="207"/>
      <c r="AA2263" s="284"/>
      <c r="AB2263" s="284"/>
      <c r="AC2263" s="284"/>
      <c r="AD2263" s="284"/>
      <c r="AE2263" s="284"/>
      <c r="AF2263" s="284"/>
      <c r="AG2263" s="284"/>
    </row>
    <row r="2264" spans="1:33" ht="26.4">
      <c r="A2264" s="284"/>
      <c r="B2264" s="284"/>
      <c r="C2264" s="284"/>
      <c r="D2264" s="284"/>
      <c r="E2264" s="284"/>
      <c r="F2264" s="284"/>
      <c r="G2264" s="284"/>
      <c r="H2264" s="284"/>
      <c r="I2264" s="284"/>
      <c r="J2264" s="375"/>
      <c r="K2264" s="375"/>
      <c r="L2264" s="375"/>
      <c r="M2264" s="368"/>
      <c r="N2264" s="368"/>
      <c r="O2264" s="370"/>
      <c r="T2264" s="349"/>
      <c r="V2264" s="378"/>
      <c r="W2264" s="64" ph="1"/>
      <c r="X2264" s="241"/>
      <c r="Y2264" s="284"/>
      <c r="Z2264" s="207"/>
      <c r="AA2264" s="284"/>
      <c r="AB2264" s="284"/>
      <c r="AC2264" s="284"/>
      <c r="AD2264" s="284"/>
      <c r="AE2264" s="284"/>
      <c r="AF2264" s="284"/>
      <c r="AG2264" s="284"/>
    </row>
    <row r="2265" spans="1:33" ht="26.4">
      <c r="A2265" s="284"/>
      <c r="B2265" s="284"/>
      <c r="C2265" s="284"/>
      <c r="D2265" s="284"/>
      <c r="E2265" s="284"/>
      <c r="F2265" s="284"/>
      <c r="G2265" s="284"/>
      <c r="H2265" s="284"/>
      <c r="I2265" s="284"/>
      <c r="J2265" s="375"/>
      <c r="K2265" s="375"/>
      <c r="L2265" s="375"/>
      <c r="M2265" s="368"/>
      <c r="N2265" s="368"/>
      <c r="O2265" s="370"/>
      <c r="T2265" s="349"/>
      <c r="V2265" s="378"/>
      <c r="W2265" s="64" ph="1"/>
      <c r="X2265" s="241"/>
      <c r="Y2265" s="284"/>
      <c r="Z2265" s="207"/>
      <c r="AA2265" s="284"/>
      <c r="AB2265" s="284"/>
      <c r="AC2265" s="284"/>
      <c r="AD2265" s="284"/>
      <c r="AE2265" s="284"/>
      <c r="AF2265" s="284"/>
      <c r="AG2265" s="284"/>
    </row>
    <row r="2266" spans="1:33" ht="26.4">
      <c r="A2266" s="284"/>
      <c r="B2266" s="284"/>
      <c r="C2266" s="284"/>
      <c r="D2266" s="284"/>
      <c r="E2266" s="284"/>
      <c r="F2266" s="284"/>
      <c r="G2266" s="284"/>
      <c r="H2266" s="284"/>
      <c r="I2266" s="284"/>
      <c r="J2266" s="375"/>
      <c r="K2266" s="375"/>
      <c r="L2266" s="375"/>
      <c r="M2266" s="368"/>
      <c r="N2266" s="368"/>
      <c r="O2266" s="370"/>
      <c r="T2266" s="349"/>
      <c r="V2266" s="378"/>
      <c r="W2266" s="64" ph="1"/>
      <c r="X2266" s="241"/>
      <c r="Y2266" s="284"/>
      <c r="Z2266" s="207"/>
      <c r="AA2266" s="284"/>
      <c r="AB2266" s="284"/>
      <c r="AC2266" s="284"/>
      <c r="AD2266" s="284"/>
      <c r="AE2266" s="284"/>
      <c r="AF2266" s="284"/>
      <c r="AG2266" s="284"/>
    </row>
    <row r="2267" spans="1:33" ht="26.4">
      <c r="A2267" s="284"/>
      <c r="B2267" s="284"/>
      <c r="C2267" s="284"/>
      <c r="D2267" s="284"/>
      <c r="E2267" s="284"/>
      <c r="F2267" s="284"/>
      <c r="G2267" s="284"/>
      <c r="H2267" s="284"/>
      <c r="I2267" s="284"/>
      <c r="J2267" s="375"/>
      <c r="K2267" s="375"/>
      <c r="L2267" s="375"/>
      <c r="M2267" s="368"/>
      <c r="N2267" s="368"/>
      <c r="O2267" s="370"/>
      <c r="T2267" s="349"/>
      <c r="V2267" s="378"/>
      <c r="W2267" s="64" ph="1"/>
      <c r="X2267" s="241"/>
      <c r="Y2267" s="284"/>
      <c r="Z2267" s="207"/>
      <c r="AA2267" s="284"/>
      <c r="AB2267" s="284"/>
      <c r="AC2267" s="284"/>
      <c r="AD2267" s="284"/>
      <c r="AE2267" s="284"/>
      <c r="AF2267" s="284"/>
      <c r="AG2267" s="284"/>
    </row>
    <row r="2268" spans="1:33" ht="26.4">
      <c r="A2268" s="284"/>
      <c r="B2268" s="284"/>
      <c r="C2268" s="284"/>
      <c r="D2268" s="284"/>
      <c r="E2268" s="284"/>
      <c r="F2268" s="284"/>
      <c r="G2268" s="284"/>
      <c r="H2268" s="284"/>
      <c r="I2268" s="284"/>
      <c r="J2268" s="375"/>
      <c r="K2268" s="375"/>
      <c r="L2268" s="375"/>
      <c r="M2268" s="368"/>
      <c r="N2268" s="368"/>
      <c r="O2268" s="370"/>
      <c r="T2268" s="349"/>
      <c r="V2268" s="378"/>
      <c r="W2268" s="64" ph="1"/>
      <c r="X2268" s="241"/>
      <c r="Y2268" s="284"/>
      <c r="Z2268" s="207"/>
      <c r="AA2268" s="284"/>
      <c r="AB2268" s="284"/>
      <c r="AC2268" s="284"/>
      <c r="AD2268" s="284"/>
      <c r="AE2268" s="284"/>
      <c r="AF2268" s="284"/>
      <c r="AG2268" s="284"/>
    </row>
    <row r="2269" spans="1:33" ht="26.4">
      <c r="A2269" s="284"/>
      <c r="B2269" s="284"/>
      <c r="C2269" s="284"/>
      <c r="D2269" s="284"/>
      <c r="E2269" s="284"/>
      <c r="F2269" s="284"/>
      <c r="G2269" s="284"/>
      <c r="H2269" s="284"/>
      <c r="I2269" s="284"/>
      <c r="J2269" s="375"/>
      <c r="K2269" s="375"/>
      <c r="L2269" s="375"/>
      <c r="M2269" s="368"/>
      <c r="N2269" s="368"/>
      <c r="O2269" s="370"/>
      <c r="T2269" s="349"/>
      <c r="V2269" s="378"/>
      <c r="W2269" s="64" ph="1"/>
      <c r="X2269" s="241"/>
      <c r="Y2269" s="284"/>
      <c r="Z2269" s="207"/>
      <c r="AA2269" s="284"/>
      <c r="AB2269" s="284"/>
      <c r="AC2269" s="284"/>
      <c r="AD2269" s="284"/>
      <c r="AE2269" s="284"/>
      <c r="AF2269" s="284"/>
      <c r="AG2269" s="284"/>
    </row>
    <row r="2270" spans="1:33" ht="26.4">
      <c r="A2270" s="284"/>
      <c r="B2270" s="284"/>
      <c r="C2270" s="284"/>
      <c r="D2270" s="284"/>
      <c r="E2270" s="284"/>
      <c r="F2270" s="284"/>
      <c r="G2270" s="284"/>
      <c r="H2270" s="284"/>
      <c r="I2270" s="284"/>
      <c r="J2270" s="375"/>
      <c r="K2270" s="375"/>
      <c r="L2270" s="375"/>
      <c r="M2270" s="368"/>
      <c r="N2270" s="368"/>
      <c r="O2270" s="370"/>
      <c r="T2270" s="349"/>
      <c r="V2270" s="378"/>
      <c r="W2270" s="64" ph="1"/>
      <c r="X2270" s="241"/>
      <c r="Y2270" s="284"/>
      <c r="Z2270" s="207"/>
      <c r="AA2270" s="284"/>
      <c r="AB2270" s="284"/>
      <c r="AC2270" s="284"/>
      <c r="AD2270" s="284"/>
      <c r="AE2270" s="284"/>
      <c r="AF2270" s="284"/>
      <c r="AG2270" s="284"/>
    </row>
    <row r="2271" spans="1:33" ht="26.4">
      <c r="A2271" s="284"/>
      <c r="B2271" s="284"/>
      <c r="C2271" s="284"/>
      <c r="D2271" s="284"/>
      <c r="E2271" s="284"/>
      <c r="F2271" s="284"/>
      <c r="G2271" s="284"/>
      <c r="H2271" s="284"/>
      <c r="I2271" s="284"/>
      <c r="J2271" s="375"/>
      <c r="K2271" s="375"/>
      <c r="L2271" s="375"/>
      <c r="M2271" s="368"/>
      <c r="N2271" s="368"/>
      <c r="O2271" s="370"/>
      <c r="T2271" s="349"/>
      <c r="V2271" s="378"/>
      <c r="W2271" s="64" ph="1"/>
      <c r="X2271" s="241"/>
      <c r="Y2271" s="284"/>
      <c r="Z2271" s="207"/>
      <c r="AA2271" s="284"/>
      <c r="AB2271" s="284"/>
      <c r="AC2271" s="284"/>
      <c r="AD2271" s="284"/>
      <c r="AE2271" s="284"/>
      <c r="AF2271" s="284"/>
      <c r="AG2271" s="284"/>
    </row>
    <row r="2272" spans="1:33" ht="26.4">
      <c r="A2272" s="284"/>
      <c r="B2272" s="284"/>
      <c r="C2272" s="284"/>
      <c r="D2272" s="284"/>
      <c r="E2272" s="284"/>
      <c r="F2272" s="284"/>
      <c r="G2272" s="284"/>
      <c r="H2272" s="284"/>
      <c r="I2272" s="284"/>
      <c r="J2272" s="375"/>
      <c r="K2272" s="375"/>
      <c r="L2272" s="375"/>
      <c r="M2272" s="368"/>
      <c r="N2272" s="368"/>
      <c r="O2272" s="370"/>
      <c r="T2272" s="349"/>
      <c r="V2272" s="378"/>
      <c r="W2272" s="64" ph="1"/>
      <c r="X2272" s="241"/>
      <c r="Y2272" s="284"/>
      <c r="Z2272" s="207"/>
      <c r="AA2272" s="284"/>
      <c r="AB2272" s="284"/>
      <c r="AC2272" s="284"/>
      <c r="AD2272" s="284"/>
      <c r="AE2272" s="284"/>
      <c r="AF2272" s="284"/>
      <c r="AG2272" s="284"/>
    </row>
    <row r="2273" spans="1:33" ht="26.4">
      <c r="A2273" s="284"/>
      <c r="B2273" s="284"/>
      <c r="C2273" s="284"/>
      <c r="D2273" s="284"/>
      <c r="E2273" s="284"/>
      <c r="F2273" s="284"/>
      <c r="G2273" s="284"/>
      <c r="H2273" s="284"/>
      <c r="I2273" s="284"/>
      <c r="J2273" s="375"/>
      <c r="K2273" s="375"/>
      <c r="L2273" s="375"/>
      <c r="M2273" s="368"/>
      <c r="N2273" s="368"/>
      <c r="O2273" s="370"/>
      <c r="T2273" s="349"/>
      <c r="V2273" s="378"/>
      <c r="W2273" s="64" ph="1"/>
      <c r="X2273" s="241"/>
      <c r="Y2273" s="284"/>
      <c r="Z2273" s="207"/>
      <c r="AA2273" s="284"/>
      <c r="AB2273" s="284"/>
      <c r="AC2273" s="284"/>
      <c r="AD2273" s="284"/>
      <c r="AE2273" s="284"/>
      <c r="AF2273" s="284"/>
      <c r="AG2273" s="284"/>
    </row>
    <row r="2274" spans="1:33" ht="26.4">
      <c r="A2274" s="284"/>
      <c r="B2274" s="284"/>
      <c r="C2274" s="284"/>
      <c r="D2274" s="284"/>
      <c r="E2274" s="284"/>
      <c r="F2274" s="284"/>
      <c r="G2274" s="284"/>
      <c r="H2274" s="284"/>
      <c r="I2274" s="284"/>
      <c r="J2274" s="375"/>
      <c r="K2274" s="375"/>
      <c r="L2274" s="375"/>
      <c r="M2274" s="368"/>
      <c r="N2274" s="368"/>
      <c r="O2274" s="370"/>
      <c r="T2274" s="349"/>
      <c r="V2274" s="378"/>
      <c r="W2274" s="64" ph="1"/>
      <c r="X2274" s="241"/>
      <c r="Y2274" s="284"/>
      <c r="Z2274" s="207"/>
      <c r="AA2274" s="284"/>
      <c r="AB2274" s="284"/>
      <c r="AC2274" s="284"/>
      <c r="AD2274" s="284"/>
      <c r="AE2274" s="284"/>
      <c r="AF2274" s="284"/>
      <c r="AG2274" s="284"/>
    </row>
    <row r="2275" spans="1:33" ht="26.4">
      <c r="A2275" s="284"/>
      <c r="B2275" s="284"/>
      <c r="C2275" s="284"/>
      <c r="D2275" s="284"/>
      <c r="E2275" s="284"/>
      <c r="F2275" s="284"/>
      <c r="G2275" s="284"/>
      <c r="H2275" s="284"/>
      <c r="I2275" s="284"/>
      <c r="J2275" s="375"/>
      <c r="K2275" s="375"/>
      <c r="L2275" s="375"/>
      <c r="M2275" s="368"/>
      <c r="N2275" s="368"/>
      <c r="O2275" s="370"/>
      <c r="T2275" s="349"/>
      <c r="V2275" s="378"/>
      <c r="W2275" s="64" ph="1"/>
      <c r="X2275" s="241"/>
      <c r="Y2275" s="284"/>
      <c r="Z2275" s="207"/>
      <c r="AA2275" s="284"/>
      <c r="AB2275" s="284"/>
      <c r="AC2275" s="284"/>
      <c r="AD2275" s="284"/>
      <c r="AE2275" s="284"/>
      <c r="AF2275" s="284"/>
      <c r="AG2275" s="284"/>
    </row>
    <row r="2276" spans="1:33" ht="26.4">
      <c r="A2276" s="284"/>
      <c r="B2276" s="284"/>
      <c r="C2276" s="284"/>
      <c r="D2276" s="284"/>
      <c r="E2276" s="284"/>
      <c r="F2276" s="284"/>
      <c r="G2276" s="284"/>
      <c r="H2276" s="284"/>
      <c r="I2276" s="284"/>
      <c r="J2276" s="375"/>
      <c r="K2276" s="375"/>
      <c r="L2276" s="375"/>
      <c r="M2276" s="368"/>
      <c r="N2276" s="368"/>
      <c r="O2276" s="370"/>
      <c r="T2276" s="349"/>
      <c r="V2276" s="378"/>
      <c r="W2276" s="64" ph="1"/>
      <c r="X2276" s="241"/>
      <c r="Y2276" s="284"/>
      <c r="Z2276" s="207"/>
      <c r="AA2276" s="284"/>
      <c r="AB2276" s="284"/>
      <c r="AC2276" s="284"/>
      <c r="AD2276" s="284"/>
      <c r="AE2276" s="284"/>
      <c r="AF2276" s="284"/>
      <c r="AG2276" s="284"/>
    </row>
    <row r="2277" spans="1:33" ht="26.4">
      <c r="A2277" s="284"/>
      <c r="B2277" s="284"/>
      <c r="C2277" s="284"/>
      <c r="D2277" s="284"/>
      <c r="E2277" s="284"/>
      <c r="F2277" s="284"/>
      <c r="G2277" s="284"/>
      <c r="H2277" s="284"/>
      <c r="I2277" s="284"/>
      <c r="J2277" s="375"/>
      <c r="K2277" s="375"/>
      <c r="L2277" s="375"/>
      <c r="M2277" s="368"/>
      <c r="N2277" s="368"/>
      <c r="O2277" s="370"/>
      <c r="T2277" s="349"/>
      <c r="V2277" s="378"/>
      <c r="W2277" s="64" ph="1"/>
      <c r="X2277" s="241"/>
      <c r="Y2277" s="284"/>
      <c r="Z2277" s="207"/>
      <c r="AA2277" s="284"/>
      <c r="AB2277" s="284"/>
      <c r="AC2277" s="284"/>
      <c r="AD2277" s="284"/>
      <c r="AE2277" s="284"/>
      <c r="AF2277" s="284"/>
      <c r="AG2277" s="284"/>
    </row>
    <row r="2278" spans="1:33" ht="26.4">
      <c r="A2278" s="284"/>
      <c r="B2278" s="284"/>
      <c r="C2278" s="284"/>
      <c r="D2278" s="284"/>
      <c r="E2278" s="284"/>
      <c r="F2278" s="284"/>
      <c r="G2278" s="284"/>
      <c r="H2278" s="284"/>
      <c r="I2278" s="284"/>
      <c r="J2278" s="375"/>
      <c r="K2278" s="375"/>
      <c r="L2278" s="375"/>
      <c r="M2278" s="368"/>
      <c r="N2278" s="368"/>
      <c r="O2278" s="370"/>
      <c r="T2278" s="349"/>
      <c r="V2278" s="378"/>
      <c r="W2278" s="64" ph="1"/>
      <c r="X2278" s="241"/>
      <c r="Y2278" s="284"/>
      <c r="Z2278" s="207"/>
      <c r="AA2278" s="284"/>
      <c r="AB2278" s="284"/>
      <c r="AC2278" s="284"/>
      <c r="AD2278" s="284"/>
      <c r="AE2278" s="284"/>
      <c r="AF2278" s="284"/>
      <c r="AG2278" s="284"/>
    </row>
    <row r="2279" spans="1:33" ht="26.4">
      <c r="A2279" s="284"/>
      <c r="B2279" s="284"/>
      <c r="C2279" s="284"/>
      <c r="D2279" s="284"/>
      <c r="E2279" s="284"/>
      <c r="F2279" s="284"/>
      <c r="G2279" s="284"/>
      <c r="H2279" s="284"/>
      <c r="I2279" s="284"/>
      <c r="J2279" s="375"/>
      <c r="K2279" s="375"/>
      <c r="L2279" s="375"/>
      <c r="M2279" s="368"/>
      <c r="N2279" s="368"/>
      <c r="O2279" s="370"/>
      <c r="T2279" s="349"/>
      <c r="V2279" s="378"/>
      <c r="W2279" s="64" ph="1"/>
      <c r="X2279" s="241"/>
      <c r="Y2279" s="284"/>
      <c r="Z2279" s="207"/>
      <c r="AA2279" s="284"/>
      <c r="AB2279" s="284"/>
      <c r="AC2279" s="284"/>
      <c r="AD2279" s="284"/>
      <c r="AE2279" s="284"/>
      <c r="AF2279" s="284"/>
      <c r="AG2279" s="284"/>
    </row>
    <row r="2280" spans="1:33" ht="26.4">
      <c r="A2280" s="284"/>
      <c r="B2280" s="284"/>
      <c r="C2280" s="284"/>
      <c r="D2280" s="284"/>
      <c r="E2280" s="284"/>
      <c r="F2280" s="284"/>
      <c r="G2280" s="284"/>
      <c r="H2280" s="284"/>
      <c r="I2280" s="284"/>
      <c r="J2280" s="375"/>
      <c r="K2280" s="375"/>
      <c r="L2280" s="375"/>
      <c r="M2280" s="368"/>
      <c r="N2280" s="368"/>
      <c r="O2280" s="370"/>
      <c r="T2280" s="349"/>
      <c r="V2280" s="378"/>
      <c r="W2280" s="64" ph="1"/>
      <c r="X2280" s="241"/>
      <c r="Y2280" s="284"/>
      <c r="Z2280" s="207"/>
      <c r="AA2280" s="284"/>
      <c r="AB2280" s="284"/>
      <c r="AC2280" s="284"/>
      <c r="AD2280" s="284"/>
      <c r="AE2280" s="284"/>
      <c r="AF2280" s="284"/>
      <c r="AG2280" s="284"/>
    </row>
    <row r="2281" spans="1:33" ht="26.4">
      <c r="A2281" s="284"/>
      <c r="B2281" s="284"/>
      <c r="C2281" s="284"/>
      <c r="D2281" s="284"/>
      <c r="E2281" s="284"/>
      <c r="F2281" s="284"/>
      <c r="G2281" s="284"/>
      <c r="H2281" s="284"/>
      <c r="I2281" s="284"/>
      <c r="J2281" s="375"/>
      <c r="K2281" s="375"/>
      <c r="L2281" s="375"/>
      <c r="M2281" s="368"/>
      <c r="N2281" s="368"/>
      <c r="O2281" s="370"/>
      <c r="T2281" s="349"/>
      <c r="V2281" s="378"/>
      <c r="W2281" s="64" ph="1"/>
      <c r="X2281" s="241"/>
      <c r="Y2281" s="284"/>
      <c r="Z2281" s="207"/>
      <c r="AA2281" s="284"/>
      <c r="AB2281" s="284"/>
      <c r="AC2281" s="284"/>
      <c r="AD2281" s="284"/>
      <c r="AE2281" s="284"/>
      <c r="AF2281" s="284"/>
      <c r="AG2281" s="284"/>
    </row>
    <row r="2282" spans="1:33" ht="26.4">
      <c r="A2282" s="284"/>
      <c r="B2282" s="284"/>
      <c r="C2282" s="284"/>
      <c r="D2282" s="284"/>
      <c r="E2282" s="284"/>
      <c r="F2282" s="284"/>
      <c r="G2282" s="284"/>
      <c r="H2282" s="284"/>
      <c r="I2282" s="284"/>
      <c r="J2282" s="375"/>
      <c r="K2282" s="375"/>
      <c r="L2282" s="375"/>
      <c r="M2282" s="368"/>
      <c r="N2282" s="368"/>
      <c r="O2282" s="370"/>
      <c r="T2282" s="349"/>
      <c r="V2282" s="378"/>
      <c r="W2282" s="64" ph="1"/>
      <c r="X2282" s="241"/>
      <c r="Y2282" s="284"/>
      <c r="Z2282" s="207"/>
      <c r="AA2282" s="284"/>
      <c r="AB2282" s="284"/>
      <c r="AC2282" s="284"/>
      <c r="AD2282" s="284"/>
      <c r="AE2282" s="284"/>
      <c r="AF2282" s="284"/>
      <c r="AG2282" s="284"/>
    </row>
    <row r="2283" spans="1:33" ht="26.4">
      <c r="A2283" s="284"/>
      <c r="B2283" s="284"/>
      <c r="C2283" s="284"/>
      <c r="D2283" s="284"/>
      <c r="E2283" s="284"/>
      <c r="F2283" s="284"/>
      <c r="G2283" s="284"/>
      <c r="H2283" s="284"/>
      <c r="I2283" s="284"/>
      <c r="J2283" s="375"/>
      <c r="K2283" s="375"/>
      <c r="L2283" s="375"/>
      <c r="M2283" s="368"/>
      <c r="N2283" s="368"/>
      <c r="O2283" s="370"/>
      <c r="T2283" s="349"/>
      <c r="V2283" s="378"/>
      <c r="W2283" s="64" ph="1"/>
      <c r="X2283" s="241"/>
      <c r="Y2283" s="284"/>
      <c r="Z2283" s="207"/>
      <c r="AA2283" s="284"/>
      <c r="AB2283" s="284"/>
      <c r="AC2283" s="284"/>
      <c r="AD2283" s="284"/>
      <c r="AE2283" s="284"/>
      <c r="AF2283" s="284"/>
      <c r="AG2283" s="284"/>
    </row>
    <row r="2284" spans="1:33" ht="26.4">
      <c r="A2284" s="284"/>
      <c r="B2284" s="284"/>
      <c r="C2284" s="284"/>
      <c r="D2284" s="284"/>
      <c r="E2284" s="284"/>
      <c r="F2284" s="284"/>
      <c r="G2284" s="284"/>
      <c r="H2284" s="284"/>
      <c r="I2284" s="284"/>
      <c r="J2284" s="375"/>
      <c r="K2284" s="375"/>
      <c r="L2284" s="375"/>
      <c r="M2284" s="368"/>
      <c r="N2284" s="368"/>
      <c r="O2284" s="370"/>
      <c r="T2284" s="349"/>
      <c r="V2284" s="378"/>
      <c r="W2284" s="64" ph="1"/>
      <c r="X2284" s="241"/>
      <c r="Y2284" s="284"/>
      <c r="Z2284" s="207"/>
      <c r="AA2284" s="284"/>
      <c r="AB2284" s="284"/>
      <c r="AC2284" s="284"/>
      <c r="AD2284" s="284"/>
      <c r="AE2284" s="284"/>
      <c r="AF2284" s="284"/>
      <c r="AG2284" s="284"/>
    </row>
    <row r="2285" spans="1:33" ht="26.4">
      <c r="A2285" s="284"/>
      <c r="B2285" s="284"/>
      <c r="C2285" s="284"/>
      <c r="D2285" s="284"/>
      <c r="E2285" s="284"/>
      <c r="F2285" s="284"/>
      <c r="G2285" s="284"/>
      <c r="H2285" s="284"/>
      <c r="I2285" s="284"/>
      <c r="J2285" s="375"/>
      <c r="K2285" s="375"/>
      <c r="L2285" s="375"/>
      <c r="M2285" s="368"/>
      <c r="N2285" s="368"/>
      <c r="O2285" s="370"/>
      <c r="T2285" s="349"/>
      <c r="V2285" s="378"/>
      <c r="W2285" s="64" ph="1"/>
      <c r="X2285" s="241"/>
      <c r="Y2285" s="284"/>
      <c r="Z2285" s="207"/>
      <c r="AA2285" s="284"/>
      <c r="AB2285" s="284"/>
      <c r="AC2285" s="284"/>
      <c r="AD2285" s="284"/>
      <c r="AE2285" s="284"/>
      <c r="AF2285" s="284"/>
      <c r="AG2285" s="284"/>
    </row>
    <row r="2286" spans="1:33" ht="26.4">
      <c r="A2286" s="284"/>
      <c r="B2286" s="284"/>
      <c r="C2286" s="284"/>
      <c r="D2286" s="284"/>
      <c r="E2286" s="284"/>
      <c r="F2286" s="284"/>
      <c r="G2286" s="284"/>
      <c r="H2286" s="284"/>
      <c r="I2286" s="284"/>
      <c r="J2286" s="375"/>
      <c r="K2286" s="375"/>
      <c r="L2286" s="375"/>
      <c r="M2286" s="368"/>
      <c r="N2286" s="368"/>
      <c r="O2286" s="370"/>
      <c r="T2286" s="349"/>
      <c r="V2286" s="378"/>
      <c r="W2286" s="64" ph="1"/>
      <c r="X2286" s="241"/>
      <c r="Y2286" s="284"/>
      <c r="Z2286" s="207"/>
      <c r="AA2286" s="284"/>
      <c r="AB2286" s="284"/>
      <c r="AC2286" s="284"/>
      <c r="AD2286" s="284"/>
      <c r="AE2286" s="284"/>
      <c r="AF2286" s="284"/>
      <c r="AG2286" s="284"/>
    </row>
    <row r="2287" spans="1:33" ht="26.4">
      <c r="A2287" s="284"/>
      <c r="B2287" s="284"/>
      <c r="C2287" s="284"/>
      <c r="D2287" s="284"/>
      <c r="E2287" s="284"/>
      <c r="F2287" s="284"/>
      <c r="G2287" s="284"/>
      <c r="H2287" s="284"/>
      <c r="I2287" s="284"/>
      <c r="J2287" s="375"/>
      <c r="K2287" s="375"/>
      <c r="L2287" s="375"/>
      <c r="M2287" s="368"/>
      <c r="N2287" s="368"/>
      <c r="O2287" s="370"/>
      <c r="T2287" s="349"/>
      <c r="V2287" s="378"/>
      <c r="W2287" s="64" ph="1"/>
      <c r="X2287" s="241"/>
      <c r="Y2287" s="284"/>
      <c r="Z2287" s="207"/>
      <c r="AA2287" s="284"/>
      <c r="AB2287" s="284"/>
      <c r="AC2287" s="284"/>
      <c r="AD2287" s="284"/>
      <c r="AE2287" s="284"/>
      <c r="AF2287" s="284"/>
      <c r="AG2287" s="284"/>
    </row>
    <row r="2288" spans="1:33" ht="26.4">
      <c r="A2288" s="284"/>
      <c r="B2288" s="284"/>
      <c r="C2288" s="284"/>
      <c r="D2288" s="284"/>
      <c r="E2288" s="284"/>
      <c r="F2288" s="284"/>
      <c r="G2288" s="284"/>
      <c r="H2288" s="284"/>
      <c r="I2288" s="284"/>
      <c r="J2288" s="375"/>
      <c r="K2288" s="375"/>
      <c r="L2288" s="375"/>
      <c r="M2288" s="368"/>
      <c r="N2288" s="368"/>
      <c r="O2288" s="370"/>
      <c r="T2288" s="349"/>
      <c r="V2288" s="378"/>
      <c r="W2288" s="64" ph="1"/>
      <c r="X2288" s="241"/>
      <c r="Y2288" s="284"/>
      <c r="Z2288" s="207"/>
      <c r="AA2288" s="284"/>
      <c r="AB2288" s="284"/>
      <c r="AC2288" s="284"/>
      <c r="AD2288" s="284"/>
      <c r="AE2288" s="284"/>
      <c r="AF2288" s="284"/>
      <c r="AG2288" s="284"/>
    </row>
    <row r="2289" spans="15:23" ht="26.4">
      <c r="O2289" s="370"/>
      <c r="W2289" s="64" ph="1"/>
    </row>
    <row r="2290" spans="15:23" ht="26.4">
      <c r="O2290" s="370"/>
      <c r="W2290" s="64" ph="1"/>
    </row>
    <row r="2291" spans="15:23" ht="26.4">
      <c r="O2291" s="370"/>
      <c r="W2291" s="64" ph="1"/>
    </row>
    <row r="2292" spans="15:23" ht="26.4">
      <c r="O2292" s="370"/>
      <c r="W2292" s="64" ph="1"/>
    </row>
    <row r="2293" spans="15:23" ht="26.4">
      <c r="O2293" s="370"/>
      <c r="W2293" s="64" ph="1"/>
    </row>
    <row r="2294" spans="15:23" ht="26.4">
      <c r="O2294" s="370"/>
      <c r="W2294" s="64" ph="1"/>
    </row>
    <row r="2295" spans="15:23" ht="26.4">
      <c r="O2295" s="370"/>
      <c r="W2295" s="64" ph="1"/>
    </row>
    <row r="2296" spans="15:23" ht="26.4">
      <c r="O2296" s="370"/>
      <c r="W2296" s="64" ph="1"/>
    </row>
    <row r="2297" spans="15:23" ht="26.4">
      <c r="O2297" s="370"/>
      <c r="W2297" s="64" ph="1"/>
    </row>
    <row r="2298" spans="15:23" ht="26.4">
      <c r="O2298" s="370"/>
      <c r="W2298" s="64" ph="1"/>
    </row>
    <row r="2299" spans="15:23" ht="26.4">
      <c r="O2299" s="370"/>
      <c r="W2299" s="64" ph="1"/>
    </row>
    <row r="2300" spans="15:23" ht="26.4">
      <c r="O2300" s="370"/>
      <c r="W2300" s="64" ph="1"/>
    </row>
    <row r="2301" spans="15:23" ht="26.4">
      <c r="W2301" s="64" ph="1"/>
    </row>
    <row r="2302" spans="15:23" ht="26.4">
      <c r="W2302" s="64" ph="1"/>
    </row>
    <row r="2303" spans="15:23" ht="26.4">
      <c r="W2303" s="64" ph="1"/>
    </row>
    <row r="2304" spans="15:23" ht="26.4">
      <c r="W2304" s="64" ph="1"/>
    </row>
    <row r="2305" spans="23:23" ht="26.4">
      <c r="W2305" s="64" ph="1"/>
    </row>
    <row r="2306" spans="23:23" ht="26.4">
      <c r="W2306" s="64" ph="1"/>
    </row>
    <row r="2307" spans="23:23" ht="26.4">
      <c r="W2307" s="64" ph="1"/>
    </row>
    <row r="2308" spans="23:23" ht="26.4">
      <c r="W2308" s="64" ph="1"/>
    </row>
    <row r="2309" spans="23:23" ht="26.4">
      <c r="W2309" s="64" ph="1"/>
    </row>
    <row r="2310" spans="23:23" ht="26.4">
      <c r="W2310" s="64" ph="1"/>
    </row>
    <row r="2311" spans="23:23" ht="26.4">
      <c r="W2311" s="64" ph="1"/>
    </row>
    <row r="2312" spans="23:23" ht="26.4">
      <c r="W2312" s="64" ph="1"/>
    </row>
    <row r="2313" spans="23:23" ht="26.4">
      <c r="W2313" s="64" ph="1"/>
    </row>
    <row r="2314" spans="23:23" ht="26.4">
      <c r="W2314" s="64" ph="1"/>
    </row>
    <row r="2315" spans="23:23" ht="26.4">
      <c r="W2315" s="64" ph="1"/>
    </row>
    <row r="2316" spans="23:23" ht="26.4">
      <c r="W2316" s="64" ph="1"/>
    </row>
    <row r="2317" spans="23:23" ht="26.4">
      <c r="W2317" s="64" ph="1"/>
    </row>
    <row r="2318" spans="23:23" ht="26.4">
      <c r="W2318" s="64" ph="1"/>
    </row>
    <row r="2319" spans="23:23" ht="26.4">
      <c r="W2319" s="64" ph="1"/>
    </row>
    <row r="2320" spans="23:23" ht="26.4">
      <c r="W2320" s="64" ph="1"/>
    </row>
    <row r="2321" spans="23:23" ht="26.4">
      <c r="W2321" s="64" ph="1"/>
    </row>
    <row r="2322" spans="23:23" ht="26.4">
      <c r="W2322" s="64" ph="1"/>
    </row>
    <row r="2323" spans="23:23" ht="26.4">
      <c r="W2323" s="64" ph="1"/>
    </row>
    <row r="2324" spans="23:23" ht="26.4">
      <c r="W2324" s="64" ph="1"/>
    </row>
    <row r="2325" spans="23:23" ht="26.4">
      <c r="W2325" s="64" ph="1"/>
    </row>
    <row r="2326" spans="23:23" ht="26.4">
      <c r="W2326" s="64" ph="1"/>
    </row>
    <row r="2327" spans="23:23" ht="26.4">
      <c r="W2327" s="64" ph="1"/>
    </row>
    <row r="2328" spans="23:23" ht="26.4">
      <c r="W2328" s="64" ph="1"/>
    </row>
    <row r="2329" spans="23:23" ht="26.4">
      <c r="W2329" s="64" ph="1"/>
    </row>
    <row r="2330" spans="23:23" ht="26.4">
      <c r="W2330" s="64" ph="1"/>
    </row>
    <row r="2331" spans="23:23" ht="26.4">
      <c r="W2331" s="64" ph="1"/>
    </row>
    <row r="2332" spans="23:23" ht="26.4">
      <c r="W2332" s="64" ph="1"/>
    </row>
    <row r="2333" spans="23:23" ht="26.4">
      <c r="W2333" s="64" ph="1"/>
    </row>
    <row r="2334" spans="23:23" ht="26.4">
      <c r="W2334" s="64" ph="1"/>
    </row>
    <row r="2335" spans="23:23" ht="26.4">
      <c r="W2335" s="64" ph="1"/>
    </row>
    <row r="2336" spans="23:23" ht="26.4">
      <c r="W2336" s="64" ph="1"/>
    </row>
    <row r="2337" spans="23:23" ht="26.4">
      <c r="W2337" s="64" ph="1"/>
    </row>
    <row r="2338" spans="23:23" ht="26.4">
      <c r="W2338" s="64" ph="1"/>
    </row>
    <row r="2339" spans="23:23" ht="26.4">
      <c r="W2339" s="64" ph="1"/>
    </row>
    <row r="2340" spans="23:23" ht="26.4">
      <c r="W2340" s="64" ph="1"/>
    </row>
    <row r="2341" spans="23:23" ht="26.4">
      <c r="W2341" s="64" ph="1"/>
    </row>
    <row r="2342" spans="23:23" ht="26.4">
      <c r="W2342" s="64" ph="1"/>
    </row>
    <row r="2343" spans="23:23" ht="26.4">
      <c r="W2343" s="64" ph="1"/>
    </row>
    <row r="2344" spans="23:23" ht="26.4">
      <c r="W2344" s="64" ph="1"/>
    </row>
    <row r="2345" spans="23:23" ht="26.4">
      <c r="W2345" s="64" ph="1"/>
    </row>
    <row r="2346" spans="23:23" ht="26.4">
      <c r="W2346" s="64" ph="1"/>
    </row>
    <row r="2347" spans="23:23" ht="26.4">
      <c r="W2347" s="64" ph="1"/>
    </row>
    <row r="2348" spans="23:23" ht="26.4">
      <c r="W2348" s="64" ph="1"/>
    </row>
    <row r="2349" spans="23:23" ht="26.4">
      <c r="W2349" s="64" ph="1"/>
    </row>
    <row r="2350" spans="23:23" ht="26.4">
      <c r="W2350" s="64" ph="1"/>
    </row>
    <row r="2351" spans="23:23" ht="26.4">
      <c r="W2351" s="64" ph="1"/>
    </row>
    <row r="2352" spans="23:23" ht="26.4">
      <c r="W2352" s="64" ph="1"/>
    </row>
    <row r="2353" spans="23:23" ht="26.4">
      <c r="W2353" s="64" ph="1"/>
    </row>
    <row r="2354" spans="23:23" ht="26.4">
      <c r="W2354" s="64" ph="1"/>
    </row>
    <row r="2355" spans="23:23" ht="26.4">
      <c r="W2355" s="64" ph="1"/>
    </row>
    <row r="2356" spans="23:23" ht="26.4">
      <c r="W2356" s="64" ph="1"/>
    </row>
    <row r="2357" spans="23:23" ht="26.4">
      <c r="W2357" s="64" ph="1"/>
    </row>
    <row r="2358" spans="23:23" ht="26.4">
      <c r="W2358" s="64" ph="1"/>
    </row>
    <row r="2359" spans="23:23" ht="26.4">
      <c r="W2359" s="64" ph="1"/>
    </row>
    <row r="2360" spans="23:23" ht="26.4">
      <c r="W2360" s="64" ph="1"/>
    </row>
    <row r="2361" spans="23:23" ht="26.4">
      <c r="W2361" s="64" ph="1"/>
    </row>
    <row r="2362" spans="23:23" ht="26.4">
      <c r="W2362" s="64" ph="1"/>
    </row>
    <row r="2363" spans="23:23" ht="26.4">
      <c r="W2363" s="64" ph="1"/>
    </row>
    <row r="2364" spans="23:23" ht="26.4">
      <c r="W2364" s="64" ph="1"/>
    </row>
    <row r="2365" spans="23:23" ht="26.4">
      <c r="W2365" s="64" ph="1"/>
    </row>
    <row r="2366" spans="23:23" ht="26.4">
      <c r="W2366" s="64" ph="1"/>
    </row>
    <row r="2367" spans="23:23" ht="26.4">
      <c r="W2367" s="64" ph="1"/>
    </row>
    <row r="2368" spans="23:23" ht="26.4">
      <c r="W2368" s="64" ph="1"/>
    </row>
    <row r="2369" spans="23:23" ht="26.4">
      <c r="W2369" s="64" ph="1"/>
    </row>
    <row r="2370" spans="23:23" ht="26.4">
      <c r="W2370" s="64" ph="1"/>
    </row>
    <row r="2371" spans="23:23" ht="26.4">
      <c r="W2371" s="64" ph="1"/>
    </row>
    <row r="2372" spans="23:23" ht="26.4">
      <c r="W2372" s="64" ph="1"/>
    </row>
    <row r="2373" spans="23:23" ht="26.4">
      <c r="W2373" s="64" ph="1"/>
    </row>
    <row r="2374" spans="23:23" ht="26.4">
      <c r="W2374" s="64" ph="1"/>
    </row>
    <row r="2375" spans="23:23" ht="26.4">
      <c r="W2375" s="64" ph="1"/>
    </row>
    <row r="2376" spans="23:23" ht="26.4">
      <c r="W2376" s="64" ph="1"/>
    </row>
    <row r="2377" spans="23:23" ht="26.4">
      <c r="W2377" s="64" ph="1"/>
    </row>
    <row r="2378" spans="23:23" ht="26.4">
      <c r="W2378" s="64" ph="1"/>
    </row>
    <row r="2379" spans="23:23" ht="26.4">
      <c r="W2379" s="64" ph="1"/>
    </row>
    <row r="2380" spans="23:23" ht="26.4">
      <c r="W2380" s="64" ph="1"/>
    </row>
    <row r="2381" spans="23:23" ht="26.4">
      <c r="W2381" s="64" ph="1"/>
    </row>
    <row r="2382" spans="23:23" ht="26.4">
      <c r="W2382" s="64" ph="1"/>
    </row>
    <row r="2383" spans="23:23" ht="26.4">
      <c r="W2383" s="64" ph="1"/>
    </row>
    <row r="2384" spans="23:23" ht="26.4">
      <c r="W2384" s="64" ph="1"/>
    </row>
    <row r="2385" spans="23:23" ht="26.4">
      <c r="W2385" s="64" ph="1"/>
    </row>
    <row r="2386" spans="23:23" ht="26.4">
      <c r="W2386" s="64" ph="1"/>
    </row>
    <row r="2387" spans="23:23" ht="26.4">
      <c r="W2387" s="64" ph="1"/>
    </row>
    <row r="2388" spans="23:23" ht="26.4">
      <c r="W2388" s="64" ph="1"/>
    </row>
    <row r="2389" spans="23:23" ht="26.4">
      <c r="W2389" s="64" ph="1"/>
    </row>
    <row r="2390" spans="23:23" ht="26.4">
      <c r="W2390" s="64" ph="1"/>
    </row>
    <row r="2391" spans="23:23" ht="26.4">
      <c r="W2391" s="64" ph="1"/>
    </row>
    <row r="2392" spans="23:23" ht="26.4">
      <c r="W2392" s="64" ph="1"/>
    </row>
    <row r="2393" spans="23:23" ht="26.4">
      <c r="W2393" s="64" ph="1"/>
    </row>
    <row r="2394" spans="23:23" ht="26.4">
      <c r="W2394" s="64" ph="1"/>
    </row>
    <row r="2395" spans="23:23" ht="26.4">
      <c r="W2395" s="64" ph="1"/>
    </row>
    <row r="2396" spans="23:23" ht="26.4">
      <c r="W2396" s="64" ph="1"/>
    </row>
    <row r="2397" spans="23:23" ht="26.4">
      <c r="W2397" s="64" ph="1"/>
    </row>
    <row r="2398" spans="23:23" ht="26.4">
      <c r="W2398" s="64" ph="1"/>
    </row>
    <row r="2399" spans="23:23" ht="26.4">
      <c r="W2399" s="64" ph="1"/>
    </row>
    <row r="2400" spans="23:23" ht="26.4">
      <c r="W2400" s="64" ph="1"/>
    </row>
    <row r="2401" spans="23:23" ht="26.4">
      <c r="W2401" s="64" ph="1"/>
    </row>
    <row r="2402" spans="23:23" ht="26.4">
      <c r="W2402" s="64" ph="1"/>
    </row>
    <row r="2403" spans="23:23" ht="26.4">
      <c r="W2403" s="64" ph="1"/>
    </row>
    <row r="2404" spans="23:23" ht="26.4">
      <c r="W2404" s="64" ph="1"/>
    </row>
    <row r="2405" spans="23:23" ht="26.4">
      <c r="W2405" s="64" ph="1"/>
    </row>
    <row r="2406" spans="23:23" ht="26.4">
      <c r="W2406" s="64" ph="1"/>
    </row>
    <row r="2407" spans="23:23" ht="26.4">
      <c r="W2407" s="64" ph="1"/>
    </row>
    <row r="2408" spans="23:23" ht="26.4">
      <c r="W2408" s="64" ph="1"/>
    </row>
    <row r="2409" spans="23:23" ht="26.4">
      <c r="W2409" s="64" ph="1"/>
    </row>
    <row r="2410" spans="23:23" ht="26.4">
      <c r="W2410" s="64" ph="1"/>
    </row>
    <row r="2411" spans="23:23" ht="26.4">
      <c r="W2411" s="64" ph="1"/>
    </row>
    <row r="2412" spans="23:23" ht="26.4">
      <c r="W2412" s="64" ph="1"/>
    </row>
    <row r="2413" spans="23:23" ht="26.4">
      <c r="W2413" s="64" ph="1"/>
    </row>
    <row r="2414" spans="23:23" ht="26.4">
      <c r="W2414" s="64" ph="1"/>
    </row>
    <row r="2415" spans="23:23" ht="26.4">
      <c r="W2415" s="64" ph="1"/>
    </row>
    <row r="2416" spans="23:23" ht="26.4">
      <c r="W2416" s="64" ph="1"/>
    </row>
    <row r="2417" spans="23:23" ht="26.4">
      <c r="W2417" s="64" ph="1"/>
    </row>
    <row r="2418" spans="23:23" ht="26.4">
      <c r="W2418" s="64" ph="1"/>
    </row>
    <row r="2419" spans="23:23" ht="26.4">
      <c r="W2419" s="64" ph="1"/>
    </row>
    <row r="2420" spans="23:23" ht="26.4">
      <c r="W2420" s="64" ph="1"/>
    </row>
    <row r="2421" spans="23:23" ht="26.4">
      <c r="W2421" s="64" ph="1"/>
    </row>
    <row r="2422" spans="23:23" ht="26.4">
      <c r="W2422" s="64" ph="1"/>
    </row>
    <row r="2423" spans="23:23" ht="26.4">
      <c r="W2423" s="64" ph="1"/>
    </row>
    <row r="2424" spans="23:23" ht="26.4">
      <c r="W2424" s="64" ph="1"/>
    </row>
    <row r="2425" spans="23:23" ht="26.4">
      <c r="W2425" s="64" ph="1"/>
    </row>
    <row r="2426" spans="23:23" ht="26.4">
      <c r="W2426" s="64" ph="1"/>
    </row>
    <row r="2427" spans="23:23" ht="26.4">
      <c r="W2427" s="64" ph="1"/>
    </row>
    <row r="2428" spans="23:23" ht="26.4">
      <c r="W2428" s="64" ph="1"/>
    </row>
    <row r="2429" spans="23:23" ht="26.4">
      <c r="W2429" s="64" ph="1"/>
    </row>
    <row r="2430" spans="23:23" ht="26.4">
      <c r="W2430" s="64" ph="1"/>
    </row>
    <row r="2431" spans="23:23" ht="26.4">
      <c r="W2431" s="64" ph="1"/>
    </row>
    <row r="2432" spans="23:23" ht="26.4">
      <c r="W2432" s="64" ph="1"/>
    </row>
    <row r="2433" spans="23:23" ht="26.4">
      <c r="W2433" s="64" ph="1"/>
    </row>
    <row r="2434" spans="23:23" ht="26.4">
      <c r="W2434" s="64" ph="1"/>
    </row>
    <row r="2435" spans="23:23" ht="26.4">
      <c r="W2435" s="64" ph="1"/>
    </row>
    <row r="2436" spans="23:23" ht="26.4">
      <c r="W2436" s="64" ph="1"/>
    </row>
    <row r="2437" spans="23:23" ht="26.4">
      <c r="W2437" s="64" ph="1"/>
    </row>
    <row r="2438" spans="23:23" ht="26.4">
      <c r="W2438" s="64" ph="1"/>
    </row>
    <row r="2439" spans="23:23" ht="26.4">
      <c r="W2439" s="64" ph="1"/>
    </row>
    <row r="2440" spans="23:23" ht="26.4">
      <c r="W2440" s="64" ph="1"/>
    </row>
    <row r="2441" spans="23:23" ht="26.4">
      <c r="W2441" s="64" ph="1"/>
    </row>
    <row r="2442" spans="23:23" ht="26.4">
      <c r="W2442" s="64" ph="1"/>
    </row>
    <row r="2443" spans="23:23" ht="26.4">
      <c r="W2443" s="64" ph="1"/>
    </row>
    <row r="2444" spans="23:23" ht="26.4">
      <c r="W2444" s="64" ph="1"/>
    </row>
    <row r="2445" spans="23:23" ht="26.4">
      <c r="W2445" s="64" ph="1"/>
    </row>
    <row r="2446" spans="23:23" ht="26.4">
      <c r="W2446" s="64" ph="1"/>
    </row>
    <row r="2447" spans="23:23" ht="26.4">
      <c r="W2447" s="64" ph="1"/>
    </row>
    <row r="2448" spans="23:23" ht="26.4">
      <c r="W2448" s="64" ph="1"/>
    </row>
    <row r="2449" spans="23:23" ht="26.4">
      <c r="W2449" s="64" ph="1"/>
    </row>
    <row r="2450" spans="23:23" ht="26.4">
      <c r="W2450" s="64" ph="1"/>
    </row>
    <row r="2451" spans="23:23" ht="26.4">
      <c r="W2451" s="64" ph="1"/>
    </row>
    <row r="2452" spans="23:23" ht="26.4">
      <c r="W2452" s="64" ph="1"/>
    </row>
    <row r="2453" spans="23:23" ht="26.4">
      <c r="W2453" s="64" ph="1"/>
    </row>
    <row r="2454" spans="23:23" ht="26.4">
      <c r="W2454" s="64" ph="1"/>
    </row>
    <row r="2455" spans="23:23" ht="26.4">
      <c r="W2455" s="64" ph="1"/>
    </row>
    <row r="2456" spans="23:23" ht="26.4">
      <c r="W2456" s="64" ph="1"/>
    </row>
    <row r="2457" spans="23:23" ht="26.4">
      <c r="W2457" s="64" ph="1"/>
    </row>
    <row r="2458" spans="23:23" ht="26.4">
      <c r="W2458" s="64" ph="1"/>
    </row>
    <row r="2459" spans="23:23" ht="26.4">
      <c r="W2459" s="64" ph="1"/>
    </row>
    <row r="2460" spans="23:23" ht="26.4">
      <c r="W2460" s="64" ph="1"/>
    </row>
    <row r="2461" spans="23:23" ht="26.4">
      <c r="W2461" s="64" ph="1"/>
    </row>
    <row r="2462" spans="23:23" ht="26.4">
      <c r="W2462" s="64" ph="1"/>
    </row>
    <row r="2463" spans="23:23" ht="26.4">
      <c r="W2463" s="64" ph="1"/>
    </row>
    <row r="2464" spans="23:23" ht="26.4">
      <c r="W2464" s="64" ph="1"/>
    </row>
    <row r="2465" spans="23:23" ht="26.4">
      <c r="W2465" s="64" ph="1"/>
    </row>
    <row r="2466" spans="23:23" ht="26.4">
      <c r="W2466" s="64" ph="1"/>
    </row>
    <row r="2467" spans="23:23" ht="26.4">
      <c r="W2467" s="64" ph="1"/>
    </row>
    <row r="2468" spans="23:23" ht="26.4">
      <c r="W2468" s="64" ph="1"/>
    </row>
    <row r="2469" spans="23:23" ht="26.4">
      <c r="W2469" s="64" ph="1"/>
    </row>
    <row r="2470" spans="23:23" ht="26.4">
      <c r="W2470" s="64" ph="1"/>
    </row>
    <row r="2471" spans="23:23" ht="26.4">
      <c r="W2471" s="64" ph="1"/>
    </row>
    <row r="2472" spans="23:23" ht="26.4">
      <c r="W2472" s="64" ph="1"/>
    </row>
    <row r="2473" spans="23:23" ht="26.4">
      <c r="W2473" s="64" ph="1"/>
    </row>
    <row r="2474" spans="23:23" ht="26.4">
      <c r="W2474" s="64" ph="1"/>
    </row>
    <row r="2475" spans="23:23" ht="26.4">
      <c r="W2475" s="64" ph="1"/>
    </row>
    <row r="2476" spans="23:23" ht="26.4">
      <c r="W2476" s="64" ph="1"/>
    </row>
    <row r="2477" spans="23:23" ht="26.4">
      <c r="W2477" s="64" ph="1"/>
    </row>
    <row r="2478" spans="23:23" ht="26.4">
      <c r="W2478" s="64" ph="1"/>
    </row>
    <row r="2479" spans="23:23" ht="26.4">
      <c r="W2479" s="64" ph="1"/>
    </row>
    <row r="2480" spans="23:23" ht="26.4">
      <c r="W2480" s="64" ph="1"/>
    </row>
    <row r="2481" spans="23:23" ht="26.4">
      <c r="W2481" s="64" ph="1"/>
    </row>
    <row r="2482" spans="23:23" ht="26.4">
      <c r="W2482" s="64" ph="1"/>
    </row>
    <row r="2483" spans="23:23" ht="26.4">
      <c r="W2483" s="64" ph="1"/>
    </row>
    <row r="2484" spans="23:23" ht="26.4">
      <c r="W2484" s="64" ph="1"/>
    </row>
    <row r="2485" spans="23:23" ht="26.4">
      <c r="W2485" s="64" ph="1"/>
    </row>
    <row r="2486" spans="23:23" ht="26.4">
      <c r="W2486" s="64" ph="1"/>
    </row>
    <row r="2487" spans="23:23" ht="26.4">
      <c r="W2487" s="64" ph="1"/>
    </row>
    <row r="2488" spans="23:23" ht="26.4">
      <c r="W2488" s="64" ph="1"/>
    </row>
    <row r="2489" spans="23:23" ht="26.4">
      <c r="W2489" s="64" ph="1"/>
    </row>
    <row r="2490" spans="23:23" ht="26.4">
      <c r="W2490" s="64" ph="1"/>
    </row>
    <row r="2491" spans="23:23" ht="26.4">
      <c r="W2491" s="64" ph="1"/>
    </row>
    <row r="2492" spans="23:23" ht="26.4">
      <c r="W2492" s="64" ph="1"/>
    </row>
    <row r="2493" spans="23:23" ht="26.4">
      <c r="W2493" s="64" ph="1"/>
    </row>
    <row r="2494" spans="23:23" ht="26.4">
      <c r="W2494" s="64" ph="1"/>
    </row>
    <row r="2495" spans="23:23" ht="26.4">
      <c r="W2495" s="64" ph="1"/>
    </row>
    <row r="2496" spans="23:23" ht="26.4">
      <c r="W2496" s="64" ph="1"/>
    </row>
    <row r="2497" spans="23:23" ht="26.4">
      <c r="W2497" s="64" ph="1"/>
    </row>
    <row r="2498" spans="23:23" ht="26.4">
      <c r="W2498" s="64" ph="1"/>
    </row>
    <row r="2499" spans="23:23" ht="26.4">
      <c r="W2499" s="64" ph="1"/>
    </row>
    <row r="2500" spans="23:23" ht="26.4">
      <c r="W2500" s="64" ph="1"/>
    </row>
    <row r="2501" spans="23:23" ht="26.4">
      <c r="W2501" s="64" ph="1"/>
    </row>
    <row r="2502" spans="23:23" ht="26.4">
      <c r="W2502" s="64" ph="1"/>
    </row>
    <row r="2503" spans="23:23" ht="26.4">
      <c r="W2503" s="64" ph="1"/>
    </row>
    <row r="2504" spans="23:23" ht="26.4">
      <c r="W2504" s="64" ph="1"/>
    </row>
    <row r="2505" spans="23:23" ht="26.4">
      <c r="W2505" s="64" ph="1"/>
    </row>
    <row r="2506" spans="23:23" ht="26.4">
      <c r="W2506" s="64" ph="1"/>
    </row>
    <row r="2507" spans="23:23" ht="26.4">
      <c r="W2507" s="64" ph="1"/>
    </row>
    <row r="2508" spans="23:23" ht="26.4">
      <c r="W2508" s="64" ph="1"/>
    </row>
    <row r="2509" spans="23:23" ht="26.4">
      <c r="W2509" s="64" ph="1"/>
    </row>
    <row r="2510" spans="23:23" ht="26.4">
      <c r="W2510" s="64" ph="1"/>
    </row>
    <row r="2511" spans="23:23" ht="26.4">
      <c r="W2511" s="64" ph="1"/>
    </row>
    <row r="2512" spans="23:23" ht="26.4">
      <c r="W2512" s="64" ph="1"/>
    </row>
    <row r="2513" spans="23:23" ht="26.4">
      <c r="W2513" s="64" ph="1"/>
    </row>
    <row r="2514" spans="23:23" ht="26.4">
      <c r="W2514" s="64" ph="1"/>
    </row>
    <row r="2515" spans="23:23" ht="26.4">
      <c r="W2515" s="64" ph="1"/>
    </row>
    <row r="2516" spans="23:23" ht="26.4">
      <c r="W2516" s="64" ph="1"/>
    </row>
    <row r="2517" spans="23:23" ht="26.4">
      <c r="W2517" s="64" ph="1"/>
    </row>
    <row r="2518" spans="23:23" ht="26.4">
      <c r="W2518" s="64" ph="1"/>
    </row>
    <row r="2519" spans="23:23" ht="26.4">
      <c r="W2519" s="64" ph="1"/>
    </row>
    <row r="2520" spans="23:23" ht="26.4">
      <c r="W2520" s="64" ph="1"/>
    </row>
    <row r="2521" spans="23:23" ht="26.4">
      <c r="W2521" s="64" ph="1"/>
    </row>
    <row r="2522" spans="23:23" ht="26.4">
      <c r="W2522" s="64" ph="1"/>
    </row>
    <row r="2523" spans="23:23" ht="26.4">
      <c r="W2523" s="64" ph="1"/>
    </row>
    <row r="2524" spans="23:23" ht="26.4">
      <c r="W2524" s="64" ph="1"/>
    </row>
    <row r="2525" spans="23:23" ht="26.4">
      <c r="W2525" s="64" ph="1"/>
    </row>
    <row r="2526" spans="23:23" ht="26.4">
      <c r="W2526" s="64" ph="1"/>
    </row>
    <row r="2527" spans="23:23" ht="26.4">
      <c r="W2527" s="64" ph="1"/>
    </row>
    <row r="2528" spans="23:23" ht="26.4">
      <c r="W2528" s="64" ph="1"/>
    </row>
    <row r="2529" spans="23:23" ht="26.4">
      <c r="W2529" s="64" ph="1"/>
    </row>
    <row r="2530" spans="23:23" ht="26.4">
      <c r="W2530" s="64" ph="1"/>
    </row>
    <row r="2531" spans="23:23" ht="26.4">
      <c r="W2531" s="64" ph="1"/>
    </row>
    <row r="2532" spans="23:23" ht="26.4">
      <c r="W2532" s="64" ph="1"/>
    </row>
    <row r="2533" spans="23:23" ht="26.4">
      <c r="W2533" s="64" ph="1"/>
    </row>
    <row r="2534" spans="23:23" ht="26.4">
      <c r="W2534" s="64" ph="1"/>
    </row>
    <row r="2535" spans="23:23" ht="26.4">
      <c r="W2535" s="64" ph="1"/>
    </row>
    <row r="2536" spans="23:23" ht="26.4">
      <c r="W2536" s="64" ph="1"/>
    </row>
    <row r="2537" spans="23:23" ht="26.4">
      <c r="W2537" s="64" ph="1"/>
    </row>
    <row r="2538" spans="23:23" ht="26.4">
      <c r="W2538" s="64" ph="1"/>
    </row>
    <row r="2539" spans="23:23" ht="26.4">
      <c r="W2539" s="64" ph="1"/>
    </row>
    <row r="2540" spans="23:23" ht="26.4">
      <c r="W2540" s="64" ph="1"/>
    </row>
    <row r="2541" spans="23:23" ht="26.4">
      <c r="W2541" s="64" ph="1"/>
    </row>
    <row r="2542" spans="23:23" ht="26.4">
      <c r="W2542" s="64" ph="1"/>
    </row>
    <row r="2543" spans="23:23" ht="26.4">
      <c r="W2543" s="64" ph="1"/>
    </row>
    <row r="2544" spans="23:23" ht="26.4">
      <c r="W2544" s="64" ph="1"/>
    </row>
    <row r="2545" spans="23:23" ht="26.4">
      <c r="W2545" s="64" ph="1"/>
    </row>
    <row r="2546" spans="23:23" ht="26.4">
      <c r="W2546" s="64" ph="1"/>
    </row>
    <row r="2547" spans="23:23" ht="26.4">
      <c r="W2547" s="64" ph="1"/>
    </row>
    <row r="2548" spans="23:23" ht="26.4">
      <c r="W2548" s="64" ph="1"/>
    </row>
    <row r="2549" spans="23:23" ht="26.4">
      <c r="W2549" s="64" ph="1"/>
    </row>
    <row r="2550" spans="23:23" ht="26.4">
      <c r="W2550" s="64" ph="1"/>
    </row>
    <row r="2551" spans="23:23" ht="26.4">
      <c r="W2551" s="64" ph="1"/>
    </row>
    <row r="2552" spans="23:23" ht="26.4">
      <c r="W2552" s="64" ph="1"/>
    </row>
    <row r="2553" spans="23:23" ht="26.4">
      <c r="W2553" s="64" ph="1"/>
    </row>
    <row r="2554" spans="23:23" ht="26.4">
      <c r="W2554" s="64" ph="1"/>
    </row>
    <row r="2555" spans="23:23" ht="26.4">
      <c r="W2555" s="64" ph="1"/>
    </row>
    <row r="2556" spans="23:23" ht="26.4">
      <c r="W2556" s="64" ph="1"/>
    </row>
    <row r="2557" spans="23:23" ht="26.4">
      <c r="W2557" s="64" ph="1"/>
    </row>
    <row r="2558" spans="23:23" ht="26.4">
      <c r="W2558" s="64" ph="1"/>
    </row>
    <row r="2559" spans="23:23" ht="26.4">
      <c r="W2559" s="64" ph="1"/>
    </row>
    <row r="2560" spans="23:23" ht="26.4">
      <c r="W2560" s="64" ph="1"/>
    </row>
    <row r="2561" spans="23:23" ht="26.4">
      <c r="W2561" s="64" ph="1"/>
    </row>
    <row r="2562" spans="23:23" ht="26.4">
      <c r="W2562" s="64" ph="1"/>
    </row>
    <row r="2563" spans="23:23" ht="26.4">
      <c r="W2563" s="64" ph="1"/>
    </row>
    <row r="2564" spans="23:23" ht="26.4">
      <c r="W2564" s="64" ph="1"/>
    </row>
    <row r="2565" spans="23:23" ht="26.4">
      <c r="W2565" s="64" ph="1"/>
    </row>
    <row r="2566" spans="23:23" ht="26.4">
      <c r="W2566" s="64" ph="1"/>
    </row>
    <row r="2567" spans="23:23" ht="26.4">
      <c r="W2567" s="64" ph="1"/>
    </row>
    <row r="2568" spans="23:23" ht="26.4">
      <c r="W2568" s="64" ph="1"/>
    </row>
    <row r="2569" spans="23:23" ht="26.4">
      <c r="W2569" s="64" ph="1"/>
    </row>
    <row r="2570" spans="23:23" ht="26.4">
      <c r="W2570" s="64" ph="1"/>
    </row>
    <row r="2571" spans="23:23" ht="26.4">
      <c r="W2571" s="64" ph="1"/>
    </row>
    <row r="2572" spans="23:23" ht="26.4">
      <c r="W2572" s="64" ph="1"/>
    </row>
    <row r="2573" spans="23:23" ht="26.4">
      <c r="W2573" s="64" ph="1"/>
    </row>
    <row r="2574" spans="23:23" ht="26.4">
      <c r="W2574" s="64" ph="1"/>
    </row>
    <row r="2575" spans="23:23" ht="26.4">
      <c r="W2575" s="64" ph="1"/>
    </row>
    <row r="2576" spans="23:23" ht="26.4">
      <c r="W2576" s="64" ph="1"/>
    </row>
    <row r="2577" spans="23:23" ht="26.4">
      <c r="W2577" s="64" ph="1"/>
    </row>
    <row r="2578" spans="23:23" ht="26.4">
      <c r="W2578" s="64" ph="1"/>
    </row>
    <row r="2579" spans="23:23" ht="26.4">
      <c r="W2579" s="64" ph="1"/>
    </row>
    <row r="2580" spans="23:23" ht="26.4">
      <c r="W2580" s="64" ph="1"/>
    </row>
    <row r="2581" spans="23:23" ht="26.4">
      <c r="W2581" s="64" ph="1"/>
    </row>
    <row r="2582" spans="23:23" ht="26.4">
      <c r="W2582" s="64" ph="1"/>
    </row>
    <row r="2583" spans="23:23" ht="26.4">
      <c r="W2583" s="64" ph="1"/>
    </row>
    <row r="2584" spans="23:23" ht="26.4">
      <c r="W2584" s="64" ph="1"/>
    </row>
    <row r="2585" spans="23:23" ht="26.4">
      <c r="W2585" s="64" ph="1"/>
    </row>
    <row r="2586" spans="23:23" ht="26.4">
      <c r="W2586" s="64" ph="1"/>
    </row>
    <row r="2587" spans="23:23" ht="26.4">
      <c r="W2587" s="64" ph="1"/>
    </row>
    <row r="2588" spans="23:23" ht="26.4">
      <c r="W2588" s="64" ph="1"/>
    </row>
    <row r="2589" spans="23:23" ht="26.4">
      <c r="W2589" s="64" ph="1"/>
    </row>
    <row r="2590" spans="23:23" ht="26.4">
      <c r="W2590" s="64" ph="1"/>
    </row>
    <row r="2591" spans="23:23" ht="26.4">
      <c r="W2591" s="64" ph="1"/>
    </row>
    <row r="2592" spans="23:23" ht="26.4">
      <c r="W2592" s="64" ph="1"/>
    </row>
    <row r="2593" spans="23:23" ht="26.4">
      <c r="W2593" s="64" ph="1"/>
    </row>
    <row r="2594" spans="23:23" ht="26.4">
      <c r="W2594" s="64" ph="1"/>
    </row>
    <row r="2595" spans="23:23" ht="26.4">
      <c r="W2595" s="64" ph="1"/>
    </row>
    <row r="2596" spans="23:23" ht="26.4">
      <c r="W2596" s="64" ph="1"/>
    </row>
    <row r="2597" spans="23:23" ht="26.4">
      <c r="W2597" s="64" ph="1"/>
    </row>
    <row r="2598" spans="23:23" ht="26.4">
      <c r="W2598" s="64" ph="1"/>
    </row>
    <row r="2599" spans="23:23" ht="26.4">
      <c r="W2599" s="64" ph="1"/>
    </row>
    <row r="2600" spans="23:23" ht="26.4">
      <c r="W2600" s="64" ph="1"/>
    </row>
    <row r="2601" spans="23:23" ht="26.4">
      <c r="W2601" s="64" ph="1"/>
    </row>
    <row r="2602" spans="23:23" ht="26.4">
      <c r="W2602" s="64" ph="1"/>
    </row>
    <row r="2603" spans="23:23" ht="26.4">
      <c r="W2603" s="64" ph="1"/>
    </row>
    <row r="2604" spans="23:23" ht="26.4">
      <c r="W2604" s="64" ph="1"/>
    </row>
    <row r="2605" spans="23:23" ht="26.4">
      <c r="W2605" s="64" ph="1"/>
    </row>
    <row r="2606" spans="23:23" ht="26.4">
      <c r="W2606" s="64" ph="1"/>
    </row>
    <row r="2607" spans="23:23" ht="26.4">
      <c r="W2607" s="64" ph="1"/>
    </row>
    <row r="2608" spans="23:23" ht="26.4">
      <c r="W2608" s="64" ph="1"/>
    </row>
    <row r="2609" spans="23:23" ht="26.4">
      <c r="W2609" s="64" ph="1"/>
    </row>
    <row r="2610" spans="23:23" ht="26.4">
      <c r="W2610" s="64" ph="1"/>
    </row>
    <row r="2611" spans="23:23" ht="26.4">
      <c r="W2611" s="64" ph="1"/>
    </row>
    <row r="2612" spans="23:23" ht="26.4">
      <c r="W2612" s="64" ph="1"/>
    </row>
    <row r="2613" spans="23:23" ht="26.4">
      <c r="W2613" s="64" ph="1"/>
    </row>
    <row r="2614" spans="23:23" ht="26.4">
      <c r="W2614" s="64" ph="1"/>
    </row>
    <row r="2615" spans="23:23" ht="26.4">
      <c r="W2615" s="64" ph="1"/>
    </row>
    <row r="2616" spans="23:23" ht="26.4">
      <c r="W2616" s="64" ph="1"/>
    </row>
    <row r="2617" spans="23:23" ht="26.4">
      <c r="W2617" s="64" ph="1"/>
    </row>
    <row r="2618" spans="23:23" ht="26.4">
      <c r="W2618" s="64" ph="1"/>
    </row>
    <row r="2619" spans="23:23" ht="26.4">
      <c r="W2619" s="64" ph="1"/>
    </row>
    <row r="2620" spans="23:23" ht="26.4">
      <c r="W2620" s="64" ph="1"/>
    </row>
    <row r="2621" spans="23:23" ht="26.4">
      <c r="W2621" s="64" ph="1"/>
    </row>
    <row r="2622" spans="23:23" ht="26.4">
      <c r="W2622" s="64" ph="1"/>
    </row>
    <row r="2623" spans="23:23" ht="26.4">
      <c r="W2623" s="64" ph="1"/>
    </row>
    <row r="2624" spans="23:23" ht="26.4">
      <c r="W2624" s="64" ph="1"/>
    </row>
    <row r="2625" spans="23:23" ht="26.4">
      <c r="W2625" s="64" ph="1"/>
    </row>
    <row r="2626" spans="23:23" ht="26.4">
      <c r="W2626" s="64" ph="1"/>
    </row>
    <row r="2627" spans="23:23" ht="26.4">
      <c r="W2627" s="64" ph="1"/>
    </row>
    <row r="2628" spans="23:23" ht="26.4">
      <c r="W2628" s="64" ph="1"/>
    </row>
    <row r="2629" spans="23:23" ht="26.4">
      <c r="W2629" s="64" ph="1"/>
    </row>
    <row r="2630" spans="23:23" ht="26.4">
      <c r="W2630" s="64" ph="1"/>
    </row>
    <row r="2631" spans="23:23" ht="26.4">
      <c r="W2631" s="64" ph="1"/>
    </row>
    <row r="2632" spans="23:23" ht="26.4">
      <c r="W2632" s="64" ph="1"/>
    </row>
    <row r="2633" spans="23:23" ht="26.4">
      <c r="W2633" s="64" ph="1"/>
    </row>
    <row r="2634" spans="23:23" ht="26.4">
      <c r="W2634" s="64" ph="1"/>
    </row>
    <row r="2635" spans="23:23" ht="26.4">
      <c r="W2635" s="64" ph="1"/>
    </row>
    <row r="2636" spans="23:23" ht="26.4">
      <c r="W2636" s="64" ph="1"/>
    </row>
    <row r="2637" spans="23:23" ht="26.4">
      <c r="W2637" s="64" ph="1"/>
    </row>
    <row r="2638" spans="23:23" ht="26.4">
      <c r="W2638" s="64" ph="1"/>
    </row>
    <row r="2639" spans="23:23" ht="26.4">
      <c r="W2639" s="64" ph="1"/>
    </row>
    <row r="2640" spans="23:23" ht="26.4">
      <c r="W2640" s="64" ph="1"/>
    </row>
    <row r="2641" spans="23:23" ht="26.4">
      <c r="W2641" s="64" ph="1"/>
    </row>
    <row r="2642" spans="23:23" ht="26.4">
      <c r="W2642" s="64" ph="1"/>
    </row>
    <row r="2643" spans="23:23" ht="26.4">
      <c r="W2643" s="64" ph="1"/>
    </row>
    <row r="2644" spans="23:23" ht="26.4">
      <c r="W2644" s="64" ph="1"/>
    </row>
    <row r="2645" spans="23:23" ht="26.4">
      <c r="W2645" s="64" ph="1"/>
    </row>
    <row r="2646" spans="23:23" ht="26.4">
      <c r="W2646" s="64" ph="1"/>
    </row>
    <row r="2647" spans="23:23" ht="26.4">
      <c r="W2647" s="64" ph="1"/>
    </row>
    <row r="2648" spans="23:23" ht="26.4">
      <c r="W2648" s="64" ph="1"/>
    </row>
    <row r="2649" spans="23:23" ht="26.4">
      <c r="W2649" s="64" ph="1"/>
    </row>
    <row r="2650" spans="23:23" ht="26.4">
      <c r="W2650" s="64" ph="1"/>
    </row>
    <row r="2651" spans="23:23" ht="26.4">
      <c r="W2651" s="64" ph="1"/>
    </row>
    <row r="2652" spans="23:23" ht="26.4">
      <c r="W2652" s="64" ph="1"/>
    </row>
    <row r="2653" spans="23:23" ht="26.4">
      <c r="W2653" s="64" ph="1"/>
    </row>
    <row r="2654" spans="23:23" ht="26.4">
      <c r="W2654" s="64" ph="1"/>
    </row>
    <row r="2655" spans="23:23" ht="26.4">
      <c r="W2655" s="64" ph="1"/>
    </row>
    <row r="2656" spans="23:23" ht="26.4">
      <c r="W2656" s="64" ph="1"/>
    </row>
    <row r="2657" spans="23:23" ht="26.4">
      <c r="W2657" s="64" ph="1"/>
    </row>
    <row r="2658" spans="23:23" ht="26.4">
      <c r="W2658" s="64" ph="1"/>
    </row>
    <row r="2659" spans="23:23" ht="26.4">
      <c r="W2659" s="64" ph="1"/>
    </row>
    <row r="2660" spans="23:23" ht="26.4">
      <c r="W2660" s="64" ph="1"/>
    </row>
    <row r="2661" spans="23:23" ht="26.4">
      <c r="W2661" s="64" ph="1"/>
    </row>
    <row r="2662" spans="23:23" ht="26.4">
      <c r="W2662" s="64" ph="1"/>
    </row>
    <row r="2663" spans="23:23" ht="26.4">
      <c r="W2663" s="64" ph="1"/>
    </row>
    <row r="2664" spans="23:23" ht="26.4">
      <c r="W2664" s="64" ph="1"/>
    </row>
    <row r="2665" spans="23:23" ht="26.4">
      <c r="W2665" s="64" ph="1"/>
    </row>
    <row r="2666" spans="23:23" ht="26.4">
      <c r="W2666" s="64" ph="1"/>
    </row>
    <row r="2667" spans="23:23" ht="26.4">
      <c r="W2667" s="64" ph="1"/>
    </row>
    <row r="2668" spans="23:23" ht="26.4">
      <c r="W2668" s="64" ph="1"/>
    </row>
    <row r="2669" spans="23:23" ht="26.4">
      <c r="W2669" s="64" ph="1"/>
    </row>
    <row r="2670" spans="23:23" ht="26.4">
      <c r="W2670" s="64" ph="1"/>
    </row>
    <row r="2671" spans="23:23" ht="26.4">
      <c r="W2671" s="64" ph="1"/>
    </row>
    <row r="2672" spans="23:23" ht="26.4">
      <c r="W2672" s="64" ph="1"/>
    </row>
    <row r="2673" spans="23:23" ht="26.4">
      <c r="W2673" s="64" ph="1"/>
    </row>
    <row r="2674" spans="23:23" ht="26.4">
      <c r="W2674" s="64" ph="1"/>
    </row>
    <row r="2675" spans="23:23" ht="26.4">
      <c r="W2675" s="64" ph="1"/>
    </row>
    <row r="2676" spans="23:23" ht="26.4">
      <c r="W2676" s="64" ph="1"/>
    </row>
    <row r="2677" spans="23:23" ht="26.4">
      <c r="W2677" s="64" ph="1"/>
    </row>
    <row r="2678" spans="23:23" ht="26.4">
      <c r="W2678" s="64" ph="1"/>
    </row>
    <row r="2679" spans="23:23" ht="26.4">
      <c r="W2679" s="64" ph="1"/>
    </row>
    <row r="2680" spans="23:23" ht="26.4">
      <c r="W2680" s="64" ph="1"/>
    </row>
    <row r="2681" spans="23:23" ht="26.4">
      <c r="W2681" s="64" ph="1"/>
    </row>
    <row r="2682" spans="23:23" ht="26.4">
      <c r="W2682" s="64" ph="1"/>
    </row>
    <row r="2683" spans="23:23" ht="26.4">
      <c r="W2683" s="64" ph="1"/>
    </row>
    <row r="2684" spans="23:23" ht="26.4">
      <c r="W2684" s="64" ph="1"/>
    </row>
    <row r="2685" spans="23:23" ht="26.4">
      <c r="W2685" s="64" ph="1"/>
    </row>
    <row r="2686" spans="23:23" ht="26.4">
      <c r="W2686" s="64" ph="1"/>
    </row>
    <row r="2687" spans="23:23" ht="26.4">
      <c r="W2687" s="64" ph="1"/>
    </row>
    <row r="2688" spans="23:23" ht="26.4">
      <c r="W2688" s="64" ph="1"/>
    </row>
    <row r="2689" spans="23:23" ht="26.4">
      <c r="W2689" s="64" ph="1"/>
    </row>
    <row r="2690" spans="23:23" ht="26.4">
      <c r="W2690" s="64" ph="1"/>
    </row>
    <row r="2691" spans="23:23" ht="26.4">
      <c r="W2691" s="64" ph="1"/>
    </row>
    <row r="2692" spans="23:23" ht="26.4">
      <c r="W2692" s="64" ph="1"/>
    </row>
    <row r="2693" spans="23:23" ht="26.4">
      <c r="W2693" s="64" ph="1"/>
    </row>
    <row r="2694" spans="23:23" ht="26.4">
      <c r="W2694" s="64" ph="1"/>
    </row>
    <row r="2695" spans="23:23" ht="26.4">
      <c r="W2695" s="64" ph="1"/>
    </row>
    <row r="2696" spans="23:23" ht="26.4">
      <c r="W2696" s="64" ph="1"/>
    </row>
    <row r="2697" spans="23:23" ht="26.4">
      <c r="W2697" s="64" ph="1"/>
    </row>
    <row r="2698" spans="23:23" ht="26.4">
      <c r="W2698" s="64" ph="1"/>
    </row>
    <row r="2699" spans="23:23" ht="26.4">
      <c r="W2699" s="64" ph="1"/>
    </row>
    <row r="2700" spans="23:23" ht="26.4">
      <c r="W2700" s="64" ph="1"/>
    </row>
    <row r="2701" spans="23:23" ht="26.4">
      <c r="W2701" s="64" ph="1"/>
    </row>
    <row r="2702" spans="23:23" ht="26.4">
      <c r="W2702" s="64" ph="1"/>
    </row>
    <row r="2703" spans="23:23" ht="26.4">
      <c r="W2703" s="64" ph="1"/>
    </row>
    <row r="2704" spans="23:23" ht="26.4">
      <c r="W2704" s="64" ph="1"/>
    </row>
    <row r="2705" spans="23:23" ht="26.4">
      <c r="W2705" s="64" ph="1"/>
    </row>
    <row r="2706" spans="23:23" ht="26.4">
      <c r="W2706" s="64" ph="1"/>
    </row>
    <row r="2707" spans="23:23" ht="26.4">
      <c r="W2707" s="64" ph="1"/>
    </row>
    <row r="2708" spans="23:23" ht="26.4">
      <c r="W2708" s="64" ph="1"/>
    </row>
    <row r="2709" spans="23:23" ht="26.4">
      <c r="W2709" s="64" ph="1"/>
    </row>
    <row r="2710" spans="23:23" ht="26.4">
      <c r="W2710" s="64" ph="1"/>
    </row>
    <row r="2711" spans="23:23" ht="26.4">
      <c r="W2711" s="64" ph="1"/>
    </row>
    <row r="2712" spans="23:23" ht="26.4">
      <c r="W2712" s="64" ph="1"/>
    </row>
    <row r="2713" spans="23:23" ht="26.4">
      <c r="W2713" s="64" ph="1"/>
    </row>
    <row r="2714" spans="23:23" ht="26.4">
      <c r="W2714" s="64" ph="1"/>
    </row>
    <row r="2715" spans="23:23" ht="26.4">
      <c r="W2715" s="64" ph="1"/>
    </row>
    <row r="2716" spans="23:23" ht="26.4">
      <c r="W2716" s="64" ph="1"/>
    </row>
    <row r="2717" spans="23:23" ht="26.4">
      <c r="W2717" s="64" ph="1"/>
    </row>
    <row r="2718" spans="23:23" ht="26.4">
      <c r="W2718" s="64" ph="1"/>
    </row>
    <row r="2719" spans="23:23" ht="26.4">
      <c r="W2719" s="64" ph="1"/>
    </row>
    <row r="2720" spans="23:23" ht="26.4">
      <c r="W2720" s="64" ph="1"/>
    </row>
    <row r="2721" spans="23:23" ht="26.4">
      <c r="W2721" s="64" ph="1"/>
    </row>
    <row r="2722" spans="23:23" ht="26.4">
      <c r="W2722" s="64" ph="1"/>
    </row>
    <row r="2723" spans="23:23" ht="26.4">
      <c r="W2723" s="64" ph="1"/>
    </row>
    <row r="2724" spans="23:23" ht="26.4">
      <c r="W2724" s="64" ph="1"/>
    </row>
    <row r="2725" spans="23:23" ht="26.4">
      <c r="W2725" s="64" ph="1"/>
    </row>
    <row r="2726" spans="23:23" ht="26.4">
      <c r="W2726" s="64" ph="1"/>
    </row>
    <row r="2727" spans="23:23" ht="26.4">
      <c r="W2727" s="64" ph="1"/>
    </row>
    <row r="2728" spans="23:23" ht="26.4">
      <c r="W2728" s="64" ph="1"/>
    </row>
    <row r="2729" spans="23:23" ht="26.4">
      <c r="W2729" s="64" ph="1"/>
    </row>
    <row r="2730" spans="23:23" ht="26.4">
      <c r="W2730" s="64" ph="1"/>
    </row>
    <row r="2731" spans="23:23" ht="26.4">
      <c r="W2731" s="64" ph="1"/>
    </row>
    <row r="2732" spans="23:23" ht="26.4">
      <c r="W2732" s="64" ph="1"/>
    </row>
    <row r="2733" spans="23:23" ht="26.4">
      <c r="W2733" s="64" ph="1"/>
    </row>
    <row r="2734" spans="23:23" ht="26.4">
      <c r="W2734" s="64" ph="1"/>
    </row>
    <row r="2735" spans="23:23" ht="26.4">
      <c r="W2735" s="64" ph="1"/>
    </row>
    <row r="2736" spans="23:23" ht="26.4">
      <c r="W2736" s="64" ph="1"/>
    </row>
    <row r="2737" spans="23:23" ht="26.4">
      <c r="W2737" s="64" ph="1"/>
    </row>
    <row r="2738" spans="23:23" ht="26.4">
      <c r="W2738" s="64" ph="1"/>
    </row>
    <row r="2739" spans="23:23" ht="26.4">
      <c r="W2739" s="64" ph="1"/>
    </row>
    <row r="2740" spans="23:23" ht="26.4">
      <c r="W2740" s="64" ph="1"/>
    </row>
    <row r="2741" spans="23:23" ht="26.4">
      <c r="W2741" s="64" ph="1"/>
    </row>
    <row r="2742" spans="23:23" ht="26.4">
      <c r="W2742" s="64" ph="1"/>
    </row>
    <row r="2743" spans="23:23" ht="26.4">
      <c r="W2743" s="64" ph="1"/>
    </row>
    <row r="2744" spans="23:23" ht="26.4">
      <c r="W2744" s="64" ph="1"/>
    </row>
    <row r="2745" spans="23:23" ht="26.4">
      <c r="W2745" s="64" ph="1"/>
    </row>
    <row r="2746" spans="23:23" ht="26.4">
      <c r="W2746" s="64" ph="1"/>
    </row>
    <row r="2747" spans="23:23" ht="26.4">
      <c r="W2747" s="64" ph="1"/>
    </row>
    <row r="2748" spans="23:23" ht="26.4">
      <c r="W2748" s="64" ph="1"/>
    </row>
    <row r="2749" spans="23:23" ht="26.4">
      <c r="W2749" s="64" ph="1"/>
    </row>
    <row r="2750" spans="23:23" ht="26.4">
      <c r="W2750" s="64" ph="1"/>
    </row>
    <row r="2751" spans="23:23" ht="26.4">
      <c r="W2751" s="64" ph="1"/>
    </row>
    <row r="2752" spans="23:23" ht="26.4">
      <c r="W2752" s="64" ph="1"/>
    </row>
    <row r="2753" spans="23:23" ht="26.4">
      <c r="W2753" s="64" ph="1"/>
    </row>
    <row r="2754" spans="23:23" ht="26.4">
      <c r="W2754" s="64" ph="1"/>
    </row>
    <row r="2755" spans="23:23" ht="26.4">
      <c r="W2755" s="64" ph="1"/>
    </row>
    <row r="2756" spans="23:23" ht="26.4">
      <c r="W2756" s="64" ph="1"/>
    </row>
    <row r="2757" spans="23:23" ht="26.4">
      <c r="W2757" s="64" ph="1"/>
    </row>
    <row r="2758" spans="23:23" ht="26.4">
      <c r="W2758" s="64" ph="1"/>
    </row>
    <row r="2759" spans="23:23" ht="26.4">
      <c r="W2759" s="64" ph="1"/>
    </row>
    <row r="2760" spans="23:23" ht="26.4">
      <c r="W2760" s="64" ph="1"/>
    </row>
    <row r="2761" spans="23:23" ht="26.4">
      <c r="W2761" s="64" ph="1"/>
    </row>
    <row r="2762" spans="23:23" ht="26.4">
      <c r="W2762" s="64" ph="1"/>
    </row>
    <row r="2763" spans="23:23" ht="26.4">
      <c r="W2763" s="64" ph="1"/>
    </row>
    <row r="2764" spans="23:23" ht="26.4">
      <c r="W2764" s="64" ph="1"/>
    </row>
    <row r="2765" spans="23:23" ht="26.4">
      <c r="W2765" s="64" ph="1"/>
    </row>
    <row r="2766" spans="23:23" ht="26.4">
      <c r="W2766" s="64" ph="1"/>
    </row>
    <row r="2767" spans="23:23" ht="26.4">
      <c r="W2767" s="64" ph="1"/>
    </row>
    <row r="2768" spans="23:23" ht="26.4">
      <c r="W2768" s="64" ph="1"/>
    </row>
    <row r="2769" spans="23:23" ht="26.4">
      <c r="W2769" s="64" ph="1"/>
    </row>
    <row r="2770" spans="23:23" ht="26.4">
      <c r="W2770" s="64" ph="1"/>
    </row>
    <row r="2771" spans="23:23" ht="26.4">
      <c r="W2771" s="64" ph="1"/>
    </row>
    <row r="2772" spans="23:23" ht="26.4">
      <c r="W2772" s="64" ph="1"/>
    </row>
    <row r="2773" spans="23:23" ht="26.4">
      <c r="W2773" s="64" ph="1"/>
    </row>
    <row r="2774" spans="23:23" ht="26.4">
      <c r="W2774" s="64" ph="1"/>
    </row>
    <row r="2775" spans="23:23" ht="26.4">
      <c r="W2775" s="64" ph="1"/>
    </row>
    <row r="2776" spans="23:23" ht="26.4">
      <c r="W2776" s="64" ph="1"/>
    </row>
    <row r="2777" spans="23:23" ht="26.4">
      <c r="W2777" s="64" ph="1"/>
    </row>
    <row r="2778" spans="23:23" ht="26.4">
      <c r="W2778" s="64" ph="1"/>
    </row>
    <row r="2779" spans="23:23" ht="26.4">
      <c r="W2779" s="64" ph="1"/>
    </row>
    <row r="2780" spans="23:23" ht="26.4">
      <c r="W2780" s="64" ph="1"/>
    </row>
    <row r="2781" spans="23:23" ht="26.4">
      <c r="W2781" s="64" ph="1"/>
    </row>
    <row r="2782" spans="23:23" ht="26.4">
      <c r="W2782" s="64" ph="1"/>
    </row>
    <row r="2783" spans="23:23" ht="26.4">
      <c r="W2783" s="64" ph="1"/>
    </row>
    <row r="2784" spans="23:23" ht="26.4">
      <c r="W2784" s="64" ph="1"/>
    </row>
    <row r="2785" spans="23:23" ht="26.4">
      <c r="W2785" s="64" ph="1"/>
    </row>
    <row r="2786" spans="23:23" ht="26.4">
      <c r="W2786" s="64" ph="1"/>
    </row>
    <row r="2787" spans="23:23" ht="26.4">
      <c r="W2787" s="64" ph="1"/>
    </row>
    <row r="2788" spans="23:23" ht="26.4">
      <c r="W2788" s="64" ph="1"/>
    </row>
    <row r="2789" spans="23:23" ht="26.4">
      <c r="W2789" s="64" ph="1"/>
    </row>
    <row r="2790" spans="23:23" ht="26.4">
      <c r="W2790" s="64" ph="1"/>
    </row>
    <row r="2791" spans="23:23" ht="26.4">
      <c r="W2791" s="64" ph="1"/>
    </row>
    <row r="2792" spans="23:23" ht="26.4">
      <c r="W2792" s="64" ph="1"/>
    </row>
    <row r="2793" spans="23:23" ht="26.4">
      <c r="W2793" s="64" ph="1"/>
    </row>
    <row r="2794" spans="23:23" ht="26.4">
      <c r="W2794" s="64" ph="1"/>
    </row>
    <row r="2795" spans="23:23" ht="26.4">
      <c r="W2795" s="64" ph="1"/>
    </row>
    <row r="2796" spans="23:23" ht="26.4">
      <c r="W2796" s="64" ph="1"/>
    </row>
    <row r="2797" spans="23:23" ht="26.4">
      <c r="W2797" s="64" ph="1"/>
    </row>
    <row r="2798" spans="23:23" ht="26.4">
      <c r="W2798" s="64" ph="1"/>
    </row>
    <row r="2799" spans="23:23" ht="26.4">
      <c r="W2799" s="64" ph="1"/>
    </row>
    <row r="2800" spans="23:23" ht="26.4">
      <c r="W2800" s="64" ph="1"/>
    </row>
    <row r="2801" spans="23:23" ht="26.4">
      <c r="W2801" s="64" ph="1"/>
    </row>
    <row r="2802" spans="23:23" ht="26.4">
      <c r="W2802" s="64" ph="1"/>
    </row>
    <row r="2803" spans="23:23" ht="26.4">
      <c r="W2803" s="64" ph="1"/>
    </row>
    <row r="2804" spans="23:23" ht="26.4">
      <c r="W2804" s="64" ph="1"/>
    </row>
    <row r="2805" spans="23:23" ht="26.4">
      <c r="W2805" s="64" ph="1"/>
    </row>
    <row r="2806" spans="23:23" ht="26.4">
      <c r="W2806" s="64" ph="1"/>
    </row>
    <row r="2807" spans="23:23" ht="26.4">
      <c r="W2807" s="64" ph="1"/>
    </row>
    <row r="2808" spans="23:23" ht="26.4">
      <c r="W2808" s="64" ph="1"/>
    </row>
    <row r="2809" spans="23:23" ht="26.4">
      <c r="W2809" s="64" ph="1"/>
    </row>
    <row r="2810" spans="23:23" ht="26.4">
      <c r="W2810" s="64" ph="1"/>
    </row>
    <row r="2811" spans="23:23" ht="26.4">
      <c r="W2811" s="64" ph="1"/>
    </row>
    <row r="2812" spans="23:23" ht="26.4">
      <c r="W2812" s="64" ph="1"/>
    </row>
    <row r="2813" spans="23:23" ht="26.4">
      <c r="W2813" s="64" ph="1"/>
    </row>
    <row r="2814" spans="23:23" ht="26.4">
      <c r="W2814" s="64" ph="1"/>
    </row>
    <row r="2815" spans="23:23" ht="26.4">
      <c r="W2815" s="64" ph="1"/>
    </row>
    <row r="2816" spans="23:23" ht="26.4">
      <c r="W2816" s="64" ph="1"/>
    </row>
    <row r="2817" spans="23:23" ht="26.4">
      <c r="W2817" s="64" ph="1"/>
    </row>
    <row r="2818" spans="23:23" ht="26.4">
      <c r="W2818" s="64" ph="1"/>
    </row>
    <row r="2819" spans="23:23" ht="26.4">
      <c r="W2819" s="64" ph="1"/>
    </row>
    <row r="2820" spans="23:23" ht="26.4">
      <c r="W2820" s="64" ph="1"/>
    </row>
    <row r="2821" spans="23:23" ht="26.4">
      <c r="W2821" s="64" ph="1"/>
    </row>
    <row r="2822" spans="23:23" ht="26.4">
      <c r="W2822" s="64" ph="1"/>
    </row>
    <row r="2823" spans="23:23" ht="26.4">
      <c r="W2823" s="64" ph="1"/>
    </row>
    <row r="2824" spans="23:23" ht="26.4">
      <c r="W2824" s="64" ph="1"/>
    </row>
    <row r="2825" spans="23:23" ht="26.4">
      <c r="W2825" s="64" ph="1"/>
    </row>
    <row r="2826" spans="23:23" ht="26.4">
      <c r="W2826" s="64" ph="1"/>
    </row>
    <row r="2827" spans="23:23" ht="26.4">
      <c r="W2827" s="64" ph="1"/>
    </row>
    <row r="2828" spans="23:23" ht="26.4">
      <c r="W2828" s="64" ph="1"/>
    </row>
    <row r="2829" spans="23:23" ht="26.4">
      <c r="W2829" s="64" ph="1"/>
    </row>
    <row r="2830" spans="23:23" ht="26.4">
      <c r="W2830" s="64" ph="1"/>
    </row>
    <row r="2831" spans="23:23" ht="26.4">
      <c r="W2831" s="64" ph="1"/>
    </row>
    <row r="2832" spans="23:23" ht="26.4">
      <c r="W2832" s="64" ph="1"/>
    </row>
    <row r="2833" spans="23:23" ht="26.4">
      <c r="W2833" s="64" ph="1"/>
    </row>
    <row r="2834" spans="23:23" ht="26.4">
      <c r="W2834" s="64" ph="1"/>
    </row>
    <row r="2835" spans="23:23" ht="26.4">
      <c r="W2835" s="64" ph="1"/>
    </row>
    <row r="2836" spans="23:23" ht="26.4">
      <c r="W2836" s="64" ph="1"/>
    </row>
    <row r="2837" spans="23:23" ht="26.4">
      <c r="W2837" s="64" ph="1"/>
    </row>
    <row r="2838" spans="23:23" ht="26.4">
      <c r="W2838" s="64" ph="1"/>
    </row>
    <row r="2839" spans="23:23" ht="26.4">
      <c r="W2839" s="64" ph="1"/>
    </row>
    <row r="2840" spans="23:23" ht="26.4">
      <c r="W2840" s="64" ph="1"/>
    </row>
    <row r="2841" spans="23:23" ht="26.4">
      <c r="W2841" s="64" ph="1"/>
    </row>
    <row r="2842" spans="23:23" ht="26.4">
      <c r="W2842" s="64" ph="1"/>
    </row>
    <row r="2843" spans="23:23" ht="26.4">
      <c r="W2843" s="64" ph="1"/>
    </row>
    <row r="2844" spans="23:23" ht="26.4">
      <c r="W2844" s="64" ph="1"/>
    </row>
    <row r="2845" spans="23:23" ht="26.4">
      <c r="W2845" s="64" ph="1"/>
    </row>
    <row r="2846" spans="23:23" ht="26.4">
      <c r="W2846" s="64" ph="1"/>
    </row>
    <row r="2847" spans="23:23" ht="26.4">
      <c r="W2847" s="64" ph="1"/>
    </row>
    <row r="2848" spans="23:23" ht="26.4">
      <c r="W2848" s="64" ph="1"/>
    </row>
    <row r="2849" spans="23:23" ht="26.4">
      <c r="W2849" s="64" ph="1"/>
    </row>
    <row r="2850" spans="23:23" ht="26.4">
      <c r="W2850" s="64" ph="1"/>
    </row>
    <row r="2851" spans="23:23" ht="26.4">
      <c r="W2851" s="64" ph="1"/>
    </row>
    <row r="2852" spans="23:23" ht="26.4">
      <c r="W2852" s="64" ph="1"/>
    </row>
    <row r="2853" spans="23:23" ht="26.4">
      <c r="W2853" s="64" ph="1"/>
    </row>
    <row r="2854" spans="23:23" ht="26.4">
      <c r="W2854" s="64" ph="1"/>
    </row>
    <row r="2855" spans="23:23" ht="26.4">
      <c r="W2855" s="64" ph="1"/>
    </row>
    <row r="2856" spans="23:23" ht="26.4">
      <c r="W2856" s="64" ph="1"/>
    </row>
    <row r="2857" spans="23:23" ht="26.4">
      <c r="W2857" s="64" ph="1"/>
    </row>
    <row r="2858" spans="23:23" ht="26.4">
      <c r="W2858" s="64" ph="1"/>
    </row>
    <row r="2859" spans="23:23" ht="26.4">
      <c r="W2859" s="64" ph="1"/>
    </row>
    <row r="2860" spans="23:23" ht="26.4">
      <c r="W2860" s="64" ph="1"/>
    </row>
    <row r="2861" spans="23:23" ht="26.4">
      <c r="W2861" s="64" ph="1"/>
    </row>
    <row r="2862" spans="23:23" ht="26.4">
      <c r="W2862" s="64" ph="1"/>
    </row>
    <row r="2863" spans="23:23" ht="26.4">
      <c r="W2863" s="64" ph="1"/>
    </row>
    <row r="2864" spans="23:23" ht="26.4">
      <c r="W2864" s="64" ph="1"/>
    </row>
    <row r="2865" spans="23:23" ht="26.4">
      <c r="W2865" s="64" ph="1"/>
    </row>
    <row r="2866" spans="23:23" ht="26.4">
      <c r="W2866" s="64" ph="1"/>
    </row>
    <row r="2867" spans="23:23" ht="26.4">
      <c r="W2867" s="64" ph="1"/>
    </row>
    <row r="2868" spans="23:23" ht="26.4">
      <c r="W2868" s="64" ph="1"/>
    </row>
    <row r="2869" spans="23:23" ht="26.4">
      <c r="W2869" s="64" ph="1"/>
    </row>
    <row r="2870" spans="23:23" ht="26.4">
      <c r="W2870" s="64" ph="1"/>
    </row>
    <row r="2871" spans="23:23" ht="26.4">
      <c r="W2871" s="64" ph="1"/>
    </row>
    <row r="2872" spans="23:23" ht="26.4">
      <c r="W2872" s="64" ph="1"/>
    </row>
    <row r="2873" spans="23:23" ht="26.4">
      <c r="W2873" s="64" ph="1"/>
    </row>
    <row r="2874" spans="23:23" ht="26.4">
      <c r="W2874" s="64" ph="1"/>
    </row>
    <row r="2875" spans="23:23" ht="26.4">
      <c r="W2875" s="64" ph="1"/>
    </row>
    <row r="2876" spans="23:23" ht="26.4">
      <c r="W2876" s="64" ph="1"/>
    </row>
    <row r="2877" spans="23:23" ht="26.4">
      <c r="W2877" s="64" ph="1"/>
    </row>
    <row r="2878" spans="23:23" ht="26.4">
      <c r="W2878" s="64" ph="1"/>
    </row>
    <row r="2879" spans="23:23" ht="26.4">
      <c r="W2879" s="64" ph="1"/>
    </row>
    <row r="2880" spans="23:23" ht="26.4">
      <c r="W2880" s="64" ph="1"/>
    </row>
    <row r="2881" spans="23:23" ht="26.4">
      <c r="W2881" s="64" ph="1"/>
    </row>
    <row r="2882" spans="23:23" ht="26.4">
      <c r="W2882" s="64" ph="1"/>
    </row>
    <row r="2883" spans="23:23" ht="26.4">
      <c r="W2883" s="64" ph="1"/>
    </row>
    <row r="2884" spans="23:23" ht="26.4">
      <c r="W2884" s="64" ph="1"/>
    </row>
    <row r="2885" spans="23:23" ht="26.4">
      <c r="W2885" s="64" ph="1"/>
    </row>
    <row r="2886" spans="23:23" ht="26.4">
      <c r="W2886" s="64" ph="1"/>
    </row>
    <row r="2887" spans="23:23" ht="26.4">
      <c r="W2887" s="64" ph="1"/>
    </row>
    <row r="2888" spans="23:23" ht="26.4">
      <c r="W2888" s="64" ph="1"/>
    </row>
    <row r="2889" spans="23:23" ht="26.4">
      <c r="W2889" s="64" ph="1"/>
    </row>
    <row r="2890" spans="23:23" ht="26.4">
      <c r="W2890" s="64" ph="1"/>
    </row>
    <row r="2891" spans="23:23" ht="26.4">
      <c r="W2891" s="64" ph="1"/>
    </row>
    <row r="2892" spans="23:23" ht="26.4">
      <c r="W2892" s="64" ph="1"/>
    </row>
    <row r="2893" spans="23:23" ht="26.4">
      <c r="W2893" s="64" ph="1"/>
    </row>
    <row r="2894" spans="23:23" ht="26.4">
      <c r="W2894" s="64" ph="1"/>
    </row>
    <row r="2895" spans="23:23" ht="26.4">
      <c r="W2895" s="64" ph="1"/>
    </row>
    <row r="2896" spans="23:23" ht="26.4">
      <c r="W2896" s="64" ph="1"/>
    </row>
    <row r="2897" spans="23:23" ht="26.4">
      <c r="W2897" s="64" ph="1"/>
    </row>
    <row r="2898" spans="23:23" ht="26.4">
      <c r="W2898" s="64" ph="1"/>
    </row>
    <row r="2899" spans="23:23" ht="26.4">
      <c r="W2899" s="64" ph="1"/>
    </row>
    <row r="2900" spans="23:23" ht="26.4">
      <c r="W2900" s="64" ph="1"/>
    </row>
    <row r="2901" spans="23:23" ht="26.4">
      <c r="W2901" s="64" ph="1"/>
    </row>
    <row r="2902" spans="23:23" ht="26.4">
      <c r="W2902" s="64" ph="1"/>
    </row>
    <row r="2903" spans="23:23" ht="26.4">
      <c r="W2903" s="64" ph="1"/>
    </row>
    <row r="2904" spans="23:23" ht="26.4">
      <c r="W2904" s="64" ph="1"/>
    </row>
    <row r="2905" spans="23:23" ht="26.4">
      <c r="W2905" s="64" ph="1"/>
    </row>
    <row r="2906" spans="23:23" ht="26.4">
      <c r="W2906" s="64" ph="1"/>
    </row>
    <row r="2907" spans="23:23" ht="26.4">
      <c r="W2907" s="64" ph="1"/>
    </row>
    <row r="2908" spans="23:23" ht="26.4">
      <c r="W2908" s="64" ph="1"/>
    </row>
    <row r="2909" spans="23:23" ht="26.4">
      <c r="W2909" s="64" ph="1"/>
    </row>
    <row r="2910" spans="23:23" ht="26.4">
      <c r="W2910" s="64" ph="1"/>
    </row>
    <row r="2911" spans="23:23" ht="26.4">
      <c r="W2911" s="64" ph="1"/>
    </row>
    <row r="2912" spans="23:23" ht="26.4">
      <c r="W2912" s="64" ph="1"/>
    </row>
    <row r="2913" spans="23:23" ht="26.4">
      <c r="W2913" s="64" ph="1"/>
    </row>
    <row r="2914" spans="23:23" ht="26.4">
      <c r="W2914" s="64" ph="1"/>
    </row>
    <row r="2915" spans="23:23" ht="26.4">
      <c r="W2915" s="64" ph="1"/>
    </row>
    <row r="2916" spans="23:23" ht="26.4">
      <c r="W2916" s="64" ph="1"/>
    </row>
    <row r="2917" spans="23:23" ht="26.4">
      <c r="W2917" s="64" ph="1"/>
    </row>
    <row r="2918" spans="23:23" ht="26.4">
      <c r="W2918" s="64" ph="1"/>
    </row>
    <row r="2919" spans="23:23" ht="26.4">
      <c r="W2919" s="64" ph="1"/>
    </row>
    <row r="2920" spans="23:23" ht="26.4">
      <c r="W2920" s="64" ph="1"/>
    </row>
    <row r="2921" spans="23:23" ht="26.4">
      <c r="W2921" s="64" ph="1"/>
    </row>
    <row r="2922" spans="23:23" ht="26.4">
      <c r="W2922" s="64" ph="1"/>
    </row>
    <row r="2923" spans="23:23" ht="26.4">
      <c r="W2923" s="64" ph="1"/>
    </row>
    <row r="2924" spans="23:23" ht="26.4">
      <c r="W2924" s="64" ph="1"/>
    </row>
    <row r="2925" spans="23:23" ht="26.4">
      <c r="W2925" s="64" ph="1"/>
    </row>
    <row r="2926" spans="23:23" ht="26.4">
      <c r="W2926" s="64" ph="1"/>
    </row>
    <row r="2927" spans="23:23" ht="26.4">
      <c r="W2927" s="64" ph="1"/>
    </row>
    <row r="2928" spans="23:23" ht="26.4">
      <c r="W2928" s="64" ph="1"/>
    </row>
    <row r="2929" spans="23:23" ht="26.4">
      <c r="W2929" s="64" ph="1"/>
    </row>
    <row r="2930" spans="23:23" ht="26.4">
      <c r="W2930" s="64" ph="1"/>
    </row>
    <row r="2931" spans="23:23" ht="26.4">
      <c r="W2931" s="64" ph="1"/>
    </row>
    <row r="2932" spans="23:23" ht="26.4">
      <c r="W2932" s="64" ph="1"/>
    </row>
    <row r="2933" spans="23:23" ht="26.4">
      <c r="W2933" s="64" ph="1"/>
    </row>
    <row r="2934" spans="23:23" ht="26.4">
      <c r="W2934" s="64" ph="1"/>
    </row>
    <row r="2935" spans="23:23" ht="26.4">
      <c r="W2935" s="64" ph="1"/>
    </row>
    <row r="2936" spans="23:23" ht="26.4">
      <c r="W2936" s="64" ph="1"/>
    </row>
    <row r="2937" spans="23:23" ht="26.4">
      <c r="W2937" s="64" ph="1"/>
    </row>
    <row r="2938" spans="23:23" ht="26.4">
      <c r="W2938" s="64" ph="1"/>
    </row>
    <row r="2939" spans="23:23" ht="26.4">
      <c r="W2939" s="64" ph="1"/>
    </row>
    <row r="2940" spans="23:23" ht="26.4">
      <c r="W2940" s="64" ph="1"/>
    </row>
    <row r="2941" spans="23:23" ht="26.4">
      <c r="W2941" s="64" ph="1"/>
    </row>
    <row r="2942" spans="23:23" ht="26.4">
      <c r="W2942" s="64" ph="1"/>
    </row>
    <row r="2943" spans="23:23" ht="26.4">
      <c r="W2943" s="64" ph="1"/>
    </row>
    <row r="2944" spans="23:23" ht="26.4">
      <c r="W2944" s="64" ph="1"/>
    </row>
    <row r="2945" spans="23:23" ht="26.4">
      <c r="W2945" s="64" ph="1"/>
    </row>
    <row r="2946" spans="23:23" ht="26.4">
      <c r="W2946" s="64" ph="1"/>
    </row>
    <row r="2947" spans="23:23" ht="26.4">
      <c r="W2947" s="64" ph="1"/>
    </row>
    <row r="2948" spans="23:23" ht="26.4">
      <c r="W2948" s="64" ph="1"/>
    </row>
    <row r="2949" spans="23:23" ht="26.4">
      <c r="W2949" s="64" ph="1"/>
    </row>
    <row r="2950" spans="23:23" ht="26.4">
      <c r="W2950" s="64" ph="1"/>
    </row>
    <row r="2951" spans="23:23" ht="26.4">
      <c r="W2951" s="64" ph="1"/>
    </row>
    <row r="2952" spans="23:23" ht="26.4">
      <c r="W2952" s="64" ph="1"/>
    </row>
    <row r="2953" spans="23:23" ht="26.4">
      <c r="W2953" s="64" ph="1"/>
    </row>
    <row r="2954" spans="23:23" ht="26.4">
      <c r="W2954" s="64" ph="1"/>
    </row>
    <row r="2955" spans="23:23" ht="26.4">
      <c r="W2955" s="64" ph="1"/>
    </row>
    <row r="2956" spans="23:23" ht="26.4">
      <c r="W2956" s="64" ph="1"/>
    </row>
    <row r="2957" spans="23:23" ht="26.4">
      <c r="W2957" s="64" ph="1"/>
    </row>
    <row r="2958" spans="23:23" ht="26.4">
      <c r="W2958" s="64" ph="1"/>
    </row>
    <row r="2959" spans="23:23" ht="26.4">
      <c r="W2959" s="64" ph="1"/>
    </row>
    <row r="2960" spans="23:23" ht="26.4">
      <c r="W2960" s="64" ph="1"/>
    </row>
    <row r="2961" spans="23:23" ht="26.4">
      <c r="W2961" s="64" ph="1"/>
    </row>
    <row r="2962" spans="23:23" ht="26.4">
      <c r="W2962" s="64" ph="1"/>
    </row>
    <row r="2963" spans="23:23" ht="26.4">
      <c r="W2963" s="64" ph="1"/>
    </row>
    <row r="2964" spans="23:23" ht="26.4">
      <c r="W2964" s="64" ph="1"/>
    </row>
    <row r="2965" spans="23:23" ht="26.4">
      <c r="W2965" s="64" ph="1"/>
    </row>
    <row r="2966" spans="23:23" ht="26.4">
      <c r="W2966" s="64" ph="1"/>
    </row>
    <row r="2967" spans="23:23" ht="26.4">
      <c r="W2967" s="64" ph="1"/>
    </row>
    <row r="2968" spans="23:23" ht="26.4">
      <c r="W2968" s="64" ph="1"/>
    </row>
    <row r="2969" spans="23:23" ht="26.4">
      <c r="W2969" s="64" ph="1"/>
    </row>
    <row r="2970" spans="23:23" ht="26.4">
      <c r="W2970" s="64" ph="1"/>
    </row>
    <row r="2971" spans="23:23" ht="26.4">
      <c r="W2971" s="64" ph="1"/>
    </row>
    <row r="2972" spans="23:23" ht="26.4">
      <c r="W2972" s="64" ph="1"/>
    </row>
    <row r="2973" spans="23:23" ht="26.4">
      <c r="W2973" s="64" ph="1"/>
    </row>
    <row r="2974" spans="23:23" ht="26.4">
      <c r="W2974" s="64" ph="1"/>
    </row>
    <row r="2975" spans="23:23" ht="26.4">
      <c r="W2975" s="64" ph="1"/>
    </row>
    <row r="2976" spans="23:23" ht="26.4">
      <c r="W2976" s="64" ph="1"/>
    </row>
    <row r="2977" spans="23:23" ht="26.4">
      <c r="W2977" s="64" ph="1"/>
    </row>
    <row r="2978" spans="23:23" ht="26.4">
      <c r="W2978" s="64" ph="1"/>
    </row>
    <row r="2979" spans="23:23" ht="26.4">
      <c r="W2979" s="64" ph="1"/>
    </row>
    <row r="2980" spans="23:23" ht="26.4">
      <c r="W2980" s="64" ph="1"/>
    </row>
    <row r="2981" spans="23:23" ht="26.4">
      <c r="W2981" s="64" ph="1"/>
    </row>
    <row r="2982" spans="23:23" ht="26.4">
      <c r="W2982" s="64" ph="1"/>
    </row>
    <row r="2983" spans="23:23" ht="26.4">
      <c r="W2983" s="64" ph="1"/>
    </row>
    <row r="2984" spans="23:23" ht="26.4">
      <c r="W2984" s="64" ph="1"/>
    </row>
    <row r="2985" spans="23:23" ht="26.4">
      <c r="W2985" s="64" ph="1"/>
    </row>
    <row r="2986" spans="23:23" ht="26.4">
      <c r="W2986" s="64" ph="1"/>
    </row>
    <row r="2987" spans="23:23" ht="26.4">
      <c r="W2987" s="64" ph="1"/>
    </row>
    <row r="2988" spans="23:23" ht="26.4">
      <c r="W2988" s="64" ph="1"/>
    </row>
    <row r="2989" spans="23:23" ht="26.4">
      <c r="W2989" s="64" ph="1"/>
    </row>
    <row r="2990" spans="23:23" ht="26.4">
      <c r="W2990" s="64" ph="1"/>
    </row>
    <row r="2991" spans="23:23" ht="26.4">
      <c r="W2991" s="64" ph="1"/>
    </row>
    <row r="2992" spans="23:23" ht="26.4">
      <c r="W2992" s="64" ph="1"/>
    </row>
    <row r="2993" spans="23:23" ht="26.4">
      <c r="W2993" s="64" ph="1"/>
    </row>
    <row r="2994" spans="23:23" ht="26.4">
      <c r="W2994" s="64" ph="1"/>
    </row>
    <row r="2995" spans="23:23" ht="26.4">
      <c r="W2995" s="64" ph="1"/>
    </row>
    <row r="2996" spans="23:23" ht="26.4">
      <c r="W2996" s="64" ph="1"/>
    </row>
    <row r="2997" spans="23:23" ht="26.4">
      <c r="W2997" s="64" ph="1"/>
    </row>
    <row r="2998" spans="23:23" ht="26.4">
      <c r="W2998" s="64" ph="1"/>
    </row>
    <row r="2999" spans="23:23" ht="26.4">
      <c r="W2999" s="64" ph="1"/>
    </row>
    <row r="3000" spans="23:23" ht="26.4">
      <c r="W3000" s="64" ph="1"/>
    </row>
    <row r="3001" spans="23:23" ht="26.4">
      <c r="W3001" s="64" ph="1"/>
    </row>
    <row r="3002" spans="23:23" ht="26.4">
      <c r="W3002" s="64" ph="1"/>
    </row>
    <row r="3003" spans="23:23" ht="26.4">
      <c r="W3003" s="64" ph="1"/>
    </row>
    <row r="3004" spans="23:23" ht="26.4">
      <c r="W3004" s="64" ph="1"/>
    </row>
    <row r="3005" spans="23:23" ht="26.4">
      <c r="W3005" s="64" ph="1"/>
    </row>
    <row r="3006" spans="23:23" ht="26.4">
      <c r="W3006" s="64" ph="1"/>
    </row>
    <row r="3007" spans="23:23" ht="26.4">
      <c r="W3007" s="64" ph="1"/>
    </row>
    <row r="3008" spans="23:23" ht="26.4">
      <c r="W3008" s="64" ph="1"/>
    </row>
    <row r="3009" spans="23:23" ht="26.4">
      <c r="W3009" s="64" ph="1"/>
    </row>
    <row r="3010" spans="23:23" ht="26.4">
      <c r="W3010" s="64" ph="1"/>
    </row>
    <row r="3011" spans="23:23" ht="26.4">
      <c r="W3011" s="64" ph="1"/>
    </row>
    <row r="3012" spans="23:23" ht="26.4">
      <c r="W3012" s="64" ph="1"/>
    </row>
    <row r="3013" spans="23:23" ht="26.4">
      <c r="W3013" s="64" ph="1"/>
    </row>
    <row r="3014" spans="23:23" ht="26.4">
      <c r="W3014" s="64" ph="1"/>
    </row>
    <row r="3015" spans="23:23" ht="26.4">
      <c r="W3015" s="64" ph="1"/>
    </row>
    <row r="3016" spans="23:23" ht="26.4">
      <c r="W3016" s="64" ph="1"/>
    </row>
    <row r="3017" spans="23:23" ht="26.4">
      <c r="W3017" s="64" ph="1"/>
    </row>
    <row r="3018" spans="23:23" ht="26.4">
      <c r="W3018" s="64" ph="1"/>
    </row>
    <row r="3019" spans="23:23" ht="26.4">
      <c r="W3019" s="64" ph="1"/>
    </row>
    <row r="3020" spans="23:23" ht="26.4">
      <c r="W3020" s="64" ph="1"/>
    </row>
    <row r="3021" spans="23:23" ht="26.4">
      <c r="W3021" s="64" ph="1"/>
    </row>
    <row r="3022" spans="23:23" ht="26.4">
      <c r="W3022" s="64" ph="1"/>
    </row>
    <row r="3023" spans="23:23" ht="26.4">
      <c r="W3023" s="64" ph="1"/>
    </row>
    <row r="3024" spans="23:23" ht="26.4">
      <c r="W3024" s="64" ph="1"/>
    </row>
    <row r="3025" spans="23:23" ht="26.4">
      <c r="W3025" s="64" ph="1"/>
    </row>
    <row r="3026" spans="23:23" ht="26.4">
      <c r="W3026" s="64" ph="1"/>
    </row>
    <row r="3027" spans="23:23" ht="26.4">
      <c r="W3027" s="64" ph="1"/>
    </row>
    <row r="3028" spans="23:23" ht="26.4">
      <c r="W3028" s="64" ph="1"/>
    </row>
    <row r="3029" spans="23:23" ht="26.4">
      <c r="W3029" s="64" ph="1"/>
    </row>
    <row r="3030" spans="23:23" ht="26.4">
      <c r="W3030" s="64" ph="1"/>
    </row>
    <row r="3031" spans="23:23" ht="26.4">
      <c r="W3031" s="64" ph="1"/>
    </row>
    <row r="3032" spans="23:23" ht="26.4">
      <c r="W3032" s="64" ph="1"/>
    </row>
    <row r="3033" spans="23:23" ht="26.4">
      <c r="W3033" s="64" ph="1"/>
    </row>
    <row r="3034" spans="23:23" ht="26.4">
      <c r="W3034" s="64" ph="1"/>
    </row>
    <row r="3035" spans="23:23" ht="26.4">
      <c r="W3035" s="64" ph="1"/>
    </row>
    <row r="3036" spans="23:23" ht="26.4">
      <c r="W3036" s="64" ph="1"/>
    </row>
    <row r="3037" spans="23:23" ht="26.4">
      <c r="W3037" s="64" ph="1"/>
    </row>
    <row r="3038" spans="23:23" ht="26.4">
      <c r="W3038" s="64" ph="1"/>
    </row>
    <row r="3039" spans="23:23" ht="26.4">
      <c r="W3039" s="64" ph="1"/>
    </row>
    <row r="3040" spans="23:23" ht="26.4">
      <c r="W3040" s="64" ph="1"/>
    </row>
    <row r="3041" spans="23:23" ht="26.4">
      <c r="W3041" s="64" ph="1"/>
    </row>
    <row r="3042" spans="23:23" ht="26.4">
      <c r="W3042" s="64" ph="1"/>
    </row>
    <row r="3043" spans="23:23" ht="26.4">
      <c r="W3043" s="64" ph="1"/>
    </row>
    <row r="3044" spans="23:23" ht="26.4">
      <c r="W3044" s="64" ph="1"/>
    </row>
    <row r="3045" spans="23:23" ht="26.4">
      <c r="W3045" s="64" ph="1"/>
    </row>
    <row r="3046" spans="23:23" ht="26.4">
      <c r="W3046" s="64" ph="1"/>
    </row>
    <row r="3047" spans="23:23" ht="26.4">
      <c r="W3047" s="64" ph="1"/>
    </row>
    <row r="3048" spans="23:23" ht="26.4">
      <c r="W3048" s="64" ph="1"/>
    </row>
    <row r="3049" spans="23:23" ht="26.4">
      <c r="W3049" s="64" ph="1"/>
    </row>
    <row r="3050" spans="23:23" ht="26.4">
      <c r="W3050" s="64" ph="1"/>
    </row>
    <row r="3051" spans="23:23" ht="26.4">
      <c r="W3051" s="64" ph="1"/>
    </row>
    <row r="3052" spans="23:23" ht="26.4">
      <c r="W3052" s="64" ph="1"/>
    </row>
    <row r="3053" spans="23:23" ht="26.4">
      <c r="W3053" s="64" ph="1"/>
    </row>
    <row r="3054" spans="23:23" ht="26.4">
      <c r="W3054" s="64" ph="1"/>
    </row>
    <row r="3055" spans="23:23" ht="26.4">
      <c r="W3055" s="64" ph="1"/>
    </row>
    <row r="3056" spans="23:23" ht="26.4">
      <c r="W3056" s="64" ph="1"/>
    </row>
    <row r="3057" spans="23:23" ht="26.4">
      <c r="W3057" s="64" ph="1"/>
    </row>
    <row r="3058" spans="23:23" ht="26.4">
      <c r="W3058" s="64" ph="1"/>
    </row>
    <row r="3059" spans="23:23" ht="26.4">
      <c r="W3059" s="64" ph="1"/>
    </row>
    <row r="3060" spans="23:23" ht="26.4">
      <c r="W3060" s="64" ph="1"/>
    </row>
    <row r="3061" spans="23:23" ht="26.4">
      <c r="W3061" s="64" ph="1"/>
    </row>
    <row r="3062" spans="23:23" ht="26.4">
      <c r="W3062" s="64" ph="1"/>
    </row>
    <row r="3063" spans="23:23" ht="26.4">
      <c r="W3063" s="64" ph="1"/>
    </row>
    <row r="3064" spans="23:23" ht="26.4">
      <c r="W3064" s="64" ph="1"/>
    </row>
    <row r="3065" spans="23:23" ht="26.4">
      <c r="W3065" s="64" ph="1"/>
    </row>
    <row r="3066" spans="23:23" ht="26.4">
      <c r="W3066" s="64" ph="1"/>
    </row>
    <row r="3067" spans="23:23" ht="26.4">
      <c r="W3067" s="64" ph="1"/>
    </row>
    <row r="3068" spans="23:23" ht="26.4">
      <c r="W3068" s="64" ph="1"/>
    </row>
    <row r="3069" spans="23:23" ht="26.4">
      <c r="W3069" s="64" ph="1"/>
    </row>
    <row r="3070" spans="23:23" ht="26.4">
      <c r="W3070" s="64" ph="1"/>
    </row>
    <row r="3071" spans="23:23" ht="26.4">
      <c r="W3071" s="64" ph="1"/>
    </row>
    <row r="3072" spans="23:23" ht="26.4">
      <c r="W3072" s="64" ph="1"/>
    </row>
    <row r="3073" spans="23:23" ht="26.4">
      <c r="W3073" s="64" ph="1"/>
    </row>
    <row r="3074" spans="23:23" ht="26.4">
      <c r="W3074" s="64" ph="1"/>
    </row>
    <row r="3075" spans="23:23" ht="26.4">
      <c r="W3075" s="64" ph="1"/>
    </row>
    <row r="3076" spans="23:23" ht="26.4">
      <c r="W3076" s="64" ph="1"/>
    </row>
    <row r="3077" spans="23:23" ht="26.4">
      <c r="W3077" s="64" ph="1"/>
    </row>
    <row r="3078" spans="23:23" ht="26.4">
      <c r="W3078" s="64" ph="1"/>
    </row>
    <row r="3079" spans="23:23" ht="26.4">
      <c r="W3079" s="64" ph="1"/>
    </row>
    <row r="3080" spans="23:23" ht="26.4">
      <c r="W3080" s="64" ph="1"/>
    </row>
    <row r="3081" spans="23:23" ht="26.4">
      <c r="W3081" s="64" ph="1"/>
    </row>
    <row r="3082" spans="23:23" ht="26.4">
      <c r="W3082" s="64" ph="1"/>
    </row>
    <row r="3083" spans="23:23" ht="26.4">
      <c r="W3083" s="64" ph="1"/>
    </row>
    <row r="3084" spans="23:23" ht="26.4">
      <c r="W3084" s="64" ph="1"/>
    </row>
    <row r="3085" spans="23:23" ht="26.4">
      <c r="W3085" s="64" ph="1"/>
    </row>
    <row r="3086" spans="23:23" ht="26.4">
      <c r="W3086" s="64" ph="1"/>
    </row>
    <row r="3087" spans="23:23" ht="26.4">
      <c r="W3087" s="64" ph="1"/>
    </row>
    <row r="3088" spans="23:23" ht="26.4">
      <c r="W3088" s="64" ph="1"/>
    </row>
    <row r="3089" spans="23:23" ht="26.4">
      <c r="W3089" s="64" ph="1"/>
    </row>
    <row r="3090" spans="23:23" ht="26.4">
      <c r="W3090" s="64" ph="1"/>
    </row>
    <row r="3091" spans="23:23" ht="26.4">
      <c r="W3091" s="64" ph="1"/>
    </row>
    <row r="3092" spans="23:23" ht="26.4">
      <c r="W3092" s="64" ph="1"/>
    </row>
    <row r="3093" spans="23:23" ht="26.4">
      <c r="W3093" s="64" ph="1"/>
    </row>
    <row r="3094" spans="23:23" ht="26.4">
      <c r="W3094" s="64" ph="1"/>
    </row>
    <row r="3095" spans="23:23" ht="26.4">
      <c r="W3095" s="64" ph="1"/>
    </row>
    <row r="3096" spans="23:23" ht="26.4">
      <c r="W3096" s="64" ph="1"/>
    </row>
    <row r="3097" spans="23:23" ht="26.4">
      <c r="W3097" s="64" ph="1"/>
    </row>
    <row r="3098" spans="23:23" ht="26.4">
      <c r="W3098" s="64" ph="1"/>
    </row>
    <row r="3099" spans="23:23" ht="26.4">
      <c r="W3099" s="64" ph="1"/>
    </row>
    <row r="3100" spans="23:23" ht="26.4">
      <c r="W3100" s="64" ph="1"/>
    </row>
    <row r="3101" spans="23:23" ht="26.4">
      <c r="W3101" s="64" ph="1"/>
    </row>
    <row r="3102" spans="23:23" ht="26.4">
      <c r="W3102" s="64" ph="1"/>
    </row>
    <row r="3103" spans="23:23" ht="26.4">
      <c r="W3103" s="64" ph="1"/>
    </row>
    <row r="3104" spans="23:23" ht="26.4">
      <c r="W3104" s="64" ph="1"/>
    </row>
    <row r="3105" spans="23:23" ht="26.4">
      <c r="W3105" s="64" ph="1"/>
    </row>
    <row r="3106" spans="23:23" ht="26.4">
      <c r="W3106" s="64" ph="1"/>
    </row>
    <row r="3107" spans="23:23" ht="26.4">
      <c r="W3107" s="64" ph="1"/>
    </row>
    <row r="3108" spans="23:23" ht="26.4">
      <c r="W3108" s="64" ph="1"/>
    </row>
    <row r="3109" spans="23:23" ht="26.4">
      <c r="W3109" s="64" ph="1"/>
    </row>
    <row r="3110" spans="23:23" ht="26.4">
      <c r="W3110" s="64" ph="1"/>
    </row>
    <row r="3111" spans="23:23" ht="26.4">
      <c r="W3111" s="64" ph="1"/>
    </row>
    <row r="3112" spans="23:23" ht="26.4">
      <c r="W3112" s="64" ph="1"/>
    </row>
    <row r="3113" spans="23:23" ht="26.4">
      <c r="W3113" s="64" ph="1"/>
    </row>
    <row r="3114" spans="23:23" ht="26.4">
      <c r="W3114" s="64" ph="1"/>
    </row>
    <row r="3115" spans="23:23" ht="26.4">
      <c r="W3115" s="64" ph="1"/>
    </row>
    <row r="3116" spans="23:23" ht="26.4">
      <c r="W3116" s="64" ph="1"/>
    </row>
    <row r="3117" spans="23:23" ht="26.4">
      <c r="W3117" s="64" ph="1"/>
    </row>
    <row r="3118" spans="23:23" ht="26.4">
      <c r="W3118" s="64" ph="1"/>
    </row>
    <row r="3119" spans="23:23" ht="26.4">
      <c r="W3119" s="64" ph="1"/>
    </row>
    <row r="3120" spans="23:23" ht="26.4">
      <c r="W3120" s="64" ph="1"/>
    </row>
    <row r="3121" spans="23:23" ht="26.4">
      <c r="W3121" s="64" ph="1"/>
    </row>
    <row r="3122" spans="23:23" ht="26.4">
      <c r="W3122" s="64" ph="1"/>
    </row>
    <row r="3123" spans="23:23" ht="26.4">
      <c r="W3123" s="64" ph="1"/>
    </row>
    <row r="3124" spans="23:23" ht="26.4">
      <c r="W3124" s="64" ph="1"/>
    </row>
    <row r="3125" spans="23:23" ht="26.4">
      <c r="W3125" s="64" ph="1"/>
    </row>
    <row r="3126" spans="23:23" ht="26.4">
      <c r="W3126" s="64" ph="1"/>
    </row>
    <row r="3127" spans="23:23" ht="26.4">
      <c r="W3127" s="64" ph="1"/>
    </row>
    <row r="3128" spans="23:23" ht="26.4">
      <c r="W3128" s="64" ph="1"/>
    </row>
    <row r="3129" spans="23:23" ht="26.4">
      <c r="W3129" s="64" ph="1"/>
    </row>
    <row r="3130" spans="23:23" ht="26.4">
      <c r="W3130" s="64" ph="1"/>
    </row>
    <row r="3131" spans="23:23" ht="26.4">
      <c r="W3131" s="64" ph="1"/>
    </row>
    <row r="3132" spans="23:23" ht="26.4">
      <c r="W3132" s="64" ph="1"/>
    </row>
    <row r="3133" spans="23:23" ht="26.4">
      <c r="W3133" s="64" ph="1"/>
    </row>
    <row r="3134" spans="23:23" ht="26.4">
      <c r="W3134" s="64" ph="1"/>
    </row>
    <row r="3135" spans="23:23" ht="26.4">
      <c r="W3135" s="64" ph="1"/>
    </row>
    <row r="3136" spans="23:23" ht="26.4">
      <c r="W3136" s="64" ph="1"/>
    </row>
    <row r="3137" spans="23:23" ht="26.4">
      <c r="W3137" s="64" ph="1"/>
    </row>
    <row r="3138" spans="23:23" ht="26.4">
      <c r="W3138" s="64" ph="1"/>
    </row>
    <row r="3139" spans="23:23" ht="26.4">
      <c r="W3139" s="64" ph="1"/>
    </row>
    <row r="3140" spans="23:23" ht="26.4">
      <c r="W3140" s="64" ph="1"/>
    </row>
    <row r="3141" spans="23:23" ht="26.4">
      <c r="W3141" s="64" ph="1"/>
    </row>
    <row r="3142" spans="23:23" ht="26.4">
      <c r="W3142" s="64" ph="1"/>
    </row>
    <row r="3143" spans="23:23" ht="26.4">
      <c r="W3143" s="64" ph="1"/>
    </row>
    <row r="3144" spans="23:23" ht="26.4">
      <c r="W3144" s="64" ph="1"/>
    </row>
    <row r="3145" spans="23:23" ht="26.4">
      <c r="W3145" s="64" ph="1"/>
    </row>
    <row r="3146" spans="23:23" ht="26.4">
      <c r="W3146" s="64" ph="1"/>
    </row>
    <row r="3147" spans="23:23" ht="26.4">
      <c r="W3147" s="64" ph="1"/>
    </row>
    <row r="3148" spans="23:23" ht="26.4">
      <c r="W3148" s="64" ph="1"/>
    </row>
    <row r="3149" spans="23:23" ht="26.4">
      <c r="W3149" s="64" ph="1"/>
    </row>
    <row r="3150" spans="23:23" ht="26.4">
      <c r="W3150" s="64" ph="1"/>
    </row>
    <row r="3151" spans="23:23" ht="26.4">
      <c r="W3151" s="64" ph="1"/>
    </row>
    <row r="3152" spans="23:23" ht="26.4">
      <c r="W3152" s="64" ph="1"/>
    </row>
    <row r="3153" spans="23:23" ht="26.4">
      <c r="W3153" s="64" ph="1"/>
    </row>
    <row r="3154" spans="23:23" ht="26.4">
      <c r="W3154" s="64" ph="1"/>
    </row>
    <row r="3155" spans="23:23" ht="26.4">
      <c r="W3155" s="64" ph="1"/>
    </row>
    <row r="3156" spans="23:23" ht="26.4">
      <c r="W3156" s="64" ph="1"/>
    </row>
    <row r="3157" spans="23:23" ht="26.4">
      <c r="W3157" s="64" ph="1"/>
    </row>
    <row r="3158" spans="23:23" ht="26.4">
      <c r="W3158" s="64" ph="1"/>
    </row>
    <row r="3159" spans="23:23" ht="26.4">
      <c r="W3159" s="64" ph="1"/>
    </row>
    <row r="3160" spans="23:23" ht="26.4">
      <c r="W3160" s="64" ph="1"/>
    </row>
    <row r="3161" spans="23:23" ht="26.4">
      <c r="W3161" s="64" ph="1"/>
    </row>
    <row r="3162" spans="23:23" ht="26.4">
      <c r="W3162" s="64" ph="1"/>
    </row>
    <row r="3163" spans="23:23" ht="26.4">
      <c r="W3163" s="64" ph="1"/>
    </row>
    <row r="3164" spans="23:23" ht="26.4">
      <c r="W3164" s="64" ph="1"/>
    </row>
    <row r="3165" spans="23:23" ht="26.4">
      <c r="W3165" s="64" ph="1"/>
    </row>
    <row r="3166" spans="23:23" ht="26.4">
      <c r="W3166" s="64" ph="1"/>
    </row>
    <row r="3167" spans="23:23" ht="26.4">
      <c r="W3167" s="64" ph="1"/>
    </row>
    <row r="3168" spans="23:23" ht="26.4">
      <c r="W3168" s="64" ph="1"/>
    </row>
    <row r="3169" spans="23:23" ht="26.4">
      <c r="W3169" s="64" ph="1"/>
    </row>
    <row r="3170" spans="23:23" ht="26.4">
      <c r="W3170" s="64" ph="1"/>
    </row>
    <row r="3171" spans="23:23" ht="26.4">
      <c r="W3171" s="64" ph="1"/>
    </row>
    <row r="3172" spans="23:23" ht="26.4">
      <c r="W3172" s="64" ph="1"/>
    </row>
    <row r="3173" spans="23:23" ht="26.4">
      <c r="W3173" s="64" ph="1"/>
    </row>
    <row r="3174" spans="23:23" ht="26.4">
      <c r="W3174" s="64" ph="1"/>
    </row>
    <row r="3175" spans="23:23" ht="26.4">
      <c r="W3175" s="64" ph="1"/>
    </row>
    <row r="3176" spans="23:23" ht="26.4">
      <c r="W3176" s="64" ph="1"/>
    </row>
    <row r="3177" spans="23:23" ht="26.4">
      <c r="W3177" s="64" ph="1"/>
    </row>
    <row r="3178" spans="23:23" ht="26.4">
      <c r="W3178" s="64" ph="1"/>
    </row>
    <row r="3179" spans="23:23" ht="26.4">
      <c r="W3179" s="64" ph="1"/>
    </row>
    <row r="3180" spans="23:23" ht="26.4">
      <c r="W3180" s="64" ph="1"/>
    </row>
    <row r="3181" spans="23:23" ht="26.4">
      <c r="W3181" s="64" ph="1"/>
    </row>
    <row r="3182" spans="23:23" ht="26.4">
      <c r="W3182" s="64" ph="1"/>
    </row>
    <row r="3183" spans="23:23" ht="26.4">
      <c r="W3183" s="64" ph="1"/>
    </row>
    <row r="3184" spans="23:23" ht="26.4">
      <c r="W3184" s="64" ph="1"/>
    </row>
    <row r="3185" spans="23:23" ht="26.4">
      <c r="W3185" s="64" ph="1"/>
    </row>
    <row r="3186" spans="23:23" ht="26.4">
      <c r="W3186" s="64" ph="1"/>
    </row>
    <row r="3187" spans="23:23" ht="26.4">
      <c r="W3187" s="64" ph="1"/>
    </row>
    <row r="3188" spans="23:23" ht="26.4">
      <c r="W3188" s="64" ph="1"/>
    </row>
    <row r="3189" spans="23:23" ht="26.4">
      <c r="W3189" s="64" ph="1"/>
    </row>
    <row r="3190" spans="23:23" ht="26.4">
      <c r="W3190" s="64" ph="1"/>
    </row>
    <row r="3191" spans="23:23" ht="26.4">
      <c r="W3191" s="64" ph="1"/>
    </row>
    <row r="3192" spans="23:23" ht="26.4">
      <c r="W3192" s="64" ph="1"/>
    </row>
    <row r="3193" spans="23:23" ht="26.4">
      <c r="W3193" s="64" ph="1"/>
    </row>
    <row r="3194" spans="23:23" ht="26.4">
      <c r="W3194" s="64" ph="1"/>
    </row>
    <row r="3195" spans="23:23" ht="26.4">
      <c r="W3195" s="64" ph="1"/>
    </row>
    <row r="3196" spans="23:23" ht="26.4">
      <c r="W3196" s="64" ph="1"/>
    </row>
    <row r="3197" spans="23:23" ht="26.4">
      <c r="W3197" s="64" ph="1"/>
    </row>
    <row r="3198" spans="23:23" ht="26.4">
      <c r="W3198" s="64" ph="1"/>
    </row>
    <row r="3199" spans="23:23" ht="26.4">
      <c r="W3199" s="64" ph="1"/>
    </row>
    <row r="3200" spans="23:23" ht="26.4">
      <c r="W3200" s="64" ph="1"/>
    </row>
    <row r="3201" spans="23:23" ht="26.4">
      <c r="W3201" s="64" ph="1"/>
    </row>
    <row r="3202" spans="23:23" ht="26.4">
      <c r="W3202" s="64" ph="1"/>
    </row>
    <row r="3203" spans="23:23" ht="26.4">
      <c r="W3203" s="64" ph="1"/>
    </row>
    <row r="3204" spans="23:23" ht="26.4">
      <c r="W3204" s="64" ph="1"/>
    </row>
    <row r="3205" spans="23:23" ht="26.4">
      <c r="W3205" s="64" ph="1"/>
    </row>
    <row r="3206" spans="23:23" ht="26.4">
      <c r="W3206" s="64" ph="1"/>
    </row>
    <row r="3207" spans="23:23" ht="26.4">
      <c r="W3207" s="64" ph="1"/>
    </row>
    <row r="3208" spans="23:23" ht="26.4">
      <c r="W3208" s="64" ph="1"/>
    </row>
    <row r="3209" spans="23:23" ht="26.4">
      <c r="W3209" s="64" ph="1"/>
    </row>
    <row r="3210" spans="23:23" ht="26.4">
      <c r="W3210" s="64" ph="1"/>
    </row>
    <row r="3211" spans="23:23" ht="26.4">
      <c r="W3211" s="64" ph="1"/>
    </row>
    <row r="3212" spans="23:23" ht="26.4">
      <c r="W3212" s="64" ph="1"/>
    </row>
    <row r="3213" spans="23:23" ht="26.4">
      <c r="W3213" s="64" ph="1"/>
    </row>
    <row r="3214" spans="23:23" ht="26.4">
      <c r="W3214" s="64" ph="1"/>
    </row>
    <row r="3215" spans="23:23" ht="26.4">
      <c r="W3215" s="64" ph="1"/>
    </row>
    <row r="3216" spans="23:23" ht="26.4">
      <c r="W3216" s="64" ph="1"/>
    </row>
    <row r="3217" spans="23:23" ht="26.4">
      <c r="W3217" s="64" ph="1"/>
    </row>
    <row r="3218" spans="23:23" ht="26.4">
      <c r="W3218" s="64" ph="1"/>
    </row>
    <row r="3219" spans="23:23" ht="26.4">
      <c r="W3219" s="64" ph="1"/>
    </row>
    <row r="3220" spans="23:23" ht="26.4">
      <c r="W3220" s="64" ph="1"/>
    </row>
    <row r="3221" spans="23:23" ht="26.4">
      <c r="W3221" s="64" ph="1"/>
    </row>
    <row r="3222" spans="23:23" ht="26.4">
      <c r="W3222" s="64" ph="1"/>
    </row>
    <row r="3223" spans="23:23" ht="26.4">
      <c r="W3223" s="64" ph="1"/>
    </row>
    <row r="3224" spans="23:23" ht="26.4">
      <c r="W3224" s="64" ph="1"/>
    </row>
    <row r="3225" spans="23:23" ht="26.4">
      <c r="W3225" s="64" ph="1"/>
    </row>
    <row r="3226" spans="23:23" ht="26.4">
      <c r="W3226" s="64" ph="1"/>
    </row>
    <row r="3227" spans="23:23" ht="26.4">
      <c r="W3227" s="64" ph="1"/>
    </row>
    <row r="3228" spans="23:23" ht="26.4">
      <c r="W3228" s="64" ph="1"/>
    </row>
    <row r="3229" spans="23:23" ht="26.4">
      <c r="W3229" s="64" ph="1"/>
    </row>
    <row r="3230" spans="23:23" ht="26.4">
      <c r="W3230" s="64" ph="1"/>
    </row>
    <row r="3231" spans="23:23" ht="26.4">
      <c r="W3231" s="64" ph="1"/>
    </row>
    <row r="3232" spans="23:23" ht="26.4">
      <c r="W3232" s="64" ph="1"/>
    </row>
    <row r="3233" spans="23:23" ht="26.4">
      <c r="W3233" s="64" ph="1"/>
    </row>
    <row r="3234" spans="23:23" ht="26.4">
      <c r="W3234" s="64" ph="1"/>
    </row>
    <row r="3235" spans="23:23" ht="26.4">
      <c r="W3235" s="64" ph="1"/>
    </row>
    <row r="3236" spans="23:23" ht="26.4">
      <c r="W3236" s="64" ph="1"/>
    </row>
    <row r="3237" spans="23:23" ht="26.4">
      <c r="W3237" s="64" ph="1"/>
    </row>
    <row r="3238" spans="23:23" ht="26.4">
      <c r="W3238" s="64" ph="1"/>
    </row>
    <row r="3239" spans="23:23" ht="26.4">
      <c r="W3239" s="64" ph="1"/>
    </row>
    <row r="3240" spans="23:23" ht="26.4">
      <c r="W3240" s="64" ph="1"/>
    </row>
    <row r="3241" spans="23:23" ht="26.4">
      <c r="W3241" s="64" ph="1"/>
    </row>
    <row r="3242" spans="23:23" ht="26.4">
      <c r="W3242" s="64" ph="1"/>
    </row>
    <row r="3243" spans="23:23" ht="26.4">
      <c r="W3243" s="64" ph="1"/>
    </row>
    <row r="3244" spans="23:23" ht="26.4">
      <c r="W3244" s="64" ph="1"/>
    </row>
    <row r="3245" spans="23:23" ht="26.4">
      <c r="W3245" s="64" ph="1"/>
    </row>
    <row r="3246" spans="23:23" ht="26.4">
      <c r="W3246" s="64" ph="1"/>
    </row>
    <row r="3247" spans="23:23" ht="26.4">
      <c r="W3247" s="64" ph="1"/>
    </row>
    <row r="3248" spans="23:23" ht="26.4">
      <c r="W3248" s="64" ph="1"/>
    </row>
    <row r="3249" spans="23:23" ht="26.4">
      <c r="W3249" s="64" ph="1"/>
    </row>
    <row r="3250" spans="23:23" ht="26.4">
      <c r="W3250" s="64" ph="1"/>
    </row>
    <row r="3251" spans="23:23" ht="26.4">
      <c r="W3251" s="64" ph="1"/>
    </row>
    <row r="3252" spans="23:23" ht="26.4">
      <c r="W3252" s="64" ph="1"/>
    </row>
    <row r="3253" spans="23:23" ht="26.4">
      <c r="W3253" s="64" ph="1"/>
    </row>
    <row r="3254" spans="23:23" ht="26.4">
      <c r="W3254" s="64" ph="1"/>
    </row>
    <row r="3255" spans="23:23" ht="26.4">
      <c r="W3255" s="64" ph="1"/>
    </row>
    <row r="3256" spans="23:23" ht="26.4">
      <c r="W3256" s="64" ph="1"/>
    </row>
    <row r="3257" spans="23:23" ht="26.4">
      <c r="W3257" s="64" ph="1"/>
    </row>
    <row r="3258" spans="23:23" ht="26.4">
      <c r="W3258" s="64" ph="1"/>
    </row>
    <row r="3259" spans="23:23" ht="26.4">
      <c r="W3259" s="64" ph="1"/>
    </row>
    <row r="3260" spans="23:23" ht="26.4">
      <c r="W3260" s="64" ph="1"/>
    </row>
    <row r="3261" spans="23:23" ht="26.4">
      <c r="W3261" s="64" ph="1"/>
    </row>
    <row r="3262" spans="23:23" ht="26.4">
      <c r="W3262" s="64" ph="1"/>
    </row>
    <row r="3263" spans="23:23" ht="26.4">
      <c r="W3263" s="64" ph="1"/>
    </row>
    <row r="3264" spans="23:23" ht="26.4">
      <c r="W3264" s="64" ph="1"/>
    </row>
    <row r="3265" spans="23:23" ht="26.4">
      <c r="W3265" s="64" ph="1"/>
    </row>
    <row r="3266" spans="23:23" ht="26.4">
      <c r="W3266" s="64" ph="1"/>
    </row>
    <row r="3267" spans="23:23" ht="26.4">
      <c r="W3267" s="64" ph="1"/>
    </row>
    <row r="3268" spans="23:23" ht="26.4">
      <c r="W3268" s="64" ph="1"/>
    </row>
    <row r="3269" spans="23:23" ht="26.4">
      <c r="W3269" s="64" ph="1"/>
    </row>
    <row r="3270" spans="23:23" ht="26.4">
      <c r="W3270" s="64" ph="1"/>
    </row>
    <row r="3271" spans="23:23" ht="26.4">
      <c r="W3271" s="64" ph="1"/>
    </row>
    <row r="3272" spans="23:23" ht="26.4">
      <c r="W3272" s="64" ph="1"/>
    </row>
    <row r="3273" spans="23:23" ht="26.4">
      <c r="W3273" s="64" ph="1"/>
    </row>
    <row r="3274" spans="23:23" ht="26.4">
      <c r="W3274" s="64" ph="1"/>
    </row>
    <row r="3275" spans="23:23" ht="26.4">
      <c r="W3275" s="64" ph="1"/>
    </row>
    <row r="3276" spans="23:23" ht="26.4">
      <c r="W3276" s="64" ph="1"/>
    </row>
    <row r="3277" spans="23:23" ht="26.4">
      <c r="W3277" s="64" ph="1"/>
    </row>
    <row r="3278" spans="23:23" ht="26.4">
      <c r="W3278" s="64" ph="1"/>
    </row>
    <row r="3279" spans="23:23" ht="26.4">
      <c r="W3279" s="64" ph="1"/>
    </row>
    <row r="3280" spans="23:23" ht="26.4">
      <c r="W3280" s="64" ph="1"/>
    </row>
    <row r="3281" spans="23:23" ht="26.4">
      <c r="W3281" s="64" ph="1"/>
    </row>
    <row r="3282" spans="23:23" ht="26.4">
      <c r="W3282" s="64" ph="1"/>
    </row>
    <row r="3283" spans="23:23" ht="26.4">
      <c r="W3283" s="64" ph="1"/>
    </row>
    <row r="3284" spans="23:23" ht="26.4">
      <c r="W3284" s="64" ph="1"/>
    </row>
    <row r="3285" spans="23:23" ht="26.4">
      <c r="W3285" s="64" ph="1"/>
    </row>
    <row r="3286" spans="23:23" ht="26.4">
      <c r="W3286" s="64" ph="1"/>
    </row>
    <row r="3287" spans="23:23" ht="26.4">
      <c r="W3287" s="64" ph="1"/>
    </row>
    <row r="3288" spans="23:23" ht="26.4">
      <c r="W3288" s="64" ph="1"/>
    </row>
    <row r="3289" spans="23:23" ht="26.4">
      <c r="W3289" s="64" ph="1"/>
    </row>
    <row r="3290" spans="23:23" ht="26.4">
      <c r="W3290" s="64" ph="1"/>
    </row>
    <row r="3291" spans="23:23" ht="26.4">
      <c r="W3291" s="64" ph="1"/>
    </row>
    <row r="3292" spans="23:23" ht="26.4">
      <c r="W3292" s="64" ph="1"/>
    </row>
    <row r="3293" spans="23:23" ht="26.4">
      <c r="W3293" s="64" ph="1"/>
    </row>
    <row r="3294" spans="23:23" ht="26.4">
      <c r="W3294" s="64" ph="1"/>
    </row>
    <row r="3295" spans="23:23" ht="26.4">
      <c r="W3295" s="64" ph="1"/>
    </row>
    <row r="3296" spans="23:23" ht="26.4">
      <c r="W3296" s="64" ph="1"/>
    </row>
    <row r="3297" spans="23:23" ht="26.4">
      <c r="W3297" s="64" ph="1"/>
    </row>
    <row r="3298" spans="23:23" ht="26.4">
      <c r="W3298" s="64" ph="1"/>
    </row>
    <row r="3299" spans="23:23" ht="26.4">
      <c r="W3299" s="64" ph="1"/>
    </row>
    <row r="3300" spans="23:23" ht="26.4">
      <c r="W3300" s="64" ph="1"/>
    </row>
    <row r="3301" spans="23:23" ht="26.4">
      <c r="W3301" s="64" ph="1"/>
    </row>
    <row r="3302" spans="23:23" ht="26.4">
      <c r="W3302" s="64" ph="1"/>
    </row>
    <row r="3303" spans="23:23" ht="26.4">
      <c r="W3303" s="64" ph="1"/>
    </row>
    <row r="3304" spans="23:23" ht="26.4">
      <c r="W3304" s="64" ph="1"/>
    </row>
    <row r="3305" spans="23:23" ht="26.4">
      <c r="W3305" s="64" ph="1"/>
    </row>
    <row r="3306" spans="23:23" ht="26.4">
      <c r="W3306" s="64" ph="1"/>
    </row>
    <row r="3307" spans="23:23" ht="26.4">
      <c r="W3307" s="64" ph="1"/>
    </row>
    <row r="3308" spans="23:23" ht="26.4">
      <c r="W3308" s="64" ph="1"/>
    </row>
    <row r="3309" spans="23:23" ht="26.4">
      <c r="W3309" s="64" ph="1"/>
    </row>
    <row r="3310" spans="23:23" ht="26.4">
      <c r="W3310" s="64" ph="1"/>
    </row>
    <row r="3311" spans="23:23" ht="26.4">
      <c r="W3311" s="64" ph="1"/>
    </row>
    <row r="3312" spans="23:23" ht="26.4">
      <c r="W3312" s="64" ph="1"/>
    </row>
    <row r="3313" spans="23:23" ht="26.4">
      <c r="W3313" s="64" ph="1"/>
    </row>
    <row r="3314" spans="23:23" ht="26.4">
      <c r="W3314" s="64" ph="1"/>
    </row>
    <row r="3315" spans="23:23" ht="26.4">
      <c r="W3315" s="64" ph="1"/>
    </row>
    <row r="3316" spans="23:23" ht="26.4">
      <c r="W3316" s="64" ph="1"/>
    </row>
    <row r="3317" spans="23:23" ht="26.4">
      <c r="W3317" s="64" ph="1"/>
    </row>
    <row r="3318" spans="23:23" ht="26.4">
      <c r="W3318" s="64" ph="1"/>
    </row>
    <row r="3319" spans="23:23" ht="26.4">
      <c r="W3319" s="64" ph="1"/>
    </row>
    <row r="3320" spans="23:23" ht="26.4">
      <c r="W3320" s="64" ph="1"/>
    </row>
    <row r="3321" spans="23:23" ht="26.4">
      <c r="W3321" s="64" ph="1"/>
    </row>
    <row r="3322" spans="23:23" ht="26.4">
      <c r="W3322" s="64" ph="1"/>
    </row>
    <row r="3323" spans="23:23" ht="26.4">
      <c r="W3323" s="64" ph="1"/>
    </row>
    <row r="3324" spans="23:23" ht="26.4">
      <c r="W3324" s="64" ph="1"/>
    </row>
    <row r="3325" spans="23:23" ht="26.4">
      <c r="W3325" s="64" ph="1"/>
    </row>
    <row r="3326" spans="23:23" ht="26.4">
      <c r="W3326" s="64" ph="1"/>
    </row>
    <row r="3327" spans="23:23" ht="26.4">
      <c r="W3327" s="64" ph="1"/>
    </row>
    <row r="3328" spans="23:23" ht="26.4">
      <c r="W3328" s="64" ph="1"/>
    </row>
    <row r="3329" spans="23:23" ht="26.4">
      <c r="W3329" s="64" ph="1"/>
    </row>
    <row r="3330" spans="23:23" ht="26.4">
      <c r="W3330" s="64" ph="1"/>
    </row>
    <row r="3331" spans="23:23" ht="26.4">
      <c r="W3331" s="64" ph="1"/>
    </row>
    <row r="3332" spans="23:23" ht="26.4">
      <c r="W3332" s="64" ph="1"/>
    </row>
    <row r="3333" spans="23:23" ht="26.4">
      <c r="W3333" s="64" ph="1"/>
    </row>
    <row r="3334" spans="23:23" ht="26.4">
      <c r="W3334" s="64" ph="1"/>
    </row>
    <row r="3335" spans="23:23" ht="26.4">
      <c r="W3335" s="64" ph="1"/>
    </row>
    <row r="3336" spans="23:23" ht="26.4">
      <c r="W3336" s="64" ph="1"/>
    </row>
    <row r="3337" spans="23:23" ht="26.4">
      <c r="W3337" s="64" ph="1"/>
    </row>
    <row r="3338" spans="23:23" ht="26.4">
      <c r="W3338" s="64" ph="1"/>
    </row>
    <row r="3339" spans="23:23" ht="26.4">
      <c r="W3339" s="64" ph="1"/>
    </row>
    <row r="3340" spans="23:23" ht="26.4">
      <c r="W3340" s="64" ph="1"/>
    </row>
    <row r="3341" spans="23:23" ht="26.4">
      <c r="W3341" s="64" ph="1"/>
    </row>
    <row r="3342" spans="23:23" ht="26.4">
      <c r="W3342" s="64" ph="1"/>
    </row>
    <row r="3343" spans="23:23" ht="26.4">
      <c r="W3343" s="64" ph="1"/>
    </row>
    <row r="3344" spans="23:23" ht="26.4">
      <c r="W3344" s="64" ph="1"/>
    </row>
    <row r="3345" spans="23:23" ht="26.4">
      <c r="W3345" s="64" ph="1"/>
    </row>
    <row r="3346" spans="23:23" ht="26.4">
      <c r="W3346" s="64" ph="1"/>
    </row>
    <row r="3347" spans="23:23" ht="26.4">
      <c r="W3347" s="64" ph="1"/>
    </row>
    <row r="3348" spans="23:23" ht="26.4">
      <c r="W3348" s="64" ph="1"/>
    </row>
    <row r="3349" spans="23:23" ht="26.4">
      <c r="W3349" s="64" ph="1"/>
    </row>
    <row r="3350" spans="23:23" ht="26.4">
      <c r="W3350" s="64" ph="1"/>
    </row>
    <row r="3351" spans="23:23" ht="26.4">
      <c r="W3351" s="64" ph="1"/>
    </row>
    <row r="3352" spans="23:23" ht="26.4">
      <c r="W3352" s="64" ph="1"/>
    </row>
    <row r="3353" spans="23:23" ht="26.4">
      <c r="W3353" s="64" ph="1"/>
    </row>
    <row r="3354" spans="23:23" ht="26.4">
      <c r="W3354" s="64" ph="1"/>
    </row>
    <row r="3355" spans="23:23" ht="26.4">
      <c r="W3355" s="64" ph="1"/>
    </row>
    <row r="3356" spans="23:23" ht="26.4">
      <c r="W3356" s="64" ph="1"/>
    </row>
    <row r="3357" spans="23:23" ht="26.4">
      <c r="W3357" s="64" ph="1"/>
    </row>
    <row r="3358" spans="23:23" ht="26.4">
      <c r="W3358" s="64" ph="1"/>
    </row>
    <row r="3359" spans="23:23" ht="26.4">
      <c r="W3359" s="64" ph="1"/>
    </row>
    <row r="3360" spans="23:23" ht="26.4">
      <c r="W3360" s="64" ph="1"/>
    </row>
    <row r="3361" spans="23:23" ht="26.4">
      <c r="W3361" s="64" ph="1"/>
    </row>
    <row r="3362" spans="23:23" ht="26.4">
      <c r="W3362" s="64" ph="1"/>
    </row>
    <row r="3363" spans="23:23" ht="26.4">
      <c r="W3363" s="64" ph="1"/>
    </row>
    <row r="3364" spans="23:23" ht="26.4">
      <c r="W3364" s="64" ph="1"/>
    </row>
    <row r="3365" spans="23:23" ht="26.4">
      <c r="W3365" s="64" ph="1"/>
    </row>
    <row r="3366" spans="23:23" ht="26.4">
      <c r="W3366" s="64" ph="1"/>
    </row>
    <row r="3367" spans="23:23" ht="26.4">
      <c r="W3367" s="64" ph="1"/>
    </row>
    <row r="3368" spans="23:23" ht="26.4">
      <c r="W3368" s="64" ph="1"/>
    </row>
    <row r="3369" spans="23:23" ht="26.4">
      <c r="W3369" s="64" ph="1"/>
    </row>
    <row r="3370" spans="23:23" ht="26.4">
      <c r="W3370" s="64" ph="1"/>
    </row>
    <row r="3371" spans="23:23" ht="26.4">
      <c r="W3371" s="64" ph="1"/>
    </row>
    <row r="3372" spans="23:23" ht="26.4">
      <c r="W3372" s="64" ph="1"/>
    </row>
    <row r="3373" spans="23:23" ht="26.4">
      <c r="W3373" s="64" ph="1"/>
    </row>
    <row r="3374" spans="23:23" ht="26.4">
      <c r="W3374" s="64" ph="1"/>
    </row>
    <row r="3375" spans="23:23" ht="26.4">
      <c r="W3375" s="64" ph="1"/>
    </row>
    <row r="3376" spans="23:23" ht="26.4">
      <c r="W3376" s="64" ph="1"/>
    </row>
    <row r="3377" spans="23:23" ht="26.4">
      <c r="W3377" s="64" ph="1"/>
    </row>
    <row r="3378" spans="23:23" ht="26.4">
      <c r="W3378" s="64" ph="1"/>
    </row>
    <row r="3379" spans="23:23" ht="26.4">
      <c r="W3379" s="64" ph="1"/>
    </row>
    <row r="3380" spans="23:23" ht="26.4">
      <c r="W3380" s="64" ph="1"/>
    </row>
    <row r="3381" spans="23:23" ht="26.4">
      <c r="W3381" s="64" ph="1"/>
    </row>
    <row r="3382" spans="23:23" ht="26.4">
      <c r="W3382" s="64" ph="1"/>
    </row>
    <row r="3383" spans="23:23" ht="26.4">
      <c r="W3383" s="64" ph="1"/>
    </row>
    <row r="3384" spans="23:23" ht="26.4">
      <c r="W3384" s="64" ph="1"/>
    </row>
    <row r="3385" spans="23:23" ht="26.4">
      <c r="W3385" s="64" ph="1"/>
    </row>
    <row r="3386" spans="23:23" ht="26.4">
      <c r="W3386" s="64" ph="1"/>
    </row>
    <row r="3387" spans="23:23" ht="26.4">
      <c r="W3387" s="64" ph="1"/>
    </row>
    <row r="3388" spans="23:23" ht="26.4">
      <c r="W3388" s="64" ph="1"/>
    </row>
    <row r="3389" spans="23:23" ht="26.4">
      <c r="W3389" s="64" ph="1"/>
    </row>
    <row r="3390" spans="23:23" ht="26.4">
      <c r="W3390" s="64" ph="1"/>
    </row>
    <row r="3391" spans="23:23" ht="26.4">
      <c r="W3391" s="64" ph="1"/>
    </row>
    <row r="3392" spans="23:23" ht="26.4">
      <c r="W3392" s="64" ph="1"/>
    </row>
    <row r="3393" spans="23:23" ht="26.4">
      <c r="W3393" s="64" ph="1"/>
    </row>
    <row r="3394" spans="23:23" ht="26.4">
      <c r="W3394" s="64" ph="1"/>
    </row>
    <row r="3395" spans="23:23" ht="26.4">
      <c r="W3395" s="64" ph="1"/>
    </row>
    <row r="3396" spans="23:23" ht="26.4">
      <c r="W3396" s="64" ph="1"/>
    </row>
    <row r="3397" spans="23:23" ht="26.4">
      <c r="W3397" s="64" ph="1"/>
    </row>
    <row r="3398" spans="23:23" ht="26.4">
      <c r="W3398" s="64" ph="1"/>
    </row>
    <row r="3399" spans="23:23" ht="26.4">
      <c r="W3399" s="64" ph="1"/>
    </row>
    <row r="3400" spans="23:23" ht="26.4">
      <c r="W3400" s="64" ph="1"/>
    </row>
    <row r="3401" spans="23:23" ht="26.4">
      <c r="W3401" s="64" ph="1"/>
    </row>
    <row r="3402" spans="23:23" ht="26.4">
      <c r="W3402" s="64" ph="1"/>
    </row>
    <row r="3403" spans="23:23" ht="26.4">
      <c r="W3403" s="64" ph="1"/>
    </row>
    <row r="3404" spans="23:23" ht="26.4">
      <c r="W3404" s="64" ph="1"/>
    </row>
    <row r="3405" spans="23:23" ht="26.4">
      <c r="W3405" s="64" ph="1"/>
    </row>
    <row r="3406" spans="23:23" ht="26.4">
      <c r="W3406" s="64" ph="1"/>
    </row>
    <row r="3407" spans="23:23" ht="26.4">
      <c r="W3407" s="64" ph="1"/>
    </row>
    <row r="3408" spans="23:23" ht="26.4">
      <c r="W3408" s="64" ph="1"/>
    </row>
    <row r="3409" spans="23:23" ht="26.4">
      <c r="W3409" s="64" ph="1"/>
    </row>
    <row r="3410" spans="23:23" ht="26.4">
      <c r="W3410" s="64" ph="1"/>
    </row>
    <row r="3411" spans="23:23" ht="26.4">
      <c r="W3411" s="64" ph="1"/>
    </row>
    <row r="3412" spans="23:23" ht="26.4">
      <c r="W3412" s="64" ph="1"/>
    </row>
    <row r="3413" spans="23:23" ht="26.4">
      <c r="W3413" s="64" ph="1"/>
    </row>
    <row r="3414" spans="23:23" ht="26.4">
      <c r="W3414" s="64" ph="1"/>
    </row>
    <row r="3415" spans="23:23" ht="26.4">
      <c r="W3415" s="64" ph="1"/>
    </row>
    <row r="3416" spans="23:23" ht="26.4">
      <c r="W3416" s="64" ph="1"/>
    </row>
    <row r="3417" spans="23:23" ht="26.4">
      <c r="W3417" s="64" ph="1"/>
    </row>
    <row r="3418" spans="23:23" ht="26.4">
      <c r="W3418" s="64" ph="1"/>
    </row>
    <row r="3419" spans="23:23" ht="26.4">
      <c r="W3419" s="64" ph="1"/>
    </row>
    <row r="3420" spans="23:23" ht="26.4">
      <c r="W3420" s="64" ph="1"/>
    </row>
    <row r="3421" spans="23:23" ht="26.4">
      <c r="W3421" s="64" ph="1"/>
    </row>
    <row r="3422" spans="23:23" ht="26.4">
      <c r="W3422" s="64" ph="1"/>
    </row>
    <row r="3423" spans="23:23" ht="26.4">
      <c r="W3423" s="64" ph="1"/>
    </row>
    <row r="3424" spans="23:23" ht="26.4">
      <c r="W3424" s="64" ph="1"/>
    </row>
    <row r="3425" spans="23:23" ht="26.4">
      <c r="W3425" s="64" ph="1"/>
    </row>
    <row r="3426" spans="23:23" ht="26.4">
      <c r="W3426" s="64" ph="1"/>
    </row>
    <row r="3427" spans="23:23" ht="26.4">
      <c r="W3427" s="64" ph="1"/>
    </row>
    <row r="3428" spans="23:23" ht="26.4">
      <c r="W3428" s="64" ph="1"/>
    </row>
    <row r="3429" spans="23:23" ht="26.4">
      <c r="W3429" s="64" ph="1"/>
    </row>
    <row r="3430" spans="23:23" ht="26.4">
      <c r="W3430" s="64" ph="1"/>
    </row>
    <row r="3431" spans="23:23" ht="26.4">
      <c r="W3431" s="64" ph="1"/>
    </row>
    <row r="3432" spans="23:23" ht="26.4">
      <c r="W3432" s="64" ph="1"/>
    </row>
    <row r="3433" spans="23:23" ht="26.4">
      <c r="W3433" s="64" ph="1"/>
    </row>
    <row r="3434" spans="23:23" ht="26.4">
      <c r="W3434" s="64" ph="1"/>
    </row>
    <row r="3435" spans="23:23" ht="26.4">
      <c r="W3435" s="64" ph="1"/>
    </row>
    <row r="3436" spans="23:23" ht="26.4">
      <c r="W3436" s="64" ph="1"/>
    </row>
    <row r="3437" spans="23:23" ht="26.4">
      <c r="W3437" s="64" ph="1"/>
    </row>
    <row r="3438" spans="23:23" ht="26.4">
      <c r="W3438" s="64" ph="1"/>
    </row>
    <row r="3439" spans="23:23" ht="26.4">
      <c r="W3439" s="64" ph="1"/>
    </row>
    <row r="3440" spans="23:23" ht="26.4">
      <c r="W3440" s="64" ph="1"/>
    </row>
    <row r="3441" spans="23:23" ht="26.4">
      <c r="W3441" s="64" ph="1"/>
    </row>
    <row r="3442" spans="23:23" ht="26.4">
      <c r="W3442" s="64" ph="1"/>
    </row>
    <row r="3443" spans="23:23" ht="26.4">
      <c r="W3443" s="64" ph="1"/>
    </row>
    <row r="3444" spans="23:23" ht="26.4">
      <c r="W3444" s="64" ph="1"/>
    </row>
    <row r="3445" spans="23:23" ht="26.4">
      <c r="W3445" s="64" ph="1"/>
    </row>
    <row r="3446" spans="23:23" ht="26.4">
      <c r="W3446" s="64" ph="1"/>
    </row>
    <row r="3447" spans="23:23" ht="26.4">
      <c r="W3447" s="64" ph="1"/>
    </row>
    <row r="3448" spans="23:23" ht="26.4">
      <c r="W3448" s="64" ph="1"/>
    </row>
    <row r="3449" spans="23:23" ht="26.4">
      <c r="W3449" s="64" ph="1"/>
    </row>
    <row r="3450" spans="23:23" ht="26.4">
      <c r="W3450" s="64" ph="1"/>
    </row>
    <row r="3451" spans="23:23" ht="26.4">
      <c r="W3451" s="64" ph="1"/>
    </row>
    <row r="3452" spans="23:23" ht="26.4">
      <c r="W3452" s="64" ph="1"/>
    </row>
    <row r="3453" spans="23:23" ht="26.4">
      <c r="W3453" s="64" ph="1"/>
    </row>
    <row r="3454" spans="23:23" ht="26.4">
      <c r="W3454" s="64" ph="1"/>
    </row>
    <row r="3455" spans="23:23" ht="26.4">
      <c r="W3455" s="64" ph="1"/>
    </row>
    <row r="3456" spans="23:23" ht="26.4">
      <c r="W3456" s="64" ph="1"/>
    </row>
    <row r="3457" spans="23:23" ht="26.4">
      <c r="W3457" s="64" ph="1"/>
    </row>
    <row r="3458" spans="23:23" ht="26.4">
      <c r="W3458" s="64" ph="1"/>
    </row>
    <row r="3459" spans="23:23" ht="26.4">
      <c r="W3459" s="64" ph="1"/>
    </row>
    <row r="3460" spans="23:23" ht="26.4">
      <c r="W3460" s="64" ph="1"/>
    </row>
    <row r="3461" spans="23:23" ht="26.4">
      <c r="W3461" s="64" ph="1"/>
    </row>
    <row r="3462" spans="23:23" ht="26.4">
      <c r="W3462" s="64" ph="1"/>
    </row>
    <row r="3463" spans="23:23" ht="26.4">
      <c r="W3463" s="64" ph="1"/>
    </row>
    <row r="3464" spans="23:23" ht="26.4">
      <c r="W3464" s="64" ph="1"/>
    </row>
    <row r="3465" spans="23:23" ht="26.4">
      <c r="W3465" s="64" ph="1"/>
    </row>
    <row r="3466" spans="23:23" ht="26.4">
      <c r="W3466" s="64" ph="1"/>
    </row>
    <row r="3467" spans="23:23" ht="26.4">
      <c r="W3467" s="64" ph="1"/>
    </row>
    <row r="3468" spans="23:23" ht="26.4">
      <c r="W3468" s="64" ph="1"/>
    </row>
    <row r="3469" spans="23:23" ht="26.4">
      <c r="W3469" s="64" ph="1"/>
    </row>
    <row r="3470" spans="23:23" ht="26.4">
      <c r="W3470" s="64" ph="1"/>
    </row>
    <row r="3471" spans="23:23" ht="26.4">
      <c r="W3471" s="64" ph="1"/>
    </row>
    <row r="3472" spans="23:23" ht="26.4">
      <c r="W3472" s="64" ph="1"/>
    </row>
    <row r="3473" spans="23:23" ht="26.4">
      <c r="W3473" s="64" ph="1"/>
    </row>
    <row r="3474" spans="23:23" ht="26.4">
      <c r="W3474" s="64" ph="1"/>
    </row>
    <row r="3475" spans="23:23" ht="26.4">
      <c r="W3475" s="64" ph="1"/>
    </row>
    <row r="3476" spans="23:23" ht="26.4">
      <c r="W3476" s="64" ph="1"/>
    </row>
    <row r="3477" spans="23:23" ht="26.4">
      <c r="W3477" s="64" ph="1"/>
    </row>
    <row r="3478" spans="23:23" ht="26.4">
      <c r="W3478" s="64" ph="1"/>
    </row>
    <row r="3479" spans="23:23" ht="26.4">
      <c r="W3479" s="64" ph="1"/>
    </row>
    <row r="3480" spans="23:23" ht="26.4">
      <c r="W3480" s="64" ph="1"/>
    </row>
    <row r="3481" spans="23:23" ht="26.4">
      <c r="W3481" s="64" ph="1"/>
    </row>
    <row r="3482" spans="23:23" ht="26.4">
      <c r="W3482" s="64" ph="1"/>
    </row>
    <row r="3483" spans="23:23" ht="26.4">
      <c r="W3483" s="64" ph="1"/>
    </row>
    <row r="3484" spans="23:23" ht="26.4">
      <c r="W3484" s="64" ph="1"/>
    </row>
    <row r="3485" spans="23:23" ht="26.4">
      <c r="W3485" s="64" ph="1"/>
    </row>
    <row r="3486" spans="23:23" ht="26.4">
      <c r="W3486" s="64" ph="1"/>
    </row>
    <row r="3487" spans="23:23" ht="26.4">
      <c r="W3487" s="64" ph="1"/>
    </row>
    <row r="3488" spans="23:23" ht="26.4">
      <c r="W3488" s="64" ph="1"/>
    </row>
    <row r="3489" spans="23:23" ht="26.4">
      <c r="W3489" s="64" ph="1"/>
    </row>
    <row r="3490" spans="23:23" ht="26.4">
      <c r="W3490" s="64" ph="1"/>
    </row>
    <row r="3491" spans="23:23" ht="26.4">
      <c r="W3491" s="64" ph="1"/>
    </row>
    <row r="3492" spans="23:23" ht="26.4">
      <c r="W3492" s="64" ph="1"/>
    </row>
    <row r="3493" spans="23:23" ht="26.4">
      <c r="W3493" s="64" ph="1"/>
    </row>
    <row r="3494" spans="23:23" ht="26.4">
      <c r="W3494" s="64" ph="1"/>
    </row>
    <row r="3495" spans="23:23" ht="26.4">
      <c r="W3495" s="64" ph="1"/>
    </row>
    <row r="3496" spans="23:23" ht="26.4">
      <c r="W3496" s="64" ph="1"/>
    </row>
    <row r="3497" spans="23:23" ht="26.4">
      <c r="W3497" s="64" ph="1"/>
    </row>
    <row r="3498" spans="23:23" ht="26.4">
      <c r="W3498" s="64" ph="1"/>
    </row>
    <row r="3499" spans="23:23" ht="26.4">
      <c r="W3499" s="64" ph="1"/>
    </row>
    <row r="3500" spans="23:23" ht="26.4">
      <c r="W3500" s="64" ph="1"/>
    </row>
    <row r="3501" spans="23:23" ht="26.4">
      <c r="W3501" s="64" ph="1"/>
    </row>
    <row r="3502" spans="23:23" ht="26.4">
      <c r="W3502" s="64" ph="1"/>
    </row>
    <row r="3503" spans="23:23" ht="26.4">
      <c r="W3503" s="64" ph="1"/>
    </row>
    <row r="3504" spans="23:23" ht="26.4">
      <c r="W3504" s="64" ph="1"/>
    </row>
    <row r="3505" spans="23:23" ht="26.4">
      <c r="W3505" s="64" ph="1"/>
    </row>
    <row r="3506" spans="23:23" ht="26.4">
      <c r="W3506" s="64" ph="1"/>
    </row>
    <row r="3507" spans="23:23" ht="26.4">
      <c r="W3507" s="64" ph="1"/>
    </row>
    <row r="3508" spans="23:23" ht="26.4">
      <c r="W3508" s="64" ph="1"/>
    </row>
    <row r="3509" spans="23:23" ht="26.4">
      <c r="W3509" s="64" ph="1"/>
    </row>
    <row r="3510" spans="23:23" ht="26.4">
      <c r="W3510" s="64" ph="1"/>
    </row>
    <row r="3511" spans="23:23" ht="26.4">
      <c r="W3511" s="64" ph="1"/>
    </row>
    <row r="3512" spans="23:23" ht="26.4">
      <c r="W3512" s="64" ph="1"/>
    </row>
    <row r="3513" spans="23:23" ht="26.4">
      <c r="W3513" s="64" ph="1"/>
    </row>
    <row r="3514" spans="23:23" ht="26.4">
      <c r="W3514" s="64" ph="1"/>
    </row>
    <row r="3515" spans="23:23" ht="26.4">
      <c r="W3515" s="64" ph="1"/>
    </row>
    <row r="3516" spans="23:23" ht="26.4">
      <c r="W3516" s="64" ph="1"/>
    </row>
    <row r="3517" spans="23:23" ht="26.4">
      <c r="W3517" s="64" ph="1"/>
    </row>
    <row r="3518" spans="23:23" ht="26.4">
      <c r="W3518" s="64" ph="1"/>
    </row>
    <row r="3519" spans="23:23" ht="26.4">
      <c r="W3519" s="64" ph="1"/>
    </row>
    <row r="3520" spans="23:23" ht="26.4">
      <c r="W3520" s="64" ph="1"/>
    </row>
    <row r="3521" spans="23:23" ht="26.4">
      <c r="W3521" s="64" ph="1"/>
    </row>
    <row r="3522" spans="23:23" ht="26.4">
      <c r="W3522" s="64" ph="1"/>
    </row>
    <row r="3523" spans="23:23" ht="26.4">
      <c r="W3523" s="64" ph="1"/>
    </row>
    <row r="3524" spans="23:23" ht="26.4">
      <c r="W3524" s="64" ph="1"/>
    </row>
    <row r="3525" spans="23:23" ht="26.4">
      <c r="W3525" s="64" ph="1"/>
    </row>
    <row r="3526" spans="23:23" ht="26.4">
      <c r="W3526" s="64" ph="1"/>
    </row>
    <row r="3527" spans="23:23" ht="26.4">
      <c r="W3527" s="64" ph="1"/>
    </row>
    <row r="3528" spans="23:23" ht="26.4">
      <c r="W3528" s="64" ph="1"/>
    </row>
    <row r="3529" spans="23:23" ht="26.4">
      <c r="W3529" s="64" ph="1"/>
    </row>
    <row r="3530" spans="23:23" ht="26.4">
      <c r="W3530" s="64" ph="1"/>
    </row>
    <row r="3531" spans="23:23" ht="26.4">
      <c r="W3531" s="64" ph="1"/>
    </row>
    <row r="3532" spans="23:23" ht="26.4">
      <c r="W3532" s="64" ph="1"/>
    </row>
    <row r="3533" spans="23:23" ht="26.4">
      <c r="W3533" s="64" ph="1"/>
    </row>
    <row r="3534" spans="23:23" ht="26.4">
      <c r="W3534" s="64" ph="1"/>
    </row>
    <row r="3535" spans="23:23" ht="26.4">
      <c r="W3535" s="64" ph="1"/>
    </row>
    <row r="3536" spans="23:23" ht="26.4">
      <c r="W3536" s="64" ph="1"/>
    </row>
    <row r="3537" spans="23:23" ht="26.4">
      <c r="W3537" s="64" ph="1"/>
    </row>
    <row r="3538" spans="23:23" ht="26.4">
      <c r="W3538" s="64" ph="1"/>
    </row>
    <row r="3539" spans="23:23" ht="26.4">
      <c r="W3539" s="64" ph="1"/>
    </row>
    <row r="3540" spans="23:23" ht="26.4">
      <c r="W3540" s="64" ph="1"/>
    </row>
    <row r="3541" spans="23:23" ht="26.4">
      <c r="W3541" s="64" ph="1"/>
    </row>
    <row r="3542" spans="23:23" ht="26.4">
      <c r="W3542" s="64" ph="1"/>
    </row>
    <row r="3543" spans="23:23" ht="26.4">
      <c r="W3543" s="64" ph="1"/>
    </row>
    <row r="3544" spans="23:23" ht="26.4">
      <c r="W3544" s="64" ph="1"/>
    </row>
    <row r="3545" spans="23:23" ht="26.4">
      <c r="W3545" s="64" ph="1"/>
    </row>
    <row r="3546" spans="23:23" ht="26.4">
      <c r="W3546" s="64" ph="1"/>
    </row>
    <row r="3547" spans="23:23" ht="26.4">
      <c r="W3547" s="64" ph="1"/>
    </row>
    <row r="3548" spans="23:23" ht="26.4">
      <c r="W3548" s="64" ph="1"/>
    </row>
    <row r="3549" spans="23:23" ht="26.4">
      <c r="W3549" s="64" ph="1"/>
    </row>
    <row r="3550" spans="23:23" ht="26.4">
      <c r="W3550" s="64" ph="1"/>
    </row>
    <row r="3551" spans="23:23" ht="26.4">
      <c r="W3551" s="64" ph="1"/>
    </row>
    <row r="3552" spans="23:23" ht="26.4">
      <c r="W3552" s="64" ph="1"/>
    </row>
    <row r="3553" spans="23:23" ht="26.4">
      <c r="W3553" s="64" ph="1"/>
    </row>
    <row r="3554" spans="23:23" ht="26.4">
      <c r="W3554" s="64" ph="1"/>
    </row>
    <row r="3555" spans="23:23" ht="26.4">
      <c r="W3555" s="64" ph="1"/>
    </row>
    <row r="3556" spans="23:23" ht="26.4">
      <c r="W3556" s="64" ph="1"/>
    </row>
    <row r="3557" spans="23:23" ht="26.4">
      <c r="W3557" s="64" ph="1"/>
    </row>
    <row r="3558" spans="23:23" ht="26.4">
      <c r="W3558" s="64" ph="1"/>
    </row>
    <row r="3559" spans="23:23" ht="26.4">
      <c r="W3559" s="64" ph="1"/>
    </row>
    <row r="3560" spans="23:23" ht="26.4">
      <c r="W3560" s="64" ph="1"/>
    </row>
    <row r="3561" spans="23:23" ht="26.4">
      <c r="W3561" s="64" ph="1"/>
    </row>
    <row r="3562" spans="23:23" ht="26.4">
      <c r="W3562" s="64" ph="1"/>
    </row>
    <row r="3563" spans="23:23" ht="26.4">
      <c r="W3563" s="64" ph="1"/>
    </row>
    <row r="3564" spans="23:23" ht="26.4">
      <c r="W3564" s="64" ph="1"/>
    </row>
    <row r="3565" spans="23:23" ht="26.4">
      <c r="W3565" s="64" ph="1"/>
    </row>
    <row r="3566" spans="23:23" ht="26.4">
      <c r="W3566" s="64" ph="1"/>
    </row>
    <row r="3567" spans="23:23" ht="26.4">
      <c r="W3567" s="64" ph="1"/>
    </row>
    <row r="3568" spans="23:23" ht="26.4">
      <c r="W3568" s="64" ph="1"/>
    </row>
    <row r="3569" spans="23:23" ht="26.4">
      <c r="W3569" s="64" ph="1"/>
    </row>
    <row r="3570" spans="23:23" ht="26.4">
      <c r="W3570" s="64" ph="1"/>
    </row>
    <row r="3571" spans="23:23" ht="26.4">
      <c r="W3571" s="64" ph="1"/>
    </row>
    <row r="3572" spans="23:23" ht="26.4">
      <c r="W3572" s="64" ph="1"/>
    </row>
    <row r="3573" spans="23:23" ht="26.4">
      <c r="W3573" s="64" ph="1"/>
    </row>
    <row r="3574" spans="23:23" ht="26.4">
      <c r="W3574" s="64" ph="1"/>
    </row>
    <row r="3575" spans="23:23" ht="26.4">
      <c r="W3575" s="64" ph="1"/>
    </row>
    <row r="3576" spans="23:23" ht="26.4">
      <c r="W3576" s="64" ph="1"/>
    </row>
    <row r="3577" spans="23:23" ht="26.4">
      <c r="W3577" s="64" ph="1"/>
    </row>
    <row r="3578" spans="23:23" ht="26.4">
      <c r="W3578" s="64" ph="1"/>
    </row>
    <row r="3579" spans="23:23" ht="26.4">
      <c r="W3579" s="64" ph="1"/>
    </row>
    <row r="3580" spans="23:23" ht="26.4">
      <c r="W3580" s="64" ph="1"/>
    </row>
    <row r="3581" spans="23:23" ht="26.4">
      <c r="W3581" s="64" ph="1"/>
    </row>
    <row r="3582" spans="23:23" ht="26.4">
      <c r="W3582" s="64" ph="1"/>
    </row>
    <row r="3583" spans="23:23" ht="26.4">
      <c r="W3583" s="64" ph="1"/>
    </row>
    <row r="3584" spans="23:23" ht="26.4">
      <c r="W3584" s="64" ph="1"/>
    </row>
    <row r="3585" spans="23:23" ht="26.4">
      <c r="W3585" s="64" ph="1"/>
    </row>
    <row r="3586" spans="23:23" ht="26.4">
      <c r="W3586" s="64" ph="1"/>
    </row>
    <row r="3587" spans="23:23" ht="26.4">
      <c r="W3587" s="64" ph="1"/>
    </row>
    <row r="3588" spans="23:23" ht="26.4">
      <c r="W3588" s="64" ph="1"/>
    </row>
    <row r="3589" spans="23:23" ht="26.4">
      <c r="W3589" s="64" ph="1"/>
    </row>
    <row r="3590" spans="23:23" ht="26.4">
      <c r="W3590" s="64" ph="1"/>
    </row>
    <row r="3591" spans="23:23" ht="26.4">
      <c r="W3591" s="64" ph="1"/>
    </row>
    <row r="3592" spans="23:23" ht="26.4">
      <c r="W3592" s="64" ph="1"/>
    </row>
    <row r="3593" spans="23:23" ht="26.4">
      <c r="W3593" s="64" ph="1"/>
    </row>
    <row r="3594" spans="23:23" ht="26.4">
      <c r="W3594" s="64" ph="1"/>
    </row>
    <row r="3595" spans="23:23" ht="26.4">
      <c r="W3595" s="64" ph="1"/>
    </row>
    <row r="3596" spans="23:23" ht="26.4">
      <c r="W3596" s="64" ph="1"/>
    </row>
    <row r="3597" spans="23:23" ht="26.4">
      <c r="W3597" s="64" ph="1"/>
    </row>
    <row r="3598" spans="23:23" ht="26.4">
      <c r="W3598" s="64" ph="1"/>
    </row>
    <row r="3599" spans="23:23" ht="26.4">
      <c r="W3599" s="64" ph="1"/>
    </row>
    <row r="3600" spans="23:23" ht="26.4">
      <c r="W3600" s="64" ph="1"/>
    </row>
    <row r="3601" spans="23:23" ht="26.4">
      <c r="W3601" s="64" ph="1"/>
    </row>
    <row r="3602" spans="23:23" ht="26.4">
      <c r="W3602" s="64" ph="1"/>
    </row>
    <row r="3603" spans="23:23" ht="26.4">
      <c r="W3603" s="64" ph="1"/>
    </row>
    <row r="3604" spans="23:23" ht="26.4">
      <c r="W3604" s="64" ph="1"/>
    </row>
    <row r="3605" spans="23:23" ht="26.4">
      <c r="W3605" s="64" ph="1"/>
    </row>
    <row r="3606" spans="23:23" ht="26.4">
      <c r="W3606" s="64" ph="1"/>
    </row>
    <row r="3607" spans="23:23" ht="26.4">
      <c r="W3607" s="64" ph="1"/>
    </row>
    <row r="3608" spans="23:23" ht="26.4">
      <c r="W3608" s="64" ph="1"/>
    </row>
    <row r="3609" spans="23:23" ht="26.4">
      <c r="W3609" s="64" ph="1"/>
    </row>
    <row r="3610" spans="23:23" ht="26.4">
      <c r="W3610" s="64" ph="1"/>
    </row>
    <row r="3611" spans="23:23" ht="26.4">
      <c r="W3611" s="64" ph="1"/>
    </row>
    <row r="3612" spans="23:23" ht="26.4">
      <c r="W3612" s="64" ph="1"/>
    </row>
    <row r="3613" spans="23:23" ht="26.4">
      <c r="W3613" s="64" ph="1"/>
    </row>
    <row r="3614" spans="23:23" ht="26.4">
      <c r="W3614" s="64" ph="1"/>
    </row>
    <row r="3615" spans="23:23" ht="26.4">
      <c r="W3615" s="64" ph="1"/>
    </row>
    <row r="3616" spans="23:23" ht="26.4">
      <c r="W3616" s="64" ph="1"/>
    </row>
    <row r="3617" spans="23:23" ht="26.4">
      <c r="W3617" s="64" ph="1"/>
    </row>
    <row r="3618" spans="23:23" ht="26.4">
      <c r="W3618" s="64" ph="1"/>
    </row>
    <row r="3619" spans="23:23" ht="26.4">
      <c r="W3619" s="64" ph="1"/>
    </row>
    <row r="3620" spans="23:23" ht="26.4">
      <c r="W3620" s="64" ph="1"/>
    </row>
    <row r="3621" spans="23:23" ht="26.4">
      <c r="W3621" s="64" ph="1"/>
    </row>
    <row r="3622" spans="23:23" ht="26.4">
      <c r="W3622" s="64" ph="1"/>
    </row>
    <row r="3623" spans="23:23" ht="26.4">
      <c r="W3623" s="64" ph="1"/>
    </row>
    <row r="3624" spans="23:23" ht="26.4">
      <c r="W3624" s="64" ph="1"/>
    </row>
    <row r="3625" spans="23:23" ht="26.4">
      <c r="W3625" s="64" ph="1"/>
    </row>
    <row r="3626" spans="23:23" ht="26.4">
      <c r="W3626" s="64" ph="1"/>
    </row>
    <row r="3627" spans="23:23" ht="26.4">
      <c r="W3627" s="64" ph="1"/>
    </row>
    <row r="3628" spans="23:23" ht="26.4">
      <c r="W3628" s="64" ph="1"/>
    </row>
    <row r="3629" spans="23:23" ht="26.4">
      <c r="W3629" s="64" ph="1"/>
    </row>
    <row r="3630" spans="23:23" ht="26.4">
      <c r="W3630" s="64" ph="1"/>
    </row>
    <row r="3631" spans="23:23" ht="26.4">
      <c r="W3631" s="64" ph="1"/>
    </row>
    <row r="3632" spans="23:23" ht="26.4">
      <c r="W3632" s="64" ph="1"/>
    </row>
    <row r="3633" spans="23:23" ht="26.4">
      <c r="W3633" s="64" ph="1"/>
    </row>
    <row r="3634" spans="23:23" ht="26.4">
      <c r="W3634" s="64" ph="1"/>
    </row>
    <row r="3635" spans="23:23" ht="26.4">
      <c r="W3635" s="64" ph="1"/>
    </row>
    <row r="3636" spans="23:23" ht="26.4">
      <c r="W3636" s="64" ph="1"/>
    </row>
    <row r="3637" spans="23:23" ht="26.4">
      <c r="W3637" s="64" ph="1"/>
    </row>
    <row r="3638" spans="23:23" ht="26.4">
      <c r="W3638" s="64" ph="1"/>
    </row>
    <row r="3639" spans="23:23" ht="26.4">
      <c r="W3639" s="64" ph="1"/>
    </row>
    <row r="3640" spans="23:23" ht="26.4">
      <c r="W3640" s="64" ph="1"/>
    </row>
    <row r="3641" spans="23:23" ht="26.4">
      <c r="W3641" s="64" ph="1"/>
    </row>
    <row r="3642" spans="23:23" ht="26.4">
      <c r="W3642" s="64" ph="1"/>
    </row>
    <row r="3643" spans="23:23" ht="26.4">
      <c r="W3643" s="64" ph="1"/>
    </row>
    <row r="3644" spans="23:23" ht="26.4">
      <c r="W3644" s="64" ph="1"/>
    </row>
    <row r="3645" spans="23:23" ht="26.4">
      <c r="W3645" s="64" ph="1"/>
    </row>
    <row r="3646" spans="23:23" ht="26.4">
      <c r="W3646" s="64" ph="1"/>
    </row>
    <row r="3647" spans="23:23" ht="26.4">
      <c r="W3647" s="64" ph="1"/>
    </row>
    <row r="3648" spans="23:23" ht="26.4">
      <c r="W3648" s="64" ph="1"/>
    </row>
    <row r="3649" spans="23:23" ht="26.4">
      <c r="W3649" s="64" ph="1"/>
    </row>
    <row r="3650" spans="23:23" ht="26.4">
      <c r="W3650" s="64" ph="1"/>
    </row>
    <row r="3651" spans="23:23" ht="26.4">
      <c r="W3651" s="64" ph="1"/>
    </row>
    <row r="3652" spans="23:23" ht="26.4">
      <c r="W3652" s="64" ph="1"/>
    </row>
    <row r="3653" spans="23:23" ht="26.4">
      <c r="W3653" s="64" ph="1"/>
    </row>
    <row r="3654" spans="23:23" ht="26.4">
      <c r="W3654" s="64" ph="1"/>
    </row>
    <row r="3655" spans="23:23" ht="26.4">
      <c r="W3655" s="64" ph="1"/>
    </row>
    <row r="3656" spans="23:23" ht="26.4">
      <c r="W3656" s="64" ph="1"/>
    </row>
    <row r="3657" spans="23:23" ht="26.4">
      <c r="W3657" s="64" ph="1"/>
    </row>
    <row r="3658" spans="23:23" ht="26.4">
      <c r="W3658" s="64" ph="1"/>
    </row>
    <row r="3659" spans="23:23" ht="26.4">
      <c r="W3659" s="64" ph="1"/>
    </row>
    <row r="3660" spans="23:23" ht="26.4">
      <c r="W3660" s="64" ph="1"/>
    </row>
    <row r="3661" spans="23:23" ht="26.4">
      <c r="W3661" s="64" ph="1"/>
    </row>
    <row r="3662" spans="23:23" ht="26.4">
      <c r="W3662" s="64" ph="1"/>
    </row>
    <row r="3663" spans="23:23" ht="26.4">
      <c r="W3663" s="64" ph="1"/>
    </row>
    <row r="3664" spans="23:23" ht="26.4">
      <c r="W3664" s="64" ph="1"/>
    </row>
    <row r="3665" spans="23:23" ht="26.4">
      <c r="W3665" s="64" ph="1"/>
    </row>
    <row r="3666" spans="23:23" ht="26.4">
      <c r="W3666" s="64" ph="1"/>
    </row>
    <row r="3667" spans="23:23" ht="26.4">
      <c r="W3667" s="64" ph="1"/>
    </row>
    <row r="3668" spans="23:23" ht="26.4">
      <c r="W3668" s="64" ph="1"/>
    </row>
    <row r="3669" spans="23:23" ht="26.4">
      <c r="W3669" s="64" ph="1"/>
    </row>
    <row r="3670" spans="23:23" ht="26.4">
      <c r="W3670" s="64" ph="1"/>
    </row>
    <row r="3671" spans="23:23" ht="26.4">
      <c r="W3671" s="64" ph="1"/>
    </row>
    <row r="3672" spans="23:23" ht="26.4">
      <c r="W3672" s="64" ph="1"/>
    </row>
    <row r="3673" spans="23:23" ht="26.4">
      <c r="W3673" s="64" ph="1"/>
    </row>
    <row r="3674" spans="23:23" ht="26.4">
      <c r="W3674" s="64" ph="1"/>
    </row>
    <row r="3675" spans="23:23" ht="26.4">
      <c r="W3675" s="64" ph="1"/>
    </row>
    <row r="3676" spans="23:23" ht="26.4">
      <c r="W3676" s="64" ph="1"/>
    </row>
    <row r="3677" spans="23:23" ht="26.4">
      <c r="W3677" s="64" ph="1"/>
    </row>
    <row r="3678" spans="23:23" ht="26.4">
      <c r="W3678" s="64" ph="1"/>
    </row>
    <row r="3679" spans="23:23" ht="26.4">
      <c r="W3679" s="64" ph="1"/>
    </row>
    <row r="3680" spans="23:23" ht="26.4">
      <c r="W3680" s="64" ph="1"/>
    </row>
    <row r="3681" spans="23:23" ht="26.4">
      <c r="W3681" s="64" ph="1"/>
    </row>
    <row r="3682" spans="23:23" ht="26.4">
      <c r="W3682" s="64" ph="1"/>
    </row>
    <row r="3683" spans="23:23" ht="26.4">
      <c r="W3683" s="64" ph="1"/>
    </row>
    <row r="3684" spans="23:23" ht="26.4">
      <c r="W3684" s="64" ph="1"/>
    </row>
    <row r="3685" spans="23:23" ht="26.4">
      <c r="W3685" s="64" ph="1"/>
    </row>
    <row r="3686" spans="23:23" ht="26.4">
      <c r="W3686" s="64" ph="1"/>
    </row>
    <row r="3687" spans="23:23" ht="26.4">
      <c r="W3687" s="64" ph="1"/>
    </row>
    <row r="3688" spans="23:23" ht="26.4">
      <c r="W3688" s="64" ph="1"/>
    </row>
    <row r="3689" spans="23:23" ht="26.4">
      <c r="W3689" s="64" ph="1"/>
    </row>
    <row r="3690" spans="23:23" ht="26.4">
      <c r="W3690" s="64" ph="1"/>
    </row>
    <row r="3691" spans="23:23" ht="26.4">
      <c r="W3691" s="64" ph="1"/>
    </row>
    <row r="3692" spans="23:23" ht="26.4">
      <c r="W3692" s="64" ph="1"/>
    </row>
    <row r="3693" spans="23:23" ht="26.4">
      <c r="W3693" s="64" ph="1"/>
    </row>
    <row r="3694" spans="23:23" ht="26.4">
      <c r="W3694" s="64" ph="1"/>
    </row>
    <row r="3695" spans="23:23" ht="26.4">
      <c r="W3695" s="64" ph="1"/>
    </row>
    <row r="3696" spans="23:23" ht="26.4">
      <c r="W3696" s="64" ph="1"/>
    </row>
    <row r="3697" spans="23:23" ht="26.4">
      <c r="W3697" s="64" ph="1"/>
    </row>
    <row r="3698" spans="23:23" ht="26.4">
      <c r="W3698" s="64" ph="1"/>
    </row>
    <row r="3699" spans="23:23" ht="26.4">
      <c r="W3699" s="64" ph="1"/>
    </row>
    <row r="3700" spans="23:23" ht="26.4">
      <c r="W3700" s="64" ph="1"/>
    </row>
    <row r="3701" spans="23:23" ht="26.4">
      <c r="W3701" s="64" ph="1"/>
    </row>
    <row r="3702" spans="23:23" ht="26.4">
      <c r="W3702" s="64" ph="1"/>
    </row>
    <row r="3703" spans="23:23" ht="26.4">
      <c r="W3703" s="64" ph="1"/>
    </row>
    <row r="3704" spans="23:23" ht="26.4">
      <c r="W3704" s="64" ph="1"/>
    </row>
    <row r="3705" spans="23:23" ht="26.4">
      <c r="W3705" s="64" ph="1"/>
    </row>
    <row r="3706" spans="23:23" ht="26.4">
      <c r="W3706" s="64" ph="1"/>
    </row>
    <row r="3707" spans="23:23" ht="26.4">
      <c r="W3707" s="64" ph="1"/>
    </row>
    <row r="3708" spans="23:23" ht="26.4">
      <c r="W3708" s="64" ph="1"/>
    </row>
    <row r="3709" spans="23:23" ht="26.4">
      <c r="W3709" s="64" ph="1"/>
    </row>
    <row r="3710" spans="23:23" ht="26.4">
      <c r="W3710" s="64" ph="1"/>
    </row>
    <row r="3711" spans="23:23" ht="26.4">
      <c r="W3711" s="64" ph="1"/>
    </row>
    <row r="3712" spans="23:23" ht="26.4">
      <c r="W3712" s="64" ph="1"/>
    </row>
    <row r="3713" spans="23:23" ht="26.4">
      <c r="W3713" s="64" ph="1"/>
    </row>
    <row r="3714" spans="23:23" ht="26.4">
      <c r="W3714" s="64" ph="1"/>
    </row>
    <row r="3715" spans="23:23" ht="26.4">
      <c r="W3715" s="64" ph="1"/>
    </row>
    <row r="3716" spans="23:23" ht="26.4">
      <c r="W3716" s="64" ph="1"/>
    </row>
    <row r="3717" spans="23:23" ht="26.4">
      <c r="W3717" s="64" ph="1"/>
    </row>
    <row r="3718" spans="23:23" ht="26.4">
      <c r="W3718" s="64" ph="1"/>
    </row>
    <row r="3719" spans="23:23" ht="26.4">
      <c r="W3719" s="64" ph="1"/>
    </row>
    <row r="3720" spans="23:23" ht="26.4">
      <c r="W3720" s="64" ph="1"/>
    </row>
    <row r="3721" spans="23:23" ht="26.4">
      <c r="W3721" s="64" ph="1"/>
    </row>
    <row r="3722" spans="23:23" ht="26.4">
      <c r="W3722" s="64" ph="1"/>
    </row>
    <row r="3723" spans="23:23" ht="26.4">
      <c r="W3723" s="64" ph="1"/>
    </row>
    <row r="3724" spans="23:23" ht="26.4">
      <c r="W3724" s="64" ph="1"/>
    </row>
    <row r="3725" spans="23:23" ht="26.4">
      <c r="W3725" s="64" ph="1"/>
    </row>
    <row r="3726" spans="23:23" ht="26.4">
      <c r="W3726" s="64" ph="1"/>
    </row>
    <row r="3727" spans="23:23" ht="26.4">
      <c r="W3727" s="64" ph="1"/>
    </row>
    <row r="3728" spans="23:23" ht="26.4">
      <c r="W3728" s="64" ph="1"/>
    </row>
    <row r="3729" spans="23:23" ht="26.4">
      <c r="W3729" s="64" ph="1"/>
    </row>
    <row r="3730" spans="23:23" ht="26.4">
      <c r="W3730" s="64" ph="1"/>
    </row>
    <row r="3731" spans="23:23" ht="26.4">
      <c r="W3731" s="64" ph="1"/>
    </row>
    <row r="3732" spans="23:23" ht="26.4">
      <c r="W3732" s="64" ph="1"/>
    </row>
    <row r="3733" spans="23:23" ht="26.4">
      <c r="W3733" s="64" ph="1"/>
    </row>
    <row r="3734" spans="23:23" ht="26.4">
      <c r="W3734" s="64" ph="1"/>
    </row>
    <row r="3735" spans="23:23" ht="26.4">
      <c r="W3735" s="64" ph="1"/>
    </row>
    <row r="3736" spans="23:23" ht="26.4">
      <c r="W3736" s="64" ph="1"/>
    </row>
    <row r="3737" spans="23:23" ht="26.4">
      <c r="W3737" s="64" ph="1"/>
    </row>
    <row r="3738" spans="23:23" ht="26.4">
      <c r="W3738" s="64" ph="1"/>
    </row>
    <row r="3739" spans="23:23" ht="26.4">
      <c r="W3739" s="64" ph="1"/>
    </row>
    <row r="3740" spans="23:23" ht="26.4">
      <c r="W3740" s="64" ph="1"/>
    </row>
    <row r="3741" spans="23:23" ht="26.4">
      <c r="W3741" s="64" ph="1"/>
    </row>
    <row r="3742" spans="23:23" ht="26.4">
      <c r="W3742" s="64" ph="1"/>
    </row>
    <row r="3743" spans="23:23" ht="26.4">
      <c r="W3743" s="64" ph="1"/>
    </row>
    <row r="3744" spans="23:23" ht="26.4">
      <c r="W3744" s="64" ph="1"/>
    </row>
    <row r="3745" spans="23:23" ht="26.4">
      <c r="W3745" s="64" ph="1"/>
    </row>
    <row r="3746" spans="23:23" ht="26.4">
      <c r="W3746" s="64" ph="1"/>
    </row>
    <row r="3747" spans="23:23" ht="26.4">
      <c r="W3747" s="64" ph="1"/>
    </row>
    <row r="3748" spans="23:23" ht="26.4">
      <c r="W3748" s="64" ph="1"/>
    </row>
    <row r="3749" spans="23:23" ht="26.4">
      <c r="W3749" s="64" ph="1"/>
    </row>
    <row r="3750" spans="23:23" ht="26.4">
      <c r="W3750" s="64" ph="1"/>
    </row>
    <row r="3751" spans="23:23" ht="26.4">
      <c r="W3751" s="64" ph="1"/>
    </row>
    <row r="3752" spans="23:23" ht="26.4">
      <c r="W3752" s="64" ph="1"/>
    </row>
    <row r="3753" spans="23:23" ht="26.4">
      <c r="W3753" s="64" ph="1"/>
    </row>
    <row r="3754" spans="23:23" ht="26.4">
      <c r="W3754" s="64" ph="1"/>
    </row>
    <row r="3755" spans="23:23" ht="26.4">
      <c r="W3755" s="64" ph="1"/>
    </row>
    <row r="3756" spans="23:23" ht="26.4">
      <c r="W3756" s="64" ph="1"/>
    </row>
    <row r="3757" spans="23:23" ht="26.4">
      <c r="W3757" s="64" ph="1"/>
    </row>
    <row r="3758" spans="23:23" ht="26.4">
      <c r="W3758" s="64" ph="1"/>
    </row>
    <row r="3759" spans="23:23" ht="26.4">
      <c r="W3759" s="64" ph="1"/>
    </row>
    <row r="3760" spans="23:23" ht="26.4">
      <c r="W3760" s="64" ph="1"/>
    </row>
    <row r="3761" spans="23:23" ht="26.4">
      <c r="W3761" s="64" ph="1"/>
    </row>
    <row r="3762" spans="23:23" ht="26.4">
      <c r="W3762" s="64" ph="1"/>
    </row>
    <row r="3763" spans="23:23" ht="26.4">
      <c r="W3763" s="64" ph="1"/>
    </row>
    <row r="3764" spans="23:23" ht="26.4">
      <c r="W3764" s="64" ph="1"/>
    </row>
    <row r="3765" spans="23:23" ht="26.4">
      <c r="W3765" s="64" ph="1"/>
    </row>
    <row r="3766" spans="23:23" ht="26.4">
      <c r="W3766" s="64" ph="1"/>
    </row>
    <row r="3767" spans="23:23" ht="26.4">
      <c r="W3767" s="64" ph="1"/>
    </row>
    <row r="3768" spans="23:23" ht="26.4">
      <c r="W3768" s="64" ph="1"/>
    </row>
    <row r="3769" spans="23:23" ht="26.4">
      <c r="W3769" s="64" ph="1"/>
    </row>
    <row r="3770" spans="23:23" ht="26.4">
      <c r="W3770" s="64" ph="1"/>
    </row>
    <row r="3771" spans="23:23" ht="26.4">
      <c r="W3771" s="64" ph="1"/>
    </row>
    <row r="3772" spans="23:23" ht="26.4">
      <c r="W3772" s="64" ph="1"/>
    </row>
    <row r="3773" spans="23:23" ht="26.4">
      <c r="W3773" s="64" ph="1"/>
    </row>
    <row r="3774" spans="23:23" ht="26.4">
      <c r="W3774" s="64" ph="1"/>
    </row>
    <row r="3775" spans="23:23" ht="26.4">
      <c r="W3775" s="64" ph="1"/>
    </row>
    <row r="3776" spans="23:23" ht="26.4">
      <c r="W3776" s="64" ph="1"/>
    </row>
    <row r="3777" spans="23:23" ht="26.4">
      <c r="W3777" s="64" ph="1"/>
    </row>
    <row r="3778" spans="23:23" ht="26.4">
      <c r="W3778" s="64" ph="1"/>
    </row>
    <row r="3779" spans="23:23" ht="26.4">
      <c r="W3779" s="64" ph="1"/>
    </row>
    <row r="3780" spans="23:23" ht="26.4">
      <c r="W3780" s="64" ph="1"/>
    </row>
    <row r="3781" spans="23:23" ht="26.4">
      <c r="W3781" s="64" ph="1"/>
    </row>
    <row r="3782" spans="23:23" ht="26.4">
      <c r="W3782" s="64" ph="1"/>
    </row>
    <row r="3783" spans="23:23" ht="26.4">
      <c r="W3783" s="64" ph="1"/>
    </row>
    <row r="3784" spans="23:23" ht="26.4">
      <c r="W3784" s="64" ph="1"/>
    </row>
    <row r="3785" spans="23:23" ht="26.4">
      <c r="W3785" s="64" ph="1"/>
    </row>
    <row r="3786" spans="23:23" ht="26.4">
      <c r="W3786" s="64" ph="1"/>
    </row>
    <row r="3787" spans="23:23" ht="26.4">
      <c r="W3787" s="64" ph="1"/>
    </row>
    <row r="3788" spans="23:23" ht="26.4">
      <c r="W3788" s="64" ph="1"/>
    </row>
    <row r="3789" spans="23:23" ht="26.4">
      <c r="W3789" s="64" ph="1"/>
    </row>
    <row r="3790" spans="23:23" ht="26.4">
      <c r="W3790" s="64" ph="1"/>
    </row>
    <row r="3791" spans="23:23" ht="26.4">
      <c r="W3791" s="64" ph="1"/>
    </row>
    <row r="3792" spans="23:23" ht="26.4">
      <c r="W3792" s="64" ph="1"/>
    </row>
    <row r="3793" spans="23:23" ht="26.4">
      <c r="W3793" s="64" ph="1"/>
    </row>
    <row r="3794" spans="23:23" ht="26.4">
      <c r="W3794" s="64" ph="1"/>
    </row>
    <row r="3795" spans="23:23" ht="26.4">
      <c r="W3795" s="64" ph="1"/>
    </row>
    <row r="3796" spans="23:23" ht="26.4">
      <c r="W3796" s="64" ph="1"/>
    </row>
    <row r="3797" spans="23:23" ht="26.4">
      <c r="W3797" s="64" ph="1"/>
    </row>
    <row r="3798" spans="23:23" ht="26.4">
      <c r="W3798" s="64" ph="1"/>
    </row>
    <row r="3799" spans="23:23" ht="26.4">
      <c r="W3799" s="64" ph="1"/>
    </row>
    <row r="3800" spans="23:23" ht="26.4">
      <c r="W3800" s="64" ph="1"/>
    </row>
    <row r="3801" spans="23:23" ht="26.4">
      <c r="W3801" s="64" ph="1"/>
    </row>
    <row r="3802" spans="23:23" ht="26.4">
      <c r="W3802" s="64" ph="1"/>
    </row>
    <row r="3803" spans="23:23" ht="26.4">
      <c r="W3803" s="64" ph="1"/>
    </row>
    <row r="3804" spans="23:23" ht="26.4">
      <c r="W3804" s="64" ph="1"/>
    </row>
    <row r="3805" spans="23:23" ht="26.4">
      <c r="W3805" s="64" ph="1"/>
    </row>
    <row r="3806" spans="23:23" ht="26.4">
      <c r="W3806" s="64" ph="1"/>
    </row>
    <row r="3807" spans="23:23" ht="26.4">
      <c r="W3807" s="64" ph="1"/>
    </row>
    <row r="3808" spans="23:23" ht="26.4">
      <c r="W3808" s="64" ph="1"/>
    </row>
    <row r="3809" spans="23:23" ht="26.4">
      <c r="W3809" s="64" ph="1"/>
    </row>
    <row r="3810" spans="23:23" ht="26.4">
      <c r="W3810" s="64" ph="1"/>
    </row>
    <row r="3811" spans="23:23" ht="26.4">
      <c r="W3811" s="64" ph="1"/>
    </row>
    <row r="3812" spans="23:23" ht="26.4">
      <c r="W3812" s="64" ph="1"/>
    </row>
    <row r="3813" spans="23:23" ht="26.4">
      <c r="W3813" s="64" ph="1"/>
    </row>
    <row r="3814" spans="23:23" ht="26.4">
      <c r="W3814" s="64" ph="1"/>
    </row>
    <row r="3815" spans="23:23" ht="26.4">
      <c r="W3815" s="64" ph="1"/>
    </row>
    <row r="3816" spans="23:23" ht="26.4">
      <c r="W3816" s="64" ph="1"/>
    </row>
    <row r="3817" spans="23:23" ht="26.4">
      <c r="W3817" s="64" ph="1"/>
    </row>
    <row r="3818" spans="23:23" ht="26.4">
      <c r="W3818" s="64" ph="1"/>
    </row>
    <row r="3819" spans="23:23" ht="26.4">
      <c r="W3819" s="64" ph="1"/>
    </row>
    <row r="3820" spans="23:23" ht="26.4">
      <c r="W3820" s="64" ph="1"/>
    </row>
    <row r="3821" spans="23:23" ht="26.4">
      <c r="W3821" s="64" ph="1"/>
    </row>
    <row r="3822" spans="23:23" ht="26.4">
      <c r="W3822" s="64" ph="1"/>
    </row>
    <row r="3823" spans="23:23" ht="26.4">
      <c r="W3823" s="64" ph="1"/>
    </row>
    <row r="3824" spans="23:23" ht="26.4">
      <c r="W3824" s="64" ph="1"/>
    </row>
    <row r="3825" spans="23:23" ht="26.4">
      <c r="W3825" s="64" ph="1"/>
    </row>
    <row r="3826" spans="23:23" ht="26.4">
      <c r="W3826" s="64" ph="1"/>
    </row>
    <row r="3827" spans="23:23" ht="26.4">
      <c r="W3827" s="64" ph="1"/>
    </row>
    <row r="3828" spans="23:23" ht="26.4">
      <c r="W3828" s="64" ph="1"/>
    </row>
    <row r="3829" spans="23:23" ht="26.4">
      <c r="W3829" s="64" ph="1"/>
    </row>
    <row r="3830" spans="23:23" ht="26.4">
      <c r="W3830" s="64" ph="1"/>
    </row>
    <row r="3831" spans="23:23" ht="26.4">
      <c r="W3831" s="64" ph="1"/>
    </row>
    <row r="3832" spans="23:23" ht="26.4">
      <c r="W3832" s="64" ph="1"/>
    </row>
    <row r="3833" spans="23:23" ht="26.4">
      <c r="W3833" s="64" ph="1"/>
    </row>
    <row r="3834" spans="23:23" ht="26.4">
      <c r="W3834" s="64" ph="1"/>
    </row>
    <row r="3835" spans="23:23" ht="26.4">
      <c r="W3835" s="64" ph="1"/>
    </row>
    <row r="3836" spans="23:23" ht="26.4">
      <c r="W3836" s="64" ph="1"/>
    </row>
    <row r="3837" spans="23:23" ht="26.4">
      <c r="W3837" s="64" ph="1"/>
    </row>
    <row r="3838" spans="23:23" ht="26.4">
      <c r="W3838" s="64" ph="1"/>
    </row>
    <row r="3839" spans="23:23" ht="26.4">
      <c r="W3839" s="64" ph="1"/>
    </row>
    <row r="3840" spans="23:23" ht="26.4">
      <c r="W3840" s="64" ph="1"/>
    </row>
    <row r="3841" spans="23:23" ht="26.4">
      <c r="W3841" s="64" ph="1"/>
    </row>
    <row r="3842" spans="23:23" ht="26.4">
      <c r="W3842" s="64" ph="1"/>
    </row>
    <row r="3843" spans="23:23" ht="26.4">
      <c r="W3843" s="64" ph="1"/>
    </row>
    <row r="3844" spans="23:23" ht="26.4">
      <c r="W3844" s="64" ph="1"/>
    </row>
    <row r="3845" spans="23:23" ht="26.4">
      <c r="W3845" s="64" ph="1"/>
    </row>
    <row r="3846" spans="23:23" ht="26.4">
      <c r="W3846" s="64" ph="1"/>
    </row>
    <row r="3847" spans="23:23" ht="26.4">
      <c r="W3847" s="64" ph="1"/>
    </row>
    <row r="3848" spans="23:23" ht="26.4">
      <c r="W3848" s="64" ph="1"/>
    </row>
    <row r="3849" spans="23:23" ht="26.4">
      <c r="W3849" s="64" ph="1"/>
    </row>
    <row r="3850" spans="23:23" ht="26.4">
      <c r="W3850" s="64" ph="1"/>
    </row>
    <row r="3851" spans="23:23" ht="26.4">
      <c r="W3851" s="64" ph="1"/>
    </row>
    <row r="3852" spans="23:23" ht="26.4">
      <c r="W3852" s="64" ph="1"/>
    </row>
    <row r="3853" spans="23:23" ht="26.4">
      <c r="W3853" s="64" ph="1"/>
    </row>
    <row r="3854" spans="23:23" ht="26.4">
      <c r="W3854" s="64" ph="1"/>
    </row>
    <row r="3855" spans="23:23" ht="26.4">
      <c r="W3855" s="64" ph="1"/>
    </row>
    <row r="3856" spans="23:23" ht="26.4">
      <c r="W3856" s="64" ph="1"/>
    </row>
    <row r="3857" spans="23:23" ht="26.4">
      <c r="W3857" s="64" ph="1"/>
    </row>
    <row r="3858" spans="23:23" ht="26.4">
      <c r="W3858" s="64" ph="1"/>
    </row>
    <row r="3859" spans="23:23" ht="26.4">
      <c r="W3859" s="64" ph="1"/>
    </row>
    <row r="3860" spans="23:23" ht="26.4">
      <c r="W3860" s="64" ph="1"/>
    </row>
    <row r="3861" spans="23:23" ht="26.4">
      <c r="W3861" s="64" ph="1"/>
    </row>
    <row r="3862" spans="23:23" ht="26.4">
      <c r="W3862" s="64" ph="1"/>
    </row>
    <row r="3863" spans="23:23" ht="26.4">
      <c r="W3863" s="64" ph="1"/>
    </row>
    <row r="3864" spans="23:23" ht="26.4">
      <c r="W3864" s="64" ph="1"/>
    </row>
    <row r="3865" spans="23:23" ht="26.4">
      <c r="W3865" s="64" ph="1"/>
    </row>
    <row r="3866" spans="23:23" ht="26.4">
      <c r="W3866" s="64" ph="1"/>
    </row>
    <row r="3867" spans="23:23" ht="26.4">
      <c r="W3867" s="64" ph="1"/>
    </row>
    <row r="3868" spans="23:23" ht="26.4">
      <c r="W3868" s="64" ph="1"/>
    </row>
    <row r="3869" spans="23:23" ht="26.4">
      <c r="W3869" s="64" ph="1"/>
    </row>
    <row r="3870" spans="23:23" ht="26.4">
      <c r="W3870" s="64" ph="1"/>
    </row>
    <row r="3871" spans="23:23" ht="26.4">
      <c r="W3871" s="64" ph="1"/>
    </row>
    <row r="3872" spans="23:23" ht="26.4">
      <c r="W3872" s="64" ph="1"/>
    </row>
    <row r="3873" spans="23:23" ht="26.4">
      <c r="W3873" s="64" ph="1"/>
    </row>
    <row r="3874" spans="23:23" ht="26.4">
      <c r="W3874" s="64" ph="1"/>
    </row>
    <row r="3875" spans="23:23" ht="26.4">
      <c r="W3875" s="64" ph="1"/>
    </row>
    <row r="3876" spans="23:23" ht="26.4">
      <c r="W3876" s="64" ph="1"/>
    </row>
    <row r="3877" spans="23:23" ht="26.4">
      <c r="W3877" s="64" ph="1"/>
    </row>
    <row r="3878" spans="23:23" ht="26.4">
      <c r="W3878" s="64" ph="1"/>
    </row>
    <row r="3879" spans="23:23" ht="26.4">
      <c r="W3879" s="64" ph="1"/>
    </row>
    <row r="3880" spans="23:23" ht="26.4">
      <c r="W3880" s="64" ph="1"/>
    </row>
    <row r="3881" spans="23:23" ht="26.4">
      <c r="W3881" s="64" ph="1"/>
    </row>
    <row r="3882" spans="23:23" ht="26.4">
      <c r="W3882" s="64" ph="1"/>
    </row>
    <row r="3883" spans="23:23" ht="26.4">
      <c r="W3883" s="64" ph="1"/>
    </row>
    <row r="3884" spans="23:23" ht="26.4">
      <c r="W3884" s="64" ph="1"/>
    </row>
    <row r="3885" spans="23:23" ht="26.4">
      <c r="W3885" s="64" ph="1"/>
    </row>
    <row r="3886" spans="23:23" ht="26.4">
      <c r="W3886" s="64" ph="1"/>
    </row>
    <row r="3887" spans="23:23" ht="26.4">
      <c r="W3887" s="64" ph="1"/>
    </row>
    <row r="3888" spans="23:23" ht="26.4">
      <c r="W3888" s="64" ph="1"/>
    </row>
    <row r="3889" spans="23:23" ht="26.4">
      <c r="W3889" s="64" ph="1"/>
    </row>
    <row r="3890" spans="23:23" ht="26.4">
      <c r="W3890" s="64" ph="1"/>
    </row>
    <row r="3891" spans="23:23" ht="26.4">
      <c r="W3891" s="64" ph="1"/>
    </row>
    <row r="3892" spans="23:23" ht="26.4">
      <c r="W3892" s="64" ph="1"/>
    </row>
    <row r="3893" spans="23:23" ht="26.4">
      <c r="W3893" s="64" ph="1"/>
    </row>
    <row r="3894" spans="23:23" ht="26.4">
      <c r="W3894" s="64" ph="1"/>
    </row>
    <row r="3895" spans="23:23" ht="26.4">
      <c r="W3895" s="64" ph="1"/>
    </row>
    <row r="3896" spans="23:23" ht="26.4">
      <c r="W3896" s="64" ph="1"/>
    </row>
    <row r="3897" spans="23:23" ht="26.4">
      <c r="W3897" s="64" ph="1"/>
    </row>
    <row r="3898" spans="23:23" ht="26.4">
      <c r="W3898" s="64" ph="1"/>
    </row>
    <row r="3899" spans="23:23" ht="26.4">
      <c r="W3899" s="64" ph="1"/>
    </row>
    <row r="3900" spans="23:23" ht="26.4">
      <c r="W3900" s="64" ph="1"/>
    </row>
    <row r="3901" spans="23:23" ht="26.4">
      <c r="W3901" s="64" ph="1"/>
    </row>
    <row r="3902" spans="23:23" ht="26.4">
      <c r="W3902" s="64" ph="1"/>
    </row>
    <row r="3903" spans="23:23" ht="26.4">
      <c r="W3903" s="64" ph="1"/>
    </row>
    <row r="3904" spans="23:23" ht="26.4">
      <c r="W3904" s="64" ph="1"/>
    </row>
    <row r="3905" spans="23:23" ht="26.4">
      <c r="W3905" s="64" ph="1"/>
    </row>
    <row r="3906" spans="23:23" ht="26.4">
      <c r="W3906" s="64" ph="1"/>
    </row>
    <row r="3907" spans="23:23" ht="26.4">
      <c r="W3907" s="64" ph="1"/>
    </row>
    <row r="3908" spans="23:23" ht="26.4">
      <c r="W3908" s="64" ph="1"/>
    </row>
    <row r="3909" spans="23:23" ht="26.4">
      <c r="W3909" s="64" ph="1"/>
    </row>
    <row r="3910" spans="23:23" ht="26.4">
      <c r="W3910" s="64" ph="1"/>
    </row>
    <row r="3911" spans="23:23" ht="26.4">
      <c r="W3911" s="64" ph="1"/>
    </row>
    <row r="3912" spans="23:23" ht="26.4">
      <c r="W3912" s="64" ph="1"/>
    </row>
    <row r="3913" spans="23:23" ht="26.4">
      <c r="W3913" s="64" ph="1"/>
    </row>
    <row r="3914" spans="23:23" ht="26.4">
      <c r="W3914" s="64" ph="1"/>
    </row>
    <row r="3915" spans="23:23" ht="26.4">
      <c r="W3915" s="64" ph="1"/>
    </row>
    <row r="3916" spans="23:23" ht="26.4">
      <c r="W3916" s="64" ph="1"/>
    </row>
    <row r="3917" spans="23:23" ht="26.4">
      <c r="W3917" s="64" ph="1"/>
    </row>
    <row r="3918" spans="23:23" ht="26.4">
      <c r="W3918" s="64" ph="1"/>
    </row>
    <row r="3919" spans="23:23" ht="26.4">
      <c r="W3919" s="64" ph="1"/>
    </row>
    <row r="3920" spans="23:23" ht="26.4">
      <c r="W3920" s="64" ph="1"/>
    </row>
    <row r="3921" spans="23:23" ht="26.4">
      <c r="W3921" s="64" ph="1"/>
    </row>
    <row r="3922" spans="23:23" ht="26.4">
      <c r="W3922" s="64" ph="1"/>
    </row>
    <row r="3923" spans="23:23" ht="26.4">
      <c r="W3923" s="64" ph="1"/>
    </row>
    <row r="3924" spans="23:23" ht="26.4">
      <c r="W3924" s="64" ph="1"/>
    </row>
    <row r="3925" spans="23:23" ht="26.4">
      <c r="W3925" s="64" ph="1"/>
    </row>
    <row r="3926" spans="23:23" ht="26.4">
      <c r="W3926" s="64" ph="1"/>
    </row>
    <row r="3927" spans="23:23" ht="26.4">
      <c r="W3927" s="64" ph="1"/>
    </row>
    <row r="3928" spans="23:23" ht="26.4">
      <c r="W3928" s="64" ph="1"/>
    </row>
    <row r="3929" spans="23:23" ht="26.4">
      <c r="W3929" s="64" ph="1"/>
    </row>
    <row r="3930" spans="23:23" ht="26.4">
      <c r="W3930" s="64" ph="1"/>
    </row>
    <row r="3931" spans="23:23" ht="26.4">
      <c r="W3931" s="64" ph="1"/>
    </row>
    <row r="3932" spans="23:23" ht="26.4">
      <c r="W3932" s="64" ph="1"/>
    </row>
    <row r="3933" spans="23:23" ht="26.4">
      <c r="W3933" s="64" ph="1"/>
    </row>
    <row r="3934" spans="23:23" ht="26.4">
      <c r="W3934" s="64" ph="1"/>
    </row>
    <row r="3935" spans="23:23" ht="26.4">
      <c r="W3935" s="64" ph="1"/>
    </row>
    <row r="3936" spans="23:23" ht="26.4">
      <c r="W3936" s="64" ph="1"/>
    </row>
    <row r="3937" spans="23:23" ht="26.4">
      <c r="W3937" s="64" ph="1"/>
    </row>
    <row r="3938" spans="23:23" ht="26.4">
      <c r="W3938" s="64" ph="1"/>
    </row>
    <row r="3939" spans="23:23" ht="26.4">
      <c r="W3939" s="64" ph="1"/>
    </row>
    <row r="3940" spans="23:23" ht="26.4">
      <c r="W3940" s="64" ph="1"/>
    </row>
    <row r="3941" spans="23:23" ht="26.4">
      <c r="W3941" s="64" ph="1"/>
    </row>
    <row r="3942" spans="23:23" ht="26.4">
      <c r="W3942" s="64" ph="1"/>
    </row>
    <row r="3943" spans="23:23" ht="26.4">
      <c r="W3943" s="64" ph="1"/>
    </row>
    <row r="3944" spans="23:23" ht="26.4">
      <c r="W3944" s="64" ph="1"/>
    </row>
    <row r="3945" spans="23:23" ht="26.4">
      <c r="W3945" s="64" ph="1"/>
    </row>
    <row r="3946" spans="23:23" ht="26.4">
      <c r="W3946" s="64" ph="1"/>
    </row>
    <row r="3947" spans="23:23" ht="26.4">
      <c r="W3947" s="64" ph="1"/>
    </row>
    <row r="3948" spans="23:23" ht="26.4">
      <c r="W3948" s="64" ph="1"/>
    </row>
    <row r="3949" spans="23:23" ht="26.4">
      <c r="W3949" s="64" ph="1"/>
    </row>
    <row r="3950" spans="23:23" ht="26.4">
      <c r="W3950" s="64" ph="1"/>
    </row>
    <row r="3951" spans="23:23" ht="26.4">
      <c r="W3951" s="64" ph="1"/>
    </row>
    <row r="3952" spans="23:23" ht="26.4">
      <c r="W3952" s="64" ph="1"/>
    </row>
    <row r="3953" spans="23:23" ht="26.4">
      <c r="W3953" s="64" ph="1"/>
    </row>
    <row r="3954" spans="23:23" ht="26.4">
      <c r="W3954" s="64" ph="1"/>
    </row>
    <row r="3955" spans="23:23" ht="26.4">
      <c r="W3955" s="64" ph="1"/>
    </row>
    <row r="3956" spans="23:23" ht="26.4">
      <c r="W3956" s="64" ph="1"/>
    </row>
    <row r="3957" spans="23:23" ht="26.4">
      <c r="W3957" s="64" ph="1"/>
    </row>
    <row r="3958" spans="23:23" ht="26.4">
      <c r="W3958" s="64" ph="1"/>
    </row>
    <row r="3959" spans="23:23" ht="26.4">
      <c r="W3959" s="64" ph="1"/>
    </row>
    <row r="3960" spans="23:23" ht="26.4">
      <c r="W3960" s="64" ph="1"/>
    </row>
    <row r="3961" spans="23:23" ht="26.4">
      <c r="W3961" s="64" ph="1"/>
    </row>
    <row r="3962" spans="23:23" ht="26.4">
      <c r="W3962" s="64" ph="1"/>
    </row>
    <row r="3963" spans="23:23" ht="26.4">
      <c r="W3963" s="64" ph="1"/>
    </row>
    <row r="3964" spans="23:23" ht="26.4">
      <c r="W3964" s="64" ph="1"/>
    </row>
    <row r="3965" spans="23:23" ht="26.4">
      <c r="W3965" s="64" ph="1"/>
    </row>
    <row r="3966" spans="23:23" ht="26.4">
      <c r="W3966" s="64" ph="1"/>
    </row>
    <row r="3967" spans="23:23" ht="26.4">
      <c r="W3967" s="64" ph="1"/>
    </row>
    <row r="3968" spans="23:23" ht="26.4">
      <c r="W3968" s="64" ph="1"/>
    </row>
    <row r="3969" spans="23:23" ht="26.4">
      <c r="W3969" s="64" ph="1"/>
    </row>
    <row r="3970" spans="23:23" ht="26.4">
      <c r="W3970" s="64" ph="1"/>
    </row>
    <row r="3971" spans="23:23" ht="26.4">
      <c r="W3971" s="64" ph="1"/>
    </row>
    <row r="3972" spans="23:23" ht="26.4">
      <c r="W3972" s="64" ph="1"/>
    </row>
    <row r="3973" spans="23:23" ht="26.4">
      <c r="W3973" s="64" ph="1"/>
    </row>
    <row r="3974" spans="23:23" ht="26.4">
      <c r="W3974" s="64" ph="1"/>
    </row>
    <row r="3975" spans="23:23" ht="26.4">
      <c r="W3975" s="64" ph="1"/>
    </row>
    <row r="3976" spans="23:23" ht="26.4">
      <c r="W3976" s="64" ph="1"/>
    </row>
    <row r="3977" spans="23:23" ht="26.4">
      <c r="W3977" s="64" ph="1"/>
    </row>
    <row r="3978" spans="23:23" ht="26.4">
      <c r="W3978" s="64" ph="1"/>
    </row>
    <row r="3979" spans="23:23" ht="26.4">
      <c r="W3979" s="64" ph="1"/>
    </row>
    <row r="3980" spans="23:23" ht="26.4">
      <c r="W3980" s="64" ph="1"/>
    </row>
    <row r="3981" spans="23:23" ht="26.4">
      <c r="W3981" s="64" ph="1"/>
    </row>
    <row r="3982" spans="23:23" ht="26.4">
      <c r="W3982" s="64" ph="1"/>
    </row>
    <row r="3983" spans="23:23" ht="26.4">
      <c r="W3983" s="64" ph="1"/>
    </row>
    <row r="3984" spans="23:23" ht="26.4">
      <c r="W3984" s="64" ph="1"/>
    </row>
    <row r="3985" spans="23:23" ht="26.4">
      <c r="W3985" s="64" ph="1"/>
    </row>
    <row r="3986" spans="23:23" ht="26.4">
      <c r="W3986" s="64" ph="1"/>
    </row>
    <row r="3987" spans="23:23" ht="26.4">
      <c r="W3987" s="64" ph="1"/>
    </row>
    <row r="3988" spans="23:23" ht="26.4">
      <c r="W3988" s="64" ph="1"/>
    </row>
    <row r="3989" spans="23:23" ht="26.4">
      <c r="W3989" s="64" ph="1"/>
    </row>
    <row r="3990" spans="23:23" ht="26.4">
      <c r="W3990" s="64" ph="1"/>
    </row>
    <row r="3991" spans="23:23" ht="26.4">
      <c r="W3991" s="64" ph="1"/>
    </row>
    <row r="3992" spans="23:23" ht="26.4">
      <c r="W3992" s="64" ph="1"/>
    </row>
    <row r="3993" spans="23:23" ht="26.4">
      <c r="W3993" s="64" ph="1"/>
    </row>
    <row r="3994" spans="23:23" ht="26.4">
      <c r="W3994" s="64" ph="1"/>
    </row>
    <row r="3995" spans="23:23" ht="26.4">
      <c r="W3995" s="64" ph="1"/>
    </row>
    <row r="3996" spans="23:23" ht="26.4">
      <c r="W3996" s="64" ph="1"/>
    </row>
    <row r="3997" spans="23:23" ht="26.4">
      <c r="W3997" s="64" ph="1"/>
    </row>
    <row r="3998" spans="23:23" ht="26.4">
      <c r="W3998" s="64" ph="1"/>
    </row>
    <row r="3999" spans="23:23" ht="26.4">
      <c r="W3999" s="64" ph="1"/>
    </row>
    <row r="4000" spans="23:23" ht="26.4">
      <c r="W4000" s="64" ph="1"/>
    </row>
    <row r="4001" spans="23:23" ht="26.4">
      <c r="W4001" s="64" ph="1"/>
    </row>
    <row r="4002" spans="23:23" ht="26.4">
      <c r="W4002" s="64" ph="1"/>
    </row>
    <row r="4003" spans="23:23" ht="26.4">
      <c r="W4003" s="64" ph="1"/>
    </row>
    <row r="4004" spans="23:23" ht="26.4">
      <c r="W4004" s="64" ph="1"/>
    </row>
    <row r="4005" spans="23:23" ht="26.4">
      <c r="W4005" s="64" ph="1"/>
    </row>
    <row r="4006" spans="23:23" ht="26.4">
      <c r="W4006" s="64" ph="1"/>
    </row>
    <row r="4007" spans="23:23" ht="26.4">
      <c r="W4007" s="64" ph="1"/>
    </row>
    <row r="4008" spans="23:23" ht="26.4">
      <c r="W4008" s="64" ph="1"/>
    </row>
    <row r="4009" spans="23:23" ht="26.4">
      <c r="W4009" s="64" ph="1"/>
    </row>
    <row r="4010" spans="23:23" ht="26.4">
      <c r="W4010" s="64" ph="1"/>
    </row>
    <row r="4011" spans="23:23" ht="26.4">
      <c r="W4011" s="64" ph="1"/>
    </row>
    <row r="4012" spans="23:23" ht="26.4">
      <c r="W4012" s="64" ph="1"/>
    </row>
    <row r="4013" spans="23:23" ht="26.4">
      <c r="W4013" s="64" ph="1"/>
    </row>
    <row r="4014" spans="23:23" ht="26.4">
      <c r="W4014" s="64" ph="1"/>
    </row>
    <row r="4015" spans="23:23" ht="26.4">
      <c r="W4015" s="64" ph="1"/>
    </row>
    <row r="4016" spans="23:23" ht="26.4">
      <c r="W4016" s="64" ph="1"/>
    </row>
    <row r="4017" spans="23:23" ht="26.4">
      <c r="W4017" s="64" ph="1"/>
    </row>
    <row r="4018" spans="23:23" ht="26.4">
      <c r="W4018" s="64" ph="1"/>
    </row>
    <row r="4019" spans="23:23" ht="26.4">
      <c r="W4019" s="64" ph="1"/>
    </row>
    <row r="4020" spans="23:23" ht="26.4">
      <c r="W4020" s="64" ph="1"/>
    </row>
    <row r="4021" spans="23:23" ht="26.4">
      <c r="W4021" s="64" ph="1"/>
    </row>
    <row r="4022" spans="23:23" ht="26.4">
      <c r="W4022" s="64" ph="1"/>
    </row>
    <row r="4023" spans="23:23" ht="26.4">
      <c r="W4023" s="64" ph="1"/>
    </row>
    <row r="4024" spans="23:23" ht="26.4">
      <c r="W4024" s="64" ph="1"/>
    </row>
    <row r="4025" spans="23:23" ht="26.4">
      <c r="W4025" s="64" ph="1"/>
    </row>
    <row r="4026" spans="23:23" ht="26.4">
      <c r="W4026" s="64" ph="1"/>
    </row>
    <row r="4027" spans="23:23" ht="26.4">
      <c r="W4027" s="64" ph="1"/>
    </row>
    <row r="4028" spans="23:23" ht="26.4">
      <c r="W4028" s="64" ph="1"/>
    </row>
    <row r="4029" spans="23:23" ht="26.4">
      <c r="W4029" s="64" ph="1"/>
    </row>
    <row r="4030" spans="23:23" ht="26.4">
      <c r="W4030" s="64" ph="1"/>
    </row>
    <row r="4031" spans="23:23" ht="26.4">
      <c r="W4031" s="64" ph="1"/>
    </row>
    <row r="4032" spans="23:23" ht="26.4">
      <c r="W4032" s="64" ph="1"/>
    </row>
    <row r="4033" spans="23:23" ht="26.4">
      <c r="W4033" s="64" ph="1"/>
    </row>
    <row r="4034" spans="23:23" ht="26.4">
      <c r="W4034" s="64" ph="1"/>
    </row>
    <row r="4035" spans="23:23" ht="26.4">
      <c r="W4035" s="64" ph="1"/>
    </row>
    <row r="4036" spans="23:23" ht="26.4">
      <c r="W4036" s="64" ph="1"/>
    </row>
    <row r="4037" spans="23:23" ht="26.4">
      <c r="W4037" s="64" ph="1"/>
    </row>
    <row r="4038" spans="23:23" ht="26.4">
      <c r="W4038" s="64" ph="1"/>
    </row>
    <row r="4039" spans="23:23" ht="26.4">
      <c r="W4039" s="64" ph="1"/>
    </row>
    <row r="4040" spans="23:23" ht="26.4">
      <c r="W4040" s="64" ph="1"/>
    </row>
    <row r="4041" spans="23:23" ht="26.4">
      <c r="W4041" s="64" ph="1"/>
    </row>
    <row r="4042" spans="23:23" ht="26.4">
      <c r="W4042" s="64" ph="1"/>
    </row>
    <row r="4043" spans="23:23" ht="26.4">
      <c r="W4043" s="64" ph="1"/>
    </row>
    <row r="4044" spans="23:23" ht="26.4">
      <c r="W4044" s="64" ph="1"/>
    </row>
    <row r="4045" spans="23:23" ht="26.4">
      <c r="W4045" s="64" ph="1"/>
    </row>
    <row r="4046" spans="23:23" ht="26.4">
      <c r="W4046" s="64" ph="1"/>
    </row>
    <row r="4047" spans="23:23" ht="26.4">
      <c r="W4047" s="64" ph="1"/>
    </row>
    <row r="4048" spans="23:23" ht="26.4">
      <c r="W4048" s="64" ph="1"/>
    </row>
    <row r="4049" spans="23:23" ht="26.4">
      <c r="W4049" s="64" ph="1"/>
    </row>
    <row r="4050" spans="23:23" ht="26.4">
      <c r="W4050" s="64" ph="1"/>
    </row>
    <row r="4051" spans="23:23" ht="26.4">
      <c r="W4051" s="64" ph="1"/>
    </row>
    <row r="4052" spans="23:23" ht="26.4">
      <c r="W4052" s="64" ph="1"/>
    </row>
    <row r="4053" spans="23:23" ht="26.4">
      <c r="W4053" s="64" ph="1"/>
    </row>
    <row r="4054" spans="23:23" ht="26.4">
      <c r="W4054" s="64" ph="1"/>
    </row>
    <row r="4055" spans="23:23" ht="26.4">
      <c r="W4055" s="64" ph="1"/>
    </row>
    <row r="4056" spans="23:23" ht="26.4">
      <c r="W4056" s="64" ph="1"/>
    </row>
    <row r="4057" spans="23:23" ht="26.4">
      <c r="W4057" s="64" ph="1"/>
    </row>
    <row r="4058" spans="23:23" ht="26.4">
      <c r="W4058" s="64" ph="1"/>
    </row>
    <row r="4059" spans="23:23" ht="26.4">
      <c r="W4059" s="64" ph="1"/>
    </row>
    <row r="4060" spans="23:23" ht="26.4">
      <c r="W4060" s="64" ph="1"/>
    </row>
    <row r="4061" spans="23:23" ht="26.4">
      <c r="W4061" s="64" ph="1"/>
    </row>
    <row r="4062" spans="23:23" ht="26.4">
      <c r="W4062" s="64" ph="1"/>
    </row>
    <row r="4063" spans="23:23" ht="26.4">
      <c r="W4063" s="64" ph="1"/>
    </row>
    <row r="4064" spans="23:23" ht="26.4">
      <c r="W4064" s="64" ph="1"/>
    </row>
    <row r="4065" spans="23:23" ht="26.4">
      <c r="W4065" s="64" ph="1"/>
    </row>
    <row r="4066" spans="23:23" ht="26.4">
      <c r="W4066" s="64" ph="1"/>
    </row>
    <row r="4067" spans="23:23" ht="26.4">
      <c r="W4067" s="64" ph="1"/>
    </row>
    <row r="4068" spans="23:23" ht="26.4">
      <c r="W4068" s="64" ph="1"/>
    </row>
    <row r="4069" spans="23:23" ht="26.4">
      <c r="W4069" s="64" ph="1"/>
    </row>
    <row r="4070" spans="23:23" ht="26.4">
      <c r="W4070" s="64" ph="1"/>
    </row>
    <row r="4071" spans="23:23" ht="26.4">
      <c r="W4071" s="64" ph="1"/>
    </row>
    <row r="4072" spans="23:23" ht="26.4">
      <c r="W4072" s="64" ph="1"/>
    </row>
    <row r="4073" spans="23:23" ht="26.4">
      <c r="W4073" s="64" ph="1"/>
    </row>
    <row r="4074" spans="23:23" ht="26.4">
      <c r="W4074" s="64" ph="1"/>
    </row>
    <row r="4075" spans="23:23" ht="26.4">
      <c r="W4075" s="64" ph="1"/>
    </row>
    <row r="4076" spans="23:23" ht="26.4">
      <c r="W4076" s="64" ph="1"/>
    </row>
    <row r="4077" spans="23:23" ht="26.4">
      <c r="W4077" s="64" ph="1"/>
    </row>
    <row r="4078" spans="23:23" ht="26.4">
      <c r="W4078" s="64" ph="1"/>
    </row>
    <row r="4079" spans="23:23" ht="26.4">
      <c r="W4079" s="64" ph="1"/>
    </row>
    <row r="4080" spans="23:23" ht="26.4">
      <c r="W4080" s="64" ph="1"/>
    </row>
    <row r="4081" spans="23:23" ht="26.4">
      <c r="W4081" s="64" ph="1"/>
    </row>
    <row r="4082" spans="23:23" ht="26.4">
      <c r="W4082" s="64" ph="1"/>
    </row>
    <row r="4083" spans="23:23" ht="26.4">
      <c r="W4083" s="64" ph="1"/>
    </row>
    <row r="4084" spans="23:23" ht="26.4">
      <c r="W4084" s="64" ph="1"/>
    </row>
    <row r="4085" spans="23:23" ht="26.4">
      <c r="W4085" s="64" ph="1"/>
    </row>
    <row r="4086" spans="23:23" ht="26.4">
      <c r="W4086" s="64" ph="1"/>
    </row>
    <row r="4087" spans="23:23" ht="26.4">
      <c r="W4087" s="64" ph="1"/>
    </row>
    <row r="4088" spans="23:23" ht="26.4">
      <c r="W4088" s="64" ph="1"/>
    </row>
    <row r="4089" spans="23:23" ht="26.4">
      <c r="W4089" s="64" ph="1"/>
    </row>
    <row r="4090" spans="23:23" ht="26.4">
      <c r="W4090" s="64" ph="1"/>
    </row>
    <row r="4091" spans="23:23" ht="26.4">
      <c r="W4091" s="64" ph="1"/>
    </row>
    <row r="4092" spans="23:23" ht="26.4">
      <c r="W4092" s="64" ph="1"/>
    </row>
    <row r="4093" spans="23:23" ht="26.4">
      <c r="W4093" s="64" ph="1"/>
    </row>
    <row r="4094" spans="23:23" ht="26.4">
      <c r="W4094" s="64" ph="1"/>
    </row>
    <row r="4095" spans="23:23" ht="26.4">
      <c r="W4095" s="64" ph="1"/>
    </row>
    <row r="4096" spans="23:23" ht="26.4">
      <c r="W4096" s="64" ph="1"/>
    </row>
    <row r="4097" spans="23:23" ht="26.4">
      <c r="W4097" s="64" ph="1"/>
    </row>
    <row r="4098" spans="23:23" ht="26.4">
      <c r="W4098" s="64" ph="1"/>
    </row>
    <row r="4099" spans="23:23" ht="26.4">
      <c r="W4099" s="64" ph="1"/>
    </row>
    <row r="4100" spans="23:23" ht="26.4">
      <c r="W4100" s="64" ph="1"/>
    </row>
    <row r="4101" spans="23:23" ht="26.4">
      <c r="W4101" s="64" ph="1"/>
    </row>
    <row r="4102" spans="23:23" ht="26.4">
      <c r="W4102" s="64" ph="1"/>
    </row>
    <row r="4103" spans="23:23" ht="26.4">
      <c r="W4103" s="64" ph="1"/>
    </row>
    <row r="4104" spans="23:23" ht="26.4">
      <c r="W4104" s="64" ph="1"/>
    </row>
    <row r="4105" spans="23:23" ht="26.4">
      <c r="W4105" s="64" ph="1"/>
    </row>
    <row r="4106" spans="23:23" ht="26.4">
      <c r="W4106" s="64" ph="1"/>
    </row>
    <row r="4107" spans="23:23" ht="26.4">
      <c r="W4107" s="64" ph="1"/>
    </row>
    <row r="4108" spans="23:23" ht="26.4">
      <c r="W4108" s="64" ph="1"/>
    </row>
    <row r="4109" spans="23:23" ht="26.4">
      <c r="W4109" s="64" ph="1"/>
    </row>
    <row r="4110" spans="23:23" ht="26.4">
      <c r="W4110" s="64" ph="1"/>
    </row>
    <row r="4111" spans="23:23" ht="26.4">
      <c r="W4111" s="64" ph="1"/>
    </row>
    <row r="4112" spans="23:23" ht="26.4">
      <c r="W4112" s="64" ph="1"/>
    </row>
    <row r="4113" spans="23:23" ht="26.4">
      <c r="W4113" s="64" ph="1"/>
    </row>
    <row r="4114" spans="23:23" ht="26.4">
      <c r="W4114" s="64" ph="1"/>
    </row>
    <row r="4115" spans="23:23" ht="26.4">
      <c r="W4115" s="64" ph="1"/>
    </row>
    <row r="4116" spans="23:23" ht="26.4">
      <c r="W4116" s="64" ph="1"/>
    </row>
    <row r="4117" spans="23:23" ht="26.4">
      <c r="W4117" s="64" ph="1"/>
    </row>
    <row r="4118" spans="23:23" ht="26.4">
      <c r="W4118" s="64" ph="1"/>
    </row>
    <row r="4119" spans="23:23" ht="26.4">
      <c r="W4119" s="64" ph="1"/>
    </row>
    <row r="4120" spans="23:23" ht="26.4">
      <c r="W4120" s="64" ph="1"/>
    </row>
    <row r="4121" spans="23:23" ht="26.4">
      <c r="W4121" s="64" ph="1"/>
    </row>
    <row r="4122" spans="23:23" ht="26.4">
      <c r="W4122" s="64" ph="1"/>
    </row>
    <row r="4123" spans="23:23" ht="26.4">
      <c r="W4123" s="64" ph="1"/>
    </row>
    <row r="4124" spans="23:23" ht="26.4">
      <c r="W4124" s="64" ph="1"/>
    </row>
    <row r="4125" spans="23:23" ht="26.4">
      <c r="W4125" s="64" ph="1"/>
    </row>
    <row r="4126" spans="23:23" ht="26.4">
      <c r="W4126" s="64" ph="1"/>
    </row>
    <row r="4127" spans="23:23" ht="26.4">
      <c r="W4127" s="64" ph="1"/>
    </row>
    <row r="4128" spans="23:23" ht="26.4">
      <c r="W4128" s="64" ph="1"/>
    </row>
    <row r="4129" spans="23:23" ht="26.4">
      <c r="W4129" s="64" ph="1"/>
    </row>
    <row r="4130" spans="23:23" ht="26.4">
      <c r="W4130" s="64" ph="1"/>
    </row>
    <row r="4131" spans="23:23" ht="26.4">
      <c r="W4131" s="64" ph="1"/>
    </row>
    <row r="4132" spans="23:23" ht="26.4">
      <c r="W4132" s="64" ph="1"/>
    </row>
    <row r="4133" spans="23:23" ht="26.4">
      <c r="W4133" s="64" ph="1"/>
    </row>
    <row r="4134" spans="23:23" ht="26.4">
      <c r="W4134" s="64" ph="1"/>
    </row>
    <row r="4135" spans="23:23" ht="26.4">
      <c r="W4135" s="64" ph="1"/>
    </row>
    <row r="4136" spans="23:23" ht="26.4">
      <c r="W4136" s="64" ph="1"/>
    </row>
    <row r="4137" spans="23:23" ht="26.4">
      <c r="W4137" s="64" ph="1"/>
    </row>
    <row r="4138" spans="23:23" ht="26.4">
      <c r="W4138" s="64" ph="1"/>
    </row>
    <row r="4139" spans="23:23" ht="26.4">
      <c r="W4139" s="64" ph="1"/>
    </row>
    <row r="4140" spans="23:23" ht="26.4">
      <c r="W4140" s="64" ph="1"/>
    </row>
    <row r="4141" spans="23:23" ht="26.4">
      <c r="W4141" s="64" ph="1"/>
    </row>
    <row r="4142" spans="23:23" ht="26.4">
      <c r="W4142" s="64" ph="1"/>
    </row>
    <row r="4143" spans="23:23" ht="26.4">
      <c r="W4143" s="64" ph="1"/>
    </row>
    <row r="4144" spans="23:23" ht="26.4">
      <c r="W4144" s="64" ph="1"/>
    </row>
    <row r="4145" spans="23:23" ht="26.4">
      <c r="W4145" s="64" ph="1"/>
    </row>
    <row r="4146" spans="23:23" ht="26.4">
      <c r="W4146" s="64" ph="1"/>
    </row>
    <row r="4147" spans="23:23" ht="26.4">
      <c r="W4147" s="64" ph="1"/>
    </row>
    <row r="4148" spans="23:23" ht="26.4">
      <c r="W4148" s="64" ph="1"/>
    </row>
    <row r="4149" spans="23:23" ht="26.4">
      <c r="W4149" s="64" ph="1"/>
    </row>
    <row r="4150" spans="23:23" ht="26.4">
      <c r="W4150" s="64" ph="1"/>
    </row>
    <row r="4151" spans="23:23" ht="26.4">
      <c r="W4151" s="64" ph="1"/>
    </row>
    <row r="4152" spans="23:23" ht="26.4">
      <c r="W4152" s="64" ph="1"/>
    </row>
    <row r="4153" spans="23:23" ht="26.4">
      <c r="W4153" s="64" ph="1"/>
    </row>
    <row r="4154" spans="23:23" ht="26.4">
      <c r="W4154" s="64" ph="1"/>
    </row>
    <row r="4155" spans="23:23" ht="26.4">
      <c r="W4155" s="64" ph="1"/>
    </row>
    <row r="4156" spans="23:23" ht="26.4">
      <c r="W4156" s="64" ph="1"/>
    </row>
    <row r="4157" spans="23:23" ht="26.4">
      <c r="W4157" s="64" ph="1"/>
    </row>
    <row r="4158" spans="23:23" ht="26.4">
      <c r="W4158" s="64" ph="1"/>
    </row>
    <row r="4159" spans="23:23" ht="26.4">
      <c r="W4159" s="64" ph="1"/>
    </row>
    <row r="4160" spans="23:23" ht="26.4">
      <c r="W4160" s="64" ph="1"/>
    </row>
    <row r="4161" spans="23:23" ht="26.4">
      <c r="W4161" s="64" ph="1"/>
    </row>
    <row r="4162" spans="23:23" ht="26.4">
      <c r="W4162" s="64" ph="1"/>
    </row>
    <row r="4163" spans="23:23" ht="26.4">
      <c r="W4163" s="64" ph="1"/>
    </row>
    <row r="4164" spans="23:23" ht="26.4">
      <c r="W4164" s="64" ph="1"/>
    </row>
    <row r="4165" spans="23:23" ht="26.4">
      <c r="W4165" s="64" ph="1"/>
    </row>
    <row r="4166" spans="23:23" ht="26.4">
      <c r="W4166" s="64" ph="1"/>
    </row>
    <row r="4167" spans="23:23" ht="26.4">
      <c r="W4167" s="64" ph="1"/>
    </row>
    <row r="4168" spans="23:23" ht="26.4">
      <c r="W4168" s="64" ph="1"/>
    </row>
    <row r="4169" spans="23:23" ht="26.4">
      <c r="W4169" s="64" ph="1"/>
    </row>
    <row r="4170" spans="23:23" ht="26.4">
      <c r="W4170" s="64" ph="1"/>
    </row>
    <row r="4171" spans="23:23" ht="26.4">
      <c r="W4171" s="64" ph="1"/>
    </row>
    <row r="4172" spans="23:23" ht="26.4">
      <c r="W4172" s="64" ph="1"/>
    </row>
    <row r="4173" spans="23:23" ht="26.4">
      <c r="W4173" s="64" ph="1"/>
    </row>
    <row r="4174" spans="23:23" ht="26.4">
      <c r="W4174" s="64" ph="1"/>
    </row>
    <row r="4175" spans="23:23" ht="26.4">
      <c r="W4175" s="64" ph="1"/>
    </row>
    <row r="4176" spans="23:23" ht="26.4">
      <c r="W4176" s="64" ph="1"/>
    </row>
    <row r="4177" spans="23:23" ht="26.4">
      <c r="W4177" s="64" ph="1"/>
    </row>
    <row r="4178" spans="23:23" ht="26.4">
      <c r="W4178" s="64" ph="1"/>
    </row>
    <row r="4179" spans="23:23" ht="26.4">
      <c r="W4179" s="64" ph="1"/>
    </row>
    <row r="4180" spans="23:23" ht="26.4">
      <c r="W4180" s="64" ph="1"/>
    </row>
    <row r="4181" spans="23:23" ht="26.4">
      <c r="W4181" s="64" ph="1"/>
    </row>
    <row r="4182" spans="23:23" ht="26.4">
      <c r="W4182" s="64" ph="1"/>
    </row>
    <row r="4183" spans="23:23" ht="26.4">
      <c r="W4183" s="64" ph="1"/>
    </row>
    <row r="4184" spans="23:23" ht="26.4">
      <c r="W4184" s="64" ph="1"/>
    </row>
    <row r="4185" spans="23:23" ht="26.4">
      <c r="W4185" s="64" ph="1"/>
    </row>
    <row r="4186" spans="23:23" ht="26.4">
      <c r="W4186" s="64" ph="1"/>
    </row>
    <row r="4187" spans="23:23" ht="26.4">
      <c r="W4187" s="64" ph="1"/>
    </row>
    <row r="4188" spans="23:23" ht="26.4">
      <c r="W4188" s="64" ph="1"/>
    </row>
    <row r="4189" spans="23:23" ht="26.4">
      <c r="W4189" s="64" ph="1"/>
    </row>
    <row r="4190" spans="23:23" ht="26.4">
      <c r="W4190" s="64" ph="1"/>
    </row>
    <row r="4191" spans="23:23" ht="26.4">
      <c r="W4191" s="64" ph="1"/>
    </row>
    <row r="4192" spans="23:23" ht="26.4">
      <c r="W4192" s="64" ph="1"/>
    </row>
    <row r="4193" spans="23:23" ht="26.4">
      <c r="W4193" s="64" ph="1"/>
    </row>
    <row r="4194" spans="23:23" ht="26.4">
      <c r="W4194" s="64" ph="1"/>
    </row>
    <row r="4195" spans="23:23" ht="26.4">
      <c r="W4195" s="64" ph="1"/>
    </row>
    <row r="4196" spans="23:23" ht="26.4">
      <c r="W4196" s="64" ph="1"/>
    </row>
    <row r="4197" spans="23:23" ht="26.4">
      <c r="W4197" s="64" ph="1"/>
    </row>
    <row r="4198" spans="23:23" ht="26.4">
      <c r="W4198" s="64" ph="1"/>
    </row>
    <row r="4199" spans="23:23" ht="26.4">
      <c r="W4199" s="64" ph="1"/>
    </row>
    <row r="4200" spans="23:23" ht="26.4">
      <c r="W4200" s="64" ph="1"/>
    </row>
    <row r="4201" spans="23:23" ht="26.4">
      <c r="W4201" s="64" ph="1"/>
    </row>
    <row r="4202" spans="23:23" ht="26.4">
      <c r="W4202" s="64" ph="1"/>
    </row>
    <row r="4203" spans="23:23" ht="26.4">
      <c r="W4203" s="64" ph="1"/>
    </row>
    <row r="4204" spans="23:23" ht="26.4">
      <c r="W4204" s="64" ph="1"/>
    </row>
    <row r="4205" spans="23:23" ht="26.4">
      <c r="W4205" s="64" ph="1"/>
    </row>
    <row r="4206" spans="23:23" ht="26.4">
      <c r="W4206" s="64" ph="1"/>
    </row>
    <row r="4207" spans="23:23" ht="26.4">
      <c r="W4207" s="64" ph="1"/>
    </row>
    <row r="4208" spans="23:23" ht="26.4">
      <c r="W4208" s="64" ph="1"/>
    </row>
    <row r="4209" spans="23:23" ht="26.4">
      <c r="W4209" s="64" ph="1"/>
    </row>
    <row r="4210" spans="23:23" ht="26.4">
      <c r="W4210" s="64" ph="1"/>
    </row>
    <row r="4211" spans="23:23" ht="26.4">
      <c r="W4211" s="64" ph="1"/>
    </row>
    <row r="4212" spans="23:23" ht="26.4">
      <c r="W4212" s="64" ph="1"/>
    </row>
    <row r="4213" spans="23:23" ht="26.4">
      <c r="W4213" s="64" ph="1"/>
    </row>
    <row r="4214" spans="23:23" ht="26.4">
      <c r="W4214" s="64" ph="1"/>
    </row>
    <row r="4215" spans="23:23" ht="26.4">
      <c r="W4215" s="64" ph="1"/>
    </row>
    <row r="4216" spans="23:23" ht="26.4">
      <c r="W4216" s="64" ph="1"/>
    </row>
    <row r="4217" spans="23:23" ht="26.4">
      <c r="W4217" s="64" ph="1"/>
    </row>
    <row r="4218" spans="23:23" ht="26.4">
      <c r="W4218" s="64" ph="1"/>
    </row>
    <row r="4219" spans="23:23" ht="26.4">
      <c r="W4219" s="64" ph="1"/>
    </row>
    <row r="4220" spans="23:23" ht="26.4">
      <c r="W4220" s="64" ph="1"/>
    </row>
    <row r="4221" spans="23:23" ht="26.4">
      <c r="W4221" s="64" ph="1"/>
    </row>
    <row r="4222" spans="23:23" ht="26.4">
      <c r="W4222" s="64" ph="1"/>
    </row>
    <row r="4223" spans="23:23" ht="26.4">
      <c r="W4223" s="64" ph="1"/>
    </row>
    <row r="4224" spans="23:23" ht="26.4">
      <c r="W4224" s="64" ph="1"/>
    </row>
    <row r="4225" spans="23:23" ht="26.4">
      <c r="W4225" s="64" ph="1"/>
    </row>
    <row r="4226" spans="23:23" ht="26.4">
      <c r="W4226" s="64" ph="1"/>
    </row>
    <row r="4227" spans="23:23" ht="26.4">
      <c r="W4227" s="64" ph="1"/>
    </row>
    <row r="4228" spans="23:23" ht="26.4">
      <c r="W4228" s="64" ph="1"/>
    </row>
    <row r="4229" spans="23:23" ht="26.4">
      <c r="W4229" s="64" ph="1"/>
    </row>
    <row r="4230" spans="23:23" ht="26.4">
      <c r="W4230" s="64" ph="1"/>
    </row>
    <row r="4231" spans="23:23" ht="26.4">
      <c r="W4231" s="64" ph="1"/>
    </row>
    <row r="4232" spans="23:23" ht="26.4">
      <c r="W4232" s="64" ph="1"/>
    </row>
    <row r="4233" spans="23:23" ht="26.4">
      <c r="W4233" s="64" ph="1"/>
    </row>
    <row r="4234" spans="23:23" ht="26.4">
      <c r="W4234" s="64" ph="1"/>
    </row>
    <row r="4235" spans="23:23" ht="26.4">
      <c r="W4235" s="64" ph="1"/>
    </row>
    <row r="4236" spans="23:23" ht="26.4">
      <c r="W4236" s="64" ph="1"/>
    </row>
    <row r="4237" spans="23:23" ht="26.4">
      <c r="W4237" s="64" ph="1"/>
    </row>
    <row r="4238" spans="23:23" ht="26.4">
      <c r="W4238" s="64" ph="1"/>
    </row>
    <row r="4239" spans="23:23" ht="26.4">
      <c r="W4239" s="64" ph="1"/>
    </row>
    <row r="4240" spans="23:23" ht="26.4">
      <c r="W4240" s="64" ph="1"/>
    </row>
    <row r="4241" spans="23:23" ht="26.4">
      <c r="W4241" s="64" ph="1"/>
    </row>
    <row r="4242" spans="23:23" ht="26.4">
      <c r="W4242" s="64" ph="1"/>
    </row>
    <row r="4243" spans="23:23" ht="26.4">
      <c r="W4243" s="64" ph="1"/>
    </row>
    <row r="4244" spans="23:23" ht="26.4">
      <c r="W4244" s="64" ph="1"/>
    </row>
    <row r="4245" spans="23:23" ht="26.4">
      <c r="W4245" s="64" ph="1"/>
    </row>
    <row r="4246" spans="23:23" ht="26.4">
      <c r="W4246" s="64" ph="1"/>
    </row>
    <row r="4247" spans="23:23" ht="26.4">
      <c r="W4247" s="64" ph="1"/>
    </row>
    <row r="4248" spans="23:23" ht="26.4">
      <c r="W4248" s="64" ph="1"/>
    </row>
    <row r="4249" spans="23:23" ht="26.4">
      <c r="W4249" s="64" ph="1"/>
    </row>
    <row r="4250" spans="23:23" ht="26.4">
      <c r="W4250" s="64" ph="1"/>
    </row>
    <row r="4251" spans="23:23" ht="26.4">
      <c r="W4251" s="64" ph="1"/>
    </row>
    <row r="4252" spans="23:23" ht="26.4">
      <c r="W4252" s="64" ph="1"/>
    </row>
    <row r="4253" spans="23:23" ht="26.4">
      <c r="W4253" s="64" ph="1"/>
    </row>
    <row r="4254" spans="23:23" ht="26.4">
      <c r="W4254" s="64" ph="1"/>
    </row>
    <row r="4255" spans="23:23" ht="26.4">
      <c r="W4255" s="64" ph="1"/>
    </row>
    <row r="4256" spans="23:23" ht="26.4">
      <c r="W4256" s="64" ph="1"/>
    </row>
    <row r="4257" spans="23:23" ht="26.4">
      <c r="W4257" s="64" ph="1"/>
    </row>
    <row r="4258" spans="23:23" ht="26.4">
      <c r="W4258" s="64" ph="1"/>
    </row>
    <row r="4259" spans="23:23" ht="26.4">
      <c r="W4259" s="64" ph="1"/>
    </row>
    <row r="4260" spans="23:23" ht="26.4">
      <c r="W4260" s="64" ph="1"/>
    </row>
    <row r="4261" spans="23:23" ht="26.4">
      <c r="W4261" s="64" ph="1"/>
    </row>
    <row r="4262" spans="23:23" ht="26.4">
      <c r="W4262" s="64" ph="1"/>
    </row>
    <row r="4263" spans="23:23" ht="26.4">
      <c r="W4263" s="64" ph="1"/>
    </row>
    <row r="4264" spans="23:23" ht="26.4">
      <c r="W4264" s="64" ph="1"/>
    </row>
    <row r="4265" spans="23:23" ht="26.4">
      <c r="W4265" s="64" ph="1"/>
    </row>
    <row r="4266" spans="23:23" ht="26.4">
      <c r="W4266" s="64" ph="1"/>
    </row>
    <row r="4267" spans="23:23" ht="26.4">
      <c r="W4267" s="64" ph="1"/>
    </row>
    <row r="4268" spans="23:23" ht="26.4">
      <c r="W4268" s="64" ph="1"/>
    </row>
    <row r="4269" spans="23:23" ht="26.4">
      <c r="W4269" s="64" ph="1"/>
    </row>
    <row r="4270" spans="23:23" ht="26.4">
      <c r="W4270" s="64" ph="1"/>
    </row>
    <row r="4271" spans="23:23" ht="26.4">
      <c r="W4271" s="64" ph="1"/>
    </row>
    <row r="4272" spans="23:23" ht="26.4">
      <c r="W4272" s="64" ph="1"/>
    </row>
    <row r="4273" spans="23:23" ht="26.4">
      <c r="W4273" s="64" ph="1"/>
    </row>
    <row r="4274" spans="23:23" ht="26.4">
      <c r="W4274" s="64" ph="1"/>
    </row>
    <row r="4275" spans="23:23" ht="26.4">
      <c r="W4275" s="64" ph="1"/>
    </row>
    <row r="4276" spans="23:23" ht="26.4">
      <c r="W4276" s="64" ph="1"/>
    </row>
    <row r="4277" spans="23:23" ht="26.4">
      <c r="W4277" s="64" ph="1"/>
    </row>
    <row r="4278" spans="23:23" ht="26.4">
      <c r="W4278" s="64" ph="1"/>
    </row>
    <row r="4279" spans="23:23" ht="26.4">
      <c r="W4279" s="64" ph="1"/>
    </row>
    <row r="4280" spans="23:23" ht="26.4">
      <c r="W4280" s="64" ph="1"/>
    </row>
    <row r="4281" spans="23:23" ht="26.4">
      <c r="W4281" s="64" ph="1"/>
    </row>
    <row r="4282" spans="23:23" ht="26.4">
      <c r="W4282" s="64" ph="1"/>
    </row>
    <row r="4283" spans="23:23" ht="26.4">
      <c r="W4283" s="64" ph="1"/>
    </row>
    <row r="4284" spans="23:23" ht="26.4">
      <c r="W4284" s="64" ph="1"/>
    </row>
    <row r="4285" spans="23:23" ht="26.4">
      <c r="W4285" s="64" ph="1"/>
    </row>
    <row r="4286" spans="23:23" ht="26.4">
      <c r="W4286" s="64" ph="1"/>
    </row>
    <row r="4287" spans="23:23" ht="26.4">
      <c r="W4287" s="64" ph="1"/>
    </row>
    <row r="4288" spans="23:23" ht="26.4">
      <c r="W4288" s="64" ph="1"/>
    </row>
    <row r="4289" spans="23:23" ht="26.4">
      <c r="W4289" s="64" ph="1"/>
    </row>
    <row r="4290" spans="23:23" ht="26.4">
      <c r="W4290" s="64" ph="1"/>
    </row>
    <row r="4291" spans="23:23" ht="26.4">
      <c r="W4291" s="64" ph="1"/>
    </row>
    <row r="4292" spans="23:23" ht="26.4">
      <c r="W4292" s="64" ph="1"/>
    </row>
    <row r="4293" spans="23:23" ht="26.4">
      <c r="W4293" s="64" ph="1"/>
    </row>
    <row r="4294" spans="23:23" ht="26.4">
      <c r="W4294" s="64" ph="1"/>
    </row>
    <row r="4295" spans="23:23" ht="26.4">
      <c r="W4295" s="64" ph="1"/>
    </row>
    <row r="4296" spans="23:23" ht="26.4">
      <c r="W4296" s="64" ph="1"/>
    </row>
    <row r="4297" spans="23:23" ht="26.4">
      <c r="W4297" s="64" ph="1"/>
    </row>
    <row r="4298" spans="23:23" ht="26.4">
      <c r="W4298" s="64" ph="1"/>
    </row>
    <row r="4299" spans="23:23" ht="26.4">
      <c r="W4299" s="64" ph="1"/>
    </row>
    <row r="4300" spans="23:23" ht="26.4">
      <c r="W4300" s="64" ph="1"/>
    </row>
    <row r="4301" spans="23:23" ht="26.4">
      <c r="W4301" s="64" ph="1"/>
    </row>
    <row r="4302" spans="23:23" ht="26.4">
      <c r="W4302" s="64" ph="1"/>
    </row>
    <row r="4303" spans="23:23" ht="26.4">
      <c r="W4303" s="64" ph="1"/>
    </row>
    <row r="4304" spans="23:23" ht="26.4">
      <c r="W4304" s="64" ph="1"/>
    </row>
    <row r="4305" spans="23:23" ht="26.4">
      <c r="W4305" s="64" ph="1"/>
    </row>
    <row r="4306" spans="23:23" ht="26.4">
      <c r="W4306" s="64" ph="1"/>
    </row>
    <row r="4307" spans="23:23" ht="26.4">
      <c r="W4307" s="64" ph="1"/>
    </row>
    <row r="4308" spans="23:23" ht="26.4">
      <c r="W4308" s="64" ph="1"/>
    </row>
    <row r="4309" spans="23:23" ht="26.4">
      <c r="W4309" s="64" ph="1"/>
    </row>
    <row r="4310" spans="23:23" ht="26.4">
      <c r="W4310" s="64" ph="1"/>
    </row>
    <row r="4311" spans="23:23" ht="26.4">
      <c r="W4311" s="64" ph="1"/>
    </row>
    <row r="4312" spans="23:23" ht="26.4">
      <c r="W4312" s="64" ph="1"/>
    </row>
    <row r="4313" spans="23:23" ht="26.4">
      <c r="W4313" s="64" ph="1"/>
    </row>
    <row r="4314" spans="23:23" ht="26.4">
      <c r="W4314" s="64" ph="1"/>
    </row>
    <row r="4315" spans="23:23" ht="26.4">
      <c r="W4315" s="64" ph="1"/>
    </row>
    <row r="4316" spans="23:23" ht="26.4">
      <c r="W4316" s="64" ph="1"/>
    </row>
    <row r="4317" spans="23:23" ht="26.4">
      <c r="W4317" s="64" ph="1"/>
    </row>
    <row r="4318" spans="23:23" ht="26.4">
      <c r="W4318" s="64" ph="1"/>
    </row>
    <row r="4319" spans="23:23" ht="26.4">
      <c r="W4319" s="64" ph="1"/>
    </row>
    <row r="4320" spans="23:23" ht="26.4">
      <c r="W4320" s="64" ph="1"/>
    </row>
    <row r="4321" spans="23:23" ht="26.4">
      <c r="W4321" s="64" ph="1"/>
    </row>
    <row r="4322" spans="23:23" ht="26.4">
      <c r="W4322" s="64" ph="1"/>
    </row>
    <row r="4323" spans="23:23" ht="26.4">
      <c r="W4323" s="64" ph="1"/>
    </row>
    <row r="4324" spans="23:23" ht="26.4">
      <c r="W4324" s="64" ph="1"/>
    </row>
    <row r="4325" spans="23:23" ht="26.4">
      <c r="W4325" s="64" ph="1"/>
    </row>
    <row r="4326" spans="23:23" ht="26.4">
      <c r="W4326" s="64" ph="1"/>
    </row>
    <row r="4327" spans="23:23" ht="26.4">
      <c r="W4327" s="64" ph="1"/>
    </row>
    <row r="4328" spans="23:23" ht="26.4">
      <c r="W4328" s="64" ph="1"/>
    </row>
    <row r="4329" spans="23:23" ht="26.4">
      <c r="W4329" s="64" ph="1"/>
    </row>
    <row r="4330" spans="23:23" ht="26.4">
      <c r="W4330" s="64" ph="1"/>
    </row>
    <row r="4331" spans="23:23" ht="26.4">
      <c r="W4331" s="64" ph="1"/>
    </row>
    <row r="4332" spans="23:23" ht="26.4">
      <c r="W4332" s="64" ph="1"/>
    </row>
    <row r="4333" spans="23:23" ht="26.4">
      <c r="W4333" s="64" ph="1"/>
    </row>
    <row r="4334" spans="23:23" ht="26.4">
      <c r="W4334" s="64" ph="1"/>
    </row>
    <row r="4335" spans="23:23" ht="26.4">
      <c r="W4335" s="64" ph="1"/>
    </row>
    <row r="4336" spans="23:23" ht="26.4">
      <c r="W4336" s="64" ph="1"/>
    </row>
    <row r="4337" spans="23:23" ht="26.4">
      <c r="W4337" s="64" ph="1"/>
    </row>
    <row r="4338" spans="23:23" ht="26.4">
      <c r="W4338" s="64" ph="1"/>
    </row>
    <row r="4339" spans="23:23" ht="26.4">
      <c r="W4339" s="64" ph="1"/>
    </row>
    <row r="4340" spans="23:23" ht="26.4">
      <c r="W4340" s="64" ph="1"/>
    </row>
    <row r="4341" spans="23:23" ht="26.4">
      <c r="W4341" s="64" ph="1"/>
    </row>
    <row r="4342" spans="23:23" ht="26.4">
      <c r="W4342" s="64" ph="1"/>
    </row>
    <row r="4343" spans="23:23" ht="26.4">
      <c r="W4343" s="64" ph="1"/>
    </row>
    <row r="4344" spans="23:23" ht="26.4">
      <c r="W4344" s="64" ph="1"/>
    </row>
    <row r="4345" spans="23:23" ht="26.4">
      <c r="W4345" s="64" ph="1"/>
    </row>
    <row r="4346" spans="23:23" ht="26.4">
      <c r="W4346" s="64" ph="1"/>
    </row>
    <row r="4347" spans="23:23" ht="26.4">
      <c r="W4347" s="64" ph="1"/>
    </row>
    <row r="4348" spans="23:23" ht="26.4">
      <c r="W4348" s="64" ph="1"/>
    </row>
    <row r="4349" spans="23:23" ht="26.4">
      <c r="W4349" s="64" ph="1"/>
    </row>
    <row r="4350" spans="23:23" ht="26.4">
      <c r="W4350" s="64" ph="1"/>
    </row>
    <row r="4351" spans="23:23" ht="26.4">
      <c r="W4351" s="64" ph="1"/>
    </row>
    <row r="4352" spans="23:23" ht="26.4">
      <c r="W4352" s="64" ph="1"/>
    </row>
    <row r="4353" spans="23:23" ht="26.4">
      <c r="W4353" s="64" ph="1"/>
    </row>
    <row r="4354" spans="23:23" ht="26.4">
      <c r="W4354" s="64" ph="1"/>
    </row>
    <row r="4355" spans="23:23" ht="26.4">
      <c r="W4355" s="64" ph="1"/>
    </row>
    <row r="4356" spans="23:23" ht="26.4">
      <c r="W4356" s="64" ph="1"/>
    </row>
    <row r="4357" spans="23:23" ht="26.4">
      <c r="W4357" s="64" ph="1"/>
    </row>
    <row r="4358" spans="23:23" ht="26.4">
      <c r="W4358" s="64" ph="1"/>
    </row>
    <row r="4359" spans="23:23" ht="26.4">
      <c r="W4359" s="64" ph="1"/>
    </row>
    <row r="4360" spans="23:23" ht="26.4">
      <c r="W4360" s="64" ph="1"/>
    </row>
    <row r="4361" spans="23:23" ht="26.4">
      <c r="W4361" s="64" ph="1"/>
    </row>
    <row r="4362" spans="23:23" ht="26.4">
      <c r="W4362" s="64" ph="1"/>
    </row>
    <row r="4363" spans="23:23" ht="26.4">
      <c r="W4363" s="64" ph="1"/>
    </row>
    <row r="4364" spans="23:23" ht="26.4">
      <c r="W4364" s="64" ph="1"/>
    </row>
    <row r="4365" spans="23:23" ht="26.4">
      <c r="W4365" s="64" ph="1"/>
    </row>
    <row r="4366" spans="23:23" ht="26.4">
      <c r="W4366" s="64" ph="1"/>
    </row>
    <row r="4367" spans="23:23" ht="26.4">
      <c r="W4367" s="64" ph="1"/>
    </row>
    <row r="4368" spans="23:23" ht="26.4">
      <c r="W4368" s="64" ph="1"/>
    </row>
    <row r="4369" spans="23:23" ht="26.4">
      <c r="W4369" s="64" ph="1"/>
    </row>
    <row r="4370" spans="23:23" ht="26.4">
      <c r="W4370" s="64" ph="1"/>
    </row>
    <row r="4371" spans="23:23" ht="26.4">
      <c r="W4371" s="64" ph="1"/>
    </row>
    <row r="4372" spans="23:23" ht="26.4">
      <c r="W4372" s="64" ph="1"/>
    </row>
    <row r="4373" spans="23:23" ht="26.4">
      <c r="W4373" s="64" ph="1"/>
    </row>
    <row r="4374" spans="23:23" ht="26.4">
      <c r="W4374" s="64" ph="1"/>
    </row>
    <row r="4375" spans="23:23" ht="26.4">
      <c r="W4375" s="64" ph="1"/>
    </row>
    <row r="4376" spans="23:23" ht="26.4">
      <c r="W4376" s="64" ph="1"/>
    </row>
    <row r="4377" spans="23:23" ht="26.4">
      <c r="W4377" s="64" ph="1"/>
    </row>
    <row r="4378" spans="23:23" ht="26.4">
      <c r="W4378" s="64" ph="1"/>
    </row>
    <row r="4379" spans="23:23" ht="26.4">
      <c r="W4379" s="64" ph="1"/>
    </row>
    <row r="4380" spans="23:23" ht="26.4">
      <c r="W4380" s="64" ph="1"/>
    </row>
    <row r="4381" spans="23:23" ht="26.4">
      <c r="W4381" s="64" ph="1"/>
    </row>
    <row r="4382" spans="23:23" ht="26.4">
      <c r="W4382" s="64" ph="1"/>
    </row>
    <row r="4383" spans="23:23" ht="26.4">
      <c r="W4383" s="64" ph="1"/>
    </row>
    <row r="4384" spans="23:23" ht="26.4">
      <c r="W4384" s="64" ph="1"/>
    </row>
    <row r="4385" spans="23:23" ht="26.4">
      <c r="W4385" s="64" ph="1"/>
    </row>
    <row r="4386" spans="23:23" ht="26.4">
      <c r="W4386" s="64" ph="1"/>
    </row>
    <row r="4387" spans="23:23" ht="26.4">
      <c r="W4387" s="64" ph="1"/>
    </row>
    <row r="4388" spans="23:23" ht="26.4">
      <c r="W4388" s="64" ph="1"/>
    </row>
    <row r="4389" spans="23:23" ht="26.4">
      <c r="W4389" s="64" ph="1"/>
    </row>
    <row r="4390" spans="23:23" ht="26.4">
      <c r="W4390" s="64" ph="1"/>
    </row>
    <row r="4391" spans="23:23" ht="26.4">
      <c r="W4391" s="64" ph="1"/>
    </row>
    <row r="4392" spans="23:23" ht="26.4">
      <c r="W4392" s="64" ph="1"/>
    </row>
    <row r="4393" spans="23:23" ht="26.4">
      <c r="W4393" s="64" ph="1"/>
    </row>
    <row r="4394" spans="23:23" ht="26.4">
      <c r="W4394" s="64" ph="1"/>
    </row>
    <row r="4395" spans="23:23" ht="26.4">
      <c r="W4395" s="64" ph="1"/>
    </row>
    <row r="4396" spans="23:23" ht="26.4">
      <c r="W4396" s="64" ph="1"/>
    </row>
    <row r="4397" spans="23:23" ht="26.4">
      <c r="W4397" s="64" ph="1"/>
    </row>
    <row r="4398" spans="23:23" ht="26.4">
      <c r="W4398" s="64" ph="1"/>
    </row>
    <row r="4399" spans="23:23" ht="26.4">
      <c r="W4399" s="64" ph="1"/>
    </row>
    <row r="4400" spans="23:23" ht="26.4">
      <c r="W4400" s="64" ph="1"/>
    </row>
    <row r="4401" spans="23:23" ht="26.4">
      <c r="W4401" s="64" ph="1"/>
    </row>
    <row r="4402" spans="23:23" ht="26.4">
      <c r="W4402" s="64" ph="1"/>
    </row>
    <row r="4403" spans="23:23" ht="26.4">
      <c r="W4403" s="64" ph="1"/>
    </row>
    <row r="4404" spans="23:23" ht="26.4">
      <c r="W4404" s="64" ph="1"/>
    </row>
    <row r="4405" spans="23:23" ht="26.4">
      <c r="W4405" s="64" ph="1"/>
    </row>
    <row r="4406" spans="23:23" ht="26.4">
      <c r="W4406" s="64" ph="1"/>
    </row>
    <row r="4407" spans="23:23" ht="26.4">
      <c r="W4407" s="64" ph="1"/>
    </row>
    <row r="4408" spans="23:23" ht="26.4">
      <c r="W4408" s="64" ph="1"/>
    </row>
    <row r="4409" spans="23:23" ht="26.4">
      <c r="W4409" s="64" ph="1"/>
    </row>
    <row r="4410" spans="23:23" ht="26.4">
      <c r="W4410" s="64" ph="1"/>
    </row>
    <row r="4411" spans="23:23" ht="26.4">
      <c r="W4411" s="64" ph="1"/>
    </row>
    <row r="4412" spans="23:23" ht="26.4">
      <c r="W4412" s="64" ph="1"/>
    </row>
    <row r="4413" spans="23:23" ht="26.4">
      <c r="W4413" s="64" ph="1"/>
    </row>
    <row r="4414" spans="23:23" ht="26.4">
      <c r="W4414" s="64" ph="1"/>
    </row>
    <row r="4415" spans="23:23" ht="26.4">
      <c r="W4415" s="64" ph="1"/>
    </row>
    <row r="4416" spans="23:23" ht="26.4">
      <c r="W4416" s="64" ph="1"/>
    </row>
    <row r="4417" spans="23:23" ht="26.4">
      <c r="W4417" s="64" ph="1"/>
    </row>
    <row r="4418" spans="23:23" ht="26.4">
      <c r="W4418" s="64" ph="1"/>
    </row>
    <row r="4419" spans="23:23" ht="26.4">
      <c r="W4419" s="64" ph="1"/>
    </row>
    <row r="4420" spans="23:23" ht="26.4">
      <c r="W4420" s="64" ph="1"/>
    </row>
    <row r="4421" spans="23:23" ht="26.4">
      <c r="W4421" s="64" ph="1"/>
    </row>
    <row r="4422" spans="23:23" ht="26.4">
      <c r="W4422" s="64" ph="1"/>
    </row>
    <row r="4423" spans="23:23" ht="26.4">
      <c r="W4423" s="64" ph="1"/>
    </row>
    <row r="4424" spans="23:23" ht="26.4">
      <c r="W4424" s="64" ph="1"/>
    </row>
    <row r="4425" spans="23:23" ht="26.4">
      <c r="W4425" s="64" ph="1"/>
    </row>
    <row r="4426" spans="23:23" ht="26.4">
      <c r="W4426" s="64" ph="1"/>
    </row>
    <row r="4427" spans="23:23" ht="26.4">
      <c r="W4427" s="64" ph="1"/>
    </row>
    <row r="4428" spans="23:23" ht="26.4">
      <c r="W4428" s="64" ph="1"/>
    </row>
    <row r="4429" spans="23:23" ht="26.4">
      <c r="W4429" s="64" ph="1"/>
    </row>
    <row r="4430" spans="23:23" ht="26.4">
      <c r="W4430" s="64" ph="1"/>
    </row>
    <row r="4431" spans="23:23" ht="26.4">
      <c r="W4431" s="64" ph="1"/>
    </row>
    <row r="4432" spans="23:23" ht="26.4">
      <c r="W4432" s="64" ph="1"/>
    </row>
    <row r="4433" spans="23:23" ht="26.4">
      <c r="W4433" s="64" ph="1"/>
    </row>
    <row r="4434" spans="23:23" ht="26.4">
      <c r="W4434" s="64" ph="1"/>
    </row>
    <row r="4435" spans="23:23" ht="26.4">
      <c r="W4435" s="64" ph="1"/>
    </row>
    <row r="4436" spans="23:23" ht="26.4">
      <c r="W4436" s="64" ph="1"/>
    </row>
    <row r="4437" spans="23:23" ht="26.4">
      <c r="W4437" s="64" ph="1"/>
    </row>
    <row r="4438" spans="23:23" ht="26.4">
      <c r="W4438" s="64" ph="1"/>
    </row>
    <row r="4439" spans="23:23" ht="26.4">
      <c r="W4439" s="64" ph="1"/>
    </row>
    <row r="4440" spans="23:23" ht="26.4">
      <c r="W4440" s="64" ph="1"/>
    </row>
    <row r="4441" spans="23:23" ht="26.4">
      <c r="W4441" s="64" ph="1"/>
    </row>
    <row r="4442" spans="23:23" ht="26.4">
      <c r="W4442" s="64" ph="1"/>
    </row>
    <row r="4443" spans="23:23" ht="26.4">
      <c r="W4443" s="64" ph="1"/>
    </row>
    <row r="4444" spans="23:23" ht="26.4">
      <c r="W4444" s="64" ph="1"/>
    </row>
    <row r="4445" spans="23:23" ht="26.4">
      <c r="W4445" s="64" ph="1"/>
    </row>
    <row r="4446" spans="23:23" ht="26.4">
      <c r="W4446" s="64" ph="1"/>
    </row>
    <row r="4447" spans="23:23" ht="26.4">
      <c r="W4447" s="64" ph="1"/>
    </row>
    <row r="4448" spans="23:23" ht="26.4">
      <c r="W4448" s="64" ph="1"/>
    </row>
    <row r="4449" spans="23:23" ht="26.4">
      <c r="W4449" s="64" ph="1"/>
    </row>
    <row r="4450" spans="23:23" ht="26.4">
      <c r="W4450" s="64" ph="1"/>
    </row>
    <row r="4451" spans="23:23" ht="26.4">
      <c r="W4451" s="64" ph="1"/>
    </row>
    <row r="4452" spans="23:23" ht="26.4">
      <c r="W4452" s="64" ph="1"/>
    </row>
    <row r="4453" spans="23:23" ht="26.4">
      <c r="W4453" s="64" ph="1"/>
    </row>
    <row r="4454" spans="23:23" ht="26.4">
      <c r="W4454" s="64" ph="1"/>
    </row>
    <row r="4455" spans="23:23" ht="26.4">
      <c r="W4455" s="64" ph="1"/>
    </row>
    <row r="4456" spans="23:23" ht="26.4">
      <c r="W4456" s="64" ph="1"/>
    </row>
    <row r="4457" spans="23:23" ht="26.4">
      <c r="W4457" s="64" ph="1"/>
    </row>
    <row r="4458" spans="23:23" ht="26.4">
      <c r="W4458" s="64" ph="1"/>
    </row>
    <row r="4459" spans="23:23" ht="26.4">
      <c r="W4459" s="64" ph="1"/>
    </row>
    <row r="4460" spans="23:23" ht="26.4">
      <c r="W4460" s="64" ph="1"/>
    </row>
    <row r="4461" spans="23:23" ht="26.4">
      <c r="W4461" s="64" ph="1"/>
    </row>
    <row r="4462" spans="23:23" ht="26.4">
      <c r="W4462" s="64" ph="1"/>
    </row>
    <row r="4463" spans="23:23" ht="26.4">
      <c r="W4463" s="64" ph="1"/>
    </row>
    <row r="4464" spans="23:23" ht="26.4">
      <c r="W4464" s="64" ph="1"/>
    </row>
    <row r="4465" spans="23:23" ht="26.4">
      <c r="W4465" s="64" ph="1"/>
    </row>
    <row r="4466" spans="23:23" ht="26.4">
      <c r="W4466" s="64" ph="1"/>
    </row>
    <row r="4467" spans="23:23" ht="26.4">
      <c r="W4467" s="64" ph="1"/>
    </row>
    <row r="4468" spans="23:23" ht="26.4">
      <c r="W4468" s="64" ph="1"/>
    </row>
    <row r="4469" spans="23:23" ht="26.4">
      <c r="W4469" s="64" ph="1"/>
    </row>
    <row r="4470" spans="23:23" ht="26.4">
      <c r="W4470" s="64" ph="1"/>
    </row>
    <row r="4471" spans="23:23" ht="26.4">
      <c r="W4471" s="64" ph="1"/>
    </row>
    <row r="4472" spans="23:23" ht="26.4">
      <c r="W4472" s="64" ph="1"/>
    </row>
    <row r="4473" spans="23:23" ht="26.4">
      <c r="W4473" s="64" ph="1"/>
    </row>
    <row r="4474" spans="23:23" ht="26.4">
      <c r="W4474" s="64" ph="1"/>
    </row>
    <row r="4475" spans="23:23" ht="26.4">
      <c r="W4475" s="64" ph="1"/>
    </row>
    <row r="4476" spans="23:23" ht="26.4">
      <c r="W4476" s="64" ph="1"/>
    </row>
    <row r="4477" spans="23:23" ht="26.4">
      <c r="W4477" s="64" ph="1"/>
    </row>
    <row r="4478" spans="23:23" ht="26.4">
      <c r="W4478" s="64" ph="1"/>
    </row>
    <row r="4479" spans="23:23" ht="26.4">
      <c r="W4479" s="64" ph="1"/>
    </row>
    <row r="4480" spans="23:23" ht="26.4">
      <c r="W4480" s="64" ph="1"/>
    </row>
    <row r="4481" spans="23:23" ht="26.4">
      <c r="W4481" s="64" ph="1"/>
    </row>
    <row r="4482" spans="23:23" ht="26.4">
      <c r="W4482" s="64" ph="1"/>
    </row>
    <row r="4483" spans="23:23" ht="26.4">
      <c r="W4483" s="64" ph="1"/>
    </row>
    <row r="4484" spans="23:23" ht="26.4">
      <c r="W4484" s="64" ph="1"/>
    </row>
    <row r="4485" spans="23:23" ht="26.4">
      <c r="W4485" s="64" ph="1"/>
    </row>
    <row r="4486" spans="23:23" ht="26.4">
      <c r="W4486" s="64" ph="1"/>
    </row>
    <row r="4487" spans="23:23" ht="26.4">
      <c r="W4487" s="64" ph="1"/>
    </row>
    <row r="4488" spans="23:23" ht="26.4">
      <c r="W4488" s="64" ph="1"/>
    </row>
    <row r="4489" spans="23:23" ht="26.4">
      <c r="W4489" s="64" ph="1"/>
    </row>
    <row r="4490" spans="23:23" ht="26.4">
      <c r="W4490" s="64" ph="1"/>
    </row>
    <row r="4491" spans="23:23" ht="26.4">
      <c r="W4491" s="64" ph="1"/>
    </row>
    <row r="4492" spans="23:23" ht="26.4">
      <c r="W4492" s="64" ph="1"/>
    </row>
    <row r="4493" spans="23:23" ht="26.4">
      <c r="W4493" s="64" ph="1"/>
    </row>
    <row r="4494" spans="23:23" ht="26.4">
      <c r="W4494" s="64" ph="1"/>
    </row>
    <row r="4495" spans="23:23" ht="26.4">
      <c r="W4495" s="64" ph="1"/>
    </row>
    <row r="4496" spans="23:23" ht="26.4">
      <c r="W4496" s="64" ph="1"/>
    </row>
    <row r="4497" spans="23:23" ht="26.4">
      <c r="W4497" s="64" ph="1"/>
    </row>
    <row r="4498" spans="23:23" ht="26.4">
      <c r="W4498" s="64" ph="1"/>
    </row>
    <row r="4499" spans="23:23" ht="26.4">
      <c r="W4499" s="64" ph="1"/>
    </row>
    <row r="4500" spans="23:23" ht="26.4">
      <c r="W4500" s="64" ph="1"/>
    </row>
    <row r="4501" spans="23:23" ht="26.4">
      <c r="W4501" s="64" ph="1"/>
    </row>
    <row r="4502" spans="23:23" ht="26.4">
      <c r="W4502" s="64" ph="1"/>
    </row>
    <row r="4503" spans="23:23" ht="26.4">
      <c r="W4503" s="64" ph="1"/>
    </row>
    <row r="4504" spans="23:23" ht="26.4">
      <c r="W4504" s="64" ph="1"/>
    </row>
    <row r="4505" spans="23:23" ht="26.4">
      <c r="W4505" s="64" ph="1"/>
    </row>
    <row r="4506" spans="23:23" ht="26.4">
      <c r="W4506" s="64" ph="1"/>
    </row>
    <row r="4507" spans="23:23" ht="26.4">
      <c r="W4507" s="64" ph="1"/>
    </row>
    <row r="4508" spans="23:23" ht="26.4">
      <c r="W4508" s="64" ph="1"/>
    </row>
    <row r="4509" spans="23:23" ht="26.4">
      <c r="W4509" s="64" ph="1"/>
    </row>
    <row r="4510" spans="23:23" ht="26.4">
      <c r="W4510" s="64" ph="1"/>
    </row>
    <row r="4511" spans="23:23" ht="26.4">
      <c r="W4511" s="64" ph="1"/>
    </row>
    <row r="4512" spans="23:23" ht="26.4">
      <c r="W4512" s="64" ph="1"/>
    </row>
    <row r="4513" spans="23:23" ht="26.4">
      <c r="W4513" s="64" ph="1"/>
    </row>
    <row r="4514" spans="23:23" ht="26.4">
      <c r="W4514" s="64" ph="1"/>
    </row>
    <row r="4515" spans="23:23" ht="26.4">
      <c r="W4515" s="64" ph="1"/>
    </row>
    <row r="4516" spans="23:23" ht="26.4">
      <c r="W4516" s="64" ph="1"/>
    </row>
    <row r="4517" spans="23:23" ht="26.4">
      <c r="W4517" s="64" ph="1"/>
    </row>
    <row r="4518" spans="23:23" ht="26.4">
      <c r="W4518" s="64" ph="1"/>
    </row>
    <row r="4519" spans="23:23" ht="26.4">
      <c r="W4519" s="64" ph="1"/>
    </row>
    <row r="4520" spans="23:23" ht="26.4">
      <c r="W4520" s="64" ph="1"/>
    </row>
    <row r="4521" spans="23:23" ht="26.4">
      <c r="W4521" s="64" ph="1"/>
    </row>
    <row r="4522" spans="23:23" ht="26.4">
      <c r="W4522" s="64" ph="1"/>
    </row>
    <row r="4523" spans="23:23" ht="26.4">
      <c r="W4523" s="64" ph="1"/>
    </row>
    <row r="4524" spans="23:23" ht="26.4">
      <c r="W4524" s="64" ph="1"/>
    </row>
    <row r="4525" spans="23:23" ht="26.4">
      <c r="W4525" s="64" ph="1"/>
    </row>
    <row r="4526" spans="23:23" ht="26.4">
      <c r="W4526" s="64" ph="1"/>
    </row>
    <row r="4527" spans="23:23" ht="26.4">
      <c r="W4527" s="64" ph="1"/>
    </row>
    <row r="4528" spans="23:23" ht="26.4">
      <c r="W4528" s="64" ph="1"/>
    </row>
    <row r="4529" spans="23:23" ht="26.4">
      <c r="W4529" s="64" ph="1"/>
    </row>
    <row r="4530" spans="23:23" ht="26.4">
      <c r="W4530" s="64" ph="1"/>
    </row>
    <row r="4531" spans="23:23" ht="26.4">
      <c r="W4531" s="64" ph="1"/>
    </row>
    <row r="4532" spans="23:23" ht="26.4">
      <c r="W4532" s="64" ph="1"/>
    </row>
    <row r="4533" spans="23:23" ht="26.4">
      <c r="W4533" s="64" ph="1"/>
    </row>
    <row r="4534" spans="23:23" ht="26.4">
      <c r="W4534" s="64" ph="1"/>
    </row>
    <row r="4535" spans="23:23" ht="26.4">
      <c r="W4535" s="64" ph="1"/>
    </row>
    <row r="4536" spans="23:23" ht="26.4">
      <c r="W4536" s="64" ph="1"/>
    </row>
    <row r="4537" spans="23:23" ht="26.4">
      <c r="W4537" s="64" ph="1"/>
    </row>
    <row r="4538" spans="23:23" ht="26.4">
      <c r="W4538" s="64" ph="1"/>
    </row>
    <row r="4539" spans="23:23" ht="26.4">
      <c r="W4539" s="64" ph="1"/>
    </row>
    <row r="4540" spans="23:23" ht="26.4">
      <c r="W4540" s="64" ph="1"/>
    </row>
    <row r="4541" spans="23:23" ht="26.4">
      <c r="W4541" s="64" ph="1"/>
    </row>
    <row r="4542" spans="23:23" ht="26.4">
      <c r="W4542" s="64" ph="1"/>
    </row>
    <row r="4543" spans="23:23" ht="26.4">
      <c r="W4543" s="64" ph="1"/>
    </row>
    <row r="4544" spans="23:23" ht="26.4">
      <c r="W4544" s="64" ph="1"/>
    </row>
    <row r="4545" spans="23:23" ht="26.4">
      <c r="W4545" s="64" ph="1"/>
    </row>
    <row r="4546" spans="23:23" ht="26.4">
      <c r="W4546" s="64" ph="1"/>
    </row>
    <row r="4547" spans="23:23" ht="26.4">
      <c r="W4547" s="64" ph="1"/>
    </row>
    <row r="4548" spans="23:23" ht="26.4">
      <c r="W4548" s="64" ph="1"/>
    </row>
    <row r="4549" spans="23:23" ht="26.4">
      <c r="W4549" s="64" ph="1"/>
    </row>
    <row r="4550" spans="23:23" ht="26.4">
      <c r="W4550" s="64" ph="1"/>
    </row>
    <row r="4551" spans="23:23" ht="26.4">
      <c r="W4551" s="64" ph="1"/>
    </row>
    <row r="4552" spans="23:23" ht="26.4">
      <c r="W4552" s="64" ph="1"/>
    </row>
    <row r="4553" spans="23:23" ht="26.4">
      <c r="W4553" s="64" ph="1"/>
    </row>
    <row r="4554" spans="23:23" ht="26.4">
      <c r="W4554" s="64" ph="1"/>
    </row>
    <row r="4555" spans="23:23" ht="26.4">
      <c r="W4555" s="64" ph="1"/>
    </row>
    <row r="4556" spans="23:23" ht="26.4">
      <c r="W4556" s="64" ph="1"/>
    </row>
    <row r="4557" spans="23:23" ht="26.4">
      <c r="W4557" s="64" ph="1"/>
    </row>
    <row r="4558" spans="23:23" ht="26.4">
      <c r="W4558" s="64" ph="1"/>
    </row>
    <row r="4559" spans="23:23" ht="26.4">
      <c r="W4559" s="64" ph="1"/>
    </row>
    <row r="4560" spans="23:23" ht="26.4">
      <c r="W4560" s="64" ph="1"/>
    </row>
    <row r="4561" spans="23:23" ht="26.4">
      <c r="W4561" s="64" ph="1"/>
    </row>
    <row r="4562" spans="23:23" ht="26.4">
      <c r="W4562" s="64" ph="1"/>
    </row>
    <row r="4563" spans="23:23" ht="26.4">
      <c r="W4563" s="64" ph="1"/>
    </row>
    <row r="4564" spans="23:23" ht="26.4">
      <c r="W4564" s="64" ph="1"/>
    </row>
    <row r="4565" spans="23:23" ht="26.4">
      <c r="W4565" s="64" ph="1"/>
    </row>
    <row r="4566" spans="23:23" ht="26.4">
      <c r="W4566" s="64" ph="1"/>
    </row>
    <row r="4567" spans="23:23" ht="26.4">
      <c r="W4567" s="64" ph="1"/>
    </row>
    <row r="4568" spans="23:23" ht="26.4">
      <c r="W4568" s="64" ph="1"/>
    </row>
    <row r="4569" spans="23:23" ht="26.4">
      <c r="W4569" s="64" ph="1"/>
    </row>
    <row r="4570" spans="23:23" ht="26.4">
      <c r="W4570" s="64" ph="1"/>
    </row>
    <row r="4571" spans="23:23" ht="26.4">
      <c r="W4571" s="64" ph="1"/>
    </row>
    <row r="4572" spans="23:23" ht="26.4">
      <c r="W4572" s="64" ph="1"/>
    </row>
    <row r="4573" spans="23:23" ht="26.4">
      <c r="W4573" s="64" ph="1"/>
    </row>
    <row r="4574" spans="23:23" ht="26.4">
      <c r="W4574" s="64" ph="1"/>
    </row>
    <row r="4575" spans="23:23" ht="26.4">
      <c r="W4575" s="64" ph="1"/>
    </row>
    <row r="4576" spans="23:23" ht="26.4">
      <c r="W4576" s="64" ph="1"/>
    </row>
    <row r="4577" spans="23:23" ht="26.4">
      <c r="W4577" s="64" ph="1"/>
    </row>
    <row r="4578" spans="23:23" ht="26.4">
      <c r="W4578" s="64" ph="1"/>
    </row>
    <row r="4579" spans="23:23" ht="26.4">
      <c r="W4579" s="64" ph="1"/>
    </row>
    <row r="4580" spans="23:23" ht="26.4">
      <c r="W4580" s="64" ph="1"/>
    </row>
    <row r="4581" spans="23:23" ht="26.4">
      <c r="W4581" s="64" ph="1"/>
    </row>
    <row r="4582" spans="23:23" ht="26.4">
      <c r="W4582" s="64" ph="1"/>
    </row>
    <row r="4583" spans="23:23" ht="26.4">
      <c r="W4583" s="64" ph="1"/>
    </row>
    <row r="4584" spans="23:23" ht="26.4">
      <c r="W4584" s="64" ph="1"/>
    </row>
    <row r="4585" spans="23:23" ht="26.4">
      <c r="W4585" s="64" ph="1"/>
    </row>
    <row r="4586" spans="23:23" ht="26.4">
      <c r="W4586" s="64" ph="1"/>
    </row>
    <row r="4587" spans="23:23" ht="26.4">
      <c r="W4587" s="64" ph="1"/>
    </row>
    <row r="4588" spans="23:23" ht="26.4">
      <c r="W4588" s="64" ph="1"/>
    </row>
    <row r="4589" spans="23:23" ht="26.4">
      <c r="W4589" s="64" ph="1"/>
    </row>
    <row r="4590" spans="23:23" ht="26.4">
      <c r="W4590" s="64" ph="1"/>
    </row>
    <row r="4591" spans="23:23" ht="26.4">
      <c r="W4591" s="64" ph="1"/>
    </row>
    <row r="4592" spans="23:23" ht="26.4">
      <c r="W4592" s="64" ph="1"/>
    </row>
    <row r="4593" spans="23:23" ht="26.4">
      <c r="W4593" s="64" ph="1"/>
    </row>
    <row r="4594" spans="23:23" ht="26.4">
      <c r="W4594" s="64" ph="1"/>
    </row>
    <row r="4595" spans="23:23" ht="26.4">
      <c r="W4595" s="64" ph="1"/>
    </row>
    <row r="4596" spans="23:23" ht="26.4">
      <c r="W4596" s="64" ph="1"/>
    </row>
    <row r="4597" spans="23:23" ht="26.4">
      <c r="W4597" s="64" ph="1"/>
    </row>
    <row r="4598" spans="23:23" ht="26.4">
      <c r="W4598" s="64" ph="1"/>
    </row>
    <row r="4599" spans="23:23" ht="26.4">
      <c r="W4599" s="64" ph="1"/>
    </row>
    <row r="4600" spans="23:23" ht="26.4">
      <c r="W4600" s="64" ph="1"/>
    </row>
    <row r="4601" spans="23:23" ht="26.4">
      <c r="W4601" s="64" ph="1"/>
    </row>
    <row r="4602" spans="23:23" ht="26.4">
      <c r="W4602" s="64" ph="1"/>
    </row>
    <row r="4603" spans="23:23" ht="26.4">
      <c r="W4603" s="64" ph="1"/>
    </row>
    <row r="4604" spans="23:23" ht="26.4">
      <c r="W4604" s="64" ph="1"/>
    </row>
    <row r="4605" spans="23:23" ht="26.4">
      <c r="W4605" s="64" ph="1"/>
    </row>
    <row r="4606" spans="23:23" ht="26.4">
      <c r="W4606" s="64" ph="1"/>
    </row>
    <row r="4607" spans="23:23" ht="26.4">
      <c r="W4607" s="64" ph="1"/>
    </row>
    <row r="4608" spans="23:23" ht="26.4">
      <c r="W4608" s="64" ph="1"/>
    </row>
    <row r="4609" spans="23:23" ht="26.4">
      <c r="W4609" s="64" ph="1"/>
    </row>
    <row r="4610" spans="23:23" ht="26.4">
      <c r="W4610" s="64" ph="1"/>
    </row>
    <row r="4611" spans="23:23" ht="26.4">
      <c r="W4611" s="64" ph="1"/>
    </row>
    <row r="4612" spans="23:23" ht="26.4">
      <c r="W4612" s="64" ph="1"/>
    </row>
    <row r="4613" spans="23:23" ht="26.4">
      <c r="W4613" s="64" ph="1"/>
    </row>
    <row r="4614" spans="23:23" ht="26.4">
      <c r="W4614" s="64" ph="1"/>
    </row>
    <row r="4615" spans="23:23" ht="26.4">
      <c r="W4615" s="64" ph="1"/>
    </row>
    <row r="4616" spans="23:23" ht="26.4">
      <c r="W4616" s="64" ph="1"/>
    </row>
    <row r="4617" spans="23:23" ht="26.4">
      <c r="W4617" s="64" ph="1"/>
    </row>
    <row r="4618" spans="23:23" ht="26.4">
      <c r="W4618" s="64" ph="1"/>
    </row>
    <row r="4619" spans="23:23" ht="26.4">
      <c r="W4619" s="64" ph="1"/>
    </row>
    <row r="4620" spans="23:23" ht="26.4">
      <c r="W4620" s="64" ph="1"/>
    </row>
    <row r="4621" spans="23:23" ht="26.4">
      <c r="W4621" s="64" ph="1"/>
    </row>
    <row r="4622" spans="23:23" ht="26.4">
      <c r="W4622" s="64" ph="1"/>
    </row>
    <row r="4623" spans="23:23" ht="26.4">
      <c r="W4623" s="64" ph="1"/>
    </row>
    <row r="4624" spans="23:23" ht="26.4">
      <c r="W4624" s="64" ph="1"/>
    </row>
    <row r="4625" spans="23:23" ht="26.4">
      <c r="W4625" s="64" ph="1"/>
    </row>
    <row r="4626" spans="23:23" ht="26.4">
      <c r="W4626" s="64" ph="1"/>
    </row>
    <row r="4627" spans="23:23" ht="26.4">
      <c r="W4627" s="64" ph="1"/>
    </row>
    <row r="4628" spans="23:23" ht="26.4">
      <c r="W4628" s="64" ph="1"/>
    </row>
    <row r="4629" spans="23:23" ht="26.4">
      <c r="W4629" s="64" ph="1"/>
    </row>
    <row r="4630" spans="23:23" ht="26.4">
      <c r="W4630" s="64" ph="1"/>
    </row>
    <row r="4631" spans="23:23" ht="26.4">
      <c r="W4631" s="64" ph="1"/>
    </row>
    <row r="4632" spans="23:23" ht="26.4">
      <c r="W4632" s="64" ph="1"/>
    </row>
    <row r="4633" spans="23:23" ht="26.4">
      <c r="W4633" s="64" ph="1"/>
    </row>
    <row r="4634" spans="23:23" ht="26.4">
      <c r="W4634" s="64" ph="1"/>
    </row>
    <row r="4635" spans="23:23" ht="26.4">
      <c r="W4635" s="64" ph="1"/>
    </row>
    <row r="4636" spans="23:23" ht="26.4">
      <c r="W4636" s="64" ph="1"/>
    </row>
    <row r="4637" spans="23:23" ht="26.4">
      <c r="W4637" s="64" ph="1"/>
    </row>
    <row r="4638" spans="23:23" ht="26.4">
      <c r="W4638" s="64" ph="1"/>
    </row>
    <row r="4639" spans="23:23" ht="26.4">
      <c r="W4639" s="64" ph="1"/>
    </row>
    <row r="4640" spans="23:23" ht="26.4">
      <c r="W4640" s="64" ph="1"/>
    </row>
    <row r="4641" spans="23:23" ht="26.4">
      <c r="W4641" s="64" ph="1"/>
    </row>
    <row r="4642" spans="23:23" ht="26.4">
      <c r="W4642" s="64" ph="1"/>
    </row>
    <row r="4643" spans="23:23" ht="26.4">
      <c r="W4643" s="64" ph="1"/>
    </row>
    <row r="4644" spans="23:23" ht="26.4">
      <c r="W4644" s="64" ph="1"/>
    </row>
    <row r="4645" spans="23:23" ht="26.4">
      <c r="W4645" s="64" ph="1"/>
    </row>
    <row r="4646" spans="23:23" ht="26.4">
      <c r="W4646" s="64" ph="1"/>
    </row>
    <row r="4647" spans="23:23" ht="26.4">
      <c r="W4647" s="64" ph="1"/>
    </row>
    <row r="4648" spans="23:23" ht="26.4">
      <c r="W4648" s="64" ph="1"/>
    </row>
    <row r="4649" spans="23:23" ht="26.4">
      <c r="W4649" s="64" ph="1"/>
    </row>
    <row r="4650" spans="23:23" ht="26.4">
      <c r="W4650" s="64" ph="1"/>
    </row>
    <row r="4651" spans="23:23" ht="26.4">
      <c r="W4651" s="64" ph="1"/>
    </row>
    <row r="4652" spans="23:23" ht="26.4">
      <c r="W4652" s="64" ph="1"/>
    </row>
    <row r="4653" spans="23:23" ht="26.4">
      <c r="W4653" s="64" ph="1"/>
    </row>
    <row r="4654" spans="23:23" ht="26.4">
      <c r="W4654" s="64" ph="1"/>
    </row>
    <row r="4655" spans="23:23" ht="26.4">
      <c r="W4655" s="64" ph="1"/>
    </row>
    <row r="4656" spans="23:23" ht="26.4">
      <c r="W4656" s="64" ph="1"/>
    </row>
    <row r="4657" spans="23:23" ht="26.4">
      <c r="W4657" s="64" ph="1"/>
    </row>
    <row r="4658" spans="23:23" ht="26.4">
      <c r="W4658" s="64" ph="1"/>
    </row>
    <row r="4659" spans="23:23" ht="26.4">
      <c r="W4659" s="64" ph="1"/>
    </row>
    <row r="4660" spans="23:23" ht="26.4">
      <c r="W4660" s="64" ph="1"/>
    </row>
    <row r="4661" spans="23:23" ht="26.4">
      <c r="W4661" s="64" ph="1"/>
    </row>
    <row r="4662" spans="23:23" ht="26.4">
      <c r="W4662" s="64" ph="1"/>
    </row>
    <row r="4663" spans="23:23" ht="26.4">
      <c r="W4663" s="64" ph="1"/>
    </row>
    <row r="4664" spans="23:23" ht="26.4">
      <c r="W4664" s="64" ph="1"/>
    </row>
    <row r="4665" spans="23:23" ht="26.4">
      <c r="W4665" s="64" ph="1"/>
    </row>
    <row r="4666" spans="23:23" ht="26.4">
      <c r="W4666" s="64" ph="1"/>
    </row>
    <row r="4667" spans="23:23" ht="26.4">
      <c r="W4667" s="64" ph="1"/>
    </row>
    <row r="4668" spans="23:23" ht="26.4">
      <c r="W4668" s="64" ph="1"/>
    </row>
    <row r="4669" spans="23:23" ht="26.4">
      <c r="W4669" s="64" ph="1"/>
    </row>
    <row r="4670" spans="23:23" ht="26.4">
      <c r="W4670" s="64" ph="1"/>
    </row>
    <row r="4671" spans="23:23" ht="26.4">
      <c r="W4671" s="64" ph="1"/>
    </row>
    <row r="4672" spans="23:23" ht="26.4">
      <c r="W4672" s="64" ph="1"/>
    </row>
    <row r="4673" spans="23:23" ht="26.4">
      <c r="W4673" s="64" ph="1"/>
    </row>
    <row r="4674" spans="23:23" ht="26.4">
      <c r="W4674" s="64" ph="1"/>
    </row>
    <row r="4675" spans="23:23" ht="26.4">
      <c r="W4675" s="64" ph="1"/>
    </row>
    <row r="4676" spans="23:23" ht="26.4">
      <c r="W4676" s="64" ph="1"/>
    </row>
    <row r="4677" spans="23:23" ht="26.4">
      <c r="W4677" s="64" ph="1"/>
    </row>
    <row r="4678" spans="23:23" ht="26.4">
      <c r="W4678" s="64" ph="1"/>
    </row>
    <row r="4679" spans="23:23" ht="26.4">
      <c r="W4679" s="64" ph="1"/>
    </row>
    <row r="4680" spans="23:23" ht="26.4">
      <c r="W4680" s="64" ph="1"/>
    </row>
    <row r="4681" spans="23:23" ht="26.4">
      <c r="W4681" s="64" ph="1"/>
    </row>
    <row r="4682" spans="23:23" ht="26.4">
      <c r="W4682" s="64" ph="1"/>
    </row>
    <row r="4683" spans="23:23" ht="26.4">
      <c r="W4683" s="64" ph="1"/>
    </row>
    <row r="4684" spans="23:23" ht="26.4">
      <c r="W4684" s="64" ph="1"/>
    </row>
    <row r="4685" spans="23:23" ht="26.4">
      <c r="W4685" s="64" ph="1"/>
    </row>
    <row r="4686" spans="23:23" ht="26.4">
      <c r="W4686" s="64" ph="1"/>
    </row>
    <row r="4687" spans="23:23" ht="26.4">
      <c r="W4687" s="64" ph="1"/>
    </row>
    <row r="4688" spans="23:23" ht="26.4">
      <c r="W4688" s="64" ph="1"/>
    </row>
    <row r="4689" spans="23:23" ht="26.4">
      <c r="W4689" s="64" ph="1"/>
    </row>
    <row r="4690" spans="23:23" ht="26.4">
      <c r="W4690" s="64" ph="1"/>
    </row>
    <row r="4691" spans="23:23" ht="26.4">
      <c r="W4691" s="64" ph="1"/>
    </row>
    <row r="4692" spans="23:23" ht="26.4">
      <c r="W4692" s="64" ph="1"/>
    </row>
    <row r="4693" spans="23:23" ht="26.4">
      <c r="W4693" s="64" ph="1"/>
    </row>
    <row r="4694" spans="23:23" ht="26.4">
      <c r="W4694" s="64" ph="1"/>
    </row>
    <row r="4695" spans="23:23" ht="26.4">
      <c r="W4695" s="64" ph="1"/>
    </row>
    <row r="4696" spans="23:23" ht="26.4">
      <c r="W4696" s="64" ph="1"/>
    </row>
    <row r="4697" spans="23:23" ht="26.4">
      <c r="W4697" s="64" ph="1"/>
    </row>
    <row r="4698" spans="23:23" ht="26.4">
      <c r="W4698" s="64" ph="1"/>
    </row>
    <row r="4699" spans="23:23" ht="26.4">
      <c r="W4699" s="64" ph="1"/>
    </row>
    <row r="4700" spans="23:23" ht="26.4">
      <c r="W4700" s="64" ph="1"/>
    </row>
    <row r="4701" spans="23:23" ht="26.4">
      <c r="W4701" s="64" ph="1"/>
    </row>
    <row r="4702" spans="23:23" ht="26.4">
      <c r="W4702" s="64" ph="1"/>
    </row>
    <row r="4703" spans="23:23" ht="26.4">
      <c r="W4703" s="64" ph="1"/>
    </row>
    <row r="4704" spans="23:23" ht="26.4">
      <c r="W4704" s="64" ph="1"/>
    </row>
    <row r="4705" spans="23:23" ht="26.4">
      <c r="W4705" s="64" ph="1"/>
    </row>
    <row r="4706" spans="23:23" ht="26.4">
      <c r="W4706" s="64" ph="1"/>
    </row>
    <row r="4707" spans="23:23" ht="26.4">
      <c r="W4707" s="64" ph="1"/>
    </row>
    <row r="4708" spans="23:23" ht="26.4">
      <c r="W4708" s="64" ph="1"/>
    </row>
    <row r="4709" spans="23:23" ht="26.4">
      <c r="W4709" s="64" ph="1"/>
    </row>
    <row r="4710" spans="23:23" ht="26.4">
      <c r="W4710" s="64" ph="1"/>
    </row>
    <row r="4711" spans="23:23" ht="26.4">
      <c r="W4711" s="64" ph="1"/>
    </row>
    <row r="4712" spans="23:23" ht="26.4">
      <c r="W4712" s="64" ph="1"/>
    </row>
    <row r="4713" spans="23:23" ht="26.4">
      <c r="W4713" s="64" ph="1"/>
    </row>
    <row r="4714" spans="23:23" ht="26.4">
      <c r="W4714" s="64" ph="1"/>
    </row>
    <row r="4715" spans="23:23" ht="26.4">
      <c r="W4715" s="64" ph="1"/>
    </row>
    <row r="4716" spans="23:23" ht="26.4">
      <c r="W4716" s="64" ph="1"/>
    </row>
    <row r="4717" spans="23:23" ht="26.4">
      <c r="W4717" s="64" ph="1"/>
    </row>
    <row r="4718" spans="23:23" ht="26.4">
      <c r="W4718" s="64" ph="1"/>
    </row>
    <row r="4719" spans="23:23" ht="26.4">
      <c r="W4719" s="64" ph="1"/>
    </row>
    <row r="4720" spans="23:23" ht="26.4">
      <c r="W4720" s="64" ph="1"/>
    </row>
    <row r="4721" spans="23:23" ht="26.4">
      <c r="W4721" s="64" ph="1"/>
    </row>
    <row r="4722" spans="23:23" ht="26.4">
      <c r="W4722" s="64" ph="1"/>
    </row>
    <row r="4723" spans="23:23" ht="26.4">
      <c r="W4723" s="64" ph="1"/>
    </row>
    <row r="4724" spans="23:23" ht="26.4">
      <c r="W4724" s="64" ph="1"/>
    </row>
    <row r="4725" spans="23:23" ht="26.4">
      <c r="W4725" s="64" ph="1"/>
    </row>
    <row r="4726" spans="23:23" ht="26.4">
      <c r="W4726" s="64" ph="1"/>
    </row>
    <row r="4727" spans="23:23" ht="26.4">
      <c r="W4727" s="64" ph="1"/>
    </row>
    <row r="4728" spans="23:23" ht="26.4">
      <c r="W4728" s="64" ph="1"/>
    </row>
    <row r="4729" spans="23:23" ht="26.4">
      <c r="W4729" s="64" ph="1"/>
    </row>
    <row r="4730" spans="23:23" ht="26.4">
      <c r="W4730" s="64" ph="1"/>
    </row>
    <row r="4731" spans="23:23" ht="26.4">
      <c r="W4731" s="64" ph="1"/>
    </row>
    <row r="4732" spans="23:23" ht="26.4">
      <c r="W4732" s="64" ph="1"/>
    </row>
    <row r="4733" spans="23:23" ht="26.4">
      <c r="W4733" s="64" ph="1"/>
    </row>
    <row r="4734" spans="23:23" ht="26.4">
      <c r="W4734" s="64" ph="1"/>
    </row>
    <row r="4735" spans="23:23" ht="26.4">
      <c r="W4735" s="64" ph="1"/>
    </row>
    <row r="4736" spans="23:23" ht="26.4">
      <c r="W4736" s="64" ph="1"/>
    </row>
    <row r="4737" spans="23:23" ht="26.4">
      <c r="W4737" s="64" ph="1"/>
    </row>
    <row r="4738" spans="23:23" ht="26.4">
      <c r="W4738" s="64" ph="1"/>
    </row>
    <row r="4739" spans="23:23" ht="26.4">
      <c r="W4739" s="64" ph="1"/>
    </row>
    <row r="4740" spans="23:23" ht="26.4">
      <c r="W4740" s="64" ph="1"/>
    </row>
    <row r="4741" spans="23:23" ht="26.4">
      <c r="W4741" s="64" ph="1"/>
    </row>
    <row r="4742" spans="23:23" ht="26.4">
      <c r="W4742" s="64" ph="1"/>
    </row>
    <row r="4743" spans="23:23" ht="26.4">
      <c r="W4743" s="64" ph="1"/>
    </row>
    <row r="4744" spans="23:23" ht="26.4">
      <c r="W4744" s="64" ph="1"/>
    </row>
    <row r="4745" spans="23:23" ht="26.4">
      <c r="W4745" s="64" ph="1"/>
    </row>
    <row r="4746" spans="23:23" ht="26.4">
      <c r="W4746" s="64" ph="1"/>
    </row>
    <row r="4747" spans="23:23" ht="26.4">
      <c r="W4747" s="64" ph="1"/>
    </row>
    <row r="4748" spans="23:23" ht="26.4">
      <c r="W4748" s="64" ph="1"/>
    </row>
    <row r="4749" spans="23:23" ht="26.4">
      <c r="W4749" s="64" ph="1"/>
    </row>
    <row r="4750" spans="23:23" ht="26.4">
      <c r="W4750" s="64" ph="1"/>
    </row>
    <row r="4751" spans="23:23" ht="26.4">
      <c r="W4751" s="64" ph="1"/>
    </row>
    <row r="4752" spans="23:23" ht="26.4">
      <c r="W4752" s="64" ph="1"/>
    </row>
    <row r="4753" spans="23:23" ht="26.4">
      <c r="W4753" s="64" ph="1"/>
    </row>
    <row r="4754" spans="23:23" ht="26.4">
      <c r="W4754" s="64" ph="1"/>
    </row>
    <row r="4755" spans="23:23" ht="26.4">
      <c r="W4755" s="64" ph="1"/>
    </row>
    <row r="4756" spans="23:23" ht="26.4">
      <c r="W4756" s="64" ph="1"/>
    </row>
    <row r="4757" spans="23:23" ht="26.4">
      <c r="W4757" s="64" ph="1"/>
    </row>
    <row r="4758" spans="23:23" ht="26.4">
      <c r="W4758" s="64" ph="1"/>
    </row>
    <row r="4759" spans="23:23" ht="26.4">
      <c r="W4759" s="64" ph="1"/>
    </row>
    <row r="4760" spans="23:23" ht="26.4">
      <c r="W4760" s="64" ph="1"/>
    </row>
    <row r="4761" spans="23:23" ht="26.4">
      <c r="W4761" s="64" ph="1"/>
    </row>
    <row r="4762" spans="23:23" ht="26.4">
      <c r="W4762" s="64" ph="1"/>
    </row>
    <row r="4763" spans="23:23" ht="26.4">
      <c r="W4763" s="64" ph="1"/>
    </row>
    <row r="4764" spans="23:23" ht="26.4">
      <c r="W4764" s="64" ph="1"/>
    </row>
    <row r="4765" spans="23:23" ht="26.4">
      <c r="W4765" s="64" ph="1"/>
    </row>
    <row r="4766" spans="23:23" ht="26.4">
      <c r="W4766" s="64" ph="1"/>
    </row>
    <row r="4767" spans="23:23" ht="26.4">
      <c r="W4767" s="64" ph="1"/>
    </row>
    <row r="4768" spans="23:23" ht="26.4">
      <c r="W4768" s="64" ph="1"/>
    </row>
    <row r="4769" spans="23:23" ht="26.4">
      <c r="W4769" s="64" ph="1"/>
    </row>
    <row r="4770" spans="23:23" ht="26.4">
      <c r="W4770" s="64" ph="1"/>
    </row>
    <row r="4771" spans="23:23" ht="26.4">
      <c r="W4771" s="64" ph="1"/>
    </row>
    <row r="4772" spans="23:23" ht="26.4">
      <c r="W4772" s="64" ph="1"/>
    </row>
    <row r="4773" spans="23:23" ht="26.4">
      <c r="W4773" s="64" ph="1"/>
    </row>
    <row r="4774" spans="23:23" ht="26.4">
      <c r="W4774" s="64" ph="1"/>
    </row>
    <row r="4775" spans="23:23" ht="26.4">
      <c r="W4775" s="64" ph="1"/>
    </row>
    <row r="4776" spans="23:23" ht="26.4">
      <c r="W4776" s="64" ph="1"/>
    </row>
    <row r="4777" spans="23:23" ht="26.4">
      <c r="W4777" s="64" ph="1"/>
    </row>
    <row r="4778" spans="23:23" ht="26.4">
      <c r="W4778" s="64" ph="1"/>
    </row>
    <row r="4779" spans="23:23" ht="26.4">
      <c r="W4779" s="64" ph="1"/>
    </row>
    <row r="4780" spans="23:23" ht="26.4">
      <c r="W4780" s="64" ph="1"/>
    </row>
    <row r="4781" spans="23:23" ht="26.4">
      <c r="W4781" s="64" ph="1"/>
    </row>
    <row r="4782" spans="23:23" ht="26.4">
      <c r="W4782" s="64" ph="1"/>
    </row>
    <row r="4783" spans="23:23" ht="26.4">
      <c r="W4783" s="64" ph="1"/>
    </row>
    <row r="4784" spans="23:23" ht="26.4">
      <c r="W4784" s="64" ph="1"/>
    </row>
    <row r="4785" spans="23:23" ht="26.4">
      <c r="W4785" s="64" ph="1"/>
    </row>
    <row r="4786" spans="23:23" ht="26.4">
      <c r="W4786" s="64" ph="1"/>
    </row>
    <row r="4787" spans="23:23" ht="26.4">
      <c r="W4787" s="64" ph="1"/>
    </row>
    <row r="4788" spans="23:23" ht="26.4">
      <c r="W4788" s="64" ph="1"/>
    </row>
    <row r="4789" spans="23:23" ht="26.4">
      <c r="W4789" s="64" ph="1"/>
    </row>
    <row r="4790" spans="23:23" ht="26.4">
      <c r="W4790" s="64" ph="1"/>
    </row>
    <row r="4791" spans="23:23" ht="26.4">
      <c r="W4791" s="64" ph="1"/>
    </row>
    <row r="4792" spans="23:23" ht="26.4">
      <c r="W4792" s="64" ph="1"/>
    </row>
    <row r="4793" spans="23:23" ht="26.4">
      <c r="W4793" s="64" ph="1"/>
    </row>
    <row r="4794" spans="23:23" ht="26.4">
      <c r="W4794" s="64" ph="1"/>
    </row>
    <row r="4795" spans="23:23" ht="26.4">
      <c r="W4795" s="64" ph="1"/>
    </row>
    <row r="4796" spans="23:23" ht="26.4">
      <c r="W4796" s="64" ph="1"/>
    </row>
    <row r="4797" spans="23:23" ht="26.4">
      <c r="W4797" s="64" ph="1"/>
    </row>
    <row r="4798" spans="23:23" ht="26.4">
      <c r="W4798" s="64" ph="1"/>
    </row>
    <row r="4799" spans="23:23" ht="26.4">
      <c r="W4799" s="64" ph="1"/>
    </row>
    <row r="4800" spans="23:23" ht="26.4">
      <c r="W4800" s="64" ph="1"/>
    </row>
    <row r="4801" spans="23:23" ht="26.4">
      <c r="W4801" s="64" ph="1"/>
    </row>
    <row r="4802" spans="23:23" ht="26.4">
      <c r="W4802" s="64" ph="1"/>
    </row>
    <row r="4803" spans="23:23" ht="26.4">
      <c r="W4803" s="64" ph="1"/>
    </row>
    <row r="4804" spans="23:23" ht="26.4">
      <c r="W4804" s="64" ph="1"/>
    </row>
    <row r="4805" spans="23:23" ht="26.4">
      <c r="W4805" s="64" ph="1"/>
    </row>
    <row r="4806" spans="23:23" ht="26.4">
      <c r="W4806" s="64" ph="1"/>
    </row>
    <row r="4807" spans="23:23" ht="26.4">
      <c r="W4807" s="64" ph="1"/>
    </row>
    <row r="4808" spans="23:23" ht="26.4">
      <c r="W4808" s="64" ph="1"/>
    </row>
    <row r="4809" spans="23:23" ht="26.4">
      <c r="W4809" s="64" ph="1"/>
    </row>
    <row r="4810" spans="23:23" ht="26.4">
      <c r="W4810" s="64" ph="1"/>
    </row>
    <row r="4811" spans="23:23" ht="26.4">
      <c r="W4811" s="64" ph="1"/>
    </row>
    <row r="4812" spans="23:23" ht="26.4">
      <c r="W4812" s="64" ph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X4813"/>
  <sheetViews>
    <sheetView workbookViewId="0">
      <selection activeCell="Z3" sqref="Z3"/>
    </sheetView>
  </sheetViews>
  <sheetFormatPr defaultColWidth="9.125" defaultRowHeight="16.2"/>
  <cols>
    <col min="1" max="1" width="5.75" style="135" customWidth="1"/>
    <col min="2" max="5" width="5.75" style="97" customWidth="1"/>
    <col min="6" max="6" width="8.75" style="66" customWidth="1"/>
    <col min="7" max="7" width="7.75" style="20" customWidth="1"/>
    <col min="8" max="8" width="5.75" style="13" customWidth="1"/>
    <col min="9" max="9" width="9.75" style="10" customWidth="1"/>
    <col min="10" max="10" width="6.75" style="32" customWidth="1"/>
    <col min="11" max="11" width="6.75" style="367" customWidth="1"/>
    <col min="12" max="12" width="6.75" style="77" customWidth="1"/>
    <col min="13" max="13" width="6.75" style="365" customWidth="1"/>
    <col min="14" max="14" width="7.75" style="367" customWidth="1"/>
    <col min="15" max="15" width="7.75" style="343" customWidth="1"/>
    <col min="16" max="16" width="5.75" style="166" customWidth="1"/>
    <col min="17" max="17" width="4.75" style="109" customWidth="1"/>
    <col min="18" max="18" width="4.75" style="31" customWidth="1"/>
    <col min="19" max="19" width="4.75" style="51" customWidth="1"/>
    <col min="20" max="20" width="5.75" style="339" customWidth="1"/>
    <col min="21" max="21" width="2.75" style="329" customWidth="1"/>
    <col min="22" max="22" width="6.75" style="371" customWidth="1"/>
    <col min="23" max="23" width="7.75" style="64" customWidth="1"/>
    <col min="24" max="24" width="7.75" style="240" customWidth="1"/>
    <col min="25" max="25" width="9.75" style="285" customWidth="1"/>
    <col min="26" max="26" width="9.75" style="72" customWidth="1"/>
    <col min="27" max="27" width="9.75" style="61" customWidth="1"/>
    <col min="28" max="28" width="8.75" style="12" customWidth="1"/>
    <col min="29" max="29" width="6.75" style="104" customWidth="1"/>
    <col min="30" max="30" width="8.75" style="10" customWidth="1"/>
    <col min="31" max="31" width="11.75" style="89" customWidth="1"/>
    <col min="32" max="32" width="11.75" style="88" customWidth="1"/>
    <col min="33" max="33" width="3.75" style="82" customWidth="1"/>
    <col min="34" max="34" width="3.75" style="284" customWidth="1"/>
    <col min="35" max="35" width="2.75" style="129" customWidth="1"/>
    <col min="36" max="36" width="2.75" style="264" customWidth="1"/>
    <col min="37" max="37" width="7.75" style="252" customWidth="1"/>
    <col min="38" max="38" width="7.75" style="266" customWidth="1"/>
    <col min="39" max="40" width="7.75" style="284" customWidth="1"/>
    <col min="41" max="41" width="12.75" style="252" customWidth="1"/>
    <col min="42" max="42" width="5.75" style="266" customWidth="1"/>
    <col min="43" max="16384" width="9.125" style="284"/>
  </cols>
  <sheetData>
    <row r="1" spans="1:50">
      <c r="A1" s="135" t="s">
        <v>2552</v>
      </c>
      <c r="B1" s="96" t="s">
        <v>2331</v>
      </c>
      <c r="C1" s="96" t="s">
        <v>2332</v>
      </c>
      <c r="D1" s="96" t="s">
        <v>2333</v>
      </c>
      <c r="E1" s="96" t="s">
        <v>2334</v>
      </c>
      <c r="F1" s="9" t="s">
        <v>1709</v>
      </c>
      <c r="G1" s="27" t="s">
        <v>5626</v>
      </c>
      <c r="H1" s="56" t="s">
        <v>578</v>
      </c>
      <c r="I1" s="51" t="s">
        <v>6876</v>
      </c>
      <c r="J1" s="364" t="s">
        <v>2189</v>
      </c>
      <c r="K1" s="364" t="s">
        <v>1820</v>
      </c>
      <c r="L1" s="364" t="s">
        <v>515</v>
      </c>
      <c r="M1" s="364" t="s">
        <v>1699</v>
      </c>
      <c r="N1" s="364" t="s">
        <v>6633</v>
      </c>
      <c r="O1" s="343" t="s">
        <v>6634</v>
      </c>
      <c r="P1" s="83" t="s">
        <v>5279</v>
      </c>
      <c r="Q1" s="326" t="s">
        <v>5514</v>
      </c>
      <c r="R1" s="31" t="s">
        <v>6596</v>
      </c>
      <c r="S1" s="51" t="s">
        <v>6597</v>
      </c>
      <c r="T1" s="338" t="s">
        <v>5627</v>
      </c>
      <c r="U1" s="330" t="s">
        <v>6537</v>
      </c>
      <c r="V1" s="377" t="s">
        <v>6616</v>
      </c>
      <c r="W1" s="11" t="s">
        <v>127</v>
      </c>
      <c r="X1" s="71" t="s">
        <v>6626</v>
      </c>
      <c r="Y1" s="29" t="s">
        <v>6688</v>
      </c>
      <c r="Z1" s="18" t="s">
        <v>2113</v>
      </c>
      <c r="AA1" s="15" t="s">
        <v>8</v>
      </c>
      <c r="AB1" s="22" t="s">
        <v>4</v>
      </c>
      <c r="AC1" s="26" t="s">
        <v>211</v>
      </c>
      <c r="AD1" s="51" t="s">
        <v>6876</v>
      </c>
      <c r="AE1" s="56" t="s">
        <v>5568</v>
      </c>
      <c r="AF1" s="114" t="s">
        <v>5575</v>
      </c>
      <c r="AG1" s="33" t="s">
        <v>1827</v>
      </c>
      <c r="AH1" s="262" t="s">
        <v>6777</v>
      </c>
      <c r="AI1" s="284"/>
      <c r="AK1" s="9" t="s">
        <v>6666</v>
      </c>
      <c r="AL1" s="5" t="s">
        <v>6667</v>
      </c>
      <c r="AM1" s="51" t="s">
        <v>5339</v>
      </c>
      <c r="AN1" s="276" t="s">
        <v>6665</v>
      </c>
      <c r="AO1" s="131"/>
      <c r="AP1" s="264"/>
    </row>
    <row r="2" spans="1:50">
      <c r="A2" s="151" t="s">
        <v>5619</v>
      </c>
      <c r="B2" s="84">
        <v>89</v>
      </c>
      <c r="C2" s="84">
        <v>125</v>
      </c>
      <c r="D2" s="84">
        <v>2</v>
      </c>
      <c r="E2" s="84">
        <v>19</v>
      </c>
      <c r="F2" s="7">
        <v>2.74</v>
      </c>
      <c r="G2" s="84">
        <v>2614</v>
      </c>
      <c r="H2" s="5" t="s">
        <v>562</v>
      </c>
      <c r="I2" s="23" t="s">
        <v>1378</v>
      </c>
      <c r="J2" s="77">
        <v>35.35</v>
      </c>
      <c r="K2" s="77">
        <v>3.72</v>
      </c>
      <c r="L2" s="77">
        <v>21.02</v>
      </c>
      <c r="M2" s="371">
        <v>5.58</v>
      </c>
      <c r="N2" s="365">
        <f t="shared" ref="N2" si="0">J2+K2+L2+M2</f>
        <v>65.67</v>
      </c>
      <c r="O2" s="343">
        <f t="shared" ref="O2" si="1">J2+M2</f>
        <v>40.93</v>
      </c>
      <c r="P2" s="195">
        <v>5</v>
      </c>
      <c r="Q2" s="326">
        <v>37</v>
      </c>
      <c r="R2" s="111">
        <v>38</v>
      </c>
      <c r="S2" s="51">
        <v>41</v>
      </c>
      <c r="T2" s="339">
        <f t="shared" ref="T2" si="2">SUM(P2:S2)</f>
        <v>121</v>
      </c>
      <c r="U2" s="329" t="s">
        <v>6913</v>
      </c>
      <c r="V2" s="371">
        <v>2.95</v>
      </c>
      <c r="W2" s="35">
        <v>0.8</v>
      </c>
      <c r="X2" s="100">
        <v>1.46</v>
      </c>
      <c r="Y2" s="37" t="str">
        <f>RTD("money.excel",,"2614","Price")</f>
        <v>無資料</v>
      </c>
      <c r="Z2" s="69">
        <v>33.049999999999997</v>
      </c>
      <c r="AA2" s="16" t="e">
        <f t="shared" ref="AA2" si="3">Y2-Z2</f>
        <v>#VALUE!</v>
      </c>
      <c r="AB2" s="3" t="e">
        <f t="shared" ref="AB2" si="4">AA2/Z2</f>
        <v>#VALUE!</v>
      </c>
      <c r="AC2" s="177" t="s">
        <v>6914</v>
      </c>
      <c r="AD2" s="23" t="s">
        <v>1378</v>
      </c>
      <c r="AE2" s="89">
        <v>44559</v>
      </c>
      <c r="AG2" s="34">
        <f t="shared" ref="AG2" si="5">AF2-AE2</f>
        <v>-44559</v>
      </c>
      <c r="AH2" s="44" t="s">
        <v>4469</v>
      </c>
      <c r="AI2" s="131"/>
      <c r="AK2" s="66">
        <f t="shared" ref="AK2" si="6">AM2/(A2*10000)</f>
        <v>0</v>
      </c>
      <c r="AL2" s="174">
        <f t="shared" ref="AL2" si="7">AN2/(A2*10000)</f>
        <v>0</v>
      </c>
      <c r="AM2" s="346">
        <f>RTD("money.excel",,$G2,"PredictVolume")</f>
        <v>0</v>
      </c>
      <c r="AN2" s="272">
        <f>RTD("money.excel",,$G2,"CumulativeVolume")</f>
        <v>0</v>
      </c>
      <c r="AO2" s="284"/>
      <c r="AP2" s="284"/>
    </row>
    <row r="3" spans="1:50">
      <c r="B3" s="96"/>
      <c r="C3" s="96"/>
      <c r="D3" s="96"/>
      <c r="E3" s="96"/>
      <c r="F3" s="9"/>
      <c r="G3" s="27"/>
      <c r="H3" s="56"/>
      <c r="I3" s="51"/>
      <c r="J3" s="364"/>
      <c r="K3" s="364"/>
      <c r="L3" s="364"/>
      <c r="M3" s="364"/>
      <c r="N3" s="364"/>
      <c r="P3" s="83"/>
      <c r="Q3" s="326"/>
      <c r="T3" s="338"/>
      <c r="U3" s="330"/>
      <c r="V3" s="377"/>
      <c r="W3" s="11"/>
      <c r="X3" s="71"/>
      <c r="Y3" s="29"/>
      <c r="Z3" s="18"/>
      <c r="AA3" s="15"/>
      <c r="AB3" s="22"/>
      <c r="AC3" s="26"/>
      <c r="AD3" s="51"/>
      <c r="AE3" s="56"/>
      <c r="AF3" s="114"/>
      <c r="AG3" s="33"/>
      <c r="AH3" s="262"/>
      <c r="AI3" s="284"/>
      <c r="AK3" s="9"/>
      <c r="AL3" s="5"/>
      <c r="AM3" s="51"/>
      <c r="AN3" s="276"/>
      <c r="AO3" s="131"/>
      <c r="AP3" s="264"/>
    </row>
    <row r="4" spans="1:50">
      <c r="A4" s="135" t="s">
        <v>5396</v>
      </c>
      <c r="B4" s="98">
        <v>1304</v>
      </c>
      <c r="C4" s="98">
        <v>1044</v>
      </c>
      <c r="D4" s="85">
        <v>-3</v>
      </c>
      <c r="E4" s="84">
        <v>159</v>
      </c>
      <c r="F4" s="59">
        <v>57.62</v>
      </c>
      <c r="G4" s="84">
        <v>2603</v>
      </c>
      <c r="H4" s="9" t="s">
        <v>551</v>
      </c>
      <c r="I4" s="23" t="s">
        <v>486</v>
      </c>
      <c r="J4" s="77">
        <v>59.24</v>
      </c>
      <c r="K4" s="77">
        <v>30.16</v>
      </c>
      <c r="L4" s="371">
        <v>21.61</v>
      </c>
      <c r="M4" s="371">
        <v>14.18</v>
      </c>
      <c r="N4" s="365">
        <f t="shared" ref="N4" si="8">J4+K4+L4+M4</f>
        <v>125.19</v>
      </c>
      <c r="O4" s="343">
        <f t="shared" ref="O4" si="9">J4+M4</f>
        <v>73.42</v>
      </c>
      <c r="P4" s="195">
        <v>142</v>
      </c>
      <c r="Q4" s="326">
        <v>38</v>
      </c>
      <c r="R4" s="111">
        <v>20</v>
      </c>
      <c r="S4" s="51">
        <v>65</v>
      </c>
      <c r="T4" s="339">
        <f t="shared" ref="T4" si="10">SUM(P4:S4)</f>
        <v>265</v>
      </c>
      <c r="U4" s="329" t="s">
        <v>6541</v>
      </c>
      <c r="V4" s="77">
        <v>3.12</v>
      </c>
      <c r="W4" s="35">
        <v>2.4900000000000002</v>
      </c>
      <c r="X4" s="59">
        <v>33.51</v>
      </c>
      <c r="Y4" s="37" t="str">
        <f>RTD("money.excel",,"2603","Price")</f>
        <v>無資料</v>
      </c>
      <c r="Z4" s="69">
        <v>144</v>
      </c>
      <c r="AA4" s="16" t="e">
        <f t="shared" ref="AA4" si="11">Y4-Z4</f>
        <v>#VALUE!</v>
      </c>
      <c r="AB4" s="3" t="e">
        <f t="shared" ref="AB4" si="12">AA4/Z4</f>
        <v>#VALUE!</v>
      </c>
      <c r="AC4" s="177" t="s">
        <v>6896</v>
      </c>
      <c r="AD4" s="23" t="s">
        <v>486</v>
      </c>
      <c r="AE4" s="89">
        <v>44558</v>
      </c>
      <c r="AG4" s="34">
        <f t="shared" ref="AG4" si="13">AF4-AE4</f>
        <v>-44558</v>
      </c>
      <c r="AH4" s="126" t="s">
        <v>5209</v>
      </c>
      <c r="AI4" s="131"/>
      <c r="AK4" s="66">
        <f t="shared" ref="AK4" si="14">AM4/(A4*10000)</f>
        <v>0</v>
      </c>
      <c r="AL4" s="174">
        <f t="shared" ref="AL4" si="15">AN4/(A4*10000)</f>
        <v>0</v>
      </c>
      <c r="AM4" s="346">
        <f>RTD("money.excel",,$G4,"PredictVolume")</f>
        <v>0</v>
      </c>
      <c r="AN4" s="272">
        <f>RTD("money.excel",,$G4,"CumulativeVolume")</f>
        <v>0</v>
      </c>
      <c r="AO4" s="284"/>
      <c r="AP4" s="284"/>
    </row>
    <row r="5" spans="1:50">
      <c r="A5" s="151" t="s">
        <v>3062</v>
      </c>
      <c r="B5" s="84">
        <v>54</v>
      </c>
      <c r="C5" s="84">
        <v>22</v>
      </c>
      <c r="D5" s="84">
        <v>3</v>
      </c>
      <c r="E5" s="85">
        <v>-9</v>
      </c>
      <c r="F5" s="7">
        <v>8.17</v>
      </c>
      <c r="G5" s="84">
        <v>2105</v>
      </c>
      <c r="H5" s="9" t="s">
        <v>549</v>
      </c>
      <c r="I5" s="23" t="s">
        <v>503</v>
      </c>
      <c r="J5" s="371">
        <v>76.3</v>
      </c>
      <c r="K5" s="371">
        <v>14.75</v>
      </c>
      <c r="L5" s="371">
        <v>1.33</v>
      </c>
      <c r="M5" s="77">
        <v>15.4</v>
      </c>
      <c r="N5" s="365">
        <f t="shared" ref="N5:N6" si="16">J5+K5+L5+M5</f>
        <v>107.78</v>
      </c>
      <c r="O5" s="369">
        <f t="shared" ref="O5:O6" si="17">J5+M5</f>
        <v>91.7</v>
      </c>
      <c r="P5" s="195">
        <v>7</v>
      </c>
      <c r="Q5" s="326">
        <v>63</v>
      </c>
      <c r="R5" s="111">
        <v>24</v>
      </c>
      <c r="S5" s="51">
        <v>14</v>
      </c>
      <c r="T5" s="339">
        <f t="shared" ref="T5:T6" si="18">SUM(P5:S5)</f>
        <v>108</v>
      </c>
      <c r="U5" s="329" t="s">
        <v>6877</v>
      </c>
      <c r="V5" s="371">
        <v>1.05</v>
      </c>
      <c r="W5" s="35">
        <v>1.2</v>
      </c>
      <c r="X5" s="59">
        <v>2.3199999999999998</v>
      </c>
      <c r="Y5" s="37" t="str">
        <f>RTD("money.excel",,"2105","Price")</f>
        <v>無資料</v>
      </c>
      <c r="Z5" s="69">
        <v>36.65</v>
      </c>
      <c r="AA5" s="16" t="e">
        <f t="shared" ref="AA5:AA6" si="19">Y5-Z5</f>
        <v>#VALUE!</v>
      </c>
      <c r="AB5" s="3" t="e">
        <f t="shared" ref="AB5:AB6" si="20">AA5/Z5</f>
        <v>#VALUE!</v>
      </c>
      <c r="AC5" s="177" t="s">
        <v>6879</v>
      </c>
      <c r="AD5" s="23" t="s">
        <v>503</v>
      </c>
      <c r="AE5" s="89">
        <v>44557</v>
      </c>
      <c r="AG5" s="34">
        <f t="shared" ref="AG5:AG6" si="21">AF5-AE5</f>
        <v>-44557</v>
      </c>
      <c r="AH5" s="125" t="s">
        <v>5178</v>
      </c>
      <c r="AI5" s="284"/>
      <c r="AK5" s="66">
        <f t="shared" ref="AK5:AK6" si="22">AM5/(A5*10000)</f>
        <v>0</v>
      </c>
      <c r="AL5" s="174">
        <f t="shared" ref="AL5:AL6" si="23">AN5/(A5*10000)</f>
        <v>0</v>
      </c>
      <c r="AM5" s="346">
        <f>RTD("money.excel",,$G5,"PredictVolume")</f>
        <v>0</v>
      </c>
      <c r="AN5" s="272">
        <f>RTD("money.excel",,$G5,"CumulativeVolume")</f>
        <v>0</v>
      </c>
      <c r="AO5" s="284"/>
      <c r="AP5" s="284"/>
    </row>
    <row r="6" spans="1:50">
      <c r="A6" s="151" t="s">
        <v>4871</v>
      </c>
      <c r="B6" s="84">
        <v>28</v>
      </c>
      <c r="C6" s="85">
        <v>-14</v>
      </c>
      <c r="D6" s="85">
        <v>-6</v>
      </c>
      <c r="E6" s="84">
        <v>83</v>
      </c>
      <c r="F6" s="7">
        <v>9.56</v>
      </c>
      <c r="G6" s="84">
        <v>2607</v>
      </c>
      <c r="H6" s="5" t="s">
        <v>551</v>
      </c>
      <c r="I6" s="23" t="s">
        <v>223</v>
      </c>
      <c r="J6" s="371">
        <v>68.430000000000007</v>
      </c>
      <c r="K6" s="371">
        <v>8.06</v>
      </c>
      <c r="L6" s="77">
        <v>5.82</v>
      </c>
      <c r="M6" s="371">
        <v>50.66</v>
      </c>
      <c r="N6" s="77">
        <f t="shared" si="16"/>
        <v>132.97</v>
      </c>
      <c r="O6" s="369">
        <f t="shared" si="17"/>
        <v>119.09</v>
      </c>
      <c r="P6" s="195">
        <v>0</v>
      </c>
      <c r="Q6" s="326">
        <v>39</v>
      </c>
      <c r="R6" s="111">
        <v>39</v>
      </c>
      <c r="S6" s="51">
        <v>38</v>
      </c>
      <c r="T6" s="339">
        <f t="shared" si="18"/>
        <v>116</v>
      </c>
      <c r="U6" s="329" t="s">
        <v>6878</v>
      </c>
      <c r="V6" s="77">
        <v>1.51</v>
      </c>
      <c r="W6" s="35">
        <v>0.3</v>
      </c>
      <c r="X6" s="59">
        <v>0.79</v>
      </c>
      <c r="Y6" s="37" t="str">
        <f>RTD("money.excel",,"2607","Price")</f>
        <v>無資料</v>
      </c>
      <c r="Z6" s="69">
        <v>29.25</v>
      </c>
      <c r="AA6" s="16" t="e">
        <f t="shared" si="19"/>
        <v>#VALUE!</v>
      </c>
      <c r="AB6" s="3" t="e">
        <f t="shared" si="20"/>
        <v>#VALUE!</v>
      </c>
      <c r="AC6" s="177" t="s">
        <v>6880</v>
      </c>
      <c r="AD6" s="23" t="s">
        <v>223</v>
      </c>
      <c r="AE6" s="89">
        <v>44557</v>
      </c>
      <c r="AG6" s="34">
        <f t="shared" si="21"/>
        <v>-44557</v>
      </c>
      <c r="AH6" s="125" t="s">
        <v>5211</v>
      </c>
      <c r="AI6" s="131"/>
      <c r="AK6" s="66">
        <f t="shared" si="22"/>
        <v>0</v>
      </c>
      <c r="AL6" s="174">
        <f t="shared" si="23"/>
        <v>0</v>
      </c>
      <c r="AM6" s="346">
        <f>RTD("money.excel",,$G6,"PredictVolume")</f>
        <v>0</v>
      </c>
      <c r="AN6" s="272">
        <f>RTD("money.excel",,$G6,"CumulativeVolume")</f>
        <v>0</v>
      </c>
      <c r="AO6" s="284"/>
      <c r="AP6" s="284"/>
    </row>
    <row r="7" spans="1:50">
      <c r="B7" s="96"/>
      <c r="C7" s="96"/>
      <c r="D7" s="96"/>
      <c r="E7" s="96"/>
      <c r="F7" s="9"/>
      <c r="G7" s="27"/>
      <c r="H7" s="56"/>
      <c r="I7" s="31"/>
      <c r="J7" s="369"/>
      <c r="K7" s="369"/>
      <c r="L7" s="369"/>
      <c r="M7" s="364"/>
      <c r="N7" s="364"/>
      <c r="P7" s="83"/>
      <c r="Q7" s="326"/>
      <c r="R7" s="111"/>
      <c r="T7" s="338"/>
      <c r="V7" s="377"/>
      <c r="W7" s="11"/>
      <c r="X7" s="71"/>
      <c r="Y7" s="29"/>
      <c r="Z7" s="18"/>
      <c r="AA7" s="15"/>
      <c r="AB7" s="22"/>
      <c r="AC7" s="26"/>
      <c r="AD7" s="31"/>
      <c r="AE7" s="56"/>
      <c r="AF7" s="114"/>
      <c r="AG7" s="33"/>
      <c r="AH7" s="262"/>
      <c r="AI7" s="131"/>
      <c r="AK7" s="131"/>
      <c r="AL7" s="264"/>
      <c r="AO7" s="131"/>
      <c r="AP7" s="264"/>
    </row>
    <row r="8" spans="1:50">
      <c r="A8" s="263"/>
      <c r="B8" s="182"/>
      <c r="C8" s="182"/>
      <c r="D8" s="182"/>
      <c r="E8" s="182"/>
      <c r="F8" s="183"/>
      <c r="G8" s="184"/>
      <c r="H8" s="186"/>
      <c r="I8" s="185"/>
      <c r="J8" s="366"/>
      <c r="K8" s="366"/>
      <c r="L8" s="372"/>
      <c r="M8" s="373"/>
      <c r="N8" s="366">
        <v>130</v>
      </c>
      <c r="O8" s="369">
        <v>80</v>
      </c>
      <c r="V8" s="371" t="s">
        <v>6622</v>
      </c>
      <c r="W8" s="183"/>
      <c r="X8" s="4" t="s">
        <v>2189</v>
      </c>
      <c r="Y8" s="4" t="s">
        <v>1820</v>
      </c>
      <c r="Z8" s="11" t="s">
        <v>515</v>
      </c>
      <c r="AA8" s="189"/>
      <c r="AB8" s="190"/>
      <c r="AC8" s="263" t="s">
        <v>5311</v>
      </c>
      <c r="AD8" s="185"/>
      <c r="AF8" s="194"/>
      <c r="AG8" s="192">
        <f t="shared" ref="AG8" si="24">AF8-AE8</f>
        <v>0</v>
      </c>
      <c r="AH8" s="263" t="s">
        <v>6680</v>
      </c>
      <c r="AI8" s="131"/>
      <c r="AK8" s="131"/>
      <c r="AL8" s="264"/>
      <c r="AP8" s="265"/>
      <c r="AQ8" s="287"/>
      <c r="AR8" s="287"/>
      <c r="AS8" s="287"/>
      <c r="AU8" s="287"/>
      <c r="AV8" s="287"/>
      <c r="AW8" s="287"/>
      <c r="AX8" s="287"/>
    </row>
    <row r="9" spans="1:50">
      <c r="A9" s="135" t="s">
        <v>2552</v>
      </c>
      <c r="B9" s="96" t="s">
        <v>2331</v>
      </c>
      <c r="C9" s="96" t="s">
        <v>2332</v>
      </c>
      <c r="D9" s="96" t="s">
        <v>2333</v>
      </c>
      <c r="E9" s="96" t="s">
        <v>2334</v>
      </c>
      <c r="F9" s="9" t="s">
        <v>1709</v>
      </c>
      <c r="G9" s="27" t="s">
        <v>5626</v>
      </c>
      <c r="H9" s="56" t="s">
        <v>578</v>
      </c>
      <c r="I9" s="51" t="s">
        <v>6876</v>
      </c>
      <c r="J9" s="364" t="s">
        <v>2189</v>
      </c>
      <c r="K9" s="364" t="s">
        <v>1820</v>
      </c>
      <c r="L9" s="364" t="s">
        <v>515</v>
      </c>
      <c r="M9" s="364" t="s">
        <v>1699</v>
      </c>
      <c r="N9" s="364" t="s">
        <v>6633</v>
      </c>
      <c r="O9" s="343" t="s">
        <v>6634</v>
      </c>
      <c r="P9" s="83" t="s">
        <v>5279</v>
      </c>
      <c r="Q9" s="326" t="s">
        <v>5514</v>
      </c>
      <c r="R9" s="31" t="s">
        <v>6596</v>
      </c>
      <c r="S9" s="51" t="s">
        <v>6597</v>
      </c>
      <c r="T9" s="338" t="s">
        <v>5627</v>
      </c>
      <c r="U9" s="330" t="s">
        <v>6537</v>
      </c>
      <c r="V9" s="377" t="s">
        <v>6616</v>
      </c>
      <c r="W9" s="11" t="s">
        <v>127</v>
      </c>
      <c r="X9" s="71" t="s">
        <v>6626</v>
      </c>
      <c r="Y9" s="29" t="s">
        <v>6688</v>
      </c>
      <c r="Z9" s="18" t="s">
        <v>2113</v>
      </c>
      <c r="AA9" s="15" t="s">
        <v>8</v>
      </c>
      <c r="AB9" s="22" t="s">
        <v>4</v>
      </c>
      <c r="AC9" s="26" t="s">
        <v>211</v>
      </c>
      <c r="AD9" s="51" t="s">
        <v>6876</v>
      </c>
      <c r="AE9" s="56" t="s">
        <v>5568</v>
      </c>
      <c r="AF9" s="114" t="s">
        <v>5575</v>
      </c>
      <c r="AG9" s="33" t="s">
        <v>1827</v>
      </c>
      <c r="AH9" s="262" t="s">
        <v>6777</v>
      </c>
      <c r="AI9" s="131"/>
      <c r="AK9" s="9" t="s">
        <v>6666</v>
      </c>
      <c r="AL9" s="5" t="s">
        <v>6667</v>
      </c>
      <c r="AM9" s="51" t="s">
        <v>5339</v>
      </c>
      <c r="AN9" s="276" t="s">
        <v>6665</v>
      </c>
      <c r="AO9" s="131"/>
      <c r="AP9" s="264"/>
    </row>
    <row r="10" spans="1:50">
      <c r="B10" s="96"/>
      <c r="C10" s="96"/>
      <c r="D10" s="96"/>
      <c r="E10" s="96"/>
      <c r="F10" s="9"/>
      <c r="G10" s="27"/>
      <c r="H10" s="56"/>
      <c r="I10" s="31"/>
      <c r="J10" s="364"/>
      <c r="K10" s="364"/>
      <c r="L10" s="364"/>
      <c r="M10" s="364"/>
      <c r="N10" s="364"/>
      <c r="P10" s="83"/>
      <c r="Q10" s="326"/>
      <c r="T10" s="338"/>
      <c r="U10" s="330"/>
      <c r="V10" s="377"/>
      <c r="W10" s="11"/>
      <c r="X10" s="71"/>
      <c r="Y10" s="29"/>
      <c r="Z10" s="18"/>
      <c r="AA10" s="15"/>
      <c r="AB10" s="22"/>
      <c r="AC10" s="26"/>
      <c r="AD10" s="31"/>
      <c r="AE10" s="56"/>
      <c r="AF10" s="114"/>
      <c r="AG10" s="33"/>
      <c r="AH10" s="262"/>
      <c r="AI10" s="284"/>
      <c r="AK10" s="131"/>
      <c r="AL10" s="264"/>
      <c r="AO10" s="131"/>
      <c r="AP10" s="264"/>
    </row>
    <row r="11" spans="1:50">
      <c r="AI11" s="131"/>
    </row>
    <row r="12" spans="1:50">
      <c r="AI12" s="131"/>
    </row>
    <row r="13" spans="1:50">
      <c r="AI13" s="131"/>
    </row>
    <row r="14" spans="1:50">
      <c r="AI14" s="284"/>
    </row>
    <row r="15" spans="1:50">
      <c r="AI15" s="131"/>
    </row>
    <row r="16" spans="1:50">
      <c r="AI16" s="131"/>
    </row>
    <row r="17" spans="35:35">
      <c r="AI17" s="131"/>
    </row>
    <row r="18" spans="35:35">
      <c r="AI18" s="131"/>
    </row>
    <row r="19" spans="35:35">
      <c r="AI19" s="284"/>
    </row>
    <row r="20" spans="35:35">
      <c r="AI20" s="131"/>
    </row>
    <row r="21" spans="35:35">
      <c r="AI21" s="131"/>
    </row>
    <row r="22" spans="35:35">
      <c r="AI22" s="131"/>
    </row>
    <row r="23" spans="35:35">
      <c r="AI23" s="284"/>
    </row>
    <row r="24" spans="35:35">
      <c r="AI24" s="131"/>
    </row>
    <row r="25" spans="35:35">
      <c r="AI25" s="131"/>
    </row>
    <row r="26" spans="35:35">
      <c r="AI26" s="131"/>
    </row>
    <row r="27" spans="35:35">
      <c r="AI27" s="131"/>
    </row>
    <row r="28" spans="35:35">
      <c r="AI28" s="131"/>
    </row>
    <row r="29" spans="35:35">
      <c r="AI29" s="284"/>
    </row>
    <row r="30" spans="35:35">
      <c r="AI30" s="284"/>
    </row>
    <row r="31" spans="35:35">
      <c r="AI31" s="131"/>
    </row>
    <row r="32" spans="35:35">
      <c r="AI32" s="131"/>
    </row>
    <row r="33" spans="35:35">
      <c r="AI33" s="131"/>
    </row>
    <row r="34" spans="35:35">
      <c r="AI34" s="131"/>
    </row>
    <row r="35" spans="35:35">
      <c r="AI35" s="131"/>
    </row>
    <row r="36" spans="35:35">
      <c r="AI36" s="131"/>
    </row>
    <row r="37" spans="35:35">
      <c r="AI37" s="131"/>
    </row>
    <row r="38" spans="35:35">
      <c r="AI38" s="131"/>
    </row>
    <row r="39" spans="35:35">
      <c r="AI39" s="131"/>
    </row>
    <row r="41" spans="35:35">
      <c r="AI41" s="131"/>
    </row>
    <row r="42" spans="35:35">
      <c r="AI42" s="131"/>
    </row>
    <row r="43" spans="35:35">
      <c r="AI43" s="131"/>
    </row>
    <row r="44" spans="35:35">
      <c r="AI44" s="284"/>
    </row>
    <row r="45" spans="35:35">
      <c r="AI45" s="131"/>
    </row>
    <row r="46" spans="35:35">
      <c r="AI46" s="284"/>
    </row>
    <row r="47" spans="35:35">
      <c r="AI47" s="131"/>
    </row>
    <row r="48" spans="35:35">
      <c r="AI48" s="284"/>
    </row>
    <row r="49" spans="35:35">
      <c r="AI49" s="131"/>
    </row>
    <row r="50" spans="35:35">
      <c r="AI50" s="131"/>
    </row>
    <row r="51" spans="35:35">
      <c r="AI51" s="131"/>
    </row>
    <row r="52" spans="35:35">
      <c r="AI52" s="131"/>
    </row>
    <row r="53" spans="35:35">
      <c r="AI53" s="131"/>
    </row>
    <row r="54" spans="35:35">
      <c r="AI54" s="131"/>
    </row>
    <row r="55" spans="35:35">
      <c r="AI55" s="131"/>
    </row>
    <row r="56" spans="35:35">
      <c r="AI56" s="131"/>
    </row>
    <row r="57" spans="35:35">
      <c r="AI57" s="131"/>
    </row>
    <row r="58" spans="35:35">
      <c r="AI58" s="284"/>
    </row>
    <row r="59" spans="35:35">
      <c r="AI59" s="131"/>
    </row>
    <row r="60" spans="35:35">
      <c r="AI60" s="131"/>
    </row>
    <row r="61" spans="35:35">
      <c r="AI61" s="131"/>
    </row>
    <row r="62" spans="35:35">
      <c r="AI62" s="131"/>
    </row>
    <row r="63" spans="35:35">
      <c r="AI63" s="131"/>
    </row>
    <row r="64" spans="35:35">
      <c r="AI64" s="284"/>
    </row>
    <row r="65" spans="35:35">
      <c r="AI65" s="131"/>
    </row>
    <row r="66" spans="35:35">
      <c r="AI66" s="131"/>
    </row>
    <row r="67" spans="35:35">
      <c r="AI67" s="284"/>
    </row>
    <row r="68" spans="35:35">
      <c r="AI68" s="131"/>
    </row>
    <row r="69" spans="35:35">
      <c r="AI69" s="131"/>
    </row>
    <row r="70" spans="35:35">
      <c r="AI70" s="131"/>
    </row>
    <row r="71" spans="35:35">
      <c r="AI71" s="131"/>
    </row>
    <row r="72" spans="35:35">
      <c r="AI72" s="131"/>
    </row>
    <row r="73" spans="35:35">
      <c r="AI73" s="131"/>
    </row>
    <row r="74" spans="35:35">
      <c r="AI74" s="131"/>
    </row>
    <row r="75" spans="35:35">
      <c r="AI75" s="131"/>
    </row>
    <row r="76" spans="35:35">
      <c r="AI76" s="131"/>
    </row>
    <row r="77" spans="35:35">
      <c r="AI77" s="131"/>
    </row>
    <row r="78" spans="35:35">
      <c r="AI78" s="131"/>
    </row>
    <row r="79" spans="35:35">
      <c r="AI79" s="131"/>
    </row>
    <row r="80" spans="35:35">
      <c r="AI80" s="131"/>
    </row>
    <row r="81" spans="35:35">
      <c r="AI81" s="131"/>
    </row>
    <row r="82" spans="35:35">
      <c r="AI82" s="131"/>
    </row>
    <row r="83" spans="35:35">
      <c r="AI83" s="131"/>
    </row>
    <row r="84" spans="35:35">
      <c r="AI84" s="131"/>
    </row>
    <row r="85" spans="35:35">
      <c r="AI85" s="131"/>
    </row>
    <row r="86" spans="35:35">
      <c r="AI86" s="131"/>
    </row>
    <row r="87" spans="35:35">
      <c r="AI87" s="131"/>
    </row>
    <row r="88" spans="35:35">
      <c r="AI88" s="131"/>
    </row>
    <row r="89" spans="35:35">
      <c r="AI89" s="131"/>
    </row>
    <row r="90" spans="35:35">
      <c r="AI90" s="131"/>
    </row>
    <row r="91" spans="35:35">
      <c r="AI91" s="131"/>
    </row>
    <row r="92" spans="35:35">
      <c r="AI92" s="131"/>
    </row>
    <row r="93" spans="35:35">
      <c r="AI93" s="131"/>
    </row>
    <row r="94" spans="35:35">
      <c r="AI94" s="131"/>
    </row>
    <row r="95" spans="35:35">
      <c r="AI95" s="131"/>
    </row>
    <row r="96" spans="35:35">
      <c r="AI96" s="131"/>
    </row>
    <row r="97" spans="35:35">
      <c r="AI97" s="131"/>
    </row>
    <row r="98" spans="35:35">
      <c r="AI98" s="131"/>
    </row>
    <row r="99" spans="35:35">
      <c r="AI99" s="131"/>
    </row>
    <row r="100" spans="35:35">
      <c r="AI100" s="131"/>
    </row>
    <row r="101" spans="35:35">
      <c r="AI101" s="131"/>
    </row>
    <row r="102" spans="35:35">
      <c r="AI102" s="131"/>
    </row>
    <row r="103" spans="35:35">
      <c r="AI103" s="131"/>
    </row>
    <row r="104" spans="35:35">
      <c r="AI104" s="284"/>
    </row>
    <row r="105" spans="35:35">
      <c r="AI105" s="131"/>
    </row>
    <row r="106" spans="35:35">
      <c r="AI106" s="131"/>
    </row>
    <row r="107" spans="35:35">
      <c r="AI107" s="131"/>
    </row>
    <row r="108" spans="35:35">
      <c r="AI108" s="131"/>
    </row>
    <row r="109" spans="35:35">
      <c r="AI109" s="131"/>
    </row>
    <row r="110" spans="35:35">
      <c r="AI110" s="131"/>
    </row>
    <row r="111" spans="35:35">
      <c r="AI111" s="131"/>
    </row>
    <row r="112" spans="35:35">
      <c r="AI112" s="131"/>
    </row>
    <row r="113" spans="35:35">
      <c r="AI113" s="131"/>
    </row>
    <row r="114" spans="35:35">
      <c r="AI114" s="131"/>
    </row>
    <row r="115" spans="35:35">
      <c r="AI115" s="131"/>
    </row>
    <row r="116" spans="35:35">
      <c r="AI116" s="131"/>
    </row>
    <row r="117" spans="35:35">
      <c r="AI117" s="131"/>
    </row>
    <row r="118" spans="35:35">
      <c r="AI118" s="131"/>
    </row>
    <row r="119" spans="35:35">
      <c r="AI119" s="131"/>
    </row>
    <row r="120" spans="35:35">
      <c r="AI120" s="131"/>
    </row>
    <row r="121" spans="35:35">
      <c r="AI121" s="131"/>
    </row>
    <row r="122" spans="35:35">
      <c r="AI122" s="131"/>
    </row>
    <row r="123" spans="35:35">
      <c r="AI123" s="131"/>
    </row>
    <row r="124" spans="35:35">
      <c r="AI124" s="131"/>
    </row>
    <row r="125" spans="35:35">
      <c r="AI125" s="131"/>
    </row>
    <row r="126" spans="35:35">
      <c r="AI126" s="131"/>
    </row>
    <row r="127" spans="35:35">
      <c r="AI127" s="131"/>
    </row>
    <row r="128" spans="35:35">
      <c r="AI128" s="131"/>
    </row>
    <row r="129" spans="35:35">
      <c r="AI129" s="131"/>
    </row>
    <row r="130" spans="35:35">
      <c r="AI130" s="131"/>
    </row>
    <row r="131" spans="35:35">
      <c r="AI131" s="131"/>
    </row>
    <row r="132" spans="35:35">
      <c r="AI132" s="131"/>
    </row>
    <row r="134" spans="35:35">
      <c r="AI134" s="131"/>
    </row>
    <row r="135" spans="35:35">
      <c r="AI135" s="131"/>
    </row>
    <row r="136" spans="35:35">
      <c r="AI136" s="131"/>
    </row>
    <row r="137" spans="35:35">
      <c r="AI137" s="131"/>
    </row>
    <row r="138" spans="35:35">
      <c r="AI138" s="131"/>
    </row>
    <row r="140" spans="35:35">
      <c r="AI140" s="131"/>
    </row>
    <row r="141" spans="35:35">
      <c r="AI141" s="131"/>
    </row>
    <row r="142" spans="35:35">
      <c r="AI142" s="131"/>
    </row>
    <row r="143" spans="35:35">
      <c r="AI143" s="131"/>
    </row>
    <row r="144" spans="35:35">
      <c r="AI144" s="131"/>
    </row>
    <row r="145" spans="35:35">
      <c r="AI145" s="131"/>
    </row>
    <row r="146" spans="35:35">
      <c r="AI146" s="131"/>
    </row>
    <row r="147" spans="35:35">
      <c r="AI147" s="131"/>
    </row>
    <row r="148" spans="35:35">
      <c r="AI148" s="131"/>
    </row>
    <row r="149" spans="35:35">
      <c r="AI149" s="131"/>
    </row>
    <row r="150" spans="35:35">
      <c r="AI150" s="131"/>
    </row>
    <row r="151" spans="35:35">
      <c r="AI151" s="284"/>
    </row>
    <row r="152" spans="35:35">
      <c r="AI152" s="131"/>
    </row>
    <row r="154" spans="35:35">
      <c r="AI154" s="131"/>
    </row>
    <row r="155" spans="35:35">
      <c r="AI155" s="131"/>
    </row>
    <row r="156" spans="35:35">
      <c r="AI156" s="131"/>
    </row>
    <row r="157" spans="35:35">
      <c r="AI157" s="131"/>
    </row>
    <row r="158" spans="35:35">
      <c r="AI158" s="131"/>
    </row>
    <row r="159" spans="35:35">
      <c r="AI159" s="131"/>
    </row>
    <row r="160" spans="35:35">
      <c r="AI160" s="131"/>
    </row>
    <row r="161" spans="35:35">
      <c r="AI161" s="131"/>
    </row>
    <row r="162" spans="35:35">
      <c r="AI162" s="131"/>
    </row>
    <row r="163" spans="35:35">
      <c r="AI163" s="131"/>
    </row>
    <row r="164" spans="35:35">
      <c r="AI164" s="131"/>
    </row>
    <row r="166" spans="35:35">
      <c r="AI166" s="131"/>
    </row>
    <row r="167" spans="35:35">
      <c r="AI167" s="131"/>
    </row>
    <row r="168" spans="35:35">
      <c r="AI168" s="131"/>
    </row>
    <row r="169" spans="35:35">
      <c r="AI169" s="131"/>
    </row>
    <row r="170" spans="35:35">
      <c r="AI170" s="131"/>
    </row>
    <row r="171" spans="35:35">
      <c r="AI171" s="131"/>
    </row>
    <row r="172" spans="35:35">
      <c r="AI172" s="131"/>
    </row>
    <row r="173" spans="35:35">
      <c r="AI173" s="131"/>
    </row>
    <row r="174" spans="35:35">
      <c r="AI174" s="131"/>
    </row>
    <row r="175" spans="35:35">
      <c r="AI175" s="131"/>
    </row>
    <row r="176" spans="35:35">
      <c r="AI176" s="131"/>
    </row>
    <row r="177" spans="35:35">
      <c r="AI177" s="131"/>
    </row>
    <row r="178" spans="35:35">
      <c r="AI178" s="131"/>
    </row>
    <row r="179" spans="35:35">
      <c r="AI179" s="131"/>
    </row>
    <row r="180" spans="35:35">
      <c r="AI180" s="131"/>
    </row>
    <row r="181" spans="35:35">
      <c r="AI181" s="131"/>
    </row>
    <row r="182" spans="35:35">
      <c r="AI182" s="131"/>
    </row>
    <row r="183" spans="35:35">
      <c r="AI183" s="131"/>
    </row>
    <row r="184" spans="35:35">
      <c r="AI184" s="131"/>
    </row>
    <row r="185" spans="35:35">
      <c r="AI185" s="131"/>
    </row>
    <row r="186" spans="35:35">
      <c r="AI186" s="131"/>
    </row>
    <row r="187" spans="35:35">
      <c r="AI187" s="131"/>
    </row>
    <row r="188" spans="35:35">
      <c r="AI188" s="131"/>
    </row>
    <row r="189" spans="35:35">
      <c r="AI189" s="131"/>
    </row>
    <row r="190" spans="35:35">
      <c r="AI190" s="131"/>
    </row>
    <row r="191" spans="35:35">
      <c r="AI191" s="131"/>
    </row>
    <row r="192" spans="35:35">
      <c r="AI192" s="131"/>
    </row>
    <row r="193" spans="35:35">
      <c r="AI193" s="131"/>
    </row>
    <row r="194" spans="35:35">
      <c r="AI194" s="131"/>
    </row>
    <row r="195" spans="35:35">
      <c r="AI195" s="131"/>
    </row>
    <row r="196" spans="35:35">
      <c r="AI196" s="131"/>
    </row>
    <row r="197" spans="35:35">
      <c r="AI197" s="131"/>
    </row>
    <row r="198" spans="35:35">
      <c r="AI198" s="131"/>
    </row>
    <row r="199" spans="35:35">
      <c r="AI199" s="131"/>
    </row>
    <row r="200" spans="35:35">
      <c r="AI200" s="131"/>
    </row>
    <row r="201" spans="35:35">
      <c r="AI201" s="131"/>
    </row>
    <row r="202" spans="35:35">
      <c r="AI202" s="131"/>
    </row>
    <row r="203" spans="35:35">
      <c r="AI203" s="131"/>
    </row>
    <row r="204" spans="35:35">
      <c r="AI204" s="131"/>
    </row>
    <row r="205" spans="35:35">
      <c r="AI205" s="131"/>
    </row>
    <row r="206" spans="35:35">
      <c r="AI206" s="131"/>
    </row>
    <row r="207" spans="35:35">
      <c r="AI207" s="131"/>
    </row>
    <row r="208" spans="35:35">
      <c r="AI208" s="131"/>
    </row>
    <row r="209" spans="35:35">
      <c r="AI209" s="131"/>
    </row>
    <row r="210" spans="35:35">
      <c r="AI210" s="131"/>
    </row>
    <row r="211" spans="35:35">
      <c r="AI211" s="131"/>
    </row>
    <row r="212" spans="35:35">
      <c r="AI212" s="131"/>
    </row>
    <row r="213" spans="35:35">
      <c r="AI213" s="131"/>
    </row>
    <row r="214" spans="35:35">
      <c r="AI214" s="131"/>
    </row>
    <row r="215" spans="35:35">
      <c r="AI215" s="131"/>
    </row>
    <row r="216" spans="35:35">
      <c r="AI216" s="131"/>
    </row>
    <row r="217" spans="35:35">
      <c r="AI217" s="131"/>
    </row>
    <row r="218" spans="35:35">
      <c r="AI218" s="131"/>
    </row>
    <row r="219" spans="35:35">
      <c r="AI219" s="131"/>
    </row>
    <row r="220" spans="35:35">
      <c r="AI220" s="131"/>
    </row>
    <row r="221" spans="35:35">
      <c r="AI221" s="131"/>
    </row>
    <row r="222" spans="35:35">
      <c r="AI222" s="131"/>
    </row>
    <row r="223" spans="35:35">
      <c r="AI223" s="131"/>
    </row>
    <row r="224" spans="35:35">
      <c r="AI224" s="131"/>
    </row>
    <row r="225" spans="35:35">
      <c r="AI225" s="131"/>
    </row>
    <row r="226" spans="35:35">
      <c r="AI226" s="131"/>
    </row>
    <row r="227" spans="35:35">
      <c r="AI227" s="284"/>
    </row>
    <row r="228" spans="35:35">
      <c r="AI228" s="131"/>
    </row>
    <row r="229" spans="35:35">
      <c r="AI229" s="131"/>
    </row>
    <row r="230" spans="35:35">
      <c r="AI230" s="131"/>
    </row>
    <row r="231" spans="35:35">
      <c r="AI231" s="131"/>
    </row>
    <row r="232" spans="35:35">
      <c r="AI232" s="131"/>
    </row>
    <row r="233" spans="35:35">
      <c r="AI233" s="131"/>
    </row>
    <row r="234" spans="35:35">
      <c r="AI234" s="131"/>
    </row>
    <row r="235" spans="35:35">
      <c r="AI235" s="52"/>
    </row>
    <row r="236" spans="35:35">
      <c r="AI236" s="131"/>
    </row>
    <row r="237" spans="35:35">
      <c r="AI237" s="131"/>
    </row>
    <row r="238" spans="35:35">
      <c r="AI238" s="131"/>
    </row>
    <row r="239" spans="35:35">
      <c r="AI239" s="131"/>
    </row>
    <row r="240" spans="35:35">
      <c r="AI240" s="131"/>
    </row>
    <row r="241" spans="35:35">
      <c r="AI241" s="131"/>
    </row>
    <row r="242" spans="35:35">
      <c r="AI242" s="131"/>
    </row>
    <row r="243" spans="35:35">
      <c r="AI243" s="131"/>
    </row>
    <row r="244" spans="35:35">
      <c r="AI244" s="131"/>
    </row>
    <row r="245" spans="35:35">
      <c r="AI245" s="131"/>
    </row>
    <row r="246" spans="35:35">
      <c r="AI246" s="131"/>
    </row>
    <row r="247" spans="35:35">
      <c r="AI247" s="131"/>
    </row>
    <row r="248" spans="35:35">
      <c r="AI248" s="131"/>
    </row>
    <row r="249" spans="35:35">
      <c r="AI249" s="131"/>
    </row>
    <row r="250" spans="35:35">
      <c r="AI250" s="131"/>
    </row>
    <row r="251" spans="35:35">
      <c r="AI251" s="131"/>
    </row>
    <row r="252" spans="35:35">
      <c r="AI252" s="131"/>
    </row>
    <row r="253" spans="35:35">
      <c r="AI253" s="131"/>
    </row>
    <row r="254" spans="35:35">
      <c r="AI254" s="131"/>
    </row>
    <row r="255" spans="35:35">
      <c r="AI255" s="131"/>
    </row>
    <row r="256" spans="35:35">
      <c r="AI256" s="131"/>
    </row>
    <row r="257" spans="35:35">
      <c r="AI257" s="131"/>
    </row>
    <row r="258" spans="35:35">
      <c r="AI258" s="131"/>
    </row>
    <row r="259" spans="35:35">
      <c r="AI259" s="131"/>
    </row>
    <row r="260" spans="35:35">
      <c r="AI260" s="131"/>
    </row>
    <row r="261" spans="35:35">
      <c r="AI261" s="131"/>
    </row>
    <row r="262" spans="35:35">
      <c r="AI262" s="131"/>
    </row>
    <row r="263" spans="35:35">
      <c r="AI263" s="131"/>
    </row>
    <row r="264" spans="35:35">
      <c r="AI264" s="131"/>
    </row>
    <row r="265" spans="35:35">
      <c r="AI265" s="284"/>
    </row>
    <row r="266" spans="35:35">
      <c r="AI266" s="131"/>
    </row>
    <row r="268" spans="35:35">
      <c r="AI268" s="131"/>
    </row>
    <row r="269" spans="35:35">
      <c r="AI269" s="131"/>
    </row>
    <row r="270" spans="35:35">
      <c r="AI270" s="131"/>
    </row>
    <row r="271" spans="35:35">
      <c r="AI271" s="131"/>
    </row>
    <row r="272" spans="35:35">
      <c r="AI272" s="131"/>
    </row>
    <row r="273" spans="35:35">
      <c r="AI273" s="131"/>
    </row>
    <row r="274" spans="35:35">
      <c r="AI274" s="131"/>
    </row>
    <row r="275" spans="35:35">
      <c r="AI275" s="131"/>
    </row>
    <row r="276" spans="35:35">
      <c r="AI276" s="131"/>
    </row>
    <row r="277" spans="35:35">
      <c r="AI277" s="131"/>
    </row>
    <row r="278" spans="35:35">
      <c r="AI278" s="131"/>
    </row>
    <row r="279" spans="35:35">
      <c r="AI279" s="131"/>
    </row>
    <row r="280" spans="35:35">
      <c r="AI280" s="131"/>
    </row>
    <row r="281" spans="35:35">
      <c r="AI281" s="131"/>
    </row>
    <row r="282" spans="35:35">
      <c r="AI282" s="131"/>
    </row>
    <row r="283" spans="35:35">
      <c r="AI283" s="284"/>
    </row>
    <row r="284" spans="35:35">
      <c r="AI284" s="131"/>
    </row>
    <row r="285" spans="35:35">
      <c r="AI285" s="131"/>
    </row>
    <row r="286" spans="35:35">
      <c r="AI286" s="131"/>
    </row>
    <row r="287" spans="35:35">
      <c r="AI287" s="131"/>
    </row>
    <row r="288" spans="35:35">
      <c r="AI288" s="131"/>
    </row>
    <row r="289" spans="35:35">
      <c r="AI289" s="131"/>
    </row>
    <row r="290" spans="35:35">
      <c r="AI290" s="131"/>
    </row>
    <row r="291" spans="35:35">
      <c r="AI291" s="131"/>
    </row>
    <row r="292" spans="35:35">
      <c r="AI292" s="131"/>
    </row>
    <row r="293" spans="35:35">
      <c r="AI293" s="131"/>
    </row>
    <row r="294" spans="35:35">
      <c r="AI294" s="131"/>
    </row>
    <row r="295" spans="35:35">
      <c r="AI295" s="131"/>
    </row>
    <row r="296" spans="35:35">
      <c r="AI296" s="131"/>
    </row>
    <row r="297" spans="35:35">
      <c r="AI297" s="131"/>
    </row>
    <row r="298" spans="35:35">
      <c r="AI298" s="131"/>
    </row>
    <row r="299" spans="35:35">
      <c r="AI299" s="131"/>
    </row>
    <row r="300" spans="35:35">
      <c r="AI300" s="131"/>
    </row>
    <row r="301" spans="35:35">
      <c r="AI301" s="131"/>
    </row>
    <row r="302" spans="35:35">
      <c r="AI302" s="131"/>
    </row>
    <row r="303" spans="35:35">
      <c r="AI303" s="131"/>
    </row>
    <row r="304" spans="35:35">
      <c r="AI304" s="131"/>
    </row>
    <row r="305" spans="35:35">
      <c r="AI305" s="131"/>
    </row>
    <row r="306" spans="35:35">
      <c r="AI306" s="131"/>
    </row>
    <row r="307" spans="35:35">
      <c r="AI307" s="131"/>
    </row>
    <row r="308" spans="35:35">
      <c r="AI308" s="131"/>
    </row>
    <row r="309" spans="35:35">
      <c r="AI309" s="131"/>
    </row>
    <row r="310" spans="35:35">
      <c r="AI310" s="131"/>
    </row>
    <row r="311" spans="35:35">
      <c r="AI311" s="284"/>
    </row>
    <row r="312" spans="35:35">
      <c r="AI312" s="131"/>
    </row>
    <row r="313" spans="35:35">
      <c r="AI313" s="131"/>
    </row>
    <row r="314" spans="35:35">
      <c r="AI314" s="131"/>
    </row>
    <row r="315" spans="35:35">
      <c r="AI315" s="131"/>
    </row>
    <row r="316" spans="35:35">
      <c r="AI316" s="131"/>
    </row>
    <row r="317" spans="35:35">
      <c r="AI317" s="131"/>
    </row>
    <row r="318" spans="35:35">
      <c r="AI318" s="131"/>
    </row>
    <row r="319" spans="35:35">
      <c r="AI319" s="131"/>
    </row>
    <row r="320" spans="35:35">
      <c r="AI320" s="131"/>
    </row>
    <row r="321" spans="35:35">
      <c r="AI321" s="131"/>
    </row>
    <row r="322" spans="35:35">
      <c r="AI322" s="131"/>
    </row>
    <row r="323" spans="35:35">
      <c r="AI323" s="131"/>
    </row>
    <row r="324" spans="35:35">
      <c r="AI324" s="131"/>
    </row>
    <row r="325" spans="35:35">
      <c r="AI325" s="131"/>
    </row>
    <row r="326" spans="35:35">
      <c r="AI326" s="131"/>
    </row>
    <row r="327" spans="35:35">
      <c r="AI327" s="131"/>
    </row>
    <row r="328" spans="35:35">
      <c r="AI328" s="131"/>
    </row>
    <row r="329" spans="35:35">
      <c r="AI329" s="284"/>
    </row>
    <row r="330" spans="35:35">
      <c r="AI330" s="131"/>
    </row>
    <row r="331" spans="35:35">
      <c r="AI331" s="284"/>
    </row>
    <row r="332" spans="35:35">
      <c r="AI332" s="131"/>
    </row>
    <row r="333" spans="35:35">
      <c r="AI333" s="131"/>
    </row>
    <row r="334" spans="35:35">
      <c r="AI334" s="131"/>
    </row>
    <row r="335" spans="35:35">
      <c r="AI335" s="131"/>
    </row>
    <row r="336" spans="35:35">
      <c r="AI336" s="131"/>
    </row>
    <row r="337" spans="35:35">
      <c r="AI337" s="131"/>
    </row>
    <row r="338" spans="35:35">
      <c r="AI338" s="131"/>
    </row>
    <row r="339" spans="35:35">
      <c r="AI339" s="131"/>
    </row>
    <row r="340" spans="35:35">
      <c r="AI340" s="131"/>
    </row>
    <row r="341" spans="35:35">
      <c r="AI341" s="131"/>
    </row>
    <row r="342" spans="35:35">
      <c r="AI342" s="131"/>
    </row>
    <row r="343" spans="35:35">
      <c r="AI343" s="131"/>
    </row>
    <row r="344" spans="35:35">
      <c r="AI344" s="131"/>
    </row>
    <row r="345" spans="35:35">
      <c r="AI345" s="131"/>
    </row>
    <row r="346" spans="35:35">
      <c r="AI346" s="131"/>
    </row>
    <row r="347" spans="35:35">
      <c r="AI347" s="131"/>
    </row>
    <row r="348" spans="35:35">
      <c r="AI348" s="131"/>
    </row>
    <row r="349" spans="35:35">
      <c r="AI349" s="131"/>
    </row>
    <row r="350" spans="35:35">
      <c r="AI350" s="131"/>
    </row>
    <row r="351" spans="35:35">
      <c r="AI351" s="131"/>
    </row>
    <row r="352" spans="35:35">
      <c r="AI352" s="131"/>
    </row>
    <row r="353" spans="35:35">
      <c r="AI353" s="131"/>
    </row>
    <row r="354" spans="35:35">
      <c r="AI354" s="131"/>
    </row>
    <row r="355" spans="35:35">
      <c r="AI355" s="131"/>
    </row>
    <row r="356" spans="35:35">
      <c r="AI356" s="131"/>
    </row>
    <row r="357" spans="35:35">
      <c r="AI357" s="131"/>
    </row>
    <row r="358" spans="35:35">
      <c r="AI358" s="131"/>
    </row>
    <row r="359" spans="35:35">
      <c r="AI359" s="131"/>
    </row>
    <row r="360" spans="35:35">
      <c r="AI360" s="131"/>
    </row>
    <row r="361" spans="35:35">
      <c r="AI361" s="131"/>
    </row>
    <row r="362" spans="35:35">
      <c r="AI362" s="131"/>
    </row>
    <row r="363" spans="35:35">
      <c r="AI363" s="131"/>
    </row>
    <row r="364" spans="35:35">
      <c r="AI364" s="131"/>
    </row>
    <row r="365" spans="35:35">
      <c r="AI365" s="131"/>
    </row>
    <row r="366" spans="35:35">
      <c r="AI366" s="284"/>
    </row>
    <row r="367" spans="35:35">
      <c r="AI367" s="131"/>
    </row>
    <row r="368" spans="35:35">
      <c r="AI368" s="131"/>
    </row>
    <row r="369" spans="35:35">
      <c r="AI369" s="131"/>
    </row>
    <row r="370" spans="35:35">
      <c r="AI370" s="131"/>
    </row>
    <row r="371" spans="35:35">
      <c r="AI371" s="131"/>
    </row>
    <row r="372" spans="35:35">
      <c r="AI372" s="131"/>
    </row>
    <row r="373" spans="35:35">
      <c r="AI373" s="131"/>
    </row>
    <row r="374" spans="35:35">
      <c r="AI374" s="131"/>
    </row>
    <row r="375" spans="35:35">
      <c r="AI375" s="131"/>
    </row>
    <row r="376" spans="35:35">
      <c r="AI376" s="131"/>
    </row>
    <row r="377" spans="35:35">
      <c r="AI377" s="131"/>
    </row>
    <row r="378" spans="35:35">
      <c r="AI378" s="131"/>
    </row>
    <row r="379" spans="35:35">
      <c r="AI379" s="131"/>
    </row>
    <row r="380" spans="35:35">
      <c r="AI380" s="131"/>
    </row>
    <row r="381" spans="35:35">
      <c r="AI381" s="131"/>
    </row>
    <row r="382" spans="35:35">
      <c r="AI382" s="131"/>
    </row>
    <row r="383" spans="35:35">
      <c r="AI383" s="131"/>
    </row>
    <row r="384" spans="35:35">
      <c r="AI384" s="131"/>
    </row>
    <row r="385" spans="35:35">
      <c r="AI385" s="131"/>
    </row>
    <row r="386" spans="35:35">
      <c r="AI386" s="131"/>
    </row>
    <row r="387" spans="35:35">
      <c r="AI387" s="131"/>
    </row>
    <row r="388" spans="35:35">
      <c r="AI388" s="131"/>
    </row>
    <row r="389" spans="35:35">
      <c r="AI389" s="131"/>
    </row>
    <row r="390" spans="35:35">
      <c r="AI390" s="131"/>
    </row>
    <row r="391" spans="35:35">
      <c r="AI391" s="131"/>
    </row>
    <row r="392" spans="35:35">
      <c r="AI392" s="131"/>
    </row>
    <row r="393" spans="35:35">
      <c r="AI393" s="131"/>
    </row>
    <row r="394" spans="35:35">
      <c r="AI394" s="131"/>
    </row>
    <row r="395" spans="35:35">
      <c r="AI395" s="131"/>
    </row>
    <row r="396" spans="35:35">
      <c r="AI396" s="131"/>
    </row>
    <row r="397" spans="35:35">
      <c r="AI397" s="131"/>
    </row>
    <row r="398" spans="35:35">
      <c r="AI398" s="131"/>
    </row>
    <row r="399" spans="35:35">
      <c r="AI399" s="131"/>
    </row>
    <row r="400" spans="35:35">
      <c r="AI400" s="131"/>
    </row>
    <row r="401" spans="35:35">
      <c r="AI401" s="131"/>
    </row>
    <row r="402" spans="35:35">
      <c r="AI402" s="131"/>
    </row>
    <row r="403" spans="35:35">
      <c r="AI403" s="131"/>
    </row>
    <row r="404" spans="35:35">
      <c r="AI404" s="131"/>
    </row>
    <row r="405" spans="35:35">
      <c r="AI405" s="131"/>
    </row>
    <row r="406" spans="35:35">
      <c r="AI406" s="131"/>
    </row>
    <row r="407" spans="35:35">
      <c r="AI407" s="131"/>
    </row>
    <row r="408" spans="35:35">
      <c r="AI408" s="131"/>
    </row>
    <row r="409" spans="35:35">
      <c r="AI409" s="131"/>
    </row>
    <row r="410" spans="35:35">
      <c r="AI410" s="131"/>
    </row>
    <row r="411" spans="35:35">
      <c r="AI411" s="286"/>
    </row>
    <row r="412" spans="35:35">
      <c r="AI412" s="131"/>
    </row>
    <row r="413" spans="35:35">
      <c r="AI413" s="131"/>
    </row>
    <row r="414" spans="35:35">
      <c r="AI414" s="131"/>
    </row>
    <row r="415" spans="35:35">
      <c r="AI415" s="131"/>
    </row>
    <row r="416" spans="35:35">
      <c r="AI416" s="131"/>
    </row>
    <row r="417" spans="35:35">
      <c r="AI417" s="131"/>
    </row>
    <row r="418" spans="35:35">
      <c r="AI418" s="131"/>
    </row>
    <row r="419" spans="35:35">
      <c r="AI419" s="131"/>
    </row>
    <row r="420" spans="35:35">
      <c r="AI420" s="131"/>
    </row>
    <row r="421" spans="35:35">
      <c r="AI421" s="131"/>
    </row>
    <row r="422" spans="35:35">
      <c r="AI422" s="131"/>
    </row>
    <row r="423" spans="35:35">
      <c r="AI423" s="131"/>
    </row>
    <row r="424" spans="35:35">
      <c r="AI424" s="131"/>
    </row>
    <row r="425" spans="35:35">
      <c r="AI425" s="131"/>
    </row>
    <row r="426" spans="35:35">
      <c r="AI426" s="131"/>
    </row>
    <row r="427" spans="35:35">
      <c r="AI427" s="131"/>
    </row>
    <row r="428" spans="35:35">
      <c r="AI428" s="131"/>
    </row>
    <row r="429" spans="35:35">
      <c r="AI429" s="131"/>
    </row>
    <row r="430" spans="35:35">
      <c r="AI430" s="131"/>
    </row>
    <row r="431" spans="35:35">
      <c r="AI431" s="131"/>
    </row>
    <row r="432" spans="35:35">
      <c r="AI432" s="131"/>
    </row>
    <row r="433" spans="35:35">
      <c r="AI433" s="131"/>
    </row>
    <row r="434" spans="35:35">
      <c r="AI434" s="131"/>
    </row>
    <row r="435" spans="35:35">
      <c r="AI435" s="131"/>
    </row>
    <row r="436" spans="35:35">
      <c r="AI436" s="131"/>
    </row>
    <row r="437" spans="35:35">
      <c r="AI437" s="131"/>
    </row>
    <row r="438" spans="35:35">
      <c r="AI438" s="131"/>
    </row>
    <row r="439" spans="35:35">
      <c r="AI439" s="131"/>
    </row>
    <row r="440" spans="35:35">
      <c r="AI440" s="131"/>
    </row>
    <row r="441" spans="35:35">
      <c r="AI441" s="131"/>
    </row>
    <row r="442" spans="35:35">
      <c r="AI442" s="131"/>
    </row>
    <row r="443" spans="35:35">
      <c r="AI443" s="131"/>
    </row>
    <row r="444" spans="35:35">
      <c r="AI444" s="131"/>
    </row>
    <row r="445" spans="35:35">
      <c r="AI445" s="131"/>
    </row>
    <row r="446" spans="35:35">
      <c r="AI446" s="131"/>
    </row>
    <row r="447" spans="35:35">
      <c r="AI447" s="131"/>
    </row>
    <row r="448" spans="35:35">
      <c r="AI448" s="131"/>
    </row>
    <row r="449" spans="35:35">
      <c r="AI449" s="131"/>
    </row>
    <row r="450" spans="35:35">
      <c r="AI450" s="131"/>
    </row>
    <row r="451" spans="35:35">
      <c r="AI451" s="131"/>
    </row>
    <row r="452" spans="35:35">
      <c r="AI452" s="34"/>
    </row>
    <row r="453" spans="35:35">
      <c r="AI453" s="131"/>
    </row>
    <row r="454" spans="35:35">
      <c r="AI454" s="131"/>
    </row>
    <row r="455" spans="35:35">
      <c r="AI455" s="284"/>
    </row>
    <row r="456" spans="35:35">
      <c r="AI456" s="131"/>
    </row>
    <row r="457" spans="35:35">
      <c r="AI457" s="131"/>
    </row>
    <row r="458" spans="35:35">
      <c r="AI458" s="131"/>
    </row>
    <row r="459" spans="35:35">
      <c r="AI459" s="131"/>
    </row>
    <row r="460" spans="35:35">
      <c r="AI460" s="131"/>
    </row>
    <row r="461" spans="35:35">
      <c r="AI461" s="284"/>
    </row>
    <row r="462" spans="35:35">
      <c r="AI462" s="131"/>
    </row>
    <row r="463" spans="35:35">
      <c r="AI463" s="131"/>
    </row>
    <row r="464" spans="35:35">
      <c r="AI464" s="131"/>
    </row>
    <row r="465" spans="35:35">
      <c r="AI465" s="131"/>
    </row>
    <row r="466" spans="35:35">
      <c r="AI466" s="131"/>
    </row>
    <row r="467" spans="35:35">
      <c r="AI467" s="131"/>
    </row>
    <row r="468" spans="35:35">
      <c r="AI468" s="131"/>
    </row>
    <row r="469" spans="35:35">
      <c r="AI469" s="131"/>
    </row>
    <row r="470" spans="35:35">
      <c r="AI470" s="131"/>
    </row>
    <row r="471" spans="35:35">
      <c r="AI471" s="131"/>
    </row>
    <row r="472" spans="35:35">
      <c r="AI472" s="284"/>
    </row>
    <row r="473" spans="35:35">
      <c r="AI473" s="131"/>
    </row>
    <row r="474" spans="35:35">
      <c r="AI474" s="131"/>
    </row>
    <row r="475" spans="35:35">
      <c r="AI475" s="131"/>
    </row>
    <row r="476" spans="35:35">
      <c r="AI476" s="131"/>
    </row>
    <row r="477" spans="35:35">
      <c r="AI477" s="131"/>
    </row>
    <row r="478" spans="35:35">
      <c r="AI478" s="131"/>
    </row>
    <row r="479" spans="35:35">
      <c r="AI479" s="131"/>
    </row>
    <row r="480" spans="35:35">
      <c r="AI480" s="131"/>
    </row>
    <row r="481" spans="35:35">
      <c r="AI481" s="131"/>
    </row>
    <row r="482" spans="35:35">
      <c r="AI482" s="284"/>
    </row>
    <row r="483" spans="35:35">
      <c r="AI483" s="131"/>
    </row>
    <row r="484" spans="35:35">
      <c r="AI484" s="131"/>
    </row>
    <row r="485" spans="35:35">
      <c r="AI485" s="131"/>
    </row>
    <row r="486" spans="35:35">
      <c r="AI486" s="131"/>
    </row>
    <row r="487" spans="35:35">
      <c r="AI487" s="131"/>
    </row>
    <row r="488" spans="35:35">
      <c r="AI488" s="131"/>
    </row>
    <row r="489" spans="35:35">
      <c r="AI489" s="131"/>
    </row>
    <row r="490" spans="35:35">
      <c r="AI490" s="284"/>
    </row>
    <row r="491" spans="35:35">
      <c r="AI491" s="131"/>
    </row>
    <row r="492" spans="35:35">
      <c r="AI492" s="131"/>
    </row>
    <row r="493" spans="35:35">
      <c r="AI493" s="131"/>
    </row>
    <row r="494" spans="35:35">
      <c r="AI494" s="131"/>
    </row>
    <row r="495" spans="35:35">
      <c r="AI495" s="131"/>
    </row>
    <row r="496" spans="35:35">
      <c r="AI496" s="131"/>
    </row>
    <row r="497" spans="35:35">
      <c r="AI497" s="131"/>
    </row>
    <row r="498" spans="35:35">
      <c r="AI498" s="131"/>
    </row>
    <row r="499" spans="35:35">
      <c r="AI499" s="131"/>
    </row>
    <row r="500" spans="35:35">
      <c r="AI500" s="284"/>
    </row>
    <row r="501" spans="35:35">
      <c r="AI501" s="131"/>
    </row>
    <row r="502" spans="35:35">
      <c r="AI502" s="131"/>
    </row>
    <row r="503" spans="35:35">
      <c r="AI503" s="131"/>
    </row>
    <row r="504" spans="35:35">
      <c r="AI504" s="131"/>
    </row>
    <row r="505" spans="35:35">
      <c r="AI505" s="131"/>
    </row>
    <row r="506" spans="35:35">
      <c r="AI506" s="131"/>
    </row>
    <row r="507" spans="35:35">
      <c r="AI507" s="131"/>
    </row>
    <row r="508" spans="35:35">
      <c r="AI508" s="131"/>
    </row>
    <row r="509" spans="35:35">
      <c r="AI509" s="131"/>
    </row>
    <row r="510" spans="35:35">
      <c r="AI510" s="131"/>
    </row>
    <row r="511" spans="35:35">
      <c r="AI511" s="131"/>
    </row>
    <row r="512" spans="35:35">
      <c r="AI512" s="131"/>
    </row>
    <row r="513" spans="35:35">
      <c r="AI513" s="131"/>
    </row>
    <row r="514" spans="35:35">
      <c r="AI514" s="131"/>
    </row>
    <row r="515" spans="35:35">
      <c r="AI515" s="131"/>
    </row>
    <row r="516" spans="35:35">
      <c r="AI516" s="131"/>
    </row>
    <row r="517" spans="35:35">
      <c r="AI517" s="131"/>
    </row>
    <row r="518" spans="35:35">
      <c r="AI518" s="131"/>
    </row>
    <row r="519" spans="35:35">
      <c r="AI519" s="131"/>
    </row>
    <row r="520" spans="35:35">
      <c r="AI520" s="131"/>
    </row>
    <row r="521" spans="35:35">
      <c r="AI521" s="284"/>
    </row>
    <row r="522" spans="35:35">
      <c r="AI522" s="131"/>
    </row>
    <row r="523" spans="35:35">
      <c r="AI523" s="131"/>
    </row>
    <row r="524" spans="35:35">
      <c r="AI524" s="131"/>
    </row>
    <row r="526" spans="35:35">
      <c r="AI526" s="131"/>
    </row>
    <row r="527" spans="35:35">
      <c r="AI527" s="131"/>
    </row>
    <row r="528" spans="35:35">
      <c r="AI528" s="131"/>
    </row>
    <row r="529" spans="35:35">
      <c r="AI529" s="131"/>
    </row>
    <row r="530" spans="35:35">
      <c r="AI530" s="131"/>
    </row>
    <row r="531" spans="35:35">
      <c r="AI531" s="131"/>
    </row>
    <row r="532" spans="35:35">
      <c r="AI532" s="131"/>
    </row>
    <row r="533" spans="35:35">
      <c r="AI533" s="131"/>
    </row>
    <row r="534" spans="35:35">
      <c r="AI534" s="284"/>
    </row>
    <row r="535" spans="35:35">
      <c r="AI535" s="131"/>
    </row>
    <row r="536" spans="35:35">
      <c r="AI536" s="131"/>
    </row>
    <row r="537" spans="35:35">
      <c r="AI537" s="131"/>
    </row>
    <row r="538" spans="35:35">
      <c r="AI538" s="284"/>
    </row>
    <row r="539" spans="35:35">
      <c r="AI539" s="131"/>
    </row>
    <row r="540" spans="35:35">
      <c r="AI540" s="131"/>
    </row>
    <row r="541" spans="35:35">
      <c r="AI541" s="131"/>
    </row>
    <row r="542" spans="35:35">
      <c r="AI542" s="131"/>
    </row>
    <row r="543" spans="35:35">
      <c r="AI543" s="131"/>
    </row>
    <row r="544" spans="35:35">
      <c r="AI544" s="131"/>
    </row>
    <row r="545" spans="35:35">
      <c r="AI545" s="131"/>
    </row>
    <row r="546" spans="35:35">
      <c r="AI546" s="131"/>
    </row>
    <row r="547" spans="35:35">
      <c r="AI547" s="131"/>
    </row>
    <row r="548" spans="35:35">
      <c r="AI548" s="131"/>
    </row>
    <row r="549" spans="35:35">
      <c r="AI549" s="131"/>
    </row>
    <row r="550" spans="35:35">
      <c r="AI550" s="131"/>
    </row>
    <row r="551" spans="35:35">
      <c r="AI551" s="131"/>
    </row>
    <row r="552" spans="35:35">
      <c r="AI552" s="131"/>
    </row>
    <row r="553" spans="35:35">
      <c r="AI553" s="131"/>
    </row>
    <row r="554" spans="35:35">
      <c r="AI554" s="131"/>
    </row>
    <row r="555" spans="35:35">
      <c r="AI555" s="131"/>
    </row>
    <row r="556" spans="35:35">
      <c r="AI556" s="131"/>
    </row>
    <row r="557" spans="35:35">
      <c r="AI557" s="131"/>
    </row>
    <row r="558" spans="35:35">
      <c r="AI558" s="131"/>
    </row>
    <row r="559" spans="35:35">
      <c r="AI559" s="131"/>
    </row>
    <row r="560" spans="35:35">
      <c r="AI560" s="131"/>
    </row>
    <row r="561" spans="35:35">
      <c r="AI561" s="131"/>
    </row>
    <row r="562" spans="35:35">
      <c r="AI562" s="131"/>
    </row>
    <row r="563" spans="35:35">
      <c r="AI563" s="131"/>
    </row>
    <row r="564" spans="35:35">
      <c r="AI564" s="131"/>
    </row>
    <row r="565" spans="35:35">
      <c r="AI565" s="131"/>
    </row>
    <row r="566" spans="35:35">
      <c r="AI566" s="131"/>
    </row>
    <row r="567" spans="35:35">
      <c r="AI567" s="131"/>
    </row>
    <row r="568" spans="35:35">
      <c r="AI568" s="131"/>
    </row>
    <row r="569" spans="35:35">
      <c r="AI569" s="131"/>
    </row>
    <row r="570" spans="35:35">
      <c r="AI570" s="131"/>
    </row>
    <row r="571" spans="35:35">
      <c r="AI571" s="131"/>
    </row>
    <row r="572" spans="35:35">
      <c r="AI572" s="131"/>
    </row>
    <row r="573" spans="35:35">
      <c r="AI573" s="131"/>
    </row>
    <row r="574" spans="35:35">
      <c r="AI574" s="131"/>
    </row>
    <row r="575" spans="35:35">
      <c r="AI575" s="131"/>
    </row>
    <row r="576" spans="35:35">
      <c r="AI576" s="131"/>
    </row>
    <row r="577" spans="35:35">
      <c r="AI577" s="131"/>
    </row>
    <row r="578" spans="35:35">
      <c r="AI578" s="131"/>
    </row>
    <row r="579" spans="35:35">
      <c r="AI579" s="131"/>
    </row>
    <row r="580" spans="35:35">
      <c r="AI580" s="131"/>
    </row>
    <row r="581" spans="35:35">
      <c r="AI581" s="131"/>
    </row>
    <row r="582" spans="35:35">
      <c r="AI582" s="131"/>
    </row>
    <row r="583" spans="35:35">
      <c r="AI583" s="28"/>
    </row>
    <row r="584" spans="35:35">
      <c r="AI584" s="131"/>
    </row>
    <row r="585" spans="35:35">
      <c r="AI585" s="131"/>
    </row>
    <row r="586" spans="35:35">
      <c r="AI586" s="131"/>
    </row>
    <row r="587" spans="35:35">
      <c r="AI587" s="131"/>
    </row>
    <row r="588" spans="35:35">
      <c r="AI588" s="131"/>
    </row>
    <row r="589" spans="35:35">
      <c r="AI589" s="131"/>
    </row>
    <row r="590" spans="35:35">
      <c r="AI590" s="131"/>
    </row>
    <row r="591" spans="35:35">
      <c r="AI591" s="131"/>
    </row>
    <row r="592" spans="35:35">
      <c r="AI592" s="131"/>
    </row>
    <row r="593" spans="35:35">
      <c r="AI593" s="131"/>
    </row>
    <row r="594" spans="35:35">
      <c r="AI594" s="131"/>
    </row>
    <row r="595" spans="35:35">
      <c r="AI595" s="131"/>
    </row>
    <row r="596" spans="35:35">
      <c r="AI596" s="131"/>
    </row>
    <row r="597" spans="35:35">
      <c r="AI597" s="131"/>
    </row>
    <row r="598" spans="35:35">
      <c r="AI598" s="131"/>
    </row>
    <row r="599" spans="35:35">
      <c r="AI599" s="131"/>
    </row>
    <row r="600" spans="35:35">
      <c r="AI600" s="131"/>
    </row>
    <row r="601" spans="35:35">
      <c r="AI601" s="131"/>
    </row>
    <row r="602" spans="35:35">
      <c r="AI602" s="131"/>
    </row>
    <row r="603" spans="35:35">
      <c r="AI603" s="131"/>
    </row>
    <row r="604" spans="35:35">
      <c r="AI604" s="131"/>
    </row>
    <row r="605" spans="35:35">
      <c r="AI605" s="131"/>
    </row>
    <row r="606" spans="35:35">
      <c r="AI606" s="131"/>
    </row>
    <row r="607" spans="35:35">
      <c r="AI607" s="131"/>
    </row>
    <row r="608" spans="35:35">
      <c r="AI608" s="131"/>
    </row>
    <row r="609" spans="35:35">
      <c r="AI609" s="131"/>
    </row>
    <row r="610" spans="35:35">
      <c r="AI610" s="131"/>
    </row>
    <row r="611" spans="35:35">
      <c r="AI611" s="131"/>
    </row>
    <row r="612" spans="35:35">
      <c r="AI612" s="131"/>
    </row>
    <row r="613" spans="35:35">
      <c r="AI613" s="131"/>
    </row>
    <row r="614" spans="35:35">
      <c r="AI614" s="131"/>
    </row>
    <row r="615" spans="35:35">
      <c r="AI615" s="131"/>
    </row>
    <row r="616" spans="35:35">
      <c r="AI616" s="284"/>
    </row>
    <row r="617" spans="35:35">
      <c r="AI617" s="284"/>
    </row>
    <row r="618" spans="35:35">
      <c r="AI618" s="131"/>
    </row>
    <row r="619" spans="35:35">
      <c r="AI619" s="131"/>
    </row>
    <row r="620" spans="35:35">
      <c r="AI620" s="131"/>
    </row>
    <row r="621" spans="35:35">
      <c r="AI621" s="131"/>
    </row>
    <row r="622" spans="35:35">
      <c r="AI622" s="131"/>
    </row>
    <row r="623" spans="35:35">
      <c r="AI623" s="131"/>
    </row>
    <row r="624" spans="35:35">
      <c r="AI624" s="131"/>
    </row>
    <row r="625" spans="35:35">
      <c r="AI625" s="131"/>
    </row>
    <row r="626" spans="35:35">
      <c r="AI626" s="131"/>
    </row>
    <row r="627" spans="35:35">
      <c r="AI627" s="131"/>
    </row>
    <row r="628" spans="35:35">
      <c r="AI628" s="131"/>
    </row>
    <row r="629" spans="35:35">
      <c r="AI629" s="131"/>
    </row>
    <row r="630" spans="35:35">
      <c r="AI630" s="131"/>
    </row>
    <row r="631" spans="35:35">
      <c r="AI631" s="131"/>
    </row>
    <row r="632" spans="35:35">
      <c r="AI632" s="131"/>
    </row>
    <row r="633" spans="35:35">
      <c r="AI633" s="131"/>
    </row>
    <row r="634" spans="35:35">
      <c r="AI634" s="131"/>
    </row>
    <row r="635" spans="35:35">
      <c r="AI635" s="131"/>
    </row>
    <row r="636" spans="35:35">
      <c r="AI636" s="131"/>
    </row>
    <row r="637" spans="35:35">
      <c r="AI637" s="131"/>
    </row>
    <row r="638" spans="35:35">
      <c r="AI638" s="131"/>
    </row>
    <row r="639" spans="35:35">
      <c r="AI639" s="131"/>
    </row>
    <row r="640" spans="35:35">
      <c r="AI640" s="131"/>
    </row>
    <row r="641" spans="35:35">
      <c r="AI641" s="131"/>
    </row>
    <row r="642" spans="35:35">
      <c r="AI642" s="131"/>
    </row>
    <row r="643" spans="35:35">
      <c r="AI643" s="131"/>
    </row>
    <row r="644" spans="35:35">
      <c r="AI644" s="131"/>
    </row>
    <row r="645" spans="35:35">
      <c r="AI645" s="131"/>
    </row>
    <row r="646" spans="35:35">
      <c r="AI646" s="131"/>
    </row>
    <row r="647" spans="35:35">
      <c r="AI647" s="131"/>
    </row>
    <row r="648" spans="35:35">
      <c r="AI648" s="131"/>
    </row>
    <row r="649" spans="35:35">
      <c r="AI649" s="131"/>
    </row>
    <row r="650" spans="35:35">
      <c r="AI650" s="131"/>
    </row>
    <row r="651" spans="35:35">
      <c r="AI651" s="131"/>
    </row>
    <row r="652" spans="35:35">
      <c r="AI652" s="131"/>
    </row>
    <row r="653" spans="35:35">
      <c r="AI653" s="131"/>
    </row>
    <row r="654" spans="35:35">
      <c r="AI654" s="131"/>
    </row>
    <row r="655" spans="35:35">
      <c r="AI655" s="131"/>
    </row>
    <row r="656" spans="35:35">
      <c r="AI656" s="284"/>
    </row>
    <row r="657" spans="35:35">
      <c r="AI657" s="131"/>
    </row>
    <row r="658" spans="35:35">
      <c r="AI658" s="131"/>
    </row>
    <row r="659" spans="35:35">
      <c r="AI659" s="131"/>
    </row>
    <row r="660" spans="35:35">
      <c r="AI660" s="131"/>
    </row>
    <row r="661" spans="35:35">
      <c r="AI661" s="131"/>
    </row>
    <row r="662" spans="35:35">
      <c r="AI662" s="131"/>
    </row>
    <row r="663" spans="35:35">
      <c r="AI663" s="131"/>
    </row>
    <row r="664" spans="35:35">
      <c r="AI664" s="131"/>
    </row>
    <row r="665" spans="35:35">
      <c r="AI665" s="131"/>
    </row>
    <row r="666" spans="35:35">
      <c r="AI666" s="131"/>
    </row>
    <row r="667" spans="35:35">
      <c r="AI667" s="131"/>
    </row>
    <row r="668" spans="35:35">
      <c r="AI668" s="131"/>
    </row>
    <row r="669" spans="35:35">
      <c r="AI669" s="131"/>
    </row>
    <row r="670" spans="35:35">
      <c r="AI670" s="131"/>
    </row>
    <row r="671" spans="35:35">
      <c r="AI671" s="131"/>
    </row>
    <row r="672" spans="35:35">
      <c r="AI672" s="131"/>
    </row>
    <row r="673" spans="35:35">
      <c r="AI673" s="131"/>
    </row>
    <row r="674" spans="35:35">
      <c r="AI674" s="131"/>
    </row>
    <row r="675" spans="35:35">
      <c r="AI675" s="131"/>
    </row>
    <row r="676" spans="35:35">
      <c r="AI676" s="131"/>
    </row>
    <row r="677" spans="35:35">
      <c r="AI677" s="131"/>
    </row>
    <row r="678" spans="35:35">
      <c r="AI678" s="131"/>
    </row>
    <row r="679" spans="35:35">
      <c r="AI679" s="131"/>
    </row>
    <row r="680" spans="35:35">
      <c r="AI680" s="131"/>
    </row>
    <row r="681" spans="35:35">
      <c r="AI681" s="131"/>
    </row>
    <row r="682" spans="35:35">
      <c r="AI682" s="131"/>
    </row>
    <row r="683" spans="35:35">
      <c r="AI683" s="131"/>
    </row>
    <row r="684" spans="35:35">
      <c r="AI684" s="131"/>
    </row>
    <row r="685" spans="35:35">
      <c r="AI685" s="131"/>
    </row>
    <row r="686" spans="35:35">
      <c r="AI686" s="131"/>
    </row>
    <row r="687" spans="35:35">
      <c r="AI687" s="131"/>
    </row>
    <row r="688" spans="35:35">
      <c r="AI688" s="131"/>
    </row>
    <row r="689" spans="35:35">
      <c r="AI689" s="131"/>
    </row>
    <row r="690" spans="35:35">
      <c r="AI690" s="131"/>
    </row>
    <row r="691" spans="35:35">
      <c r="AI691" s="131"/>
    </row>
    <row r="692" spans="35:35">
      <c r="AI692" s="131"/>
    </row>
    <row r="693" spans="35:35">
      <c r="AI693" s="131"/>
    </row>
    <row r="694" spans="35:35">
      <c r="AI694" s="131"/>
    </row>
    <row r="695" spans="35:35">
      <c r="AI695" s="131"/>
    </row>
    <row r="696" spans="35:35">
      <c r="AI696" s="131"/>
    </row>
    <row r="697" spans="35:35">
      <c r="AI697" s="131"/>
    </row>
    <row r="698" spans="35:35">
      <c r="AI698" s="131"/>
    </row>
    <row r="699" spans="35:35">
      <c r="AI699" s="131"/>
    </row>
    <row r="700" spans="35:35">
      <c r="AI700" s="131"/>
    </row>
    <row r="701" spans="35:35">
      <c r="AI701" s="131"/>
    </row>
    <row r="702" spans="35:35">
      <c r="AI702" s="131"/>
    </row>
    <row r="703" spans="35:35">
      <c r="AI703" s="131"/>
    </row>
    <row r="704" spans="35:35">
      <c r="AI704" s="131"/>
    </row>
    <row r="705" spans="35:35">
      <c r="AI705" s="131"/>
    </row>
    <row r="706" spans="35:35">
      <c r="AI706" s="131"/>
    </row>
    <row r="707" spans="35:35">
      <c r="AI707" s="131"/>
    </row>
    <row r="708" spans="35:35">
      <c r="AI708" s="131"/>
    </row>
    <row r="709" spans="35:35">
      <c r="AI709" s="131"/>
    </row>
    <row r="710" spans="35:35">
      <c r="AI710" s="131"/>
    </row>
    <row r="711" spans="35:35">
      <c r="AI711" s="131"/>
    </row>
    <row r="712" spans="35:35">
      <c r="AI712" s="131"/>
    </row>
    <row r="713" spans="35:35">
      <c r="AI713" s="131"/>
    </row>
    <row r="714" spans="35:35">
      <c r="AI714" s="284"/>
    </row>
    <row r="715" spans="35:35">
      <c r="AI715" s="131"/>
    </row>
    <row r="716" spans="35:35">
      <c r="AI716" s="131"/>
    </row>
    <row r="717" spans="35:35">
      <c r="AI717" s="131"/>
    </row>
    <row r="718" spans="35:35">
      <c r="AI718" s="131"/>
    </row>
    <row r="719" spans="35:35">
      <c r="AI719" s="131"/>
    </row>
    <row r="720" spans="35:35">
      <c r="AI720" s="131"/>
    </row>
    <row r="721" spans="35:35">
      <c r="AI721" s="131"/>
    </row>
    <row r="722" spans="35:35">
      <c r="AI722" s="131"/>
    </row>
    <row r="723" spans="35:35">
      <c r="AI723" s="131"/>
    </row>
    <row r="724" spans="35:35">
      <c r="AI724" s="131"/>
    </row>
    <row r="725" spans="35:35">
      <c r="AI725" s="131"/>
    </row>
    <row r="726" spans="35:35">
      <c r="AI726" s="131"/>
    </row>
    <row r="727" spans="35:35">
      <c r="AI727" s="131"/>
    </row>
    <row r="728" spans="35:35">
      <c r="AI728" s="131"/>
    </row>
    <row r="729" spans="35:35">
      <c r="AI729" s="131"/>
    </row>
    <row r="730" spans="35:35">
      <c r="AI730" s="131"/>
    </row>
    <row r="731" spans="35:35">
      <c r="AI731" s="131"/>
    </row>
    <row r="732" spans="35:35">
      <c r="AI732" s="131"/>
    </row>
    <row r="733" spans="35:35">
      <c r="AI733" s="131"/>
    </row>
    <row r="734" spans="35:35">
      <c r="AI734" s="131"/>
    </row>
    <row r="735" spans="35:35">
      <c r="AI735" s="131"/>
    </row>
    <row r="736" spans="35:35">
      <c r="AI736" s="131"/>
    </row>
    <row r="737" spans="35:35">
      <c r="AI737" s="131"/>
    </row>
    <row r="738" spans="35:35">
      <c r="AI738" s="131"/>
    </row>
    <row r="739" spans="35:35">
      <c r="AI739" s="131"/>
    </row>
    <row r="740" spans="35:35">
      <c r="AI740" s="131"/>
    </row>
    <row r="741" spans="35:35">
      <c r="AI741" s="131"/>
    </row>
    <row r="742" spans="35:35">
      <c r="AI742" s="131"/>
    </row>
    <row r="743" spans="35:35">
      <c r="AI743" s="131"/>
    </row>
    <row r="744" spans="35:35">
      <c r="AI744" s="131"/>
    </row>
    <row r="745" spans="35:35">
      <c r="AI745" s="131"/>
    </row>
    <row r="746" spans="35:35">
      <c r="AI746" s="131"/>
    </row>
    <row r="747" spans="35:35">
      <c r="AI747" s="131"/>
    </row>
    <row r="748" spans="35:35">
      <c r="AI748" s="131"/>
    </row>
    <row r="749" spans="35:35">
      <c r="AI749" s="131"/>
    </row>
    <row r="750" spans="35:35">
      <c r="AI750" s="131"/>
    </row>
    <row r="751" spans="35:35">
      <c r="AI751" s="131"/>
    </row>
    <row r="752" spans="35:35">
      <c r="AI752" s="131"/>
    </row>
    <row r="753" spans="35:35">
      <c r="AI753" s="131"/>
    </row>
    <row r="754" spans="35:35">
      <c r="AI754" s="131"/>
    </row>
    <row r="755" spans="35:35">
      <c r="AI755" s="131"/>
    </row>
    <row r="756" spans="35:35">
      <c r="AI756" s="131"/>
    </row>
    <row r="757" spans="35:35">
      <c r="AI757" s="131"/>
    </row>
    <row r="758" spans="35:35">
      <c r="AI758" s="131"/>
    </row>
    <row r="759" spans="35:35">
      <c r="AI759" s="131"/>
    </row>
    <row r="760" spans="35:35">
      <c r="AI760" s="131"/>
    </row>
    <row r="761" spans="35:35">
      <c r="AI761" s="131"/>
    </row>
    <row r="762" spans="35:35">
      <c r="AI762" s="131"/>
    </row>
    <row r="763" spans="35:35">
      <c r="AI763" s="131"/>
    </row>
    <row r="764" spans="35:35">
      <c r="AI764" s="131"/>
    </row>
    <row r="765" spans="35:35">
      <c r="AI765" s="131"/>
    </row>
    <row r="766" spans="35:35">
      <c r="AI766" s="131"/>
    </row>
    <row r="767" spans="35:35">
      <c r="AI767" s="131"/>
    </row>
    <row r="768" spans="35:35">
      <c r="AI768" s="131"/>
    </row>
    <row r="769" spans="35:35">
      <c r="AI769" s="131"/>
    </row>
    <row r="770" spans="35:35">
      <c r="AI770" s="131"/>
    </row>
    <row r="771" spans="35:35">
      <c r="AI771" s="284"/>
    </row>
    <row r="772" spans="35:35">
      <c r="AI772" s="131"/>
    </row>
    <row r="773" spans="35:35">
      <c r="AI773" s="131"/>
    </row>
    <row r="774" spans="35:35">
      <c r="AI774" s="131"/>
    </row>
    <row r="775" spans="35:35">
      <c r="AI775" s="131"/>
    </row>
    <row r="776" spans="35:35">
      <c r="AI776" s="131"/>
    </row>
    <row r="777" spans="35:35">
      <c r="AI777" s="131"/>
    </row>
    <row r="778" spans="35:35">
      <c r="AI778" s="131"/>
    </row>
    <row r="779" spans="35:35">
      <c r="AI779" s="131"/>
    </row>
    <row r="780" spans="35:35">
      <c r="AI780" s="131"/>
    </row>
    <row r="781" spans="35:35">
      <c r="AI781" s="131"/>
    </row>
    <row r="782" spans="35:35">
      <c r="AI782" s="131"/>
    </row>
    <row r="783" spans="35:35">
      <c r="AI783" s="131"/>
    </row>
    <row r="784" spans="35:35">
      <c r="AI784" s="131"/>
    </row>
    <row r="785" spans="35:35">
      <c r="AI785" s="131"/>
    </row>
    <row r="786" spans="35:35">
      <c r="AI786" s="131"/>
    </row>
    <row r="787" spans="35:35">
      <c r="AI787" s="131"/>
    </row>
    <row r="788" spans="35:35">
      <c r="AI788" s="131"/>
    </row>
    <row r="789" spans="35:35">
      <c r="AI789" s="131"/>
    </row>
    <row r="790" spans="35:35">
      <c r="AI790" s="131"/>
    </row>
    <row r="791" spans="35:35">
      <c r="AI791" s="131"/>
    </row>
    <row r="792" spans="35:35">
      <c r="AI792" s="131"/>
    </row>
    <row r="793" spans="35:35">
      <c r="AI793" s="131"/>
    </row>
    <row r="794" spans="35:35">
      <c r="AI794" s="131"/>
    </row>
    <row r="795" spans="35:35">
      <c r="AI795" s="131"/>
    </row>
    <row r="796" spans="35:35">
      <c r="AI796" s="131"/>
    </row>
    <row r="797" spans="35:35">
      <c r="AI797" s="131"/>
    </row>
    <row r="798" spans="35:35">
      <c r="AI798" s="131"/>
    </row>
    <row r="799" spans="35:35">
      <c r="AI799" s="253"/>
    </row>
    <row r="800" spans="35:35">
      <c r="AI800" s="131"/>
    </row>
    <row r="801" spans="35:35">
      <c r="AI801" s="131"/>
    </row>
    <row r="802" spans="35:35">
      <c r="AI802" s="131"/>
    </row>
    <row r="803" spans="35:35">
      <c r="AI803" s="131"/>
    </row>
    <row r="804" spans="35:35">
      <c r="AI804" s="131"/>
    </row>
    <row r="805" spans="35:35">
      <c r="AI805" s="131"/>
    </row>
    <row r="806" spans="35:35">
      <c r="AI806" s="131"/>
    </row>
    <row r="807" spans="35:35">
      <c r="AI807" s="131"/>
    </row>
    <row r="808" spans="35:35">
      <c r="AI808" s="131"/>
    </row>
    <row r="809" spans="35:35">
      <c r="AI809" s="131"/>
    </row>
    <row r="810" spans="35:35">
      <c r="AI810" s="131"/>
    </row>
    <row r="811" spans="35:35">
      <c r="AI811" s="131"/>
    </row>
    <row r="812" spans="35:35">
      <c r="AI812" s="131"/>
    </row>
    <row r="813" spans="35:35">
      <c r="AI813" s="284"/>
    </row>
    <row r="814" spans="35:35">
      <c r="AI814" s="131"/>
    </row>
    <row r="815" spans="35:35">
      <c r="AI815" s="131"/>
    </row>
    <row r="816" spans="35:35">
      <c r="AI816" s="131"/>
    </row>
    <row r="817" spans="35:35">
      <c r="AI817" s="131"/>
    </row>
    <row r="818" spans="35:35">
      <c r="AI818" s="131"/>
    </row>
    <row r="819" spans="35:35">
      <c r="AI819" s="131"/>
    </row>
    <row r="820" spans="35:35">
      <c r="AI820" s="131"/>
    </row>
    <row r="821" spans="35:35">
      <c r="AI821" s="131"/>
    </row>
    <row r="823" spans="35:35">
      <c r="AI823" s="131"/>
    </row>
    <row r="824" spans="35:35">
      <c r="AI824" s="131"/>
    </row>
    <row r="825" spans="35:35">
      <c r="AI825" s="284"/>
    </row>
    <row r="826" spans="35:35">
      <c r="AI826" s="131"/>
    </row>
    <row r="827" spans="35:35">
      <c r="AI827" s="284"/>
    </row>
    <row r="828" spans="35:35">
      <c r="AI828" s="131"/>
    </row>
    <row r="829" spans="35:35">
      <c r="AI829" s="131"/>
    </row>
    <row r="830" spans="35:35">
      <c r="AI830" s="131"/>
    </row>
    <row r="831" spans="35:35">
      <c r="AI831" s="284"/>
    </row>
    <row r="832" spans="35:35">
      <c r="AI832" s="128"/>
    </row>
    <row r="834" spans="35:35">
      <c r="AI834" s="131"/>
    </row>
    <row r="835" spans="35:35">
      <c r="AI835" s="284"/>
    </row>
    <row r="836" spans="35:35">
      <c r="AI836" s="131"/>
    </row>
    <row r="837" spans="35:35">
      <c r="AI837" s="131"/>
    </row>
    <row r="838" spans="35:35">
      <c r="AI838" s="284"/>
    </row>
    <row r="839" spans="35:35">
      <c r="AI839" s="131"/>
    </row>
    <row r="840" spans="35:35">
      <c r="AI840" s="131"/>
    </row>
    <row r="841" spans="35:35">
      <c r="AI841" s="131"/>
    </row>
    <row r="842" spans="35:35">
      <c r="AI842" s="131"/>
    </row>
    <row r="843" spans="35:35">
      <c r="AI843" s="131"/>
    </row>
    <row r="844" spans="35:35">
      <c r="AI844" s="284"/>
    </row>
    <row r="845" spans="35:35">
      <c r="AI845" s="131"/>
    </row>
    <row r="846" spans="35:35">
      <c r="AI846" s="131"/>
    </row>
    <row r="847" spans="35:35">
      <c r="AI847" s="131"/>
    </row>
    <row r="848" spans="35:35">
      <c r="AI848" s="131"/>
    </row>
    <row r="850" spans="35:35">
      <c r="AI850" s="284"/>
    </row>
    <row r="851" spans="35:35">
      <c r="AI851" s="131"/>
    </row>
    <row r="852" spans="35:35">
      <c r="AI852" s="131"/>
    </row>
    <row r="853" spans="35:35">
      <c r="AI853" s="131"/>
    </row>
    <row r="854" spans="35:35">
      <c r="AI854" s="131"/>
    </row>
    <row r="855" spans="35:35">
      <c r="AI855" s="131"/>
    </row>
    <row r="856" spans="35:35">
      <c r="AI856" s="131"/>
    </row>
    <row r="857" spans="35:35">
      <c r="AI857" s="131"/>
    </row>
    <row r="858" spans="35:35">
      <c r="AI858" s="131"/>
    </row>
    <row r="859" spans="35:35">
      <c r="AI859" s="27"/>
    </row>
    <row r="860" spans="35:35">
      <c r="AI860" s="131"/>
    </row>
    <row r="861" spans="35:35">
      <c r="AI861" s="131"/>
    </row>
    <row r="862" spans="35:35">
      <c r="AI862" s="131"/>
    </row>
    <row r="863" spans="35:35">
      <c r="AI863" s="131"/>
    </row>
    <row r="864" spans="35:35">
      <c r="AI864" s="131"/>
    </row>
    <row r="865" spans="35:35">
      <c r="AI865" s="131"/>
    </row>
    <row r="866" spans="35:35">
      <c r="AI866" s="131"/>
    </row>
    <row r="867" spans="35:35">
      <c r="AI867" s="284"/>
    </row>
    <row r="868" spans="35:35">
      <c r="AI868" s="131"/>
    </row>
    <row r="869" spans="35:35">
      <c r="AI869" s="131"/>
    </row>
    <row r="870" spans="35:35">
      <c r="AI870" s="131"/>
    </row>
    <row r="871" spans="35:35">
      <c r="AI871" s="131"/>
    </row>
    <row r="872" spans="35:35">
      <c r="AI872" s="131"/>
    </row>
    <row r="873" spans="35:35">
      <c r="AI873" s="131"/>
    </row>
    <row r="874" spans="35:35">
      <c r="AI874" s="284"/>
    </row>
    <row r="875" spans="35:35">
      <c r="AI875" s="131"/>
    </row>
    <row r="876" spans="35:35">
      <c r="AI876" s="131"/>
    </row>
    <row r="877" spans="35:35">
      <c r="AI877" s="131"/>
    </row>
    <row r="878" spans="35:35">
      <c r="AI878" s="131"/>
    </row>
    <row r="879" spans="35:35">
      <c r="AI879" s="131"/>
    </row>
    <row r="880" spans="35:35">
      <c r="AI880" s="131"/>
    </row>
    <row r="881" spans="35:35">
      <c r="AI881" s="131"/>
    </row>
    <row r="882" spans="35:35">
      <c r="AI882" s="284"/>
    </row>
    <row r="883" spans="35:35">
      <c r="AI883" s="131"/>
    </row>
    <row r="884" spans="35:35">
      <c r="AI884" s="131"/>
    </row>
    <row r="885" spans="35:35">
      <c r="AI885" s="131"/>
    </row>
    <row r="886" spans="35:35">
      <c r="AI886" s="131"/>
    </row>
    <row r="887" spans="35:35">
      <c r="AI887" s="131"/>
    </row>
    <row r="888" spans="35:35">
      <c r="AI888" s="131"/>
    </row>
    <row r="889" spans="35:35">
      <c r="AI889" s="131"/>
    </row>
    <row r="890" spans="35:35">
      <c r="AI890" s="131"/>
    </row>
    <row r="891" spans="35:35">
      <c r="AI891" s="131"/>
    </row>
    <row r="892" spans="35:35">
      <c r="AI892" s="128"/>
    </row>
    <row r="893" spans="35:35">
      <c r="AI893" s="128"/>
    </row>
    <row r="894" spans="35:35">
      <c r="AI894" s="131"/>
    </row>
    <row r="895" spans="35:35">
      <c r="AI895" s="131"/>
    </row>
    <row r="896" spans="35:35">
      <c r="AI896" s="131"/>
    </row>
    <row r="897" spans="35:35">
      <c r="AI897" s="131"/>
    </row>
    <row r="898" spans="35:35">
      <c r="AI898" s="131"/>
    </row>
    <row r="899" spans="35:35">
      <c r="AI899" s="131"/>
    </row>
    <row r="900" spans="35:35">
      <c r="AI900" s="131"/>
    </row>
    <row r="901" spans="35:35">
      <c r="AI901" s="131"/>
    </row>
    <row r="902" spans="35:35">
      <c r="AI902" s="131"/>
    </row>
    <row r="903" spans="35:35">
      <c r="AI903" s="131"/>
    </row>
    <row r="904" spans="35:35">
      <c r="AI904" s="131"/>
    </row>
    <row r="905" spans="35:35">
      <c r="AI905" s="284"/>
    </row>
    <row r="906" spans="35:35">
      <c r="AI906" s="131"/>
    </row>
    <row r="907" spans="35:35">
      <c r="AI907" s="131"/>
    </row>
    <row r="908" spans="35:35">
      <c r="AI908" s="284"/>
    </row>
    <row r="909" spans="35:35">
      <c r="AI909" s="131"/>
    </row>
    <row r="910" spans="35:35">
      <c r="AI910" s="131"/>
    </row>
    <row r="911" spans="35:35">
      <c r="AI911" s="131"/>
    </row>
    <row r="912" spans="35:35">
      <c r="AI912" s="44"/>
    </row>
    <row r="914" spans="35:35">
      <c r="AI914" s="131"/>
    </row>
    <row r="915" spans="35:35">
      <c r="AI915" s="131"/>
    </row>
    <row r="916" spans="35:35">
      <c r="AI916" s="131"/>
    </row>
    <row r="917" spans="35:35">
      <c r="AI917" s="131"/>
    </row>
    <row r="918" spans="35:35">
      <c r="AI918" s="131"/>
    </row>
    <row r="919" spans="35:35">
      <c r="AI919" s="131"/>
    </row>
    <row r="920" spans="35:35">
      <c r="AI920" s="131"/>
    </row>
    <row r="921" spans="35:35">
      <c r="AI921" s="131"/>
    </row>
    <row r="922" spans="35:35">
      <c r="AI922" s="128"/>
    </row>
    <row r="923" spans="35:35">
      <c r="AI923" s="131"/>
    </row>
    <row r="924" spans="35:35">
      <c r="AI924" s="131"/>
    </row>
    <row r="925" spans="35:35">
      <c r="AI925" s="131"/>
    </row>
    <row r="926" spans="35:35">
      <c r="AI926" s="131"/>
    </row>
    <row r="927" spans="35:35">
      <c r="AI927" s="131"/>
    </row>
    <row r="928" spans="35:35">
      <c r="AI928" s="131"/>
    </row>
    <row r="929" spans="35:35">
      <c r="AI929" s="131"/>
    </row>
    <row r="930" spans="35:35">
      <c r="AI930" s="131"/>
    </row>
    <row r="932" spans="35:35">
      <c r="AI932" s="131"/>
    </row>
    <row r="933" spans="35:35">
      <c r="AI933" s="131"/>
    </row>
    <row r="934" spans="35:35">
      <c r="AI934" s="131"/>
    </row>
    <row r="935" spans="35:35">
      <c r="AI935" s="131"/>
    </row>
    <row r="936" spans="35:35">
      <c r="AI936" s="284"/>
    </row>
    <row r="937" spans="35:35">
      <c r="AI937" s="131"/>
    </row>
    <row r="938" spans="35:35">
      <c r="AI938" s="131"/>
    </row>
    <row r="939" spans="35:35">
      <c r="AI939" s="131"/>
    </row>
    <row r="940" spans="35:35">
      <c r="AI940" s="131"/>
    </row>
    <row r="941" spans="35:35">
      <c r="AI941" s="131"/>
    </row>
    <row r="942" spans="35:35">
      <c r="AI942" s="131"/>
    </row>
    <row r="943" spans="35:35">
      <c r="AI943" s="128"/>
    </row>
    <row r="944" spans="35:35">
      <c r="AI944" s="131"/>
    </row>
    <row r="945" spans="35:35">
      <c r="AI945" s="284"/>
    </row>
    <row r="946" spans="35:35">
      <c r="AI946" s="131"/>
    </row>
    <row r="947" spans="35:35">
      <c r="AI947" s="131"/>
    </row>
    <row r="948" spans="35:35">
      <c r="AI948" s="131"/>
    </row>
    <row r="949" spans="35:35">
      <c r="AI949" s="131"/>
    </row>
    <row r="950" spans="35:35">
      <c r="AI950" s="131"/>
    </row>
    <row r="951" spans="35:35">
      <c r="AI951" s="131"/>
    </row>
    <row r="952" spans="35:35">
      <c r="AI952" s="131"/>
    </row>
    <row r="953" spans="35:35">
      <c r="AI953" s="131"/>
    </row>
    <row r="954" spans="35:35">
      <c r="AI954" s="131"/>
    </row>
    <row r="955" spans="35:35">
      <c r="AI955" s="131"/>
    </row>
    <row r="956" spans="35:35">
      <c r="AI956" s="131"/>
    </row>
    <row r="957" spans="35:35">
      <c r="AI957" s="131"/>
    </row>
    <row r="958" spans="35:35">
      <c r="AI958" s="131"/>
    </row>
    <row r="959" spans="35:35">
      <c r="AI959" s="131"/>
    </row>
    <row r="960" spans="35:35">
      <c r="AI960" s="131"/>
    </row>
    <row r="961" spans="35:35">
      <c r="AI961" s="131"/>
    </row>
    <row r="962" spans="35:35">
      <c r="AI962" s="131"/>
    </row>
    <row r="963" spans="35:35">
      <c r="AI963" s="131"/>
    </row>
    <row r="964" spans="35:35">
      <c r="AI964" s="128"/>
    </row>
    <row r="965" spans="35:35">
      <c r="AI965" s="131"/>
    </row>
    <row r="966" spans="35:35">
      <c r="AI966" s="131"/>
    </row>
    <row r="967" spans="35:35">
      <c r="AI967" s="131"/>
    </row>
    <row r="968" spans="35:35">
      <c r="AI968" s="131"/>
    </row>
    <row r="969" spans="35:35">
      <c r="AI969" s="131"/>
    </row>
    <row r="970" spans="35:35">
      <c r="AI970" s="28"/>
    </row>
    <row r="971" spans="35:35">
      <c r="AI971" s="128"/>
    </row>
    <row r="972" spans="35:35">
      <c r="AI972" s="284"/>
    </row>
    <row r="973" spans="35:35">
      <c r="AI973" s="284"/>
    </row>
    <row r="974" spans="35:35">
      <c r="AI974" s="131"/>
    </row>
    <row r="975" spans="35:35">
      <c r="AI975" s="128"/>
    </row>
    <row r="976" spans="35:35">
      <c r="AI976" s="131"/>
    </row>
    <row r="977" spans="35:35">
      <c r="AI977" s="131"/>
    </row>
    <row r="978" spans="35:35">
      <c r="AI978" s="131"/>
    </row>
    <row r="979" spans="35:35">
      <c r="AI979" s="44"/>
    </row>
    <row r="980" spans="35:35">
      <c r="AI980" s="131"/>
    </row>
    <row r="982" spans="35:35">
      <c r="AI982" s="131"/>
    </row>
    <row r="983" spans="35:35">
      <c r="AI983" s="128"/>
    </row>
    <row r="984" spans="35:35">
      <c r="AI984" s="131"/>
    </row>
    <row r="985" spans="35:35">
      <c r="AI985" s="131"/>
    </row>
    <row r="986" spans="35:35">
      <c r="AI986" s="128"/>
    </row>
    <row r="987" spans="35:35">
      <c r="AI987" s="131"/>
    </row>
    <row r="988" spans="35:35">
      <c r="AI988" s="131"/>
    </row>
    <row r="989" spans="35:35">
      <c r="AI989" s="131"/>
    </row>
    <row r="990" spans="35:35">
      <c r="AI990" s="131"/>
    </row>
    <row r="991" spans="35:35">
      <c r="AI991" s="131"/>
    </row>
    <row r="992" spans="35:35">
      <c r="AI992" s="131"/>
    </row>
    <row r="993" spans="35:36">
      <c r="AI993" s="131"/>
    </row>
    <row r="994" spans="35:36">
      <c r="AI994" s="131"/>
    </row>
    <row r="995" spans="35:36">
      <c r="AI995" s="131"/>
    </row>
    <row r="996" spans="35:36">
      <c r="AI996" s="131"/>
    </row>
    <row r="997" spans="35:36">
      <c r="AI997" s="284"/>
    </row>
    <row r="998" spans="35:36">
      <c r="AI998" s="131"/>
    </row>
    <row r="999" spans="35:36">
      <c r="AI999" s="131"/>
    </row>
    <row r="1000" spans="35:36">
      <c r="AI1000" s="131"/>
    </row>
    <row r="1001" spans="35:36">
      <c r="AI1001" s="131"/>
    </row>
    <row r="1002" spans="35:36">
      <c r="AI1002" s="131"/>
      <c r="AJ1002" s="264" t="s">
        <v>5277</v>
      </c>
    </row>
    <row r="1003" spans="35:36">
      <c r="AI1003" s="131"/>
    </row>
    <row r="1004" spans="35:36">
      <c r="AI1004" s="128"/>
    </row>
    <row r="1005" spans="35:36">
      <c r="AI1005" s="131"/>
    </row>
    <row r="1006" spans="35:36">
      <c r="AI1006" s="131"/>
    </row>
    <row r="1007" spans="35:36">
      <c r="AI1007" s="131"/>
    </row>
    <row r="1008" spans="35:36">
      <c r="AI1008" s="131"/>
    </row>
    <row r="1009" spans="35:35">
      <c r="AI1009" s="284"/>
    </row>
    <row r="1011" spans="35:35">
      <c r="AI1011" s="131"/>
    </row>
    <row r="1012" spans="35:35">
      <c r="AI1012" s="131"/>
    </row>
    <row r="1013" spans="35:35">
      <c r="AI1013" s="131"/>
    </row>
    <row r="1014" spans="35:35">
      <c r="AI1014" s="28"/>
    </row>
    <row r="1015" spans="35:35">
      <c r="AI1015" s="131"/>
    </row>
    <row r="1016" spans="35:35">
      <c r="AI1016" s="284"/>
    </row>
    <row r="1017" spans="35:35">
      <c r="AI1017" s="128"/>
    </row>
    <row r="1018" spans="35:35">
      <c r="AI1018" s="131"/>
    </row>
    <row r="1019" spans="35:35">
      <c r="AI1019" s="131"/>
    </row>
    <row r="1020" spans="35:35">
      <c r="AI1020" s="131"/>
    </row>
    <row r="1021" spans="35:35">
      <c r="AI1021" s="131"/>
    </row>
    <row r="1022" spans="35:35">
      <c r="AI1022" s="131"/>
    </row>
    <row r="1023" spans="35:35">
      <c r="AI1023" s="131"/>
    </row>
    <row r="1024" spans="35:35">
      <c r="AI1024" s="131"/>
    </row>
    <row r="1025" spans="35:35">
      <c r="AI1025" s="131"/>
    </row>
    <row r="1026" spans="35:35">
      <c r="AI1026" s="131"/>
    </row>
    <row r="1027" spans="35:35">
      <c r="AI1027" s="131"/>
    </row>
    <row r="1028" spans="35:35">
      <c r="AI1028" s="131"/>
    </row>
    <row r="1029" spans="35:35">
      <c r="AI1029" s="131"/>
    </row>
    <row r="1030" spans="35:35">
      <c r="AI1030" s="131"/>
    </row>
    <row r="1031" spans="35:35">
      <c r="AI1031" s="284"/>
    </row>
    <row r="1033" spans="35:35">
      <c r="AI1033" s="131"/>
    </row>
    <row r="1034" spans="35:35">
      <c r="AI1034" s="131"/>
    </row>
    <row r="1035" spans="35:35">
      <c r="AI1035" s="131"/>
    </row>
    <row r="1036" spans="35:35">
      <c r="AI1036" s="131"/>
    </row>
    <row r="1037" spans="35:35">
      <c r="AI1037" s="131"/>
    </row>
    <row r="1038" spans="35:35">
      <c r="AI1038" s="131"/>
    </row>
    <row r="1039" spans="35:35">
      <c r="AI1039" s="131"/>
    </row>
    <row r="1040" spans="35:35">
      <c r="AI1040" s="131"/>
    </row>
    <row r="1041" spans="35:35">
      <c r="AI1041" s="131"/>
    </row>
    <row r="1042" spans="35:35">
      <c r="AI1042" s="131"/>
    </row>
    <row r="1043" spans="35:35">
      <c r="AI1043" s="131"/>
    </row>
    <row r="1044" spans="35:35">
      <c r="AI1044" s="131"/>
    </row>
    <row r="1045" spans="35:35">
      <c r="AI1045" s="131"/>
    </row>
    <row r="1046" spans="35:35">
      <c r="AI1046" s="131"/>
    </row>
    <row r="1048" spans="35:35">
      <c r="AI1048" s="131"/>
    </row>
    <row r="1049" spans="35:35">
      <c r="AI1049" s="128"/>
    </row>
    <row r="1050" spans="35:35">
      <c r="AI1050" s="131"/>
    </row>
    <row r="1051" spans="35:35">
      <c r="AI1051" s="131"/>
    </row>
    <row r="1052" spans="35:35">
      <c r="AI1052" s="131"/>
    </row>
    <row r="1053" spans="35:35">
      <c r="AI1053" s="131"/>
    </row>
    <row r="1054" spans="35:35">
      <c r="AI1054" s="131"/>
    </row>
    <row r="1055" spans="35:35">
      <c r="AI1055" s="131"/>
    </row>
    <row r="1057" spans="35:35">
      <c r="AI1057" s="131"/>
    </row>
    <row r="1058" spans="35:35">
      <c r="AI1058" s="131"/>
    </row>
    <row r="1059" spans="35:35">
      <c r="AI1059" s="131"/>
    </row>
    <row r="1060" spans="35:35">
      <c r="AI1060" s="131"/>
    </row>
    <row r="1061" spans="35:35">
      <c r="AI1061" s="131"/>
    </row>
    <row r="1062" spans="35:35">
      <c r="AI1062" s="131"/>
    </row>
    <row r="1063" spans="35:35">
      <c r="AI1063" s="131"/>
    </row>
    <row r="1064" spans="35:35">
      <c r="AI1064" s="131"/>
    </row>
    <row r="1065" spans="35:35">
      <c r="AI1065" s="131"/>
    </row>
    <row r="1066" spans="35:35">
      <c r="AI1066" s="128"/>
    </row>
    <row r="1067" spans="35:35">
      <c r="AI1067" s="131"/>
    </row>
    <row r="1068" spans="35:35">
      <c r="AI1068" s="131"/>
    </row>
    <row r="1069" spans="35:35">
      <c r="AI1069" s="131"/>
    </row>
    <row r="1071" spans="35:35">
      <c r="AI1071" s="131"/>
    </row>
    <row r="1072" spans="35:35">
      <c r="AI1072" s="131"/>
    </row>
    <row r="1073" spans="35:35">
      <c r="AI1073" s="284"/>
    </row>
    <row r="1074" spans="35:35">
      <c r="AI1074" s="131"/>
    </row>
    <row r="1075" spans="35:35">
      <c r="AI1075" s="284"/>
    </row>
    <row r="1076" spans="35:35">
      <c r="AI1076" s="131"/>
    </row>
    <row r="1077" spans="35:35">
      <c r="AI1077" s="131"/>
    </row>
    <row r="1078" spans="35:35">
      <c r="AI1078" s="131"/>
    </row>
    <row r="1079" spans="35:35">
      <c r="AI1079" s="284"/>
    </row>
    <row r="1080" spans="35:35">
      <c r="AI1080" s="284"/>
    </row>
    <row r="1081" spans="35:35">
      <c r="AI1081" s="131"/>
    </row>
    <row r="1082" spans="35:35">
      <c r="AI1082" s="131"/>
    </row>
    <row r="1083" spans="35:35">
      <c r="AI1083" s="131"/>
    </row>
    <row r="1084" spans="35:35">
      <c r="AI1084" s="131"/>
    </row>
    <row r="1085" spans="35:35">
      <c r="AI1085" s="284"/>
    </row>
    <row r="1086" spans="35:35">
      <c r="AI1086" s="131"/>
    </row>
    <row r="1087" spans="35:35">
      <c r="AI1087" s="284"/>
    </row>
    <row r="1088" spans="35:35">
      <c r="AI1088" s="131"/>
    </row>
    <row r="1089" spans="35:35">
      <c r="AI1089" s="284"/>
    </row>
    <row r="1090" spans="35:35">
      <c r="AI1090" s="131"/>
    </row>
    <row r="1091" spans="35:35">
      <c r="AI1091" s="131"/>
    </row>
    <row r="1092" spans="35:35">
      <c r="AI1092" s="131"/>
    </row>
    <row r="1093" spans="35:35">
      <c r="AI1093" s="131"/>
    </row>
    <row r="1094" spans="35:35">
      <c r="AI1094" s="131"/>
    </row>
    <row r="1095" spans="35:35">
      <c r="AI1095" s="131"/>
    </row>
    <row r="1096" spans="35:35">
      <c r="AI1096" s="131"/>
    </row>
    <row r="1097" spans="35:35">
      <c r="AI1097" s="131"/>
    </row>
    <row r="1098" spans="35:35">
      <c r="AI1098" s="131"/>
    </row>
    <row r="1099" spans="35:35">
      <c r="AI1099" s="131"/>
    </row>
    <row r="1100" spans="35:35">
      <c r="AI1100" s="131"/>
    </row>
    <row r="1101" spans="35:35">
      <c r="AI1101" s="131"/>
    </row>
    <row r="1102" spans="35:35">
      <c r="AI1102" s="131"/>
    </row>
    <row r="1103" spans="35:35">
      <c r="AI1103" s="131"/>
    </row>
    <row r="1104" spans="35:35">
      <c r="AI1104" s="131"/>
    </row>
    <row r="1105" spans="35:35">
      <c r="AI1105" s="131"/>
    </row>
    <row r="1106" spans="35:35">
      <c r="AI1106" s="284"/>
    </row>
    <row r="1107" spans="35:35">
      <c r="AI1107" s="131"/>
    </row>
    <row r="1108" spans="35:35">
      <c r="AI1108" s="131"/>
    </row>
    <row r="1109" spans="35:35">
      <c r="AI1109" s="131"/>
    </row>
    <row r="1110" spans="35:35">
      <c r="AI1110" s="131"/>
    </row>
    <row r="1111" spans="35:35">
      <c r="AI1111" s="131"/>
    </row>
    <row r="1112" spans="35:35">
      <c r="AI1112" s="131"/>
    </row>
    <row r="1113" spans="35:35">
      <c r="AI1113" s="131"/>
    </row>
    <row r="1114" spans="35:35">
      <c r="AI1114" s="284"/>
    </row>
    <row r="1115" spans="35:35">
      <c r="AI1115" s="131"/>
    </row>
    <row r="1116" spans="35:35">
      <c r="AI1116" s="131"/>
    </row>
    <row r="1117" spans="35:35">
      <c r="AI1117" s="131"/>
    </row>
    <row r="1118" spans="35:35">
      <c r="AI1118" s="131"/>
    </row>
    <row r="1119" spans="35:35">
      <c r="AI1119" s="131"/>
    </row>
    <row r="1120" spans="35:35">
      <c r="AI1120" s="131"/>
    </row>
    <row r="1121" spans="35:35">
      <c r="AI1121" s="131"/>
    </row>
    <row r="1122" spans="35:35">
      <c r="AI1122" s="131"/>
    </row>
    <row r="1123" spans="35:35">
      <c r="AI1123" s="131"/>
    </row>
    <row r="1124" spans="35:35">
      <c r="AI1124" s="131"/>
    </row>
    <row r="1125" spans="35:35">
      <c r="AI1125" s="128"/>
    </row>
    <row r="1126" spans="35:35">
      <c r="AI1126" s="131"/>
    </row>
    <row r="1127" spans="35:35">
      <c r="AI1127" s="131"/>
    </row>
    <row r="1128" spans="35:35">
      <c r="AI1128" s="284"/>
    </row>
    <row r="1129" spans="35:35">
      <c r="AI1129" s="131"/>
    </row>
    <row r="1130" spans="35:35">
      <c r="AI1130" s="131"/>
    </row>
    <row r="1131" spans="35:35">
      <c r="AI1131" s="131"/>
    </row>
    <row r="1132" spans="35:35">
      <c r="AI1132" s="131"/>
    </row>
    <row r="1133" spans="35:35">
      <c r="AI1133" s="131"/>
    </row>
    <row r="1134" spans="35:35">
      <c r="AI1134" s="131"/>
    </row>
    <row r="1135" spans="35:35">
      <c r="AI1135" s="131"/>
    </row>
    <row r="1136" spans="35:35">
      <c r="AI1136" s="284"/>
    </row>
    <row r="1137" spans="35:35">
      <c r="AI1137" s="284"/>
    </row>
    <row r="1138" spans="35:35">
      <c r="AI1138" s="131"/>
    </row>
    <row r="1139" spans="35:35">
      <c r="AI1139" s="284"/>
    </row>
    <row r="1140" spans="35:35">
      <c r="AI1140" s="131"/>
    </row>
    <row r="1141" spans="35:35">
      <c r="AI1141" s="131"/>
    </row>
    <row r="1142" spans="35:35">
      <c r="AI1142" s="131"/>
    </row>
    <row r="1143" spans="35:35">
      <c r="AI1143" s="131"/>
    </row>
    <row r="1144" spans="35:35">
      <c r="AI1144" s="131"/>
    </row>
    <row r="1145" spans="35:35">
      <c r="AI1145" s="131"/>
    </row>
    <row r="1146" spans="35:35">
      <c r="AI1146" s="131"/>
    </row>
    <row r="1147" spans="35:35">
      <c r="AI1147" s="284"/>
    </row>
    <row r="1148" spans="35:35">
      <c r="AI1148" s="131"/>
    </row>
    <row r="1149" spans="35:35">
      <c r="AI1149" s="131"/>
    </row>
    <row r="1150" spans="35:35">
      <c r="AI1150" s="131"/>
    </row>
    <row r="1151" spans="35:35">
      <c r="AI1151" s="131"/>
    </row>
    <row r="1152" spans="35:35">
      <c r="AI1152" s="131"/>
    </row>
    <row r="1153" spans="35:35">
      <c r="AI1153" s="131"/>
    </row>
    <row r="1154" spans="35:35">
      <c r="AI1154" s="131"/>
    </row>
    <row r="1155" spans="35:35">
      <c r="AI1155" s="131"/>
    </row>
    <row r="1156" spans="35:35">
      <c r="AI1156" s="131"/>
    </row>
    <row r="1157" spans="35:35">
      <c r="AI1157" s="131"/>
    </row>
    <row r="1158" spans="35:35">
      <c r="AI1158" s="131"/>
    </row>
    <row r="1159" spans="35:35">
      <c r="AI1159" s="132"/>
    </row>
    <row r="1160" spans="35:35">
      <c r="AI1160" s="131"/>
    </row>
    <row r="1161" spans="35:35">
      <c r="AI1161" s="131"/>
    </row>
    <row r="1162" spans="35:35">
      <c r="AI1162" s="131"/>
    </row>
    <row r="1163" spans="35:35">
      <c r="AI1163" s="131"/>
    </row>
    <row r="1164" spans="35:35">
      <c r="AI1164" s="131"/>
    </row>
    <row r="1165" spans="35:35">
      <c r="AI1165" s="131"/>
    </row>
    <row r="1166" spans="35:35">
      <c r="AI1166" s="131"/>
    </row>
    <row r="1167" spans="35:35">
      <c r="AI1167" s="284"/>
    </row>
    <row r="1168" spans="35:35">
      <c r="AI1168" s="131"/>
    </row>
    <row r="1169" spans="35:35">
      <c r="AI1169" s="131"/>
    </row>
    <row r="1170" spans="35:35">
      <c r="AI1170" s="131"/>
    </row>
    <row r="1171" spans="35:35">
      <c r="AI1171" s="131"/>
    </row>
    <row r="1172" spans="35:35">
      <c r="AI1172" s="131"/>
    </row>
    <row r="1173" spans="35:35">
      <c r="AI1173" s="131"/>
    </row>
    <row r="1174" spans="35:35">
      <c r="AI1174" s="131"/>
    </row>
    <row r="1175" spans="35:35">
      <c r="AI1175" s="131"/>
    </row>
    <row r="1176" spans="35:35">
      <c r="AI1176" s="131"/>
    </row>
    <row r="1177" spans="35:35">
      <c r="AI1177" s="131"/>
    </row>
    <row r="1178" spans="35:35">
      <c r="AI1178" s="131"/>
    </row>
    <row r="1179" spans="35:35">
      <c r="AI1179" s="131"/>
    </row>
    <row r="1180" spans="35:35">
      <c r="AI1180" s="131"/>
    </row>
    <row r="1181" spans="35:35">
      <c r="AI1181" s="131"/>
    </row>
    <row r="1182" spans="35:35">
      <c r="AI1182" s="284"/>
    </row>
    <row r="1183" spans="35:35">
      <c r="AI1183" s="284"/>
    </row>
    <row r="1184" spans="35:35">
      <c r="AI1184" s="131"/>
    </row>
    <row r="1185" spans="35:35">
      <c r="AI1185" s="131"/>
    </row>
    <row r="1186" spans="35:35">
      <c r="AI1186" s="131"/>
    </row>
    <row r="1187" spans="35:35">
      <c r="AI1187" s="131"/>
    </row>
    <row r="1188" spans="35:35">
      <c r="AI1188" s="131"/>
    </row>
    <row r="1189" spans="35:35">
      <c r="AI1189" s="131"/>
    </row>
    <row r="1190" spans="35:35">
      <c r="AI1190" s="131"/>
    </row>
    <row r="1191" spans="35:35">
      <c r="AI1191" s="131"/>
    </row>
    <row r="1192" spans="35:35">
      <c r="AI1192" s="131"/>
    </row>
    <row r="1193" spans="35:35">
      <c r="AI1193" s="284"/>
    </row>
    <row r="1194" spans="35:35">
      <c r="AI1194" s="131"/>
    </row>
    <row r="1195" spans="35:35">
      <c r="AI1195" s="131"/>
    </row>
    <row r="1196" spans="35:35">
      <c r="AI1196" s="131"/>
    </row>
    <row r="1197" spans="35:35">
      <c r="AI1197" s="131"/>
    </row>
    <row r="1198" spans="35:35">
      <c r="AI1198" s="131"/>
    </row>
    <row r="1199" spans="35:35">
      <c r="AI1199" s="131"/>
    </row>
    <row r="1200" spans="35:35">
      <c r="AI1200" s="128"/>
    </row>
    <row r="1201" spans="35:35">
      <c r="AI1201" s="131"/>
    </row>
    <row r="1203" spans="35:35">
      <c r="AI1203" s="131"/>
    </row>
    <row r="1204" spans="35:35">
      <c r="AI1204" s="284"/>
    </row>
    <row r="1205" spans="35:35">
      <c r="AI1205" s="131"/>
    </row>
    <row r="1206" spans="35:35">
      <c r="AI1206" s="131"/>
    </row>
    <row r="1207" spans="35:35">
      <c r="AI1207" s="131"/>
    </row>
    <row r="1208" spans="35:35">
      <c r="AI1208" s="131"/>
    </row>
    <row r="1209" spans="35:35">
      <c r="AI1209" s="131"/>
    </row>
    <row r="1210" spans="35:35">
      <c r="AI1210" s="131"/>
    </row>
    <row r="1211" spans="35:35">
      <c r="AI1211" s="131"/>
    </row>
    <row r="1212" spans="35:35">
      <c r="AI1212" s="131"/>
    </row>
    <row r="1213" spans="35:35">
      <c r="AI1213" s="131"/>
    </row>
    <row r="1214" spans="35:35">
      <c r="AI1214" s="131"/>
    </row>
    <row r="1215" spans="35:35">
      <c r="AI1215" s="131"/>
    </row>
    <row r="1216" spans="35:35">
      <c r="AI1216" s="131"/>
    </row>
    <row r="1217" spans="35:35">
      <c r="AI1217" s="131"/>
    </row>
    <row r="1218" spans="35:35">
      <c r="AI1218" s="131"/>
    </row>
    <row r="1219" spans="35:35">
      <c r="AI1219" s="131"/>
    </row>
    <row r="1220" spans="35:35">
      <c r="AI1220" s="131"/>
    </row>
    <row r="1221" spans="35:35">
      <c r="AI1221" s="131"/>
    </row>
    <row r="1222" spans="35:35">
      <c r="AI1222" s="131"/>
    </row>
    <row r="1223" spans="35:35">
      <c r="AI1223" s="131"/>
    </row>
    <row r="1224" spans="35:35">
      <c r="AI1224" s="131"/>
    </row>
    <row r="1225" spans="35:35">
      <c r="AI1225" s="131"/>
    </row>
    <row r="1226" spans="35:35">
      <c r="AI1226" s="131"/>
    </row>
    <row r="1227" spans="35:35">
      <c r="AI1227" s="131"/>
    </row>
    <row r="1229" spans="35:35">
      <c r="AI1229" s="131"/>
    </row>
    <row r="1230" spans="35:35">
      <c r="AI1230" s="131"/>
    </row>
    <row r="1231" spans="35:35">
      <c r="AI1231" s="131"/>
    </row>
    <row r="1232" spans="35:35">
      <c r="AI1232" s="131"/>
    </row>
    <row r="1233" spans="1:35">
      <c r="AI1233" s="131"/>
    </row>
    <row r="1234" spans="1:35">
      <c r="AI1234" s="131"/>
    </row>
    <row r="1235" spans="1:35">
      <c r="AI1235" s="131"/>
    </row>
    <row r="1236" spans="1:35">
      <c r="AI1236" s="131"/>
    </row>
    <row r="1237" spans="1:35">
      <c r="AI1237" s="52"/>
    </row>
    <row r="1238" spans="1:35">
      <c r="AI1238" s="131"/>
    </row>
    <row r="1239" spans="1:35">
      <c r="AI1239" s="131"/>
    </row>
    <row r="1240" spans="1:35">
      <c r="AI1240" s="131"/>
    </row>
    <row r="1241" spans="1:35">
      <c r="AI1241" s="131"/>
    </row>
    <row r="1242" spans="1:35">
      <c r="AI1242" s="131"/>
    </row>
    <row r="1243" spans="1:35">
      <c r="AI1243" s="131"/>
    </row>
    <row r="1244" spans="1:35">
      <c r="AI1244" s="131"/>
    </row>
    <row r="1245" spans="1:35">
      <c r="AI1245" s="131"/>
    </row>
    <row r="1246" spans="1:35">
      <c r="AI1246" s="131"/>
    </row>
    <row r="1247" spans="1:35" ht="26.4">
      <c r="A1247" s="284"/>
      <c r="B1247" s="284"/>
      <c r="C1247" s="284"/>
      <c r="D1247" s="284"/>
      <c r="E1247" s="284"/>
      <c r="F1247" s="284"/>
      <c r="H1247" s="284"/>
      <c r="I1247" s="284"/>
      <c r="J1247" s="375"/>
      <c r="K1247" s="375"/>
      <c r="L1247" s="375"/>
      <c r="M1247" s="368"/>
      <c r="N1247" s="368"/>
      <c r="T1247" s="349"/>
      <c r="V1247" s="378"/>
      <c r="W1247" s="64" ph="1"/>
      <c r="X1247" s="241"/>
      <c r="AA1247" s="284"/>
      <c r="AB1247" s="284"/>
      <c r="AC1247" s="284"/>
      <c r="AD1247" s="284"/>
      <c r="AE1247" s="284"/>
      <c r="AF1247" s="284"/>
      <c r="AG1247" s="8"/>
      <c r="AI1247" s="131"/>
    </row>
    <row r="1248" spans="1:35">
      <c r="A1248" s="284"/>
      <c r="Y1248" s="284"/>
      <c r="Z1248" s="207"/>
      <c r="AI1248" s="284"/>
    </row>
    <row r="1249" spans="1:35">
      <c r="AI1249" s="27"/>
    </row>
    <row r="1250" spans="1:35">
      <c r="AI1250" s="284"/>
    </row>
    <row r="1251" spans="1:35">
      <c r="AI1251" s="131"/>
    </row>
    <row r="1252" spans="1:35">
      <c r="AI1252" s="131"/>
    </row>
    <row r="1253" spans="1:35">
      <c r="AI1253" s="131"/>
    </row>
    <row r="1254" spans="1:35">
      <c r="A1254" s="284"/>
      <c r="G1254" s="284"/>
      <c r="AI1254" s="131"/>
    </row>
    <row r="1255" spans="1:35">
      <c r="AI1255" s="131"/>
    </row>
    <row r="1256" spans="1:35">
      <c r="AI1256" s="131"/>
    </row>
    <row r="1257" spans="1:35" ht="26.4">
      <c r="A1257" s="284"/>
      <c r="B1257" s="284"/>
      <c r="C1257" s="284"/>
      <c r="D1257" s="284"/>
      <c r="E1257" s="284"/>
      <c r="F1257" s="284"/>
      <c r="H1257" s="284"/>
      <c r="I1257" s="284"/>
      <c r="J1257" s="375"/>
      <c r="K1257" s="375"/>
      <c r="L1257" s="375"/>
      <c r="M1257" s="368"/>
      <c r="N1257" s="368"/>
      <c r="T1257" s="349"/>
      <c r="V1257" s="378"/>
      <c r="W1257" s="64" ph="1"/>
      <c r="X1257" s="241"/>
      <c r="AA1257" s="284"/>
      <c r="AB1257" s="284"/>
      <c r="AC1257" s="284"/>
      <c r="AD1257" s="284"/>
      <c r="AE1257" s="284"/>
      <c r="AF1257" s="284"/>
      <c r="AG1257" s="8"/>
      <c r="AI1257" s="131"/>
    </row>
    <row r="1258" spans="1:35">
      <c r="A1258" s="284"/>
      <c r="Y1258" s="284"/>
      <c r="Z1258" s="207"/>
      <c r="AI1258" s="131"/>
    </row>
    <row r="1259" spans="1:35">
      <c r="O1259" s="370"/>
      <c r="AI1259" s="131"/>
    </row>
    <row r="1260" spans="1:35">
      <c r="AI1260" s="131"/>
    </row>
    <row r="1261" spans="1:35" ht="26.4">
      <c r="A1261" s="284"/>
      <c r="B1261" s="284"/>
      <c r="C1261" s="284"/>
      <c r="D1261" s="284"/>
      <c r="E1261" s="284"/>
      <c r="F1261" s="284"/>
      <c r="H1261" s="284"/>
      <c r="I1261" s="284"/>
      <c r="J1261" s="375"/>
      <c r="K1261" s="375"/>
      <c r="L1261" s="375"/>
      <c r="M1261" s="368"/>
      <c r="N1261" s="368"/>
      <c r="T1261" s="349"/>
      <c r="V1261" s="378"/>
      <c r="W1261" s="64" ph="1"/>
      <c r="X1261" s="241"/>
      <c r="AA1261" s="284"/>
      <c r="AB1261" s="284"/>
      <c r="AC1261" s="284"/>
      <c r="AD1261" s="284"/>
      <c r="AE1261" s="284"/>
      <c r="AF1261" s="284"/>
      <c r="AG1261" s="8"/>
      <c r="AI1261" s="131"/>
    </row>
    <row r="1262" spans="1:35">
      <c r="A1262" s="284"/>
      <c r="Y1262" s="284"/>
      <c r="Z1262" s="207"/>
      <c r="AI1262" s="131"/>
    </row>
    <row r="1263" spans="1:35">
      <c r="AI1263" s="131"/>
    </row>
    <row r="1264" spans="1:35">
      <c r="A1264" s="284"/>
      <c r="G1264" s="284"/>
      <c r="AI1264" s="131"/>
    </row>
    <row r="1265" spans="1:35">
      <c r="AI1265" s="131"/>
    </row>
    <row r="1266" spans="1:35" ht="26.4">
      <c r="A1266" s="284"/>
      <c r="B1266" s="284"/>
      <c r="C1266" s="284"/>
      <c r="D1266" s="284"/>
      <c r="E1266" s="284"/>
      <c r="F1266" s="284"/>
      <c r="H1266" s="284"/>
      <c r="I1266" s="284"/>
      <c r="J1266" s="375"/>
      <c r="K1266" s="375"/>
      <c r="L1266" s="375"/>
      <c r="M1266" s="368"/>
      <c r="N1266" s="368"/>
      <c r="T1266" s="349"/>
      <c r="V1266" s="378"/>
      <c r="W1266" s="64" ph="1"/>
      <c r="X1266" s="241"/>
      <c r="AA1266" s="284"/>
      <c r="AB1266" s="284"/>
      <c r="AC1266" s="284"/>
      <c r="AD1266" s="284"/>
      <c r="AE1266" s="284"/>
      <c r="AF1266" s="284"/>
      <c r="AG1266" s="8"/>
      <c r="AI1266" s="131"/>
    </row>
    <row r="1267" spans="1:35" ht="26.4">
      <c r="A1267" s="284"/>
      <c r="B1267" s="284"/>
      <c r="C1267" s="284"/>
      <c r="D1267" s="284"/>
      <c r="E1267" s="284"/>
      <c r="F1267" s="284"/>
      <c r="H1267" s="284"/>
      <c r="I1267" s="284"/>
      <c r="J1267" s="375"/>
      <c r="K1267" s="375"/>
      <c r="L1267" s="375"/>
      <c r="M1267" s="368"/>
      <c r="N1267" s="368"/>
      <c r="T1267" s="349"/>
      <c r="V1267" s="378"/>
      <c r="W1267" s="64" ph="1"/>
      <c r="X1267" s="241"/>
      <c r="Y1267" s="284"/>
      <c r="Z1267" s="207"/>
      <c r="AA1267" s="284"/>
      <c r="AB1267" s="284"/>
      <c r="AC1267" s="284"/>
      <c r="AD1267" s="284"/>
      <c r="AE1267" s="284"/>
      <c r="AF1267" s="284"/>
      <c r="AG1267" s="8"/>
      <c r="AI1267" s="131"/>
    </row>
    <row r="1268" spans="1:35" ht="26.4">
      <c r="A1268" s="284"/>
      <c r="B1268" s="284"/>
      <c r="C1268" s="284"/>
      <c r="D1268" s="284"/>
      <c r="E1268" s="284"/>
      <c r="F1268" s="284"/>
      <c r="G1268" s="284"/>
      <c r="H1268" s="284"/>
      <c r="I1268" s="284"/>
      <c r="J1268" s="375"/>
      <c r="K1268" s="375"/>
      <c r="L1268" s="375"/>
      <c r="M1268" s="368"/>
      <c r="N1268" s="368"/>
      <c r="T1268" s="349"/>
      <c r="V1268" s="378"/>
      <c r="W1268" s="64" ph="1"/>
      <c r="X1268" s="241"/>
      <c r="Y1268" s="284"/>
      <c r="Z1268" s="207"/>
      <c r="AA1268" s="284"/>
      <c r="AB1268" s="284"/>
      <c r="AC1268" s="284"/>
      <c r="AD1268" s="284"/>
      <c r="AE1268" s="284"/>
      <c r="AF1268" s="284"/>
      <c r="AG1268" s="8"/>
      <c r="AI1268" s="131"/>
    </row>
    <row r="1269" spans="1:35">
      <c r="A1269" s="284"/>
      <c r="O1269" s="370"/>
      <c r="Y1269" s="284"/>
      <c r="Z1269" s="207"/>
      <c r="AI1269" s="131"/>
    </row>
    <row r="1270" spans="1:35" ht="26.4">
      <c r="A1270" s="284"/>
      <c r="B1270" s="284"/>
      <c r="C1270" s="284"/>
      <c r="D1270" s="284"/>
      <c r="E1270" s="284"/>
      <c r="F1270" s="284"/>
      <c r="H1270" s="284"/>
      <c r="I1270" s="284"/>
      <c r="J1270" s="375"/>
      <c r="K1270" s="375"/>
      <c r="L1270" s="375"/>
      <c r="M1270" s="368"/>
      <c r="N1270" s="368"/>
      <c r="T1270" s="349"/>
      <c r="V1270" s="378"/>
      <c r="W1270" s="64" ph="1"/>
      <c r="X1270" s="241"/>
      <c r="AA1270" s="284"/>
      <c r="AB1270" s="284"/>
      <c r="AC1270" s="284"/>
      <c r="AD1270" s="284"/>
      <c r="AE1270" s="284"/>
      <c r="AF1270" s="284"/>
      <c r="AG1270" s="8"/>
      <c r="AI1270" s="131"/>
    </row>
    <row r="1271" spans="1:35" ht="26.4">
      <c r="A1271" s="284"/>
      <c r="B1271" s="284"/>
      <c r="C1271" s="284"/>
      <c r="D1271" s="284"/>
      <c r="E1271" s="284"/>
      <c r="F1271" s="284"/>
      <c r="H1271" s="284"/>
      <c r="I1271" s="284"/>
      <c r="J1271" s="375"/>
      <c r="K1271" s="375"/>
      <c r="L1271" s="375"/>
      <c r="M1271" s="368"/>
      <c r="N1271" s="368"/>
      <c r="T1271" s="349"/>
      <c r="V1271" s="378"/>
      <c r="W1271" s="64" ph="1"/>
      <c r="X1271" s="241"/>
      <c r="Y1271" s="284"/>
      <c r="Z1271" s="207"/>
      <c r="AA1271" s="284"/>
      <c r="AB1271" s="284"/>
      <c r="AC1271" s="284"/>
      <c r="AD1271" s="284"/>
      <c r="AE1271" s="284"/>
      <c r="AF1271" s="284"/>
      <c r="AG1271" s="8"/>
      <c r="AI1271" s="131"/>
    </row>
    <row r="1272" spans="1:35">
      <c r="A1272" s="284"/>
      <c r="Y1272" s="284"/>
      <c r="Z1272" s="207"/>
      <c r="AI1272" s="284"/>
    </row>
    <row r="1273" spans="1:35" ht="26.4">
      <c r="A1273" s="284"/>
      <c r="B1273" s="284"/>
      <c r="C1273" s="284"/>
      <c r="D1273" s="284"/>
      <c r="E1273" s="284"/>
      <c r="F1273" s="284"/>
      <c r="G1273" s="284"/>
      <c r="H1273" s="284"/>
      <c r="I1273" s="284"/>
      <c r="J1273" s="375"/>
      <c r="K1273" s="375"/>
      <c r="L1273" s="375"/>
      <c r="M1273" s="368"/>
      <c r="N1273" s="368"/>
      <c r="O1273" s="370"/>
      <c r="T1273" s="349"/>
      <c r="V1273" s="378"/>
      <c r="W1273" s="64" ph="1"/>
      <c r="X1273" s="241"/>
      <c r="AA1273" s="284"/>
      <c r="AB1273" s="284"/>
      <c r="AC1273" s="284"/>
      <c r="AD1273" s="284"/>
      <c r="AE1273" s="284"/>
      <c r="AF1273" s="284"/>
      <c r="AG1273" s="8"/>
      <c r="AI1273" s="284"/>
    </row>
    <row r="1274" spans="1:35">
      <c r="A1274" s="284"/>
      <c r="G1274" s="284"/>
      <c r="Y1274" s="284"/>
      <c r="Z1274" s="207"/>
      <c r="AI1274" s="28"/>
    </row>
    <row r="1275" spans="1:35" ht="26.4">
      <c r="A1275" s="284"/>
      <c r="B1275" s="284"/>
      <c r="C1275" s="284"/>
      <c r="D1275" s="284"/>
      <c r="E1275" s="284"/>
      <c r="F1275" s="284"/>
      <c r="G1275" s="284"/>
      <c r="H1275" s="284"/>
      <c r="I1275" s="284"/>
      <c r="J1275" s="375"/>
      <c r="K1275" s="375"/>
      <c r="L1275" s="375"/>
      <c r="M1275" s="368"/>
      <c r="N1275" s="368"/>
      <c r="T1275" s="349"/>
      <c r="V1275" s="378"/>
      <c r="W1275" s="64" ph="1"/>
      <c r="X1275" s="241"/>
      <c r="AA1275" s="284"/>
      <c r="AB1275" s="284"/>
      <c r="AC1275" s="284"/>
      <c r="AD1275" s="284"/>
      <c r="AE1275" s="284"/>
      <c r="AF1275" s="284"/>
      <c r="AG1275" s="8"/>
      <c r="AI1275" s="131"/>
    </row>
    <row r="1276" spans="1:35" ht="26.4">
      <c r="A1276" s="284"/>
      <c r="B1276" s="284"/>
      <c r="C1276" s="284"/>
      <c r="D1276" s="284"/>
      <c r="E1276" s="284"/>
      <c r="F1276" s="284"/>
      <c r="H1276" s="284"/>
      <c r="I1276" s="284"/>
      <c r="J1276" s="375"/>
      <c r="K1276" s="375"/>
      <c r="L1276" s="375"/>
      <c r="M1276" s="368"/>
      <c r="N1276" s="368"/>
      <c r="T1276" s="349"/>
      <c r="V1276" s="378"/>
      <c r="W1276" s="64" ph="1"/>
      <c r="X1276" s="241"/>
      <c r="Y1276" s="284"/>
      <c r="Z1276" s="207"/>
      <c r="AA1276" s="284"/>
      <c r="AB1276" s="284"/>
      <c r="AC1276" s="284"/>
      <c r="AD1276" s="284"/>
      <c r="AE1276" s="284"/>
      <c r="AF1276" s="284"/>
      <c r="AG1276" s="8"/>
      <c r="AI1276" s="131"/>
    </row>
    <row r="1277" spans="1:35" ht="26.4">
      <c r="A1277" s="284"/>
      <c r="B1277" s="284"/>
      <c r="C1277" s="284"/>
      <c r="D1277" s="284"/>
      <c r="E1277" s="284"/>
      <c r="F1277" s="284"/>
      <c r="G1277" s="284"/>
      <c r="H1277" s="284"/>
      <c r="I1277" s="284"/>
      <c r="J1277" s="375"/>
      <c r="K1277" s="375"/>
      <c r="L1277" s="375"/>
      <c r="M1277" s="368"/>
      <c r="N1277" s="368"/>
      <c r="T1277" s="349"/>
      <c r="V1277" s="378"/>
      <c r="W1277" s="64" ph="1"/>
      <c r="X1277" s="241"/>
      <c r="Y1277" s="284"/>
      <c r="Z1277" s="207"/>
      <c r="AA1277" s="284"/>
      <c r="AB1277" s="284"/>
      <c r="AC1277" s="284"/>
      <c r="AD1277" s="284"/>
      <c r="AE1277" s="284"/>
      <c r="AF1277" s="284"/>
      <c r="AG1277" s="8"/>
      <c r="AI1277" s="131"/>
    </row>
    <row r="1278" spans="1:35" ht="26.4">
      <c r="A1278" s="284"/>
      <c r="B1278" s="284"/>
      <c r="C1278" s="284"/>
      <c r="D1278" s="284"/>
      <c r="E1278" s="284"/>
      <c r="F1278" s="284"/>
      <c r="G1278" s="284"/>
      <c r="H1278" s="284"/>
      <c r="I1278" s="284"/>
      <c r="J1278" s="375"/>
      <c r="K1278" s="375"/>
      <c r="L1278" s="375"/>
      <c r="M1278" s="368"/>
      <c r="N1278" s="368"/>
      <c r="O1278" s="370"/>
      <c r="T1278" s="349"/>
      <c r="V1278" s="378"/>
      <c r="W1278" s="64" ph="1"/>
      <c r="X1278" s="241"/>
      <c r="Y1278" s="284"/>
      <c r="Z1278" s="207"/>
      <c r="AA1278" s="284"/>
      <c r="AB1278" s="284"/>
      <c r="AC1278" s="284"/>
      <c r="AD1278" s="284"/>
      <c r="AE1278" s="284"/>
      <c r="AF1278" s="284"/>
      <c r="AG1278" s="8"/>
      <c r="AI1278" s="131"/>
    </row>
    <row r="1279" spans="1:35" ht="26.4">
      <c r="A1279" s="284"/>
      <c r="B1279" s="284"/>
      <c r="C1279" s="284"/>
      <c r="D1279" s="284"/>
      <c r="E1279" s="284"/>
      <c r="F1279" s="284"/>
      <c r="H1279" s="284"/>
      <c r="I1279" s="284"/>
      <c r="J1279" s="375"/>
      <c r="K1279" s="375"/>
      <c r="L1279" s="375"/>
      <c r="M1279" s="368"/>
      <c r="N1279" s="368"/>
      <c r="O1279" s="370"/>
      <c r="T1279" s="349"/>
      <c r="V1279" s="378"/>
      <c r="W1279" s="64" ph="1"/>
      <c r="X1279" s="241"/>
      <c r="Y1279" s="284"/>
      <c r="Z1279" s="207"/>
      <c r="AA1279" s="284"/>
      <c r="AB1279" s="284"/>
      <c r="AC1279" s="284"/>
      <c r="AD1279" s="284"/>
      <c r="AE1279" s="284"/>
      <c r="AF1279" s="284"/>
      <c r="AG1279" s="8"/>
      <c r="AI1279" s="131"/>
    </row>
    <row r="1280" spans="1:35" ht="26.4">
      <c r="A1280" s="284"/>
      <c r="B1280" s="284"/>
      <c r="C1280" s="284"/>
      <c r="D1280" s="284"/>
      <c r="E1280" s="284"/>
      <c r="F1280" s="284"/>
      <c r="G1280" s="284"/>
      <c r="H1280" s="284"/>
      <c r="I1280" s="284"/>
      <c r="J1280" s="375"/>
      <c r="K1280" s="375"/>
      <c r="L1280" s="375"/>
      <c r="M1280" s="368"/>
      <c r="N1280" s="368"/>
      <c r="O1280" s="370"/>
      <c r="T1280" s="349"/>
      <c r="V1280" s="378"/>
      <c r="W1280" s="64" ph="1"/>
      <c r="X1280" s="241"/>
      <c r="Y1280" s="284"/>
      <c r="Z1280" s="207"/>
      <c r="AA1280" s="284"/>
      <c r="AB1280" s="284"/>
      <c r="AC1280" s="284"/>
      <c r="AD1280" s="284"/>
      <c r="AE1280" s="284"/>
      <c r="AF1280" s="284"/>
      <c r="AG1280" s="8"/>
      <c r="AI1280" s="131"/>
    </row>
    <row r="1281" spans="1:35" ht="26.4">
      <c r="A1281" s="284"/>
      <c r="B1281" s="284"/>
      <c r="C1281" s="284"/>
      <c r="D1281" s="284"/>
      <c r="E1281" s="284"/>
      <c r="F1281" s="284"/>
      <c r="H1281" s="284"/>
      <c r="I1281" s="284"/>
      <c r="J1281" s="375"/>
      <c r="K1281" s="375"/>
      <c r="L1281" s="375"/>
      <c r="M1281" s="368"/>
      <c r="N1281" s="368"/>
      <c r="T1281" s="349"/>
      <c r="V1281" s="378"/>
      <c r="W1281" s="64" ph="1"/>
      <c r="X1281" s="241"/>
      <c r="Y1281" s="284"/>
      <c r="Z1281" s="207"/>
      <c r="AA1281" s="284"/>
      <c r="AB1281" s="284"/>
      <c r="AC1281" s="284"/>
      <c r="AD1281" s="284"/>
      <c r="AE1281" s="284"/>
      <c r="AF1281" s="284"/>
      <c r="AG1281" s="8"/>
      <c r="AI1281" s="131"/>
    </row>
    <row r="1282" spans="1:35" ht="26.4">
      <c r="A1282" s="284"/>
      <c r="B1282" s="284"/>
      <c r="C1282" s="284"/>
      <c r="D1282" s="284"/>
      <c r="E1282" s="284"/>
      <c r="F1282" s="284"/>
      <c r="G1282" s="284"/>
      <c r="H1282" s="284"/>
      <c r="I1282" s="284"/>
      <c r="J1282" s="375"/>
      <c r="K1282" s="375"/>
      <c r="L1282" s="375"/>
      <c r="M1282" s="368"/>
      <c r="N1282" s="368"/>
      <c r="O1282" s="370"/>
      <c r="T1282" s="349"/>
      <c r="V1282" s="378"/>
      <c r="W1282" s="64" ph="1"/>
      <c r="X1282" s="241"/>
      <c r="Y1282" s="284"/>
      <c r="Z1282" s="207"/>
      <c r="AA1282" s="284"/>
      <c r="AB1282" s="284"/>
      <c r="AC1282" s="284"/>
      <c r="AD1282" s="284"/>
      <c r="AE1282" s="284"/>
      <c r="AF1282" s="284"/>
      <c r="AG1282" s="8"/>
      <c r="AI1282" s="131"/>
    </row>
    <row r="1283" spans="1:35" ht="26.4">
      <c r="A1283" s="284"/>
      <c r="G1283" s="284"/>
      <c r="O1283" s="370"/>
      <c r="W1283" s="64" ph="1"/>
      <c r="Y1283" s="284"/>
      <c r="Z1283" s="207"/>
      <c r="AI1283" s="131"/>
    </row>
    <row r="1284" spans="1:35" ht="26.4">
      <c r="A1284" s="284"/>
      <c r="G1284" s="284"/>
      <c r="W1284" s="64" ph="1"/>
      <c r="AI1284" s="131"/>
    </row>
    <row r="1285" spans="1:35">
      <c r="A1285" s="284"/>
      <c r="G1285" s="284"/>
      <c r="O1285" s="370"/>
      <c r="AI1285" s="131"/>
    </row>
    <row r="1286" spans="1:35" ht="26.4">
      <c r="A1286" s="284"/>
      <c r="G1286" s="284"/>
      <c r="W1286" s="64" ph="1"/>
      <c r="AI1286" s="131"/>
    </row>
    <row r="1287" spans="1:35" ht="26.4">
      <c r="A1287" s="284"/>
      <c r="G1287" s="284"/>
      <c r="O1287" s="370"/>
      <c r="W1287" s="64" ph="1"/>
      <c r="AI1287" s="131"/>
    </row>
    <row r="1288" spans="1:35" ht="26.4">
      <c r="A1288" s="284"/>
      <c r="G1288" s="284"/>
      <c r="O1288" s="370"/>
      <c r="W1288" s="64" ph="1"/>
      <c r="AI1288" s="284"/>
    </row>
    <row r="1289" spans="1:35" ht="26.4">
      <c r="A1289" s="284"/>
      <c r="G1289" s="284"/>
      <c r="O1289" s="370"/>
      <c r="W1289" s="64" ph="1"/>
      <c r="AI1289" s="131"/>
    </row>
    <row r="1290" spans="1:35" ht="26.4">
      <c r="A1290" s="284"/>
      <c r="O1290" s="370"/>
      <c r="W1290" s="64" ph="1"/>
      <c r="AI1290" s="131"/>
    </row>
    <row r="1291" spans="1:35" ht="26.4">
      <c r="A1291" s="284"/>
      <c r="B1291" s="284"/>
      <c r="C1291" s="284"/>
      <c r="D1291" s="284"/>
      <c r="E1291" s="284"/>
      <c r="F1291" s="284"/>
      <c r="G1291" s="284"/>
      <c r="H1291" s="284"/>
      <c r="I1291" s="284"/>
      <c r="J1291" s="375"/>
      <c r="K1291" s="375"/>
      <c r="L1291" s="375"/>
      <c r="M1291" s="368"/>
      <c r="N1291" s="368"/>
      <c r="O1291" s="370"/>
      <c r="T1291" s="349"/>
      <c r="V1291" s="378"/>
      <c r="W1291" s="64" ph="1"/>
      <c r="X1291" s="241"/>
      <c r="Y1291" s="284"/>
      <c r="Z1291" s="207"/>
      <c r="AA1291" s="284"/>
      <c r="AB1291" s="284"/>
      <c r="AC1291" s="284"/>
      <c r="AD1291" s="284"/>
      <c r="AE1291" s="284"/>
      <c r="AF1291" s="284"/>
      <c r="AG1291" s="284"/>
      <c r="AI1291" s="131"/>
    </row>
    <row r="1292" spans="1:35" ht="26.4">
      <c r="A1292" s="284"/>
      <c r="B1292" s="284"/>
      <c r="C1292" s="284"/>
      <c r="D1292" s="284"/>
      <c r="E1292" s="284"/>
      <c r="F1292" s="284"/>
      <c r="G1292" s="284"/>
      <c r="H1292" s="284"/>
      <c r="I1292" s="284"/>
      <c r="J1292" s="375"/>
      <c r="K1292" s="375"/>
      <c r="L1292" s="375"/>
      <c r="M1292" s="368"/>
      <c r="N1292" s="368"/>
      <c r="O1292" s="370"/>
      <c r="T1292" s="349"/>
      <c r="V1292" s="378"/>
      <c r="W1292" s="64" ph="1"/>
      <c r="X1292" s="241"/>
      <c r="Y1292" s="284"/>
      <c r="Z1292" s="207"/>
      <c r="AA1292" s="284"/>
      <c r="AB1292" s="284"/>
      <c r="AC1292" s="284"/>
      <c r="AD1292" s="284"/>
      <c r="AE1292" s="284"/>
      <c r="AF1292" s="284"/>
      <c r="AG1292" s="284"/>
      <c r="AI1292" s="131"/>
    </row>
    <row r="1293" spans="1:35" ht="26.4">
      <c r="A1293" s="284"/>
      <c r="B1293" s="284"/>
      <c r="C1293" s="284"/>
      <c r="D1293" s="284"/>
      <c r="E1293" s="284"/>
      <c r="F1293" s="284"/>
      <c r="G1293" s="284"/>
      <c r="H1293" s="284"/>
      <c r="I1293" s="284"/>
      <c r="J1293" s="375"/>
      <c r="K1293" s="375"/>
      <c r="L1293" s="375"/>
      <c r="M1293" s="368"/>
      <c r="N1293" s="368"/>
      <c r="O1293" s="370"/>
      <c r="T1293" s="349"/>
      <c r="V1293" s="378"/>
      <c r="W1293" s="64" ph="1"/>
      <c r="X1293" s="241"/>
      <c r="Y1293" s="284"/>
      <c r="Z1293" s="207"/>
      <c r="AA1293" s="284"/>
      <c r="AB1293" s="284"/>
      <c r="AC1293" s="284"/>
      <c r="AD1293" s="284"/>
      <c r="AE1293" s="284"/>
      <c r="AF1293" s="284"/>
      <c r="AG1293" s="284"/>
      <c r="AI1293" s="131"/>
    </row>
    <row r="1294" spans="1:35">
      <c r="O1294" s="370"/>
      <c r="AI1294" s="131"/>
    </row>
    <row r="1295" spans="1:35" ht="26.4">
      <c r="A1295" s="284"/>
      <c r="B1295" s="284"/>
      <c r="C1295" s="284"/>
      <c r="D1295" s="284"/>
      <c r="E1295" s="284"/>
      <c r="F1295" s="284"/>
      <c r="G1295" s="284"/>
      <c r="H1295" s="284"/>
      <c r="I1295" s="284"/>
      <c r="J1295" s="375"/>
      <c r="K1295" s="375"/>
      <c r="L1295" s="375"/>
      <c r="M1295" s="368"/>
      <c r="N1295" s="368"/>
      <c r="T1295" s="349"/>
      <c r="V1295" s="378"/>
      <c r="W1295" s="64" ph="1"/>
      <c r="X1295" s="241"/>
      <c r="Y1295" s="284"/>
      <c r="Z1295" s="207"/>
      <c r="AA1295" s="284"/>
      <c r="AB1295" s="284"/>
      <c r="AC1295" s="284"/>
      <c r="AD1295" s="284"/>
      <c r="AE1295" s="284"/>
      <c r="AF1295" s="284"/>
      <c r="AG1295" s="284"/>
      <c r="AI1295" s="131"/>
    </row>
    <row r="1296" spans="1:35" ht="26.4">
      <c r="A1296" s="284"/>
      <c r="B1296" s="284"/>
      <c r="C1296" s="284"/>
      <c r="D1296" s="284"/>
      <c r="E1296" s="284"/>
      <c r="F1296" s="284"/>
      <c r="G1296" s="284"/>
      <c r="H1296" s="284"/>
      <c r="I1296" s="284"/>
      <c r="J1296" s="375"/>
      <c r="K1296" s="375"/>
      <c r="L1296" s="375"/>
      <c r="M1296" s="368"/>
      <c r="N1296" s="368"/>
      <c r="T1296" s="349"/>
      <c r="V1296" s="378"/>
      <c r="W1296" s="64" ph="1"/>
      <c r="X1296" s="241"/>
      <c r="Y1296" s="284"/>
      <c r="Z1296" s="207"/>
      <c r="AA1296" s="284"/>
      <c r="AB1296" s="284"/>
      <c r="AC1296" s="284"/>
      <c r="AD1296" s="284"/>
      <c r="AE1296" s="284"/>
      <c r="AF1296" s="284"/>
      <c r="AG1296" s="284"/>
      <c r="AI1296" s="131"/>
    </row>
    <row r="1297" spans="1:35" ht="26.4">
      <c r="A1297" s="284"/>
      <c r="B1297" s="284"/>
      <c r="C1297" s="284"/>
      <c r="D1297" s="284"/>
      <c r="E1297" s="284"/>
      <c r="F1297" s="284"/>
      <c r="G1297" s="284"/>
      <c r="H1297" s="284"/>
      <c r="I1297" s="284"/>
      <c r="J1297" s="375"/>
      <c r="K1297" s="375"/>
      <c r="L1297" s="375"/>
      <c r="M1297" s="368"/>
      <c r="N1297" s="368"/>
      <c r="T1297" s="349"/>
      <c r="V1297" s="378"/>
      <c r="W1297" s="64" ph="1"/>
      <c r="X1297" s="241"/>
      <c r="Y1297" s="284"/>
      <c r="Z1297" s="207"/>
      <c r="AA1297" s="284"/>
      <c r="AB1297" s="284"/>
      <c r="AC1297" s="284"/>
      <c r="AD1297" s="284"/>
      <c r="AE1297" s="284"/>
      <c r="AF1297" s="284"/>
      <c r="AG1297" s="284"/>
      <c r="AI1297" s="131"/>
    </row>
    <row r="1298" spans="1:35" ht="26.4">
      <c r="A1298" s="284"/>
      <c r="B1298" s="284"/>
      <c r="C1298" s="284"/>
      <c r="D1298" s="284"/>
      <c r="E1298" s="284"/>
      <c r="F1298" s="284"/>
      <c r="G1298" s="284"/>
      <c r="H1298" s="284"/>
      <c r="I1298" s="284"/>
      <c r="J1298" s="375"/>
      <c r="K1298" s="375"/>
      <c r="L1298" s="375"/>
      <c r="M1298" s="368"/>
      <c r="N1298" s="368"/>
      <c r="T1298" s="349"/>
      <c r="V1298" s="378"/>
      <c r="W1298" s="64" ph="1"/>
      <c r="X1298" s="241"/>
      <c r="Y1298" s="284"/>
      <c r="Z1298" s="207"/>
      <c r="AA1298" s="284"/>
      <c r="AB1298" s="284"/>
      <c r="AC1298" s="284"/>
      <c r="AD1298" s="284"/>
      <c r="AE1298" s="284"/>
      <c r="AF1298" s="284"/>
      <c r="AG1298" s="284"/>
      <c r="AI1298" s="131"/>
    </row>
    <row r="1299" spans="1:35">
      <c r="AI1299" s="131"/>
    </row>
    <row r="1300" spans="1:35">
      <c r="AI1300" s="28"/>
    </row>
    <row r="1301" spans="1:35">
      <c r="AI1301" s="131"/>
    </row>
    <row r="1302" spans="1:35">
      <c r="AI1302" s="131"/>
    </row>
    <row r="1303" spans="1:35">
      <c r="O1303" s="370"/>
      <c r="AI1303" s="131"/>
    </row>
    <row r="1304" spans="1:35">
      <c r="O1304" s="370"/>
      <c r="AI1304" s="131"/>
    </row>
    <row r="1305" spans="1:35">
      <c r="O1305" s="370"/>
      <c r="AI1305" s="131"/>
    </row>
    <row r="1306" spans="1:35">
      <c r="AI1306" s="131"/>
    </row>
    <row r="1307" spans="1:35">
      <c r="O1307" s="370"/>
      <c r="AI1307" s="128"/>
    </row>
    <row r="1308" spans="1:35">
      <c r="O1308" s="370"/>
      <c r="AI1308" s="131"/>
    </row>
    <row r="1309" spans="1:35">
      <c r="O1309" s="370"/>
      <c r="AI1309" s="131"/>
    </row>
    <row r="1310" spans="1:35">
      <c r="O1310" s="370"/>
      <c r="AI1310" s="131"/>
    </row>
    <row r="1311" spans="1:35">
      <c r="AI1311" s="131"/>
    </row>
    <row r="1312" spans="1:35">
      <c r="AI1312" s="131"/>
    </row>
    <row r="1313" spans="35:35">
      <c r="AI1313" s="131"/>
    </row>
    <row r="1314" spans="35:35">
      <c r="AI1314" s="131"/>
    </row>
    <row r="1315" spans="35:35">
      <c r="AI1315" s="131"/>
    </row>
    <row r="1316" spans="35:35">
      <c r="AI1316" s="131"/>
    </row>
    <row r="1317" spans="35:35">
      <c r="AI1317" s="131"/>
    </row>
    <row r="1318" spans="35:35">
      <c r="AI1318" s="131"/>
    </row>
    <row r="1319" spans="35:35">
      <c r="AI1319" s="131"/>
    </row>
    <row r="1320" spans="35:35">
      <c r="AI1320" s="131"/>
    </row>
    <row r="1321" spans="35:35">
      <c r="AI1321" s="131"/>
    </row>
    <row r="1322" spans="35:35">
      <c r="AI1322" s="131"/>
    </row>
    <row r="1323" spans="35:35">
      <c r="AI1323" s="131"/>
    </row>
    <row r="1324" spans="35:35">
      <c r="AI1324" s="131"/>
    </row>
    <row r="1325" spans="35:35">
      <c r="AI1325" s="131"/>
    </row>
    <row r="1326" spans="35:35">
      <c r="AI1326" s="131"/>
    </row>
    <row r="1327" spans="35:35">
      <c r="AI1327" s="131"/>
    </row>
    <row r="1328" spans="35:35">
      <c r="AI1328" s="131"/>
    </row>
    <row r="1329" spans="35:35">
      <c r="AI1329" s="131"/>
    </row>
    <row r="1330" spans="35:35">
      <c r="AI1330" s="131"/>
    </row>
    <row r="1331" spans="35:35">
      <c r="AI1331" s="131"/>
    </row>
    <row r="1332" spans="35:35">
      <c r="AI1332" s="131"/>
    </row>
    <row r="1333" spans="35:35">
      <c r="AI1333" s="131"/>
    </row>
    <row r="1334" spans="35:35">
      <c r="AI1334" s="131"/>
    </row>
    <row r="1335" spans="35:35">
      <c r="AI1335" s="131"/>
    </row>
    <row r="1336" spans="35:35">
      <c r="AI1336" s="131"/>
    </row>
    <row r="1337" spans="35:35">
      <c r="AI1337" s="131"/>
    </row>
    <row r="1338" spans="35:35">
      <c r="AI1338" s="131"/>
    </row>
    <row r="1339" spans="35:35">
      <c r="AI1339" s="131"/>
    </row>
    <row r="1340" spans="35:35">
      <c r="AI1340" s="131"/>
    </row>
    <row r="1341" spans="35:35">
      <c r="AI1341" s="131"/>
    </row>
    <row r="1342" spans="35:35">
      <c r="AI1342" s="131"/>
    </row>
    <row r="1343" spans="35:35">
      <c r="AI1343" s="131"/>
    </row>
    <row r="1344" spans="35:35">
      <c r="AI1344" s="131"/>
    </row>
    <row r="1345" spans="35:35">
      <c r="AI1345" s="131"/>
    </row>
    <row r="1346" spans="35:35">
      <c r="AI1346" s="131"/>
    </row>
    <row r="1347" spans="35:35">
      <c r="AI1347" s="284"/>
    </row>
    <row r="1348" spans="35:35">
      <c r="AI1348" s="131"/>
    </row>
    <row r="1349" spans="35:35">
      <c r="AI1349" s="131"/>
    </row>
    <row r="1350" spans="35:35">
      <c r="AI1350" s="131"/>
    </row>
    <row r="1351" spans="35:35">
      <c r="AI1351" s="131"/>
    </row>
    <row r="1352" spans="35:35">
      <c r="AI1352" s="286"/>
    </row>
    <row r="1353" spans="35:35">
      <c r="AI1353" s="131"/>
    </row>
    <row r="1354" spans="35:35">
      <c r="AI1354" s="131"/>
    </row>
    <row r="1355" spans="35:35">
      <c r="AI1355" s="131"/>
    </row>
    <row r="1356" spans="35:35">
      <c r="AI1356" s="131"/>
    </row>
    <row r="1357" spans="35:35">
      <c r="AI1357" s="131"/>
    </row>
    <row r="1358" spans="35:35">
      <c r="AI1358" s="131"/>
    </row>
    <row r="1359" spans="35:35">
      <c r="AI1359" s="236"/>
    </row>
    <row r="1360" spans="35:35">
      <c r="AI1360" s="131"/>
    </row>
    <row r="1361" spans="35:35">
      <c r="AI1361" s="131"/>
    </row>
    <row r="1362" spans="35:35">
      <c r="AI1362" s="131"/>
    </row>
    <row r="1363" spans="35:35">
      <c r="AI1363" s="131"/>
    </row>
    <row r="1364" spans="35:35">
      <c r="AI1364" s="131"/>
    </row>
    <row r="1365" spans="35:35">
      <c r="AI1365" s="131"/>
    </row>
    <row r="1366" spans="35:35">
      <c r="AI1366" s="131"/>
    </row>
    <row r="1367" spans="35:35">
      <c r="AI1367" s="131"/>
    </row>
    <row r="1368" spans="35:35">
      <c r="AI1368" s="131"/>
    </row>
    <row r="1369" spans="35:35">
      <c r="AI1369" s="131"/>
    </row>
    <row r="1370" spans="35:35">
      <c r="AI1370" s="284"/>
    </row>
    <row r="1371" spans="35:35">
      <c r="AI1371" s="131"/>
    </row>
    <row r="1372" spans="35:35">
      <c r="AI1372" s="131"/>
    </row>
    <row r="1373" spans="35:35">
      <c r="AI1373" s="131"/>
    </row>
    <row r="1374" spans="35:35">
      <c r="AI1374" s="131"/>
    </row>
    <row r="1375" spans="35:35">
      <c r="AI1375" s="131"/>
    </row>
    <row r="1376" spans="35:35">
      <c r="AI1376" s="131"/>
    </row>
    <row r="1377" spans="35:35">
      <c r="AI1377" s="131"/>
    </row>
    <row r="1378" spans="35:35">
      <c r="AI1378" s="131"/>
    </row>
    <row r="1379" spans="35:35">
      <c r="AI1379" s="131"/>
    </row>
    <row r="1380" spans="35:35">
      <c r="AI1380" s="131"/>
    </row>
    <row r="1381" spans="35:35">
      <c r="AI1381" s="131"/>
    </row>
    <row r="1382" spans="35:35">
      <c r="AI1382" s="284"/>
    </row>
    <row r="1383" spans="35:35">
      <c r="AI1383" s="131"/>
    </row>
    <row r="1384" spans="35:35">
      <c r="AI1384" s="28"/>
    </row>
    <row r="1385" spans="35:35">
      <c r="AI1385" s="284"/>
    </row>
    <row r="1386" spans="35:35">
      <c r="AI1386" s="131"/>
    </row>
    <row r="1387" spans="35:35">
      <c r="AI1387" s="131"/>
    </row>
    <row r="1388" spans="35:35">
      <c r="AI1388" s="131"/>
    </row>
    <row r="1389" spans="35:35">
      <c r="AI1389" s="131"/>
    </row>
    <row r="1390" spans="35:35">
      <c r="AI1390" s="284"/>
    </row>
    <row r="1391" spans="35:35">
      <c r="AI1391" s="131"/>
    </row>
    <row r="1392" spans="35:35">
      <c r="AI1392" s="131"/>
    </row>
    <row r="1393" spans="35:35">
      <c r="AI1393" s="131"/>
    </row>
    <row r="1394" spans="35:35">
      <c r="AI1394" s="131"/>
    </row>
    <row r="1395" spans="35:35">
      <c r="AI1395" s="131"/>
    </row>
    <row r="1396" spans="35:35">
      <c r="AI1396" s="131"/>
    </row>
    <row r="1397" spans="35:35">
      <c r="AI1397" s="131"/>
    </row>
    <row r="1398" spans="35:35">
      <c r="AI1398" s="131"/>
    </row>
    <row r="1399" spans="35:35">
      <c r="AI1399" s="131"/>
    </row>
    <row r="1400" spans="35:35">
      <c r="AI1400" s="131"/>
    </row>
    <row r="1401" spans="35:35">
      <c r="AI1401" s="131"/>
    </row>
    <row r="1402" spans="35:35">
      <c r="AI1402" s="131"/>
    </row>
    <row r="1403" spans="35:35">
      <c r="AI1403" s="131"/>
    </row>
    <row r="1404" spans="35:35">
      <c r="AI1404" s="131"/>
    </row>
    <row r="1405" spans="35:35">
      <c r="AI1405" s="131"/>
    </row>
    <row r="1406" spans="35:35">
      <c r="AI1406" s="131"/>
    </row>
    <row r="1407" spans="35:35">
      <c r="AI1407" s="131"/>
    </row>
    <row r="1408" spans="35:35">
      <c r="AI1408" s="131"/>
    </row>
    <row r="1409" spans="1:35">
      <c r="AI1409" s="131"/>
    </row>
    <row r="1410" spans="1:35">
      <c r="AI1410" s="284"/>
    </row>
    <row r="1411" spans="1:35">
      <c r="AI1411" s="131"/>
    </row>
    <row r="1412" spans="1:35">
      <c r="AI1412" s="131"/>
    </row>
    <row r="1413" spans="1:35">
      <c r="AI1413" s="131"/>
    </row>
    <row r="1414" spans="1:35">
      <c r="AI1414" s="131"/>
    </row>
    <row r="1415" spans="1:35">
      <c r="AI1415" s="131"/>
    </row>
    <row r="1416" spans="1:35">
      <c r="AI1416" s="131"/>
    </row>
    <row r="1417" spans="1:35">
      <c r="AI1417" s="131"/>
    </row>
    <row r="1418" spans="1:35">
      <c r="AI1418" s="131"/>
    </row>
    <row r="1419" spans="1:35">
      <c r="AI1419" s="131"/>
    </row>
    <row r="1420" spans="1:35">
      <c r="AI1420" s="131"/>
    </row>
    <row r="1421" spans="1:35">
      <c r="AI1421" s="131"/>
    </row>
    <row r="1422" spans="1:35">
      <c r="AI1422" s="131"/>
    </row>
    <row r="1423" spans="1:35">
      <c r="AI1423" s="131"/>
    </row>
    <row r="1424" spans="1:35" ht="26.4">
      <c r="A1424" s="284"/>
      <c r="B1424" s="284"/>
      <c r="C1424" s="284"/>
      <c r="D1424" s="284"/>
      <c r="E1424" s="284"/>
      <c r="F1424" s="284"/>
      <c r="G1424" s="284"/>
      <c r="H1424" s="284"/>
      <c r="I1424" s="284"/>
      <c r="J1424" s="375"/>
      <c r="K1424" s="375"/>
      <c r="L1424" s="375"/>
      <c r="M1424" s="368"/>
      <c r="N1424" s="368"/>
      <c r="T1424" s="349"/>
      <c r="V1424" s="378"/>
      <c r="W1424" s="64" ph="1"/>
      <c r="X1424" s="241"/>
      <c r="Y1424" s="284"/>
      <c r="Z1424" s="207"/>
      <c r="AA1424" s="284"/>
      <c r="AB1424" s="284"/>
      <c r="AC1424" s="284"/>
      <c r="AD1424" s="284"/>
      <c r="AE1424" s="284"/>
      <c r="AF1424" s="284"/>
      <c r="AG1424" s="284"/>
      <c r="AI1424" s="131"/>
    </row>
    <row r="1425" spans="1:35">
      <c r="AI1425" s="131"/>
    </row>
    <row r="1426" spans="1:35">
      <c r="AI1426" s="131"/>
    </row>
    <row r="1427" spans="1:35">
      <c r="AI1427" s="131"/>
    </row>
    <row r="1428" spans="1:35">
      <c r="AI1428" s="131"/>
    </row>
    <row r="1429" spans="1:35">
      <c r="AI1429" s="131"/>
    </row>
    <row r="1430" spans="1:35">
      <c r="AI1430" s="131"/>
    </row>
    <row r="1431" spans="1:35">
      <c r="AI1431" s="131"/>
    </row>
    <row r="1432" spans="1:35">
      <c r="AI1432" s="131"/>
    </row>
    <row r="1433" spans="1:35">
      <c r="AI1433" s="131"/>
    </row>
    <row r="1434" spans="1:35" ht="26.4">
      <c r="A1434" s="284"/>
      <c r="B1434" s="284"/>
      <c r="C1434" s="284"/>
      <c r="D1434" s="284"/>
      <c r="E1434" s="284"/>
      <c r="F1434" s="284"/>
      <c r="G1434" s="284"/>
      <c r="H1434" s="284"/>
      <c r="I1434" s="284"/>
      <c r="J1434" s="375"/>
      <c r="K1434" s="375"/>
      <c r="L1434" s="375"/>
      <c r="M1434" s="368"/>
      <c r="N1434" s="368"/>
      <c r="T1434" s="349"/>
      <c r="V1434" s="378"/>
      <c r="W1434" s="64" ph="1"/>
      <c r="X1434" s="241"/>
      <c r="Y1434" s="284"/>
      <c r="Z1434" s="207"/>
      <c r="AA1434" s="284"/>
      <c r="AB1434" s="284"/>
      <c r="AC1434" s="284"/>
      <c r="AD1434" s="284"/>
      <c r="AE1434" s="284"/>
      <c r="AF1434" s="284"/>
      <c r="AG1434" s="284"/>
      <c r="AI1434" s="131"/>
    </row>
    <row r="1435" spans="1:35">
      <c r="AI1435" s="131"/>
    </row>
    <row r="1436" spans="1:35">
      <c r="O1436" s="370"/>
      <c r="AI1436" s="131"/>
    </row>
    <row r="1437" spans="1:35">
      <c r="AI1437" s="131"/>
    </row>
    <row r="1438" spans="1:35" ht="26.4">
      <c r="A1438" s="284"/>
      <c r="B1438" s="284"/>
      <c r="C1438" s="284"/>
      <c r="D1438" s="284"/>
      <c r="E1438" s="284"/>
      <c r="F1438" s="284"/>
      <c r="G1438" s="284"/>
      <c r="H1438" s="284"/>
      <c r="I1438" s="284"/>
      <c r="J1438" s="375"/>
      <c r="K1438" s="375"/>
      <c r="L1438" s="375"/>
      <c r="M1438" s="368"/>
      <c r="N1438" s="368"/>
      <c r="T1438" s="349"/>
      <c r="V1438" s="378"/>
      <c r="W1438" s="64" ph="1"/>
      <c r="X1438" s="241"/>
      <c r="Y1438" s="284"/>
      <c r="Z1438" s="207"/>
      <c r="AA1438" s="284"/>
      <c r="AB1438" s="284"/>
      <c r="AC1438" s="284"/>
      <c r="AD1438" s="284"/>
      <c r="AE1438" s="284"/>
      <c r="AF1438" s="284"/>
      <c r="AG1438" s="284"/>
      <c r="AI1438" s="131"/>
    </row>
    <row r="1439" spans="1:35">
      <c r="AI1439" s="131"/>
    </row>
    <row r="1440" spans="1:35">
      <c r="AI1440" s="131"/>
    </row>
    <row r="1441" spans="1:35">
      <c r="AI1441" s="131"/>
    </row>
    <row r="1442" spans="1:35">
      <c r="AI1442" s="131"/>
    </row>
    <row r="1443" spans="1:35" ht="26.4">
      <c r="A1443" s="284"/>
      <c r="B1443" s="284"/>
      <c r="C1443" s="284"/>
      <c r="D1443" s="284"/>
      <c r="E1443" s="284"/>
      <c r="F1443" s="284"/>
      <c r="G1443" s="284"/>
      <c r="H1443" s="284"/>
      <c r="I1443" s="284"/>
      <c r="J1443" s="375"/>
      <c r="K1443" s="375"/>
      <c r="L1443" s="375"/>
      <c r="M1443" s="368"/>
      <c r="N1443" s="368"/>
      <c r="T1443" s="349"/>
      <c r="V1443" s="378"/>
      <c r="W1443" s="64" ph="1"/>
      <c r="X1443" s="241"/>
      <c r="Y1443" s="284"/>
      <c r="Z1443" s="207"/>
      <c r="AA1443" s="284"/>
      <c r="AB1443" s="284"/>
      <c r="AC1443" s="284"/>
      <c r="AD1443" s="284"/>
      <c r="AE1443" s="284"/>
      <c r="AF1443" s="284"/>
      <c r="AG1443" s="284"/>
      <c r="AI1443" s="131"/>
    </row>
    <row r="1444" spans="1:35" ht="26.4">
      <c r="A1444" s="284"/>
      <c r="B1444" s="284"/>
      <c r="C1444" s="284"/>
      <c r="D1444" s="284"/>
      <c r="E1444" s="284"/>
      <c r="F1444" s="284"/>
      <c r="G1444" s="284"/>
      <c r="H1444" s="284"/>
      <c r="I1444" s="284"/>
      <c r="J1444" s="375"/>
      <c r="K1444" s="375"/>
      <c r="L1444" s="375"/>
      <c r="M1444" s="368"/>
      <c r="N1444" s="368"/>
      <c r="T1444" s="349"/>
      <c r="V1444" s="378"/>
      <c r="W1444" s="64" ph="1"/>
      <c r="X1444" s="241"/>
      <c r="Y1444" s="284"/>
      <c r="Z1444" s="207"/>
      <c r="AA1444" s="284"/>
      <c r="AB1444" s="284"/>
      <c r="AC1444" s="284"/>
      <c r="AD1444" s="284"/>
      <c r="AE1444" s="284"/>
      <c r="AF1444" s="284"/>
      <c r="AG1444" s="284"/>
      <c r="AI1444" s="131"/>
    </row>
    <row r="1445" spans="1:35" ht="26.4">
      <c r="A1445" s="284"/>
      <c r="B1445" s="284"/>
      <c r="C1445" s="284"/>
      <c r="D1445" s="284"/>
      <c r="E1445" s="284"/>
      <c r="F1445" s="284"/>
      <c r="G1445" s="284"/>
      <c r="H1445" s="284"/>
      <c r="I1445" s="284"/>
      <c r="J1445" s="375"/>
      <c r="K1445" s="375"/>
      <c r="L1445" s="375"/>
      <c r="M1445" s="368"/>
      <c r="N1445" s="368"/>
      <c r="T1445" s="349"/>
      <c r="V1445" s="378"/>
      <c r="W1445" s="64" ph="1"/>
      <c r="X1445" s="241"/>
      <c r="Y1445" s="284"/>
      <c r="Z1445" s="207"/>
      <c r="AA1445" s="284"/>
      <c r="AB1445" s="284"/>
      <c r="AC1445" s="284"/>
      <c r="AD1445" s="284"/>
      <c r="AE1445" s="284"/>
      <c r="AF1445" s="284"/>
      <c r="AG1445" s="284"/>
      <c r="AI1445" s="131"/>
    </row>
    <row r="1446" spans="1:35">
      <c r="O1446" s="370"/>
      <c r="AI1446" s="131"/>
    </row>
    <row r="1447" spans="1:35" ht="26.4">
      <c r="A1447" s="284"/>
      <c r="B1447" s="284"/>
      <c r="C1447" s="284"/>
      <c r="D1447" s="284"/>
      <c r="E1447" s="284"/>
      <c r="F1447" s="284"/>
      <c r="G1447" s="284"/>
      <c r="H1447" s="284"/>
      <c r="I1447" s="284"/>
      <c r="J1447" s="375"/>
      <c r="K1447" s="375"/>
      <c r="L1447" s="375"/>
      <c r="M1447" s="368"/>
      <c r="N1447" s="368"/>
      <c r="T1447" s="349"/>
      <c r="V1447" s="378"/>
      <c r="W1447" s="64" ph="1"/>
      <c r="X1447" s="241"/>
      <c r="Y1447" s="284"/>
      <c r="Z1447" s="207"/>
      <c r="AA1447" s="284"/>
      <c r="AB1447" s="284"/>
      <c r="AC1447" s="284"/>
      <c r="AD1447" s="284"/>
      <c r="AE1447" s="284"/>
      <c r="AF1447" s="284"/>
      <c r="AG1447" s="284"/>
      <c r="AI1447" s="131"/>
    </row>
    <row r="1448" spans="1:35" ht="26.4">
      <c r="A1448" s="284"/>
      <c r="B1448" s="284"/>
      <c r="C1448" s="284"/>
      <c r="D1448" s="284"/>
      <c r="E1448" s="284"/>
      <c r="F1448" s="284"/>
      <c r="G1448" s="284"/>
      <c r="H1448" s="284"/>
      <c r="I1448" s="284"/>
      <c r="J1448" s="375"/>
      <c r="K1448" s="375"/>
      <c r="L1448" s="375"/>
      <c r="M1448" s="368"/>
      <c r="N1448" s="368"/>
      <c r="T1448" s="349"/>
      <c r="V1448" s="378"/>
      <c r="W1448" s="64" ph="1"/>
      <c r="X1448" s="241"/>
      <c r="Y1448" s="284"/>
      <c r="Z1448" s="207"/>
      <c r="AA1448" s="284"/>
      <c r="AB1448" s="284"/>
      <c r="AC1448" s="284"/>
      <c r="AD1448" s="284"/>
      <c r="AE1448" s="284"/>
      <c r="AF1448" s="284"/>
      <c r="AG1448" s="284"/>
      <c r="AI1448" s="131"/>
    </row>
    <row r="1449" spans="1:35">
      <c r="AI1449" s="284"/>
    </row>
    <row r="1450" spans="1:35" ht="26.4">
      <c r="A1450" s="284"/>
      <c r="B1450" s="284"/>
      <c r="C1450" s="284"/>
      <c r="D1450" s="284"/>
      <c r="E1450" s="284"/>
      <c r="F1450" s="284"/>
      <c r="G1450" s="284"/>
      <c r="H1450" s="284"/>
      <c r="I1450" s="284"/>
      <c r="J1450" s="375"/>
      <c r="K1450" s="375"/>
      <c r="L1450" s="375"/>
      <c r="M1450" s="368"/>
      <c r="N1450" s="368"/>
      <c r="O1450" s="370"/>
      <c r="T1450" s="349"/>
      <c r="V1450" s="378"/>
      <c r="W1450" s="64" ph="1"/>
      <c r="X1450" s="241"/>
      <c r="Y1450" s="284"/>
      <c r="Z1450" s="207"/>
      <c r="AA1450" s="284"/>
      <c r="AB1450" s="284"/>
      <c r="AC1450" s="284"/>
      <c r="AD1450" s="284"/>
      <c r="AE1450" s="284"/>
      <c r="AF1450" s="284"/>
      <c r="AG1450" s="284"/>
      <c r="AI1450" s="131"/>
    </row>
    <row r="1451" spans="1:35">
      <c r="AI1451" s="131"/>
    </row>
    <row r="1452" spans="1:35" ht="26.4">
      <c r="A1452" s="284"/>
      <c r="B1452" s="284"/>
      <c r="C1452" s="284"/>
      <c r="D1452" s="284"/>
      <c r="E1452" s="284"/>
      <c r="F1452" s="284"/>
      <c r="G1452" s="284"/>
      <c r="H1452" s="284"/>
      <c r="I1452" s="284"/>
      <c r="J1452" s="375"/>
      <c r="K1452" s="375"/>
      <c r="L1452" s="375"/>
      <c r="M1452" s="368"/>
      <c r="N1452" s="368"/>
      <c r="T1452" s="349"/>
      <c r="V1452" s="378"/>
      <c r="W1452" s="64" ph="1"/>
      <c r="X1452" s="241"/>
      <c r="Y1452" s="284"/>
      <c r="Z1452" s="207"/>
      <c r="AA1452" s="284"/>
      <c r="AB1452" s="284"/>
      <c r="AC1452" s="284"/>
      <c r="AD1452" s="284"/>
      <c r="AE1452" s="284"/>
      <c r="AF1452" s="284"/>
      <c r="AG1452" s="284"/>
      <c r="AI1452" s="131"/>
    </row>
    <row r="1453" spans="1:35" ht="26.4">
      <c r="A1453" s="284"/>
      <c r="B1453" s="284"/>
      <c r="C1453" s="284"/>
      <c r="D1453" s="284"/>
      <c r="E1453" s="284"/>
      <c r="F1453" s="284"/>
      <c r="G1453" s="284"/>
      <c r="H1453" s="284"/>
      <c r="I1453" s="284"/>
      <c r="J1453" s="375"/>
      <c r="K1453" s="375"/>
      <c r="L1453" s="375"/>
      <c r="M1453" s="368"/>
      <c r="N1453" s="368"/>
      <c r="T1453" s="349"/>
      <c r="V1453" s="378"/>
      <c r="W1453" s="64" ph="1"/>
      <c r="X1453" s="241"/>
      <c r="Y1453" s="284"/>
      <c r="Z1453" s="207"/>
      <c r="AA1453" s="284"/>
      <c r="AB1453" s="284"/>
      <c r="AC1453" s="284"/>
      <c r="AD1453" s="284"/>
      <c r="AE1453" s="284"/>
      <c r="AF1453" s="284"/>
      <c r="AG1453" s="284"/>
      <c r="AI1453" s="131"/>
    </row>
    <row r="1454" spans="1:35" ht="26.4">
      <c r="A1454" s="284"/>
      <c r="B1454" s="284"/>
      <c r="C1454" s="284"/>
      <c r="D1454" s="284"/>
      <c r="E1454" s="284"/>
      <c r="F1454" s="284"/>
      <c r="G1454" s="284"/>
      <c r="H1454" s="284"/>
      <c r="I1454" s="284"/>
      <c r="J1454" s="375"/>
      <c r="K1454" s="375"/>
      <c r="L1454" s="375"/>
      <c r="M1454" s="368"/>
      <c r="N1454" s="368"/>
      <c r="T1454" s="349"/>
      <c r="V1454" s="378"/>
      <c r="W1454" s="64" ph="1"/>
      <c r="X1454" s="241"/>
      <c r="Y1454" s="284"/>
      <c r="Z1454" s="207"/>
      <c r="AA1454" s="284"/>
      <c r="AB1454" s="284"/>
      <c r="AC1454" s="284"/>
      <c r="AD1454" s="284"/>
      <c r="AE1454" s="284"/>
      <c r="AF1454" s="284"/>
      <c r="AG1454" s="284"/>
      <c r="AI1454" s="131"/>
    </row>
    <row r="1455" spans="1:35" ht="26.4">
      <c r="A1455" s="284"/>
      <c r="B1455" s="284"/>
      <c r="C1455" s="284"/>
      <c r="D1455" s="284"/>
      <c r="E1455" s="284"/>
      <c r="F1455" s="284"/>
      <c r="G1455" s="284"/>
      <c r="H1455" s="284"/>
      <c r="I1455" s="284"/>
      <c r="J1455" s="375"/>
      <c r="K1455" s="375"/>
      <c r="L1455" s="375"/>
      <c r="M1455" s="368"/>
      <c r="N1455" s="368"/>
      <c r="O1455" s="370"/>
      <c r="T1455" s="349"/>
      <c r="V1455" s="378"/>
      <c r="W1455" s="64" ph="1"/>
      <c r="X1455" s="241"/>
      <c r="Y1455" s="284"/>
      <c r="Z1455" s="207"/>
      <c r="AA1455" s="284"/>
      <c r="AB1455" s="284"/>
      <c r="AC1455" s="284"/>
      <c r="AD1455" s="284"/>
      <c r="AE1455" s="284"/>
      <c r="AF1455" s="284"/>
      <c r="AG1455" s="284"/>
      <c r="AI1455" s="131"/>
    </row>
    <row r="1456" spans="1:35" ht="26.4">
      <c r="A1456" s="284"/>
      <c r="B1456" s="284"/>
      <c r="C1456" s="284"/>
      <c r="D1456" s="284"/>
      <c r="E1456" s="284"/>
      <c r="F1456" s="284"/>
      <c r="G1456" s="284"/>
      <c r="H1456" s="284"/>
      <c r="I1456" s="284"/>
      <c r="J1456" s="375"/>
      <c r="K1456" s="375"/>
      <c r="L1456" s="375"/>
      <c r="M1456" s="368"/>
      <c r="N1456" s="368"/>
      <c r="O1456" s="370"/>
      <c r="T1456" s="349"/>
      <c r="V1456" s="378"/>
      <c r="W1456" s="64" ph="1"/>
      <c r="X1456" s="241"/>
      <c r="Y1456" s="284"/>
      <c r="Z1456" s="207"/>
      <c r="AA1456" s="284"/>
      <c r="AB1456" s="284"/>
      <c r="AC1456" s="284"/>
      <c r="AD1456" s="284"/>
      <c r="AE1456" s="284"/>
      <c r="AF1456" s="284"/>
      <c r="AG1456" s="284"/>
      <c r="AI1456" s="131"/>
    </row>
    <row r="1457" spans="1:35" ht="26.4">
      <c r="A1457" s="284"/>
      <c r="B1457" s="284"/>
      <c r="C1457" s="284"/>
      <c r="D1457" s="284"/>
      <c r="E1457" s="284"/>
      <c r="F1457" s="284"/>
      <c r="G1457" s="284"/>
      <c r="H1457" s="284"/>
      <c r="I1457" s="284"/>
      <c r="J1457" s="375"/>
      <c r="K1457" s="375"/>
      <c r="L1457" s="375"/>
      <c r="M1457" s="368"/>
      <c r="N1457" s="368"/>
      <c r="O1457" s="370"/>
      <c r="T1457" s="349"/>
      <c r="V1457" s="378"/>
      <c r="W1457" s="64" ph="1"/>
      <c r="X1457" s="241"/>
      <c r="Y1457" s="284"/>
      <c r="Z1457" s="207"/>
      <c r="AA1457" s="284"/>
      <c r="AB1457" s="284"/>
      <c r="AC1457" s="284"/>
      <c r="AD1457" s="284"/>
      <c r="AE1457" s="284"/>
      <c r="AF1457" s="284"/>
      <c r="AG1457" s="284"/>
      <c r="AI1457" s="131"/>
    </row>
    <row r="1458" spans="1:35" ht="26.4">
      <c r="A1458" s="284"/>
      <c r="B1458" s="284"/>
      <c r="C1458" s="284"/>
      <c r="D1458" s="284"/>
      <c r="E1458" s="284"/>
      <c r="F1458" s="284"/>
      <c r="G1458" s="284"/>
      <c r="H1458" s="284"/>
      <c r="I1458" s="284"/>
      <c r="J1458" s="375"/>
      <c r="K1458" s="375"/>
      <c r="L1458" s="375"/>
      <c r="M1458" s="368"/>
      <c r="N1458" s="368"/>
      <c r="T1458" s="349"/>
      <c r="V1458" s="378"/>
      <c r="W1458" s="64" ph="1"/>
      <c r="X1458" s="241"/>
      <c r="Y1458" s="284"/>
      <c r="Z1458" s="207"/>
      <c r="AA1458" s="284"/>
      <c r="AB1458" s="284"/>
      <c r="AC1458" s="284"/>
      <c r="AD1458" s="284"/>
      <c r="AE1458" s="284"/>
      <c r="AF1458" s="284"/>
      <c r="AG1458" s="284"/>
      <c r="AI1458" s="131"/>
    </row>
    <row r="1459" spans="1:35" ht="26.4">
      <c r="A1459" s="284"/>
      <c r="B1459" s="284"/>
      <c r="C1459" s="284"/>
      <c r="D1459" s="284"/>
      <c r="E1459" s="284"/>
      <c r="F1459" s="284"/>
      <c r="G1459" s="284"/>
      <c r="H1459" s="284"/>
      <c r="I1459" s="284"/>
      <c r="J1459" s="375"/>
      <c r="K1459" s="375"/>
      <c r="L1459" s="375"/>
      <c r="M1459" s="368"/>
      <c r="N1459" s="368"/>
      <c r="O1459" s="370"/>
      <c r="T1459" s="349"/>
      <c r="V1459" s="378"/>
      <c r="W1459" s="64" ph="1"/>
      <c r="X1459" s="241"/>
      <c r="Y1459" s="284"/>
      <c r="Z1459" s="207"/>
      <c r="AA1459" s="284"/>
      <c r="AB1459" s="284"/>
      <c r="AC1459" s="284"/>
      <c r="AD1459" s="284"/>
      <c r="AE1459" s="284"/>
      <c r="AF1459" s="284"/>
      <c r="AG1459" s="284"/>
      <c r="AI1459" s="131"/>
    </row>
    <row r="1460" spans="1:35" ht="26.4">
      <c r="A1460" s="284"/>
      <c r="B1460" s="284"/>
      <c r="C1460" s="284"/>
      <c r="D1460" s="284"/>
      <c r="E1460" s="284"/>
      <c r="F1460" s="284"/>
      <c r="G1460" s="284"/>
      <c r="H1460" s="284"/>
      <c r="I1460" s="284"/>
      <c r="J1460" s="375"/>
      <c r="K1460" s="375"/>
      <c r="L1460" s="375"/>
      <c r="M1460" s="368"/>
      <c r="N1460" s="368"/>
      <c r="O1460" s="370"/>
      <c r="T1460" s="349"/>
      <c r="V1460" s="378"/>
      <c r="W1460" s="64" ph="1"/>
      <c r="X1460" s="241"/>
      <c r="Y1460" s="284"/>
      <c r="Z1460" s="207"/>
      <c r="AA1460" s="284"/>
      <c r="AB1460" s="284"/>
      <c r="AC1460" s="284"/>
      <c r="AD1460" s="284"/>
      <c r="AE1460" s="284"/>
      <c r="AF1460" s="284"/>
      <c r="AG1460" s="284"/>
      <c r="AI1460" s="131"/>
    </row>
    <row r="1461" spans="1:35" ht="26.4">
      <c r="A1461" s="284"/>
      <c r="B1461" s="284"/>
      <c r="C1461" s="284"/>
      <c r="D1461" s="284"/>
      <c r="E1461" s="284"/>
      <c r="F1461" s="284"/>
      <c r="G1461" s="284"/>
      <c r="H1461" s="284"/>
      <c r="I1461" s="284"/>
      <c r="J1461" s="375"/>
      <c r="K1461" s="375"/>
      <c r="L1461" s="375"/>
      <c r="M1461" s="368"/>
      <c r="N1461" s="368"/>
      <c r="T1461" s="349"/>
      <c r="V1461" s="378"/>
      <c r="W1461" s="64" ph="1"/>
      <c r="X1461" s="241"/>
      <c r="Y1461" s="284"/>
      <c r="Z1461" s="207"/>
      <c r="AA1461" s="284"/>
      <c r="AB1461" s="284"/>
      <c r="AC1461" s="284"/>
      <c r="AD1461" s="284"/>
      <c r="AE1461" s="284"/>
      <c r="AF1461" s="284"/>
      <c r="AG1461" s="284"/>
      <c r="AI1461" s="131"/>
    </row>
    <row r="1462" spans="1:35">
      <c r="O1462" s="370"/>
      <c r="AI1462" s="131"/>
    </row>
    <row r="1463" spans="1:35" ht="26.4">
      <c r="A1463" s="284"/>
      <c r="B1463" s="284"/>
      <c r="C1463" s="284"/>
      <c r="D1463" s="284"/>
      <c r="E1463" s="284"/>
      <c r="F1463" s="284"/>
      <c r="G1463" s="284"/>
      <c r="H1463" s="284"/>
      <c r="I1463" s="284"/>
      <c r="J1463" s="375"/>
      <c r="K1463" s="375"/>
      <c r="L1463" s="375"/>
      <c r="M1463" s="368"/>
      <c r="N1463" s="368"/>
      <c r="T1463" s="349"/>
      <c r="V1463" s="378"/>
      <c r="W1463" s="64" ph="1"/>
      <c r="X1463" s="241"/>
      <c r="Y1463" s="284"/>
      <c r="Z1463" s="207"/>
      <c r="AA1463" s="284"/>
      <c r="AB1463" s="284"/>
      <c r="AC1463" s="284"/>
      <c r="AD1463" s="284"/>
      <c r="AE1463" s="284"/>
      <c r="AF1463" s="284"/>
      <c r="AG1463" s="284"/>
      <c r="AI1463" s="131"/>
    </row>
    <row r="1464" spans="1:35" ht="26.4">
      <c r="A1464" s="284"/>
      <c r="B1464" s="284"/>
      <c r="C1464" s="284"/>
      <c r="D1464" s="284"/>
      <c r="E1464" s="284"/>
      <c r="F1464" s="284"/>
      <c r="G1464" s="284"/>
      <c r="H1464" s="284"/>
      <c r="I1464" s="284"/>
      <c r="J1464" s="375"/>
      <c r="K1464" s="375"/>
      <c r="L1464" s="375"/>
      <c r="M1464" s="368"/>
      <c r="N1464" s="368"/>
      <c r="O1464" s="370"/>
      <c r="T1464" s="349"/>
      <c r="V1464" s="378"/>
      <c r="W1464" s="64" ph="1"/>
      <c r="X1464" s="241"/>
      <c r="Y1464" s="284"/>
      <c r="Z1464" s="207"/>
      <c r="AA1464" s="284"/>
      <c r="AB1464" s="284"/>
      <c r="AC1464" s="284"/>
      <c r="AD1464" s="284"/>
      <c r="AE1464" s="284"/>
      <c r="AF1464" s="284"/>
      <c r="AG1464" s="284"/>
      <c r="AI1464" s="131"/>
    </row>
    <row r="1465" spans="1:35" ht="26.4">
      <c r="A1465" s="284"/>
      <c r="B1465" s="284"/>
      <c r="C1465" s="284"/>
      <c r="D1465" s="284"/>
      <c r="E1465" s="284"/>
      <c r="F1465" s="284"/>
      <c r="G1465" s="284"/>
      <c r="H1465" s="284"/>
      <c r="I1465" s="284"/>
      <c r="J1465" s="375"/>
      <c r="K1465" s="375"/>
      <c r="L1465" s="375"/>
      <c r="M1465" s="368"/>
      <c r="N1465" s="368"/>
      <c r="O1465" s="370"/>
      <c r="T1465" s="349"/>
      <c r="V1465" s="378"/>
      <c r="W1465" s="64" ph="1"/>
      <c r="X1465" s="241"/>
      <c r="Y1465" s="284"/>
      <c r="Z1465" s="207"/>
      <c r="AA1465" s="284"/>
      <c r="AB1465" s="284"/>
      <c r="AC1465" s="284"/>
      <c r="AD1465" s="284"/>
      <c r="AE1465" s="284"/>
      <c r="AF1465" s="284"/>
      <c r="AG1465" s="284"/>
      <c r="AI1465" s="131"/>
    </row>
    <row r="1466" spans="1:35" ht="26.4">
      <c r="A1466" s="284"/>
      <c r="B1466" s="284"/>
      <c r="C1466" s="284"/>
      <c r="D1466" s="284"/>
      <c r="E1466" s="284"/>
      <c r="F1466" s="284"/>
      <c r="G1466" s="284"/>
      <c r="H1466" s="284"/>
      <c r="I1466" s="284"/>
      <c r="J1466" s="375"/>
      <c r="K1466" s="375"/>
      <c r="L1466" s="375"/>
      <c r="M1466" s="368"/>
      <c r="N1466" s="368"/>
      <c r="O1466" s="370"/>
      <c r="T1466" s="349"/>
      <c r="V1466" s="378"/>
      <c r="W1466" s="64" ph="1"/>
      <c r="X1466" s="241"/>
      <c r="Y1466" s="284"/>
      <c r="Z1466" s="207"/>
      <c r="AA1466" s="284"/>
      <c r="AB1466" s="284"/>
      <c r="AC1466" s="284"/>
      <c r="AD1466" s="284"/>
      <c r="AE1466" s="284"/>
      <c r="AF1466" s="284"/>
      <c r="AG1466" s="284"/>
      <c r="AI1466" s="131"/>
    </row>
    <row r="1467" spans="1:35" ht="26.4">
      <c r="A1467" s="284"/>
      <c r="B1467" s="284"/>
      <c r="C1467" s="284"/>
      <c r="D1467" s="284"/>
      <c r="E1467" s="284"/>
      <c r="F1467" s="284"/>
      <c r="G1467" s="284"/>
      <c r="H1467" s="284"/>
      <c r="I1467" s="284"/>
      <c r="J1467" s="375"/>
      <c r="K1467" s="375"/>
      <c r="L1467" s="375"/>
      <c r="M1467" s="368"/>
      <c r="N1467" s="368"/>
      <c r="O1467" s="370"/>
      <c r="T1467" s="349"/>
      <c r="V1467" s="378"/>
      <c r="W1467" s="64" ph="1"/>
      <c r="X1467" s="241"/>
      <c r="Y1467" s="284"/>
      <c r="Z1467" s="207"/>
      <c r="AA1467" s="284"/>
      <c r="AB1467" s="284"/>
      <c r="AC1467" s="284"/>
      <c r="AD1467" s="284"/>
      <c r="AE1467" s="284"/>
      <c r="AF1467" s="284"/>
      <c r="AG1467" s="284"/>
      <c r="AI1467" s="131"/>
    </row>
    <row r="1468" spans="1:35" ht="26.4">
      <c r="A1468" s="284"/>
      <c r="B1468" s="284"/>
      <c r="C1468" s="284"/>
      <c r="D1468" s="284"/>
      <c r="E1468" s="284"/>
      <c r="F1468" s="284"/>
      <c r="G1468" s="284"/>
      <c r="H1468" s="284"/>
      <c r="I1468" s="284"/>
      <c r="J1468" s="375"/>
      <c r="K1468" s="375"/>
      <c r="L1468" s="375"/>
      <c r="M1468" s="368"/>
      <c r="N1468" s="368"/>
      <c r="O1468" s="370"/>
      <c r="T1468" s="349"/>
      <c r="V1468" s="378"/>
      <c r="W1468" s="64" ph="1"/>
      <c r="X1468" s="241"/>
      <c r="Y1468" s="284"/>
      <c r="Z1468" s="207"/>
      <c r="AA1468" s="284"/>
      <c r="AB1468" s="284"/>
      <c r="AC1468" s="284"/>
      <c r="AD1468" s="284"/>
      <c r="AE1468" s="284"/>
      <c r="AF1468" s="284"/>
      <c r="AG1468" s="284"/>
      <c r="AI1468" s="131"/>
    </row>
    <row r="1469" spans="1:35" ht="26.4">
      <c r="A1469" s="284"/>
      <c r="B1469" s="284"/>
      <c r="C1469" s="284"/>
      <c r="D1469" s="284"/>
      <c r="E1469" s="284"/>
      <c r="F1469" s="284"/>
      <c r="G1469" s="284"/>
      <c r="H1469" s="284"/>
      <c r="I1469" s="284"/>
      <c r="J1469" s="375"/>
      <c r="K1469" s="375"/>
      <c r="L1469" s="375"/>
      <c r="M1469" s="368"/>
      <c r="N1469" s="368"/>
      <c r="O1469" s="370"/>
      <c r="T1469" s="349"/>
      <c r="V1469" s="378"/>
      <c r="W1469" s="64" ph="1"/>
      <c r="X1469" s="241"/>
      <c r="Y1469" s="284"/>
      <c r="Z1469" s="207"/>
      <c r="AA1469" s="284"/>
      <c r="AB1469" s="284"/>
      <c r="AC1469" s="284"/>
      <c r="AD1469" s="284"/>
      <c r="AE1469" s="284"/>
      <c r="AF1469" s="284"/>
      <c r="AG1469" s="284"/>
      <c r="AI1469" s="131"/>
    </row>
    <row r="1470" spans="1:35" ht="26.4">
      <c r="A1470" s="284"/>
      <c r="B1470" s="284"/>
      <c r="C1470" s="284"/>
      <c r="D1470" s="284"/>
      <c r="E1470" s="284"/>
      <c r="F1470" s="284"/>
      <c r="G1470" s="284"/>
      <c r="H1470" s="284"/>
      <c r="I1470" s="284"/>
      <c r="J1470" s="375"/>
      <c r="K1470" s="375"/>
      <c r="L1470" s="375"/>
      <c r="M1470" s="368"/>
      <c r="N1470" s="368"/>
      <c r="O1470" s="370"/>
      <c r="T1470" s="349"/>
      <c r="V1470" s="378"/>
      <c r="W1470" s="64" ph="1"/>
      <c r="X1470" s="241"/>
      <c r="Y1470" s="284"/>
      <c r="Z1470" s="207"/>
      <c r="AA1470" s="284"/>
      <c r="AB1470" s="284"/>
      <c r="AC1470" s="284"/>
      <c r="AD1470" s="284"/>
      <c r="AE1470" s="284"/>
      <c r="AF1470" s="284"/>
      <c r="AG1470" s="284"/>
      <c r="AI1470" s="131"/>
    </row>
    <row r="1471" spans="1:35">
      <c r="O1471" s="370"/>
      <c r="AI1471" s="131"/>
    </row>
    <row r="1472" spans="1:35" ht="26.4">
      <c r="A1472" s="284"/>
      <c r="B1472" s="284"/>
      <c r="C1472" s="284"/>
      <c r="D1472" s="284"/>
      <c r="E1472" s="284"/>
      <c r="F1472" s="284"/>
      <c r="G1472" s="284"/>
      <c r="H1472" s="284"/>
      <c r="I1472" s="284"/>
      <c r="J1472" s="375"/>
      <c r="K1472" s="375"/>
      <c r="L1472" s="375"/>
      <c r="M1472" s="368"/>
      <c r="N1472" s="368"/>
      <c r="O1472" s="370"/>
      <c r="T1472" s="349"/>
      <c r="V1472" s="378"/>
      <c r="W1472" s="64" ph="1"/>
      <c r="X1472" s="241"/>
      <c r="Y1472" s="284"/>
      <c r="Z1472" s="207"/>
      <c r="AA1472" s="284"/>
      <c r="AB1472" s="284"/>
      <c r="AC1472" s="284"/>
      <c r="AD1472" s="284"/>
      <c r="AE1472" s="284"/>
      <c r="AF1472" s="284"/>
      <c r="AG1472" s="284"/>
      <c r="AI1472" s="131"/>
    </row>
    <row r="1473" spans="1:35" ht="26.4">
      <c r="A1473" s="284"/>
      <c r="B1473" s="284"/>
      <c r="C1473" s="284"/>
      <c r="D1473" s="284"/>
      <c r="E1473" s="284"/>
      <c r="F1473" s="284"/>
      <c r="G1473" s="284"/>
      <c r="H1473" s="284"/>
      <c r="I1473" s="284"/>
      <c r="J1473" s="375"/>
      <c r="K1473" s="375"/>
      <c r="L1473" s="375"/>
      <c r="M1473" s="368"/>
      <c r="N1473" s="368"/>
      <c r="O1473" s="370"/>
      <c r="T1473" s="349"/>
      <c r="V1473" s="378"/>
      <c r="W1473" s="64" ph="1"/>
      <c r="X1473" s="241"/>
      <c r="Y1473" s="284"/>
      <c r="Z1473" s="207"/>
      <c r="AA1473" s="284"/>
      <c r="AB1473" s="284"/>
      <c r="AC1473" s="284"/>
      <c r="AD1473" s="284"/>
      <c r="AE1473" s="284"/>
      <c r="AF1473" s="284"/>
      <c r="AG1473" s="284"/>
      <c r="AI1473" s="131"/>
    </row>
    <row r="1474" spans="1:35" ht="26.4">
      <c r="A1474" s="284"/>
      <c r="B1474" s="284"/>
      <c r="C1474" s="284"/>
      <c r="D1474" s="284"/>
      <c r="E1474" s="284"/>
      <c r="F1474" s="284"/>
      <c r="G1474" s="284"/>
      <c r="H1474" s="284"/>
      <c r="I1474" s="284"/>
      <c r="J1474" s="375"/>
      <c r="K1474" s="375"/>
      <c r="L1474" s="375"/>
      <c r="M1474" s="368"/>
      <c r="N1474" s="368"/>
      <c r="T1474" s="349"/>
      <c r="V1474" s="378"/>
      <c r="W1474" s="64" ph="1"/>
      <c r="X1474" s="241"/>
      <c r="Y1474" s="284"/>
      <c r="Z1474" s="207"/>
      <c r="AA1474" s="284"/>
      <c r="AB1474" s="284"/>
      <c r="AC1474" s="284"/>
      <c r="AD1474" s="284"/>
      <c r="AE1474" s="284"/>
      <c r="AF1474" s="284"/>
      <c r="AG1474" s="284"/>
      <c r="AI1474" s="131"/>
    </row>
    <row r="1475" spans="1:35" ht="26.4">
      <c r="A1475" s="284"/>
      <c r="B1475" s="284"/>
      <c r="C1475" s="284"/>
      <c r="D1475" s="284"/>
      <c r="E1475" s="284"/>
      <c r="F1475" s="284"/>
      <c r="G1475" s="284"/>
      <c r="H1475" s="284"/>
      <c r="I1475" s="284"/>
      <c r="J1475" s="375"/>
      <c r="K1475" s="375"/>
      <c r="L1475" s="375"/>
      <c r="M1475" s="368"/>
      <c r="N1475" s="368"/>
      <c r="O1475" s="370"/>
      <c r="T1475" s="349"/>
      <c r="V1475" s="378"/>
      <c r="W1475" s="64" ph="1"/>
      <c r="X1475" s="241"/>
      <c r="Y1475" s="284"/>
      <c r="Z1475" s="207"/>
      <c r="AA1475" s="284"/>
      <c r="AB1475" s="284"/>
      <c r="AC1475" s="284"/>
      <c r="AD1475" s="284"/>
      <c r="AE1475" s="284"/>
      <c r="AF1475" s="284"/>
      <c r="AG1475" s="284"/>
      <c r="AI1475" s="131"/>
    </row>
    <row r="1476" spans="1:35" ht="26.4">
      <c r="A1476" s="284"/>
      <c r="B1476" s="284"/>
      <c r="C1476" s="284"/>
      <c r="D1476" s="284"/>
      <c r="E1476" s="284"/>
      <c r="F1476" s="284"/>
      <c r="G1476" s="284"/>
      <c r="H1476" s="284"/>
      <c r="I1476" s="284"/>
      <c r="J1476" s="375"/>
      <c r="K1476" s="375"/>
      <c r="L1476" s="375"/>
      <c r="M1476" s="368"/>
      <c r="N1476" s="368"/>
      <c r="O1476" s="370"/>
      <c r="T1476" s="349"/>
      <c r="V1476" s="378"/>
      <c r="W1476" s="64" ph="1"/>
      <c r="X1476" s="241"/>
      <c r="Y1476" s="284"/>
      <c r="Z1476" s="207"/>
      <c r="AA1476" s="284"/>
      <c r="AB1476" s="284"/>
      <c r="AC1476" s="284"/>
      <c r="AD1476" s="284"/>
      <c r="AE1476" s="284"/>
      <c r="AF1476" s="284"/>
      <c r="AG1476" s="284"/>
      <c r="AI1476" s="131"/>
    </row>
    <row r="1477" spans="1:35" ht="26.4">
      <c r="A1477" s="284"/>
      <c r="B1477" s="284"/>
      <c r="C1477" s="284"/>
      <c r="D1477" s="284"/>
      <c r="E1477" s="284"/>
      <c r="F1477" s="284"/>
      <c r="G1477" s="284"/>
      <c r="H1477" s="284"/>
      <c r="I1477" s="284"/>
      <c r="J1477" s="375"/>
      <c r="K1477" s="375"/>
      <c r="L1477" s="375"/>
      <c r="M1477" s="368"/>
      <c r="N1477" s="368"/>
      <c r="O1477" s="370"/>
      <c r="T1477" s="349"/>
      <c r="V1477" s="378"/>
      <c r="W1477" s="64" ph="1"/>
      <c r="X1477" s="241"/>
      <c r="Y1477" s="284"/>
      <c r="Z1477" s="207"/>
      <c r="AA1477" s="284"/>
      <c r="AB1477" s="284"/>
      <c r="AC1477" s="284"/>
      <c r="AD1477" s="284"/>
      <c r="AE1477" s="284"/>
      <c r="AF1477" s="284"/>
      <c r="AG1477" s="284"/>
      <c r="AI1477" s="131"/>
    </row>
    <row r="1478" spans="1:35" ht="26.4">
      <c r="A1478" s="284"/>
      <c r="B1478" s="284"/>
      <c r="C1478" s="284"/>
      <c r="D1478" s="284"/>
      <c r="E1478" s="284"/>
      <c r="F1478" s="284"/>
      <c r="G1478" s="284"/>
      <c r="H1478" s="284"/>
      <c r="I1478" s="284"/>
      <c r="J1478" s="375"/>
      <c r="K1478" s="375"/>
      <c r="L1478" s="375"/>
      <c r="M1478" s="368"/>
      <c r="N1478" s="368"/>
      <c r="O1478" s="370"/>
      <c r="T1478" s="349"/>
      <c r="V1478" s="378"/>
      <c r="W1478" s="64" ph="1"/>
      <c r="X1478" s="241"/>
      <c r="Y1478" s="284"/>
      <c r="Z1478" s="207"/>
      <c r="AA1478" s="284"/>
      <c r="AB1478" s="284"/>
      <c r="AC1478" s="284"/>
      <c r="AD1478" s="284"/>
      <c r="AE1478" s="284"/>
      <c r="AF1478" s="284"/>
      <c r="AG1478" s="284"/>
      <c r="AI1478" s="131"/>
    </row>
    <row r="1479" spans="1:35" ht="26.4">
      <c r="A1479" s="284"/>
      <c r="B1479" s="284"/>
      <c r="C1479" s="284"/>
      <c r="D1479" s="284"/>
      <c r="E1479" s="284"/>
      <c r="F1479" s="284"/>
      <c r="G1479" s="284"/>
      <c r="H1479" s="284"/>
      <c r="I1479" s="284"/>
      <c r="J1479" s="375"/>
      <c r="K1479" s="375"/>
      <c r="L1479" s="375"/>
      <c r="M1479" s="368"/>
      <c r="N1479" s="368"/>
      <c r="O1479" s="370"/>
      <c r="T1479" s="349"/>
      <c r="V1479" s="378"/>
      <c r="W1479" s="64" ph="1"/>
      <c r="X1479" s="241"/>
      <c r="Y1479" s="284"/>
      <c r="Z1479" s="207"/>
      <c r="AA1479" s="284"/>
      <c r="AB1479" s="284"/>
      <c r="AC1479" s="284"/>
      <c r="AD1479" s="284"/>
      <c r="AE1479" s="284"/>
      <c r="AF1479" s="284"/>
      <c r="AG1479" s="284"/>
      <c r="AI1479" s="131"/>
    </row>
    <row r="1480" spans="1:35" ht="26.4">
      <c r="A1480" s="284"/>
      <c r="B1480" s="284"/>
      <c r="C1480" s="284"/>
      <c r="D1480" s="284"/>
      <c r="E1480" s="284"/>
      <c r="F1480" s="284"/>
      <c r="G1480" s="284"/>
      <c r="H1480" s="284"/>
      <c r="I1480" s="284"/>
      <c r="J1480" s="375"/>
      <c r="K1480" s="375"/>
      <c r="L1480" s="375"/>
      <c r="M1480" s="368"/>
      <c r="N1480" s="368"/>
      <c r="O1480" s="370"/>
      <c r="T1480" s="349"/>
      <c r="V1480" s="378"/>
      <c r="W1480" s="64" ph="1"/>
      <c r="X1480" s="241"/>
      <c r="Y1480" s="284"/>
      <c r="Z1480" s="207"/>
      <c r="AA1480" s="284"/>
      <c r="AB1480" s="284"/>
      <c r="AC1480" s="284"/>
      <c r="AD1480" s="284"/>
      <c r="AE1480" s="284"/>
      <c r="AF1480" s="284"/>
      <c r="AG1480" s="284"/>
      <c r="AI1480" s="131"/>
    </row>
    <row r="1481" spans="1:35" ht="26.4">
      <c r="A1481" s="284"/>
      <c r="B1481" s="284"/>
      <c r="C1481" s="284"/>
      <c r="D1481" s="284"/>
      <c r="E1481" s="284"/>
      <c r="F1481" s="284"/>
      <c r="G1481" s="284"/>
      <c r="H1481" s="284"/>
      <c r="I1481" s="284"/>
      <c r="J1481" s="375"/>
      <c r="K1481" s="375"/>
      <c r="L1481" s="375"/>
      <c r="M1481" s="368"/>
      <c r="N1481" s="368"/>
      <c r="O1481" s="370"/>
      <c r="T1481" s="349"/>
      <c r="V1481" s="378"/>
      <c r="W1481" s="64" ph="1"/>
      <c r="X1481" s="241"/>
      <c r="Y1481" s="284"/>
      <c r="Z1481" s="207"/>
      <c r="AA1481" s="284"/>
      <c r="AB1481" s="284"/>
      <c r="AC1481" s="284"/>
      <c r="AD1481" s="284"/>
      <c r="AE1481" s="284"/>
      <c r="AF1481" s="284"/>
      <c r="AG1481" s="284"/>
      <c r="AI1481" s="131"/>
    </row>
    <row r="1482" spans="1:35" ht="26.4">
      <c r="A1482" s="284"/>
      <c r="B1482" s="284"/>
      <c r="C1482" s="284"/>
      <c r="D1482" s="284"/>
      <c r="E1482" s="284"/>
      <c r="F1482" s="284"/>
      <c r="G1482" s="284"/>
      <c r="H1482" s="284"/>
      <c r="I1482" s="284"/>
      <c r="J1482" s="375"/>
      <c r="K1482" s="375"/>
      <c r="L1482" s="375"/>
      <c r="M1482" s="368"/>
      <c r="N1482" s="368"/>
      <c r="O1482" s="370"/>
      <c r="T1482" s="349"/>
      <c r="V1482" s="378"/>
      <c r="W1482" s="64" ph="1"/>
      <c r="X1482" s="241"/>
      <c r="Y1482" s="284"/>
      <c r="Z1482" s="207"/>
      <c r="AA1482" s="284"/>
      <c r="AB1482" s="284"/>
      <c r="AC1482" s="284"/>
      <c r="AD1482" s="284"/>
      <c r="AE1482" s="284"/>
      <c r="AF1482" s="284"/>
      <c r="AG1482" s="284"/>
      <c r="AI1482" s="128"/>
    </row>
    <row r="1483" spans="1:35">
      <c r="AI1483" s="131"/>
    </row>
    <row r="1484" spans="1:35" ht="26.4">
      <c r="A1484" s="284"/>
      <c r="B1484" s="284"/>
      <c r="C1484" s="284"/>
      <c r="D1484" s="284"/>
      <c r="E1484" s="284"/>
      <c r="F1484" s="284"/>
      <c r="G1484" s="284"/>
      <c r="H1484" s="284"/>
      <c r="I1484" s="284"/>
      <c r="J1484" s="375"/>
      <c r="K1484" s="375"/>
      <c r="L1484" s="375"/>
      <c r="M1484" s="368"/>
      <c r="N1484" s="368"/>
      <c r="O1484" s="370"/>
      <c r="T1484" s="349"/>
      <c r="V1484" s="378"/>
      <c r="W1484" s="64" ph="1"/>
      <c r="X1484" s="241"/>
      <c r="Y1484" s="284"/>
      <c r="Z1484" s="207"/>
      <c r="AA1484" s="284"/>
      <c r="AB1484" s="284"/>
      <c r="AC1484" s="284"/>
      <c r="AD1484" s="284"/>
      <c r="AE1484" s="284"/>
      <c r="AF1484" s="284"/>
      <c r="AG1484" s="284"/>
      <c r="AI1484" s="131"/>
    </row>
    <row r="1485" spans="1:35" ht="26.4">
      <c r="A1485" s="284"/>
      <c r="B1485" s="284"/>
      <c r="C1485" s="284"/>
      <c r="D1485" s="284"/>
      <c r="E1485" s="284"/>
      <c r="F1485" s="284"/>
      <c r="G1485" s="284"/>
      <c r="H1485" s="284"/>
      <c r="I1485" s="284"/>
      <c r="J1485" s="375"/>
      <c r="K1485" s="375"/>
      <c r="L1485" s="375"/>
      <c r="M1485" s="368"/>
      <c r="N1485" s="368"/>
      <c r="O1485" s="370"/>
      <c r="T1485" s="349"/>
      <c r="V1485" s="378"/>
      <c r="W1485" s="64" ph="1"/>
      <c r="X1485" s="241"/>
      <c r="Y1485" s="284"/>
      <c r="Z1485" s="207"/>
      <c r="AA1485" s="284"/>
      <c r="AB1485" s="284"/>
      <c r="AC1485" s="284"/>
      <c r="AD1485" s="284"/>
      <c r="AE1485" s="284"/>
      <c r="AF1485" s="284"/>
      <c r="AG1485" s="284"/>
      <c r="AI1485" s="131"/>
    </row>
    <row r="1486" spans="1:35" ht="26.4">
      <c r="A1486" s="284"/>
      <c r="B1486" s="284"/>
      <c r="C1486" s="284"/>
      <c r="D1486" s="284"/>
      <c r="E1486" s="284"/>
      <c r="F1486" s="284"/>
      <c r="G1486" s="284"/>
      <c r="H1486" s="284"/>
      <c r="I1486" s="284"/>
      <c r="J1486" s="375"/>
      <c r="K1486" s="375"/>
      <c r="L1486" s="375"/>
      <c r="M1486" s="368"/>
      <c r="N1486" s="368"/>
      <c r="O1486" s="370"/>
      <c r="T1486" s="349"/>
      <c r="V1486" s="378"/>
      <c r="W1486" s="64" ph="1"/>
      <c r="X1486" s="241"/>
      <c r="Y1486" s="284"/>
      <c r="Z1486" s="207"/>
      <c r="AA1486" s="284"/>
      <c r="AB1486" s="284"/>
      <c r="AC1486" s="284"/>
      <c r="AD1486" s="284"/>
      <c r="AE1486" s="284"/>
      <c r="AF1486" s="284"/>
      <c r="AG1486" s="284"/>
      <c r="AI1486" s="131"/>
    </row>
    <row r="1487" spans="1:35" ht="26.4">
      <c r="A1487" s="284"/>
      <c r="B1487" s="284"/>
      <c r="C1487" s="284"/>
      <c r="D1487" s="284"/>
      <c r="E1487" s="284"/>
      <c r="F1487" s="284"/>
      <c r="G1487" s="284"/>
      <c r="H1487" s="284"/>
      <c r="I1487" s="284"/>
      <c r="J1487" s="375"/>
      <c r="K1487" s="375"/>
      <c r="L1487" s="375"/>
      <c r="M1487" s="368"/>
      <c r="N1487" s="368"/>
      <c r="O1487" s="370"/>
      <c r="T1487" s="349"/>
      <c r="V1487" s="378"/>
      <c r="W1487" s="64" ph="1"/>
      <c r="X1487" s="241"/>
      <c r="Y1487" s="284"/>
      <c r="Z1487" s="207"/>
      <c r="AA1487" s="284"/>
      <c r="AB1487" s="284"/>
      <c r="AC1487" s="284"/>
      <c r="AD1487" s="284"/>
      <c r="AE1487" s="284"/>
      <c r="AF1487" s="284"/>
      <c r="AG1487" s="284"/>
      <c r="AI1487" s="131"/>
    </row>
    <row r="1488" spans="1:35" ht="26.4">
      <c r="A1488" s="284"/>
      <c r="B1488" s="284"/>
      <c r="C1488" s="284"/>
      <c r="D1488" s="284"/>
      <c r="E1488" s="284"/>
      <c r="F1488" s="284"/>
      <c r="G1488" s="284"/>
      <c r="H1488" s="284"/>
      <c r="I1488" s="284"/>
      <c r="J1488" s="375"/>
      <c r="K1488" s="375"/>
      <c r="L1488" s="375"/>
      <c r="M1488" s="368"/>
      <c r="N1488" s="368"/>
      <c r="O1488" s="370"/>
      <c r="T1488" s="349"/>
      <c r="V1488" s="378"/>
      <c r="W1488" s="64" ph="1"/>
      <c r="X1488" s="241"/>
      <c r="Y1488" s="284"/>
      <c r="Z1488" s="207"/>
      <c r="AA1488" s="284"/>
      <c r="AB1488" s="284"/>
      <c r="AC1488" s="284"/>
      <c r="AD1488" s="284"/>
      <c r="AE1488" s="284"/>
      <c r="AF1488" s="284"/>
      <c r="AG1488" s="284"/>
      <c r="AI1488" s="131"/>
    </row>
    <row r="1489" spans="1:35" ht="26.4">
      <c r="A1489" s="284"/>
      <c r="B1489" s="284"/>
      <c r="C1489" s="284"/>
      <c r="D1489" s="284"/>
      <c r="E1489" s="284"/>
      <c r="F1489" s="284"/>
      <c r="G1489" s="284"/>
      <c r="H1489" s="284"/>
      <c r="I1489" s="284"/>
      <c r="J1489" s="375"/>
      <c r="K1489" s="375"/>
      <c r="L1489" s="375"/>
      <c r="M1489" s="368"/>
      <c r="N1489" s="368"/>
      <c r="O1489" s="370"/>
      <c r="T1489" s="349"/>
      <c r="V1489" s="378"/>
      <c r="W1489" s="64" ph="1"/>
      <c r="X1489" s="241"/>
      <c r="Y1489" s="284"/>
      <c r="Z1489" s="207"/>
      <c r="AA1489" s="284"/>
      <c r="AB1489" s="284"/>
      <c r="AC1489" s="284"/>
      <c r="AD1489" s="284"/>
      <c r="AE1489" s="284"/>
      <c r="AF1489" s="284"/>
      <c r="AG1489" s="284"/>
      <c r="AI1489" s="131"/>
    </row>
    <row r="1490" spans="1:35" ht="26.4">
      <c r="A1490" s="284"/>
      <c r="B1490" s="284"/>
      <c r="C1490" s="284"/>
      <c r="D1490" s="284"/>
      <c r="E1490" s="284"/>
      <c r="F1490" s="284"/>
      <c r="G1490" s="284"/>
      <c r="H1490" s="284"/>
      <c r="I1490" s="284"/>
      <c r="J1490" s="375"/>
      <c r="K1490" s="375"/>
      <c r="L1490" s="375"/>
      <c r="M1490" s="368"/>
      <c r="N1490" s="368"/>
      <c r="O1490" s="370"/>
      <c r="T1490" s="349"/>
      <c r="V1490" s="378"/>
      <c r="W1490" s="64" ph="1"/>
      <c r="X1490" s="241"/>
      <c r="Y1490" s="284"/>
      <c r="Z1490" s="207"/>
      <c r="AA1490" s="284"/>
      <c r="AB1490" s="284"/>
      <c r="AC1490" s="284"/>
      <c r="AD1490" s="284"/>
      <c r="AE1490" s="284"/>
      <c r="AF1490" s="284"/>
      <c r="AG1490" s="284"/>
      <c r="AI1490" s="131"/>
    </row>
    <row r="1491" spans="1:35" ht="26.4">
      <c r="A1491" s="284"/>
      <c r="B1491" s="284"/>
      <c r="C1491" s="284"/>
      <c r="D1491" s="284"/>
      <c r="E1491" s="284"/>
      <c r="F1491" s="284"/>
      <c r="G1491" s="284"/>
      <c r="H1491" s="284"/>
      <c r="I1491" s="284"/>
      <c r="J1491" s="375"/>
      <c r="K1491" s="375"/>
      <c r="L1491" s="375"/>
      <c r="M1491" s="368"/>
      <c r="N1491" s="368"/>
      <c r="O1491" s="370"/>
      <c r="T1491" s="349"/>
      <c r="V1491" s="378"/>
      <c r="W1491" s="64" ph="1"/>
      <c r="X1491" s="241"/>
      <c r="Y1491" s="284"/>
      <c r="Z1491" s="207"/>
      <c r="AA1491" s="284"/>
      <c r="AB1491" s="284"/>
      <c r="AC1491" s="284"/>
      <c r="AD1491" s="284"/>
      <c r="AE1491" s="284"/>
      <c r="AF1491" s="284"/>
      <c r="AG1491" s="284"/>
      <c r="AI1491" s="131"/>
    </row>
    <row r="1492" spans="1:35">
      <c r="O1492" s="370"/>
      <c r="AI1492" s="131"/>
    </row>
    <row r="1493" spans="1:35" ht="26.4">
      <c r="A1493" s="284"/>
      <c r="B1493" s="284"/>
      <c r="C1493" s="284"/>
      <c r="D1493" s="284"/>
      <c r="E1493" s="284"/>
      <c r="F1493" s="284"/>
      <c r="G1493" s="284"/>
      <c r="H1493" s="284"/>
      <c r="I1493" s="284"/>
      <c r="J1493" s="375"/>
      <c r="K1493" s="375"/>
      <c r="L1493" s="375"/>
      <c r="M1493" s="368"/>
      <c r="N1493" s="368"/>
      <c r="O1493" s="370"/>
      <c r="T1493" s="349"/>
      <c r="V1493" s="378"/>
      <c r="W1493" s="64" ph="1"/>
      <c r="X1493" s="241"/>
      <c r="Y1493" s="284"/>
      <c r="Z1493" s="207"/>
      <c r="AA1493" s="284"/>
      <c r="AB1493" s="284"/>
      <c r="AC1493" s="284"/>
      <c r="AD1493" s="284"/>
      <c r="AE1493" s="284"/>
      <c r="AF1493" s="284"/>
      <c r="AG1493" s="284"/>
      <c r="AI1493" s="131"/>
    </row>
    <row r="1494" spans="1:35" ht="26.4">
      <c r="A1494" s="284"/>
      <c r="B1494" s="284"/>
      <c r="C1494" s="284"/>
      <c r="D1494" s="284"/>
      <c r="E1494" s="284"/>
      <c r="F1494" s="284"/>
      <c r="G1494" s="284"/>
      <c r="H1494" s="284"/>
      <c r="I1494" s="284"/>
      <c r="J1494" s="375"/>
      <c r="K1494" s="375"/>
      <c r="L1494" s="375"/>
      <c r="M1494" s="368"/>
      <c r="N1494" s="368"/>
      <c r="O1494" s="370"/>
      <c r="T1494" s="349"/>
      <c r="V1494" s="378"/>
      <c r="W1494" s="64" ph="1"/>
      <c r="X1494" s="241"/>
      <c r="Y1494" s="284"/>
      <c r="Z1494" s="207"/>
      <c r="AA1494" s="284"/>
      <c r="AB1494" s="284"/>
      <c r="AC1494" s="284"/>
      <c r="AD1494" s="284"/>
      <c r="AE1494" s="284"/>
      <c r="AF1494" s="284"/>
      <c r="AG1494" s="284"/>
      <c r="AI1494" s="131"/>
    </row>
    <row r="1495" spans="1:35" ht="26.4">
      <c r="A1495" s="284"/>
      <c r="B1495" s="284"/>
      <c r="C1495" s="284"/>
      <c r="D1495" s="284"/>
      <c r="E1495" s="284"/>
      <c r="F1495" s="284"/>
      <c r="G1495" s="284"/>
      <c r="H1495" s="284"/>
      <c r="I1495" s="284"/>
      <c r="J1495" s="375"/>
      <c r="K1495" s="375"/>
      <c r="L1495" s="375"/>
      <c r="M1495" s="368"/>
      <c r="N1495" s="368"/>
      <c r="T1495" s="349"/>
      <c r="V1495" s="378"/>
      <c r="W1495" s="64" ph="1"/>
      <c r="X1495" s="241"/>
      <c r="Y1495" s="284"/>
      <c r="Z1495" s="207"/>
      <c r="AA1495" s="284"/>
      <c r="AB1495" s="284"/>
      <c r="AC1495" s="284"/>
      <c r="AD1495" s="284"/>
      <c r="AE1495" s="284"/>
      <c r="AF1495" s="284"/>
      <c r="AG1495" s="284"/>
      <c r="AI1495" s="131"/>
    </row>
    <row r="1496" spans="1:35" ht="26.4">
      <c r="A1496" s="284"/>
      <c r="B1496" s="284"/>
      <c r="C1496" s="284"/>
      <c r="D1496" s="284"/>
      <c r="E1496" s="284"/>
      <c r="F1496" s="284"/>
      <c r="G1496" s="284"/>
      <c r="H1496" s="284"/>
      <c r="I1496" s="284"/>
      <c r="J1496" s="375"/>
      <c r="K1496" s="375"/>
      <c r="L1496" s="375"/>
      <c r="M1496" s="368"/>
      <c r="N1496" s="368"/>
      <c r="O1496" s="370"/>
      <c r="T1496" s="349"/>
      <c r="V1496" s="378"/>
      <c r="W1496" s="64" ph="1"/>
      <c r="X1496" s="241"/>
      <c r="Y1496" s="284"/>
      <c r="Z1496" s="207"/>
      <c r="AA1496" s="284"/>
      <c r="AB1496" s="284"/>
      <c r="AC1496" s="284"/>
      <c r="AD1496" s="284"/>
      <c r="AE1496" s="284"/>
      <c r="AF1496" s="284"/>
      <c r="AG1496" s="284"/>
      <c r="AI1496" s="284"/>
    </row>
    <row r="1497" spans="1:35" ht="26.4">
      <c r="A1497" s="284"/>
      <c r="B1497" s="284"/>
      <c r="C1497" s="284"/>
      <c r="D1497" s="284"/>
      <c r="E1497" s="284"/>
      <c r="F1497" s="284"/>
      <c r="G1497" s="284"/>
      <c r="H1497" s="284"/>
      <c r="I1497" s="284"/>
      <c r="J1497" s="375"/>
      <c r="K1497" s="375"/>
      <c r="L1497" s="375"/>
      <c r="M1497" s="368"/>
      <c r="N1497" s="368"/>
      <c r="O1497" s="370"/>
      <c r="T1497" s="349"/>
      <c r="V1497" s="378"/>
      <c r="W1497" s="64" ph="1"/>
      <c r="X1497" s="241"/>
      <c r="Y1497" s="284"/>
      <c r="Z1497" s="207"/>
      <c r="AA1497" s="284"/>
      <c r="AB1497" s="284"/>
      <c r="AC1497" s="284"/>
      <c r="AD1497" s="284"/>
      <c r="AE1497" s="284"/>
      <c r="AF1497" s="284"/>
      <c r="AG1497" s="284"/>
      <c r="AI1497" s="131"/>
    </row>
    <row r="1498" spans="1:35" ht="26.4">
      <c r="A1498" s="284"/>
      <c r="B1498" s="284"/>
      <c r="C1498" s="284"/>
      <c r="D1498" s="284"/>
      <c r="E1498" s="284"/>
      <c r="F1498" s="284"/>
      <c r="G1498" s="284"/>
      <c r="H1498" s="284"/>
      <c r="I1498" s="284"/>
      <c r="J1498" s="375"/>
      <c r="K1498" s="375"/>
      <c r="L1498" s="375"/>
      <c r="M1498" s="368"/>
      <c r="N1498" s="368"/>
      <c r="O1498" s="370"/>
      <c r="T1498" s="349"/>
      <c r="V1498" s="378"/>
      <c r="W1498" s="64" ph="1"/>
      <c r="X1498" s="241"/>
      <c r="Y1498" s="284"/>
      <c r="Z1498" s="207"/>
      <c r="AA1498" s="284"/>
      <c r="AB1498" s="284"/>
      <c r="AC1498" s="284"/>
      <c r="AD1498" s="284"/>
      <c r="AE1498" s="284"/>
      <c r="AF1498" s="284"/>
      <c r="AG1498" s="284"/>
      <c r="AI1498" s="131"/>
    </row>
    <row r="1499" spans="1:35" ht="26.4">
      <c r="A1499" s="284"/>
      <c r="B1499" s="284"/>
      <c r="C1499" s="284"/>
      <c r="D1499" s="284"/>
      <c r="E1499" s="284"/>
      <c r="F1499" s="284"/>
      <c r="G1499" s="284"/>
      <c r="H1499" s="284"/>
      <c r="I1499" s="284"/>
      <c r="J1499" s="375"/>
      <c r="K1499" s="375"/>
      <c r="L1499" s="375"/>
      <c r="M1499" s="368"/>
      <c r="N1499" s="368"/>
      <c r="O1499" s="370"/>
      <c r="T1499" s="349"/>
      <c r="V1499" s="378"/>
      <c r="W1499" s="64" ph="1"/>
      <c r="X1499" s="241"/>
      <c r="Y1499" s="284"/>
      <c r="Z1499" s="207"/>
      <c r="AA1499" s="284"/>
      <c r="AB1499" s="284"/>
      <c r="AC1499" s="284"/>
      <c r="AD1499" s="284"/>
      <c r="AE1499" s="284"/>
      <c r="AF1499" s="284"/>
      <c r="AG1499" s="284"/>
      <c r="AI1499" s="131"/>
    </row>
    <row r="1500" spans="1:35" ht="26.4">
      <c r="A1500" s="284"/>
      <c r="B1500" s="284"/>
      <c r="C1500" s="284"/>
      <c r="D1500" s="284"/>
      <c r="E1500" s="284"/>
      <c r="F1500" s="284"/>
      <c r="G1500" s="284"/>
      <c r="H1500" s="284"/>
      <c r="I1500" s="284"/>
      <c r="J1500" s="375"/>
      <c r="K1500" s="375"/>
      <c r="L1500" s="375"/>
      <c r="M1500" s="368"/>
      <c r="N1500" s="368"/>
      <c r="O1500" s="370"/>
      <c r="T1500" s="349"/>
      <c r="V1500" s="378"/>
      <c r="W1500" s="64" ph="1"/>
      <c r="X1500" s="241"/>
      <c r="Y1500" s="284"/>
      <c r="Z1500" s="207"/>
      <c r="AA1500" s="284"/>
      <c r="AB1500" s="284"/>
      <c r="AC1500" s="284"/>
      <c r="AD1500" s="284"/>
      <c r="AE1500" s="284"/>
      <c r="AF1500" s="284"/>
      <c r="AG1500" s="284"/>
      <c r="AI1500" s="131"/>
    </row>
    <row r="1501" spans="1:35" ht="26.4">
      <c r="A1501" s="284"/>
      <c r="B1501" s="284"/>
      <c r="C1501" s="284"/>
      <c r="D1501" s="284"/>
      <c r="E1501" s="284"/>
      <c r="F1501" s="284"/>
      <c r="G1501" s="284"/>
      <c r="H1501" s="284"/>
      <c r="I1501" s="284"/>
      <c r="J1501" s="375"/>
      <c r="K1501" s="375"/>
      <c r="L1501" s="375"/>
      <c r="M1501" s="368"/>
      <c r="N1501" s="368"/>
      <c r="O1501" s="370"/>
      <c r="T1501" s="349"/>
      <c r="V1501" s="378"/>
      <c r="W1501" s="64" ph="1"/>
      <c r="X1501" s="241"/>
      <c r="Y1501" s="284"/>
      <c r="Z1501" s="207"/>
      <c r="AA1501" s="284"/>
      <c r="AB1501" s="284"/>
      <c r="AC1501" s="284"/>
      <c r="AD1501" s="284"/>
      <c r="AE1501" s="284"/>
      <c r="AF1501" s="284"/>
      <c r="AG1501" s="284"/>
      <c r="AI1501" s="131"/>
    </row>
    <row r="1502" spans="1:35" ht="26.4">
      <c r="A1502" s="284"/>
      <c r="B1502" s="284"/>
      <c r="C1502" s="284"/>
      <c r="D1502" s="284"/>
      <c r="E1502" s="284"/>
      <c r="F1502" s="284"/>
      <c r="G1502" s="284"/>
      <c r="H1502" s="284"/>
      <c r="I1502" s="284"/>
      <c r="J1502" s="375"/>
      <c r="K1502" s="375"/>
      <c r="L1502" s="375"/>
      <c r="M1502" s="368"/>
      <c r="N1502" s="368"/>
      <c r="O1502" s="370"/>
      <c r="T1502" s="349"/>
      <c r="V1502" s="378"/>
      <c r="W1502" s="64" ph="1"/>
      <c r="X1502" s="241"/>
      <c r="Y1502" s="284"/>
      <c r="Z1502" s="207"/>
      <c r="AA1502" s="284"/>
      <c r="AB1502" s="284"/>
      <c r="AC1502" s="284"/>
      <c r="AD1502" s="284"/>
      <c r="AE1502" s="284"/>
      <c r="AF1502" s="284"/>
      <c r="AG1502" s="284"/>
      <c r="AI1502" s="131"/>
    </row>
    <row r="1503" spans="1:35" ht="26.4">
      <c r="A1503" s="284"/>
      <c r="B1503" s="284"/>
      <c r="C1503" s="284"/>
      <c r="D1503" s="284"/>
      <c r="E1503" s="284"/>
      <c r="F1503" s="284"/>
      <c r="G1503" s="284"/>
      <c r="H1503" s="284"/>
      <c r="I1503" s="284"/>
      <c r="J1503" s="375"/>
      <c r="K1503" s="375"/>
      <c r="L1503" s="375"/>
      <c r="M1503" s="368"/>
      <c r="N1503" s="368"/>
      <c r="O1503" s="370"/>
      <c r="T1503" s="349"/>
      <c r="V1503" s="378"/>
      <c r="W1503" s="64" ph="1"/>
      <c r="X1503" s="241"/>
      <c r="Y1503" s="284"/>
      <c r="Z1503" s="207"/>
      <c r="AA1503" s="284"/>
      <c r="AB1503" s="284"/>
      <c r="AC1503" s="284"/>
      <c r="AD1503" s="284"/>
      <c r="AE1503" s="284"/>
      <c r="AF1503" s="284"/>
      <c r="AG1503" s="284"/>
      <c r="AI1503" s="131"/>
    </row>
    <row r="1504" spans="1:35" ht="26.4">
      <c r="A1504" s="284"/>
      <c r="B1504" s="284"/>
      <c r="C1504" s="284"/>
      <c r="D1504" s="284"/>
      <c r="E1504" s="284"/>
      <c r="F1504" s="284"/>
      <c r="G1504" s="284"/>
      <c r="H1504" s="284"/>
      <c r="I1504" s="284"/>
      <c r="J1504" s="375"/>
      <c r="K1504" s="375"/>
      <c r="L1504" s="375"/>
      <c r="M1504" s="368"/>
      <c r="N1504" s="368"/>
      <c r="T1504" s="349"/>
      <c r="V1504" s="378"/>
      <c r="W1504" s="64" ph="1"/>
      <c r="X1504" s="241"/>
      <c r="Y1504" s="284"/>
      <c r="Z1504" s="207"/>
      <c r="AA1504" s="284"/>
      <c r="AB1504" s="284"/>
      <c r="AC1504" s="284"/>
      <c r="AD1504" s="284"/>
      <c r="AE1504" s="284"/>
      <c r="AF1504" s="284"/>
      <c r="AG1504" s="284"/>
      <c r="AI1504" s="131"/>
    </row>
    <row r="1505" spans="1:35" ht="26.4">
      <c r="A1505" s="284"/>
      <c r="B1505" s="284"/>
      <c r="C1505" s="284"/>
      <c r="D1505" s="284"/>
      <c r="E1505" s="284"/>
      <c r="F1505" s="284"/>
      <c r="G1505" s="284"/>
      <c r="H1505" s="284"/>
      <c r="I1505" s="284"/>
      <c r="J1505" s="375"/>
      <c r="K1505" s="375"/>
      <c r="L1505" s="375"/>
      <c r="M1505" s="368"/>
      <c r="N1505" s="368"/>
      <c r="O1505" s="370"/>
      <c r="T1505" s="349"/>
      <c r="V1505" s="378"/>
      <c r="W1505" s="64" ph="1"/>
      <c r="X1505" s="241"/>
      <c r="Y1505" s="284"/>
      <c r="Z1505" s="207"/>
      <c r="AA1505" s="284"/>
      <c r="AB1505" s="284"/>
      <c r="AC1505" s="284"/>
      <c r="AD1505" s="284"/>
      <c r="AE1505" s="284"/>
      <c r="AF1505" s="284"/>
      <c r="AG1505" s="284"/>
      <c r="AI1505" s="131"/>
    </row>
    <row r="1506" spans="1:35" ht="26.4">
      <c r="A1506" s="284"/>
      <c r="B1506" s="284"/>
      <c r="C1506" s="284"/>
      <c r="D1506" s="284"/>
      <c r="E1506" s="284"/>
      <c r="F1506" s="284"/>
      <c r="G1506" s="284"/>
      <c r="H1506" s="284"/>
      <c r="I1506" s="284"/>
      <c r="J1506" s="375"/>
      <c r="K1506" s="375"/>
      <c r="L1506" s="375"/>
      <c r="M1506" s="368"/>
      <c r="N1506" s="368"/>
      <c r="O1506" s="370"/>
      <c r="T1506" s="349"/>
      <c r="V1506" s="378"/>
      <c r="W1506" s="64" ph="1"/>
      <c r="X1506" s="241"/>
      <c r="Y1506" s="284"/>
      <c r="Z1506" s="207"/>
      <c r="AA1506" s="284"/>
      <c r="AB1506" s="284"/>
      <c r="AC1506" s="284"/>
      <c r="AD1506" s="284"/>
      <c r="AE1506" s="284"/>
      <c r="AF1506" s="284"/>
      <c r="AG1506" s="284"/>
      <c r="AI1506" s="131"/>
    </row>
    <row r="1507" spans="1:35" ht="26.4">
      <c r="A1507" s="284"/>
      <c r="B1507" s="284"/>
      <c r="C1507" s="284"/>
      <c r="D1507" s="284"/>
      <c r="E1507" s="284"/>
      <c r="F1507" s="284"/>
      <c r="G1507" s="284"/>
      <c r="H1507" s="284"/>
      <c r="I1507" s="284"/>
      <c r="J1507" s="375"/>
      <c r="K1507" s="375"/>
      <c r="L1507" s="375"/>
      <c r="M1507" s="368"/>
      <c r="N1507" s="368"/>
      <c r="O1507" s="370"/>
      <c r="T1507" s="349"/>
      <c r="V1507" s="378"/>
      <c r="W1507" s="64" ph="1"/>
      <c r="X1507" s="241"/>
      <c r="Y1507" s="284"/>
      <c r="Z1507" s="207"/>
      <c r="AA1507" s="284"/>
      <c r="AB1507" s="284"/>
      <c r="AC1507" s="284"/>
      <c r="AD1507" s="284"/>
      <c r="AE1507" s="284"/>
      <c r="AF1507" s="284"/>
      <c r="AG1507" s="284"/>
      <c r="AI1507" s="131"/>
    </row>
    <row r="1508" spans="1:35" ht="26.4">
      <c r="A1508" s="284"/>
      <c r="B1508" s="284"/>
      <c r="C1508" s="284"/>
      <c r="D1508" s="284"/>
      <c r="E1508" s="284"/>
      <c r="F1508" s="284"/>
      <c r="G1508" s="284"/>
      <c r="H1508" s="284"/>
      <c r="I1508" s="284"/>
      <c r="J1508" s="375"/>
      <c r="K1508" s="375"/>
      <c r="L1508" s="375"/>
      <c r="M1508" s="368"/>
      <c r="N1508" s="368"/>
      <c r="O1508" s="370"/>
      <c r="T1508" s="349"/>
      <c r="V1508" s="378"/>
      <c r="W1508" s="64" ph="1"/>
      <c r="X1508" s="241"/>
      <c r="Y1508" s="284"/>
      <c r="Z1508" s="207"/>
      <c r="AA1508" s="284"/>
      <c r="AB1508" s="284"/>
      <c r="AC1508" s="284"/>
      <c r="AD1508" s="284"/>
      <c r="AE1508" s="284"/>
      <c r="AF1508" s="284"/>
      <c r="AG1508" s="284"/>
      <c r="AI1508" s="131"/>
    </row>
    <row r="1509" spans="1:35" ht="26.4">
      <c r="A1509" s="284"/>
      <c r="B1509" s="284"/>
      <c r="C1509" s="284"/>
      <c r="D1509" s="284"/>
      <c r="E1509" s="284"/>
      <c r="F1509" s="284"/>
      <c r="G1509" s="284"/>
      <c r="H1509" s="284"/>
      <c r="I1509" s="284"/>
      <c r="J1509" s="375"/>
      <c r="K1509" s="375"/>
      <c r="L1509" s="375"/>
      <c r="M1509" s="368"/>
      <c r="N1509" s="368"/>
      <c r="O1509" s="370"/>
      <c r="T1509" s="349"/>
      <c r="V1509" s="378"/>
      <c r="W1509" s="64" ph="1"/>
      <c r="X1509" s="241"/>
      <c r="Y1509" s="284"/>
      <c r="Z1509" s="207"/>
      <c r="AA1509" s="284"/>
      <c r="AB1509" s="284"/>
      <c r="AC1509" s="284"/>
      <c r="AD1509" s="284"/>
      <c r="AE1509" s="284"/>
      <c r="AF1509" s="284"/>
      <c r="AG1509" s="284"/>
      <c r="AI1509" s="131"/>
    </row>
    <row r="1510" spans="1:35" ht="26.4">
      <c r="A1510" s="284"/>
      <c r="B1510" s="284"/>
      <c r="C1510" s="284"/>
      <c r="D1510" s="284"/>
      <c r="E1510" s="284"/>
      <c r="F1510" s="284"/>
      <c r="G1510" s="284"/>
      <c r="H1510" s="284"/>
      <c r="I1510" s="284"/>
      <c r="J1510" s="375"/>
      <c r="K1510" s="375"/>
      <c r="L1510" s="375"/>
      <c r="M1510" s="368"/>
      <c r="N1510" s="368"/>
      <c r="O1510" s="370"/>
      <c r="T1510" s="349"/>
      <c r="V1510" s="378"/>
      <c r="W1510" s="64" ph="1"/>
      <c r="X1510" s="241"/>
      <c r="Y1510" s="284"/>
      <c r="Z1510" s="207"/>
      <c r="AA1510" s="284"/>
      <c r="AB1510" s="284"/>
      <c r="AC1510" s="284"/>
      <c r="AD1510" s="284"/>
      <c r="AE1510" s="284"/>
      <c r="AF1510" s="284"/>
      <c r="AG1510" s="284"/>
      <c r="AI1510" s="131"/>
    </row>
    <row r="1511" spans="1:35" ht="26.4">
      <c r="A1511" s="284"/>
      <c r="B1511" s="284"/>
      <c r="C1511" s="284"/>
      <c r="D1511" s="284"/>
      <c r="E1511" s="284"/>
      <c r="F1511" s="284"/>
      <c r="G1511" s="284"/>
      <c r="H1511" s="284"/>
      <c r="I1511" s="284"/>
      <c r="J1511" s="375"/>
      <c r="K1511" s="375"/>
      <c r="L1511" s="375"/>
      <c r="M1511" s="368"/>
      <c r="N1511" s="368"/>
      <c r="O1511" s="370"/>
      <c r="T1511" s="349"/>
      <c r="V1511" s="378"/>
      <c r="W1511" s="64" ph="1"/>
      <c r="X1511" s="241"/>
      <c r="Y1511" s="284"/>
      <c r="Z1511" s="207"/>
      <c r="AA1511" s="284"/>
      <c r="AB1511" s="284"/>
      <c r="AC1511" s="284"/>
      <c r="AD1511" s="284"/>
      <c r="AE1511" s="284"/>
      <c r="AF1511" s="284"/>
      <c r="AG1511" s="284"/>
      <c r="AI1511" s="28"/>
    </row>
    <row r="1512" spans="1:35" ht="26.4">
      <c r="A1512" s="284"/>
      <c r="B1512" s="284"/>
      <c r="C1512" s="284"/>
      <c r="D1512" s="284"/>
      <c r="E1512" s="284"/>
      <c r="F1512" s="284"/>
      <c r="G1512" s="284"/>
      <c r="H1512" s="284"/>
      <c r="I1512" s="284"/>
      <c r="J1512" s="375"/>
      <c r="K1512" s="375"/>
      <c r="L1512" s="375"/>
      <c r="M1512" s="368"/>
      <c r="N1512" s="368"/>
      <c r="O1512" s="370"/>
      <c r="T1512" s="349"/>
      <c r="V1512" s="378"/>
      <c r="W1512" s="64" ph="1"/>
      <c r="X1512" s="241"/>
      <c r="Y1512" s="284"/>
      <c r="Z1512" s="207"/>
      <c r="AA1512" s="284"/>
      <c r="AB1512" s="284"/>
      <c r="AC1512" s="284"/>
      <c r="AD1512" s="284"/>
      <c r="AE1512" s="284"/>
      <c r="AF1512" s="284"/>
      <c r="AG1512" s="284"/>
      <c r="AI1512" s="131"/>
    </row>
    <row r="1513" spans="1:35" ht="26.4">
      <c r="A1513" s="284"/>
      <c r="B1513" s="284"/>
      <c r="C1513" s="284"/>
      <c r="D1513" s="284"/>
      <c r="E1513" s="284"/>
      <c r="F1513" s="284"/>
      <c r="G1513" s="284"/>
      <c r="H1513" s="284"/>
      <c r="I1513" s="284"/>
      <c r="J1513" s="375"/>
      <c r="K1513" s="375"/>
      <c r="L1513" s="375"/>
      <c r="M1513" s="368"/>
      <c r="N1513" s="368"/>
      <c r="O1513" s="370"/>
      <c r="T1513" s="349"/>
      <c r="V1513" s="378"/>
      <c r="W1513" s="64" ph="1"/>
      <c r="X1513" s="241"/>
      <c r="Y1513" s="284"/>
      <c r="Z1513" s="207"/>
      <c r="AA1513" s="284"/>
      <c r="AB1513" s="284"/>
      <c r="AC1513" s="284"/>
      <c r="AD1513" s="284"/>
      <c r="AE1513" s="284"/>
      <c r="AF1513" s="284"/>
      <c r="AG1513" s="284"/>
      <c r="AI1513" s="131"/>
    </row>
    <row r="1514" spans="1:35" ht="26.4">
      <c r="A1514" s="284"/>
      <c r="B1514" s="284"/>
      <c r="C1514" s="284"/>
      <c r="D1514" s="284"/>
      <c r="E1514" s="284"/>
      <c r="F1514" s="284"/>
      <c r="G1514" s="284"/>
      <c r="H1514" s="284"/>
      <c r="I1514" s="284"/>
      <c r="J1514" s="375"/>
      <c r="K1514" s="375"/>
      <c r="L1514" s="375"/>
      <c r="M1514" s="368"/>
      <c r="N1514" s="368"/>
      <c r="O1514" s="370"/>
      <c r="T1514" s="349"/>
      <c r="V1514" s="378"/>
      <c r="W1514" s="64" ph="1"/>
      <c r="X1514" s="241"/>
      <c r="Y1514" s="284"/>
      <c r="Z1514" s="207"/>
      <c r="AA1514" s="284"/>
      <c r="AB1514" s="284"/>
      <c r="AC1514" s="284"/>
      <c r="AD1514" s="284"/>
      <c r="AE1514" s="284"/>
      <c r="AF1514" s="284"/>
      <c r="AG1514" s="284"/>
      <c r="AI1514" s="131"/>
    </row>
    <row r="1515" spans="1:35" ht="26.4">
      <c r="A1515" s="284"/>
      <c r="B1515" s="284"/>
      <c r="C1515" s="284"/>
      <c r="D1515" s="284"/>
      <c r="E1515" s="284"/>
      <c r="F1515" s="284"/>
      <c r="G1515" s="284"/>
      <c r="H1515" s="284"/>
      <c r="I1515" s="284"/>
      <c r="J1515" s="375"/>
      <c r="K1515" s="375"/>
      <c r="L1515" s="375"/>
      <c r="M1515" s="368"/>
      <c r="N1515" s="368"/>
      <c r="O1515" s="370"/>
      <c r="T1515" s="349"/>
      <c r="V1515" s="378"/>
      <c r="W1515" s="64" ph="1"/>
      <c r="X1515" s="241"/>
      <c r="Y1515" s="284"/>
      <c r="Z1515" s="207"/>
      <c r="AA1515" s="284"/>
      <c r="AB1515" s="284"/>
      <c r="AC1515" s="284"/>
      <c r="AD1515" s="284"/>
      <c r="AE1515" s="284"/>
      <c r="AF1515" s="284"/>
      <c r="AG1515" s="284"/>
      <c r="AI1515" s="131"/>
    </row>
    <row r="1516" spans="1:35" ht="26.4">
      <c r="A1516" s="284"/>
      <c r="B1516" s="284"/>
      <c r="C1516" s="284"/>
      <c r="D1516" s="284"/>
      <c r="E1516" s="284"/>
      <c r="F1516" s="284"/>
      <c r="G1516" s="284"/>
      <c r="H1516" s="284"/>
      <c r="I1516" s="284"/>
      <c r="J1516" s="375"/>
      <c r="K1516" s="375"/>
      <c r="L1516" s="375"/>
      <c r="M1516" s="368"/>
      <c r="N1516" s="368"/>
      <c r="O1516" s="370"/>
      <c r="T1516" s="349"/>
      <c r="V1516" s="378"/>
      <c r="W1516" s="64" ph="1"/>
      <c r="X1516" s="241"/>
      <c r="Y1516" s="284"/>
      <c r="Z1516" s="207"/>
      <c r="AA1516" s="284"/>
      <c r="AB1516" s="284"/>
      <c r="AC1516" s="284"/>
      <c r="AD1516" s="284"/>
      <c r="AE1516" s="284"/>
      <c r="AF1516" s="284"/>
      <c r="AG1516" s="284"/>
      <c r="AI1516" s="131"/>
    </row>
    <row r="1517" spans="1:35" ht="26.4">
      <c r="A1517" s="284"/>
      <c r="B1517" s="284"/>
      <c r="C1517" s="284"/>
      <c r="D1517" s="284"/>
      <c r="E1517" s="284"/>
      <c r="F1517" s="284"/>
      <c r="G1517" s="284"/>
      <c r="H1517" s="284"/>
      <c r="I1517" s="284"/>
      <c r="J1517" s="375"/>
      <c r="K1517" s="375"/>
      <c r="L1517" s="375"/>
      <c r="M1517" s="368"/>
      <c r="N1517" s="368"/>
      <c r="O1517" s="370"/>
      <c r="T1517" s="349"/>
      <c r="V1517" s="378"/>
      <c r="W1517" s="64" ph="1"/>
      <c r="X1517" s="241"/>
      <c r="Y1517" s="284"/>
      <c r="Z1517" s="207"/>
      <c r="AA1517" s="284"/>
      <c r="AB1517" s="284"/>
      <c r="AC1517" s="284"/>
      <c r="AD1517" s="284"/>
      <c r="AE1517" s="284"/>
      <c r="AF1517" s="284"/>
      <c r="AG1517" s="284"/>
      <c r="AI1517" s="131"/>
    </row>
    <row r="1518" spans="1:35" ht="26.4">
      <c r="A1518" s="284"/>
      <c r="B1518" s="284"/>
      <c r="C1518" s="284"/>
      <c r="D1518" s="284"/>
      <c r="E1518" s="284"/>
      <c r="F1518" s="284"/>
      <c r="G1518" s="284"/>
      <c r="H1518" s="284"/>
      <c r="I1518" s="284"/>
      <c r="J1518" s="375"/>
      <c r="K1518" s="375"/>
      <c r="L1518" s="375"/>
      <c r="M1518" s="368"/>
      <c r="N1518" s="368"/>
      <c r="O1518" s="370"/>
      <c r="T1518" s="349"/>
      <c r="V1518" s="378"/>
      <c r="W1518" s="64" ph="1"/>
      <c r="X1518" s="241"/>
      <c r="Y1518" s="284"/>
      <c r="Z1518" s="207"/>
      <c r="AA1518" s="284"/>
      <c r="AB1518" s="284"/>
      <c r="AC1518" s="284"/>
      <c r="AD1518" s="284"/>
      <c r="AE1518" s="284"/>
      <c r="AF1518" s="284"/>
      <c r="AG1518" s="284"/>
      <c r="AI1518" s="131"/>
    </row>
    <row r="1519" spans="1:35" ht="26.4">
      <c r="A1519" s="284"/>
      <c r="B1519" s="284"/>
      <c r="C1519" s="284"/>
      <c r="D1519" s="284"/>
      <c r="E1519" s="284"/>
      <c r="F1519" s="284"/>
      <c r="G1519" s="284"/>
      <c r="H1519" s="284"/>
      <c r="I1519" s="284"/>
      <c r="J1519" s="375"/>
      <c r="K1519" s="375"/>
      <c r="L1519" s="375"/>
      <c r="M1519" s="368"/>
      <c r="N1519" s="368"/>
      <c r="O1519" s="370"/>
      <c r="T1519" s="349"/>
      <c r="V1519" s="378"/>
      <c r="W1519" s="64" ph="1"/>
      <c r="X1519" s="241"/>
      <c r="Y1519" s="284"/>
      <c r="Z1519" s="207"/>
      <c r="AA1519" s="284"/>
      <c r="AB1519" s="284"/>
      <c r="AC1519" s="284"/>
      <c r="AD1519" s="284"/>
      <c r="AE1519" s="284"/>
      <c r="AF1519" s="284"/>
      <c r="AG1519" s="284"/>
      <c r="AI1519" s="131"/>
    </row>
    <row r="1520" spans="1:35" ht="26.4">
      <c r="A1520" s="284"/>
      <c r="B1520" s="284"/>
      <c r="C1520" s="284"/>
      <c r="D1520" s="284"/>
      <c r="E1520" s="284"/>
      <c r="F1520" s="284"/>
      <c r="G1520" s="284"/>
      <c r="H1520" s="284"/>
      <c r="I1520" s="284"/>
      <c r="J1520" s="375"/>
      <c r="K1520" s="375"/>
      <c r="L1520" s="375"/>
      <c r="M1520" s="368"/>
      <c r="N1520" s="368"/>
      <c r="O1520" s="370"/>
      <c r="T1520" s="349"/>
      <c r="V1520" s="378"/>
      <c r="W1520" s="64" ph="1"/>
      <c r="X1520" s="241"/>
      <c r="Y1520" s="284"/>
      <c r="Z1520" s="207"/>
      <c r="AA1520" s="284"/>
      <c r="AB1520" s="284"/>
      <c r="AC1520" s="284"/>
      <c r="AD1520" s="284"/>
      <c r="AE1520" s="284"/>
      <c r="AF1520" s="284"/>
      <c r="AG1520" s="284"/>
      <c r="AI1520" s="131"/>
    </row>
    <row r="1521" spans="1:35" ht="26.4">
      <c r="A1521" s="284"/>
      <c r="B1521" s="284"/>
      <c r="C1521" s="284"/>
      <c r="D1521" s="284"/>
      <c r="E1521" s="284"/>
      <c r="F1521" s="284"/>
      <c r="G1521" s="284"/>
      <c r="H1521" s="284"/>
      <c r="I1521" s="284"/>
      <c r="J1521" s="375"/>
      <c r="K1521" s="375"/>
      <c r="L1521" s="375"/>
      <c r="M1521" s="368"/>
      <c r="N1521" s="368"/>
      <c r="O1521" s="370"/>
      <c r="T1521" s="349"/>
      <c r="V1521" s="378"/>
      <c r="W1521" s="64" ph="1"/>
      <c r="X1521" s="241"/>
      <c r="Y1521" s="284"/>
      <c r="Z1521" s="207"/>
      <c r="AA1521" s="284"/>
      <c r="AB1521" s="284"/>
      <c r="AC1521" s="284"/>
      <c r="AD1521" s="284"/>
      <c r="AE1521" s="284"/>
      <c r="AF1521" s="284"/>
      <c r="AG1521" s="284"/>
      <c r="AI1521" s="131"/>
    </row>
    <row r="1522" spans="1:35" ht="26.4">
      <c r="A1522" s="284"/>
      <c r="B1522" s="284"/>
      <c r="C1522" s="284"/>
      <c r="D1522" s="284"/>
      <c r="E1522" s="284"/>
      <c r="F1522" s="284"/>
      <c r="G1522" s="284"/>
      <c r="H1522" s="284"/>
      <c r="I1522" s="284"/>
      <c r="J1522" s="375"/>
      <c r="K1522" s="375"/>
      <c r="L1522" s="375"/>
      <c r="M1522" s="368"/>
      <c r="N1522" s="368"/>
      <c r="O1522" s="370"/>
      <c r="T1522" s="349"/>
      <c r="V1522" s="378"/>
      <c r="W1522" s="64" ph="1"/>
      <c r="X1522" s="241"/>
      <c r="Y1522" s="284"/>
      <c r="Z1522" s="207"/>
      <c r="AA1522" s="284"/>
      <c r="AB1522" s="284"/>
      <c r="AC1522" s="284"/>
      <c r="AD1522" s="284"/>
      <c r="AE1522" s="284"/>
      <c r="AF1522" s="284"/>
      <c r="AG1522" s="284"/>
      <c r="AI1522" s="131"/>
    </row>
    <row r="1523" spans="1:35" ht="26.4">
      <c r="A1523" s="284"/>
      <c r="B1523" s="284"/>
      <c r="C1523" s="284"/>
      <c r="D1523" s="284"/>
      <c r="E1523" s="284"/>
      <c r="F1523" s="284"/>
      <c r="G1523" s="284"/>
      <c r="H1523" s="284"/>
      <c r="I1523" s="284"/>
      <c r="J1523" s="375"/>
      <c r="K1523" s="375"/>
      <c r="L1523" s="375"/>
      <c r="M1523" s="368"/>
      <c r="N1523" s="368"/>
      <c r="O1523" s="370"/>
      <c r="T1523" s="349"/>
      <c r="V1523" s="378"/>
      <c r="W1523" s="64" ph="1"/>
      <c r="X1523" s="241"/>
      <c r="Y1523" s="284"/>
      <c r="Z1523" s="207"/>
      <c r="AA1523" s="284"/>
      <c r="AB1523" s="284"/>
      <c r="AC1523" s="284"/>
      <c r="AD1523" s="284"/>
      <c r="AE1523" s="284"/>
      <c r="AF1523" s="284"/>
      <c r="AG1523" s="284"/>
      <c r="AI1523" s="131"/>
    </row>
    <row r="1524" spans="1:35" ht="26.4">
      <c r="A1524" s="284"/>
      <c r="B1524" s="284"/>
      <c r="C1524" s="284"/>
      <c r="D1524" s="284"/>
      <c r="E1524" s="284"/>
      <c r="F1524" s="284"/>
      <c r="G1524" s="284"/>
      <c r="H1524" s="284"/>
      <c r="I1524" s="284"/>
      <c r="J1524" s="375"/>
      <c r="K1524" s="375"/>
      <c r="L1524" s="375"/>
      <c r="M1524" s="368"/>
      <c r="N1524" s="368"/>
      <c r="O1524" s="370"/>
      <c r="T1524" s="349"/>
      <c r="V1524" s="378"/>
      <c r="W1524" s="64" ph="1"/>
      <c r="X1524" s="241"/>
      <c r="Y1524" s="284"/>
      <c r="Z1524" s="207"/>
      <c r="AA1524" s="284"/>
      <c r="AB1524" s="284"/>
      <c r="AC1524" s="284"/>
      <c r="AD1524" s="284"/>
      <c r="AE1524" s="284"/>
      <c r="AF1524" s="284"/>
      <c r="AG1524" s="284"/>
      <c r="AI1524" s="131"/>
    </row>
    <row r="1525" spans="1:35" ht="26.4">
      <c r="A1525" s="284"/>
      <c r="B1525" s="284"/>
      <c r="C1525" s="284"/>
      <c r="D1525" s="284"/>
      <c r="E1525" s="284"/>
      <c r="F1525" s="284"/>
      <c r="G1525" s="284"/>
      <c r="H1525" s="284"/>
      <c r="I1525" s="284"/>
      <c r="J1525" s="375"/>
      <c r="K1525" s="375"/>
      <c r="L1525" s="375"/>
      <c r="M1525" s="368"/>
      <c r="N1525" s="368"/>
      <c r="O1525" s="370"/>
      <c r="T1525" s="349"/>
      <c r="V1525" s="378"/>
      <c r="W1525" s="64" ph="1"/>
      <c r="X1525" s="241"/>
      <c r="Y1525" s="284"/>
      <c r="Z1525" s="207"/>
      <c r="AA1525" s="284"/>
      <c r="AB1525" s="284"/>
      <c r="AC1525" s="284"/>
      <c r="AD1525" s="284"/>
      <c r="AE1525" s="284"/>
      <c r="AF1525" s="284"/>
      <c r="AG1525" s="284"/>
      <c r="AI1525" s="284"/>
    </row>
    <row r="1526" spans="1:35" ht="26.4">
      <c r="A1526" s="284"/>
      <c r="B1526" s="284"/>
      <c r="C1526" s="284"/>
      <c r="D1526" s="284"/>
      <c r="E1526" s="284"/>
      <c r="F1526" s="284"/>
      <c r="G1526" s="284"/>
      <c r="H1526" s="284"/>
      <c r="I1526" s="284"/>
      <c r="J1526" s="375"/>
      <c r="K1526" s="375"/>
      <c r="L1526" s="375"/>
      <c r="M1526" s="368"/>
      <c r="N1526" s="368"/>
      <c r="O1526" s="370"/>
      <c r="T1526" s="349"/>
      <c r="V1526" s="378"/>
      <c r="W1526" s="64" ph="1"/>
      <c r="X1526" s="241"/>
      <c r="Y1526" s="284"/>
      <c r="Z1526" s="207"/>
      <c r="AA1526" s="284"/>
      <c r="AB1526" s="284"/>
      <c r="AC1526" s="284"/>
      <c r="AD1526" s="284"/>
      <c r="AE1526" s="284"/>
      <c r="AF1526" s="284"/>
      <c r="AG1526" s="284"/>
      <c r="AI1526" s="131"/>
    </row>
    <row r="1527" spans="1:35" ht="26.4">
      <c r="A1527" s="284"/>
      <c r="B1527" s="284"/>
      <c r="C1527" s="284"/>
      <c r="D1527" s="284"/>
      <c r="E1527" s="284"/>
      <c r="F1527" s="284"/>
      <c r="G1527" s="284"/>
      <c r="H1527" s="284"/>
      <c r="I1527" s="284"/>
      <c r="J1527" s="375"/>
      <c r="K1527" s="375"/>
      <c r="L1527" s="375"/>
      <c r="M1527" s="368"/>
      <c r="N1527" s="368"/>
      <c r="O1527" s="370"/>
      <c r="T1527" s="349"/>
      <c r="V1527" s="378"/>
      <c r="W1527" s="64" ph="1"/>
      <c r="X1527" s="241"/>
      <c r="Y1527" s="284"/>
      <c r="Z1527" s="207"/>
      <c r="AA1527" s="284"/>
      <c r="AB1527" s="284"/>
      <c r="AC1527" s="284"/>
      <c r="AD1527" s="284"/>
      <c r="AE1527" s="284"/>
      <c r="AF1527" s="284"/>
      <c r="AG1527" s="284"/>
      <c r="AI1527" s="131"/>
    </row>
    <row r="1528" spans="1:35" ht="26.4">
      <c r="A1528" s="284"/>
      <c r="B1528" s="284"/>
      <c r="C1528" s="284"/>
      <c r="D1528" s="284"/>
      <c r="E1528" s="284"/>
      <c r="F1528" s="284"/>
      <c r="G1528" s="284"/>
      <c r="H1528" s="284"/>
      <c r="I1528" s="284"/>
      <c r="J1528" s="375"/>
      <c r="K1528" s="375"/>
      <c r="L1528" s="375"/>
      <c r="M1528" s="368"/>
      <c r="N1528" s="368"/>
      <c r="O1528" s="370"/>
      <c r="T1528" s="349"/>
      <c r="V1528" s="378"/>
      <c r="W1528" s="64" ph="1"/>
      <c r="X1528" s="241"/>
      <c r="Y1528" s="284"/>
      <c r="Z1528" s="207"/>
      <c r="AA1528" s="284"/>
      <c r="AB1528" s="284"/>
      <c r="AC1528" s="284"/>
      <c r="AD1528" s="284"/>
      <c r="AE1528" s="284"/>
      <c r="AF1528" s="284"/>
      <c r="AG1528" s="284"/>
      <c r="AI1528" s="131"/>
    </row>
    <row r="1529" spans="1:35" ht="26.4">
      <c r="A1529" s="284"/>
      <c r="B1529" s="284"/>
      <c r="C1529" s="284"/>
      <c r="D1529" s="284"/>
      <c r="E1529" s="284"/>
      <c r="F1529" s="284"/>
      <c r="G1529" s="284"/>
      <c r="H1529" s="284"/>
      <c r="I1529" s="284"/>
      <c r="J1529" s="375"/>
      <c r="K1529" s="375"/>
      <c r="L1529" s="375"/>
      <c r="M1529" s="368"/>
      <c r="N1529" s="368"/>
      <c r="O1529" s="370"/>
      <c r="T1529" s="349"/>
      <c r="V1529" s="378"/>
      <c r="W1529" s="64" ph="1"/>
      <c r="X1529" s="241"/>
      <c r="Y1529" s="284"/>
      <c r="Z1529" s="207"/>
      <c r="AA1529" s="284"/>
      <c r="AB1529" s="284"/>
      <c r="AC1529" s="284"/>
      <c r="AD1529" s="284"/>
      <c r="AE1529" s="284"/>
      <c r="AF1529" s="284"/>
      <c r="AG1529" s="284"/>
      <c r="AI1529" s="131"/>
    </row>
    <row r="1530" spans="1:35" ht="26.4">
      <c r="A1530" s="284"/>
      <c r="B1530" s="284"/>
      <c r="C1530" s="284"/>
      <c r="D1530" s="284"/>
      <c r="E1530" s="284"/>
      <c r="F1530" s="284"/>
      <c r="G1530" s="284"/>
      <c r="H1530" s="284"/>
      <c r="I1530" s="284"/>
      <c r="J1530" s="375"/>
      <c r="K1530" s="375"/>
      <c r="L1530" s="375"/>
      <c r="M1530" s="368"/>
      <c r="N1530" s="368"/>
      <c r="O1530" s="370"/>
      <c r="T1530" s="349"/>
      <c r="V1530" s="378"/>
      <c r="W1530" s="64" ph="1"/>
      <c r="X1530" s="241"/>
      <c r="Y1530" s="284"/>
      <c r="Z1530" s="207"/>
      <c r="AA1530" s="284"/>
      <c r="AB1530" s="284"/>
      <c r="AC1530" s="284"/>
      <c r="AD1530" s="284"/>
      <c r="AE1530" s="284"/>
      <c r="AF1530" s="284"/>
      <c r="AG1530" s="284"/>
      <c r="AI1530" s="131"/>
    </row>
    <row r="1531" spans="1:35" ht="26.4">
      <c r="A1531" s="284"/>
      <c r="B1531" s="284"/>
      <c r="C1531" s="284"/>
      <c r="D1531" s="284"/>
      <c r="E1531" s="284"/>
      <c r="F1531" s="284"/>
      <c r="G1531" s="284"/>
      <c r="H1531" s="284"/>
      <c r="I1531" s="284"/>
      <c r="J1531" s="375"/>
      <c r="K1531" s="375"/>
      <c r="L1531" s="375"/>
      <c r="M1531" s="368"/>
      <c r="N1531" s="368"/>
      <c r="O1531" s="370"/>
      <c r="T1531" s="349"/>
      <c r="V1531" s="378"/>
      <c r="W1531" s="64" ph="1"/>
      <c r="X1531" s="241"/>
      <c r="Y1531" s="284"/>
      <c r="Z1531" s="207"/>
      <c r="AA1531" s="284"/>
      <c r="AB1531" s="284"/>
      <c r="AC1531" s="284"/>
      <c r="AD1531" s="284"/>
      <c r="AE1531" s="284"/>
      <c r="AF1531" s="284"/>
      <c r="AG1531" s="284"/>
      <c r="AI1531" s="131"/>
    </row>
    <row r="1532" spans="1:35" ht="26.4">
      <c r="A1532" s="284"/>
      <c r="B1532" s="284"/>
      <c r="C1532" s="284"/>
      <c r="D1532" s="284"/>
      <c r="E1532" s="284"/>
      <c r="F1532" s="284"/>
      <c r="G1532" s="284"/>
      <c r="H1532" s="284"/>
      <c r="I1532" s="284"/>
      <c r="J1532" s="375"/>
      <c r="K1532" s="375"/>
      <c r="L1532" s="375"/>
      <c r="M1532" s="368"/>
      <c r="N1532" s="368"/>
      <c r="O1532" s="370"/>
      <c r="T1532" s="349"/>
      <c r="V1532" s="378"/>
      <c r="W1532" s="64" ph="1"/>
      <c r="X1532" s="241"/>
      <c r="Y1532" s="284"/>
      <c r="Z1532" s="207"/>
      <c r="AA1532" s="284"/>
      <c r="AB1532" s="284"/>
      <c r="AC1532" s="284"/>
      <c r="AD1532" s="284"/>
      <c r="AE1532" s="284"/>
      <c r="AF1532" s="284"/>
      <c r="AG1532" s="284"/>
      <c r="AI1532" s="131"/>
    </row>
    <row r="1533" spans="1:35" ht="26.4">
      <c r="A1533" s="284"/>
      <c r="B1533" s="284"/>
      <c r="C1533" s="284"/>
      <c r="D1533" s="284"/>
      <c r="E1533" s="284"/>
      <c r="F1533" s="284"/>
      <c r="G1533" s="284"/>
      <c r="H1533" s="284"/>
      <c r="I1533" s="284"/>
      <c r="J1533" s="375"/>
      <c r="K1533" s="375"/>
      <c r="L1533" s="375"/>
      <c r="M1533" s="368"/>
      <c r="N1533" s="368"/>
      <c r="O1533" s="370"/>
      <c r="T1533" s="349"/>
      <c r="V1533" s="378"/>
      <c r="W1533" s="64" ph="1"/>
      <c r="X1533" s="241"/>
      <c r="Y1533" s="284"/>
      <c r="Z1533" s="207"/>
      <c r="AA1533" s="284"/>
      <c r="AB1533" s="284"/>
      <c r="AC1533" s="284"/>
      <c r="AD1533" s="284"/>
      <c r="AE1533" s="284"/>
      <c r="AF1533" s="284"/>
      <c r="AG1533" s="284"/>
      <c r="AI1533" s="131"/>
    </row>
    <row r="1534" spans="1:35" ht="26.4">
      <c r="A1534" s="284"/>
      <c r="B1534" s="284"/>
      <c r="C1534" s="284"/>
      <c r="D1534" s="284"/>
      <c r="E1534" s="284"/>
      <c r="F1534" s="284"/>
      <c r="G1534" s="284"/>
      <c r="H1534" s="284"/>
      <c r="I1534" s="284"/>
      <c r="J1534" s="375"/>
      <c r="K1534" s="375"/>
      <c r="L1534" s="375"/>
      <c r="M1534" s="368"/>
      <c r="N1534" s="368"/>
      <c r="O1534" s="370"/>
      <c r="T1534" s="349"/>
      <c r="V1534" s="378"/>
      <c r="W1534" s="64" ph="1"/>
      <c r="X1534" s="241"/>
      <c r="Y1534" s="284"/>
      <c r="Z1534" s="207"/>
      <c r="AA1534" s="284"/>
      <c r="AB1534" s="284"/>
      <c r="AC1534" s="284"/>
      <c r="AD1534" s="284"/>
      <c r="AE1534" s="284"/>
      <c r="AF1534" s="284"/>
      <c r="AG1534" s="284"/>
      <c r="AI1534" s="131"/>
    </row>
    <row r="1535" spans="1:35" ht="26.4">
      <c r="A1535" s="284"/>
      <c r="B1535" s="284"/>
      <c r="C1535" s="284"/>
      <c r="D1535" s="284"/>
      <c r="E1535" s="284"/>
      <c r="F1535" s="284"/>
      <c r="G1535" s="284"/>
      <c r="H1535" s="284"/>
      <c r="I1535" s="284"/>
      <c r="J1535" s="375"/>
      <c r="K1535" s="375"/>
      <c r="L1535" s="375"/>
      <c r="M1535" s="368"/>
      <c r="N1535" s="368"/>
      <c r="O1535" s="370"/>
      <c r="T1535" s="349"/>
      <c r="V1535" s="378"/>
      <c r="W1535" s="64" ph="1"/>
      <c r="X1535" s="241"/>
      <c r="Y1535" s="284"/>
      <c r="Z1535" s="207"/>
      <c r="AA1535" s="284"/>
      <c r="AB1535" s="284"/>
      <c r="AC1535" s="284"/>
      <c r="AD1535" s="284"/>
      <c r="AE1535" s="284"/>
      <c r="AF1535" s="284"/>
      <c r="AG1535" s="284"/>
      <c r="AI1535" s="131"/>
    </row>
    <row r="1536" spans="1:35" ht="26.4">
      <c r="A1536" s="284"/>
      <c r="B1536" s="284"/>
      <c r="C1536" s="284"/>
      <c r="D1536" s="284"/>
      <c r="E1536" s="284"/>
      <c r="F1536" s="284"/>
      <c r="G1536" s="284"/>
      <c r="H1536" s="284"/>
      <c r="I1536" s="284"/>
      <c r="J1536" s="375"/>
      <c r="K1536" s="375"/>
      <c r="L1536" s="375"/>
      <c r="M1536" s="368"/>
      <c r="N1536" s="368"/>
      <c r="O1536" s="370"/>
      <c r="T1536" s="349"/>
      <c r="V1536" s="378"/>
      <c r="W1536" s="64" ph="1"/>
      <c r="X1536" s="241"/>
      <c r="Y1536" s="284"/>
      <c r="Z1536" s="207"/>
      <c r="AA1536" s="284"/>
      <c r="AB1536" s="284"/>
      <c r="AC1536" s="284"/>
      <c r="AD1536" s="284"/>
      <c r="AE1536" s="284"/>
      <c r="AF1536" s="284"/>
      <c r="AG1536" s="284"/>
      <c r="AI1536" s="284"/>
    </row>
    <row r="1537" spans="1:35" ht="26.4">
      <c r="A1537" s="284"/>
      <c r="B1537" s="284"/>
      <c r="C1537" s="284"/>
      <c r="D1537" s="284"/>
      <c r="E1537" s="284"/>
      <c r="F1537" s="284"/>
      <c r="G1537" s="284"/>
      <c r="H1537" s="284"/>
      <c r="I1537" s="284"/>
      <c r="J1537" s="375"/>
      <c r="K1537" s="375"/>
      <c r="L1537" s="375"/>
      <c r="M1537" s="368"/>
      <c r="N1537" s="368"/>
      <c r="O1537" s="370"/>
      <c r="T1537" s="349"/>
      <c r="V1537" s="378"/>
      <c r="W1537" s="64" ph="1"/>
      <c r="X1537" s="241"/>
      <c r="Y1537" s="284"/>
      <c r="Z1537" s="207"/>
      <c r="AA1537" s="284"/>
      <c r="AB1537" s="284"/>
      <c r="AC1537" s="284"/>
      <c r="AD1537" s="284"/>
      <c r="AE1537" s="284"/>
      <c r="AF1537" s="284"/>
      <c r="AG1537" s="284"/>
      <c r="AI1537" s="131"/>
    </row>
    <row r="1538" spans="1:35" ht="26.4">
      <c r="A1538" s="284"/>
      <c r="B1538" s="284"/>
      <c r="C1538" s="284"/>
      <c r="D1538" s="284"/>
      <c r="E1538" s="284"/>
      <c r="F1538" s="284"/>
      <c r="G1538" s="284"/>
      <c r="H1538" s="284"/>
      <c r="I1538" s="284"/>
      <c r="J1538" s="375"/>
      <c r="K1538" s="375"/>
      <c r="L1538" s="375"/>
      <c r="M1538" s="368"/>
      <c r="N1538" s="368"/>
      <c r="O1538" s="370"/>
      <c r="T1538" s="349"/>
      <c r="V1538" s="378"/>
      <c r="W1538" s="64" ph="1"/>
      <c r="X1538" s="241"/>
      <c r="Y1538" s="284"/>
      <c r="Z1538" s="207"/>
      <c r="AA1538" s="284"/>
      <c r="AB1538" s="284"/>
      <c r="AC1538" s="284"/>
      <c r="AD1538" s="284"/>
      <c r="AE1538" s="284"/>
      <c r="AF1538" s="284"/>
      <c r="AG1538" s="284"/>
      <c r="AI1538" s="131"/>
    </row>
    <row r="1539" spans="1:35" ht="26.4">
      <c r="A1539" s="284"/>
      <c r="B1539" s="284"/>
      <c r="C1539" s="284"/>
      <c r="D1539" s="284"/>
      <c r="E1539" s="284"/>
      <c r="F1539" s="284"/>
      <c r="G1539" s="284"/>
      <c r="H1539" s="284"/>
      <c r="I1539" s="284"/>
      <c r="J1539" s="375"/>
      <c r="K1539" s="375"/>
      <c r="L1539" s="375"/>
      <c r="M1539" s="368"/>
      <c r="N1539" s="368"/>
      <c r="O1539" s="370"/>
      <c r="T1539" s="349"/>
      <c r="V1539" s="378"/>
      <c r="W1539" s="64" ph="1"/>
      <c r="X1539" s="241"/>
      <c r="Y1539" s="284"/>
      <c r="Z1539" s="207"/>
      <c r="AA1539" s="284"/>
      <c r="AB1539" s="284"/>
      <c r="AC1539" s="284"/>
      <c r="AD1539" s="284"/>
      <c r="AE1539" s="284"/>
      <c r="AF1539" s="284"/>
      <c r="AG1539" s="284"/>
      <c r="AI1539" s="284"/>
    </row>
    <row r="1540" spans="1:35" ht="26.4">
      <c r="A1540" s="284"/>
      <c r="B1540" s="284"/>
      <c r="C1540" s="284"/>
      <c r="D1540" s="284"/>
      <c r="E1540" s="284"/>
      <c r="F1540" s="284"/>
      <c r="G1540" s="284"/>
      <c r="H1540" s="284"/>
      <c r="I1540" s="284"/>
      <c r="J1540" s="375"/>
      <c r="K1540" s="375"/>
      <c r="L1540" s="375"/>
      <c r="M1540" s="368"/>
      <c r="N1540" s="368"/>
      <c r="O1540" s="370"/>
      <c r="T1540" s="349"/>
      <c r="V1540" s="378"/>
      <c r="W1540" s="64" ph="1"/>
      <c r="X1540" s="241"/>
      <c r="Y1540" s="284"/>
      <c r="Z1540" s="207"/>
      <c r="AA1540" s="284"/>
      <c r="AB1540" s="284"/>
      <c r="AC1540" s="284"/>
      <c r="AD1540" s="284"/>
      <c r="AE1540" s="284"/>
      <c r="AF1540" s="284"/>
      <c r="AG1540" s="284"/>
      <c r="AI1540" s="131"/>
    </row>
    <row r="1541" spans="1:35" ht="26.4">
      <c r="A1541" s="284"/>
      <c r="B1541" s="284"/>
      <c r="C1541" s="284"/>
      <c r="D1541" s="284"/>
      <c r="E1541" s="284"/>
      <c r="F1541" s="284"/>
      <c r="G1541" s="284"/>
      <c r="H1541" s="284"/>
      <c r="I1541" s="284"/>
      <c r="J1541" s="375"/>
      <c r="K1541" s="375"/>
      <c r="L1541" s="375"/>
      <c r="M1541" s="368"/>
      <c r="N1541" s="368"/>
      <c r="O1541" s="370"/>
      <c r="T1541" s="349"/>
      <c r="V1541" s="378"/>
      <c r="W1541" s="64" ph="1"/>
      <c r="X1541" s="241"/>
      <c r="Y1541" s="284"/>
      <c r="Z1541" s="207"/>
      <c r="AA1541" s="284"/>
      <c r="AB1541" s="284"/>
      <c r="AC1541" s="284"/>
      <c r="AD1541" s="284"/>
      <c r="AE1541" s="284"/>
      <c r="AF1541" s="284"/>
      <c r="AG1541" s="284"/>
      <c r="AI1541" s="131"/>
    </row>
    <row r="1542" spans="1:35" ht="26.4">
      <c r="A1542" s="284"/>
      <c r="B1542" s="284"/>
      <c r="C1542" s="284"/>
      <c r="D1542" s="284"/>
      <c r="E1542" s="284"/>
      <c r="F1542" s="284"/>
      <c r="G1542" s="284"/>
      <c r="H1542" s="284"/>
      <c r="I1542" s="284"/>
      <c r="J1542" s="375"/>
      <c r="K1542" s="375"/>
      <c r="L1542" s="375"/>
      <c r="M1542" s="368"/>
      <c r="N1542" s="368"/>
      <c r="O1542" s="370"/>
      <c r="T1542" s="349"/>
      <c r="V1542" s="378"/>
      <c r="W1542" s="64" ph="1"/>
      <c r="X1542" s="241"/>
      <c r="Y1542" s="284"/>
      <c r="Z1542" s="207"/>
      <c r="AA1542" s="284"/>
      <c r="AB1542" s="284"/>
      <c r="AC1542" s="284"/>
      <c r="AD1542" s="284"/>
      <c r="AE1542" s="284"/>
      <c r="AF1542" s="284"/>
      <c r="AG1542" s="284"/>
      <c r="AI1542" s="131"/>
    </row>
    <row r="1543" spans="1:35" ht="26.4">
      <c r="A1543" s="284"/>
      <c r="B1543" s="284"/>
      <c r="C1543" s="284"/>
      <c r="D1543" s="284"/>
      <c r="E1543" s="284"/>
      <c r="F1543" s="284"/>
      <c r="G1543" s="284"/>
      <c r="H1543" s="284"/>
      <c r="I1543" s="284"/>
      <c r="J1543" s="375"/>
      <c r="K1543" s="375"/>
      <c r="L1543" s="375"/>
      <c r="M1543" s="368"/>
      <c r="N1543" s="368"/>
      <c r="O1543" s="370"/>
      <c r="T1543" s="349"/>
      <c r="V1543" s="378"/>
      <c r="W1543" s="64" ph="1"/>
      <c r="X1543" s="241"/>
      <c r="Y1543" s="284"/>
      <c r="Z1543" s="207"/>
      <c r="AA1543" s="284"/>
      <c r="AB1543" s="284"/>
      <c r="AC1543" s="284"/>
      <c r="AD1543" s="284"/>
      <c r="AE1543" s="284"/>
      <c r="AF1543" s="284"/>
      <c r="AG1543" s="284"/>
      <c r="AI1543" s="131"/>
    </row>
    <row r="1544" spans="1:35" ht="26.4">
      <c r="A1544" s="284"/>
      <c r="B1544" s="284"/>
      <c r="C1544" s="284"/>
      <c r="D1544" s="284"/>
      <c r="E1544" s="284"/>
      <c r="F1544" s="284"/>
      <c r="G1544" s="284"/>
      <c r="H1544" s="284"/>
      <c r="I1544" s="284"/>
      <c r="J1544" s="375"/>
      <c r="K1544" s="375"/>
      <c r="L1544" s="375"/>
      <c r="M1544" s="368"/>
      <c r="N1544" s="368"/>
      <c r="O1544" s="370"/>
      <c r="T1544" s="349"/>
      <c r="V1544" s="378"/>
      <c r="W1544" s="64" ph="1"/>
      <c r="X1544" s="241"/>
      <c r="Y1544" s="284"/>
      <c r="Z1544" s="207"/>
      <c r="AA1544" s="284"/>
      <c r="AB1544" s="284"/>
      <c r="AC1544" s="284"/>
      <c r="AD1544" s="284"/>
      <c r="AE1544" s="284"/>
      <c r="AF1544" s="284"/>
      <c r="AG1544" s="284"/>
      <c r="AI1544" s="131"/>
    </row>
    <row r="1545" spans="1:35" ht="26.4">
      <c r="A1545" s="284"/>
      <c r="B1545" s="284"/>
      <c r="C1545" s="284"/>
      <c r="D1545" s="284"/>
      <c r="E1545" s="284"/>
      <c r="F1545" s="284"/>
      <c r="G1545" s="284"/>
      <c r="H1545" s="284"/>
      <c r="I1545" s="284"/>
      <c r="J1545" s="375"/>
      <c r="K1545" s="375"/>
      <c r="L1545" s="375"/>
      <c r="M1545" s="368"/>
      <c r="N1545" s="368"/>
      <c r="O1545" s="370"/>
      <c r="T1545" s="349"/>
      <c r="V1545" s="378"/>
      <c r="W1545" s="64" ph="1"/>
      <c r="X1545" s="241"/>
      <c r="Y1545" s="284"/>
      <c r="Z1545" s="207"/>
      <c r="AA1545" s="284"/>
      <c r="AB1545" s="284"/>
      <c r="AC1545" s="284"/>
      <c r="AD1545" s="284"/>
      <c r="AE1545" s="284"/>
      <c r="AF1545" s="284"/>
      <c r="AG1545" s="284"/>
      <c r="AI1545" s="131"/>
    </row>
    <row r="1546" spans="1:35" ht="26.4">
      <c r="A1546" s="284"/>
      <c r="B1546" s="284"/>
      <c r="C1546" s="284"/>
      <c r="D1546" s="284"/>
      <c r="E1546" s="284"/>
      <c r="F1546" s="284"/>
      <c r="G1546" s="284"/>
      <c r="H1546" s="284"/>
      <c r="I1546" s="284"/>
      <c r="J1546" s="375"/>
      <c r="K1546" s="375"/>
      <c r="L1546" s="375"/>
      <c r="M1546" s="368"/>
      <c r="N1546" s="368"/>
      <c r="O1546" s="370"/>
      <c r="T1546" s="349"/>
      <c r="V1546" s="378"/>
      <c r="W1546" s="64" ph="1"/>
      <c r="X1546" s="241"/>
      <c r="Y1546" s="284"/>
      <c r="Z1546" s="207"/>
      <c r="AA1546" s="284"/>
      <c r="AB1546" s="284"/>
      <c r="AC1546" s="284"/>
      <c r="AD1546" s="284"/>
      <c r="AE1546" s="284"/>
      <c r="AF1546" s="284"/>
      <c r="AG1546" s="284"/>
      <c r="AI1546" s="131"/>
    </row>
    <row r="1547" spans="1:35" ht="26.4">
      <c r="A1547" s="284"/>
      <c r="B1547" s="284"/>
      <c r="C1547" s="284"/>
      <c r="D1547" s="284"/>
      <c r="E1547" s="284"/>
      <c r="F1547" s="284"/>
      <c r="G1547" s="284"/>
      <c r="H1547" s="284"/>
      <c r="I1547" s="284"/>
      <c r="J1547" s="375"/>
      <c r="K1547" s="375"/>
      <c r="L1547" s="375"/>
      <c r="M1547" s="368"/>
      <c r="N1547" s="368"/>
      <c r="O1547" s="370"/>
      <c r="T1547" s="349"/>
      <c r="V1547" s="378"/>
      <c r="W1547" s="64" ph="1"/>
      <c r="X1547" s="241"/>
      <c r="Y1547" s="284"/>
      <c r="Z1547" s="207"/>
      <c r="AA1547" s="284"/>
      <c r="AB1547" s="284"/>
      <c r="AC1547" s="284"/>
      <c r="AD1547" s="284"/>
      <c r="AE1547" s="284"/>
      <c r="AF1547" s="284"/>
      <c r="AG1547" s="284"/>
      <c r="AI1547" s="131"/>
    </row>
    <row r="1548" spans="1:35" ht="26.4">
      <c r="A1548" s="284"/>
      <c r="B1548" s="284"/>
      <c r="C1548" s="284"/>
      <c r="D1548" s="284"/>
      <c r="E1548" s="284"/>
      <c r="F1548" s="284"/>
      <c r="G1548" s="284"/>
      <c r="H1548" s="284"/>
      <c r="I1548" s="284"/>
      <c r="J1548" s="375"/>
      <c r="K1548" s="375"/>
      <c r="L1548" s="375"/>
      <c r="M1548" s="368"/>
      <c r="N1548" s="368"/>
      <c r="O1548" s="370"/>
      <c r="T1548" s="349"/>
      <c r="V1548" s="378"/>
      <c r="W1548" s="64" ph="1"/>
      <c r="X1548" s="241"/>
      <c r="Y1548" s="284"/>
      <c r="Z1548" s="207"/>
      <c r="AA1548" s="284"/>
      <c r="AB1548" s="284"/>
      <c r="AC1548" s="284"/>
      <c r="AD1548" s="284"/>
      <c r="AE1548" s="284"/>
      <c r="AF1548" s="284"/>
      <c r="AG1548" s="284"/>
      <c r="AI1548" s="131"/>
    </row>
    <row r="1549" spans="1:35" ht="26.4">
      <c r="A1549" s="284"/>
      <c r="B1549" s="284"/>
      <c r="C1549" s="284"/>
      <c r="D1549" s="284"/>
      <c r="E1549" s="284"/>
      <c r="F1549" s="284"/>
      <c r="G1549" s="284"/>
      <c r="H1549" s="284"/>
      <c r="I1549" s="284"/>
      <c r="J1549" s="375"/>
      <c r="K1549" s="375"/>
      <c r="L1549" s="375"/>
      <c r="M1549" s="368"/>
      <c r="N1549" s="368"/>
      <c r="O1549" s="370"/>
      <c r="T1549" s="349"/>
      <c r="V1549" s="378"/>
      <c r="W1549" s="64" ph="1"/>
      <c r="X1549" s="241"/>
      <c r="Y1549" s="284"/>
      <c r="Z1549" s="207"/>
      <c r="AA1549" s="284"/>
      <c r="AB1549" s="284"/>
      <c r="AC1549" s="284"/>
      <c r="AD1549" s="284"/>
      <c r="AE1549" s="284"/>
      <c r="AF1549" s="284"/>
      <c r="AG1549" s="284"/>
      <c r="AI1549" s="131"/>
    </row>
    <row r="1550" spans="1:35" ht="26.4">
      <c r="A1550" s="284"/>
      <c r="B1550" s="284"/>
      <c r="C1550" s="284"/>
      <c r="D1550" s="284"/>
      <c r="E1550" s="284"/>
      <c r="F1550" s="284"/>
      <c r="G1550" s="284"/>
      <c r="H1550" s="284"/>
      <c r="I1550" s="284"/>
      <c r="J1550" s="375"/>
      <c r="K1550" s="375"/>
      <c r="L1550" s="375"/>
      <c r="M1550" s="368"/>
      <c r="N1550" s="368"/>
      <c r="O1550" s="370"/>
      <c r="T1550" s="349"/>
      <c r="V1550" s="378"/>
      <c r="W1550" s="64" ph="1"/>
      <c r="X1550" s="241"/>
      <c r="Y1550" s="284"/>
      <c r="Z1550" s="207"/>
      <c r="AA1550" s="284"/>
      <c r="AB1550" s="284"/>
      <c r="AC1550" s="284"/>
      <c r="AD1550" s="284"/>
      <c r="AE1550" s="284"/>
      <c r="AF1550" s="284"/>
      <c r="AG1550" s="284"/>
      <c r="AI1550" s="131"/>
    </row>
    <row r="1551" spans="1:35" ht="26.4">
      <c r="A1551" s="284"/>
      <c r="B1551" s="284"/>
      <c r="C1551" s="284"/>
      <c r="D1551" s="284"/>
      <c r="E1551" s="284"/>
      <c r="F1551" s="284"/>
      <c r="G1551" s="284"/>
      <c r="H1551" s="284"/>
      <c r="I1551" s="284"/>
      <c r="J1551" s="375"/>
      <c r="K1551" s="375"/>
      <c r="L1551" s="375"/>
      <c r="M1551" s="368"/>
      <c r="N1551" s="368"/>
      <c r="O1551" s="370"/>
      <c r="T1551" s="349"/>
      <c r="V1551" s="378"/>
      <c r="W1551" s="64" ph="1"/>
      <c r="X1551" s="241"/>
      <c r="Y1551" s="284"/>
      <c r="Z1551" s="207"/>
      <c r="AA1551" s="284"/>
      <c r="AB1551" s="284"/>
      <c r="AC1551" s="284"/>
      <c r="AD1551" s="284"/>
      <c r="AE1551" s="284"/>
      <c r="AF1551" s="284"/>
      <c r="AG1551" s="284"/>
      <c r="AI1551" s="131"/>
    </row>
    <row r="1552" spans="1:35" ht="26.4">
      <c r="A1552" s="284"/>
      <c r="B1552" s="284"/>
      <c r="C1552" s="284"/>
      <c r="D1552" s="284"/>
      <c r="E1552" s="284"/>
      <c r="F1552" s="284"/>
      <c r="G1552" s="284"/>
      <c r="H1552" s="284"/>
      <c r="I1552" s="284"/>
      <c r="J1552" s="375"/>
      <c r="K1552" s="375"/>
      <c r="L1552" s="375"/>
      <c r="M1552" s="368"/>
      <c r="N1552" s="368"/>
      <c r="O1552" s="370"/>
      <c r="T1552" s="349"/>
      <c r="V1552" s="378"/>
      <c r="W1552" s="64" ph="1"/>
      <c r="X1552" s="241"/>
      <c r="Y1552" s="284"/>
      <c r="Z1552" s="207"/>
      <c r="AA1552" s="284"/>
      <c r="AB1552" s="284"/>
      <c r="AC1552" s="284"/>
      <c r="AD1552" s="284"/>
      <c r="AE1552" s="284"/>
      <c r="AF1552" s="284"/>
      <c r="AG1552" s="284"/>
      <c r="AI1552" s="131"/>
    </row>
    <row r="1553" spans="1:35" ht="26.4">
      <c r="A1553" s="284"/>
      <c r="B1553" s="284"/>
      <c r="C1553" s="284"/>
      <c r="D1553" s="284"/>
      <c r="E1553" s="284"/>
      <c r="F1553" s="284"/>
      <c r="G1553" s="284"/>
      <c r="H1553" s="284"/>
      <c r="I1553" s="284"/>
      <c r="J1553" s="375"/>
      <c r="K1553" s="375"/>
      <c r="L1553" s="375"/>
      <c r="M1553" s="368"/>
      <c r="N1553" s="368"/>
      <c r="O1553" s="370"/>
      <c r="T1553" s="349"/>
      <c r="V1553" s="378"/>
      <c r="W1553" s="64" ph="1"/>
      <c r="X1553" s="241"/>
      <c r="Y1553" s="284"/>
      <c r="Z1553" s="207"/>
      <c r="AA1553" s="284"/>
      <c r="AB1553" s="284"/>
      <c r="AC1553" s="284"/>
      <c r="AD1553" s="284"/>
      <c r="AE1553" s="284"/>
      <c r="AF1553" s="284"/>
      <c r="AG1553" s="284"/>
      <c r="AI1553" s="131"/>
    </row>
    <row r="1554" spans="1:35" ht="26.4">
      <c r="A1554" s="284"/>
      <c r="B1554" s="284"/>
      <c r="C1554" s="284"/>
      <c r="D1554" s="284"/>
      <c r="E1554" s="284"/>
      <c r="F1554" s="284"/>
      <c r="G1554" s="284"/>
      <c r="H1554" s="284"/>
      <c r="I1554" s="284"/>
      <c r="J1554" s="375"/>
      <c r="K1554" s="375"/>
      <c r="L1554" s="375"/>
      <c r="M1554" s="368"/>
      <c r="N1554" s="368"/>
      <c r="O1554" s="370"/>
      <c r="T1554" s="349"/>
      <c r="V1554" s="378"/>
      <c r="W1554" s="64" ph="1"/>
      <c r="X1554" s="241"/>
      <c r="Y1554" s="284"/>
      <c r="Z1554" s="207"/>
      <c r="AA1554" s="284"/>
      <c r="AB1554" s="284"/>
      <c r="AC1554" s="284"/>
      <c r="AD1554" s="284"/>
      <c r="AE1554" s="284"/>
      <c r="AF1554" s="284"/>
      <c r="AG1554" s="284"/>
      <c r="AI1554" s="131"/>
    </row>
    <row r="1555" spans="1:35" ht="26.4">
      <c r="A1555" s="284"/>
      <c r="B1555" s="284"/>
      <c r="C1555" s="284"/>
      <c r="D1555" s="284"/>
      <c r="E1555" s="284"/>
      <c r="F1555" s="284"/>
      <c r="G1555" s="284"/>
      <c r="H1555" s="284"/>
      <c r="I1555" s="284"/>
      <c r="J1555" s="375"/>
      <c r="K1555" s="375"/>
      <c r="L1555" s="375"/>
      <c r="M1555" s="368"/>
      <c r="N1555" s="368"/>
      <c r="O1555" s="370"/>
      <c r="T1555" s="349"/>
      <c r="V1555" s="378"/>
      <c r="W1555" s="64" ph="1"/>
      <c r="X1555" s="241"/>
      <c r="Y1555" s="284"/>
      <c r="Z1555" s="207"/>
      <c r="AA1555" s="284"/>
      <c r="AB1555" s="284"/>
      <c r="AC1555" s="284"/>
      <c r="AD1555" s="284"/>
      <c r="AE1555" s="284"/>
      <c r="AF1555" s="284"/>
      <c r="AG1555" s="284"/>
      <c r="AI1555" s="131"/>
    </row>
    <row r="1556" spans="1:35" ht="26.4">
      <c r="A1556" s="284"/>
      <c r="B1556" s="284"/>
      <c r="C1556" s="284"/>
      <c r="D1556" s="284"/>
      <c r="E1556" s="284"/>
      <c r="F1556" s="284"/>
      <c r="G1556" s="284"/>
      <c r="H1556" s="284"/>
      <c r="I1556" s="284"/>
      <c r="J1556" s="375"/>
      <c r="K1556" s="375"/>
      <c r="L1556" s="375"/>
      <c r="M1556" s="368"/>
      <c r="N1556" s="368"/>
      <c r="O1556" s="370"/>
      <c r="T1556" s="349"/>
      <c r="V1556" s="378"/>
      <c r="W1556" s="64" ph="1"/>
      <c r="X1556" s="241"/>
      <c r="Y1556" s="284"/>
      <c r="Z1556" s="207"/>
      <c r="AA1556" s="284"/>
      <c r="AB1556" s="284"/>
      <c r="AC1556" s="284"/>
      <c r="AD1556" s="284"/>
      <c r="AE1556" s="284"/>
      <c r="AF1556" s="284"/>
      <c r="AG1556" s="284"/>
      <c r="AI1556" s="131"/>
    </row>
    <row r="1557" spans="1:35" ht="26.4">
      <c r="A1557" s="284"/>
      <c r="B1557" s="284"/>
      <c r="C1557" s="284"/>
      <c r="D1557" s="284"/>
      <c r="E1557" s="284"/>
      <c r="F1557" s="284"/>
      <c r="G1557" s="284"/>
      <c r="H1557" s="284"/>
      <c r="I1557" s="284"/>
      <c r="J1557" s="375"/>
      <c r="K1557" s="375"/>
      <c r="L1557" s="375"/>
      <c r="M1557" s="368"/>
      <c r="N1557" s="368"/>
      <c r="O1557" s="370"/>
      <c r="T1557" s="349"/>
      <c r="V1557" s="378"/>
      <c r="W1557" s="64" ph="1"/>
      <c r="X1557" s="241"/>
      <c r="Y1557" s="284"/>
      <c r="Z1557" s="207"/>
      <c r="AA1557" s="284"/>
      <c r="AB1557" s="284"/>
      <c r="AC1557" s="284"/>
      <c r="AD1557" s="284"/>
      <c r="AE1557" s="284"/>
      <c r="AF1557" s="284"/>
      <c r="AG1557" s="284"/>
      <c r="AI1557" s="131"/>
    </row>
    <row r="1558" spans="1:35" ht="26.4">
      <c r="A1558" s="284"/>
      <c r="B1558" s="284"/>
      <c r="C1558" s="284"/>
      <c r="D1558" s="284"/>
      <c r="E1558" s="284"/>
      <c r="F1558" s="284"/>
      <c r="G1558" s="284"/>
      <c r="H1558" s="284"/>
      <c r="I1558" s="284"/>
      <c r="J1558" s="375"/>
      <c r="K1558" s="375"/>
      <c r="L1558" s="375"/>
      <c r="M1558" s="368"/>
      <c r="N1558" s="368"/>
      <c r="O1558" s="370"/>
      <c r="T1558" s="349"/>
      <c r="V1558" s="378"/>
      <c r="W1558" s="64" ph="1"/>
      <c r="X1558" s="241"/>
      <c r="Y1558" s="284"/>
      <c r="Z1558" s="207"/>
      <c r="AA1558" s="284"/>
      <c r="AB1558" s="284"/>
      <c r="AC1558" s="284"/>
      <c r="AD1558" s="284"/>
      <c r="AE1558" s="284"/>
      <c r="AF1558" s="284"/>
      <c r="AG1558" s="284"/>
      <c r="AI1558" s="131"/>
    </row>
    <row r="1559" spans="1:35" ht="26.4">
      <c r="A1559" s="284"/>
      <c r="B1559" s="284"/>
      <c r="C1559" s="284"/>
      <c r="D1559" s="284"/>
      <c r="E1559" s="284"/>
      <c r="F1559" s="284"/>
      <c r="G1559" s="284"/>
      <c r="H1559" s="284"/>
      <c r="I1559" s="284"/>
      <c r="J1559" s="375"/>
      <c r="K1559" s="375"/>
      <c r="L1559" s="375"/>
      <c r="M1559" s="368"/>
      <c r="N1559" s="368"/>
      <c r="O1559" s="370"/>
      <c r="T1559" s="349"/>
      <c r="V1559" s="378"/>
      <c r="W1559" s="64" ph="1"/>
      <c r="X1559" s="241"/>
      <c r="Y1559" s="284"/>
      <c r="Z1559" s="207"/>
      <c r="AA1559" s="284"/>
      <c r="AB1559" s="284"/>
      <c r="AC1559" s="284"/>
      <c r="AD1559" s="284"/>
      <c r="AE1559" s="284"/>
      <c r="AF1559" s="284"/>
      <c r="AG1559" s="284"/>
      <c r="AI1559" s="131"/>
    </row>
    <row r="1560" spans="1:35" ht="26.4">
      <c r="A1560" s="284"/>
      <c r="B1560" s="284"/>
      <c r="C1560" s="284"/>
      <c r="D1560" s="284"/>
      <c r="E1560" s="284"/>
      <c r="F1560" s="284"/>
      <c r="G1560" s="284"/>
      <c r="H1560" s="284"/>
      <c r="I1560" s="284"/>
      <c r="J1560" s="375"/>
      <c r="K1560" s="375"/>
      <c r="L1560" s="375"/>
      <c r="M1560" s="368"/>
      <c r="N1560" s="368"/>
      <c r="O1560" s="370"/>
      <c r="T1560" s="349"/>
      <c r="V1560" s="378"/>
      <c r="W1560" s="64" ph="1"/>
      <c r="X1560" s="241"/>
      <c r="Y1560" s="284"/>
      <c r="Z1560" s="207"/>
      <c r="AA1560" s="284"/>
      <c r="AB1560" s="284"/>
      <c r="AC1560" s="284"/>
      <c r="AD1560" s="284"/>
      <c r="AE1560" s="284"/>
      <c r="AF1560" s="284"/>
      <c r="AG1560" s="284"/>
      <c r="AI1560" s="131"/>
    </row>
    <row r="1561" spans="1:35" ht="26.4">
      <c r="A1561" s="284"/>
      <c r="B1561" s="284"/>
      <c r="C1561" s="284"/>
      <c r="D1561" s="284"/>
      <c r="E1561" s="284"/>
      <c r="F1561" s="284"/>
      <c r="G1561" s="284"/>
      <c r="H1561" s="284"/>
      <c r="I1561" s="284"/>
      <c r="J1561" s="375"/>
      <c r="K1561" s="375"/>
      <c r="L1561" s="375"/>
      <c r="M1561" s="368"/>
      <c r="N1561" s="368"/>
      <c r="O1561" s="370"/>
      <c r="T1561" s="349"/>
      <c r="V1561" s="378"/>
      <c r="W1561" s="64" ph="1"/>
      <c r="X1561" s="241"/>
      <c r="Y1561" s="284"/>
      <c r="Z1561" s="207"/>
      <c r="AA1561" s="284"/>
      <c r="AB1561" s="284"/>
      <c r="AC1561" s="284"/>
      <c r="AD1561" s="284"/>
      <c r="AE1561" s="284"/>
      <c r="AF1561" s="284"/>
      <c r="AG1561" s="284"/>
      <c r="AI1561" s="131"/>
    </row>
    <row r="1562" spans="1:35" ht="26.4">
      <c r="A1562" s="284"/>
      <c r="B1562" s="284"/>
      <c r="C1562" s="284"/>
      <c r="D1562" s="284"/>
      <c r="E1562" s="284"/>
      <c r="F1562" s="284"/>
      <c r="G1562" s="284"/>
      <c r="H1562" s="284"/>
      <c r="I1562" s="284"/>
      <c r="J1562" s="375"/>
      <c r="K1562" s="375"/>
      <c r="L1562" s="375"/>
      <c r="M1562" s="368"/>
      <c r="N1562" s="368"/>
      <c r="O1562" s="370"/>
      <c r="T1562" s="349"/>
      <c r="V1562" s="378"/>
      <c r="W1562" s="64" ph="1"/>
      <c r="X1562" s="241"/>
      <c r="Y1562" s="284"/>
      <c r="Z1562" s="207"/>
      <c r="AA1562" s="284"/>
      <c r="AB1562" s="284"/>
      <c r="AC1562" s="284"/>
      <c r="AD1562" s="284"/>
      <c r="AE1562" s="284"/>
      <c r="AF1562" s="284"/>
      <c r="AG1562" s="284"/>
      <c r="AI1562" s="284"/>
    </row>
    <row r="1563" spans="1:35" ht="26.4">
      <c r="A1563" s="284"/>
      <c r="B1563" s="284"/>
      <c r="C1563" s="284"/>
      <c r="D1563" s="284"/>
      <c r="E1563" s="284"/>
      <c r="F1563" s="284"/>
      <c r="G1563" s="284"/>
      <c r="H1563" s="284"/>
      <c r="I1563" s="284"/>
      <c r="J1563" s="375"/>
      <c r="K1563" s="375"/>
      <c r="L1563" s="375"/>
      <c r="M1563" s="368"/>
      <c r="N1563" s="368"/>
      <c r="O1563" s="370"/>
      <c r="T1563" s="349"/>
      <c r="V1563" s="378"/>
      <c r="W1563" s="64" ph="1"/>
      <c r="X1563" s="241"/>
      <c r="Y1563" s="284"/>
      <c r="Z1563" s="207"/>
      <c r="AA1563" s="284"/>
      <c r="AB1563" s="284"/>
      <c r="AC1563" s="284"/>
      <c r="AD1563" s="284"/>
      <c r="AE1563" s="284"/>
      <c r="AF1563" s="284"/>
      <c r="AG1563" s="284"/>
      <c r="AI1563" s="131"/>
    </row>
    <row r="1564" spans="1:35" ht="26.4">
      <c r="A1564" s="284"/>
      <c r="B1564" s="284"/>
      <c r="C1564" s="284"/>
      <c r="D1564" s="284"/>
      <c r="E1564" s="284"/>
      <c r="F1564" s="284"/>
      <c r="G1564" s="284"/>
      <c r="H1564" s="284"/>
      <c r="I1564" s="284"/>
      <c r="J1564" s="375"/>
      <c r="K1564" s="375"/>
      <c r="L1564" s="375"/>
      <c r="M1564" s="368"/>
      <c r="N1564" s="368"/>
      <c r="O1564" s="370"/>
      <c r="T1564" s="349"/>
      <c r="V1564" s="378"/>
      <c r="W1564" s="64" ph="1"/>
      <c r="X1564" s="241"/>
      <c r="Y1564" s="284"/>
      <c r="Z1564" s="207"/>
      <c r="AA1564" s="284"/>
      <c r="AB1564" s="284"/>
      <c r="AC1564" s="284"/>
      <c r="AD1564" s="284"/>
      <c r="AE1564" s="284"/>
      <c r="AF1564" s="284"/>
      <c r="AG1564" s="284"/>
      <c r="AI1564" s="131"/>
    </row>
    <row r="1565" spans="1:35" ht="26.4">
      <c r="A1565" s="284"/>
      <c r="B1565" s="284"/>
      <c r="C1565" s="284"/>
      <c r="D1565" s="284"/>
      <c r="E1565" s="284"/>
      <c r="F1565" s="284"/>
      <c r="G1565" s="284"/>
      <c r="H1565" s="284"/>
      <c r="I1565" s="284"/>
      <c r="J1565" s="375"/>
      <c r="K1565" s="375"/>
      <c r="L1565" s="375"/>
      <c r="M1565" s="368"/>
      <c r="N1565" s="368"/>
      <c r="O1565" s="370"/>
      <c r="T1565" s="349"/>
      <c r="V1565" s="378"/>
      <c r="W1565" s="64" ph="1"/>
      <c r="X1565" s="241"/>
      <c r="Y1565" s="284"/>
      <c r="Z1565" s="207"/>
      <c r="AA1565" s="284"/>
      <c r="AB1565" s="284"/>
      <c r="AC1565" s="284"/>
      <c r="AD1565" s="284"/>
      <c r="AE1565" s="284"/>
      <c r="AF1565" s="284"/>
      <c r="AG1565" s="284"/>
      <c r="AI1565" s="131"/>
    </row>
    <row r="1566" spans="1:35" ht="26.4">
      <c r="A1566" s="284"/>
      <c r="B1566" s="284"/>
      <c r="C1566" s="284"/>
      <c r="D1566" s="284"/>
      <c r="E1566" s="284"/>
      <c r="F1566" s="284"/>
      <c r="G1566" s="284"/>
      <c r="H1566" s="284"/>
      <c r="I1566" s="284"/>
      <c r="J1566" s="375"/>
      <c r="K1566" s="375"/>
      <c r="L1566" s="375"/>
      <c r="M1566" s="368"/>
      <c r="N1566" s="368"/>
      <c r="O1566" s="370"/>
      <c r="T1566" s="349"/>
      <c r="V1566" s="378"/>
      <c r="W1566" s="64" ph="1"/>
      <c r="X1566" s="241"/>
      <c r="Y1566" s="284"/>
      <c r="Z1566" s="207"/>
      <c r="AA1566" s="284"/>
      <c r="AB1566" s="284"/>
      <c r="AC1566" s="284"/>
      <c r="AD1566" s="284"/>
      <c r="AE1566" s="284"/>
      <c r="AF1566" s="284"/>
      <c r="AG1566" s="284"/>
      <c r="AI1566" s="131"/>
    </row>
    <row r="1567" spans="1:35" ht="26.4">
      <c r="A1567" s="284"/>
      <c r="B1567" s="284"/>
      <c r="C1567" s="284"/>
      <c r="D1567" s="284"/>
      <c r="E1567" s="284"/>
      <c r="F1567" s="284"/>
      <c r="G1567" s="284"/>
      <c r="H1567" s="284"/>
      <c r="I1567" s="284"/>
      <c r="J1567" s="375"/>
      <c r="K1567" s="375"/>
      <c r="L1567" s="375"/>
      <c r="M1567" s="368"/>
      <c r="N1567" s="368"/>
      <c r="O1567" s="370"/>
      <c r="T1567" s="349"/>
      <c r="V1567" s="378"/>
      <c r="W1567" s="64" ph="1"/>
      <c r="X1567" s="241"/>
      <c r="Y1567" s="284"/>
      <c r="Z1567" s="207"/>
      <c r="AA1567" s="284"/>
      <c r="AB1567" s="284"/>
      <c r="AC1567" s="284"/>
      <c r="AD1567" s="284"/>
      <c r="AE1567" s="284"/>
      <c r="AF1567" s="284"/>
      <c r="AG1567" s="284"/>
      <c r="AI1567" s="131"/>
    </row>
    <row r="1568" spans="1:35" ht="26.4">
      <c r="A1568" s="284"/>
      <c r="B1568" s="284"/>
      <c r="C1568" s="284"/>
      <c r="D1568" s="284"/>
      <c r="E1568" s="284"/>
      <c r="F1568" s="284"/>
      <c r="G1568" s="284"/>
      <c r="H1568" s="284"/>
      <c r="I1568" s="284"/>
      <c r="J1568" s="375"/>
      <c r="K1568" s="375"/>
      <c r="L1568" s="375"/>
      <c r="M1568" s="368"/>
      <c r="N1568" s="368"/>
      <c r="O1568" s="370"/>
      <c r="T1568" s="349"/>
      <c r="V1568" s="378"/>
      <c r="W1568" s="64" ph="1"/>
      <c r="X1568" s="241"/>
      <c r="Y1568" s="284"/>
      <c r="Z1568" s="207"/>
      <c r="AA1568" s="284"/>
      <c r="AB1568" s="284"/>
      <c r="AC1568" s="284"/>
      <c r="AD1568" s="284"/>
      <c r="AE1568" s="284"/>
      <c r="AF1568" s="284"/>
      <c r="AG1568" s="284"/>
      <c r="AI1568" s="131"/>
    </row>
    <row r="1569" spans="1:35" ht="26.4">
      <c r="A1569" s="284"/>
      <c r="B1569" s="284"/>
      <c r="C1569" s="284"/>
      <c r="D1569" s="284"/>
      <c r="E1569" s="284"/>
      <c r="F1569" s="284"/>
      <c r="G1569" s="284"/>
      <c r="H1569" s="284"/>
      <c r="I1569" s="284"/>
      <c r="J1569" s="375"/>
      <c r="K1569" s="375"/>
      <c r="L1569" s="375"/>
      <c r="M1569" s="368"/>
      <c r="N1569" s="368"/>
      <c r="O1569" s="370"/>
      <c r="T1569" s="349"/>
      <c r="V1569" s="378"/>
      <c r="W1569" s="64" ph="1"/>
      <c r="X1569" s="241"/>
      <c r="Y1569" s="284"/>
      <c r="Z1569" s="207"/>
      <c r="AA1569" s="284"/>
      <c r="AB1569" s="284"/>
      <c r="AC1569" s="284"/>
      <c r="AD1569" s="284"/>
      <c r="AE1569" s="284"/>
      <c r="AF1569" s="284"/>
      <c r="AG1569" s="284"/>
      <c r="AI1569" s="131"/>
    </row>
    <row r="1570" spans="1:35" ht="26.4">
      <c r="A1570" s="284"/>
      <c r="B1570" s="284"/>
      <c r="C1570" s="284"/>
      <c r="D1570" s="284"/>
      <c r="E1570" s="284"/>
      <c r="F1570" s="284"/>
      <c r="G1570" s="284"/>
      <c r="H1570" s="284"/>
      <c r="I1570" s="284"/>
      <c r="J1570" s="375"/>
      <c r="K1570" s="375"/>
      <c r="L1570" s="375"/>
      <c r="M1570" s="368"/>
      <c r="N1570" s="368"/>
      <c r="O1570" s="370"/>
      <c r="T1570" s="349"/>
      <c r="V1570" s="378"/>
      <c r="W1570" s="64" ph="1"/>
      <c r="X1570" s="241"/>
      <c r="Y1570" s="284"/>
      <c r="Z1570" s="207"/>
      <c r="AA1570" s="284"/>
      <c r="AB1570" s="284"/>
      <c r="AC1570" s="284"/>
      <c r="AD1570" s="284"/>
      <c r="AE1570" s="284"/>
      <c r="AF1570" s="284"/>
      <c r="AG1570" s="284"/>
      <c r="AI1570" s="131"/>
    </row>
    <row r="1571" spans="1:35" ht="26.4">
      <c r="A1571" s="284"/>
      <c r="B1571" s="284"/>
      <c r="C1571" s="284"/>
      <c r="D1571" s="284"/>
      <c r="E1571" s="284"/>
      <c r="F1571" s="284"/>
      <c r="G1571" s="284"/>
      <c r="H1571" s="284"/>
      <c r="I1571" s="284"/>
      <c r="J1571" s="375"/>
      <c r="K1571" s="375"/>
      <c r="L1571" s="375"/>
      <c r="M1571" s="368"/>
      <c r="N1571" s="368"/>
      <c r="O1571" s="370"/>
      <c r="T1571" s="349"/>
      <c r="V1571" s="378"/>
      <c r="W1571" s="64" ph="1"/>
      <c r="X1571" s="241"/>
      <c r="Y1571" s="284"/>
      <c r="Z1571" s="207"/>
      <c r="AA1571" s="284"/>
      <c r="AB1571" s="284"/>
      <c r="AC1571" s="284"/>
      <c r="AD1571" s="284"/>
      <c r="AE1571" s="284"/>
      <c r="AF1571" s="284"/>
      <c r="AG1571" s="284"/>
      <c r="AI1571" s="131"/>
    </row>
    <row r="1572" spans="1:35" ht="26.4">
      <c r="A1572" s="284"/>
      <c r="B1572" s="284"/>
      <c r="C1572" s="284"/>
      <c r="D1572" s="284"/>
      <c r="E1572" s="284"/>
      <c r="F1572" s="284"/>
      <c r="G1572" s="284"/>
      <c r="H1572" s="284"/>
      <c r="I1572" s="284"/>
      <c r="J1572" s="375"/>
      <c r="K1572" s="375"/>
      <c r="L1572" s="375"/>
      <c r="M1572" s="368"/>
      <c r="N1572" s="368"/>
      <c r="O1572" s="370"/>
      <c r="T1572" s="349"/>
      <c r="V1572" s="378"/>
      <c r="W1572" s="64" ph="1"/>
      <c r="X1572" s="241"/>
      <c r="Y1572" s="284"/>
      <c r="Z1572" s="207"/>
      <c r="AA1572" s="284"/>
      <c r="AB1572" s="284"/>
      <c r="AC1572" s="284"/>
      <c r="AD1572" s="284"/>
      <c r="AE1572" s="284"/>
      <c r="AF1572" s="284"/>
      <c r="AG1572" s="284"/>
      <c r="AI1572" s="131"/>
    </row>
    <row r="1573" spans="1:35" ht="26.4">
      <c r="A1573" s="284"/>
      <c r="B1573" s="284"/>
      <c r="C1573" s="284"/>
      <c r="D1573" s="284"/>
      <c r="E1573" s="284"/>
      <c r="F1573" s="284"/>
      <c r="G1573" s="284"/>
      <c r="H1573" s="284"/>
      <c r="I1573" s="284"/>
      <c r="J1573" s="375"/>
      <c r="K1573" s="375"/>
      <c r="L1573" s="375"/>
      <c r="M1573" s="368"/>
      <c r="N1573" s="368"/>
      <c r="O1573" s="370"/>
      <c r="T1573" s="349"/>
      <c r="V1573" s="378"/>
      <c r="W1573" s="64" ph="1"/>
      <c r="X1573" s="241"/>
      <c r="Y1573" s="284"/>
      <c r="Z1573" s="207"/>
      <c r="AA1573" s="284"/>
      <c r="AB1573" s="284"/>
      <c r="AC1573" s="284"/>
      <c r="AD1573" s="284"/>
      <c r="AE1573" s="284"/>
      <c r="AF1573" s="284"/>
      <c r="AG1573" s="284"/>
      <c r="AI1573" s="131"/>
    </row>
    <row r="1574" spans="1:35" ht="26.4">
      <c r="A1574" s="284"/>
      <c r="B1574" s="284"/>
      <c r="C1574" s="284"/>
      <c r="D1574" s="284"/>
      <c r="E1574" s="284"/>
      <c r="F1574" s="284"/>
      <c r="G1574" s="284"/>
      <c r="H1574" s="284"/>
      <c r="I1574" s="284"/>
      <c r="J1574" s="375"/>
      <c r="K1574" s="375"/>
      <c r="L1574" s="375"/>
      <c r="M1574" s="368"/>
      <c r="N1574" s="368"/>
      <c r="O1574" s="370"/>
      <c r="T1574" s="349"/>
      <c r="V1574" s="378"/>
      <c r="W1574" s="64" ph="1"/>
      <c r="X1574" s="241"/>
      <c r="Y1574" s="284"/>
      <c r="Z1574" s="207"/>
      <c r="AA1574" s="284"/>
      <c r="AB1574" s="284"/>
      <c r="AC1574" s="284"/>
      <c r="AD1574" s="284"/>
      <c r="AE1574" s="284"/>
      <c r="AF1574" s="284"/>
      <c r="AG1574" s="284"/>
      <c r="AI1574" s="131"/>
    </row>
    <row r="1575" spans="1:35" ht="26.4">
      <c r="A1575" s="284"/>
      <c r="B1575" s="284"/>
      <c r="C1575" s="284"/>
      <c r="D1575" s="284"/>
      <c r="E1575" s="284"/>
      <c r="F1575" s="284"/>
      <c r="G1575" s="284"/>
      <c r="H1575" s="284"/>
      <c r="I1575" s="284"/>
      <c r="J1575" s="375"/>
      <c r="K1575" s="375"/>
      <c r="L1575" s="375"/>
      <c r="M1575" s="368"/>
      <c r="N1575" s="368"/>
      <c r="O1575" s="370"/>
      <c r="T1575" s="349"/>
      <c r="V1575" s="378"/>
      <c r="W1575" s="64" ph="1"/>
      <c r="X1575" s="241"/>
      <c r="Y1575" s="284"/>
      <c r="Z1575" s="207"/>
      <c r="AA1575" s="284"/>
      <c r="AB1575" s="284"/>
      <c r="AC1575" s="284"/>
      <c r="AD1575" s="284"/>
      <c r="AE1575" s="284"/>
      <c r="AF1575" s="284"/>
      <c r="AG1575" s="284"/>
      <c r="AI1575" s="131"/>
    </row>
    <row r="1576" spans="1:35" ht="26.4">
      <c r="A1576" s="284"/>
      <c r="B1576" s="284"/>
      <c r="C1576" s="284"/>
      <c r="D1576" s="284"/>
      <c r="E1576" s="284"/>
      <c r="F1576" s="284"/>
      <c r="G1576" s="284"/>
      <c r="H1576" s="284"/>
      <c r="I1576" s="284"/>
      <c r="J1576" s="375"/>
      <c r="K1576" s="375"/>
      <c r="L1576" s="375"/>
      <c r="M1576" s="368"/>
      <c r="N1576" s="368"/>
      <c r="O1576" s="370"/>
      <c r="T1576" s="349"/>
      <c r="V1576" s="378"/>
      <c r="W1576" s="64" ph="1"/>
      <c r="X1576" s="241"/>
      <c r="Y1576" s="284"/>
      <c r="Z1576" s="207"/>
      <c r="AA1576" s="284"/>
      <c r="AB1576" s="284"/>
      <c r="AC1576" s="284"/>
      <c r="AD1576" s="284"/>
      <c r="AE1576" s="284"/>
      <c r="AF1576" s="284"/>
      <c r="AG1576" s="284"/>
      <c r="AI1576" s="131"/>
    </row>
    <row r="1577" spans="1:35" ht="26.4">
      <c r="A1577" s="284"/>
      <c r="B1577" s="284"/>
      <c r="C1577" s="284"/>
      <c r="D1577" s="284"/>
      <c r="E1577" s="284"/>
      <c r="F1577" s="284"/>
      <c r="G1577" s="284"/>
      <c r="H1577" s="284"/>
      <c r="I1577" s="284"/>
      <c r="J1577" s="375"/>
      <c r="K1577" s="375"/>
      <c r="L1577" s="375"/>
      <c r="M1577" s="368"/>
      <c r="N1577" s="368"/>
      <c r="O1577" s="370"/>
      <c r="T1577" s="349"/>
      <c r="V1577" s="378"/>
      <c r="W1577" s="64" ph="1"/>
      <c r="X1577" s="241"/>
      <c r="Y1577" s="284"/>
      <c r="Z1577" s="207"/>
      <c r="AA1577" s="284"/>
      <c r="AB1577" s="284"/>
      <c r="AC1577" s="284"/>
      <c r="AD1577" s="284"/>
      <c r="AE1577" s="284"/>
      <c r="AF1577" s="284"/>
      <c r="AG1577" s="284"/>
      <c r="AI1577" s="131"/>
    </row>
    <row r="1578" spans="1:35" ht="26.4">
      <c r="A1578" s="284"/>
      <c r="B1578" s="284"/>
      <c r="C1578" s="284"/>
      <c r="D1578" s="284"/>
      <c r="E1578" s="284"/>
      <c r="F1578" s="284"/>
      <c r="G1578" s="284"/>
      <c r="H1578" s="284"/>
      <c r="I1578" s="284"/>
      <c r="J1578" s="375"/>
      <c r="K1578" s="375"/>
      <c r="L1578" s="375"/>
      <c r="M1578" s="368"/>
      <c r="N1578" s="368"/>
      <c r="O1578" s="370"/>
      <c r="T1578" s="349"/>
      <c r="V1578" s="378"/>
      <c r="W1578" s="64" ph="1"/>
      <c r="X1578" s="241"/>
      <c r="Y1578" s="284"/>
      <c r="Z1578" s="207"/>
      <c r="AA1578" s="284"/>
      <c r="AB1578" s="284"/>
      <c r="AC1578" s="284"/>
      <c r="AD1578" s="284"/>
      <c r="AE1578" s="284"/>
      <c r="AF1578" s="284"/>
      <c r="AG1578" s="284"/>
      <c r="AI1578" s="131"/>
    </row>
    <row r="1579" spans="1:35" ht="26.4">
      <c r="A1579" s="284"/>
      <c r="B1579" s="284"/>
      <c r="C1579" s="284"/>
      <c r="D1579" s="284"/>
      <c r="E1579" s="284"/>
      <c r="F1579" s="284"/>
      <c r="G1579" s="284"/>
      <c r="H1579" s="284"/>
      <c r="I1579" s="284"/>
      <c r="J1579" s="375"/>
      <c r="K1579" s="375"/>
      <c r="L1579" s="375"/>
      <c r="M1579" s="368"/>
      <c r="N1579" s="368"/>
      <c r="O1579" s="370"/>
      <c r="T1579" s="349"/>
      <c r="V1579" s="378"/>
      <c r="W1579" s="64" ph="1"/>
      <c r="X1579" s="241"/>
      <c r="Y1579" s="284"/>
      <c r="Z1579" s="207"/>
      <c r="AA1579" s="284"/>
      <c r="AB1579" s="284"/>
      <c r="AC1579" s="284"/>
      <c r="AD1579" s="284"/>
      <c r="AE1579" s="284"/>
      <c r="AF1579" s="284"/>
      <c r="AG1579" s="284"/>
      <c r="AI1579" s="131"/>
    </row>
    <row r="1580" spans="1:35" ht="26.4">
      <c r="A1580" s="284"/>
      <c r="B1580" s="284"/>
      <c r="C1580" s="284"/>
      <c r="D1580" s="284"/>
      <c r="E1580" s="284"/>
      <c r="F1580" s="284"/>
      <c r="G1580" s="284"/>
      <c r="H1580" s="284"/>
      <c r="I1580" s="284"/>
      <c r="J1580" s="375"/>
      <c r="K1580" s="375"/>
      <c r="L1580" s="375"/>
      <c r="M1580" s="368"/>
      <c r="N1580" s="368"/>
      <c r="O1580" s="370"/>
      <c r="T1580" s="349"/>
      <c r="V1580" s="378"/>
      <c r="W1580" s="64" ph="1"/>
      <c r="X1580" s="241"/>
      <c r="Y1580" s="284"/>
      <c r="Z1580" s="207"/>
      <c r="AA1580" s="284"/>
      <c r="AB1580" s="284"/>
      <c r="AC1580" s="284"/>
      <c r="AD1580" s="284"/>
      <c r="AE1580" s="284"/>
      <c r="AF1580" s="284"/>
      <c r="AG1580" s="284"/>
      <c r="AI1580" s="131"/>
    </row>
    <row r="1581" spans="1:35" ht="26.4">
      <c r="A1581" s="284"/>
      <c r="B1581" s="284"/>
      <c r="C1581" s="284"/>
      <c r="D1581" s="284"/>
      <c r="E1581" s="284"/>
      <c r="F1581" s="284"/>
      <c r="G1581" s="284"/>
      <c r="H1581" s="284"/>
      <c r="I1581" s="284"/>
      <c r="J1581" s="375"/>
      <c r="K1581" s="375"/>
      <c r="L1581" s="375"/>
      <c r="M1581" s="368"/>
      <c r="N1581" s="368"/>
      <c r="O1581" s="370"/>
      <c r="T1581" s="349"/>
      <c r="V1581" s="378"/>
      <c r="W1581" s="64" ph="1"/>
      <c r="X1581" s="241"/>
      <c r="Y1581" s="284"/>
      <c r="Z1581" s="207"/>
      <c r="AA1581" s="284"/>
      <c r="AB1581" s="284"/>
      <c r="AC1581" s="284"/>
      <c r="AD1581" s="284"/>
      <c r="AE1581" s="284"/>
      <c r="AF1581" s="284"/>
      <c r="AG1581" s="284"/>
      <c r="AI1581" s="131"/>
    </row>
    <row r="1582" spans="1:35" ht="26.4">
      <c r="A1582" s="284"/>
      <c r="B1582" s="284"/>
      <c r="C1582" s="284"/>
      <c r="D1582" s="284"/>
      <c r="E1582" s="284"/>
      <c r="F1582" s="284"/>
      <c r="G1582" s="284"/>
      <c r="H1582" s="284"/>
      <c r="I1582" s="284"/>
      <c r="J1582" s="375"/>
      <c r="K1582" s="375"/>
      <c r="L1582" s="375"/>
      <c r="M1582" s="368"/>
      <c r="N1582" s="368"/>
      <c r="O1582" s="370"/>
      <c r="T1582" s="349"/>
      <c r="V1582" s="378"/>
      <c r="W1582" s="64" ph="1"/>
      <c r="X1582" s="241"/>
      <c r="Y1582" s="284"/>
      <c r="Z1582" s="207"/>
      <c r="AA1582" s="284"/>
      <c r="AB1582" s="284"/>
      <c r="AC1582" s="284"/>
      <c r="AD1582" s="284"/>
      <c r="AE1582" s="284"/>
      <c r="AF1582" s="284"/>
      <c r="AG1582" s="284"/>
      <c r="AI1582" s="131"/>
    </row>
    <row r="1583" spans="1:35" ht="26.4">
      <c r="A1583" s="284"/>
      <c r="B1583" s="284"/>
      <c r="C1583" s="284"/>
      <c r="D1583" s="284"/>
      <c r="E1583" s="284"/>
      <c r="F1583" s="284"/>
      <c r="G1583" s="284"/>
      <c r="H1583" s="284"/>
      <c r="I1583" s="284"/>
      <c r="J1583" s="375"/>
      <c r="K1583" s="375"/>
      <c r="L1583" s="375"/>
      <c r="M1583" s="368"/>
      <c r="N1583" s="368"/>
      <c r="O1583" s="370"/>
      <c r="T1583" s="349"/>
      <c r="V1583" s="378"/>
      <c r="W1583" s="64" ph="1"/>
      <c r="X1583" s="241"/>
      <c r="Y1583" s="284"/>
      <c r="Z1583" s="207"/>
      <c r="AA1583" s="284"/>
      <c r="AB1583" s="284"/>
      <c r="AC1583" s="284"/>
      <c r="AD1583" s="284"/>
      <c r="AE1583" s="284"/>
      <c r="AF1583" s="284"/>
      <c r="AG1583" s="284"/>
      <c r="AI1583" s="131"/>
    </row>
    <row r="1584" spans="1:35" ht="26.4">
      <c r="A1584" s="284"/>
      <c r="B1584" s="284"/>
      <c r="C1584" s="284"/>
      <c r="D1584" s="284"/>
      <c r="E1584" s="284"/>
      <c r="F1584" s="284"/>
      <c r="G1584" s="284"/>
      <c r="H1584" s="284"/>
      <c r="I1584" s="284"/>
      <c r="J1584" s="375"/>
      <c r="K1584" s="375"/>
      <c r="L1584" s="375"/>
      <c r="M1584" s="368"/>
      <c r="N1584" s="368"/>
      <c r="O1584" s="370"/>
      <c r="T1584" s="349"/>
      <c r="V1584" s="378"/>
      <c r="W1584" s="64" ph="1"/>
      <c r="X1584" s="241"/>
      <c r="Y1584" s="284"/>
      <c r="Z1584" s="207"/>
      <c r="AA1584" s="284"/>
      <c r="AB1584" s="284"/>
      <c r="AC1584" s="284"/>
      <c r="AD1584" s="284"/>
      <c r="AE1584" s="284"/>
      <c r="AF1584" s="284"/>
      <c r="AG1584" s="284"/>
      <c r="AI1584" s="131"/>
    </row>
    <row r="1585" spans="1:35" ht="26.4">
      <c r="A1585" s="284"/>
      <c r="B1585" s="284"/>
      <c r="C1585" s="284"/>
      <c r="D1585" s="284"/>
      <c r="E1585" s="284"/>
      <c r="F1585" s="284"/>
      <c r="G1585" s="284"/>
      <c r="H1585" s="284"/>
      <c r="I1585" s="284"/>
      <c r="J1585" s="375"/>
      <c r="K1585" s="375"/>
      <c r="L1585" s="375"/>
      <c r="M1585" s="368"/>
      <c r="N1585" s="368"/>
      <c r="O1585" s="370"/>
      <c r="T1585" s="349"/>
      <c r="V1585" s="378"/>
      <c r="W1585" s="64" ph="1"/>
      <c r="X1585" s="241"/>
      <c r="Y1585" s="284"/>
      <c r="Z1585" s="207"/>
      <c r="AA1585" s="284"/>
      <c r="AB1585" s="284"/>
      <c r="AC1585" s="284"/>
      <c r="AD1585" s="284"/>
      <c r="AE1585" s="284"/>
      <c r="AF1585" s="284"/>
      <c r="AG1585" s="284"/>
      <c r="AI1585" s="131"/>
    </row>
    <row r="1586" spans="1:35" ht="26.4">
      <c r="A1586" s="284"/>
      <c r="B1586" s="284"/>
      <c r="C1586" s="284"/>
      <c r="D1586" s="284"/>
      <c r="E1586" s="284"/>
      <c r="F1586" s="284"/>
      <c r="G1586" s="284"/>
      <c r="H1586" s="284"/>
      <c r="I1586" s="284"/>
      <c r="J1586" s="375"/>
      <c r="K1586" s="375"/>
      <c r="L1586" s="375"/>
      <c r="M1586" s="368"/>
      <c r="N1586" s="368"/>
      <c r="O1586" s="370"/>
      <c r="T1586" s="349"/>
      <c r="V1586" s="378"/>
      <c r="W1586" s="64" ph="1"/>
      <c r="X1586" s="241"/>
      <c r="Y1586" s="284"/>
      <c r="Z1586" s="207"/>
      <c r="AA1586" s="284"/>
      <c r="AB1586" s="284"/>
      <c r="AC1586" s="284"/>
      <c r="AD1586" s="284"/>
      <c r="AE1586" s="284"/>
      <c r="AF1586" s="284"/>
      <c r="AG1586" s="284"/>
      <c r="AI1586" s="131"/>
    </row>
    <row r="1587" spans="1:35" ht="26.4">
      <c r="A1587" s="284"/>
      <c r="B1587" s="284"/>
      <c r="C1587" s="284"/>
      <c r="D1587" s="284"/>
      <c r="E1587" s="284"/>
      <c r="F1587" s="284"/>
      <c r="G1587" s="284"/>
      <c r="H1587" s="284"/>
      <c r="I1587" s="284"/>
      <c r="J1587" s="375"/>
      <c r="K1587" s="375"/>
      <c r="L1587" s="375"/>
      <c r="M1587" s="368"/>
      <c r="N1587" s="368"/>
      <c r="O1587" s="370"/>
      <c r="T1587" s="349"/>
      <c r="V1587" s="378"/>
      <c r="W1587" s="64" ph="1"/>
      <c r="X1587" s="241"/>
      <c r="Y1587" s="284"/>
      <c r="Z1587" s="207"/>
      <c r="AA1587" s="284"/>
      <c r="AB1587" s="284"/>
      <c r="AC1587" s="284"/>
      <c r="AD1587" s="284"/>
      <c r="AE1587" s="284"/>
      <c r="AF1587" s="284"/>
      <c r="AG1587" s="284"/>
      <c r="AI1587" s="131"/>
    </row>
    <row r="1588" spans="1:35" ht="26.4">
      <c r="A1588" s="284"/>
      <c r="B1588" s="284"/>
      <c r="C1588" s="284"/>
      <c r="D1588" s="284"/>
      <c r="E1588" s="284"/>
      <c r="F1588" s="284"/>
      <c r="G1588" s="284"/>
      <c r="H1588" s="284"/>
      <c r="I1588" s="284"/>
      <c r="J1588" s="375"/>
      <c r="K1588" s="375"/>
      <c r="L1588" s="375"/>
      <c r="M1588" s="368"/>
      <c r="N1588" s="368"/>
      <c r="O1588" s="370"/>
      <c r="T1588" s="349"/>
      <c r="V1588" s="378"/>
      <c r="W1588" s="64" ph="1"/>
      <c r="X1588" s="241"/>
      <c r="Y1588" s="284"/>
      <c r="Z1588" s="207"/>
      <c r="AA1588" s="284"/>
      <c r="AB1588" s="284"/>
      <c r="AC1588" s="284"/>
      <c r="AD1588" s="284"/>
      <c r="AE1588" s="284"/>
      <c r="AF1588" s="284"/>
      <c r="AG1588" s="284"/>
      <c r="AI1588" s="131"/>
    </row>
    <row r="1589" spans="1:35" ht="26.4">
      <c r="A1589" s="284"/>
      <c r="B1589" s="284"/>
      <c r="C1589" s="284"/>
      <c r="D1589" s="284"/>
      <c r="E1589" s="284"/>
      <c r="F1589" s="284"/>
      <c r="G1589" s="284"/>
      <c r="H1589" s="284"/>
      <c r="I1589" s="284"/>
      <c r="J1589" s="375"/>
      <c r="K1589" s="375"/>
      <c r="L1589" s="375"/>
      <c r="M1589" s="368"/>
      <c r="N1589" s="368"/>
      <c r="O1589" s="370"/>
      <c r="T1589" s="349"/>
      <c r="V1589" s="378"/>
      <c r="W1589" s="64" ph="1"/>
      <c r="X1589" s="241"/>
      <c r="Y1589" s="284"/>
      <c r="Z1589" s="207"/>
      <c r="AA1589" s="284"/>
      <c r="AB1589" s="284"/>
      <c r="AC1589" s="284"/>
      <c r="AD1589" s="284"/>
      <c r="AE1589" s="284"/>
      <c r="AF1589" s="284"/>
      <c r="AG1589" s="284"/>
      <c r="AI1589" s="131"/>
    </row>
    <row r="1590" spans="1:35" ht="26.4">
      <c r="A1590" s="284"/>
      <c r="B1590" s="284"/>
      <c r="C1590" s="284"/>
      <c r="D1590" s="284"/>
      <c r="E1590" s="284"/>
      <c r="F1590" s="284"/>
      <c r="G1590" s="284"/>
      <c r="H1590" s="284"/>
      <c r="I1590" s="284"/>
      <c r="J1590" s="375"/>
      <c r="K1590" s="375"/>
      <c r="L1590" s="375"/>
      <c r="M1590" s="368"/>
      <c r="N1590" s="368"/>
      <c r="O1590" s="370"/>
      <c r="T1590" s="349"/>
      <c r="V1590" s="378"/>
      <c r="W1590" s="64" ph="1"/>
      <c r="X1590" s="241"/>
      <c r="Y1590" s="284"/>
      <c r="Z1590" s="207"/>
      <c r="AA1590" s="284"/>
      <c r="AB1590" s="284"/>
      <c r="AC1590" s="284"/>
      <c r="AD1590" s="284"/>
      <c r="AE1590" s="284"/>
      <c r="AF1590" s="284"/>
      <c r="AG1590" s="284"/>
      <c r="AI1590" s="131"/>
    </row>
    <row r="1591" spans="1:35" ht="26.4">
      <c r="A1591" s="284"/>
      <c r="B1591" s="284"/>
      <c r="C1591" s="284"/>
      <c r="D1591" s="284"/>
      <c r="E1591" s="284"/>
      <c r="F1591" s="284"/>
      <c r="G1591" s="284"/>
      <c r="H1591" s="284"/>
      <c r="I1591" s="284"/>
      <c r="J1591" s="375"/>
      <c r="K1591" s="375"/>
      <c r="L1591" s="375"/>
      <c r="M1591" s="368"/>
      <c r="N1591" s="368"/>
      <c r="O1591" s="370"/>
      <c r="T1591" s="349"/>
      <c r="V1591" s="378"/>
      <c r="W1591" s="64" ph="1"/>
      <c r="X1591" s="241"/>
      <c r="Y1591" s="284"/>
      <c r="Z1591" s="207"/>
      <c r="AA1591" s="284"/>
      <c r="AB1591" s="284"/>
      <c r="AC1591" s="284"/>
      <c r="AD1591" s="284"/>
      <c r="AE1591" s="284"/>
      <c r="AF1591" s="284"/>
      <c r="AG1591" s="284"/>
      <c r="AI1591" s="131"/>
    </row>
    <row r="1592" spans="1:35" ht="26.4">
      <c r="A1592" s="284"/>
      <c r="B1592" s="284"/>
      <c r="C1592" s="284"/>
      <c r="D1592" s="284"/>
      <c r="E1592" s="284"/>
      <c r="F1592" s="284"/>
      <c r="G1592" s="284"/>
      <c r="H1592" s="284"/>
      <c r="I1592" s="284"/>
      <c r="J1592" s="375"/>
      <c r="K1592" s="375"/>
      <c r="L1592" s="375"/>
      <c r="M1592" s="368"/>
      <c r="N1592" s="368"/>
      <c r="O1592" s="370"/>
      <c r="T1592" s="349"/>
      <c r="V1592" s="378"/>
      <c r="W1592" s="64" ph="1"/>
      <c r="X1592" s="241"/>
      <c r="Y1592" s="284"/>
      <c r="Z1592" s="207"/>
      <c r="AA1592" s="284"/>
      <c r="AB1592" s="284"/>
      <c r="AC1592" s="284"/>
      <c r="AD1592" s="284"/>
      <c r="AE1592" s="284"/>
      <c r="AF1592" s="284"/>
      <c r="AG1592" s="284"/>
      <c r="AI1592" s="131"/>
    </row>
    <row r="1593" spans="1:35" ht="26.4">
      <c r="A1593" s="284"/>
      <c r="B1593" s="284"/>
      <c r="C1593" s="284"/>
      <c r="D1593" s="284"/>
      <c r="E1593" s="284"/>
      <c r="F1593" s="284"/>
      <c r="G1593" s="284"/>
      <c r="H1593" s="284"/>
      <c r="I1593" s="284"/>
      <c r="J1593" s="375"/>
      <c r="K1593" s="375"/>
      <c r="L1593" s="375"/>
      <c r="M1593" s="368"/>
      <c r="N1593" s="368"/>
      <c r="O1593" s="370"/>
      <c r="T1593" s="349"/>
      <c r="V1593" s="378"/>
      <c r="W1593" s="64" ph="1"/>
      <c r="X1593" s="241"/>
      <c r="Y1593" s="284"/>
      <c r="Z1593" s="207"/>
      <c r="AA1593" s="284"/>
      <c r="AB1593" s="284"/>
      <c r="AC1593" s="284"/>
      <c r="AD1593" s="284"/>
      <c r="AE1593" s="284"/>
      <c r="AF1593" s="284"/>
      <c r="AG1593" s="284"/>
      <c r="AI1593" s="131"/>
    </row>
    <row r="1594" spans="1:35" ht="26.4">
      <c r="A1594" s="284"/>
      <c r="B1594" s="284"/>
      <c r="C1594" s="284"/>
      <c r="D1594" s="284"/>
      <c r="E1594" s="284"/>
      <c r="F1594" s="284"/>
      <c r="G1594" s="284"/>
      <c r="H1594" s="284"/>
      <c r="I1594" s="284"/>
      <c r="J1594" s="375"/>
      <c r="K1594" s="375"/>
      <c r="L1594" s="375"/>
      <c r="M1594" s="368"/>
      <c r="N1594" s="368"/>
      <c r="O1594" s="370"/>
      <c r="T1594" s="349"/>
      <c r="V1594" s="378"/>
      <c r="W1594" s="64" ph="1"/>
      <c r="X1594" s="241"/>
      <c r="Y1594" s="284"/>
      <c r="Z1594" s="207"/>
      <c r="AA1594" s="284"/>
      <c r="AB1594" s="284"/>
      <c r="AC1594" s="284"/>
      <c r="AD1594" s="284"/>
      <c r="AE1594" s="284"/>
      <c r="AF1594" s="284"/>
      <c r="AG1594" s="284"/>
      <c r="AI1594" s="131"/>
    </row>
    <row r="1595" spans="1:35" ht="26.4">
      <c r="A1595" s="284"/>
      <c r="B1595" s="284"/>
      <c r="C1595" s="284"/>
      <c r="D1595" s="284"/>
      <c r="E1595" s="284"/>
      <c r="F1595" s="284"/>
      <c r="G1595" s="284"/>
      <c r="H1595" s="284"/>
      <c r="I1595" s="284"/>
      <c r="J1595" s="375"/>
      <c r="K1595" s="375"/>
      <c r="L1595" s="375"/>
      <c r="M1595" s="368"/>
      <c r="N1595" s="368"/>
      <c r="O1595" s="370"/>
      <c r="T1595" s="349"/>
      <c r="V1595" s="378"/>
      <c r="W1595" s="64" ph="1"/>
      <c r="X1595" s="241"/>
      <c r="Y1595" s="284"/>
      <c r="Z1595" s="207"/>
      <c r="AA1595" s="284"/>
      <c r="AB1595" s="284"/>
      <c r="AC1595" s="284"/>
      <c r="AD1595" s="284"/>
      <c r="AE1595" s="284"/>
      <c r="AF1595" s="284"/>
      <c r="AG1595" s="284"/>
      <c r="AI1595" s="284"/>
    </row>
    <row r="1596" spans="1:35" ht="26.4">
      <c r="A1596" s="284"/>
      <c r="B1596" s="284"/>
      <c r="C1596" s="284"/>
      <c r="D1596" s="284"/>
      <c r="E1596" s="284"/>
      <c r="F1596" s="284"/>
      <c r="G1596" s="284"/>
      <c r="H1596" s="284"/>
      <c r="I1596" s="284"/>
      <c r="J1596" s="375"/>
      <c r="K1596" s="375"/>
      <c r="L1596" s="375"/>
      <c r="M1596" s="368"/>
      <c r="N1596" s="368"/>
      <c r="O1596" s="370"/>
      <c r="T1596" s="349"/>
      <c r="V1596" s="378"/>
      <c r="W1596" s="64" ph="1"/>
      <c r="X1596" s="241"/>
      <c r="Y1596" s="284"/>
      <c r="Z1596" s="207"/>
      <c r="AA1596" s="284"/>
      <c r="AB1596" s="284"/>
      <c r="AC1596" s="284"/>
      <c r="AD1596" s="284"/>
      <c r="AE1596" s="284"/>
      <c r="AF1596" s="284"/>
      <c r="AG1596" s="284"/>
      <c r="AI1596" s="284"/>
    </row>
    <row r="1597" spans="1:35" ht="26.4">
      <c r="A1597" s="284"/>
      <c r="B1597" s="284"/>
      <c r="C1597" s="284"/>
      <c r="D1597" s="284"/>
      <c r="E1597" s="284"/>
      <c r="F1597" s="284"/>
      <c r="G1597" s="284"/>
      <c r="H1597" s="284"/>
      <c r="I1597" s="284"/>
      <c r="J1597" s="375"/>
      <c r="K1597" s="375"/>
      <c r="L1597" s="375"/>
      <c r="M1597" s="368"/>
      <c r="N1597" s="368"/>
      <c r="O1597" s="370"/>
      <c r="T1597" s="349"/>
      <c r="V1597" s="378"/>
      <c r="W1597" s="64" ph="1"/>
      <c r="X1597" s="241"/>
      <c r="Y1597" s="284"/>
      <c r="Z1597" s="207"/>
      <c r="AA1597" s="284"/>
      <c r="AB1597" s="284"/>
      <c r="AC1597" s="284"/>
      <c r="AD1597" s="284"/>
      <c r="AE1597" s="284"/>
      <c r="AF1597" s="284"/>
      <c r="AG1597" s="284"/>
      <c r="AI1597" s="131"/>
    </row>
    <row r="1598" spans="1:35" ht="26.4">
      <c r="A1598" s="284"/>
      <c r="B1598" s="284"/>
      <c r="C1598" s="284"/>
      <c r="D1598" s="284"/>
      <c r="E1598" s="284"/>
      <c r="F1598" s="284"/>
      <c r="G1598" s="284"/>
      <c r="H1598" s="284"/>
      <c r="I1598" s="284"/>
      <c r="J1598" s="375"/>
      <c r="K1598" s="375"/>
      <c r="L1598" s="375"/>
      <c r="M1598" s="368"/>
      <c r="N1598" s="368"/>
      <c r="O1598" s="370"/>
      <c r="T1598" s="349"/>
      <c r="V1598" s="378"/>
      <c r="W1598" s="64" ph="1"/>
      <c r="X1598" s="241"/>
      <c r="Y1598" s="284"/>
      <c r="Z1598" s="207"/>
      <c r="AA1598" s="284"/>
      <c r="AB1598" s="284"/>
      <c r="AC1598" s="284"/>
      <c r="AD1598" s="284"/>
      <c r="AE1598" s="284"/>
      <c r="AF1598" s="284"/>
      <c r="AG1598" s="284"/>
      <c r="AI1598" s="131"/>
    </row>
    <row r="1599" spans="1:35" ht="26.4">
      <c r="A1599" s="284"/>
      <c r="B1599" s="284"/>
      <c r="C1599" s="284"/>
      <c r="D1599" s="284"/>
      <c r="E1599" s="284"/>
      <c r="F1599" s="284"/>
      <c r="G1599" s="284"/>
      <c r="H1599" s="284"/>
      <c r="I1599" s="284"/>
      <c r="J1599" s="375"/>
      <c r="K1599" s="375"/>
      <c r="L1599" s="375"/>
      <c r="M1599" s="368"/>
      <c r="N1599" s="368"/>
      <c r="O1599" s="370"/>
      <c r="T1599" s="349"/>
      <c r="V1599" s="378"/>
      <c r="W1599" s="64" ph="1"/>
      <c r="X1599" s="241"/>
      <c r="Y1599" s="284"/>
      <c r="Z1599" s="207"/>
      <c r="AA1599" s="284"/>
      <c r="AB1599" s="284"/>
      <c r="AC1599" s="284"/>
      <c r="AD1599" s="284"/>
      <c r="AE1599" s="284"/>
      <c r="AF1599" s="284"/>
      <c r="AG1599" s="284"/>
      <c r="AI1599" s="131"/>
    </row>
    <row r="1600" spans="1:35" ht="26.4">
      <c r="A1600" s="284"/>
      <c r="B1600" s="284"/>
      <c r="C1600" s="284"/>
      <c r="D1600" s="284"/>
      <c r="E1600" s="284"/>
      <c r="F1600" s="284"/>
      <c r="G1600" s="284"/>
      <c r="H1600" s="284"/>
      <c r="I1600" s="284"/>
      <c r="J1600" s="375"/>
      <c r="K1600" s="375"/>
      <c r="L1600" s="375"/>
      <c r="M1600" s="368"/>
      <c r="N1600" s="368"/>
      <c r="O1600" s="370"/>
      <c r="T1600" s="349"/>
      <c r="V1600" s="378"/>
      <c r="W1600" s="64" ph="1"/>
      <c r="X1600" s="241"/>
      <c r="Y1600" s="284"/>
      <c r="Z1600" s="207"/>
      <c r="AA1600" s="284"/>
      <c r="AB1600" s="284"/>
      <c r="AC1600" s="284"/>
      <c r="AD1600" s="284"/>
      <c r="AE1600" s="284"/>
      <c r="AF1600" s="284"/>
      <c r="AG1600" s="284"/>
      <c r="AI1600" s="131"/>
    </row>
    <row r="1601" spans="1:35" ht="26.4">
      <c r="A1601" s="284"/>
      <c r="B1601" s="284"/>
      <c r="C1601" s="284"/>
      <c r="D1601" s="284"/>
      <c r="E1601" s="284"/>
      <c r="F1601" s="284"/>
      <c r="G1601" s="284"/>
      <c r="H1601" s="284"/>
      <c r="I1601" s="284"/>
      <c r="J1601" s="375"/>
      <c r="K1601" s="375"/>
      <c r="L1601" s="375"/>
      <c r="M1601" s="368"/>
      <c r="N1601" s="368"/>
      <c r="O1601" s="370"/>
      <c r="T1601" s="349"/>
      <c r="V1601" s="378"/>
      <c r="W1601" s="64" ph="1"/>
      <c r="X1601" s="241"/>
      <c r="Y1601" s="284"/>
      <c r="Z1601" s="207"/>
      <c r="AA1601" s="284"/>
      <c r="AB1601" s="284"/>
      <c r="AC1601" s="284"/>
      <c r="AD1601" s="284"/>
      <c r="AE1601" s="284"/>
      <c r="AF1601" s="284"/>
      <c r="AG1601" s="284"/>
      <c r="AI1601" s="131"/>
    </row>
    <row r="1602" spans="1:35" ht="26.4">
      <c r="A1602" s="284"/>
      <c r="B1602" s="284"/>
      <c r="C1602" s="284"/>
      <c r="D1602" s="284"/>
      <c r="E1602" s="284"/>
      <c r="F1602" s="284"/>
      <c r="G1602" s="284"/>
      <c r="H1602" s="284"/>
      <c r="I1602" s="284"/>
      <c r="J1602" s="375"/>
      <c r="K1602" s="375"/>
      <c r="L1602" s="375"/>
      <c r="M1602" s="368"/>
      <c r="N1602" s="368"/>
      <c r="O1602" s="370"/>
      <c r="T1602" s="349"/>
      <c r="V1602" s="378"/>
      <c r="W1602" s="64" ph="1"/>
      <c r="X1602" s="241"/>
      <c r="Y1602" s="284"/>
      <c r="Z1602" s="207"/>
      <c r="AA1602" s="284"/>
      <c r="AB1602" s="284"/>
      <c r="AC1602" s="284"/>
      <c r="AD1602" s="284"/>
      <c r="AE1602" s="284"/>
      <c r="AF1602" s="284"/>
      <c r="AG1602" s="284"/>
      <c r="AI1602" s="131"/>
    </row>
    <row r="1603" spans="1:35" ht="26.4">
      <c r="A1603" s="284"/>
      <c r="B1603" s="284"/>
      <c r="C1603" s="284"/>
      <c r="D1603" s="284"/>
      <c r="E1603" s="284"/>
      <c r="F1603" s="284"/>
      <c r="G1603" s="284"/>
      <c r="H1603" s="284"/>
      <c r="I1603" s="284"/>
      <c r="J1603" s="375"/>
      <c r="K1603" s="375"/>
      <c r="L1603" s="375"/>
      <c r="M1603" s="368"/>
      <c r="N1603" s="368"/>
      <c r="O1603" s="370"/>
      <c r="T1603" s="349"/>
      <c r="V1603" s="378"/>
      <c r="W1603" s="64" ph="1"/>
      <c r="X1603" s="241"/>
      <c r="Y1603" s="284"/>
      <c r="Z1603" s="207"/>
      <c r="AA1603" s="284"/>
      <c r="AB1603" s="284"/>
      <c r="AC1603" s="284"/>
      <c r="AD1603" s="284"/>
      <c r="AE1603" s="284"/>
      <c r="AF1603" s="284"/>
      <c r="AG1603" s="284"/>
      <c r="AI1603" s="131"/>
    </row>
    <row r="1604" spans="1:35" ht="26.4">
      <c r="A1604" s="284"/>
      <c r="B1604" s="284"/>
      <c r="C1604" s="284"/>
      <c r="D1604" s="284"/>
      <c r="E1604" s="284"/>
      <c r="F1604" s="284"/>
      <c r="G1604" s="284"/>
      <c r="H1604" s="284"/>
      <c r="I1604" s="284"/>
      <c r="J1604" s="375"/>
      <c r="K1604" s="375"/>
      <c r="L1604" s="375"/>
      <c r="M1604" s="368"/>
      <c r="N1604" s="368"/>
      <c r="O1604" s="370"/>
      <c r="T1604" s="349"/>
      <c r="V1604" s="378"/>
      <c r="W1604" s="64" ph="1"/>
      <c r="X1604" s="241"/>
      <c r="Y1604" s="284"/>
      <c r="Z1604" s="207"/>
      <c r="AA1604" s="284"/>
      <c r="AB1604" s="284"/>
      <c r="AC1604" s="284"/>
      <c r="AD1604" s="284"/>
      <c r="AE1604" s="284"/>
      <c r="AF1604" s="284"/>
      <c r="AG1604" s="284"/>
      <c r="AI1604" s="131"/>
    </row>
    <row r="1605" spans="1:35" ht="26.4">
      <c r="A1605" s="284"/>
      <c r="B1605" s="284"/>
      <c r="C1605" s="284"/>
      <c r="D1605" s="284"/>
      <c r="E1605" s="284"/>
      <c r="F1605" s="284"/>
      <c r="G1605" s="284"/>
      <c r="H1605" s="284"/>
      <c r="I1605" s="284"/>
      <c r="J1605" s="375"/>
      <c r="K1605" s="375"/>
      <c r="L1605" s="375"/>
      <c r="M1605" s="368"/>
      <c r="N1605" s="368"/>
      <c r="O1605" s="370"/>
      <c r="T1605" s="349"/>
      <c r="V1605" s="378"/>
      <c r="W1605" s="64" ph="1"/>
      <c r="X1605" s="241"/>
      <c r="Y1605" s="284"/>
      <c r="Z1605" s="207"/>
      <c r="AA1605" s="284"/>
      <c r="AB1605" s="284"/>
      <c r="AC1605" s="284"/>
      <c r="AD1605" s="284"/>
      <c r="AE1605" s="284"/>
      <c r="AF1605" s="284"/>
      <c r="AG1605" s="284"/>
      <c r="AI1605" s="284"/>
    </row>
    <row r="1606" spans="1:35" ht="26.4">
      <c r="A1606" s="284"/>
      <c r="B1606" s="284"/>
      <c r="C1606" s="284"/>
      <c r="D1606" s="284"/>
      <c r="E1606" s="284"/>
      <c r="F1606" s="284"/>
      <c r="G1606" s="284"/>
      <c r="H1606" s="284"/>
      <c r="I1606" s="284"/>
      <c r="J1606" s="375"/>
      <c r="K1606" s="375"/>
      <c r="L1606" s="375"/>
      <c r="M1606" s="368"/>
      <c r="N1606" s="368"/>
      <c r="O1606" s="370"/>
      <c r="T1606" s="349"/>
      <c r="V1606" s="378"/>
      <c r="W1606" s="64" ph="1"/>
      <c r="X1606" s="241"/>
      <c r="Y1606" s="284"/>
      <c r="Z1606" s="207"/>
      <c r="AA1606" s="284"/>
      <c r="AB1606" s="284"/>
      <c r="AC1606" s="284"/>
      <c r="AD1606" s="284"/>
      <c r="AE1606" s="284"/>
      <c r="AF1606" s="284"/>
      <c r="AG1606" s="284"/>
      <c r="AI1606" s="131"/>
    </row>
    <row r="1607" spans="1:35" ht="26.4">
      <c r="A1607" s="284"/>
      <c r="B1607" s="284"/>
      <c r="C1607" s="284"/>
      <c r="D1607" s="284"/>
      <c r="E1607" s="284"/>
      <c r="F1607" s="284"/>
      <c r="G1607" s="284"/>
      <c r="H1607" s="284"/>
      <c r="I1607" s="284"/>
      <c r="J1607" s="375"/>
      <c r="K1607" s="375"/>
      <c r="L1607" s="375"/>
      <c r="M1607" s="368"/>
      <c r="N1607" s="368"/>
      <c r="O1607" s="370"/>
      <c r="T1607" s="349"/>
      <c r="V1607" s="378"/>
      <c r="W1607" s="64" ph="1"/>
      <c r="X1607" s="241"/>
      <c r="Y1607" s="284"/>
      <c r="Z1607" s="207"/>
      <c r="AA1607" s="284"/>
      <c r="AB1607" s="284"/>
      <c r="AC1607" s="284"/>
      <c r="AD1607" s="284"/>
      <c r="AE1607" s="284"/>
      <c r="AF1607" s="284"/>
      <c r="AG1607" s="284"/>
      <c r="AI1607" s="131"/>
    </row>
    <row r="1608" spans="1:35" ht="26.4">
      <c r="A1608" s="284"/>
      <c r="B1608" s="284"/>
      <c r="C1608" s="284"/>
      <c r="D1608" s="284"/>
      <c r="E1608" s="284"/>
      <c r="F1608" s="284"/>
      <c r="G1608" s="284"/>
      <c r="H1608" s="284"/>
      <c r="I1608" s="284"/>
      <c r="J1608" s="375"/>
      <c r="K1608" s="375"/>
      <c r="L1608" s="375"/>
      <c r="M1608" s="368"/>
      <c r="N1608" s="368"/>
      <c r="O1608" s="370"/>
      <c r="T1608" s="349"/>
      <c r="V1608" s="378"/>
      <c r="W1608" s="64" ph="1"/>
      <c r="X1608" s="241"/>
      <c r="Y1608" s="284"/>
      <c r="Z1608" s="207"/>
      <c r="AA1608" s="284"/>
      <c r="AB1608" s="284"/>
      <c r="AC1608" s="284"/>
      <c r="AD1608" s="284"/>
      <c r="AE1608" s="284"/>
      <c r="AF1608" s="284"/>
      <c r="AG1608" s="284"/>
      <c r="AI1608" s="131"/>
    </row>
    <row r="1609" spans="1:35" ht="26.4">
      <c r="A1609" s="284"/>
      <c r="B1609" s="284"/>
      <c r="C1609" s="284"/>
      <c r="D1609" s="284"/>
      <c r="E1609" s="284"/>
      <c r="F1609" s="284"/>
      <c r="G1609" s="284"/>
      <c r="H1609" s="284"/>
      <c r="I1609" s="284"/>
      <c r="J1609" s="375"/>
      <c r="K1609" s="375"/>
      <c r="L1609" s="375"/>
      <c r="M1609" s="368"/>
      <c r="N1609" s="368"/>
      <c r="O1609" s="370"/>
      <c r="T1609" s="349"/>
      <c r="V1609" s="378"/>
      <c r="W1609" s="64" ph="1"/>
      <c r="X1609" s="241"/>
      <c r="Y1609" s="284"/>
      <c r="Z1609" s="207"/>
      <c r="AA1609" s="284"/>
      <c r="AB1609" s="284"/>
      <c r="AC1609" s="284"/>
      <c r="AD1609" s="284"/>
      <c r="AE1609" s="284"/>
      <c r="AF1609" s="284"/>
      <c r="AG1609" s="284"/>
      <c r="AI1609" s="131"/>
    </row>
    <row r="1610" spans="1:35" ht="26.4">
      <c r="A1610" s="284"/>
      <c r="B1610" s="284"/>
      <c r="C1610" s="284"/>
      <c r="D1610" s="284"/>
      <c r="E1610" s="284"/>
      <c r="F1610" s="284"/>
      <c r="G1610" s="284"/>
      <c r="H1610" s="284"/>
      <c r="I1610" s="284"/>
      <c r="J1610" s="375"/>
      <c r="K1610" s="375"/>
      <c r="L1610" s="375"/>
      <c r="M1610" s="368"/>
      <c r="N1610" s="368"/>
      <c r="O1610" s="370"/>
      <c r="T1610" s="349"/>
      <c r="V1610" s="378"/>
      <c r="W1610" s="64" ph="1"/>
      <c r="X1610" s="241"/>
      <c r="Y1610" s="284"/>
      <c r="Z1610" s="207"/>
      <c r="AA1610" s="284"/>
      <c r="AB1610" s="284"/>
      <c r="AC1610" s="284"/>
      <c r="AD1610" s="284"/>
      <c r="AE1610" s="284"/>
      <c r="AF1610" s="284"/>
      <c r="AG1610" s="284"/>
      <c r="AI1610" s="131"/>
    </row>
    <row r="1611" spans="1:35" ht="26.4">
      <c r="A1611" s="284"/>
      <c r="B1611" s="284"/>
      <c r="C1611" s="284"/>
      <c r="D1611" s="284"/>
      <c r="E1611" s="284"/>
      <c r="F1611" s="284"/>
      <c r="G1611" s="284"/>
      <c r="H1611" s="284"/>
      <c r="I1611" s="284"/>
      <c r="J1611" s="375"/>
      <c r="K1611" s="375"/>
      <c r="L1611" s="375"/>
      <c r="M1611" s="368"/>
      <c r="N1611" s="368"/>
      <c r="O1611" s="370"/>
      <c r="T1611" s="349"/>
      <c r="V1611" s="378"/>
      <c r="W1611" s="64" ph="1"/>
      <c r="X1611" s="241"/>
      <c r="Y1611" s="284"/>
      <c r="Z1611" s="207"/>
      <c r="AA1611" s="284"/>
      <c r="AB1611" s="284"/>
      <c r="AC1611" s="284"/>
      <c r="AD1611" s="284"/>
      <c r="AE1611" s="284"/>
      <c r="AF1611" s="284"/>
      <c r="AG1611" s="284"/>
      <c r="AI1611" s="131"/>
    </row>
    <row r="1612" spans="1:35" ht="26.4">
      <c r="A1612" s="284"/>
      <c r="B1612" s="284"/>
      <c r="C1612" s="284"/>
      <c r="D1612" s="284"/>
      <c r="E1612" s="284"/>
      <c r="F1612" s="284"/>
      <c r="G1612" s="284"/>
      <c r="H1612" s="284"/>
      <c r="I1612" s="284"/>
      <c r="J1612" s="375"/>
      <c r="K1612" s="375"/>
      <c r="L1612" s="375"/>
      <c r="M1612" s="368"/>
      <c r="N1612" s="368"/>
      <c r="O1612" s="370"/>
      <c r="T1612" s="349"/>
      <c r="V1612" s="378"/>
      <c r="W1612" s="64" ph="1"/>
      <c r="X1612" s="241"/>
      <c r="Y1612" s="284"/>
      <c r="Z1612" s="207"/>
      <c r="AA1612" s="284"/>
      <c r="AB1612" s="284"/>
      <c r="AC1612" s="284"/>
      <c r="AD1612" s="284"/>
      <c r="AE1612" s="284"/>
      <c r="AF1612" s="284"/>
      <c r="AG1612" s="284"/>
      <c r="AI1612" s="131"/>
    </row>
    <row r="1613" spans="1:35" ht="26.4">
      <c r="A1613" s="284"/>
      <c r="B1613" s="284"/>
      <c r="C1613" s="284"/>
      <c r="D1613" s="284"/>
      <c r="E1613" s="284"/>
      <c r="F1613" s="284"/>
      <c r="G1613" s="284"/>
      <c r="H1613" s="284"/>
      <c r="I1613" s="284"/>
      <c r="J1613" s="375"/>
      <c r="K1613" s="375"/>
      <c r="L1613" s="375"/>
      <c r="M1613" s="368"/>
      <c r="N1613" s="368"/>
      <c r="O1613" s="370"/>
      <c r="T1613" s="349"/>
      <c r="V1613" s="378"/>
      <c r="W1613" s="64" ph="1"/>
      <c r="X1613" s="241"/>
      <c r="Y1613" s="284"/>
      <c r="Z1613" s="207"/>
      <c r="AA1613" s="284"/>
      <c r="AB1613" s="284"/>
      <c r="AC1613" s="284"/>
      <c r="AD1613" s="284"/>
      <c r="AE1613" s="284"/>
      <c r="AF1613" s="284"/>
      <c r="AG1613" s="284"/>
      <c r="AI1613" s="131"/>
    </row>
    <row r="1614" spans="1:35" ht="26.4">
      <c r="A1614" s="284"/>
      <c r="B1614" s="284"/>
      <c r="C1614" s="284"/>
      <c r="D1614" s="284"/>
      <c r="E1614" s="284"/>
      <c r="F1614" s="284"/>
      <c r="G1614" s="284"/>
      <c r="H1614" s="284"/>
      <c r="I1614" s="284"/>
      <c r="J1614" s="375"/>
      <c r="K1614" s="375"/>
      <c r="L1614" s="375"/>
      <c r="M1614" s="368"/>
      <c r="N1614" s="368"/>
      <c r="O1614" s="370"/>
      <c r="T1614" s="349"/>
      <c r="V1614" s="378"/>
      <c r="W1614" s="64" ph="1"/>
      <c r="X1614" s="241"/>
      <c r="Y1614" s="284"/>
      <c r="Z1614" s="207"/>
      <c r="AA1614" s="284"/>
      <c r="AB1614" s="284"/>
      <c r="AC1614" s="284"/>
      <c r="AD1614" s="284"/>
      <c r="AE1614" s="284"/>
      <c r="AF1614" s="284"/>
      <c r="AG1614" s="284"/>
      <c r="AI1614" s="131"/>
    </row>
    <row r="1615" spans="1:35" ht="26.4">
      <c r="A1615" s="284"/>
      <c r="B1615" s="284"/>
      <c r="C1615" s="284"/>
      <c r="D1615" s="284"/>
      <c r="E1615" s="284"/>
      <c r="F1615" s="284"/>
      <c r="G1615" s="284"/>
      <c r="H1615" s="284"/>
      <c r="I1615" s="284"/>
      <c r="J1615" s="375"/>
      <c r="K1615" s="375"/>
      <c r="L1615" s="375"/>
      <c r="M1615" s="368"/>
      <c r="N1615" s="368"/>
      <c r="O1615" s="370"/>
      <c r="T1615" s="349"/>
      <c r="V1615" s="378"/>
      <c r="W1615" s="64" ph="1"/>
      <c r="X1615" s="241"/>
      <c r="Y1615" s="284"/>
      <c r="Z1615" s="207"/>
      <c r="AA1615" s="284"/>
      <c r="AB1615" s="284"/>
      <c r="AC1615" s="284"/>
      <c r="AD1615" s="284"/>
      <c r="AE1615" s="284"/>
      <c r="AF1615" s="284"/>
      <c r="AG1615" s="284"/>
      <c r="AI1615" s="284"/>
    </row>
    <row r="1616" spans="1:35" ht="26.4">
      <c r="A1616" s="284"/>
      <c r="B1616" s="284"/>
      <c r="C1616" s="284"/>
      <c r="D1616" s="284"/>
      <c r="E1616" s="284"/>
      <c r="F1616" s="284"/>
      <c r="G1616" s="284"/>
      <c r="H1616" s="284"/>
      <c r="I1616" s="284"/>
      <c r="J1616" s="375"/>
      <c r="K1616" s="375"/>
      <c r="L1616" s="375"/>
      <c r="M1616" s="368"/>
      <c r="N1616" s="368"/>
      <c r="O1616" s="370"/>
      <c r="T1616" s="349"/>
      <c r="V1616" s="378"/>
      <c r="W1616" s="64" ph="1"/>
      <c r="X1616" s="241"/>
      <c r="Y1616" s="284"/>
      <c r="Z1616" s="207"/>
      <c r="AA1616" s="284"/>
      <c r="AB1616" s="284"/>
      <c r="AC1616" s="284"/>
      <c r="AD1616" s="284"/>
      <c r="AE1616" s="284"/>
      <c r="AF1616" s="284"/>
      <c r="AG1616" s="284"/>
      <c r="AI1616" s="131"/>
    </row>
    <row r="1617" spans="1:35" ht="26.4">
      <c r="A1617" s="284"/>
      <c r="B1617" s="284"/>
      <c r="C1617" s="284"/>
      <c r="D1617" s="284"/>
      <c r="E1617" s="284"/>
      <c r="F1617" s="284"/>
      <c r="G1617" s="284"/>
      <c r="H1617" s="284"/>
      <c r="I1617" s="284"/>
      <c r="J1617" s="375"/>
      <c r="K1617" s="375"/>
      <c r="L1617" s="375"/>
      <c r="M1617" s="368"/>
      <c r="N1617" s="368"/>
      <c r="O1617" s="370"/>
      <c r="T1617" s="349"/>
      <c r="V1617" s="378"/>
      <c r="W1617" s="64" ph="1"/>
      <c r="X1617" s="241"/>
      <c r="Y1617" s="284"/>
      <c r="Z1617" s="207"/>
      <c r="AA1617" s="284"/>
      <c r="AB1617" s="284"/>
      <c r="AC1617" s="284"/>
      <c r="AD1617" s="284"/>
      <c r="AE1617" s="284"/>
      <c r="AF1617" s="284"/>
      <c r="AG1617" s="284"/>
      <c r="AI1617" s="131"/>
    </row>
    <row r="1618" spans="1:35" ht="26.4">
      <c r="A1618" s="284"/>
      <c r="B1618" s="284"/>
      <c r="C1618" s="284"/>
      <c r="D1618" s="284"/>
      <c r="E1618" s="284"/>
      <c r="F1618" s="284"/>
      <c r="G1618" s="284"/>
      <c r="H1618" s="284"/>
      <c r="I1618" s="284"/>
      <c r="J1618" s="375"/>
      <c r="K1618" s="375"/>
      <c r="L1618" s="375"/>
      <c r="M1618" s="368"/>
      <c r="N1618" s="368"/>
      <c r="O1618" s="370"/>
      <c r="T1618" s="349"/>
      <c r="V1618" s="378"/>
      <c r="W1618" s="64" ph="1"/>
      <c r="X1618" s="241"/>
      <c r="Y1618" s="284"/>
      <c r="Z1618" s="207"/>
      <c r="AA1618" s="284"/>
      <c r="AB1618" s="284"/>
      <c r="AC1618" s="284"/>
      <c r="AD1618" s="284"/>
      <c r="AE1618" s="284"/>
      <c r="AF1618" s="284"/>
      <c r="AG1618" s="284"/>
      <c r="AI1618" s="131"/>
    </row>
    <row r="1619" spans="1:35" ht="26.4">
      <c r="A1619" s="284"/>
      <c r="B1619" s="284"/>
      <c r="C1619" s="284"/>
      <c r="D1619" s="284"/>
      <c r="E1619" s="284"/>
      <c r="F1619" s="284"/>
      <c r="G1619" s="284"/>
      <c r="H1619" s="284"/>
      <c r="I1619" s="284"/>
      <c r="J1619" s="375"/>
      <c r="K1619" s="375"/>
      <c r="L1619" s="375"/>
      <c r="M1619" s="368"/>
      <c r="N1619" s="368"/>
      <c r="O1619" s="370"/>
      <c r="T1619" s="349"/>
      <c r="V1619" s="378"/>
      <c r="W1619" s="64" ph="1"/>
      <c r="X1619" s="241"/>
      <c r="Y1619" s="284"/>
      <c r="Z1619" s="207"/>
      <c r="AA1619" s="284"/>
      <c r="AB1619" s="284"/>
      <c r="AC1619" s="284"/>
      <c r="AD1619" s="284"/>
      <c r="AE1619" s="284"/>
      <c r="AF1619" s="284"/>
      <c r="AG1619" s="284"/>
      <c r="AI1619" s="284"/>
    </row>
    <row r="1620" spans="1:35" ht="26.4">
      <c r="A1620" s="284"/>
      <c r="B1620" s="284"/>
      <c r="C1620" s="284"/>
      <c r="D1620" s="284"/>
      <c r="E1620" s="284"/>
      <c r="F1620" s="284"/>
      <c r="G1620" s="284"/>
      <c r="H1620" s="284"/>
      <c r="I1620" s="284"/>
      <c r="J1620" s="375"/>
      <c r="K1620" s="375"/>
      <c r="L1620" s="375"/>
      <c r="M1620" s="368"/>
      <c r="N1620" s="368"/>
      <c r="O1620" s="370"/>
      <c r="T1620" s="349"/>
      <c r="V1620" s="378"/>
      <c r="W1620" s="64" ph="1"/>
      <c r="X1620" s="241"/>
      <c r="Y1620" s="284"/>
      <c r="Z1620" s="207"/>
      <c r="AA1620" s="284"/>
      <c r="AB1620" s="284"/>
      <c r="AC1620" s="284"/>
      <c r="AD1620" s="284"/>
      <c r="AE1620" s="284"/>
      <c r="AF1620" s="284"/>
      <c r="AG1620" s="284"/>
      <c r="AI1620" s="131"/>
    </row>
    <row r="1621" spans="1:35" ht="26.4">
      <c r="A1621" s="284"/>
      <c r="B1621" s="284"/>
      <c r="C1621" s="284"/>
      <c r="D1621" s="284"/>
      <c r="E1621" s="284"/>
      <c r="F1621" s="284"/>
      <c r="G1621" s="284"/>
      <c r="H1621" s="284"/>
      <c r="I1621" s="284"/>
      <c r="J1621" s="375"/>
      <c r="K1621" s="375"/>
      <c r="L1621" s="375"/>
      <c r="M1621" s="368"/>
      <c r="N1621" s="368"/>
      <c r="O1621" s="370"/>
      <c r="T1621" s="349"/>
      <c r="V1621" s="378"/>
      <c r="W1621" s="64" ph="1"/>
      <c r="X1621" s="241"/>
      <c r="Y1621" s="284"/>
      <c r="Z1621" s="207"/>
      <c r="AA1621" s="284"/>
      <c r="AB1621" s="284"/>
      <c r="AC1621" s="284"/>
      <c r="AD1621" s="284"/>
      <c r="AE1621" s="284"/>
      <c r="AF1621" s="284"/>
      <c r="AG1621" s="284"/>
      <c r="AI1621" s="131"/>
    </row>
    <row r="1622" spans="1:35" ht="26.4">
      <c r="A1622" s="284"/>
      <c r="B1622" s="284"/>
      <c r="C1622" s="284"/>
      <c r="D1622" s="284"/>
      <c r="E1622" s="284"/>
      <c r="F1622" s="284"/>
      <c r="G1622" s="284"/>
      <c r="H1622" s="284"/>
      <c r="I1622" s="284"/>
      <c r="J1622" s="375"/>
      <c r="K1622" s="375"/>
      <c r="L1622" s="375"/>
      <c r="M1622" s="368"/>
      <c r="N1622" s="368"/>
      <c r="O1622" s="370"/>
      <c r="T1622" s="349"/>
      <c r="V1622" s="378"/>
      <c r="W1622" s="64" ph="1"/>
      <c r="X1622" s="241"/>
      <c r="Y1622" s="284"/>
      <c r="Z1622" s="207"/>
      <c r="AA1622" s="284"/>
      <c r="AB1622" s="284"/>
      <c r="AC1622" s="284"/>
      <c r="AD1622" s="284"/>
      <c r="AE1622" s="284"/>
      <c r="AF1622" s="284"/>
      <c r="AG1622" s="284"/>
      <c r="AI1622" s="131"/>
    </row>
    <row r="1623" spans="1:35" ht="26.4">
      <c r="A1623" s="284"/>
      <c r="B1623" s="284"/>
      <c r="C1623" s="284"/>
      <c r="D1623" s="284"/>
      <c r="E1623" s="284"/>
      <c r="F1623" s="284"/>
      <c r="G1623" s="284"/>
      <c r="H1623" s="284"/>
      <c r="I1623" s="284"/>
      <c r="J1623" s="375"/>
      <c r="K1623" s="375"/>
      <c r="L1623" s="375"/>
      <c r="M1623" s="368"/>
      <c r="N1623" s="368"/>
      <c r="O1623" s="370"/>
      <c r="T1623" s="349"/>
      <c r="V1623" s="378"/>
      <c r="W1623" s="64" ph="1"/>
      <c r="X1623" s="241"/>
      <c r="Y1623" s="284"/>
      <c r="Z1623" s="207"/>
      <c r="AA1623" s="284"/>
      <c r="AB1623" s="284"/>
      <c r="AC1623" s="284"/>
      <c r="AD1623" s="284"/>
      <c r="AE1623" s="284"/>
      <c r="AF1623" s="284"/>
      <c r="AG1623" s="284"/>
      <c r="AI1623" s="131"/>
    </row>
    <row r="1624" spans="1:35" ht="26.4">
      <c r="A1624" s="284"/>
      <c r="B1624" s="284"/>
      <c r="C1624" s="284"/>
      <c r="D1624" s="284"/>
      <c r="E1624" s="284"/>
      <c r="F1624" s="284"/>
      <c r="G1624" s="284"/>
      <c r="H1624" s="284"/>
      <c r="I1624" s="284"/>
      <c r="J1624" s="375"/>
      <c r="K1624" s="375"/>
      <c r="L1624" s="375"/>
      <c r="M1624" s="368"/>
      <c r="N1624" s="368"/>
      <c r="O1624" s="370"/>
      <c r="T1624" s="349"/>
      <c r="V1624" s="378"/>
      <c r="W1624" s="64" ph="1"/>
      <c r="X1624" s="241"/>
      <c r="Y1624" s="284"/>
      <c r="Z1624" s="207"/>
      <c r="AA1624" s="284"/>
      <c r="AB1624" s="284"/>
      <c r="AC1624" s="284"/>
      <c r="AD1624" s="284"/>
      <c r="AE1624" s="284"/>
      <c r="AF1624" s="284"/>
      <c r="AG1624" s="284"/>
      <c r="AI1624" s="131"/>
    </row>
    <row r="1625" spans="1:35" ht="26.4">
      <c r="A1625" s="284"/>
      <c r="B1625" s="284"/>
      <c r="C1625" s="284"/>
      <c r="D1625" s="284"/>
      <c r="E1625" s="284"/>
      <c r="F1625" s="284"/>
      <c r="G1625" s="284"/>
      <c r="H1625" s="284"/>
      <c r="I1625" s="284"/>
      <c r="J1625" s="375"/>
      <c r="K1625" s="375"/>
      <c r="L1625" s="375"/>
      <c r="M1625" s="368"/>
      <c r="N1625" s="368"/>
      <c r="O1625" s="370"/>
      <c r="T1625" s="349"/>
      <c r="V1625" s="378"/>
      <c r="W1625" s="64" ph="1"/>
      <c r="X1625" s="241"/>
      <c r="Y1625" s="284"/>
      <c r="Z1625" s="207"/>
      <c r="AA1625" s="284"/>
      <c r="AB1625" s="284"/>
      <c r="AC1625" s="284"/>
      <c r="AD1625" s="284"/>
      <c r="AE1625" s="284"/>
      <c r="AF1625" s="284"/>
      <c r="AG1625" s="284"/>
      <c r="AI1625" s="131"/>
    </row>
    <row r="1626" spans="1:35" ht="26.4">
      <c r="A1626" s="284"/>
      <c r="B1626" s="284"/>
      <c r="C1626" s="284"/>
      <c r="D1626" s="284"/>
      <c r="E1626" s="284"/>
      <c r="F1626" s="284"/>
      <c r="G1626" s="284"/>
      <c r="H1626" s="284"/>
      <c r="I1626" s="284"/>
      <c r="J1626" s="375"/>
      <c r="K1626" s="375"/>
      <c r="L1626" s="375"/>
      <c r="M1626" s="368"/>
      <c r="N1626" s="368"/>
      <c r="O1626" s="370"/>
      <c r="T1626" s="349"/>
      <c r="V1626" s="378"/>
      <c r="W1626" s="64" ph="1"/>
      <c r="X1626" s="241"/>
      <c r="Y1626" s="284"/>
      <c r="Z1626" s="207"/>
      <c r="AA1626" s="284"/>
      <c r="AB1626" s="284"/>
      <c r="AC1626" s="284"/>
      <c r="AD1626" s="284"/>
      <c r="AE1626" s="284"/>
      <c r="AF1626" s="284"/>
      <c r="AG1626" s="284"/>
      <c r="AI1626" s="131"/>
    </row>
    <row r="1627" spans="1:35" ht="26.4">
      <c r="A1627" s="284"/>
      <c r="B1627" s="284"/>
      <c r="C1627" s="284"/>
      <c r="D1627" s="284"/>
      <c r="E1627" s="284"/>
      <c r="F1627" s="284"/>
      <c r="G1627" s="284"/>
      <c r="H1627" s="284"/>
      <c r="I1627" s="284"/>
      <c r="J1627" s="375"/>
      <c r="K1627" s="375"/>
      <c r="L1627" s="375"/>
      <c r="M1627" s="368"/>
      <c r="N1627" s="368"/>
      <c r="O1627" s="370"/>
      <c r="T1627" s="349"/>
      <c r="V1627" s="378"/>
      <c r="W1627" s="64" ph="1"/>
      <c r="X1627" s="241"/>
      <c r="Y1627" s="284"/>
      <c r="Z1627" s="207"/>
      <c r="AA1627" s="284"/>
      <c r="AB1627" s="284"/>
      <c r="AC1627" s="284"/>
      <c r="AD1627" s="284"/>
      <c r="AE1627" s="284"/>
      <c r="AF1627" s="284"/>
      <c r="AG1627" s="284"/>
      <c r="AI1627" s="131"/>
    </row>
    <row r="1628" spans="1:35" ht="26.4">
      <c r="A1628" s="284"/>
      <c r="B1628" s="284"/>
      <c r="C1628" s="284"/>
      <c r="D1628" s="284"/>
      <c r="E1628" s="284"/>
      <c r="F1628" s="284"/>
      <c r="G1628" s="284"/>
      <c r="H1628" s="284"/>
      <c r="I1628" s="284"/>
      <c r="J1628" s="375"/>
      <c r="K1628" s="375"/>
      <c r="L1628" s="375"/>
      <c r="M1628" s="368"/>
      <c r="N1628" s="368"/>
      <c r="O1628" s="370"/>
      <c r="T1628" s="349"/>
      <c r="V1628" s="378"/>
      <c r="W1628" s="64" ph="1"/>
      <c r="X1628" s="241"/>
      <c r="Y1628" s="284"/>
      <c r="Z1628" s="207"/>
      <c r="AA1628" s="284"/>
      <c r="AB1628" s="284"/>
      <c r="AC1628" s="284"/>
      <c r="AD1628" s="284"/>
      <c r="AE1628" s="284"/>
      <c r="AF1628" s="284"/>
      <c r="AG1628" s="284"/>
      <c r="AI1628" s="131"/>
    </row>
    <row r="1629" spans="1:35" ht="26.4">
      <c r="A1629" s="284"/>
      <c r="B1629" s="284"/>
      <c r="C1629" s="284"/>
      <c r="D1629" s="284"/>
      <c r="E1629" s="284"/>
      <c r="F1629" s="284"/>
      <c r="G1629" s="284"/>
      <c r="H1629" s="284"/>
      <c r="I1629" s="284"/>
      <c r="J1629" s="375"/>
      <c r="K1629" s="375"/>
      <c r="L1629" s="375"/>
      <c r="M1629" s="368"/>
      <c r="N1629" s="368"/>
      <c r="O1629" s="370"/>
      <c r="T1629" s="349"/>
      <c r="V1629" s="378"/>
      <c r="W1629" s="64" ph="1"/>
      <c r="X1629" s="241"/>
      <c r="Y1629" s="284"/>
      <c r="Z1629" s="207"/>
      <c r="AA1629" s="284"/>
      <c r="AB1629" s="284"/>
      <c r="AC1629" s="284"/>
      <c r="AD1629" s="284"/>
      <c r="AE1629" s="284"/>
      <c r="AF1629" s="284"/>
      <c r="AG1629" s="284"/>
      <c r="AI1629" s="131"/>
    </row>
    <row r="1630" spans="1:35" ht="26.4">
      <c r="A1630" s="284"/>
      <c r="B1630" s="284"/>
      <c r="C1630" s="284"/>
      <c r="D1630" s="284"/>
      <c r="E1630" s="284"/>
      <c r="F1630" s="284"/>
      <c r="G1630" s="284"/>
      <c r="H1630" s="284"/>
      <c r="I1630" s="284"/>
      <c r="J1630" s="375"/>
      <c r="K1630" s="375"/>
      <c r="L1630" s="375"/>
      <c r="M1630" s="368"/>
      <c r="N1630" s="368"/>
      <c r="O1630" s="370"/>
      <c r="T1630" s="349"/>
      <c r="V1630" s="378"/>
      <c r="W1630" s="64" ph="1"/>
      <c r="X1630" s="241"/>
      <c r="Y1630" s="284"/>
      <c r="Z1630" s="207"/>
      <c r="AA1630" s="284"/>
      <c r="AB1630" s="284"/>
      <c r="AC1630" s="284"/>
      <c r="AD1630" s="284"/>
      <c r="AE1630" s="284"/>
      <c r="AF1630" s="284"/>
      <c r="AG1630" s="284"/>
      <c r="AI1630" s="131"/>
    </row>
    <row r="1631" spans="1:35" ht="26.4">
      <c r="A1631" s="284"/>
      <c r="B1631" s="284"/>
      <c r="C1631" s="284"/>
      <c r="D1631" s="284"/>
      <c r="E1631" s="284"/>
      <c r="F1631" s="284"/>
      <c r="G1631" s="284"/>
      <c r="H1631" s="284"/>
      <c r="I1631" s="284"/>
      <c r="J1631" s="375"/>
      <c r="K1631" s="375"/>
      <c r="L1631" s="375"/>
      <c r="M1631" s="368"/>
      <c r="N1631" s="368"/>
      <c r="O1631" s="370"/>
      <c r="T1631" s="349"/>
      <c r="V1631" s="378"/>
      <c r="W1631" s="64" ph="1"/>
      <c r="X1631" s="241"/>
      <c r="Y1631" s="284"/>
      <c r="Z1631" s="207"/>
      <c r="AA1631" s="284"/>
      <c r="AB1631" s="284"/>
      <c r="AC1631" s="284"/>
      <c r="AD1631" s="284"/>
      <c r="AE1631" s="284"/>
      <c r="AF1631" s="284"/>
      <c r="AG1631" s="284"/>
      <c r="AI1631" s="131"/>
    </row>
    <row r="1632" spans="1:35" ht="26.4">
      <c r="A1632" s="284"/>
      <c r="B1632" s="284"/>
      <c r="C1632" s="284"/>
      <c r="D1632" s="284"/>
      <c r="E1632" s="284"/>
      <c r="F1632" s="284"/>
      <c r="G1632" s="284"/>
      <c r="H1632" s="284"/>
      <c r="I1632" s="284"/>
      <c r="J1632" s="375"/>
      <c r="K1632" s="375"/>
      <c r="L1632" s="375"/>
      <c r="M1632" s="368"/>
      <c r="N1632" s="368"/>
      <c r="O1632" s="370"/>
      <c r="T1632" s="349"/>
      <c r="V1632" s="378"/>
      <c r="W1632" s="64" ph="1"/>
      <c r="X1632" s="241"/>
      <c r="Y1632" s="284"/>
      <c r="Z1632" s="207"/>
      <c r="AA1632" s="284"/>
      <c r="AB1632" s="284"/>
      <c r="AC1632" s="284"/>
      <c r="AD1632" s="284"/>
      <c r="AE1632" s="284"/>
      <c r="AF1632" s="284"/>
      <c r="AG1632" s="284"/>
      <c r="AI1632" s="131"/>
    </row>
    <row r="1633" spans="1:35" ht="26.4">
      <c r="A1633" s="284"/>
      <c r="B1633" s="284"/>
      <c r="C1633" s="284"/>
      <c r="D1633" s="284"/>
      <c r="E1633" s="284"/>
      <c r="F1633" s="284"/>
      <c r="G1633" s="284"/>
      <c r="H1633" s="284"/>
      <c r="I1633" s="284"/>
      <c r="J1633" s="375"/>
      <c r="K1633" s="375"/>
      <c r="L1633" s="375"/>
      <c r="M1633" s="368"/>
      <c r="N1633" s="368"/>
      <c r="O1633" s="370"/>
      <c r="T1633" s="349"/>
      <c r="V1633" s="378"/>
      <c r="W1633" s="64" ph="1"/>
      <c r="X1633" s="241"/>
      <c r="Y1633" s="284"/>
      <c r="Z1633" s="207"/>
      <c r="AA1633" s="284"/>
      <c r="AB1633" s="284"/>
      <c r="AC1633" s="284"/>
      <c r="AD1633" s="284"/>
      <c r="AE1633" s="284"/>
      <c r="AF1633" s="284"/>
      <c r="AG1633" s="284"/>
      <c r="AI1633" s="131"/>
    </row>
    <row r="1634" spans="1:35" ht="26.4">
      <c r="A1634" s="284"/>
      <c r="B1634" s="284"/>
      <c r="C1634" s="284"/>
      <c r="D1634" s="284"/>
      <c r="E1634" s="284"/>
      <c r="F1634" s="284"/>
      <c r="G1634" s="284"/>
      <c r="H1634" s="284"/>
      <c r="I1634" s="284"/>
      <c r="J1634" s="375"/>
      <c r="K1634" s="375"/>
      <c r="L1634" s="375"/>
      <c r="M1634" s="368"/>
      <c r="N1634" s="368"/>
      <c r="O1634" s="370"/>
      <c r="T1634" s="349"/>
      <c r="V1634" s="378"/>
      <c r="W1634" s="64" ph="1"/>
      <c r="X1634" s="241"/>
      <c r="Y1634" s="284"/>
      <c r="Z1634" s="207"/>
      <c r="AA1634" s="284"/>
      <c r="AB1634" s="284"/>
      <c r="AC1634" s="284"/>
      <c r="AD1634" s="284"/>
      <c r="AE1634" s="284"/>
      <c r="AF1634" s="284"/>
      <c r="AG1634" s="284"/>
      <c r="AI1634" s="131"/>
    </row>
    <row r="1635" spans="1:35" ht="26.4">
      <c r="A1635" s="284"/>
      <c r="B1635" s="284"/>
      <c r="C1635" s="284"/>
      <c r="D1635" s="284"/>
      <c r="E1635" s="284"/>
      <c r="F1635" s="284"/>
      <c r="G1635" s="284"/>
      <c r="H1635" s="284"/>
      <c r="I1635" s="284"/>
      <c r="J1635" s="375"/>
      <c r="K1635" s="375"/>
      <c r="L1635" s="375"/>
      <c r="M1635" s="368"/>
      <c r="N1635" s="368"/>
      <c r="O1635" s="370"/>
      <c r="T1635" s="349"/>
      <c r="V1635" s="378"/>
      <c r="W1635" s="64" ph="1"/>
      <c r="X1635" s="241"/>
      <c r="Y1635" s="284"/>
      <c r="Z1635" s="207"/>
      <c r="AA1635" s="284"/>
      <c r="AB1635" s="284"/>
      <c r="AC1635" s="284"/>
      <c r="AD1635" s="284"/>
      <c r="AE1635" s="284"/>
      <c r="AF1635" s="284"/>
      <c r="AG1635" s="284"/>
      <c r="AI1635" s="131"/>
    </row>
    <row r="1636" spans="1:35" ht="26.4">
      <c r="A1636" s="284"/>
      <c r="B1636" s="284"/>
      <c r="C1636" s="284"/>
      <c r="D1636" s="284"/>
      <c r="E1636" s="284"/>
      <c r="F1636" s="284"/>
      <c r="G1636" s="284"/>
      <c r="H1636" s="284"/>
      <c r="I1636" s="284"/>
      <c r="J1636" s="375"/>
      <c r="K1636" s="375"/>
      <c r="L1636" s="375"/>
      <c r="M1636" s="368"/>
      <c r="N1636" s="368"/>
      <c r="O1636" s="370"/>
      <c r="T1636" s="349"/>
      <c r="V1636" s="378"/>
      <c r="W1636" s="64" ph="1"/>
      <c r="X1636" s="241"/>
      <c r="Y1636" s="284"/>
      <c r="Z1636" s="207"/>
      <c r="AA1636" s="284"/>
      <c r="AB1636" s="284"/>
      <c r="AC1636" s="284"/>
      <c r="AD1636" s="284"/>
      <c r="AE1636" s="284"/>
      <c r="AF1636" s="284"/>
      <c r="AG1636" s="284"/>
      <c r="AI1636" s="131"/>
    </row>
    <row r="1637" spans="1:35" ht="26.4">
      <c r="A1637" s="284"/>
      <c r="B1637" s="284"/>
      <c r="C1637" s="284"/>
      <c r="D1637" s="284"/>
      <c r="E1637" s="284"/>
      <c r="F1637" s="284"/>
      <c r="G1637" s="284"/>
      <c r="H1637" s="284"/>
      <c r="I1637" s="284"/>
      <c r="J1637" s="375"/>
      <c r="K1637" s="375"/>
      <c r="L1637" s="375"/>
      <c r="M1637" s="368"/>
      <c r="N1637" s="368"/>
      <c r="O1637" s="370"/>
      <c r="T1637" s="349"/>
      <c r="V1637" s="378"/>
      <c r="W1637" s="64" ph="1"/>
      <c r="X1637" s="241"/>
      <c r="Y1637" s="284"/>
      <c r="Z1637" s="207"/>
      <c r="AA1637" s="284"/>
      <c r="AB1637" s="284"/>
      <c r="AC1637" s="284"/>
      <c r="AD1637" s="284"/>
      <c r="AE1637" s="284"/>
      <c r="AF1637" s="284"/>
      <c r="AG1637" s="284"/>
      <c r="AI1637" s="131"/>
    </row>
    <row r="1638" spans="1:35" ht="26.4">
      <c r="A1638" s="284"/>
      <c r="B1638" s="284"/>
      <c r="C1638" s="284"/>
      <c r="D1638" s="284"/>
      <c r="E1638" s="284"/>
      <c r="F1638" s="284"/>
      <c r="G1638" s="284"/>
      <c r="H1638" s="284"/>
      <c r="I1638" s="284"/>
      <c r="J1638" s="375"/>
      <c r="K1638" s="375"/>
      <c r="L1638" s="375"/>
      <c r="M1638" s="368"/>
      <c r="N1638" s="368"/>
      <c r="O1638" s="370"/>
      <c r="T1638" s="349"/>
      <c r="V1638" s="378"/>
      <c r="W1638" s="64" ph="1"/>
      <c r="X1638" s="241"/>
      <c r="Y1638" s="284"/>
      <c r="Z1638" s="207"/>
      <c r="AA1638" s="284"/>
      <c r="AB1638" s="284"/>
      <c r="AC1638" s="284"/>
      <c r="AD1638" s="284"/>
      <c r="AE1638" s="284"/>
      <c r="AF1638" s="284"/>
      <c r="AG1638" s="284"/>
      <c r="AI1638" s="131"/>
    </row>
    <row r="1639" spans="1:35" ht="26.4">
      <c r="A1639" s="284"/>
      <c r="B1639" s="284"/>
      <c r="C1639" s="284"/>
      <c r="D1639" s="284"/>
      <c r="E1639" s="284"/>
      <c r="F1639" s="284"/>
      <c r="G1639" s="284"/>
      <c r="H1639" s="284"/>
      <c r="I1639" s="284"/>
      <c r="J1639" s="375"/>
      <c r="K1639" s="375"/>
      <c r="L1639" s="375"/>
      <c r="M1639" s="368"/>
      <c r="N1639" s="368"/>
      <c r="O1639" s="370"/>
      <c r="T1639" s="349"/>
      <c r="V1639" s="378"/>
      <c r="W1639" s="64" ph="1"/>
      <c r="X1639" s="241"/>
      <c r="Y1639" s="284"/>
      <c r="Z1639" s="207"/>
      <c r="AA1639" s="284"/>
      <c r="AB1639" s="284"/>
      <c r="AC1639" s="284"/>
      <c r="AD1639" s="284"/>
      <c r="AE1639" s="284"/>
      <c r="AF1639" s="284"/>
      <c r="AG1639" s="284"/>
      <c r="AI1639" s="131"/>
    </row>
    <row r="1640" spans="1:35" ht="26.4">
      <c r="A1640" s="284"/>
      <c r="B1640" s="284"/>
      <c r="C1640" s="284"/>
      <c r="D1640" s="284"/>
      <c r="E1640" s="284"/>
      <c r="F1640" s="284"/>
      <c r="G1640" s="284"/>
      <c r="H1640" s="284"/>
      <c r="I1640" s="284"/>
      <c r="J1640" s="375"/>
      <c r="K1640" s="375"/>
      <c r="L1640" s="375"/>
      <c r="M1640" s="368"/>
      <c r="N1640" s="368"/>
      <c r="O1640" s="370"/>
      <c r="T1640" s="349"/>
      <c r="V1640" s="378"/>
      <c r="W1640" s="64" ph="1"/>
      <c r="X1640" s="241"/>
      <c r="Y1640" s="284"/>
      <c r="Z1640" s="207"/>
      <c r="AA1640" s="284"/>
      <c r="AB1640" s="284"/>
      <c r="AC1640" s="284"/>
      <c r="AD1640" s="284"/>
      <c r="AE1640" s="284"/>
      <c r="AF1640" s="284"/>
      <c r="AG1640" s="284"/>
      <c r="AI1640" s="131"/>
    </row>
    <row r="1641" spans="1:35" ht="26.4">
      <c r="A1641" s="284"/>
      <c r="B1641" s="284"/>
      <c r="C1641" s="284"/>
      <c r="D1641" s="284"/>
      <c r="E1641" s="284"/>
      <c r="F1641" s="284"/>
      <c r="G1641" s="284"/>
      <c r="H1641" s="284"/>
      <c r="I1641" s="284"/>
      <c r="J1641" s="375"/>
      <c r="K1641" s="375"/>
      <c r="L1641" s="375"/>
      <c r="M1641" s="368"/>
      <c r="N1641" s="368"/>
      <c r="O1641" s="370"/>
      <c r="T1641" s="349"/>
      <c r="V1641" s="378"/>
      <c r="W1641" s="64" ph="1"/>
      <c r="X1641" s="241"/>
      <c r="Y1641" s="284"/>
      <c r="Z1641" s="207"/>
      <c r="AA1641" s="284"/>
      <c r="AB1641" s="284"/>
      <c r="AC1641" s="284"/>
      <c r="AD1641" s="284"/>
      <c r="AE1641" s="284"/>
      <c r="AF1641" s="284"/>
      <c r="AG1641" s="284"/>
    </row>
    <row r="1642" spans="1:35" ht="26.4">
      <c r="A1642" s="284"/>
      <c r="B1642" s="284"/>
      <c r="C1642" s="284"/>
      <c r="D1642" s="284"/>
      <c r="E1642" s="284"/>
      <c r="F1642" s="284"/>
      <c r="G1642" s="284"/>
      <c r="H1642" s="284"/>
      <c r="I1642" s="284"/>
      <c r="J1642" s="375"/>
      <c r="K1642" s="375"/>
      <c r="L1642" s="375"/>
      <c r="M1642" s="368"/>
      <c r="N1642" s="368"/>
      <c r="O1642" s="370"/>
      <c r="T1642" s="349"/>
      <c r="V1642" s="378"/>
      <c r="W1642" s="64" ph="1"/>
      <c r="X1642" s="241"/>
      <c r="Y1642" s="284"/>
      <c r="Z1642" s="207"/>
      <c r="AA1642" s="284"/>
      <c r="AB1642" s="284"/>
      <c r="AC1642" s="284"/>
      <c r="AD1642" s="284"/>
      <c r="AE1642" s="284"/>
      <c r="AF1642" s="284"/>
      <c r="AG1642" s="284"/>
      <c r="AI1642" s="131"/>
    </row>
    <row r="1643" spans="1:35" ht="26.4">
      <c r="A1643" s="284"/>
      <c r="B1643" s="284"/>
      <c r="C1643" s="284"/>
      <c r="D1643" s="284"/>
      <c r="E1643" s="284"/>
      <c r="F1643" s="284"/>
      <c r="G1643" s="284"/>
      <c r="H1643" s="284"/>
      <c r="I1643" s="284"/>
      <c r="J1643" s="375"/>
      <c r="K1643" s="375"/>
      <c r="L1643" s="375"/>
      <c r="M1643" s="368"/>
      <c r="N1643" s="368"/>
      <c r="O1643" s="370"/>
      <c r="T1643" s="349"/>
      <c r="V1643" s="378"/>
      <c r="W1643" s="64" ph="1"/>
      <c r="X1643" s="241"/>
      <c r="Y1643" s="284"/>
      <c r="Z1643" s="207"/>
      <c r="AA1643" s="284"/>
      <c r="AB1643" s="284"/>
      <c r="AC1643" s="284"/>
      <c r="AD1643" s="284"/>
      <c r="AE1643" s="284"/>
      <c r="AF1643" s="284"/>
      <c r="AG1643" s="284"/>
      <c r="AI1643" s="131"/>
    </row>
    <row r="1644" spans="1:35" ht="26.4">
      <c r="A1644" s="284"/>
      <c r="B1644" s="284"/>
      <c r="C1644" s="284"/>
      <c r="D1644" s="284"/>
      <c r="E1644" s="284"/>
      <c r="F1644" s="284"/>
      <c r="G1644" s="284"/>
      <c r="H1644" s="284"/>
      <c r="I1644" s="284"/>
      <c r="J1644" s="375"/>
      <c r="K1644" s="375"/>
      <c r="L1644" s="375"/>
      <c r="M1644" s="368"/>
      <c r="N1644" s="368"/>
      <c r="O1644" s="370"/>
      <c r="T1644" s="349"/>
      <c r="V1644" s="378"/>
      <c r="W1644" s="64" ph="1"/>
      <c r="X1644" s="241"/>
      <c r="Y1644" s="284"/>
      <c r="Z1644" s="207"/>
      <c r="AA1644" s="284"/>
      <c r="AB1644" s="284"/>
      <c r="AC1644" s="284"/>
      <c r="AD1644" s="284"/>
      <c r="AE1644" s="284"/>
      <c r="AF1644" s="284"/>
      <c r="AG1644" s="284"/>
      <c r="AI1644" s="131"/>
    </row>
    <row r="1645" spans="1:35" ht="26.4">
      <c r="A1645" s="284"/>
      <c r="B1645" s="284"/>
      <c r="C1645" s="284"/>
      <c r="D1645" s="284"/>
      <c r="E1645" s="284"/>
      <c r="F1645" s="284"/>
      <c r="G1645" s="284"/>
      <c r="H1645" s="284"/>
      <c r="I1645" s="284"/>
      <c r="J1645" s="375"/>
      <c r="K1645" s="375"/>
      <c r="L1645" s="375"/>
      <c r="M1645" s="368"/>
      <c r="N1645" s="368"/>
      <c r="O1645" s="370"/>
      <c r="T1645" s="349"/>
      <c r="V1645" s="378"/>
      <c r="W1645" s="64" ph="1"/>
      <c r="X1645" s="241"/>
      <c r="Y1645" s="284"/>
      <c r="Z1645" s="207"/>
      <c r="AA1645" s="284"/>
      <c r="AB1645" s="284"/>
      <c r="AC1645" s="284"/>
      <c r="AD1645" s="284"/>
      <c r="AE1645" s="284"/>
      <c r="AF1645" s="284"/>
      <c r="AG1645" s="284"/>
      <c r="AI1645" s="131"/>
    </row>
    <row r="1646" spans="1:35" ht="26.4">
      <c r="A1646" s="284"/>
      <c r="B1646" s="284"/>
      <c r="C1646" s="284"/>
      <c r="D1646" s="284"/>
      <c r="E1646" s="284"/>
      <c r="F1646" s="284"/>
      <c r="G1646" s="284"/>
      <c r="H1646" s="284"/>
      <c r="I1646" s="284"/>
      <c r="J1646" s="375"/>
      <c r="K1646" s="375"/>
      <c r="L1646" s="375"/>
      <c r="M1646" s="368"/>
      <c r="N1646" s="368"/>
      <c r="O1646" s="370"/>
      <c r="T1646" s="349"/>
      <c r="V1646" s="378"/>
      <c r="W1646" s="64" ph="1"/>
      <c r="X1646" s="241"/>
      <c r="Y1646" s="284"/>
      <c r="Z1646" s="207"/>
      <c r="AA1646" s="284"/>
      <c r="AB1646" s="284"/>
      <c r="AC1646" s="284"/>
      <c r="AD1646" s="284"/>
      <c r="AE1646" s="284"/>
      <c r="AF1646" s="284"/>
      <c r="AG1646" s="284"/>
      <c r="AI1646" s="131"/>
    </row>
    <row r="1647" spans="1:35" ht="26.4">
      <c r="A1647" s="284"/>
      <c r="B1647" s="284"/>
      <c r="C1647" s="284"/>
      <c r="D1647" s="284"/>
      <c r="E1647" s="284"/>
      <c r="F1647" s="284"/>
      <c r="G1647" s="284"/>
      <c r="H1647" s="284"/>
      <c r="I1647" s="284"/>
      <c r="J1647" s="375"/>
      <c r="K1647" s="375"/>
      <c r="L1647" s="375"/>
      <c r="M1647" s="368"/>
      <c r="N1647" s="368"/>
      <c r="O1647" s="370"/>
      <c r="T1647" s="349"/>
      <c r="V1647" s="378"/>
      <c r="W1647" s="64" ph="1"/>
      <c r="X1647" s="241"/>
      <c r="Y1647" s="284"/>
      <c r="Z1647" s="207"/>
      <c r="AA1647" s="284"/>
      <c r="AB1647" s="284"/>
      <c r="AC1647" s="284"/>
      <c r="AD1647" s="284"/>
      <c r="AE1647" s="284"/>
      <c r="AF1647" s="284"/>
      <c r="AG1647" s="284"/>
      <c r="AI1647" s="131"/>
    </row>
    <row r="1648" spans="1:35" ht="26.4">
      <c r="A1648" s="284"/>
      <c r="B1648" s="284"/>
      <c r="C1648" s="284"/>
      <c r="D1648" s="284"/>
      <c r="E1648" s="284"/>
      <c r="F1648" s="284"/>
      <c r="G1648" s="284"/>
      <c r="H1648" s="284"/>
      <c r="I1648" s="284"/>
      <c r="J1648" s="375"/>
      <c r="K1648" s="375"/>
      <c r="L1648" s="375"/>
      <c r="M1648" s="368"/>
      <c r="N1648" s="368"/>
      <c r="O1648" s="370"/>
      <c r="T1648" s="349"/>
      <c r="V1648" s="378"/>
      <c r="W1648" s="64" ph="1"/>
      <c r="X1648" s="241"/>
      <c r="Y1648" s="284"/>
      <c r="Z1648" s="207"/>
      <c r="AA1648" s="284"/>
      <c r="AB1648" s="284"/>
      <c r="AC1648" s="284"/>
      <c r="AD1648" s="284"/>
      <c r="AE1648" s="284"/>
      <c r="AF1648" s="284"/>
      <c r="AG1648" s="284"/>
      <c r="AI1648" s="131"/>
    </row>
    <row r="1649" spans="1:35" ht="26.4">
      <c r="A1649" s="284"/>
      <c r="B1649" s="284"/>
      <c r="C1649" s="284"/>
      <c r="D1649" s="284"/>
      <c r="E1649" s="284"/>
      <c r="F1649" s="284"/>
      <c r="G1649" s="284"/>
      <c r="H1649" s="284"/>
      <c r="I1649" s="284"/>
      <c r="J1649" s="375"/>
      <c r="K1649" s="375"/>
      <c r="L1649" s="375"/>
      <c r="M1649" s="368"/>
      <c r="N1649" s="368"/>
      <c r="O1649" s="370"/>
      <c r="T1649" s="349"/>
      <c r="V1649" s="378"/>
      <c r="W1649" s="64" ph="1"/>
      <c r="X1649" s="241"/>
      <c r="Y1649" s="284"/>
      <c r="Z1649" s="207"/>
      <c r="AA1649" s="284"/>
      <c r="AB1649" s="284"/>
      <c r="AC1649" s="284"/>
      <c r="AD1649" s="284"/>
      <c r="AE1649" s="284"/>
      <c r="AF1649" s="284"/>
      <c r="AG1649" s="284"/>
      <c r="AI1649" s="131"/>
    </row>
    <row r="1650" spans="1:35" ht="26.4">
      <c r="A1650" s="284"/>
      <c r="B1650" s="284"/>
      <c r="C1650" s="284"/>
      <c r="D1650" s="284"/>
      <c r="E1650" s="284"/>
      <c r="F1650" s="284"/>
      <c r="G1650" s="284"/>
      <c r="H1650" s="284"/>
      <c r="I1650" s="284"/>
      <c r="J1650" s="375"/>
      <c r="K1650" s="375"/>
      <c r="L1650" s="375"/>
      <c r="M1650" s="368"/>
      <c r="N1650" s="368"/>
      <c r="O1650" s="370"/>
      <c r="T1650" s="349"/>
      <c r="V1650" s="378"/>
      <c r="W1650" s="64" ph="1"/>
      <c r="X1650" s="241"/>
      <c r="Y1650" s="284"/>
      <c r="Z1650" s="207"/>
      <c r="AA1650" s="284"/>
      <c r="AB1650" s="284"/>
      <c r="AC1650" s="284"/>
      <c r="AD1650" s="284"/>
      <c r="AE1650" s="284"/>
      <c r="AF1650" s="284"/>
      <c r="AG1650" s="284"/>
      <c r="AI1650" s="131"/>
    </row>
    <row r="1651" spans="1:35" ht="26.4">
      <c r="A1651" s="284"/>
      <c r="B1651" s="284"/>
      <c r="C1651" s="284"/>
      <c r="D1651" s="284"/>
      <c r="E1651" s="284"/>
      <c r="F1651" s="284"/>
      <c r="G1651" s="284"/>
      <c r="H1651" s="284"/>
      <c r="I1651" s="284"/>
      <c r="J1651" s="375"/>
      <c r="K1651" s="375"/>
      <c r="L1651" s="375"/>
      <c r="M1651" s="368"/>
      <c r="N1651" s="368"/>
      <c r="O1651" s="370"/>
      <c r="T1651" s="349"/>
      <c r="V1651" s="378"/>
      <c r="W1651" s="64" ph="1"/>
      <c r="X1651" s="241"/>
      <c r="Y1651" s="284"/>
      <c r="Z1651" s="207"/>
      <c r="AA1651" s="284"/>
      <c r="AB1651" s="284"/>
      <c r="AC1651" s="284"/>
      <c r="AD1651" s="284"/>
      <c r="AE1651" s="284"/>
      <c r="AF1651" s="284"/>
      <c r="AG1651" s="284"/>
      <c r="AI1651" s="131"/>
    </row>
    <row r="1652" spans="1:35" ht="26.4">
      <c r="A1652" s="284"/>
      <c r="B1652" s="284"/>
      <c r="C1652" s="284"/>
      <c r="D1652" s="284"/>
      <c r="E1652" s="284"/>
      <c r="F1652" s="284"/>
      <c r="G1652" s="284"/>
      <c r="H1652" s="284"/>
      <c r="I1652" s="284"/>
      <c r="J1652" s="375"/>
      <c r="K1652" s="375"/>
      <c r="L1652" s="375"/>
      <c r="M1652" s="368"/>
      <c r="N1652" s="368"/>
      <c r="O1652" s="370"/>
      <c r="T1652" s="349"/>
      <c r="V1652" s="378"/>
      <c r="W1652" s="64" ph="1"/>
      <c r="X1652" s="241"/>
      <c r="Y1652" s="284"/>
      <c r="Z1652" s="207"/>
      <c r="AA1652" s="284"/>
      <c r="AB1652" s="284"/>
      <c r="AC1652" s="284"/>
      <c r="AD1652" s="284"/>
      <c r="AE1652" s="284"/>
      <c r="AF1652" s="284"/>
      <c r="AG1652" s="284"/>
      <c r="AI1652" s="131"/>
    </row>
    <row r="1653" spans="1:35" ht="26.4">
      <c r="A1653" s="284"/>
      <c r="B1653" s="284"/>
      <c r="C1653" s="284"/>
      <c r="D1653" s="284"/>
      <c r="E1653" s="284"/>
      <c r="F1653" s="284"/>
      <c r="G1653" s="284"/>
      <c r="H1653" s="284"/>
      <c r="I1653" s="284"/>
      <c r="J1653" s="375"/>
      <c r="K1653" s="375"/>
      <c r="L1653" s="375"/>
      <c r="M1653" s="368"/>
      <c r="N1653" s="368"/>
      <c r="O1653" s="370"/>
      <c r="T1653" s="349"/>
      <c r="V1653" s="378"/>
      <c r="W1653" s="64" ph="1"/>
      <c r="X1653" s="241"/>
      <c r="Y1653" s="284"/>
      <c r="Z1653" s="207"/>
      <c r="AA1653" s="284"/>
      <c r="AB1653" s="284"/>
      <c r="AC1653" s="284"/>
      <c r="AD1653" s="284"/>
      <c r="AE1653" s="284"/>
      <c r="AF1653" s="284"/>
      <c r="AG1653" s="284"/>
      <c r="AI1653" s="131"/>
    </row>
    <row r="1654" spans="1:35" ht="26.4">
      <c r="A1654" s="284"/>
      <c r="B1654" s="284"/>
      <c r="C1654" s="284"/>
      <c r="D1654" s="284"/>
      <c r="E1654" s="284"/>
      <c r="F1654" s="284"/>
      <c r="G1654" s="284"/>
      <c r="H1654" s="284"/>
      <c r="I1654" s="284"/>
      <c r="J1654" s="375"/>
      <c r="K1654" s="375"/>
      <c r="L1654" s="375"/>
      <c r="M1654" s="368"/>
      <c r="N1654" s="368"/>
      <c r="O1654" s="370"/>
      <c r="T1654" s="349"/>
      <c r="V1654" s="378"/>
      <c r="W1654" s="64" ph="1"/>
      <c r="X1654" s="241"/>
      <c r="Y1654" s="284"/>
      <c r="Z1654" s="207"/>
      <c r="AA1654" s="284"/>
      <c r="AB1654" s="284"/>
      <c r="AC1654" s="284"/>
      <c r="AD1654" s="284"/>
      <c r="AE1654" s="284"/>
      <c r="AF1654" s="284"/>
      <c r="AG1654" s="284"/>
      <c r="AI1654" s="131"/>
    </row>
    <row r="1655" spans="1:35" ht="26.4">
      <c r="A1655" s="284"/>
      <c r="B1655" s="284"/>
      <c r="C1655" s="284"/>
      <c r="D1655" s="284"/>
      <c r="E1655" s="284"/>
      <c r="F1655" s="284"/>
      <c r="G1655" s="284"/>
      <c r="H1655" s="284"/>
      <c r="I1655" s="284"/>
      <c r="J1655" s="375"/>
      <c r="K1655" s="375"/>
      <c r="L1655" s="375"/>
      <c r="M1655" s="368"/>
      <c r="N1655" s="368"/>
      <c r="O1655" s="370"/>
      <c r="T1655" s="349"/>
      <c r="V1655" s="378"/>
      <c r="W1655" s="64" ph="1"/>
      <c r="X1655" s="241"/>
      <c r="Y1655" s="284"/>
      <c r="Z1655" s="207"/>
      <c r="AA1655" s="284"/>
      <c r="AB1655" s="284"/>
      <c r="AC1655" s="284"/>
      <c r="AD1655" s="284"/>
      <c r="AE1655" s="284"/>
      <c r="AF1655" s="284"/>
      <c r="AG1655" s="284"/>
      <c r="AI1655" s="131"/>
    </row>
    <row r="1656" spans="1:35" ht="26.4">
      <c r="A1656" s="284"/>
      <c r="B1656" s="284"/>
      <c r="C1656" s="284"/>
      <c r="D1656" s="284"/>
      <c r="E1656" s="284"/>
      <c r="F1656" s="284"/>
      <c r="G1656" s="284"/>
      <c r="H1656" s="284"/>
      <c r="I1656" s="284"/>
      <c r="J1656" s="375"/>
      <c r="K1656" s="375"/>
      <c r="L1656" s="375"/>
      <c r="M1656" s="368"/>
      <c r="N1656" s="368"/>
      <c r="O1656" s="370"/>
      <c r="T1656" s="349"/>
      <c r="V1656" s="378"/>
      <c r="W1656" s="64" ph="1"/>
      <c r="X1656" s="241"/>
      <c r="Y1656" s="284"/>
      <c r="Z1656" s="207"/>
      <c r="AA1656" s="284"/>
      <c r="AB1656" s="284"/>
      <c r="AC1656" s="284"/>
      <c r="AD1656" s="284"/>
      <c r="AE1656" s="284"/>
      <c r="AF1656" s="284"/>
      <c r="AG1656" s="284"/>
      <c r="AI1656" s="131"/>
    </row>
    <row r="1657" spans="1:35" ht="26.4">
      <c r="A1657" s="284"/>
      <c r="B1657" s="284"/>
      <c r="C1657" s="284"/>
      <c r="D1657" s="284"/>
      <c r="E1657" s="284"/>
      <c r="F1657" s="284"/>
      <c r="G1657" s="284"/>
      <c r="H1657" s="284"/>
      <c r="I1657" s="284"/>
      <c r="J1657" s="375"/>
      <c r="K1657" s="375"/>
      <c r="L1657" s="375"/>
      <c r="M1657" s="368"/>
      <c r="N1657" s="368"/>
      <c r="O1657" s="370"/>
      <c r="T1657" s="349"/>
      <c r="V1657" s="378"/>
      <c r="W1657" s="64" ph="1"/>
      <c r="X1657" s="241"/>
      <c r="Y1657" s="284"/>
      <c r="Z1657" s="207"/>
      <c r="AA1657" s="284"/>
      <c r="AB1657" s="284"/>
      <c r="AC1657" s="284"/>
      <c r="AD1657" s="284"/>
      <c r="AE1657" s="284"/>
      <c r="AF1657" s="284"/>
      <c r="AG1657" s="284"/>
      <c r="AI1657" s="131"/>
    </row>
    <row r="1658" spans="1:35" ht="26.4">
      <c r="A1658" s="284"/>
      <c r="B1658" s="284"/>
      <c r="C1658" s="284"/>
      <c r="D1658" s="284"/>
      <c r="E1658" s="284"/>
      <c r="F1658" s="284"/>
      <c r="G1658" s="284"/>
      <c r="H1658" s="284"/>
      <c r="I1658" s="284"/>
      <c r="J1658" s="375"/>
      <c r="K1658" s="375"/>
      <c r="L1658" s="375"/>
      <c r="M1658" s="368"/>
      <c r="N1658" s="368"/>
      <c r="O1658" s="370"/>
      <c r="T1658" s="349"/>
      <c r="V1658" s="378"/>
      <c r="W1658" s="64" ph="1"/>
      <c r="X1658" s="241"/>
      <c r="Y1658" s="284"/>
      <c r="Z1658" s="207"/>
      <c r="AA1658" s="284"/>
      <c r="AB1658" s="284"/>
      <c r="AC1658" s="284"/>
      <c r="AD1658" s="284"/>
      <c r="AE1658" s="284"/>
      <c r="AF1658" s="284"/>
      <c r="AG1658" s="284"/>
      <c r="AI1658" s="131"/>
    </row>
    <row r="1659" spans="1:35" ht="26.4">
      <c r="A1659" s="284"/>
      <c r="B1659" s="284"/>
      <c r="C1659" s="284"/>
      <c r="D1659" s="284"/>
      <c r="E1659" s="284"/>
      <c r="F1659" s="284"/>
      <c r="G1659" s="284"/>
      <c r="H1659" s="284"/>
      <c r="I1659" s="284"/>
      <c r="J1659" s="375"/>
      <c r="K1659" s="375"/>
      <c r="L1659" s="375"/>
      <c r="M1659" s="368"/>
      <c r="N1659" s="368"/>
      <c r="O1659" s="370"/>
      <c r="T1659" s="349"/>
      <c r="V1659" s="378"/>
      <c r="W1659" s="64" ph="1"/>
      <c r="X1659" s="241"/>
      <c r="Y1659" s="284"/>
      <c r="Z1659" s="207"/>
      <c r="AA1659" s="284"/>
      <c r="AB1659" s="284"/>
      <c r="AC1659" s="284"/>
      <c r="AD1659" s="284"/>
      <c r="AE1659" s="284"/>
      <c r="AF1659" s="284"/>
      <c r="AG1659" s="284"/>
      <c r="AI1659" s="131"/>
    </row>
    <row r="1660" spans="1:35" ht="26.4">
      <c r="A1660" s="284"/>
      <c r="B1660" s="284"/>
      <c r="C1660" s="284"/>
      <c r="D1660" s="284"/>
      <c r="E1660" s="284"/>
      <c r="F1660" s="284"/>
      <c r="G1660" s="284"/>
      <c r="H1660" s="284"/>
      <c r="I1660" s="284"/>
      <c r="J1660" s="375"/>
      <c r="K1660" s="375"/>
      <c r="L1660" s="375"/>
      <c r="M1660" s="368"/>
      <c r="N1660" s="368"/>
      <c r="O1660" s="370"/>
      <c r="T1660" s="349"/>
      <c r="V1660" s="378"/>
      <c r="W1660" s="64" ph="1"/>
      <c r="X1660" s="241"/>
      <c r="Y1660" s="284"/>
      <c r="Z1660" s="207"/>
      <c r="AA1660" s="284"/>
      <c r="AB1660" s="284"/>
      <c r="AC1660" s="284"/>
      <c r="AD1660" s="284"/>
      <c r="AE1660" s="284"/>
      <c r="AF1660" s="284"/>
      <c r="AG1660" s="284"/>
      <c r="AI1660" s="131"/>
    </row>
    <row r="1661" spans="1:35" ht="26.4">
      <c r="A1661" s="284"/>
      <c r="B1661" s="284"/>
      <c r="C1661" s="284"/>
      <c r="D1661" s="284"/>
      <c r="E1661" s="284"/>
      <c r="F1661" s="284"/>
      <c r="G1661" s="284"/>
      <c r="H1661" s="284"/>
      <c r="I1661" s="284"/>
      <c r="J1661" s="375"/>
      <c r="K1661" s="375"/>
      <c r="L1661" s="375"/>
      <c r="M1661" s="368"/>
      <c r="N1661" s="368"/>
      <c r="O1661" s="370"/>
      <c r="T1661" s="349"/>
      <c r="V1661" s="378"/>
      <c r="W1661" s="64" ph="1"/>
      <c r="X1661" s="241"/>
      <c r="Y1661" s="284"/>
      <c r="Z1661" s="207"/>
      <c r="AA1661" s="284"/>
      <c r="AB1661" s="284"/>
      <c r="AC1661" s="284"/>
      <c r="AD1661" s="284"/>
      <c r="AE1661" s="284"/>
      <c r="AF1661" s="284"/>
      <c r="AG1661" s="284"/>
      <c r="AI1661" s="131"/>
    </row>
    <row r="1662" spans="1:35" ht="26.4">
      <c r="A1662" s="284"/>
      <c r="B1662" s="284"/>
      <c r="C1662" s="284"/>
      <c r="D1662" s="284"/>
      <c r="E1662" s="284"/>
      <c r="F1662" s="284"/>
      <c r="G1662" s="284"/>
      <c r="H1662" s="284"/>
      <c r="I1662" s="284"/>
      <c r="J1662" s="375"/>
      <c r="K1662" s="375"/>
      <c r="L1662" s="375"/>
      <c r="M1662" s="368"/>
      <c r="N1662" s="368"/>
      <c r="O1662" s="370"/>
      <c r="T1662" s="349"/>
      <c r="V1662" s="378"/>
      <c r="W1662" s="64" ph="1"/>
      <c r="X1662" s="241"/>
      <c r="Y1662" s="284"/>
      <c r="Z1662" s="207"/>
      <c r="AA1662" s="284"/>
      <c r="AB1662" s="284"/>
      <c r="AC1662" s="284"/>
      <c r="AD1662" s="284"/>
      <c r="AE1662" s="284"/>
      <c r="AF1662" s="284"/>
      <c r="AG1662" s="284"/>
      <c r="AI1662" s="131"/>
    </row>
    <row r="1663" spans="1:35" ht="26.4">
      <c r="A1663" s="284"/>
      <c r="B1663" s="284"/>
      <c r="C1663" s="284"/>
      <c r="D1663" s="284"/>
      <c r="E1663" s="284"/>
      <c r="F1663" s="284"/>
      <c r="G1663" s="284"/>
      <c r="H1663" s="284"/>
      <c r="I1663" s="284"/>
      <c r="J1663" s="375"/>
      <c r="K1663" s="375"/>
      <c r="L1663" s="375"/>
      <c r="M1663" s="368"/>
      <c r="N1663" s="368"/>
      <c r="O1663" s="370"/>
      <c r="T1663" s="349"/>
      <c r="V1663" s="378"/>
      <c r="W1663" s="64" ph="1"/>
      <c r="X1663" s="241"/>
      <c r="Y1663" s="284"/>
      <c r="Z1663" s="207"/>
      <c r="AA1663" s="284"/>
      <c r="AB1663" s="284"/>
      <c r="AC1663" s="284"/>
      <c r="AD1663" s="284"/>
      <c r="AE1663" s="284"/>
      <c r="AF1663" s="284"/>
      <c r="AG1663" s="284"/>
      <c r="AI1663" s="131"/>
    </row>
    <row r="1664" spans="1:35" ht="26.4">
      <c r="A1664" s="284"/>
      <c r="B1664" s="284"/>
      <c r="C1664" s="284"/>
      <c r="D1664" s="284"/>
      <c r="E1664" s="284"/>
      <c r="F1664" s="284"/>
      <c r="G1664" s="284"/>
      <c r="H1664" s="284"/>
      <c r="I1664" s="284"/>
      <c r="J1664" s="375"/>
      <c r="K1664" s="375"/>
      <c r="L1664" s="375"/>
      <c r="M1664" s="368"/>
      <c r="N1664" s="368"/>
      <c r="O1664" s="370"/>
      <c r="T1664" s="349"/>
      <c r="V1664" s="378"/>
      <c r="W1664" s="64" ph="1"/>
      <c r="X1664" s="241"/>
      <c r="Y1664" s="284"/>
      <c r="Z1664" s="207"/>
      <c r="AA1664" s="284"/>
      <c r="AB1664" s="284"/>
      <c r="AC1664" s="284"/>
      <c r="AD1664" s="284"/>
      <c r="AE1664" s="284"/>
      <c r="AF1664" s="284"/>
      <c r="AG1664" s="284"/>
      <c r="AI1664" s="131"/>
    </row>
    <row r="1665" spans="1:35" ht="26.4">
      <c r="A1665" s="284"/>
      <c r="B1665" s="284"/>
      <c r="C1665" s="284"/>
      <c r="D1665" s="284"/>
      <c r="E1665" s="284"/>
      <c r="F1665" s="284"/>
      <c r="G1665" s="284"/>
      <c r="H1665" s="284"/>
      <c r="I1665" s="284"/>
      <c r="J1665" s="375"/>
      <c r="K1665" s="375"/>
      <c r="L1665" s="375"/>
      <c r="M1665" s="368"/>
      <c r="N1665" s="368"/>
      <c r="O1665" s="370"/>
      <c r="T1665" s="349"/>
      <c r="V1665" s="378"/>
      <c r="W1665" s="64" ph="1"/>
      <c r="X1665" s="241"/>
      <c r="Y1665" s="284"/>
      <c r="Z1665" s="207"/>
      <c r="AA1665" s="284"/>
      <c r="AB1665" s="284"/>
      <c r="AC1665" s="284"/>
      <c r="AD1665" s="284"/>
      <c r="AE1665" s="284"/>
      <c r="AF1665" s="284"/>
      <c r="AG1665" s="284"/>
      <c r="AI1665" s="131"/>
    </row>
    <row r="1666" spans="1:35" ht="26.4">
      <c r="A1666" s="284"/>
      <c r="B1666" s="284"/>
      <c r="C1666" s="284"/>
      <c r="D1666" s="284"/>
      <c r="E1666" s="284"/>
      <c r="F1666" s="284"/>
      <c r="G1666" s="284"/>
      <c r="H1666" s="284"/>
      <c r="I1666" s="284"/>
      <c r="J1666" s="375"/>
      <c r="K1666" s="375"/>
      <c r="L1666" s="375"/>
      <c r="M1666" s="368"/>
      <c r="N1666" s="368"/>
      <c r="O1666" s="370"/>
      <c r="T1666" s="349"/>
      <c r="V1666" s="378"/>
      <c r="W1666" s="64" ph="1"/>
      <c r="X1666" s="241"/>
      <c r="Y1666" s="284"/>
      <c r="Z1666" s="207"/>
      <c r="AA1666" s="284"/>
      <c r="AB1666" s="284"/>
      <c r="AC1666" s="284"/>
      <c r="AD1666" s="284"/>
      <c r="AE1666" s="284"/>
      <c r="AF1666" s="284"/>
      <c r="AG1666" s="284"/>
      <c r="AI1666" s="131"/>
    </row>
    <row r="1667" spans="1:35" ht="26.4">
      <c r="A1667" s="284"/>
      <c r="B1667" s="284"/>
      <c r="C1667" s="284"/>
      <c r="D1667" s="284"/>
      <c r="E1667" s="284"/>
      <c r="F1667" s="284"/>
      <c r="G1667" s="284"/>
      <c r="H1667" s="284"/>
      <c r="I1667" s="284"/>
      <c r="J1667" s="375"/>
      <c r="K1667" s="375"/>
      <c r="L1667" s="375"/>
      <c r="M1667" s="368"/>
      <c r="N1667" s="368"/>
      <c r="O1667" s="370"/>
      <c r="T1667" s="349"/>
      <c r="V1667" s="378"/>
      <c r="W1667" s="64" ph="1"/>
      <c r="X1667" s="241"/>
      <c r="Y1667" s="284"/>
      <c r="Z1667" s="207"/>
      <c r="AA1667" s="284"/>
      <c r="AB1667" s="284"/>
      <c r="AC1667" s="284"/>
      <c r="AD1667" s="284"/>
      <c r="AE1667" s="284"/>
      <c r="AF1667" s="284"/>
      <c r="AG1667" s="284"/>
      <c r="AI1667" s="131"/>
    </row>
    <row r="1668" spans="1:35" ht="26.4">
      <c r="A1668" s="284"/>
      <c r="B1668" s="284"/>
      <c r="C1668" s="284"/>
      <c r="D1668" s="284"/>
      <c r="E1668" s="284"/>
      <c r="F1668" s="284"/>
      <c r="G1668" s="284"/>
      <c r="H1668" s="284"/>
      <c r="I1668" s="284"/>
      <c r="J1668" s="375"/>
      <c r="K1668" s="375"/>
      <c r="L1668" s="375"/>
      <c r="M1668" s="368"/>
      <c r="N1668" s="368"/>
      <c r="O1668" s="370"/>
      <c r="T1668" s="349"/>
      <c r="V1668" s="378"/>
      <c r="W1668" s="64" ph="1"/>
      <c r="X1668" s="241"/>
      <c r="Y1668" s="284"/>
      <c r="Z1668" s="207"/>
      <c r="AA1668" s="284"/>
      <c r="AB1668" s="284"/>
      <c r="AC1668" s="284"/>
      <c r="AD1668" s="284"/>
      <c r="AE1668" s="284"/>
      <c r="AF1668" s="284"/>
      <c r="AG1668" s="284"/>
      <c r="AI1668" s="131"/>
    </row>
    <row r="1669" spans="1:35" ht="26.4">
      <c r="A1669" s="284"/>
      <c r="B1669" s="284"/>
      <c r="C1669" s="284"/>
      <c r="D1669" s="284"/>
      <c r="E1669" s="284"/>
      <c r="F1669" s="284"/>
      <c r="G1669" s="284"/>
      <c r="H1669" s="284"/>
      <c r="I1669" s="284"/>
      <c r="J1669" s="375"/>
      <c r="K1669" s="375"/>
      <c r="L1669" s="375"/>
      <c r="M1669" s="368"/>
      <c r="N1669" s="368"/>
      <c r="O1669" s="370"/>
      <c r="T1669" s="349"/>
      <c r="V1669" s="378"/>
      <c r="W1669" s="64" ph="1"/>
      <c r="X1669" s="241"/>
      <c r="Y1669" s="284"/>
      <c r="Z1669" s="207"/>
      <c r="AA1669" s="284"/>
      <c r="AB1669" s="284"/>
      <c r="AC1669" s="284"/>
      <c r="AD1669" s="284"/>
      <c r="AE1669" s="284"/>
      <c r="AF1669" s="284"/>
      <c r="AG1669" s="284"/>
      <c r="AI1669" s="131"/>
    </row>
    <row r="1670" spans="1:35" ht="26.4">
      <c r="A1670" s="284"/>
      <c r="B1670" s="284"/>
      <c r="C1670" s="284"/>
      <c r="D1670" s="284"/>
      <c r="E1670" s="284"/>
      <c r="F1670" s="284"/>
      <c r="G1670" s="284"/>
      <c r="H1670" s="284"/>
      <c r="I1670" s="284"/>
      <c r="J1670" s="375"/>
      <c r="K1670" s="375"/>
      <c r="L1670" s="375"/>
      <c r="M1670" s="368"/>
      <c r="N1670" s="368"/>
      <c r="O1670" s="370"/>
      <c r="T1670" s="349"/>
      <c r="V1670" s="378"/>
      <c r="W1670" s="64" ph="1"/>
      <c r="X1670" s="241"/>
      <c r="Y1670" s="284"/>
      <c r="Z1670" s="207"/>
      <c r="AA1670" s="284"/>
      <c r="AB1670" s="284"/>
      <c r="AC1670" s="284"/>
      <c r="AD1670" s="284"/>
      <c r="AE1670" s="284"/>
      <c r="AF1670" s="284"/>
      <c r="AG1670" s="284"/>
      <c r="AI1670" s="131"/>
    </row>
    <row r="1671" spans="1:35" ht="26.4">
      <c r="A1671" s="284"/>
      <c r="B1671" s="284"/>
      <c r="C1671" s="284"/>
      <c r="D1671" s="284"/>
      <c r="E1671" s="284"/>
      <c r="F1671" s="284"/>
      <c r="G1671" s="284"/>
      <c r="H1671" s="284"/>
      <c r="I1671" s="284"/>
      <c r="J1671" s="375"/>
      <c r="K1671" s="375"/>
      <c r="L1671" s="375"/>
      <c r="M1671" s="368"/>
      <c r="N1671" s="368"/>
      <c r="O1671" s="370"/>
      <c r="T1671" s="349"/>
      <c r="V1671" s="378"/>
      <c r="W1671" s="64" ph="1"/>
      <c r="X1671" s="241"/>
      <c r="Y1671" s="284"/>
      <c r="Z1671" s="207"/>
      <c r="AA1671" s="284"/>
      <c r="AB1671" s="284"/>
      <c r="AC1671" s="284"/>
      <c r="AD1671" s="284"/>
      <c r="AE1671" s="284"/>
      <c r="AF1671" s="284"/>
      <c r="AG1671" s="284"/>
      <c r="AI1671" s="131"/>
    </row>
    <row r="1672" spans="1:35" ht="26.4">
      <c r="A1672" s="284"/>
      <c r="B1672" s="284"/>
      <c r="C1672" s="284"/>
      <c r="D1672" s="284"/>
      <c r="E1672" s="284"/>
      <c r="F1672" s="284"/>
      <c r="G1672" s="284"/>
      <c r="H1672" s="284"/>
      <c r="I1672" s="284"/>
      <c r="J1672" s="375"/>
      <c r="K1672" s="375"/>
      <c r="L1672" s="375"/>
      <c r="M1672" s="368"/>
      <c r="N1672" s="368"/>
      <c r="O1672" s="370"/>
      <c r="T1672" s="349"/>
      <c r="V1672" s="378"/>
      <c r="W1672" s="64" ph="1"/>
      <c r="X1672" s="241"/>
      <c r="Y1672" s="284"/>
      <c r="Z1672" s="207"/>
      <c r="AA1672" s="284"/>
      <c r="AB1672" s="284"/>
      <c r="AC1672" s="284"/>
      <c r="AD1672" s="284"/>
      <c r="AE1672" s="284"/>
      <c r="AF1672" s="284"/>
      <c r="AG1672" s="284"/>
      <c r="AI1672" s="131"/>
    </row>
    <row r="1673" spans="1:35" ht="26.4">
      <c r="A1673" s="284"/>
      <c r="B1673" s="284"/>
      <c r="C1673" s="284"/>
      <c r="D1673" s="284"/>
      <c r="E1673" s="284"/>
      <c r="F1673" s="284"/>
      <c r="G1673" s="284"/>
      <c r="H1673" s="284"/>
      <c r="I1673" s="284"/>
      <c r="J1673" s="375"/>
      <c r="K1673" s="375"/>
      <c r="L1673" s="375"/>
      <c r="M1673" s="368"/>
      <c r="N1673" s="368"/>
      <c r="O1673" s="370"/>
      <c r="T1673" s="349"/>
      <c r="V1673" s="378"/>
      <c r="W1673" s="64" ph="1"/>
      <c r="X1673" s="241"/>
      <c r="Y1673" s="284"/>
      <c r="Z1673" s="207"/>
      <c r="AA1673" s="284"/>
      <c r="AB1673" s="284"/>
      <c r="AC1673" s="284"/>
      <c r="AD1673" s="284"/>
      <c r="AE1673" s="284"/>
      <c r="AF1673" s="284"/>
      <c r="AG1673" s="284"/>
      <c r="AI1673" s="131"/>
    </row>
    <row r="1674" spans="1:35" ht="26.4">
      <c r="A1674" s="284"/>
      <c r="B1674" s="284"/>
      <c r="C1674" s="284"/>
      <c r="D1674" s="284"/>
      <c r="E1674" s="284"/>
      <c r="F1674" s="284"/>
      <c r="G1674" s="284"/>
      <c r="H1674" s="284"/>
      <c r="I1674" s="284"/>
      <c r="J1674" s="375"/>
      <c r="K1674" s="375"/>
      <c r="L1674" s="375"/>
      <c r="M1674" s="368"/>
      <c r="N1674" s="368"/>
      <c r="O1674" s="370"/>
      <c r="T1674" s="349"/>
      <c r="V1674" s="378"/>
      <c r="W1674" s="64" ph="1"/>
      <c r="X1674" s="241"/>
      <c r="Y1674" s="284"/>
      <c r="Z1674" s="207"/>
      <c r="AA1674" s="284"/>
      <c r="AB1674" s="284"/>
      <c r="AC1674" s="284"/>
      <c r="AD1674" s="284"/>
      <c r="AE1674" s="284"/>
      <c r="AF1674" s="284"/>
      <c r="AG1674" s="284"/>
      <c r="AI1674" s="131"/>
    </row>
    <row r="1675" spans="1:35" ht="26.4">
      <c r="A1675" s="284"/>
      <c r="B1675" s="284"/>
      <c r="C1675" s="284"/>
      <c r="D1675" s="284"/>
      <c r="E1675" s="284"/>
      <c r="F1675" s="284"/>
      <c r="G1675" s="284"/>
      <c r="H1675" s="284"/>
      <c r="I1675" s="284"/>
      <c r="J1675" s="375"/>
      <c r="K1675" s="375"/>
      <c r="L1675" s="375"/>
      <c r="M1675" s="368"/>
      <c r="N1675" s="368"/>
      <c r="O1675" s="370"/>
      <c r="T1675" s="349"/>
      <c r="V1675" s="378"/>
      <c r="W1675" s="64" ph="1"/>
      <c r="X1675" s="241"/>
      <c r="Y1675" s="284"/>
      <c r="Z1675" s="207"/>
      <c r="AA1675" s="284"/>
      <c r="AB1675" s="284"/>
      <c r="AC1675" s="284"/>
      <c r="AD1675" s="284"/>
      <c r="AE1675" s="284"/>
      <c r="AF1675" s="284"/>
      <c r="AG1675" s="284"/>
      <c r="AI1675" s="131"/>
    </row>
    <row r="1676" spans="1:35" ht="26.4">
      <c r="A1676" s="284"/>
      <c r="B1676" s="284"/>
      <c r="C1676" s="284"/>
      <c r="D1676" s="284"/>
      <c r="E1676" s="284"/>
      <c r="F1676" s="284"/>
      <c r="G1676" s="284"/>
      <c r="H1676" s="284"/>
      <c r="I1676" s="284"/>
      <c r="J1676" s="375"/>
      <c r="K1676" s="375"/>
      <c r="L1676" s="375"/>
      <c r="M1676" s="368"/>
      <c r="N1676" s="368"/>
      <c r="O1676" s="370"/>
      <c r="T1676" s="349"/>
      <c r="V1676" s="378"/>
      <c r="W1676" s="64" ph="1"/>
      <c r="X1676" s="241"/>
      <c r="Y1676" s="284"/>
      <c r="Z1676" s="207"/>
      <c r="AA1676" s="284"/>
      <c r="AB1676" s="284"/>
      <c r="AC1676" s="284"/>
      <c r="AD1676" s="284"/>
      <c r="AE1676" s="284"/>
      <c r="AF1676" s="284"/>
      <c r="AG1676" s="284"/>
      <c r="AI1676" s="131"/>
    </row>
    <row r="1677" spans="1:35" ht="26.4">
      <c r="A1677" s="284"/>
      <c r="B1677" s="284"/>
      <c r="C1677" s="284"/>
      <c r="D1677" s="284"/>
      <c r="E1677" s="284"/>
      <c r="F1677" s="284"/>
      <c r="G1677" s="284"/>
      <c r="H1677" s="284"/>
      <c r="I1677" s="284"/>
      <c r="J1677" s="375"/>
      <c r="K1677" s="375"/>
      <c r="L1677" s="375"/>
      <c r="M1677" s="368"/>
      <c r="N1677" s="368"/>
      <c r="O1677" s="370"/>
      <c r="T1677" s="349"/>
      <c r="V1677" s="378"/>
      <c r="W1677" s="64" ph="1"/>
      <c r="X1677" s="241"/>
      <c r="Y1677" s="284"/>
      <c r="Z1677" s="207"/>
      <c r="AA1677" s="284"/>
      <c r="AB1677" s="284"/>
      <c r="AC1677" s="284"/>
      <c r="AD1677" s="284"/>
      <c r="AE1677" s="284"/>
      <c r="AF1677" s="284"/>
      <c r="AG1677" s="284"/>
      <c r="AI1677" s="131"/>
    </row>
    <row r="1678" spans="1:35" ht="26.4">
      <c r="A1678" s="284"/>
      <c r="B1678" s="284"/>
      <c r="C1678" s="284"/>
      <c r="D1678" s="284"/>
      <c r="E1678" s="284"/>
      <c r="F1678" s="284"/>
      <c r="G1678" s="284"/>
      <c r="H1678" s="284"/>
      <c r="I1678" s="284"/>
      <c r="J1678" s="375"/>
      <c r="K1678" s="375"/>
      <c r="L1678" s="375"/>
      <c r="M1678" s="368"/>
      <c r="N1678" s="368"/>
      <c r="O1678" s="370"/>
      <c r="T1678" s="349"/>
      <c r="V1678" s="378"/>
      <c r="W1678" s="64" ph="1"/>
      <c r="X1678" s="241"/>
      <c r="Y1678" s="284"/>
      <c r="Z1678" s="207"/>
      <c r="AA1678" s="284"/>
      <c r="AB1678" s="284"/>
      <c r="AC1678" s="284"/>
      <c r="AD1678" s="284"/>
      <c r="AE1678" s="284"/>
      <c r="AF1678" s="284"/>
      <c r="AG1678" s="284"/>
      <c r="AI1678" s="131"/>
    </row>
    <row r="1679" spans="1:35" ht="26.4">
      <c r="A1679" s="284"/>
      <c r="B1679" s="284"/>
      <c r="C1679" s="284"/>
      <c r="D1679" s="284"/>
      <c r="E1679" s="284"/>
      <c r="F1679" s="284"/>
      <c r="G1679" s="284"/>
      <c r="H1679" s="284"/>
      <c r="I1679" s="284"/>
      <c r="J1679" s="375"/>
      <c r="K1679" s="375"/>
      <c r="L1679" s="375"/>
      <c r="M1679" s="368"/>
      <c r="N1679" s="368"/>
      <c r="O1679" s="370"/>
      <c r="T1679" s="349"/>
      <c r="V1679" s="378"/>
      <c r="W1679" s="64" ph="1"/>
      <c r="X1679" s="241"/>
      <c r="Y1679" s="284"/>
      <c r="Z1679" s="207"/>
      <c r="AA1679" s="284"/>
      <c r="AB1679" s="284"/>
      <c r="AC1679" s="284"/>
      <c r="AD1679" s="284"/>
      <c r="AE1679" s="284"/>
      <c r="AF1679" s="284"/>
      <c r="AG1679" s="284"/>
      <c r="AI1679" s="131"/>
    </row>
    <row r="1680" spans="1:35" ht="26.4">
      <c r="A1680" s="284"/>
      <c r="B1680" s="284"/>
      <c r="C1680" s="284"/>
      <c r="D1680" s="284"/>
      <c r="E1680" s="284"/>
      <c r="F1680" s="284"/>
      <c r="G1680" s="284"/>
      <c r="H1680" s="284"/>
      <c r="I1680" s="284"/>
      <c r="J1680" s="375"/>
      <c r="K1680" s="375"/>
      <c r="L1680" s="375"/>
      <c r="M1680" s="368"/>
      <c r="N1680" s="368"/>
      <c r="O1680" s="370"/>
      <c r="T1680" s="349"/>
      <c r="V1680" s="378"/>
      <c r="W1680" s="64" ph="1"/>
      <c r="X1680" s="241"/>
      <c r="Y1680" s="284"/>
      <c r="Z1680" s="207"/>
      <c r="AA1680" s="284"/>
      <c r="AB1680" s="284"/>
      <c r="AC1680" s="284"/>
      <c r="AD1680" s="284"/>
      <c r="AE1680" s="284"/>
      <c r="AF1680" s="284"/>
      <c r="AG1680" s="284"/>
      <c r="AI1680" s="131"/>
    </row>
    <row r="1681" spans="1:35" ht="26.4">
      <c r="A1681" s="284"/>
      <c r="B1681" s="284"/>
      <c r="C1681" s="284"/>
      <c r="D1681" s="284"/>
      <c r="E1681" s="284"/>
      <c r="F1681" s="284"/>
      <c r="G1681" s="284"/>
      <c r="H1681" s="284"/>
      <c r="I1681" s="284"/>
      <c r="J1681" s="375"/>
      <c r="K1681" s="375"/>
      <c r="L1681" s="375"/>
      <c r="M1681" s="368"/>
      <c r="N1681" s="368"/>
      <c r="O1681" s="370"/>
      <c r="T1681" s="349"/>
      <c r="V1681" s="378"/>
      <c r="W1681" s="64" ph="1"/>
      <c r="X1681" s="241"/>
      <c r="Y1681" s="284"/>
      <c r="Z1681" s="207"/>
      <c r="AA1681" s="284"/>
      <c r="AB1681" s="284"/>
      <c r="AC1681" s="284"/>
      <c r="AD1681" s="284"/>
      <c r="AE1681" s="284"/>
      <c r="AF1681" s="284"/>
      <c r="AG1681" s="284"/>
      <c r="AI1681" s="131"/>
    </row>
    <row r="1682" spans="1:35" ht="26.4">
      <c r="A1682" s="284"/>
      <c r="B1682" s="284"/>
      <c r="C1682" s="284"/>
      <c r="D1682" s="284"/>
      <c r="E1682" s="284"/>
      <c r="F1682" s="284"/>
      <c r="G1682" s="284"/>
      <c r="H1682" s="284"/>
      <c r="I1682" s="284"/>
      <c r="J1682" s="375"/>
      <c r="K1682" s="375"/>
      <c r="L1682" s="375"/>
      <c r="M1682" s="368"/>
      <c r="N1682" s="368"/>
      <c r="O1682" s="370"/>
      <c r="T1682" s="349"/>
      <c r="V1682" s="378"/>
      <c r="W1682" s="64" ph="1"/>
      <c r="X1682" s="241"/>
      <c r="Y1682" s="284"/>
      <c r="Z1682" s="207"/>
      <c r="AA1682" s="284"/>
      <c r="AB1682" s="284"/>
      <c r="AC1682" s="284"/>
      <c r="AD1682" s="284"/>
      <c r="AE1682" s="284"/>
      <c r="AF1682" s="284"/>
      <c r="AG1682" s="284"/>
      <c r="AI1682" s="131"/>
    </row>
    <row r="1683" spans="1:35" ht="26.4">
      <c r="A1683" s="284"/>
      <c r="B1683" s="284"/>
      <c r="C1683" s="284"/>
      <c r="D1683" s="284"/>
      <c r="E1683" s="284"/>
      <c r="F1683" s="284"/>
      <c r="G1683" s="284"/>
      <c r="H1683" s="284"/>
      <c r="I1683" s="284"/>
      <c r="J1683" s="375"/>
      <c r="K1683" s="375"/>
      <c r="L1683" s="375"/>
      <c r="M1683" s="368"/>
      <c r="N1683" s="368"/>
      <c r="O1683" s="370"/>
      <c r="T1683" s="349"/>
      <c r="V1683" s="378"/>
      <c r="W1683" s="64" ph="1"/>
      <c r="X1683" s="241"/>
      <c r="Y1683" s="284"/>
      <c r="Z1683" s="207"/>
      <c r="AA1683" s="284"/>
      <c r="AB1683" s="284"/>
      <c r="AC1683" s="284"/>
      <c r="AD1683" s="284"/>
      <c r="AE1683" s="284"/>
      <c r="AF1683" s="284"/>
      <c r="AG1683" s="284"/>
      <c r="AI1683" s="131"/>
    </row>
    <row r="1684" spans="1:35" ht="26.4">
      <c r="A1684" s="284"/>
      <c r="B1684" s="284"/>
      <c r="C1684" s="284"/>
      <c r="D1684" s="284"/>
      <c r="E1684" s="284"/>
      <c r="F1684" s="284"/>
      <c r="G1684" s="284"/>
      <c r="H1684" s="284"/>
      <c r="I1684" s="284"/>
      <c r="J1684" s="375"/>
      <c r="K1684" s="375"/>
      <c r="L1684" s="375"/>
      <c r="M1684" s="368"/>
      <c r="N1684" s="368"/>
      <c r="O1684" s="370"/>
      <c r="T1684" s="349"/>
      <c r="V1684" s="378"/>
      <c r="W1684" s="64" ph="1"/>
      <c r="X1684" s="241"/>
      <c r="Y1684" s="284"/>
      <c r="Z1684" s="207"/>
      <c r="AA1684" s="284"/>
      <c r="AB1684" s="284"/>
      <c r="AC1684" s="284"/>
      <c r="AD1684" s="284"/>
      <c r="AE1684" s="284"/>
      <c r="AF1684" s="284"/>
      <c r="AG1684" s="284"/>
      <c r="AI1684" s="131"/>
    </row>
    <row r="1685" spans="1:35" ht="26.4">
      <c r="A1685" s="284"/>
      <c r="B1685" s="284"/>
      <c r="C1685" s="284"/>
      <c r="D1685" s="284"/>
      <c r="E1685" s="284"/>
      <c r="F1685" s="284"/>
      <c r="G1685" s="284"/>
      <c r="H1685" s="284"/>
      <c r="I1685" s="284"/>
      <c r="J1685" s="375"/>
      <c r="K1685" s="375"/>
      <c r="L1685" s="375"/>
      <c r="M1685" s="368"/>
      <c r="N1685" s="368"/>
      <c r="O1685" s="370"/>
      <c r="T1685" s="349"/>
      <c r="V1685" s="378"/>
      <c r="W1685" s="64" ph="1"/>
      <c r="X1685" s="241"/>
      <c r="Y1685" s="284"/>
      <c r="Z1685" s="207"/>
      <c r="AA1685" s="284"/>
      <c r="AB1685" s="284"/>
      <c r="AC1685" s="284"/>
      <c r="AD1685" s="284"/>
      <c r="AE1685" s="284"/>
      <c r="AF1685" s="284"/>
      <c r="AG1685" s="284"/>
      <c r="AI1685" s="131"/>
    </row>
    <row r="1686" spans="1:35" ht="26.4">
      <c r="A1686" s="284"/>
      <c r="B1686" s="284"/>
      <c r="C1686" s="284"/>
      <c r="D1686" s="284"/>
      <c r="E1686" s="284"/>
      <c r="F1686" s="284"/>
      <c r="G1686" s="284"/>
      <c r="H1686" s="284"/>
      <c r="I1686" s="284"/>
      <c r="J1686" s="375"/>
      <c r="K1686" s="375"/>
      <c r="L1686" s="375"/>
      <c r="M1686" s="368"/>
      <c r="N1686" s="368"/>
      <c r="O1686" s="370"/>
      <c r="T1686" s="349"/>
      <c r="V1686" s="378"/>
      <c r="W1686" s="64" ph="1"/>
      <c r="X1686" s="241"/>
      <c r="Y1686" s="284"/>
      <c r="Z1686" s="207"/>
      <c r="AA1686" s="284"/>
      <c r="AB1686" s="284"/>
      <c r="AC1686" s="284"/>
      <c r="AD1686" s="284"/>
      <c r="AE1686" s="284"/>
      <c r="AF1686" s="284"/>
      <c r="AG1686" s="284"/>
      <c r="AI1686" s="284"/>
    </row>
    <row r="1687" spans="1:35" ht="26.4">
      <c r="A1687" s="284"/>
      <c r="B1687" s="284"/>
      <c r="C1687" s="284"/>
      <c r="D1687" s="284"/>
      <c r="E1687" s="284"/>
      <c r="F1687" s="284"/>
      <c r="G1687" s="284"/>
      <c r="H1687" s="284"/>
      <c r="I1687" s="284"/>
      <c r="J1687" s="375"/>
      <c r="K1687" s="375"/>
      <c r="L1687" s="375"/>
      <c r="M1687" s="368"/>
      <c r="N1687" s="368"/>
      <c r="O1687" s="370"/>
      <c r="T1687" s="349"/>
      <c r="V1687" s="378"/>
      <c r="W1687" s="64" ph="1"/>
      <c r="X1687" s="241"/>
      <c r="Y1687" s="284"/>
      <c r="Z1687" s="207"/>
      <c r="AA1687" s="284"/>
      <c r="AB1687" s="284"/>
      <c r="AC1687" s="284"/>
      <c r="AD1687" s="284"/>
      <c r="AE1687" s="284"/>
      <c r="AF1687" s="284"/>
      <c r="AG1687" s="284"/>
      <c r="AI1687" s="131"/>
    </row>
    <row r="1688" spans="1:35" ht="26.4">
      <c r="A1688" s="284"/>
      <c r="B1688" s="284"/>
      <c r="C1688" s="284"/>
      <c r="D1688" s="284"/>
      <c r="E1688" s="284"/>
      <c r="F1688" s="284"/>
      <c r="G1688" s="284"/>
      <c r="H1688" s="284"/>
      <c r="I1688" s="284"/>
      <c r="J1688" s="375"/>
      <c r="K1688" s="375"/>
      <c r="L1688" s="375"/>
      <c r="M1688" s="368"/>
      <c r="N1688" s="368"/>
      <c r="O1688" s="370"/>
      <c r="T1688" s="349"/>
      <c r="V1688" s="378"/>
      <c r="W1688" s="64" ph="1"/>
      <c r="X1688" s="241"/>
      <c r="Y1688" s="284"/>
      <c r="Z1688" s="207"/>
      <c r="AA1688" s="284"/>
      <c r="AB1688" s="284"/>
      <c r="AC1688" s="284"/>
      <c r="AD1688" s="284"/>
      <c r="AE1688" s="284"/>
      <c r="AF1688" s="284"/>
      <c r="AG1688" s="284"/>
      <c r="AI1688" s="131"/>
    </row>
    <row r="1689" spans="1:35" ht="26.4">
      <c r="A1689" s="284"/>
      <c r="B1689" s="284"/>
      <c r="C1689" s="284"/>
      <c r="D1689" s="284"/>
      <c r="E1689" s="284"/>
      <c r="F1689" s="284"/>
      <c r="G1689" s="284"/>
      <c r="H1689" s="284"/>
      <c r="I1689" s="284"/>
      <c r="J1689" s="375"/>
      <c r="K1689" s="375"/>
      <c r="L1689" s="375"/>
      <c r="M1689" s="368"/>
      <c r="N1689" s="368"/>
      <c r="O1689" s="370"/>
      <c r="T1689" s="349"/>
      <c r="V1689" s="378"/>
      <c r="W1689" s="64" ph="1"/>
      <c r="X1689" s="241"/>
      <c r="Y1689" s="284"/>
      <c r="Z1689" s="207"/>
      <c r="AA1689" s="284"/>
      <c r="AB1689" s="284"/>
      <c r="AC1689" s="284"/>
      <c r="AD1689" s="284"/>
      <c r="AE1689" s="284"/>
      <c r="AF1689" s="284"/>
      <c r="AG1689" s="284"/>
      <c r="AI1689" s="131"/>
    </row>
    <row r="1690" spans="1:35" ht="26.4">
      <c r="A1690" s="284"/>
      <c r="B1690" s="284"/>
      <c r="C1690" s="284"/>
      <c r="D1690" s="284"/>
      <c r="E1690" s="284"/>
      <c r="F1690" s="284"/>
      <c r="G1690" s="284"/>
      <c r="H1690" s="284"/>
      <c r="I1690" s="284"/>
      <c r="J1690" s="375"/>
      <c r="K1690" s="375"/>
      <c r="L1690" s="375"/>
      <c r="M1690" s="368"/>
      <c r="N1690" s="368"/>
      <c r="O1690" s="370"/>
      <c r="T1690" s="349"/>
      <c r="V1690" s="378"/>
      <c r="W1690" s="64" ph="1"/>
      <c r="X1690" s="241"/>
      <c r="Y1690" s="284"/>
      <c r="Z1690" s="207"/>
      <c r="AA1690" s="284"/>
      <c r="AB1690" s="284"/>
      <c r="AC1690" s="284"/>
      <c r="AD1690" s="284"/>
      <c r="AE1690" s="284"/>
      <c r="AF1690" s="284"/>
      <c r="AG1690" s="284"/>
      <c r="AI1690" s="131"/>
    </row>
    <row r="1691" spans="1:35" ht="26.4">
      <c r="A1691" s="284"/>
      <c r="B1691" s="284"/>
      <c r="C1691" s="284"/>
      <c r="D1691" s="284"/>
      <c r="E1691" s="284"/>
      <c r="F1691" s="284"/>
      <c r="G1691" s="284"/>
      <c r="H1691" s="284"/>
      <c r="I1691" s="284"/>
      <c r="J1691" s="375"/>
      <c r="K1691" s="375"/>
      <c r="L1691" s="375"/>
      <c r="M1691" s="368"/>
      <c r="N1691" s="368"/>
      <c r="O1691" s="370"/>
      <c r="T1691" s="349"/>
      <c r="V1691" s="378"/>
      <c r="W1691" s="64" ph="1"/>
      <c r="X1691" s="241"/>
      <c r="Y1691" s="284"/>
      <c r="Z1691" s="207"/>
      <c r="AA1691" s="284"/>
      <c r="AB1691" s="284"/>
      <c r="AC1691" s="284"/>
      <c r="AD1691" s="284"/>
      <c r="AE1691" s="284"/>
      <c r="AF1691" s="284"/>
      <c r="AG1691" s="284"/>
      <c r="AI1691" s="131"/>
    </row>
    <row r="1692" spans="1:35" ht="26.4">
      <c r="A1692" s="284"/>
      <c r="B1692" s="284"/>
      <c r="C1692" s="284"/>
      <c r="D1692" s="284"/>
      <c r="E1692" s="284"/>
      <c r="F1692" s="284"/>
      <c r="G1692" s="284"/>
      <c r="H1692" s="284"/>
      <c r="I1692" s="284"/>
      <c r="J1692" s="375"/>
      <c r="K1692" s="375"/>
      <c r="L1692" s="375"/>
      <c r="M1692" s="368"/>
      <c r="N1692" s="368"/>
      <c r="O1692" s="370"/>
      <c r="T1692" s="349"/>
      <c r="V1692" s="378"/>
      <c r="W1692" s="64" ph="1"/>
      <c r="X1692" s="241"/>
      <c r="Y1692" s="284"/>
      <c r="Z1692" s="207"/>
      <c r="AA1692" s="284"/>
      <c r="AB1692" s="284"/>
      <c r="AC1692" s="284"/>
      <c r="AD1692" s="284"/>
      <c r="AE1692" s="284"/>
      <c r="AF1692" s="284"/>
      <c r="AG1692" s="284"/>
      <c r="AI1692" s="131"/>
    </row>
    <row r="1693" spans="1:35" ht="26.4">
      <c r="A1693" s="284"/>
      <c r="B1693" s="284"/>
      <c r="C1693" s="284"/>
      <c r="D1693" s="284"/>
      <c r="E1693" s="284"/>
      <c r="F1693" s="284"/>
      <c r="G1693" s="284"/>
      <c r="H1693" s="284"/>
      <c r="I1693" s="284"/>
      <c r="J1693" s="375"/>
      <c r="K1693" s="375"/>
      <c r="L1693" s="375"/>
      <c r="M1693" s="368"/>
      <c r="N1693" s="368"/>
      <c r="O1693" s="370"/>
      <c r="T1693" s="349"/>
      <c r="V1693" s="378"/>
      <c r="W1693" s="64" ph="1"/>
      <c r="X1693" s="241"/>
      <c r="Y1693" s="284"/>
      <c r="Z1693" s="207"/>
      <c r="AA1693" s="284"/>
      <c r="AB1693" s="284"/>
      <c r="AC1693" s="284"/>
      <c r="AD1693" s="284"/>
      <c r="AE1693" s="284"/>
      <c r="AF1693" s="284"/>
      <c r="AG1693" s="284"/>
      <c r="AI1693" s="131"/>
    </row>
    <row r="1694" spans="1:35" ht="26.4">
      <c r="A1694" s="284"/>
      <c r="B1694" s="284"/>
      <c r="C1694" s="284"/>
      <c r="D1694" s="284"/>
      <c r="E1694" s="284"/>
      <c r="F1694" s="284"/>
      <c r="G1694" s="284"/>
      <c r="H1694" s="284"/>
      <c r="I1694" s="284"/>
      <c r="J1694" s="375"/>
      <c r="K1694" s="375"/>
      <c r="L1694" s="375"/>
      <c r="M1694" s="368"/>
      <c r="N1694" s="368"/>
      <c r="O1694" s="370"/>
      <c r="T1694" s="349"/>
      <c r="V1694" s="378"/>
      <c r="W1694" s="64" ph="1"/>
      <c r="X1694" s="241"/>
      <c r="Y1694" s="284"/>
      <c r="Z1694" s="207"/>
      <c r="AA1694" s="284"/>
      <c r="AB1694" s="284"/>
      <c r="AC1694" s="284"/>
      <c r="AD1694" s="284"/>
      <c r="AE1694" s="284"/>
      <c r="AF1694" s="284"/>
      <c r="AG1694" s="284"/>
      <c r="AI1694" s="131"/>
    </row>
    <row r="1695" spans="1:35" ht="26.4">
      <c r="A1695" s="284"/>
      <c r="B1695" s="284"/>
      <c r="C1695" s="284"/>
      <c r="D1695" s="284"/>
      <c r="E1695" s="284"/>
      <c r="F1695" s="284"/>
      <c r="G1695" s="284"/>
      <c r="H1695" s="284"/>
      <c r="I1695" s="284"/>
      <c r="J1695" s="375"/>
      <c r="K1695" s="375"/>
      <c r="L1695" s="375"/>
      <c r="M1695" s="368"/>
      <c r="N1695" s="368"/>
      <c r="O1695" s="370"/>
      <c r="T1695" s="349"/>
      <c r="V1695" s="378"/>
      <c r="W1695" s="64" ph="1"/>
      <c r="X1695" s="241"/>
      <c r="Y1695" s="284"/>
      <c r="Z1695" s="207"/>
      <c r="AA1695" s="284"/>
      <c r="AB1695" s="284"/>
      <c r="AC1695" s="284"/>
      <c r="AD1695" s="284"/>
      <c r="AE1695" s="284"/>
      <c r="AF1695" s="284"/>
      <c r="AG1695" s="284"/>
      <c r="AI1695" s="131"/>
    </row>
    <row r="1696" spans="1:35" ht="26.4">
      <c r="A1696" s="284"/>
      <c r="B1696" s="284"/>
      <c r="C1696" s="284"/>
      <c r="D1696" s="284"/>
      <c r="E1696" s="284"/>
      <c r="F1696" s="284"/>
      <c r="G1696" s="284"/>
      <c r="H1696" s="284"/>
      <c r="I1696" s="284"/>
      <c r="J1696" s="375"/>
      <c r="K1696" s="375"/>
      <c r="L1696" s="375"/>
      <c r="M1696" s="368"/>
      <c r="N1696" s="368"/>
      <c r="O1696" s="370"/>
      <c r="T1696" s="349"/>
      <c r="V1696" s="378"/>
      <c r="W1696" s="64" ph="1"/>
      <c r="X1696" s="241"/>
      <c r="Y1696" s="284"/>
      <c r="Z1696" s="207"/>
      <c r="AA1696" s="284"/>
      <c r="AB1696" s="284"/>
      <c r="AC1696" s="284"/>
      <c r="AD1696" s="284"/>
      <c r="AE1696" s="284"/>
      <c r="AF1696" s="284"/>
      <c r="AG1696" s="284"/>
      <c r="AI1696" s="131"/>
    </row>
    <row r="1697" spans="1:35" ht="26.4">
      <c r="A1697" s="284"/>
      <c r="B1697" s="284"/>
      <c r="C1697" s="284"/>
      <c r="D1697" s="284"/>
      <c r="E1697" s="284"/>
      <c r="F1697" s="284"/>
      <c r="G1697" s="284"/>
      <c r="H1697" s="284"/>
      <c r="I1697" s="284"/>
      <c r="J1697" s="375"/>
      <c r="K1697" s="375"/>
      <c r="L1697" s="375"/>
      <c r="M1697" s="368"/>
      <c r="N1697" s="368"/>
      <c r="O1697" s="370"/>
      <c r="T1697" s="349"/>
      <c r="V1697" s="378"/>
      <c r="W1697" s="64" ph="1"/>
      <c r="X1697" s="241"/>
      <c r="Y1697" s="284"/>
      <c r="Z1697" s="207"/>
      <c r="AA1697" s="284"/>
      <c r="AB1697" s="284"/>
      <c r="AC1697" s="284"/>
      <c r="AD1697" s="284"/>
      <c r="AE1697" s="284"/>
      <c r="AF1697" s="284"/>
      <c r="AG1697" s="284"/>
      <c r="AI1697" s="131"/>
    </row>
    <row r="1698" spans="1:35" ht="26.4">
      <c r="A1698" s="284"/>
      <c r="B1698" s="284"/>
      <c r="C1698" s="284"/>
      <c r="D1698" s="284"/>
      <c r="E1698" s="284"/>
      <c r="F1698" s="284"/>
      <c r="G1698" s="284"/>
      <c r="H1698" s="284"/>
      <c r="I1698" s="284"/>
      <c r="J1698" s="375"/>
      <c r="K1698" s="375"/>
      <c r="L1698" s="375"/>
      <c r="M1698" s="368"/>
      <c r="N1698" s="368"/>
      <c r="O1698" s="370"/>
      <c r="T1698" s="349"/>
      <c r="V1698" s="378"/>
      <c r="W1698" s="64" ph="1"/>
      <c r="X1698" s="241"/>
      <c r="Y1698" s="284"/>
      <c r="Z1698" s="207"/>
      <c r="AA1698" s="284"/>
      <c r="AB1698" s="284"/>
      <c r="AC1698" s="284"/>
      <c r="AD1698" s="284"/>
      <c r="AE1698" s="284"/>
      <c r="AF1698" s="284"/>
      <c r="AG1698" s="284"/>
      <c r="AI1698" s="131"/>
    </row>
    <row r="1699" spans="1:35" ht="26.4">
      <c r="A1699" s="284"/>
      <c r="B1699" s="284"/>
      <c r="C1699" s="284"/>
      <c r="D1699" s="284"/>
      <c r="E1699" s="284"/>
      <c r="F1699" s="284"/>
      <c r="G1699" s="284"/>
      <c r="H1699" s="284"/>
      <c r="I1699" s="284"/>
      <c r="J1699" s="375"/>
      <c r="K1699" s="375"/>
      <c r="L1699" s="375"/>
      <c r="M1699" s="368"/>
      <c r="N1699" s="368"/>
      <c r="O1699" s="370"/>
      <c r="T1699" s="349"/>
      <c r="V1699" s="378"/>
      <c r="W1699" s="64" ph="1"/>
      <c r="X1699" s="241"/>
      <c r="Y1699" s="284"/>
      <c r="Z1699" s="207"/>
      <c r="AA1699" s="284"/>
      <c r="AB1699" s="284"/>
      <c r="AC1699" s="284"/>
      <c r="AD1699" s="284"/>
      <c r="AE1699" s="284"/>
      <c r="AF1699" s="284"/>
      <c r="AG1699" s="284"/>
      <c r="AI1699" s="131"/>
    </row>
    <row r="1700" spans="1:35" ht="26.4">
      <c r="A1700" s="284"/>
      <c r="B1700" s="284"/>
      <c r="C1700" s="284"/>
      <c r="D1700" s="284"/>
      <c r="E1700" s="284"/>
      <c r="F1700" s="284"/>
      <c r="G1700" s="284"/>
      <c r="H1700" s="284"/>
      <c r="I1700" s="284"/>
      <c r="J1700" s="375"/>
      <c r="K1700" s="375"/>
      <c r="L1700" s="375"/>
      <c r="M1700" s="368"/>
      <c r="N1700" s="368"/>
      <c r="O1700" s="370"/>
      <c r="T1700" s="349"/>
      <c r="V1700" s="378"/>
      <c r="W1700" s="64" ph="1"/>
      <c r="X1700" s="241"/>
      <c r="Y1700" s="284"/>
      <c r="Z1700" s="207"/>
      <c r="AA1700" s="284"/>
      <c r="AB1700" s="284"/>
      <c r="AC1700" s="284"/>
      <c r="AD1700" s="284"/>
      <c r="AE1700" s="284"/>
      <c r="AF1700" s="284"/>
      <c r="AG1700" s="284"/>
      <c r="AI1700" s="131"/>
    </row>
    <row r="1701" spans="1:35" ht="26.4">
      <c r="A1701" s="284"/>
      <c r="B1701" s="284"/>
      <c r="C1701" s="284"/>
      <c r="D1701" s="284"/>
      <c r="E1701" s="284"/>
      <c r="F1701" s="284"/>
      <c r="G1701" s="284"/>
      <c r="H1701" s="284"/>
      <c r="I1701" s="284"/>
      <c r="J1701" s="375"/>
      <c r="K1701" s="375"/>
      <c r="L1701" s="375"/>
      <c r="M1701" s="368"/>
      <c r="N1701" s="368"/>
      <c r="O1701" s="370"/>
      <c r="T1701" s="349"/>
      <c r="V1701" s="378"/>
      <c r="W1701" s="64" ph="1"/>
      <c r="X1701" s="241"/>
      <c r="Y1701" s="284"/>
      <c r="Z1701" s="207"/>
      <c r="AA1701" s="284"/>
      <c r="AB1701" s="284"/>
      <c r="AC1701" s="284"/>
      <c r="AD1701" s="284"/>
      <c r="AE1701" s="284"/>
      <c r="AF1701" s="284"/>
      <c r="AG1701" s="284"/>
      <c r="AI1701" s="131"/>
    </row>
    <row r="1702" spans="1:35" ht="26.4">
      <c r="A1702" s="284"/>
      <c r="B1702" s="284"/>
      <c r="C1702" s="284"/>
      <c r="D1702" s="284"/>
      <c r="E1702" s="284"/>
      <c r="F1702" s="284"/>
      <c r="G1702" s="284"/>
      <c r="H1702" s="284"/>
      <c r="I1702" s="284"/>
      <c r="J1702" s="375"/>
      <c r="K1702" s="375"/>
      <c r="L1702" s="375"/>
      <c r="M1702" s="368"/>
      <c r="N1702" s="368"/>
      <c r="O1702" s="370"/>
      <c r="T1702" s="349"/>
      <c r="V1702" s="378"/>
      <c r="W1702" s="64" ph="1"/>
      <c r="X1702" s="241"/>
      <c r="Y1702" s="284"/>
      <c r="Z1702" s="207"/>
      <c r="AA1702" s="284"/>
      <c r="AB1702" s="284"/>
      <c r="AC1702" s="284"/>
      <c r="AD1702" s="284"/>
      <c r="AE1702" s="284"/>
      <c r="AF1702" s="284"/>
      <c r="AG1702" s="284"/>
      <c r="AI1702" s="131"/>
    </row>
    <row r="1703" spans="1:35" ht="26.4">
      <c r="A1703" s="284"/>
      <c r="B1703" s="284"/>
      <c r="C1703" s="284"/>
      <c r="D1703" s="284"/>
      <c r="E1703" s="284"/>
      <c r="F1703" s="284"/>
      <c r="G1703" s="284"/>
      <c r="H1703" s="284"/>
      <c r="I1703" s="284"/>
      <c r="J1703" s="375"/>
      <c r="K1703" s="375"/>
      <c r="L1703" s="375"/>
      <c r="M1703" s="368"/>
      <c r="N1703" s="368"/>
      <c r="O1703" s="370"/>
      <c r="T1703" s="349"/>
      <c r="V1703" s="378"/>
      <c r="W1703" s="64" ph="1"/>
      <c r="X1703" s="241"/>
      <c r="Y1703" s="284"/>
      <c r="Z1703" s="207"/>
      <c r="AA1703" s="284"/>
      <c r="AB1703" s="284"/>
      <c r="AC1703" s="284"/>
      <c r="AD1703" s="284"/>
      <c r="AE1703" s="284"/>
      <c r="AF1703" s="284"/>
      <c r="AG1703" s="284"/>
      <c r="AI1703" s="131"/>
    </row>
    <row r="1704" spans="1:35" ht="26.4">
      <c r="A1704" s="284"/>
      <c r="B1704" s="284"/>
      <c r="C1704" s="284"/>
      <c r="D1704" s="284"/>
      <c r="E1704" s="284"/>
      <c r="F1704" s="284"/>
      <c r="G1704" s="284"/>
      <c r="H1704" s="284"/>
      <c r="I1704" s="284"/>
      <c r="J1704" s="375"/>
      <c r="K1704" s="375"/>
      <c r="L1704" s="375"/>
      <c r="M1704" s="368"/>
      <c r="N1704" s="368"/>
      <c r="O1704" s="370"/>
      <c r="T1704" s="349"/>
      <c r="V1704" s="378"/>
      <c r="W1704" s="64" ph="1"/>
      <c r="X1704" s="241"/>
      <c r="Y1704" s="284"/>
      <c r="Z1704" s="207"/>
      <c r="AA1704" s="284"/>
      <c r="AB1704" s="284"/>
      <c r="AC1704" s="284"/>
      <c r="AD1704" s="284"/>
      <c r="AE1704" s="284"/>
      <c r="AF1704" s="284"/>
      <c r="AG1704" s="284"/>
      <c r="AI1704" s="131"/>
    </row>
    <row r="1705" spans="1:35" ht="26.4">
      <c r="A1705" s="284"/>
      <c r="B1705" s="284"/>
      <c r="C1705" s="284"/>
      <c r="D1705" s="284"/>
      <c r="E1705" s="284"/>
      <c r="F1705" s="284"/>
      <c r="G1705" s="284"/>
      <c r="H1705" s="284"/>
      <c r="I1705" s="284"/>
      <c r="J1705" s="375"/>
      <c r="K1705" s="375"/>
      <c r="L1705" s="375"/>
      <c r="M1705" s="368"/>
      <c r="N1705" s="368"/>
      <c r="O1705" s="370"/>
      <c r="T1705" s="349"/>
      <c r="V1705" s="378"/>
      <c r="W1705" s="64" ph="1"/>
      <c r="X1705" s="241"/>
      <c r="Y1705" s="284"/>
      <c r="Z1705" s="207"/>
      <c r="AA1705" s="284"/>
      <c r="AB1705" s="284"/>
      <c r="AC1705" s="284"/>
      <c r="AD1705" s="284"/>
      <c r="AE1705" s="284"/>
      <c r="AF1705" s="284"/>
      <c r="AG1705" s="284"/>
      <c r="AI1705" s="131"/>
    </row>
    <row r="1706" spans="1:35" ht="26.4">
      <c r="A1706" s="284"/>
      <c r="B1706" s="284"/>
      <c r="C1706" s="284"/>
      <c r="D1706" s="284"/>
      <c r="E1706" s="284"/>
      <c r="F1706" s="284"/>
      <c r="G1706" s="284"/>
      <c r="H1706" s="284"/>
      <c r="I1706" s="284"/>
      <c r="J1706" s="375"/>
      <c r="K1706" s="375"/>
      <c r="L1706" s="375"/>
      <c r="M1706" s="368"/>
      <c r="N1706" s="368"/>
      <c r="O1706" s="370"/>
      <c r="T1706" s="349"/>
      <c r="V1706" s="378"/>
      <c r="W1706" s="64" ph="1"/>
      <c r="X1706" s="241"/>
      <c r="Y1706" s="284"/>
      <c r="Z1706" s="207"/>
      <c r="AA1706" s="284"/>
      <c r="AB1706" s="284"/>
      <c r="AC1706" s="284"/>
      <c r="AD1706" s="284"/>
      <c r="AE1706" s="284"/>
      <c r="AF1706" s="284"/>
      <c r="AG1706" s="284"/>
      <c r="AI1706" s="131"/>
    </row>
    <row r="1707" spans="1:35" ht="26.4">
      <c r="A1707" s="284"/>
      <c r="B1707" s="284"/>
      <c r="C1707" s="284"/>
      <c r="D1707" s="284"/>
      <c r="E1707" s="284"/>
      <c r="F1707" s="284"/>
      <c r="G1707" s="284"/>
      <c r="H1707" s="284"/>
      <c r="I1707" s="284"/>
      <c r="J1707" s="375"/>
      <c r="K1707" s="375"/>
      <c r="L1707" s="375"/>
      <c r="M1707" s="368"/>
      <c r="N1707" s="368"/>
      <c r="O1707" s="370"/>
      <c r="T1707" s="349"/>
      <c r="V1707" s="378"/>
      <c r="W1707" s="64" ph="1"/>
      <c r="X1707" s="241"/>
      <c r="Y1707" s="284"/>
      <c r="Z1707" s="207"/>
      <c r="AA1707" s="284"/>
      <c r="AB1707" s="284"/>
      <c r="AC1707" s="284"/>
      <c r="AD1707" s="284"/>
      <c r="AE1707" s="284"/>
      <c r="AF1707" s="284"/>
      <c r="AG1707" s="284"/>
      <c r="AI1707" s="131"/>
    </row>
    <row r="1708" spans="1:35" ht="26.4">
      <c r="A1708" s="284"/>
      <c r="B1708" s="284"/>
      <c r="C1708" s="284"/>
      <c r="D1708" s="284"/>
      <c r="E1708" s="284"/>
      <c r="F1708" s="284"/>
      <c r="G1708" s="284"/>
      <c r="H1708" s="284"/>
      <c r="I1708" s="284"/>
      <c r="J1708" s="375"/>
      <c r="K1708" s="375"/>
      <c r="L1708" s="375"/>
      <c r="M1708" s="368"/>
      <c r="N1708" s="368"/>
      <c r="O1708" s="370"/>
      <c r="T1708" s="349"/>
      <c r="V1708" s="378"/>
      <c r="W1708" s="64" ph="1"/>
      <c r="X1708" s="241"/>
      <c r="Y1708" s="284"/>
      <c r="Z1708" s="207"/>
      <c r="AA1708" s="284"/>
      <c r="AB1708" s="284"/>
      <c r="AC1708" s="284"/>
      <c r="AD1708" s="284"/>
      <c r="AE1708" s="284"/>
      <c r="AF1708" s="284"/>
      <c r="AG1708" s="284"/>
      <c r="AI1708" s="131"/>
    </row>
    <row r="1709" spans="1:35" ht="26.4">
      <c r="A1709" s="284"/>
      <c r="B1709" s="284"/>
      <c r="C1709" s="284"/>
      <c r="D1709" s="284"/>
      <c r="E1709" s="284"/>
      <c r="F1709" s="284"/>
      <c r="G1709" s="284"/>
      <c r="H1709" s="284"/>
      <c r="I1709" s="284"/>
      <c r="J1709" s="375"/>
      <c r="K1709" s="375"/>
      <c r="L1709" s="375"/>
      <c r="M1709" s="368"/>
      <c r="N1709" s="368"/>
      <c r="O1709" s="370"/>
      <c r="T1709" s="349"/>
      <c r="V1709" s="378"/>
      <c r="W1709" s="64" ph="1"/>
      <c r="X1709" s="241"/>
      <c r="Y1709" s="284"/>
      <c r="Z1709" s="207"/>
      <c r="AA1709" s="284"/>
      <c r="AB1709" s="284"/>
      <c r="AC1709" s="284"/>
      <c r="AD1709" s="284"/>
      <c r="AE1709" s="284"/>
      <c r="AF1709" s="284"/>
      <c r="AG1709" s="284"/>
      <c r="AI1709" s="131"/>
    </row>
    <row r="1710" spans="1:35" ht="26.4">
      <c r="A1710" s="284"/>
      <c r="B1710" s="284"/>
      <c r="C1710" s="284"/>
      <c r="D1710" s="284"/>
      <c r="E1710" s="284"/>
      <c r="F1710" s="284"/>
      <c r="G1710" s="284"/>
      <c r="H1710" s="284"/>
      <c r="I1710" s="284"/>
      <c r="J1710" s="375"/>
      <c r="K1710" s="375"/>
      <c r="L1710" s="375"/>
      <c r="M1710" s="368"/>
      <c r="N1710" s="368"/>
      <c r="O1710" s="370"/>
      <c r="T1710" s="349"/>
      <c r="V1710" s="378"/>
      <c r="W1710" s="64" ph="1"/>
      <c r="X1710" s="241"/>
      <c r="Y1710" s="284"/>
      <c r="Z1710" s="207"/>
      <c r="AA1710" s="284"/>
      <c r="AB1710" s="284"/>
      <c r="AC1710" s="284"/>
      <c r="AD1710" s="284"/>
      <c r="AE1710" s="284"/>
      <c r="AF1710" s="284"/>
      <c r="AG1710" s="284"/>
      <c r="AI1710" s="131"/>
    </row>
    <row r="1711" spans="1:35" ht="26.4">
      <c r="A1711" s="284"/>
      <c r="B1711" s="284"/>
      <c r="C1711" s="284"/>
      <c r="D1711" s="284"/>
      <c r="E1711" s="284"/>
      <c r="F1711" s="284"/>
      <c r="G1711" s="284"/>
      <c r="H1711" s="284"/>
      <c r="I1711" s="284"/>
      <c r="J1711" s="375"/>
      <c r="K1711" s="375"/>
      <c r="L1711" s="375"/>
      <c r="M1711" s="368"/>
      <c r="N1711" s="368"/>
      <c r="O1711" s="370"/>
      <c r="T1711" s="349"/>
      <c r="V1711" s="378"/>
      <c r="W1711" s="64" ph="1"/>
      <c r="X1711" s="241"/>
      <c r="Y1711" s="284"/>
      <c r="Z1711" s="207"/>
      <c r="AA1711" s="284"/>
      <c r="AB1711" s="284"/>
      <c r="AC1711" s="284"/>
      <c r="AD1711" s="284"/>
      <c r="AE1711" s="284"/>
      <c r="AF1711" s="284"/>
      <c r="AG1711" s="284"/>
      <c r="AI1711" s="131"/>
    </row>
    <row r="1712" spans="1:35" ht="26.4">
      <c r="A1712" s="284"/>
      <c r="B1712" s="284"/>
      <c r="C1712" s="284"/>
      <c r="D1712" s="284"/>
      <c r="E1712" s="284"/>
      <c r="F1712" s="284"/>
      <c r="G1712" s="284"/>
      <c r="H1712" s="284"/>
      <c r="I1712" s="284"/>
      <c r="J1712" s="375"/>
      <c r="K1712" s="375"/>
      <c r="L1712" s="375"/>
      <c r="M1712" s="368"/>
      <c r="N1712" s="368"/>
      <c r="O1712" s="370"/>
      <c r="T1712" s="349"/>
      <c r="V1712" s="378"/>
      <c r="W1712" s="64" ph="1"/>
      <c r="X1712" s="241"/>
      <c r="Y1712" s="284"/>
      <c r="Z1712" s="207"/>
      <c r="AA1712" s="284"/>
      <c r="AB1712" s="284"/>
      <c r="AC1712" s="284"/>
      <c r="AD1712" s="284"/>
      <c r="AE1712" s="284"/>
      <c r="AF1712" s="284"/>
      <c r="AG1712" s="284"/>
      <c r="AI1712" s="131"/>
    </row>
    <row r="1713" spans="1:35" ht="26.4">
      <c r="A1713" s="284"/>
      <c r="B1713" s="284"/>
      <c r="C1713" s="284"/>
      <c r="D1713" s="284"/>
      <c r="E1713" s="284"/>
      <c r="F1713" s="284"/>
      <c r="G1713" s="284"/>
      <c r="H1713" s="284"/>
      <c r="I1713" s="284"/>
      <c r="J1713" s="375"/>
      <c r="K1713" s="375"/>
      <c r="L1713" s="375"/>
      <c r="M1713" s="368"/>
      <c r="N1713" s="368"/>
      <c r="O1713" s="370"/>
      <c r="T1713" s="349"/>
      <c r="V1713" s="378"/>
      <c r="W1713" s="64" ph="1"/>
      <c r="X1713" s="241"/>
      <c r="Y1713" s="284"/>
      <c r="Z1713" s="207"/>
      <c r="AA1713" s="284"/>
      <c r="AB1713" s="284"/>
      <c r="AC1713" s="284"/>
      <c r="AD1713" s="284"/>
      <c r="AE1713" s="284"/>
      <c r="AF1713" s="284"/>
      <c r="AG1713" s="284"/>
      <c r="AI1713" s="131"/>
    </row>
    <row r="1714" spans="1:35" ht="26.4">
      <c r="A1714" s="284"/>
      <c r="B1714" s="284"/>
      <c r="C1714" s="284"/>
      <c r="D1714" s="284"/>
      <c r="E1714" s="284"/>
      <c r="F1714" s="284"/>
      <c r="G1714" s="284"/>
      <c r="H1714" s="284"/>
      <c r="I1714" s="284"/>
      <c r="J1714" s="375"/>
      <c r="K1714" s="375"/>
      <c r="L1714" s="375"/>
      <c r="M1714" s="368"/>
      <c r="N1714" s="368"/>
      <c r="O1714" s="370"/>
      <c r="T1714" s="349"/>
      <c r="V1714" s="378"/>
      <c r="W1714" s="64" ph="1"/>
      <c r="X1714" s="241"/>
      <c r="Y1714" s="284"/>
      <c r="Z1714" s="207"/>
      <c r="AA1714" s="284"/>
      <c r="AB1714" s="284"/>
      <c r="AC1714" s="284"/>
      <c r="AD1714" s="284"/>
      <c r="AE1714" s="284"/>
      <c r="AF1714" s="284"/>
      <c r="AG1714" s="284"/>
      <c r="AI1714" s="131"/>
    </row>
    <row r="1715" spans="1:35" ht="26.4">
      <c r="A1715" s="284"/>
      <c r="B1715" s="284"/>
      <c r="C1715" s="284"/>
      <c r="D1715" s="284"/>
      <c r="E1715" s="284"/>
      <c r="F1715" s="284"/>
      <c r="G1715" s="284"/>
      <c r="H1715" s="284"/>
      <c r="I1715" s="284"/>
      <c r="J1715" s="375"/>
      <c r="K1715" s="375"/>
      <c r="L1715" s="375"/>
      <c r="M1715" s="368"/>
      <c r="N1715" s="368"/>
      <c r="O1715" s="370"/>
      <c r="T1715" s="349"/>
      <c r="V1715" s="378"/>
      <c r="W1715" s="64" ph="1"/>
      <c r="X1715" s="241"/>
      <c r="Y1715" s="284"/>
      <c r="Z1715" s="207"/>
      <c r="AA1715" s="284"/>
      <c r="AB1715" s="284"/>
      <c r="AC1715" s="284"/>
      <c r="AD1715" s="284"/>
      <c r="AE1715" s="284"/>
      <c r="AF1715" s="284"/>
      <c r="AG1715" s="284"/>
      <c r="AI1715" s="131"/>
    </row>
    <row r="1716" spans="1:35" ht="26.4">
      <c r="A1716" s="284"/>
      <c r="B1716" s="284"/>
      <c r="C1716" s="284"/>
      <c r="D1716" s="284"/>
      <c r="E1716" s="284"/>
      <c r="F1716" s="284"/>
      <c r="G1716" s="284"/>
      <c r="H1716" s="284"/>
      <c r="I1716" s="284"/>
      <c r="J1716" s="375"/>
      <c r="K1716" s="375"/>
      <c r="L1716" s="375"/>
      <c r="M1716" s="368"/>
      <c r="N1716" s="368"/>
      <c r="O1716" s="370"/>
      <c r="T1716" s="349"/>
      <c r="V1716" s="378"/>
      <c r="W1716" s="64" ph="1"/>
      <c r="X1716" s="241"/>
      <c r="Y1716" s="284"/>
      <c r="Z1716" s="207"/>
      <c r="AA1716" s="284"/>
      <c r="AB1716" s="284"/>
      <c r="AC1716" s="284"/>
      <c r="AD1716" s="284"/>
      <c r="AE1716" s="284"/>
      <c r="AF1716" s="284"/>
      <c r="AG1716" s="284"/>
      <c r="AI1716" s="131"/>
    </row>
    <row r="1717" spans="1:35" ht="26.4">
      <c r="A1717" s="284"/>
      <c r="B1717" s="284"/>
      <c r="C1717" s="284"/>
      <c r="D1717" s="284"/>
      <c r="E1717" s="284"/>
      <c r="F1717" s="284"/>
      <c r="G1717" s="284"/>
      <c r="H1717" s="284"/>
      <c r="I1717" s="284"/>
      <c r="J1717" s="375"/>
      <c r="K1717" s="375"/>
      <c r="L1717" s="375"/>
      <c r="M1717" s="368"/>
      <c r="N1717" s="368"/>
      <c r="O1717" s="370"/>
      <c r="T1717" s="349"/>
      <c r="V1717" s="378"/>
      <c r="W1717" s="64" ph="1"/>
      <c r="X1717" s="241"/>
      <c r="Y1717" s="284"/>
      <c r="Z1717" s="207"/>
      <c r="AA1717" s="284"/>
      <c r="AB1717" s="284"/>
      <c r="AC1717" s="284"/>
      <c r="AD1717" s="284"/>
      <c r="AE1717" s="284"/>
      <c r="AF1717" s="284"/>
      <c r="AG1717" s="284"/>
      <c r="AI1717" s="131"/>
    </row>
    <row r="1718" spans="1:35" ht="26.4">
      <c r="A1718" s="284"/>
      <c r="B1718" s="284"/>
      <c r="C1718" s="284"/>
      <c r="D1718" s="284"/>
      <c r="E1718" s="284"/>
      <c r="F1718" s="284"/>
      <c r="G1718" s="284"/>
      <c r="H1718" s="284"/>
      <c r="I1718" s="284"/>
      <c r="J1718" s="375"/>
      <c r="K1718" s="375"/>
      <c r="L1718" s="375"/>
      <c r="M1718" s="368"/>
      <c r="N1718" s="368"/>
      <c r="O1718" s="370"/>
      <c r="T1718" s="349"/>
      <c r="V1718" s="378"/>
      <c r="W1718" s="64" ph="1"/>
      <c r="X1718" s="241"/>
      <c r="Y1718" s="284"/>
      <c r="Z1718" s="207"/>
      <c r="AA1718" s="284"/>
      <c r="AB1718" s="284"/>
      <c r="AC1718" s="284"/>
      <c r="AD1718" s="284"/>
      <c r="AE1718" s="284"/>
      <c r="AF1718" s="284"/>
      <c r="AG1718" s="284"/>
      <c r="AI1718" s="131"/>
    </row>
    <row r="1719" spans="1:35" ht="26.4">
      <c r="A1719" s="284"/>
      <c r="B1719" s="284"/>
      <c r="C1719" s="284"/>
      <c r="D1719" s="284"/>
      <c r="E1719" s="284"/>
      <c r="F1719" s="284"/>
      <c r="G1719" s="284"/>
      <c r="H1719" s="284"/>
      <c r="I1719" s="284"/>
      <c r="J1719" s="375"/>
      <c r="K1719" s="375"/>
      <c r="L1719" s="375"/>
      <c r="M1719" s="368"/>
      <c r="N1719" s="368"/>
      <c r="O1719" s="370"/>
      <c r="T1719" s="349"/>
      <c r="V1719" s="378"/>
      <c r="W1719" s="64" ph="1"/>
      <c r="X1719" s="241"/>
      <c r="Y1719" s="284"/>
      <c r="Z1719" s="207"/>
      <c r="AA1719" s="284"/>
      <c r="AB1719" s="284"/>
      <c r="AC1719" s="284"/>
      <c r="AD1719" s="284"/>
      <c r="AE1719" s="284"/>
      <c r="AF1719" s="284"/>
      <c r="AG1719" s="284"/>
      <c r="AI1719" s="131"/>
    </row>
    <row r="1720" spans="1:35" ht="26.4">
      <c r="A1720" s="284"/>
      <c r="B1720" s="284"/>
      <c r="C1720" s="284"/>
      <c r="D1720" s="284"/>
      <c r="E1720" s="284"/>
      <c r="F1720" s="284"/>
      <c r="G1720" s="284"/>
      <c r="H1720" s="284"/>
      <c r="I1720" s="284"/>
      <c r="J1720" s="375"/>
      <c r="K1720" s="375"/>
      <c r="L1720" s="375"/>
      <c r="M1720" s="368"/>
      <c r="N1720" s="368"/>
      <c r="O1720" s="370"/>
      <c r="T1720" s="349"/>
      <c r="V1720" s="378"/>
      <c r="W1720" s="64" ph="1"/>
      <c r="X1720" s="241"/>
      <c r="Y1720" s="284"/>
      <c r="Z1720" s="207"/>
      <c r="AA1720" s="284"/>
      <c r="AB1720" s="284"/>
      <c r="AC1720" s="284"/>
      <c r="AD1720" s="284"/>
      <c r="AE1720" s="284"/>
      <c r="AF1720" s="284"/>
      <c r="AG1720" s="284"/>
      <c r="AI1720" s="131"/>
    </row>
    <row r="1721" spans="1:35" ht="26.4">
      <c r="A1721" s="284"/>
      <c r="B1721" s="284"/>
      <c r="C1721" s="284"/>
      <c r="D1721" s="284"/>
      <c r="E1721" s="284"/>
      <c r="F1721" s="284"/>
      <c r="G1721" s="284"/>
      <c r="H1721" s="284"/>
      <c r="I1721" s="284"/>
      <c r="J1721" s="375"/>
      <c r="K1721" s="375"/>
      <c r="L1721" s="375"/>
      <c r="M1721" s="368"/>
      <c r="N1721" s="368"/>
      <c r="O1721" s="370"/>
      <c r="T1721" s="349"/>
      <c r="V1721" s="378"/>
      <c r="W1721" s="64" ph="1"/>
      <c r="X1721" s="241"/>
      <c r="Y1721" s="284"/>
      <c r="Z1721" s="207"/>
      <c r="AA1721" s="284"/>
      <c r="AB1721" s="284"/>
      <c r="AC1721" s="284"/>
      <c r="AD1721" s="284"/>
      <c r="AE1721" s="284"/>
      <c r="AF1721" s="284"/>
      <c r="AG1721" s="284"/>
      <c r="AI1721" s="131"/>
    </row>
    <row r="1722" spans="1:35" ht="26.4">
      <c r="A1722" s="284"/>
      <c r="B1722" s="284"/>
      <c r="C1722" s="284"/>
      <c r="D1722" s="284"/>
      <c r="E1722" s="284"/>
      <c r="F1722" s="284"/>
      <c r="G1722" s="284"/>
      <c r="H1722" s="284"/>
      <c r="I1722" s="284"/>
      <c r="J1722" s="375"/>
      <c r="K1722" s="375"/>
      <c r="L1722" s="375"/>
      <c r="M1722" s="368"/>
      <c r="N1722" s="368"/>
      <c r="O1722" s="370"/>
      <c r="T1722" s="349"/>
      <c r="V1722" s="378"/>
      <c r="W1722" s="64" ph="1"/>
      <c r="X1722" s="241"/>
      <c r="Y1722" s="284"/>
      <c r="Z1722" s="207"/>
      <c r="AA1722" s="284"/>
      <c r="AB1722" s="284"/>
      <c r="AC1722" s="284"/>
      <c r="AD1722" s="284"/>
      <c r="AE1722" s="284"/>
      <c r="AF1722" s="284"/>
      <c r="AG1722" s="284"/>
      <c r="AI1722" s="131"/>
    </row>
    <row r="1723" spans="1:35" ht="26.4">
      <c r="A1723" s="284"/>
      <c r="B1723" s="284"/>
      <c r="C1723" s="284"/>
      <c r="D1723" s="284"/>
      <c r="E1723" s="284"/>
      <c r="F1723" s="284"/>
      <c r="G1723" s="284"/>
      <c r="H1723" s="284"/>
      <c r="I1723" s="284"/>
      <c r="J1723" s="375"/>
      <c r="K1723" s="375"/>
      <c r="L1723" s="375"/>
      <c r="M1723" s="368"/>
      <c r="N1723" s="368"/>
      <c r="O1723" s="370"/>
      <c r="T1723" s="349"/>
      <c r="V1723" s="378"/>
      <c r="W1723" s="64" ph="1"/>
      <c r="X1723" s="241"/>
      <c r="Y1723" s="284"/>
      <c r="Z1723" s="207"/>
      <c r="AA1723" s="284"/>
      <c r="AB1723" s="284"/>
      <c r="AC1723" s="284"/>
      <c r="AD1723" s="284"/>
      <c r="AE1723" s="284"/>
      <c r="AF1723" s="284"/>
      <c r="AG1723" s="284"/>
      <c r="AI1723" s="131"/>
    </row>
    <row r="1724" spans="1:35" ht="26.4">
      <c r="A1724" s="284"/>
      <c r="B1724" s="284"/>
      <c r="C1724" s="284"/>
      <c r="D1724" s="284"/>
      <c r="E1724" s="284"/>
      <c r="F1724" s="284"/>
      <c r="G1724" s="284"/>
      <c r="H1724" s="284"/>
      <c r="I1724" s="284"/>
      <c r="J1724" s="375"/>
      <c r="K1724" s="375"/>
      <c r="L1724" s="375"/>
      <c r="M1724" s="368"/>
      <c r="N1724" s="368"/>
      <c r="O1724" s="370"/>
      <c r="T1724" s="349"/>
      <c r="V1724" s="378"/>
      <c r="W1724" s="64" ph="1"/>
      <c r="X1724" s="241"/>
      <c r="Y1724" s="284"/>
      <c r="Z1724" s="207"/>
      <c r="AA1724" s="284"/>
      <c r="AB1724" s="284"/>
      <c r="AC1724" s="284"/>
      <c r="AD1724" s="284"/>
      <c r="AE1724" s="284"/>
      <c r="AF1724" s="284"/>
      <c r="AG1724" s="284"/>
      <c r="AI1724" s="131"/>
    </row>
    <row r="1725" spans="1:35" ht="26.4">
      <c r="A1725" s="284"/>
      <c r="B1725" s="284"/>
      <c r="C1725" s="284"/>
      <c r="D1725" s="284"/>
      <c r="E1725" s="284"/>
      <c r="F1725" s="284"/>
      <c r="G1725" s="284"/>
      <c r="H1725" s="284"/>
      <c r="I1725" s="284"/>
      <c r="J1725" s="375"/>
      <c r="K1725" s="375"/>
      <c r="L1725" s="375"/>
      <c r="M1725" s="368"/>
      <c r="N1725" s="368"/>
      <c r="O1725" s="370"/>
      <c r="T1725" s="349"/>
      <c r="V1725" s="378"/>
      <c r="W1725" s="64" ph="1"/>
      <c r="X1725" s="241"/>
      <c r="Y1725" s="284"/>
      <c r="Z1725" s="207"/>
      <c r="AA1725" s="284"/>
      <c r="AB1725" s="284"/>
      <c r="AC1725" s="284"/>
      <c r="AD1725" s="284"/>
      <c r="AE1725" s="284"/>
      <c r="AF1725" s="284"/>
      <c r="AG1725" s="284"/>
      <c r="AI1725" s="131"/>
    </row>
    <row r="1726" spans="1:35" ht="26.4">
      <c r="A1726" s="284"/>
      <c r="B1726" s="284"/>
      <c r="C1726" s="284"/>
      <c r="D1726" s="284"/>
      <c r="E1726" s="284"/>
      <c r="F1726" s="284"/>
      <c r="G1726" s="284"/>
      <c r="H1726" s="284"/>
      <c r="I1726" s="284"/>
      <c r="J1726" s="375"/>
      <c r="K1726" s="375"/>
      <c r="L1726" s="375"/>
      <c r="M1726" s="368"/>
      <c r="N1726" s="368"/>
      <c r="O1726" s="370"/>
      <c r="T1726" s="349"/>
      <c r="V1726" s="378"/>
      <c r="W1726" s="64" ph="1"/>
      <c r="X1726" s="241"/>
      <c r="Y1726" s="284"/>
      <c r="Z1726" s="207"/>
      <c r="AA1726" s="284"/>
      <c r="AB1726" s="284"/>
      <c r="AC1726" s="284"/>
      <c r="AD1726" s="284"/>
      <c r="AE1726" s="284"/>
      <c r="AF1726" s="284"/>
      <c r="AG1726" s="284"/>
      <c r="AI1726" s="131"/>
    </row>
    <row r="1727" spans="1:35" ht="26.4">
      <c r="A1727" s="284"/>
      <c r="B1727" s="284"/>
      <c r="C1727" s="284"/>
      <c r="D1727" s="284"/>
      <c r="E1727" s="284"/>
      <c r="F1727" s="284"/>
      <c r="G1727" s="284"/>
      <c r="H1727" s="284"/>
      <c r="I1727" s="284"/>
      <c r="J1727" s="375"/>
      <c r="K1727" s="375"/>
      <c r="L1727" s="375"/>
      <c r="M1727" s="368"/>
      <c r="N1727" s="368"/>
      <c r="O1727" s="370"/>
      <c r="T1727" s="349"/>
      <c r="V1727" s="378"/>
      <c r="W1727" s="64" ph="1"/>
      <c r="X1727" s="241"/>
      <c r="Y1727" s="284"/>
      <c r="Z1727" s="207"/>
      <c r="AA1727" s="284"/>
      <c r="AB1727" s="284"/>
      <c r="AC1727" s="284"/>
      <c r="AD1727" s="284"/>
      <c r="AE1727" s="284"/>
      <c r="AF1727" s="284"/>
      <c r="AG1727" s="284"/>
      <c r="AI1727" s="131"/>
    </row>
    <row r="1728" spans="1:35" ht="26.4">
      <c r="A1728" s="284"/>
      <c r="B1728" s="284"/>
      <c r="C1728" s="284"/>
      <c r="D1728" s="284"/>
      <c r="E1728" s="284"/>
      <c r="F1728" s="284"/>
      <c r="G1728" s="284"/>
      <c r="H1728" s="284"/>
      <c r="I1728" s="284"/>
      <c r="J1728" s="375"/>
      <c r="K1728" s="375"/>
      <c r="L1728" s="375"/>
      <c r="M1728" s="368"/>
      <c r="N1728" s="368"/>
      <c r="O1728" s="370"/>
      <c r="T1728" s="349"/>
      <c r="V1728" s="378"/>
      <c r="W1728" s="64" ph="1"/>
      <c r="X1728" s="241"/>
      <c r="Y1728" s="284"/>
      <c r="Z1728" s="207"/>
      <c r="AA1728" s="284"/>
      <c r="AB1728" s="284"/>
      <c r="AC1728" s="284"/>
      <c r="AD1728" s="284"/>
      <c r="AE1728" s="284"/>
      <c r="AF1728" s="284"/>
      <c r="AG1728" s="284"/>
      <c r="AI1728" s="131"/>
    </row>
    <row r="1729" spans="1:35" ht="26.4">
      <c r="A1729" s="284"/>
      <c r="B1729" s="284"/>
      <c r="C1729" s="284"/>
      <c r="D1729" s="284"/>
      <c r="E1729" s="284"/>
      <c r="F1729" s="284"/>
      <c r="G1729" s="284"/>
      <c r="H1729" s="284"/>
      <c r="I1729" s="284"/>
      <c r="J1729" s="375"/>
      <c r="K1729" s="375"/>
      <c r="L1729" s="375"/>
      <c r="M1729" s="368"/>
      <c r="N1729" s="368"/>
      <c r="O1729" s="370"/>
      <c r="T1729" s="349"/>
      <c r="V1729" s="378"/>
      <c r="W1729" s="64" ph="1"/>
      <c r="X1729" s="241"/>
      <c r="Y1729" s="284"/>
      <c r="Z1729" s="207"/>
      <c r="AA1729" s="284"/>
      <c r="AB1729" s="284"/>
      <c r="AC1729" s="284"/>
      <c r="AD1729" s="284"/>
      <c r="AE1729" s="284"/>
      <c r="AF1729" s="284"/>
      <c r="AG1729" s="284"/>
      <c r="AI1729" s="284"/>
    </row>
    <row r="1730" spans="1:35" ht="26.4">
      <c r="A1730" s="284"/>
      <c r="B1730" s="284"/>
      <c r="C1730" s="284"/>
      <c r="D1730" s="284"/>
      <c r="E1730" s="284"/>
      <c r="F1730" s="284"/>
      <c r="G1730" s="284"/>
      <c r="H1730" s="284"/>
      <c r="I1730" s="284"/>
      <c r="J1730" s="375"/>
      <c r="K1730" s="375"/>
      <c r="L1730" s="375"/>
      <c r="M1730" s="368"/>
      <c r="N1730" s="368"/>
      <c r="O1730" s="370"/>
      <c r="T1730" s="349"/>
      <c r="V1730" s="378"/>
      <c r="W1730" s="64" ph="1"/>
      <c r="X1730" s="241"/>
      <c r="Y1730" s="284"/>
      <c r="Z1730" s="207"/>
      <c r="AA1730" s="284"/>
      <c r="AB1730" s="284"/>
      <c r="AC1730" s="284"/>
      <c r="AD1730" s="284"/>
      <c r="AE1730" s="284"/>
      <c r="AF1730" s="284"/>
      <c r="AG1730" s="284"/>
      <c r="AI1730" s="284"/>
    </row>
    <row r="1731" spans="1:35" ht="26.4">
      <c r="A1731" s="284"/>
      <c r="B1731" s="284"/>
      <c r="C1731" s="284"/>
      <c r="D1731" s="284"/>
      <c r="E1731" s="284"/>
      <c r="F1731" s="284"/>
      <c r="G1731" s="284"/>
      <c r="H1731" s="284"/>
      <c r="I1731" s="284"/>
      <c r="J1731" s="375"/>
      <c r="K1731" s="375"/>
      <c r="L1731" s="375"/>
      <c r="M1731" s="368"/>
      <c r="N1731" s="368"/>
      <c r="O1731" s="370"/>
      <c r="T1731" s="349"/>
      <c r="V1731" s="378"/>
      <c r="W1731" s="64" ph="1"/>
      <c r="X1731" s="241"/>
      <c r="Y1731" s="284"/>
      <c r="Z1731" s="207"/>
      <c r="AA1731" s="284"/>
      <c r="AB1731" s="284"/>
      <c r="AC1731" s="284"/>
      <c r="AD1731" s="284"/>
      <c r="AE1731" s="284"/>
      <c r="AF1731" s="284"/>
      <c r="AG1731" s="284"/>
      <c r="AI1731" s="131"/>
    </row>
    <row r="1732" spans="1:35" ht="26.4">
      <c r="A1732" s="284"/>
      <c r="B1732" s="284"/>
      <c r="C1732" s="284"/>
      <c r="D1732" s="284"/>
      <c r="E1732" s="284"/>
      <c r="F1732" s="284"/>
      <c r="G1732" s="284"/>
      <c r="H1732" s="284"/>
      <c r="I1732" s="284"/>
      <c r="J1732" s="375"/>
      <c r="K1732" s="375"/>
      <c r="L1732" s="375"/>
      <c r="M1732" s="368"/>
      <c r="N1732" s="368"/>
      <c r="O1732" s="370"/>
      <c r="T1732" s="349"/>
      <c r="V1732" s="378"/>
      <c r="W1732" s="64" ph="1"/>
      <c r="X1732" s="241"/>
      <c r="Y1732" s="284"/>
      <c r="Z1732" s="207"/>
      <c r="AA1732" s="284"/>
      <c r="AB1732" s="284"/>
      <c r="AC1732" s="284"/>
      <c r="AD1732" s="284"/>
      <c r="AE1732" s="284"/>
      <c r="AF1732" s="284"/>
      <c r="AG1732" s="284"/>
      <c r="AI1732" s="131"/>
    </row>
    <row r="1733" spans="1:35" ht="26.4">
      <c r="A1733" s="284"/>
      <c r="B1733" s="284"/>
      <c r="C1733" s="284"/>
      <c r="D1733" s="284"/>
      <c r="E1733" s="284"/>
      <c r="F1733" s="284"/>
      <c r="G1733" s="284"/>
      <c r="H1733" s="284"/>
      <c r="I1733" s="284"/>
      <c r="J1733" s="375"/>
      <c r="K1733" s="375"/>
      <c r="L1733" s="375"/>
      <c r="M1733" s="368"/>
      <c r="N1733" s="368"/>
      <c r="O1733" s="370"/>
      <c r="T1733" s="349"/>
      <c r="V1733" s="378"/>
      <c r="W1733" s="64" ph="1"/>
      <c r="X1733" s="241"/>
      <c r="Y1733" s="284"/>
      <c r="Z1733" s="207"/>
      <c r="AA1733" s="284"/>
      <c r="AB1733" s="284"/>
      <c r="AC1733" s="284"/>
      <c r="AD1733" s="284"/>
      <c r="AE1733" s="284"/>
      <c r="AF1733" s="284"/>
      <c r="AG1733" s="284"/>
      <c r="AI1733" s="131"/>
    </row>
    <row r="1734" spans="1:35" ht="26.4">
      <c r="A1734" s="284"/>
      <c r="B1734" s="284"/>
      <c r="C1734" s="284"/>
      <c r="D1734" s="284"/>
      <c r="E1734" s="284"/>
      <c r="F1734" s="284"/>
      <c r="G1734" s="284"/>
      <c r="H1734" s="284"/>
      <c r="I1734" s="284"/>
      <c r="J1734" s="375"/>
      <c r="K1734" s="375"/>
      <c r="L1734" s="375"/>
      <c r="M1734" s="368"/>
      <c r="N1734" s="368"/>
      <c r="O1734" s="370"/>
      <c r="T1734" s="349"/>
      <c r="V1734" s="378"/>
      <c r="W1734" s="64" ph="1"/>
      <c r="X1734" s="241"/>
      <c r="Y1734" s="284"/>
      <c r="Z1734" s="207"/>
      <c r="AA1734" s="284"/>
      <c r="AB1734" s="284"/>
      <c r="AC1734" s="284"/>
      <c r="AD1734" s="284"/>
      <c r="AE1734" s="284"/>
      <c r="AF1734" s="284"/>
      <c r="AG1734" s="284"/>
      <c r="AI1734" s="131"/>
    </row>
    <row r="1735" spans="1:35" ht="26.4">
      <c r="A1735" s="284"/>
      <c r="B1735" s="284"/>
      <c r="C1735" s="284"/>
      <c r="D1735" s="284"/>
      <c r="E1735" s="284"/>
      <c r="F1735" s="284"/>
      <c r="G1735" s="284"/>
      <c r="H1735" s="284"/>
      <c r="I1735" s="284"/>
      <c r="J1735" s="375"/>
      <c r="K1735" s="375"/>
      <c r="L1735" s="375"/>
      <c r="M1735" s="368"/>
      <c r="N1735" s="368"/>
      <c r="O1735" s="370"/>
      <c r="T1735" s="349"/>
      <c r="V1735" s="378"/>
      <c r="W1735" s="64" ph="1"/>
      <c r="X1735" s="241"/>
      <c r="Y1735" s="284"/>
      <c r="Z1735" s="207"/>
      <c r="AA1735" s="284"/>
      <c r="AB1735" s="284"/>
      <c r="AC1735" s="284"/>
      <c r="AD1735" s="284"/>
      <c r="AE1735" s="284"/>
      <c r="AF1735" s="284"/>
      <c r="AG1735" s="284"/>
      <c r="AI1735" s="131"/>
    </row>
    <row r="1736" spans="1:35" ht="26.4">
      <c r="A1736" s="284"/>
      <c r="B1736" s="284"/>
      <c r="C1736" s="284"/>
      <c r="D1736" s="284"/>
      <c r="E1736" s="284"/>
      <c r="F1736" s="284"/>
      <c r="G1736" s="284"/>
      <c r="H1736" s="284"/>
      <c r="I1736" s="284"/>
      <c r="J1736" s="375"/>
      <c r="K1736" s="375"/>
      <c r="L1736" s="375"/>
      <c r="M1736" s="368"/>
      <c r="N1736" s="368"/>
      <c r="O1736" s="370"/>
      <c r="T1736" s="349"/>
      <c r="V1736" s="378"/>
      <c r="W1736" s="64" ph="1"/>
      <c r="X1736" s="241"/>
      <c r="Y1736" s="284"/>
      <c r="Z1736" s="207"/>
      <c r="AA1736" s="284"/>
      <c r="AB1736" s="284"/>
      <c r="AC1736" s="284"/>
      <c r="AD1736" s="284"/>
      <c r="AE1736" s="284"/>
      <c r="AF1736" s="284"/>
      <c r="AG1736" s="284"/>
      <c r="AI1736" s="131"/>
    </row>
    <row r="1737" spans="1:35" ht="26.4">
      <c r="A1737" s="284"/>
      <c r="B1737" s="284"/>
      <c r="C1737" s="284"/>
      <c r="D1737" s="284"/>
      <c r="E1737" s="284"/>
      <c r="F1737" s="284"/>
      <c r="G1737" s="284"/>
      <c r="H1737" s="284"/>
      <c r="I1737" s="284"/>
      <c r="J1737" s="375"/>
      <c r="K1737" s="375"/>
      <c r="L1737" s="375"/>
      <c r="M1737" s="368"/>
      <c r="N1737" s="368"/>
      <c r="O1737" s="370"/>
      <c r="T1737" s="349"/>
      <c r="V1737" s="378"/>
      <c r="W1737" s="64" ph="1"/>
      <c r="X1737" s="241"/>
      <c r="Y1737" s="284"/>
      <c r="Z1737" s="207"/>
      <c r="AA1737" s="284"/>
      <c r="AB1737" s="284"/>
      <c r="AC1737" s="284"/>
      <c r="AD1737" s="284"/>
      <c r="AE1737" s="284"/>
      <c r="AF1737" s="284"/>
      <c r="AG1737" s="284"/>
      <c r="AI1737" s="131"/>
    </row>
    <row r="1738" spans="1:35" ht="26.4">
      <c r="A1738" s="284"/>
      <c r="B1738" s="284"/>
      <c r="C1738" s="284"/>
      <c r="D1738" s="284"/>
      <c r="E1738" s="284"/>
      <c r="F1738" s="284"/>
      <c r="G1738" s="284"/>
      <c r="H1738" s="284"/>
      <c r="I1738" s="284"/>
      <c r="J1738" s="375"/>
      <c r="K1738" s="375"/>
      <c r="L1738" s="375"/>
      <c r="M1738" s="368"/>
      <c r="N1738" s="368"/>
      <c r="O1738" s="370"/>
      <c r="T1738" s="349"/>
      <c r="V1738" s="378"/>
      <c r="W1738" s="64" ph="1"/>
      <c r="X1738" s="241"/>
      <c r="Y1738" s="284"/>
      <c r="Z1738" s="207"/>
      <c r="AA1738" s="284"/>
      <c r="AB1738" s="284"/>
      <c r="AC1738" s="284"/>
      <c r="AD1738" s="284"/>
      <c r="AE1738" s="284"/>
      <c r="AF1738" s="284"/>
      <c r="AG1738" s="284"/>
      <c r="AI1738" s="131"/>
    </row>
    <row r="1739" spans="1:35" ht="26.4">
      <c r="A1739" s="284"/>
      <c r="B1739" s="284"/>
      <c r="C1739" s="284"/>
      <c r="D1739" s="284"/>
      <c r="E1739" s="284"/>
      <c r="F1739" s="284"/>
      <c r="G1739" s="284"/>
      <c r="H1739" s="284"/>
      <c r="I1739" s="284"/>
      <c r="J1739" s="375"/>
      <c r="K1739" s="375"/>
      <c r="L1739" s="375"/>
      <c r="M1739" s="368"/>
      <c r="N1739" s="368"/>
      <c r="O1739" s="370"/>
      <c r="T1739" s="349"/>
      <c r="V1739" s="378"/>
      <c r="W1739" s="64" ph="1"/>
      <c r="X1739" s="241"/>
      <c r="Y1739" s="284"/>
      <c r="Z1739" s="207"/>
      <c r="AA1739" s="284"/>
      <c r="AB1739" s="284"/>
      <c r="AC1739" s="284"/>
      <c r="AD1739" s="284"/>
      <c r="AE1739" s="284"/>
      <c r="AF1739" s="284"/>
      <c r="AG1739" s="284"/>
      <c r="AI1739" s="131"/>
    </row>
    <row r="1740" spans="1:35" ht="26.4">
      <c r="A1740" s="284"/>
      <c r="B1740" s="284"/>
      <c r="C1740" s="284"/>
      <c r="D1740" s="284"/>
      <c r="E1740" s="284"/>
      <c r="F1740" s="284"/>
      <c r="G1740" s="284"/>
      <c r="H1740" s="284"/>
      <c r="I1740" s="284"/>
      <c r="J1740" s="375"/>
      <c r="K1740" s="375"/>
      <c r="L1740" s="375"/>
      <c r="M1740" s="368"/>
      <c r="N1740" s="368"/>
      <c r="O1740" s="370"/>
      <c r="T1740" s="349"/>
      <c r="V1740" s="378"/>
      <c r="W1740" s="64" ph="1"/>
      <c r="X1740" s="241"/>
      <c r="Y1740" s="284"/>
      <c r="Z1740" s="207"/>
      <c r="AA1740" s="284"/>
      <c r="AB1740" s="284"/>
      <c r="AC1740" s="284"/>
      <c r="AD1740" s="284"/>
      <c r="AE1740" s="284"/>
      <c r="AF1740" s="284"/>
      <c r="AG1740" s="284"/>
      <c r="AI1740" s="131"/>
    </row>
    <row r="1741" spans="1:35" ht="26.4">
      <c r="A1741" s="284"/>
      <c r="B1741" s="284"/>
      <c r="C1741" s="284"/>
      <c r="D1741" s="284"/>
      <c r="E1741" s="284"/>
      <c r="F1741" s="284"/>
      <c r="G1741" s="284"/>
      <c r="H1741" s="284"/>
      <c r="I1741" s="284"/>
      <c r="J1741" s="375"/>
      <c r="K1741" s="375"/>
      <c r="L1741" s="375"/>
      <c r="M1741" s="368"/>
      <c r="N1741" s="368"/>
      <c r="O1741" s="370"/>
      <c r="T1741" s="349"/>
      <c r="V1741" s="378"/>
      <c r="W1741" s="64" ph="1"/>
      <c r="X1741" s="241"/>
      <c r="Y1741" s="284"/>
      <c r="Z1741" s="207"/>
      <c r="AA1741" s="284"/>
      <c r="AB1741" s="284"/>
      <c r="AC1741" s="284"/>
      <c r="AD1741" s="284"/>
      <c r="AE1741" s="284"/>
      <c r="AF1741" s="284"/>
      <c r="AG1741" s="284"/>
      <c r="AI1741" s="131"/>
    </row>
    <row r="1742" spans="1:35" ht="26.4">
      <c r="A1742" s="284"/>
      <c r="B1742" s="284"/>
      <c r="C1742" s="284"/>
      <c r="D1742" s="284"/>
      <c r="E1742" s="284"/>
      <c r="F1742" s="284"/>
      <c r="G1742" s="284"/>
      <c r="H1742" s="284"/>
      <c r="I1742" s="284"/>
      <c r="J1742" s="375"/>
      <c r="K1742" s="375"/>
      <c r="L1742" s="375"/>
      <c r="M1742" s="368"/>
      <c r="N1742" s="368"/>
      <c r="O1742" s="370"/>
      <c r="T1742" s="349"/>
      <c r="V1742" s="378"/>
      <c r="W1742" s="64" ph="1"/>
      <c r="X1742" s="241"/>
      <c r="Y1742" s="284"/>
      <c r="Z1742" s="207"/>
      <c r="AA1742" s="284"/>
      <c r="AB1742" s="284"/>
      <c r="AC1742" s="284"/>
      <c r="AD1742" s="284"/>
      <c r="AE1742" s="284"/>
      <c r="AF1742" s="284"/>
      <c r="AG1742" s="284"/>
      <c r="AI1742" s="131"/>
    </row>
    <row r="1743" spans="1:35" ht="26.4">
      <c r="A1743" s="284"/>
      <c r="B1743" s="284"/>
      <c r="C1743" s="284"/>
      <c r="D1743" s="284"/>
      <c r="E1743" s="284"/>
      <c r="F1743" s="284"/>
      <c r="G1743" s="284"/>
      <c r="H1743" s="284"/>
      <c r="I1743" s="284"/>
      <c r="J1743" s="375"/>
      <c r="K1743" s="375"/>
      <c r="L1743" s="375"/>
      <c r="M1743" s="368"/>
      <c r="N1743" s="368"/>
      <c r="O1743" s="370"/>
      <c r="T1743" s="349"/>
      <c r="V1743" s="378"/>
      <c r="W1743" s="64" ph="1"/>
      <c r="X1743" s="241"/>
      <c r="Y1743" s="284"/>
      <c r="Z1743" s="207"/>
      <c r="AA1743" s="284"/>
      <c r="AB1743" s="284"/>
      <c r="AC1743" s="284"/>
      <c r="AD1743" s="284"/>
      <c r="AE1743" s="284"/>
      <c r="AF1743" s="284"/>
      <c r="AG1743" s="284"/>
      <c r="AI1743" s="284"/>
    </row>
    <row r="1744" spans="1:35" ht="26.4">
      <c r="A1744" s="284"/>
      <c r="B1744" s="284"/>
      <c r="C1744" s="284"/>
      <c r="D1744" s="284"/>
      <c r="E1744" s="284"/>
      <c r="F1744" s="284"/>
      <c r="G1744" s="284"/>
      <c r="H1744" s="284"/>
      <c r="I1744" s="284"/>
      <c r="J1744" s="375"/>
      <c r="K1744" s="375"/>
      <c r="L1744" s="375"/>
      <c r="M1744" s="368"/>
      <c r="N1744" s="368"/>
      <c r="O1744" s="370"/>
      <c r="T1744" s="349"/>
      <c r="V1744" s="378"/>
      <c r="W1744" s="64" ph="1"/>
      <c r="X1744" s="241"/>
      <c r="Y1744" s="284"/>
      <c r="Z1744" s="207"/>
      <c r="AA1744" s="284"/>
      <c r="AB1744" s="284"/>
      <c r="AC1744" s="284"/>
      <c r="AD1744" s="284"/>
      <c r="AE1744" s="284"/>
      <c r="AF1744" s="284"/>
      <c r="AG1744" s="284"/>
      <c r="AI1744" s="131"/>
    </row>
    <row r="1745" spans="1:35" ht="26.4">
      <c r="A1745" s="284"/>
      <c r="B1745" s="284"/>
      <c r="C1745" s="284"/>
      <c r="D1745" s="284"/>
      <c r="E1745" s="284"/>
      <c r="F1745" s="284"/>
      <c r="G1745" s="284"/>
      <c r="H1745" s="284"/>
      <c r="I1745" s="284"/>
      <c r="J1745" s="375"/>
      <c r="K1745" s="375"/>
      <c r="L1745" s="375"/>
      <c r="M1745" s="368"/>
      <c r="N1745" s="368"/>
      <c r="O1745" s="370"/>
      <c r="T1745" s="349"/>
      <c r="V1745" s="378"/>
      <c r="W1745" s="64" ph="1"/>
      <c r="X1745" s="241"/>
      <c r="Y1745" s="284"/>
      <c r="Z1745" s="207"/>
      <c r="AA1745" s="284"/>
      <c r="AB1745" s="284"/>
      <c r="AC1745" s="284"/>
      <c r="AD1745" s="284"/>
      <c r="AE1745" s="284"/>
      <c r="AF1745" s="284"/>
      <c r="AG1745" s="284"/>
      <c r="AI1745" s="131"/>
    </row>
    <row r="1746" spans="1:35" ht="26.4">
      <c r="A1746" s="284"/>
      <c r="B1746" s="284"/>
      <c r="C1746" s="284"/>
      <c r="D1746" s="284"/>
      <c r="E1746" s="284"/>
      <c r="F1746" s="284"/>
      <c r="G1746" s="284"/>
      <c r="H1746" s="284"/>
      <c r="I1746" s="284"/>
      <c r="J1746" s="375"/>
      <c r="K1746" s="375"/>
      <c r="L1746" s="375"/>
      <c r="M1746" s="368"/>
      <c r="N1746" s="368"/>
      <c r="O1746" s="370"/>
      <c r="T1746" s="349"/>
      <c r="V1746" s="378"/>
      <c r="W1746" s="64" ph="1"/>
      <c r="X1746" s="241"/>
      <c r="Y1746" s="284"/>
      <c r="Z1746" s="207"/>
      <c r="AA1746" s="284"/>
      <c r="AB1746" s="284"/>
      <c r="AC1746" s="284"/>
      <c r="AD1746" s="284"/>
      <c r="AE1746" s="284"/>
      <c r="AF1746" s="284"/>
      <c r="AG1746" s="284"/>
      <c r="AI1746" s="131"/>
    </row>
    <row r="1747" spans="1:35" ht="26.4">
      <c r="A1747" s="284"/>
      <c r="B1747" s="284"/>
      <c r="C1747" s="284"/>
      <c r="D1747" s="284"/>
      <c r="E1747" s="284"/>
      <c r="F1747" s="284"/>
      <c r="G1747" s="284"/>
      <c r="H1747" s="284"/>
      <c r="I1747" s="284"/>
      <c r="J1747" s="375"/>
      <c r="K1747" s="375"/>
      <c r="L1747" s="375"/>
      <c r="M1747" s="368"/>
      <c r="N1747" s="368"/>
      <c r="O1747" s="370"/>
      <c r="T1747" s="349"/>
      <c r="V1747" s="378"/>
      <c r="W1747" s="64" ph="1"/>
      <c r="X1747" s="241"/>
      <c r="Y1747" s="284"/>
      <c r="Z1747" s="207"/>
      <c r="AA1747" s="284"/>
      <c r="AB1747" s="284"/>
      <c r="AC1747" s="284"/>
      <c r="AD1747" s="284"/>
      <c r="AE1747" s="284"/>
      <c r="AF1747" s="284"/>
      <c r="AG1747" s="284"/>
      <c r="AI1747" s="131"/>
    </row>
    <row r="1748" spans="1:35" ht="26.4">
      <c r="A1748" s="284"/>
      <c r="B1748" s="284"/>
      <c r="C1748" s="284"/>
      <c r="D1748" s="284"/>
      <c r="E1748" s="284"/>
      <c r="F1748" s="284"/>
      <c r="G1748" s="284"/>
      <c r="H1748" s="284"/>
      <c r="I1748" s="284"/>
      <c r="J1748" s="375"/>
      <c r="K1748" s="375"/>
      <c r="L1748" s="375"/>
      <c r="M1748" s="368"/>
      <c r="N1748" s="368"/>
      <c r="O1748" s="370"/>
      <c r="T1748" s="349"/>
      <c r="V1748" s="378"/>
      <c r="W1748" s="64" ph="1"/>
      <c r="X1748" s="241"/>
      <c r="Y1748" s="284"/>
      <c r="Z1748" s="207"/>
      <c r="AA1748" s="284"/>
      <c r="AB1748" s="284"/>
      <c r="AC1748" s="284"/>
      <c r="AD1748" s="284"/>
      <c r="AE1748" s="284"/>
      <c r="AF1748" s="284"/>
      <c r="AG1748" s="284"/>
      <c r="AI1748" s="131"/>
    </row>
    <row r="1749" spans="1:35" ht="26.4">
      <c r="A1749" s="284"/>
      <c r="B1749" s="284"/>
      <c r="C1749" s="284"/>
      <c r="D1749" s="284"/>
      <c r="E1749" s="284"/>
      <c r="F1749" s="284"/>
      <c r="G1749" s="284"/>
      <c r="H1749" s="284"/>
      <c r="I1749" s="284"/>
      <c r="J1749" s="375"/>
      <c r="K1749" s="375"/>
      <c r="L1749" s="375"/>
      <c r="M1749" s="368"/>
      <c r="N1749" s="368"/>
      <c r="O1749" s="370"/>
      <c r="T1749" s="349"/>
      <c r="V1749" s="378"/>
      <c r="W1749" s="64" ph="1"/>
      <c r="X1749" s="241"/>
      <c r="Y1749" s="284"/>
      <c r="Z1749" s="207"/>
      <c r="AA1749" s="284"/>
      <c r="AB1749" s="284"/>
      <c r="AC1749" s="284"/>
      <c r="AD1749" s="284"/>
      <c r="AE1749" s="284"/>
      <c r="AF1749" s="284"/>
      <c r="AG1749" s="284"/>
      <c r="AI1749" s="131"/>
    </row>
    <row r="1750" spans="1:35" ht="26.4">
      <c r="A1750" s="284"/>
      <c r="B1750" s="284"/>
      <c r="C1750" s="284"/>
      <c r="D1750" s="284"/>
      <c r="E1750" s="284"/>
      <c r="F1750" s="284"/>
      <c r="G1750" s="284"/>
      <c r="H1750" s="284"/>
      <c r="I1750" s="284"/>
      <c r="J1750" s="375"/>
      <c r="K1750" s="375"/>
      <c r="L1750" s="375"/>
      <c r="M1750" s="368"/>
      <c r="N1750" s="368"/>
      <c r="O1750" s="370"/>
      <c r="T1750" s="349"/>
      <c r="V1750" s="378"/>
      <c r="W1750" s="64" ph="1"/>
      <c r="X1750" s="241"/>
      <c r="Y1750" s="284"/>
      <c r="Z1750" s="207"/>
      <c r="AA1750" s="284"/>
      <c r="AB1750" s="284"/>
      <c r="AC1750" s="284"/>
      <c r="AD1750" s="284"/>
      <c r="AE1750" s="284"/>
      <c r="AF1750" s="284"/>
      <c r="AG1750" s="284"/>
      <c r="AI1750" s="52"/>
    </row>
    <row r="1751" spans="1:35" ht="26.4">
      <c r="A1751" s="284"/>
      <c r="B1751" s="284"/>
      <c r="C1751" s="284"/>
      <c r="D1751" s="284"/>
      <c r="E1751" s="284"/>
      <c r="F1751" s="284"/>
      <c r="G1751" s="284"/>
      <c r="H1751" s="284"/>
      <c r="I1751" s="284"/>
      <c r="J1751" s="375"/>
      <c r="K1751" s="375"/>
      <c r="L1751" s="375"/>
      <c r="M1751" s="368"/>
      <c r="N1751" s="368"/>
      <c r="O1751" s="370"/>
      <c r="T1751" s="349"/>
      <c r="V1751" s="378"/>
      <c r="W1751" s="64" ph="1"/>
      <c r="X1751" s="241"/>
      <c r="Y1751" s="284"/>
      <c r="Z1751" s="207"/>
      <c r="AA1751" s="284"/>
      <c r="AB1751" s="284"/>
      <c r="AC1751" s="284"/>
      <c r="AD1751" s="284"/>
      <c r="AE1751" s="284"/>
      <c r="AF1751" s="284"/>
      <c r="AG1751" s="284"/>
      <c r="AI1751" s="131"/>
    </row>
    <row r="1752" spans="1:35" ht="26.4">
      <c r="A1752" s="284"/>
      <c r="B1752" s="284"/>
      <c r="C1752" s="284"/>
      <c r="D1752" s="284"/>
      <c r="E1752" s="284"/>
      <c r="F1752" s="284"/>
      <c r="G1752" s="284"/>
      <c r="H1752" s="284"/>
      <c r="I1752" s="284"/>
      <c r="J1752" s="375"/>
      <c r="K1752" s="375"/>
      <c r="L1752" s="375"/>
      <c r="M1752" s="368"/>
      <c r="N1752" s="368"/>
      <c r="O1752" s="370"/>
      <c r="T1752" s="349"/>
      <c r="V1752" s="378"/>
      <c r="W1752" s="64" ph="1"/>
      <c r="X1752" s="241"/>
      <c r="Y1752" s="284"/>
      <c r="Z1752" s="207"/>
      <c r="AA1752" s="284"/>
      <c r="AB1752" s="284"/>
      <c r="AC1752" s="284"/>
      <c r="AD1752" s="284"/>
      <c r="AE1752" s="284"/>
      <c r="AF1752" s="284"/>
      <c r="AG1752" s="284"/>
      <c r="AI1752" s="131"/>
    </row>
    <row r="1753" spans="1:35" ht="26.4">
      <c r="A1753" s="284"/>
      <c r="B1753" s="284"/>
      <c r="C1753" s="284"/>
      <c r="D1753" s="284"/>
      <c r="E1753" s="284"/>
      <c r="F1753" s="284"/>
      <c r="G1753" s="284"/>
      <c r="H1753" s="284"/>
      <c r="I1753" s="284"/>
      <c r="J1753" s="375"/>
      <c r="K1753" s="375"/>
      <c r="L1753" s="375"/>
      <c r="M1753" s="368"/>
      <c r="N1753" s="368"/>
      <c r="O1753" s="370"/>
      <c r="T1753" s="349"/>
      <c r="V1753" s="378"/>
      <c r="W1753" s="64" ph="1"/>
      <c r="X1753" s="241"/>
      <c r="Y1753" s="284"/>
      <c r="Z1753" s="207"/>
      <c r="AA1753" s="284"/>
      <c r="AB1753" s="284"/>
      <c r="AC1753" s="284"/>
      <c r="AD1753" s="284"/>
      <c r="AE1753" s="284"/>
      <c r="AF1753" s="284"/>
      <c r="AG1753" s="284"/>
      <c r="AI1753" s="131"/>
    </row>
    <row r="1754" spans="1:35" ht="26.4">
      <c r="A1754" s="284"/>
      <c r="B1754" s="284"/>
      <c r="C1754" s="284"/>
      <c r="D1754" s="284"/>
      <c r="E1754" s="284"/>
      <c r="F1754" s="284"/>
      <c r="G1754" s="284"/>
      <c r="H1754" s="284"/>
      <c r="I1754" s="284"/>
      <c r="J1754" s="375"/>
      <c r="K1754" s="375"/>
      <c r="L1754" s="375"/>
      <c r="M1754" s="368"/>
      <c r="N1754" s="368"/>
      <c r="O1754" s="370"/>
      <c r="T1754" s="349"/>
      <c r="V1754" s="378"/>
      <c r="W1754" s="64" ph="1"/>
      <c r="X1754" s="241"/>
      <c r="Y1754" s="284"/>
      <c r="Z1754" s="207"/>
      <c r="AA1754" s="284"/>
      <c r="AB1754" s="284"/>
      <c r="AC1754" s="284"/>
      <c r="AD1754" s="284"/>
      <c r="AE1754" s="284"/>
      <c r="AF1754" s="284"/>
      <c r="AG1754" s="284"/>
      <c r="AI1754" s="131"/>
    </row>
    <row r="1755" spans="1:35" ht="26.4">
      <c r="A1755" s="284"/>
      <c r="B1755" s="284"/>
      <c r="C1755" s="284"/>
      <c r="D1755" s="284"/>
      <c r="E1755" s="284"/>
      <c r="F1755" s="284"/>
      <c r="G1755" s="284"/>
      <c r="H1755" s="284"/>
      <c r="I1755" s="284"/>
      <c r="J1755" s="375"/>
      <c r="K1755" s="375"/>
      <c r="L1755" s="375"/>
      <c r="M1755" s="368"/>
      <c r="N1755" s="368"/>
      <c r="O1755" s="370"/>
      <c r="T1755" s="349"/>
      <c r="V1755" s="378"/>
      <c r="W1755" s="64" ph="1"/>
      <c r="X1755" s="241"/>
      <c r="Y1755" s="284"/>
      <c r="Z1755" s="207"/>
      <c r="AA1755" s="284"/>
      <c r="AB1755" s="284"/>
      <c r="AC1755" s="284"/>
      <c r="AD1755" s="284"/>
      <c r="AE1755" s="284"/>
      <c r="AF1755" s="284"/>
      <c r="AG1755" s="284"/>
      <c r="AI1755" s="131"/>
    </row>
    <row r="1756" spans="1:35" ht="26.4">
      <c r="A1756" s="284"/>
      <c r="B1756" s="284"/>
      <c r="C1756" s="284"/>
      <c r="D1756" s="284"/>
      <c r="E1756" s="284"/>
      <c r="F1756" s="284"/>
      <c r="G1756" s="284"/>
      <c r="H1756" s="284"/>
      <c r="I1756" s="284"/>
      <c r="J1756" s="375"/>
      <c r="K1756" s="375"/>
      <c r="L1756" s="375"/>
      <c r="M1756" s="368"/>
      <c r="N1756" s="368"/>
      <c r="O1756" s="370"/>
      <c r="T1756" s="349"/>
      <c r="V1756" s="378"/>
      <c r="W1756" s="64" ph="1"/>
      <c r="X1756" s="241"/>
      <c r="Y1756" s="284"/>
      <c r="Z1756" s="207"/>
      <c r="AA1756" s="284"/>
      <c r="AB1756" s="284"/>
      <c r="AC1756" s="284"/>
      <c r="AD1756" s="284"/>
      <c r="AE1756" s="284"/>
      <c r="AF1756" s="284"/>
      <c r="AG1756" s="284"/>
      <c r="AI1756" s="131"/>
    </row>
    <row r="1757" spans="1:35" ht="26.4">
      <c r="A1757" s="284"/>
      <c r="B1757" s="284"/>
      <c r="C1757" s="284"/>
      <c r="D1757" s="284"/>
      <c r="E1757" s="284"/>
      <c r="F1757" s="284"/>
      <c r="G1757" s="284"/>
      <c r="H1757" s="284"/>
      <c r="I1757" s="284"/>
      <c r="J1757" s="375"/>
      <c r="K1757" s="375"/>
      <c r="L1757" s="375"/>
      <c r="M1757" s="368"/>
      <c r="N1757" s="368"/>
      <c r="O1757" s="370"/>
      <c r="T1757" s="349"/>
      <c r="V1757" s="378"/>
      <c r="W1757" s="64" ph="1"/>
      <c r="X1757" s="241"/>
      <c r="Y1757" s="284"/>
      <c r="Z1757" s="207"/>
      <c r="AA1757" s="284"/>
      <c r="AB1757" s="284"/>
      <c r="AC1757" s="284"/>
      <c r="AD1757" s="284"/>
      <c r="AE1757" s="284"/>
      <c r="AF1757" s="284"/>
      <c r="AG1757" s="284"/>
      <c r="AI1757" s="131"/>
    </row>
    <row r="1758" spans="1:35" ht="26.4">
      <c r="A1758" s="284"/>
      <c r="B1758" s="284"/>
      <c r="C1758" s="284"/>
      <c r="D1758" s="284"/>
      <c r="E1758" s="284"/>
      <c r="F1758" s="284"/>
      <c r="G1758" s="284"/>
      <c r="H1758" s="284"/>
      <c r="I1758" s="284"/>
      <c r="J1758" s="375"/>
      <c r="K1758" s="375"/>
      <c r="L1758" s="375"/>
      <c r="M1758" s="368"/>
      <c r="N1758" s="368"/>
      <c r="O1758" s="370"/>
      <c r="T1758" s="349"/>
      <c r="V1758" s="378"/>
      <c r="W1758" s="64" ph="1"/>
      <c r="X1758" s="241"/>
      <c r="Y1758" s="284"/>
      <c r="Z1758" s="207"/>
      <c r="AA1758" s="284"/>
      <c r="AB1758" s="284"/>
      <c r="AC1758" s="284"/>
      <c r="AD1758" s="284"/>
      <c r="AE1758" s="284"/>
      <c r="AF1758" s="284"/>
      <c r="AG1758" s="284"/>
      <c r="AI1758" s="131"/>
    </row>
    <row r="1759" spans="1:35" ht="26.4">
      <c r="A1759" s="284"/>
      <c r="B1759" s="284"/>
      <c r="C1759" s="284"/>
      <c r="D1759" s="284"/>
      <c r="E1759" s="284"/>
      <c r="F1759" s="284"/>
      <c r="G1759" s="284"/>
      <c r="H1759" s="284"/>
      <c r="I1759" s="284"/>
      <c r="J1759" s="375"/>
      <c r="K1759" s="375"/>
      <c r="L1759" s="375"/>
      <c r="M1759" s="368"/>
      <c r="N1759" s="368"/>
      <c r="O1759" s="370"/>
      <c r="T1759" s="349"/>
      <c r="V1759" s="378"/>
      <c r="W1759" s="64" ph="1"/>
      <c r="X1759" s="241"/>
      <c r="Y1759" s="284"/>
      <c r="Z1759" s="207"/>
      <c r="AA1759" s="284"/>
      <c r="AB1759" s="284"/>
      <c r="AC1759" s="284"/>
      <c r="AD1759" s="284"/>
      <c r="AE1759" s="284"/>
      <c r="AF1759" s="284"/>
      <c r="AG1759" s="284"/>
      <c r="AI1759" s="131"/>
    </row>
    <row r="1760" spans="1:35" ht="26.4">
      <c r="A1760" s="284"/>
      <c r="B1760" s="284"/>
      <c r="C1760" s="284"/>
      <c r="D1760" s="284"/>
      <c r="E1760" s="284"/>
      <c r="F1760" s="284"/>
      <c r="G1760" s="284"/>
      <c r="H1760" s="284"/>
      <c r="I1760" s="284"/>
      <c r="J1760" s="375"/>
      <c r="K1760" s="375"/>
      <c r="L1760" s="375"/>
      <c r="M1760" s="368"/>
      <c r="N1760" s="368"/>
      <c r="O1760" s="370"/>
      <c r="T1760" s="349"/>
      <c r="V1760" s="378"/>
      <c r="W1760" s="64" ph="1"/>
      <c r="X1760" s="241"/>
      <c r="Y1760" s="284"/>
      <c r="Z1760" s="207"/>
      <c r="AA1760" s="284"/>
      <c r="AB1760" s="284"/>
      <c r="AC1760" s="284"/>
      <c r="AD1760" s="284"/>
      <c r="AE1760" s="284"/>
      <c r="AF1760" s="284"/>
      <c r="AG1760" s="284"/>
      <c r="AI1760" s="131"/>
    </row>
    <row r="1761" spans="1:35" ht="26.4">
      <c r="A1761" s="284"/>
      <c r="B1761" s="284"/>
      <c r="C1761" s="284"/>
      <c r="D1761" s="284"/>
      <c r="E1761" s="284"/>
      <c r="F1761" s="284"/>
      <c r="G1761" s="284"/>
      <c r="H1761" s="284"/>
      <c r="I1761" s="284"/>
      <c r="J1761" s="375"/>
      <c r="K1761" s="375"/>
      <c r="L1761" s="375"/>
      <c r="M1761" s="368"/>
      <c r="N1761" s="368"/>
      <c r="O1761" s="370"/>
      <c r="T1761" s="349"/>
      <c r="V1761" s="378"/>
      <c r="W1761" s="64" ph="1"/>
      <c r="X1761" s="241"/>
      <c r="Y1761" s="284"/>
      <c r="Z1761" s="207"/>
      <c r="AA1761" s="284"/>
      <c r="AB1761" s="284"/>
      <c r="AC1761" s="284"/>
      <c r="AD1761" s="284"/>
      <c r="AE1761" s="284"/>
      <c r="AF1761" s="284"/>
      <c r="AG1761" s="284"/>
      <c r="AI1761" s="131"/>
    </row>
    <row r="1762" spans="1:35" ht="26.4">
      <c r="A1762" s="284"/>
      <c r="B1762" s="284"/>
      <c r="C1762" s="284"/>
      <c r="D1762" s="284"/>
      <c r="E1762" s="284"/>
      <c r="F1762" s="284"/>
      <c r="G1762" s="284"/>
      <c r="H1762" s="284"/>
      <c r="I1762" s="284"/>
      <c r="J1762" s="375"/>
      <c r="K1762" s="375"/>
      <c r="L1762" s="375"/>
      <c r="M1762" s="368"/>
      <c r="N1762" s="368"/>
      <c r="O1762" s="370"/>
      <c r="T1762" s="349"/>
      <c r="V1762" s="378"/>
      <c r="W1762" s="64" ph="1"/>
      <c r="X1762" s="241"/>
      <c r="Y1762" s="284"/>
      <c r="Z1762" s="207"/>
      <c r="AA1762" s="284"/>
      <c r="AB1762" s="284"/>
      <c r="AC1762" s="284"/>
      <c r="AD1762" s="284"/>
      <c r="AE1762" s="284"/>
      <c r="AF1762" s="284"/>
      <c r="AG1762" s="284"/>
      <c r="AI1762" s="131"/>
    </row>
    <row r="1763" spans="1:35" ht="26.4">
      <c r="A1763" s="284"/>
      <c r="B1763" s="284"/>
      <c r="C1763" s="284"/>
      <c r="D1763" s="284"/>
      <c r="E1763" s="284"/>
      <c r="F1763" s="284"/>
      <c r="G1763" s="284"/>
      <c r="H1763" s="284"/>
      <c r="I1763" s="284"/>
      <c r="J1763" s="375"/>
      <c r="K1763" s="375"/>
      <c r="L1763" s="375"/>
      <c r="M1763" s="368"/>
      <c r="N1763" s="368"/>
      <c r="O1763" s="370"/>
      <c r="T1763" s="349"/>
      <c r="V1763" s="378"/>
      <c r="W1763" s="64" ph="1"/>
      <c r="X1763" s="241"/>
      <c r="Y1763" s="284"/>
      <c r="Z1763" s="207"/>
      <c r="AA1763" s="284"/>
      <c r="AB1763" s="284"/>
      <c r="AC1763" s="284"/>
      <c r="AD1763" s="284"/>
      <c r="AE1763" s="284"/>
      <c r="AF1763" s="284"/>
      <c r="AG1763" s="284"/>
      <c r="AI1763" s="131"/>
    </row>
    <row r="1764" spans="1:35" ht="26.4">
      <c r="A1764" s="284"/>
      <c r="B1764" s="284"/>
      <c r="C1764" s="284"/>
      <c r="D1764" s="284"/>
      <c r="E1764" s="284"/>
      <c r="F1764" s="284"/>
      <c r="G1764" s="284"/>
      <c r="H1764" s="284"/>
      <c r="I1764" s="284"/>
      <c r="J1764" s="375"/>
      <c r="K1764" s="375"/>
      <c r="L1764" s="375"/>
      <c r="M1764" s="368"/>
      <c r="N1764" s="368"/>
      <c r="O1764" s="370"/>
      <c r="T1764" s="349"/>
      <c r="V1764" s="378"/>
      <c r="W1764" s="64" ph="1"/>
      <c r="X1764" s="241"/>
      <c r="Y1764" s="284"/>
      <c r="Z1764" s="207"/>
      <c r="AA1764" s="284"/>
      <c r="AB1764" s="284"/>
      <c r="AC1764" s="284"/>
      <c r="AD1764" s="284"/>
      <c r="AE1764" s="284"/>
      <c r="AF1764" s="284"/>
      <c r="AG1764" s="284"/>
      <c r="AI1764" s="131"/>
    </row>
    <row r="1765" spans="1:35" ht="26.4">
      <c r="A1765" s="284"/>
      <c r="B1765" s="284"/>
      <c r="C1765" s="284"/>
      <c r="D1765" s="284"/>
      <c r="E1765" s="284"/>
      <c r="F1765" s="284"/>
      <c r="G1765" s="284"/>
      <c r="H1765" s="284"/>
      <c r="I1765" s="284"/>
      <c r="J1765" s="375"/>
      <c r="K1765" s="375"/>
      <c r="L1765" s="375"/>
      <c r="M1765" s="368"/>
      <c r="N1765" s="368"/>
      <c r="O1765" s="370"/>
      <c r="T1765" s="349"/>
      <c r="V1765" s="378"/>
      <c r="W1765" s="64" ph="1"/>
      <c r="X1765" s="241"/>
      <c r="Y1765" s="284"/>
      <c r="Z1765" s="207"/>
      <c r="AA1765" s="284"/>
      <c r="AB1765" s="284"/>
      <c r="AC1765" s="284"/>
      <c r="AD1765" s="284"/>
      <c r="AE1765" s="284"/>
      <c r="AF1765" s="284"/>
      <c r="AG1765" s="284"/>
      <c r="AI1765" s="131"/>
    </row>
    <row r="1766" spans="1:35" ht="26.4">
      <c r="A1766" s="284"/>
      <c r="B1766" s="284"/>
      <c r="C1766" s="284"/>
      <c r="D1766" s="284"/>
      <c r="E1766" s="284"/>
      <c r="F1766" s="284"/>
      <c r="G1766" s="284"/>
      <c r="H1766" s="284"/>
      <c r="I1766" s="284"/>
      <c r="J1766" s="375"/>
      <c r="K1766" s="375"/>
      <c r="L1766" s="375"/>
      <c r="M1766" s="368"/>
      <c r="N1766" s="368"/>
      <c r="O1766" s="370"/>
      <c r="T1766" s="349"/>
      <c r="V1766" s="378"/>
      <c r="W1766" s="64" ph="1"/>
      <c r="X1766" s="241"/>
      <c r="Y1766" s="284"/>
      <c r="Z1766" s="207"/>
      <c r="AA1766" s="284"/>
      <c r="AB1766" s="284"/>
      <c r="AC1766" s="284"/>
      <c r="AD1766" s="284"/>
      <c r="AE1766" s="284"/>
      <c r="AF1766" s="284"/>
      <c r="AG1766" s="284"/>
      <c r="AI1766" s="131"/>
    </row>
    <row r="1767" spans="1:35" ht="26.4">
      <c r="A1767" s="284"/>
      <c r="B1767" s="284"/>
      <c r="C1767" s="284"/>
      <c r="D1767" s="284"/>
      <c r="E1767" s="284"/>
      <c r="F1767" s="284"/>
      <c r="G1767" s="284"/>
      <c r="H1767" s="284"/>
      <c r="I1767" s="284"/>
      <c r="J1767" s="375"/>
      <c r="K1767" s="375"/>
      <c r="L1767" s="375"/>
      <c r="M1767" s="368"/>
      <c r="N1767" s="368"/>
      <c r="O1767" s="370"/>
      <c r="T1767" s="349"/>
      <c r="V1767" s="378"/>
      <c r="W1767" s="64" ph="1"/>
      <c r="X1767" s="241"/>
      <c r="Y1767" s="284"/>
      <c r="Z1767" s="207"/>
      <c r="AA1767" s="284"/>
      <c r="AB1767" s="284"/>
      <c r="AC1767" s="284"/>
      <c r="AD1767" s="284"/>
      <c r="AE1767" s="284"/>
      <c r="AF1767" s="284"/>
      <c r="AG1767" s="284"/>
      <c r="AI1767" s="131"/>
    </row>
    <row r="1768" spans="1:35" ht="26.4">
      <c r="A1768" s="284"/>
      <c r="B1768" s="284"/>
      <c r="C1768" s="284"/>
      <c r="D1768" s="284"/>
      <c r="E1768" s="284"/>
      <c r="F1768" s="284"/>
      <c r="G1768" s="284"/>
      <c r="H1768" s="284"/>
      <c r="I1768" s="284"/>
      <c r="J1768" s="375"/>
      <c r="K1768" s="375"/>
      <c r="L1768" s="375"/>
      <c r="M1768" s="368"/>
      <c r="N1768" s="368"/>
      <c r="O1768" s="370"/>
      <c r="T1768" s="349"/>
      <c r="V1768" s="378"/>
      <c r="W1768" s="64" ph="1"/>
      <c r="X1768" s="241"/>
      <c r="Y1768" s="284"/>
      <c r="Z1768" s="207"/>
      <c r="AA1768" s="284"/>
      <c r="AB1768" s="284"/>
      <c r="AC1768" s="284"/>
      <c r="AD1768" s="284"/>
      <c r="AE1768" s="284"/>
      <c r="AF1768" s="284"/>
      <c r="AG1768" s="284"/>
      <c r="AI1768" s="131"/>
    </row>
    <row r="1769" spans="1:35" ht="26.4">
      <c r="A1769" s="284"/>
      <c r="B1769" s="284"/>
      <c r="C1769" s="284"/>
      <c r="D1769" s="284"/>
      <c r="E1769" s="284"/>
      <c r="F1769" s="284"/>
      <c r="G1769" s="284"/>
      <c r="H1769" s="284"/>
      <c r="I1769" s="284"/>
      <c r="J1769" s="375"/>
      <c r="K1769" s="375"/>
      <c r="L1769" s="375"/>
      <c r="M1769" s="368"/>
      <c r="N1769" s="368"/>
      <c r="O1769" s="370"/>
      <c r="T1769" s="349"/>
      <c r="V1769" s="378"/>
      <c r="W1769" s="64" ph="1"/>
      <c r="X1769" s="241"/>
      <c r="Y1769" s="284"/>
      <c r="Z1769" s="207"/>
      <c r="AA1769" s="284"/>
      <c r="AB1769" s="284"/>
      <c r="AC1769" s="284"/>
      <c r="AD1769" s="284"/>
      <c r="AE1769" s="284"/>
      <c r="AF1769" s="284"/>
      <c r="AG1769" s="284"/>
      <c r="AI1769" s="131"/>
    </row>
    <row r="1770" spans="1:35" ht="26.4">
      <c r="A1770" s="284"/>
      <c r="B1770" s="284"/>
      <c r="C1770" s="284"/>
      <c r="D1770" s="284"/>
      <c r="E1770" s="284"/>
      <c r="F1770" s="284"/>
      <c r="G1770" s="284"/>
      <c r="H1770" s="284"/>
      <c r="I1770" s="284"/>
      <c r="J1770" s="375"/>
      <c r="K1770" s="375"/>
      <c r="L1770" s="375"/>
      <c r="M1770" s="368"/>
      <c r="N1770" s="368"/>
      <c r="O1770" s="370"/>
      <c r="T1770" s="349"/>
      <c r="V1770" s="378"/>
      <c r="W1770" s="64" ph="1"/>
      <c r="X1770" s="241"/>
      <c r="Y1770" s="284"/>
      <c r="Z1770" s="207"/>
      <c r="AA1770" s="284"/>
      <c r="AB1770" s="284"/>
      <c r="AC1770" s="284"/>
      <c r="AD1770" s="284"/>
      <c r="AE1770" s="284"/>
      <c r="AF1770" s="284"/>
      <c r="AG1770" s="284"/>
      <c r="AI1770" s="131"/>
    </row>
    <row r="1771" spans="1:35" ht="26.4">
      <c r="A1771" s="284"/>
      <c r="B1771" s="284"/>
      <c r="C1771" s="284"/>
      <c r="D1771" s="284"/>
      <c r="E1771" s="284"/>
      <c r="F1771" s="284"/>
      <c r="G1771" s="284"/>
      <c r="H1771" s="284"/>
      <c r="I1771" s="284"/>
      <c r="J1771" s="375"/>
      <c r="K1771" s="375"/>
      <c r="L1771" s="375"/>
      <c r="M1771" s="368"/>
      <c r="N1771" s="368"/>
      <c r="O1771" s="370"/>
      <c r="T1771" s="349"/>
      <c r="V1771" s="378"/>
      <c r="W1771" s="64" ph="1"/>
      <c r="X1771" s="241"/>
      <c r="Y1771" s="284"/>
      <c r="Z1771" s="207"/>
      <c r="AA1771" s="284"/>
      <c r="AB1771" s="284"/>
      <c r="AC1771" s="284"/>
      <c r="AD1771" s="284"/>
      <c r="AE1771" s="284"/>
      <c r="AF1771" s="284"/>
      <c r="AG1771" s="284"/>
      <c r="AI1771" s="131"/>
    </row>
    <row r="1772" spans="1:35" ht="26.4">
      <c r="A1772" s="284"/>
      <c r="B1772" s="284"/>
      <c r="C1772" s="284"/>
      <c r="D1772" s="284"/>
      <c r="E1772" s="284"/>
      <c r="F1772" s="284"/>
      <c r="G1772" s="284"/>
      <c r="H1772" s="284"/>
      <c r="I1772" s="284"/>
      <c r="J1772" s="375"/>
      <c r="K1772" s="375"/>
      <c r="L1772" s="375"/>
      <c r="M1772" s="368"/>
      <c r="N1772" s="368"/>
      <c r="O1772" s="370"/>
      <c r="T1772" s="349"/>
      <c r="V1772" s="378"/>
      <c r="W1772" s="64" ph="1"/>
      <c r="X1772" s="241"/>
      <c r="Y1772" s="284"/>
      <c r="Z1772" s="207"/>
      <c r="AA1772" s="284"/>
      <c r="AB1772" s="284"/>
      <c r="AC1772" s="284"/>
      <c r="AD1772" s="284"/>
      <c r="AE1772" s="284"/>
      <c r="AF1772" s="284"/>
      <c r="AG1772" s="284"/>
      <c r="AI1772" s="131"/>
    </row>
    <row r="1773" spans="1:35" ht="26.4">
      <c r="A1773" s="284"/>
      <c r="B1773" s="284"/>
      <c r="C1773" s="284"/>
      <c r="D1773" s="284"/>
      <c r="E1773" s="284"/>
      <c r="F1773" s="284"/>
      <c r="G1773" s="284"/>
      <c r="H1773" s="284"/>
      <c r="I1773" s="284"/>
      <c r="J1773" s="375"/>
      <c r="K1773" s="375"/>
      <c r="L1773" s="375"/>
      <c r="M1773" s="368"/>
      <c r="N1773" s="368"/>
      <c r="O1773" s="370"/>
      <c r="T1773" s="349"/>
      <c r="V1773" s="378"/>
      <c r="W1773" s="64" ph="1"/>
      <c r="X1773" s="241"/>
      <c r="Y1773" s="284"/>
      <c r="Z1773" s="207"/>
      <c r="AA1773" s="284"/>
      <c r="AB1773" s="284"/>
      <c r="AC1773" s="284"/>
      <c r="AD1773" s="284"/>
      <c r="AE1773" s="284"/>
      <c r="AF1773" s="284"/>
      <c r="AG1773" s="284"/>
      <c r="AI1773" s="131"/>
    </row>
    <row r="1774" spans="1:35" ht="26.4">
      <c r="A1774" s="284"/>
      <c r="B1774" s="284"/>
      <c r="C1774" s="284"/>
      <c r="D1774" s="284"/>
      <c r="E1774" s="284"/>
      <c r="F1774" s="284"/>
      <c r="G1774" s="284"/>
      <c r="H1774" s="284"/>
      <c r="I1774" s="284"/>
      <c r="J1774" s="375"/>
      <c r="K1774" s="375"/>
      <c r="L1774" s="375"/>
      <c r="M1774" s="368"/>
      <c r="N1774" s="368"/>
      <c r="O1774" s="370"/>
      <c r="T1774" s="349"/>
      <c r="V1774" s="378"/>
      <c r="W1774" s="64" ph="1"/>
      <c r="X1774" s="241"/>
      <c r="Y1774" s="284"/>
      <c r="Z1774" s="207"/>
      <c r="AA1774" s="284"/>
      <c r="AB1774" s="284"/>
      <c r="AC1774" s="284"/>
      <c r="AD1774" s="284"/>
      <c r="AE1774" s="284"/>
      <c r="AF1774" s="284"/>
      <c r="AG1774" s="284"/>
      <c r="AI1774" s="131"/>
    </row>
    <row r="1775" spans="1:35" ht="26.4">
      <c r="A1775" s="284"/>
      <c r="B1775" s="284"/>
      <c r="C1775" s="284"/>
      <c r="D1775" s="284"/>
      <c r="E1775" s="284"/>
      <c r="F1775" s="284"/>
      <c r="G1775" s="284"/>
      <c r="H1775" s="284"/>
      <c r="I1775" s="284"/>
      <c r="J1775" s="375"/>
      <c r="K1775" s="375"/>
      <c r="L1775" s="375"/>
      <c r="M1775" s="368"/>
      <c r="N1775" s="368"/>
      <c r="O1775" s="370"/>
      <c r="T1775" s="349"/>
      <c r="V1775" s="378"/>
      <c r="W1775" s="64" ph="1"/>
      <c r="X1775" s="241"/>
      <c r="Y1775" s="284"/>
      <c r="Z1775" s="207"/>
      <c r="AA1775" s="284"/>
      <c r="AB1775" s="284"/>
      <c r="AC1775" s="284"/>
      <c r="AD1775" s="284"/>
      <c r="AE1775" s="284"/>
      <c r="AF1775" s="284"/>
      <c r="AG1775" s="284"/>
      <c r="AI1775" s="131"/>
    </row>
    <row r="1776" spans="1:35" ht="26.4">
      <c r="A1776" s="284"/>
      <c r="B1776" s="284"/>
      <c r="C1776" s="284"/>
      <c r="D1776" s="284"/>
      <c r="E1776" s="284"/>
      <c r="F1776" s="284"/>
      <c r="G1776" s="284"/>
      <c r="H1776" s="284"/>
      <c r="I1776" s="284"/>
      <c r="J1776" s="375"/>
      <c r="K1776" s="375"/>
      <c r="L1776" s="375"/>
      <c r="M1776" s="368"/>
      <c r="N1776" s="368"/>
      <c r="O1776" s="370"/>
      <c r="T1776" s="349"/>
      <c r="V1776" s="378"/>
      <c r="W1776" s="64" ph="1"/>
      <c r="X1776" s="241"/>
      <c r="Y1776" s="284"/>
      <c r="Z1776" s="207"/>
      <c r="AA1776" s="284"/>
      <c r="AB1776" s="284"/>
      <c r="AC1776" s="284"/>
      <c r="AD1776" s="284"/>
      <c r="AE1776" s="284"/>
      <c r="AF1776" s="284"/>
      <c r="AG1776" s="284"/>
      <c r="AI1776" s="131"/>
    </row>
    <row r="1777" spans="1:35" ht="26.4">
      <c r="A1777" s="284"/>
      <c r="B1777" s="284"/>
      <c r="C1777" s="284"/>
      <c r="D1777" s="284"/>
      <c r="E1777" s="284"/>
      <c r="F1777" s="284"/>
      <c r="G1777" s="284"/>
      <c r="H1777" s="284"/>
      <c r="I1777" s="284"/>
      <c r="J1777" s="375"/>
      <c r="K1777" s="375"/>
      <c r="L1777" s="375"/>
      <c r="M1777" s="368"/>
      <c r="N1777" s="368"/>
      <c r="O1777" s="370"/>
      <c r="T1777" s="349"/>
      <c r="V1777" s="378"/>
      <c r="W1777" s="64" ph="1"/>
      <c r="X1777" s="241"/>
      <c r="Y1777" s="284"/>
      <c r="Z1777" s="207"/>
      <c r="AA1777" s="284"/>
      <c r="AB1777" s="284"/>
      <c r="AC1777" s="284"/>
      <c r="AD1777" s="284"/>
      <c r="AE1777" s="284"/>
      <c r="AF1777" s="284"/>
      <c r="AG1777" s="284"/>
      <c r="AI1777" s="131"/>
    </row>
    <row r="1778" spans="1:35" ht="26.4">
      <c r="A1778" s="284"/>
      <c r="B1778" s="284"/>
      <c r="C1778" s="284"/>
      <c r="D1778" s="284"/>
      <c r="E1778" s="284"/>
      <c r="F1778" s="284"/>
      <c r="G1778" s="284"/>
      <c r="H1778" s="284"/>
      <c r="I1778" s="284"/>
      <c r="J1778" s="375"/>
      <c r="K1778" s="375"/>
      <c r="L1778" s="375"/>
      <c r="M1778" s="368"/>
      <c r="N1778" s="368"/>
      <c r="O1778" s="370"/>
      <c r="T1778" s="349"/>
      <c r="V1778" s="378"/>
      <c r="W1778" s="64" ph="1"/>
      <c r="X1778" s="241"/>
      <c r="Y1778" s="284"/>
      <c r="Z1778" s="207"/>
      <c r="AA1778" s="284"/>
      <c r="AB1778" s="284"/>
      <c r="AC1778" s="284"/>
      <c r="AD1778" s="284"/>
      <c r="AE1778" s="284"/>
      <c r="AF1778" s="284"/>
      <c r="AG1778" s="284"/>
      <c r="AI1778" s="131"/>
    </row>
    <row r="1779" spans="1:35" ht="26.4">
      <c r="A1779" s="284"/>
      <c r="B1779" s="284"/>
      <c r="C1779" s="284"/>
      <c r="D1779" s="284"/>
      <c r="E1779" s="284"/>
      <c r="F1779" s="284"/>
      <c r="G1779" s="284"/>
      <c r="H1779" s="284"/>
      <c r="I1779" s="284"/>
      <c r="J1779" s="375"/>
      <c r="K1779" s="375"/>
      <c r="L1779" s="375"/>
      <c r="M1779" s="368"/>
      <c r="N1779" s="368"/>
      <c r="O1779" s="370"/>
      <c r="T1779" s="349"/>
      <c r="V1779" s="378"/>
      <c r="W1779" s="64" ph="1"/>
      <c r="X1779" s="241"/>
      <c r="Y1779" s="284"/>
      <c r="Z1779" s="207"/>
      <c r="AA1779" s="284"/>
      <c r="AB1779" s="284"/>
      <c r="AC1779" s="284"/>
      <c r="AD1779" s="284"/>
      <c r="AE1779" s="284"/>
      <c r="AF1779" s="284"/>
      <c r="AG1779" s="284"/>
      <c r="AI1779" s="131"/>
    </row>
    <row r="1780" spans="1:35" ht="26.4">
      <c r="A1780" s="284"/>
      <c r="B1780" s="284"/>
      <c r="C1780" s="284"/>
      <c r="D1780" s="284"/>
      <c r="E1780" s="284"/>
      <c r="F1780" s="284"/>
      <c r="G1780" s="284"/>
      <c r="H1780" s="284"/>
      <c r="I1780" s="284"/>
      <c r="J1780" s="375"/>
      <c r="K1780" s="375"/>
      <c r="L1780" s="375"/>
      <c r="M1780" s="368"/>
      <c r="N1780" s="368"/>
      <c r="O1780" s="370"/>
      <c r="T1780" s="349"/>
      <c r="V1780" s="378"/>
      <c r="W1780" s="64" ph="1"/>
      <c r="X1780" s="241"/>
      <c r="Y1780" s="284"/>
      <c r="Z1780" s="207"/>
      <c r="AA1780" s="284"/>
      <c r="AB1780" s="284"/>
      <c r="AC1780" s="284"/>
      <c r="AD1780" s="284"/>
      <c r="AE1780" s="284"/>
      <c r="AF1780" s="284"/>
      <c r="AG1780" s="284"/>
      <c r="AI1780" s="131"/>
    </row>
    <row r="1781" spans="1:35" ht="26.4">
      <c r="A1781" s="284"/>
      <c r="B1781" s="284"/>
      <c r="C1781" s="284"/>
      <c r="D1781" s="284"/>
      <c r="E1781" s="284"/>
      <c r="F1781" s="284"/>
      <c r="G1781" s="284"/>
      <c r="H1781" s="284"/>
      <c r="I1781" s="284"/>
      <c r="J1781" s="375"/>
      <c r="K1781" s="375"/>
      <c r="L1781" s="375"/>
      <c r="M1781" s="368"/>
      <c r="N1781" s="368"/>
      <c r="O1781" s="370"/>
      <c r="T1781" s="349"/>
      <c r="V1781" s="378"/>
      <c r="W1781" s="64" ph="1"/>
      <c r="X1781" s="241"/>
      <c r="Y1781" s="284"/>
      <c r="Z1781" s="207"/>
      <c r="AA1781" s="284"/>
      <c r="AB1781" s="284"/>
      <c r="AC1781" s="284"/>
      <c r="AD1781" s="284"/>
      <c r="AE1781" s="284"/>
      <c r="AF1781" s="284"/>
      <c r="AG1781" s="284"/>
      <c r="AI1781" s="131"/>
    </row>
    <row r="1782" spans="1:35" ht="26.4">
      <c r="A1782" s="284"/>
      <c r="B1782" s="284"/>
      <c r="C1782" s="284"/>
      <c r="D1782" s="284"/>
      <c r="E1782" s="284"/>
      <c r="F1782" s="284"/>
      <c r="G1782" s="284"/>
      <c r="H1782" s="284"/>
      <c r="I1782" s="284"/>
      <c r="J1782" s="375"/>
      <c r="K1782" s="375"/>
      <c r="L1782" s="375"/>
      <c r="M1782" s="368"/>
      <c r="N1782" s="368"/>
      <c r="O1782" s="370"/>
      <c r="T1782" s="349"/>
      <c r="V1782" s="378"/>
      <c r="W1782" s="64" ph="1"/>
      <c r="X1782" s="241"/>
      <c r="Y1782" s="284"/>
      <c r="Z1782" s="207"/>
      <c r="AA1782" s="284"/>
      <c r="AB1782" s="284"/>
      <c r="AC1782" s="284"/>
      <c r="AD1782" s="284"/>
      <c r="AE1782" s="284"/>
      <c r="AF1782" s="284"/>
      <c r="AG1782" s="284"/>
      <c r="AI1782" s="131"/>
    </row>
    <row r="1783" spans="1:35" ht="26.4">
      <c r="A1783" s="284"/>
      <c r="B1783" s="284"/>
      <c r="C1783" s="284"/>
      <c r="D1783" s="284"/>
      <c r="E1783" s="284"/>
      <c r="F1783" s="284"/>
      <c r="G1783" s="284"/>
      <c r="H1783" s="284"/>
      <c r="I1783" s="284"/>
      <c r="J1783" s="375"/>
      <c r="K1783" s="375"/>
      <c r="L1783" s="375"/>
      <c r="M1783" s="368"/>
      <c r="N1783" s="368"/>
      <c r="O1783" s="370"/>
      <c r="T1783" s="349"/>
      <c r="V1783" s="378"/>
      <c r="W1783" s="64" ph="1"/>
      <c r="X1783" s="241"/>
      <c r="Y1783" s="284"/>
      <c r="Z1783" s="207"/>
      <c r="AA1783" s="284"/>
      <c r="AB1783" s="284"/>
      <c r="AC1783" s="284"/>
      <c r="AD1783" s="284"/>
      <c r="AE1783" s="284"/>
      <c r="AF1783" s="284"/>
      <c r="AG1783" s="284"/>
      <c r="AI1783" s="128"/>
    </row>
    <row r="1784" spans="1:35" ht="26.4">
      <c r="A1784" s="284"/>
      <c r="B1784" s="284"/>
      <c r="C1784" s="284"/>
      <c r="D1784" s="284"/>
      <c r="E1784" s="284"/>
      <c r="F1784" s="284"/>
      <c r="G1784" s="284"/>
      <c r="H1784" s="284"/>
      <c r="I1784" s="284"/>
      <c r="J1784" s="375"/>
      <c r="K1784" s="375"/>
      <c r="L1784" s="375"/>
      <c r="M1784" s="368"/>
      <c r="N1784" s="368"/>
      <c r="O1784" s="370"/>
      <c r="T1784" s="349"/>
      <c r="V1784" s="378"/>
      <c r="W1784" s="64" ph="1"/>
      <c r="X1784" s="241"/>
      <c r="Y1784" s="284"/>
      <c r="Z1784" s="207"/>
      <c r="AA1784" s="284"/>
      <c r="AB1784" s="284"/>
      <c r="AC1784" s="284"/>
      <c r="AD1784" s="284"/>
      <c r="AE1784" s="284"/>
      <c r="AF1784" s="284"/>
      <c r="AG1784" s="284"/>
      <c r="AI1784" s="131"/>
    </row>
    <row r="1785" spans="1:35" ht="26.4">
      <c r="A1785" s="284"/>
      <c r="B1785" s="284"/>
      <c r="C1785" s="284"/>
      <c r="D1785" s="284"/>
      <c r="E1785" s="284"/>
      <c r="F1785" s="284"/>
      <c r="G1785" s="284"/>
      <c r="H1785" s="284"/>
      <c r="I1785" s="284"/>
      <c r="J1785" s="375"/>
      <c r="K1785" s="375"/>
      <c r="L1785" s="375"/>
      <c r="M1785" s="368"/>
      <c r="N1785" s="368"/>
      <c r="O1785" s="370"/>
      <c r="T1785" s="349"/>
      <c r="V1785" s="378"/>
      <c r="W1785" s="64" ph="1"/>
      <c r="X1785" s="241"/>
      <c r="Y1785" s="284"/>
      <c r="Z1785" s="207"/>
      <c r="AA1785" s="284"/>
      <c r="AB1785" s="284"/>
      <c r="AC1785" s="284"/>
      <c r="AD1785" s="284"/>
      <c r="AE1785" s="284"/>
      <c r="AF1785" s="284"/>
      <c r="AG1785" s="284"/>
      <c r="AI1785" s="131"/>
    </row>
    <row r="1786" spans="1:35" ht="26.4">
      <c r="A1786" s="284"/>
      <c r="B1786" s="284"/>
      <c r="C1786" s="284"/>
      <c r="D1786" s="284"/>
      <c r="E1786" s="284"/>
      <c r="F1786" s="284"/>
      <c r="G1786" s="284"/>
      <c r="H1786" s="284"/>
      <c r="I1786" s="284"/>
      <c r="J1786" s="375"/>
      <c r="K1786" s="375"/>
      <c r="L1786" s="375"/>
      <c r="M1786" s="368"/>
      <c r="N1786" s="368"/>
      <c r="O1786" s="370"/>
      <c r="T1786" s="349"/>
      <c r="V1786" s="378"/>
      <c r="W1786" s="64" ph="1"/>
      <c r="X1786" s="241"/>
      <c r="Y1786" s="284"/>
      <c r="Z1786" s="207"/>
      <c r="AA1786" s="284"/>
      <c r="AB1786" s="284"/>
      <c r="AC1786" s="284"/>
      <c r="AD1786" s="284"/>
      <c r="AE1786" s="284"/>
      <c r="AF1786" s="284"/>
      <c r="AG1786" s="284"/>
      <c r="AI1786" s="131"/>
    </row>
    <row r="1787" spans="1:35" ht="26.4">
      <c r="A1787" s="284"/>
      <c r="B1787" s="284"/>
      <c r="C1787" s="284"/>
      <c r="D1787" s="284"/>
      <c r="E1787" s="284"/>
      <c r="F1787" s="284"/>
      <c r="G1787" s="284"/>
      <c r="H1787" s="284"/>
      <c r="I1787" s="284"/>
      <c r="J1787" s="375"/>
      <c r="K1787" s="375"/>
      <c r="L1787" s="375"/>
      <c r="M1787" s="368"/>
      <c r="N1787" s="368"/>
      <c r="O1787" s="370"/>
      <c r="T1787" s="349"/>
      <c r="V1787" s="378"/>
      <c r="W1787" s="64" ph="1"/>
      <c r="X1787" s="241"/>
      <c r="Y1787" s="284"/>
      <c r="Z1787" s="207"/>
      <c r="AA1787" s="284"/>
      <c r="AB1787" s="284"/>
      <c r="AC1787" s="284"/>
      <c r="AD1787" s="284"/>
      <c r="AE1787" s="284"/>
      <c r="AF1787" s="284"/>
      <c r="AG1787" s="284"/>
      <c r="AI1787" s="131"/>
    </row>
    <row r="1788" spans="1:35" ht="26.4">
      <c r="A1788" s="284"/>
      <c r="B1788" s="284"/>
      <c r="C1788" s="284"/>
      <c r="D1788" s="284"/>
      <c r="E1788" s="284"/>
      <c r="F1788" s="284"/>
      <c r="G1788" s="284"/>
      <c r="H1788" s="284"/>
      <c r="I1788" s="284"/>
      <c r="J1788" s="375"/>
      <c r="K1788" s="375"/>
      <c r="L1788" s="375"/>
      <c r="M1788" s="368"/>
      <c r="N1788" s="368"/>
      <c r="O1788" s="370"/>
      <c r="T1788" s="349"/>
      <c r="V1788" s="378"/>
      <c r="W1788" s="64" ph="1"/>
      <c r="X1788" s="241"/>
      <c r="Y1788" s="284"/>
      <c r="Z1788" s="207"/>
      <c r="AA1788" s="284"/>
      <c r="AB1788" s="284"/>
      <c r="AC1788" s="284"/>
      <c r="AD1788" s="284"/>
      <c r="AE1788" s="284"/>
      <c r="AF1788" s="284"/>
      <c r="AG1788" s="284"/>
      <c r="AI1788" s="131"/>
    </row>
    <row r="1789" spans="1:35" ht="26.4">
      <c r="A1789" s="284"/>
      <c r="B1789" s="284"/>
      <c r="C1789" s="284"/>
      <c r="D1789" s="284"/>
      <c r="E1789" s="284"/>
      <c r="F1789" s="284"/>
      <c r="G1789" s="284"/>
      <c r="H1789" s="284"/>
      <c r="I1789" s="284"/>
      <c r="J1789" s="375"/>
      <c r="K1789" s="375"/>
      <c r="L1789" s="375"/>
      <c r="M1789" s="368"/>
      <c r="N1789" s="368"/>
      <c r="O1789" s="370"/>
      <c r="T1789" s="349"/>
      <c r="V1789" s="378"/>
      <c r="W1789" s="64" ph="1"/>
      <c r="X1789" s="241"/>
      <c r="Y1789" s="284"/>
      <c r="Z1789" s="207"/>
      <c r="AA1789" s="284"/>
      <c r="AB1789" s="284"/>
      <c r="AC1789" s="284"/>
      <c r="AD1789" s="284"/>
      <c r="AE1789" s="284"/>
      <c r="AF1789" s="284"/>
      <c r="AG1789" s="284"/>
      <c r="AI1789" s="131"/>
    </row>
    <row r="1790" spans="1:35" ht="26.4">
      <c r="A1790" s="284"/>
      <c r="B1790" s="284"/>
      <c r="C1790" s="284"/>
      <c r="D1790" s="284"/>
      <c r="E1790" s="284"/>
      <c r="F1790" s="284"/>
      <c r="G1790" s="284"/>
      <c r="H1790" s="284"/>
      <c r="I1790" s="284"/>
      <c r="J1790" s="375"/>
      <c r="K1790" s="375"/>
      <c r="L1790" s="375"/>
      <c r="M1790" s="368"/>
      <c r="N1790" s="368"/>
      <c r="O1790" s="370"/>
      <c r="T1790" s="349"/>
      <c r="V1790" s="378"/>
      <c r="W1790" s="64" ph="1"/>
      <c r="X1790" s="241"/>
      <c r="Y1790" s="284"/>
      <c r="Z1790" s="207"/>
      <c r="AA1790" s="284"/>
      <c r="AB1790" s="284"/>
      <c r="AC1790" s="284"/>
      <c r="AD1790" s="284"/>
      <c r="AE1790" s="284"/>
      <c r="AF1790" s="284"/>
      <c r="AG1790" s="284"/>
      <c r="AI1790" s="131"/>
    </row>
    <row r="1791" spans="1:35" ht="26.4">
      <c r="A1791" s="284"/>
      <c r="B1791" s="284"/>
      <c r="C1791" s="284"/>
      <c r="D1791" s="284"/>
      <c r="E1791" s="284"/>
      <c r="F1791" s="284"/>
      <c r="G1791" s="284"/>
      <c r="H1791" s="284"/>
      <c r="I1791" s="284"/>
      <c r="J1791" s="375"/>
      <c r="K1791" s="375"/>
      <c r="L1791" s="375"/>
      <c r="M1791" s="368"/>
      <c r="N1791" s="368"/>
      <c r="O1791" s="370"/>
      <c r="T1791" s="349"/>
      <c r="V1791" s="378"/>
      <c r="W1791" s="64" ph="1"/>
      <c r="X1791" s="241"/>
      <c r="Y1791" s="284"/>
      <c r="Z1791" s="207"/>
      <c r="AA1791" s="284"/>
      <c r="AB1791" s="284"/>
      <c r="AC1791" s="284"/>
      <c r="AD1791" s="284"/>
      <c r="AE1791" s="284"/>
      <c r="AF1791" s="284"/>
      <c r="AG1791" s="284"/>
      <c r="AI1791" s="131"/>
    </row>
    <row r="1792" spans="1:35" ht="26.4">
      <c r="A1792" s="284"/>
      <c r="B1792" s="284"/>
      <c r="C1792" s="284"/>
      <c r="D1792" s="284"/>
      <c r="E1792" s="284"/>
      <c r="F1792" s="284"/>
      <c r="G1792" s="284"/>
      <c r="H1792" s="284"/>
      <c r="I1792" s="284"/>
      <c r="J1792" s="375"/>
      <c r="K1792" s="375"/>
      <c r="L1792" s="375"/>
      <c r="M1792" s="368"/>
      <c r="N1792" s="368"/>
      <c r="O1792" s="370"/>
      <c r="T1792" s="349"/>
      <c r="V1792" s="378"/>
      <c r="W1792" s="64" ph="1"/>
      <c r="X1792" s="241"/>
      <c r="Y1792" s="284"/>
      <c r="Z1792" s="207"/>
      <c r="AA1792" s="284"/>
      <c r="AB1792" s="284"/>
      <c r="AC1792" s="284"/>
      <c r="AD1792" s="284"/>
      <c r="AE1792" s="284"/>
      <c r="AF1792" s="284"/>
      <c r="AG1792" s="284"/>
      <c r="AI1792" s="131"/>
    </row>
    <row r="1793" spans="1:35" ht="26.4">
      <c r="A1793" s="284"/>
      <c r="B1793" s="284"/>
      <c r="C1793" s="284"/>
      <c r="D1793" s="284"/>
      <c r="E1793" s="284"/>
      <c r="F1793" s="284"/>
      <c r="G1793" s="284"/>
      <c r="H1793" s="284"/>
      <c r="I1793" s="284"/>
      <c r="J1793" s="375"/>
      <c r="K1793" s="375"/>
      <c r="L1793" s="375"/>
      <c r="M1793" s="368"/>
      <c r="N1793" s="368"/>
      <c r="O1793" s="370"/>
      <c r="T1793" s="349"/>
      <c r="V1793" s="378"/>
      <c r="W1793" s="64" ph="1"/>
      <c r="X1793" s="241"/>
      <c r="Y1793" s="284"/>
      <c r="Z1793" s="207"/>
      <c r="AA1793" s="284"/>
      <c r="AB1793" s="284"/>
      <c r="AC1793" s="284"/>
      <c r="AD1793" s="284"/>
      <c r="AE1793" s="284"/>
      <c r="AF1793" s="284"/>
      <c r="AG1793" s="284"/>
      <c r="AI1793" s="131"/>
    </row>
    <row r="1794" spans="1:35" ht="26.4">
      <c r="A1794" s="284"/>
      <c r="B1794" s="284"/>
      <c r="C1794" s="284"/>
      <c r="D1794" s="284"/>
      <c r="E1794" s="284"/>
      <c r="F1794" s="284"/>
      <c r="G1794" s="284"/>
      <c r="H1794" s="284"/>
      <c r="I1794" s="284"/>
      <c r="J1794" s="375"/>
      <c r="K1794" s="375"/>
      <c r="L1794" s="375"/>
      <c r="M1794" s="368"/>
      <c r="N1794" s="368"/>
      <c r="O1794" s="370"/>
      <c r="T1794" s="349"/>
      <c r="V1794" s="378"/>
      <c r="W1794" s="64" ph="1"/>
      <c r="X1794" s="241"/>
      <c r="Y1794" s="284"/>
      <c r="Z1794" s="207"/>
      <c r="AA1794" s="284"/>
      <c r="AB1794" s="284"/>
      <c r="AC1794" s="284"/>
      <c r="AD1794" s="284"/>
      <c r="AE1794" s="284"/>
      <c r="AF1794" s="284"/>
      <c r="AG1794" s="284"/>
      <c r="AI1794" s="131"/>
    </row>
    <row r="1795" spans="1:35" ht="26.4">
      <c r="A1795" s="284"/>
      <c r="B1795" s="284"/>
      <c r="C1795" s="284"/>
      <c r="D1795" s="284"/>
      <c r="E1795" s="284"/>
      <c r="F1795" s="284"/>
      <c r="G1795" s="284"/>
      <c r="H1795" s="284"/>
      <c r="I1795" s="284"/>
      <c r="J1795" s="375"/>
      <c r="K1795" s="375"/>
      <c r="L1795" s="375"/>
      <c r="M1795" s="368"/>
      <c r="N1795" s="368"/>
      <c r="O1795" s="370"/>
      <c r="T1795" s="349"/>
      <c r="V1795" s="378"/>
      <c r="W1795" s="64" ph="1"/>
      <c r="X1795" s="241"/>
      <c r="Y1795" s="284"/>
      <c r="Z1795" s="207"/>
      <c r="AA1795" s="284"/>
      <c r="AB1795" s="284"/>
      <c r="AC1795" s="284"/>
      <c r="AD1795" s="284"/>
      <c r="AE1795" s="284"/>
      <c r="AF1795" s="284"/>
      <c r="AG1795" s="284"/>
      <c r="AI1795" s="131"/>
    </row>
    <row r="1796" spans="1:35" ht="26.4">
      <c r="A1796" s="284"/>
      <c r="B1796" s="284"/>
      <c r="C1796" s="284"/>
      <c r="D1796" s="284"/>
      <c r="E1796" s="284"/>
      <c r="F1796" s="284"/>
      <c r="G1796" s="284"/>
      <c r="H1796" s="284"/>
      <c r="I1796" s="284"/>
      <c r="J1796" s="375"/>
      <c r="K1796" s="375"/>
      <c r="L1796" s="375"/>
      <c r="M1796" s="368"/>
      <c r="N1796" s="368"/>
      <c r="O1796" s="370"/>
      <c r="T1796" s="349"/>
      <c r="V1796" s="378"/>
      <c r="W1796" s="64" ph="1"/>
      <c r="X1796" s="241"/>
      <c r="Y1796" s="284"/>
      <c r="Z1796" s="207"/>
      <c r="AA1796" s="284"/>
      <c r="AB1796" s="284"/>
      <c r="AC1796" s="284"/>
      <c r="AD1796" s="284"/>
      <c r="AE1796" s="284"/>
      <c r="AF1796" s="284"/>
      <c r="AG1796" s="284"/>
      <c r="AI1796" s="131"/>
    </row>
    <row r="1797" spans="1:35" ht="26.4">
      <c r="A1797" s="284"/>
      <c r="B1797" s="284"/>
      <c r="C1797" s="284"/>
      <c r="D1797" s="284"/>
      <c r="E1797" s="284"/>
      <c r="F1797" s="284"/>
      <c r="G1797" s="284"/>
      <c r="H1797" s="284"/>
      <c r="I1797" s="284"/>
      <c r="J1797" s="375"/>
      <c r="K1797" s="375"/>
      <c r="L1797" s="375"/>
      <c r="M1797" s="368"/>
      <c r="N1797" s="368"/>
      <c r="O1797" s="370"/>
      <c r="T1797" s="349"/>
      <c r="V1797" s="378"/>
      <c r="W1797" s="64" ph="1"/>
      <c r="X1797" s="241"/>
      <c r="Y1797" s="284"/>
      <c r="Z1797" s="207"/>
      <c r="AA1797" s="284"/>
      <c r="AB1797" s="284"/>
      <c r="AC1797" s="284"/>
      <c r="AD1797" s="284"/>
      <c r="AE1797" s="284"/>
      <c r="AF1797" s="284"/>
      <c r="AG1797" s="284"/>
      <c r="AI1797" s="131"/>
    </row>
    <row r="1798" spans="1:35" ht="26.4">
      <c r="A1798" s="284"/>
      <c r="B1798" s="284"/>
      <c r="C1798" s="284"/>
      <c r="D1798" s="284"/>
      <c r="E1798" s="284"/>
      <c r="F1798" s="284"/>
      <c r="G1798" s="284"/>
      <c r="H1798" s="284"/>
      <c r="I1798" s="284"/>
      <c r="J1798" s="375"/>
      <c r="K1798" s="375"/>
      <c r="L1798" s="375"/>
      <c r="M1798" s="368"/>
      <c r="N1798" s="368"/>
      <c r="O1798" s="370"/>
      <c r="T1798" s="349"/>
      <c r="V1798" s="378"/>
      <c r="W1798" s="64" ph="1"/>
      <c r="X1798" s="241"/>
      <c r="Y1798" s="284"/>
      <c r="Z1798" s="207"/>
      <c r="AA1798" s="284"/>
      <c r="AB1798" s="284"/>
      <c r="AC1798" s="284"/>
      <c r="AD1798" s="284"/>
      <c r="AE1798" s="284"/>
      <c r="AF1798" s="284"/>
      <c r="AG1798" s="284"/>
      <c r="AI1798" s="131"/>
    </row>
    <row r="1799" spans="1:35" ht="26.4">
      <c r="A1799" s="284"/>
      <c r="B1799" s="284"/>
      <c r="C1799" s="284"/>
      <c r="D1799" s="284"/>
      <c r="E1799" s="284"/>
      <c r="F1799" s="284"/>
      <c r="G1799" s="284"/>
      <c r="H1799" s="284"/>
      <c r="I1799" s="284"/>
      <c r="J1799" s="375"/>
      <c r="K1799" s="375"/>
      <c r="L1799" s="375"/>
      <c r="M1799" s="368"/>
      <c r="N1799" s="368"/>
      <c r="O1799" s="370"/>
      <c r="T1799" s="349"/>
      <c r="V1799" s="378"/>
      <c r="W1799" s="64" ph="1"/>
      <c r="X1799" s="241"/>
      <c r="Y1799" s="284"/>
      <c r="Z1799" s="207"/>
      <c r="AA1799" s="284"/>
      <c r="AB1799" s="284"/>
      <c r="AC1799" s="284"/>
      <c r="AD1799" s="284"/>
      <c r="AE1799" s="284"/>
      <c r="AF1799" s="284"/>
      <c r="AG1799" s="284"/>
      <c r="AI1799" s="131"/>
    </row>
    <row r="1800" spans="1:35" ht="26.4">
      <c r="A1800" s="284"/>
      <c r="B1800" s="284"/>
      <c r="C1800" s="284"/>
      <c r="D1800" s="284"/>
      <c r="E1800" s="284"/>
      <c r="F1800" s="284"/>
      <c r="G1800" s="284"/>
      <c r="H1800" s="284"/>
      <c r="I1800" s="284"/>
      <c r="J1800" s="375"/>
      <c r="K1800" s="375"/>
      <c r="L1800" s="375"/>
      <c r="M1800" s="368"/>
      <c r="N1800" s="368"/>
      <c r="O1800" s="370"/>
      <c r="T1800" s="349"/>
      <c r="V1800" s="378"/>
      <c r="W1800" s="64" ph="1"/>
      <c r="X1800" s="241"/>
      <c r="Y1800" s="284"/>
      <c r="Z1800" s="207"/>
      <c r="AA1800" s="284"/>
      <c r="AB1800" s="284"/>
      <c r="AC1800" s="284"/>
      <c r="AD1800" s="284"/>
      <c r="AE1800" s="284"/>
      <c r="AF1800" s="284"/>
      <c r="AG1800" s="284"/>
      <c r="AI1800" s="131"/>
    </row>
    <row r="1801" spans="1:35" ht="26.4">
      <c r="A1801" s="284"/>
      <c r="B1801" s="284"/>
      <c r="C1801" s="284"/>
      <c r="D1801" s="284"/>
      <c r="E1801" s="284"/>
      <c r="F1801" s="284"/>
      <c r="G1801" s="284"/>
      <c r="H1801" s="284"/>
      <c r="I1801" s="284"/>
      <c r="J1801" s="375"/>
      <c r="K1801" s="375"/>
      <c r="L1801" s="375"/>
      <c r="M1801" s="368"/>
      <c r="N1801" s="368"/>
      <c r="O1801" s="370"/>
      <c r="T1801" s="349"/>
      <c r="V1801" s="378"/>
      <c r="W1801" s="64" ph="1"/>
      <c r="X1801" s="241"/>
      <c r="Y1801" s="284"/>
      <c r="Z1801" s="207"/>
      <c r="AA1801" s="284"/>
      <c r="AB1801" s="284"/>
      <c r="AC1801" s="284"/>
      <c r="AD1801" s="284"/>
      <c r="AE1801" s="284"/>
      <c r="AF1801" s="284"/>
      <c r="AG1801" s="284"/>
      <c r="AI1801" s="131"/>
    </row>
    <row r="1802" spans="1:35" ht="26.4">
      <c r="A1802" s="284"/>
      <c r="B1802" s="284"/>
      <c r="C1802" s="284"/>
      <c r="D1802" s="284"/>
      <c r="E1802" s="284"/>
      <c r="F1802" s="284"/>
      <c r="G1802" s="284"/>
      <c r="H1802" s="284"/>
      <c r="I1802" s="284"/>
      <c r="J1802" s="375"/>
      <c r="K1802" s="375"/>
      <c r="L1802" s="375"/>
      <c r="M1802" s="368"/>
      <c r="N1802" s="368"/>
      <c r="O1802" s="370"/>
      <c r="T1802" s="349"/>
      <c r="V1802" s="378"/>
      <c r="W1802" s="64" ph="1"/>
      <c r="X1802" s="241"/>
      <c r="Y1802" s="284"/>
      <c r="Z1802" s="207"/>
      <c r="AA1802" s="284"/>
      <c r="AB1802" s="284"/>
      <c r="AC1802" s="284"/>
      <c r="AD1802" s="284"/>
      <c r="AE1802" s="284"/>
      <c r="AF1802" s="284"/>
      <c r="AG1802" s="284"/>
      <c r="AI1802" s="131"/>
    </row>
    <row r="1803" spans="1:35" ht="26.4">
      <c r="A1803" s="284"/>
      <c r="B1803" s="284"/>
      <c r="C1803" s="284"/>
      <c r="D1803" s="284"/>
      <c r="E1803" s="284"/>
      <c r="F1803" s="284"/>
      <c r="G1803" s="284"/>
      <c r="H1803" s="284"/>
      <c r="I1803" s="284"/>
      <c r="J1803" s="375"/>
      <c r="K1803" s="375"/>
      <c r="L1803" s="375"/>
      <c r="M1803" s="368"/>
      <c r="N1803" s="368"/>
      <c r="O1803" s="370"/>
      <c r="T1803" s="349"/>
      <c r="V1803" s="378"/>
      <c r="W1803" s="64" ph="1"/>
      <c r="X1803" s="241"/>
      <c r="Y1803" s="284"/>
      <c r="Z1803" s="207"/>
      <c r="AA1803" s="284"/>
      <c r="AB1803" s="284"/>
      <c r="AC1803" s="284"/>
      <c r="AD1803" s="284"/>
      <c r="AE1803" s="284"/>
      <c r="AF1803" s="284"/>
      <c r="AG1803" s="284"/>
      <c r="AI1803" s="131"/>
    </row>
    <row r="1804" spans="1:35" ht="26.4">
      <c r="A1804" s="284"/>
      <c r="B1804" s="284"/>
      <c r="C1804" s="284"/>
      <c r="D1804" s="284"/>
      <c r="E1804" s="284"/>
      <c r="F1804" s="284"/>
      <c r="G1804" s="284"/>
      <c r="H1804" s="284"/>
      <c r="I1804" s="284"/>
      <c r="J1804" s="375"/>
      <c r="K1804" s="375"/>
      <c r="L1804" s="375"/>
      <c r="M1804" s="368"/>
      <c r="N1804" s="368"/>
      <c r="O1804" s="370"/>
      <c r="T1804" s="349"/>
      <c r="V1804" s="378"/>
      <c r="W1804" s="64" ph="1"/>
      <c r="X1804" s="241"/>
      <c r="Y1804" s="284"/>
      <c r="Z1804" s="207"/>
      <c r="AA1804" s="284"/>
      <c r="AB1804" s="284"/>
      <c r="AC1804" s="284"/>
      <c r="AD1804" s="284"/>
      <c r="AE1804" s="284"/>
      <c r="AF1804" s="284"/>
      <c r="AG1804" s="284"/>
      <c r="AI1804" s="131"/>
    </row>
    <row r="1805" spans="1:35" ht="26.4">
      <c r="A1805" s="284"/>
      <c r="B1805" s="284"/>
      <c r="C1805" s="284"/>
      <c r="D1805" s="284"/>
      <c r="E1805" s="284"/>
      <c r="F1805" s="284"/>
      <c r="G1805" s="284"/>
      <c r="H1805" s="284"/>
      <c r="I1805" s="284"/>
      <c r="J1805" s="375"/>
      <c r="K1805" s="375"/>
      <c r="L1805" s="375"/>
      <c r="M1805" s="368"/>
      <c r="N1805" s="368"/>
      <c r="O1805" s="370"/>
      <c r="T1805" s="349"/>
      <c r="V1805" s="378"/>
      <c r="W1805" s="64" ph="1"/>
      <c r="X1805" s="241"/>
      <c r="Y1805" s="284"/>
      <c r="Z1805" s="207"/>
      <c r="AA1805" s="284"/>
      <c r="AB1805" s="284"/>
      <c r="AC1805" s="284"/>
      <c r="AD1805" s="284"/>
      <c r="AE1805" s="284"/>
      <c r="AF1805" s="284"/>
      <c r="AG1805" s="284"/>
      <c r="AI1805" s="131"/>
    </row>
    <row r="1806" spans="1:35" ht="26.4">
      <c r="A1806" s="284"/>
      <c r="B1806" s="284"/>
      <c r="C1806" s="284"/>
      <c r="D1806" s="284"/>
      <c r="E1806" s="284"/>
      <c r="F1806" s="284"/>
      <c r="G1806" s="284"/>
      <c r="H1806" s="284"/>
      <c r="I1806" s="284"/>
      <c r="J1806" s="375"/>
      <c r="K1806" s="375"/>
      <c r="L1806" s="375"/>
      <c r="M1806" s="368"/>
      <c r="N1806" s="368"/>
      <c r="O1806" s="370"/>
      <c r="T1806" s="349"/>
      <c r="V1806" s="378"/>
      <c r="W1806" s="64" ph="1"/>
      <c r="X1806" s="241"/>
      <c r="Y1806" s="284"/>
      <c r="Z1806" s="207"/>
      <c r="AA1806" s="284"/>
      <c r="AB1806" s="284"/>
      <c r="AC1806" s="284"/>
      <c r="AD1806" s="284"/>
      <c r="AE1806" s="284"/>
      <c r="AF1806" s="284"/>
      <c r="AG1806" s="284"/>
      <c r="AI1806" s="131"/>
    </row>
    <row r="1807" spans="1:35" ht="26.4">
      <c r="A1807" s="284"/>
      <c r="B1807" s="284"/>
      <c r="C1807" s="284"/>
      <c r="D1807" s="284"/>
      <c r="E1807" s="284"/>
      <c r="F1807" s="284"/>
      <c r="G1807" s="284"/>
      <c r="H1807" s="284"/>
      <c r="I1807" s="284"/>
      <c r="J1807" s="375"/>
      <c r="K1807" s="375"/>
      <c r="L1807" s="375"/>
      <c r="M1807" s="368"/>
      <c r="N1807" s="368"/>
      <c r="O1807" s="370"/>
      <c r="T1807" s="349"/>
      <c r="V1807" s="378"/>
      <c r="W1807" s="64" ph="1"/>
      <c r="X1807" s="241"/>
      <c r="Y1807" s="284"/>
      <c r="Z1807" s="207"/>
      <c r="AA1807" s="284"/>
      <c r="AB1807" s="284"/>
      <c r="AC1807" s="284"/>
      <c r="AD1807" s="284"/>
      <c r="AE1807" s="284"/>
      <c r="AF1807" s="284"/>
      <c r="AG1807" s="284"/>
      <c r="AI1807" s="284"/>
    </row>
    <row r="1808" spans="1:35" ht="26.4">
      <c r="A1808" s="284"/>
      <c r="B1808" s="284"/>
      <c r="C1808" s="284"/>
      <c r="D1808" s="284"/>
      <c r="E1808" s="284"/>
      <c r="F1808" s="284"/>
      <c r="G1808" s="284"/>
      <c r="H1808" s="284"/>
      <c r="I1808" s="284"/>
      <c r="J1808" s="375"/>
      <c r="K1808" s="375"/>
      <c r="L1808" s="375"/>
      <c r="M1808" s="368"/>
      <c r="N1808" s="368"/>
      <c r="O1808" s="370"/>
      <c r="T1808" s="349"/>
      <c r="V1808" s="378"/>
      <c r="W1808" s="64" ph="1"/>
      <c r="X1808" s="241"/>
      <c r="Y1808" s="284"/>
      <c r="Z1808" s="207"/>
      <c r="AA1808" s="284"/>
      <c r="AB1808" s="284"/>
      <c r="AC1808" s="284"/>
      <c r="AD1808" s="284"/>
      <c r="AE1808" s="284"/>
      <c r="AF1808" s="284"/>
      <c r="AG1808" s="284"/>
      <c r="AI1808" s="131"/>
    </row>
    <row r="1809" spans="1:35" ht="26.4">
      <c r="A1809" s="284"/>
      <c r="B1809" s="284"/>
      <c r="C1809" s="284"/>
      <c r="D1809" s="284"/>
      <c r="E1809" s="284"/>
      <c r="F1809" s="284"/>
      <c r="G1809" s="284"/>
      <c r="H1809" s="284"/>
      <c r="I1809" s="284"/>
      <c r="J1809" s="375"/>
      <c r="K1809" s="375"/>
      <c r="L1809" s="375"/>
      <c r="M1809" s="368"/>
      <c r="N1809" s="368"/>
      <c r="O1809" s="370"/>
      <c r="T1809" s="349"/>
      <c r="V1809" s="378"/>
      <c r="W1809" s="64" ph="1"/>
      <c r="X1809" s="241"/>
      <c r="Y1809" s="284"/>
      <c r="Z1809" s="207"/>
      <c r="AA1809" s="284"/>
      <c r="AB1809" s="284"/>
      <c r="AC1809" s="284"/>
      <c r="AD1809" s="284"/>
      <c r="AE1809" s="284"/>
      <c r="AF1809" s="284"/>
      <c r="AG1809" s="284"/>
      <c r="AI1809" s="131"/>
    </row>
    <row r="1810" spans="1:35" ht="26.4">
      <c r="A1810" s="284"/>
      <c r="B1810" s="284"/>
      <c r="C1810" s="284"/>
      <c r="D1810" s="284"/>
      <c r="E1810" s="284"/>
      <c r="F1810" s="284"/>
      <c r="G1810" s="284"/>
      <c r="H1810" s="284"/>
      <c r="I1810" s="284"/>
      <c r="J1810" s="375"/>
      <c r="K1810" s="375"/>
      <c r="L1810" s="375"/>
      <c r="M1810" s="368"/>
      <c r="N1810" s="368"/>
      <c r="O1810" s="370"/>
      <c r="T1810" s="349"/>
      <c r="V1810" s="378"/>
      <c r="W1810" s="64" ph="1"/>
      <c r="X1810" s="241"/>
      <c r="Y1810" s="284"/>
      <c r="Z1810" s="207"/>
      <c r="AA1810" s="284"/>
      <c r="AB1810" s="284"/>
      <c r="AC1810" s="284"/>
      <c r="AD1810" s="284"/>
      <c r="AE1810" s="284"/>
      <c r="AF1810" s="284"/>
      <c r="AG1810" s="284"/>
      <c r="AI1810" s="131"/>
    </row>
    <row r="1811" spans="1:35" ht="26.4">
      <c r="A1811" s="284"/>
      <c r="B1811" s="284"/>
      <c r="C1811" s="284"/>
      <c r="D1811" s="284"/>
      <c r="E1811" s="284"/>
      <c r="F1811" s="284"/>
      <c r="G1811" s="284"/>
      <c r="H1811" s="284"/>
      <c r="I1811" s="284"/>
      <c r="J1811" s="375"/>
      <c r="K1811" s="375"/>
      <c r="L1811" s="375"/>
      <c r="M1811" s="368"/>
      <c r="N1811" s="368"/>
      <c r="O1811" s="370"/>
      <c r="T1811" s="349"/>
      <c r="V1811" s="378"/>
      <c r="W1811" s="64" ph="1"/>
      <c r="X1811" s="241"/>
      <c r="Y1811" s="284"/>
      <c r="Z1811" s="207"/>
      <c r="AA1811" s="284"/>
      <c r="AB1811" s="284"/>
      <c r="AC1811" s="284"/>
      <c r="AD1811" s="284"/>
      <c r="AE1811" s="284"/>
      <c r="AF1811" s="284"/>
      <c r="AG1811" s="284"/>
      <c r="AI1811" s="131"/>
    </row>
    <row r="1812" spans="1:35" ht="26.4">
      <c r="A1812" s="284"/>
      <c r="B1812" s="284"/>
      <c r="C1812" s="284"/>
      <c r="D1812" s="284"/>
      <c r="E1812" s="284"/>
      <c r="F1812" s="284"/>
      <c r="G1812" s="284"/>
      <c r="H1812" s="284"/>
      <c r="I1812" s="284"/>
      <c r="J1812" s="375"/>
      <c r="K1812" s="375"/>
      <c r="L1812" s="375"/>
      <c r="M1812" s="368"/>
      <c r="N1812" s="368"/>
      <c r="O1812" s="370"/>
      <c r="T1812" s="349"/>
      <c r="V1812" s="378"/>
      <c r="W1812" s="64" ph="1"/>
      <c r="X1812" s="241"/>
      <c r="Y1812" s="284"/>
      <c r="Z1812" s="207"/>
      <c r="AA1812" s="284"/>
      <c r="AB1812" s="284"/>
      <c r="AC1812" s="284"/>
      <c r="AD1812" s="284"/>
      <c r="AE1812" s="284"/>
      <c r="AF1812" s="284"/>
      <c r="AG1812" s="284"/>
      <c r="AI1812" s="284"/>
    </row>
    <row r="1813" spans="1:35" ht="26.4">
      <c r="A1813" s="284"/>
      <c r="B1813" s="284"/>
      <c r="C1813" s="284"/>
      <c r="D1813" s="284"/>
      <c r="E1813" s="284"/>
      <c r="F1813" s="284"/>
      <c r="G1813" s="284"/>
      <c r="H1813" s="284"/>
      <c r="I1813" s="284"/>
      <c r="J1813" s="375"/>
      <c r="K1813" s="375"/>
      <c r="L1813" s="375"/>
      <c r="M1813" s="368"/>
      <c r="N1813" s="368"/>
      <c r="O1813" s="370"/>
      <c r="T1813" s="349"/>
      <c r="V1813" s="378"/>
      <c r="W1813" s="64" ph="1"/>
      <c r="X1813" s="241"/>
      <c r="Y1813" s="284"/>
      <c r="Z1813" s="207"/>
      <c r="AA1813" s="284"/>
      <c r="AB1813" s="284"/>
      <c r="AC1813" s="284"/>
      <c r="AD1813" s="284"/>
      <c r="AE1813" s="284"/>
      <c r="AF1813" s="284"/>
      <c r="AG1813" s="284"/>
      <c r="AI1813" s="131"/>
    </row>
    <row r="1814" spans="1:35" ht="26.4">
      <c r="A1814" s="284"/>
      <c r="B1814" s="284"/>
      <c r="C1814" s="284"/>
      <c r="D1814" s="284"/>
      <c r="E1814" s="284"/>
      <c r="F1814" s="284"/>
      <c r="G1814" s="284"/>
      <c r="H1814" s="284"/>
      <c r="I1814" s="284"/>
      <c r="J1814" s="375"/>
      <c r="K1814" s="375"/>
      <c r="L1814" s="375"/>
      <c r="M1814" s="368"/>
      <c r="N1814" s="368"/>
      <c r="O1814" s="370"/>
      <c r="T1814" s="349"/>
      <c r="V1814" s="378"/>
      <c r="W1814" s="64" ph="1"/>
      <c r="X1814" s="241"/>
      <c r="Y1814" s="284"/>
      <c r="Z1814" s="207"/>
      <c r="AA1814" s="284"/>
      <c r="AB1814" s="284"/>
      <c r="AC1814" s="284"/>
      <c r="AD1814" s="284"/>
      <c r="AE1814" s="284"/>
      <c r="AF1814" s="284"/>
      <c r="AG1814" s="284"/>
      <c r="AI1814" s="131"/>
    </row>
    <row r="1815" spans="1:35" ht="26.4">
      <c r="A1815" s="284"/>
      <c r="B1815" s="284"/>
      <c r="C1815" s="284"/>
      <c r="D1815" s="284"/>
      <c r="E1815" s="284"/>
      <c r="F1815" s="284"/>
      <c r="G1815" s="284"/>
      <c r="H1815" s="284"/>
      <c r="I1815" s="284"/>
      <c r="J1815" s="375"/>
      <c r="K1815" s="375"/>
      <c r="L1815" s="375"/>
      <c r="M1815" s="368"/>
      <c r="N1815" s="368"/>
      <c r="O1815" s="370"/>
      <c r="T1815" s="349"/>
      <c r="V1815" s="378"/>
      <c r="W1815" s="64" ph="1"/>
      <c r="X1815" s="241"/>
      <c r="Y1815" s="284"/>
      <c r="Z1815" s="207"/>
      <c r="AA1815" s="284"/>
      <c r="AB1815" s="284"/>
      <c r="AC1815" s="284"/>
      <c r="AD1815" s="284"/>
      <c r="AE1815" s="284"/>
      <c r="AF1815" s="284"/>
      <c r="AG1815" s="284"/>
      <c r="AI1815" s="131"/>
    </row>
    <row r="1816" spans="1:35" ht="26.4">
      <c r="A1816" s="284"/>
      <c r="B1816" s="284"/>
      <c r="C1816" s="284"/>
      <c r="D1816" s="284"/>
      <c r="E1816" s="284"/>
      <c r="F1816" s="284"/>
      <c r="G1816" s="284"/>
      <c r="H1816" s="284"/>
      <c r="I1816" s="284"/>
      <c r="J1816" s="375"/>
      <c r="K1816" s="375"/>
      <c r="L1816" s="375"/>
      <c r="M1816" s="368"/>
      <c r="N1816" s="368"/>
      <c r="O1816" s="370"/>
      <c r="T1816" s="349"/>
      <c r="V1816" s="378"/>
      <c r="W1816" s="64" ph="1"/>
      <c r="X1816" s="241"/>
      <c r="Y1816" s="284"/>
      <c r="Z1816" s="207"/>
      <c r="AA1816" s="284"/>
      <c r="AB1816" s="284"/>
      <c r="AC1816" s="284"/>
      <c r="AD1816" s="284"/>
      <c r="AE1816" s="284"/>
      <c r="AF1816" s="284"/>
      <c r="AG1816" s="284"/>
      <c r="AI1816" s="131"/>
    </row>
    <row r="1817" spans="1:35" ht="26.4">
      <c r="A1817" s="284"/>
      <c r="B1817" s="284"/>
      <c r="C1817" s="284"/>
      <c r="D1817" s="284"/>
      <c r="E1817" s="284"/>
      <c r="F1817" s="284"/>
      <c r="G1817" s="284"/>
      <c r="H1817" s="284"/>
      <c r="I1817" s="284"/>
      <c r="J1817" s="375"/>
      <c r="K1817" s="375"/>
      <c r="L1817" s="375"/>
      <c r="M1817" s="368"/>
      <c r="N1817" s="368"/>
      <c r="O1817" s="370"/>
      <c r="T1817" s="349"/>
      <c r="V1817" s="378"/>
      <c r="W1817" s="64" ph="1"/>
      <c r="X1817" s="241"/>
      <c r="Y1817" s="284"/>
      <c r="Z1817" s="207"/>
      <c r="AA1817" s="284"/>
      <c r="AB1817" s="284"/>
      <c r="AC1817" s="284"/>
      <c r="AD1817" s="284"/>
      <c r="AE1817" s="284"/>
      <c r="AF1817" s="284"/>
      <c r="AG1817" s="284"/>
      <c r="AI1817" s="131"/>
    </row>
    <row r="1818" spans="1:35" ht="26.4">
      <c r="A1818" s="284"/>
      <c r="B1818" s="284"/>
      <c r="C1818" s="284"/>
      <c r="D1818" s="284"/>
      <c r="E1818" s="284"/>
      <c r="F1818" s="284"/>
      <c r="G1818" s="284"/>
      <c r="H1818" s="284"/>
      <c r="I1818" s="284"/>
      <c r="J1818" s="375"/>
      <c r="K1818" s="375"/>
      <c r="L1818" s="375"/>
      <c r="M1818" s="368"/>
      <c r="N1818" s="368"/>
      <c r="O1818" s="370"/>
      <c r="T1818" s="349"/>
      <c r="V1818" s="378"/>
      <c r="W1818" s="64" ph="1"/>
      <c r="X1818" s="241"/>
      <c r="Y1818" s="284"/>
      <c r="Z1818" s="207"/>
      <c r="AA1818" s="284"/>
      <c r="AB1818" s="284"/>
      <c r="AC1818" s="284"/>
      <c r="AD1818" s="284"/>
      <c r="AE1818" s="284"/>
      <c r="AF1818" s="284"/>
      <c r="AG1818" s="284"/>
      <c r="AI1818" s="131"/>
    </row>
    <row r="1819" spans="1:35" ht="26.4">
      <c r="A1819" s="284"/>
      <c r="B1819" s="284"/>
      <c r="C1819" s="284"/>
      <c r="D1819" s="284"/>
      <c r="E1819" s="284"/>
      <c r="F1819" s="284"/>
      <c r="G1819" s="284"/>
      <c r="H1819" s="284"/>
      <c r="I1819" s="284"/>
      <c r="J1819" s="375"/>
      <c r="K1819" s="375"/>
      <c r="L1819" s="375"/>
      <c r="M1819" s="368"/>
      <c r="N1819" s="368"/>
      <c r="O1819" s="370"/>
      <c r="T1819" s="349"/>
      <c r="V1819" s="378"/>
      <c r="W1819" s="64" ph="1"/>
      <c r="X1819" s="241"/>
      <c r="Y1819" s="284"/>
      <c r="Z1819" s="207"/>
      <c r="AA1819" s="284"/>
      <c r="AB1819" s="284"/>
      <c r="AC1819" s="284"/>
      <c r="AD1819" s="284"/>
      <c r="AE1819" s="284"/>
      <c r="AF1819" s="284"/>
      <c r="AG1819" s="284"/>
      <c r="AI1819" s="131"/>
    </row>
    <row r="1820" spans="1:35" ht="26.4">
      <c r="A1820" s="284"/>
      <c r="B1820" s="284"/>
      <c r="C1820" s="284"/>
      <c r="D1820" s="284"/>
      <c r="E1820" s="284"/>
      <c r="F1820" s="284"/>
      <c r="G1820" s="284"/>
      <c r="H1820" s="284"/>
      <c r="I1820" s="284"/>
      <c r="J1820" s="375"/>
      <c r="K1820" s="375"/>
      <c r="L1820" s="375"/>
      <c r="M1820" s="368"/>
      <c r="N1820" s="368"/>
      <c r="O1820" s="370"/>
      <c r="T1820" s="349"/>
      <c r="V1820" s="378"/>
      <c r="W1820" s="64" ph="1"/>
      <c r="X1820" s="241"/>
      <c r="Y1820" s="284"/>
      <c r="Z1820" s="207"/>
      <c r="AA1820" s="284"/>
      <c r="AB1820" s="284"/>
      <c r="AC1820" s="284"/>
      <c r="AD1820" s="284"/>
      <c r="AE1820" s="284"/>
      <c r="AF1820" s="284"/>
      <c r="AG1820" s="284"/>
      <c r="AI1820" s="131"/>
    </row>
    <row r="1821" spans="1:35" ht="26.4">
      <c r="A1821" s="284"/>
      <c r="B1821" s="284"/>
      <c r="C1821" s="284"/>
      <c r="D1821" s="284"/>
      <c r="E1821" s="284"/>
      <c r="F1821" s="284"/>
      <c r="G1821" s="284"/>
      <c r="H1821" s="284"/>
      <c r="I1821" s="284"/>
      <c r="J1821" s="375"/>
      <c r="K1821" s="375"/>
      <c r="L1821" s="375"/>
      <c r="M1821" s="368"/>
      <c r="N1821" s="368"/>
      <c r="O1821" s="370"/>
      <c r="T1821" s="349"/>
      <c r="V1821" s="378"/>
      <c r="W1821" s="64" ph="1"/>
      <c r="X1821" s="241"/>
      <c r="Y1821" s="284"/>
      <c r="Z1821" s="207"/>
      <c r="AA1821" s="284"/>
      <c r="AB1821" s="284"/>
      <c r="AC1821" s="284"/>
      <c r="AD1821" s="284"/>
      <c r="AE1821" s="284"/>
      <c r="AF1821" s="284"/>
      <c r="AG1821" s="284"/>
      <c r="AI1821" s="131"/>
    </row>
    <row r="1822" spans="1:35" ht="26.4">
      <c r="A1822" s="284"/>
      <c r="B1822" s="284"/>
      <c r="C1822" s="284"/>
      <c r="D1822" s="284"/>
      <c r="E1822" s="284"/>
      <c r="F1822" s="284"/>
      <c r="G1822" s="284"/>
      <c r="H1822" s="284"/>
      <c r="I1822" s="284"/>
      <c r="J1822" s="375"/>
      <c r="K1822" s="375"/>
      <c r="L1822" s="375"/>
      <c r="M1822" s="368"/>
      <c r="N1822" s="368"/>
      <c r="O1822" s="370"/>
      <c r="T1822" s="349"/>
      <c r="V1822" s="378"/>
      <c r="W1822" s="64" ph="1"/>
      <c r="X1822" s="241"/>
      <c r="Y1822" s="284"/>
      <c r="Z1822" s="207"/>
      <c r="AA1822" s="284"/>
      <c r="AB1822" s="284"/>
      <c r="AC1822" s="284"/>
      <c r="AD1822" s="284"/>
      <c r="AE1822" s="284"/>
      <c r="AF1822" s="284"/>
      <c r="AG1822" s="284"/>
      <c r="AI1822" s="131"/>
    </row>
    <row r="1823" spans="1:35" ht="26.4">
      <c r="A1823" s="284"/>
      <c r="B1823" s="284"/>
      <c r="C1823" s="284"/>
      <c r="D1823" s="284"/>
      <c r="E1823" s="284"/>
      <c r="F1823" s="284"/>
      <c r="G1823" s="284"/>
      <c r="H1823" s="284"/>
      <c r="I1823" s="284"/>
      <c r="J1823" s="375"/>
      <c r="K1823" s="375"/>
      <c r="L1823" s="375"/>
      <c r="M1823" s="368"/>
      <c r="N1823" s="368"/>
      <c r="O1823" s="370"/>
      <c r="T1823" s="349"/>
      <c r="V1823" s="378"/>
      <c r="W1823" s="64" ph="1"/>
      <c r="X1823" s="241"/>
      <c r="Y1823" s="284"/>
      <c r="Z1823" s="207"/>
      <c r="AA1823" s="284"/>
      <c r="AB1823" s="284"/>
      <c r="AC1823" s="284"/>
      <c r="AD1823" s="284"/>
      <c r="AE1823" s="284"/>
      <c r="AF1823" s="284"/>
      <c r="AG1823" s="284"/>
      <c r="AI1823" s="131"/>
    </row>
    <row r="1824" spans="1:35" ht="26.4">
      <c r="A1824" s="284"/>
      <c r="B1824" s="284"/>
      <c r="C1824" s="284"/>
      <c r="D1824" s="284"/>
      <c r="E1824" s="284"/>
      <c r="F1824" s="284"/>
      <c r="G1824" s="284"/>
      <c r="H1824" s="284"/>
      <c r="I1824" s="284"/>
      <c r="J1824" s="375"/>
      <c r="K1824" s="375"/>
      <c r="L1824" s="375"/>
      <c r="M1824" s="368"/>
      <c r="N1824" s="368"/>
      <c r="O1824" s="370"/>
      <c r="T1824" s="349"/>
      <c r="V1824" s="378"/>
      <c r="W1824" s="64" ph="1"/>
      <c r="X1824" s="241"/>
      <c r="Y1824" s="284"/>
      <c r="Z1824" s="207"/>
      <c r="AA1824" s="284"/>
      <c r="AB1824" s="284"/>
      <c r="AC1824" s="284"/>
      <c r="AD1824" s="284"/>
      <c r="AE1824" s="284"/>
      <c r="AF1824" s="284"/>
      <c r="AG1824" s="284"/>
      <c r="AI1824" s="284"/>
    </row>
    <row r="1825" spans="1:35" ht="26.4">
      <c r="A1825" s="284"/>
      <c r="B1825" s="284"/>
      <c r="C1825" s="284"/>
      <c r="D1825" s="284"/>
      <c r="E1825" s="284"/>
      <c r="F1825" s="284"/>
      <c r="G1825" s="284"/>
      <c r="H1825" s="284"/>
      <c r="I1825" s="284"/>
      <c r="J1825" s="375"/>
      <c r="K1825" s="375"/>
      <c r="L1825" s="375"/>
      <c r="M1825" s="368"/>
      <c r="N1825" s="368"/>
      <c r="O1825" s="370"/>
      <c r="T1825" s="349"/>
      <c r="V1825" s="378"/>
      <c r="W1825" s="64" ph="1"/>
      <c r="X1825" s="241"/>
      <c r="Y1825" s="284"/>
      <c r="Z1825" s="207"/>
      <c r="AA1825" s="284"/>
      <c r="AB1825" s="284"/>
      <c r="AC1825" s="284"/>
      <c r="AD1825" s="284"/>
      <c r="AE1825" s="284"/>
      <c r="AF1825" s="284"/>
      <c r="AG1825" s="284"/>
      <c r="AI1825" s="284"/>
    </row>
    <row r="1826" spans="1:35" ht="26.4">
      <c r="A1826" s="284"/>
      <c r="B1826" s="284"/>
      <c r="C1826" s="284"/>
      <c r="D1826" s="284"/>
      <c r="E1826" s="284"/>
      <c r="F1826" s="284"/>
      <c r="G1826" s="284"/>
      <c r="H1826" s="284"/>
      <c r="I1826" s="284"/>
      <c r="J1826" s="375"/>
      <c r="K1826" s="375"/>
      <c r="L1826" s="375"/>
      <c r="M1826" s="368"/>
      <c r="N1826" s="368"/>
      <c r="O1826" s="370"/>
      <c r="T1826" s="349"/>
      <c r="V1826" s="378"/>
      <c r="W1826" s="64" ph="1"/>
      <c r="X1826" s="241"/>
      <c r="Y1826" s="284"/>
      <c r="Z1826" s="207"/>
      <c r="AA1826" s="284"/>
      <c r="AB1826" s="284"/>
      <c r="AC1826" s="284"/>
      <c r="AD1826" s="284"/>
      <c r="AE1826" s="284"/>
      <c r="AF1826" s="284"/>
      <c r="AG1826" s="284"/>
      <c r="AI1826" s="284"/>
    </row>
    <row r="1827" spans="1:35" ht="26.4">
      <c r="A1827" s="284"/>
      <c r="B1827" s="284"/>
      <c r="C1827" s="284"/>
      <c r="D1827" s="284"/>
      <c r="E1827" s="284"/>
      <c r="F1827" s="284"/>
      <c r="G1827" s="284"/>
      <c r="H1827" s="284"/>
      <c r="I1827" s="284"/>
      <c r="J1827" s="375"/>
      <c r="K1827" s="375"/>
      <c r="L1827" s="375"/>
      <c r="M1827" s="368"/>
      <c r="N1827" s="368"/>
      <c r="O1827" s="370"/>
      <c r="T1827" s="349"/>
      <c r="V1827" s="378"/>
      <c r="W1827" s="64" ph="1"/>
      <c r="X1827" s="241"/>
      <c r="Y1827" s="284"/>
      <c r="Z1827" s="207"/>
      <c r="AA1827" s="284"/>
      <c r="AB1827" s="284"/>
      <c r="AC1827" s="284"/>
      <c r="AD1827" s="284"/>
      <c r="AE1827" s="284"/>
      <c r="AF1827" s="284"/>
      <c r="AG1827" s="284"/>
      <c r="AI1827" s="284"/>
    </row>
    <row r="1828" spans="1:35" ht="26.4">
      <c r="A1828" s="284"/>
      <c r="B1828" s="284"/>
      <c r="C1828" s="284"/>
      <c r="D1828" s="284"/>
      <c r="E1828" s="284"/>
      <c r="F1828" s="284"/>
      <c r="G1828" s="284"/>
      <c r="H1828" s="284"/>
      <c r="I1828" s="284"/>
      <c r="J1828" s="375"/>
      <c r="K1828" s="375"/>
      <c r="L1828" s="375"/>
      <c r="M1828" s="368"/>
      <c r="N1828" s="368"/>
      <c r="O1828" s="370"/>
      <c r="T1828" s="349"/>
      <c r="V1828" s="378"/>
      <c r="W1828" s="64" ph="1"/>
      <c r="X1828" s="241"/>
      <c r="Y1828" s="284"/>
      <c r="Z1828" s="207"/>
      <c r="AA1828" s="284"/>
      <c r="AB1828" s="284"/>
      <c r="AC1828" s="284"/>
      <c r="AD1828" s="284"/>
      <c r="AE1828" s="284"/>
      <c r="AF1828" s="284"/>
      <c r="AG1828" s="284"/>
      <c r="AI1828" s="284"/>
    </row>
    <row r="1829" spans="1:35" ht="26.4">
      <c r="A1829" s="284"/>
      <c r="B1829" s="284"/>
      <c r="C1829" s="284"/>
      <c r="D1829" s="284"/>
      <c r="E1829" s="284"/>
      <c r="F1829" s="284"/>
      <c r="G1829" s="284"/>
      <c r="H1829" s="284"/>
      <c r="I1829" s="284"/>
      <c r="J1829" s="375"/>
      <c r="K1829" s="375"/>
      <c r="L1829" s="375"/>
      <c r="M1829" s="368"/>
      <c r="N1829" s="368"/>
      <c r="O1829" s="370"/>
      <c r="T1829" s="349"/>
      <c r="V1829" s="378"/>
      <c r="W1829" s="64" ph="1"/>
      <c r="X1829" s="241"/>
      <c r="Y1829" s="284"/>
      <c r="Z1829" s="207"/>
      <c r="AA1829" s="284"/>
      <c r="AB1829" s="284"/>
      <c r="AC1829" s="284"/>
      <c r="AD1829" s="284"/>
      <c r="AE1829" s="284"/>
      <c r="AF1829" s="284"/>
      <c r="AG1829" s="284"/>
      <c r="AI1829" s="284"/>
    </row>
    <row r="1830" spans="1:35" ht="26.4">
      <c r="A1830" s="284"/>
      <c r="B1830" s="284"/>
      <c r="C1830" s="284"/>
      <c r="D1830" s="284"/>
      <c r="E1830" s="284"/>
      <c r="F1830" s="284"/>
      <c r="G1830" s="284"/>
      <c r="H1830" s="284"/>
      <c r="I1830" s="284"/>
      <c r="J1830" s="375"/>
      <c r="K1830" s="375"/>
      <c r="L1830" s="375"/>
      <c r="M1830" s="368"/>
      <c r="N1830" s="368"/>
      <c r="O1830" s="370"/>
      <c r="T1830" s="349"/>
      <c r="V1830" s="378"/>
      <c r="W1830" s="64" ph="1"/>
      <c r="X1830" s="241"/>
      <c r="Y1830" s="284"/>
      <c r="Z1830" s="207"/>
      <c r="AA1830" s="284"/>
      <c r="AB1830" s="284"/>
      <c r="AC1830" s="284"/>
      <c r="AD1830" s="284"/>
      <c r="AE1830" s="284"/>
      <c r="AF1830" s="284"/>
      <c r="AG1830" s="284"/>
      <c r="AI1830" s="284"/>
    </row>
    <row r="1831" spans="1:35" ht="26.4">
      <c r="A1831" s="284"/>
      <c r="B1831" s="284"/>
      <c r="C1831" s="284"/>
      <c r="D1831" s="284"/>
      <c r="E1831" s="284"/>
      <c r="F1831" s="284"/>
      <c r="G1831" s="284"/>
      <c r="H1831" s="284"/>
      <c r="I1831" s="284"/>
      <c r="J1831" s="375"/>
      <c r="K1831" s="375"/>
      <c r="L1831" s="375"/>
      <c r="M1831" s="368"/>
      <c r="N1831" s="368"/>
      <c r="O1831" s="370"/>
      <c r="T1831" s="349"/>
      <c r="V1831" s="378"/>
      <c r="W1831" s="64" ph="1"/>
      <c r="X1831" s="241"/>
      <c r="Y1831" s="284"/>
      <c r="Z1831" s="207"/>
      <c r="AA1831" s="284"/>
      <c r="AB1831" s="284"/>
      <c r="AC1831" s="284"/>
      <c r="AD1831" s="284"/>
      <c r="AE1831" s="284"/>
      <c r="AF1831" s="284"/>
      <c r="AG1831" s="284"/>
      <c r="AI1831" s="284"/>
    </row>
    <row r="1832" spans="1:35" ht="26.4">
      <c r="A1832" s="284"/>
      <c r="B1832" s="284"/>
      <c r="C1832" s="284"/>
      <c r="D1832" s="284"/>
      <c r="E1832" s="284"/>
      <c r="F1832" s="284"/>
      <c r="G1832" s="284"/>
      <c r="H1832" s="284"/>
      <c r="I1832" s="284"/>
      <c r="J1832" s="375"/>
      <c r="K1832" s="375"/>
      <c r="L1832" s="375"/>
      <c r="M1832" s="368"/>
      <c r="N1832" s="368"/>
      <c r="O1832" s="370"/>
      <c r="T1832" s="349"/>
      <c r="V1832" s="378"/>
      <c r="W1832" s="64" ph="1"/>
      <c r="X1832" s="241"/>
      <c r="Y1832" s="284"/>
      <c r="Z1832" s="207"/>
      <c r="AA1832" s="284"/>
      <c r="AB1832" s="284"/>
      <c r="AC1832" s="284"/>
      <c r="AD1832" s="284"/>
      <c r="AE1832" s="284"/>
      <c r="AF1832" s="284"/>
      <c r="AG1832" s="284"/>
      <c r="AI1832" s="284"/>
    </row>
    <row r="1833" spans="1:35" ht="26.4">
      <c r="A1833" s="284"/>
      <c r="B1833" s="284"/>
      <c r="C1833" s="284"/>
      <c r="D1833" s="284"/>
      <c r="E1833" s="284"/>
      <c r="F1833" s="284"/>
      <c r="G1833" s="284"/>
      <c r="H1833" s="284"/>
      <c r="I1833" s="284"/>
      <c r="J1833" s="375"/>
      <c r="K1833" s="375"/>
      <c r="L1833" s="375"/>
      <c r="M1833" s="368"/>
      <c r="N1833" s="368"/>
      <c r="O1833" s="370"/>
      <c r="T1833" s="349"/>
      <c r="V1833" s="378"/>
      <c r="W1833" s="64" ph="1"/>
      <c r="X1833" s="241"/>
      <c r="Y1833" s="284"/>
      <c r="Z1833" s="207"/>
      <c r="AA1833" s="284"/>
      <c r="AB1833" s="284"/>
      <c r="AC1833" s="284"/>
      <c r="AD1833" s="284"/>
      <c r="AE1833" s="284"/>
      <c r="AF1833" s="284"/>
      <c r="AG1833" s="284"/>
      <c r="AI1833" s="131"/>
    </row>
    <row r="1834" spans="1:35" ht="26.4">
      <c r="A1834" s="284"/>
      <c r="B1834" s="284"/>
      <c r="C1834" s="284"/>
      <c r="D1834" s="284"/>
      <c r="E1834" s="284"/>
      <c r="F1834" s="284"/>
      <c r="G1834" s="284"/>
      <c r="H1834" s="284"/>
      <c r="I1834" s="284"/>
      <c r="J1834" s="375"/>
      <c r="K1834" s="375"/>
      <c r="L1834" s="375"/>
      <c r="M1834" s="368"/>
      <c r="N1834" s="368"/>
      <c r="O1834" s="370"/>
      <c r="T1834" s="349"/>
      <c r="V1834" s="378"/>
      <c r="W1834" s="64" ph="1"/>
      <c r="X1834" s="241"/>
      <c r="Y1834" s="284"/>
      <c r="Z1834" s="207"/>
      <c r="AA1834" s="284"/>
      <c r="AB1834" s="284"/>
      <c r="AC1834" s="284"/>
      <c r="AD1834" s="284"/>
      <c r="AE1834" s="284"/>
      <c r="AF1834" s="284"/>
      <c r="AG1834" s="284"/>
      <c r="AI1834" s="284"/>
    </row>
    <row r="1835" spans="1:35" ht="26.4">
      <c r="A1835" s="284"/>
      <c r="B1835" s="284"/>
      <c r="C1835" s="284"/>
      <c r="D1835" s="284"/>
      <c r="E1835" s="284"/>
      <c r="F1835" s="284"/>
      <c r="G1835" s="284"/>
      <c r="H1835" s="284"/>
      <c r="I1835" s="284"/>
      <c r="J1835" s="375"/>
      <c r="K1835" s="375"/>
      <c r="L1835" s="375"/>
      <c r="M1835" s="368"/>
      <c r="N1835" s="368"/>
      <c r="O1835" s="370"/>
      <c r="T1835" s="349"/>
      <c r="V1835" s="378"/>
      <c r="W1835" s="64" ph="1"/>
      <c r="X1835" s="241"/>
      <c r="Y1835" s="284"/>
      <c r="Z1835" s="207"/>
      <c r="AA1835" s="284"/>
      <c r="AB1835" s="284"/>
      <c r="AC1835" s="284"/>
      <c r="AD1835" s="284"/>
      <c r="AE1835" s="284"/>
      <c r="AF1835" s="284"/>
      <c r="AG1835" s="284"/>
      <c r="AI1835" s="284"/>
    </row>
    <row r="1836" spans="1:35" ht="26.4">
      <c r="A1836" s="284"/>
      <c r="B1836" s="284"/>
      <c r="C1836" s="284"/>
      <c r="D1836" s="284"/>
      <c r="E1836" s="284"/>
      <c r="F1836" s="284"/>
      <c r="G1836" s="284"/>
      <c r="H1836" s="284"/>
      <c r="I1836" s="284"/>
      <c r="J1836" s="375"/>
      <c r="K1836" s="375"/>
      <c r="L1836" s="375"/>
      <c r="M1836" s="368"/>
      <c r="N1836" s="368"/>
      <c r="O1836" s="370"/>
      <c r="T1836" s="349"/>
      <c r="V1836" s="378"/>
      <c r="W1836" s="64" ph="1"/>
      <c r="X1836" s="241"/>
      <c r="Y1836" s="284"/>
      <c r="Z1836" s="207"/>
      <c r="AA1836" s="284"/>
      <c r="AB1836" s="284"/>
      <c r="AC1836" s="284"/>
      <c r="AD1836" s="284"/>
      <c r="AE1836" s="284"/>
      <c r="AF1836" s="284"/>
      <c r="AG1836" s="284"/>
      <c r="AI1836" s="284"/>
    </row>
    <row r="1837" spans="1:35" ht="26.4">
      <c r="A1837" s="284"/>
      <c r="B1837" s="284"/>
      <c r="C1837" s="284"/>
      <c r="D1837" s="284"/>
      <c r="E1837" s="284"/>
      <c r="F1837" s="284"/>
      <c r="G1837" s="284"/>
      <c r="H1837" s="284"/>
      <c r="I1837" s="284"/>
      <c r="J1837" s="375"/>
      <c r="K1837" s="375"/>
      <c r="L1837" s="375"/>
      <c r="M1837" s="368"/>
      <c r="N1837" s="368"/>
      <c r="O1837" s="370"/>
      <c r="T1837" s="349"/>
      <c r="V1837" s="378"/>
      <c r="W1837" s="64" ph="1"/>
      <c r="X1837" s="241"/>
      <c r="Y1837" s="284"/>
      <c r="Z1837" s="207"/>
      <c r="AA1837" s="284"/>
      <c r="AB1837" s="284"/>
      <c r="AC1837" s="284"/>
      <c r="AD1837" s="284"/>
      <c r="AE1837" s="284"/>
      <c r="AF1837" s="284"/>
      <c r="AG1837" s="284"/>
      <c r="AI1837" s="131"/>
    </row>
    <row r="1838" spans="1:35" ht="26.4">
      <c r="A1838" s="284"/>
      <c r="B1838" s="284"/>
      <c r="C1838" s="284"/>
      <c r="D1838" s="284"/>
      <c r="E1838" s="284"/>
      <c r="F1838" s="284"/>
      <c r="G1838" s="284"/>
      <c r="H1838" s="284"/>
      <c r="I1838" s="284"/>
      <c r="J1838" s="375"/>
      <c r="K1838" s="375"/>
      <c r="L1838" s="375"/>
      <c r="M1838" s="368"/>
      <c r="N1838" s="368"/>
      <c r="O1838" s="370"/>
      <c r="T1838" s="349"/>
      <c r="V1838" s="378"/>
      <c r="W1838" s="64" ph="1"/>
      <c r="X1838" s="241"/>
      <c r="Y1838" s="284"/>
      <c r="Z1838" s="207"/>
      <c r="AA1838" s="284"/>
      <c r="AB1838" s="284"/>
      <c r="AC1838" s="284"/>
      <c r="AD1838" s="284"/>
      <c r="AE1838" s="284"/>
      <c r="AF1838" s="284"/>
      <c r="AG1838" s="284"/>
      <c r="AI1838" s="284"/>
    </row>
    <row r="1839" spans="1:35" ht="26.4">
      <c r="A1839" s="284"/>
      <c r="B1839" s="284"/>
      <c r="C1839" s="284"/>
      <c r="D1839" s="284"/>
      <c r="E1839" s="284"/>
      <c r="F1839" s="284"/>
      <c r="G1839" s="284"/>
      <c r="H1839" s="284"/>
      <c r="I1839" s="284"/>
      <c r="J1839" s="375"/>
      <c r="K1839" s="375"/>
      <c r="L1839" s="375"/>
      <c r="M1839" s="368"/>
      <c r="N1839" s="368"/>
      <c r="O1839" s="370"/>
      <c r="T1839" s="349"/>
      <c r="V1839" s="378"/>
      <c r="W1839" s="64" ph="1"/>
      <c r="X1839" s="241"/>
      <c r="Y1839" s="284"/>
      <c r="Z1839" s="207"/>
      <c r="AA1839" s="284"/>
      <c r="AB1839" s="284"/>
      <c r="AC1839" s="284"/>
      <c r="AD1839" s="284"/>
      <c r="AE1839" s="284"/>
      <c r="AF1839" s="284"/>
      <c r="AG1839" s="284"/>
      <c r="AI1839" s="284"/>
    </row>
    <row r="1840" spans="1:35" ht="26.4">
      <c r="A1840" s="284"/>
      <c r="B1840" s="284"/>
      <c r="C1840" s="284"/>
      <c r="D1840" s="284"/>
      <c r="E1840" s="284"/>
      <c r="F1840" s="284"/>
      <c r="G1840" s="284"/>
      <c r="H1840" s="284"/>
      <c r="I1840" s="284"/>
      <c r="J1840" s="375"/>
      <c r="K1840" s="375"/>
      <c r="L1840" s="375"/>
      <c r="M1840" s="368"/>
      <c r="N1840" s="368"/>
      <c r="O1840" s="370"/>
      <c r="T1840" s="349"/>
      <c r="V1840" s="378"/>
      <c r="W1840" s="64" ph="1"/>
      <c r="X1840" s="241"/>
      <c r="Y1840" s="284"/>
      <c r="Z1840" s="207"/>
      <c r="AA1840" s="284"/>
      <c r="AB1840" s="284"/>
      <c r="AC1840" s="284"/>
      <c r="AD1840" s="284"/>
      <c r="AE1840" s="284"/>
      <c r="AF1840" s="284"/>
      <c r="AG1840" s="284"/>
      <c r="AI1840" s="131"/>
    </row>
    <row r="1841" spans="1:35" ht="26.4">
      <c r="A1841" s="284"/>
      <c r="B1841" s="284"/>
      <c r="C1841" s="284"/>
      <c r="D1841" s="284"/>
      <c r="E1841" s="284"/>
      <c r="F1841" s="284"/>
      <c r="G1841" s="284"/>
      <c r="H1841" s="284"/>
      <c r="I1841" s="284"/>
      <c r="J1841" s="375"/>
      <c r="K1841" s="375"/>
      <c r="L1841" s="375"/>
      <c r="M1841" s="368"/>
      <c r="N1841" s="368"/>
      <c r="O1841" s="370"/>
      <c r="T1841" s="349"/>
      <c r="V1841" s="378"/>
      <c r="W1841" s="64" ph="1"/>
      <c r="X1841" s="241"/>
      <c r="Y1841" s="284"/>
      <c r="Z1841" s="207"/>
      <c r="AA1841" s="284"/>
      <c r="AB1841" s="284"/>
      <c r="AC1841" s="284"/>
      <c r="AD1841" s="284"/>
      <c r="AE1841" s="284"/>
      <c r="AF1841" s="284"/>
      <c r="AG1841" s="284"/>
      <c r="AI1841" s="131"/>
    </row>
    <row r="1842" spans="1:35" ht="26.4">
      <c r="A1842" s="284"/>
      <c r="B1842" s="284"/>
      <c r="C1842" s="284"/>
      <c r="D1842" s="284"/>
      <c r="E1842" s="284"/>
      <c r="F1842" s="284"/>
      <c r="G1842" s="284"/>
      <c r="H1842" s="284"/>
      <c r="I1842" s="284"/>
      <c r="J1842" s="375"/>
      <c r="K1842" s="375"/>
      <c r="L1842" s="375"/>
      <c r="M1842" s="368"/>
      <c r="N1842" s="368"/>
      <c r="O1842" s="370"/>
      <c r="T1842" s="349"/>
      <c r="V1842" s="378"/>
      <c r="W1842" s="64" ph="1"/>
      <c r="X1842" s="241"/>
      <c r="Y1842" s="284"/>
      <c r="Z1842" s="207"/>
      <c r="AA1842" s="284"/>
      <c r="AB1842" s="284"/>
      <c r="AC1842" s="284"/>
      <c r="AD1842" s="284"/>
      <c r="AE1842" s="284"/>
      <c r="AF1842" s="284"/>
      <c r="AG1842" s="284"/>
    </row>
    <row r="1843" spans="1:35" ht="26.4">
      <c r="A1843" s="284"/>
      <c r="B1843" s="284"/>
      <c r="C1843" s="284"/>
      <c r="D1843" s="284"/>
      <c r="E1843" s="284"/>
      <c r="F1843" s="284"/>
      <c r="G1843" s="284"/>
      <c r="H1843" s="284"/>
      <c r="I1843" s="284"/>
      <c r="J1843" s="375"/>
      <c r="K1843" s="375"/>
      <c r="L1843" s="375"/>
      <c r="M1843" s="368"/>
      <c r="N1843" s="368"/>
      <c r="O1843" s="370"/>
      <c r="T1843" s="349"/>
      <c r="V1843" s="378"/>
      <c r="W1843" s="64" ph="1"/>
      <c r="X1843" s="241"/>
      <c r="Y1843" s="284"/>
      <c r="Z1843" s="207"/>
      <c r="AA1843" s="284"/>
      <c r="AB1843" s="284"/>
      <c r="AC1843" s="284"/>
      <c r="AD1843" s="284"/>
      <c r="AE1843" s="284"/>
      <c r="AF1843" s="284"/>
      <c r="AG1843" s="284"/>
    </row>
    <row r="1844" spans="1:35" ht="26.4">
      <c r="A1844" s="284"/>
      <c r="B1844" s="284"/>
      <c r="C1844" s="284"/>
      <c r="D1844" s="284"/>
      <c r="E1844" s="284"/>
      <c r="F1844" s="284"/>
      <c r="G1844" s="284"/>
      <c r="H1844" s="284"/>
      <c r="I1844" s="284"/>
      <c r="J1844" s="375"/>
      <c r="K1844" s="375"/>
      <c r="L1844" s="375"/>
      <c r="M1844" s="368"/>
      <c r="N1844" s="368"/>
      <c r="O1844" s="370"/>
      <c r="T1844" s="349"/>
      <c r="V1844" s="378"/>
      <c r="W1844" s="64" ph="1"/>
      <c r="X1844" s="241"/>
      <c r="Y1844" s="284"/>
      <c r="Z1844" s="207"/>
      <c r="AA1844" s="284"/>
      <c r="AB1844" s="284"/>
      <c r="AC1844" s="284"/>
      <c r="AD1844" s="284"/>
      <c r="AE1844" s="284"/>
      <c r="AF1844" s="284"/>
      <c r="AG1844" s="284"/>
    </row>
    <row r="1845" spans="1:35" ht="26.4">
      <c r="A1845" s="284"/>
      <c r="B1845" s="284"/>
      <c r="C1845" s="284"/>
      <c r="D1845" s="284"/>
      <c r="E1845" s="284"/>
      <c r="F1845" s="284"/>
      <c r="G1845" s="284"/>
      <c r="H1845" s="284"/>
      <c r="I1845" s="284"/>
      <c r="J1845" s="375"/>
      <c r="K1845" s="375"/>
      <c r="L1845" s="375"/>
      <c r="M1845" s="368"/>
      <c r="N1845" s="368"/>
      <c r="O1845" s="370"/>
      <c r="T1845" s="349"/>
      <c r="V1845" s="378"/>
      <c r="W1845" s="64" ph="1"/>
      <c r="X1845" s="241"/>
      <c r="Y1845" s="284"/>
      <c r="Z1845" s="207"/>
      <c r="AA1845" s="284"/>
      <c r="AB1845" s="284"/>
      <c r="AC1845" s="284"/>
      <c r="AD1845" s="284"/>
      <c r="AE1845" s="284"/>
      <c r="AF1845" s="284"/>
      <c r="AG1845" s="284"/>
    </row>
    <row r="1846" spans="1:35" ht="26.4">
      <c r="A1846" s="284"/>
      <c r="B1846" s="284"/>
      <c r="C1846" s="284"/>
      <c r="D1846" s="284"/>
      <c r="E1846" s="284"/>
      <c r="F1846" s="284"/>
      <c r="G1846" s="284"/>
      <c r="H1846" s="284"/>
      <c r="I1846" s="284"/>
      <c r="J1846" s="375"/>
      <c r="K1846" s="375"/>
      <c r="L1846" s="375"/>
      <c r="M1846" s="368"/>
      <c r="N1846" s="368"/>
      <c r="O1846" s="370"/>
      <c r="T1846" s="349"/>
      <c r="V1846" s="378"/>
      <c r="W1846" s="64" ph="1"/>
      <c r="X1846" s="241"/>
      <c r="Y1846" s="284"/>
      <c r="Z1846" s="207"/>
      <c r="AA1846" s="284"/>
      <c r="AB1846" s="284"/>
      <c r="AC1846" s="284"/>
      <c r="AD1846" s="284"/>
      <c r="AE1846" s="284"/>
      <c r="AF1846" s="284"/>
      <c r="AG1846" s="284"/>
    </row>
    <row r="1847" spans="1:35" ht="26.4">
      <c r="A1847" s="284"/>
      <c r="B1847" s="284"/>
      <c r="C1847" s="284"/>
      <c r="D1847" s="284"/>
      <c r="E1847" s="284"/>
      <c r="F1847" s="284"/>
      <c r="G1847" s="284"/>
      <c r="H1847" s="284"/>
      <c r="I1847" s="284"/>
      <c r="J1847" s="375"/>
      <c r="K1847" s="375"/>
      <c r="L1847" s="375"/>
      <c r="M1847" s="368"/>
      <c r="N1847" s="368"/>
      <c r="O1847" s="370"/>
      <c r="T1847" s="349"/>
      <c r="V1847" s="378"/>
      <c r="W1847" s="64" ph="1"/>
      <c r="X1847" s="241"/>
      <c r="Y1847" s="284"/>
      <c r="Z1847" s="207"/>
      <c r="AA1847" s="284"/>
      <c r="AB1847" s="284"/>
      <c r="AC1847" s="284"/>
      <c r="AD1847" s="284"/>
      <c r="AE1847" s="284"/>
      <c r="AF1847" s="284"/>
      <c r="AG1847" s="284"/>
    </row>
    <row r="1848" spans="1:35" ht="26.4">
      <c r="A1848" s="284"/>
      <c r="B1848" s="284"/>
      <c r="C1848" s="284"/>
      <c r="D1848" s="284"/>
      <c r="E1848" s="284"/>
      <c r="F1848" s="284"/>
      <c r="G1848" s="284"/>
      <c r="H1848" s="284"/>
      <c r="I1848" s="284"/>
      <c r="J1848" s="375"/>
      <c r="K1848" s="375"/>
      <c r="L1848" s="375"/>
      <c r="M1848" s="368"/>
      <c r="N1848" s="368"/>
      <c r="O1848" s="370"/>
      <c r="T1848" s="349"/>
      <c r="V1848" s="378"/>
      <c r="W1848" s="64" ph="1"/>
      <c r="X1848" s="241"/>
      <c r="Y1848" s="284"/>
      <c r="Z1848" s="207"/>
      <c r="AA1848" s="284"/>
      <c r="AB1848" s="284"/>
      <c r="AC1848" s="284"/>
      <c r="AD1848" s="284"/>
      <c r="AE1848" s="284"/>
      <c r="AF1848" s="284"/>
      <c r="AG1848" s="284"/>
    </row>
    <row r="1849" spans="1:35" ht="26.4">
      <c r="A1849" s="284"/>
      <c r="B1849" s="284"/>
      <c r="C1849" s="284"/>
      <c r="D1849" s="284"/>
      <c r="E1849" s="284"/>
      <c r="F1849" s="284"/>
      <c r="G1849" s="284"/>
      <c r="H1849" s="284"/>
      <c r="I1849" s="284"/>
      <c r="J1849" s="375"/>
      <c r="K1849" s="375"/>
      <c r="L1849" s="375"/>
      <c r="M1849" s="368"/>
      <c r="N1849" s="368"/>
      <c r="O1849" s="370"/>
      <c r="T1849" s="349"/>
      <c r="V1849" s="378"/>
      <c r="W1849" s="64" ph="1"/>
      <c r="X1849" s="241"/>
      <c r="Y1849" s="284"/>
      <c r="Z1849" s="207"/>
      <c r="AA1849" s="284"/>
      <c r="AB1849" s="284"/>
      <c r="AC1849" s="284"/>
      <c r="AD1849" s="284"/>
      <c r="AE1849" s="284"/>
      <c r="AF1849" s="284"/>
      <c r="AG1849" s="284"/>
    </row>
    <row r="1850" spans="1:35" ht="26.4">
      <c r="A1850" s="284"/>
      <c r="B1850" s="284"/>
      <c r="C1850" s="284"/>
      <c r="D1850" s="284"/>
      <c r="E1850" s="284"/>
      <c r="F1850" s="284"/>
      <c r="G1850" s="284"/>
      <c r="H1850" s="284"/>
      <c r="I1850" s="284"/>
      <c r="J1850" s="375"/>
      <c r="K1850" s="375"/>
      <c r="L1850" s="375"/>
      <c r="M1850" s="368"/>
      <c r="N1850" s="368"/>
      <c r="O1850" s="370"/>
      <c r="T1850" s="349"/>
      <c r="V1850" s="378"/>
      <c r="W1850" s="64" ph="1"/>
      <c r="X1850" s="241"/>
      <c r="Y1850" s="284"/>
      <c r="Z1850" s="207"/>
      <c r="AA1850" s="284"/>
      <c r="AB1850" s="284"/>
      <c r="AC1850" s="284"/>
      <c r="AD1850" s="284"/>
      <c r="AE1850" s="284"/>
      <c r="AF1850" s="284"/>
      <c r="AG1850" s="284"/>
    </row>
    <row r="1851" spans="1:35" ht="26.4">
      <c r="A1851" s="284"/>
      <c r="B1851" s="284"/>
      <c r="C1851" s="284"/>
      <c r="D1851" s="284"/>
      <c r="E1851" s="284"/>
      <c r="F1851" s="284"/>
      <c r="G1851" s="284"/>
      <c r="H1851" s="284"/>
      <c r="I1851" s="284"/>
      <c r="J1851" s="375"/>
      <c r="K1851" s="375"/>
      <c r="L1851" s="375"/>
      <c r="M1851" s="368"/>
      <c r="N1851" s="368"/>
      <c r="O1851" s="370"/>
      <c r="T1851" s="349"/>
      <c r="V1851" s="378"/>
      <c r="W1851" s="64" ph="1"/>
      <c r="X1851" s="241"/>
      <c r="Y1851" s="284"/>
      <c r="Z1851" s="207"/>
      <c r="AA1851" s="284"/>
      <c r="AB1851" s="284"/>
      <c r="AC1851" s="284"/>
      <c r="AD1851" s="284"/>
      <c r="AE1851" s="284"/>
      <c r="AF1851" s="284"/>
      <c r="AG1851" s="284"/>
    </row>
    <row r="1852" spans="1:35" ht="26.4">
      <c r="A1852" s="284"/>
      <c r="B1852" s="284"/>
      <c r="C1852" s="284"/>
      <c r="D1852" s="284"/>
      <c r="E1852" s="284"/>
      <c r="F1852" s="284"/>
      <c r="G1852" s="284"/>
      <c r="H1852" s="284"/>
      <c r="I1852" s="284"/>
      <c r="J1852" s="375"/>
      <c r="K1852" s="375"/>
      <c r="L1852" s="375"/>
      <c r="M1852" s="368"/>
      <c r="N1852" s="368"/>
      <c r="O1852" s="370"/>
      <c r="T1852" s="349"/>
      <c r="V1852" s="378"/>
      <c r="W1852" s="64" ph="1"/>
      <c r="X1852" s="241"/>
      <c r="Y1852" s="284"/>
      <c r="Z1852" s="207"/>
      <c r="AA1852" s="284"/>
      <c r="AB1852" s="284"/>
      <c r="AC1852" s="284"/>
      <c r="AD1852" s="284"/>
      <c r="AE1852" s="284"/>
      <c r="AF1852" s="284"/>
      <c r="AG1852" s="284"/>
    </row>
    <row r="1853" spans="1:35" ht="26.4">
      <c r="A1853" s="284"/>
      <c r="B1853" s="284"/>
      <c r="C1853" s="284"/>
      <c r="D1853" s="284"/>
      <c r="E1853" s="284"/>
      <c r="F1853" s="284"/>
      <c r="G1853" s="284"/>
      <c r="H1853" s="284"/>
      <c r="I1853" s="284"/>
      <c r="J1853" s="375"/>
      <c r="K1853" s="375"/>
      <c r="L1853" s="375"/>
      <c r="M1853" s="368"/>
      <c r="N1853" s="368"/>
      <c r="O1853" s="370"/>
      <c r="T1853" s="349"/>
      <c r="V1853" s="378"/>
      <c r="W1853" s="64" ph="1"/>
      <c r="X1853" s="241"/>
      <c r="Y1853" s="284"/>
      <c r="Z1853" s="207"/>
      <c r="AA1853" s="284"/>
      <c r="AB1853" s="284"/>
      <c r="AC1853" s="284"/>
      <c r="AD1853" s="284"/>
      <c r="AE1853" s="284"/>
      <c r="AF1853" s="284"/>
      <c r="AG1853" s="284"/>
    </row>
    <row r="1854" spans="1:35" ht="26.4">
      <c r="A1854" s="284"/>
      <c r="B1854" s="284"/>
      <c r="C1854" s="284"/>
      <c r="D1854" s="284"/>
      <c r="E1854" s="284"/>
      <c r="F1854" s="284"/>
      <c r="G1854" s="284"/>
      <c r="H1854" s="284"/>
      <c r="I1854" s="284"/>
      <c r="J1854" s="375"/>
      <c r="K1854" s="375"/>
      <c r="L1854" s="375"/>
      <c r="M1854" s="368"/>
      <c r="N1854" s="368"/>
      <c r="O1854" s="370"/>
      <c r="T1854" s="349"/>
      <c r="V1854" s="378"/>
      <c r="W1854" s="64" ph="1"/>
      <c r="X1854" s="241"/>
      <c r="Y1854" s="284"/>
      <c r="Z1854" s="207"/>
      <c r="AA1854" s="284"/>
      <c r="AB1854" s="284"/>
      <c r="AC1854" s="284"/>
      <c r="AD1854" s="284"/>
      <c r="AE1854" s="284"/>
      <c r="AF1854" s="284"/>
      <c r="AG1854" s="284"/>
    </row>
    <row r="1855" spans="1:35" ht="26.4">
      <c r="A1855" s="284"/>
      <c r="B1855" s="284"/>
      <c r="C1855" s="284"/>
      <c r="D1855" s="284"/>
      <c r="E1855" s="284"/>
      <c r="F1855" s="284"/>
      <c r="G1855" s="284"/>
      <c r="H1855" s="284"/>
      <c r="I1855" s="284"/>
      <c r="J1855" s="375"/>
      <c r="K1855" s="375"/>
      <c r="L1855" s="375"/>
      <c r="M1855" s="368"/>
      <c r="N1855" s="368"/>
      <c r="O1855" s="370"/>
      <c r="T1855" s="349"/>
      <c r="V1855" s="378"/>
      <c r="W1855" s="64" ph="1"/>
      <c r="X1855" s="241"/>
      <c r="Y1855" s="284"/>
      <c r="Z1855" s="207"/>
      <c r="AA1855" s="284"/>
      <c r="AB1855" s="284"/>
      <c r="AC1855" s="284"/>
      <c r="AD1855" s="284"/>
      <c r="AE1855" s="284"/>
      <c r="AF1855" s="284"/>
      <c r="AG1855" s="284"/>
    </row>
    <row r="1856" spans="1:35" ht="26.4">
      <c r="A1856" s="284"/>
      <c r="B1856" s="284"/>
      <c r="C1856" s="284"/>
      <c r="D1856" s="284"/>
      <c r="E1856" s="284"/>
      <c r="F1856" s="284"/>
      <c r="G1856" s="284"/>
      <c r="H1856" s="284"/>
      <c r="I1856" s="284"/>
      <c r="J1856" s="375"/>
      <c r="K1856" s="375"/>
      <c r="L1856" s="375"/>
      <c r="M1856" s="368"/>
      <c r="N1856" s="368"/>
      <c r="O1856" s="370"/>
      <c r="T1856" s="349"/>
      <c r="V1856" s="378"/>
      <c r="W1856" s="64" ph="1"/>
      <c r="X1856" s="241"/>
      <c r="Y1856" s="284"/>
      <c r="Z1856" s="207"/>
      <c r="AA1856" s="284"/>
      <c r="AB1856" s="284"/>
      <c r="AC1856" s="284"/>
      <c r="AD1856" s="284"/>
      <c r="AE1856" s="284"/>
      <c r="AF1856" s="284"/>
      <c r="AG1856" s="284"/>
    </row>
    <row r="1857" spans="1:33" ht="26.4">
      <c r="A1857" s="284"/>
      <c r="B1857" s="284"/>
      <c r="C1857" s="284"/>
      <c r="D1857" s="284"/>
      <c r="E1857" s="284"/>
      <c r="F1857" s="284"/>
      <c r="G1857" s="284"/>
      <c r="H1857" s="284"/>
      <c r="I1857" s="284"/>
      <c r="J1857" s="375"/>
      <c r="K1857" s="375"/>
      <c r="L1857" s="375"/>
      <c r="M1857" s="368"/>
      <c r="N1857" s="368"/>
      <c r="O1857" s="370"/>
      <c r="T1857" s="349"/>
      <c r="V1857" s="378"/>
      <c r="W1857" s="64" ph="1"/>
      <c r="X1857" s="241"/>
      <c r="Y1857" s="284"/>
      <c r="Z1857" s="207"/>
      <c r="AA1857" s="284"/>
      <c r="AB1857" s="284"/>
      <c r="AC1857" s="284"/>
      <c r="AD1857" s="284"/>
      <c r="AE1857" s="284"/>
      <c r="AF1857" s="284"/>
      <c r="AG1857" s="284"/>
    </row>
    <row r="1858" spans="1:33" ht="26.4">
      <c r="A1858" s="284"/>
      <c r="B1858" s="284"/>
      <c r="C1858" s="284"/>
      <c r="D1858" s="284"/>
      <c r="E1858" s="284"/>
      <c r="F1858" s="284"/>
      <c r="G1858" s="284"/>
      <c r="H1858" s="284"/>
      <c r="I1858" s="284"/>
      <c r="J1858" s="375"/>
      <c r="K1858" s="375"/>
      <c r="L1858" s="375"/>
      <c r="M1858" s="368"/>
      <c r="N1858" s="368"/>
      <c r="O1858" s="370"/>
      <c r="T1858" s="349"/>
      <c r="V1858" s="378"/>
      <c r="W1858" s="64" ph="1"/>
      <c r="X1858" s="241"/>
      <c r="Y1858" s="284"/>
      <c r="Z1858" s="207"/>
      <c r="AA1858" s="284"/>
      <c r="AB1858" s="284"/>
      <c r="AC1858" s="284"/>
      <c r="AD1858" s="284"/>
      <c r="AE1858" s="284"/>
      <c r="AF1858" s="284"/>
      <c r="AG1858" s="284"/>
    </row>
    <row r="1859" spans="1:33" ht="26.4">
      <c r="A1859" s="284"/>
      <c r="B1859" s="284"/>
      <c r="C1859" s="284"/>
      <c r="D1859" s="284"/>
      <c r="E1859" s="284"/>
      <c r="F1859" s="284"/>
      <c r="G1859" s="284"/>
      <c r="H1859" s="284"/>
      <c r="I1859" s="284"/>
      <c r="J1859" s="375"/>
      <c r="K1859" s="375"/>
      <c r="L1859" s="375"/>
      <c r="M1859" s="368"/>
      <c r="N1859" s="368"/>
      <c r="O1859" s="370"/>
      <c r="T1859" s="349"/>
      <c r="V1859" s="378"/>
      <c r="W1859" s="64" ph="1"/>
      <c r="X1859" s="241"/>
      <c r="Y1859" s="284"/>
      <c r="Z1859" s="207"/>
      <c r="AA1859" s="284"/>
      <c r="AB1859" s="284"/>
      <c r="AC1859" s="284"/>
      <c r="AD1859" s="284"/>
      <c r="AE1859" s="284"/>
      <c r="AF1859" s="284"/>
      <c r="AG1859" s="284"/>
    </row>
    <row r="1860" spans="1:33" ht="26.4">
      <c r="A1860" s="284"/>
      <c r="B1860" s="284"/>
      <c r="C1860" s="284"/>
      <c r="D1860" s="284"/>
      <c r="E1860" s="284"/>
      <c r="F1860" s="284"/>
      <c r="G1860" s="284"/>
      <c r="H1860" s="284"/>
      <c r="I1860" s="284"/>
      <c r="J1860" s="375"/>
      <c r="K1860" s="375"/>
      <c r="L1860" s="375"/>
      <c r="M1860" s="368"/>
      <c r="N1860" s="368"/>
      <c r="O1860" s="370"/>
      <c r="T1860" s="349"/>
      <c r="V1860" s="378"/>
      <c r="W1860" s="64" ph="1"/>
      <c r="X1860" s="241"/>
      <c r="Y1860" s="284"/>
      <c r="Z1860" s="207"/>
      <c r="AA1860" s="284"/>
      <c r="AB1860" s="284"/>
      <c r="AC1860" s="284"/>
      <c r="AD1860" s="284"/>
      <c r="AE1860" s="284"/>
      <c r="AF1860" s="284"/>
      <c r="AG1860" s="284"/>
    </row>
    <row r="1861" spans="1:33" ht="26.4">
      <c r="A1861" s="284"/>
      <c r="B1861" s="284"/>
      <c r="C1861" s="284"/>
      <c r="D1861" s="284"/>
      <c r="E1861" s="284"/>
      <c r="F1861" s="284"/>
      <c r="G1861" s="284"/>
      <c r="H1861" s="284"/>
      <c r="I1861" s="284"/>
      <c r="J1861" s="375"/>
      <c r="K1861" s="375"/>
      <c r="L1861" s="375"/>
      <c r="M1861" s="368"/>
      <c r="N1861" s="368"/>
      <c r="O1861" s="370"/>
      <c r="T1861" s="349"/>
      <c r="V1861" s="378"/>
      <c r="W1861" s="64" ph="1"/>
      <c r="X1861" s="241"/>
      <c r="Y1861" s="284"/>
      <c r="Z1861" s="207"/>
      <c r="AA1861" s="284"/>
      <c r="AB1861" s="284"/>
      <c r="AC1861" s="284"/>
      <c r="AD1861" s="284"/>
      <c r="AE1861" s="284"/>
      <c r="AF1861" s="284"/>
      <c r="AG1861" s="284"/>
    </row>
    <row r="1862" spans="1:33" ht="26.4">
      <c r="A1862" s="284"/>
      <c r="B1862" s="284"/>
      <c r="C1862" s="284"/>
      <c r="D1862" s="284"/>
      <c r="E1862" s="284"/>
      <c r="F1862" s="284"/>
      <c r="G1862" s="284"/>
      <c r="H1862" s="284"/>
      <c r="I1862" s="284"/>
      <c r="J1862" s="375"/>
      <c r="K1862" s="375"/>
      <c r="L1862" s="375"/>
      <c r="M1862" s="368"/>
      <c r="N1862" s="368"/>
      <c r="O1862" s="370"/>
      <c r="T1862" s="349"/>
      <c r="V1862" s="378"/>
      <c r="W1862" s="64" ph="1"/>
      <c r="X1862" s="241"/>
      <c r="Y1862" s="284"/>
      <c r="Z1862" s="207"/>
      <c r="AA1862" s="284"/>
      <c r="AB1862" s="284"/>
      <c r="AC1862" s="284"/>
      <c r="AD1862" s="284"/>
      <c r="AE1862" s="284"/>
      <c r="AF1862" s="284"/>
      <c r="AG1862" s="284"/>
    </row>
    <row r="1863" spans="1:33" ht="26.4">
      <c r="A1863" s="284"/>
      <c r="B1863" s="284"/>
      <c r="C1863" s="284"/>
      <c r="D1863" s="284"/>
      <c r="E1863" s="284"/>
      <c r="F1863" s="284"/>
      <c r="G1863" s="284"/>
      <c r="H1863" s="284"/>
      <c r="I1863" s="284"/>
      <c r="J1863" s="375"/>
      <c r="K1863" s="375"/>
      <c r="L1863" s="375"/>
      <c r="M1863" s="368"/>
      <c r="N1863" s="368"/>
      <c r="O1863" s="370"/>
      <c r="T1863" s="349"/>
      <c r="V1863" s="378"/>
      <c r="W1863" s="64" ph="1"/>
      <c r="X1863" s="241"/>
      <c r="Y1863" s="284"/>
      <c r="Z1863" s="207"/>
      <c r="AA1863" s="284"/>
      <c r="AB1863" s="284"/>
      <c r="AC1863" s="284"/>
      <c r="AD1863" s="284"/>
      <c r="AE1863" s="284"/>
      <c r="AF1863" s="284"/>
      <c r="AG1863" s="284"/>
    </row>
    <row r="1864" spans="1:33" ht="26.4">
      <c r="A1864" s="284"/>
      <c r="B1864" s="284"/>
      <c r="C1864" s="284"/>
      <c r="D1864" s="284"/>
      <c r="E1864" s="284"/>
      <c r="F1864" s="284"/>
      <c r="G1864" s="284"/>
      <c r="H1864" s="284"/>
      <c r="I1864" s="284"/>
      <c r="J1864" s="375"/>
      <c r="K1864" s="375"/>
      <c r="L1864" s="375"/>
      <c r="M1864" s="368"/>
      <c r="N1864" s="368"/>
      <c r="O1864" s="370"/>
      <c r="T1864" s="349"/>
      <c r="V1864" s="378"/>
      <c r="W1864" s="64" ph="1"/>
      <c r="X1864" s="241"/>
      <c r="Y1864" s="284"/>
      <c r="Z1864" s="207"/>
      <c r="AA1864" s="284"/>
      <c r="AB1864" s="284"/>
      <c r="AC1864" s="284"/>
      <c r="AD1864" s="284"/>
      <c r="AE1864" s="284"/>
      <c r="AF1864" s="284"/>
      <c r="AG1864" s="284"/>
    </row>
    <row r="1865" spans="1:33" ht="26.4">
      <c r="A1865" s="284"/>
      <c r="B1865" s="284"/>
      <c r="C1865" s="284"/>
      <c r="D1865" s="284"/>
      <c r="E1865" s="284"/>
      <c r="F1865" s="284"/>
      <c r="G1865" s="284"/>
      <c r="H1865" s="284"/>
      <c r="I1865" s="284"/>
      <c r="J1865" s="375"/>
      <c r="K1865" s="375"/>
      <c r="L1865" s="375"/>
      <c r="M1865" s="368"/>
      <c r="N1865" s="368"/>
      <c r="O1865" s="370"/>
      <c r="T1865" s="349"/>
      <c r="V1865" s="378"/>
      <c r="W1865" s="64" ph="1"/>
      <c r="X1865" s="241"/>
      <c r="Y1865" s="284"/>
      <c r="Z1865" s="207"/>
      <c r="AA1865" s="284"/>
      <c r="AB1865" s="284"/>
      <c r="AC1865" s="284"/>
      <c r="AD1865" s="284"/>
      <c r="AE1865" s="284"/>
      <c r="AF1865" s="284"/>
      <c r="AG1865" s="284"/>
    </row>
    <row r="1866" spans="1:33" ht="26.4">
      <c r="A1866" s="284"/>
      <c r="B1866" s="284"/>
      <c r="C1866" s="284"/>
      <c r="D1866" s="284"/>
      <c r="E1866" s="284"/>
      <c r="F1866" s="284"/>
      <c r="G1866" s="284"/>
      <c r="H1866" s="284"/>
      <c r="I1866" s="284"/>
      <c r="J1866" s="375"/>
      <c r="K1866" s="375"/>
      <c r="L1866" s="375"/>
      <c r="M1866" s="368"/>
      <c r="N1866" s="368"/>
      <c r="O1866" s="370"/>
      <c r="T1866" s="349"/>
      <c r="V1866" s="378"/>
      <c r="W1866" s="64" ph="1"/>
      <c r="X1866" s="241"/>
      <c r="Y1866" s="284"/>
      <c r="Z1866" s="207"/>
      <c r="AA1866" s="284"/>
      <c r="AB1866" s="284"/>
      <c r="AC1866" s="284"/>
      <c r="AD1866" s="284"/>
      <c r="AE1866" s="284"/>
      <c r="AF1866" s="284"/>
      <c r="AG1866" s="284"/>
    </row>
    <row r="1867" spans="1:33" ht="26.4">
      <c r="A1867" s="284"/>
      <c r="B1867" s="284"/>
      <c r="C1867" s="284"/>
      <c r="D1867" s="284"/>
      <c r="E1867" s="284"/>
      <c r="F1867" s="284"/>
      <c r="G1867" s="284"/>
      <c r="H1867" s="284"/>
      <c r="I1867" s="284"/>
      <c r="J1867" s="375"/>
      <c r="K1867" s="375"/>
      <c r="L1867" s="375"/>
      <c r="M1867" s="368"/>
      <c r="N1867" s="368"/>
      <c r="O1867" s="370"/>
      <c r="T1867" s="349"/>
      <c r="V1867" s="378"/>
      <c r="W1867" s="64" ph="1"/>
      <c r="X1867" s="241"/>
      <c r="Y1867" s="284"/>
      <c r="Z1867" s="207"/>
      <c r="AA1867" s="284"/>
      <c r="AB1867" s="284"/>
      <c r="AC1867" s="284"/>
      <c r="AD1867" s="284"/>
      <c r="AE1867" s="284"/>
      <c r="AF1867" s="284"/>
      <c r="AG1867" s="284"/>
    </row>
    <row r="1868" spans="1:33" ht="26.4">
      <c r="A1868" s="284"/>
      <c r="B1868" s="284"/>
      <c r="C1868" s="284"/>
      <c r="D1868" s="284"/>
      <c r="E1868" s="284"/>
      <c r="F1868" s="284"/>
      <c r="G1868" s="284"/>
      <c r="H1868" s="284"/>
      <c r="I1868" s="284"/>
      <c r="J1868" s="375"/>
      <c r="K1868" s="375"/>
      <c r="L1868" s="375"/>
      <c r="M1868" s="368"/>
      <c r="N1868" s="368"/>
      <c r="O1868" s="370"/>
      <c r="T1868" s="349"/>
      <c r="V1868" s="378"/>
      <c r="W1868" s="64" ph="1"/>
      <c r="X1868" s="241"/>
      <c r="Y1868" s="284"/>
      <c r="Z1868" s="207"/>
      <c r="AA1868" s="284"/>
      <c r="AB1868" s="284"/>
      <c r="AC1868" s="284"/>
      <c r="AD1868" s="284"/>
      <c r="AE1868" s="284"/>
      <c r="AF1868" s="284"/>
      <c r="AG1868" s="284"/>
    </row>
    <row r="1869" spans="1:33" ht="26.4">
      <c r="A1869" s="284"/>
      <c r="B1869" s="284"/>
      <c r="C1869" s="284"/>
      <c r="D1869" s="284"/>
      <c r="E1869" s="284"/>
      <c r="F1869" s="284"/>
      <c r="G1869" s="284"/>
      <c r="H1869" s="284"/>
      <c r="I1869" s="284"/>
      <c r="J1869" s="375"/>
      <c r="K1869" s="375"/>
      <c r="L1869" s="375"/>
      <c r="M1869" s="368"/>
      <c r="N1869" s="368"/>
      <c r="O1869" s="370"/>
      <c r="T1869" s="349"/>
      <c r="V1869" s="378"/>
      <c r="W1869" s="64" ph="1"/>
      <c r="X1869" s="241"/>
      <c r="Y1869" s="284"/>
      <c r="Z1869" s="207"/>
      <c r="AA1869" s="284"/>
      <c r="AB1869" s="284"/>
      <c r="AC1869" s="284"/>
      <c r="AD1869" s="284"/>
      <c r="AE1869" s="284"/>
      <c r="AF1869" s="284"/>
      <c r="AG1869" s="284"/>
    </row>
    <row r="1870" spans="1:33" ht="26.4">
      <c r="A1870" s="284"/>
      <c r="B1870" s="284"/>
      <c r="C1870" s="284"/>
      <c r="D1870" s="284"/>
      <c r="E1870" s="284"/>
      <c r="F1870" s="284"/>
      <c r="G1870" s="284"/>
      <c r="H1870" s="284"/>
      <c r="I1870" s="284"/>
      <c r="J1870" s="375"/>
      <c r="K1870" s="375"/>
      <c r="L1870" s="375"/>
      <c r="M1870" s="368"/>
      <c r="N1870" s="368"/>
      <c r="O1870" s="370"/>
      <c r="T1870" s="349"/>
      <c r="V1870" s="378"/>
      <c r="W1870" s="64" ph="1"/>
      <c r="X1870" s="241"/>
      <c r="Y1870" s="284"/>
      <c r="Z1870" s="207"/>
      <c r="AA1870" s="284"/>
      <c r="AB1870" s="284"/>
      <c r="AC1870" s="284"/>
      <c r="AD1870" s="284"/>
      <c r="AE1870" s="284"/>
      <c r="AF1870" s="284"/>
      <c r="AG1870" s="284"/>
    </row>
    <row r="1871" spans="1:33" ht="26.4">
      <c r="A1871" s="284"/>
      <c r="B1871" s="284"/>
      <c r="C1871" s="284"/>
      <c r="D1871" s="284"/>
      <c r="E1871" s="284"/>
      <c r="F1871" s="284"/>
      <c r="G1871" s="284"/>
      <c r="H1871" s="284"/>
      <c r="I1871" s="284"/>
      <c r="J1871" s="375"/>
      <c r="K1871" s="375"/>
      <c r="L1871" s="375"/>
      <c r="M1871" s="368"/>
      <c r="N1871" s="368"/>
      <c r="O1871" s="370"/>
      <c r="T1871" s="349"/>
      <c r="V1871" s="378"/>
      <c r="W1871" s="64" ph="1"/>
      <c r="X1871" s="241"/>
      <c r="Y1871" s="284"/>
      <c r="Z1871" s="207"/>
      <c r="AA1871" s="284"/>
      <c r="AB1871" s="284"/>
      <c r="AC1871" s="284"/>
      <c r="AD1871" s="284"/>
      <c r="AE1871" s="284"/>
      <c r="AF1871" s="284"/>
      <c r="AG1871" s="284"/>
    </row>
    <row r="1872" spans="1:33" ht="26.4">
      <c r="A1872" s="284"/>
      <c r="B1872" s="284"/>
      <c r="C1872" s="284"/>
      <c r="D1872" s="284"/>
      <c r="E1872" s="284"/>
      <c r="F1872" s="284"/>
      <c r="G1872" s="284"/>
      <c r="H1872" s="284"/>
      <c r="I1872" s="284"/>
      <c r="J1872" s="375"/>
      <c r="K1872" s="375"/>
      <c r="L1872" s="375"/>
      <c r="M1872" s="368"/>
      <c r="N1872" s="368"/>
      <c r="O1872" s="370"/>
      <c r="T1872" s="349"/>
      <c r="V1872" s="378"/>
      <c r="W1872" s="64" ph="1"/>
      <c r="X1872" s="241"/>
      <c r="Y1872" s="284"/>
      <c r="Z1872" s="207"/>
      <c r="AA1872" s="284"/>
      <c r="AB1872" s="284"/>
      <c r="AC1872" s="284"/>
      <c r="AD1872" s="284"/>
      <c r="AE1872" s="284"/>
      <c r="AF1872" s="284"/>
      <c r="AG1872" s="284"/>
    </row>
    <row r="1873" spans="1:33" ht="26.4">
      <c r="A1873" s="284"/>
      <c r="B1873" s="284"/>
      <c r="C1873" s="284"/>
      <c r="D1873" s="284"/>
      <c r="E1873" s="284"/>
      <c r="F1873" s="284"/>
      <c r="G1873" s="284"/>
      <c r="H1873" s="284"/>
      <c r="I1873" s="284"/>
      <c r="J1873" s="375"/>
      <c r="K1873" s="375"/>
      <c r="L1873" s="375"/>
      <c r="M1873" s="368"/>
      <c r="N1873" s="368"/>
      <c r="O1873" s="370"/>
      <c r="T1873" s="349"/>
      <c r="V1873" s="378"/>
      <c r="W1873" s="64" ph="1"/>
      <c r="X1873" s="241"/>
      <c r="Y1873" s="284"/>
      <c r="Z1873" s="207"/>
      <c r="AA1873" s="284"/>
      <c r="AB1873" s="284"/>
      <c r="AC1873" s="284"/>
      <c r="AD1873" s="284"/>
      <c r="AE1873" s="284"/>
      <c r="AF1873" s="284"/>
      <c r="AG1873" s="284"/>
    </row>
    <row r="1874" spans="1:33" ht="26.4">
      <c r="A1874" s="284"/>
      <c r="B1874" s="284"/>
      <c r="C1874" s="284"/>
      <c r="D1874" s="284"/>
      <c r="E1874" s="284"/>
      <c r="F1874" s="284"/>
      <c r="G1874" s="284"/>
      <c r="H1874" s="284"/>
      <c r="I1874" s="284"/>
      <c r="J1874" s="375"/>
      <c r="K1874" s="375"/>
      <c r="L1874" s="375"/>
      <c r="M1874" s="368"/>
      <c r="N1874" s="368"/>
      <c r="O1874" s="370"/>
      <c r="T1874" s="349"/>
      <c r="V1874" s="378"/>
      <c r="W1874" s="64" ph="1"/>
      <c r="X1874" s="241"/>
      <c r="Y1874" s="284"/>
      <c r="Z1874" s="207"/>
      <c r="AA1874" s="284"/>
      <c r="AB1874" s="284"/>
      <c r="AC1874" s="284"/>
      <c r="AD1874" s="284"/>
      <c r="AE1874" s="284"/>
      <c r="AF1874" s="284"/>
      <c r="AG1874" s="284"/>
    </row>
    <row r="1875" spans="1:33" ht="26.4">
      <c r="A1875" s="284"/>
      <c r="B1875" s="284"/>
      <c r="C1875" s="284"/>
      <c r="D1875" s="284"/>
      <c r="E1875" s="284"/>
      <c r="F1875" s="284"/>
      <c r="G1875" s="284"/>
      <c r="H1875" s="284"/>
      <c r="I1875" s="284"/>
      <c r="J1875" s="375"/>
      <c r="K1875" s="375"/>
      <c r="L1875" s="375"/>
      <c r="M1875" s="368"/>
      <c r="N1875" s="368"/>
      <c r="O1875" s="370"/>
      <c r="T1875" s="349"/>
      <c r="V1875" s="378"/>
      <c r="W1875" s="64" ph="1"/>
      <c r="X1875" s="241"/>
      <c r="Y1875" s="284"/>
      <c r="Z1875" s="207"/>
      <c r="AA1875" s="284"/>
      <c r="AB1875" s="284"/>
      <c r="AC1875" s="284"/>
      <c r="AD1875" s="284"/>
      <c r="AE1875" s="284"/>
      <c r="AF1875" s="284"/>
      <c r="AG1875" s="284"/>
    </row>
    <row r="1876" spans="1:33" ht="26.4">
      <c r="A1876" s="284"/>
      <c r="B1876" s="284"/>
      <c r="C1876" s="284"/>
      <c r="D1876" s="284"/>
      <c r="E1876" s="284"/>
      <c r="F1876" s="284"/>
      <c r="G1876" s="284"/>
      <c r="H1876" s="284"/>
      <c r="I1876" s="284"/>
      <c r="J1876" s="375"/>
      <c r="K1876" s="375"/>
      <c r="L1876" s="375"/>
      <c r="M1876" s="368"/>
      <c r="N1876" s="368"/>
      <c r="O1876" s="370"/>
      <c r="T1876" s="349"/>
      <c r="V1876" s="378"/>
      <c r="W1876" s="64" ph="1"/>
      <c r="X1876" s="241"/>
      <c r="Y1876" s="284"/>
      <c r="Z1876" s="207"/>
      <c r="AA1876" s="284"/>
      <c r="AB1876" s="284"/>
      <c r="AC1876" s="284"/>
      <c r="AD1876" s="284"/>
      <c r="AE1876" s="284"/>
      <c r="AF1876" s="284"/>
      <c r="AG1876" s="284"/>
    </row>
    <row r="1877" spans="1:33" ht="26.4">
      <c r="A1877" s="284"/>
      <c r="B1877" s="284"/>
      <c r="C1877" s="284"/>
      <c r="D1877" s="284"/>
      <c r="E1877" s="284"/>
      <c r="F1877" s="284"/>
      <c r="G1877" s="284"/>
      <c r="H1877" s="284"/>
      <c r="I1877" s="284"/>
      <c r="J1877" s="375"/>
      <c r="K1877" s="375"/>
      <c r="L1877" s="375"/>
      <c r="M1877" s="368"/>
      <c r="N1877" s="368"/>
      <c r="O1877" s="370"/>
      <c r="T1877" s="349"/>
      <c r="V1877" s="378"/>
      <c r="W1877" s="64" ph="1"/>
      <c r="X1877" s="241"/>
      <c r="Y1877" s="284"/>
      <c r="Z1877" s="207"/>
      <c r="AA1877" s="284"/>
      <c r="AB1877" s="284"/>
      <c r="AC1877" s="284"/>
      <c r="AD1877" s="284"/>
      <c r="AE1877" s="284"/>
      <c r="AF1877" s="284"/>
      <c r="AG1877" s="284"/>
    </row>
    <row r="1878" spans="1:33" ht="26.4">
      <c r="A1878" s="284"/>
      <c r="B1878" s="284"/>
      <c r="C1878" s="284"/>
      <c r="D1878" s="284"/>
      <c r="E1878" s="284"/>
      <c r="F1878" s="284"/>
      <c r="G1878" s="284"/>
      <c r="H1878" s="284"/>
      <c r="I1878" s="284"/>
      <c r="J1878" s="375"/>
      <c r="K1878" s="375"/>
      <c r="L1878" s="375"/>
      <c r="M1878" s="368"/>
      <c r="N1878" s="368"/>
      <c r="O1878" s="370"/>
      <c r="T1878" s="349"/>
      <c r="V1878" s="378"/>
      <c r="W1878" s="64" ph="1"/>
      <c r="X1878" s="241"/>
      <c r="Y1878" s="284"/>
      <c r="Z1878" s="207"/>
      <c r="AA1878" s="284"/>
      <c r="AB1878" s="284"/>
      <c r="AC1878" s="284"/>
      <c r="AD1878" s="284"/>
      <c r="AE1878" s="284"/>
      <c r="AF1878" s="284"/>
      <c r="AG1878" s="284"/>
    </row>
    <row r="1879" spans="1:33" ht="26.4">
      <c r="A1879" s="284"/>
      <c r="B1879" s="284"/>
      <c r="C1879" s="284"/>
      <c r="D1879" s="284"/>
      <c r="E1879" s="284"/>
      <c r="F1879" s="284"/>
      <c r="G1879" s="284"/>
      <c r="H1879" s="284"/>
      <c r="I1879" s="284"/>
      <c r="J1879" s="375"/>
      <c r="K1879" s="375"/>
      <c r="L1879" s="375"/>
      <c r="M1879" s="368"/>
      <c r="N1879" s="368"/>
      <c r="O1879" s="370"/>
      <c r="T1879" s="349"/>
      <c r="V1879" s="378"/>
      <c r="W1879" s="64" ph="1"/>
      <c r="X1879" s="241"/>
      <c r="Y1879" s="284"/>
      <c r="Z1879" s="207"/>
      <c r="AA1879" s="284"/>
      <c r="AB1879" s="284"/>
      <c r="AC1879" s="284"/>
      <c r="AD1879" s="284"/>
      <c r="AE1879" s="284"/>
      <c r="AF1879" s="284"/>
      <c r="AG1879" s="284"/>
    </row>
    <row r="1880" spans="1:33" ht="26.4">
      <c r="A1880" s="284"/>
      <c r="B1880" s="284"/>
      <c r="C1880" s="284"/>
      <c r="D1880" s="284"/>
      <c r="E1880" s="284"/>
      <c r="F1880" s="284"/>
      <c r="G1880" s="284"/>
      <c r="H1880" s="284"/>
      <c r="I1880" s="284"/>
      <c r="J1880" s="375"/>
      <c r="K1880" s="375"/>
      <c r="L1880" s="375"/>
      <c r="M1880" s="368"/>
      <c r="N1880" s="368"/>
      <c r="O1880" s="370"/>
      <c r="T1880" s="349"/>
      <c r="V1880" s="378"/>
      <c r="W1880" s="64" ph="1"/>
      <c r="X1880" s="241"/>
      <c r="Y1880" s="284"/>
      <c r="Z1880" s="207"/>
      <c r="AA1880" s="284"/>
      <c r="AB1880" s="284"/>
      <c r="AC1880" s="284"/>
      <c r="AD1880" s="284"/>
      <c r="AE1880" s="284"/>
      <c r="AF1880" s="284"/>
      <c r="AG1880" s="284"/>
    </row>
    <row r="1881" spans="1:33" ht="26.4">
      <c r="A1881" s="284"/>
      <c r="B1881" s="284"/>
      <c r="C1881" s="284"/>
      <c r="D1881" s="284"/>
      <c r="E1881" s="284"/>
      <c r="F1881" s="284"/>
      <c r="G1881" s="284"/>
      <c r="H1881" s="284"/>
      <c r="I1881" s="284"/>
      <c r="J1881" s="375"/>
      <c r="K1881" s="375"/>
      <c r="L1881" s="375"/>
      <c r="M1881" s="368"/>
      <c r="N1881" s="368"/>
      <c r="O1881" s="370"/>
      <c r="T1881" s="349"/>
      <c r="V1881" s="378"/>
      <c r="W1881" s="64" ph="1"/>
      <c r="X1881" s="241"/>
      <c r="Y1881" s="284"/>
      <c r="Z1881" s="207"/>
      <c r="AA1881" s="284"/>
      <c r="AB1881" s="284"/>
      <c r="AC1881" s="284"/>
      <c r="AD1881" s="284"/>
      <c r="AE1881" s="284"/>
      <c r="AF1881" s="284"/>
      <c r="AG1881" s="284"/>
    </row>
    <row r="1882" spans="1:33" ht="26.4">
      <c r="A1882" s="284"/>
      <c r="B1882" s="284"/>
      <c r="C1882" s="284"/>
      <c r="D1882" s="284"/>
      <c r="E1882" s="284"/>
      <c r="F1882" s="284"/>
      <c r="G1882" s="284"/>
      <c r="H1882" s="284"/>
      <c r="I1882" s="284"/>
      <c r="J1882" s="375"/>
      <c r="K1882" s="375"/>
      <c r="L1882" s="375"/>
      <c r="M1882" s="368"/>
      <c r="N1882" s="368"/>
      <c r="O1882" s="370"/>
      <c r="T1882" s="349"/>
      <c r="V1882" s="378"/>
      <c r="W1882" s="64" ph="1"/>
      <c r="X1882" s="241"/>
      <c r="Y1882" s="284"/>
      <c r="Z1882" s="207"/>
      <c r="AA1882" s="284"/>
      <c r="AB1882" s="284"/>
      <c r="AC1882" s="284"/>
      <c r="AD1882" s="284"/>
      <c r="AE1882" s="284"/>
      <c r="AF1882" s="284"/>
      <c r="AG1882" s="284"/>
    </row>
    <row r="1883" spans="1:33" ht="26.4">
      <c r="A1883" s="284"/>
      <c r="B1883" s="284"/>
      <c r="C1883" s="284"/>
      <c r="D1883" s="284"/>
      <c r="E1883" s="284"/>
      <c r="F1883" s="284"/>
      <c r="G1883" s="284"/>
      <c r="H1883" s="284"/>
      <c r="I1883" s="284"/>
      <c r="J1883" s="375"/>
      <c r="K1883" s="375"/>
      <c r="L1883" s="375"/>
      <c r="M1883" s="368"/>
      <c r="N1883" s="368"/>
      <c r="O1883" s="370"/>
      <c r="T1883" s="349"/>
      <c r="V1883" s="378"/>
      <c r="W1883" s="64" ph="1"/>
      <c r="X1883" s="241"/>
      <c r="Y1883" s="284"/>
      <c r="Z1883" s="207"/>
      <c r="AA1883" s="284"/>
      <c r="AB1883" s="284"/>
      <c r="AC1883" s="284"/>
      <c r="AD1883" s="284"/>
      <c r="AE1883" s="284"/>
      <c r="AF1883" s="284"/>
      <c r="AG1883" s="284"/>
    </row>
    <row r="1884" spans="1:33" ht="26.4">
      <c r="A1884" s="284"/>
      <c r="B1884" s="284"/>
      <c r="C1884" s="284"/>
      <c r="D1884" s="284"/>
      <c r="E1884" s="284"/>
      <c r="F1884" s="284"/>
      <c r="G1884" s="284"/>
      <c r="H1884" s="284"/>
      <c r="I1884" s="284"/>
      <c r="J1884" s="375"/>
      <c r="K1884" s="375"/>
      <c r="L1884" s="375"/>
      <c r="M1884" s="368"/>
      <c r="N1884" s="368"/>
      <c r="O1884" s="370"/>
      <c r="T1884" s="349"/>
      <c r="V1884" s="378"/>
      <c r="W1884" s="64" ph="1"/>
      <c r="X1884" s="241"/>
      <c r="Y1884" s="284"/>
      <c r="Z1884" s="207"/>
      <c r="AA1884" s="284"/>
      <c r="AB1884" s="284"/>
      <c r="AC1884" s="284"/>
      <c r="AD1884" s="284"/>
      <c r="AE1884" s="284"/>
      <c r="AF1884" s="284"/>
      <c r="AG1884" s="284"/>
    </row>
    <row r="1885" spans="1:33" ht="26.4">
      <c r="A1885" s="284"/>
      <c r="B1885" s="284"/>
      <c r="C1885" s="284"/>
      <c r="D1885" s="284"/>
      <c r="E1885" s="284"/>
      <c r="F1885" s="284"/>
      <c r="G1885" s="284"/>
      <c r="H1885" s="284"/>
      <c r="I1885" s="284"/>
      <c r="J1885" s="375"/>
      <c r="K1885" s="375"/>
      <c r="L1885" s="375"/>
      <c r="M1885" s="368"/>
      <c r="N1885" s="368"/>
      <c r="O1885" s="370"/>
      <c r="T1885" s="349"/>
      <c r="V1885" s="378"/>
      <c r="W1885" s="64" ph="1"/>
      <c r="X1885" s="241"/>
      <c r="Y1885" s="284"/>
      <c r="Z1885" s="207"/>
      <c r="AA1885" s="284"/>
      <c r="AB1885" s="284"/>
      <c r="AC1885" s="284"/>
      <c r="AD1885" s="284"/>
      <c r="AE1885" s="284"/>
      <c r="AF1885" s="284"/>
      <c r="AG1885" s="284"/>
    </row>
    <row r="1886" spans="1:33" ht="26.4">
      <c r="A1886" s="284"/>
      <c r="B1886" s="284"/>
      <c r="C1886" s="284"/>
      <c r="D1886" s="284"/>
      <c r="E1886" s="284"/>
      <c r="F1886" s="284"/>
      <c r="G1886" s="284"/>
      <c r="H1886" s="284"/>
      <c r="I1886" s="284"/>
      <c r="J1886" s="375"/>
      <c r="K1886" s="375"/>
      <c r="L1886" s="375"/>
      <c r="M1886" s="368"/>
      <c r="N1886" s="368"/>
      <c r="O1886" s="370"/>
      <c r="T1886" s="349"/>
      <c r="V1886" s="378"/>
      <c r="W1886" s="64" ph="1"/>
      <c r="X1886" s="241"/>
      <c r="Y1886" s="284"/>
      <c r="Z1886" s="207"/>
      <c r="AA1886" s="284"/>
      <c r="AB1886" s="284"/>
      <c r="AC1886" s="284"/>
      <c r="AD1886" s="284"/>
      <c r="AE1886" s="284"/>
      <c r="AF1886" s="284"/>
      <c r="AG1886" s="284"/>
    </row>
    <row r="1887" spans="1:33" ht="26.4">
      <c r="A1887" s="284"/>
      <c r="B1887" s="284"/>
      <c r="C1887" s="284"/>
      <c r="D1887" s="284"/>
      <c r="E1887" s="284"/>
      <c r="F1887" s="284"/>
      <c r="G1887" s="284"/>
      <c r="H1887" s="284"/>
      <c r="I1887" s="284"/>
      <c r="J1887" s="375"/>
      <c r="K1887" s="375"/>
      <c r="L1887" s="375"/>
      <c r="M1887" s="368"/>
      <c r="N1887" s="368"/>
      <c r="O1887" s="370"/>
      <c r="T1887" s="349"/>
      <c r="V1887" s="378"/>
      <c r="W1887" s="64" ph="1"/>
      <c r="X1887" s="241"/>
      <c r="Y1887" s="284"/>
      <c r="Z1887" s="207"/>
      <c r="AA1887" s="284"/>
      <c r="AB1887" s="284"/>
      <c r="AC1887" s="284"/>
      <c r="AD1887" s="284"/>
      <c r="AE1887" s="284"/>
      <c r="AF1887" s="284"/>
      <c r="AG1887" s="284"/>
    </row>
    <row r="1888" spans="1:33" ht="26.4">
      <c r="A1888" s="284"/>
      <c r="B1888" s="284"/>
      <c r="C1888" s="284"/>
      <c r="D1888" s="284"/>
      <c r="E1888" s="284"/>
      <c r="F1888" s="284"/>
      <c r="G1888" s="284"/>
      <c r="H1888" s="284"/>
      <c r="I1888" s="284"/>
      <c r="J1888" s="375"/>
      <c r="K1888" s="375"/>
      <c r="L1888" s="375"/>
      <c r="M1888" s="368"/>
      <c r="N1888" s="368"/>
      <c r="O1888" s="370"/>
      <c r="T1888" s="349"/>
      <c r="V1888" s="378"/>
      <c r="W1888" s="64" ph="1"/>
      <c r="X1888" s="241"/>
      <c r="Y1888" s="284"/>
      <c r="Z1888" s="207"/>
      <c r="AA1888" s="284"/>
      <c r="AB1888" s="284"/>
      <c r="AC1888" s="284"/>
      <c r="AD1888" s="284"/>
      <c r="AE1888" s="284"/>
      <c r="AF1888" s="284"/>
      <c r="AG1888" s="284"/>
    </row>
    <row r="1889" spans="1:33" ht="26.4">
      <c r="A1889" s="284"/>
      <c r="B1889" s="284"/>
      <c r="C1889" s="284"/>
      <c r="D1889" s="284"/>
      <c r="E1889" s="284"/>
      <c r="F1889" s="284"/>
      <c r="G1889" s="284"/>
      <c r="H1889" s="284"/>
      <c r="I1889" s="284"/>
      <c r="J1889" s="375"/>
      <c r="K1889" s="375"/>
      <c r="L1889" s="375"/>
      <c r="M1889" s="368"/>
      <c r="N1889" s="368"/>
      <c r="O1889" s="370"/>
      <c r="T1889" s="349"/>
      <c r="V1889" s="378"/>
      <c r="W1889" s="64" ph="1"/>
      <c r="X1889" s="241"/>
      <c r="Y1889" s="284"/>
      <c r="Z1889" s="207"/>
      <c r="AA1889" s="284"/>
      <c r="AB1889" s="284"/>
      <c r="AC1889" s="284"/>
      <c r="AD1889" s="284"/>
      <c r="AE1889" s="284"/>
      <c r="AF1889" s="284"/>
      <c r="AG1889" s="284"/>
    </row>
    <row r="1890" spans="1:33" ht="26.4">
      <c r="A1890" s="284"/>
      <c r="B1890" s="284"/>
      <c r="C1890" s="284"/>
      <c r="D1890" s="284"/>
      <c r="E1890" s="284"/>
      <c r="F1890" s="284"/>
      <c r="G1890" s="284"/>
      <c r="H1890" s="284"/>
      <c r="I1890" s="284"/>
      <c r="J1890" s="375"/>
      <c r="K1890" s="375"/>
      <c r="L1890" s="375"/>
      <c r="M1890" s="368"/>
      <c r="N1890" s="368"/>
      <c r="O1890" s="370"/>
      <c r="T1890" s="349"/>
      <c r="V1890" s="378"/>
      <c r="W1890" s="64" ph="1"/>
      <c r="X1890" s="241"/>
      <c r="Y1890" s="284"/>
      <c r="Z1890" s="207"/>
      <c r="AA1890" s="284"/>
      <c r="AB1890" s="284"/>
      <c r="AC1890" s="284"/>
      <c r="AD1890" s="284"/>
      <c r="AE1890" s="284"/>
      <c r="AF1890" s="284"/>
      <c r="AG1890" s="284"/>
    </row>
    <row r="1891" spans="1:33" ht="26.4">
      <c r="A1891" s="284"/>
      <c r="B1891" s="284"/>
      <c r="C1891" s="284"/>
      <c r="D1891" s="284"/>
      <c r="E1891" s="284"/>
      <c r="F1891" s="284"/>
      <c r="G1891" s="284"/>
      <c r="H1891" s="284"/>
      <c r="I1891" s="284"/>
      <c r="J1891" s="375"/>
      <c r="K1891" s="375"/>
      <c r="L1891" s="375"/>
      <c r="M1891" s="368"/>
      <c r="N1891" s="368"/>
      <c r="O1891" s="370"/>
      <c r="T1891" s="349"/>
      <c r="V1891" s="378"/>
      <c r="W1891" s="64" ph="1"/>
      <c r="X1891" s="241"/>
      <c r="Y1891" s="284"/>
      <c r="Z1891" s="207"/>
      <c r="AA1891" s="284"/>
      <c r="AB1891" s="284"/>
      <c r="AC1891" s="284"/>
      <c r="AD1891" s="284"/>
      <c r="AE1891" s="284"/>
      <c r="AF1891" s="284"/>
      <c r="AG1891" s="284"/>
    </row>
    <row r="1892" spans="1:33" ht="26.4">
      <c r="A1892" s="284"/>
      <c r="B1892" s="284"/>
      <c r="C1892" s="284"/>
      <c r="D1892" s="284"/>
      <c r="E1892" s="284"/>
      <c r="F1892" s="284"/>
      <c r="G1892" s="284"/>
      <c r="H1892" s="284"/>
      <c r="I1892" s="284"/>
      <c r="J1892" s="375"/>
      <c r="K1892" s="375"/>
      <c r="L1892" s="375"/>
      <c r="M1892" s="368"/>
      <c r="N1892" s="368"/>
      <c r="O1892" s="370"/>
      <c r="T1892" s="349"/>
      <c r="V1892" s="378"/>
      <c r="W1892" s="64" ph="1"/>
      <c r="X1892" s="241"/>
      <c r="Y1892" s="284"/>
      <c r="Z1892" s="207"/>
      <c r="AA1892" s="284"/>
      <c r="AB1892" s="284"/>
      <c r="AC1892" s="284"/>
      <c r="AD1892" s="284"/>
      <c r="AE1892" s="284"/>
      <c r="AF1892" s="284"/>
      <c r="AG1892" s="284"/>
    </row>
    <row r="1893" spans="1:33" ht="26.4">
      <c r="A1893" s="284"/>
      <c r="B1893" s="284"/>
      <c r="C1893" s="284"/>
      <c r="D1893" s="284"/>
      <c r="E1893" s="284"/>
      <c r="F1893" s="284"/>
      <c r="G1893" s="284"/>
      <c r="H1893" s="284"/>
      <c r="I1893" s="284"/>
      <c r="J1893" s="375"/>
      <c r="K1893" s="375"/>
      <c r="L1893" s="375"/>
      <c r="M1893" s="368"/>
      <c r="N1893" s="368"/>
      <c r="O1893" s="370"/>
      <c r="T1893" s="349"/>
      <c r="V1893" s="378"/>
      <c r="W1893" s="64" ph="1"/>
      <c r="X1893" s="241"/>
      <c r="Y1893" s="284"/>
      <c r="Z1893" s="207"/>
      <c r="AA1893" s="284"/>
      <c r="AB1893" s="284"/>
      <c r="AC1893" s="284"/>
      <c r="AD1893" s="284"/>
      <c r="AE1893" s="284"/>
      <c r="AF1893" s="284"/>
      <c r="AG1893" s="284"/>
    </row>
    <row r="1894" spans="1:33" ht="26.4">
      <c r="A1894" s="284"/>
      <c r="B1894" s="284"/>
      <c r="C1894" s="284"/>
      <c r="D1894" s="284"/>
      <c r="E1894" s="284"/>
      <c r="F1894" s="284"/>
      <c r="G1894" s="284"/>
      <c r="H1894" s="284"/>
      <c r="I1894" s="284"/>
      <c r="J1894" s="375"/>
      <c r="K1894" s="375"/>
      <c r="L1894" s="375"/>
      <c r="M1894" s="368"/>
      <c r="N1894" s="368"/>
      <c r="O1894" s="370"/>
      <c r="T1894" s="349"/>
      <c r="V1894" s="378"/>
      <c r="W1894" s="64" ph="1"/>
      <c r="X1894" s="241"/>
      <c r="Y1894" s="284"/>
      <c r="Z1894" s="207"/>
      <c r="AA1894" s="284"/>
      <c r="AB1894" s="284"/>
      <c r="AC1894" s="284"/>
      <c r="AD1894" s="284"/>
      <c r="AE1894" s="284"/>
      <c r="AF1894" s="284"/>
      <c r="AG1894" s="284"/>
    </row>
    <row r="1895" spans="1:33" ht="26.4">
      <c r="A1895" s="284"/>
      <c r="B1895" s="284"/>
      <c r="C1895" s="284"/>
      <c r="D1895" s="284"/>
      <c r="E1895" s="284"/>
      <c r="F1895" s="284"/>
      <c r="G1895" s="284"/>
      <c r="H1895" s="284"/>
      <c r="I1895" s="284"/>
      <c r="J1895" s="375"/>
      <c r="K1895" s="375"/>
      <c r="L1895" s="375"/>
      <c r="M1895" s="368"/>
      <c r="N1895" s="368"/>
      <c r="O1895" s="370"/>
      <c r="T1895" s="349"/>
      <c r="V1895" s="378"/>
      <c r="W1895" s="64" ph="1"/>
      <c r="X1895" s="241"/>
      <c r="Y1895" s="284"/>
      <c r="Z1895" s="207"/>
      <c r="AA1895" s="284"/>
      <c r="AB1895" s="284"/>
      <c r="AC1895" s="284"/>
      <c r="AD1895" s="284"/>
      <c r="AE1895" s="284"/>
      <c r="AF1895" s="284"/>
      <c r="AG1895" s="284"/>
    </row>
    <row r="1896" spans="1:33" ht="26.4">
      <c r="A1896" s="284"/>
      <c r="B1896" s="284"/>
      <c r="C1896" s="284"/>
      <c r="D1896" s="284"/>
      <c r="E1896" s="284"/>
      <c r="F1896" s="284"/>
      <c r="G1896" s="284"/>
      <c r="H1896" s="284"/>
      <c r="I1896" s="284"/>
      <c r="J1896" s="375"/>
      <c r="K1896" s="375"/>
      <c r="L1896" s="375"/>
      <c r="M1896" s="368"/>
      <c r="N1896" s="368"/>
      <c r="O1896" s="370"/>
      <c r="T1896" s="349"/>
      <c r="V1896" s="378"/>
      <c r="W1896" s="64" ph="1"/>
      <c r="X1896" s="241"/>
      <c r="Y1896" s="284"/>
      <c r="Z1896" s="207"/>
      <c r="AA1896" s="284"/>
      <c r="AB1896" s="284"/>
      <c r="AC1896" s="284"/>
      <c r="AD1896" s="284"/>
      <c r="AE1896" s="284"/>
      <c r="AF1896" s="284"/>
      <c r="AG1896" s="284"/>
    </row>
    <row r="1897" spans="1:33" ht="26.4">
      <c r="A1897" s="284"/>
      <c r="B1897" s="284"/>
      <c r="C1897" s="284"/>
      <c r="D1897" s="284"/>
      <c r="E1897" s="284"/>
      <c r="F1897" s="284"/>
      <c r="G1897" s="284"/>
      <c r="H1897" s="284"/>
      <c r="I1897" s="284"/>
      <c r="J1897" s="375"/>
      <c r="K1897" s="375"/>
      <c r="L1897" s="375"/>
      <c r="M1897" s="368"/>
      <c r="N1897" s="368"/>
      <c r="O1897" s="370"/>
      <c r="T1897" s="349"/>
      <c r="V1897" s="378"/>
      <c r="W1897" s="64" ph="1"/>
      <c r="X1897" s="241"/>
      <c r="Y1897" s="284"/>
      <c r="Z1897" s="207"/>
      <c r="AA1897" s="284"/>
      <c r="AB1897" s="284"/>
      <c r="AC1897" s="284"/>
      <c r="AD1897" s="284"/>
      <c r="AE1897" s="284"/>
      <c r="AF1897" s="284"/>
      <c r="AG1897" s="284"/>
    </row>
    <row r="1898" spans="1:33" ht="26.4">
      <c r="A1898" s="284"/>
      <c r="B1898" s="284"/>
      <c r="C1898" s="284"/>
      <c r="D1898" s="284"/>
      <c r="E1898" s="284"/>
      <c r="F1898" s="284"/>
      <c r="G1898" s="284"/>
      <c r="H1898" s="284"/>
      <c r="I1898" s="284"/>
      <c r="J1898" s="375"/>
      <c r="K1898" s="375"/>
      <c r="L1898" s="375"/>
      <c r="M1898" s="368"/>
      <c r="N1898" s="368"/>
      <c r="O1898" s="370"/>
      <c r="T1898" s="349"/>
      <c r="V1898" s="378"/>
      <c r="W1898" s="64" ph="1"/>
      <c r="X1898" s="241"/>
      <c r="Y1898" s="284"/>
      <c r="Z1898" s="207"/>
      <c r="AA1898" s="284"/>
      <c r="AB1898" s="284"/>
      <c r="AC1898" s="284"/>
      <c r="AD1898" s="284"/>
      <c r="AE1898" s="284"/>
      <c r="AF1898" s="284"/>
      <c r="AG1898" s="284"/>
    </row>
    <row r="1899" spans="1:33" ht="26.4">
      <c r="A1899" s="284"/>
      <c r="B1899" s="284"/>
      <c r="C1899" s="284"/>
      <c r="D1899" s="284"/>
      <c r="E1899" s="284"/>
      <c r="F1899" s="284"/>
      <c r="G1899" s="284"/>
      <c r="H1899" s="284"/>
      <c r="I1899" s="284"/>
      <c r="J1899" s="375"/>
      <c r="K1899" s="375"/>
      <c r="L1899" s="375"/>
      <c r="M1899" s="368"/>
      <c r="N1899" s="368"/>
      <c r="O1899" s="370"/>
      <c r="T1899" s="349"/>
      <c r="V1899" s="378"/>
      <c r="W1899" s="64" ph="1"/>
      <c r="X1899" s="241"/>
      <c r="Y1899" s="284"/>
      <c r="Z1899" s="207"/>
      <c r="AA1899" s="284"/>
      <c r="AB1899" s="284"/>
      <c r="AC1899" s="284"/>
      <c r="AD1899" s="284"/>
      <c r="AE1899" s="284"/>
      <c r="AF1899" s="284"/>
      <c r="AG1899" s="284"/>
    </row>
    <row r="1900" spans="1:33" ht="26.4">
      <c r="A1900" s="284"/>
      <c r="B1900" s="284"/>
      <c r="C1900" s="284"/>
      <c r="D1900" s="284"/>
      <c r="E1900" s="284"/>
      <c r="F1900" s="284"/>
      <c r="G1900" s="284"/>
      <c r="H1900" s="284"/>
      <c r="I1900" s="284"/>
      <c r="J1900" s="375"/>
      <c r="K1900" s="375"/>
      <c r="L1900" s="375"/>
      <c r="M1900" s="368"/>
      <c r="N1900" s="368"/>
      <c r="O1900" s="370"/>
      <c r="T1900" s="349"/>
      <c r="V1900" s="378"/>
      <c r="W1900" s="64" ph="1"/>
      <c r="X1900" s="241"/>
      <c r="Y1900" s="284"/>
      <c r="Z1900" s="207"/>
      <c r="AA1900" s="284"/>
      <c r="AB1900" s="284"/>
      <c r="AC1900" s="284"/>
      <c r="AD1900" s="284"/>
      <c r="AE1900" s="284"/>
      <c r="AF1900" s="284"/>
      <c r="AG1900" s="284"/>
    </row>
    <row r="1901" spans="1:33" ht="26.4">
      <c r="A1901" s="284"/>
      <c r="B1901" s="284"/>
      <c r="C1901" s="284"/>
      <c r="D1901" s="284"/>
      <c r="E1901" s="284"/>
      <c r="F1901" s="284"/>
      <c r="G1901" s="284"/>
      <c r="H1901" s="284"/>
      <c r="I1901" s="284"/>
      <c r="J1901" s="375"/>
      <c r="K1901" s="375"/>
      <c r="L1901" s="375"/>
      <c r="M1901" s="368"/>
      <c r="N1901" s="368"/>
      <c r="O1901" s="370"/>
      <c r="T1901" s="349"/>
      <c r="V1901" s="378"/>
      <c r="W1901" s="64" ph="1"/>
      <c r="X1901" s="241"/>
      <c r="Y1901" s="284"/>
      <c r="Z1901" s="207"/>
      <c r="AA1901" s="284"/>
      <c r="AB1901" s="284"/>
      <c r="AC1901" s="284"/>
      <c r="AD1901" s="284"/>
      <c r="AE1901" s="284"/>
      <c r="AF1901" s="284"/>
      <c r="AG1901" s="284"/>
    </row>
    <row r="1902" spans="1:33" ht="26.4">
      <c r="A1902" s="284"/>
      <c r="B1902" s="284"/>
      <c r="C1902" s="284"/>
      <c r="D1902" s="284"/>
      <c r="E1902" s="284"/>
      <c r="F1902" s="284"/>
      <c r="G1902" s="284"/>
      <c r="H1902" s="284"/>
      <c r="I1902" s="284"/>
      <c r="J1902" s="375"/>
      <c r="K1902" s="375"/>
      <c r="L1902" s="375"/>
      <c r="M1902" s="368"/>
      <c r="N1902" s="368"/>
      <c r="O1902" s="370"/>
      <c r="T1902" s="349"/>
      <c r="V1902" s="378"/>
      <c r="W1902" s="64" ph="1"/>
      <c r="X1902" s="241"/>
      <c r="Y1902" s="284"/>
      <c r="Z1902" s="207"/>
      <c r="AA1902" s="284"/>
      <c r="AB1902" s="284"/>
      <c r="AC1902" s="284"/>
      <c r="AD1902" s="284"/>
      <c r="AE1902" s="284"/>
      <c r="AF1902" s="284"/>
      <c r="AG1902" s="284"/>
    </row>
    <row r="1903" spans="1:33" ht="26.4">
      <c r="A1903" s="284"/>
      <c r="B1903" s="284"/>
      <c r="C1903" s="284"/>
      <c r="D1903" s="284"/>
      <c r="E1903" s="284"/>
      <c r="F1903" s="284"/>
      <c r="G1903" s="284"/>
      <c r="H1903" s="284"/>
      <c r="I1903" s="284"/>
      <c r="J1903" s="375"/>
      <c r="K1903" s="375"/>
      <c r="L1903" s="375"/>
      <c r="M1903" s="368"/>
      <c r="N1903" s="368"/>
      <c r="O1903" s="370"/>
      <c r="T1903" s="349"/>
      <c r="V1903" s="378"/>
      <c r="W1903" s="64" ph="1"/>
      <c r="X1903" s="241"/>
      <c r="Y1903" s="284"/>
      <c r="Z1903" s="207"/>
      <c r="AA1903" s="284"/>
      <c r="AB1903" s="284"/>
      <c r="AC1903" s="284"/>
      <c r="AD1903" s="284"/>
      <c r="AE1903" s="284"/>
      <c r="AF1903" s="284"/>
      <c r="AG1903" s="284"/>
    </row>
    <row r="1904" spans="1:33" ht="26.4">
      <c r="A1904" s="284"/>
      <c r="B1904" s="284"/>
      <c r="C1904" s="284"/>
      <c r="D1904" s="284"/>
      <c r="E1904" s="284"/>
      <c r="F1904" s="284"/>
      <c r="G1904" s="284"/>
      <c r="H1904" s="284"/>
      <c r="I1904" s="284"/>
      <c r="J1904" s="375"/>
      <c r="K1904" s="375"/>
      <c r="L1904" s="375"/>
      <c r="M1904" s="368"/>
      <c r="N1904" s="368"/>
      <c r="O1904" s="370"/>
      <c r="T1904" s="349"/>
      <c r="V1904" s="378"/>
      <c r="W1904" s="64" ph="1"/>
      <c r="X1904" s="241"/>
      <c r="Y1904" s="284"/>
      <c r="Z1904" s="207"/>
      <c r="AA1904" s="284"/>
      <c r="AB1904" s="284"/>
      <c r="AC1904" s="284"/>
      <c r="AD1904" s="284"/>
      <c r="AE1904" s="284"/>
      <c r="AF1904" s="284"/>
      <c r="AG1904" s="284"/>
    </row>
    <row r="1905" spans="1:33" ht="26.4">
      <c r="A1905" s="284"/>
      <c r="B1905" s="284"/>
      <c r="C1905" s="284"/>
      <c r="D1905" s="284"/>
      <c r="E1905" s="284"/>
      <c r="F1905" s="284"/>
      <c r="G1905" s="284"/>
      <c r="H1905" s="284"/>
      <c r="I1905" s="284"/>
      <c r="J1905" s="375"/>
      <c r="K1905" s="375"/>
      <c r="L1905" s="375"/>
      <c r="M1905" s="368"/>
      <c r="N1905" s="368"/>
      <c r="O1905" s="370"/>
      <c r="T1905" s="349"/>
      <c r="V1905" s="378"/>
      <c r="W1905" s="64" ph="1"/>
      <c r="X1905" s="241"/>
      <c r="Y1905" s="284"/>
      <c r="Z1905" s="207"/>
      <c r="AA1905" s="284"/>
      <c r="AB1905" s="284"/>
      <c r="AC1905" s="284"/>
      <c r="AD1905" s="284"/>
      <c r="AE1905" s="284"/>
      <c r="AF1905" s="284"/>
      <c r="AG1905" s="284"/>
    </row>
    <row r="1906" spans="1:33" ht="26.4">
      <c r="A1906" s="284"/>
      <c r="B1906" s="284"/>
      <c r="C1906" s="284"/>
      <c r="D1906" s="284"/>
      <c r="E1906" s="284"/>
      <c r="F1906" s="284"/>
      <c r="G1906" s="284"/>
      <c r="H1906" s="284"/>
      <c r="I1906" s="284"/>
      <c r="J1906" s="375"/>
      <c r="K1906" s="375"/>
      <c r="L1906" s="375"/>
      <c r="M1906" s="368"/>
      <c r="N1906" s="368"/>
      <c r="O1906" s="370"/>
      <c r="T1906" s="349"/>
      <c r="V1906" s="378"/>
      <c r="W1906" s="64" ph="1"/>
      <c r="X1906" s="241"/>
      <c r="Y1906" s="284"/>
      <c r="Z1906" s="207"/>
      <c r="AA1906" s="284"/>
      <c r="AB1906" s="284"/>
      <c r="AC1906" s="284"/>
      <c r="AD1906" s="284"/>
      <c r="AE1906" s="284"/>
      <c r="AF1906" s="284"/>
      <c r="AG1906" s="284"/>
    </row>
    <row r="1907" spans="1:33" ht="26.4">
      <c r="A1907" s="284"/>
      <c r="B1907" s="284"/>
      <c r="C1907" s="284"/>
      <c r="D1907" s="284"/>
      <c r="E1907" s="284"/>
      <c r="F1907" s="284"/>
      <c r="G1907" s="284"/>
      <c r="H1907" s="284"/>
      <c r="I1907" s="284"/>
      <c r="J1907" s="375"/>
      <c r="K1907" s="375"/>
      <c r="L1907" s="375"/>
      <c r="M1907" s="368"/>
      <c r="N1907" s="368"/>
      <c r="O1907" s="370"/>
      <c r="T1907" s="349"/>
      <c r="V1907" s="378"/>
      <c r="W1907" s="64" ph="1"/>
      <c r="X1907" s="241"/>
      <c r="Y1907" s="284"/>
      <c r="Z1907" s="207"/>
      <c r="AA1907" s="284"/>
      <c r="AB1907" s="284"/>
      <c r="AC1907" s="284"/>
      <c r="AD1907" s="284"/>
      <c r="AE1907" s="284"/>
      <c r="AF1907" s="284"/>
      <c r="AG1907" s="284"/>
    </row>
    <row r="1908" spans="1:33" ht="26.4">
      <c r="A1908" s="284"/>
      <c r="B1908" s="284"/>
      <c r="C1908" s="284"/>
      <c r="D1908" s="284"/>
      <c r="E1908" s="284"/>
      <c r="F1908" s="284"/>
      <c r="G1908" s="284"/>
      <c r="H1908" s="284"/>
      <c r="I1908" s="284"/>
      <c r="J1908" s="375"/>
      <c r="K1908" s="375"/>
      <c r="L1908" s="375"/>
      <c r="M1908" s="368"/>
      <c r="N1908" s="368"/>
      <c r="O1908" s="370"/>
      <c r="T1908" s="349"/>
      <c r="V1908" s="378"/>
      <c r="W1908" s="64" ph="1"/>
      <c r="X1908" s="241"/>
      <c r="Y1908" s="284"/>
      <c r="Z1908" s="207"/>
      <c r="AA1908" s="284"/>
      <c r="AB1908" s="284"/>
      <c r="AC1908" s="284"/>
      <c r="AD1908" s="284"/>
      <c r="AE1908" s="284"/>
      <c r="AF1908" s="284"/>
      <c r="AG1908" s="284"/>
    </row>
    <row r="1909" spans="1:33" ht="26.4">
      <c r="A1909" s="284"/>
      <c r="B1909" s="284"/>
      <c r="C1909" s="284"/>
      <c r="D1909" s="284"/>
      <c r="E1909" s="284"/>
      <c r="F1909" s="284"/>
      <c r="G1909" s="284"/>
      <c r="H1909" s="284"/>
      <c r="I1909" s="284"/>
      <c r="J1909" s="375"/>
      <c r="K1909" s="375"/>
      <c r="L1909" s="375"/>
      <c r="M1909" s="368"/>
      <c r="N1909" s="368"/>
      <c r="O1909" s="370"/>
      <c r="T1909" s="349"/>
      <c r="V1909" s="378"/>
      <c r="W1909" s="64" ph="1"/>
      <c r="X1909" s="241"/>
      <c r="Y1909" s="284"/>
      <c r="Z1909" s="207"/>
      <c r="AA1909" s="284"/>
      <c r="AB1909" s="284"/>
      <c r="AC1909" s="284"/>
      <c r="AD1909" s="284"/>
      <c r="AE1909" s="284"/>
      <c r="AF1909" s="284"/>
      <c r="AG1909" s="284"/>
    </row>
    <row r="1910" spans="1:33" ht="26.4">
      <c r="A1910" s="284"/>
      <c r="B1910" s="284"/>
      <c r="C1910" s="284"/>
      <c r="D1910" s="284"/>
      <c r="E1910" s="284"/>
      <c r="F1910" s="284"/>
      <c r="G1910" s="284"/>
      <c r="H1910" s="284"/>
      <c r="I1910" s="284"/>
      <c r="J1910" s="375"/>
      <c r="K1910" s="375"/>
      <c r="L1910" s="375"/>
      <c r="M1910" s="368"/>
      <c r="N1910" s="368"/>
      <c r="O1910" s="370"/>
      <c r="T1910" s="349"/>
      <c r="V1910" s="378"/>
      <c r="W1910" s="64" ph="1"/>
      <c r="X1910" s="241"/>
      <c r="Y1910" s="284"/>
      <c r="Z1910" s="207"/>
      <c r="AA1910" s="284"/>
      <c r="AB1910" s="284"/>
      <c r="AC1910" s="284"/>
      <c r="AD1910" s="284"/>
      <c r="AE1910" s="284"/>
      <c r="AF1910" s="284"/>
      <c r="AG1910" s="284"/>
    </row>
    <row r="1911" spans="1:33" ht="26.4">
      <c r="A1911" s="284"/>
      <c r="B1911" s="284"/>
      <c r="C1911" s="284"/>
      <c r="D1911" s="284"/>
      <c r="E1911" s="284"/>
      <c r="F1911" s="284"/>
      <c r="G1911" s="284"/>
      <c r="H1911" s="284"/>
      <c r="I1911" s="284"/>
      <c r="J1911" s="375"/>
      <c r="K1911" s="375"/>
      <c r="L1911" s="375"/>
      <c r="M1911" s="368"/>
      <c r="N1911" s="368"/>
      <c r="O1911" s="370"/>
      <c r="T1911" s="349"/>
      <c r="V1911" s="378"/>
      <c r="W1911" s="64" ph="1"/>
      <c r="X1911" s="241"/>
      <c r="Y1911" s="284"/>
      <c r="Z1911" s="207"/>
      <c r="AA1911" s="284"/>
      <c r="AB1911" s="284"/>
      <c r="AC1911" s="284"/>
      <c r="AD1911" s="284"/>
      <c r="AE1911" s="284"/>
      <c r="AF1911" s="284"/>
      <c r="AG1911" s="284"/>
    </row>
    <row r="1912" spans="1:33" ht="26.4">
      <c r="A1912" s="284"/>
      <c r="B1912" s="284"/>
      <c r="C1912" s="284"/>
      <c r="D1912" s="284"/>
      <c r="E1912" s="284"/>
      <c r="F1912" s="284"/>
      <c r="G1912" s="284"/>
      <c r="H1912" s="284"/>
      <c r="I1912" s="284"/>
      <c r="J1912" s="375"/>
      <c r="K1912" s="375"/>
      <c r="L1912" s="375"/>
      <c r="M1912" s="368"/>
      <c r="N1912" s="368"/>
      <c r="O1912" s="370"/>
      <c r="T1912" s="349"/>
      <c r="V1912" s="378"/>
      <c r="W1912" s="64" ph="1"/>
      <c r="X1912" s="241"/>
      <c r="Y1912" s="284"/>
      <c r="Z1912" s="207"/>
      <c r="AA1912" s="284"/>
      <c r="AB1912" s="284"/>
      <c r="AC1912" s="284"/>
      <c r="AD1912" s="284"/>
      <c r="AE1912" s="284"/>
      <c r="AF1912" s="284"/>
      <c r="AG1912" s="284"/>
    </row>
    <row r="1913" spans="1:33" ht="26.4">
      <c r="A1913" s="284"/>
      <c r="B1913" s="284"/>
      <c r="C1913" s="284"/>
      <c r="D1913" s="284"/>
      <c r="E1913" s="284"/>
      <c r="F1913" s="284"/>
      <c r="G1913" s="284"/>
      <c r="H1913" s="284"/>
      <c r="I1913" s="284"/>
      <c r="J1913" s="375"/>
      <c r="K1913" s="375"/>
      <c r="L1913" s="375"/>
      <c r="M1913" s="368"/>
      <c r="N1913" s="368"/>
      <c r="O1913" s="370"/>
      <c r="T1913" s="349"/>
      <c r="V1913" s="378"/>
      <c r="W1913" s="64" ph="1"/>
      <c r="X1913" s="241"/>
      <c r="Y1913" s="284"/>
      <c r="Z1913" s="207"/>
      <c r="AA1913" s="284"/>
      <c r="AB1913" s="284"/>
      <c r="AC1913" s="284"/>
      <c r="AD1913" s="284"/>
      <c r="AE1913" s="284"/>
      <c r="AF1913" s="284"/>
      <c r="AG1913" s="284"/>
    </row>
    <row r="1914" spans="1:33" ht="26.4">
      <c r="A1914" s="284"/>
      <c r="B1914" s="284"/>
      <c r="C1914" s="284"/>
      <c r="D1914" s="284"/>
      <c r="E1914" s="284"/>
      <c r="F1914" s="284"/>
      <c r="G1914" s="284"/>
      <c r="H1914" s="284"/>
      <c r="I1914" s="284"/>
      <c r="J1914" s="375"/>
      <c r="K1914" s="375"/>
      <c r="L1914" s="375"/>
      <c r="M1914" s="368"/>
      <c r="N1914" s="368"/>
      <c r="O1914" s="370"/>
      <c r="T1914" s="349"/>
      <c r="V1914" s="378"/>
      <c r="W1914" s="64" ph="1"/>
      <c r="X1914" s="241"/>
      <c r="Y1914" s="284"/>
      <c r="Z1914" s="207"/>
      <c r="AA1914" s="284"/>
      <c r="AB1914" s="284"/>
      <c r="AC1914" s="284"/>
      <c r="AD1914" s="284"/>
      <c r="AE1914" s="284"/>
      <c r="AF1914" s="284"/>
      <c r="AG1914" s="284"/>
    </row>
    <row r="1915" spans="1:33" ht="26.4">
      <c r="A1915" s="284"/>
      <c r="B1915" s="284"/>
      <c r="C1915" s="284"/>
      <c r="D1915" s="284"/>
      <c r="E1915" s="284"/>
      <c r="F1915" s="284"/>
      <c r="G1915" s="284"/>
      <c r="H1915" s="284"/>
      <c r="I1915" s="284"/>
      <c r="J1915" s="375"/>
      <c r="K1915" s="375"/>
      <c r="L1915" s="375"/>
      <c r="M1915" s="368"/>
      <c r="N1915" s="368"/>
      <c r="O1915" s="370"/>
      <c r="T1915" s="349"/>
      <c r="V1915" s="378"/>
      <c r="W1915" s="64" ph="1"/>
      <c r="X1915" s="241"/>
      <c r="Y1915" s="284"/>
      <c r="Z1915" s="207"/>
      <c r="AA1915" s="284"/>
      <c r="AB1915" s="284"/>
      <c r="AC1915" s="284"/>
      <c r="AD1915" s="284"/>
      <c r="AE1915" s="284"/>
      <c r="AF1915" s="284"/>
      <c r="AG1915" s="284"/>
    </row>
    <row r="1916" spans="1:33" ht="26.4">
      <c r="A1916" s="284"/>
      <c r="B1916" s="284"/>
      <c r="C1916" s="284"/>
      <c r="D1916" s="284"/>
      <c r="E1916" s="284"/>
      <c r="F1916" s="284"/>
      <c r="G1916" s="284"/>
      <c r="H1916" s="284"/>
      <c r="I1916" s="284"/>
      <c r="J1916" s="375"/>
      <c r="K1916" s="375"/>
      <c r="L1916" s="375"/>
      <c r="M1916" s="368"/>
      <c r="N1916" s="368"/>
      <c r="O1916" s="370"/>
      <c r="T1916" s="349"/>
      <c r="V1916" s="378"/>
      <c r="W1916" s="64" ph="1"/>
      <c r="X1916" s="241"/>
      <c r="Y1916" s="284"/>
      <c r="Z1916" s="207"/>
      <c r="AA1916" s="284"/>
      <c r="AB1916" s="284"/>
      <c r="AC1916" s="284"/>
      <c r="AD1916" s="284"/>
      <c r="AE1916" s="284"/>
      <c r="AF1916" s="284"/>
      <c r="AG1916" s="284"/>
    </row>
    <row r="1917" spans="1:33" ht="26.4">
      <c r="A1917" s="284"/>
      <c r="B1917" s="284"/>
      <c r="C1917" s="284"/>
      <c r="D1917" s="284"/>
      <c r="E1917" s="284"/>
      <c r="F1917" s="284"/>
      <c r="G1917" s="284"/>
      <c r="H1917" s="284"/>
      <c r="I1917" s="284"/>
      <c r="J1917" s="375"/>
      <c r="K1917" s="375"/>
      <c r="L1917" s="375"/>
      <c r="M1917" s="368"/>
      <c r="N1917" s="368"/>
      <c r="O1917" s="370"/>
      <c r="T1917" s="349"/>
      <c r="V1917" s="378"/>
      <c r="W1917" s="64" ph="1"/>
      <c r="X1917" s="241"/>
      <c r="Y1917" s="284"/>
      <c r="Z1917" s="207"/>
      <c r="AA1917" s="284"/>
      <c r="AB1917" s="284"/>
      <c r="AC1917" s="284"/>
      <c r="AD1917" s="284"/>
      <c r="AE1917" s="284"/>
      <c r="AF1917" s="284"/>
      <c r="AG1917" s="284"/>
    </row>
    <row r="1918" spans="1:33" ht="26.4">
      <c r="A1918" s="284"/>
      <c r="B1918" s="284"/>
      <c r="C1918" s="284"/>
      <c r="D1918" s="284"/>
      <c r="E1918" s="284"/>
      <c r="F1918" s="284"/>
      <c r="G1918" s="284"/>
      <c r="H1918" s="284"/>
      <c r="I1918" s="284"/>
      <c r="J1918" s="375"/>
      <c r="K1918" s="375"/>
      <c r="L1918" s="375"/>
      <c r="M1918" s="368"/>
      <c r="N1918" s="368"/>
      <c r="O1918" s="370"/>
      <c r="T1918" s="349"/>
      <c r="V1918" s="378"/>
      <c r="W1918" s="64" ph="1"/>
      <c r="X1918" s="241"/>
      <c r="Y1918" s="284"/>
      <c r="Z1918" s="207"/>
      <c r="AA1918" s="284"/>
      <c r="AB1918" s="284"/>
      <c r="AC1918" s="284"/>
      <c r="AD1918" s="284"/>
      <c r="AE1918" s="284"/>
      <c r="AF1918" s="284"/>
      <c r="AG1918" s="284"/>
    </row>
    <row r="1919" spans="1:33" ht="26.4">
      <c r="A1919" s="284"/>
      <c r="B1919" s="284"/>
      <c r="C1919" s="284"/>
      <c r="D1919" s="284"/>
      <c r="E1919" s="284"/>
      <c r="F1919" s="284"/>
      <c r="G1919" s="284"/>
      <c r="H1919" s="284"/>
      <c r="I1919" s="284"/>
      <c r="J1919" s="375"/>
      <c r="K1919" s="375"/>
      <c r="L1919" s="375"/>
      <c r="M1919" s="368"/>
      <c r="N1919" s="368"/>
      <c r="O1919" s="370"/>
      <c r="T1919" s="349"/>
      <c r="V1919" s="378"/>
      <c r="W1919" s="64" ph="1"/>
      <c r="X1919" s="241"/>
      <c r="Y1919" s="284"/>
      <c r="Z1919" s="207"/>
      <c r="AA1919" s="284"/>
      <c r="AB1919" s="284"/>
      <c r="AC1919" s="284"/>
      <c r="AD1919" s="284"/>
      <c r="AE1919" s="284"/>
      <c r="AF1919" s="284"/>
      <c r="AG1919" s="284"/>
    </row>
    <row r="1920" spans="1:33" ht="26.4">
      <c r="A1920" s="284"/>
      <c r="B1920" s="284"/>
      <c r="C1920" s="284"/>
      <c r="D1920" s="284"/>
      <c r="E1920" s="284"/>
      <c r="F1920" s="284"/>
      <c r="G1920" s="284"/>
      <c r="H1920" s="284"/>
      <c r="I1920" s="284"/>
      <c r="J1920" s="375"/>
      <c r="K1920" s="375"/>
      <c r="L1920" s="375"/>
      <c r="M1920" s="368"/>
      <c r="N1920" s="368"/>
      <c r="O1920" s="370"/>
      <c r="T1920" s="349"/>
      <c r="V1920" s="378"/>
      <c r="W1920" s="64" ph="1"/>
      <c r="X1920" s="241"/>
      <c r="Y1920" s="284"/>
      <c r="Z1920" s="207"/>
      <c r="AA1920" s="284"/>
      <c r="AB1920" s="284"/>
      <c r="AC1920" s="284"/>
      <c r="AD1920" s="284"/>
      <c r="AE1920" s="284"/>
      <c r="AF1920" s="284"/>
      <c r="AG1920" s="284"/>
    </row>
    <row r="1921" spans="1:33" ht="26.4">
      <c r="A1921" s="284"/>
      <c r="B1921" s="284"/>
      <c r="C1921" s="284"/>
      <c r="D1921" s="284"/>
      <c r="E1921" s="284"/>
      <c r="F1921" s="284"/>
      <c r="G1921" s="284"/>
      <c r="H1921" s="284"/>
      <c r="I1921" s="284"/>
      <c r="J1921" s="375"/>
      <c r="K1921" s="375"/>
      <c r="L1921" s="375"/>
      <c r="M1921" s="368"/>
      <c r="N1921" s="368"/>
      <c r="O1921" s="370"/>
      <c r="T1921" s="349"/>
      <c r="V1921" s="378"/>
      <c r="W1921" s="64" ph="1"/>
      <c r="X1921" s="241"/>
      <c r="Y1921" s="284"/>
      <c r="Z1921" s="207"/>
      <c r="AA1921" s="284"/>
      <c r="AB1921" s="284"/>
      <c r="AC1921" s="284"/>
      <c r="AD1921" s="284"/>
      <c r="AE1921" s="284"/>
      <c r="AF1921" s="284"/>
      <c r="AG1921" s="284"/>
    </row>
    <row r="1922" spans="1:33" ht="26.4">
      <c r="A1922" s="284"/>
      <c r="B1922" s="284"/>
      <c r="C1922" s="284"/>
      <c r="D1922" s="284"/>
      <c r="E1922" s="284"/>
      <c r="F1922" s="284"/>
      <c r="G1922" s="284"/>
      <c r="H1922" s="284"/>
      <c r="I1922" s="284"/>
      <c r="J1922" s="375"/>
      <c r="K1922" s="375"/>
      <c r="L1922" s="375"/>
      <c r="M1922" s="368"/>
      <c r="N1922" s="368"/>
      <c r="O1922" s="370"/>
      <c r="T1922" s="349"/>
      <c r="V1922" s="378"/>
      <c r="W1922" s="64" ph="1"/>
      <c r="X1922" s="241"/>
      <c r="Y1922" s="284"/>
      <c r="Z1922" s="207"/>
      <c r="AA1922" s="284"/>
      <c r="AB1922" s="284"/>
      <c r="AC1922" s="284"/>
      <c r="AD1922" s="284"/>
      <c r="AE1922" s="284"/>
      <c r="AF1922" s="284"/>
      <c r="AG1922" s="284"/>
    </row>
    <row r="1923" spans="1:33" ht="26.4">
      <c r="A1923" s="284"/>
      <c r="B1923" s="284"/>
      <c r="C1923" s="284"/>
      <c r="D1923" s="284"/>
      <c r="E1923" s="284"/>
      <c r="F1923" s="284"/>
      <c r="G1923" s="284"/>
      <c r="H1923" s="284"/>
      <c r="I1923" s="284"/>
      <c r="J1923" s="375"/>
      <c r="K1923" s="375"/>
      <c r="L1923" s="375"/>
      <c r="M1923" s="368"/>
      <c r="N1923" s="368"/>
      <c r="O1923" s="370"/>
      <c r="T1923" s="349"/>
      <c r="V1923" s="378"/>
      <c r="W1923" s="64" ph="1"/>
      <c r="X1923" s="241"/>
      <c r="Y1923" s="284"/>
      <c r="Z1923" s="207"/>
      <c r="AA1923" s="284"/>
      <c r="AB1923" s="284"/>
      <c r="AC1923" s="284"/>
      <c r="AD1923" s="284"/>
      <c r="AE1923" s="284"/>
      <c r="AF1923" s="284"/>
      <c r="AG1923" s="284"/>
    </row>
    <row r="1924" spans="1:33" ht="26.4">
      <c r="A1924" s="284"/>
      <c r="B1924" s="284"/>
      <c r="C1924" s="284"/>
      <c r="D1924" s="284"/>
      <c r="E1924" s="284"/>
      <c r="F1924" s="284"/>
      <c r="G1924" s="284"/>
      <c r="H1924" s="284"/>
      <c r="I1924" s="284"/>
      <c r="J1924" s="375"/>
      <c r="K1924" s="375"/>
      <c r="L1924" s="375"/>
      <c r="M1924" s="368"/>
      <c r="N1924" s="368"/>
      <c r="O1924" s="370"/>
      <c r="T1924" s="349"/>
      <c r="V1924" s="378"/>
      <c r="W1924" s="64" ph="1"/>
      <c r="X1924" s="241"/>
      <c r="Y1924" s="284"/>
      <c r="Z1924" s="207"/>
      <c r="AA1924" s="284"/>
      <c r="AB1924" s="284"/>
      <c r="AC1924" s="284"/>
      <c r="AD1924" s="284"/>
      <c r="AE1924" s="284"/>
      <c r="AF1924" s="284"/>
      <c r="AG1924" s="284"/>
    </row>
    <row r="1925" spans="1:33" ht="26.4">
      <c r="A1925" s="284"/>
      <c r="B1925" s="284"/>
      <c r="C1925" s="284"/>
      <c r="D1925" s="284"/>
      <c r="E1925" s="284"/>
      <c r="F1925" s="284"/>
      <c r="G1925" s="284"/>
      <c r="H1925" s="284"/>
      <c r="I1925" s="284"/>
      <c r="J1925" s="375"/>
      <c r="K1925" s="375"/>
      <c r="L1925" s="375"/>
      <c r="M1925" s="368"/>
      <c r="N1925" s="368"/>
      <c r="O1925" s="370"/>
      <c r="T1925" s="349"/>
      <c r="V1925" s="378"/>
      <c r="W1925" s="64" ph="1"/>
      <c r="X1925" s="241"/>
      <c r="Y1925" s="284"/>
      <c r="Z1925" s="207"/>
      <c r="AA1925" s="284"/>
      <c r="AB1925" s="284"/>
      <c r="AC1925" s="284"/>
      <c r="AD1925" s="284"/>
      <c r="AE1925" s="284"/>
      <c r="AF1925" s="284"/>
      <c r="AG1925" s="284"/>
    </row>
    <row r="1926" spans="1:33" ht="26.4">
      <c r="A1926" s="284"/>
      <c r="B1926" s="284"/>
      <c r="C1926" s="284"/>
      <c r="D1926" s="284"/>
      <c r="E1926" s="284"/>
      <c r="F1926" s="284"/>
      <c r="G1926" s="284"/>
      <c r="H1926" s="284"/>
      <c r="I1926" s="284"/>
      <c r="J1926" s="375"/>
      <c r="K1926" s="375"/>
      <c r="L1926" s="375"/>
      <c r="M1926" s="368"/>
      <c r="N1926" s="368"/>
      <c r="O1926" s="370"/>
      <c r="T1926" s="349"/>
      <c r="V1926" s="378"/>
      <c r="W1926" s="64" ph="1"/>
      <c r="X1926" s="241"/>
      <c r="Y1926" s="284"/>
      <c r="Z1926" s="207"/>
      <c r="AA1926" s="284"/>
      <c r="AB1926" s="284"/>
      <c r="AC1926" s="284"/>
      <c r="AD1926" s="284"/>
      <c r="AE1926" s="284"/>
      <c r="AF1926" s="284"/>
      <c r="AG1926" s="284"/>
    </row>
    <row r="1927" spans="1:33" ht="26.4">
      <c r="A1927" s="284"/>
      <c r="B1927" s="284"/>
      <c r="C1927" s="284"/>
      <c r="D1927" s="284"/>
      <c r="E1927" s="284"/>
      <c r="F1927" s="284"/>
      <c r="G1927" s="284"/>
      <c r="H1927" s="284"/>
      <c r="I1927" s="284"/>
      <c r="J1927" s="375"/>
      <c r="K1927" s="375"/>
      <c r="L1927" s="375"/>
      <c r="M1927" s="368"/>
      <c r="N1927" s="368"/>
      <c r="O1927" s="370"/>
      <c r="T1927" s="349"/>
      <c r="V1927" s="378"/>
      <c r="W1927" s="64" ph="1"/>
      <c r="X1927" s="241"/>
      <c r="Y1927" s="284"/>
      <c r="Z1927" s="207"/>
      <c r="AA1927" s="284"/>
      <c r="AB1927" s="284"/>
      <c r="AC1927" s="284"/>
      <c r="AD1927" s="284"/>
      <c r="AE1927" s="284"/>
      <c r="AF1927" s="284"/>
      <c r="AG1927" s="284"/>
    </row>
    <row r="1928" spans="1:33" ht="26.4">
      <c r="A1928" s="284"/>
      <c r="B1928" s="284"/>
      <c r="C1928" s="284"/>
      <c r="D1928" s="284"/>
      <c r="E1928" s="284"/>
      <c r="F1928" s="284"/>
      <c r="G1928" s="284"/>
      <c r="H1928" s="284"/>
      <c r="I1928" s="284"/>
      <c r="J1928" s="375"/>
      <c r="K1928" s="375"/>
      <c r="L1928" s="375"/>
      <c r="M1928" s="368"/>
      <c r="N1928" s="368"/>
      <c r="O1928" s="370"/>
      <c r="T1928" s="349"/>
      <c r="V1928" s="378"/>
      <c r="W1928" s="64" ph="1"/>
      <c r="X1928" s="241"/>
      <c r="Y1928" s="284"/>
      <c r="Z1928" s="207"/>
      <c r="AA1928" s="284"/>
      <c r="AB1928" s="284"/>
      <c r="AC1928" s="284"/>
      <c r="AD1928" s="284"/>
      <c r="AE1928" s="284"/>
      <c r="AF1928" s="284"/>
      <c r="AG1928" s="284"/>
    </row>
    <row r="1929" spans="1:33" ht="26.4">
      <c r="A1929" s="284"/>
      <c r="B1929" s="284"/>
      <c r="C1929" s="284"/>
      <c r="D1929" s="284"/>
      <c r="E1929" s="284"/>
      <c r="F1929" s="284"/>
      <c r="G1929" s="284"/>
      <c r="H1929" s="284"/>
      <c r="I1929" s="284"/>
      <c r="J1929" s="375"/>
      <c r="K1929" s="375"/>
      <c r="L1929" s="375"/>
      <c r="M1929" s="368"/>
      <c r="N1929" s="368"/>
      <c r="O1929" s="370"/>
      <c r="T1929" s="349"/>
      <c r="V1929" s="378"/>
      <c r="W1929" s="64" ph="1"/>
      <c r="X1929" s="241"/>
      <c r="Y1929" s="284"/>
      <c r="Z1929" s="207"/>
      <c r="AA1929" s="284"/>
      <c r="AB1929" s="284"/>
      <c r="AC1929" s="284"/>
      <c r="AD1929" s="284"/>
      <c r="AE1929" s="284"/>
      <c r="AF1929" s="284"/>
      <c r="AG1929" s="284"/>
    </row>
    <row r="1930" spans="1:33" ht="26.4">
      <c r="A1930" s="284"/>
      <c r="B1930" s="284"/>
      <c r="C1930" s="284"/>
      <c r="D1930" s="284"/>
      <c r="E1930" s="284"/>
      <c r="F1930" s="284"/>
      <c r="G1930" s="284"/>
      <c r="H1930" s="284"/>
      <c r="I1930" s="284"/>
      <c r="J1930" s="375"/>
      <c r="K1930" s="375"/>
      <c r="L1930" s="375"/>
      <c r="M1930" s="368"/>
      <c r="N1930" s="368"/>
      <c r="O1930" s="370"/>
      <c r="T1930" s="349"/>
      <c r="V1930" s="378"/>
      <c r="W1930" s="64" ph="1"/>
      <c r="X1930" s="241"/>
      <c r="Y1930" s="284"/>
      <c r="Z1930" s="207"/>
      <c r="AA1930" s="284"/>
      <c r="AB1930" s="284"/>
      <c r="AC1930" s="284"/>
      <c r="AD1930" s="284"/>
      <c r="AE1930" s="284"/>
      <c r="AF1930" s="284"/>
      <c r="AG1930" s="284"/>
    </row>
    <row r="1931" spans="1:33" ht="26.4">
      <c r="A1931" s="284"/>
      <c r="B1931" s="284"/>
      <c r="C1931" s="284"/>
      <c r="D1931" s="284"/>
      <c r="E1931" s="284"/>
      <c r="F1931" s="284"/>
      <c r="G1931" s="284"/>
      <c r="H1931" s="284"/>
      <c r="I1931" s="284"/>
      <c r="J1931" s="375"/>
      <c r="K1931" s="375"/>
      <c r="L1931" s="375"/>
      <c r="M1931" s="368"/>
      <c r="N1931" s="368"/>
      <c r="O1931" s="370"/>
      <c r="T1931" s="349"/>
      <c r="V1931" s="378"/>
      <c r="W1931" s="64" ph="1"/>
      <c r="X1931" s="241"/>
      <c r="Y1931" s="284"/>
      <c r="Z1931" s="207"/>
      <c r="AA1931" s="284"/>
      <c r="AB1931" s="284"/>
      <c r="AC1931" s="284"/>
      <c r="AD1931" s="284"/>
      <c r="AE1931" s="284"/>
      <c r="AF1931" s="284"/>
      <c r="AG1931" s="284"/>
    </row>
    <row r="1932" spans="1:33" ht="26.4">
      <c r="A1932" s="284"/>
      <c r="B1932" s="284"/>
      <c r="C1932" s="284"/>
      <c r="D1932" s="284"/>
      <c r="E1932" s="284"/>
      <c r="F1932" s="284"/>
      <c r="G1932" s="284"/>
      <c r="H1932" s="284"/>
      <c r="I1932" s="284"/>
      <c r="J1932" s="375"/>
      <c r="K1932" s="375"/>
      <c r="L1932" s="375"/>
      <c r="M1932" s="368"/>
      <c r="N1932" s="368"/>
      <c r="O1932" s="370"/>
      <c r="T1932" s="349"/>
      <c r="V1932" s="378"/>
      <c r="W1932" s="64" ph="1"/>
      <c r="X1932" s="241"/>
      <c r="Y1932" s="284"/>
      <c r="Z1932" s="207"/>
      <c r="AA1932" s="284"/>
      <c r="AB1932" s="284"/>
      <c r="AC1932" s="284"/>
      <c r="AD1932" s="284"/>
      <c r="AE1932" s="284"/>
      <c r="AF1932" s="284"/>
      <c r="AG1932" s="284"/>
    </row>
    <row r="1933" spans="1:33" ht="26.4">
      <c r="A1933" s="284"/>
      <c r="B1933" s="284"/>
      <c r="C1933" s="284"/>
      <c r="D1933" s="284"/>
      <c r="E1933" s="284"/>
      <c r="F1933" s="284"/>
      <c r="G1933" s="284"/>
      <c r="H1933" s="284"/>
      <c r="I1933" s="284"/>
      <c r="J1933" s="375"/>
      <c r="K1933" s="375"/>
      <c r="L1933" s="375"/>
      <c r="M1933" s="368"/>
      <c r="N1933" s="368"/>
      <c r="O1933" s="370"/>
      <c r="T1933" s="349"/>
      <c r="V1933" s="378"/>
      <c r="W1933" s="64" ph="1"/>
      <c r="X1933" s="241"/>
      <c r="Y1933" s="284"/>
      <c r="Z1933" s="207"/>
      <c r="AA1933" s="284"/>
      <c r="AB1933" s="284"/>
      <c r="AC1933" s="284"/>
      <c r="AD1933" s="284"/>
      <c r="AE1933" s="284"/>
      <c r="AF1933" s="284"/>
      <c r="AG1933" s="284"/>
    </row>
    <row r="1934" spans="1:33" ht="26.4">
      <c r="A1934" s="284"/>
      <c r="B1934" s="284"/>
      <c r="C1934" s="284"/>
      <c r="D1934" s="284"/>
      <c r="E1934" s="284"/>
      <c r="F1934" s="284"/>
      <c r="G1934" s="284"/>
      <c r="H1934" s="284"/>
      <c r="I1934" s="284"/>
      <c r="J1934" s="375"/>
      <c r="K1934" s="375"/>
      <c r="L1934" s="375"/>
      <c r="M1934" s="368"/>
      <c r="N1934" s="368"/>
      <c r="O1934" s="370"/>
      <c r="T1934" s="349"/>
      <c r="V1934" s="378"/>
      <c r="W1934" s="64" ph="1"/>
      <c r="X1934" s="241"/>
      <c r="Y1934" s="284"/>
      <c r="Z1934" s="207"/>
      <c r="AA1934" s="284"/>
      <c r="AB1934" s="284"/>
      <c r="AC1934" s="284"/>
      <c r="AD1934" s="284"/>
      <c r="AE1934" s="284"/>
      <c r="AF1934" s="284"/>
      <c r="AG1934" s="284"/>
    </row>
    <row r="1935" spans="1:33" ht="26.4">
      <c r="A1935" s="284"/>
      <c r="B1935" s="284"/>
      <c r="C1935" s="284"/>
      <c r="D1935" s="284"/>
      <c r="E1935" s="284"/>
      <c r="F1935" s="284"/>
      <c r="G1935" s="284"/>
      <c r="H1935" s="284"/>
      <c r="I1935" s="284"/>
      <c r="J1935" s="375"/>
      <c r="K1935" s="375"/>
      <c r="L1935" s="375"/>
      <c r="M1935" s="368"/>
      <c r="N1935" s="368"/>
      <c r="O1935" s="370"/>
      <c r="T1935" s="349"/>
      <c r="V1935" s="378"/>
      <c r="W1935" s="64" ph="1"/>
      <c r="X1935" s="241"/>
      <c r="Y1935" s="284"/>
      <c r="Z1935" s="207"/>
      <c r="AA1935" s="284"/>
      <c r="AB1935" s="284"/>
      <c r="AC1935" s="284"/>
      <c r="AD1935" s="284"/>
      <c r="AE1935" s="284"/>
      <c r="AF1935" s="284"/>
      <c r="AG1935" s="284"/>
    </row>
    <row r="1936" spans="1:33" ht="26.4">
      <c r="A1936" s="284"/>
      <c r="B1936" s="284"/>
      <c r="C1936" s="284"/>
      <c r="D1936" s="284"/>
      <c r="E1936" s="284"/>
      <c r="F1936" s="284"/>
      <c r="G1936" s="284"/>
      <c r="H1936" s="284"/>
      <c r="I1936" s="284"/>
      <c r="J1936" s="375"/>
      <c r="K1936" s="375"/>
      <c r="L1936" s="375"/>
      <c r="M1936" s="368"/>
      <c r="N1936" s="368"/>
      <c r="O1936" s="370"/>
      <c r="T1936" s="349"/>
      <c r="V1936" s="378"/>
      <c r="W1936" s="64" ph="1"/>
      <c r="X1936" s="241"/>
      <c r="Y1936" s="284"/>
      <c r="Z1936" s="207"/>
      <c r="AA1936" s="284"/>
      <c r="AB1936" s="284"/>
      <c r="AC1936" s="284"/>
      <c r="AD1936" s="284"/>
      <c r="AE1936" s="284"/>
      <c r="AF1936" s="284"/>
      <c r="AG1936" s="284"/>
    </row>
    <row r="1937" spans="1:33" ht="26.4">
      <c r="A1937" s="284"/>
      <c r="B1937" s="284"/>
      <c r="C1937" s="284"/>
      <c r="D1937" s="284"/>
      <c r="E1937" s="284"/>
      <c r="F1937" s="284"/>
      <c r="G1937" s="284"/>
      <c r="H1937" s="284"/>
      <c r="I1937" s="284"/>
      <c r="J1937" s="375"/>
      <c r="K1937" s="375"/>
      <c r="L1937" s="375"/>
      <c r="M1937" s="368"/>
      <c r="N1937" s="368"/>
      <c r="O1937" s="370"/>
      <c r="T1937" s="349"/>
      <c r="V1937" s="378"/>
      <c r="W1937" s="64" ph="1"/>
      <c r="X1937" s="241"/>
      <c r="Y1937" s="284"/>
      <c r="Z1937" s="207"/>
      <c r="AA1937" s="284"/>
      <c r="AB1937" s="284"/>
      <c r="AC1937" s="284"/>
      <c r="AD1937" s="284"/>
      <c r="AE1937" s="284"/>
      <c r="AF1937" s="284"/>
      <c r="AG1937" s="284"/>
    </row>
    <row r="1938" spans="1:33" ht="26.4">
      <c r="A1938" s="284"/>
      <c r="B1938" s="284"/>
      <c r="C1938" s="284"/>
      <c r="D1938" s="284"/>
      <c r="E1938" s="284"/>
      <c r="F1938" s="284"/>
      <c r="G1938" s="284"/>
      <c r="H1938" s="284"/>
      <c r="I1938" s="284"/>
      <c r="J1938" s="375"/>
      <c r="K1938" s="375"/>
      <c r="L1938" s="375"/>
      <c r="M1938" s="368"/>
      <c r="N1938" s="368"/>
      <c r="O1938" s="370"/>
      <c r="T1938" s="349"/>
      <c r="V1938" s="378"/>
      <c r="W1938" s="64" ph="1"/>
      <c r="X1938" s="241"/>
      <c r="Y1938" s="284"/>
      <c r="Z1938" s="207"/>
      <c r="AA1938" s="284"/>
      <c r="AB1938" s="284"/>
      <c r="AC1938" s="284"/>
      <c r="AD1938" s="284"/>
      <c r="AE1938" s="284"/>
      <c r="AF1938" s="284"/>
      <c r="AG1938" s="284"/>
    </row>
    <row r="1939" spans="1:33" ht="26.4">
      <c r="A1939" s="284"/>
      <c r="B1939" s="284"/>
      <c r="C1939" s="284"/>
      <c r="D1939" s="284"/>
      <c r="E1939" s="284"/>
      <c r="F1939" s="284"/>
      <c r="G1939" s="284"/>
      <c r="H1939" s="284"/>
      <c r="I1939" s="284"/>
      <c r="J1939" s="375"/>
      <c r="K1939" s="375"/>
      <c r="L1939" s="375"/>
      <c r="M1939" s="368"/>
      <c r="N1939" s="368"/>
      <c r="O1939" s="370"/>
      <c r="T1939" s="349"/>
      <c r="V1939" s="378"/>
      <c r="W1939" s="64" ph="1"/>
      <c r="X1939" s="241"/>
      <c r="Y1939" s="284"/>
      <c r="Z1939" s="207"/>
      <c r="AA1939" s="284"/>
      <c r="AB1939" s="284"/>
      <c r="AC1939" s="284"/>
      <c r="AD1939" s="284"/>
      <c r="AE1939" s="284"/>
      <c r="AF1939" s="284"/>
      <c r="AG1939" s="284"/>
    </row>
    <row r="1940" spans="1:33" ht="26.4">
      <c r="A1940" s="284"/>
      <c r="B1940" s="284"/>
      <c r="C1940" s="284"/>
      <c r="D1940" s="284"/>
      <c r="E1940" s="284"/>
      <c r="F1940" s="284"/>
      <c r="G1940" s="284"/>
      <c r="H1940" s="284"/>
      <c r="I1940" s="284"/>
      <c r="J1940" s="375"/>
      <c r="K1940" s="375"/>
      <c r="L1940" s="375"/>
      <c r="M1940" s="368"/>
      <c r="N1940" s="368"/>
      <c r="O1940" s="370"/>
      <c r="T1940" s="349"/>
      <c r="V1940" s="378"/>
      <c r="W1940" s="64" ph="1"/>
      <c r="X1940" s="241"/>
      <c r="Y1940" s="284"/>
      <c r="Z1940" s="207"/>
      <c r="AA1940" s="284"/>
      <c r="AB1940" s="284"/>
      <c r="AC1940" s="284"/>
      <c r="AD1940" s="284"/>
      <c r="AE1940" s="284"/>
      <c r="AF1940" s="284"/>
      <c r="AG1940" s="284"/>
    </row>
    <row r="1941" spans="1:33" ht="26.4">
      <c r="A1941" s="284"/>
      <c r="B1941" s="284"/>
      <c r="C1941" s="284"/>
      <c r="D1941" s="284"/>
      <c r="E1941" s="284"/>
      <c r="F1941" s="284"/>
      <c r="G1941" s="284"/>
      <c r="H1941" s="284"/>
      <c r="I1941" s="284"/>
      <c r="J1941" s="375"/>
      <c r="K1941" s="375"/>
      <c r="L1941" s="375"/>
      <c r="M1941" s="368"/>
      <c r="N1941" s="368"/>
      <c r="O1941" s="370"/>
      <c r="T1941" s="349"/>
      <c r="V1941" s="378"/>
      <c r="W1941" s="64" ph="1"/>
      <c r="X1941" s="241"/>
      <c r="Y1941" s="284"/>
      <c r="Z1941" s="207"/>
      <c r="AA1941" s="284"/>
      <c r="AB1941" s="284"/>
      <c r="AC1941" s="284"/>
      <c r="AD1941" s="284"/>
      <c r="AE1941" s="284"/>
      <c r="AF1941" s="284"/>
      <c r="AG1941" s="284"/>
    </row>
    <row r="1942" spans="1:33" ht="26.4">
      <c r="A1942" s="284"/>
      <c r="B1942" s="284"/>
      <c r="C1942" s="284"/>
      <c r="D1942" s="284"/>
      <c r="E1942" s="284"/>
      <c r="F1942" s="284"/>
      <c r="G1942" s="284"/>
      <c r="H1942" s="284"/>
      <c r="I1942" s="284"/>
      <c r="J1942" s="375"/>
      <c r="K1942" s="375"/>
      <c r="L1942" s="375"/>
      <c r="M1942" s="368"/>
      <c r="N1942" s="368"/>
      <c r="O1942" s="370"/>
      <c r="T1942" s="349"/>
      <c r="V1942" s="378"/>
      <c r="W1942" s="64" ph="1"/>
      <c r="X1942" s="241"/>
      <c r="Y1942" s="284"/>
      <c r="Z1942" s="207"/>
      <c r="AA1942" s="284"/>
      <c r="AB1942" s="284"/>
      <c r="AC1942" s="284"/>
      <c r="AD1942" s="284"/>
      <c r="AE1942" s="284"/>
      <c r="AF1942" s="284"/>
      <c r="AG1942" s="284"/>
    </row>
    <row r="1943" spans="1:33" ht="26.4">
      <c r="A1943" s="284"/>
      <c r="B1943" s="284"/>
      <c r="C1943" s="284"/>
      <c r="D1943" s="284"/>
      <c r="E1943" s="284"/>
      <c r="F1943" s="284"/>
      <c r="G1943" s="284"/>
      <c r="H1943" s="284"/>
      <c r="I1943" s="284"/>
      <c r="J1943" s="375"/>
      <c r="K1943" s="375"/>
      <c r="L1943" s="375"/>
      <c r="M1943" s="368"/>
      <c r="N1943" s="368"/>
      <c r="O1943" s="370"/>
      <c r="T1943" s="349"/>
      <c r="V1943" s="378"/>
      <c r="W1943" s="64" ph="1"/>
      <c r="X1943" s="241"/>
      <c r="Y1943" s="284"/>
      <c r="Z1943" s="207"/>
      <c r="AA1943" s="284"/>
      <c r="AB1943" s="284"/>
      <c r="AC1943" s="284"/>
      <c r="AD1943" s="284"/>
      <c r="AE1943" s="284"/>
      <c r="AF1943" s="284"/>
      <c r="AG1943" s="284"/>
    </row>
    <row r="1944" spans="1:33" ht="26.4">
      <c r="A1944" s="284"/>
      <c r="B1944" s="284"/>
      <c r="C1944" s="284"/>
      <c r="D1944" s="284"/>
      <c r="E1944" s="284"/>
      <c r="F1944" s="284"/>
      <c r="G1944" s="284"/>
      <c r="H1944" s="284"/>
      <c r="I1944" s="284"/>
      <c r="J1944" s="375"/>
      <c r="K1944" s="375"/>
      <c r="L1944" s="375"/>
      <c r="M1944" s="368"/>
      <c r="N1944" s="368"/>
      <c r="O1944" s="370"/>
      <c r="T1944" s="349"/>
      <c r="V1944" s="378"/>
      <c r="W1944" s="64" ph="1"/>
      <c r="X1944" s="241"/>
      <c r="Y1944" s="284"/>
      <c r="Z1944" s="207"/>
      <c r="AA1944" s="284"/>
      <c r="AB1944" s="284"/>
      <c r="AC1944" s="284"/>
      <c r="AD1944" s="284"/>
      <c r="AE1944" s="284"/>
      <c r="AF1944" s="284"/>
      <c r="AG1944" s="284"/>
    </row>
    <row r="1945" spans="1:33" ht="26.4">
      <c r="A1945" s="284"/>
      <c r="B1945" s="284"/>
      <c r="C1945" s="284"/>
      <c r="D1945" s="284"/>
      <c r="E1945" s="284"/>
      <c r="F1945" s="284"/>
      <c r="G1945" s="284"/>
      <c r="H1945" s="284"/>
      <c r="I1945" s="284"/>
      <c r="J1945" s="375"/>
      <c r="K1945" s="375"/>
      <c r="L1945" s="375"/>
      <c r="M1945" s="368"/>
      <c r="N1945" s="368"/>
      <c r="O1945" s="370"/>
      <c r="T1945" s="349"/>
      <c r="V1945" s="378"/>
      <c r="W1945" s="64" ph="1"/>
      <c r="X1945" s="241"/>
      <c r="Y1945" s="284"/>
      <c r="Z1945" s="207"/>
      <c r="AA1945" s="284"/>
      <c r="AB1945" s="284"/>
      <c r="AC1945" s="284"/>
      <c r="AD1945" s="284"/>
      <c r="AE1945" s="284"/>
      <c r="AF1945" s="284"/>
      <c r="AG1945" s="284"/>
    </row>
    <row r="1946" spans="1:33" ht="26.4">
      <c r="A1946" s="284"/>
      <c r="B1946" s="284"/>
      <c r="C1946" s="284"/>
      <c r="D1946" s="284"/>
      <c r="E1946" s="284"/>
      <c r="F1946" s="284"/>
      <c r="G1946" s="284"/>
      <c r="H1946" s="284"/>
      <c r="I1946" s="284"/>
      <c r="J1946" s="375"/>
      <c r="K1946" s="375"/>
      <c r="L1946" s="375"/>
      <c r="M1946" s="368"/>
      <c r="N1946" s="368"/>
      <c r="O1946" s="370"/>
      <c r="T1946" s="349"/>
      <c r="V1946" s="378"/>
      <c r="W1946" s="64" ph="1"/>
      <c r="X1946" s="241"/>
      <c r="Y1946" s="284"/>
      <c r="Z1946" s="207"/>
      <c r="AA1946" s="284"/>
      <c r="AB1946" s="284"/>
      <c r="AC1946" s="284"/>
      <c r="AD1946" s="284"/>
      <c r="AE1946" s="284"/>
      <c r="AF1946" s="284"/>
      <c r="AG1946" s="284"/>
    </row>
    <row r="1947" spans="1:33" ht="26.4">
      <c r="A1947" s="284"/>
      <c r="B1947" s="284"/>
      <c r="C1947" s="284"/>
      <c r="D1947" s="284"/>
      <c r="E1947" s="284"/>
      <c r="F1947" s="284"/>
      <c r="G1947" s="284"/>
      <c r="H1947" s="284"/>
      <c r="I1947" s="284"/>
      <c r="J1947" s="375"/>
      <c r="K1947" s="375"/>
      <c r="L1947" s="375"/>
      <c r="M1947" s="368"/>
      <c r="N1947" s="368"/>
      <c r="O1947" s="370"/>
      <c r="T1947" s="349"/>
      <c r="V1947" s="378"/>
      <c r="W1947" s="64" ph="1"/>
      <c r="X1947" s="241"/>
      <c r="Y1947" s="284"/>
      <c r="Z1947" s="207"/>
      <c r="AA1947" s="284"/>
      <c r="AB1947" s="284"/>
      <c r="AC1947" s="284"/>
      <c r="AD1947" s="284"/>
      <c r="AE1947" s="284"/>
      <c r="AF1947" s="284"/>
      <c r="AG1947" s="284"/>
    </row>
    <row r="1948" spans="1:33" ht="26.4">
      <c r="A1948" s="284"/>
      <c r="B1948" s="284"/>
      <c r="C1948" s="284"/>
      <c r="D1948" s="284"/>
      <c r="E1948" s="284"/>
      <c r="F1948" s="284"/>
      <c r="G1948" s="284"/>
      <c r="H1948" s="284"/>
      <c r="I1948" s="284"/>
      <c r="J1948" s="375"/>
      <c r="K1948" s="375"/>
      <c r="L1948" s="375"/>
      <c r="M1948" s="368"/>
      <c r="N1948" s="368"/>
      <c r="O1948" s="370"/>
      <c r="T1948" s="349"/>
      <c r="V1948" s="378"/>
      <c r="W1948" s="64" ph="1"/>
      <c r="X1948" s="241"/>
      <c r="Y1948" s="284"/>
      <c r="Z1948" s="207"/>
      <c r="AA1948" s="284"/>
      <c r="AB1948" s="284"/>
      <c r="AC1948" s="284"/>
      <c r="AD1948" s="284"/>
      <c r="AE1948" s="284"/>
      <c r="AF1948" s="284"/>
      <c r="AG1948" s="284"/>
    </row>
    <row r="1949" spans="1:33" ht="26.4">
      <c r="A1949" s="284"/>
      <c r="B1949" s="284"/>
      <c r="C1949" s="284"/>
      <c r="D1949" s="284"/>
      <c r="E1949" s="284"/>
      <c r="F1949" s="284"/>
      <c r="G1949" s="284"/>
      <c r="H1949" s="284"/>
      <c r="I1949" s="284"/>
      <c r="J1949" s="375"/>
      <c r="K1949" s="375"/>
      <c r="L1949" s="375"/>
      <c r="M1949" s="368"/>
      <c r="N1949" s="368"/>
      <c r="O1949" s="370"/>
      <c r="T1949" s="349"/>
      <c r="V1949" s="378"/>
      <c r="W1949" s="64" ph="1"/>
      <c r="X1949" s="241"/>
      <c r="Y1949" s="284"/>
      <c r="Z1949" s="207"/>
      <c r="AA1949" s="284"/>
      <c r="AB1949" s="284"/>
      <c r="AC1949" s="284"/>
      <c r="AD1949" s="284"/>
      <c r="AE1949" s="284"/>
      <c r="AF1949" s="284"/>
      <c r="AG1949" s="284"/>
    </row>
    <row r="1950" spans="1:33" ht="26.4">
      <c r="A1950" s="284"/>
      <c r="B1950" s="284"/>
      <c r="C1950" s="284"/>
      <c r="D1950" s="284"/>
      <c r="E1950" s="284"/>
      <c r="F1950" s="284"/>
      <c r="G1950" s="284"/>
      <c r="H1950" s="284"/>
      <c r="I1950" s="284"/>
      <c r="J1950" s="375"/>
      <c r="K1950" s="375"/>
      <c r="L1950" s="375"/>
      <c r="M1950" s="368"/>
      <c r="N1950" s="368"/>
      <c r="O1950" s="370"/>
      <c r="T1950" s="349"/>
      <c r="V1950" s="378"/>
      <c r="W1950" s="64" ph="1"/>
      <c r="X1950" s="241"/>
      <c r="Y1950" s="284"/>
      <c r="Z1950" s="207"/>
      <c r="AA1950" s="284"/>
      <c r="AB1950" s="284"/>
      <c r="AC1950" s="284"/>
      <c r="AD1950" s="284"/>
      <c r="AE1950" s="284"/>
      <c r="AF1950" s="284"/>
      <c r="AG1950" s="284"/>
    </row>
    <row r="1951" spans="1:33" ht="26.4">
      <c r="A1951" s="284"/>
      <c r="B1951" s="284"/>
      <c r="C1951" s="284"/>
      <c r="D1951" s="284"/>
      <c r="E1951" s="284"/>
      <c r="F1951" s="284"/>
      <c r="G1951" s="284"/>
      <c r="H1951" s="284"/>
      <c r="I1951" s="284"/>
      <c r="J1951" s="375"/>
      <c r="K1951" s="375"/>
      <c r="L1951" s="375"/>
      <c r="M1951" s="368"/>
      <c r="N1951" s="368"/>
      <c r="O1951" s="370"/>
      <c r="T1951" s="349"/>
      <c r="V1951" s="378"/>
      <c r="W1951" s="64" ph="1"/>
      <c r="X1951" s="241"/>
      <c r="Y1951" s="284"/>
      <c r="Z1951" s="207"/>
      <c r="AA1951" s="284"/>
      <c r="AB1951" s="284"/>
      <c r="AC1951" s="284"/>
      <c r="AD1951" s="284"/>
      <c r="AE1951" s="284"/>
      <c r="AF1951" s="284"/>
      <c r="AG1951" s="284"/>
    </row>
    <row r="1952" spans="1:33" ht="26.4">
      <c r="A1952" s="284"/>
      <c r="B1952" s="284"/>
      <c r="C1952" s="284"/>
      <c r="D1952" s="284"/>
      <c r="E1952" s="284"/>
      <c r="F1952" s="284"/>
      <c r="G1952" s="284"/>
      <c r="H1952" s="284"/>
      <c r="I1952" s="284"/>
      <c r="J1952" s="375"/>
      <c r="K1952" s="375"/>
      <c r="L1952" s="375"/>
      <c r="M1952" s="368"/>
      <c r="N1952" s="368"/>
      <c r="O1952" s="370"/>
      <c r="T1952" s="349"/>
      <c r="V1952" s="378"/>
      <c r="W1952" s="64" ph="1"/>
      <c r="X1952" s="241"/>
      <c r="Y1952" s="284"/>
      <c r="Z1952" s="207"/>
      <c r="AA1952" s="284"/>
      <c r="AB1952" s="284"/>
      <c r="AC1952" s="284"/>
      <c r="AD1952" s="284"/>
      <c r="AE1952" s="284"/>
      <c r="AF1952" s="284"/>
      <c r="AG1952" s="284"/>
    </row>
    <row r="1953" spans="1:33" ht="26.4">
      <c r="A1953" s="284"/>
      <c r="B1953" s="284"/>
      <c r="C1953" s="284"/>
      <c r="D1953" s="284"/>
      <c r="E1953" s="284"/>
      <c r="F1953" s="284"/>
      <c r="G1953" s="284"/>
      <c r="H1953" s="284"/>
      <c r="I1953" s="284"/>
      <c r="J1953" s="375"/>
      <c r="K1953" s="375"/>
      <c r="L1953" s="375"/>
      <c r="M1953" s="368"/>
      <c r="N1953" s="368"/>
      <c r="O1953" s="370"/>
      <c r="T1953" s="349"/>
      <c r="V1953" s="378"/>
      <c r="W1953" s="64" ph="1"/>
      <c r="X1953" s="241"/>
      <c r="Y1953" s="284"/>
      <c r="Z1953" s="207"/>
      <c r="AA1953" s="284"/>
      <c r="AB1953" s="284"/>
      <c r="AC1953" s="284"/>
      <c r="AD1953" s="284"/>
      <c r="AE1953" s="284"/>
      <c r="AF1953" s="284"/>
      <c r="AG1953" s="284"/>
    </row>
    <row r="1954" spans="1:33" ht="26.4">
      <c r="A1954" s="284"/>
      <c r="B1954" s="284"/>
      <c r="C1954" s="284"/>
      <c r="D1954" s="284"/>
      <c r="E1954" s="284"/>
      <c r="F1954" s="284"/>
      <c r="G1954" s="284"/>
      <c r="H1954" s="284"/>
      <c r="I1954" s="284"/>
      <c r="J1954" s="375"/>
      <c r="K1954" s="375"/>
      <c r="L1954" s="375"/>
      <c r="M1954" s="368"/>
      <c r="N1954" s="368"/>
      <c r="O1954" s="370"/>
      <c r="T1954" s="349"/>
      <c r="V1954" s="378"/>
      <c r="W1954" s="64" ph="1"/>
      <c r="X1954" s="241"/>
      <c r="Y1954" s="284"/>
      <c r="Z1954" s="207"/>
      <c r="AA1954" s="284"/>
      <c r="AB1954" s="284"/>
      <c r="AC1954" s="284"/>
      <c r="AD1954" s="284"/>
      <c r="AE1954" s="284"/>
      <c r="AF1954" s="284"/>
      <c r="AG1954" s="284"/>
    </row>
    <row r="1955" spans="1:33" ht="26.4">
      <c r="A1955" s="284"/>
      <c r="B1955" s="284"/>
      <c r="C1955" s="284"/>
      <c r="D1955" s="284"/>
      <c r="E1955" s="284"/>
      <c r="F1955" s="284"/>
      <c r="G1955" s="284"/>
      <c r="H1955" s="284"/>
      <c r="I1955" s="284"/>
      <c r="J1955" s="375"/>
      <c r="K1955" s="375"/>
      <c r="L1955" s="375"/>
      <c r="M1955" s="368"/>
      <c r="N1955" s="368"/>
      <c r="O1955" s="370"/>
      <c r="T1955" s="349"/>
      <c r="V1955" s="378"/>
      <c r="W1955" s="64" ph="1"/>
      <c r="X1955" s="241"/>
      <c r="Y1955" s="284"/>
      <c r="Z1955" s="207"/>
      <c r="AA1955" s="284"/>
      <c r="AB1955" s="284"/>
      <c r="AC1955" s="284"/>
      <c r="AD1955" s="284"/>
      <c r="AE1955" s="284"/>
      <c r="AF1955" s="284"/>
      <c r="AG1955" s="284"/>
    </row>
    <row r="1956" spans="1:33" ht="26.4">
      <c r="A1956" s="284"/>
      <c r="B1956" s="284"/>
      <c r="C1956" s="284"/>
      <c r="D1956" s="284"/>
      <c r="E1956" s="284"/>
      <c r="F1956" s="284"/>
      <c r="G1956" s="284"/>
      <c r="H1956" s="284"/>
      <c r="I1956" s="284"/>
      <c r="J1956" s="375"/>
      <c r="K1956" s="375"/>
      <c r="L1956" s="375"/>
      <c r="M1956" s="368"/>
      <c r="N1956" s="368"/>
      <c r="O1956" s="370"/>
      <c r="T1956" s="349"/>
      <c r="V1956" s="378"/>
      <c r="W1956" s="64" ph="1"/>
      <c r="X1956" s="241"/>
      <c r="Y1956" s="284"/>
      <c r="Z1956" s="207"/>
      <c r="AA1956" s="284"/>
      <c r="AB1956" s="284"/>
      <c r="AC1956" s="284"/>
      <c r="AD1956" s="284"/>
      <c r="AE1956" s="284"/>
      <c r="AF1956" s="284"/>
      <c r="AG1956" s="284"/>
    </row>
    <row r="1957" spans="1:33" ht="26.4">
      <c r="A1957" s="284"/>
      <c r="B1957" s="284"/>
      <c r="C1957" s="284"/>
      <c r="D1957" s="284"/>
      <c r="E1957" s="284"/>
      <c r="F1957" s="284"/>
      <c r="G1957" s="284"/>
      <c r="H1957" s="284"/>
      <c r="I1957" s="284"/>
      <c r="J1957" s="375"/>
      <c r="K1957" s="375"/>
      <c r="L1957" s="375"/>
      <c r="M1957" s="368"/>
      <c r="N1957" s="368"/>
      <c r="O1957" s="370"/>
      <c r="T1957" s="349"/>
      <c r="V1957" s="378"/>
      <c r="W1957" s="64" ph="1"/>
      <c r="X1957" s="241"/>
      <c r="Y1957" s="284"/>
      <c r="Z1957" s="207"/>
      <c r="AA1957" s="284"/>
      <c r="AB1957" s="284"/>
      <c r="AC1957" s="284"/>
      <c r="AD1957" s="284"/>
      <c r="AE1957" s="284"/>
      <c r="AF1957" s="284"/>
      <c r="AG1957" s="284"/>
    </row>
    <row r="1958" spans="1:33" ht="26.4">
      <c r="A1958" s="284"/>
      <c r="B1958" s="284"/>
      <c r="C1958" s="284"/>
      <c r="D1958" s="284"/>
      <c r="E1958" s="284"/>
      <c r="F1958" s="284"/>
      <c r="G1958" s="284"/>
      <c r="H1958" s="284"/>
      <c r="I1958" s="284"/>
      <c r="J1958" s="375"/>
      <c r="K1958" s="375"/>
      <c r="L1958" s="375"/>
      <c r="M1958" s="368"/>
      <c r="N1958" s="368"/>
      <c r="O1958" s="370"/>
      <c r="T1958" s="349"/>
      <c r="V1958" s="378"/>
      <c r="W1958" s="64" ph="1"/>
      <c r="X1958" s="241"/>
      <c r="Y1958" s="284"/>
      <c r="Z1958" s="207"/>
      <c r="AA1958" s="284"/>
      <c r="AB1958" s="284"/>
      <c r="AC1958" s="284"/>
      <c r="AD1958" s="284"/>
      <c r="AE1958" s="284"/>
      <c r="AF1958" s="284"/>
      <c r="AG1958" s="284"/>
    </row>
    <row r="1959" spans="1:33" ht="26.4">
      <c r="A1959" s="284"/>
      <c r="B1959" s="284"/>
      <c r="C1959" s="284"/>
      <c r="D1959" s="284"/>
      <c r="E1959" s="284"/>
      <c r="F1959" s="284"/>
      <c r="G1959" s="284"/>
      <c r="H1959" s="284"/>
      <c r="I1959" s="284"/>
      <c r="J1959" s="375"/>
      <c r="K1959" s="375"/>
      <c r="L1959" s="375"/>
      <c r="M1959" s="368"/>
      <c r="N1959" s="368"/>
      <c r="O1959" s="370"/>
      <c r="T1959" s="349"/>
      <c r="V1959" s="378"/>
      <c r="W1959" s="64" ph="1"/>
      <c r="X1959" s="241"/>
      <c r="Y1959" s="284"/>
      <c r="Z1959" s="207"/>
      <c r="AA1959" s="284"/>
      <c r="AB1959" s="284"/>
      <c r="AC1959" s="284"/>
      <c r="AD1959" s="284"/>
      <c r="AE1959" s="284"/>
      <c r="AF1959" s="284"/>
      <c r="AG1959" s="284"/>
    </row>
    <row r="1960" spans="1:33" ht="26.4">
      <c r="A1960" s="284"/>
      <c r="B1960" s="284"/>
      <c r="C1960" s="284"/>
      <c r="D1960" s="284"/>
      <c r="E1960" s="284"/>
      <c r="F1960" s="284"/>
      <c r="G1960" s="284"/>
      <c r="H1960" s="284"/>
      <c r="I1960" s="284"/>
      <c r="J1960" s="375"/>
      <c r="K1960" s="375"/>
      <c r="L1960" s="375"/>
      <c r="M1960" s="368"/>
      <c r="N1960" s="368"/>
      <c r="O1960" s="370"/>
      <c r="T1960" s="349"/>
      <c r="V1960" s="378"/>
      <c r="W1960" s="64" ph="1"/>
      <c r="X1960" s="241"/>
      <c r="Y1960" s="284"/>
      <c r="Z1960" s="207"/>
      <c r="AA1960" s="284"/>
      <c r="AB1960" s="284"/>
      <c r="AC1960" s="284"/>
      <c r="AD1960" s="284"/>
      <c r="AE1960" s="284"/>
      <c r="AF1960" s="284"/>
      <c r="AG1960" s="284"/>
    </row>
    <row r="1961" spans="1:33" ht="26.4">
      <c r="A1961" s="284"/>
      <c r="B1961" s="284"/>
      <c r="C1961" s="284"/>
      <c r="D1961" s="284"/>
      <c r="E1961" s="284"/>
      <c r="F1961" s="284"/>
      <c r="G1961" s="284"/>
      <c r="H1961" s="284"/>
      <c r="I1961" s="284"/>
      <c r="J1961" s="375"/>
      <c r="K1961" s="375"/>
      <c r="L1961" s="375"/>
      <c r="M1961" s="368"/>
      <c r="N1961" s="368"/>
      <c r="O1961" s="370"/>
      <c r="T1961" s="349"/>
      <c r="V1961" s="378"/>
      <c r="W1961" s="64" ph="1"/>
      <c r="X1961" s="241"/>
      <c r="Y1961" s="284"/>
      <c r="Z1961" s="207"/>
      <c r="AA1961" s="284"/>
      <c r="AB1961" s="284"/>
      <c r="AC1961" s="284"/>
      <c r="AD1961" s="284"/>
      <c r="AE1961" s="284"/>
      <c r="AF1961" s="284"/>
      <c r="AG1961" s="284"/>
    </row>
    <row r="1962" spans="1:33" ht="26.4">
      <c r="A1962" s="284"/>
      <c r="B1962" s="284"/>
      <c r="C1962" s="284"/>
      <c r="D1962" s="284"/>
      <c r="E1962" s="284"/>
      <c r="F1962" s="284"/>
      <c r="G1962" s="284"/>
      <c r="H1962" s="284"/>
      <c r="I1962" s="284"/>
      <c r="J1962" s="375"/>
      <c r="K1962" s="375"/>
      <c r="L1962" s="375"/>
      <c r="M1962" s="368"/>
      <c r="N1962" s="368"/>
      <c r="O1962" s="370"/>
      <c r="T1962" s="349"/>
      <c r="V1962" s="378"/>
      <c r="W1962" s="64" ph="1"/>
      <c r="X1962" s="241"/>
      <c r="Y1962" s="284"/>
      <c r="Z1962" s="207"/>
      <c r="AA1962" s="284"/>
      <c r="AB1962" s="284"/>
      <c r="AC1962" s="284"/>
      <c r="AD1962" s="284"/>
      <c r="AE1962" s="284"/>
      <c r="AF1962" s="284"/>
      <c r="AG1962" s="284"/>
    </row>
    <row r="1963" spans="1:33" ht="26.4">
      <c r="A1963" s="284"/>
      <c r="B1963" s="284"/>
      <c r="C1963" s="284"/>
      <c r="D1963" s="284"/>
      <c r="E1963" s="284"/>
      <c r="F1963" s="284"/>
      <c r="G1963" s="284"/>
      <c r="H1963" s="284"/>
      <c r="I1963" s="284"/>
      <c r="J1963" s="375"/>
      <c r="K1963" s="375"/>
      <c r="L1963" s="375"/>
      <c r="M1963" s="368"/>
      <c r="N1963" s="368"/>
      <c r="O1963" s="370"/>
      <c r="T1963" s="349"/>
      <c r="V1963" s="378"/>
      <c r="W1963" s="64" ph="1"/>
      <c r="X1963" s="241"/>
      <c r="Y1963" s="284"/>
      <c r="Z1963" s="207"/>
      <c r="AA1963" s="284"/>
      <c r="AB1963" s="284"/>
      <c r="AC1963" s="284"/>
      <c r="AD1963" s="284"/>
      <c r="AE1963" s="284"/>
      <c r="AF1963" s="284"/>
      <c r="AG1963" s="284"/>
    </row>
    <row r="1964" spans="1:33" ht="26.4">
      <c r="A1964" s="284"/>
      <c r="B1964" s="284"/>
      <c r="C1964" s="284"/>
      <c r="D1964" s="284"/>
      <c r="E1964" s="284"/>
      <c r="F1964" s="284"/>
      <c r="G1964" s="284"/>
      <c r="H1964" s="284"/>
      <c r="I1964" s="284"/>
      <c r="J1964" s="375"/>
      <c r="K1964" s="375"/>
      <c r="L1964" s="375"/>
      <c r="M1964" s="368"/>
      <c r="N1964" s="368"/>
      <c r="O1964" s="370"/>
      <c r="T1964" s="349"/>
      <c r="V1964" s="378"/>
      <c r="W1964" s="64" ph="1"/>
      <c r="X1964" s="241"/>
      <c r="Y1964" s="284"/>
      <c r="Z1964" s="207"/>
      <c r="AA1964" s="284"/>
      <c r="AB1964" s="284"/>
      <c r="AC1964" s="284"/>
      <c r="AD1964" s="284"/>
      <c r="AE1964" s="284"/>
      <c r="AF1964" s="284"/>
      <c r="AG1964" s="284"/>
    </row>
    <row r="1965" spans="1:33" ht="26.4">
      <c r="A1965" s="284"/>
      <c r="B1965" s="284"/>
      <c r="C1965" s="284"/>
      <c r="D1965" s="284"/>
      <c r="E1965" s="284"/>
      <c r="F1965" s="284"/>
      <c r="G1965" s="284"/>
      <c r="H1965" s="284"/>
      <c r="I1965" s="284"/>
      <c r="J1965" s="375"/>
      <c r="K1965" s="375"/>
      <c r="L1965" s="375"/>
      <c r="M1965" s="368"/>
      <c r="N1965" s="368"/>
      <c r="O1965" s="370"/>
      <c r="T1965" s="349"/>
      <c r="V1965" s="378"/>
      <c r="W1965" s="64" ph="1"/>
      <c r="X1965" s="241"/>
      <c r="Y1965" s="284"/>
      <c r="Z1965" s="207"/>
      <c r="AA1965" s="284"/>
      <c r="AB1965" s="284"/>
      <c r="AC1965" s="284"/>
      <c r="AD1965" s="284"/>
      <c r="AE1965" s="284"/>
      <c r="AF1965" s="284"/>
      <c r="AG1965" s="284"/>
    </row>
    <row r="1966" spans="1:33" ht="26.4">
      <c r="A1966" s="284"/>
      <c r="B1966" s="284"/>
      <c r="C1966" s="284"/>
      <c r="D1966" s="284"/>
      <c r="E1966" s="284"/>
      <c r="F1966" s="284"/>
      <c r="G1966" s="284"/>
      <c r="H1966" s="284"/>
      <c r="I1966" s="284"/>
      <c r="J1966" s="375"/>
      <c r="K1966" s="375"/>
      <c r="L1966" s="375"/>
      <c r="M1966" s="368"/>
      <c r="N1966" s="368"/>
      <c r="O1966" s="370"/>
      <c r="T1966" s="349"/>
      <c r="V1966" s="378"/>
      <c r="W1966" s="64" ph="1"/>
      <c r="X1966" s="241"/>
      <c r="Y1966" s="284"/>
      <c r="Z1966" s="207"/>
      <c r="AA1966" s="284"/>
      <c r="AB1966" s="284"/>
      <c r="AC1966" s="284"/>
      <c r="AD1966" s="284"/>
      <c r="AE1966" s="284"/>
      <c r="AF1966" s="284"/>
      <c r="AG1966" s="284"/>
    </row>
    <row r="1967" spans="1:33" ht="26.4">
      <c r="A1967" s="284"/>
      <c r="B1967" s="284"/>
      <c r="C1967" s="284"/>
      <c r="D1967" s="284"/>
      <c r="E1967" s="284"/>
      <c r="F1967" s="284"/>
      <c r="G1967" s="284"/>
      <c r="H1967" s="284"/>
      <c r="I1967" s="284"/>
      <c r="J1967" s="375"/>
      <c r="K1967" s="375"/>
      <c r="L1967" s="375"/>
      <c r="M1967" s="368"/>
      <c r="N1967" s="368"/>
      <c r="O1967" s="370"/>
      <c r="T1967" s="349"/>
      <c r="V1967" s="378"/>
      <c r="W1967" s="64" ph="1"/>
      <c r="X1967" s="241"/>
      <c r="Y1967" s="284"/>
      <c r="Z1967" s="207"/>
      <c r="AA1967" s="284"/>
      <c r="AB1967" s="284"/>
      <c r="AC1967" s="284"/>
      <c r="AD1967" s="284"/>
      <c r="AE1967" s="284"/>
      <c r="AF1967" s="284"/>
      <c r="AG1967" s="284"/>
    </row>
    <row r="1968" spans="1:33" ht="26.4">
      <c r="A1968" s="284"/>
      <c r="B1968" s="284"/>
      <c r="C1968" s="284"/>
      <c r="D1968" s="284"/>
      <c r="E1968" s="284"/>
      <c r="F1968" s="284"/>
      <c r="G1968" s="284"/>
      <c r="H1968" s="284"/>
      <c r="I1968" s="284"/>
      <c r="J1968" s="375"/>
      <c r="K1968" s="375"/>
      <c r="L1968" s="375"/>
      <c r="M1968" s="368"/>
      <c r="N1968" s="368"/>
      <c r="O1968" s="370"/>
      <c r="T1968" s="349"/>
      <c r="V1968" s="378"/>
      <c r="W1968" s="64" ph="1"/>
      <c r="X1968" s="241"/>
      <c r="Y1968" s="284"/>
      <c r="Z1968" s="207"/>
      <c r="AA1968" s="284"/>
      <c r="AB1968" s="284"/>
      <c r="AC1968" s="284"/>
      <c r="AD1968" s="284"/>
      <c r="AE1968" s="284"/>
      <c r="AF1968" s="284"/>
      <c r="AG1968" s="284"/>
    </row>
    <row r="1969" spans="1:33" ht="26.4">
      <c r="A1969" s="284"/>
      <c r="B1969" s="284"/>
      <c r="C1969" s="284"/>
      <c r="D1969" s="284"/>
      <c r="E1969" s="284"/>
      <c r="F1969" s="284"/>
      <c r="G1969" s="284"/>
      <c r="H1969" s="284"/>
      <c r="I1969" s="284"/>
      <c r="J1969" s="375"/>
      <c r="K1969" s="375"/>
      <c r="L1969" s="375"/>
      <c r="M1969" s="368"/>
      <c r="N1969" s="368"/>
      <c r="O1969" s="370"/>
      <c r="T1969" s="349"/>
      <c r="V1969" s="378"/>
      <c r="W1969" s="64" ph="1"/>
      <c r="X1969" s="241"/>
      <c r="Y1969" s="284"/>
      <c r="Z1969" s="207"/>
      <c r="AA1969" s="284"/>
      <c r="AB1969" s="284"/>
      <c r="AC1969" s="284"/>
      <c r="AD1969" s="284"/>
      <c r="AE1969" s="284"/>
      <c r="AF1969" s="284"/>
      <c r="AG1969" s="284"/>
    </row>
    <row r="1970" spans="1:33" ht="26.4">
      <c r="A1970" s="284"/>
      <c r="B1970" s="284"/>
      <c r="C1970" s="284"/>
      <c r="D1970" s="284"/>
      <c r="E1970" s="284"/>
      <c r="F1970" s="284"/>
      <c r="G1970" s="284"/>
      <c r="H1970" s="284"/>
      <c r="I1970" s="284"/>
      <c r="J1970" s="375"/>
      <c r="K1970" s="375"/>
      <c r="L1970" s="375"/>
      <c r="M1970" s="368"/>
      <c r="N1970" s="368"/>
      <c r="O1970" s="370"/>
      <c r="T1970" s="349"/>
      <c r="V1970" s="378"/>
      <c r="W1970" s="64" ph="1"/>
      <c r="X1970" s="241"/>
      <c r="Y1970" s="284"/>
      <c r="Z1970" s="207"/>
      <c r="AA1970" s="284"/>
      <c r="AB1970" s="284"/>
      <c r="AC1970" s="284"/>
      <c r="AD1970" s="284"/>
      <c r="AE1970" s="284"/>
      <c r="AF1970" s="284"/>
      <c r="AG1970" s="284"/>
    </row>
    <row r="1971" spans="1:33" ht="26.4">
      <c r="A1971" s="284"/>
      <c r="B1971" s="284"/>
      <c r="C1971" s="284"/>
      <c r="D1971" s="284"/>
      <c r="E1971" s="284"/>
      <c r="F1971" s="284"/>
      <c r="G1971" s="284"/>
      <c r="H1971" s="284"/>
      <c r="I1971" s="284"/>
      <c r="J1971" s="375"/>
      <c r="K1971" s="375"/>
      <c r="L1971" s="375"/>
      <c r="M1971" s="368"/>
      <c r="N1971" s="368"/>
      <c r="O1971" s="370"/>
      <c r="T1971" s="349"/>
      <c r="V1971" s="378"/>
      <c r="W1971" s="64" ph="1"/>
      <c r="X1971" s="241"/>
      <c r="Y1971" s="284"/>
      <c r="Z1971" s="207"/>
      <c r="AA1971" s="284"/>
      <c r="AB1971" s="284"/>
      <c r="AC1971" s="284"/>
      <c r="AD1971" s="284"/>
      <c r="AE1971" s="284"/>
      <c r="AF1971" s="284"/>
      <c r="AG1971" s="284"/>
    </row>
    <row r="1972" spans="1:33" ht="26.4">
      <c r="A1972" s="284"/>
      <c r="B1972" s="284"/>
      <c r="C1972" s="284"/>
      <c r="D1972" s="284"/>
      <c r="E1972" s="284"/>
      <c r="F1972" s="284"/>
      <c r="G1972" s="284"/>
      <c r="H1972" s="284"/>
      <c r="I1972" s="284"/>
      <c r="J1972" s="375"/>
      <c r="K1972" s="375"/>
      <c r="L1972" s="375"/>
      <c r="M1972" s="368"/>
      <c r="N1972" s="368"/>
      <c r="O1972" s="370"/>
      <c r="T1972" s="349"/>
      <c r="V1972" s="378"/>
      <c r="W1972" s="64" ph="1"/>
      <c r="X1972" s="241"/>
      <c r="Y1972" s="284"/>
      <c r="Z1972" s="207"/>
      <c r="AA1972" s="284"/>
      <c r="AB1972" s="284"/>
      <c r="AC1972" s="284"/>
      <c r="AD1972" s="284"/>
      <c r="AE1972" s="284"/>
      <c r="AF1972" s="284"/>
      <c r="AG1972" s="284"/>
    </row>
    <row r="1973" spans="1:33" ht="26.4">
      <c r="A1973" s="284"/>
      <c r="B1973" s="284"/>
      <c r="C1973" s="284"/>
      <c r="D1973" s="284"/>
      <c r="E1973" s="284"/>
      <c r="F1973" s="284"/>
      <c r="G1973" s="284"/>
      <c r="H1973" s="284"/>
      <c r="I1973" s="284"/>
      <c r="J1973" s="375"/>
      <c r="K1973" s="375"/>
      <c r="L1973" s="375"/>
      <c r="M1973" s="368"/>
      <c r="N1973" s="368"/>
      <c r="O1973" s="370"/>
      <c r="T1973" s="349"/>
      <c r="V1973" s="378"/>
      <c r="W1973" s="64" ph="1"/>
      <c r="X1973" s="241"/>
      <c r="Y1973" s="284"/>
      <c r="Z1973" s="207"/>
      <c r="AA1973" s="284"/>
      <c r="AB1973" s="284"/>
      <c r="AC1973" s="284"/>
      <c r="AD1973" s="284"/>
      <c r="AE1973" s="284"/>
      <c r="AF1973" s="284"/>
      <c r="AG1973" s="284"/>
    </row>
    <row r="1974" spans="1:33" ht="26.4">
      <c r="A1974" s="284"/>
      <c r="B1974" s="284"/>
      <c r="C1974" s="284"/>
      <c r="D1974" s="284"/>
      <c r="E1974" s="284"/>
      <c r="F1974" s="284"/>
      <c r="G1974" s="284"/>
      <c r="H1974" s="284"/>
      <c r="I1974" s="284"/>
      <c r="J1974" s="375"/>
      <c r="K1974" s="375"/>
      <c r="L1974" s="375"/>
      <c r="M1974" s="368"/>
      <c r="N1974" s="368"/>
      <c r="O1974" s="370"/>
      <c r="T1974" s="349"/>
      <c r="V1974" s="378"/>
      <c r="W1974" s="64" ph="1"/>
      <c r="X1974" s="241"/>
      <c r="Y1974" s="284"/>
      <c r="Z1974" s="207"/>
      <c r="AA1974" s="284"/>
      <c r="AB1974" s="284"/>
      <c r="AC1974" s="284"/>
      <c r="AD1974" s="284"/>
      <c r="AE1974" s="284"/>
      <c r="AF1974" s="284"/>
      <c r="AG1974" s="284"/>
    </row>
    <row r="1975" spans="1:33" ht="26.4">
      <c r="A1975" s="284"/>
      <c r="B1975" s="284"/>
      <c r="C1975" s="284"/>
      <c r="D1975" s="284"/>
      <c r="E1975" s="284"/>
      <c r="F1975" s="284"/>
      <c r="G1975" s="284"/>
      <c r="H1975" s="284"/>
      <c r="I1975" s="284"/>
      <c r="J1975" s="375"/>
      <c r="K1975" s="375"/>
      <c r="L1975" s="375"/>
      <c r="M1975" s="368"/>
      <c r="N1975" s="368"/>
      <c r="O1975" s="370"/>
      <c r="T1975" s="349"/>
      <c r="V1975" s="378"/>
      <c r="W1975" s="64" ph="1"/>
      <c r="X1975" s="241"/>
      <c r="Y1975" s="284"/>
      <c r="Z1975" s="207"/>
      <c r="AA1975" s="284"/>
      <c r="AB1975" s="284"/>
      <c r="AC1975" s="284"/>
      <c r="AD1975" s="284"/>
      <c r="AE1975" s="284"/>
      <c r="AF1975" s="284"/>
      <c r="AG1975" s="284"/>
    </row>
    <row r="1976" spans="1:33" ht="26.4">
      <c r="A1976" s="284"/>
      <c r="B1976" s="284"/>
      <c r="C1976" s="284"/>
      <c r="D1976" s="284"/>
      <c r="E1976" s="284"/>
      <c r="F1976" s="284"/>
      <c r="G1976" s="284"/>
      <c r="H1976" s="284"/>
      <c r="I1976" s="284"/>
      <c r="J1976" s="375"/>
      <c r="K1976" s="375"/>
      <c r="L1976" s="375"/>
      <c r="M1976" s="368"/>
      <c r="N1976" s="368"/>
      <c r="O1976" s="370"/>
      <c r="T1976" s="349"/>
      <c r="V1976" s="378"/>
      <c r="W1976" s="64" ph="1"/>
      <c r="X1976" s="241"/>
      <c r="Y1976" s="284"/>
      <c r="Z1976" s="207"/>
      <c r="AA1976" s="284"/>
      <c r="AB1976" s="284"/>
      <c r="AC1976" s="284"/>
      <c r="AD1976" s="284"/>
      <c r="AE1976" s="284"/>
      <c r="AF1976" s="284"/>
      <c r="AG1976" s="284"/>
    </row>
    <row r="1977" spans="1:33" ht="26.4">
      <c r="A1977" s="284"/>
      <c r="B1977" s="284"/>
      <c r="C1977" s="284"/>
      <c r="D1977" s="284"/>
      <c r="E1977" s="284"/>
      <c r="F1977" s="284"/>
      <c r="G1977" s="284"/>
      <c r="H1977" s="284"/>
      <c r="I1977" s="284"/>
      <c r="J1977" s="375"/>
      <c r="K1977" s="375"/>
      <c r="L1977" s="375"/>
      <c r="M1977" s="368"/>
      <c r="N1977" s="368"/>
      <c r="O1977" s="370"/>
      <c r="T1977" s="349"/>
      <c r="V1977" s="378"/>
      <c r="W1977" s="64" ph="1"/>
      <c r="X1977" s="241"/>
      <c r="Y1977" s="284"/>
      <c r="Z1977" s="207"/>
      <c r="AA1977" s="284"/>
      <c r="AB1977" s="284"/>
      <c r="AC1977" s="284"/>
      <c r="AD1977" s="284"/>
      <c r="AE1977" s="284"/>
      <c r="AF1977" s="284"/>
      <c r="AG1977" s="284"/>
    </row>
    <row r="1978" spans="1:33" ht="26.4">
      <c r="A1978" s="284"/>
      <c r="B1978" s="284"/>
      <c r="C1978" s="284"/>
      <c r="D1978" s="284"/>
      <c r="E1978" s="284"/>
      <c r="F1978" s="284"/>
      <c r="G1978" s="284"/>
      <c r="H1978" s="284"/>
      <c r="I1978" s="284"/>
      <c r="J1978" s="375"/>
      <c r="K1978" s="375"/>
      <c r="L1978" s="375"/>
      <c r="M1978" s="368"/>
      <c r="N1978" s="368"/>
      <c r="O1978" s="370"/>
      <c r="T1978" s="349"/>
      <c r="V1978" s="378"/>
      <c r="W1978" s="64" ph="1"/>
      <c r="X1978" s="241"/>
      <c r="Y1978" s="284"/>
      <c r="Z1978" s="207"/>
      <c r="AA1978" s="284"/>
      <c r="AB1978" s="284"/>
      <c r="AC1978" s="284"/>
      <c r="AD1978" s="284"/>
      <c r="AE1978" s="284"/>
      <c r="AF1978" s="284"/>
      <c r="AG1978" s="284"/>
    </row>
    <row r="1979" spans="1:33" ht="26.4">
      <c r="A1979" s="284"/>
      <c r="B1979" s="284"/>
      <c r="C1979" s="284"/>
      <c r="D1979" s="284"/>
      <c r="E1979" s="284"/>
      <c r="F1979" s="284"/>
      <c r="G1979" s="284"/>
      <c r="H1979" s="284"/>
      <c r="I1979" s="284"/>
      <c r="J1979" s="375"/>
      <c r="K1979" s="375"/>
      <c r="L1979" s="375"/>
      <c r="M1979" s="368"/>
      <c r="N1979" s="368"/>
      <c r="O1979" s="370"/>
      <c r="T1979" s="349"/>
      <c r="V1979" s="378"/>
      <c r="W1979" s="64" ph="1"/>
      <c r="X1979" s="241"/>
      <c r="Y1979" s="284"/>
      <c r="Z1979" s="207"/>
      <c r="AA1979" s="284"/>
      <c r="AB1979" s="284"/>
      <c r="AC1979" s="284"/>
      <c r="AD1979" s="284"/>
      <c r="AE1979" s="284"/>
      <c r="AF1979" s="284"/>
      <c r="AG1979" s="284"/>
    </row>
    <row r="1980" spans="1:33" ht="26.4">
      <c r="A1980" s="284"/>
      <c r="B1980" s="284"/>
      <c r="C1980" s="284"/>
      <c r="D1980" s="284"/>
      <c r="E1980" s="284"/>
      <c r="F1980" s="284"/>
      <c r="G1980" s="284"/>
      <c r="H1980" s="284"/>
      <c r="I1980" s="284"/>
      <c r="J1980" s="375"/>
      <c r="K1980" s="375"/>
      <c r="L1980" s="375"/>
      <c r="M1980" s="368"/>
      <c r="N1980" s="368"/>
      <c r="O1980" s="370"/>
      <c r="T1980" s="349"/>
      <c r="V1980" s="378"/>
      <c r="W1980" s="64" ph="1"/>
      <c r="X1980" s="241"/>
      <c r="Y1980" s="284"/>
      <c r="Z1980" s="207"/>
      <c r="AA1980" s="284"/>
      <c r="AB1980" s="284"/>
      <c r="AC1980" s="284"/>
      <c r="AD1980" s="284"/>
      <c r="AE1980" s="284"/>
      <c r="AF1980" s="284"/>
      <c r="AG1980" s="284"/>
    </row>
    <row r="1981" spans="1:33" ht="26.4">
      <c r="A1981" s="284"/>
      <c r="B1981" s="284"/>
      <c r="C1981" s="284"/>
      <c r="D1981" s="284"/>
      <c r="E1981" s="284"/>
      <c r="F1981" s="284"/>
      <c r="G1981" s="284"/>
      <c r="H1981" s="284"/>
      <c r="I1981" s="284"/>
      <c r="J1981" s="375"/>
      <c r="K1981" s="375"/>
      <c r="L1981" s="375"/>
      <c r="M1981" s="368"/>
      <c r="N1981" s="368"/>
      <c r="O1981" s="370"/>
      <c r="T1981" s="349"/>
      <c r="V1981" s="378"/>
      <c r="W1981" s="64" ph="1"/>
      <c r="X1981" s="241"/>
      <c r="Y1981" s="284"/>
      <c r="Z1981" s="207"/>
      <c r="AA1981" s="284"/>
      <c r="AB1981" s="284"/>
      <c r="AC1981" s="284"/>
      <c r="AD1981" s="284"/>
      <c r="AE1981" s="284"/>
      <c r="AF1981" s="284"/>
      <c r="AG1981" s="284"/>
    </row>
    <row r="1982" spans="1:33" ht="26.4">
      <c r="A1982" s="284"/>
      <c r="B1982" s="284"/>
      <c r="C1982" s="284"/>
      <c r="D1982" s="284"/>
      <c r="E1982" s="284"/>
      <c r="F1982" s="284"/>
      <c r="G1982" s="284"/>
      <c r="H1982" s="284"/>
      <c r="I1982" s="284"/>
      <c r="J1982" s="375"/>
      <c r="K1982" s="375"/>
      <c r="L1982" s="375"/>
      <c r="M1982" s="368"/>
      <c r="N1982" s="368"/>
      <c r="O1982" s="370"/>
      <c r="T1982" s="349"/>
      <c r="V1982" s="378"/>
      <c r="W1982" s="64" ph="1"/>
      <c r="X1982" s="241"/>
      <c r="Y1982" s="284"/>
      <c r="Z1982" s="207"/>
      <c r="AA1982" s="284"/>
      <c r="AB1982" s="284"/>
      <c r="AC1982" s="284"/>
      <c r="AD1982" s="284"/>
      <c r="AE1982" s="284"/>
      <c r="AF1982" s="284"/>
      <c r="AG1982" s="284"/>
    </row>
    <row r="1983" spans="1:33" ht="26.4">
      <c r="A1983" s="284"/>
      <c r="B1983" s="284"/>
      <c r="C1983" s="284"/>
      <c r="D1983" s="284"/>
      <c r="E1983" s="284"/>
      <c r="F1983" s="284"/>
      <c r="G1983" s="284"/>
      <c r="H1983" s="284"/>
      <c r="I1983" s="284"/>
      <c r="J1983" s="375"/>
      <c r="K1983" s="375"/>
      <c r="L1983" s="375"/>
      <c r="M1983" s="368"/>
      <c r="N1983" s="368"/>
      <c r="O1983" s="370"/>
      <c r="T1983" s="349"/>
      <c r="V1983" s="378"/>
      <c r="W1983" s="64" ph="1"/>
      <c r="X1983" s="241"/>
      <c r="Y1983" s="284"/>
      <c r="Z1983" s="207"/>
      <c r="AA1983" s="284"/>
      <c r="AB1983" s="284"/>
      <c r="AC1983" s="284"/>
      <c r="AD1983" s="284"/>
      <c r="AE1983" s="284"/>
      <c r="AF1983" s="284"/>
      <c r="AG1983" s="284"/>
    </row>
    <row r="1984" spans="1:33" ht="26.4">
      <c r="A1984" s="284"/>
      <c r="B1984" s="284"/>
      <c r="C1984" s="284"/>
      <c r="D1984" s="284"/>
      <c r="E1984" s="284"/>
      <c r="F1984" s="284"/>
      <c r="G1984" s="284"/>
      <c r="H1984" s="284"/>
      <c r="I1984" s="284"/>
      <c r="J1984" s="375"/>
      <c r="K1984" s="375"/>
      <c r="L1984" s="375"/>
      <c r="M1984" s="368"/>
      <c r="N1984" s="368"/>
      <c r="O1984" s="370"/>
      <c r="T1984" s="349"/>
      <c r="V1984" s="378"/>
      <c r="W1984" s="64" ph="1"/>
      <c r="X1984" s="241"/>
      <c r="Y1984" s="284"/>
      <c r="Z1984" s="207"/>
      <c r="AA1984" s="284"/>
      <c r="AB1984" s="284"/>
      <c r="AC1984" s="284"/>
      <c r="AD1984" s="284"/>
      <c r="AE1984" s="284"/>
      <c r="AF1984" s="284"/>
      <c r="AG1984" s="284"/>
    </row>
    <row r="1985" spans="1:33" ht="26.4">
      <c r="A1985" s="284"/>
      <c r="B1985" s="284"/>
      <c r="C1985" s="284"/>
      <c r="D1985" s="284"/>
      <c r="E1985" s="284"/>
      <c r="F1985" s="284"/>
      <c r="G1985" s="284"/>
      <c r="H1985" s="284"/>
      <c r="I1985" s="284"/>
      <c r="J1985" s="375"/>
      <c r="K1985" s="375"/>
      <c r="L1985" s="375"/>
      <c r="M1985" s="368"/>
      <c r="N1985" s="368"/>
      <c r="O1985" s="370"/>
      <c r="T1985" s="349"/>
      <c r="V1985" s="378"/>
      <c r="W1985" s="64" ph="1"/>
      <c r="X1985" s="241"/>
      <c r="Y1985" s="284"/>
      <c r="Z1985" s="207"/>
      <c r="AA1985" s="284"/>
      <c r="AB1985" s="284"/>
      <c r="AC1985" s="284"/>
      <c r="AD1985" s="284"/>
      <c r="AE1985" s="284"/>
      <c r="AF1985" s="284"/>
      <c r="AG1985" s="284"/>
    </row>
    <row r="1986" spans="1:33" ht="26.4">
      <c r="A1986" s="284"/>
      <c r="B1986" s="284"/>
      <c r="C1986" s="284"/>
      <c r="D1986" s="284"/>
      <c r="E1986" s="284"/>
      <c r="F1986" s="284"/>
      <c r="G1986" s="284"/>
      <c r="H1986" s="284"/>
      <c r="I1986" s="284"/>
      <c r="J1986" s="375"/>
      <c r="K1986" s="375"/>
      <c r="L1986" s="375"/>
      <c r="M1986" s="368"/>
      <c r="N1986" s="368"/>
      <c r="O1986" s="370"/>
      <c r="T1986" s="349"/>
      <c r="V1986" s="378"/>
      <c r="W1986" s="64" ph="1"/>
      <c r="X1986" s="241"/>
      <c r="Y1986" s="284"/>
      <c r="Z1986" s="207"/>
      <c r="AA1986" s="284"/>
      <c r="AB1986" s="284"/>
      <c r="AC1986" s="284"/>
      <c r="AD1986" s="284"/>
      <c r="AE1986" s="284"/>
      <c r="AF1986" s="284"/>
      <c r="AG1986" s="284"/>
    </row>
    <row r="1987" spans="1:33" ht="26.4">
      <c r="A1987" s="284"/>
      <c r="B1987" s="284"/>
      <c r="C1987" s="284"/>
      <c r="D1987" s="284"/>
      <c r="E1987" s="284"/>
      <c r="F1987" s="284"/>
      <c r="G1987" s="284"/>
      <c r="H1987" s="284"/>
      <c r="I1987" s="284"/>
      <c r="J1987" s="375"/>
      <c r="K1987" s="375"/>
      <c r="L1987" s="375"/>
      <c r="M1987" s="368"/>
      <c r="N1987" s="368"/>
      <c r="O1987" s="370"/>
      <c r="T1987" s="349"/>
      <c r="V1987" s="378"/>
      <c r="W1987" s="64" ph="1"/>
      <c r="X1987" s="241"/>
      <c r="Y1987" s="284"/>
      <c r="Z1987" s="207"/>
      <c r="AA1987" s="284"/>
      <c r="AB1987" s="284"/>
      <c r="AC1987" s="284"/>
      <c r="AD1987" s="284"/>
      <c r="AE1987" s="284"/>
      <c r="AF1987" s="284"/>
      <c r="AG1987" s="284"/>
    </row>
    <row r="1988" spans="1:33" ht="26.4">
      <c r="A1988" s="284"/>
      <c r="B1988" s="284"/>
      <c r="C1988" s="284"/>
      <c r="D1988" s="284"/>
      <c r="E1988" s="284"/>
      <c r="F1988" s="284"/>
      <c r="G1988" s="284"/>
      <c r="H1988" s="284"/>
      <c r="I1988" s="284"/>
      <c r="J1988" s="375"/>
      <c r="K1988" s="375"/>
      <c r="L1988" s="375"/>
      <c r="M1988" s="368"/>
      <c r="N1988" s="368"/>
      <c r="O1988" s="370"/>
      <c r="T1988" s="349"/>
      <c r="V1988" s="378"/>
      <c r="W1988" s="64" ph="1"/>
      <c r="X1988" s="241"/>
      <c r="Y1988" s="284"/>
      <c r="Z1988" s="207"/>
      <c r="AA1988" s="284"/>
      <c r="AB1988" s="284"/>
      <c r="AC1988" s="284"/>
      <c r="AD1988" s="284"/>
      <c r="AE1988" s="284"/>
      <c r="AF1988" s="284"/>
      <c r="AG1988" s="284"/>
    </row>
    <row r="1989" spans="1:33" ht="26.4">
      <c r="A1989" s="284"/>
      <c r="B1989" s="284"/>
      <c r="C1989" s="284"/>
      <c r="D1989" s="284"/>
      <c r="E1989" s="284"/>
      <c r="F1989" s="284"/>
      <c r="G1989" s="284"/>
      <c r="H1989" s="284"/>
      <c r="I1989" s="284"/>
      <c r="J1989" s="375"/>
      <c r="K1989" s="375"/>
      <c r="L1989" s="375"/>
      <c r="M1989" s="368"/>
      <c r="N1989" s="368"/>
      <c r="O1989" s="370"/>
      <c r="T1989" s="349"/>
      <c r="V1989" s="378"/>
      <c r="W1989" s="64" ph="1"/>
      <c r="X1989" s="241"/>
      <c r="Y1989" s="284"/>
      <c r="Z1989" s="207"/>
      <c r="AA1989" s="284"/>
      <c r="AB1989" s="284"/>
      <c r="AC1989" s="284"/>
      <c r="AD1989" s="284"/>
      <c r="AE1989" s="284"/>
      <c r="AF1989" s="284"/>
      <c r="AG1989" s="284"/>
    </row>
    <row r="1990" spans="1:33" ht="26.4">
      <c r="A1990" s="284"/>
      <c r="B1990" s="284"/>
      <c r="C1990" s="284"/>
      <c r="D1990" s="284"/>
      <c r="E1990" s="284"/>
      <c r="F1990" s="284"/>
      <c r="G1990" s="284"/>
      <c r="H1990" s="284"/>
      <c r="I1990" s="284"/>
      <c r="J1990" s="375"/>
      <c r="K1990" s="375"/>
      <c r="L1990" s="375"/>
      <c r="M1990" s="368"/>
      <c r="N1990" s="368"/>
      <c r="O1990" s="370"/>
      <c r="T1990" s="349"/>
      <c r="V1990" s="378"/>
      <c r="W1990" s="64" ph="1"/>
      <c r="X1990" s="241"/>
      <c r="Y1990" s="284"/>
      <c r="Z1990" s="207"/>
      <c r="AA1990" s="284"/>
      <c r="AB1990" s="284"/>
      <c r="AC1990" s="284"/>
      <c r="AD1990" s="284"/>
      <c r="AE1990" s="284"/>
      <c r="AF1990" s="284"/>
      <c r="AG1990" s="284"/>
    </row>
    <row r="1991" spans="1:33" ht="26.4">
      <c r="A1991" s="284"/>
      <c r="B1991" s="284"/>
      <c r="C1991" s="284"/>
      <c r="D1991" s="284"/>
      <c r="E1991" s="284"/>
      <c r="F1991" s="284"/>
      <c r="G1991" s="284"/>
      <c r="H1991" s="284"/>
      <c r="I1991" s="284"/>
      <c r="J1991" s="375"/>
      <c r="K1991" s="375"/>
      <c r="L1991" s="375"/>
      <c r="M1991" s="368"/>
      <c r="N1991" s="368"/>
      <c r="O1991" s="370"/>
      <c r="T1991" s="349"/>
      <c r="V1991" s="378"/>
      <c r="W1991" s="64" ph="1"/>
      <c r="X1991" s="241"/>
      <c r="Y1991" s="284"/>
      <c r="Z1991" s="207"/>
      <c r="AA1991" s="284"/>
      <c r="AB1991" s="284"/>
      <c r="AC1991" s="284"/>
      <c r="AD1991" s="284"/>
      <c r="AE1991" s="284"/>
      <c r="AF1991" s="284"/>
      <c r="AG1991" s="284"/>
    </row>
    <row r="1992" spans="1:33" ht="26.4">
      <c r="A1992" s="284"/>
      <c r="B1992" s="284"/>
      <c r="C1992" s="284"/>
      <c r="D1992" s="284"/>
      <c r="E1992" s="284"/>
      <c r="F1992" s="284"/>
      <c r="G1992" s="284"/>
      <c r="H1992" s="284"/>
      <c r="I1992" s="284"/>
      <c r="J1992" s="375"/>
      <c r="K1992" s="375"/>
      <c r="L1992" s="375"/>
      <c r="M1992" s="368"/>
      <c r="N1992" s="368"/>
      <c r="O1992" s="370"/>
      <c r="T1992" s="349"/>
      <c r="V1992" s="378"/>
      <c r="W1992" s="64" ph="1"/>
      <c r="X1992" s="241"/>
      <c r="Y1992" s="284"/>
      <c r="Z1992" s="207"/>
      <c r="AA1992" s="284"/>
      <c r="AB1992" s="284"/>
      <c r="AC1992" s="284"/>
      <c r="AD1992" s="284"/>
      <c r="AE1992" s="284"/>
      <c r="AF1992" s="284"/>
      <c r="AG1992" s="284"/>
    </row>
    <row r="1993" spans="1:33" ht="26.4">
      <c r="A1993" s="284"/>
      <c r="B1993" s="284"/>
      <c r="C1993" s="284"/>
      <c r="D1993" s="284"/>
      <c r="E1993" s="284"/>
      <c r="F1993" s="284"/>
      <c r="G1993" s="284"/>
      <c r="H1993" s="284"/>
      <c r="I1993" s="284"/>
      <c r="J1993" s="375"/>
      <c r="K1993" s="375"/>
      <c r="L1993" s="375"/>
      <c r="M1993" s="368"/>
      <c r="N1993" s="368"/>
      <c r="O1993" s="370"/>
      <c r="T1993" s="349"/>
      <c r="V1993" s="378"/>
      <c r="W1993" s="64" ph="1"/>
      <c r="X1993" s="241"/>
      <c r="Y1993" s="284"/>
      <c r="Z1993" s="207"/>
      <c r="AA1993" s="284"/>
      <c r="AB1993" s="284"/>
      <c r="AC1993" s="284"/>
      <c r="AD1993" s="284"/>
      <c r="AE1993" s="284"/>
      <c r="AF1993" s="284"/>
      <c r="AG1993" s="284"/>
    </row>
    <row r="1994" spans="1:33" ht="26.4">
      <c r="A1994" s="284"/>
      <c r="B1994" s="284"/>
      <c r="C1994" s="284"/>
      <c r="D1994" s="284"/>
      <c r="E1994" s="284"/>
      <c r="F1994" s="284"/>
      <c r="G1994" s="284"/>
      <c r="H1994" s="284"/>
      <c r="I1994" s="284"/>
      <c r="J1994" s="375"/>
      <c r="K1994" s="375"/>
      <c r="L1994" s="375"/>
      <c r="M1994" s="368"/>
      <c r="N1994" s="368"/>
      <c r="O1994" s="370"/>
      <c r="T1994" s="349"/>
      <c r="V1994" s="378"/>
      <c r="W1994" s="64" ph="1"/>
      <c r="X1994" s="241"/>
      <c r="Y1994" s="284"/>
      <c r="Z1994" s="207"/>
      <c r="AA1994" s="284"/>
      <c r="AB1994" s="284"/>
      <c r="AC1994" s="284"/>
      <c r="AD1994" s="284"/>
      <c r="AE1994" s="284"/>
      <c r="AF1994" s="284"/>
      <c r="AG1994" s="284"/>
    </row>
    <row r="1995" spans="1:33" ht="26.4">
      <c r="A1995" s="284"/>
      <c r="B1995" s="284"/>
      <c r="C1995" s="284"/>
      <c r="D1995" s="284"/>
      <c r="E1995" s="284"/>
      <c r="F1995" s="284"/>
      <c r="G1995" s="284"/>
      <c r="H1995" s="284"/>
      <c r="I1995" s="284"/>
      <c r="J1995" s="375"/>
      <c r="K1995" s="375"/>
      <c r="L1995" s="375"/>
      <c r="M1995" s="368"/>
      <c r="N1995" s="368"/>
      <c r="O1995" s="370"/>
      <c r="T1995" s="349"/>
      <c r="V1995" s="378"/>
      <c r="W1995" s="64" ph="1"/>
      <c r="X1995" s="241"/>
      <c r="Y1995" s="284"/>
      <c r="Z1995" s="207"/>
      <c r="AA1995" s="284"/>
      <c r="AB1995" s="284"/>
      <c r="AC1995" s="284"/>
      <c r="AD1995" s="284"/>
      <c r="AE1995" s="284"/>
      <c r="AF1995" s="284"/>
      <c r="AG1995" s="284"/>
    </row>
    <row r="1996" spans="1:33" ht="26.4">
      <c r="A1996" s="284"/>
      <c r="B1996" s="284"/>
      <c r="C1996" s="284"/>
      <c r="D1996" s="284"/>
      <c r="E1996" s="284"/>
      <c r="F1996" s="284"/>
      <c r="G1996" s="284"/>
      <c r="H1996" s="284"/>
      <c r="I1996" s="284"/>
      <c r="J1996" s="375"/>
      <c r="K1996" s="375"/>
      <c r="L1996" s="375"/>
      <c r="M1996" s="368"/>
      <c r="N1996" s="368"/>
      <c r="O1996" s="370"/>
      <c r="T1996" s="349"/>
      <c r="V1996" s="378"/>
      <c r="W1996" s="64" ph="1"/>
      <c r="X1996" s="241"/>
      <c r="Y1996" s="284"/>
      <c r="Z1996" s="207"/>
      <c r="AA1996" s="284"/>
      <c r="AB1996" s="284"/>
      <c r="AC1996" s="284"/>
      <c r="AD1996" s="284"/>
      <c r="AE1996" s="284"/>
      <c r="AF1996" s="284"/>
      <c r="AG1996" s="284"/>
    </row>
    <row r="1997" spans="1:33" ht="26.4">
      <c r="A1997" s="284"/>
      <c r="B1997" s="284"/>
      <c r="C1997" s="284"/>
      <c r="D1997" s="284"/>
      <c r="E1997" s="284"/>
      <c r="F1997" s="284"/>
      <c r="G1997" s="284"/>
      <c r="H1997" s="284"/>
      <c r="I1997" s="284"/>
      <c r="J1997" s="375"/>
      <c r="K1997" s="375"/>
      <c r="L1997" s="375"/>
      <c r="M1997" s="368"/>
      <c r="N1997" s="368"/>
      <c r="O1997" s="370"/>
      <c r="T1997" s="349"/>
      <c r="V1997" s="378"/>
      <c r="W1997" s="64" ph="1"/>
      <c r="X1997" s="241"/>
      <c r="Y1997" s="284"/>
      <c r="Z1997" s="207"/>
      <c r="AA1997" s="284"/>
      <c r="AB1997" s="284"/>
      <c r="AC1997" s="284"/>
      <c r="AD1997" s="284"/>
      <c r="AE1997" s="284"/>
      <c r="AF1997" s="284"/>
      <c r="AG1997" s="284"/>
    </row>
    <row r="1998" spans="1:33" ht="26.4">
      <c r="A1998" s="284"/>
      <c r="B1998" s="284"/>
      <c r="C1998" s="284"/>
      <c r="D1998" s="284"/>
      <c r="E1998" s="284"/>
      <c r="F1998" s="284"/>
      <c r="G1998" s="284"/>
      <c r="H1998" s="284"/>
      <c r="I1998" s="284"/>
      <c r="J1998" s="375"/>
      <c r="K1998" s="375"/>
      <c r="L1998" s="375"/>
      <c r="M1998" s="368"/>
      <c r="N1998" s="368"/>
      <c r="O1998" s="370"/>
      <c r="T1998" s="349"/>
      <c r="V1998" s="378"/>
      <c r="W1998" s="64" ph="1"/>
      <c r="X1998" s="241"/>
      <c r="Y1998" s="284"/>
      <c r="Z1998" s="207"/>
      <c r="AA1998" s="284"/>
      <c r="AB1998" s="284"/>
      <c r="AC1998" s="284"/>
      <c r="AD1998" s="284"/>
      <c r="AE1998" s="284"/>
      <c r="AF1998" s="284"/>
      <c r="AG1998" s="284"/>
    </row>
    <row r="1999" spans="1:33" ht="26.4">
      <c r="A1999" s="284"/>
      <c r="B1999" s="284"/>
      <c r="C1999" s="284"/>
      <c r="D1999" s="284"/>
      <c r="E1999" s="284"/>
      <c r="F1999" s="284"/>
      <c r="G1999" s="284"/>
      <c r="H1999" s="284"/>
      <c r="I1999" s="284"/>
      <c r="J1999" s="375"/>
      <c r="K1999" s="375"/>
      <c r="L1999" s="375"/>
      <c r="M1999" s="368"/>
      <c r="N1999" s="368"/>
      <c r="O1999" s="370"/>
      <c r="T1999" s="349"/>
      <c r="V1999" s="378"/>
      <c r="W1999" s="64" ph="1"/>
      <c r="X1999" s="241"/>
      <c r="Y1999" s="284"/>
      <c r="Z1999" s="207"/>
      <c r="AA1999" s="284"/>
      <c r="AB1999" s="284"/>
      <c r="AC1999" s="284"/>
      <c r="AD1999" s="284"/>
      <c r="AE1999" s="284"/>
      <c r="AF1999" s="284"/>
      <c r="AG1999" s="284"/>
    </row>
    <row r="2000" spans="1:33" ht="26.4">
      <c r="A2000" s="284"/>
      <c r="B2000" s="284"/>
      <c r="C2000" s="284"/>
      <c r="D2000" s="284"/>
      <c r="E2000" s="284"/>
      <c r="F2000" s="284"/>
      <c r="G2000" s="284"/>
      <c r="H2000" s="284"/>
      <c r="I2000" s="284"/>
      <c r="J2000" s="375"/>
      <c r="K2000" s="375"/>
      <c r="L2000" s="375"/>
      <c r="M2000" s="368"/>
      <c r="N2000" s="368"/>
      <c r="O2000" s="370"/>
      <c r="T2000" s="349"/>
      <c r="V2000" s="378"/>
      <c r="W2000" s="64" ph="1"/>
      <c r="X2000" s="241"/>
      <c r="Y2000" s="284"/>
      <c r="Z2000" s="207"/>
      <c r="AA2000" s="284"/>
      <c r="AB2000" s="284"/>
      <c r="AC2000" s="284"/>
      <c r="AD2000" s="284"/>
      <c r="AE2000" s="284"/>
      <c r="AF2000" s="284"/>
      <c r="AG2000" s="284"/>
    </row>
    <row r="2001" spans="1:33" ht="26.4">
      <c r="A2001" s="284"/>
      <c r="B2001" s="284"/>
      <c r="C2001" s="284"/>
      <c r="D2001" s="284"/>
      <c r="E2001" s="284"/>
      <c r="F2001" s="284"/>
      <c r="G2001" s="284"/>
      <c r="H2001" s="284"/>
      <c r="I2001" s="284"/>
      <c r="J2001" s="375"/>
      <c r="K2001" s="375"/>
      <c r="L2001" s="375"/>
      <c r="M2001" s="368"/>
      <c r="N2001" s="368"/>
      <c r="O2001" s="370"/>
      <c r="T2001" s="349"/>
      <c r="V2001" s="378"/>
      <c r="W2001" s="64" ph="1"/>
      <c r="X2001" s="241"/>
      <c r="Y2001" s="284"/>
      <c r="Z2001" s="207"/>
      <c r="AA2001" s="284"/>
      <c r="AB2001" s="284"/>
      <c r="AC2001" s="284"/>
      <c r="AD2001" s="284"/>
      <c r="AE2001" s="284"/>
      <c r="AF2001" s="284"/>
      <c r="AG2001" s="284"/>
    </row>
    <row r="2002" spans="1:33" ht="26.4">
      <c r="A2002" s="284"/>
      <c r="B2002" s="284"/>
      <c r="C2002" s="284"/>
      <c r="D2002" s="284"/>
      <c r="E2002" s="284"/>
      <c r="F2002" s="284"/>
      <c r="G2002" s="284"/>
      <c r="H2002" s="284"/>
      <c r="I2002" s="284"/>
      <c r="J2002" s="375"/>
      <c r="K2002" s="375"/>
      <c r="L2002" s="375"/>
      <c r="M2002" s="368"/>
      <c r="N2002" s="368"/>
      <c r="O2002" s="370"/>
      <c r="T2002" s="349"/>
      <c r="V2002" s="378"/>
      <c r="W2002" s="64" ph="1"/>
      <c r="X2002" s="241"/>
      <c r="Y2002" s="284"/>
      <c r="Z2002" s="207"/>
      <c r="AA2002" s="284"/>
      <c r="AB2002" s="284"/>
      <c r="AC2002" s="284"/>
      <c r="AD2002" s="284"/>
      <c r="AE2002" s="284"/>
      <c r="AF2002" s="284"/>
      <c r="AG2002" s="284"/>
    </row>
    <row r="2003" spans="1:33" ht="26.4">
      <c r="A2003" s="284"/>
      <c r="B2003" s="284"/>
      <c r="C2003" s="284"/>
      <c r="D2003" s="284"/>
      <c r="E2003" s="284"/>
      <c r="F2003" s="284"/>
      <c r="G2003" s="284"/>
      <c r="H2003" s="284"/>
      <c r="I2003" s="284"/>
      <c r="J2003" s="375"/>
      <c r="K2003" s="375"/>
      <c r="L2003" s="375"/>
      <c r="M2003" s="368"/>
      <c r="N2003" s="368"/>
      <c r="O2003" s="370"/>
      <c r="T2003" s="349"/>
      <c r="V2003" s="378"/>
      <c r="W2003" s="64" ph="1"/>
      <c r="X2003" s="241"/>
      <c r="Y2003" s="284"/>
      <c r="Z2003" s="207"/>
      <c r="AA2003" s="284"/>
      <c r="AB2003" s="284"/>
      <c r="AC2003" s="284"/>
      <c r="AD2003" s="284"/>
      <c r="AE2003" s="284"/>
      <c r="AF2003" s="284"/>
      <c r="AG2003" s="284"/>
    </row>
    <row r="2004" spans="1:33" ht="26.4">
      <c r="A2004" s="284"/>
      <c r="B2004" s="284"/>
      <c r="C2004" s="284"/>
      <c r="D2004" s="284"/>
      <c r="E2004" s="284"/>
      <c r="F2004" s="284"/>
      <c r="G2004" s="284"/>
      <c r="H2004" s="284"/>
      <c r="I2004" s="284"/>
      <c r="J2004" s="375"/>
      <c r="K2004" s="375"/>
      <c r="L2004" s="375"/>
      <c r="M2004" s="368"/>
      <c r="N2004" s="368"/>
      <c r="O2004" s="370"/>
      <c r="T2004" s="349"/>
      <c r="V2004" s="378"/>
      <c r="W2004" s="64" ph="1"/>
      <c r="X2004" s="241"/>
      <c r="Y2004" s="284"/>
      <c r="Z2004" s="207"/>
      <c r="AA2004" s="284"/>
      <c r="AB2004" s="284"/>
      <c r="AC2004" s="284"/>
      <c r="AD2004" s="284"/>
      <c r="AE2004" s="284"/>
      <c r="AF2004" s="284"/>
      <c r="AG2004" s="284"/>
    </row>
    <row r="2005" spans="1:33" ht="26.4">
      <c r="A2005" s="284"/>
      <c r="B2005" s="284"/>
      <c r="C2005" s="284"/>
      <c r="D2005" s="284"/>
      <c r="E2005" s="284"/>
      <c r="F2005" s="284"/>
      <c r="G2005" s="284"/>
      <c r="H2005" s="284"/>
      <c r="I2005" s="284"/>
      <c r="J2005" s="375"/>
      <c r="K2005" s="375"/>
      <c r="L2005" s="375"/>
      <c r="M2005" s="368"/>
      <c r="N2005" s="368"/>
      <c r="O2005" s="370"/>
      <c r="T2005" s="349"/>
      <c r="V2005" s="378"/>
      <c r="W2005" s="64" ph="1"/>
      <c r="X2005" s="241"/>
      <c r="Y2005" s="284"/>
      <c r="Z2005" s="207"/>
      <c r="AA2005" s="284"/>
      <c r="AB2005" s="284"/>
      <c r="AC2005" s="284"/>
      <c r="AD2005" s="284"/>
      <c r="AE2005" s="284"/>
      <c r="AF2005" s="284"/>
      <c r="AG2005" s="284"/>
    </row>
    <row r="2006" spans="1:33" ht="26.4">
      <c r="A2006" s="284"/>
      <c r="B2006" s="284"/>
      <c r="C2006" s="284"/>
      <c r="D2006" s="284"/>
      <c r="E2006" s="284"/>
      <c r="F2006" s="284"/>
      <c r="G2006" s="284"/>
      <c r="H2006" s="284"/>
      <c r="I2006" s="284"/>
      <c r="J2006" s="375"/>
      <c r="K2006" s="375"/>
      <c r="L2006" s="375"/>
      <c r="M2006" s="368"/>
      <c r="N2006" s="368"/>
      <c r="O2006" s="370"/>
      <c r="T2006" s="349"/>
      <c r="V2006" s="378"/>
      <c r="W2006" s="64" ph="1"/>
      <c r="X2006" s="241"/>
      <c r="Y2006" s="284"/>
      <c r="Z2006" s="207"/>
      <c r="AA2006" s="284"/>
      <c r="AB2006" s="284"/>
      <c r="AC2006" s="284"/>
      <c r="AD2006" s="284"/>
      <c r="AE2006" s="284"/>
      <c r="AF2006" s="284"/>
      <c r="AG2006" s="284"/>
    </row>
    <row r="2007" spans="1:33" ht="26.4">
      <c r="A2007" s="284"/>
      <c r="B2007" s="284"/>
      <c r="C2007" s="284"/>
      <c r="D2007" s="284"/>
      <c r="E2007" s="284"/>
      <c r="F2007" s="284"/>
      <c r="G2007" s="284"/>
      <c r="H2007" s="284"/>
      <c r="I2007" s="284"/>
      <c r="J2007" s="375"/>
      <c r="K2007" s="375"/>
      <c r="L2007" s="375"/>
      <c r="M2007" s="368"/>
      <c r="N2007" s="368"/>
      <c r="O2007" s="370"/>
      <c r="T2007" s="349"/>
      <c r="V2007" s="378"/>
      <c r="W2007" s="64" ph="1"/>
      <c r="X2007" s="241"/>
      <c r="Y2007" s="284"/>
      <c r="Z2007" s="207"/>
      <c r="AA2007" s="284"/>
      <c r="AB2007" s="284"/>
      <c r="AC2007" s="284"/>
      <c r="AD2007" s="284"/>
      <c r="AE2007" s="284"/>
      <c r="AF2007" s="284"/>
      <c r="AG2007" s="284"/>
    </row>
    <row r="2008" spans="1:33" ht="26.4">
      <c r="A2008" s="284"/>
      <c r="B2008" s="284"/>
      <c r="C2008" s="284"/>
      <c r="D2008" s="284"/>
      <c r="E2008" s="284"/>
      <c r="F2008" s="284"/>
      <c r="G2008" s="284"/>
      <c r="H2008" s="284"/>
      <c r="I2008" s="284"/>
      <c r="J2008" s="375"/>
      <c r="K2008" s="375"/>
      <c r="L2008" s="375"/>
      <c r="M2008" s="368"/>
      <c r="N2008" s="368"/>
      <c r="O2008" s="370"/>
      <c r="T2008" s="349"/>
      <c r="V2008" s="378"/>
      <c r="W2008" s="64" ph="1"/>
      <c r="X2008" s="241"/>
      <c r="Y2008" s="284"/>
      <c r="Z2008" s="207"/>
      <c r="AA2008" s="284"/>
      <c r="AB2008" s="284"/>
      <c r="AC2008" s="284"/>
      <c r="AD2008" s="284"/>
      <c r="AE2008" s="284"/>
      <c r="AF2008" s="284"/>
      <c r="AG2008" s="284"/>
    </row>
    <row r="2009" spans="1:33" ht="26.4">
      <c r="A2009" s="284"/>
      <c r="B2009" s="284"/>
      <c r="C2009" s="284"/>
      <c r="D2009" s="284"/>
      <c r="E2009" s="284"/>
      <c r="F2009" s="284"/>
      <c r="G2009" s="284"/>
      <c r="H2009" s="284"/>
      <c r="I2009" s="284"/>
      <c r="J2009" s="375"/>
      <c r="K2009" s="375"/>
      <c r="L2009" s="375"/>
      <c r="M2009" s="368"/>
      <c r="N2009" s="368"/>
      <c r="O2009" s="370"/>
      <c r="T2009" s="349"/>
      <c r="V2009" s="378"/>
      <c r="W2009" s="64" ph="1"/>
      <c r="X2009" s="241"/>
      <c r="Y2009" s="284"/>
      <c r="Z2009" s="207"/>
      <c r="AA2009" s="284"/>
      <c r="AB2009" s="284"/>
      <c r="AC2009" s="284"/>
      <c r="AD2009" s="284"/>
      <c r="AE2009" s="284"/>
      <c r="AF2009" s="284"/>
      <c r="AG2009" s="284"/>
    </row>
    <row r="2010" spans="1:33" ht="26.4">
      <c r="A2010" s="284"/>
      <c r="B2010" s="284"/>
      <c r="C2010" s="284"/>
      <c r="D2010" s="284"/>
      <c r="E2010" s="284"/>
      <c r="F2010" s="284"/>
      <c r="G2010" s="284"/>
      <c r="H2010" s="284"/>
      <c r="I2010" s="284"/>
      <c r="J2010" s="375"/>
      <c r="K2010" s="375"/>
      <c r="L2010" s="375"/>
      <c r="M2010" s="368"/>
      <c r="N2010" s="368"/>
      <c r="O2010" s="370"/>
      <c r="T2010" s="349"/>
      <c r="V2010" s="378"/>
      <c r="W2010" s="64" ph="1"/>
      <c r="X2010" s="241"/>
      <c r="Y2010" s="284"/>
      <c r="Z2010" s="207"/>
      <c r="AA2010" s="284"/>
      <c r="AB2010" s="284"/>
      <c r="AC2010" s="284"/>
      <c r="AD2010" s="284"/>
      <c r="AE2010" s="284"/>
      <c r="AF2010" s="284"/>
      <c r="AG2010" s="284"/>
    </row>
    <row r="2011" spans="1:33" ht="26.4">
      <c r="A2011" s="284"/>
      <c r="B2011" s="284"/>
      <c r="C2011" s="284"/>
      <c r="D2011" s="284"/>
      <c r="E2011" s="284"/>
      <c r="F2011" s="284"/>
      <c r="G2011" s="284"/>
      <c r="H2011" s="284"/>
      <c r="I2011" s="284"/>
      <c r="J2011" s="375"/>
      <c r="K2011" s="375"/>
      <c r="L2011" s="375"/>
      <c r="M2011" s="368"/>
      <c r="N2011" s="368"/>
      <c r="O2011" s="370"/>
      <c r="T2011" s="349"/>
      <c r="V2011" s="378"/>
      <c r="W2011" s="64" ph="1"/>
      <c r="X2011" s="241"/>
      <c r="Y2011" s="284"/>
      <c r="Z2011" s="207"/>
      <c r="AA2011" s="284"/>
      <c r="AB2011" s="284"/>
      <c r="AC2011" s="284"/>
      <c r="AD2011" s="284"/>
      <c r="AE2011" s="284"/>
      <c r="AF2011" s="284"/>
      <c r="AG2011" s="284"/>
    </row>
    <row r="2012" spans="1:33" ht="26.4">
      <c r="A2012" s="284"/>
      <c r="B2012" s="284"/>
      <c r="C2012" s="284"/>
      <c r="D2012" s="284"/>
      <c r="E2012" s="284"/>
      <c r="F2012" s="284"/>
      <c r="G2012" s="284"/>
      <c r="H2012" s="284"/>
      <c r="I2012" s="284"/>
      <c r="J2012" s="375"/>
      <c r="K2012" s="375"/>
      <c r="L2012" s="375"/>
      <c r="M2012" s="368"/>
      <c r="N2012" s="368"/>
      <c r="O2012" s="370"/>
      <c r="T2012" s="349"/>
      <c r="V2012" s="378"/>
      <c r="W2012" s="64" ph="1"/>
      <c r="X2012" s="241"/>
      <c r="Y2012" s="284"/>
      <c r="Z2012" s="207"/>
      <c r="AA2012" s="284"/>
      <c r="AB2012" s="284"/>
      <c r="AC2012" s="284"/>
      <c r="AD2012" s="284"/>
      <c r="AE2012" s="284"/>
      <c r="AF2012" s="284"/>
      <c r="AG2012" s="284"/>
    </row>
    <row r="2013" spans="1:33" ht="26.4">
      <c r="A2013" s="284"/>
      <c r="B2013" s="284"/>
      <c r="C2013" s="284"/>
      <c r="D2013" s="284"/>
      <c r="E2013" s="284"/>
      <c r="F2013" s="284"/>
      <c r="G2013" s="284"/>
      <c r="H2013" s="284"/>
      <c r="I2013" s="284"/>
      <c r="J2013" s="375"/>
      <c r="K2013" s="375"/>
      <c r="L2013" s="375"/>
      <c r="M2013" s="368"/>
      <c r="N2013" s="368"/>
      <c r="O2013" s="370"/>
      <c r="T2013" s="349"/>
      <c r="V2013" s="378"/>
      <c r="W2013" s="64" ph="1"/>
      <c r="X2013" s="241"/>
      <c r="Y2013" s="284"/>
      <c r="Z2013" s="207"/>
      <c r="AA2013" s="284"/>
      <c r="AB2013" s="284"/>
      <c r="AC2013" s="284"/>
      <c r="AD2013" s="284"/>
      <c r="AE2013" s="284"/>
      <c r="AF2013" s="284"/>
      <c r="AG2013" s="284"/>
    </row>
    <row r="2014" spans="1:33" ht="26.4">
      <c r="A2014" s="284"/>
      <c r="B2014" s="284"/>
      <c r="C2014" s="284"/>
      <c r="D2014" s="284"/>
      <c r="E2014" s="284"/>
      <c r="F2014" s="284"/>
      <c r="G2014" s="284"/>
      <c r="H2014" s="284"/>
      <c r="I2014" s="284"/>
      <c r="J2014" s="375"/>
      <c r="K2014" s="375"/>
      <c r="L2014" s="375"/>
      <c r="M2014" s="368"/>
      <c r="N2014" s="368"/>
      <c r="O2014" s="370"/>
      <c r="T2014" s="349"/>
      <c r="V2014" s="378"/>
      <c r="W2014" s="64" ph="1"/>
      <c r="X2014" s="241"/>
      <c r="Y2014" s="284"/>
      <c r="Z2014" s="207"/>
      <c r="AA2014" s="284"/>
      <c r="AB2014" s="284"/>
      <c r="AC2014" s="284"/>
      <c r="AD2014" s="284"/>
      <c r="AE2014" s="284"/>
      <c r="AF2014" s="284"/>
      <c r="AG2014" s="284"/>
    </row>
    <row r="2015" spans="1:33" ht="26.4">
      <c r="A2015" s="284"/>
      <c r="B2015" s="284"/>
      <c r="C2015" s="284"/>
      <c r="D2015" s="284"/>
      <c r="E2015" s="284"/>
      <c r="F2015" s="284"/>
      <c r="G2015" s="284"/>
      <c r="H2015" s="284"/>
      <c r="I2015" s="284"/>
      <c r="J2015" s="375"/>
      <c r="K2015" s="375"/>
      <c r="L2015" s="375"/>
      <c r="M2015" s="368"/>
      <c r="N2015" s="368"/>
      <c r="O2015" s="370"/>
      <c r="T2015" s="349"/>
      <c r="V2015" s="378"/>
      <c r="W2015" s="64" ph="1"/>
      <c r="X2015" s="241"/>
      <c r="Y2015" s="284"/>
      <c r="Z2015" s="207"/>
      <c r="AA2015" s="284"/>
      <c r="AB2015" s="284"/>
      <c r="AC2015" s="284"/>
      <c r="AD2015" s="284"/>
      <c r="AE2015" s="284"/>
      <c r="AF2015" s="284"/>
      <c r="AG2015" s="284"/>
    </row>
    <row r="2016" spans="1:33" ht="26.4">
      <c r="A2016" s="284"/>
      <c r="B2016" s="284"/>
      <c r="C2016" s="284"/>
      <c r="D2016" s="284"/>
      <c r="E2016" s="284"/>
      <c r="F2016" s="284"/>
      <c r="G2016" s="284"/>
      <c r="H2016" s="284"/>
      <c r="I2016" s="284"/>
      <c r="J2016" s="375"/>
      <c r="K2016" s="375"/>
      <c r="L2016" s="375"/>
      <c r="M2016" s="368"/>
      <c r="N2016" s="368"/>
      <c r="O2016" s="370"/>
      <c r="T2016" s="349"/>
      <c r="V2016" s="378"/>
      <c r="W2016" s="64" ph="1"/>
      <c r="X2016" s="241"/>
      <c r="Y2016" s="284"/>
      <c r="Z2016" s="207"/>
      <c r="AA2016" s="284"/>
      <c r="AB2016" s="284"/>
      <c r="AC2016" s="284"/>
      <c r="AD2016" s="284"/>
      <c r="AE2016" s="284"/>
      <c r="AF2016" s="284"/>
      <c r="AG2016" s="284"/>
    </row>
    <row r="2017" spans="1:33" ht="26.4">
      <c r="A2017" s="284"/>
      <c r="B2017" s="284"/>
      <c r="C2017" s="284"/>
      <c r="D2017" s="284"/>
      <c r="E2017" s="284"/>
      <c r="F2017" s="284"/>
      <c r="G2017" s="284"/>
      <c r="H2017" s="284"/>
      <c r="I2017" s="284"/>
      <c r="J2017" s="375"/>
      <c r="K2017" s="375"/>
      <c r="L2017" s="375"/>
      <c r="M2017" s="368"/>
      <c r="N2017" s="368"/>
      <c r="O2017" s="370"/>
      <c r="T2017" s="349"/>
      <c r="V2017" s="378"/>
      <c r="W2017" s="64" ph="1"/>
      <c r="X2017" s="241"/>
      <c r="Y2017" s="284"/>
      <c r="Z2017" s="207"/>
      <c r="AA2017" s="284"/>
      <c r="AB2017" s="284"/>
      <c r="AC2017" s="284"/>
      <c r="AD2017" s="284"/>
      <c r="AE2017" s="284"/>
      <c r="AF2017" s="284"/>
      <c r="AG2017" s="284"/>
    </row>
    <row r="2018" spans="1:33" ht="26.4">
      <c r="A2018" s="284"/>
      <c r="B2018" s="284"/>
      <c r="C2018" s="284"/>
      <c r="D2018" s="284"/>
      <c r="E2018" s="284"/>
      <c r="F2018" s="284"/>
      <c r="G2018" s="284"/>
      <c r="H2018" s="284"/>
      <c r="I2018" s="284"/>
      <c r="J2018" s="375"/>
      <c r="K2018" s="375"/>
      <c r="L2018" s="375"/>
      <c r="M2018" s="368"/>
      <c r="N2018" s="368"/>
      <c r="O2018" s="370"/>
      <c r="T2018" s="349"/>
      <c r="V2018" s="378"/>
      <c r="W2018" s="64" ph="1"/>
      <c r="X2018" s="241"/>
      <c r="Y2018" s="284"/>
      <c r="Z2018" s="207"/>
      <c r="AA2018" s="284"/>
      <c r="AB2018" s="284"/>
      <c r="AC2018" s="284"/>
      <c r="AD2018" s="284"/>
      <c r="AE2018" s="284"/>
      <c r="AF2018" s="284"/>
      <c r="AG2018" s="284"/>
    </row>
    <row r="2019" spans="1:33" ht="26.4">
      <c r="A2019" s="284"/>
      <c r="B2019" s="284"/>
      <c r="C2019" s="284"/>
      <c r="D2019" s="284"/>
      <c r="E2019" s="284"/>
      <c r="F2019" s="284"/>
      <c r="G2019" s="284"/>
      <c r="H2019" s="284"/>
      <c r="I2019" s="284"/>
      <c r="J2019" s="375"/>
      <c r="K2019" s="375"/>
      <c r="L2019" s="375"/>
      <c r="M2019" s="368"/>
      <c r="N2019" s="368"/>
      <c r="O2019" s="370"/>
      <c r="T2019" s="349"/>
      <c r="V2019" s="378"/>
      <c r="W2019" s="64" ph="1"/>
      <c r="X2019" s="241"/>
      <c r="Y2019" s="284"/>
      <c r="Z2019" s="207"/>
      <c r="AA2019" s="284"/>
      <c r="AB2019" s="284"/>
      <c r="AC2019" s="284"/>
      <c r="AD2019" s="284"/>
      <c r="AE2019" s="284"/>
      <c r="AF2019" s="284"/>
      <c r="AG2019" s="284"/>
    </row>
    <row r="2020" spans="1:33" ht="26.4">
      <c r="A2020" s="284"/>
      <c r="B2020" s="284"/>
      <c r="C2020" s="284"/>
      <c r="D2020" s="284"/>
      <c r="E2020" s="284"/>
      <c r="F2020" s="284"/>
      <c r="G2020" s="284"/>
      <c r="H2020" s="284"/>
      <c r="I2020" s="284"/>
      <c r="J2020" s="375"/>
      <c r="K2020" s="375"/>
      <c r="L2020" s="375"/>
      <c r="M2020" s="368"/>
      <c r="N2020" s="368"/>
      <c r="O2020" s="370"/>
      <c r="T2020" s="349"/>
      <c r="V2020" s="378"/>
      <c r="W2020" s="64" ph="1"/>
      <c r="X2020" s="241"/>
      <c r="Y2020" s="284"/>
      <c r="Z2020" s="207"/>
      <c r="AA2020" s="284"/>
      <c r="AB2020" s="284"/>
      <c r="AC2020" s="284"/>
      <c r="AD2020" s="284"/>
      <c r="AE2020" s="284"/>
      <c r="AF2020" s="284"/>
      <c r="AG2020" s="284"/>
    </row>
    <row r="2021" spans="1:33" ht="26.4">
      <c r="A2021" s="284"/>
      <c r="B2021" s="284"/>
      <c r="C2021" s="284"/>
      <c r="D2021" s="284"/>
      <c r="E2021" s="284"/>
      <c r="F2021" s="284"/>
      <c r="G2021" s="284"/>
      <c r="H2021" s="284"/>
      <c r="I2021" s="284"/>
      <c r="J2021" s="375"/>
      <c r="K2021" s="375"/>
      <c r="L2021" s="375"/>
      <c r="M2021" s="368"/>
      <c r="N2021" s="368"/>
      <c r="O2021" s="370"/>
      <c r="T2021" s="349"/>
      <c r="V2021" s="378"/>
      <c r="W2021" s="64" ph="1"/>
      <c r="X2021" s="241"/>
      <c r="Y2021" s="284"/>
      <c r="Z2021" s="207"/>
      <c r="AA2021" s="284"/>
      <c r="AB2021" s="284"/>
      <c r="AC2021" s="284"/>
      <c r="AD2021" s="284"/>
      <c r="AE2021" s="284"/>
      <c r="AF2021" s="284"/>
      <c r="AG2021" s="284"/>
    </row>
    <row r="2022" spans="1:33" ht="26.4">
      <c r="A2022" s="284"/>
      <c r="B2022" s="284"/>
      <c r="C2022" s="284"/>
      <c r="D2022" s="284"/>
      <c r="E2022" s="284"/>
      <c r="F2022" s="284"/>
      <c r="G2022" s="284"/>
      <c r="H2022" s="284"/>
      <c r="I2022" s="284"/>
      <c r="J2022" s="375"/>
      <c r="K2022" s="375"/>
      <c r="L2022" s="375"/>
      <c r="M2022" s="368"/>
      <c r="N2022" s="368"/>
      <c r="O2022" s="370"/>
      <c r="T2022" s="349"/>
      <c r="V2022" s="378"/>
      <c r="W2022" s="64" ph="1"/>
      <c r="X2022" s="241"/>
      <c r="Y2022" s="284"/>
      <c r="Z2022" s="207"/>
      <c r="AA2022" s="284"/>
      <c r="AB2022" s="284"/>
      <c r="AC2022" s="284"/>
      <c r="AD2022" s="284"/>
      <c r="AE2022" s="284"/>
      <c r="AF2022" s="284"/>
      <c r="AG2022" s="284"/>
    </row>
    <row r="2023" spans="1:33" ht="26.4">
      <c r="A2023" s="284"/>
      <c r="B2023" s="284"/>
      <c r="C2023" s="284"/>
      <c r="D2023" s="284"/>
      <c r="E2023" s="284"/>
      <c r="F2023" s="284"/>
      <c r="G2023" s="284"/>
      <c r="H2023" s="284"/>
      <c r="I2023" s="284"/>
      <c r="J2023" s="375"/>
      <c r="K2023" s="375"/>
      <c r="L2023" s="375"/>
      <c r="M2023" s="368"/>
      <c r="N2023" s="368"/>
      <c r="O2023" s="370"/>
      <c r="T2023" s="349"/>
      <c r="V2023" s="378"/>
      <c r="W2023" s="64" ph="1"/>
      <c r="X2023" s="241"/>
      <c r="Y2023" s="284"/>
      <c r="Z2023" s="207"/>
      <c r="AA2023" s="284"/>
      <c r="AB2023" s="284"/>
      <c r="AC2023" s="284"/>
      <c r="AD2023" s="284"/>
      <c r="AE2023" s="284"/>
      <c r="AF2023" s="284"/>
      <c r="AG2023" s="284"/>
    </row>
    <row r="2024" spans="1:33" ht="26.4">
      <c r="A2024" s="284"/>
      <c r="B2024" s="284"/>
      <c r="C2024" s="284"/>
      <c r="D2024" s="284"/>
      <c r="E2024" s="284"/>
      <c r="F2024" s="284"/>
      <c r="G2024" s="284"/>
      <c r="H2024" s="284"/>
      <c r="I2024" s="284"/>
      <c r="J2024" s="375"/>
      <c r="K2024" s="375"/>
      <c r="L2024" s="375"/>
      <c r="M2024" s="368"/>
      <c r="N2024" s="368"/>
      <c r="O2024" s="370"/>
      <c r="T2024" s="349"/>
      <c r="V2024" s="378"/>
      <c r="W2024" s="64" ph="1"/>
      <c r="X2024" s="241"/>
      <c r="Y2024" s="284"/>
      <c r="Z2024" s="207"/>
      <c r="AA2024" s="284"/>
      <c r="AB2024" s="284"/>
      <c r="AC2024" s="284"/>
      <c r="AD2024" s="284"/>
      <c r="AE2024" s="284"/>
      <c r="AF2024" s="284"/>
      <c r="AG2024" s="284"/>
    </row>
    <row r="2025" spans="1:33" ht="26.4">
      <c r="A2025" s="284"/>
      <c r="B2025" s="284"/>
      <c r="C2025" s="284"/>
      <c r="D2025" s="284"/>
      <c r="E2025" s="284"/>
      <c r="F2025" s="284"/>
      <c r="G2025" s="284"/>
      <c r="H2025" s="284"/>
      <c r="I2025" s="284"/>
      <c r="J2025" s="375"/>
      <c r="K2025" s="375"/>
      <c r="L2025" s="375"/>
      <c r="M2025" s="368"/>
      <c r="N2025" s="368"/>
      <c r="O2025" s="370"/>
      <c r="T2025" s="349"/>
      <c r="V2025" s="378"/>
      <c r="W2025" s="64" ph="1"/>
      <c r="X2025" s="241"/>
      <c r="Y2025" s="284"/>
      <c r="Z2025" s="207"/>
      <c r="AA2025" s="284"/>
      <c r="AB2025" s="284"/>
      <c r="AC2025" s="284"/>
      <c r="AD2025" s="284"/>
      <c r="AE2025" s="284"/>
      <c r="AF2025" s="284"/>
      <c r="AG2025" s="284"/>
    </row>
    <row r="2026" spans="1:33" ht="26.4">
      <c r="A2026" s="284"/>
      <c r="B2026" s="284"/>
      <c r="C2026" s="284"/>
      <c r="D2026" s="284"/>
      <c r="E2026" s="284"/>
      <c r="F2026" s="284"/>
      <c r="G2026" s="284"/>
      <c r="H2026" s="284"/>
      <c r="I2026" s="284"/>
      <c r="J2026" s="375"/>
      <c r="K2026" s="375"/>
      <c r="L2026" s="375"/>
      <c r="M2026" s="368"/>
      <c r="N2026" s="368"/>
      <c r="O2026" s="370"/>
      <c r="T2026" s="349"/>
      <c r="V2026" s="378"/>
      <c r="W2026" s="64" ph="1"/>
      <c r="X2026" s="241"/>
      <c r="Y2026" s="284"/>
      <c r="Z2026" s="207"/>
      <c r="AA2026" s="284"/>
      <c r="AB2026" s="284"/>
      <c r="AC2026" s="284"/>
      <c r="AD2026" s="284"/>
      <c r="AE2026" s="284"/>
      <c r="AF2026" s="284"/>
      <c r="AG2026" s="284"/>
    </row>
    <row r="2027" spans="1:33" ht="26.4">
      <c r="A2027" s="284"/>
      <c r="B2027" s="284"/>
      <c r="C2027" s="284"/>
      <c r="D2027" s="284"/>
      <c r="E2027" s="284"/>
      <c r="F2027" s="284"/>
      <c r="G2027" s="284"/>
      <c r="H2027" s="284"/>
      <c r="I2027" s="284"/>
      <c r="J2027" s="375"/>
      <c r="K2027" s="375"/>
      <c r="L2027" s="375"/>
      <c r="M2027" s="368"/>
      <c r="N2027" s="368"/>
      <c r="O2027" s="370"/>
      <c r="T2027" s="349"/>
      <c r="V2027" s="378"/>
      <c r="W2027" s="64" ph="1"/>
      <c r="X2027" s="241"/>
      <c r="Y2027" s="284"/>
      <c r="Z2027" s="207"/>
      <c r="AA2027" s="284"/>
      <c r="AB2027" s="284"/>
      <c r="AC2027" s="284"/>
      <c r="AD2027" s="284"/>
      <c r="AE2027" s="284"/>
      <c r="AF2027" s="284"/>
      <c r="AG2027" s="284"/>
    </row>
    <row r="2028" spans="1:33" ht="26.4">
      <c r="A2028" s="284"/>
      <c r="B2028" s="284"/>
      <c r="C2028" s="284"/>
      <c r="D2028" s="284"/>
      <c r="E2028" s="284"/>
      <c r="F2028" s="284"/>
      <c r="G2028" s="284"/>
      <c r="H2028" s="284"/>
      <c r="I2028" s="284"/>
      <c r="J2028" s="375"/>
      <c r="K2028" s="375"/>
      <c r="L2028" s="375"/>
      <c r="M2028" s="368"/>
      <c r="N2028" s="368"/>
      <c r="O2028" s="370"/>
      <c r="T2028" s="349"/>
      <c r="V2028" s="378"/>
      <c r="W2028" s="64" ph="1"/>
      <c r="X2028" s="241"/>
      <c r="Y2028" s="284"/>
      <c r="Z2028" s="207"/>
      <c r="AA2028" s="284"/>
      <c r="AB2028" s="284"/>
      <c r="AC2028" s="284"/>
      <c r="AD2028" s="284"/>
      <c r="AE2028" s="284"/>
      <c r="AF2028" s="284"/>
      <c r="AG2028" s="284"/>
    </row>
    <row r="2029" spans="1:33" ht="26.4">
      <c r="A2029" s="284"/>
      <c r="B2029" s="284"/>
      <c r="C2029" s="284"/>
      <c r="D2029" s="284"/>
      <c r="E2029" s="284"/>
      <c r="F2029" s="284"/>
      <c r="G2029" s="284"/>
      <c r="H2029" s="284"/>
      <c r="I2029" s="284"/>
      <c r="J2029" s="375"/>
      <c r="K2029" s="375"/>
      <c r="L2029" s="375"/>
      <c r="M2029" s="368"/>
      <c r="N2029" s="368"/>
      <c r="O2029" s="370"/>
      <c r="T2029" s="349"/>
      <c r="V2029" s="378"/>
      <c r="W2029" s="64" ph="1"/>
      <c r="X2029" s="241"/>
      <c r="Y2029" s="284"/>
      <c r="Z2029" s="207"/>
      <c r="AA2029" s="284"/>
      <c r="AB2029" s="284"/>
      <c r="AC2029" s="284"/>
      <c r="AD2029" s="284"/>
      <c r="AE2029" s="284"/>
      <c r="AF2029" s="284"/>
      <c r="AG2029" s="284"/>
    </row>
    <row r="2030" spans="1:33" ht="26.4">
      <c r="A2030" s="284"/>
      <c r="B2030" s="284"/>
      <c r="C2030" s="284"/>
      <c r="D2030" s="284"/>
      <c r="E2030" s="284"/>
      <c r="F2030" s="284"/>
      <c r="G2030" s="284"/>
      <c r="H2030" s="284"/>
      <c r="I2030" s="284"/>
      <c r="J2030" s="375"/>
      <c r="K2030" s="375"/>
      <c r="L2030" s="375"/>
      <c r="M2030" s="368"/>
      <c r="N2030" s="368"/>
      <c r="O2030" s="370"/>
      <c r="T2030" s="349"/>
      <c r="V2030" s="378"/>
      <c r="W2030" s="64" ph="1"/>
      <c r="X2030" s="241"/>
      <c r="Y2030" s="284"/>
      <c r="Z2030" s="207"/>
      <c r="AA2030" s="284"/>
      <c r="AB2030" s="284"/>
      <c r="AC2030" s="284"/>
      <c r="AD2030" s="284"/>
      <c r="AE2030" s="284"/>
      <c r="AF2030" s="284"/>
      <c r="AG2030" s="284"/>
    </row>
    <row r="2031" spans="1:33" ht="26.4">
      <c r="A2031" s="284"/>
      <c r="B2031" s="284"/>
      <c r="C2031" s="284"/>
      <c r="D2031" s="284"/>
      <c r="E2031" s="284"/>
      <c r="F2031" s="284"/>
      <c r="G2031" s="284"/>
      <c r="H2031" s="284"/>
      <c r="I2031" s="284"/>
      <c r="J2031" s="375"/>
      <c r="K2031" s="375"/>
      <c r="L2031" s="375"/>
      <c r="M2031" s="368"/>
      <c r="N2031" s="368"/>
      <c r="O2031" s="370"/>
      <c r="T2031" s="349"/>
      <c r="V2031" s="378"/>
      <c r="W2031" s="64" ph="1"/>
      <c r="X2031" s="241"/>
      <c r="Y2031" s="284"/>
      <c r="Z2031" s="207"/>
      <c r="AA2031" s="284"/>
      <c r="AB2031" s="284"/>
      <c r="AC2031" s="284"/>
      <c r="AD2031" s="284"/>
      <c r="AE2031" s="284"/>
      <c r="AF2031" s="284"/>
      <c r="AG2031" s="284"/>
    </row>
    <row r="2032" spans="1:33" ht="26.4">
      <c r="A2032" s="284"/>
      <c r="B2032" s="284"/>
      <c r="C2032" s="284"/>
      <c r="D2032" s="284"/>
      <c r="E2032" s="284"/>
      <c r="F2032" s="284"/>
      <c r="G2032" s="284"/>
      <c r="H2032" s="284"/>
      <c r="I2032" s="284"/>
      <c r="J2032" s="375"/>
      <c r="K2032" s="375"/>
      <c r="L2032" s="375"/>
      <c r="M2032" s="368"/>
      <c r="N2032" s="368"/>
      <c r="O2032" s="370"/>
      <c r="T2032" s="349"/>
      <c r="V2032" s="378"/>
      <c r="W2032" s="64" ph="1"/>
      <c r="X2032" s="241"/>
      <c r="Y2032" s="284"/>
      <c r="Z2032" s="207"/>
      <c r="AA2032" s="284"/>
      <c r="AB2032" s="284"/>
      <c r="AC2032" s="284"/>
      <c r="AD2032" s="284"/>
      <c r="AE2032" s="284"/>
      <c r="AF2032" s="284"/>
      <c r="AG2032" s="284"/>
    </row>
    <row r="2033" spans="1:33" ht="26.4">
      <c r="A2033" s="284"/>
      <c r="B2033" s="284"/>
      <c r="C2033" s="284"/>
      <c r="D2033" s="284"/>
      <c r="E2033" s="284"/>
      <c r="F2033" s="284"/>
      <c r="G2033" s="284"/>
      <c r="H2033" s="284"/>
      <c r="I2033" s="284"/>
      <c r="J2033" s="375"/>
      <c r="K2033" s="375"/>
      <c r="L2033" s="375"/>
      <c r="M2033" s="368"/>
      <c r="N2033" s="368"/>
      <c r="O2033" s="370"/>
      <c r="T2033" s="349"/>
      <c r="V2033" s="378"/>
      <c r="W2033" s="64" ph="1"/>
      <c r="X2033" s="241"/>
      <c r="Y2033" s="284"/>
      <c r="Z2033" s="207"/>
      <c r="AA2033" s="284"/>
      <c r="AB2033" s="284"/>
      <c r="AC2033" s="284"/>
      <c r="AD2033" s="284"/>
      <c r="AE2033" s="284"/>
      <c r="AF2033" s="284"/>
      <c r="AG2033" s="284"/>
    </row>
    <row r="2034" spans="1:33" ht="26.4">
      <c r="A2034" s="284"/>
      <c r="B2034" s="284"/>
      <c r="C2034" s="284"/>
      <c r="D2034" s="284"/>
      <c r="E2034" s="284"/>
      <c r="F2034" s="284"/>
      <c r="G2034" s="284"/>
      <c r="H2034" s="284"/>
      <c r="I2034" s="284"/>
      <c r="J2034" s="375"/>
      <c r="K2034" s="375"/>
      <c r="L2034" s="375"/>
      <c r="M2034" s="368"/>
      <c r="N2034" s="368"/>
      <c r="O2034" s="370"/>
      <c r="T2034" s="349"/>
      <c r="V2034" s="378"/>
      <c r="W2034" s="64" ph="1"/>
      <c r="X2034" s="241"/>
      <c r="Y2034" s="284"/>
      <c r="Z2034" s="207"/>
      <c r="AA2034" s="284"/>
      <c r="AB2034" s="284"/>
      <c r="AC2034" s="284"/>
      <c r="AD2034" s="284"/>
      <c r="AE2034" s="284"/>
      <c r="AF2034" s="284"/>
      <c r="AG2034" s="284"/>
    </row>
    <row r="2035" spans="1:33" ht="26.4">
      <c r="A2035" s="284"/>
      <c r="B2035" s="284"/>
      <c r="C2035" s="284"/>
      <c r="D2035" s="284"/>
      <c r="E2035" s="284"/>
      <c r="F2035" s="284"/>
      <c r="G2035" s="284"/>
      <c r="H2035" s="284"/>
      <c r="I2035" s="284"/>
      <c r="J2035" s="375"/>
      <c r="K2035" s="375"/>
      <c r="L2035" s="375"/>
      <c r="M2035" s="368"/>
      <c r="N2035" s="368"/>
      <c r="O2035" s="370"/>
      <c r="T2035" s="349"/>
      <c r="V2035" s="378"/>
      <c r="W2035" s="64" ph="1"/>
      <c r="X2035" s="241"/>
      <c r="Y2035" s="284"/>
      <c r="Z2035" s="207"/>
      <c r="AA2035" s="284"/>
      <c r="AB2035" s="284"/>
      <c r="AC2035" s="284"/>
      <c r="AD2035" s="284"/>
      <c r="AE2035" s="284"/>
      <c r="AF2035" s="284"/>
      <c r="AG2035" s="284"/>
    </row>
    <row r="2036" spans="1:33" ht="26.4">
      <c r="A2036" s="284"/>
      <c r="B2036" s="284"/>
      <c r="C2036" s="284"/>
      <c r="D2036" s="284"/>
      <c r="E2036" s="284"/>
      <c r="F2036" s="284"/>
      <c r="G2036" s="284"/>
      <c r="H2036" s="284"/>
      <c r="I2036" s="284"/>
      <c r="J2036" s="375"/>
      <c r="K2036" s="375"/>
      <c r="L2036" s="375"/>
      <c r="M2036" s="368"/>
      <c r="N2036" s="368"/>
      <c r="O2036" s="370"/>
      <c r="T2036" s="349"/>
      <c r="V2036" s="378"/>
      <c r="W2036" s="64" ph="1"/>
      <c r="X2036" s="241"/>
      <c r="Y2036" s="284"/>
      <c r="Z2036" s="207"/>
      <c r="AA2036" s="284"/>
      <c r="AB2036" s="284"/>
      <c r="AC2036" s="284"/>
      <c r="AD2036" s="284"/>
      <c r="AE2036" s="284"/>
      <c r="AF2036" s="284"/>
      <c r="AG2036" s="284"/>
    </row>
    <row r="2037" spans="1:33" ht="26.4">
      <c r="A2037" s="284"/>
      <c r="B2037" s="284"/>
      <c r="C2037" s="284"/>
      <c r="D2037" s="284"/>
      <c r="E2037" s="284"/>
      <c r="F2037" s="284"/>
      <c r="G2037" s="284"/>
      <c r="H2037" s="284"/>
      <c r="I2037" s="284"/>
      <c r="J2037" s="375"/>
      <c r="K2037" s="375"/>
      <c r="L2037" s="375"/>
      <c r="M2037" s="368"/>
      <c r="N2037" s="368"/>
      <c r="O2037" s="370"/>
      <c r="T2037" s="349"/>
      <c r="V2037" s="378"/>
      <c r="W2037" s="64" ph="1"/>
      <c r="X2037" s="241"/>
      <c r="Y2037" s="284"/>
      <c r="Z2037" s="207"/>
      <c r="AA2037" s="284"/>
      <c r="AB2037" s="284"/>
      <c r="AC2037" s="284"/>
      <c r="AD2037" s="284"/>
      <c r="AE2037" s="284"/>
      <c r="AF2037" s="284"/>
      <c r="AG2037" s="284"/>
    </row>
    <row r="2038" spans="1:33" ht="26.4">
      <c r="A2038" s="284"/>
      <c r="B2038" s="284"/>
      <c r="C2038" s="284"/>
      <c r="D2038" s="284"/>
      <c r="E2038" s="284"/>
      <c r="F2038" s="284"/>
      <c r="G2038" s="284"/>
      <c r="H2038" s="284"/>
      <c r="I2038" s="284"/>
      <c r="J2038" s="375"/>
      <c r="K2038" s="375"/>
      <c r="L2038" s="375"/>
      <c r="M2038" s="368"/>
      <c r="N2038" s="368"/>
      <c r="O2038" s="370"/>
      <c r="T2038" s="349"/>
      <c r="V2038" s="378"/>
      <c r="W2038" s="64" ph="1"/>
      <c r="X2038" s="241"/>
      <c r="Y2038" s="284"/>
      <c r="Z2038" s="207"/>
      <c r="AA2038" s="284"/>
      <c r="AB2038" s="284"/>
      <c r="AC2038" s="284"/>
      <c r="AD2038" s="284"/>
      <c r="AE2038" s="284"/>
      <c r="AF2038" s="284"/>
      <c r="AG2038" s="284"/>
    </row>
    <row r="2039" spans="1:33" ht="26.4">
      <c r="A2039" s="284"/>
      <c r="B2039" s="284"/>
      <c r="C2039" s="284"/>
      <c r="D2039" s="284"/>
      <c r="E2039" s="284"/>
      <c r="F2039" s="284"/>
      <c r="G2039" s="284"/>
      <c r="H2039" s="284"/>
      <c r="I2039" s="284"/>
      <c r="J2039" s="375"/>
      <c r="K2039" s="375"/>
      <c r="L2039" s="375"/>
      <c r="M2039" s="368"/>
      <c r="N2039" s="368"/>
      <c r="O2039" s="370"/>
      <c r="T2039" s="349"/>
      <c r="V2039" s="378"/>
      <c r="W2039" s="64" ph="1"/>
      <c r="X2039" s="241"/>
      <c r="Y2039" s="284"/>
      <c r="Z2039" s="207"/>
      <c r="AA2039" s="284"/>
      <c r="AB2039" s="284"/>
      <c r="AC2039" s="284"/>
      <c r="AD2039" s="284"/>
      <c r="AE2039" s="284"/>
      <c r="AF2039" s="284"/>
      <c r="AG2039" s="284"/>
    </row>
    <row r="2040" spans="1:33" ht="26.4">
      <c r="A2040" s="284"/>
      <c r="B2040" s="284"/>
      <c r="C2040" s="284"/>
      <c r="D2040" s="284"/>
      <c r="E2040" s="284"/>
      <c r="F2040" s="284"/>
      <c r="G2040" s="284"/>
      <c r="H2040" s="284"/>
      <c r="I2040" s="284"/>
      <c r="J2040" s="375"/>
      <c r="K2040" s="375"/>
      <c r="L2040" s="375"/>
      <c r="M2040" s="368"/>
      <c r="N2040" s="368"/>
      <c r="O2040" s="370"/>
      <c r="T2040" s="349"/>
      <c r="V2040" s="378"/>
      <c r="W2040" s="64" ph="1"/>
      <c r="X2040" s="241"/>
      <c r="Y2040" s="284"/>
      <c r="Z2040" s="207"/>
      <c r="AA2040" s="284"/>
      <c r="AB2040" s="284"/>
      <c r="AC2040" s="284"/>
      <c r="AD2040" s="284"/>
      <c r="AE2040" s="284"/>
      <c r="AF2040" s="284"/>
      <c r="AG2040" s="284"/>
    </row>
    <row r="2041" spans="1:33" ht="26.4">
      <c r="A2041" s="284"/>
      <c r="B2041" s="284"/>
      <c r="C2041" s="284"/>
      <c r="D2041" s="284"/>
      <c r="E2041" s="284"/>
      <c r="F2041" s="284"/>
      <c r="G2041" s="284"/>
      <c r="H2041" s="284"/>
      <c r="I2041" s="284"/>
      <c r="J2041" s="375"/>
      <c r="K2041" s="375"/>
      <c r="L2041" s="375"/>
      <c r="M2041" s="368"/>
      <c r="N2041" s="368"/>
      <c r="O2041" s="370"/>
      <c r="T2041" s="349"/>
      <c r="V2041" s="378"/>
      <c r="W2041" s="64" ph="1"/>
      <c r="X2041" s="241"/>
      <c r="Y2041" s="284"/>
      <c r="Z2041" s="207"/>
      <c r="AA2041" s="284"/>
      <c r="AB2041" s="284"/>
      <c r="AC2041" s="284"/>
      <c r="AD2041" s="284"/>
      <c r="AE2041" s="284"/>
      <c r="AF2041" s="284"/>
      <c r="AG2041" s="284"/>
    </row>
    <row r="2042" spans="1:33" ht="26.4">
      <c r="A2042" s="284"/>
      <c r="B2042" s="284"/>
      <c r="C2042" s="284"/>
      <c r="D2042" s="284"/>
      <c r="E2042" s="284"/>
      <c r="F2042" s="284"/>
      <c r="G2042" s="284"/>
      <c r="H2042" s="284"/>
      <c r="I2042" s="284"/>
      <c r="J2042" s="375"/>
      <c r="K2042" s="375"/>
      <c r="L2042" s="375"/>
      <c r="M2042" s="368"/>
      <c r="N2042" s="368"/>
      <c r="O2042" s="370"/>
      <c r="T2042" s="349"/>
      <c r="V2042" s="378"/>
      <c r="W2042" s="64" ph="1"/>
      <c r="X2042" s="241"/>
      <c r="Y2042" s="284"/>
      <c r="Z2042" s="207"/>
      <c r="AA2042" s="284"/>
      <c r="AB2042" s="284"/>
      <c r="AC2042" s="284"/>
      <c r="AD2042" s="284"/>
      <c r="AE2042" s="284"/>
      <c r="AF2042" s="284"/>
      <c r="AG2042" s="284"/>
    </row>
    <row r="2043" spans="1:33" ht="26.4">
      <c r="A2043" s="284"/>
      <c r="B2043" s="284"/>
      <c r="C2043" s="284"/>
      <c r="D2043" s="284"/>
      <c r="E2043" s="284"/>
      <c r="F2043" s="284"/>
      <c r="G2043" s="284"/>
      <c r="H2043" s="284"/>
      <c r="I2043" s="284"/>
      <c r="J2043" s="375"/>
      <c r="K2043" s="375"/>
      <c r="L2043" s="375"/>
      <c r="M2043" s="368"/>
      <c r="N2043" s="368"/>
      <c r="O2043" s="370"/>
      <c r="T2043" s="349"/>
      <c r="V2043" s="378"/>
      <c r="W2043" s="64" ph="1"/>
      <c r="X2043" s="241"/>
      <c r="Y2043" s="284"/>
      <c r="Z2043" s="207"/>
      <c r="AA2043" s="284"/>
      <c r="AB2043" s="284"/>
      <c r="AC2043" s="284"/>
      <c r="AD2043" s="284"/>
      <c r="AE2043" s="284"/>
      <c r="AF2043" s="284"/>
      <c r="AG2043" s="284"/>
    </row>
    <row r="2044" spans="1:33" ht="26.4">
      <c r="A2044" s="284"/>
      <c r="B2044" s="284"/>
      <c r="C2044" s="284"/>
      <c r="D2044" s="284"/>
      <c r="E2044" s="284"/>
      <c r="F2044" s="284"/>
      <c r="G2044" s="284"/>
      <c r="H2044" s="284"/>
      <c r="I2044" s="284"/>
      <c r="J2044" s="375"/>
      <c r="K2044" s="375"/>
      <c r="L2044" s="375"/>
      <c r="M2044" s="368"/>
      <c r="N2044" s="368"/>
      <c r="O2044" s="370"/>
      <c r="T2044" s="349"/>
      <c r="V2044" s="378"/>
      <c r="W2044" s="64" ph="1"/>
      <c r="X2044" s="241"/>
      <c r="Y2044" s="284"/>
      <c r="Z2044" s="207"/>
      <c r="AA2044" s="284"/>
      <c r="AB2044" s="284"/>
      <c r="AC2044" s="284"/>
      <c r="AD2044" s="284"/>
      <c r="AE2044" s="284"/>
      <c r="AF2044" s="284"/>
      <c r="AG2044" s="284"/>
    </row>
    <row r="2045" spans="1:33" ht="26.4">
      <c r="A2045" s="284"/>
      <c r="B2045" s="284"/>
      <c r="C2045" s="284"/>
      <c r="D2045" s="284"/>
      <c r="E2045" s="284"/>
      <c r="F2045" s="284"/>
      <c r="G2045" s="284"/>
      <c r="H2045" s="284"/>
      <c r="I2045" s="284"/>
      <c r="J2045" s="375"/>
      <c r="K2045" s="375"/>
      <c r="L2045" s="375"/>
      <c r="M2045" s="368"/>
      <c r="N2045" s="368"/>
      <c r="O2045" s="370"/>
      <c r="T2045" s="349"/>
      <c r="V2045" s="378"/>
      <c r="W2045" s="64" ph="1"/>
      <c r="X2045" s="241"/>
      <c r="Y2045" s="284"/>
      <c r="Z2045" s="207"/>
      <c r="AA2045" s="284"/>
      <c r="AB2045" s="284"/>
      <c r="AC2045" s="284"/>
      <c r="AD2045" s="284"/>
      <c r="AE2045" s="284"/>
      <c r="AF2045" s="284"/>
      <c r="AG2045" s="284"/>
    </row>
    <row r="2046" spans="1:33" ht="26.4">
      <c r="A2046" s="284"/>
      <c r="B2046" s="284"/>
      <c r="C2046" s="284"/>
      <c r="D2046" s="284"/>
      <c r="E2046" s="284"/>
      <c r="F2046" s="284"/>
      <c r="G2046" s="284"/>
      <c r="H2046" s="284"/>
      <c r="I2046" s="284"/>
      <c r="J2046" s="375"/>
      <c r="K2046" s="375"/>
      <c r="L2046" s="375"/>
      <c r="M2046" s="368"/>
      <c r="N2046" s="368"/>
      <c r="O2046" s="370"/>
      <c r="T2046" s="349"/>
      <c r="V2046" s="378"/>
      <c r="W2046" s="64" ph="1"/>
      <c r="X2046" s="241"/>
      <c r="Y2046" s="284"/>
      <c r="Z2046" s="207"/>
      <c r="AA2046" s="284"/>
      <c r="AB2046" s="284"/>
      <c r="AC2046" s="284"/>
      <c r="AD2046" s="284"/>
      <c r="AE2046" s="284"/>
      <c r="AF2046" s="284"/>
      <c r="AG2046" s="284"/>
    </row>
    <row r="2047" spans="1:33" ht="26.4">
      <c r="A2047" s="284"/>
      <c r="B2047" s="284"/>
      <c r="C2047" s="284"/>
      <c r="D2047" s="284"/>
      <c r="E2047" s="284"/>
      <c r="F2047" s="284"/>
      <c r="G2047" s="284"/>
      <c r="H2047" s="284"/>
      <c r="I2047" s="284"/>
      <c r="J2047" s="375"/>
      <c r="K2047" s="375"/>
      <c r="L2047" s="375"/>
      <c r="M2047" s="368"/>
      <c r="N2047" s="368"/>
      <c r="O2047" s="370"/>
      <c r="T2047" s="349"/>
      <c r="V2047" s="378"/>
      <c r="W2047" s="64" ph="1"/>
      <c r="X2047" s="241"/>
      <c r="Y2047" s="284"/>
      <c r="Z2047" s="207"/>
      <c r="AA2047" s="284"/>
      <c r="AB2047" s="284"/>
      <c r="AC2047" s="284"/>
      <c r="AD2047" s="284"/>
      <c r="AE2047" s="284"/>
      <c r="AF2047" s="284"/>
      <c r="AG2047" s="284"/>
    </row>
    <row r="2048" spans="1:33" ht="26.4">
      <c r="A2048" s="284"/>
      <c r="B2048" s="284"/>
      <c r="C2048" s="284"/>
      <c r="D2048" s="284"/>
      <c r="E2048" s="284"/>
      <c r="F2048" s="284"/>
      <c r="G2048" s="284"/>
      <c r="H2048" s="284"/>
      <c r="I2048" s="284"/>
      <c r="J2048" s="375"/>
      <c r="K2048" s="375"/>
      <c r="L2048" s="375"/>
      <c r="M2048" s="368"/>
      <c r="N2048" s="368"/>
      <c r="O2048" s="370"/>
      <c r="T2048" s="349"/>
      <c r="V2048" s="378"/>
      <c r="W2048" s="64" ph="1"/>
      <c r="X2048" s="241"/>
      <c r="Y2048" s="284"/>
      <c r="Z2048" s="207"/>
      <c r="AA2048" s="284"/>
      <c r="AB2048" s="284"/>
      <c r="AC2048" s="284"/>
      <c r="AD2048" s="284"/>
      <c r="AE2048" s="284"/>
      <c r="AF2048" s="284"/>
      <c r="AG2048" s="284"/>
    </row>
    <row r="2049" spans="1:33" ht="26.4">
      <c r="A2049" s="284"/>
      <c r="B2049" s="284"/>
      <c r="C2049" s="284"/>
      <c r="D2049" s="284"/>
      <c r="E2049" s="284"/>
      <c r="F2049" s="284"/>
      <c r="G2049" s="284"/>
      <c r="H2049" s="284"/>
      <c r="I2049" s="284"/>
      <c r="J2049" s="375"/>
      <c r="K2049" s="375"/>
      <c r="L2049" s="375"/>
      <c r="M2049" s="368"/>
      <c r="N2049" s="368"/>
      <c r="O2049" s="370"/>
      <c r="T2049" s="349"/>
      <c r="V2049" s="378"/>
      <c r="W2049" s="64" ph="1"/>
      <c r="X2049" s="241"/>
      <c r="Y2049" s="284"/>
      <c r="Z2049" s="207"/>
      <c r="AA2049" s="284"/>
      <c r="AB2049" s="284"/>
      <c r="AC2049" s="284"/>
      <c r="AD2049" s="284"/>
      <c r="AE2049" s="284"/>
      <c r="AF2049" s="284"/>
      <c r="AG2049" s="284"/>
    </row>
    <row r="2050" spans="1:33" ht="26.4">
      <c r="A2050" s="284"/>
      <c r="B2050" s="284"/>
      <c r="C2050" s="284"/>
      <c r="D2050" s="284"/>
      <c r="E2050" s="284"/>
      <c r="F2050" s="284"/>
      <c r="G2050" s="284"/>
      <c r="H2050" s="284"/>
      <c r="I2050" s="284"/>
      <c r="J2050" s="375"/>
      <c r="K2050" s="375"/>
      <c r="L2050" s="375"/>
      <c r="M2050" s="368"/>
      <c r="N2050" s="368"/>
      <c r="O2050" s="370"/>
      <c r="T2050" s="349"/>
      <c r="V2050" s="378"/>
      <c r="W2050" s="64" ph="1"/>
      <c r="X2050" s="241"/>
      <c r="Y2050" s="284"/>
      <c r="Z2050" s="207"/>
      <c r="AA2050" s="284"/>
      <c r="AB2050" s="284"/>
      <c r="AC2050" s="284"/>
      <c r="AD2050" s="284"/>
      <c r="AE2050" s="284"/>
      <c r="AF2050" s="284"/>
      <c r="AG2050" s="284"/>
    </row>
    <row r="2051" spans="1:33" ht="26.4">
      <c r="A2051" s="284"/>
      <c r="B2051" s="284"/>
      <c r="C2051" s="284"/>
      <c r="D2051" s="284"/>
      <c r="E2051" s="284"/>
      <c r="F2051" s="284"/>
      <c r="G2051" s="284"/>
      <c r="H2051" s="284"/>
      <c r="I2051" s="284"/>
      <c r="J2051" s="375"/>
      <c r="K2051" s="375"/>
      <c r="L2051" s="375"/>
      <c r="M2051" s="368"/>
      <c r="N2051" s="368"/>
      <c r="O2051" s="370"/>
      <c r="T2051" s="349"/>
      <c r="V2051" s="378"/>
      <c r="W2051" s="64" ph="1"/>
      <c r="X2051" s="241"/>
      <c r="Y2051" s="284"/>
      <c r="Z2051" s="207"/>
      <c r="AA2051" s="284"/>
      <c r="AB2051" s="284"/>
      <c r="AC2051" s="284"/>
      <c r="AD2051" s="284"/>
      <c r="AE2051" s="284"/>
      <c r="AF2051" s="284"/>
      <c r="AG2051" s="284"/>
    </row>
    <row r="2052" spans="1:33" ht="26.4">
      <c r="A2052" s="284"/>
      <c r="B2052" s="284"/>
      <c r="C2052" s="284"/>
      <c r="D2052" s="284"/>
      <c r="E2052" s="284"/>
      <c r="F2052" s="284"/>
      <c r="G2052" s="284"/>
      <c r="H2052" s="284"/>
      <c r="I2052" s="284"/>
      <c r="J2052" s="375"/>
      <c r="K2052" s="375"/>
      <c r="L2052" s="375"/>
      <c r="M2052" s="368"/>
      <c r="N2052" s="368"/>
      <c r="O2052" s="370"/>
      <c r="T2052" s="349"/>
      <c r="V2052" s="378"/>
      <c r="W2052" s="64" ph="1"/>
      <c r="X2052" s="241"/>
      <c r="Y2052" s="284"/>
      <c r="Z2052" s="207"/>
      <c r="AA2052" s="284"/>
      <c r="AB2052" s="284"/>
      <c r="AC2052" s="284"/>
      <c r="AD2052" s="284"/>
      <c r="AE2052" s="284"/>
      <c r="AF2052" s="284"/>
      <c r="AG2052" s="284"/>
    </row>
    <row r="2053" spans="1:33" ht="26.4">
      <c r="A2053" s="284"/>
      <c r="B2053" s="284"/>
      <c r="C2053" s="284"/>
      <c r="D2053" s="284"/>
      <c r="E2053" s="284"/>
      <c r="F2053" s="284"/>
      <c r="G2053" s="284"/>
      <c r="H2053" s="284"/>
      <c r="I2053" s="284"/>
      <c r="J2053" s="375"/>
      <c r="K2053" s="375"/>
      <c r="L2053" s="375"/>
      <c r="M2053" s="368"/>
      <c r="N2053" s="368"/>
      <c r="O2053" s="370"/>
      <c r="T2053" s="349"/>
      <c r="V2053" s="378"/>
      <c r="W2053" s="64" ph="1"/>
      <c r="X2053" s="241"/>
      <c r="Y2053" s="284"/>
      <c r="Z2053" s="207"/>
      <c r="AA2053" s="284"/>
      <c r="AB2053" s="284"/>
      <c r="AC2053" s="284"/>
      <c r="AD2053" s="284"/>
      <c r="AE2053" s="284"/>
      <c r="AF2053" s="284"/>
      <c r="AG2053" s="284"/>
    </row>
    <row r="2054" spans="1:33" ht="26.4">
      <c r="A2054" s="284"/>
      <c r="B2054" s="284"/>
      <c r="C2054" s="284"/>
      <c r="D2054" s="284"/>
      <c r="E2054" s="284"/>
      <c r="F2054" s="284"/>
      <c r="G2054" s="284"/>
      <c r="H2054" s="284"/>
      <c r="I2054" s="284"/>
      <c r="J2054" s="375"/>
      <c r="K2054" s="375"/>
      <c r="L2054" s="375"/>
      <c r="M2054" s="368"/>
      <c r="N2054" s="368"/>
      <c r="O2054" s="370"/>
      <c r="T2054" s="349"/>
      <c r="V2054" s="378"/>
      <c r="W2054" s="64" ph="1"/>
      <c r="X2054" s="241"/>
      <c r="Y2054" s="284"/>
      <c r="Z2054" s="207"/>
      <c r="AA2054" s="284"/>
      <c r="AB2054" s="284"/>
      <c r="AC2054" s="284"/>
      <c r="AD2054" s="284"/>
      <c r="AE2054" s="284"/>
      <c r="AF2054" s="284"/>
      <c r="AG2054" s="284"/>
    </row>
    <row r="2055" spans="1:33" ht="26.4">
      <c r="A2055" s="284"/>
      <c r="B2055" s="284"/>
      <c r="C2055" s="284"/>
      <c r="D2055" s="284"/>
      <c r="E2055" s="284"/>
      <c r="F2055" s="284"/>
      <c r="G2055" s="284"/>
      <c r="H2055" s="284"/>
      <c r="I2055" s="284"/>
      <c r="J2055" s="375"/>
      <c r="K2055" s="375"/>
      <c r="L2055" s="375"/>
      <c r="M2055" s="368"/>
      <c r="N2055" s="368"/>
      <c r="O2055" s="370"/>
      <c r="T2055" s="349"/>
      <c r="V2055" s="378"/>
      <c r="W2055" s="64" ph="1"/>
      <c r="X2055" s="241"/>
      <c r="Y2055" s="284"/>
      <c r="Z2055" s="207"/>
      <c r="AA2055" s="284"/>
      <c r="AB2055" s="284"/>
      <c r="AC2055" s="284"/>
      <c r="AD2055" s="284"/>
      <c r="AE2055" s="284"/>
      <c r="AF2055" s="284"/>
      <c r="AG2055" s="284"/>
    </row>
    <row r="2056" spans="1:33" ht="26.4">
      <c r="A2056" s="284"/>
      <c r="B2056" s="284"/>
      <c r="C2056" s="284"/>
      <c r="D2056" s="284"/>
      <c r="E2056" s="284"/>
      <c r="F2056" s="284"/>
      <c r="G2056" s="284"/>
      <c r="H2056" s="284"/>
      <c r="I2056" s="284"/>
      <c r="J2056" s="375"/>
      <c r="K2056" s="375"/>
      <c r="L2056" s="375"/>
      <c r="M2056" s="368"/>
      <c r="N2056" s="368"/>
      <c r="O2056" s="370"/>
      <c r="T2056" s="349"/>
      <c r="V2056" s="378"/>
      <c r="W2056" s="64" ph="1"/>
      <c r="X2056" s="241"/>
      <c r="Y2056" s="284"/>
      <c r="Z2056" s="207"/>
      <c r="AA2056" s="284"/>
      <c r="AB2056" s="284"/>
      <c r="AC2056" s="284"/>
      <c r="AD2056" s="284"/>
      <c r="AE2056" s="284"/>
      <c r="AF2056" s="284"/>
      <c r="AG2056" s="284"/>
    </row>
    <row r="2057" spans="1:33" ht="26.4">
      <c r="A2057" s="284"/>
      <c r="B2057" s="284"/>
      <c r="C2057" s="284"/>
      <c r="D2057" s="284"/>
      <c r="E2057" s="284"/>
      <c r="F2057" s="284"/>
      <c r="G2057" s="284"/>
      <c r="H2057" s="284"/>
      <c r="I2057" s="284"/>
      <c r="J2057" s="375"/>
      <c r="K2057" s="375"/>
      <c r="L2057" s="375"/>
      <c r="M2057" s="368"/>
      <c r="N2057" s="368"/>
      <c r="O2057" s="370"/>
      <c r="T2057" s="349"/>
      <c r="V2057" s="378"/>
      <c r="W2057" s="64" ph="1"/>
      <c r="X2057" s="241"/>
      <c r="Y2057" s="284"/>
      <c r="Z2057" s="207"/>
      <c r="AA2057" s="284"/>
      <c r="AB2057" s="284"/>
      <c r="AC2057" s="284"/>
      <c r="AD2057" s="284"/>
      <c r="AE2057" s="284"/>
      <c r="AF2057" s="284"/>
      <c r="AG2057" s="284"/>
    </row>
    <row r="2058" spans="1:33" ht="26.4">
      <c r="A2058" s="284"/>
      <c r="B2058" s="284"/>
      <c r="C2058" s="284"/>
      <c r="D2058" s="284"/>
      <c r="E2058" s="284"/>
      <c r="F2058" s="284"/>
      <c r="G2058" s="284"/>
      <c r="H2058" s="284"/>
      <c r="I2058" s="284"/>
      <c r="J2058" s="375"/>
      <c r="K2058" s="375"/>
      <c r="L2058" s="375"/>
      <c r="M2058" s="368"/>
      <c r="N2058" s="368"/>
      <c r="O2058" s="370"/>
      <c r="T2058" s="349"/>
      <c r="V2058" s="378"/>
      <c r="W2058" s="64" ph="1"/>
      <c r="X2058" s="241"/>
      <c r="Y2058" s="284"/>
      <c r="Z2058" s="207"/>
      <c r="AA2058" s="284"/>
      <c r="AB2058" s="284"/>
      <c r="AC2058" s="284"/>
      <c r="AD2058" s="284"/>
      <c r="AE2058" s="284"/>
      <c r="AF2058" s="284"/>
      <c r="AG2058" s="284"/>
    </row>
    <row r="2059" spans="1:33" ht="26.4">
      <c r="A2059" s="284"/>
      <c r="B2059" s="284"/>
      <c r="C2059" s="284"/>
      <c r="D2059" s="284"/>
      <c r="E2059" s="284"/>
      <c r="F2059" s="284"/>
      <c r="G2059" s="284"/>
      <c r="H2059" s="284"/>
      <c r="I2059" s="284"/>
      <c r="J2059" s="375"/>
      <c r="K2059" s="375"/>
      <c r="L2059" s="375"/>
      <c r="M2059" s="368"/>
      <c r="N2059" s="368"/>
      <c r="O2059" s="370"/>
      <c r="T2059" s="349"/>
      <c r="V2059" s="378"/>
      <c r="W2059" s="64" ph="1"/>
      <c r="X2059" s="241"/>
      <c r="Y2059" s="284"/>
      <c r="Z2059" s="207"/>
      <c r="AA2059" s="284"/>
      <c r="AB2059" s="284"/>
      <c r="AC2059" s="284"/>
      <c r="AD2059" s="284"/>
      <c r="AE2059" s="284"/>
      <c r="AF2059" s="284"/>
      <c r="AG2059" s="284"/>
    </row>
    <row r="2060" spans="1:33" ht="26.4">
      <c r="A2060" s="284"/>
      <c r="B2060" s="284"/>
      <c r="C2060" s="284"/>
      <c r="D2060" s="284"/>
      <c r="E2060" s="284"/>
      <c r="F2060" s="284"/>
      <c r="G2060" s="284"/>
      <c r="H2060" s="284"/>
      <c r="I2060" s="284"/>
      <c r="J2060" s="375"/>
      <c r="K2060" s="375"/>
      <c r="L2060" s="375"/>
      <c r="M2060" s="368"/>
      <c r="N2060" s="368"/>
      <c r="O2060" s="370"/>
      <c r="T2060" s="349"/>
      <c r="V2060" s="378"/>
      <c r="W2060" s="64" ph="1"/>
      <c r="X2060" s="241"/>
      <c r="Y2060" s="284"/>
      <c r="Z2060" s="207"/>
      <c r="AA2060" s="284"/>
      <c r="AB2060" s="284"/>
      <c r="AC2060" s="284"/>
      <c r="AD2060" s="284"/>
      <c r="AE2060" s="284"/>
      <c r="AF2060" s="284"/>
      <c r="AG2060" s="284"/>
    </row>
    <row r="2061" spans="1:33" ht="26.4">
      <c r="A2061" s="284"/>
      <c r="B2061" s="284"/>
      <c r="C2061" s="284"/>
      <c r="D2061" s="284"/>
      <c r="E2061" s="284"/>
      <c r="F2061" s="284"/>
      <c r="G2061" s="284"/>
      <c r="H2061" s="284"/>
      <c r="I2061" s="284"/>
      <c r="J2061" s="375"/>
      <c r="K2061" s="375"/>
      <c r="L2061" s="375"/>
      <c r="M2061" s="368"/>
      <c r="N2061" s="368"/>
      <c r="O2061" s="370"/>
      <c r="T2061" s="349"/>
      <c r="V2061" s="378"/>
      <c r="W2061" s="64" ph="1"/>
      <c r="X2061" s="241"/>
      <c r="Y2061" s="284"/>
      <c r="Z2061" s="207"/>
      <c r="AA2061" s="284"/>
      <c r="AB2061" s="284"/>
      <c r="AC2061" s="284"/>
      <c r="AD2061" s="284"/>
      <c r="AE2061" s="284"/>
      <c r="AF2061" s="284"/>
      <c r="AG2061" s="284"/>
    </row>
    <row r="2062" spans="1:33" ht="26.4">
      <c r="A2062" s="284"/>
      <c r="B2062" s="284"/>
      <c r="C2062" s="284"/>
      <c r="D2062" s="284"/>
      <c r="E2062" s="284"/>
      <c r="F2062" s="284"/>
      <c r="G2062" s="284"/>
      <c r="H2062" s="284"/>
      <c r="I2062" s="284"/>
      <c r="J2062" s="375"/>
      <c r="K2062" s="375"/>
      <c r="L2062" s="375"/>
      <c r="M2062" s="368"/>
      <c r="N2062" s="368"/>
      <c r="O2062" s="370"/>
      <c r="T2062" s="349"/>
      <c r="V2062" s="378"/>
      <c r="W2062" s="64" ph="1"/>
      <c r="X2062" s="241"/>
      <c r="Y2062" s="284"/>
      <c r="Z2062" s="207"/>
      <c r="AA2062" s="284"/>
      <c r="AB2062" s="284"/>
      <c r="AC2062" s="284"/>
      <c r="AD2062" s="284"/>
      <c r="AE2062" s="284"/>
      <c r="AF2062" s="284"/>
      <c r="AG2062" s="284"/>
    </row>
    <row r="2063" spans="1:33" ht="26.4">
      <c r="A2063" s="284"/>
      <c r="B2063" s="284"/>
      <c r="C2063" s="284"/>
      <c r="D2063" s="284"/>
      <c r="E2063" s="284"/>
      <c r="F2063" s="284"/>
      <c r="G2063" s="284"/>
      <c r="H2063" s="284"/>
      <c r="I2063" s="284"/>
      <c r="J2063" s="375"/>
      <c r="K2063" s="375"/>
      <c r="L2063" s="375"/>
      <c r="M2063" s="368"/>
      <c r="N2063" s="368"/>
      <c r="O2063" s="370"/>
      <c r="T2063" s="349"/>
      <c r="V2063" s="378"/>
      <c r="W2063" s="64" ph="1"/>
      <c r="X2063" s="241"/>
      <c r="Y2063" s="284"/>
      <c r="Z2063" s="207"/>
      <c r="AA2063" s="284"/>
      <c r="AB2063" s="284"/>
      <c r="AC2063" s="284"/>
      <c r="AD2063" s="284"/>
      <c r="AE2063" s="284"/>
      <c r="AF2063" s="284"/>
      <c r="AG2063" s="284"/>
    </row>
    <row r="2064" spans="1:33" ht="26.4">
      <c r="A2064" s="284"/>
      <c r="B2064" s="284"/>
      <c r="C2064" s="284"/>
      <c r="D2064" s="284"/>
      <c r="E2064" s="284"/>
      <c r="F2064" s="284"/>
      <c r="G2064" s="284"/>
      <c r="H2064" s="284"/>
      <c r="I2064" s="284"/>
      <c r="J2064" s="375"/>
      <c r="K2064" s="375"/>
      <c r="L2064" s="375"/>
      <c r="M2064" s="368"/>
      <c r="N2064" s="368"/>
      <c r="O2064" s="370"/>
      <c r="T2064" s="349"/>
      <c r="V2064" s="378"/>
      <c r="W2064" s="64" ph="1"/>
      <c r="X2064" s="241"/>
      <c r="Y2064" s="284"/>
      <c r="Z2064" s="207"/>
      <c r="AA2064" s="284"/>
      <c r="AB2064" s="284"/>
      <c r="AC2064" s="284"/>
      <c r="AD2064" s="284"/>
      <c r="AE2064" s="284"/>
      <c r="AF2064" s="284"/>
      <c r="AG2064" s="284"/>
    </row>
    <row r="2065" spans="1:33" ht="26.4">
      <c r="A2065" s="284"/>
      <c r="B2065" s="284"/>
      <c r="C2065" s="284"/>
      <c r="D2065" s="284"/>
      <c r="E2065" s="284"/>
      <c r="F2065" s="284"/>
      <c r="G2065" s="284"/>
      <c r="H2065" s="284"/>
      <c r="I2065" s="284"/>
      <c r="J2065" s="375"/>
      <c r="K2065" s="375"/>
      <c r="L2065" s="375"/>
      <c r="M2065" s="368"/>
      <c r="N2065" s="368"/>
      <c r="O2065" s="370"/>
      <c r="T2065" s="349"/>
      <c r="V2065" s="378"/>
      <c r="W2065" s="64" ph="1"/>
      <c r="X2065" s="241"/>
      <c r="Y2065" s="284"/>
      <c r="Z2065" s="207"/>
      <c r="AA2065" s="284"/>
      <c r="AB2065" s="284"/>
      <c r="AC2065" s="284"/>
      <c r="AD2065" s="284"/>
      <c r="AE2065" s="284"/>
      <c r="AF2065" s="284"/>
      <c r="AG2065" s="284"/>
    </row>
    <row r="2066" spans="1:33" ht="26.4">
      <c r="A2066" s="284"/>
      <c r="B2066" s="284"/>
      <c r="C2066" s="284"/>
      <c r="D2066" s="284"/>
      <c r="E2066" s="284"/>
      <c r="F2066" s="284"/>
      <c r="G2066" s="284"/>
      <c r="H2066" s="284"/>
      <c r="I2066" s="284"/>
      <c r="J2066" s="375"/>
      <c r="K2066" s="375"/>
      <c r="L2066" s="375"/>
      <c r="M2066" s="368"/>
      <c r="N2066" s="368"/>
      <c r="O2066" s="370"/>
      <c r="T2066" s="349"/>
      <c r="V2066" s="378"/>
      <c r="W2066" s="64" ph="1"/>
      <c r="X2066" s="241"/>
      <c r="Y2066" s="284"/>
      <c r="Z2066" s="207"/>
      <c r="AA2066" s="284"/>
      <c r="AB2066" s="284"/>
      <c r="AC2066" s="284"/>
      <c r="AD2066" s="284"/>
      <c r="AE2066" s="284"/>
      <c r="AF2066" s="284"/>
      <c r="AG2066" s="284"/>
    </row>
    <row r="2067" spans="1:33" ht="26.4">
      <c r="A2067" s="284"/>
      <c r="B2067" s="284"/>
      <c r="C2067" s="284"/>
      <c r="D2067" s="284"/>
      <c r="E2067" s="284"/>
      <c r="F2067" s="284"/>
      <c r="G2067" s="284"/>
      <c r="H2067" s="284"/>
      <c r="I2067" s="284"/>
      <c r="J2067" s="375"/>
      <c r="K2067" s="375"/>
      <c r="L2067" s="375"/>
      <c r="M2067" s="368"/>
      <c r="N2067" s="368"/>
      <c r="O2067" s="370"/>
      <c r="T2067" s="349"/>
      <c r="V2067" s="378"/>
      <c r="W2067" s="64" ph="1"/>
      <c r="X2067" s="241"/>
      <c r="Y2067" s="284"/>
      <c r="Z2067" s="207"/>
      <c r="AA2067" s="284"/>
      <c r="AB2067" s="284"/>
      <c r="AC2067" s="284"/>
      <c r="AD2067" s="284"/>
      <c r="AE2067" s="284"/>
      <c r="AF2067" s="284"/>
      <c r="AG2067" s="284"/>
    </row>
    <row r="2068" spans="1:33" ht="26.4">
      <c r="A2068" s="284"/>
      <c r="B2068" s="284"/>
      <c r="C2068" s="284"/>
      <c r="D2068" s="284"/>
      <c r="E2068" s="284"/>
      <c r="F2068" s="284"/>
      <c r="G2068" s="284"/>
      <c r="H2068" s="284"/>
      <c r="I2068" s="284"/>
      <c r="J2068" s="375"/>
      <c r="K2068" s="375"/>
      <c r="L2068" s="375"/>
      <c r="M2068" s="368"/>
      <c r="N2068" s="368"/>
      <c r="O2068" s="370"/>
      <c r="T2068" s="349"/>
      <c r="V2068" s="378"/>
      <c r="W2068" s="64" ph="1"/>
      <c r="X2068" s="241"/>
      <c r="Y2068" s="284"/>
      <c r="Z2068" s="207"/>
      <c r="AA2068" s="284"/>
      <c r="AB2068" s="284"/>
      <c r="AC2068" s="284"/>
      <c r="AD2068" s="284"/>
      <c r="AE2068" s="284"/>
      <c r="AF2068" s="284"/>
      <c r="AG2068" s="284"/>
    </row>
    <row r="2069" spans="1:33" ht="26.4">
      <c r="A2069" s="284"/>
      <c r="B2069" s="284"/>
      <c r="C2069" s="284"/>
      <c r="D2069" s="284"/>
      <c r="E2069" s="284"/>
      <c r="F2069" s="284"/>
      <c r="G2069" s="284"/>
      <c r="H2069" s="284"/>
      <c r="I2069" s="284"/>
      <c r="J2069" s="375"/>
      <c r="K2069" s="375"/>
      <c r="L2069" s="375"/>
      <c r="M2069" s="368"/>
      <c r="N2069" s="368"/>
      <c r="O2069" s="370"/>
      <c r="T2069" s="349"/>
      <c r="V2069" s="378"/>
      <c r="W2069" s="64" ph="1"/>
      <c r="X2069" s="241"/>
      <c r="Y2069" s="284"/>
      <c r="Z2069" s="207"/>
      <c r="AA2069" s="284"/>
      <c r="AB2069" s="284"/>
      <c r="AC2069" s="284"/>
      <c r="AD2069" s="284"/>
      <c r="AE2069" s="284"/>
      <c r="AF2069" s="284"/>
      <c r="AG2069" s="284"/>
    </row>
    <row r="2070" spans="1:33" ht="26.4">
      <c r="A2070" s="284"/>
      <c r="B2070" s="284"/>
      <c r="C2070" s="284"/>
      <c r="D2070" s="284"/>
      <c r="E2070" s="284"/>
      <c r="F2070" s="284"/>
      <c r="G2070" s="284"/>
      <c r="H2070" s="284"/>
      <c r="I2070" s="284"/>
      <c r="J2070" s="375"/>
      <c r="K2070" s="375"/>
      <c r="L2070" s="375"/>
      <c r="M2070" s="368"/>
      <c r="N2070" s="368"/>
      <c r="O2070" s="370"/>
      <c r="T2070" s="349"/>
      <c r="V2070" s="378"/>
      <c r="W2070" s="64" ph="1"/>
      <c r="X2070" s="241"/>
      <c r="Y2070" s="284"/>
      <c r="Z2070" s="207"/>
      <c r="AA2070" s="284"/>
      <c r="AB2070" s="284"/>
      <c r="AC2070" s="284"/>
      <c r="AD2070" s="284"/>
      <c r="AE2070" s="284"/>
      <c r="AF2070" s="284"/>
      <c r="AG2070" s="284"/>
    </row>
    <row r="2071" spans="1:33" ht="26.4">
      <c r="A2071" s="284"/>
      <c r="B2071" s="284"/>
      <c r="C2071" s="284"/>
      <c r="D2071" s="284"/>
      <c r="E2071" s="284"/>
      <c r="F2071" s="284"/>
      <c r="G2071" s="284"/>
      <c r="H2071" s="284"/>
      <c r="I2071" s="284"/>
      <c r="J2071" s="375"/>
      <c r="K2071" s="375"/>
      <c r="L2071" s="375"/>
      <c r="M2071" s="368"/>
      <c r="N2071" s="368"/>
      <c r="O2071" s="370"/>
      <c r="T2071" s="349"/>
      <c r="V2071" s="378"/>
      <c r="W2071" s="64" ph="1"/>
      <c r="X2071" s="241"/>
      <c r="Y2071" s="284"/>
      <c r="Z2071" s="207"/>
      <c r="AA2071" s="284"/>
      <c r="AB2071" s="284"/>
      <c r="AC2071" s="284"/>
      <c r="AD2071" s="284"/>
      <c r="AE2071" s="284"/>
      <c r="AF2071" s="284"/>
      <c r="AG2071" s="284"/>
    </row>
    <row r="2072" spans="1:33" ht="26.4">
      <c r="A2072" s="284"/>
      <c r="B2072" s="284"/>
      <c r="C2072" s="284"/>
      <c r="D2072" s="284"/>
      <c r="E2072" s="284"/>
      <c r="F2072" s="284"/>
      <c r="G2072" s="284"/>
      <c r="H2072" s="284"/>
      <c r="I2072" s="284"/>
      <c r="J2072" s="375"/>
      <c r="K2072" s="375"/>
      <c r="L2072" s="375"/>
      <c r="M2072" s="368"/>
      <c r="N2072" s="368"/>
      <c r="O2072" s="370"/>
      <c r="T2072" s="349"/>
      <c r="V2072" s="378"/>
      <c r="W2072" s="64" ph="1"/>
      <c r="X2072" s="241"/>
      <c r="Y2072" s="284"/>
      <c r="Z2072" s="207"/>
      <c r="AA2072" s="284"/>
      <c r="AB2072" s="284"/>
      <c r="AC2072" s="284"/>
      <c r="AD2072" s="284"/>
      <c r="AE2072" s="284"/>
      <c r="AF2072" s="284"/>
      <c r="AG2072" s="284"/>
    </row>
    <row r="2073" spans="1:33" ht="26.4">
      <c r="A2073" s="284"/>
      <c r="B2073" s="284"/>
      <c r="C2073" s="284"/>
      <c r="D2073" s="284"/>
      <c r="E2073" s="284"/>
      <c r="F2073" s="284"/>
      <c r="G2073" s="284"/>
      <c r="H2073" s="284"/>
      <c r="I2073" s="284"/>
      <c r="J2073" s="375"/>
      <c r="K2073" s="375"/>
      <c r="L2073" s="375"/>
      <c r="M2073" s="368"/>
      <c r="N2073" s="368"/>
      <c r="O2073" s="370"/>
      <c r="T2073" s="349"/>
      <c r="V2073" s="378"/>
      <c r="W2073" s="64" ph="1"/>
      <c r="X2073" s="241"/>
      <c r="Y2073" s="284"/>
      <c r="Z2073" s="207"/>
      <c r="AA2073" s="284"/>
      <c r="AB2073" s="284"/>
      <c r="AC2073" s="284"/>
      <c r="AD2073" s="284"/>
      <c r="AE2073" s="284"/>
      <c r="AF2073" s="284"/>
      <c r="AG2073" s="284"/>
    </row>
    <row r="2074" spans="1:33" ht="26.4">
      <c r="A2074" s="284"/>
      <c r="B2074" s="284"/>
      <c r="C2074" s="284"/>
      <c r="D2074" s="284"/>
      <c r="E2074" s="284"/>
      <c r="F2074" s="284"/>
      <c r="G2074" s="284"/>
      <c r="H2074" s="284"/>
      <c r="I2074" s="284"/>
      <c r="J2074" s="375"/>
      <c r="K2074" s="375"/>
      <c r="L2074" s="375"/>
      <c r="M2074" s="368"/>
      <c r="N2074" s="368"/>
      <c r="O2074" s="370"/>
      <c r="T2074" s="349"/>
      <c r="V2074" s="378"/>
      <c r="W2074" s="64" ph="1"/>
      <c r="X2074" s="241"/>
      <c r="Y2074" s="284"/>
      <c r="Z2074" s="207"/>
      <c r="AA2074" s="284"/>
      <c r="AB2074" s="284"/>
      <c r="AC2074" s="284"/>
      <c r="AD2074" s="284"/>
      <c r="AE2074" s="284"/>
      <c r="AF2074" s="284"/>
      <c r="AG2074" s="284"/>
    </row>
    <row r="2075" spans="1:33" ht="26.4">
      <c r="A2075" s="284"/>
      <c r="B2075" s="284"/>
      <c r="C2075" s="284"/>
      <c r="D2075" s="284"/>
      <c r="E2075" s="284"/>
      <c r="F2075" s="284"/>
      <c r="G2075" s="284"/>
      <c r="H2075" s="284"/>
      <c r="I2075" s="284"/>
      <c r="J2075" s="375"/>
      <c r="K2075" s="375"/>
      <c r="L2075" s="375"/>
      <c r="M2075" s="368"/>
      <c r="N2075" s="368"/>
      <c r="O2075" s="370"/>
      <c r="T2075" s="349"/>
      <c r="V2075" s="378"/>
      <c r="W2075" s="64" ph="1"/>
      <c r="X2075" s="241"/>
      <c r="Y2075" s="284"/>
      <c r="Z2075" s="207"/>
      <c r="AA2075" s="284"/>
      <c r="AB2075" s="284"/>
      <c r="AC2075" s="284"/>
      <c r="AD2075" s="284"/>
      <c r="AE2075" s="284"/>
      <c r="AF2075" s="284"/>
      <c r="AG2075" s="284"/>
    </row>
    <row r="2076" spans="1:33" ht="26.4">
      <c r="A2076" s="284"/>
      <c r="B2076" s="284"/>
      <c r="C2076" s="284"/>
      <c r="D2076" s="284"/>
      <c r="E2076" s="284"/>
      <c r="F2076" s="284"/>
      <c r="G2076" s="284"/>
      <c r="H2076" s="284"/>
      <c r="I2076" s="284"/>
      <c r="J2076" s="375"/>
      <c r="K2076" s="375"/>
      <c r="L2076" s="375"/>
      <c r="M2076" s="368"/>
      <c r="N2076" s="368"/>
      <c r="O2076" s="370"/>
      <c r="T2076" s="349"/>
      <c r="V2076" s="378"/>
      <c r="W2076" s="64" ph="1"/>
      <c r="X2076" s="241"/>
      <c r="Y2076" s="284"/>
      <c r="Z2076" s="207"/>
      <c r="AA2076" s="284"/>
      <c r="AB2076" s="284"/>
      <c r="AC2076" s="284"/>
      <c r="AD2076" s="284"/>
      <c r="AE2076" s="284"/>
      <c r="AF2076" s="284"/>
      <c r="AG2076" s="284"/>
    </row>
    <row r="2077" spans="1:33" ht="26.4">
      <c r="A2077" s="284"/>
      <c r="B2077" s="284"/>
      <c r="C2077" s="284"/>
      <c r="D2077" s="284"/>
      <c r="E2077" s="284"/>
      <c r="F2077" s="284"/>
      <c r="G2077" s="284"/>
      <c r="H2077" s="284"/>
      <c r="I2077" s="284"/>
      <c r="J2077" s="375"/>
      <c r="K2077" s="375"/>
      <c r="L2077" s="375"/>
      <c r="M2077" s="368"/>
      <c r="N2077" s="368"/>
      <c r="O2077" s="370"/>
      <c r="T2077" s="349"/>
      <c r="V2077" s="378"/>
      <c r="W2077" s="64" ph="1"/>
      <c r="X2077" s="241"/>
      <c r="Y2077" s="284"/>
      <c r="Z2077" s="207"/>
      <c r="AA2077" s="284"/>
      <c r="AB2077" s="284"/>
      <c r="AC2077" s="284"/>
      <c r="AD2077" s="284"/>
      <c r="AE2077" s="284"/>
      <c r="AF2077" s="284"/>
      <c r="AG2077" s="284"/>
    </row>
    <row r="2078" spans="1:33" ht="26.4">
      <c r="A2078" s="284"/>
      <c r="B2078" s="284"/>
      <c r="C2078" s="284"/>
      <c r="D2078" s="284"/>
      <c r="E2078" s="284"/>
      <c r="F2078" s="284"/>
      <c r="G2078" s="284"/>
      <c r="H2078" s="284"/>
      <c r="I2078" s="284"/>
      <c r="J2078" s="375"/>
      <c r="K2078" s="375"/>
      <c r="L2078" s="375"/>
      <c r="M2078" s="368"/>
      <c r="N2078" s="368"/>
      <c r="O2078" s="370"/>
      <c r="T2078" s="349"/>
      <c r="V2078" s="378"/>
      <c r="W2078" s="64" ph="1"/>
      <c r="X2078" s="241"/>
      <c r="Y2078" s="284"/>
      <c r="Z2078" s="207"/>
      <c r="AA2078" s="284"/>
      <c r="AB2078" s="284"/>
      <c r="AC2078" s="284"/>
      <c r="AD2078" s="284"/>
      <c r="AE2078" s="284"/>
      <c r="AF2078" s="284"/>
      <c r="AG2078" s="284"/>
    </row>
    <row r="2079" spans="1:33" ht="26.4">
      <c r="A2079" s="284"/>
      <c r="B2079" s="284"/>
      <c r="C2079" s="284"/>
      <c r="D2079" s="284"/>
      <c r="E2079" s="284"/>
      <c r="F2079" s="284"/>
      <c r="G2079" s="284"/>
      <c r="H2079" s="284"/>
      <c r="I2079" s="284"/>
      <c r="J2079" s="375"/>
      <c r="K2079" s="375"/>
      <c r="L2079" s="375"/>
      <c r="M2079" s="368"/>
      <c r="N2079" s="368"/>
      <c r="O2079" s="370"/>
      <c r="T2079" s="349"/>
      <c r="V2079" s="378"/>
      <c r="W2079" s="64" ph="1"/>
      <c r="X2079" s="241"/>
      <c r="Y2079" s="284"/>
      <c r="Z2079" s="207"/>
      <c r="AA2079" s="284"/>
      <c r="AB2079" s="284"/>
      <c r="AC2079" s="284"/>
      <c r="AD2079" s="284"/>
      <c r="AE2079" s="284"/>
      <c r="AF2079" s="284"/>
      <c r="AG2079" s="284"/>
    </row>
    <row r="2080" spans="1:33" ht="26.4">
      <c r="A2080" s="284"/>
      <c r="B2080" s="284"/>
      <c r="C2080" s="284"/>
      <c r="D2080" s="284"/>
      <c r="E2080" s="284"/>
      <c r="F2080" s="284"/>
      <c r="G2080" s="284"/>
      <c r="H2080" s="284"/>
      <c r="I2080" s="284"/>
      <c r="J2080" s="375"/>
      <c r="K2080" s="375"/>
      <c r="L2080" s="375"/>
      <c r="M2080" s="368"/>
      <c r="N2080" s="368"/>
      <c r="O2080" s="370"/>
      <c r="T2080" s="349"/>
      <c r="V2080" s="378"/>
      <c r="W2080" s="64" ph="1"/>
      <c r="X2080" s="241"/>
      <c r="Y2080" s="284"/>
      <c r="Z2080" s="207"/>
      <c r="AA2080" s="284"/>
      <c r="AB2080" s="284"/>
      <c r="AC2080" s="284"/>
      <c r="AD2080" s="284"/>
      <c r="AE2080" s="284"/>
      <c r="AF2080" s="284"/>
      <c r="AG2080" s="284"/>
    </row>
    <row r="2081" spans="1:33" ht="26.4">
      <c r="A2081" s="284"/>
      <c r="B2081" s="284"/>
      <c r="C2081" s="284"/>
      <c r="D2081" s="284"/>
      <c r="E2081" s="284"/>
      <c r="F2081" s="284"/>
      <c r="G2081" s="284"/>
      <c r="H2081" s="284"/>
      <c r="I2081" s="284"/>
      <c r="J2081" s="375"/>
      <c r="K2081" s="375"/>
      <c r="L2081" s="375"/>
      <c r="M2081" s="368"/>
      <c r="N2081" s="368"/>
      <c r="O2081" s="370"/>
      <c r="T2081" s="349"/>
      <c r="V2081" s="378"/>
      <c r="W2081" s="64" ph="1"/>
      <c r="X2081" s="241"/>
      <c r="Y2081" s="284"/>
      <c r="Z2081" s="207"/>
      <c r="AA2081" s="284"/>
      <c r="AB2081" s="284"/>
      <c r="AC2081" s="284"/>
      <c r="AD2081" s="284"/>
      <c r="AE2081" s="284"/>
      <c r="AF2081" s="284"/>
      <c r="AG2081" s="284"/>
    </row>
    <row r="2082" spans="1:33" ht="26.4">
      <c r="A2082" s="284"/>
      <c r="B2082" s="284"/>
      <c r="C2082" s="284"/>
      <c r="D2082" s="284"/>
      <c r="E2082" s="284"/>
      <c r="F2082" s="284"/>
      <c r="G2082" s="284"/>
      <c r="H2082" s="284"/>
      <c r="I2082" s="284"/>
      <c r="J2082" s="375"/>
      <c r="K2082" s="375"/>
      <c r="L2082" s="375"/>
      <c r="M2082" s="368"/>
      <c r="N2082" s="368"/>
      <c r="O2082" s="370"/>
      <c r="T2082" s="349"/>
      <c r="V2082" s="378"/>
      <c r="W2082" s="64" ph="1"/>
      <c r="X2082" s="241"/>
      <c r="Y2082" s="284"/>
      <c r="Z2082" s="207"/>
      <c r="AA2082" s="284"/>
      <c r="AB2082" s="284"/>
      <c r="AC2082" s="284"/>
      <c r="AD2082" s="284"/>
      <c r="AE2082" s="284"/>
      <c r="AF2082" s="284"/>
      <c r="AG2082" s="284"/>
    </row>
    <row r="2083" spans="1:33" ht="26.4">
      <c r="A2083" s="284"/>
      <c r="B2083" s="284"/>
      <c r="C2083" s="284"/>
      <c r="D2083" s="284"/>
      <c r="E2083" s="284"/>
      <c r="F2083" s="284"/>
      <c r="G2083" s="284"/>
      <c r="H2083" s="284"/>
      <c r="I2083" s="284"/>
      <c r="J2083" s="375"/>
      <c r="K2083" s="375"/>
      <c r="L2083" s="375"/>
      <c r="M2083" s="368"/>
      <c r="N2083" s="368"/>
      <c r="O2083" s="370"/>
      <c r="T2083" s="349"/>
      <c r="V2083" s="378"/>
      <c r="W2083" s="64" ph="1"/>
      <c r="X2083" s="241"/>
      <c r="Y2083" s="284"/>
      <c r="Z2083" s="207"/>
      <c r="AA2083" s="284"/>
      <c r="AB2083" s="284"/>
      <c r="AC2083" s="284"/>
      <c r="AD2083" s="284"/>
      <c r="AE2083" s="284"/>
      <c r="AF2083" s="284"/>
      <c r="AG2083" s="284"/>
    </row>
    <row r="2084" spans="1:33" ht="26.4">
      <c r="A2084" s="284"/>
      <c r="B2084" s="284"/>
      <c r="C2084" s="284"/>
      <c r="D2084" s="284"/>
      <c r="E2084" s="284"/>
      <c r="F2084" s="284"/>
      <c r="G2084" s="284"/>
      <c r="H2084" s="284"/>
      <c r="I2084" s="284"/>
      <c r="J2084" s="375"/>
      <c r="K2084" s="375"/>
      <c r="L2084" s="375"/>
      <c r="M2084" s="368"/>
      <c r="N2084" s="368"/>
      <c r="O2084" s="370"/>
      <c r="T2084" s="349"/>
      <c r="V2084" s="378"/>
      <c r="W2084" s="64" ph="1"/>
      <c r="X2084" s="241"/>
      <c r="Y2084" s="284"/>
      <c r="Z2084" s="207"/>
      <c r="AA2084" s="284"/>
      <c r="AB2084" s="284"/>
      <c r="AC2084" s="284"/>
      <c r="AD2084" s="284"/>
      <c r="AE2084" s="284"/>
      <c r="AF2084" s="284"/>
      <c r="AG2084" s="284"/>
    </row>
    <row r="2085" spans="1:33" ht="26.4">
      <c r="A2085" s="284"/>
      <c r="B2085" s="284"/>
      <c r="C2085" s="284"/>
      <c r="D2085" s="284"/>
      <c r="E2085" s="284"/>
      <c r="F2085" s="284"/>
      <c r="G2085" s="284"/>
      <c r="H2085" s="284"/>
      <c r="I2085" s="284"/>
      <c r="J2085" s="375"/>
      <c r="K2085" s="375"/>
      <c r="L2085" s="375"/>
      <c r="M2085" s="368"/>
      <c r="N2085" s="368"/>
      <c r="O2085" s="370"/>
      <c r="T2085" s="349"/>
      <c r="V2085" s="378"/>
      <c r="W2085" s="64" ph="1"/>
      <c r="X2085" s="241"/>
      <c r="Y2085" s="284"/>
      <c r="Z2085" s="207"/>
      <c r="AA2085" s="284"/>
      <c r="AB2085" s="284"/>
      <c r="AC2085" s="284"/>
      <c r="AD2085" s="284"/>
      <c r="AE2085" s="284"/>
      <c r="AF2085" s="284"/>
      <c r="AG2085" s="284"/>
    </row>
    <row r="2086" spans="1:33" ht="26.4">
      <c r="A2086" s="284"/>
      <c r="B2086" s="284"/>
      <c r="C2086" s="284"/>
      <c r="D2086" s="284"/>
      <c r="E2086" s="284"/>
      <c r="F2086" s="284"/>
      <c r="G2086" s="284"/>
      <c r="H2086" s="284"/>
      <c r="I2086" s="284"/>
      <c r="J2086" s="375"/>
      <c r="K2086" s="375"/>
      <c r="L2086" s="375"/>
      <c r="M2086" s="368"/>
      <c r="N2086" s="368"/>
      <c r="O2086" s="370"/>
      <c r="T2086" s="349"/>
      <c r="V2086" s="378"/>
      <c r="W2086" s="64" ph="1"/>
      <c r="X2086" s="241"/>
      <c r="Y2086" s="284"/>
      <c r="Z2086" s="207"/>
      <c r="AA2086" s="284"/>
      <c r="AB2086" s="284"/>
      <c r="AC2086" s="284"/>
      <c r="AD2086" s="284"/>
      <c r="AE2086" s="284"/>
      <c r="AF2086" s="284"/>
      <c r="AG2086" s="284"/>
    </row>
    <row r="2087" spans="1:33" ht="26.4">
      <c r="A2087" s="284"/>
      <c r="B2087" s="284"/>
      <c r="C2087" s="284"/>
      <c r="D2087" s="284"/>
      <c r="E2087" s="284"/>
      <c r="F2087" s="284"/>
      <c r="G2087" s="284"/>
      <c r="H2087" s="284"/>
      <c r="I2087" s="284"/>
      <c r="J2087" s="375"/>
      <c r="K2087" s="375"/>
      <c r="L2087" s="375"/>
      <c r="M2087" s="368"/>
      <c r="N2087" s="368"/>
      <c r="O2087" s="370"/>
      <c r="T2087" s="349"/>
      <c r="V2087" s="378"/>
      <c r="W2087" s="64" ph="1"/>
      <c r="X2087" s="241"/>
      <c r="Y2087" s="284"/>
      <c r="Z2087" s="207"/>
      <c r="AA2087" s="284"/>
      <c r="AB2087" s="284"/>
      <c r="AC2087" s="284"/>
      <c r="AD2087" s="284"/>
      <c r="AE2087" s="284"/>
      <c r="AF2087" s="284"/>
      <c r="AG2087" s="284"/>
    </row>
    <row r="2088" spans="1:33" ht="26.4">
      <c r="A2088" s="284"/>
      <c r="B2088" s="284"/>
      <c r="C2088" s="284"/>
      <c r="D2088" s="284"/>
      <c r="E2088" s="284"/>
      <c r="F2088" s="284"/>
      <c r="G2088" s="284"/>
      <c r="H2088" s="284"/>
      <c r="I2088" s="284"/>
      <c r="J2088" s="375"/>
      <c r="K2088" s="375"/>
      <c r="L2088" s="375"/>
      <c r="M2088" s="368"/>
      <c r="N2088" s="368"/>
      <c r="O2088" s="370"/>
      <c r="T2088" s="349"/>
      <c r="V2088" s="378"/>
      <c r="W2088" s="64" ph="1"/>
      <c r="X2088" s="241"/>
      <c r="Y2088" s="284"/>
      <c r="Z2088" s="207"/>
      <c r="AA2088" s="284"/>
      <c r="AB2088" s="284"/>
      <c r="AC2088" s="284"/>
      <c r="AD2088" s="284"/>
      <c r="AE2088" s="284"/>
      <c r="AF2088" s="284"/>
      <c r="AG2088" s="284"/>
    </row>
    <row r="2089" spans="1:33" ht="26.4">
      <c r="A2089" s="284"/>
      <c r="B2089" s="284"/>
      <c r="C2089" s="284"/>
      <c r="D2089" s="284"/>
      <c r="E2089" s="284"/>
      <c r="F2089" s="284"/>
      <c r="G2089" s="284"/>
      <c r="H2089" s="284"/>
      <c r="I2089" s="284"/>
      <c r="J2089" s="375"/>
      <c r="K2089" s="375"/>
      <c r="L2089" s="375"/>
      <c r="M2089" s="368"/>
      <c r="N2089" s="368"/>
      <c r="O2089" s="370"/>
      <c r="T2089" s="349"/>
      <c r="V2089" s="378"/>
      <c r="W2089" s="64" ph="1"/>
      <c r="X2089" s="241"/>
      <c r="Y2089" s="284"/>
      <c r="Z2089" s="207"/>
      <c r="AA2089" s="284"/>
      <c r="AB2089" s="284"/>
      <c r="AC2089" s="284"/>
      <c r="AD2089" s="284"/>
      <c r="AE2089" s="284"/>
      <c r="AF2089" s="284"/>
      <c r="AG2089" s="284"/>
    </row>
    <row r="2090" spans="1:33" ht="26.4">
      <c r="A2090" s="284"/>
      <c r="B2090" s="284"/>
      <c r="C2090" s="284"/>
      <c r="D2090" s="284"/>
      <c r="E2090" s="284"/>
      <c r="F2090" s="284"/>
      <c r="G2090" s="284"/>
      <c r="H2090" s="284"/>
      <c r="I2090" s="284"/>
      <c r="J2090" s="375"/>
      <c r="K2090" s="375"/>
      <c r="L2090" s="375"/>
      <c r="M2090" s="368"/>
      <c r="N2090" s="368"/>
      <c r="O2090" s="370"/>
      <c r="T2090" s="349"/>
      <c r="V2090" s="378"/>
      <c r="W2090" s="64" ph="1"/>
      <c r="X2090" s="241"/>
      <c r="Y2090" s="284"/>
      <c r="Z2090" s="207"/>
      <c r="AA2090" s="284"/>
      <c r="AB2090" s="284"/>
      <c r="AC2090" s="284"/>
      <c r="AD2090" s="284"/>
      <c r="AE2090" s="284"/>
      <c r="AF2090" s="284"/>
      <c r="AG2090" s="284"/>
    </row>
    <row r="2091" spans="1:33" ht="26.4">
      <c r="A2091" s="284"/>
      <c r="B2091" s="284"/>
      <c r="C2091" s="284"/>
      <c r="D2091" s="284"/>
      <c r="E2091" s="284"/>
      <c r="F2091" s="284"/>
      <c r="G2091" s="284"/>
      <c r="H2091" s="284"/>
      <c r="I2091" s="284"/>
      <c r="J2091" s="375"/>
      <c r="K2091" s="375"/>
      <c r="L2091" s="375"/>
      <c r="M2091" s="368"/>
      <c r="N2091" s="368"/>
      <c r="O2091" s="370"/>
      <c r="T2091" s="349"/>
      <c r="V2091" s="378"/>
      <c r="W2091" s="64" ph="1"/>
      <c r="X2091" s="241"/>
      <c r="Y2091" s="284"/>
      <c r="Z2091" s="207"/>
      <c r="AA2091" s="284"/>
      <c r="AB2091" s="284"/>
      <c r="AC2091" s="284"/>
      <c r="AD2091" s="284"/>
      <c r="AE2091" s="284"/>
      <c r="AF2091" s="284"/>
      <c r="AG2091" s="284"/>
    </row>
    <row r="2092" spans="1:33" ht="26.4">
      <c r="A2092" s="284"/>
      <c r="B2092" s="284"/>
      <c r="C2092" s="284"/>
      <c r="D2092" s="284"/>
      <c r="E2092" s="284"/>
      <c r="F2092" s="284"/>
      <c r="G2092" s="284"/>
      <c r="H2092" s="284"/>
      <c r="I2092" s="284"/>
      <c r="J2092" s="375"/>
      <c r="K2092" s="375"/>
      <c r="L2092" s="375"/>
      <c r="M2092" s="368"/>
      <c r="N2092" s="368"/>
      <c r="O2092" s="370"/>
      <c r="T2092" s="349"/>
      <c r="V2092" s="378"/>
      <c r="W2092" s="64" ph="1"/>
      <c r="X2092" s="241"/>
      <c r="Y2092" s="284"/>
      <c r="Z2092" s="207"/>
      <c r="AA2092" s="284"/>
      <c r="AB2092" s="284"/>
      <c r="AC2092" s="284"/>
      <c r="AD2092" s="284"/>
      <c r="AE2092" s="284"/>
      <c r="AF2092" s="284"/>
      <c r="AG2092" s="284"/>
    </row>
    <row r="2093" spans="1:33" ht="26.4">
      <c r="A2093" s="284"/>
      <c r="B2093" s="284"/>
      <c r="C2093" s="284"/>
      <c r="D2093" s="284"/>
      <c r="E2093" s="284"/>
      <c r="F2093" s="284"/>
      <c r="G2093" s="284"/>
      <c r="H2093" s="284"/>
      <c r="I2093" s="284"/>
      <c r="J2093" s="375"/>
      <c r="K2093" s="375"/>
      <c r="L2093" s="375"/>
      <c r="M2093" s="368"/>
      <c r="N2093" s="368"/>
      <c r="O2093" s="370"/>
      <c r="T2093" s="349"/>
      <c r="V2093" s="378"/>
      <c r="W2093" s="64" ph="1"/>
      <c r="X2093" s="241"/>
      <c r="Y2093" s="284"/>
      <c r="Z2093" s="207"/>
      <c r="AA2093" s="284"/>
      <c r="AB2093" s="284"/>
      <c r="AC2093" s="284"/>
      <c r="AD2093" s="284"/>
      <c r="AE2093" s="284"/>
      <c r="AF2093" s="284"/>
      <c r="AG2093" s="284"/>
    </row>
    <row r="2094" spans="1:33" ht="26.4">
      <c r="A2094" s="284"/>
      <c r="B2094" s="284"/>
      <c r="C2094" s="284"/>
      <c r="D2094" s="284"/>
      <c r="E2094" s="284"/>
      <c r="F2094" s="284"/>
      <c r="G2094" s="284"/>
      <c r="H2094" s="284"/>
      <c r="I2094" s="284"/>
      <c r="J2094" s="375"/>
      <c r="K2094" s="375"/>
      <c r="L2094" s="375"/>
      <c r="M2094" s="368"/>
      <c r="N2094" s="368"/>
      <c r="O2094" s="370"/>
      <c r="T2094" s="349"/>
      <c r="V2094" s="378"/>
      <c r="W2094" s="64" ph="1"/>
      <c r="X2094" s="241"/>
      <c r="Y2094" s="284"/>
      <c r="Z2094" s="207"/>
      <c r="AA2094" s="284"/>
      <c r="AB2094" s="284"/>
      <c r="AC2094" s="284"/>
      <c r="AD2094" s="284"/>
      <c r="AE2094" s="284"/>
      <c r="AF2094" s="284"/>
      <c r="AG2094" s="284"/>
    </row>
    <row r="2095" spans="1:33" ht="26.4">
      <c r="A2095" s="284"/>
      <c r="B2095" s="284"/>
      <c r="C2095" s="284"/>
      <c r="D2095" s="284"/>
      <c r="E2095" s="284"/>
      <c r="F2095" s="284"/>
      <c r="G2095" s="284"/>
      <c r="H2095" s="284"/>
      <c r="I2095" s="284"/>
      <c r="J2095" s="375"/>
      <c r="K2095" s="375"/>
      <c r="L2095" s="375"/>
      <c r="M2095" s="368"/>
      <c r="N2095" s="368"/>
      <c r="O2095" s="370"/>
      <c r="T2095" s="349"/>
      <c r="V2095" s="378"/>
      <c r="W2095" s="64" ph="1"/>
      <c r="X2095" s="241"/>
      <c r="Y2095" s="284"/>
      <c r="Z2095" s="207"/>
      <c r="AA2095" s="284"/>
      <c r="AB2095" s="284"/>
      <c r="AC2095" s="284"/>
      <c r="AD2095" s="284"/>
      <c r="AE2095" s="284"/>
      <c r="AF2095" s="284"/>
      <c r="AG2095" s="284"/>
    </row>
    <row r="2096" spans="1:33" ht="26.4">
      <c r="A2096" s="284"/>
      <c r="B2096" s="284"/>
      <c r="C2096" s="284"/>
      <c r="D2096" s="284"/>
      <c r="E2096" s="284"/>
      <c r="F2096" s="284"/>
      <c r="G2096" s="284"/>
      <c r="H2096" s="284"/>
      <c r="I2096" s="284"/>
      <c r="J2096" s="375"/>
      <c r="K2096" s="375"/>
      <c r="L2096" s="375"/>
      <c r="M2096" s="368"/>
      <c r="N2096" s="368"/>
      <c r="O2096" s="370"/>
      <c r="T2096" s="349"/>
      <c r="V2096" s="378"/>
      <c r="W2096" s="64" ph="1"/>
      <c r="X2096" s="241"/>
      <c r="Y2096" s="284"/>
      <c r="Z2096" s="207"/>
      <c r="AA2096" s="284"/>
      <c r="AB2096" s="284"/>
      <c r="AC2096" s="284"/>
      <c r="AD2096" s="284"/>
      <c r="AE2096" s="284"/>
      <c r="AF2096" s="284"/>
      <c r="AG2096" s="284"/>
    </row>
    <row r="2097" spans="1:33" ht="26.4">
      <c r="A2097" s="284"/>
      <c r="B2097" s="284"/>
      <c r="C2097" s="284"/>
      <c r="D2097" s="284"/>
      <c r="E2097" s="284"/>
      <c r="F2097" s="284"/>
      <c r="G2097" s="284"/>
      <c r="H2097" s="284"/>
      <c r="I2097" s="284"/>
      <c r="J2097" s="375"/>
      <c r="K2097" s="375"/>
      <c r="L2097" s="375"/>
      <c r="M2097" s="368"/>
      <c r="N2097" s="368"/>
      <c r="O2097" s="370"/>
      <c r="T2097" s="349"/>
      <c r="V2097" s="378"/>
      <c r="W2097" s="64" ph="1"/>
      <c r="X2097" s="241"/>
      <c r="Y2097" s="284"/>
      <c r="Z2097" s="207"/>
      <c r="AA2097" s="284"/>
      <c r="AB2097" s="284"/>
      <c r="AC2097" s="284"/>
      <c r="AD2097" s="284"/>
      <c r="AE2097" s="284"/>
      <c r="AF2097" s="284"/>
      <c r="AG2097" s="284"/>
    </row>
    <row r="2098" spans="1:33" ht="26.4">
      <c r="A2098" s="284"/>
      <c r="B2098" s="284"/>
      <c r="C2098" s="284"/>
      <c r="D2098" s="284"/>
      <c r="E2098" s="284"/>
      <c r="F2098" s="284"/>
      <c r="G2098" s="284"/>
      <c r="H2098" s="284"/>
      <c r="I2098" s="284"/>
      <c r="J2098" s="375"/>
      <c r="K2098" s="375"/>
      <c r="L2098" s="375"/>
      <c r="M2098" s="368"/>
      <c r="N2098" s="368"/>
      <c r="O2098" s="370"/>
      <c r="T2098" s="349"/>
      <c r="V2098" s="378"/>
      <c r="W2098" s="64" ph="1"/>
      <c r="X2098" s="241"/>
      <c r="Y2098" s="284"/>
      <c r="Z2098" s="207"/>
      <c r="AA2098" s="284"/>
      <c r="AB2098" s="284"/>
      <c r="AC2098" s="284"/>
      <c r="AD2098" s="284"/>
      <c r="AE2098" s="284"/>
      <c r="AF2098" s="284"/>
      <c r="AG2098" s="284"/>
    </row>
    <row r="2099" spans="1:33" ht="26.4">
      <c r="A2099" s="284"/>
      <c r="B2099" s="284"/>
      <c r="C2099" s="284"/>
      <c r="D2099" s="284"/>
      <c r="E2099" s="284"/>
      <c r="F2099" s="284"/>
      <c r="G2099" s="284"/>
      <c r="H2099" s="284"/>
      <c r="I2099" s="284"/>
      <c r="J2099" s="375"/>
      <c r="K2099" s="375"/>
      <c r="L2099" s="375"/>
      <c r="M2099" s="368"/>
      <c r="N2099" s="368"/>
      <c r="O2099" s="370"/>
      <c r="T2099" s="349"/>
      <c r="V2099" s="378"/>
      <c r="W2099" s="64" ph="1"/>
      <c r="X2099" s="241"/>
      <c r="Y2099" s="284"/>
      <c r="Z2099" s="207"/>
      <c r="AA2099" s="284"/>
      <c r="AB2099" s="284"/>
      <c r="AC2099" s="284"/>
      <c r="AD2099" s="284"/>
      <c r="AE2099" s="284"/>
      <c r="AF2099" s="284"/>
      <c r="AG2099" s="284"/>
    </row>
    <row r="2100" spans="1:33" ht="26.4">
      <c r="A2100" s="284"/>
      <c r="B2100" s="284"/>
      <c r="C2100" s="284"/>
      <c r="D2100" s="284"/>
      <c r="E2100" s="284"/>
      <c r="F2100" s="284"/>
      <c r="G2100" s="284"/>
      <c r="H2100" s="284"/>
      <c r="I2100" s="284"/>
      <c r="J2100" s="375"/>
      <c r="K2100" s="375"/>
      <c r="L2100" s="375"/>
      <c r="M2100" s="368"/>
      <c r="N2100" s="368"/>
      <c r="O2100" s="370"/>
      <c r="T2100" s="349"/>
      <c r="V2100" s="378"/>
      <c r="W2100" s="64" ph="1"/>
      <c r="X2100" s="241"/>
      <c r="Y2100" s="284"/>
      <c r="Z2100" s="207"/>
      <c r="AA2100" s="284"/>
      <c r="AB2100" s="284"/>
      <c r="AC2100" s="284"/>
      <c r="AD2100" s="284"/>
      <c r="AE2100" s="284"/>
      <c r="AF2100" s="284"/>
      <c r="AG2100" s="284"/>
    </row>
    <row r="2101" spans="1:33" ht="26.4">
      <c r="A2101" s="284"/>
      <c r="B2101" s="284"/>
      <c r="C2101" s="284"/>
      <c r="D2101" s="284"/>
      <c r="E2101" s="284"/>
      <c r="F2101" s="284"/>
      <c r="G2101" s="284"/>
      <c r="H2101" s="284"/>
      <c r="I2101" s="284"/>
      <c r="J2101" s="375"/>
      <c r="K2101" s="375"/>
      <c r="L2101" s="375"/>
      <c r="M2101" s="368"/>
      <c r="N2101" s="368"/>
      <c r="O2101" s="370"/>
      <c r="T2101" s="349"/>
      <c r="V2101" s="378"/>
      <c r="W2101" s="64" ph="1"/>
      <c r="X2101" s="241"/>
      <c r="Y2101" s="284"/>
      <c r="Z2101" s="207"/>
      <c r="AA2101" s="284"/>
      <c r="AB2101" s="284"/>
      <c r="AC2101" s="284"/>
      <c r="AD2101" s="284"/>
      <c r="AE2101" s="284"/>
      <c r="AF2101" s="284"/>
      <c r="AG2101" s="284"/>
    </row>
    <row r="2102" spans="1:33" ht="26.4">
      <c r="A2102" s="284"/>
      <c r="B2102" s="284"/>
      <c r="C2102" s="284"/>
      <c r="D2102" s="284"/>
      <c r="E2102" s="284"/>
      <c r="F2102" s="284"/>
      <c r="G2102" s="284"/>
      <c r="H2102" s="284"/>
      <c r="I2102" s="284"/>
      <c r="J2102" s="375"/>
      <c r="K2102" s="375"/>
      <c r="L2102" s="375"/>
      <c r="M2102" s="368"/>
      <c r="N2102" s="368"/>
      <c r="O2102" s="370"/>
      <c r="T2102" s="349"/>
      <c r="V2102" s="378"/>
      <c r="W2102" s="64" ph="1"/>
      <c r="X2102" s="241"/>
      <c r="Y2102" s="284"/>
      <c r="Z2102" s="207"/>
      <c r="AA2102" s="284"/>
      <c r="AB2102" s="284"/>
      <c r="AC2102" s="284"/>
      <c r="AD2102" s="284"/>
      <c r="AE2102" s="284"/>
      <c r="AF2102" s="284"/>
      <c r="AG2102" s="284"/>
    </row>
    <row r="2103" spans="1:33" ht="26.4">
      <c r="A2103" s="284"/>
      <c r="B2103" s="284"/>
      <c r="C2103" s="284"/>
      <c r="D2103" s="284"/>
      <c r="E2103" s="284"/>
      <c r="F2103" s="284"/>
      <c r="G2103" s="284"/>
      <c r="H2103" s="284"/>
      <c r="I2103" s="284"/>
      <c r="J2103" s="375"/>
      <c r="K2103" s="375"/>
      <c r="L2103" s="375"/>
      <c r="M2103" s="368"/>
      <c r="N2103" s="368"/>
      <c r="O2103" s="370"/>
      <c r="T2103" s="349"/>
      <c r="V2103" s="378"/>
      <c r="W2103" s="64" ph="1"/>
      <c r="X2103" s="241"/>
      <c r="Y2103" s="284"/>
      <c r="Z2103" s="207"/>
      <c r="AA2103" s="284"/>
      <c r="AB2103" s="284"/>
      <c r="AC2103" s="284"/>
      <c r="AD2103" s="284"/>
      <c r="AE2103" s="284"/>
      <c r="AF2103" s="284"/>
      <c r="AG2103" s="284"/>
    </row>
    <row r="2104" spans="1:33" ht="26.4">
      <c r="A2104" s="284"/>
      <c r="B2104" s="284"/>
      <c r="C2104" s="284"/>
      <c r="D2104" s="284"/>
      <c r="E2104" s="284"/>
      <c r="F2104" s="284"/>
      <c r="G2104" s="284"/>
      <c r="H2104" s="284"/>
      <c r="I2104" s="284"/>
      <c r="J2104" s="375"/>
      <c r="K2104" s="375"/>
      <c r="L2104" s="375"/>
      <c r="M2104" s="368"/>
      <c r="N2104" s="368"/>
      <c r="O2104" s="370"/>
      <c r="T2104" s="349"/>
      <c r="V2104" s="378"/>
      <c r="W2104" s="64" ph="1"/>
      <c r="X2104" s="241"/>
      <c r="Y2104" s="284"/>
      <c r="Z2104" s="207"/>
      <c r="AA2104" s="284"/>
      <c r="AB2104" s="284"/>
      <c r="AC2104" s="284"/>
      <c r="AD2104" s="284"/>
      <c r="AE2104" s="284"/>
      <c r="AF2104" s="284"/>
      <c r="AG2104" s="284"/>
    </row>
    <row r="2105" spans="1:33" ht="26.4">
      <c r="A2105" s="284"/>
      <c r="B2105" s="284"/>
      <c r="C2105" s="284"/>
      <c r="D2105" s="284"/>
      <c r="E2105" s="284"/>
      <c r="F2105" s="284"/>
      <c r="G2105" s="284"/>
      <c r="H2105" s="284"/>
      <c r="I2105" s="284"/>
      <c r="J2105" s="375"/>
      <c r="K2105" s="375"/>
      <c r="L2105" s="375"/>
      <c r="M2105" s="368"/>
      <c r="N2105" s="368"/>
      <c r="O2105" s="370"/>
      <c r="T2105" s="349"/>
      <c r="V2105" s="378"/>
      <c r="W2105" s="64" ph="1"/>
      <c r="X2105" s="241"/>
      <c r="Y2105" s="284"/>
      <c r="Z2105" s="207"/>
      <c r="AA2105" s="284"/>
      <c r="AB2105" s="284"/>
      <c r="AC2105" s="284"/>
      <c r="AD2105" s="284"/>
      <c r="AE2105" s="284"/>
      <c r="AF2105" s="284"/>
      <c r="AG2105" s="284"/>
    </row>
    <row r="2106" spans="1:33" ht="26.4">
      <c r="A2106" s="284"/>
      <c r="B2106" s="284"/>
      <c r="C2106" s="284"/>
      <c r="D2106" s="284"/>
      <c r="E2106" s="284"/>
      <c r="F2106" s="284"/>
      <c r="G2106" s="284"/>
      <c r="H2106" s="284"/>
      <c r="I2106" s="284"/>
      <c r="J2106" s="375"/>
      <c r="K2106" s="375"/>
      <c r="L2106" s="375"/>
      <c r="M2106" s="368"/>
      <c r="N2106" s="368"/>
      <c r="O2106" s="370"/>
      <c r="T2106" s="349"/>
      <c r="V2106" s="378"/>
      <c r="W2106" s="64" ph="1"/>
      <c r="X2106" s="241"/>
      <c r="Y2106" s="284"/>
      <c r="Z2106" s="207"/>
      <c r="AA2106" s="284"/>
      <c r="AB2106" s="284"/>
      <c r="AC2106" s="284"/>
      <c r="AD2106" s="284"/>
      <c r="AE2106" s="284"/>
      <c r="AF2106" s="284"/>
      <c r="AG2106" s="284"/>
    </row>
    <row r="2107" spans="1:33" ht="26.4">
      <c r="A2107" s="284"/>
      <c r="B2107" s="284"/>
      <c r="C2107" s="284"/>
      <c r="D2107" s="284"/>
      <c r="E2107" s="284"/>
      <c r="F2107" s="284"/>
      <c r="G2107" s="284"/>
      <c r="H2107" s="284"/>
      <c r="I2107" s="284"/>
      <c r="J2107" s="375"/>
      <c r="K2107" s="375"/>
      <c r="L2107" s="375"/>
      <c r="M2107" s="368"/>
      <c r="N2107" s="368"/>
      <c r="O2107" s="370"/>
      <c r="T2107" s="349"/>
      <c r="V2107" s="378"/>
      <c r="W2107" s="64" ph="1"/>
      <c r="X2107" s="241"/>
      <c r="Y2107" s="284"/>
      <c r="Z2107" s="207"/>
      <c r="AA2107" s="284"/>
      <c r="AB2107" s="284"/>
      <c r="AC2107" s="284"/>
      <c r="AD2107" s="284"/>
      <c r="AE2107" s="284"/>
      <c r="AF2107" s="284"/>
      <c r="AG2107" s="284"/>
    </row>
    <row r="2108" spans="1:33" ht="26.4">
      <c r="A2108" s="284"/>
      <c r="B2108" s="284"/>
      <c r="C2108" s="284"/>
      <c r="D2108" s="284"/>
      <c r="E2108" s="284"/>
      <c r="F2108" s="284"/>
      <c r="G2108" s="284"/>
      <c r="H2108" s="284"/>
      <c r="I2108" s="284"/>
      <c r="J2108" s="375"/>
      <c r="K2108" s="375"/>
      <c r="L2108" s="375"/>
      <c r="M2108" s="368"/>
      <c r="N2108" s="368"/>
      <c r="O2108" s="370"/>
      <c r="T2108" s="349"/>
      <c r="V2108" s="378"/>
      <c r="W2108" s="64" ph="1"/>
      <c r="X2108" s="241"/>
      <c r="Y2108" s="284"/>
      <c r="Z2108" s="207"/>
      <c r="AA2108" s="284"/>
      <c r="AB2108" s="284"/>
      <c r="AC2108" s="284"/>
      <c r="AD2108" s="284"/>
      <c r="AE2108" s="284"/>
      <c r="AF2108" s="284"/>
      <c r="AG2108" s="284"/>
    </row>
    <row r="2109" spans="1:33" ht="26.4">
      <c r="A2109" s="284"/>
      <c r="B2109" s="284"/>
      <c r="C2109" s="284"/>
      <c r="D2109" s="284"/>
      <c r="E2109" s="284"/>
      <c r="F2109" s="284"/>
      <c r="G2109" s="284"/>
      <c r="H2109" s="284"/>
      <c r="I2109" s="284"/>
      <c r="J2109" s="375"/>
      <c r="K2109" s="375"/>
      <c r="L2109" s="375"/>
      <c r="M2109" s="368"/>
      <c r="N2109" s="368"/>
      <c r="O2109" s="370"/>
      <c r="T2109" s="349"/>
      <c r="V2109" s="378"/>
      <c r="W2109" s="64" ph="1"/>
      <c r="X2109" s="241"/>
      <c r="Y2109" s="284"/>
      <c r="Z2109" s="207"/>
      <c r="AA2109" s="284"/>
      <c r="AB2109" s="284"/>
      <c r="AC2109" s="284"/>
      <c r="AD2109" s="284"/>
      <c r="AE2109" s="284"/>
      <c r="AF2109" s="284"/>
      <c r="AG2109" s="284"/>
    </row>
    <row r="2110" spans="1:33" ht="26.4">
      <c r="A2110" s="284"/>
      <c r="B2110" s="284"/>
      <c r="C2110" s="284"/>
      <c r="D2110" s="284"/>
      <c r="E2110" s="284"/>
      <c r="F2110" s="284"/>
      <c r="G2110" s="284"/>
      <c r="H2110" s="284"/>
      <c r="I2110" s="284"/>
      <c r="J2110" s="375"/>
      <c r="K2110" s="375"/>
      <c r="L2110" s="375"/>
      <c r="M2110" s="368"/>
      <c r="N2110" s="368"/>
      <c r="O2110" s="370"/>
      <c r="T2110" s="349"/>
      <c r="V2110" s="378"/>
      <c r="W2110" s="64" ph="1"/>
      <c r="X2110" s="241"/>
      <c r="Y2110" s="284"/>
      <c r="Z2110" s="207"/>
      <c r="AA2110" s="284"/>
      <c r="AB2110" s="284"/>
      <c r="AC2110" s="284"/>
      <c r="AD2110" s="284"/>
      <c r="AE2110" s="284"/>
      <c r="AF2110" s="284"/>
      <c r="AG2110" s="284"/>
    </row>
    <row r="2111" spans="1:33" ht="26.4">
      <c r="A2111" s="284"/>
      <c r="B2111" s="284"/>
      <c r="C2111" s="284"/>
      <c r="D2111" s="284"/>
      <c r="E2111" s="284"/>
      <c r="F2111" s="284"/>
      <c r="G2111" s="284"/>
      <c r="H2111" s="284"/>
      <c r="I2111" s="284"/>
      <c r="J2111" s="375"/>
      <c r="K2111" s="375"/>
      <c r="L2111" s="375"/>
      <c r="M2111" s="368"/>
      <c r="N2111" s="368"/>
      <c r="O2111" s="370"/>
      <c r="T2111" s="349"/>
      <c r="V2111" s="378"/>
      <c r="W2111" s="64" ph="1"/>
      <c r="X2111" s="241"/>
      <c r="Y2111" s="284"/>
      <c r="Z2111" s="207"/>
      <c r="AA2111" s="284"/>
      <c r="AB2111" s="284"/>
      <c r="AC2111" s="284"/>
      <c r="AD2111" s="284"/>
      <c r="AE2111" s="284"/>
      <c r="AF2111" s="284"/>
      <c r="AG2111" s="284"/>
    </row>
    <row r="2112" spans="1:33" ht="26.4">
      <c r="A2112" s="284"/>
      <c r="B2112" s="284"/>
      <c r="C2112" s="284"/>
      <c r="D2112" s="284"/>
      <c r="E2112" s="284"/>
      <c r="F2112" s="284"/>
      <c r="G2112" s="284"/>
      <c r="H2112" s="284"/>
      <c r="I2112" s="284"/>
      <c r="J2112" s="375"/>
      <c r="K2112" s="375"/>
      <c r="L2112" s="375"/>
      <c r="M2112" s="368"/>
      <c r="N2112" s="368"/>
      <c r="O2112" s="370"/>
      <c r="T2112" s="349"/>
      <c r="V2112" s="378"/>
      <c r="W2112" s="64" ph="1"/>
      <c r="X2112" s="241"/>
      <c r="Y2112" s="284"/>
      <c r="Z2112" s="207"/>
      <c r="AA2112" s="284"/>
      <c r="AB2112" s="284"/>
      <c r="AC2112" s="284"/>
      <c r="AD2112" s="284"/>
      <c r="AE2112" s="284"/>
      <c r="AF2112" s="284"/>
      <c r="AG2112" s="284"/>
    </row>
    <row r="2113" spans="1:33" ht="26.4">
      <c r="A2113" s="284"/>
      <c r="B2113" s="284"/>
      <c r="C2113" s="284"/>
      <c r="D2113" s="284"/>
      <c r="E2113" s="284"/>
      <c r="F2113" s="284"/>
      <c r="G2113" s="284"/>
      <c r="H2113" s="284"/>
      <c r="I2113" s="284"/>
      <c r="J2113" s="375"/>
      <c r="K2113" s="375"/>
      <c r="L2113" s="375"/>
      <c r="M2113" s="368"/>
      <c r="N2113" s="368"/>
      <c r="O2113" s="370"/>
      <c r="T2113" s="349"/>
      <c r="V2113" s="378"/>
      <c r="W2113" s="64" ph="1"/>
      <c r="X2113" s="241"/>
      <c r="Y2113" s="284"/>
      <c r="Z2113" s="207"/>
      <c r="AA2113" s="284"/>
      <c r="AB2113" s="284"/>
      <c r="AC2113" s="284"/>
      <c r="AD2113" s="284"/>
      <c r="AE2113" s="284"/>
      <c r="AF2113" s="284"/>
      <c r="AG2113" s="284"/>
    </row>
    <row r="2114" spans="1:33" ht="26.4">
      <c r="A2114" s="284"/>
      <c r="B2114" s="284"/>
      <c r="C2114" s="284"/>
      <c r="D2114" s="284"/>
      <c r="E2114" s="284"/>
      <c r="F2114" s="284"/>
      <c r="G2114" s="284"/>
      <c r="H2114" s="284"/>
      <c r="I2114" s="284"/>
      <c r="J2114" s="375"/>
      <c r="K2114" s="375"/>
      <c r="L2114" s="375"/>
      <c r="M2114" s="368"/>
      <c r="N2114" s="368"/>
      <c r="O2114" s="370"/>
      <c r="T2114" s="349"/>
      <c r="V2114" s="378"/>
      <c r="W2114" s="64" ph="1"/>
      <c r="X2114" s="241"/>
      <c r="Y2114" s="284"/>
      <c r="Z2114" s="207"/>
      <c r="AA2114" s="284"/>
      <c r="AB2114" s="284"/>
      <c r="AC2114" s="284"/>
      <c r="AD2114" s="284"/>
      <c r="AE2114" s="284"/>
      <c r="AF2114" s="284"/>
      <c r="AG2114" s="284"/>
    </row>
    <row r="2115" spans="1:33" ht="26.4">
      <c r="A2115" s="284"/>
      <c r="B2115" s="284"/>
      <c r="C2115" s="284"/>
      <c r="D2115" s="284"/>
      <c r="E2115" s="284"/>
      <c r="F2115" s="284"/>
      <c r="G2115" s="284"/>
      <c r="H2115" s="284"/>
      <c r="I2115" s="284"/>
      <c r="J2115" s="375"/>
      <c r="K2115" s="375"/>
      <c r="L2115" s="375"/>
      <c r="M2115" s="368"/>
      <c r="N2115" s="368"/>
      <c r="O2115" s="370"/>
      <c r="T2115" s="349"/>
      <c r="V2115" s="378"/>
      <c r="W2115" s="64" ph="1"/>
      <c r="X2115" s="241"/>
      <c r="Y2115" s="284"/>
      <c r="Z2115" s="207"/>
      <c r="AA2115" s="284"/>
      <c r="AB2115" s="284"/>
      <c r="AC2115" s="284"/>
      <c r="AD2115" s="284"/>
      <c r="AE2115" s="284"/>
      <c r="AF2115" s="284"/>
      <c r="AG2115" s="284"/>
    </row>
    <row r="2116" spans="1:33" ht="26.4">
      <c r="A2116" s="284"/>
      <c r="B2116" s="284"/>
      <c r="C2116" s="284"/>
      <c r="D2116" s="284"/>
      <c r="E2116" s="284"/>
      <c r="F2116" s="284"/>
      <c r="G2116" s="284"/>
      <c r="H2116" s="284"/>
      <c r="I2116" s="284"/>
      <c r="J2116" s="375"/>
      <c r="K2116" s="375"/>
      <c r="L2116" s="375"/>
      <c r="M2116" s="368"/>
      <c r="N2116" s="368"/>
      <c r="O2116" s="370"/>
      <c r="T2116" s="349"/>
      <c r="V2116" s="378"/>
      <c r="W2116" s="64" ph="1"/>
      <c r="X2116" s="241"/>
      <c r="Y2116" s="284"/>
      <c r="Z2116" s="207"/>
      <c r="AA2116" s="284"/>
      <c r="AB2116" s="284"/>
      <c r="AC2116" s="284"/>
      <c r="AD2116" s="284"/>
      <c r="AE2116" s="284"/>
      <c r="AF2116" s="284"/>
      <c r="AG2116" s="284"/>
    </row>
    <row r="2117" spans="1:33" ht="26.4">
      <c r="A2117" s="284"/>
      <c r="B2117" s="284"/>
      <c r="C2117" s="284"/>
      <c r="D2117" s="284"/>
      <c r="E2117" s="284"/>
      <c r="F2117" s="284"/>
      <c r="G2117" s="284"/>
      <c r="H2117" s="284"/>
      <c r="I2117" s="284"/>
      <c r="J2117" s="375"/>
      <c r="K2117" s="375"/>
      <c r="L2117" s="375"/>
      <c r="M2117" s="368"/>
      <c r="N2117" s="368"/>
      <c r="O2117" s="370"/>
      <c r="T2117" s="349"/>
      <c r="V2117" s="378"/>
      <c r="W2117" s="64" ph="1"/>
      <c r="X2117" s="241"/>
      <c r="Y2117" s="284"/>
      <c r="Z2117" s="207"/>
      <c r="AA2117" s="284"/>
      <c r="AB2117" s="284"/>
      <c r="AC2117" s="284"/>
      <c r="AD2117" s="284"/>
      <c r="AE2117" s="284"/>
      <c r="AF2117" s="284"/>
      <c r="AG2117" s="284"/>
    </row>
    <row r="2118" spans="1:33" ht="26.4">
      <c r="A2118" s="284"/>
      <c r="B2118" s="284"/>
      <c r="C2118" s="284"/>
      <c r="D2118" s="284"/>
      <c r="E2118" s="284"/>
      <c r="F2118" s="284"/>
      <c r="G2118" s="284"/>
      <c r="H2118" s="284"/>
      <c r="I2118" s="284"/>
      <c r="J2118" s="375"/>
      <c r="K2118" s="375"/>
      <c r="L2118" s="375"/>
      <c r="M2118" s="368"/>
      <c r="N2118" s="368"/>
      <c r="O2118" s="370"/>
      <c r="T2118" s="349"/>
      <c r="V2118" s="378"/>
      <c r="W2118" s="64" ph="1"/>
      <c r="X2118" s="241"/>
      <c r="Y2118" s="284"/>
      <c r="Z2118" s="207"/>
      <c r="AA2118" s="284"/>
      <c r="AB2118" s="284"/>
      <c r="AC2118" s="284"/>
      <c r="AD2118" s="284"/>
      <c r="AE2118" s="284"/>
      <c r="AF2118" s="284"/>
      <c r="AG2118" s="284"/>
    </row>
    <row r="2119" spans="1:33" ht="26.4">
      <c r="A2119" s="284"/>
      <c r="B2119" s="284"/>
      <c r="C2119" s="284"/>
      <c r="D2119" s="284"/>
      <c r="E2119" s="284"/>
      <c r="F2119" s="284"/>
      <c r="G2119" s="284"/>
      <c r="H2119" s="284"/>
      <c r="I2119" s="284"/>
      <c r="J2119" s="375"/>
      <c r="K2119" s="375"/>
      <c r="L2119" s="375"/>
      <c r="M2119" s="368"/>
      <c r="N2119" s="368"/>
      <c r="O2119" s="370"/>
      <c r="T2119" s="349"/>
      <c r="V2119" s="378"/>
      <c r="W2119" s="64" ph="1"/>
      <c r="X2119" s="241"/>
      <c r="Y2119" s="284"/>
      <c r="Z2119" s="207"/>
      <c r="AA2119" s="284"/>
      <c r="AB2119" s="284"/>
      <c r="AC2119" s="284"/>
      <c r="AD2119" s="284"/>
      <c r="AE2119" s="284"/>
      <c r="AF2119" s="284"/>
      <c r="AG2119" s="284"/>
    </row>
    <row r="2120" spans="1:33" ht="26.4">
      <c r="A2120" s="284"/>
      <c r="B2120" s="284"/>
      <c r="C2120" s="284"/>
      <c r="D2120" s="284"/>
      <c r="E2120" s="284"/>
      <c r="F2120" s="284"/>
      <c r="G2120" s="284"/>
      <c r="H2120" s="284"/>
      <c r="I2120" s="284"/>
      <c r="J2120" s="375"/>
      <c r="K2120" s="375"/>
      <c r="L2120" s="375"/>
      <c r="M2120" s="368"/>
      <c r="N2120" s="368"/>
      <c r="O2120" s="370"/>
      <c r="T2120" s="349"/>
      <c r="V2120" s="378"/>
      <c r="W2120" s="64" ph="1"/>
      <c r="X2120" s="241"/>
      <c r="Y2120" s="284"/>
      <c r="Z2120" s="207"/>
      <c r="AA2120" s="284"/>
      <c r="AB2120" s="284"/>
      <c r="AC2120" s="284"/>
      <c r="AD2120" s="284"/>
      <c r="AE2120" s="284"/>
      <c r="AF2120" s="284"/>
      <c r="AG2120" s="284"/>
    </row>
    <row r="2121" spans="1:33" ht="26.4">
      <c r="A2121" s="284"/>
      <c r="B2121" s="284"/>
      <c r="C2121" s="284"/>
      <c r="D2121" s="284"/>
      <c r="E2121" s="284"/>
      <c r="F2121" s="284"/>
      <c r="G2121" s="284"/>
      <c r="H2121" s="284"/>
      <c r="I2121" s="284"/>
      <c r="J2121" s="375"/>
      <c r="K2121" s="375"/>
      <c r="L2121" s="375"/>
      <c r="M2121" s="368"/>
      <c r="N2121" s="368"/>
      <c r="O2121" s="370"/>
      <c r="T2121" s="349"/>
      <c r="V2121" s="378"/>
      <c r="W2121" s="64" ph="1"/>
      <c r="X2121" s="241"/>
      <c r="Y2121" s="284"/>
      <c r="Z2121" s="207"/>
      <c r="AA2121" s="284"/>
      <c r="AB2121" s="284"/>
      <c r="AC2121" s="284"/>
      <c r="AD2121" s="284"/>
      <c r="AE2121" s="284"/>
      <c r="AF2121" s="284"/>
      <c r="AG2121" s="284"/>
    </row>
    <row r="2122" spans="1:33" ht="26.4">
      <c r="A2122" s="284"/>
      <c r="B2122" s="284"/>
      <c r="C2122" s="284"/>
      <c r="D2122" s="284"/>
      <c r="E2122" s="284"/>
      <c r="F2122" s="284"/>
      <c r="G2122" s="284"/>
      <c r="H2122" s="284"/>
      <c r="I2122" s="284"/>
      <c r="J2122" s="375"/>
      <c r="K2122" s="375"/>
      <c r="L2122" s="375"/>
      <c r="M2122" s="368"/>
      <c r="N2122" s="368"/>
      <c r="O2122" s="370"/>
      <c r="T2122" s="349"/>
      <c r="V2122" s="378"/>
      <c r="W2122" s="64" ph="1"/>
      <c r="X2122" s="241"/>
      <c r="Y2122" s="284"/>
      <c r="Z2122" s="207"/>
      <c r="AA2122" s="284"/>
      <c r="AB2122" s="284"/>
      <c r="AC2122" s="284"/>
      <c r="AD2122" s="284"/>
      <c r="AE2122" s="284"/>
      <c r="AF2122" s="284"/>
      <c r="AG2122" s="284"/>
    </row>
    <row r="2123" spans="1:33" ht="26.4">
      <c r="A2123" s="284"/>
      <c r="B2123" s="284"/>
      <c r="C2123" s="284"/>
      <c r="D2123" s="284"/>
      <c r="E2123" s="284"/>
      <c r="F2123" s="284"/>
      <c r="G2123" s="284"/>
      <c r="H2123" s="284"/>
      <c r="I2123" s="284"/>
      <c r="J2123" s="375"/>
      <c r="K2123" s="375"/>
      <c r="L2123" s="375"/>
      <c r="M2123" s="368"/>
      <c r="N2123" s="368"/>
      <c r="O2123" s="370"/>
      <c r="T2123" s="349"/>
      <c r="V2123" s="378"/>
      <c r="W2123" s="64" ph="1"/>
      <c r="X2123" s="241"/>
      <c r="Y2123" s="284"/>
      <c r="Z2123" s="207"/>
      <c r="AA2123" s="284"/>
      <c r="AB2123" s="284"/>
      <c r="AC2123" s="284"/>
      <c r="AD2123" s="284"/>
      <c r="AE2123" s="284"/>
      <c r="AF2123" s="284"/>
      <c r="AG2123" s="284"/>
    </row>
    <row r="2124" spans="1:33" ht="26.4">
      <c r="A2124" s="284"/>
      <c r="B2124" s="284"/>
      <c r="C2124" s="284"/>
      <c r="D2124" s="284"/>
      <c r="E2124" s="284"/>
      <c r="F2124" s="284"/>
      <c r="G2124" s="284"/>
      <c r="H2124" s="284"/>
      <c r="I2124" s="284"/>
      <c r="J2124" s="375"/>
      <c r="K2124" s="375"/>
      <c r="L2124" s="375"/>
      <c r="M2124" s="368"/>
      <c r="N2124" s="368"/>
      <c r="O2124" s="370"/>
      <c r="T2124" s="349"/>
      <c r="V2124" s="378"/>
      <c r="W2124" s="64" ph="1"/>
      <c r="X2124" s="241"/>
      <c r="Y2124" s="284"/>
      <c r="Z2124" s="207"/>
      <c r="AA2124" s="284"/>
      <c r="AB2124" s="284"/>
      <c r="AC2124" s="284"/>
      <c r="AD2124" s="284"/>
      <c r="AE2124" s="284"/>
      <c r="AF2124" s="284"/>
      <c r="AG2124" s="284"/>
    </row>
    <row r="2125" spans="1:33" ht="26.4">
      <c r="A2125" s="284"/>
      <c r="B2125" s="284"/>
      <c r="C2125" s="284"/>
      <c r="D2125" s="284"/>
      <c r="E2125" s="284"/>
      <c r="F2125" s="284"/>
      <c r="G2125" s="284"/>
      <c r="H2125" s="284"/>
      <c r="I2125" s="284"/>
      <c r="J2125" s="375"/>
      <c r="K2125" s="375"/>
      <c r="L2125" s="375"/>
      <c r="M2125" s="368"/>
      <c r="N2125" s="368"/>
      <c r="O2125" s="370"/>
      <c r="T2125" s="349"/>
      <c r="V2125" s="378"/>
      <c r="W2125" s="64" ph="1"/>
      <c r="X2125" s="241"/>
      <c r="Y2125" s="284"/>
      <c r="Z2125" s="207"/>
      <c r="AA2125" s="284"/>
      <c r="AB2125" s="284"/>
      <c r="AC2125" s="284"/>
      <c r="AD2125" s="284"/>
      <c r="AE2125" s="284"/>
      <c r="AF2125" s="284"/>
      <c r="AG2125" s="284"/>
    </row>
    <row r="2126" spans="1:33" ht="26.4">
      <c r="A2126" s="284"/>
      <c r="B2126" s="284"/>
      <c r="C2126" s="284"/>
      <c r="D2126" s="284"/>
      <c r="E2126" s="284"/>
      <c r="F2126" s="284"/>
      <c r="G2126" s="284"/>
      <c r="H2126" s="284"/>
      <c r="I2126" s="284"/>
      <c r="J2126" s="375"/>
      <c r="K2126" s="375"/>
      <c r="L2126" s="375"/>
      <c r="M2126" s="368"/>
      <c r="N2126" s="368"/>
      <c r="O2126" s="370"/>
      <c r="T2126" s="349"/>
      <c r="V2126" s="378"/>
      <c r="W2126" s="64" ph="1"/>
      <c r="X2126" s="241"/>
      <c r="Y2126" s="284"/>
      <c r="Z2126" s="207"/>
      <c r="AA2126" s="284"/>
      <c r="AB2126" s="284"/>
      <c r="AC2126" s="284"/>
      <c r="AD2126" s="284"/>
      <c r="AE2126" s="284"/>
      <c r="AF2126" s="284"/>
      <c r="AG2126" s="284"/>
    </row>
    <row r="2127" spans="1:33" ht="26.4">
      <c r="A2127" s="284"/>
      <c r="B2127" s="284"/>
      <c r="C2127" s="284"/>
      <c r="D2127" s="284"/>
      <c r="E2127" s="284"/>
      <c r="F2127" s="284"/>
      <c r="G2127" s="284"/>
      <c r="H2127" s="284"/>
      <c r="I2127" s="284"/>
      <c r="J2127" s="375"/>
      <c r="K2127" s="375"/>
      <c r="L2127" s="375"/>
      <c r="M2127" s="368"/>
      <c r="N2127" s="368"/>
      <c r="O2127" s="370"/>
      <c r="T2127" s="349"/>
      <c r="V2127" s="378"/>
      <c r="W2127" s="64" ph="1"/>
      <c r="X2127" s="241"/>
      <c r="Y2127" s="284"/>
      <c r="Z2127" s="207"/>
      <c r="AA2127" s="284"/>
      <c r="AB2127" s="284"/>
      <c r="AC2127" s="284"/>
      <c r="AD2127" s="284"/>
      <c r="AE2127" s="284"/>
      <c r="AF2127" s="284"/>
      <c r="AG2127" s="284"/>
    </row>
    <row r="2128" spans="1:33" ht="26.4">
      <c r="A2128" s="284"/>
      <c r="B2128" s="284"/>
      <c r="C2128" s="284"/>
      <c r="D2128" s="284"/>
      <c r="E2128" s="284"/>
      <c r="F2128" s="284"/>
      <c r="G2128" s="284"/>
      <c r="H2128" s="284"/>
      <c r="I2128" s="284"/>
      <c r="J2128" s="375"/>
      <c r="K2128" s="375"/>
      <c r="L2128" s="375"/>
      <c r="M2128" s="368"/>
      <c r="N2128" s="368"/>
      <c r="O2128" s="370"/>
      <c r="T2128" s="349"/>
      <c r="V2128" s="378"/>
      <c r="W2128" s="64" ph="1"/>
      <c r="X2128" s="241"/>
      <c r="Y2128" s="284"/>
      <c r="Z2128" s="207"/>
      <c r="AA2128" s="284"/>
      <c r="AB2128" s="284"/>
      <c r="AC2128" s="284"/>
      <c r="AD2128" s="284"/>
      <c r="AE2128" s="284"/>
      <c r="AF2128" s="284"/>
      <c r="AG2128" s="284"/>
    </row>
    <row r="2129" spans="1:33" ht="26.4">
      <c r="A2129" s="284"/>
      <c r="B2129" s="284"/>
      <c r="C2129" s="284"/>
      <c r="D2129" s="284"/>
      <c r="E2129" s="284"/>
      <c r="F2129" s="284"/>
      <c r="G2129" s="284"/>
      <c r="H2129" s="284"/>
      <c r="I2129" s="284"/>
      <c r="J2129" s="375"/>
      <c r="K2129" s="375"/>
      <c r="L2129" s="375"/>
      <c r="M2129" s="368"/>
      <c r="N2129" s="368"/>
      <c r="O2129" s="370"/>
      <c r="T2129" s="349"/>
      <c r="V2129" s="378"/>
      <c r="W2129" s="64" ph="1"/>
      <c r="X2129" s="241"/>
      <c r="Y2129" s="284"/>
      <c r="Z2129" s="207"/>
      <c r="AA2129" s="284"/>
      <c r="AB2129" s="284"/>
      <c r="AC2129" s="284"/>
      <c r="AD2129" s="284"/>
      <c r="AE2129" s="284"/>
      <c r="AF2129" s="284"/>
      <c r="AG2129" s="284"/>
    </row>
    <row r="2130" spans="1:33" ht="26.4">
      <c r="A2130" s="284"/>
      <c r="B2130" s="284"/>
      <c r="C2130" s="284"/>
      <c r="D2130" s="284"/>
      <c r="E2130" s="284"/>
      <c r="F2130" s="284"/>
      <c r="G2130" s="284"/>
      <c r="H2130" s="284"/>
      <c r="I2130" s="284"/>
      <c r="J2130" s="375"/>
      <c r="K2130" s="375"/>
      <c r="L2130" s="375"/>
      <c r="M2130" s="368"/>
      <c r="N2130" s="368"/>
      <c r="O2130" s="370"/>
      <c r="T2130" s="349"/>
      <c r="V2130" s="378"/>
      <c r="W2130" s="64" ph="1"/>
      <c r="X2130" s="241"/>
      <c r="Y2130" s="284"/>
      <c r="Z2130" s="207"/>
      <c r="AA2130" s="284"/>
      <c r="AB2130" s="284"/>
      <c r="AC2130" s="284"/>
      <c r="AD2130" s="284"/>
      <c r="AE2130" s="284"/>
      <c r="AF2130" s="284"/>
      <c r="AG2130" s="284"/>
    </row>
    <row r="2131" spans="1:33" ht="26.4">
      <c r="A2131" s="284"/>
      <c r="B2131" s="284"/>
      <c r="C2131" s="284"/>
      <c r="D2131" s="284"/>
      <c r="E2131" s="284"/>
      <c r="F2131" s="284"/>
      <c r="G2131" s="284"/>
      <c r="H2131" s="284"/>
      <c r="I2131" s="284"/>
      <c r="J2131" s="375"/>
      <c r="K2131" s="375"/>
      <c r="L2131" s="375"/>
      <c r="M2131" s="368"/>
      <c r="N2131" s="368"/>
      <c r="O2131" s="370"/>
      <c r="T2131" s="349"/>
      <c r="V2131" s="378"/>
      <c r="W2131" s="64" ph="1"/>
      <c r="X2131" s="241"/>
      <c r="Y2131" s="284"/>
      <c r="Z2131" s="207"/>
      <c r="AA2131" s="284"/>
      <c r="AB2131" s="284"/>
      <c r="AC2131" s="284"/>
      <c r="AD2131" s="284"/>
      <c r="AE2131" s="284"/>
      <c r="AF2131" s="284"/>
      <c r="AG2131" s="284"/>
    </row>
    <row r="2132" spans="1:33" ht="26.4">
      <c r="A2132" s="284"/>
      <c r="B2132" s="284"/>
      <c r="C2132" s="284"/>
      <c r="D2132" s="284"/>
      <c r="E2132" s="284"/>
      <c r="F2132" s="284"/>
      <c r="G2132" s="284"/>
      <c r="H2132" s="284"/>
      <c r="I2132" s="284"/>
      <c r="J2132" s="375"/>
      <c r="K2132" s="375"/>
      <c r="L2132" s="375"/>
      <c r="M2132" s="368"/>
      <c r="N2132" s="368"/>
      <c r="O2132" s="370"/>
      <c r="T2132" s="349"/>
      <c r="V2132" s="378"/>
      <c r="W2132" s="64" ph="1"/>
      <c r="X2132" s="241"/>
      <c r="Y2132" s="284"/>
      <c r="Z2132" s="207"/>
      <c r="AA2132" s="284"/>
      <c r="AB2132" s="284"/>
      <c r="AC2132" s="284"/>
      <c r="AD2132" s="284"/>
      <c r="AE2132" s="284"/>
      <c r="AF2132" s="284"/>
      <c r="AG2132" s="284"/>
    </row>
    <row r="2133" spans="1:33" ht="26.4">
      <c r="A2133" s="284"/>
      <c r="B2133" s="284"/>
      <c r="C2133" s="284"/>
      <c r="D2133" s="284"/>
      <c r="E2133" s="284"/>
      <c r="F2133" s="284"/>
      <c r="G2133" s="284"/>
      <c r="H2133" s="284"/>
      <c r="I2133" s="284"/>
      <c r="J2133" s="375"/>
      <c r="K2133" s="375"/>
      <c r="L2133" s="375"/>
      <c r="M2133" s="368"/>
      <c r="N2133" s="368"/>
      <c r="O2133" s="370"/>
      <c r="T2133" s="349"/>
      <c r="V2133" s="378"/>
      <c r="W2133" s="64" ph="1"/>
      <c r="X2133" s="241"/>
      <c r="Y2133" s="284"/>
      <c r="Z2133" s="207"/>
      <c r="AA2133" s="284"/>
      <c r="AB2133" s="284"/>
      <c r="AC2133" s="284"/>
      <c r="AD2133" s="284"/>
      <c r="AE2133" s="284"/>
      <c r="AF2133" s="284"/>
      <c r="AG2133" s="284"/>
    </row>
    <row r="2134" spans="1:33" ht="26.4">
      <c r="A2134" s="284"/>
      <c r="B2134" s="284"/>
      <c r="C2134" s="284"/>
      <c r="D2134" s="284"/>
      <c r="E2134" s="284"/>
      <c r="F2134" s="284"/>
      <c r="G2134" s="284"/>
      <c r="H2134" s="284"/>
      <c r="I2134" s="284"/>
      <c r="J2134" s="375"/>
      <c r="K2134" s="375"/>
      <c r="L2134" s="375"/>
      <c r="M2134" s="368"/>
      <c r="N2134" s="368"/>
      <c r="O2134" s="370"/>
      <c r="T2134" s="349"/>
      <c r="V2134" s="378"/>
      <c r="W2134" s="64" ph="1"/>
      <c r="X2134" s="241"/>
      <c r="Y2134" s="284"/>
      <c r="Z2134" s="207"/>
      <c r="AA2134" s="284"/>
      <c r="AB2134" s="284"/>
      <c r="AC2134" s="284"/>
      <c r="AD2134" s="284"/>
      <c r="AE2134" s="284"/>
      <c r="AF2134" s="284"/>
      <c r="AG2134" s="284"/>
    </row>
    <row r="2135" spans="1:33" ht="26.4">
      <c r="A2135" s="284"/>
      <c r="B2135" s="284"/>
      <c r="C2135" s="284"/>
      <c r="D2135" s="284"/>
      <c r="E2135" s="284"/>
      <c r="F2135" s="284"/>
      <c r="G2135" s="284"/>
      <c r="H2135" s="284"/>
      <c r="I2135" s="284"/>
      <c r="J2135" s="375"/>
      <c r="K2135" s="375"/>
      <c r="L2135" s="375"/>
      <c r="M2135" s="368"/>
      <c r="N2135" s="368"/>
      <c r="O2135" s="370"/>
      <c r="T2135" s="349"/>
      <c r="V2135" s="378"/>
      <c r="W2135" s="64" ph="1"/>
      <c r="X2135" s="241"/>
      <c r="Y2135" s="284"/>
      <c r="Z2135" s="207"/>
      <c r="AA2135" s="284"/>
      <c r="AB2135" s="284"/>
      <c r="AC2135" s="284"/>
      <c r="AD2135" s="284"/>
      <c r="AE2135" s="284"/>
      <c r="AF2135" s="284"/>
      <c r="AG2135" s="284"/>
    </row>
    <row r="2136" spans="1:33" ht="26.4">
      <c r="A2136" s="284"/>
      <c r="B2136" s="284"/>
      <c r="C2136" s="284"/>
      <c r="D2136" s="284"/>
      <c r="E2136" s="284"/>
      <c r="F2136" s="284"/>
      <c r="G2136" s="284"/>
      <c r="H2136" s="284"/>
      <c r="I2136" s="284"/>
      <c r="J2136" s="375"/>
      <c r="K2136" s="375"/>
      <c r="L2136" s="375"/>
      <c r="M2136" s="368"/>
      <c r="N2136" s="368"/>
      <c r="O2136" s="370"/>
      <c r="T2136" s="349"/>
      <c r="V2136" s="378"/>
      <c r="W2136" s="64" ph="1"/>
      <c r="X2136" s="241"/>
      <c r="Y2136" s="284"/>
      <c r="Z2136" s="207"/>
      <c r="AA2136" s="284"/>
      <c r="AB2136" s="284"/>
      <c r="AC2136" s="284"/>
      <c r="AD2136" s="284"/>
      <c r="AE2136" s="284"/>
      <c r="AF2136" s="284"/>
      <c r="AG2136" s="284"/>
    </row>
    <row r="2137" spans="1:33" ht="26.4">
      <c r="A2137" s="284"/>
      <c r="B2137" s="284"/>
      <c r="C2137" s="284"/>
      <c r="D2137" s="284"/>
      <c r="E2137" s="284"/>
      <c r="F2137" s="284"/>
      <c r="G2137" s="284"/>
      <c r="H2137" s="284"/>
      <c r="I2137" s="284"/>
      <c r="J2137" s="375"/>
      <c r="K2137" s="375"/>
      <c r="L2137" s="375"/>
      <c r="M2137" s="368"/>
      <c r="N2137" s="368"/>
      <c r="O2137" s="370"/>
      <c r="T2137" s="349"/>
      <c r="V2137" s="378"/>
      <c r="W2137" s="64" ph="1"/>
      <c r="X2137" s="241"/>
      <c r="Y2137" s="284"/>
      <c r="Z2137" s="207"/>
      <c r="AA2137" s="284"/>
      <c r="AB2137" s="284"/>
      <c r="AC2137" s="284"/>
      <c r="AD2137" s="284"/>
      <c r="AE2137" s="284"/>
      <c r="AF2137" s="284"/>
      <c r="AG2137" s="284"/>
    </row>
    <row r="2138" spans="1:33" ht="26.4">
      <c r="A2138" s="284"/>
      <c r="B2138" s="284"/>
      <c r="C2138" s="284"/>
      <c r="D2138" s="284"/>
      <c r="E2138" s="284"/>
      <c r="F2138" s="284"/>
      <c r="G2138" s="284"/>
      <c r="H2138" s="284"/>
      <c r="I2138" s="284"/>
      <c r="J2138" s="375"/>
      <c r="K2138" s="375"/>
      <c r="L2138" s="375"/>
      <c r="M2138" s="368"/>
      <c r="N2138" s="368"/>
      <c r="O2138" s="370"/>
      <c r="T2138" s="349"/>
      <c r="V2138" s="378"/>
      <c r="W2138" s="64" ph="1"/>
      <c r="X2138" s="241"/>
      <c r="Y2138" s="284"/>
      <c r="Z2138" s="207"/>
      <c r="AA2138" s="284"/>
      <c r="AB2138" s="284"/>
      <c r="AC2138" s="284"/>
      <c r="AD2138" s="284"/>
      <c r="AE2138" s="284"/>
      <c r="AF2138" s="284"/>
      <c r="AG2138" s="284"/>
    </row>
    <row r="2139" spans="1:33" ht="26.4">
      <c r="A2139" s="284"/>
      <c r="B2139" s="284"/>
      <c r="C2139" s="284"/>
      <c r="D2139" s="284"/>
      <c r="E2139" s="284"/>
      <c r="F2139" s="284"/>
      <c r="G2139" s="284"/>
      <c r="H2139" s="284"/>
      <c r="I2139" s="284"/>
      <c r="J2139" s="375"/>
      <c r="K2139" s="375"/>
      <c r="L2139" s="375"/>
      <c r="M2139" s="368"/>
      <c r="N2139" s="368"/>
      <c r="O2139" s="370"/>
      <c r="T2139" s="349"/>
      <c r="V2139" s="378"/>
      <c r="W2139" s="64" ph="1"/>
      <c r="X2139" s="241"/>
      <c r="Y2139" s="284"/>
      <c r="Z2139" s="207"/>
      <c r="AA2139" s="284"/>
      <c r="AB2139" s="284"/>
      <c r="AC2139" s="284"/>
      <c r="AD2139" s="284"/>
      <c r="AE2139" s="284"/>
      <c r="AF2139" s="284"/>
      <c r="AG2139" s="284"/>
    </row>
    <row r="2140" spans="1:33" ht="26.4">
      <c r="A2140" s="284"/>
      <c r="B2140" s="284"/>
      <c r="C2140" s="284"/>
      <c r="D2140" s="284"/>
      <c r="E2140" s="284"/>
      <c r="F2140" s="284"/>
      <c r="G2140" s="284"/>
      <c r="H2140" s="284"/>
      <c r="I2140" s="284"/>
      <c r="J2140" s="375"/>
      <c r="K2140" s="375"/>
      <c r="L2140" s="375"/>
      <c r="M2140" s="368"/>
      <c r="N2140" s="368"/>
      <c r="O2140" s="370"/>
      <c r="T2140" s="349"/>
      <c r="V2140" s="378"/>
      <c r="W2140" s="64" ph="1"/>
      <c r="X2140" s="241"/>
      <c r="Y2140" s="284"/>
      <c r="Z2140" s="207"/>
      <c r="AA2140" s="284"/>
      <c r="AB2140" s="284"/>
      <c r="AC2140" s="284"/>
      <c r="AD2140" s="284"/>
      <c r="AE2140" s="284"/>
      <c r="AF2140" s="284"/>
      <c r="AG2140" s="284"/>
    </row>
    <row r="2141" spans="1:33" ht="26.4">
      <c r="A2141" s="284"/>
      <c r="B2141" s="284"/>
      <c r="C2141" s="284"/>
      <c r="D2141" s="284"/>
      <c r="E2141" s="284"/>
      <c r="F2141" s="284"/>
      <c r="G2141" s="284"/>
      <c r="H2141" s="284"/>
      <c r="I2141" s="284"/>
      <c r="J2141" s="375"/>
      <c r="K2141" s="375"/>
      <c r="L2141" s="375"/>
      <c r="M2141" s="368"/>
      <c r="N2141" s="368"/>
      <c r="O2141" s="370"/>
      <c r="T2141" s="349"/>
      <c r="V2141" s="378"/>
      <c r="W2141" s="64" ph="1"/>
      <c r="X2141" s="241"/>
      <c r="Y2141" s="284"/>
      <c r="Z2141" s="207"/>
      <c r="AA2141" s="284"/>
      <c r="AB2141" s="284"/>
      <c r="AC2141" s="284"/>
      <c r="AD2141" s="284"/>
      <c r="AE2141" s="284"/>
      <c r="AF2141" s="284"/>
      <c r="AG2141" s="284"/>
    </row>
    <row r="2142" spans="1:33" ht="26.4">
      <c r="A2142" s="284"/>
      <c r="B2142" s="284"/>
      <c r="C2142" s="284"/>
      <c r="D2142" s="284"/>
      <c r="E2142" s="284"/>
      <c r="F2142" s="284"/>
      <c r="G2142" s="284"/>
      <c r="H2142" s="284"/>
      <c r="I2142" s="284"/>
      <c r="J2142" s="375"/>
      <c r="K2142" s="375"/>
      <c r="L2142" s="375"/>
      <c r="M2142" s="368"/>
      <c r="N2142" s="368"/>
      <c r="O2142" s="370"/>
      <c r="T2142" s="349"/>
      <c r="V2142" s="378"/>
      <c r="W2142" s="64" ph="1"/>
      <c r="X2142" s="241"/>
      <c r="Y2142" s="284"/>
      <c r="Z2142" s="207"/>
      <c r="AA2142" s="284"/>
      <c r="AB2142" s="284"/>
      <c r="AC2142" s="284"/>
      <c r="AD2142" s="284"/>
      <c r="AE2142" s="284"/>
      <c r="AF2142" s="284"/>
      <c r="AG2142" s="284"/>
    </row>
    <row r="2143" spans="1:33" ht="26.4">
      <c r="A2143" s="284"/>
      <c r="B2143" s="284"/>
      <c r="C2143" s="284"/>
      <c r="D2143" s="284"/>
      <c r="E2143" s="284"/>
      <c r="F2143" s="284"/>
      <c r="G2143" s="284"/>
      <c r="H2143" s="284"/>
      <c r="I2143" s="284"/>
      <c r="J2143" s="375"/>
      <c r="K2143" s="375"/>
      <c r="L2143" s="375"/>
      <c r="M2143" s="368"/>
      <c r="N2143" s="368"/>
      <c r="O2143" s="370"/>
      <c r="T2143" s="349"/>
      <c r="V2143" s="378"/>
      <c r="W2143" s="64" ph="1"/>
      <c r="X2143" s="241"/>
      <c r="Y2143" s="284"/>
      <c r="Z2143" s="207"/>
      <c r="AA2143" s="284"/>
      <c r="AB2143" s="284"/>
      <c r="AC2143" s="284"/>
      <c r="AD2143" s="284"/>
      <c r="AE2143" s="284"/>
      <c r="AF2143" s="284"/>
      <c r="AG2143" s="284"/>
    </row>
    <row r="2144" spans="1:33" ht="26.4">
      <c r="A2144" s="284"/>
      <c r="B2144" s="284"/>
      <c r="C2144" s="284"/>
      <c r="D2144" s="284"/>
      <c r="E2144" s="284"/>
      <c r="F2144" s="284"/>
      <c r="G2144" s="284"/>
      <c r="H2144" s="284"/>
      <c r="I2144" s="284"/>
      <c r="J2144" s="375"/>
      <c r="K2144" s="375"/>
      <c r="L2144" s="375"/>
      <c r="M2144" s="368"/>
      <c r="N2144" s="368"/>
      <c r="O2144" s="370"/>
      <c r="T2144" s="349"/>
      <c r="V2144" s="378"/>
      <c r="W2144" s="64" ph="1"/>
      <c r="X2144" s="241"/>
      <c r="Y2144" s="284"/>
      <c r="Z2144" s="207"/>
      <c r="AA2144" s="284"/>
      <c r="AB2144" s="284"/>
      <c r="AC2144" s="284"/>
      <c r="AD2144" s="284"/>
      <c r="AE2144" s="284"/>
      <c r="AF2144" s="284"/>
      <c r="AG2144" s="284"/>
    </row>
    <row r="2145" spans="1:33" ht="26.4">
      <c r="A2145" s="284"/>
      <c r="B2145" s="284"/>
      <c r="C2145" s="284"/>
      <c r="D2145" s="284"/>
      <c r="E2145" s="284"/>
      <c r="F2145" s="284"/>
      <c r="G2145" s="284"/>
      <c r="H2145" s="284"/>
      <c r="I2145" s="284"/>
      <c r="J2145" s="375"/>
      <c r="K2145" s="375"/>
      <c r="L2145" s="375"/>
      <c r="M2145" s="368"/>
      <c r="N2145" s="368"/>
      <c r="O2145" s="370"/>
      <c r="T2145" s="349"/>
      <c r="V2145" s="378"/>
      <c r="W2145" s="64" ph="1"/>
      <c r="X2145" s="241"/>
      <c r="Y2145" s="284"/>
      <c r="Z2145" s="207"/>
      <c r="AA2145" s="284"/>
      <c r="AB2145" s="284"/>
      <c r="AC2145" s="284"/>
      <c r="AD2145" s="284"/>
      <c r="AE2145" s="284"/>
      <c r="AF2145" s="284"/>
      <c r="AG2145" s="284"/>
    </row>
    <row r="2146" spans="1:33" ht="26.4">
      <c r="A2146" s="284"/>
      <c r="B2146" s="284"/>
      <c r="C2146" s="284"/>
      <c r="D2146" s="284"/>
      <c r="E2146" s="284"/>
      <c r="F2146" s="284"/>
      <c r="G2146" s="284"/>
      <c r="H2146" s="284"/>
      <c r="I2146" s="284"/>
      <c r="J2146" s="375"/>
      <c r="K2146" s="375"/>
      <c r="L2146" s="375"/>
      <c r="M2146" s="368"/>
      <c r="N2146" s="368"/>
      <c r="O2146" s="370"/>
      <c r="T2146" s="349"/>
      <c r="V2146" s="378"/>
      <c r="W2146" s="64" ph="1"/>
      <c r="X2146" s="241"/>
      <c r="Y2146" s="284"/>
      <c r="Z2146" s="207"/>
      <c r="AA2146" s="284"/>
      <c r="AB2146" s="284"/>
      <c r="AC2146" s="284"/>
      <c r="AD2146" s="284"/>
      <c r="AE2146" s="284"/>
      <c r="AF2146" s="284"/>
      <c r="AG2146" s="284"/>
    </row>
    <row r="2147" spans="1:33" ht="26.4">
      <c r="A2147" s="284"/>
      <c r="B2147" s="284"/>
      <c r="C2147" s="284"/>
      <c r="D2147" s="284"/>
      <c r="E2147" s="284"/>
      <c r="F2147" s="284"/>
      <c r="G2147" s="284"/>
      <c r="H2147" s="284"/>
      <c r="I2147" s="284"/>
      <c r="J2147" s="375"/>
      <c r="K2147" s="375"/>
      <c r="L2147" s="375"/>
      <c r="M2147" s="368"/>
      <c r="N2147" s="368"/>
      <c r="O2147" s="370"/>
      <c r="T2147" s="349"/>
      <c r="V2147" s="378"/>
      <c r="W2147" s="64" ph="1"/>
      <c r="X2147" s="241"/>
      <c r="Y2147" s="284"/>
      <c r="Z2147" s="207"/>
      <c r="AA2147" s="284"/>
      <c r="AB2147" s="284"/>
      <c r="AC2147" s="284"/>
      <c r="AD2147" s="284"/>
      <c r="AE2147" s="284"/>
      <c r="AF2147" s="284"/>
      <c r="AG2147" s="284"/>
    </row>
    <row r="2148" spans="1:33" ht="26.4">
      <c r="A2148" s="284"/>
      <c r="B2148" s="284"/>
      <c r="C2148" s="284"/>
      <c r="D2148" s="284"/>
      <c r="E2148" s="284"/>
      <c r="F2148" s="284"/>
      <c r="G2148" s="284"/>
      <c r="H2148" s="284"/>
      <c r="I2148" s="284"/>
      <c r="J2148" s="375"/>
      <c r="K2148" s="375"/>
      <c r="L2148" s="375"/>
      <c r="M2148" s="368"/>
      <c r="N2148" s="368"/>
      <c r="O2148" s="370"/>
      <c r="T2148" s="349"/>
      <c r="V2148" s="378"/>
      <c r="W2148" s="64" ph="1"/>
      <c r="X2148" s="241"/>
      <c r="Y2148" s="284"/>
      <c r="Z2148" s="207"/>
      <c r="AA2148" s="284"/>
      <c r="AB2148" s="284"/>
      <c r="AC2148" s="284"/>
      <c r="AD2148" s="284"/>
      <c r="AE2148" s="284"/>
      <c r="AF2148" s="284"/>
      <c r="AG2148" s="284"/>
    </row>
    <row r="2149" spans="1:33" ht="26.4">
      <c r="A2149" s="284"/>
      <c r="B2149" s="284"/>
      <c r="C2149" s="284"/>
      <c r="D2149" s="284"/>
      <c r="E2149" s="284"/>
      <c r="F2149" s="284"/>
      <c r="G2149" s="284"/>
      <c r="H2149" s="284"/>
      <c r="I2149" s="284"/>
      <c r="J2149" s="375"/>
      <c r="K2149" s="375"/>
      <c r="L2149" s="375"/>
      <c r="M2149" s="368"/>
      <c r="N2149" s="368"/>
      <c r="O2149" s="370"/>
      <c r="T2149" s="349"/>
      <c r="V2149" s="378"/>
      <c r="W2149" s="64" ph="1"/>
      <c r="X2149" s="241"/>
      <c r="Y2149" s="284"/>
      <c r="Z2149" s="207"/>
      <c r="AA2149" s="284"/>
      <c r="AB2149" s="284"/>
      <c r="AC2149" s="284"/>
      <c r="AD2149" s="284"/>
      <c r="AE2149" s="284"/>
      <c r="AF2149" s="284"/>
      <c r="AG2149" s="284"/>
    </row>
    <row r="2150" spans="1:33" ht="26.4">
      <c r="A2150" s="284"/>
      <c r="B2150" s="284"/>
      <c r="C2150" s="284"/>
      <c r="D2150" s="284"/>
      <c r="E2150" s="284"/>
      <c r="F2150" s="284"/>
      <c r="G2150" s="284"/>
      <c r="H2150" s="284"/>
      <c r="I2150" s="284"/>
      <c r="J2150" s="375"/>
      <c r="K2150" s="375"/>
      <c r="L2150" s="375"/>
      <c r="M2150" s="368"/>
      <c r="N2150" s="368"/>
      <c r="O2150" s="370"/>
      <c r="T2150" s="349"/>
      <c r="V2150" s="378"/>
      <c r="W2150" s="64" ph="1"/>
      <c r="X2150" s="241"/>
      <c r="Y2150" s="284"/>
      <c r="Z2150" s="207"/>
      <c r="AA2150" s="284"/>
      <c r="AB2150" s="284"/>
      <c r="AC2150" s="284"/>
      <c r="AD2150" s="284"/>
      <c r="AE2150" s="284"/>
      <c r="AF2150" s="284"/>
      <c r="AG2150" s="284"/>
    </row>
    <row r="2151" spans="1:33" ht="26.4">
      <c r="A2151" s="284"/>
      <c r="B2151" s="284"/>
      <c r="C2151" s="284"/>
      <c r="D2151" s="284"/>
      <c r="E2151" s="284"/>
      <c r="F2151" s="284"/>
      <c r="G2151" s="284"/>
      <c r="H2151" s="284"/>
      <c r="I2151" s="284"/>
      <c r="J2151" s="375"/>
      <c r="K2151" s="375"/>
      <c r="L2151" s="375"/>
      <c r="M2151" s="368"/>
      <c r="N2151" s="368"/>
      <c r="O2151" s="370"/>
      <c r="T2151" s="349"/>
      <c r="V2151" s="378"/>
      <c r="W2151" s="64" ph="1"/>
      <c r="X2151" s="241"/>
      <c r="Y2151" s="284"/>
      <c r="Z2151" s="207"/>
      <c r="AA2151" s="284"/>
      <c r="AB2151" s="284"/>
      <c r="AC2151" s="284"/>
      <c r="AD2151" s="284"/>
      <c r="AE2151" s="284"/>
      <c r="AF2151" s="284"/>
      <c r="AG2151" s="284"/>
    </row>
    <row r="2152" spans="1:33" ht="26.4">
      <c r="A2152" s="284"/>
      <c r="B2152" s="284"/>
      <c r="C2152" s="284"/>
      <c r="D2152" s="284"/>
      <c r="E2152" s="284"/>
      <c r="F2152" s="284"/>
      <c r="G2152" s="284"/>
      <c r="H2152" s="284"/>
      <c r="I2152" s="284"/>
      <c r="J2152" s="375"/>
      <c r="K2152" s="375"/>
      <c r="L2152" s="375"/>
      <c r="M2152" s="368"/>
      <c r="N2152" s="368"/>
      <c r="O2152" s="370"/>
      <c r="T2152" s="349"/>
      <c r="V2152" s="378"/>
      <c r="W2152" s="64" ph="1"/>
      <c r="X2152" s="241"/>
      <c r="Y2152" s="284"/>
      <c r="Z2152" s="207"/>
      <c r="AA2152" s="284"/>
      <c r="AB2152" s="284"/>
      <c r="AC2152" s="284"/>
      <c r="AD2152" s="284"/>
      <c r="AE2152" s="284"/>
      <c r="AF2152" s="284"/>
      <c r="AG2152" s="284"/>
    </row>
    <row r="2153" spans="1:33" ht="26.4">
      <c r="A2153" s="284"/>
      <c r="B2153" s="284"/>
      <c r="C2153" s="284"/>
      <c r="D2153" s="284"/>
      <c r="E2153" s="284"/>
      <c r="F2153" s="284"/>
      <c r="G2153" s="284"/>
      <c r="H2153" s="284"/>
      <c r="I2153" s="284"/>
      <c r="J2153" s="375"/>
      <c r="K2153" s="375"/>
      <c r="L2153" s="375"/>
      <c r="M2153" s="368"/>
      <c r="N2153" s="368"/>
      <c r="O2153" s="370"/>
      <c r="T2153" s="349"/>
      <c r="V2153" s="378"/>
      <c r="W2153" s="64" ph="1"/>
      <c r="X2153" s="241"/>
      <c r="Y2153" s="284"/>
      <c r="Z2153" s="207"/>
      <c r="AA2153" s="284"/>
      <c r="AB2153" s="284"/>
      <c r="AC2153" s="284"/>
      <c r="AD2153" s="284"/>
      <c r="AE2153" s="284"/>
      <c r="AF2153" s="284"/>
      <c r="AG2153" s="284"/>
    </row>
    <row r="2154" spans="1:33" ht="26.4">
      <c r="A2154" s="284"/>
      <c r="B2154" s="284"/>
      <c r="C2154" s="284"/>
      <c r="D2154" s="284"/>
      <c r="E2154" s="284"/>
      <c r="F2154" s="284"/>
      <c r="G2154" s="284"/>
      <c r="H2154" s="284"/>
      <c r="I2154" s="284"/>
      <c r="J2154" s="375"/>
      <c r="K2154" s="375"/>
      <c r="L2154" s="375"/>
      <c r="M2154" s="368"/>
      <c r="N2154" s="368"/>
      <c r="O2154" s="370"/>
      <c r="T2154" s="349"/>
      <c r="V2154" s="378"/>
      <c r="W2154" s="64" ph="1"/>
      <c r="X2154" s="241"/>
      <c r="Y2154" s="284"/>
      <c r="Z2154" s="207"/>
      <c r="AA2154" s="284"/>
      <c r="AB2154" s="284"/>
      <c r="AC2154" s="284"/>
      <c r="AD2154" s="284"/>
      <c r="AE2154" s="284"/>
      <c r="AF2154" s="284"/>
      <c r="AG2154" s="284"/>
    </row>
    <row r="2155" spans="1:33" ht="26.4">
      <c r="A2155" s="284"/>
      <c r="B2155" s="284"/>
      <c r="C2155" s="284"/>
      <c r="D2155" s="284"/>
      <c r="E2155" s="284"/>
      <c r="F2155" s="284"/>
      <c r="G2155" s="284"/>
      <c r="H2155" s="284"/>
      <c r="I2155" s="284"/>
      <c r="J2155" s="375"/>
      <c r="K2155" s="375"/>
      <c r="L2155" s="375"/>
      <c r="M2155" s="368"/>
      <c r="N2155" s="368"/>
      <c r="O2155" s="370"/>
      <c r="T2155" s="349"/>
      <c r="V2155" s="378"/>
      <c r="W2155" s="64" ph="1"/>
      <c r="X2155" s="241"/>
      <c r="Y2155" s="284"/>
      <c r="Z2155" s="207"/>
      <c r="AA2155" s="284"/>
      <c r="AB2155" s="284"/>
      <c r="AC2155" s="284"/>
      <c r="AD2155" s="284"/>
      <c r="AE2155" s="284"/>
      <c r="AF2155" s="284"/>
      <c r="AG2155" s="284"/>
    </row>
    <row r="2156" spans="1:33" ht="26.4">
      <c r="A2156" s="284"/>
      <c r="B2156" s="284"/>
      <c r="C2156" s="284"/>
      <c r="D2156" s="284"/>
      <c r="E2156" s="284"/>
      <c r="F2156" s="284"/>
      <c r="G2156" s="284"/>
      <c r="H2156" s="284"/>
      <c r="I2156" s="284"/>
      <c r="J2156" s="375"/>
      <c r="K2156" s="375"/>
      <c r="L2156" s="375"/>
      <c r="M2156" s="368"/>
      <c r="N2156" s="368"/>
      <c r="O2156" s="370"/>
      <c r="T2156" s="349"/>
      <c r="V2156" s="378"/>
      <c r="W2156" s="64" ph="1"/>
      <c r="X2156" s="241"/>
      <c r="Y2156" s="284"/>
      <c r="Z2156" s="207"/>
      <c r="AA2156" s="284"/>
      <c r="AB2156" s="284"/>
      <c r="AC2156" s="284"/>
      <c r="AD2156" s="284"/>
      <c r="AE2156" s="284"/>
      <c r="AF2156" s="284"/>
      <c r="AG2156" s="284"/>
    </row>
    <row r="2157" spans="1:33" ht="26.4">
      <c r="A2157" s="284"/>
      <c r="B2157" s="284"/>
      <c r="C2157" s="284"/>
      <c r="D2157" s="284"/>
      <c r="E2157" s="284"/>
      <c r="F2157" s="284"/>
      <c r="G2157" s="284"/>
      <c r="H2157" s="284"/>
      <c r="I2157" s="284"/>
      <c r="J2157" s="375"/>
      <c r="K2157" s="375"/>
      <c r="L2157" s="375"/>
      <c r="M2157" s="368"/>
      <c r="N2157" s="368"/>
      <c r="O2157" s="370"/>
      <c r="T2157" s="349"/>
      <c r="V2157" s="378"/>
      <c r="W2157" s="64" ph="1"/>
      <c r="X2157" s="241"/>
      <c r="Y2157" s="284"/>
      <c r="Z2157" s="207"/>
      <c r="AA2157" s="284"/>
      <c r="AB2157" s="284"/>
      <c r="AC2157" s="284"/>
      <c r="AD2157" s="284"/>
      <c r="AE2157" s="284"/>
      <c r="AF2157" s="284"/>
      <c r="AG2157" s="284"/>
    </row>
    <row r="2158" spans="1:33" ht="26.4">
      <c r="A2158" s="284"/>
      <c r="B2158" s="284"/>
      <c r="C2158" s="284"/>
      <c r="D2158" s="284"/>
      <c r="E2158" s="284"/>
      <c r="F2158" s="284"/>
      <c r="G2158" s="284"/>
      <c r="H2158" s="284"/>
      <c r="I2158" s="284"/>
      <c r="J2158" s="375"/>
      <c r="K2158" s="375"/>
      <c r="L2158" s="375"/>
      <c r="M2158" s="368"/>
      <c r="N2158" s="368"/>
      <c r="O2158" s="370"/>
      <c r="T2158" s="349"/>
      <c r="V2158" s="378"/>
      <c r="W2158" s="64" ph="1"/>
      <c r="X2158" s="241"/>
      <c r="Y2158" s="284"/>
      <c r="Z2158" s="207"/>
      <c r="AA2158" s="284"/>
      <c r="AB2158" s="284"/>
      <c r="AC2158" s="284"/>
      <c r="AD2158" s="284"/>
      <c r="AE2158" s="284"/>
      <c r="AF2158" s="284"/>
      <c r="AG2158" s="284"/>
    </row>
    <row r="2159" spans="1:33" ht="26.4">
      <c r="A2159" s="284"/>
      <c r="B2159" s="284"/>
      <c r="C2159" s="284"/>
      <c r="D2159" s="284"/>
      <c r="E2159" s="284"/>
      <c r="F2159" s="284"/>
      <c r="G2159" s="284"/>
      <c r="H2159" s="284"/>
      <c r="I2159" s="284"/>
      <c r="J2159" s="375"/>
      <c r="K2159" s="375"/>
      <c r="L2159" s="375"/>
      <c r="M2159" s="368"/>
      <c r="N2159" s="368"/>
      <c r="O2159" s="370"/>
      <c r="T2159" s="349"/>
      <c r="V2159" s="378"/>
      <c r="W2159" s="64" ph="1"/>
      <c r="X2159" s="241"/>
      <c r="Y2159" s="284"/>
      <c r="Z2159" s="207"/>
      <c r="AA2159" s="284"/>
      <c r="AB2159" s="284"/>
      <c r="AC2159" s="284"/>
      <c r="AD2159" s="284"/>
      <c r="AE2159" s="284"/>
      <c r="AF2159" s="284"/>
      <c r="AG2159" s="284"/>
    </row>
    <row r="2160" spans="1:33" ht="26.4">
      <c r="A2160" s="284"/>
      <c r="B2160" s="284"/>
      <c r="C2160" s="284"/>
      <c r="D2160" s="284"/>
      <c r="E2160" s="284"/>
      <c r="F2160" s="284"/>
      <c r="G2160" s="284"/>
      <c r="H2160" s="284"/>
      <c r="I2160" s="284"/>
      <c r="J2160" s="375"/>
      <c r="K2160" s="375"/>
      <c r="L2160" s="375"/>
      <c r="M2160" s="368"/>
      <c r="N2160" s="368"/>
      <c r="O2160" s="370"/>
      <c r="T2160" s="349"/>
      <c r="V2160" s="378"/>
      <c r="W2160" s="64" ph="1"/>
      <c r="X2160" s="241"/>
      <c r="Y2160" s="284"/>
      <c r="Z2160" s="207"/>
      <c r="AA2160" s="284"/>
      <c r="AB2160" s="284"/>
      <c r="AC2160" s="284"/>
      <c r="AD2160" s="284"/>
      <c r="AE2160" s="284"/>
      <c r="AF2160" s="284"/>
      <c r="AG2160" s="284"/>
    </row>
    <row r="2161" spans="1:33" ht="26.4">
      <c r="A2161" s="284"/>
      <c r="B2161" s="284"/>
      <c r="C2161" s="284"/>
      <c r="D2161" s="284"/>
      <c r="E2161" s="284"/>
      <c r="F2161" s="284"/>
      <c r="G2161" s="284"/>
      <c r="H2161" s="284"/>
      <c r="I2161" s="284"/>
      <c r="J2161" s="375"/>
      <c r="K2161" s="375"/>
      <c r="L2161" s="375"/>
      <c r="M2161" s="368"/>
      <c r="N2161" s="368"/>
      <c r="O2161" s="370"/>
      <c r="T2161" s="349"/>
      <c r="V2161" s="378"/>
      <c r="W2161" s="64" ph="1"/>
      <c r="X2161" s="241"/>
      <c r="Y2161" s="284"/>
      <c r="Z2161" s="207"/>
      <c r="AA2161" s="284"/>
      <c r="AB2161" s="284"/>
      <c r="AC2161" s="284"/>
      <c r="AD2161" s="284"/>
      <c r="AE2161" s="284"/>
      <c r="AF2161" s="284"/>
      <c r="AG2161" s="284"/>
    </row>
    <row r="2162" spans="1:33" ht="26.4">
      <c r="A2162" s="284"/>
      <c r="B2162" s="284"/>
      <c r="C2162" s="284"/>
      <c r="D2162" s="284"/>
      <c r="E2162" s="284"/>
      <c r="F2162" s="284"/>
      <c r="G2162" s="284"/>
      <c r="H2162" s="284"/>
      <c r="I2162" s="284"/>
      <c r="J2162" s="375"/>
      <c r="K2162" s="375"/>
      <c r="L2162" s="375"/>
      <c r="M2162" s="368"/>
      <c r="N2162" s="368"/>
      <c r="O2162" s="370"/>
      <c r="T2162" s="349"/>
      <c r="V2162" s="378"/>
      <c r="W2162" s="64" ph="1"/>
      <c r="X2162" s="241"/>
      <c r="Y2162" s="284"/>
      <c r="Z2162" s="207"/>
      <c r="AA2162" s="284"/>
      <c r="AB2162" s="284"/>
      <c r="AC2162" s="284"/>
      <c r="AD2162" s="284"/>
      <c r="AE2162" s="284"/>
      <c r="AF2162" s="284"/>
      <c r="AG2162" s="284"/>
    </row>
    <row r="2163" spans="1:33" ht="26.4">
      <c r="A2163" s="284"/>
      <c r="B2163" s="284"/>
      <c r="C2163" s="284"/>
      <c r="D2163" s="284"/>
      <c r="E2163" s="284"/>
      <c r="F2163" s="284"/>
      <c r="G2163" s="284"/>
      <c r="H2163" s="284"/>
      <c r="I2163" s="284"/>
      <c r="J2163" s="375"/>
      <c r="K2163" s="375"/>
      <c r="L2163" s="375"/>
      <c r="M2163" s="368"/>
      <c r="N2163" s="368"/>
      <c r="O2163" s="370"/>
      <c r="T2163" s="349"/>
      <c r="V2163" s="378"/>
      <c r="W2163" s="64" ph="1"/>
      <c r="X2163" s="241"/>
      <c r="Y2163" s="284"/>
      <c r="Z2163" s="207"/>
      <c r="AA2163" s="284"/>
      <c r="AB2163" s="284"/>
      <c r="AC2163" s="284"/>
      <c r="AD2163" s="284"/>
      <c r="AE2163" s="284"/>
      <c r="AF2163" s="284"/>
      <c r="AG2163" s="284"/>
    </row>
    <row r="2164" spans="1:33" ht="26.4">
      <c r="A2164" s="284"/>
      <c r="B2164" s="284"/>
      <c r="C2164" s="284"/>
      <c r="D2164" s="284"/>
      <c r="E2164" s="284"/>
      <c r="F2164" s="284"/>
      <c r="G2164" s="284"/>
      <c r="H2164" s="284"/>
      <c r="I2164" s="284"/>
      <c r="J2164" s="375"/>
      <c r="K2164" s="375"/>
      <c r="L2164" s="375"/>
      <c r="M2164" s="368"/>
      <c r="N2164" s="368"/>
      <c r="O2164" s="370"/>
      <c r="T2164" s="349"/>
      <c r="V2164" s="378"/>
      <c r="W2164" s="64" ph="1"/>
      <c r="X2164" s="241"/>
      <c r="Y2164" s="284"/>
      <c r="Z2164" s="207"/>
      <c r="AA2164" s="284"/>
      <c r="AB2164" s="284"/>
      <c r="AC2164" s="284"/>
      <c r="AD2164" s="284"/>
      <c r="AE2164" s="284"/>
      <c r="AF2164" s="284"/>
      <c r="AG2164" s="284"/>
    </row>
    <row r="2165" spans="1:33" ht="26.4">
      <c r="A2165" s="284"/>
      <c r="B2165" s="284"/>
      <c r="C2165" s="284"/>
      <c r="D2165" s="284"/>
      <c r="E2165" s="284"/>
      <c r="F2165" s="284"/>
      <c r="G2165" s="284"/>
      <c r="H2165" s="284"/>
      <c r="I2165" s="284"/>
      <c r="J2165" s="375"/>
      <c r="K2165" s="375"/>
      <c r="L2165" s="375"/>
      <c r="M2165" s="368"/>
      <c r="N2165" s="368"/>
      <c r="O2165" s="370"/>
      <c r="T2165" s="349"/>
      <c r="V2165" s="378"/>
      <c r="W2165" s="64" ph="1"/>
      <c r="X2165" s="241"/>
      <c r="Y2165" s="284"/>
      <c r="Z2165" s="207"/>
      <c r="AA2165" s="284"/>
      <c r="AB2165" s="284"/>
      <c r="AC2165" s="284"/>
      <c r="AD2165" s="284"/>
      <c r="AE2165" s="284"/>
      <c r="AF2165" s="284"/>
      <c r="AG2165" s="284"/>
    </row>
    <row r="2166" spans="1:33" ht="26.4">
      <c r="A2166" s="284"/>
      <c r="B2166" s="284"/>
      <c r="C2166" s="284"/>
      <c r="D2166" s="284"/>
      <c r="E2166" s="284"/>
      <c r="F2166" s="284"/>
      <c r="G2166" s="284"/>
      <c r="H2166" s="284"/>
      <c r="I2166" s="284"/>
      <c r="J2166" s="375"/>
      <c r="K2166" s="375"/>
      <c r="L2166" s="375"/>
      <c r="M2166" s="368"/>
      <c r="N2166" s="368"/>
      <c r="O2166" s="370"/>
      <c r="T2166" s="349"/>
      <c r="V2166" s="378"/>
      <c r="W2166" s="64" ph="1"/>
      <c r="X2166" s="241"/>
      <c r="Y2166" s="284"/>
      <c r="Z2166" s="207"/>
      <c r="AA2166" s="284"/>
      <c r="AB2166" s="284"/>
      <c r="AC2166" s="284"/>
      <c r="AD2166" s="284"/>
      <c r="AE2166" s="284"/>
      <c r="AF2166" s="284"/>
      <c r="AG2166" s="284"/>
    </row>
    <row r="2167" spans="1:33" ht="26.4">
      <c r="A2167" s="284"/>
      <c r="B2167" s="284"/>
      <c r="C2167" s="284"/>
      <c r="D2167" s="284"/>
      <c r="E2167" s="284"/>
      <c r="F2167" s="284"/>
      <c r="G2167" s="284"/>
      <c r="H2167" s="284"/>
      <c r="I2167" s="284"/>
      <c r="J2167" s="375"/>
      <c r="K2167" s="375"/>
      <c r="L2167" s="375"/>
      <c r="M2167" s="368"/>
      <c r="N2167" s="368"/>
      <c r="O2167" s="370"/>
      <c r="T2167" s="349"/>
      <c r="V2167" s="378"/>
      <c r="W2167" s="64" ph="1"/>
      <c r="X2167" s="241"/>
      <c r="Y2167" s="284"/>
      <c r="Z2167" s="207"/>
      <c r="AA2167" s="284"/>
      <c r="AB2167" s="284"/>
      <c r="AC2167" s="284"/>
      <c r="AD2167" s="284"/>
      <c r="AE2167" s="284"/>
      <c r="AF2167" s="284"/>
      <c r="AG2167" s="284"/>
    </row>
    <row r="2168" spans="1:33" ht="26.4">
      <c r="A2168" s="284"/>
      <c r="B2168" s="284"/>
      <c r="C2168" s="284"/>
      <c r="D2168" s="284"/>
      <c r="E2168" s="284"/>
      <c r="F2168" s="284"/>
      <c r="G2168" s="284"/>
      <c r="H2168" s="284"/>
      <c r="I2168" s="284"/>
      <c r="J2168" s="375"/>
      <c r="K2168" s="375"/>
      <c r="L2168" s="375"/>
      <c r="M2168" s="368"/>
      <c r="N2168" s="368"/>
      <c r="O2168" s="370"/>
      <c r="T2168" s="349"/>
      <c r="V2168" s="378"/>
      <c r="W2168" s="64" ph="1"/>
      <c r="X2168" s="241"/>
      <c r="Y2168" s="284"/>
      <c r="Z2168" s="207"/>
      <c r="AA2168" s="284"/>
      <c r="AB2168" s="284"/>
      <c r="AC2168" s="284"/>
      <c r="AD2168" s="284"/>
      <c r="AE2168" s="284"/>
      <c r="AF2168" s="284"/>
      <c r="AG2168" s="284"/>
    </row>
    <row r="2169" spans="1:33" ht="26.4">
      <c r="A2169" s="284"/>
      <c r="B2169" s="284"/>
      <c r="C2169" s="284"/>
      <c r="D2169" s="284"/>
      <c r="E2169" s="284"/>
      <c r="F2169" s="284"/>
      <c r="G2169" s="284"/>
      <c r="H2169" s="284"/>
      <c r="I2169" s="284"/>
      <c r="J2169" s="375"/>
      <c r="K2169" s="375"/>
      <c r="L2169" s="375"/>
      <c r="M2169" s="368"/>
      <c r="N2169" s="368"/>
      <c r="O2169" s="370"/>
      <c r="T2169" s="349"/>
      <c r="V2169" s="378"/>
      <c r="W2169" s="64" ph="1"/>
      <c r="X2169" s="241"/>
      <c r="Y2169" s="284"/>
      <c r="Z2169" s="207"/>
      <c r="AA2169" s="284"/>
      <c r="AB2169" s="284"/>
      <c r="AC2169" s="284"/>
      <c r="AD2169" s="284"/>
      <c r="AE2169" s="284"/>
      <c r="AF2169" s="284"/>
      <c r="AG2169" s="284"/>
    </row>
    <row r="2170" spans="1:33" ht="26.4">
      <c r="A2170" s="284"/>
      <c r="B2170" s="284"/>
      <c r="C2170" s="284"/>
      <c r="D2170" s="284"/>
      <c r="E2170" s="284"/>
      <c r="F2170" s="284"/>
      <c r="G2170" s="284"/>
      <c r="H2170" s="284"/>
      <c r="I2170" s="284"/>
      <c r="J2170" s="375"/>
      <c r="K2170" s="375"/>
      <c r="L2170" s="375"/>
      <c r="M2170" s="368"/>
      <c r="N2170" s="368"/>
      <c r="O2170" s="370"/>
      <c r="T2170" s="349"/>
      <c r="V2170" s="378"/>
      <c r="W2170" s="64" ph="1"/>
      <c r="X2170" s="241"/>
      <c r="Y2170" s="284"/>
      <c r="Z2170" s="207"/>
      <c r="AA2170" s="284"/>
      <c r="AB2170" s="284"/>
      <c r="AC2170" s="284"/>
      <c r="AD2170" s="284"/>
      <c r="AE2170" s="284"/>
      <c r="AF2170" s="284"/>
      <c r="AG2170" s="284"/>
    </row>
    <row r="2171" spans="1:33" ht="26.4">
      <c r="A2171" s="284"/>
      <c r="B2171" s="284"/>
      <c r="C2171" s="284"/>
      <c r="D2171" s="284"/>
      <c r="E2171" s="284"/>
      <c r="F2171" s="284"/>
      <c r="G2171" s="284"/>
      <c r="H2171" s="284"/>
      <c r="I2171" s="284"/>
      <c r="J2171" s="375"/>
      <c r="K2171" s="375"/>
      <c r="L2171" s="375"/>
      <c r="M2171" s="368"/>
      <c r="N2171" s="368"/>
      <c r="O2171" s="370"/>
      <c r="T2171" s="349"/>
      <c r="V2171" s="378"/>
      <c r="W2171" s="64" ph="1"/>
      <c r="X2171" s="241"/>
      <c r="Y2171" s="284"/>
      <c r="Z2171" s="207"/>
      <c r="AA2171" s="284"/>
      <c r="AB2171" s="284"/>
      <c r="AC2171" s="284"/>
      <c r="AD2171" s="284"/>
      <c r="AE2171" s="284"/>
      <c r="AF2171" s="284"/>
      <c r="AG2171" s="284"/>
    </row>
    <row r="2172" spans="1:33" ht="26.4">
      <c r="A2172" s="284"/>
      <c r="B2172" s="284"/>
      <c r="C2172" s="284"/>
      <c r="D2172" s="284"/>
      <c r="E2172" s="284"/>
      <c r="F2172" s="284"/>
      <c r="G2172" s="284"/>
      <c r="H2172" s="284"/>
      <c r="I2172" s="284"/>
      <c r="J2172" s="375"/>
      <c r="K2172" s="375"/>
      <c r="L2172" s="375"/>
      <c r="M2172" s="368"/>
      <c r="N2172" s="368"/>
      <c r="O2172" s="370"/>
      <c r="T2172" s="349"/>
      <c r="V2172" s="378"/>
      <c r="W2172" s="64" ph="1"/>
      <c r="X2172" s="241"/>
      <c r="Y2172" s="284"/>
      <c r="Z2172" s="207"/>
      <c r="AA2172" s="284"/>
      <c r="AB2172" s="284"/>
      <c r="AC2172" s="284"/>
      <c r="AD2172" s="284"/>
      <c r="AE2172" s="284"/>
      <c r="AF2172" s="284"/>
      <c r="AG2172" s="284"/>
    </row>
    <row r="2173" spans="1:33" ht="26.4">
      <c r="A2173" s="284"/>
      <c r="B2173" s="284"/>
      <c r="C2173" s="284"/>
      <c r="D2173" s="284"/>
      <c r="E2173" s="284"/>
      <c r="F2173" s="284"/>
      <c r="G2173" s="284"/>
      <c r="H2173" s="284"/>
      <c r="I2173" s="284"/>
      <c r="J2173" s="375"/>
      <c r="K2173" s="375"/>
      <c r="L2173" s="375"/>
      <c r="M2173" s="368"/>
      <c r="N2173" s="368"/>
      <c r="O2173" s="370"/>
      <c r="T2173" s="349"/>
      <c r="V2173" s="378"/>
      <c r="W2173" s="64" ph="1"/>
      <c r="X2173" s="241"/>
      <c r="Y2173" s="284"/>
      <c r="Z2173" s="207"/>
      <c r="AA2173" s="284"/>
      <c r="AB2173" s="284"/>
      <c r="AC2173" s="284"/>
      <c r="AD2173" s="284"/>
      <c r="AE2173" s="284"/>
      <c r="AF2173" s="284"/>
      <c r="AG2173" s="284"/>
    </row>
    <row r="2174" spans="1:33" ht="26.4">
      <c r="A2174" s="284"/>
      <c r="B2174" s="284"/>
      <c r="C2174" s="284"/>
      <c r="D2174" s="284"/>
      <c r="E2174" s="284"/>
      <c r="F2174" s="284"/>
      <c r="G2174" s="284"/>
      <c r="H2174" s="284"/>
      <c r="I2174" s="284"/>
      <c r="J2174" s="375"/>
      <c r="K2174" s="375"/>
      <c r="L2174" s="375"/>
      <c r="M2174" s="368"/>
      <c r="N2174" s="368"/>
      <c r="O2174" s="370"/>
      <c r="T2174" s="349"/>
      <c r="V2174" s="378"/>
      <c r="W2174" s="64" ph="1"/>
      <c r="X2174" s="241"/>
      <c r="Y2174" s="284"/>
      <c r="Z2174" s="207"/>
      <c r="AA2174" s="284"/>
      <c r="AB2174" s="284"/>
      <c r="AC2174" s="284"/>
      <c r="AD2174" s="284"/>
      <c r="AE2174" s="284"/>
      <c r="AF2174" s="284"/>
      <c r="AG2174" s="284"/>
    </row>
    <row r="2175" spans="1:33" ht="26.4">
      <c r="A2175" s="284"/>
      <c r="B2175" s="284"/>
      <c r="C2175" s="284"/>
      <c r="D2175" s="284"/>
      <c r="E2175" s="284"/>
      <c r="F2175" s="284"/>
      <c r="G2175" s="284"/>
      <c r="H2175" s="284"/>
      <c r="I2175" s="284"/>
      <c r="J2175" s="375"/>
      <c r="K2175" s="375"/>
      <c r="L2175" s="375"/>
      <c r="M2175" s="368"/>
      <c r="N2175" s="368"/>
      <c r="O2175" s="370"/>
      <c r="T2175" s="349"/>
      <c r="V2175" s="378"/>
      <c r="W2175" s="64" ph="1"/>
      <c r="X2175" s="241"/>
      <c r="Y2175" s="284"/>
      <c r="Z2175" s="207"/>
      <c r="AA2175" s="284"/>
      <c r="AB2175" s="284"/>
      <c r="AC2175" s="284"/>
      <c r="AD2175" s="284"/>
      <c r="AE2175" s="284"/>
      <c r="AF2175" s="284"/>
      <c r="AG2175" s="284"/>
    </row>
    <row r="2176" spans="1:33" ht="26.4">
      <c r="A2176" s="284"/>
      <c r="B2176" s="284"/>
      <c r="C2176" s="284"/>
      <c r="D2176" s="284"/>
      <c r="E2176" s="284"/>
      <c r="F2176" s="284"/>
      <c r="G2176" s="284"/>
      <c r="H2176" s="284"/>
      <c r="I2176" s="284"/>
      <c r="J2176" s="375"/>
      <c r="K2176" s="375"/>
      <c r="L2176" s="375"/>
      <c r="M2176" s="368"/>
      <c r="N2176" s="368"/>
      <c r="O2176" s="370"/>
      <c r="T2176" s="349"/>
      <c r="V2176" s="378"/>
      <c r="W2176" s="64" ph="1"/>
      <c r="X2176" s="241"/>
      <c r="Y2176" s="284"/>
      <c r="Z2176" s="207"/>
      <c r="AA2176" s="284"/>
      <c r="AB2176" s="284"/>
      <c r="AC2176" s="284"/>
      <c r="AD2176" s="284"/>
      <c r="AE2176" s="284"/>
      <c r="AF2176" s="284"/>
      <c r="AG2176" s="284"/>
    </row>
    <row r="2177" spans="1:33" ht="26.4">
      <c r="A2177" s="284"/>
      <c r="B2177" s="284"/>
      <c r="C2177" s="284"/>
      <c r="D2177" s="284"/>
      <c r="E2177" s="284"/>
      <c r="F2177" s="284"/>
      <c r="G2177" s="284"/>
      <c r="H2177" s="284"/>
      <c r="I2177" s="284"/>
      <c r="J2177" s="375"/>
      <c r="K2177" s="375"/>
      <c r="L2177" s="375"/>
      <c r="M2177" s="368"/>
      <c r="N2177" s="368"/>
      <c r="O2177" s="370"/>
      <c r="T2177" s="349"/>
      <c r="V2177" s="378"/>
      <c r="W2177" s="64" ph="1"/>
      <c r="X2177" s="241"/>
      <c r="Y2177" s="284"/>
      <c r="Z2177" s="207"/>
      <c r="AA2177" s="284"/>
      <c r="AB2177" s="284"/>
      <c r="AC2177" s="284"/>
      <c r="AD2177" s="284"/>
      <c r="AE2177" s="284"/>
      <c r="AF2177" s="284"/>
      <c r="AG2177" s="284"/>
    </row>
    <row r="2178" spans="1:33" ht="26.4">
      <c r="A2178" s="284"/>
      <c r="B2178" s="284"/>
      <c r="C2178" s="284"/>
      <c r="D2178" s="284"/>
      <c r="E2178" s="284"/>
      <c r="F2178" s="284"/>
      <c r="G2178" s="284"/>
      <c r="H2178" s="284"/>
      <c r="I2178" s="284"/>
      <c r="J2178" s="375"/>
      <c r="K2178" s="375"/>
      <c r="L2178" s="375"/>
      <c r="M2178" s="368"/>
      <c r="N2178" s="368"/>
      <c r="O2178" s="370"/>
      <c r="T2178" s="349"/>
      <c r="V2178" s="378"/>
      <c r="W2178" s="64" ph="1"/>
      <c r="X2178" s="241"/>
      <c r="Y2178" s="284"/>
      <c r="Z2178" s="207"/>
      <c r="AA2178" s="284"/>
      <c r="AB2178" s="284"/>
      <c r="AC2178" s="284"/>
      <c r="AD2178" s="284"/>
      <c r="AE2178" s="284"/>
      <c r="AF2178" s="284"/>
      <c r="AG2178" s="284"/>
    </row>
    <row r="2179" spans="1:33" ht="26.4">
      <c r="A2179" s="284"/>
      <c r="B2179" s="284"/>
      <c r="C2179" s="284"/>
      <c r="D2179" s="284"/>
      <c r="E2179" s="284"/>
      <c r="F2179" s="284"/>
      <c r="G2179" s="284"/>
      <c r="H2179" s="284"/>
      <c r="I2179" s="284"/>
      <c r="J2179" s="375"/>
      <c r="K2179" s="375"/>
      <c r="L2179" s="375"/>
      <c r="M2179" s="368"/>
      <c r="N2179" s="368"/>
      <c r="O2179" s="370"/>
      <c r="T2179" s="349"/>
      <c r="V2179" s="378"/>
      <c r="W2179" s="64" ph="1"/>
      <c r="X2179" s="241"/>
      <c r="Y2179" s="284"/>
      <c r="Z2179" s="207"/>
      <c r="AA2179" s="284"/>
      <c r="AB2179" s="284"/>
      <c r="AC2179" s="284"/>
      <c r="AD2179" s="284"/>
      <c r="AE2179" s="284"/>
      <c r="AF2179" s="284"/>
      <c r="AG2179" s="284"/>
    </row>
    <row r="2180" spans="1:33" ht="26.4">
      <c r="A2180" s="284"/>
      <c r="B2180" s="284"/>
      <c r="C2180" s="284"/>
      <c r="D2180" s="284"/>
      <c r="E2180" s="284"/>
      <c r="F2180" s="284"/>
      <c r="G2180" s="284"/>
      <c r="H2180" s="284"/>
      <c r="I2180" s="284"/>
      <c r="J2180" s="375"/>
      <c r="K2180" s="375"/>
      <c r="L2180" s="375"/>
      <c r="M2180" s="368"/>
      <c r="N2180" s="368"/>
      <c r="O2180" s="370"/>
      <c r="T2180" s="349"/>
      <c r="V2180" s="378"/>
      <c r="W2180" s="64" ph="1"/>
      <c r="X2180" s="241"/>
      <c r="Y2180" s="284"/>
      <c r="Z2180" s="207"/>
      <c r="AA2180" s="284"/>
      <c r="AB2180" s="284"/>
      <c r="AC2180" s="284"/>
      <c r="AD2180" s="284"/>
      <c r="AE2180" s="284"/>
      <c r="AF2180" s="284"/>
      <c r="AG2180" s="284"/>
    </row>
    <row r="2181" spans="1:33" ht="26.4">
      <c r="A2181" s="284"/>
      <c r="B2181" s="284"/>
      <c r="C2181" s="284"/>
      <c r="D2181" s="284"/>
      <c r="E2181" s="284"/>
      <c r="F2181" s="284"/>
      <c r="G2181" s="284"/>
      <c r="H2181" s="284"/>
      <c r="I2181" s="284"/>
      <c r="J2181" s="375"/>
      <c r="K2181" s="375"/>
      <c r="L2181" s="375"/>
      <c r="M2181" s="368"/>
      <c r="N2181" s="368"/>
      <c r="O2181" s="370"/>
      <c r="T2181" s="349"/>
      <c r="V2181" s="378"/>
      <c r="W2181" s="64" ph="1"/>
      <c r="X2181" s="241"/>
      <c r="Y2181" s="284"/>
      <c r="Z2181" s="207"/>
      <c r="AA2181" s="284"/>
      <c r="AB2181" s="284"/>
      <c r="AC2181" s="284"/>
      <c r="AD2181" s="284"/>
      <c r="AE2181" s="284"/>
      <c r="AF2181" s="284"/>
      <c r="AG2181" s="284"/>
    </row>
    <row r="2182" spans="1:33" ht="26.4">
      <c r="A2182" s="284"/>
      <c r="B2182" s="284"/>
      <c r="C2182" s="284"/>
      <c r="D2182" s="284"/>
      <c r="E2182" s="284"/>
      <c r="F2182" s="284"/>
      <c r="G2182" s="284"/>
      <c r="H2182" s="284"/>
      <c r="I2182" s="284"/>
      <c r="J2182" s="375"/>
      <c r="K2182" s="375"/>
      <c r="L2182" s="375"/>
      <c r="M2182" s="368"/>
      <c r="N2182" s="368"/>
      <c r="O2182" s="370"/>
      <c r="T2182" s="349"/>
      <c r="V2182" s="378"/>
      <c r="W2182" s="64" ph="1"/>
      <c r="X2182" s="241"/>
      <c r="Y2182" s="284"/>
      <c r="Z2182" s="207"/>
      <c r="AA2182" s="284"/>
      <c r="AB2182" s="284"/>
      <c r="AC2182" s="284"/>
      <c r="AD2182" s="284"/>
      <c r="AE2182" s="284"/>
      <c r="AF2182" s="284"/>
      <c r="AG2182" s="284"/>
    </row>
    <row r="2183" spans="1:33" ht="26.4">
      <c r="A2183" s="284"/>
      <c r="B2183" s="284"/>
      <c r="C2183" s="284"/>
      <c r="D2183" s="284"/>
      <c r="E2183" s="284"/>
      <c r="F2183" s="284"/>
      <c r="G2183" s="284"/>
      <c r="H2183" s="284"/>
      <c r="I2183" s="284"/>
      <c r="J2183" s="375"/>
      <c r="K2183" s="375"/>
      <c r="L2183" s="375"/>
      <c r="M2183" s="368"/>
      <c r="N2183" s="368"/>
      <c r="O2183" s="370"/>
      <c r="T2183" s="349"/>
      <c r="V2183" s="378"/>
      <c r="W2183" s="64" ph="1"/>
      <c r="X2183" s="241"/>
      <c r="Y2183" s="284"/>
      <c r="Z2183" s="207"/>
      <c r="AA2183" s="284"/>
      <c r="AB2183" s="284"/>
      <c r="AC2183" s="284"/>
      <c r="AD2183" s="284"/>
      <c r="AE2183" s="284"/>
      <c r="AF2183" s="284"/>
      <c r="AG2183" s="284"/>
    </row>
    <row r="2184" spans="1:33" ht="26.4">
      <c r="A2184" s="284"/>
      <c r="B2184" s="284"/>
      <c r="C2184" s="284"/>
      <c r="D2184" s="284"/>
      <c r="E2184" s="284"/>
      <c r="F2184" s="284"/>
      <c r="G2184" s="284"/>
      <c r="H2184" s="284"/>
      <c r="I2184" s="284"/>
      <c r="J2184" s="375"/>
      <c r="K2184" s="375"/>
      <c r="L2184" s="375"/>
      <c r="M2184" s="368"/>
      <c r="N2184" s="368"/>
      <c r="O2184" s="370"/>
      <c r="T2184" s="349"/>
      <c r="V2184" s="378"/>
      <c r="W2184" s="64" ph="1"/>
      <c r="X2184" s="241"/>
      <c r="Y2184" s="284"/>
      <c r="Z2184" s="207"/>
      <c r="AA2184" s="284"/>
      <c r="AB2184" s="284"/>
      <c r="AC2184" s="284"/>
      <c r="AD2184" s="284"/>
      <c r="AE2184" s="284"/>
      <c r="AF2184" s="284"/>
      <c r="AG2184" s="284"/>
    </row>
    <row r="2185" spans="1:33" ht="26.4">
      <c r="A2185" s="284"/>
      <c r="B2185" s="284"/>
      <c r="C2185" s="284"/>
      <c r="D2185" s="284"/>
      <c r="E2185" s="284"/>
      <c r="F2185" s="284"/>
      <c r="G2185" s="284"/>
      <c r="H2185" s="284"/>
      <c r="I2185" s="284"/>
      <c r="J2185" s="375"/>
      <c r="K2185" s="375"/>
      <c r="L2185" s="375"/>
      <c r="M2185" s="368"/>
      <c r="N2185" s="368"/>
      <c r="O2185" s="370"/>
      <c r="T2185" s="349"/>
      <c r="V2185" s="378"/>
      <c r="W2185" s="64" ph="1"/>
      <c r="X2185" s="241"/>
      <c r="Y2185" s="284"/>
      <c r="Z2185" s="207"/>
      <c r="AA2185" s="284"/>
      <c r="AB2185" s="284"/>
      <c r="AC2185" s="284"/>
      <c r="AD2185" s="284"/>
      <c r="AE2185" s="284"/>
      <c r="AF2185" s="284"/>
      <c r="AG2185" s="284"/>
    </row>
    <row r="2186" spans="1:33" ht="26.4">
      <c r="A2186" s="284"/>
      <c r="B2186" s="284"/>
      <c r="C2186" s="284"/>
      <c r="D2186" s="284"/>
      <c r="E2186" s="284"/>
      <c r="F2186" s="284"/>
      <c r="G2186" s="284"/>
      <c r="H2186" s="284"/>
      <c r="I2186" s="284"/>
      <c r="J2186" s="375"/>
      <c r="K2186" s="375"/>
      <c r="L2186" s="375"/>
      <c r="M2186" s="368"/>
      <c r="N2186" s="368"/>
      <c r="O2186" s="370"/>
      <c r="T2186" s="349"/>
      <c r="V2186" s="378"/>
      <c r="W2186" s="64" ph="1"/>
      <c r="X2186" s="241"/>
      <c r="Y2186" s="284"/>
      <c r="Z2186" s="207"/>
      <c r="AA2186" s="284"/>
      <c r="AB2186" s="284"/>
      <c r="AC2186" s="284"/>
      <c r="AD2186" s="284"/>
      <c r="AE2186" s="284"/>
      <c r="AF2186" s="284"/>
      <c r="AG2186" s="284"/>
    </row>
    <row r="2187" spans="1:33" ht="26.4">
      <c r="A2187" s="284"/>
      <c r="B2187" s="284"/>
      <c r="C2187" s="284"/>
      <c r="D2187" s="284"/>
      <c r="E2187" s="284"/>
      <c r="F2187" s="284"/>
      <c r="G2187" s="284"/>
      <c r="H2187" s="284"/>
      <c r="I2187" s="284"/>
      <c r="J2187" s="375"/>
      <c r="K2187" s="375"/>
      <c r="L2187" s="375"/>
      <c r="M2187" s="368"/>
      <c r="N2187" s="368"/>
      <c r="O2187" s="370"/>
      <c r="T2187" s="349"/>
      <c r="V2187" s="378"/>
      <c r="W2187" s="64" ph="1"/>
      <c r="X2187" s="241"/>
      <c r="Y2187" s="284"/>
      <c r="Z2187" s="207"/>
      <c r="AA2187" s="284"/>
      <c r="AB2187" s="284"/>
      <c r="AC2187" s="284"/>
      <c r="AD2187" s="284"/>
      <c r="AE2187" s="284"/>
      <c r="AF2187" s="284"/>
      <c r="AG2187" s="284"/>
    </row>
    <row r="2188" spans="1:33" ht="26.4">
      <c r="A2188" s="284"/>
      <c r="B2188" s="284"/>
      <c r="C2188" s="284"/>
      <c r="D2188" s="284"/>
      <c r="E2188" s="284"/>
      <c r="F2188" s="284"/>
      <c r="G2188" s="284"/>
      <c r="H2188" s="284"/>
      <c r="I2188" s="284"/>
      <c r="J2188" s="375"/>
      <c r="K2188" s="375"/>
      <c r="L2188" s="375"/>
      <c r="M2188" s="368"/>
      <c r="N2188" s="368"/>
      <c r="O2188" s="370"/>
      <c r="T2188" s="349"/>
      <c r="V2188" s="378"/>
      <c r="W2188" s="64" ph="1"/>
      <c r="X2188" s="241"/>
      <c r="Y2188" s="284"/>
      <c r="Z2188" s="207"/>
      <c r="AA2188" s="284"/>
      <c r="AB2188" s="284"/>
      <c r="AC2188" s="284"/>
      <c r="AD2188" s="284"/>
      <c r="AE2188" s="284"/>
      <c r="AF2188" s="284"/>
      <c r="AG2188" s="284"/>
    </row>
    <row r="2189" spans="1:33" ht="26.4">
      <c r="A2189" s="284"/>
      <c r="B2189" s="284"/>
      <c r="C2189" s="284"/>
      <c r="D2189" s="284"/>
      <c r="E2189" s="284"/>
      <c r="F2189" s="284"/>
      <c r="G2189" s="284"/>
      <c r="H2189" s="284"/>
      <c r="I2189" s="284"/>
      <c r="J2189" s="375"/>
      <c r="K2189" s="375"/>
      <c r="L2189" s="375"/>
      <c r="M2189" s="368"/>
      <c r="N2189" s="368"/>
      <c r="O2189" s="370"/>
      <c r="T2189" s="349"/>
      <c r="V2189" s="378"/>
      <c r="W2189" s="64" ph="1"/>
      <c r="X2189" s="241"/>
      <c r="Y2189" s="284"/>
      <c r="Z2189" s="207"/>
      <c r="AA2189" s="284"/>
      <c r="AB2189" s="284"/>
      <c r="AC2189" s="284"/>
      <c r="AD2189" s="284"/>
      <c r="AE2189" s="284"/>
      <c r="AF2189" s="284"/>
      <c r="AG2189" s="284"/>
    </row>
    <row r="2190" spans="1:33" ht="26.4">
      <c r="A2190" s="284"/>
      <c r="B2190" s="284"/>
      <c r="C2190" s="284"/>
      <c r="D2190" s="284"/>
      <c r="E2190" s="284"/>
      <c r="F2190" s="284"/>
      <c r="G2190" s="284"/>
      <c r="H2190" s="284"/>
      <c r="I2190" s="284"/>
      <c r="J2190" s="375"/>
      <c r="K2190" s="375"/>
      <c r="L2190" s="375"/>
      <c r="M2190" s="368"/>
      <c r="N2190" s="368"/>
      <c r="O2190" s="370"/>
      <c r="T2190" s="349"/>
      <c r="V2190" s="378"/>
      <c r="W2190" s="64" ph="1"/>
      <c r="X2190" s="241"/>
      <c r="Y2190" s="284"/>
      <c r="Z2190" s="207"/>
      <c r="AA2190" s="284"/>
      <c r="AB2190" s="284"/>
      <c r="AC2190" s="284"/>
      <c r="AD2190" s="284"/>
      <c r="AE2190" s="284"/>
      <c r="AF2190" s="284"/>
      <c r="AG2190" s="284"/>
    </row>
    <row r="2191" spans="1:33" ht="26.4">
      <c r="A2191" s="284"/>
      <c r="B2191" s="284"/>
      <c r="C2191" s="284"/>
      <c r="D2191" s="284"/>
      <c r="E2191" s="284"/>
      <c r="F2191" s="284"/>
      <c r="G2191" s="284"/>
      <c r="H2191" s="284"/>
      <c r="I2191" s="284"/>
      <c r="J2191" s="375"/>
      <c r="K2191" s="375"/>
      <c r="L2191" s="375"/>
      <c r="M2191" s="368"/>
      <c r="N2191" s="368"/>
      <c r="O2191" s="370"/>
      <c r="T2191" s="349"/>
      <c r="V2191" s="378"/>
      <c r="W2191" s="64" ph="1"/>
      <c r="X2191" s="241"/>
      <c r="Y2191" s="284"/>
      <c r="Z2191" s="207"/>
      <c r="AA2191" s="284"/>
      <c r="AB2191" s="284"/>
      <c r="AC2191" s="284"/>
      <c r="AD2191" s="284"/>
      <c r="AE2191" s="284"/>
      <c r="AF2191" s="284"/>
      <c r="AG2191" s="284"/>
    </row>
    <row r="2192" spans="1:33" ht="26.4">
      <c r="A2192" s="284"/>
      <c r="B2192" s="284"/>
      <c r="C2192" s="284"/>
      <c r="D2192" s="284"/>
      <c r="E2192" s="284"/>
      <c r="F2192" s="284"/>
      <c r="G2192" s="284"/>
      <c r="H2192" s="284"/>
      <c r="I2192" s="284"/>
      <c r="J2192" s="375"/>
      <c r="K2192" s="375"/>
      <c r="L2192" s="375"/>
      <c r="M2192" s="368"/>
      <c r="N2192" s="368"/>
      <c r="O2192" s="370"/>
      <c r="T2192" s="349"/>
      <c r="V2192" s="378"/>
      <c r="W2192" s="64" ph="1"/>
      <c r="X2192" s="241"/>
      <c r="Y2192" s="284"/>
      <c r="Z2192" s="207"/>
      <c r="AA2192" s="284"/>
      <c r="AB2192" s="284"/>
      <c r="AC2192" s="284"/>
      <c r="AD2192" s="284"/>
      <c r="AE2192" s="284"/>
      <c r="AF2192" s="284"/>
      <c r="AG2192" s="284"/>
    </row>
    <row r="2193" spans="1:33" ht="26.4">
      <c r="A2193" s="284"/>
      <c r="B2193" s="284"/>
      <c r="C2193" s="284"/>
      <c r="D2193" s="284"/>
      <c r="E2193" s="284"/>
      <c r="F2193" s="284"/>
      <c r="G2193" s="284"/>
      <c r="H2193" s="284"/>
      <c r="I2193" s="284"/>
      <c r="J2193" s="375"/>
      <c r="K2193" s="375"/>
      <c r="L2193" s="375"/>
      <c r="M2193" s="368"/>
      <c r="N2193" s="368"/>
      <c r="O2193" s="370"/>
      <c r="T2193" s="349"/>
      <c r="V2193" s="378"/>
      <c r="W2193" s="64" ph="1"/>
      <c r="X2193" s="241"/>
      <c r="Y2193" s="284"/>
      <c r="Z2193" s="207"/>
      <c r="AA2193" s="284"/>
      <c r="AB2193" s="284"/>
      <c r="AC2193" s="284"/>
      <c r="AD2193" s="284"/>
      <c r="AE2193" s="284"/>
      <c r="AF2193" s="284"/>
      <c r="AG2193" s="284"/>
    </row>
    <row r="2194" spans="1:33" ht="26.4">
      <c r="A2194" s="284"/>
      <c r="B2194" s="284"/>
      <c r="C2194" s="284"/>
      <c r="D2194" s="284"/>
      <c r="E2194" s="284"/>
      <c r="F2194" s="284"/>
      <c r="G2194" s="284"/>
      <c r="H2194" s="284"/>
      <c r="I2194" s="284"/>
      <c r="J2194" s="375"/>
      <c r="K2194" s="375"/>
      <c r="L2194" s="375"/>
      <c r="M2194" s="368"/>
      <c r="N2194" s="368"/>
      <c r="O2194" s="370"/>
      <c r="T2194" s="349"/>
      <c r="V2194" s="378"/>
      <c r="W2194" s="64" ph="1"/>
      <c r="X2194" s="241"/>
      <c r="Y2194" s="284"/>
      <c r="Z2194" s="207"/>
      <c r="AA2194" s="284"/>
      <c r="AB2194" s="284"/>
      <c r="AC2194" s="284"/>
      <c r="AD2194" s="284"/>
      <c r="AE2194" s="284"/>
      <c r="AF2194" s="284"/>
      <c r="AG2194" s="284"/>
    </row>
    <row r="2195" spans="1:33" ht="26.4">
      <c r="A2195" s="284"/>
      <c r="B2195" s="284"/>
      <c r="C2195" s="284"/>
      <c r="D2195" s="284"/>
      <c r="E2195" s="284"/>
      <c r="F2195" s="284"/>
      <c r="G2195" s="284"/>
      <c r="H2195" s="284"/>
      <c r="I2195" s="284"/>
      <c r="J2195" s="375"/>
      <c r="K2195" s="375"/>
      <c r="L2195" s="375"/>
      <c r="M2195" s="368"/>
      <c r="N2195" s="368"/>
      <c r="O2195" s="370"/>
      <c r="T2195" s="349"/>
      <c r="V2195" s="378"/>
      <c r="W2195" s="64" ph="1"/>
      <c r="X2195" s="241"/>
      <c r="Y2195" s="284"/>
      <c r="Z2195" s="207"/>
      <c r="AA2195" s="284"/>
      <c r="AB2195" s="284"/>
      <c r="AC2195" s="284"/>
      <c r="AD2195" s="284"/>
      <c r="AE2195" s="284"/>
      <c r="AF2195" s="284"/>
      <c r="AG2195" s="284"/>
    </row>
    <row r="2196" spans="1:33" ht="26.4">
      <c r="A2196" s="284"/>
      <c r="B2196" s="284"/>
      <c r="C2196" s="284"/>
      <c r="D2196" s="284"/>
      <c r="E2196" s="284"/>
      <c r="F2196" s="284"/>
      <c r="G2196" s="284"/>
      <c r="H2196" s="284"/>
      <c r="I2196" s="284"/>
      <c r="J2196" s="375"/>
      <c r="K2196" s="375"/>
      <c r="L2196" s="375"/>
      <c r="M2196" s="368"/>
      <c r="N2196" s="368"/>
      <c r="O2196" s="370"/>
      <c r="T2196" s="349"/>
      <c r="V2196" s="378"/>
      <c r="W2196" s="64" ph="1"/>
      <c r="X2196" s="241"/>
      <c r="Y2196" s="284"/>
      <c r="Z2196" s="207"/>
      <c r="AA2196" s="284"/>
      <c r="AB2196" s="284"/>
      <c r="AC2196" s="284"/>
      <c r="AD2196" s="284"/>
      <c r="AE2196" s="284"/>
      <c r="AF2196" s="284"/>
      <c r="AG2196" s="284"/>
    </row>
    <row r="2197" spans="1:33" ht="26.4">
      <c r="A2197" s="284"/>
      <c r="B2197" s="284"/>
      <c r="C2197" s="284"/>
      <c r="D2197" s="284"/>
      <c r="E2197" s="284"/>
      <c r="F2197" s="284"/>
      <c r="G2197" s="284"/>
      <c r="H2197" s="284"/>
      <c r="I2197" s="284"/>
      <c r="J2197" s="375"/>
      <c r="K2197" s="375"/>
      <c r="L2197" s="375"/>
      <c r="M2197" s="368"/>
      <c r="N2197" s="368"/>
      <c r="O2197" s="370"/>
      <c r="T2197" s="349"/>
      <c r="V2197" s="378"/>
      <c r="W2197" s="64" ph="1"/>
      <c r="X2197" s="241"/>
      <c r="Y2197" s="284"/>
      <c r="Z2197" s="207"/>
      <c r="AA2197" s="284"/>
      <c r="AB2197" s="284"/>
      <c r="AC2197" s="284"/>
      <c r="AD2197" s="284"/>
      <c r="AE2197" s="284"/>
      <c r="AF2197" s="284"/>
      <c r="AG2197" s="284"/>
    </row>
    <row r="2198" spans="1:33" ht="26.4">
      <c r="A2198" s="284"/>
      <c r="B2198" s="284"/>
      <c r="C2198" s="284"/>
      <c r="D2198" s="284"/>
      <c r="E2198" s="284"/>
      <c r="F2198" s="284"/>
      <c r="G2198" s="284"/>
      <c r="H2198" s="284"/>
      <c r="I2198" s="284"/>
      <c r="J2198" s="375"/>
      <c r="K2198" s="375"/>
      <c r="L2198" s="375"/>
      <c r="M2198" s="368"/>
      <c r="N2198" s="368"/>
      <c r="O2198" s="370"/>
      <c r="T2198" s="349"/>
      <c r="V2198" s="378"/>
      <c r="W2198" s="64" ph="1"/>
      <c r="X2198" s="241"/>
      <c r="Y2198" s="284"/>
      <c r="Z2198" s="207"/>
      <c r="AA2198" s="284"/>
      <c r="AB2198" s="284"/>
      <c r="AC2198" s="284"/>
      <c r="AD2198" s="284"/>
      <c r="AE2198" s="284"/>
      <c r="AF2198" s="284"/>
      <c r="AG2198" s="284"/>
    </row>
    <row r="2199" spans="1:33" ht="26.4">
      <c r="A2199" s="284"/>
      <c r="B2199" s="284"/>
      <c r="C2199" s="284"/>
      <c r="D2199" s="284"/>
      <c r="E2199" s="284"/>
      <c r="F2199" s="284"/>
      <c r="G2199" s="284"/>
      <c r="H2199" s="284"/>
      <c r="I2199" s="284"/>
      <c r="J2199" s="375"/>
      <c r="K2199" s="375"/>
      <c r="L2199" s="375"/>
      <c r="M2199" s="368"/>
      <c r="N2199" s="368"/>
      <c r="O2199" s="370"/>
      <c r="T2199" s="349"/>
      <c r="V2199" s="378"/>
      <c r="W2199" s="64" ph="1"/>
      <c r="X2199" s="241"/>
      <c r="Y2199" s="284"/>
      <c r="Z2199" s="207"/>
      <c r="AA2199" s="284"/>
      <c r="AB2199" s="284"/>
      <c r="AC2199" s="284"/>
      <c r="AD2199" s="284"/>
      <c r="AE2199" s="284"/>
      <c r="AF2199" s="284"/>
      <c r="AG2199" s="284"/>
    </row>
    <row r="2200" spans="1:33" ht="26.4">
      <c r="A2200" s="284"/>
      <c r="B2200" s="284"/>
      <c r="C2200" s="284"/>
      <c r="D2200" s="284"/>
      <c r="E2200" s="284"/>
      <c r="F2200" s="284"/>
      <c r="G2200" s="284"/>
      <c r="H2200" s="284"/>
      <c r="I2200" s="284"/>
      <c r="J2200" s="375"/>
      <c r="K2200" s="375"/>
      <c r="L2200" s="375"/>
      <c r="M2200" s="368"/>
      <c r="N2200" s="368"/>
      <c r="O2200" s="370"/>
      <c r="T2200" s="349"/>
      <c r="V2200" s="378"/>
      <c r="W2200" s="64" ph="1"/>
      <c r="X2200" s="241"/>
      <c r="Y2200" s="284"/>
      <c r="Z2200" s="207"/>
      <c r="AA2200" s="284"/>
      <c r="AB2200" s="284"/>
      <c r="AC2200" s="284"/>
      <c r="AD2200" s="284"/>
      <c r="AE2200" s="284"/>
      <c r="AF2200" s="284"/>
      <c r="AG2200" s="284"/>
    </row>
    <row r="2201" spans="1:33" ht="26.4">
      <c r="A2201" s="284"/>
      <c r="B2201" s="284"/>
      <c r="C2201" s="284"/>
      <c r="D2201" s="284"/>
      <c r="E2201" s="284"/>
      <c r="F2201" s="284"/>
      <c r="G2201" s="284"/>
      <c r="H2201" s="284"/>
      <c r="I2201" s="284"/>
      <c r="J2201" s="375"/>
      <c r="K2201" s="375"/>
      <c r="L2201" s="375"/>
      <c r="M2201" s="368"/>
      <c r="N2201" s="368"/>
      <c r="O2201" s="370"/>
      <c r="T2201" s="349"/>
      <c r="V2201" s="378"/>
      <c r="W2201" s="64" ph="1"/>
      <c r="X2201" s="241"/>
      <c r="Y2201" s="284"/>
      <c r="Z2201" s="207"/>
      <c r="AA2201" s="284"/>
      <c r="AB2201" s="284"/>
      <c r="AC2201" s="284"/>
      <c r="AD2201" s="284"/>
      <c r="AE2201" s="284"/>
      <c r="AF2201" s="284"/>
      <c r="AG2201" s="284"/>
    </row>
    <row r="2202" spans="1:33" ht="26.4">
      <c r="A2202" s="284"/>
      <c r="B2202" s="284"/>
      <c r="C2202" s="284"/>
      <c r="D2202" s="284"/>
      <c r="E2202" s="284"/>
      <c r="F2202" s="284"/>
      <c r="G2202" s="284"/>
      <c r="H2202" s="284"/>
      <c r="I2202" s="284"/>
      <c r="J2202" s="375"/>
      <c r="K2202" s="375"/>
      <c r="L2202" s="375"/>
      <c r="M2202" s="368"/>
      <c r="N2202" s="368"/>
      <c r="O2202" s="370"/>
      <c r="T2202" s="349"/>
      <c r="V2202" s="378"/>
      <c r="W2202" s="64" ph="1"/>
      <c r="X2202" s="241"/>
      <c r="Y2202" s="284"/>
      <c r="Z2202" s="207"/>
      <c r="AA2202" s="284"/>
      <c r="AB2202" s="284"/>
      <c r="AC2202" s="284"/>
      <c r="AD2202" s="284"/>
      <c r="AE2202" s="284"/>
      <c r="AF2202" s="284"/>
      <c r="AG2202" s="284"/>
    </row>
    <row r="2203" spans="1:33" ht="26.4">
      <c r="A2203" s="284"/>
      <c r="B2203" s="284"/>
      <c r="C2203" s="284"/>
      <c r="D2203" s="284"/>
      <c r="E2203" s="284"/>
      <c r="F2203" s="284"/>
      <c r="G2203" s="284"/>
      <c r="H2203" s="284"/>
      <c r="I2203" s="284"/>
      <c r="J2203" s="375"/>
      <c r="K2203" s="375"/>
      <c r="L2203" s="375"/>
      <c r="M2203" s="368"/>
      <c r="N2203" s="368"/>
      <c r="O2203" s="370"/>
      <c r="T2203" s="349"/>
      <c r="V2203" s="378"/>
      <c r="W2203" s="64" ph="1"/>
      <c r="X2203" s="241"/>
      <c r="Y2203" s="284"/>
      <c r="Z2203" s="207"/>
      <c r="AA2203" s="284"/>
      <c r="AB2203" s="284"/>
      <c r="AC2203" s="284"/>
      <c r="AD2203" s="284"/>
      <c r="AE2203" s="284"/>
      <c r="AF2203" s="284"/>
      <c r="AG2203" s="284"/>
    </row>
    <row r="2204" spans="1:33" ht="26.4">
      <c r="A2204" s="284"/>
      <c r="B2204" s="284"/>
      <c r="C2204" s="284"/>
      <c r="D2204" s="284"/>
      <c r="E2204" s="284"/>
      <c r="F2204" s="284"/>
      <c r="G2204" s="284"/>
      <c r="H2204" s="284"/>
      <c r="I2204" s="284"/>
      <c r="J2204" s="375"/>
      <c r="K2204" s="375"/>
      <c r="L2204" s="375"/>
      <c r="M2204" s="368"/>
      <c r="N2204" s="368"/>
      <c r="O2204" s="370"/>
      <c r="T2204" s="349"/>
      <c r="V2204" s="378"/>
      <c r="W2204" s="64" ph="1"/>
      <c r="X2204" s="241"/>
      <c r="Y2204" s="284"/>
      <c r="Z2204" s="207"/>
      <c r="AA2204" s="284"/>
      <c r="AB2204" s="284"/>
      <c r="AC2204" s="284"/>
      <c r="AD2204" s="284"/>
      <c r="AE2204" s="284"/>
      <c r="AF2204" s="284"/>
      <c r="AG2204" s="284"/>
    </row>
    <row r="2205" spans="1:33" ht="26.4">
      <c r="A2205" s="284"/>
      <c r="B2205" s="284"/>
      <c r="C2205" s="284"/>
      <c r="D2205" s="284"/>
      <c r="E2205" s="284"/>
      <c r="F2205" s="284"/>
      <c r="G2205" s="284"/>
      <c r="H2205" s="284"/>
      <c r="I2205" s="284"/>
      <c r="J2205" s="375"/>
      <c r="K2205" s="375"/>
      <c r="L2205" s="375"/>
      <c r="M2205" s="368"/>
      <c r="N2205" s="368"/>
      <c r="O2205" s="370"/>
      <c r="T2205" s="349"/>
      <c r="V2205" s="378"/>
      <c r="W2205" s="64" ph="1"/>
      <c r="X2205" s="241"/>
      <c r="Y2205" s="284"/>
      <c r="Z2205" s="207"/>
      <c r="AA2205" s="284"/>
      <c r="AB2205" s="284"/>
      <c r="AC2205" s="284"/>
      <c r="AD2205" s="284"/>
      <c r="AE2205" s="284"/>
      <c r="AF2205" s="284"/>
      <c r="AG2205" s="284"/>
    </row>
    <row r="2206" spans="1:33" ht="26.4">
      <c r="A2206" s="284"/>
      <c r="B2206" s="284"/>
      <c r="C2206" s="284"/>
      <c r="D2206" s="284"/>
      <c r="E2206" s="284"/>
      <c r="F2206" s="284"/>
      <c r="G2206" s="284"/>
      <c r="H2206" s="284"/>
      <c r="I2206" s="284"/>
      <c r="J2206" s="375"/>
      <c r="K2206" s="375"/>
      <c r="L2206" s="375"/>
      <c r="M2206" s="368"/>
      <c r="N2206" s="368"/>
      <c r="O2206" s="370"/>
      <c r="T2206" s="349"/>
      <c r="V2206" s="378"/>
      <c r="W2206" s="64" ph="1"/>
      <c r="X2206" s="241"/>
      <c r="Y2206" s="284"/>
      <c r="Z2206" s="207"/>
      <c r="AA2206" s="284"/>
      <c r="AB2206" s="284"/>
      <c r="AC2206" s="284"/>
      <c r="AD2206" s="284"/>
      <c r="AE2206" s="284"/>
      <c r="AF2206" s="284"/>
      <c r="AG2206" s="284"/>
    </row>
    <row r="2207" spans="1:33" ht="26.4">
      <c r="A2207" s="284"/>
      <c r="B2207" s="284"/>
      <c r="C2207" s="284"/>
      <c r="D2207" s="284"/>
      <c r="E2207" s="284"/>
      <c r="F2207" s="284"/>
      <c r="G2207" s="284"/>
      <c r="H2207" s="284"/>
      <c r="I2207" s="284"/>
      <c r="J2207" s="375"/>
      <c r="K2207" s="375"/>
      <c r="L2207" s="375"/>
      <c r="M2207" s="368"/>
      <c r="N2207" s="368"/>
      <c r="O2207" s="370"/>
      <c r="T2207" s="349"/>
      <c r="V2207" s="378"/>
      <c r="W2207" s="64" ph="1"/>
      <c r="X2207" s="241"/>
      <c r="Y2207" s="284"/>
      <c r="Z2207" s="207"/>
      <c r="AA2207" s="284"/>
      <c r="AB2207" s="284"/>
      <c r="AC2207" s="284"/>
      <c r="AD2207" s="284"/>
      <c r="AE2207" s="284"/>
      <c r="AF2207" s="284"/>
      <c r="AG2207" s="284"/>
    </row>
    <row r="2208" spans="1:33" ht="26.4">
      <c r="A2208" s="284"/>
      <c r="B2208" s="284"/>
      <c r="C2208" s="284"/>
      <c r="D2208" s="284"/>
      <c r="E2208" s="284"/>
      <c r="F2208" s="284"/>
      <c r="G2208" s="284"/>
      <c r="H2208" s="284"/>
      <c r="I2208" s="284"/>
      <c r="J2208" s="375"/>
      <c r="K2208" s="375"/>
      <c r="L2208" s="375"/>
      <c r="M2208" s="368"/>
      <c r="N2208" s="368"/>
      <c r="O2208" s="370"/>
      <c r="T2208" s="349"/>
      <c r="V2208" s="378"/>
      <c r="W2208" s="64" ph="1"/>
      <c r="X2208" s="241"/>
      <c r="Y2208" s="284"/>
      <c r="Z2208" s="207"/>
      <c r="AA2208" s="284"/>
      <c r="AB2208" s="284"/>
      <c r="AC2208" s="284"/>
      <c r="AD2208" s="284"/>
      <c r="AE2208" s="284"/>
      <c r="AF2208" s="284"/>
      <c r="AG2208" s="284"/>
    </row>
    <row r="2209" spans="1:33" ht="26.4">
      <c r="A2209" s="284"/>
      <c r="B2209" s="284"/>
      <c r="C2209" s="284"/>
      <c r="D2209" s="284"/>
      <c r="E2209" s="284"/>
      <c r="F2209" s="284"/>
      <c r="G2209" s="284"/>
      <c r="H2209" s="284"/>
      <c r="I2209" s="284"/>
      <c r="J2209" s="375"/>
      <c r="K2209" s="375"/>
      <c r="L2209" s="375"/>
      <c r="M2209" s="368"/>
      <c r="N2209" s="368"/>
      <c r="O2209" s="370"/>
      <c r="T2209" s="349"/>
      <c r="V2209" s="378"/>
      <c r="W2209" s="64" ph="1"/>
      <c r="X2209" s="241"/>
      <c r="Y2209" s="284"/>
      <c r="Z2209" s="207"/>
      <c r="AA2209" s="284"/>
      <c r="AB2209" s="284"/>
      <c r="AC2209" s="284"/>
      <c r="AD2209" s="284"/>
      <c r="AE2209" s="284"/>
      <c r="AF2209" s="284"/>
      <c r="AG2209" s="284"/>
    </row>
    <row r="2210" spans="1:33" ht="26.4">
      <c r="A2210" s="284"/>
      <c r="B2210" s="284"/>
      <c r="C2210" s="284"/>
      <c r="D2210" s="284"/>
      <c r="E2210" s="284"/>
      <c r="F2210" s="284"/>
      <c r="G2210" s="284"/>
      <c r="H2210" s="284"/>
      <c r="I2210" s="284"/>
      <c r="J2210" s="375"/>
      <c r="K2210" s="375"/>
      <c r="L2210" s="375"/>
      <c r="M2210" s="368"/>
      <c r="N2210" s="368"/>
      <c r="O2210" s="370"/>
      <c r="T2210" s="349"/>
      <c r="V2210" s="378"/>
      <c r="W2210" s="64" ph="1"/>
      <c r="X2210" s="241"/>
      <c r="Y2210" s="284"/>
      <c r="Z2210" s="207"/>
      <c r="AA2210" s="284"/>
      <c r="AB2210" s="284"/>
      <c r="AC2210" s="284"/>
      <c r="AD2210" s="284"/>
      <c r="AE2210" s="284"/>
      <c r="AF2210" s="284"/>
      <c r="AG2210" s="284"/>
    </row>
    <row r="2211" spans="1:33" ht="26.4">
      <c r="A2211" s="284"/>
      <c r="B2211" s="284"/>
      <c r="C2211" s="284"/>
      <c r="D2211" s="284"/>
      <c r="E2211" s="284"/>
      <c r="F2211" s="284"/>
      <c r="G2211" s="284"/>
      <c r="H2211" s="284"/>
      <c r="I2211" s="284"/>
      <c r="J2211" s="375"/>
      <c r="K2211" s="375"/>
      <c r="L2211" s="375"/>
      <c r="M2211" s="368"/>
      <c r="N2211" s="368"/>
      <c r="O2211" s="370"/>
      <c r="T2211" s="349"/>
      <c r="V2211" s="378"/>
      <c r="W2211" s="64" ph="1"/>
      <c r="X2211" s="241"/>
      <c r="Y2211" s="284"/>
      <c r="Z2211" s="207"/>
      <c r="AA2211" s="284"/>
      <c r="AB2211" s="284"/>
      <c r="AC2211" s="284"/>
      <c r="AD2211" s="284"/>
      <c r="AE2211" s="284"/>
      <c r="AF2211" s="284"/>
      <c r="AG2211" s="284"/>
    </row>
    <row r="2212" spans="1:33" ht="26.4">
      <c r="A2212" s="284"/>
      <c r="B2212" s="284"/>
      <c r="C2212" s="284"/>
      <c r="D2212" s="284"/>
      <c r="E2212" s="284"/>
      <c r="F2212" s="284"/>
      <c r="G2212" s="284"/>
      <c r="H2212" s="284"/>
      <c r="I2212" s="284"/>
      <c r="J2212" s="375"/>
      <c r="K2212" s="375"/>
      <c r="L2212" s="375"/>
      <c r="M2212" s="368"/>
      <c r="N2212" s="368"/>
      <c r="O2212" s="370"/>
      <c r="T2212" s="349"/>
      <c r="V2212" s="378"/>
      <c r="W2212" s="64" ph="1"/>
      <c r="X2212" s="241"/>
      <c r="Y2212" s="284"/>
      <c r="Z2212" s="207"/>
      <c r="AA2212" s="284"/>
      <c r="AB2212" s="284"/>
      <c r="AC2212" s="284"/>
      <c r="AD2212" s="284"/>
      <c r="AE2212" s="284"/>
      <c r="AF2212" s="284"/>
      <c r="AG2212" s="284"/>
    </row>
    <row r="2213" spans="1:33" ht="26.4">
      <c r="A2213" s="284"/>
      <c r="B2213" s="284"/>
      <c r="C2213" s="284"/>
      <c r="D2213" s="284"/>
      <c r="E2213" s="284"/>
      <c r="F2213" s="284"/>
      <c r="G2213" s="284"/>
      <c r="H2213" s="284"/>
      <c r="I2213" s="284"/>
      <c r="J2213" s="375"/>
      <c r="K2213" s="375"/>
      <c r="L2213" s="375"/>
      <c r="M2213" s="368"/>
      <c r="N2213" s="368"/>
      <c r="O2213" s="370"/>
      <c r="T2213" s="349"/>
      <c r="V2213" s="378"/>
      <c r="W2213" s="64" ph="1"/>
      <c r="X2213" s="241"/>
      <c r="Y2213" s="284"/>
      <c r="Z2213" s="207"/>
      <c r="AA2213" s="284"/>
      <c r="AB2213" s="284"/>
      <c r="AC2213" s="284"/>
      <c r="AD2213" s="284"/>
      <c r="AE2213" s="284"/>
      <c r="AF2213" s="284"/>
      <c r="AG2213" s="284"/>
    </row>
    <row r="2214" spans="1:33" ht="26.4">
      <c r="A2214" s="284"/>
      <c r="B2214" s="284"/>
      <c r="C2214" s="284"/>
      <c r="D2214" s="284"/>
      <c r="E2214" s="284"/>
      <c r="F2214" s="284"/>
      <c r="G2214" s="284"/>
      <c r="H2214" s="284"/>
      <c r="I2214" s="284"/>
      <c r="J2214" s="375"/>
      <c r="K2214" s="375"/>
      <c r="L2214" s="375"/>
      <c r="M2214" s="368"/>
      <c r="N2214" s="368"/>
      <c r="O2214" s="370"/>
      <c r="T2214" s="349"/>
      <c r="V2214" s="378"/>
      <c r="W2214" s="64" ph="1"/>
      <c r="X2214" s="241"/>
      <c r="Y2214" s="284"/>
      <c r="Z2214" s="207"/>
      <c r="AA2214" s="284"/>
      <c r="AB2214" s="284"/>
      <c r="AC2214" s="284"/>
      <c r="AD2214" s="284"/>
      <c r="AE2214" s="284"/>
      <c r="AF2214" s="284"/>
      <c r="AG2214" s="284"/>
    </row>
    <row r="2215" spans="1:33" ht="26.4">
      <c r="A2215" s="284"/>
      <c r="B2215" s="284"/>
      <c r="C2215" s="284"/>
      <c r="D2215" s="284"/>
      <c r="E2215" s="284"/>
      <c r="F2215" s="284"/>
      <c r="G2215" s="284"/>
      <c r="H2215" s="284"/>
      <c r="I2215" s="284"/>
      <c r="J2215" s="375"/>
      <c r="K2215" s="375"/>
      <c r="L2215" s="375"/>
      <c r="M2215" s="368"/>
      <c r="N2215" s="368"/>
      <c r="O2215" s="370"/>
      <c r="T2215" s="349"/>
      <c r="V2215" s="378"/>
      <c r="W2215" s="64" ph="1"/>
      <c r="X2215" s="241"/>
      <c r="Y2215" s="284"/>
      <c r="Z2215" s="207"/>
      <c r="AA2215" s="284"/>
      <c r="AB2215" s="284"/>
      <c r="AC2215" s="284"/>
      <c r="AD2215" s="284"/>
      <c r="AE2215" s="284"/>
      <c r="AF2215" s="284"/>
      <c r="AG2215" s="284"/>
    </row>
    <row r="2216" spans="1:33" ht="26.4">
      <c r="A2216" s="284"/>
      <c r="B2216" s="284"/>
      <c r="C2216" s="284"/>
      <c r="D2216" s="284"/>
      <c r="E2216" s="284"/>
      <c r="F2216" s="284"/>
      <c r="G2216" s="284"/>
      <c r="H2216" s="284"/>
      <c r="I2216" s="284"/>
      <c r="J2216" s="375"/>
      <c r="K2216" s="375"/>
      <c r="L2216" s="375"/>
      <c r="M2216" s="368"/>
      <c r="N2216" s="368"/>
      <c r="O2216" s="370"/>
      <c r="T2216" s="349"/>
      <c r="V2216" s="378"/>
      <c r="W2216" s="64" ph="1"/>
      <c r="X2216" s="241"/>
      <c r="Y2216" s="284"/>
      <c r="Z2216" s="207"/>
      <c r="AA2216" s="284"/>
      <c r="AB2216" s="284"/>
      <c r="AC2216" s="284"/>
      <c r="AD2216" s="284"/>
      <c r="AE2216" s="284"/>
      <c r="AF2216" s="284"/>
      <c r="AG2216" s="284"/>
    </row>
    <row r="2217" spans="1:33" ht="26.4">
      <c r="A2217" s="284"/>
      <c r="B2217" s="284"/>
      <c r="C2217" s="284"/>
      <c r="D2217" s="284"/>
      <c r="E2217" s="284"/>
      <c r="F2217" s="284"/>
      <c r="G2217" s="284"/>
      <c r="H2217" s="284"/>
      <c r="I2217" s="284"/>
      <c r="J2217" s="375"/>
      <c r="K2217" s="375"/>
      <c r="L2217" s="375"/>
      <c r="M2217" s="368"/>
      <c r="N2217" s="368"/>
      <c r="O2217" s="370"/>
      <c r="T2217" s="349"/>
      <c r="V2217" s="378"/>
      <c r="W2217" s="64" ph="1"/>
      <c r="X2217" s="241"/>
      <c r="Y2217" s="284"/>
      <c r="Z2217" s="207"/>
      <c r="AA2217" s="284"/>
      <c r="AB2217" s="284"/>
      <c r="AC2217" s="284"/>
      <c r="AD2217" s="284"/>
      <c r="AE2217" s="284"/>
      <c r="AF2217" s="284"/>
      <c r="AG2217" s="284"/>
    </row>
    <row r="2218" spans="1:33" ht="26.4">
      <c r="A2218" s="284"/>
      <c r="B2218" s="284"/>
      <c r="C2218" s="284"/>
      <c r="D2218" s="284"/>
      <c r="E2218" s="284"/>
      <c r="F2218" s="284"/>
      <c r="G2218" s="284"/>
      <c r="H2218" s="284"/>
      <c r="I2218" s="284"/>
      <c r="J2218" s="375"/>
      <c r="K2218" s="375"/>
      <c r="L2218" s="375"/>
      <c r="M2218" s="368"/>
      <c r="N2218" s="368"/>
      <c r="O2218" s="370"/>
      <c r="T2218" s="349"/>
      <c r="V2218" s="378"/>
      <c r="W2218" s="64" ph="1"/>
      <c r="X2218" s="241"/>
      <c r="Y2218" s="284"/>
      <c r="Z2218" s="207"/>
      <c r="AA2218" s="284"/>
      <c r="AB2218" s="284"/>
      <c r="AC2218" s="284"/>
      <c r="AD2218" s="284"/>
      <c r="AE2218" s="284"/>
      <c r="AF2218" s="284"/>
      <c r="AG2218" s="284"/>
    </row>
    <row r="2219" spans="1:33" ht="26.4">
      <c r="A2219" s="284"/>
      <c r="B2219" s="284"/>
      <c r="C2219" s="284"/>
      <c r="D2219" s="284"/>
      <c r="E2219" s="284"/>
      <c r="F2219" s="284"/>
      <c r="G2219" s="284"/>
      <c r="H2219" s="284"/>
      <c r="I2219" s="284"/>
      <c r="J2219" s="375"/>
      <c r="K2219" s="375"/>
      <c r="L2219" s="375"/>
      <c r="M2219" s="368"/>
      <c r="N2219" s="368"/>
      <c r="O2219" s="370"/>
      <c r="T2219" s="349"/>
      <c r="V2219" s="378"/>
      <c r="W2219" s="64" ph="1"/>
      <c r="X2219" s="241"/>
      <c r="Y2219" s="284"/>
      <c r="Z2219" s="207"/>
      <c r="AA2219" s="284"/>
      <c r="AB2219" s="284"/>
      <c r="AC2219" s="284"/>
      <c r="AD2219" s="284"/>
      <c r="AE2219" s="284"/>
      <c r="AF2219" s="284"/>
      <c r="AG2219" s="284"/>
    </row>
    <row r="2220" spans="1:33" ht="26.4">
      <c r="A2220" s="284"/>
      <c r="B2220" s="284"/>
      <c r="C2220" s="284"/>
      <c r="D2220" s="284"/>
      <c r="E2220" s="284"/>
      <c r="F2220" s="284"/>
      <c r="G2220" s="284"/>
      <c r="H2220" s="284"/>
      <c r="I2220" s="284"/>
      <c r="J2220" s="375"/>
      <c r="K2220" s="375"/>
      <c r="L2220" s="375"/>
      <c r="M2220" s="368"/>
      <c r="N2220" s="368"/>
      <c r="O2220" s="370"/>
      <c r="T2220" s="349"/>
      <c r="V2220" s="378"/>
      <c r="W2220" s="64" ph="1"/>
      <c r="X2220" s="241"/>
      <c r="Y2220" s="284"/>
      <c r="Z2220" s="207"/>
      <c r="AA2220" s="284"/>
      <c r="AB2220" s="284"/>
      <c r="AC2220" s="284"/>
      <c r="AD2220" s="284"/>
      <c r="AE2220" s="284"/>
      <c r="AF2220" s="284"/>
      <c r="AG2220" s="284"/>
    </row>
    <row r="2221" spans="1:33" ht="26.4">
      <c r="A2221" s="284"/>
      <c r="B2221" s="284"/>
      <c r="C2221" s="284"/>
      <c r="D2221" s="284"/>
      <c r="E2221" s="284"/>
      <c r="F2221" s="284"/>
      <c r="G2221" s="284"/>
      <c r="H2221" s="284"/>
      <c r="I2221" s="284"/>
      <c r="J2221" s="375"/>
      <c r="K2221" s="375"/>
      <c r="L2221" s="375"/>
      <c r="M2221" s="368"/>
      <c r="N2221" s="368"/>
      <c r="O2221" s="370"/>
      <c r="T2221" s="349"/>
      <c r="V2221" s="378"/>
      <c r="W2221" s="64" ph="1"/>
      <c r="X2221" s="241"/>
      <c r="Y2221" s="284"/>
      <c r="Z2221" s="207"/>
      <c r="AA2221" s="284"/>
      <c r="AB2221" s="284"/>
      <c r="AC2221" s="284"/>
      <c r="AD2221" s="284"/>
      <c r="AE2221" s="284"/>
      <c r="AF2221" s="284"/>
      <c r="AG2221" s="284"/>
    </row>
    <row r="2222" spans="1:33" ht="26.4">
      <c r="A2222" s="284"/>
      <c r="B2222" s="284"/>
      <c r="C2222" s="284"/>
      <c r="D2222" s="284"/>
      <c r="E2222" s="284"/>
      <c r="F2222" s="284"/>
      <c r="G2222" s="284"/>
      <c r="H2222" s="284"/>
      <c r="I2222" s="284"/>
      <c r="J2222" s="375"/>
      <c r="K2222" s="375"/>
      <c r="L2222" s="375"/>
      <c r="M2222" s="368"/>
      <c r="N2222" s="368"/>
      <c r="O2222" s="370"/>
      <c r="T2222" s="349"/>
      <c r="V2222" s="378"/>
      <c r="W2222" s="64" ph="1"/>
      <c r="X2222" s="241"/>
      <c r="Y2222" s="284"/>
      <c r="Z2222" s="207"/>
      <c r="AA2222" s="284"/>
      <c r="AB2222" s="284"/>
      <c r="AC2222" s="284"/>
      <c r="AD2222" s="284"/>
      <c r="AE2222" s="284"/>
      <c r="AF2222" s="284"/>
      <c r="AG2222" s="284"/>
    </row>
    <row r="2223" spans="1:33" ht="26.4">
      <c r="A2223" s="284"/>
      <c r="B2223" s="284"/>
      <c r="C2223" s="284"/>
      <c r="D2223" s="284"/>
      <c r="E2223" s="284"/>
      <c r="F2223" s="284"/>
      <c r="G2223" s="284"/>
      <c r="H2223" s="284"/>
      <c r="I2223" s="284"/>
      <c r="J2223" s="375"/>
      <c r="K2223" s="375"/>
      <c r="L2223" s="375"/>
      <c r="M2223" s="368"/>
      <c r="N2223" s="368"/>
      <c r="O2223" s="370"/>
      <c r="T2223" s="349"/>
      <c r="V2223" s="378"/>
      <c r="W2223" s="64" ph="1"/>
      <c r="X2223" s="241"/>
      <c r="Y2223" s="284"/>
      <c r="Z2223" s="207"/>
      <c r="AA2223" s="284"/>
      <c r="AB2223" s="284"/>
      <c r="AC2223" s="284"/>
      <c r="AD2223" s="284"/>
      <c r="AE2223" s="284"/>
      <c r="AF2223" s="284"/>
      <c r="AG2223" s="284"/>
    </row>
    <row r="2224" spans="1:33" ht="26.4">
      <c r="A2224" s="284"/>
      <c r="B2224" s="284"/>
      <c r="C2224" s="284"/>
      <c r="D2224" s="284"/>
      <c r="E2224" s="284"/>
      <c r="F2224" s="284"/>
      <c r="G2224" s="284"/>
      <c r="H2224" s="284"/>
      <c r="I2224" s="284"/>
      <c r="J2224" s="375"/>
      <c r="K2224" s="375"/>
      <c r="L2224" s="375"/>
      <c r="M2224" s="368"/>
      <c r="N2224" s="368"/>
      <c r="O2224" s="370"/>
      <c r="T2224" s="349"/>
      <c r="V2224" s="378"/>
      <c r="W2224" s="64" ph="1"/>
      <c r="X2224" s="241"/>
      <c r="Y2224" s="284"/>
      <c r="Z2224" s="207"/>
      <c r="AA2224" s="284"/>
      <c r="AB2224" s="284"/>
      <c r="AC2224" s="284"/>
      <c r="AD2224" s="284"/>
      <c r="AE2224" s="284"/>
      <c r="AF2224" s="284"/>
      <c r="AG2224" s="284"/>
    </row>
    <row r="2225" spans="1:33" ht="26.4">
      <c r="A2225" s="284"/>
      <c r="B2225" s="284"/>
      <c r="C2225" s="284"/>
      <c r="D2225" s="284"/>
      <c r="E2225" s="284"/>
      <c r="F2225" s="284"/>
      <c r="G2225" s="284"/>
      <c r="H2225" s="284"/>
      <c r="I2225" s="284"/>
      <c r="J2225" s="375"/>
      <c r="K2225" s="375"/>
      <c r="L2225" s="375"/>
      <c r="M2225" s="368"/>
      <c r="N2225" s="368"/>
      <c r="O2225" s="370"/>
      <c r="T2225" s="349"/>
      <c r="V2225" s="378"/>
      <c r="W2225" s="64" ph="1"/>
      <c r="X2225" s="241"/>
      <c r="Y2225" s="284"/>
      <c r="Z2225" s="207"/>
      <c r="AA2225" s="284"/>
      <c r="AB2225" s="284"/>
      <c r="AC2225" s="284"/>
      <c r="AD2225" s="284"/>
      <c r="AE2225" s="284"/>
      <c r="AF2225" s="284"/>
      <c r="AG2225" s="284"/>
    </row>
    <row r="2226" spans="1:33" ht="26.4">
      <c r="A2226" s="284"/>
      <c r="B2226" s="284"/>
      <c r="C2226" s="284"/>
      <c r="D2226" s="284"/>
      <c r="E2226" s="284"/>
      <c r="F2226" s="284"/>
      <c r="G2226" s="284"/>
      <c r="H2226" s="284"/>
      <c r="I2226" s="284"/>
      <c r="J2226" s="375"/>
      <c r="K2226" s="375"/>
      <c r="L2226" s="375"/>
      <c r="M2226" s="368"/>
      <c r="N2226" s="368"/>
      <c r="O2226" s="370"/>
      <c r="T2226" s="349"/>
      <c r="V2226" s="378"/>
      <c r="W2226" s="64" ph="1"/>
      <c r="X2226" s="241"/>
      <c r="Y2226" s="284"/>
      <c r="Z2226" s="207"/>
      <c r="AA2226" s="284"/>
      <c r="AB2226" s="284"/>
      <c r="AC2226" s="284"/>
      <c r="AD2226" s="284"/>
      <c r="AE2226" s="284"/>
      <c r="AF2226" s="284"/>
      <c r="AG2226" s="284"/>
    </row>
    <row r="2227" spans="1:33" ht="26.4">
      <c r="A2227" s="284"/>
      <c r="B2227" s="284"/>
      <c r="C2227" s="284"/>
      <c r="D2227" s="284"/>
      <c r="E2227" s="284"/>
      <c r="F2227" s="284"/>
      <c r="G2227" s="284"/>
      <c r="H2227" s="284"/>
      <c r="I2227" s="284"/>
      <c r="J2227" s="375"/>
      <c r="K2227" s="375"/>
      <c r="L2227" s="375"/>
      <c r="M2227" s="368"/>
      <c r="N2227" s="368"/>
      <c r="O2227" s="370"/>
      <c r="T2227" s="349"/>
      <c r="V2227" s="378"/>
      <c r="W2227" s="64" ph="1"/>
      <c r="X2227" s="241"/>
      <c r="Y2227" s="284"/>
      <c r="Z2227" s="207"/>
      <c r="AA2227" s="284"/>
      <c r="AB2227" s="284"/>
      <c r="AC2227" s="284"/>
      <c r="AD2227" s="284"/>
      <c r="AE2227" s="284"/>
      <c r="AF2227" s="284"/>
      <c r="AG2227" s="284"/>
    </row>
    <row r="2228" spans="1:33" ht="26.4">
      <c r="A2228" s="284"/>
      <c r="B2228" s="284"/>
      <c r="C2228" s="284"/>
      <c r="D2228" s="284"/>
      <c r="E2228" s="284"/>
      <c r="F2228" s="284"/>
      <c r="G2228" s="284"/>
      <c r="H2228" s="284"/>
      <c r="I2228" s="284"/>
      <c r="J2228" s="375"/>
      <c r="K2228" s="375"/>
      <c r="L2228" s="375"/>
      <c r="M2228" s="368"/>
      <c r="N2228" s="368"/>
      <c r="O2228" s="370"/>
      <c r="T2228" s="349"/>
      <c r="V2228" s="378"/>
      <c r="W2228" s="64" ph="1"/>
      <c r="X2228" s="241"/>
      <c r="Y2228" s="284"/>
      <c r="Z2228" s="207"/>
      <c r="AA2228" s="284"/>
      <c r="AB2228" s="284"/>
      <c r="AC2228" s="284"/>
      <c r="AD2228" s="284"/>
      <c r="AE2228" s="284"/>
      <c r="AF2228" s="284"/>
      <c r="AG2228" s="284"/>
    </row>
    <row r="2229" spans="1:33" ht="26.4">
      <c r="A2229" s="284"/>
      <c r="B2229" s="284"/>
      <c r="C2229" s="284"/>
      <c r="D2229" s="284"/>
      <c r="E2229" s="284"/>
      <c r="F2229" s="284"/>
      <c r="G2229" s="284"/>
      <c r="H2229" s="284"/>
      <c r="I2229" s="284"/>
      <c r="J2229" s="375"/>
      <c r="K2229" s="375"/>
      <c r="L2229" s="375"/>
      <c r="M2229" s="368"/>
      <c r="N2229" s="368"/>
      <c r="O2229" s="370"/>
      <c r="T2229" s="349"/>
      <c r="V2229" s="378"/>
      <c r="W2229" s="64" ph="1"/>
      <c r="X2229" s="241"/>
      <c r="Y2229" s="284"/>
      <c r="Z2229" s="207"/>
      <c r="AA2229" s="284"/>
      <c r="AB2229" s="284"/>
      <c r="AC2229" s="284"/>
      <c r="AD2229" s="284"/>
      <c r="AE2229" s="284"/>
      <c r="AF2229" s="284"/>
      <c r="AG2229" s="284"/>
    </row>
    <row r="2230" spans="1:33" ht="26.4">
      <c r="A2230" s="284"/>
      <c r="B2230" s="284"/>
      <c r="C2230" s="284"/>
      <c r="D2230" s="284"/>
      <c r="E2230" s="284"/>
      <c r="F2230" s="284"/>
      <c r="G2230" s="284"/>
      <c r="H2230" s="284"/>
      <c r="I2230" s="284"/>
      <c r="J2230" s="375"/>
      <c r="K2230" s="375"/>
      <c r="L2230" s="375"/>
      <c r="M2230" s="368"/>
      <c r="N2230" s="368"/>
      <c r="O2230" s="370"/>
      <c r="T2230" s="349"/>
      <c r="V2230" s="378"/>
      <c r="W2230" s="64" ph="1"/>
      <c r="X2230" s="241"/>
      <c r="Y2230" s="284"/>
      <c r="Z2230" s="207"/>
      <c r="AA2230" s="284"/>
      <c r="AB2230" s="284"/>
      <c r="AC2230" s="284"/>
      <c r="AD2230" s="284"/>
      <c r="AE2230" s="284"/>
      <c r="AF2230" s="284"/>
      <c r="AG2230" s="284"/>
    </row>
    <row r="2231" spans="1:33" ht="26.4">
      <c r="A2231" s="284"/>
      <c r="B2231" s="284"/>
      <c r="C2231" s="284"/>
      <c r="D2231" s="284"/>
      <c r="E2231" s="284"/>
      <c r="F2231" s="284"/>
      <c r="G2231" s="284"/>
      <c r="H2231" s="284"/>
      <c r="I2231" s="284"/>
      <c r="J2231" s="375"/>
      <c r="K2231" s="375"/>
      <c r="L2231" s="375"/>
      <c r="M2231" s="368"/>
      <c r="N2231" s="368"/>
      <c r="O2231" s="370"/>
      <c r="T2231" s="349"/>
      <c r="V2231" s="378"/>
      <c r="W2231" s="64" ph="1"/>
      <c r="X2231" s="241"/>
      <c r="Y2231" s="284"/>
      <c r="Z2231" s="207"/>
      <c r="AA2231" s="284"/>
      <c r="AB2231" s="284"/>
      <c r="AC2231" s="284"/>
      <c r="AD2231" s="284"/>
      <c r="AE2231" s="284"/>
      <c r="AF2231" s="284"/>
      <c r="AG2231" s="284"/>
    </row>
    <row r="2232" spans="1:33" ht="26.4">
      <c r="A2232" s="284"/>
      <c r="B2232" s="284"/>
      <c r="C2232" s="284"/>
      <c r="D2232" s="284"/>
      <c r="E2232" s="284"/>
      <c r="F2232" s="284"/>
      <c r="G2232" s="284"/>
      <c r="H2232" s="284"/>
      <c r="I2232" s="284"/>
      <c r="J2232" s="375"/>
      <c r="K2232" s="375"/>
      <c r="L2232" s="375"/>
      <c r="M2232" s="368"/>
      <c r="N2232" s="368"/>
      <c r="O2232" s="370"/>
      <c r="T2232" s="349"/>
      <c r="V2232" s="378"/>
      <c r="W2232" s="64" ph="1"/>
      <c r="X2232" s="241"/>
      <c r="Y2232" s="284"/>
      <c r="Z2232" s="207"/>
      <c r="AA2232" s="284"/>
      <c r="AB2232" s="284"/>
      <c r="AC2232" s="284"/>
      <c r="AD2232" s="284"/>
      <c r="AE2232" s="284"/>
      <c r="AF2232" s="284"/>
      <c r="AG2232" s="284"/>
    </row>
    <row r="2233" spans="1:33" ht="26.4">
      <c r="A2233" s="284"/>
      <c r="B2233" s="284"/>
      <c r="C2233" s="284"/>
      <c r="D2233" s="284"/>
      <c r="E2233" s="284"/>
      <c r="F2233" s="284"/>
      <c r="G2233" s="284"/>
      <c r="H2233" s="284"/>
      <c r="I2233" s="284"/>
      <c r="J2233" s="375"/>
      <c r="K2233" s="375"/>
      <c r="L2233" s="375"/>
      <c r="M2233" s="368"/>
      <c r="N2233" s="368"/>
      <c r="O2233" s="370"/>
      <c r="T2233" s="349"/>
      <c r="V2233" s="378"/>
      <c r="W2233" s="64" ph="1"/>
      <c r="X2233" s="241"/>
      <c r="Y2233" s="284"/>
      <c r="Z2233" s="207"/>
      <c r="AA2233" s="284"/>
      <c r="AB2233" s="284"/>
      <c r="AC2233" s="284"/>
      <c r="AD2233" s="284"/>
      <c r="AE2233" s="284"/>
      <c r="AF2233" s="284"/>
      <c r="AG2233" s="284"/>
    </row>
    <row r="2234" spans="1:33" ht="26.4">
      <c r="A2234" s="284"/>
      <c r="B2234" s="284"/>
      <c r="C2234" s="284"/>
      <c r="D2234" s="284"/>
      <c r="E2234" s="284"/>
      <c r="F2234" s="284"/>
      <c r="G2234" s="284"/>
      <c r="H2234" s="284"/>
      <c r="I2234" s="284"/>
      <c r="J2234" s="375"/>
      <c r="K2234" s="375"/>
      <c r="L2234" s="375"/>
      <c r="M2234" s="368"/>
      <c r="N2234" s="368"/>
      <c r="O2234" s="370"/>
      <c r="T2234" s="349"/>
      <c r="V2234" s="378"/>
      <c r="W2234" s="64" ph="1"/>
      <c r="X2234" s="241"/>
      <c r="Y2234" s="284"/>
      <c r="Z2234" s="207"/>
      <c r="AA2234" s="284"/>
      <c r="AB2234" s="284"/>
      <c r="AC2234" s="284"/>
      <c r="AD2234" s="284"/>
      <c r="AE2234" s="284"/>
      <c r="AF2234" s="284"/>
      <c r="AG2234" s="284"/>
    </row>
    <row r="2235" spans="1:33" ht="26.4">
      <c r="A2235" s="284"/>
      <c r="B2235" s="284"/>
      <c r="C2235" s="284"/>
      <c r="D2235" s="284"/>
      <c r="E2235" s="284"/>
      <c r="F2235" s="284"/>
      <c r="G2235" s="284"/>
      <c r="H2235" s="284"/>
      <c r="I2235" s="284"/>
      <c r="J2235" s="375"/>
      <c r="K2235" s="375"/>
      <c r="L2235" s="375"/>
      <c r="M2235" s="368"/>
      <c r="N2235" s="368"/>
      <c r="O2235" s="370"/>
      <c r="T2235" s="349"/>
      <c r="V2235" s="378"/>
      <c r="W2235" s="64" ph="1"/>
      <c r="X2235" s="241"/>
      <c r="Y2235" s="284"/>
      <c r="Z2235" s="207"/>
      <c r="AA2235" s="284"/>
      <c r="AB2235" s="284"/>
      <c r="AC2235" s="284"/>
      <c r="AD2235" s="284"/>
      <c r="AE2235" s="284"/>
      <c r="AF2235" s="284"/>
      <c r="AG2235" s="284"/>
    </row>
    <row r="2236" spans="1:33" ht="26.4">
      <c r="A2236" s="284"/>
      <c r="B2236" s="284"/>
      <c r="C2236" s="284"/>
      <c r="D2236" s="284"/>
      <c r="E2236" s="284"/>
      <c r="F2236" s="284"/>
      <c r="G2236" s="284"/>
      <c r="H2236" s="284"/>
      <c r="I2236" s="284"/>
      <c r="J2236" s="375"/>
      <c r="K2236" s="375"/>
      <c r="L2236" s="375"/>
      <c r="M2236" s="368"/>
      <c r="N2236" s="368"/>
      <c r="O2236" s="370"/>
      <c r="T2236" s="349"/>
      <c r="V2236" s="378"/>
      <c r="W2236" s="64" ph="1"/>
      <c r="X2236" s="241"/>
      <c r="Y2236" s="284"/>
      <c r="Z2236" s="207"/>
      <c r="AA2236" s="284"/>
      <c r="AB2236" s="284"/>
      <c r="AC2236" s="284"/>
      <c r="AD2236" s="284"/>
      <c r="AE2236" s="284"/>
      <c r="AF2236" s="284"/>
      <c r="AG2236" s="284"/>
    </row>
    <row r="2237" spans="1:33" ht="26.4">
      <c r="A2237" s="284"/>
      <c r="B2237" s="284"/>
      <c r="C2237" s="284"/>
      <c r="D2237" s="284"/>
      <c r="E2237" s="284"/>
      <c r="F2237" s="284"/>
      <c r="G2237" s="284"/>
      <c r="H2237" s="284"/>
      <c r="I2237" s="284"/>
      <c r="J2237" s="375"/>
      <c r="K2237" s="375"/>
      <c r="L2237" s="375"/>
      <c r="M2237" s="368"/>
      <c r="N2237" s="368"/>
      <c r="O2237" s="370"/>
      <c r="T2237" s="349"/>
      <c r="V2237" s="378"/>
      <c r="W2237" s="64" ph="1"/>
      <c r="X2237" s="241"/>
      <c r="Y2237" s="284"/>
      <c r="Z2237" s="207"/>
      <c r="AA2237" s="284"/>
      <c r="AB2237" s="284"/>
      <c r="AC2237" s="284"/>
      <c r="AD2237" s="284"/>
      <c r="AE2237" s="284"/>
      <c r="AF2237" s="284"/>
      <c r="AG2237" s="284"/>
    </row>
    <row r="2238" spans="1:33" ht="26.4">
      <c r="A2238" s="284"/>
      <c r="B2238" s="284"/>
      <c r="C2238" s="284"/>
      <c r="D2238" s="284"/>
      <c r="E2238" s="284"/>
      <c r="F2238" s="284"/>
      <c r="G2238" s="284"/>
      <c r="H2238" s="284"/>
      <c r="I2238" s="284"/>
      <c r="J2238" s="375"/>
      <c r="K2238" s="375"/>
      <c r="L2238" s="375"/>
      <c r="M2238" s="368"/>
      <c r="N2238" s="368"/>
      <c r="O2238" s="370"/>
      <c r="T2238" s="349"/>
      <c r="V2238" s="378"/>
      <c r="W2238" s="64" ph="1"/>
      <c r="X2238" s="241"/>
      <c r="Y2238" s="284"/>
      <c r="Z2238" s="207"/>
      <c r="AA2238" s="284"/>
      <c r="AB2238" s="284"/>
      <c r="AC2238" s="284"/>
      <c r="AD2238" s="284"/>
      <c r="AE2238" s="284"/>
      <c r="AF2238" s="284"/>
      <c r="AG2238" s="284"/>
    </row>
    <row r="2239" spans="1:33" ht="26.4">
      <c r="A2239" s="284"/>
      <c r="B2239" s="284"/>
      <c r="C2239" s="284"/>
      <c r="D2239" s="284"/>
      <c r="E2239" s="284"/>
      <c r="F2239" s="284"/>
      <c r="G2239" s="284"/>
      <c r="H2239" s="284"/>
      <c r="I2239" s="284"/>
      <c r="J2239" s="375"/>
      <c r="K2239" s="375"/>
      <c r="L2239" s="375"/>
      <c r="M2239" s="368"/>
      <c r="N2239" s="368"/>
      <c r="O2239" s="370"/>
      <c r="T2239" s="349"/>
      <c r="V2239" s="378"/>
      <c r="W2239" s="64" ph="1"/>
      <c r="X2239" s="241"/>
      <c r="Y2239" s="284"/>
      <c r="Z2239" s="207"/>
      <c r="AA2239" s="284"/>
      <c r="AB2239" s="284"/>
      <c r="AC2239" s="284"/>
      <c r="AD2239" s="284"/>
      <c r="AE2239" s="284"/>
      <c r="AF2239" s="284"/>
      <c r="AG2239" s="284"/>
    </row>
    <row r="2240" spans="1:33" ht="26.4">
      <c r="A2240" s="284"/>
      <c r="B2240" s="284"/>
      <c r="C2240" s="284"/>
      <c r="D2240" s="284"/>
      <c r="E2240" s="284"/>
      <c r="F2240" s="284"/>
      <c r="G2240" s="284"/>
      <c r="H2240" s="284"/>
      <c r="I2240" s="284"/>
      <c r="J2240" s="375"/>
      <c r="K2240" s="375"/>
      <c r="L2240" s="375"/>
      <c r="M2240" s="368"/>
      <c r="N2240" s="368"/>
      <c r="O2240" s="370"/>
      <c r="T2240" s="349"/>
      <c r="V2240" s="378"/>
      <c r="W2240" s="64" ph="1"/>
      <c r="X2240" s="241"/>
      <c r="Y2240" s="284"/>
      <c r="Z2240" s="207"/>
      <c r="AA2240" s="284"/>
      <c r="AB2240" s="284"/>
      <c r="AC2240" s="284"/>
      <c r="AD2240" s="284"/>
      <c r="AE2240" s="284"/>
      <c r="AF2240" s="284"/>
      <c r="AG2240" s="284"/>
    </row>
    <row r="2241" spans="1:33" ht="26.4">
      <c r="A2241" s="284"/>
      <c r="B2241" s="284"/>
      <c r="C2241" s="284"/>
      <c r="D2241" s="284"/>
      <c r="E2241" s="284"/>
      <c r="F2241" s="284"/>
      <c r="G2241" s="284"/>
      <c r="H2241" s="284"/>
      <c r="I2241" s="284"/>
      <c r="J2241" s="375"/>
      <c r="K2241" s="375"/>
      <c r="L2241" s="375"/>
      <c r="M2241" s="368"/>
      <c r="N2241" s="368"/>
      <c r="O2241" s="370"/>
      <c r="T2241" s="349"/>
      <c r="V2241" s="378"/>
      <c r="W2241" s="64" ph="1"/>
      <c r="X2241" s="241"/>
      <c r="Y2241" s="284"/>
      <c r="Z2241" s="207"/>
      <c r="AA2241" s="284"/>
      <c r="AB2241" s="284"/>
      <c r="AC2241" s="284"/>
      <c r="AD2241" s="284"/>
      <c r="AE2241" s="284"/>
      <c r="AF2241" s="284"/>
      <c r="AG2241" s="284"/>
    </row>
    <row r="2242" spans="1:33" ht="26.4">
      <c r="A2242" s="284"/>
      <c r="B2242" s="284"/>
      <c r="C2242" s="284"/>
      <c r="D2242" s="284"/>
      <c r="E2242" s="284"/>
      <c r="F2242" s="284"/>
      <c r="G2242" s="284"/>
      <c r="H2242" s="284"/>
      <c r="I2242" s="284"/>
      <c r="J2242" s="375"/>
      <c r="K2242" s="375"/>
      <c r="L2242" s="375"/>
      <c r="M2242" s="368"/>
      <c r="N2242" s="368"/>
      <c r="O2242" s="370"/>
      <c r="T2242" s="349"/>
      <c r="V2242" s="378"/>
      <c r="W2242" s="64" ph="1"/>
      <c r="X2242" s="241"/>
      <c r="Y2242" s="284"/>
      <c r="Z2242" s="207"/>
      <c r="AA2242" s="284"/>
      <c r="AB2242" s="284"/>
      <c r="AC2242" s="284"/>
      <c r="AD2242" s="284"/>
      <c r="AE2242" s="284"/>
      <c r="AF2242" s="284"/>
      <c r="AG2242" s="284"/>
    </row>
    <row r="2243" spans="1:33" ht="26.4">
      <c r="A2243" s="284"/>
      <c r="B2243" s="284"/>
      <c r="C2243" s="284"/>
      <c r="D2243" s="284"/>
      <c r="E2243" s="284"/>
      <c r="F2243" s="284"/>
      <c r="G2243" s="284"/>
      <c r="H2243" s="284"/>
      <c r="I2243" s="284"/>
      <c r="J2243" s="375"/>
      <c r="K2243" s="375"/>
      <c r="L2243" s="375"/>
      <c r="M2243" s="368"/>
      <c r="N2243" s="368"/>
      <c r="O2243" s="370"/>
      <c r="T2243" s="349"/>
      <c r="V2243" s="378"/>
      <c r="W2243" s="64" ph="1"/>
      <c r="X2243" s="241"/>
      <c r="Y2243" s="284"/>
      <c r="Z2243" s="207"/>
      <c r="AA2243" s="284"/>
      <c r="AB2243" s="284"/>
      <c r="AC2243" s="284"/>
      <c r="AD2243" s="284"/>
      <c r="AE2243" s="284"/>
      <c r="AF2243" s="284"/>
      <c r="AG2243" s="284"/>
    </row>
    <row r="2244" spans="1:33" ht="26.4">
      <c r="A2244" s="284"/>
      <c r="B2244" s="284"/>
      <c r="C2244" s="284"/>
      <c r="D2244" s="284"/>
      <c r="E2244" s="284"/>
      <c r="F2244" s="284"/>
      <c r="G2244" s="284"/>
      <c r="H2244" s="284"/>
      <c r="I2244" s="284"/>
      <c r="J2244" s="375"/>
      <c r="K2244" s="375"/>
      <c r="L2244" s="375"/>
      <c r="M2244" s="368"/>
      <c r="N2244" s="368"/>
      <c r="O2244" s="370"/>
      <c r="T2244" s="349"/>
      <c r="V2244" s="378"/>
      <c r="W2244" s="64" ph="1"/>
      <c r="X2244" s="241"/>
      <c r="Y2244" s="284"/>
      <c r="Z2244" s="207"/>
      <c r="AA2244" s="284"/>
      <c r="AB2244" s="284"/>
      <c r="AC2244" s="284"/>
      <c r="AD2244" s="284"/>
      <c r="AE2244" s="284"/>
      <c r="AF2244" s="284"/>
      <c r="AG2244" s="284"/>
    </row>
    <row r="2245" spans="1:33" ht="26.4">
      <c r="A2245" s="284"/>
      <c r="B2245" s="284"/>
      <c r="C2245" s="284"/>
      <c r="D2245" s="284"/>
      <c r="E2245" s="284"/>
      <c r="F2245" s="284"/>
      <c r="G2245" s="284"/>
      <c r="H2245" s="284"/>
      <c r="I2245" s="284"/>
      <c r="J2245" s="375"/>
      <c r="K2245" s="375"/>
      <c r="L2245" s="375"/>
      <c r="M2245" s="368"/>
      <c r="N2245" s="368"/>
      <c r="O2245" s="370"/>
      <c r="T2245" s="349"/>
      <c r="V2245" s="378"/>
      <c r="W2245" s="64" ph="1"/>
      <c r="X2245" s="241"/>
      <c r="Y2245" s="284"/>
      <c r="Z2245" s="207"/>
      <c r="AA2245" s="284"/>
      <c r="AB2245" s="284"/>
      <c r="AC2245" s="284"/>
      <c r="AD2245" s="284"/>
      <c r="AE2245" s="284"/>
      <c r="AF2245" s="284"/>
      <c r="AG2245" s="284"/>
    </row>
    <row r="2246" spans="1:33" ht="26.4">
      <c r="A2246" s="284"/>
      <c r="B2246" s="284"/>
      <c r="C2246" s="284"/>
      <c r="D2246" s="284"/>
      <c r="E2246" s="284"/>
      <c r="F2246" s="284"/>
      <c r="G2246" s="284"/>
      <c r="H2246" s="284"/>
      <c r="I2246" s="284"/>
      <c r="J2246" s="375"/>
      <c r="K2246" s="375"/>
      <c r="L2246" s="375"/>
      <c r="M2246" s="368"/>
      <c r="N2246" s="368"/>
      <c r="O2246" s="370"/>
      <c r="T2246" s="349"/>
      <c r="V2246" s="378"/>
      <c r="W2246" s="64" ph="1"/>
      <c r="X2246" s="241"/>
      <c r="Y2246" s="284"/>
      <c r="Z2246" s="207"/>
      <c r="AA2246" s="284"/>
      <c r="AB2246" s="284"/>
      <c r="AC2246" s="284"/>
      <c r="AD2246" s="284"/>
      <c r="AE2246" s="284"/>
      <c r="AF2246" s="284"/>
      <c r="AG2246" s="284"/>
    </row>
    <row r="2247" spans="1:33" ht="26.4">
      <c r="A2247" s="284"/>
      <c r="B2247" s="284"/>
      <c r="C2247" s="284"/>
      <c r="D2247" s="284"/>
      <c r="E2247" s="284"/>
      <c r="F2247" s="284"/>
      <c r="G2247" s="284"/>
      <c r="H2247" s="284"/>
      <c r="I2247" s="284"/>
      <c r="J2247" s="375"/>
      <c r="K2247" s="375"/>
      <c r="L2247" s="375"/>
      <c r="M2247" s="368"/>
      <c r="N2247" s="368"/>
      <c r="O2247" s="370"/>
      <c r="T2247" s="349"/>
      <c r="V2247" s="378"/>
      <c r="W2247" s="64" ph="1"/>
      <c r="X2247" s="241"/>
      <c r="Y2247" s="284"/>
      <c r="Z2247" s="207"/>
      <c r="AA2247" s="284"/>
      <c r="AB2247" s="284"/>
      <c r="AC2247" s="284"/>
      <c r="AD2247" s="284"/>
      <c r="AE2247" s="284"/>
      <c r="AF2247" s="284"/>
      <c r="AG2247" s="284"/>
    </row>
    <row r="2248" spans="1:33" ht="26.4">
      <c r="A2248" s="284"/>
      <c r="B2248" s="284"/>
      <c r="C2248" s="284"/>
      <c r="D2248" s="284"/>
      <c r="E2248" s="284"/>
      <c r="F2248" s="284"/>
      <c r="G2248" s="284"/>
      <c r="H2248" s="284"/>
      <c r="I2248" s="284"/>
      <c r="J2248" s="375"/>
      <c r="K2248" s="375"/>
      <c r="L2248" s="375"/>
      <c r="M2248" s="368"/>
      <c r="N2248" s="368"/>
      <c r="O2248" s="370"/>
      <c r="T2248" s="349"/>
      <c r="V2248" s="378"/>
      <c r="W2248" s="64" ph="1"/>
      <c r="X2248" s="241"/>
      <c r="Y2248" s="284"/>
      <c r="Z2248" s="207"/>
      <c r="AA2248" s="284"/>
      <c r="AB2248" s="284"/>
      <c r="AC2248" s="284"/>
      <c r="AD2248" s="284"/>
      <c r="AE2248" s="284"/>
      <c r="AF2248" s="284"/>
      <c r="AG2248" s="284"/>
    </row>
    <row r="2249" spans="1:33" ht="26.4">
      <c r="A2249" s="284"/>
      <c r="B2249" s="284"/>
      <c r="C2249" s="284"/>
      <c r="D2249" s="284"/>
      <c r="E2249" s="284"/>
      <c r="F2249" s="284"/>
      <c r="G2249" s="284"/>
      <c r="H2249" s="284"/>
      <c r="I2249" s="284"/>
      <c r="J2249" s="375"/>
      <c r="K2249" s="375"/>
      <c r="L2249" s="375"/>
      <c r="M2249" s="368"/>
      <c r="N2249" s="368"/>
      <c r="O2249" s="370"/>
      <c r="T2249" s="349"/>
      <c r="V2249" s="378"/>
      <c r="W2249" s="64" ph="1"/>
      <c r="X2249" s="241"/>
      <c r="Y2249" s="284"/>
      <c r="Z2249" s="207"/>
      <c r="AA2249" s="284"/>
      <c r="AB2249" s="284"/>
      <c r="AC2249" s="284"/>
      <c r="AD2249" s="284"/>
      <c r="AE2249" s="284"/>
      <c r="AF2249" s="284"/>
      <c r="AG2249" s="284"/>
    </row>
    <row r="2250" spans="1:33" ht="26.4">
      <c r="A2250" s="284"/>
      <c r="B2250" s="284"/>
      <c r="C2250" s="284"/>
      <c r="D2250" s="284"/>
      <c r="E2250" s="284"/>
      <c r="F2250" s="284"/>
      <c r="G2250" s="284"/>
      <c r="H2250" s="284"/>
      <c r="I2250" s="284"/>
      <c r="J2250" s="375"/>
      <c r="K2250" s="375"/>
      <c r="L2250" s="375"/>
      <c r="M2250" s="368"/>
      <c r="N2250" s="368"/>
      <c r="O2250" s="370"/>
      <c r="T2250" s="349"/>
      <c r="V2250" s="378"/>
      <c r="W2250" s="64" ph="1"/>
      <c r="X2250" s="241"/>
      <c r="Y2250" s="284"/>
      <c r="Z2250" s="207"/>
      <c r="AA2250" s="284"/>
      <c r="AB2250" s="284"/>
      <c r="AC2250" s="284"/>
      <c r="AD2250" s="284"/>
      <c r="AE2250" s="284"/>
      <c r="AF2250" s="284"/>
      <c r="AG2250" s="284"/>
    </row>
    <row r="2251" spans="1:33" ht="26.4">
      <c r="A2251" s="284"/>
      <c r="B2251" s="284"/>
      <c r="C2251" s="284"/>
      <c r="D2251" s="284"/>
      <c r="E2251" s="284"/>
      <c r="F2251" s="284"/>
      <c r="G2251" s="284"/>
      <c r="H2251" s="284"/>
      <c r="I2251" s="284"/>
      <c r="J2251" s="375"/>
      <c r="K2251" s="375"/>
      <c r="L2251" s="375"/>
      <c r="M2251" s="368"/>
      <c r="N2251" s="368"/>
      <c r="O2251" s="370"/>
      <c r="T2251" s="349"/>
      <c r="V2251" s="378"/>
      <c r="W2251" s="64" ph="1"/>
      <c r="X2251" s="241"/>
      <c r="Y2251" s="284"/>
      <c r="Z2251" s="207"/>
      <c r="AA2251" s="284"/>
      <c r="AB2251" s="284"/>
      <c r="AC2251" s="284"/>
      <c r="AD2251" s="284"/>
      <c r="AE2251" s="284"/>
      <c r="AF2251" s="284"/>
      <c r="AG2251" s="284"/>
    </row>
    <row r="2252" spans="1:33" ht="26.4">
      <c r="A2252" s="284"/>
      <c r="B2252" s="284"/>
      <c r="C2252" s="284"/>
      <c r="D2252" s="284"/>
      <c r="E2252" s="284"/>
      <c r="F2252" s="284"/>
      <c r="G2252" s="284"/>
      <c r="H2252" s="284"/>
      <c r="I2252" s="284"/>
      <c r="J2252" s="375"/>
      <c r="K2252" s="375"/>
      <c r="L2252" s="375"/>
      <c r="M2252" s="368"/>
      <c r="N2252" s="368"/>
      <c r="O2252" s="370"/>
      <c r="T2252" s="349"/>
      <c r="V2252" s="378"/>
      <c r="W2252" s="64" ph="1"/>
      <c r="X2252" s="241"/>
      <c r="Y2252" s="284"/>
      <c r="Z2252" s="207"/>
      <c r="AA2252" s="284"/>
      <c r="AB2252" s="284"/>
      <c r="AC2252" s="284"/>
      <c r="AD2252" s="284"/>
      <c r="AE2252" s="284"/>
      <c r="AF2252" s="284"/>
      <c r="AG2252" s="284"/>
    </row>
    <row r="2253" spans="1:33" ht="26.4">
      <c r="A2253" s="284"/>
      <c r="B2253" s="284"/>
      <c r="C2253" s="284"/>
      <c r="D2253" s="284"/>
      <c r="E2253" s="284"/>
      <c r="F2253" s="284"/>
      <c r="G2253" s="284"/>
      <c r="H2253" s="284"/>
      <c r="I2253" s="284"/>
      <c r="J2253" s="375"/>
      <c r="K2253" s="375"/>
      <c r="L2253" s="375"/>
      <c r="M2253" s="368"/>
      <c r="N2253" s="368"/>
      <c r="O2253" s="370"/>
      <c r="T2253" s="349"/>
      <c r="V2253" s="378"/>
      <c r="W2253" s="64" ph="1"/>
      <c r="X2253" s="241"/>
      <c r="Y2253" s="284"/>
      <c r="Z2253" s="207"/>
      <c r="AA2253" s="284"/>
      <c r="AB2253" s="284"/>
      <c r="AC2253" s="284"/>
      <c r="AD2253" s="284"/>
      <c r="AE2253" s="284"/>
      <c r="AF2253" s="284"/>
      <c r="AG2253" s="284"/>
    </row>
    <row r="2254" spans="1:33" ht="26.4">
      <c r="A2254" s="284"/>
      <c r="B2254" s="284"/>
      <c r="C2254" s="284"/>
      <c r="D2254" s="284"/>
      <c r="E2254" s="284"/>
      <c r="F2254" s="284"/>
      <c r="G2254" s="284"/>
      <c r="H2254" s="284"/>
      <c r="I2254" s="284"/>
      <c r="J2254" s="375"/>
      <c r="K2254" s="375"/>
      <c r="L2254" s="375"/>
      <c r="M2254" s="368"/>
      <c r="N2254" s="368"/>
      <c r="O2254" s="370"/>
      <c r="T2254" s="349"/>
      <c r="V2254" s="378"/>
      <c r="W2254" s="64" ph="1"/>
      <c r="X2254" s="241"/>
      <c r="Y2254" s="284"/>
      <c r="Z2254" s="207"/>
      <c r="AA2254" s="284"/>
      <c r="AB2254" s="284"/>
      <c r="AC2254" s="284"/>
      <c r="AD2254" s="284"/>
      <c r="AE2254" s="284"/>
      <c r="AF2254" s="284"/>
      <c r="AG2254" s="284"/>
    </row>
    <row r="2255" spans="1:33" ht="26.4">
      <c r="A2255" s="284"/>
      <c r="B2255" s="284"/>
      <c r="C2255" s="284"/>
      <c r="D2255" s="284"/>
      <c r="E2255" s="284"/>
      <c r="F2255" s="284"/>
      <c r="G2255" s="284"/>
      <c r="H2255" s="284"/>
      <c r="I2255" s="284"/>
      <c r="J2255" s="375"/>
      <c r="K2255" s="375"/>
      <c r="L2255" s="375"/>
      <c r="M2255" s="368"/>
      <c r="N2255" s="368"/>
      <c r="O2255" s="370"/>
      <c r="T2255" s="349"/>
      <c r="V2255" s="378"/>
      <c r="W2255" s="64" ph="1"/>
      <c r="X2255" s="241"/>
      <c r="Y2255" s="284"/>
      <c r="Z2255" s="207"/>
      <c r="AA2255" s="284"/>
      <c r="AB2255" s="284"/>
      <c r="AC2255" s="284"/>
      <c r="AD2255" s="284"/>
      <c r="AE2255" s="284"/>
      <c r="AF2255" s="284"/>
      <c r="AG2255" s="284"/>
    </row>
    <row r="2256" spans="1:33" ht="26.4">
      <c r="A2256" s="284"/>
      <c r="B2256" s="284"/>
      <c r="C2256" s="284"/>
      <c r="D2256" s="284"/>
      <c r="E2256" s="284"/>
      <c r="F2256" s="284"/>
      <c r="G2256" s="284"/>
      <c r="H2256" s="284"/>
      <c r="I2256" s="284"/>
      <c r="J2256" s="375"/>
      <c r="K2256" s="375"/>
      <c r="L2256" s="375"/>
      <c r="M2256" s="368"/>
      <c r="N2256" s="368"/>
      <c r="O2256" s="370"/>
      <c r="T2256" s="349"/>
      <c r="V2256" s="378"/>
      <c r="W2256" s="64" ph="1"/>
      <c r="X2256" s="241"/>
      <c r="Y2256" s="284"/>
      <c r="Z2256" s="207"/>
      <c r="AA2256" s="284"/>
      <c r="AB2256" s="284"/>
      <c r="AC2256" s="284"/>
      <c r="AD2256" s="284"/>
      <c r="AE2256" s="284"/>
      <c r="AF2256" s="284"/>
      <c r="AG2256" s="284"/>
    </row>
    <row r="2257" spans="1:33" ht="26.4">
      <c r="A2257" s="284"/>
      <c r="B2257" s="284"/>
      <c r="C2257" s="284"/>
      <c r="D2257" s="284"/>
      <c r="E2257" s="284"/>
      <c r="F2257" s="284"/>
      <c r="G2257" s="284"/>
      <c r="H2257" s="284"/>
      <c r="I2257" s="284"/>
      <c r="J2257" s="375"/>
      <c r="K2257" s="375"/>
      <c r="L2257" s="375"/>
      <c r="M2257" s="368"/>
      <c r="N2257" s="368"/>
      <c r="O2257" s="370"/>
      <c r="T2257" s="349"/>
      <c r="V2257" s="378"/>
      <c r="W2257" s="64" ph="1"/>
      <c r="X2257" s="241"/>
      <c r="Y2257" s="284"/>
      <c r="Z2257" s="207"/>
      <c r="AA2257" s="284"/>
      <c r="AB2257" s="284"/>
      <c r="AC2257" s="284"/>
      <c r="AD2257" s="284"/>
      <c r="AE2257" s="284"/>
      <c r="AF2257" s="284"/>
      <c r="AG2257" s="284"/>
    </row>
    <row r="2258" spans="1:33" ht="26.4">
      <c r="A2258" s="284"/>
      <c r="B2258" s="284"/>
      <c r="C2258" s="284"/>
      <c r="D2258" s="284"/>
      <c r="E2258" s="284"/>
      <c r="F2258" s="284"/>
      <c r="G2258" s="284"/>
      <c r="H2258" s="284"/>
      <c r="I2258" s="284"/>
      <c r="J2258" s="375"/>
      <c r="K2258" s="375"/>
      <c r="L2258" s="375"/>
      <c r="M2258" s="368"/>
      <c r="N2258" s="368"/>
      <c r="O2258" s="370"/>
      <c r="T2258" s="349"/>
      <c r="V2258" s="378"/>
      <c r="W2258" s="64" ph="1"/>
      <c r="X2258" s="241"/>
      <c r="Y2258" s="284"/>
      <c r="Z2258" s="207"/>
      <c r="AA2258" s="284"/>
      <c r="AB2258" s="284"/>
      <c r="AC2258" s="284"/>
      <c r="AD2258" s="284"/>
      <c r="AE2258" s="284"/>
      <c r="AF2258" s="284"/>
      <c r="AG2258" s="284"/>
    </row>
    <row r="2259" spans="1:33" ht="26.4">
      <c r="A2259" s="284"/>
      <c r="B2259" s="284"/>
      <c r="C2259" s="284"/>
      <c r="D2259" s="284"/>
      <c r="E2259" s="284"/>
      <c r="F2259" s="284"/>
      <c r="G2259" s="284"/>
      <c r="H2259" s="284"/>
      <c r="I2259" s="284"/>
      <c r="J2259" s="375"/>
      <c r="K2259" s="375"/>
      <c r="L2259" s="375"/>
      <c r="M2259" s="368"/>
      <c r="N2259" s="368"/>
      <c r="O2259" s="370"/>
      <c r="T2259" s="349"/>
      <c r="V2259" s="378"/>
      <c r="W2259" s="64" ph="1"/>
      <c r="X2259" s="241"/>
      <c r="Y2259" s="284"/>
      <c r="Z2259" s="207"/>
      <c r="AA2259" s="284"/>
      <c r="AB2259" s="284"/>
      <c r="AC2259" s="284"/>
      <c r="AD2259" s="284"/>
      <c r="AE2259" s="284"/>
      <c r="AF2259" s="284"/>
      <c r="AG2259" s="284"/>
    </row>
    <row r="2260" spans="1:33" ht="26.4">
      <c r="O2260" s="370"/>
      <c r="W2260" s="64" ph="1"/>
    </row>
    <row r="2261" spans="1:33" ht="26.4">
      <c r="O2261" s="370"/>
      <c r="W2261" s="64" ph="1"/>
    </row>
    <row r="2262" spans="1:33" ht="26.4">
      <c r="O2262" s="370"/>
      <c r="W2262" s="64" ph="1"/>
    </row>
    <row r="2263" spans="1:33" ht="26.4">
      <c r="O2263" s="370"/>
      <c r="W2263" s="64" ph="1"/>
    </row>
    <row r="2264" spans="1:33" ht="26.4">
      <c r="O2264" s="370"/>
      <c r="W2264" s="64" ph="1"/>
    </row>
    <row r="2265" spans="1:33" ht="26.4">
      <c r="O2265" s="370"/>
      <c r="W2265" s="64" ph="1"/>
    </row>
    <row r="2266" spans="1:33" ht="26.4">
      <c r="O2266" s="370"/>
      <c r="W2266" s="64" ph="1"/>
    </row>
    <row r="2267" spans="1:33" ht="26.4">
      <c r="O2267" s="370"/>
      <c r="W2267" s="64" ph="1"/>
    </row>
    <row r="2268" spans="1:33" ht="26.4">
      <c r="O2268" s="370"/>
      <c r="W2268" s="64" ph="1"/>
    </row>
    <row r="2269" spans="1:33" ht="26.4">
      <c r="O2269" s="370"/>
      <c r="W2269" s="64" ph="1"/>
    </row>
    <row r="2270" spans="1:33" ht="26.4">
      <c r="O2270" s="370"/>
      <c r="W2270" s="64" ph="1"/>
    </row>
    <row r="2271" spans="1:33" ht="26.4">
      <c r="O2271" s="370"/>
      <c r="W2271" s="64" ph="1"/>
    </row>
    <row r="2272" spans="1:33" ht="26.4">
      <c r="W2272" s="64" ph="1"/>
    </row>
    <row r="2273" spans="23:23" ht="26.4">
      <c r="W2273" s="64" ph="1"/>
    </row>
    <row r="2274" spans="23:23" ht="26.4">
      <c r="W2274" s="64" ph="1"/>
    </row>
    <row r="2275" spans="23:23" ht="26.4">
      <c r="W2275" s="64" ph="1"/>
    </row>
    <row r="2276" spans="23:23" ht="26.4">
      <c r="W2276" s="64" ph="1"/>
    </row>
    <row r="2277" spans="23:23" ht="26.4">
      <c r="W2277" s="64" ph="1"/>
    </row>
    <row r="2278" spans="23:23" ht="26.4">
      <c r="W2278" s="64" ph="1"/>
    </row>
    <row r="2279" spans="23:23" ht="26.4">
      <c r="W2279" s="64" ph="1"/>
    </row>
    <row r="2280" spans="23:23" ht="26.4">
      <c r="W2280" s="64" ph="1"/>
    </row>
    <row r="2281" spans="23:23" ht="26.4">
      <c r="W2281" s="64" ph="1"/>
    </row>
    <row r="2282" spans="23:23" ht="26.4">
      <c r="W2282" s="64" ph="1"/>
    </row>
    <row r="2283" spans="23:23" ht="26.4">
      <c r="W2283" s="64" ph="1"/>
    </row>
    <row r="2284" spans="23:23" ht="26.4">
      <c r="W2284" s="64" ph="1"/>
    </row>
    <row r="2285" spans="23:23" ht="26.4">
      <c r="W2285" s="64" ph="1"/>
    </row>
    <row r="2286" spans="23:23" ht="26.4">
      <c r="W2286" s="64" ph="1"/>
    </row>
    <row r="2287" spans="23:23" ht="26.4">
      <c r="W2287" s="64" ph="1"/>
    </row>
    <row r="2288" spans="23:23" ht="26.4">
      <c r="W2288" s="64" ph="1"/>
    </row>
    <row r="2289" spans="23:23" ht="26.4">
      <c r="W2289" s="64" ph="1"/>
    </row>
    <row r="2290" spans="23:23" ht="26.4">
      <c r="W2290" s="64" ph="1"/>
    </row>
    <row r="2291" spans="23:23" ht="26.4">
      <c r="W2291" s="64" ph="1"/>
    </row>
    <row r="2292" spans="23:23" ht="26.4">
      <c r="W2292" s="64" ph="1"/>
    </row>
    <row r="2293" spans="23:23" ht="26.4">
      <c r="W2293" s="64" ph="1"/>
    </row>
    <row r="2294" spans="23:23" ht="26.4">
      <c r="W2294" s="64" ph="1"/>
    </row>
    <row r="2295" spans="23:23" ht="26.4">
      <c r="W2295" s="64" ph="1"/>
    </row>
    <row r="2296" spans="23:23" ht="26.4">
      <c r="W2296" s="64" ph="1"/>
    </row>
    <row r="2297" spans="23:23" ht="26.4">
      <c r="W2297" s="64" ph="1"/>
    </row>
    <row r="2298" spans="23:23" ht="26.4">
      <c r="W2298" s="64" ph="1"/>
    </row>
    <row r="2299" spans="23:23" ht="26.4">
      <c r="W2299" s="64" ph="1"/>
    </row>
    <row r="2300" spans="23:23" ht="26.4">
      <c r="W2300" s="64" ph="1"/>
    </row>
    <row r="2301" spans="23:23" ht="26.4">
      <c r="W2301" s="64" ph="1"/>
    </row>
    <row r="2302" spans="23:23" ht="26.4">
      <c r="W2302" s="64" ph="1"/>
    </row>
    <row r="2303" spans="23:23" ht="26.4">
      <c r="W2303" s="64" ph="1"/>
    </row>
    <row r="2304" spans="23:23" ht="26.4">
      <c r="W2304" s="64" ph="1"/>
    </row>
    <row r="2305" spans="23:23" ht="26.4">
      <c r="W2305" s="64" ph="1"/>
    </row>
    <row r="2306" spans="23:23" ht="26.4">
      <c r="W2306" s="64" ph="1"/>
    </row>
    <row r="2307" spans="23:23" ht="26.4">
      <c r="W2307" s="64" ph="1"/>
    </row>
    <row r="2308" spans="23:23" ht="26.4">
      <c r="W2308" s="64" ph="1"/>
    </row>
    <row r="2309" spans="23:23" ht="26.4">
      <c r="W2309" s="64" ph="1"/>
    </row>
    <row r="2310" spans="23:23" ht="26.4">
      <c r="W2310" s="64" ph="1"/>
    </row>
    <row r="2311" spans="23:23" ht="26.4">
      <c r="W2311" s="64" ph="1"/>
    </row>
    <row r="2312" spans="23:23" ht="26.4">
      <c r="W2312" s="64" ph="1"/>
    </row>
    <row r="2313" spans="23:23" ht="26.4">
      <c r="W2313" s="64" ph="1"/>
    </row>
    <row r="2314" spans="23:23" ht="26.4">
      <c r="W2314" s="64" ph="1"/>
    </row>
    <row r="2315" spans="23:23" ht="26.4">
      <c r="W2315" s="64" ph="1"/>
    </row>
    <row r="2316" spans="23:23" ht="26.4">
      <c r="W2316" s="64" ph="1"/>
    </row>
    <row r="2317" spans="23:23" ht="26.4">
      <c r="W2317" s="64" ph="1"/>
    </row>
    <row r="2318" spans="23:23" ht="26.4">
      <c r="W2318" s="64" ph="1"/>
    </row>
    <row r="2319" spans="23:23" ht="26.4">
      <c r="W2319" s="64" ph="1"/>
    </row>
    <row r="2320" spans="23:23" ht="26.4">
      <c r="W2320" s="64" ph="1"/>
    </row>
    <row r="2321" spans="23:23" ht="26.4">
      <c r="W2321" s="64" ph="1"/>
    </row>
    <row r="2322" spans="23:23" ht="26.4">
      <c r="W2322" s="64" ph="1"/>
    </row>
    <row r="2323" spans="23:23" ht="26.4">
      <c r="W2323" s="64" ph="1"/>
    </row>
    <row r="2324" spans="23:23" ht="26.4">
      <c r="W2324" s="64" ph="1"/>
    </row>
    <row r="2325" spans="23:23" ht="26.4">
      <c r="W2325" s="64" ph="1"/>
    </row>
    <row r="2326" spans="23:23" ht="26.4">
      <c r="W2326" s="64" ph="1"/>
    </row>
    <row r="2327" spans="23:23" ht="26.4">
      <c r="W2327" s="64" ph="1"/>
    </row>
    <row r="2328" spans="23:23" ht="26.4">
      <c r="W2328" s="64" ph="1"/>
    </row>
    <row r="2329" spans="23:23" ht="26.4">
      <c r="W2329" s="64" ph="1"/>
    </row>
    <row r="2330" spans="23:23" ht="26.4">
      <c r="W2330" s="64" ph="1"/>
    </row>
    <row r="2331" spans="23:23" ht="26.4">
      <c r="W2331" s="64" ph="1"/>
    </row>
    <row r="2332" spans="23:23" ht="26.4">
      <c r="W2332" s="64" ph="1"/>
    </row>
    <row r="2333" spans="23:23" ht="26.4">
      <c r="W2333" s="64" ph="1"/>
    </row>
    <row r="2334" spans="23:23" ht="26.4">
      <c r="W2334" s="64" ph="1"/>
    </row>
    <row r="2335" spans="23:23" ht="26.4">
      <c r="W2335" s="64" ph="1"/>
    </row>
    <row r="2336" spans="23:23" ht="26.4">
      <c r="W2336" s="64" ph="1"/>
    </row>
    <row r="2337" spans="23:23" ht="26.4">
      <c r="W2337" s="64" ph="1"/>
    </row>
    <row r="2338" spans="23:23" ht="26.4">
      <c r="W2338" s="64" ph="1"/>
    </row>
    <row r="2339" spans="23:23" ht="26.4">
      <c r="W2339" s="64" ph="1"/>
    </row>
    <row r="2340" spans="23:23" ht="26.4">
      <c r="W2340" s="64" ph="1"/>
    </row>
    <row r="2341" spans="23:23" ht="26.4">
      <c r="W2341" s="64" ph="1"/>
    </row>
    <row r="2342" spans="23:23" ht="26.4">
      <c r="W2342" s="64" ph="1"/>
    </row>
    <row r="2343" spans="23:23" ht="26.4">
      <c r="W2343" s="64" ph="1"/>
    </row>
    <row r="2344" spans="23:23" ht="26.4">
      <c r="W2344" s="64" ph="1"/>
    </row>
    <row r="2345" spans="23:23" ht="26.4">
      <c r="W2345" s="64" ph="1"/>
    </row>
    <row r="2346" spans="23:23" ht="26.4">
      <c r="W2346" s="64" ph="1"/>
    </row>
    <row r="2347" spans="23:23" ht="26.4">
      <c r="W2347" s="64" ph="1"/>
    </row>
    <row r="2348" spans="23:23" ht="26.4">
      <c r="W2348" s="64" ph="1"/>
    </row>
    <row r="2349" spans="23:23" ht="26.4">
      <c r="W2349" s="64" ph="1"/>
    </row>
    <row r="2350" spans="23:23" ht="26.4">
      <c r="W2350" s="64" ph="1"/>
    </row>
    <row r="2351" spans="23:23" ht="26.4">
      <c r="W2351" s="64" ph="1"/>
    </row>
    <row r="2352" spans="23:23" ht="26.4">
      <c r="W2352" s="64" ph="1"/>
    </row>
    <row r="2353" spans="23:23" ht="26.4">
      <c r="W2353" s="64" ph="1"/>
    </row>
    <row r="2354" spans="23:23" ht="26.4">
      <c r="W2354" s="64" ph="1"/>
    </row>
    <row r="2355" spans="23:23" ht="26.4">
      <c r="W2355" s="64" ph="1"/>
    </row>
    <row r="2356" spans="23:23" ht="26.4">
      <c r="W2356" s="64" ph="1"/>
    </row>
    <row r="2357" spans="23:23" ht="26.4">
      <c r="W2357" s="64" ph="1"/>
    </row>
    <row r="2358" spans="23:23" ht="26.4">
      <c r="W2358" s="64" ph="1"/>
    </row>
    <row r="2359" spans="23:23" ht="26.4">
      <c r="W2359" s="64" ph="1"/>
    </row>
    <row r="2360" spans="23:23" ht="26.4">
      <c r="W2360" s="64" ph="1"/>
    </row>
    <row r="2361" spans="23:23" ht="26.4">
      <c r="W2361" s="64" ph="1"/>
    </row>
    <row r="2362" spans="23:23" ht="26.4">
      <c r="W2362" s="64" ph="1"/>
    </row>
    <row r="2363" spans="23:23" ht="26.4">
      <c r="W2363" s="64" ph="1"/>
    </row>
    <row r="2364" spans="23:23" ht="26.4">
      <c r="W2364" s="64" ph="1"/>
    </row>
    <row r="2365" spans="23:23" ht="26.4">
      <c r="W2365" s="64" ph="1"/>
    </row>
    <row r="2366" spans="23:23" ht="26.4">
      <c r="W2366" s="64" ph="1"/>
    </row>
    <row r="2367" spans="23:23" ht="26.4">
      <c r="W2367" s="64" ph="1"/>
    </row>
    <row r="2368" spans="23:23" ht="26.4">
      <c r="W2368" s="64" ph="1"/>
    </row>
    <row r="2369" spans="23:23" ht="26.4">
      <c r="W2369" s="64" ph="1"/>
    </row>
    <row r="2370" spans="23:23" ht="26.4">
      <c r="W2370" s="64" ph="1"/>
    </row>
    <row r="2371" spans="23:23" ht="26.4">
      <c r="W2371" s="64" ph="1"/>
    </row>
    <row r="2372" spans="23:23" ht="26.4">
      <c r="W2372" s="64" ph="1"/>
    </row>
    <row r="2373" spans="23:23" ht="26.4">
      <c r="W2373" s="64" ph="1"/>
    </row>
    <row r="2374" spans="23:23" ht="26.4">
      <c r="W2374" s="64" ph="1"/>
    </row>
    <row r="2375" spans="23:23" ht="26.4">
      <c r="W2375" s="64" ph="1"/>
    </row>
    <row r="2376" spans="23:23" ht="26.4">
      <c r="W2376" s="64" ph="1"/>
    </row>
    <row r="2377" spans="23:23" ht="26.4">
      <c r="W2377" s="64" ph="1"/>
    </row>
    <row r="2378" spans="23:23" ht="26.4">
      <c r="W2378" s="64" ph="1"/>
    </row>
    <row r="2379" spans="23:23" ht="26.4">
      <c r="W2379" s="64" ph="1"/>
    </row>
    <row r="2380" spans="23:23" ht="26.4">
      <c r="W2380" s="64" ph="1"/>
    </row>
    <row r="2381" spans="23:23" ht="26.4">
      <c r="W2381" s="64" ph="1"/>
    </row>
    <row r="2382" spans="23:23" ht="26.4">
      <c r="W2382" s="64" ph="1"/>
    </row>
    <row r="2383" spans="23:23" ht="26.4">
      <c r="W2383" s="64" ph="1"/>
    </row>
    <row r="2384" spans="23:23" ht="26.4">
      <c r="W2384" s="64" ph="1"/>
    </row>
    <row r="2385" spans="23:23" ht="26.4">
      <c r="W2385" s="64" ph="1"/>
    </row>
    <row r="2386" spans="23:23" ht="26.4">
      <c r="W2386" s="64" ph="1"/>
    </row>
    <row r="2387" spans="23:23" ht="26.4">
      <c r="W2387" s="64" ph="1"/>
    </row>
    <row r="2388" spans="23:23" ht="26.4">
      <c r="W2388" s="64" ph="1"/>
    </row>
    <row r="2389" spans="23:23" ht="26.4">
      <c r="W2389" s="64" ph="1"/>
    </row>
    <row r="2390" spans="23:23" ht="26.4">
      <c r="W2390" s="64" ph="1"/>
    </row>
    <row r="2391" spans="23:23" ht="26.4">
      <c r="W2391" s="64" ph="1"/>
    </row>
    <row r="2392" spans="23:23" ht="26.4">
      <c r="W2392" s="64" ph="1"/>
    </row>
    <row r="2393" spans="23:23" ht="26.4">
      <c r="W2393" s="64" ph="1"/>
    </row>
    <row r="2394" spans="23:23" ht="26.4">
      <c r="W2394" s="64" ph="1"/>
    </row>
    <row r="2395" spans="23:23" ht="26.4">
      <c r="W2395" s="64" ph="1"/>
    </row>
    <row r="2396" spans="23:23" ht="26.4">
      <c r="W2396" s="64" ph="1"/>
    </row>
    <row r="2397" spans="23:23" ht="26.4">
      <c r="W2397" s="64" ph="1"/>
    </row>
    <row r="2398" spans="23:23" ht="26.4">
      <c r="W2398" s="64" ph="1"/>
    </row>
    <row r="2399" spans="23:23" ht="26.4">
      <c r="W2399" s="64" ph="1"/>
    </row>
    <row r="2400" spans="23:23" ht="26.4">
      <c r="W2400" s="64" ph="1"/>
    </row>
    <row r="2401" spans="23:23" ht="26.4">
      <c r="W2401" s="64" ph="1"/>
    </row>
    <row r="2402" spans="23:23" ht="26.4">
      <c r="W2402" s="64" ph="1"/>
    </row>
    <row r="2403" spans="23:23" ht="26.4">
      <c r="W2403" s="64" ph="1"/>
    </row>
    <row r="2404" spans="23:23" ht="26.4">
      <c r="W2404" s="64" ph="1"/>
    </row>
    <row r="2405" spans="23:23" ht="26.4">
      <c r="W2405" s="64" ph="1"/>
    </row>
    <row r="2406" spans="23:23" ht="26.4">
      <c r="W2406" s="64" ph="1"/>
    </row>
    <row r="2407" spans="23:23" ht="26.4">
      <c r="W2407" s="64" ph="1"/>
    </row>
    <row r="2408" spans="23:23" ht="26.4">
      <c r="W2408" s="64" ph="1"/>
    </row>
    <row r="2409" spans="23:23" ht="26.4">
      <c r="W2409" s="64" ph="1"/>
    </row>
    <row r="2410" spans="23:23" ht="26.4">
      <c r="W2410" s="64" ph="1"/>
    </row>
    <row r="2411" spans="23:23" ht="26.4">
      <c r="W2411" s="64" ph="1"/>
    </row>
    <row r="2412" spans="23:23" ht="26.4">
      <c r="W2412" s="64" ph="1"/>
    </row>
    <row r="2413" spans="23:23" ht="26.4">
      <c r="W2413" s="64" ph="1"/>
    </row>
    <row r="2414" spans="23:23" ht="26.4">
      <c r="W2414" s="64" ph="1"/>
    </row>
    <row r="2415" spans="23:23" ht="26.4">
      <c r="W2415" s="64" ph="1"/>
    </row>
    <row r="2416" spans="23:23" ht="26.4">
      <c r="W2416" s="64" ph="1"/>
    </row>
    <row r="2417" spans="23:23" ht="26.4">
      <c r="W2417" s="64" ph="1"/>
    </row>
    <row r="2418" spans="23:23" ht="26.4">
      <c r="W2418" s="64" ph="1"/>
    </row>
    <row r="2419" spans="23:23" ht="26.4">
      <c r="W2419" s="64" ph="1"/>
    </row>
    <row r="2420" spans="23:23" ht="26.4">
      <c r="W2420" s="64" ph="1"/>
    </row>
    <row r="2421" spans="23:23" ht="26.4">
      <c r="W2421" s="64" ph="1"/>
    </row>
    <row r="2422" spans="23:23" ht="26.4">
      <c r="W2422" s="64" ph="1"/>
    </row>
    <row r="2423" spans="23:23" ht="26.4">
      <c r="W2423" s="64" ph="1"/>
    </row>
    <row r="2424" spans="23:23" ht="26.4">
      <c r="W2424" s="64" ph="1"/>
    </row>
    <row r="2425" spans="23:23" ht="26.4">
      <c r="W2425" s="64" ph="1"/>
    </row>
    <row r="2426" spans="23:23" ht="26.4">
      <c r="W2426" s="64" ph="1"/>
    </row>
    <row r="2427" spans="23:23" ht="26.4">
      <c r="W2427" s="64" ph="1"/>
    </row>
    <row r="2428" spans="23:23" ht="26.4">
      <c r="W2428" s="64" ph="1"/>
    </row>
    <row r="2429" spans="23:23" ht="26.4">
      <c r="W2429" s="64" ph="1"/>
    </row>
    <row r="2430" spans="23:23" ht="26.4">
      <c r="W2430" s="64" ph="1"/>
    </row>
    <row r="2431" spans="23:23" ht="26.4">
      <c r="W2431" s="64" ph="1"/>
    </row>
    <row r="2432" spans="23:23" ht="26.4">
      <c r="W2432" s="64" ph="1"/>
    </row>
    <row r="2433" spans="23:23" ht="26.4">
      <c r="W2433" s="64" ph="1"/>
    </row>
    <row r="2434" spans="23:23" ht="26.4">
      <c r="W2434" s="64" ph="1"/>
    </row>
    <row r="2435" spans="23:23" ht="26.4">
      <c r="W2435" s="64" ph="1"/>
    </row>
    <row r="2436" spans="23:23" ht="26.4">
      <c r="W2436" s="64" ph="1"/>
    </row>
    <row r="2437" spans="23:23" ht="26.4">
      <c r="W2437" s="64" ph="1"/>
    </row>
    <row r="2438" spans="23:23" ht="26.4">
      <c r="W2438" s="64" ph="1"/>
    </row>
    <row r="2439" spans="23:23" ht="26.4">
      <c r="W2439" s="64" ph="1"/>
    </row>
    <row r="2440" spans="23:23" ht="26.4">
      <c r="W2440" s="64" ph="1"/>
    </row>
    <row r="2441" spans="23:23" ht="26.4">
      <c r="W2441" s="64" ph="1"/>
    </row>
    <row r="2442" spans="23:23" ht="26.4">
      <c r="W2442" s="64" ph="1"/>
    </row>
    <row r="2443" spans="23:23" ht="26.4">
      <c r="W2443" s="64" ph="1"/>
    </row>
    <row r="2444" spans="23:23" ht="26.4">
      <c r="W2444" s="64" ph="1"/>
    </row>
    <row r="2445" spans="23:23" ht="26.4">
      <c r="W2445" s="64" ph="1"/>
    </row>
    <row r="2446" spans="23:23" ht="26.4">
      <c r="W2446" s="64" ph="1"/>
    </row>
    <row r="2447" spans="23:23" ht="26.4">
      <c r="W2447" s="64" ph="1"/>
    </row>
    <row r="2448" spans="23:23" ht="26.4">
      <c r="W2448" s="64" ph="1"/>
    </row>
    <row r="2449" spans="23:23" ht="26.4">
      <c r="W2449" s="64" ph="1"/>
    </row>
    <row r="2450" spans="23:23" ht="26.4">
      <c r="W2450" s="64" ph="1"/>
    </row>
    <row r="2451" spans="23:23" ht="26.4">
      <c r="W2451" s="64" ph="1"/>
    </row>
    <row r="2452" spans="23:23" ht="26.4">
      <c r="W2452" s="64" ph="1"/>
    </row>
    <row r="2453" spans="23:23" ht="26.4">
      <c r="W2453" s="64" ph="1"/>
    </row>
    <row r="2454" spans="23:23" ht="26.4">
      <c r="W2454" s="64" ph="1"/>
    </row>
    <row r="2455" spans="23:23" ht="26.4">
      <c r="W2455" s="64" ph="1"/>
    </row>
    <row r="2456" spans="23:23" ht="26.4">
      <c r="W2456" s="64" ph="1"/>
    </row>
    <row r="2457" spans="23:23" ht="26.4">
      <c r="W2457" s="64" ph="1"/>
    </row>
    <row r="2458" spans="23:23" ht="26.4">
      <c r="W2458" s="64" ph="1"/>
    </row>
    <row r="2459" spans="23:23" ht="26.4">
      <c r="W2459" s="64" ph="1"/>
    </row>
    <row r="2460" spans="23:23" ht="26.4">
      <c r="W2460" s="64" ph="1"/>
    </row>
    <row r="2461" spans="23:23" ht="26.4">
      <c r="W2461" s="64" ph="1"/>
    </row>
    <row r="2462" spans="23:23" ht="26.4">
      <c r="W2462" s="64" ph="1"/>
    </row>
    <row r="2463" spans="23:23" ht="26.4">
      <c r="W2463" s="64" ph="1"/>
    </row>
    <row r="2464" spans="23:23" ht="26.4">
      <c r="W2464" s="64" ph="1"/>
    </row>
    <row r="2465" spans="23:23" ht="26.4">
      <c r="W2465" s="64" ph="1"/>
    </row>
    <row r="2466" spans="23:23" ht="26.4">
      <c r="W2466" s="64" ph="1"/>
    </row>
    <row r="2467" spans="23:23" ht="26.4">
      <c r="W2467" s="64" ph="1"/>
    </row>
    <row r="2468" spans="23:23" ht="26.4">
      <c r="W2468" s="64" ph="1"/>
    </row>
    <row r="2469" spans="23:23" ht="26.4">
      <c r="W2469" s="64" ph="1"/>
    </row>
    <row r="2470" spans="23:23" ht="26.4">
      <c r="W2470" s="64" ph="1"/>
    </row>
    <row r="2471" spans="23:23" ht="26.4">
      <c r="W2471" s="64" ph="1"/>
    </row>
    <row r="2472" spans="23:23" ht="26.4">
      <c r="W2472" s="64" ph="1"/>
    </row>
    <row r="2473" spans="23:23" ht="26.4">
      <c r="W2473" s="64" ph="1"/>
    </row>
    <row r="2474" spans="23:23" ht="26.4">
      <c r="W2474" s="64" ph="1"/>
    </row>
    <row r="2475" spans="23:23" ht="26.4">
      <c r="W2475" s="64" ph="1"/>
    </row>
    <row r="2476" spans="23:23" ht="26.4">
      <c r="W2476" s="64" ph="1"/>
    </row>
    <row r="2477" spans="23:23" ht="26.4">
      <c r="W2477" s="64" ph="1"/>
    </row>
    <row r="2478" spans="23:23" ht="26.4">
      <c r="W2478" s="64" ph="1"/>
    </row>
    <row r="2479" spans="23:23" ht="26.4">
      <c r="W2479" s="64" ph="1"/>
    </row>
    <row r="2480" spans="23:23" ht="26.4">
      <c r="W2480" s="64" ph="1"/>
    </row>
    <row r="2481" spans="23:23" ht="26.4">
      <c r="W2481" s="64" ph="1"/>
    </row>
    <row r="2482" spans="23:23" ht="26.4">
      <c r="W2482" s="64" ph="1"/>
    </row>
    <row r="2483" spans="23:23" ht="26.4">
      <c r="W2483" s="64" ph="1"/>
    </row>
    <row r="2484" spans="23:23" ht="26.4">
      <c r="W2484" s="64" ph="1"/>
    </row>
    <row r="2485" spans="23:23" ht="26.4">
      <c r="W2485" s="64" ph="1"/>
    </row>
    <row r="2486" spans="23:23" ht="26.4">
      <c r="W2486" s="64" ph="1"/>
    </row>
    <row r="2487" spans="23:23" ht="26.4">
      <c r="W2487" s="64" ph="1"/>
    </row>
    <row r="2488" spans="23:23" ht="26.4">
      <c r="W2488" s="64" ph="1"/>
    </row>
    <row r="2489" spans="23:23" ht="26.4">
      <c r="W2489" s="64" ph="1"/>
    </row>
    <row r="2490" spans="23:23" ht="26.4">
      <c r="W2490" s="64" ph="1"/>
    </row>
    <row r="2491" spans="23:23" ht="26.4">
      <c r="W2491" s="64" ph="1"/>
    </row>
    <row r="2492" spans="23:23" ht="26.4">
      <c r="W2492" s="64" ph="1"/>
    </row>
    <row r="2493" spans="23:23" ht="26.4">
      <c r="W2493" s="64" ph="1"/>
    </row>
    <row r="2494" spans="23:23" ht="26.4">
      <c r="W2494" s="64" ph="1"/>
    </row>
    <row r="2495" spans="23:23" ht="26.4">
      <c r="W2495" s="64" ph="1"/>
    </row>
    <row r="2496" spans="23:23" ht="26.4">
      <c r="W2496" s="64" ph="1"/>
    </row>
    <row r="2497" spans="23:23" ht="26.4">
      <c r="W2497" s="64" ph="1"/>
    </row>
    <row r="2498" spans="23:23" ht="26.4">
      <c r="W2498" s="64" ph="1"/>
    </row>
    <row r="2499" spans="23:23" ht="26.4">
      <c r="W2499" s="64" ph="1"/>
    </row>
    <row r="2500" spans="23:23" ht="26.4">
      <c r="W2500" s="64" ph="1"/>
    </row>
    <row r="2501" spans="23:23" ht="26.4">
      <c r="W2501" s="64" ph="1"/>
    </row>
    <row r="2502" spans="23:23" ht="26.4">
      <c r="W2502" s="64" ph="1"/>
    </row>
    <row r="2503" spans="23:23" ht="26.4">
      <c r="W2503" s="64" ph="1"/>
    </row>
    <row r="2504" spans="23:23" ht="26.4">
      <c r="W2504" s="64" ph="1"/>
    </row>
    <row r="2505" spans="23:23" ht="26.4">
      <c r="W2505" s="64" ph="1"/>
    </row>
    <row r="2506" spans="23:23" ht="26.4">
      <c r="W2506" s="64" ph="1"/>
    </row>
    <row r="2507" spans="23:23" ht="26.4">
      <c r="W2507" s="64" ph="1"/>
    </row>
    <row r="2508" spans="23:23" ht="26.4">
      <c r="W2508" s="64" ph="1"/>
    </row>
    <row r="2509" spans="23:23" ht="26.4">
      <c r="W2509" s="64" ph="1"/>
    </row>
    <row r="2510" spans="23:23" ht="26.4">
      <c r="W2510" s="64" ph="1"/>
    </row>
    <row r="2511" spans="23:23" ht="26.4">
      <c r="W2511" s="64" ph="1"/>
    </row>
    <row r="2512" spans="23:23" ht="26.4">
      <c r="W2512" s="64" ph="1"/>
    </row>
    <row r="2513" spans="23:23" ht="26.4">
      <c r="W2513" s="64" ph="1"/>
    </row>
    <row r="2514" spans="23:23" ht="26.4">
      <c r="W2514" s="64" ph="1"/>
    </row>
    <row r="2515" spans="23:23" ht="26.4">
      <c r="W2515" s="64" ph="1"/>
    </row>
    <row r="2516" spans="23:23" ht="26.4">
      <c r="W2516" s="64" ph="1"/>
    </row>
    <row r="2517" spans="23:23" ht="26.4">
      <c r="W2517" s="64" ph="1"/>
    </row>
    <row r="2518" spans="23:23" ht="26.4">
      <c r="W2518" s="64" ph="1"/>
    </row>
    <row r="2519" spans="23:23" ht="26.4">
      <c r="W2519" s="64" ph="1"/>
    </row>
    <row r="2520" spans="23:23" ht="26.4">
      <c r="W2520" s="64" ph="1"/>
    </row>
    <row r="2521" spans="23:23" ht="26.4">
      <c r="W2521" s="64" ph="1"/>
    </row>
    <row r="2522" spans="23:23" ht="26.4">
      <c r="W2522" s="64" ph="1"/>
    </row>
    <row r="2523" spans="23:23" ht="26.4">
      <c r="W2523" s="64" ph="1"/>
    </row>
    <row r="2524" spans="23:23" ht="26.4">
      <c r="W2524" s="64" ph="1"/>
    </row>
    <row r="2525" spans="23:23" ht="26.4">
      <c r="W2525" s="64" ph="1"/>
    </row>
    <row r="2526" spans="23:23" ht="26.4">
      <c r="W2526" s="64" ph="1"/>
    </row>
    <row r="2527" spans="23:23" ht="26.4">
      <c r="W2527" s="64" ph="1"/>
    </row>
    <row r="2528" spans="23:23" ht="26.4">
      <c r="W2528" s="64" ph="1"/>
    </row>
    <row r="2529" spans="23:23" ht="26.4">
      <c r="W2529" s="64" ph="1"/>
    </row>
    <row r="2530" spans="23:23" ht="26.4">
      <c r="W2530" s="64" ph="1"/>
    </row>
    <row r="2531" spans="23:23" ht="26.4">
      <c r="W2531" s="64" ph="1"/>
    </row>
    <row r="2532" spans="23:23" ht="26.4">
      <c r="W2532" s="64" ph="1"/>
    </row>
    <row r="2533" spans="23:23" ht="26.4">
      <c r="W2533" s="64" ph="1"/>
    </row>
    <row r="2534" spans="23:23" ht="26.4">
      <c r="W2534" s="64" ph="1"/>
    </row>
    <row r="2535" spans="23:23" ht="26.4">
      <c r="W2535" s="64" ph="1"/>
    </row>
    <row r="2536" spans="23:23" ht="26.4">
      <c r="W2536" s="64" ph="1"/>
    </row>
    <row r="2537" spans="23:23" ht="26.4">
      <c r="W2537" s="64" ph="1"/>
    </row>
    <row r="2538" spans="23:23" ht="26.4">
      <c r="W2538" s="64" ph="1"/>
    </row>
    <row r="2539" spans="23:23" ht="26.4">
      <c r="W2539" s="64" ph="1"/>
    </row>
    <row r="2540" spans="23:23" ht="26.4">
      <c r="W2540" s="64" ph="1"/>
    </row>
    <row r="2541" spans="23:23" ht="26.4">
      <c r="W2541" s="64" ph="1"/>
    </row>
    <row r="2542" spans="23:23" ht="26.4">
      <c r="W2542" s="64" ph="1"/>
    </row>
    <row r="2543" spans="23:23" ht="26.4">
      <c r="W2543" s="64" ph="1"/>
    </row>
    <row r="2544" spans="23:23" ht="26.4">
      <c r="W2544" s="64" ph="1"/>
    </row>
    <row r="2545" spans="23:23" ht="26.4">
      <c r="W2545" s="64" ph="1"/>
    </row>
    <row r="2546" spans="23:23" ht="26.4">
      <c r="W2546" s="64" ph="1"/>
    </row>
    <row r="2547" spans="23:23" ht="26.4">
      <c r="W2547" s="64" ph="1"/>
    </row>
    <row r="2548" spans="23:23" ht="26.4">
      <c r="W2548" s="64" ph="1"/>
    </row>
    <row r="2549" spans="23:23" ht="26.4">
      <c r="W2549" s="64" ph="1"/>
    </row>
    <row r="2550" spans="23:23" ht="26.4">
      <c r="W2550" s="64" ph="1"/>
    </row>
    <row r="2551" spans="23:23" ht="26.4">
      <c r="W2551" s="64" ph="1"/>
    </row>
    <row r="2552" spans="23:23" ht="26.4">
      <c r="W2552" s="64" ph="1"/>
    </row>
    <row r="2553" spans="23:23" ht="26.4">
      <c r="W2553" s="64" ph="1"/>
    </row>
    <row r="2554" spans="23:23" ht="26.4">
      <c r="W2554" s="64" ph="1"/>
    </row>
    <row r="2555" spans="23:23" ht="26.4">
      <c r="W2555" s="64" ph="1"/>
    </row>
    <row r="2556" spans="23:23" ht="26.4">
      <c r="W2556" s="64" ph="1"/>
    </row>
    <row r="2557" spans="23:23" ht="26.4">
      <c r="W2557" s="64" ph="1"/>
    </row>
    <row r="2558" spans="23:23" ht="26.4">
      <c r="W2558" s="64" ph="1"/>
    </row>
    <row r="2559" spans="23:23" ht="26.4">
      <c r="W2559" s="64" ph="1"/>
    </row>
    <row r="2560" spans="23:23" ht="26.4">
      <c r="W2560" s="64" ph="1"/>
    </row>
    <row r="2561" spans="23:23" ht="26.4">
      <c r="W2561" s="64" ph="1"/>
    </row>
    <row r="2562" spans="23:23" ht="26.4">
      <c r="W2562" s="64" ph="1"/>
    </row>
    <row r="2563" spans="23:23" ht="26.4">
      <c r="W2563" s="64" ph="1"/>
    </row>
    <row r="2564" spans="23:23" ht="26.4">
      <c r="W2564" s="64" ph="1"/>
    </row>
    <row r="2565" spans="23:23" ht="26.4">
      <c r="W2565" s="64" ph="1"/>
    </row>
    <row r="2566" spans="23:23" ht="26.4">
      <c r="W2566" s="64" ph="1"/>
    </row>
    <row r="2567" spans="23:23" ht="26.4">
      <c r="W2567" s="64" ph="1"/>
    </row>
    <row r="2568" spans="23:23" ht="26.4">
      <c r="W2568" s="64" ph="1"/>
    </row>
    <row r="2569" spans="23:23" ht="26.4">
      <c r="W2569" s="64" ph="1"/>
    </row>
    <row r="2570" spans="23:23" ht="26.4">
      <c r="W2570" s="64" ph="1"/>
    </row>
    <row r="2571" spans="23:23" ht="26.4">
      <c r="W2571" s="64" ph="1"/>
    </row>
    <row r="2572" spans="23:23" ht="26.4">
      <c r="W2572" s="64" ph="1"/>
    </row>
    <row r="2573" spans="23:23" ht="26.4">
      <c r="W2573" s="64" ph="1"/>
    </row>
    <row r="2574" spans="23:23" ht="26.4">
      <c r="W2574" s="64" ph="1"/>
    </row>
    <row r="2575" spans="23:23" ht="26.4">
      <c r="W2575" s="64" ph="1"/>
    </row>
    <row r="2576" spans="23:23" ht="26.4">
      <c r="W2576" s="64" ph="1"/>
    </row>
    <row r="2577" spans="23:23" ht="26.4">
      <c r="W2577" s="64" ph="1"/>
    </row>
    <row r="2578" spans="23:23" ht="26.4">
      <c r="W2578" s="64" ph="1"/>
    </row>
    <row r="2579" spans="23:23" ht="26.4">
      <c r="W2579" s="64" ph="1"/>
    </row>
    <row r="2580" spans="23:23" ht="26.4">
      <c r="W2580" s="64" ph="1"/>
    </row>
    <row r="2581" spans="23:23" ht="26.4">
      <c r="W2581" s="64" ph="1"/>
    </row>
    <row r="2582" spans="23:23" ht="26.4">
      <c r="W2582" s="64" ph="1"/>
    </row>
    <row r="2583" spans="23:23" ht="26.4">
      <c r="W2583" s="64" ph="1"/>
    </row>
    <row r="2584" spans="23:23" ht="26.4">
      <c r="W2584" s="64" ph="1"/>
    </row>
    <row r="2585" spans="23:23" ht="26.4">
      <c r="W2585" s="64" ph="1"/>
    </row>
    <row r="2586" spans="23:23" ht="26.4">
      <c r="W2586" s="64" ph="1"/>
    </row>
    <row r="2587" spans="23:23" ht="26.4">
      <c r="W2587" s="64" ph="1"/>
    </row>
    <row r="2588" spans="23:23" ht="26.4">
      <c r="W2588" s="64" ph="1"/>
    </row>
    <row r="2589" spans="23:23" ht="26.4">
      <c r="W2589" s="64" ph="1"/>
    </row>
    <row r="2590" spans="23:23" ht="26.4">
      <c r="W2590" s="64" ph="1"/>
    </row>
    <row r="2591" spans="23:23" ht="26.4">
      <c r="W2591" s="64" ph="1"/>
    </row>
    <row r="2592" spans="23:23" ht="26.4">
      <c r="W2592" s="64" ph="1"/>
    </row>
    <row r="2593" spans="23:23" ht="26.4">
      <c r="W2593" s="64" ph="1"/>
    </row>
    <row r="2594" spans="23:23" ht="26.4">
      <c r="W2594" s="64" ph="1"/>
    </row>
    <row r="2595" spans="23:23" ht="26.4">
      <c r="W2595" s="64" ph="1"/>
    </row>
    <row r="2596" spans="23:23" ht="26.4">
      <c r="W2596" s="64" ph="1"/>
    </row>
    <row r="2597" spans="23:23" ht="26.4">
      <c r="W2597" s="64" ph="1"/>
    </row>
    <row r="2598" spans="23:23" ht="26.4">
      <c r="W2598" s="64" ph="1"/>
    </row>
    <row r="2599" spans="23:23" ht="26.4">
      <c r="W2599" s="64" ph="1"/>
    </row>
    <row r="2600" spans="23:23" ht="26.4">
      <c r="W2600" s="64" ph="1"/>
    </row>
    <row r="2601" spans="23:23" ht="26.4">
      <c r="W2601" s="64" ph="1"/>
    </row>
    <row r="2602" spans="23:23" ht="26.4">
      <c r="W2602" s="64" ph="1"/>
    </row>
    <row r="2603" spans="23:23" ht="26.4">
      <c r="W2603" s="64" ph="1"/>
    </row>
    <row r="2604" spans="23:23" ht="26.4">
      <c r="W2604" s="64" ph="1"/>
    </row>
    <row r="2605" spans="23:23" ht="26.4">
      <c r="W2605" s="64" ph="1"/>
    </row>
    <row r="2606" spans="23:23" ht="26.4">
      <c r="W2606" s="64" ph="1"/>
    </row>
    <row r="2607" spans="23:23" ht="26.4">
      <c r="W2607" s="64" ph="1"/>
    </row>
    <row r="2608" spans="23:23" ht="26.4">
      <c r="W2608" s="64" ph="1"/>
    </row>
    <row r="2609" spans="23:23" ht="26.4">
      <c r="W2609" s="64" ph="1"/>
    </row>
    <row r="2610" spans="23:23" ht="26.4">
      <c r="W2610" s="64" ph="1"/>
    </row>
    <row r="2611" spans="23:23" ht="26.4">
      <c r="W2611" s="64" ph="1"/>
    </row>
    <row r="2612" spans="23:23" ht="26.4">
      <c r="W2612" s="64" ph="1"/>
    </row>
    <row r="2613" spans="23:23" ht="26.4">
      <c r="W2613" s="64" ph="1"/>
    </row>
    <row r="2614" spans="23:23" ht="26.4">
      <c r="W2614" s="64" ph="1"/>
    </row>
    <row r="2615" spans="23:23" ht="26.4">
      <c r="W2615" s="64" ph="1"/>
    </row>
    <row r="2616" spans="23:23" ht="26.4">
      <c r="W2616" s="64" ph="1"/>
    </row>
    <row r="2617" spans="23:23" ht="26.4">
      <c r="W2617" s="64" ph="1"/>
    </row>
    <row r="2618" spans="23:23" ht="26.4">
      <c r="W2618" s="64" ph="1"/>
    </row>
    <row r="2619" spans="23:23" ht="26.4">
      <c r="W2619" s="64" ph="1"/>
    </row>
    <row r="2620" spans="23:23" ht="26.4">
      <c r="W2620" s="64" ph="1"/>
    </row>
    <row r="2621" spans="23:23" ht="26.4">
      <c r="W2621" s="64" ph="1"/>
    </row>
    <row r="2622" spans="23:23" ht="26.4">
      <c r="W2622" s="64" ph="1"/>
    </row>
    <row r="2623" spans="23:23" ht="26.4">
      <c r="W2623" s="64" ph="1"/>
    </row>
    <row r="2624" spans="23:23" ht="26.4">
      <c r="W2624" s="64" ph="1"/>
    </row>
    <row r="2625" spans="23:23" ht="26.4">
      <c r="W2625" s="64" ph="1"/>
    </row>
    <row r="2626" spans="23:23" ht="26.4">
      <c r="W2626" s="64" ph="1"/>
    </row>
    <row r="2627" spans="23:23" ht="26.4">
      <c r="W2627" s="64" ph="1"/>
    </row>
    <row r="2628" spans="23:23" ht="26.4">
      <c r="W2628" s="64" ph="1"/>
    </row>
    <row r="2629" spans="23:23" ht="26.4">
      <c r="W2629" s="64" ph="1"/>
    </row>
    <row r="2630" spans="23:23" ht="26.4">
      <c r="W2630" s="64" ph="1"/>
    </row>
    <row r="2631" spans="23:23" ht="26.4">
      <c r="W2631" s="64" ph="1"/>
    </row>
    <row r="2632" spans="23:23" ht="26.4">
      <c r="W2632" s="64" ph="1"/>
    </row>
    <row r="2633" spans="23:23" ht="26.4">
      <c r="W2633" s="64" ph="1"/>
    </row>
    <row r="2634" spans="23:23" ht="26.4">
      <c r="W2634" s="64" ph="1"/>
    </row>
    <row r="2635" spans="23:23" ht="26.4">
      <c r="W2635" s="64" ph="1"/>
    </row>
    <row r="2636" spans="23:23" ht="26.4">
      <c r="W2636" s="64" ph="1"/>
    </row>
    <row r="2637" spans="23:23" ht="26.4">
      <c r="W2637" s="64" ph="1"/>
    </row>
    <row r="2638" spans="23:23" ht="26.4">
      <c r="W2638" s="64" ph="1"/>
    </row>
    <row r="2639" spans="23:23" ht="26.4">
      <c r="W2639" s="64" ph="1"/>
    </row>
    <row r="2640" spans="23:23" ht="26.4">
      <c r="W2640" s="64" ph="1"/>
    </row>
    <row r="2641" spans="23:23" ht="26.4">
      <c r="W2641" s="64" ph="1"/>
    </row>
    <row r="2642" spans="23:23" ht="26.4">
      <c r="W2642" s="64" ph="1"/>
    </row>
    <row r="2643" spans="23:23" ht="26.4">
      <c r="W2643" s="64" ph="1"/>
    </row>
    <row r="2644" spans="23:23" ht="26.4">
      <c r="W2644" s="64" ph="1"/>
    </row>
    <row r="2645" spans="23:23" ht="26.4">
      <c r="W2645" s="64" ph="1"/>
    </row>
    <row r="2646" spans="23:23" ht="26.4">
      <c r="W2646" s="64" ph="1"/>
    </row>
    <row r="2647" spans="23:23" ht="26.4">
      <c r="W2647" s="64" ph="1"/>
    </row>
    <row r="2648" spans="23:23" ht="26.4">
      <c r="W2648" s="64" ph="1"/>
    </row>
    <row r="2649" spans="23:23" ht="26.4">
      <c r="W2649" s="64" ph="1"/>
    </row>
    <row r="2650" spans="23:23" ht="26.4">
      <c r="W2650" s="64" ph="1"/>
    </row>
    <row r="2651" spans="23:23" ht="26.4">
      <c r="W2651" s="64" ph="1"/>
    </row>
    <row r="2652" spans="23:23" ht="26.4">
      <c r="W2652" s="64" ph="1"/>
    </row>
    <row r="2653" spans="23:23" ht="26.4">
      <c r="W2653" s="64" ph="1"/>
    </row>
    <row r="2654" spans="23:23" ht="26.4">
      <c r="W2654" s="64" ph="1"/>
    </row>
    <row r="2655" spans="23:23" ht="26.4">
      <c r="W2655" s="64" ph="1"/>
    </row>
    <row r="2656" spans="23:23" ht="26.4">
      <c r="W2656" s="64" ph="1"/>
    </row>
    <row r="2657" spans="23:23" ht="26.4">
      <c r="W2657" s="64" ph="1"/>
    </row>
    <row r="2658" spans="23:23" ht="26.4">
      <c r="W2658" s="64" ph="1"/>
    </row>
    <row r="2659" spans="23:23" ht="26.4">
      <c r="W2659" s="64" ph="1"/>
    </row>
    <row r="2660" spans="23:23" ht="26.4">
      <c r="W2660" s="64" ph="1"/>
    </row>
    <row r="2661" spans="23:23" ht="26.4">
      <c r="W2661" s="64" ph="1"/>
    </row>
    <row r="2662" spans="23:23" ht="26.4">
      <c r="W2662" s="64" ph="1"/>
    </row>
    <row r="2663" spans="23:23" ht="26.4">
      <c r="W2663" s="64" ph="1"/>
    </row>
    <row r="2664" spans="23:23" ht="26.4">
      <c r="W2664" s="64" ph="1"/>
    </row>
    <row r="2665" spans="23:23" ht="26.4">
      <c r="W2665" s="64" ph="1"/>
    </row>
    <row r="2666" spans="23:23" ht="26.4">
      <c r="W2666" s="64" ph="1"/>
    </row>
    <row r="2667" spans="23:23" ht="26.4">
      <c r="W2667" s="64" ph="1"/>
    </row>
    <row r="2668" spans="23:23" ht="26.4">
      <c r="W2668" s="64" ph="1"/>
    </row>
    <row r="2669" spans="23:23" ht="26.4">
      <c r="W2669" s="64" ph="1"/>
    </row>
    <row r="2670" spans="23:23" ht="26.4">
      <c r="W2670" s="64" ph="1"/>
    </row>
    <row r="2671" spans="23:23" ht="26.4">
      <c r="W2671" s="64" ph="1"/>
    </row>
    <row r="2672" spans="23:23" ht="26.4">
      <c r="W2672" s="64" ph="1"/>
    </row>
    <row r="2673" spans="23:23" ht="26.4">
      <c r="W2673" s="64" ph="1"/>
    </row>
    <row r="2674" spans="23:23" ht="26.4">
      <c r="W2674" s="64" ph="1"/>
    </row>
    <row r="2675" spans="23:23" ht="26.4">
      <c r="W2675" s="64" ph="1"/>
    </row>
    <row r="2676" spans="23:23" ht="26.4">
      <c r="W2676" s="64" ph="1"/>
    </row>
    <row r="2677" spans="23:23" ht="26.4">
      <c r="W2677" s="64" ph="1"/>
    </row>
    <row r="2678" spans="23:23" ht="26.4">
      <c r="W2678" s="64" ph="1"/>
    </row>
    <row r="2679" spans="23:23" ht="26.4">
      <c r="W2679" s="64" ph="1"/>
    </row>
    <row r="2680" spans="23:23" ht="26.4">
      <c r="W2680" s="64" ph="1"/>
    </row>
    <row r="2681" spans="23:23" ht="26.4">
      <c r="W2681" s="64" ph="1"/>
    </row>
    <row r="2682" spans="23:23" ht="26.4">
      <c r="W2682" s="64" ph="1"/>
    </row>
    <row r="2683" spans="23:23" ht="26.4">
      <c r="W2683" s="64" ph="1"/>
    </row>
    <row r="2684" spans="23:23" ht="26.4">
      <c r="W2684" s="64" ph="1"/>
    </row>
    <row r="2685" spans="23:23" ht="26.4">
      <c r="W2685" s="64" ph="1"/>
    </row>
    <row r="2686" spans="23:23" ht="26.4">
      <c r="W2686" s="64" ph="1"/>
    </row>
    <row r="2687" spans="23:23" ht="26.4">
      <c r="W2687" s="64" ph="1"/>
    </row>
    <row r="2688" spans="23:23" ht="26.4">
      <c r="W2688" s="64" ph="1"/>
    </row>
    <row r="2689" spans="23:23" ht="26.4">
      <c r="W2689" s="64" ph="1"/>
    </row>
    <row r="2690" spans="23:23" ht="26.4">
      <c r="W2690" s="64" ph="1"/>
    </row>
    <row r="2691" spans="23:23" ht="26.4">
      <c r="W2691" s="64" ph="1"/>
    </row>
    <row r="2692" spans="23:23" ht="26.4">
      <c r="W2692" s="64" ph="1"/>
    </row>
    <row r="2693" spans="23:23" ht="26.4">
      <c r="W2693" s="64" ph="1"/>
    </row>
    <row r="2694" spans="23:23" ht="26.4">
      <c r="W2694" s="64" ph="1"/>
    </row>
    <row r="2695" spans="23:23" ht="26.4">
      <c r="W2695" s="64" ph="1"/>
    </row>
    <row r="2696" spans="23:23" ht="26.4">
      <c r="W2696" s="64" ph="1"/>
    </row>
    <row r="2697" spans="23:23" ht="26.4">
      <c r="W2697" s="64" ph="1"/>
    </row>
    <row r="2698" spans="23:23" ht="26.4">
      <c r="W2698" s="64" ph="1"/>
    </row>
    <row r="2699" spans="23:23" ht="26.4">
      <c r="W2699" s="64" ph="1"/>
    </row>
    <row r="2700" spans="23:23" ht="26.4">
      <c r="W2700" s="64" ph="1"/>
    </row>
    <row r="2701" spans="23:23" ht="26.4">
      <c r="W2701" s="64" ph="1"/>
    </row>
    <row r="2702" spans="23:23" ht="26.4">
      <c r="W2702" s="64" ph="1"/>
    </row>
    <row r="2703" spans="23:23" ht="26.4">
      <c r="W2703" s="64" ph="1"/>
    </row>
    <row r="2704" spans="23:23" ht="26.4">
      <c r="W2704" s="64" ph="1"/>
    </row>
    <row r="2705" spans="23:23" ht="26.4">
      <c r="W2705" s="64" ph="1"/>
    </row>
    <row r="2706" spans="23:23" ht="26.4">
      <c r="W2706" s="64" ph="1"/>
    </row>
    <row r="2707" spans="23:23" ht="26.4">
      <c r="W2707" s="64" ph="1"/>
    </row>
    <row r="2708" spans="23:23" ht="26.4">
      <c r="W2708" s="64" ph="1"/>
    </row>
    <row r="2709" spans="23:23" ht="26.4">
      <c r="W2709" s="64" ph="1"/>
    </row>
    <row r="2710" spans="23:23" ht="26.4">
      <c r="W2710" s="64" ph="1"/>
    </row>
    <row r="2711" spans="23:23" ht="26.4">
      <c r="W2711" s="64" ph="1"/>
    </row>
    <row r="2712" spans="23:23" ht="26.4">
      <c r="W2712" s="64" ph="1"/>
    </row>
    <row r="2713" spans="23:23" ht="26.4">
      <c r="W2713" s="64" ph="1"/>
    </row>
    <row r="2714" spans="23:23" ht="26.4">
      <c r="W2714" s="64" ph="1"/>
    </row>
    <row r="2715" spans="23:23" ht="26.4">
      <c r="W2715" s="64" ph="1"/>
    </row>
    <row r="2716" spans="23:23" ht="26.4">
      <c r="W2716" s="64" ph="1"/>
    </row>
    <row r="2717" spans="23:23" ht="26.4">
      <c r="W2717" s="64" ph="1"/>
    </row>
    <row r="2718" spans="23:23" ht="26.4">
      <c r="W2718" s="64" ph="1"/>
    </row>
    <row r="2719" spans="23:23" ht="26.4">
      <c r="W2719" s="64" ph="1"/>
    </row>
    <row r="2720" spans="23:23" ht="26.4">
      <c r="W2720" s="64" ph="1"/>
    </row>
    <row r="2721" spans="23:23" ht="26.4">
      <c r="W2721" s="64" ph="1"/>
    </row>
    <row r="2722" spans="23:23" ht="26.4">
      <c r="W2722" s="64" ph="1"/>
    </row>
    <row r="2723" spans="23:23" ht="26.4">
      <c r="W2723" s="64" ph="1"/>
    </row>
    <row r="2724" spans="23:23" ht="26.4">
      <c r="W2724" s="64" ph="1"/>
    </row>
    <row r="2725" spans="23:23" ht="26.4">
      <c r="W2725" s="64" ph="1"/>
    </row>
    <row r="2726" spans="23:23" ht="26.4">
      <c r="W2726" s="64" ph="1"/>
    </row>
    <row r="2727" spans="23:23" ht="26.4">
      <c r="W2727" s="64" ph="1"/>
    </row>
    <row r="2728" spans="23:23" ht="26.4">
      <c r="W2728" s="64" ph="1"/>
    </row>
    <row r="2729" spans="23:23" ht="26.4">
      <c r="W2729" s="64" ph="1"/>
    </row>
    <row r="2730" spans="23:23" ht="26.4">
      <c r="W2730" s="64" ph="1"/>
    </row>
    <row r="2731" spans="23:23" ht="26.4">
      <c r="W2731" s="64" ph="1"/>
    </row>
    <row r="2732" spans="23:23" ht="26.4">
      <c r="W2732" s="64" ph="1"/>
    </row>
    <row r="2733" spans="23:23" ht="26.4">
      <c r="W2733" s="64" ph="1"/>
    </row>
    <row r="2734" spans="23:23" ht="26.4">
      <c r="W2734" s="64" ph="1"/>
    </row>
    <row r="2735" spans="23:23" ht="26.4">
      <c r="W2735" s="64" ph="1"/>
    </row>
    <row r="2736" spans="23:23" ht="26.4">
      <c r="W2736" s="64" ph="1"/>
    </row>
    <row r="2737" spans="23:23" ht="26.4">
      <c r="W2737" s="64" ph="1"/>
    </row>
    <row r="2738" spans="23:23" ht="26.4">
      <c r="W2738" s="64" ph="1"/>
    </row>
    <row r="2739" spans="23:23" ht="26.4">
      <c r="W2739" s="64" ph="1"/>
    </row>
    <row r="2740" spans="23:23" ht="26.4">
      <c r="W2740" s="64" ph="1"/>
    </row>
    <row r="2741" spans="23:23" ht="26.4">
      <c r="W2741" s="64" ph="1"/>
    </row>
    <row r="2742" spans="23:23" ht="26.4">
      <c r="W2742" s="64" ph="1"/>
    </row>
    <row r="2743" spans="23:23" ht="26.4">
      <c r="W2743" s="64" ph="1"/>
    </row>
    <row r="2744" spans="23:23" ht="26.4">
      <c r="W2744" s="64" ph="1"/>
    </row>
    <row r="2745" spans="23:23" ht="26.4">
      <c r="W2745" s="64" ph="1"/>
    </row>
    <row r="2746" spans="23:23" ht="26.4">
      <c r="W2746" s="64" ph="1"/>
    </row>
    <row r="2747" spans="23:23" ht="26.4">
      <c r="W2747" s="64" ph="1"/>
    </row>
    <row r="2748" spans="23:23" ht="26.4">
      <c r="W2748" s="64" ph="1"/>
    </row>
    <row r="2749" spans="23:23" ht="26.4">
      <c r="W2749" s="64" ph="1"/>
    </row>
    <row r="2750" spans="23:23" ht="26.4">
      <c r="W2750" s="64" ph="1"/>
    </row>
    <row r="2751" spans="23:23" ht="26.4">
      <c r="W2751" s="64" ph="1"/>
    </row>
    <row r="2752" spans="23:23" ht="26.4">
      <c r="W2752" s="64" ph="1"/>
    </row>
    <row r="2753" spans="23:23" ht="26.4">
      <c r="W2753" s="64" ph="1"/>
    </row>
    <row r="2754" spans="23:23" ht="26.4">
      <c r="W2754" s="64" ph="1"/>
    </row>
    <row r="2755" spans="23:23" ht="26.4">
      <c r="W2755" s="64" ph="1"/>
    </row>
    <row r="2756" spans="23:23" ht="26.4">
      <c r="W2756" s="64" ph="1"/>
    </row>
    <row r="2757" spans="23:23" ht="26.4">
      <c r="W2757" s="64" ph="1"/>
    </row>
    <row r="2758" spans="23:23" ht="26.4">
      <c r="W2758" s="64" ph="1"/>
    </row>
    <row r="2759" spans="23:23" ht="26.4">
      <c r="W2759" s="64" ph="1"/>
    </row>
    <row r="2760" spans="23:23" ht="26.4">
      <c r="W2760" s="64" ph="1"/>
    </row>
    <row r="2761" spans="23:23" ht="26.4">
      <c r="W2761" s="64" ph="1"/>
    </row>
    <row r="2762" spans="23:23" ht="26.4">
      <c r="W2762" s="64" ph="1"/>
    </row>
    <row r="2763" spans="23:23" ht="26.4">
      <c r="W2763" s="64" ph="1"/>
    </row>
    <row r="2764" spans="23:23" ht="26.4">
      <c r="W2764" s="64" ph="1"/>
    </row>
    <row r="2765" spans="23:23" ht="26.4">
      <c r="W2765" s="64" ph="1"/>
    </row>
    <row r="2766" spans="23:23" ht="26.4">
      <c r="W2766" s="64" ph="1"/>
    </row>
    <row r="2767" spans="23:23" ht="26.4">
      <c r="W2767" s="64" ph="1"/>
    </row>
    <row r="2768" spans="23:23" ht="26.4">
      <c r="W2768" s="64" ph="1"/>
    </row>
    <row r="2769" spans="23:23" ht="26.4">
      <c r="W2769" s="64" ph="1"/>
    </row>
    <row r="2770" spans="23:23" ht="26.4">
      <c r="W2770" s="64" ph="1"/>
    </row>
    <row r="2771" spans="23:23" ht="26.4">
      <c r="W2771" s="64" ph="1"/>
    </row>
    <row r="2772" spans="23:23" ht="26.4">
      <c r="W2772" s="64" ph="1"/>
    </row>
    <row r="2773" spans="23:23" ht="26.4">
      <c r="W2773" s="64" ph="1"/>
    </row>
    <row r="2774" spans="23:23" ht="26.4">
      <c r="W2774" s="64" ph="1"/>
    </row>
    <row r="2775" spans="23:23" ht="26.4">
      <c r="W2775" s="64" ph="1"/>
    </row>
    <row r="2776" spans="23:23" ht="26.4">
      <c r="W2776" s="64" ph="1"/>
    </row>
    <row r="2777" spans="23:23" ht="26.4">
      <c r="W2777" s="64" ph="1"/>
    </row>
    <row r="2778" spans="23:23" ht="26.4">
      <c r="W2778" s="64" ph="1"/>
    </row>
    <row r="2779" spans="23:23" ht="26.4">
      <c r="W2779" s="64" ph="1"/>
    </row>
    <row r="2780" spans="23:23" ht="26.4">
      <c r="W2780" s="64" ph="1"/>
    </row>
    <row r="2781" spans="23:23" ht="26.4">
      <c r="W2781" s="64" ph="1"/>
    </row>
    <row r="2782" spans="23:23" ht="26.4">
      <c r="W2782" s="64" ph="1"/>
    </row>
    <row r="2783" spans="23:23" ht="26.4">
      <c r="W2783" s="64" ph="1"/>
    </row>
    <row r="2784" spans="23:23" ht="26.4">
      <c r="W2784" s="64" ph="1"/>
    </row>
    <row r="2785" spans="23:23" ht="26.4">
      <c r="W2785" s="64" ph="1"/>
    </row>
    <row r="2786" spans="23:23" ht="26.4">
      <c r="W2786" s="64" ph="1"/>
    </row>
    <row r="2787" spans="23:23" ht="26.4">
      <c r="W2787" s="64" ph="1"/>
    </row>
    <row r="2788" spans="23:23" ht="26.4">
      <c r="W2788" s="64" ph="1"/>
    </row>
    <row r="2789" spans="23:23" ht="26.4">
      <c r="W2789" s="64" ph="1"/>
    </row>
    <row r="2790" spans="23:23" ht="26.4">
      <c r="W2790" s="64" ph="1"/>
    </row>
    <row r="2791" spans="23:23" ht="26.4">
      <c r="W2791" s="64" ph="1"/>
    </row>
    <row r="2792" spans="23:23" ht="26.4">
      <c r="W2792" s="64" ph="1"/>
    </row>
    <row r="2793" spans="23:23" ht="26.4">
      <c r="W2793" s="64" ph="1"/>
    </row>
    <row r="2794" spans="23:23" ht="26.4">
      <c r="W2794" s="64" ph="1"/>
    </row>
    <row r="2795" spans="23:23" ht="26.4">
      <c r="W2795" s="64" ph="1"/>
    </row>
    <row r="2796" spans="23:23" ht="26.4">
      <c r="W2796" s="64" ph="1"/>
    </row>
    <row r="2797" spans="23:23" ht="26.4">
      <c r="W2797" s="64" ph="1"/>
    </row>
    <row r="2798" spans="23:23" ht="26.4">
      <c r="W2798" s="64" ph="1"/>
    </row>
    <row r="2799" spans="23:23" ht="26.4">
      <c r="W2799" s="64" ph="1"/>
    </row>
    <row r="2800" spans="23:23" ht="26.4">
      <c r="W2800" s="64" ph="1"/>
    </row>
    <row r="2801" spans="23:23" ht="26.4">
      <c r="W2801" s="64" ph="1"/>
    </row>
    <row r="2802" spans="23:23" ht="26.4">
      <c r="W2802" s="64" ph="1"/>
    </row>
    <row r="2803" spans="23:23" ht="26.4">
      <c r="W2803" s="64" ph="1"/>
    </row>
    <row r="2804" spans="23:23" ht="26.4">
      <c r="W2804" s="64" ph="1"/>
    </row>
    <row r="2805" spans="23:23" ht="26.4">
      <c r="W2805" s="64" ph="1"/>
    </row>
    <row r="2806" spans="23:23" ht="26.4">
      <c r="W2806" s="64" ph="1"/>
    </row>
    <row r="2807" spans="23:23" ht="26.4">
      <c r="W2807" s="64" ph="1"/>
    </row>
    <row r="2808" spans="23:23" ht="26.4">
      <c r="W2808" s="64" ph="1"/>
    </row>
    <row r="2809" spans="23:23" ht="26.4">
      <c r="W2809" s="64" ph="1"/>
    </row>
    <row r="2810" spans="23:23" ht="26.4">
      <c r="W2810" s="64" ph="1"/>
    </row>
    <row r="2811" spans="23:23" ht="26.4">
      <c r="W2811" s="64" ph="1"/>
    </row>
    <row r="2812" spans="23:23" ht="26.4">
      <c r="W2812" s="64" ph="1"/>
    </row>
    <row r="2813" spans="23:23" ht="26.4">
      <c r="W2813" s="64" ph="1"/>
    </row>
    <row r="2814" spans="23:23" ht="26.4">
      <c r="W2814" s="64" ph="1"/>
    </row>
    <row r="2815" spans="23:23" ht="26.4">
      <c r="W2815" s="64" ph="1"/>
    </row>
    <row r="2816" spans="23:23" ht="26.4">
      <c r="W2816" s="64" ph="1"/>
    </row>
    <row r="2817" spans="23:23" ht="26.4">
      <c r="W2817" s="64" ph="1"/>
    </row>
    <row r="2818" spans="23:23" ht="26.4">
      <c r="W2818" s="64" ph="1"/>
    </row>
    <row r="2819" spans="23:23" ht="26.4">
      <c r="W2819" s="64" ph="1"/>
    </row>
    <row r="2820" spans="23:23" ht="26.4">
      <c r="W2820" s="64" ph="1"/>
    </row>
    <row r="2821" spans="23:23" ht="26.4">
      <c r="W2821" s="64" ph="1"/>
    </row>
    <row r="2822" spans="23:23" ht="26.4">
      <c r="W2822" s="64" ph="1"/>
    </row>
    <row r="2823" spans="23:23" ht="26.4">
      <c r="W2823" s="64" ph="1"/>
    </row>
    <row r="2824" spans="23:23" ht="26.4">
      <c r="W2824" s="64" ph="1"/>
    </row>
    <row r="2825" spans="23:23" ht="26.4">
      <c r="W2825" s="64" ph="1"/>
    </row>
    <row r="2826" spans="23:23" ht="26.4">
      <c r="W2826" s="64" ph="1"/>
    </row>
    <row r="2827" spans="23:23" ht="26.4">
      <c r="W2827" s="64" ph="1"/>
    </row>
    <row r="2828" spans="23:23" ht="26.4">
      <c r="W2828" s="64" ph="1"/>
    </row>
    <row r="2829" spans="23:23" ht="26.4">
      <c r="W2829" s="64" ph="1"/>
    </row>
    <row r="2830" spans="23:23" ht="26.4">
      <c r="W2830" s="64" ph="1"/>
    </row>
    <row r="2831" spans="23:23" ht="26.4">
      <c r="W2831" s="64" ph="1"/>
    </row>
    <row r="2832" spans="23:23" ht="26.4">
      <c r="W2832" s="64" ph="1"/>
    </row>
    <row r="2833" spans="23:23" ht="26.4">
      <c r="W2833" s="64" ph="1"/>
    </row>
    <row r="2834" spans="23:23" ht="26.4">
      <c r="W2834" s="64" ph="1"/>
    </row>
    <row r="2835" spans="23:23" ht="26.4">
      <c r="W2835" s="64" ph="1"/>
    </row>
    <row r="2836" spans="23:23" ht="26.4">
      <c r="W2836" s="64" ph="1"/>
    </row>
    <row r="2837" spans="23:23" ht="26.4">
      <c r="W2837" s="64" ph="1"/>
    </row>
    <row r="2838" spans="23:23" ht="26.4">
      <c r="W2838" s="64" ph="1"/>
    </row>
    <row r="2839" spans="23:23" ht="26.4">
      <c r="W2839" s="64" ph="1"/>
    </row>
    <row r="2840" spans="23:23" ht="26.4">
      <c r="W2840" s="64" ph="1"/>
    </row>
    <row r="2841" spans="23:23" ht="26.4">
      <c r="W2841" s="64" ph="1"/>
    </row>
    <row r="2842" spans="23:23" ht="26.4">
      <c r="W2842" s="64" ph="1"/>
    </row>
    <row r="2843" spans="23:23" ht="26.4">
      <c r="W2843" s="64" ph="1"/>
    </row>
    <row r="2844" spans="23:23" ht="26.4">
      <c r="W2844" s="64" ph="1"/>
    </row>
    <row r="2845" spans="23:23" ht="26.4">
      <c r="W2845" s="64" ph="1"/>
    </row>
    <row r="2846" spans="23:23" ht="26.4">
      <c r="W2846" s="64" ph="1"/>
    </row>
    <row r="2847" spans="23:23" ht="26.4">
      <c r="W2847" s="64" ph="1"/>
    </row>
    <row r="2848" spans="23:23" ht="26.4">
      <c r="W2848" s="64" ph="1"/>
    </row>
    <row r="2849" spans="23:23" ht="26.4">
      <c r="W2849" s="64" ph="1"/>
    </row>
    <row r="2850" spans="23:23" ht="26.4">
      <c r="W2850" s="64" ph="1"/>
    </row>
    <row r="2851" spans="23:23" ht="26.4">
      <c r="W2851" s="64" ph="1"/>
    </row>
    <row r="2852" spans="23:23" ht="26.4">
      <c r="W2852" s="64" ph="1"/>
    </row>
    <row r="2853" spans="23:23" ht="26.4">
      <c r="W2853" s="64" ph="1"/>
    </row>
    <row r="2854" spans="23:23" ht="26.4">
      <c r="W2854" s="64" ph="1"/>
    </row>
    <row r="2855" spans="23:23" ht="26.4">
      <c r="W2855" s="64" ph="1"/>
    </row>
    <row r="2856" spans="23:23" ht="26.4">
      <c r="W2856" s="64" ph="1"/>
    </row>
    <row r="2857" spans="23:23" ht="26.4">
      <c r="W2857" s="64" ph="1"/>
    </row>
    <row r="2858" spans="23:23" ht="26.4">
      <c r="W2858" s="64" ph="1"/>
    </row>
    <row r="2859" spans="23:23" ht="26.4">
      <c r="W2859" s="64" ph="1"/>
    </row>
    <row r="2860" spans="23:23" ht="26.4">
      <c r="W2860" s="64" ph="1"/>
    </row>
    <row r="2861" spans="23:23" ht="26.4">
      <c r="W2861" s="64" ph="1"/>
    </row>
    <row r="2862" spans="23:23" ht="26.4">
      <c r="W2862" s="64" ph="1"/>
    </row>
    <row r="2863" spans="23:23" ht="26.4">
      <c r="W2863" s="64" ph="1"/>
    </row>
    <row r="2864" spans="23:23" ht="26.4">
      <c r="W2864" s="64" ph="1"/>
    </row>
    <row r="2865" spans="23:23" ht="26.4">
      <c r="W2865" s="64" ph="1"/>
    </row>
    <row r="2866" spans="23:23" ht="26.4">
      <c r="W2866" s="64" ph="1"/>
    </row>
    <row r="2867" spans="23:23" ht="26.4">
      <c r="W2867" s="64" ph="1"/>
    </row>
    <row r="2868" spans="23:23" ht="26.4">
      <c r="W2868" s="64" ph="1"/>
    </row>
    <row r="2869" spans="23:23" ht="26.4">
      <c r="W2869" s="64" ph="1"/>
    </row>
    <row r="2870" spans="23:23" ht="26.4">
      <c r="W2870" s="64" ph="1"/>
    </row>
    <row r="2871" spans="23:23" ht="26.4">
      <c r="W2871" s="64" ph="1"/>
    </row>
    <row r="2872" spans="23:23" ht="26.4">
      <c r="W2872" s="64" ph="1"/>
    </row>
    <row r="2873" spans="23:23" ht="26.4">
      <c r="W2873" s="64" ph="1"/>
    </row>
    <row r="2874" spans="23:23" ht="26.4">
      <c r="W2874" s="64" ph="1"/>
    </row>
    <row r="2875" spans="23:23" ht="26.4">
      <c r="W2875" s="64" ph="1"/>
    </row>
    <row r="2876" spans="23:23" ht="26.4">
      <c r="W2876" s="64" ph="1"/>
    </row>
    <row r="2877" spans="23:23" ht="26.4">
      <c r="W2877" s="64" ph="1"/>
    </row>
    <row r="2878" spans="23:23" ht="26.4">
      <c r="W2878" s="64" ph="1"/>
    </row>
    <row r="2879" spans="23:23" ht="26.4">
      <c r="W2879" s="64" ph="1"/>
    </row>
    <row r="2880" spans="23:23" ht="26.4">
      <c r="W2880" s="64" ph="1"/>
    </row>
    <row r="2881" spans="23:23" ht="26.4">
      <c r="W2881" s="64" ph="1"/>
    </row>
    <row r="2882" spans="23:23" ht="26.4">
      <c r="W2882" s="64" ph="1"/>
    </row>
    <row r="2883" spans="23:23" ht="26.4">
      <c r="W2883" s="64" ph="1"/>
    </row>
    <row r="2884" spans="23:23" ht="26.4">
      <c r="W2884" s="64" ph="1"/>
    </row>
    <row r="2885" spans="23:23" ht="26.4">
      <c r="W2885" s="64" ph="1"/>
    </row>
    <row r="2886" spans="23:23" ht="26.4">
      <c r="W2886" s="64" ph="1"/>
    </row>
    <row r="2887" spans="23:23" ht="26.4">
      <c r="W2887" s="64" ph="1"/>
    </row>
    <row r="2888" spans="23:23" ht="26.4">
      <c r="W2888" s="64" ph="1"/>
    </row>
    <row r="2889" spans="23:23" ht="26.4">
      <c r="W2889" s="64" ph="1"/>
    </row>
    <row r="2890" spans="23:23" ht="26.4">
      <c r="W2890" s="64" ph="1"/>
    </row>
    <row r="2891" spans="23:23" ht="26.4">
      <c r="W2891" s="64" ph="1"/>
    </row>
    <row r="2892" spans="23:23" ht="26.4">
      <c r="W2892" s="64" ph="1"/>
    </row>
    <row r="2893" spans="23:23" ht="26.4">
      <c r="W2893" s="64" ph="1"/>
    </row>
    <row r="2894" spans="23:23" ht="26.4">
      <c r="W2894" s="64" ph="1"/>
    </row>
    <row r="2895" spans="23:23" ht="26.4">
      <c r="W2895" s="64" ph="1"/>
    </row>
    <row r="2896" spans="23:23" ht="26.4">
      <c r="W2896" s="64" ph="1"/>
    </row>
    <row r="2897" spans="23:23" ht="26.4">
      <c r="W2897" s="64" ph="1"/>
    </row>
    <row r="2898" spans="23:23" ht="26.4">
      <c r="W2898" s="64" ph="1"/>
    </row>
    <row r="2899" spans="23:23" ht="26.4">
      <c r="W2899" s="64" ph="1"/>
    </row>
    <row r="2900" spans="23:23" ht="26.4">
      <c r="W2900" s="64" ph="1"/>
    </row>
    <row r="2901" spans="23:23" ht="26.4">
      <c r="W2901" s="64" ph="1"/>
    </row>
    <row r="2902" spans="23:23" ht="26.4">
      <c r="W2902" s="64" ph="1"/>
    </row>
    <row r="2903" spans="23:23" ht="26.4">
      <c r="W2903" s="64" ph="1"/>
    </row>
    <row r="2904" spans="23:23" ht="26.4">
      <c r="W2904" s="64" ph="1"/>
    </row>
    <row r="2905" spans="23:23" ht="26.4">
      <c r="W2905" s="64" ph="1"/>
    </row>
    <row r="2906" spans="23:23" ht="26.4">
      <c r="W2906" s="64" ph="1"/>
    </row>
    <row r="2907" spans="23:23" ht="26.4">
      <c r="W2907" s="64" ph="1"/>
    </row>
    <row r="2908" spans="23:23" ht="26.4">
      <c r="W2908" s="64" ph="1"/>
    </row>
    <row r="2909" spans="23:23" ht="26.4">
      <c r="W2909" s="64" ph="1"/>
    </row>
    <row r="2910" spans="23:23" ht="26.4">
      <c r="W2910" s="64" ph="1"/>
    </row>
    <row r="2911" spans="23:23" ht="26.4">
      <c r="W2911" s="64" ph="1"/>
    </row>
    <row r="2912" spans="23:23" ht="26.4">
      <c r="W2912" s="64" ph="1"/>
    </row>
    <row r="2913" spans="23:23" ht="26.4">
      <c r="W2913" s="64" ph="1"/>
    </row>
    <row r="2914" spans="23:23" ht="26.4">
      <c r="W2914" s="64" ph="1"/>
    </row>
    <row r="2915" spans="23:23" ht="26.4">
      <c r="W2915" s="64" ph="1"/>
    </row>
    <row r="2916" spans="23:23" ht="26.4">
      <c r="W2916" s="64" ph="1"/>
    </row>
    <row r="2917" spans="23:23" ht="26.4">
      <c r="W2917" s="64" ph="1"/>
    </row>
    <row r="2918" spans="23:23" ht="26.4">
      <c r="W2918" s="64" ph="1"/>
    </row>
    <row r="2919" spans="23:23" ht="26.4">
      <c r="W2919" s="64" ph="1"/>
    </row>
    <row r="2920" spans="23:23" ht="26.4">
      <c r="W2920" s="64" ph="1"/>
    </row>
    <row r="2921" spans="23:23" ht="26.4">
      <c r="W2921" s="64" ph="1"/>
    </row>
    <row r="2922" spans="23:23" ht="26.4">
      <c r="W2922" s="64" ph="1"/>
    </row>
    <row r="2923" spans="23:23" ht="26.4">
      <c r="W2923" s="64" ph="1"/>
    </row>
    <row r="2924" spans="23:23" ht="26.4">
      <c r="W2924" s="64" ph="1"/>
    </row>
    <row r="2925" spans="23:23" ht="26.4">
      <c r="W2925" s="64" ph="1"/>
    </row>
    <row r="2926" spans="23:23" ht="26.4">
      <c r="W2926" s="64" ph="1"/>
    </row>
    <row r="2927" spans="23:23" ht="26.4">
      <c r="W2927" s="64" ph="1"/>
    </row>
    <row r="2928" spans="23:23" ht="26.4">
      <c r="W2928" s="64" ph="1"/>
    </row>
    <row r="2929" spans="23:23" ht="26.4">
      <c r="W2929" s="64" ph="1"/>
    </row>
    <row r="2930" spans="23:23" ht="26.4">
      <c r="W2930" s="64" ph="1"/>
    </row>
    <row r="2931" spans="23:23" ht="26.4">
      <c r="W2931" s="64" ph="1"/>
    </row>
    <row r="2932" spans="23:23" ht="26.4">
      <c r="W2932" s="64" ph="1"/>
    </row>
    <row r="2933" spans="23:23" ht="26.4">
      <c r="W2933" s="64" ph="1"/>
    </row>
    <row r="2934" spans="23:23" ht="26.4">
      <c r="W2934" s="64" ph="1"/>
    </row>
    <row r="2935" spans="23:23" ht="26.4">
      <c r="W2935" s="64" ph="1"/>
    </row>
    <row r="2936" spans="23:23" ht="26.4">
      <c r="W2936" s="64" ph="1"/>
    </row>
    <row r="2937" spans="23:23" ht="26.4">
      <c r="W2937" s="64" ph="1"/>
    </row>
    <row r="2938" spans="23:23" ht="26.4">
      <c r="W2938" s="64" ph="1"/>
    </row>
    <row r="2939" spans="23:23" ht="26.4">
      <c r="W2939" s="64" ph="1"/>
    </row>
    <row r="2940" spans="23:23" ht="26.4">
      <c r="W2940" s="64" ph="1"/>
    </row>
    <row r="2941" spans="23:23" ht="26.4">
      <c r="W2941" s="64" ph="1"/>
    </row>
    <row r="2942" spans="23:23" ht="26.4">
      <c r="W2942" s="64" ph="1"/>
    </row>
    <row r="2943" spans="23:23" ht="26.4">
      <c r="W2943" s="64" ph="1"/>
    </row>
    <row r="2944" spans="23:23" ht="26.4">
      <c r="W2944" s="64" ph="1"/>
    </row>
    <row r="2945" spans="23:23" ht="26.4">
      <c r="W2945" s="64" ph="1"/>
    </row>
    <row r="2946" spans="23:23" ht="26.4">
      <c r="W2946" s="64" ph="1"/>
    </row>
    <row r="2947" spans="23:23" ht="26.4">
      <c r="W2947" s="64" ph="1"/>
    </row>
    <row r="2948" spans="23:23" ht="26.4">
      <c r="W2948" s="64" ph="1"/>
    </row>
    <row r="2949" spans="23:23" ht="26.4">
      <c r="W2949" s="64" ph="1"/>
    </row>
    <row r="2950" spans="23:23" ht="26.4">
      <c r="W2950" s="64" ph="1"/>
    </row>
    <row r="2951" spans="23:23" ht="26.4">
      <c r="W2951" s="64" ph="1"/>
    </row>
    <row r="2952" spans="23:23" ht="26.4">
      <c r="W2952" s="64" ph="1"/>
    </row>
    <row r="2953" spans="23:23" ht="26.4">
      <c r="W2953" s="64" ph="1"/>
    </row>
    <row r="2954" spans="23:23" ht="26.4">
      <c r="W2954" s="64" ph="1"/>
    </row>
    <row r="2955" spans="23:23" ht="26.4">
      <c r="W2955" s="64" ph="1"/>
    </row>
    <row r="2956" spans="23:23" ht="26.4">
      <c r="W2956" s="64" ph="1"/>
    </row>
    <row r="2957" spans="23:23" ht="26.4">
      <c r="W2957" s="64" ph="1"/>
    </row>
    <row r="2958" spans="23:23" ht="26.4">
      <c r="W2958" s="64" ph="1"/>
    </row>
    <row r="2959" spans="23:23" ht="26.4">
      <c r="W2959" s="64" ph="1"/>
    </row>
    <row r="2960" spans="23:23" ht="26.4">
      <c r="W2960" s="64" ph="1"/>
    </row>
    <row r="2961" spans="23:23" ht="26.4">
      <c r="W2961" s="64" ph="1"/>
    </row>
    <row r="2962" spans="23:23" ht="26.4">
      <c r="W2962" s="64" ph="1"/>
    </row>
    <row r="2963" spans="23:23" ht="26.4">
      <c r="W2963" s="64" ph="1"/>
    </row>
    <row r="2964" spans="23:23" ht="26.4">
      <c r="W2964" s="64" ph="1"/>
    </row>
    <row r="2965" spans="23:23" ht="26.4">
      <c r="W2965" s="64" ph="1"/>
    </row>
    <row r="2966" spans="23:23" ht="26.4">
      <c r="W2966" s="64" ph="1"/>
    </row>
    <row r="2967" spans="23:23" ht="26.4">
      <c r="W2967" s="64" ph="1"/>
    </row>
    <row r="2968" spans="23:23" ht="26.4">
      <c r="W2968" s="64" ph="1"/>
    </row>
    <row r="2969" spans="23:23" ht="26.4">
      <c r="W2969" s="64" ph="1"/>
    </row>
    <row r="2970" spans="23:23" ht="26.4">
      <c r="W2970" s="64" ph="1"/>
    </row>
    <row r="2971" spans="23:23" ht="26.4">
      <c r="W2971" s="64" ph="1"/>
    </row>
    <row r="2972" spans="23:23" ht="26.4">
      <c r="W2972" s="64" ph="1"/>
    </row>
    <row r="2973" spans="23:23" ht="26.4">
      <c r="W2973" s="64" ph="1"/>
    </row>
    <row r="2974" spans="23:23" ht="26.4">
      <c r="W2974" s="64" ph="1"/>
    </row>
    <row r="2975" spans="23:23" ht="26.4">
      <c r="W2975" s="64" ph="1"/>
    </row>
    <row r="2976" spans="23:23" ht="26.4">
      <c r="W2976" s="64" ph="1"/>
    </row>
    <row r="2977" spans="23:23" ht="26.4">
      <c r="W2977" s="64" ph="1"/>
    </row>
    <row r="2978" spans="23:23" ht="26.4">
      <c r="W2978" s="64" ph="1"/>
    </row>
    <row r="2979" spans="23:23" ht="26.4">
      <c r="W2979" s="64" ph="1"/>
    </row>
    <row r="2980" spans="23:23" ht="26.4">
      <c r="W2980" s="64" ph="1"/>
    </row>
    <row r="2981" spans="23:23" ht="26.4">
      <c r="W2981" s="64" ph="1"/>
    </row>
    <row r="2982" spans="23:23" ht="26.4">
      <c r="W2982" s="64" ph="1"/>
    </row>
    <row r="2983" spans="23:23" ht="26.4">
      <c r="W2983" s="64" ph="1"/>
    </row>
    <row r="2984" spans="23:23" ht="26.4">
      <c r="W2984" s="64" ph="1"/>
    </row>
    <row r="2985" spans="23:23" ht="26.4">
      <c r="W2985" s="64" ph="1"/>
    </row>
    <row r="2986" spans="23:23" ht="26.4">
      <c r="W2986" s="64" ph="1"/>
    </row>
    <row r="2987" spans="23:23" ht="26.4">
      <c r="W2987" s="64" ph="1"/>
    </row>
    <row r="2988" spans="23:23" ht="26.4">
      <c r="W2988" s="64" ph="1"/>
    </row>
    <row r="2989" spans="23:23" ht="26.4">
      <c r="W2989" s="64" ph="1"/>
    </row>
    <row r="2990" spans="23:23" ht="26.4">
      <c r="W2990" s="64" ph="1"/>
    </row>
    <row r="2991" spans="23:23" ht="26.4">
      <c r="W2991" s="64" ph="1"/>
    </row>
    <row r="2992" spans="23:23" ht="26.4">
      <c r="W2992" s="64" ph="1"/>
    </row>
    <row r="2993" spans="23:23" ht="26.4">
      <c r="W2993" s="64" ph="1"/>
    </row>
    <row r="2994" spans="23:23" ht="26.4">
      <c r="W2994" s="64" ph="1"/>
    </row>
    <row r="2995" spans="23:23" ht="26.4">
      <c r="W2995" s="64" ph="1"/>
    </row>
    <row r="2996" spans="23:23" ht="26.4">
      <c r="W2996" s="64" ph="1"/>
    </row>
    <row r="2997" spans="23:23" ht="26.4">
      <c r="W2997" s="64" ph="1"/>
    </row>
    <row r="2998" spans="23:23" ht="26.4">
      <c r="W2998" s="64" ph="1"/>
    </row>
    <row r="2999" spans="23:23" ht="26.4">
      <c r="W2999" s="64" ph="1"/>
    </row>
    <row r="3000" spans="23:23" ht="26.4">
      <c r="W3000" s="64" ph="1"/>
    </row>
    <row r="3001" spans="23:23" ht="26.4">
      <c r="W3001" s="64" ph="1"/>
    </row>
    <row r="3002" spans="23:23" ht="26.4">
      <c r="W3002" s="64" ph="1"/>
    </row>
    <row r="3003" spans="23:23" ht="26.4">
      <c r="W3003" s="64" ph="1"/>
    </row>
    <row r="3004" spans="23:23" ht="26.4">
      <c r="W3004" s="64" ph="1"/>
    </row>
    <row r="3005" spans="23:23" ht="26.4">
      <c r="W3005" s="64" ph="1"/>
    </row>
    <row r="3006" spans="23:23" ht="26.4">
      <c r="W3006" s="64" ph="1"/>
    </row>
    <row r="3007" spans="23:23" ht="26.4">
      <c r="W3007" s="64" ph="1"/>
    </row>
    <row r="3008" spans="23:23" ht="26.4">
      <c r="W3008" s="64" ph="1"/>
    </row>
    <row r="3009" spans="23:23" ht="26.4">
      <c r="W3009" s="64" ph="1"/>
    </row>
    <row r="3010" spans="23:23" ht="26.4">
      <c r="W3010" s="64" ph="1"/>
    </row>
    <row r="3011" spans="23:23" ht="26.4">
      <c r="W3011" s="64" ph="1"/>
    </row>
    <row r="3012" spans="23:23" ht="26.4">
      <c r="W3012" s="64" ph="1"/>
    </row>
    <row r="3013" spans="23:23" ht="26.4">
      <c r="W3013" s="64" ph="1"/>
    </row>
    <row r="3014" spans="23:23" ht="26.4">
      <c r="W3014" s="64" ph="1"/>
    </row>
    <row r="3015" spans="23:23" ht="26.4">
      <c r="W3015" s="64" ph="1"/>
    </row>
    <row r="3016" spans="23:23" ht="26.4">
      <c r="W3016" s="64" ph="1"/>
    </row>
    <row r="3017" spans="23:23" ht="26.4">
      <c r="W3017" s="64" ph="1"/>
    </row>
    <row r="3018" spans="23:23" ht="26.4">
      <c r="W3018" s="64" ph="1"/>
    </row>
    <row r="3019" spans="23:23" ht="26.4">
      <c r="W3019" s="64" ph="1"/>
    </row>
    <row r="3020" spans="23:23" ht="26.4">
      <c r="W3020" s="64" ph="1"/>
    </row>
    <row r="3021" spans="23:23" ht="26.4">
      <c r="W3021" s="64" ph="1"/>
    </row>
    <row r="3022" spans="23:23" ht="26.4">
      <c r="W3022" s="64" ph="1"/>
    </row>
    <row r="3023" spans="23:23" ht="26.4">
      <c r="W3023" s="64" ph="1"/>
    </row>
    <row r="3024" spans="23:23" ht="26.4">
      <c r="W3024" s="64" ph="1"/>
    </row>
    <row r="3025" spans="23:23" ht="26.4">
      <c r="W3025" s="64" ph="1"/>
    </row>
    <row r="3026" spans="23:23" ht="26.4">
      <c r="W3026" s="64" ph="1"/>
    </row>
    <row r="3027" spans="23:23" ht="26.4">
      <c r="W3027" s="64" ph="1"/>
    </row>
    <row r="3028" spans="23:23" ht="26.4">
      <c r="W3028" s="64" ph="1"/>
    </row>
    <row r="3029" spans="23:23" ht="26.4">
      <c r="W3029" s="64" ph="1"/>
    </row>
    <row r="3030" spans="23:23" ht="26.4">
      <c r="W3030" s="64" ph="1"/>
    </row>
    <row r="3031" spans="23:23" ht="26.4">
      <c r="W3031" s="64" ph="1"/>
    </row>
    <row r="3032" spans="23:23" ht="26.4">
      <c r="W3032" s="64" ph="1"/>
    </row>
    <row r="3033" spans="23:23" ht="26.4">
      <c r="W3033" s="64" ph="1"/>
    </row>
    <row r="3034" spans="23:23" ht="26.4">
      <c r="W3034" s="64" ph="1"/>
    </row>
    <row r="3035" spans="23:23" ht="26.4">
      <c r="W3035" s="64" ph="1"/>
    </row>
    <row r="3036" spans="23:23" ht="26.4">
      <c r="W3036" s="64" ph="1"/>
    </row>
    <row r="3037" spans="23:23" ht="26.4">
      <c r="W3037" s="64" ph="1"/>
    </row>
    <row r="3038" spans="23:23" ht="26.4">
      <c r="W3038" s="64" ph="1"/>
    </row>
    <row r="3039" spans="23:23" ht="26.4">
      <c r="W3039" s="64" ph="1"/>
    </row>
    <row r="3040" spans="23:23" ht="26.4">
      <c r="W3040" s="64" ph="1"/>
    </row>
    <row r="3041" spans="23:23" ht="26.4">
      <c r="W3041" s="64" ph="1"/>
    </row>
    <row r="3042" spans="23:23" ht="26.4">
      <c r="W3042" s="64" ph="1"/>
    </row>
    <row r="3043" spans="23:23" ht="26.4">
      <c r="W3043" s="64" ph="1"/>
    </row>
    <row r="3044" spans="23:23" ht="26.4">
      <c r="W3044" s="64" ph="1"/>
    </row>
    <row r="3045" spans="23:23" ht="26.4">
      <c r="W3045" s="64" ph="1"/>
    </row>
    <row r="3046" spans="23:23" ht="26.4">
      <c r="W3046" s="64" ph="1"/>
    </row>
    <row r="3047" spans="23:23" ht="26.4">
      <c r="W3047" s="64" ph="1"/>
    </row>
    <row r="3048" spans="23:23" ht="26.4">
      <c r="W3048" s="64" ph="1"/>
    </row>
    <row r="3049" spans="23:23" ht="26.4">
      <c r="W3049" s="64" ph="1"/>
    </row>
    <row r="3050" spans="23:23" ht="26.4">
      <c r="W3050" s="64" ph="1"/>
    </row>
    <row r="3051" spans="23:23" ht="26.4">
      <c r="W3051" s="64" ph="1"/>
    </row>
    <row r="3052" spans="23:23" ht="26.4">
      <c r="W3052" s="64" ph="1"/>
    </row>
    <row r="3053" spans="23:23" ht="26.4">
      <c r="W3053" s="64" ph="1"/>
    </row>
    <row r="3054" spans="23:23" ht="26.4">
      <c r="W3054" s="64" ph="1"/>
    </row>
    <row r="3055" spans="23:23" ht="26.4">
      <c r="W3055" s="64" ph="1"/>
    </row>
    <row r="3056" spans="23:23" ht="26.4">
      <c r="W3056" s="64" ph="1"/>
    </row>
    <row r="3057" spans="23:23" ht="26.4">
      <c r="W3057" s="64" ph="1"/>
    </row>
    <row r="3058" spans="23:23" ht="26.4">
      <c r="W3058" s="64" ph="1"/>
    </row>
    <row r="3059" spans="23:23" ht="26.4">
      <c r="W3059" s="64" ph="1"/>
    </row>
    <row r="3060" spans="23:23" ht="26.4">
      <c r="W3060" s="64" ph="1"/>
    </row>
    <row r="3061" spans="23:23" ht="26.4">
      <c r="W3061" s="64" ph="1"/>
    </row>
    <row r="3062" spans="23:23" ht="26.4">
      <c r="W3062" s="64" ph="1"/>
    </row>
    <row r="3063" spans="23:23" ht="26.4">
      <c r="W3063" s="64" ph="1"/>
    </row>
    <row r="3064" spans="23:23" ht="26.4">
      <c r="W3064" s="64" ph="1"/>
    </row>
    <row r="3065" spans="23:23" ht="26.4">
      <c r="W3065" s="64" ph="1"/>
    </row>
    <row r="3066" spans="23:23" ht="26.4">
      <c r="W3066" s="64" ph="1"/>
    </row>
    <row r="3067" spans="23:23" ht="26.4">
      <c r="W3067" s="64" ph="1"/>
    </row>
    <row r="3068" spans="23:23" ht="26.4">
      <c r="W3068" s="64" ph="1"/>
    </row>
    <row r="3069" spans="23:23" ht="26.4">
      <c r="W3069" s="64" ph="1"/>
    </row>
    <row r="3070" spans="23:23" ht="26.4">
      <c r="W3070" s="64" ph="1"/>
    </row>
    <row r="3071" spans="23:23" ht="26.4">
      <c r="W3071" s="64" ph="1"/>
    </row>
    <row r="3072" spans="23:23" ht="26.4">
      <c r="W3072" s="64" ph="1"/>
    </row>
    <row r="3073" spans="23:23" ht="26.4">
      <c r="W3073" s="64" ph="1"/>
    </row>
    <row r="3074" spans="23:23" ht="26.4">
      <c r="W3074" s="64" ph="1"/>
    </row>
    <row r="3075" spans="23:23" ht="26.4">
      <c r="W3075" s="64" ph="1"/>
    </row>
    <row r="3076" spans="23:23" ht="26.4">
      <c r="W3076" s="64" ph="1"/>
    </row>
    <row r="3077" spans="23:23" ht="26.4">
      <c r="W3077" s="64" ph="1"/>
    </row>
    <row r="3078" spans="23:23" ht="26.4">
      <c r="W3078" s="64" ph="1"/>
    </row>
    <row r="3079" spans="23:23" ht="26.4">
      <c r="W3079" s="64" ph="1"/>
    </row>
    <row r="3080" spans="23:23" ht="26.4">
      <c r="W3080" s="64" ph="1"/>
    </row>
    <row r="3081" spans="23:23" ht="26.4">
      <c r="W3081" s="64" ph="1"/>
    </row>
    <row r="3082" spans="23:23" ht="26.4">
      <c r="W3082" s="64" ph="1"/>
    </row>
    <row r="3083" spans="23:23" ht="26.4">
      <c r="W3083" s="64" ph="1"/>
    </row>
    <row r="3084" spans="23:23" ht="26.4">
      <c r="W3084" s="64" ph="1"/>
    </row>
    <row r="3085" spans="23:23" ht="26.4">
      <c r="W3085" s="64" ph="1"/>
    </row>
    <row r="3086" spans="23:23" ht="26.4">
      <c r="W3086" s="64" ph="1"/>
    </row>
    <row r="3087" spans="23:23" ht="26.4">
      <c r="W3087" s="64" ph="1"/>
    </row>
    <row r="3088" spans="23:23" ht="26.4">
      <c r="W3088" s="64" ph="1"/>
    </row>
    <row r="3089" spans="23:23" ht="26.4">
      <c r="W3089" s="64" ph="1"/>
    </row>
    <row r="3090" spans="23:23" ht="26.4">
      <c r="W3090" s="64" ph="1"/>
    </row>
    <row r="3091" spans="23:23" ht="26.4">
      <c r="W3091" s="64" ph="1"/>
    </row>
    <row r="3092" spans="23:23" ht="26.4">
      <c r="W3092" s="64" ph="1"/>
    </row>
    <row r="3093" spans="23:23" ht="26.4">
      <c r="W3093" s="64" ph="1"/>
    </row>
    <row r="3094" spans="23:23" ht="26.4">
      <c r="W3094" s="64" ph="1"/>
    </row>
    <row r="3095" spans="23:23" ht="26.4">
      <c r="W3095" s="64" ph="1"/>
    </row>
    <row r="3096" spans="23:23" ht="26.4">
      <c r="W3096" s="64" ph="1"/>
    </row>
    <row r="3097" spans="23:23" ht="26.4">
      <c r="W3097" s="64" ph="1"/>
    </row>
    <row r="3098" spans="23:23" ht="26.4">
      <c r="W3098" s="64" ph="1"/>
    </row>
    <row r="3099" spans="23:23" ht="26.4">
      <c r="W3099" s="64" ph="1"/>
    </row>
    <row r="3100" spans="23:23" ht="26.4">
      <c r="W3100" s="64" ph="1"/>
    </row>
    <row r="3101" spans="23:23" ht="26.4">
      <c r="W3101" s="64" ph="1"/>
    </row>
    <row r="3102" spans="23:23" ht="26.4">
      <c r="W3102" s="64" ph="1"/>
    </row>
    <row r="3103" spans="23:23" ht="26.4">
      <c r="W3103" s="64" ph="1"/>
    </row>
    <row r="3104" spans="23:23" ht="26.4">
      <c r="W3104" s="64" ph="1"/>
    </row>
    <row r="3105" spans="23:23" ht="26.4">
      <c r="W3105" s="64" ph="1"/>
    </row>
    <row r="3106" spans="23:23" ht="26.4">
      <c r="W3106" s="64" ph="1"/>
    </row>
    <row r="3107" spans="23:23" ht="26.4">
      <c r="W3107" s="64" ph="1"/>
    </row>
    <row r="3108" spans="23:23" ht="26.4">
      <c r="W3108" s="64" ph="1"/>
    </row>
    <row r="3109" spans="23:23" ht="26.4">
      <c r="W3109" s="64" ph="1"/>
    </row>
    <row r="3110" spans="23:23" ht="26.4">
      <c r="W3110" s="64" ph="1"/>
    </row>
    <row r="3111" spans="23:23" ht="26.4">
      <c r="W3111" s="64" ph="1"/>
    </row>
    <row r="3112" spans="23:23" ht="26.4">
      <c r="W3112" s="64" ph="1"/>
    </row>
    <row r="3113" spans="23:23" ht="26.4">
      <c r="W3113" s="64" ph="1"/>
    </row>
    <row r="3114" spans="23:23" ht="26.4">
      <c r="W3114" s="64" ph="1"/>
    </row>
    <row r="3115" spans="23:23" ht="26.4">
      <c r="W3115" s="64" ph="1"/>
    </row>
    <row r="3116" spans="23:23" ht="26.4">
      <c r="W3116" s="64" ph="1"/>
    </row>
    <row r="3117" spans="23:23" ht="26.4">
      <c r="W3117" s="64" ph="1"/>
    </row>
    <row r="3118" spans="23:23" ht="26.4">
      <c r="W3118" s="64" ph="1"/>
    </row>
    <row r="3119" spans="23:23" ht="26.4">
      <c r="W3119" s="64" ph="1"/>
    </row>
    <row r="3120" spans="23:23" ht="26.4">
      <c r="W3120" s="64" ph="1"/>
    </row>
    <row r="3121" spans="23:23" ht="26.4">
      <c r="W3121" s="64" ph="1"/>
    </row>
    <row r="3122" spans="23:23" ht="26.4">
      <c r="W3122" s="64" ph="1"/>
    </row>
    <row r="3123" spans="23:23" ht="26.4">
      <c r="W3123" s="64" ph="1"/>
    </row>
    <row r="3124" spans="23:23" ht="26.4">
      <c r="W3124" s="64" ph="1"/>
    </row>
    <row r="3125" spans="23:23" ht="26.4">
      <c r="W3125" s="64" ph="1"/>
    </row>
    <row r="3126" spans="23:23" ht="26.4">
      <c r="W3126" s="64" ph="1"/>
    </row>
    <row r="3127" spans="23:23" ht="26.4">
      <c r="W3127" s="64" ph="1"/>
    </row>
    <row r="3128" spans="23:23" ht="26.4">
      <c r="W3128" s="64" ph="1"/>
    </row>
    <row r="3129" spans="23:23" ht="26.4">
      <c r="W3129" s="64" ph="1"/>
    </row>
    <row r="3130" spans="23:23" ht="26.4">
      <c r="W3130" s="64" ph="1"/>
    </row>
    <row r="3131" spans="23:23" ht="26.4">
      <c r="W3131" s="64" ph="1"/>
    </row>
    <row r="3132" spans="23:23" ht="26.4">
      <c r="W3132" s="64" ph="1"/>
    </row>
    <row r="3133" spans="23:23" ht="26.4">
      <c r="W3133" s="64" ph="1"/>
    </row>
    <row r="3134" spans="23:23" ht="26.4">
      <c r="W3134" s="64" ph="1"/>
    </row>
    <row r="3135" spans="23:23" ht="26.4">
      <c r="W3135" s="64" ph="1"/>
    </row>
    <row r="3136" spans="23:23" ht="26.4">
      <c r="W3136" s="64" ph="1"/>
    </row>
    <row r="3137" spans="23:23" ht="26.4">
      <c r="W3137" s="64" ph="1"/>
    </row>
    <row r="3138" spans="23:23" ht="26.4">
      <c r="W3138" s="64" ph="1"/>
    </row>
    <row r="3139" spans="23:23" ht="26.4">
      <c r="W3139" s="64" ph="1"/>
    </row>
    <row r="3140" spans="23:23" ht="26.4">
      <c r="W3140" s="64" ph="1"/>
    </row>
    <row r="3141" spans="23:23" ht="26.4">
      <c r="W3141" s="64" ph="1"/>
    </row>
    <row r="3142" spans="23:23" ht="26.4">
      <c r="W3142" s="64" ph="1"/>
    </row>
    <row r="3143" spans="23:23" ht="26.4">
      <c r="W3143" s="64" ph="1"/>
    </row>
    <row r="3144" spans="23:23" ht="26.4">
      <c r="W3144" s="64" ph="1"/>
    </row>
    <row r="3145" spans="23:23" ht="26.4">
      <c r="W3145" s="64" ph="1"/>
    </row>
    <row r="3146" spans="23:23" ht="26.4">
      <c r="W3146" s="64" ph="1"/>
    </row>
    <row r="3147" spans="23:23" ht="26.4">
      <c r="W3147" s="64" ph="1"/>
    </row>
    <row r="3148" spans="23:23" ht="26.4">
      <c r="W3148" s="64" ph="1"/>
    </row>
    <row r="3149" spans="23:23" ht="26.4">
      <c r="W3149" s="64" ph="1"/>
    </row>
    <row r="3150" spans="23:23" ht="26.4">
      <c r="W3150" s="64" ph="1"/>
    </row>
    <row r="3151" spans="23:23" ht="26.4">
      <c r="W3151" s="64" ph="1"/>
    </row>
    <row r="3152" spans="23:23" ht="26.4">
      <c r="W3152" s="64" ph="1"/>
    </row>
    <row r="3153" spans="23:23" ht="26.4">
      <c r="W3153" s="64" ph="1"/>
    </row>
    <row r="3154" spans="23:23" ht="26.4">
      <c r="W3154" s="64" ph="1"/>
    </row>
    <row r="3155" spans="23:23" ht="26.4">
      <c r="W3155" s="64" ph="1"/>
    </row>
    <row r="3156" spans="23:23" ht="26.4">
      <c r="W3156" s="64" ph="1"/>
    </row>
    <row r="3157" spans="23:23" ht="26.4">
      <c r="W3157" s="64" ph="1"/>
    </row>
    <row r="3158" spans="23:23" ht="26.4">
      <c r="W3158" s="64" ph="1"/>
    </row>
    <row r="3159" spans="23:23" ht="26.4">
      <c r="W3159" s="64" ph="1"/>
    </row>
    <row r="3160" spans="23:23" ht="26.4">
      <c r="W3160" s="64" ph="1"/>
    </row>
    <row r="3161" spans="23:23" ht="26.4">
      <c r="W3161" s="64" ph="1"/>
    </row>
    <row r="3162" spans="23:23" ht="26.4">
      <c r="W3162" s="64" ph="1"/>
    </row>
    <row r="3163" spans="23:23" ht="26.4">
      <c r="W3163" s="64" ph="1"/>
    </row>
    <row r="3164" spans="23:23" ht="26.4">
      <c r="W3164" s="64" ph="1"/>
    </row>
    <row r="3165" spans="23:23" ht="26.4">
      <c r="W3165" s="64" ph="1"/>
    </row>
    <row r="3166" spans="23:23" ht="26.4">
      <c r="W3166" s="64" ph="1"/>
    </row>
    <row r="3167" spans="23:23" ht="26.4">
      <c r="W3167" s="64" ph="1"/>
    </row>
    <row r="3168" spans="23:23" ht="26.4">
      <c r="W3168" s="64" ph="1"/>
    </row>
    <row r="3169" spans="23:23" ht="26.4">
      <c r="W3169" s="64" ph="1"/>
    </row>
    <row r="3170" spans="23:23" ht="26.4">
      <c r="W3170" s="64" ph="1"/>
    </row>
    <row r="3171" spans="23:23" ht="26.4">
      <c r="W3171" s="64" ph="1"/>
    </row>
    <row r="3172" spans="23:23" ht="26.4">
      <c r="W3172" s="64" ph="1"/>
    </row>
    <row r="3173" spans="23:23" ht="26.4">
      <c r="W3173" s="64" ph="1"/>
    </row>
    <row r="3174" spans="23:23" ht="26.4">
      <c r="W3174" s="64" ph="1"/>
    </row>
    <row r="3175" spans="23:23" ht="26.4">
      <c r="W3175" s="64" ph="1"/>
    </row>
    <row r="3176" spans="23:23" ht="26.4">
      <c r="W3176" s="64" ph="1"/>
    </row>
    <row r="3177" spans="23:23" ht="26.4">
      <c r="W3177" s="64" ph="1"/>
    </row>
    <row r="3178" spans="23:23" ht="26.4">
      <c r="W3178" s="64" ph="1"/>
    </row>
    <row r="3179" spans="23:23" ht="26.4">
      <c r="W3179" s="64" ph="1"/>
    </row>
    <row r="3180" spans="23:23" ht="26.4">
      <c r="W3180" s="64" ph="1"/>
    </row>
    <row r="3181" spans="23:23" ht="26.4">
      <c r="W3181" s="64" ph="1"/>
    </row>
    <row r="3182" spans="23:23" ht="26.4">
      <c r="W3182" s="64" ph="1"/>
    </row>
    <row r="3183" spans="23:23" ht="26.4">
      <c r="W3183" s="64" ph="1"/>
    </row>
    <row r="3184" spans="23:23" ht="26.4">
      <c r="W3184" s="64" ph="1"/>
    </row>
    <row r="3185" spans="23:23" ht="26.4">
      <c r="W3185" s="64" ph="1"/>
    </row>
    <row r="3186" spans="23:23" ht="26.4">
      <c r="W3186" s="64" ph="1"/>
    </row>
    <row r="3187" spans="23:23" ht="26.4">
      <c r="W3187" s="64" ph="1"/>
    </row>
    <row r="3188" spans="23:23" ht="26.4">
      <c r="W3188" s="64" ph="1"/>
    </row>
    <row r="3189" spans="23:23" ht="26.4">
      <c r="W3189" s="64" ph="1"/>
    </row>
    <row r="3190" spans="23:23" ht="26.4">
      <c r="W3190" s="64" ph="1"/>
    </row>
    <row r="3191" spans="23:23" ht="26.4">
      <c r="W3191" s="64" ph="1"/>
    </row>
    <row r="3192" spans="23:23" ht="26.4">
      <c r="W3192" s="64" ph="1"/>
    </row>
    <row r="3193" spans="23:23" ht="26.4">
      <c r="W3193" s="64" ph="1"/>
    </row>
    <row r="3194" spans="23:23" ht="26.4">
      <c r="W3194" s="64" ph="1"/>
    </row>
    <row r="3195" spans="23:23" ht="26.4">
      <c r="W3195" s="64" ph="1"/>
    </row>
    <row r="3196" spans="23:23" ht="26.4">
      <c r="W3196" s="64" ph="1"/>
    </row>
    <row r="3197" spans="23:23" ht="26.4">
      <c r="W3197" s="64" ph="1"/>
    </row>
    <row r="3198" spans="23:23" ht="26.4">
      <c r="W3198" s="64" ph="1"/>
    </row>
    <row r="3199" spans="23:23" ht="26.4">
      <c r="W3199" s="64" ph="1"/>
    </row>
    <row r="3200" spans="23:23" ht="26.4">
      <c r="W3200" s="64" ph="1"/>
    </row>
    <row r="3201" spans="23:23" ht="26.4">
      <c r="W3201" s="64" ph="1"/>
    </row>
    <row r="3202" spans="23:23" ht="26.4">
      <c r="W3202" s="64" ph="1"/>
    </row>
    <row r="3203" spans="23:23" ht="26.4">
      <c r="W3203" s="64" ph="1"/>
    </row>
    <row r="3204" spans="23:23" ht="26.4">
      <c r="W3204" s="64" ph="1"/>
    </row>
    <row r="3205" spans="23:23" ht="26.4">
      <c r="W3205" s="64" ph="1"/>
    </row>
    <row r="3206" spans="23:23" ht="26.4">
      <c r="W3206" s="64" ph="1"/>
    </row>
    <row r="3207" spans="23:23" ht="26.4">
      <c r="W3207" s="64" ph="1"/>
    </row>
    <row r="3208" spans="23:23" ht="26.4">
      <c r="W3208" s="64" ph="1"/>
    </row>
    <row r="3209" spans="23:23" ht="26.4">
      <c r="W3209" s="64" ph="1"/>
    </row>
    <row r="3210" spans="23:23" ht="26.4">
      <c r="W3210" s="64" ph="1"/>
    </row>
    <row r="3211" spans="23:23" ht="26.4">
      <c r="W3211" s="64" ph="1"/>
    </row>
    <row r="3212" spans="23:23" ht="26.4">
      <c r="W3212" s="64" ph="1"/>
    </row>
    <row r="3213" spans="23:23" ht="26.4">
      <c r="W3213" s="64" ph="1"/>
    </row>
    <row r="3214" spans="23:23" ht="26.4">
      <c r="W3214" s="64" ph="1"/>
    </row>
    <row r="3215" spans="23:23" ht="26.4">
      <c r="W3215" s="64" ph="1"/>
    </row>
    <row r="3216" spans="23:23" ht="26.4">
      <c r="W3216" s="64" ph="1"/>
    </row>
    <row r="3217" spans="23:23" ht="26.4">
      <c r="W3217" s="64" ph="1"/>
    </row>
    <row r="3218" spans="23:23" ht="26.4">
      <c r="W3218" s="64" ph="1"/>
    </row>
    <row r="3219" spans="23:23" ht="26.4">
      <c r="W3219" s="64" ph="1"/>
    </row>
    <row r="3220" spans="23:23" ht="26.4">
      <c r="W3220" s="64" ph="1"/>
    </row>
    <row r="3221" spans="23:23" ht="26.4">
      <c r="W3221" s="64" ph="1"/>
    </row>
    <row r="3222" spans="23:23" ht="26.4">
      <c r="W3222" s="64" ph="1"/>
    </row>
    <row r="3223" spans="23:23" ht="26.4">
      <c r="W3223" s="64" ph="1"/>
    </row>
    <row r="3224" spans="23:23" ht="26.4">
      <c r="W3224" s="64" ph="1"/>
    </row>
    <row r="3225" spans="23:23" ht="26.4">
      <c r="W3225" s="64" ph="1"/>
    </row>
    <row r="3226" spans="23:23" ht="26.4">
      <c r="W3226" s="64" ph="1"/>
    </row>
    <row r="3227" spans="23:23" ht="26.4">
      <c r="W3227" s="64" ph="1"/>
    </row>
    <row r="3228" spans="23:23" ht="26.4">
      <c r="W3228" s="64" ph="1"/>
    </row>
    <row r="3229" spans="23:23" ht="26.4">
      <c r="W3229" s="64" ph="1"/>
    </row>
    <row r="3230" spans="23:23" ht="26.4">
      <c r="W3230" s="64" ph="1"/>
    </row>
    <row r="3231" spans="23:23" ht="26.4">
      <c r="W3231" s="64" ph="1"/>
    </row>
    <row r="3232" spans="23:23" ht="26.4">
      <c r="W3232" s="64" ph="1"/>
    </row>
    <row r="3233" spans="23:23" ht="26.4">
      <c r="W3233" s="64" ph="1"/>
    </row>
    <row r="3234" spans="23:23" ht="26.4">
      <c r="W3234" s="64" ph="1"/>
    </row>
    <row r="3235" spans="23:23" ht="26.4">
      <c r="W3235" s="64" ph="1"/>
    </row>
    <row r="3236" spans="23:23" ht="26.4">
      <c r="W3236" s="64" ph="1"/>
    </row>
    <row r="3237" spans="23:23" ht="26.4">
      <c r="W3237" s="64" ph="1"/>
    </row>
    <row r="3238" spans="23:23" ht="26.4">
      <c r="W3238" s="64" ph="1"/>
    </row>
    <row r="3239" spans="23:23" ht="26.4">
      <c r="W3239" s="64" ph="1"/>
    </row>
    <row r="3240" spans="23:23" ht="26.4">
      <c r="W3240" s="64" ph="1"/>
    </row>
    <row r="3241" spans="23:23" ht="26.4">
      <c r="W3241" s="64" ph="1"/>
    </row>
    <row r="3242" spans="23:23" ht="26.4">
      <c r="W3242" s="64" ph="1"/>
    </row>
    <row r="3243" spans="23:23" ht="26.4">
      <c r="W3243" s="64" ph="1"/>
    </row>
    <row r="3244" spans="23:23" ht="26.4">
      <c r="W3244" s="64" ph="1"/>
    </row>
    <row r="3245" spans="23:23" ht="26.4">
      <c r="W3245" s="64" ph="1"/>
    </row>
    <row r="3246" spans="23:23" ht="26.4">
      <c r="W3246" s="64" ph="1"/>
    </row>
    <row r="3247" spans="23:23" ht="26.4">
      <c r="W3247" s="64" ph="1"/>
    </row>
    <row r="3248" spans="23:23" ht="26.4">
      <c r="W3248" s="64" ph="1"/>
    </row>
    <row r="3249" spans="23:23" ht="26.4">
      <c r="W3249" s="64" ph="1"/>
    </row>
    <row r="3250" spans="23:23" ht="26.4">
      <c r="W3250" s="64" ph="1"/>
    </row>
    <row r="3251" spans="23:23" ht="26.4">
      <c r="W3251" s="64" ph="1"/>
    </row>
    <row r="3252" spans="23:23" ht="26.4">
      <c r="W3252" s="64" ph="1"/>
    </row>
    <row r="3253" spans="23:23" ht="26.4">
      <c r="W3253" s="64" ph="1"/>
    </row>
    <row r="3254" spans="23:23" ht="26.4">
      <c r="W3254" s="64" ph="1"/>
    </row>
    <row r="3255" spans="23:23" ht="26.4">
      <c r="W3255" s="64" ph="1"/>
    </row>
    <row r="3256" spans="23:23" ht="26.4">
      <c r="W3256" s="64" ph="1"/>
    </row>
    <row r="3257" spans="23:23" ht="26.4">
      <c r="W3257" s="64" ph="1"/>
    </row>
    <row r="3258" spans="23:23" ht="26.4">
      <c r="W3258" s="64" ph="1"/>
    </row>
    <row r="3259" spans="23:23" ht="26.4">
      <c r="W3259" s="64" ph="1"/>
    </row>
    <row r="3260" spans="23:23" ht="26.4">
      <c r="W3260" s="64" ph="1"/>
    </row>
    <row r="3261" spans="23:23" ht="26.4">
      <c r="W3261" s="64" ph="1"/>
    </row>
    <row r="3262" spans="23:23" ht="26.4">
      <c r="W3262" s="64" ph="1"/>
    </row>
    <row r="3263" spans="23:23" ht="26.4">
      <c r="W3263" s="64" ph="1"/>
    </row>
    <row r="3264" spans="23:23" ht="26.4">
      <c r="W3264" s="64" ph="1"/>
    </row>
    <row r="3265" spans="23:23" ht="26.4">
      <c r="W3265" s="64" ph="1"/>
    </row>
    <row r="3266" spans="23:23" ht="26.4">
      <c r="W3266" s="64" ph="1"/>
    </row>
    <row r="3267" spans="23:23" ht="26.4">
      <c r="W3267" s="64" ph="1"/>
    </row>
    <row r="3268" spans="23:23" ht="26.4">
      <c r="W3268" s="64" ph="1"/>
    </row>
    <row r="3269" spans="23:23" ht="26.4">
      <c r="W3269" s="64" ph="1"/>
    </row>
    <row r="3270" spans="23:23" ht="26.4">
      <c r="W3270" s="64" ph="1"/>
    </row>
    <row r="3271" spans="23:23" ht="26.4">
      <c r="W3271" s="64" ph="1"/>
    </row>
    <row r="3272" spans="23:23" ht="26.4">
      <c r="W3272" s="64" ph="1"/>
    </row>
    <row r="3273" spans="23:23" ht="26.4">
      <c r="W3273" s="64" ph="1"/>
    </row>
    <row r="3274" spans="23:23" ht="26.4">
      <c r="W3274" s="64" ph="1"/>
    </row>
    <row r="3275" spans="23:23" ht="26.4">
      <c r="W3275" s="64" ph="1"/>
    </row>
    <row r="3276" spans="23:23" ht="26.4">
      <c r="W3276" s="64" ph="1"/>
    </row>
    <row r="3277" spans="23:23" ht="26.4">
      <c r="W3277" s="64" ph="1"/>
    </row>
    <row r="3278" spans="23:23" ht="26.4">
      <c r="W3278" s="64" ph="1"/>
    </row>
    <row r="3279" spans="23:23" ht="26.4">
      <c r="W3279" s="64" ph="1"/>
    </row>
    <row r="3280" spans="23:23" ht="26.4">
      <c r="W3280" s="64" ph="1"/>
    </row>
    <row r="3281" spans="23:23" ht="26.4">
      <c r="W3281" s="64" ph="1"/>
    </row>
    <row r="3282" spans="23:23" ht="26.4">
      <c r="W3282" s="64" ph="1"/>
    </row>
    <row r="3283" spans="23:23" ht="26.4">
      <c r="W3283" s="64" ph="1"/>
    </row>
    <row r="3284" spans="23:23" ht="26.4">
      <c r="W3284" s="64" ph="1"/>
    </row>
    <row r="3285" spans="23:23" ht="26.4">
      <c r="W3285" s="64" ph="1"/>
    </row>
    <row r="3286" spans="23:23" ht="26.4">
      <c r="W3286" s="64" ph="1"/>
    </row>
    <row r="3287" spans="23:23" ht="26.4">
      <c r="W3287" s="64" ph="1"/>
    </row>
    <row r="3288" spans="23:23" ht="26.4">
      <c r="W3288" s="64" ph="1"/>
    </row>
    <row r="3289" spans="23:23" ht="26.4">
      <c r="W3289" s="64" ph="1"/>
    </row>
    <row r="3290" spans="23:23" ht="26.4">
      <c r="W3290" s="64" ph="1"/>
    </row>
    <row r="3291" spans="23:23" ht="26.4">
      <c r="W3291" s="64" ph="1"/>
    </row>
    <row r="3292" spans="23:23" ht="26.4">
      <c r="W3292" s="64" ph="1"/>
    </row>
    <row r="3293" spans="23:23" ht="26.4">
      <c r="W3293" s="64" ph="1"/>
    </row>
    <row r="3294" spans="23:23" ht="26.4">
      <c r="W3294" s="64" ph="1"/>
    </row>
    <row r="3295" spans="23:23" ht="26.4">
      <c r="W3295" s="64" ph="1"/>
    </row>
    <row r="3296" spans="23:23" ht="26.4">
      <c r="W3296" s="64" ph="1"/>
    </row>
    <row r="3297" spans="23:23" ht="26.4">
      <c r="W3297" s="64" ph="1"/>
    </row>
    <row r="3298" spans="23:23" ht="26.4">
      <c r="W3298" s="64" ph="1"/>
    </row>
    <row r="3299" spans="23:23" ht="26.4">
      <c r="W3299" s="64" ph="1"/>
    </row>
    <row r="3300" spans="23:23" ht="26.4">
      <c r="W3300" s="64" ph="1"/>
    </row>
    <row r="3301" spans="23:23" ht="26.4">
      <c r="W3301" s="64" ph="1"/>
    </row>
    <row r="3302" spans="23:23" ht="26.4">
      <c r="W3302" s="64" ph="1"/>
    </row>
    <row r="3303" spans="23:23" ht="26.4">
      <c r="W3303" s="64" ph="1"/>
    </row>
    <row r="3304" spans="23:23" ht="26.4">
      <c r="W3304" s="64" ph="1"/>
    </row>
    <row r="3305" spans="23:23" ht="26.4">
      <c r="W3305" s="64" ph="1"/>
    </row>
    <row r="3306" spans="23:23" ht="26.4">
      <c r="W3306" s="64" ph="1"/>
    </row>
    <row r="3307" spans="23:23" ht="26.4">
      <c r="W3307" s="64" ph="1"/>
    </row>
    <row r="3308" spans="23:23" ht="26.4">
      <c r="W3308" s="64" ph="1"/>
    </row>
    <row r="3309" spans="23:23" ht="26.4">
      <c r="W3309" s="64" ph="1"/>
    </row>
    <row r="3310" spans="23:23" ht="26.4">
      <c r="W3310" s="64" ph="1"/>
    </row>
    <row r="3311" spans="23:23" ht="26.4">
      <c r="W3311" s="64" ph="1"/>
    </row>
    <row r="3312" spans="23:23" ht="26.4">
      <c r="W3312" s="64" ph="1"/>
    </row>
    <row r="3313" spans="23:23" ht="26.4">
      <c r="W3313" s="64" ph="1"/>
    </row>
    <row r="3314" spans="23:23" ht="26.4">
      <c r="W3314" s="64" ph="1"/>
    </row>
    <row r="3315" spans="23:23" ht="26.4">
      <c r="W3315" s="64" ph="1"/>
    </row>
    <row r="3316" spans="23:23" ht="26.4">
      <c r="W3316" s="64" ph="1"/>
    </row>
    <row r="3317" spans="23:23" ht="26.4">
      <c r="W3317" s="64" ph="1"/>
    </row>
    <row r="3318" spans="23:23" ht="26.4">
      <c r="W3318" s="64" ph="1"/>
    </row>
    <row r="3319" spans="23:23" ht="26.4">
      <c r="W3319" s="64" ph="1"/>
    </row>
    <row r="3320" spans="23:23" ht="26.4">
      <c r="W3320" s="64" ph="1"/>
    </row>
    <row r="3321" spans="23:23" ht="26.4">
      <c r="W3321" s="64" ph="1"/>
    </row>
    <row r="3322" spans="23:23" ht="26.4">
      <c r="W3322" s="64" ph="1"/>
    </row>
    <row r="3323" spans="23:23" ht="26.4">
      <c r="W3323" s="64" ph="1"/>
    </row>
    <row r="3324" spans="23:23" ht="26.4">
      <c r="W3324" s="64" ph="1"/>
    </row>
    <row r="3325" spans="23:23" ht="26.4">
      <c r="W3325" s="64" ph="1"/>
    </row>
    <row r="3326" spans="23:23" ht="26.4">
      <c r="W3326" s="64" ph="1"/>
    </row>
    <row r="3327" spans="23:23" ht="26.4">
      <c r="W3327" s="64" ph="1"/>
    </row>
    <row r="3328" spans="23:23" ht="26.4">
      <c r="W3328" s="64" ph="1"/>
    </row>
    <row r="3329" spans="23:23" ht="26.4">
      <c r="W3329" s="64" ph="1"/>
    </row>
    <row r="3330" spans="23:23" ht="26.4">
      <c r="W3330" s="64" ph="1"/>
    </row>
    <row r="3331" spans="23:23" ht="26.4">
      <c r="W3331" s="64" ph="1"/>
    </row>
    <row r="3332" spans="23:23" ht="26.4">
      <c r="W3332" s="64" ph="1"/>
    </row>
    <row r="3333" spans="23:23" ht="26.4">
      <c r="W3333" s="64" ph="1"/>
    </row>
    <row r="3334" spans="23:23" ht="26.4">
      <c r="W3334" s="64" ph="1"/>
    </row>
    <row r="3335" spans="23:23" ht="26.4">
      <c r="W3335" s="64" ph="1"/>
    </row>
    <row r="3336" spans="23:23" ht="26.4">
      <c r="W3336" s="64" ph="1"/>
    </row>
    <row r="3337" spans="23:23" ht="26.4">
      <c r="W3337" s="64" ph="1"/>
    </row>
    <row r="3338" spans="23:23" ht="26.4">
      <c r="W3338" s="64" ph="1"/>
    </row>
    <row r="3339" spans="23:23" ht="26.4">
      <c r="W3339" s="64" ph="1"/>
    </row>
    <row r="3340" spans="23:23" ht="26.4">
      <c r="W3340" s="64" ph="1"/>
    </row>
    <row r="3341" spans="23:23" ht="26.4">
      <c r="W3341" s="64" ph="1"/>
    </row>
    <row r="3342" spans="23:23" ht="26.4">
      <c r="W3342" s="64" ph="1"/>
    </row>
    <row r="3343" spans="23:23" ht="26.4">
      <c r="W3343" s="64" ph="1"/>
    </row>
    <row r="3344" spans="23:23" ht="26.4">
      <c r="W3344" s="64" ph="1"/>
    </row>
    <row r="3345" spans="23:23" ht="26.4">
      <c r="W3345" s="64" ph="1"/>
    </row>
    <row r="3346" spans="23:23" ht="26.4">
      <c r="W3346" s="64" ph="1"/>
    </row>
    <row r="3347" spans="23:23" ht="26.4">
      <c r="W3347" s="64" ph="1"/>
    </row>
    <row r="3348" spans="23:23" ht="26.4">
      <c r="W3348" s="64" ph="1"/>
    </row>
    <row r="3349" spans="23:23" ht="26.4">
      <c r="W3349" s="64" ph="1"/>
    </row>
    <row r="3350" spans="23:23" ht="26.4">
      <c r="W3350" s="64" ph="1"/>
    </row>
    <row r="3351" spans="23:23" ht="26.4">
      <c r="W3351" s="64" ph="1"/>
    </row>
    <row r="3352" spans="23:23" ht="26.4">
      <c r="W3352" s="64" ph="1"/>
    </row>
    <row r="3353" spans="23:23" ht="26.4">
      <c r="W3353" s="64" ph="1"/>
    </row>
    <row r="3354" spans="23:23" ht="26.4">
      <c r="W3354" s="64" ph="1"/>
    </row>
    <row r="3355" spans="23:23" ht="26.4">
      <c r="W3355" s="64" ph="1"/>
    </row>
    <row r="3356" spans="23:23" ht="26.4">
      <c r="W3356" s="64" ph="1"/>
    </row>
    <row r="3357" spans="23:23" ht="26.4">
      <c r="W3357" s="64" ph="1"/>
    </row>
    <row r="3358" spans="23:23" ht="26.4">
      <c r="W3358" s="64" ph="1"/>
    </row>
    <row r="3359" spans="23:23" ht="26.4">
      <c r="W3359" s="64" ph="1"/>
    </row>
    <row r="3360" spans="23:23" ht="26.4">
      <c r="W3360" s="64" ph="1"/>
    </row>
    <row r="3361" spans="23:23" ht="26.4">
      <c r="W3361" s="64" ph="1"/>
    </row>
    <row r="3362" spans="23:23" ht="26.4">
      <c r="W3362" s="64" ph="1"/>
    </row>
    <row r="3363" spans="23:23" ht="26.4">
      <c r="W3363" s="64" ph="1"/>
    </row>
    <row r="3364" spans="23:23" ht="26.4">
      <c r="W3364" s="64" ph="1"/>
    </row>
    <row r="3365" spans="23:23" ht="26.4">
      <c r="W3365" s="64" ph="1"/>
    </row>
    <row r="3366" spans="23:23" ht="26.4">
      <c r="W3366" s="64" ph="1"/>
    </row>
    <row r="3367" spans="23:23" ht="26.4">
      <c r="W3367" s="64" ph="1"/>
    </row>
    <row r="3368" spans="23:23" ht="26.4">
      <c r="W3368" s="64" ph="1"/>
    </row>
    <row r="3369" spans="23:23" ht="26.4">
      <c r="W3369" s="64" ph="1"/>
    </row>
    <row r="3370" spans="23:23" ht="26.4">
      <c r="W3370" s="64" ph="1"/>
    </row>
    <row r="3371" spans="23:23" ht="26.4">
      <c r="W3371" s="64" ph="1"/>
    </row>
    <row r="3372" spans="23:23" ht="26.4">
      <c r="W3372" s="64" ph="1"/>
    </row>
    <row r="3373" spans="23:23" ht="26.4">
      <c r="W3373" s="64" ph="1"/>
    </row>
    <row r="3374" spans="23:23" ht="26.4">
      <c r="W3374" s="64" ph="1"/>
    </row>
    <row r="3375" spans="23:23" ht="26.4">
      <c r="W3375" s="64" ph="1"/>
    </row>
    <row r="3376" spans="23:23" ht="26.4">
      <c r="W3376" s="64" ph="1"/>
    </row>
    <row r="3377" spans="23:23" ht="26.4">
      <c r="W3377" s="64" ph="1"/>
    </row>
    <row r="3378" spans="23:23" ht="26.4">
      <c r="W3378" s="64" ph="1"/>
    </row>
    <row r="3379" spans="23:23" ht="26.4">
      <c r="W3379" s="64" ph="1"/>
    </row>
    <row r="3380" spans="23:23" ht="26.4">
      <c r="W3380" s="64" ph="1"/>
    </row>
    <row r="3381" spans="23:23" ht="26.4">
      <c r="W3381" s="64" ph="1"/>
    </row>
    <row r="3382" spans="23:23" ht="26.4">
      <c r="W3382" s="64" ph="1"/>
    </row>
    <row r="3383" spans="23:23" ht="26.4">
      <c r="W3383" s="64" ph="1"/>
    </row>
    <row r="3384" spans="23:23" ht="26.4">
      <c r="W3384" s="64" ph="1"/>
    </row>
    <row r="3385" spans="23:23" ht="26.4">
      <c r="W3385" s="64" ph="1"/>
    </row>
    <row r="3386" spans="23:23" ht="26.4">
      <c r="W3386" s="64" ph="1"/>
    </row>
    <row r="3387" spans="23:23" ht="26.4">
      <c r="W3387" s="64" ph="1"/>
    </row>
    <row r="3388" spans="23:23" ht="26.4">
      <c r="W3388" s="64" ph="1"/>
    </row>
    <row r="3389" spans="23:23" ht="26.4">
      <c r="W3389" s="64" ph="1"/>
    </row>
    <row r="3390" spans="23:23" ht="26.4">
      <c r="W3390" s="64" ph="1"/>
    </row>
    <row r="3391" spans="23:23" ht="26.4">
      <c r="W3391" s="64" ph="1"/>
    </row>
    <row r="3392" spans="23:23" ht="26.4">
      <c r="W3392" s="64" ph="1"/>
    </row>
    <row r="3393" spans="23:23" ht="26.4">
      <c r="W3393" s="64" ph="1"/>
    </row>
    <row r="3394" spans="23:23" ht="26.4">
      <c r="W3394" s="64" ph="1"/>
    </row>
    <row r="3395" spans="23:23" ht="26.4">
      <c r="W3395" s="64" ph="1"/>
    </row>
    <row r="3396" spans="23:23" ht="26.4">
      <c r="W3396" s="64" ph="1"/>
    </row>
    <row r="3397" spans="23:23" ht="26.4">
      <c r="W3397" s="64" ph="1"/>
    </row>
    <row r="3398" spans="23:23" ht="26.4">
      <c r="W3398" s="64" ph="1"/>
    </row>
    <row r="3399" spans="23:23" ht="26.4">
      <c r="W3399" s="64" ph="1"/>
    </row>
    <row r="3400" spans="23:23" ht="26.4">
      <c r="W3400" s="64" ph="1"/>
    </row>
    <row r="3401" spans="23:23" ht="26.4">
      <c r="W3401" s="64" ph="1"/>
    </row>
    <row r="3402" spans="23:23" ht="26.4">
      <c r="W3402" s="64" ph="1"/>
    </row>
    <row r="3403" spans="23:23" ht="26.4">
      <c r="W3403" s="64" ph="1"/>
    </row>
    <row r="3404" spans="23:23" ht="26.4">
      <c r="W3404" s="64" ph="1"/>
    </row>
    <row r="3405" spans="23:23" ht="26.4">
      <c r="W3405" s="64" ph="1"/>
    </row>
    <row r="3406" spans="23:23" ht="26.4">
      <c r="W3406" s="64" ph="1"/>
    </row>
    <row r="3407" spans="23:23" ht="26.4">
      <c r="W3407" s="64" ph="1"/>
    </row>
    <row r="3408" spans="23:23" ht="26.4">
      <c r="W3408" s="64" ph="1"/>
    </row>
    <row r="3409" spans="23:23" ht="26.4">
      <c r="W3409" s="64" ph="1"/>
    </row>
    <row r="3410" spans="23:23" ht="26.4">
      <c r="W3410" s="64" ph="1"/>
    </row>
    <row r="3411" spans="23:23" ht="26.4">
      <c r="W3411" s="64" ph="1"/>
    </row>
    <row r="3412" spans="23:23" ht="26.4">
      <c r="W3412" s="64" ph="1"/>
    </row>
    <row r="3413" spans="23:23" ht="26.4">
      <c r="W3413" s="64" ph="1"/>
    </row>
    <row r="3414" spans="23:23" ht="26.4">
      <c r="W3414" s="64" ph="1"/>
    </row>
    <row r="3415" spans="23:23" ht="26.4">
      <c r="W3415" s="64" ph="1"/>
    </row>
    <row r="3416" spans="23:23" ht="26.4">
      <c r="W3416" s="64" ph="1"/>
    </row>
    <row r="3417" spans="23:23" ht="26.4">
      <c r="W3417" s="64" ph="1"/>
    </row>
    <row r="3418" spans="23:23" ht="26.4">
      <c r="W3418" s="64" ph="1"/>
    </row>
    <row r="3419" spans="23:23" ht="26.4">
      <c r="W3419" s="64" ph="1"/>
    </row>
    <row r="3420" spans="23:23" ht="26.4">
      <c r="W3420" s="64" ph="1"/>
    </row>
    <row r="3421" spans="23:23" ht="26.4">
      <c r="W3421" s="64" ph="1"/>
    </row>
    <row r="3422" spans="23:23" ht="26.4">
      <c r="W3422" s="64" ph="1"/>
    </row>
    <row r="3423" spans="23:23" ht="26.4">
      <c r="W3423" s="64" ph="1"/>
    </row>
    <row r="3424" spans="23:23" ht="26.4">
      <c r="W3424" s="64" ph="1"/>
    </row>
    <row r="3425" spans="23:23" ht="26.4">
      <c r="W3425" s="64" ph="1"/>
    </row>
    <row r="3426" spans="23:23" ht="26.4">
      <c r="W3426" s="64" ph="1"/>
    </row>
    <row r="3427" spans="23:23" ht="26.4">
      <c r="W3427" s="64" ph="1"/>
    </row>
    <row r="3428" spans="23:23" ht="26.4">
      <c r="W3428" s="64" ph="1"/>
    </row>
    <row r="3429" spans="23:23" ht="26.4">
      <c r="W3429" s="64" ph="1"/>
    </row>
    <row r="3430" spans="23:23" ht="26.4">
      <c r="W3430" s="64" ph="1"/>
    </row>
    <row r="3431" spans="23:23" ht="26.4">
      <c r="W3431" s="64" ph="1"/>
    </row>
    <row r="3432" spans="23:23" ht="26.4">
      <c r="W3432" s="64" ph="1"/>
    </row>
    <row r="3433" spans="23:23" ht="26.4">
      <c r="W3433" s="64" ph="1"/>
    </row>
    <row r="3434" spans="23:23" ht="26.4">
      <c r="W3434" s="64" ph="1"/>
    </row>
    <row r="3435" spans="23:23" ht="26.4">
      <c r="W3435" s="64" ph="1"/>
    </row>
    <row r="3436" spans="23:23" ht="26.4">
      <c r="W3436" s="64" ph="1"/>
    </row>
    <row r="3437" spans="23:23" ht="26.4">
      <c r="W3437" s="64" ph="1"/>
    </row>
    <row r="3438" spans="23:23" ht="26.4">
      <c r="W3438" s="64" ph="1"/>
    </row>
    <row r="3439" spans="23:23" ht="26.4">
      <c r="W3439" s="64" ph="1"/>
    </row>
    <row r="3440" spans="23:23" ht="26.4">
      <c r="W3440" s="64" ph="1"/>
    </row>
    <row r="3441" spans="23:23" ht="26.4">
      <c r="W3441" s="64" ph="1"/>
    </row>
    <row r="3442" spans="23:23" ht="26.4">
      <c r="W3442" s="64" ph="1"/>
    </row>
    <row r="3443" spans="23:23" ht="26.4">
      <c r="W3443" s="64" ph="1"/>
    </row>
    <row r="3444" spans="23:23" ht="26.4">
      <c r="W3444" s="64" ph="1"/>
    </row>
    <row r="3445" spans="23:23" ht="26.4">
      <c r="W3445" s="64" ph="1"/>
    </row>
    <row r="3446" spans="23:23" ht="26.4">
      <c r="W3446" s="64" ph="1"/>
    </row>
    <row r="3447" spans="23:23" ht="26.4">
      <c r="W3447" s="64" ph="1"/>
    </row>
    <row r="3448" spans="23:23" ht="26.4">
      <c r="W3448" s="64" ph="1"/>
    </row>
    <row r="3449" spans="23:23" ht="26.4">
      <c r="W3449" s="64" ph="1"/>
    </row>
    <row r="3450" spans="23:23" ht="26.4">
      <c r="W3450" s="64" ph="1"/>
    </row>
    <row r="3451" spans="23:23" ht="26.4">
      <c r="W3451" s="64" ph="1"/>
    </row>
    <row r="3452" spans="23:23" ht="26.4">
      <c r="W3452" s="64" ph="1"/>
    </row>
    <row r="3453" spans="23:23" ht="26.4">
      <c r="W3453" s="64" ph="1"/>
    </row>
    <row r="3454" spans="23:23" ht="26.4">
      <c r="W3454" s="64" ph="1"/>
    </row>
    <row r="3455" spans="23:23" ht="26.4">
      <c r="W3455" s="64" ph="1"/>
    </row>
    <row r="3456" spans="23:23" ht="26.4">
      <c r="W3456" s="64" ph="1"/>
    </row>
    <row r="3457" spans="23:23" ht="26.4">
      <c r="W3457" s="64" ph="1"/>
    </row>
    <row r="3458" spans="23:23" ht="26.4">
      <c r="W3458" s="64" ph="1"/>
    </row>
    <row r="3459" spans="23:23" ht="26.4">
      <c r="W3459" s="64" ph="1"/>
    </row>
    <row r="3460" spans="23:23" ht="26.4">
      <c r="W3460" s="64" ph="1"/>
    </row>
    <row r="3461" spans="23:23" ht="26.4">
      <c r="W3461" s="64" ph="1"/>
    </row>
    <row r="3462" spans="23:23" ht="26.4">
      <c r="W3462" s="64" ph="1"/>
    </row>
    <row r="3463" spans="23:23" ht="26.4">
      <c r="W3463" s="64" ph="1"/>
    </row>
    <row r="3464" spans="23:23" ht="26.4">
      <c r="W3464" s="64" ph="1"/>
    </row>
    <row r="3465" spans="23:23" ht="26.4">
      <c r="W3465" s="64" ph="1"/>
    </row>
    <row r="3466" spans="23:23" ht="26.4">
      <c r="W3466" s="64" ph="1"/>
    </row>
    <row r="3467" spans="23:23" ht="26.4">
      <c r="W3467" s="64" ph="1"/>
    </row>
    <row r="3468" spans="23:23" ht="26.4">
      <c r="W3468" s="64" ph="1"/>
    </row>
    <row r="3469" spans="23:23" ht="26.4">
      <c r="W3469" s="64" ph="1"/>
    </row>
    <row r="3470" spans="23:23" ht="26.4">
      <c r="W3470" s="64" ph="1"/>
    </row>
    <row r="3471" spans="23:23" ht="26.4">
      <c r="W3471" s="64" ph="1"/>
    </row>
    <row r="3472" spans="23:23" ht="26.4">
      <c r="W3472" s="64" ph="1"/>
    </row>
    <row r="3473" spans="23:23" ht="26.4">
      <c r="W3473" s="64" ph="1"/>
    </row>
    <row r="3474" spans="23:23" ht="26.4">
      <c r="W3474" s="64" ph="1"/>
    </row>
    <row r="3475" spans="23:23" ht="26.4">
      <c r="W3475" s="64" ph="1"/>
    </row>
    <row r="3476" spans="23:23" ht="26.4">
      <c r="W3476" s="64" ph="1"/>
    </row>
    <row r="3477" spans="23:23" ht="26.4">
      <c r="W3477" s="64" ph="1"/>
    </row>
    <row r="3478" spans="23:23" ht="26.4">
      <c r="W3478" s="64" ph="1"/>
    </row>
    <row r="3479" spans="23:23" ht="26.4">
      <c r="W3479" s="64" ph="1"/>
    </row>
    <row r="3480" spans="23:23" ht="26.4">
      <c r="W3480" s="64" ph="1"/>
    </row>
    <row r="3481" spans="23:23" ht="26.4">
      <c r="W3481" s="64" ph="1"/>
    </row>
    <row r="3482" spans="23:23" ht="26.4">
      <c r="W3482" s="64" ph="1"/>
    </row>
    <row r="3483" spans="23:23" ht="26.4">
      <c r="W3483" s="64" ph="1"/>
    </row>
    <row r="3484" spans="23:23" ht="26.4">
      <c r="W3484" s="64" ph="1"/>
    </row>
    <row r="3485" spans="23:23" ht="26.4">
      <c r="W3485" s="64" ph="1"/>
    </row>
    <row r="3486" spans="23:23" ht="26.4">
      <c r="W3486" s="64" ph="1"/>
    </row>
    <row r="3487" spans="23:23" ht="26.4">
      <c r="W3487" s="64" ph="1"/>
    </row>
    <row r="3488" spans="23:23" ht="26.4">
      <c r="W3488" s="64" ph="1"/>
    </row>
    <row r="3489" spans="23:23" ht="26.4">
      <c r="W3489" s="64" ph="1"/>
    </row>
    <row r="3490" spans="23:23" ht="26.4">
      <c r="W3490" s="64" ph="1"/>
    </row>
    <row r="3491" spans="23:23" ht="26.4">
      <c r="W3491" s="64" ph="1"/>
    </row>
    <row r="3492" spans="23:23" ht="26.4">
      <c r="W3492" s="64" ph="1"/>
    </row>
    <row r="3493" spans="23:23" ht="26.4">
      <c r="W3493" s="64" ph="1"/>
    </row>
    <row r="3494" spans="23:23" ht="26.4">
      <c r="W3494" s="64" ph="1"/>
    </row>
    <row r="3495" spans="23:23" ht="26.4">
      <c r="W3495" s="64" ph="1"/>
    </row>
    <row r="3496" spans="23:23" ht="26.4">
      <c r="W3496" s="64" ph="1"/>
    </row>
    <row r="3497" spans="23:23" ht="26.4">
      <c r="W3497" s="64" ph="1"/>
    </row>
    <row r="3498" spans="23:23" ht="26.4">
      <c r="W3498" s="64" ph="1"/>
    </row>
    <row r="3499" spans="23:23" ht="26.4">
      <c r="W3499" s="64" ph="1"/>
    </row>
    <row r="3500" spans="23:23" ht="26.4">
      <c r="W3500" s="64" ph="1"/>
    </row>
    <row r="3501" spans="23:23" ht="26.4">
      <c r="W3501" s="64" ph="1"/>
    </row>
    <row r="3502" spans="23:23" ht="26.4">
      <c r="W3502" s="64" ph="1"/>
    </row>
    <row r="3503" spans="23:23" ht="26.4">
      <c r="W3503" s="64" ph="1"/>
    </row>
    <row r="3504" spans="23:23" ht="26.4">
      <c r="W3504" s="64" ph="1"/>
    </row>
    <row r="3505" spans="23:23" ht="26.4">
      <c r="W3505" s="64" ph="1"/>
    </row>
    <row r="3506" spans="23:23" ht="26.4">
      <c r="W3506" s="64" ph="1"/>
    </row>
    <row r="3507" spans="23:23" ht="26.4">
      <c r="W3507" s="64" ph="1"/>
    </row>
    <row r="3508" spans="23:23" ht="26.4">
      <c r="W3508" s="64" ph="1"/>
    </row>
    <row r="3509" spans="23:23" ht="26.4">
      <c r="W3509" s="64" ph="1"/>
    </row>
    <row r="3510" spans="23:23" ht="26.4">
      <c r="W3510" s="64" ph="1"/>
    </row>
    <row r="3511" spans="23:23" ht="26.4">
      <c r="W3511" s="64" ph="1"/>
    </row>
    <row r="3512" spans="23:23" ht="26.4">
      <c r="W3512" s="64" ph="1"/>
    </row>
    <row r="3513" spans="23:23" ht="26.4">
      <c r="W3513" s="64" ph="1"/>
    </row>
    <row r="3514" spans="23:23" ht="26.4">
      <c r="W3514" s="64" ph="1"/>
    </row>
    <row r="3515" spans="23:23" ht="26.4">
      <c r="W3515" s="64" ph="1"/>
    </row>
    <row r="3516" spans="23:23" ht="26.4">
      <c r="W3516" s="64" ph="1"/>
    </row>
    <row r="3517" spans="23:23" ht="26.4">
      <c r="W3517" s="64" ph="1"/>
    </row>
    <row r="3518" spans="23:23" ht="26.4">
      <c r="W3518" s="64" ph="1"/>
    </row>
    <row r="3519" spans="23:23" ht="26.4">
      <c r="W3519" s="64" ph="1"/>
    </row>
    <row r="3520" spans="23:23" ht="26.4">
      <c r="W3520" s="64" ph="1"/>
    </row>
    <row r="3521" spans="23:23" ht="26.4">
      <c r="W3521" s="64" ph="1"/>
    </row>
    <row r="3522" spans="23:23" ht="26.4">
      <c r="W3522" s="64" ph="1"/>
    </row>
    <row r="3523" spans="23:23" ht="26.4">
      <c r="W3523" s="64" ph="1"/>
    </row>
    <row r="3524" spans="23:23" ht="26.4">
      <c r="W3524" s="64" ph="1"/>
    </row>
    <row r="3525" spans="23:23" ht="26.4">
      <c r="W3525" s="64" ph="1"/>
    </row>
    <row r="3526" spans="23:23" ht="26.4">
      <c r="W3526" s="64" ph="1"/>
    </row>
    <row r="3527" spans="23:23" ht="26.4">
      <c r="W3527" s="64" ph="1"/>
    </row>
    <row r="3528" spans="23:23" ht="26.4">
      <c r="W3528" s="64" ph="1"/>
    </row>
    <row r="3529" spans="23:23" ht="26.4">
      <c r="W3529" s="64" ph="1"/>
    </row>
    <row r="3530" spans="23:23" ht="26.4">
      <c r="W3530" s="64" ph="1"/>
    </row>
    <row r="3531" spans="23:23" ht="26.4">
      <c r="W3531" s="64" ph="1"/>
    </row>
    <row r="3532" spans="23:23" ht="26.4">
      <c r="W3532" s="64" ph="1"/>
    </row>
    <row r="3533" spans="23:23" ht="26.4">
      <c r="W3533" s="64" ph="1"/>
    </row>
    <row r="3534" spans="23:23" ht="26.4">
      <c r="W3534" s="64" ph="1"/>
    </row>
    <row r="3535" spans="23:23" ht="26.4">
      <c r="W3535" s="64" ph="1"/>
    </row>
    <row r="3536" spans="23:23" ht="26.4">
      <c r="W3536" s="64" ph="1"/>
    </row>
    <row r="3537" spans="23:23" ht="26.4">
      <c r="W3537" s="64" ph="1"/>
    </row>
    <row r="3538" spans="23:23" ht="26.4">
      <c r="W3538" s="64" ph="1"/>
    </row>
    <row r="3539" spans="23:23" ht="26.4">
      <c r="W3539" s="64" ph="1"/>
    </row>
    <row r="3540" spans="23:23" ht="26.4">
      <c r="W3540" s="64" ph="1"/>
    </row>
    <row r="3541" spans="23:23" ht="26.4">
      <c r="W3541" s="64" ph="1"/>
    </row>
    <row r="3542" spans="23:23" ht="26.4">
      <c r="W3542" s="64" ph="1"/>
    </row>
    <row r="3543" spans="23:23" ht="26.4">
      <c r="W3543" s="64" ph="1"/>
    </row>
    <row r="3544" spans="23:23" ht="26.4">
      <c r="W3544" s="64" ph="1"/>
    </row>
    <row r="3545" spans="23:23" ht="26.4">
      <c r="W3545" s="64" ph="1"/>
    </row>
    <row r="3546" spans="23:23" ht="26.4">
      <c r="W3546" s="64" ph="1"/>
    </row>
    <row r="3547" spans="23:23" ht="26.4">
      <c r="W3547" s="64" ph="1"/>
    </row>
    <row r="3548" spans="23:23" ht="26.4">
      <c r="W3548" s="64" ph="1"/>
    </row>
    <row r="3549" spans="23:23" ht="26.4">
      <c r="W3549" s="64" ph="1"/>
    </row>
    <row r="3550" spans="23:23" ht="26.4">
      <c r="W3550" s="64" ph="1"/>
    </row>
    <row r="3551" spans="23:23" ht="26.4">
      <c r="W3551" s="64" ph="1"/>
    </row>
    <row r="3552" spans="23:23" ht="26.4">
      <c r="W3552" s="64" ph="1"/>
    </row>
    <row r="3553" spans="23:23" ht="26.4">
      <c r="W3553" s="64" ph="1"/>
    </row>
    <row r="3554" spans="23:23" ht="26.4">
      <c r="W3554" s="64" ph="1"/>
    </row>
    <row r="3555" spans="23:23" ht="26.4">
      <c r="W3555" s="64" ph="1"/>
    </row>
    <row r="3556" spans="23:23" ht="26.4">
      <c r="W3556" s="64" ph="1"/>
    </row>
    <row r="3557" spans="23:23" ht="26.4">
      <c r="W3557" s="64" ph="1"/>
    </row>
    <row r="3558" spans="23:23" ht="26.4">
      <c r="W3558" s="64" ph="1"/>
    </row>
    <row r="3559" spans="23:23" ht="26.4">
      <c r="W3559" s="64" ph="1"/>
    </row>
    <row r="3560" spans="23:23" ht="26.4">
      <c r="W3560" s="64" ph="1"/>
    </row>
    <row r="3561" spans="23:23" ht="26.4">
      <c r="W3561" s="64" ph="1"/>
    </row>
    <row r="3562" spans="23:23" ht="26.4">
      <c r="W3562" s="64" ph="1"/>
    </row>
    <row r="3563" spans="23:23" ht="26.4">
      <c r="W3563" s="64" ph="1"/>
    </row>
    <row r="3564" spans="23:23" ht="26.4">
      <c r="W3564" s="64" ph="1"/>
    </row>
    <row r="3565" spans="23:23" ht="26.4">
      <c r="W3565" s="64" ph="1"/>
    </row>
    <row r="3566" spans="23:23" ht="26.4">
      <c r="W3566" s="64" ph="1"/>
    </row>
    <row r="3567" spans="23:23" ht="26.4">
      <c r="W3567" s="64" ph="1"/>
    </row>
    <row r="3568" spans="23:23" ht="26.4">
      <c r="W3568" s="64" ph="1"/>
    </row>
    <row r="3569" spans="23:23" ht="26.4">
      <c r="W3569" s="64" ph="1"/>
    </row>
    <row r="3570" spans="23:23" ht="26.4">
      <c r="W3570" s="64" ph="1"/>
    </row>
    <row r="3571" spans="23:23" ht="26.4">
      <c r="W3571" s="64" ph="1"/>
    </row>
    <row r="3572" spans="23:23" ht="26.4">
      <c r="W3572" s="64" ph="1"/>
    </row>
    <row r="3573" spans="23:23" ht="26.4">
      <c r="W3573" s="64" ph="1"/>
    </row>
    <row r="3574" spans="23:23" ht="26.4">
      <c r="W3574" s="64" ph="1"/>
    </row>
    <row r="3575" spans="23:23" ht="26.4">
      <c r="W3575" s="64" ph="1"/>
    </row>
    <row r="3576" spans="23:23" ht="26.4">
      <c r="W3576" s="64" ph="1"/>
    </row>
    <row r="3577" spans="23:23" ht="26.4">
      <c r="W3577" s="64" ph="1"/>
    </row>
    <row r="3578" spans="23:23" ht="26.4">
      <c r="W3578" s="64" ph="1"/>
    </row>
    <row r="3579" spans="23:23" ht="26.4">
      <c r="W3579" s="64" ph="1"/>
    </row>
    <row r="3580" spans="23:23" ht="26.4">
      <c r="W3580" s="64" ph="1"/>
    </row>
    <row r="3581" spans="23:23" ht="26.4">
      <c r="W3581" s="64" ph="1"/>
    </row>
    <row r="3582" spans="23:23" ht="26.4">
      <c r="W3582" s="64" ph="1"/>
    </row>
    <row r="3583" spans="23:23" ht="26.4">
      <c r="W3583" s="64" ph="1"/>
    </row>
    <row r="3584" spans="23:23" ht="26.4">
      <c r="W3584" s="64" ph="1"/>
    </row>
    <row r="3585" spans="23:23" ht="26.4">
      <c r="W3585" s="64" ph="1"/>
    </row>
    <row r="3586" spans="23:23" ht="26.4">
      <c r="W3586" s="64" ph="1"/>
    </row>
    <row r="3587" spans="23:23" ht="26.4">
      <c r="W3587" s="64" ph="1"/>
    </row>
    <row r="3588" spans="23:23" ht="26.4">
      <c r="W3588" s="64" ph="1"/>
    </row>
    <row r="3589" spans="23:23" ht="26.4">
      <c r="W3589" s="64" ph="1"/>
    </row>
    <row r="3590" spans="23:23" ht="26.4">
      <c r="W3590" s="64" ph="1"/>
    </row>
    <row r="3591" spans="23:23" ht="26.4">
      <c r="W3591" s="64" ph="1"/>
    </row>
    <row r="3592" spans="23:23" ht="26.4">
      <c r="W3592" s="64" ph="1"/>
    </row>
    <row r="3593" spans="23:23" ht="26.4">
      <c r="W3593" s="64" ph="1"/>
    </row>
    <row r="3594" spans="23:23" ht="26.4">
      <c r="W3594" s="64" ph="1"/>
    </row>
    <row r="3595" spans="23:23" ht="26.4">
      <c r="W3595" s="64" ph="1"/>
    </row>
    <row r="3596" spans="23:23" ht="26.4">
      <c r="W3596" s="64" ph="1"/>
    </row>
    <row r="3597" spans="23:23" ht="26.4">
      <c r="W3597" s="64" ph="1"/>
    </row>
    <row r="3598" spans="23:23" ht="26.4">
      <c r="W3598" s="64" ph="1"/>
    </row>
    <row r="3599" spans="23:23" ht="26.4">
      <c r="W3599" s="64" ph="1"/>
    </row>
    <row r="3600" spans="23:23" ht="26.4">
      <c r="W3600" s="64" ph="1"/>
    </row>
    <row r="3601" spans="23:23" ht="26.4">
      <c r="W3601" s="64" ph="1"/>
    </row>
    <row r="3602" spans="23:23" ht="26.4">
      <c r="W3602" s="64" ph="1"/>
    </row>
    <row r="3603" spans="23:23" ht="26.4">
      <c r="W3603" s="64" ph="1"/>
    </row>
    <row r="3604" spans="23:23" ht="26.4">
      <c r="W3604" s="64" ph="1"/>
    </row>
    <row r="3605" spans="23:23" ht="26.4">
      <c r="W3605" s="64" ph="1"/>
    </row>
    <row r="3606" spans="23:23" ht="26.4">
      <c r="W3606" s="64" ph="1"/>
    </row>
    <row r="3607" spans="23:23" ht="26.4">
      <c r="W3607" s="64" ph="1"/>
    </row>
    <row r="3608" spans="23:23" ht="26.4">
      <c r="W3608" s="64" ph="1"/>
    </row>
    <row r="3609" spans="23:23" ht="26.4">
      <c r="W3609" s="64" ph="1"/>
    </row>
    <row r="3610" spans="23:23" ht="26.4">
      <c r="W3610" s="64" ph="1"/>
    </row>
    <row r="3611" spans="23:23" ht="26.4">
      <c r="W3611" s="64" ph="1"/>
    </row>
    <row r="3612" spans="23:23" ht="26.4">
      <c r="W3612" s="64" ph="1"/>
    </row>
    <row r="3613" spans="23:23" ht="26.4">
      <c r="W3613" s="64" ph="1"/>
    </row>
    <row r="3614" spans="23:23" ht="26.4">
      <c r="W3614" s="64" ph="1"/>
    </row>
    <row r="3615" spans="23:23" ht="26.4">
      <c r="W3615" s="64" ph="1"/>
    </row>
    <row r="3616" spans="23:23" ht="26.4">
      <c r="W3616" s="64" ph="1"/>
    </row>
    <row r="3617" spans="23:23" ht="26.4">
      <c r="W3617" s="64" ph="1"/>
    </row>
    <row r="3618" spans="23:23" ht="26.4">
      <c r="W3618" s="64" ph="1"/>
    </row>
    <row r="3619" spans="23:23" ht="26.4">
      <c r="W3619" s="64" ph="1"/>
    </row>
    <row r="3620" spans="23:23" ht="26.4">
      <c r="W3620" s="64" ph="1"/>
    </row>
    <row r="3621" spans="23:23" ht="26.4">
      <c r="W3621" s="64" ph="1"/>
    </row>
    <row r="3622" spans="23:23" ht="26.4">
      <c r="W3622" s="64" ph="1"/>
    </row>
    <row r="3623" spans="23:23" ht="26.4">
      <c r="W3623" s="64" ph="1"/>
    </row>
    <row r="3624" spans="23:23" ht="26.4">
      <c r="W3624" s="64" ph="1"/>
    </row>
    <row r="3625" spans="23:23" ht="26.4">
      <c r="W3625" s="64" ph="1"/>
    </row>
    <row r="3626" spans="23:23" ht="26.4">
      <c r="W3626" s="64" ph="1"/>
    </row>
    <row r="3627" spans="23:23" ht="26.4">
      <c r="W3627" s="64" ph="1"/>
    </row>
    <row r="3628" spans="23:23" ht="26.4">
      <c r="W3628" s="64" ph="1"/>
    </row>
    <row r="3629" spans="23:23" ht="26.4">
      <c r="W3629" s="64" ph="1"/>
    </row>
    <row r="3630" spans="23:23" ht="26.4">
      <c r="W3630" s="64" ph="1"/>
    </row>
    <row r="3631" spans="23:23" ht="26.4">
      <c r="W3631" s="64" ph="1"/>
    </row>
    <row r="3632" spans="23:23" ht="26.4">
      <c r="W3632" s="64" ph="1"/>
    </row>
    <row r="3633" spans="23:23" ht="26.4">
      <c r="W3633" s="64" ph="1"/>
    </row>
    <row r="3634" spans="23:23" ht="26.4">
      <c r="W3634" s="64" ph="1"/>
    </row>
    <row r="3635" spans="23:23" ht="26.4">
      <c r="W3635" s="64" ph="1"/>
    </row>
    <row r="3636" spans="23:23" ht="26.4">
      <c r="W3636" s="64" ph="1"/>
    </row>
    <row r="3637" spans="23:23" ht="26.4">
      <c r="W3637" s="64" ph="1"/>
    </row>
    <row r="3638" spans="23:23" ht="26.4">
      <c r="W3638" s="64" ph="1"/>
    </row>
    <row r="3639" spans="23:23" ht="26.4">
      <c r="W3639" s="64" ph="1"/>
    </row>
    <row r="3640" spans="23:23" ht="26.4">
      <c r="W3640" s="64" ph="1"/>
    </row>
    <row r="3641" spans="23:23" ht="26.4">
      <c r="W3641" s="64" ph="1"/>
    </row>
    <row r="3642" spans="23:23" ht="26.4">
      <c r="W3642" s="64" ph="1"/>
    </row>
    <row r="3643" spans="23:23" ht="26.4">
      <c r="W3643" s="64" ph="1"/>
    </row>
    <row r="3644" spans="23:23" ht="26.4">
      <c r="W3644" s="64" ph="1"/>
    </row>
    <row r="3645" spans="23:23" ht="26.4">
      <c r="W3645" s="64" ph="1"/>
    </row>
    <row r="3646" spans="23:23" ht="26.4">
      <c r="W3646" s="64" ph="1"/>
    </row>
    <row r="3647" spans="23:23" ht="26.4">
      <c r="W3647" s="64" ph="1"/>
    </row>
    <row r="3648" spans="23:23" ht="26.4">
      <c r="W3648" s="64" ph="1"/>
    </row>
    <row r="3649" spans="23:23" ht="26.4">
      <c r="W3649" s="64" ph="1"/>
    </row>
    <row r="3650" spans="23:23" ht="26.4">
      <c r="W3650" s="64" ph="1"/>
    </row>
    <row r="3651" spans="23:23" ht="26.4">
      <c r="W3651" s="64" ph="1"/>
    </row>
    <row r="3652" spans="23:23" ht="26.4">
      <c r="W3652" s="64" ph="1"/>
    </row>
    <row r="3653" spans="23:23" ht="26.4">
      <c r="W3653" s="64" ph="1"/>
    </row>
    <row r="3654" spans="23:23" ht="26.4">
      <c r="W3654" s="64" ph="1"/>
    </row>
    <row r="3655" spans="23:23" ht="26.4">
      <c r="W3655" s="64" ph="1"/>
    </row>
    <row r="3656" spans="23:23" ht="26.4">
      <c r="W3656" s="64" ph="1"/>
    </row>
    <row r="3657" spans="23:23" ht="26.4">
      <c r="W3657" s="64" ph="1"/>
    </row>
    <row r="3658" spans="23:23" ht="26.4">
      <c r="W3658" s="64" ph="1"/>
    </row>
    <row r="3659" spans="23:23" ht="26.4">
      <c r="W3659" s="64" ph="1"/>
    </row>
    <row r="3660" spans="23:23" ht="26.4">
      <c r="W3660" s="64" ph="1"/>
    </row>
    <row r="3661" spans="23:23" ht="26.4">
      <c r="W3661" s="64" ph="1"/>
    </row>
    <row r="3662" spans="23:23" ht="26.4">
      <c r="W3662" s="64" ph="1"/>
    </row>
    <row r="3663" spans="23:23" ht="26.4">
      <c r="W3663" s="64" ph="1"/>
    </row>
    <row r="3664" spans="23:23" ht="26.4">
      <c r="W3664" s="64" ph="1"/>
    </row>
    <row r="3665" spans="23:23" ht="26.4">
      <c r="W3665" s="64" ph="1"/>
    </row>
    <row r="3666" spans="23:23" ht="26.4">
      <c r="W3666" s="64" ph="1"/>
    </row>
    <row r="3667" spans="23:23" ht="26.4">
      <c r="W3667" s="64" ph="1"/>
    </row>
    <row r="3668" spans="23:23" ht="26.4">
      <c r="W3668" s="64" ph="1"/>
    </row>
    <row r="3669" spans="23:23" ht="26.4">
      <c r="W3669" s="64" ph="1"/>
    </row>
    <row r="3670" spans="23:23" ht="26.4">
      <c r="W3670" s="64" ph="1"/>
    </row>
    <row r="3671" spans="23:23" ht="26.4">
      <c r="W3671" s="64" ph="1"/>
    </row>
    <row r="3672" spans="23:23" ht="26.4">
      <c r="W3672" s="64" ph="1"/>
    </row>
    <row r="3673" spans="23:23" ht="26.4">
      <c r="W3673" s="64" ph="1"/>
    </row>
    <row r="3674" spans="23:23" ht="26.4">
      <c r="W3674" s="64" ph="1"/>
    </row>
    <row r="3675" spans="23:23" ht="26.4">
      <c r="W3675" s="64" ph="1"/>
    </row>
    <row r="3676" spans="23:23" ht="26.4">
      <c r="W3676" s="64" ph="1"/>
    </row>
    <row r="3677" spans="23:23" ht="26.4">
      <c r="W3677" s="64" ph="1"/>
    </row>
    <row r="3678" spans="23:23" ht="26.4">
      <c r="W3678" s="64" ph="1"/>
    </row>
    <row r="3679" spans="23:23" ht="26.4">
      <c r="W3679" s="64" ph="1"/>
    </row>
    <row r="3680" spans="23:23" ht="26.4">
      <c r="W3680" s="64" ph="1"/>
    </row>
    <row r="3681" spans="23:23" ht="26.4">
      <c r="W3681" s="64" ph="1"/>
    </row>
    <row r="3682" spans="23:23" ht="26.4">
      <c r="W3682" s="64" ph="1"/>
    </row>
    <row r="3683" spans="23:23" ht="26.4">
      <c r="W3683" s="64" ph="1"/>
    </row>
    <row r="3684" spans="23:23" ht="26.4">
      <c r="W3684" s="64" ph="1"/>
    </row>
    <row r="3685" spans="23:23" ht="26.4">
      <c r="W3685" s="64" ph="1"/>
    </row>
    <row r="3686" spans="23:23" ht="26.4">
      <c r="W3686" s="64" ph="1"/>
    </row>
    <row r="3687" spans="23:23" ht="26.4">
      <c r="W3687" s="64" ph="1"/>
    </row>
    <row r="3688" spans="23:23" ht="26.4">
      <c r="W3688" s="64" ph="1"/>
    </row>
    <row r="3689" spans="23:23" ht="26.4">
      <c r="W3689" s="64" ph="1"/>
    </row>
    <row r="3690" spans="23:23" ht="26.4">
      <c r="W3690" s="64" ph="1"/>
    </row>
    <row r="3691" spans="23:23" ht="26.4">
      <c r="W3691" s="64" ph="1"/>
    </row>
    <row r="3692" spans="23:23" ht="26.4">
      <c r="W3692" s="64" ph="1"/>
    </row>
    <row r="3693" spans="23:23" ht="26.4">
      <c r="W3693" s="64" ph="1"/>
    </row>
    <row r="3694" spans="23:23" ht="26.4">
      <c r="W3694" s="64" ph="1"/>
    </row>
    <row r="3695" spans="23:23" ht="26.4">
      <c r="W3695" s="64" ph="1"/>
    </row>
    <row r="3696" spans="23:23" ht="26.4">
      <c r="W3696" s="64" ph="1"/>
    </row>
    <row r="3697" spans="23:23" ht="26.4">
      <c r="W3697" s="64" ph="1"/>
    </row>
    <row r="3698" spans="23:23" ht="26.4">
      <c r="W3698" s="64" ph="1"/>
    </row>
    <row r="3699" spans="23:23" ht="26.4">
      <c r="W3699" s="64" ph="1"/>
    </row>
    <row r="3700" spans="23:23" ht="26.4">
      <c r="W3700" s="64" ph="1"/>
    </row>
    <row r="3701" spans="23:23" ht="26.4">
      <c r="W3701" s="64" ph="1"/>
    </row>
    <row r="3702" spans="23:23" ht="26.4">
      <c r="W3702" s="64" ph="1"/>
    </row>
    <row r="3703" spans="23:23" ht="26.4">
      <c r="W3703" s="64" ph="1"/>
    </row>
    <row r="3704" spans="23:23" ht="26.4">
      <c r="W3704" s="64" ph="1"/>
    </row>
    <row r="3705" spans="23:23" ht="26.4">
      <c r="W3705" s="64" ph="1"/>
    </row>
    <row r="3706" spans="23:23" ht="26.4">
      <c r="W3706" s="64" ph="1"/>
    </row>
    <row r="3707" spans="23:23" ht="26.4">
      <c r="W3707" s="64" ph="1"/>
    </row>
    <row r="3708" spans="23:23" ht="26.4">
      <c r="W3708" s="64" ph="1"/>
    </row>
    <row r="3709" spans="23:23" ht="26.4">
      <c r="W3709" s="64" ph="1"/>
    </row>
    <row r="3710" spans="23:23" ht="26.4">
      <c r="W3710" s="64" ph="1"/>
    </row>
    <row r="3711" spans="23:23" ht="26.4">
      <c r="W3711" s="64" ph="1"/>
    </row>
    <row r="3712" spans="23:23" ht="26.4">
      <c r="W3712" s="64" ph="1"/>
    </row>
    <row r="3713" spans="23:23" ht="26.4">
      <c r="W3713" s="64" ph="1"/>
    </row>
    <row r="3714" spans="23:23" ht="26.4">
      <c r="W3714" s="64" ph="1"/>
    </row>
    <row r="3715" spans="23:23" ht="26.4">
      <c r="W3715" s="64" ph="1"/>
    </row>
    <row r="3716" spans="23:23" ht="26.4">
      <c r="W3716" s="64" ph="1"/>
    </row>
    <row r="3717" spans="23:23" ht="26.4">
      <c r="W3717" s="64" ph="1"/>
    </row>
    <row r="3718" spans="23:23" ht="26.4">
      <c r="W3718" s="64" ph="1"/>
    </row>
    <row r="3719" spans="23:23" ht="26.4">
      <c r="W3719" s="64" ph="1"/>
    </row>
    <row r="3720" spans="23:23" ht="26.4">
      <c r="W3720" s="64" ph="1"/>
    </row>
    <row r="3721" spans="23:23" ht="26.4">
      <c r="W3721" s="64" ph="1"/>
    </row>
    <row r="3722" spans="23:23" ht="26.4">
      <c r="W3722" s="64" ph="1"/>
    </row>
    <row r="3723" spans="23:23" ht="26.4">
      <c r="W3723" s="64" ph="1"/>
    </row>
    <row r="3724" spans="23:23" ht="26.4">
      <c r="W3724" s="64" ph="1"/>
    </row>
    <row r="3725" spans="23:23" ht="26.4">
      <c r="W3725" s="64" ph="1"/>
    </row>
    <row r="3726" spans="23:23" ht="26.4">
      <c r="W3726" s="64" ph="1"/>
    </row>
    <row r="3727" spans="23:23" ht="26.4">
      <c r="W3727" s="64" ph="1"/>
    </row>
    <row r="3728" spans="23:23" ht="26.4">
      <c r="W3728" s="64" ph="1"/>
    </row>
    <row r="3729" spans="23:23" ht="26.4">
      <c r="W3729" s="64" ph="1"/>
    </row>
    <row r="3730" spans="23:23" ht="26.4">
      <c r="W3730" s="64" ph="1"/>
    </row>
    <row r="3731" spans="23:23" ht="26.4">
      <c r="W3731" s="64" ph="1"/>
    </row>
    <row r="3732" spans="23:23" ht="26.4">
      <c r="W3732" s="64" ph="1"/>
    </row>
    <row r="3733" spans="23:23" ht="26.4">
      <c r="W3733" s="64" ph="1"/>
    </row>
    <row r="3734" spans="23:23" ht="26.4">
      <c r="W3734" s="64" ph="1"/>
    </row>
    <row r="3735" spans="23:23" ht="26.4">
      <c r="W3735" s="64" ph="1"/>
    </row>
    <row r="3736" spans="23:23" ht="26.4">
      <c r="W3736" s="64" ph="1"/>
    </row>
    <row r="3737" spans="23:23" ht="26.4">
      <c r="W3737" s="64" ph="1"/>
    </row>
    <row r="3738" spans="23:23" ht="26.4">
      <c r="W3738" s="64" ph="1"/>
    </row>
    <row r="3739" spans="23:23" ht="26.4">
      <c r="W3739" s="64" ph="1"/>
    </row>
    <row r="3740" spans="23:23" ht="26.4">
      <c r="W3740" s="64" ph="1"/>
    </row>
    <row r="3741" spans="23:23" ht="26.4">
      <c r="W3741" s="64" ph="1"/>
    </row>
    <row r="3742" spans="23:23" ht="26.4">
      <c r="W3742" s="64" ph="1"/>
    </row>
    <row r="3743" spans="23:23" ht="26.4">
      <c r="W3743" s="64" ph="1"/>
    </row>
    <row r="3744" spans="23:23" ht="26.4">
      <c r="W3744" s="64" ph="1"/>
    </row>
    <row r="3745" spans="23:23" ht="26.4">
      <c r="W3745" s="64" ph="1"/>
    </row>
    <row r="3746" spans="23:23" ht="26.4">
      <c r="W3746" s="64" ph="1"/>
    </row>
    <row r="3747" spans="23:23" ht="26.4">
      <c r="W3747" s="64" ph="1"/>
    </row>
    <row r="3748" spans="23:23" ht="26.4">
      <c r="W3748" s="64" ph="1"/>
    </row>
    <row r="3749" spans="23:23" ht="26.4">
      <c r="W3749" s="64" ph="1"/>
    </row>
    <row r="3750" spans="23:23" ht="26.4">
      <c r="W3750" s="64" ph="1"/>
    </row>
    <row r="3751" spans="23:23" ht="26.4">
      <c r="W3751" s="64" ph="1"/>
    </row>
    <row r="3752" spans="23:23" ht="26.4">
      <c r="W3752" s="64" ph="1"/>
    </row>
    <row r="3753" spans="23:23" ht="26.4">
      <c r="W3753" s="64" ph="1"/>
    </row>
    <row r="3754" spans="23:23" ht="26.4">
      <c r="W3754" s="64" ph="1"/>
    </row>
    <row r="3755" spans="23:23" ht="26.4">
      <c r="W3755" s="64" ph="1"/>
    </row>
    <row r="3756" spans="23:23" ht="26.4">
      <c r="W3756" s="64" ph="1"/>
    </row>
    <row r="3757" spans="23:23" ht="26.4">
      <c r="W3757" s="64" ph="1"/>
    </row>
    <row r="3758" spans="23:23" ht="26.4">
      <c r="W3758" s="64" ph="1"/>
    </row>
    <row r="3759" spans="23:23" ht="26.4">
      <c r="W3759" s="64" ph="1"/>
    </row>
    <row r="3760" spans="23:23" ht="26.4">
      <c r="W3760" s="64" ph="1"/>
    </row>
    <row r="3761" spans="23:23" ht="26.4">
      <c r="W3761" s="64" ph="1"/>
    </row>
    <row r="3762" spans="23:23" ht="26.4">
      <c r="W3762" s="64" ph="1"/>
    </row>
    <row r="3763" spans="23:23" ht="26.4">
      <c r="W3763" s="64" ph="1"/>
    </row>
    <row r="3764" spans="23:23" ht="26.4">
      <c r="W3764" s="64" ph="1"/>
    </row>
    <row r="3765" spans="23:23" ht="26.4">
      <c r="W3765" s="64" ph="1"/>
    </row>
    <row r="3766" spans="23:23" ht="26.4">
      <c r="W3766" s="64" ph="1"/>
    </row>
    <row r="3767" spans="23:23" ht="26.4">
      <c r="W3767" s="64" ph="1"/>
    </row>
    <row r="3768" spans="23:23" ht="26.4">
      <c r="W3768" s="64" ph="1"/>
    </row>
    <row r="3769" spans="23:23" ht="26.4">
      <c r="W3769" s="64" ph="1"/>
    </row>
    <row r="3770" spans="23:23" ht="26.4">
      <c r="W3770" s="64" ph="1"/>
    </row>
    <row r="3771" spans="23:23" ht="26.4">
      <c r="W3771" s="64" ph="1"/>
    </row>
    <row r="3772" spans="23:23" ht="26.4">
      <c r="W3772" s="64" ph="1"/>
    </row>
    <row r="3773" spans="23:23" ht="26.4">
      <c r="W3773" s="64" ph="1"/>
    </row>
    <row r="3774" spans="23:23" ht="26.4">
      <c r="W3774" s="64" ph="1"/>
    </row>
    <row r="3775" spans="23:23" ht="26.4">
      <c r="W3775" s="64" ph="1"/>
    </row>
    <row r="3776" spans="23:23" ht="26.4">
      <c r="W3776" s="64" ph="1"/>
    </row>
    <row r="3777" spans="23:23" ht="26.4">
      <c r="W3777" s="64" ph="1"/>
    </row>
    <row r="3778" spans="23:23" ht="26.4">
      <c r="W3778" s="64" ph="1"/>
    </row>
    <row r="3779" spans="23:23" ht="26.4">
      <c r="W3779" s="64" ph="1"/>
    </row>
    <row r="3780" spans="23:23" ht="26.4">
      <c r="W3780" s="64" ph="1"/>
    </row>
    <row r="3781" spans="23:23" ht="26.4">
      <c r="W3781" s="64" ph="1"/>
    </row>
    <row r="3782" spans="23:23" ht="26.4">
      <c r="W3782" s="64" ph="1"/>
    </row>
    <row r="3783" spans="23:23" ht="26.4">
      <c r="W3783" s="64" ph="1"/>
    </row>
    <row r="3784" spans="23:23" ht="26.4">
      <c r="W3784" s="64" ph="1"/>
    </row>
    <row r="3785" spans="23:23" ht="26.4">
      <c r="W3785" s="64" ph="1"/>
    </row>
    <row r="3786" spans="23:23" ht="26.4">
      <c r="W3786" s="64" ph="1"/>
    </row>
    <row r="3787" spans="23:23" ht="26.4">
      <c r="W3787" s="64" ph="1"/>
    </row>
    <row r="3788" spans="23:23" ht="26.4">
      <c r="W3788" s="64" ph="1"/>
    </row>
    <row r="3789" spans="23:23" ht="26.4">
      <c r="W3789" s="64" ph="1"/>
    </row>
    <row r="3790" spans="23:23" ht="26.4">
      <c r="W3790" s="64" ph="1"/>
    </row>
    <row r="3791" spans="23:23" ht="26.4">
      <c r="W3791" s="64" ph="1"/>
    </row>
    <row r="3792" spans="23:23" ht="26.4">
      <c r="W3792" s="64" ph="1"/>
    </row>
    <row r="3793" spans="23:23" ht="26.4">
      <c r="W3793" s="64" ph="1"/>
    </row>
    <row r="3794" spans="23:23" ht="26.4">
      <c r="W3794" s="64" ph="1"/>
    </row>
    <row r="3795" spans="23:23" ht="26.4">
      <c r="W3795" s="64" ph="1"/>
    </row>
    <row r="3796" spans="23:23" ht="26.4">
      <c r="W3796" s="64" ph="1"/>
    </row>
    <row r="3797" spans="23:23" ht="26.4">
      <c r="W3797" s="64" ph="1"/>
    </row>
    <row r="3798" spans="23:23" ht="26.4">
      <c r="W3798" s="64" ph="1"/>
    </row>
    <row r="3799" spans="23:23" ht="26.4">
      <c r="W3799" s="64" ph="1"/>
    </row>
    <row r="3800" spans="23:23" ht="26.4">
      <c r="W3800" s="64" ph="1"/>
    </row>
    <row r="3801" spans="23:23" ht="26.4">
      <c r="W3801" s="64" ph="1"/>
    </row>
    <row r="3802" spans="23:23" ht="26.4">
      <c r="W3802" s="64" ph="1"/>
    </row>
    <row r="3803" spans="23:23" ht="26.4">
      <c r="W3803" s="64" ph="1"/>
    </row>
    <row r="3804" spans="23:23" ht="26.4">
      <c r="W3804" s="64" ph="1"/>
    </row>
    <row r="3805" spans="23:23" ht="26.4">
      <c r="W3805" s="64" ph="1"/>
    </row>
    <row r="3806" spans="23:23" ht="26.4">
      <c r="W3806" s="64" ph="1"/>
    </row>
    <row r="3807" spans="23:23" ht="26.4">
      <c r="W3807" s="64" ph="1"/>
    </row>
    <row r="3808" spans="23:23" ht="26.4">
      <c r="W3808" s="64" ph="1"/>
    </row>
    <row r="3809" spans="23:23" ht="26.4">
      <c r="W3809" s="64" ph="1"/>
    </row>
    <row r="3810" spans="23:23" ht="26.4">
      <c r="W3810" s="64" ph="1"/>
    </row>
    <row r="3811" spans="23:23" ht="26.4">
      <c r="W3811" s="64" ph="1"/>
    </row>
    <row r="3812" spans="23:23" ht="26.4">
      <c r="W3812" s="64" ph="1"/>
    </row>
    <row r="3813" spans="23:23" ht="26.4">
      <c r="W3813" s="64" ph="1"/>
    </row>
    <row r="3814" spans="23:23" ht="26.4">
      <c r="W3814" s="64" ph="1"/>
    </row>
    <row r="3815" spans="23:23" ht="26.4">
      <c r="W3815" s="64" ph="1"/>
    </row>
    <row r="3816" spans="23:23" ht="26.4">
      <c r="W3816" s="64" ph="1"/>
    </row>
    <row r="3817" spans="23:23" ht="26.4">
      <c r="W3817" s="64" ph="1"/>
    </row>
    <row r="3818" spans="23:23" ht="26.4">
      <c r="W3818" s="64" ph="1"/>
    </row>
    <row r="3819" spans="23:23" ht="26.4">
      <c r="W3819" s="64" ph="1"/>
    </row>
    <row r="3820" spans="23:23" ht="26.4">
      <c r="W3820" s="64" ph="1"/>
    </row>
    <row r="3821" spans="23:23" ht="26.4">
      <c r="W3821" s="64" ph="1"/>
    </row>
    <row r="3822" spans="23:23" ht="26.4">
      <c r="W3822" s="64" ph="1"/>
    </row>
    <row r="3823" spans="23:23" ht="26.4">
      <c r="W3823" s="64" ph="1"/>
    </row>
    <row r="3824" spans="23:23" ht="26.4">
      <c r="W3824" s="64" ph="1"/>
    </row>
    <row r="3825" spans="23:23" ht="26.4">
      <c r="W3825" s="64" ph="1"/>
    </row>
    <row r="3826" spans="23:23" ht="26.4">
      <c r="W3826" s="64" ph="1"/>
    </row>
    <row r="3827" spans="23:23" ht="26.4">
      <c r="W3827" s="64" ph="1"/>
    </row>
    <row r="3828" spans="23:23" ht="26.4">
      <c r="W3828" s="64" ph="1"/>
    </row>
    <row r="3829" spans="23:23" ht="26.4">
      <c r="W3829" s="64" ph="1"/>
    </row>
    <row r="3830" spans="23:23" ht="26.4">
      <c r="W3830" s="64" ph="1"/>
    </row>
    <row r="3831" spans="23:23" ht="26.4">
      <c r="W3831" s="64" ph="1"/>
    </row>
    <row r="3832" spans="23:23" ht="26.4">
      <c r="W3832" s="64" ph="1"/>
    </row>
    <row r="3833" spans="23:23" ht="26.4">
      <c r="W3833" s="64" ph="1"/>
    </row>
    <row r="3834" spans="23:23" ht="26.4">
      <c r="W3834" s="64" ph="1"/>
    </row>
    <row r="3835" spans="23:23" ht="26.4">
      <c r="W3835" s="64" ph="1"/>
    </row>
    <row r="3836" spans="23:23" ht="26.4">
      <c r="W3836" s="64" ph="1"/>
    </row>
    <row r="3837" spans="23:23" ht="26.4">
      <c r="W3837" s="64" ph="1"/>
    </row>
    <row r="3838" spans="23:23" ht="26.4">
      <c r="W3838" s="64" ph="1"/>
    </row>
    <row r="3839" spans="23:23" ht="26.4">
      <c r="W3839" s="64" ph="1"/>
    </row>
    <row r="3840" spans="23:23" ht="26.4">
      <c r="W3840" s="64" ph="1"/>
    </row>
    <row r="3841" spans="23:23" ht="26.4">
      <c r="W3841" s="64" ph="1"/>
    </row>
    <row r="3842" spans="23:23" ht="26.4">
      <c r="W3842" s="64" ph="1"/>
    </row>
    <row r="3843" spans="23:23" ht="26.4">
      <c r="W3843" s="64" ph="1"/>
    </row>
    <row r="3844" spans="23:23" ht="26.4">
      <c r="W3844" s="64" ph="1"/>
    </row>
    <row r="3845" spans="23:23" ht="26.4">
      <c r="W3845" s="64" ph="1"/>
    </row>
    <row r="3846" spans="23:23" ht="26.4">
      <c r="W3846" s="64" ph="1"/>
    </row>
    <row r="3847" spans="23:23" ht="26.4">
      <c r="W3847" s="64" ph="1"/>
    </row>
    <row r="3848" spans="23:23" ht="26.4">
      <c r="W3848" s="64" ph="1"/>
    </row>
    <row r="3849" spans="23:23" ht="26.4">
      <c r="W3849" s="64" ph="1"/>
    </row>
    <row r="3850" spans="23:23" ht="26.4">
      <c r="W3850" s="64" ph="1"/>
    </row>
    <row r="3851" spans="23:23" ht="26.4">
      <c r="W3851" s="64" ph="1"/>
    </row>
    <row r="3852" spans="23:23" ht="26.4">
      <c r="W3852" s="64" ph="1"/>
    </row>
    <row r="3853" spans="23:23" ht="26.4">
      <c r="W3853" s="64" ph="1"/>
    </row>
    <row r="3854" spans="23:23" ht="26.4">
      <c r="W3854" s="64" ph="1"/>
    </row>
    <row r="3855" spans="23:23" ht="26.4">
      <c r="W3855" s="64" ph="1"/>
    </row>
    <row r="3856" spans="23:23" ht="26.4">
      <c r="W3856" s="64" ph="1"/>
    </row>
    <row r="3857" spans="23:23" ht="26.4">
      <c r="W3857" s="64" ph="1"/>
    </row>
    <row r="3858" spans="23:23" ht="26.4">
      <c r="W3858" s="64" ph="1"/>
    </row>
    <row r="3859" spans="23:23" ht="26.4">
      <c r="W3859" s="64" ph="1"/>
    </row>
    <row r="3860" spans="23:23" ht="26.4">
      <c r="W3860" s="64" ph="1"/>
    </row>
    <row r="3861" spans="23:23" ht="26.4">
      <c r="W3861" s="64" ph="1"/>
    </row>
    <row r="3862" spans="23:23" ht="26.4">
      <c r="W3862" s="64" ph="1"/>
    </row>
    <row r="3863" spans="23:23" ht="26.4">
      <c r="W3863" s="64" ph="1"/>
    </row>
    <row r="3864" spans="23:23" ht="26.4">
      <c r="W3864" s="64" ph="1"/>
    </row>
    <row r="3865" spans="23:23" ht="26.4">
      <c r="W3865" s="64" ph="1"/>
    </row>
    <row r="3866" spans="23:23" ht="26.4">
      <c r="W3866" s="64" ph="1"/>
    </row>
    <row r="3867" spans="23:23" ht="26.4">
      <c r="W3867" s="64" ph="1"/>
    </row>
    <row r="3868" spans="23:23" ht="26.4">
      <c r="W3868" s="64" ph="1"/>
    </row>
    <row r="3869" spans="23:23" ht="26.4">
      <c r="W3869" s="64" ph="1"/>
    </row>
    <row r="3870" spans="23:23" ht="26.4">
      <c r="W3870" s="64" ph="1"/>
    </row>
    <row r="3871" spans="23:23" ht="26.4">
      <c r="W3871" s="64" ph="1"/>
    </row>
    <row r="3872" spans="23:23" ht="26.4">
      <c r="W3872" s="64" ph="1"/>
    </row>
    <row r="3873" spans="23:23" ht="26.4">
      <c r="W3873" s="64" ph="1"/>
    </row>
    <row r="3874" spans="23:23" ht="26.4">
      <c r="W3874" s="64" ph="1"/>
    </row>
    <row r="3875" spans="23:23" ht="26.4">
      <c r="W3875" s="64" ph="1"/>
    </row>
    <row r="3876" spans="23:23" ht="26.4">
      <c r="W3876" s="64" ph="1"/>
    </row>
    <row r="3877" spans="23:23" ht="26.4">
      <c r="W3877" s="64" ph="1"/>
    </row>
    <row r="3878" spans="23:23" ht="26.4">
      <c r="W3878" s="64" ph="1"/>
    </row>
    <row r="3879" spans="23:23" ht="26.4">
      <c r="W3879" s="64" ph="1"/>
    </row>
    <row r="3880" spans="23:23" ht="26.4">
      <c r="W3880" s="64" ph="1"/>
    </row>
    <row r="3881" spans="23:23" ht="26.4">
      <c r="W3881" s="64" ph="1"/>
    </row>
    <row r="3882" spans="23:23" ht="26.4">
      <c r="W3882" s="64" ph="1"/>
    </row>
    <row r="3883" spans="23:23" ht="26.4">
      <c r="W3883" s="64" ph="1"/>
    </row>
    <row r="3884" spans="23:23" ht="26.4">
      <c r="W3884" s="64" ph="1"/>
    </row>
    <row r="3885" spans="23:23" ht="26.4">
      <c r="W3885" s="64" ph="1"/>
    </row>
    <row r="3886" spans="23:23" ht="26.4">
      <c r="W3886" s="64" ph="1"/>
    </row>
    <row r="3887" spans="23:23" ht="26.4">
      <c r="W3887" s="64" ph="1"/>
    </row>
    <row r="3888" spans="23:23" ht="26.4">
      <c r="W3888" s="64" ph="1"/>
    </row>
    <row r="3889" spans="23:23" ht="26.4">
      <c r="W3889" s="64" ph="1"/>
    </row>
    <row r="3890" spans="23:23" ht="26.4">
      <c r="W3890" s="64" ph="1"/>
    </row>
    <row r="3891" spans="23:23" ht="26.4">
      <c r="W3891" s="64" ph="1"/>
    </row>
    <row r="3892" spans="23:23" ht="26.4">
      <c r="W3892" s="64" ph="1"/>
    </row>
    <row r="3893" spans="23:23" ht="26.4">
      <c r="W3893" s="64" ph="1"/>
    </row>
    <row r="3894" spans="23:23" ht="26.4">
      <c r="W3894" s="64" ph="1"/>
    </row>
    <row r="3895" spans="23:23" ht="26.4">
      <c r="W3895" s="64" ph="1"/>
    </row>
    <row r="3896" spans="23:23" ht="26.4">
      <c r="W3896" s="64" ph="1"/>
    </row>
    <row r="3897" spans="23:23" ht="26.4">
      <c r="W3897" s="64" ph="1"/>
    </row>
    <row r="3898" spans="23:23" ht="26.4">
      <c r="W3898" s="64" ph="1"/>
    </row>
    <row r="3899" spans="23:23" ht="26.4">
      <c r="W3899" s="64" ph="1"/>
    </row>
    <row r="3900" spans="23:23" ht="26.4">
      <c r="W3900" s="64" ph="1"/>
    </row>
    <row r="3901" spans="23:23" ht="26.4">
      <c r="W3901" s="64" ph="1"/>
    </row>
    <row r="3902" spans="23:23" ht="26.4">
      <c r="W3902" s="64" ph="1"/>
    </row>
    <row r="3903" spans="23:23" ht="26.4">
      <c r="W3903" s="64" ph="1"/>
    </row>
    <row r="3904" spans="23:23" ht="26.4">
      <c r="W3904" s="64" ph="1"/>
    </row>
    <row r="3905" spans="23:23" ht="26.4">
      <c r="W3905" s="64" ph="1"/>
    </row>
    <row r="3906" spans="23:23" ht="26.4">
      <c r="W3906" s="64" ph="1"/>
    </row>
    <row r="3907" spans="23:23" ht="26.4">
      <c r="W3907" s="64" ph="1"/>
    </row>
    <row r="3908" spans="23:23" ht="26.4">
      <c r="W3908" s="64" ph="1"/>
    </row>
    <row r="3909" spans="23:23" ht="26.4">
      <c r="W3909" s="64" ph="1"/>
    </row>
    <row r="3910" spans="23:23" ht="26.4">
      <c r="W3910" s="64" ph="1"/>
    </row>
    <row r="3911" spans="23:23" ht="26.4">
      <c r="W3911" s="64" ph="1"/>
    </row>
    <row r="3912" spans="23:23" ht="26.4">
      <c r="W3912" s="64" ph="1"/>
    </row>
    <row r="3913" spans="23:23" ht="26.4">
      <c r="W3913" s="64" ph="1"/>
    </row>
    <row r="3914" spans="23:23" ht="26.4">
      <c r="W3914" s="64" ph="1"/>
    </row>
    <row r="3915" spans="23:23" ht="26.4">
      <c r="W3915" s="64" ph="1"/>
    </row>
    <row r="3916" spans="23:23" ht="26.4">
      <c r="W3916" s="64" ph="1"/>
    </row>
    <row r="3917" spans="23:23" ht="26.4">
      <c r="W3917" s="64" ph="1"/>
    </row>
    <row r="3918" spans="23:23" ht="26.4">
      <c r="W3918" s="64" ph="1"/>
    </row>
    <row r="3919" spans="23:23" ht="26.4">
      <c r="W3919" s="64" ph="1"/>
    </row>
    <row r="3920" spans="23:23" ht="26.4">
      <c r="W3920" s="64" ph="1"/>
    </row>
    <row r="3921" spans="23:23" ht="26.4">
      <c r="W3921" s="64" ph="1"/>
    </row>
    <row r="3922" spans="23:23" ht="26.4">
      <c r="W3922" s="64" ph="1"/>
    </row>
    <row r="3923" spans="23:23" ht="26.4">
      <c r="W3923" s="64" ph="1"/>
    </row>
    <row r="3924" spans="23:23" ht="26.4">
      <c r="W3924" s="64" ph="1"/>
    </row>
    <row r="3925" spans="23:23" ht="26.4">
      <c r="W3925" s="64" ph="1"/>
    </row>
    <row r="3926" spans="23:23" ht="26.4">
      <c r="W3926" s="64" ph="1"/>
    </row>
    <row r="3927" spans="23:23" ht="26.4">
      <c r="W3927" s="64" ph="1"/>
    </row>
    <row r="3928" spans="23:23" ht="26.4">
      <c r="W3928" s="64" ph="1"/>
    </row>
    <row r="3929" spans="23:23" ht="26.4">
      <c r="W3929" s="64" ph="1"/>
    </row>
    <row r="3930" spans="23:23" ht="26.4">
      <c r="W3930" s="64" ph="1"/>
    </row>
    <row r="3931" spans="23:23" ht="26.4">
      <c r="W3931" s="64" ph="1"/>
    </row>
    <row r="3932" spans="23:23" ht="26.4">
      <c r="W3932" s="64" ph="1"/>
    </row>
    <row r="3933" spans="23:23" ht="26.4">
      <c r="W3933" s="64" ph="1"/>
    </row>
    <row r="3934" spans="23:23" ht="26.4">
      <c r="W3934" s="64" ph="1"/>
    </row>
    <row r="3935" spans="23:23" ht="26.4">
      <c r="W3935" s="64" ph="1"/>
    </row>
    <row r="3936" spans="23:23" ht="26.4">
      <c r="W3936" s="64" ph="1"/>
    </row>
    <row r="3937" spans="23:23" ht="26.4">
      <c r="W3937" s="64" ph="1"/>
    </row>
    <row r="3938" spans="23:23" ht="26.4">
      <c r="W3938" s="64" ph="1"/>
    </row>
    <row r="3939" spans="23:23" ht="26.4">
      <c r="W3939" s="64" ph="1"/>
    </row>
    <row r="3940" spans="23:23" ht="26.4">
      <c r="W3940" s="64" ph="1"/>
    </row>
    <row r="3941" spans="23:23" ht="26.4">
      <c r="W3941" s="64" ph="1"/>
    </row>
    <row r="3942" spans="23:23" ht="26.4">
      <c r="W3942" s="64" ph="1"/>
    </row>
    <row r="3943" spans="23:23" ht="26.4">
      <c r="W3943" s="64" ph="1"/>
    </row>
    <row r="3944" spans="23:23" ht="26.4">
      <c r="W3944" s="64" ph="1"/>
    </row>
    <row r="3945" spans="23:23" ht="26.4">
      <c r="W3945" s="64" ph="1"/>
    </row>
    <row r="3946" spans="23:23" ht="26.4">
      <c r="W3946" s="64" ph="1"/>
    </row>
    <row r="3947" spans="23:23" ht="26.4">
      <c r="W3947" s="64" ph="1"/>
    </row>
    <row r="3948" spans="23:23" ht="26.4">
      <c r="W3948" s="64" ph="1"/>
    </row>
    <row r="3949" spans="23:23" ht="26.4">
      <c r="W3949" s="64" ph="1"/>
    </row>
    <row r="3950" spans="23:23" ht="26.4">
      <c r="W3950" s="64" ph="1"/>
    </row>
    <row r="3951" spans="23:23" ht="26.4">
      <c r="W3951" s="64" ph="1"/>
    </row>
    <row r="3952" spans="23:23" ht="26.4">
      <c r="W3952" s="64" ph="1"/>
    </row>
    <row r="3953" spans="23:23" ht="26.4">
      <c r="W3953" s="64" ph="1"/>
    </row>
    <row r="3954" spans="23:23" ht="26.4">
      <c r="W3954" s="64" ph="1"/>
    </row>
    <row r="3955" spans="23:23" ht="26.4">
      <c r="W3955" s="64" ph="1"/>
    </row>
    <row r="3956" spans="23:23" ht="26.4">
      <c r="W3956" s="64" ph="1"/>
    </row>
    <row r="3957" spans="23:23" ht="26.4">
      <c r="W3957" s="64" ph="1"/>
    </row>
    <row r="3958" spans="23:23" ht="26.4">
      <c r="W3958" s="64" ph="1"/>
    </row>
    <row r="3959" spans="23:23" ht="26.4">
      <c r="W3959" s="64" ph="1"/>
    </row>
    <row r="3960" spans="23:23" ht="26.4">
      <c r="W3960" s="64" ph="1"/>
    </row>
    <row r="3961" spans="23:23" ht="26.4">
      <c r="W3961" s="64" ph="1"/>
    </row>
    <row r="3962" spans="23:23" ht="26.4">
      <c r="W3962" s="64" ph="1"/>
    </row>
    <row r="3963" spans="23:23" ht="26.4">
      <c r="W3963" s="64" ph="1"/>
    </row>
    <row r="3964" spans="23:23" ht="26.4">
      <c r="W3964" s="64" ph="1"/>
    </row>
    <row r="3965" spans="23:23" ht="26.4">
      <c r="W3965" s="64" ph="1"/>
    </row>
    <row r="3966" spans="23:23" ht="26.4">
      <c r="W3966" s="64" ph="1"/>
    </row>
    <row r="3967" spans="23:23" ht="26.4">
      <c r="W3967" s="64" ph="1"/>
    </row>
    <row r="3968" spans="23:23" ht="26.4">
      <c r="W3968" s="64" ph="1"/>
    </row>
    <row r="3969" spans="23:23" ht="26.4">
      <c r="W3969" s="64" ph="1"/>
    </row>
    <row r="3970" spans="23:23" ht="26.4">
      <c r="W3970" s="64" ph="1"/>
    </row>
    <row r="3971" spans="23:23" ht="26.4">
      <c r="W3971" s="64" ph="1"/>
    </row>
    <row r="3972" spans="23:23" ht="26.4">
      <c r="W3972" s="64" ph="1"/>
    </row>
    <row r="3973" spans="23:23" ht="26.4">
      <c r="W3973" s="64" ph="1"/>
    </row>
    <row r="3974" spans="23:23" ht="26.4">
      <c r="W3974" s="64" ph="1"/>
    </row>
    <row r="3975" spans="23:23" ht="26.4">
      <c r="W3975" s="64" ph="1"/>
    </row>
    <row r="3976" spans="23:23" ht="26.4">
      <c r="W3976" s="64" ph="1"/>
    </row>
    <row r="3977" spans="23:23" ht="26.4">
      <c r="W3977" s="64" ph="1"/>
    </row>
    <row r="3978" spans="23:23" ht="26.4">
      <c r="W3978" s="64" ph="1"/>
    </row>
    <row r="3979" spans="23:23" ht="26.4">
      <c r="W3979" s="64" ph="1"/>
    </row>
    <row r="3980" spans="23:23" ht="26.4">
      <c r="W3980" s="64" ph="1"/>
    </row>
    <row r="3981" spans="23:23" ht="26.4">
      <c r="W3981" s="64" ph="1"/>
    </row>
    <row r="3982" spans="23:23" ht="26.4">
      <c r="W3982" s="64" ph="1"/>
    </row>
    <row r="3983" spans="23:23" ht="26.4">
      <c r="W3983" s="64" ph="1"/>
    </row>
    <row r="3984" spans="23:23" ht="26.4">
      <c r="W3984" s="64" ph="1"/>
    </row>
    <row r="3985" spans="23:23" ht="26.4">
      <c r="W3985" s="64" ph="1"/>
    </row>
    <row r="3986" spans="23:23" ht="26.4">
      <c r="W3986" s="64" ph="1"/>
    </row>
    <row r="3987" spans="23:23" ht="26.4">
      <c r="W3987" s="64" ph="1"/>
    </row>
    <row r="3988" spans="23:23" ht="26.4">
      <c r="W3988" s="64" ph="1"/>
    </row>
    <row r="3989" spans="23:23" ht="26.4">
      <c r="W3989" s="64" ph="1"/>
    </row>
    <row r="3990" spans="23:23" ht="26.4">
      <c r="W3990" s="64" ph="1"/>
    </row>
    <row r="3991" spans="23:23" ht="26.4">
      <c r="W3991" s="64" ph="1"/>
    </row>
    <row r="3992" spans="23:23" ht="26.4">
      <c r="W3992" s="64" ph="1"/>
    </row>
    <row r="3993" spans="23:23" ht="26.4">
      <c r="W3993" s="64" ph="1"/>
    </row>
    <row r="3994" spans="23:23" ht="26.4">
      <c r="W3994" s="64" ph="1"/>
    </row>
    <row r="3995" spans="23:23" ht="26.4">
      <c r="W3995" s="64" ph="1"/>
    </row>
    <row r="3996" spans="23:23" ht="26.4">
      <c r="W3996" s="64" ph="1"/>
    </row>
    <row r="3997" spans="23:23" ht="26.4">
      <c r="W3997" s="64" ph="1"/>
    </row>
    <row r="3998" spans="23:23" ht="26.4">
      <c r="W3998" s="64" ph="1"/>
    </row>
    <row r="3999" spans="23:23" ht="26.4">
      <c r="W3999" s="64" ph="1"/>
    </row>
    <row r="4000" spans="23:23" ht="26.4">
      <c r="W4000" s="64" ph="1"/>
    </row>
    <row r="4001" spans="23:23" ht="26.4">
      <c r="W4001" s="64" ph="1"/>
    </row>
    <row r="4002" spans="23:23" ht="26.4">
      <c r="W4002" s="64" ph="1"/>
    </row>
    <row r="4003" spans="23:23" ht="26.4">
      <c r="W4003" s="64" ph="1"/>
    </row>
    <row r="4004" spans="23:23" ht="26.4">
      <c r="W4004" s="64" ph="1"/>
    </row>
    <row r="4005" spans="23:23" ht="26.4">
      <c r="W4005" s="64" ph="1"/>
    </row>
    <row r="4006" spans="23:23" ht="26.4">
      <c r="W4006" s="64" ph="1"/>
    </row>
    <row r="4007" spans="23:23" ht="26.4">
      <c r="W4007" s="64" ph="1"/>
    </row>
    <row r="4008" spans="23:23" ht="26.4">
      <c r="W4008" s="64" ph="1"/>
    </row>
    <row r="4009" spans="23:23" ht="26.4">
      <c r="W4009" s="64" ph="1"/>
    </row>
    <row r="4010" spans="23:23" ht="26.4">
      <c r="W4010" s="64" ph="1"/>
    </row>
    <row r="4011" spans="23:23" ht="26.4">
      <c r="W4011" s="64" ph="1"/>
    </row>
    <row r="4012" spans="23:23" ht="26.4">
      <c r="W4012" s="64" ph="1"/>
    </row>
    <row r="4013" spans="23:23" ht="26.4">
      <c r="W4013" s="64" ph="1"/>
    </row>
    <row r="4014" spans="23:23" ht="26.4">
      <c r="W4014" s="64" ph="1"/>
    </row>
    <row r="4015" spans="23:23" ht="26.4">
      <c r="W4015" s="64" ph="1"/>
    </row>
    <row r="4016" spans="23:23" ht="26.4">
      <c r="W4016" s="64" ph="1"/>
    </row>
    <row r="4017" spans="23:23" ht="26.4">
      <c r="W4017" s="64" ph="1"/>
    </row>
    <row r="4018" spans="23:23" ht="26.4">
      <c r="W4018" s="64" ph="1"/>
    </row>
    <row r="4019" spans="23:23" ht="26.4">
      <c r="W4019" s="64" ph="1"/>
    </row>
    <row r="4020" spans="23:23" ht="26.4">
      <c r="W4020" s="64" ph="1"/>
    </row>
    <row r="4021" spans="23:23" ht="26.4">
      <c r="W4021" s="64" ph="1"/>
    </row>
    <row r="4022" spans="23:23" ht="26.4">
      <c r="W4022" s="64" ph="1"/>
    </row>
    <row r="4023" spans="23:23" ht="26.4">
      <c r="W4023" s="64" ph="1"/>
    </row>
    <row r="4024" spans="23:23" ht="26.4">
      <c r="W4024" s="64" ph="1"/>
    </row>
    <row r="4025" spans="23:23" ht="26.4">
      <c r="W4025" s="64" ph="1"/>
    </row>
    <row r="4026" spans="23:23" ht="26.4">
      <c r="W4026" s="64" ph="1"/>
    </row>
    <row r="4027" spans="23:23" ht="26.4">
      <c r="W4027" s="64" ph="1"/>
    </row>
    <row r="4028" spans="23:23" ht="26.4">
      <c r="W4028" s="64" ph="1"/>
    </row>
    <row r="4029" spans="23:23" ht="26.4">
      <c r="W4029" s="64" ph="1"/>
    </row>
    <row r="4030" spans="23:23" ht="26.4">
      <c r="W4030" s="64" ph="1"/>
    </row>
    <row r="4031" spans="23:23" ht="26.4">
      <c r="W4031" s="64" ph="1"/>
    </row>
    <row r="4032" spans="23:23" ht="26.4">
      <c r="W4032" s="64" ph="1"/>
    </row>
    <row r="4033" spans="23:23" ht="26.4">
      <c r="W4033" s="64" ph="1"/>
    </row>
    <row r="4034" spans="23:23" ht="26.4">
      <c r="W4034" s="64" ph="1"/>
    </row>
    <row r="4035" spans="23:23" ht="26.4">
      <c r="W4035" s="64" ph="1"/>
    </row>
    <row r="4036" spans="23:23" ht="26.4">
      <c r="W4036" s="64" ph="1"/>
    </row>
    <row r="4037" spans="23:23" ht="26.4">
      <c r="W4037" s="64" ph="1"/>
    </row>
    <row r="4038" spans="23:23" ht="26.4">
      <c r="W4038" s="64" ph="1"/>
    </row>
    <row r="4039" spans="23:23" ht="26.4">
      <c r="W4039" s="64" ph="1"/>
    </row>
    <row r="4040" spans="23:23" ht="26.4">
      <c r="W4040" s="64" ph="1"/>
    </row>
    <row r="4041" spans="23:23" ht="26.4">
      <c r="W4041" s="64" ph="1"/>
    </row>
    <row r="4042" spans="23:23" ht="26.4">
      <c r="W4042" s="64" ph="1"/>
    </row>
    <row r="4043" spans="23:23" ht="26.4">
      <c r="W4043" s="64" ph="1"/>
    </row>
    <row r="4044" spans="23:23" ht="26.4">
      <c r="W4044" s="64" ph="1"/>
    </row>
    <row r="4045" spans="23:23" ht="26.4">
      <c r="W4045" s="64" ph="1"/>
    </row>
    <row r="4046" spans="23:23" ht="26.4">
      <c r="W4046" s="64" ph="1"/>
    </row>
    <row r="4047" spans="23:23" ht="26.4">
      <c r="W4047" s="64" ph="1"/>
    </row>
    <row r="4048" spans="23:23" ht="26.4">
      <c r="W4048" s="64" ph="1"/>
    </row>
    <row r="4049" spans="23:23" ht="26.4">
      <c r="W4049" s="64" ph="1"/>
    </row>
    <row r="4050" spans="23:23" ht="26.4">
      <c r="W4050" s="64" ph="1"/>
    </row>
    <row r="4051" spans="23:23" ht="26.4">
      <c r="W4051" s="64" ph="1"/>
    </row>
    <row r="4052" spans="23:23" ht="26.4">
      <c r="W4052" s="64" ph="1"/>
    </row>
    <row r="4053" spans="23:23" ht="26.4">
      <c r="W4053" s="64" ph="1"/>
    </row>
    <row r="4054" spans="23:23" ht="26.4">
      <c r="W4054" s="64" ph="1"/>
    </row>
    <row r="4055" spans="23:23" ht="26.4">
      <c r="W4055" s="64" ph="1"/>
    </row>
    <row r="4056" spans="23:23" ht="26.4">
      <c r="W4056" s="64" ph="1"/>
    </row>
    <row r="4057" spans="23:23" ht="26.4">
      <c r="W4057" s="64" ph="1"/>
    </row>
    <row r="4058" spans="23:23" ht="26.4">
      <c r="W4058" s="64" ph="1"/>
    </row>
    <row r="4059" spans="23:23" ht="26.4">
      <c r="W4059" s="64" ph="1"/>
    </row>
    <row r="4060" spans="23:23" ht="26.4">
      <c r="W4060" s="64" ph="1"/>
    </row>
    <row r="4061" spans="23:23" ht="26.4">
      <c r="W4061" s="64" ph="1"/>
    </row>
    <row r="4062" spans="23:23" ht="26.4">
      <c r="W4062" s="64" ph="1"/>
    </row>
    <row r="4063" spans="23:23" ht="26.4">
      <c r="W4063" s="64" ph="1"/>
    </row>
    <row r="4064" spans="23:23" ht="26.4">
      <c r="W4064" s="64" ph="1"/>
    </row>
    <row r="4065" spans="23:23" ht="26.4">
      <c r="W4065" s="64" ph="1"/>
    </row>
    <row r="4066" spans="23:23" ht="26.4">
      <c r="W4066" s="64" ph="1"/>
    </row>
    <row r="4067" spans="23:23" ht="26.4">
      <c r="W4067" s="64" ph="1"/>
    </row>
    <row r="4068" spans="23:23" ht="26.4">
      <c r="W4068" s="64" ph="1"/>
    </row>
    <row r="4069" spans="23:23" ht="26.4">
      <c r="W4069" s="64" ph="1"/>
    </row>
    <row r="4070" spans="23:23" ht="26.4">
      <c r="W4070" s="64" ph="1"/>
    </row>
    <row r="4071" spans="23:23" ht="26.4">
      <c r="W4071" s="64" ph="1"/>
    </row>
    <row r="4072" spans="23:23" ht="26.4">
      <c r="W4072" s="64" ph="1"/>
    </row>
    <row r="4073" spans="23:23" ht="26.4">
      <c r="W4073" s="64" ph="1"/>
    </row>
    <row r="4074" spans="23:23" ht="26.4">
      <c r="W4074" s="64" ph="1"/>
    </row>
    <row r="4075" spans="23:23" ht="26.4">
      <c r="W4075" s="64" ph="1"/>
    </row>
    <row r="4076" spans="23:23" ht="26.4">
      <c r="W4076" s="64" ph="1"/>
    </row>
    <row r="4077" spans="23:23" ht="26.4">
      <c r="W4077" s="64" ph="1"/>
    </row>
    <row r="4078" spans="23:23" ht="26.4">
      <c r="W4078" s="64" ph="1"/>
    </row>
    <row r="4079" spans="23:23" ht="26.4">
      <c r="W4079" s="64" ph="1"/>
    </row>
    <row r="4080" spans="23:23" ht="26.4">
      <c r="W4080" s="64" ph="1"/>
    </row>
    <row r="4081" spans="23:23" ht="26.4">
      <c r="W4081" s="64" ph="1"/>
    </row>
    <row r="4082" spans="23:23" ht="26.4">
      <c r="W4082" s="64" ph="1"/>
    </row>
    <row r="4083" spans="23:23" ht="26.4">
      <c r="W4083" s="64" ph="1"/>
    </row>
    <row r="4084" spans="23:23" ht="26.4">
      <c r="W4084" s="64" ph="1"/>
    </row>
    <row r="4085" spans="23:23" ht="26.4">
      <c r="W4085" s="64" ph="1"/>
    </row>
    <row r="4086" spans="23:23" ht="26.4">
      <c r="W4086" s="64" ph="1"/>
    </row>
    <row r="4087" spans="23:23" ht="26.4">
      <c r="W4087" s="64" ph="1"/>
    </row>
    <row r="4088" spans="23:23" ht="26.4">
      <c r="W4088" s="64" ph="1"/>
    </row>
    <row r="4089" spans="23:23" ht="26.4">
      <c r="W4089" s="64" ph="1"/>
    </row>
    <row r="4090" spans="23:23" ht="26.4">
      <c r="W4090" s="64" ph="1"/>
    </row>
    <row r="4091" spans="23:23" ht="26.4">
      <c r="W4091" s="64" ph="1"/>
    </row>
    <row r="4092" spans="23:23" ht="26.4">
      <c r="W4092" s="64" ph="1"/>
    </row>
    <row r="4093" spans="23:23" ht="26.4">
      <c r="W4093" s="64" ph="1"/>
    </row>
    <row r="4094" spans="23:23" ht="26.4">
      <c r="W4094" s="64" ph="1"/>
    </row>
    <row r="4095" spans="23:23" ht="26.4">
      <c r="W4095" s="64" ph="1"/>
    </row>
    <row r="4096" spans="23:23" ht="26.4">
      <c r="W4096" s="64" ph="1"/>
    </row>
    <row r="4097" spans="23:23" ht="26.4">
      <c r="W4097" s="64" ph="1"/>
    </row>
    <row r="4098" spans="23:23" ht="26.4">
      <c r="W4098" s="64" ph="1"/>
    </row>
    <row r="4099" spans="23:23" ht="26.4">
      <c r="W4099" s="64" ph="1"/>
    </row>
    <row r="4100" spans="23:23" ht="26.4">
      <c r="W4100" s="64" ph="1"/>
    </row>
    <row r="4101" spans="23:23" ht="26.4">
      <c r="W4101" s="64" ph="1"/>
    </row>
    <row r="4102" spans="23:23" ht="26.4">
      <c r="W4102" s="64" ph="1"/>
    </row>
    <row r="4103" spans="23:23" ht="26.4">
      <c r="W4103" s="64" ph="1"/>
    </row>
    <row r="4104" spans="23:23" ht="26.4">
      <c r="W4104" s="64" ph="1"/>
    </row>
    <row r="4105" spans="23:23" ht="26.4">
      <c r="W4105" s="64" ph="1"/>
    </row>
    <row r="4106" spans="23:23" ht="26.4">
      <c r="W4106" s="64" ph="1"/>
    </row>
    <row r="4107" spans="23:23" ht="26.4">
      <c r="W4107" s="64" ph="1"/>
    </row>
    <row r="4108" spans="23:23" ht="26.4">
      <c r="W4108" s="64" ph="1"/>
    </row>
    <row r="4109" spans="23:23" ht="26.4">
      <c r="W4109" s="64" ph="1"/>
    </row>
    <row r="4110" spans="23:23" ht="26.4">
      <c r="W4110" s="64" ph="1"/>
    </row>
    <row r="4111" spans="23:23" ht="26.4">
      <c r="W4111" s="64" ph="1"/>
    </row>
    <row r="4112" spans="23:23" ht="26.4">
      <c r="W4112" s="64" ph="1"/>
    </row>
    <row r="4113" spans="23:23" ht="26.4">
      <c r="W4113" s="64" ph="1"/>
    </row>
    <row r="4114" spans="23:23" ht="26.4">
      <c r="W4114" s="64" ph="1"/>
    </row>
    <row r="4115" spans="23:23" ht="26.4">
      <c r="W4115" s="64" ph="1"/>
    </row>
    <row r="4116" spans="23:23" ht="26.4">
      <c r="W4116" s="64" ph="1"/>
    </row>
    <row r="4117" spans="23:23" ht="26.4">
      <c r="W4117" s="64" ph="1"/>
    </row>
    <row r="4118" spans="23:23" ht="26.4">
      <c r="W4118" s="64" ph="1"/>
    </row>
    <row r="4119" spans="23:23" ht="26.4">
      <c r="W4119" s="64" ph="1"/>
    </row>
    <row r="4120" spans="23:23" ht="26.4">
      <c r="W4120" s="64" ph="1"/>
    </row>
    <row r="4121" spans="23:23" ht="26.4">
      <c r="W4121" s="64" ph="1"/>
    </row>
    <row r="4122" spans="23:23" ht="26.4">
      <c r="W4122" s="64" ph="1"/>
    </row>
    <row r="4123" spans="23:23" ht="26.4">
      <c r="W4123" s="64" ph="1"/>
    </row>
    <row r="4124" spans="23:23" ht="26.4">
      <c r="W4124" s="64" ph="1"/>
    </row>
    <row r="4125" spans="23:23" ht="26.4">
      <c r="W4125" s="64" ph="1"/>
    </row>
    <row r="4126" spans="23:23" ht="26.4">
      <c r="W4126" s="64" ph="1"/>
    </row>
    <row r="4127" spans="23:23" ht="26.4">
      <c r="W4127" s="64" ph="1"/>
    </row>
    <row r="4128" spans="23:23" ht="26.4">
      <c r="W4128" s="64" ph="1"/>
    </row>
    <row r="4129" spans="23:23" ht="26.4">
      <c r="W4129" s="64" ph="1"/>
    </row>
    <row r="4130" spans="23:23" ht="26.4">
      <c r="W4130" s="64" ph="1"/>
    </row>
    <row r="4131" spans="23:23" ht="26.4">
      <c r="W4131" s="64" ph="1"/>
    </row>
    <row r="4132" spans="23:23" ht="26.4">
      <c r="W4132" s="64" ph="1"/>
    </row>
    <row r="4133" spans="23:23" ht="26.4">
      <c r="W4133" s="64" ph="1"/>
    </row>
    <row r="4134" spans="23:23" ht="26.4">
      <c r="W4134" s="64" ph="1"/>
    </row>
    <row r="4135" spans="23:23" ht="26.4">
      <c r="W4135" s="64" ph="1"/>
    </row>
    <row r="4136" spans="23:23" ht="26.4">
      <c r="W4136" s="64" ph="1"/>
    </row>
    <row r="4137" spans="23:23" ht="26.4">
      <c r="W4137" s="64" ph="1"/>
    </row>
    <row r="4138" spans="23:23" ht="26.4">
      <c r="W4138" s="64" ph="1"/>
    </row>
    <row r="4139" spans="23:23" ht="26.4">
      <c r="W4139" s="64" ph="1"/>
    </row>
    <row r="4140" spans="23:23" ht="26.4">
      <c r="W4140" s="64" ph="1"/>
    </row>
    <row r="4141" spans="23:23" ht="26.4">
      <c r="W4141" s="64" ph="1"/>
    </row>
    <row r="4142" spans="23:23" ht="26.4">
      <c r="W4142" s="64" ph="1"/>
    </row>
    <row r="4143" spans="23:23" ht="26.4">
      <c r="W4143" s="64" ph="1"/>
    </row>
    <row r="4144" spans="23:23" ht="26.4">
      <c r="W4144" s="64" ph="1"/>
    </row>
    <row r="4145" spans="23:23" ht="26.4">
      <c r="W4145" s="64" ph="1"/>
    </row>
    <row r="4146" spans="23:23" ht="26.4">
      <c r="W4146" s="64" ph="1"/>
    </row>
    <row r="4147" spans="23:23" ht="26.4">
      <c r="W4147" s="64" ph="1"/>
    </row>
    <row r="4148" spans="23:23" ht="26.4">
      <c r="W4148" s="64" ph="1"/>
    </row>
    <row r="4149" spans="23:23" ht="26.4">
      <c r="W4149" s="64" ph="1"/>
    </row>
    <row r="4150" spans="23:23" ht="26.4">
      <c r="W4150" s="64" ph="1"/>
    </row>
    <row r="4151" spans="23:23" ht="26.4">
      <c r="W4151" s="64" ph="1"/>
    </row>
    <row r="4152" spans="23:23" ht="26.4">
      <c r="W4152" s="64" ph="1"/>
    </row>
    <row r="4153" spans="23:23" ht="26.4">
      <c r="W4153" s="64" ph="1"/>
    </row>
    <row r="4154" spans="23:23" ht="26.4">
      <c r="W4154" s="64" ph="1"/>
    </row>
    <row r="4155" spans="23:23" ht="26.4">
      <c r="W4155" s="64" ph="1"/>
    </row>
    <row r="4156" spans="23:23" ht="26.4">
      <c r="W4156" s="64" ph="1"/>
    </row>
    <row r="4157" spans="23:23" ht="26.4">
      <c r="W4157" s="64" ph="1"/>
    </row>
    <row r="4158" spans="23:23" ht="26.4">
      <c r="W4158" s="64" ph="1"/>
    </row>
    <row r="4159" spans="23:23" ht="26.4">
      <c r="W4159" s="64" ph="1"/>
    </row>
    <row r="4160" spans="23:23" ht="26.4">
      <c r="W4160" s="64" ph="1"/>
    </row>
    <row r="4161" spans="23:23" ht="26.4">
      <c r="W4161" s="64" ph="1"/>
    </row>
    <row r="4162" spans="23:23" ht="26.4">
      <c r="W4162" s="64" ph="1"/>
    </row>
    <row r="4163" spans="23:23" ht="26.4">
      <c r="W4163" s="64" ph="1"/>
    </row>
    <row r="4164" spans="23:23" ht="26.4">
      <c r="W4164" s="64" ph="1"/>
    </row>
    <row r="4165" spans="23:23" ht="26.4">
      <c r="W4165" s="64" ph="1"/>
    </row>
    <row r="4166" spans="23:23" ht="26.4">
      <c r="W4166" s="64" ph="1"/>
    </row>
    <row r="4167" spans="23:23" ht="26.4">
      <c r="W4167" s="64" ph="1"/>
    </row>
    <row r="4168" spans="23:23" ht="26.4">
      <c r="W4168" s="64" ph="1"/>
    </row>
    <row r="4169" spans="23:23" ht="26.4">
      <c r="W4169" s="64" ph="1"/>
    </row>
    <row r="4170" spans="23:23" ht="26.4">
      <c r="W4170" s="64" ph="1"/>
    </row>
    <row r="4171" spans="23:23" ht="26.4">
      <c r="W4171" s="64" ph="1"/>
    </row>
    <row r="4172" spans="23:23" ht="26.4">
      <c r="W4172" s="64" ph="1"/>
    </row>
    <row r="4173" spans="23:23" ht="26.4">
      <c r="W4173" s="64" ph="1"/>
    </row>
    <row r="4174" spans="23:23" ht="26.4">
      <c r="W4174" s="64" ph="1"/>
    </row>
    <row r="4175" spans="23:23" ht="26.4">
      <c r="W4175" s="64" ph="1"/>
    </row>
    <row r="4176" spans="23:23" ht="26.4">
      <c r="W4176" s="64" ph="1"/>
    </row>
    <row r="4177" spans="23:23" ht="26.4">
      <c r="W4177" s="64" ph="1"/>
    </row>
    <row r="4178" spans="23:23" ht="26.4">
      <c r="W4178" s="64" ph="1"/>
    </row>
    <row r="4179" spans="23:23" ht="26.4">
      <c r="W4179" s="64" ph="1"/>
    </row>
    <row r="4180" spans="23:23" ht="26.4">
      <c r="W4180" s="64" ph="1"/>
    </row>
    <row r="4181" spans="23:23" ht="26.4">
      <c r="W4181" s="64" ph="1"/>
    </row>
    <row r="4182" spans="23:23" ht="26.4">
      <c r="W4182" s="64" ph="1"/>
    </row>
    <row r="4183" spans="23:23" ht="26.4">
      <c r="W4183" s="64" ph="1"/>
    </row>
    <row r="4184" spans="23:23" ht="26.4">
      <c r="W4184" s="64" ph="1"/>
    </row>
    <row r="4185" spans="23:23" ht="26.4">
      <c r="W4185" s="64" ph="1"/>
    </row>
    <row r="4186" spans="23:23" ht="26.4">
      <c r="W4186" s="64" ph="1"/>
    </row>
    <row r="4187" spans="23:23" ht="26.4">
      <c r="W4187" s="64" ph="1"/>
    </row>
    <row r="4188" spans="23:23" ht="26.4">
      <c r="W4188" s="64" ph="1"/>
    </row>
    <row r="4189" spans="23:23" ht="26.4">
      <c r="W4189" s="64" ph="1"/>
    </row>
    <row r="4190" spans="23:23" ht="26.4">
      <c r="W4190" s="64" ph="1"/>
    </row>
    <row r="4191" spans="23:23" ht="26.4">
      <c r="W4191" s="64" ph="1"/>
    </row>
    <row r="4192" spans="23:23" ht="26.4">
      <c r="W4192" s="64" ph="1"/>
    </row>
    <row r="4193" spans="23:23" ht="26.4">
      <c r="W4193" s="64" ph="1"/>
    </row>
    <row r="4194" spans="23:23" ht="26.4">
      <c r="W4194" s="64" ph="1"/>
    </row>
    <row r="4195" spans="23:23" ht="26.4">
      <c r="W4195" s="64" ph="1"/>
    </row>
    <row r="4196" spans="23:23" ht="26.4">
      <c r="W4196" s="64" ph="1"/>
    </row>
    <row r="4197" spans="23:23" ht="26.4">
      <c r="W4197" s="64" ph="1"/>
    </row>
    <row r="4198" spans="23:23" ht="26.4">
      <c r="W4198" s="64" ph="1"/>
    </row>
    <row r="4199" spans="23:23" ht="26.4">
      <c r="W4199" s="64" ph="1"/>
    </row>
    <row r="4200" spans="23:23" ht="26.4">
      <c r="W4200" s="64" ph="1"/>
    </row>
    <row r="4201" spans="23:23" ht="26.4">
      <c r="W4201" s="64" ph="1"/>
    </row>
    <row r="4202" spans="23:23" ht="26.4">
      <c r="W4202" s="64" ph="1"/>
    </row>
    <row r="4203" spans="23:23" ht="26.4">
      <c r="W4203" s="64" ph="1"/>
    </row>
    <row r="4204" spans="23:23" ht="26.4">
      <c r="W4204" s="64" ph="1"/>
    </row>
    <row r="4205" spans="23:23" ht="26.4">
      <c r="W4205" s="64" ph="1"/>
    </row>
    <row r="4206" spans="23:23" ht="26.4">
      <c r="W4206" s="64" ph="1"/>
    </row>
    <row r="4207" spans="23:23" ht="26.4">
      <c r="W4207" s="64" ph="1"/>
    </row>
    <row r="4208" spans="23:23" ht="26.4">
      <c r="W4208" s="64" ph="1"/>
    </row>
    <row r="4209" spans="23:23" ht="26.4">
      <c r="W4209" s="64" ph="1"/>
    </row>
    <row r="4210" spans="23:23" ht="26.4">
      <c r="W4210" s="64" ph="1"/>
    </row>
    <row r="4211" spans="23:23" ht="26.4">
      <c r="W4211" s="64" ph="1"/>
    </row>
    <row r="4212" spans="23:23" ht="26.4">
      <c r="W4212" s="64" ph="1"/>
    </row>
    <row r="4213" spans="23:23" ht="26.4">
      <c r="W4213" s="64" ph="1"/>
    </row>
    <row r="4214" spans="23:23" ht="26.4">
      <c r="W4214" s="64" ph="1"/>
    </row>
    <row r="4215" spans="23:23" ht="26.4">
      <c r="W4215" s="64" ph="1"/>
    </row>
    <row r="4216" spans="23:23" ht="26.4">
      <c r="W4216" s="64" ph="1"/>
    </row>
    <row r="4217" spans="23:23" ht="26.4">
      <c r="W4217" s="64" ph="1"/>
    </row>
    <row r="4218" spans="23:23" ht="26.4">
      <c r="W4218" s="64" ph="1"/>
    </row>
    <row r="4219" spans="23:23" ht="26.4">
      <c r="W4219" s="64" ph="1"/>
    </row>
    <row r="4220" spans="23:23" ht="26.4">
      <c r="W4220" s="64" ph="1"/>
    </row>
    <row r="4221" spans="23:23" ht="26.4">
      <c r="W4221" s="64" ph="1"/>
    </row>
    <row r="4222" spans="23:23" ht="26.4">
      <c r="W4222" s="64" ph="1"/>
    </row>
    <row r="4223" spans="23:23" ht="26.4">
      <c r="W4223" s="64" ph="1"/>
    </row>
    <row r="4224" spans="23:23" ht="26.4">
      <c r="W4224" s="64" ph="1"/>
    </row>
    <row r="4225" spans="23:23" ht="26.4">
      <c r="W4225" s="64" ph="1"/>
    </row>
    <row r="4226" spans="23:23" ht="26.4">
      <c r="W4226" s="64" ph="1"/>
    </row>
    <row r="4227" spans="23:23" ht="26.4">
      <c r="W4227" s="64" ph="1"/>
    </row>
    <row r="4228" spans="23:23" ht="26.4">
      <c r="W4228" s="64" ph="1"/>
    </row>
    <row r="4229" spans="23:23" ht="26.4">
      <c r="W4229" s="64" ph="1"/>
    </row>
    <row r="4230" spans="23:23" ht="26.4">
      <c r="W4230" s="64" ph="1"/>
    </row>
    <row r="4231" spans="23:23" ht="26.4">
      <c r="W4231" s="64" ph="1"/>
    </row>
    <row r="4232" spans="23:23" ht="26.4">
      <c r="W4232" s="64" ph="1"/>
    </row>
    <row r="4233" spans="23:23" ht="26.4">
      <c r="W4233" s="64" ph="1"/>
    </row>
    <row r="4234" spans="23:23" ht="26.4">
      <c r="W4234" s="64" ph="1"/>
    </row>
    <row r="4235" spans="23:23" ht="26.4">
      <c r="W4235" s="64" ph="1"/>
    </row>
    <row r="4236" spans="23:23" ht="26.4">
      <c r="W4236" s="64" ph="1"/>
    </row>
    <row r="4237" spans="23:23" ht="26.4">
      <c r="W4237" s="64" ph="1"/>
    </row>
    <row r="4238" spans="23:23" ht="26.4">
      <c r="W4238" s="64" ph="1"/>
    </row>
    <row r="4239" spans="23:23" ht="26.4">
      <c r="W4239" s="64" ph="1"/>
    </row>
    <row r="4240" spans="23:23" ht="26.4">
      <c r="W4240" s="64" ph="1"/>
    </row>
    <row r="4241" spans="23:23" ht="26.4">
      <c r="W4241" s="64" ph="1"/>
    </row>
    <row r="4242" spans="23:23" ht="26.4">
      <c r="W4242" s="64" ph="1"/>
    </row>
    <row r="4243" spans="23:23" ht="26.4">
      <c r="W4243" s="64" ph="1"/>
    </row>
    <row r="4244" spans="23:23" ht="26.4">
      <c r="W4244" s="64" ph="1"/>
    </row>
    <row r="4245" spans="23:23" ht="26.4">
      <c r="W4245" s="64" ph="1"/>
    </row>
    <row r="4246" spans="23:23" ht="26.4">
      <c r="W4246" s="64" ph="1"/>
    </row>
    <row r="4247" spans="23:23" ht="26.4">
      <c r="W4247" s="64" ph="1"/>
    </row>
    <row r="4248" spans="23:23" ht="26.4">
      <c r="W4248" s="64" ph="1"/>
    </row>
    <row r="4249" spans="23:23" ht="26.4">
      <c r="W4249" s="64" ph="1"/>
    </row>
    <row r="4250" spans="23:23" ht="26.4">
      <c r="W4250" s="64" ph="1"/>
    </row>
    <row r="4251" spans="23:23" ht="26.4">
      <c r="W4251" s="64" ph="1"/>
    </row>
    <row r="4252" spans="23:23" ht="26.4">
      <c r="W4252" s="64" ph="1"/>
    </row>
    <row r="4253" spans="23:23" ht="26.4">
      <c r="W4253" s="64" ph="1"/>
    </row>
    <row r="4254" spans="23:23" ht="26.4">
      <c r="W4254" s="64" ph="1"/>
    </row>
    <row r="4255" spans="23:23" ht="26.4">
      <c r="W4255" s="64" ph="1"/>
    </row>
    <row r="4256" spans="23:23" ht="26.4">
      <c r="W4256" s="64" ph="1"/>
    </row>
    <row r="4257" spans="23:23" ht="26.4">
      <c r="W4257" s="64" ph="1"/>
    </row>
    <row r="4258" spans="23:23" ht="26.4">
      <c r="W4258" s="64" ph="1"/>
    </row>
    <row r="4259" spans="23:23" ht="26.4">
      <c r="W4259" s="64" ph="1"/>
    </row>
    <row r="4260" spans="23:23" ht="26.4">
      <c r="W4260" s="64" ph="1"/>
    </row>
    <row r="4261" spans="23:23" ht="26.4">
      <c r="W4261" s="64" ph="1"/>
    </row>
    <row r="4262" spans="23:23" ht="26.4">
      <c r="W4262" s="64" ph="1"/>
    </row>
    <row r="4263" spans="23:23" ht="26.4">
      <c r="W4263" s="64" ph="1"/>
    </row>
    <row r="4264" spans="23:23" ht="26.4">
      <c r="W4264" s="64" ph="1"/>
    </row>
    <row r="4265" spans="23:23" ht="26.4">
      <c r="W4265" s="64" ph="1"/>
    </row>
    <row r="4266" spans="23:23" ht="26.4">
      <c r="W4266" s="64" ph="1"/>
    </row>
    <row r="4267" spans="23:23" ht="26.4">
      <c r="W4267" s="64" ph="1"/>
    </row>
    <row r="4268" spans="23:23" ht="26.4">
      <c r="W4268" s="64" ph="1"/>
    </row>
    <row r="4269" spans="23:23" ht="26.4">
      <c r="W4269" s="64" ph="1"/>
    </row>
    <row r="4270" spans="23:23" ht="26.4">
      <c r="W4270" s="64" ph="1"/>
    </row>
    <row r="4271" spans="23:23" ht="26.4">
      <c r="W4271" s="64" ph="1"/>
    </row>
    <row r="4272" spans="23:23" ht="26.4">
      <c r="W4272" s="64" ph="1"/>
    </row>
    <row r="4273" spans="23:23" ht="26.4">
      <c r="W4273" s="64" ph="1"/>
    </row>
    <row r="4274" spans="23:23" ht="26.4">
      <c r="W4274" s="64" ph="1"/>
    </row>
    <row r="4275" spans="23:23" ht="26.4">
      <c r="W4275" s="64" ph="1"/>
    </row>
    <row r="4276" spans="23:23" ht="26.4">
      <c r="W4276" s="64" ph="1"/>
    </row>
    <row r="4277" spans="23:23" ht="26.4">
      <c r="W4277" s="64" ph="1"/>
    </row>
    <row r="4278" spans="23:23" ht="26.4">
      <c r="W4278" s="64" ph="1"/>
    </row>
    <row r="4279" spans="23:23" ht="26.4">
      <c r="W4279" s="64" ph="1"/>
    </row>
    <row r="4280" spans="23:23" ht="26.4">
      <c r="W4280" s="64" ph="1"/>
    </row>
    <row r="4281" spans="23:23" ht="26.4">
      <c r="W4281" s="64" ph="1"/>
    </row>
    <row r="4282" spans="23:23" ht="26.4">
      <c r="W4282" s="64" ph="1"/>
    </row>
    <row r="4283" spans="23:23" ht="26.4">
      <c r="W4283" s="64" ph="1"/>
    </row>
    <row r="4284" spans="23:23" ht="26.4">
      <c r="W4284" s="64" ph="1"/>
    </row>
    <row r="4285" spans="23:23" ht="26.4">
      <c r="W4285" s="64" ph="1"/>
    </row>
    <row r="4286" spans="23:23" ht="26.4">
      <c r="W4286" s="64" ph="1"/>
    </row>
    <row r="4287" spans="23:23" ht="26.4">
      <c r="W4287" s="64" ph="1"/>
    </row>
    <row r="4288" spans="23:23" ht="26.4">
      <c r="W4288" s="64" ph="1"/>
    </row>
    <row r="4289" spans="23:23" ht="26.4">
      <c r="W4289" s="64" ph="1"/>
    </row>
    <row r="4290" spans="23:23" ht="26.4">
      <c r="W4290" s="64" ph="1"/>
    </row>
    <row r="4291" spans="23:23" ht="26.4">
      <c r="W4291" s="64" ph="1"/>
    </row>
    <row r="4292" spans="23:23" ht="26.4">
      <c r="W4292" s="64" ph="1"/>
    </row>
    <row r="4293" spans="23:23" ht="26.4">
      <c r="W4293" s="64" ph="1"/>
    </row>
    <row r="4294" spans="23:23" ht="26.4">
      <c r="W4294" s="64" ph="1"/>
    </row>
    <row r="4295" spans="23:23" ht="26.4">
      <c r="W4295" s="64" ph="1"/>
    </row>
    <row r="4296" spans="23:23" ht="26.4">
      <c r="W4296" s="64" ph="1"/>
    </row>
    <row r="4297" spans="23:23" ht="26.4">
      <c r="W4297" s="64" ph="1"/>
    </row>
    <row r="4298" spans="23:23" ht="26.4">
      <c r="W4298" s="64" ph="1"/>
    </row>
    <row r="4299" spans="23:23" ht="26.4">
      <c r="W4299" s="64" ph="1"/>
    </row>
    <row r="4300" spans="23:23" ht="26.4">
      <c r="W4300" s="64" ph="1"/>
    </row>
    <row r="4301" spans="23:23" ht="26.4">
      <c r="W4301" s="64" ph="1"/>
    </row>
    <row r="4302" spans="23:23" ht="26.4">
      <c r="W4302" s="64" ph="1"/>
    </row>
    <row r="4303" spans="23:23" ht="26.4">
      <c r="W4303" s="64" ph="1"/>
    </row>
    <row r="4304" spans="23:23" ht="26.4">
      <c r="W4304" s="64" ph="1"/>
    </row>
    <row r="4305" spans="23:23" ht="26.4">
      <c r="W4305" s="64" ph="1"/>
    </row>
    <row r="4306" spans="23:23" ht="26.4">
      <c r="W4306" s="64" ph="1"/>
    </row>
    <row r="4307" spans="23:23" ht="26.4">
      <c r="W4307" s="64" ph="1"/>
    </row>
    <row r="4308" spans="23:23" ht="26.4">
      <c r="W4308" s="64" ph="1"/>
    </row>
    <row r="4309" spans="23:23" ht="26.4">
      <c r="W4309" s="64" ph="1"/>
    </row>
    <row r="4310" spans="23:23" ht="26.4">
      <c r="W4310" s="64" ph="1"/>
    </row>
    <row r="4311" spans="23:23" ht="26.4">
      <c r="W4311" s="64" ph="1"/>
    </row>
    <row r="4312" spans="23:23" ht="26.4">
      <c r="W4312" s="64" ph="1"/>
    </row>
    <row r="4313" spans="23:23" ht="26.4">
      <c r="W4313" s="64" ph="1"/>
    </row>
    <row r="4314" spans="23:23" ht="26.4">
      <c r="W4314" s="64" ph="1"/>
    </row>
    <row r="4315" spans="23:23" ht="26.4">
      <c r="W4315" s="64" ph="1"/>
    </row>
    <row r="4316" spans="23:23" ht="26.4">
      <c r="W4316" s="64" ph="1"/>
    </row>
    <row r="4317" spans="23:23" ht="26.4">
      <c r="W4317" s="64" ph="1"/>
    </row>
    <row r="4318" spans="23:23" ht="26.4">
      <c r="W4318" s="64" ph="1"/>
    </row>
    <row r="4319" spans="23:23" ht="26.4">
      <c r="W4319" s="64" ph="1"/>
    </row>
    <row r="4320" spans="23:23" ht="26.4">
      <c r="W4320" s="64" ph="1"/>
    </row>
    <row r="4321" spans="23:23" ht="26.4">
      <c r="W4321" s="64" ph="1"/>
    </row>
    <row r="4322" spans="23:23" ht="26.4">
      <c r="W4322" s="64" ph="1"/>
    </row>
    <row r="4323" spans="23:23" ht="26.4">
      <c r="W4323" s="64" ph="1"/>
    </row>
    <row r="4324" spans="23:23" ht="26.4">
      <c r="W4324" s="64" ph="1"/>
    </row>
    <row r="4325" spans="23:23" ht="26.4">
      <c r="W4325" s="64" ph="1"/>
    </row>
    <row r="4326" spans="23:23" ht="26.4">
      <c r="W4326" s="64" ph="1"/>
    </row>
    <row r="4327" spans="23:23" ht="26.4">
      <c r="W4327" s="64" ph="1"/>
    </row>
    <row r="4328" spans="23:23" ht="26.4">
      <c r="W4328" s="64" ph="1"/>
    </row>
    <row r="4329" spans="23:23" ht="26.4">
      <c r="W4329" s="64" ph="1"/>
    </row>
    <row r="4330" spans="23:23" ht="26.4">
      <c r="W4330" s="64" ph="1"/>
    </row>
    <row r="4331" spans="23:23" ht="26.4">
      <c r="W4331" s="64" ph="1"/>
    </row>
    <row r="4332" spans="23:23" ht="26.4">
      <c r="W4332" s="64" ph="1"/>
    </row>
    <row r="4333" spans="23:23" ht="26.4">
      <c r="W4333" s="64" ph="1"/>
    </row>
    <row r="4334" spans="23:23" ht="26.4">
      <c r="W4334" s="64" ph="1"/>
    </row>
    <row r="4335" spans="23:23" ht="26.4">
      <c r="W4335" s="64" ph="1"/>
    </row>
    <row r="4336" spans="23:23" ht="26.4">
      <c r="W4336" s="64" ph="1"/>
    </row>
    <row r="4337" spans="23:23" ht="26.4">
      <c r="W4337" s="64" ph="1"/>
    </row>
    <row r="4338" spans="23:23" ht="26.4">
      <c r="W4338" s="64" ph="1"/>
    </row>
    <row r="4339" spans="23:23" ht="26.4">
      <c r="W4339" s="64" ph="1"/>
    </row>
    <row r="4340" spans="23:23" ht="26.4">
      <c r="W4340" s="64" ph="1"/>
    </row>
    <row r="4341" spans="23:23" ht="26.4">
      <c r="W4341" s="64" ph="1"/>
    </row>
    <row r="4342" spans="23:23" ht="26.4">
      <c r="W4342" s="64" ph="1"/>
    </row>
    <row r="4343" spans="23:23" ht="26.4">
      <c r="W4343" s="64" ph="1"/>
    </row>
    <row r="4344" spans="23:23" ht="26.4">
      <c r="W4344" s="64" ph="1"/>
    </row>
    <row r="4345" spans="23:23" ht="26.4">
      <c r="W4345" s="64" ph="1"/>
    </row>
    <row r="4346" spans="23:23" ht="26.4">
      <c r="W4346" s="64" ph="1"/>
    </row>
    <row r="4347" spans="23:23" ht="26.4">
      <c r="W4347" s="64" ph="1"/>
    </row>
    <row r="4348" spans="23:23" ht="26.4">
      <c r="W4348" s="64" ph="1"/>
    </row>
    <row r="4349" spans="23:23" ht="26.4">
      <c r="W4349" s="64" ph="1"/>
    </row>
    <row r="4350" spans="23:23" ht="26.4">
      <c r="W4350" s="64" ph="1"/>
    </row>
    <row r="4351" spans="23:23" ht="26.4">
      <c r="W4351" s="64" ph="1"/>
    </row>
    <row r="4352" spans="23:23" ht="26.4">
      <c r="W4352" s="64" ph="1"/>
    </row>
    <row r="4353" spans="23:23" ht="26.4">
      <c r="W4353" s="64" ph="1"/>
    </row>
    <row r="4354" spans="23:23" ht="26.4">
      <c r="W4354" s="64" ph="1"/>
    </row>
    <row r="4355" spans="23:23" ht="26.4">
      <c r="W4355" s="64" ph="1"/>
    </row>
    <row r="4356" spans="23:23" ht="26.4">
      <c r="W4356" s="64" ph="1"/>
    </row>
    <row r="4357" spans="23:23" ht="26.4">
      <c r="W4357" s="64" ph="1"/>
    </row>
    <row r="4358" spans="23:23" ht="26.4">
      <c r="W4358" s="64" ph="1"/>
    </row>
    <row r="4359" spans="23:23" ht="26.4">
      <c r="W4359" s="64" ph="1"/>
    </row>
    <row r="4360" spans="23:23" ht="26.4">
      <c r="W4360" s="64" ph="1"/>
    </row>
    <row r="4361" spans="23:23" ht="26.4">
      <c r="W4361" s="64" ph="1"/>
    </row>
    <row r="4362" spans="23:23" ht="26.4">
      <c r="W4362" s="64" ph="1"/>
    </row>
    <row r="4363" spans="23:23" ht="26.4">
      <c r="W4363" s="64" ph="1"/>
    </row>
    <row r="4364" spans="23:23" ht="26.4">
      <c r="W4364" s="64" ph="1"/>
    </row>
    <row r="4365" spans="23:23" ht="26.4">
      <c r="W4365" s="64" ph="1"/>
    </row>
    <row r="4366" spans="23:23" ht="26.4">
      <c r="W4366" s="64" ph="1"/>
    </row>
    <row r="4367" spans="23:23" ht="26.4">
      <c r="W4367" s="64" ph="1"/>
    </row>
    <row r="4368" spans="23:23" ht="26.4">
      <c r="W4368" s="64" ph="1"/>
    </row>
    <row r="4369" spans="23:23" ht="26.4">
      <c r="W4369" s="64" ph="1"/>
    </row>
    <row r="4370" spans="23:23" ht="26.4">
      <c r="W4370" s="64" ph="1"/>
    </row>
    <row r="4371" spans="23:23" ht="26.4">
      <c r="W4371" s="64" ph="1"/>
    </row>
    <row r="4372" spans="23:23" ht="26.4">
      <c r="W4372" s="64" ph="1"/>
    </row>
    <row r="4373" spans="23:23" ht="26.4">
      <c r="W4373" s="64" ph="1"/>
    </row>
    <row r="4374" spans="23:23" ht="26.4">
      <c r="W4374" s="64" ph="1"/>
    </row>
    <row r="4375" spans="23:23" ht="26.4">
      <c r="W4375" s="64" ph="1"/>
    </row>
    <row r="4376" spans="23:23" ht="26.4">
      <c r="W4376" s="64" ph="1"/>
    </row>
    <row r="4377" spans="23:23" ht="26.4">
      <c r="W4377" s="64" ph="1"/>
    </row>
    <row r="4378" spans="23:23" ht="26.4">
      <c r="W4378" s="64" ph="1"/>
    </row>
    <row r="4379" spans="23:23" ht="26.4">
      <c r="W4379" s="64" ph="1"/>
    </row>
    <row r="4380" spans="23:23" ht="26.4">
      <c r="W4380" s="64" ph="1"/>
    </row>
    <row r="4381" spans="23:23" ht="26.4">
      <c r="W4381" s="64" ph="1"/>
    </row>
    <row r="4382" spans="23:23" ht="26.4">
      <c r="W4382" s="64" ph="1"/>
    </row>
    <row r="4383" spans="23:23" ht="26.4">
      <c r="W4383" s="64" ph="1"/>
    </row>
    <row r="4384" spans="23:23" ht="26.4">
      <c r="W4384" s="64" ph="1"/>
    </row>
    <row r="4385" spans="23:23" ht="26.4">
      <c r="W4385" s="64" ph="1"/>
    </row>
    <row r="4386" spans="23:23" ht="26.4">
      <c r="W4386" s="64" ph="1"/>
    </row>
    <row r="4387" spans="23:23" ht="26.4">
      <c r="W4387" s="64" ph="1"/>
    </row>
    <row r="4388" spans="23:23" ht="26.4">
      <c r="W4388" s="64" ph="1"/>
    </row>
    <row r="4389" spans="23:23" ht="26.4">
      <c r="W4389" s="64" ph="1"/>
    </row>
    <row r="4390" spans="23:23" ht="26.4">
      <c r="W4390" s="64" ph="1"/>
    </row>
    <row r="4391" spans="23:23" ht="26.4">
      <c r="W4391" s="64" ph="1"/>
    </row>
    <row r="4392" spans="23:23" ht="26.4">
      <c r="W4392" s="64" ph="1"/>
    </row>
    <row r="4393" spans="23:23" ht="26.4">
      <c r="W4393" s="64" ph="1"/>
    </row>
    <row r="4394" spans="23:23" ht="26.4">
      <c r="W4394" s="64" ph="1"/>
    </row>
    <row r="4395" spans="23:23" ht="26.4">
      <c r="W4395" s="64" ph="1"/>
    </row>
    <row r="4396" spans="23:23" ht="26.4">
      <c r="W4396" s="64" ph="1"/>
    </row>
    <row r="4397" spans="23:23" ht="26.4">
      <c r="W4397" s="64" ph="1"/>
    </row>
    <row r="4398" spans="23:23" ht="26.4">
      <c r="W4398" s="64" ph="1"/>
    </row>
    <row r="4399" spans="23:23" ht="26.4">
      <c r="W4399" s="64" ph="1"/>
    </row>
    <row r="4400" spans="23:23" ht="26.4">
      <c r="W4400" s="64" ph="1"/>
    </row>
    <row r="4401" spans="23:23" ht="26.4">
      <c r="W4401" s="64" ph="1"/>
    </row>
    <row r="4402" spans="23:23" ht="26.4">
      <c r="W4402" s="64" ph="1"/>
    </row>
    <row r="4403" spans="23:23" ht="26.4">
      <c r="W4403" s="64" ph="1"/>
    </row>
    <row r="4404" spans="23:23" ht="26.4">
      <c r="W4404" s="64" ph="1"/>
    </row>
    <row r="4405" spans="23:23" ht="26.4">
      <c r="W4405" s="64" ph="1"/>
    </row>
    <row r="4406" spans="23:23" ht="26.4">
      <c r="W4406" s="64" ph="1"/>
    </row>
    <row r="4407" spans="23:23" ht="26.4">
      <c r="W4407" s="64" ph="1"/>
    </row>
    <row r="4408" spans="23:23" ht="26.4">
      <c r="W4408" s="64" ph="1"/>
    </row>
    <row r="4409" spans="23:23" ht="26.4">
      <c r="W4409" s="64" ph="1"/>
    </row>
    <row r="4410" spans="23:23" ht="26.4">
      <c r="W4410" s="64" ph="1"/>
    </row>
    <row r="4411" spans="23:23" ht="26.4">
      <c r="W4411" s="64" ph="1"/>
    </row>
    <row r="4412" spans="23:23" ht="26.4">
      <c r="W4412" s="64" ph="1"/>
    </row>
    <row r="4413" spans="23:23" ht="26.4">
      <c r="W4413" s="64" ph="1"/>
    </row>
    <row r="4414" spans="23:23" ht="26.4">
      <c r="W4414" s="64" ph="1"/>
    </row>
    <row r="4415" spans="23:23" ht="26.4">
      <c r="W4415" s="64" ph="1"/>
    </row>
    <row r="4416" spans="23:23" ht="26.4">
      <c r="W4416" s="64" ph="1"/>
    </row>
    <row r="4417" spans="23:23" ht="26.4">
      <c r="W4417" s="64" ph="1"/>
    </row>
    <row r="4418" spans="23:23" ht="26.4">
      <c r="W4418" s="64" ph="1"/>
    </row>
    <row r="4419" spans="23:23" ht="26.4">
      <c r="W4419" s="64" ph="1"/>
    </row>
    <row r="4420" spans="23:23" ht="26.4">
      <c r="W4420" s="64" ph="1"/>
    </row>
    <row r="4421" spans="23:23" ht="26.4">
      <c r="W4421" s="64" ph="1"/>
    </row>
    <row r="4422" spans="23:23" ht="26.4">
      <c r="W4422" s="64" ph="1"/>
    </row>
    <row r="4423" spans="23:23" ht="26.4">
      <c r="W4423" s="64" ph="1"/>
    </row>
    <row r="4424" spans="23:23" ht="26.4">
      <c r="W4424" s="64" ph="1"/>
    </row>
    <row r="4425" spans="23:23" ht="26.4">
      <c r="W4425" s="64" ph="1"/>
    </row>
    <row r="4426" spans="23:23" ht="26.4">
      <c r="W4426" s="64" ph="1"/>
    </row>
    <row r="4427" spans="23:23" ht="26.4">
      <c r="W4427" s="64" ph="1"/>
    </row>
    <row r="4428" spans="23:23" ht="26.4">
      <c r="W4428" s="64" ph="1"/>
    </row>
    <row r="4429" spans="23:23" ht="26.4">
      <c r="W4429" s="64" ph="1"/>
    </row>
    <row r="4430" spans="23:23" ht="26.4">
      <c r="W4430" s="64" ph="1"/>
    </row>
    <row r="4431" spans="23:23" ht="26.4">
      <c r="W4431" s="64" ph="1"/>
    </row>
    <row r="4432" spans="23:23" ht="26.4">
      <c r="W4432" s="64" ph="1"/>
    </row>
    <row r="4433" spans="23:23" ht="26.4">
      <c r="W4433" s="64" ph="1"/>
    </row>
    <row r="4434" spans="23:23" ht="26.4">
      <c r="W4434" s="64" ph="1"/>
    </row>
    <row r="4435" spans="23:23" ht="26.4">
      <c r="W4435" s="64" ph="1"/>
    </row>
    <row r="4436" spans="23:23" ht="26.4">
      <c r="W4436" s="64" ph="1"/>
    </row>
    <row r="4437" spans="23:23" ht="26.4">
      <c r="W4437" s="64" ph="1"/>
    </row>
    <row r="4438" spans="23:23" ht="26.4">
      <c r="W4438" s="64" ph="1"/>
    </row>
    <row r="4439" spans="23:23" ht="26.4">
      <c r="W4439" s="64" ph="1"/>
    </row>
    <row r="4440" spans="23:23" ht="26.4">
      <c r="W4440" s="64" ph="1"/>
    </row>
    <row r="4441" spans="23:23" ht="26.4">
      <c r="W4441" s="64" ph="1"/>
    </row>
    <row r="4442" spans="23:23" ht="26.4">
      <c r="W4442" s="64" ph="1"/>
    </row>
    <row r="4443" spans="23:23" ht="26.4">
      <c r="W4443" s="64" ph="1"/>
    </row>
    <row r="4444" spans="23:23" ht="26.4">
      <c r="W4444" s="64" ph="1"/>
    </row>
    <row r="4445" spans="23:23" ht="26.4">
      <c r="W4445" s="64" ph="1"/>
    </row>
    <row r="4446" spans="23:23" ht="26.4">
      <c r="W4446" s="64" ph="1"/>
    </row>
    <row r="4447" spans="23:23" ht="26.4">
      <c r="W4447" s="64" ph="1"/>
    </row>
    <row r="4448" spans="23:23" ht="26.4">
      <c r="W4448" s="64" ph="1"/>
    </row>
    <row r="4449" spans="23:23" ht="26.4">
      <c r="W4449" s="64" ph="1"/>
    </row>
    <row r="4450" spans="23:23" ht="26.4">
      <c r="W4450" s="64" ph="1"/>
    </row>
    <row r="4451" spans="23:23" ht="26.4">
      <c r="W4451" s="64" ph="1"/>
    </row>
    <row r="4452" spans="23:23" ht="26.4">
      <c r="W4452" s="64" ph="1"/>
    </row>
    <row r="4453" spans="23:23" ht="26.4">
      <c r="W4453" s="64" ph="1"/>
    </row>
    <row r="4454" spans="23:23" ht="26.4">
      <c r="W4454" s="64" ph="1"/>
    </row>
    <row r="4455" spans="23:23" ht="26.4">
      <c r="W4455" s="64" ph="1"/>
    </row>
    <row r="4456" spans="23:23" ht="26.4">
      <c r="W4456" s="64" ph="1"/>
    </row>
    <row r="4457" spans="23:23" ht="26.4">
      <c r="W4457" s="64" ph="1"/>
    </row>
    <row r="4458" spans="23:23" ht="26.4">
      <c r="W4458" s="64" ph="1"/>
    </row>
    <row r="4459" spans="23:23" ht="26.4">
      <c r="W4459" s="64" ph="1"/>
    </row>
    <row r="4460" spans="23:23" ht="26.4">
      <c r="W4460" s="64" ph="1"/>
    </row>
    <row r="4461" spans="23:23" ht="26.4">
      <c r="W4461" s="64" ph="1"/>
    </row>
    <row r="4462" spans="23:23" ht="26.4">
      <c r="W4462" s="64" ph="1"/>
    </row>
    <row r="4463" spans="23:23" ht="26.4">
      <c r="W4463" s="64" ph="1"/>
    </row>
    <row r="4464" spans="23:23" ht="26.4">
      <c r="W4464" s="64" ph="1"/>
    </row>
    <row r="4465" spans="23:23" ht="26.4">
      <c r="W4465" s="64" ph="1"/>
    </row>
    <row r="4466" spans="23:23" ht="26.4">
      <c r="W4466" s="64" ph="1"/>
    </row>
    <row r="4467" spans="23:23" ht="26.4">
      <c r="W4467" s="64" ph="1"/>
    </row>
    <row r="4468" spans="23:23" ht="26.4">
      <c r="W4468" s="64" ph="1"/>
    </row>
    <row r="4469" spans="23:23" ht="26.4">
      <c r="W4469" s="64" ph="1"/>
    </row>
    <row r="4470" spans="23:23" ht="26.4">
      <c r="W4470" s="64" ph="1"/>
    </row>
    <row r="4471" spans="23:23" ht="26.4">
      <c r="W4471" s="64" ph="1"/>
    </row>
    <row r="4472" spans="23:23" ht="26.4">
      <c r="W4472" s="64" ph="1"/>
    </row>
    <row r="4473" spans="23:23" ht="26.4">
      <c r="W4473" s="64" ph="1"/>
    </row>
    <row r="4474" spans="23:23" ht="26.4">
      <c r="W4474" s="64" ph="1"/>
    </row>
    <row r="4475" spans="23:23" ht="26.4">
      <c r="W4475" s="64" ph="1"/>
    </row>
    <row r="4476" spans="23:23" ht="26.4">
      <c r="W4476" s="64" ph="1"/>
    </row>
    <row r="4477" spans="23:23" ht="26.4">
      <c r="W4477" s="64" ph="1"/>
    </row>
    <row r="4478" spans="23:23" ht="26.4">
      <c r="W4478" s="64" ph="1"/>
    </row>
    <row r="4479" spans="23:23" ht="26.4">
      <c r="W4479" s="64" ph="1"/>
    </row>
    <row r="4480" spans="23:23" ht="26.4">
      <c r="W4480" s="64" ph="1"/>
    </row>
    <row r="4481" spans="23:23" ht="26.4">
      <c r="W4481" s="64" ph="1"/>
    </row>
    <row r="4482" spans="23:23" ht="26.4">
      <c r="W4482" s="64" ph="1"/>
    </row>
    <row r="4483" spans="23:23" ht="26.4">
      <c r="W4483" s="64" ph="1"/>
    </row>
    <row r="4484" spans="23:23" ht="26.4">
      <c r="W4484" s="64" ph="1"/>
    </row>
    <row r="4485" spans="23:23" ht="26.4">
      <c r="W4485" s="64" ph="1"/>
    </row>
    <row r="4486" spans="23:23" ht="26.4">
      <c r="W4486" s="64" ph="1"/>
    </row>
    <row r="4487" spans="23:23" ht="26.4">
      <c r="W4487" s="64" ph="1"/>
    </row>
    <row r="4488" spans="23:23" ht="26.4">
      <c r="W4488" s="64" ph="1"/>
    </row>
    <row r="4489" spans="23:23" ht="26.4">
      <c r="W4489" s="64" ph="1"/>
    </row>
    <row r="4490" spans="23:23" ht="26.4">
      <c r="W4490" s="64" ph="1"/>
    </row>
    <row r="4491" spans="23:23" ht="26.4">
      <c r="W4491" s="64" ph="1"/>
    </row>
    <row r="4492" spans="23:23" ht="26.4">
      <c r="W4492" s="64" ph="1"/>
    </row>
    <row r="4493" spans="23:23" ht="26.4">
      <c r="W4493" s="64" ph="1"/>
    </row>
    <row r="4494" spans="23:23" ht="26.4">
      <c r="W4494" s="64" ph="1"/>
    </row>
    <row r="4495" spans="23:23" ht="26.4">
      <c r="W4495" s="64" ph="1"/>
    </row>
    <row r="4496" spans="23:23" ht="26.4">
      <c r="W4496" s="64" ph="1"/>
    </row>
    <row r="4497" spans="23:23" ht="26.4">
      <c r="W4497" s="64" ph="1"/>
    </row>
    <row r="4498" spans="23:23" ht="26.4">
      <c r="W4498" s="64" ph="1"/>
    </row>
    <row r="4499" spans="23:23" ht="26.4">
      <c r="W4499" s="64" ph="1"/>
    </row>
    <row r="4500" spans="23:23" ht="26.4">
      <c r="W4500" s="64" ph="1"/>
    </row>
    <row r="4501" spans="23:23" ht="26.4">
      <c r="W4501" s="64" ph="1"/>
    </row>
    <row r="4502" spans="23:23" ht="26.4">
      <c r="W4502" s="64" ph="1"/>
    </row>
    <row r="4503" spans="23:23" ht="26.4">
      <c r="W4503" s="64" ph="1"/>
    </row>
    <row r="4504" spans="23:23" ht="26.4">
      <c r="W4504" s="64" ph="1"/>
    </row>
    <row r="4505" spans="23:23" ht="26.4">
      <c r="W4505" s="64" ph="1"/>
    </row>
    <row r="4506" spans="23:23" ht="26.4">
      <c r="W4506" s="64" ph="1"/>
    </row>
    <row r="4507" spans="23:23" ht="26.4">
      <c r="W4507" s="64" ph="1"/>
    </row>
    <row r="4508" spans="23:23" ht="26.4">
      <c r="W4508" s="64" ph="1"/>
    </row>
    <row r="4509" spans="23:23" ht="26.4">
      <c r="W4509" s="64" ph="1"/>
    </row>
    <row r="4510" spans="23:23" ht="26.4">
      <c r="W4510" s="64" ph="1"/>
    </row>
    <row r="4511" spans="23:23" ht="26.4">
      <c r="W4511" s="64" ph="1"/>
    </row>
    <row r="4512" spans="23:23" ht="26.4">
      <c r="W4512" s="64" ph="1"/>
    </row>
    <row r="4513" spans="23:23" ht="26.4">
      <c r="W4513" s="64" ph="1"/>
    </row>
    <row r="4514" spans="23:23" ht="26.4">
      <c r="W4514" s="64" ph="1"/>
    </row>
    <row r="4515" spans="23:23" ht="26.4">
      <c r="W4515" s="64" ph="1"/>
    </row>
    <row r="4516" spans="23:23" ht="26.4">
      <c r="W4516" s="64" ph="1"/>
    </row>
    <row r="4517" spans="23:23" ht="26.4">
      <c r="W4517" s="64" ph="1"/>
    </row>
    <row r="4518" spans="23:23" ht="26.4">
      <c r="W4518" s="64" ph="1"/>
    </row>
    <row r="4519" spans="23:23" ht="26.4">
      <c r="W4519" s="64" ph="1"/>
    </row>
    <row r="4520" spans="23:23" ht="26.4">
      <c r="W4520" s="64" ph="1"/>
    </row>
    <row r="4521" spans="23:23" ht="26.4">
      <c r="W4521" s="64" ph="1"/>
    </row>
    <row r="4522" spans="23:23" ht="26.4">
      <c r="W4522" s="64" ph="1"/>
    </row>
    <row r="4523" spans="23:23" ht="26.4">
      <c r="W4523" s="64" ph="1"/>
    </row>
    <row r="4524" spans="23:23" ht="26.4">
      <c r="W4524" s="64" ph="1"/>
    </row>
    <row r="4525" spans="23:23" ht="26.4">
      <c r="W4525" s="64" ph="1"/>
    </row>
    <row r="4526" spans="23:23" ht="26.4">
      <c r="W4526" s="64" ph="1"/>
    </row>
    <row r="4527" spans="23:23" ht="26.4">
      <c r="W4527" s="64" ph="1"/>
    </row>
    <row r="4528" spans="23:23" ht="26.4">
      <c r="W4528" s="64" ph="1"/>
    </row>
    <row r="4529" spans="23:23" ht="26.4">
      <c r="W4529" s="64" ph="1"/>
    </row>
    <row r="4530" spans="23:23" ht="26.4">
      <c r="W4530" s="64" ph="1"/>
    </row>
    <row r="4531" spans="23:23" ht="26.4">
      <c r="W4531" s="64" ph="1"/>
    </row>
    <row r="4532" spans="23:23" ht="26.4">
      <c r="W4532" s="64" ph="1"/>
    </row>
    <row r="4533" spans="23:23" ht="26.4">
      <c r="W4533" s="64" ph="1"/>
    </row>
    <row r="4534" spans="23:23" ht="26.4">
      <c r="W4534" s="64" ph="1"/>
    </row>
    <row r="4535" spans="23:23" ht="26.4">
      <c r="W4535" s="64" ph="1"/>
    </row>
    <row r="4536" spans="23:23" ht="26.4">
      <c r="W4536" s="64" ph="1"/>
    </row>
    <row r="4537" spans="23:23" ht="26.4">
      <c r="W4537" s="64" ph="1"/>
    </row>
    <row r="4538" spans="23:23" ht="26.4">
      <c r="W4538" s="64" ph="1"/>
    </row>
    <row r="4539" spans="23:23" ht="26.4">
      <c r="W4539" s="64" ph="1"/>
    </row>
    <row r="4540" spans="23:23" ht="26.4">
      <c r="W4540" s="64" ph="1"/>
    </row>
    <row r="4541" spans="23:23" ht="26.4">
      <c r="W4541" s="64" ph="1"/>
    </row>
    <row r="4542" spans="23:23" ht="26.4">
      <c r="W4542" s="64" ph="1"/>
    </row>
    <row r="4543" spans="23:23" ht="26.4">
      <c r="W4543" s="64" ph="1"/>
    </row>
    <row r="4544" spans="23:23" ht="26.4">
      <c r="W4544" s="64" ph="1"/>
    </row>
    <row r="4545" spans="23:23" ht="26.4">
      <c r="W4545" s="64" ph="1"/>
    </row>
    <row r="4546" spans="23:23" ht="26.4">
      <c r="W4546" s="64" ph="1"/>
    </row>
    <row r="4547" spans="23:23" ht="26.4">
      <c r="W4547" s="64" ph="1"/>
    </row>
    <row r="4548" spans="23:23" ht="26.4">
      <c r="W4548" s="64" ph="1"/>
    </row>
    <row r="4549" spans="23:23" ht="26.4">
      <c r="W4549" s="64" ph="1"/>
    </row>
    <row r="4550" spans="23:23" ht="26.4">
      <c r="W4550" s="64" ph="1"/>
    </row>
    <row r="4551" spans="23:23" ht="26.4">
      <c r="W4551" s="64" ph="1"/>
    </row>
    <row r="4552" spans="23:23" ht="26.4">
      <c r="W4552" s="64" ph="1"/>
    </row>
    <row r="4553" spans="23:23" ht="26.4">
      <c r="W4553" s="64" ph="1"/>
    </row>
    <row r="4554" spans="23:23" ht="26.4">
      <c r="W4554" s="64" ph="1"/>
    </row>
    <row r="4555" spans="23:23" ht="26.4">
      <c r="W4555" s="64" ph="1"/>
    </row>
    <row r="4556" spans="23:23" ht="26.4">
      <c r="W4556" s="64" ph="1"/>
    </row>
    <row r="4557" spans="23:23" ht="26.4">
      <c r="W4557" s="64" ph="1"/>
    </row>
    <row r="4558" spans="23:23" ht="26.4">
      <c r="W4558" s="64" ph="1"/>
    </row>
    <row r="4559" spans="23:23" ht="26.4">
      <c r="W4559" s="64" ph="1"/>
    </row>
    <row r="4560" spans="23:23" ht="26.4">
      <c r="W4560" s="64" ph="1"/>
    </row>
    <row r="4561" spans="23:23" ht="26.4">
      <c r="W4561" s="64" ph="1"/>
    </row>
    <row r="4562" spans="23:23" ht="26.4">
      <c r="W4562" s="64" ph="1"/>
    </row>
    <row r="4563" spans="23:23" ht="26.4">
      <c r="W4563" s="64" ph="1"/>
    </row>
    <row r="4564" spans="23:23" ht="26.4">
      <c r="W4564" s="64" ph="1"/>
    </row>
    <row r="4565" spans="23:23" ht="26.4">
      <c r="W4565" s="64" ph="1"/>
    </row>
    <row r="4566" spans="23:23" ht="26.4">
      <c r="W4566" s="64" ph="1"/>
    </row>
    <row r="4567" spans="23:23" ht="26.4">
      <c r="W4567" s="64" ph="1"/>
    </row>
    <row r="4568" spans="23:23" ht="26.4">
      <c r="W4568" s="64" ph="1"/>
    </row>
    <row r="4569" spans="23:23" ht="26.4">
      <c r="W4569" s="64" ph="1"/>
    </row>
    <row r="4570" spans="23:23" ht="26.4">
      <c r="W4570" s="64" ph="1"/>
    </row>
    <row r="4571" spans="23:23" ht="26.4">
      <c r="W4571" s="64" ph="1"/>
    </row>
    <row r="4572" spans="23:23" ht="26.4">
      <c r="W4572" s="64" ph="1"/>
    </row>
    <row r="4573" spans="23:23" ht="26.4">
      <c r="W4573" s="64" ph="1"/>
    </row>
    <row r="4574" spans="23:23" ht="26.4">
      <c r="W4574" s="64" ph="1"/>
    </row>
    <row r="4575" spans="23:23" ht="26.4">
      <c r="W4575" s="64" ph="1"/>
    </row>
    <row r="4576" spans="23:23" ht="26.4">
      <c r="W4576" s="64" ph="1"/>
    </row>
    <row r="4577" spans="23:23" ht="26.4">
      <c r="W4577" s="64" ph="1"/>
    </row>
    <row r="4578" spans="23:23" ht="26.4">
      <c r="W4578" s="64" ph="1"/>
    </row>
    <row r="4579" spans="23:23" ht="26.4">
      <c r="W4579" s="64" ph="1"/>
    </row>
    <row r="4580" spans="23:23" ht="26.4">
      <c r="W4580" s="64" ph="1"/>
    </row>
    <row r="4581" spans="23:23" ht="26.4">
      <c r="W4581" s="64" ph="1"/>
    </row>
    <row r="4582" spans="23:23" ht="26.4">
      <c r="W4582" s="64" ph="1"/>
    </row>
    <row r="4583" spans="23:23" ht="26.4">
      <c r="W4583" s="64" ph="1"/>
    </row>
    <row r="4584" spans="23:23" ht="26.4">
      <c r="W4584" s="64" ph="1"/>
    </row>
    <row r="4585" spans="23:23" ht="26.4">
      <c r="W4585" s="64" ph="1"/>
    </row>
    <row r="4586" spans="23:23" ht="26.4">
      <c r="W4586" s="64" ph="1"/>
    </row>
    <row r="4587" spans="23:23" ht="26.4">
      <c r="W4587" s="64" ph="1"/>
    </row>
    <row r="4588" spans="23:23" ht="26.4">
      <c r="W4588" s="64" ph="1"/>
    </row>
    <row r="4589" spans="23:23" ht="26.4">
      <c r="W4589" s="64" ph="1"/>
    </row>
    <row r="4590" spans="23:23" ht="26.4">
      <c r="W4590" s="64" ph="1"/>
    </row>
    <row r="4591" spans="23:23" ht="26.4">
      <c r="W4591" s="64" ph="1"/>
    </row>
    <row r="4592" spans="23:23" ht="26.4">
      <c r="W4592" s="64" ph="1"/>
    </row>
    <row r="4593" spans="23:23" ht="26.4">
      <c r="W4593" s="64" ph="1"/>
    </row>
    <row r="4594" spans="23:23" ht="26.4">
      <c r="W4594" s="64" ph="1"/>
    </row>
    <row r="4595" spans="23:23" ht="26.4">
      <c r="W4595" s="64" ph="1"/>
    </row>
    <row r="4596" spans="23:23" ht="26.4">
      <c r="W4596" s="64" ph="1"/>
    </row>
    <row r="4597" spans="23:23" ht="26.4">
      <c r="W4597" s="64" ph="1"/>
    </row>
    <row r="4598" spans="23:23" ht="26.4">
      <c r="W4598" s="64" ph="1"/>
    </row>
    <row r="4599" spans="23:23" ht="26.4">
      <c r="W4599" s="64" ph="1"/>
    </row>
    <row r="4600" spans="23:23" ht="26.4">
      <c r="W4600" s="64" ph="1"/>
    </row>
    <row r="4601" spans="23:23" ht="26.4">
      <c r="W4601" s="64" ph="1"/>
    </row>
    <row r="4602" spans="23:23" ht="26.4">
      <c r="W4602" s="64" ph="1"/>
    </row>
    <row r="4603" spans="23:23" ht="26.4">
      <c r="W4603" s="64" ph="1"/>
    </row>
    <row r="4604" spans="23:23" ht="26.4">
      <c r="W4604" s="64" ph="1"/>
    </row>
    <row r="4605" spans="23:23" ht="26.4">
      <c r="W4605" s="64" ph="1"/>
    </row>
    <row r="4606" spans="23:23" ht="26.4">
      <c r="W4606" s="64" ph="1"/>
    </row>
    <row r="4607" spans="23:23" ht="26.4">
      <c r="W4607" s="64" ph="1"/>
    </row>
    <row r="4608" spans="23:23" ht="26.4">
      <c r="W4608" s="64" ph="1"/>
    </row>
    <row r="4609" spans="23:23" ht="26.4">
      <c r="W4609" s="64" ph="1"/>
    </row>
    <row r="4610" spans="23:23" ht="26.4">
      <c r="W4610" s="64" ph="1"/>
    </row>
    <row r="4611" spans="23:23" ht="26.4">
      <c r="W4611" s="64" ph="1"/>
    </row>
    <row r="4612" spans="23:23" ht="26.4">
      <c r="W4612" s="64" ph="1"/>
    </row>
    <row r="4613" spans="23:23" ht="26.4">
      <c r="W4613" s="64" ph="1"/>
    </row>
    <row r="4614" spans="23:23" ht="26.4">
      <c r="W4614" s="64" ph="1"/>
    </row>
    <row r="4615" spans="23:23" ht="26.4">
      <c r="W4615" s="64" ph="1"/>
    </row>
    <row r="4616" spans="23:23" ht="26.4">
      <c r="W4616" s="64" ph="1"/>
    </row>
    <row r="4617" spans="23:23" ht="26.4">
      <c r="W4617" s="64" ph="1"/>
    </row>
    <row r="4618" spans="23:23" ht="26.4">
      <c r="W4618" s="64" ph="1"/>
    </row>
    <row r="4619" spans="23:23" ht="26.4">
      <c r="W4619" s="64" ph="1"/>
    </row>
    <row r="4620" spans="23:23" ht="26.4">
      <c r="W4620" s="64" ph="1"/>
    </row>
    <row r="4621" spans="23:23" ht="26.4">
      <c r="W4621" s="64" ph="1"/>
    </row>
    <row r="4622" spans="23:23" ht="26.4">
      <c r="W4622" s="64" ph="1"/>
    </row>
    <row r="4623" spans="23:23" ht="26.4">
      <c r="W4623" s="64" ph="1"/>
    </row>
    <row r="4624" spans="23:23" ht="26.4">
      <c r="W4624" s="64" ph="1"/>
    </row>
    <row r="4625" spans="23:23" ht="26.4">
      <c r="W4625" s="64" ph="1"/>
    </row>
    <row r="4626" spans="23:23" ht="26.4">
      <c r="W4626" s="64" ph="1"/>
    </row>
    <row r="4627" spans="23:23" ht="26.4">
      <c r="W4627" s="64" ph="1"/>
    </row>
    <row r="4628" spans="23:23" ht="26.4">
      <c r="W4628" s="64" ph="1"/>
    </row>
    <row r="4629" spans="23:23" ht="26.4">
      <c r="W4629" s="64" ph="1"/>
    </row>
    <row r="4630" spans="23:23" ht="26.4">
      <c r="W4630" s="64" ph="1"/>
    </row>
    <row r="4631" spans="23:23" ht="26.4">
      <c r="W4631" s="64" ph="1"/>
    </row>
    <row r="4632" spans="23:23" ht="26.4">
      <c r="W4632" s="64" ph="1"/>
    </row>
    <row r="4633" spans="23:23" ht="26.4">
      <c r="W4633" s="64" ph="1"/>
    </row>
    <row r="4634" spans="23:23" ht="26.4">
      <c r="W4634" s="64" ph="1"/>
    </row>
    <row r="4635" spans="23:23" ht="26.4">
      <c r="W4635" s="64" ph="1"/>
    </row>
    <row r="4636" spans="23:23" ht="26.4">
      <c r="W4636" s="64" ph="1"/>
    </row>
    <row r="4637" spans="23:23" ht="26.4">
      <c r="W4637" s="64" ph="1"/>
    </row>
    <row r="4638" spans="23:23" ht="26.4">
      <c r="W4638" s="64" ph="1"/>
    </row>
    <row r="4639" spans="23:23" ht="26.4">
      <c r="W4639" s="64" ph="1"/>
    </row>
    <row r="4640" spans="23:23" ht="26.4">
      <c r="W4640" s="64" ph="1"/>
    </row>
    <row r="4641" spans="23:23" ht="26.4">
      <c r="W4641" s="64" ph="1"/>
    </row>
    <row r="4642" spans="23:23" ht="26.4">
      <c r="W4642" s="64" ph="1"/>
    </row>
    <row r="4643" spans="23:23" ht="26.4">
      <c r="W4643" s="64" ph="1"/>
    </row>
    <row r="4644" spans="23:23" ht="26.4">
      <c r="W4644" s="64" ph="1"/>
    </row>
    <row r="4645" spans="23:23" ht="26.4">
      <c r="W4645" s="64" ph="1"/>
    </row>
    <row r="4646" spans="23:23" ht="26.4">
      <c r="W4646" s="64" ph="1"/>
    </row>
    <row r="4647" spans="23:23" ht="26.4">
      <c r="W4647" s="64" ph="1"/>
    </row>
    <row r="4648" spans="23:23" ht="26.4">
      <c r="W4648" s="64" ph="1"/>
    </row>
    <row r="4649" spans="23:23" ht="26.4">
      <c r="W4649" s="64" ph="1"/>
    </row>
    <row r="4650" spans="23:23" ht="26.4">
      <c r="W4650" s="64" ph="1"/>
    </row>
    <row r="4651" spans="23:23" ht="26.4">
      <c r="W4651" s="64" ph="1"/>
    </row>
    <row r="4652" spans="23:23" ht="26.4">
      <c r="W4652" s="64" ph="1"/>
    </row>
    <row r="4653" spans="23:23" ht="26.4">
      <c r="W4653" s="64" ph="1"/>
    </row>
    <row r="4654" spans="23:23" ht="26.4">
      <c r="W4654" s="64" ph="1"/>
    </row>
    <row r="4655" spans="23:23" ht="26.4">
      <c r="W4655" s="64" ph="1"/>
    </row>
    <row r="4656" spans="23:23" ht="26.4">
      <c r="W4656" s="64" ph="1"/>
    </row>
    <row r="4657" spans="23:23" ht="26.4">
      <c r="W4657" s="64" ph="1"/>
    </row>
    <row r="4658" spans="23:23" ht="26.4">
      <c r="W4658" s="64" ph="1"/>
    </row>
    <row r="4659" spans="23:23" ht="26.4">
      <c r="W4659" s="64" ph="1"/>
    </row>
    <row r="4660" spans="23:23" ht="26.4">
      <c r="W4660" s="64" ph="1"/>
    </row>
    <row r="4661" spans="23:23" ht="26.4">
      <c r="W4661" s="64" ph="1"/>
    </row>
    <row r="4662" spans="23:23" ht="26.4">
      <c r="W4662" s="64" ph="1"/>
    </row>
    <row r="4663" spans="23:23" ht="26.4">
      <c r="W4663" s="64" ph="1"/>
    </row>
    <row r="4664" spans="23:23" ht="26.4">
      <c r="W4664" s="64" ph="1"/>
    </row>
    <row r="4665" spans="23:23" ht="26.4">
      <c r="W4665" s="64" ph="1"/>
    </row>
    <row r="4666" spans="23:23" ht="26.4">
      <c r="W4666" s="64" ph="1"/>
    </row>
    <row r="4667" spans="23:23" ht="26.4">
      <c r="W4667" s="64" ph="1"/>
    </row>
    <row r="4668" spans="23:23" ht="26.4">
      <c r="W4668" s="64" ph="1"/>
    </row>
    <row r="4669" spans="23:23" ht="26.4">
      <c r="W4669" s="64" ph="1"/>
    </row>
    <row r="4670" spans="23:23" ht="26.4">
      <c r="W4670" s="64" ph="1"/>
    </row>
    <row r="4671" spans="23:23" ht="26.4">
      <c r="W4671" s="64" ph="1"/>
    </row>
    <row r="4672" spans="23:23" ht="26.4">
      <c r="W4672" s="64" ph="1"/>
    </row>
    <row r="4673" spans="23:23" ht="26.4">
      <c r="W4673" s="64" ph="1"/>
    </row>
    <row r="4674" spans="23:23" ht="26.4">
      <c r="W4674" s="64" ph="1"/>
    </row>
    <row r="4675" spans="23:23" ht="26.4">
      <c r="W4675" s="64" ph="1"/>
    </row>
    <row r="4676" spans="23:23" ht="26.4">
      <c r="W4676" s="64" ph="1"/>
    </row>
    <row r="4677" spans="23:23" ht="26.4">
      <c r="W4677" s="64" ph="1"/>
    </row>
    <row r="4678" spans="23:23" ht="26.4">
      <c r="W4678" s="64" ph="1"/>
    </row>
    <row r="4679" spans="23:23" ht="26.4">
      <c r="W4679" s="64" ph="1"/>
    </row>
    <row r="4680" spans="23:23" ht="26.4">
      <c r="W4680" s="64" ph="1"/>
    </row>
    <row r="4681" spans="23:23" ht="26.4">
      <c r="W4681" s="64" ph="1"/>
    </row>
    <row r="4682" spans="23:23" ht="26.4">
      <c r="W4682" s="64" ph="1"/>
    </row>
    <row r="4683" spans="23:23" ht="26.4">
      <c r="W4683" s="64" ph="1"/>
    </row>
    <row r="4684" spans="23:23" ht="26.4">
      <c r="W4684" s="64" ph="1"/>
    </row>
    <row r="4685" spans="23:23" ht="26.4">
      <c r="W4685" s="64" ph="1"/>
    </row>
    <row r="4686" spans="23:23" ht="26.4">
      <c r="W4686" s="64" ph="1"/>
    </row>
    <row r="4687" spans="23:23" ht="26.4">
      <c r="W4687" s="64" ph="1"/>
    </row>
    <row r="4688" spans="23:23" ht="26.4">
      <c r="W4688" s="64" ph="1"/>
    </row>
    <row r="4689" spans="23:23" ht="26.4">
      <c r="W4689" s="64" ph="1"/>
    </row>
    <row r="4690" spans="23:23" ht="26.4">
      <c r="W4690" s="64" ph="1"/>
    </row>
    <row r="4691" spans="23:23" ht="26.4">
      <c r="W4691" s="64" ph="1"/>
    </row>
    <row r="4692" spans="23:23" ht="26.4">
      <c r="W4692" s="64" ph="1"/>
    </row>
    <row r="4693" spans="23:23" ht="26.4">
      <c r="W4693" s="64" ph="1"/>
    </row>
    <row r="4694" spans="23:23" ht="26.4">
      <c r="W4694" s="64" ph="1"/>
    </row>
    <row r="4695" spans="23:23" ht="26.4">
      <c r="W4695" s="64" ph="1"/>
    </row>
    <row r="4696" spans="23:23" ht="26.4">
      <c r="W4696" s="64" ph="1"/>
    </row>
    <row r="4697" spans="23:23" ht="26.4">
      <c r="W4697" s="64" ph="1"/>
    </row>
    <row r="4698" spans="23:23" ht="26.4">
      <c r="W4698" s="64" ph="1"/>
    </row>
    <row r="4699" spans="23:23" ht="26.4">
      <c r="W4699" s="64" ph="1"/>
    </row>
    <row r="4700" spans="23:23" ht="26.4">
      <c r="W4700" s="64" ph="1"/>
    </row>
    <row r="4701" spans="23:23" ht="26.4">
      <c r="W4701" s="64" ph="1"/>
    </row>
    <row r="4702" spans="23:23" ht="26.4">
      <c r="W4702" s="64" ph="1"/>
    </row>
    <row r="4703" spans="23:23" ht="26.4">
      <c r="W4703" s="64" ph="1"/>
    </row>
    <row r="4704" spans="23:23" ht="26.4">
      <c r="W4704" s="64" ph="1"/>
    </row>
    <row r="4705" spans="23:23" ht="26.4">
      <c r="W4705" s="64" ph="1"/>
    </row>
    <row r="4706" spans="23:23" ht="26.4">
      <c r="W4706" s="64" ph="1"/>
    </row>
    <row r="4707" spans="23:23" ht="26.4">
      <c r="W4707" s="64" ph="1"/>
    </row>
    <row r="4708" spans="23:23" ht="26.4">
      <c r="W4708" s="64" ph="1"/>
    </row>
    <row r="4709" spans="23:23" ht="26.4">
      <c r="W4709" s="64" ph="1"/>
    </row>
    <row r="4710" spans="23:23" ht="26.4">
      <c r="W4710" s="64" ph="1"/>
    </row>
    <row r="4711" spans="23:23" ht="26.4">
      <c r="W4711" s="64" ph="1"/>
    </row>
    <row r="4712" spans="23:23" ht="26.4">
      <c r="W4712" s="64" ph="1"/>
    </row>
    <row r="4713" spans="23:23" ht="26.4">
      <c r="W4713" s="64" ph="1"/>
    </row>
    <row r="4714" spans="23:23" ht="26.4">
      <c r="W4714" s="64" ph="1"/>
    </row>
    <row r="4715" spans="23:23" ht="26.4">
      <c r="W4715" s="64" ph="1"/>
    </row>
    <row r="4716" spans="23:23" ht="26.4">
      <c r="W4716" s="64" ph="1"/>
    </row>
    <row r="4717" spans="23:23" ht="26.4">
      <c r="W4717" s="64" ph="1"/>
    </row>
    <row r="4718" spans="23:23" ht="26.4">
      <c r="W4718" s="64" ph="1"/>
    </row>
    <row r="4719" spans="23:23" ht="26.4">
      <c r="W4719" s="64" ph="1"/>
    </row>
    <row r="4720" spans="23:23" ht="26.4">
      <c r="W4720" s="64" ph="1"/>
    </row>
    <row r="4721" spans="23:23" ht="26.4">
      <c r="W4721" s="64" ph="1"/>
    </row>
    <row r="4722" spans="23:23" ht="26.4">
      <c r="W4722" s="64" ph="1"/>
    </row>
    <row r="4723" spans="23:23" ht="26.4">
      <c r="W4723" s="64" ph="1"/>
    </row>
    <row r="4724" spans="23:23" ht="26.4">
      <c r="W4724" s="64" ph="1"/>
    </row>
    <row r="4725" spans="23:23" ht="26.4">
      <c r="W4725" s="64" ph="1"/>
    </row>
    <row r="4726" spans="23:23" ht="26.4">
      <c r="W4726" s="64" ph="1"/>
    </row>
    <row r="4727" spans="23:23" ht="26.4">
      <c r="W4727" s="64" ph="1"/>
    </row>
    <row r="4728" spans="23:23" ht="26.4">
      <c r="W4728" s="64" ph="1"/>
    </row>
    <row r="4729" spans="23:23" ht="26.4">
      <c r="W4729" s="64" ph="1"/>
    </row>
    <row r="4730" spans="23:23" ht="26.4">
      <c r="W4730" s="64" ph="1"/>
    </row>
    <row r="4731" spans="23:23" ht="26.4">
      <c r="W4731" s="64" ph="1"/>
    </row>
    <row r="4732" spans="23:23" ht="26.4">
      <c r="W4732" s="64" ph="1"/>
    </row>
    <row r="4733" spans="23:23" ht="26.4">
      <c r="W4733" s="64" ph="1"/>
    </row>
    <row r="4734" spans="23:23" ht="26.4">
      <c r="W4734" s="64" ph="1"/>
    </row>
    <row r="4735" spans="23:23" ht="26.4">
      <c r="W4735" s="64" ph="1"/>
    </row>
    <row r="4736" spans="23:23" ht="26.4">
      <c r="W4736" s="64" ph="1"/>
    </row>
    <row r="4737" spans="23:23" ht="26.4">
      <c r="W4737" s="64" ph="1"/>
    </row>
    <row r="4738" spans="23:23" ht="26.4">
      <c r="W4738" s="64" ph="1"/>
    </row>
    <row r="4739" spans="23:23" ht="26.4">
      <c r="W4739" s="64" ph="1"/>
    </row>
    <row r="4740" spans="23:23" ht="26.4">
      <c r="W4740" s="64" ph="1"/>
    </row>
    <row r="4741" spans="23:23" ht="26.4">
      <c r="W4741" s="64" ph="1"/>
    </row>
    <row r="4742" spans="23:23" ht="26.4">
      <c r="W4742" s="64" ph="1"/>
    </row>
    <row r="4743" spans="23:23" ht="26.4">
      <c r="W4743" s="64" ph="1"/>
    </row>
    <row r="4744" spans="23:23" ht="26.4">
      <c r="W4744" s="64" ph="1"/>
    </row>
    <row r="4745" spans="23:23" ht="26.4">
      <c r="W4745" s="64" ph="1"/>
    </row>
    <row r="4746" spans="23:23" ht="26.4">
      <c r="W4746" s="64" ph="1"/>
    </row>
    <row r="4747" spans="23:23" ht="26.4">
      <c r="W4747" s="64" ph="1"/>
    </row>
    <row r="4748" spans="23:23" ht="26.4">
      <c r="W4748" s="64" ph="1"/>
    </row>
    <row r="4749" spans="23:23" ht="26.4">
      <c r="W4749" s="64" ph="1"/>
    </row>
    <row r="4750" spans="23:23" ht="26.4">
      <c r="W4750" s="64" ph="1"/>
    </row>
    <row r="4751" spans="23:23" ht="26.4">
      <c r="W4751" s="64" ph="1"/>
    </row>
    <row r="4752" spans="23:23" ht="26.4">
      <c r="W4752" s="64" ph="1"/>
    </row>
    <row r="4753" spans="23:23" ht="26.4">
      <c r="W4753" s="64" ph="1"/>
    </row>
    <row r="4754" spans="23:23" ht="26.4">
      <c r="W4754" s="64" ph="1"/>
    </row>
    <row r="4755" spans="23:23" ht="26.4">
      <c r="W4755" s="64" ph="1"/>
    </row>
    <row r="4756" spans="23:23" ht="26.4">
      <c r="W4756" s="64" ph="1"/>
    </row>
    <row r="4757" spans="23:23" ht="26.4">
      <c r="W4757" s="64" ph="1"/>
    </row>
    <row r="4758" spans="23:23" ht="26.4">
      <c r="W4758" s="64" ph="1"/>
    </row>
    <row r="4759" spans="23:23" ht="26.4">
      <c r="W4759" s="64" ph="1"/>
    </row>
    <row r="4760" spans="23:23" ht="26.4">
      <c r="W4760" s="64" ph="1"/>
    </row>
    <row r="4761" spans="23:23" ht="26.4">
      <c r="W4761" s="64" ph="1"/>
    </row>
    <row r="4762" spans="23:23" ht="26.4">
      <c r="W4762" s="64" ph="1"/>
    </row>
    <row r="4763" spans="23:23" ht="26.4">
      <c r="W4763" s="64" ph="1"/>
    </row>
    <row r="4764" spans="23:23" ht="26.4">
      <c r="W4764" s="64" ph="1"/>
    </row>
    <row r="4765" spans="23:23" ht="26.4">
      <c r="W4765" s="64" ph="1"/>
    </row>
    <row r="4766" spans="23:23" ht="26.4">
      <c r="W4766" s="64" ph="1"/>
    </row>
    <row r="4767" spans="23:23" ht="26.4">
      <c r="W4767" s="64" ph="1"/>
    </row>
    <row r="4768" spans="23:23" ht="26.4">
      <c r="W4768" s="64" ph="1"/>
    </row>
    <row r="4769" spans="23:23" ht="26.4">
      <c r="W4769" s="64" ph="1"/>
    </row>
    <row r="4770" spans="23:23" ht="26.4">
      <c r="W4770" s="64" ph="1"/>
    </row>
    <row r="4771" spans="23:23" ht="26.4">
      <c r="W4771" s="64" ph="1"/>
    </row>
    <row r="4772" spans="23:23" ht="26.4">
      <c r="W4772" s="64" ph="1"/>
    </row>
    <row r="4773" spans="23:23" ht="26.4">
      <c r="W4773" s="64" ph="1"/>
    </row>
    <row r="4774" spans="23:23" ht="26.4">
      <c r="W4774" s="64" ph="1"/>
    </row>
    <row r="4775" spans="23:23" ht="26.4">
      <c r="W4775" s="64" ph="1"/>
    </row>
    <row r="4776" spans="23:23" ht="26.4">
      <c r="W4776" s="64" ph="1"/>
    </row>
    <row r="4777" spans="23:23" ht="26.4">
      <c r="W4777" s="64" ph="1"/>
    </row>
    <row r="4778" spans="23:23" ht="26.4">
      <c r="W4778" s="64" ph="1"/>
    </row>
    <row r="4779" spans="23:23" ht="26.4">
      <c r="W4779" s="64" ph="1"/>
    </row>
    <row r="4780" spans="23:23" ht="26.4">
      <c r="W4780" s="64" ph="1"/>
    </row>
    <row r="4781" spans="23:23" ht="26.4">
      <c r="W4781" s="64" ph="1"/>
    </row>
    <row r="4782" spans="23:23" ht="26.4">
      <c r="W4782" s="64" ph="1"/>
    </row>
    <row r="4783" spans="23:23" ht="26.4">
      <c r="W4783" s="64" ph="1"/>
    </row>
    <row r="4784" spans="23:23" ht="26.4">
      <c r="W4784" s="64" ph="1"/>
    </row>
    <row r="4785" spans="23:23" ht="26.4">
      <c r="W4785" s="64" ph="1"/>
    </row>
    <row r="4786" spans="23:23" ht="26.4">
      <c r="W4786" s="64" ph="1"/>
    </row>
    <row r="4787" spans="23:23" ht="26.4">
      <c r="W4787" s="64" ph="1"/>
    </row>
    <row r="4788" spans="23:23" ht="26.4">
      <c r="W4788" s="64" ph="1"/>
    </row>
    <row r="4789" spans="23:23" ht="26.4">
      <c r="W4789" s="64" ph="1"/>
    </row>
    <row r="4790" spans="23:23" ht="26.4">
      <c r="W4790" s="64" ph="1"/>
    </row>
    <row r="4791" spans="23:23" ht="26.4">
      <c r="W4791" s="64" ph="1"/>
    </row>
    <row r="4792" spans="23:23" ht="26.4">
      <c r="W4792" s="64" ph="1"/>
    </row>
    <row r="4793" spans="23:23" ht="26.4">
      <c r="W4793" s="64" ph="1"/>
    </row>
    <row r="4794" spans="23:23" ht="26.4">
      <c r="W4794" s="64" ph="1"/>
    </row>
    <row r="4795" spans="23:23" ht="26.4">
      <c r="W4795" s="64" ph="1"/>
    </row>
    <row r="4796" spans="23:23" ht="26.4">
      <c r="W4796" s="64" ph="1"/>
    </row>
    <row r="4797" spans="23:23" ht="26.4">
      <c r="W4797" s="64" ph="1"/>
    </row>
    <row r="4798" spans="23:23" ht="26.4">
      <c r="W4798" s="64" ph="1"/>
    </row>
    <row r="4799" spans="23:23" ht="26.4">
      <c r="W4799" s="64" ph="1"/>
    </row>
    <row r="4800" spans="23:23" ht="26.4">
      <c r="W4800" s="64" ph="1"/>
    </row>
    <row r="4801" spans="23:23" ht="26.4">
      <c r="W4801" s="64" ph="1"/>
    </row>
    <row r="4802" spans="23:23" ht="26.4">
      <c r="W4802" s="64" ph="1"/>
    </row>
    <row r="4803" spans="23:23" ht="26.4">
      <c r="W4803" s="64" ph="1"/>
    </row>
    <row r="4804" spans="23:23" ht="26.4">
      <c r="W4804" s="64" ph="1"/>
    </row>
    <row r="4805" spans="23:23" ht="26.4">
      <c r="W4805" s="64" ph="1"/>
    </row>
    <row r="4806" spans="23:23" ht="26.4">
      <c r="W4806" s="64" ph="1"/>
    </row>
    <row r="4807" spans="23:23" ht="26.4">
      <c r="W4807" s="64" ph="1"/>
    </row>
    <row r="4808" spans="23:23" ht="26.4">
      <c r="W4808" s="64" ph="1"/>
    </row>
    <row r="4809" spans="23:23" ht="26.4">
      <c r="W4809" s="64" ph="1"/>
    </row>
    <row r="4810" spans="23:23" ht="26.4">
      <c r="W4810" s="64" ph="1"/>
    </row>
    <row r="4811" spans="23:23" ht="26.4">
      <c r="W4811" s="64" ph="1"/>
    </row>
    <row r="4812" spans="23:23" ht="26.4">
      <c r="W4812" s="64" ph="1"/>
    </row>
    <row r="4813" spans="23:23" ht="26.4">
      <c r="W4813" s="64" ph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1">
    <tabColor rgb="FF7030A0"/>
  </sheetPr>
  <dimension ref="A1:AS5385"/>
  <sheetViews>
    <sheetView topLeftCell="G47" workbookViewId="0">
      <selection activeCell="G67" sqref="A67:XFD67"/>
    </sheetView>
  </sheetViews>
  <sheetFormatPr defaultColWidth="9.125" defaultRowHeight="16.2"/>
  <cols>
    <col min="1" max="1" width="5.75" style="135" customWidth="1"/>
    <col min="2" max="5" width="5.75" style="97" customWidth="1"/>
    <col min="6" max="6" width="8.75" style="66" customWidth="1"/>
    <col min="7" max="7" width="7.75" style="20" customWidth="1"/>
    <col min="8" max="8" width="5.75" style="13" customWidth="1"/>
    <col min="9" max="9" width="8.75" style="10" customWidth="1"/>
    <col min="10" max="10" width="6.75" style="32" customWidth="1"/>
    <col min="11" max="11" width="6.75" style="367" customWidth="1"/>
    <col min="12" max="12" width="6.75" style="77" customWidth="1"/>
    <col min="13" max="13" width="6.75" style="365" customWidth="1"/>
    <col min="14" max="14" width="7.75" style="367" customWidth="1"/>
    <col min="15" max="15" width="7.75" style="343" customWidth="1"/>
    <col min="16" max="16" width="5.75" style="166" customWidth="1"/>
    <col min="17" max="17" width="4.75" style="109" customWidth="1"/>
    <col min="18" max="18" width="4.75" style="31" customWidth="1"/>
    <col min="19" max="19" width="4.75" style="51" customWidth="1"/>
    <col min="20" max="20" width="5.75" style="339" customWidth="1"/>
    <col min="21" max="21" width="2.75" style="329" customWidth="1"/>
    <col min="22" max="22" width="6.75" style="371" customWidth="1"/>
    <col min="23" max="23" width="7.75" style="64" customWidth="1"/>
    <col min="24" max="24" width="7.75" style="240" customWidth="1"/>
    <col min="25" max="25" width="9.75" style="285" customWidth="1"/>
    <col min="26" max="26" width="9.75" style="72" customWidth="1"/>
    <col min="27" max="27" width="9.75" style="61" customWidth="1"/>
    <col min="28" max="28" width="8.75" style="12" customWidth="1"/>
    <col min="29" max="29" width="6.75" style="104" customWidth="1"/>
    <col min="30" max="30" width="7.75" style="10" customWidth="1"/>
    <col min="31" max="31" width="11.75" style="89" customWidth="1"/>
    <col min="32" max="32" width="11.75" style="88" customWidth="1"/>
    <col min="33" max="33" width="3.75" style="82" customWidth="1"/>
    <col min="34" max="34" width="3.75" style="284" customWidth="1"/>
    <col min="35" max="35" width="13.75" style="252" customWidth="1"/>
    <col min="36" max="36" width="7.75" style="10" customWidth="1"/>
    <col min="37" max="37" width="7.75" style="301" customWidth="1"/>
    <col min="38" max="38" width="7.75" style="310" customWidth="1"/>
    <col min="39" max="39" width="7.75" style="291" customWidth="1"/>
    <col min="40" max="40" width="7.75" style="273" customWidth="1"/>
    <col min="41" max="41" width="4.75" style="232" customWidth="1"/>
    <col min="42" max="42" width="7.75" style="384" customWidth="1"/>
    <col min="43" max="16384" width="9.125" style="284"/>
  </cols>
  <sheetData>
    <row r="1" spans="1:45" s="288" customFormat="1">
      <c r="A1" s="166" t="s">
        <v>6657</v>
      </c>
      <c r="B1" s="85"/>
      <c r="C1" s="85"/>
      <c r="D1" s="85"/>
      <c r="E1" s="84"/>
      <c r="F1" s="7"/>
      <c r="G1" s="28" t="s">
        <v>5090</v>
      </c>
      <c r="H1" s="9" t="s">
        <v>5092</v>
      </c>
      <c r="I1" s="163" t="s">
        <v>5091</v>
      </c>
      <c r="J1" s="377" t="s">
        <v>6615</v>
      </c>
      <c r="K1" s="377" t="s">
        <v>5296</v>
      </c>
      <c r="L1" s="369" t="s">
        <v>1820</v>
      </c>
      <c r="M1" s="369" t="s">
        <v>515</v>
      </c>
      <c r="O1" s="341" t="s">
        <v>6605</v>
      </c>
      <c r="R1" s="31"/>
      <c r="S1" s="51"/>
      <c r="T1" s="339"/>
      <c r="U1" s="329"/>
      <c r="V1" s="377"/>
      <c r="W1" s="261" t="s">
        <v>5297</v>
      </c>
      <c r="X1" s="267"/>
      <c r="Y1" s="166" t="s">
        <v>6901</v>
      </c>
      <c r="AD1" s="163" t="s">
        <v>5091</v>
      </c>
      <c r="AE1" s="123"/>
      <c r="AF1" s="134">
        <v>44550</v>
      </c>
      <c r="AG1" s="124"/>
      <c r="AJ1" s="163" t="s">
        <v>5091</v>
      </c>
      <c r="AK1" s="352"/>
      <c r="AO1" s="232"/>
      <c r="AP1" s="279"/>
      <c r="AQ1" s="277"/>
      <c r="AR1" s="278"/>
      <c r="AS1" s="289"/>
    </row>
    <row r="2" spans="1:45" s="288" customFormat="1">
      <c r="A2" s="166" t="s">
        <v>6658</v>
      </c>
      <c r="B2" s="85"/>
      <c r="C2" s="85"/>
      <c r="D2" s="85"/>
      <c r="E2" s="84"/>
      <c r="F2" s="7"/>
      <c r="G2" s="28" t="s">
        <v>5093</v>
      </c>
      <c r="H2" s="9" t="s">
        <v>5092</v>
      </c>
      <c r="I2" s="176" t="s">
        <v>5094</v>
      </c>
      <c r="J2" s="377" t="s">
        <v>6615</v>
      </c>
      <c r="K2" s="377" t="s">
        <v>5296</v>
      </c>
      <c r="L2" s="369" t="s">
        <v>1820</v>
      </c>
      <c r="M2" s="369" t="s">
        <v>515</v>
      </c>
      <c r="O2" s="341" t="s">
        <v>6606</v>
      </c>
      <c r="R2" s="31"/>
      <c r="S2" s="51"/>
      <c r="T2" s="339"/>
      <c r="U2" s="329"/>
      <c r="V2" s="377"/>
      <c r="W2" s="261" t="s">
        <v>5297</v>
      </c>
      <c r="Y2" s="166" t="s">
        <v>6902</v>
      </c>
      <c r="AD2" s="176" t="s">
        <v>5094</v>
      </c>
      <c r="AE2" s="123"/>
      <c r="AF2" s="91">
        <v>44547</v>
      </c>
      <c r="AG2" s="124"/>
      <c r="AJ2" s="176" t="s">
        <v>5094</v>
      </c>
      <c r="AK2" s="352"/>
      <c r="AO2" s="232"/>
      <c r="AP2" s="279"/>
      <c r="AQ2" s="277"/>
      <c r="AR2" s="278"/>
      <c r="AS2" s="289"/>
    </row>
    <row r="3" spans="1:45" s="288" customFormat="1">
      <c r="A3" s="166" t="s">
        <v>6659</v>
      </c>
      <c r="B3" s="85"/>
      <c r="C3" s="85"/>
      <c r="D3" s="85"/>
      <c r="E3" s="84"/>
      <c r="F3" s="7"/>
      <c r="G3" s="28" t="s">
        <v>5090</v>
      </c>
      <c r="H3" s="5" t="s">
        <v>5092</v>
      </c>
      <c r="I3" s="163" t="s">
        <v>5195</v>
      </c>
      <c r="J3" s="390"/>
      <c r="K3" s="377" t="s">
        <v>5296</v>
      </c>
      <c r="L3" s="377" t="s">
        <v>1820</v>
      </c>
      <c r="M3" s="369" t="s">
        <v>515</v>
      </c>
      <c r="O3" s="142" t="s">
        <v>6607</v>
      </c>
      <c r="R3" s="334"/>
      <c r="S3" s="51"/>
      <c r="T3" s="339"/>
      <c r="U3" s="329"/>
      <c r="V3" s="377"/>
      <c r="W3" s="261" t="s">
        <v>5297</v>
      </c>
      <c r="Y3" s="166" t="s">
        <v>6903</v>
      </c>
      <c r="AD3" s="163" t="s">
        <v>5195</v>
      </c>
      <c r="AE3" s="123"/>
      <c r="AF3" s="91">
        <v>44540</v>
      </c>
      <c r="AG3" s="124"/>
      <c r="AI3" s="248"/>
      <c r="AJ3" s="163" t="s">
        <v>5195</v>
      </c>
      <c r="AK3" s="352"/>
      <c r="AO3" s="232"/>
      <c r="AP3" s="279"/>
      <c r="AQ3" s="277"/>
      <c r="AR3" s="278"/>
      <c r="AS3" s="289"/>
    </row>
    <row r="4" spans="1:45" s="288" customFormat="1">
      <c r="A4" s="166" t="s">
        <v>6660</v>
      </c>
      <c r="B4" s="85"/>
      <c r="C4" s="85"/>
      <c r="D4" s="85"/>
      <c r="E4" s="84"/>
      <c r="F4" s="7"/>
      <c r="G4" s="28" t="s">
        <v>5090</v>
      </c>
      <c r="H4" s="9" t="s">
        <v>5092</v>
      </c>
      <c r="I4" s="163" t="s">
        <v>5175</v>
      </c>
      <c r="J4" s="390"/>
      <c r="K4" s="369" t="s">
        <v>5296</v>
      </c>
      <c r="L4" s="377" t="s">
        <v>1820</v>
      </c>
      <c r="M4" s="377" t="s">
        <v>515</v>
      </c>
      <c r="O4" s="142" t="s">
        <v>6608</v>
      </c>
      <c r="R4" s="334"/>
      <c r="S4" s="51"/>
      <c r="T4" s="339"/>
      <c r="U4" s="329"/>
      <c r="V4" s="377"/>
      <c r="W4" s="260" t="s">
        <v>5297</v>
      </c>
      <c r="X4" s="72"/>
      <c r="AD4" s="163" t="s">
        <v>5175</v>
      </c>
      <c r="AE4" s="123"/>
      <c r="AF4" s="91">
        <v>44543</v>
      </c>
      <c r="AG4" s="124"/>
      <c r="AI4" s="248"/>
      <c r="AJ4" s="163" t="s">
        <v>5175</v>
      </c>
      <c r="AK4" s="352"/>
      <c r="AO4" s="232"/>
      <c r="AP4" s="279"/>
      <c r="AQ4" s="277"/>
      <c r="AR4" s="278"/>
      <c r="AS4" s="289"/>
    </row>
    <row r="5" spans="1:45" s="288" customFormat="1">
      <c r="A5" s="176" t="s">
        <v>6685</v>
      </c>
      <c r="B5" s="85"/>
      <c r="C5" s="85"/>
      <c r="D5" s="85"/>
      <c r="E5" s="84"/>
      <c r="F5" s="7"/>
      <c r="G5" s="28" t="s">
        <v>5090</v>
      </c>
      <c r="H5" s="9" t="s">
        <v>5092</v>
      </c>
      <c r="I5" s="163" t="s">
        <v>5280</v>
      </c>
      <c r="J5" s="390"/>
      <c r="K5" s="369" t="s">
        <v>5296</v>
      </c>
      <c r="L5" s="369" t="s">
        <v>1820</v>
      </c>
      <c r="M5" s="369" t="s">
        <v>6868</v>
      </c>
      <c r="O5" s="142" t="s">
        <v>6609</v>
      </c>
      <c r="R5" s="335"/>
      <c r="S5" s="51"/>
      <c r="T5" s="339"/>
      <c r="U5" s="329"/>
      <c r="V5" s="377"/>
      <c r="W5" s="261" t="s">
        <v>5297</v>
      </c>
      <c r="AD5" s="163" t="s">
        <v>5280</v>
      </c>
      <c r="AE5" s="91"/>
      <c r="AF5" s="89">
        <v>44550</v>
      </c>
      <c r="AG5" s="124"/>
      <c r="AI5" s="248"/>
      <c r="AJ5" s="163" t="s">
        <v>5280</v>
      </c>
      <c r="AK5" s="352"/>
      <c r="AO5" s="232"/>
      <c r="AP5" s="279"/>
      <c r="AQ5" s="277"/>
      <c r="AR5" s="278"/>
      <c r="AS5" s="289"/>
    </row>
    <row r="6" spans="1:45" s="288" customFormat="1">
      <c r="A6" s="166" t="s">
        <v>6767</v>
      </c>
      <c r="B6" s="85"/>
      <c r="C6" s="85"/>
      <c r="D6" s="85"/>
      <c r="E6" s="84"/>
      <c r="F6" s="7"/>
      <c r="G6" s="52" t="s">
        <v>5090</v>
      </c>
      <c r="H6" s="5" t="s">
        <v>5092</v>
      </c>
      <c r="I6" s="163" t="s">
        <v>5164</v>
      </c>
      <c r="J6" s="390"/>
      <c r="K6" s="369" t="s">
        <v>5296</v>
      </c>
      <c r="L6" s="369" t="s">
        <v>1820</v>
      </c>
      <c r="M6" s="377" t="s">
        <v>515</v>
      </c>
      <c r="O6" s="142" t="s">
        <v>6719</v>
      </c>
      <c r="R6" s="31"/>
      <c r="S6" s="51"/>
      <c r="T6" s="339"/>
      <c r="U6" s="329"/>
      <c r="V6" s="377"/>
      <c r="W6" s="261" t="s">
        <v>5297</v>
      </c>
      <c r="AB6" s="294"/>
      <c r="AC6" s="294"/>
      <c r="AD6" s="163" t="s">
        <v>5164</v>
      </c>
      <c r="AF6" s="91">
        <v>44545</v>
      </c>
      <c r="AG6" s="124"/>
      <c r="AI6" s="248"/>
      <c r="AJ6" s="163" t="s">
        <v>5164</v>
      </c>
      <c r="AK6" s="352"/>
      <c r="AO6" s="232"/>
      <c r="AP6" s="279"/>
      <c r="AQ6" s="277"/>
      <c r="AR6" s="278"/>
      <c r="AS6" s="289"/>
    </row>
    <row r="7" spans="1:45">
      <c r="A7" s="391" t="s">
        <v>6890</v>
      </c>
      <c r="G7" s="28" t="s">
        <v>5093</v>
      </c>
      <c r="H7" s="9" t="s">
        <v>5092</v>
      </c>
      <c r="I7" s="176" t="s">
        <v>5280</v>
      </c>
      <c r="J7" s="371"/>
      <c r="K7" s="377" t="s">
        <v>5296</v>
      </c>
      <c r="L7" s="369" t="s">
        <v>1820</v>
      </c>
      <c r="M7" s="369" t="s">
        <v>515</v>
      </c>
      <c r="Q7" s="29"/>
      <c r="V7" s="377"/>
      <c r="W7" s="261" t="s">
        <v>5297</v>
      </c>
      <c r="AB7" s="43"/>
      <c r="AC7" s="47"/>
      <c r="AD7" s="176" t="s">
        <v>5280</v>
      </c>
      <c r="AE7" s="123"/>
      <c r="AF7" s="91">
        <v>44550</v>
      </c>
      <c r="AH7" s="72"/>
      <c r="AJ7" s="176" t="s">
        <v>5280</v>
      </c>
      <c r="AK7" s="352"/>
      <c r="AP7" s="242"/>
      <c r="AQ7" s="277"/>
      <c r="AR7" s="278"/>
      <c r="AS7" s="292"/>
    </row>
    <row r="8" spans="1:45">
      <c r="G8" s="28" t="s">
        <v>5093</v>
      </c>
      <c r="H8" s="9" t="s">
        <v>5092</v>
      </c>
      <c r="I8" s="176" t="s">
        <v>5164</v>
      </c>
      <c r="J8" s="371"/>
      <c r="K8" s="377" t="s">
        <v>5296</v>
      </c>
      <c r="L8" s="377" t="s">
        <v>1820</v>
      </c>
      <c r="M8" s="377" t="s">
        <v>515</v>
      </c>
      <c r="V8" s="377"/>
      <c r="W8" s="261" t="s">
        <v>5297</v>
      </c>
      <c r="X8" s="4" t="s">
        <v>2189</v>
      </c>
      <c r="Y8" s="4" t="s">
        <v>1820</v>
      </c>
      <c r="Z8" s="11" t="s">
        <v>515</v>
      </c>
      <c r="AB8" s="43"/>
      <c r="AC8" s="47"/>
      <c r="AD8" s="176" t="s">
        <v>5164</v>
      </c>
      <c r="AE8" s="91">
        <v>44559</v>
      </c>
      <c r="AF8" s="89"/>
      <c r="AH8" s="72"/>
      <c r="AI8" s="248">
        <v>382677</v>
      </c>
      <c r="AJ8" s="176" t="s">
        <v>5164</v>
      </c>
      <c r="AK8" s="352"/>
      <c r="AP8" s="242"/>
      <c r="AQ8" s="277"/>
      <c r="AR8" s="278"/>
      <c r="AS8" s="292"/>
    </row>
    <row r="9" spans="1:45">
      <c r="B9" s="84"/>
      <c r="C9" s="84"/>
      <c r="D9" s="84"/>
      <c r="E9" s="84"/>
      <c r="F9" s="59"/>
      <c r="G9" s="28" t="s">
        <v>6333</v>
      </c>
      <c r="H9" s="9" t="s">
        <v>5092</v>
      </c>
      <c r="I9" s="23" t="s">
        <v>6334</v>
      </c>
      <c r="J9" s="374">
        <v>53.63</v>
      </c>
      <c r="K9" s="77">
        <v>39.21</v>
      </c>
      <c r="L9" s="77">
        <v>0.21</v>
      </c>
      <c r="M9" s="371"/>
      <c r="N9" s="365">
        <f>K9+J9+L9+M9</f>
        <v>93.05</v>
      </c>
      <c r="Q9" s="326"/>
      <c r="R9" s="111"/>
      <c r="W9" s="35">
        <v>0.35</v>
      </c>
      <c r="X9" s="65">
        <v>0.35</v>
      </c>
      <c r="Y9" s="37" t="str">
        <f>RTD("money.excel",,"0050","Price")</f>
        <v>無資料</v>
      </c>
      <c r="Z9" s="68"/>
      <c r="AA9" s="16" t="e">
        <f>Y9-Z9</f>
        <v>#VALUE!</v>
      </c>
      <c r="AB9" s="3" t="e">
        <f>AA9/Z9</f>
        <v>#VALUE!</v>
      </c>
      <c r="AC9" s="105"/>
      <c r="AD9" s="23" t="s">
        <v>6334</v>
      </c>
      <c r="AE9" s="91"/>
      <c r="AF9" s="134">
        <v>44550</v>
      </c>
      <c r="AH9" s="262" t="s">
        <v>6468</v>
      </c>
      <c r="AI9" s="248">
        <v>417286</v>
      </c>
      <c r="AJ9" s="23" t="s">
        <v>6334</v>
      </c>
      <c r="AP9" s="242"/>
      <c r="AQ9" s="277"/>
      <c r="AR9" s="278"/>
      <c r="AS9" s="292"/>
    </row>
    <row r="10" spans="1:45">
      <c r="A10" s="151" t="s">
        <v>2496</v>
      </c>
      <c r="B10" s="85">
        <v>-35</v>
      </c>
      <c r="C10" s="85">
        <v>-58</v>
      </c>
      <c r="D10" s="85">
        <v>-4</v>
      </c>
      <c r="E10" s="84">
        <v>10</v>
      </c>
      <c r="F10" s="7">
        <v>3.26</v>
      </c>
      <c r="G10" s="84">
        <v>1732</v>
      </c>
      <c r="H10" s="9" t="s">
        <v>1308</v>
      </c>
      <c r="I10" s="23" t="s">
        <v>1333</v>
      </c>
      <c r="J10" s="371">
        <v>44.33</v>
      </c>
      <c r="K10" s="371">
        <v>2.86</v>
      </c>
      <c r="L10" s="371">
        <v>20.81</v>
      </c>
      <c r="M10" s="371">
        <v>28.64</v>
      </c>
      <c r="N10" s="365">
        <f>J10+K10+L10+M10</f>
        <v>96.64</v>
      </c>
      <c r="O10" s="343">
        <f>J10+M10</f>
        <v>72.97</v>
      </c>
      <c r="P10" s="195">
        <v>2</v>
      </c>
      <c r="Q10" s="326">
        <v>26</v>
      </c>
      <c r="R10" s="111">
        <v>30</v>
      </c>
      <c r="S10" s="51">
        <v>33</v>
      </c>
      <c r="T10" s="339">
        <f>SUM(P10:S10)</f>
        <v>91</v>
      </c>
      <c r="U10" s="329" t="s">
        <v>6538</v>
      </c>
      <c r="V10" s="371">
        <v>3.06</v>
      </c>
      <c r="W10" s="35">
        <v>0.5</v>
      </c>
      <c r="X10" s="100">
        <v>0.7</v>
      </c>
      <c r="Y10" s="37" t="str">
        <f>RTD("money.excel",,"1732","Price")</f>
        <v>無資料</v>
      </c>
      <c r="Z10" s="69">
        <v>32</v>
      </c>
      <c r="AA10" s="16" t="e">
        <f>Y10-Z10</f>
        <v>#VALUE!</v>
      </c>
      <c r="AB10" s="3" t="e">
        <f>AA10/Z10</f>
        <v>#VALUE!</v>
      </c>
      <c r="AC10" s="107" t="s">
        <v>2241</v>
      </c>
      <c r="AD10" s="23" t="s">
        <v>1333</v>
      </c>
      <c r="AF10" s="91">
        <v>44552</v>
      </c>
      <c r="AG10" s="34">
        <f>AF10-AE10</f>
        <v>44552</v>
      </c>
      <c r="AH10" s="44"/>
      <c r="AI10" s="131"/>
      <c r="AJ10" s="23" t="s">
        <v>1333</v>
      </c>
      <c r="AK10" s="66">
        <f>AM10/(A10*10000)</f>
        <v>0</v>
      </c>
      <c r="AL10" s="174">
        <f>AN10/(A10*10000)</f>
        <v>0</v>
      </c>
      <c r="AM10" s="346">
        <f>RTD("money.excel",,"1732","PredictVolume")</f>
        <v>0</v>
      </c>
      <c r="AN10" s="272">
        <f>RTD("money.excel",,"1732","CumulativeVolume")</f>
        <v>0</v>
      </c>
    </row>
    <row r="11" spans="1:45">
      <c r="A11" s="151" t="s">
        <v>4875</v>
      </c>
      <c r="B11" s="85">
        <v>-72</v>
      </c>
      <c r="C11" s="85">
        <v>-77</v>
      </c>
      <c r="D11" s="84">
        <v>431</v>
      </c>
      <c r="E11" s="84">
        <v>3</v>
      </c>
      <c r="F11" s="77">
        <v>-676.48</v>
      </c>
      <c r="G11" s="84">
        <v>6446</v>
      </c>
      <c r="H11" s="9" t="s">
        <v>560</v>
      </c>
      <c r="I11" s="17" t="s">
        <v>1144</v>
      </c>
      <c r="J11" s="371">
        <v>44.89</v>
      </c>
      <c r="K11" s="371">
        <v>7.7</v>
      </c>
      <c r="L11" s="371"/>
      <c r="M11" s="371">
        <v>18.55</v>
      </c>
      <c r="N11" s="365">
        <f t="shared" ref="N11" si="0">J11+K11+L11+M11</f>
        <v>71.14</v>
      </c>
      <c r="O11" s="343">
        <f t="shared" ref="O11:O12" si="1">J11+M11</f>
        <v>63.44</v>
      </c>
      <c r="P11" s="195">
        <v>9</v>
      </c>
      <c r="Q11" s="326">
        <v>11</v>
      </c>
      <c r="R11" s="111">
        <v>19</v>
      </c>
      <c r="S11" s="51">
        <v>41</v>
      </c>
      <c r="T11" s="339">
        <f t="shared" ref="T11" si="2">SUM(P11:S11)</f>
        <v>80</v>
      </c>
      <c r="W11" s="35">
        <v>0</v>
      </c>
      <c r="X11" s="100">
        <v>-10.79</v>
      </c>
      <c r="Y11" s="37" t="str">
        <f>RTD("money.excel",,"6446","Price")</f>
        <v>無資料</v>
      </c>
      <c r="Z11" s="69">
        <v>370</v>
      </c>
      <c r="AA11" s="146" t="e">
        <f t="shared" ref="AA11" si="3">Y11-Z11</f>
        <v>#VALUE!</v>
      </c>
      <c r="AB11" s="3" t="e">
        <f t="shared" ref="AB11" si="4">AA11/Z11</f>
        <v>#VALUE!</v>
      </c>
      <c r="AC11" s="107" t="s">
        <v>2241</v>
      </c>
      <c r="AD11" s="17" t="s">
        <v>1144</v>
      </c>
      <c r="AE11" s="91">
        <v>44559</v>
      </c>
      <c r="AF11" s="89"/>
      <c r="AG11" s="34">
        <f t="shared" ref="AG11" si="5">AF11-AE11</f>
        <v>-44559</v>
      </c>
      <c r="AH11" s="44"/>
      <c r="AI11" s="284"/>
      <c r="AJ11" s="17" t="s">
        <v>1144</v>
      </c>
      <c r="AK11" s="66">
        <f>AM11/(A11*10000)</f>
        <v>0</v>
      </c>
      <c r="AL11" s="174">
        <f>AN11/(A11*10000)</f>
        <v>0</v>
      </c>
      <c r="AM11" s="346">
        <f>RTD("money.excel",,"6446","PredictVolume")</f>
        <v>0</v>
      </c>
      <c r="AN11" s="272">
        <f>RTD("money.excel",,"6446","CumulativeVolume")</f>
        <v>0</v>
      </c>
    </row>
    <row r="12" spans="1:45">
      <c r="A12" s="151" t="s">
        <v>6379</v>
      </c>
      <c r="B12" s="85">
        <v>-270</v>
      </c>
      <c r="C12" s="85">
        <v>-40</v>
      </c>
      <c r="D12" s="85">
        <v>-21</v>
      </c>
      <c r="E12" s="84">
        <v>708</v>
      </c>
      <c r="F12" s="48">
        <v>-1387</v>
      </c>
      <c r="G12" s="84">
        <v>4743</v>
      </c>
      <c r="H12" s="9" t="s">
        <v>560</v>
      </c>
      <c r="I12" s="17" t="s">
        <v>525</v>
      </c>
      <c r="J12" s="371">
        <v>50.26</v>
      </c>
      <c r="K12" s="371">
        <v>13.21</v>
      </c>
      <c r="L12" s="371"/>
      <c r="M12" s="371">
        <v>20.91</v>
      </c>
      <c r="N12" s="365">
        <f t="shared" ref="N12:N85" si="6">K12+J12+L12+M12</f>
        <v>84.38</v>
      </c>
      <c r="O12" s="343">
        <f t="shared" si="1"/>
        <v>71.17</v>
      </c>
      <c r="P12" s="195">
        <v>20</v>
      </c>
      <c r="Q12" s="326">
        <v>36</v>
      </c>
      <c r="R12" s="111">
        <v>38</v>
      </c>
      <c r="S12" s="51">
        <v>40</v>
      </c>
      <c r="T12" s="339">
        <f>SUM(P12:S12)</f>
        <v>134</v>
      </c>
      <c r="V12" s="371">
        <v>2.1</v>
      </c>
      <c r="W12" s="35">
        <v>0</v>
      </c>
      <c r="X12" s="59">
        <v>-2.94</v>
      </c>
      <c r="Y12" s="37" t="str">
        <f>RTD("money.excel",,"4743","Price")</f>
        <v>無資料</v>
      </c>
      <c r="Z12" s="69">
        <v>233</v>
      </c>
      <c r="AA12" s="16" t="e">
        <f>Y12-Z12</f>
        <v>#VALUE!</v>
      </c>
      <c r="AB12" s="66" t="e">
        <f>AA12/Z12</f>
        <v>#VALUE!</v>
      </c>
      <c r="AC12" s="107" t="s">
        <v>6686</v>
      </c>
      <c r="AD12" s="17" t="s">
        <v>525</v>
      </c>
      <c r="AE12" s="91">
        <v>44559</v>
      </c>
      <c r="AF12" s="89"/>
      <c r="AG12" s="34">
        <f>AF12-AE12</f>
        <v>-44559</v>
      </c>
      <c r="AH12" s="44"/>
      <c r="AI12" s="251">
        <v>0</v>
      </c>
      <c r="AJ12" s="17" t="s">
        <v>525</v>
      </c>
      <c r="AK12" s="66">
        <f>AM12/(A12*10000)</f>
        <v>0</v>
      </c>
      <c r="AL12" s="174">
        <f>AN12/(A12*10000)</f>
        <v>0</v>
      </c>
      <c r="AM12" s="346">
        <f>RTD("money.excel",,"6523","PredictVolume")</f>
        <v>0</v>
      </c>
      <c r="AN12" s="272">
        <f>RTD("money.excel",,"4743","CumulativeVolume")</f>
        <v>0</v>
      </c>
      <c r="AP12" s="279"/>
      <c r="AQ12" s="272"/>
      <c r="AR12" s="290"/>
      <c r="AS12" s="292"/>
    </row>
    <row r="13" spans="1:45" s="288" customFormat="1">
      <c r="A13" s="135" t="s">
        <v>5095</v>
      </c>
      <c r="B13" s="96" t="s">
        <v>5096</v>
      </c>
      <c r="C13" s="96" t="s">
        <v>5097</v>
      </c>
      <c r="D13" s="96" t="s">
        <v>5098</v>
      </c>
      <c r="E13" s="96" t="s">
        <v>5099</v>
      </c>
      <c r="F13" s="9" t="s">
        <v>5100</v>
      </c>
      <c r="G13" s="94" t="s">
        <v>5626</v>
      </c>
      <c r="H13" s="318" t="s">
        <v>578</v>
      </c>
      <c r="I13" s="9" t="s">
        <v>5101</v>
      </c>
      <c r="J13" s="343" t="s">
        <v>2189</v>
      </c>
      <c r="K13" s="364" t="s">
        <v>5102</v>
      </c>
      <c r="L13" s="364" t="s">
        <v>5103</v>
      </c>
      <c r="M13" s="343" t="s">
        <v>1699</v>
      </c>
      <c r="N13" s="364" t="s">
        <v>6633</v>
      </c>
      <c r="O13" s="343" t="s">
        <v>6634</v>
      </c>
      <c r="P13" s="83" t="s">
        <v>5279</v>
      </c>
      <c r="Q13" s="326" t="s">
        <v>5514</v>
      </c>
      <c r="R13" s="31" t="s">
        <v>6596</v>
      </c>
      <c r="S13" s="51" t="s">
        <v>6597</v>
      </c>
      <c r="T13" s="338" t="s">
        <v>5627</v>
      </c>
      <c r="U13" s="330" t="s">
        <v>6537</v>
      </c>
      <c r="V13" s="377" t="s">
        <v>6616</v>
      </c>
      <c r="W13" s="11" t="s">
        <v>127</v>
      </c>
      <c r="X13" s="71" t="s">
        <v>6626</v>
      </c>
      <c r="Y13" s="29" t="s">
        <v>6688</v>
      </c>
      <c r="Z13" s="18" t="s">
        <v>2113</v>
      </c>
      <c r="AA13" s="15" t="s">
        <v>5104</v>
      </c>
      <c r="AB13" s="22" t="s">
        <v>5105</v>
      </c>
      <c r="AC13" s="26" t="s">
        <v>5106</v>
      </c>
      <c r="AD13" s="9" t="s">
        <v>5101</v>
      </c>
      <c r="AE13" s="75" t="s">
        <v>5107</v>
      </c>
      <c r="AF13" s="76" t="s">
        <v>5108</v>
      </c>
      <c r="AG13" s="33" t="s">
        <v>5233</v>
      </c>
      <c r="AH13" s="9" t="s">
        <v>5192</v>
      </c>
      <c r="AI13" s="248">
        <f>SUM(AI8:AI12)</f>
        <v>799963</v>
      </c>
      <c r="AJ13" s="9" t="s">
        <v>3593</v>
      </c>
      <c r="AK13" s="9" t="s">
        <v>6666</v>
      </c>
      <c r="AL13" s="5" t="s">
        <v>6667</v>
      </c>
      <c r="AM13" s="51" t="s">
        <v>5339</v>
      </c>
      <c r="AN13" s="276" t="s">
        <v>6665</v>
      </c>
      <c r="AO13" s="83" t="s">
        <v>6911</v>
      </c>
      <c r="AP13" s="71" t="s">
        <v>127</v>
      </c>
    </row>
    <row r="14" spans="1:45">
      <c r="A14" s="135" t="s">
        <v>3401</v>
      </c>
      <c r="B14" s="84">
        <v>60</v>
      </c>
      <c r="C14" s="84">
        <v>61</v>
      </c>
      <c r="D14" s="85">
        <v>-4</v>
      </c>
      <c r="E14" s="84">
        <v>36</v>
      </c>
      <c r="F14" s="59">
        <v>34.54</v>
      </c>
      <c r="G14" s="85">
        <v>6523</v>
      </c>
      <c r="H14" s="5" t="s">
        <v>560</v>
      </c>
      <c r="I14" s="17" t="s">
        <v>1152</v>
      </c>
      <c r="J14" s="371">
        <v>61.74</v>
      </c>
      <c r="K14" s="371">
        <v>5.29</v>
      </c>
      <c r="L14" s="77">
        <v>14.17</v>
      </c>
      <c r="M14" s="371">
        <v>33.82</v>
      </c>
      <c r="N14" s="365">
        <f>K14+J14+L14+M14</f>
        <v>115.02000000000001</v>
      </c>
      <c r="O14" s="369">
        <f>J14+M14</f>
        <v>95.56</v>
      </c>
      <c r="P14" s="232">
        <v>1</v>
      </c>
      <c r="Q14" s="326">
        <v>3</v>
      </c>
      <c r="R14" s="31">
        <v>6</v>
      </c>
      <c r="S14" s="51">
        <v>12</v>
      </c>
      <c r="T14" s="339">
        <f t="shared" ref="T14:T40" si="7">SUM(P14:S14)</f>
        <v>22</v>
      </c>
      <c r="U14" s="329" t="s">
        <v>6539</v>
      </c>
      <c r="V14" s="77">
        <v>0.31</v>
      </c>
      <c r="W14" s="69">
        <v>5.22</v>
      </c>
      <c r="X14" s="59">
        <v>16.45</v>
      </c>
      <c r="Y14" s="37" t="str">
        <f>RTD("money.excel",,"6523","Price")</f>
        <v>無資料</v>
      </c>
      <c r="Z14" s="242">
        <f>76.5-4-4-5.22</f>
        <v>63.28</v>
      </c>
      <c r="AA14" s="16" t="e">
        <f t="shared" ref="AA14" si="8">Y14-Z14</f>
        <v>#VALUE!</v>
      </c>
      <c r="AB14" s="158" t="e">
        <f t="shared" ref="AB14" si="9">AA14/Z14</f>
        <v>#VALUE!</v>
      </c>
      <c r="AC14" s="107" t="s">
        <v>6928</v>
      </c>
      <c r="AD14" s="17" t="s">
        <v>1152</v>
      </c>
      <c r="AE14" s="91">
        <v>44554</v>
      </c>
      <c r="AF14" s="134"/>
      <c r="AG14" s="20" t="s">
        <v>1792</v>
      </c>
      <c r="AH14" s="42" t="s">
        <v>2243</v>
      </c>
      <c r="AI14" s="249" t="e">
        <f t="shared" ref="AI14" si="10">Y14*AG14*1000</f>
        <v>#VALUE!</v>
      </c>
      <c r="AJ14" s="17" t="s">
        <v>1152</v>
      </c>
      <c r="AK14" s="216">
        <f t="shared" ref="AK14:AK40" si="11">AM14/(A14*10000)</f>
        <v>0</v>
      </c>
      <c r="AL14" s="174">
        <f t="shared" ref="AL14:AL40" si="12">AN14/(A14*10000)</f>
        <v>0</v>
      </c>
      <c r="AM14" s="346">
        <f>RTD("money.excel",,"6523","PredictVolume")</f>
        <v>0</v>
      </c>
      <c r="AN14" s="272">
        <f>RTD("money.excel",,"6523","CumulativeVolume")</f>
        <v>0</v>
      </c>
      <c r="AO14" s="232">
        <v>50</v>
      </c>
      <c r="AP14" s="384">
        <f>13.22*AG14</f>
        <v>52.88</v>
      </c>
    </row>
    <row r="15" spans="1:45">
      <c r="A15" s="135" t="s">
        <v>3085</v>
      </c>
      <c r="B15" s="84">
        <v>49</v>
      </c>
      <c r="C15" s="84">
        <v>37</v>
      </c>
      <c r="D15" s="84">
        <v>3</v>
      </c>
      <c r="E15" s="84">
        <v>3</v>
      </c>
      <c r="F15" s="59">
        <v>10.08</v>
      </c>
      <c r="G15" s="84">
        <v>6284</v>
      </c>
      <c r="H15" s="9" t="s">
        <v>559</v>
      </c>
      <c r="I15" s="17" t="s">
        <v>532</v>
      </c>
      <c r="J15" s="371">
        <v>44.98</v>
      </c>
      <c r="K15" s="77">
        <v>1.63</v>
      </c>
      <c r="L15" s="371">
        <v>20.3</v>
      </c>
      <c r="M15" s="371">
        <v>36.08</v>
      </c>
      <c r="N15" s="365">
        <f>K15+J15+L15+M15</f>
        <v>102.99</v>
      </c>
      <c r="O15" s="369">
        <f>J15+M15</f>
        <v>81.06</v>
      </c>
      <c r="P15" s="232">
        <v>2</v>
      </c>
      <c r="Q15" s="326">
        <v>17</v>
      </c>
      <c r="R15" s="111">
        <v>30</v>
      </c>
      <c r="S15" s="51">
        <v>30</v>
      </c>
      <c r="T15" s="339">
        <f>SUM(P15:S15)</f>
        <v>79</v>
      </c>
      <c r="U15" s="329" t="s">
        <v>6540</v>
      </c>
      <c r="V15" s="77">
        <v>3.12</v>
      </c>
      <c r="W15" s="35">
        <v>1</v>
      </c>
      <c r="X15" s="100">
        <v>3.64</v>
      </c>
      <c r="Y15" s="37" t="str">
        <f>RTD("money.excel",,"6284","Price")</f>
        <v>無資料</v>
      </c>
      <c r="Z15" s="242">
        <v>56.7</v>
      </c>
      <c r="AA15" s="16" t="e">
        <f>Y15-Z15</f>
        <v>#VALUE!</v>
      </c>
      <c r="AB15" s="66" t="e">
        <f>AA15/Z15</f>
        <v>#VALUE!</v>
      </c>
      <c r="AC15" s="107" t="s">
        <v>6929</v>
      </c>
      <c r="AD15" s="17" t="s">
        <v>532</v>
      </c>
      <c r="AE15" s="134"/>
      <c r="AF15" s="91">
        <v>44552</v>
      </c>
      <c r="AG15" s="20" t="s">
        <v>2243</v>
      </c>
      <c r="AH15" s="42"/>
      <c r="AI15" s="249" t="e">
        <f>Y15*AG15*1000</f>
        <v>#VALUE!</v>
      </c>
      <c r="AJ15" s="17" t="s">
        <v>532</v>
      </c>
      <c r="AK15" s="392">
        <f>AM15/(A15*10000)</f>
        <v>0</v>
      </c>
      <c r="AL15" s="174">
        <f>AN15/(A15*10000)</f>
        <v>0</v>
      </c>
      <c r="AM15" s="346">
        <f>RTD("money.excel",,"6284","PredictVolume")</f>
        <v>0</v>
      </c>
      <c r="AN15" s="272">
        <f>RTD("money.excel",,"6284","CumulativeVolume")</f>
        <v>0</v>
      </c>
      <c r="AO15" s="232">
        <v>30</v>
      </c>
      <c r="AP15" s="384">
        <f>W15*AG15</f>
        <v>2</v>
      </c>
    </row>
    <row r="16" spans="1:45">
      <c r="A16" s="151" t="s">
        <v>2899</v>
      </c>
      <c r="B16" s="85">
        <v>-119</v>
      </c>
      <c r="C16" s="85">
        <v>-289</v>
      </c>
      <c r="D16" s="84">
        <v>2</v>
      </c>
      <c r="E16" s="84">
        <v>7</v>
      </c>
      <c r="F16" s="7">
        <v>-58.88</v>
      </c>
      <c r="G16" s="84">
        <v>4128</v>
      </c>
      <c r="H16" s="9" t="s">
        <v>560</v>
      </c>
      <c r="I16" s="17" t="s">
        <v>1115</v>
      </c>
      <c r="J16" s="77">
        <v>50.47</v>
      </c>
      <c r="K16" s="77">
        <v>5.96</v>
      </c>
      <c r="L16" s="77">
        <v>17.23</v>
      </c>
      <c r="M16" s="77">
        <v>8.2799999999999994</v>
      </c>
      <c r="N16" s="365">
        <f>K16+J16+L16+M16</f>
        <v>81.94</v>
      </c>
      <c r="O16" s="343">
        <f>J16+M16</f>
        <v>58.75</v>
      </c>
      <c r="P16" s="195">
        <v>4</v>
      </c>
      <c r="Q16" s="326">
        <v>22</v>
      </c>
      <c r="R16" s="31">
        <v>37</v>
      </c>
      <c r="S16" s="51">
        <v>30</v>
      </c>
      <c r="T16" s="339">
        <f>SUM(P16:S16)</f>
        <v>93</v>
      </c>
      <c r="U16" s="329" t="s">
        <v>6538</v>
      </c>
      <c r="V16" s="77">
        <v>1.93</v>
      </c>
      <c r="W16" s="35">
        <v>0.98</v>
      </c>
      <c r="X16" s="100">
        <v>-5.09</v>
      </c>
      <c r="Y16" s="37" t="str">
        <f>RTD("money.excel",,"4128","Price")</f>
        <v>無資料</v>
      </c>
      <c r="Z16" s="242">
        <f>57.1</f>
        <v>57.1</v>
      </c>
      <c r="AA16" s="16" t="e">
        <f>Y16-Z16</f>
        <v>#VALUE!</v>
      </c>
      <c r="AB16" s="66" t="e">
        <f>AA16/Z16</f>
        <v>#VALUE!</v>
      </c>
      <c r="AC16" s="107" t="s">
        <v>6930</v>
      </c>
      <c r="AD16" s="17" t="s">
        <v>1115</v>
      </c>
      <c r="AE16" s="91"/>
      <c r="AF16" s="89">
        <v>44557</v>
      </c>
      <c r="AG16" s="20" t="s">
        <v>5244</v>
      </c>
      <c r="AH16" s="42" t="s">
        <v>1790</v>
      </c>
      <c r="AI16" s="249" t="e">
        <f>Y16*AG16*1000</f>
        <v>#VALUE!</v>
      </c>
      <c r="AJ16" s="17" t="s">
        <v>1115</v>
      </c>
      <c r="AK16" s="66">
        <f>AM16/(A16*10000)</f>
        <v>0</v>
      </c>
      <c r="AL16" s="174">
        <f>AN16/(A16*10000)</f>
        <v>0</v>
      </c>
      <c r="AM16" s="346">
        <f>RTD("money.excel",,"4128","PredictVolume")</f>
        <v>0</v>
      </c>
      <c r="AN16" s="272">
        <f>RTD("money.excel",,"4128","CumulativeVolume")</f>
        <v>0</v>
      </c>
      <c r="AP16" s="384">
        <f>W16*AG16</f>
        <v>5.88</v>
      </c>
    </row>
    <row r="17" spans="1:42">
      <c r="A17" s="135" t="s">
        <v>4670</v>
      </c>
      <c r="B17" s="85">
        <v>-17</v>
      </c>
      <c r="C17" s="85">
        <v>-28</v>
      </c>
      <c r="D17" s="84">
        <v>30</v>
      </c>
      <c r="E17" s="84">
        <v>15</v>
      </c>
      <c r="F17" s="59">
        <v>12.01</v>
      </c>
      <c r="G17" s="84">
        <v>5223</v>
      </c>
      <c r="H17" s="154" t="s">
        <v>1815</v>
      </c>
      <c r="I17" s="17" t="s">
        <v>3541</v>
      </c>
      <c r="J17" s="77">
        <v>53.28</v>
      </c>
      <c r="K17" s="77">
        <v>42.68</v>
      </c>
      <c r="L17" s="371">
        <v>19.13</v>
      </c>
      <c r="M17" s="77">
        <v>43.28</v>
      </c>
      <c r="N17" s="77">
        <f t="shared" ref="N17:N18" si="13">K17+J17+L17+M17</f>
        <v>158.37</v>
      </c>
      <c r="O17" s="369">
        <f t="shared" ref="O17:O18" si="14">J17+M17</f>
        <v>96.56</v>
      </c>
      <c r="P17" s="232">
        <v>6</v>
      </c>
      <c r="Q17" s="326">
        <v>7</v>
      </c>
      <c r="R17" s="31">
        <v>10</v>
      </c>
      <c r="S17" s="51">
        <v>15</v>
      </c>
      <c r="T17" s="339">
        <f t="shared" ref="T17:T18" si="15">SUM(P17:S17)</f>
        <v>38</v>
      </c>
      <c r="U17" s="329" t="s">
        <v>6539</v>
      </c>
      <c r="V17" s="371">
        <v>0.45</v>
      </c>
      <c r="W17" s="69">
        <v>3.41</v>
      </c>
      <c r="X17" s="59">
        <v>5.67</v>
      </c>
      <c r="Y17" s="14" t="str">
        <f>RTD("money.excel",,"5223","Price")</f>
        <v>無資料</v>
      </c>
      <c r="Z17" s="242">
        <v>53.3</v>
      </c>
      <c r="AA17" s="16" t="e">
        <f>Y17-Z17</f>
        <v>#VALUE!</v>
      </c>
      <c r="AB17" s="66" t="e">
        <f>AA17/Z17</f>
        <v>#VALUE!</v>
      </c>
      <c r="AC17" s="107" t="s">
        <v>6931</v>
      </c>
      <c r="AD17" s="17" t="s">
        <v>3541</v>
      </c>
      <c r="AF17" s="91">
        <v>44557</v>
      </c>
      <c r="AG17" s="20" t="s">
        <v>1792</v>
      </c>
      <c r="AH17" s="42"/>
      <c r="AI17" s="249" t="e">
        <f>Y17*AG17*1000</f>
        <v>#VALUE!</v>
      </c>
      <c r="AJ17" s="17" t="s">
        <v>3541</v>
      </c>
      <c r="AK17" s="66">
        <f t="shared" si="11"/>
        <v>0</v>
      </c>
      <c r="AL17" s="174">
        <f t="shared" si="12"/>
        <v>0</v>
      </c>
      <c r="AM17" s="346">
        <f>RTD("money.excel",,"5223","PredictVolume")</f>
        <v>0</v>
      </c>
      <c r="AN17" s="272">
        <f>RTD("money.excel",,"5223","CumulativeVolume")</f>
        <v>0</v>
      </c>
      <c r="AP17" s="384">
        <f t="shared" ref="AP17:AP40" si="16">W17*AG17</f>
        <v>13.64</v>
      </c>
    </row>
    <row r="18" spans="1:42" s="288" customFormat="1">
      <c r="A18" s="135" t="s">
        <v>2696</v>
      </c>
      <c r="B18" s="84">
        <v>23</v>
      </c>
      <c r="C18" s="84">
        <v>35</v>
      </c>
      <c r="D18" s="84">
        <v>6</v>
      </c>
      <c r="E18" s="84">
        <v>34</v>
      </c>
      <c r="F18" s="59">
        <v>23.88</v>
      </c>
      <c r="G18" s="84">
        <v>6592</v>
      </c>
      <c r="H18" s="9" t="s">
        <v>429</v>
      </c>
      <c r="I18" s="163" t="s">
        <v>2687</v>
      </c>
      <c r="J18" s="77">
        <v>79.099999999999994</v>
      </c>
      <c r="K18" s="371">
        <v>27.9</v>
      </c>
      <c r="L18" s="371">
        <v>0.78</v>
      </c>
      <c r="M18" s="77">
        <v>68.39</v>
      </c>
      <c r="N18" s="77">
        <f t="shared" si="13"/>
        <v>176.17000000000002</v>
      </c>
      <c r="O18" s="369">
        <f t="shared" si="14"/>
        <v>147.49</v>
      </c>
      <c r="P18" s="166">
        <v>4</v>
      </c>
      <c r="Q18" s="326">
        <v>8</v>
      </c>
      <c r="R18" s="31">
        <v>23</v>
      </c>
      <c r="S18" s="51">
        <v>1</v>
      </c>
      <c r="T18" s="339">
        <f t="shared" si="15"/>
        <v>36</v>
      </c>
      <c r="U18" s="329" t="s">
        <v>6539</v>
      </c>
      <c r="V18" s="371">
        <v>0.39</v>
      </c>
      <c r="W18" s="68">
        <v>3.5</v>
      </c>
      <c r="X18" s="59">
        <v>5.73</v>
      </c>
      <c r="Y18" s="171" t="str">
        <f>RTD("money.excel",,"6592","Price")</f>
        <v>無資料</v>
      </c>
      <c r="Z18" s="279">
        <f>85.5-3.5</f>
        <v>82</v>
      </c>
      <c r="AA18" s="172" t="e">
        <f t="shared" ref="AA18" si="17">Y18-Z18</f>
        <v>#VALUE!</v>
      </c>
      <c r="AB18" s="168" t="e">
        <f t="shared" ref="AB18" si="18">AA18/Z18</f>
        <v>#VALUE!</v>
      </c>
      <c r="AC18" s="105" t="s">
        <v>6932</v>
      </c>
      <c r="AD18" s="163" t="s">
        <v>2687</v>
      </c>
      <c r="AE18" s="91">
        <v>44554</v>
      </c>
      <c r="AF18" s="89"/>
      <c r="AG18" s="20" t="s">
        <v>1790</v>
      </c>
      <c r="AH18" s="42"/>
      <c r="AI18" s="249" t="e">
        <f t="shared" ref="AI18" si="19">Y18*AG18*1000</f>
        <v>#VALUE!</v>
      </c>
      <c r="AJ18" s="163" t="s">
        <v>2687</v>
      </c>
      <c r="AK18" s="66">
        <f t="shared" si="11"/>
        <v>0</v>
      </c>
      <c r="AL18" s="174">
        <f t="shared" si="12"/>
        <v>0</v>
      </c>
      <c r="AM18" s="346">
        <f>RTD("money.excel",,"6592","PredictVolume")</f>
        <v>0</v>
      </c>
      <c r="AN18" s="272">
        <f>RTD("money.excel",,"6592","CumulativeVolume")</f>
        <v>0</v>
      </c>
      <c r="AO18" s="232">
        <v>5</v>
      </c>
      <c r="AP18" s="384">
        <f t="shared" si="16"/>
        <v>3.5</v>
      </c>
    </row>
    <row r="19" spans="1:42">
      <c r="A19" s="135" t="s">
        <v>2502</v>
      </c>
      <c r="B19" s="84">
        <v>285</v>
      </c>
      <c r="C19" s="84">
        <v>110</v>
      </c>
      <c r="D19" s="84">
        <v>18</v>
      </c>
      <c r="E19" s="85">
        <v>-74</v>
      </c>
      <c r="F19" s="59">
        <v>50.43</v>
      </c>
      <c r="G19" s="84">
        <v>4162</v>
      </c>
      <c r="H19" s="9" t="s">
        <v>560</v>
      </c>
      <c r="I19" s="17" t="s">
        <v>71</v>
      </c>
      <c r="J19" s="77">
        <v>39.71</v>
      </c>
      <c r="K19" s="77">
        <v>4.01</v>
      </c>
      <c r="L19" s="371">
        <v>12.96</v>
      </c>
      <c r="M19" s="77">
        <v>33.299999999999997</v>
      </c>
      <c r="N19" s="365">
        <f t="shared" ref="N19:N28" si="20">K19+J19+L19+M19</f>
        <v>89.97999999999999</v>
      </c>
      <c r="O19" s="343">
        <f t="shared" ref="O19:O28" si="21">J19+M19</f>
        <v>73.009999999999991</v>
      </c>
      <c r="P19" s="195">
        <v>4</v>
      </c>
      <c r="Q19" s="326">
        <v>6</v>
      </c>
      <c r="R19" s="111">
        <v>13</v>
      </c>
      <c r="S19" s="51">
        <v>17</v>
      </c>
      <c r="T19" s="339">
        <f t="shared" ref="T19:T28" si="22">SUM(P19:S19)</f>
        <v>40</v>
      </c>
      <c r="U19" s="329" t="s">
        <v>6539</v>
      </c>
      <c r="V19" s="371">
        <v>0.94</v>
      </c>
      <c r="W19" s="35">
        <v>2.5299999999999998</v>
      </c>
      <c r="X19" s="100">
        <v>5.77</v>
      </c>
      <c r="Y19" s="37" t="str">
        <f>RTD("money.excel",,"4162","Price")</f>
        <v>無資料</v>
      </c>
      <c r="Z19" s="242">
        <f>68.5-2.53</f>
        <v>65.97</v>
      </c>
      <c r="AA19" s="16" t="e">
        <f t="shared" ref="AA19" si="23">Y19-Z19</f>
        <v>#VALUE!</v>
      </c>
      <c r="AB19" s="66" t="e">
        <f t="shared" ref="AB19" si="24">AA19/Z19</f>
        <v>#VALUE!</v>
      </c>
      <c r="AC19" s="107" t="s">
        <v>6933</v>
      </c>
      <c r="AD19" s="17" t="s">
        <v>71</v>
      </c>
      <c r="AE19" s="134">
        <v>44559</v>
      </c>
      <c r="AF19" s="91"/>
      <c r="AG19" s="42" t="s">
        <v>1790</v>
      </c>
      <c r="AH19" s="42" t="s">
        <v>1790</v>
      </c>
      <c r="AI19" s="249" t="e">
        <f>Y19*AG19*1000</f>
        <v>#VALUE!</v>
      </c>
      <c r="AJ19" s="17" t="s">
        <v>71</v>
      </c>
      <c r="AK19" s="216">
        <f t="shared" ref="AK19:AK28" si="25">AM19/(A19*10000)</f>
        <v>0</v>
      </c>
      <c r="AL19" s="174">
        <f t="shared" ref="AL19:AL28" si="26">AN19/(A19*10000)</f>
        <v>0</v>
      </c>
      <c r="AM19" s="346">
        <f>RTD("money.excel",,"4162","PredictVolume")</f>
        <v>0</v>
      </c>
      <c r="AN19" s="272">
        <f>RTD("money.excel",,"4162","CumulativeVolume")</f>
        <v>0</v>
      </c>
      <c r="AO19" s="232">
        <v>90</v>
      </c>
      <c r="AP19" s="384">
        <f t="shared" ref="AP19:AP28" si="27">W19*AG19</f>
        <v>2.5299999999999998</v>
      </c>
    </row>
    <row r="20" spans="1:42" s="288" customFormat="1">
      <c r="A20" s="135" t="s">
        <v>2536</v>
      </c>
      <c r="B20" s="84">
        <v>58</v>
      </c>
      <c r="C20" s="84">
        <v>78</v>
      </c>
      <c r="D20" s="85">
        <v>-7</v>
      </c>
      <c r="E20" s="85">
        <v>-21</v>
      </c>
      <c r="F20" s="59">
        <v>26.72</v>
      </c>
      <c r="G20" s="84">
        <v>3374</v>
      </c>
      <c r="H20" s="154" t="s">
        <v>558</v>
      </c>
      <c r="I20" s="17" t="s">
        <v>323</v>
      </c>
      <c r="J20" s="77">
        <v>48.07</v>
      </c>
      <c r="K20" s="77">
        <v>6.75</v>
      </c>
      <c r="L20" s="77">
        <v>16.78</v>
      </c>
      <c r="M20" s="77">
        <v>41.22</v>
      </c>
      <c r="N20" s="365">
        <f t="shared" si="20"/>
        <v>112.82</v>
      </c>
      <c r="O20" s="369">
        <f t="shared" si="21"/>
        <v>89.289999999999992</v>
      </c>
      <c r="P20" s="195">
        <v>18</v>
      </c>
      <c r="Q20" s="326">
        <v>35</v>
      </c>
      <c r="R20" s="31">
        <v>25</v>
      </c>
      <c r="S20" s="51">
        <v>22</v>
      </c>
      <c r="T20" s="339">
        <f t="shared" si="22"/>
        <v>100</v>
      </c>
      <c r="U20" s="329" t="s">
        <v>6540</v>
      </c>
      <c r="V20" s="371">
        <v>3.27</v>
      </c>
      <c r="W20" s="35">
        <v>2.5</v>
      </c>
      <c r="X20" s="100">
        <v>8.31</v>
      </c>
      <c r="Y20" s="37" t="str">
        <f>RTD("money.excel",,"3374","Price")</f>
        <v>無資料</v>
      </c>
      <c r="Z20" s="279">
        <v>137</v>
      </c>
      <c r="AA20" s="112" t="e">
        <f t="shared" ref="AA20" si="28">Y20-Z20</f>
        <v>#VALUE!</v>
      </c>
      <c r="AB20" s="168" t="e">
        <f t="shared" ref="AB20" si="29">AA20/Z20</f>
        <v>#VALUE!</v>
      </c>
      <c r="AC20" s="177" t="s">
        <v>6934</v>
      </c>
      <c r="AD20" s="176" t="s">
        <v>323</v>
      </c>
      <c r="AE20" s="91">
        <v>44552</v>
      </c>
      <c r="AF20" s="89"/>
      <c r="AG20" s="20" t="s">
        <v>5052</v>
      </c>
      <c r="AH20" s="42"/>
      <c r="AI20" s="249" t="e">
        <f>Y20*AG20*1000</f>
        <v>#VALUE!</v>
      </c>
      <c r="AJ20" s="17" t="s">
        <v>323</v>
      </c>
      <c r="AK20" s="216">
        <f t="shared" si="25"/>
        <v>0</v>
      </c>
      <c r="AL20" s="174">
        <f t="shared" si="26"/>
        <v>0</v>
      </c>
      <c r="AM20" s="346">
        <f>RTD("money.excel",,"3374","PredictVolume")</f>
        <v>0</v>
      </c>
      <c r="AN20" s="272">
        <f>RTD("money.excel",,"3374","CumulativeVolume")</f>
        <v>0</v>
      </c>
      <c r="AO20" s="232">
        <v>90</v>
      </c>
      <c r="AP20" s="384">
        <f t="shared" si="27"/>
        <v>12.5</v>
      </c>
    </row>
    <row r="21" spans="1:42">
      <c r="A21" s="151" t="s">
        <v>3016</v>
      </c>
      <c r="B21" s="84">
        <v>5</v>
      </c>
      <c r="C21" s="84">
        <v>70</v>
      </c>
      <c r="D21" s="84">
        <v>1</v>
      </c>
      <c r="E21" s="84">
        <v>5</v>
      </c>
      <c r="F21" s="7">
        <v>4.54</v>
      </c>
      <c r="G21" s="84">
        <v>3015</v>
      </c>
      <c r="H21" s="9" t="s">
        <v>559</v>
      </c>
      <c r="I21" s="23" t="s">
        <v>704</v>
      </c>
      <c r="J21" s="77">
        <v>54.34</v>
      </c>
      <c r="K21" s="371">
        <v>12.26</v>
      </c>
      <c r="L21" s="371">
        <v>5.98</v>
      </c>
      <c r="M21" s="371">
        <v>24.25</v>
      </c>
      <c r="N21" s="365">
        <f t="shared" si="20"/>
        <v>96.830000000000013</v>
      </c>
      <c r="O21" s="343">
        <f t="shared" si="21"/>
        <v>78.59</v>
      </c>
      <c r="P21" s="195">
        <v>2</v>
      </c>
      <c r="Q21" s="326">
        <v>8</v>
      </c>
      <c r="R21" s="111">
        <v>11</v>
      </c>
      <c r="S21" s="51">
        <v>8</v>
      </c>
      <c r="T21" s="339">
        <f t="shared" si="22"/>
        <v>29</v>
      </c>
      <c r="U21" s="329" t="s">
        <v>6540</v>
      </c>
      <c r="V21" s="77">
        <v>1.02</v>
      </c>
      <c r="W21" s="69">
        <v>3</v>
      </c>
      <c r="X21" s="59">
        <v>3.68</v>
      </c>
      <c r="Y21" s="37" t="str">
        <f>RTD("money.excel",,"3015","Price")</f>
        <v>無資料</v>
      </c>
      <c r="Z21" s="242">
        <v>44.4</v>
      </c>
      <c r="AA21" s="16" t="e">
        <f>Y21-Z21</f>
        <v>#VALUE!</v>
      </c>
      <c r="AB21" s="66" t="e">
        <f>AA21/Z21</f>
        <v>#VALUE!</v>
      </c>
      <c r="AC21" s="105" t="s">
        <v>6935</v>
      </c>
      <c r="AD21" s="23" t="s">
        <v>704</v>
      </c>
      <c r="AF21" s="91">
        <v>44554</v>
      </c>
      <c r="AG21" s="20" t="s">
        <v>1790</v>
      </c>
      <c r="AH21" s="63"/>
      <c r="AI21" s="249" t="e">
        <f t="shared" ref="AI21" si="30">Y21*AG21*1000</f>
        <v>#VALUE!</v>
      </c>
      <c r="AJ21" s="23" t="s">
        <v>704</v>
      </c>
      <c r="AK21" s="66">
        <f t="shared" si="25"/>
        <v>0</v>
      </c>
      <c r="AL21" s="174">
        <f t="shared" si="26"/>
        <v>0</v>
      </c>
      <c r="AM21" s="346">
        <f>RTD("money.excel",,"3015","PredictVolume")</f>
        <v>0</v>
      </c>
      <c r="AN21" s="272">
        <f>RTD("money.excel",,"3015","CumulativeVolume")</f>
        <v>0</v>
      </c>
      <c r="AO21" s="232">
        <v>80</v>
      </c>
      <c r="AP21" s="384">
        <f t="shared" si="27"/>
        <v>3</v>
      </c>
    </row>
    <row r="22" spans="1:42">
      <c r="A22" s="135" t="s">
        <v>3026</v>
      </c>
      <c r="B22" s="85">
        <v>-56</v>
      </c>
      <c r="C22" s="85">
        <v>-46</v>
      </c>
      <c r="D22" s="84">
        <v>23</v>
      </c>
      <c r="E22" s="84">
        <v>124</v>
      </c>
      <c r="F22" s="59">
        <v>15.4</v>
      </c>
      <c r="G22" s="84">
        <v>6477</v>
      </c>
      <c r="H22" s="9" t="s">
        <v>2910</v>
      </c>
      <c r="I22" s="23" t="s">
        <v>833</v>
      </c>
      <c r="J22" s="77">
        <v>39.75</v>
      </c>
      <c r="K22" s="77">
        <v>4.4800000000000004</v>
      </c>
      <c r="L22" s="77">
        <v>34.29</v>
      </c>
      <c r="M22" s="77">
        <v>19.07</v>
      </c>
      <c r="N22" s="365">
        <f t="shared" si="20"/>
        <v>97.59</v>
      </c>
      <c r="O22" s="343">
        <f t="shared" si="21"/>
        <v>58.82</v>
      </c>
      <c r="P22" s="232">
        <v>9</v>
      </c>
      <c r="Q22" s="326">
        <v>25</v>
      </c>
      <c r="R22" s="31">
        <v>47</v>
      </c>
      <c r="S22" s="51">
        <v>30</v>
      </c>
      <c r="T22" s="339">
        <f t="shared" si="22"/>
        <v>111</v>
      </c>
      <c r="U22" s="329" t="s">
        <v>6538</v>
      </c>
      <c r="V22" s="77">
        <v>5.03</v>
      </c>
      <c r="W22" s="35">
        <v>1.1399999999999999</v>
      </c>
      <c r="X22" s="100">
        <v>1.23</v>
      </c>
      <c r="Y22" s="37" t="str">
        <f>RTD("money.excel",,"6477","Price")</f>
        <v>無資料</v>
      </c>
      <c r="Z22" s="242">
        <f>50.2-1.14</f>
        <v>49.06</v>
      </c>
      <c r="AA22" s="16" t="e">
        <f>Y22-Z22</f>
        <v>#VALUE!</v>
      </c>
      <c r="AB22" s="66" t="e">
        <f>AA22/Z22</f>
        <v>#VALUE!</v>
      </c>
      <c r="AC22" s="107" t="s">
        <v>6936</v>
      </c>
      <c r="AD22" s="23" t="s">
        <v>833</v>
      </c>
      <c r="AE22" s="134">
        <v>44559</v>
      </c>
      <c r="AF22" s="91"/>
      <c r="AG22" s="20" t="s">
        <v>1790</v>
      </c>
      <c r="AH22" s="42"/>
      <c r="AI22" s="249" t="e">
        <f>Y22*AG22*1000</f>
        <v>#VALUE!</v>
      </c>
      <c r="AJ22" s="23" t="s">
        <v>833</v>
      </c>
      <c r="AK22" s="216">
        <f t="shared" si="25"/>
        <v>0</v>
      </c>
      <c r="AL22" s="174">
        <f t="shared" si="26"/>
        <v>0</v>
      </c>
      <c r="AM22" s="346">
        <f>RTD("money.excel",,"6477","PredictVolume")</f>
        <v>0</v>
      </c>
      <c r="AN22" s="272">
        <f>RTD("money.excel",,"6477","CumulativeVolume")</f>
        <v>0</v>
      </c>
      <c r="AP22" s="384">
        <f t="shared" si="27"/>
        <v>1.1399999999999999</v>
      </c>
    </row>
    <row r="23" spans="1:42" s="288" customFormat="1">
      <c r="A23" s="151" t="s">
        <v>2688</v>
      </c>
      <c r="B23" s="85">
        <v>-6</v>
      </c>
      <c r="C23" s="85">
        <v>-26</v>
      </c>
      <c r="D23" s="84">
        <v>14</v>
      </c>
      <c r="E23" s="85">
        <v>-11</v>
      </c>
      <c r="F23" s="7">
        <v>1</v>
      </c>
      <c r="G23" s="84">
        <v>4938</v>
      </c>
      <c r="H23" s="218" t="s">
        <v>1815</v>
      </c>
      <c r="I23" s="163" t="s">
        <v>5109</v>
      </c>
      <c r="J23" s="77">
        <v>65.33</v>
      </c>
      <c r="K23" s="77">
        <v>32.9</v>
      </c>
      <c r="L23" s="371">
        <v>1.89</v>
      </c>
      <c r="M23" s="371">
        <v>4.3600000000000003</v>
      </c>
      <c r="N23" s="365">
        <f t="shared" si="20"/>
        <v>104.47999999999999</v>
      </c>
      <c r="O23" s="343">
        <f t="shared" si="21"/>
        <v>69.69</v>
      </c>
      <c r="P23" s="166">
        <v>87</v>
      </c>
      <c r="Q23" s="326">
        <v>66</v>
      </c>
      <c r="R23" s="31">
        <v>16</v>
      </c>
      <c r="S23" s="51">
        <v>12</v>
      </c>
      <c r="T23" s="339">
        <f t="shared" si="22"/>
        <v>181</v>
      </c>
      <c r="U23" s="329" t="s">
        <v>6539</v>
      </c>
      <c r="V23" s="371">
        <v>3.82</v>
      </c>
      <c r="W23" s="68">
        <v>4.49</v>
      </c>
      <c r="X23" s="59">
        <v>6.58</v>
      </c>
      <c r="Y23" s="171" t="str">
        <f>RTD("money.excel",,"4938","Price")</f>
        <v>無資料</v>
      </c>
      <c r="Z23" s="279">
        <f>73.1-4.49</f>
        <v>68.61</v>
      </c>
      <c r="AA23" s="172" t="e">
        <f>Y23-Z23</f>
        <v>#VALUE!</v>
      </c>
      <c r="AB23" s="168" t="e">
        <f>AA23/Z23</f>
        <v>#VALUE!</v>
      </c>
      <c r="AC23" s="105" t="s">
        <v>6937</v>
      </c>
      <c r="AD23" s="163" t="s">
        <v>5109</v>
      </c>
      <c r="AE23" s="134">
        <v>44557</v>
      </c>
      <c r="AF23" s="91"/>
      <c r="AG23" s="20" t="s">
        <v>1790</v>
      </c>
      <c r="AH23" s="42"/>
      <c r="AI23" s="249" t="e">
        <f>Y23*AG23*1000</f>
        <v>#VALUE!</v>
      </c>
      <c r="AJ23" s="163" t="s">
        <v>5109</v>
      </c>
      <c r="AK23" s="66">
        <f t="shared" si="25"/>
        <v>0</v>
      </c>
      <c r="AL23" s="174">
        <f t="shared" si="26"/>
        <v>0</v>
      </c>
      <c r="AM23" s="346">
        <f>RTD("money.excel",,"4938","PredictVolume")</f>
        <v>0</v>
      </c>
      <c r="AN23" s="272">
        <f>RTD("money.excel",,"4938","CumulativeVolume")</f>
        <v>0</v>
      </c>
      <c r="AO23" s="232"/>
      <c r="AP23" s="384">
        <f t="shared" si="27"/>
        <v>4.49</v>
      </c>
    </row>
    <row r="24" spans="1:42">
      <c r="A24" s="135" t="s">
        <v>2560</v>
      </c>
      <c r="B24" s="84">
        <v>53</v>
      </c>
      <c r="C24" s="84">
        <v>69</v>
      </c>
      <c r="D24" s="85">
        <v>-10</v>
      </c>
      <c r="E24" s="85">
        <v>-22</v>
      </c>
      <c r="F24" s="59">
        <v>29.27</v>
      </c>
      <c r="G24" s="84">
        <v>5471</v>
      </c>
      <c r="H24" s="5" t="s">
        <v>558</v>
      </c>
      <c r="I24" s="23" t="s">
        <v>637</v>
      </c>
      <c r="J24" s="371">
        <v>25.79</v>
      </c>
      <c r="K24" s="77">
        <v>16.329999999999998</v>
      </c>
      <c r="L24" s="77">
        <v>18.37</v>
      </c>
      <c r="M24" s="371">
        <v>11.2</v>
      </c>
      <c r="N24" s="365">
        <f t="shared" ref="N24" si="31">K24+J24+L24+M24</f>
        <v>71.69</v>
      </c>
      <c r="O24" s="343">
        <f t="shared" ref="O24" si="32">J24+M24</f>
        <v>36.989999999999995</v>
      </c>
      <c r="P24" s="232">
        <v>26</v>
      </c>
      <c r="Q24" s="326">
        <v>43</v>
      </c>
      <c r="R24" s="111">
        <v>27</v>
      </c>
      <c r="S24" s="51">
        <v>17</v>
      </c>
      <c r="T24" s="339">
        <f t="shared" ref="T24" si="33">SUM(P24:S24)</f>
        <v>113</v>
      </c>
      <c r="U24" s="329" t="s">
        <v>6540</v>
      </c>
      <c r="V24" s="371">
        <v>4.12</v>
      </c>
      <c r="W24" s="69">
        <v>5.7</v>
      </c>
      <c r="X24" s="100">
        <v>8.57</v>
      </c>
      <c r="Y24" s="37" t="str">
        <f>RTD("money.excel",,"5471","Price")</f>
        <v>無資料</v>
      </c>
      <c r="Z24" s="242">
        <v>91.8</v>
      </c>
      <c r="AA24" s="16" t="e">
        <f t="shared" ref="AA24" si="34">Y24-Z24</f>
        <v>#VALUE!</v>
      </c>
      <c r="AB24" s="66" t="e">
        <f t="shared" ref="AB24" si="35">AA24/Z24</f>
        <v>#VALUE!</v>
      </c>
      <c r="AC24" s="105" t="s">
        <v>6910</v>
      </c>
      <c r="AD24" s="23" t="s">
        <v>637</v>
      </c>
      <c r="AE24" s="91"/>
      <c r="AF24" s="89">
        <v>44554</v>
      </c>
      <c r="AG24" s="20" t="s">
        <v>2243</v>
      </c>
      <c r="AH24" s="42"/>
      <c r="AI24" s="249" t="e">
        <f>Y24*AG24*1000</f>
        <v>#VALUE!</v>
      </c>
      <c r="AJ24" s="23" t="s">
        <v>637</v>
      </c>
      <c r="AK24" s="66">
        <f t="shared" ref="AK24" si="36">AM24/(A24*10000)</f>
        <v>0</v>
      </c>
      <c r="AL24" s="174">
        <f t="shared" ref="AL24" si="37">AN24/(A24*10000)</f>
        <v>0</v>
      </c>
      <c r="AM24" s="346">
        <f>RTD("money.excel",,"5471","PredictVolume")</f>
        <v>0</v>
      </c>
      <c r="AN24" s="272">
        <f>RTD("money.excel",,"5471","CumulativeVolume")</f>
        <v>0</v>
      </c>
      <c r="AP24" s="384">
        <f t="shared" ref="AP24" si="38">W24*AG24</f>
        <v>11.4</v>
      </c>
    </row>
    <row r="25" spans="1:42" s="288" customFormat="1">
      <c r="A25" s="135" t="s">
        <v>2445</v>
      </c>
      <c r="B25" s="84">
        <v>132</v>
      </c>
      <c r="C25" s="84">
        <v>233</v>
      </c>
      <c r="D25" s="84">
        <v>2</v>
      </c>
      <c r="E25" s="84">
        <v>7</v>
      </c>
      <c r="F25" s="59">
        <v>11.59</v>
      </c>
      <c r="G25" s="84">
        <v>3265</v>
      </c>
      <c r="H25" s="203" t="s">
        <v>558</v>
      </c>
      <c r="I25" s="176" t="s">
        <v>3581</v>
      </c>
      <c r="J25" s="77">
        <v>58.97</v>
      </c>
      <c r="K25" s="77">
        <v>7.45</v>
      </c>
      <c r="L25" s="77">
        <v>4.4000000000000004</v>
      </c>
      <c r="M25" s="371">
        <v>52.33</v>
      </c>
      <c r="N25" s="365">
        <f>K25+J25+L25+M25</f>
        <v>123.15</v>
      </c>
      <c r="O25" s="369">
        <f>J25+M25</f>
        <v>111.3</v>
      </c>
      <c r="P25" s="166">
        <v>2</v>
      </c>
      <c r="Q25" s="326">
        <v>2</v>
      </c>
      <c r="R25" s="31">
        <v>10</v>
      </c>
      <c r="S25" s="51">
        <v>10</v>
      </c>
      <c r="T25" s="339">
        <f>SUM(P25:S25)</f>
        <v>24</v>
      </c>
      <c r="U25" s="329" t="s">
        <v>6538</v>
      </c>
      <c r="V25" s="77">
        <v>0.39</v>
      </c>
      <c r="W25" s="205">
        <v>1.23</v>
      </c>
      <c r="X25" s="59">
        <v>2.68</v>
      </c>
      <c r="Y25" s="171" t="str">
        <f>RTD("money.excel",,"3265","Price")</f>
        <v>無資料</v>
      </c>
      <c r="Z25" s="279">
        <f>33.4-1.23</f>
        <v>32.17</v>
      </c>
      <c r="AA25" s="172" t="e">
        <f t="shared" ref="AA25" si="39">Y25-Z25</f>
        <v>#VALUE!</v>
      </c>
      <c r="AB25" s="174" t="e">
        <f t="shared" ref="AB25" si="40">AA25/Z25</f>
        <v>#VALUE!</v>
      </c>
      <c r="AC25" s="178" t="s">
        <v>6940</v>
      </c>
      <c r="AD25" s="176" t="s">
        <v>3581</v>
      </c>
      <c r="AE25" s="91">
        <v>44553</v>
      </c>
      <c r="AF25" s="134"/>
      <c r="AG25" s="20" t="s">
        <v>1792</v>
      </c>
      <c r="AH25" s="42"/>
      <c r="AI25" s="249" t="e">
        <f>Y25*AG25*1000</f>
        <v>#VALUE!</v>
      </c>
      <c r="AJ25" s="176" t="s">
        <v>3581</v>
      </c>
      <c r="AK25" s="66">
        <f>AM25/(A25*10000)</f>
        <v>0</v>
      </c>
      <c r="AL25" s="174">
        <f>AN25/(A25*10000)</f>
        <v>0</v>
      </c>
      <c r="AM25" s="346">
        <f>RTD("money.excel",,"3265","PredictVolume")</f>
        <v>0</v>
      </c>
      <c r="AN25" s="272">
        <f>RTD("money.excel",,"3265","CumulativeVolume")</f>
        <v>0</v>
      </c>
      <c r="AO25" s="232"/>
      <c r="AP25" s="384">
        <f>W25*AG25</f>
        <v>4.92</v>
      </c>
    </row>
    <row r="26" spans="1:42">
      <c r="A26" s="151" t="s">
        <v>4803</v>
      </c>
      <c r="B26" s="84">
        <v>24</v>
      </c>
      <c r="C26" s="85">
        <v>-19</v>
      </c>
      <c r="D26" s="84">
        <v>14</v>
      </c>
      <c r="E26" s="85">
        <v>-11</v>
      </c>
      <c r="F26" s="7">
        <v>5.91</v>
      </c>
      <c r="G26" s="84">
        <v>6179</v>
      </c>
      <c r="H26" s="5" t="s">
        <v>429</v>
      </c>
      <c r="I26" s="17" t="s">
        <v>1194</v>
      </c>
      <c r="J26" s="371">
        <v>43.82</v>
      </c>
      <c r="K26" s="371">
        <v>0.37</v>
      </c>
      <c r="L26" s="371">
        <v>21.58</v>
      </c>
      <c r="M26" s="371">
        <v>15.65</v>
      </c>
      <c r="N26" s="365">
        <f t="shared" si="20"/>
        <v>81.42</v>
      </c>
      <c r="O26" s="343">
        <f t="shared" si="21"/>
        <v>59.47</v>
      </c>
      <c r="P26" s="195">
        <v>1</v>
      </c>
      <c r="Q26" s="326">
        <v>1</v>
      </c>
      <c r="R26" s="111">
        <v>15</v>
      </c>
      <c r="S26" s="51">
        <v>7</v>
      </c>
      <c r="T26" s="339">
        <f t="shared" si="22"/>
        <v>24</v>
      </c>
      <c r="U26" s="329" t="s">
        <v>6539</v>
      </c>
      <c r="V26" s="77">
        <v>0.63</v>
      </c>
      <c r="W26" s="35">
        <v>1.88</v>
      </c>
      <c r="X26" s="100">
        <v>2.72</v>
      </c>
      <c r="Y26" s="37" t="str">
        <f>RTD("money.excel",,"6179","Price")</f>
        <v>無資料</v>
      </c>
      <c r="Z26" s="242">
        <v>30.75</v>
      </c>
      <c r="AA26" s="16" t="e">
        <f>Y26-Z26</f>
        <v>#VALUE!</v>
      </c>
      <c r="AB26" s="80" t="e">
        <f>AA26/Z26</f>
        <v>#VALUE!</v>
      </c>
      <c r="AC26" s="144" t="s">
        <v>6938</v>
      </c>
      <c r="AD26" s="17" t="s">
        <v>1194</v>
      </c>
      <c r="AE26" s="91">
        <v>44552</v>
      </c>
      <c r="AF26" s="91"/>
      <c r="AG26" s="20" t="s">
        <v>1790</v>
      </c>
      <c r="AH26" s="42"/>
      <c r="AI26" s="249" t="e">
        <f>Y26*AG26*1000</f>
        <v>#VALUE!</v>
      </c>
      <c r="AJ26" s="17" t="s">
        <v>1194</v>
      </c>
      <c r="AK26" s="66">
        <f t="shared" si="25"/>
        <v>0</v>
      </c>
      <c r="AL26" s="174">
        <f t="shared" si="26"/>
        <v>0</v>
      </c>
      <c r="AM26" s="346">
        <f>RTD("money.excel",,"6179","PredictVolume")</f>
        <v>0</v>
      </c>
      <c r="AN26" s="272">
        <f>RTD("money.excel",,"6179","CumulativeVolume")</f>
        <v>0</v>
      </c>
      <c r="AP26" s="384">
        <f t="shared" si="27"/>
        <v>1.88</v>
      </c>
    </row>
    <row r="27" spans="1:42">
      <c r="A27" s="151" t="s">
        <v>4648</v>
      </c>
      <c r="B27" s="84">
        <v>256</v>
      </c>
      <c r="C27" s="84">
        <v>355</v>
      </c>
      <c r="D27" s="84">
        <v>86</v>
      </c>
      <c r="E27" s="84">
        <v>77</v>
      </c>
      <c r="F27" s="7">
        <v>7.57</v>
      </c>
      <c r="G27" s="85">
        <v>3162</v>
      </c>
      <c r="H27" s="5" t="s">
        <v>544</v>
      </c>
      <c r="I27" s="17" t="s">
        <v>1012</v>
      </c>
      <c r="J27" s="371">
        <v>53.8</v>
      </c>
      <c r="K27" s="371">
        <v>51.92</v>
      </c>
      <c r="L27" s="77">
        <v>7.24</v>
      </c>
      <c r="M27" s="371">
        <v>39.03</v>
      </c>
      <c r="N27" s="77">
        <f>K27+J27+L27+M27</f>
        <v>151.99</v>
      </c>
      <c r="O27" s="369">
        <f>J27+M27</f>
        <v>92.83</v>
      </c>
      <c r="P27" s="195">
        <v>2</v>
      </c>
      <c r="Q27" s="326" t="str">
        <f>IFERROR(VLOOKUP($G27,主力整理!$A$2:$G$2301,6,0),"0")</f>
        <v>0</v>
      </c>
      <c r="R27" s="111">
        <v>6</v>
      </c>
      <c r="S27" s="51">
        <v>13</v>
      </c>
      <c r="T27" s="339">
        <f>SUM(P27:S27)</f>
        <v>21</v>
      </c>
      <c r="U27" s="329" t="s">
        <v>6539</v>
      </c>
      <c r="V27" s="77">
        <v>0.17</v>
      </c>
      <c r="W27" s="35">
        <v>0</v>
      </c>
      <c r="X27" s="59">
        <v>0.79</v>
      </c>
      <c r="Y27" s="14" t="str">
        <f>RTD("money.excel",,"3162","Price")</f>
        <v>無資料</v>
      </c>
      <c r="Z27" s="242">
        <v>46.2</v>
      </c>
      <c r="AA27" s="16" t="e">
        <f t="shared" ref="AA27" si="41">Y27-Z27</f>
        <v>#VALUE!</v>
      </c>
      <c r="AB27" s="80" t="e">
        <f t="shared" ref="AB27" si="42">AA27/Z27</f>
        <v>#VALUE!</v>
      </c>
      <c r="AC27" s="144" t="s">
        <v>6909</v>
      </c>
      <c r="AD27" s="17" t="s">
        <v>1012</v>
      </c>
      <c r="AE27" s="91">
        <v>44557</v>
      </c>
      <c r="AF27" s="123"/>
      <c r="AG27" s="20" t="s">
        <v>1790</v>
      </c>
      <c r="AH27" s="44"/>
      <c r="AI27" s="249" t="e">
        <f t="shared" ref="AI27" si="43">Y27*AG27*1000</f>
        <v>#VALUE!</v>
      </c>
      <c r="AJ27" s="17" t="s">
        <v>1012</v>
      </c>
      <c r="AK27" s="66">
        <f>AM27/(A27*10000)</f>
        <v>0</v>
      </c>
      <c r="AL27" s="174">
        <f>AN27/(A27*10000)</f>
        <v>0</v>
      </c>
      <c r="AM27" s="346">
        <f>RTD("money.excel",,"3162","PredictVolume")</f>
        <v>0</v>
      </c>
      <c r="AN27" s="272">
        <f>RTD("money.excel",,"3162","CumulativeVolume")</f>
        <v>0</v>
      </c>
      <c r="AP27" s="384">
        <f>W27*AG27</f>
        <v>0</v>
      </c>
    </row>
    <row r="28" spans="1:42">
      <c r="A28" s="151" t="s">
        <v>3363</v>
      </c>
      <c r="B28" s="84">
        <v>25</v>
      </c>
      <c r="C28" s="84">
        <v>23</v>
      </c>
      <c r="D28" s="84">
        <v>18</v>
      </c>
      <c r="E28" s="85">
        <v>-7</v>
      </c>
      <c r="F28" s="7">
        <v>4.47</v>
      </c>
      <c r="G28" s="84">
        <v>4958</v>
      </c>
      <c r="H28" s="216" t="s">
        <v>559</v>
      </c>
      <c r="I28" s="23" t="s">
        <v>47</v>
      </c>
      <c r="J28" s="77">
        <v>70.900000000000006</v>
      </c>
      <c r="K28" s="77">
        <v>61.09</v>
      </c>
      <c r="L28" s="371">
        <v>5.37</v>
      </c>
      <c r="M28" s="77">
        <v>32.72</v>
      </c>
      <c r="N28" s="77">
        <f t="shared" si="20"/>
        <v>170.08</v>
      </c>
      <c r="O28" s="369">
        <f t="shared" si="21"/>
        <v>103.62</v>
      </c>
      <c r="P28" s="195">
        <v>47</v>
      </c>
      <c r="Q28" s="326">
        <v>52</v>
      </c>
      <c r="R28" s="31">
        <v>25</v>
      </c>
      <c r="S28" s="51">
        <v>8</v>
      </c>
      <c r="T28" s="339">
        <f t="shared" si="22"/>
        <v>132</v>
      </c>
      <c r="U28" s="329" t="s">
        <v>6540</v>
      </c>
      <c r="V28" s="371">
        <v>3.06</v>
      </c>
      <c r="W28" s="69">
        <v>4.5</v>
      </c>
      <c r="X28" s="59">
        <v>9.7200000000000006</v>
      </c>
      <c r="Y28" s="14" t="str">
        <f>RTD("money.excel",,"4958","Price")</f>
        <v>無資料</v>
      </c>
      <c r="Z28" s="242">
        <f>106-4.5</f>
        <v>101.5</v>
      </c>
      <c r="AA28" s="16" t="e">
        <f>Y28-Z28</f>
        <v>#VALUE!</v>
      </c>
      <c r="AB28" s="80" t="e">
        <f>AA28/Z28</f>
        <v>#VALUE!</v>
      </c>
      <c r="AC28" s="106" t="s">
        <v>6939</v>
      </c>
      <c r="AD28" s="23" t="s">
        <v>47</v>
      </c>
      <c r="AE28" s="134">
        <v>44546</v>
      </c>
      <c r="AF28" s="89"/>
      <c r="AG28" s="20" t="s">
        <v>2306</v>
      </c>
      <c r="AH28" s="42"/>
      <c r="AI28" s="249" t="e">
        <f t="shared" ref="AI28" si="44">Y28*AG28*1000</f>
        <v>#VALUE!</v>
      </c>
      <c r="AJ28" s="23" t="s">
        <v>47</v>
      </c>
      <c r="AK28" s="66">
        <f t="shared" si="25"/>
        <v>0</v>
      </c>
      <c r="AL28" s="174">
        <f t="shared" si="26"/>
        <v>0</v>
      </c>
      <c r="AM28" s="346">
        <f>RTD("money.excel",,"4958","PredictVolume")</f>
        <v>0</v>
      </c>
      <c r="AN28" s="272">
        <f>RTD("money.excel",,"4958","CumulativeVolume")</f>
        <v>0</v>
      </c>
      <c r="AO28" s="232">
        <v>40</v>
      </c>
      <c r="AP28" s="384">
        <f t="shared" si="27"/>
        <v>13.5</v>
      </c>
    </row>
    <row r="29" spans="1:42">
      <c r="A29" s="135" t="s">
        <v>4701</v>
      </c>
      <c r="B29" s="85">
        <v>-27</v>
      </c>
      <c r="C29" s="85">
        <v>-36</v>
      </c>
      <c r="D29" s="84">
        <v>5</v>
      </c>
      <c r="E29" s="84">
        <v>16</v>
      </c>
      <c r="F29" s="59">
        <v>12.56</v>
      </c>
      <c r="G29" s="84">
        <v>4163</v>
      </c>
      <c r="H29" s="9" t="s">
        <v>560</v>
      </c>
      <c r="I29" s="17" t="s">
        <v>273</v>
      </c>
      <c r="J29" s="371">
        <v>34.32</v>
      </c>
      <c r="K29" s="371">
        <v>2.68</v>
      </c>
      <c r="L29" s="77">
        <v>2.44</v>
      </c>
      <c r="M29" s="77">
        <v>14.58</v>
      </c>
      <c r="N29" s="365">
        <f>K29+J29+L29+M29</f>
        <v>54.019999999999996</v>
      </c>
      <c r="O29" s="343">
        <f>J29+M29</f>
        <v>48.9</v>
      </c>
      <c r="P29" s="232">
        <v>0</v>
      </c>
      <c r="Q29" s="326" t="str">
        <f>IFERROR(VLOOKUP($G29,主力整理!$A$2:$G$2301,6,0),"0")</f>
        <v>0</v>
      </c>
      <c r="R29" s="31">
        <v>0</v>
      </c>
      <c r="S29" s="51">
        <v>0</v>
      </c>
      <c r="T29" s="339">
        <f>SUM(P29:S29)</f>
        <v>0</v>
      </c>
      <c r="U29" s="329" t="s">
        <v>6539</v>
      </c>
      <c r="V29" s="371">
        <v>0.36</v>
      </c>
      <c r="W29" s="69">
        <v>3.5</v>
      </c>
      <c r="X29" s="100">
        <v>3.96</v>
      </c>
      <c r="Y29" s="37" t="str">
        <f>RTD("money.excel",,"4163","Price")</f>
        <v>無資料</v>
      </c>
      <c r="Z29" s="242">
        <f>91.7-3.5</f>
        <v>88.2</v>
      </c>
      <c r="AA29" s="16" t="e">
        <f>Y29-Z29</f>
        <v>#VALUE!</v>
      </c>
      <c r="AB29" s="80" t="e">
        <f>AA29/Z29</f>
        <v>#VALUE!</v>
      </c>
      <c r="AC29" s="144" t="s">
        <v>6941</v>
      </c>
      <c r="AD29" s="17" t="s">
        <v>273</v>
      </c>
      <c r="AE29" s="91">
        <v>44559</v>
      </c>
      <c r="AF29" s="91"/>
      <c r="AG29" s="20" t="s">
        <v>2243</v>
      </c>
      <c r="AH29" s="42" t="s">
        <v>1790</v>
      </c>
      <c r="AI29" s="249" t="e">
        <f t="shared" ref="AI29" si="45">Y29*AG29*1000</f>
        <v>#VALUE!</v>
      </c>
      <c r="AJ29" s="17" t="s">
        <v>273</v>
      </c>
      <c r="AK29" s="66">
        <f>AM29/(A29*10000)</f>
        <v>0</v>
      </c>
      <c r="AL29" s="174">
        <f>AN29/(A29*10000)</f>
        <v>0</v>
      </c>
      <c r="AM29" s="346">
        <f>RTD("money.excel",,"4163","PredictVolume")</f>
        <v>0</v>
      </c>
      <c r="AN29" s="272">
        <f>RTD("money.excel",,"4163","CumulativeVolume")</f>
        <v>0</v>
      </c>
      <c r="AO29" s="232">
        <v>50</v>
      </c>
      <c r="AP29" s="384">
        <f>W29*AG29</f>
        <v>7</v>
      </c>
    </row>
    <row r="30" spans="1:42">
      <c r="A30" s="135" t="s">
        <v>2664</v>
      </c>
      <c r="B30" s="84">
        <v>23</v>
      </c>
      <c r="C30" s="84">
        <v>22</v>
      </c>
      <c r="D30" s="84">
        <v>2</v>
      </c>
      <c r="E30" s="84">
        <v>17</v>
      </c>
      <c r="F30" s="59">
        <v>11.17</v>
      </c>
      <c r="G30" s="85">
        <v>1309</v>
      </c>
      <c r="H30" s="5" t="s">
        <v>5284</v>
      </c>
      <c r="I30" s="23" t="s">
        <v>570</v>
      </c>
      <c r="J30" s="77">
        <v>42.25</v>
      </c>
      <c r="K30" s="371">
        <v>2.84</v>
      </c>
      <c r="L30" s="371">
        <v>8.17</v>
      </c>
      <c r="M30" s="371">
        <v>39.380000000000003</v>
      </c>
      <c r="N30" s="365">
        <f t="shared" ref="N30" si="46">K30+J30+L30+M30</f>
        <v>92.640000000000015</v>
      </c>
      <c r="O30" s="369">
        <f t="shared" ref="O30" si="47">J30+M30</f>
        <v>81.63</v>
      </c>
      <c r="P30" s="195">
        <v>17</v>
      </c>
      <c r="Q30" s="326">
        <v>26</v>
      </c>
      <c r="R30" s="111">
        <v>23</v>
      </c>
      <c r="S30" s="51">
        <v>19</v>
      </c>
      <c r="T30" s="339">
        <f t="shared" ref="T30" si="48">SUM(P30:S30)</f>
        <v>85</v>
      </c>
      <c r="U30" s="329" t="s">
        <v>6540</v>
      </c>
      <c r="V30" s="77">
        <v>4.2300000000000004</v>
      </c>
      <c r="W30" s="69">
        <v>3</v>
      </c>
      <c r="X30" s="100">
        <v>6.21</v>
      </c>
      <c r="Y30" s="37" t="str">
        <f>RTD("money.excel",,"1309","Price")</f>
        <v>無資料</v>
      </c>
      <c r="Z30" s="242">
        <v>35.549999999999997</v>
      </c>
      <c r="AA30" s="16" t="e">
        <f>Y30-Z30</f>
        <v>#VALUE!</v>
      </c>
      <c r="AB30" s="80" t="e">
        <f>AA30/Z30</f>
        <v>#VALUE!</v>
      </c>
      <c r="AC30" s="106" t="s">
        <v>6942</v>
      </c>
      <c r="AD30" s="23" t="s">
        <v>570</v>
      </c>
      <c r="AE30" s="89">
        <v>44551</v>
      </c>
      <c r="AG30" s="20" t="s">
        <v>1790</v>
      </c>
      <c r="AH30" s="63"/>
      <c r="AI30" s="249" t="e">
        <f t="shared" ref="AI30" si="49">Y30*AG30*1000</f>
        <v>#VALUE!</v>
      </c>
      <c r="AJ30" s="23" t="s">
        <v>570</v>
      </c>
      <c r="AK30" s="66">
        <f t="shared" si="11"/>
        <v>0</v>
      </c>
      <c r="AL30" s="174">
        <f t="shared" si="12"/>
        <v>0</v>
      </c>
      <c r="AM30" s="346">
        <f>RTD("money.excel",,"1309","PredictVolume")</f>
        <v>0</v>
      </c>
      <c r="AN30" s="272">
        <f>RTD("money.excel",,"1309","CumulativeVolume")</f>
        <v>0</v>
      </c>
      <c r="AO30" s="232">
        <v>90</v>
      </c>
      <c r="AP30" s="384">
        <f t="shared" si="16"/>
        <v>3</v>
      </c>
    </row>
    <row r="31" spans="1:42">
      <c r="A31" s="151" t="s">
        <v>2632</v>
      </c>
      <c r="B31" s="85">
        <v>-3</v>
      </c>
      <c r="C31" s="85">
        <v>-5</v>
      </c>
      <c r="D31" s="84">
        <v>21</v>
      </c>
      <c r="E31" s="85">
        <v>-2</v>
      </c>
      <c r="F31" s="7">
        <v>6.86</v>
      </c>
      <c r="G31" s="84">
        <v>2387</v>
      </c>
      <c r="H31" s="212" t="s">
        <v>1815</v>
      </c>
      <c r="I31" s="23" t="s">
        <v>428</v>
      </c>
      <c r="J31" s="77">
        <v>65.38</v>
      </c>
      <c r="K31" s="371">
        <v>0.9</v>
      </c>
      <c r="L31" s="77">
        <v>18.97</v>
      </c>
      <c r="M31" s="371">
        <v>33.33</v>
      </c>
      <c r="N31" s="365">
        <f>K31+J31+L31+M31</f>
        <v>118.58</v>
      </c>
      <c r="O31" s="369">
        <f>J31+M31</f>
        <v>98.71</v>
      </c>
      <c r="P31" s="232">
        <v>18</v>
      </c>
      <c r="Q31" s="326">
        <v>20</v>
      </c>
      <c r="R31" s="111">
        <v>19</v>
      </c>
      <c r="S31" s="51">
        <v>17</v>
      </c>
      <c r="T31" s="339">
        <f>SUM(P31:S31)</f>
        <v>74</v>
      </c>
      <c r="U31" s="329" t="s">
        <v>6539</v>
      </c>
      <c r="V31" s="371">
        <v>2.5</v>
      </c>
      <c r="W31" s="35">
        <v>2</v>
      </c>
      <c r="X31" s="59">
        <v>6.4</v>
      </c>
      <c r="Y31" s="37" t="str">
        <f>RTD("money.excel",,"2387","Price")</f>
        <v>無資料</v>
      </c>
      <c r="Z31" s="242">
        <f>51.9-2</f>
        <v>49.9</v>
      </c>
      <c r="AA31" s="16" t="e">
        <f t="shared" ref="AA31" si="50">Y31-Z31</f>
        <v>#VALUE!</v>
      </c>
      <c r="AB31" s="80" t="e">
        <f t="shared" ref="AB31" si="51">AA31/Z31</f>
        <v>#VALUE!</v>
      </c>
      <c r="AC31" s="144" t="s">
        <v>6943</v>
      </c>
      <c r="AD31" s="23" t="s">
        <v>428</v>
      </c>
      <c r="AE31" s="89">
        <v>44558</v>
      </c>
      <c r="AF31" s="91"/>
      <c r="AG31" s="20" t="s">
        <v>1790</v>
      </c>
      <c r="AH31" s="42"/>
      <c r="AI31" s="249" t="e">
        <f>Y31*AG31*1000</f>
        <v>#VALUE!</v>
      </c>
      <c r="AJ31" s="23" t="s">
        <v>428</v>
      </c>
      <c r="AK31" s="66">
        <f>AM31/(A31*10000)</f>
        <v>0</v>
      </c>
      <c r="AL31" s="174">
        <f>AN31/(A31*10000)</f>
        <v>0</v>
      </c>
      <c r="AM31" s="346">
        <f>RTD("money.excel",,"2387","PredictVolume")</f>
        <v>0</v>
      </c>
      <c r="AN31" s="272">
        <f>RTD("money.excel",,"2387","CumulativeVolume")</f>
        <v>0</v>
      </c>
      <c r="AP31" s="384">
        <f>W31*AG31</f>
        <v>2</v>
      </c>
    </row>
    <row r="32" spans="1:42">
      <c r="A32" s="135" t="s">
        <v>2906</v>
      </c>
      <c r="B32" s="98">
        <v>2947</v>
      </c>
      <c r="C32" s="98">
        <v>2039</v>
      </c>
      <c r="D32" s="84">
        <v>272</v>
      </c>
      <c r="E32" s="84">
        <v>230</v>
      </c>
      <c r="F32" s="59">
        <v>11.45</v>
      </c>
      <c r="G32" s="84">
        <v>3713</v>
      </c>
      <c r="H32" s="9" t="s">
        <v>2910</v>
      </c>
      <c r="I32" s="17" t="s">
        <v>3276</v>
      </c>
      <c r="J32" s="371">
        <v>50.76</v>
      </c>
      <c r="K32" s="77">
        <v>0.28999999999999998</v>
      </c>
      <c r="L32" s="371"/>
      <c r="M32" s="371">
        <v>35.54</v>
      </c>
      <c r="N32" s="365">
        <f>K32+J32+L32+M32</f>
        <v>86.59</v>
      </c>
      <c r="O32" s="369">
        <f>J32+M32</f>
        <v>86.3</v>
      </c>
      <c r="P32" s="232">
        <v>1</v>
      </c>
      <c r="Q32" s="326">
        <v>1</v>
      </c>
      <c r="R32" s="111">
        <v>4</v>
      </c>
      <c r="S32" s="51">
        <v>10</v>
      </c>
      <c r="T32" s="339">
        <f>SUM(P32:S32)</f>
        <v>16</v>
      </c>
      <c r="V32" s="77">
        <v>0.15</v>
      </c>
      <c r="W32" s="35">
        <v>0</v>
      </c>
      <c r="X32" s="59">
        <v>0.55000000000000004</v>
      </c>
      <c r="Y32" s="37" t="str">
        <f>RTD("money.excel",,"3713","Price")</f>
        <v>無資料</v>
      </c>
      <c r="Z32" s="242">
        <v>40.75</v>
      </c>
      <c r="AA32" s="16" t="e">
        <f t="shared" ref="AA32" si="52">Y32-Z32</f>
        <v>#VALUE!</v>
      </c>
      <c r="AB32" s="80" t="e">
        <f t="shared" ref="AB32" si="53">AA32/Z32</f>
        <v>#VALUE!</v>
      </c>
      <c r="AC32" s="106" t="s">
        <v>6944</v>
      </c>
      <c r="AD32" s="17" t="s">
        <v>3276</v>
      </c>
      <c r="AE32" s="91">
        <v>44559</v>
      </c>
      <c r="AF32" s="89"/>
      <c r="AG32" s="20" t="s">
        <v>2243</v>
      </c>
      <c r="AH32" s="42"/>
      <c r="AI32" s="249" t="e">
        <f>Y32*AG32*1000</f>
        <v>#VALUE!</v>
      </c>
      <c r="AJ32" s="17" t="s">
        <v>3276</v>
      </c>
      <c r="AK32" s="66">
        <f>AM32/(A32*10000)</f>
        <v>0</v>
      </c>
      <c r="AL32" s="174">
        <f>AN32/(A32*10000)</f>
        <v>0</v>
      </c>
      <c r="AM32" s="346">
        <f>RTD("money.excel",,"3713","PredictVolume")</f>
        <v>0</v>
      </c>
      <c r="AN32" s="272">
        <f>RTD("money.excel",,"3713","CumulativeVolume")</f>
        <v>0</v>
      </c>
      <c r="AO32" s="232">
        <v>80</v>
      </c>
      <c r="AP32" s="384">
        <f>W32*AG32</f>
        <v>0</v>
      </c>
    </row>
    <row r="33" spans="1:44">
      <c r="A33" s="135" t="s">
        <v>2485</v>
      </c>
      <c r="B33" s="84">
        <v>649</v>
      </c>
      <c r="C33" s="84">
        <v>151</v>
      </c>
      <c r="D33" s="84">
        <v>104</v>
      </c>
      <c r="E33" s="84">
        <v>27</v>
      </c>
      <c r="F33" s="59">
        <v>13.36</v>
      </c>
      <c r="G33" s="84">
        <v>8936</v>
      </c>
      <c r="H33" s="5" t="s">
        <v>429</v>
      </c>
      <c r="I33" s="17" t="s">
        <v>1218</v>
      </c>
      <c r="J33" s="77">
        <v>36.46</v>
      </c>
      <c r="K33" s="77">
        <v>5.62</v>
      </c>
      <c r="L33" s="77">
        <v>27.01</v>
      </c>
      <c r="M33" s="371">
        <v>3.84</v>
      </c>
      <c r="N33" s="365">
        <f>K33+J33+L33+M33</f>
        <v>72.930000000000007</v>
      </c>
      <c r="O33" s="343">
        <f>J33+M33</f>
        <v>40.299999999999997</v>
      </c>
      <c r="P33" s="232">
        <v>1</v>
      </c>
      <c r="Q33" s="326">
        <v>25</v>
      </c>
      <c r="R33" s="31">
        <v>26</v>
      </c>
      <c r="S33" s="51">
        <v>28</v>
      </c>
      <c r="T33" s="339">
        <f>SUM(P33:S33)</f>
        <v>80</v>
      </c>
      <c r="U33" s="329" t="s">
        <v>6539</v>
      </c>
      <c r="V33" s="77">
        <v>1.96</v>
      </c>
      <c r="W33" s="35">
        <v>0.25</v>
      </c>
      <c r="X33" s="100">
        <v>1.62</v>
      </c>
      <c r="Y33" s="37" t="str">
        <f>RTD("money.excel",,"8936","Price")</f>
        <v>無資料</v>
      </c>
      <c r="Z33" s="242">
        <f>25.1-0.25</f>
        <v>24.85</v>
      </c>
      <c r="AA33" s="16" t="e">
        <f t="shared" ref="AA33" si="54">Y33-Z33</f>
        <v>#VALUE!</v>
      </c>
      <c r="AB33" s="80" t="e">
        <f t="shared" ref="AB33" si="55">AA33/Z33</f>
        <v>#VALUE!</v>
      </c>
      <c r="AC33" s="144" t="s">
        <v>6945</v>
      </c>
      <c r="AD33" s="17" t="s">
        <v>1218</v>
      </c>
      <c r="AE33" s="91">
        <v>44550</v>
      </c>
      <c r="AF33" s="91"/>
      <c r="AG33" s="20" t="s">
        <v>2306</v>
      </c>
      <c r="AH33" s="42"/>
      <c r="AI33" s="249" t="e">
        <f>Y33*AG33*1000</f>
        <v>#VALUE!</v>
      </c>
      <c r="AJ33" s="17" t="s">
        <v>1218</v>
      </c>
      <c r="AK33" s="66">
        <f>AM33/(A33*10000)</f>
        <v>0</v>
      </c>
      <c r="AL33" s="174">
        <f>AN33/(A33*10000)</f>
        <v>0</v>
      </c>
      <c r="AM33" s="346">
        <f>RTD("money.excel",,"8936","PredictVolume")</f>
        <v>0</v>
      </c>
      <c r="AN33" s="272">
        <f>RTD("money.excel",,"8936","CumulativeVolume")</f>
        <v>0</v>
      </c>
      <c r="AP33" s="384">
        <f>W33*AG33</f>
        <v>0.75</v>
      </c>
    </row>
    <row r="34" spans="1:44">
      <c r="A34" s="135" t="s">
        <v>6668</v>
      </c>
      <c r="B34" s="85">
        <v>-13</v>
      </c>
      <c r="C34" s="85">
        <v>-11</v>
      </c>
      <c r="D34" s="84">
        <v>45</v>
      </c>
      <c r="E34" s="85">
        <v>-59</v>
      </c>
      <c r="F34" s="59">
        <v>20.05</v>
      </c>
      <c r="G34" s="84">
        <v>4735</v>
      </c>
      <c r="H34" s="5" t="s">
        <v>560</v>
      </c>
      <c r="I34" s="17" t="s">
        <v>1137</v>
      </c>
      <c r="J34" s="371">
        <v>22.11</v>
      </c>
      <c r="K34" s="77">
        <v>1.43</v>
      </c>
      <c r="L34" s="371">
        <v>9.89</v>
      </c>
      <c r="M34" s="77">
        <v>24.41</v>
      </c>
      <c r="N34" s="365">
        <f>K34+J34+L34+M34</f>
        <v>57.84</v>
      </c>
      <c r="O34" s="343">
        <f>J34+M34</f>
        <v>46.519999999999996</v>
      </c>
      <c r="P34" s="232">
        <v>4</v>
      </c>
      <c r="Q34" s="326">
        <v>1</v>
      </c>
      <c r="R34" s="31">
        <v>6</v>
      </c>
      <c r="S34" s="51">
        <v>9</v>
      </c>
      <c r="T34" s="339">
        <f>SUM(P34:S34)</f>
        <v>20</v>
      </c>
      <c r="U34" s="329" t="s">
        <v>6538</v>
      </c>
      <c r="V34" s="371">
        <v>1.46</v>
      </c>
      <c r="W34" s="69">
        <v>1.2</v>
      </c>
      <c r="X34" s="100">
        <v>13.17</v>
      </c>
      <c r="Y34" s="37" t="str">
        <f>RTD("money.excel",,"4735","Price")</f>
        <v>無資料</v>
      </c>
      <c r="Z34" s="242">
        <f>71.1-2.5-1.2</f>
        <v>67.399999999999991</v>
      </c>
      <c r="AA34" s="16" t="e">
        <f t="shared" ref="AA34" si="56">Y34-Z34</f>
        <v>#VALUE!</v>
      </c>
      <c r="AB34" s="80" t="e">
        <f t="shared" ref="AB34" si="57">AA34/Z34</f>
        <v>#VALUE!</v>
      </c>
      <c r="AC34" s="144" t="s">
        <v>6947</v>
      </c>
      <c r="AD34" s="17" t="s">
        <v>1137</v>
      </c>
      <c r="AE34" s="89">
        <v>44552</v>
      </c>
      <c r="AF34" s="123"/>
      <c r="AG34" s="20" t="s">
        <v>2306</v>
      </c>
      <c r="AH34" s="42" t="s">
        <v>1790</v>
      </c>
      <c r="AI34" s="249" t="e">
        <f t="shared" ref="AI34" si="58">Y34*AG34*1000</f>
        <v>#VALUE!</v>
      </c>
      <c r="AJ34" s="17" t="s">
        <v>1137</v>
      </c>
      <c r="AK34" s="216">
        <f>AM34/(A34*10000)</f>
        <v>0</v>
      </c>
      <c r="AL34" s="174">
        <f>AN34/(A34*10000)</f>
        <v>0</v>
      </c>
      <c r="AM34" s="346">
        <f>RTD("money.excel",,"4735","PredictVolume")</f>
        <v>0</v>
      </c>
      <c r="AN34" s="272">
        <f>RTD("money.excel",,"4735","CumulativeVolume")</f>
        <v>0</v>
      </c>
      <c r="AO34" s="232">
        <v>90</v>
      </c>
      <c r="AP34" s="384">
        <f>3.7*AG34</f>
        <v>11.100000000000001</v>
      </c>
    </row>
    <row r="35" spans="1:44">
      <c r="A35" s="151" t="s">
        <v>6669</v>
      </c>
      <c r="B35" s="85">
        <v>-103</v>
      </c>
      <c r="C35" s="85">
        <v>-108</v>
      </c>
      <c r="D35" s="84">
        <v>11</v>
      </c>
      <c r="E35" s="84">
        <v>51</v>
      </c>
      <c r="F35" s="7">
        <v>1.62</v>
      </c>
      <c r="G35" s="84">
        <v>4130</v>
      </c>
      <c r="H35" s="9" t="s">
        <v>560</v>
      </c>
      <c r="I35" s="17" t="s">
        <v>1118</v>
      </c>
      <c r="J35" s="371">
        <v>30.18</v>
      </c>
      <c r="K35" s="371">
        <v>0.6</v>
      </c>
      <c r="L35" s="77">
        <v>9.48</v>
      </c>
      <c r="M35" s="371">
        <v>26.99</v>
      </c>
      <c r="N35" s="365">
        <f>K35+J35+L35+M35</f>
        <v>67.25</v>
      </c>
      <c r="O35" s="343">
        <f>J35+M35</f>
        <v>57.17</v>
      </c>
      <c r="P35" s="2">
        <v>2</v>
      </c>
      <c r="Q35" s="326">
        <v>1</v>
      </c>
      <c r="R35" s="31">
        <v>9</v>
      </c>
      <c r="S35" s="51">
        <v>8</v>
      </c>
      <c r="T35" s="339">
        <f>SUM(P35:S35)</f>
        <v>20</v>
      </c>
      <c r="U35" s="329" t="s">
        <v>6539</v>
      </c>
      <c r="V35" s="371">
        <v>0.46</v>
      </c>
      <c r="W35" s="35">
        <v>0.61</v>
      </c>
      <c r="X35" s="100">
        <v>-0.1</v>
      </c>
      <c r="Y35" s="37" t="str">
        <f>RTD("money.excel",,"4130","Price")</f>
        <v>無資料</v>
      </c>
      <c r="Z35" s="242">
        <f>28.65</f>
        <v>28.65</v>
      </c>
      <c r="AA35" s="16" t="e">
        <f>Y35-Z35</f>
        <v>#VALUE!</v>
      </c>
      <c r="AB35" s="80" t="e">
        <f>AA35/Z35</f>
        <v>#VALUE!</v>
      </c>
      <c r="AC35" s="144" t="s">
        <v>6946</v>
      </c>
      <c r="AD35" s="17" t="s">
        <v>1118</v>
      </c>
      <c r="AE35" s="134"/>
      <c r="AF35" s="91">
        <v>44557</v>
      </c>
      <c r="AG35" s="20" t="s">
        <v>2306</v>
      </c>
      <c r="AH35" s="42" t="s">
        <v>1790</v>
      </c>
      <c r="AI35" s="249" t="e">
        <f>Y35*AG35*1000</f>
        <v>#VALUE!</v>
      </c>
      <c r="AJ35" s="17" t="s">
        <v>1118</v>
      </c>
      <c r="AK35" s="66">
        <f t="shared" si="11"/>
        <v>0</v>
      </c>
      <c r="AL35" s="174">
        <f t="shared" si="12"/>
        <v>0</v>
      </c>
      <c r="AM35" s="346">
        <f>RTD("money.excel",,"4130","PredictVolume")</f>
        <v>0</v>
      </c>
      <c r="AN35" s="272">
        <f>RTD("money.excel",,"4130","CumulativeVolume")</f>
        <v>0</v>
      </c>
      <c r="AP35" s="384">
        <f t="shared" si="16"/>
        <v>1.83</v>
      </c>
    </row>
    <row r="36" spans="1:44">
      <c r="A36" s="151" t="s">
        <v>4786</v>
      </c>
      <c r="B36" s="85">
        <v>-19</v>
      </c>
      <c r="C36" s="85">
        <v>-5</v>
      </c>
      <c r="D36" s="84">
        <v>0</v>
      </c>
      <c r="E36" s="85">
        <v>-44</v>
      </c>
      <c r="F36" s="7">
        <v>6.09</v>
      </c>
      <c r="G36" s="84">
        <v>6558</v>
      </c>
      <c r="H36" s="9" t="s">
        <v>566</v>
      </c>
      <c r="I36" s="23" t="s">
        <v>1718</v>
      </c>
      <c r="J36" s="371">
        <v>43.23</v>
      </c>
      <c r="K36" s="77">
        <v>1.83</v>
      </c>
      <c r="L36" s="77">
        <v>13.96</v>
      </c>
      <c r="M36" s="371">
        <v>15.84</v>
      </c>
      <c r="N36" s="365">
        <f t="shared" ref="N36:N37" si="59">K36+J36+L36+M36</f>
        <v>74.86</v>
      </c>
      <c r="O36" s="343">
        <f t="shared" ref="O36:O37" si="60">J36+M36</f>
        <v>59.069999999999993</v>
      </c>
      <c r="P36" s="232">
        <v>11</v>
      </c>
      <c r="Q36" s="326">
        <v>1</v>
      </c>
      <c r="R36" s="111">
        <v>9</v>
      </c>
      <c r="S36" s="51">
        <v>5</v>
      </c>
      <c r="T36" s="339">
        <f t="shared" ref="T36:T37" si="61">SUM(P36:S36)</f>
        <v>26</v>
      </c>
      <c r="U36" s="329" t="s">
        <v>6538</v>
      </c>
      <c r="V36" s="77">
        <v>1.86</v>
      </c>
      <c r="W36" s="35">
        <v>0.3</v>
      </c>
      <c r="X36" s="100">
        <v>0.67</v>
      </c>
      <c r="Y36" s="37" t="str">
        <f>RTD("money.excel",,"6558","Price")</f>
        <v>無資料</v>
      </c>
      <c r="Z36" s="242">
        <f>39.1-0.3</f>
        <v>38.800000000000004</v>
      </c>
      <c r="AA36" s="16" t="e">
        <f t="shared" ref="AA36" si="62">Y36-Z36</f>
        <v>#VALUE!</v>
      </c>
      <c r="AB36" s="80" t="e">
        <f t="shared" ref="AB36" si="63">AA36/Z36</f>
        <v>#VALUE!</v>
      </c>
      <c r="AC36" s="144" t="s">
        <v>6948</v>
      </c>
      <c r="AD36" s="23" t="s">
        <v>1718</v>
      </c>
      <c r="AE36" s="91">
        <v>44552</v>
      </c>
      <c r="AF36" s="89"/>
      <c r="AG36" s="20" t="s">
        <v>2243</v>
      </c>
      <c r="AH36" s="42"/>
      <c r="AI36" s="249" t="e">
        <f t="shared" ref="AI36" si="64">Y36*AG36*1000</f>
        <v>#VALUE!</v>
      </c>
      <c r="AJ36" s="23" t="s">
        <v>1718</v>
      </c>
      <c r="AK36" s="66">
        <f t="shared" si="11"/>
        <v>0</v>
      </c>
      <c r="AL36" s="174">
        <f t="shared" si="12"/>
        <v>0</v>
      </c>
      <c r="AM36" s="346">
        <f>RTD("money.excel",,"6558","PredictVolume")</f>
        <v>0</v>
      </c>
      <c r="AN36" s="272">
        <f>RTD("money.excel",,"6558","CumulativeVolume")</f>
        <v>0</v>
      </c>
      <c r="AO36" s="232">
        <v>90</v>
      </c>
      <c r="AP36" s="384">
        <f t="shared" si="16"/>
        <v>0.6</v>
      </c>
    </row>
    <row r="37" spans="1:44" s="288" customFormat="1" ht="16.5" customHeight="1">
      <c r="A37" s="151">
        <v>5.0599999999999996</v>
      </c>
      <c r="B37" s="85">
        <v>-295</v>
      </c>
      <c r="C37" s="85">
        <v>-782</v>
      </c>
      <c r="D37" s="85">
        <v>-27</v>
      </c>
      <c r="E37" s="84">
        <v>19</v>
      </c>
      <c r="F37" s="7">
        <v>-9.69</v>
      </c>
      <c r="G37" s="85">
        <v>4432</v>
      </c>
      <c r="H37" s="19" t="s">
        <v>543</v>
      </c>
      <c r="I37" s="176" t="s">
        <v>377</v>
      </c>
      <c r="J37" s="371">
        <v>45.69</v>
      </c>
      <c r="K37" s="371">
        <v>0.91</v>
      </c>
      <c r="L37" s="77">
        <v>4.88</v>
      </c>
      <c r="M37" s="371">
        <v>45.68</v>
      </c>
      <c r="N37" s="365">
        <f t="shared" si="59"/>
        <v>97.16</v>
      </c>
      <c r="O37" s="369">
        <f t="shared" si="60"/>
        <v>91.37</v>
      </c>
      <c r="P37" s="166">
        <v>0</v>
      </c>
      <c r="Q37" s="326">
        <v>1</v>
      </c>
      <c r="R37" s="31">
        <v>3</v>
      </c>
      <c r="S37" s="51">
        <v>2</v>
      </c>
      <c r="T37" s="339">
        <f t="shared" si="61"/>
        <v>6</v>
      </c>
      <c r="U37" s="329" t="s">
        <v>6538</v>
      </c>
      <c r="V37" s="371">
        <v>0.22</v>
      </c>
      <c r="W37" s="205">
        <v>0</v>
      </c>
      <c r="X37" s="100">
        <v>-1.96</v>
      </c>
      <c r="Y37" s="171" t="str">
        <f>RTD("money.excel",,"4432","Price")</f>
        <v>無資料</v>
      </c>
      <c r="Z37" s="279">
        <v>17.899999999999999</v>
      </c>
      <c r="AA37" s="172" t="e">
        <f t="shared" ref="AA37" si="65">Y37-Z37</f>
        <v>#VALUE!</v>
      </c>
      <c r="AB37" s="174" t="e">
        <f t="shared" ref="AB37" si="66">AA37/Z37</f>
        <v>#VALUE!</v>
      </c>
      <c r="AC37" s="144" t="s">
        <v>6949</v>
      </c>
      <c r="AD37" s="176" t="s">
        <v>377</v>
      </c>
      <c r="AE37" s="91">
        <v>44558</v>
      </c>
      <c r="AF37" s="123"/>
      <c r="AG37" s="42" t="s">
        <v>2576</v>
      </c>
      <c r="AH37" s="42" t="s">
        <v>2576</v>
      </c>
      <c r="AI37" s="249" t="e">
        <f t="shared" ref="AI37" si="67">Y37*AG37*1000</f>
        <v>#VALUE!</v>
      </c>
      <c r="AJ37" s="176" t="s">
        <v>377</v>
      </c>
      <c r="AK37" s="66">
        <f t="shared" si="11"/>
        <v>0</v>
      </c>
      <c r="AL37" s="174">
        <f t="shared" si="12"/>
        <v>0</v>
      </c>
      <c r="AM37" s="346">
        <f>RTD("money.excel",,"4432","PredictVolume")</f>
        <v>0</v>
      </c>
      <c r="AN37" s="272">
        <f>RTD("money.excel",,"4432","CumulativeVolume")</f>
        <v>0</v>
      </c>
      <c r="AO37" s="232">
        <v>70</v>
      </c>
      <c r="AP37" s="384">
        <f t="shared" si="16"/>
        <v>0</v>
      </c>
    </row>
    <row r="38" spans="1:44">
      <c r="A38" s="151" t="s">
        <v>2632</v>
      </c>
      <c r="B38" s="85">
        <v>-85</v>
      </c>
      <c r="C38" s="85">
        <v>-75</v>
      </c>
      <c r="D38" s="85">
        <v>-1</v>
      </c>
      <c r="E38" s="85">
        <v>-15</v>
      </c>
      <c r="F38" s="7">
        <v>7.52</v>
      </c>
      <c r="G38" s="84">
        <v>9919</v>
      </c>
      <c r="H38" s="9" t="s">
        <v>429</v>
      </c>
      <c r="I38" s="23" t="s">
        <v>1250</v>
      </c>
      <c r="J38" s="77">
        <v>44.12</v>
      </c>
      <c r="K38" s="371">
        <v>3.89</v>
      </c>
      <c r="L38" s="371">
        <v>13.23</v>
      </c>
      <c r="M38" s="371">
        <v>27.12</v>
      </c>
      <c r="N38" s="365">
        <f>K38+J38+L38+M38</f>
        <v>88.36</v>
      </c>
      <c r="O38" s="343">
        <f>J38+M38</f>
        <v>71.239999999999995</v>
      </c>
      <c r="P38" s="232">
        <v>8</v>
      </c>
      <c r="Q38" s="326">
        <v>28</v>
      </c>
      <c r="R38" s="31">
        <v>37</v>
      </c>
      <c r="S38" s="51">
        <v>20</v>
      </c>
      <c r="T38" s="339">
        <f>SUM(P38:S38)</f>
        <v>93</v>
      </c>
      <c r="U38" s="329" t="s">
        <v>6538</v>
      </c>
      <c r="V38" s="77">
        <v>3.3</v>
      </c>
      <c r="W38" s="69">
        <v>3</v>
      </c>
      <c r="X38" s="100">
        <v>1.51</v>
      </c>
      <c r="Y38" s="37" t="str">
        <f>RTD("money.excel",,"9919","Price")</f>
        <v>無資料</v>
      </c>
      <c r="Z38" s="242">
        <f>41.9-3</f>
        <v>38.9</v>
      </c>
      <c r="AA38" s="16" t="e">
        <f>Y38-Z38</f>
        <v>#VALUE!</v>
      </c>
      <c r="AB38" s="80" t="e">
        <f>AA38/Z38</f>
        <v>#VALUE!</v>
      </c>
      <c r="AC38" s="106" t="s">
        <v>6950</v>
      </c>
      <c r="AD38" s="23" t="s">
        <v>1250</v>
      </c>
      <c r="AE38" s="91">
        <v>44546</v>
      </c>
      <c r="AF38" s="91"/>
      <c r="AG38" s="20" t="s">
        <v>2243</v>
      </c>
      <c r="AH38" s="42"/>
      <c r="AI38" s="249" t="e">
        <f>Y38*AG38*1000</f>
        <v>#VALUE!</v>
      </c>
      <c r="AJ38" s="23" t="s">
        <v>1250</v>
      </c>
      <c r="AK38" s="66">
        <f>AM38/(A38*10000)</f>
        <v>0</v>
      </c>
      <c r="AL38" s="174">
        <f>AN38/(A38*10000)</f>
        <v>0</v>
      </c>
      <c r="AM38" s="346">
        <f>RTD("money.excel",,"9919","PredictVolume")</f>
        <v>0</v>
      </c>
      <c r="AN38" s="272">
        <f>RTD("money.excel",,"9919","CumulativeVolume")</f>
        <v>0</v>
      </c>
      <c r="AP38" s="384">
        <f>W38*AG38</f>
        <v>6</v>
      </c>
    </row>
    <row r="39" spans="1:44">
      <c r="A39" s="151" t="s">
        <v>2481</v>
      </c>
      <c r="B39" s="85">
        <v>-32</v>
      </c>
      <c r="C39" s="85">
        <v>-27</v>
      </c>
      <c r="D39" s="85">
        <v>-12</v>
      </c>
      <c r="E39" s="85">
        <v>-52</v>
      </c>
      <c r="F39" s="7">
        <v>7.9</v>
      </c>
      <c r="G39" s="85">
        <v>1598</v>
      </c>
      <c r="H39" s="5" t="s">
        <v>560</v>
      </c>
      <c r="I39" s="23" t="s">
        <v>1162</v>
      </c>
      <c r="J39" s="77">
        <v>50.5</v>
      </c>
      <c r="K39" s="371">
        <v>5.61</v>
      </c>
      <c r="L39" s="371">
        <v>17.36</v>
      </c>
      <c r="M39" s="371">
        <v>9.9499999999999993</v>
      </c>
      <c r="N39" s="365">
        <f>K39+J39+L39+M39</f>
        <v>83.42</v>
      </c>
      <c r="O39" s="343">
        <f>J39+M39</f>
        <v>60.45</v>
      </c>
      <c r="P39" s="232">
        <v>20</v>
      </c>
      <c r="Q39" s="326">
        <v>19</v>
      </c>
      <c r="R39" s="111">
        <v>24</v>
      </c>
      <c r="S39" s="51">
        <v>16</v>
      </c>
      <c r="T39" s="339">
        <f>SUM(P39:S39)</f>
        <v>79</v>
      </c>
      <c r="U39" s="329" t="s">
        <v>6539</v>
      </c>
      <c r="V39" s="371">
        <v>4.4000000000000004</v>
      </c>
      <c r="W39" s="69">
        <v>7.47</v>
      </c>
      <c r="X39" s="59">
        <v>9.18</v>
      </c>
      <c r="Y39" s="37" t="str">
        <f>RTD("money.excel",,"1598","Price")</f>
        <v>無資料</v>
      </c>
      <c r="Z39" s="242">
        <f>89.4-7.47</f>
        <v>81.93</v>
      </c>
      <c r="AA39" s="16" t="e">
        <f>Y39-Z39</f>
        <v>#VALUE!</v>
      </c>
      <c r="AB39" s="80" t="e">
        <f>AA39/Z39</f>
        <v>#VALUE!</v>
      </c>
      <c r="AC39" s="106" t="s">
        <v>6951</v>
      </c>
      <c r="AD39" s="23" t="s">
        <v>1162</v>
      </c>
      <c r="AE39" s="91">
        <v>44545</v>
      </c>
      <c r="AF39" s="89"/>
      <c r="AG39" s="20" t="s">
        <v>1792</v>
      </c>
      <c r="AH39" s="42" t="s">
        <v>2243</v>
      </c>
      <c r="AI39" s="249" t="e">
        <f>Y39*AG39*1000</f>
        <v>#VALUE!</v>
      </c>
      <c r="AJ39" s="23" t="s">
        <v>1162</v>
      </c>
      <c r="AK39" s="66">
        <f>AM39/(A39*10000)</f>
        <v>0</v>
      </c>
      <c r="AL39" s="174">
        <f>AN39/(A39*10000)</f>
        <v>0</v>
      </c>
      <c r="AM39" s="346">
        <f>RTD("money.excel",,"1598","PredictVolume")</f>
        <v>0</v>
      </c>
      <c r="AN39" s="272">
        <f>RTD("money.excel",,"1598","CumulativeVolume")</f>
        <v>0</v>
      </c>
      <c r="AP39" s="384">
        <f>W39*AG39</f>
        <v>29.88</v>
      </c>
    </row>
    <row r="40" spans="1:44">
      <c r="A40" s="135" t="s">
        <v>2930</v>
      </c>
      <c r="B40" s="85">
        <v>-81</v>
      </c>
      <c r="C40" s="85">
        <v>-79</v>
      </c>
      <c r="D40" s="84">
        <v>0</v>
      </c>
      <c r="E40" s="85">
        <v>-83</v>
      </c>
      <c r="F40" s="59">
        <v>41.65</v>
      </c>
      <c r="G40" s="84">
        <v>1325</v>
      </c>
      <c r="H40" s="9" t="s">
        <v>5284</v>
      </c>
      <c r="I40" s="23" t="s">
        <v>1089</v>
      </c>
      <c r="J40" s="371">
        <v>41.23</v>
      </c>
      <c r="K40" s="371">
        <v>8.06</v>
      </c>
      <c r="L40" s="371">
        <v>18.95</v>
      </c>
      <c r="M40" s="371">
        <v>32.81</v>
      </c>
      <c r="N40" s="365">
        <f t="shared" si="6"/>
        <v>101.05</v>
      </c>
      <c r="O40" s="343">
        <f t="shared" ref="O40" si="68">J40+M40</f>
        <v>74.039999999999992</v>
      </c>
      <c r="P40" s="232">
        <v>11</v>
      </c>
      <c r="Q40" s="326">
        <v>21</v>
      </c>
      <c r="R40" s="31">
        <v>32</v>
      </c>
      <c r="S40" s="51">
        <v>28</v>
      </c>
      <c r="T40" s="339">
        <f t="shared" si="7"/>
        <v>92</v>
      </c>
      <c r="U40" s="329" t="s">
        <v>6539</v>
      </c>
      <c r="V40" s="77">
        <v>4.57</v>
      </c>
      <c r="W40" s="69">
        <v>12</v>
      </c>
      <c r="X40" s="100">
        <v>9.64</v>
      </c>
      <c r="Y40" s="37" t="str">
        <f>RTD("money.excel",,"1325","Price")</f>
        <v>無資料</v>
      </c>
      <c r="Z40" s="242">
        <f>104.5-12</f>
        <v>92.5</v>
      </c>
      <c r="AA40" s="16" t="e">
        <f>Y40-Z40</f>
        <v>#VALUE!</v>
      </c>
      <c r="AB40" s="80" t="e">
        <f>AA40/Z40</f>
        <v>#VALUE!</v>
      </c>
      <c r="AC40" s="106" t="s">
        <v>6952</v>
      </c>
      <c r="AD40" s="23" t="s">
        <v>1089</v>
      </c>
      <c r="AE40" s="91">
        <v>44551</v>
      </c>
      <c r="AF40" s="91"/>
      <c r="AG40" s="20" t="s">
        <v>5244</v>
      </c>
      <c r="AH40" s="42" t="s">
        <v>1792</v>
      </c>
      <c r="AI40" s="249" t="e">
        <f t="shared" ref="AI40" si="69">Y40*AG40*1000</f>
        <v>#VALUE!</v>
      </c>
      <c r="AJ40" s="23" t="s">
        <v>1089</v>
      </c>
      <c r="AK40" s="66">
        <f t="shared" si="11"/>
        <v>0</v>
      </c>
      <c r="AL40" s="174">
        <f t="shared" si="12"/>
        <v>0</v>
      </c>
      <c r="AM40" s="346">
        <f>RTD("money.excel",,"1325","PredictVolume")</f>
        <v>0</v>
      </c>
      <c r="AN40" s="272">
        <f>RTD("money.excel",,"1325","CumulativeVolume")</f>
        <v>0</v>
      </c>
      <c r="AP40" s="384">
        <f t="shared" si="16"/>
        <v>72</v>
      </c>
    </row>
    <row r="41" spans="1:44" s="288" customFormat="1">
      <c r="A41" s="135"/>
      <c r="B41" s="96"/>
      <c r="C41" s="96"/>
      <c r="D41" s="85"/>
      <c r="E41" s="85"/>
      <c r="F41" s="9"/>
      <c r="G41" s="28"/>
      <c r="H41" s="9"/>
      <c r="I41" s="163"/>
      <c r="J41" s="371"/>
      <c r="K41" s="377"/>
      <c r="L41" s="377"/>
      <c r="M41" s="364"/>
      <c r="N41" s="365"/>
      <c r="O41" s="343"/>
      <c r="P41" s="294"/>
      <c r="Q41" s="327"/>
      <c r="R41" s="334"/>
      <c r="S41" s="51"/>
      <c r="T41" s="339"/>
      <c r="U41" s="329"/>
      <c r="V41" s="369" t="s">
        <v>6683</v>
      </c>
      <c r="W41" s="357"/>
      <c r="Y41" s="176" t="s">
        <v>6684</v>
      </c>
      <c r="AD41" s="333" t="s">
        <v>6477</v>
      </c>
      <c r="AE41" s="56" t="s">
        <v>6478</v>
      </c>
      <c r="AF41" s="345" t="s">
        <v>6621</v>
      </c>
      <c r="AG41" s="51"/>
      <c r="AH41" s="270" t="s">
        <v>5336</v>
      </c>
      <c r="AI41" s="250" t="e">
        <f>SUM(AI14:AI40)</f>
        <v>#VALUE!</v>
      </c>
      <c r="AJ41" s="163"/>
      <c r="AK41" s="66"/>
      <c r="AL41" s="174"/>
      <c r="AM41" s="346"/>
      <c r="AN41" s="272"/>
      <c r="AO41" s="232"/>
      <c r="AP41" s="387">
        <f>SUM(AP14:AP40)</f>
        <v>267.41999999999996</v>
      </c>
    </row>
    <row r="42" spans="1:44" s="288" customFormat="1">
      <c r="A42" s="47" t="s">
        <v>6676</v>
      </c>
      <c r="B42" s="96"/>
      <c r="C42" s="96"/>
      <c r="D42" s="85"/>
      <c r="E42" s="85"/>
      <c r="F42" s="9"/>
      <c r="G42" s="28"/>
      <c r="H42" s="9"/>
      <c r="I42" s="163"/>
      <c r="J42" s="371"/>
      <c r="K42" s="377"/>
      <c r="L42" s="369" t="s">
        <v>6809</v>
      </c>
      <c r="M42" s="364"/>
      <c r="N42" s="365"/>
      <c r="O42" s="343"/>
      <c r="P42" s="294"/>
      <c r="Q42" s="327"/>
      <c r="R42" s="334"/>
      <c r="S42" s="51"/>
      <c r="T42" s="339"/>
      <c r="U42" s="329"/>
      <c r="V42" s="377"/>
      <c r="W42" s="260"/>
      <c r="X42" s="71" t="s">
        <v>6626</v>
      </c>
      <c r="Y42" s="29" t="s">
        <v>6688</v>
      </c>
      <c r="Z42" s="18" t="s">
        <v>2113</v>
      </c>
      <c r="AG42" s="9"/>
      <c r="AH42" s="271" t="s">
        <v>5286</v>
      </c>
      <c r="AI42" s="251" t="e">
        <f>AI41+AI13</f>
        <v>#VALUE!</v>
      </c>
      <c r="AJ42" s="163"/>
      <c r="AK42" s="66"/>
      <c r="AL42" s="174"/>
      <c r="AM42" s="346"/>
      <c r="AN42" s="272"/>
      <c r="AO42" s="232"/>
      <c r="AP42" s="385"/>
    </row>
    <row r="43" spans="1:44">
      <c r="A43" s="151" t="s">
        <v>3318</v>
      </c>
      <c r="B43" s="84">
        <v>50</v>
      </c>
      <c r="C43" s="84">
        <v>51</v>
      </c>
      <c r="D43" s="84">
        <v>12</v>
      </c>
      <c r="E43" s="84">
        <v>30</v>
      </c>
      <c r="F43" s="7">
        <v>4.9400000000000004</v>
      </c>
      <c r="G43" s="84">
        <v>3114</v>
      </c>
      <c r="H43" s="9" t="s">
        <v>559</v>
      </c>
      <c r="I43" s="17" t="s">
        <v>730</v>
      </c>
      <c r="J43" s="371">
        <v>43.45</v>
      </c>
      <c r="K43" s="77">
        <v>1.17</v>
      </c>
      <c r="L43" s="371">
        <v>15.26</v>
      </c>
      <c r="M43" s="371">
        <v>19.95</v>
      </c>
      <c r="N43" s="365">
        <f t="shared" ref="N43:N48" si="70">J43+K43+L43+M43</f>
        <v>79.83</v>
      </c>
      <c r="O43" s="343">
        <f t="shared" ref="O43:O48" si="71">J43+M43</f>
        <v>63.400000000000006</v>
      </c>
      <c r="P43" s="195">
        <v>0</v>
      </c>
      <c r="Q43" s="326">
        <v>12</v>
      </c>
      <c r="R43" s="111">
        <v>17</v>
      </c>
      <c r="S43" s="51">
        <v>16</v>
      </c>
      <c r="T43" s="339">
        <f t="shared" ref="T43:T48" si="72">SUM(P43:S43)</f>
        <v>45</v>
      </c>
      <c r="U43" s="329" t="s">
        <v>6882</v>
      </c>
      <c r="V43" s="77">
        <v>0.88</v>
      </c>
      <c r="W43" s="35">
        <v>1.2</v>
      </c>
      <c r="X43" s="100">
        <v>2.4</v>
      </c>
      <c r="Y43" s="37" t="str">
        <f>RTD("money.excel",,"3114","Price")</f>
        <v>無資料</v>
      </c>
      <c r="Z43" s="69">
        <v>29.5</v>
      </c>
      <c r="AA43" s="16" t="e">
        <f t="shared" ref="AA43:AA45" si="73">Y43-Z43</f>
        <v>#VALUE!</v>
      </c>
      <c r="AB43" s="3" t="e">
        <f t="shared" ref="AB43:AB45" si="74">AA43/Z43</f>
        <v>#VALUE!</v>
      </c>
      <c r="AC43" s="177" t="s">
        <v>6884</v>
      </c>
      <c r="AD43" s="17" t="s">
        <v>730</v>
      </c>
      <c r="AE43" s="89">
        <v>44557</v>
      </c>
      <c r="AG43" s="34">
        <f t="shared" ref="AG43:AG45" si="75">AF43-AE43</f>
        <v>-44557</v>
      </c>
      <c r="AH43" s="44" t="s">
        <v>3762</v>
      </c>
      <c r="AI43" s="131"/>
      <c r="AJ43" s="264"/>
      <c r="AK43" s="66">
        <f t="shared" ref="AK43:AK48" si="76">AM43/(A43*10000)</f>
        <v>0</v>
      </c>
      <c r="AL43" s="174">
        <f t="shared" ref="AL43:AL48" si="77">AN43/(A43*10000)</f>
        <v>0</v>
      </c>
      <c r="AM43" s="346">
        <f>RTD("money.excel",,$G43,"PredictVolume")</f>
        <v>0</v>
      </c>
      <c r="AN43" s="272">
        <f>RTD("money.excel",,$G43,"CumulativeVolume")</f>
        <v>0</v>
      </c>
      <c r="AP43" s="284"/>
    </row>
    <row r="44" spans="1:44">
      <c r="A44" s="151" t="s">
        <v>2596</v>
      </c>
      <c r="B44" s="85">
        <v>-66</v>
      </c>
      <c r="C44" s="85">
        <v>-51</v>
      </c>
      <c r="D44" s="84">
        <v>19</v>
      </c>
      <c r="E44" s="84">
        <v>17</v>
      </c>
      <c r="F44" s="7">
        <v>4.0999999999999996</v>
      </c>
      <c r="G44" s="84">
        <v>8088</v>
      </c>
      <c r="H44" s="212" t="s">
        <v>558</v>
      </c>
      <c r="I44" s="17" t="s">
        <v>680</v>
      </c>
      <c r="J44" s="371">
        <v>18.809999999999999</v>
      </c>
      <c r="K44" s="77">
        <v>9.89</v>
      </c>
      <c r="L44" s="371">
        <v>16.309999999999999</v>
      </c>
      <c r="M44" s="371">
        <v>18.98</v>
      </c>
      <c r="N44" s="365">
        <f t="shared" si="70"/>
        <v>63.989999999999995</v>
      </c>
      <c r="O44" s="343">
        <f t="shared" si="71"/>
        <v>37.79</v>
      </c>
      <c r="P44" s="195">
        <v>2</v>
      </c>
      <c r="Q44" s="326">
        <v>6</v>
      </c>
      <c r="R44" s="111">
        <v>21</v>
      </c>
      <c r="S44" s="51">
        <v>12</v>
      </c>
      <c r="T44" s="339">
        <f t="shared" si="72"/>
        <v>41</v>
      </c>
      <c r="U44" s="329" t="s">
        <v>6883</v>
      </c>
      <c r="V44" s="77">
        <v>1.88</v>
      </c>
      <c r="W44" s="35">
        <v>1.2</v>
      </c>
      <c r="X44" s="100">
        <v>0.84</v>
      </c>
      <c r="Y44" s="37" t="str">
        <f>RTD("money.excel",,"8088","Price")</f>
        <v>無資料</v>
      </c>
      <c r="Z44" s="69">
        <v>24.65</v>
      </c>
      <c r="AA44" s="16" t="e">
        <f t="shared" si="73"/>
        <v>#VALUE!</v>
      </c>
      <c r="AB44" s="3" t="e">
        <f t="shared" si="74"/>
        <v>#VALUE!</v>
      </c>
      <c r="AC44" s="177" t="s">
        <v>6885</v>
      </c>
      <c r="AD44" s="17" t="s">
        <v>680</v>
      </c>
      <c r="AE44" s="89">
        <v>44557</v>
      </c>
      <c r="AG44" s="34">
        <f t="shared" si="75"/>
        <v>-44557</v>
      </c>
      <c r="AH44" s="44" t="s">
        <v>3700</v>
      </c>
      <c r="AI44" s="131"/>
      <c r="AJ44" s="264"/>
      <c r="AK44" s="66">
        <f t="shared" si="76"/>
        <v>0</v>
      </c>
      <c r="AL44" s="174">
        <f t="shared" si="77"/>
        <v>0</v>
      </c>
      <c r="AM44" s="346">
        <f>RTD("money.excel",,$G44,"PredictVolume")</f>
        <v>0</v>
      </c>
      <c r="AN44" s="272">
        <f>RTD("money.excel",,$G44,"CumulativeVolume")</f>
        <v>0</v>
      </c>
      <c r="AP44" s="284"/>
    </row>
    <row r="45" spans="1:44">
      <c r="A45" s="135" t="s">
        <v>6420</v>
      </c>
      <c r="B45" s="84">
        <v>509</v>
      </c>
      <c r="C45" s="84">
        <v>556</v>
      </c>
      <c r="D45" s="85">
        <v>-4</v>
      </c>
      <c r="E45" s="84">
        <v>73</v>
      </c>
      <c r="F45" s="59">
        <v>35.78</v>
      </c>
      <c r="G45" s="85">
        <v>6531</v>
      </c>
      <c r="H45" s="5" t="s">
        <v>558</v>
      </c>
      <c r="I45" s="23" t="s">
        <v>639</v>
      </c>
      <c r="J45" s="371">
        <v>52.01</v>
      </c>
      <c r="K45" s="77">
        <v>20.55</v>
      </c>
      <c r="L45" s="371">
        <v>44.63</v>
      </c>
      <c r="M45" s="371">
        <v>18.64</v>
      </c>
      <c r="N45" s="77">
        <f t="shared" si="70"/>
        <v>135.82999999999998</v>
      </c>
      <c r="O45" s="343">
        <f t="shared" si="71"/>
        <v>70.650000000000006</v>
      </c>
      <c r="P45" s="195">
        <v>12</v>
      </c>
      <c r="Q45" s="326">
        <v>32</v>
      </c>
      <c r="R45" s="111">
        <v>24</v>
      </c>
      <c r="S45" s="51">
        <v>51</v>
      </c>
      <c r="T45" s="339">
        <f t="shared" si="72"/>
        <v>119</v>
      </c>
      <c r="U45" s="329" t="s">
        <v>6540</v>
      </c>
      <c r="V45" s="77">
        <v>14.02</v>
      </c>
      <c r="W45" s="69">
        <v>5</v>
      </c>
      <c r="X45" s="59">
        <v>22.25</v>
      </c>
      <c r="Y45" s="37" t="str">
        <f>RTD("money.excel",,"6531","Price")</f>
        <v>無資料</v>
      </c>
      <c r="Z45" s="69">
        <v>502</v>
      </c>
      <c r="AA45" s="16" t="e">
        <f t="shared" si="73"/>
        <v>#VALUE!</v>
      </c>
      <c r="AB45" s="3" t="e">
        <f t="shared" si="74"/>
        <v>#VALUE!</v>
      </c>
      <c r="AC45" s="177" t="s">
        <v>6886</v>
      </c>
      <c r="AD45" s="23" t="s">
        <v>639</v>
      </c>
      <c r="AE45" s="89">
        <v>44557</v>
      </c>
      <c r="AG45" s="34">
        <f t="shared" si="75"/>
        <v>-44557</v>
      </c>
      <c r="AH45" s="63" t="s">
        <v>3400</v>
      </c>
      <c r="AI45" s="131"/>
      <c r="AJ45" s="264"/>
      <c r="AK45" s="66">
        <f t="shared" si="76"/>
        <v>0</v>
      </c>
      <c r="AL45" s="174">
        <f t="shared" si="77"/>
        <v>0</v>
      </c>
      <c r="AM45" s="346">
        <f>RTD("money.excel",,$G45,"PredictVolume")</f>
        <v>0</v>
      </c>
      <c r="AN45" s="272">
        <f>RTD("money.excel",,$G45,"CumulativeVolume")</f>
        <v>0</v>
      </c>
      <c r="AP45" s="284"/>
    </row>
    <row r="46" spans="1:44">
      <c r="A46" s="135" t="s">
        <v>6295</v>
      </c>
      <c r="B46" s="85">
        <v>-19</v>
      </c>
      <c r="C46" s="85">
        <v>-18</v>
      </c>
      <c r="D46" s="84">
        <v>0</v>
      </c>
      <c r="E46" s="84">
        <v>32</v>
      </c>
      <c r="F46" s="59">
        <v>12.25</v>
      </c>
      <c r="G46" s="85">
        <v>6223</v>
      </c>
      <c r="H46" s="268" t="s">
        <v>558</v>
      </c>
      <c r="I46" s="17" t="s">
        <v>312</v>
      </c>
      <c r="J46" s="77">
        <v>20.89</v>
      </c>
      <c r="K46" s="77">
        <v>14.2</v>
      </c>
      <c r="L46" s="77">
        <v>39.270000000000003</v>
      </c>
      <c r="M46" s="371">
        <v>12.43</v>
      </c>
      <c r="N46" s="365">
        <f t="shared" si="70"/>
        <v>86.79000000000002</v>
      </c>
      <c r="O46" s="343">
        <f t="shared" si="71"/>
        <v>33.32</v>
      </c>
      <c r="P46" s="195">
        <v>9</v>
      </c>
      <c r="Q46" s="326">
        <v>31</v>
      </c>
      <c r="R46" s="111">
        <v>33</v>
      </c>
      <c r="S46" s="51">
        <v>41</v>
      </c>
      <c r="T46" s="339">
        <f t="shared" si="72"/>
        <v>114</v>
      </c>
      <c r="U46" s="329" t="s">
        <v>6540</v>
      </c>
      <c r="V46" s="371">
        <v>2.7</v>
      </c>
      <c r="W46" s="69">
        <v>4.47</v>
      </c>
      <c r="X46" s="100">
        <v>6.6</v>
      </c>
      <c r="Y46" s="37" t="str">
        <f>RTD("money.excel",,"6223","Price")</f>
        <v>無資料</v>
      </c>
      <c r="Z46" s="69">
        <v>115.5</v>
      </c>
      <c r="AA46" s="16" t="e">
        <f>Y46-Z46</f>
        <v>#VALUE!</v>
      </c>
      <c r="AB46" s="3" t="e">
        <f>AA46/Z46</f>
        <v>#VALUE!</v>
      </c>
      <c r="AC46" s="177" t="s">
        <v>6887</v>
      </c>
      <c r="AD46" s="17" t="s">
        <v>312</v>
      </c>
      <c r="AE46" s="89">
        <v>44557</v>
      </c>
      <c r="AG46" s="34">
        <f>AF46-AE46</f>
        <v>-44557</v>
      </c>
      <c r="AH46" s="126" t="s">
        <v>3737</v>
      </c>
      <c r="AI46" s="131"/>
      <c r="AJ46" s="264"/>
      <c r="AK46" s="66">
        <f t="shared" si="76"/>
        <v>0</v>
      </c>
      <c r="AL46" s="174">
        <f t="shared" si="77"/>
        <v>0</v>
      </c>
      <c r="AM46" s="346">
        <f>RTD("money.excel",,$G46,"PredictVolume")</f>
        <v>0</v>
      </c>
      <c r="AN46" s="272">
        <f>RTD("money.excel",,$G46,"CumulativeVolume")</f>
        <v>0</v>
      </c>
      <c r="AP46" s="284"/>
    </row>
    <row r="47" spans="1:44">
      <c r="A47" s="135" t="s">
        <v>2542</v>
      </c>
      <c r="B47" s="84">
        <v>54</v>
      </c>
      <c r="C47" s="84">
        <v>45</v>
      </c>
      <c r="D47" s="84">
        <v>7</v>
      </c>
      <c r="E47" s="84">
        <v>42</v>
      </c>
      <c r="F47" s="59">
        <v>13.21</v>
      </c>
      <c r="G47" s="84">
        <v>2375</v>
      </c>
      <c r="H47" s="216" t="s">
        <v>559</v>
      </c>
      <c r="I47" s="24" t="s">
        <v>457</v>
      </c>
      <c r="J47" s="77">
        <v>14.64</v>
      </c>
      <c r="K47" s="77">
        <v>7.02</v>
      </c>
      <c r="L47" s="371">
        <v>37.75</v>
      </c>
      <c r="M47" s="77">
        <v>7.07</v>
      </c>
      <c r="N47" s="365">
        <f t="shared" si="70"/>
        <v>66.47999999999999</v>
      </c>
      <c r="O47" s="343">
        <f t="shared" si="71"/>
        <v>21.71</v>
      </c>
      <c r="P47" s="195">
        <v>12</v>
      </c>
      <c r="Q47" s="326">
        <v>32</v>
      </c>
      <c r="R47" s="111">
        <v>35</v>
      </c>
      <c r="S47" s="51">
        <v>36</v>
      </c>
      <c r="T47" s="339">
        <f t="shared" si="72"/>
        <v>115</v>
      </c>
      <c r="U47" s="329" t="s">
        <v>6540</v>
      </c>
      <c r="V47" s="371">
        <v>4.9800000000000004</v>
      </c>
      <c r="W47" s="35">
        <v>2</v>
      </c>
      <c r="X47" s="100">
        <v>7.95</v>
      </c>
      <c r="Y47" s="37" t="str">
        <f>RTD("money.excel",,"2375","Price")</f>
        <v>無資料</v>
      </c>
      <c r="Z47" s="69">
        <v>99.3</v>
      </c>
      <c r="AA47" s="16" t="e">
        <f>Y47-Z47</f>
        <v>#VALUE!</v>
      </c>
      <c r="AB47" s="3" t="e">
        <f>AA47/Z47</f>
        <v>#VALUE!</v>
      </c>
      <c r="AC47" s="177" t="s">
        <v>6888</v>
      </c>
      <c r="AD47" s="24" t="s">
        <v>457</v>
      </c>
      <c r="AE47" s="89">
        <v>44557</v>
      </c>
      <c r="AG47" s="34">
        <f>AF47-AE47</f>
        <v>-44557</v>
      </c>
      <c r="AH47" s="50" t="s">
        <v>3378</v>
      </c>
      <c r="AI47" s="129"/>
      <c r="AJ47" s="264"/>
      <c r="AK47" s="66">
        <f t="shared" si="76"/>
        <v>0</v>
      </c>
      <c r="AL47" s="174">
        <f t="shared" si="77"/>
        <v>0</v>
      </c>
      <c r="AM47" s="346">
        <f>RTD("money.excel",,$G47,"PredictVolume")</f>
        <v>0</v>
      </c>
      <c r="AN47" s="272">
        <f>RTD("money.excel",,$G47,"CumulativeVolume")</f>
        <v>0</v>
      </c>
      <c r="AO47" s="140"/>
      <c r="AP47" s="12"/>
      <c r="AQ47" s="12"/>
      <c r="AR47" s="12"/>
    </row>
    <row r="48" spans="1:44">
      <c r="A48" s="135" t="s">
        <v>3107</v>
      </c>
      <c r="B48" s="85">
        <v>-66</v>
      </c>
      <c r="C48" s="85">
        <v>-67</v>
      </c>
      <c r="D48" s="84">
        <v>33</v>
      </c>
      <c r="E48" s="85">
        <v>-17</v>
      </c>
      <c r="F48" s="59">
        <v>16.88</v>
      </c>
      <c r="G48" s="84">
        <v>6538</v>
      </c>
      <c r="H48" s="9" t="s">
        <v>559</v>
      </c>
      <c r="I48" s="17" t="s">
        <v>794</v>
      </c>
      <c r="J48" s="77">
        <v>10.039999999999999</v>
      </c>
      <c r="K48" s="77">
        <v>4.54</v>
      </c>
      <c r="L48" s="77">
        <v>28.43</v>
      </c>
      <c r="M48" s="77">
        <v>13.45</v>
      </c>
      <c r="N48" s="365">
        <f t="shared" si="70"/>
        <v>56.459999999999994</v>
      </c>
      <c r="O48" s="343">
        <f t="shared" si="71"/>
        <v>23.49</v>
      </c>
      <c r="P48" s="195">
        <v>1</v>
      </c>
      <c r="Q48" s="326">
        <v>2</v>
      </c>
      <c r="R48" s="111">
        <v>11</v>
      </c>
      <c r="S48" s="51">
        <v>10</v>
      </c>
      <c r="T48" s="339">
        <f t="shared" si="72"/>
        <v>24</v>
      </c>
      <c r="U48" s="329" t="s">
        <v>6539</v>
      </c>
      <c r="V48" s="77">
        <v>3.12</v>
      </c>
      <c r="W48" s="69">
        <v>7</v>
      </c>
      <c r="X48" s="100">
        <v>5.16</v>
      </c>
      <c r="Y48" s="37" t="str">
        <f>RTD("money.excel",,"6538","Price")</f>
        <v>無資料</v>
      </c>
      <c r="Z48" s="69">
        <v>94.6</v>
      </c>
      <c r="AA48" s="16" t="e">
        <f t="shared" ref="AA48" si="78">Y48-Z48</f>
        <v>#VALUE!</v>
      </c>
      <c r="AB48" s="3" t="e">
        <f t="shared" ref="AB48" si="79">AA48/Z48</f>
        <v>#VALUE!</v>
      </c>
      <c r="AC48" s="177" t="s">
        <v>6822</v>
      </c>
      <c r="AD48" s="17" t="s">
        <v>794</v>
      </c>
      <c r="AE48" s="89">
        <v>44557</v>
      </c>
      <c r="AG48" s="34">
        <f t="shared" ref="AG48" si="80">AF48-AE48</f>
        <v>-44557</v>
      </c>
      <c r="AH48" s="63" t="s">
        <v>2640</v>
      </c>
      <c r="AI48" s="131"/>
      <c r="AJ48" s="264"/>
      <c r="AK48" s="66">
        <f t="shared" si="76"/>
        <v>0</v>
      </c>
      <c r="AL48" s="174">
        <f t="shared" si="77"/>
        <v>0</v>
      </c>
      <c r="AM48" s="346">
        <f>RTD("money.excel",,$G48,"PredictVolume")</f>
        <v>0</v>
      </c>
      <c r="AN48" s="272">
        <f>RTD("money.excel",,$G48,"CumulativeVolume")</f>
        <v>0</v>
      </c>
      <c r="AP48" s="284"/>
    </row>
    <row r="49" spans="1:42">
      <c r="A49" s="135" t="s">
        <v>3107</v>
      </c>
      <c r="B49" s="85">
        <v>-66</v>
      </c>
      <c r="C49" s="85">
        <v>-67</v>
      </c>
      <c r="D49" s="84">
        <v>33</v>
      </c>
      <c r="E49" s="85">
        <v>-17</v>
      </c>
      <c r="F49" s="59">
        <v>16.88</v>
      </c>
      <c r="G49" s="84">
        <v>6538</v>
      </c>
      <c r="H49" s="9" t="s">
        <v>559</v>
      </c>
      <c r="I49" s="17" t="s">
        <v>794</v>
      </c>
      <c r="J49" s="77">
        <v>10.4</v>
      </c>
      <c r="K49" s="77">
        <v>4.54</v>
      </c>
      <c r="L49" s="77">
        <v>28.43</v>
      </c>
      <c r="M49" s="77">
        <v>13.45</v>
      </c>
      <c r="N49" s="365">
        <f t="shared" ref="N49:N53" si="81">J49+K49+L49+M49</f>
        <v>56.820000000000007</v>
      </c>
      <c r="O49" s="343">
        <f t="shared" ref="O49:O53" si="82">J49+M49</f>
        <v>23.85</v>
      </c>
      <c r="P49" s="195">
        <v>1</v>
      </c>
      <c r="Q49" s="326">
        <v>2</v>
      </c>
      <c r="R49" s="111">
        <v>11</v>
      </c>
      <c r="S49" s="51">
        <v>10</v>
      </c>
      <c r="T49" s="339">
        <f t="shared" ref="T49:T53" si="83">SUM(P49:S49)</f>
        <v>24</v>
      </c>
      <c r="U49" s="329" t="s">
        <v>6539</v>
      </c>
      <c r="V49" s="77">
        <v>3.12</v>
      </c>
      <c r="W49" s="69">
        <v>7</v>
      </c>
      <c r="X49" s="100">
        <v>5.16</v>
      </c>
      <c r="Y49" s="37" t="str">
        <f>RTD("money.excel",,"6538","Price")</f>
        <v>無資料</v>
      </c>
      <c r="Z49" s="69">
        <v>96</v>
      </c>
      <c r="AA49" s="16" t="e">
        <f t="shared" ref="AA49:AA53" si="84">Y49-Z49</f>
        <v>#VALUE!</v>
      </c>
      <c r="AB49" s="3" t="e">
        <f t="shared" ref="AB49:AB53" si="85">AA49/Z49</f>
        <v>#VALUE!</v>
      </c>
      <c r="AC49" s="177" t="s">
        <v>6822</v>
      </c>
      <c r="AD49" s="17" t="s">
        <v>794</v>
      </c>
      <c r="AE49" s="89">
        <v>44554</v>
      </c>
      <c r="AG49" s="34">
        <f t="shared" ref="AG49:AG53" si="86">AF49-AE49</f>
        <v>-44554</v>
      </c>
      <c r="AH49" s="63" t="s">
        <v>2640</v>
      </c>
      <c r="AI49" s="131"/>
      <c r="AJ49" s="264"/>
      <c r="AK49" s="66">
        <f t="shared" ref="AK49:AK53" si="87">AM49/(A49*10000)</f>
        <v>0</v>
      </c>
      <c r="AL49" s="174">
        <f t="shared" ref="AL49:AL53" si="88">AN49/(A49*10000)</f>
        <v>0</v>
      </c>
      <c r="AM49" s="346">
        <f>RTD("money.excel",,$G49,"PredictVolume")</f>
        <v>0</v>
      </c>
      <c r="AN49" s="272">
        <f>RTD("money.excel",,$G49,"CumulativeVolume")</f>
        <v>0</v>
      </c>
      <c r="AP49" s="284"/>
    </row>
    <row r="50" spans="1:42">
      <c r="A50" s="135" t="s">
        <v>2726</v>
      </c>
      <c r="B50" s="84">
        <v>5</v>
      </c>
      <c r="C50" s="85">
        <v>-8</v>
      </c>
      <c r="D50" s="85">
        <v>-5</v>
      </c>
      <c r="E50" s="85">
        <v>-44</v>
      </c>
      <c r="F50" s="59">
        <v>20.440000000000001</v>
      </c>
      <c r="G50" s="84">
        <v>3669</v>
      </c>
      <c r="H50" s="9" t="s">
        <v>557</v>
      </c>
      <c r="I50" s="23" t="s">
        <v>1723</v>
      </c>
      <c r="J50" s="371">
        <v>54.51</v>
      </c>
      <c r="K50" s="77">
        <v>1.55</v>
      </c>
      <c r="L50" s="77">
        <v>15.31</v>
      </c>
      <c r="M50" s="371">
        <v>36.6</v>
      </c>
      <c r="N50" s="365">
        <f t="shared" si="81"/>
        <v>107.97</v>
      </c>
      <c r="O50" s="369">
        <f t="shared" si="82"/>
        <v>91.11</v>
      </c>
      <c r="P50" s="195">
        <v>9</v>
      </c>
      <c r="Q50" s="326">
        <v>9</v>
      </c>
      <c r="R50" s="111">
        <v>26</v>
      </c>
      <c r="S50" s="51">
        <v>15</v>
      </c>
      <c r="T50" s="339">
        <f t="shared" si="83"/>
        <v>59</v>
      </c>
      <c r="U50" s="329" t="s">
        <v>6539</v>
      </c>
      <c r="V50" s="77">
        <v>2.4300000000000002</v>
      </c>
      <c r="W50" s="69">
        <v>5</v>
      </c>
      <c r="X50" s="59">
        <v>8.8000000000000007</v>
      </c>
      <c r="Y50" s="37" t="str">
        <f>RTD("money.excel",,"3669","Price")</f>
        <v>無資料</v>
      </c>
      <c r="Z50" s="69">
        <v>60.8</v>
      </c>
      <c r="AA50" s="16" t="e">
        <f t="shared" si="84"/>
        <v>#VALUE!</v>
      </c>
      <c r="AB50" s="3" t="e">
        <f t="shared" si="85"/>
        <v>#VALUE!</v>
      </c>
      <c r="AC50" s="177" t="s">
        <v>6823</v>
      </c>
      <c r="AD50" s="23" t="s">
        <v>1723</v>
      </c>
      <c r="AE50" s="89">
        <v>44554</v>
      </c>
      <c r="AG50" s="34">
        <f t="shared" si="86"/>
        <v>-44554</v>
      </c>
      <c r="AH50" s="126" t="s">
        <v>3012</v>
      </c>
      <c r="AI50" s="131"/>
      <c r="AJ50" s="264"/>
      <c r="AK50" s="66">
        <f t="shared" si="87"/>
        <v>0</v>
      </c>
      <c r="AL50" s="174">
        <f t="shared" si="88"/>
        <v>0</v>
      </c>
      <c r="AM50" s="346">
        <f>RTD("money.excel",,$G50,"PredictVolume")</f>
        <v>0</v>
      </c>
      <c r="AN50" s="272">
        <f>RTD("money.excel",,$G50,"CumulativeVolume")</f>
        <v>0</v>
      </c>
      <c r="AP50" s="284"/>
    </row>
    <row r="51" spans="1:42">
      <c r="A51" s="135" t="s">
        <v>3270</v>
      </c>
      <c r="B51" s="84">
        <v>102</v>
      </c>
      <c r="C51" s="84">
        <v>102</v>
      </c>
      <c r="D51" s="84">
        <v>11</v>
      </c>
      <c r="E51" s="84">
        <v>8</v>
      </c>
      <c r="F51" s="59">
        <v>25.41</v>
      </c>
      <c r="G51" s="85">
        <v>6491</v>
      </c>
      <c r="H51" s="213" t="s">
        <v>560</v>
      </c>
      <c r="I51" s="23" t="s">
        <v>2572</v>
      </c>
      <c r="J51" s="77">
        <v>56.47</v>
      </c>
      <c r="K51" s="371">
        <v>16.690000000000001</v>
      </c>
      <c r="L51" s="77">
        <v>6.58</v>
      </c>
      <c r="M51" s="371">
        <v>43.22</v>
      </c>
      <c r="N51" s="365">
        <f t="shared" si="81"/>
        <v>122.96</v>
      </c>
      <c r="O51" s="369">
        <f t="shared" si="82"/>
        <v>99.69</v>
      </c>
      <c r="P51" s="195">
        <v>10</v>
      </c>
      <c r="Q51" s="326">
        <v>9</v>
      </c>
      <c r="R51" s="31">
        <v>23</v>
      </c>
      <c r="S51" s="51">
        <v>46</v>
      </c>
      <c r="T51" s="339">
        <f t="shared" si="83"/>
        <v>88</v>
      </c>
      <c r="U51" s="329" t="s">
        <v>6541</v>
      </c>
      <c r="V51" s="77">
        <v>2.08</v>
      </c>
      <c r="W51" s="69">
        <v>5</v>
      </c>
      <c r="X51" s="59">
        <v>16.61</v>
      </c>
      <c r="Y51" s="37" t="str">
        <f>RTD("money.excel",,"6491","Price")</f>
        <v>無資料</v>
      </c>
      <c r="Z51" s="69">
        <v>401</v>
      </c>
      <c r="AA51" s="16" t="e">
        <f t="shared" si="84"/>
        <v>#VALUE!</v>
      </c>
      <c r="AB51" s="3" t="e">
        <f t="shared" si="85"/>
        <v>#VALUE!</v>
      </c>
      <c r="AC51" s="177" t="s">
        <v>6830</v>
      </c>
      <c r="AD51" s="23" t="s">
        <v>2572</v>
      </c>
      <c r="AE51" s="89">
        <v>44554</v>
      </c>
      <c r="AG51" s="34">
        <f t="shared" si="86"/>
        <v>-44554</v>
      </c>
      <c r="AH51" s="126" t="s">
        <v>4964</v>
      </c>
      <c r="AI51" s="131"/>
      <c r="AJ51" s="264"/>
      <c r="AK51" s="66">
        <f t="shared" si="87"/>
        <v>0</v>
      </c>
      <c r="AL51" s="174">
        <f t="shared" si="88"/>
        <v>0</v>
      </c>
      <c r="AM51" s="346">
        <f>RTD("money.excel",,$G51,"PredictVolume")</f>
        <v>0</v>
      </c>
      <c r="AN51" s="272">
        <f>RTD("money.excel",,$G51,"CumulativeVolume")</f>
        <v>0</v>
      </c>
      <c r="AP51" s="284"/>
    </row>
    <row r="52" spans="1:42">
      <c r="A52" s="151" t="s">
        <v>6772</v>
      </c>
      <c r="B52" s="85">
        <v>-6</v>
      </c>
      <c r="C52" s="85">
        <v>-35</v>
      </c>
      <c r="D52" s="84">
        <v>9</v>
      </c>
      <c r="E52" s="84">
        <v>59</v>
      </c>
      <c r="F52" s="7">
        <v>4.67</v>
      </c>
      <c r="G52" s="84">
        <v>3483</v>
      </c>
      <c r="H52" s="154" t="s">
        <v>561</v>
      </c>
      <c r="I52" s="17" t="s">
        <v>902</v>
      </c>
      <c r="J52" s="77">
        <v>6.73</v>
      </c>
      <c r="K52" s="371">
        <v>4.2</v>
      </c>
      <c r="L52" s="77">
        <v>63.95</v>
      </c>
      <c r="M52" s="371">
        <v>5.68</v>
      </c>
      <c r="N52" s="365">
        <f t="shared" si="81"/>
        <v>80.56</v>
      </c>
      <c r="O52" s="343">
        <f t="shared" si="82"/>
        <v>12.41</v>
      </c>
      <c r="P52" s="195">
        <v>3</v>
      </c>
      <c r="Q52" s="326">
        <v>27</v>
      </c>
      <c r="R52" s="111">
        <v>41</v>
      </c>
      <c r="S52" s="51">
        <v>43</v>
      </c>
      <c r="T52" s="339">
        <f t="shared" si="83"/>
        <v>114</v>
      </c>
      <c r="U52" s="329" t="s">
        <v>6540</v>
      </c>
      <c r="V52" s="77">
        <v>4.16</v>
      </c>
      <c r="W52" s="35">
        <v>2.5</v>
      </c>
      <c r="X52" s="100">
        <v>3.93</v>
      </c>
      <c r="Y52" s="37" t="str">
        <f>RTD("money.excel",,"3483","Price")</f>
        <v>無資料</v>
      </c>
      <c r="Z52" s="69">
        <v>90.7</v>
      </c>
      <c r="AA52" s="16" t="e">
        <f t="shared" si="84"/>
        <v>#VALUE!</v>
      </c>
      <c r="AB52" s="3" t="e">
        <f t="shared" si="85"/>
        <v>#VALUE!</v>
      </c>
      <c r="AC52" s="177" t="s">
        <v>6831</v>
      </c>
      <c r="AD52" s="17" t="s">
        <v>902</v>
      </c>
      <c r="AE52" s="89">
        <v>44554</v>
      </c>
      <c r="AG52" s="34">
        <f t="shared" si="86"/>
        <v>-44554</v>
      </c>
      <c r="AH52" s="44" t="s">
        <v>4552</v>
      </c>
      <c r="AI52" s="131"/>
      <c r="AJ52" s="264"/>
      <c r="AK52" s="66">
        <f t="shared" si="87"/>
        <v>0</v>
      </c>
      <c r="AL52" s="174">
        <f t="shared" si="88"/>
        <v>0</v>
      </c>
      <c r="AM52" s="346">
        <f>RTD("money.excel",,$G52,"PredictVolume")</f>
        <v>0</v>
      </c>
      <c r="AN52" s="272">
        <f>RTD("money.excel",,$G52,"CumulativeVolume")</f>
        <v>0</v>
      </c>
      <c r="AP52" s="284"/>
    </row>
    <row r="53" spans="1:42">
      <c r="A53" s="135" t="s">
        <v>3192</v>
      </c>
      <c r="B53" s="85">
        <v>-37</v>
      </c>
      <c r="C53" s="85">
        <v>-40</v>
      </c>
      <c r="D53" s="85">
        <v>-24</v>
      </c>
      <c r="E53" s="84">
        <v>17</v>
      </c>
      <c r="F53" s="59">
        <v>12.63</v>
      </c>
      <c r="G53" s="85">
        <v>2404</v>
      </c>
      <c r="H53" s="5" t="s">
        <v>566</v>
      </c>
      <c r="I53" s="23" t="s">
        <v>934</v>
      </c>
      <c r="J53" s="371">
        <v>32.07</v>
      </c>
      <c r="K53" s="371">
        <v>27.66</v>
      </c>
      <c r="L53" s="77">
        <v>5.52</v>
      </c>
      <c r="M53" s="371">
        <v>9.1</v>
      </c>
      <c r="N53" s="365">
        <f t="shared" si="81"/>
        <v>74.349999999999994</v>
      </c>
      <c r="O53" s="343">
        <f t="shared" si="82"/>
        <v>41.17</v>
      </c>
      <c r="P53" s="195">
        <v>29</v>
      </c>
      <c r="Q53" s="326">
        <v>11</v>
      </c>
      <c r="R53" s="111">
        <v>16</v>
      </c>
      <c r="S53" s="51">
        <v>10</v>
      </c>
      <c r="T53" s="339">
        <f t="shared" si="83"/>
        <v>66</v>
      </c>
      <c r="U53" s="329" t="s">
        <v>6539</v>
      </c>
      <c r="V53" s="371">
        <v>3.09</v>
      </c>
      <c r="W53" s="69">
        <v>17</v>
      </c>
      <c r="X53" s="100">
        <v>14.98</v>
      </c>
      <c r="Y53" s="37" t="str">
        <f>RTD("money.excel",,"2404","Price")</f>
        <v>無資料</v>
      </c>
      <c r="Z53" s="69">
        <v>177</v>
      </c>
      <c r="AA53" s="16" t="e">
        <f t="shared" si="84"/>
        <v>#VALUE!</v>
      </c>
      <c r="AB53" s="3" t="e">
        <f t="shared" si="85"/>
        <v>#VALUE!</v>
      </c>
      <c r="AC53" s="177" t="s">
        <v>6832</v>
      </c>
      <c r="AD53" s="23" t="s">
        <v>934</v>
      </c>
      <c r="AE53" s="89">
        <v>44554</v>
      </c>
      <c r="AG53" s="34">
        <f t="shared" si="86"/>
        <v>-44554</v>
      </c>
      <c r="AH53" s="63" t="s">
        <v>2168</v>
      </c>
      <c r="AI53" s="131"/>
      <c r="AJ53" s="264"/>
      <c r="AK53" s="66">
        <f t="shared" si="87"/>
        <v>0</v>
      </c>
      <c r="AL53" s="174">
        <f t="shared" si="88"/>
        <v>0</v>
      </c>
      <c r="AM53" s="346">
        <f>RTD("money.excel",,$G53,"PredictVolume")</f>
        <v>0</v>
      </c>
      <c r="AN53" s="272">
        <f>RTD("money.excel",,$G53,"CumulativeVolume")</f>
        <v>0</v>
      </c>
      <c r="AP53" s="284"/>
    </row>
    <row r="54" spans="1:42">
      <c r="A54" s="135" t="s">
        <v>4671</v>
      </c>
      <c r="B54" s="85">
        <v>-1</v>
      </c>
      <c r="C54" s="84">
        <v>4</v>
      </c>
      <c r="D54" s="84">
        <v>1</v>
      </c>
      <c r="E54" s="84">
        <v>21</v>
      </c>
      <c r="F54" s="59">
        <v>23.35</v>
      </c>
      <c r="G54" s="84">
        <v>6664</v>
      </c>
      <c r="H54" s="9" t="s">
        <v>559</v>
      </c>
      <c r="I54" s="17" t="s">
        <v>1720</v>
      </c>
      <c r="J54" s="371">
        <v>42.88</v>
      </c>
      <c r="K54" s="77">
        <v>0.79</v>
      </c>
      <c r="L54" s="77">
        <v>8.43</v>
      </c>
      <c r="M54" s="77">
        <v>27.62</v>
      </c>
      <c r="N54" s="365">
        <f t="shared" ref="N54:N55" si="89">J54+K54+L54+M54</f>
        <v>79.72</v>
      </c>
      <c r="O54" s="343">
        <f t="shared" ref="O54:O55" si="90">J54+M54</f>
        <v>70.5</v>
      </c>
      <c r="P54" s="195">
        <v>5</v>
      </c>
      <c r="Q54" s="326" t="str">
        <f>IFERROR(VLOOKUP($G54,主力整理!$A$2:$G$2301,6,0),"0")</f>
        <v>0</v>
      </c>
      <c r="R54" s="111">
        <v>0</v>
      </c>
      <c r="S54" s="51">
        <v>0</v>
      </c>
      <c r="T54" s="339">
        <f t="shared" ref="T54:T55" si="91">SUM(P54:S54)</f>
        <v>5</v>
      </c>
      <c r="U54" s="329" t="s">
        <v>6539</v>
      </c>
      <c r="V54" s="371">
        <v>0.17</v>
      </c>
      <c r="W54" s="69">
        <v>4.3</v>
      </c>
      <c r="X54" s="100">
        <v>5.59</v>
      </c>
      <c r="Y54" s="37" t="str">
        <f>RTD("money.excel",,"6664","Price")</f>
        <v>無資料</v>
      </c>
      <c r="Z54" s="69">
        <v>72.5</v>
      </c>
      <c r="AA54" s="16" t="e">
        <f t="shared" ref="AA54:AA55" si="92">Y54-Z54</f>
        <v>#VALUE!</v>
      </c>
      <c r="AB54" s="3" t="e">
        <f t="shared" ref="AB54:AB55" si="93">AA54/Z54</f>
        <v>#VALUE!</v>
      </c>
      <c r="AC54" s="177" t="s">
        <v>6813</v>
      </c>
      <c r="AD54" s="17" t="s">
        <v>1720</v>
      </c>
      <c r="AE54" s="89">
        <v>44554</v>
      </c>
      <c r="AG54" s="34">
        <f t="shared" ref="AG54:AG55" si="94">AF54-AE54</f>
        <v>-44554</v>
      </c>
      <c r="AH54" s="63" t="s">
        <v>3662</v>
      </c>
      <c r="AI54" s="131"/>
      <c r="AJ54" s="264"/>
      <c r="AK54" s="66">
        <f t="shared" ref="AK54:AK55" si="95">AM54/(A54*10000)</f>
        <v>0</v>
      </c>
      <c r="AL54" s="174">
        <f t="shared" ref="AL54:AL55" si="96">AN54/(A54*10000)</f>
        <v>0</v>
      </c>
      <c r="AM54" s="346">
        <f>RTD("money.excel",,$G54,"PredictVolume")</f>
        <v>0</v>
      </c>
      <c r="AN54" s="272">
        <f>RTD("money.excel",,$G54,"CumulativeVolume")</f>
        <v>0</v>
      </c>
      <c r="AP54" s="284"/>
    </row>
    <row r="55" spans="1:42">
      <c r="A55" s="135" t="s">
        <v>6810</v>
      </c>
      <c r="B55" s="84">
        <v>135</v>
      </c>
      <c r="C55" s="84">
        <v>168</v>
      </c>
      <c r="D55" s="85">
        <v>-6</v>
      </c>
      <c r="E55" s="84">
        <v>14</v>
      </c>
      <c r="F55" s="59">
        <v>18.399999999999999</v>
      </c>
      <c r="G55" s="84">
        <v>3455</v>
      </c>
      <c r="H55" s="9" t="s">
        <v>557</v>
      </c>
      <c r="I55" s="17" t="s">
        <v>841</v>
      </c>
      <c r="J55" s="371">
        <v>23.7</v>
      </c>
      <c r="K55" s="371">
        <v>8.67</v>
      </c>
      <c r="L55" s="371">
        <v>14.64</v>
      </c>
      <c r="M55" s="77">
        <v>9.07</v>
      </c>
      <c r="N55" s="365">
        <f t="shared" si="89"/>
        <v>56.08</v>
      </c>
      <c r="O55" s="343">
        <f t="shared" si="90"/>
        <v>32.769999999999996</v>
      </c>
      <c r="P55" s="195">
        <v>6</v>
      </c>
      <c r="Q55" s="326">
        <v>2</v>
      </c>
      <c r="R55" s="111">
        <v>15</v>
      </c>
      <c r="S55" s="51">
        <v>8</v>
      </c>
      <c r="T55" s="339">
        <f t="shared" si="91"/>
        <v>31</v>
      </c>
      <c r="U55" s="329" t="s">
        <v>6538</v>
      </c>
      <c r="V55" s="371">
        <v>0.7</v>
      </c>
      <c r="W55" s="69">
        <v>4</v>
      </c>
      <c r="X55" s="100">
        <v>6.76</v>
      </c>
      <c r="Y55" s="37" t="str">
        <f>RTD("money.excel",,"3455","Price")</f>
        <v>無資料</v>
      </c>
      <c r="Z55" s="69">
        <v>74.3</v>
      </c>
      <c r="AA55" s="16" t="e">
        <f t="shared" si="92"/>
        <v>#VALUE!</v>
      </c>
      <c r="AB55" s="3" t="e">
        <f t="shared" si="93"/>
        <v>#VALUE!</v>
      </c>
      <c r="AC55" s="177" t="s">
        <v>6814</v>
      </c>
      <c r="AD55" s="17" t="s">
        <v>841</v>
      </c>
      <c r="AE55" s="89">
        <v>44554</v>
      </c>
      <c r="AG55" s="34">
        <f t="shared" si="94"/>
        <v>-44554</v>
      </c>
      <c r="AH55" s="44" t="s">
        <v>3837</v>
      </c>
      <c r="AI55" s="131"/>
      <c r="AJ55" s="264"/>
      <c r="AK55" s="66">
        <f t="shared" si="95"/>
        <v>0</v>
      </c>
      <c r="AL55" s="174">
        <f t="shared" si="96"/>
        <v>0</v>
      </c>
      <c r="AM55" s="346">
        <f>RTD("money.excel",,$G55,"PredictVolume")</f>
        <v>0</v>
      </c>
      <c r="AN55" s="272">
        <f>RTD("money.excel",,$G55,"CumulativeVolume")</f>
        <v>0</v>
      </c>
      <c r="AP55" s="284"/>
    </row>
    <row r="56" spans="1:42" s="288" customFormat="1">
      <c r="A56" s="135"/>
      <c r="B56" s="96"/>
      <c r="C56" s="96"/>
      <c r="D56" s="85"/>
      <c r="E56" s="85"/>
      <c r="F56" s="9"/>
      <c r="G56" s="28"/>
      <c r="H56" s="9"/>
      <c r="I56" s="163"/>
      <c r="J56" s="371"/>
      <c r="K56" s="377"/>
      <c r="L56" s="377"/>
      <c r="M56" s="364"/>
      <c r="N56" s="365"/>
      <c r="O56" s="343"/>
      <c r="P56" s="294"/>
      <c r="Q56" s="327"/>
      <c r="R56" s="334"/>
      <c r="S56" s="51"/>
      <c r="T56" s="339"/>
      <c r="U56" s="329"/>
      <c r="V56" s="377"/>
      <c r="W56" s="260"/>
      <c r="X56" s="4"/>
      <c r="Y56" s="4"/>
      <c r="Z56" s="11"/>
      <c r="AG56" s="9"/>
      <c r="AH56" s="271"/>
      <c r="AI56" s="251"/>
      <c r="AJ56" s="163"/>
      <c r="AK56" s="352"/>
      <c r="AL56" s="348"/>
      <c r="AM56" s="228"/>
      <c r="AN56" s="277"/>
      <c r="AO56" s="232"/>
      <c r="AP56" s="385"/>
    </row>
    <row r="57" spans="1:42">
      <c r="A57" s="47" t="s">
        <v>5325</v>
      </c>
      <c r="B57" s="84"/>
      <c r="C57" s="84"/>
      <c r="D57" s="84"/>
      <c r="E57" s="84"/>
      <c r="F57" s="7"/>
      <c r="G57" s="42"/>
      <c r="H57" s="72" t="s">
        <v>6291</v>
      </c>
      <c r="I57" s="23"/>
      <c r="J57" s="382"/>
      <c r="K57" s="381"/>
      <c r="M57" s="383"/>
      <c r="N57" s="142" t="s">
        <v>6624</v>
      </c>
      <c r="P57" s="232"/>
      <c r="Q57" s="326"/>
      <c r="R57" s="111"/>
      <c r="W57" s="27" t="s">
        <v>2237</v>
      </c>
      <c r="X57" s="72" t="s">
        <v>5158</v>
      </c>
      <c r="Y57" s="220"/>
      <c r="Z57" s="69"/>
      <c r="AA57" s="16"/>
      <c r="AB57" s="216" t="s">
        <v>6485</v>
      </c>
      <c r="AC57" s="107"/>
      <c r="AD57" s="23"/>
      <c r="AE57" s="324" t="s">
        <v>6581</v>
      </c>
      <c r="AG57" s="34"/>
      <c r="AH57" s="44"/>
      <c r="AI57" s="131"/>
      <c r="AJ57" s="284"/>
      <c r="AK57" s="207"/>
      <c r="AL57" s="342"/>
      <c r="AM57" s="347"/>
      <c r="AN57" s="284"/>
    </row>
    <row r="58" spans="1:42">
      <c r="A58" s="47" t="s">
        <v>5550</v>
      </c>
      <c r="B58" s="98"/>
      <c r="C58" s="98"/>
      <c r="D58" s="84"/>
      <c r="E58" s="85"/>
      <c r="F58" s="72"/>
      <c r="H58" s="72" t="s">
        <v>6292</v>
      </c>
      <c r="I58" s="17"/>
      <c r="J58" s="382"/>
      <c r="K58" s="381"/>
      <c r="N58" s="365"/>
      <c r="P58" s="231"/>
      <c r="R58" s="336"/>
      <c r="W58" s="220"/>
      <c r="X58" s="2" t="s">
        <v>5159</v>
      </c>
      <c r="Y58" s="220"/>
      <c r="AC58" s="105"/>
      <c r="AD58" s="23"/>
      <c r="AF58" s="249">
        <v>0</v>
      </c>
      <c r="AG58" s="34"/>
      <c r="AH58" s="28" t="s">
        <v>1790</v>
      </c>
      <c r="AI58" s="249">
        <f>AI8+AF61</f>
        <v>382677</v>
      </c>
      <c r="AJ58" s="17"/>
    </row>
    <row r="59" spans="1:42">
      <c r="A59" s="47" t="s">
        <v>5551</v>
      </c>
      <c r="B59" s="98"/>
      <c r="C59" s="84"/>
      <c r="D59" s="84"/>
      <c r="E59" s="84"/>
      <c r="F59" s="7"/>
      <c r="H59" s="72" t="s">
        <v>6474</v>
      </c>
      <c r="I59" s="165"/>
      <c r="J59" s="371"/>
      <c r="K59" s="77"/>
      <c r="N59" s="380"/>
      <c r="P59" s="314"/>
      <c r="R59" s="336"/>
      <c r="W59" s="220"/>
      <c r="X59" s="2" t="s">
        <v>5160</v>
      </c>
      <c r="Y59" s="220"/>
      <c r="Z59" s="69"/>
      <c r="AA59" s="16"/>
      <c r="AC59" s="106"/>
      <c r="AD59" s="17"/>
      <c r="AF59" s="249">
        <v>0</v>
      </c>
      <c r="AG59" s="34"/>
      <c r="AH59" s="28" t="s">
        <v>2243</v>
      </c>
      <c r="AI59" s="249">
        <f>AI8+AF62</f>
        <v>382677</v>
      </c>
      <c r="AJ59" s="17"/>
    </row>
    <row r="60" spans="1:42">
      <c r="A60" s="47"/>
      <c r="B60" s="98"/>
      <c r="C60" s="84"/>
      <c r="D60" s="84"/>
      <c r="E60" s="84"/>
      <c r="F60" s="9"/>
      <c r="H60" s="43" t="s">
        <v>6619</v>
      </c>
      <c r="I60" s="17"/>
      <c r="J60" s="371"/>
      <c r="K60" s="77"/>
      <c r="W60" s="220"/>
      <c r="X60" s="2" t="s">
        <v>5161</v>
      </c>
      <c r="Y60" s="220"/>
      <c r="AC60" s="108"/>
      <c r="AD60" s="17"/>
      <c r="AF60" s="249">
        <v>0</v>
      </c>
      <c r="AG60" s="34"/>
      <c r="AH60" s="28" t="s">
        <v>2306</v>
      </c>
      <c r="AI60" s="249">
        <f>AI8+AF58</f>
        <v>382677</v>
      </c>
      <c r="AJ60" s="17"/>
    </row>
    <row r="61" spans="1:42">
      <c r="B61" s="96"/>
      <c r="C61" s="96"/>
      <c r="D61" s="96"/>
      <c r="E61" s="96"/>
      <c r="F61" s="9"/>
      <c r="H61" s="43" t="s">
        <v>6618</v>
      </c>
      <c r="I61" s="87"/>
      <c r="J61" s="371"/>
      <c r="K61" s="77"/>
      <c r="L61" s="142"/>
      <c r="M61" s="383"/>
      <c r="P61" s="43"/>
      <c r="W61" s="220"/>
      <c r="X61" s="2" t="s">
        <v>5162</v>
      </c>
      <c r="Y61" s="220"/>
      <c r="AC61" s="107"/>
      <c r="AD61" s="17"/>
      <c r="AF61" s="249"/>
      <c r="AG61" s="34"/>
      <c r="AH61" s="28" t="s">
        <v>1792</v>
      </c>
      <c r="AI61" s="249">
        <f>AI8+AF59</f>
        <v>382677</v>
      </c>
      <c r="AJ61" s="87"/>
      <c r="AK61" s="354"/>
      <c r="AL61" s="349"/>
    </row>
    <row r="62" spans="1:42">
      <c r="B62" s="96"/>
      <c r="C62" s="96"/>
      <c r="D62" s="96"/>
      <c r="E62" s="96"/>
      <c r="F62" s="9"/>
      <c r="G62" s="47"/>
      <c r="H62" s="43" t="s">
        <v>6617</v>
      </c>
      <c r="I62" s="87"/>
      <c r="J62" s="369"/>
      <c r="K62" s="369"/>
      <c r="N62" s="365"/>
      <c r="V62" s="377"/>
      <c r="W62" s="140"/>
      <c r="X62" s="72"/>
      <c r="Y62" s="43"/>
      <c r="Z62" s="225"/>
      <c r="AA62" s="72"/>
      <c r="AC62" s="57"/>
      <c r="AF62" s="249">
        <v>0</v>
      </c>
      <c r="AG62" s="34"/>
      <c r="AH62" s="28" t="s">
        <v>5052</v>
      </c>
      <c r="AI62" s="249">
        <f>AI8+AF60</f>
        <v>382677</v>
      </c>
      <c r="AJ62" s="87"/>
      <c r="AK62" s="354"/>
      <c r="AL62" s="349"/>
    </row>
    <row r="63" spans="1:42">
      <c r="A63" s="72"/>
      <c r="B63" s="140"/>
      <c r="G63" s="86"/>
      <c r="H63" s="166"/>
      <c r="I63" s="87"/>
      <c r="J63" s="369"/>
      <c r="K63" s="369"/>
      <c r="L63" s="369"/>
      <c r="M63" s="364"/>
      <c r="N63" s="366"/>
      <c r="O63" s="369"/>
      <c r="V63" s="341"/>
      <c r="W63" s="224"/>
      <c r="X63" s="4" t="s">
        <v>2189</v>
      </c>
      <c r="Y63" s="4" t="s">
        <v>1820</v>
      </c>
      <c r="Z63" s="11" t="s">
        <v>515</v>
      </c>
      <c r="AA63" s="72"/>
      <c r="AC63" s="57"/>
      <c r="AD63" s="43"/>
      <c r="AF63" s="325"/>
      <c r="AG63" s="154"/>
      <c r="AH63" s="44"/>
      <c r="AJ63" s="87"/>
      <c r="AK63" s="354"/>
      <c r="AL63" s="349"/>
    </row>
    <row r="64" spans="1:42">
      <c r="A64" s="135" t="s">
        <v>2552</v>
      </c>
      <c r="B64" s="96" t="s">
        <v>2331</v>
      </c>
      <c r="C64" s="96" t="s">
        <v>2332</v>
      </c>
      <c r="D64" s="96" t="s">
        <v>2333</v>
      </c>
      <c r="E64" s="96" t="s">
        <v>2334</v>
      </c>
      <c r="F64" s="9" t="s">
        <v>1709</v>
      </c>
      <c r="G64" s="27" t="s">
        <v>5626</v>
      </c>
      <c r="H64" s="56" t="s">
        <v>578</v>
      </c>
      <c r="I64" s="9" t="s">
        <v>3643</v>
      </c>
      <c r="J64" s="364" t="s">
        <v>2189</v>
      </c>
      <c r="K64" s="364" t="s">
        <v>1820</v>
      </c>
      <c r="L64" s="364" t="s">
        <v>515</v>
      </c>
      <c r="M64" s="364" t="s">
        <v>1699</v>
      </c>
      <c r="N64" s="364" t="s">
        <v>6633</v>
      </c>
      <c r="O64" s="343" t="s">
        <v>6634</v>
      </c>
      <c r="P64" s="83" t="s">
        <v>5279</v>
      </c>
      <c r="Q64" s="326" t="s">
        <v>5514</v>
      </c>
      <c r="R64" s="31" t="s">
        <v>6596</v>
      </c>
      <c r="S64" s="51" t="s">
        <v>6597</v>
      </c>
      <c r="T64" s="338" t="s">
        <v>5627</v>
      </c>
      <c r="U64" s="330" t="s">
        <v>6537</v>
      </c>
      <c r="V64" s="377" t="s">
        <v>6616</v>
      </c>
      <c r="W64" s="11" t="s">
        <v>127</v>
      </c>
      <c r="X64" s="71" t="s">
        <v>6626</v>
      </c>
      <c r="Y64" s="29" t="s">
        <v>6688</v>
      </c>
      <c r="Z64" s="18" t="s">
        <v>2113</v>
      </c>
      <c r="AA64" s="15" t="s">
        <v>8</v>
      </c>
      <c r="AB64" s="22" t="s">
        <v>4</v>
      </c>
      <c r="AC64" s="26" t="s">
        <v>211</v>
      </c>
      <c r="AD64" s="9" t="s">
        <v>3643</v>
      </c>
      <c r="AE64" s="75" t="s">
        <v>2114</v>
      </c>
      <c r="AF64" s="76" t="s">
        <v>1826</v>
      </c>
      <c r="AG64" s="33" t="s">
        <v>1827</v>
      </c>
      <c r="AH64" s="43" t="s">
        <v>3644</v>
      </c>
      <c r="AJ64" s="9"/>
      <c r="AK64" s="304"/>
      <c r="AL64" s="5"/>
    </row>
    <row r="65" spans="1:42">
      <c r="A65" s="135" t="s">
        <v>6819</v>
      </c>
      <c r="B65" s="84">
        <v>592</v>
      </c>
      <c r="C65" s="84">
        <v>551</v>
      </c>
      <c r="D65" s="84">
        <v>1</v>
      </c>
      <c r="E65" s="84">
        <v>61</v>
      </c>
      <c r="F65" s="59">
        <v>20.25</v>
      </c>
      <c r="G65" s="85">
        <v>3592</v>
      </c>
      <c r="H65" s="4" t="s">
        <v>558</v>
      </c>
      <c r="I65" s="23" t="s">
        <v>6818</v>
      </c>
      <c r="J65" s="371">
        <v>22.88</v>
      </c>
      <c r="K65" s="371">
        <v>8.7799999999999994</v>
      </c>
      <c r="N65" s="365">
        <f t="shared" ref="N65" si="97">J65+K65+L65+M65</f>
        <v>31.659999999999997</v>
      </c>
      <c r="O65" s="343">
        <f t="shared" ref="O65" si="98">J65+M65</f>
        <v>22.88</v>
      </c>
      <c r="P65" s="195">
        <v>2</v>
      </c>
      <c r="Q65" s="326">
        <v>0</v>
      </c>
      <c r="R65" s="111">
        <v>0</v>
      </c>
      <c r="S65" s="51">
        <v>0</v>
      </c>
      <c r="T65" s="339">
        <f t="shared" ref="T65" si="99">SUM(P65:S65)</f>
        <v>2</v>
      </c>
      <c r="W65" s="69">
        <v>10.5</v>
      </c>
      <c r="X65" s="100" t="s">
        <v>6820</v>
      </c>
      <c r="Y65" s="37" t="str">
        <f>RTD("money.excel",,"3592","Price")</f>
        <v>無資料</v>
      </c>
      <c r="Z65" s="69">
        <v>308</v>
      </c>
      <c r="AA65" s="16" t="e">
        <f t="shared" ref="AA65" si="100">Y65-Z65</f>
        <v>#VALUE!</v>
      </c>
      <c r="AB65" s="3" t="e">
        <f t="shared" ref="AB65" si="101">AA65/Z65</f>
        <v>#VALUE!</v>
      </c>
      <c r="AC65" s="219"/>
      <c r="AD65" s="23" t="s">
        <v>6818</v>
      </c>
      <c r="AE65" s="89">
        <v>44568</v>
      </c>
      <c r="AF65" s="88">
        <v>44578</v>
      </c>
      <c r="AG65" s="34">
        <f t="shared" ref="AG65" si="102">AF65-AE65</f>
        <v>10</v>
      </c>
      <c r="AH65" s="63" t="s">
        <v>6821</v>
      </c>
      <c r="AI65" s="131"/>
      <c r="AJ65" s="264"/>
      <c r="AK65" s="66">
        <f t="shared" ref="AK65" si="103">AM65/(A65*10000)</f>
        <v>0</v>
      </c>
      <c r="AL65" s="174">
        <f t="shared" ref="AL65" si="104">AN65/(A65*10000)</f>
        <v>0</v>
      </c>
      <c r="AM65" s="346">
        <f>RTD("money.excel",,$G65,"PredictVolume")</f>
        <v>0</v>
      </c>
      <c r="AN65" s="272">
        <f>RTD("money.excel",,$G65,"CumulativeVolume")</f>
        <v>0</v>
      </c>
      <c r="AP65" s="284"/>
    </row>
    <row r="66" spans="1:42">
      <c r="B66" s="96"/>
      <c r="C66" s="96"/>
      <c r="D66" s="96"/>
      <c r="E66" s="96"/>
      <c r="F66" s="9"/>
      <c r="G66" s="27"/>
      <c r="H66" s="56"/>
      <c r="I66" s="9"/>
      <c r="J66" s="364"/>
      <c r="K66" s="364"/>
      <c r="L66" s="364"/>
      <c r="M66" s="364"/>
      <c r="N66" s="364"/>
      <c r="P66" s="83"/>
      <c r="Q66" s="326"/>
      <c r="T66" s="338"/>
      <c r="U66" s="330"/>
      <c r="V66" s="377"/>
      <c r="W66" s="11"/>
      <c r="X66" s="71"/>
      <c r="Y66" s="29"/>
      <c r="Z66" s="18"/>
      <c r="AA66" s="15"/>
      <c r="AB66" s="22"/>
      <c r="AC66" s="219"/>
      <c r="AD66" s="9"/>
      <c r="AE66" s="75"/>
      <c r="AF66" s="76"/>
      <c r="AG66" s="33"/>
      <c r="AH66" s="43"/>
      <c r="AJ66" s="9"/>
      <c r="AK66" s="304"/>
      <c r="AL66" s="5"/>
    </row>
    <row r="67" spans="1:42">
      <c r="A67" s="151" t="s">
        <v>2760</v>
      </c>
      <c r="B67" s="84">
        <v>7</v>
      </c>
      <c r="C67" s="85">
        <v>-2</v>
      </c>
      <c r="D67" s="84">
        <v>25</v>
      </c>
      <c r="E67" s="84">
        <v>29</v>
      </c>
      <c r="F67" s="7">
        <v>3.65</v>
      </c>
      <c r="G67" s="84">
        <v>6414</v>
      </c>
      <c r="H67" s="212" t="s">
        <v>1815</v>
      </c>
      <c r="I67" s="23" t="s">
        <v>389</v>
      </c>
      <c r="J67" s="371">
        <v>43.3</v>
      </c>
      <c r="K67" s="371">
        <v>12.52</v>
      </c>
      <c r="L67" s="77">
        <v>23.77</v>
      </c>
      <c r="M67" s="77">
        <v>34.130000000000003</v>
      </c>
      <c r="N67" s="365">
        <f t="shared" ref="N67:N69" si="105">J67+K67+L67+M67</f>
        <v>113.72</v>
      </c>
      <c r="O67" s="343">
        <f t="shared" ref="O67:O69" si="106">J67+M67</f>
        <v>77.430000000000007</v>
      </c>
      <c r="P67" s="195">
        <v>16</v>
      </c>
      <c r="Q67" s="326">
        <v>7</v>
      </c>
      <c r="R67" s="111">
        <v>19</v>
      </c>
      <c r="S67" s="51">
        <v>12</v>
      </c>
      <c r="T67" s="339">
        <f t="shared" ref="T67:T69" si="107">SUM(P67:S67)</f>
        <v>54</v>
      </c>
      <c r="U67" s="329" t="s">
        <v>6750</v>
      </c>
      <c r="V67" s="77">
        <v>4.0599999999999996</v>
      </c>
      <c r="W67" s="69">
        <v>5</v>
      </c>
      <c r="X67" s="100">
        <v>12.77</v>
      </c>
      <c r="Y67" s="37" t="str">
        <f>RTD("money.excel",,"6414","Price")</f>
        <v>無資料</v>
      </c>
      <c r="Z67" s="69">
        <v>195</v>
      </c>
      <c r="AA67" s="16" t="e">
        <f>Y67-Z67</f>
        <v>#VALUE!</v>
      </c>
      <c r="AB67" s="3" t="e">
        <f>AA67/Z67</f>
        <v>#VALUE!</v>
      </c>
      <c r="AC67" s="219"/>
      <c r="AD67" s="23" t="s">
        <v>389</v>
      </c>
      <c r="AE67" s="89">
        <v>44566</v>
      </c>
      <c r="AF67" s="88">
        <v>44576</v>
      </c>
      <c r="AG67" s="34">
        <f>AF67-AE67</f>
        <v>10</v>
      </c>
      <c r="AH67" s="125" t="s">
        <v>2254</v>
      </c>
      <c r="AI67" s="128"/>
      <c r="AJ67" s="264"/>
      <c r="AK67" s="34"/>
      <c r="AL67" s="34"/>
      <c r="AM67" s="34"/>
      <c r="AN67" s="34"/>
    </row>
    <row r="68" spans="1:42">
      <c r="A68" s="135" t="s">
        <v>3323</v>
      </c>
      <c r="B68" s="84">
        <v>253</v>
      </c>
      <c r="C68" s="84">
        <v>320</v>
      </c>
      <c r="D68" s="85">
        <v>-1</v>
      </c>
      <c r="E68" s="84">
        <v>173</v>
      </c>
      <c r="F68" s="59">
        <v>36.520000000000003</v>
      </c>
      <c r="G68" s="84">
        <v>5608</v>
      </c>
      <c r="H68" s="5" t="s">
        <v>551</v>
      </c>
      <c r="I68" s="23" t="s">
        <v>1484</v>
      </c>
      <c r="J68" s="371">
        <v>28.74</v>
      </c>
      <c r="K68" s="371">
        <v>5.07</v>
      </c>
      <c r="L68" s="77">
        <v>26.48</v>
      </c>
      <c r="M68" s="371">
        <v>10.29</v>
      </c>
      <c r="N68" s="365">
        <f t="shared" si="105"/>
        <v>70.580000000000013</v>
      </c>
      <c r="O68" s="343">
        <f t="shared" si="106"/>
        <v>39.03</v>
      </c>
      <c r="P68" s="195">
        <v>15</v>
      </c>
      <c r="Q68" s="326">
        <v>37</v>
      </c>
      <c r="R68" s="111">
        <v>41</v>
      </c>
      <c r="S68" s="51">
        <v>66</v>
      </c>
      <c r="T68" s="339">
        <f t="shared" si="107"/>
        <v>159</v>
      </c>
      <c r="U68" s="329" t="s">
        <v>6743</v>
      </c>
      <c r="V68" s="77">
        <v>2.2799999999999998</v>
      </c>
      <c r="W68" s="35">
        <v>0</v>
      </c>
      <c r="X68" s="100">
        <v>4.43</v>
      </c>
      <c r="Y68" s="37" t="str">
        <f>RTD("money.excel",,"5608","Price")</f>
        <v>無資料</v>
      </c>
      <c r="Z68" s="69">
        <v>32.799999999999997</v>
      </c>
      <c r="AA68" s="16" t="e">
        <f t="shared" ref="AA68:AA69" si="108">Y68-Z68</f>
        <v>#VALUE!</v>
      </c>
      <c r="AB68" s="3" t="e">
        <f t="shared" ref="AB68:AB69" si="109">AA68/Z68</f>
        <v>#VALUE!</v>
      </c>
      <c r="AC68" s="219"/>
      <c r="AD68" s="23" t="s">
        <v>1484</v>
      </c>
      <c r="AE68" s="89">
        <v>44566</v>
      </c>
      <c r="AF68" s="88">
        <v>44576</v>
      </c>
      <c r="AG68" s="34">
        <f t="shared" ref="AG68:AG69" si="110">AF68-AE68</f>
        <v>10</v>
      </c>
      <c r="AH68" s="63" t="s">
        <v>2283</v>
      </c>
      <c r="AI68" s="131"/>
      <c r="AJ68" s="264"/>
      <c r="AK68" s="284"/>
      <c r="AL68" s="284"/>
      <c r="AM68" s="284"/>
      <c r="AN68" s="284"/>
    </row>
    <row r="69" spans="1:42">
      <c r="A69" s="135" t="s">
        <v>6748</v>
      </c>
      <c r="B69" s="84">
        <v>131</v>
      </c>
      <c r="C69" s="84">
        <v>138</v>
      </c>
      <c r="D69" s="84">
        <v>11</v>
      </c>
      <c r="E69" s="84">
        <v>71</v>
      </c>
      <c r="F69" s="59">
        <v>11.18</v>
      </c>
      <c r="G69" s="84">
        <v>6691</v>
      </c>
      <c r="H69" s="5" t="s">
        <v>5322</v>
      </c>
      <c r="I69" s="23" t="s">
        <v>6747</v>
      </c>
      <c r="J69" s="77">
        <v>66.23</v>
      </c>
      <c r="K69" s="77">
        <v>0.17</v>
      </c>
      <c r="M69" s="77"/>
      <c r="N69" s="365">
        <f t="shared" si="105"/>
        <v>66.400000000000006</v>
      </c>
      <c r="O69" s="343">
        <f t="shared" si="106"/>
        <v>66.23</v>
      </c>
      <c r="P69" s="195">
        <v>2</v>
      </c>
      <c r="Q69" s="326">
        <v>0</v>
      </c>
      <c r="R69" s="111">
        <v>0</v>
      </c>
      <c r="S69" s="51">
        <v>0</v>
      </c>
      <c r="T69" s="339">
        <f t="shared" si="107"/>
        <v>2</v>
      </c>
      <c r="W69" s="69">
        <v>11</v>
      </c>
      <c r="X69" s="100">
        <v>16.7</v>
      </c>
      <c r="Y69" s="37" t="str">
        <f>RTD("money.excel",,"6691","Price")</f>
        <v>無資料</v>
      </c>
      <c r="Z69" s="69">
        <v>180</v>
      </c>
      <c r="AA69" s="16" t="e">
        <f t="shared" si="108"/>
        <v>#VALUE!</v>
      </c>
      <c r="AB69" s="3" t="e">
        <f t="shared" si="109"/>
        <v>#VALUE!</v>
      </c>
      <c r="AC69" s="219"/>
      <c r="AD69" s="23" t="s">
        <v>6747</v>
      </c>
      <c r="AE69" s="89">
        <v>44564</v>
      </c>
      <c r="AF69" s="88">
        <v>44574</v>
      </c>
      <c r="AG69" s="34">
        <f t="shared" si="110"/>
        <v>10</v>
      </c>
      <c r="AH69" s="63" t="s">
        <v>6749</v>
      </c>
      <c r="AI69" s="131"/>
      <c r="AJ69" s="264"/>
      <c r="AK69" s="284"/>
      <c r="AL69" s="284"/>
      <c r="AM69" s="284"/>
      <c r="AN69" s="284"/>
    </row>
    <row r="70" spans="1:42">
      <c r="B70" s="96"/>
      <c r="C70" s="96"/>
      <c r="D70" s="96"/>
      <c r="E70" s="96"/>
      <c r="F70" s="9"/>
      <c r="G70" s="27"/>
      <c r="H70" s="56"/>
      <c r="I70" s="9"/>
      <c r="J70" s="364"/>
      <c r="K70" s="364"/>
      <c r="L70" s="364"/>
      <c r="M70" s="364"/>
      <c r="N70" s="364"/>
      <c r="P70" s="83"/>
      <c r="Q70" s="326"/>
      <c r="T70" s="338"/>
      <c r="U70" s="330"/>
      <c r="V70" s="377"/>
      <c r="W70" s="11"/>
      <c r="X70" s="71"/>
      <c r="Y70" s="29"/>
      <c r="Z70" s="18"/>
      <c r="AA70" s="15"/>
      <c r="AB70" s="22"/>
      <c r="AC70" s="219"/>
      <c r="AD70" s="9"/>
      <c r="AG70" s="33"/>
      <c r="AH70" s="43"/>
      <c r="AJ70" s="9"/>
      <c r="AK70" s="304"/>
      <c r="AL70" s="5"/>
    </row>
    <row r="71" spans="1:42">
      <c r="A71" s="151" t="s">
        <v>6733</v>
      </c>
      <c r="B71" s="85">
        <v>-57</v>
      </c>
      <c r="C71" s="85">
        <v>-74</v>
      </c>
      <c r="D71" s="84">
        <v>32</v>
      </c>
      <c r="E71" s="84">
        <v>85</v>
      </c>
      <c r="F71" s="7">
        <v>1.42</v>
      </c>
      <c r="G71" s="85">
        <v>4542</v>
      </c>
      <c r="H71" s="4" t="s">
        <v>559</v>
      </c>
      <c r="I71" s="17" t="s">
        <v>755</v>
      </c>
      <c r="J71" s="77">
        <v>45.19</v>
      </c>
      <c r="K71" s="371">
        <v>4.07</v>
      </c>
      <c r="M71" s="77">
        <v>21.37</v>
      </c>
      <c r="N71" s="365">
        <f t="shared" ref="N71" si="111">J71+K71+L71+M71</f>
        <v>70.63</v>
      </c>
      <c r="O71" s="343">
        <f t="shared" ref="O71" si="112">J71+M71</f>
        <v>66.56</v>
      </c>
      <c r="P71" s="195">
        <v>0</v>
      </c>
      <c r="Q71" s="326" t="str">
        <f>IFERROR(VLOOKUP($G71,主力整理!$A$2:$G$2301,6,0),"0")</f>
        <v>0</v>
      </c>
      <c r="R71" s="111">
        <v>0</v>
      </c>
      <c r="S71" s="51">
        <v>0</v>
      </c>
      <c r="T71" s="339">
        <f t="shared" ref="T71" si="113">SUM(P71:S71)</f>
        <v>0</v>
      </c>
      <c r="W71" s="35">
        <v>1</v>
      </c>
      <c r="X71" s="100">
        <v>0.24</v>
      </c>
      <c r="Y71" s="37" t="str">
        <f>RTD("money.excel",,"4542","Price")</f>
        <v>無資料</v>
      </c>
      <c r="Z71" s="69">
        <v>25.7</v>
      </c>
      <c r="AA71" s="16" t="e">
        <f t="shared" ref="AA71" si="114">Y71-Z71</f>
        <v>#VALUE!</v>
      </c>
      <c r="AB71" s="3" t="e">
        <f t="shared" ref="AB71" si="115">AA71/Z71</f>
        <v>#VALUE!</v>
      </c>
      <c r="AC71" s="219"/>
      <c r="AD71" s="17" t="s">
        <v>755</v>
      </c>
      <c r="AE71" s="89">
        <v>44565</v>
      </c>
      <c r="AF71" s="88">
        <v>44575</v>
      </c>
      <c r="AG71" s="34">
        <f t="shared" ref="AG71" si="116">AF71-AE71</f>
        <v>10</v>
      </c>
      <c r="AH71" s="44" t="s">
        <v>3662</v>
      </c>
      <c r="AI71" s="131"/>
      <c r="AJ71" s="264"/>
      <c r="AK71" s="284"/>
      <c r="AL71" s="284"/>
      <c r="AM71" s="284"/>
      <c r="AN71" s="284"/>
    </row>
    <row r="72" spans="1:42">
      <c r="A72" s="151"/>
      <c r="B72" s="96"/>
      <c r="C72" s="96"/>
      <c r="D72" s="96"/>
      <c r="E72" s="96"/>
      <c r="F72" s="7"/>
      <c r="G72" s="85"/>
      <c r="H72" s="4"/>
      <c r="I72" s="17"/>
      <c r="J72" s="77"/>
      <c r="K72" s="77"/>
      <c r="N72" s="365"/>
      <c r="P72" s="195"/>
      <c r="Q72" s="326"/>
      <c r="R72" s="111"/>
      <c r="W72" s="35"/>
      <c r="X72" s="100"/>
      <c r="Y72" s="14"/>
      <c r="Z72" s="69"/>
      <c r="AA72" s="16"/>
      <c r="AB72" s="3"/>
      <c r="AC72" s="219"/>
      <c r="AD72" s="17"/>
      <c r="AG72" s="34"/>
      <c r="AH72" s="44"/>
      <c r="AI72" s="131"/>
      <c r="AJ72" s="264"/>
      <c r="AK72" s="284"/>
      <c r="AL72" s="284"/>
      <c r="AM72" s="284"/>
      <c r="AN72" s="284"/>
    </row>
    <row r="73" spans="1:42">
      <c r="A73" s="151" t="s">
        <v>6674</v>
      </c>
      <c r="B73" s="84">
        <v>0</v>
      </c>
      <c r="C73" s="84">
        <v>6</v>
      </c>
      <c r="D73" s="85">
        <v>-3</v>
      </c>
      <c r="E73" s="84">
        <v>19</v>
      </c>
      <c r="F73" s="7">
        <v>-11.72</v>
      </c>
      <c r="G73" s="85">
        <v>4562</v>
      </c>
      <c r="H73" s="4" t="s">
        <v>544</v>
      </c>
      <c r="I73" s="23" t="s">
        <v>1069</v>
      </c>
      <c r="J73" s="371">
        <v>61.85</v>
      </c>
      <c r="K73" s="371">
        <v>1.62</v>
      </c>
      <c r="L73" s="371">
        <v>4.0599999999999996</v>
      </c>
      <c r="M73" s="371">
        <v>30.76</v>
      </c>
      <c r="N73" s="365">
        <f t="shared" ref="N73" si="117">J73+K73+L73+M73</f>
        <v>98.29</v>
      </c>
      <c r="O73" s="369">
        <f t="shared" ref="O73" si="118">J73+M73</f>
        <v>92.61</v>
      </c>
      <c r="P73" s="195">
        <v>0</v>
      </c>
      <c r="Q73" s="326" t="str">
        <f>IFERROR(VLOOKUP($G73,主力整理!$A$2:$G$2301,6,0),"0")</f>
        <v>0</v>
      </c>
      <c r="R73" s="111">
        <v>0</v>
      </c>
      <c r="S73" s="51">
        <v>0</v>
      </c>
      <c r="T73" s="339">
        <f t="shared" ref="T73" si="119">SUM(P73:S73)</f>
        <v>0</v>
      </c>
      <c r="U73" s="329" t="s">
        <v>6675</v>
      </c>
      <c r="V73" s="371">
        <v>0.11</v>
      </c>
      <c r="W73" s="35">
        <v>0</v>
      </c>
      <c r="X73" s="59">
        <v>-2.2400000000000002</v>
      </c>
      <c r="Y73" s="37" t="str">
        <f>RTD("money.excel",,"4562","Price")</f>
        <v>無資料</v>
      </c>
      <c r="Z73" s="69">
        <v>15</v>
      </c>
      <c r="AA73" s="16" t="e">
        <f t="shared" ref="AA73" si="120">Y73-Z73</f>
        <v>#VALUE!</v>
      </c>
      <c r="AB73" s="3" t="e">
        <f t="shared" ref="AB73" si="121">AA73/Z73</f>
        <v>#VALUE!</v>
      </c>
      <c r="AC73" s="219"/>
      <c r="AD73" s="23" t="s">
        <v>1069</v>
      </c>
      <c r="AE73" s="89">
        <v>44560</v>
      </c>
      <c r="AF73" s="88">
        <v>44570</v>
      </c>
      <c r="AG73" s="34">
        <f t="shared" ref="AG73" si="122">AF73-AE73</f>
        <v>10</v>
      </c>
      <c r="AH73" s="44" t="s">
        <v>4311</v>
      </c>
      <c r="AI73" s="131"/>
      <c r="AJ73" s="264"/>
      <c r="AK73" s="284"/>
      <c r="AL73" s="284"/>
      <c r="AM73" s="284"/>
      <c r="AN73" s="284"/>
    </row>
    <row r="74" spans="1:42">
      <c r="A74" s="151"/>
      <c r="B74" s="214"/>
      <c r="C74" s="96"/>
      <c r="D74" s="96"/>
      <c r="E74" s="96"/>
      <c r="F74" s="7"/>
      <c r="G74" s="85"/>
      <c r="H74" s="4"/>
      <c r="I74" s="23"/>
      <c r="J74" s="77"/>
      <c r="K74" s="77"/>
      <c r="N74" s="365"/>
      <c r="P74" s="195"/>
      <c r="Q74" s="326"/>
      <c r="R74" s="111"/>
      <c r="W74" s="35"/>
      <c r="X74" s="100"/>
      <c r="Y74" s="14"/>
      <c r="Z74" s="69"/>
      <c r="AA74" s="16"/>
      <c r="AB74" s="3"/>
      <c r="AC74" s="219"/>
      <c r="AD74" s="23"/>
      <c r="AG74" s="34"/>
      <c r="AH74" s="44"/>
      <c r="AI74" s="131"/>
      <c r="AJ74" s="264"/>
      <c r="AK74" s="284"/>
      <c r="AL74" s="284"/>
      <c r="AM74" s="284"/>
      <c r="AN74" s="284"/>
    </row>
    <row r="75" spans="1:42">
      <c r="A75" s="151" t="s">
        <v>2808</v>
      </c>
      <c r="B75" s="84">
        <v>56</v>
      </c>
      <c r="C75" s="84">
        <v>85</v>
      </c>
      <c r="D75" s="85">
        <v>-12</v>
      </c>
      <c r="E75" s="84">
        <v>88</v>
      </c>
      <c r="F75" s="7">
        <v>-2.2599999999999998</v>
      </c>
      <c r="G75" s="85">
        <v>8476</v>
      </c>
      <c r="H75" s="4" t="s">
        <v>429</v>
      </c>
      <c r="I75" s="17" t="s">
        <v>1207</v>
      </c>
      <c r="J75" s="77">
        <v>65.209999999999994</v>
      </c>
      <c r="K75" s="371">
        <v>0.73</v>
      </c>
      <c r="N75" s="365">
        <f t="shared" si="6"/>
        <v>65.94</v>
      </c>
      <c r="O75" s="343">
        <f t="shared" ref="O75:O85" si="123">J75+M75</f>
        <v>65.209999999999994</v>
      </c>
      <c r="P75" s="195">
        <v>0</v>
      </c>
      <c r="Q75" s="326" t="str">
        <f>IFERROR(VLOOKUP($G75,主力整理!$A$2:$G$2301,6,0),"0")</f>
        <v>0</v>
      </c>
      <c r="R75" s="111">
        <v>0</v>
      </c>
      <c r="S75" s="51">
        <v>2</v>
      </c>
      <c r="T75" s="339">
        <f>SUM(P75:S75)</f>
        <v>2</v>
      </c>
      <c r="W75" s="35">
        <v>0</v>
      </c>
      <c r="X75" s="59">
        <v>-0.35</v>
      </c>
      <c r="Y75" s="37" t="str">
        <f>RTD("money.excel",,"8476","Price")</f>
        <v>無資料</v>
      </c>
      <c r="Z75" s="69">
        <v>50</v>
      </c>
      <c r="AA75" s="16" t="e">
        <f t="shared" ref="AA75:AA76" si="124">Y75-Z75</f>
        <v>#VALUE!</v>
      </c>
      <c r="AB75" s="3" t="e">
        <f t="shared" ref="AB75:AB76" si="125">AA75/Z75</f>
        <v>#VALUE!</v>
      </c>
      <c r="AC75" s="219" t="s">
        <v>6873</v>
      </c>
      <c r="AD75" s="17" t="s">
        <v>1207</v>
      </c>
      <c r="AE75" s="89">
        <v>44557</v>
      </c>
      <c r="AF75" s="88">
        <v>44567</v>
      </c>
      <c r="AG75" s="34">
        <f t="shared" ref="AG75:AG76" si="126">AF75-AE75</f>
        <v>10</v>
      </c>
      <c r="AH75" s="44" t="s">
        <v>3937</v>
      </c>
      <c r="AI75" s="131"/>
      <c r="AJ75" s="264"/>
      <c r="AK75" s="353"/>
      <c r="AL75" s="264"/>
      <c r="AM75" s="347"/>
      <c r="AN75" s="284"/>
    </row>
    <row r="76" spans="1:42">
      <c r="A76" s="151" t="s">
        <v>6598</v>
      </c>
      <c r="B76" s="84">
        <v>21</v>
      </c>
      <c r="C76" s="84"/>
      <c r="D76" s="84">
        <v>7</v>
      </c>
      <c r="E76" s="84">
        <v>23</v>
      </c>
      <c r="F76" s="7"/>
      <c r="G76" s="85">
        <v>2812</v>
      </c>
      <c r="H76" s="11" t="s">
        <v>553</v>
      </c>
      <c r="I76" s="23" t="s">
        <v>257</v>
      </c>
      <c r="J76" s="371">
        <v>61.57</v>
      </c>
      <c r="K76" s="77">
        <v>11.1</v>
      </c>
      <c r="L76" s="77">
        <v>0.18</v>
      </c>
      <c r="N76" s="365">
        <f t="shared" si="6"/>
        <v>72.850000000000009</v>
      </c>
      <c r="O76" s="343">
        <f t="shared" si="123"/>
        <v>61.57</v>
      </c>
      <c r="P76" s="195">
        <v>0</v>
      </c>
      <c r="Q76" s="326">
        <v>9</v>
      </c>
      <c r="R76" s="111">
        <v>0</v>
      </c>
      <c r="S76" s="51">
        <v>0</v>
      </c>
      <c r="T76" s="339">
        <f>SUM(P76:S76)</f>
        <v>9</v>
      </c>
      <c r="U76" s="329" t="s">
        <v>6610</v>
      </c>
      <c r="V76" s="371">
        <v>13.41</v>
      </c>
      <c r="W76" s="35">
        <v>0.69</v>
      </c>
      <c r="X76" s="59">
        <v>1.1299999999999999</v>
      </c>
      <c r="Y76" s="37" t="str">
        <f>RTD("money.excel",,"2812","Price")</f>
        <v>無資料</v>
      </c>
      <c r="Z76" s="69">
        <v>11.15</v>
      </c>
      <c r="AA76" s="16" t="e">
        <f t="shared" si="124"/>
        <v>#VALUE!</v>
      </c>
      <c r="AB76" s="3" t="e">
        <f t="shared" si="125"/>
        <v>#VALUE!</v>
      </c>
      <c r="AC76" s="219" t="s">
        <v>6874</v>
      </c>
      <c r="AD76" s="23" t="s">
        <v>257</v>
      </c>
      <c r="AE76" s="89">
        <v>44557</v>
      </c>
      <c r="AF76" s="88">
        <v>44567</v>
      </c>
      <c r="AG76" s="34">
        <f t="shared" si="126"/>
        <v>10</v>
      </c>
      <c r="AH76" s="125" t="s">
        <v>2150</v>
      </c>
      <c r="AI76" s="131"/>
      <c r="AJ76" s="264"/>
      <c r="AK76" s="353"/>
      <c r="AL76" s="264"/>
      <c r="AM76" s="347"/>
      <c r="AN76" s="284"/>
    </row>
    <row r="77" spans="1:42">
      <c r="A77" s="151"/>
      <c r="B77" s="96"/>
      <c r="C77" s="96"/>
      <c r="D77" s="96"/>
      <c r="E77" s="96"/>
      <c r="F77" s="7"/>
      <c r="G77" s="85"/>
      <c r="H77" s="4"/>
      <c r="I77" s="17"/>
      <c r="J77" s="77"/>
      <c r="K77" s="77"/>
      <c r="N77" s="365"/>
      <c r="P77" s="195"/>
      <c r="Q77" s="326"/>
      <c r="R77" s="111"/>
      <c r="W77" s="35"/>
      <c r="X77" s="100"/>
      <c r="Y77" s="37"/>
      <c r="Z77" s="69"/>
      <c r="AA77" s="16"/>
      <c r="AB77" s="3"/>
      <c r="AC77" s="219"/>
      <c r="AD77" s="17"/>
      <c r="AG77" s="34"/>
      <c r="AH77" s="44"/>
      <c r="AI77" s="131"/>
      <c r="AJ77" s="264"/>
      <c r="AK77" s="353"/>
      <c r="AL77" s="264"/>
      <c r="AM77" s="347"/>
      <c r="AN77" s="284"/>
    </row>
    <row r="78" spans="1:42">
      <c r="A78" s="151" t="s">
        <v>4784</v>
      </c>
      <c r="B78" s="84">
        <v>18</v>
      </c>
      <c r="C78" s="84">
        <v>14</v>
      </c>
      <c r="D78" s="85">
        <v>-17</v>
      </c>
      <c r="E78" s="84">
        <v>39</v>
      </c>
      <c r="F78" s="7">
        <v>4.76</v>
      </c>
      <c r="G78" s="85">
        <v>3029</v>
      </c>
      <c r="H78" s="4" t="s">
        <v>565</v>
      </c>
      <c r="I78" s="23" t="s">
        <v>1653</v>
      </c>
      <c r="J78" s="371">
        <v>27.34</v>
      </c>
      <c r="K78" s="371">
        <v>4.84</v>
      </c>
      <c r="L78" s="371">
        <v>6.25</v>
      </c>
      <c r="N78" s="365">
        <f t="shared" si="6"/>
        <v>38.43</v>
      </c>
      <c r="O78" s="343">
        <f t="shared" si="123"/>
        <v>27.34</v>
      </c>
      <c r="P78" s="195">
        <v>5</v>
      </c>
      <c r="Q78" s="326">
        <v>3</v>
      </c>
      <c r="R78" s="111">
        <v>1</v>
      </c>
      <c r="S78" s="51">
        <v>0</v>
      </c>
      <c r="T78" s="339">
        <f>SUM(P78:S78)</f>
        <v>9</v>
      </c>
      <c r="V78" s="371">
        <v>3.33</v>
      </c>
      <c r="W78" s="69">
        <v>3</v>
      </c>
      <c r="X78" s="100">
        <v>4.0199999999999996</v>
      </c>
      <c r="Y78" s="37" t="str">
        <f>RTD("money.excel",,"3029","Price")</f>
        <v>無資料</v>
      </c>
      <c r="Z78" s="69">
        <v>40</v>
      </c>
      <c r="AA78" s="16" t="e">
        <f t="shared" ref="AA78:AA82" si="127">Y78-Z78</f>
        <v>#VALUE!</v>
      </c>
      <c r="AB78" s="3" t="e">
        <f t="shared" ref="AB78:AB82" si="128">AA78/Z78</f>
        <v>#VALUE!</v>
      </c>
      <c r="AC78" s="219" t="s">
        <v>6815</v>
      </c>
      <c r="AD78" s="23" t="s">
        <v>1653</v>
      </c>
      <c r="AE78" s="89">
        <v>44554</v>
      </c>
      <c r="AF78" s="88">
        <v>44564</v>
      </c>
      <c r="AG78" s="34">
        <f t="shared" ref="AG78:AG82" si="129">AF78-AE78</f>
        <v>10</v>
      </c>
      <c r="AH78" s="44" t="s">
        <v>2297</v>
      </c>
      <c r="AI78" s="131"/>
      <c r="AJ78" s="264"/>
      <c r="AK78" s="353"/>
      <c r="AL78" s="264"/>
      <c r="AM78" s="347"/>
      <c r="AN78" s="284"/>
    </row>
    <row r="79" spans="1:42">
      <c r="A79" s="151" t="s">
        <v>6586</v>
      </c>
      <c r="B79" s="85">
        <v>-869</v>
      </c>
      <c r="C79" s="85">
        <v>-383</v>
      </c>
      <c r="D79" s="84">
        <v>34</v>
      </c>
      <c r="E79" s="85">
        <v>-18</v>
      </c>
      <c r="F79" s="7">
        <v>-26.34</v>
      </c>
      <c r="G79" s="85">
        <v>1432</v>
      </c>
      <c r="H79" s="4" t="s">
        <v>562</v>
      </c>
      <c r="I79" s="23" t="s">
        <v>1377</v>
      </c>
      <c r="J79" s="371">
        <v>58.22</v>
      </c>
      <c r="K79" s="77">
        <v>0.26</v>
      </c>
      <c r="L79" s="371">
        <v>0</v>
      </c>
      <c r="N79" s="365">
        <f t="shared" si="6"/>
        <v>58.48</v>
      </c>
      <c r="O79" s="343">
        <f t="shared" si="123"/>
        <v>58.22</v>
      </c>
      <c r="P79" s="195">
        <v>2</v>
      </c>
      <c r="Q79" s="326" t="str">
        <f>IFERROR(VLOOKUP($G79,主力整理!$A$2:$G$2301,6,0),"0")</f>
        <v>0</v>
      </c>
      <c r="R79" s="111">
        <v>5</v>
      </c>
      <c r="S79" s="51">
        <v>0</v>
      </c>
      <c r="T79" s="339">
        <f>SUM(P79:S79)</f>
        <v>7</v>
      </c>
      <c r="V79" s="371">
        <v>0</v>
      </c>
      <c r="W79" s="35">
        <v>0</v>
      </c>
      <c r="X79" s="59">
        <v>-1.79</v>
      </c>
      <c r="Y79" s="37" t="str">
        <f>RTD("money.excel",,"1432","Price")</f>
        <v>無資料</v>
      </c>
      <c r="Z79" s="69">
        <v>11</v>
      </c>
      <c r="AA79" s="16" t="e">
        <f t="shared" si="127"/>
        <v>#VALUE!</v>
      </c>
      <c r="AB79" s="3" t="e">
        <f t="shared" si="128"/>
        <v>#VALUE!</v>
      </c>
      <c r="AC79" s="219" t="s">
        <v>6816</v>
      </c>
      <c r="AD79" s="23" t="s">
        <v>1377</v>
      </c>
      <c r="AE79" s="89">
        <v>44554</v>
      </c>
      <c r="AF79" s="88">
        <v>44564</v>
      </c>
      <c r="AG79" s="34">
        <f t="shared" si="129"/>
        <v>10</v>
      </c>
      <c r="AH79" s="44" t="s">
        <v>3230</v>
      </c>
      <c r="AI79" s="131"/>
      <c r="AJ79" s="264"/>
      <c r="AK79" s="353"/>
      <c r="AL79" s="264"/>
      <c r="AM79" s="347"/>
      <c r="AN79" s="284"/>
    </row>
    <row r="80" spans="1:42">
      <c r="A80" s="151" t="s">
        <v>6585</v>
      </c>
      <c r="B80" s="98">
        <v>7213</v>
      </c>
      <c r="C80" s="84">
        <v>243</v>
      </c>
      <c r="D80" s="85">
        <v>-6</v>
      </c>
      <c r="E80" s="84">
        <v>114</v>
      </c>
      <c r="F80" s="7">
        <v>8.64</v>
      </c>
      <c r="G80" s="85">
        <v>1314</v>
      </c>
      <c r="H80" s="53" t="s">
        <v>542</v>
      </c>
      <c r="I80" s="23" t="s">
        <v>240</v>
      </c>
      <c r="J80" s="371">
        <v>30.2</v>
      </c>
      <c r="K80" s="371">
        <v>11.73</v>
      </c>
      <c r="L80" s="77">
        <v>19.27</v>
      </c>
      <c r="N80" s="365">
        <f t="shared" si="6"/>
        <v>61.2</v>
      </c>
      <c r="O80" s="343">
        <f t="shared" si="123"/>
        <v>30.2</v>
      </c>
      <c r="P80" s="195">
        <v>4</v>
      </c>
      <c r="Q80" s="326">
        <v>14</v>
      </c>
      <c r="R80" s="111">
        <v>2</v>
      </c>
      <c r="S80" s="51">
        <v>0</v>
      </c>
      <c r="T80" s="339">
        <f>SUM(P80:S80)</f>
        <v>20</v>
      </c>
      <c r="V80" s="371">
        <v>4.92</v>
      </c>
      <c r="W80" s="35">
        <v>0</v>
      </c>
      <c r="X80" s="100">
        <v>1.22</v>
      </c>
      <c r="Y80" s="37" t="str">
        <f>RTD("money.excel",,"1314","Price")</f>
        <v>無資料</v>
      </c>
      <c r="Z80" s="69">
        <v>11.75</v>
      </c>
      <c r="AA80" s="16" t="e">
        <f t="shared" si="127"/>
        <v>#VALUE!</v>
      </c>
      <c r="AB80" s="3" t="e">
        <f t="shared" si="128"/>
        <v>#VALUE!</v>
      </c>
      <c r="AC80" s="219" t="s">
        <v>6817</v>
      </c>
      <c r="AD80" s="23" t="s">
        <v>240</v>
      </c>
      <c r="AE80" s="89">
        <v>44554</v>
      </c>
      <c r="AF80" s="88">
        <v>44564</v>
      </c>
      <c r="AG80" s="34">
        <f t="shared" si="129"/>
        <v>10</v>
      </c>
      <c r="AH80" s="125" t="s">
        <v>4319</v>
      </c>
      <c r="AI80" s="131"/>
      <c r="AJ80" s="264"/>
      <c r="AK80" s="353"/>
      <c r="AL80" s="264"/>
      <c r="AM80" s="347"/>
      <c r="AN80" s="284"/>
    </row>
    <row r="81" spans="1:43">
      <c r="A81" s="151"/>
      <c r="B81" s="98"/>
      <c r="C81" s="84"/>
      <c r="D81" s="85"/>
      <c r="E81" s="84"/>
      <c r="F81" s="7"/>
      <c r="G81" s="85"/>
      <c r="H81" s="53"/>
      <c r="I81" s="23"/>
      <c r="J81" s="371"/>
      <c r="K81" s="371"/>
      <c r="N81" s="365"/>
      <c r="P81" s="195"/>
      <c r="Q81" s="326"/>
      <c r="R81" s="111"/>
      <c r="W81" s="35"/>
      <c r="X81" s="100"/>
      <c r="Y81" s="37"/>
      <c r="Z81" s="69"/>
      <c r="AA81" s="16"/>
      <c r="AB81" s="3"/>
      <c r="AC81" s="219"/>
      <c r="AD81" s="23"/>
      <c r="AG81" s="34"/>
      <c r="AH81" s="125"/>
      <c r="AI81" s="131"/>
      <c r="AJ81" s="264"/>
      <c r="AK81" s="353"/>
      <c r="AL81" s="264"/>
      <c r="AM81" s="347"/>
      <c r="AN81" s="284"/>
    </row>
    <row r="82" spans="1:43">
      <c r="A82" s="135" t="s">
        <v>2744</v>
      </c>
      <c r="B82" s="84">
        <v>123</v>
      </c>
      <c r="C82" s="84">
        <v>116</v>
      </c>
      <c r="D82" s="84">
        <v>7</v>
      </c>
      <c r="E82" s="85">
        <v>-26</v>
      </c>
      <c r="F82" s="59">
        <v>32.08</v>
      </c>
      <c r="G82" s="85">
        <v>4770</v>
      </c>
      <c r="H82" s="4" t="s">
        <v>1308</v>
      </c>
      <c r="I82" s="23" t="s">
        <v>6584</v>
      </c>
      <c r="J82" s="371">
        <v>70.849999999999994</v>
      </c>
      <c r="K82" s="371">
        <v>2.57</v>
      </c>
      <c r="L82" s="371"/>
      <c r="N82" s="365">
        <f t="shared" si="6"/>
        <v>73.419999999999987</v>
      </c>
      <c r="O82" s="343">
        <f t="shared" si="123"/>
        <v>70.849999999999994</v>
      </c>
      <c r="P82" s="195">
        <v>0</v>
      </c>
      <c r="Q82" s="326" t="str">
        <f>IFERROR(VLOOKUP($G82,主力整理!$A$2:$G$2301,6,0),"0")</f>
        <v>0</v>
      </c>
      <c r="R82" s="111">
        <v>0</v>
      </c>
      <c r="S82" s="51">
        <v>0</v>
      </c>
      <c r="T82" s="339">
        <f>SUM(P82:S82)</f>
        <v>0</v>
      </c>
      <c r="W82" s="69">
        <v>4.3</v>
      </c>
      <c r="X82" s="59">
        <v>13.09</v>
      </c>
      <c r="Y82" s="37" t="str">
        <f>RTD("money.excel",,"4770","Price")</f>
        <v>無資料</v>
      </c>
      <c r="Z82" s="69">
        <v>166</v>
      </c>
      <c r="AA82" s="16" t="e">
        <f t="shared" si="127"/>
        <v>#VALUE!</v>
      </c>
      <c r="AB82" s="3" t="e">
        <f t="shared" si="128"/>
        <v>#VALUE!</v>
      </c>
      <c r="AC82" s="219" t="s">
        <v>6768</v>
      </c>
      <c r="AD82" s="23" t="s">
        <v>6584</v>
      </c>
      <c r="AE82" s="89">
        <v>44552</v>
      </c>
      <c r="AF82" s="88">
        <v>44564</v>
      </c>
      <c r="AG82" s="34">
        <f t="shared" si="129"/>
        <v>12</v>
      </c>
      <c r="AH82" s="63" t="s">
        <v>4159</v>
      </c>
      <c r="AI82" s="131"/>
      <c r="AJ82" s="264"/>
      <c r="AK82" s="353"/>
      <c r="AL82" s="264"/>
      <c r="AM82" s="347"/>
      <c r="AN82" s="284"/>
    </row>
    <row r="83" spans="1:43">
      <c r="A83" s="151" t="s">
        <v>2923</v>
      </c>
      <c r="B83" s="84">
        <v>278</v>
      </c>
      <c r="C83" s="85">
        <v>-4</v>
      </c>
      <c r="D83" s="98">
        <v>2476</v>
      </c>
      <c r="E83" s="98">
        <v>4818</v>
      </c>
      <c r="F83" s="48">
        <v>-3843</v>
      </c>
      <c r="G83" s="85">
        <v>6535</v>
      </c>
      <c r="H83" s="4" t="s">
        <v>560</v>
      </c>
      <c r="I83" s="17" t="s">
        <v>1153</v>
      </c>
      <c r="J83" s="371">
        <v>54.7</v>
      </c>
      <c r="K83" s="371">
        <v>1.05</v>
      </c>
      <c r="L83" s="371"/>
      <c r="N83" s="365">
        <f t="shared" si="6"/>
        <v>55.75</v>
      </c>
      <c r="O83" s="343">
        <f t="shared" si="123"/>
        <v>54.7</v>
      </c>
      <c r="P83" s="195">
        <v>0</v>
      </c>
      <c r="Q83" s="326">
        <v>2</v>
      </c>
      <c r="R83" s="111">
        <v>0</v>
      </c>
      <c r="S83" s="51">
        <v>0</v>
      </c>
      <c r="T83" s="339">
        <f>SUM(P83:S83)</f>
        <v>2</v>
      </c>
      <c r="W83" s="35">
        <v>0</v>
      </c>
      <c r="X83" s="59">
        <v>2.38</v>
      </c>
      <c r="Y83" s="37" t="str">
        <f>RTD("money.excel",,"6535","Price")</f>
        <v>無資料</v>
      </c>
      <c r="Z83" s="69">
        <v>30</v>
      </c>
      <c r="AA83" s="16" t="e">
        <f t="shared" ref="AA83:AA85" si="130">Y83-Z83</f>
        <v>#VALUE!</v>
      </c>
      <c r="AB83" s="3" t="e">
        <f t="shared" ref="AB83:AB85" si="131">AA83/Z83</f>
        <v>#VALUE!</v>
      </c>
      <c r="AC83" s="219" t="s">
        <v>6769</v>
      </c>
      <c r="AD83" s="17" t="s">
        <v>1153</v>
      </c>
      <c r="AE83" s="89">
        <v>44552</v>
      </c>
      <c r="AF83" s="88">
        <v>44562</v>
      </c>
      <c r="AG83" s="34">
        <f t="shared" ref="AG83:AG85" si="132">AF83-AE83</f>
        <v>10</v>
      </c>
      <c r="AH83" s="44" t="s">
        <v>3431</v>
      </c>
      <c r="AI83" s="131"/>
      <c r="AJ83" s="264"/>
      <c r="AK83" s="353"/>
      <c r="AL83" s="264"/>
      <c r="AM83" s="347"/>
      <c r="AN83" s="284"/>
    </row>
    <row r="84" spans="1:43">
      <c r="A84" s="151"/>
      <c r="B84" s="84"/>
      <c r="C84" s="85"/>
      <c r="D84" s="98"/>
      <c r="E84" s="98"/>
      <c r="F84" s="48"/>
      <c r="G84" s="85"/>
      <c r="H84" s="4"/>
      <c r="I84" s="17"/>
      <c r="J84" s="371"/>
      <c r="K84" s="371"/>
      <c r="L84" s="371"/>
      <c r="N84" s="365"/>
      <c r="P84" s="195"/>
      <c r="Q84" s="326"/>
      <c r="R84" s="111"/>
      <c r="W84" s="35"/>
      <c r="X84" s="59"/>
      <c r="Y84" s="37"/>
      <c r="Z84" s="69"/>
      <c r="AA84" s="16"/>
      <c r="AB84" s="3"/>
      <c r="AC84" s="219"/>
      <c r="AD84" s="17"/>
      <c r="AG84" s="34"/>
      <c r="AH84" s="44"/>
      <c r="AI84" s="131"/>
      <c r="AJ84" s="264"/>
      <c r="AK84" s="353"/>
      <c r="AL84" s="264"/>
      <c r="AM84" s="347"/>
      <c r="AN84" s="284"/>
    </row>
    <row r="85" spans="1:43">
      <c r="A85" s="151" t="s">
        <v>2481</v>
      </c>
      <c r="B85" s="84">
        <v>112</v>
      </c>
      <c r="C85" s="84">
        <v>90</v>
      </c>
      <c r="D85" s="85">
        <v>-5</v>
      </c>
      <c r="E85" s="84">
        <v>25</v>
      </c>
      <c r="F85" s="7">
        <v>2.39</v>
      </c>
      <c r="G85" s="85">
        <v>3605</v>
      </c>
      <c r="H85" s="4" t="s">
        <v>559</v>
      </c>
      <c r="I85" s="23" t="s">
        <v>715</v>
      </c>
      <c r="J85" s="371">
        <v>36.340000000000003</v>
      </c>
      <c r="K85" s="77">
        <v>9.1999999999999993</v>
      </c>
      <c r="L85" s="371">
        <v>23.01</v>
      </c>
      <c r="N85" s="365">
        <f t="shared" si="6"/>
        <v>68.550000000000011</v>
      </c>
      <c r="O85" s="343">
        <f t="shared" si="123"/>
        <v>36.340000000000003</v>
      </c>
      <c r="P85" s="195">
        <v>8</v>
      </c>
      <c r="Q85" s="326">
        <v>2</v>
      </c>
      <c r="R85" s="111">
        <v>4</v>
      </c>
      <c r="S85" s="51">
        <v>0</v>
      </c>
      <c r="T85" s="339">
        <f>SUM(P85:S85)</f>
        <v>14</v>
      </c>
      <c r="U85" s="329" t="s">
        <v>6558</v>
      </c>
      <c r="V85" s="371">
        <v>4.16</v>
      </c>
      <c r="W85" s="35">
        <v>0.7</v>
      </c>
      <c r="X85" s="100">
        <v>4.17</v>
      </c>
      <c r="Y85" s="37" t="str">
        <f>RTD("money.excel",,"3605","Price")</f>
        <v>無資料</v>
      </c>
      <c r="Z85" s="69">
        <v>40</v>
      </c>
      <c r="AA85" s="16" t="e">
        <f t="shared" si="130"/>
        <v>#VALUE!</v>
      </c>
      <c r="AB85" s="3" t="e">
        <f t="shared" si="131"/>
        <v>#VALUE!</v>
      </c>
      <c r="AC85" s="219" t="s">
        <v>6746</v>
      </c>
      <c r="AD85" s="23" t="s">
        <v>715</v>
      </c>
      <c r="AE85" s="89">
        <v>44551</v>
      </c>
      <c r="AF85" s="88">
        <v>44561</v>
      </c>
      <c r="AG85" s="34">
        <f t="shared" si="132"/>
        <v>10</v>
      </c>
      <c r="AH85" s="44" t="s">
        <v>2961</v>
      </c>
      <c r="AI85" s="131"/>
      <c r="AJ85" s="264"/>
      <c r="AK85" s="353"/>
      <c r="AL85" s="264"/>
      <c r="AM85" s="347"/>
      <c r="AN85" s="284"/>
    </row>
    <row r="86" spans="1:43">
      <c r="A86" s="151"/>
      <c r="B86" s="85"/>
      <c r="C86" s="85"/>
      <c r="D86" s="84"/>
      <c r="E86" s="85"/>
      <c r="F86" s="48"/>
      <c r="G86" s="85"/>
      <c r="H86" s="4"/>
      <c r="I86" s="17"/>
      <c r="J86" s="371"/>
      <c r="K86" s="371"/>
      <c r="L86" s="371"/>
      <c r="N86" s="365"/>
      <c r="P86" s="195"/>
      <c r="Q86" s="326"/>
      <c r="R86" s="111"/>
      <c r="W86" s="35"/>
      <c r="X86" s="100"/>
      <c r="Y86" s="37"/>
      <c r="Z86" s="69"/>
      <c r="AA86" s="16"/>
      <c r="AB86" s="3"/>
      <c r="AC86" s="219"/>
      <c r="AD86" s="17"/>
      <c r="AG86" s="34"/>
      <c r="AH86" s="44"/>
      <c r="AI86" s="131"/>
      <c r="AJ86" s="264"/>
      <c r="AK86" s="353"/>
      <c r="AL86" s="264"/>
      <c r="AM86" s="347"/>
      <c r="AN86" s="284"/>
    </row>
    <row r="87" spans="1:43">
      <c r="A87" s="197"/>
      <c r="B87" s="182"/>
      <c r="C87" s="182"/>
      <c r="D87" s="182"/>
      <c r="E87" s="182"/>
      <c r="F87" s="183"/>
      <c r="G87" s="184"/>
      <c r="H87" s="186"/>
      <c r="I87" s="185"/>
      <c r="J87" s="366"/>
      <c r="K87" s="366"/>
      <c r="L87" s="372"/>
      <c r="M87" s="373"/>
      <c r="N87" s="366">
        <v>130</v>
      </c>
      <c r="O87" s="369">
        <v>80</v>
      </c>
      <c r="V87" s="371" t="s">
        <v>6623</v>
      </c>
      <c r="W87" s="183"/>
      <c r="X87" s="4" t="s">
        <v>2189</v>
      </c>
      <c r="Y87" s="4" t="s">
        <v>1820</v>
      </c>
      <c r="Z87" s="11" t="s">
        <v>515</v>
      </c>
      <c r="AA87" s="189"/>
      <c r="AB87" s="190"/>
      <c r="AC87" s="191"/>
      <c r="AD87" s="185"/>
      <c r="AF87" s="194"/>
      <c r="AG87" s="192">
        <f t="shared" ref="AG87" si="133">AF87-AE87</f>
        <v>0</v>
      </c>
      <c r="AH87" s="193"/>
      <c r="AJ87" s="185"/>
      <c r="AK87" s="355"/>
      <c r="AL87" s="350"/>
      <c r="AM87" s="295"/>
      <c r="AN87" s="274"/>
      <c r="AP87" s="386"/>
      <c r="AQ87" s="287"/>
    </row>
    <row r="88" spans="1:43">
      <c r="A88" s="135" t="s">
        <v>2552</v>
      </c>
      <c r="B88" s="96" t="s">
        <v>2331</v>
      </c>
      <c r="C88" s="96" t="s">
        <v>2332</v>
      </c>
      <c r="D88" s="96" t="s">
        <v>2333</v>
      </c>
      <c r="E88" s="96" t="s">
        <v>2334</v>
      </c>
      <c r="F88" s="9" t="s">
        <v>1709</v>
      </c>
      <c r="G88" s="27" t="s">
        <v>5626</v>
      </c>
      <c r="H88" s="56" t="s">
        <v>578</v>
      </c>
      <c r="I88" s="9" t="s">
        <v>3635</v>
      </c>
      <c r="J88" s="364" t="s">
        <v>2189</v>
      </c>
      <c r="K88" s="364" t="s">
        <v>1820</v>
      </c>
      <c r="L88" s="364" t="s">
        <v>515</v>
      </c>
      <c r="M88" s="364" t="s">
        <v>1699</v>
      </c>
      <c r="N88" s="364" t="s">
        <v>6633</v>
      </c>
      <c r="O88" s="343" t="s">
        <v>6634</v>
      </c>
      <c r="P88" s="83" t="s">
        <v>5279</v>
      </c>
      <c r="Q88" s="326" t="s">
        <v>5514</v>
      </c>
      <c r="R88" s="31" t="s">
        <v>6596</v>
      </c>
      <c r="S88" s="51" t="s">
        <v>6597</v>
      </c>
      <c r="T88" s="338" t="s">
        <v>5627</v>
      </c>
      <c r="U88" s="330" t="s">
        <v>6537</v>
      </c>
      <c r="V88" s="377" t="s">
        <v>6616</v>
      </c>
      <c r="W88" s="11" t="s">
        <v>127</v>
      </c>
      <c r="X88" s="71" t="s">
        <v>6626</v>
      </c>
      <c r="Y88" s="29" t="s">
        <v>6688</v>
      </c>
      <c r="Z88" s="18" t="s">
        <v>2113</v>
      </c>
      <c r="AA88" s="15" t="s">
        <v>8</v>
      </c>
      <c r="AB88" s="22" t="s">
        <v>4</v>
      </c>
      <c r="AC88" s="26" t="s">
        <v>211</v>
      </c>
      <c r="AD88" s="9" t="s">
        <v>3635</v>
      </c>
      <c r="AE88" s="75" t="s">
        <v>2114</v>
      </c>
      <c r="AF88" s="76" t="s">
        <v>1826</v>
      </c>
      <c r="AG88" s="33" t="s">
        <v>1827</v>
      </c>
      <c r="AH88" s="43" t="s">
        <v>3636</v>
      </c>
      <c r="AJ88" s="9"/>
      <c r="AK88" s="304"/>
      <c r="AL88" s="5"/>
    </row>
    <row r="89" spans="1:43">
      <c r="A89" s="151" t="s">
        <v>4804</v>
      </c>
      <c r="B89" s="84">
        <v>88</v>
      </c>
      <c r="C89" s="85">
        <v>-41</v>
      </c>
      <c r="D89" s="84">
        <v>0</v>
      </c>
      <c r="E89" s="84">
        <v>47</v>
      </c>
      <c r="F89" s="7">
        <v>1.29</v>
      </c>
      <c r="G89" s="85">
        <v>8927</v>
      </c>
      <c r="H89" s="5" t="s">
        <v>564</v>
      </c>
      <c r="I89" s="17" t="s">
        <v>1612</v>
      </c>
      <c r="J89" s="371">
        <v>72.430000000000007</v>
      </c>
      <c r="K89" s="371">
        <v>0.17</v>
      </c>
      <c r="L89" s="77">
        <v>5.68</v>
      </c>
      <c r="M89" s="371">
        <v>32.82</v>
      </c>
      <c r="N89" s="365">
        <f t="shared" ref="N89:N91" si="134">K89+J89+L89+M89</f>
        <v>111.1</v>
      </c>
      <c r="O89" s="369">
        <f>J89+M89</f>
        <v>105.25</v>
      </c>
      <c r="P89" s="195">
        <v>1</v>
      </c>
      <c r="Q89" s="326">
        <v>12</v>
      </c>
      <c r="R89" s="111">
        <v>8</v>
      </c>
      <c r="S89" s="51">
        <v>20</v>
      </c>
      <c r="T89" s="339">
        <f>SUM(P89:S89)</f>
        <v>41</v>
      </c>
      <c r="U89" s="329" t="s">
        <v>6539</v>
      </c>
      <c r="V89" s="371">
        <v>0.37</v>
      </c>
      <c r="W89" s="35">
        <v>0.47</v>
      </c>
      <c r="X89" s="59">
        <v>0.95</v>
      </c>
      <c r="Y89" s="37">
        <v>30.6</v>
      </c>
      <c r="Z89" s="69">
        <v>25</v>
      </c>
      <c r="AA89" s="16">
        <f>Y89-Z89</f>
        <v>5.6000000000000014</v>
      </c>
      <c r="AB89" s="66">
        <f>AA89/Z89</f>
        <v>0.22400000000000006</v>
      </c>
      <c r="AC89" s="105" t="s">
        <v>1609</v>
      </c>
      <c r="AD89" s="17" t="s">
        <v>1612</v>
      </c>
      <c r="AE89" s="89">
        <v>44546</v>
      </c>
      <c r="AF89" s="91">
        <v>44557</v>
      </c>
      <c r="AG89" s="34">
        <f>AF89-AE89</f>
        <v>11</v>
      </c>
      <c r="AH89" s="44" t="s">
        <v>4226</v>
      </c>
      <c r="AI89" s="131"/>
      <c r="AJ89" s="264"/>
      <c r="AK89" s="353"/>
      <c r="AL89" s="264"/>
      <c r="AM89" s="347"/>
      <c r="AN89" s="284"/>
    </row>
    <row r="90" spans="1:43">
      <c r="A90" s="151" t="s">
        <v>6547</v>
      </c>
      <c r="B90" s="85">
        <v>-101</v>
      </c>
      <c r="C90" s="85">
        <v>-76</v>
      </c>
      <c r="D90" s="84">
        <v>28</v>
      </c>
      <c r="E90" s="85">
        <v>-1</v>
      </c>
      <c r="F90" s="7">
        <v>0.55000000000000004</v>
      </c>
      <c r="G90" s="84">
        <v>3520</v>
      </c>
      <c r="H90" s="9" t="s">
        <v>559</v>
      </c>
      <c r="I90" s="17" t="s">
        <v>4618</v>
      </c>
      <c r="J90" s="371">
        <v>35.700000000000003</v>
      </c>
      <c r="K90" s="371">
        <v>0.05</v>
      </c>
      <c r="L90" s="371"/>
      <c r="M90" s="77">
        <v>34.26</v>
      </c>
      <c r="N90" s="365">
        <f t="shared" si="134"/>
        <v>70.009999999999991</v>
      </c>
      <c r="O90" s="343">
        <f>J90+M90</f>
        <v>69.960000000000008</v>
      </c>
      <c r="P90" s="195">
        <v>0</v>
      </c>
      <c r="Q90" s="326">
        <v>1</v>
      </c>
      <c r="R90" s="111">
        <v>3</v>
      </c>
      <c r="S90" s="51">
        <v>3</v>
      </c>
      <c r="T90" s="339">
        <f>SUM(P90:S90)</f>
        <v>7</v>
      </c>
      <c r="W90" s="35">
        <v>0</v>
      </c>
      <c r="X90" s="100">
        <v>-0.08</v>
      </c>
      <c r="Y90" s="37">
        <v>15.8</v>
      </c>
      <c r="Z90" s="69">
        <v>12.8</v>
      </c>
      <c r="AA90" s="16">
        <f t="shared" ref="AA90" si="135">Y90-Z90</f>
        <v>3</v>
      </c>
      <c r="AB90" s="66">
        <f t="shared" ref="AB90" si="136">AA90/Z90</f>
        <v>0.234375</v>
      </c>
      <c r="AC90" s="105" t="s">
        <v>6689</v>
      </c>
      <c r="AD90" s="17" t="s">
        <v>4618</v>
      </c>
      <c r="AE90" s="89">
        <v>44546</v>
      </c>
      <c r="AF90" s="91">
        <v>44557</v>
      </c>
      <c r="AG90" s="34">
        <f t="shared" ref="AG90" si="137">AF90-AE90</f>
        <v>11</v>
      </c>
      <c r="AH90" s="44" t="s">
        <v>3804</v>
      </c>
      <c r="AI90" s="131"/>
      <c r="AJ90" s="264"/>
      <c r="AK90" s="353"/>
      <c r="AL90" s="264"/>
      <c r="AM90" s="347"/>
      <c r="AN90" s="284"/>
    </row>
    <row r="91" spans="1:43">
      <c r="A91" s="151" t="s">
        <v>6525</v>
      </c>
      <c r="B91" s="85">
        <v>-385</v>
      </c>
      <c r="C91" s="99">
        <v>-1255</v>
      </c>
      <c r="D91" s="84">
        <v>17</v>
      </c>
      <c r="E91" s="85">
        <v>-18</v>
      </c>
      <c r="F91" s="7">
        <v>-14.89</v>
      </c>
      <c r="G91" s="85">
        <v>2748</v>
      </c>
      <c r="H91" s="5" t="s">
        <v>552</v>
      </c>
      <c r="I91" s="23" t="s">
        <v>1606</v>
      </c>
      <c r="J91" s="371">
        <v>68.44</v>
      </c>
      <c r="K91" s="371">
        <v>0.31</v>
      </c>
      <c r="L91" s="77">
        <v>1.23</v>
      </c>
      <c r="M91" s="371">
        <v>69.540000000000006</v>
      </c>
      <c r="N91" s="77">
        <f t="shared" si="134"/>
        <v>139.52000000000001</v>
      </c>
      <c r="O91" s="369">
        <f>J91+M91</f>
        <v>137.98000000000002</v>
      </c>
      <c r="P91" s="195">
        <v>1</v>
      </c>
      <c r="Q91" s="326" t="str">
        <f>IFERROR(VLOOKUP($G91,主力整理!$A$2:$G$2301,6,0),"0")</f>
        <v>0</v>
      </c>
      <c r="R91" s="111">
        <v>1</v>
      </c>
      <c r="S91" s="51">
        <v>1</v>
      </c>
      <c r="T91" s="339">
        <f>SUM(P91:S91)</f>
        <v>3</v>
      </c>
      <c r="U91" s="329" t="s">
        <v>6870</v>
      </c>
      <c r="V91" s="371">
        <v>0.11</v>
      </c>
      <c r="W91" s="35">
        <v>1</v>
      </c>
      <c r="X91" s="59">
        <v>-0.36</v>
      </c>
      <c r="Y91" s="37">
        <v>39</v>
      </c>
      <c r="Z91" s="69">
        <v>34</v>
      </c>
      <c r="AA91" s="16">
        <f t="shared" ref="AA91" si="138">Y91-Z91</f>
        <v>5</v>
      </c>
      <c r="AB91" s="66">
        <f t="shared" ref="AB91" si="139">AA91/Z91</f>
        <v>0.14705882352941177</v>
      </c>
      <c r="AC91" s="105" t="s">
        <v>6690</v>
      </c>
      <c r="AD91" s="23" t="s">
        <v>1606</v>
      </c>
      <c r="AE91" s="89">
        <v>44546</v>
      </c>
      <c r="AF91" s="91">
        <v>44557</v>
      </c>
      <c r="AG91" s="34">
        <f t="shared" ref="AG91" si="140">AF91-AE91</f>
        <v>11</v>
      </c>
      <c r="AH91" s="44" t="s">
        <v>4223</v>
      </c>
      <c r="AI91" s="131"/>
      <c r="AJ91" s="264"/>
      <c r="AK91" s="353"/>
      <c r="AL91" s="264"/>
      <c r="AM91" s="347"/>
      <c r="AN91" s="284"/>
    </row>
    <row r="92" spans="1:43">
      <c r="A92" s="135" t="s">
        <v>6506</v>
      </c>
      <c r="B92" s="85">
        <v>-32</v>
      </c>
      <c r="C92" s="85">
        <v>-32</v>
      </c>
      <c r="D92" s="84">
        <v>63</v>
      </c>
      <c r="E92" s="85">
        <v>-40</v>
      </c>
      <c r="F92" s="59">
        <v>22.79</v>
      </c>
      <c r="G92" s="85">
        <v>1777</v>
      </c>
      <c r="H92" s="203" t="s">
        <v>560</v>
      </c>
      <c r="I92" s="17" t="s">
        <v>263</v>
      </c>
      <c r="J92" s="371">
        <v>48.69</v>
      </c>
      <c r="K92" s="371">
        <v>0.15</v>
      </c>
      <c r="L92" s="77">
        <v>2.31</v>
      </c>
      <c r="M92" s="77">
        <v>29.77</v>
      </c>
      <c r="N92" s="365">
        <f t="shared" ref="N92:N97" si="141">K92+J92+L92+M92</f>
        <v>80.92</v>
      </c>
      <c r="O92" s="343">
        <f t="shared" ref="O92:O97" si="142">J92+M92</f>
        <v>78.459999999999994</v>
      </c>
      <c r="P92" s="195">
        <v>1</v>
      </c>
      <c r="Q92" s="326" t="str">
        <f>IFERROR(VLOOKUP($G92,主力整理!$A$2:$G$2301,6,0),"0")</f>
        <v>0</v>
      </c>
      <c r="R92" s="111">
        <v>2</v>
      </c>
      <c r="S92" s="51">
        <v>4</v>
      </c>
      <c r="T92" s="339">
        <f>SUM(P92:S92)</f>
        <v>7</v>
      </c>
      <c r="V92" s="371">
        <v>6.2E-2</v>
      </c>
      <c r="W92" s="69">
        <v>4</v>
      </c>
      <c r="X92" s="100">
        <v>4.57</v>
      </c>
      <c r="Y92" s="37">
        <v>64.5</v>
      </c>
      <c r="Z92" s="69">
        <v>60</v>
      </c>
      <c r="AA92" s="16">
        <f t="shared" ref="AA92" si="143">Y92-Z92</f>
        <v>4.5</v>
      </c>
      <c r="AB92" s="66">
        <f t="shared" ref="AB92" si="144">AA92/Z92</f>
        <v>7.4999999999999997E-2</v>
      </c>
      <c r="AC92" s="105" t="s">
        <v>6625</v>
      </c>
      <c r="AD92" s="17" t="s">
        <v>263</v>
      </c>
      <c r="AE92" s="89">
        <v>44543</v>
      </c>
      <c r="AF92" s="91">
        <v>44553</v>
      </c>
      <c r="AG92" s="34">
        <f t="shared" ref="AG92" si="145">AF92-AE92</f>
        <v>10</v>
      </c>
      <c r="AH92" s="126" t="s">
        <v>3874</v>
      </c>
      <c r="AI92" s="131"/>
      <c r="AJ92" s="264"/>
      <c r="AK92" s="353"/>
      <c r="AL92" s="264"/>
      <c r="AM92" s="347"/>
      <c r="AN92" s="284"/>
    </row>
    <row r="93" spans="1:43" ht="16.5" customHeight="1">
      <c r="A93" s="151" t="s">
        <v>6487</v>
      </c>
      <c r="B93" s="85">
        <v>-132</v>
      </c>
      <c r="C93" s="85">
        <v>-396</v>
      </c>
      <c r="D93" s="84">
        <v>9</v>
      </c>
      <c r="E93" s="84">
        <v>0</v>
      </c>
      <c r="F93" s="7">
        <v>-11.67</v>
      </c>
      <c r="G93" s="85">
        <v>1268</v>
      </c>
      <c r="H93" s="5" t="s">
        <v>552</v>
      </c>
      <c r="I93" s="17" t="s">
        <v>1578</v>
      </c>
      <c r="J93" s="371">
        <v>70.489999999999995</v>
      </c>
      <c r="K93" s="371">
        <v>0.08</v>
      </c>
      <c r="L93" s="77">
        <v>0.32</v>
      </c>
      <c r="M93" s="371">
        <v>19.29</v>
      </c>
      <c r="N93" s="365">
        <f t="shared" si="141"/>
        <v>90.179999999999978</v>
      </c>
      <c r="O93" s="343">
        <f t="shared" si="142"/>
        <v>89.78</v>
      </c>
      <c r="P93" s="195">
        <v>5</v>
      </c>
      <c r="Q93" s="326" t="str">
        <f>IFERROR(VLOOKUP($G93,主力整理!$A$2:$G$2301,6,0),"0")</f>
        <v>0</v>
      </c>
      <c r="R93" s="111">
        <v>0</v>
      </c>
      <c r="S93" s="51">
        <v>0</v>
      </c>
      <c r="T93" s="339">
        <f t="shared" ref="T93:T99" si="146">SUM(P93:S93)</f>
        <v>5</v>
      </c>
      <c r="V93" s="371">
        <v>0.02</v>
      </c>
      <c r="W93" s="69">
        <v>7</v>
      </c>
      <c r="X93" s="59">
        <v>0.05</v>
      </c>
      <c r="Y93" s="37">
        <v>111</v>
      </c>
      <c r="Z93" s="69">
        <v>100</v>
      </c>
      <c r="AA93" s="16">
        <f t="shared" ref="AA93:AA94" si="147">Y93-Z93</f>
        <v>11</v>
      </c>
      <c r="AB93" s="66">
        <f t="shared" ref="AB93:AB94" si="148">AA93/Z93</f>
        <v>0.11</v>
      </c>
      <c r="AC93" s="105" t="s">
        <v>1342</v>
      </c>
      <c r="AD93" s="17" t="s">
        <v>1578</v>
      </c>
      <c r="AE93" s="89">
        <v>44540</v>
      </c>
      <c r="AF93" s="91">
        <v>44550</v>
      </c>
      <c r="AG93" s="34">
        <f t="shared" ref="AG93:AG94" si="149">AF93-AE93</f>
        <v>10</v>
      </c>
      <c r="AH93" s="44" t="s">
        <v>4211</v>
      </c>
      <c r="AI93" s="131"/>
      <c r="AJ93" s="264"/>
      <c r="AK93" s="353"/>
      <c r="AL93" s="264"/>
      <c r="AM93" s="347"/>
      <c r="AN93" s="284"/>
    </row>
    <row r="94" spans="1:43">
      <c r="A94" s="135" t="s">
        <v>2216</v>
      </c>
      <c r="B94" s="84">
        <v>81</v>
      </c>
      <c r="C94" s="84">
        <v>134</v>
      </c>
      <c r="D94" s="85">
        <v>-2</v>
      </c>
      <c r="E94" s="84">
        <v>14</v>
      </c>
      <c r="F94" s="59">
        <v>20.65</v>
      </c>
      <c r="G94" s="84">
        <v>6792</v>
      </c>
      <c r="H94" s="9" t="s">
        <v>563</v>
      </c>
      <c r="I94" s="23" t="s">
        <v>6486</v>
      </c>
      <c r="J94" s="371">
        <v>45.77</v>
      </c>
      <c r="K94" s="371">
        <v>0.64</v>
      </c>
      <c r="L94" s="371"/>
      <c r="M94" s="371">
        <v>42.12</v>
      </c>
      <c r="N94" s="365">
        <f t="shared" si="141"/>
        <v>88.53</v>
      </c>
      <c r="O94" s="343">
        <f t="shared" si="142"/>
        <v>87.89</v>
      </c>
      <c r="P94" s="195">
        <v>0</v>
      </c>
      <c r="Q94" s="326">
        <v>1</v>
      </c>
      <c r="R94" s="111">
        <v>1</v>
      </c>
      <c r="S94" s="51">
        <v>3</v>
      </c>
      <c r="T94" s="339">
        <f t="shared" si="146"/>
        <v>5</v>
      </c>
      <c r="W94" s="69">
        <v>3.5</v>
      </c>
      <c r="X94" s="100">
        <v>6.28</v>
      </c>
      <c r="Y94" s="37">
        <v>213.5</v>
      </c>
      <c r="Z94" s="69">
        <v>98</v>
      </c>
      <c r="AA94" s="16">
        <f t="shared" si="147"/>
        <v>115.5</v>
      </c>
      <c r="AB94" s="158">
        <f t="shared" si="148"/>
        <v>1.1785714285714286</v>
      </c>
      <c r="AC94" s="105" t="s">
        <v>6576</v>
      </c>
      <c r="AD94" s="23" t="s">
        <v>6486</v>
      </c>
      <c r="AE94" s="89">
        <v>44538</v>
      </c>
      <c r="AF94" s="91">
        <v>44550</v>
      </c>
      <c r="AG94" s="34">
        <f t="shared" si="149"/>
        <v>12</v>
      </c>
      <c r="AH94" s="63" t="s">
        <v>6488</v>
      </c>
      <c r="AI94" s="131"/>
      <c r="AJ94" s="264"/>
      <c r="AK94" s="353"/>
      <c r="AL94" s="264"/>
      <c r="AM94" s="347"/>
      <c r="AN94" s="284"/>
    </row>
    <row r="95" spans="1:43">
      <c r="A95" s="151" t="s">
        <v>6480</v>
      </c>
      <c r="B95" s="85">
        <v>-178</v>
      </c>
      <c r="C95" s="85">
        <v>-102</v>
      </c>
      <c r="D95" s="85">
        <v>-3</v>
      </c>
      <c r="E95" s="85">
        <v>-31</v>
      </c>
      <c r="F95" s="7">
        <v>-0.28000000000000003</v>
      </c>
      <c r="G95" s="85">
        <v>6616</v>
      </c>
      <c r="H95" s="5" t="s">
        <v>429</v>
      </c>
      <c r="I95" s="17" t="s">
        <v>1197</v>
      </c>
      <c r="J95" s="371">
        <v>71.069999999999993</v>
      </c>
      <c r="K95" s="371">
        <v>77.08</v>
      </c>
      <c r="L95" s="371"/>
      <c r="M95" s="371">
        <v>58.62</v>
      </c>
      <c r="N95" s="365">
        <f t="shared" si="141"/>
        <v>206.76999999999998</v>
      </c>
      <c r="O95" s="343">
        <f t="shared" si="142"/>
        <v>129.69</v>
      </c>
      <c r="P95" s="195">
        <v>1</v>
      </c>
      <c r="Q95" s="326">
        <v>1</v>
      </c>
      <c r="R95" s="111">
        <v>1</v>
      </c>
      <c r="S95" s="51">
        <v>0</v>
      </c>
      <c r="T95" s="339">
        <f t="shared" si="146"/>
        <v>3</v>
      </c>
      <c r="V95" s="371">
        <v>0.08</v>
      </c>
      <c r="W95" s="35">
        <v>2</v>
      </c>
      <c r="X95" s="59">
        <v>0.25</v>
      </c>
      <c r="Y95" s="14">
        <v>18.5</v>
      </c>
      <c r="Z95" s="69">
        <v>16.25</v>
      </c>
      <c r="AA95" s="16">
        <f t="shared" ref="AA95" si="150">Y95-Z95</f>
        <v>2.25</v>
      </c>
      <c r="AB95" s="66">
        <f t="shared" ref="AB95" si="151">AA95/Z95</f>
        <v>0.13846153846153847</v>
      </c>
      <c r="AC95" s="105" t="s">
        <v>6577</v>
      </c>
      <c r="AD95" s="17" t="s">
        <v>1197</v>
      </c>
      <c r="AE95" s="89">
        <v>44538</v>
      </c>
      <c r="AF95" s="91">
        <v>44550</v>
      </c>
      <c r="AG95" s="34">
        <f t="shared" ref="AG95" si="152">AF95-AE95</f>
        <v>12</v>
      </c>
      <c r="AH95" s="44" t="s">
        <v>3926</v>
      </c>
      <c r="AI95" s="131"/>
      <c r="AJ95" s="264"/>
      <c r="AK95" s="353"/>
      <c r="AL95" s="264"/>
      <c r="AM95" s="347"/>
      <c r="AN95" s="284"/>
    </row>
    <row r="96" spans="1:43">
      <c r="A96" s="151" t="s">
        <v>2624</v>
      </c>
      <c r="B96" s="85">
        <v>-19</v>
      </c>
      <c r="C96" s="85">
        <v>-21</v>
      </c>
      <c r="D96" s="84">
        <v>1</v>
      </c>
      <c r="E96" s="84">
        <v>282</v>
      </c>
      <c r="F96" s="77">
        <v>-854.73</v>
      </c>
      <c r="G96" s="85">
        <v>6461</v>
      </c>
      <c r="H96" s="5" t="s">
        <v>560</v>
      </c>
      <c r="I96" s="17" t="s">
        <v>1145</v>
      </c>
      <c r="J96" s="371">
        <v>50.63</v>
      </c>
      <c r="K96" s="371">
        <v>0.75</v>
      </c>
      <c r="L96" s="77">
        <v>4.22</v>
      </c>
      <c r="M96" s="371">
        <v>48.82</v>
      </c>
      <c r="N96" s="365">
        <f t="shared" si="141"/>
        <v>104.42</v>
      </c>
      <c r="O96" s="343">
        <f t="shared" si="142"/>
        <v>99.45</v>
      </c>
      <c r="P96" s="195">
        <v>0</v>
      </c>
      <c r="Q96" s="326">
        <v>2</v>
      </c>
      <c r="R96" s="111">
        <v>4</v>
      </c>
      <c r="S96" s="51">
        <v>5</v>
      </c>
      <c r="T96" s="339">
        <f t="shared" si="146"/>
        <v>11</v>
      </c>
      <c r="V96" s="371">
        <v>7.0000000000000007E-2</v>
      </c>
      <c r="W96" s="35">
        <v>0</v>
      </c>
      <c r="X96" s="59">
        <v>-2.86</v>
      </c>
      <c r="Y96" s="37">
        <v>20.05</v>
      </c>
      <c r="Z96" s="69">
        <v>20</v>
      </c>
      <c r="AA96" s="16">
        <f t="shared" ref="AA96" si="153">Y96-Z96</f>
        <v>5.0000000000000711E-2</v>
      </c>
      <c r="AB96" s="66">
        <f t="shared" ref="AB96" si="154">AA96/Z96</f>
        <v>2.5000000000000356E-3</v>
      </c>
      <c r="AC96" s="105" t="s">
        <v>6578</v>
      </c>
      <c r="AD96" s="17" t="s">
        <v>1145</v>
      </c>
      <c r="AE96" s="89">
        <v>44538</v>
      </c>
      <c r="AF96" s="91">
        <v>44550</v>
      </c>
      <c r="AG96" s="34">
        <f t="shared" ref="AG96" si="155">AF96-AE96</f>
        <v>12</v>
      </c>
      <c r="AH96" s="44" t="s">
        <v>3900</v>
      </c>
      <c r="AI96" s="131"/>
      <c r="AJ96" s="264"/>
      <c r="AK96" s="353"/>
      <c r="AL96" s="264"/>
      <c r="AM96" s="347"/>
      <c r="AN96" s="284"/>
    </row>
    <row r="97" spans="1:40">
      <c r="A97" s="135" t="s">
        <v>6692</v>
      </c>
      <c r="B97" s="84">
        <v>263</v>
      </c>
      <c r="C97" s="84">
        <v>210</v>
      </c>
      <c r="D97" s="84">
        <v>9</v>
      </c>
      <c r="E97" s="84">
        <v>70</v>
      </c>
      <c r="F97" s="59">
        <v>27.37</v>
      </c>
      <c r="G97" s="84">
        <v>6770</v>
      </c>
      <c r="H97" s="9" t="s">
        <v>558</v>
      </c>
      <c r="I97" s="23" t="s">
        <v>6479</v>
      </c>
      <c r="J97" s="371">
        <v>44.91</v>
      </c>
      <c r="K97" s="77">
        <v>6.21</v>
      </c>
      <c r="L97" s="371"/>
      <c r="M97" s="371">
        <v>28.78</v>
      </c>
      <c r="N97" s="365">
        <f t="shared" si="141"/>
        <v>79.900000000000006</v>
      </c>
      <c r="O97" s="343">
        <f t="shared" si="142"/>
        <v>73.69</v>
      </c>
      <c r="P97" s="195">
        <v>10</v>
      </c>
      <c r="Q97" s="326" t="str">
        <f>IFERROR(VLOOKUP($G97,主力整理!$A$2:$G$2301,6,0),"0")</f>
        <v>0</v>
      </c>
      <c r="R97" s="111">
        <v>0</v>
      </c>
      <c r="S97" s="51">
        <v>1</v>
      </c>
      <c r="T97" s="339">
        <f t="shared" si="146"/>
        <v>11</v>
      </c>
      <c r="U97" s="329" t="s">
        <v>6693</v>
      </c>
      <c r="W97" s="35">
        <v>0.65</v>
      </c>
      <c r="X97" s="100">
        <v>3.44</v>
      </c>
      <c r="Y97" s="37">
        <v>70.599999999999994</v>
      </c>
      <c r="Z97" s="69">
        <v>49.88</v>
      </c>
      <c r="AA97" s="16">
        <f t="shared" ref="AA97" si="156">Y97-Z97</f>
        <v>20.719999999999992</v>
      </c>
      <c r="AB97" s="66">
        <f t="shared" ref="AB97" si="157">AA97/Z97</f>
        <v>0.41539695268644727</v>
      </c>
      <c r="AC97" s="105" t="s">
        <v>6552</v>
      </c>
      <c r="AD97" s="23" t="s">
        <v>6479</v>
      </c>
      <c r="AE97" s="89">
        <v>44536</v>
      </c>
      <c r="AF97" s="91">
        <v>44546</v>
      </c>
      <c r="AG97" s="34">
        <f t="shared" ref="AG97" si="158">AF97-AE97</f>
        <v>10</v>
      </c>
      <c r="AH97" s="63" t="s">
        <v>2795</v>
      </c>
      <c r="AI97" s="131"/>
      <c r="AJ97" s="264"/>
      <c r="AK97" s="353"/>
      <c r="AL97" s="264"/>
      <c r="AM97" s="347"/>
      <c r="AN97" s="284"/>
    </row>
    <row r="98" spans="1:40">
      <c r="A98" s="151" t="s">
        <v>2750</v>
      </c>
      <c r="B98" s="84">
        <v>6</v>
      </c>
      <c r="C98" s="84">
        <v>8</v>
      </c>
      <c r="D98" s="85">
        <v>-10</v>
      </c>
      <c r="E98" s="85">
        <v>-3</v>
      </c>
      <c r="F98" s="7">
        <v>1.84</v>
      </c>
      <c r="G98" s="85">
        <v>2945</v>
      </c>
      <c r="H98" s="5" t="s">
        <v>562</v>
      </c>
      <c r="I98" s="23" t="s">
        <v>6453</v>
      </c>
      <c r="J98" s="371">
        <v>82.79</v>
      </c>
      <c r="K98" s="371">
        <v>19.57</v>
      </c>
      <c r="L98" s="371"/>
      <c r="N98" s="365">
        <f t="shared" ref="N98" si="159">K98+J98+L98</f>
        <v>102.36000000000001</v>
      </c>
      <c r="P98" s="195">
        <v>0</v>
      </c>
      <c r="Q98" s="326" t="str">
        <f>IFERROR(VLOOKUP($G98,主力整理!$A$2:$G$2301,6,0),"0")</f>
        <v>0</v>
      </c>
      <c r="R98" s="111">
        <v>0</v>
      </c>
      <c r="S98" s="51">
        <v>0</v>
      </c>
      <c r="T98" s="339">
        <f t="shared" si="146"/>
        <v>0</v>
      </c>
      <c r="W98" s="35">
        <v>2.73</v>
      </c>
      <c r="X98" s="59">
        <v>3.18</v>
      </c>
      <c r="Y98" s="37">
        <v>73.7</v>
      </c>
      <c r="Z98" s="69">
        <v>69</v>
      </c>
      <c r="AA98" s="16">
        <f t="shared" ref="AA98" si="160">Y98-Z98</f>
        <v>4.7000000000000028</v>
      </c>
      <c r="AB98" s="66">
        <f t="shared" ref="AB98" si="161">AA98/Z98</f>
        <v>6.8115942028985549E-2</v>
      </c>
      <c r="AC98" s="105" t="s">
        <v>6524</v>
      </c>
      <c r="AD98" s="23" t="s">
        <v>6453</v>
      </c>
      <c r="AE98" s="89">
        <v>44530</v>
      </c>
      <c r="AF98" s="91">
        <v>44540</v>
      </c>
      <c r="AG98" s="34">
        <f t="shared" ref="AG98" si="162">AF98-AE98</f>
        <v>10</v>
      </c>
      <c r="AH98" s="44" t="s">
        <v>6454</v>
      </c>
      <c r="AI98" s="131"/>
      <c r="AJ98" s="264"/>
      <c r="AK98" s="353"/>
      <c r="AL98" s="264"/>
      <c r="AM98" s="347"/>
      <c r="AN98" s="284"/>
    </row>
    <row r="99" spans="1:40">
      <c r="A99" s="135" t="s">
        <v>4651</v>
      </c>
      <c r="B99" s="85">
        <v>-81</v>
      </c>
      <c r="C99" s="85">
        <v>-121</v>
      </c>
      <c r="D99" s="246">
        <v>61868</v>
      </c>
      <c r="E99" s="98"/>
      <c r="F99" s="322">
        <v>-2147</v>
      </c>
      <c r="G99" s="85">
        <v>1438</v>
      </c>
      <c r="H99" s="9" t="s">
        <v>1485</v>
      </c>
      <c r="I99" s="23" t="s">
        <v>4872</v>
      </c>
      <c r="J99" s="77">
        <v>64.11</v>
      </c>
      <c r="K99" s="371">
        <v>0.57999999999999996</v>
      </c>
      <c r="L99" s="77">
        <v>4.3899999999999997</v>
      </c>
      <c r="N99" s="365">
        <f t="shared" ref="N99" si="163">K99+J99+L99</f>
        <v>69.08</v>
      </c>
      <c r="P99" s="195">
        <v>0</v>
      </c>
      <c r="Q99" s="326" t="str">
        <f>IFERROR(VLOOKUP($G99,主力整理!$A$2:$G$2301,6,0),"0")</f>
        <v>0</v>
      </c>
      <c r="R99" s="111">
        <v>0</v>
      </c>
      <c r="S99" s="51">
        <v>0</v>
      </c>
      <c r="T99" s="339">
        <f t="shared" si="146"/>
        <v>0</v>
      </c>
      <c r="U99" s="329" t="s">
        <v>6599</v>
      </c>
      <c r="V99" s="371">
        <v>0.26</v>
      </c>
      <c r="W99" s="35">
        <v>0</v>
      </c>
      <c r="X99" s="59">
        <v>0.08</v>
      </c>
      <c r="Y99" s="37">
        <v>30.3</v>
      </c>
      <c r="Z99" s="69">
        <v>26</v>
      </c>
      <c r="AA99" s="16">
        <f t="shared" ref="AA99" si="164">Y99-Z99</f>
        <v>4.3000000000000007</v>
      </c>
      <c r="AB99" s="66">
        <f t="shared" ref="AB99" si="165">AA99/Z99</f>
        <v>0.16538461538461541</v>
      </c>
      <c r="AC99" s="105" t="s">
        <v>6523</v>
      </c>
      <c r="AD99" s="23" t="s">
        <v>4872</v>
      </c>
      <c r="AE99" s="89">
        <v>44530</v>
      </c>
      <c r="AF99" s="91">
        <v>44540</v>
      </c>
      <c r="AG99" s="34">
        <f t="shared" ref="AG99" si="166">AF99-AE99</f>
        <v>10</v>
      </c>
      <c r="AH99" s="63" t="s">
        <v>1485</v>
      </c>
      <c r="AI99" s="131"/>
      <c r="AJ99" s="264"/>
      <c r="AK99" s="353"/>
      <c r="AL99" s="264"/>
      <c r="AM99" s="347"/>
      <c r="AN99" s="284"/>
    </row>
    <row r="100" spans="1:40">
      <c r="A100" s="135" t="s">
        <v>6447</v>
      </c>
      <c r="B100" s="84">
        <v>76</v>
      </c>
      <c r="C100" s="84">
        <v>70</v>
      </c>
      <c r="D100" s="84">
        <v>7</v>
      </c>
      <c r="E100" s="85">
        <v>-14</v>
      </c>
      <c r="F100" s="59">
        <v>17.43</v>
      </c>
      <c r="G100" s="84">
        <v>4571</v>
      </c>
      <c r="H100" s="9" t="s">
        <v>544</v>
      </c>
      <c r="I100" s="23" t="s">
        <v>2599</v>
      </c>
      <c r="J100" s="371">
        <v>55.59</v>
      </c>
      <c r="K100" s="77">
        <v>66.77</v>
      </c>
      <c r="L100" s="371">
        <v>5.78</v>
      </c>
      <c r="N100" s="365">
        <f>K100+J100+L100</f>
        <v>128.13999999999999</v>
      </c>
      <c r="P100" s="195">
        <v>5</v>
      </c>
      <c r="Q100" s="326" t="str">
        <f>IFERROR(VLOOKUP($G100,主力整理!$A$2:$G$2301,6,0),"0")</f>
        <v>0</v>
      </c>
      <c r="R100" s="111">
        <v>8</v>
      </c>
      <c r="S100" s="51">
        <v>0</v>
      </c>
      <c r="T100" s="339">
        <f t="shared" ref="T100:T163" si="167">SUM(P100:S100)</f>
        <v>13</v>
      </c>
      <c r="V100" s="371">
        <v>0.39</v>
      </c>
      <c r="W100" s="69">
        <v>3.6</v>
      </c>
      <c r="X100" s="59">
        <v>9.1199999999999992</v>
      </c>
      <c r="Y100" s="14">
        <v>103.5</v>
      </c>
      <c r="Z100" s="69">
        <v>77</v>
      </c>
      <c r="AA100" s="16">
        <f>Y100-Z100</f>
        <v>26.5</v>
      </c>
      <c r="AB100" s="66">
        <f>AA100/Z100</f>
        <v>0.34415584415584416</v>
      </c>
      <c r="AC100" s="105" t="s">
        <v>6512</v>
      </c>
      <c r="AD100" s="23" t="s">
        <v>2599</v>
      </c>
      <c r="AE100" s="89">
        <v>44529</v>
      </c>
      <c r="AF100" s="91">
        <v>44539</v>
      </c>
      <c r="AG100" s="34">
        <f>AF100-AE100</f>
        <v>10</v>
      </c>
      <c r="AH100" s="63" t="s">
        <v>3112</v>
      </c>
      <c r="AI100" s="131"/>
      <c r="AJ100" s="264"/>
      <c r="AK100" s="353"/>
      <c r="AL100" s="264"/>
      <c r="AM100" s="347"/>
      <c r="AN100" s="284"/>
    </row>
    <row r="101" spans="1:40">
      <c r="A101" s="151" t="s">
        <v>4824</v>
      </c>
      <c r="B101" s="98">
        <v>1551</v>
      </c>
      <c r="C101" s="98">
        <v>1272</v>
      </c>
      <c r="D101" s="85">
        <v>-11</v>
      </c>
      <c r="E101" s="84">
        <v>14</v>
      </c>
      <c r="F101" s="7">
        <v>4.9800000000000004</v>
      </c>
      <c r="G101" s="85">
        <v>3652</v>
      </c>
      <c r="H101" s="203" t="s">
        <v>1815</v>
      </c>
      <c r="I101" s="17" t="s">
        <v>3533</v>
      </c>
      <c r="J101" s="371">
        <v>64.62</v>
      </c>
      <c r="K101" s="371">
        <v>1.32</v>
      </c>
      <c r="L101" s="371">
        <v>3.68</v>
      </c>
      <c r="N101" s="365">
        <f>K101+J101+L101</f>
        <v>69.62</v>
      </c>
      <c r="P101" s="195">
        <v>0</v>
      </c>
      <c r="Q101" s="326">
        <f>IFERROR(VLOOKUP($G101,主力整理!$A$2:$G$2301,6,0),"0")</f>
        <v>1</v>
      </c>
      <c r="R101" s="111">
        <v>6</v>
      </c>
      <c r="S101" s="51">
        <v>0</v>
      </c>
      <c r="T101" s="339">
        <f t="shared" si="167"/>
        <v>7</v>
      </c>
      <c r="V101" s="371">
        <v>0</v>
      </c>
      <c r="W101" s="35">
        <v>0.15</v>
      </c>
      <c r="X101" s="59">
        <v>1.6</v>
      </c>
      <c r="Y101" s="37">
        <v>22.7</v>
      </c>
      <c r="Z101" s="69">
        <v>21</v>
      </c>
      <c r="AA101" s="16">
        <f>Y101-Z101</f>
        <v>1.6999999999999993</v>
      </c>
      <c r="AB101" s="66">
        <f>AA101/Z101</f>
        <v>8.0952380952380915E-2</v>
      </c>
      <c r="AC101" s="105" t="s">
        <v>3627</v>
      </c>
      <c r="AD101" s="17" t="s">
        <v>3533</v>
      </c>
      <c r="AE101" s="89">
        <v>44529</v>
      </c>
      <c r="AF101" s="91">
        <v>44539</v>
      </c>
      <c r="AG101" s="34">
        <f>AF101-AE101</f>
        <v>10</v>
      </c>
      <c r="AH101" s="44" t="s">
        <v>3859</v>
      </c>
      <c r="AI101" s="131"/>
      <c r="AJ101" s="264"/>
      <c r="AK101" s="353"/>
      <c r="AL101" s="264"/>
      <c r="AM101" s="347"/>
      <c r="AN101" s="284"/>
    </row>
    <row r="102" spans="1:40">
      <c r="A102" s="151" t="s">
        <v>2739</v>
      </c>
      <c r="B102" s="84">
        <v>118</v>
      </c>
      <c r="C102" s="84">
        <v>103</v>
      </c>
      <c r="D102" s="85">
        <v>-3</v>
      </c>
      <c r="E102" s="85">
        <v>-5</v>
      </c>
      <c r="F102" s="7">
        <v>0.69</v>
      </c>
      <c r="G102" s="85">
        <v>3259</v>
      </c>
      <c r="H102" s="203" t="s">
        <v>558</v>
      </c>
      <c r="I102" s="17" t="s">
        <v>648</v>
      </c>
      <c r="J102" s="371">
        <v>44.07</v>
      </c>
      <c r="K102" s="77">
        <v>15.97</v>
      </c>
      <c r="L102" s="371"/>
      <c r="N102" s="365">
        <f>K102+J102+L102</f>
        <v>60.04</v>
      </c>
      <c r="P102" s="195">
        <v>0</v>
      </c>
      <c r="Q102" s="326" t="str">
        <f>IFERROR(VLOOKUP($G102,主力整理!$A$2:$G$2301,6,0),"0")</f>
        <v>0</v>
      </c>
      <c r="R102" s="111">
        <v>4</v>
      </c>
      <c r="S102" s="51">
        <v>0</v>
      </c>
      <c r="T102" s="339">
        <f t="shared" si="167"/>
        <v>4</v>
      </c>
      <c r="W102" s="35">
        <v>0</v>
      </c>
      <c r="X102" s="100">
        <v>-0.55000000000000004</v>
      </c>
      <c r="Y102" s="37">
        <v>27.35</v>
      </c>
      <c r="Z102" s="69">
        <v>27.2</v>
      </c>
      <c r="AA102" s="16">
        <f>Y102-Z102</f>
        <v>0.15000000000000213</v>
      </c>
      <c r="AB102" s="66">
        <f>AA102/Z102</f>
        <v>5.5147058823530196E-3</v>
      </c>
      <c r="AC102" s="105" t="s">
        <v>6505</v>
      </c>
      <c r="AD102" s="17" t="s">
        <v>648</v>
      </c>
      <c r="AE102" s="89">
        <v>44526</v>
      </c>
      <c r="AF102" s="91">
        <v>44536</v>
      </c>
      <c r="AG102" s="34">
        <f>AF102-AE102</f>
        <v>10</v>
      </c>
      <c r="AH102" s="44" t="s">
        <v>3741</v>
      </c>
      <c r="AI102" s="131"/>
      <c r="AJ102" s="264"/>
      <c r="AK102" s="353"/>
      <c r="AL102" s="264"/>
      <c r="AM102" s="347"/>
      <c r="AN102" s="284"/>
    </row>
    <row r="103" spans="1:40">
      <c r="A103" s="151" t="s">
        <v>6435</v>
      </c>
      <c r="B103" s="84">
        <v>32</v>
      </c>
      <c r="C103" s="84">
        <v>363</v>
      </c>
      <c r="D103" s="85">
        <v>-4</v>
      </c>
      <c r="E103" s="84">
        <v>46</v>
      </c>
      <c r="F103" s="7">
        <v>5.61</v>
      </c>
      <c r="G103" s="85">
        <v>1609</v>
      </c>
      <c r="H103" s="5" t="s">
        <v>6384</v>
      </c>
      <c r="I103" s="23" t="s">
        <v>1565</v>
      </c>
      <c r="J103" s="77">
        <v>29.1</v>
      </c>
      <c r="K103" s="371">
        <v>7.62</v>
      </c>
      <c r="L103" s="371">
        <v>12.72</v>
      </c>
      <c r="N103" s="365">
        <f t="shared" ref="N103" si="168">K103+J103+L103</f>
        <v>49.44</v>
      </c>
      <c r="P103" s="195">
        <v>10</v>
      </c>
      <c r="Q103" s="326">
        <v>20</v>
      </c>
      <c r="R103" s="111">
        <v>4</v>
      </c>
      <c r="S103" s="51">
        <v>2</v>
      </c>
      <c r="T103" s="339">
        <f t="shared" si="167"/>
        <v>36</v>
      </c>
      <c r="U103" s="329" t="s">
        <v>6538</v>
      </c>
      <c r="V103" s="371">
        <v>0.72</v>
      </c>
      <c r="W103" s="35">
        <v>0.7</v>
      </c>
      <c r="X103" s="100">
        <v>1.74</v>
      </c>
      <c r="Y103" s="37">
        <v>24.1</v>
      </c>
      <c r="Z103" s="69">
        <v>21</v>
      </c>
      <c r="AA103" s="16">
        <f t="shared" ref="AA103" si="169">Y103-Z103</f>
        <v>3.1000000000000014</v>
      </c>
      <c r="AB103" s="66">
        <f t="shared" ref="AB103" si="170">AA103/Z103</f>
        <v>0.14761904761904768</v>
      </c>
      <c r="AC103" s="105" t="s">
        <v>2511</v>
      </c>
      <c r="AD103" s="23" t="s">
        <v>1565</v>
      </c>
      <c r="AE103" s="89">
        <v>44523</v>
      </c>
      <c r="AF103" s="91">
        <v>44533</v>
      </c>
      <c r="AG103" s="34">
        <f t="shared" ref="AG103" si="171">AF103-AE103</f>
        <v>10</v>
      </c>
      <c r="AH103" s="44" t="s">
        <v>4381</v>
      </c>
      <c r="AI103" s="131"/>
      <c r="AJ103" s="264"/>
      <c r="AK103" s="353"/>
      <c r="AL103" s="264"/>
      <c r="AM103" s="347"/>
      <c r="AN103" s="284"/>
    </row>
    <row r="104" spans="1:40">
      <c r="A104" s="151" t="s">
        <v>6427</v>
      </c>
      <c r="B104" s="84">
        <v>323</v>
      </c>
      <c r="C104" s="84">
        <v>201</v>
      </c>
      <c r="D104" s="84">
        <v>74</v>
      </c>
      <c r="E104" s="85">
        <v>-27</v>
      </c>
      <c r="F104" s="7">
        <v>9.64</v>
      </c>
      <c r="G104" s="84">
        <v>6130</v>
      </c>
      <c r="H104" s="9" t="s">
        <v>560</v>
      </c>
      <c r="I104" s="17" t="s">
        <v>1752</v>
      </c>
      <c r="J104" s="371">
        <v>45.63</v>
      </c>
      <c r="K104" s="371">
        <v>0.26</v>
      </c>
      <c r="N104" s="365">
        <f t="shared" ref="N104" si="172">K104+J104+L104</f>
        <v>45.89</v>
      </c>
      <c r="P104" s="195">
        <v>0</v>
      </c>
      <c r="Q104" s="326" t="str">
        <f>IFERROR(VLOOKUP($G104,主力整理!$A$2:$G$2301,6,0),"0")</f>
        <v>0</v>
      </c>
      <c r="R104" s="111">
        <v>3</v>
      </c>
      <c r="S104" s="51">
        <v>0</v>
      </c>
      <c r="T104" s="339">
        <f t="shared" si="167"/>
        <v>3</v>
      </c>
      <c r="W104" s="35">
        <v>0</v>
      </c>
      <c r="X104" s="100">
        <v>0.35</v>
      </c>
      <c r="Y104" s="37">
        <v>32.5</v>
      </c>
      <c r="Z104" s="69">
        <v>19</v>
      </c>
      <c r="AA104" s="16">
        <f t="shared" ref="AA104" si="173">Y104-Z104</f>
        <v>13.5</v>
      </c>
      <c r="AB104" s="66">
        <f t="shared" ref="AB104" si="174">AA104/Z104</f>
        <v>0.71052631578947367</v>
      </c>
      <c r="AC104" s="105" t="s">
        <v>6459</v>
      </c>
      <c r="AD104" s="17" t="s">
        <v>1752</v>
      </c>
      <c r="AE104" s="89">
        <v>44519</v>
      </c>
      <c r="AF104" s="91">
        <v>44529</v>
      </c>
      <c r="AG104" s="34">
        <f t="shared" ref="AG104" si="175">AF104-AE104</f>
        <v>10</v>
      </c>
      <c r="AH104" s="44" t="s">
        <v>6428</v>
      </c>
      <c r="AI104" s="131"/>
      <c r="AJ104" s="264"/>
      <c r="AK104" s="353"/>
      <c r="AL104" s="264"/>
      <c r="AM104" s="347"/>
      <c r="AN104" s="284"/>
    </row>
    <row r="105" spans="1:40">
      <c r="A105" s="151" t="s">
        <v>2669</v>
      </c>
      <c r="B105" s="84">
        <v>237</v>
      </c>
      <c r="C105" s="84">
        <v>183</v>
      </c>
      <c r="D105" s="85">
        <v>-7</v>
      </c>
      <c r="E105" s="84">
        <v>64</v>
      </c>
      <c r="F105" s="7">
        <v>7.95</v>
      </c>
      <c r="G105" s="84">
        <v>4739</v>
      </c>
      <c r="H105" s="9" t="s">
        <v>1308</v>
      </c>
      <c r="I105" s="23" t="s">
        <v>330</v>
      </c>
      <c r="J105" s="371">
        <v>31.79</v>
      </c>
      <c r="K105" s="77">
        <v>8.33</v>
      </c>
      <c r="L105" s="77">
        <v>33.74</v>
      </c>
      <c r="N105" s="365">
        <f t="shared" ref="N105" si="176">K105+J105+L105</f>
        <v>73.86</v>
      </c>
      <c r="P105" s="195">
        <v>2</v>
      </c>
      <c r="Q105" s="326">
        <v>13</v>
      </c>
      <c r="R105" s="111">
        <v>13</v>
      </c>
      <c r="S105" s="51">
        <v>10</v>
      </c>
      <c r="T105" s="339">
        <f t="shared" si="167"/>
        <v>38</v>
      </c>
      <c r="V105" s="371">
        <v>9.5299999999999994</v>
      </c>
      <c r="W105" s="35">
        <v>1.2</v>
      </c>
      <c r="X105" s="100">
        <v>4.3499999999999996</v>
      </c>
      <c r="Y105" s="37">
        <v>145.5</v>
      </c>
      <c r="Z105" s="46">
        <v>90</v>
      </c>
      <c r="AA105" s="16">
        <f t="shared" ref="AA105" si="177">Y105-Z105</f>
        <v>55.5</v>
      </c>
      <c r="AB105" s="66">
        <f t="shared" ref="AB105" si="178">AA105/Z105</f>
        <v>0.6166666666666667</v>
      </c>
      <c r="AC105" s="105" t="s">
        <v>6457</v>
      </c>
      <c r="AD105" s="23" t="s">
        <v>330</v>
      </c>
      <c r="AE105" s="89">
        <v>44518</v>
      </c>
      <c r="AF105" s="91">
        <v>44529</v>
      </c>
      <c r="AG105" s="34">
        <f t="shared" ref="AG105" si="179">AF105-AE105</f>
        <v>11</v>
      </c>
      <c r="AH105" s="125" t="s">
        <v>3660</v>
      </c>
      <c r="AI105" s="128"/>
      <c r="AJ105" s="264"/>
      <c r="AK105" s="353"/>
      <c r="AL105" s="264"/>
      <c r="AM105" s="296"/>
      <c r="AN105" s="34"/>
    </row>
    <row r="106" spans="1:40">
      <c r="A106" s="135" t="s">
        <v>2502</v>
      </c>
      <c r="B106" s="98">
        <v>3079</v>
      </c>
      <c r="C106" s="98">
        <v>1960</v>
      </c>
      <c r="D106" s="84">
        <v>73</v>
      </c>
      <c r="E106" s="84">
        <v>146</v>
      </c>
      <c r="F106" s="59">
        <v>23.5</v>
      </c>
      <c r="G106" s="85">
        <v>6806</v>
      </c>
      <c r="H106" s="5" t="s">
        <v>429</v>
      </c>
      <c r="I106" s="23" t="s">
        <v>6425</v>
      </c>
      <c r="J106" s="371">
        <v>65.760000000000005</v>
      </c>
      <c r="K106" s="371">
        <v>0.46</v>
      </c>
      <c r="L106" s="371"/>
      <c r="N106" s="365">
        <f>K106+J106+L106</f>
        <v>66.22</v>
      </c>
      <c r="P106" s="195">
        <v>0</v>
      </c>
      <c r="Q106" s="326" t="str">
        <f>IFERROR(VLOOKUP($G106,主力整理!$A$2:$G$2301,6,0),"0")</f>
        <v>0</v>
      </c>
      <c r="R106" s="111">
        <v>0</v>
      </c>
      <c r="S106" s="51">
        <v>0</v>
      </c>
      <c r="T106" s="339">
        <f t="shared" si="167"/>
        <v>0</v>
      </c>
      <c r="W106" s="35">
        <v>1</v>
      </c>
      <c r="X106" s="59">
        <v>5.07</v>
      </c>
      <c r="Y106" s="37">
        <v>98.6</v>
      </c>
      <c r="Z106" s="69">
        <v>104.4</v>
      </c>
      <c r="AA106" s="16">
        <f>Y106-Z106</f>
        <v>-5.8000000000000114</v>
      </c>
      <c r="AB106" s="80">
        <f>AA106/Z106</f>
        <v>-5.5555555555555663E-2</v>
      </c>
      <c r="AC106" s="105" t="s">
        <v>6448</v>
      </c>
      <c r="AD106" s="23" t="s">
        <v>6425</v>
      </c>
      <c r="AE106" s="89">
        <v>44515</v>
      </c>
      <c r="AF106" s="91">
        <v>44525</v>
      </c>
      <c r="AG106" s="34">
        <f>AF106-AE106</f>
        <v>10</v>
      </c>
      <c r="AH106" s="63" t="s">
        <v>6426</v>
      </c>
      <c r="AI106" s="131"/>
      <c r="AJ106" s="264"/>
      <c r="AK106" s="353"/>
      <c r="AL106" s="264"/>
      <c r="AM106" s="347"/>
      <c r="AN106" s="284"/>
    </row>
    <row r="107" spans="1:40">
      <c r="A107" s="135" t="s">
        <v>6456</v>
      </c>
      <c r="B107" s="84">
        <v>116</v>
      </c>
      <c r="C107" s="84">
        <v>100</v>
      </c>
      <c r="D107" s="84">
        <v>7</v>
      </c>
      <c r="E107" s="98">
        <v>44</v>
      </c>
      <c r="F107" s="59">
        <v>13.23</v>
      </c>
      <c r="G107" s="84">
        <v>6761</v>
      </c>
      <c r="H107" s="9" t="s">
        <v>559</v>
      </c>
      <c r="I107" s="17" t="s">
        <v>6411</v>
      </c>
      <c r="J107" s="371">
        <v>45.93</v>
      </c>
      <c r="K107" s="77">
        <v>2.08</v>
      </c>
      <c r="N107" s="365">
        <f t="shared" ref="N107" si="180">K107+J107+L107</f>
        <v>48.01</v>
      </c>
      <c r="P107" s="195">
        <v>0</v>
      </c>
      <c r="Q107" s="326">
        <v>1</v>
      </c>
      <c r="R107" s="111">
        <v>1</v>
      </c>
      <c r="S107" s="51">
        <v>0</v>
      </c>
      <c r="T107" s="339">
        <f t="shared" si="167"/>
        <v>2</v>
      </c>
      <c r="W107" s="69">
        <v>3.2</v>
      </c>
      <c r="X107" s="100">
        <v>7.98</v>
      </c>
      <c r="Y107" s="37">
        <v>200.5</v>
      </c>
      <c r="Z107" s="69">
        <v>68</v>
      </c>
      <c r="AA107" s="16">
        <f t="shared" ref="AA107" si="181">Y107-Z107</f>
        <v>132.5</v>
      </c>
      <c r="AB107" s="158">
        <f t="shared" ref="AB107" si="182">AA107/Z107</f>
        <v>1.9485294117647058</v>
      </c>
      <c r="AC107" s="105" t="s">
        <v>6433</v>
      </c>
      <c r="AD107" s="17" t="s">
        <v>6411</v>
      </c>
      <c r="AE107" s="89">
        <v>44508</v>
      </c>
      <c r="AF107" s="91">
        <v>44518</v>
      </c>
      <c r="AG107" s="34">
        <f t="shared" ref="AG107" si="183">AF107-AE107</f>
        <v>10</v>
      </c>
      <c r="AH107" s="63" t="s">
        <v>6412</v>
      </c>
      <c r="AI107" s="131"/>
      <c r="AJ107" s="264"/>
      <c r="AK107" s="353"/>
      <c r="AL107" s="264"/>
      <c r="AM107" s="347"/>
      <c r="AN107" s="284"/>
    </row>
    <row r="108" spans="1:40">
      <c r="A108" s="151" t="s">
        <v>2767</v>
      </c>
      <c r="B108" s="84">
        <v>42</v>
      </c>
      <c r="C108" s="84">
        <v>55</v>
      </c>
      <c r="D108" s="85">
        <v>-1</v>
      </c>
      <c r="E108" s="84">
        <v>18</v>
      </c>
      <c r="F108" s="7">
        <v>-8.7799999999999994</v>
      </c>
      <c r="G108" s="84">
        <v>3576</v>
      </c>
      <c r="H108" s="9" t="s">
        <v>557</v>
      </c>
      <c r="I108" s="23" t="s">
        <v>1722</v>
      </c>
      <c r="J108" s="371">
        <v>37.49</v>
      </c>
      <c r="K108" s="371">
        <v>13.93</v>
      </c>
      <c r="N108" s="365">
        <f t="shared" ref="N108" si="184">K108+J108+L108</f>
        <v>51.42</v>
      </c>
      <c r="P108" s="195">
        <v>22</v>
      </c>
      <c r="Q108" s="326">
        <v>20</v>
      </c>
      <c r="R108" s="111">
        <v>6</v>
      </c>
      <c r="S108" s="51">
        <v>0</v>
      </c>
      <c r="T108" s="339">
        <f t="shared" si="167"/>
        <v>48</v>
      </c>
      <c r="W108" s="35">
        <v>0</v>
      </c>
      <c r="X108" s="100">
        <v>-2.34</v>
      </c>
      <c r="Y108" s="37">
        <v>22.55</v>
      </c>
      <c r="Z108" s="69">
        <v>16.600000000000001</v>
      </c>
      <c r="AA108" s="16">
        <f t="shared" ref="AA108" si="185">Y108-Z108</f>
        <v>5.9499999999999993</v>
      </c>
      <c r="AB108" s="66">
        <f t="shared" ref="AB108" si="186">AA108/Z108</f>
        <v>0.35843373493975894</v>
      </c>
      <c r="AC108" s="105" t="s">
        <v>6424</v>
      </c>
      <c r="AD108" s="23" t="s">
        <v>1722</v>
      </c>
      <c r="AE108" s="89">
        <v>44504</v>
      </c>
      <c r="AF108" s="91">
        <v>44515</v>
      </c>
      <c r="AG108" s="34">
        <f t="shared" ref="AG108" si="187">AF108-AE108</f>
        <v>11</v>
      </c>
      <c r="AH108" s="125" t="s">
        <v>3046</v>
      </c>
      <c r="AI108" s="131"/>
      <c r="AJ108" s="264"/>
      <c r="AK108" s="353"/>
      <c r="AL108" s="264"/>
      <c r="AM108" s="347"/>
      <c r="AN108" s="284"/>
    </row>
    <row r="109" spans="1:40">
      <c r="A109" s="135" t="s">
        <v>2618</v>
      </c>
      <c r="B109" s="84">
        <v>115</v>
      </c>
      <c r="C109" s="84">
        <v>112</v>
      </c>
      <c r="D109" s="84">
        <v>2</v>
      </c>
      <c r="E109" s="84">
        <v>15</v>
      </c>
      <c r="F109" s="59">
        <v>32.74</v>
      </c>
      <c r="G109" s="84">
        <v>6457</v>
      </c>
      <c r="H109" s="154" t="s">
        <v>558</v>
      </c>
      <c r="I109" s="17" t="s">
        <v>672</v>
      </c>
      <c r="J109" s="371">
        <v>17.43</v>
      </c>
      <c r="K109" s="77">
        <v>8.2200000000000006</v>
      </c>
      <c r="L109" s="371"/>
      <c r="N109" s="365">
        <f t="shared" ref="N109" si="188">K109+J109+L109</f>
        <v>25.65</v>
      </c>
      <c r="P109" s="195">
        <v>1</v>
      </c>
      <c r="Q109" s="326">
        <v>2</v>
      </c>
      <c r="R109" s="111">
        <v>16</v>
      </c>
      <c r="S109" s="51">
        <v>0</v>
      </c>
      <c r="T109" s="339">
        <f t="shared" si="167"/>
        <v>19</v>
      </c>
      <c r="W109" s="69">
        <v>6.32</v>
      </c>
      <c r="X109" s="100">
        <v>10.24</v>
      </c>
      <c r="Y109" s="37">
        <v>178.5</v>
      </c>
      <c r="Z109" s="69">
        <v>125</v>
      </c>
      <c r="AA109" s="16">
        <f t="shared" ref="AA109" si="189">Y109-Z109</f>
        <v>53.5</v>
      </c>
      <c r="AB109" s="66">
        <f t="shared" ref="AB109" si="190">AA109/Z109</f>
        <v>0.42799999999999999</v>
      </c>
      <c r="AC109" s="105" t="s">
        <v>5227</v>
      </c>
      <c r="AD109" s="17" t="s">
        <v>672</v>
      </c>
      <c r="AE109" s="89">
        <v>44501</v>
      </c>
      <c r="AF109" s="91">
        <v>44511</v>
      </c>
      <c r="AG109" s="34">
        <f t="shared" ref="AG109" si="191">AF109-AE109</f>
        <v>10</v>
      </c>
      <c r="AH109" s="63" t="s">
        <v>3752</v>
      </c>
      <c r="AI109" s="131"/>
      <c r="AJ109" s="264"/>
      <c r="AK109" s="353"/>
      <c r="AL109" s="264"/>
      <c r="AM109" s="347"/>
      <c r="AN109" s="284"/>
    </row>
    <row r="110" spans="1:40">
      <c r="A110" s="151" t="s">
        <v>2748</v>
      </c>
      <c r="B110" s="98">
        <v>1022</v>
      </c>
      <c r="C110" s="98">
        <v>2604</v>
      </c>
      <c r="D110" s="85">
        <v>-9</v>
      </c>
      <c r="E110" s="84">
        <v>105</v>
      </c>
      <c r="F110" s="7">
        <v>6.48</v>
      </c>
      <c r="G110" s="84">
        <v>2069</v>
      </c>
      <c r="H110" s="5" t="s">
        <v>548</v>
      </c>
      <c r="I110" s="23" t="s">
        <v>1458</v>
      </c>
      <c r="J110" s="371">
        <v>51.73</v>
      </c>
      <c r="K110" s="371">
        <v>1.03</v>
      </c>
      <c r="L110" s="77">
        <v>24.93</v>
      </c>
      <c r="N110" s="365">
        <f>K110+J110+L110</f>
        <v>77.69</v>
      </c>
      <c r="P110" s="195">
        <v>2</v>
      </c>
      <c r="Q110" s="326">
        <v>9</v>
      </c>
      <c r="R110" s="111">
        <v>16</v>
      </c>
      <c r="S110" s="51">
        <v>0</v>
      </c>
      <c r="T110" s="339">
        <f t="shared" si="167"/>
        <v>27</v>
      </c>
      <c r="V110" s="371">
        <v>1.4</v>
      </c>
      <c r="W110" s="35">
        <v>0.55000000000000004</v>
      </c>
      <c r="X110" s="59">
        <v>3.86</v>
      </c>
      <c r="Y110" s="37">
        <v>35</v>
      </c>
      <c r="Z110" s="46">
        <v>28</v>
      </c>
      <c r="AA110" s="16">
        <f>Y110-Z110</f>
        <v>7</v>
      </c>
      <c r="AB110" s="66">
        <f>AA110/Z110</f>
        <v>0.25</v>
      </c>
      <c r="AC110" s="105" t="s">
        <v>6416</v>
      </c>
      <c r="AD110" s="23" t="s">
        <v>1458</v>
      </c>
      <c r="AE110" s="89">
        <v>44501</v>
      </c>
      <c r="AF110" s="91">
        <v>44511</v>
      </c>
      <c r="AG110" s="34">
        <f>AF110-AE110</f>
        <v>10</v>
      </c>
      <c r="AH110" s="44" t="s">
        <v>3146</v>
      </c>
      <c r="AI110" s="131"/>
      <c r="AJ110" s="264"/>
      <c r="AK110" s="353"/>
      <c r="AL110" s="264"/>
      <c r="AM110" s="347"/>
      <c r="AN110" s="284"/>
    </row>
    <row r="111" spans="1:40">
      <c r="A111" s="151" t="s">
        <v>6338</v>
      </c>
      <c r="B111" s="84">
        <v>138</v>
      </c>
      <c r="C111" s="84"/>
      <c r="D111" s="85">
        <v>-25</v>
      </c>
      <c r="E111" s="84">
        <v>33</v>
      </c>
      <c r="F111" s="7"/>
      <c r="G111" s="85">
        <v>2881</v>
      </c>
      <c r="H111" s="19" t="s">
        <v>553</v>
      </c>
      <c r="I111" s="23" t="s">
        <v>129</v>
      </c>
      <c r="J111" s="374">
        <v>82.46</v>
      </c>
      <c r="K111" s="77">
        <v>23.84</v>
      </c>
      <c r="L111" s="77">
        <v>0.71</v>
      </c>
      <c r="N111" s="365">
        <f>K111+J111+L111</f>
        <v>107.00999999999999</v>
      </c>
      <c r="P111" s="195">
        <v>11</v>
      </c>
      <c r="Q111" s="326">
        <v>17</v>
      </c>
      <c r="R111" s="111">
        <v>0</v>
      </c>
      <c r="S111" s="51">
        <v>16</v>
      </c>
      <c r="T111" s="339">
        <f t="shared" si="167"/>
        <v>44</v>
      </c>
      <c r="V111" s="371">
        <v>11.1</v>
      </c>
      <c r="W111" s="7">
        <v>4</v>
      </c>
      <c r="X111" s="59">
        <v>13.75</v>
      </c>
      <c r="Y111" s="37">
        <v>73.599999999999994</v>
      </c>
      <c r="Z111" s="68">
        <v>58.9</v>
      </c>
      <c r="AA111" s="16">
        <f>Y111-Z111</f>
        <v>14.699999999999996</v>
      </c>
      <c r="AB111" s="66">
        <f>AA111/Z111</f>
        <v>0.24957555178268245</v>
      </c>
      <c r="AC111" s="105" t="s">
        <v>6404</v>
      </c>
      <c r="AD111" s="23" t="s">
        <v>129</v>
      </c>
      <c r="AE111" s="89">
        <v>44498</v>
      </c>
      <c r="AF111" s="91">
        <v>44508</v>
      </c>
      <c r="AG111" s="34">
        <f>AF111-AE111</f>
        <v>10</v>
      </c>
      <c r="AH111" s="44" t="s">
        <v>4100</v>
      </c>
      <c r="AI111" s="284"/>
      <c r="AJ111" s="264"/>
      <c r="AK111" s="353"/>
      <c r="AL111" s="264"/>
      <c r="AM111" s="347"/>
      <c r="AN111" s="284"/>
    </row>
    <row r="112" spans="1:40">
      <c r="A112" s="151" t="s">
        <v>6361</v>
      </c>
      <c r="B112" s="84">
        <v>123</v>
      </c>
      <c r="C112" s="84">
        <v>84</v>
      </c>
      <c r="D112" s="84">
        <v>7</v>
      </c>
      <c r="E112" s="84">
        <v>46</v>
      </c>
      <c r="F112" s="7">
        <v>5.13</v>
      </c>
      <c r="G112" s="84">
        <v>6190</v>
      </c>
      <c r="H112" s="5" t="s">
        <v>563</v>
      </c>
      <c r="I112" s="17" t="s">
        <v>976</v>
      </c>
      <c r="J112" s="371">
        <v>44.07</v>
      </c>
      <c r="K112" s="371">
        <v>0.97</v>
      </c>
      <c r="L112" s="371">
        <v>13.62</v>
      </c>
      <c r="N112" s="365">
        <f t="shared" ref="N112:N114" si="192">K112+J112+L112</f>
        <v>58.66</v>
      </c>
      <c r="P112" s="195">
        <v>1</v>
      </c>
      <c r="Q112" s="326" t="str">
        <f>IFERROR(VLOOKUP($G112,主力整理!$A$2:$G$2301,6,0),"0")</f>
        <v>0</v>
      </c>
      <c r="R112" s="111">
        <v>2</v>
      </c>
      <c r="S112" s="51">
        <v>0</v>
      </c>
      <c r="T112" s="339">
        <f t="shared" si="167"/>
        <v>3</v>
      </c>
      <c r="V112" s="371">
        <v>18.52</v>
      </c>
      <c r="W112" s="73">
        <v>1.01</v>
      </c>
      <c r="X112" s="100">
        <v>1.57</v>
      </c>
      <c r="Y112" s="37">
        <v>27.4</v>
      </c>
      <c r="Z112" s="69">
        <v>20.8</v>
      </c>
      <c r="AA112" s="16">
        <f t="shared" ref="AA112:AA114" si="193">Y112-Z112</f>
        <v>6.5999999999999979</v>
      </c>
      <c r="AB112" s="66">
        <f t="shared" ref="AB112:AB114" si="194">AA112/Z112</f>
        <v>0.31730769230769218</v>
      </c>
      <c r="AC112" s="105" t="s">
        <v>6406</v>
      </c>
      <c r="AD112" s="17" t="s">
        <v>976</v>
      </c>
      <c r="AE112" s="89">
        <v>44496</v>
      </c>
      <c r="AF112" s="91">
        <v>44508</v>
      </c>
      <c r="AG112" s="34">
        <f t="shared" ref="AG112:AG114" si="195">AF112-AE112</f>
        <v>12</v>
      </c>
      <c r="AH112" s="44" t="s">
        <v>4572</v>
      </c>
      <c r="AI112" s="131"/>
      <c r="AJ112" s="264"/>
      <c r="AK112" s="353"/>
      <c r="AL112" s="264"/>
      <c r="AM112" s="347"/>
      <c r="AN112" s="284"/>
    </row>
    <row r="113" spans="1:40">
      <c r="A113" s="151" t="s">
        <v>2518</v>
      </c>
      <c r="B113" s="85">
        <v>-4</v>
      </c>
      <c r="C113" s="85">
        <v>-41</v>
      </c>
      <c r="D113" s="84">
        <v>6</v>
      </c>
      <c r="E113" s="85">
        <v>-12</v>
      </c>
      <c r="F113" s="7">
        <v>1.5</v>
      </c>
      <c r="G113" s="84">
        <v>2439</v>
      </c>
      <c r="H113" s="216" t="s">
        <v>563</v>
      </c>
      <c r="I113" s="23" t="s">
        <v>385</v>
      </c>
      <c r="J113" s="77">
        <v>26.6</v>
      </c>
      <c r="K113" s="371">
        <v>17.98</v>
      </c>
      <c r="L113" s="371">
        <v>12.73</v>
      </c>
      <c r="N113" s="365">
        <f t="shared" si="192"/>
        <v>57.31</v>
      </c>
      <c r="P113" s="195">
        <v>4</v>
      </c>
      <c r="Q113" s="326">
        <v>1</v>
      </c>
      <c r="R113" s="111">
        <v>2</v>
      </c>
      <c r="S113" s="51">
        <v>10</v>
      </c>
      <c r="T113" s="339">
        <f t="shared" si="167"/>
        <v>17</v>
      </c>
      <c r="V113" s="371">
        <v>9.51</v>
      </c>
      <c r="W113" s="69">
        <v>5.07</v>
      </c>
      <c r="X113" s="100">
        <v>5.63</v>
      </c>
      <c r="Y113" s="37">
        <v>92.5</v>
      </c>
      <c r="Z113" s="69">
        <v>72</v>
      </c>
      <c r="AA113" s="16">
        <f t="shared" si="193"/>
        <v>20.5</v>
      </c>
      <c r="AB113" s="66">
        <f t="shared" si="194"/>
        <v>0.28472222222222221</v>
      </c>
      <c r="AC113" s="105" t="s">
        <v>6407</v>
      </c>
      <c r="AD113" s="23" t="s">
        <v>385</v>
      </c>
      <c r="AE113" s="89">
        <v>44496</v>
      </c>
      <c r="AF113" s="91">
        <v>44508</v>
      </c>
      <c r="AG113" s="34">
        <f t="shared" si="195"/>
        <v>12</v>
      </c>
      <c r="AH113" s="125" t="s">
        <v>3767</v>
      </c>
      <c r="AI113" s="131"/>
      <c r="AJ113" s="264"/>
      <c r="AK113" s="353"/>
      <c r="AL113" s="264"/>
      <c r="AM113" s="347"/>
      <c r="AN113" s="284"/>
    </row>
    <row r="114" spans="1:40">
      <c r="A114" s="135" t="s">
        <v>6362</v>
      </c>
      <c r="B114" s="84">
        <v>757</v>
      </c>
      <c r="C114" s="98">
        <v>4247</v>
      </c>
      <c r="D114" s="84">
        <v>1</v>
      </c>
      <c r="E114" s="84">
        <v>67</v>
      </c>
      <c r="F114" s="59">
        <v>16.760000000000002</v>
      </c>
      <c r="G114" s="84">
        <v>2027</v>
      </c>
      <c r="H114" s="5" t="s">
        <v>548</v>
      </c>
      <c r="I114" s="23" t="s">
        <v>512</v>
      </c>
      <c r="J114" s="371">
        <v>55.95</v>
      </c>
      <c r="K114" s="77">
        <v>16.989999999999998</v>
      </c>
      <c r="L114" s="77">
        <v>13.63</v>
      </c>
      <c r="N114" s="365">
        <f t="shared" si="192"/>
        <v>86.57</v>
      </c>
      <c r="P114" s="195">
        <v>3</v>
      </c>
      <c r="Q114" s="326">
        <v>19</v>
      </c>
      <c r="R114" s="111">
        <v>9</v>
      </c>
      <c r="S114" s="51">
        <v>24</v>
      </c>
      <c r="T114" s="339">
        <f t="shared" si="167"/>
        <v>55</v>
      </c>
      <c r="V114" s="371">
        <v>7.51</v>
      </c>
      <c r="W114" s="35">
        <v>0.8</v>
      </c>
      <c r="X114" s="59">
        <v>2.85</v>
      </c>
      <c r="Y114" s="37">
        <v>46.35</v>
      </c>
      <c r="Z114" s="69">
        <v>43</v>
      </c>
      <c r="AA114" s="16">
        <f t="shared" si="193"/>
        <v>3.3500000000000014</v>
      </c>
      <c r="AB114" s="66">
        <f t="shared" si="194"/>
        <v>7.7906976744186077E-2</v>
      </c>
      <c r="AC114" s="105" t="s">
        <v>4617</v>
      </c>
      <c r="AD114" s="23" t="s">
        <v>512</v>
      </c>
      <c r="AE114" s="89">
        <v>44496</v>
      </c>
      <c r="AF114" s="91">
        <v>44508</v>
      </c>
      <c r="AG114" s="34">
        <f t="shared" si="195"/>
        <v>12</v>
      </c>
      <c r="AH114" s="126" t="s">
        <v>5198</v>
      </c>
      <c r="AI114" s="131"/>
      <c r="AJ114" s="264"/>
      <c r="AK114" s="353"/>
      <c r="AL114" s="264"/>
      <c r="AM114" s="347"/>
      <c r="AN114" s="284"/>
    </row>
    <row r="115" spans="1:40">
      <c r="A115" s="135" t="s">
        <v>2733</v>
      </c>
      <c r="B115" s="84">
        <v>164</v>
      </c>
      <c r="C115" s="84">
        <v>183</v>
      </c>
      <c r="D115" s="84">
        <v>77</v>
      </c>
      <c r="E115" s="84">
        <v>12</v>
      </c>
      <c r="F115" s="59">
        <v>35.46</v>
      </c>
      <c r="G115" s="84">
        <v>5222</v>
      </c>
      <c r="H115" s="9" t="s">
        <v>558</v>
      </c>
      <c r="I115" s="23" t="s">
        <v>6359</v>
      </c>
      <c r="J115" s="371">
        <v>20.87</v>
      </c>
      <c r="K115" s="77">
        <v>4.0599999999999996</v>
      </c>
      <c r="L115" s="371"/>
      <c r="N115" s="365">
        <f>K115+J115+L115</f>
        <v>24.93</v>
      </c>
      <c r="P115" s="195">
        <v>2</v>
      </c>
      <c r="Q115" s="326">
        <v>1</v>
      </c>
      <c r="R115" s="111">
        <v>1</v>
      </c>
      <c r="S115" s="51">
        <v>0</v>
      </c>
      <c r="T115" s="339">
        <f t="shared" si="167"/>
        <v>4</v>
      </c>
      <c r="W115" s="69">
        <v>6.2</v>
      </c>
      <c r="X115" s="100" t="s">
        <v>6365</v>
      </c>
      <c r="Y115" s="37">
        <v>201</v>
      </c>
      <c r="Z115" s="69">
        <v>104.49</v>
      </c>
      <c r="AA115" s="16">
        <f>Y115-Z115</f>
        <v>96.51</v>
      </c>
      <c r="AB115" s="66">
        <f>AA115/Z115</f>
        <v>0.92362905541200124</v>
      </c>
      <c r="AC115" s="105" t="s">
        <v>6408</v>
      </c>
      <c r="AD115" s="23" t="s">
        <v>6359</v>
      </c>
      <c r="AE115" s="89">
        <v>44494</v>
      </c>
      <c r="AF115" s="91">
        <v>44504</v>
      </c>
      <c r="AG115" s="34">
        <f>AF115-AE115</f>
        <v>10</v>
      </c>
      <c r="AH115" s="63" t="s">
        <v>6363</v>
      </c>
      <c r="AI115" s="131"/>
      <c r="AJ115" s="264"/>
      <c r="AK115" s="353"/>
      <c r="AL115" s="264"/>
      <c r="AM115" s="347"/>
      <c r="AN115" s="284"/>
    </row>
    <row r="116" spans="1:40">
      <c r="A116" s="135" t="s">
        <v>2728</v>
      </c>
      <c r="B116" s="84">
        <v>360</v>
      </c>
      <c r="C116" s="84">
        <v>233</v>
      </c>
      <c r="D116" s="85">
        <v>-3</v>
      </c>
      <c r="E116" s="84">
        <v>45</v>
      </c>
      <c r="F116" s="59">
        <v>20.99</v>
      </c>
      <c r="G116" s="85">
        <v>4440</v>
      </c>
      <c r="H116" s="5" t="s">
        <v>543</v>
      </c>
      <c r="I116" s="23" t="s">
        <v>6360</v>
      </c>
      <c r="J116" s="371">
        <v>34.32</v>
      </c>
      <c r="K116" s="77">
        <v>0.09</v>
      </c>
      <c r="L116" s="371"/>
      <c r="N116" s="365">
        <f>K116+J116+L116</f>
        <v>34.410000000000004</v>
      </c>
      <c r="P116" s="195">
        <v>0</v>
      </c>
      <c r="Q116" s="326" t="str">
        <f>IFERROR(VLOOKUP($G116,主力整理!$A$2:$G$2301,6,0),"0")</f>
        <v>0</v>
      </c>
      <c r="R116" s="111">
        <v>0</v>
      </c>
      <c r="S116" s="51">
        <v>0</v>
      </c>
      <c r="T116" s="339">
        <f t="shared" si="167"/>
        <v>0</v>
      </c>
      <c r="W116" s="69">
        <v>4.4000000000000004</v>
      </c>
      <c r="X116" s="100" t="s">
        <v>6365</v>
      </c>
      <c r="Y116" s="37">
        <v>45</v>
      </c>
      <c r="Z116" s="69">
        <v>38</v>
      </c>
      <c r="AA116" s="16">
        <f>Y116-Z116</f>
        <v>7</v>
      </c>
      <c r="AB116" s="66">
        <f>AA116/Z116</f>
        <v>0.18421052631578946</v>
      </c>
      <c r="AC116" s="105" t="s">
        <v>6409</v>
      </c>
      <c r="AD116" s="23" t="s">
        <v>6360</v>
      </c>
      <c r="AE116" s="89">
        <v>44494</v>
      </c>
      <c r="AF116" s="91">
        <v>44504</v>
      </c>
      <c r="AG116" s="34">
        <f>AF116-AE116</f>
        <v>10</v>
      </c>
      <c r="AH116" s="63" t="s">
        <v>6364</v>
      </c>
      <c r="AI116" s="131"/>
      <c r="AJ116" s="264"/>
      <c r="AK116" s="353"/>
      <c r="AL116" s="264"/>
      <c r="AM116" s="347"/>
      <c r="AN116" s="284"/>
    </row>
    <row r="117" spans="1:40">
      <c r="A117" s="151" t="s">
        <v>3107</v>
      </c>
      <c r="B117" s="84">
        <v>59</v>
      </c>
      <c r="C117" s="84">
        <v>31</v>
      </c>
      <c r="D117" s="84">
        <v>2</v>
      </c>
      <c r="E117" s="85">
        <v>-82</v>
      </c>
      <c r="F117" s="7">
        <v>-31.91</v>
      </c>
      <c r="G117" s="84">
        <v>2734</v>
      </c>
      <c r="H117" s="5" t="s">
        <v>552</v>
      </c>
      <c r="I117" s="17" t="s">
        <v>1583</v>
      </c>
      <c r="J117" s="371">
        <v>41.05</v>
      </c>
      <c r="K117" s="371">
        <v>9.2799999999999994</v>
      </c>
      <c r="L117" s="371"/>
      <c r="N117" s="365">
        <f t="shared" ref="N117" si="196">K117+J117+L117</f>
        <v>50.33</v>
      </c>
      <c r="P117" s="195">
        <v>0</v>
      </c>
      <c r="Q117" s="326" t="str">
        <f>IFERROR(VLOOKUP($G117,主力整理!$A$2:$G$2301,6,0),"0")</f>
        <v>0</v>
      </c>
      <c r="R117" s="111">
        <v>25</v>
      </c>
      <c r="S117" s="51">
        <v>0</v>
      </c>
      <c r="T117" s="339">
        <f t="shared" si="167"/>
        <v>25</v>
      </c>
      <c r="W117" s="35">
        <v>0</v>
      </c>
      <c r="X117" s="59">
        <v>-1.44</v>
      </c>
      <c r="Y117" s="37">
        <v>22.1</v>
      </c>
      <c r="Z117" s="69">
        <v>15</v>
      </c>
      <c r="AA117" s="16">
        <f t="shared" ref="AA117" si="197">Y117-Z117</f>
        <v>7.1000000000000014</v>
      </c>
      <c r="AB117" s="66">
        <f t="shared" ref="AB117" si="198">AA117/Z117</f>
        <v>0.47333333333333344</v>
      </c>
      <c r="AC117" s="105" t="s">
        <v>6405</v>
      </c>
      <c r="AD117" s="17" t="s">
        <v>1583</v>
      </c>
      <c r="AE117" s="89">
        <v>44494</v>
      </c>
      <c r="AF117" s="91">
        <v>44504</v>
      </c>
      <c r="AG117" s="34">
        <f t="shared" ref="AG117" si="199">AF117-AE117</f>
        <v>10</v>
      </c>
      <c r="AH117" s="44" t="s">
        <v>4215</v>
      </c>
      <c r="AI117" s="131"/>
      <c r="AJ117" s="264"/>
      <c r="AK117" s="353"/>
      <c r="AL117" s="264"/>
      <c r="AM117" s="347"/>
      <c r="AN117" s="284"/>
    </row>
    <row r="118" spans="1:40">
      <c r="A118" s="151" t="s">
        <v>6325</v>
      </c>
      <c r="B118" s="84">
        <v>1</v>
      </c>
      <c r="C118" s="84">
        <v>2</v>
      </c>
      <c r="D118" s="85">
        <v>-9</v>
      </c>
      <c r="E118" s="85">
        <v>-1</v>
      </c>
      <c r="F118" s="7">
        <v>3.96</v>
      </c>
      <c r="G118" s="85">
        <v>3206</v>
      </c>
      <c r="H118" s="5" t="s">
        <v>559</v>
      </c>
      <c r="I118" s="17" t="s">
        <v>267</v>
      </c>
      <c r="J118" s="371">
        <v>34.19</v>
      </c>
      <c r="K118" s="77">
        <v>0.54</v>
      </c>
      <c r="L118" s="77">
        <v>7.4</v>
      </c>
      <c r="N118" s="365">
        <f t="shared" ref="N118" si="200">K118+J118+L118</f>
        <v>42.129999999999995</v>
      </c>
      <c r="P118" s="195">
        <v>0</v>
      </c>
      <c r="Q118" s="326" t="str">
        <f>IFERROR(VLOOKUP($G118,主力整理!$A$2:$G$2301,6,0),"0")</f>
        <v>0</v>
      </c>
      <c r="R118" s="111">
        <v>4</v>
      </c>
      <c r="S118" s="51">
        <v>0</v>
      </c>
      <c r="T118" s="339">
        <f t="shared" si="167"/>
        <v>4</v>
      </c>
      <c r="V118" s="371">
        <v>0</v>
      </c>
      <c r="W118" s="35">
        <v>2</v>
      </c>
      <c r="X118" s="100">
        <v>2.92</v>
      </c>
      <c r="Y118" s="37">
        <v>28.9</v>
      </c>
      <c r="Z118" s="69">
        <v>21.5</v>
      </c>
      <c r="AA118" s="16">
        <f t="shared" ref="AA118" si="201">Y118-Z118</f>
        <v>7.3999999999999986</v>
      </c>
      <c r="AB118" s="66">
        <f t="shared" ref="AB118" si="202">AA118/Z118</f>
        <v>0.34418604651162782</v>
      </c>
      <c r="AC118" s="105" t="s">
        <v>6389</v>
      </c>
      <c r="AD118" s="17" t="s">
        <v>267</v>
      </c>
      <c r="AE118" s="89">
        <v>44490</v>
      </c>
      <c r="AF118" s="91">
        <v>44501</v>
      </c>
      <c r="AG118" s="34">
        <f t="shared" ref="AG118" si="203">AF118-AE118</f>
        <v>11</v>
      </c>
      <c r="AH118" s="125" t="s">
        <v>3767</v>
      </c>
      <c r="AI118" s="131"/>
      <c r="AJ118" s="264"/>
      <c r="AK118" s="353"/>
      <c r="AL118" s="264"/>
      <c r="AM118" s="347"/>
      <c r="AN118" s="284"/>
    </row>
    <row r="119" spans="1:40">
      <c r="A119" s="151" t="s">
        <v>6306</v>
      </c>
      <c r="B119" s="84">
        <v>300</v>
      </c>
      <c r="C119" s="84">
        <v>229</v>
      </c>
      <c r="D119" s="84">
        <v>35</v>
      </c>
      <c r="E119" s="84">
        <v>10</v>
      </c>
      <c r="F119" s="7">
        <v>4.12</v>
      </c>
      <c r="G119" s="84">
        <v>8444</v>
      </c>
      <c r="H119" s="9" t="s">
        <v>429</v>
      </c>
      <c r="I119" s="17" t="s">
        <v>407</v>
      </c>
      <c r="J119" s="371">
        <v>76.13</v>
      </c>
      <c r="K119" s="371">
        <v>65.7</v>
      </c>
      <c r="L119" s="371">
        <v>9.34</v>
      </c>
      <c r="N119" s="365">
        <f t="shared" ref="N119" si="204">K119+J119+L119</f>
        <v>151.16999999999999</v>
      </c>
      <c r="P119" s="195">
        <v>0</v>
      </c>
      <c r="Q119" s="326" t="str">
        <f>IFERROR(VLOOKUP($G119,主力整理!$A$2:$G$2301,6,0),"0")</f>
        <v>0</v>
      </c>
      <c r="R119" s="111">
        <v>3</v>
      </c>
      <c r="S119" s="51">
        <v>0</v>
      </c>
      <c r="T119" s="339">
        <f t="shared" si="167"/>
        <v>3</v>
      </c>
      <c r="V119" s="371">
        <v>0.05</v>
      </c>
      <c r="W119" s="35">
        <v>0</v>
      </c>
      <c r="X119" s="59">
        <v>1.71</v>
      </c>
      <c r="Y119" s="14">
        <v>105</v>
      </c>
      <c r="Z119" s="69">
        <v>78</v>
      </c>
      <c r="AA119" s="16">
        <f t="shared" ref="AA119" si="205">Y119-Z119</f>
        <v>27</v>
      </c>
      <c r="AB119" s="66">
        <f t="shared" ref="AB119" si="206">AA119/Z119</f>
        <v>0.34615384615384615</v>
      </c>
      <c r="AC119" s="105" t="s">
        <v>6386</v>
      </c>
      <c r="AD119" s="17" t="s">
        <v>407</v>
      </c>
      <c r="AE119" s="89">
        <v>44489</v>
      </c>
      <c r="AF119" s="91">
        <v>44501</v>
      </c>
      <c r="AG119" s="34">
        <f t="shared" ref="AG119" si="207">AF119-AE119</f>
        <v>12</v>
      </c>
      <c r="AH119" s="125" t="s">
        <v>3936</v>
      </c>
      <c r="AI119" s="131"/>
      <c r="AJ119" s="264"/>
      <c r="AK119" s="353"/>
      <c r="AL119" s="264"/>
      <c r="AM119" s="347"/>
      <c r="AN119" s="284"/>
    </row>
    <row r="120" spans="1:40">
      <c r="A120" s="135" t="s">
        <v>3115</v>
      </c>
      <c r="B120" s="84">
        <v>87</v>
      </c>
      <c r="C120" s="84">
        <v>73</v>
      </c>
      <c r="D120" s="85">
        <v>-3</v>
      </c>
      <c r="E120" s="84">
        <v>20</v>
      </c>
      <c r="F120" s="59">
        <v>33.82</v>
      </c>
      <c r="G120" s="85">
        <v>1590</v>
      </c>
      <c r="H120" s="213" t="s">
        <v>544</v>
      </c>
      <c r="I120" s="23" t="s">
        <v>244</v>
      </c>
      <c r="J120" s="77">
        <v>58.04</v>
      </c>
      <c r="K120" s="77">
        <v>81.849999999999994</v>
      </c>
      <c r="L120" s="371">
        <v>1.06</v>
      </c>
      <c r="N120" s="365">
        <f>K120+J120+L120</f>
        <v>140.94999999999999</v>
      </c>
      <c r="P120" s="195">
        <v>14</v>
      </c>
      <c r="Q120" s="326">
        <v>4</v>
      </c>
      <c r="R120" s="111">
        <v>5</v>
      </c>
      <c r="S120" s="51">
        <v>6</v>
      </c>
      <c r="T120" s="339">
        <f t="shared" si="167"/>
        <v>29</v>
      </c>
      <c r="V120" s="371">
        <v>5.46</v>
      </c>
      <c r="W120" s="69">
        <v>9.06</v>
      </c>
      <c r="X120" s="59">
        <v>33.64</v>
      </c>
      <c r="Y120" s="160">
        <v>855</v>
      </c>
      <c r="Z120" s="69">
        <v>718</v>
      </c>
      <c r="AA120" s="146">
        <f>Y120-Z120</f>
        <v>137</v>
      </c>
      <c r="AB120" s="66">
        <f>AA120/Z120</f>
        <v>0.19080779944289694</v>
      </c>
      <c r="AC120" s="105" t="s">
        <v>6387</v>
      </c>
      <c r="AD120" s="23" t="s">
        <v>244</v>
      </c>
      <c r="AE120" s="89">
        <v>44489</v>
      </c>
      <c r="AF120" s="91">
        <v>44501</v>
      </c>
      <c r="AG120" s="34">
        <f>AF120-AE120</f>
        <v>12</v>
      </c>
      <c r="AH120" s="126" t="s">
        <v>3995</v>
      </c>
      <c r="AI120" s="284"/>
      <c r="AJ120" s="264"/>
      <c r="AK120" s="353"/>
      <c r="AL120" s="264"/>
      <c r="AM120" s="347"/>
      <c r="AN120" s="284"/>
    </row>
    <row r="121" spans="1:40">
      <c r="A121" s="151" t="s">
        <v>6410</v>
      </c>
      <c r="B121" s="85">
        <v>-12</v>
      </c>
      <c r="C121" s="85">
        <v>-24</v>
      </c>
      <c r="D121" s="84">
        <v>27</v>
      </c>
      <c r="E121" s="84">
        <v>28</v>
      </c>
      <c r="F121" s="7">
        <v>4.7</v>
      </c>
      <c r="G121" s="85">
        <v>3483</v>
      </c>
      <c r="H121" s="203" t="s">
        <v>1815</v>
      </c>
      <c r="I121" s="17" t="s">
        <v>902</v>
      </c>
      <c r="J121" s="371">
        <v>12.06</v>
      </c>
      <c r="K121" s="371">
        <v>1.9</v>
      </c>
      <c r="L121" s="371">
        <v>62.32</v>
      </c>
      <c r="N121" s="365">
        <f>K121+J121+L121</f>
        <v>76.28</v>
      </c>
      <c r="P121" s="195">
        <v>0</v>
      </c>
      <c r="Q121" s="326">
        <v>2</v>
      </c>
      <c r="R121" s="111">
        <v>11</v>
      </c>
      <c r="S121" s="51">
        <v>9</v>
      </c>
      <c r="T121" s="339">
        <f t="shared" si="167"/>
        <v>22</v>
      </c>
      <c r="V121" s="371">
        <v>1.1499999999999999</v>
      </c>
      <c r="W121" s="35">
        <v>2.5</v>
      </c>
      <c r="X121" s="100">
        <v>3.96</v>
      </c>
      <c r="Y121" s="37">
        <v>71.7</v>
      </c>
      <c r="Z121" s="46">
        <v>54</v>
      </c>
      <c r="AA121" s="16">
        <f>Y121-Z121</f>
        <v>17.700000000000003</v>
      </c>
      <c r="AB121" s="66">
        <f>AA121/Z121</f>
        <v>0.32777777777777783</v>
      </c>
      <c r="AC121" s="105" t="s">
        <v>6381</v>
      </c>
      <c r="AD121" s="17" t="s">
        <v>902</v>
      </c>
      <c r="AE121" s="89">
        <v>44488</v>
      </c>
      <c r="AF121" s="91">
        <v>44498</v>
      </c>
      <c r="AG121" s="34">
        <f>AF121-AE121</f>
        <v>10</v>
      </c>
      <c r="AH121" s="44" t="s">
        <v>4552</v>
      </c>
      <c r="AI121" s="131"/>
      <c r="AJ121" s="264"/>
      <c r="AK121" s="353"/>
      <c r="AL121" s="264"/>
      <c r="AM121" s="347"/>
      <c r="AN121" s="284"/>
    </row>
    <row r="122" spans="1:40">
      <c r="A122" s="135" t="s">
        <v>6307</v>
      </c>
      <c r="B122" s="84">
        <v>111</v>
      </c>
      <c r="C122" s="84">
        <v>79</v>
      </c>
      <c r="D122" s="84">
        <v>2</v>
      </c>
      <c r="E122" s="84">
        <v>46</v>
      </c>
      <c r="F122" s="59">
        <v>16.37</v>
      </c>
      <c r="G122" s="85">
        <v>6182</v>
      </c>
      <c r="H122" s="268" t="s">
        <v>558</v>
      </c>
      <c r="I122" s="17" t="s">
        <v>321</v>
      </c>
      <c r="J122" s="371">
        <v>33.21</v>
      </c>
      <c r="K122" s="77">
        <v>24.53</v>
      </c>
      <c r="L122" s="371">
        <v>25.44</v>
      </c>
      <c r="N122" s="365">
        <f>K122+J122+L122</f>
        <v>83.18</v>
      </c>
      <c r="P122" s="195">
        <v>9</v>
      </c>
      <c r="Q122" s="326">
        <v>11</v>
      </c>
      <c r="R122" s="111">
        <v>5</v>
      </c>
      <c r="S122" s="51">
        <v>18</v>
      </c>
      <c r="T122" s="339">
        <f t="shared" si="167"/>
        <v>43</v>
      </c>
      <c r="V122" s="371">
        <v>6.2</v>
      </c>
      <c r="W122" s="35">
        <v>1.1000000000000001</v>
      </c>
      <c r="X122" s="100">
        <v>1.26</v>
      </c>
      <c r="Y122" s="37">
        <v>61.6</v>
      </c>
      <c r="Z122" s="46">
        <v>52</v>
      </c>
      <c r="AA122" s="16">
        <f>Y122-Z122</f>
        <v>9.6000000000000014</v>
      </c>
      <c r="AB122" s="66">
        <f>AA122/Z122</f>
        <v>0.18461538461538465</v>
      </c>
      <c r="AC122" s="105" t="s">
        <v>6378</v>
      </c>
      <c r="AD122" s="17" t="s">
        <v>321</v>
      </c>
      <c r="AE122" s="89">
        <v>44487</v>
      </c>
      <c r="AF122" s="91">
        <v>44497</v>
      </c>
      <c r="AG122" s="34">
        <f>AF122-AE122</f>
        <v>10</v>
      </c>
      <c r="AH122" s="126" t="s">
        <v>3466</v>
      </c>
      <c r="AI122" s="284"/>
      <c r="AJ122" s="264"/>
      <c r="AK122" s="353"/>
      <c r="AL122" s="264"/>
      <c r="AM122" s="347"/>
      <c r="AN122" s="284"/>
    </row>
    <row r="123" spans="1:40">
      <c r="A123" s="151" t="s">
        <v>3638</v>
      </c>
      <c r="B123" s="85">
        <v>-675</v>
      </c>
      <c r="C123" s="85">
        <v>-449</v>
      </c>
      <c r="D123" s="85">
        <v>-37</v>
      </c>
      <c r="E123" s="85">
        <v>-59</v>
      </c>
      <c r="F123" s="7">
        <v>-29.73</v>
      </c>
      <c r="G123" s="84">
        <v>4934</v>
      </c>
      <c r="H123" s="9" t="s">
        <v>557</v>
      </c>
      <c r="I123" s="23" t="s">
        <v>816</v>
      </c>
      <c r="J123" s="371">
        <v>28.95</v>
      </c>
      <c r="K123" s="77">
        <v>1.2</v>
      </c>
      <c r="N123" s="365">
        <f t="shared" ref="N123" si="208">K123+J123+L123</f>
        <v>30.15</v>
      </c>
      <c r="P123" s="195">
        <v>2</v>
      </c>
      <c r="Q123" s="326">
        <v>7</v>
      </c>
      <c r="R123" s="111">
        <v>12</v>
      </c>
      <c r="S123" s="51">
        <v>0</v>
      </c>
      <c r="T123" s="339">
        <f t="shared" si="167"/>
        <v>21</v>
      </c>
      <c r="W123" s="35">
        <v>0</v>
      </c>
      <c r="X123" s="100">
        <v>-1.59</v>
      </c>
      <c r="Y123" s="37">
        <v>35.25</v>
      </c>
      <c r="Z123" s="69">
        <v>29.1</v>
      </c>
      <c r="AA123" s="16">
        <f t="shared" ref="AA123" si="209">Y123-Z123</f>
        <v>6.1499999999999986</v>
      </c>
      <c r="AB123" s="66">
        <f t="shared" ref="AB123" si="210">AA123/Z123</f>
        <v>0.21134020618556695</v>
      </c>
      <c r="AC123" s="105" t="s">
        <v>6358</v>
      </c>
      <c r="AD123" s="23" t="s">
        <v>816</v>
      </c>
      <c r="AE123" s="89">
        <v>44481</v>
      </c>
      <c r="AF123" s="91">
        <v>44491</v>
      </c>
      <c r="AG123" s="34">
        <f t="shared" ref="AG123" si="211">AF123-AE123</f>
        <v>10</v>
      </c>
      <c r="AH123" s="44" t="s">
        <v>3195</v>
      </c>
      <c r="AI123" s="131"/>
      <c r="AJ123" s="264"/>
      <c r="AK123" s="353"/>
      <c r="AL123" s="264"/>
      <c r="AM123" s="347"/>
      <c r="AN123" s="284"/>
    </row>
    <row r="124" spans="1:40">
      <c r="A124" s="135" t="s">
        <v>4644</v>
      </c>
      <c r="B124" s="85">
        <v>-2</v>
      </c>
      <c r="C124" s="85">
        <v>-1</v>
      </c>
      <c r="D124" s="84">
        <v>58</v>
      </c>
      <c r="E124" s="84">
        <v>8</v>
      </c>
      <c r="F124" s="59">
        <v>10.69</v>
      </c>
      <c r="G124" s="85">
        <v>6641</v>
      </c>
      <c r="H124" s="5" t="s">
        <v>429</v>
      </c>
      <c r="I124" s="23" t="s">
        <v>1754</v>
      </c>
      <c r="J124" s="371">
        <v>62.05</v>
      </c>
      <c r="K124" s="77">
        <v>30.81</v>
      </c>
      <c r="L124" s="371">
        <v>2.13</v>
      </c>
      <c r="N124" s="365">
        <f t="shared" ref="N124:N126" si="212">K124+J124+L124</f>
        <v>94.99</v>
      </c>
      <c r="P124" s="195">
        <v>0</v>
      </c>
      <c r="Q124" s="326" t="str">
        <f>IFERROR(VLOOKUP($G124,主力整理!$A$2:$G$2301,6,0),"0")</f>
        <v>0</v>
      </c>
      <c r="R124" s="111">
        <v>2</v>
      </c>
      <c r="S124" s="51">
        <v>0</v>
      </c>
      <c r="T124" s="339">
        <f t="shared" si="167"/>
        <v>2</v>
      </c>
      <c r="V124" s="371">
        <v>0</v>
      </c>
      <c r="W124" s="69">
        <v>4.5</v>
      </c>
      <c r="X124" s="100">
        <v>6.49</v>
      </c>
      <c r="Y124" s="37">
        <v>56</v>
      </c>
      <c r="Z124" s="69">
        <v>50</v>
      </c>
      <c r="AA124" s="16">
        <f t="shared" ref="AA124:AA126" si="213">Y124-Z124</f>
        <v>6</v>
      </c>
      <c r="AB124" s="66">
        <f t="shared" ref="AB124:AB126" si="214">AA124/Z124</f>
        <v>0.12</v>
      </c>
      <c r="AC124" s="105" t="s">
        <v>2624</v>
      </c>
      <c r="AD124" s="23" t="s">
        <v>1754</v>
      </c>
      <c r="AE124" s="89">
        <v>44477</v>
      </c>
      <c r="AF124" s="91">
        <v>44487</v>
      </c>
      <c r="AG124" s="34">
        <f t="shared" ref="AG124:AG126" si="215">AF124-AE124</f>
        <v>10</v>
      </c>
      <c r="AH124" s="63" t="s">
        <v>4425</v>
      </c>
      <c r="AI124" s="131"/>
      <c r="AJ124" s="264"/>
      <c r="AK124" s="353"/>
      <c r="AL124" s="264"/>
      <c r="AM124" s="347"/>
      <c r="AN124" s="284"/>
    </row>
    <row r="125" spans="1:40">
      <c r="A125" s="151" t="s">
        <v>2408</v>
      </c>
      <c r="B125" s="84">
        <v>31</v>
      </c>
      <c r="C125" s="84">
        <v>362</v>
      </c>
      <c r="D125" s="85">
        <v>-10</v>
      </c>
      <c r="E125" s="84">
        <v>5</v>
      </c>
      <c r="F125" s="7">
        <v>4.3099999999999996</v>
      </c>
      <c r="G125" s="85">
        <v>5498</v>
      </c>
      <c r="H125" s="5" t="s">
        <v>559</v>
      </c>
      <c r="I125" s="17" t="s">
        <v>772</v>
      </c>
      <c r="J125" s="371">
        <v>42.57</v>
      </c>
      <c r="K125" s="371">
        <v>0.95</v>
      </c>
      <c r="L125" s="77">
        <v>12.91</v>
      </c>
      <c r="N125" s="365">
        <f t="shared" si="212"/>
        <v>56.430000000000007</v>
      </c>
      <c r="P125" s="195">
        <v>2</v>
      </c>
      <c r="Q125" s="326">
        <v>1</v>
      </c>
      <c r="R125" s="111">
        <v>5</v>
      </c>
      <c r="S125" s="51">
        <v>0</v>
      </c>
      <c r="T125" s="339">
        <f t="shared" si="167"/>
        <v>8</v>
      </c>
      <c r="V125" s="371">
        <v>0.37</v>
      </c>
      <c r="W125" s="35">
        <v>0.6</v>
      </c>
      <c r="X125" s="100">
        <v>0.53</v>
      </c>
      <c r="Y125" s="37">
        <v>14</v>
      </c>
      <c r="Z125" s="69">
        <v>14.6</v>
      </c>
      <c r="AA125" s="16">
        <f t="shared" si="213"/>
        <v>-0.59999999999999964</v>
      </c>
      <c r="AB125" s="80">
        <f t="shared" si="214"/>
        <v>-4.1095890410958881E-2</v>
      </c>
      <c r="AC125" s="105" t="s">
        <v>2693</v>
      </c>
      <c r="AD125" s="17" t="s">
        <v>772</v>
      </c>
      <c r="AE125" s="89">
        <v>44477</v>
      </c>
      <c r="AF125" s="91">
        <v>44487</v>
      </c>
      <c r="AG125" s="34">
        <f t="shared" si="215"/>
        <v>10</v>
      </c>
      <c r="AH125" s="44" t="s">
        <v>773</v>
      </c>
      <c r="AI125" s="131"/>
      <c r="AJ125" s="264"/>
      <c r="AK125" s="353"/>
      <c r="AL125" s="264"/>
      <c r="AM125" s="347"/>
      <c r="AN125" s="284"/>
    </row>
    <row r="126" spans="1:40">
      <c r="A126" s="151" t="s">
        <v>4667</v>
      </c>
      <c r="B126" s="84">
        <v>7</v>
      </c>
      <c r="C126" s="84">
        <v>2</v>
      </c>
      <c r="D126" s="85">
        <v>-3</v>
      </c>
      <c r="E126" s="84">
        <v>12</v>
      </c>
      <c r="F126" s="7">
        <v>9.5</v>
      </c>
      <c r="G126" s="85">
        <v>2947</v>
      </c>
      <c r="H126" s="9" t="s">
        <v>562</v>
      </c>
      <c r="I126" s="17" t="s">
        <v>6281</v>
      </c>
      <c r="J126" s="371">
        <v>56.57</v>
      </c>
      <c r="K126" s="371">
        <v>0.3</v>
      </c>
      <c r="L126" s="371"/>
      <c r="N126" s="365">
        <f t="shared" si="212"/>
        <v>56.87</v>
      </c>
      <c r="P126" s="195">
        <v>0</v>
      </c>
      <c r="Q126" s="326" t="str">
        <f>IFERROR(VLOOKUP($G126,主力整理!$A$2:$G$2301,6,0),"0")</f>
        <v>0</v>
      </c>
      <c r="R126" s="111">
        <v>0</v>
      </c>
      <c r="S126" s="51">
        <v>0</v>
      </c>
      <c r="T126" s="339">
        <f t="shared" si="167"/>
        <v>0</v>
      </c>
      <c r="W126" s="69">
        <v>3.6</v>
      </c>
      <c r="X126" s="59" t="s">
        <v>5226</v>
      </c>
      <c r="Y126" s="37">
        <v>105</v>
      </c>
      <c r="Z126" s="69">
        <v>80</v>
      </c>
      <c r="AA126" s="16">
        <f t="shared" si="213"/>
        <v>25</v>
      </c>
      <c r="AB126" s="66">
        <f t="shared" si="214"/>
        <v>0.3125</v>
      </c>
      <c r="AC126" s="105" t="s">
        <v>6337</v>
      </c>
      <c r="AD126" s="17" t="s">
        <v>6281</v>
      </c>
      <c r="AE126" s="89">
        <v>44475</v>
      </c>
      <c r="AF126" s="91">
        <v>44487</v>
      </c>
      <c r="AG126" s="34">
        <f t="shared" si="215"/>
        <v>12</v>
      </c>
      <c r="AH126" s="44" t="s">
        <v>6282</v>
      </c>
      <c r="AI126" s="131"/>
      <c r="AJ126" s="264"/>
      <c r="AK126" s="353"/>
      <c r="AL126" s="264"/>
      <c r="AM126" s="347"/>
      <c r="AN126" s="284"/>
    </row>
    <row r="127" spans="1:40">
      <c r="A127" s="135" t="s">
        <v>3049</v>
      </c>
      <c r="B127" s="85">
        <v>-9</v>
      </c>
      <c r="C127" s="85">
        <v>-1</v>
      </c>
      <c r="D127" s="84">
        <v>10</v>
      </c>
      <c r="E127" s="84">
        <v>25</v>
      </c>
      <c r="F127" s="59">
        <v>12.27</v>
      </c>
      <c r="G127" s="85">
        <v>6417</v>
      </c>
      <c r="H127" s="5" t="s">
        <v>563</v>
      </c>
      <c r="I127" s="17" t="s">
        <v>978</v>
      </c>
      <c r="J127" s="371">
        <v>60.58</v>
      </c>
      <c r="K127" s="371">
        <v>11.57</v>
      </c>
      <c r="L127" s="77">
        <v>30.12</v>
      </c>
      <c r="N127" s="365">
        <f t="shared" ref="N127" si="216">K127+J127+L127</f>
        <v>102.27000000000001</v>
      </c>
      <c r="P127" s="195">
        <v>0</v>
      </c>
      <c r="Q127" s="326" t="str">
        <f>IFERROR(VLOOKUP($G127,主力整理!$A$2:$G$2301,6,0),"0")</f>
        <v>0</v>
      </c>
      <c r="R127" s="111">
        <v>0</v>
      </c>
      <c r="S127" s="51">
        <v>0</v>
      </c>
      <c r="T127" s="339">
        <f t="shared" si="167"/>
        <v>0</v>
      </c>
      <c r="V127" s="371">
        <v>0</v>
      </c>
      <c r="W127" s="35">
        <v>1.3</v>
      </c>
      <c r="X127" s="59">
        <v>2.5499999999999998</v>
      </c>
      <c r="Y127" s="37">
        <v>60</v>
      </c>
      <c r="Z127" s="46">
        <v>60</v>
      </c>
      <c r="AA127" s="16">
        <f t="shared" ref="AA127" si="217">Y127-Z127</f>
        <v>0</v>
      </c>
      <c r="AB127" s="66">
        <f t="shared" ref="AB127" si="218">AA127/Z127</f>
        <v>0</v>
      </c>
      <c r="AC127" s="105" t="s">
        <v>6326</v>
      </c>
      <c r="AD127" s="17" t="s">
        <v>978</v>
      </c>
      <c r="AE127" s="89">
        <v>44474</v>
      </c>
      <c r="AF127" s="91">
        <v>44484</v>
      </c>
      <c r="AG127" s="34">
        <f t="shared" ref="AG127" si="219">AF127-AE127</f>
        <v>10</v>
      </c>
      <c r="AH127" s="63" t="s">
        <v>4139</v>
      </c>
      <c r="AI127" s="131"/>
      <c r="AJ127" s="284"/>
      <c r="AK127" s="207"/>
      <c r="AL127" s="342"/>
      <c r="AM127" s="347"/>
      <c r="AN127" s="284"/>
    </row>
    <row r="128" spans="1:40">
      <c r="A128" s="151" t="s">
        <v>2531</v>
      </c>
      <c r="B128" s="85">
        <v>-20</v>
      </c>
      <c r="C128" s="85">
        <v>-24</v>
      </c>
      <c r="D128" s="84">
        <v>10</v>
      </c>
      <c r="E128" s="84">
        <v>3</v>
      </c>
      <c r="F128" s="7">
        <v>-9.25</v>
      </c>
      <c r="G128" s="85">
        <v>6209</v>
      </c>
      <c r="H128" s="268" t="s">
        <v>557</v>
      </c>
      <c r="I128" s="23" t="s">
        <v>332</v>
      </c>
      <c r="J128" s="77">
        <v>30.67</v>
      </c>
      <c r="K128" s="77">
        <v>1.1399999999999999</v>
      </c>
      <c r="L128" s="371">
        <v>15.5</v>
      </c>
      <c r="N128" s="365">
        <f t="shared" ref="N128" si="220">K128+J128+L128</f>
        <v>47.31</v>
      </c>
      <c r="P128" s="195">
        <v>2</v>
      </c>
      <c r="Q128" s="326" t="str">
        <f>IFERROR(VLOOKUP($G128,主力整理!$A$2:$G$2301,6,0),"0")</f>
        <v>0</v>
      </c>
      <c r="R128" s="111">
        <v>8</v>
      </c>
      <c r="S128" s="51">
        <v>0</v>
      </c>
      <c r="T128" s="339">
        <f t="shared" si="167"/>
        <v>10</v>
      </c>
      <c r="V128" s="371">
        <v>2.16</v>
      </c>
      <c r="W128" s="35">
        <v>0</v>
      </c>
      <c r="X128" s="100">
        <v>-1.44</v>
      </c>
      <c r="Y128" s="37">
        <v>27.75</v>
      </c>
      <c r="Z128" s="69">
        <v>24</v>
      </c>
      <c r="AA128" s="16">
        <f t="shared" ref="AA128" si="221">Y128-Z128</f>
        <v>3.75</v>
      </c>
      <c r="AB128" s="66">
        <f t="shared" ref="AB128" si="222">AA128/Z128</f>
        <v>0.15625</v>
      </c>
      <c r="AC128" s="105" t="s">
        <v>6327</v>
      </c>
      <c r="AD128" s="23" t="s">
        <v>332</v>
      </c>
      <c r="AE128" s="89">
        <v>44474</v>
      </c>
      <c r="AF128" s="91">
        <v>44484</v>
      </c>
      <c r="AG128" s="34">
        <f t="shared" ref="AG128" si="223">AF128-AE128</f>
        <v>10</v>
      </c>
      <c r="AH128" s="127" t="s">
        <v>3225</v>
      </c>
      <c r="AI128" s="129"/>
      <c r="AJ128" s="12"/>
      <c r="AK128" s="356"/>
      <c r="AL128" s="103"/>
      <c r="AM128" s="25"/>
      <c r="AN128" s="12"/>
    </row>
    <row r="129" spans="1:40">
      <c r="A129" s="151" t="s">
        <v>4883</v>
      </c>
      <c r="B129" s="84">
        <v>32</v>
      </c>
      <c r="C129" s="84">
        <v>26</v>
      </c>
      <c r="D129" s="85">
        <v>-100</v>
      </c>
      <c r="E129" s="84"/>
      <c r="F129" s="245"/>
      <c r="G129" s="85">
        <v>6541</v>
      </c>
      <c r="H129" s="5" t="s">
        <v>560</v>
      </c>
      <c r="I129" s="23" t="s">
        <v>1184</v>
      </c>
      <c r="J129" s="371">
        <v>67.81</v>
      </c>
      <c r="K129" s="371">
        <v>32.590000000000003</v>
      </c>
      <c r="L129" s="371">
        <v>0</v>
      </c>
      <c r="N129" s="365">
        <f>K129+J129+L129</f>
        <v>100.4</v>
      </c>
      <c r="P129" s="195">
        <v>4</v>
      </c>
      <c r="Q129" s="326" t="str">
        <f>IFERROR(VLOOKUP($G129,主力整理!$A$2:$G$2301,6,0),"0")</f>
        <v>0</v>
      </c>
      <c r="R129" s="111">
        <v>16</v>
      </c>
      <c r="S129" s="51">
        <v>0</v>
      </c>
      <c r="T129" s="339">
        <f t="shared" si="167"/>
        <v>20</v>
      </c>
      <c r="V129" s="371">
        <v>0</v>
      </c>
      <c r="W129" s="35">
        <v>0</v>
      </c>
      <c r="X129" s="59">
        <v>-5.95</v>
      </c>
      <c r="Y129" s="37">
        <v>42.15</v>
      </c>
      <c r="Z129" s="69">
        <v>42</v>
      </c>
      <c r="AA129" s="16">
        <f>Y129-Z129</f>
        <v>0.14999999999999858</v>
      </c>
      <c r="AB129" s="66">
        <f>AA129/Z129</f>
        <v>3.5714285714285375E-3</v>
      </c>
      <c r="AC129" s="105" t="s">
        <v>6321</v>
      </c>
      <c r="AD129" s="23" t="s">
        <v>1184</v>
      </c>
      <c r="AE129" s="89">
        <v>44473</v>
      </c>
      <c r="AF129" s="91">
        <v>44483</v>
      </c>
      <c r="AG129" s="34">
        <f>AF129-AE129</f>
        <v>10</v>
      </c>
      <c r="AH129" s="44" t="s">
        <v>3395</v>
      </c>
      <c r="AI129" s="131"/>
      <c r="AJ129" s="284"/>
      <c r="AK129" s="207"/>
      <c r="AL129" s="342"/>
      <c r="AM129" s="347"/>
      <c r="AN129" s="284"/>
    </row>
    <row r="130" spans="1:40">
      <c r="A130" s="151" t="s">
        <v>4648</v>
      </c>
      <c r="B130" s="84">
        <v>294</v>
      </c>
      <c r="C130" s="84">
        <v>351</v>
      </c>
      <c r="D130" s="85">
        <v>-28</v>
      </c>
      <c r="E130" s="84">
        <v>23</v>
      </c>
      <c r="F130" s="7">
        <v>7.57</v>
      </c>
      <c r="G130" s="85">
        <v>3162</v>
      </c>
      <c r="H130" s="9" t="s">
        <v>544</v>
      </c>
      <c r="I130" s="17" t="s">
        <v>1012</v>
      </c>
      <c r="J130" s="371">
        <v>54.21</v>
      </c>
      <c r="K130" s="371">
        <v>51.94</v>
      </c>
      <c r="L130" s="371"/>
      <c r="N130" s="365">
        <f>K130+J130+L130</f>
        <v>106.15</v>
      </c>
      <c r="P130" s="195">
        <v>1</v>
      </c>
      <c r="Q130" s="326" t="str">
        <f>IFERROR(VLOOKUP($G130,主力整理!$A$2:$G$2301,6,0),"0")</f>
        <v>0</v>
      </c>
      <c r="R130" s="111">
        <v>8</v>
      </c>
      <c r="S130" s="51">
        <v>0</v>
      </c>
      <c r="T130" s="339">
        <f t="shared" si="167"/>
        <v>9</v>
      </c>
      <c r="W130" s="35">
        <v>0</v>
      </c>
      <c r="X130" s="59">
        <v>0.7</v>
      </c>
      <c r="Y130" s="14">
        <v>45.5</v>
      </c>
      <c r="Z130" s="69">
        <v>40</v>
      </c>
      <c r="AA130" s="16">
        <f>Y130-Z130</f>
        <v>5.5</v>
      </c>
      <c r="AB130" s="66">
        <f>AA130/Z130</f>
        <v>0.13750000000000001</v>
      </c>
      <c r="AC130" s="105" t="s">
        <v>6315</v>
      </c>
      <c r="AD130" s="17" t="s">
        <v>1012</v>
      </c>
      <c r="AE130" s="89">
        <v>44470</v>
      </c>
      <c r="AF130" s="91">
        <v>44481</v>
      </c>
      <c r="AG130" s="34">
        <f>AF130-AE130</f>
        <v>11</v>
      </c>
      <c r="AH130" s="44" t="s">
        <v>6278</v>
      </c>
      <c r="AI130" s="131"/>
      <c r="AJ130" s="284"/>
      <c r="AK130" s="207"/>
      <c r="AL130" s="342"/>
      <c r="AM130" s="347"/>
      <c r="AN130" s="284"/>
    </row>
    <row r="131" spans="1:40">
      <c r="A131" s="135" t="s">
        <v>5603</v>
      </c>
      <c r="B131" s="84">
        <v>108</v>
      </c>
      <c r="C131" s="84">
        <v>119</v>
      </c>
      <c r="D131" s="85">
        <v>-11</v>
      </c>
      <c r="E131" s="84">
        <v>27</v>
      </c>
      <c r="F131" s="59">
        <v>32.6</v>
      </c>
      <c r="G131" s="85">
        <v>6642</v>
      </c>
      <c r="H131" s="5" t="s">
        <v>559</v>
      </c>
      <c r="I131" s="17" t="s">
        <v>2577</v>
      </c>
      <c r="J131" s="77">
        <v>49.93</v>
      </c>
      <c r="K131" s="371">
        <v>3.18</v>
      </c>
      <c r="L131" s="77">
        <v>25.36</v>
      </c>
      <c r="N131" s="365">
        <f t="shared" ref="N131" si="224">K131+J131+L131</f>
        <v>78.47</v>
      </c>
      <c r="P131" s="195">
        <v>5</v>
      </c>
      <c r="Q131" s="326" t="str">
        <f>IFERROR(VLOOKUP($G131,主力整理!$A$2:$G$2301,6,0),"0")</f>
        <v>0</v>
      </c>
      <c r="R131" s="111">
        <v>18</v>
      </c>
      <c r="S131" s="51">
        <v>0</v>
      </c>
      <c r="T131" s="339">
        <f t="shared" si="167"/>
        <v>23</v>
      </c>
      <c r="V131" s="371">
        <v>0</v>
      </c>
      <c r="W131" s="35">
        <v>1.8</v>
      </c>
      <c r="X131" s="100">
        <v>3.78</v>
      </c>
      <c r="Y131" s="37">
        <v>67.5</v>
      </c>
      <c r="Z131" s="46">
        <v>62</v>
      </c>
      <c r="AA131" s="16">
        <f t="shared" ref="AA131" si="225">Y131-Z131</f>
        <v>5.5</v>
      </c>
      <c r="AB131" s="66">
        <f t="shared" ref="AB131" si="226">AA131/Z131</f>
        <v>8.8709677419354843E-2</v>
      </c>
      <c r="AC131" s="105" t="s">
        <v>6301</v>
      </c>
      <c r="AD131" s="17" t="s">
        <v>2577</v>
      </c>
      <c r="AE131" s="89">
        <v>44469</v>
      </c>
      <c r="AF131" s="91">
        <v>44481</v>
      </c>
      <c r="AG131" s="34">
        <f t="shared" ref="AG131" si="227">AF131-AE131</f>
        <v>12</v>
      </c>
      <c r="AH131" s="63" t="s">
        <v>4971</v>
      </c>
      <c r="AI131" s="131"/>
      <c r="AJ131" s="284"/>
      <c r="AK131" s="207"/>
      <c r="AL131" s="342"/>
      <c r="AM131" s="347"/>
      <c r="AN131" s="284"/>
    </row>
    <row r="132" spans="1:40">
      <c r="A132" s="151" t="s">
        <v>5604</v>
      </c>
      <c r="B132" s="84">
        <v>14</v>
      </c>
      <c r="C132" s="84">
        <v>22</v>
      </c>
      <c r="D132" s="84">
        <v>63</v>
      </c>
      <c r="E132" s="84">
        <v>120</v>
      </c>
      <c r="F132" s="7">
        <v>-3.53</v>
      </c>
      <c r="G132" s="85">
        <v>3224</v>
      </c>
      <c r="H132" s="5" t="s">
        <v>596</v>
      </c>
      <c r="I132" s="17" t="s">
        <v>1393</v>
      </c>
      <c r="J132" s="371">
        <v>39.29</v>
      </c>
      <c r="K132" s="77">
        <v>0.91</v>
      </c>
      <c r="L132" s="77">
        <v>19.5</v>
      </c>
      <c r="N132" s="365">
        <f>K132+J132+L132</f>
        <v>59.699999999999996</v>
      </c>
      <c r="P132" s="195">
        <v>1</v>
      </c>
      <c r="Q132" s="326" t="str">
        <f>IFERROR(VLOOKUP($G132,主力整理!$A$2:$G$2301,6,0),"0")</f>
        <v>0</v>
      </c>
      <c r="R132" s="111">
        <v>4</v>
      </c>
      <c r="S132" s="51">
        <v>0</v>
      </c>
      <c r="T132" s="339">
        <f t="shared" si="167"/>
        <v>5</v>
      </c>
      <c r="V132" s="371">
        <v>0.18</v>
      </c>
      <c r="W132" s="35">
        <v>0</v>
      </c>
      <c r="X132" s="100">
        <v>-1.3</v>
      </c>
      <c r="Y132" s="37">
        <v>40.049999999999997</v>
      </c>
      <c r="Z132" s="69">
        <v>39.5</v>
      </c>
      <c r="AA132" s="16">
        <f>Y132-Z132</f>
        <v>0.54999999999999716</v>
      </c>
      <c r="AB132" s="66">
        <f>AA132/Z132</f>
        <v>1.3924050632911321E-2</v>
      </c>
      <c r="AC132" s="105" t="s">
        <v>2553</v>
      </c>
      <c r="AD132" s="17" t="s">
        <v>1393</v>
      </c>
      <c r="AE132" s="89">
        <v>44469</v>
      </c>
      <c r="AF132" s="91">
        <v>44481</v>
      </c>
      <c r="AG132" s="34">
        <f>AF132-AE132</f>
        <v>12</v>
      </c>
      <c r="AH132" s="44" t="s">
        <v>4179</v>
      </c>
      <c r="AI132" s="131"/>
      <c r="AJ132" s="284"/>
      <c r="AK132" s="207"/>
      <c r="AL132" s="342"/>
      <c r="AM132" s="347"/>
      <c r="AN132" s="284"/>
    </row>
    <row r="133" spans="1:40">
      <c r="A133" s="135" t="s">
        <v>3298</v>
      </c>
      <c r="B133" s="84">
        <v>4</v>
      </c>
      <c r="C133" s="85">
        <v>-4</v>
      </c>
      <c r="D133" s="84">
        <v>11</v>
      </c>
      <c r="E133" s="85">
        <v>-12</v>
      </c>
      <c r="F133" s="59">
        <v>15.6</v>
      </c>
      <c r="G133" s="85">
        <v>6790</v>
      </c>
      <c r="H133" s="5" t="s">
        <v>429</v>
      </c>
      <c r="I133" s="23" t="s">
        <v>5612</v>
      </c>
      <c r="J133" s="77">
        <v>81.87</v>
      </c>
      <c r="K133" s="371">
        <v>2.91</v>
      </c>
      <c r="L133" s="371"/>
      <c r="N133" s="365">
        <f t="shared" ref="N133:N134" si="228">K133+J133+L133</f>
        <v>84.78</v>
      </c>
      <c r="P133" s="195">
        <v>1</v>
      </c>
      <c r="Q133" s="326" t="str">
        <f>IFERROR(VLOOKUP($G133,主力整理!$A$2:$G$2301,6,0),"0")</f>
        <v>0</v>
      </c>
      <c r="R133" s="111"/>
      <c r="S133" s="51">
        <v>0</v>
      </c>
      <c r="T133" s="339">
        <f t="shared" si="167"/>
        <v>1</v>
      </c>
      <c r="W133" s="69">
        <v>4</v>
      </c>
      <c r="X133" s="59" t="s">
        <v>5613</v>
      </c>
      <c r="Y133" s="37">
        <v>48.75</v>
      </c>
      <c r="Z133" s="69">
        <v>52</v>
      </c>
      <c r="AA133" s="16">
        <f t="shared" ref="AA133:AA134" si="229">Y133-Z133</f>
        <v>-3.25</v>
      </c>
      <c r="AB133" s="80">
        <f t="shared" ref="AB133:AB134" si="230">AA133/Z133</f>
        <v>-6.25E-2</v>
      </c>
      <c r="AC133" s="105" t="s">
        <v>6305</v>
      </c>
      <c r="AD133" s="23" t="s">
        <v>5612</v>
      </c>
      <c r="AE133" s="89">
        <v>44468</v>
      </c>
      <c r="AF133" s="91">
        <v>44481</v>
      </c>
      <c r="AG133" s="34">
        <f t="shared" ref="AG133:AG134" si="231">AF133-AE133</f>
        <v>13</v>
      </c>
      <c r="AH133" s="63" t="s">
        <v>5614</v>
      </c>
      <c r="AI133" s="131"/>
      <c r="AJ133" s="284"/>
      <c r="AK133" s="207"/>
      <c r="AL133" s="342"/>
      <c r="AM133" s="347"/>
      <c r="AN133" s="284"/>
    </row>
    <row r="134" spans="1:40">
      <c r="A134" s="135" t="s">
        <v>6357</v>
      </c>
      <c r="B134" s="84">
        <v>21</v>
      </c>
      <c r="C134" s="84">
        <v>26</v>
      </c>
      <c r="D134" s="85">
        <v>-10</v>
      </c>
      <c r="E134" s="84">
        <v>19</v>
      </c>
      <c r="F134" s="59">
        <v>28.15</v>
      </c>
      <c r="G134" s="85">
        <v>6788</v>
      </c>
      <c r="H134" s="213" t="s">
        <v>558</v>
      </c>
      <c r="I134" s="17" t="s">
        <v>5615</v>
      </c>
      <c r="J134" s="371">
        <v>18.350000000000001</v>
      </c>
      <c r="K134" s="77">
        <v>1.7</v>
      </c>
      <c r="L134" s="371"/>
      <c r="N134" s="365">
        <f t="shared" si="228"/>
        <v>20.05</v>
      </c>
      <c r="P134" s="195">
        <v>1</v>
      </c>
      <c r="Q134" s="326" t="str">
        <f>IFERROR(VLOOKUP($G134,主力整理!$A$2:$G$2301,6,0),"0")</f>
        <v>0</v>
      </c>
      <c r="R134" s="111"/>
      <c r="S134" s="51">
        <v>0</v>
      </c>
      <c r="T134" s="339">
        <f t="shared" si="167"/>
        <v>1</v>
      </c>
      <c r="W134" s="69">
        <v>4</v>
      </c>
      <c r="X134" s="100" t="s">
        <v>5226</v>
      </c>
      <c r="Y134" s="37">
        <v>198</v>
      </c>
      <c r="Z134" s="69">
        <v>125</v>
      </c>
      <c r="AA134" s="16">
        <f t="shared" si="229"/>
        <v>73</v>
      </c>
      <c r="AB134" s="66">
        <f t="shared" si="230"/>
        <v>0.58399999999999996</v>
      </c>
      <c r="AC134" s="105" t="s">
        <v>6304</v>
      </c>
      <c r="AD134" s="17" t="s">
        <v>5615</v>
      </c>
      <c r="AE134" s="89">
        <v>44468</v>
      </c>
      <c r="AF134" s="91">
        <v>44481</v>
      </c>
      <c r="AG134" s="34">
        <f t="shared" si="231"/>
        <v>13</v>
      </c>
      <c r="AH134" s="63" t="s">
        <v>5616</v>
      </c>
      <c r="AI134" s="131"/>
      <c r="AJ134" s="284"/>
      <c r="AK134" s="207"/>
      <c r="AL134" s="342"/>
      <c r="AM134" s="347"/>
      <c r="AN134" s="284"/>
    </row>
    <row r="135" spans="1:40">
      <c r="A135" s="151" t="s">
        <v>5605</v>
      </c>
      <c r="B135" s="85">
        <v>-634</v>
      </c>
      <c r="C135" s="85">
        <v>-5</v>
      </c>
      <c r="D135" s="84">
        <v>1</v>
      </c>
      <c r="E135" s="84">
        <v>23</v>
      </c>
      <c r="F135" s="7">
        <v>-78.25</v>
      </c>
      <c r="G135" s="85">
        <v>5324</v>
      </c>
      <c r="H135" s="5" t="s">
        <v>1485</v>
      </c>
      <c r="I135" s="17" t="s">
        <v>1495</v>
      </c>
      <c r="J135" s="77">
        <v>69.38</v>
      </c>
      <c r="K135" s="77">
        <v>5.54</v>
      </c>
      <c r="L135" s="371"/>
      <c r="N135" s="365">
        <f>K135+J135+L135</f>
        <v>74.92</v>
      </c>
      <c r="P135" s="195">
        <v>0</v>
      </c>
      <c r="Q135" s="326" t="str">
        <f>IFERROR(VLOOKUP($G135,主力整理!$A$2:$G$2301,6,0),"0")</f>
        <v>0</v>
      </c>
      <c r="R135" s="111">
        <v>5</v>
      </c>
      <c r="S135" s="51">
        <v>0</v>
      </c>
      <c r="T135" s="339">
        <f t="shared" si="167"/>
        <v>5</v>
      </c>
      <c r="W135" s="35">
        <v>0</v>
      </c>
      <c r="X135" s="59">
        <v>-0.97</v>
      </c>
      <c r="Y135" s="37">
        <v>9.3000000000000007</v>
      </c>
      <c r="Z135" s="69">
        <v>9.5</v>
      </c>
      <c r="AA135" s="16">
        <f>Y135-Z135</f>
        <v>-0.19999999999999929</v>
      </c>
      <c r="AB135" s="80">
        <f>AA135/Z135</f>
        <v>-2.1052631578947295E-2</v>
      </c>
      <c r="AC135" s="106" t="s">
        <v>6303</v>
      </c>
      <c r="AD135" s="17" t="s">
        <v>1495</v>
      </c>
      <c r="AE135" s="89">
        <v>44468</v>
      </c>
      <c r="AF135" s="91">
        <v>44481</v>
      </c>
      <c r="AG135" s="34">
        <f>AF135-AE135</f>
        <v>13</v>
      </c>
      <c r="AH135" s="44" t="s">
        <v>4206</v>
      </c>
      <c r="AI135" s="131"/>
      <c r="AJ135" s="284"/>
      <c r="AK135" s="207"/>
      <c r="AL135" s="342"/>
      <c r="AM135" s="347"/>
      <c r="AN135" s="284"/>
    </row>
    <row r="136" spans="1:40">
      <c r="A136" s="151" t="s">
        <v>5606</v>
      </c>
      <c r="B136" s="84">
        <v>820</v>
      </c>
      <c r="C136" s="84">
        <v>202</v>
      </c>
      <c r="D136" s="85">
        <v>-35</v>
      </c>
      <c r="E136" s="84">
        <v>9</v>
      </c>
      <c r="F136" s="7">
        <v>8.9600000000000009</v>
      </c>
      <c r="G136" s="85">
        <v>1760</v>
      </c>
      <c r="H136" s="213" t="s">
        <v>560</v>
      </c>
      <c r="I136" s="23" t="s">
        <v>1167</v>
      </c>
      <c r="J136" s="371">
        <v>23.73</v>
      </c>
      <c r="K136" s="371">
        <v>2.76</v>
      </c>
      <c r="L136" s="371">
        <v>19.010000000000002</v>
      </c>
      <c r="N136" s="365">
        <f>K136+J136+L136</f>
        <v>45.5</v>
      </c>
      <c r="P136" s="195">
        <v>4</v>
      </c>
      <c r="Q136" s="326">
        <f>IFERROR(VLOOKUP($G136,主力整理!$A$2:$G$2301,6,0),"0")</f>
        <v>1</v>
      </c>
      <c r="R136" s="111">
        <v>11</v>
      </c>
      <c r="S136" s="51">
        <v>7</v>
      </c>
      <c r="T136" s="339">
        <f t="shared" si="167"/>
        <v>23</v>
      </c>
      <c r="V136" s="371">
        <v>1.37</v>
      </c>
      <c r="W136" s="35">
        <v>0.7</v>
      </c>
      <c r="X136" s="100">
        <v>1.1000000000000001</v>
      </c>
      <c r="Y136" s="37">
        <v>65.599999999999994</v>
      </c>
      <c r="Z136" s="69">
        <v>70</v>
      </c>
      <c r="AA136" s="16">
        <f>Y136-Z136</f>
        <v>-4.4000000000000057</v>
      </c>
      <c r="AB136" s="80">
        <f>AA136/Z136</f>
        <v>-6.2857142857142945E-2</v>
      </c>
      <c r="AC136" s="105" t="s">
        <v>6302</v>
      </c>
      <c r="AD136" s="23" t="s">
        <v>1167</v>
      </c>
      <c r="AE136" s="89">
        <v>44468</v>
      </c>
      <c r="AF136" s="91">
        <v>44481</v>
      </c>
      <c r="AG136" s="34">
        <f>AF136-AE136</f>
        <v>13</v>
      </c>
      <c r="AH136" s="44" t="s">
        <v>4398</v>
      </c>
      <c r="AI136" s="131"/>
      <c r="AJ136" s="284"/>
      <c r="AK136" s="207"/>
      <c r="AL136" s="342"/>
      <c r="AM136" s="347"/>
      <c r="AN136" s="284"/>
    </row>
    <row r="137" spans="1:40">
      <c r="A137" s="151" t="s">
        <v>2565</v>
      </c>
      <c r="B137" s="84">
        <v>158</v>
      </c>
      <c r="C137" s="84">
        <v>148</v>
      </c>
      <c r="D137" s="84">
        <v>4</v>
      </c>
      <c r="E137" s="85">
        <v>-2</v>
      </c>
      <c r="F137" s="7">
        <v>5.78</v>
      </c>
      <c r="G137" s="85">
        <v>3339</v>
      </c>
      <c r="H137" s="5" t="s">
        <v>557</v>
      </c>
      <c r="I137" s="17" t="s">
        <v>838</v>
      </c>
      <c r="J137" s="371">
        <v>38.299999999999997</v>
      </c>
      <c r="K137" s="371">
        <v>2.57</v>
      </c>
      <c r="L137" s="371"/>
      <c r="N137" s="365">
        <f t="shared" ref="N137" si="232">K137+J137+L137</f>
        <v>40.869999999999997</v>
      </c>
      <c r="P137" s="195">
        <v>0</v>
      </c>
      <c r="Q137" s="326" t="str">
        <f>IFERROR(VLOOKUP($G137,主力整理!$A$2:$G$2301,6,0),"0")</f>
        <v>0</v>
      </c>
      <c r="R137" s="111">
        <v>37</v>
      </c>
      <c r="S137" s="51">
        <v>0</v>
      </c>
      <c r="T137" s="339">
        <f t="shared" si="167"/>
        <v>37</v>
      </c>
      <c r="W137" s="35">
        <v>0</v>
      </c>
      <c r="X137" s="100">
        <v>0.85</v>
      </c>
      <c r="Y137" s="37">
        <v>18</v>
      </c>
      <c r="Z137" s="69">
        <v>15</v>
      </c>
      <c r="AA137" s="16">
        <f t="shared" ref="AA137" si="233">Y137-Z137</f>
        <v>3</v>
      </c>
      <c r="AB137" s="66">
        <f t="shared" ref="AB137" si="234">AA137/Z137</f>
        <v>0.2</v>
      </c>
      <c r="AC137" s="105" t="s">
        <v>4922</v>
      </c>
      <c r="AD137" s="17" t="s">
        <v>838</v>
      </c>
      <c r="AE137" s="89">
        <v>44466</v>
      </c>
      <c r="AF137" s="91">
        <v>44476</v>
      </c>
      <c r="AG137" s="34">
        <f t="shared" ref="AG137" si="235">AF137-AE137</f>
        <v>10</v>
      </c>
      <c r="AH137" s="44" t="s">
        <v>3835</v>
      </c>
      <c r="AI137" s="131"/>
      <c r="AJ137" s="284"/>
      <c r="AK137" s="207"/>
      <c r="AL137" s="342"/>
      <c r="AM137" s="347"/>
      <c r="AN137" s="284"/>
    </row>
    <row r="138" spans="1:40">
      <c r="A138" s="151" t="s">
        <v>4803</v>
      </c>
      <c r="B138" s="84">
        <v>43</v>
      </c>
      <c r="C138" s="84">
        <v>28</v>
      </c>
      <c r="D138" s="85">
        <v>-26</v>
      </c>
      <c r="E138" s="85">
        <v>-55</v>
      </c>
      <c r="F138" s="7">
        <v>5.89</v>
      </c>
      <c r="G138" s="84">
        <v>6179</v>
      </c>
      <c r="H138" s="9" t="s">
        <v>429</v>
      </c>
      <c r="I138" s="17" t="s">
        <v>1194</v>
      </c>
      <c r="J138" s="77">
        <v>46.51</v>
      </c>
      <c r="K138" s="371">
        <v>0.97</v>
      </c>
      <c r="L138" s="77">
        <v>19.79</v>
      </c>
      <c r="N138" s="365">
        <f t="shared" ref="N138" si="236">K138+J138+L138</f>
        <v>67.27</v>
      </c>
      <c r="P138" s="195">
        <v>0</v>
      </c>
      <c r="Q138" s="326" t="str">
        <f>IFERROR(VLOOKUP($G138,主力整理!$A$2:$G$2301,6,0),"0")</f>
        <v>0</v>
      </c>
      <c r="R138" s="111">
        <v>1</v>
      </c>
      <c r="S138" s="51">
        <v>0</v>
      </c>
      <c r="T138" s="339">
        <f t="shared" si="167"/>
        <v>1</v>
      </c>
      <c r="V138" s="371">
        <v>0.46</v>
      </c>
      <c r="W138" s="35">
        <v>1.88</v>
      </c>
      <c r="X138" s="100">
        <v>2.6</v>
      </c>
      <c r="Y138" s="37">
        <v>32</v>
      </c>
      <c r="Z138" s="69">
        <v>28.5</v>
      </c>
      <c r="AA138" s="16">
        <f t="shared" ref="AA138" si="237">Y138-Z138</f>
        <v>3.5</v>
      </c>
      <c r="AB138" s="66">
        <f t="shared" ref="AB138" si="238">AA138/Z138</f>
        <v>0.12280701754385964</v>
      </c>
      <c r="AC138" s="105" t="s">
        <v>6293</v>
      </c>
      <c r="AD138" s="17" t="s">
        <v>1194</v>
      </c>
      <c r="AE138" s="89">
        <v>44466</v>
      </c>
      <c r="AF138" s="91">
        <v>44476</v>
      </c>
      <c r="AG138" s="34">
        <f t="shared" ref="AG138" si="239">AF138-AE138</f>
        <v>10</v>
      </c>
      <c r="AH138" s="44" t="s">
        <v>3924</v>
      </c>
      <c r="AI138" s="131"/>
      <c r="AJ138" s="284"/>
      <c r="AK138" s="207"/>
      <c r="AL138" s="342"/>
      <c r="AM138" s="347"/>
      <c r="AN138" s="284"/>
    </row>
    <row r="139" spans="1:40">
      <c r="A139" s="135" t="s">
        <v>2631</v>
      </c>
      <c r="B139" s="84">
        <v>11</v>
      </c>
      <c r="C139" s="84">
        <v>17</v>
      </c>
      <c r="D139" s="84">
        <v>10</v>
      </c>
      <c r="E139" s="84">
        <v>20</v>
      </c>
      <c r="F139" s="59">
        <v>20.74</v>
      </c>
      <c r="G139" s="85">
        <v>3533</v>
      </c>
      <c r="H139" s="9" t="s">
        <v>559</v>
      </c>
      <c r="I139" s="23" t="s">
        <v>508</v>
      </c>
      <c r="J139" s="371">
        <v>57.29</v>
      </c>
      <c r="K139" s="371">
        <v>40.090000000000003</v>
      </c>
      <c r="L139" s="77">
        <v>2.67</v>
      </c>
      <c r="N139" s="365">
        <f t="shared" ref="N139" si="240">K139+J139+L139</f>
        <v>100.05</v>
      </c>
      <c r="P139" s="195">
        <v>6</v>
      </c>
      <c r="Q139" s="326" t="str">
        <f>IFERROR(VLOOKUP($G139,主力整理!$A$2:$G$2301,6,0),"0")</f>
        <v>0</v>
      </c>
      <c r="R139" s="111">
        <v>5</v>
      </c>
      <c r="S139" s="51">
        <v>6</v>
      </c>
      <c r="T139" s="339">
        <f t="shared" si="167"/>
        <v>17</v>
      </c>
      <c r="V139" s="371">
        <v>10.039999999999999</v>
      </c>
      <c r="W139" s="46">
        <v>13.3</v>
      </c>
      <c r="X139" s="59">
        <v>28.63</v>
      </c>
      <c r="Y139" s="37">
        <v>522</v>
      </c>
      <c r="Z139" s="69">
        <v>432</v>
      </c>
      <c r="AA139" s="16">
        <f t="shared" ref="AA139" si="241">Y139-Z139</f>
        <v>90</v>
      </c>
      <c r="AB139" s="66">
        <f t="shared" ref="AB139" si="242">AA139/Z139</f>
        <v>0.20833333333333334</v>
      </c>
      <c r="AC139" s="105" t="s">
        <v>6280</v>
      </c>
      <c r="AD139" s="23" t="s">
        <v>508</v>
      </c>
      <c r="AE139" s="89">
        <v>44463</v>
      </c>
      <c r="AF139" s="91">
        <v>44473</v>
      </c>
      <c r="AG139" s="34">
        <f t="shared" ref="AG139" si="243">AF139-AE139</f>
        <v>10</v>
      </c>
      <c r="AH139" s="126" t="s">
        <v>4084</v>
      </c>
      <c r="AI139" s="131"/>
      <c r="AJ139" s="284"/>
      <c r="AK139" s="207"/>
      <c r="AL139" s="342"/>
      <c r="AM139" s="347"/>
      <c r="AN139" s="284"/>
    </row>
    <row r="140" spans="1:40">
      <c r="A140" s="151" t="s">
        <v>4784</v>
      </c>
      <c r="B140" s="84">
        <v>979</v>
      </c>
      <c r="C140" s="84">
        <v>413</v>
      </c>
      <c r="D140" s="84">
        <v>9</v>
      </c>
      <c r="E140" s="84">
        <v>191</v>
      </c>
      <c r="F140" s="7">
        <v>9.67</v>
      </c>
      <c r="G140" s="85">
        <v>2636</v>
      </c>
      <c r="H140" s="5" t="s">
        <v>551</v>
      </c>
      <c r="I140" s="23" t="s">
        <v>2987</v>
      </c>
      <c r="J140" s="77">
        <v>37.729999999999997</v>
      </c>
      <c r="K140" s="77">
        <v>18.420000000000002</v>
      </c>
      <c r="L140" s="371">
        <v>30.36</v>
      </c>
      <c r="N140" s="365">
        <f t="shared" ref="N140" si="244">K140+J140+L140</f>
        <v>86.509999999999991</v>
      </c>
      <c r="P140" s="195">
        <v>9</v>
      </c>
      <c r="Q140" s="326">
        <v>11</v>
      </c>
      <c r="R140" s="111">
        <v>23</v>
      </c>
      <c r="S140" s="51">
        <v>6</v>
      </c>
      <c r="T140" s="339">
        <f t="shared" si="167"/>
        <v>49</v>
      </c>
      <c r="V140" s="371">
        <v>34.590000000000003</v>
      </c>
      <c r="W140" s="46">
        <v>3.02</v>
      </c>
      <c r="X140" s="100">
        <v>20.28</v>
      </c>
      <c r="Y140" s="37">
        <v>126</v>
      </c>
      <c r="Z140" s="46">
        <v>140</v>
      </c>
      <c r="AA140" s="16">
        <f t="shared" ref="AA140" si="245">Y140-Z140</f>
        <v>-14</v>
      </c>
      <c r="AB140" s="80">
        <f t="shared" ref="AB140" si="246">AA140/Z140</f>
        <v>-0.1</v>
      </c>
      <c r="AC140" s="105" t="s">
        <v>3397</v>
      </c>
      <c r="AD140" s="23" t="s">
        <v>2987</v>
      </c>
      <c r="AE140" s="89">
        <v>44462</v>
      </c>
      <c r="AF140" s="91">
        <v>44473</v>
      </c>
      <c r="AG140" s="34">
        <f t="shared" ref="AG140" si="247">AF140-AE140</f>
        <v>11</v>
      </c>
      <c r="AH140" s="44" t="s">
        <v>3188</v>
      </c>
      <c r="AI140" s="131"/>
      <c r="AJ140" s="284"/>
      <c r="AK140" s="207"/>
      <c r="AL140" s="342"/>
      <c r="AM140" s="347"/>
      <c r="AN140" s="284"/>
    </row>
    <row r="141" spans="1:40">
      <c r="A141" s="151" t="s">
        <v>5573</v>
      </c>
      <c r="B141" s="84">
        <v>116</v>
      </c>
      <c r="C141" s="84">
        <v>140</v>
      </c>
      <c r="D141" s="84">
        <v>32</v>
      </c>
      <c r="E141" s="84">
        <v>53</v>
      </c>
      <c r="F141" s="7">
        <v>3.68</v>
      </c>
      <c r="G141" s="85">
        <v>1460</v>
      </c>
      <c r="H141" s="5" t="s">
        <v>543</v>
      </c>
      <c r="I141" s="23" t="s">
        <v>1295</v>
      </c>
      <c r="J141" s="371">
        <v>56.13</v>
      </c>
      <c r="K141" s="371">
        <v>3.3</v>
      </c>
      <c r="L141" s="371"/>
      <c r="N141" s="365">
        <f t="shared" ref="N141" si="248">K141+J141+L141</f>
        <v>59.43</v>
      </c>
      <c r="P141" s="195">
        <v>3</v>
      </c>
      <c r="Q141" s="326">
        <f>IFERROR(VLOOKUP($G141,主力整理!$A$2:$G$2301,6,0),"0")</f>
        <v>4</v>
      </c>
      <c r="R141" s="111">
        <v>15</v>
      </c>
      <c r="S141" s="51">
        <v>0</v>
      </c>
      <c r="T141" s="339">
        <f t="shared" si="167"/>
        <v>22</v>
      </c>
      <c r="W141" s="35">
        <v>0</v>
      </c>
      <c r="X141" s="59">
        <v>-1.1100000000000001</v>
      </c>
      <c r="Y141" s="37">
        <v>9.69</v>
      </c>
      <c r="Z141" s="69">
        <v>10</v>
      </c>
      <c r="AA141" s="16">
        <f t="shared" ref="AA141" si="249">Y141-Z141</f>
        <v>-0.3100000000000005</v>
      </c>
      <c r="AB141" s="80">
        <f t="shared" ref="AB141" si="250">AA141/Z141</f>
        <v>-3.1000000000000048E-2</v>
      </c>
      <c r="AC141" s="107" t="s">
        <v>6272</v>
      </c>
      <c r="AD141" s="23" t="s">
        <v>1295</v>
      </c>
      <c r="AE141" s="89">
        <v>44461</v>
      </c>
      <c r="AF141" s="91">
        <v>44473</v>
      </c>
      <c r="AG141" s="34">
        <f t="shared" ref="AG141" si="251">AF141-AE141</f>
        <v>12</v>
      </c>
      <c r="AH141" s="44" t="s">
        <v>5287</v>
      </c>
      <c r="AI141" s="131"/>
      <c r="AJ141" s="284"/>
      <c r="AK141" s="207"/>
      <c r="AL141" s="342"/>
      <c r="AM141" s="347"/>
      <c r="AN141" s="284"/>
    </row>
    <row r="142" spans="1:40">
      <c r="A142" s="151" t="s">
        <v>3161</v>
      </c>
      <c r="B142" s="84">
        <v>211</v>
      </c>
      <c r="C142" s="84">
        <v>134</v>
      </c>
      <c r="D142" s="84">
        <v>12</v>
      </c>
      <c r="E142" s="85">
        <v>-5</v>
      </c>
      <c r="F142" s="7">
        <v>3.13</v>
      </c>
      <c r="G142" s="85">
        <v>3709</v>
      </c>
      <c r="H142" s="203" t="s">
        <v>1815</v>
      </c>
      <c r="I142" s="17" t="s">
        <v>3536</v>
      </c>
      <c r="J142" s="371">
        <v>77.53</v>
      </c>
      <c r="K142" s="371">
        <v>1.56</v>
      </c>
      <c r="L142" s="371">
        <v>0.78</v>
      </c>
      <c r="N142" s="365">
        <f t="shared" ref="N142:N147" si="252">K142+J142+L142</f>
        <v>79.87</v>
      </c>
      <c r="P142" s="232">
        <v>0</v>
      </c>
      <c r="Q142" s="326">
        <f>IFERROR(VLOOKUP($G142,主力整理!$A$2:$G$2301,6,0),"0")</f>
        <v>1</v>
      </c>
      <c r="R142" s="111">
        <v>3</v>
      </c>
      <c r="S142" s="51">
        <v>0</v>
      </c>
      <c r="T142" s="339">
        <f t="shared" si="167"/>
        <v>4</v>
      </c>
      <c r="V142" s="371">
        <v>0</v>
      </c>
      <c r="W142" s="35">
        <v>1.4</v>
      </c>
      <c r="X142" s="59">
        <v>4.5999999999999996</v>
      </c>
      <c r="Y142" s="37">
        <v>25.8</v>
      </c>
      <c r="Z142" s="69">
        <v>21</v>
      </c>
      <c r="AA142" s="16">
        <f t="shared" ref="AA142:AA147" si="253">Y142-Z142</f>
        <v>4.8000000000000007</v>
      </c>
      <c r="AB142" s="66">
        <f t="shared" ref="AB142:AB147" si="254">AA142/Z142</f>
        <v>0.22857142857142859</v>
      </c>
      <c r="AC142" s="105" t="s">
        <v>2511</v>
      </c>
      <c r="AD142" s="17" t="s">
        <v>3536</v>
      </c>
      <c r="AE142" s="89">
        <v>44453</v>
      </c>
      <c r="AF142" s="91">
        <v>44463</v>
      </c>
      <c r="AG142" s="34">
        <f t="shared" ref="AG142:AG147" si="255">AF142-AE142</f>
        <v>10</v>
      </c>
      <c r="AH142" s="44" t="s">
        <v>3860</v>
      </c>
      <c r="AI142" s="131"/>
      <c r="AJ142" s="284"/>
      <c r="AK142" s="207"/>
      <c r="AL142" s="342"/>
      <c r="AM142" s="347"/>
      <c r="AN142" s="284"/>
    </row>
    <row r="143" spans="1:40">
      <c r="A143" s="135" t="s">
        <v>3139</v>
      </c>
      <c r="B143" s="85">
        <v>-7</v>
      </c>
      <c r="C143" s="85">
        <v>-10</v>
      </c>
      <c r="D143" s="84">
        <v>4</v>
      </c>
      <c r="E143" s="84">
        <v>15</v>
      </c>
      <c r="F143" s="59">
        <v>11.67</v>
      </c>
      <c r="G143" s="85">
        <v>2753</v>
      </c>
      <c r="H143" s="5" t="s">
        <v>552</v>
      </c>
      <c r="I143" s="23" t="s">
        <v>5539</v>
      </c>
      <c r="J143" s="77">
        <v>58.9</v>
      </c>
      <c r="K143" s="371">
        <v>6.26</v>
      </c>
      <c r="N143" s="365">
        <f t="shared" si="252"/>
        <v>65.16</v>
      </c>
      <c r="P143" s="232">
        <v>0</v>
      </c>
      <c r="Q143" s="326" t="str">
        <f>IFERROR(VLOOKUP($G143,主力整理!$A$2:$G$2301,6,0),"0")</f>
        <v>0</v>
      </c>
      <c r="R143" s="111">
        <v>0</v>
      </c>
      <c r="S143" s="51">
        <v>0</v>
      </c>
      <c r="T143" s="339">
        <f t="shared" si="167"/>
        <v>0</v>
      </c>
      <c r="W143" s="35">
        <v>2.5</v>
      </c>
      <c r="X143" s="59" t="s">
        <v>5541</v>
      </c>
      <c r="Y143" s="37">
        <v>147.5</v>
      </c>
      <c r="Z143" s="69">
        <v>155</v>
      </c>
      <c r="AA143" s="16">
        <f t="shared" si="253"/>
        <v>-7.5</v>
      </c>
      <c r="AB143" s="80">
        <f t="shared" si="254"/>
        <v>-4.8387096774193547E-2</v>
      </c>
      <c r="AC143" s="105" t="s">
        <v>4713</v>
      </c>
      <c r="AD143" s="23" t="s">
        <v>5539</v>
      </c>
      <c r="AE143" s="89">
        <v>44448</v>
      </c>
      <c r="AF143" s="91">
        <v>44461</v>
      </c>
      <c r="AG143" s="34">
        <f t="shared" si="255"/>
        <v>13</v>
      </c>
      <c r="AH143" s="63" t="s">
        <v>5540</v>
      </c>
      <c r="AI143" s="131"/>
      <c r="AJ143" s="284"/>
      <c r="AK143" s="207"/>
      <c r="AL143" s="342"/>
      <c r="AM143" s="347"/>
      <c r="AN143" s="284"/>
    </row>
    <row r="144" spans="1:40">
      <c r="A144" s="151" t="s">
        <v>4654</v>
      </c>
      <c r="B144" s="84">
        <v>530</v>
      </c>
      <c r="C144" s="84">
        <v>596</v>
      </c>
      <c r="D144" s="85">
        <v>-7</v>
      </c>
      <c r="E144" s="84">
        <v>85</v>
      </c>
      <c r="F144" s="7">
        <v>8.36</v>
      </c>
      <c r="G144" s="84">
        <v>5543</v>
      </c>
      <c r="H144" s="9" t="s">
        <v>1485</v>
      </c>
      <c r="I144" s="17" t="s">
        <v>4756</v>
      </c>
      <c r="J144" s="371">
        <v>40.729999999999997</v>
      </c>
      <c r="K144" s="77">
        <v>0.45</v>
      </c>
      <c r="N144" s="365">
        <f t="shared" si="252"/>
        <v>41.18</v>
      </c>
      <c r="P144" s="232">
        <v>0</v>
      </c>
      <c r="Q144" s="326" t="str">
        <f>IFERROR(VLOOKUP($G144,主力整理!$A$2:$G$2301,6,0),"0")</f>
        <v>0</v>
      </c>
      <c r="R144" s="111">
        <v>6</v>
      </c>
      <c r="S144" s="51">
        <v>0</v>
      </c>
      <c r="T144" s="339">
        <f t="shared" si="167"/>
        <v>6</v>
      </c>
      <c r="W144" s="35">
        <v>1</v>
      </c>
      <c r="X144" s="100">
        <v>2.95</v>
      </c>
      <c r="Y144" s="37">
        <v>62.2</v>
      </c>
      <c r="Z144" s="69">
        <v>58</v>
      </c>
      <c r="AA144" s="16">
        <f t="shared" si="253"/>
        <v>4.2000000000000028</v>
      </c>
      <c r="AB144" s="66">
        <f t="shared" si="254"/>
        <v>7.2413793103448323E-2</v>
      </c>
      <c r="AC144" s="105" t="s">
        <v>5585</v>
      </c>
      <c r="AD144" s="17" t="s">
        <v>4756</v>
      </c>
      <c r="AE144" s="89">
        <v>44448</v>
      </c>
      <c r="AF144" s="91">
        <v>44461</v>
      </c>
      <c r="AG144" s="34">
        <f t="shared" si="255"/>
        <v>13</v>
      </c>
      <c r="AH144" s="44" t="s">
        <v>4757</v>
      </c>
      <c r="AI144" s="131"/>
      <c r="AJ144" s="284"/>
      <c r="AK144" s="207"/>
      <c r="AL144" s="342"/>
      <c r="AM144" s="347"/>
      <c r="AN144" s="284"/>
    </row>
    <row r="145" spans="1:40">
      <c r="A145" s="135" t="s">
        <v>5533</v>
      </c>
      <c r="B145" s="84">
        <v>20</v>
      </c>
      <c r="C145" s="84">
        <v>20</v>
      </c>
      <c r="D145" s="84">
        <v>7</v>
      </c>
      <c r="E145" s="84">
        <v>60</v>
      </c>
      <c r="F145" s="59">
        <v>12.91</v>
      </c>
      <c r="G145" s="84">
        <v>6213</v>
      </c>
      <c r="H145" s="212" t="s">
        <v>5404</v>
      </c>
      <c r="I145" s="23" t="s">
        <v>114</v>
      </c>
      <c r="J145" s="77">
        <v>72.2</v>
      </c>
      <c r="K145" s="77">
        <v>13.98</v>
      </c>
      <c r="L145" s="371">
        <v>5.23</v>
      </c>
      <c r="N145" s="365">
        <f t="shared" si="252"/>
        <v>91.410000000000011</v>
      </c>
      <c r="P145" s="232">
        <v>15</v>
      </c>
      <c r="Q145" s="326">
        <f>IFERROR(VLOOKUP($G145,主力整理!$A$2:$G$2301,6,0),"0")</f>
        <v>7</v>
      </c>
      <c r="R145" s="111">
        <v>4</v>
      </c>
      <c r="S145" s="51">
        <v>14</v>
      </c>
      <c r="T145" s="339">
        <f t="shared" si="167"/>
        <v>40</v>
      </c>
      <c r="V145" s="371">
        <v>9.64</v>
      </c>
      <c r="W145" s="69">
        <v>5</v>
      </c>
      <c r="X145" s="59">
        <v>8.83</v>
      </c>
      <c r="Y145" s="37">
        <v>160</v>
      </c>
      <c r="Z145" s="69">
        <v>130</v>
      </c>
      <c r="AA145" s="16">
        <f t="shared" si="253"/>
        <v>30</v>
      </c>
      <c r="AB145" s="66">
        <f t="shared" si="254"/>
        <v>0.23076923076923078</v>
      </c>
      <c r="AC145" s="105" t="s">
        <v>3011</v>
      </c>
      <c r="AD145" s="23" t="s">
        <v>114</v>
      </c>
      <c r="AE145" s="89">
        <v>44446</v>
      </c>
      <c r="AF145" s="91">
        <v>44456</v>
      </c>
      <c r="AG145" s="34">
        <f t="shared" si="255"/>
        <v>10</v>
      </c>
      <c r="AH145" s="126" t="s">
        <v>5222</v>
      </c>
      <c r="AI145" s="128"/>
      <c r="AJ145" s="34"/>
      <c r="AK145" s="351"/>
      <c r="AL145" s="38"/>
      <c r="AM145" s="347"/>
      <c r="AN145" s="284"/>
    </row>
    <row r="146" spans="1:40">
      <c r="A146" s="135" t="s">
        <v>4789</v>
      </c>
      <c r="B146" s="84">
        <v>37</v>
      </c>
      <c r="C146" s="84">
        <v>39</v>
      </c>
      <c r="D146" s="84">
        <v>5</v>
      </c>
      <c r="E146" s="84">
        <v>73</v>
      </c>
      <c r="F146" s="59">
        <v>16.350000000000001</v>
      </c>
      <c r="G146" s="84">
        <v>5439</v>
      </c>
      <c r="H146" s="5" t="s">
        <v>5404</v>
      </c>
      <c r="I146" s="176" t="s">
        <v>152</v>
      </c>
      <c r="J146" s="371">
        <v>28.95</v>
      </c>
      <c r="K146" s="371">
        <v>8.1</v>
      </c>
      <c r="L146" s="371">
        <v>22.97</v>
      </c>
      <c r="N146" s="365">
        <f t="shared" si="252"/>
        <v>60.019999999999996</v>
      </c>
      <c r="P146" s="195">
        <v>5</v>
      </c>
      <c r="Q146" s="326">
        <f>IFERROR(VLOOKUP($G146,主力整理!$A$2:$G$2301,6,0),"0")</f>
        <v>2</v>
      </c>
      <c r="R146" s="111">
        <v>2</v>
      </c>
      <c r="S146" s="51">
        <v>17</v>
      </c>
      <c r="T146" s="339">
        <f t="shared" si="167"/>
        <v>26</v>
      </c>
      <c r="V146" s="371">
        <v>1.42</v>
      </c>
      <c r="W146" s="205">
        <v>2.5</v>
      </c>
      <c r="X146" s="100">
        <v>4.1100000000000003</v>
      </c>
      <c r="Y146" s="37">
        <v>63.3</v>
      </c>
      <c r="Z146" s="46">
        <v>55</v>
      </c>
      <c r="AA146" s="16">
        <f t="shared" si="253"/>
        <v>8.2999999999999972</v>
      </c>
      <c r="AB146" s="66">
        <f t="shared" si="254"/>
        <v>0.15090909090909085</v>
      </c>
      <c r="AC146" s="105" t="s">
        <v>5579</v>
      </c>
      <c r="AD146" s="17" t="s">
        <v>152</v>
      </c>
      <c r="AE146" s="89">
        <v>44446</v>
      </c>
      <c r="AF146" s="91">
        <v>44456</v>
      </c>
      <c r="AG146" s="34">
        <f t="shared" si="255"/>
        <v>10</v>
      </c>
      <c r="AH146" s="126" t="s">
        <v>1685</v>
      </c>
      <c r="AI146" s="131"/>
      <c r="AJ146" s="284"/>
      <c r="AK146" s="207"/>
      <c r="AL146" s="342"/>
      <c r="AM146" s="347"/>
      <c r="AN146" s="284"/>
    </row>
    <row r="147" spans="1:40">
      <c r="A147" s="135" t="s">
        <v>2443</v>
      </c>
      <c r="B147" s="84">
        <v>93</v>
      </c>
      <c r="C147" s="84">
        <v>90</v>
      </c>
      <c r="D147" s="85">
        <v>-28</v>
      </c>
      <c r="E147" s="85">
        <v>-33</v>
      </c>
      <c r="F147" s="59">
        <v>16.149999999999999</v>
      </c>
      <c r="G147" s="85">
        <v>1341</v>
      </c>
      <c r="H147" s="5" t="s">
        <v>542</v>
      </c>
      <c r="I147" s="23" t="s">
        <v>2727</v>
      </c>
      <c r="J147" s="371">
        <v>79.67</v>
      </c>
      <c r="K147" s="371">
        <v>83.57</v>
      </c>
      <c r="L147" s="371"/>
      <c r="N147" s="365">
        <f t="shared" si="252"/>
        <v>163.24</v>
      </c>
      <c r="P147" s="232">
        <v>0</v>
      </c>
      <c r="Q147" s="326" t="str">
        <f>IFERROR(VLOOKUP($G147,主力整理!$A$2:$G$2301,6,0),"0")</f>
        <v>0</v>
      </c>
      <c r="R147" s="111">
        <v>0</v>
      </c>
      <c r="S147" s="51">
        <v>0</v>
      </c>
      <c r="T147" s="339">
        <f t="shared" si="167"/>
        <v>0</v>
      </c>
      <c r="W147" s="69">
        <v>6</v>
      </c>
      <c r="X147" s="59">
        <v>8.19</v>
      </c>
      <c r="Y147" s="14">
        <v>63.8</v>
      </c>
      <c r="Z147" s="69">
        <v>60</v>
      </c>
      <c r="AA147" s="16">
        <f t="shared" si="253"/>
        <v>3.7999999999999972</v>
      </c>
      <c r="AB147" s="66">
        <f t="shared" si="254"/>
        <v>6.3333333333333283E-2</v>
      </c>
      <c r="AC147" s="105" t="s">
        <v>1367</v>
      </c>
      <c r="AD147" s="23" t="s">
        <v>2727</v>
      </c>
      <c r="AE147" s="89">
        <v>44446</v>
      </c>
      <c r="AF147" s="91">
        <v>44456</v>
      </c>
      <c r="AG147" s="34">
        <f t="shared" si="255"/>
        <v>10</v>
      </c>
      <c r="AH147" s="63" t="s">
        <v>4325</v>
      </c>
      <c r="AI147" s="131"/>
      <c r="AJ147" s="284"/>
      <c r="AK147" s="207"/>
      <c r="AL147" s="342"/>
      <c r="AM147" s="347"/>
      <c r="AN147" s="284"/>
    </row>
    <row r="148" spans="1:40">
      <c r="A148" s="151" t="s">
        <v>2609</v>
      </c>
      <c r="B148" s="84">
        <v>2</v>
      </c>
      <c r="C148" s="85">
        <v>-1</v>
      </c>
      <c r="D148" s="85">
        <v>-4</v>
      </c>
      <c r="E148" s="85">
        <v>-29</v>
      </c>
      <c r="F148" s="7">
        <v>6.24</v>
      </c>
      <c r="G148" s="85">
        <v>6594</v>
      </c>
      <c r="H148" s="213" t="s">
        <v>558</v>
      </c>
      <c r="I148" s="17" t="s">
        <v>676</v>
      </c>
      <c r="J148" s="371">
        <v>49.94</v>
      </c>
      <c r="K148" s="371">
        <v>1.1399999999999999</v>
      </c>
      <c r="N148" s="365">
        <f t="shared" ref="N148:N149" si="256">K148+J148+L148</f>
        <v>51.08</v>
      </c>
      <c r="P148" s="232">
        <v>0</v>
      </c>
      <c r="Q148" s="326" t="str">
        <f>IFERROR(VLOOKUP($G148,主力整理!$A$2:$G$2301,6,0),"0")</f>
        <v>0</v>
      </c>
      <c r="R148" s="111">
        <v>19</v>
      </c>
      <c r="S148" s="51">
        <v>0</v>
      </c>
      <c r="T148" s="339">
        <f t="shared" si="167"/>
        <v>19</v>
      </c>
      <c r="W148" s="35">
        <v>1.6</v>
      </c>
      <c r="X148" s="100">
        <v>1.69</v>
      </c>
      <c r="Y148" s="37">
        <v>35.1</v>
      </c>
      <c r="Z148" s="69">
        <v>32.799999999999997</v>
      </c>
      <c r="AA148" s="16">
        <f t="shared" ref="AA148:AA149" si="257">Y148-Z148</f>
        <v>2.3000000000000043</v>
      </c>
      <c r="AB148" s="66">
        <f t="shared" ref="AB148:AB149" si="258">AA148/Z148</f>
        <v>7.0121951219512327E-2</v>
      </c>
      <c r="AC148" s="105" t="s">
        <v>5571</v>
      </c>
      <c r="AD148" s="17" t="s">
        <v>676</v>
      </c>
      <c r="AE148" s="89">
        <v>44445</v>
      </c>
      <c r="AF148" s="91">
        <v>44455</v>
      </c>
      <c r="AG148" s="34">
        <f t="shared" ref="AG148:AG149" si="259">AF148-AE148</f>
        <v>10</v>
      </c>
      <c r="AH148" s="44" t="s">
        <v>3756</v>
      </c>
      <c r="AI148" s="131"/>
      <c r="AJ148" s="284"/>
      <c r="AK148" s="207"/>
      <c r="AL148" s="342"/>
      <c r="AM148" s="347"/>
      <c r="AN148" s="284"/>
    </row>
    <row r="149" spans="1:40">
      <c r="A149" s="135" t="s">
        <v>2445</v>
      </c>
      <c r="B149" s="84">
        <v>392</v>
      </c>
      <c r="C149" s="84">
        <v>180</v>
      </c>
      <c r="D149" s="84">
        <v>138</v>
      </c>
      <c r="E149" s="85">
        <v>-72</v>
      </c>
      <c r="F149" s="59">
        <v>28.52</v>
      </c>
      <c r="G149" s="85">
        <v>1529</v>
      </c>
      <c r="H149" s="5" t="s">
        <v>544</v>
      </c>
      <c r="I149" s="23" t="s">
        <v>1047</v>
      </c>
      <c r="J149" s="371">
        <v>66.41</v>
      </c>
      <c r="K149" s="371">
        <v>4.1500000000000004</v>
      </c>
      <c r="L149" s="371">
        <v>25.94</v>
      </c>
      <c r="N149" s="365">
        <f t="shared" si="256"/>
        <v>96.5</v>
      </c>
      <c r="P149" s="232">
        <v>0</v>
      </c>
      <c r="Q149" s="326">
        <f>IFERROR(VLOOKUP($G149,主力整理!$A$2:$G$2301,6,0),"0")</f>
        <v>2</v>
      </c>
      <c r="R149" s="111">
        <v>7</v>
      </c>
      <c r="S149" s="51">
        <v>0</v>
      </c>
      <c r="T149" s="339">
        <f t="shared" si="167"/>
        <v>9</v>
      </c>
      <c r="V149" s="371">
        <v>4.53</v>
      </c>
      <c r="W149" s="35">
        <v>0.5</v>
      </c>
      <c r="X149" s="59">
        <v>1.06</v>
      </c>
      <c r="Y149" s="37">
        <v>16.2</v>
      </c>
      <c r="Z149" s="46">
        <v>12.6</v>
      </c>
      <c r="AA149" s="16">
        <f t="shared" si="257"/>
        <v>3.5999999999999996</v>
      </c>
      <c r="AB149" s="66">
        <f t="shared" si="258"/>
        <v>0.2857142857142857</v>
      </c>
      <c r="AC149" s="105" t="s">
        <v>4804</v>
      </c>
      <c r="AD149" s="23" t="s">
        <v>1047</v>
      </c>
      <c r="AE149" s="89">
        <v>44445</v>
      </c>
      <c r="AF149" s="91">
        <v>44455</v>
      </c>
      <c r="AG149" s="34">
        <f t="shared" si="259"/>
        <v>10</v>
      </c>
      <c r="AH149" s="44" t="s">
        <v>4298</v>
      </c>
      <c r="AI149" s="131"/>
      <c r="AJ149" s="284"/>
      <c r="AK149" s="207"/>
      <c r="AL149" s="342"/>
      <c r="AM149" s="347"/>
      <c r="AN149" s="284"/>
    </row>
    <row r="150" spans="1:40">
      <c r="A150" s="151" t="s">
        <v>5491</v>
      </c>
      <c r="B150" s="84">
        <v>149</v>
      </c>
      <c r="C150" s="84">
        <v>225</v>
      </c>
      <c r="D150" s="84">
        <v>0</v>
      </c>
      <c r="E150" s="84">
        <v>146</v>
      </c>
      <c r="F150" s="7">
        <v>7.05</v>
      </c>
      <c r="G150" s="84">
        <v>3147</v>
      </c>
      <c r="H150" s="5" t="s">
        <v>5602</v>
      </c>
      <c r="I150" s="17" t="s">
        <v>1628</v>
      </c>
      <c r="J150" s="77">
        <v>30.11</v>
      </c>
      <c r="K150" s="371">
        <v>2.66</v>
      </c>
      <c r="L150" s="77">
        <v>10.19</v>
      </c>
      <c r="N150" s="365">
        <f>K150+J150+L150</f>
        <v>42.959999999999994</v>
      </c>
      <c r="P150" s="232">
        <v>0</v>
      </c>
      <c r="Q150" s="326" t="str">
        <f>IFERROR(VLOOKUP($G150,主力整理!$A$2:$G$2301,6,0),"0")</f>
        <v>0</v>
      </c>
      <c r="R150" s="111">
        <v>5</v>
      </c>
      <c r="S150" s="51">
        <v>0</v>
      </c>
      <c r="T150" s="339">
        <f t="shared" si="167"/>
        <v>5</v>
      </c>
      <c r="V150" s="371">
        <v>0.5</v>
      </c>
      <c r="W150" s="35">
        <v>2.1</v>
      </c>
      <c r="X150" s="100">
        <v>5.07</v>
      </c>
      <c r="Y150" s="37">
        <v>51</v>
      </c>
      <c r="Z150" s="69">
        <v>47</v>
      </c>
      <c r="AA150" s="16">
        <f>Y150-Z150</f>
        <v>4</v>
      </c>
      <c r="AB150" s="66">
        <f>AA150/Z150</f>
        <v>8.5106382978723402E-2</v>
      </c>
      <c r="AC150" s="105" t="s">
        <v>5565</v>
      </c>
      <c r="AD150" s="17" t="s">
        <v>1628</v>
      </c>
      <c r="AE150" s="89">
        <v>44441</v>
      </c>
      <c r="AF150" s="91">
        <v>44452</v>
      </c>
      <c r="AG150" s="34">
        <f>AF150-AE150</f>
        <v>11</v>
      </c>
      <c r="AH150" s="44" t="s">
        <v>4227</v>
      </c>
      <c r="AI150" s="131"/>
      <c r="AJ150" s="284"/>
      <c r="AK150" s="207"/>
      <c r="AL150" s="342"/>
      <c r="AM150" s="347"/>
      <c r="AN150" s="284"/>
    </row>
    <row r="151" spans="1:40">
      <c r="A151" s="151" t="s">
        <v>5492</v>
      </c>
      <c r="B151" s="84">
        <v>128</v>
      </c>
      <c r="C151" s="84">
        <v>120</v>
      </c>
      <c r="D151" s="85">
        <v>-15</v>
      </c>
      <c r="E151" s="84">
        <v>5</v>
      </c>
      <c r="F151" s="7">
        <v>9.5500000000000007</v>
      </c>
      <c r="G151" s="84">
        <v>3597</v>
      </c>
      <c r="H151" s="5" t="s">
        <v>5404</v>
      </c>
      <c r="I151" s="17" t="s">
        <v>2811</v>
      </c>
      <c r="J151" s="371">
        <v>62.42</v>
      </c>
      <c r="K151" s="371">
        <v>0.3</v>
      </c>
      <c r="L151" s="371">
        <v>21.64</v>
      </c>
      <c r="N151" s="365">
        <f>K151+J151+L151</f>
        <v>84.36</v>
      </c>
      <c r="P151" s="232">
        <v>0</v>
      </c>
      <c r="Q151" s="326" t="str">
        <f>IFERROR(VLOOKUP($G151,主力整理!$A$2:$G$2301,6,0),"0")</f>
        <v>0</v>
      </c>
      <c r="R151" s="111">
        <v>15</v>
      </c>
      <c r="S151" s="51">
        <v>0</v>
      </c>
      <c r="T151" s="339">
        <f t="shared" si="167"/>
        <v>15</v>
      </c>
      <c r="V151" s="371">
        <v>2.74</v>
      </c>
      <c r="W151" s="35">
        <v>1.2</v>
      </c>
      <c r="X151" s="59">
        <v>1.79</v>
      </c>
      <c r="Y151" s="37">
        <v>26</v>
      </c>
      <c r="Z151" s="46">
        <v>22</v>
      </c>
      <c r="AA151" s="16">
        <f>Y151-Z151</f>
        <v>4</v>
      </c>
      <c r="AB151" s="66">
        <f>AA151/Z151</f>
        <v>0.18181818181818182</v>
      </c>
      <c r="AC151" s="105" t="s">
        <v>1550</v>
      </c>
      <c r="AD151" s="17" t="s">
        <v>2811</v>
      </c>
      <c r="AE151" s="89">
        <v>44440</v>
      </c>
      <c r="AF151" s="91">
        <v>44452</v>
      </c>
      <c r="AG151" s="34">
        <f>AF151-AE151</f>
        <v>12</v>
      </c>
      <c r="AH151" s="44" t="s">
        <v>2918</v>
      </c>
      <c r="AI151" s="284"/>
      <c r="AJ151" s="284"/>
      <c r="AK151" s="207"/>
      <c r="AL151" s="342"/>
      <c r="AM151" s="347"/>
      <c r="AN151" s="284"/>
    </row>
    <row r="152" spans="1:40">
      <c r="A152" s="151" t="s">
        <v>5474</v>
      </c>
      <c r="B152" s="84">
        <v>1</v>
      </c>
      <c r="C152" s="85">
        <v>-33</v>
      </c>
      <c r="D152" s="85">
        <v>-8</v>
      </c>
      <c r="E152" s="84">
        <v>25</v>
      </c>
      <c r="F152" s="7">
        <v>1.43</v>
      </c>
      <c r="G152" s="85">
        <v>6248</v>
      </c>
      <c r="H152" s="5" t="s">
        <v>4989</v>
      </c>
      <c r="I152" s="17" t="s">
        <v>1427</v>
      </c>
      <c r="J152" s="77">
        <v>44.85</v>
      </c>
      <c r="K152" s="77">
        <v>1.05</v>
      </c>
      <c r="L152" s="371">
        <v>8.3800000000000008</v>
      </c>
      <c r="N152" s="365">
        <f>K152+J152+L152</f>
        <v>54.28</v>
      </c>
      <c r="P152" s="232">
        <v>0</v>
      </c>
      <c r="Q152" s="326" t="str">
        <f>IFERROR(VLOOKUP($G152,主力整理!$A$2:$G$2301,6,0),"0")</f>
        <v>0</v>
      </c>
      <c r="R152" s="111">
        <v>1</v>
      </c>
      <c r="S152" s="51">
        <v>0</v>
      </c>
      <c r="T152" s="339">
        <f t="shared" si="167"/>
        <v>1</v>
      </c>
      <c r="V152" s="371">
        <v>0</v>
      </c>
      <c r="W152" s="35">
        <v>1.2</v>
      </c>
      <c r="X152" s="100">
        <v>1.76</v>
      </c>
      <c r="Y152" s="37">
        <v>20.7</v>
      </c>
      <c r="Z152" s="69">
        <v>19</v>
      </c>
      <c r="AA152" s="16">
        <f>Y152-Z152</f>
        <v>1.6999999999999993</v>
      </c>
      <c r="AB152" s="66">
        <f>AA152/Z152</f>
        <v>8.9473684210526275E-2</v>
      </c>
      <c r="AC152" s="105" t="s">
        <v>4624</v>
      </c>
      <c r="AD152" s="17" t="s">
        <v>1427</v>
      </c>
      <c r="AE152" s="89">
        <v>44439</v>
      </c>
      <c r="AF152" s="91">
        <v>44449</v>
      </c>
      <c r="AG152" s="34">
        <f>AF152-AE152</f>
        <v>10</v>
      </c>
      <c r="AH152" s="44" t="s">
        <v>4194</v>
      </c>
      <c r="AI152" s="131"/>
      <c r="AJ152" s="284"/>
      <c r="AK152" s="207"/>
      <c r="AL152" s="342"/>
      <c r="AM152" s="347"/>
      <c r="AN152" s="284"/>
    </row>
    <row r="153" spans="1:40">
      <c r="A153" s="151" t="s">
        <v>2607</v>
      </c>
      <c r="B153" s="85">
        <v>-680</v>
      </c>
      <c r="C153" s="99">
        <v>-1103</v>
      </c>
      <c r="D153" s="84">
        <v>91</v>
      </c>
      <c r="E153" s="84">
        <v>91</v>
      </c>
      <c r="F153" s="7">
        <v>-76.709999999999994</v>
      </c>
      <c r="G153" s="85">
        <v>6241</v>
      </c>
      <c r="H153" s="9" t="s">
        <v>563</v>
      </c>
      <c r="I153" s="17" t="s">
        <v>977</v>
      </c>
      <c r="J153" s="371">
        <v>42.31</v>
      </c>
      <c r="K153" s="371">
        <v>0.03</v>
      </c>
      <c r="N153" s="365">
        <f>K153+J153+L153</f>
        <v>42.34</v>
      </c>
      <c r="P153" s="232">
        <v>0</v>
      </c>
      <c r="Q153" s="326" t="str">
        <f>IFERROR(VLOOKUP($G153,主力整理!$A$2:$G$2301,6,0),"0")</f>
        <v>0</v>
      </c>
      <c r="R153" s="111">
        <v>15</v>
      </c>
      <c r="S153" s="51">
        <v>0</v>
      </c>
      <c r="T153" s="339">
        <f t="shared" si="167"/>
        <v>15</v>
      </c>
      <c r="W153" s="35">
        <v>0</v>
      </c>
      <c r="X153" s="100">
        <v>-1.35</v>
      </c>
      <c r="Y153" s="37">
        <v>19.05</v>
      </c>
      <c r="Z153" s="69">
        <v>16</v>
      </c>
      <c r="AA153" s="16">
        <f>Y153-Z153</f>
        <v>3.0500000000000007</v>
      </c>
      <c r="AB153" s="66">
        <f>AA153/Z153</f>
        <v>0.19062500000000004</v>
      </c>
      <c r="AC153" s="105" t="s">
        <v>2906</v>
      </c>
      <c r="AD153" s="17" t="s">
        <v>977</v>
      </c>
      <c r="AE153" s="89">
        <v>44439</v>
      </c>
      <c r="AF153" s="91">
        <v>44449</v>
      </c>
      <c r="AG153" s="34">
        <f>AF153-AE153</f>
        <v>10</v>
      </c>
      <c r="AH153" s="44" t="s">
        <v>4138</v>
      </c>
      <c r="AI153" s="131"/>
      <c r="AJ153" s="284"/>
      <c r="AK153" s="207"/>
      <c r="AL153" s="342"/>
      <c r="AM153" s="347"/>
      <c r="AN153" s="284"/>
    </row>
    <row r="154" spans="1:40">
      <c r="A154" s="151" t="s">
        <v>4750</v>
      </c>
      <c r="B154" s="85">
        <v>-253</v>
      </c>
      <c r="C154" s="85">
        <v>-141</v>
      </c>
      <c r="D154" s="84">
        <v>8</v>
      </c>
      <c r="E154" s="85">
        <v>-15</v>
      </c>
      <c r="F154" s="7">
        <v>-3.42</v>
      </c>
      <c r="G154" s="85">
        <v>6668</v>
      </c>
      <c r="H154" s="213" t="s">
        <v>557</v>
      </c>
      <c r="I154" s="23" t="s">
        <v>1746</v>
      </c>
      <c r="J154" s="371">
        <v>55.9</v>
      </c>
      <c r="K154" s="77">
        <v>23.32</v>
      </c>
      <c r="L154" s="371">
        <v>14.11</v>
      </c>
      <c r="N154" s="365">
        <f>K154+J154+L154</f>
        <v>93.33</v>
      </c>
      <c r="P154" s="232">
        <v>1</v>
      </c>
      <c r="Q154" s="326" t="str">
        <f>IFERROR(VLOOKUP($G154,主力整理!$A$2:$G$2301,6,0),"0")</f>
        <v>0</v>
      </c>
      <c r="R154" s="111">
        <v>10</v>
      </c>
      <c r="S154" s="51">
        <v>1</v>
      </c>
      <c r="T154" s="339">
        <f t="shared" si="167"/>
        <v>12</v>
      </c>
      <c r="V154" s="371">
        <v>2.61</v>
      </c>
      <c r="W154" s="35">
        <v>1.1499999999999999</v>
      </c>
      <c r="X154" s="59">
        <v>0.59</v>
      </c>
      <c r="Y154" s="37">
        <v>52.6</v>
      </c>
      <c r="Z154" s="69">
        <v>50</v>
      </c>
      <c r="AA154" s="16">
        <f>Y154-Z154</f>
        <v>2.6000000000000014</v>
      </c>
      <c r="AB154" s="66">
        <f>AA154/Z154</f>
        <v>5.2000000000000025E-2</v>
      </c>
      <c r="AC154" s="105" t="s">
        <v>5549</v>
      </c>
      <c r="AD154" s="23" t="s">
        <v>1746</v>
      </c>
      <c r="AE154" s="89">
        <v>44438</v>
      </c>
      <c r="AF154" s="91">
        <v>44448</v>
      </c>
      <c r="AG154" s="34">
        <f>AF154-AE154</f>
        <v>10</v>
      </c>
      <c r="AH154" s="125" t="s">
        <v>4253</v>
      </c>
      <c r="AI154" s="128"/>
      <c r="AJ154" s="34"/>
      <c r="AK154" s="351"/>
      <c r="AL154" s="38"/>
      <c r="AM154" s="296"/>
      <c r="AN154" s="34"/>
    </row>
    <row r="155" spans="1:40">
      <c r="A155" s="151" t="s">
        <v>3115</v>
      </c>
      <c r="B155" s="84">
        <v>181</v>
      </c>
      <c r="C155" s="84">
        <v>200</v>
      </c>
      <c r="D155" s="84">
        <v>17</v>
      </c>
      <c r="E155" s="84">
        <v>47</v>
      </c>
      <c r="F155" s="7">
        <v>4.3</v>
      </c>
      <c r="G155" s="85">
        <v>2062</v>
      </c>
      <c r="H155" s="5" t="s">
        <v>429</v>
      </c>
      <c r="I155" s="23" t="s">
        <v>1223</v>
      </c>
      <c r="J155" s="371">
        <v>59.11</v>
      </c>
      <c r="K155" s="371">
        <v>10.35</v>
      </c>
      <c r="L155" s="77">
        <v>7.13</v>
      </c>
      <c r="N155" s="365">
        <f t="shared" ref="N155:N157" si="260">K155+J155+L155</f>
        <v>76.589999999999989</v>
      </c>
      <c r="P155" s="232">
        <v>0</v>
      </c>
      <c r="Q155" s="326">
        <f>IFERROR(VLOOKUP($G155,主力整理!$A$2:$G$2301,6,0),"0")</f>
        <v>1</v>
      </c>
      <c r="R155" s="111">
        <v>8</v>
      </c>
      <c r="S155" s="51">
        <v>1</v>
      </c>
      <c r="T155" s="339">
        <f t="shared" si="167"/>
        <v>10</v>
      </c>
      <c r="V155" s="371">
        <v>9.09</v>
      </c>
      <c r="W155" s="35">
        <v>0.1</v>
      </c>
      <c r="X155" s="59">
        <v>1.73</v>
      </c>
      <c r="Y155" s="37">
        <v>25.95</v>
      </c>
      <c r="Z155" s="69">
        <v>25.5</v>
      </c>
      <c r="AA155" s="16">
        <f t="shared" ref="AA155:AA160" si="261">Y155-Z155</f>
        <v>0.44999999999999929</v>
      </c>
      <c r="AB155" s="66">
        <f t="shared" ref="AB155:AB157" si="262">AA155/Z155</f>
        <v>1.7647058823529384E-2</v>
      </c>
      <c r="AC155" s="105" t="s">
        <v>5534</v>
      </c>
      <c r="AD155" s="23" t="s">
        <v>1223</v>
      </c>
      <c r="AE155" s="89">
        <v>44435</v>
      </c>
      <c r="AF155" s="91">
        <v>44445</v>
      </c>
      <c r="AG155" s="34">
        <f t="shared" ref="AG155:AG160" si="263">AF155-AE155</f>
        <v>10</v>
      </c>
      <c r="AH155" s="44" t="s">
        <v>4414</v>
      </c>
      <c r="AI155" s="131"/>
      <c r="AJ155" s="284"/>
      <c r="AK155" s="207"/>
      <c r="AL155" s="342"/>
      <c r="AM155" s="347"/>
      <c r="AN155" s="284"/>
    </row>
    <row r="156" spans="1:40">
      <c r="A156" s="135" t="s">
        <v>5572</v>
      </c>
      <c r="B156" s="84">
        <v>248</v>
      </c>
      <c r="C156" s="84">
        <v>301</v>
      </c>
      <c r="D156" s="84">
        <v>8</v>
      </c>
      <c r="E156" s="84">
        <v>43</v>
      </c>
      <c r="F156" s="59">
        <v>12</v>
      </c>
      <c r="G156" s="84">
        <v>5538</v>
      </c>
      <c r="H156" s="9" t="s">
        <v>4989</v>
      </c>
      <c r="I156" s="23" t="s">
        <v>1461</v>
      </c>
      <c r="J156" s="371">
        <v>91.76</v>
      </c>
      <c r="K156" s="77">
        <v>64.13</v>
      </c>
      <c r="L156" s="371">
        <v>0.86</v>
      </c>
      <c r="N156" s="365">
        <f t="shared" si="260"/>
        <v>156.75</v>
      </c>
      <c r="P156" s="232">
        <v>0</v>
      </c>
      <c r="Q156" s="326" t="str">
        <f>IFERROR(VLOOKUP($G156,主力整理!$A$2:$G$2301,6,0),"0")</f>
        <v>0</v>
      </c>
      <c r="R156" s="111">
        <v>3</v>
      </c>
      <c r="S156" s="51">
        <v>0</v>
      </c>
      <c r="T156" s="339">
        <f t="shared" si="167"/>
        <v>3</v>
      </c>
      <c r="V156" s="371">
        <v>0.23</v>
      </c>
      <c r="W156" s="35">
        <v>1.78</v>
      </c>
      <c r="X156" s="59">
        <v>5.01</v>
      </c>
      <c r="Y156" s="14">
        <v>40.950000000000003</v>
      </c>
      <c r="Z156" s="69">
        <v>36</v>
      </c>
      <c r="AA156" s="16">
        <f t="shared" si="261"/>
        <v>4.9500000000000028</v>
      </c>
      <c r="AB156" s="66">
        <f t="shared" si="262"/>
        <v>0.13750000000000007</v>
      </c>
      <c r="AC156" s="105" t="s">
        <v>5534</v>
      </c>
      <c r="AD156" s="23" t="s">
        <v>1461</v>
      </c>
      <c r="AE156" s="89">
        <v>44433</v>
      </c>
      <c r="AF156" s="91">
        <v>44445</v>
      </c>
      <c r="AG156" s="34">
        <f t="shared" si="263"/>
        <v>12</v>
      </c>
      <c r="AH156" s="63" t="s">
        <v>5203</v>
      </c>
      <c r="AI156" s="131"/>
      <c r="AJ156" s="284"/>
      <c r="AK156" s="207"/>
      <c r="AL156" s="342"/>
      <c r="AM156" s="347"/>
      <c r="AN156" s="284"/>
    </row>
    <row r="157" spans="1:40">
      <c r="A157" s="151" t="s">
        <v>2342</v>
      </c>
      <c r="B157" s="84">
        <v>73</v>
      </c>
      <c r="C157" s="84"/>
      <c r="D157" s="85">
        <v>-16</v>
      </c>
      <c r="E157" s="85">
        <v>-31</v>
      </c>
      <c r="F157" s="7"/>
      <c r="G157" s="84">
        <v>2888</v>
      </c>
      <c r="H157" s="18" t="s">
        <v>5525</v>
      </c>
      <c r="I157" s="23" t="s">
        <v>32</v>
      </c>
      <c r="J157" s="77">
        <v>60.07</v>
      </c>
      <c r="K157" s="77">
        <v>19.64</v>
      </c>
      <c r="L157" s="371">
        <v>3.84</v>
      </c>
      <c r="N157" s="365">
        <f t="shared" si="260"/>
        <v>83.550000000000011</v>
      </c>
      <c r="P157" s="195">
        <v>2</v>
      </c>
      <c r="Q157" s="326">
        <f>IFERROR(VLOOKUP($G157,主力整理!$A$2:$G$2301,6,0),"0")</f>
        <v>9</v>
      </c>
      <c r="R157" s="111">
        <v>0</v>
      </c>
      <c r="S157" s="51">
        <v>6</v>
      </c>
      <c r="T157" s="339">
        <f t="shared" si="167"/>
        <v>17</v>
      </c>
      <c r="V157" s="371">
        <v>5.05</v>
      </c>
      <c r="W157" s="35">
        <v>0.4</v>
      </c>
      <c r="X157" s="59">
        <v>1.56</v>
      </c>
      <c r="Y157" s="37">
        <v>9.35</v>
      </c>
      <c r="Z157" s="69">
        <v>8.1999999999999993</v>
      </c>
      <c r="AA157" s="16">
        <f t="shared" si="261"/>
        <v>1.1500000000000004</v>
      </c>
      <c r="AB157" s="66">
        <f t="shared" si="262"/>
        <v>0.14024390243902446</v>
      </c>
      <c r="AC157" s="105" t="s">
        <v>5535</v>
      </c>
      <c r="AD157" s="23" t="s">
        <v>32</v>
      </c>
      <c r="AE157" s="89">
        <v>44433</v>
      </c>
      <c r="AF157" s="91">
        <v>44445</v>
      </c>
      <c r="AG157" s="34">
        <f t="shared" si="263"/>
        <v>12</v>
      </c>
      <c r="AH157" s="125" t="s">
        <v>4103</v>
      </c>
      <c r="AI157" s="284"/>
      <c r="AJ157" s="284"/>
      <c r="AK157" s="207"/>
      <c r="AL157" s="342"/>
      <c r="AM157" s="347"/>
      <c r="AN157" s="284"/>
    </row>
    <row r="158" spans="1:40">
      <c r="A158" s="135" t="s">
        <v>3522</v>
      </c>
      <c r="B158" s="84">
        <v>1</v>
      </c>
      <c r="C158" s="84">
        <v>6</v>
      </c>
      <c r="D158" s="84">
        <v>35</v>
      </c>
      <c r="E158" s="84">
        <v>23</v>
      </c>
      <c r="F158" s="59">
        <v>16.739999999999998</v>
      </c>
      <c r="G158" s="85">
        <v>3557</v>
      </c>
      <c r="H158" s="5" t="s">
        <v>429</v>
      </c>
      <c r="I158" s="23" t="s">
        <v>813</v>
      </c>
      <c r="J158" s="77">
        <v>52.16</v>
      </c>
      <c r="K158" s="371">
        <v>18.190000000000001</v>
      </c>
      <c r="L158" s="77">
        <v>34.97</v>
      </c>
      <c r="N158" s="365">
        <f>K158+J158+L158</f>
        <v>105.32</v>
      </c>
      <c r="P158" s="232">
        <v>1</v>
      </c>
      <c r="Q158" s="326" t="str">
        <f>IFERROR(VLOOKUP($G158,主力整理!$A$2:$G$2301,6,0),"0")</f>
        <v>0</v>
      </c>
      <c r="R158" s="111">
        <v>7</v>
      </c>
      <c r="S158" s="51">
        <v>0</v>
      </c>
      <c r="T158" s="339">
        <f t="shared" si="167"/>
        <v>8</v>
      </c>
      <c r="V158" s="371">
        <v>0.27</v>
      </c>
      <c r="W158" s="69">
        <v>3.65</v>
      </c>
      <c r="X158" s="59">
        <v>10.08</v>
      </c>
      <c r="Y158" s="37">
        <v>80.8</v>
      </c>
      <c r="Z158" s="46">
        <v>76</v>
      </c>
      <c r="AA158" s="16">
        <f t="shared" si="261"/>
        <v>4.7999999999999972</v>
      </c>
      <c r="AB158" s="66">
        <f>AA158/Z158</f>
        <v>6.3157894736842066E-2</v>
      </c>
      <c r="AC158" s="105" t="s">
        <v>2360</v>
      </c>
      <c r="AD158" s="23" t="s">
        <v>813</v>
      </c>
      <c r="AE158" s="89">
        <v>44432</v>
      </c>
      <c r="AF158" s="91">
        <v>44442</v>
      </c>
      <c r="AG158" s="34">
        <f t="shared" si="263"/>
        <v>10</v>
      </c>
      <c r="AH158" s="63" t="s">
        <v>5464</v>
      </c>
      <c r="AI158" s="131"/>
      <c r="AJ158" s="284"/>
      <c r="AK158" s="207"/>
      <c r="AL158" s="342"/>
      <c r="AM158" s="347"/>
      <c r="AN158" s="284"/>
    </row>
    <row r="159" spans="1:40">
      <c r="A159" s="151" t="s">
        <v>4792</v>
      </c>
      <c r="B159" s="84">
        <v>400</v>
      </c>
      <c r="C159" s="84">
        <v>905</v>
      </c>
      <c r="D159" s="84">
        <v>1</v>
      </c>
      <c r="E159" s="84">
        <v>46</v>
      </c>
      <c r="F159" s="7">
        <v>9.85</v>
      </c>
      <c r="G159" s="84">
        <v>2486</v>
      </c>
      <c r="H159" s="9" t="s">
        <v>557</v>
      </c>
      <c r="I159" s="23" t="s">
        <v>603</v>
      </c>
      <c r="J159" s="371">
        <v>33.33</v>
      </c>
      <c r="K159" s="371">
        <v>2.9</v>
      </c>
      <c r="L159" s="371">
        <v>41.72</v>
      </c>
      <c r="N159" s="365">
        <f>K159+J159+L159</f>
        <v>77.949999999999989</v>
      </c>
      <c r="P159" s="232">
        <v>1</v>
      </c>
      <c r="Q159" s="326">
        <f>IFERROR(VLOOKUP($G159,主力整理!$A$2:$G$2301,6,0),"0")</f>
        <v>2</v>
      </c>
      <c r="R159" s="111">
        <v>17</v>
      </c>
      <c r="S159" s="51">
        <v>2</v>
      </c>
      <c r="T159" s="339">
        <f t="shared" si="167"/>
        <v>22</v>
      </c>
      <c r="V159" s="371">
        <v>7.82</v>
      </c>
      <c r="W159" s="35">
        <v>0</v>
      </c>
      <c r="X159" s="100">
        <v>0.67</v>
      </c>
      <c r="Y159" s="37">
        <v>54.5</v>
      </c>
      <c r="Z159" s="46">
        <v>43</v>
      </c>
      <c r="AA159" s="16">
        <f t="shared" si="261"/>
        <v>11.5</v>
      </c>
      <c r="AB159" s="66">
        <f>AA159/Z159</f>
        <v>0.26744186046511625</v>
      </c>
      <c r="AC159" s="105" t="s">
        <v>5532</v>
      </c>
      <c r="AD159" s="23" t="s">
        <v>603</v>
      </c>
      <c r="AE159" s="89">
        <v>44432</v>
      </c>
      <c r="AF159" s="91">
        <v>44442</v>
      </c>
      <c r="AG159" s="34">
        <f t="shared" si="263"/>
        <v>10</v>
      </c>
      <c r="AH159" s="44" t="s">
        <v>4056</v>
      </c>
      <c r="AI159" s="131"/>
      <c r="AJ159" s="284"/>
      <c r="AK159" s="207"/>
      <c r="AL159" s="342"/>
      <c r="AM159" s="347"/>
      <c r="AN159" s="284"/>
    </row>
    <row r="160" spans="1:40">
      <c r="A160" s="151" t="s">
        <v>5463</v>
      </c>
      <c r="B160" s="84">
        <v>86</v>
      </c>
      <c r="C160" s="84">
        <v>40</v>
      </c>
      <c r="D160" s="84">
        <v>17</v>
      </c>
      <c r="E160" s="84">
        <v>8</v>
      </c>
      <c r="F160" s="7">
        <v>3.85</v>
      </c>
      <c r="G160" s="84">
        <v>3230</v>
      </c>
      <c r="H160" s="9" t="s">
        <v>557</v>
      </c>
      <c r="I160" s="17" t="s">
        <v>836</v>
      </c>
      <c r="J160" s="371">
        <v>42.01</v>
      </c>
      <c r="K160" s="371">
        <v>0.2</v>
      </c>
      <c r="L160" s="77">
        <v>13.49</v>
      </c>
      <c r="N160" s="365">
        <f>K160+J160+L160</f>
        <v>55.7</v>
      </c>
      <c r="P160" s="232">
        <v>0</v>
      </c>
      <c r="Q160" s="326" t="str">
        <f>IFERROR(VLOOKUP($G160,主力整理!$A$2:$G$2301,6,0),"0")</f>
        <v>0</v>
      </c>
      <c r="R160" s="111">
        <v>15</v>
      </c>
      <c r="S160" s="51">
        <v>0</v>
      </c>
      <c r="T160" s="339">
        <f t="shared" si="167"/>
        <v>15</v>
      </c>
      <c r="V160" s="371">
        <v>2.5099999999999998</v>
      </c>
      <c r="W160" s="35">
        <v>0</v>
      </c>
      <c r="X160" s="100">
        <v>0.25</v>
      </c>
      <c r="Y160" s="37">
        <v>21.25</v>
      </c>
      <c r="Z160" s="69">
        <v>15</v>
      </c>
      <c r="AA160" s="16">
        <f t="shared" si="261"/>
        <v>6.25</v>
      </c>
      <c r="AB160" s="66">
        <f>AA160/Z160</f>
        <v>0.41666666666666669</v>
      </c>
      <c r="AC160" s="105" t="s">
        <v>4922</v>
      </c>
      <c r="AD160" s="17" t="s">
        <v>836</v>
      </c>
      <c r="AE160" s="89">
        <v>44431</v>
      </c>
      <c r="AF160" s="91">
        <v>44441</v>
      </c>
      <c r="AG160" s="34">
        <f t="shared" si="263"/>
        <v>10</v>
      </c>
      <c r="AH160" s="44" t="s">
        <v>3834</v>
      </c>
      <c r="AI160" s="131"/>
      <c r="AJ160" s="284"/>
      <c r="AK160" s="207"/>
      <c r="AL160" s="342"/>
      <c r="AM160" s="347"/>
      <c r="AN160" s="284"/>
    </row>
    <row r="161" spans="1:40">
      <c r="A161" s="151" t="s">
        <v>3128</v>
      </c>
      <c r="B161" s="84">
        <v>134</v>
      </c>
      <c r="C161" s="84">
        <v>155</v>
      </c>
      <c r="D161" s="84">
        <v>4</v>
      </c>
      <c r="E161" s="84">
        <v>41</v>
      </c>
      <c r="F161" s="7">
        <v>3.66</v>
      </c>
      <c r="G161" s="84">
        <v>3707</v>
      </c>
      <c r="H161" s="216" t="s">
        <v>4925</v>
      </c>
      <c r="I161" s="25" t="s">
        <v>456</v>
      </c>
      <c r="J161" s="371">
        <v>49.2</v>
      </c>
      <c r="K161" s="371">
        <v>19.309999999999999</v>
      </c>
      <c r="L161" s="77">
        <v>32.979999999999997</v>
      </c>
      <c r="N161" s="365">
        <f t="shared" ref="N161:N192" si="264">K161+J161+L161</f>
        <v>101.49000000000001</v>
      </c>
      <c r="P161" s="195"/>
      <c r="Q161" s="326">
        <f>IFERROR(VLOOKUP($G161,主力整理!$A$2:$G$2301,6,0),"0")</f>
        <v>2</v>
      </c>
      <c r="R161" s="111">
        <v>13</v>
      </c>
      <c r="S161" s="51">
        <v>4</v>
      </c>
      <c r="T161" s="339">
        <f t="shared" si="167"/>
        <v>19</v>
      </c>
      <c r="V161" s="371">
        <v>29.37</v>
      </c>
      <c r="W161" s="73">
        <v>0</v>
      </c>
      <c r="X161" s="100">
        <v>-0.74</v>
      </c>
      <c r="Y161" s="37">
        <v>106</v>
      </c>
      <c r="Z161" s="46">
        <v>63.9</v>
      </c>
      <c r="AA161" s="16">
        <f t="shared" ref="AA161:AA192" si="265">Y161-Z161</f>
        <v>42.1</v>
      </c>
      <c r="AB161" s="66">
        <f t="shared" ref="AB161:AB192" si="266">AA161/Z161</f>
        <v>0.65884194053208145</v>
      </c>
      <c r="AC161" s="105" t="s">
        <v>5505</v>
      </c>
      <c r="AD161" s="25" t="s">
        <v>456</v>
      </c>
      <c r="AE161" s="89">
        <v>44428</v>
      </c>
      <c r="AF161" s="91">
        <v>44438</v>
      </c>
      <c r="AG161" s="34">
        <f t="shared" ref="AG161:AG192" si="267">AF161-AE161</f>
        <v>10</v>
      </c>
      <c r="AH161" s="127" t="s">
        <v>4023</v>
      </c>
      <c r="AI161" s="129"/>
      <c r="AJ161" s="12"/>
      <c r="AK161" s="356"/>
      <c r="AL161" s="103"/>
      <c r="AM161" s="25"/>
      <c r="AN161" s="284"/>
    </row>
    <row r="162" spans="1:40">
      <c r="A162" s="135" t="s">
        <v>5466</v>
      </c>
      <c r="B162" s="98">
        <v>1416</v>
      </c>
      <c r="C162" s="246">
        <v>25521</v>
      </c>
      <c r="D162" s="84">
        <v>4</v>
      </c>
      <c r="E162" s="84">
        <v>52</v>
      </c>
      <c r="F162" s="59">
        <v>28.59</v>
      </c>
      <c r="G162" s="84">
        <v>6684</v>
      </c>
      <c r="H162" s="213" t="s">
        <v>4925</v>
      </c>
      <c r="I162" s="17" t="s">
        <v>5429</v>
      </c>
      <c r="J162" s="371">
        <v>23.81</v>
      </c>
      <c r="K162" s="77">
        <v>7.02</v>
      </c>
      <c r="N162" s="365">
        <f t="shared" si="264"/>
        <v>30.83</v>
      </c>
      <c r="P162" s="232"/>
      <c r="Q162" s="326">
        <f>IFERROR(VLOOKUP($G162,主力整理!$A$2:$G$2301,6,0),"0")</f>
        <v>1</v>
      </c>
      <c r="R162" s="111">
        <v>1</v>
      </c>
      <c r="S162" s="51">
        <v>0</v>
      </c>
      <c r="T162" s="339">
        <f t="shared" si="167"/>
        <v>2</v>
      </c>
      <c r="W162" s="35">
        <v>2.0099999999999998</v>
      </c>
      <c r="X162" s="311" t="s">
        <v>5226</v>
      </c>
      <c r="Y162" s="37">
        <v>144</v>
      </c>
      <c r="Z162" s="69">
        <v>88</v>
      </c>
      <c r="AA162" s="16">
        <f t="shared" si="265"/>
        <v>56</v>
      </c>
      <c r="AB162" s="158">
        <f t="shared" si="266"/>
        <v>0.63636363636363635</v>
      </c>
      <c r="AC162" s="105" t="s">
        <v>3332</v>
      </c>
      <c r="AD162" s="17" t="s">
        <v>5429</v>
      </c>
      <c r="AE162" s="89">
        <v>44419</v>
      </c>
      <c r="AF162" s="91">
        <v>44431</v>
      </c>
      <c r="AG162" s="34">
        <f t="shared" si="267"/>
        <v>12</v>
      </c>
      <c r="AH162" s="63" t="s">
        <v>5430</v>
      </c>
      <c r="AI162" s="131"/>
      <c r="AJ162" s="284"/>
      <c r="AK162" s="207"/>
      <c r="AL162" s="342"/>
      <c r="AM162" s="347"/>
      <c r="AN162" s="284"/>
    </row>
    <row r="163" spans="1:40">
      <c r="A163" s="135" t="s">
        <v>2883</v>
      </c>
      <c r="B163" s="84">
        <v>78</v>
      </c>
      <c r="C163" s="84">
        <v>72</v>
      </c>
      <c r="D163" s="85">
        <v>-12</v>
      </c>
      <c r="E163" s="84">
        <v>84</v>
      </c>
      <c r="F163" s="59">
        <v>50.65</v>
      </c>
      <c r="G163" s="85">
        <v>4171</v>
      </c>
      <c r="H163" s="5" t="s">
        <v>1678</v>
      </c>
      <c r="I163" s="17" t="s">
        <v>1680</v>
      </c>
      <c r="J163" s="371">
        <v>28.56</v>
      </c>
      <c r="K163" s="371">
        <v>18.690000000000001</v>
      </c>
      <c r="L163" s="77">
        <v>20.010000000000002</v>
      </c>
      <c r="N163" s="365">
        <f t="shared" si="264"/>
        <v>67.260000000000005</v>
      </c>
      <c r="P163" s="232"/>
      <c r="Q163" s="326" t="str">
        <f>IFERROR(VLOOKUP($G163,主力整理!$A$2:$G$2301,6,0),"0")</f>
        <v>0</v>
      </c>
      <c r="R163" s="111">
        <v>28</v>
      </c>
      <c r="S163" s="51">
        <v>0</v>
      </c>
      <c r="T163" s="339">
        <f t="shared" si="167"/>
        <v>28</v>
      </c>
      <c r="V163" s="371">
        <v>1.28</v>
      </c>
      <c r="W163" s="46">
        <v>3.83</v>
      </c>
      <c r="X163" s="100">
        <v>8.92</v>
      </c>
      <c r="Y163" s="37">
        <v>112</v>
      </c>
      <c r="Z163" s="46">
        <v>120</v>
      </c>
      <c r="AA163" s="16">
        <f t="shared" si="265"/>
        <v>-8</v>
      </c>
      <c r="AB163" s="80">
        <f t="shared" si="266"/>
        <v>-6.6666666666666666E-2</v>
      </c>
      <c r="AC163" s="106" t="s">
        <v>5468</v>
      </c>
      <c r="AD163" s="17" t="s">
        <v>1680</v>
      </c>
      <c r="AE163" s="89">
        <v>44419</v>
      </c>
      <c r="AF163" s="91">
        <v>44431</v>
      </c>
      <c r="AG163" s="34">
        <f t="shared" si="267"/>
        <v>12</v>
      </c>
      <c r="AH163" s="63" t="s">
        <v>4246</v>
      </c>
      <c r="AI163" s="131"/>
      <c r="AJ163" s="284"/>
      <c r="AK163" s="207"/>
      <c r="AL163" s="342"/>
      <c r="AM163" s="347"/>
      <c r="AN163" s="284"/>
    </row>
    <row r="164" spans="1:40">
      <c r="A164" s="135" t="s">
        <v>2521</v>
      </c>
      <c r="B164" s="98">
        <v>2372</v>
      </c>
      <c r="C164" s="98">
        <v>3235</v>
      </c>
      <c r="D164" s="84">
        <v>4</v>
      </c>
      <c r="E164" s="84">
        <v>142</v>
      </c>
      <c r="F164" s="59">
        <v>33.07</v>
      </c>
      <c r="G164" s="84">
        <v>4961</v>
      </c>
      <c r="H164" s="5" t="s">
        <v>4925</v>
      </c>
      <c r="I164" s="23" t="s">
        <v>1713</v>
      </c>
      <c r="J164" s="371">
        <v>38.619999999999997</v>
      </c>
      <c r="K164" s="371">
        <v>11.45</v>
      </c>
      <c r="L164" s="371">
        <v>29.84</v>
      </c>
      <c r="N164" s="365">
        <f t="shared" si="264"/>
        <v>79.91</v>
      </c>
      <c r="P164" s="232"/>
      <c r="Q164" s="326">
        <f>IFERROR(VLOOKUP($G164,主力整理!$A$2:$G$2301,6,0),"0")</f>
        <v>3</v>
      </c>
      <c r="R164" s="111">
        <v>26</v>
      </c>
      <c r="S164" s="51">
        <v>16</v>
      </c>
      <c r="T164" s="339">
        <f t="shared" ref="T164:T227" si="268">SUM(P164:S164)</f>
        <v>45</v>
      </c>
      <c r="V164" s="371">
        <v>20.39</v>
      </c>
      <c r="W164" s="35">
        <v>2.5</v>
      </c>
      <c r="X164" s="100">
        <v>18.850000000000001</v>
      </c>
      <c r="Y164" s="37">
        <v>228</v>
      </c>
      <c r="Z164" s="46">
        <v>255</v>
      </c>
      <c r="AA164" s="16">
        <f t="shared" si="265"/>
        <v>-27</v>
      </c>
      <c r="AB164" s="80">
        <f t="shared" si="266"/>
        <v>-0.10588235294117647</v>
      </c>
      <c r="AC164" s="105" t="s">
        <v>5460</v>
      </c>
      <c r="AD164" s="23" t="s">
        <v>1713</v>
      </c>
      <c r="AE164" s="89">
        <v>44418</v>
      </c>
      <c r="AF164" s="91">
        <v>44428</v>
      </c>
      <c r="AG164" s="34">
        <f t="shared" si="267"/>
        <v>10</v>
      </c>
      <c r="AH164" s="63" t="s">
        <v>5506</v>
      </c>
      <c r="AI164" s="131"/>
      <c r="AJ164" s="284"/>
      <c r="AK164" s="207"/>
      <c r="AL164" s="342"/>
      <c r="AM164" s="347"/>
      <c r="AN164" s="284"/>
    </row>
    <row r="165" spans="1:40">
      <c r="A165" s="135" t="s">
        <v>2921</v>
      </c>
      <c r="B165" s="84">
        <v>31</v>
      </c>
      <c r="C165" s="84">
        <v>38</v>
      </c>
      <c r="D165" s="84">
        <v>2</v>
      </c>
      <c r="E165" s="84">
        <v>16</v>
      </c>
      <c r="F165" s="59">
        <v>36.28</v>
      </c>
      <c r="G165" s="84">
        <v>8109</v>
      </c>
      <c r="H165" s="5" t="s">
        <v>559</v>
      </c>
      <c r="I165" s="17" t="s">
        <v>797</v>
      </c>
      <c r="J165" s="77">
        <v>36.71</v>
      </c>
      <c r="K165" s="371">
        <v>1.93</v>
      </c>
      <c r="L165" s="371">
        <v>0.83</v>
      </c>
      <c r="N165" s="365">
        <f t="shared" si="264"/>
        <v>39.47</v>
      </c>
      <c r="P165" s="232"/>
      <c r="Q165" s="326" t="str">
        <f>IFERROR(VLOOKUP($G165,主力整理!$A$2:$G$2301,6,0),"0")</f>
        <v>0</v>
      </c>
      <c r="R165" s="111">
        <v>0</v>
      </c>
      <c r="S165" s="51">
        <v>1</v>
      </c>
      <c r="T165" s="339">
        <f t="shared" si="268"/>
        <v>1</v>
      </c>
      <c r="V165" s="371">
        <v>0</v>
      </c>
      <c r="W165" s="69">
        <v>3.5</v>
      </c>
      <c r="X165" s="100">
        <v>5.03</v>
      </c>
      <c r="Y165" s="37">
        <v>74</v>
      </c>
      <c r="Z165" s="69">
        <v>58</v>
      </c>
      <c r="AA165" s="16">
        <f t="shared" si="265"/>
        <v>16</v>
      </c>
      <c r="AB165" s="66">
        <f t="shared" si="266"/>
        <v>0.27586206896551724</v>
      </c>
      <c r="AC165" s="105" t="s">
        <v>5461</v>
      </c>
      <c r="AD165" s="17" t="s">
        <v>797</v>
      </c>
      <c r="AE165" s="89">
        <v>44418</v>
      </c>
      <c r="AF165" s="91">
        <v>44428</v>
      </c>
      <c r="AG165" s="34">
        <f t="shared" si="267"/>
        <v>10</v>
      </c>
      <c r="AH165" s="63" t="s">
        <v>3830</v>
      </c>
      <c r="AI165" s="131"/>
      <c r="AJ165" s="284"/>
      <c r="AK165" s="207"/>
      <c r="AL165" s="342"/>
      <c r="AM165" s="347"/>
      <c r="AN165" s="284"/>
    </row>
    <row r="166" spans="1:40">
      <c r="A166" s="135" t="s">
        <v>3192</v>
      </c>
      <c r="B166" s="84">
        <v>115</v>
      </c>
      <c r="C166" s="84">
        <v>21</v>
      </c>
      <c r="D166" s="84">
        <v>7</v>
      </c>
      <c r="E166" s="84">
        <v>56</v>
      </c>
      <c r="F166" s="59">
        <v>20.99</v>
      </c>
      <c r="G166" s="84">
        <v>2641</v>
      </c>
      <c r="H166" s="5" t="s">
        <v>551</v>
      </c>
      <c r="I166" s="17" t="s">
        <v>1469</v>
      </c>
      <c r="J166" s="371">
        <v>29</v>
      </c>
      <c r="K166" s="77">
        <v>1.07</v>
      </c>
      <c r="L166" s="77">
        <v>18.170000000000002</v>
      </c>
      <c r="N166" s="365">
        <f t="shared" si="264"/>
        <v>48.24</v>
      </c>
      <c r="P166" s="232"/>
      <c r="Q166" s="326">
        <f>IFERROR(VLOOKUP($G166,主力整理!$A$2:$G$2301,6,0),"0")</f>
        <v>3</v>
      </c>
      <c r="R166" s="111">
        <v>27</v>
      </c>
      <c r="S166" s="51">
        <v>0</v>
      </c>
      <c r="T166" s="339">
        <f t="shared" si="268"/>
        <v>30</v>
      </c>
      <c r="V166" s="371">
        <v>7.7</v>
      </c>
      <c r="W166" s="35">
        <v>0</v>
      </c>
      <c r="X166" s="100">
        <v>0.63</v>
      </c>
      <c r="Y166" s="37">
        <v>25.3</v>
      </c>
      <c r="Z166" s="69">
        <v>28</v>
      </c>
      <c r="AA166" s="16">
        <f t="shared" si="265"/>
        <v>-2.6999999999999993</v>
      </c>
      <c r="AB166" s="80">
        <f t="shared" si="266"/>
        <v>-9.6428571428571405E-2</v>
      </c>
      <c r="AC166" s="105" t="s">
        <v>2215</v>
      </c>
      <c r="AD166" s="17" t="s">
        <v>1469</v>
      </c>
      <c r="AE166" s="89">
        <v>44413</v>
      </c>
      <c r="AF166" s="91">
        <v>44424</v>
      </c>
      <c r="AG166" s="34">
        <f t="shared" si="267"/>
        <v>11</v>
      </c>
      <c r="AH166" s="63" t="s">
        <v>3366</v>
      </c>
      <c r="AI166" s="131"/>
      <c r="AJ166" s="284"/>
      <c r="AK166" s="207"/>
      <c r="AL166" s="342"/>
      <c r="AM166" s="347"/>
      <c r="AN166" s="284"/>
    </row>
    <row r="167" spans="1:40">
      <c r="A167" s="151" t="s">
        <v>5378</v>
      </c>
      <c r="B167" s="84">
        <v>153</v>
      </c>
      <c r="C167" s="84">
        <v>208</v>
      </c>
      <c r="D167" s="84">
        <v>50</v>
      </c>
      <c r="E167" s="85">
        <v>-3</v>
      </c>
      <c r="F167" s="7">
        <v>4.9800000000000004</v>
      </c>
      <c r="G167" s="84">
        <v>2867</v>
      </c>
      <c r="H167" s="19" t="s">
        <v>553</v>
      </c>
      <c r="I167" s="23" t="s">
        <v>229</v>
      </c>
      <c r="J167" s="371">
        <v>73.39</v>
      </c>
      <c r="K167" s="371">
        <v>7.02</v>
      </c>
      <c r="L167" s="371">
        <v>3.48</v>
      </c>
      <c r="N167" s="365">
        <f t="shared" si="264"/>
        <v>83.89</v>
      </c>
      <c r="P167" s="232"/>
      <c r="Q167" s="326">
        <f>IFERROR(VLOOKUP($G167,主力整理!$A$2:$G$2301,6,0),"0")</f>
        <v>8</v>
      </c>
      <c r="R167" s="111">
        <v>0</v>
      </c>
      <c r="S167" s="51">
        <v>2</v>
      </c>
      <c r="T167" s="339">
        <f t="shared" si="268"/>
        <v>10</v>
      </c>
      <c r="V167" s="371">
        <v>0.39</v>
      </c>
      <c r="W167" s="35">
        <v>0.15</v>
      </c>
      <c r="X167" s="59">
        <v>1.01</v>
      </c>
      <c r="Y167" s="37">
        <v>9.14</v>
      </c>
      <c r="Z167" s="69">
        <v>8.3000000000000007</v>
      </c>
      <c r="AA167" s="16">
        <f t="shared" si="265"/>
        <v>0.83999999999999986</v>
      </c>
      <c r="AB167" s="66">
        <f t="shared" si="266"/>
        <v>0.10120481927710841</v>
      </c>
      <c r="AC167" s="105" t="s">
        <v>5423</v>
      </c>
      <c r="AD167" s="23" t="s">
        <v>229</v>
      </c>
      <c r="AE167" s="89">
        <v>44407</v>
      </c>
      <c r="AF167" s="91">
        <v>44417</v>
      </c>
      <c r="AG167" s="34">
        <f t="shared" si="267"/>
        <v>10</v>
      </c>
      <c r="AH167" s="125" t="s">
        <v>3439</v>
      </c>
      <c r="AI167" s="131"/>
      <c r="AJ167" s="284"/>
      <c r="AK167" s="207"/>
      <c r="AL167" s="342"/>
      <c r="AM167" s="347"/>
      <c r="AN167" s="284"/>
    </row>
    <row r="168" spans="1:40">
      <c r="A168" s="135" t="s">
        <v>5462</v>
      </c>
      <c r="B168" s="84">
        <v>397</v>
      </c>
      <c r="C168" s="84">
        <v>422</v>
      </c>
      <c r="D168" s="84">
        <v>12</v>
      </c>
      <c r="E168" s="84">
        <v>0</v>
      </c>
      <c r="F168" s="59">
        <v>31.68</v>
      </c>
      <c r="G168" s="84">
        <v>5236</v>
      </c>
      <c r="H168" s="203" t="s">
        <v>558</v>
      </c>
      <c r="I168" s="17" t="s">
        <v>5383</v>
      </c>
      <c r="J168" s="371">
        <v>62.15</v>
      </c>
      <c r="K168" s="77">
        <v>3.42</v>
      </c>
      <c r="L168" s="371"/>
      <c r="N168" s="365">
        <f t="shared" si="264"/>
        <v>65.569999999999993</v>
      </c>
      <c r="P168" s="232"/>
      <c r="Q168" s="326" t="str">
        <f>IFERROR(VLOOKUP($G168,主力整理!$A$2:$G$2301,6,0),"0")</f>
        <v>0</v>
      </c>
      <c r="R168" s="111">
        <v>0</v>
      </c>
      <c r="S168" s="51">
        <v>0</v>
      </c>
      <c r="T168" s="339">
        <f t="shared" si="268"/>
        <v>0</v>
      </c>
      <c r="W168" s="35">
        <v>8</v>
      </c>
      <c r="X168" s="71" t="s">
        <v>5385</v>
      </c>
      <c r="Y168" s="37">
        <v>191</v>
      </c>
      <c r="Z168" s="69">
        <v>160</v>
      </c>
      <c r="AA168" s="16">
        <f t="shared" si="265"/>
        <v>31</v>
      </c>
      <c r="AB168" s="66">
        <f t="shared" si="266"/>
        <v>0.19375000000000001</v>
      </c>
      <c r="AC168" s="105" t="s">
        <v>5420</v>
      </c>
      <c r="AD168" s="17" t="s">
        <v>5383</v>
      </c>
      <c r="AE168" s="89">
        <v>44406</v>
      </c>
      <c r="AF168" s="91">
        <v>44417</v>
      </c>
      <c r="AG168" s="34">
        <f t="shared" si="267"/>
        <v>11</v>
      </c>
      <c r="AH168" s="63" t="s">
        <v>5384</v>
      </c>
      <c r="AI168" s="131"/>
      <c r="AJ168" s="284"/>
      <c r="AK168" s="207"/>
      <c r="AL168" s="342"/>
      <c r="AM168" s="347"/>
      <c r="AN168" s="284"/>
    </row>
    <row r="169" spans="1:40">
      <c r="A169" s="151" t="s">
        <v>5379</v>
      </c>
      <c r="B169" s="84">
        <v>185</v>
      </c>
      <c r="C169" s="84">
        <v>163</v>
      </c>
      <c r="D169" s="84">
        <v>252</v>
      </c>
      <c r="E169" s="84">
        <v>349</v>
      </c>
      <c r="F169" s="7">
        <v>4.4000000000000004</v>
      </c>
      <c r="G169" s="84">
        <v>8097</v>
      </c>
      <c r="H169" s="9" t="s">
        <v>563</v>
      </c>
      <c r="I169" s="17" t="s">
        <v>985</v>
      </c>
      <c r="J169" s="371">
        <v>45.02</v>
      </c>
      <c r="K169" s="371">
        <v>1.1100000000000001</v>
      </c>
      <c r="L169" s="77">
        <v>28.86</v>
      </c>
      <c r="N169" s="365">
        <f t="shared" si="264"/>
        <v>74.990000000000009</v>
      </c>
      <c r="P169" s="232"/>
      <c r="Q169" s="326">
        <f>IFERROR(VLOOKUP($G169,主力整理!$A$2:$G$2301,6,0),"0")</f>
        <v>1</v>
      </c>
      <c r="R169" s="111">
        <v>11</v>
      </c>
      <c r="S169" s="51">
        <v>0</v>
      </c>
      <c r="T169" s="339">
        <f t="shared" si="268"/>
        <v>12</v>
      </c>
      <c r="V169" s="371">
        <v>0.76</v>
      </c>
      <c r="W169" s="35">
        <v>0</v>
      </c>
      <c r="X169" s="100">
        <v>-0.14000000000000001</v>
      </c>
      <c r="Y169" s="37">
        <v>26.45</v>
      </c>
      <c r="Z169" s="46">
        <v>17</v>
      </c>
      <c r="AA169" s="16">
        <f t="shared" si="265"/>
        <v>9.4499999999999993</v>
      </c>
      <c r="AB169" s="66">
        <f t="shared" si="266"/>
        <v>0.55588235294117638</v>
      </c>
      <c r="AC169" s="105" t="s">
        <v>5421</v>
      </c>
      <c r="AD169" s="17" t="s">
        <v>985</v>
      </c>
      <c r="AE169" s="89">
        <v>44406</v>
      </c>
      <c r="AF169" s="91">
        <v>44417</v>
      </c>
      <c r="AG169" s="34">
        <f t="shared" si="267"/>
        <v>11</v>
      </c>
      <c r="AH169" s="44" t="s">
        <v>4143</v>
      </c>
      <c r="AI169" s="131"/>
      <c r="AJ169" s="284"/>
      <c r="AK169" s="207"/>
      <c r="AL169" s="342"/>
      <c r="AM169" s="347"/>
      <c r="AN169" s="284"/>
    </row>
    <row r="170" spans="1:40">
      <c r="A170" s="151" t="s">
        <v>4762</v>
      </c>
      <c r="B170" s="85">
        <v>-30</v>
      </c>
      <c r="C170" s="85">
        <v>-95</v>
      </c>
      <c r="D170" s="84">
        <v>52</v>
      </c>
      <c r="E170" s="84">
        <v>12</v>
      </c>
      <c r="F170" s="7">
        <v>-97.31</v>
      </c>
      <c r="G170" s="85">
        <v>8409</v>
      </c>
      <c r="H170" s="5" t="s">
        <v>560</v>
      </c>
      <c r="I170" s="17" t="s">
        <v>1159</v>
      </c>
      <c r="J170" s="371">
        <v>28.98</v>
      </c>
      <c r="K170" s="371">
        <v>0.12</v>
      </c>
      <c r="L170" s="371"/>
      <c r="N170" s="365">
        <f t="shared" si="264"/>
        <v>29.1</v>
      </c>
      <c r="P170" s="232"/>
      <c r="Q170" s="326" t="str">
        <f>IFERROR(VLOOKUP($G170,主力整理!$A$2:$G$2301,6,0),"0")</f>
        <v>0</v>
      </c>
      <c r="R170" s="111">
        <v>15</v>
      </c>
      <c r="S170" s="51">
        <v>0</v>
      </c>
      <c r="T170" s="339">
        <f t="shared" si="268"/>
        <v>15</v>
      </c>
      <c r="W170" s="35">
        <v>0</v>
      </c>
      <c r="X170" s="100">
        <v>-1.21</v>
      </c>
      <c r="Y170" s="37">
        <v>18.149999999999999</v>
      </c>
      <c r="Z170" s="69">
        <v>14.5</v>
      </c>
      <c r="AA170" s="16">
        <f t="shared" si="265"/>
        <v>3.6499999999999986</v>
      </c>
      <c r="AB170" s="66">
        <f t="shared" si="266"/>
        <v>0.25172413793103438</v>
      </c>
      <c r="AC170" s="105" t="s">
        <v>5410</v>
      </c>
      <c r="AD170" s="17" t="s">
        <v>1159</v>
      </c>
      <c r="AE170" s="89">
        <v>44405</v>
      </c>
      <c r="AF170" s="91">
        <v>44417</v>
      </c>
      <c r="AG170" s="34">
        <f t="shared" si="267"/>
        <v>12</v>
      </c>
      <c r="AH170" s="44" t="s">
        <v>3910</v>
      </c>
      <c r="AI170" s="131"/>
      <c r="AJ170" s="284"/>
      <c r="AK170" s="207"/>
      <c r="AL170" s="342"/>
      <c r="AM170" s="347"/>
      <c r="AN170" s="284"/>
    </row>
    <row r="171" spans="1:40">
      <c r="A171" s="151" t="s">
        <v>2551</v>
      </c>
      <c r="B171" s="84">
        <v>169</v>
      </c>
      <c r="C171" s="84">
        <v>165</v>
      </c>
      <c r="D171" s="84">
        <v>0</v>
      </c>
      <c r="E171" s="84">
        <v>54</v>
      </c>
      <c r="F171" s="7">
        <v>6.14</v>
      </c>
      <c r="G171" s="84">
        <v>4976</v>
      </c>
      <c r="H171" s="5" t="s">
        <v>557</v>
      </c>
      <c r="I171" s="23" t="s">
        <v>587</v>
      </c>
      <c r="J171" s="371">
        <v>30.53</v>
      </c>
      <c r="K171" s="371">
        <v>6.07</v>
      </c>
      <c r="L171" s="77">
        <v>31.94</v>
      </c>
      <c r="N171" s="365">
        <f t="shared" si="264"/>
        <v>68.540000000000006</v>
      </c>
      <c r="P171" s="232"/>
      <c r="Q171" s="326" t="str">
        <f>IFERROR(VLOOKUP($G171,主力整理!$A$2:$G$2301,6,0),"0")</f>
        <v>0</v>
      </c>
      <c r="R171" s="111">
        <v>19</v>
      </c>
      <c r="S171" s="51">
        <v>5</v>
      </c>
      <c r="T171" s="339">
        <f t="shared" si="268"/>
        <v>24</v>
      </c>
      <c r="V171" s="371">
        <v>17.329999999999998</v>
      </c>
      <c r="W171" s="35">
        <v>0</v>
      </c>
      <c r="X171" s="100">
        <v>0.1</v>
      </c>
      <c r="Y171" s="37">
        <v>78.8</v>
      </c>
      <c r="Z171" s="46">
        <v>61</v>
      </c>
      <c r="AA171" s="16">
        <f t="shared" si="265"/>
        <v>17.799999999999997</v>
      </c>
      <c r="AB171" s="66">
        <f t="shared" si="266"/>
        <v>0.29180327868852457</v>
      </c>
      <c r="AC171" s="105" t="s">
        <v>5401</v>
      </c>
      <c r="AD171" s="23" t="s">
        <v>587</v>
      </c>
      <c r="AE171" s="89">
        <v>44399</v>
      </c>
      <c r="AF171" s="91">
        <v>44410</v>
      </c>
      <c r="AG171" s="34">
        <f t="shared" si="267"/>
        <v>11</v>
      </c>
      <c r="AH171" s="44" t="s">
        <v>3391</v>
      </c>
      <c r="AI171" s="129"/>
      <c r="AJ171" s="12"/>
      <c r="AK171" s="356"/>
      <c r="AL171" s="103"/>
      <c r="AM171" s="25"/>
      <c r="AN171" s="12"/>
    </row>
    <row r="172" spans="1:40">
      <c r="A172" s="135" t="s">
        <v>3161</v>
      </c>
      <c r="B172" s="84">
        <v>557</v>
      </c>
      <c r="C172" s="84">
        <v>574</v>
      </c>
      <c r="D172" s="84">
        <v>21</v>
      </c>
      <c r="E172" s="84">
        <v>18</v>
      </c>
      <c r="F172" s="59">
        <v>15.44</v>
      </c>
      <c r="G172" s="85">
        <v>8027</v>
      </c>
      <c r="H172" s="5" t="s">
        <v>5324</v>
      </c>
      <c r="I172" s="17" t="s">
        <v>1032</v>
      </c>
      <c r="J172" s="371">
        <v>25.69</v>
      </c>
      <c r="K172" s="371">
        <v>6.13</v>
      </c>
      <c r="L172" s="371">
        <v>51.39</v>
      </c>
      <c r="N172" s="365">
        <f t="shared" si="264"/>
        <v>83.210000000000008</v>
      </c>
      <c r="P172" s="232"/>
      <c r="Q172" s="326" t="str">
        <f>IFERROR(VLOOKUP($G172,主力整理!$A$2:$G$2301,6,0),"0")</f>
        <v>0</v>
      </c>
      <c r="R172" s="111">
        <v>9</v>
      </c>
      <c r="S172" s="51">
        <v>1</v>
      </c>
      <c r="T172" s="339">
        <f t="shared" si="268"/>
        <v>10</v>
      </c>
      <c r="V172" s="371">
        <v>0.63</v>
      </c>
      <c r="W172" s="35">
        <v>1.19</v>
      </c>
      <c r="X172" s="100">
        <v>3.24</v>
      </c>
      <c r="Y172" s="37">
        <v>72.5</v>
      </c>
      <c r="Z172" s="46">
        <v>66</v>
      </c>
      <c r="AA172" s="16">
        <f t="shared" si="265"/>
        <v>6.5</v>
      </c>
      <c r="AB172" s="66">
        <f t="shared" si="266"/>
        <v>9.8484848484848481E-2</v>
      </c>
      <c r="AC172" s="105" t="s">
        <v>5390</v>
      </c>
      <c r="AD172" s="17" t="s">
        <v>1032</v>
      </c>
      <c r="AE172" s="89">
        <v>44393</v>
      </c>
      <c r="AF172" s="91">
        <v>44404</v>
      </c>
      <c r="AG172" s="34">
        <f t="shared" si="267"/>
        <v>11</v>
      </c>
      <c r="AH172" s="63" t="s">
        <v>4505</v>
      </c>
      <c r="AI172" s="131"/>
      <c r="AJ172" s="284"/>
      <c r="AK172" s="207"/>
      <c r="AL172" s="342"/>
      <c r="AM172" s="347"/>
      <c r="AN172" s="284"/>
    </row>
    <row r="173" spans="1:40">
      <c r="A173" s="151" t="s">
        <v>2550</v>
      </c>
      <c r="B173" s="85">
        <v>-99</v>
      </c>
      <c r="C173" s="98">
        <v>1351</v>
      </c>
      <c r="D173" s="85">
        <v>-5</v>
      </c>
      <c r="E173" s="84">
        <v>4</v>
      </c>
      <c r="F173" s="7">
        <v>3.95</v>
      </c>
      <c r="G173" s="84">
        <v>8033</v>
      </c>
      <c r="H173" s="5" t="s">
        <v>3057</v>
      </c>
      <c r="I173" s="23" t="s">
        <v>1236</v>
      </c>
      <c r="J173" s="77">
        <v>19.600000000000001</v>
      </c>
      <c r="K173" s="371">
        <v>0.66</v>
      </c>
      <c r="N173" s="365">
        <f t="shared" si="264"/>
        <v>20.260000000000002</v>
      </c>
      <c r="P173" s="232"/>
      <c r="Q173" s="326" t="str">
        <f>IFERROR(VLOOKUP($G173,主力整理!$A$2:$G$2301,6,0),"0")</f>
        <v>0</v>
      </c>
      <c r="R173" s="111">
        <v>13</v>
      </c>
      <c r="S173" s="51">
        <v>0</v>
      </c>
      <c r="T173" s="339">
        <f t="shared" si="268"/>
        <v>13</v>
      </c>
      <c r="W173" s="35">
        <v>0</v>
      </c>
      <c r="X173" s="100">
        <v>-0.11</v>
      </c>
      <c r="Y173" s="37">
        <v>14.4</v>
      </c>
      <c r="Z173" s="69">
        <v>12.2</v>
      </c>
      <c r="AA173" s="16">
        <f t="shared" si="265"/>
        <v>2.2000000000000011</v>
      </c>
      <c r="AB173" s="66">
        <f t="shared" si="266"/>
        <v>0.18032786885245911</v>
      </c>
      <c r="AC173" s="105" t="s">
        <v>5377</v>
      </c>
      <c r="AD173" s="23" t="s">
        <v>1236</v>
      </c>
      <c r="AE173" s="89">
        <v>44385</v>
      </c>
      <c r="AF173" s="91">
        <v>44396</v>
      </c>
      <c r="AG173" s="34">
        <f t="shared" si="267"/>
        <v>11</v>
      </c>
      <c r="AH173" s="44" t="s">
        <v>3502</v>
      </c>
      <c r="AI173" s="131"/>
      <c r="AJ173" s="23"/>
    </row>
    <row r="174" spans="1:40">
      <c r="A174" s="135" t="s">
        <v>5356</v>
      </c>
      <c r="B174" s="84">
        <v>290</v>
      </c>
      <c r="C174" s="84">
        <v>299</v>
      </c>
      <c r="D174" s="85">
        <v>-20</v>
      </c>
      <c r="E174" s="85">
        <v>-13</v>
      </c>
      <c r="F174" s="59">
        <v>70.2</v>
      </c>
      <c r="G174" s="84">
        <v>6026</v>
      </c>
      <c r="H174" s="18" t="s">
        <v>553</v>
      </c>
      <c r="I174" s="17" t="s">
        <v>620</v>
      </c>
      <c r="J174" s="371">
        <v>48.08</v>
      </c>
      <c r="K174" s="77">
        <v>5.66</v>
      </c>
      <c r="L174" s="77">
        <v>23.18</v>
      </c>
      <c r="N174" s="365">
        <f t="shared" si="264"/>
        <v>76.919999999999987</v>
      </c>
      <c r="P174" s="232"/>
      <c r="Q174" s="326">
        <f>IFERROR(VLOOKUP($G174,主力整理!$A$2:$G$2301,6,0),"0")</f>
        <v>1</v>
      </c>
      <c r="R174" s="111">
        <v>4</v>
      </c>
      <c r="T174" s="339">
        <f t="shared" si="268"/>
        <v>5</v>
      </c>
      <c r="V174" s="371">
        <v>1</v>
      </c>
      <c r="W174" s="35">
        <v>0.8</v>
      </c>
      <c r="X174" s="100">
        <v>2.96</v>
      </c>
      <c r="Y174" s="37">
        <v>17.8</v>
      </c>
      <c r="Z174" s="46">
        <v>13.5</v>
      </c>
      <c r="AA174" s="16">
        <f t="shared" si="265"/>
        <v>4.3000000000000007</v>
      </c>
      <c r="AB174" s="66">
        <f t="shared" si="266"/>
        <v>0.31851851851851859</v>
      </c>
      <c r="AC174" s="105" t="s">
        <v>5338</v>
      </c>
      <c r="AD174" s="17" t="s">
        <v>620</v>
      </c>
      <c r="AE174" s="89">
        <v>44371</v>
      </c>
      <c r="AF174" s="91">
        <v>44382</v>
      </c>
      <c r="AG174" s="34">
        <f t="shared" si="267"/>
        <v>11</v>
      </c>
      <c r="AH174" s="63" t="s">
        <v>3505</v>
      </c>
      <c r="AI174" s="131"/>
      <c r="AJ174" s="17"/>
    </row>
    <row r="175" spans="1:40">
      <c r="A175" s="151" t="s">
        <v>2347</v>
      </c>
      <c r="B175" s="84">
        <v>63</v>
      </c>
      <c r="C175" s="84">
        <v>84</v>
      </c>
      <c r="D175" s="85">
        <v>-5</v>
      </c>
      <c r="E175" s="84">
        <v>18</v>
      </c>
      <c r="F175" s="7">
        <v>-1.84</v>
      </c>
      <c r="G175" s="84">
        <v>8932</v>
      </c>
      <c r="H175" s="9" t="s">
        <v>3057</v>
      </c>
      <c r="I175" s="17" t="s">
        <v>1214</v>
      </c>
      <c r="J175" s="77">
        <v>51.26</v>
      </c>
      <c r="K175" s="77">
        <v>17.71</v>
      </c>
      <c r="N175" s="365">
        <f t="shared" si="264"/>
        <v>68.97</v>
      </c>
      <c r="P175" s="232"/>
      <c r="Q175" s="326" t="str">
        <f>IFERROR(VLOOKUP($G175,主力整理!$A$2:$G$2301,6,0),"0")</f>
        <v>0</v>
      </c>
      <c r="R175" s="111"/>
      <c r="T175" s="339">
        <f t="shared" si="268"/>
        <v>0</v>
      </c>
      <c r="W175" s="35">
        <v>0</v>
      </c>
      <c r="X175" s="59">
        <v>-0.67</v>
      </c>
      <c r="Y175" s="37">
        <v>19.05</v>
      </c>
      <c r="Z175" s="69">
        <v>18</v>
      </c>
      <c r="AA175" s="16">
        <f t="shared" si="265"/>
        <v>1.0500000000000007</v>
      </c>
      <c r="AB175" s="66">
        <f t="shared" si="266"/>
        <v>5.8333333333333376E-2</v>
      </c>
      <c r="AC175" s="105" t="s">
        <v>5307</v>
      </c>
      <c r="AD175" s="17" t="s">
        <v>1214</v>
      </c>
      <c r="AE175" s="89">
        <v>44356</v>
      </c>
      <c r="AF175" s="91">
        <v>44368</v>
      </c>
      <c r="AG175" s="34">
        <f t="shared" si="267"/>
        <v>12</v>
      </c>
      <c r="AH175" s="44" t="s">
        <v>3942</v>
      </c>
      <c r="AI175" s="131"/>
      <c r="AJ175" s="17"/>
    </row>
    <row r="176" spans="1:40">
      <c r="A176" s="151" t="s">
        <v>5304</v>
      </c>
      <c r="B176" s="84">
        <v>275</v>
      </c>
      <c r="C176" s="84">
        <v>79</v>
      </c>
      <c r="D176" s="85">
        <v>-4</v>
      </c>
      <c r="E176" s="84">
        <v>26</v>
      </c>
      <c r="F176" s="7">
        <v>6.43</v>
      </c>
      <c r="G176" s="84">
        <v>2250</v>
      </c>
      <c r="H176" s="9" t="s">
        <v>550</v>
      </c>
      <c r="I176" s="23" t="s">
        <v>5308</v>
      </c>
      <c r="J176" s="77">
        <v>60.04</v>
      </c>
      <c r="K176" s="371">
        <v>5.78</v>
      </c>
      <c r="N176" s="365">
        <f t="shared" si="264"/>
        <v>65.819999999999993</v>
      </c>
      <c r="P176" s="232"/>
      <c r="Q176" s="326" t="str">
        <f>IFERROR(VLOOKUP($G176,主力整理!$A$2:$G$2301,6,0),"0")</f>
        <v>0</v>
      </c>
      <c r="T176" s="339">
        <f t="shared" si="268"/>
        <v>0</v>
      </c>
      <c r="W176" s="35">
        <v>3.68</v>
      </c>
      <c r="X176" s="100"/>
      <c r="Y176" s="37">
        <v>190</v>
      </c>
      <c r="Z176" s="69">
        <v>76</v>
      </c>
      <c r="AA176" s="16">
        <f t="shared" si="265"/>
        <v>114</v>
      </c>
      <c r="AB176" s="158">
        <f t="shared" si="266"/>
        <v>1.5</v>
      </c>
      <c r="AC176" s="105" t="s">
        <v>5303</v>
      </c>
      <c r="AD176" s="23" t="s">
        <v>5308</v>
      </c>
      <c r="AE176" s="89">
        <v>44347</v>
      </c>
      <c r="AF176" s="91">
        <v>44357</v>
      </c>
      <c r="AG176" s="34">
        <f t="shared" si="267"/>
        <v>10</v>
      </c>
      <c r="AH176" s="44" t="s">
        <v>5305</v>
      </c>
      <c r="AI176" s="131"/>
      <c r="AJ176" s="23"/>
    </row>
    <row r="177" spans="1:36">
      <c r="A177" s="135" t="s">
        <v>2602</v>
      </c>
      <c r="B177" s="84">
        <v>29</v>
      </c>
      <c r="C177" s="84">
        <v>56</v>
      </c>
      <c r="D177" s="85">
        <v>-10</v>
      </c>
      <c r="E177" s="84">
        <v>16</v>
      </c>
      <c r="F177" s="59">
        <v>27.97</v>
      </c>
      <c r="G177" s="84">
        <v>6741</v>
      </c>
      <c r="H177" s="154" t="s">
        <v>602</v>
      </c>
      <c r="I177" s="17" t="s">
        <v>5285</v>
      </c>
      <c r="J177" s="371">
        <v>75.8</v>
      </c>
      <c r="K177" s="371">
        <v>62.32</v>
      </c>
      <c r="N177" s="365">
        <f t="shared" si="264"/>
        <v>138.12</v>
      </c>
      <c r="P177" s="232"/>
      <c r="Q177" s="326" t="str">
        <f>IFERROR(VLOOKUP($G177,主力整理!$A$2:$G$2301,6,0),"0")</f>
        <v>0</v>
      </c>
      <c r="T177" s="339">
        <f t="shared" si="268"/>
        <v>0</v>
      </c>
      <c r="W177" s="73"/>
      <c r="X177" s="100"/>
      <c r="Y177" s="37">
        <v>167.5</v>
      </c>
      <c r="Z177" s="69">
        <v>66</v>
      </c>
      <c r="AA177" s="16">
        <f t="shared" si="265"/>
        <v>101.5</v>
      </c>
      <c r="AB177" s="158">
        <f t="shared" si="266"/>
        <v>1.5378787878787878</v>
      </c>
      <c r="AC177" s="105" t="s">
        <v>4874</v>
      </c>
      <c r="AD177" s="17" t="s">
        <v>5285</v>
      </c>
      <c r="AE177" s="89">
        <v>44341</v>
      </c>
      <c r="AF177" s="91">
        <v>44351</v>
      </c>
      <c r="AG177" s="34">
        <f t="shared" si="267"/>
        <v>10</v>
      </c>
      <c r="AH177" s="63" t="s">
        <v>5292</v>
      </c>
      <c r="AI177" s="253"/>
      <c r="AJ177" s="17"/>
    </row>
    <row r="178" spans="1:36">
      <c r="A178" s="151" t="s">
        <v>2523</v>
      </c>
      <c r="B178" s="85">
        <v>-194</v>
      </c>
      <c r="C178" s="85">
        <v>-48</v>
      </c>
      <c r="D178" s="85">
        <v>-1</v>
      </c>
      <c r="E178" s="85">
        <v>-3</v>
      </c>
      <c r="F178" s="7">
        <v>1.82</v>
      </c>
      <c r="G178" s="85">
        <v>2358</v>
      </c>
      <c r="H178" s="9" t="s">
        <v>3057</v>
      </c>
      <c r="I178" s="23" t="s">
        <v>1225</v>
      </c>
      <c r="J178" s="77">
        <v>35.56</v>
      </c>
      <c r="K178" s="371">
        <v>0.79</v>
      </c>
      <c r="L178" s="77">
        <v>24.74</v>
      </c>
      <c r="N178" s="365">
        <f t="shared" si="264"/>
        <v>61.09</v>
      </c>
      <c r="P178" s="232"/>
      <c r="Q178" s="326">
        <f>IFERROR(VLOOKUP($G178,主力整理!$A$2:$G$2301,6,0),"0")</f>
        <v>1</v>
      </c>
      <c r="R178" s="31">
        <v>4</v>
      </c>
      <c r="T178" s="339">
        <f t="shared" si="268"/>
        <v>5</v>
      </c>
      <c r="V178" s="371">
        <v>0.38</v>
      </c>
      <c r="W178" s="35">
        <v>0.1</v>
      </c>
      <c r="X178" s="100">
        <v>0.04</v>
      </c>
      <c r="Y178" s="37">
        <v>14.2</v>
      </c>
      <c r="Z178" s="46">
        <v>13.5</v>
      </c>
      <c r="AA178" s="16">
        <f t="shared" si="265"/>
        <v>0.69999999999999929</v>
      </c>
      <c r="AB178" s="66">
        <f t="shared" si="266"/>
        <v>5.1851851851851802E-2</v>
      </c>
      <c r="AC178" s="105" t="s">
        <v>2860</v>
      </c>
      <c r="AD178" s="23" t="s">
        <v>1225</v>
      </c>
      <c r="AE178" s="89">
        <v>44341</v>
      </c>
      <c r="AF178" s="91">
        <v>44351</v>
      </c>
      <c r="AG178" s="34">
        <f t="shared" si="267"/>
        <v>10</v>
      </c>
      <c r="AH178" s="44" t="s">
        <v>4415</v>
      </c>
      <c r="AI178" s="131"/>
      <c r="AJ178" s="23"/>
    </row>
    <row r="179" spans="1:36">
      <c r="A179" s="151" t="s">
        <v>2959</v>
      </c>
      <c r="B179" s="85">
        <v>-22</v>
      </c>
      <c r="C179" s="84">
        <v>41</v>
      </c>
      <c r="D179" s="84">
        <v>379</v>
      </c>
      <c r="E179" s="84">
        <v>155</v>
      </c>
      <c r="F179" s="7">
        <v>-15.62</v>
      </c>
      <c r="G179" s="84">
        <v>8171</v>
      </c>
      <c r="H179" s="9" t="s">
        <v>563</v>
      </c>
      <c r="I179" s="17" t="s">
        <v>986</v>
      </c>
      <c r="J179" s="77">
        <v>27.51</v>
      </c>
      <c r="K179" s="77">
        <v>1.63</v>
      </c>
      <c r="L179" s="77">
        <v>72.73</v>
      </c>
      <c r="N179" s="365">
        <f t="shared" si="264"/>
        <v>101.87</v>
      </c>
      <c r="P179" s="232"/>
      <c r="Q179" s="326" t="str">
        <f>IFERROR(VLOOKUP($G179,主力整理!$A$2:$G$2301,6,0),"0")</f>
        <v>0</v>
      </c>
      <c r="R179" s="31">
        <v>9</v>
      </c>
      <c r="T179" s="339">
        <f t="shared" si="268"/>
        <v>9</v>
      </c>
      <c r="V179" s="371">
        <v>4.09</v>
      </c>
      <c r="W179" s="35">
        <v>0</v>
      </c>
      <c r="X179" s="100">
        <v>-1.42</v>
      </c>
      <c r="Y179" s="37">
        <v>53.6</v>
      </c>
      <c r="Z179" s="46">
        <v>45</v>
      </c>
      <c r="AA179" s="16">
        <f t="shared" si="265"/>
        <v>8.6000000000000014</v>
      </c>
      <c r="AB179" s="66">
        <f t="shared" si="266"/>
        <v>0.19111111111111115</v>
      </c>
      <c r="AC179" s="105" t="s">
        <v>3654</v>
      </c>
      <c r="AD179" s="17" t="s">
        <v>986</v>
      </c>
      <c r="AE179" s="89">
        <v>44336</v>
      </c>
      <c r="AF179" s="91">
        <v>44347</v>
      </c>
      <c r="AG179" s="34">
        <f t="shared" si="267"/>
        <v>11</v>
      </c>
      <c r="AH179" s="44" t="s">
        <v>4018</v>
      </c>
      <c r="AI179" s="253"/>
      <c r="AJ179" s="17"/>
    </row>
    <row r="180" spans="1:36">
      <c r="A180" s="151" t="s">
        <v>2427</v>
      </c>
      <c r="B180" s="84">
        <v>53</v>
      </c>
      <c r="C180" s="84">
        <v>24</v>
      </c>
      <c r="D180" s="84">
        <v>24</v>
      </c>
      <c r="E180" s="85">
        <v>-41</v>
      </c>
      <c r="F180" s="7">
        <v>-34.18</v>
      </c>
      <c r="G180" s="84">
        <v>3631</v>
      </c>
      <c r="H180" s="9" t="s">
        <v>559</v>
      </c>
      <c r="I180" s="17" t="s">
        <v>752</v>
      </c>
      <c r="J180" s="77">
        <v>80.17</v>
      </c>
      <c r="K180" s="371">
        <v>14.88</v>
      </c>
      <c r="L180" s="77">
        <v>35.33</v>
      </c>
      <c r="N180" s="365">
        <f t="shared" si="264"/>
        <v>130.38</v>
      </c>
      <c r="P180" s="232"/>
      <c r="Q180" s="326" t="str">
        <f>IFERROR(VLOOKUP($G180,主力整理!$A$2:$G$2301,6,0),"0")</f>
        <v>0</v>
      </c>
      <c r="R180" s="31">
        <v>9</v>
      </c>
      <c r="T180" s="339">
        <f t="shared" si="268"/>
        <v>9</v>
      </c>
      <c r="V180" s="371">
        <v>0.44</v>
      </c>
      <c r="W180" s="35">
        <v>0</v>
      </c>
      <c r="X180" s="59">
        <v>-0.04</v>
      </c>
      <c r="Y180" s="37">
        <v>49.55</v>
      </c>
      <c r="Z180" s="46">
        <v>50</v>
      </c>
      <c r="AA180" s="16">
        <f t="shared" si="265"/>
        <v>-0.45000000000000284</v>
      </c>
      <c r="AB180" s="80">
        <f t="shared" si="266"/>
        <v>-9.0000000000000566E-3</v>
      </c>
      <c r="AC180" s="106" t="s">
        <v>5275</v>
      </c>
      <c r="AD180" s="17" t="s">
        <v>752</v>
      </c>
      <c r="AE180" s="89">
        <v>44335</v>
      </c>
      <c r="AF180" s="91">
        <v>44347</v>
      </c>
      <c r="AG180" s="34">
        <f t="shared" si="267"/>
        <v>12</v>
      </c>
      <c r="AH180" s="44" t="s">
        <v>3809</v>
      </c>
      <c r="AI180" s="253"/>
      <c r="AJ180" s="17"/>
    </row>
    <row r="181" spans="1:36">
      <c r="A181" s="151" t="s">
        <v>5228</v>
      </c>
      <c r="B181" s="84">
        <v>115</v>
      </c>
      <c r="C181" s="84">
        <v>90</v>
      </c>
      <c r="D181" s="85">
        <v>-19</v>
      </c>
      <c r="E181" s="84">
        <v>79</v>
      </c>
      <c r="F181" s="7">
        <v>1.79</v>
      </c>
      <c r="G181" s="84">
        <v>8112</v>
      </c>
      <c r="H181" s="9" t="s">
        <v>5144</v>
      </c>
      <c r="I181" s="23" t="s">
        <v>236</v>
      </c>
      <c r="J181" s="77">
        <v>32.79</v>
      </c>
      <c r="K181" s="371">
        <v>22.37</v>
      </c>
      <c r="L181" s="77">
        <v>7.65</v>
      </c>
      <c r="N181" s="365">
        <f t="shared" si="264"/>
        <v>62.809999999999995</v>
      </c>
      <c r="P181" s="232"/>
      <c r="Q181" s="326">
        <f>IFERROR(VLOOKUP($G181,主力整理!$A$2:$G$2301,6,0),"0")</f>
        <v>6</v>
      </c>
      <c r="R181" s="31">
        <v>3</v>
      </c>
      <c r="T181" s="339">
        <f t="shared" si="268"/>
        <v>9</v>
      </c>
      <c r="V181" s="371">
        <v>0.05</v>
      </c>
      <c r="W181" s="69">
        <v>3</v>
      </c>
      <c r="X181" s="100">
        <v>5.07</v>
      </c>
      <c r="Y181" s="37">
        <v>39.75</v>
      </c>
      <c r="Z181" s="69">
        <v>32</v>
      </c>
      <c r="AA181" s="16">
        <f t="shared" si="265"/>
        <v>7.75</v>
      </c>
      <c r="AB181" s="66">
        <f t="shared" si="266"/>
        <v>0.2421875</v>
      </c>
      <c r="AC181" s="105" t="s">
        <v>5267</v>
      </c>
      <c r="AD181" s="23" t="s">
        <v>236</v>
      </c>
      <c r="AE181" s="89">
        <v>44334</v>
      </c>
      <c r="AF181" s="91">
        <v>44344</v>
      </c>
      <c r="AG181" s="34">
        <f t="shared" si="267"/>
        <v>10</v>
      </c>
      <c r="AH181" s="125" t="s">
        <v>3066</v>
      </c>
      <c r="AI181" s="253"/>
      <c r="AJ181" s="23"/>
    </row>
    <row r="182" spans="1:36">
      <c r="A182" s="151" t="s">
        <v>5290</v>
      </c>
      <c r="B182" s="84">
        <v>33</v>
      </c>
      <c r="C182" s="84">
        <v>33</v>
      </c>
      <c r="D182" s="84">
        <v>39</v>
      </c>
      <c r="E182" s="84">
        <v>29</v>
      </c>
      <c r="F182" s="7">
        <v>-92.62</v>
      </c>
      <c r="G182" s="84">
        <v>6589</v>
      </c>
      <c r="H182" s="9" t="s">
        <v>560</v>
      </c>
      <c r="I182" s="17" t="s">
        <v>2783</v>
      </c>
      <c r="J182" s="371">
        <v>41.3</v>
      </c>
      <c r="K182" s="371">
        <v>3.26</v>
      </c>
      <c r="L182" s="371"/>
      <c r="N182" s="365">
        <f t="shared" si="264"/>
        <v>44.559999999999995</v>
      </c>
      <c r="P182" s="232"/>
      <c r="Q182" s="326" t="str">
        <f>IFERROR(VLOOKUP($G182,主力整理!$A$2:$G$2301,6,0),"0")</f>
        <v>0</v>
      </c>
      <c r="R182" s="31">
        <v>36</v>
      </c>
      <c r="T182" s="339">
        <f t="shared" si="268"/>
        <v>36</v>
      </c>
      <c r="W182" s="35">
        <v>0</v>
      </c>
      <c r="X182" s="100">
        <v>-4.66</v>
      </c>
      <c r="Y182" s="37">
        <v>170</v>
      </c>
      <c r="Z182" s="69">
        <v>91.5</v>
      </c>
      <c r="AA182" s="16">
        <f t="shared" si="265"/>
        <v>78.5</v>
      </c>
      <c r="AB182" s="66">
        <f t="shared" si="266"/>
        <v>0.85792349726775952</v>
      </c>
      <c r="AC182" s="105" t="s">
        <v>5252</v>
      </c>
      <c r="AD182" s="17" t="s">
        <v>2783</v>
      </c>
      <c r="AE182" s="89">
        <v>44330</v>
      </c>
      <c r="AF182" s="91">
        <v>44340</v>
      </c>
      <c r="AG182" s="34">
        <f t="shared" si="267"/>
        <v>10</v>
      </c>
      <c r="AH182" s="44" t="s">
        <v>3905</v>
      </c>
      <c r="AI182" s="253"/>
      <c r="AJ182" s="17"/>
    </row>
    <row r="183" spans="1:36">
      <c r="A183" s="151" t="s">
        <v>4675</v>
      </c>
      <c r="B183" s="84">
        <v>396</v>
      </c>
      <c r="C183" s="84">
        <v>202</v>
      </c>
      <c r="D183" s="85">
        <v>-41</v>
      </c>
      <c r="E183" s="84">
        <v>546</v>
      </c>
      <c r="F183" s="7">
        <v>6.75</v>
      </c>
      <c r="G183" s="84">
        <v>1475</v>
      </c>
      <c r="H183" s="5" t="s">
        <v>543</v>
      </c>
      <c r="I183" s="23" t="s">
        <v>4847</v>
      </c>
      <c r="J183" s="77">
        <v>65.8</v>
      </c>
      <c r="K183" s="77">
        <v>0.25</v>
      </c>
      <c r="N183" s="365">
        <f t="shared" si="264"/>
        <v>66.05</v>
      </c>
      <c r="P183" s="232"/>
      <c r="Q183" s="326" t="str">
        <f>IFERROR(VLOOKUP($G183,主力整理!$A$2:$G$2301,6,0),"0")</f>
        <v>0</v>
      </c>
      <c r="R183" s="31">
        <v>21</v>
      </c>
      <c r="T183" s="339">
        <f t="shared" si="268"/>
        <v>21</v>
      </c>
      <c r="W183" s="35">
        <v>0</v>
      </c>
      <c r="X183" s="59">
        <v>0.86</v>
      </c>
      <c r="Y183" s="37">
        <v>34</v>
      </c>
      <c r="Z183" s="69">
        <v>26.8</v>
      </c>
      <c r="AA183" s="16">
        <f t="shared" si="265"/>
        <v>7.1999999999999993</v>
      </c>
      <c r="AB183" s="158">
        <f t="shared" si="266"/>
        <v>0.26865671641791039</v>
      </c>
      <c r="AC183" s="105" t="s">
        <v>3091</v>
      </c>
      <c r="AD183" s="23" t="s">
        <v>4847</v>
      </c>
      <c r="AE183" s="89">
        <v>44329</v>
      </c>
      <c r="AF183" s="91">
        <v>44340</v>
      </c>
      <c r="AG183" s="34">
        <f t="shared" si="267"/>
        <v>11</v>
      </c>
      <c r="AH183" s="44" t="s">
        <v>3782</v>
      </c>
      <c r="AI183" s="253"/>
      <c r="AJ183" s="23"/>
    </row>
    <row r="184" spans="1:36">
      <c r="A184" s="151" t="s">
        <v>2541</v>
      </c>
      <c r="B184" s="84">
        <v>104</v>
      </c>
      <c r="C184" s="84">
        <v>96</v>
      </c>
      <c r="D184" s="85">
        <v>-8</v>
      </c>
      <c r="E184" s="84">
        <v>12</v>
      </c>
      <c r="F184" s="7">
        <v>-0.21</v>
      </c>
      <c r="G184" s="84">
        <v>8933</v>
      </c>
      <c r="H184" s="5" t="s">
        <v>3057</v>
      </c>
      <c r="I184" s="17" t="s">
        <v>1215</v>
      </c>
      <c r="J184" s="371">
        <v>46.92</v>
      </c>
      <c r="K184" s="371">
        <v>1.4</v>
      </c>
      <c r="L184" s="371"/>
      <c r="N184" s="365">
        <f t="shared" si="264"/>
        <v>48.32</v>
      </c>
      <c r="P184" s="232"/>
      <c r="Q184" s="326" t="str">
        <f>IFERROR(VLOOKUP($G184,主力整理!$A$2:$G$2301,6,0),"0")</f>
        <v>0</v>
      </c>
      <c r="T184" s="339">
        <f t="shared" si="268"/>
        <v>0</v>
      </c>
      <c r="W184" s="35">
        <v>0</v>
      </c>
      <c r="X184" s="100">
        <v>0.05</v>
      </c>
      <c r="Y184" s="37">
        <v>14.4</v>
      </c>
      <c r="Z184" s="69">
        <v>10.199999999999999</v>
      </c>
      <c r="AA184" s="16">
        <f t="shared" si="265"/>
        <v>4.2000000000000011</v>
      </c>
      <c r="AB184" s="66">
        <f t="shared" si="266"/>
        <v>0.41176470588235309</v>
      </c>
      <c r="AC184" s="105" t="s">
        <v>5220</v>
      </c>
      <c r="AD184" s="17" t="s">
        <v>1215</v>
      </c>
      <c r="AE184" s="89">
        <v>44315</v>
      </c>
      <c r="AF184" s="91">
        <v>44326</v>
      </c>
      <c r="AG184" s="34">
        <f t="shared" si="267"/>
        <v>11</v>
      </c>
      <c r="AH184" s="44" t="s">
        <v>3760</v>
      </c>
      <c r="AI184" s="253"/>
      <c r="AJ184" s="17"/>
    </row>
    <row r="185" spans="1:36">
      <c r="A185" s="135" t="s">
        <v>2555</v>
      </c>
      <c r="B185" s="84">
        <v>61</v>
      </c>
      <c r="C185" s="84">
        <v>61</v>
      </c>
      <c r="D185" s="85">
        <v>-2</v>
      </c>
      <c r="E185" s="84">
        <v>25</v>
      </c>
      <c r="F185" s="59">
        <v>18.36</v>
      </c>
      <c r="G185" s="85">
        <v>3357</v>
      </c>
      <c r="H185" s="5" t="s">
        <v>559</v>
      </c>
      <c r="I185" s="17" t="s">
        <v>5165</v>
      </c>
      <c r="J185" s="77">
        <v>45.5</v>
      </c>
      <c r="K185" s="77">
        <v>10.62</v>
      </c>
      <c r="N185" s="365">
        <f t="shared" si="264"/>
        <v>56.12</v>
      </c>
      <c r="P185" s="232"/>
      <c r="Q185" s="326" t="str">
        <f>IFERROR(VLOOKUP($G185,主力整理!$A$2:$G$2301,6,0),"0")</f>
        <v>0</v>
      </c>
      <c r="T185" s="339">
        <f t="shared" si="268"/>
        <v>0</v>
      </c>
      <c r="W185" s="69">
        <v>4.0999999999999996</v>
      </c>
      <c r="X185" s="100">
        <v>9.0399999999999991</v>
      </c>
      <c r="Y185" s="37">
        <v>146</v>
      </c>
      <c r="Z185" s="69">
        <v>118.78</v>
      </c>
      <c r="AA185" s="16">
        <f t="shared" si="265"/>
        <v>27.22</v>
      </c>
      <c r="AB185" s="66">
        <f t="shared" si="266"/>
        <v>0.22916315878093954</v>
      </c>
      <c r="AC185" s="105" t="s">
        <v>5217</v>
      </c>
      <c r="AD185" s="17" t="s">
        <v>5165</v>
      </c>
      <c r="AE185" s="89">
        <v>44313</v>
      </c>
      <c r="AF185" s="91">
        <v>44323</v>
      </c>
      <c r="AG185" s="34">
        <f t="shared" si="267"/>
        <v>10</v>
      </c>
      <c r="AH185" s="63" t="s">
        <v>5166</v>
      </c>
      <c r="AI185" s="253"/>
      <c r="AJ185" s="17"/>
    </row>
    <row r="186" spans="1:36">
      <c r="A186" s="151" t="s">
        <v>3073</v>
      </c>
      <c r="B186" s="85">
        <v>-60</v>
      </c>
      <c r="C186" s="85">
        <v>-50</v>
      </c>
      <c r="D186" s="84">
        <v>28</v>
      </c>
      <c r="E186" s="84">
        <v>2</v>
      </c>
      <c r="F186" s="7">
        <v>5.84</v>
      </c>
      <c r="G186" s="84">
        <v>6768</v>
      </c>
      <c r="H186" s="5" t="s">
        <v>3057</v>
      </c>
      <c r="I186" s="23" t="s">
        <v>5137</v>
      </c>
      <c r="J186" s="371">
        <v>87.31</v>
      </c>
      <c r="K186" s="77">
        <v>75.989999999999995</v>
      </c>
      <c r="N186" s="365">
        <f t="shared" si="264"/>
        <v>163.30000000000001</v>
      </c>
      <c r="P186" s="2"/>
      <c r="Q186" s="326" t="str">
        <f>IFERROR(VLOOKUP($G186,主力整理!$A$2:$G$2301,6,0),"0")</f>
        <v>0</v>
      </c>
      <c r="T186" s="339">
        <f t="shared" si="268"/>
        <v>0</v>
      </c>
      <c r="W186" s="69">
        <v>3.38</v>
      </c>
      <c r="X186" s="59" t="s">
        <v>5226</v>
      </c>
      <c r="Y186" s="37">
        <v>70</v>
      </c>
      <c r="Z186" s="69">
        <v>49</v>
      </c>
      <c r="AA186" s="16">
        <f t="shared" si="265"/>
        <v>21</v>
      </c>
      <c r="AB186" s="66">
        <f t="shared" si="266"/>
        <v>0.42857142857142855</v>
      </c>
      <c r="AC186" s="105" t="s">
        <v>5191</v>
      </c>
      <c r="AD186" s="23" t="s">
        <v>5137</v>
      </c>
      <c r="AE186" s="89">
        <v>44308</v>
      </c>
      <c r="AF186" s="91">
        <v>44319</v>
      </c>
      <c r="AG186" s="34">
        <f t="shared" si="267"/>
        <v>11</v>
      </c>
      <c r="AH186" s="44" t="s">
        <v>5138</v>
      </c>
      <c r="AJ186" s="23"/>
    </row>
    <row r="187" spans="1:36">
      <c r="A187" s="135" t="s">
        <v>3178</v>
      </c>
      <c r="B187" s="84">
        <v>5</v>
      </c>
      <c r="C187" s="84">
        <v>14</v>
      </c>
      <c r="D187" s="84">
        <v>29</v>
      </c>
      <c r="E187" s="84">
        <v>102</v>
      </c>
      <c r="F187" s="59">
        <v>16.41</v>
      </c>
      <c r="G187" s="84">
        <v>2211</v>
      </c>
      <c r="H187" s="5" t="s">
        <v>4989</v>
      </c>
      <c r="I187" s="23" t="s">
        <v>5005</v>
      </c>
      <c r="J187" s="371">
        <v>83.71</v>
      </c>
      <c r="K187" s="371">
        <v>0.53</v>
      </c>
      <c r="N187" s="365">
        <f t="shared" si="264"/>
        <v>84.24</v>
      </c>
      <c r="P187" s="2"/>
      <c r="Q187" s="326" t="str">
        <f>IFERROR(VLOOKUP($G187,主力整理!$A$2:$G$2301,6,0),"0")</f>
        <v>0</v>
      </c>
      <c r="T187" s="339">
        <f t="shared" si="268"/>
        <v>0</v>
      </c>
      <c r="W187" s="35">
        <v>2.2000000000000002</v>
      </c>
      <c r="X187" s="59">
        <f t="shared" ref="X187:X218" si="269">W187/Y187</f>
        <v>3.3333333333333333E-2</v>
      </c>
      <c r="Y187" s="37">
        <v>66</v>
      </c>
      <c r="Z187" s="69">
        <v>41</v>
      </c>
      <c r="AA187" s="16">
        <f t="shared" si="265"/>
        <v>25</v>
      </c>
      <c r="AB187" s="66">
        <f t="shared" si="266"/>
        <v>0.6097560975609756</v>
      </c>
      <c r="AC187" s="105" t="s">
        <v>5145</v>
      </c>
      <c r="AD187" s="23" t="s">
        <v>5005</v>
      </c>
      <c r="AE187" s="89">
        <v>44298</v>
      </c>
      <c r="AF187" s="91">
        <v>44308</v>
      </c>
      <c r="AG187" s="34">
        <f t="shared" si="267"/>
        <v>10</v>
      </c>
      <c r="AH187" s="63" t="s">
        <v>5006</v>
      </c>
      <c r="AJ187" s="23"/>
    </row>
    <row r="188" spans="1:36">
      <c r="A188" s="151" t="s">
        <v>3454</v>
      </c>
      <c r="B188" s="84">
        <v>54</v>
      </c>
      <c r="C188" s="84">
        <v>41</v>
      </c>
      <c r="D188" s="85">
        <v>-7</v>
      </c>
      <c r="E188" s="85">
        <v>-7</v>
      </c>
      <c r="F188" s="7">
        <v>1.02</v>
      </c>
      <c r="G188" s="84">
        <v>6776</v>
      </c>
      <c r="H188" s="5" t="s">
        <v>5144</v>
      </c>
      <c r="I188" s="23" t="s">
        <v>4990</v>
      </c>
      <c r="J188" s="371">
        <v>73.010000000000005</v>
      </c>
      <c r="K188" s="371">
        <v>7.0000000000000007E-2</v>
      </c>
      <c r="N188" s="365">
        <f t="shared" si="264"/>
        <v>73.08</v>
      </c>
      <c r="P188" s="2"/>
      <c r="Q188" s="326" t="str">
        <f>IFERROR(VLOOKUP($G188,主力整理!$A$2:$G$2301,6,0),"0")</f>
        <v>0</v>
      </c>
      <c r="T188" s="339">
        <f t="shared" si="268"/>
        <v>0</v>
      </c>
      <c r="W188" s="35">
        <v>2</v>
      </c>
      <c r="X188" s="59">
        <f t="shared" si="269"/>
        <v>3.937007874015748E-2</v>
      </c>
      <c r="Y188" s="37">
        <v>50.8</v>
      </c>
      <c r="Z188" s="69">
        <v>25</v>
      </c>
      <c r="AA188" s="16">
        <f t="shared" si="265"/>
        <v>25.799999999999997</v>
      </c>
      <c r="AB188" s="158">
        <f t="shared" si="266"/>
        <v>1.0319999999999998</v>
      </c>
      <c r="AC188" s="105" t="s">
        <v>5066</v>
      </c>
      <c r="AD188" s="23" t="s">
        <v>4990</v>
      </c>
      <c r="AE188" s="89">
        <v>44286</v>
      </c>
      <c r="AF188" s="91">
        <v>44298</v>
      </c>
      <c r="AG188" s="34">
        <f t="shared" si="267"/>
        <v>12</v>
      </c>
      <c r="AH188" s="44" t="s">
        <v>1684</v>
      </c>
      <c r="AJ188" s="23"/>
    </row>
    <row r="189" spans="1:36">
      <c r="A189" s="151" t="s">
        <v>4968</v>
      </c>
      <c r="B189" s="84">
        <v>11</v>
      </c>
      <c r="C189" s="85">
        <v>-11</v>
      </c>
      <c r="D189" s="85">
        <v>-15</v>
      </c>
      <c r="E189" s="85">
        <v>-28</v>
      </c>
      <c r="F189" s="7">
        <v>-7.54</v>
      </c>
      <c r="G189" s="85">
        <v>2208</v>
      </c>
      <c r="H189" s="5" t="s">
        <v>551</v>
      </c>
      <c r="I189" s="23" t="s">
        <v>169</v>
      </c>
      <c r="J189" s="371">
        <v>53.32</v>
      </c>
      <c r="K189" s="371">
        <v>4.3499999999999996</v>
      </c>
      <c r="L189" s="77">
        <v>6.34</v>
      </c>
      <c r="N189" s="365">
        <f t="shared" si="264"/>
        <v>64.010000000000005</v>
      </c>
      <c r="P189" s="2"/>
      <c r="Q189" s="326">
        <f>IFERROR(VLOOKUP($G189,主力整理!$A$2:$G$2301,6,0),"0")</f>
        <v>8</v>
      </c>
      <c r="T189" s="339">
        <f t="shared" si="268"/>
        <v>8</v>
      </c>
      <c r="V189" s="371">
        <v>0.02</v>
      </c>
      <c r="W189" s="73">
        <v>0</v>
      </c>
      <c r="X189" s="59">
        <f t="shared" si="269"/>
        <v>0</v>
      </c>
      <c r="Y189" s="37">
        <v>22.3</v>
      </c>
      <c r="Z189" s="69">
        <v>17.5</v>
      </c>
      <c r="AA189" s="16">
        <f t="shared" si="265"/>
        <v>4.8000000000000007</v>
      </c>
      <c r="AB189" s="66">
        <f t="shared" si="266"/>
        <v>0.2742857142857143</v>
      </c>
      <c r="AC189" s="105" t="s">
        <v>3638</v>
      </c>
      <c r="AD189" s="23" t="s">
        <v>169</v>
      </c>
      <c r="AE189" s="89">
        <v>44286</v>
      </c>
      <c r="AF189" s="91">
        <v>44298</v>
      </c>
      <c r="AG189" s="34">
        <f t="shared" si="267"/>
        <v>12</v>
      </c>
      <c r="AH189" s="125" t="s">
        <v>5143</v>
      </c>
      <c r="AJ189" s="23"/>
    </row>
    <row r="190" spans="1:36">
      <c r="A190" s="135" t="s">
        <v>4677</v>
      </c>
      <c r="B190" s="84">
        <v>218</v>
      </c>
      <c r="C190" s="84">
        <v>210</v>
      </c>
      <c r="D190" s="84">
        <v>62</v>
      </c>
      <c r="E190" s="84">
        <v>54</v>
      </c>
      <c r="F190" s="59">
        <v>28.79</v>
      </c>
      <c r="G190" s="84">
        <v>5215</v>
      </c>
      <c r="H190" s="212" t="s">
        <v>1815</v>
      </c>
      <c r="I190" s="23" t="s">
        <v>891</v>
      </c>
      <c r="J190" s="371">
        <v>46.62</v>
      </c>
      <c r="K190" s="371">
        <v>25.65</v>
      </c>
      <c r="L190" s="77">
        <v>27.48</v>
      </c>
      <c r="N190" s="365">
        <f t="shared" si="264"/>
        <v>99.75</v>
      </c>
      <c r="P190" s="2"/>
      <c r="Q190" s="326" t="str">
        <f>IFERROR(VLOOKUP($G190,主力整理!$A$2:$G$2301,6,0),"0")</f>
        <v>0</v>
      </c>
      <c r="T190" s="339">
        <f t="shared" si="268"/>
        <v>0</v>
      </c>
      <c r="V190" s="371">
        <v>0.12</v>
      </c>
      <c r="W190" s="35">
        <v>8.67</v>
      </c>
      <c r="X190" s="100">
        <f t="shared" si="269"/>
        <v>5.9587628865979382E-2</v>
      </c>
      <c r="Y190" s="37">
        <v>145.5</v>
      </c>
      <c r="Z190" s="46">
        <v>105</v>
      </c>
      <c r="AA190" s="16">
        <f t="shared" si="265"/>
        <v>40.5</v>
      </c>
      <c r="AB190" s="66">
        <f t="shared" si="266"/>
        <v>0.38571428571428573</v>
      </c>
      <c r="AC190" s="105" t="s">
        <v>5008</v>
      </c>
      <c r="AD190" s="23" t="s">
        <v>891</v>
      </c>
      <c r="AE190" s="89">
        <v>44285</v>
      </c>
      <c r="AF190" s="91">
        <v>44295</v>
      </c>
      <c r="AG190" s="34">
        <f t="shared" si="267"/>
        <v>10</v>
      </c>
      <c r="AH190" s="63" t="s">
        <v>3650</v>
      </c>
      <c r="AJ190" s="23"/>
    </row>
    <row r="191" spans="1:36">
      <c r="A191" s="135" t="s">
        <v>2689</v>
      </c>
      <c r="B191" s="84">
        <v>7</v>
      </c>
      <c r="C191" s="84">
        <v>7</v>
      </c>
      <c r="D191" s="84">
        <v>45</v>
      </c>
      <c r="E191" s="84">
        <v>12</v>
      </c>
      <c r="F191" s="59">
        <v>10.7</v>
      </c>
      <c r="G191" s="84">
        <v>1477</v>
      </c>
      <c r="H191" s="9" t="s">
        <v>5085</v>
      </c>
      <c r="I191" s="23" t="s">
        <v>242</v>
      </c>
      <c r="J191" s="77">
        <v>55.83</v>
      </c>
      <c r="K191" s="371">
        <v>30.44</v>
      </c>
      <c r="L191" s="371">
        <v>2.66</v>
      </c>
      <c r="N191" s="365">
        <f t="shared" si="264"/>
        <v>88.929999999999993</v>
      </c>
      <c r="P191" s="2"/>
      <c r="Q191" s="326">
        <f>IFERROR(VLOOKUP($G191,主力整理!$A$2:$G$2301,6,0),"0")</f>
        <v>3</v>
      </c>
      <c r="T191" s="339">
        <f t="shared" si="268"/>
        <v>3</v>
      </c>
      <c r="V191" s="371">
        <v>0.13</v>
      </c>
      <c r="W191" s="35">
        <v>8</v>
      </c>
      <c r="X191" s="59">
        <f t="shared" si="269"/>
        <v>3.292181069958848E-2</v>
      </c>
      <c r="Y191" s="37">
        <v>243</v>
      </c>
      <c r="Z191" s="69">
        <v>136</v>
      </c>
      <c r="AA191" s="16">
        <f t="shared" si="265"/>
        <v>107</v>
      </c>
      <c r="AB191" s="66">
        <f t="shared" si="266"/>
        <v>0.78676470588235292</v>
      </c>
      <c r="AC191" s="105" t="s">
        <v>5083</v>
      </c>
      <c r="AD191" s="23" t="s">
        <v>242</v>
      </c>
      <c r="AE191" s="89">
        <v>44279</v>
      </c>
      <c r="AF191" s="91">
        <v>44292</v>
      </c>
      <c r="AG191" s="34">
        <f t="shared" si="267"/>
        <v>13</v>
      </c>
      <c r="AH191" s="126" t="s">
        <v>3778</v>
      </c>
      <c r="AJ191" s="23"/>
    </row>
    <row r="192" spans="1:36">
      <c r="A192" s="151" t="s">
        <v>5082</v>
      </c>
      <c r="B192" s="85">
        <v>-5</v>
      </c>
      <c r="C192" s="85">
        <v>-88</v>
      </c>
      <c r="D192" s="85">
        <v>-23</v>
      </c>
      <c r="E192" s="84">
        <v>166</v>
      </c>
      <c r="F192" s="7">
        <v>0.13</v>
      </c>
      <c r="G192" s="84">
        <v>3346</v>
      </c>
      <c r="H192" s="9" t="s">
        <v>5086</v>
      </c>
      <c r="I192" s="23" t="s">
        <v>1063</v>
      </c>
      <c r="J192" s="371">
        <v>33.06</v>
      </c>
      <c r="K192" s="371">
        <v>6.14</v>
      </c>
      <c r="L192" s="77">
        <v>44.33</v>
      </c>
      <c r="N192" s="365">
        <f t="shared" si="264"/>
        <v>83.53</v>
      </c>
      <c r="P192" s="2"/>
      <c r="Q192" s="326">
        <f>IFERROR(VLOOKUP($G192,主力整理!$A$2:$G$2301,6,0),"0")</f>
        <v>1</v>
      </c>
      <c r="T192" s="339">
        <f t="shared" si="268"/>
        <v>1</v>
      </c>
      <c r="V192" s="371">
        <v>11.95</v>
      </c>
      <c r="W192" s="73">
        <v>0</v>
      </c>
      <c r="X192" s="100">
        <f t="shared" si="269"/>
        <v>0</v>
      </c>
      <c r="Y192" s="37">
        <v>64.099999999999994</v>
      </c>
      <c r="Z192" s="46">
        <v>39</v>
      </c>
      <c r="AA192" s="16">
        <f t="shared" si="265"/>
        <v>25.099999999999994</v>
      </c>
      <c r="AB192" s="66">
        <f t="shared" si="266"/>
        <v>0.64358974358974341</v>
      </c>
      <c r="AC192" s="105" t="s">
        <v>5084</v>
      </c>
      <c r="AD192" s="23" t="s">
        <v>1063</v>
      </c>
      <c r="AE192" s="89">
        <v>44278</v>
      </c>
      <c r="AF192" s="91">
        <v>44292</v>
      </c>
      <c r="AG192" s="34">
        <f t="shared" si="267"/>
        <v>14</v>
      </c>
      <c r="AH192" s="44" t="s">
        <v>3336</v>
      </c>
      <c r="AJ192" s="23"/>
    </row>
    <row r="193" spans="1:40">
      <c r="A193" s="135" t="s">
        <v>4996</v>
      </c>
      <c r="B193" s="84">
        <v>49</v>
      </c>
      <c r="C193" s="84">
        <v>69</v>
      </c>
      <c r="D193" s="84">
        <v>32</v>
      </c>
      <c r="E193" s="84">
        <v>224</v>
      </c>
      <c r="F193" s="59">
        <v>19.45</v>
      </c>
      <c r="G193" s="84">
        <v>6781</v>
      </c>
      <c r="H193" s="9" t="s">
        <v>559</v>
      </c>
      <c r="I193" s="23" t="s">
        <v>4991</v>
      </c>
      <c r="J193" s="371">
        <v>77.16</v>
      </c>
      <c r="K193" s="77">
        <v>73</v>
      </c>
      <c r="L193" s="371"/>
      <c r="N193" s="365"/>
      <c r="P193" s="2"/>
      <c r="Q193" s="326" t="str">
        <f>IFERROR(VLOOKUP($G193,主力整理!$A$2:$G$2301,6,0),"0")</f>
        <v>0</v>
      </c>
      <c r="T193" s="339">
        <f t="shared" si="268"/>
        <v>0</v>
      </c>
      <c r="W193" s="35">
        <v>5.3</v>
      </c>
      <c r="X193" s="59">
        <f t="shared" si="269"/>
        <v>8.3072100313479613E-3</v>
      </c>
      <c r="Y193" s="14">
        <v>638</v>
      </c>
      <c r="Z193" s="69">
        <v>168</v>
      </c>
      <c r="AA193" s="16">
        <f t="shared" ref="AA193:AA224" si="270">Y193-Z193</f>
        <v>470</v>
      </c>
      <c r="AB193" s="158">
        <f t="shared" ref="AB193:AB224" si="271">AA193/Z193</f>
        <v>2.7976190476190474</v>
      </c>
      <c r="AC193" s="105" t="s">
        <v>4995</v>
      </c>
      <c r="AD193" s="23" t="s">
        <v>4991</v>
      </c>
      <c r="AE193" s="89">
        <v>44277</v>
      </c>
      <c r="AF193" s="91">
        <v>44287</v>
      </c>
      <c r="AG193" s="34">
        <f t="shared" ref="AG193:AG224" si="272">AF193-AE193</f>
        <v>10</v>
      </c>
      <c r="AH193" s="63" t="s">
        <v>4997</v>
      </c>
      <c r="AJ193" s="23"/>
    </row>
    <row r="194" spans="1:40">
      <c r="A194" s="151" t="s">
        <v>4600</v>
      </c>
      <c r="B194" s="84">
        <v>88</v>
      </c>
      <c r="C194" s="84">
        <v>84</v>
      </c>
      <c r="D194" s="85">
        <v>-25</v>
      </c>
      <c r="E194" s="85">
        <v>-15</v>
      </c>
      <c r="F194" s="7">
        <v>-5.24</v>
      </c>
      <c r="G194" s="84">
        <v>5468</v>
      </c>
      <c r="H194" s="154" t="s">
        <v>4925</v>
      </c>
      <c r="I194" s="17" t="s">
        <v>661</v>
      </c>
      <c r="J194" s="371">
        <v>44.24</v>
      </c>
      <c r="K194" s="77">
        <v>0.28000000000000003</v>
      </c>
      <c r="N194" s="365">
        <f t="shared" ref="N194:N225" si="273">K194+J194+L194</f>
        <v>44.52</v>
      </c>
      <c r="P194" s="2"/>
      <c r="Q194" s="326" t="str">
        <f>IFERROR(VLOOKUP($G194,主力整理!$A$2:$G$2301,6,0),"0")</f>
        <v>0</v>
      </c>
      <c r="T194" s="339">
        <f t="shared" si="268"/>
        <v>0</v>
      </c>
      <c r="W194" s="35">
        <v>0</v>
      </c>
      <c r="X194" s="100">
        <f t="shared" si="269"/>
        <v>0</v>
      </c>
      <c r="Y194" s="37">
        <v>21.5</v>
      </c>
      <c r="Z194" s="69">
        <v>10</v>
      </c>
      <c r="AA194" s="16">
        <f t="shared" si="270"/>
        <v>11.5</v>
      </c>
      <c r="AB194" s="158">
        <f t="shared" si="271"/>
        <v>1.1499999999999999</v>
      </c>
      <c r="AC194" s="105" t="s">
        <v>2435</v>
      </c>
      <c r="AD194" s="17" t="s">
        <v>661</v>
      </c>
      <c r="AE194" s="89">
        <v>44272</v>
      </c>
      <c r="AF194" s="91">
        <v>44284</v>
      </c>
      <c r="AG194" s="34">
        <f t="shared" si="272"/>
        <v>12</v>
      </c>
      <c r="AH194" s="44" t="s">
        <v>3749</v>
      </c>
      <c r="AJ194" s="17"/>
    </row>
    <row r="195" spans="1:40">
      <c r="A195" s="151" t="s">
        <v>2574</v>
      </c>
      <c r="B195" s="84">
        <v>124</v>
      </c>
      <c r="C195" s="84">
        <v>122</v>
      </c>
      <c r="D195" s="85">
        <v>-86</v>
      </c>
      <c r="E195" s="85">
        <v>-15</v>
      </c>
      <c r="F195" s="7">
        <v>8.69</v>
      </c>
      <c r="G195" s="84">
        <v>4726</v>
      </c>
      <c r="H195" s="9" t="s">
        <v>560</v>
      </c>
      <c r="I195" s="17" t="s">
        <v>1134</v>
      </c>
      <c r="J195" s="77">
        <v>40.51</v>
      </c>
      <c r="K195" s="77">
        <v>0.15</v>
      </c>
      <c r="N195" s="365">
        <f t="shared" si="273"/>
        <v>40.659999999999997</v>
      </c>
      <c r="P195" s="2"/>
      <c r="Q195" s="326">
        <f>IFERROR(VLOOKUP($G195,主力整理!$A$2:$G$2301,6,0),"0")</f>
        <v>1</v>
      </c>
      <c r="T195" s="339">
        <f t="shared" si="268"/>
        <v>1</v>
      </c>
      <c r="W195" s="35">
        <v>0</v>
      </c>
      <c r="X195" s="100">
        <f t="shared" si="269"/>
        <v>0</v>
      </c>
      <c r="Y195" s="37">
        <v>34.65</v>
      </c>
      <c r="Z195" s="69">
        <v>30.5</v>
      </c>
      <c r="AA195" s="16">
        <f t="shared" si="270"/>
        <v>4.1499999999999986</v>
      </c>
      <c r="AB195" s="66">
        <f t="shared" si="271"/>
        <v>0.13606557377049175</v>
      </c>
      <c r="AC195" s="105" t="s">
        <v>4967</v>
      </c>
      <c r="AD195" s="17" t="s">
        <v>1134</v>
      </c>
      <c r="AE195" s="89">
        <v>44271</v>
      </c>
      <c r="AF195" s="91">
        <v>44281</v>
      </c>
      <c r="AG195" s="34">
        <f t="shared" si="272"/>
        <v>10</v>
      </c>
      <c r="AH195" s="44" t="s">
        <v>4710</v>
      </c>
      <c r="AJ195" s="17"/>
    </row>
    <row r="196" spans="1:40">
      <c r="A196" s="135" t="s">
        <v>2233</v>
      </c>
      <c r="B196" s="85">
        <v>-33</v>
      </c>
      <c r="C196" s="85">
        <v>-26</v>
      </c>
      <c r="D196" s="84">
        <v>5</v>
      </c>
      <c r="E196" s="84">
        <v>29</v>
      </c>
      <c r="F196" s="59">
        <v>10.95</v>
      </c>
      <c r="G196" s="84">
        <v>6706</v>
      </c>
      <c r="H196" s="9" t="s">
        <v>2910</v>
      </c>
      <c r="I196" s="23" t="s">
        <v>2695</v>
      </c>
      <c r="J196" s="77">
        <v>26.96</v>
      </c>
      <c r="K196" s="371">
        <v>10.23</v>
      </c>
      <c r="L196" s="371">
        <v>30.05</v>
      </c>
      <c r="N196" s="365">
        <f t="shared" si="273"/>
        <v>67.239999999999995</v>
      </c>
      <c r="P196" s="2"/>
      <c r="Q196" s="326">
        <f>IFERROR(VLOOKUP($G196,主力整理!$A$2:$G$2301,6,0),"0")</f>
        <v>5</v>
      </c>
      <c r="T196" s="339">
        <f t="shared" si="268"/>
        <v>5</v>
      </c>
      <c r="V196" s="371">
        <v>0.71</v>
      </c>
      <c r="W196" s="35">
        <v>3.97</v>
      </c>
      <c r="X196" s="100">
        <f t="shared" si="269"/>
        <v>2.3491124260355031E-2</v>
      </c>
      <c r="Y196" s="37">
        <v>169</v>
      </c>
      <c r="Z196" s="46">
        <v>126</v>
      </c>
      <c r="AA196" s="16">
        <f t="shared" si="270"/>
        <v>43</v>
      </c>
      <c r="AB196" s="66">
        <f t="shared" si="271"/>
        <v>0.34126984126984128</v>
      </c>
      <c r="AC196" s="105" t="s">
        <v>4963</v>
      </c>
      <c r="AD196" s="23" t="s">
        <v>2695</v>
      </c>
      <c r="AE196" s="89">
        <v>44265</v>
      </c>
      <c r="AF196" s="91">
        <v>44277</v>
      </c>
      <c r="AG196" s="34">
        <f t="shared" si="272"/>
        <v>12</v>
      </c>
      <c r="AH196" s="50" t="s">
        <v>2886</v>
      </c>
      <c r="AJ196" s="23"/>
    </row>
    <row r="197" spans="1:40">
      <c r="A197" s="135" t="s">
        <v>4007</v>
      </c>
      <c r="B197" s="84">
        <v>6</v>
      </c>
      <c r="C197" s="84">
        <v>5</v>
      </c>
      <c r="D197" s="84">
        <v>13</v>
      </c>
      <c r="E197" s="84">
        <v>59</v>
      </c>
      <c r="F197" s="59">
        <v>23.04</v>
      </c>
      <c r="G197" s="84">
        <v>6224</v>
      </c>
      <c r="H197" s="216" t="s">
        <v>559</v>
      </c>
      <c r="I197" s="23" t="s">
        <v>420</v>
      </c>
      <c r="J197" s="77">
        <v>28.54</v>
      </c>
      <c r="K197" s="371">
        <v>13.7</v>
      </c>
      <c r="L197" s="77">
        <v>20.13</v>
      </c>
      <c r="N197" s="365">
        <f t="shared" si="273"/>
        <v>62.36999999999999</v>
      </c>
      <c r="P197" s="2"/>
      <c r="Q197" s="326">
        <f>IFERROR(VLOOKUP($G197,主力整理!$A$2:$G$2301,6,0),"0")</f>
        <v>4</v>
      </c>
      <c r="T197" s="339">
        <f t="shared" si="268"/>
        <v>4</v>
      </c>
      <c r="V197" s="371">
        <v>0.53</v>
      </c>
      <c r="W197" s="35">
        <v>4</v>
      </c>
      <c r="X197" s="100">
        <f t="shared" si="269"/>
        <v>3.3898305084745763E-2</v>
      </c>
      <c r="Y197" s="37">
        <v>118</v>
      </c>
      <c r="Z197" s="46">
        <v>68</v>
      </c>
      <c r="AA197" s="16">
        <f t="shared" si="270"/>
        <v>50</v>
      </c>
      <c r="AB197" s="66">
        <f t="shared" si="271"/>
        <v>0.73529411764705888</v>
      </c>
      <c r="AC197" s="105" t="s">
        <v>4581</v>
      </c>
      <c r="AD197" s="23" t="s">
        <v>420</v>
      </c>
      <c r="AE197" s="89">
        <v>44232</v>
      </c>
      <c r="AF197" s="91">
        <v>44244</v>
      </c>
      <c r="AG197" s="34">
        <f t="shared" si="272"/>
        <v>12</v>
      </c>
      <c r="AH197" s="50" t="s">
        <v>4010</v>
      </c>
      <c r="AJ197" s="23"/>
    </row>
    <row r="198" spans="1:40" ht="16.5" customHeight="1">
      <c r="A198" s="151" t="s">
        <v>4008</v>
      </c>
      <c r="B198" s="99">
        <v>-2891</v>
      </c>
      <c r="C198" s="84">
        <v>13</v>
      </c>
      <c r="D198" s="85">
        <v>-31</v>
      </c>
      <c r="E198" s="85">
        <v>-99</v>
      </c>
      <c r="F198" s="77">
        <v>-591.20000000000005</v>
      </c>
      <c r="G198" s="85">
        <v>2718</v>
      </c>
      <c r="H198" s="5" t="s">
        <v>552</v>
      </c>
      <c r="I198" s="17" t="s">
        <v>1579</v>
      </c>
      <c r="J198" s="77">
        <v>85.67</v>
      </c>
      <c r="K198" s="77">
        <v>0</v>
      </c>
      <c r="L198" s="371"/>
      <c r="N198" s="365">
        <f t="shared" si="273"/>
        <v>85.67</v>
      </c>
      <c r="P198" s="2"/>
      <c r="Q198" s="326" t="str">
        <f>IFERROR(VLOOKUP($G198,主力整理!$A$2:$G$2301,6,0),"0")</f>
        <v>0</v>
      </c>
      <c r="T198" s="339">
        <f t="shared" si="268"/>
        <v>0</v>
      </c>
      <c r="W198" s="35">
        <v>0</v>
      </c>
      <c r="X198" s="59">
        <f t="shared" si="269"/>
        <v>0</v>
      </c>
      <c r="Y198" s="37">
        <v>17.850000000000001</v>
      </c>
      <c r="Z198" s="69">
        <v>17</v>
      </c>
      <c r="AA198" s="16">
        <f t="shared" si="270"/>
        <v>0.85000000000000142</v>
      </c>
      <c r="AB198" s="66">
        <f t="shared" si="271"/>
        <v>5.0000000000000086E-2</v>
      </c>
      <c r="AC198" s="105" t="s">
        <v>4580</v>
      </c>
      <c r="AD198" s="17" t="s">
        <v>1579</v>
      </c>
      <c r="AE198" s="89">
        <v>44232</v>
      </c>
      <c r="AF198" s="91">
        <v>44244</v>
      </c>
      <c r="AG198" s="34">
        <f t="shared" si="272"/>
        <v>12</v>
      </c>
      <c r="AH198" s="44" t="s">
        <v>4009</v>
      </c>
      <c r="AJ198" s="17"/>
    </row>
    <row r="199" spans="1:40">
      <c r="A199" s="151" t="s">
        <v>2780</v>
      </c>
      <c r="B199" s="85">
        <v>-71</v>
      </c>
      <c r="C199" s="85">
        <v>-61</v>
      </c>
      <c r="D199" s="84">
        <v>9</v>
      </c>
      <c r="E199" s="84">
        <v>17</v>
      </c>
      <c r="F199" s="7">
        <v>7</v>
      </c>
      <c r="G199" s="84">
        <v>1536</v>
      </c>
      <c r="H199" s="5" t="s">
        <v>2863</v>
      </c>
      <c r="I199" s="23" t="s">
        <v>243</v>
      </c>
      <c r="J199" s="77">
        <v>54.11</v>
      </c>
      <c r="K199" s="371">
        <v>16.73</v>
      </c>
      <c r="L199" s="77">
        <v>7.13</v>
      </c>
      <c r="N199" s="365">
        <f t="shared" si="273"/>
        <v>77.97</v>
      </c>
      <c r="P199" s="2"/>
      <c r="Q199" s="326" t="str">
        <f>IFERROR(VLOOKUP($G199,主力整理!$A$2:$G$2301,6,0),"0")</f>
        <v>0</v>
      </c>
      <c r="T199" s="339">
        <f t="shared" si="268"/>
        <v>0</v>
      </c>
      <c r="V199" s="371">
        <v>0.28000000000000003</v>
      </c>
      <c r="W199" s="35">
        <v>2</v>
      </c>
      <c r="X199" s="59">
        <f t="shared" si="269"/>
        <v>1.6666666666666666E-2</v>
      </c>
      <c r="Y199" s="37">
        <v>120</v>
      </c>
      <c r="Z199" s="69">
        <v>90</v>
      </c>
      <c r="AA199" s="16">
        <f t="shared" si="270"/>
        <v>30</v>
      </c>
      <c r="AB199" s="66">
        <f t="shared" si="271"/>
        <v>0.33333333333333331</v>
      </c>
      <c r="AC199" s="105" t="s">
        <v>4574</v>
      </c>
      <c r="AD199" s="23" t="s">
        <v>243</v>
      </c>
      <c r="AE199" s="89">
        <v>44231</v>
      </c>
      <c r="AF199" s="91">
        <v>44244</v>
      </c>
      <c r="AG199" s="34">
        <f t="shared" si="272"/>
        <v>13</v>
      </c>
      <c r="AH199" s="125" t="s">
        <v>3696</v>
      </c>
      <c r="AJ199" s="23"/>
    </row>
    <row r="200" spans="1:40">
      <c r="A200" s="151" t="s">
        <v>2956</v>
      </c>
      <c r="B200" s="84">
        <v>23</v>
      </c>
      <c r="C200" s="85">
        <v>-1</v>
      </c>
      <c r="D200" s="85">
        <v>-52</v>
      </c>
      <c r="E200" s="84">
        <v>125</v>
      </c>
      <c r="F200" s="77">
        <v>-232.61</v>
      </c>
      <c r="G200" s="85">
        <v>4108</v>
      </c>
      <c r="H200" s="213" t="s">
        <v>560</v>
      </c>
      <c r="I200" s="23" t="s">
        <v>1173</v>
      </c>
      <c r="J200" s="77">
        <v>22.9</v>
      </c>
      <c r="K200" s="371">
        <v>0.88</v>
      </c>
      <c r="L200" s="371"/>
      <c r="N200" s="365">
        <f t="shared" si="273"/>
        <v>23.779999999999998</v>
      </c>
      <c r="P200" s="2"/>
      <c r="Q200" s="326" t="str">
        <f>IFERROR(VLOOKUP($G200,主力整理!$A$2:$G$2301,6,0),"0")</f>
        <v>0</v>
      </c>
      <c r="T200" s="339">
        <f t="shared" si="268"/>
        <v>0</v>
      </c>
      <c r="W200" s="35">
        <v>0</v>
      </c>
      <c r="X200" s="100">
        <f t="shared" si="269"/>
        <v>0</v>
      </c>
      <c r="Y200" s="37">
        <v>24.75</v>
      </c>
      <c r="Z200" s="69">
        <v>20</v>
      </c>
      <c r="AA200" s="16">
        <f t="shared" si="270"/>
        <v>4.75</v>
      </c>
      <c r="AB200" s="66">
        <f t="shared" si="271"/>
        <v>0.23749999999999999</v>
      </c>
      <c r="AC200" s="105" t="s">
        <v>1468</v>
      </c>
      <c r="AD200" s="23" t="s">
        <v>1173</v>
      </c>
      <c r="AE200" s="89">
        <v>44230</v>
      </c>
      <c r="AF200" s="91">
        <v>44244</v>
      </c>
      <c r="AG200" s="34">
        <f t="shared" si="272"/>
        <v>14</v>
      </c>
      <c r="AH200" s="44" t="s">
        <v>3718</v>
      </c>
      <c r="AJ200" s="23"/>
    </row>
    <row r="201" spans="1:40">
      <c r="A201" s="151" t="s">
        <v>2925</v>
      </c>
      <c r="B201" s="84">
        <v>29</v>
      </c>
      <c r="C201" s="85">
        <v>-16</v>
      </c>
      <c r="D201" s="84">
        <v>5</v>
      </c>
      <c r="E201" s="84">
        <v>48</v>
      </c>
      <c r="F201" s="7">
        <v>4.82</v>
      </c>
      <c r="G201" s="85">
        <v>1785</v>
      </c>
      <c r="H201" s="9" t="s">
        <v>566</v>
      </c>
      <c r="I201" s="17" t="s">
        <v>556</v>
      </c>
      <c r="J201" s="77">
        <v>37.92</v>
      </c>
      <c r="K201" s="77">
        <v>12.28</v>
      </c>
      <c r="L201" s="77">
        <v>19.77</v>
      </c>
      <c r="N201" s="365">
        <f t="shared" si="273"/>
        <v>69.97</v>
      </c>
      <c r="Q201" s="326">
        <f>IFERROR(VLOOKUP($G201,主力整理!$A$2:$G$2301,6,0),"0")</f>
        <v>7</v>
      </c>
      <c r="T201" s="339">
        <f t="shared" si="268"/>
        <v>7</v>
      </c>
      <c r="V201" s="371">
        <v>0.28000000000000003</v>
      </c>
      <c r="W201" s="35">
        <v>1</v>
      </c>
      <c r="X201" s="100">
        <f t="shared" si="269"/>
        <v>2.2075055187637971E-2</v>
      </c>
      <c r="Y201" s="37">
        <v>45.3</v>
      </c>
      <c r="Z201" s="69">
        <v>36</v>
      </c>
      <c r="AA201" s="16">
        <f t="shared" si="270"/>
        <v>9.2999999999999972</v>
      </c>
      <c r="AB201" s="66">
        <f t="shared" si="271"/>
        <v>0.25833333333333325</v>
      </c>
      <c r="AC201" s="105" t="s">
        <v>1550</v>
      </c>
      <c r="AD201" s="17" t="s">
        <v>556</v>
      </c>
      <c r="AE201" s="89">
        <v>44229</v>
      </c>
      <c r="AF201" s="91">
        <v>44244</v>
      </c>
      <c r="AG201" s="34">
        <f t="shared" si="272"/>
        <v>15</v>
      </c>
      <c r="AH201" s="44" t="s">
        <v>3619</v>
      </c>
      <c r="AJ201" s="17"/>
    </row>
    <row r="202" spans="1:40">
      <c r="A202" s="135" t="s">
        <v>4605</v>
      </c>
      <c r="B202" s="84">
        <v>15</v>
      </c>
      <c r="C202" s="84">
        <v>24</v>
      </c>
      <c r="D202" s="84">
        <v>17</v>
      </c>
      <c r="E202" s="84">
        <v>75</v>
      </c>
      <c r="F202" s="59">
        <v>12.84</v>
      </c>
      <c r="G202" s="84">
        <v>6651</v>
      </c>
      <c r="H202" s="212" t="s">
        <v>558</v>
      </c>
      <c r="I202" s="17" t="s">
        <v>3717</v>
      </c>
      <c r="J202" s="371">
        <v>22.99</v>
      </c>
      <c r="K202" s="371">
        <v>0.77</v>
      </c>
      <c r="L202" s="371"/>
      <c r="N202" s="365">
        <f t="shared" si="273"/>
        <v>23.759999999999998</v>
      </c>
      <c r="P202" s="2"/>
      <c r="Q202" s="326" t="str">
        <f>IFERROR(VLOOKUP($G202,主力整理!$A$2:$G$2301,6,0),"0")</f>
        <v>0</v>
      </c>
      <c r="T202" s="339">
        <f t="shared" si="268"/>
        <v>0</v>
      </c>
      <c r="W202" s="35">
        <v>2</v>
      </c>
      <c r="X202" s="100">
        <f t="shared" si="269"/>
        <v>2.0898641588296761E-2</v>
      </c>
      <c r="Y202" s="37">
        <v>95.7</v>
      </c>
      <c r="Z202" s="69">
        <v>50.6</v>
      </c>
      <c r="AA202" s="16">
        <f t="shared" si="270"/>
        <v>45.1</v>
      </c>
      <c r="AB202" s="66">
        <f t="shared" si="271"/>
        <v>0.89130434782608692</v>
      </c>
      <c r="AC202" s="105" t="s">
        <v>4568</v>
      </c>
      <c r="AD202" s="17" t="s">
        <v>3717</v>
      </c>
      <c r="AE202" s="89">
        <v>44228</v>
      </c>
      <c r="AF202" s="91">
        <v>44244</v>
      </c>
      <c r="AG202" s="34">
        <f t="shared" si="272"/>
        <v>16</v>
      </c>
      <c r="AH202" s="63" t="s">
        <v>4567</v>
      </c>
      <c r="AJ202" s="17"/>
    </row>
    <row r="203" spans="1:40">
      <c r="A203" s="151" t="s">
        <v>2760</v>
      </c>
      <c r="B203" s="85">
        <v>-1</v>
      </c>
      <c r="C203" s="84">
        <v>13</v>
      </c>
      <c r="D203" s="85">
        <v>-8</v>
      </c>
      <c r="E203" s="96"/>
      <c r="F203" s="48">
        <v>-9745</v>
      </c>
      <c r="G203" s="85">
        <v>6733</v>
      </c>
      <c r="H203" s="5" t="s">
        <v>560</v>
      </c>
      <c r="I203" s="17" t="s">
        <v>3664</v>
      </c>
      <c r="J203" s="77">
        <v>55.21</v>
      </c>
      <c r="K203" s="77">
        <v>8.14</v>
      </c>
      <c r="L203" s="371"/>
      <c r="N203" s="365">
        <f t="shared" si="273"/>
        <v>63.35</v>
      </c>
      <c r="P203" s="2"/>
      <c r="Q203" s="326" t="str">
        <f>IFERROR(VLOOKUP($G203,主力整理!$A$2:$G$2301,6,0),"0")</f>
        <v>0</v>
      </c>
      <c r="T203" s="339">
        <f t="shared" si="268"/>
        <v>0</v>
      </c>
      <c r="W203" s="35">
        <v>0</v>
      </c>
      <c r="X203" s="59">
        <f t="shared" si="269"/>
        <v>0</v>
      </c>
      <c r="Y203" s="37">
        <v>27.75</v>
      </c>
      <c r="Z203" s="69">
        <v>28</v>
      </c>
      <c r="AA203" s="16">
        <f t="shared" si="270"/>
        <v>-0.25</v>
      </c>
      <c r="AB203" s="80">
        <f t="shared" si="271"/>
        <v>-8.9285714285714281E-3</v>
      </c>
      <c r="AC203" s="105" t="s">
        <v>4557</v>
      </c>
      <c r="AD203" s="17" t="s">
        <v>3664</v>
      </c>
      <c r="AE203" s="89">
        <v>44224</v>
      </c>
      <c r="AF203" s="91">
        <v>44244</v>
      </c>
      <c r="AG203" s="34">
        <f t="shared" si="272"/>
        <v>20</v>
      </c>
      <c r="AH203" s="44" t="s">
        <v>3665</v>
      </c>
      <c r="AJ203" s="17"/>
    </row>
    <row r="204" spans="1:40">
      <c r="A204" s="151" t="s">
        <v>2555</v>
      </c>
      <c r="B204" s="85">
        <v>-13</v>
      </c>
      <c r="C204" s="85">
        <v>-12</v>
      </c>
      <c r="D204" s="84">
        <v>14</v>
      </c>
      <c r="E204" s="84">
        <v>4</v>
      </c>
      <c r="F204" s="7">
        <v>3.77</v>
      </c>
      <c r="G204" s="84">
        <v>4739</v>
      </c>
      <c r="H204" s="9" t="s">
        <v>1308</v>
      </c>
      <c r="I204" s="23" t="s">
        <v>330</v>
      </c>
      <c r="J204" s="77">
        <v>38.479999999999997</v>
      </c>
      <c r="K204" s="77">
        <v>2.95</v>
      </c>
      <c r="L204" s="77">
        <v>11.21</v>
      </c>
      <c r="N204" s="365">
        <f t="shared" si="273"/>
        <v>52.64</v>
      </c>
      <c r="P204" s="2"/>
      <c r="Q204" s="326">
        <f>IFERROR(VLOOKUP($G204,主力整理!$A$2:$G$2301,6,0),"0")</f>
        <v>3</v>
      </c>
      <c r="T204" s="339">
        <f t="shared" si="268"/>
        <v>3</v>
      </c>
      <c r="V204" s="371">
        <v>0.04</v>
      </c>
      <c r="W204" s="35">
        <v>1.23</v>
      </c>
      <c r="X204" s="100">
        <f t="shared" si="269"/>
        <v>1.9069767441860466E-2</v>
      </c>
      <c r="Y204" s="37">
        <v>64.5</v>
      </c>
      <c r="Z204" s="69">
        <v>50</v>
      </c>
      <c r="AA204" s="16">
        <f t="shared" si="270"/>
        <v>14.5</v>
      </c>
      <c r="AB204" s="66">
        <f t="shared" si="271"/>
        <v>0.28999999999999998</v>
      </c>
      <c r="AC204" s="105" t="s">
        <v>4558</v>
      </c>
      <c r="AD204" s="23" t="s">
        <v>330</v>
      </c>
      <c r="AE204" s="89">
        <v>44224</v>
      </c>
      <c r="AF204" s="91">
        <v>44244</v>
      </c>
      <c r="AG204" s="34">
        <f t="shared" si="272"/>
        <v>20</v>
      </c>
      <c r="AH204" s="125" t="s">
        <v>3660</v>
      </c>
      <c r="AI204" s="254"/>
      <c r="AJ204" s="23"/>
      <c r="AM204" s="296"/>
      <c r="AN204" s="275"/>
    </row>
    <row r="205" spans="1:40">
      <c r="A205" s="151" t="s">
        <v>2339</v>
      </c>
      <c r="B205" s="84">
        <v>12</v>
      </c>
      <c r="C205" s="84">
        <v>11</v>
      </c>
      <c r="D205" s="85">
        <v>-68</v>
      </c>
      <c r="E205" s="85">
        <v>-45</v>
      </c>
      <c r="F205" s="7">
        <v>9.09</v>
      </c>
      <c r="G205" s="85">
        <v>6661</v>
      </c>
      <c r="H205" s="5" t="s">
        <v>560</v>
      </c>
      <c r="I205" s="17" t="s">
        <v>3658</v>
      </c>
      <c r="J205" s="371">
        <v>46.93</v>
      </c>
      <c r="K205" s="77">
        <v>0</v>
      </c>
      <c r="L205" s="371"/>
      <c r="N205" s="365">
        <f t="shared" si="273"/>
        <v>46.93</v>
      </c>
      <c r="P205" s="2"/>
      <c r="Q205" s="326" t="str">
        <f>IFERROR(VLOOKUP($G205,主力整理!$A$2:$G$2301,6,0),"0")</f>
        <v>0</v>
      </c>
      <c r="T205" s="339">
        <f t="shared" si="268"/>
        <v>0</v>
      </c>
      <c r="W205" s="35">
        <v>1.34</v>
      </c>
      <c r="X205" s="100">
        <f t="shared" si="269"/>
        <v>5.2549019607843139E-2</v>
      </c>
      <c r="Y205" s="37">
        <v>25.5</v>
      </c>
      <c r="Z205" s="69">
        <v>26</v>
      </c>
      <c r="AA205" s="16">
        <f t="shared" si="270"/>
        <v>-0.5</v>
      </c>
      <c r="AB205" s="80">
        <f t="shared" si="271"/>
        <v>-1.9230769230769232E-2</v>
      </c>
      <c r="AC205" s="105" t="s">
        <v>4497</v>
      </c>
      <c r="AD205" s="17" t="s">
        <v>3658</v>
      </c>
      <c r="AE205" s="89">
        <v>44223</v>
      </c>
      <c r="AF205" s="91">
        <v>44244</v>
      </c>
      <c r="AG205" s="34">
        <f t="shared" si="272"/>
        <v>21</v>
      </c>
      <c r="AH205" s="44" t="s">
        <v>3659</v>
      </c>
      <c r="AJ205" s="17"/>
    </row>
    <row r="206" spans="1:40">
      <c r="A206" s="151" t="s">
        <v>4589</v>
      </c>
      <c r="B206" s="84">
        <v>164</v>
      </c>
      <c r="C206" s="85">
        <v>-19</v>
      </c>
      <c r="D206" s="84">
        <v>-38</v>
      </c>
      <c r="E206" s="84">
        <v>54</v>
      </c>
      <c r="F206" s="7">
        <v>6.84</v>
      </c>
      <c r="G206" s="84">
        <v>3680</v>
      </c>
      <c r="H206" s="203" t="s">
        <v>558</v>
      </c>
      <c r="I206" s="17" t="s">
        <v>656</v>
      </c>
      <c r="J206" s="371">
        <v>41.07</v>
      </c>
      <c r="K206" s="77">
        <v>13.2</v>
      </c>
      <c r="L206" s="77">
        <v>22.84</v>
      </c>
      <c r="N206" s="365">
        <f t="shared" si="273"/>
        <v>77.11</v>
      </c>
      <c r="Q206" s="326" t="str">
        <f>IFERROR(VLOOKUP($G206,主力整理!$A$2:$G$2301,6,0),"0")</f>
        <v>0</v>
      </c>
      <c r="T206" s="339">
        <f t="shared" si="268"/>
        <v>0</v>
      </c>
      <c r="V206" s="371">
        <v>2.06</v>
      </c>
      <c r="W206" s="35">
        <v>1.5</v>
      </c>
      <c r="X206" s="100">
        <f t="shared" si="269"/>
        <v>4.2194092827004216E-3</v>
      </c>
      <c r="Y206" s="37">
        <v>355.5</v>
      </c>
      <c r="Z206" s="46">
        <v>236</v>
      </c>
      <c r="AA206" s="16">
        <f t="shared" si="270"/>
        <v>119.5</v>
      </c>
      <c r="AB206" s="66">
        <f t="shared" si="271"/>
        <v>0.50635593220338981</v>
      </c>
      <c r="AC206" s="105" t="s">
        <v>4498</v>
      </c>
      <c r="AD206" s="17" t="s">
        <v>656</v>
      </c>
      <c r="AE206" s="89">
        <v>44223</v>
      </c>
      <c r="AF206" s="91">
        <v>44244</v>
      </c>
      <c r="AG206" s="34">
        <f t="shared" si="272"/>
        <v>21</v>
      </c>
      <c r="AH206" s="44" t="s">
        <v>3048</v>
      </c>
      <c r="AJ206" s="17"/>
    </row>
    <row r="207" spans="1:40">
      <c r="A207" s="151" t="s">
        <v>4579</v>
      </c>
      <c r="B207" s="85">
        <v>-59</v>
      </c>
      <c r="C207" s="85">
        <v>-1</v>
      </c>
      <c r="D207" s="84">
        <v>28</v>
      </c>
      <c r="E207" s="85">
        <v>-18</v>
      </c>
      <c r="F207" s="7">
        <v>-47.36</v>
      </c>
      <c r="G207" s="85">
        <v>6767</v>
      </c>
      <c r="H207" s="4" t="s">
        <v>560</v>
      </c>
      <c r="I207" s="17" t="s">
        <v>3645</v>
      </c>
      <c r="J207" s="371">
        <v>46.25</v>
      </c>
      <c r="K207" s="77">
        <v>0.06</v>
      </c>
      <c r="N207" s="365">
        <f t="shared" si="273"/>
        <v>46.31</v>
      </c>
      <c r="P207" s="2"/>
      <c r="Q207" s="326" t="str">
        <f>IFERROR(VLOOKUP($G207,主力整理!$A$2:$G$2301,6,0),"0")</f>
        <v>0</v>
      </c>
      <c r="T207" s="339">
        <f t="shared" si="268"/>
        <v>0</v>
      </c>
      <c r="W207" s="35">
        <v>0</v>
      </c>
      <c r="X207" s="100">
        <f t="shared" si="269"/>
        <v>0</v>
      </c>
      <c r="Y207" s="37">
        <v>32.450000000000003</v>
      </c>
      <c r="Z207" s="69">
        <v>30</v>
      </c>
      <c r="AA207" s="16">
        <f t="shared" si="270"/>
        <v>2.4500000000000028</v>
      </c>
      <c r="AB207" s="66">
        <f t="shared" si="271"/>
        <v>8.1666666666666762E-2</v>
      </c>
      <c r="AC207" s="105" t="s">
        <v>1576</v>
      </c>
      <c r="AD207" s="17" t="s">
        <v>3645</v>
      </c>
      <c r="AE207" s="89">
        <v>44221</v>
      </c>
      <c r="AF207" s="91">
        <v>44231</v>
      </c>
      <c r="AG207" s="34">
        <f t="shared" si="272"/>
        <v>10</v>
      </c>
      <c r="AH207" s="44" t="s">
        <v>3647</v>
      </c>
      <c r="AJ207" s="17"/>
    </row>
    <row r="208" spans="1:40">
      <c r="A208" s="151" t="s">
        <v>3618</v>
      </c>
      <c r="B208" s="99">
        <v>-1759</v>
      </c>
      <c r="C208" s="85">
        <v>-610</v>
      </c>
      <c r="D208" s="84">
        <v>11</v>
      </c>
      <c r="E208" s="84">
        <v>234</v>
      </c>
      <c r="F208" s="7">
        <v>-4.6399999999999997</v>
      </c>
      <c r="G208" s="85">
        <v>5011</v>
      </c>
      <c r="H208" s="4" t="s">
        <v>548</v>
      </c>
      <c r="I208" s="17" t="s">
        <v>1423</v>
      </c>
      <c r="J208" s="371">
        <v>32.72</v>
      </c>
      <c r="K208" s="77">
        <v>2.16</v>
      </c>
      <c r="L208" s="77">
        <v>29.82</v>
      </c>
      <c r="N208" s="365">
        <f t="shared" si="273"/>
        <v>64.699999999999989</v>
      </c>
      <c r="P208" s="2"/>
      <c r="Q208" s="326" t="str">
        <f>IFERROR(VLOOKUP($G208,主力整理!$A$2:$G$2301,6,0),"0")</f>
        <v>0</v>
      </c>
      <c r="T208" s="339">
        <f t="shared" si="268"/>
        <v>0</v>
      </c>
      <c r="V208" s="371">
        <v>1.96</v>
      </c>
      <c r="W208" s="35">
        <v>0</v>
      </c>
      <c r="X208" s="100">
        <f t="shared" si="269"/>
        <v>0</v>
      </c>
      <c r="Y208" s="37">
        <v>30.7</v>
      </c>
      <c r="Z208" s="46">
        <v>32.5</v>
      </c>
      <c r="AA208" s="16">
        <f t="shared" si="270"/>
        <v>-1.8000000000000007</v>
      </c>
      <c r="AB208" s="80">
        <f t="shared" si="271"/>
        <v>-5.5384615384615407E-2</v>
      </c>
      <c r="AC208" s="105" t="s">
        <v>4345</v>
      </c>
      <c r="AD208" s="17" t="s">
        <v>1423</v>
      </c>
      <c r="AE208" s="89">
        <v>44221</v>
      </c>
      <c r="AF208" s="91">
        <v>44231</v>
      </c>
      <c r="AG208" s="34">
        <f t="shared" si="272"/>
        <v>10</v>
      </c>
      <c r="AH208" s="44" t="s">
        <v>3616</v>
      </c>
      <c r="AJ208" s="17"/>
    </row>
    <row r="209" spans="1:42">
      <c r="A209" s="135" t="s">
        <v>4569</v>
      </c>
      <c r="B209" s="84">
        <v>0</v>
      </c>
      <c r="C209" s="84">
        <v>1</v>
      </c>
      <c r="D209" s="85">
        <v>-16</v>
      </c>
      <c r="E209" s="85">
        <v>-3</v>
      </c>
      <c r="F209" s="59">
        <v>23.06</v>
      </c>
      <c r="G209" s="85">
        <v>6515</v>
      </c>
      <c r="H209" s="4" t="s">
        <v>558</v>
      </c>
      <c r="I209" s="23" t="s">
        <v>3615</v>
      </c>
      <c r="J209" s="371">
        <v>30.71</v>
      </c>
      <c r="K209" s="77">
        <v>4.82</v>
      </c>
      <c r="N209" s="365">
        <f t="shared" si="273"/>
        <v>35.53</v>
      </c>
      <c r="P209" s="2"/>
      <c r="Q209" s="326" t="str">
        <f>IFERROR(VLOOKUP($G209,主力整理!$A$2:$G$2301,6,0),"0")</f>
        <v>0</v>
      </c>
      <c r="T209" s="339">
        <f t="shared" si="268"/>
        <v>0</v>
      </c>
      <c r="W209" s="35">
        <v>12</v>
      </c>
      <c r="X209" s="100">
        <f t="shared" si="269"/>
        <v>2.9232643118148598E-2</v>
      </c>
      <c r="Y209" s="37">
        <v>410.5</v>
      </c>
      <c r="Z209" s="69">
        <v>348</v>
      </c>
      <c r="AA209" s="16">
        <f t="shared" si="270"/>
        <v>62.5</v>
      </c>
      <c r="AB209" s="66">
        <f t="shared" si="271"/>
        <v>0.17959770114942528</v>
      </c>
      <c r="AC209" s="105" t="s">
        <v>4014</v>
      </c>
      <c r="AD209" s="23" t="s">
        <v>3615</v>
      </c>
      <c r="AE209" s="89">
        <v>44216</v>
      </c>
      <c r="AF209" s="91">
        <v>44228</v>
      </c>
      <c r="AG209" s="34">
        <f t="shared" si="272"/>
        <v>12</v>
      </c>
      <c r="AH209" s="126" t="s">
        <v>3617</v>
      </c>
      <c r="AJ209" s="23"/>
    </row>
    <row r="210" spans="1:42">
      <c r="A210" s="135" t="s">
        <v>4566</v>
      </c>
      <c r="B210" s="84">
        <v>5</v>
      </c>
      <c r="C210" s="84">
        <v>9</v>
      </c>
      <c r="D210" s="85">
        <v>-6</v>
      </c>
      <c r="E210" s="84">
        <v>24</v>
      </c>
      <c r="F210" s="59">
        <v>30.47</v>
      </c>
      <c r="G210" s="84">
        <v>6747</v>
      </c>
      <c r="H210" s="4" t="s">
        <v>560</v>
      </c>
      <c r="I210" s="17" t="s">
        <v>3580</v>
      </c>
      <c r="J210" s="371">
        <v>77.02</v>
      </c>
      <c r="K210" s="371">
        <v>1.48</v>
      </c>
      <c r="L210" s="371"/>
      <c r="N210" s="365">
        <f t="shared" si="273"/>
        <v>78.5</v>
      </c>
      <c r="P210" s="2"/>
      <c r="Q210" s="326" t="str">
        <f>IFERROR(VLOOKUP($G210,主力整理!$A$2:$G$2301,6,0),"0")</f>
        <v>0</v>
      </c>
      <c r="T210" s="339">
        <f t="shared" si="268"/>
        <v>0</v>
      </c>
      <c r="W210" s="35">
        <v>4.55</v>
      </c>
      <c r="X210" s="100">
        <f t="shared" si="269"/>
        <v>2.3821989528795811E-2</v>
      </c>
      <c r="Y210" s="37">
        <v>191</v>
      </c>
      <c r="Z210" s="69">
        <v>100</v>
      </c>
      <c r="AA210" s="16">
        <f t="shared" si="270"/>
        <v>91</v>
      </c>
      <c r="AB210" s="158">
        <f t="shared" si="271"/>
        <v>0.91</v>
      </c>
      <c r="AC210" s="105" t="s">
        <v>3719</v>
      </c>
      <c r="AD210" s="17" t="s">
        <v>3580</v>
      </c>
      <c r="AE210" s="89">
        <v>44215</v>
      </c>
      <c r="AF210" s="91">
        <v>44225</v>
      </c>
      <c r="AG210" s="34">
        <f t="shared" si="272"/>
        <v>10</v>
      </c>
      <c r="AH210" s="63" t="s">
        <v>3646</v>
      </c>
      <c r="AJ210" s="17"/>
    </row>
    <row r="211" spans="1:42">
      <c r="A211" s="151" t="s">
        <v>2310</v>
      </c>
      <c r="B211" s="84">
        <v>86</v>
      </c>
      <c r="C211" s="84">
        <v>124</v>
      </c>
      <c r="D211" s="84">
        <v>14</v>
      </c>
      <c r="E211" s="84">
        <v>82</v>
      </c>
      <c r="F211" s="7">
        <v>4.6500000000000004</v>
      </c>
      <c r="G211" s="85">
        <v>2636</v>
      </c>
      <c r="H211" s="4" t="s">
        <v>551</v>
      </c>
      <c r="I211" s="23" t="s">
        <v>2987</v>
      </c>
      <c r="J211" s="77">
        <v>48.59</v>
      </c>
      <c r="K211" s="371">
        <v>20.76</v>
      </c>
      <c r="L211" s="371">
        <v>9.25</v>
      </c>
      <c r="N211" s="365">
        <f t="shared" si="273"/>
        <v>78.600000000000009</v>
      </c>
      <c r="P211" s="2"/>
      <c r="Q211" s="326">
        <f>IFERROR(VLOOKUP($G211,主力整理!$A$2:$G$2301,6,0),"0")</f>
        <v>7</v>
      </c>
      <c r="T211" s="339">
        <f t="shared" si="268"/>
        <v>7</v>
      </c>
      <c r="V211" s="371">
        <v>0.16</v>
      </c>
      <c r="W211" s="35">
        <v>1.32</v>
      </c>
      <c r="X211" s="100">
        <f t="shared" si="269"/>
        <v>3.4691195795006576E-2</v>
      </c>
      <c r="Y211" s="37">
        <v>38.049999999999997</v>
      </c>
      <c r="Z211" s="69">
        <v>30</v>
      </c>
      <c r="AA211" s="16">
        <f t="shared" si="270"/>
        <v>8.0499999999999972</v>
      </c>
      <c r="AB211" s="66">
        <f t="shared" si="271"/>
        <v>0.26833333333333326</v>
      </c>
      <c r="AC211" s="105" t="s">
        <v>3720</v>
      </c>
      <c r="AD211" s="23" t="s">
        <v>2987</v>
      </c>
      <c r="AE211" s="89">
        <v>44215</v>
      </c>
      <c r="AF211" s="91">
        <v>44225</v>
      </c>
      <c r="AG211" s="34">
        <f t="shared" si="272"/>
        <v>10</v>
      </c>
      <c r="AH211" s="44" t="s">
        <v>3188</v>
      </c>
      <c r="AJ211" s="23"/>
    </row>
    <row r="212" spans="1:42">
      <c r="A212" s="151" t="s">
        <v>3497</v>
      </c>
      <c r="B212" s="85">
        <v>-594</v>
      </c>
      <c r="C212" s="85">
        <v>-94</v>
      </c>
      <c r="D212" s="84">
        <v>28</v>
      </c>
      <c r="E212" s="85">
        <v>-56</v>
      </c>
      <c r="F212" s="7">
        <v>-48.15</v>
      </c>
      <c r="G212" s="84">
        <v>6431</v>
      </c>
      <c r="H212" s="4" t="s">
        <v>557</v>
      </c>
      <c r="I212" s="23" t="s">
        <v>830</v>
      </c>
      <c r="J212" s="77">
        <v>46.03</v>
      </c>
      <c r="K212" s="371">
        <v>17.649999999999999</v>
      </c>
      <c r="N212" s="365">
        <f t="shared" si="273"/>
        <v>63.68</v>
      </c>
      <c r="Q212" s="326" t="str">
        <f>IFERROR(VLOOKUP($G212,主力整理!$A$2:$G$2301,6,0),"0")</f>
        <v>0</v>
      </c>
      <c r="T212" s="339">
        <f t="shared" si="268"/>
        <v>0</v>
      </c>
      <c r="W212" s="35">
        <v>0</v>
      </c>
      <c r="X212" s="100">
        <f t="shared" si="269"/>
        <v>0</v>
      </c>
      <c r="Y212" s="37">
        <v>29.85</v>
      </c>
      <c r="Z212" s="69">
        <v>29.8</v>
      </c>
      <c r="AA212" s="16">
        <f t="shared" si="270"/>
        <v>5.0000000000000711E-2</v>
      </c>
      <c r="AB212" s="66">
        <f t="shared" si="271"/>
        <v>1.6778523489933124E-3</v>
      </c>
      <c r="AC212" s="106" t="s">
        <v>3651</v>
      </c>
      <c r="AD212" s="23" t="s">
        <v>830</v>
      </c>
      <c r="AE212" s="89">
        <v>44209</v>
      </c>
      <c r="AF212" s="91">
        <v>44221</v>
      </c>
      <c r="AG212" s="34">
        <f t="shared" si="272"/>
        <v>12</v>
      </c>
      <c r="AH212" s="44" t="s">
        <v>3498</v>
      </c>
      <c r="AJ212" s="23"/>
    </row>
    <row r="213" spans="1:42">
      <c r="A213" s="151" t="s">
        <v>3486</v>
      </c>
      <c r="B213" s="85">
        <v>-42</v>
      </c>
      <c r="C213" s="85">
        <v>-42</v>
      </c>
      <c r="D213" s="84">
        <v>150</v>
      </c>
      <c r="E213" s="84">
        <v>188</v>
      </c>
      <c r="F213" s="77">
        <v>-278.64</v>
      </c>
      <c r="G213" s="84">
        <v>6712</v>
      </c>
      <c r="H213" s="4" t="s">
        <v>560</v>
      </c>
      <c r="I213" s="17" t="s">
        <v>3485</v>
      </c>
      <c r="J213" s="371">
        <v>53.02</v>
      </c>
      <c r="K213" s="371">
        <v>1.97</v>
      </c>
      <c r="L213" s="371"/>
      <c r="N213" s="365">
        <f t="shared" si="273"/>
        <v>54.99</v>
      </c>
      <c r="Q213" s="326" t="str">
        <f>IFERROR(VLOOKUP($G213,主力整理!$A$2:$G$2301,6,0),"0")</f>
        <v>0</v>
      </c>
      <c r="T213" s="339">
        <f t="shared" si="268"/>
        <v>0</v>
      </c>
      <c r="W213" s="35">
        <v>0</v>
      </c>
      <c r="X213" s="100">
        <f t="shared" si="269"/>
        <v>0</v>
      </c>
      <c r="Y213" s="37">
        <v>220.5</v>
      </c>
      <c r="Z213" s="69">
        <v>138</v>
      </c>
      <c r="AA213" s="16">
        <f t="shared" si="270"/>
        <v>82.5</v>
      </c>
      <c r="AB213" s="66">
        <f t="shared" si="271"/>
        <v>0.59782608695652173</v>
      </c>
      <c r="AC213" s="105" t="s">
        <v>3624</v>
      </c>
      <c r="AD213" s="17" t="s">
        <v>3485</v>
      </c>
      <c r="AE213" s="89">
        <v>44204</v>
      </c>
      <c r="AF213" s="91">
        <v>44214</v>
      </c>
      <c r="AG213" s="34">
        <f t="shared" si="272"/>
        <v>10</v>
      </c>
      <c r="AH213" s="44" t="s">
        <v>3487</v>
      </c>
      <c r="AJ213" s="17"/>
    </row>
    <row r="214" spans="1:42">
      <c r="A214" s="135" t="s">
        <v>3448</v>
      </c>
      <c r="B214" s="85">
        <v>-7</v>
      </c>
      <c r="C214" s="85">
        <v>-8</v>
      </c>
      <c r="D214" s="84">
        <v>46</v>
      </c>
      <c r="E214" s="84">
        <v>48</v>
      </c>
      <c r="F214" s="59">
        <v>11.47</v>
      </c>
      <c r="G214" s="85">
        <v>5536</v>
      </c>
      <c r="H214" s="4" t="s">
        <v>566</v>
      </c>
      <c r="I214" s="17" t="s">
        <v>290</v>
      </c>
      <c r="J214" s="371">
        <v>20.12</v>
      </c>
      <c r="K214" s="77">
        <v>14.78</v>
      </c>
      <c r="L214" s="77">
        <v>4.5999999999999996</v>
      </c>
      <c r="N214" s="365">
        <f t="shared" si="273"/>
        <v>39.5</v>
      </c>
      <c r="Q214" s="326" t="str">
        <f>IFERROR(VLOOKUP($G214,主力整理!$A$2:$G$2301,6,0),"0")</f>
        <v>0</v>
      </c>
      <c r="T214" s="339">
        <f t="shared" si="268"/>
        <v>0</v>
      </c>
      <c r="V214" s="371">
        <v>0</v>
      </c>
      <c r="W214" s="35">
        <v>15</v>
      </c>
      <c r="X214" s="100">
        <f t="shared" si="269"/>
        <v>7.9365079365079361E-2</v>
      </c>
      <c r="Y214" s="37">
        <v>189</v>
      </c>
      <c r="Z214" s="69">
        <v>166</v>
      </c>
      <c r="AA214" s="16">
        <f t="shared" si="270"/>
        <v>23</v>
      </c>
      <c r="AB214" s="66">
        <f t="shared" si="271"/>
        <v>0.13855421686746988</v>
      </c>
      <c r="AC214" s="105" t="s">
        <v>3585</v>
      </c>
      <c r="AD214" s="17" t="s">
        <v>290</v>
      </c>
      <c r="AE214" s="89">
        <v>44203</v>
      </c>
      <c r="AF214" s="91">
        <v>44214</v>
      </c>
      <c r="AG214" s="34">
        <f t="shared" si="272"/>
        <v>11</v>
      </c>
      <c r="AH214" s="126" t="s">
        <v>3697</v>
      </c>
      <c r="AJ214" s="17"/>
    </row>
    <row r="215" spans="1:42">
      <c r="A215" s="151" t="s">
        <v>3437</v>
      </c>
      <c r="B215" s="84">
        <v>347</v>
      </c>
      <c r="C215" s="84">
        <v>463</v>
      </c>
      <c r="D215" s="85">
        <v>-23</v>
      </c>
      <c r="E215" s="84">
        <v>10</v>
      </c>
      <c r="F215" s="7">
        <v>5.27</v>
      </c>
      <c r="G215" s="84">
        <v>3666</v>
      </c>
      <c r="H215" s="4" t="s">
        <v>557</v>
      </c>
      <c r="I215" s="17" t="s">
        <v>848</v>
      </c>
      <c r="J215" s="77">
        <v>49.98</v>
      </c>
      <c r="K215" s="371">
        <v>7.48</v>
      </c>
      <c r="L215" s="371">
        <v>58.68</v>
      </c>
      <c r="N215" s="365">
        <f t="shared" si="273"/>
        <v>116.13999999999999</v>
      </c>
      <c r="Q215" s="326" t="str">
        <f>IFERROR(VLOOKUP($G215,主力整理!$A$2:$G$2301,6,0),"0")</f>
        <v>0</v>
      </c>
      <c r="T215" s="339">
        <f t="shared" si="268"/>
        <v>0</v>
      </c>
      <c r="V215" s="371">
        <v>2.29</v>
      </c>
      <c r="W215" s="35">
        <v>0</v>
      </c>
      <c r="X215" s="100">
        <f t="shared" si="269"/>
        <v>0</v>
      </c>
      <c r="Y215" s="37">
        <v>68</v>
      </c>
      <c r="Z215" s="46">
        <v>70</v>
      </c>
      <c r="AA215" s="16">
        <f t="shared" si="270"/>
        <v>-2</v>
      </c>
      <c r="AB215" s="80">
        <f t="shared" si="271"/>
        <v>-2.8571428571428571E-2</v>
      </c>
      <c r="AC215" s="106" t="s">
        <v>3574</v>
      </c>
      <c r="AD215" s="17" t="s">
        <v>848</v>
      </c>
      <c r="AE215" s="89">
        <v>44202</v>
      </c>
      <c r="AF215" s="91">
        <v>44214</v>
      </c>
      <c r="AG215" s="34">
        <f t="shared" si="272"/>
        <v>12</v>
      </c>
      <c r="AH215" s="44" t="s">
        <v>3125</v>
      </c>
      <c r="AJ215" s="17"/>
    </row>
    <row r="216" spans="1:42">
      <c r="A216" s="135" t="s">
        <v>3425</v>
      </c>
      <c r="B216" s="84">
        <v>80</v>
      </c>
      <c r="C216" s="84">
        <v>55</v>
      </c>
      <c r="D216" s="84">
        <v>5</v>
      </c>
      <c r="E216" s="85">
        <v>-4</v>
      </c>
      <c r="F216" s="59">
        <v>18.11</v>
      </c>
      <c r="G216" s="84">
        <v>5546</v>
      </c>
      <c r="H216" s="4" t="s">
        <v>1485</v>
      </c>
      <c r="I216" s="23" t="s">
        <v>2954</v>
      </c>
      <c r="J216" s="371">
        <v>72.16</v>
      </c>
      <c r="K216" s="77">
        <v>55.06</v>
      </c>
      <c r="L216" s="77">
        <v>2.38</v>
      </c>
      <c r="N216" s="365">
        <f t="shared" si="273"/>
        <v>129.6</v>
      </c>
      <c r="Q216" s="326" t="str">
        <f>IFERROR(VLOOKUP($G216,主力整理!$A$2:$G$2301,6,0),"0")</f>
        <v>0</v>
      </c>
      <c r="T216" s="339">
        <f t="shared" si="268"/>
        <v>0</v>
      </c>
      <c r="V216" s="371">
        <v>0.09</v>
      </c>
      <c r="W216" s="35">
        <v>4</v>
      </c>
      <c r="X216" s="100">
        <f t="shared" si="269"/>
        <v>5.1679586563307491E-2</v>
      </c>
      <c r="Y216" s="14">
        <v>77.400000000000006</v>
      </c>
      <c r="Z216" s="69">
        <v>66</v>
      </c>
      <c r="AA216" s="16">
        <f t="shared" si="270"/>
        <v>11.400000000000006</v>
      </c>
      <c r="AB216" s="66">
        <f t="shared" si="271"/>
        <v>0.17272727272727281</v>
      </c>
      <c r="AC216" s="105" t="s">
        <v>3507</v>
      </c>
      <c r="AD216" s="23" t="s">
        <v>2954</v>
      </c>
      <c r="AE216" s="89">
        <v>44196</v>
      </c>
      <c r="AF216" s="91">
        <v>44207</v>
      </c>
      <c r="AG216" s="34">
        <f t="shared" si="272"/>
        <v>11</v>
      </c>
      <c r="AH216" s="126" t="s">
        <v>2975</v>
      </c>
      <c r="AJ216" s="23"/>
    </row>
    <row r="217" spans="1:42">
      <c r="A217" s="151" t="s">
        <v>2527</v>
      </c>
      <c r="B217" s="85">
        <v>-28</v>
      </c>
      <c r="C217" s="85">
        <v>-48</v>
      </c>
      <c r="D217" s="84">
        <v>12</v>
      </c>
      <c r="E217" s="85">
        <v>-17</v>
      </c>
      <c r="F217" s="7">
        <v>4.22</v>
      </c>
      <c r="G217" s="84">
        <v>2034</v>
      </c>
      <c r="H217" s="4" t="s">
        <v>548</v>
      </c>
      <c r="I217" s="23" t="s">
        <v>513</v>
      </c>
      <c r="J217" s="371">
        <v>42.92</v>
      </c>
      <c r="K217" s="371">
        <v>9.26</v>
      </c>
      <c r="L217" s="77">
        <v>7.8</v>
      </c>
      <c r="N217" s="365">
        <f t="shared" si="273"/>
        <v>59.98</v>
      </c>
      <c r="Q217" s="326">
        <f>IFERROR(VLOOKUP($G217,主力整理!$A$2:$G$2301,6,0),"0")</f>
        <v>5</v>
      </c>
      <c r="T217" s="339">
        <f t="shared" si="268"/>
        <v>5</v>
      </c>
      <c r="V217" s="371">
        <v>0.19</v>
      </c>
      <c r="W217" s="35">
        <v>1.5</v>
      </c>
      <c r="X217" s="100">
        <f t="shared" si="269"/>
        <v>5.4945054945054944E-2</v>
      </c>
      <c r="Y217" s="37">
        <v>27.3</v>
      </c>
      <c r="Z217" s="69">
        <v>20</v>
      </c>
      <c r="AA217" s="16">
        <f t="shared" si="270"/>
        <v>7.3000000000000007</v>
      </c>
      <c r="AB217" s="66">
        <f t="shared" si="271"/>
        <v>0.36500000000000005</v>
      </c>
      <c r="AC217" s="105" t="s">
        <v>3508</v>
      </c>
      <c r="AD217" s="23" t="s">
        <v>513</v>
      </c>
      <c r="AE217" s="89">
        <v>44196</v>
      </c>
      <c r="AF217" s="91">
        <v>44207</v>
      </c>
      <c r="AG217" s="34">
        <f t="shared" si="272"/>
        <v>11</v>
      </c>
      <c r="AH217" s="125" t="s">
        <v>3426</v>
      </c>
      <c r="AJ217" s="23"/>
    </row>
    <row r="218" spans="1:42" s="8" customFormat="1" ht="17.100000000000001" customHeight="1">
      <c r="A218" s="135" t="s">
        <v>2574</v>
      </c>
      <c r="B218" s="84">
        <v>71</v>
      </c>
      <c r="C218" s="84">
        <v>56</v>
      </c>
      <c r="D218" s="84">
        <v>3</v>
      </c>
      <c r="E218" s="84">
        <v>15</v>
      </c>
      <c r="F218" s="59">
        <v>16.72</v>
      </c>
      <c r="G218" s="84">
        <v>2472</v>
      </c>
      <c r="H218" s="54" t="s">
        <v>559</v>
      </c>
      <c r="I218" s="23" t="s">
        <v>347</v>
      </c>
      <c r="J218" s="77">
        <v>53.03</v>
      </c>
      <c r="K218" s="371">
        <v>6.21</v>
      </c>
      <c r="L218" s="77">
        <v>25.68</v>
      </c>
      <c r="M218" s="365"/>
      <c r="N218" s="365">
        <f t="shared" si="273"/>
        <v>84.92</v>
      </c>
      <c r="O218" s="343"/>
      <c r="P218" s="166"/>
      <c r="Q218" s="326">
        <f>IFERROR(VLOOKUP($G218,主力整理!$A$2:$G$2301,6,0),"0")</f>
        <v>4</v>
      </c>
      <c r="R218" s="31"/>
      <c r="S218" s="51"/>
      <c r="T218" s="339">
        <f t="shared" si="268"/>
        <v>4</v>
      </c>
      <c r="U218" s="329"/>
      <c r="V218" s="371">
        <v>4.18</v>
      </c>
      <c r="W218" s="35">
        <v>1.5</v>
      </c>
      <c r="X218" s="59">
        <f t="shared" si="269"/>
        <v>2.0491803278688523E-2</v>
      </c>
      <c r="Y218" s="37">
        <v>73.2</v>
      </c>
      <c r="Z218" s="46">
        <v>46</v>
      </c>
      <c r="AA218" s="16">
        <f t="shared" si="270"/>
        <v>27.200000000000003</v>
      </c>
      <c r="AB218" s="66">
        <f t="shared" si="271"/>
        <v>0.59130434782608698</v>
      </c>
      <c r="AC218" s="105" t="s">
        <v>3499</v>
      </c>
      <c r="AD218" s="23" t="s">
        <v>347</v>
      </c>
      <c r="AE218" s="89">
        <v>44195</v>
      </c>
      <c r="AF218" s="91">
        <v>44207</v>
      </c>
      <c r="AG218" s="34">
        <f t="shared" si="272"/>
        <v>12</v>
      </c>
      <c r="AH218" s="50" t="s">
        <v>3075</v>
      </c>
      <c r="AI218" s="252"/>
      <c r="AJ218" s="23"/>
      <c r="AK218" s="301"/>
      <c r="AL218" s="310"/>
      <c r="AM218" s="291"/>
      <c r="AN218" s="273"/>
      <c r="AO218" s="232"/>
      <c r="AP218" s="384"/>
    </row>
    <row r="219" spans="1:42" ht="17.25" customHeight="1">
      <c r="A219" s="151" t="s">
        <v>3418</v>
      </c>
      <c r="B219" s="85">
        <v>-15</v>
      </c>
      <c r="C219" s="85">
        <v>-5</v>
      </c>
      <c r="D219" s="84">
        <v>19</v>
      </c>
      <c r="E219" s="84">
        <v>324</v>
      </c>
      <c r="F219" s="7">
        <v>5.73</v>
      </c>
      <c r="G219" s="84">
        <v>5209</v>
      </c>
      <c r="H219" s="4" t="s">
        <v>565</v>
      </c>
      <c r="I219" s="17" t="s">
        <v>1633</v>
      </c>
      <c r="J219" s="371">
        <v>55.09</v>
      </c>
      <c r="K219" s="371">
        <v>0.22</v>
      </c>
      <c r="L219" s="371"/>
      <c r="N219" s="365">
        <f t="shared" si="273"/>
        <v>55.31</v>
      </c>
      <c r="Q219" s="326" t="str">
        <f>IFERROR(VLOOKUP($G219,主力整理!$A$2:$G$2301,6,0),"0")</f>
        <v>0</v>
      </c>
      <c r="T219" s="339">
        <f t="shared" si="268"/>
        <v>0</v>
      </c>
      <c r="W219" s="35">
        <v>2.97</v>
      </c>
      <c r="X219" s="100">
        <f t="shared" ref="X219:X250" si="274">W219/Y219</f>
        <v>4.4594594594594604E-2</v>
      </c>
      <c r="Y219" s="37">
        <v>66.599999999999994</v>
      </c>
      <c r="Z219" s="69">
        <v>62.46</v>
      </c>
      <c r="AA219" s="16">
        <f t="shared" si="270"/>
        <v>4.1399999999999935</v>
      </c>
      <c r="AB219" s="66">
        <f t="shared" si="271"/>
        <v>6.6282420749279439E-2</v>
      </c>
      <c r="AC219" s="105" t="s">
        <v>3500</v>
      </c>
      <c r="AD219" s="17" t="s">
        <v>1633</v>
      </c>
      <c r="AE219" s="89">
        <v>44195</v>
      </c>
      <c r="AF219" s="91">
        <v>44207</v>
      </c>
      <c r="AG219" s="34">
        <f t="shared" si="272"/>
        <v>12</v>
      </c>
      <c r="AH219" s="44" t="s">
        <v>3419</v>
      </c>
      <c r="AJ219" s="17"/>
    </row>
    <row r="220" spans="1:42">
      <c r="A220" s="135" t="s">
        <v>3407</v>
      </c>
      <c r="B220" s="85">
        <v>-49</v>
      </c>
      <c r="C220" s="85">
        <v>-36</v>
      </c>
      <c r="D220" s="84">
        <v>8</v>
      </c>
      <c r="E220" s="85">
        <v>-48</v>
      </c>
      <c r="F220" s="59">
        <v>12.31</v>
      </c>
      <c r="G220" s="85">
        <v>3541</v>
      </c>
      <c r="H220" s="4" t="s">
        <v>566</v>
      </c>
      <c r="I220" s="17" t="s">
        <v>307</v>
      </c>
      <c r="J220" s="371">
        <v>20.85</v>
      </c>
      <c r="K220" s="77">
        <v>4.66</v>
      </c>
      <c r="L220" s="371">
        <v>5.09</v>
      </c>
      <c r="N220" s="365">
        <f t="shared" si="273"/>
        <v>30.6</v>
      </c>
      <c r="Q220" s="326" t="str">
        <f>IFERROR(VLOOKUP($G220,主力整理!$A$2:$G$2301,6,0),"0")</f>
        <v>0</v>
      </c>
      <c r="T220" s="339">
        <f t="shared" si="268"/>
        <v>0</v>
      </c>
      <c r="V220" s="371">
        <v>0.15</v>
      </c>
      <c r="W220" s="35">
        <v>5.55</v>
      </c>
      <c r="X220" s="100">
        <f t="shared" si="274"/>
        <v>9.8579040852575489E-2</v>
      </c>
      <c r="Y220" s="37">
        <v>56.3</v>
      </c>
      <c r="Z220" s="69">
        <v>45</v>
      </c>
      <c r="AA220" s="16">
        <f t="shared" si="270"/>
        <v>11.299999999999997</v>
      </c>
      <c r="AB220" s="66">
        <f t="shared" si="271"/>
        <v>0.25111111111111106</v>
      </c>
      <c r="AC220" s="105" t="s">
        <v>3493</v>
      </c>
      <c r="AD220" s="17" t="s">
        <v>307</v>
      </c>
      <c r="AE220" s="89">
        <v>44193</v>
      </c>
      <c r="AF220" s="91">
        <v>44203</v>
      </c>
      <c r="AG220" s="34">
        <f t="shared" si="272"/>
        <v>10</v>
      </c>
      <c r="AH220" s="126" t="s">
        <v>3408</v>
      </c>
      <c r="AJ220" s="17"/>
    </row>
    <row r="221" spans="1:42">
      <c r="A221" s="151" t="s">
        <v>3308</v>
      </c>
      <c r="B221" s="98">
        <v>1709</v>
      </c>
      <c r="C221" s="84">
        <v>20</v>
      </c>
      <c r="D221" s="84">
        <v>2</v>
      </c>
      <c r="E221" s="85">
        <v>-1</v>
      </c>
      <c r="F221" s="7">
        <v>4.3899999999999997</v>
      </c>
      <c r="G221" s="84">
        <v>1909</v>
      </c>
      <c r="H221" s="53" t="s">
        <v>547</v>
      </c>
      <c r="I221" s="23" t="s">
        <v>250</v>
      </c>
      <c r="J221" s="371">
        <v>69.66</v>
      </c>
      <c r="K221" s="77">
        <v>14.39</v>
      </c>
      <c r="L221" s="77">
        <v>10.029999999999999</v>
      </c>
      <c r="N221" s="365">
        <f t="shared" si="273"/>
        <v>94.08</v>
      </c>
      <c r="Q221" s="326">
        <f>IFERROR(VLOOKUP($G221,主力整理!$A$2:$G$2301,6,0),"0")</f>
        <v>6</v>
      </c>
      <c r="T221" s="339">
        <f t="shared" si="268"/>
        <v>6</v>
      </c>
      <c r="V221" s="371">
        <v>0.35</v>
      </c>
      <c r="W221" s="35">
        <v>0.3</v>
      </c>
      <c r="X221" s="100">
        <f t="shared" si="274"/>
        <v>1.3422818791946307E-2</v>
      </c>
      <c r="Y221" s="37">
        <v>22.35</v>
      </c>
      <c r="Z221" s="69">
        <v>14.8</v>
      </c>
      <c r="AA221" s="16">
        <f t="shared" si="270"/>
        <v>7.5500000000000007</v>
      </c>
      <c r="AB221" s="66">
        <f t="shared" si="271"/>
        <v>0.5101351351351352</v>
      </c>
      <c r="AC221" s="105" t="s">
        <v>3494</v>
      </c>
      <c r="AD221" s="23" t="s">
        <v>250</v>
      </c>
      <c r="AE221" s="89">
        <v>44193</v>
      </c>
      <c r="AF221" s="91">
        <v>44203</v>
      </c>
      <c r="AG221" s="34">
        <f t="shared" si="272"/>
        <v>10</v>
      </c>
      <c r="AH221" s="125" t="s">
        <v>3409</v>
      </c>
      <c r="AJ221" s="23"/>
    </row>
    <row r="222" spans="1:42" ht="17.25" customHeight="1">
      <c r="A222" s="151" t="s">
        <v>3514</v>
      </c>
      <c r="B222" s="84">
        <v>11</v>
      </c>
      <c r="C222" s="84">
        <v>17</v>
      </c>
      <c r="D222" s="84">
        <v>114</v>
      </c>
      <c r="E222" s="85">
        <v>-15</v>
      </c>
      <c r="F222" s="7">
        <v>4.1500000000000004</v>
      </c>
      <c r="G222" s="85">
        <v>6751</v>
      </c>
      <c r="H222" s="4" t="s">
        <v>565</v>
      </c>
      <c r="I222" s="17" t="s">
        <v>3413</v>
      </c>
      <c r="J222" s="371">
        <v>71.3</v>
      </c>
      <c r="K222" s="371">
        <v>0</v>
      </c>
      <c r="L222" s="371"/>
      <c r="N222" s="365">
        <f t="shared" si="273"/>
        <v>71.3</v>
      </c>
      <c r="Q222" s="326" t="str">
        <f>IFERROR(VLOOKUP($G222,主力整理!$A$2:$G$2301,6,0),"0")</f>
        <v>0</v>
      </c>
      <c r="T222" s="339">
        <f t="shared" si="268"/>
        <v>0</v>
      </c>
      <c r="W222" s="35">
        <v>2.0499999999999998</v>
      </c>
      <c r="X222" s="100">
        <f t="shared" si="274"/>
        <v>2.6048284625158829E-2</v>
      </c>
      <c r="Y222" s="37">
        <v>78.7</v>
      </c>
      <c r="Z222" s="69">
        <v>60</v>
      </c>
      <c r="AA222" s="16">
        <f t="shared" si="270"/>
        <v>18.700000000000003</v>
      </c>
      <c r="AB222" s="66">
        <f t="shared" si="271"/>
        <v>0.3116666666666667</v>
      </c>
      <c r="AC222" s="105" t="s">
        <v>3473</v>
      </c>
      <c r="AD222" s="17" t="s">
        <v>3413</v>
      </c>
      <c r="AE222" s="89">
        <v>44190</v>
      </c>
      <c r="AF222" s="91">
        <v>44200</v>
      </c>
      <c r="AG222" s="34">
        <f t="shared" si="272"/>
        <v>10</v>
      </c>
      <c r="AH222" s="44" t="s">
        <v>3414</v>
      </c>
      <c r="AJ222" s="17"/>
    </row>
    <row r="223" spans="1:42">
      <c r="A223" s="151" t="s">
        <v>3515</v>
      </c>
      <c r="B223" s="84">
        <v>259</v>
      </c>
      <c r="C223" s="84">
        <v>208</v>
      </c>
      <c r="D223" s="84">
        <v>14</v>
      </c>
      <c r="E223" s="84">
        <v>24</v>
      </c>
      <c r="F223" s="7">
        <v>7.3</v>
      </c>
      <c r="G223" s="85">
        <v>6728</v>
      </c>
      <c r="H223" s="4" t="s">
        <v>429</v>
      </c>
      <c r="I223" s="17" t="s">
        <v>3415</v>
      </c>
      <c r="J223" s="77">
        <v>73.39</v>
      </c>
      <c r="K223" s="371">
        <v>0</v>
      </c>
      <c r="L223" s="371"/>
      <c r="N223" s="365">
        <f t="shared" si="273"/>
        <v>73.39</v>
      </c>
      <c r="Q223" s="326" t="str">
        <f>IFERROR(VLOOKUP($G223,主力整理!$A$2:$G$2301,6,0),"0")</f>
        <v>0</v>
      </c>
      <c r="T223" s="339">
        <f t="shared" si="268"/>
        <v>0</v>
      </c>
      <c r="W223" s="35">
        <v>4</v>
      </c>
      <c r="X223" s="100">
        <f t="shared" si="274"/>
        <v>7.0175438596491224E-2</v>
      </c>
      <c r="Y223" s="37">
        <v>57</v>
      </c>
      <c r="Z223" s="69">
        <v>43</v>
      </c>
      <c r="AA223" s="16">
        <f t="shared" si="270"/>
        <v>14</v>
      </c>
      <c r="AB223" s="66">
        <f t="shared" si="271"/>
        <v>0.32558139534883723</v>
      </c>
      <c r="AC223" s="105" t="s">
        <v>3474</v>
      </c>
      <c r="AD223" s="17" t="s">
        <v>3415</v>
      </c>
      <c r="AE223" s="89">
        <v>44190</v>
      </c>
      <c r="AF223" s="91">
        <v>44200</v>
      </c>
      <c r="AG223" s="34">
        <f t="shared" si="272"/>
        <v>10</v>
      </c>
      <c r="AH223" s="44" t="s">
        <v>3416</v>
      </c>
      <c r="AJ223" s="17"/>
    </row>
    <row r="224" spans="1:42">
      <c r="A224" s="151" t="s">
        <v>2624</v>
      </c>
      <c r="B224" s="85">
        <v>-14</v>
      </c>
      <c r="C224" s="85">
        <v>-18</v>
      </c>
      <c r="D224" s="85">
        <v>-25</v>
      </c>
      <c r="E224" s="85">
        <v>-99</v>
      </c>
      <c r="F224" s="48">
        <v>-1268</v>
      </c>
      <c r="G224" s="84">
        <v>6576</v>
      </c>
      <c r="H224" s="4" t="s">
        <v>560</v>
      </c>
      <c r="I224" s="17" t="s">
        <v>1156</v>
      </c>
      <c r="J224" s="371">
        <v>37.26</v>
      </c>
      <c r="K224" s="371">
        <v>32.76</v>
      </c>
      <c r="L224" s="371"/>
      <c r="N224" s="365">
        <f t="shared" si="273"/>
        <v>70.02</v>
      </c>
      <c r="Q224" s="326" t="str">
        <f>IFERROR(VLOOKUP($G224,主力整理!$A$2:$G$2301,6,0),"0")</f>
        <v>0</v>
      </c>
      <c r="T224" s="339">
        <f t="shared" si="268"/>
        <v>0</v>
      </c>
      <c r="W224" s="35">
        <v>0</v>
      </c>
      <c r="X224" s="100">
        <f t="shared" si="274"/>
        <v>0</v>
      </c>
      <c r="Y224" s="37">
        <v>88.8</v>
      </c>
      <c r="Z224" s="69">
        <v>88</v>
      </c>
      <c r="AA224" s="16">
        <f t="shared" si="270"/>
        <v>0.79999999999999716</v>
      </c>
      <c r="AB224" s="66">
        <f t="shared" si="271"/>
        <v>9.0909090909090592E-3</v>
      </c>
      <c r="AC224" s="105" t="s">
        <v>3475</v>
      </c>
      <c r="AD224" s="17" t="s">
        <v>1156</v>
      </c>
      <c r="AE224" s="89">
        <v>44190</v>
      </c>
      <c r="AF224" s="91">
        <v>44200</v>
      </c>
      <c r="AG224" s="34">
        <f t="shared" si="272"/>
        <v>10</v>
      </c>
      <c r="AH224" s="44" t="s">
        <v>3325</v>
      </c>
      <c r="AJ224" s="17"/>
    </row>
    <row r="225" spans="1:36">
      <c r="A225" s="151" t="s">
        <v>3309</v>
      </c>
      <c r="B225" s="85">
        <v>-27</v>
      </c>
      <c r="C225" s="85">
        <v>-48</v>
      </c>
      <c r="D225" s="84">
        <v>3</v>
      </c>
      <c r="E225" s="84">
        <v>59</v>
      </c>
      <c r="F225" s="7">
        <v>8.36</v>
      </c>
      <c r="G225" s="84">
        <v>2049</v>
      </c>
      <c r="H225" s="4" t="s">
        <v>544</v>
      </c>
      <c r="I225" s="23" t="s">
        <v>35</v>
      </c>
      <c r="J225" s="77">
        <v>59.82</v>
      </c>
      <c r="K225" s="77">
        <v>49.79</v>
      </c>
      <c r="L225" s="77">
        <v>1.22</v>
      </c>
      <c r="N225" s="365">
        <f t="shared" si="273"/>
        <v>110.83</v>
      </c>
      <c r="Q225" s="326">
        <f>IFERROR(VLOOKUP($G225,主力整理!$A$2:$G$2301,6,0),"0")</f>
        <v>3</v>
      </c>
      <c r="T225" s="339">
        <f t="shared" si="268"/>
        <v>3</v>
      </c>
      <c r="V225" s="371">
        <v>0.41</v>
      </c>
      <c r="W225" s="35">
        <v>2.1</v>
      </c>
      <c r="X225" s="100">
        <f t="shared" si="274"/>
        <v>5.4687500000000005E-3</v>
      </c>
      <c r="Y225" s="14">
        <v>384</v>
      </c>
      <c r="Z225" s="69">
        <v>195</v>
      </c>
      <c r="AA225" s="16">
        <f t="shared" ref="AA225:AA256" si="275">Y225-Z225</f>
        <v>189</v>
      </c>
      <c r="AB225" s="66">
        <f t="shared" ref="AB225:AB256" si="276">AA225/Z225</f>
        <v>0.96923076923076923</v>
      </c>
      <c r="AC225" s="105" t="s">
        <v>3476</v>
      </c>
      <c r="AD225" s="23" t="s">
        <v>35</v>
      </c>
      <c r="AE225" s="89">
        <v>44190</v>
      </c>
      <c r="AF225" s="91">
        <v>44200</v>
      </c>
      <c r="AG225" s="34">
        <f t="shared" ref="AG225:AG256" si="277">AF225-AE225</f>
        <v>10</v>
      </c>
      <c r="AH225" s="125" t="s">
        <v>3136</v>
      </c>
      <c r="AJ225" s="23"/>
    </row>
    <row r="226" spans="1:36">
      <c r="A226" s="135" t="s">
        <v>2215</v>
      </c>
      <c r="B226" s="84">
        <v>6</v>
      </c>
      <c r="C226" s="85">
        <v>-9</v>
      </c>
      <c r="D226" s="84">
        <v>16</v>
      </c>
      <c r="E226" s="84">
        <v>52</v>
      </c>
      <c r="F226" s="59">
        <v>12.94</v>
      </c>
      <c r="G226" s="84">
        <v>1593</v>
      </c>
      <c r="H226" s="4" t="s">
        <v>560</v>
      </c>
      <c r="I226" s="17" t="s">
        <v>1096</v>
      </c>
      <c r="J226" s="77">
        <v>22.77</v>
      </c>
      <c r="K226" s="77">
        <v>1.74</v>
      </c>
      <c r="L226" s="77">
        <v>32.78</v>
      </c>
      <c r="N226" s="365">
        <f t="shared" ref="N226:N257" si="278">K226+J226+L226</f>
        <v>57.29</v>
      </c>
      <c r="Q226" s="326" t="str">
        <f>IFERROR(VLOOKUP($G226,主力整理!$A$2:$G$2301,6,0),"0")</f>
        <v>0</v>
      </c>
      <c r="T226" s="339">
        <f t="shared" si="268"/>
        <v>0</v>
      </c>
      <c r="V226" s="371">
        <v>0.8</v>
      </c>
      <c r="W226" s="35">
        <v>3.2</v>
      </c>
      <c r="X226" s="100">
        <f t="shared" si="274"/>
        <v>3.9024390243902439E-2</v>
      </c>
      <c r="Y226" s="37">
        <v>82</v>
      </c>
      <c r="Z226" s="46">
        <v>50</v>
      </c>
      <c r="AA226" s="16">
        <f t="shared" si="275"/>
        <v>32</v>
      </c>
      <c r="AB226" s="66">
        <f t="shared" si="276"/>
        <v>0.64</v>
      </c>
      <c r="AC226" s="105" t="s">
        <v>1558</v>
      </c>
      <c r="AD226" s="17" t="s">
        <v>1096</v>
      </c>
      <c r="AE226" s="89">
        <v>44190</v>
      </c>
      <c r="AF226" s="91">
        <v>44200</v>
      </c>
      <c r="AG226" s="34">
        <f t="shared" si="277"/>
        <v>10</v>
      </c>
      <c r="AH226" s="63" t="s">
        <v>3068</v>
      </c>
      <c r="AJ226" s="17"/>
    </row>
    <row r="227" spans="1:36">
      <c r="A227" s="135" t="s">
        <v>2750</v>
      </c>
      <c r="B227" s="84">
        <v>30</v>
      </c>
      <c r="C227" s="84">
        <v>44</v>
      </c>
      <c r="D227" s="84">
        <v>0</v>
      </c>
      <c r="E227" s="84">
        <v>5</v>
      </c>
      <c r="F227" s="59">
        <v>19.36</v>
      </c>
      <c r="G227" s="84">
        <v>6756</v>
      </c>
      <c r="H227" s="4" t="s">
        <v>558</v>
      </c>
      <c r="I227" s="23" t="s">
        <v>3405</v>
      </c>
      <c r="J227" s="371">
        <v>62.06</v>
      </c>
      <c r="K227" s="77">
        <v>0.54</v>
      </c>
      <c r="L227" s="371"/>
      <c r="N227" s="365">
        <f t="shared" si="278"/>
        <v>62.6</v>
      </c>
      <c r="Q227" s="326">
        <f>IFERROR(VLOOKUP($G227,主力整理!$A$2:$G$2301,6,0),"0")</f>
        <v>4</v>
      </c>
      <c r="T227" s="339">
        <f t="shared" si="268"/>
        <v>4</v>
      </c>
      <c r="W227" s="35">
        <v>3.3</v>
      </c>
      <c r="X227" s="100">
        <f t="shared" si="274"/>
        <v>1.2619502868068833E-2</v>
      </c>
      <c r="Y227" s="37">
        <v>261.5</v>
      </c>
      <c r="Z227" s="69">
        <v>168</v>
      </c>
      <c r="AA227" s="16">
        <f t="shared" si="275"/>
        <v>93.5</v>
      </c>
      <c r="AB227" s="66">
        <f t="shared" si="276"/>
        <v>0.55654761904761907</v>
      </c>
      <c r="AC227" s="105" t="s">
        <v>3470</v>
      </c>
      <c r="AD227" s="23" t="s">
        <v>3405</v>
      </c>
      <c r="AE227" s="89">
        <v>44189</v>
      </c>
      <c r="AF227" s="91">
        <v>44200</v>
      </c>
      <c r="AG227" s="34">
        <f t="shared" si="277"/>
        <v>11</v>
      </c>
      <c r="AH227" s="63" t="s">
        <v>3406</v>
      </c>
      <c r="AJ227" s="23"/>
    </row>
    <row r="228" spans="1:36">
      <c r="A228" s="151" t="s">
        <v>2997</v>
      </c>
      <c r="B228" s="84">
        <v>5</v>
      </c>
      <c r="C228" s="84">
        <v>8</v>
      </c>
      <c r="D228" s="85"/>
      <c r="E228" s="85"/>
      <c r="F228" s="48">
        <v>-5463</v>
      </c>
      <c r="G228" s="85">
        <v>6541</v>
      </c>
      <c r="H228" s="4" t="s">
        <v>560</v>
      </c>
      <c r="I228" s="23" t="s">
        <v>1184</v>
      </c>
      <c r="J228" s="371">
        <v>70.900000000000006</v>
      </c>
      <c r="K228" s="371">
        <v>37.26</v>
      </c>
      <c r="L228" s="371">
        <v>0</v>
      </c>
      <c r="N228" s="365">
        <f t="shared" si="278"/>
        <v>108.16</v>
      </c>
      <c r="Q228" s="326" t="str">
        <f>IFERROR(VLOOKUP($G228,主力整理!$A$2:$G$2301,6,0),"0")</f>
        <v>0</v>
      </c>
      <c r="T228" s="339">
        <f t="shared" ref="T228:T291" si="279">SUM(P228:S228)</f>
        <v>0</v>
      </c>
      <c r="V228" s="371">
        <v>0</v>
      </c>
      <c r="W228" s="35">
        <v>0</v>
      </c>
      <c r="X228" s="100">
        <f t="shared" si="274"/>
        <v>0</v>
      </c>
      <c r="Y228" s="37">
        <v>37.299999999999997</v>
      </c>
      <c r="Z228" s="69">
        <v>36</v>
      </c>
      <c r="AA228" s="16">
        <f t="shared" si="275"/>
        <v>1.2999999999999972</v>
      </c>
      <c r="AB228" s="66">
        <f t="shared" si="276"/>
        <v>3.6111111111111031E-2</v>
      </c>
      <c r="AC228" s="105" t="s">
        <v>2618</v>
      </c>
      <c r="AD228" s="23" t="s">
        <v>1184</v>
      </c>
      <c r="AE228" s="89">
        <v>44189</v>
      </c>
      <c r="AF228" s="91">
        <v>44200</v>
      </c>
      <c r="AG228" s="34">
        <f t="shared" si="277"/>
        <v>11</v>
      </c>
      <c r="AH228" s="44" t="s">
        <v>3395</v>
      </c>
      <c r="AJ228" s="23"/>
    </row>
    <row r="229" spans="1:36">
      <c r="A229" s="135" t="s">
        <v>3393</v>
      </c>
      <c r="B229" s="84">
        <v>243</v>
      </c>
      <c r="C229" s="84">
        <v>428</v>
      </c>
      <c r="D229" s="85">
        <v>-34</v>
      </c>
      <c r="E229" s="84">
        <v>-19</v>
      </c>
      <c r="F229" s="59">
        <v>13.58</v>
      </c>
      <c r="G229" s="84">
        <v>3325</v>
      </c>
      <c r="H229" s="55" t="s">
        <v>561</v>
      </c>
      <c r="I229" s="17" t="s">
        <v>901</v>
      </c>
      <c r="J229" s="77">
        <v>15.1</v>
      </c>
      <c r="K229" s="77">
        <v>0.57999999999999996</v>
      </c>
      <c r="L229" s="371">
        <v>50.57</v>
      </c>
      <c r="N229" s="365">
        <f t="shared" si="278"/>
        <v>66.25</v>
      </c>
      <c r="Q229" s="326">
        <f>IFERROR(VLOOKUP($G229,主力整理!$A$2:$G$2301,6,0),"0")</f>
        <v>1</v>
      </c>
      <c r="T229" s="339">
        <f t="shared" si="279"/>
        <v>1</v>
      </c>
      <c r="V229" s="371">
        <v>0.9</v>
      </c>
      <c r="W229" s="35">
        <v>0.7</v>
      </c>
      <c r="X229" s="100">
        <f t="shared" si="274"/>
        <v>2.5316455696202531E-2</v>
      </c>
      <c r="Y229" s="37">
        <v>27.65</v>
      </c>
      <c r="Z229" s="46">
        <v>25</v>
      </c>
      <c r="AA229" s="16">
        <f t="shared" si="275"/>
        <v>2.6499999999999986</v>
      </c>
      <c r="AB229" s="66">
        <f t="shared" si="276"/>
        <v>0.10599999999999994</v>
      </c>
      <c r="AC229" s="105" t="s">
        <v>2608</v>
      </c>
      <c r="AD229" s="17" t="s">
        <v>901</v>
      </c>
      <c r="AE229" s="89">
        <v>44189</v>
      </c>
      <c r="AF229" s="91">
        <v>44200</v>
      </c>
      <c r="AG229" s="34">
        <f t="shared" si="277"/>
        <v>11</v>
      </c>
      <c r="AH229" s="63" t="s">
        <v>3394</v>
      </c>
      <c r="AJ229" s="17"/>
    </row>
    <row r="230" spans="1:36">
      <c r="A230" s="151" t="s">
        <v>2792</v>
      </c>
      <c r="B230" s="84">
        <v>41</v>
      </c>
      <c r="C230" s="84">
        <v>44</v>
      </c>
      <c r="D230" s="85">
        <v>-3</v>
      </c>
      <c r="E230" s="85">
        <v>-22</v>
      </c>
      <c r="F230" s="7">
        <v>-13.86</v>
      </c>
      <c r="G230" s="84">
        <v>3321</v>
      </c>
      <c r="H230" s="4" t="s">
        <v>559</v>
      </c>
      <c r="I230" s="23" t="s">
        <v>711</v>
      </c>
      <c r="J230" s="77">
        <v>40.39</v>
      </c>
      <c r="K230" s="371">
        <v>0.51</v>
      </c>
      <c r="L230" s="371"/>
      <c r="N230" s="365">
        <f t="shared" si="278"/>
        <v>40.9</v>
      </c>
      <c r="Q230" s="326" t="str">
        <f>IFERROR(VLOOKUP($G230,主力整理!$A$2:$G$2301,6,0),"0")</f>
        <v>0</v>
      </c>
      <c r="T230" s="339">
        <f t="shared" si="279"/>
        <v>0</v>
      </c>
      <c r="W230" s="35">
        <v>0</v>
      </c>
      <c r="X230" s="100">
        <f t="shared" si="274"/>
        <v>0</v>
      </c>
      <c r="Y230" s="37">
        <v>15.3</v>
      </c>
      <c r="Z230" s="69">
        <v>11.5</v>
      </c>
      <c r="AA230" s="16">
        <f t="shared" si="275"/>
        <v>3.8000000000000007</v>
      </c>
      <c r="AB230" s="66">
        <f t="shared" si="276"/>
        <v>0.33043478260869569</v>
      </c>
      <c r="AC230" s="105" t="s">
        <v>3471</v>
      </c>
      <c r="AD230" s="23" t="s">
        <v>711</v>
      </c>
      <c r="AE230" s="89">
        <v>44189</v>
      </c>
      <c r="AF230" s="91">
        <v>44200</v>
      </c>
      <c r="AG230" s="34">
        <f t="shared" si="277"/>
        <v>11</v>
      </c>
      <c r="AH230" s="44" t="s">
        <v>1692</v>
      </c>
      <c r="AJ230" s="23"/>
    </row>
    <row r="231" spans="1:36">
      <c r="A231" s="151" t="s">
        <v>3386</v>
      </c>
      <c r="B231" s="85">
        <v>-6</v>
      </c>
      <c r="C231" s="85"/>
      <c r="D231" s="84">
        <v>12</v>
      </c>
      <c r="E231" s="84">
        <v>2</v>
      </c>
      <c r="F231" s="7"/>
      <c r="G231" s="85">
        <v>2812</v>
      </c>
      <c r="H231" s="11" t="s">
        <v>553</v>
      </c>
      <c r="I231" s="23" t="s">
        <v>257</v>
      </c>
      <c r="J231" s="77">
        <v>61.3</v>
      </c>
      <c r="K231" s="371">
        <v>11.16</v>
      </c>
      <c r="L231" s="77">
        <v>0.28999999999999998</v>
      </c>
      <c r="N231" s="365">
        <f t="shared" si="278"/>
        <v>72.75</v>
      </c>
      <c r="Q231" s="326">
        <f>IFERROR(VLOOKUP($G231,主力整理!$A$2:$G$2301,6,0),"0")</f>
        <v>3</v>
      </c>
      <c r="T231" s="339">
        <f t="shared" si="279"/>
        <v>3</v>
      </c>
      <c r="V231" s="371">
        <v>0</v>
      </c>
      <c r="W231" s="35">
        <v>0.8</v>
      </c>
      <c r="X231" s="100">
        <f t="shared" si="274"/>
        <v>7.3732718894009217E-2</v>
      </c>
      <c r="Y231" s="37">
        <v>10.85</v>
      </c>
      <c r="Z231" s="69">
        <v>10.199999999999999</v>
      </c>
      <c r="AA231" s="16">
        <f t="shared" si="275"/>
        <v>0.65000000000000036</v>
      </c>
      <c r="AB231" s="66">
        <f t="shared" si="276"/>
        <v>6.3725490196078469E-2</v>
      </c>
      <c r="AC231" s="105" t="s">
        <v>3452</v>
      </c>
      <c r="AD231" s="23" t="s">
        <v>257</v>
      </c>
      <c r="AE231" s="89">
        <v>44187</v>
      </c>
      <c r="AF231" s="91">
        <v>44200</v>
      </c>
      <c r="AG231" s="34">
        <f t="shared" si="277"/>
        <v>13</v>
      </c>
      <c r="AH231" s="125" t="s">
        <v>2150</v>
      </c>
      <c r="AJ231" s="23"/>
    </row>
    <row r="232" spans="1:36">
      <c r="A232" s="135" t="s">
        <v>3447</v>
      </c>
      <c r="B232" s="84">
        <v>129</v>
      </c>
      <c r="C232" s="84">
        <v>141</v>
      </c>
      <c r="D232" s="85">
        <v>-7</v>
      </c>
      <c r="E232" s="84">
        <v>29</v>
      </c>
      <c r="F232" s="59">
        <v>48.57</v>
      </c>
      <c r="G232" s="84">
        <v>6762</v>
      </c>
      <c r="H232" s="4" t="s">
        <v>560</v>
      </c>
      <c r="I232" s="17" t="s">
        <v>3385</v>
      </c>
      <c r="J232" s="77">
        <v>72.44</v>
      </c>
      <c r="K232" s="77">
        <v>0.76</v>
      </c>
      <c r="N232" s="365">
        <f t="shared" si="278"/>
        <v>73.2</v>
      </c>
      <c r="Q232" s="326" t="str">
        <f>IFERROR(VLOOKUP($G232,主力整理!$A$2:$G$2301,6,0),"0")</f>
        <v>0</v>
      </c>
      <c r="T232" s="339">
        <f t="shared" si="279"/>
        <v>0</v>
      </c>
      <c r="W232" s="35">
        <v>4</v>
      </c>
      <c r="X232" s="100">
        <f t="shared" si="274"/>
        <v>1.5873015873015872E-2</v>
      </c>
      <c r="Y232" s="37">
        <v>252</v>
      </c>
      <c r="Z232" s="69">
        <v>267.98</v>
      </c>
      <c r="AA232" s="16">
        <f t="shared" si="275"/>
        <v>-15.980000000000018</v>
      </c>
      <c r="AB232" s="80">
        <f t="shared" si="276"/>
        <v>-5.9631315769833632E-2</v>
      </c>
      <c r="AC232" s="106" t="s">
        <v>3436</v>
      </c>
      <c r="AD232" s="17" t="s">
        <v>3385</v>
      </c>
      <c r="AE232" s="89">
        <v>44183</v>
      </c>
      <c r="AF232" s="91">
        <v>44193</v>
      </c>
      <c r="AG232" s="34">
        <f t="shared" si="277"/>
        <v>10</v>
      </c>
      <c r="AH232" s="63" t="s">
        <v>3389</v>
      </c>
      <c r="AJ232" s="17"/>
    </row>
    <row r="233" spans="1:36" ht="17.25" customHeight="1">
      <c r="A233" s="151" t="s">
        <v>3382</v>
      </c>
      <c r="B233" s="85">
        <v>-60</v>
      </c>
      <c r="C233" s="84">
        <v>1</v>
      </c>
      <c r="D233" s="95">
        <v>-98</v>
      </c>
      <c r="E233" s="95">
        <v>-1</v>
      </c>
      <c r="F233" s="77">
        <v>-102.68</v>
      </c>
      <c r="G233" s="84">
        <v>2530</v>
      </c>
      <c r="H233" s="4" t="s">
        <v>1485</v>
      </c>
      <c r="I233" s="23" t="s">
        <v>1522</v>
      </c>
      <c r="J233" s="371">
        <v>70.08</v>
      </c>
      <c r="K233" s="371">
        <v>0.61</v>
      </c>
      <c r="L233" s="77">
        <v>11.19</v>
      </c>
      <c r="N233" s="365">
        <f t="shared" si="278"/>
        <v>81.88</v>
      </c>
      <c r="Q233" s="326" t="str">
        <f>IFERROR(VLOOKUP($G233,主力整理!$A$2:$G$2301,6,0),"0")</f>
        <v>0</v>
      </c>
      <c r="T233" s="339">
        <f t="shared" si="279"/>
        <v>0</v>
      </c>
      <c r="V233" s="371">
        <v>1.73</v>
      </c>
      <c r="W233" s="35">
        <v>0.1</v>
      </c>
      <c r="X233" s="100">
        <f t="shared" si="274"/>
        <v>7.1174377224199285E-3</v>
      </c>
      <c r="Y233" s="37">
        <v>14.05</v>
      </c>
      <c r="Z233" s="69">
        <v>12.56</v>
      </c>
      <c r="AA233" s="16">
        <f t="shared" si="275"/>
        <v>1.4900000000000002</v>
      </c>
      <c r="AB233" s="66">
        <f t="shared" si="276"/>
        <v>0.11863057324840766</v>
      </c>
      <c r="AC233" s="105" t="s">
        <v>3435</v>
      </c>
      <c r="AD233" s="23" t="s">
        <v>1522</v>
      </c>
      <c r="AE233" s="89">
        <v>44182</v>
      </c>
      <c r="AF233" s="91">
        <v>44193</v>
      </c>
      <c r="AG233" s="34">
        <f t="shared" si="277"/>
        <v>11</v>
      </c>
      <c r="AH233" s="44" t="s">
        <v>3180</v>
      </c>
      <c r="AJ233" s="23"/>
    </row>
    <row r="234" spans="1:36" ht="17.25" customHeight="1">
      <c r="A234" s="151" t="s">
        <v>3417</v>
      </c>
      <c r="B234" s="84">
        <v>4</v>
      </c>
      <c r="C234" s="84">
        <v>10</v>
      </c>
      <c r="D234" s="85">
        <v>-3</v>
      </c>
      <c r="E234" s="84">
        <v>9</v>
      </c>
      <c r="F234" s="7">
        <v>5.98</v>
      </c>
      <c r="G234" s="84">
        <v>2755</v>
      </c>
      <c r="H234" s="4" t="s">
        <v>552</v>
      </c>
      <c r="I234" s="17" t="s">
        <v>3380</v>
      </c>
      <c r="J234" s="77">
        <v>44.74</v>
      </c>
      <c r="K234" s="77">
        <v>0.06</v>
      </c>
      <c r="N234" s="365">
        <f t="shared" si="278"/>
        <v>44.800000000000004</v>
      </c>
      <c r="Q234" s="326" t="str">
        <f>IFERROR(VLOOKUP($G234,主力整理!$A$2:$G$2301,6,0),"0")</f>
        <v>0</v>
      </c>
      <c r="T234" s="339">
        <f t="shared" si="279"/>
        <v>0</v>
      </c>
      <c r="W234" s="35">
        <v>1</v>
      </c>
      <c r="X234" s="100">
        <f t="shared" si="274"/>
        <v>1.6393442622950821E-2</v>
      </c>
      <c r="Y234" s="37">
        <v>61</v>
      </c>
      <c r="Z234" s="69">
        <v>60</v>
      </c>
      <c r="AA234" s="16">
        <f t="shared" si="275"/>
        <v>1</v>
      </c>
      <c r="AB234" s="66">
        <f t="shared" si="276"/>
        <v>1.6666666666666666E-2</v>
      </c>
      <c r="AC234" s="105" t="s">
        <v>3423</v>
      </c>
      <c r="AD234" s="17" t="s">
        <v>3380</v>
      </c>
      <c r="AE234" s="89">
        <v>44181</v>
      </c>
      <c r="AF234" s="91">
        <v>44193</v>
      </c>
      <c r="AG234" s="34">
        <f t="shared" si="277"/>
        <v>12</v>
      </c>
      <c r="AH234" s="44" t="s">
        <v>3381</v>
      </c>
      <c r="AJ234" s="17"/>
    </row>
    <row r="235" spans="1:36">
      <c r="A235" s="151" t="s">
        <v>2664</v>
      </c>
      <c r="B235" s="84">
        <v>18</v>
      </c>
      <c r="C235" s="85">
        <v>-29</v>
      </c>
      <c r="D235" s="85">
        <v>-1</v>
      </c>
      <c r="E235" s="84">
        <v>261</v>
      </c>
      <c r="F235" s="7">
        <v>2.63</v>
      </c>
      <c r="G235" s="84">
        <v>4919</v>
      </c>
      <c r="H235" s="4" t="s">
        <v>558</v>
      </c>
      <c r="I235" s="23" t="s">
        <v>233</v>
      </c>
      <c r="J235" s="371">
        <v>58.55</v>
      </c>
      <c r="K235" s="371">
        <v>2.99</v>
      </c>
      <c r="L235" s="371">
        <v>12.51</v>
      </c>
      <c r="N235" s="365">
        <f t="shared" si="278"/>
        <v>74.05</v>
      </c>
      <c r="Q235" s="326" t="str">
        <f>IFERROR(VLOOKUP($G235,主力整理!$A$2:$G$2301,6,0),"0")</f>
        <v>0</v>
      </c>
      <c r="T235" s="339">
        <f t="shared" si="279"/>
        <v>0</v>
      </c>
      <c r="V235" s="371">
        <v>1.78</v>
      </c>
      <c r="W235" s="35">
        <v>1.2</v>
      </c>
      <c r="X235" s="59">
        <f t="shared" si="274"/>
        <v>2.5862068965517241E-2</v>
      </c>
      <c r="Y235" s="37">
        <v>46.4</v>
      </c>
      <c r="Z235" s="69">
        <v>38</v>
      </c>
      <c r="AA235" s="16">
        <f t="shared" si="275"/>
        <v>8.3999999999999986</v>
      </c>
      <c r="AB235" s="66">
        <f t="shared" si="276"/>
        <v>0.22105263157894733</v>
      </c>
      <c r="AC235" s="105" t="s">
        <v>3421</v>
      </c>
      <c r="AD235" s="23" t="s">
        <v>233</v>
      </c>
      <c r="AE235" s="89">
        <v>44180</v>
      </c>
      <c r="AF235" s="91">
        <v>44190</v>
      </c>
      <c r="AG235" s="34">
        <f t="shared" si="277"/>
        <v>10</v>
      </c>
      <c r="AH235" s="125" t="s">
        <v>2180</v>
      </c>
      <c r="AJ235" s="23"/>
    </row>
    <row r="236" spans="1:36">
      <c r="A236" s="151" t="s">
        <v>2455</v>
      </c>
      <c r="B236" s="84">
        <v>699</v>
      </c>
      <c r="C236" s="84">
        <v>776</v>
      </c>
      <c r="D236" s="85">
        <v>-15</v>
      </c>
      <c r="E236" s="84">
        <v>123</v>
      </c>
      <c r="F236" s="59">
        <v>14.02</v>
      </c>
      <c r="G236" s="84">
        <v>6743</v>
      </c>
      <c r="H236" s="4" t="s">
        <v>566</v>
      </c>
      <c r="I236" s="23" t="s">
        <v>3371</v>
      </c>
      <c r="J236" s="371">
        <v>62.9</v>
      </c>
      <c r="K236" s="77">
        <v>3.66</v>
      </c>
      <c r="L236" s="371"/>
      <c r="N236" s="365">
        <f t="shared" si="278"/>
        <v>66.56</v>
      </c>
      <c r="Q236" s="326">
        <f>IFERROR(VLOOKUP($G236,主力整理!$A$2:$G$2301,6,0),"0")</f>
        <v>1</v>
      </c>
      <c r="T236" s="339">
        <f t="shared" si="279"/>
        <v>1</v>
      </c>
      <c r="W236" s="35">
        <v>0.95</v>
      </c>
      <c r="X236" s="100">
        <f t="shared" si="274"/>
        <v>7.0631970260223043E-3</v>
      </c>
      <c r="Y236" s="37">
        <v>134.5</v>
      </c>
      <c r="Z236" s="69">
        <v>100</v>
      </c>
      <c r="AA236" s="16">
        <f t="shared" si="275"/>
        <v>34.5</v>
      </c>
      <c r="AB236" s="66">
        <f t="shared" si="276"/>
        <v>0.34499999999999997</v>
      </c>
      <c r="AC236" s="105" t="s">
        <v>1550</v>
      </c>
      <c r="AD236" s="23" t="s">
        <v>3371</v>
      </c>
      <c r="AE236" s="89">
        <v>44179</v>
      </c>
      <c r="AF236" s="91">
        <v>44189</v>
      </c>
      <c r="AG236" s="34">
        <f t="shared" si="277"/>
        <v>10</v>
      </c>
      <c r="AH236" s="44" t="s">
        <v>3387</v>
      </c>
      <c r="AJ236" s="23"/>
    </row>
    <row r="237" spans="1:36">
      <c r="A237" s="151" t="s">
        <v>3362</v>
      </c>
      <c r="B237" s="84">
        <v>923</v>
      </c>
      <c r="C237" s="84">
        <v>705</v>
      </c>
      <c r="D237" s="84">
        <v>0</v>
      </c>
      <c r="E237" s="84">
        <v>40</v>
      </c>
      <c r="F237" s="7">
        <v>4.2</v>
      </c>
      <c r="G237" s="84">
        <v>4121</v>
      </c>
      <c r="H237" s="4" t="s">
        <v>560</v>
      </c>
      <c r="I237" s="17" t="s">
        <v>1112</v>
      </c>
      <c r="J237" s="371">
        <v>33.229999999999997</v>
      </c>
      <c r="K237" s="77">
        <v>4</v>
      </c>
      <c r="L237" s="77">
        <v>26.06</v>
      </c>
      <c r="N237" s="365">
        <f t="shared" si="278"/>
        <v>63.289999999999992</v>
      </c>
      <c r="Q237" s="326">
        <f>IFERROR(VLOOKUP($G237,主力整理!$A$2:$G$2301,6,0),"0")</f>
        <v>1</v>
      </c>
      <c r="T237" s="339">
        <f t="shared" si="279"/>
        <v>1</v>
      </c>
      <c r="V237" s="371">
        <v>1.56</v>
      </c>
      <c r="W237" s="35">
        <v>0.2</v>
      </c>
      <c r="X237" s="100">
        <f t="shared" si="274"/>
        <v>9.0497737556561077E-3</v>
      </c>
      <c r="Y237" s="37">
        <v>22.1</v>
      </c>
      <c r="Z237" s="46">
        <v>15.6</v>
      </c>
      <c r="AA237" s="16">
        <f t="shared" si="275"/>
        <v>6.5000000000000018</v>
      </c>
      <c r="AB237" s="66">
        <f t="shared" si="276"/>
        <v>0.4166666666666668</v>
      </c>
      <c r="AC237" s="105" t="s">
        <v>3412</v>
      </c>
      <c r="AD237" s="17" t="s">
        <v>1112</v>
      </c>
      <c r="AE237" s="89">
        <v>44179</v>
      </c>
      <c r="AF237" s="91">
        <v>44189</v>
      </c>
      <c r="AG237" s="34">
        <f t="shared" si="277"/>
        <v>10</v>
      </c>
      <c r="AH237" s="44" t="s">
        <v>3361</v>
      </c>
      <c r="AJ237" s="17"/>
    </row>
    <row r="238" spans="1:36">
      <c r="A238" s="135" t="s">
        <v>2619</v>
      </c>
      <c r="B238" s="84">
        <v>143</v>
      </c>
      <c r="C238" s="84">
        <v>172</v>
      </c>
      <c r="D238" s="84">
        <v>4</v>
      </c>
      <c r="E238" s="84">
        <v>38</v>
      </c>
      <c r="F238" s="59">
        <v>12.8</v>
      </c>
      <c r="G238" s="84">
        <v>3138</v>
      </c>
      <c r="H238" s="4" t="s">
        <v>563</v>
      </c>
      <c r="I238" s="23" t="s">
        <v>3372</v>
      </c>
      <c r="J238" s="371">
        <v>21.65</v>
      </c>
      <c r="K238" s="77">
        <v>0.46</v>
      </c>
      <c r="N238" s="365">
        <f t="shared" si="278"/>
        <v>22.11</v>
      </c>
      <c r="Q238" s="326" t="str">
        <f>IFERROR(VLOOKUP($G238,主力整理!$A$2:$G$2301,6,0),"0")</f>
        <v>0</v>
      </c>
      <c r="T238" s="339">
        <f t="shared" si="279"/>
        <v>0</v>
      </c>
      <c r="W238" s="35">
        <v>1</v>
      </c>
      <c r="X238" s="100">
        <f t="shared" si="274"/>
        <v>8.4745762711864406E-3</v>
      </c>
      <c r="Y238" s="37">
        <v>118</v>
      </c>
      <c r="Z238" s="69">
        <v>46</v>
      </c>
      <c r="AA238" s="16">
        <f t="shared" si="275"/>
        <v>72</v>
      </c>
      <c r="AB238" s="179">
        <f t="shared" si="276"/>
        <v>1.5652173913043479</v>
      </c>
      <c r="AC238" s="105" t="s">
        <v>3402</v>
      </c>
      <c r="AD238" s="23" t="s">
        <v>3372</v>
      </c>
      <c r="AE238" s="89">
        <v>44176</v>
      </c>
      <c r="AF238" s="91">
        <v>44186</v>
      </c>
      <c r="AG238" s="34">
        <f t="shared" si="277"/>
        <v>10</v>
      </c>
      <c r="AH238" s="126" t="s">
        <v>3373</v>
      </c>
      <c r="AJ238" s="23"/>
    </row>
    <row r="239" spans="1:36">
      <c r="A239" s="135" t="s">
        <v>3352</v>
      </c>
      <c r="B239" s="84">
        <v>51</v>
      </c>
      <c r="C239" s="84">
        <v>45</v>
      </c>
      <c r="D239" s="84">
        <v>1</v>
      </c>
      <c r="E239" s="84">
        <v>140</v>
      </c>
      <c r="F239" s="59">
        <v>19.329999999999998</v>
      </c>
      <c r="G239" s="84">
        <v>6629</v>
      </c>
      <c r="H239" s="4" t="s">
        <v>429</v>
      </c>
      <c r="I239" s="17" t="s">
        <v>3351</v>
      </c>
      <c r="J239" s="371">
        <v>83.58</v>
      </c>
      <c r="K239" s="371">
        <v>85.08</v>
      </c>
      <c r="N239" s="365">
        <f t="shared" si="278"/>
        <v>168.66</v>
      </c>
      <c r="Q239" s="326" t="str">
        <f>IFERROR(VLOOKUP($G239,主力整理!$A$2:$G$2301,6,0),"0")</f>
        <v>0</v>
      </c>
      <c r="T239" s="339">
        <f t="shared" si="279"/>
        <v>0</v>
      </c>
      <c r="W239" s="35">
        <v>3.1</v>
      </c>
      <c r="X239" s="100">
        <f t="shared" si="274"/>
        <v>4.8286604361370715E-2</v>
      </c>
      <c r="Y239" s="14">
        <v>64.2</v>
      </c>
      <c r="Z239" s="69">
        <v>52</v>
      </c>
      <c r="AA239" s="16">
        <f t="shared" si="275"/>
        <v>12.200000000000003</v>
      </c>
      <c r="AB239" s="66">
        <f t="shared" si="276"/>
        <v>0.23461538461538467</v>
      </c>
      <c r="AC239" s="105" t="s">
        <v>3403</v>
      </c>
      <c r="AD239" s="17" t="s">
        <v>3351</v>
      </c>
      <c r="AE239" s="89">
        <v>44176</v>
      </c>
      <c r="AF239" s="91">
        <v>44186</v>
      </c>
      <c r="AG239" s="34">
        <f t="shared" si="277"/>
        <v>10</v>
      </c>
      <c r="AH239" s="63" t="s">
        <v>3353</v>
      </c>
      <c r="AJ239" s="17"/>
    </row>
    <row r="240" spans="1:36" ht="17.25" customHeight="1">
      <c r="A240" s="135" t="s">
        <v>2214</v>
      </c>
      <c r="B240" s="84">
        <v>69</v>
      </c>
      <c r="C240" s="84">
        <v>74</v>
      </c>
      <c r="D240" s="84">
        <v>24</v>
      </c>
      <c r="E240" s="84">
        <v>12</v>
      </c>
      <c r="F240" s="59">
        <v>10.81</v>
      </c>
      <c r="G240" s="84">
        <v>6752</v>
      </c>
      <c r="H240" s="4" t="s">
        <v>565</v>
      </c>
      <c r="I240" s="17" t="s">
        <v>3360</v>
      </c>
      <c r="J240" s="371">
        <v>21.14</v>
      </c>
      <c r="K240" s="371">
        <v>0.21</v>
      </c>
      <c r="N240" s="365">
        <f t="shared" si="278"/>
        <v>21.35</v>
      </c>
      <c r="Q240" s="326" t="str">
        <f>IFERROR(VLOOKUP($G240,主力整理!$A$2:$G$2301,6,0),"0")</f>
        <v>0</v>
      </c>
      <c r="T240" s="339">
        <f t="shared" si="279"/>
        <v>0</v>
      </c>
      <c r="W240" s="35">
        <v>1.8</v>
      </c>
      <c r="X240" s="100">
        <f t="shared" si="274"/>
        <v>3.0456852791878174E-2</v>
      </c>
      <c r="Y240" s="37">
        <v>59.1</v>
      </c>
      <c r="Z240" s="69">
        <v>56</v>
      </c>
      <c r="AA240" s="16">
        <f t="shared" si="275"/>
        <v>3.1000000000000014</v>
      </c>
      <c r="AB240" s="66">
        <f t="shared" si="276"/>
        <v>5.5357142857142883E-2</v>
      </c>
      <c r="AC240" s="105" t="s">
        <v>3396</v>
      </c>
      <c r="AD240" s="17" t="s">
        <v>3360</v>
      </c>
      <c r="AE240" s="89">
        <v>44175</v>
      </c>
      <c r="AF240" s="91">
        <v>44186</v>
      </c>
      <c r="AG240" s="34">
        <f t="shared" si="277"/>
        <v>11</v>
      </c>
      <c r="AH240" s="63" t="s">
        <v>3388</v>
      </c>
      <c r="AJ240" s="17"/>
    </row>
    <row r="241" spans="1:42">
      <c r="A241" s="151" t="s">
        <v>3354</v>
      </c>
      <c r="B241" s="95">
        <v>-88</v>
      </c>
      <c r="C241" s="85">
        <v>-90</v>
      </c>
      <c r="D241" s="84">
        <v>49</v>
      </c>
      <c r="E241" s="84">
        <v>18</v>
      </c>
      <c r="F241" s="7">
        <v>0.32</v>
      </c>
      <c r="G241" s="85">
        <v>2867</v>
      </c>
      <c r="H241" s="11" t="s">
        <v>553</v>
      </c>
      <c r="I241" s="23" t="s">
        <v>229</v>
      </c>
      <c r="J241" s="371">
        <v>72.62</v>
      </c>
      <c r="K241" s="371">
        <v>7.12</v>
      </c>
      <c r="L241" s="371">
        <v>2.5299999999999998</v>
      </c>
      <c r="N241" s="365">
        <f t="shared" si="278"/>
        <v>82.27000000000001</v>
      </c>
      <c r="Q241" s="326">
        <f>IFERROR(VLOOKUP($G241,主力整理!$A$2:$G$2301,6,0),"0")</f>
        <v>8</v>
      </c>
      <c r="T241" s="339">
        <f t="shared" si="279"/>
        <v>8</v>
      </c>
      <c r="V241" s="371">
        <v>0.05</v>
      </c>
      <c r="W241" s="35">
        <v>0</v>
      </c>
      <c r="X241" s="100">
        <f t="shared" si="274"/>
        <v>0</v>
      </c>
      <c r="Y241" s="37">
        <v>8.3000000000000007</v>
      </c>
      <c r="Z241" s="69">
        <v>7.55</v>
      </c>
      <c r="AA241" s="16">
        <f t="shared" si="275"/>
        <v>0.75000000000000089</v>
      </c>
      <c r="AB241" s="66">
        <f t="shared" si="276"/>
        <v>9.933774834437098E-2</v>
      </c>
      <c r="AC241" s="105" t="s">
        <v>3397</v>
      </c>
      <c r="AD241" s="23" t="s">
        <v>229</v>
      </c>
      <c r="AE241" s="89">
        <v>44175</v>
      </c>
      <c r="AF241" s="91">
        <v>44186</v>
      </c>
      <c r="AG241" s="34">
        <f t="shared" si="277"/>
        <v>11</v>
      </c>
      <c r="AH241" s="125" t="s">
        <v>3439</v>
      </c>
      <c r="AJ241" s="23"/>
    </row>
    <row r="242" spans="1:42">
      <c r="A242" s="151" t="s">
        <v>3329</v>
      </c>
      <c r="B242" s="99">
        <v>-236</v>
      </c>
      <c r="C242" s="99">
        <v>-2493</v>
      </c>
      <c r="D242" s="85">
        <v>3</v>
      </c>
      <c r="E242" s="84">
        <v>23</v>
      </c>
      <c r="F242" s="7">
        <v>-6.71</v>
      </c>
      <c r="G242" s="84">
        <v>6443</v>
      </c>
      <c r="H242" s="4" t="s">
        <v>557</v>
      </c>
      <c r="I242" s="23" t="s">
        <v>831</v>
      </c>
      <c r="J242" s="371">
        <v>25.06</v>
      </c>
      <c r="K242" s="77">
        <v>10.130000000000001</v>
      </c>
      <c r="N242" s="365">
        <f t="shared" si="278"/>
        <v>35.19</v>
      </c>
      <c r="Q242" s="326">
        <f>IFERROR(VLOOKUP($G242,主力整理!$A$2:$G$2301,6,0),"0")</f>
        <v>4</v>
      </c>
      <c r="T242" s="339">
        <f t="shared" si="279"/>
        <v>4</v>
      </c>
      <c r="W242" s="35">
        <v>0</v>
      </c>
      <c r="X242" s="100">
        <f t="shared" si="274"/>
        <v>0</v>
      </c>
      <c r="Y242" s="37">
        <v>39.450000000000003</v>
      </c>
      <c r="Z242" s="69">
        <v>25.8</v>
      </c>
      <c r="AA242" s="16">
        <f t="shared" si="275"/>
        <v>13.650000000000002</v>
      </c>
      <c r="AB242" s="66">
        <f t="shared" si="276"/>
        <v>0.52906976744186052</v>
      </c>
      <c r="AC242" s="105" t="s">
        <v>3384</v>
      </c>
      <c r="AD242" s="23" t="s">
        <v>831</v>
      </c>
      <c r="AE242" s="89">
        <v>44172</v>
      </c>
      <c r="AF242" s="91">
        <v>44182</v>
      </c>
      <c r="AG242" s="34">
        <f t="shared" si="277"/>
        <v>10</v>
      </c>
      <c r="AH242" s="44" t="s">
        <v>3119</v>
      </c>
      <c r="AJ242" s="23"/>
    </row>
    <row r="243" spans="1:42">
      <c r="A243" s="135" t="s">
        <v>3161</v>
      </c>
      <c r="B243" s="84">
        <v>27</v>
      </c>
      <c r="C243" s="84">
        <v>35</v>
      </c>
      <c r="D243" s="84">
        <v>18</v>
      </c>
      <c r="E243" s="84">
        <v>10</v>
      </c>
      <c r="F243" s="59">
        <v>12.18</v>
      </c>
      <c r="G243" s="84">
        <v>4755</v>
      </c>
      <c r="H243" s="4" t="s">
        <v>1308</v>
      </c>
      <c r="I243" s="23" t="s">
        <v>1339</v>
      </c>
      <c r="J243" s="77">
        <v>76.099999999999994</v>
      </c>
      <c r="K243" s="371">
        <v>29.76</v>
      </c>
      <c r="L243" s="371">
        <v>2.41</v>
      </c>
      <c r="N243" s="365">
        <f t="shared" si="278"/>
        <v>108.27</v>
      </c>
      <c r="Q243" s="326" t="str">
        <f>IFERROR(VLOOKUP($G243,主力整理!$A$2:$G$2301,6,0),"0")</f>
        <v>0</v>
      </c>
      <c r="T243" s="339">
        <f t="shared" si="279"/>
        <v>0</v>
      </c>
      <c r="V243" s="371">
        <v>0</v>
      </c>
      <c r="W243" s="35">
        <v>2.5</v>
      </c>
      <c r="X243" s="100">
        <f t="shared" si="274"/>
        <v>3.7821482602118005E-2</v>
      </c>
      <c r="Y243" s="37">
        <v>66.099999999999994</v>
      </c>
      <c r="Z243" s="69">
        <v>48.7</v>
      </c>
      <c r="AA243" s="16">
        <f t="shared" si="275"/>
        <v>17.399999999999991</v>
      </c>
      <c r="AB243" s="66">
        <f t="shared" si="276"/>
        <v>0.35728952772073902</v>
      </c>
      <c r="AC243" s="105" t="s">
        <v>3379</v>
      </c>
      <c r="AD243" s="23" t="s">
        <v>1339</v>
      </c>
      <c r="AE243" s="89">
        <v>44169</v>
      </c>
      <c r="AF243" s="91">
        <v>44179</v>
      </c>
      <c r="AG243" s="34">
        <f t="shared" si="277"/>
        <v>10</v>
      </c>
      <c r="AH243" s="63" t="s">
        <v>3330</v>
      </c>
      <c r="AJ243" s="23"/>
    </row>
    <row r="244" spans="1:42">
      <c r="A244" s="135" t="s">
        <v>3404</v>
      </c>
      <c r="B244" s="85">
        <v>-21</v>
      </c>
      <c r="C244" s="84">
        <v>24</v>
      </c>
      <c r="D244" s="85">
        <v>-22</v>
      </c>
      <c r="E244" s="95">
        <v>-43</v>
      </c>
      <c r="F244" s="59">
        <v>14.09</v>
      </c>
      <c r="G244" s="85">
        <v>6727</v>
      </c>
      <c r="H244" s="4" t="s">
        <v>559</v>
      </c>
      <c r="I244" s="17" t="s">
        <v>3327</v>
      </c>
      <c r="J244" s="371">
        <v>7.8</v>
      </c>
      <c r="K244" s="371">
        <v>2.4300000000000002</v>
      </c>
      <c r="N244" s="365">
        <f t="shared" si="278"/>
        <v>10.23</v>
      </c>
      <c r="Q244" s="326" t="str">
        <f>IFERROR(VLOOKUP($G244,主力整理!$A$2:$G$2301,6,0),"0")</f>
        <v>0</v>
      </c>
      <c r="T244" s="339">
        <f t="shared" si="279"/>
        <v>0</v>
      </c>
      <c r="W244" s="35">
        <v>2</v>
      </c>
      <c r="X244" s="100">
        <f t="shared" si="274"/>
        <v>3.3670033670033669E-2</v>
      </c>
      <c r="Y244" s="37">
        <v>59.4</v>
      </c>
      <c r="Z244" s="69">
        <v>52.8</v>
      </c>
      <c r="AA244" s="16">
        <f t="shared" si="275"/>
        <v>6.6000000000000014</v>
      </c>
      <c r="AB244" s="66">
        <f t="shared" si="276"/>
        <v>0.12500000000000003</v>
      </c>
      <c r="AC244" s="105" t="s">
        <v>3368</v>
      </c>
      <c r="AD244" s="17" t="s">
        <v>3327</v>
      </c>
      <c r="AE244" s="89">
        <v>44166</v>
      </c>
      <c r="AF244" s="91">
        <v>44176</v>
      </c>
      <c r="AG244" s="34">
        <f t="shared" si="277"/>
        <v>10</v>
      </c>
      <c r="AH244" s="63" t="s">
        <v>3328</v>
      </c>
      <c r="AJ244" s="17"/>
    </row>
    <row r="245" spans="1:42">
      <c r="A245" s="135" t="s">
        <v>2733</v>
      </c>
      <c r="B245" s="84">
        <v>9</v>
      </c>
      <c r="C245" s="84">
        <v>14</v>
      </c>
      <c r="D245" s="85">
        <v>-27</v>
      </c>
      <c r="E245" s="84">
        <v>11</v>
      </c>
      <c r="F245" s="59">
        <v>17.32</v>
      </c>
      <c r="G245" s="85">
        <v>1342</v>
      </c>
      <c r="H245" s="4" t="s">
        <v>542</v>
      </c>
      <c r="I245" s="23" t="s">
        <v>3319</v>
      </c>
      <c r="J245" s="371">
        <v>81.73</v>
      </c>
      <c r="K245" s="371">
        <v>53.43</v>
      </c>
      <c r="L245" s="371"/>
      <c r="N245" s="365">
        <f t="shared" si="278"/>
        <v>135.16</v>
      </c>
      <c r="Q245" s="326" t="str">
        <f>IFERROR(VLOOKUP($G245,主力整理!$A$2:$G$2301,6,0),"0")</f>
        <v>0</v>
      </c>
      <c r="T245" s="339">
        <f t="shared" si="279"/>
        <v>0</v>
      </c>
      <c r="W245" s="35">
        <v>2.5</v>
      </c>
      <c r="X245" s="100">
        <f t="shared" si="274"/>
        <v>4.1254125412541254E-2</v>
      </c>
      <c r="Y245" s="14">
        <v>60.6</v>
      </c>
      <c r="Z245" s="69">
        <v>55</v>
      </c>
      <c r="AA245" s="16">
        <f t="shared" si="275"/>
        <v>5.6000000000000014</v>
      </c>
      <c r="AB245" s="66">
        <f t="shared" si="276"/>
        <v>0.10181818181818185</v>
      </c>
      <c r="AC245" s="105" t="s">
        <v>3339</v>
      </c>
      <c r="AD245" s="23" t="s">
        <v>3319</v>
      </c>
      <c r="AE245" s="89">
        <v>44159</v>
      </c>
      <c r="AF245" s="91">
        <v>44169</v>
      </c>
      <c r="AG245" s="34">
        <f t="shared" si="277"/>
        <v>10</v>
      </c>
      <c r="AH245" s="63" t="s">
        <v>3320</v>
      </c>
      <c r="AJ245" s="23"/>
    </row>
    <row r="246" spans="1:42">
      <c r="A246" s="151" t="s">
        <v>3312</v>
      </c>
      <c r="B246" s="85">
        <v>-112</v>
      </c>
      <c r="C246" s="85">
        <v>-126</v>
      </c>
      <c r="D246" s="85">
        <v>-39</v>
      </c>
      <c r="E246" s="84">
        <v>45</v>
      </c>
      <c r="F246" s="7">
        <v>-27.96</v>
      </c>
      <c r="G246" s="85">
        <v>6625</v>
      </c>
      <c r="H246" s="4" t="s">
        <v>429</v>
      </c>
      <c r="I246" s="23" t="s">
        <v>1235</v>
      </c>
      <c r="J246" s="371">
        <v>56.24</v>
      </c>
      <c r="K246" s="77">
        <v>0.21</v>
      </c>
      <c r="L246" s="371">
        <v>0.78</v>
      </c>
      <c r="N246" s="365">
        <f t="shared" si="278"/>
        <v>57.230000000000004</v>
      </c>
      <c r="Q246" s="326" t="str">
        <f>IFERROR(VLOOKUP($G246,主力整理!$A$2:$G$2301,6,0),"0")</f>
        <v>0</v>
      </c>
      <c r="T246" s="339">
        <f t="shared" si="279"/>
        <v>0</v>
      </c>
      <c r="V246" s="371">
        <v>0</v>
      </c>
      <c r="W246" s="35">
        <v>0.6</v>
      </c>
      <c r="X246" s="100">
        <f t="shared" si="274"/>
        <v>1.7857142857142856E-2</v>
      </c>
      <c r="Y246" s="37">
        <v>33.6</v>
      </c>
      <c r="Z246" s="69">
        <v>30</v>
      </c>
      <c r="AA246" s="16">
        <f t="shared" si="275"/>
        <v>3.6000000000000014</v>
      </c>
      <c r="AB246" s="66">
        <f t="shared" si="276"/>
        <v>0.12000000000000005</v>
      </c>
      <c r="AC246" s="105" t="s">
        <v>3340</v>
      </c>
      <c r="AD246" s="23" t="s">
        <v>1235</v>
      </c>
      <c r="AE246" s="89">
        <v>44159</v>
      </c>
      <c r="AF246" s="91">
        <v>44169</v>
      </c>
      <c r="AG246" s="34">
        <f t="shared" si="277"/>
        <v>10</v>
      </c>
      <c r="AH246" s="44" t="s">
        <v>3313</v>
      </c>
      <c r="AJ246" s="23"/>
    </row>
    <row r="247" spans="1:42" ht="17.25" customHeight="1">
      <c r="A247" s="135" t="s">
        <v>3314</v>
      </c>
      <c r="B247" s="85">
        <v>-81</v>
      </c>
      <c r="C247" s="85">
        <v>-72</v>
      </c>
      <c r="D247" s="85">
        <v>-92</v>
      </c>
      <c r="E247" s="85">
        <v>-97</v>
      </c>
      <c r="F247" s="59">
        <v>13.67</v>
      </c>
      <c r="G247" s="84">
        <v>6177</v>
      </c>
      <c r="H247" s="4" t="s">
        <v>1485</v>
      </c>
      <c r="I247" s="23" t="s">
        <v>1547</v>
      </c>
      <c r="J247" s="371">
        <v>67.52</v>
      </c>
      <c r="K247" s="77">
        <v>1.99</v>
      </c>
      <c r="L247" s="77">
        <v>7.45</v>
      </c>
      <c r="N247" s="365">
        <f t="shared" si="278"/>
        <v>76.959999999999994</v>
      </c>
      <c r="Q247" s="326">
        <f>IFERROR(VLOOKUP($G247,主力整理!$A$2:$G$2301,6,0),"0")</f>
        <v>1</v>
      </c>
      <c r="T247" s="339">
        <f t="shared" si="279"/>
        <v>1</v>
      </c>
      <c r="V247" s="371">
        <v>0.06</v>
      </c>
      <c r="W247" s="35">
        <v>3</v>
      </c>
      <c r="X247" s="100">
        <f t="shared" si="274"/>
        <v>9.5846645367412137E-2</v>
      </c>
      <c r="Y247" s="37">
        <v>31.3</v>
      </c>
      <c r="Z247" s="69">
        <v>25</v>
      </c>
      <c r="AA247" s="16">
        <f t="shared" si="275"/>
        <v>6.3000000000000007</v>
      </c>
      <c r="AB247" s="66">
        <f t="shared" si="276"/>
        <v>0.252</v>
      </c>
      <c r="AC247" s="105" t="s">
        <v>2771</v>
      </c>
      <c r="AD247" s="23" t="s">
        <v>1547</v>
      </c>
      <c r="AE247" s="89">
        <v>44159</v>
      </c>
      <c r="AF247" s="91">
        <v>44169</v>
      </c>
      <c r="AG247" s="34">
        <f t="shared" si="277"/>
        <v>10</v>
      </c>
      <c r="AH247" s="63" t="s">
        <v>3180</v>
      </c>
      <c r="AJ247" s="23"/>
    </row>
    <row r="248" spans="1:42">
      <c r="A248" s="151" t="s">
        <v>3298</v>
      </c>
      <c r="B248" s="84">
        <v>55</v>
      </c>
      <c r="C248" s="84">
        <v>60</v>
      </c>
      <c r="D248" s="85">
        <v>-9</v>
      </c>
      <c r="E248" s="85">
        <v>-11</v>
      </c>
      <c r="F248" s="7">
        <v>-6.44</v>
      </c>
      <c r="G248" s="84">
        <v>5351</v>
      </c>
      <c r="H248" s="55" t="s">
        <v>558</v>
      </c>
      <c r="I248" s="25" t="s">
        <v>461</v>
      </c>
      <c r="J248" s="77">
        <v>18.95</v>
      </c>
      <c r="K248" s="77">
        <v>6.29</v>
      </c>
      <c r="L248" s="371">
        <v>23.03</v>
      </c>
      <c r="N248" s="365">
        <f t="shared" si="278"/>
        <v>48.269999999999996</v>
      </c>
      <c r="Q248" s="326">
        <f>IFERROR(VLOOKUP($G248,主力整理!$A$2:$G$2301,6,0),"0")</f>
        <v>1</v>
      </c>
      <c r="T248" s="339">
        <f t="shared" si="279"/>
        <v>1</v>
      </c>
      <c r="V248" s="371">
        <v>0.65</v>
      </c>
      <c r="W248" s="35">
        <v>0</v>
      </c>
      <c r="X248" s="100">
        <f t="shared" si="274"/>
        <v>0</v>
      </c>
      <c r="Y248" s="37">
        <v>22.3</v>
      </c>
      <c r="Z248" s="46">
        <v>14.6</v>
      </c>
      <c r="AA248" s="16">
        <f t="shared" si="275"/>
        <v>7.7000000000000011</v>
      </c>
      <c r="AB248" s="66">
        <f t="shared" si="276"/>
        <v>0.52739726027397271</v>
      </c>
      <c r="AC248" s="105" t="s">
        <v>3341</v>
      </c>
      <c r="AD248" s="25" t="s">
        <v>461</v>
      </c>
      <c r="AE248" s="89">
        <v>44159</v>
      </c>
      <c r="AF248" s="91">
        <v>44169</v>
      </c>
      <c r="AG248" s="34">
        <f t="shared" si="277"/>
        <v>10</v>
      </c>
      <c r="AH248" s="127" t="s">
        <v>2991</v>
      </c>
      <c r="AJ248" s="25"/>
      <c r="AK248" s="356"/>
      <c r="AL248" s="103"/>
    </row>
    <row r="249" spans="1:42" s="8" customFormat="1" ht="17.100000000000001" customHeight="1">
      <c r="A249" s="135" t="s">
        <v>2335</v>
      </c>
      <c r="B249" s="84">
        <v>32</v>
      </c>
      <c r="C249" s="84">
        <v>66</v>
      </c>
      <c r="D249" s="84">
        <v>14</v>
      </c>
      <c r="E249" s="84">
        <v>19</v>
      </c>
      <c r="F249" s="59">
        <v>18.440000000000001</v>
      </c>
      <c r="G249" s="84">
        <v>4945</v>
      </c>
      <c r="H249" s="54" t="s">
        <v>558</v>
      </c>
      <c r="I249" s="25" t="s">
        <v>3311</v>
      </c>
      <c r="J249" s="371">
        <v>48.65</v>
      </c>
      <c r="K249" s="77">
        <v>3.42</v>
      </c>
      <c r="L249" s="371"/>
      <c r="M249" s="365"/>
      <c r="N249" s="365">
        <f t="shared" si="278"/>
        <v>52.07</v>
      </c>
      <c r="O249" s="343"/>
      <c r="P249" s="166"/>
      <c r="Q249" s="326" t="str">
        <f>IFERROR(VLOOKUP($G249,主力整理!$A$2:$G$2301,6,0),"0")</f>
        <v>0</v>
      </c>
      <c r="R249" s="31"/>
      <c r="S249" s="51"/>
      <c r="T249" s="339">
        <f t="shared" si="279"/>
        <v>0</v>
      </c>
      <c r="U249" s="329"/>
      <c r="V249" s="371"/>
      <c r="W249" s="35">
        <v>1.5</v>
      </c>
      <c r="X249" s="100">
        <f t="shared" si="274"/>
        <v>2.9940119760479042E-2</v>
      </c>
      <c r="Y249" s="37">
        <v>50.1</v>
      </c>
      <c r="Z249" s="69">
        <v>38</v>
      </c>
      <c r="AA249" s="16">
        <f t="shared" si="275"/>
        <v>12.100000000000001</v>
      </c>
      <c r="AB249" s="66">
        <f t="shared" si="276"/>
        <v>0.31842105263157899</v>
      </c>
      <c r="AC249" s="105" t="s">
        <v>3294</v>
      </c>
      <c r="AD249" s="25" t="s">
        <v>3311</v>
      </c>
      <c r="AE249" s="89">
        <v>44155</v>
      </c>
      <c r="AF249" s="91">
        <v>44165</v>
      </c>
      <c r="AG249" s="34">
        <f t="shared" si="277"/>
        <v>10</v>
      </c>
      <c r="AH249" s="127" t="s">
        <v>3315</v>
      </c>
      <c r="AI249" s="252"/>
      <c r="AJ249" s="25"/>
      <c r="AK249" s="356"/>
      <c r="AL249" s="103"/>
      <c r="AM249" s="291"/>
      <c r="AN249" s="273"/>
      <c r="AO249" s="232"/>
      <c r="AP249" s="384"/>
    </row>
    <row r="250" spans="1:42">
      <c r="A250" s="151" t="s">
        <v>3307</v>
      </c>
      <c r="B250" s="85">
        <v>-14</v>
      </c>
      <c r="C250" s="85">
        <v>-20</v>
      </c>
      <c r="D250" s="85">
        <v>-23</v>
      </c>
      <c r="E250" s="84">
        <v>178</v>
      </c>
      <c r="F250" s="48">
        <v>-1101</v>
      </c>
      <c r="G250" s="84">
        <v>6547</v>
      </c>
      <c r="H250" s="4" t="s">
        <v>560</v>
      </c>
      <c r="I250" s="17" t="s">
        <v>1753</v>
      </c>
      <c r="J250" s="371">
        <v>33.5</v>
      </c>
      <c r="K250" s="371">
        <v>4.8099999999999996</v>
      </c>
      <c r="N250" s="365">
        <f t="shared" si="278"/>
        <v>38.31</v>
      </c>
      <c r="Q250" s="326">
        <f>IFERROR(VLOOKUP($G250,主力整理!$A$2:$G$2301,6,0),"0")</f>
        <v>1</v>
      </c>
      <c r="T250" s="339">
        <f t="shared" si="279"/>
        <v>1</v>
      </c>
      <c r="W250" s="35">
        <v>0</v>
      </c>
      <c r="X250" s="100">
        <f t="shared" si="274"/>
        <v>0</v>
      </c>
      <c r="Y250" s="37">
        <v>107</v>
      </c>
      <c r="Z250" s="69">
        <v>80</v>
      </c>
      <c r="AA250" s="16">
        <f t="shared" si="275"/>
        <v>27</v>
      </c>
      <c r="AB250" s="66">
        <f t="shared" si="276"/>
        <v>0.33750000000000002</v>
      </c>
      <c r="AC250" s="105" t="s">
        <v>3333</v>
      </c>
      <c r="AD250" s="17" t="s">
        <v>1753</v>
      </c>
      <c r="AE250" s="89">
        <v>44155</v>
      </c>
      <c r="AF250" s="91">
        <v>44165</v>
      </c>
      <c r="AG250" s="34">
        <f t="shared" si="277"/>
        <v>10</v>
      </c>
      <c r="AH250" s="44" t="s">
        <v>2953</v>
      </c>
      <c r="AJ250" s="17"/>
    </row>
    <row r="251" spans="1:42">
      <c r="A251" s="151" t="s">
        <v>3301</v>
      </c>
      <c r="B251" s="84">
        <v>62</v>
      </c>
      <c r="C251" s="84">
        <v>92</v>
      </c>
      <c r="D251" s="84">
        <v>30</v>
      </c>
      <c r="E251" s="85">
        <v>-23</v>
      </c>
      <c r="F251" s="7">
        <v>-0.59</v>
      </c>
      <c r="G251" s="84">
        <v>8011</v>
      </c>
      <c r="H251" s="4" t="s">
        <v>563</v>
      </c>
      <c r="I251" s="23" t="s">
        <v>436</v>
      </c>
      <c r="J251" s="77">
        <v>28.59</v>
      </c>
      <c r="K251" s="371">
        <v>1.85</v>
      </c>
      <c r="L251" s="77">
        <v>12.03</v>
      </c>
      <c r="N251" s="365">
        <f t="shared" si="278"/>
        <v>42.47</v>
      </c>
      <c r="Q251" s="326" t="str">
        <f>IFERROR(VLOOKUP($G251,主力整理!$A$2:$G$2301,6,0),"0")</f>
        <v>0</v>
      </c>
      <c r="T251" s="339">
        <f t="shared" si="279"/>
        <v>0</v>
      </c>
      <c r="V251" s="371">
        <v>0.62</v>
      </c>
      <c r="W251" s="35">
        <v>0</v>
      </c>
      <c r="X251" s="100">
        <f t="shared" ref="X251:X282" si="280">W251/Y251</f>
        <v>0</v>
      </c>
      <c r="Y251" s="37">
        <v>18.75</v>
      </c>
      <c r="Z251" s="69">
        <v>14.2</v>
      </c>
      <c r="AA251" s="16">
        <f t="shared" si="275"/>
        <v>4.5500000000000007</v>
      </c>
      <c r="AB251" s="66">
        <f t="shared" si="276"/>
        <v>0.32042253521126768</v>
      </c>
      <c r="AC251" s="105" t="s">
        <v>3324</v>
      </c>
      <c r="AD251" s="23" t="s">
        <v>436</v>
      </c>
      <c r="AE251" s="89">
        <v>44152</v>
      </c>
      <c r="AF251" s="91">
        <v>44162</v>
      </c>
      <c r="AG251" s="34">
        <f t="shared" si="277"/>
        <v>10</v>
      </c>
      <c r="AH251" s="125" t="s">
        <v>3302</v>
      </c>
      <c r="AJ251" s="23"/>
    </row>
    <row r="252" spans="1:42" ht="17.25" customHeight="1">
      <c r="A252" s="151" t="s">
        <v>2357</v>
      </c>
      <c r="B252" s="84">
        <v>35</v>
      </c>
      <c r="C252" s="84">
        <v>19</v>
      </c>
      <c r="D252" s="85">
        <v>-8</v>
      </c>
      <c r="E252" s="84">
        <v>12</v>
      </c>
      <c r="F252" s="7">
        <v>9.27</v>
      </c>
      <c r="G252" s="84">
        <v>3171</v>
      </c>
      <c r="H252" s="4" t="s">
        <v>562</v>
      </c>
      <c r="I252" s="17" t="s">
        <v>1371</v>
      </c>
      <c r="J252" s="371">
        <v>74.760000000000005</v>
      </c>
      <c r="K252" s="371">
        <v>0.52</v>
      </c>
      <c r="L252" s="371">
        <v>4.33</v>
      </c>
      <c r="N252" s="365">
        <f t="shared" si="278"/>
        <v>79.61</v>
      </c>
      <c r="Q252" s="326" t="str">
        <f>IFERROR(VLOOKUP($G252,主力整理!$A$2:$G$2301,6,0),"0")</f>
        <v>0</v>
      </c>
      <c r="T252" s="339">
        <f t="shared" si="279"/>
        <v>0</v>
      </c>
      <c r="V252" s="371">
        <v>0</v>
      </c>
      <c r="W252" s="35">
        <v>1.58</v>
      </c>
      <c r="X252" s="100">
        <f t="shared" si="280"/>
        <v>7.3317865429234338E-2</v>
      </c>
      <c r="Y252" s="37">
        <v>21.55</v>
      </c>
      <c r="Z252" s="69">
        <v>20</v>
      </c>
      <c r="AA252" s="16">
        <f t="shared" si="275"/>
        <v>1.5500000000000007</v>
      </c>
      <c r="AB252" s="66">
        <f t="shared" si="276"/>
        <v>7.7500000000000041E-2</v>
      </c>
      <c r="AC252" s="105" t="s">
        <v>3322</v>
      </c>
      <c r="AD252" s="17" t="s">
        <v>1371</v>
      </c>
      <c r="AE252" s="89">
        <v>44147</v>
      </c>
      <c r="AF252" s="91">
        <v>44158</v>
      </c>
      <c r="AG252" s="34">
        <f t="shared" si="277"/>
        <v>11</v>
      </c>
      <c r="AH252" s="44" t="s">
        <v>3293</v>
      </c>
      <c r="AJ252" s="17"/>
    </row>
    <row r="253" spans="1:42">
      <c r="A253" s="135" t="s">
        <v>3179</v>
      </c>
      <c r="B253" s="85">
        <v>-4</v>
      </c>
      <c r="C253" s="84">
        <v>215</v>
      </c>
      <c r="D253" s="85">
        <v>-26</v>
      </c>
      <c r="E253" s="84">
        <v>7</v>
      </c>
      <c r="F253" s="59">
        <v>11.97</v>
      </c>
      <c r="G253" s="85">
        <v>6023</v>
      </c>
      <c r="H253" s="11" t="s">
        <v>553</v>
      </c>
      <c r="I253" s="17" t="s">
        <v>291</v>
      </c>
      <c r="J253" s="371">
        <v>81.8</v>
      </c>
      <c r="K253" s="371">
        <v>0.79</v>
      </c>
      <c r="L253" s="77">
        <v>0.36</v>
      </c>
      <c r="N253" s="365">
        <f t="shared" si="278"/>
        <v>82.95</v>
      </c>
      <c r="Q253" s="326" t="str">
        <f>IFERROR(VLOOKUP($G253,主力整理!$A$2:$G$2301,6,0),"0")</f>
        <v>0</v>
      </c>
      <c r="T253" s="339">
        <f t="shared" si="279"/>
        <v>0</v>
      </c>
      <c r="V253" s="371">
        <v>0</v>
      </c>
      <c r="W253" s="35">
        <v>3.2</v>
      </c>
      <c r="X253" s="100">
        <f t="shared" si="280"/>
        <v>6.237816764132554E-2</v>
      </c>
      <c r="Y253" s="37">
        <v>51.3</v>
      </c>
      <c r="Z253" s="69">
        <v>45.5</v>
      </c>
      <c r="AA253" s="16">
        <f t="shared" si="275"/>
        <v>5.7999999999999972</v>
      </c>
      <c r="AB253" s="66">
        <f t="shared" si="276"/>
        <v>0.12747252747252741</v>
      </c>
      <c r="AC253" s="105" t="s">
        <v>3306</v>
      </c>
      <c r="AD253" s="17" t="s">
        <v>291</v>
      </c>
      <c r="AE253" s="89">
        <v>44139</v>
      </c>
      <c r="AF253" s="91">
        <v>44151</v>
      </c>
      <c r="AG253" s="34">
        <f t="shared" si="277"/>
        <v>12</v>
      </c>
      <c r="AH253" s="126" t="s">
        <v>2160</v>
      </c>
      <c r="AJ253" s="17"/>
    </row>
    <row r="254" spans="1:42">
      <c r="A254" s="151" t="s">
        <v>2593</v>
      </c>
      <c r="B254" s="84">
        <v>173</v>
      </c>
      <c r="C254" s="84">
        <v>904</v>
      </c>
      <c r="D254" s="84">
        <v>34</v>
      </c>
      <c r="E254" s="85">
        <v>-27</v>
      </c>
      <c r="F254" s="7">
        <v>5.77</v>
      </c>
      <c r="G254" s="84">
        <v>6667</v>
      </c>
      <c r="H254" s="4" t="s">
        <v>566</v>
      </c>
      <c r="I254" s="17" t="s">
        <v>1732</v>
      </c>
      <c r="J254" s="371">
        <v>53.97</v>
      </c>
      <c r="K254" s="371">
        <v>1.63</v>
      </c>
      <c r="L254" s="371">
        <v>19.82</v>
      </c>
      <c r="N254" s="365">
        <f t="shared" si="278"/>
        <v>75.42</v>
      </c>
      <c r="Q254" s="326" t="str">
        <f>IFERROR(VLOOKUP($G254,主力整理!$A$2:$G$2301,6,0),"0")</f>
        <v>0</v>
      </c>
      <c r="T254" s="339">
        <f t="shared" si="279"/>
        <v>0</v>
      </c>
      <c r="V254" s="371">
        <v>7.0000000000000007E-2</v>
      </c>
      <c r="W254" s="35">
        <v>1.99</v>
      </c>
      <c r="X254" s="100">
        <f t="shared" si="280"/>
        <v>2.9924812030075187E-2</v>
      </c>
      <c r="Y254" s="37">
        <v>66.5</v>
      </c>
      <c r="Z254" s="69">
        <v>47</v>
      </c>
      <c r="AA254" s="16">
        <f t="shared" si="275"/>
        <v>19.5</v>
      </c>
      <c r="AB254" s="66">
        <f t="shared" si="276"/>
        <v>0.41489361702127658</v>
      </c>
      <c r="AC254" s="105" t="s">
        <v>3303</v>
      </c>
      <c r="AD254" s="17" t="s">
        <v>1732</v>
      </c>
      <c r="AE254" s="89">
        <v>44138</v>
      </c>
      <c r="AF254" s="91">
        <v>44148</v>
      </c>
      <c r="AG254" s="34">
        <f t="shared" si="277"/>
        <v>10</v>
      </c>
      <c r="AH254" s="44" t="s">
        <v>3265</v>
      </c>
      <c r="AJ254" s="17"/>
    </row>
    <row r="255" spans="1:42">
      <c r="A255" s="135" t="s">
        <v>2610</v>
      </c>
      <c r="B255" s="84">
        <v>16</v>
      </c>
      <c r="C255" s="84">
        <v>34</v>
      </c>
      <c r="D255" s="84">
        <v>2</v>
      </c>
      <c r="E255" s="84">
        <v>5</v>
      </c>
      <c r="F255" s="59">
        <v>26.69</v>
      </c>
      <c r="G255" s="84">
        <v>7556</v>
      </c>
      <c r="H255" s="53" t="s">
        <v>558</v>
      </c>
      <c r="I255" s="17" t="s">
        <v>3264</v>
      </c>
      <c r="J255" s="371">
        <v>58.76</v>
      </c>
      <c r="K255" s="77">
        <v>2.6</v>
      </c>
      <c r="N255" s="365">
        <f t="shared" si="278"/>
        <v>61.36</v>
      </c>
      <c r="Q255" s="326" t="str">
        <f>IFERROR(VLOOKUP($G255,主力整理!$A$2:$G$2301,6,0),"0")</f>
        <v>0</v>
      </c>
      <c r="T255" s="339">
        <f t="shared" si="279"/>
        <v>0</v>
      </c>
      <c r="W255" s="35">
        <v>2.2000000000000002</v>
      </c>
      <c r="X255" s="100">
        <f t="shared" si="280"/>
        <v>2.2845275181723784E-2</v>
      </c>
      <c r="Y255" s="37">
        <v>96.3</v>
      </c>
      <c r="Z255" s="69">
        <v>88</v>
      </c>
      <c r="AA255" s="16">
        <f t="shared" si="275"/>
        <v>8.2999999999999972</v>
      </c>
      <c r="AB255" s="66">
        <f t="shared" si="276"/>
        <v>9.4318181818181787E-2</v>
      </c>
      <c r="AC255" s="105" t="s">
        <v>3296</v>
      </c>
      <c r="AD255" s="17" t="s">
        <v>3264</v>
      </c>
      <c r="AE255" s="89">
        <v>44134</v>
      </c>
      <c r="AF255" s="91">
        <v>44144</v>
      </c>
      <c r="AG255" s="34">
        <f t="shared" si="277"/>
        <v>10</v>
      </c>
      <c r="AH255" s="63" t="s">
        <v>3266</v>
      </c>
      <c r="AJ255" s="17"/>
    </row>
    <row r="256" spans="1:42">
      <c r="A256" s="151" t="s">
        <v>2683</v>
      </c>
      <c r="B256" s="85">
        <v>-130</v>
      </c>
      <c r="C256" s="85">
        <v>-104</v>
      </c>
      <c r="D256" s="84">
        <v>5</v>
      </c>
      <c r="E256" s="85">
        <v>-19</v>
      </c>
      <c r="F256" s="7">
        <v>-0.66</v>
      </c>
      <c r="G256" s="85">
        <v>2027</v>
      </c>
      <c r="H256" s="4" t="s">
        <v>548</v>
      </c>
      <c r="I256" s="23" t="s">
        <v>512</v>
      </c>
      <c r="J256" s="77">
        <v>64.2</v>
      </c>
      <c r="K256" s="77">
        <v>20.71</v>
      </c>
      <c r="L256" s="371">
        <v>8.68</v>
      </c>
      <c r="N256" s="365">
        <f t="shared" si="278"/>
        <v>93.59</v>
      </c>
      <c r="Q256" s="326">
        <f>IFERROR(VLOOKUP($G256,主力整理!$A$2:$G$2301,6,0),"0")</f>
        <v>4</v>
      </c>
      <c r="T256" s="339">
        <f t="shared" si="279"/>
        <v>4</v>
      </c>
      <c r="V256" s="371">
        <v>0.43</v>
      </c>
      <c r="W256" s="35">
        <v>1.2</v>
      </c>
      <c r="X256" s="59">
        <f t="shared" si="280"/>
        <v>4.8289738430583498E-2</v>
      </c>
      <c r="Y256" s="37">
        <v>24.85</v>
      </c>
      <c r="Z256" s="69">
        <v>18</v>
      </c>
      <c r="AA256" s="16">
        <f t="shared" si="275"/>
        <v>6.8500000000000014</v>
      </c>
      <c r="AB256" s="66">
        <f t="shared" si="276"/>
        <v>0.38055555555555565</v>
      </c>
      <c r="AC256" s="105" t="s">
        <v>3297</v>
      </c>
      <c r="AD256" s="23" t="s">
        <v>512</v>
      </c>
      <c r="AE256" s="89">
        <v>44134</v>
      </c>
      <c r="AF256" s="91">
        <v>44144</v>
      </c>
      <c r="AG256" s="34">
        <f t="shared" si="277"/>
        <v>10</v>
      </c>
      <c r="AH256" s="125" t="s">
        <v>2145</v>
      </c>
      <c r="AJ256" s="23"/>
    </row>
    <row r="257" spans="1:36">
      <c r="A257" s="151" t="s">
        <v>3246</v>
      </c>
      <c r="B257" s="85">
        <v>-18</v>
      </c>
      <c r="C257" s="84"/>
      <c r="D257" s="85">
        <v>-19</v>
      </c>
      <c r="E257" s="84">
        <v>3</v>
      </c>
      <c r="F257" s="7"/>
      <c r="G257" s="85">
        <v>2897</v>
      </c>
      <c r="H257" s="11" t="s">
        <v>553</v>
      </c>
      <c r="I257" s="23" t="s">
        <v>612</v>
      </c>
      <c r="J257" s="371">
        <v>85.86</v>
      </c>
      <c r="K257" s="371">
        <v>1.51</v>
      </c>
      <c r="L257" s="77">
        <v>0.46</v>
      </c>
      <c r="N257" s="365">
        <f t="shared" si="278"/>
        <v>87.83</v>
      </c>
      <c r="Q257" s="326">
        <f>IFERROR(VLOOKUP($G257,主力整理!$A$2:$G$2301,6,0),"0")</f>
        <v>5</v>
      </c>
      <c r="T257" s="339">
        <f t="shared" si="279"/>
        <v>5</v>
      </c>
      <c r="V257" s="371">
        <v>0</v>
      </c>
      <c r="W257" s="35">
        <v>0.4</v>
      </c>
      <c r="X257" s="100">
        <f t="shared" si="280"/>
        <v>6.230529595015577E-2</v>
      </c>
      <c r="Y257" s="37">
        <v>6.42</v>
      </c>
      <c r="Z257" s="69">
        <v>6.35</v>
      </c>
      <c r="AA257" s="16">
        <f t="shared" ref="AA257:AA288" si="281">Y257-Z257</f>
        <v>7.0000000000000284E-2</v>
      </c>
      <c r="AB257" s="66">
        <f t="shared" ref="AB257:AB288" si="282">AA257/Z257</f>
        <v>1.1023622047244139E-2</v>
      </c>
      <c r="AC257" s="105" t="s">
        <v>3174</v>
      </c>
      <c r="AD257" s="23" t="s">
        <v>612</v>
      </c>
      <c r="AE257" s="89">
        <v>44130</v>
      </c>
      <c r="AF257" s="91">
        <v>44140</v>
      </c>
      <c r="AG257" s="34">
        <f t="shared" ref="AG257:AG288" si="283">AF257-AE257</f>
        <v>10</v>
      </c>
      <c r="AH257" s="44" t="s">
        <v>3216</v>
      </c>
      <c r="AJ257" s="23"/>
    </row>
    <row r="258" spans="1:36">
      <c r="A258" s="135" t="s">
        <v>2901</v>
      </c>
      <c r="B258" s="84">
        <v>21</v>
      </c>
      <c r="C258" s="84">
        <v>25</v>
      </c>
      <c r="D258" s="84">
        <v>3</v>
      </c>
      <c r="E258" s="84">
        <v>43</v>
      </c>
      <c r="F258" s="59">
        <v>15.81</v>
      </c>
      <c r="G258" s="84">
        <v>6703</v>
      </c>
      <c r="H258" s="4" t="s">
        <v>560</v>
      </c>
      <c r="I258" s="17" t="s">
        <v>3245</v>
      </c>
      <c r="J258" s="371">
        <v>37.94</v>
      </c>
      <c r="K258" s="371">
        <v>11.69</v>
      </c>
      <c r="N258" s="365">
        <f t="shared" ref="N258:N285" si="284">K258+J258+L258</f>
        <v>49.629999999999995</v>
      </c>
      <c r="Q258" s="326" t="str">
        <f>IFERROR(VLOOKUP($G258,主力整理!$A$2:$G$2301,6,0),"0")</f>
        <v>0</v>
      </c>
      <c r="T258" s="339">
        <f t="shared" si="279"/>
        <v>0</v>
      </c>
      <c r="W258" s="35">
        <v>8</v>
      </c>
      <c r="X258" s="100">
        <f t="shared" si="280"/>
        <v>7.441860465116279E-2</v>
      </c>
      <c r="Y258" s="37">
        <v>107.5</v>
      </c>
      <c r="Z258" s="69">
        <v>96.9</v>
      </c>
      <c r="AA258" s="16">
        <f t="shared" si="281"/>
        <v>10.599999999999994</v>
      </c>
      <c r="AB258" s="66">
        <f t="shared" si="282"/>
        <v>0.10939112487100097</v>
      </c>
      <c r="AC258" s="105" t="s">
        <v>3273</v>
      </c>
      <c r="AD258" s="17" t="s">
        <v>3245</v>
      </c>
      <c r="AE258" s="89">
        <v>44124</v>
      </c>
      <c r="AF258" s="91">
        <v>44134</v>
      </c>
      <c r="AG258" s="34">
        <f t="shared" si="283"/>
        <v>10</v>
      </c>
      <c r="AH258" s="63" t="s">
        <v>3244</v>
      </c>
      <c r="AJ258" s="17"/>
    </row>
    <row r="259" spans="1:36">
      <c r="A259" s="151" t="s">
        <v>3238</v>
      </c>
      <c r="B259" s="84">
        <v>191</v>
      </c>
      <c r="C259" s="84">
        <v>340</v>
      </c>
      <c r="D259" s="84">
        <v>4</v>
      </c>
      <c r="E259" s="84">
        <v>10</v>
      </c>
      <c r="F259" s="7">
        <v>1.32</v>
      </c>
      <c r="G259" s="84">
        <v>1589</v>
      </c>
      <c r="H259" s="4" t="s">
        <v>544</v>
      </c>
      <c r="I259" s="23" t="s">
        <v>1060</v>
      </c>
      <c r="J259" s="77">
        <v>40.6</v>
      </c>
      <c r="K259" s="371">
        <v>10.32</v>
      </c>
      <c r="L259" s="77">
        <v>31.52</v>
      </c>
      <c r="N259" s="365">
        <f t="shared" si="284"/>
        <v>82.44</v>
      </c>
      <c r="Q259" s="326" t="str">
        <f>IFERROR(VLOOKUP($G259,主力整理!$A$2:$G$2301,6,0),"0")</f>
        <v>0</v>
      </c>
      <c r="T259" s="339">
        <f t="shared" si="279"/>
        <v>0</v>
      </c>
      <c r="V259" s="371">
        <v>0.91</v>
      </c>
      <c r="W259" s="35">
        <v>0.5</v>
      </c>
      <c r="X259" s="100">
        <f t="shared" si="280"/>
        <v>5.4644808743169399E-3</v>
      </c>
      <c r="Y259" s="37">
        <v>91.5</v>
      </c>
      <c r="Z259" s="46">
        <v>80</v>
      </c>
      <c r="AA259" s="16">
        <f t="shared" si="281"/>
        <v>11.5</v>
      </c>
      <c r="AB259" s="66">
        <f t="shared" si="282"/>
        <v>0.14374999999999999</v>
      </c>
      <c r="AC259" s="105" t="s">
        <v>3272</v>
      </c>
      <c r="AD259" s="23" t="s">
        <v>1060</v>
      </c>
      <c r="AE259" s="89">
        <v>44124</v>
      </c>
      <c r="AF259" s="91">
        <v>44134</v>
      </c>
      <c r="AG259" s="34">
        <f t="shared" si="283"/>
        <v>10</v>
      </c>
      <c r="AH259" s="44" t="s">
        <v>3072</v>
      </c>
      <c r="AJ259" s="23"/>
    </row>
    <row r="260" spans="1:36">
      <c r="A260" s="135" t="s">
        <v>3228</v>
      </c>
      <c r="B260" s="85">
        <v>-24</v>
      </c>
      <c r="C260" s="85">
        <v>-19</v>
      </c>
      <c r="D260" s="84">
        <v>4</v>
      </c>
      <c r="E260" s="84">
        <v>46</v>
      </c>
      <c r="F260" s="59">
        <v>16.91</v>
      </c>
      <c r="G260" s="85">
        <v>6411</v>
      </c>
      <c r="H260" s="55" t="s">
        <v>558</v>
      </c>
      <c r="I260" s="17" t="s">
        <v>464</v>
      </c>
      <c r="J260" s="77">
        <v>21.33</v>
      </c>
      <c r="K260" s="371">
        <v>3.62</v>
      </c>
      <c r="L260" s="371">
        <v>17.91</v>
      </c>
      <c r="N260" s="365">
        <f t="shared" si="284"/>
        <v>42.86</v>
      </c>
      <c r="Q260" s="326">
        <f>IFERROR(VLOOKUP($G260,主力整理!$A$2:$G$2301,6,0),"0")</f>
        <v>2</v>
      </c>
      <c r="T260" s="339">
        <f t="shared" si="279"/>
        <v>2</v>
      </c>
      <c r="V260" s="371">
        <v>0.08</v>
      </c>
      <c r="W260" s="35">
        <v>4.8</v>
      </c>
      <c r="X260" s="100">
        <f t="shared" si="280"/>
        <v>5.7831325301204814E-2</v>
      </c>
      <c r="Y260" s="37">
        <v>83</v>
      </c>
      <c r="Z260" s="69">
        <v>72</v>
      </c>
      <c r="AA260" s="16">
        <f t="shared" si="281"/>
        <v>11</v>
      </c>
      <c r="AB260" s="66">
        <f t="shared" si="282"/>
        <v>0.15277777777777779</v>
      </c>
      <c r="AC260" s="105" t="s">
        <v>2520</v>
      </c>
      <c r="AD260" s="17" t="s">
        <v>464</v>
      </c>
      <c r="AE260" s="89">
        <v>44120</v>
      </c>
      <c r="AF260" s="91">
        <v>44130</v>
      </c>
      <c r="AG260" s="34">
        <f t="shared" si="283"/>
        <v>10</v>
      </c>
      <c r="AH260" s="50" t="s">
        <v>2623</v>
      </c>
      <c r="AJ260" s="17"/>
    </row>
    <row r="261" spans="1:36">
      <c r="A261" s="135" t="s">
        <v>2530</v>
      </c>
      <c r="B261" s="84">
        <v>267</v>
      </c>
      <c r="C261" s="84">
        <v>877</v>
      </c>
      <c r="D261" s="84">
        <v>16</v>
      </c>
      <c r="E261" s="84">
        <v>8</v>
      </c>
      <c r="F261" s="59">
        <v>13.06</v>
      </c>
      <c r="G261" s="84">
        <v>6591</v>
      </c>
      <c r="H261" s="50" t="s">
        <v>561</v>
      </c>
      <c r="I261" s="23" t="s">
        <v>898</v>
      </c>
      <c r="J261" s="371">
        <v>23.55</v>
      </c>
      <c r="K261" s="77">
        <v>27.71</v>
      </c>
      <c r="L261" s="77">
        <v>33.619999999999997</v>
      </c>
      <c r="N261" s="365">
        <f t="shared" si="284"/>
        <v>84.88</v>
      </c>
      <c r="Q261" s="326" t="str">
        <f>IFERROR(VLOOKUP($G261,主力整理!$A$2:$G$2301,6,0),"0")</f>
        <v>0</v>
      </c>
      <c r="T261" s="339">
        <f t="shared" si="279"/>
        <v>0</v>
      </c>
      <c r="V261" s="371">
        <v>0.78</v>
      </c>
      <c r="W261" s="35">
        <v>1.46</v>
      </c>
      <c r="X261" s="100">
        <f t="shared" si="280"/>
        <v>2.5840707964601771E-2</v>
      </c>
      <c r="Y261" s="37">
        <v>56.5</v>
      </c>
      <c r="Z261" s="46">
        <v>47</v>
      </c>
      <c r="AA261" s="16">
        <f t="shared" si="281"/>
        <v>9.5</v>
      </c>
      <c r="AB261" s="66">
        <f t="shared" si="282"/>
        <v>0.20212765957446807</v>
      </c>
      <c r="AC261" s="105" t="s">
        <v>3255</v>
      </c>
      <c r="AD261" s="23" t="s">
        <v>898</v>
      </c>
      <c r="AE261" s="89">
        <v>44117</v>
      </c>
      <c r="AF261" s="91">
        <v>44127</v>
      </c>
      <c r="AG261" s="34">
        <f t="shared" si="283"/>
        <v>10</v>
      </c>
      <c r="AH261" s="63" t="s">
        <v>3126</v>
      </c>
      <c r="AJ261" s="23"/>
    </row>
    <row r="262" spans="1:36">
      <c r="A262" s="151" t="s">
        <v>3027</v>
      </c>
      <c r="B262" s="84">
        <v>48</v>
      </c>
      <c r="C262" s="84">
        <v>29</v>
      </c>
      <c r="D262" s="84">
        <v>20</v>
      </c>
      <c r="E262" s="84">
        <v>63</v>
      </c>
      <c r="F262" s="7">
        <v>2.74</v>
      </c>
      <c r="G262" s="84">
        <v>2247</v>
      </c>
      <c r="H262" s="4" t="s">
        <v>544</v>
      </c>
      <c r="I262" s="23" t="s">
        <v>3226</v>
      </c>
      <c r="J262" s="371">
        <v>74.87</v>
      </c>
      <c r="K262" s="77">
        <v>0.14000000000000001</v>
      </c>
      <c r="N262" s="365">
        <f t="shared" si="284"/>
        <v>75.010000000000005</v>
      </c>
      <c r="Q262" s="326" t="str">
        <f>IFERROR(VLOOKUP($G262,主力整理!$A$2:$G$2301,6,0),"0")</f>
        <v>0</v>
      </c>
      <c r="T262" s="339">
        <f t="shared" si="279"/>
        <v>0</v>
      </c>
      <c r="W262" s="35">
        <v>8.44</v>
      </c>
      <c r="X262" s="100">
        <f t="shared" si="280"/>
        <v>3.1492537313432836E-2</v>
      </c>
      <c r="Y262" s="37">
        <v>268</v>
      </c>
      <c r="Z262" s="69">
        <v>180</v>
      </c>
      <c r="AA262" s="16">
        <f t="shared" si="281"/>
        <v>88</v>
      </c>
      <c r="AB262" s="66">
        <f t="shared" si="282"/>
        <v>0.48888888888888887</v>
      </c>
      <c r="AC262" s="105" t="s">
        <v>3253</v>
      </c>
      <c r="AD262" s="23" t="s">
        <v>3226</v>
      </c>
      <c r="AE262" s="89">
        <v>44116</v>
      </c>
      <c r="AF262" s="91">
        <v>44126</v>
      </c>
      <c r="AG262" s="34">
        <f t="shared" si="283"/>
        <v>10</v>
      </c>
      <c r="AH262" s="44" t="s">
        <v>3227</v>
      </c>
      <c r="AJ262" s="23"/>
    </row>
    <row r="263" spans="1:36">
      <c r="A263" s="135" t="s">
        <v>2521</v>
      </c>
      <c r="B263" s="84">
        <v>4</v>
      </c>
      <c r="C263" s="84">
        <v>7</v>
      </c>
      <c r="D263" s="85">
        <v>-23</v>
      </c>
      <c r="E263" s="84">
        <v>0</v>
      </c>
      <c r="F263" s="59">
        <v>11.43</v>
      </c>
      <c r="G263" s="84">
        <v>9802</v>
      </c>
      <c r="H263" s="4" t="s">
        <v>429</v>
      </c>
      <c r="I263" s="23" t="s">
        <v>1761</v>
      </c>
      <c r="J263" s="77">
        <v>64.48</v>
      </c>
      <c r="K263" s="77">
        <v>46.1</v>
      </c>
      <c r="L263" s="77">
        <v>5.44</v>
      </c>
      <c r="N263" s="365">
        <f t="shared" si="284"/>
        <v>116.02000000000001</v>
      </c>
      <c r="Q263" s="326" t="str">
        <f>IFERROR(VLOOKUP($G263,主力整理!$A$2:$G$2301,6,0),"0")</f>
        <v>0</v>
      </c>
      <c r="T263" s="339">
        <f t="shared" si="279"/>
        <v>0</v>
      </c>
      <c r="V263" s="371">
        <v>0.12</v>
      </c>
      <c r="W263" s="35">
        <v>5.52</v>
      </c>
      <c r="X263" s="100">
        <f t="shared" si="280"/>
        <v>4.7179487179487174E-2</v>
      </c>
      <c r="Y263" s="14">
        <v>117</v>
      </c>
      <c r="Z263" s="69">
        <v>75</v>
      </c>
      <c r="AA263" s="16">
        <f t="shared" si="281"/>
        <v>42</v>
      </c>
      <c r="AB263" s="66">
        <f t="shared" si="282"/>
        <v>0.56000000000000005</v>
      </c>
      <c r="AC263" s="105" t="s">
        <v>3248</v>
      </c>
      <c r="AD263" s="23" t="s">
        <v>1761</v>
      </c>
      <c r="AE263" s="89">
        <v>44112</v>
      </c>
      <c r="AF263" s="91">
        <v>44123</v>
      </c>
      <c r="AG263" s="34">
        <f t="shared" si="283"/>
        <v>11</v>
      </c>
      <c r="AH263" s="63" t="s">
        <v>3039</v>
      </c>
      <c r="AJ263" s="23"/>
    </row>
    <row r="264" spans="1:36">
      <c r="A264" s="135" t="s">
        <v>3218</v>
      </c>
      <c r="B264" s="84">
        <v>53</v>
      </c>
      <c r="C264" s="84">
        <v>97</v>
      </c>
      <c r="D264" s="84">
        <v>2</v>
      </c>
      <c r="E264" s="84">
        <v>30</v>
      </c>
      <c r="F264" s="59">
        <v>10.42</v>
      </c>
      <c r="G264" s="84">
        <v>8089</v>
      </c>
      <c r="H264" s="4" t="s">
        <v>563</v>
      </c>
      <c r="I264" s="17" t="s">
        <v>3167</v>
      </c>
      <c r="J264" s="371">
        <v>53.41</v>
      </c>
      <c r="K264" s="77">
        <v>4.88</v>
      </c>
      <c r="N264" s="365">
        <f t="shared" si="284"/>
        <v>58.29</v>
      </c>
      <c r="Q264" s="326" t="str">
        <f>IFERROR(VLOOKUP($G264,主力整理!$A$2:$G$2301,6,0),"0")</f>
        <v>0</v>
      </c>
      <c r="T264" s="339">
        <f t="shared" si="279"/>
        <v>0</v>
      </c>
      <c r="W264" s="35">
        <v>1.69</v>
      </c>
      <c r="X264" s="100">
        <f t="shared" si="280"/>
        <v>2.7083333333333334E-2</v>
      </c>
      <c r="Y264" s="37">
        <v>62.4</v>
      </c>
      <c r="Z264" s="69">
        <v>45.24</v>
      </c>
      <c r="AA264" s="16">
        <f t="shared" si="281"/>
        <v>17.159999999999997</v>
      </c>
      <c r="AB264" s="158">
        <f t="shared" si="282"/>
        <v>0.37931034482758613</v>
      </c>
      <c r="AC264" s="105" t="s">
        <v>3217</v>
      </c>
      <c r="AD264" s="17" t="s">
        <v>3167</v>
      </c>
      <c r="AE264" s="89">
        <v>44097</v>
      </c>
      <c r="AF264" s="91">
        <v>44109</v>
      </c>
      <c r="AG264" s="34">
        <f t="shared" si="283"/>
        <v>12</v>
      </c>
      <c r="AH264" s="63" t="s">
        <v>3168</v>
      </c>
      <c r="AJ264" s="17"/>
    </row>
    <row r="265" spans="1:36">
      <c r="A265" s="151" t="s">
        <v>2682</v>
      </c>
      <c r="B265" s="85">
        <v>-123</v>
      </c>
      <c r="C265" s="85">
        <v>-115</v>
      </c>
      <c r="D265" s="84">
        <v>9</v>
      </c>
      <c r="E265" s="84">
        <v>30</v>
      </c>
      <c r="F265" s="7">
        <v>-1.45</v>
      </c>
      <c r="G265" s="85">
        <v>2754</v>
      </c>
      <c r="H265" s="4" t="s">
        <v>552</v>
      </c>
      <c r="I265" s="17" t="s">
        <v>3156</v>
      </c>
      <c r="J265" s="371">
        <v>73.81</v>
      </c>
      <c r="K265" s="371">
        <v>71.91</v>
      </c>
      <c r="N265" s="365">
        <f t="shared" si="284"/>
        <v>145.72</v>
      </c>
      <c r="Q265" s="326" t="str">
        <f>IFERROR(VLOOKUP($G265,主力整理!$A$2:$G$2301,6,0),"0")</f>
        <v>0</v>
      </c>
      <c r="T265" s="339">
        <f t="shared" si="279"/>
        <v>0</v>
      </c>
      <c r="W265" s="35">
        <v>0.5</v>
      </c>
      <c r="X265" s="100">
        <f t="shared" si="280"/>
        <v>6.5359477124183009E-3</v>
      </c>
      <c r="Y265" s="37">
        <v>76.5</v>
      </c>
      <c r="Z265" s="69">
        <v>55</v>
      </c>
      <c r="AA265" s="16">
        <f t="shared" si="281"/>
        <v>21.5</v>
      </c>
      <c r="AB265" s="158">
        <f t="shared" si="282"/>
        <v>0.39090909090909093</v>
      </c>
      <c r="AC265" s="105" t="s">
        <v>3193</v>
      </c>
      <c r="AD265" s="17" t="s">
        <v>3156</v>
      </c>
      <c r="AE265" s="89">
        <v>44091</v>
      </c>
      <c r="AF265" s="91">
        <v>44102</v>
      </c>
      <c r="AG265" s="34">
        <f t="shared" si="283"/>
        <v>11</v>
      </c>
      <c r="AH265" s="44" t="s">
        <v>3157</v>
      </c>
      <c r="AJ265" s="17"/>
    </row>
    <row r="266" spans="1:36">
      <c r="A266" s="151" t="s">
        <v>3138</v>
      </c>
      <c r="B266" s="84">
        <v>32</v>
      </c>
      <c r="C266" s="84">
        <v>32</v>
      </c>
      <c r="D266" s="84">
        <v>0</v>
      </c>
      <c r="E266" s="84">
        <v>194</v>
      </c>
      <c r="F266" s="48">
        <v>-5000</v>
      </c>
      <c r="G266" s="84">
        <v>6492</v>
      </c>
      <c r="H266" s="4" t="s">
        <v>560</v>
      </c>
      <c r="I266" s="17" t="s">
        <v>1148</v>
      </c>
      <c r="J266" s="371">
        <v>50.68</v>
      </c>
      <c r="K266" s="371">
        <v>15.41</v>
      </c>
      <c r="N266" s="365">
        <f t="shared" si="284"/>
        <v>66.09</v>
      </c>
      <c r="Q266" s="326" t="str">
        <f>IFERROR(VLOOKUP($G266,主力整理!$A$2:$G$2301,6,0),"0")</f>
        <v>0</v>
      </c>
      <c r="T266" s="339">
        <f t="shared" si="279"/>
        <v>0</v>
      </c>
      <c r="W266" s="35">
        <v>0</v>
      </c>
      <c r="X266" s="100">
        <f t="shared" si="280"/>
        <v>0</v>
      </c>
      <c r="Y266" s="37">
        <v>276.5</v>
      </c>
      <c r="Z266" s="69">
        <v>120</v>
      </c>
      <c r="AA266" s="16">
        <f t="shared" si="281"/>
        <v>156.5</v>
      </c>
      <c r="AB266" s="179">
        <f t="shared" si="282"/>
        <v>1.3041666666666667</v>
      </c>
      <c r="AC266" s="105" t="s">
        <v>3194</v>
      </c>
      <c r="AD266" s="17" t="s">
        <v>1148</v>
      </c>
      <c r="AE266" s="89">
        <v>44091</v>
      </c>
      <c r="AF266" s="91">
        <v>44102</v>
      </c>
      <c r="AG266" s="34">
        <f t="shared" si="283"/>
        <v>11</v>
      </c>
      <c r="AH266" s="44" t="s">
        <v>2267</v>
      </c>
      <c r="AJ266" s="17"/>
    </row>
    <row r="267" spans="1:36" ht="17.25" customHeight="1">
      <c r="A267" s="151" t="s">
        <v>2306</v>
      </c>
      <c r="B267" s="85">
        <v>-120</v>
      </c>
      <c r="C267" s="85">
        <v>-126</v>
      </c>
      <c r="D267" s="84">
        <v>554</v>
      </c>
      <c r="E267" s="85">
        <v>-83</v>
      </c>
      <c r="F267" s="59">
        <v>-22.28</v>
      </c>
      <c r="G267" s="84">
        <v>6596</v>
      </c>
      <c r="H267" s="4" t="s">
        <v>1664</v>
      </c>
      <c r="I267" s="17" t="s">
        <v>1669</v>
      </c>
      <c r="J267" s="77">
        <v>66.94</v>
      </c>
      <c r="K267" s="77">
        <v>0.01</v>
      </c>
      <c r="N267" s="365">
        <f t="shared" si="284"/>
        <v>66.95</v>
      </c>
      <c r="Q267" s="326" t="str">
        <f>IFERROR(VLOOKUP($G267,主力整理!$A$2:$G$2301,6,0),"0")</f>
        <v>0</v>
      </c>
      <c r="T267" s="339">
        <f t="shared" si="279"/>
        <v>0</v>
      </c>
      <c r="W267" s="35">
        <v>4.5</v>
      </c>
      <c r="X267" s="100">
        <f t="shared" si="280"/>
        <v>9.7613882863340565E-2</v>
      </c>
      <c r="Y267" s="37">
        <v>46.1</v>
      </c>
      <c r="Z267" s="69">
        <v>45</v>
      </c>
      <c r="AA267" s="16">
        <f t="shared" si="281"/>
        <v>1.1000000000000014</v>
      </c>
      <c r="AB267" s="66">
        <f t="shared" si="282"/>
        <v>2.4444444444444477E-2</v>
      </c>
      <c r="AC267" s="105" t="s">
        <v>3147</v>
      </c>
      <c r="AD267" s="17" t="s">
        <v>1669</v>
      </c>
      <c r="AE267" s="89">
        <v>44081</v>
      </c>
      <c r="AF267" s="91">
        <v>44091</v>
      </c>
      <c r="AG267" s="34">
        <f t="shared" si="283"/>
        <v>10</v>
      </c>
      <c r="AH267" s="44" t="s">
        <v>3109</v>
      </c>
      <c r="AJ267" s="17"/>
    </row>
    <row r="268" spans="1:36">
      <c r="A268" s="135" t="s">
        <v>3041</v>
      </c>
      <c r="B268" s="84">
        <v>20</v>
      </c>
      <c r="C268" s="84">
        <v>18</v>
      </c>
      <c r="D268" s="84">
        <v>8</v>
      </c>
      <c r="E268" s="84">
        <v>46</v>
      </c>
      <c r="F268" s="59">
        <v>13.7</v>
      </c>
      <c r="G268" s="84">
        <v>3376</v>
      </c>
      <c r="H268" s="4" t="s">
        <v>559</v>
      </c>
      <c r="I268" s="23" t="s">
        <v>117</v>
      </c>
      <c r="J268" s="371">
        <v>72.98</v>
      </c>
      <c r="K268" s="371">
        <v>29.97</v>
      </c>
      <c r="L268" s="77">
        <v>14.46</v>
      </c>
      <c r="N268" s="365">
        <f t="shared" si="284"/>
        <v>117.41</v>
      </c>
      <c r="Q268" s="326" t="str">
        <f>IFERROR(VLOOKUP($G268,主力整理!$A$2:$G$2301,6,0),"0")</f>
        <v>0</v>
      </c>
      <c r="T268" s="339">
        <f t="shared" si="279"/>
        <v>0</v>
      </c>
      <c r="V268" s="371">
        <v>0.14000000000000001</v>
      </c>
      <c r="W268" s="35">
        <v>4</v>
      </c>
      <c r="X268" s="100">
        <f t="shared" si="280"/>
        <v>2.8070175438596492E-2</v>
      </c>
      <c r="Y268" s="37">
        <v>142.5</v>
      </c>
      <c r="Z268" s="69">
        <v>110</v>
      </c>
      <c r="AA268" s="16">
        <f t="shared" si="281"/>
        <v>32.5</v>
      </c>
      <c r="AB268" s="66">
        <f t="shared" si="282"/>
        <v>0.29545454545454547</v>
      </c>
      <c r="AC268" s="105" t="s">
        <v>3130</v>
      </c>
      <c r="AD268" s="23" t="s">
        <v>117</v>
      </c>
      <c r="AE268" s="89">
        <v>44076</v>
      </c>
      <c r="AF268" s="91">
        <v>44088</v>
      </c>
      <c r="AG268" s="34">
        <f t="shared" si="283"/>
        <v>12</v>
      </c>
      <c r="AH268" s="126" t="s">
        <v>3043</v>
      </c>
      <c r="AJ268" s="23"/>
    </row>
    <row r="269" spans="1:36">
      <c r="A269" s="135" t="s">
        <v>3059</v>
      </c>
      <c r="B269" s="84">
        <v>89</v>
      </c>
      <c r="C269" s="84">
        <v>94</v>
      </c>
      <c r="D269" s="84">
        <v>4</v>
      </c>
      <c r="E269" s="84">
        <v>24</v>
      </c>
      <c r="F269" s="59">
        <v>28.88</v>
      </c>
      <c r="G269" s="84">
        <v>3217</v>
      </c>
      <c r="H269" s="4" t="s">
        <v>559</v>
      </c>
      <c r="I269" s="17" t="s">
        <v>736</v>
      </c>
      <c r="J269" s="371">
        <v>60.76</v>
      </c>
      <c r="K269" s="371">
        <v>18.39</v>
      </c>
      <c r="L269" s="77">
        <v>20.98</v>
      </c>
      <c r="N269" s="365">
        <f t="shared" si="284"/>
        <v>100.13000000000001</v>
      </c>
      <c r="Q269" s="326" t="str">
        <f>IFERROR(VLOOKUP($G269,主力整理!$A$2:$G$2301,6,0),"0")</f>
        <v>0</v>
      </c>
      <c r="T269" s="339">
        <f t="shared" si="279"/>
        <v>0</v>
      </c>
      <c r="V269" s="371">
        <v>0.42</v>
      </c>
      <c r="W269" s="35">
        <v>4.3</v>
      </c>
      <c r="X269" s="100">
        <f t="shared" si="280"/>
        <v>3.6595744680851063E-2</v>
      </c>
      <c r="Y269" s="37">
        <v>117.5</v>
      </c>
      <c r="Z269" s="46">
        <v>92</v>
      </c>
      <c r="AA269" s="16">
        <f t="shared" si="281"/>
        <v>25.5</v>
      </c>
      <c r="AB269" s="66">
        <f t="shared" si="282"/>
        <v>0.27717391304347827</v>
      </c>
      <c r="AC269" s="105" t="s">
        <v>3110</v>
      </c>
      <c r="AD269" s="17" t="s">
        <v>736</v>
      </c>
      <c r="AE269" s="89">
        <v>44071</v>
      </c>
      <c r="AF269" s="91">
        <v>44081</v>
      </c>
      <c r="AG269" s="34">
        <f t="shared" si="283"/>
        <v>10</v>
      </c>
      <c r="AH269" s="63" t="s">
        <v>2961</v>
      </c>
      <c r="AJ269" s="17"/>
    </row>
    <row r="270" spans="1:36" ht="17.25" customHeight="1">
      <c r="A270" s="135" t="s">
        <v>3088</v>
      </c>
      <c r="B270" s="98">
        <v>4456</v>
      </c>
      <c r="C270" s="98">
        <v>2983</v>
      </c>
      <c r="D270" s="84">
        <v>100</v>
      </c>
      <c r="E270" s="85">
        <v>-86</v>
      </c>
      <c r="F270" s="59">
        <v>16</v>
      </c>
      <c r="G270" s="85">
        <v>6186</v>
      </c>
      <c r="H270" s="4" t="s">
        <v>1485</v>
      </c>
      <c r="I270" s="17" t="s">
        <v>1502</v>
      </c>
      <c r="J270" s="371">
        <v>52.55</v>
      </c>
      <c r="K270" s="77">
        <v>0.98</v>
      </c>
      <c r="L270" s="77">
        <v>10.62</v>
      </c>
      <c r="N270" s="365">
        <f t="shared" si="284"/>
        <v>64.149999999999991</v>
      </c>
      <c r="Q270" s="326" t="str">
        <f>IFERROR(VLOOKUP($G270,主力整理!$A$2:$G$2301,6,0),"0")</f>
        <v>0</v>
      </c>
      <c r="T270" s="339">
        <f t="shared" si="279"/>
        <v>0</v>
      </c>
      <c r="V270" s="371">
        <v>0.34</v>
      </c>
      <c r="W270" s="35">
        <v>3</v>
      </c>
      <c r="X270" s="100">
        <f t="shared" si="280"/>
        <v>0.10695187165775401</v>
      </c>
      <c r="Y270" s="37">
        <v>28.05</v>
      </c>
      <c r="Z270" s="69">
        <v>24.5</v>
      </c>
      <c r="AA270" s="16">
        <f t="shared" si="281"/>
        <v>3.5500000000000007</v>
      </c>
      <c r="AB270" s="66">
        <f t="shared" si="282"/>
        <v>0.14489795918367349</v>
      </c>
      <c r="AC270" s="105" t="s">
        <v>3111</v>
      </c>
      <c r="AD270" s="17" t="s">
        <v>1502</v>
      </c>
      <c r="AE270" s="89">
        <v>44071</v>
      </c>
      <c r="AF270" s="91">
        <v>44081</v>
      </c>
      <c r="AG270" s="34">
        <f t="shared" si="283"/>
        <v>10</v>
      </c>
      <c r="AH270" s="63" t="s">
        <v>3060</v>
      </c>
      <c r="AJ270" s="17"/>
    </row>
    <row r="271" spans="1:36">
      <c r="A271" s="151" t="s">
        <v>3149</v>
      </c>
      <c r="B271" s="85">
        <v>-55</v>
      </c>
      <c r="C271" s="85">
        <v>-17</v>
      </c>
      <c r="D271" s="84">
        <v>14</v>
      </c>
      <c r="E271" s="85">
        <v>-11</v>
      </c>
      <c r="F271" s="7">
        <v>8.1999999999999993</v>
      </c>
      <c r="G271" s="84">
        <v>2241</v>
      </c>
      <c r="H271" s="4" t="s">
        <v>429</v>
      </c>
      <c r="I271" s="23" t="s">
        <v>3065</v>
      </c>
      <c r="J271" s="77">
        <v>57</v>
      </c>
      <c r="K271" s="371">
        <v>23</v>
      </c>
      <c r="N271" s="365">
        <f t="shared" si="284"/>
        <v>80</v>
      </c>
      <c r="Q271" s="326" t="str">
        <f>IFERROR(VLOOKUP($G271,主力整理!$A$2:$G$2301,6,0),"0")</f>
        <v>0</v>
      </c>
      <c r="T271" s="339">
        <f t="shared" si="279"/>
        <v>0</v>
      </c>
      <c r="W271" s="35">
        <v>0.88</v>
      </c>
      <c r="X271" s="100">
        <f t="shared" si="280"/>
        <v>1.5304347826086957E-2</v>
      </c>
      <c r="Y271" s="37">
        <v>57.5</v>
      </c>
      <c r="Z271" s="69">
        <v>50</v>
      </c>
      <c r="AA271" s="16">
        <f t="shared" si="281"/>
        <v>7.5</v>
      </c>
      <c r="AB271" s="66">
        <f t="shared" si="282"/>
        <v>0.15</v>
      </c>
      <c r="AC271" s="105" t="s">
        <v>3104</v>
      </c>
      <c r="AD271" s="23" t="s">
        <v>3065</v>
      </c>
      <c r="AE271" s="89">
        <v>44069</v>
      </c>
      <c r="AF271" s="91">
        <v>44081</v>
      </c>
      <c r="AG271" s="34">
        <f t="shared" si="283"/>
        <v>12</v>
      </c>
      <c r="AH271" s="162" t="s">
        <v>3078</v>
      </c>
      <c r="AJ271" s="23"/>
    </row>
    <row r="272" spans="1:36">
      <c r="A272" s="151" t="s">
        <v>3139</v>
      </c>
      <c r="B272" s="85">
        <v>-21</v>
      </c>
      <c r="C272" s="85">
        <v>-26</v>
      </c>
      <c r="D272" s="84">
        <v>9</v>
      </c>
      <c r="E272" s="85">
        <v>-45</v>
      </c>
      <c r="F272" s="7">
        <v>7.8</v>
      </c>
      <c r="G272" s="84">
        <v>6754</v>
      </c>
      <c r="H272" s="4" t="s">
        <v>3057</v>
      </c>
      <c r="I272" s="23" t="s">
        <v>3056</v>
      </c>
      <c r="J272" s="371">
        <v>85.42</v>
      </c>
      <c r="K272" s="371">
        <v>24.31</v>
      </c>
      <c r="L272" s="371"/>
      <c r="N272" s="365">
        <f t="shared" si="284"/>
        <v>109.73</v>
      </c>
      <c r="Q272" s="326" t="str">
        <f>IFERROR(VLOOKUP($G272,主力整理!$A$2:$G$2301,6,0),"0")</f>
        <v>0</v>
      </c>
      <c r="T272" s="339">
        <f t="shared" si="279"/>
        <v>0</v>
      </c>
      <c r="W272" s="35">
        <v>2.8</v>
      </c>
      <c r="X272" s="100">
        <f t="shared" si="280"/>
        <v>5.5445544554455439E-2</v>
      </c>
      <c r="Y272" s="37">
        <v>50.5</v>
      </c>
      <c r="Z272" s="69">
        <v>45</v>
      </c>
      <c r="AA272" s="16">
        <f t="shared" si="281"/>
        <v>5.5</v>
      </c>
      <c r="AB272" s="66">
        <f t="shared" si="282"/>
        <v>0.12222222222222222</v>
      </c>
      <c r="AC272" s="105" t="s">
        <v>3098</v>
      </c>
      <c r="AD272" s="23" t="s">
        <v>3056</v>
      </c>
      <c r="AE272" s="89">
        <v>44068</v>
      </c>
      <c r="AF272" s="91">
        <v>44078</v>
      </c>
      <c r="AG272" s="34">
        <f t="shared" si="283"/>
        <v>10</v>
      </c>
      <c r="AH272" s="162" t="s">
        <v>3058</v>
      </c>
      <c r="AJ272" s="23"/>
    </row>
    <row r="273" spans="1:42">
      <c r="A273" s="151" t="s">
        <v>2471</v>
      </c>
      <c r="B273" s="85">
        <v>-4</v>
      </c>
      <c r="C273" s="85">
        <v>-5</v>
      </c>
      <c r="D273" s="98">
        <v>1</v>
      </c>
      <c r="E273" s="98">
        <v>6788</v>
      </c>
      <c r="F273" s="48">
        <v>-388.93</v>
      </c>
      <c r="G273" s="84">
        <v>6446</v>
      </c>
      <c r="H273" s="4" t="s">
        <v>560</v>
      </c>
      <c r="I273" s="17" t="s">
        <v>1144</v>
      </c>
      <c r="J273" s="77">
        <v>58.44</v>
      </c>
      <c r="K273" s="371">
        <v>14.88</v>
      </c>
      <c r="L273" s="371"/>
      <c r="N273" s="365">
        <f t="shared" si="284"/>
        <v>73.319999999999993</v>
      </c>
      <c r="Q273" s="326" t="str">
        <f>IFERROR(VLOOKUP($G273,主力整理!$A$2:$G$2301,6,0),"0")</f>
        <v>0</v>
      </c>
      <c r="T273" s="339">
        <f t="shared" si="279"/>
        <v>0</v>
      </c>
      <c r="W273" s="35">
        <v>0</v>
      </c>
      <c r="X273" s="100">
        <f t="shared" si="280"/>
        <v>0</v>
      </c>
      <c r="Y273" s="37">
        <v>107.5</v>
      </c>
      <c r="Z273" s="69">
        <v>102</v>
      </c>
      <c r="AA273" s="16">
        <f t="shared" si="281"/>
        <v>5.5</v>
      </c>
      <c r="AB273" s="66">
        <f t="shared" si="282"/>
        <v>5.3921568627450983E-2</v>
      </c>
      <c r="AC273" s="105" t="s">
        <v>2224</v>
      </c>
      <c r="AD273" s="17" t="s">
        <v>1144</v>
      </c>
      <c r="AE273" s="89">
        <v>44055</v>
      </c>
      <c r="AF273" s="91">
        <v>44067</v>
      </c>
      <c r="AG273" s="34">
        <f t="shared" si="283"/>
        <v>12</v>
      </c>
      <c r="AH273" s="44" t="s">
        <v>2265</v>
      </c>
      <c r="AJ273" s="17"/>
    </row>
    <row r="274" spans="1:42">
      <c r="A274" s="151" t="s">
        <v>3020</v>
      </c>
      <c r="B274" s="84">
        <v>36</v>
      </c>
      <c r="C274" s="84">
        <v>29</v>
      </c>
      <c r="D274" s="84">
        <v>1</v>
      </c>
      <c r="E274" s="84">
        <v>27</v>
      </c>
      <c r="F274" s="7">
        <v>8.65</v>
      </c>
      <c r="G274" s="85">
        <v>4155</v>
      </c>
      <c r="H274" s="4" t="s">
        <v>560</v>
      </c>
      <c r="I274" s="23" t="s">
        <v>1179</v>
      </c>
      <c r="J274" s="77">
        <v>40.39</v>
      </c>
      <c r="K274" s="371">
        <v>0.8</v>
      </c>
      <c r="L274" s="371">
        <v>11.41</v>
      </c>
      <c r="N274" s="365">
        <f t="shared" si="284"/>
        <v>52.599999999999994</v>
      </c>
      <c r="Q274" s="326" t="str">
        <f>IFERROR(VLOOKUP($G274,主力整理!$A$2:$G$2301,6,0),"0")</f>
        <v>0</v>
      </c>
      <c r="T274" s="339">
        <f t="shared" si="279"/>
        <v>0</v>
      </c>
      <c r="V274" s="371">
        <v>0.22</v>
      </c>
      <c r="W274" s="35">
        <v>1.43</v>
      </c>
      <c r="X274" s="100">
        <f t="shared" si="280"/>
        <v>5.4684512428298276E-2</v>
      </c>
      <c r="Y274" s="37">
        <v>26.15</v>
      </c>
      <c r="Z274" s="69">
        <v>26</v>
      </c>
      <c r="AA274" s="16">
        <f t="shared" si="281"/>
        <v>0.14999999999999858</v>
      </c>
      <c r="AB274" s="66">
        <f t="shared" si="282"/>
        <v>5.7692307692307149E-3</v>
      </c>
      <c r="AC274" s="105" t="s">
        <v>3049</v>
      </c>
      <c r="AD274" s="23" t="s">
        <v>1179</v>
      </c>
      <c r="AE274" s="89">
        <v>44054</v>
      </c>
      <c r="AF274" s="91">
        <v>44064</v>
      </c>
      <c r="AG274" s="34">
        <f t="shared" si="283"/>
        <v>10</v>
      </c>
      <c r="AH274" s="44" t="s">
        <v>2262</v>
      </c>
      <c r="AJ274" s="23"/>
    </row>
    <row r="275" spans="1:42">
      <c r="A275" s="151" t="s">
        <v>1418</v>
      </c>
      <c r="B275" s="84">
        <v>23</v>
      </c>
      <c r="C275" s="85">
        <v>-27</v>
      </c>
      <c r="D275" s="98">
        <v>1276</v>
      </c>
      <c r="E275" s="85">
        <v>-57</v>
      </c>
      <c r="F275" s="77">
        <v>-507.57</v>
      </c>
      <c r="G275" s="85">
        <v>5227</v>
      </c>
      <c r="H275" s="4" t="s">
        <v>559</v>
      </c>
      <c r="I275" s="17" t="s">
        <v>757</v>
      </c>
      <c r="J275" s="371">
        <v>42.18</v>
      </c>
      <c r="K275" s="371">
        <v>26.39</v>
      </c>
      <c r="L275" s="371"/>
      <c r="N275" s="365">
        <f t="shared" si="284"/>
        <v>68.569999999999993</v>
      </c>
      <c r="Q275" s="326">
        <f>IFERROR(VLOOKUP($G275,主力整理!$A$2:$G$2301,6,0),"0")</f>
        <v>1</v>
      </c>
      <c r="T275" s="339">
        <f t="shared" si="279"/>
        <v>1</v>
      </c>
      <c r="W275" s="35">
        <v>0</v>
      </c>
      <c r="X275" s="100">
        <f t="shared" si="280"/>
        <v>0</v>
      </c>
      <c r="Y275" s="37">
        <v>12.4</v>
      </c>
      <c r="Z275" s="69">
        <v>11.6</v>
      </c>
      <c r="AA275" s="16">
        <f t="shared" si="281"/>
        <v>0.80000000000000071</v>
      </c>
      <c r="AB275" s="66">
        <f t="shared" si="282"/>
        <v>6.8965517241379379E-2</v>
      </c>
      <c r="AC275" s="105" t="s">
        <v>3035</v>
      </c>
      <c r="AD275" s="17" t="s">
        <v>757</v>
      </c>
      <c r="AE275" s="89">
        <v>44050</v>
      </c>
      <c r="AF275" s="91">
        <v>44060</v>
      </c>
      <c r="AG275" s="34">
        <f t="shared" si="283"/>
        <v>10</v>
      </c>
      <c r="AH275" s="44" t="s">
        <v>1687</v>
      </c>
      <c r="AJ275" s="17"/>
    </row>
    <row r="276" spans="1:42">
      <c r="A276" s="151" t="s">
        <v>3021</v>
      </c>
      <c r="B276" s="85">
        <v>-65</v>
      </c>
      <c r="C276" s="85">
        <v>-51</v>
      </c>
      <c r="D276" s="85">
        <v>-25</v>
      </c>
      <c r="E276" s="85">
        <v>-21</v>
      </c>
      <c r="F276" s="7">
        <v>1.3</v>
      </c>
      <c r="G276" s="84">
        <v>6222</v>
      </c>
      <c r="H276" s="55" t="s">
        <v>561</v>
      </c>
      <c r="I276" s="17" t="s">
        <v>903</v>
      </c>
      <c r="J276" s="371">
        <v>72.67</v>
      </c>
      <c r="K276" s="371">
        <v>0.02</v>
      </c>
      <c r="L276" s="371"/>
      <c r="N276" s="365">
        <f t="shared" si="284"/>
        <v>72.69</v>
      </c>
      <c r="Q276" s="326" t="str">
        <f>IFERROR(VLOOKUP($G276,主力整理!$A$2:$G$2301,6,0),"0")</f>
        <v>0</v>
      </c>
      <c r="T276" s="339">
        <f t="shared" si="279"/>
        <v>0</v>
      </c>
      <c r="W276" s="35">
        <v>0</v>
      </c>
      <c r="X276" s="100">
        <f t="shared" si="280"/>
        <v>0</v>
      </c>
      <c r="Y276" s="37">
        <v>13.45</v>
      </c>
      <c r="Z276" s="69">
        <v>10</v>
      </c>
      <c r="AA276" s="16">
        <f t="shared" si="281"/>
        <v>3.4499999999999993</v>
      </c>
      <c r="AB276" s="66">
        <f t="shared" si="282"/>
        <v>0.34499999999999992</v>
      </c>
      <c r="AC276" s="105" t="s">
        <v>2545</v>
      </c>
      <c r="AD276" s="17" t="s">
        <v>903</v>
      </c>
      <c r="AE276" s="89">
        <v>44048</v>
      </c>
      <c r="AF276" s="91">
        <v>44060</v>
      </c>
      <c r="AG276" s="34">
        <f t="shared" si="283"/>
        <v>12</v>
      </c>
      <c r="AH276" s="44" t="s">
        <v>2256</v>
      </c>
      <c r="AJ276" s="17"/>
    </row>
    <row r="277" spans="1:42">
      <c r="A277" s="151" t="s">
        <v>2326</v>
      </c>
      <c r="B277" s="85">
        <v>-371</v>
      </c>
      <c r="C277" s="84">
        <v>9</v>
      </c>
      <c r="D277" s="84">
        <v>11</v>
      </c>
      <c r="E277" s="85">
        <v>-8</v>
      </c>
      <c r="F277" s="7">
        <v>-19.100000000000001</v>
      </c>
      <c r="G277" s="85">
        <v>6573</v>
      </c>
      <c r="H277" s="4" t="s">
        <v>558</v>
      </c>
      <c r="I277" s="23" t="s">
        <v>642</v>
      </c>
      <c r="J277" s="371">
        <v>73.489999999999995</v>
      </c>
      <c r="K277" s="371">
        <v>67.2</v>
      </c>
      <c r="L277" s="77">
        <v>4.63</v>
      </c>
      <c r="N277" s="365">
        <f t="shared" si="284"/>
        <v>145.32</v>
      </c>
      <c r="Q277" s="326">
        <f>IFERROR(VLOOKUP($G277,主力整理!$A$2:$G$2301,6,0),"0")</f>
        <v>2</v>
      </c>
      <c r="T277" s="339">
        <f t="shared" si="279"/>
        <v>2</v>
      </c>
      <c r="V277" s="371">
        <v>0.11</v>
      </c>
      <c r="W277" s="35">
        <v>0</v>
      </c>
      <c r="X277" s="100">
        <f t="shared" si="280"/>
        <v>0</v>
      </c>
      <c r="Y277" s="14">
        <v>16.5</v>
      </c>
      <c r="Z277" s="69">
        <v>16.5</v>
      </c>
      <c r="AA277" s="16">
        <f t="shared" si="281"/>
        <v>0</v>
      </c>
      <c r="AB277" s="80">
        <f t="shared" si="282"/>
        <v>0</v>
      </c>
      <c r="AC277" s="105" t="s">
        <v>2606</v>
      </c>
      <c r="AD277" s="23" t="s">
        <v>642</v>
      </c>
      <c r="AE277" s="89">
        <v>44033</v>
      </c>
      <c r="AF277" s="91">
        <v>44043</v>
      </c>
      <c r="AG277" s="34">
        <f t="shared" si="283"/>
        <v>10</v>
      </c>
      <c r="AH277" s="44" t="s">
        <v>2122</v>
      </c>
      <c r="AJ277" s="23"/>
    </row>
    <row r="278" spans="1:42">
      <c r="A278" s="151" t="s">
        <v>3007</v>
      </c>
      <c r="B278" s="85">
        <v>-155</v>
      </c>
      <c r="C278" s="85">
        <v>-157</v>
      </c>
      <c r="D278" s="84">
        <v>0</v>
      </c>
      <c r="E278" s="84">
        <v>432</v>
      </c>
      <c r="F278" s="7">
        <v>-7.35</v>
      </c>
      <c r="G278" s="85">
        <v>3512</v>
      </c>
      <c r="H278" s="4" t="s">
        <v>559</v>
      </c>
      <c r="I278" s="17" t="s">
        <v>1719</v>
      </c>
      <c r="J278" s="77">
        <v>73.239999999999995</v>
      </c>
      <c r="K278" s="77">
        <v>0.04</v>
      </c>
      <c r="L278" s="77">
        <v>13.93</v>
      </c>
      <c r="N278" s="365">
        <f t="shared" si="284"/>
        <v>87.210000000000008</v>
      </c>
      <c r="Q278" s="326" t="str">
        <f>IFERROR(VLOOKUP($G278,主力整理!$A$2:$G$2301,6,0),"0")</f>
        <v>0</v>
      </c>
      <c r="T278" s="339">
        <f t="shared" si="279"/>
        <v>0</v>
      </c>
      <c r="V278" s="371">
        <v>0.65</v>
      </c>
      <c r="W278" s="35">
        <v>0</v>
      </c>
      <c r="X278" s="100">
        <f t="shared" si="280"/>
        <v>0</v>
      </c>
      <c r="Y278" s="37">
        <v>26.5</v>
      </c>
      <c r="Z278" s="69">
        <v>24</v>
      </c>
      <c r="AA278" s="16">
        <f t="shared" si="281"/>
        <v>2.5</v>
      </c>
      <c r="AB278" s="66">
        <f t="shared" si="282"/>
        <v>0.10416666666666667</v>
      </c>
      <c r="AC278" s="105" t="s">
        <v>3013</v>
      </c>
      <c r="AD278" s="17" t="s">
        <v>1719</v>
      </c>
      <c r="AE278" s="89">
        <v>44026</v>
      </c>
      <c r="AF278" s="91">
        <v>44036</v>
      </c>
      <c r="AG278" s="34">
        <f t="shared" si="283"/>
        <v>10</v>
      </c>
      <c r="AH278" s="44" t="s">
        <v>750</v>
      </c>
      <c r="AJ278" s="17"/>
    </row>
    <row r="279" spans="1:42">
      <c r="A279" s="151" t="s">
        <v>2309</v>
      </c>
      <c r="B279" s="85">
        <v>-92</v>
      </c>
      <c r="C279" s="85">
        <v>-89</v>
      </c>
      <c r="D279" s="85">
        <v>-83</v>
      </c>
      <c r="E279" s="85">
        <v>-90</v>
      </c>
      <c r="F279" s="48">
        <v>-177</v>
      </c>
      <c r="G279" s="84">
        <v>4152</v>
      </c>
      <c r="H279" s="4" t="s">
        <v>560</v>
      </c>
      <c r="I279" s="17" t="s">
        <v>1121</v>
      </c>
      <c r="J279" s="371">
        <v>57.28</v>
      </c>
      <c r="K279" s="371">
        <v>20.27</v>
      </c>
      <c r="L279" s="371"/>
      <c r="N279" s="365">
        <f t="shared" si="284"/>
        <v>77.55</v>
      </c>
      <c r="Q279" s="326" t="str">
        <f>IFERROR(VLOOKUP($G279,主力整理!$A$2:$G$2301,6,0),"0")</f>
        <v>0</v>
      </c>
      <c r="T279" s="339">
        <f t="shared" si="279"/>
        <v>0</v>
      </c>
      <c r="W279" s="35">
        <v>0</v>
      </c>
      <c r="X279" s="100">
        <f t="shared" si="280"/>
        <v>0</v>
      </c>
      <c r="Y279" s="37">
        <v>97.7</v>
      </c>
      <c r="Z279" s="69">
        <v>68</v>
      </c>
      <c r="AA279" s="16">
        <f t="shared" si="281"/>
        <v>29.700000000000003</v>
      </c>
      <c r="AB279" s="66">
        <f t="shared" si="282"/>
        <v>0.436764705882353</v>
      </c>
      <c r="AC279" s="105" t="s">
        <v>3009</v>
      </c>
      <c r="AD279" s="17" t="s">
        <v>1121</v>
      </c>
      <c r="AE279" s="89">
        <v>44015</v>
      </c>
      <c r="AF279" s="91">
        <v>44028</v>
      </c>
      <c r="AG279" s="34">
        <f t="shared" si="283"/>
        <v>13</v>
      </c>
      <c r="AH279" s="44" t="s">
        <v>2264</v>
      </c>
      <c r="AJ279" s="17"/>
    </row>
    <row r="280" spans="1:42">
      <c r="A280" s="151" t="s">
        <v>3000</v>
      </c>
      <c r="B280" s="85">
        <v>-266</v>
      </c>
      <c r="C280" s="99">
        <v>-8571</v>
      </c>
      <c r="D280" s="84">
        <v>33</v>
      </c>
      <c r="E280" s="84">
        <v>14</v>
      </c>
      <c r="F280" s="7">
        <v>-17.57</v>
      </c>
      <c r="G280" s="85">
        <v>2406</v>
      </c>
      <c r="H280" s="4" t="s">
        <v>557</v>
      </c>
      <c r="I280" s="23" t="s">
        <v>802</v>
      </c>
      <c r="J280" s="371">
        <v>26.55</v>
      </c>
      <c r="K280" s="371">
        <v>4.3899999999999997</v>
      </c>
      <c r="L280" s="371">
        <v>0</v>
      </c>
      <c r="N280" s="365">
        <f t="shared" si="284"/>
        <v>30.94</v>
      </c>
      <c r="Q280" s="326">
        <f>IFERROR(VLOOKUP($G280,主力整理!$A$2:$G$2301,6,0),"0")</f>
        <v>6</v>
      </c>
      <c r="T280" s="339">
        <f t="shared" si="279"/>
        <v>6</v>
      </c>
      <c r="V280" s="371">
        <v>0</v>
      </c>
      <c r="W280" s="35">
        <v>0</v>
      </c>
      <c r="X280" s="100">
        <f t="shared" si="280"/>
        <v>0</v>
      </c>
      <c r="Y280" s="37">
        <v>9.08</v>
      </c>
      <c r="Z280" s="69">
        <v>8.5</v>
      </c>
      <c r="AA280" s="16">
        <f t="shared" si="281"/>
        <v>0.58000000000000007</v>
      </c>
      <c r="AB280" s="66">
        <f t="shared" si="282"/>
        <v>6.8235294117647061E-2</v>
      </c>
      <c r="AC280" s="105" t="s">
        <v>2225</v>
      </c>
      <c r="AD280" s="23" t="s">
        <v>802</v>
      </c>
      <c r="AE280" s="89">
        <v>44014</v>
      </c>
      <c r="AF280" s="91">
        <v>44028</v>
      </c>
      <c r="AG280" s="34">
        <f t="shared" si="283"/>
        <v>14</v>
      </c>
      <c r="AH280" s="44" t="s">
        <v>3001</v>
      </c>
      <c r="AJ280" s="23"/>
    </row>
    <row r="281" spans="1:42">
      <c r="A281" s="135" t="s">
        <v>2214</v>
      </c>
      <c r="B281" s="84">
        <v>13</v>
      </c>
      <c r="C281" s="85">
        <v>-28</v>
      </c>
      <c r="D281" s="84">
        <v>1</v>
      </c>
      <c r="E281" s="84">
        <v>26</v>
      </c>
      <c r="F281" s="59">
        <v>11.51</v>
      </c>
      <c r="G281" s="84">
        <v>6588</v>
      </c>
      <c r="H281" s="4" t="s">
        <v>563</v>
      </c>
      <c r="I281" s="17" t="s">
        <v>3004</v>
      </c>
      <c r="J281" s="371">
        <v>42.65</v>
      </c>
      <c r="K281" s="77">
        <v>0</v>
      </c>
      <c r="L281" s="371"/>
      <c r="N281" s="365">
        <f t="shared" si="284"/>
        <v>42.65</v>
      </c>
      <c r="Q281" s="326" t="str">
        <f>IFERROR(VLOOKUP($G281,主力整理!$A$2:$G$2301,6,0),"0")</f>
        <v>0</v>
      </c>
      <c r="T281" s="339">
        <f t="shared" si="279"/>
        <v>0</v>
      </c>
      <c r="W281" s="35">
        <v>1.31</v>
      </c>
      <c r="X281" s="100">
        <f t="shared" si="280"/>
        <v>1.0194552529182881E-2</v>
      </c>
      <c r="Y281" s="37">
        <v>128.5</v>
      </c>
      <c r="Z281" s="69">
        <v>68</v>
      </c>
      <c r="AA281" s="16">
        <f t="shared" si="281"/>
        <v>60.5</v>
      </c>
      <c r="AB281" s="179">
        <f t="shared" si="282"/>
        <v>0.88970588235294112</v>
      </c>
      <c r="AC281" s="105" t="s">
        <v>3008</v>
      </c>
      <c r="AD281" s="17" t="s">
        <v>3003</v>
      </c>
      <c r="AE281" s="89">
        <v>44013</v>
      </c>
      <c r="AF281" s="91">
        <v>44028</v>
      </c>
      <c r="AG281" s="34">
        <f t="shared" si="283"/>
        <v>15</v>
      </c>
      <c r="AH281" s="63" t="s">
        <v>3005</v>
      </c>
      <c r="AJ281" s="17"/>
    </row>
    <row r="282" spans="1:42">
      <c r="A282" s="151" t="s">
        <v>2997</v>
      </c>
      <c r="B282" s="98">
        <v>1502</v>
      </c>
      <c r="C282" s="98">
        <v>1065</v>
      </c>
      <c r="D282" s="85">
        <v>-7</v>
      </c>
      <c r="E282" s="85">
        <v>-26</v>
      </c>
      <c r="F282" s="7">
        <v>4.71</v>
      </c>
      <c r="G282" s="84">
        <v>6251</v>
      </c>
      <c r="H282" s="54" t="s">
        <v>559</v>
      </c>
      <c r="I282" s="23" t="s">
        <v>726</v>
      </c>
      <c r="J282" s="77">
        <v>41.56</v>
      </c>
      <c r="K282" s="371">
        <v>13.27</v>
      </c>
      <c r="L282" s="77">
        <v>29.4</v>
      </c>
      <c r="N282" s="365">
        <f t="shared" si="284"/>
        <v>84.22999999999999</v>
      </c>
      <c r="Q282" s="326">
        <f>IFERROR(VLOOKUP($G282,主力整理!$A$2:$G$2301,6,0),"0")</f>
        <v>5</v>
      </c>
      <c r="T282" s="339">
        <f t="shared" si="279"/>
        <v>5</v>
      </c>
      <c r="V282" s="371">
        <v>0.86</v>
      </c>
      <c r="W282" s="35">
        <v>0</v>
      </c>
      <c r="X282" s="59">
        <f t="shared" si="280"/>
        <v>0</v>
      </c>
      <c r="Y282" s="37">
        <v>17.649999999999999</v>
      </c>
      <c r="Z282" s="46">
        <v>16</v>
      </c>
      <c r="AA282" s="16">
        <f t="shared" si="281"/>
        <v>1.6499999999999986</v>
      </c>
      <c r="AB282" s="66">
        <f t="shared" si="282"/>
        <v>0.10312499999999991</v>
      </c>
      <c r="AC282" s="105" t="s">
        <v>3006</v>
      </c>
      <c r="AD282" s="23" t="s">
        <v>726</v>
      </c>
      <c r="AE282" s="89">
        <v>44005</v>
      </c>
      <c r="AF282" s="91">
        <v>44015</v>
      </c>
      <c r="AG282" s="34">
        <f t="shared" si="283"/>
        <v>10</v>
      </c>
      <c r="AH282" s="44" t="s">
        <v>1685</v>
      </c>
      <c r="AJ282" s="23"/>
    </row>
    <row r="283" spans="1:42">
      <c r="A283" s="135" t="s">
        <v>2860</v>
      </c>
      <c r="B283" s="84">
        <v>23</v>
      </c>
      <c r="C283" s="84">
        <v>18</v>
      </c>
      <c r="D283" s="84">
        <v>7</v>
      </c>
      <c r="E283" s="84">
        <v>79</v>
      </c>
      <c r="F283" s="59">
        <v>11.3</v>
      </c>
      <c r="G283" s="84">
        <v>5215</v>
      </c>
      <c r="H283" s="53" t="s">
        <v>561</v>
      </c>
      <c r="I283" s="23" t="s">
        <v>891</v>
      </c>
      <c r="J283" s="77">
        <v>61.5</v>
      </c>
      <c r="K283" s="77">
        <v>36.06</v>
      </c>
      <c r="L283" s="77">
        <v>32.950000000000003</v>
      </c>
      <c r="N283" s="365">
        <f t="shared" si="284"/>
        <v>130.51</v>
      </c>
      <c r="Q283" s="326" t="str">
        <f>IFERROR(VLOOKUP($G283,主力整理!$A$2:$G$2301,6,0),"0")</f>
        <v>0</v>
      </c>
      <c r="T283" s="339">
        <f t="shared" si="279"/>
        <v>0</v>
      </c>
      <c r="V283" s="371">
        <v>3.74</v>
      </c>
      <c r="W283" s="35">
        <v>3.28</v>
      </c>
      <c r="X283" s="59">
        <f t="shared" ref="X283:X314" si="285">W283/Y283</f>
        <v>2.6345381526104415E-2</v>
      </c>
      <c r="Y283" s="37">
        <v>124.5</v>
      </c>
      <c r="Z283" s="46">
        <v>50</v>
      </c>
      <c r="AA283" s="16">
        <f t="shared" si="281"/>
        <v>74.5</v>
      </c>
      <c r="AB283" s="179">
        <f t="shared" si="282"/>
        <v>1.49</v>
      </c>
      <c r="AC283" s="105" t="s">
        <v>2999</v>
      </c>
      <c r="AD283" s="23" t="s">
        <v>891</v>
      </c>
      <c r="AE283" s="89">
        <v>43997</v>
      </c>
      <c r="AF283" s="91">
        <v>44011</v>
      </c>
      <c r="AG283" s="34">
        <f t="shared" si="283"/>
        <v>14</v>
      </c>
      <c r="AH283" s="63" t="s">
        <v>2404</v>
      </c>
      <c r="AJ283" s="23"/>
    </row>
    <row r="284" spans="1:42">
      <c r="A284" s="135" t="s">
        <v>2993</v>
      </c>
      <c r="B284" s="84">
        <v>97</v>
      </c>
      <c r="C284" s="84">
        <v>93</v>
      </c>
      <c r="D284" s="85">
        <v>-35</v>
      </c>
      <c r="E284" s="85">
        <v>-38</v>
      </c>
      <c r="F284" s="59">
        <v>30</v>
      </c>
      <c r="G284" s="84">
        <v>6732</v>
      </c>
      <c r="H284" s="53" t="s">
        <v>558</v>
      </c>
      <c r="I284" s="17" t="s">
        <v>2981</v>
      </c>
      <c r="J284" s="371">
        <v>60.91</v>
      </c>
      <c r="K284" s="77">
        <v>4.9400000000000004</v>
      </c>
      <c r="N284" s="365">
        <f t="shared" si="284"/>
        <v>65.849999999999994</v>
      </c>
      <c r="Q284" s="326">
        <f>IFERROR(VLOOKUP($G284,主力整理!$A$2:$G$2301,6,0),"0")</f>
        <v>1</v>
      </c>
      <c r="T284" s="339">
        <f t="shared" si="279"/>
        <v>1</v>
      </c>
      <c r="W284" s="35">
        <v>24</v>
      </c>
      <c r="X284" s="100">
        <f t="shared" si="285"/>
        <v>2.5316455696202531E-2</v>
      </c>
      <c r="Y284" s="37">
        <v>948</v>
      </c>
      <c r="Z284" s="69">
        <v>498</v>
      </c>
      <c r="AA284" s="16">
        <f t="shared" si="281"/>
        <v>450</v>
      </c>
      <c r="AB284" s="180">
        <f t="shared" si="282"/>
        <v>0.90361445783132532</v>
      </c>
      <c r="AC284" s="105" t="s">
        <v>2995</v>
      </c>
      <c r="AD284" s="17" t="s">
        <v>2981</v>
      </c>
      <c r="AE284" s="89">
        <v>43990</v>
      </c>
      <c r="AF284" s="91">
        <v>44000</v>
      </c>
      <c r="AG284" s="34">
        <f t="shared" si="283"/>
        <v>10</v>
      </c>
      <c r="AH284" s="63" t="s">
        <v>2994</v>
      </c>
      <c r="AJ284" s="17"/>
    </row>
    <row r="285" spans="1:42">
      <c r="A285" s="151" t="s">
        <v>2571</v>
      </c>
      <c r="B285" s="84">
        <v>40</v>
      </c>
      <c r="C285" s="84">
        <v>39</v>
      </c>
      <c r="D285" s="85">
        <v>-70</v>
      </c>
      <c r="E285" s="85">
        <v>-51</v>
      </c>
      <c r="F285" s="59">
        <v>-87.65</v>
      </c>
      <c r="G285" s="84">
        <v>6598</v>
      </c>
      <c r="H285" s="4" t="s">
        <v>560</v>
      </c>
      <c r="I285" s="23" t="s">
        <v>2984</v>
      </c>
      <c r="J285" s="77">
        <v>65.53</v>
      </c>
      <c r="K285" s="371">
        <v>40.29</v>
      </c>
      <c r="L285" s="371"/>
      <c r="N285" s="365">
        <f t="shared" si="284"/>
        <v>105.82</v>
      </c>
      <c r="Q285" s="326" t="str">
        <f>IFERROR(VLOOKUP($G285,主力整理!$A$2:$G$2301,6,0),"0")</f>
        <v>0</v>
      </c>
      <c r="T285" s="339">
        <f t="shared" si="279"/>
        <v>0</v>
      </c>
      <c r="W285" s="35">
        <v>0</v>
      </c>
      <c r="X285" s="100">
        <f t="shared" si="285"/>
        <v>0</v>
      </c>
      <c r="Y285" s="14">
        <v>166.5</v>
      </c>
      <c r="Z285" s="69">
        <v>48</v>
      </c>
      <c r="AA285" s="16">
        <f t="shared" si="281"/>
        <v>118.5</v>
      </c>
      <c r="AB285" s="179">
        <f t="shared" si="282"/>
        <v>2.46875</v>
      </c>
      <c r="AC285" s="105" t="s">
        <v>2996</v>
      </c>
      <c r="AD285" s="23" t="s">
        <v>2984</v>
      </c>
      <c r="AE285" s="89">
        <v>43991</v>
      </c>
      <c r="AF285" s="91">
        <v>44001</v>
      </c>
      <c r="AG285" s="34">
        <f t="shared" si="283"/>
        <v>10</v>
      </c>
      <c r="AH285" s="44" t="s">
        <v>2985</v>
      </c>
      <c r="AJ285" s="23"/>
    </row>
    <row r="286" spans="1:42" s="8" customFormat="1" ht="17.100000000000001" customHeight="1">
      <c r="A286" s="151" t="s">
        <v>2986</v>
      </c>
      <c r="B286" s="85">
        <v>-45</v>
      </c>
      <c r="C286" s="84">
        <v>13</v>
      </c>
      <c r="D286" s="84">
        <v>9</v>
      </c>
      <c r="E286" s="84">
        <v>11</v>
      </c>
      <c r="F286" s="7">
        <v>5.85</v>
      </c>
      <c r="G286" s="85">
        <v>5469</v>
      </c>
      <c r="H286" s="54" t="s">
        <v>559</v>
      </c>
      <c r="I286" s="23" t="s">
        <v>438</v>
      </c>
      <c r="J286" s="77">
        <v>69.489999999999995</v>
      </c>
      <c r="K286" s="77">
        <v>12.92</v>
      </c>
      <c r="L286" s="77">
        <v>16.149999999999999</v>
      </c>
      <c r="M286" s="365"/>
      <c r="N286" s="365">
        <f t="shared" ref="N286:N318" si="286">V286+K286+J286+L286</f>
        <v>98.639999999999986</v>
      </c>
      <c r="O286" s="343"/>
      <c r="P286" s="166"/>
      <c r="Q286" s="326">
        <f>IFERROR(VLOOKUP($G286,主力整理!$A$2:$G$2301,6,0),"0")</f>
        <v>2</v>
      </c>
      <c r="R286" s="31"/>
      <c r="S286" s="51"/>
      <c r="T286" s="339">
        <f t="shared" si="279"/>
        <v>2</v>
      </c>
      <c r="U286" s="329"/>
      <c r="V286" s="371">
        <v>0.08</v>
      </c>
      <c r="W286" s="35">
        <v>1.8</v>
      </c>
      <c r="X286" s="100">
        <f t="shared" si="285"/>
        <v>4.6272493573264788E-2</v>
      </c>
      <c r="Y286" s="37">
        <v>38.9</v>
      </c>
      <c r="Z286" s="69">
        <v>36</v>
      </c>
      <c r="AA286" s="16">
        <f t="shared" si="281"/>
        <v>2.8999999999999986</v>
      </c>
      <c r="AB286" s="66">
        <f t="shared" si="282"/>
        <v>8.0555555555555519E-2</v>
      </c>
      <c r="AC286" s="105" t="s">
        <v>2983</v>
      </c>
      <c r="AD286" s="23" t="s">
        <v>438</v>
      </c>
      <c r="AE286" s="89">
        <v>43978</v>
      </c>
      <c r="AF286" s="91">
        <v>43990</v>
      </c>
      <c r="AG286" s="34">
        <f t="shared" si="283"/>
        <v>12</v>
      </c>
      <c r="AH286" s="125" t="s">
        <v>2965</v>
      </c>
      <c r="AI286" s="252"/>
      <c r="AJ286" s="23"/>
      <c r="AK286" s="301"/>
      <c r="AL286" s="310"/>
      <c r="AM286" s="291"/>
      <c r="AN286" s="273"/>
      <c r="AO286" s="232"/>
      <c r="AP286" s="384"/>
    </row>
    <row r="287" spans="1:42">
      <c r="A287" s="135" t="s">
        <v>2974</v>
      </c>
      <c r="B287" s="85">
        <v>-1</v>
      </c>
      <c r="C287" s="85">
        <v>-2</v>
      </c>
      <c r="D287" s="85"/>
      <c r="E287" s="85">
        <v>4.45</v>
      </c>
      <c r="F287" s="59">
        <v>12.01</v>
      </c>
      <c r="G287" s="85">
        <v>5546</v>
      </c>
      <c r="H287" s="4" t="s">
        <v>1485</v>
      </c>
      <c r="I287" s="23" t="s">
        <v>2954</v>
      </c>
      <c r="J287" s="371">
        <v>81.39</v>
      </c>
      <c r="K287" s="371">
        <v>55.1</v>
      </c>
      <c r="L287" s="371"/>
      <c r="N287" s="365">
        <f t="shared" si="286"/>
        <v>136.49</v>
      </c>
      <c r="Q287" s="326" t="str">
        <f>IFERROR(VLOOKUP($G287,主力整理!$A$2:$G$2301,6,0),"0")</f>
        <v>0</v>
      </c>
      <c r="T287" s="339">
        <f t="shared" si="279"/>
        <v>0</v>
      </c>
      <c r="W287" s="35">
        <v>4</v>
      </c>
      <c r="X287" s="100">
        <f t="shared" si="285"/>
        <v>6.4516129032258063E-2</v>
      </c>
      <c r="Y287" s="37">
        <v>62</v>
      </c>
      <c r="Z287" s="69">
        <v>58.5</v>
      </c>
      <c r="AA287" s="16">
        <f t="shared" si="281"/>
        <v>3.5</v>
      </c>
      <c r="AB287" s="66">
        <f t="shared" si="282"/>
        <v>5.9829059829059832E-2</v>
      </c>
      <c r="AC287" s="105" t="s">
        <v>2505</v>
      </c>
      <c r="AD287" s="23" t="s">
        <v>2954</v>
      </c>
      <c r="AE287" s="89">
        <v>43971</v>
      </c>
      <c r="AF287" s="91">
        <v>43983</v>
      </c>
      <c r="AG287" s="34">
        <f t="shared" si="283"/>
        <v>12</v>
      </c>
      <c r="AH287" s="126" t="s">
        <v>2975</v>
      </c>
      <c r="AJ287" s="23"/>
    </row>
    <row r="288" spans="1:42">
      <c r="A288" s="135" t="s">
        <v>2385</v>
      </c>
      <c r="B288" s="85">
        <v>-13</v>
      </c>
      <c r="C288" s="85">
        <v>-12</v>
      </c>
      <c r="D288" s="84">
        <v>1</v>
      </c>
      <c r="E288" s="84">
        <v>0</v>
      </c>
      <c r="F288" s="59">
        <v>40.49</v>
      </c>
      <c r="G288" s="85">
        <v>3563</v>
      </c>
      <c r="H288" s="4" t="s">
        <v>557</v>
      </c>
      <c r="I288" s="23" t="s">
        <v>345</v>
      </c>
      <c r="J288" s="371">
        <v>35.369999999999997</v>
      </c>
      <c r="K288" s="371">
        <v>17.84</v>
      </c>
      <c r="L288" s="77">
        <v>20.63</v>
      </c>
      <c r="N288" s="365">
        <f t="shared" si="286"/>
        <v>76.05</v>
      </c>
      <c r="Q288" s="326" t="str">
        <f>IFERROR(VLOOKUP($G288,主力整理!$A$2:$G$2301,6,0),"0")</f>
        <v>0</v>
      </c>
      <c r="T288" s="339">
        <f t="shared" si="279"/>
        <v>0</v>
      </c>
      <c r="V288" s="371">
        <v>2.21</v>
      </c>
      <c r="W288" s="35"/>
      <c r="X288" s="100">
        <f t="shared" si="285"/>
        <v>0</v>
      </c>
      <c r="Y288" s="37">
        <v>327</v>
      </c>
      <c r="Z288" s="46">
        <v>250</v>
      </c>
      <c r="AA288" s="16">
        <f t="shared" si="281"/>
        <v>77</v>
      </c>
      <c r="AB288" s="66">
        <f t="shared" si="282"/>
        <v>0.308</v>
      </c>
      <c r="AC288" s="105" t="s">
        <v>2937</v>
      </c>
      <c r="AD288" s="23" t="s">
        <v>345</v>
      </c>
      <c r="AE288" s="89">
        <v>43970</v>
      </c>
      <c r="AF288" s="91">
        <v>43980</v>
      </c>
      <c r="AG288" s="34">
        <f t="shared" si="283"/>
        <v>10</v>
      </c>
      <c r="AH288" s="50" t="s">
        <v>2646</v>
      </c>
      <c r="AJ288" s="23"/>
    </row>
    <row r="289" spans="1:42" ht="17.25" customHeight="1">
      <c r="A289" s="135" t="s">
        <v>2982</v>
      </c>
      <c r="B289" s="84">
        <v>9</v>
      </c>
      <c r="C289" s="84">
        <v>9</v>
      </c>
      <c r="D289" s="84">
        <v>4</v>
      </c>
      <c r="E289" s="84">
        <v>17</v>
      </c>
      <c r="F289" s="59">
        <v>10.4</v>
      </c>
      <c r="G289" s="84">
        <v>8284</v>
      </c>
      <c r="H289" s="4" t="s">
        <v>565</v>
      </c>
      <c r="I289" s="17" t="s">
        <v>2951</v>
      </c>
      <c r="J289" s="77">
        <v>63.03</v>
      </c>
      <c r="K289" s="77">
        <v>3.71</v>
      </c>
      <c r="L289" s="371"/>
      <c r="N289" s="365">
        <f t="shared" si="286"/>
        <v>66.739999999999995</v>
      </c>
      <c r="Q289" s="326" t="str">
        <f>IFERROR(VLOOKUP($G289,主力整理!$A$2:$G$2301,6,0),"0")</f>
        <v>0</v>
      </c>
      <c r="T289" s="339">
        <f t="shared" si="279"/>
        <v>0</v>
      </c>
      <c r="W289" s="35">
        <v>3</v>
      </c>
      <c r="X289" s="100">
        <f t="shared" si="285"/>
        <v>4.7619047619047616E-2</v>
      </c>
      <c r="Y289" s="37">
        <v>63</v>
      </c>
      <c r="Z289" s="69">
        <v>45</v>
      </c>
      <c r="AA289" s="16">
        <f t="shared" ref="AA289:AA318" si="287">Y289-Z289</f>
        <v>18</v>
      </c>
      <c r="AB289" s="66">
        <f t="shared" ref="AB289:AB318" si="288">AA289/Z289</f>
        <v>0.4</v>
      </c>
      <c r="AC289" s="105" t="s">
        <v>2970</v>
      </c>
      <c r="AD289" s="17" t="s">
        <v>2951</v>
      </c>
      <c r="AE289" s="89">
        <v>43969</v>
      </c>
      <c r="AF289" s="91">
        <v>43980</v>
      </c>
      <c r="AG289" s="34">
        <f t="shared" ref="AG289:AG318" si="289">AF289-AE289</f>
        <v>11</v>
      </c>
      <c r="AH289" s="44" t="s">
        <v>2952</v>
      </c>
      <c r="AJ289" s="17"/>
    </row>
    <row r="290" spans="1:42">
      <c r="A290" s="151" t="s">
        <v>2940</v>
      </c>
      <c r="B290" s="84">
        <v>20</v>
      </c>
      <c r="C290" s="84"/>
      <c r="D290" s="84">
        <v>26</v>
      </c>
      <c r="E290" s="85">
        <v>-12</v>
      </c>
      <c r="F290" s="7"/>
      <c r="G290" s="85">
        <v>2888</v>
      </c>
      <c r="H290" s="11" t="s">
        <v>553</v>
      </c>
      <c r="I290" s="23" t="s">
        <v>32</v>
      </c>
      <c r="J290" s="371">
        <v>68.09</v>
      </c>
      <c r="K290" s="77">
        <v>21.4</v>
      </c>
      <c r="L290" s="371">
        <v>3.23</v>
      </c>
      <c r="N290" s="365">
        <f t="shared" si="286"/>
        <v>92.740000000000009</v>
      </c>
      <c r="Q290" s="326">
        <f>IFERROR(VLOOKUP($G290,主力整理!$A$2:$G$2301,6,0),"0")</f>
        <v>9</v>
      </c>
      <c r="T290" s="339">
        <f t="shared" si="279"/>
        <v>9</v>
      </c>
      <c r="V290" s="371">
        <v>0.02</v>
      </c>
      <c r="W290" s="35">
        <v>0.4</v>
      </c>
      <c r="X290" s="100">
        <f t="shared" si="285"/>
        <v>4.7961630695443645E-2</v>
      </c>
      <c r="Y290" s="37">
        <v>8.34</v>
      </c>
      <c r="Z290" s="69">
        <v>7.8</v>
      </c>
      <c r="AA290" s="16">
        <f t="shared" si="287"/>
        <v>0.54</v>
      </c>
      <c r="AB290" s="66">
        <f t="shared" si="288"/>
        <v>6.9230769230769235E-2</v>
      </c>
      <c r="AC290" s="105" t="s">
        <v>2971</v>
      </c>
      <c r="AD290" s="23" t="s">
        <v>32</v>
      </c>
      <c r="AE290" s="89">
        <v>43969</v>
      </c>
      <c r="AF290" s="91">
        <v>43980</v>
      </c>
      <c r="AG290" s="34">
        <f t="shared" si="289"/>
        <v>11</v>
      </c>
      <c r="AH290" s="125" t="s">
        <v>2177</v>
      </c>
      <c r="AJ290" s="23"/>
    </row>
    <row r="291" spans="1:42">
      <c r="A291" s="151" t="s">
        <v>2626</v>
      </c>
      <c r="B291" s="85">
        <v>-2</v>
      </c>
      <c r="C291" s="85">
        <v>-34</v>
      </c>
      <c r="D291" s="85">
        <v>-7</v>
      </c>
      <c r="E291" s="84">
        <v>8</v>
      </c>
      <c r="F291" s="7">
        <v>8.6999999999999993</v>
      </c>
      <c r="G291" s="85">
        <v>6208</v>
      </c>
      <c r="H291" s="4" t="s">
        <v>559</v>
      </c>
      <c r="I291" s="17" t="s">
        <v>788</v>
      </c>
      <c r="J291" s="77">
        <v>52.18</v>
      </c>
      <c r="K291" s="77">
        <v>1.63</v>
      </c>
      <c r="L291" s="371">
        <v>3.51</v>
      </c>
      <c r="N291" s="365">
        <f t="shared" si="286"/>
        <v>57.4</v>
      </c>
      <c r="Q291" s="326" t="str">
        <f>IFERROR(VLOOKUP($G291,主力整理!$A$2:$G$2301,6,0),"0")</f>
        <v>0</v>
      </c>
      <c r="T291" s="339">
        <f t="shared" si="279"/>
        <v>0</v>
      </c>
      <c r="V291" s="371">
        <v>0.08</v>
      </c>
      <c r="W291" s="35">
        <v>1.7</v>
      </c>
      <c r="X291" s="100">
        <f t="shared" si="285"/>
        <v>6.6019417475728148E-2</v>
      </c>
      <c r="Y291" s="37">
        <v>25.75</v>
      </c>
      <c r="Z291" s="69">
        <v>20</v>
      </c>
      <c r="AA291" s="16">
        <f t="shared" si="287"/>
        <v>5.75</v>
      </c>
      <c r="AB291" s="66">
        <f t="shared" si="288"/>
        <v>0.28749999999999998</v>
      </c>
      <c r="AC291" s="105" t="s">
        <v>2968</v>
      </c>
      <c r="AD291" s="17" t="s">
        <v>788</v>
      </c>
      <c r="AE291" s="89">
        <v>43966</v>
      </c>
      <c r="AF291" s="91">
        <v>43980</v>
      </c>
      <c r="AG291" s="34">
        <f t="shared" si="289"/>
        <v>14</v>
      </c>
      <c r="AH291" s="44" t="s">
        <v>2949</v>
      </c>
      <c r="AJ291" s="17"/>
    </row>
    <row r="292" spans="1:42">
      <c r="A292" s="151" t="s">
        <v>2948</v>
      </c>
      <c r="B292" s="85">
        <v>-137</v>
      </c>
      <c r="C292" s="85">
        <v>-128</v>
      </c>
      <c r="D292" s="85">
        <v>-6</v>
      </c>
      <c r="E292" s="84">
        <v>171</v>
      </c>
      <c r="F292" s="77">
        <v>-147</v>
      </c>
      <c r="G292" s="84">
        <v>6589</v>
      </c>
      <c r="H292" s="4" t="s">
        <v>560</v>
      </c>
      <c r="I292" s="17" t="s">
        <v>2783</v>
      </c>
      <c r="J292" s="371">
        <v>57.75</v>
      </c>
      <c r="K292" s="371">
        <v>3.98</v>
      </c>
      <c r="L292" s="371"/>
      <c r="N292" s="365">
        <f t="shared" si="286"/>
        <v>61.73</v>
      </c>
      <c r="Q292" s="326" t="str">
        <f>IFERROR(VLOOKUP($G292,主力整理!$A$2:$G$2301,6,0),"0")</f>
        <v>0</v>
      </c>
      <c r="T292" s="339">
        <f t="shared" ref="T292:T311" si="290">SUM(P292:S292)</f>
        <v>0</v>
      </c>
      <c r="W292" s="35"/>
      <c r="X292" s="100">
        <f t="shared" si="285"/>
        <v>0</v>
      </c>
      <c r="Y292" s="37">
        <v>61.5</v>
      </c>
      <c r="Z292" s="69">
        <v>29</v>
      </c>
      <c r="AA292" s="16">
        <f t="shared" si="287"/>
        <v>32.5</v>
      </c>
      <c r="AB292" s="179">
        <f t="shared" si="288"/>
        <v>1.1206896551724137</v>
      </c>
      <c r="AC292" s="105" t="s">
        <v>2969</v>
      </c>
      <c r="AD292" s="17" t="s">
        <v>2783</v>
      </c>
      <c r="AE292" s="89">
        <v>43966</v>
      </c>
      <c r="AF292" s="91">
        <v>43980</v>
      </c>
      <c r="AG292" s="34">
        <f t="shared" si="289"/>
        <v>14</v>
      </c>
      <c r="AH292" s="44" t="s">
        <v>2784</v>
      </c>
      <c r="AJ292" s="17"/>
    </row>
    <row r="293" spans="1:42">
      <c r="A293" s="151" t="s">
        <v>2931</v>
      </c>
      <c r="B293" s="84">
        <v>0</v>
      </c>
      <c r="C293" s="84">
        <v>2</v>
      </c>
      <c r="D293" s="85">
        <v>-15</v>
      </c>
      <c r="E293" s="84">
        <v>66</v>
      </c>
      <c r="F293" s="7">
        <v>5.58</v>
      </c>
      <c r="G293" s="84">
        <v>4173</v>
      </c>
      <c r="H293" s="4" t="s">
        <v>560</v>
      </c>
      <c r="I293" s="17" t="s">
        <v>1129</v>
      </c>
      <c r="J293" s="371">
        <v>48.34</v>
      </c>
      <c r="K293" s="77">
        <v>0.22</v>
      </c>
      <c r="L293" s="77">
        <v>12.83</v>
      </c>
      <c r="N293" s="365">
        <f t="shared" si="286"/>
        <v>61.53</v>
      </c>
      <c r="Q293" s="326" t="str">
        <f>IFERROR(VLOOKUP($G293,主力整理!$A$2:$G$2301,6,0),"0")</f>
        <v>0</v>
      </c>
      <c r="T293" s="339">
        <f t="shared" si="290"/>
        <v>0</v>
      </c>
      <c r="V293" s="371">
        <v>0.14000000000000001</v>
      </c>
      <c r="W293" s="35">
        <v>1</v>
      </c>
      <c r="X293" s="100">
        <f t="shared" si="285"/>
        <v>4.9019607843137261E-2</v>
      </c>
      <c r="Y293" s="37">
        <v>20.399999999999999</v>
      </c>
      <c r="Z293" s="69">
        <v>15</v>
      </c>
      <c r="AA293" s="16">
        <f t="shared" si="287"/>
        <v>5.3999999999999986</v>
      </c>
      <c r="AB293" s="66">
        <f t="shared" si="288"/>
        <v>0.35999999999999993</v>
      </c>
      <c r="AC293" s="105" t="s">
        <v>2966</v>
      </c>
      <c r="AD293" s="17" t="s">
        <v>1129</v>
      </c>
      <c r="AE293" s="89">
        <v>43964</v>
      </c>
      <c r="AF293" s="91">
        <v>43980</v>
      </c>
      <c r="AG293" s="34">
        <f t="shared" si="289"/>
        <v>16</v>
      </c>
      <c r="AH293" s="44" t="s">
        <v>2950</v>
      </c>
      <c r="AJ293" s="17"/>
    </row>
    <row r="294" spans="1:42">
      <c r="A294" s="151" t="s">
        <v>2923</v>
      </c>
      <c r="B294" s="85">
        <v>-200</v>
      </c>
      <c r="C294" s="85">
        <v>-41</v>
      </c>
      <c r="D294" s="85">
        <v>-50</v>
      </c>
      <c r="E294" s="85">
        <v>-57</v>
      </c>
      <c r="F294" s="7">
        <v>-23.92</v>
      </c>
      <c r="G294" s="85">
        <v>1506</v>
      </c>
      <c r="H294" s="4" t="s">
        <v>544</v>
      </c>
      <c r="I294" s="23" t="s">
        <v>1035</v>
      </c>
      <c r="J294" s="77">
        <v>69.91</v>
      </c>
      <c r="K294" s="77">
        <v>1.1599999999999999</v>
      </c>
      <c r="L294" s="371">
        <v>0</v>
      </c>
      <c r="N294" s="365">
        <f t="shared" si="286"/>
        <v>71.069999999999993</v>
      </c>
      <c r="Q294" s="326" t="str">
        <f>IFERROR(VLOOKUP($G294,主力整理!$A$2:$G$2301,6,0),"0")</f>
        <v>0</v>
      </c>
      <c r="T294" s="339">
        <f t="shared" si="290"/>
        <v>0</v>
      </c>
      <c r="W294" s="35">
        <v>0</v>
      </c>
      <c r="X294" s="100">
        <f t="shared" si="285"/>
        <v>0</v>
      </c>
      <c r="Y294" s="37">
        <v>12.35</v>
      </c>
      <c r="Z294" s="69">
        <v>10</v>
      </c>
      <c r="AA294" s="16">
        <f t="shared" si="287"/>
        <v>2.3499999999999996</v>
      </c>
      <c r="AB294" s="66">
        <f t="shared" si="288"/>
        <v>0.23499999999999996</v>
      </c>
      <c r="AC294" s="105" t="s">
        <v>2943</v>
      </c>
      <c r="AD294" s="23" t="s">
        <v>1035</v>
      </c>
      <c r="AE294" s="89">
        <v>43950</v>
      </c>
      <c r="AF294" s="91">
        <v>43980</v>
      </c>
      <c r="AG294" s="34">
        <f t="shared" si="289"/>
        <v>30</v>
      </c>
      <c r="AH294" s="44" t="s">
        <v>2924</v>
      </c>
      <c r="AJ294" s="23"/>
    </row>
    <row r="295" spans="1:42">
      <c r="A295" s="151" t="s">
        <v>2637</v>
      </c>
      <c r="B295" s="85">
        <v>-166</v>
      </c>
      <c r="C295" s="85">
        <v>-504</v>
      </c>
      <c r="D295" s="85">
        <v>-16</v>
      </c>
      <c r="E295" s="85">
        <v>-19</v>
      </c>
      <c r="F295" s="7">
        <v>-4.79</v>
      </c>
      <c r="G295" s="85">
        <v>3543</v>
      </c>
      <c r="H295" s="4" t="s">
        <v>2910</v>
      </c>
      <c r="I295" s="23" t="s">
        <v>2912</v>
      </c>
      <c r="J295" s="371">
        <v>55.41</v>
      </c>
      <c r="K295" s="371">
        <v>0.23</v>
      </c>
      <c r="L295" s="371"/>
      <c r="N295" s="365">
        <f t="shared" si="286"/>
        <v>71.66</v>
      </c>
      <c r="Q295" s="326" t="str">
        <f>IFERROR(VLOOKUP($G295,主力整理!$A$2:$G$2301,6,0),"0")</f>
        <v>0</v>
      </c>
      <c r="T295" s="339">
        <f t="shared" si="290"/>
        <v>0</v>
      </c>
      <c r="V295" s="371">
        <v>16.02</v>
      </c>
      <c r="W295" s="35"/>
      <c r="X295" s="100">
        <f t="shared" si="285"/>
        <v>0</v>
      </c>
      <c r="Y295" s="37">
        <v>17.25</v>
      </c>
      <c r="Z295" s="69">
        <v>15</v>
      </c>
      <c r="AA295" s="16">
        <f t="shared" si="287"/>
        <v>2.25</v>
      </c>
      <c r="AB295" s="66">
        <f t="shared" si="288"/>
        <v>0.15</v>
      </c>
      <c r="AC295" s="105" t="s">
        <v>1625</v>
      </c>
      <c r="AD295" s="23" t="s">
        <v>2912</v>
      </c>
      <c r="AE295" s="89">
        <v>43936</v>
      </c>
      <c r="AF295" s="91">
        <v>43966</v>
      </c>
      <c r="AG295" s="34">
        <f t="shared" si="289"/>
        <v>30</v>
      </c>
      <c r="AH295" s="44" t="s">
        <v>2911</v>
      </c>
      <c r="AJ295" s="23"/>
    </row>
    <row r="296" spans="1:42" s="8" customFormat="1" ht="17.100000000000001" customHeight="1">
      <c r="A296" s="135" t="s">
        <v>2786</v>
      </c>
      <c r="B296" s="84">
        <v>-25</v>
      </c>
      <c r="C296" s="84">
        <v>0</v>
      </c>
      <c r="D296" s="84">
        <v>0</v>
      </c>
      <c r="E296" s="84">
        <v>23</v>
      </c>
      <c r="F296" s="59">
        <v>10.54</v>
      </c>
      <c r="G296" s="84">
        <v>6213</v>
      </c>
      <c r="H296" s="53" t="s">
        <v>559</v>
      </c>
      <c r="I296" s="23" t="s">
        <v>114</v>
      </c>
      <c r="J296" s="371">
        <v>74.790000000000006</v>
      </c>
      <c r="K296" s="371">
        <v>24.09</v>
      </c>
      <c r="L296" s="371">
        <v>10.31</v>
      </c>
      <c r="M296" s="365"/>
      <c r="N296" s="365">
        <f t="shared" si="286"/>
        <v>122.71000000000001</v>
      </c>
      <c r="O296" s="343"/>
      <c r="P296" s="166"/>
      <c r="Q296" s="326">
        <f>IFERROR(VLOOKUP($G296,主力整理!$A$2:$G$2301,6,0),"0")</f>
        <v>7</v>
      </c>
      <c r="R296" s="31"/>
      <c r="S296" s="51"/>
      <c r="T296" s="339">
        <f t="shared" si="290"/>
        <v>7</v>
      </c>
      <c r="U296" s="329"/>
      <c r="V296" s="371">
        <v>13.52</v>
      </c>
      <c r="W296" s="35">
        <v>5</v>
      </c>
      <c r="X296" s="100">
        <f t="shared" si="285"/>
        <v>3.5460992907801421E-2</v>
      </c>
      <c r="Y296" s="37">
        <v>141</v>
      </c>
      <c r="Z296" s="69">
        <v>110</v>
      </c>
      <c r="AA296" s="16">
        <f t="shared" si="287"/>
        <v>31</v>
      </c>
      <c r="AB296" s="66">
        <f t="shared" si="288"/>
        <v>0.2818181818181818</v>
      </c>
      <c r="AC296" s="105" t="s">
        <v>1673</v>
      </c>
      <c r="AD296" s="23" t="s">
        <v>114</v>
      </c>
      <c r="AE296" s="89">
        <v>43928</v>
      </c>
      <c r="AF296" s="91">
        <v>43958</v>
      </c>
      <c r="AG296" s="34">
        <f t="shared" si="289"/>
        <v>30</v>
      </c>
      <c r="AH296" s="126" t="s">
        <v>2188</v>
      </c>
      <c r="AI296" s="252"/>
      <c r="AJ296" s="23"/>
      <c r="AK296" s="301"/>
      <c r="AL296" s="310"/>
      <c r="AM296" s="291"/>
      <c r="AN296" s="273"/>
      <c r="AO296" s="232"/>
      <c r="AP296" s="384"/>
    </row>
    <row r="297" spans="1:42">
      <c r="A297" s="151" t="s">
        <v>2583</v>
      </c>
      <c r="B297" s="85">
        <v>-132</v>
      </c>
      <c r="C297" s="85">
        <v>-59</v>
      </c>
      <c r="D297" s="84">
        <v>48</v>
      </c>
      <c r="E297" s="84">
        <v>35</v>
      </c>
      <c r="F297" s="7">
        <v>0.89</v>
      </c>
      <c r="G297" s="84">
        <v>4746</v>
      </c>
      <c r="H297" s="4" t="s">
        <v>560</v>
      </c>
      <c r="I297" s="23" t="s">
        <v>1183</v>
      </c>
      <c r="J297" s="371">
        <v>39.380000000000003</v>
      </c>
      <c r="K297" s="77">
        <v>5.82</v>
      </c>
      <c r="L297" s="77">
        <v>25.39</v>
      </c>
      <c r="N297" s="365">
        <f t="shared" si="286"/>
        <v>86.45</v>
      </c>
      <c r="Q297" s="326">
        <f>IFERROR(VLOOKUP($G297,主力整理!$A$2:$G$2301,6,0),"0")</f>
        <v>1</v>
      </c>
      <c r="T297" s="339">
        <f t="shared" si="290"/>
        <v>1</v>
      </c>
      <c r="V297" s="371">
        <v>15.86</v>
      </c>
      <c r="W297" s="35"/>
      <c r="X297" s="100">
        <f t="shared" si="285"/>
        <v>0</v>
      </c>
      <c r="Y297" s="37">
        <v>55.3</v>
      </c>
      <c r="Z297" s="46">
        <v>37</v>
      </c>
      <c r="AA297" s="16">
        <f t="shared" si="287"/>
        <v>18.299999999999997</v>
      </c>
      <c r="AB297" s="66">
        <f t="shared" si="288"/>
        <v>0.49459459459459454</v>
      </c>
      <c r="AC297" s="105" t="s">
        <v>2908</v>
      </c>
      <c r="AD297" s="23" t="s">
        <v>1183</v>
      </c>
      <c r="AE297" s="89">
        <v>43922</v>
      </c>
      <c r="AF297" s="91">
        <v>43955</v>
      </c>
      <c r="AG297" s="34">
        <f t="shared" si="289"/>
        <v>33</v>
      </c>
      <c r="AH297" s="44" t="s">
        <v>2893</v>
      </c>
      <c r="AJ297" s="23"/>
    </row>
    <row r="298" spans="1:42">
      <c r="A298" s="151" t="s">
        <v>2895</v>
      </c>
      <c r="B298" s="85">
        <v>-28</v>
      </c>
      <c r="C298" s="85">
        <v>-66</v>
      </c>
      <c r="D298" s="84">
        <v>49</v>
      </c>
      <c r="E298" s="84">
        <v>75</v>
      </c>
      <c r="F298" s="7">
        <v>9.26</v>
      </c>
      <c r="G298" s="85">
        <v>6024</v>
      </c>
      <c r="H298" s="11" t="s">
        <v>553</v>
      </c>
      <c r="I298" s="23" t="s">
        <v>613</v>
      </c>
      <c r="J298" s="371">
        <v>68.88</v>
      </c>
      <c r="K298" s="371">
        <v>2.4</v>
      </c>
      <c r="L298" s="371">
        <v>1.04</v>
      </c>
      <c r="N298" s="365">
        <f t="shared" si="286"/>
        <v>130.32</v>
      </c>
      <c r="Q298" s="326" t="str">
        <f>IFERROR(VLOOKUP($G298,主力整理!$A$2:$G$2301,6,0),"0")</f>
        <v>0</v>
      </c>
      <c r="T298" s="339">
        <f t="shared" si="290"/>
        <v>0</v>
      </c>
      <c r="V298" s="371">
        <v>58</v>
      </c>
      <c r="W298" s="35"/>
      <c r="X298" s="59">
        <f t="shared" si="285"/>
        <v>0</v>
      </c>
      <c r="Y298" s="37">
        <v>39.4</v>
      </c>
      <c r="Z298" s="69">
        <v>34.4</v>
      </c>
      <c r="AA298" s="16">
        <f t="shared" si="287"/>
        <v>5</v>
      </c>
      <c r="AB298" s="66">
        <f t="shared" si="288"/>
        <v>0.14534883720930233</v>
      </c>
      <c r="AC298" s="106" t="s">
        <v>2904</v>
      </c>
      <c r="AD298" s="23" t="s">
        <v>613</v>
      </c>
      <c r="AE298" s="89">
        <v>43921</v>
      </c>
      <c r="AF298" s="91">
        <v>43951</v>
      </c>
      <c r="AG298" s="34">
        <f t="shared" si="289"/>
        <v>30</v>
      </c>
      <c r="AH298" s="63" t="s">
        <v>2161</v>
      </c>
      <c r="AJ298" s="23"/>
    </row>
    <row r="299" spans="1:42">
      <c r="A299" s="151" t="s">
        <v>2358</v>
      </c>
      <c r="B299" s="85">
        <v>-174</v>
      </c>
      <c r="C299" s="85">
        <v>-159</v>
      </c>
      <c r="D299" s="84">
        <v>69</v>
      </c>
      <c r="E299" s="84">
        <v>25</v>
      </c>
      <c r="F299" s="7">
        <v>-4.2300000000000004</v>
      </c>
      <c r="G299" s="85">
        <v>4563</v>
      </c>
      <c r="H299" s="4" t="s">
        <v>544</v>
      </c>
      <c r="I299" s="17" t="s">
        <v>1028</v>
      </c>
      <c r="J299" s="371">
        <v>74.73</v>
      </c>
      <c r="K299" s="371">
        <v>19.440000000000001</v>
      </c>
      <c r="L299" s="77">
        <v>1.94</v>
      </c>
      <c r="N299" s="365">
        <f t="shared" si="286"/>
        <v>135.96</v>
      </c>
      <c r="Q299" s="326" t="str">
        <f>IFERROR(VLOOKUP($G299,主力整理!$A$2:$G$2301,6,0),"0")</f>
        <v>0</v>
      </c>
      <c r="T299" s="339">
        <f t="shared" si="290"/>
        <v>0</v>
      </c>
      <c r="V299" s="371">
        <v>39.85</v>
      </c>
      <c r="W299" s="35"/>
      <c r="X299" s="59">
        <f t="shared" si="285"/>
        <v>0</v>
      </c>
      <c r="Y299" s="37">
        <v>36.200000000000003</v>
      </c>
      <c r="Z299" s="69">
        <v>40</v>
      </c>
      <c r="AA299" s="16">
        <f t="shared" si="287"/>
        <v>-3.7999999999999972</v>
      </c>
      <c r="AB299" s="80">
        <f t="shared" si="288"/>
        <v>-9.4999999999999932E-2</v>
      </c>
      <c r="AC299" s="106" t="s">
        <v>2945</v>
      </c>
      <c r="AD299" s="17" t="s">
        <v>1028</v>
      </c>
      <c r="AE299" s="89">
        <v>43921</v>
      </c>
      <c r="AF299" s="91">
        <v>43951</v>
      </c>
      <c r="AG299" s="34">
        <f t="shared" si="289"/>
        <v>30</v>
      </c>
      <c r="AH299" s="44" t="s">
        <v>2894</v>
      </c>
      <c r="AJ299" s="17"/>
    </row>
    <row r="300" spans="1:42">
      <c r="A300" s="151" t="s">
        <v>2892</v>
      </c>
      <c r="B300" s="84">
        <v>13</v>
      </c>
      <c r="C300" s="85">
        <v>-65</v>
      </c>
      <c r="D300" s="84">
        <v>69</v>
      </c>
      <c r="E300" s="84">
        <v>130</v>
      </c>
      <c r="F300" s="7">
        <v>4.9000000000000004</v>
      </c>
      <c r="G300" s="84">
        <v>6023</v>
      </c>
      <c r="H300" s="11" t="s">
        <v>553</v>
      </c>
      <c r="I300" s="17" t="s">
        <v>291</v>
      </c>
      <c r="J300" s="77">
        <v>86.19</v>
      </c>
      <c r="K300" s="371">
        <v>1.54</v>
      </c>
      <c r="L300" s="77">
        <v>0.11</v>
      </c>
      <c r="N300" s="365">
        <f t="shared" si="286"/>
        <v>155.92000000000002</v>
      </c>
      <c r="Q300" s="326" t="str">
        <f>IFERROR(VLOOKUP($G300,主力整理!$A$2:$G$2301,6,0),"0")</f>
        <v>0</v>
      </c>
      <c r="T300" s="339">
        <f t="shared" si="290"/>
        <v>0</v>
      </c>
      <c r="V300" s="371">
        <v>68.08</v>
      </c>
      <c r="W300" s="35">
        <v>3.2</v>
      </c>
      <c r="X300" s="59">
        <f t="shared" si="285"/>
        <v>5.9369202226345091E-2</v>
      </c>
      <c r="Y300" s="37">
        <v>53.9</v>
      </c>
      <c r="Z300" s="69">
        <v>48</v>
      </c>
      <c r="AA300" s="16">
        <f t="shared" si="287"/>
        <v>5.8999999999999986</v>
      </c>
      <c r="AB300" s="66">
        <f t="shared" si="288"/>
        <v>0.12291666666666663</v>
      </c>
      <c r="AC300" s="105" t="s">
        <v>2901</v>
      </c>
      <c r="AD300" s="17" t="s">
        <v>291</v>
      </c>
      <c r="AE300" s="89">
        <v>43920</v>
      </c>
      <c r="AF300" s="91">
        <v>43951</v>
      </c>
      <c r="AG300" s="34">
        <f t="shared" si="289"/>
        <v>31</v>
      </c>
      <c r="AH300" s="125" t="s">
        <v>2160</v>
      </c>
      <c r="AJ300" s="17"/>
    </row>
    <row r="301" spans="1:42">
      <c r="A301" s="135" t="s">
        <v>2340</v>
      </c>
      <c r="B301" s="85">
        <v>-7</v>
      </c>
      <c r="C301" s="84">
        <v>2</v>
      </c>
      <c r="D301" s="84">
        <v>24</v>
      </c>
      <c r="E301" s="84">
        <v>52</v>
      </c>
      <c r="F301" s="59">
        <v>16.5</v>
      </c>
      <c r="G301" s="84">
        <v>6716</v>
      </c>
      <c r="H301" s="53" t="s">
        <v>558</v>
      </c>
      <c r="I301" s="17" t="s">
        <v>2890</v>
      </c>
      <c r="J301" s="371">
        <v>43.74</v>
      </c>
      <c r="K301" s="77">
        <v>2.19</v>
      </c>
      <c r="L301" s="371"/>
      <c r="N301" s="365">
        <f t="shared" si="286"/>
        <v>64.58</v>
      </c>
      <c r="Q301" s="326" t="str">
        <f>IFERROR(VLOOKUP($G301,主力整理!$A$2:$G$2301,6,0),"0")</f>
        <v>0</v>
      </c>
      <c r="T301" s="339">
        <f t="shared" si="290"/>
        <v>0</v>
      </c>
      <c r="V301" s="371">
        <v>18.649999999999999</v>
      </c>
      <c r="W301" s="35">
        <v>3</v>
      </c>
      <c r="X301" s="100">
        <f t="shared" si="285"/>
        <v>4.195804195804196E-2</v>
      </c>
      <c r="Y301" s="37">
        <v>71.5</v>
      </c>
      <c r="Z301" s="69">
        <v>42</v>
      </c>
      <c r="AA301" s="16">
        <f t="shared" si="287"/>
        <v>29.5</v>
      </c>
      <c r="AB301" s="66">
        <f t="shared" si="288"/>
        <v>0.70238095238095233</v>
      </c>
      <c r="AC301" s="105" t="s">
        <v>2896</v>
      </c>
      <c r="AD301" s="17" t="s">
        <v>2890</v>
      </c>
      <c r="AE301" s="89">
        <v>43917</v>
      </c>
      <c r="AF301" s="91">
        <v>43948</v>
      </c>
      <c r="AG301" s="34">
        <f t="shared" si="289"/>
        <v>31</v>
      </c>
      <c r="AH301" s="63" t="s">
        <v>2891</v>
      </c>
      <c r="AJ301" s="17"/>
    </row>
    <row r="302" spans="1:42">
      <c r="A302" s="151" t="s">
        <v>2920</v>
      </c>
      <c r="B302" s="84">
        <v>33</v>
      </c>
      <c r="C302" s="84">
        <v>38</v>
      </c>
      <c r="D302" s="84">
        <v>5</v>
      </c>
      <c r="E302" s="85">
        <v>-19</v>
      </c>
      <c r="F302" s="7">
        <v>-6.04</v>
      </c>
      <c r="G302" s="84">
        <v>1449</v>
      </c>
      <c r="H302" s="4" t="s">
        <v>543</v>
      </c>
      <c r="I302" s="23" t="s">
        <v>1287</v>
      </c>
      <c r="J302" s="77">
        <v>76.58</v>
      </c>
      <c r="K302" s="77">
        <v>8.6</v>
      </c>
      <c r="L302" s="371"/>
      <c r="N302" s="365">
        <f t="shared" si="286"/>
        <v>112.96000000000001</v>
      </c>
      <c r="Q302" s="326" t="str">
        <f>IFERROR(VLOOKUP($G302,主力整理!$A$2:$G$2301,6,0),"0")</f>
        <v>0</v>
      </c>
      <c r="T302" s="339">
        <f t="shared" si="290"/>
        <v>0</v>
      </c>
      <c r="V302" s="371">
        <v>27.78</v>
      </c>
      <c r="W302" s="35">
        <v>0</v>
      </c>
      <c r="X302" s="100">
        <f t="shared" si="285"/>
        <v>0</v>
      </c>
      <c r="Y302" s="37">
        <v>12.2</v>
      </c>
      <c r="Z302" s="69">
        <v>10</v>
      </c>
      <c r="AA302" s="16">
        <f t="shared" si="287"/>
        <v>2.1999999999999993</v>
      </c>
      <c r="AB302" s="66">
        <f t="shared" si="288"/>
        <v>0.21999999999999992</v>
      </c>
      <c r="AC302" s="105" t="s">
        <v>1790</v>
      </c>
      <c r="AD302" s="23" t="s">
        <v>1287</v>
      </c>
      <c r="AE302" s="89">
        <v>43917</v>
      </c>
      <c r="AF302" s="91">
        <v>43948</v>
      </c>
      <c r="AG302" s="34">
        <f t="shared" si="289"/>
        <v>31</v>
      </c>
      <c r="AH302" s="44" t="s">
        <v>2882</v>
      </c>
      <c r="AJ302" s="23"/>
    </row>
    <row r="303" spans="1:42">
      <c r="A303" s="135" t="s">
        <v>2855</v>
      </c>
      <c r="B303" s="84">
        <v>21</v>
      </c>
      <c r="C303" s="84">
        <v>34</v>
      </c>
      <c r="D303" s="84">
        <v>0</v>
      </c>
      <c r="E303" s="84">
        <v>164</v>
      </c>
      <c r="F303" s="59">
        <v>19.920000000000002</v>
      </c>
      <c r="G303" s="85">
        <v>8086</v>
      </c>
      <c r="H303" s="53" t="s">
        <v>558</v>
      </c>
      <c r="I303" s="17" t="s">
        <v>483</v>
      </c>
      <c r="J303" s="371">
        <v>36.28</v>
      </c>
      <c r="K303" s="371">
        <v>15.51</v>
      </c>
      <c r="L303" s="77">
        <v>41.91</v>
      </c>
      <c r="N303" s="365">
        <f t="shared" si="286"/>
        <v>99.96</v>
      </c>
      <c r="Q303" s="326">
        <f>IFERROR(VLOOKUP($G303,主力整理!$A$2:$G$2301,6,0),"0")</f>
        <v>5</v>
      </c>
      <c r="T303" s="339">
        <f t="shared" si="290"/>
        <v>5</v>
      </c>
      <c r="V303" s="371">
        <v>6.26</v>
      </c>
      <c r="W303" s="35">
        <v>1.7</v>
      </c>
      <c r="X303" s="100">
        <f t="shared" si="285"/>
        <v>1.9296254256526674E-2</v>
      </c>
      <c r="Y303" s="37">
        <v>88.1</v>
      </c>
      <c r="Z303" s="46">
        <v>75</v>
      </c>
      <c r="AA303" s="16">
        <f t="shared" si="287"/>
        <v>13.099999999999994</v>
      </c>
      <c r="AB303" s="66">
        <f t="shared" si="288"/>
        <v>0.17466666666666658</v>
      </c>
      <c r="AC303" s="106" t="s">
        <v>2881</v>
      </c>
      <c r="AD303" s="17" t="s">
        <v>483</v>
      </c>
      <c r="AE303" s="89">
        <v>43907</v>
      </c>
      <c r="AF303" s="91">
        <v>43938</v>
      </c>
      <c r="AG303" s="34">
        <f t="shared" si="289"/>
        <v>31</v>
      </c>
      <c r="AH303" s="126" t="s">
        <v>2167</v>
      </c>
      <c r="AJ303" s="17"/>
    </row>
    <row r="304" spans="1:42">
      <c r="A304" s="135" t="s">
        <v>2215</v>
      </c>
      <c r="B304" s="85">
        <v>-37</v>
      </c>
      <c r="C304" s="85">
        <v>-33</v>
      </c>
      <c r="D304" s="85">
        <v>-20</v>
      </c>
      <c r="E304" s="85">
        <v>-8</v>
      </c>
      <c r="F304" s="59">
        <v>10.72</v>
      </c>
      <c r="G304" s="85">
        <v>4581</v>
      </c>
      <c r="H304" s="4" t="s">
        <v>2863</v>
      </c>
      <c r="I304" s="23" t="s">
        <v>2812</v>
      </c>
      <c r="J304" s="371">
        <v>75.489999999999995</v>
      </c>
      <c r="K304" s="77">
        <v>29.09</v>
      </c>
      <c r="L304" s="371"/>
      <c r="N304" s="365">
        <f t="shared" si="286"/>
        <v>104.58</v>
      </c>
      <c r="Q304" s="326" t="str">
        <f>IFERROR(VLOOKUP($G304,主力整理!$A$2:$G$2301,6,0),"0")</f>
        <v>0</v>
      </c>
      <c r="T304" s="339">
        <f t="shared" si="290"/>
        <v>0</v>
      </c>
      <c r="W304" s="35">
        <v>3</v>
      </c>
      <c r="X304" s="100">
        <f t="shared" si="285"/>
        <v>7.8534031413612565E-2</v>
      </c>
      <c r="Y304" s="37">
        <v>38.200000000000003</v>
      </c>
      <c r="Z304" s="69">
        <v>35</v>
      </c>
      <c r="AA304" s="16">
        <f t="shared" si="287"/>
        <v>3.2000000000000028</v>
      </c>
      <c r="AB304" s="66">
        <f t="shared" si="288"/>
        <v>9.1428571428571512E-2</v>
      </c>
      <c r="AC304" s="105" t="s">
        <v>2861</v>
      </c>
      <c r="AD304" s="23" t="s">
        <v>2812</v>
      </c>
      <c r="AE304" s="89">
        <v>43899</v>
      </c>
      <c r="AF304" s="91">
        <v>43930</v>
      </c>
      <c r="AG304" s="34">
        <f t="shared" si="289"/>
        <v>31</v>
      </c>
      <c r="AH304" s="50" t="s">
        <v>2862</v>
      </c>
      <c r="AJ304" s="23"/>
    </row>
    <row r="305" spans="1:36">
      <c r="A305" s="151" t="s">
        <v>2240</v>
      </c>
      <c r="B305" s="84">
        <v>78</v>
      </c>
      <c r="C305" s="98">
        <v>1305</v>
      </c>
      <c r="D305" s="85">
        <v>-20</v>
      </c>
      <c r="E305" s="85">
        <v>-39</v>
      </c>
      <c r="F305" s="7">
        <v>1.07</v>
      </c>
      <c r="G305" s="85">
        <v>2743</v>
      </c>
      <c r="H305" s="55" t="s">
        <v>552</v>
      </c>
      <c r="I305" s="17" t="s">
        <v>2810</v>
      </c>
      <c r="J305" s="77">
        <v>69.28</v>
      </c>
      <c r="K305" s="77">
        <v>1.87</v>
      </c>
      <c r="L305" s="371"/>
      <c r="N305" s="365">
        <f t="shared" si="286"/>
        <v>125.53999999999999</v>
      </c>
      <c r="Q305" s="326" t="str">
        <f>IFERROR(VLOOKUP($G305,主力整理!$A$2:$G$2301,6,0),"0")</f>
        <v>0</v>
      </c>
      <c r="T305" s="339">
        <f t="shared" si="290"/>
        <v>0</v>
      </c>
      <c r="V305" s="371">
        <v>54.39</v>
      </c>
      <c r="W305" s="35">
        <v>0.8</v>
      </c>
      <c r="X305" s="59">
        <f t="shared" si="285"/>
        <v>6.5306122448979598E-2</v>
      </c>
      <c r="Y305" s="37">
        <v>12.25</v>
      </c>
      <c r="Z305" s="69">
        <v>12.5</v>
      </c>
      <c r="AA305" s="16">
        <f t="shared" si="287"/>
        <v>-0.25</v>
      </c>
      <c r="AB305" s="80">
        <f t="shared" si="288"/>
        <v>-0.02</v>
      </c>
      <c r="AC305" s="107" t="s">
        <v>2523</v>
      </c>
      <c r="AD305" s="17" t="s">
        <v>2810</v>
      </c>
      <c r="AE305" s="89">
        <v>43899</v>
      </c>
      <c r="AF305" s="91">
        <v>43930</v>
      </c>
      <c r="AG305" s="34">
        <f t="shared" si="289"/>
        <v>31</v>
      </c>
      <c r="AH305" s="44" t="s">
        <v>2295</v>
      </c>
      <c r="AJ305" s="17"/>
    </row>
    <row r="306" spans="1:36">
      <c r="A306" s="151" t="s">
        <v>2872</v>
      </c>
      <c r="B306" s="85">
        <v>-30</v>
      </c>
      <c r="C306" s="85">
        <v>-35</v>
      </c>
      <c r="D306" s="84">
        <v>77</v>
      </c>
      <c r="E306" s="85">
        <v>-4</v>
      </c>
      <c r="F306" s="7">
        <v>4.5599999999999996</v>
      </c>
      <c r="G306" s="85">
        <v>3597</v>
      </c>
      <c r="H306" s="55" t="s">
        <v>596</v>
      </c>
      <c r="I306" s="17" t="s">
        <v>2811</v>
      </c>
      <c r="J306" s="77">
        <v>81.849999999999994</v>
      </c>
      <c r="K306" s="77">
        <v>0.03</v>
      </c>
      <c r="L306" s="371"/>
      <c r="N306" s="365">
        <f t="shared" si="286"/>
        <v>114.62</v>
      </c>
      <c r="Q306" s="326" t="str">
        <f>IFERROR(VLOOKUP($G306,主力整理!$A$2:$G$2301,6,0),"0")</f>
        <v>0</v>
      </c>
      <c r="T306" s="339">
        <f t="shared" si="290"/>
        <v>0</v>
      </c>
      <c r="V306" s="371">
        <v>32.74</v>
      </c>
      <c r="W306" s="35">
        <v>0.85</v>
      </c>
      <c r="X306" s="59">
        <f t="shared" si="285"/>
        <v>5.4838709677419356E-2</v>
      </c>
      <c r="Y306" s="37">
        <v>15.5</v>
      </c>
      <c r="Z306" s="69">
        <v>15.5</v>
      </c>
      <c r="AA306" s="16">
        <f t="shared" si="287"/>
        <v>0</v>
      </c>
      <c r="AB306" s="66">
        <f t="shared" si="288"/>
        <v>0</v>
      </c>
      <c r="AC306" s="107" t="s">
        <v>2684</v>
      </c>
      <c r="AD306" s="17" t="s">
        <v>2811</v>
      </c>
      <c r="AE306" s="89">
        <v>43899</v>
      </c>
      <c r="AF306" s="91">
        <v>43930</v>
      </c>
      <c r="AG306" s="34">
        <f t="shared" si="289"/>
        <v>31</v>
      </c>
      <c r="AH306" s="44" t="s">
        <v>2918</v>
      </c>
      <c r="AJ306" s="17"/>
    </row>
    <row r="307" spans="1:36">
      <c r="A307" s="151" t="s">
        <v>2799</v>
      </c>
      <c r="B307" s="84">
        <v>312</v>
      </c>
      <c r="C307" s="84">
        <v>523</v>
      </c>
      <c r="D307" s="85">
        <v>-50</v>
      </c>
      <c r="E307" s="85">
        <v>-25</v>
      </c>
      <c r="F307" s="7">
        <v>4.8499999999999996</v>
      </c>
      <c r="G307" s="85">
        <v>3483</v>
      </c>
      <c r="H307" s="55" t="s">
        <v>561</v>
      </c>
      <c r="I307" s="17" t="s">
        <v>902</v>
      </c>
      <c r="J307" s="371">
        <v>27.2</v>
      </c>
      <c r="K307" s="77">
        <v>4.63</v>
      </c>
      <c r="L307" s="371">
        <v>54.44</v>
      </c>
      <c r="N307" s="365">
        <f t="shared" si="286"/>
        <v>96.44</v>
      </c>
      <c r="Q307" s="326">
        <f>IFERROR(VLOOKUP($G307,主力整理!$A$2:$G$2301,6,0),"0")</f>
        <v>1</v>
      </c>
      <c r="T307" s="339">
        <f t="shared" si="290"/>
        <v>1</v>
      </c>
      <c r="V307" s="371">
        <v>10.17</v>
      </c>
      <c r="W307" s="35">
        <v>1.5</v>
      </c>
      <c r="X307" s="100">
        <f t="shared" si="285"/>
        <v>3.1914893617021274E-2</v>
      </c>
      <c r="Y307" s="37">
        <v>47</v>
      </c>
      <c r="Z307" s="46">
        <v>40</v>
      </c>
      <c r="AA307" s="16">
        <f t="shared" si="287"/>
        <v>7</v>
      </c>
      <c r="AB307" s="66">
        <f t="shared" si="288"/>
        <v>0.17499999999999999</v>
      </c>
      <c r="AC307" s="107" t="s">
        <v>1793</v>
      </c>
      <c r="AD307" s="17" t="s">
        <v>902</v>
      </c>
      <c r="AE307" s="89">
        <v>43895</v>
      </c>
      <c r="AF307" s="91">
        <v>43927</v>
      </c>
      <c r="AG307" s="34">
        <f t="shared" si="289"/>
        <v>32</v>
      </c>
      <c r="AH307" s="44" t="s">
        <v>2255</v>
      </c>
      <c r="AJ307" s="17"/>
    </row>
    <row r="308" spans="1:36">
      <c r="A308" s="135" t="s">
        <v>2793</v>
      </c>
      <c r="B308" s="85">
        <v>-25</v>
      </c>
      <c r="C308" s="84">
        <v>161</v>
      </c>
      <c r="D308" s="85">
        <v>-11</v>
      </c>
      <c r="E308" s="84">
        <v>23</v>
      </c>
      <c r="F308" s="59">
        <v>25.92</v>
      </c>
      <c r="G308" s="85">
        <v>6472</v>
      </c>
      <c r="H308" s="4" t="s">
        <v>560</v>
      </c>
      <c r="I308" s="17" t="s">
        <v>1147</v>
      </c>
      <c r="J308" s="77">
        <v>54.13</v>
      </c>
      <c r="K308" s="371">
        <v>8.7200000000000006</v>
      </c>
      <c r="L308" s="371"/>
      <c r="N308" s="365">
        <f t="shared" si="286"/>
        <v>93.54</v>
      </c>
      <c r="Q308" s="326" t="str">
        <f>IFERROR(VLOOKUP($G308,主力整理!$A$2:$G$2301,6,0),"0")</f>
        <v>0</v>
      </c>
      <c r="T308" s="339">
        <f t="shared" si="290"/>
        <v>0</v>
      </c>
      <c r="V308" s="371">
        <v>30.69</v>
      </c>
      <c r="W308" s="35">
        <v>6</v>
      </c>
      <c r="X308" s="100">
        <f t="shared" si="285"/>
        <v>5.5555555555555552E-2</v>
      </c>
      <c r="Y308" s="37">
        <v>108</v>
      </c>
      <c r="Z308" s="69">
        <v>120</v>
      </c>
      <c r="AA308" s="16">
        <f t="shared" si="287"/>
        <v>-12</v>
      </c>
      <c r="AB308" s="80">
        <f t="shared" si="288"/>
        <v>-0.1</v>
      </c>
      <c r="AC308" s="107" t="s">
        <v>2807</v>
      </c>
      <c r="AD308" s="17" t="s">
        <v>1147</v>
      </c>
      <c r="AE308" s="89">
        <v>43880</v>
      </c>
      <c r="AF308" s="91">
        <v>43909</v>
      </c>
      <c r="AG308" s="34">
        <f t="shared" si="289"/>
        <v>29</v>
      </c>
      <c r="AH308" s="63" t="s">
        <v>2266</v>
      </c>
      <c r="AJ308" s="17"/>
    </row>
    <row r="309" spans="1:36" ht="17.25" customHeight="1">
      <c r="A309" s="151" t="s">
        <v>2794</v>
      </c>
      <c r="B309" s="85">
        <v>-280</v>
      </c>
      <c r="C309" s="85">
        <v>-161</v>
      </c>
      <c r="D309" s="85">
        <v>-53</v>
      </c>
      <c r="E309" s="85">
        <v>-47</v>
      </c>
      <c r="F309" s="7">
        <v>-8.25</v>
      </c>
      <c r="G309" s="85">
        <v>5324</v>
      </c>
      <c r="H309" s="4" t="s">
        <v>1485</v>
      </c>
      <c r="I309" s="17" t="s">
        <v>1495</v>
      </c>
      <c r="J309" s="77">
        <v>67.95</v>
      </c>
      <c r="K309" s="77">
        <v>9.1199999999999992</v>
      </c>
      <c r="L309" s="371"/>
      <c r="N309" s="365">
        <f t="shared" si="286"/>
        <v>87.95</v>
      </c>
      <c r="Q309" s="326" t="str">
        <f>IFERROR(VLOOKUP($G309,主力整理!$A$2:$G$2301,6,0),"0")</f>
        <v>0</v>
      </c>
      <c r="T309" s="339">
        <f t="shared" si="290"/>
        <v>0</v>
      </c>
      <c r="V309" s="371">
        <v>10.88</v>
      </c>
      <c r="W309" s="35">
        <v>0</v>
      </c>
      <c r="X309" s="100">
        <f t="shared" si="285"/>
        <v>0</v>
      </c>
      <c r="Y309" s="37">
        <v>7.35</v>
      </c>
      <c r="Z309" s="69">
        <v>9.5</v>
      </c>
      <c r="AA309" s="16">
        <f t="shared" si="287"/>
        <v>-2.1500000000000004</v>
      </c>
      <c r="AB309" s="80">
        <f t="shared" si="288"/>
        <v>-0.22631578947368425</v>
      </c>
      <c r="AC309" s="144" t="s">
        <v>2944</v>
      </c>
      <c r="AD309" s="17" t="s">
        <v>1495</v>
      </c>
      <c r="AE309" s="89">
        <v>43875</v>
      </c>
      <c r="AF309" s="91">
        <v>43906</v>
      </c>
      <c r="AG309" s="34">
        <f t="shared" si="289"/>
        <v>31</v>
      </c>
      <c r="AH309" s="44" t="s">
        <v>2294</v>
      </c>
      <c r="AJ309" s="17"/>
    </row>
    <row r="310" spans="1:36">
      <c r="A310" s="151" t="s">
        <v>2602</v>
      </c>
      <c r="B310" s="85">
        <v>-64</v>
      </c>
      <c r="C310" s="85">
        <v>-64</v>
      </c>
      <c r="D310" s="85">
        <v>-15</v>
      </c>
      <c r="E310" s="85">
        <v>-40</v>
      </c>
      <c r="F310" s="7">
        <v>3.19</v>
      </c>
      <c r="G310" s="85">
        <v>6438</v>
      </c>
      <c r="H310" s="4" t="s">
        <v>566</v>
      </c>
      <c r="I310" s="17" t="s">
        <v>923</v>
      </c>
      <c r="J310" s="371">
        <v>39.4</v>
      </c>
      <c r="K310" s="371">
        <v>16.22</v>
      </c>
      <c r="L310" s="77">
        <v>45.07</v>
      </c>
      <c r="N310" s="365">
        <f t="shared" si="286"/>
        <v>114.91</v>
      </c>
      <c r="Q310" s="326" t="str">
        <f>IFERROR(VLOOKUP($G310,主力整理!$A$2:$G$2301,6,0),"0")</f>
        <v>0</v>
      </c>
      <c r="T310" s="339">
        <f t="shared" si="290"/>
        <v>0</v>
      </c>
      <c r="V310" s="371">
        <v>14.22</v>
      </c>
      <c r="W310" s="35">
        <v>2.8</v>
      </c>
      <c r="X310" s="100">
        <f t="shared" si="285"/>
        <v>6.0606060606060601E-2</v>
      </c>
      <c r="Y310" s="37">
        <v>46.2</v>
      </c>
      <c r="Z310" s="46">
        <v>68</v>
      </c>
      <c r="AA310" s="16">
        <f t="shared" si="287"/>
        <v>-21.799999999999997</v>
      </c>
      <c r="AB310" s="80">
        <f t="shared" si="288"/>
        <v>-0.32058823529411762</v>
      </c>
      <c r="AC310" s="107" t="s">
        <v>2806</v>
      </c>
      <c r="AD310" s="17" t="s">
        <v>923</v>
      </c>
      <c r="AE310" s="89">
        <v>43874</v>
      </c>
      <c r="AF310" s="91">
        <v>43903</v>
      </c>
      <c r="AG310" s="34">
        <f t="shared" si="289"/>
        <v>29</v>
      </c>
      <c r="AH310" s="44" t="s">
        <v>2257</v>
      </c>
      <c r="AJ310" s="17"/>
    </row>
    <row r="311" spans="1:36">
      <c r="A311" s="151" t="s">
        <v>2521</v>
      </c>
      <c r="B311" s="85">
        <v>-36</v>
      </c>
      <c r="C311" s="85">
        <v>-36</v>
      </c>
      <c r="D311" s="85"/>
      <c r="E311" s="85"/>
      <c r="F311" s="48">
        <v>-6521</v>
      </c>
      <c r="G311" s="86">
        <v>6547</v>
      </c>
      <c r="H311" s="4" t="s">
        <v>560</v>
      </c>
      <c r="I311" s="17" t="s">
        <v>1753</v>
      </c>
      <c r="J311" s="371">
        <v>50.78</v>
      </c>
      <c r="K311" s="77">
        <v>0.49</v>
      </c>
      <c r="L311" s="371"/>
      <c r="N311" s="365">
        <f t="shared" si="286"/>
        <v>84.550000000000011</v>
      </c>
      <c r="Q311" s="326">
        <f>IFERROR(VLOOKUP($G311,主力整理!$A$2:$G$2301,6,0),"0")</f>
        <v>1</v>
      </c>
      <c r="T311" s="339">
        <f t="shared" si="290"/>
        <v>1</v>
      </c>
      <c r="V311" s="371">
        <v>33.28</v>
      </c>
      <c r="W311" s="35">
        <v>0</v>
      </c>
      <c r="X311" s="59">
        <f t="shared" si="285"/>
        <v>0</v>
      </c>
      <c r="Y311" s="37">
        <v>52.7</v>
      </c>
      <c r="Z311" s="69">
        <v>26</v>
      </c>
      <c r="AA311" s="16">
        <f t="shared" si="287"/>
        <v>26.700000000000003</v>
      </c>
      <c r="AB311" s="179">
        <f t="shared" si="288"/>
        <v>1.026923076923077</v>
      </c>
      <c r="AC311" s="107" t="s">
        <v>2857</v>
      </c>
      <c r="AD311" s="17" t="s">
        <v>1753</v>
      </c>
      <c r="AE311" s="89">
        <v>43865</v>
      </c>
      <c r="AF311" s="91">
        <v>43894</v>
      </c>
      <c r="AG311" s="34">
        <f t="shared" si="289"/>
        <v>29</v>
      </c>
      <c r="AH311" s="44" t="s">
        <v>2953</v>
      </c>
      <c r="AJ311" s="17"/>
    </row>
    <row r="312" spans="1:36">
      <c r="A312" s="151" t="s">
        <v>2627</v>
      </c>
      <c r="B312" s="84">
        <v>13</v>
      </c>
      <c r="C312" s="84">
        <v>6</v>
      </c>
      <c r="D312" s="85">
        <v>-3</v>
      </c>
      <c r="E312" s="85">
        <v>-5</v>
      </c>
      <c r="F312" s="7">
        <v>7.65</v>
      </c>
      <c r="G312" s="86">
        <v>4104</v>
      </c>
      <c r="H312" s="53" t="s">
        <v>560</v>
      </c>
      <c r="I312" s="23" t="s">
        <v>1171</v>
      </c>
      <c r="J312" s="371">
        <v>47.62</v>
      </c>
      <c r="K312" s="371">
        <v>6.86</v>
      </c>
      <c r="L312" s="371">
        <v>1.94</v>
      </c>
      <c r="N312" s="365">
        <f t="shared" si="286"/>
        <v>68.58</v>
      </c>
      <c r="Q312" s="326" t="str">
        <f>IFERROR(VLOOKUP($G312,主力整理!$A$2:$G$2301,6,0),"0")</f>
        <v>0</v>
      </c>
      <c r="T312" s="339">
        <f t="shared" ref="T312:T318" si="291">SUM(R312:S312)</f>
        <v>0</v>
      </c>
      <c r="V312" s="371">
        <v>12.16</v>
      </c>
      <c r="W312" s="35">
        <v>3</v>
      </c>
      <c r="X312" s="100">
        <f t="shared" si="285"/>
        <v>5.6179775280898875E-2</v>
      </c>
      <c r="Y312" s="37">
        <v>53.4</v>
      </c>
      <c r="Z312" s="69">
        <v>45</v>
      </c>
      <c r="AA312" s="16">
        <f t="shared" si="287"/>
        <v>8.3999999999999986</v>
      </c>
      <c r="AB312" s="66">
        <f t="shared" si="288"/>
        <v>0.18666666666666665</v>
      </c>
      <c r="AC312" s="107" t="s">
        <v>2805</v>
      </c>
      <c r="AD312" s="23" t="s">
        <v>1171</v>
      </c>
      <c r="AE312" s="89">
        <v>43850</v>
      </c>
      <c r="AF312" s="91">
        <v>43881</v>
      </c>
      <c r="AG312" s="34">
        <f t="shared" si="289"/>
        <v>31</v>
      </c>
      <c r="AH312" s="44" t="s">
        <v>2261</v>
      </c>
      <c r="AJ312" s="23"/>
    </row>
    <row r="313" spans="1:36" ht="17.25" customHeight="1">
      <c r="A313" s="135" t="s">
        <v>2615</v>
      </c>
      <c r="B313" s="84">
        <v>63</v>
      </c>
      <c r="C313" s="84">
        <v>90</v>
      </c>
      <c r="D313" s="85">
        <v>-13</v>
      </c>
      <c r="E313" s="85">
        <v>-1</v>
      </c>
      <c r="F313" s="59">
        <v>27.51</v>
      </c>
      <c r="G313" s="84">
        <v>5278</v>
      </c>
      <c r="H313" s="4" t="s">
        <v>602</v>
      </c>
      <c r="I313" s="17" t="s">
        <v>1674</v>
      </c>
      <c r="J313" s="371">
        <v>44.5</v>
      </c>
      <c r="K313" s="77">
        <v>43.15</v>
      </c>
      <c r="L313" s="371"/>
      <c r="N313" s="365">
        <f t="shared" si="286"/>
        <v>130.51999999999998</v>
      </c>
      <c r="Q313" s="326" t="str">
        <f>IFERROR(VLOOKUP($G313,主力整理!$A$2:$G$2301,6,0),"0")</f>
        <v>0</v>
      </c>
      <c r="T313" s="339">
        <f t="shared" si="291"/>
        <v>0</v>
      </c>
      <c r="V313" s="371">
        <v>42.87</v>
      </c>
      <c r="W313" s="35">
        <v>5</v>
      </c>
      <c r="X313" s="59">
        <f t="shared" si="285"/>
        <v>3.2258064516129031E-2</v>
      </c>
      <c r="Y313" s="14">
        <v>155</v>
      </c>
      <c r="Z313" s="69">
        <v>106</v>
      </c>
      <c r="AA313" s="16">
        <f t="shared" si="287"/>
        <v>49</v>
      </c>
      <c r="AB313" s="66">
        <f t="shared" si="288"/>
        <v>0.46226415094339623</v>
      </c>
      <c r="AC313" s="107" t="s">
        <v>2804</v>
      </c>
      <c r="AD313" s="17" t="s">
        <v>1674</v>
      </c>
      <c r="AE313" s="89">
        <v>43850</v>
      </c>
      <c r="AF313" s="91">
        <v>43881</v>
      </c>
      <c r="AG313" s="34">
        <f t="shared" si="289"/>
        <v>31</v>
      </c>
      <c r="AH313" s="63" t="s">
        <v>2299</v>
      </c>
      <c r="AJ313" s="17"/>
    </row>
    <row r="314" spans="1:36">
      <c r="A314" s="151" t="s">
        <v>2754</v>
      </c>
      <c r="B314" s="98">
        <v>3719</v>
      </c>
      <c r="C314" s="84">
        <v>367</v>
      </c>
      <c r="D314" s="85">
        <v>-25</v>
      </c>
      <c r="E314" s="85">
        <v>-41</v>
      </c>
      <c r="F314" s="7">
        <v>3.87</v>
      </c>
      <c r="G314" s="84">
        <v>1598</v>
      </c>
      <c r="H314" s="53" t="s">
        <v>560</v>
      </c>
      <c r="I314" s="23" t="s">
        <v>1162</v>
      </c>
      <c r="J314" s="77">
        <v>77.87</v>
      </c>
      <c r="K314" s="371">
        <v>0.78</v>
      </c>
      <c r="L314" s="77">
        <v>49.99</v>
      </c>
      <c r="N314" s="365">
        <f t="shared" si="286"/>
        <v>158.43</v>
      </c>
      <c r="Q314" s="326" t="str">
        <f>IFERROR(VLOOKUP($G314,主力整理!$A$2:$G$2301,6,0),"0")</f>
        <v>0</v>
      </c>
      <c r="T314" s="339">
        <f t="shared" si="291"/>
        <v>0</v>
      </c>
      <c r="V314" s="371">
        <v>29.79</v>
      </c>
      <c r="W314" s="35">
        <v>0.7</v>
      </c>
      <c r="X314" s="100">
        <f t="shared" si="285"/>
        <v>1.8494055482166444E-2</v>
      </c>
      <c r="Y314" s="14">
        <v>37.85</v>
      </c>
      <c r="Z314" s="46">
        <v>39</v>
      </c>
      <c r="AA314" s="16">
        <f t="shared" si="287"/>
        <v>-1.1499999999999986</v>
      </c>
      <c r="AB314" s="80">
        <f t="shared" si="288"/>
        <v>-2.9487179487179452E-2</v>
      </c>
      <c r="AC314" s="144" t="s">
        <v>2875</v>
      </c>
      <c r="AD314" s="23" t="s">
        <v>1162</v>
      </c>
      <c r="AE314" s="89">
        <v>43846</v>
      </c>
      <c r="AF314" s="91">
        <v>43878</v>
      </c>
      <c r="AG314" s="34">
        <f t="shared" si="289"/>
        <v>32</v>
      </c>
      <c r="AH314" s="44" t="s">
        <v>2755</v>
      </c>
      <c r="AJ314" s="23"/>
    </row>
    <row r="315" spans="1:36" ht="17.25" customHeight="1">
      <c r="A315" s="151" t="s">
        <v>2306</v>
      </c>
      <c r="B315" s="84">
        <v>50</v>
      </c>
      <c r="C315" s="84">
        <v>68</v>
      </c>
      <c r="D315" s="85">
        <v>-17</v>
      </c>
      <c r="E315" s="84">
        <v>10</v>
      </c>
      <c r="F315" s="7">
        <v>4.5199999999999996</v>
      </c>
      <c r="G315" s="86">
        <v>2643</v>
      </c>
      <c r="H315" s="4" t="s">
        <v>551</v>
      </c>
      <c r="I315" s="17" t="s">
        <v>1470</v>
      </c>
      <c r="J315" s="77">
        <v>67.03</v>
      </c>
      <c r="K315" s="77">
        <v>0.75</v>
      </c>
      <c r="L315" s="371"/>
      <c r="N315" s="365">
        <f t="shared" si="286"/>
        <v>116.94</v>
      </c>
      <c r="Q315" s="326" t="str">
        <f>IFERROR(VLOOKUP($G315,主力整理!$A$2:$G$2301,6,0),"0")</f>
        <v>0</v>
      </c>
      <c r="T315" s="339">
        <f t="shared" si="291"/>
        <v>0</v>
      </c>
      <c r="V315" s="371">
        <v>49.16</v>
      </c>
      <c r="W315" s="35">
        <v>2</v>
      </c>
      <c r="X315" s="59">
        <f t="shared" ref="X315:X318" si="292">W315/Y315</f>
        <v>5.3475935828877004E-2</v>
      </c>
      <c r="Y315" s="37">
        <v>37.4</v>
      </c>
      <c r="Z315" s="69">
        <v>35</v>
      </c>
      <c r="AA315" s="16">
        <f t="shared" si="287"/>
        <v>2.3999999999999986</v>
      </c>
      <c r="AB315" s="66">
        <f t="shared" si="288"/>
        <v>6.8571428571428533E-2</v>
      </c>
      <c r="AC315" s="107" t="s">
        <v>2803</v>
      </c>
      <c r="AD315" s="17" t="s">
        <v>1470</v>
      </c>
      <c r="AE315" s="89">
        <v>43846</v>
      </c>
      <c r="AF315" s="91">
        <v>43878</v>
      </c>
      <c r="AG315" s="34">
        <f t="shared" si="289"/>
        <v>32</v>
      </c>
      <c r="AH315" s="44" t="s">
        <v>2284</v>
      </c>
      <c r="AJ315" s="17"/>
    </row>
    <row r="316" spans="1:36">
      <c r="A316" s="151" t="s">
        <v>2759</v>
      </c>
      <c r="B316" s="84">
        <v>5</v>
      </c>
      <c r="C316" s="84">
        <v>3</v>
      </c>
      <c r="D316" s="84">
        <v>32</v>
      </c>
      <c r="E316" s="85">
        <v>69</v>
      </c>
      <c r="F316" s="115">
        <v>-4580</v>
      </c>
      <c r="G316" s="84">
        <v>4168</v>
      </c>
      <c r="H316" s="53" t="s">
        <v>560</v>
      </c>
      <c r="I316" s="17" t="s">
        <v>1127</v>
      </c>
      <c r="J316" s="77">
        <v>35.770000000000003</v>
      </c>
      <c r="K316" s="77">
        <v>6.47</v>
      </c>
      <c r="L316" s="371"/>
      <c r="N316" s="365">
        <f t="shared" si="286"/>
        <v>54.050000000000004</v>
      </c>
      <c r="Q316" s="326">
        <f>IFERROR(VLOOKUP($G316,主力整理!$A$2:$G$2301,6,0),"0")</f>
        <v>1</v>
      </c>
      <c r="T316" s="339">
        <f t="shared" si="291"/>
        <v>0</v>
      </c>
      <c r="V316" s="371">
        <v>11.81</v>
      </c>
      <c r="W316" s="35">
        <v>0</v>
      </c>
      <c r="X316" s="100">
        <f t="shared" si="292"/>
        <v>0</v>
      </c>
      <c r="Y316" s="37">
        <v>19.600000000000001</v>
      </c>
      <c r="Z316" s="69">
        <v>20</v>
      </c>
      <c r="AA316" s="16">
        <f t="shared" si="287"/>
        <v>-0.39999999999999858</v>
      </c>
      <c r="AB316" s="80">
        <f t="shared" si="288"/>
        <v>-1.9999999999999928E-2</v>
      </c>
      <c r="AC316" s="144" t="s">
        <v>2802</v>
      </c>
      <c r="AD316" s="17" t="s">
        <v>1127</v>
      </c>
      <c r="AE316" s="89">
        <v>43846</v>
      </c>
      <c r="AF316" s="91">
        <v>43878</v>
      </c>
      <c r="AG316" s="34">
        <f t="shared" si="289"/>
        <v>32</v>
      </c>
      <c r="AH316" s="44" t="s">
        <v>2170</v>
      </c>
      <c r="AJ316" s="17"/>
    </row>
    <row r="317" spans="1:36">
      <c r="A317" s="151" t="s">
        <v>2491</v>
      </c>
      <c r="B317" s="84">
        <v>248</v>
      </c>
      <c r="C317" s="84">
        <v>276</v>
      </c>
      <c r="D317" s="84">
        <v>7</v>
      </c>
      <c r="E317" s="84">
        <v>16</v>
      </c>
      <c r="F317" s="7">
        <v>9.15</v>
      </c>
      <c r="G317" s="86">
        <v>3680</v>
      </c>
      <c r="H317" s="55" t="s">
        <v>558</v>
      </c>
      <c r="I317" s="17" t="s">
        <v>656</v>
      </c>
      <c r="J317" s="371">
        <v>59.01</v>
      </c>
      <c r="K317" s="371">
        <v>5.21</v>
      </c>
      <c r="L317" s="371">
        <v>18.37</v>
      </c>
      <c r="N317" s="365">
        <f t="shared" si="286"/>
        <v>106.15</v>
      </c>
      <c r="Q317" s="326" t="str">
        <f>IFERROR(VLOOKUP($G317,主力整理!$A$2:$G$2301,6,0),"0")</f>
        <v>0</v>
      </c>
      <c r="T317" s="339">
        <f t="shared" si="291"/>
        <v>0</v>
      </c>
      <c r="V317" s="371">
        <v>23.56</v>
      </c>
      <c r="W317" s="35">
        <v>0.25</v>
      </c>
      <c r="X317" s="100">
        <f t="shared" si="292"/>
        <v>1.4792899408284023E-3</v>
      </c>
      <c r="Y317" s="37">
        <v>169</v>
      </c>
      <c r="Z317" s="69">
        <v>110</v>
      </c>
      <c r="AA317" s="16">
        <f t="shared" si="287"/>
        <v>59</v>
      </c>
      <c r="AB317" s="66">
        <f t="shared" si="288"/>
        <v>0.53636363636363638</v>
      </c>
      <c r="AC317" s="105" t="s">
        <v>2801</v>
      </c>
      <c r="AD317" s="17" t="s">
        <v>656</v>
      </c>
      <c r="AE317" s="89">
        <v>43838</v>
      </c>
      <c r="AF317" s="91">
        <v>43871</v>
      </c>
      <c r="AG317" s="34">
        <f t="shared" si="289"/>
        <v>33</v>
      </c>
      <c r="AH317" s="44" t="s">
        <v>2654</v>
      </c>
      <c r="AJ317" s="17"/>
    </row>
    <row r="318" spans="1:36">
      <c r="A318" s="135" t="s">
        <v>2740</v>
      </c>
      <c r="B318" s="84">
        <v>39</v>
      </c>
      <c r="C318" s="84">
        <v>28</v>
      </c>
      <c r="D318" s="85">
        <v>-4</v>
      </c>
      <c r="E318" s="84">
        <v>12</v>
      </c>
      <c r="F318" s="59">
        <v>16.62</v>
      </c>
      <c r="G318" s="84">
        <v>4580</v>
      </c>
      <c r="H318" s="4" t="s">
        <v>544</v>
      </c>
      <c r="I318" s="17" t="s">
        <v>2741</v>
      </c>
      <c r="J318" s="371">
        <v>60.62</v>
      </c>
      <c r="K318" s="77">
        <v>0.37</v>
      </c>
      <c r="L318" s="371"/>
      <c r="N318" s="365">
        <f t="shared" si="286"/>
        <v>74.209999999999994</v>
      </c>
      <c r="Q318" s="326" t="str">
        <f>IFERROR(VLOOKUP($G318,主力整理!$A$2:$G$2301,6,0),"0")</f>
        <v>0</v>
      </c>
      <c r="T318" s="339">
        <f t="shared" si="291"/>
        <v>0</v>
      </c>
      <c r="V318" s="371">
        <v>13.22</v>
      </c>
      <c r="W318" s="35">
        <v>3.2</v>
      </c>
      <c r="X318" s="100">
        <f t="shared" si="292"/>
        <v>3.2128514056224904E-2</v>
      </c>
      <c r="Y318" s="37">
        <v>99.6</v>
      </c>
      <c r="Z318" s="69">
        <v>78</v>
      </c>
      <c r="AA318" s="16">
        <f t="shared" si="287"/>
        <v>21.599999999999994</v>
      </c>
      <c r="AB318" s="66">
        <f t="shared" si="288"/>
        <v>0.27692307692307683</v>
      </c>
      <c r="AC318" s="105" t="s">
        <v>2800</v>
      </c>
      <c r="AD318" s="17" t="s">
        <v>2741</v>
      </c>
      <c r="AE318" s="89">
        <v>43836</v>
      </c>
      <c r="AF318" s="91">
        <v>43867</v>
      </c>
      <c r="AG318" s="34">
        <f t="shared" si="289"/>
        <v>31</v>
      </c>
      <c r="AH318" s="50" t="s">
        <v>2742</v>
      </c>
      <c r="AJ318" s="17"/>
    </row>
    <row r="319" spans="1:36">
      <c r="A319" s="151"/>
      <c r="B319" s="84"/>
      <c r="C319" s="98"/>
      <c r="D319" s="84"/>
      <c r="E319" s="98"/>
      <c r="F319" s="7"/>
      <c r="H319" s="54"/>
      <c r="I319" s="17"/>
      <c r="J319" s="77"/>
      <c r="K319" s="77"/>
      <c r="L319" s="371"/>
      <c r="N319" s="365"/>
      <c r="W319" s="35"/>
      <c r="X319" s="59"/>
      <c r="Y319" s="37"/>
      <c r="Z319" s="46"/>
      <c r="AA319" s="16"/>
      <c r="AB319" s="80"/>
      <c r="AC319" s="106"/>
      <c r="AD319" s="17"/>
      <c r="AG319" s="34"/>
      <c r="AH319" s="286"/>
      <c r="AJ319" s="17"/>
    </row>
    <row r="320" spans="1:36">
      <c r="A320" s="151"/>
      <c r="B320" s="84"/>
      <c r="C320" s="84"/>
      <c r="D320" s="84"/>
      <c r="E320" s="84"/>
      <c r="F320" s="7"/>
      <c r="H320" s="4"/>
      <c r="I320" s="23"/>
      <c r="J320" s="77"/>
      <c r="K320" s="77"/>
      <c r="L320" s="371"/>
      <c r="N320" s="365"/>
      <c r="W320" s="35"/>
      <c r="X320" s="100"/>
      <c r="Y320" s="37"/>
      <c r="Z320" s="46"/>
      <c r="AA320" s="16"/>
      <c r="AB320" s="66"/>
      <c r="AC320" s="107"/>
      <c r="AD320" s="23"/>
      <c r="AG320" s="34"/>
      <c r="AH320" s="286"/>
      <c r="AJ320" s="23"/>
    </row>
    <row r="321" spans="1:36" ht="17.25" customHeight="1">
      <c r="B321" s="84"/>
      <c r="C321" s="84"/>
      <c r="D321" s="84"/>
      <c r="E321" s="85"/>
      <c r="F321" s="59"/>
      <c r="H321" s="4"/>
      <c r="I321" s="23"/>
      <c r="J321" s="77"/>
      <c r="K321" s="77"/>
      <c r="N321" s="365"/>
      <c r="W321" s="35"/>
      <c r="X321" s="100"/>
      <c r="Y321" s="37"/>
      <c r="Z321" s="69"/>
      <c r="AA321" s="16"/>
      <c r="AB321" s="80"/>
      <c r="AC321" s="144"/>
      <c r="AD321" s="23"/>
      <c r="AG321" s="34"/>
      <c r="AH321" s="286"/>
      <c r="AJ321" s="23"/>
    </row>
    <row r="322" spans="1:36" ht="17.25" customHeight="1">
      <c r="B322" s="84"/>
      <c r="C322" s="84"/>
      <c r="D322" s="84"/>
      <c r="E322" s="85"/>
      <c r="F322" s="59"/>
      <c r="H322" s="4"/>
      <c r="I322" s="23"/>
      <c r="J322" s="77"/>
      <c r="K322" s="77"/>
      <c r="N322" s="365"/>
      <c r="W322" s="35"/>
      <c r="X322" s="100"/>
      <c r="Y322" s="37"/>
      <c r="Z322" s="69"/>
      <c r="AA322" s="16"/>
      <c r="AB322" s="80"/>
      <c r="AC322" s="144"/>
      <c r="AD322" s="23"/>
      <c r="AG322" s="34"/>
      <c r="AH322" s="286"/>
      <c r="AJ322" s="23"/>
    </row>
    <row r="323" spans="1:36">
      <c r="A323" s="151"/>
      <c r="B323" s="85"/>
      <c r="C323" s="85"/>
      <c r="D323" s="85"/>
      <c r="E323" s="84"/>
      <c r="F323" s="7"/>
      <c r="H323" s="4"/>
      <c r="I323" s="17"/>
      <c r="J323" s="77"/>
      <c r="K323" s="371"/>
      <c r="N323" s="365"/>
      <c r="W323" s="35"/>
      <c r="X323" s="59"/>
      <c r="Y323" s="14"/>
      <c r="Z323" s="69"/>
      <c r="AA323" s="16"/>
      <c r="AB323" s="66"/>
      <c r="AC323" s="107"/>
      <c r="AD323" s="17"/>
      <c r="AG323" s="34"/>
      <c r="AH323" s="286"/>
      <c r="AJ323" s="17"/>
    </row>
    <row r="324" spans="1:36">
      <c r="A324" s="151"/>
      <c r="B324" s="84"/>
      <c r="C324" s="84"/>
      <c r="D324" s="85"/>
      <c r="E324" s="84"/>
      <c r="F324" s="7"/>
      <c r="H324" s="55"/>
      <c r="I324" s="17"/>
      <c r="J324" s="77"/>
      <c r="K324" s="77"/>
      <c r="N324" s="365"/>
      <c r="W324" s="35"/>
      <c r="X324" s="100"/>
      <c r="Y324" s="37"/>
      <c r="Z324" s="69"/>
      <c r="AA324" s="16"/>
      <c r="AB324" s="66"/>
      <c r="AC324" s="105"/>
      <c r="AD324" s="17"/>
      <c r="AG324" s="34"/>
      <c r="AH324" s="286"/>
      <c r="AJ324" s="17"/>
    </row>
    <row r="325" spans="1:36">
      <c r="B325" s="85"/>
      <c r="C325" s="85"/>
      <c r="D325" s="84"/>
      <c r="E325" s="85"/>
      <c r="F325" s="59"/>
      <c r="H325" s="4"/>
      <c r="I325" s="23"/>
      <c r="J325" s="371"/>
      <c r="K325" s="77"/>
      <c r="L325" s="371"/>
      <c r="N325" s="365"/>
      <c r="W325" s="35"/>
      <c r="X325" s="100"/>
      <c r="Y325" s="37"/>
      <c r="Z325" s="69"/>
      <c r="AA325" s="16"/>
      <c r="AB325" s="66"/>
      <c r="AC325" s="107"/>
      <c r="AD325" s="23"/>
      <c r="AG325" s="34"/>
      <c r="AH325" s="286"/>
      <c r="AJ325" s="23"/>
    </row>
    <row r="326" spans="1:36">
      <c r="A326" s="151"/>
      <c r="B326" s="84"/>
      <c r="C326" s="84"/>
      <c r="D326" s="85"/>
      <c r="E326" s="84"/>
      <c r="F326" s="7"/>
      <c r="H326" s="4"/>
      <c r="I326" s="23"/>
      <c r="J326" s="77"/>
      <c r="K326" s="77"/>
      <c r="N326" s="365"/>
      <c r="W326" s="35"/>
      <c r="X326" s="100"/>
      <c r="Y326" s="37"/>
      <c r="Z326" s="69"/>
      <c r="AA326" s="16"/>
      <c r="AB326" s="80"/>
      <c r="AC326" s="106"/>
      <c r="AD326" s="23"/>
      <c r="AG326" s="34"/>
      <c r="AH326" s="286"/>
      <c r="AJ326" s="23"/>
    </row>
    <row r="327" spans="1:36">
      <c r="A327" s="151"/>
      <c r="B327" s="85"/>
      <c r="C327" s="84"/>
      <c r="D327" s="85"/>
      <c r="E327" s="85"/>
      <c r="F327" s="7"/>
      <c r="H327" s="50"/>
      <c r="I327" s="23"/>
      <c r="J327" s="371"/>
      <c r="K327" s="371"/>
      <c r="N327" s="365"/>
      <c r="W327" s="35"/>
      <c r="X327" s="100"/>
      <c r="Y327" s="37"/>
      <c r="Z327" s="69"/>
      <c r="AA327" s="16"/>
      <c r="AB327" s="80"/>
      <c r="AC327" s="144"/>
      <c r="AD327" s="23"/>
      <c r="AG327" s="34"/>
      <c r="AJ327" s="23"/>
    </row>
    <row r="328" spans="1:36">
      <c r="A328" s="151"/>
      <c r="B328" s="85"/>
      <c r="C328" s="85"/>
      <c r="D328" s="85"/>
      <c r="E328" s="84"/>
      <c r="F328" s="7"/>
      <c r="H328" s="4"/>
      <c r="I328" s="23"/>
      <c r="J328" s="77"/>
      <c r="K328" s="77"/>
      <c r="N328" s="365"/>
      <c r="W328" s="35"/>
      <c r="X328" s="59"/>
      <c r="Y328" s="37"/>
      <c r="Z328" s="69"/>
      <c r="AA328" s="16"/>
      <c r="AB328" s="3"/>
      <c r="AC328" s="107"/>
      <c r="AD328" s="23"/>
      <c r="AG328" s="34"/>
      <c r="AJ328" s="23"/>
    </row>
    <row r="1284" spans="15:15">
      <c r="O1284" s="370"/>
    </row>
    <row r="1294" spans="15:15">
      <c r="O1294" s="370"/>
    </row>
    <row r="1298" spans="15:15">
      <c r="O1298" s="370"/>
    </row>
    <row r="1303" spans="15:15">
      <c r="O1303" s="370"/>
    </row>
    <row r="1304" spans="15:15">
      <c r="O1304" s="370"/>
    </row>
    <row r="1305" spans="15:15">
      <c r="O1305" s="370"/>
    </row>
    <row r="1307" spans="15:15">
      <c r="O1307" s="370"/>
    </row>
    <row r="1308" spans="15:15">
      <c r="O1308" s="370"/>
    </row>
    <row r="1310" spans="15:15">
      <c r="O1310" s="370"/>
    </row>
    <row r="1312" spans="15:15">
      <c r="O1312" s="370"/>
    </row>
    <row r="1313" spans="15:15">
      <c r="O1313" s="370"/>
    </row>
    <row r="1314" spans="15:15">
      <c r="O1314" s="370"/>
    </row>
    <row r="1315" spans="15:15">
      <c r="O1315" s="370"/>
    </row>
    <row r="1316" spans="15:15">
      <c r="O1316" s="370"/>
    </row>
    <row r="1317" spans="15:15">
      <c r="O1317" s="370"/>
    </row>
    <row r="1318" spans="15:15">
      <c r="O1318" s="370"/>
    </row>
    <row r="1319" spans="15:15">
      <c r="O1319" s="370"/>
    </row>
    <row r="1328" spans="15:15">
      <c r="O1328" s="370"/>
    </row>
    <row r="1329" spans="15:15">
      <c r="O1329" s="370"/>
    </row>
    <row r="1330" spans="15:15">
      <c r="O1330" s="370"/>
    </row>
    <row r="1332" spans="15:15">
      <c r="O1332" s="370"/>
    </row>
    <row r="1333" spans="15:15">
      <c r="O1333" s="370"/>
    </row>
    <row r="1334" spans="15:15">
      <c r="O1334" s="370"/>
    </row>
    <row r="1335" spans="15:15">
      <c r="O1335" s="370"/>
    </row>
    <row r="1461" spans="15:15">
      <c r="O1461" s="370"/>
    </row>
    <row r="1471" spans="15:15">
      <c r="O1471" s="370"/>
    </row>
    <row r="1475" spans="15:15">
      <c r="O1475" s="370"/>
    </row>
    <row r="1480" spans="15:15">
      <c r="O1480" s="370"/>
    </row>
    <row r="1481" spans="15:15">
      <c r="O1481" s="370"/>
    </row>
    <row r="1482" spans="15:15">
      <c r="O1482" s="370"/>
    </row>
    <row r="1484" spans="15:15">
      <c r="O1484" s="370"/>
    </row>
    <row r="1485" spans="15:15">
      <c r="O1485" s="370"/>
    </row>
    <row r="1487" spans="15:15">
      <c r="O1487" s="370"/>
    </row>
    <row r="1489" spans="15:15">
      <c r="O1489" s="370"/>
    </row>
    <row r="1490" spans="15:15">
      <c r="O1490" s="370"/>
    </row>
    <row r="1491" spans="15:15">
      <c r="O1491" s="370"/>
    </row>
    <row r="1492" spans="15:15">
      <c r="O1492" s="370"/>
    </row>
    <row r="1493" spans="15:15">
      <c r="O1493" s="370"/>
    </row>
    <row r="1494" spans="15:15">
      <c r="O1494" s="370"/>
    </row>
    <row r="1495" spans="15:15">
      <c r="O1495" s="370"/>
    </row>
    <row r="1496" spans="15:15">
      <c r="O1496" s="370"/>
    </row>
    <row r="1497" spans="15:15">
      <c r="O1497" s="370"/>
    </row>
    <row r="1498" spans="15:15">
      <c r="O1498" s="370"/>
    </row>
    <row r="1500" spans="15:15">
      <c r="O1500" s="370"/>
    </row>
    <row r="1501" spans="15:15">
      <c r="O1501" s="370"/>
    </row>
    <row r="1502" spans="15:15">
      <c r="O1502" s="370"/>
    </row>
    <row r="1503" spans="15:15">
      <c r="O1503" s="370"/>
    </row>
    <row r="1504" spans="15:15">
      <c r="O1504" s="370"/>
    </row>
    <row r="1505" spans="15:15">
      <c r="O1505" s="370"/>
    </row>
    <row r="1506" spans="15:15">
      <c r="O1506" s="370"/>
    </row>
    <row r="1507" spans="15:15">
      <c r="O1507" s="370"/>
    </row>
    <row r="1509" spans="15:15">
      <c r="O1509" s="370"/>
    </row>
    <row r="1510" spans="15:15">
      <c r="O1510" s="370"/>
    </row>
    <row r="1511" spans="15:15">
      <c r="O1511" s="370"/>
    </row>
    <row r="1512" spans="15:15">
      <c r="O1512" s="370"/>
    </row>
    <row r="1513" spans="15:15">
      <c r="O1513" s="370"/>
    </row>
    <row r="1514" spans="15:15">
      <c r="O1514" s="370"/>
    </row>
    <row r="1515" spans="15:15">
      <c r="O1515" s="370"/>
    </row>
    <row r="1516" spans="15:15">
      <c r="O1516" s="370"/>
    </row>
    <row r="1517" spans="15:15">
      <c r="O1517" s="370"/>
    </row>
    <row r="1518" spans="15:15">
      <c r="O1518" s="370"/>
    </row>
    <row r="1519" spans="15:15">
      <c r="O1519" s="370"/>
    </row>
    <row r="1521" spans="15:15">
      <c r="O1521" s="370"/>
    </row>
    <row r="1522" spans="15:15">
      <c r="O1522" s="370"/>
    </row>
    <row r="1523" spans="15:15">
      <c r="O1523" s="370"/>
    </row>
    <row r="1524" spans="15:15">
      <c r="O1524" s="370"/>
    </row>
    <row r="1525" spans="15:15">
      <c r="O1525" s="370"/>
    </row>
    <row r="1526" spans="15:15">
      <c r="O1526" s="370"/>
    </row>
    <row r="1527" spans="15:15">
      <c r="O1527" s="370"/>
    </row>
    <row r="1528" spans="15:15">
      <c r="O1528" s="370"/>
    </row>
    <row r="1530" spans="15:15">
      <c r="O1530" s="370"/>
    </row>
    <row r="1531" spans="15:15">
      <c r="O1531" s="370"/>
    </row>
    <row r="1532" spans="15:15">
      <c r="O1532" s="370"/>
    </row>
    <row r="1533" spans="15:15">
      <c r="O1533" s="370"/>
    </row>
    <row r="1534" spans="15:15">
      <c r="O1534" s="370"/>
    </row>
    <row r="1535" spans="15:15">
      <c r="O1535" s="370"/>
    </row>
    <row r="1536" spans="15:15">
      <c r="O1536" s="370"/>
    </row>
    <row r="1537" spans="15:15">
      <c r="O1537" s="370"/>
    </row>
    <row r="1538" spans="15:15">
      <c r="O1538" s="370"/>
    </row>
    <row r="1539" spans="15:15">
      <c r="O1539" s="370"/>
    </row>
    <row r="1540" spans="15:15">
      <c r="O1540" s="370"/>
    </row>
    <row r="1541" spans="15:15">
      <c r="O1541" s="370"/>
    </row>
    <row r="1542" spans="15:15">
      <c r="O1542" s="370"/>
    </row>
    <row r="1543" spans="15:15">
      <c r="O1543" s="370"/>
    </row>
    <row r="1544" spans="15:15">
      <c r="O1544" s="370"/>
    </row>
    <row r="1545" spans="15:15">
      <c r="O1545" s="370"/>
    </row>
    <row r="1546" spans="15:15">
      <c r="O1546" s="370"/>
    </row>
    <row r="1547" spans="15:15">
      <c r="O1547" s="370"/>
    </row>
    <row r="1548" spans="15:15">
      <c r="O1548" s="370"/>
    </row>
    <row r="1549" spans="15:15">
      <c r="O1549" s="370"/>
    </row>
    <row r="1550" spans="15:15">
      <c r="O1550" s="370"/>
    </row>
    <row r="1551" spans="15:15">
      <c r="O1551" s="370"/>
    </row>
    <row r="1552" spans="15:15">
      <c r="O1552" s="370"/>
    </row>
    <row r="1553" spans="15:15">
      <c r="O1553" s="370"/>
    </row>
    <row r="1554" spans="15:15">
      <c r="O1554" s="370"/>
    </row>
    <row r="1555" spans="15:15">
      <c r="O1555" s="370"/>
    </row>
    <row r="1556" spans="15:15">
      <c r="O1556" s="370"/>
    </row>
    <row r="1557" spans="15:15">
      <c r="O1557" s="370"/>
    </row>
    <row r="1558" spans="15:15">
      <c r="O1558" s="370"/>
    </row>
    <row r="1559" spans="15:15">
      <c r="O1559" s="370"/>
    </row>
    <row r="1560" spans="15:15">
      <c r="O1560" s="370"/>
    </row>
    <row r="1561" spans="15:15">
      <c r="O1561" s="370"/>
    </row>
    <row r="1562" spans="15:15">
      <c r="O1562" s="370"/>
    </row>
    <row r="1563" spans="15:15">
      <c r="O1563" s="370"/>
    </row>
    <row r="1564" spans="15:15">
      <c r="O1564" s="370"/>
    </row>
    <row r="1565" spans="15:15">
      <c r="O1565" s="370"/>
    </row>
    <row r="1566" spans="15:15">
      <c r="O1566" s="370"/>
    </row>
    <row r="1567" spans="15:15">
      <c r="O1567" s="370"/>
    </row>
    <row r="1568" spans="15:15">
      <c r="O1568" s="370"/>
    </row>
    <row r="1569" spans="15:15">
      <c r="O1569" s="370"/>
    </row>
    <row r="1570" spans="15:15">
      <c r="O1570" s="370"/>
    </row>
    <row r="1571" spans="15:15">
      <c r="O1571" s="370"/>
    </row>
    <row r="1572" spans="15:15">
      <c r="O1572" s="370"/>
    </row>
    <row r="1573" spans="15:15">
      <c r="O1573" s="370"/>
    </row>
    <row r="1574" spans="15:15">
      <c r="O1574" s="370"/>
    </row>
    <row r="1575" spans="15:15">
      <c r="O1575" s="370"/>
    </row>
    <row r="1576" spans="15:15">
      <c r="O1576" s="370"/>
    </row>
    <row r="1577" spans="15:15">
      <c r="O1577" s="370"/>
    </row>
    <row r="1578" spans="15:15">
      <c r="O1578" s="370"/>
    </row>
    <row r="1579" spans="15:15">
      <c r="O1579" s="370"/>
    </row>
    <row r="1580" spans="15:15">
      <c r="O1580" s="370"/>
    </row>
    <row r="1581" spans="15:15">
      <c r="O1581" s="370"/>
    </row>
    <row r="1582" spans="15:15">
      <c r="O1582" s="370"/>
    </row>
    <row r="1583" spans="15:15">
      <c r="O1583" s="370"/>
    </row>
    <row r="1584" spans="15:15">
      <c r="O1584" s="370"/>
    </row>
    <row r="1585" spans="15:15">
      <c r="O1585" s="370"/>
    </row>
    <row r="1586" spans="15:15">
      <c r="O1586" s="370"/>
    </row>
    <row r="1587" spans="15:15">
      <c r="O1587" s="370"/>
    </row>
    <row r="1588" spans="15:15">
      <c r="O1588" s="370"/>
    </row>
    <row r="1589" spans="15:15">
      <c r="O1589" s="370"/>
    </row>
    <row r="1590" spans="15:15">
      <c r="O1590" s="370"/>
    </row>
    <row r="1591" spans="15:15">
      <c r="O1591" s="370"/>
    </row>
    <row r="1592" spans="15:15">
      <c r="O1592" s="370"/>
    </row>
    <row r="1593" spans="15:15">
      <c r="O1593" s="370"/>
    </row>
    <row r="1594" spans="15:15">
      <c r="O1594" s="370"/>
    </row>
    <row r="1595" spans="15:15">
      <c r="O1595" s="370"/>
    </row>
    <row r="1596" spans="15:15">
      <c r="O1596" s="370"/>
    </row>
    <row r="1597" spans="15:15">
      <c r="O1597" s="370"/>
    </row>
    <row r="1598" spans="15:15">
      <c r="O1598" s="370"/>
    </row>
    <row r="1599" spans="15:15">
      <c r="O1599" s="370"/>
    </row>
    <row r="1600" spans="15:15">
      <c r="O1600" s="370"/>
    </row>
    <row r="1601" spans="15:15">
      <c r="O1601" s="370"/>
    </row>
    <row r="1602" spans="15:15">
      <c r="O1602" s="370"/>
    </row>
    <row r="1603" spans="15:15">
      <c r="O1603" s="370"/>
    </row>
    <row r="1604" spans="15:15">
      <c r="O1604" s="370"/>
    </row>
    <row r="1605" spans="15:15">
      <c r="O1605" s="370"/>
    </row>
    <row r="1606" spans="15:15">
      <c r="O1606" s="370"/>
    </row>
    <row r="1607" spans="15:15">
      <c r="O1607" s="370"/>
    </row>
    <row r="1608" spans="15:15">
      <c r="O1608" s="370"/>
    </row>
    <row r="1609" spans="15:15">
      <c r="O1609" s="370"/>
    </row>
    <row r="1610" spans="15:15">
      <c r="O1610" s="370"/>
    </row>
    <row r="1611" spans="15:15">
      <c r="O1611" s="370"/>
    </row>
    <row r="1612" spans="15:15">
      <c r="O1612" s="370"/>
    </row>
    <row r="1613" spans="15:15">
      <c r="O1613" s="370"/>
    </row>
    <row r="1614" spans="15:15">
      <c r="O1614" s="370"/>
    </row>
    <row r="1615" spans="15:15">
      <c r="O1615" s="370"/>
    </row>
    <row r="1616" spans="15:15">
      <c r="O1616" s="370"/>
    </row>
    <row r="1617" spans="15:15">
      <c r="O1617" s="370"/>
    </row>
    <row r="1618" spans="15:15">
      <c r="O1618" s="370"/>
    </row>
    <row r="1619" spans="15:15">
      <c r="O1619" s="370"/>
    </row>
    <row r="1620" spans="15:15">
      <c r="O1620" s="370"/>
    </row>
    <row r="1621" spans="15:15">
      <c r="O1621" s="370"/>
    </row>
    <row r="1622" spans="15:15">
      <c r="O1622" s="370"/>
    </row>
    <row r="1623" spans="15:15">
      <c r="O1623" s="370"/>
    </row>
    <row r="1624" spans="15:15">
      <c r="O1624" s="370"/>
    </row>
    <row r="1625" spans="15:15">
      <c r="O1625" s="370"/>
    </row>
    <row r="1626" spans="15:15">
      <c r="O1626" s="370"/>
    </row>
    <row r="1627" spans="15:15">
      <c r="O1627" s="370"/>
    </row>
    <row r="1628" spans="15:15">
      <c r="O1628" s="370"/>
    </row>
    <row r="1629" spans="15:15">
      <c r="O1629" s="370"/>
    </row>
    <row r="1630" spans="15:15">
      <c r="O1630" s="370"/>
    </row>
    <row r="1631" spans="15:15">
      <c r="O1631" s="370"/>
    </row>
    <row r="1632" spans="15:15">
      <c r="O1632" s="370"/>
    </row>
    <row r="1633" spans="15:15">
      <c r="O1633" s="370"/>
    </row>
    <row r="1634" spans="15:15">
      <c r="O1634" s="370"/>
    </row>
    <row r="1635" spans="15:15">
      <c r="O1635" s="370"/>
    </row>
    <row r="1636" spans="15:15">
      <c r="O1636" s="370"/>
    </row>
    <row r="1637" spans="15:15">
      <c r="O1637" s="370"/>
    </row>
    <row r="1638" spans="15:15">
      <c r="O1638" s="370"/>
    </row>
    <row r="1639" spans="15:15">
      <c r="O1639" s="370"/>
    </row>
    <row r="1640" spans="15:15">
      <c r="O1640" s="370"/>
    </row>
    <row r="1641" spans="15:15">
      <c r="O1641" s="370"/>
    </row>
    <row r="1642" spans="15:15">
      <c r="O1642" s="370"/>
    </row>
    <row r="1643" spans="15:15">
      <c r="O1643" s="370"/>
    </row>
    <row r="1644" spans="15:15">
      <c r="O1644" s="370"/>
    </row>
    <row r="1645" spans="15:15">
      <c r="O1645" s="370"/>
    </row>
    <row r="1646" spans="15:15">
      <c r="O1646" s="370"/>
    </row>
    <row r="1647" spans="15:15">
      <c r="O1647" s="370"/>
    </row>
    <row r="1648" spans="15:15">
      <c r="O1648" s="370"/>
    </row>
    <row r="1649" spans="15:15">
      <c r="O1649" s="370"/>
    </row>
    <row r="1650" spans="15:15">
      <c r="O1650" s="370"/>
    </row>
    <row r="1651" spans="15:15">
      <c r="O1651" s="370"/>
    </row>
    <row r="1652" spans="15:15">
      <c r="O1652" s="370"/>
    </row>
    <row r="1653" spans="15:15">
      <c r="O1653" s="370"/>
    </row>
    <row r="1654" spans="15:15">
      <c r="O1654" s="370"/>
    </row>
    <row r="1655" spans="15:15">
      <c r="O1655" s="370"/>
    </row>
    <row r="1656" spans="15:15">
      <c r="O1656" s="370"/>
    </row>
    <row r="1657" spans="15:15">
      <c r="O1657" s="370"/>
    </row>
    <row r="1658" spans="15:15">
      <c r="O1658" s="370"/>
    </row>
    <row r="1659" spans="15:15">
      <c r="O1659" s="370"/>
    </row>
    <row r="1660" spans="15:15">
      <c r="O1660" s="370"/>
    </row>
    <row r="1661" spans="15:15">
      <c r="O1661" s="370"/>
    </row>
    <row r="1662" spans="15:15">
      <c r="O1662" s="370"/>
    </row>
    <row r="1663" spans="15:15">
      <c r="O1663" s="370"/>
    </row>
    <row r="1664" spans="15:15">
      <c r="O1664" s="370"/>
    </row>
    <row r="1665" spans="15:15">
      <c r="O1665" s="370"/>
    </row>
    <row r="1666" spans="15:15">
      <c r="O1666" s="370"/>
    </row>
    <row r="1667" spans="15:15">
      <c r="O1667" s="370"/>
    </row>
    <row r="1668" spans="15:15">
      <c r="O1668" s="370"/>
    </row>
    <row r="1669" spans="15:15">
      <c r="O1669" s="370"/>
    </row>
    <row r="1670" spans="15:15">
      <c r="O1670" s="370"/>
    </row>
    <row r="1671" spans="15:15">
      <c r="O1671" s="370"/>
    </row>
    <row r="1672" spans="15:15">
      <c r="O1672" s="370"/>
    </row>
    <row r="1673" spans="15:15">
      <c r="O1673" s="370"/>
    </row>
    <row r="1674" spans="15:15">
      <c r="O1674" s="370"/>
    </row>
    <row r="1675" spans="15:15">
      <c r="O1675" s="370"/>
    </row>
    <row r="1676" spans="15:15">
      <c r="O1676" s="370"/>
    </row>
    <row r="1677" spans="15:15">
      <c r="O1677" s="370"/>
    </row>
    <row r="1678" spans="15:15">
      <c r="O1678" s="370"/>
    </row>
    <row r="1679" spans="15:15">
      <c r="O1679" s="370"/>
    </row>
    <row r="1680" spans="15:15">
      <c r="O1680" s="370"/>
    </row>
    <row r="1681" spans="15:15">
      <c r="O1681" s="370"/>
    </row>
    <row r="1682" spans="15:15">
      <c r="O1682" s="370"/>
    </row>
    <row r="1683" spans="15:15">
      <c r="O1683" s="370"/>
    </row>
    <row r="1684" spans="15:15">
      <c r="O1684" s="370"/>
    </row>
    <row r="1685" spans="15:15">
      <c r="O1685" s="370"/>
    </row>
    <row r="1686" spans="15:15">
      <c r="O1686" s="370"/>
    </row>
    <row r="1687" spans="15:15">
      <c r="O1687" s="370"/>
    </row>
    <row r="1688" spans="15:15">
      <c r="O1688" s="370"/>
    </row>
    <row r="1689" spans="15:15">
      <c r="O1689" s="370"/>
    </row>
    <row r="1690" spans="15:15">
      <c r="O1690" s="370"/>
    </row>
    <row r="1691" spans="15:15">
      <c r="O1691" s="370"/>
    </row>
    <row r="1692" spans="15:15">
      <c r="O1692" s="370"/>
    </row>
    <row r="1693" spans="15:15">
      <c r="O1693" s="370"/>
    </row>
    <row r="1694" spans="15:15">
      <c r="O1694" s="370"/>
    </row>
    <row r="1695" spans="15:15">
      <c r="O1695" s="370"/>
    </row>
    <row r="1696" spans="15:15">
      <c r="O1696" s="370"/>
    </row>
    <row r="1697" spans="15:15">
      <c r="O1697" s="370"/>
    </row>
    <row r="1698" spans="15:15">
      <c r="O1698" s="370"/>
    </row>
    <row r="1699" spans="15:15">
      <c r="O1699" s="370"/>
    </row>
    <row r="1700" spans="15:15">
      <c r="O1700" s="370"/>
    </row>
    <row r="1701" spans="15:15">
      <c r="O1701" s="370"/>
    </row>
    <row r="1702" spans="15:15">
      <c r="O1702" s="370"/>
    </row>
    <row r="1703" spans="15:15">
      <c r="O1703" s="370"/>
    </row>
    <row r="1704" spans="15:15">
      <c r="O1704" s="370"/>
    </row>
    <row r="1705" spans="15:15">
      <c r="O1705" s="370"/>
    </row>
    <row r="1706" spans="15:15">
      <c r="O1706" s="370"/>
    </row>
    <row r="1707" spans="15:15">
      <c r="O1707" s="370"/>
    </row>
    <row r="1708" spans="15:15">
      <c r="O1708" s="370"/>
    </row>
    <row r="1709" spans="15:15">
      <c r="O1709" s="370"/>
    </row>
    <row r="1710" spans="15:15">
      <c r="O1710" s="370"/>
    </row>
    <row r="1711" spans="15:15">
      <c r="O1711" s="370"/>
    </row>
    <row r="1712" spans="15:15">
      <c r="O1712" s="370"/>
    </row>
    <row r="1713" spans="15:23">
      <c r="O1713" s="370"/>
    </row>
    <row r="1714" spans="15:23">
      <c r="O1714" s="370"/>
    </row>
    <row r="1715" spans="15:23">
      <c r="O1715" s="370"/>
    </row>
    <row r="1716" spans="15:23">
      <c r="O1716" s="370"/>
    </row>
    <row r="1717" spans="15:23">
      <c r="O1717" s="370"/>
    </row>
    <row r="1718" spans="15:23">
      <c r="O1718" s="370"/>
    </row>
    <row r="1719" spans="15:23">
      <c r="O1719" s="370"/>
    </row>
    <row r="1720" spans="15:23">
      <c r="O1720" s="370"/>
    </row>
    <row r="1721" spans="15:23">
      <c r="O1721" s="370"/>
    </row>
    <row r="1722" spans="15:23">
      <c r="O1722" s="370"/>
    </row>
    <row r="1723" spans="15:23">
      <c r="O1723" s="370"/>
    </row>
    <row r="1724" spans="15:23" ht="26.4">
      <c r="O1724" s="370"/>
      <c r="W1724" s="64" ph="1"/>
    </row>
    <row r="1725" spans="15:23">
      <c r="O1725" s="370"/>
    </row>
    <row r="1726" spans="15:23">
      <c r="O1726" s="370"/>
    </row>
    <row r="1727" spans="15:23">
      <c r="O1727" s="370"/>
    </row>
    <row r="1728" spans="15:23">
      <c r="O1728" s="370"/>
    </row>
    <row r="1729" spans="15:23">
      <c r="O1729" s="370"/>
    </row>
    <row r="1730" spans="15:23">
      <c r="O1730" s="370"/>
    </row>
    <row r="1731" spans="15:23">
      <c r="O1731" s="370"/>
    </row>
    <row r="1732" spans="15:23">
      <c r="O1732" s="370"/>
    </row>
    <row r="1733" spans="15:23">
      <c r="O1733" s="370"/>
    </row>
    <row r="1734" spans="15:23" ht="26.4">
      <c r="O1734" s="370"/>
      <c r="W1734" s="64" ph="1"/>
    </row>
    <row r="1735" spans="15:23">
      <c r="O1735" s="370"/>
    </row>
    <row r="1736" spans="15:23">
      <c r="O1736" s="370"/>
    </row>
    <row r="1737" spans="15:23">
      <c r="O1737" s="370"/>
    </row>
    <row r="1738" spans="15:23" ht="26.4">
      <c r="O1738" s="370"/>
      <c r="W1738" s="64" ph="1"/>
    </row>
    <row r="1739" spans="15:23">
      <c r="O1739" s="370"/>
    </row>
    <row r="1740" spans="15:23">
      <c r="O1740" s="370"/>
    </row>
    <row r="1741" spans="15:23">
      <c r="O1741" s="370"/>
    </row>
    <row r="1742" spans="15:23">
      <c r="O1742" s="370"/>
    </row>
    <row r="1743" spans="15:23" ht="26.4">
      <c r="O1743" s="370"/>
      <c r="W1743" s="64" ph="1"/>
    </row>
    <row r="1744" spans="15:23" ht="26.4">
      <c r="O1744" s="370"/>
      <c r="W1744" s="64" ph="1"/>
    </row>
    <row r="1745" spans="15:23" ht="26.4">
      <c r="O1745" s="370"/>
      <c r="W1745" s="64" ph="1"/>
    </row>
    <row r="1746" spans="15:23">
      <c r="O1746" s="370"/>
    </row>
    <row r="1747" spans="15:23" ht="26.4">
      <c r="O1747" s="370"/>
      <c r="W1747" s="64" ph="1"/>
    </row>
    <row r="1748" spans="15:23" ht="26.4">
      <c r="O1748" s="370"/>
      <c r="W1748" s="64" ph="1"/>
    </row>
    <row r="1749" spans="15:23">
      <c r="O1749" s="370"/>
    </row>
    <row r="1750" spans="15:23" ht="26.4">
      <c r="O1750" s="370"/>
      <c r="W1750" s="64" ph="1"/>
    </row>
    <row r="1751" spans="15:23">
      <c r="O1751" s="370"/>
    </row>
    <row r="1752" spans="15:23" ht="26.4">
      <c r="O1752" s="370"/>
      <c r="W1752" s="64" ph="1"/>
    </row>
    <row r="1753" spans="15:23" ht="26.4">
      <c r="O1753" s="370"/>
      <c r="W1753" s="64" ph="1"/>
    </row>
    <row r="1754" spans="15:23" ht="26.4">
      <c r="O1754" s="370"/>
      <c r="W1754" s="64" ph="1"/>
    </row>
    <row r="1755" spans="15:23" ht="26.4">
      <c r="O1755" s="370"/>
      <c r="W1755" s="64" ph="1"/>
    </row>
    <row r="1756" spans="15:23" ht="26.4">
      <c r="O1756" s="370"/>
      <c r="W1756" s="64" ph="1"/>
    </row>
    <row r="1757" spans="15:23" ht="26.4">
      <c r="O1757" s="370"/>
      <c r="W1757" s="64" ph="1"/>
    </row>
    <row r="1758" spans="15:23" ht="26.4">
      <c r="O1758" s="370"/>
      <c r="W1758" s="64" ph="1"/>
    </row>
    <row r="1759" spans="15:23" ht="26.4">
      <c r="O1759" s="370"/>
      <c r="W1759" s="64" ph="1"/>
    </row>
    <row r="1760" spans="15:23" ht="26.4">
      <c r="O1760" s="370"/>
      <c r="W1760" s="64" ph="1"/>
    </row>
    <row r="1761" spans="15:23" ht="26.4">
      <c r="O1761" s="370"/>
      <c r="W1761" s="64" ph="1"/>
    </row>
    <row r="1762" spans="15:23">
      <c r="O1762" s="370"/>
    </row>
    <row r="1763" spans="15:23" ht="26.4">
      <c r="O1763" s="370"/>
      <c r="W1763" s="64" ph="1"/>
    </row>
    <row r="1764" spans="15:23" ht="26.4">
      <c r="O1764" s="370"/>
      <c r="W1764" s="64" ph="1"/>
    </row>
    <row r="1765" spans="15:23" ht="26.4">
      <c r="O1765" s="370"/>
      <c r="W1765" s="64" ph="1"/>
    </row>
    <row r="1766" spans="15:23" ht="26.4">
      <c r="O1766" s="370"/>
      <c r="W1766" s="64" ph="1"/>
    </row>
    <row r="1767" spans="15:23" ht="26.4">
      <c r="O1767" s="370"/>
      <c r="W1767" s="64" ph="1"/>
    </row>
    <row r="1768" spans="15:23" ht="26.4">
      <c r="O1768" s="370"/>
      <c r="W1768" s="64" ph="1"/>
    </row>
    <row r="1769" spans="15:23" ht="26.4">
      <c r="O1769" s="370"/>
      <c r="W1769" s="64" ph="1"/>
    </row>
    <row r="1770" spans="15:23" ht="26.4">
      <c r="O1770" s="370"/>
      <c r="W1770" s="64" ph="1"/>
    </row>
    <row r="1771" spans="15:23">
      <c r="O1771" s="370"/>
    </row>
    <row r="1772" spans="15:23" ht="26.4">
      <c r="O1772" s="370"/>
      <c r="W1772" s="64" ph="1"/>
    </row>
    <row r="1773" spans="15:23" ht="26.4">
      <c r="O1773" s="370"/>
      <c r="W1773" s="64" ph="1"/>
    </row>
    <row r="1774" spans="15:23" ht="26.4">
      <c r="O1774" s="370"/>
      <c r="W1774" s="64" ph="1"/>
    </row>
    <row r="1775" spans="15:23" ht="26.4">
      <c r="O1775" s="370"/>
      <c r="W1775" s="64" ph="1"/>
    </row>
    <row r="1776" spans="15:23">
      <c r="O1776" s="370"/>
    </row>
    <row r="1777" spans="15:15">
      <c r="O1777" s="370"/>
    </row>
    <row r="1778" spans="15:15">
      <c r="O1778" s="370"/>
    </row>
    <row r="1779" spans="15:15">
      <c r="O1779" s="370"/>
    </row>
    <row r="1780" spans="15:15">
      <c r="O1780" s="370"/>
    </row>
    <row r="1781" spans="15:15">
      <c r="O1781" s="370"/>
    </row>
    <row r="1782" spans="15:15">
      <c r="O1782" s="370"/>
    </row>
    <row r="1783" spans="15:15">
      <c r="O1783" s="370"/>
    </row>
    <row r="1784" spans="15:15">
      <c r="O1784" s="370"/>
    </row>
    <row r="1785" spans="15:15">
      <c r="O1785" s="370"/>
    </row>
    <row r="1786" spans="15:15">
      <c r="O1786" s="370"/>
    </row>
    <row r="1787" spans="15:15">
      <c r="O1787" s="370"/>
    </row>
    <row r="1788" spans="15:15">
      <c r="O1788" s="370"/>
    </row>
    <row r="1789" spans="15:15">
      <c r="O1789" s="370"/>
    </row>
    <row r="1790" spans="15:15">
      <c r="O1790" s="370"/>
    </row>
    <row r="1791" spans="15:15">
      <c r="O1791" s="370"/>
    </row>
    <row r="1792" spans="15:15">
      <c r="O1792" s="370"/>
    </row>
    <row r="1793" spans="15:15">
      <c r="O1793" s="370"/>
    </row>
    <row r="1794" spans="15:15">
      <c r="O1794" s="370"/>
    </row>
    <row r="1795" spans="15:15">
      <c r="O1795" s="370"/>
    </row>
    <row r="1796" spans="15:15">
      <c r="O1796" s="370"/>
    </row>
    <row r="1797" spans="15:15">
      <c r="O1797" s="370"/>
    </row>
    <row r="1798" spans="15:15">
      <c r="O1798" s="370"/>
    </row>
    <row r="1799" spans="15:15">
      <c r="O1799" s="370"/>
    </row>
    <row r="1800" spans="15:15">
      <c r="O1800" s="370"/>
    </row>
    <row r="1801" spans="15:15">
      <c r="O1801" s="370"/>
    </row>
    <row r="1802" spans="15:15">
      <c r="O1802" s="370"/>
    </row>
    <row r="1803" spans="15:15">
      <c r="O1803" s="370"/>
    </row>
    <row r="1804" spans="15:15">
      <c r="O1804" s="370"/>
    </row>
    <row r="1805" spans="15:15">
      <c r="O1805" s="370"/>
    </row>
    <row r="1806" spans="15:15">
      <c r="O1806" s="370"/>
    </row>
    <row r="1807" spans="15:15">
      <c r="O1807" s="370"/>
    </row>
    <row r="1808" spans="15:15">
      <c r="O1808" s="370"/>
    </row>
    <row r="1809" spans="15:15">
      <c r="O1809" s="370"/>
    </row>
    <row r="1810" spans="15:15">
      <c r="O1810" s="370"/>
    </row>
    <row r="1811" spans="15:15">
      <c r="O1811" s="370"/>
    </row>
    <row r="1812" spans="15:15">
      <c r="O1812" s="370"/>
    </row>
    <row r="1813" spans="15:15">
      <c r="O1813" s="370"/>
    </row>
    <row r="1814" spans="15:15">
      <c r="O1814" s="370"/>
    </row>
    <row r="1815" spans="15:15">
      <c r="O1815" s="370"/>
    </row>
    <row r="1816" spans="15:15">
      <c r="O1816" s="370"/>
    </row>
    <row r="1817" spans="15:15">
      <c r="O1817" s="370"/>
    </row>
    <row r="1818" spans="15:15">
      <c r="O1818" s="370"/>
    </row>
    <row r="1819" spans="15:15">
      <c r="O1819" s="370"/>
    </row>
    <row r="1820" spans="15:15">
      <c r="O1820" s="370"/>
    </row>
    <row r="1821" spans="15:15">
      <c r="O1821" s="370"/>
    </row>
    <row r="1822" spans="15:15">
      <c r="O1822" s="370"/>
    </row>
    <row r="1823" spans="15:15">
      <c r="O1823" s="370"/>
    </row>
    <row r="1824" spans="15:15">
      <c r="O1824" s="370"/>
    </row>
    <row r="1825" spans="15:15">
      <c r="O1825" s="370"/>
    </row>
    <row r="1826" spans="15:15">
      <c r="O1826" s="370"/>
    </row>
    <row r="1827" spans="15:15">
      <c r="O1827" s="370"/>
    </row>
    <row r="1828" spans="15:15">
      <c r="O1828" s="370"/>
    </row>
    <row r="1829" spans="15:15">
      <c r="O1829" s="370"/>
    </row>
    <row r="1830" spans="15:15">
      <c r="O1830" s="370"/>
    </row>
    <row r="1831" spans="15:15">
      <c r="O1831" s="370"/>
    </row>
    <row r="1832" spans="15:15">
      <c r="O1832" s="370"/>
    </row>
    <row r="1833" spans="15:15">
      <c r="O1833" s="370"/>
    </row>
    <row r="1834" spans="15:15">
      <c r="O1834" s="370"/>
    </row>
    <row r="1835" spans="15:15">
      <c r="O1835" s="370"/>
    </row>
    <row r="1836" spans="15:15">
      <c r="O1836" s="370"/>
    </row>
    <row r="1837" spans="15:15">
      <c r="O1837" s="370"/>
    </row>
    <row r="1838" spans="15:15">
      <c r="O1838" s="370"/>
    </row>
    <row r="1839" spans="15:15">
      <c r="O1839" s="370"/>
    </row>
    <row r="1840" spans="15:15">
      <c r="O1840" s="370"/>
    </row>
    <row r="1841" spans="15:15">
      <c r="O1841" s="370"/>
    </row>
    <row r="1842" spans="15:15">
      <c r="O1842" s="370"/>
    </row>
    <row r="1843" spans="15:15">
      <c r="O1843" s="370"/>
    </row>
    <row r="1844" spans="15:15">
      <c r="O1844" s="370"/>
    </row>
    <row r="1845" spans="15:15">
      <c r="O1845" s="370"/>
    </row>
    <row r="1846" spans="15:15">
      <c r="O1846" s="370"/>
    </row>
    <row r="1847" spans="15:15">
      <c r="O1847" s="370"/>
    </row>
    <row r="1848" spans="15:15">
      <c r="O1848" s="370"/>
    </row>
    <row r="1849" spans="15:15">
      <c r="O1849" s="370"/>
    </row>
    <row r="1850" spans="15:15">
      <c r="O1850" s="370"/>
    </row>
    <row r="1851" spans="15:15">
      <c r="O1851" s="370"/>
    </row>
    <row r="1852" spans="15:15">
      <c r="O1852" s="370"/>
    </row>
    <row r="1853" spans="15:15">
      <c r="O1853" s="370"/>
    </row>
    <row r="1854" spans="15:15">
      <c r="O1854" s="370"/>
    </row>
    <row r="1855" spans="15:15">
      <c r="O1855" s="370"/>
    </row>
    <row r="1856" spans="15:15">
      <c r="O1856" s="370"/>
    </row>
    <row r="1857" spans="15:15">
      <c r="O1857" s="370"/>
    </row>
    <row r="1858" spans="15:15">
      <c r="O1858" s="370"/>
    </row>
    <row r="1859" spans="15:15">
      <c r="O1859" s="370"/>
    </row>
    <row r="1860" spans="15:15">
      <c r="O1860" s="370"/>
    </row>
    <row r="1861" spans="15:15">
      <c r="O1861" s="370"/>
    </row>
    <row r="1862" spans="15:15">
      <c r="O1862" s="370"/>
    </row>
    <row r="1863" spans="15:15">
      <c r="O1863" s="370"/>
    </row>
    <row r="1864" spans="15:15">
      <c r="O1864" s="370"/>
    </row>
    <row r="1865" spans="15:15">
      <c r="O1865" s="370"/>
    </row>
    <row r="1866" spans="15:15">
      <c r="O1866" s="370"/>
    </row>
    <row r="1867" spans="15:15">
      <c r="O1867" s="370"/>
    </row>
    <row r="1868" spans="15:15">
      <c r="O1868" s="370"/>
    </row>
    <row r="1869" spans="15:15">
      <c r="O1869" s="370"/>
    </row>
    <row r="1870" spans="15:15">
      <c r="O1870" s="370"/>
    </row>
    <row r="1871" spans="15:15">
      <c r="O1871" s="370"/>
    </row>
    <row r="1872" spans="15:15">
      <c r="O1872" s="370"/>
    </row>
    <row r="1873" spans="15:15">
      <c r="O1873" s="370"/>
    </row>
    <row r="1874" spans="15:15">
      <c r="O1874" s="370"/>
    </row>
    <row r="1875" spans="15:15">
      <c r="O1875" s="370"/>
    </row>
    <row r="1876" spans="15:15">
      <c r="O1876" s="370"/>
    </row>
    <row r="1877" spans="15:15">
      <c r="O1877" s="370"/>
    </row>
    <row r="1878" spans="15:15">
      <c r="O1878" s="370"/>
    </row>
    <row r="1879" spans="15:15">
      <c r="O1879" s="370"/>
    </row>
    <row r="1880" spans="15:15">
      <c r="O1880" s="370"/>
    </row>
    <row r="1881" spans="15:15">
      <c r="O1881" s="370"/>
    </row>
    <row r="1882" spans="15:15">
      <c r="O1882" s="370"/>
    </row>
    <row r="1883" spans="15:15">
      <c r="O1883" s="370"/>
    </row>
    <row r="1884" spans="15:15">
      <c r="O1884" s="370"/>
    </row>
    <row r="1885" spans="15:15">
      <c r="O1885" s="370"/>
    </row>
    <row r="1886" spans="15:15">
      <c r="O1886" s="370"/>
    </row>
    <row r="1887" spans="15:15">
      <c r="O1887" s="370"/>
    </row>
    <row r="1888" spans="15:15">
      <c r="O1888" s="370"/>
    </row>
    <row r="1889" spans="15:23">
      <c r="O1889" s="370"/>
    </row>
    <row r="1890" spans="15:23">
      <c r="O1890" s="370"/>
    </row>
    <row r="1891" spans="15:23">
      <c r="O1891" s="370"/>
    </row>
    <row r="1892" spans="15:23">
      <c r="O1892" s="370"/>
    </row>
    <row r="1893" spans="15:23">
      <c r="O1893" s="370"/>
    </row>
    <row r="1894" spans="15:23">
      <c r="O1894" s="370"/>
    </row>
    <row r="1895" spans="15:23">
      <c r="O1895" s="370"/>
    </row>
    <row r="1896" spans="15:23">
      <c r="O1896" s="370"/>
    </row>
    <row r="1897" spans="15:23">
      <c r="O1897" s="370"/>
    </row>
    <row r="1898" spans="15:23">
      <c r="O1898" s="370"/>
    </row>
    <row r="1899" spans="15:23">
      <c r="O1899" s="370"/>
    </row>
    <row r="1900" spans="15:23">
      <c r="O1900" s="370"/>
    </row>
    <row r="1901" spans="15:23" ht="26.4">
      <c r="O1901" s="370"/>
      <c r="W1901" s="64" ph="1"/>
    </row>
    <row r="1902" spans="15:23">
      <c r="O1902" s="370"/>
    </row>
    <row r="1903" spans="15:23">
      <c r="O1903" s="370"/>
    </row>
    <row r="1904" spans="15:23">
      <c r="O1904" s="370"/>
    </row>
    <row r="1905" spans="15:23">
      <c r="O1905" s="370"/>
    </row>
    <row r="1906" spans="15:23">
      <c r="O1906" s="370"/>
    </row>
    <row r="1907" spans="15:23">
      <c r="O1907" s="370"/>
    </row>
    <row r="1908" spans="15:23">
      <c r="O1908" s="370"/>
    </row>
    <row r="1909" spans="15:23">
      <c r="O1909" s="370"/>
    </row>
    <row r="1910" spans="15:23">
      <c r="O1910" s="370"/>
    </row>
    <row r="1911" spans="15:23" ht="26.4">
      <c r="O1911" s="370"/>
      <c r="W1911" s="64" ph="1"/>
    </row>
    <row r="1912" spans="15:23">
      <c r="O1912" s="370"/>
    </row>
    <row r="1913" spans="15:23">
      <c r="O1913" s="370"/>
    </row>
    <row r="1914" spans="15:23">
      <c r="O1914" s="370"/>
    </row>
    <row r="1915" spans="15:23" ht="26.4">
      <c r="O1915" s="370"/>
      <c r="W1915" s="64" ph="1"/>
    </row>
    <row r="1916" spans="15:23">
      <c r="O1916" s="370"/>
    </row>
    <row r="1917" spans="15:23">
      <c r="O1917" s="370"/>
    </row>
    <row r="1918" spans="15:23">
      <c r="O1918" s="370"/>
    </row>
    <row r="1919" spans="15:23">
      <c r="O1919" s="370"/>
    </row>
    <row r="1920" spans="15:23" ht="26.4">
      <c r="O1920" s="370"/>
      <c r="W1920" s="64" ph="1"/>
    </row>
    <row r="1921" spans="15:23" ht="26.4">
      <c r="O1921" s="370"/>
      <c r="W1921" s="64" ph="1"/>
    </row>
    <row r="1922" spans="15:23" ht="26.4">
      <c r="O1922" s="370"/>
      <c r="W1922" s="64" ph="1"/>
    </row>
    <row r="1923" spans="15:23">
      <c r="O1923" s="370"/>
    </row>
    <row r="1924" spans="15:23" ht="26.4">
      <c r="O1924" s="370"/>
      <c r="W1924" s="64" ph="1"/>
    </row>
    <row r="1925" spans="15:23" ht="26.4">
      <c r="O1925" s="370"/>
      <c r="W1925" s="64" ph="1"/>
    </row>
    <row r="1926" spans="15:23">
      <c r="O1926" s="370"/>
    </row>
    <row r="1927" spans="15:23" ht="26.4">
      <c r="O1927" s="370"/>
      <c r="W1927" s="64" ph="1"/>
    </row>
    <row r="1928" spans="15:23">
      <c r="O1928" s="370"/>
    </row>
    <row r="1929" spans="15:23" ht="26.4">
      <c r="O1929" s="370"/>
      <c r="W1929" s="64" ph="1"/>
    </row>
    <row r="1930" spans="15:23" ht="26.4">
      <c r="O1930" s="370"/>
      <c r="W1930" s="64" ph="1"/>
    </row>
    <row r="1931" spans="15:23" ht="26.4">
      <c r="O1931" s="370"/>
      <c r="W1931" s="64" ph="1"/>
    </row>
    <row r="1932" spans="15:23" ht="26.4">
      <c r="O1932" s="370"/>
      <c r="W1932" s="64" ph="1"/>
    </row>
    <row r="1933" spans="15:23" ht="26.4">
      <c r="O1933" s="370"/>
      <c r="W1933" s="64" ph="1"/>
    </row>
    <row r="1934" spans="15:23" ht="26.4">
      <c r="O1934" s="370"/>
      <c r="W1934" s="64" ph="1"/>
    </row>
    <row r="1935" spans="15:23" ht="26.4">
      <c r="O1935" s="370"/>
      <c r="W1935" s="64" ph="1"/>
    </row>
    <row r="1936" spans="15:23" ht="26.4">
      <c r="O1936" s="370"/>
      <c r="W1936" s="64" ph="1"/>
    </row>
    <row r="1937" spans="15:23" ht="26.4">
      <c r="O1937" s="370"/>
      <c r="W1937" s="64" ph="1"/>
    </row>
    <row r="1938" spans="15:23" ht="26.4">
      <c r="O1938" s="370"/>
      <c r="W1938" s="64" ph="1"/>
    </row>
    <row r="1939" spans="15:23">
      <c r="O1939" s="370"/>
    </row>
    <row r="1940" spans="15:23" ht="26.4">
      <c r="O1940" s="370"/>
      <c r="W1940" s="64" ph="1"/>
    </row>
    <row r="1941" spans="15:23" ht="26.4">
      <c r="O1941" s="370"/>
      <c r="W1941" s="64" ph="1"/>
    </row>
    <row r="1942" spans="15:23" ht="26.4">
      <c r="O1942" s="370"/>
      <c r="W1942" s="64" ph="1"/>
    </row>
    <row r="1943" spans="15:23" ht="26.4">
      <c r="O1943" s="370"/>
      <c r="W1943" s="64" ph="1"/>
    </row>
    <row r="1944" spans="15:23" ht="26.4">
      <c r="O1944" s="370"/>
      <c r="W1944" s="64" ph="1"/>
    </row>
    <row r="1945" spans="15:23" ht="26.4">
      <c r="O1945" s="370"/>
      <c r="W1945" s="64" ph="1"/>
    </row>
    <row r="1946" spans="15:23" ht="26.4">
      <c r="O1946" s="370"/>
      <c r="W1946" s="64" ph="1"/>
    </row>
    <row r="1947" spans="15:23" ht="26.4">
      <c r="O1947" s="370"/>
      <c r="W1947" s="64" ph="1"/>
    </row>
    <row r="1948" spans="15:23">
      <c r="O1948" s="370"/>
    </row>
    <row r="1949" spans="15:23" ht="26.4">
      <c r="O1949" s="370"/>
      <c r="W1949" s="64" ph="1"/>
    </row>
    <row r="1950" spans="15:23" ht="26.4">
      <c r="O1950" s="370"/>
      <c r="W1950" s="64" ph="1"/>
    </row>
    <row r="1951" spans="15:23" ht="26.4">
      <c r="O1951" s="370"/>
      <c r="W1951" s="64" ph="1"/>
    </row>
    <row r="1952" spans="15:23" ht="26.4">
      <c r="O1952" s="370"/>
      <c r="W1952" s="64" ph="1"/>
    </row>
    <row r="1953" spans="15:23" ht="26.4">
      <c r="O1953" s="370"/>
      <c r="W1953" s="64" ph="1"/>
    </row>
    <row r="1954" spans="15:23" ht="26.4">
      <c r="O1954" s="370"/>
      <c r="W1954" s="64" ph="1"/>
    </row>
    <row r="1955" spans="15:23" ht="26.4">
      <c r="O1955" s="370"/>
      <c r="W1955" s="64" ph="1"/>
    </row>
    <row r="1956" spans="15:23" ht="26.4">
      <c r="O1956" s="370"/>
      <c r="W1956" s="64" ph="1"/>
    </row>
    <row r="1957" spans="15:23" ht="26.4">
      <c r="O1957" s="370"/>
      <c r="W1957" s="64" ph="1"/>
    </row>
    <row r="1958" spans="15:23" ht="26.4">
      <c r="O1958" s="370"/>
      <c r="W1958" s="64" ph="1"/>
    </row>
    <row r="1959" spans="15:23" ht="26.4">
      <c r="O1959" s="370"/>
      <c r="W1959" s="64" ph="1"/>
    </row>
    <row r="1960" spans="15:23">
      <c r="O1960" s="370"/>
    </row>
    <row r="1961" spans="15:23" ht="26.4">
      <c r="O1961" s="370"/>
      <c r="W1961" s="64" ph="1"/>
    </row>
    <row r="1962" spans="15:23" ht="26.4">
      <c r="O1962" s="370"/>
      <c r="W1962" s="64" ph="1"/>
    </row>
    <row r="1963" spans="15:23" ht="26.4">
      <c r="O1963" s="370"/>
      <c r="W1963" s="64" ph="1"/>
    </row>
    <row r="1964" spans="15:23" ht="26.4">
      <c r="O1964" s="370"/>
      <c r="W1964" s="64" ph="1"/>
    </row>
    <row r="1965" spans="15:23" ht="26.4">
      <c r="O1965" s="370"/>
      <c r="W1965" s="64" ph="1"/>
    </row>
    <row r="1966" spans="15:23" ht="26.4">
      <c r="O1966" s="370"/>
      <c r="W1966" s="64" ph="1"/>
    </row>
    <row r="1967" spans="15:23" ht="26.4">
      <c r="O1967" s="370"/>
      <c r="W1967" s="64" ph="1"/>
    </row>
    <row r="1968" spans="15:23" ht="26.4">
      <c r="O1968" s="370"/>
      <c r="W1968" s="64" ph="1"/>
    </row>
    <row r="1969" spans="15:23">
      <c r="O1969" s="370"/>
    </row>
    <row r="1970" spans="15:23" ht="26.4">
      <c r="O1970" s="370"/>
      <c r="W1970" s="64" ph="1"/>
    </row>
    <row r="1971" spans="15:23" ht="26.4">
      <c r="O1971" s="370"/>
      <c r="W1971" s="64" ph="1"/>
    </row>
    <row r="1972" spans="15:23" ht="26.4">
      <c r="O1972" s="370"/>
      <c r="W1972" s="64" ph="1"/>
    </row>
    <row r="1973" spans="15:23" ht="26.4">
      <c r="O1973" s="370"/>
      <c r="W1973" s="64" ph="1"/>
    </row>
    <row r="1974" spans="15:23" ht="26.4">
      <c r="O1974" s="370"/>
      <c r="W1974" s="64" ph="1"/>
    </row>
    <row r="1975" spans="15:23" ht="26.4">
      <c r="O1975" s="370"/>
      <c r="W1975" s="64" ph="1"/>
    </row>
    <row r="1976" spans="15:23" ht="26.4">
      <c r="O1976" s="370"/>
      <c r="W1976" s="64" ph="1"/>
    </row>
    <row r="1977" spans="15:23" ht="26.4">
      <c r="O1977" s="370"/>
      <c r="W1977" s="64" ph="1"/>
    </row>
    <row r="1978" spans="15:23" ht="26.4">
      <c r="O1978" s="370"/>
      <c r="W1978" s="64" ph="1"/>
    </row>
    <row r="1979" spans="15:23" ht="26.4">
      <c r="O1979" s="370"/>
      <c r="W1979" s="64" ph="1"/>
    </row>
    <row r="1980" spans="15:23" ht="26.4">
      <c r="O1980" s="370"/>
      <c r="W1980" s="64" ph="1"/>
    </row>
    <row r="1981" spans="15:23" ht="26.4">
      <c r="O1981" s="370"/>
      <c r="W1981" s="64" ph="1"/>
    </row>
    <row r="1982" spans="15:23" ht="26.4">
      <c r="O1982" s="370"/>
      <c r="W1982" s="64" ph="1"/>
    </row>
    <row r="1983" spans="15:23" ht="26.4">
      <c r="O1983" s="370"/>
      <c r="W1983" s="64" ph="1"/>
    </row>
    <row r="1984" spans="15:23" ht="26.4">
      <c r="O1984" s="370"/>
      <c r="W1984" s="64" ph="1"/>
    </row>
    <row r="1985" spans="15:23" ht="26.4">
      <c r="O1985" s="370"/>
      <c r="W1985" s="64" ph="1"/>
    </row>
    <row r="1986" spans="15:23" ht="26.4">
      <c r="O1986" s="370"/>
      <c r="W1986" s="64" ph="1"/>
    </row>
    <row r="1987" spans="15:23" ht="26.4">
      <c r="O1987" s="370"/>
      <c r="W1987" s="64" ph="1"/>
    </row>
    <row r="1988" spans="15:23" ht="26.4">
      <c r="O1988" s="370"/>
      <c r="W1988" s="64" ph="1"/>
    </row>
    <row r="1989" spans="15:23" ht="26.4">
      <c r="O1989" s="370"/>
      <c r="W1989" s="64" ph="1"/>
    </row>
    <row r="1990" spans="15:23" ht="26.4">
      <c r="O1990" s="370"/>
      <c r="W1990" s="64" ph="1"/>
    </row>
    <row r="1991" spans="15:23" ht="26.4">
      <c r="O1991" s="370"/>
      <c r="W1991" s="64" ph="1"/>
    </row>
    <row r="1992" spans="15:23" ht="26.4">
      <c r="O1992" s="370"/>
      <c r="W1992" s="64" ph="1"/>
    </row>
    <row r="1993" spans="15:23" ht="26.4">
      <c r="O1993" s="370"/>
      <c r="W1993" s="64" ph="1"/>
    </row>
    <row r="1994" spans="15:23" ht="26.4">
      <c r="O1994" s="370"/>
      <c r="W1994" s="64" ph="1"/>
    </row>
    <row r="1995" spans="15:23" ht="26.4">
      <c r="O1995" s="370"/>
      <c r="W1995" s="64" ph="1"/>
    </row>
    <row r="1996" spans="15:23" ht="26.4">
      <c r="O1996" s="370"/>
      <c r="W1996" s="64" ph="1"/>
    </row>
    <row r="1997" spans="15:23" ht="26.4">
      <c r="O1997" s="370"/>
      <c r="W1997" s="64" ph="1"/>
    </row>
    <row r="1998" spans="15:23" ht="26.4">
      <c r="O1998" s="370"/>
      <c r="W1998" s="64" ph="1"/>
    </row>
    <row r="1999" spans="15:23" ht="26.4">
      <c r="O1999" s="370"/>
      <c r="W1999" s="64" ph="1"/>
    </row>
    <row r="2000" spans="15:23" ht="26.4">
      <c r="O2000" s="370"/>
      <c r="W2000" s="64" ph="1"/>
    </row>
    <row r="2001" spans="15:23" ht="26.4">
      <c r="O2001" s="370"/>
      <c r="W2001" s="64" ph="1"/>
    </row>
    <row r="2002" spans="15:23" ht="26.4">
      <c r="O2002" s="370"/>
      <c r="W2002" s="64" ph="1"/>
    </row>
    <row r="2003" spans="15:23" ht="26.4">
      <c r="O2003" s="370"/>
      <c r="W2003" s="64" ph="1"/>
    </row>
    <row r="2004" spans="15:23" ht="26.4">
      <c r="O2004" s="370"/>
      <c r="W2004" s="64" ph="1"/>
    </row>
    <row r="2005" spans="15:23" ht="26.4">
      <c r="O2005" s="370"/>
      <c r="W2005" s="64" ph="1"/>
    </row>
    <row r="2006" spans="15:23" ht="26.4">
      <c r="O2006" s="370"/>
      <c r="W2006" s="64" ph="1"/>
    </row>
    <row r="2007" spans="15:23" ht="26.4">
      <c r="O2007" s="370"/>
      <c r="W2007" s="64" ph="1"/>
    </row>
    <row r="2008" spans="15:23" ht="26.4">
      <c r="O2008" s="370"/>
      <c r="W2008" s="64" ph="1"/>
    </row>
    <row r="2009" spans="15:23" ht="26.4">
      <c r="O2009" s="370"/>
      <c r="W2009" s="64" ph="1"/>
    </row>
    <row r="2010" spans="15:23" ht="26.4">
      <c r="O2010" s="370"/>
      <c r="W2010" s="64" ph="1"/>
    </row>
    <row r="2011" spans="15:23" ht="26.4">
      <c r="O2011" s="370"/>
      <c r="W2011" s="64" ph="1"/>
    </row>
    <row r="2012" spans="15:23" ht="26.4">
      <c r="O2012" s="370"/>
      <c r="W2012" s="64" ph="1"/>
    </row>
    <row r="2013" spans="15:23" ht="26.4">
      <c r="O2013" s="370"/>
      <c r="W2013" s="64" ph="1"/>
    </row>
    <row r="2014" spans="15:23" ht="26.4">
      <c r="O2014" s="370"/>
      <c r="W2014" s="64" ph="1"/>
    </row>
    <row r="2015" spans="15:23" ht="26.4">
      <c r="O2015" s="370"/>
      <c r="W2015" s="64" ph="1"/>
    </row>
    <row r="2016" spans="15:23" ht="26.4">
      <c r="O2016" s="370"/>
      <c r="W2016" s="64" ph="1"/>
    </row>
    <row r="2017" spans="15:23" ht="26.4">
      <c r="O2017" s="370"/>
      <c r="W2017" s="64" ph="1"/>
    </row>
    <row r="2018" spans="15:23" ht="26.4">
      <c r="O2018" s="370"/>
      <c r="W2018" s="64" ph="1"/>
    </row>
    <row r="2019" spans="15:23" ht="26.4">
      <c r="O2019" s="370"/>
      <c r="W2019" s="64" ph="1"/>
    </row>
    <row r="2020" spans="15:23" ht="26.4">
      <c r="O2020" s="370"/>
      <c r="W2020" s="64" ph="1"/>
    </row>
    <row r="2021" spans="15:23" ht="26.4">
      <c r="O2021" s="370"/>
      <c r="W2021" s="64" ph="1"/>
    </row>
    <row r="2022" spans="15:23" ht="26.4">
      <c r="O2022" s="370"/>
      <c r="W2022" s="64" ph="1"/>
    </row>
    <row r="2023" spans="15:23" ht="26.4">
      <c r="O2023" s="370"/>
      <c r="W2023" s="64" ph="1"/>
    </row>
    <row r="2024" spans="15:23" ht="26.4">
      <c r="O2024" s="370"/>
      <c r="W2024" s="64" ph="1"/>
    </row>
    <row r="2025" spans="15:23" ht="26.4">
      <c r="O2025" s="370"/>
      <c r="W2025" s="64" ph="1"/>
    </row>
    <row r="2026" spans="15:23" ht="26.4">
      <c r="O2026" s="370"/>
      <c r="W2026" s="64" ph="1"/>
    </row>
    <row r="2027" spans="15:23" ht="26.4">
      <c r="O2027" s="370"/>
      <c r="W2027" s="64" ph="1"/>
    </row>
    <row r="2028" spans="15:23" ht="26.4">
      <c r="O2028" s="370"/>
      <c r="W2028" s="64" ph="1"/>
    </row>
    <row r="2029" spans="15:23" ht="26.4">
      <c r="O2029" s="370"/>
      <c r="W2029" s="64" ph="1"/>
    </row>
    <row r="2030" spans="15:23" ht="26.4">
      <c r="O2030" s="370"/>
      <c r="W2030" s="64" ph="1"/>
    </row>
    <row r="2031" spans="15:23" ht="26.4">
      <c r="O2031" s="370"/>
      <c r="W2031" s="64" ph="1"/>
    </row>
    <row r="2032" spans="15:23" ht="26.4">
      <c r="O2032" s="370"/>
      <c r="W2032" s="64" ph="1"/>
    </row>
    <row r="2033" spans="15:23" ht="26.4">
      <c r="O2033" s="370"/>
      <c r="W2033" s="64" ph="1"/>
    </row>
    <row r="2034" spans="15:23" ht="26.4">
      <c r="O2034" s="370"/>
      <c r="W2034" s="64" ph="1"/>
    </row>
    <row r="2035" spans="15:23" ht="26.4">
      <c r="O2035" s="370"/>
      <c r="W2035" s="64" ph="1"/>
    </row>
    <row r="2036" spans="15:23" ht="26.4">
      <c r="O2036" s="370"/>
      <c r="W2036" s="64" ph="1"/>
    </row>
    <row r="2037" spans="15:23" ht="26.4">
      <c r="O2037" s="370"/>
      <c r="W2037" s="64" ph="1"/>
    </row>
    <row r="2038" spans="15:23" ht="26.4">
      <c r="O2038" s="370"/>
      <c r="W2038" s="64" ph="1"/>
    </row>
    <row r="2039" spans="15:23" ht="26.4">
      <c r="O2039" s="370"/>
      <c r="W2039" s="64" ph="1"/>
    </row>
    <row r="2040" spans="15:23" ht="26.4">
      <c r="O2040" s="370"/>
      <c r="W2040" s="64" ph="1"/>
    </row>
    <row r="2041" spans="15:23" ht="26.4">
      <c r="O2041" s="370"/>
      <c r="W2041" s="64" ph="1"/>
    </row>
    <row r="2042" spans="15:23" ht="26.4">
      <c r="O2042" s="370"/>
      <c r="W2042" s="64" ph="1"/>
    </row>
    <row r="2043" spans="15:23" ht="26.4">
      <c r="O2043" s="370"/>
      <c r="W2043" s="64" ph="1"/>
    </row>
    <row r="2044" spans="15:23" ht="26.4">
      <c r="O2044" s="370"/>
      <c r="W2044" s="64" ph="1"/>
    </row>
    <row r="2045" spans="15:23" ht="26.4">
      <c r="O2045" s="370"/>
      <c r="W2045" s="64" ph="1"/>
    </row>
    <row r="2046" spans="15:23" ht="26.4">
      <c r="O2046" s="370"/>
      <c r="W2046" s="64" ph="1"/>
    </row>
    <row r="2047" spans="15:23" ht="26.4">
      <c r="O2047" s="370"/>
      <c r="W2047" s="64" ph="1"/>
    </row>
    <row r="2048" spans="15:23" ht="26.4">
      <c r="O2048" s="370"/>
      <c r="W2048" s="64" ph="1"/>
    </row>
    <row r="2049" spans="15:23" ht="26.4">
      <c r="O2049" s="370"/>
      <c r="W2049" s="64" ph="1"/>
    </row>
    <row r="2050" spans="15:23" ht="26.4">
      <c r="O2050" s="370"/>
      <c r="W2050" s="64" ph="1"/>
    </row>
    <row r="2051" spans="15:23" ht="26.4">
      <c r="O2051" s="370"/>
      <c r="W2051" s="64" ph="1"/>
    </row>
    <row r="2052" spans="15:23" ht="26.4">
      <c r="O2052" s="370"/>
      <c r="W2052" s="64" ph="1"/>
    </row>
    <row r="2053" spans="15:23" ht="26.4">
      <c r="O2053" s="370"/>
      <c r="W2053" s="64" ph="1"/>
    </row>
    <row r="2054" spans="15:23" ht="26.4">
      <c r="O2054" s="370"/>
      <c r="W2054" s="64" ph="1"/>
    </row>
    <row r="2055" spans="15:23" ht="26.4">
      <c r="O2055" s="370"/>
      <c r="W2055" s="64" ph="1"/>
    </row>
    <row r="2056" spans="15:23" ht="26.4">
      <c r="O2056" s="370"/>
      <c r="W2056" s="64" ph="1"/>
    </row>
    <row r="2057" spans="15:23" ht="26.4">
      <c r="O2057" s="370"/>
      <c r="W2057" s="64" ph="1"/>
    </row>
    <row r="2058" spans="15:23" ht="26.4">
      <c r="O2058" s="370"/>
      <c r="W2058" s="64" ph="1"/>
    </row>
    <row r="2059" spans="15:23" ht="26.4">
      <c r="O2059" s="370"/>
      <c r="W2059" s="64" ph="1"/>
    </row>
    <row r="2060" spans="15:23" ht="26.4">
      <c r="O2060" s="370"/>
      <c r="W2060" s="64" ph="1"/>
    </row>
    <row r="2061" spans="15:23" ht="26.4">
      <c r="O2061" s="370"/>
      <c r="W2061" s="64" ph="1"/>
    </row>
    <row r="2062" spans="15:23" ht="26.4">
      <c r="O2062" s="370"/>
      <c r="W2062" s="64" ph="1"/>
    </row>
    <row r="2063" spans="15:23" ht="26.4">
      <c r="O2063" s="370"/>
      <c r="W2063" s="64" ph="1"/>
    </row>
    <row r="2064" spans="15:23" ht="26.4">
      <c r="O2064" s="370"/>
      <c r="W2064" s="64" ph="1"/>
    </row>
    <row r="2065" spans="15:23" ht="26.4">
      <c r="O2065" s="370"/>
      <c r="W2065" s="64" ph="1"/>
    </row>
    <row r="2066" spans="15:23" ht="26.4">
      <c r="O2066" s="370"/>
      <c r="W2066" s="64" ph="1"/>
    </row>
    <row r="2067" spans="15:23" ht="26.4">
      <c r="O2067" s="370"/>
      <c r="W2067" s="64" ph="1"/>
    </row>
    <row r="2068" spans="15:23" ht="26.4">
      <c r="O2068" s="370"/>
      <c r="W2068" s="64" ph="1"/>
    </row>
    <row r="2069" spans="15:23" ht="26.4">
      <c r="O2069" s="370"/>
      <c r="W2069" s="64" ph="1"/>
    </row>
    <row r="2070" spans="15:23" ht="26.4">
      <c r="O2070" s="370"/>
      <c r="W2070" s="64" ph="1"/>
    </row>
    <row r="2071" spans="15:23" ht="26.4">
      <c r="O2071" s="370"/>
      <c r="W2071" s="64" ph="1"/>
    </row>
    <row r="2072" spans="15:23" ht="26.4">
      <c r="O2072" s="370"/>
      <c r="W2072" s="64" ph="1"/>
    </row>
    <row r="2073" spans="15:23" ht="26.4">
      <c r="O2073" s="370"/>
      <c r="W2073" s="64" ph="1"/>
    </row>
    <row r="2074" spans="15:23" ht="26.4">
      <c r="O2074" s="370"/>
      <c r="W2074" s="64" ph="1"/>
    </row>
    <row r="2075" spans="15:23" ht="26.4">
      <c r="O2075" s="370"/>
      <c r="W2075" s="64" ph="1"/>
    </row>
    <row r="2076" spans="15:23" ht="26.4">
      <c r="O2076" s="370"/>
      <c r="W2076" s="64" ph="1"/>
    </row>
    <row r="2077" spans="15:23" ht="26.4">
      <c r="O2077" s="370"/>
      <c r="W2077" s="64" ph="1"/>
    </row>
    <row r="2078" spans="15:23" ht="26.4">
      <c r="O2078" s="370"/>
      <c r="W2078" s="64" ph="1"/>
    </row>
    <row r="2079" spans="15:23" ht="26.4">
      <c r="O2079" s="370"/>
      <c r="W2079" s="64" ph="1"/>
    </row>
    <row r="2080" spans="15:23" ht="26.4">
      <c r="O2080" s="370"/>
      <c r="W2080" s="64" ph="1"/>
    </row>
    <row r="2081" spans="15:23" ht="26.4">
      <c r="O2081" s="370"/>
      <c r="W2081" s="64" ph="1"/>
    </row>
    <row r="2082" spans="15:23" ht="26.4">
      <c r="O2082" s="370"/>
      <c r="W2082" s="64" ph="1"/>
    </row>
    <row r="2083" spans="15:23" ht="26.4">
      <c r="O2083" s="370"/>
      <c r="W2083" s="64" ph="1"/>
    </row>
    <row r="2084" spans="15:23" ht="26.4">
      <c r="O2084" s="370"/>
      <c r="W2084" s="64" ph="1"/>
    </row>
    <row r="2085" spans="15:23" ht="26.4">
      <c r="O2085" s="370"/>
      <c r="W2085" s="64" ph="1"/>
    </row>
    <row r="2086" spans="15:23" ht="26.4">
      <c r="O2086" s="370"/>
      <c r="W2086" s="64" ph="1"/>
    </row>
    <row r="2087" spans="15:23" ht="26.4">
      <c r="O2087" s="370"/>
      <c r="W2087" s="64" ph="1"/>
    </row>
    <row r="2088" spans="15:23" ht="26.4">
      <c r="O2088" s="370"/>
      <c r="W2088" s="64" ph="1"/>
    </row>
    <row r="2089" spans="15:23" ht="26.4">
      <c r="O2089" s="370"/>
      <c r="W2089" s="64" ph="1"/>
    </row>
    <row r="2090" spans="15:23" ht="26.4">
      <c r="O2090" s="370"/>
      <c r="W2090" s="64" ph="1"/>
    </row>
    <row r="2091" spans="15:23" ht="26.4">
      <c r="O2091" s="370"/>
      <c r="W2091" s="64" ph="1"/>
    </row>
    <row r="2092" spans="15:23" ht="26.4">
      <c r="O2092" s="370"/>
      <c r="W2092" s="64" ph="1"/>
    </row>
    <row r="2093" spans="15:23" ht="26.4">
      <c r="O2093" s="370"/>
      <c r="W2093" s="64" ph="1"/>
    </row>
    <row r="2094" spans="15:23" ht="26.4">
      <c r="O2094" s="370"/>
      <c r="W2094" s="64" ph="1"/>
    </row>
    <row r="2095" spans="15:23" ht="26.4">
      <c r="O2095" s="370"/>
      <c r="W2095" s="64" ph="1"/>
    </row>
    <row r="2096" spans="15:23" ht="26.4">
      <c r="O2096" s="370"/>
      <c r="W2096" s="64" ph="1"/>
    </row>
    <row r="2097" spans="15:23" ht="26.4">
      <c r="O2097" s="370"/>
      <c r="W2097" s="64" ph="1"/>
    </row>
    <row r="2098" spans="15:23" ht="26.4">
      <c r="O2098" s="370"/>
      <c r="W2098" s="64" ph="1"/>
    </row>
    <row r="2099" spans="15:23" ht="26.4">
      <c r="O2099" s="370"/>
      <c r="W2099" s="64" ph="1"/>
    </row>
    <row r="2100" spans="15:23" ht="26.4">
      <c r="O2100" s="370"/>
      <c r="W2100" s="64" ph="1"/>
    </row>
    <row r="2101" spans="15:23" ht="26.4">
      <c r="O2101" s="370"/>
      <c r="W2101" s="64" ph="1"/>
    </row>
    <row r="2102" spans="15:23" ht="26.4">
      <c r="O2102" s="370"/>
      <c r="W2102" s="64" ph="1"/>
    </row>
    <row r="2103" spans="15:23" ht="26.4">
      <c r="O2103" s="370"/>
      <c r="W2103" s="64" ph="1"/>
    </row>
    <row r="2104" spans="15:23" ht="26.4">
      <c r="O2104" s="370"/>
      <c r="W2104" s="64" ph="1"/>
    </row>
    <row r="2105" spans="15:23" ht="26.4">
      <c r="O2105" s="370"/>
      <c r="W2105" s="64" ph="1"/>
    </row>
    <row r="2106" spans="15:23" ht="26.4">
      <c r="O2106" s="370"/>
      <c r="W2106" s="64" ph="1"/>
    </row>
    <row r="2107" spans="15:23" ht="26.4">
      <c r="O2107" s="370"/>
      <c r="W2107" s="64" ph="1"/>
    </row>
    <row r="2108" spans="15:23" ht="26.4">
      <c r="O2108" s="370"/>
      <c r="W2108" s="64" ph="1"/>
    </row>
    <row r="2109" spans="15:23" ht="26.4">
      <c r="O2109" s="370"/>
      <c r="W2109" s="64" ph="1"/>
    </row>
    <row r="2110" spans="15:23" ht="26.4">
      <c r="O2110" s="370"/>
      <c r="W2110" s="64" ph="1"/>
    </row>
    <row r="2111" spans="15:23" ht="26.4">
      <c r="O2111" s="370"/>
      <c r="W2111" s="64" ph="1"/>
    </row>
    <row r="2112" spans="15:23" ht="26.4">
      <c r="O2112" s="370"/>
      <c r="W2112" s="64" ph="1"/>
    </row>
    <row r="2113" spans="15:23" ht="26.4">
      <c r="O2113" s="370"/>
      <c r="W2113" s="64" ph="1"/>
    </row>
    <row r="2114" spans="15:23" ht="26.4">
      <c r="O2114" s="370"/>
      <c r="W2114" s="64" ph="1"/>
    </row>
    <row r="2115" spans="15:23" ht="26.4">
      <c r="O2115" s="370"/>
      <c r="W2115" s="64" ph="1"/>
    </row>
    <row r="2116" spans="15:23" ht="26.4">
      <c r="O2116" s="370"/>
      <c r="W2116" s="64" ph="1"/>
    </row>
    <row r="2117" spans="15:23" ht="26.4">
      <c r="O2117" s="370"/>
      <c r="W2117" s="64" ph="1"/>
    </row>
    <row r="2118" spans="15:23" ht="26.4">
      <c r="O2118" s="370"/>
      <c r="W2118" s="64" ph="1"/>
    </row>
    <row r="2119" spans="15:23" ht="26.4">
      <c r="O2119" s="370"/>
      <c r="W2119" s="64" ph="1"/>
    </row>
    <row r="2120" spans="15:23" ht="26.4">
      <c r="O2120" s="370"/>
      <c r="W2120" s="64" ph="1"/>
    </row>
    <row r="2121" spans="15:23" ht="26.4">
      <c r="O2121" s="370"/>
      <c r="W2121" s="64" ph="1"/>
    </row>
    <row r="2122" spans="15:23" ht="26.4">
      <c r="O2122" s="370"/>
      <c r="W2122" s="64" ph="1"/>
    </row>
    <row r="2123" spans="15:23" ht="26.4">
      <c r="O2123" s="370"/>
      <c r="W2123" s="64" ph="1"/>
    </row>
    <row r="2124" spans="15:23" ht="26.4">
      <c r="O2124" s="370"/>
      <c r="W2124" s="64" ph="1"/>
    </row>
    <row r="2125" spans="15:23" ht="26.4">
      <c r="O2125" s="370"/>
      <c r="W2125" s="64" ph="1"/>
    </row>
    <row r="2126" spans="15:23" ht="26.4">
      <c r="O2126" s="370"/>
      <c r="W2126" s="64" ph="1"/>
    </row>
    <row r="2127" spans="15:23" ht="26.4">
      <c r="O2127" s="370"/>
      <c r="W2127" s="64" ph="1"/>
    </row>
    <row r="2128" spans="15:23" ht="26.4">
      <c r="O2128" s="370"/>
      <c r="W2128" s="64" ph="1"/>
    </row>
    <row r="2129" spans="15:23" ht="26.4">
      <c r="O2129" s="370"/>
      <c r="W2129" s="64" ph="1"/>
    </row>
    <row r="2130" spans="15:23" ht="26.4">
      <c r="O2130" s="370"/>
      <c r="W2130" s="64" ph="1"/>
    </row>
    <row r="2131" spans="15:23" ht="26.4">
      <c r="O2131" s="370"/>
      <c r="W2131" s="64" ph="1"/>
    </row>
    <row r="2132" spans="15:23" ht="26.4">
      <c r="O2132" s="370"/>
      <c r="W2132" s="64" ph="1"/>
    </row>
    <row r="2133" spans="15:23" ht="26.4">
      <c r="O2133" s="370"/>
      <c r="W2133" s="64" ph="1"/>
    </row>
    <row r="2134" spans="15:23" ht="26.4">
      <c r="O2134" s="370"/>
      <c r="W2134" s="64" ph="1"/>
    </row>
    <row r="2135" spans="15:23" ht="26.4">
      <c r="O2135" s="370"/>
      <c r="W2135" s="64" ph="1"/>
    </row>
    <row r="2136" spans="15:23" ht="26.4">
      <c r="O2136" s="370"/>
      <c r="W2136" s="64" ph="1"/>
    </row>
    <row r="2137" spans="15:23" ht="26.4">
      <c r="O2137" s="370"/>
      <c r="W2137" s="64" ph="1"/>
    </row>
    <row r="2138" spans="15:23" ht="26.4">
      <c r="O2138" s="370"/>
      <c r="W2138" s="64" ph="1"/>
    </row>
    <row r="2139" spans="15:23" ht="26.4">
      <c r="O2139" s="370"/>
      <c r="W2139" s="64" ph="1"/>
    </row>
    <row r="2140" spans="15:23" ht="26.4">
      <c r="O2140" s="370"/>
      <c r="W2140" s="64" ph="1"/>
    </row>
    <row r="2141" spans="15:23" ht="26.4">
      <c r="O2141" s="370"/>
      <c r="W2141" s="64" ph="1"/>
    </row>
    <row r="2142" spans="15:23" ht="26.4">
      <c r="O2142" s="370"/>
      <c r="W2142" s="64" ph="1"/>
    </row>
    <row r="2143" spans="15:23" ht="26.4">
      <c r="O2143" s="370"/>
      <c r="W2143" s="64" ph="1"/>
    </row>
    <row r="2144" spans="15:23" ht="26.4">
      <c r="O2144" s="370"/>
      <c r="W2144" s="64" ph="1"/>
    </row>
    <row r="2145" spans="15:23" ht="26.4">
      <c r="O2145" s="370"/>
      <c r="W2145" s="64" ph="1"/>
    </row>
    <row r="2146" spans="15:23" ht="26.4">
      <c r="O2146" s="370"/>
      <c r="W2146" s="64" ph="1"/>
    </row>
    <row r="2147" spans="15:23" ht="26.4">
      <c r="O2147" s="370"/>
      <c r="W2147" s="64" ph="1"/>
    </row>
    <row r="2148" spans="15:23" ht="26.4">
      <c r="O2148" s="370"/>
      <c r="W2148" s="64" ph="1"/>
    </row>
    <row r="2149" spans="15:23" ht="26.4">
      <c r="O2149" s="370"/>
      <c r="W2149" s="64" ph="1"/>
    </row>
    <row r="2150" spans="15:23" ht="26.4">
      <c r="O2150" s="370"/>
      <c r="W2150" s="64" ph="1"/>
    </row>
    <row r="2151" spans="15:23" ht="26.4">
      <c r="O2151" s="370"/>
      <c r="W2151" s="64" ph="1"/>
    </row>
    <row r="2152" spans="15:23" ht="26.4">
      <c r="O2152" s="370"/>
      <c r="W2152" s="64" ph="1"/>
    </row>
    <row r="2153" spans="15:23" ht="26.4">
      <c r="O2153" s="370"/>
      <c r="W2153" s="64" ph="1"/>
    </row>
    <row r="2154" spans="15:23" ht="26.4">
      <c r="O2154" s="370"/>
      <c r="W2154" s="64" ph="1"/>
    </row>
    <row r="2155" spans="15:23" ht="26.4">
      <c r="O2155" s="370"/>
      <c r="W2155" s="64" ph="1"/>
    </row>
    <row r="2156" spans="15:23" ht="26.4">
      <c r="O2156" s="370"/>
      <c r="W2156" s="64" ph="1"/>
    </row>
    <row r="2157" spans="15:23" ht="26.4">
      <c r="O2157" s="370"/>
      <c r="W2157" s="64" ph="1"/>
    </row>
    <row r="2158" spans="15:23" ht="26.4">
      <c r="O2158" s="370"/>
      <c r="W2158" s="64" ph="1"/>
    </row>
    <row r="2159" spans="15:23" ht="26.4">
      <c r="O2159" s="370"/>
      <c r="W2159" s="64" ph="1"/>
    </row>
    <row r="2160" spans="15:23" ht="26.4">
      <c r="O2160" s="370"/>
      <c r="W2160" s="64" ph="1"/>
    </row>
    <row r="2161" spans="15:23" ht="26.4">
      <c r="O2161" s="370"/>
      <c r="W2161" s="64" ph="1"/>
    </row>
    <row r="2162" spans="15:23" ht="26.4">
      <c r="O2162" s="370"/>
      <c r="W2162" s="64" ph="1"/>
    </row>
    <row r="2163" spans="15:23" ht="26.4">
      <c r="O2163" s="370"/>
      <c r="W2163" s="64" ph="1"/>
    </row>
    <row r="2164" spans="15:23" ht="26.4">
      <c r="O2164" s="370"/>
      <c r="W2164" s="64" ph="1"/>
    </row>
    <row r="2165" spans="15:23" ht="26.4">
      <c r="O2165" s="370"/>
      <c r="W2165" s="64" ph="1"/>
    </row>
    <row r="2166" spans="15:23" ht="26.4">
      <c r="O2166" s="370"/>
      <c r="W2166" s="64" ph="1"/>
    </row>
    <row r="2167" spans="15:23" ht="26.4">
      <c r="O2167" s="370"/>
      <c r="W2167" s="64" ph="1"/>
    </row>
    <row r="2168" spans="15:23" ht="26.4">
      <c r="O2168" s="370"/>
      <c r="W2168" s="64" ph="1"/>
    </row>
    <row r="2169" spans="15:23" ht="26.4">
      <c r="O2169" s="370"/>
      <c r="W2169" s="64" ph="1"/>
    </row>
    <row r="2170" spans="15:23" ht="26.4">
      <c r="O2170" s="370"/>
      <c r="W2170" s="64" ph="1"/>
    </row>
    <row r="2171" spans="15:23" ht="26.4">
      <c r="O2171" s="370"/>
      <c r="W2171" s="64" ph="1"/>
    </row>
    <row r="2172" spans="15:23" ht="26.4">
      <c r="O2172" s="370"/>
      <c r="W2172" s="64" ph="1"/>
    </row>
    <row r="2173" spans="15:23" ht="26.4">
      <c r="O2173" s="370"/>
      <c r="W2173" s="64" ph="1"/>
    </row>
    <row r="2174" spans="15:23" ht="26.4">
      <c r="O2174" s="370"/>
      <c r="W2174" s="64" ph="1"/>
    </row>
    <row r="2175" spans="15:23" ht="26.4">
      <c r="O2175" s="370"/>
      <c r="W2175" s="64" ph="1"/>
    </row>
    <row r="2176" spans="15:23" ht="26.4">
      <c r="O2176" s="370"/>
      <c r="W2176" s="64" ph="1"/>
    </row>
    <row r="2177" spans="15:23" ht="26.4">
      <c r="O2177" s="370"/>
      <c r="W2177" s="64" ph="1"/>
    </row>
    <row r="2178" spans="15:23" ht="26.4">
      <c r="O2178" s="370"/>
      <c r="W2178" s="64" ph="1"/>
    </row>
    <row r="2179" spans="15:23" ht="26.4">
      <c r="O2179" s="370"/>
      <c r="W2179" s="64" ph="1"/>
    </row>
    <row r="2180" spans="15:23" ht="26.4">
      <c r="O2180" s="370"/>
      <c r="W2180" s="64" ph="1"/>
    </row>
    <row r="2181" spans="15:23" ht="26.4">
      <c r="O2181" s="370"/>
      <c r="W2181" s="64" ph="1"/>
    </row>
    <row r="2182" spans="15:23" ht="26.4">
      <c r="O2182" s="370"/>
      <c r="W2182" s="64" ph="1"/>
    </row>
    <row r="2183" spans="15:23" ht="26.4">
      <c r="O2183" s="370"/>
      <c r="W2183" s="64" ph="1"/>
    </row>
    <row r="2184" spans="15:23" ht="26.4">
      <c r="O2184" s="370"/>
      <c r="W2184" s="64" ph="1"/>
    </row>
    <row r="2185" spans="15:23" ht="26.4">
      <c r="O2185" s="370"/>
      <c r="W2185" s="64" ph="1"/>
    </row>
    <row r="2186" spans="15:23" ht="26.4">
      <c r="O2186" s="370"/>
      <c r="W2186" s="64" ph="1"/>
    </row>
    <row r="2187" spans="15:23" ht="26.4">
      <c r="O2187" s="370"/>
      <c r="W2187" s="64" ph="1"/>
    </row>
    <row r="2188" spans="15:23" ht="26.4">
      <c r="O2188" s="370"/>
      <c r="W2188" s="64" ph="1"/>
    </row>
    <row r="2189" spans="15:23" ht="26.4">
      <c r="O2189" s="370"/>
      <c r="W2189" s="64" ph="1"/>
    </row>
    <row r="2190" spans="15:23" ht="26.4">
      <c r="O2190" s="370"/>
      <c r="W2190" s="64" ph="1"/>
    </row>
    <row r="2191" spans="15:23" ht="26.4">
      <c r="O2191" s="370"/>
      <c r="W2191" s="64" ph="1"/>
    </row>
    <row r="2192" spans="15:23" ht="26.4">
      <c r="O2192" s="370"/>
      <c r="W2192" s="64" ph="1"/>
    </row>
    <row r="2193" spans="15:23" ht="26.4">
      <c r="O2193" s="370"/>
      <c r="W2193" s="64" ph="1"/>
    </row>
    <row r="2194" spans="15:23" ht="26.4">
      <c r="O2194" s="370"/>
      <c r="W2194" s="64" ph="1"/>
    </row>
    <row r="2195" spans="15:23" ht="26.4">
      <c r="O2195" s="370"/>
      <c r="W2195" s="64" ph="1"/>
    </row>
    <row r="2196" spans="15:23" ht="26.4">
      <c r="O2196" s="370"/>
      <c r="W2196" s="64" ph="1"/>
    </row>
    <row r="2197" spans="15:23" ht="26.4">
      <c r="O2197" s="370"/>
      <c r="W2197" s="64" ph="1"/>
    </row>
    <row r="2198" spans="15:23" ht="26.4">
      <c r="O2198" s="370"/>
      <c r="W2198" s="64" ph="1"/>
    </row>
    <row r="2199" spans="15:23" ht="26.4">
      <c r="O2199" s="370"/>
      <c r="W2199" s="64" ph="1"/>
    </row>
    <row r="2200" spans="15:23" ht="26.4">
      <c r="O2200" s="370"/>
      <c r="W2200" s="64" ph="1"/>
    </row>
    <row r="2201" spans="15:23" ht="26.4">
      <c r="O2201" s="370"/>
      <c r="W2201" s="64" ph="1"/>
    </row>
    <row r="2202" spans="15:23" ht="26.4">
      <c r="O2202" s="370"/>
      <c r="W2202" s="64" ph="1"/>
    </row>
    <row r="2203" spans="15:23" ht="26.4">
      <c r="O2203" s="370"/>
      <c r="W2203" s="64" ph="1"/>
    </row>
    <row r="2204" spans="15:23" ht="26.4">
      <c r="O2204" s="370"/>
      <c r="W2204" s="64" ph="1"/>
    </row>
    <row r="2205" spans="15:23" ht="26.4">
      <c r="O2205" s="370"/>
      <c r="W2205" s="64" ph="1"/>
    </row>
    <row r="2206" spans="15:23" ht="26.4">
      <c r="O2206" s="370"/>
      <c r="W2206" s="64" ph="1"/>
    </row>
    <row r="2207" spans="15:23" ht="26.4">
      <c r="O2207" s="370"/>
      <c r="W2207" s="64" ph="1"/>
    </row>
    <row r="2208" spans="15:23" ht="26.4">
      <c r="O2208" s="370"/>
      <c r="W2208" s="64" ph="1"/>
    </row>
    <row r="2209" spans="15:23" ht="26.4">
      <c r="O2209" s="370"/>
      <c r="W2209" s="64" ph="1"/>
    </row>
    <row r="2210" spans="15:23" ht="26.4">
      <c r="O2210" s="370"/>
      <c r="W2210" s="64" ph="1"/>
    </row>
    <row r="2211" spans="15:23" ht="26.4">
      <c r="O2211" s="370"/>
      <c r="W2211" s="64" ph="1"/>
    </row>
    <row r="2212" spans="15:23" ht="26.4">
      <c r="O2212" s="370"/>
      <c r="W2212" s="64" ph="1"/>
    </row>
    <row r="2213" spans="15:23" ht="26.4">
      <c r="O2213" s="370"/>
      <c r="W2213" s="64" ph="1"/>
    </row>
    <row r="2214" spans="15:23" ht="26.4">
      <c r="O2214" s="370"/>
      <c r="W2214" s="64" ph="1"/>
    </row>
    <row r="2215" spans="15:23" ht="26.4">
      <c r="O2215" s="370"/>
      <c r="W2215" s="64" ph="1"/>
    </row>
    <row r="2216" spans="15:23" ht="26.4">
      <c r="O2216" s="370"/>
      <c r="W2216" s="64" ph="1"/>
    </row>
    <row r="2217" spans="15:23" ht="26.4">
      <c r="O2217" s="370"/>
      <c r="W2217" s="64" ph="1"/>
    </row>
    <row r="2218" spans="15:23" ht="26.4">
      <c r="O2218" s="370"/>
      <c r="W2218" s="64" ph="1"/>
    </row>
    <row r="2219" spans="15:23" ht="26.4">
      <c r="O2219" s="370"/>
      <c r="W2219" s="64" ph="1"/>
    </row>
    <row r="2220" spans="15:23" ht="26.4">
      <c r="O2220" s="370"/>
      <c r="W2220" s="64" ph="1"/>
    </row>
    <row r="2221" spans="15:23" ht="26.4">
      <c r="O2221" s="370"/>
      <c r="W2221" s="64" ph="1"/>
    </row>
    <row r="2222" spans="15:23" ht="26.4">
      <c r="O2222" s="370"/>
      <c r="W2222" s="64" ph="1"/>
    </row>
    <row r="2223" spans="15:23" ht="26.4">
      <c r="O2223" s="370"/>
      <c r="W2223" s="64" ph="1"/>
    </row>
    <row r="2224" spans="15:23" ht="26.4">
      <c r="O2224" s="370"/>
      <c r="W2224" s="64" ph="1"/>
    </row>
    <row r="2225" spans="15:23" ht="26.4">
      <c r="O2225" s="370"/>
      <c r="W2225" s="64" ph="1"/>
    </row>
    <row r="2226" spans="15:23" ht="26.4">
      <c r="O2226" s="370"/>
      <c r="W2226" s="64" ph="1"/>
    </row>
    <row r="2227" spans="15:23" ht="26.4">
      <c r="O2227" s="370"/>
      <c r="W2227" s="64" ph="1"/>
    </row>
    <row r="2228" spans="15:23" ht="26.4">
      <c r="O2228" s="370"/>
      <c r="W2228" s="64" ph="1"/>
    </row>
    <row r="2229" spans="15:23" ht="26.4">
      <c r="O2229" s="370"/>
      <c r="W2229" s="64" ph="1"/>
    </row>
    <row r="2230" spans="15:23" ht="26.4">
      <c r="O2230" s="370"/>
      <c r="W2230" s="64" ph="1"/>
    </row>
    <row r="2231" spans="15:23" ht="26.4">
      <c r="O2231" s="370"/>
      <c r="W2231" s="64" ph="1"/>
    </row>
    <row r="2232" spans="15:23" ht="26.4">
      <c r="O2232" s="370"/>
      <c r="W2232" s="64" ph="1"/>
    </row>
    <row r="2233" spans="15:23" ht="26.4">
      <c r="O2233" s="370"/>
      <c r="W2233" s="64" ph="1"/>
    </row>
    <row r="2234" spans="15:23" ht="26.4">
      <c r="O2234" s="370"/>
      <c r="W2234" s="64" ph="1"/>
    </row>
    <row r="2235" spans="15:23" ht="26.4">
      <c r="O2235" s="370"/>
      <c r="W2235" s="64" ph="1"/>
    </row>
    <row r="2236" spans="15:23" ht="26.4">
      <c r="O2236" s="370"/>
      <c r="W2236" s="64" ph="1"/>
    </row>
    <row r="2237" spans="15:23" ht="26.4">
      <c r="O2237" s="370"/>
      <c r="W2237" s="64" ph="1"/>
    </row>
    <row r="2238" spans="15:23" ht="26.4">
      <c r="O2238" s="370"/>
      <c r="W2238" s="64" ph="1"/>
    </row>
    <row r="2239" spans="15:23" ht="26.4">
      <c r="O2239" s="370"/>
      <c r="W2239" s="64" ph="1"/>
    </row>
    <row r="2240" spans="15:23" ht="26.4">
      <c r="O2240" s="370"/>
      <c r="W2240" s="64" ph="1"/>
    </row>
    <row r="2241" spans="15:23" ht="26.4">
      <c r="O2241" s="370"/>
      <c r="W2241" s="64" ph="1"/>
    </row>
    <row r="2242" spans="15:23" ht="26.4">
      <c r="O2242" s="370"/>
      <c r="W2242" s="64" ph="1"/>
    </row>
    <row r="2243" spans="15:23" ht="26.4">
      <c r="O2243" s="370"/>
      <c r="W2243" s="64" ph="1"/>
    </row>
    <row r="2244" spans="15:23" ht="26.4">
      <c r="O2244" s="370"/>
      <c r="W2244" s="64" ph="1"/>
    </row>
    <row r="2245" spans="15:23" ht="26.4">
      <c r="O2245" s="370"/>
      <c r="W2245" s="64" ph="1"/>
    </row>
    <row r="2246" spans="15:23" ht="26.4">
      <c r="O2246" s="370"/>
      <c r="W2246" s="64" ph="1"/>
    </row>
    <row r="2247" spans="15:23" ht="26.4">
      <c r="O2247" s="370"/>
      <c r="W2247" s="64" ph="1"/>
    </row>
    <row r="2248" spans="15:23" ht="26.4">
      <c r="O2248" s="370"/>
      <c r="W2248" s="64" ph="1"/>
    </row>
    <row r="2249" spans="15:23" ht="26.4">
      <c r="O2249" s="370"/>
      <c r="W2249" s="64" ph="1"/>
    </row>
    <row r="2250" spans="15:23" ht="26.4">
      <c r="O2250" s="370"/>
      <c r="W2250" s="64" ph="1"/>
    </row>
    <row r="2251" spans="15:23" ht="26.4">
      <c r="O2251" s="370"/>
      <c r="W2251" s="64" ph="1"/>
    </row>
    <row r="2252" spans="15:23" ht="26.4">
      <c r="O2252" s="370"/>
      <c r="W2252" s="64" ph="1"/>
    </row>
    <row r="2253" spans="15:23" ht="26.4">
      <c r="O2253" s="370"/>
      <c r="W2253" s="64" ph="1"/>
    </row>
    <row r="2254" spans="15:23" ht="26.4">
      <c r="O2254" s="370"/>
      <c r="W2254" s="64" ph="1"/>
    </row>
    <row r="2255" spans="15:23" ht="26.4">
      <c r="O2255" s="370"/>
      <c r="W2255" s="64" ph="1"/>
    </row>
    <row r="2256" spans="15:23" ht="26.4">
      <c r="O2256" s="370"/>
      <c r="W2256" s="64" ph="1"/>
    </row>
    <row r="2257" spans="15:23" ht="26.4">
      <c r="O2257" s="370"/>
      <c r="W2257" s="64" ph="1"/>
    </row>
    <row r="2258" spans="15:23" ht="26.4">
      <c r="O2258" s="370"/>
      <c r="W2258" s="64" ph="1"/>
    </row>
    <row r="2259" spans="15:23" ht="26.4">
      <c r="O2259" s="370"/>
      <c r="W2259" s="64" ph="1"/>
    </row>
    <row r="2260" spans="15:23" ht="26.4">
      <c r="O2260" s="370"/>
      <c r="W2260" s="64" ph="1"/>
    </row>
    <row r="2261" spans="15:23" ht="26.4">
      <c r="O2261" s="370"/>
      <c r="W2261" s="64" ph="1"/>
    </row>
    <row r="2262" spans="15:23" ht="26.4">
      <c r="O2262" s="370"/>
      <c r="W2262" s="64" ph="1"/>
    </row>
    <row r="2263" spans="15:23" ht="26.4">
      <c r="O2263" s="370"/>
      <c r="W2263" s="64" ph="1"/>
    </row>
    <row r="2264" spans="15:23" ht="26.4">
      <c r="O2264" s="370"/>
      <c r="W2264" s="64" ph="1"/>
    </row>
    <row r="2265" spans="15:23" ht="26.4">
      <c r="O2265" s="370"/>
      <c r="W2265" s="64" ph="1"/>
    </row>
    <row r="2266" spans="15:23" ht="26.4">
      <c r="O2266" s="370"/>
      <c r="W2266" s="64" ph="1"/>
    </row>
    <row r="2267" spans="15:23" ht="26.4">
      <c r="O2267" s="370"/>
      <c r="W2267" s="64" ph="1"/>
    </row>
    <row r="2268" spans="15:23" ht="26.4">
      <c r="O2268" s="370"/>
      <c r="W2268" s="64" ph="1"/>
    </row>
    <row r="2269" spans="15:23" ht="26.4">
      <c r="O2269" s="370"/>
      <c r="W2269" s="64" ph="1"/>
    </row>
    <row r="2270" spans="15:23" ht="26.4">
      <c r="O2270" s="370"/>
      <c r="W2270" s="64" ph="1"/>
    </row>
    <row r="2271" spans="15:23" ht="26.4">
      <c r="O2271" s="370"/>
      <c r="W2271" s="64" ph="1"/>
    </row>
    <row r="2272" spans="15:23" ht="26.4">
      <c r="O2272" s="370"/>
      <c r="W2272" s="64" ph="1"/>
    </row>
    <row r="2273" spans="15:23" ht="26.4">
      <c r="O2273" s="370"/>
      <c r="W2273" s="64" ph="1"/>
    </row>
    <row r="2274" spans="15:23" ht="26.4">
      <c r="O2274" s="370"/>
      <c r="W2274" s="64" ph="1"/>
    </row>
    <row r="2275" spans="15:23" ht="26.4">
      <c r="O2275" s="370"/>
      <c r="W2275" s="64" ph="1"/>
    </row>
    <row r="2276" spans="15:23" ht="26.4">
      <c r="O2276" s="370"/>
      <c r="W2276" s="64" ph="1"/>
    </row>
    <row r="2277" spans="15:23" ht="26.4">
      <c r="O2277" s="370"/>
      <c r="W2277" s="64" ph="1"/>
    </row>
    <row r="2278" spans="15:23" ht="26.4">
      <c r="O2278" s="370"/>
      <c r="W2278" s="64" ph="1"/>
    </row>
    <row r="2279" spans="15:23" ht="26.4">
      <c r="O2279" s="370"/>
      <c r="W2279" s="64" ph="1"/>
    </row>
    <row r="2280" spans="15:23" ht="26.4">
      <c r="O2280" s="370"/>
      <c r="W2280" s="64" ph="1"/>
    </row>
    <row r="2281" spans="15:23" ht="26.4">
      <c r="O2281" s="370"/>
      <c r="W2281" s="64" ph="1"/>
    </row>
    <row r="2282" spans="15:23" ht="26.4">
      <c r="O2282" s="370"/>
      <c r="W2282" s="64" ph="1"/>
    </row>
    <row r="2283" spans="15:23" ht="26.4">
      <c r="O2283" s="370"/>
      <c r="W2283" s="64" ph="1"/>
    </row>
    <row r="2284" spans="15:23" ht="26.4">
      <c r="O2284" s="370"/>
      <c r="W2284" s="64" ph="1"/>
    </row>
    <row r="2285" spans="15:23" ht="26.4">
      <c r="O2285" s="370"/>
      <c r="W2285" s="64" ph="1"/>
    </row>
    <row r="2286" spans="15:23" ht="26.4">
      <c r="O2286" s="370"/>
      <c r="W2286" s="64" ph="1"/>
    </row>
    <row r="2287" spans="15:23" ht="26.4">
      <c r="O2287" s="370"/>
      <c r="W2287" s="64" ph="1"/>
    </row>
    <row r="2288" spans="15:23" ht="26.4">
      <c r="O2288" s="370"/>
      <c r="W2288" s="64" ph="1"/>
    </row>
    <row r="2289" spans="15:23" ht="26.4">
      <c r="O2289" s="370"/>
      <c r="W2289" s="64" ph="1"/>
    </row>
    <row r="2290" spans="15:23" ht="26.4">
      <c r="O2290" s="370"/>
      <c r="W2290" s="64" ph="1"/>
    </row>
    <row r="2291" spans="15:23" ht="26.4">
      <c r="O2291" s="370"/>
      <c r="W2291" s="64" ph="1"/>
    </row>
    <row r="2292" spans="15:23" ht="26.4">
      <c r="O2292" s="370"/>
      <c r="W2292" s="64" ph="1"/>
    </row>
    <row r="2293" spans="15:23" ht="26.4">
      <c r="O2293" s="370"/>
      <c r="W2293" s="64" ph="1"/>
    </row>
    <row r="2294" spans="15:23" ht="26.4">
      <c r="O2294" s="370"/>
      <c r="W2294" s="64" ph="1"/>
    </row>
    <row r="2295" spans="15:23" ht="26.4">
      <c r="O2295" s="370"/>
      <c r="W2295" s="64" ph="1"/>
    </row>
    <row r="2296" spans="15:23" ht="26.4">
      <c r="O2296" s="370"/>
      <c r="W2296" s="64" ph="1"/>
    </row>
    <row r="2297" spans="15:23" ht="26.4">
      <c r="W2297" s="64" ph="1"/>
    </row>
    <row r="2298" spans="15:23" ht="26.4">
      <c r="W2298" s="64" ph="1"/>
    </row>
    <row r="2299" spans="15:23" ht="26.4">
      <c r="W2299" s="64" ph="1"/>
    </row>
    <row r="2300" spans="15:23" ht="26.4">
      <c r="W2300" s="64" ph="1"/>
    </row>
    <row r="2301" spans="15:23" ht="26.4">
      <c r="W2301" s="64" ph="1"/>
    </row>
    <row r="2302" spans="15:23" ht="26.4">
      <c r="W2302" s="64" ph="1"/>
    </row>
    <row r="2303" spans="15:23" ht="26.4">
      <c r="W2303" s="64" ph="1"/>
    </row>
    <row r="2304" spans="15:23" ht="26.4">
      <c r="W2304" s="64" ph="1"/>
    </row>
    <row r="2305" spans="23:23" ht="26.4">
      <c r="W2305" s="64" ph="1"/>
    </row>
    <row r="2306" spans="23:23" ht="26.4">
      <c r="W2306" s="64" ph="1"/>
    </row>
    <row r="2307" spans="23:23" ht="26.4">
      <c r="W2307" s="64" ph="1"/>
    </row>
    <row r="2308" spans="23:23" ht="26.4">
      <c r="W2308" s="64" ph="1"/>
    </row>
    <row r="2309" spans="23:23" ht="26.4">
      <c r="W2309" s="64" ph="1"/>
    </row>
    <row r="2310" spans="23:23" ht="26.4">
      <c r="W2310" s="64" ph="1"/>
    </row>
    <row r="2311" spans="23:23" ht="26.4">
      <c r="W2311" s="64" ph="1"/>
    </row>
    <row r="2312" spans="23:23" ht="26.4">
      <c r="W2312" s="64" ph="1"/>
    </row>
    <row r="2313" spans="23:23" ht="26.4">
      <c r="W2313" s="64" ph="1"/>
    </row>
    <row r="2314" spans="23:23" ht="26.4">
      <c r="W2314" s="64" ph="1"/>
    </row>
    <row r="2315" spans="23:23" ht="26.4">
      <c r="W2315" s="64" ph="1"/>
    </row>
    <row r="2316" spans="23:23" ht="26.4">
      <c r="W2316" s="64" ph="1"/>
    </row>
    <row r="2317" spans="23:23" ht="26.4">
      <c r="W2317" s="64" ph="1"/>
    </row>
    <row r="2318" spans="23:23" ht="26.4">
      <c r="W2318" s="64" ph="1"/>
    </row>
    <row r="2319" spans="23:23" ht="26.4">
      <c r="W2319" s="64" ph="1"/>
    </row>
    <row r="2320" spans="23:23" ht="26.4">
      <c r="W2320" s="64" ph="1"/>
    </row>
    <row r="2321" spans="23:23" ht="26.4">
      <c r="W2321" s="64" ph="1"/>
    </row>
    <row r="2322" spans="23:23" ht="26.4">
      <c r="W2322" s="64" ph="1"/>
    </row>
    <row r="2323" spans="23:23" ht="26.4">
      <c r="W2323" s="64" ph="1"/>
    </row>
    <row r="2324" spans="23:23" ht="26.4">
      <c r="W2324" s="64" ph="1"/>
    </row>
    <row r="2325" spans="23:23" ht="26.4">
      <c r="W2325" s="64" ph="1"/>
    </row>
    <row r="2326" spans="23:23" ht="26.4">
      <c r="W2326" s="64" ph="1"/>
    </row>
    <row r="2327" spans="23:23" ht="26.4">
      <c r="W2327" s="64" ph="1"/>
    </row>
    <row r="2328" spans="23:23" ht="26.4">
      <c r="W2328" s="64" ph="1"/>
    </row>
    <row r="2329" spans="23:23" ht="26.4">
      <c r="W2329" s="64" ph="1"/>
    </row>
    <row r="2330" spans="23:23" ht="26.4">
      <c r="W2330" s="64" ph="1"/>
    </row>
    <row r="2331" spans="23:23" ht="26.4">
      <c r="W2331" s="64" ph="1"/>
    </row>
    <row r="2332" spans="23:23" ht="26.4">
      <c r="W2332" s="64" ph="1"/>
    </row>
    <row r="2333" spans="23:23" ht="26.4">
      <c r="W2333" s="64" ph="1"/>
    </row>
    <row r="2334" spans="23:23" ht="26.4">
      <c r="W2334" s="64" ph="1"/>
    </row>
    <row r="2335" spans="23:23" ht="26.4">
      <c r="W2335" s="64" ph="1"/>
    </row>
    <row r="2336" spans="23:23" ht="26.4">
      <c r="W2336" s="64" ph="1"/>
    </row>
    <row r="2337" spans="23:23" ht="26.4">
      <c r="W2337" s="64" ph="1"/>
    </row>
    <row r="2338" spans="23:23" ht="26.4">
      <c r="W2338" s="64" ph="1"/>
    </row>
    <row r="2339" spans="23:23" ht="26.4">
      <c r="W2339" s="64" ph="1"/>
    </row>
    <row r="2340" spans="23:23" ht="26.4">
      <c r="W2340" s="64" ph="1"/>
    </row>
    <row r="2341" spans="23:23" ht="26.4">
      <c r="W2341" s="64" ph="1"/>
    </row>
    <row r="2342" spans="23:23" ht="26.4">
      <c r="W2342" s="64" ph="1"/>
    </row>
    <row r="2343" spans="23:23" ht="26.4">
      <c r="W2343" s="64" ph="1"/>
    </row>
    <row r="2344" spans="23:23" ht="26.4">
      <c r="W2344" s="64" ph="1"/>
    </row>
    <row r="2345" spans="23:23" ht="26.4">
      <c r="W2345" s="64" ph="1"/>
    </row>
    <row r="2346" spans="23:23" ht="26.4">
      <c r="W2346" s="64" ph="1"/>
    </row>
    <row r="2347" spans="23:23" ht="26.4">
      <c r="W2347" s="64" ph="1"/>
    </row>
    <row r="2348" spans="23:23" ht="26.4">
      <c r="W2348" s="64" ph="1"/>
    </row>
    <row r="2349" spans="23:23" ht="26.4">
      <c r="W2349" s="64" ph="1"/>
    </row>
    <row r="2350" spans="23:23" ht="26.4">
      <c r="W2350" s="64" ph="1"/>
    </row>
    <row r="2351" spans="23:23" ht="26.4">
      <c r="W2351" s="64" ph="1"/>
    </row>
    <row r="2352" spans="23:23" ht="26.4">
      <c r="W2352" s="64" ph="1"/>
    </row>
    <row r="2353" spans="23:23" ht="26.4">
      <c r="W2353" s="64" ph="1"/>
    </row>
    <row r="2354" spans="23:23" ht="26.4">
      <c r="W2354" s="64" ph="1"/>
    </row>
    <row r="2355" spans="23:23" ht="26.4">
      <c r="W2355" s="64" ph="1"/>
    </row>
    <row r="2356" spans="23:23" ht="26.4">
      <c r="W2356" s="64" ph="1"/>
    </row>
    <row r="2357" spans="23:23" ht="26.4">
      <c r="W2357" s="64" ph="1"/>
    </row>
    <row r="2358" spans="23:23" ht="26.4">
      <c r="W2358" s="64" ph="1"/>
    </row>
    <row r="2359" spans="23:23" ht="26.4">
      <c r="W2359" s="64" ph="1"/>
    </row>
    <row r="2360" spans="23:23" ht="26.4">
      <c r="W2360" s="64" ph="1"/>
    </row>
    <row r="2361" spans="23:23" ht="26.4">
      <c r="W2361" s="64" ph="1"/>
    </row>
    <row r="2362" spans="23:23" ht="26.4">
      <c r="W2362" s="64" ph="1"/>
    </row>
    <row r="2363" spans="23:23" ht="26.4">
      <c r="W2363" s="64" ph="1"/>
    </row>
    <row r="2364" spans="23:23" ht="26.4">
      <c r="W2364" s="64" ph="1"/>
    </row>
    <row r="2365" spans="23:23" ht="26.4">
      <c r="W2365" s="64" ph="1"/>
    </row>
    <row r="2366" spans="23:23" ht="26.4">
      <c r="W2366" s="64" ph="1"/>
    </row>
    <row r="2367" spans="23:23" ht="26.4">
      <c r="W2367" s="64" ph="1"/>
    </row>
    <row r="2368" spans="23:23" ht="26.4">
      <c r="W2368" s="64" ph="1"/>
    </row>
    <row r="2369" spans="23:23" ht="26.4">
      <c r="W2369" s="64" ph="1"/>
    </row>
    <row r="2370" spans="23:23" ht="26.4">
      <c r="W2370" s="64" ph="1"/>
    </row>
    <row r="2371" spans="23:23" ht="26.4">
      <c r="W2371" s="64" ph="1"/>
    </row>
    <row r="2372" spans="23:23" ht="26.4">
      <c r="W2372" s="64" ph="1"/>
    </row>
    <row r="2373" spans="23:23" ht="26.4">
      <c r="W2373" s="64" ph="1"/>
    </row>
    <row r="2374" spans="23:23" ht="26.4">
      <c r="W2374" s="64" ph="1"/>
    </row>
    <row r="2375" spans="23:23" ht="26.4">
      <c r="W2375" s="64" ph="1"/>
    </row>
    <row r="2376" spans="23:23" ht="26.4">
      <c r="W2376" s="64" ph="1"/>
    </row>
    <row r="2377" spans="23:23" ht="26.4">
      <c r="W2377" s="64" ph="1"/>
    </row>
    <row r="2378" spans="23:23" ht="26.4">
      <c r="W2378" s="64" ph="1"/>
    </row>
    <row r="2379" spans="23:23" ht="26.4">
      <c r="W2379" s="64" ph="1"/>
    </row>
    <row r="2380" spans="23:23" ht="26.4">
      <c r="W2380" s="64" ph="1"/>
    </row>
    <row r="2381" spans="23:23" ht="26.4">
      <c r="W2381" s="64" ph="1"/>
    </row>
    <row r="2382" spans="23:23" ht="26.4">
      <c r="W2382" s="64" ph="1"/>
    </row>
    <row r="2383" spans="23:23" ht="26.4">
      <c r="W2383" s="64" ph="1"/>
    </row>
    <row r="2384" spans="23:23" ht="26.4">
      <c r="W2384" s="64" ph="1"/>
    </row>
    <row r="2385" spans="23:23" ht="26.4">
      <c r="W2385" s="64" ph="1"/>
    </row>
    <row r="2386" spans="23:23" ht="26.4">
      <c r="W2386" s="64" ph="1"/>
    </row>
    <row r="2387" spans="23:23" ht="26.4">
      <c r="W2387" s="64" ph="1"/>
    </row>
    <row r="2388" spans="23:23" ht="26.4">
      <c r="W2388" s="64" ph="1"/>
    </row>
    <row r="2389" spans="23:23" ht="26.4">
      <c r="W2389" s="64" ph="1"/>
    </row>
    <row r="2390" spans="23:23" ht="26.4">
      <c r="W2390" s="64" ph="1"/>
    </row>
    <row r="2391" spans="23:23" ht="26.4">
      <c r="W2391" s="64" ph="1"/>
    </row>
    <row r="2392" spans="23:23" ht="26.4">
      <c r="W2392" s="64" ph="1"/>
    </row>
    <row r="2393" spans="23:23" ht="26.4">
      <c r="W2393" s="64" ph="1"/>
    </row>
    <row r="2394" spans="23:23" ht="26.4">
      <c r="W2394" s="64" ph="1"/>
    </row>
    <row r="2395" spans="23:23" ht="26.4">
      <c r="W2395" s="64" ph="1"/>
    </row>
    <row r="2396" spans="23:23" ht="26.4">
      <c r="W2396" s="64" ph="1"/>
    </row>
    <row r="2397" spans="23:23" ht="26.4">
      <c r="W2397" s="64" ph="1"/>
    </row>
    <row r="2398" spans="23:23" ht="26.4">
      <c r="W2398" s="64" ph="1"/>
    </row>
    <row r="2399" spans="23:23" ht="26.4">
      <c r="W2399" s="64" ph="1"/>
    </row>
    <row r="2400" spans="23:23" ht="26.4">
      <c r="W2400" s="64" ph="1"/>
    </row>
    <row r="2401" spans="23:23" ht="26.4">
      <c r="W2401" s="64" ph="1"/>
    </row>
    <row r="2402" spans="23:23" ht="26.4">
      <c r="W2402" s="64" ph="1"/>
    </row>
    <row r="2403" spans="23:23" ht="26.4">
      <c r="W2403" s="64" ph="1"/>
    </row>
    <row r="2404" spans="23:23" ht="26.4">
      <c r="W2404" s="64" ph="1"/>
    </row>
    <row r="2405" spans="23:23" ht="26.4">
      <c r="W2405" s="64" ph="1"/>
    </row>
    <row r="2406" spans="23:23" ht="26.4">
      <c r="W2406" s="64" ph="1"/>
    </row>
    <row r="2407" spans="23:23" ht="26.4">
      <c r="W2407" s="64" ph="1"/>
    </row>
    <row r="2408" spans="23:23" ht="26.4">
      <c r="W2408" s="64" ph="1"/>
    </row>
    <row r="2409" spans="23:23" ht="26.4">
      <c r="W2409" s="64" ph="1"/>
    </row>
    <row r="2410" spans="23:23" ht="26.4">
      <c r="W2410" s="64" ph="1"/>
    </row>
    <row r="2411" spans="23:23" ht="26.4">
      <c r="W2411" s="64" ph="1"/>
    </row>
    <row r="2412" spans="23:23" ht="26.4">
      <c r="W2412" s="64" ph="1"/>
    </row>
    <row r="2413" spans="23:23" ht="26.4">
      <c r="W2413" s="64" ph="1"/>
    </row>
    <row r="2414" spans="23:23" ht="26.4">
      <c r="W2414" s="64" ph="1"/>
    </row>
    <row r="2415" spans="23:23" ht="26.4">
      <c r="W2415" s="64" ph="1"/>
    </row>
    <row r="2416" spans="23:23" ht="26.4">
      <c r="W2416" s="64" ph="1"/>
    </row>
    <row r="2417" spans="23:23" ht="26.4">
      <c r="W2417" s="64" ph="1"/>
    </row>
    <row r="2418" spans="23:23" ht="26.4">
      <c r="W2418" s="64" ph="1"/>
    </row>
    <row r="2419" spans="23:23" ht="26.4">
      <c r="W2419" s="64" ph="1"/>
    </row>
    <row r="2420" spans="23:23" ht="26.4">
      <c r="W2420" s="64" ph="1"/>
    </row>
    <row r="2421" spans="23:23" ht="26.4">
      <c r="W2421" s="64" ph="1"/>
    </row>
    <row r="2422" spans="23:23" ht="26.4">
      <c r="W2422" s="64" ph="1"/>
    </row>
    <row r="2423" spans="23:23" ht="26.4">
      <c r="W2423" s="64" ph="1"/>
    </row>
    <row r="2424" spans="23:23" ht="26.4">
      <c r="W2424" s="64" ph="1"/>
    </row>
    <row r="2425" spans="23:23" ht="26.4">
      <c r="W2425" s="64" ph="1"/>
    </row>
    <row r="2426" spans="23:23" ht="26.4">
      <c r="W2426" s="64" ph="1"/>
    </row>
    <row r="2427" spans="23:23" ht="26.4">
      <c r="W2427" s="64" ph="1"/>
    </row>
    <row r="2428" spans="23:23" ht="26.4">
      <c r="W2428" s="64" ph="1"/>
    </row>
    <row r="2429" spans="23:23" ht="26.4">
      <c r="W2429" s="64" ph="1"/>
    </row>
    <row r="2430" spans="23:23" ht="26.4">
      <c r="W2430" s="64" ph="1"/>
    </row>
    <row r="2431" spans="23:23" ht="26.4">
      <c r="W2431" s="64" ph="1"/>
    </row>
    <row r="2432" spans="23:23" ht="26.4">
      <c r="W2432" s="64" ph="1"/>
    </row>
    <row r="2433" spans="23:23" ht="26.4">
      <c r="W2433" s="64" ph="1"/>
    </row>
    <row r="2434" spans="23:23" ht="26.4">
      <c r="W2434" s="64" ph="1"/>
    </row>
    <row r="2435" spans="23:23" ht="26.4">
      <c r="W2435" s="64" ph="1"/>
    </row>
    <row r="2436" spans="23:23" ht="26.4">
      <c r="W2436" s="64" ph="1"/>
    </row>
    <row r="2437" spans="23:23" ht="26.4">
      <c r="W2437" s="64" ph="1"/>
    </row>
    <row r="2438" spans="23:23" ht="26.4">
      <c r="W2438" s="64" ph="1"/>
    </row>
    <row r="2439" spans="23:23" ht="26.4">
      <c r="W2439" s="64" ph="1"/>
    </row>
    <row r="2440" spans="23:23" ht="26.4">
      <c r="W2440" s="64" ph="1"/>
    </row>
    <row r="2441" spans="23:23" ht="26.4">
      <c r="W2441" s="64" ph="1"/>
    </row>
    <row r="2442" spans="23:23" ht="26.4">
      <c r="W2442" s="64" ph="1"/>
    </row>
    <row r="2443" spans="23:23" ht="26.4">
      <c r="W2443" s="64" ph="1"/>
    </row>
    <row r="2444" spans="23:23" ht="26.4">
      <c r="W2444" s="64" ph="1"/>
    </row>
    <row r="2445" spans="23:23" ht="26.4">
      <c r="W2445" s="64" ph="1"/>
    </row>
    <row r="2446" spans="23:23" ht="26.4">
      <c r="W2446" s="64" ph="1"/>
    </row>
    <row r="2447" spans="23:23" ht="26.4">
      <c r="W2447" s="64" ph="1"/>
    </row>
    <row r="2448" spans="23:23" ht="26.4">
      <c r="W2448" s="64" ph="1"/>
    </row>
    <row r="2449" spans="23:23" ht="26.4">
      <c r="W2449" s="64" ph="1"/>
    </row>
    <row r="2450" spans="23:23" ht="26.4">
      <c r="W2450" s="64" ph="1"/>
    </row>
    <row r="2451" spans="23:23" ht="26.4">
      <c r="W2451" s="64" ph="1"/>
    </row>
    <row r="2452" spans="23:23" ht="26.4">
      <c r="W2452" s="64" ph="1"/>
    </row>
    <row r="2453" spans="23:23" ht="26.4">
      <c r="W2453" s="64" ph="1"/>
    </row>
    <row r="2454" spans="23:23" ht="26.4">
      <c r="W2454" s="64" ph="1"/>
    </row>
    <row r="2455" spans="23:23" ht="26.4">
      <c r="W2455" s="64" ph="1"/>
    </row>
    <row r="2456" spans="23:23" ht="26.4">
      <c r="W2456" s="64" ph="1"/>
    </row>
    <row r="2457" spans="23:23" ht="26.4">
      <c r="W2457" s="64" ph="1"/>
    </row>
    <row r="2458" spans="23:23" ht="26.4">
      <c r="W2458" s="64" ph="1"/>
    </row>
    <row r="2459" spans="23:23" ht="26.4">
      <c r="W2459" s="64" ph="1"/>
    </row>
    <row r="2460" spans="23:23" ht="26.4">
      <c r="W2460" s="64" ph="1"/>
    </row>
    <row r="2461" spans="23:23" ht="26.4">
      <c r="W2461" s="64" ph="1"/>
    </row>
    <row r="2462" spans="23:23" ht="26.4">
      <c r="W2462" s="64" ph="1"/>
    </row>
    <row r="2463" spans="23:23" ht="26.4">
      <c r="W2463" s="64" ph="1"/>
    </row>
    <row r="2464" spans="23:23" ht="26.4">
      <c r="W2464" s="64" ph="1"/>
    </row>
    <row r="2465" spans="23:23" ht="26.4">
      <c r="W2465" s="64" ph="1"/>
    </row>
    <row r="2466" spans="23:23" ht="26.4">
      <c r="W2466" s="64" ph="1"/>
    </row>
    <row r="2467" spans="23:23" ht="26.4">
      <c r="W2467" s="64" ph="1"/>
    </row>
    <row r="2468" spans="23:23" ht="26.4">
      <c r="W2468" s="64" ph="1"/>
    </row>
    <row r="2469" spans="23:23" ht="26.4">
      <c r="W2469" s="64" ph="1"/>
    </row>
    <row r="2470" spans="23:23" ht="26.4">
      <c r="W2470" s="64" ph="1"/>
    </row>
    <row r="2471" spans="23:23" ht="26.4">
      <c r="W2471" s="64" ph="1"/>
    </row>
    <row r="2472" spans="23:23" ht="26.4">
      <c r="W2472" s="64" ph="1"/>
    </row>
    <row r="2473" spans="23:23" ht="26.4">
      <c r="W2473" s="64" ph="1"/>
    </row>
    <row r="2474" spans="23:23" ht="26.4">
      <c r="W2474" s="64" ph="1"/>
    </row>
    <row r="2475" spans="23:23" ht="26.4">
      <c r="W2475" s="64" ph="1"/>
    </row>
    <row r="2476" spans="23:23" ht="26.4">
      <c r="W2476" s="64" ph="1"/>
    </row>
    <row r="2477" spans="23:23" ht="26.4">
      <c r="W2477" s="64" ph="1"/>
    </row>
    <row r="2478" spans="23:23" ht="26.4">
      <c r="W2478" s="64" ph="1"/>
    </row>
    <row r="2479" spans="23:23" ht="26.4">
      <c r="W2479" s="64" ph="1"/>
    </row>
    <row r="2480" spans="23:23" ht="26.4">
      <c r="W2480" s="64" ph="1"/>
    </row>
    <row r="2481" spans="23:23" ht="26.4">
      <c r="W2481" s="64" ph="1"/>
    </row>
    <row r="2482" spans="23:23" ht="26.4">
      <c r="W2482" s="64" ph="1"/>
    </row>
    <row r="2483" spans="23:23" ht="26.4">
      <c r="W2483" s="64" ph="1"/>
    </row>
    <row r="2484" spans="23:23" ht="26.4">
      <c r="W2484" s="64" ph="1"/>
    </row>
    <row r="2485" spans="23:23" ht="26.4">
      <c r="W2485" s="64" ph="1"/>
    </row>
    <row r="2486" spans="23:23" ht="26.4">
      <c r="W2486" s="64" ph="1"/>
    </row>
    <row r="2487" spans="23:23" ht="26.4">
      <c r="W2487" s="64" ph="1"/>
    </row>
    <row r="2488" spans="23:23" ht="26.4">
      <c r="W2488" s="64" ph="1"/>
    </row>
    <row r="2489" spans="23:23" ht="26.4">
      <c r="W2489" s="64" ph="1"/>
    </row>
    <row r="2490" spans="23:23" ht="26.4">
      <c r="W2490" s="64" ph="1"/>
    </row>
    <row r="2491" spans="23:23" ht="26.4">
      <c r="W2491" s="64" ph="1"/>
    </row>
    <row r="2492" spans="23:23" ht="26.4">
      <c r="W2492" s="64" ph="1"/>
    </row>
    <row r="2493" spans="23:23" ht="26.4">
      <c r="W2493" s="64" ph="1"/>
    </row>
    <row r="2494" spans="23:23" ht="26.4">
      <c r="W2494" s="64" ph="1"/>
    </row>
    <row r="2495" spans="23:23" ht="26.4">
      <c r="W2495" s="64" ph="1"/>
    </row>
    <row r="2496" spans="23:23" ht="26.4">
      <c r="W2496" s="64" ph="1"/>
    </row>
    <row r="2497" spans="23:23" ht="26.4">
      <c r="W2497" s="64" ph="1"/>
    </row>
    <row r="2498" spans="23:23" ht="26.4">
      <c r="W2498" s="64" ph="1"/>
    </row>
    <row r="2499" spans="23:23" ht="26.4">
      <c r="W2499" s="64" ph="1"/>
    </row>
    <row r="2500" spans="23:23" ht="26.4">
      <c r="W2500" s="64" ph="1"/>
    </row>
    <row r="2501" spans="23:23" ht="26.4">
      <c r="W2501" s="64" ph="1"/>
    </row>
    <row r="2502" spans="23:23" ht="26.4">
      <c r="W2502" s="64" ph="1"/>
    </row>
    <row r="2503" spans="23:23" ht="26.4">
      <c r="W2503" s="64" ph="1"/>
    </row>
    <row r="2504" spans="23:23" ht="26.4">
      <c r="W2504" s="64" ph="1"/>
    </row>
    <row r="2505" spans="23:23" ht="26.4">
      <c r="W2505" s="64" ph="1"/>
    </row>
    <row r="2506" spans="23:23" ht="26.4">
      <c r="W2506" s="64" ph="1"/>
    </row>
    <row r="2507" spans="23:23" ht="26.4">
      <c r="W2507" s="64" ph="1"/>
    </row>
    <row r="2508" spans="23:23" ht="26.4">
      <c r="W2508" s="64" ph="1"/>
    </row>
    <row r="2509" spans="23:23" ht="26.4">
      <c r="W2509" s="64" ph="1"/>
    </row>
    <row r="2510" spans="23:23" ht="26.4">
      <c r="W2510" s="64" ph="1"/>
    </row>
    <row r="2511" spans="23:23" ht="26.4">
      <c r="W2511" s="64" ph="1"/>
    </row>
    <row r="2512" spans="23:23" ht="26.4">
      <c r="W2512" s="64" ph="1"/>
    </row>
    <row r="2513" spans="23:23" ht="26.4">
      <c r="W2513" s="64" ph="1"/>
    </row>
    <row r="2514" spans="23:23" ht="26.4">
      <c r="W2514" s="64" ph="1"/>
    </row>
    <row r="2515" spans="23:23" ht="26.4">
      <c r="W2515" s="64" ph="1"/>
    </row>
    <row r="2516" spans="23:23" ht="26.4">
      <c r="W2516" s="64" ph="1"/>
    </row>
    <row r="2517" spans="23:23" ht="26.4">
      <c r="W2517" s="64" ph="1"/>
    </row>
    <row r="2518" spans="23:23" ht="26.4">
      <c r="W2518" s="64" ph="1"/>
    </row>
    <row r="2519" spans="23:23" ht="26.4">
      <c r="W2519" s="64" ph="1"/>
    </row>
    <row r="2520" spans="23:23" ht="26.4">
      <c r="W2520" s="64" ph="1"/>
    </row>
    <row r="2521" spans="23:23" ht="26.4">
      <c r="W2521" s="64" ph="1"/>
    </row>
    <row r="2522" spans="23:23" ht="26.4">
      <c r="W2522" s="64" ph="1"/>
    </row>
    <row r="2523" spans="23:23" ht="26.4">
      <c r="W2523" s="64" ph="1"/>
    </row>
    <row r="2524" spans="23:23" ht="26.4">
      <c r="W2524" s="64" ph="1"/>
    </row>
    <row r="2525" spans="23:23" ht="26.4">
      <c r="W2525" s="64" ph="1"/>
    </row>
    <row r="2526" spans="23:23" ht="26.4">
      <c r="W2526" s="64" ph="1"/>
    </row>
    <row r="2527" spans="23:23" ht="26.4">
      <c r="W2527" s="64" ph="1"/>
    </row>
    <row r="2528" spans="23:23" ht="26.4">
      <c r="W2528" s="64" ph="1"/>
    </row>
    <row r="2529" spans="23:23" ht="26.4">
      <c r="W2529" s="64" ph="1"/>
    </row>
    <row r="2530" spans="23:23" ht="26.4">
      <c r="W2530" s="64" ph="1"/>
    </row>
    <row r="2531" spans="23:23" ht="26.4">
      <c r="W2531" s="64" ph="1"/>
    </row>
    <row r="2532" spans="23:23" ht="26.4">
      <c r="W2532" s="64" ph="1"/>
    </row>
    <row r="2533" spans="23:23" ht="26.4">
      <c r="W2533" s="64" ph="1"/>
    </row>
    <row r="2534" spans="23:23" ht="26.4">
      <c r="W2534" s="64" ph="1"/>
    </row>
    <row r="2535" spans="23:23" ht="26.4">
      <c r="W2535" s="64" ph="1"/>
    </row>
    <row r="2536" spans="23:23" ht="26.4">
      <c r="W2536" s="64" ph="1"/>
    </row>
    <row r="2537" spans="23:23" ht="26.4">
      <c r="W2537" s="64" ph="1"/>
    </row>
    <row r="2538" spans="23:23" ht="26.4">
      <c r="W2538" s="64" ph="1"/>
    </row>
    <row r="2539" spans="23:23" ht="26.4">
      <c r="W2539" s="64" ph="1"/>
    </row>
    <row r="2540" spans="23:23" ht="26.4">
      <c r="W2540" s="64" ph="1"/>
    </row>
    <row r="2541" spans="23:23" ht="26.4">
      <c r="W2541" s="64" ph="1"/>
    </row>
    <row r="2542" spans="23:23" ht="26.4">
      <c r="W2542" s="64" ph="1"/>
    </row>
    <row r="2543" spans="23:23" ht="26.4">
      <c r="W2543" s="64" ph="1"/>
    </row>
    <row r="2544" spans="23:23" ht="26.4">
      <c r="W2544" s="64" ph="1"/>
    </row>
    <row r="2545" spans="23:23" ht="26.4">
      <c r="W2545" s="64" ph="1"/>
    </row>
    <row r="2546" spans="23:23" ht="26.4">
      <c r="W2546" s="64" ph="1"/>
    </row>
    <row r="2547" spans="23:23" ht="26.4">
      <c r="W2547" s="64" ph="1"/>
    </row>
    <row r="2548" spans="23:23" ht="26.4">
      <c r="W2548" s="64" ph="1"/>
    </row>
    <row r="2549" spans="23:23" ht="26.4">
      <c r="W2549" s="64" ph="1"/>
    </row>
    <row r="2550" spans="23:23" ht="26.4">
      <c r="W2550" s="64" ph="1"/>
    </row>
    <row r="2551" spans="23:23" ht="26.4">
      <c r="W2551" s="64" ph="1"/>
    </row>
    <row r="2552" spans="23:23" ht="26.4">
      <c r="W2552" s="64" ph="1"/>
    </row>
    <row r="2553" spans="23:23" ht="26.4">
      <c r="W2553" s="64" ph="1"/>
    </row>
    <row r="2554" spans="23:23" ht="26.4">
      <c r="W2554" s="64" ph="1"/>
    </row>
    <row r="2555" spans="23:23" ht="26.4">
      <c r="W2555" s="64" ph="1"/>
    </row>
    <row r="2556" spans="23:23" ht="26.4">
      <c r="W2556" s="64" ph="1"/>
    </row>
    <row r="2557" spans="23:23" ht="26.4">
      <c r="W2557" s="64" ph="1"/>
    </row>
    <row r="2558" spans="23:23" ht="26.4">
      <c r="W2558" s="64" ph="1"/>
    </row>
    <row r="2559" spans="23:23" ht="26.4">
      <c r="W2559" s="64" ph="1"/>
    </row>
    <row r="2560" spans="23:23" ht="26.4">
      <c r="W2560" s="64" ph="1"/>
    </row>
    <row r="2561" spans="23:23" ht="26.4">
      <c r="W2561" s="64" ph="1"/>
    </row>
    <row r="2562" spans="23:23" ht="26.4">
      <c r="W2562" s="64" ph="1"/>
    </row>
    <row r="2563" spans="23:23" ht="26.4">
      <c r="W2563" s="64" ph="1"/>
    </row>
    <row r="2564" spans="23:23" ht="26.4">
      <c r="W2564" s="64" ph="1"/>
    </row>
    <row r="2565" spans="23:23" ht="26.4">
      <c r="W2565" s="64" ph="1"/>
    </row>
    <row r="2566" spans="23:23" ht="26.4">
      <c r="W2566" s="64" ph="1"/>
    </row>
    <row r="2567" spans="23:23" ht="26.4">
      <c r="W2567" s="64" ph="1"/>
    </row>
    <row r="2568" spans="23:23" ht="26.4">
      <c r="W2568" s="64" ph="1"/>
    </row>
    <row r="2569" spans="23:23" ht="26.4">
      <c r="W2569" s="64" ph="1"/>
    </row>
    <row r="2570" spans="23:23" ht="26.4">
      <c r="W2570" s="64" ph="1"/>
    </row>
    <row r="2571" spans="23:23" ht="26.4">
      <c r="W2571" s="64" ph="1"/>
    </row>
    <row r="2572" spans="23:23" ht="26.4">
      <c r="W2572" s="64" ph="1"/>
    </row>
    <row r="2573" spans="23:23" ht="26.4">
      <c r="W2573" s="64" ph="1"/>
    </row>
    <row r="2574" spans="23:23" ht="26.4">
      <c r="W2574" s="64" ph="1"/>
    </row>
    <row r="2575" spans="23:23" ht="26.4">
      <c r="W2575" s="64" ph="1"/>
    </row>
    <row r="2576" spans="23:23" ht="26.4">
      <c r="W2576" s="64" ph="1"/>
    </row>
    <row r="2577" spans="23:23" ht="26.4">
      <c r="W2577" s="64" ph="1"/>
    </row>
    <row r="2578" spans="23:23" ht="26.4">
      <c r="W2578" s="64" ph="1"/>
    </row>
    <row r="2579" spans="23:23" ht="26.4">
      <c r="W2579" s="64" ph="1"/>
    </row>
    <row r="2580" spans="23:23" ht="26.4">
      <c r="W2580" s="64" ph="1"/>
    </row>
    <row r="2581" spans="23:23" ht="26.4">
      <c r="W2581" s="64" ph="1"/>
    </row>
    <row r="2582" spans="23:23" ht="26.4">
      <c r="W2582" s="64" ph="1"/>
    </row>
    <row r="2583" spans="23:23" ht="26.4">
      <c r="W2583" s="64" ph="1"/>
    </row>
    <row r="2584" spans="23:23" ht="26.4">
      <c r="W2584" s="64" ph="1"/>
    </row>
    <row r="2585" spans="23:23" ht="26.4">
      <c r="W2585" s="64" ph="1"/>
    </row>
    <row r="2586" spans="23:23" ht="26.4">
      <c r="W2586" s="64" ph="1"/>
    </row>
    <row r="2587" spans="23:23" ht="26.4">
      <c r="W2587" s="64" ph="1"/>
    </row>
    <row r="2588" spans="23:23" ht="26.4">
      <c r="W2588" s="64" ph="1"/>
    </row>
    <row r="2589" spans="23:23" ht="26.4">
      <c r="W2589" s="64" ph="1"/>
    </row>
    <row r="2590" spans="23:23" ht="26.4">
      <c r="W2590" s="64" ph="1"/>
    </row>
    <row r="2591" spans="23:23" ht="26.4">
      <c r="W2591" s="64" ph="1"/>
    </row>
    <row r="2592" spans="23:23" ht="26.4">
      <c r="W2592" s="64" ph="1"/>
    </row>
    <row r="2593" spans="23:23" ht="26.4">
      <c r="W2593" s="64" ph="1"/>
    </row>
    <row r="2594" spans="23:23" ht="26.4">
      <c r="W2594" s="64" ph="1"/>
    </row>
    <row r="2595" spans="23:23" ht="26.4">
      <c r="W2595" s="64" ph="1"/>
    </row>
    <row r="2596" spans="23:23" ht="26.4">
      <c r="W2596" s="64" ph="1"/>
    </row>
    <row r="2597" spans="23:23" ht="26.4">
      <c r="W2597" s="64" ph="1"/>
    </row>
    <row r="2598" spans="23:23" ht="26.4">
      <c r="W2598" s="64" ph="1"/>
    </row>
    <row r="2599" spans="23:23" ht="26.4">
      <c r="W2599" s="64" ph="1"/>
    </row>
    <row r="2600" spans="23:23" ht="26.4">
      <c r="W2600" s="64" ph="1"/>
    </row>
    <row r="2601" spans="23:23" ht="26.4">
      <c r="W2601" s="64" ph="1"/>
    </row>
    <row r="2602" spans="23:23" ht="26.4">
      <c r="W2602" s="64" ph="1"/>
    </row>
    <row r="2603" spans="23:23" ht="26.4">
      <c r="W2603" s="64" ph="1"/>
    </row>
    <row r="2604" spans="23:23" ht="26.4">
      <c r="W2604" s="64" ph="1"/>
    </row>
    <row r="2605" spans="23:23" ht="26.4">
      <c r="W2605" s="64" ph="1"/>
    </row>
    <row r="2606" spans="23:23" ht="26.4">
      <c r="W2606" s="64" ph="1"/>
    </row>
    <row r="2607" spans="23:23" ht="26.4">
      <c r="W2607" s="64" ph="1"/>
    </row>
    <row r="2608" spans="23:23" ht="26.4">
      <c r="W2608" s="64" ph="1"/>
    </row>
    <row r="2609" spans="23:23" ht="26.4">
      <c r="W2609" s="64" ph="1"/>
    </row>
    <row r="2610" spans="23:23" ht="26.4">
      <c r="W2610" s="64" ph="1"/>
    </row>
    <row r="2611" spans="23:23" ht="26.4">
      <c r="W2611" s="64" ph="1"/>
    </row>
    <row r="2612" spans="23:23" ht="26.4">
      <c r="W2612" s="64" ph="1"/>
    </row>
    <row r="2613" spans="23:23" ht="26.4">
      <c r="W2613" s="64" ph="1"/>
    </row>
    <row r="2614" spans="23:23" ht="26.4">
      <c r="W2614" s="64" ph="1"/>
    </row>
    <row r="2615" spans="23:23" ht="26.4">
      <c r="W2615" s="64" ph="1"/>
    </row>
    <row r="2616" spans="23:23" ht="26.4">
      <c r="W2616" s="64" ph="1"/>
    </row>
    <row r="2617" spans="23:23" ht="26.4">
      <c r="W2617" s="64" ph="1"/>
    </row>
    <row r="2618" spans="23:23" ht="26.4">
      <c r="W2618" s="64" ph="1"/>
    </row>
    <row r="2619" spans="23:23" ht="26.4">
      <c r="W2619" s="64" ph="1"/>
    </row>
    <row r="2620" spans="23:23" ht="26.4">
      <c r="W2620" s="64" ph="1"/>
    </row>
    <row r="2621" spans="23:23" ht="26.4">
      <c r="W2621" s="64" ph="1"/>
    </row>
    <row r="2622" spans="23:23" ht="26.4">
      <c r="W2622" s="64" ph="1"/>
    </row>
    <row r="2623" spans="23:23" ht="26.4">
      <c r="W2623" s="64" ph="1"/>
    </row>
    <row r="2624" spans="23:23" ht="26.4">
      <c r="W2624" s="64" ph="1"/>
    </row>
    <row r="2625" spans="23:23" ht="26.4">
      <c r="W2625" s="64" ph="1"/>
    </row>
    <row r="2626" spans="23:23" ht="26.4">
      <c r="W2626" s="64" ph="1"/>
    </row>
    <row r="2627" spans="23:23" ht="26.4">
      <c r="W2627" s="64" ph="1"/>
    </row>
    <row r="2628" spans="23:23" ht="26.4">
      <c r="W2628" s="64" ph="1"/>
    </row>
    <row r="2629" spans="23:23" ht="26.4">
      <c r="W2629" s="64" ph="1"/>
    </row>
    <row r="2630" spans="23:23" ht="26.4">
      <c r="W2630" s="64" ph="1"/>
    </row>
    <row r="2631" spans="23:23" ht="26.4">
      <c r="W2631" s="64" ph="1"/>
    </row>
    <row r="2632" spans="23:23" ht="26.4">
      <c r="W2632" s="64" ph="1"/>
    </row>
    <row r="2633" spans="23:23" ht="26.4">
      <c r="W2633" s="64" ph="1"/>
    </row>
    <row r="2634" spans="23:23" ht="26.4">
      <c r="W2634" s="64" ph="1"/>
    </row>
    <row r="2635" spans="23:23" ht="26.4">
      <c r="W2635" s="64" ph="1"/>
    </row>
    <row r="2636" spans="23:23" ht="26.4">
      <c r="W2636" s="64" ph="1"/>
    </row>
    <row r="2637" spans="23:23" ht="26.4">
      <c r="W2637" s="64" ph="1"/>
    </row>
    <row r="2638" spans="23:23" ht="26.4">
      <c r="W2638" s="64" ph="1"/>
    </row>
    <row r="2639" spans="23:23" ht="26.4">
      <c r="W2639" s="64" ph="1"/>
    </row>
    <row r="2640" spans="23:23" ht="26.4">
      <c r="W2640" s="64" ph="1"/>
    </row>
    <row r="2641" spans="23:23" ht="26.4">
      <c r="W2641" s="64" ph="1"/>
    </row>
    <row r="2642" spans="23:23" ht="26.4">
      <c r="W2642" s="64" ph="1"/>
    </row>
    <row r="2643" spans="23:23" ht="26.4">
      <c r="W2643" s="64" ph="1"/>
    </row>
    <row r="2644" spans="23:23" ht="26.4">
      <c r="W2644" s="64" ph="1"/>
    </row>
    <row r="2645" spans="23:23" ht="26.4">
      <c r="W2645" s="64" ph="1"/>
    </row>
    <row r="2646" spans="23:23" ht="26.4">
      <c r="W2646" s="64" ph="1"/>
    </row>
    <row r="2647" spans="23:23" ht="26.4">
      <c r="W2647" s="64" ph="1"/>
    </row>
    <row r="2648" spans="23:23" ht="26.4">
      <c r="W2648" s="64" ph="1"/>
    </row>
    <row r="2649" spans="23:23" ht="26.4">
      <c r="W2649" s="64" ph="1"/>
    </row>
    <row r="2650" spans="23:23" ht="26.4">
      <c r="W2650" s="64" ph="1"/>
    </row>
    <row r="2651" spans="23:23" ht="26.4">
      <c r="W2651" s="64" ph="1"/>
    </row>
    <row r="2652" spans="23:23" ht="26.4">
      <c r="W2652" s="64" ph="1"/>
    </row>
    <row r="2653" spans="23:23" ht="26.4">
      <c r="W2653" s="64" ph="1"/>
    </row>
    <row r="2654" spans="23:23" ht="26.4">
      <c r="W2654" s="64" ph="1"/>
    </row>
    <row r="2655" spans="23:23" ht="26.4">
      <c r="W2655" s="64" ph="1"/>
    </row>
    <row r="2656" spans="23:23" ht="26.4">
      <c r="W2656" s="64" ph="1"/>
    </row>
    <row r="2657" spans="23:23" ht="26.4">
      <c r="W2657" s="64" ph="1"/>
    </row>
    <row r="2658" spans="23:23" ht="26.4">
      <c r="W2658" s="64" ph="1"/>
    </row>
    <row r="2659" spans="23:23" ht="26.4">
      <c r="W2659" s="64" ph="1"/>
    </row>
    <row r="2660" spans="23:23" ht="26.4">
      <c r="W2660" s="64" ph="1"/>
    </row>
    <row r="2661" spans="23:23" ht="26.4">
      <c r="W2661" s="64" ph="1"/>
    </row>
    <row r="2662" spans="23:23" ht="26.4">
      <c r="W2662" s="64" ph="1"/>
    </row>
    <row r="2663" spans="23:23" ht="26.4">
      <c r="W2663" s="64" ph="1"/>
    </row>
    <row r="2664" spans="23:23" ht="26.4">
      <c r="W2664" s="64" ph="1"/>
    </row>
    <row r="2665" spans="23:23" ht="26.4">
      <c r="W2665" s="64" ph="1"/>
    </row>
    <row r="2666" spans="23:23" ht="26.4">
      <c r="W2666" s="64" ph="1"/>
    </row>
    <row r="2667" spans="23:23" ht="26.4">
      <c r="W2667" s="64" ph="1"/>
    </row>
    <row r="2668" spans="23:23" ht="26.4">
      <c r="W2668" s="64" ph="1"/>
    </row>
    <row r="2669" spans="23:23" ht="26.4">
      <c r="W2669" s="64" ph="1"/>
    </row>
    <row r="2670" spans="23:23" ht="26.4">
      <c r="W2670" s="64" ph="1"/>
    </row>
    <row r="2671" spans="23:23" ht="26.4">
      <c r="W2671" s="64" ph="1"/>
    </row>
    <row r="2672" spans="23:23" ht="26.4">
      <c r="W2672" s="64" ph="1"/>
    </row>
    <row r="2673" spans="23:23" ht="26.4">
      <c r="W2673" s="64" ph="1"/>
    </row>
    <row r="2674" spans="23:23" ht="26.4">
      <c r="W2674" s="64" ph="1"/>
    </row>
    <row r="2675" spans="23:23" ht="26.4">
      <c r="W2675" s="64" ph="1"/>
    </row>
    <row r="2676" spans="23:23" ht="26.4">
      <c r="W2676" s="64" ph="1"/>
    </row>
    <row r="2677" spans="23:23" ht="26.4">
      <c r="W2677" s="64" ph="1"/>
    </row>
    <row r="2678" spans="23:23" ht="26.4">
      <c r="W2678" s="64" ph="1"/>
    </row>
    <row r="2679" spans="23:23" ht="26.4">
      <c r="W2679" s="64" ph="1"/>
    </row>
    <row r="2680" spans="23:23" ht="26.4">
      <c r="W2680" s="64" ph="1"/>
    </row>
    <row r="2681" spans="23:23" ht="26.4">
      <c r="W2681" s="64" ph="1"/>
    </row>
    <row r="2682" spans="23:23" ht="26.4">
      <c r="W2682" s="64" ph="1"/>
    </row>
    <row r="2683" spans="23:23" ht="26.4">
      <c r="W2683" s="64" ph="1"/>
    </row>
    <row r="2684" spans="23:23" ht="26.4">
      <c r="W2684" s="64" ph="1"/>
    </row>
    <row r="2685" spans="23:23" ht="26.4">
      <c r="W2685" s="64" ph="1"/>
    </row>
    <row r="2686" spans="23:23" ht="26.4">
      <c r="W2686" s="64" ph="1"/>
    </row>
    <row r="2687" spans="23:23" ht="26.4">
      <c r="W2687" s="64" ph="1"/>
    </row>
    <row r="2688" spans="23:23" ht="26.4">
      <c r="W2688" s="64" ph="1"/>
    </row>
    <row r="2689" spans="23:23" ht="26.4">
      <c r="W2689" s="64" ph="1"/>
    </row>
    <row r="2690" spans="23:23" ht="26.4">
      <c r="W2690" s="64" ph="1"/>
    </row>
    <row r="2691" spans="23:23" ht="26.4">
      <c r="W2691" s="64" ph="1"/>
    </row>
    <row r="2692" spans="23:23" ht="26.4">
      <c r="W2692" s="64" ph="1"/>
    </row>
    <row r="2693" spans="23:23" ht="26.4">
      <c r="W2693" s="64" ph="1"/>
    </row>
    <row r="2694" spans="23:23" ht="26.4">
      <c r="W2694" s="64" ph="1"/>
    </row>
    <row r="2695" spans="23:23" ht="26.4">
      <c r="W2695" s="64" ph="1"/>
    </row>
    <row r="2696" spans="23:23" ht="26.4">
      <c r="W2696" s="64" ph="1"/>
    </row>
    <row r="2697" spans="23:23" ht="26.4">
      <c r="W2697" s="64" ph="1"/>
    </row>
    <row r="2698" spans="23:23" ht="26.4">
      <c r="W2698" s="64" ph="1"/>
    </row>
    <row r="2699" spans="23:23" ht="26.4">
      <c r="W2699" s="64" ph="1"/>
    </row>
    <row r="2700" spans="23:23" ht="26.4">
      <c r="W2700" s="64" ph="1"/>
    </row>
    <row r="2701" spans="23:23" ht="26.4">
      <c r="W2701" s="64" ph="1"/>
    </row>
    <row r="2702" spans="23:23" ht="26.4">
      <c r="W2702" s="64" ph="1"/>
    </row>
    <row r="2703" spans="23:23" ht="26.4">
      <c r="W2703" s="64" ph="1"/>
    </row>
    <row r="2704" spans="23:23" ht="26.4">
      <c r="W2704" s="64" ph="1"/>
    </row>
    <row r="2705" spans="23:23" ht="26.4">
      <c r="W2705" s="64" ph="1"/>
    </row>
    <row r="2706" spans="23:23" ht="26.4">
      <c r="W2706" s="64" ph="1"/>
    </row>
    <row r="2707" spans="23:23" ht="26.4">
      <c r="W2707" s="64" ph="1"/>
    </row>
    <row r="2708" spans="23:23" ht="26.4">
      <c r="W2708" s="64" ph="1"/>
    </row>
    <row r="2709" spans="23:23" ht="26.4">
      <c r="W2709" s="64" ph="1"/>
    </row>
    <row r="2710" spans="23:23" ht="26.4">
      <c r="W2710" s="64" ph="1"/>
    </row>
    <row r="2711" spans="23:23" ht="26.4">
      <c r="W2711" s="64" ph="1"/>
    </row>
    <row r="2712" spans="23:23" ht="26.4">
      <c r="W2712" s="64" ph="1"/>
    </row>
    <row r="2713" spans="23:23" ht="26.4">
      <c r="W2713" s="64" ph="1"/>
    </row>
    <row r="2714" spans="23:23" ht="26.4">
      <c r="W2714" s="64" ph="1"/>
    </row>
    <row r="2715" spans="23:23" ht="26.4">
      <c r="W2715" s="64" ph="1"/>
    </row>
    <row r="2716" spans="23:23" ht="26.4">
      <c r="W2716" s="64" ph="1"/>
    </row>
    <row r="2717" spans="23:23" ht="26.4">
      <c r="W2717" s="64" ph="1"/>
    </row>
    <row r="2718" spans="23:23" ht="26.4">
      <c r="W2718" s="64" ph="1"/>
    </row>
    <row r="2719" spans="23:23" ht="26.4">
      <c r="W2719" s="64" ph="1"/>
    </row>
    <row r="2720" spans="23:23" ht="26.4">
      <c r="W2720" s="64" ph="1"/>
    </row>
    <row r="2721" spans="23:23" ht="26.4">
      <c r="W2721" s="64" ph="1"/>
    </row>
    <row r="2722" spans="23:23" ht="26.4">
      <c r="W2722" s="64" ph="1"/>
    </row>
    <row r="2723" spans="23:23" ht="26.4">
      <c r="W2723" s="64" ph="1"/>
    </row>
    <row r="2724" spans="23:23" ht="26.4">
      <c r="W2724" s="64" ph="1"/>
    </row>
    <row r="2725" spans="23:23" ht="26.4">
      <c r="W2725" s="64" ph="1"/>
    </row>
    <row r="2726" spans="23:23" ht="26.4">
      <c r="W2726" s="64" ph="1"/>
    </row>
    <row r="2727" spans="23:23" ht="26.4">
      <c r="W2727" s="64" ph="1"/>
    </row>
    <row r="2728" spans="23:23" ht="26.4">
      <c r="W2728" s="64" ph="1"/>
    </row>
    <row r="2729" spans="23:23" ht="26.4">
      <c r="W2729" s="64" ph="1"/>
    </row>
    <row r="2730" spans="23:23" ht="26.4">
      <c r="W2730" s="64" ph="1"/>
    </row>
    <row r="2731" spans="23:23" ht="26.4">
      <c r="W2731" s="64" ph="1"/>
    </row>
    <row r="2732" spans="23:23" ht="26.4">
      <c r="W2732" s="64" ph="1"/>
    </row>
    <row r="2733" spans="23:23" ht="26.4">
      <c r="W2733" s="64" ph="1"/>
    </row>
    <row r="2734" spans="23:23" ht="26.4">
      <c r="W2734" s="64" ph="1"/>
    </row>
    <row r="2735" spans="23:23" ht="26.4">
      <c r="W2735" s="64" ph="1"/>
    </row>
    <row r="2736" spans="23:23" ht="26.4">
      <c r="W2736" s="64" ph="1"/>
    </row>
    <row r="2737" spans="23:23" ht="26.4">
      <c r="W2737" s="64" ph="1"/>
    </row>
    <row r="2738" spans="23:23" ht="26.4">
      <c r="W2738" s="64" ph="1"/>
    </row>
    <row r="2739" spans="23:23" ht="26.4">
      <c r="W2739" s="64" ph="1"/>
    </row>
    <row r="2740" spans="23:23" ht="26.4">
      <c r="W2740" s="64" ph="1"/>
    </row>
    <row r="2741" spans="23:23" ht="26.4">
      <c r="W2741" s="64" ph="1"/>
    </row>
    <row r="2742" spans="23:23" ht="26.4">
      <c r="W2742" s="64" ph="1"/>
    </row>
    <row r="2743" spans="23:23" ht="26.4">
      <c r="W2743" s="64" ph="1"/>
    </row>
    <row r="2744" spans="23:23" ht="26.4">
      <c r="W2744" s="64" ph="1"/>
    </row>
    <row r="2745" spans="23:23" ht="26.4">
      <c r="W2745" s="64" ph="1"/>
    </row>
    <row r="2746" spans="23:23" ht="26.4">
      <c r="W2746" s="64" ph="1"/>
    </row>
    <row r="2747" spans="23:23" ht="26.4">
      <c r="W2747" s="64" ph="1"/>
    </row>
    <row r="2748" spans="23:23" ht="26.4">
      <c r="W2748" s="64" ph="1"/>
    </row>
    <row r="2749" spans="23:23" ht="26.4">
      <c r="W2749" s="64" ph="1"/>
    </row>
    <row r="2750" spans="23:23" ht="26.4">
      <c r="W2750" s="64" ph="1"/>
    </row>
    <row r="2751" spans="23:23" ht="26.4">
      <c r="W2751" s="64" ph="1"/>
    </row>
    <row r="2752" spans="23:23" ht="26.4">
      <c r="W2752" s="64" ph="1"/>
    </row>
    <row r="2753" spans="23:23" ht="26.4">
      <c r="W2753" s="64" ph="1"/>
    </row>
    <row r="2754" spans="23:23" ht="26.4">
      <c r="W2754" s="64" ph="1"/>
    </row>
    <row r="2755" spans="23:23" ht="26.4">
      <c r="W2755" s="64" ph="1"/>
    </row>
    <row r="2756" spans="23:23" ht="26.4">
      <c r="W2756" s="64" ph="1"/>
    </row>
    <row r="2757" spans="23:23" ht="26.4">
      <c r="W2757" s="64" ph="1"/>
    </row>
    <row r="2758" spans="23:23" ht="26.4">
      <c r="W2758" s="64" ph="1"/>
    </row>
    <row r="2759" spans="23:23" ht="26.4">
      <c r="W2759" s="64" ph="1"/>
    </row>
    <row r="2760" spans="23:23" ht="26.4">
      <c r="W2760" s="64" ph="1"/>
    </row>
    <row r="2761" spans="23:23" ht="26.4">
      <c r="W2761" s="64" ph="1"/>
    </row>
    <row r="2762" spans="23:23" ht="26.4">
      <c r="W2762" s="64" ph="1"/>
    </row>
    <row r="2763" spans="23:23" ht="26.4">
      <c r="W2763" s="64" ph="1"/>
    </row>
    <row r="2764" spans="23:23" ht="26.4">
      <c r="W2764" s="64" ph="1"/>
    </row>
    <row r="2765" spans="23:23" ht="26.4">
      <c r="W2765" s="64" ph="1"/>
    </row>
    <row r="2766" spans="23:23" ht="26.4">
      <c r="W2766" s="64" ph="1"/>
    </row>
    <row r="2767" spans="23:23" ht="26.4">
      <c r="W2767" s="64" ph="1"/>
    </row>
    <row r="2768" spans="23:23" ht="26.4">
      <c r="W2768" s="64" ph="1"/>
    </row>
    <row r="2769" spans="23:23" ht="26.4">
      <c r="W2769" s="64" ph="1"/>
    </row>
    <row r="2770" spans="23:23" ht="26.4">
      <c r="W2770" s="64" ph="1"/>
    </row>
    <row r="2771" spans="23:23" ht="26.4">
      <c r="W2771" s="64" ph="1"/>
    </row>
    <row r="2772" spans="23:23" ht="26.4">
      <c r="W2772" s="64" ph="1"/>
    </row>
    <row r="2773" spans="23:23" ht="26.4">
      <c r="W2773" s="64" ph="1"/>
    </row>
    <row r="2774" spans="23:23" ht="26.4">
      <c r="W2774" s="64" ph="1"/>
    </row>
    <row r="2775" spans="23:23" ht="26.4">
      <c r="W2775" s="64" ph="1"/>
    </row>
    <row r="2776" spans="23:23" ht="26.4">
      <c r="W2776" s="64" ph="1"/>
    </row>
    <row r="2777" spans="23:23" ht="26.4">
      <c r="W2777" s="64" ph="1"/>
    </row>
    <row r="2778" spans="23:23" ht="26.4">
      <c r="W2778" s="64" ph="1"/>
    </row>
    <row r="2779" spans="23:23" ht="26.4">
      <c r="W2779" s="64" ph="1"/>
    </row>
    <row r="2780" spans="23:23" ht="26.4">
      <c r="W2780" s="64" ph="1"/>
    </row>
    <row r="2781" spans="23:23" ht="26.4">
      <c r="W2781" s="64" ph="1"/>
    </row>
    <row r="2782" spans="23:23" ht="26.4">
      <c r="W2782" s="64" ph="1"/>
    </row>
    <row r="2783" spans="23:23" ht="26.4">
      <c r="W2783" s="64" ph="1"/>
    </row>
    <row r="2784" spans="23:23" ht="26.4">
      <c r="W2784" s="64" ph="1"/>
    </row>
    <row r="2785" spans="23:23" ht="26.4">
      <c r="W2785" s="64" ph="1"/>
    </row>
    <row r="2786" spans="23:23" ht="26.4">
      <c r="W2786" s="64" ph="1"/>
    </row>
    <row r="2787" spans="23:23" ht="26.4">
      <c r="W2787" s="64" ph="1"/>
    </row>
    <row r="2788" spans="23:23" ht="26.4">
      <c r="W2788" s="64" ph="1"/>
    </row>
    <row r="2789" spans="23:23" ht="26.4">
      <c r="W2789" s="64" ph="1"/>
    </row>
    <row r="2790" spans="23:23" ht="26.4">
      <c r="W2790" s="64" ph="1"/>
    </row>
    <row r="2791" spans="23:23" ht="26.4">
      <c r="W2791" s="64" ph="1"/>
    </row>
    <row r="2792" spans="23:23" ht="26.4">
      <c r="W2792" s="64" ph="1"/>
    </row>
    <row r="2793" spans="23:23" ht="26.4">
      <c r="W2793" s="64" ph="1"/>
    </row>
    <row r="2794" spans="23:23" ht="26.4">
      <c r="W2794" s="64" ph="1"/>
    </row>
    <row r="2795" spans="23:23" ht="26.4">
      <c r="W2795" s="64" ph="1"/>
    </row>
    <row r="2796" spans="23:23" ht="26.4">
      <c r="W2796" s="64" ph="1"/>
    </row>
    <row r="2797" spans="23:23" ht="26.4">
      <c r="W2797" s="64" ph="1"/>
    </row>
    <row r="2798" spans="23:23" ht="26.4">
      <c r="W2798" s="64" ph="1"/>
    </row>
    <row r="2799" spans="23:23" ht="26.4">
      <c r="W2799" s="64" ph="1"/>
    </row>
    <row r="2800" spans="23:23" ht="26.4">
      <c r="W2800" s="64" ph="1"/>
    </row>
    <row r="2801" spans="23:23" ht="26.4">
      <c r="W2801" s="64" ph="1"/>
    </row>
    <row r="2802" spans="23:23" ht="26.4">
      <c r="W2802" s="64" ph="1"/>
    </row>
    <row r="2803" spans="23:23" ht="26.4">
      <c r="W2803" s="64" ph="1"/>
    </row>
    <row r="2804" spans="23:23" ht="26.4">
      <c r="W2804" s="64" ph="1"/>
    </row>
    <row r="2805" spans="23:23" ht="26.4">
      <c r="W2805" s="64" ph="1"/>
    </row>
    <row r="2806" spans="23:23" ht="26.4">
      <c r="W2806" s="64" ph="1"/>
    </row>
    <row r="2807" spans="23:23" ht="26.4">
      <c r="W2807" s="64" ph="1"/>
    </row>
    <row r="2808" spans="23:23" ht="26.4">
      <c r="W2808" s="64" ph="1"/>
    </row>
    <row r="2809" spans="23:23" ht="26.4">
      <c r="W2809" s="64" ph="1"/>
    </row>
    <row r="2810" spans="23:23" ht="26.4">
      <c r="W2810" s="64" ph="1"/>
    </row>
    <row r="2811" spans="23:23" ht="26.4">
      <c r="W2811" s="64" ph="1"/>
    </row>
    <row r="2812" spans="23:23" ht="26.4">
      <c r="W2812" s="64" ph="1"/>
    </row>
    <row r="2813" spans="23:23" ht="26.4">
      <c r="W2813" s="64" ph="1"/>
    </row>
    <row r="2814" spans="23:23" ht="26.4">
      <c r="W2814" s="64" ph="1"/>
    </row>
    <row r="2815" spans="23:23" ht="26.4">
      <c r="W2815" s="64" ph="1"/>
    </row>
    <row r="2816" spans="23:23" ht="26.4">
      <c r="W2816" s="64" ph="1"/>
    </row>
    <row r="2817" spans="23:23" ht="26.4">
      <c r="W2817" s="64" ph="1"/>
    </row>
    <row r="2818" spans="23:23" ht="26.4">
      <c r="W2818" s="64" ph="1"/>
    </row>
    <row r="2819" spans="23:23" ht="26.4">
      <c r="W2819" s="64" ph="1"/>
    </row>
    <row r="2820" spans="23:23" ht="26.4">
      <c r="W2820" s="64" ph="1"/>
    </row>
    <row r="2821" spans="23:23" ht="26.4">
      <c r="W2821" s="64" ph="1"/>
    </row>
    <row r="2822" spans="23:23" ht="26.4">
      <c r="W2822" s="64" ph="1"/>
    </row>
    <row r="2823" spans="23:23" ht="26.4">
      <c r="W2823" s="64" ph="1"/>
    </row>
    <row r="2824" spans="23:23" ht="26.4">
      <c r="W2824" s="64" ph="1"/>
    </row>
    <row r="2825" spans="23:23" ht="26.4">
      <c r="W2825" s="64" ph="1"/>
    </row>
    <row r="2826" spans="23:23" ht="26.4">
      <c r="W2826" s="64" ph="1"/>
    </row>
    <row r="2827" spans="23:23" ht="26.4">
      <c r="W2827" s="64" ph="1"/>
    </row>
    <row r="2828" spans="23:23" ht="26.4">
      <c r="W2828" s="64" ph="1"/>
    </row>
    <row r="2829" spans="23:23" ht="26.4">
      <c r="W2829" s="64" ph="1"/>
    </row>
    <row r="2830" spans="23:23" ht="26.4">
      <c r="W2830" s="64" ph="1"/>
    </row>
    <row r="2831" spans="23:23" ht="26.4">
      <c r="W2831" s="64" ph="1"/>
    </row>
    <row r="2832" spans="23:23" ht="26.4">
      <c r="W2832" s="64" ph="1"/>
    </row>
    <row r="2833" spans="23:23" ht="26.4">
      <c r="W2833" s="64" ph="1"/>
    </row>
    <row r="2834" spans="23:23" ht="26.4">
      <c r="W2834" s="64" ph="1"/>
    </row>
    <row r="2835" spans="23:23" ht="26.4">
      <c r="W2835" s="64" ph="1"/>
    </row>
    <row r="2836" spans="23:23" ht="26.4">
      <c r="W2836" s="64" ph="1"/>
    </row>
    <row r="2837" spans="23:23" ht="26.4">
      <c r="W2837" s="64" ph="1"/>
    </row>
    <row r="2838" spans="23:23" ht="26.4">
      <c r="W2838" s="64" ph="1"/>
    </row>
    <row r="2839" spans="23:23" ht="26.4">
      <c r="W2839" s="64" ph="1"/>
    </row>
    <row r="2840" spans="23:23" ht="26.4">
      <c r="W2840" s="64" ph="1"/>
    </row>
    <row r="2841" spans="23:23" ht="26.4">
      <c r="W2841" s="64" ph="1"/>
    </row>
    <row r="2842" spans="23:23" ht="26.4">
      <c r="W2842" s="64" ph="1"/>
    </row>
    <row r="2843" spans="23:23" ht="26.4">
      <c r="W2843" s="64" ph="1"/>
    </row>
    <row r="2844" spans="23:23" ht="26.4">
      <c r="W2844" s="64" ph="1"/>
    </row>
    <row r="2845" spans="23:23" ht="26.4">
      <c r="W2845" s="64" ph="1"/>
    </row>
    <row r="2846" spans="23:23" ht="26.4">
      <c r="W2846" s="64" ph="1"/>
    </row>
    <row r="2847" spans="23:23" ht="26.4">
      <c r="W2847" s="64" ph="1"/>
    </row>
    <row r="2848" spans="23:23" ht="26.4">
      <c r="W2848" s="64" ph="1"/>
    </row>
    <row r="2849" spans="23:23" ht="26.4">
      <c r="W2849" s="64" ph="1"/>
    </row>
    <row r="2850" spans="23:23" ht="26.4">
      <c r="W2850" s="64" ph="1"/>
    </row>
    <row r="2851" spans="23:23" ht="26.4">
      <c r="W2851" s="64" ph="1"/>
    </row>
    <row r="2852" spans="23:23" ht="26.4">
      <c r="W2852" s="64" ph="1"/>
    </row>
    <row r="2853" spans="23:23" ht="26.4">
      <c r="W2853" s="64" ph="1"/>
    </row>
    <row r="2854" spans="23:23" ht="26.4">
      <c r="W2854" s="64" ph="1"/>
    </row>
    <row r="2855" spans="23:23" ht="26.4">
      <c r="W2855" s="64" ph="1"/>
    </row>
    <row r="2856" spans="23:23" ht="26.4">
      <c r="W2856" s="64" ph="1"/>
    </row>
    <row r="2857" spans="23:23" ht="26.4">
      <c r="W2857" s="64" ph="1"/>
    </row>
    <row r="2858" spans="23:23" ht="26.4">
      <c r="W2858" s="64" ph="1"/>
    </row>
    <row r="2859" spans="23:23" ht="26.4">
      <c r="W2859" s="64" ph="1"/>
    </row>
    <row r="2860" spans="23:23" ht="26.4">
      <c r="W2860" s="64" ph="1"/>
    </row>
    <row r="2861" spans="23:23" ht="26.4">
      <c r="W2861" s="64" ph="1"/>
    </row>
    <row r="2862" spans="23:23" ht="26.4">
      <c r="W2862" s="64" ph="1"/>
    </row>
    <row r="2863" spans="23:23" ht="26.4">
      <c r="W2863" s="64" ph="1"/>
    </row>
    <row r="2864" spans="23:23" ht="26.4">
      <c r="W2864" s="64" ph="1"/>
    </row>
    <row r="2865" spans="23:23" ht="26.4">
      <c r="W2865" s="64" ph="1"/>
    </row>
    <row r="2866" spans="23:23" ht="26.4">
      <c r="W2866" s="64" ph="1"/>
    </row>
    <row r="2867" spans="23:23" ht="26.4">
      <c r="W2867" s="64" ph="1"/>
    </row>
    <row r="2868" spans="23:23" ht="26.4">
      <c r="W2868" s="64" ph="1"/>
    </row>
    <row r="2869" spans="23:23" ht="26.4">
      <c r="W2869" s="64" ph="1"/>
    </row>
    <row r="2870" spans="23:23" ht="26.4">
      <c r="W2870" s="64" ph="1"/>
    </row>
    <row r="2871" spans="23:23" ht="26.4">
      <c r="W2871" s="64" ph="1"/>
    </row>
    <row r="2872" spans="23:23" ht="26.4">
      <c r="W2872" s="64" ph="1"/>
    </row>
    <row r="2873" spans="23:23" ht="26.4">
      <c r="W2873" s="64" ph="1"/>
    </row>
    <row r="2874" spans="23:23" ht="26.4">
      <c r="W2874" s="64" ph="1"/>
    </row>
    <row r="2875" spans="23:23" ht="26.4">
      <c r="W2875" s="64" ph="1"/>
    </row>
    <row r="2876" spans="23:23" ht="26.4">
      <c r="W2876" s="64" ph="1"/>
    </row>
    <row r="2877" spans="23:23" ht="26.4">
      <c r="W2877" s="64" ph="1"/>
    </row>
    <row r="2878" spans="23:23" ht="26.4">
      <c r="W2878" s="64" ph="1"/>
    </row>
    <row r="2879" spans="23:23" ht="26.4">
      <c r="W2879" s="64" ph="1"/>
    </row>
    <row r="2880" spans="23:23" ht="26.4">
      <c r="W2880" s="64" ph="1"/>
    </row>
    <row r="2881" spans="23:23" ht="26.4">
      <c r="W2881" s="64" ph="1"/>
    </row>
    <row r="2882" spans="23:23" ht="26.4">
      <c r="W2882" s="64" ph="1"/>
    </row>
    <row r="2883" spans="23:23" ht="26.4">
      <c r="W2883" s="64" ph="1"/>
    </row>
    <row r="2884" spans="23:23" ht="26.4">
      <c r="W2884" s="64" ph="1"/>
    </row>
    <row r="2885" spans="23:23" ht="26.4">
      <c r="W2885" s="64" ph="1"/>
    </row>
    <row r="2886" spans="23:23" ht="26.4">
      <c r="W2886" s="64" ph="1"/>
    </row>
    <row r="2887" spans="23:23" ht="26.4">
      <c r="W2887" s="64" ph="1"/>
    </row>
    <row r="2888" spans="23:23" ht="26.4">
      <c r="W2888" s="64" ph="1"/>
    </row>
    <row r="2889" spans="23:23" ht="26.4">
      <c r="W2889" s="64" ph="1"/>
    </row>
    <row r="2890" spans="23:23" ht="26.4">
      <c r="W2890" s="64" ph="1"/>
    </row>
    <row r="2891" spans="23:23" ht="26.4">
      <c r="W2891" s="64" ph="1"/>
    </row>
    <row r="2892" spans="23:23" ht="26.4">
      <c r="W2892" s="64" ph="1"/>
    </row>
    <row r="2893" spans="23:23" ht="26.4">
      <c r="W2893" s="64" ph="1"/>
    </row>
    <row r="2894" spans="23:23" ht="26.4">
      <c r="W2894" s="64" ph="1"/>
    </row>
    <row r="2895" spans="23:23" ht="26.4">
      <c r="W2895" s="64" ph="1"/>
    </row>
    <row r="2896" spans="23:23" ht="26.4">
      <c r="W2896" s="64" ph="1"/>
    </row>
    <row r="2897" spans="23:23" ht="26.4">
      <c r="W2897" s="64" ph="1"/>
    </row>
    <row r="2898" spans="23:23" ht="26.4">
      <c r="W2898" s="64" ph="1"/>
    </row>
    <row r="2899" spans="23:23" ht="26.4">
      <c r="W2899" s="64" ph="1"/>
    </row>
    <row r="2900" spans="23:23" ht="26.4">
      <c r="W2900" s="64" ph="1"/>
    </row>
    <row r="2901" spans="23:23" ht="26.4">
      <c r="W2901" s="64" ph="1"/>
    </row>
    <row r="2902" spans="23:23" ht="26.4">
      <c r="W2902" s="64" ph="1"/>
    </row>
    <row r="2903" spans="23:23" ht="26.4">
      <c r="W2903" s="64" ph="1"/>
    </row>
    <row r="2904" spans="23:23" ht="26.4">
      <c r="W2904" s="64" ph="1"/>
    </row>
    <row r="2905" spans="23:23" ht="26.4">
      <c r="W2905" s="64" ph="1"/>
    </row>
    <row r="2906" spans="23:23" ht="26.4">
      <c r="W2906" s="64" ph="1"/>
    </row>
    <row r="2907" spans="23:23" ht="26.4">
      <c r="W2907" s="64" ph="1"/>
    </row>
    <row r="2908" spans="23:23" ht="26.4">
      <c r="W2908" s="64" ph="1"/>
    </row>
    <row r="2909" spans="23:23" ht="26.4">
      <c r="W2909" s="64" ph="1"/>
    </row>
    <row r="2910" spans="23:23" ht="26.4">
      <c r="W2910" s="64" ph="1"/>
    </row>
    <row r="2911" spans="23:23" ht="26.4">
      <c r="W2911" s="64" ph="1"/>
    </row>
    <row r="2912" spans="23:23" ht="26.4">
      <c r="W2912" s="64" ph="1"/>
    </row>
    <row r="2913" spans="23:23" ht="26.4">
      <c r="W2913" s="64" ph="1"/>
    </row>
    <row r="2914" spans="23:23" ht="26.4">
      <c r="W2914" s="64" ph="1"/>
    </row>
    <row r="2915" spans="23:23" ht="26.4">
      <c r="W2915" s="64" ph="1"/>
    </row>
    <row r="2916" spans="23:23" ht="26.4">
      <c r="W2916" s="64" ph="1"/>
    </row>
    <row r="2917" spans="23:23" ht="26.4">
      <c r="W2917" s="64" ph="1"/>
    </row>
    <row r="2918" spans="23:23" ht="26.4">
      <c r="W2918" s="64" ph="1"/>
    </row>
    <row r="2919" spans="23:23" ht="26.4">
      <c r="W2919" s="64" ph="1"/>
    </row>
    <row r="2920" spans="23:23" ht="26.4">
      <c r="W2920" s="64" ph="1"/>
    </row>
    <row r="2921" spans="23:23" ht="26.4">
      <c r="W2921" s="64" ph="1"/>
    </row>
    <row r="2922" spans="23:23" ht="26.4">
      <c r="W2922" s="64" ph="1"/>
    </row>
    <row r="2923" spans="23:23" ht="26.4">
      <c r="W2923" s="64" ph="1"/>
    </row>
    <row r="2924" spans="23:23" ht="26.4">
      <c r="W2924" s="64" ph="1"/>
    </row>
    <row r="2925" spans="23:23" ht="26.4">
      <c r="W2925" s="64" ph="1"/>
    </row>
    <row r="2926" spans="23:23" ht="26.4">
      <c r="W2926" s="64" ph="1"/>
    </row>
    <row r="2927" spans="23:23" ht="26.4">
      <c r="W2927" s="64" ph="1"/>
    </row>
    <row r="2928" spans="23:23" ht="26.4">
      <c r="W2928" s="64" ph="1"/>
    </row>
    <row r="2929" spans="23:23" ht="26.4">
      <c r="W2929" s="64" ph="1"/>
    </row>
    <row r="2930" spans="23:23" ht="26.4">
      <c r="W2930" s="64" ph="1"/>
    </row>
    <row r="2931" spans="23:23" ht="26.4">
      <c r="W2931" s="64" ph="1"/>
    </row>
    <row r="2932" spans="23:23" ht="26.4">
      <c r="W2932" s="64" ph="1"/>
    </row>
    <row r="2933" spans="23:23" ht="26.4">
      <c r="W2933" s="64" ph="1"/>
    </row>
    <row r="2934" spans="23:23" ht="26.4">
      <c r="W2934" s="64" ph="1"/>
    </row>
    <row r="2935" spans="23:23" ht="26.4">
      <c r="W2935" s="64" ph="1"/>
    </row>
    <row r="2936" spans="23:23" ht="26.4">
      <c r="W2936" s="64" ph="1"/>
    </row>
    <row r="2937" spans="23:23" ht="26.4">
      <c r="W2937" s="64" ph="1"/>
    </row>
    <row r="2938" spans="23:23" ht="26.4">
      <c r="W2938" s="64" ph="1"/>
    </row>
    <row r="2939" spans="23:23" ht="26.4">
      <c r="W2939" s="64" ph="1"/>
    </row>
    <row r="2940" spans="23:23" ht="26.4">
      <c r="W2940" s="64" ph="1"/>
    </row>
    <row r="2941" spans="23:23" ht="26.4">
      <c r="W2941" s="64" ph="1"/>
    </row>
    <row r="2942" spans="23:23" ht="26.4">
      <c r="W2942" s="64" ph="1"/>
    </row>
    <row r="2943" spans="23:23" ht="26.4">
      <c r="W2943" s="64" ph="1"/>
    </row>
    <row r="2944" spans="23:23" ht="26.4">
      <c r="W2944" s="64" ph="1"/>
    </row>
    <row r="2945" spans="23:23" ht="26.4">
      <c r="W2945" s="64" ph="1"/>
    </row>
    <row r="2946" spans="23:23" ht="26.4">
      <c r="W2946" s="64" ph="1"/>
    </row>
    <row r="2947" spans="23:23" ht="26.4">
      <c r="W2947" s="64" ph="1"/>
    </row>
    <row r="2948" spans="23:23" ht="26.4">
      <c r="W2948" s="64" ph="1"/>
    </row>
    <row r="2949" spans="23:23" ht="26.4">
      <c r="W2949" s="64" ph="1"/>
    </row>
    <row r="2950" spans="23:23" ht="26.4">
      <c r="W2950" s="64" ph="1"/>
    </row>
    <row r="2951" spans="23:23" ht="26.4">
      <c r="W2951" s="64" ph="1"/>
    </row>
    <row r="2952" spans="23:23" ht="26.4">
      <c r="W2952" s="64" ph="1"/>
    </row>
    <row r="2953" spans="23:23" ht="26.4">
      <c r="W2953" s="64" ph="1"/>
    </row>
    <row r="2954" spans="23:23" ht="26.4">
      <c r="W2954" s="64" ph="1"/>
    </row>
    <row r="2955" spans="23:23" ht="26.4">
      <c r="W2955" s="64" ph="1"/>
    </row>
    <row r="2956" spans="23:23" ht="26.4">
      <c r="W2956" s="64" ph="1"/>
    </row>
    <row r="2957" spans="23:23" ht="26.4">
      <c r="W2957" s="64" ph="1"/>
    </row>
    <row r="2958" spans="23:23" ht="26.4">
      <c r="W2958" s="64" ph="1"/>
    </row>
    <row r="2959" spans="23:23" ht="26.4">
      <c r="W2959" s="64" ph="1"/>
    </row>
    <row r="2960" spans="23:23" ht="26.4">
      <c r="W2960" s="64" ph="1"/>
    </row>
    <row r="2961" spans="23:23" ht="26.4">
      <c r="W2961" s="64" ph="1"/>
    </row>
    <row r="2962" spans="23:23" ht="26.4">
      <c r="W2962" s="64" ph="1"/>
    </row>
    <row r="2963" spans="23:23" ht="26.4">
      <c r="W2963" s="64" ph="1"/>
    </row>
    <row r="2964" spans="23:23" ht="26.4">
      <c r="W2964" s="64" ph="1"/>
    </row>
    <row r="2965" spans="23:23" ht="26.4">
      <c r="W2965" s="64" ph="1"/>
    </row>
    <row r="2966" spans="23:23" ht="26.4">
      <c r="W2966" s="64" ph="1"/>
    </row>
    <row r="2967" spans="23:23" ht="26.4">
      <c r="W2967" s="64" ph="1"/>
    </row>
    <row r="2968" spans="23:23" ht="26.4">
      <c r="W2968" s="64" ph="1"/>
    </row>
    <row r="2969" spans="23:23" ht="26.4">
      <c r="W2969" s="64" ph="1"/>
    </row>
    <row r="2970" spans="23:23" ht="26.4">
      <c r="W2970" s="64" ph="1"/>
    </row>
    <row r="2971" spans="23:23" ht="26.4">
      <c r="W2971" s="64" ph="1"/>
    </row>
    <row r="2972" spans="23:23" ht="26.4">
      <c r="W2972" s="64" ph="1"/>
    </row>
    <row r="2973" spans="23:23" ht="26.4">
      <c r="W2973" s="64" ph="1"/>
    </row>
    <row r="2974" spans="23:23" ht="26.4">
      <c r="W2974" s="64" ph="1"/>
    </row>
    <row r="2975" spans="23:23" ht="26.4">
      <c r="W2975" s="64" ph="1"/>
    </row>
    <row r="2976" spans="23:23" ht="26.4">
      <c r="W2976" s="64" ph="1"/>
    </row>
    <row r="2977" spans="23:23" ht="26.4">
      <c r="W2977" s="64" ph="1"/>
    </row>
    <row r="2978" spans="23:23" ht="26.4">
      <c r="W2978" s="64" ph="1"/>
    </row>
    <row r="2979" spans="23:23" ht="26.4">
      <c r="W2979" s="64" ph="1"/>
    </row>
    <row r="2980" spans="23:23" ht="26.4">
      <c r="W2980" s="64" ph="1"/>
    </row>
    <row r="2981" spans="23:23" ht="26.4">
      <c r="W2981" s="64" ph="1"/>
    </row>
    <row r="2982" spans="23:23" ht="26.4">
      <c r="W2982" s="64" ph="1"/>
    </row>
    <row r="2983" spans="23:23" ht="26.4">
      <c r="W2983" s="64" ph="1"/>
    </row>
    <row r="2984" spans="23:23" ht="26.4">
      <c r="W2984" s="64" ph="1"/>
    </row>
    <row r="2985" spans="23:23" ht="26.4">
      <c r="W2985" s="64" ph="1"/>
    </row>
    <row r="2986" spans="23:23" ht="26.4">
      <c r="W2986" s="64" ph="1"/>
    </row>
    <row r="2987" spans="23:23" ht="26.4">
      <c r="W2987" s="64" ph="1"/>
    </row>
    <row r="2988" spans="23:23" ht="26.4">
      <c r="W2988" s="64" ph="1"/>
    </row>
    <row r="2989" spans="23:23" ht="26.4">
      <c r="W2989" s="64" ph="1"/>
    </row>
    <row r="2990" spans="23:23" ht="26.4">
      <c r="W2990" s="64" ph="1"/>
    </row>
    <row r="2991" spans="23:23" ht="26.4">
      <c r="W2991" s="64" ph="1"/>
    </row>
    <row r="2992" spans="23:23" ht="26.4">
      <c r="W2992" s="64" ph="1"/>
    </row>
    <row r="2993" spans="23:23" ht="26.4">
      <c r="W2993" s="64" ph="1"/>
    </row>
    <row r="2994" spans="23:23" ht="26.4">
      <c r="W2994" s="64" ph="1"/>
    </row>
    <row r="2995" spans="23:23" ht="26.4">
      <c r="W2995" s="64" ph="1"/>
    </row>
    <row r="2996" spans="23:23" ht="26.4">
      <c r="W2996" s="64" ph="1"/>
    </row>
    <row r="2997" spans="23:23" ht="26.4">
      <c r="W2997" s="64" ph="1"/>
    </row>
    <row r="2998" spans="23:23" ht="26.4">
      <c r="W2998" s="64" ph="1"/>
    </row>
    <row r="2999" spans="23:23" ht="26.4">
      <c r="W2999" s="64" ph="1"/>
    </row>
    <row r="3000" spans="23:23" ht="26.4">
      <c r="W3000" s="64" ph="1"/>
    </row>
    <row r="3001" spans="23:23" ht="26.4">
      <c r="W3001" s="64" ph="1"/>
    </row>
    <row r="3002" spans="23:23" ht="26.4">
      <c r="W3002" s="64" ph="1"/>
    </row>
    <row r="3003" spans="23:23" ht="26.4">
      <c r="W3003" s="64" ph="1"/>
    </row>
    <row r="3004" spans="23:23" ht="26.4">
      <c r="W3004" s="64" ph="1"/>
    </row>
    <row r="3005" spans="23:23" ht="26.4">
      <c r="W3005" s="64" ph="1"/>
    </row>
    <row r="3006" spans="23:23" ht="26.4">
      <c r="W3006" s="64" ph="1"/>
    </row>
    <row r="3007" spans="23:23" ht="26.4">
      <c r="W3007" s="64" ph="1"/>
    </row>
    <row r="3008" spans="23:23" ht="26.4">
      <c r="W3008" s="64" ph="1"/>
    </row>
    <row r="3009" spans="23:23" ht="26.4">
      <c r="W3009" s="64" ph="1"/>
    </row>
    <row r="3010" spans="23:23" ht="26.4">
      <c r="W3010" s="64" ph="1"/>
    </row>
    <row r="3011" spans="23:23" ht="26.4">
      <c r="W3011" s="64" ph="1"/>
    </row>
    <row r="3012" spans="23:23" ht="26.4">
      <c r="W3012" s="64" ph="1"/>
    </row>
    <row r="3013" spans="23:23" ht="26.4">
      <c r="W3013" s="64" ph="1"/>
    </row>
    <row r="3014" spans="23:23" ht="26.4">
      <c r="W3014" s="64" ph="1"/>
    </row>
    <row r="3015" spans="23:23" ht="26.4">
      <c r="W3015" s="64" ph="1"/>
    </row>
    <row r="3016" spans="23:23" ht="26.4">
      <c r="W3016" s="64" ph="1"/>
    </row>
    <row r="3017" spans="23:23" ht="26.4">
      <c r="W3017" s="64" ph="1"/>
    </row>
    <row r="3018" spans="23:23" ht="26.4">
      <c r="W3018" s="64" ph="1"/>
    </row>
    <row r="3019" spans="23:23" ht="26.4">
      <c r="W3019" s="64" ph="1"/>
    </row>
    <row r="3020" spans="23:23" ht="26.4">
      <c r="W3020" s="64" ph="1"/>
    </row>
    <row r="3021" spans="23:23" ht="26.4">
      <c r="W3021" s="64" ph="1"/>
    </row>
    <row r="3022" spans="23:23" ht="26.4">
      <c r="W3022" s="64" ph="1"/>
    </row>
    <row r="3023" spans="23:23" ht="26.4">
      <c r="W3023" s="64" ph="1"/>
    </row>
    <row r="3024" spans="23:23" ht="26.4">
      <c r="W3024" s="64" ph="1"/>
    </row>
    <row r="3025" spans="23:23" ht="26.4">
      <c r="W3025" s="64" ph="1"/>
    </row>
    <row r="3026" spans="23:23" ht="26.4">
      <c r="W3026" s="64" ph="1"/>
    </row>
    <row r="3027" spans="23:23" ht="26.4">
      <c r="W3027" s="64" ph="1"/>
    </row>
    <row r="3028" spans="23:23" ht="26.4">
      <c r="W3028" s="64" ph="1"/>
    </row>
    <row r="3029" spans="23:23" ht="26.4">
      <c r="W3029" s="64" ph="1"/>
    </row>
    <row r="3030" spans="23:23" ht="26.4">
      <c r="W3030" s="64" ph="1"/>
    </row>
    <row r="3031" spans="23:23" ht="26.4">
      <c r="W3031" s="64" ph="1"/>
    </row>
    <row r="3032" spans="23:23" ht="26.4">
      <c r="W3032" s="64" ph="1"/>
    </row>
    <row r="3033" spans="23:23" ht="26.4">
      <c r="W3033" s="64" ph="1"/>
    </row>
    <row r="3034" spans="23:23" ht="26.4">
      <c r="W3034" s="64" ph="1"/>
    </row>
    <row r="3035" spans="23:23" ht="26.4">
      <c r="W3035" s="64" ph="1"/>
    </row>
    <row r="3036" spans="23:23" ht="26.4">
      <c r="W3036" s="64" ph="1"/>
    </row>
    <row r="3037" spans="23:23" ht="26.4">
      <c r="W3037" s="64" ph="1"/>
    </row>
    <row r="3038" spans="23:23" ht="26.4">
      <c r="W3038" s="64" ph="1"/>
    </row>
    <row r="3039" spans="23:23" ht="26.4">
      <c r="W3039" s="64" ph="1"/>
    </row>
    <row r="3040" spans="23:23" ht="26.4">
      <c r="W3040" s="64" ph="1"/>
    </row>
    <row r="3041" spans="23:23" ht="26.4">
      <c r="W3041" s="64" ph="1"/>
    </row>
    <row r="3042" spans="23:23" ht="26.4">
      <c r="W3042" s="64" ph="1"/>
    </row>
    <row r="3043" spans="23:23" ht="26.4">
      <c r="W3043" s="64" ph="1"/>
    </row>
    <row r="3044" spans="23:23" ht="26.4">
      <c r="W3044" s="64" ph="1"/>
    </row>
    <row r="3045" spans="23:23" ht="26.4">
      <c r="W3045" s="64" ph="1"/>
    </row>
    <row r="3046" spans="23:23" ht="26.4">
      <c r="W3046" s="64" ph="1"/>
    </row>
    <row r="3047" spans="23:23" ht="26.4">
      <c r="W3047" s="64" ph="1"/>
    </row>
    <row r="3048" spans="23:23" ht="26.4">
      <c r="W3048" s="64" ph="1"/>
    </row>
    <row r="3049" spans="23:23" ht="26.4">
      <c r="W3049" s="64" ph="1"/>
    </row>
    <row r="3050" spans="23:23" ht="26.4">
      <c r="W3050" s="64" ph="1"/>
    </row>
    <row r="3051" spans="23:23" ht="26.4">
      <c r="W3051" s="64" ph="1"/>
    </row>
    <row r="3052" spans="23:23" ht="26.4">
      <c r="W3052" s="64" ph="1"/>
    </row>
    <row r="3053" spans="23:23" ht="26.4">
      <c r="W3053" s="64" ph="1"/>
    </row>
    <row r="3054" spans="23:23" ht="26.4">
      <c r="W3054" s="64" ph="1"/>
    </row>
    <row r="3055" spans="23:23" ht="26.4">
      <c r="W3055" s="64" ph="1"/>
    </row>
    <row r="3056" spans="23:23" ht="26.4">
      <c r="W3056" s="64" ph="1"/>
    </row>
    <row r="3057" spans="23:23" ht="26.4">
      <c r="W3057" s="64" ph="1"/>
    </row>
    <row r="3058" spans="23:23" ht="26.4">
      <c r="W3058" s="64" ph="1"/>
    </row>
    <row r="3059" spans="23:23" ht="26.4">
      <c r="W3059" s="64" ph="1"/>
    </row>
    <row r="3060" spans="23:23" ht="26.4">
      <c r="W3060" s="64" ph="1"/>
    </row>
    <row r="3061" spans="23:23" ht="26.4">
      <c r="W3061" s="64" ph="1"/>
    </row>
    <row r="3062" spans="23:23" ht="26.4">
      <c r="W3062" s="64" ph="1"/>
    </row>
    <row r="3063" spans="23:23" ht="26.4">
      <c r="W3063" s="64" ph="1"/>
    </row>
    <row r="3064" spans="23:23" ht="26.4">
      <c r="W3064" s="64" ph="1"/>
    </row>
    <row r="3065" spans="23:23" ht="26.4">
      <c r="W3065" s="64" ph="1"/>
    </row>
    <row r="3066" spans="23:23" ht="26.4">
      <c r="W3066" s="64" ph="1"/>
    </row>
    <row r="3067" spans="23:23" ht="26.4">
      <c r="W3067" s="64" ph="1"/>
    </row>
    <row r="3068" spans="23:23" ht="26.4">
      <c r="W3068" s="64" ph="1"/>
    </row>
    <row r="3069" spans="23:23" ht="26.4">
      <c r="W3069" s="64" ph="1"/>
    </row>
    <row r="3070" spans="23:23" ht="26.4">
      <c r="W3070" s="64" ph="1"/>
    </row>
    <row r="3071" spans="23:23" ht="26.4">
      <c r="W3071" s="64" ph="1"/>
    </row>
    <row r="3072" spans="23:23" ht="26.4">
      <c r="W3072" s="64" ph="1"/>
    </row>
    <row r="3073" spans="23:23" ht="26.4">
      <c r="W3073" s="64" ph="1"/>
    </row>
    <row r="3074" spans="23:23" ht="26.4">
      <c r="W3074" s="64" ph="1"/>
    </row>
    <row r="3075" spans="23:23" ht="26.4">
      <c r="W3075" s="64" ph="1"/>
    </row>
    <row r="3076" spans="23:23" ht="26.4">
      <c r="W3076" s="64" ph="1"/>
    </row>
    <row r="3077" spans="23:23" ht="26.4">
      <c r="W3077" s="64" ph="1"/>
    </row>
    <row r="3078" spans="23:23" ht="26.4">
      <c r="W3078" s="64" ph="1"/>
    </row>
    <row r="3079" spans="23:23" ht="26.4">
      <c r="W3079" s="64" ph="1"/>
    </row>
    <row r="3080" spans="23:23" ht="26.4">
      <c r="W3080" s="64" ph="1"/>
    </row>
    <row r="3081" spans="23:23" ht="26.4">
      <c r="W3081" s="64" ph="1"/>
    </row>
    <row r="3082" spans="23:23" ht="26.4">
      <c r="W3082" s="64" ph="1"/>
    </row>
    <row r="3083" spans="23:23" ht="26.4">
      <c r="W3083" s="64" ph="1"/>
    </row>
    <row r="3084" spans="23:23" ht="26.4">
      <c r="W3084" s="64" ph="1"/>
    </row>
    <row r="3085" spans="23:23" ht="26.4">
      <c r="W3085" s="64" ph="1"/>
    </row>
    <row r="3086" spans="23:23" ht="26.4">
      <c r="W3086" s="64" ph="1"/>
    </row>
    <row r="3087" spans="23:23" ht="26.4">
      <c r="W3087" s="64" ph="1"/>
    </row>
    <row r="3088" spans="23:23" ht="26.4">
      <c r="W3088" s="64" ph="1"/>
    </row>
    <row r="3089" spans="23:23" ht="26.4">
      <c r="W3089" s="64" ph="1"/>
    </row>
    <row r="3090" spans="23:23" ht="26.4">
      <c r="W3090" s="64" ph="1"/>
    </row>
    <row r="3091" spans="23:23" ht="26.4">
      <c r="W3091" s="64" ph="1"/>
    </row>
    <row r="3092" spans="23:23" ht="26.4">
      <c r="W3092" s="64" ph="1"/>
    </row>
    <row r="3093" spans="23:23" ht="26.4">
      <c r="W3093" s="64" ph="1"/>
    </row>
    <row r="3094" spans="23:23" ht="26.4">
      <c r="W3094" s="64" ph="1"/>
    </row>
    <row r="3095" spans="23:23" ht="26.4">
      <c r="W3095" s="64" ph="1"/>
    </row>
    <row r="3096" spans="23:23" ht="26.4">
      <c r="W3096" s="64" ph="1"/>
    </row>
    <row r="3097" spans="23:23" ht="26.4">
      <c r="W3097" s="64" ph="1"/>
    </row>
    <row r="3098" spans="23:23" ht="26.4">
      <c r="W3098" s="64" ph="1"/>
    </row>
    <row r="3099" spans="23:23" ht="26.4">
      <c r="W3099" s="64" ph="1"/>
    </row>
    <row r="3100" spans="23:23" ht="26.4">
      <c r="W3100" s="64" ph="1"/>
    </row>
    <row r="3101" spans="23:23" ht="26.4">
      <c r="W3101" s="64" ph="1"/>
    </row>
    <row r="3102" spans="23:23" ht="26.4">
      <c r="W3102" s="64" ph="1"/>
    </row>
    <row r="3103" spans="23:23" ht="26.4">
      <c r="W3103" s="64" ph="1"/>
    </row>
    <row r="3104" spans="23:23" ht="26.4">
      <c r="W3104" s="64" ph="1"/>
    </row>
    <row r="3105" spans="23:23" ht="26.4">
      <c r="W3105" s="64" ph="1"/>
    </row>
    <row r="3106" spans="23:23" ht="26.4">
      <c r="W3106" s="64" ph="1"/>
    </row>
    <row r="3107" spans="23:23" ht="26.4">
      <c r="W3107" s="64" ph="1"/>
    </row>
    <row r="3108" spans="23:23" ht="26.4">
      <c r="W3108" s="64" ph="1"/>
    </row>
    <row r="3109" spans="23:23" ht="26.4">
      <c r="W3109" s="64" ph="1"/>
    </row>
    <row r="3110" spans="23:23" ht="26.4">
      <c r="W3110" s="64" ph="1"/>
    </row>
    <row r="3111" spans="23:23" ht="26.4">
      <c r="W3111" s="64" ph="1"/>
    </row>
    <row r="3112" spans="23:23" ht="26.4">
      <c r="W3112" s="64" ph="1"/>
    </row>
    <row r="3113" spans="23:23" ht="26.4">
      <c r="W3113" s="64" ph="1"/>
    </row>
    <row r="3114" spans="23:23" ht="26.4">
      <c r="W3114" s="64" ph="1"/>
    </row>
    <row r="3115" spans="23:23" ht="26.4">
      <c r="W3115" s="64" ph="1"/>
    </row>
    <row r="3116" spans="23:23" ht="26.4">
      <c r="W3116" s="64" ph="1"/>
    </row>
    <row r="3117" spans="23:23" ht="26.4">
      <c r="W3117" s="64" ph="1"/>
    </row>
    <row r="3118" spans="23:23" ht="26.4">
      <c r="W3118" s="64" ph="1"/>
    </row>
    <row r="3119" spans="23:23" ht="26.4">
      <c r="W3119" s="64" ph="1"/>
    </row>
    <row r="3120" spans="23:23" ht="26.4">
      <c r="W3120" s="64" ph="1"/>
    </row>
    <row r="3121" spans="23:23" ht="26.4">
      <c r="W3121" s="64" ph="1"/>
    </row>
    <row r="3122" spans="23:23" ht="26.4">
      <c r="W3122" s="64" ph="1"/>
    </row>
    <row r="3123" spans="23:23" ht="26.4">
      <c r="W3123" s="64" ph="1"/>
    </row>
    <row r="3124" spans="23:23" ht="26.4">
      <c r="W3124" s="64" ph="1"/>
    </row>
    <row r="3125" spans="23:23" ht="26.4">
      <c r="W3125" s="64" ph="1"/>
    </row>
    <row r="3126" spans="23:23" ht="26.4">
      <c r="W3126" s="64" ph="1"/>
    </row>
    <row r="3127" spans="23:23" ht="26.4">
      <c r="W3127" s="64" ph="1"/>
    </row>
    <row r="3128" spans="23:23" ht="26.4">
      <c r="W3128" s="64" ph="1"/>
    </row>
    <row r="3129" spans="23:23" ht="26.4">
      <c r="W3129" s="64" ph="1"/>
    </row>
    <row r="3130" spans="23:23" ht="26.4">
      <c r="W3130" s="64" ph="1"/>
    </row>
    <row r="3131" spans="23:23" ht="26.4">
      <c r="W3131" s="64" ph="1"/>
    </row>
    <row r="3132" spans="23:23" ht="26.4">
      <c r="W3132" s="64" ph="1"/>
    </row>
    <row r="3133" spans="23:23" ht="26.4">
      <c r="W3133" s="64" ph="1"/>
    </row>
    <row r="3134" spans="23:23" ht="26.4">
      <c r="W3134" s="64" ph="1"/>
    </row>
    <row r="3135" spans="23:23" ht="26.4">
      <c r="W3135" s="64" ph="1"/>
    </row>
    <row r="3136" spans="23:23" ht="26.4">
      <c r="W3136" s="64" ph="1"/>
    </row>
    <row r="3137" spans="23:23" ht="26.4">
      <c r="W3137" s="64" ph="1"/>
    </row>
    <row r="3138" spans="23:23" ht="26.4">
      <c r="W3138" s="64" ph="1"/>
    </row>
    <row r="3139" spans="23:23" ht="26.4">
      <c r="W3139" s="64" ph="1"/>
    </row>
    <row r="3140" spans="23:23" ht="26.4">
      <c r="W3140" s="64" ph="1"/>
    </row>
    <row r="3141" spans="23:23" ht="26.4">
      <c r="W3141" s="64" ph="1"/>
    </row>
    <row r="3142" spans="23:23" ht="26.4">
      <c r="W3142" s="64" ph="1"/>
    </row>
    <row r="3143" spans="23:23" ht="26.4">
      <c r="W3143" s="64" ph="1"/>
    </row>
    <row r="3144" spans="23:23" ht="26.4">
      <c r="W3144" s="64" ph="1"/>
    </row>
    <row r="3145" spans="23:23" ht="26.4">
      <c r="W3145" s="64" ph="1"/>
    </row>
    <row r="3146" spans="23:23" ht="26.4">
      <c r="W3146" s="64" ph="1"/>
    </row>
    <row r="3147" spans="23:23" ht="26.4">
      <c r="W3147" s="64" ph="1"/>
    </row>
    <row r="3148" spans="23:23" ht="26.4">
      <c r="W3148" s="64" ph="1"/>
    </row>
    <row r="3149" spans="23:23" ht="26.4">
      <c r="W3149" s="64" ph="1"/>
    </row>
    <row r="3150" spans="23:23" ht="26.4">
      <c r="W3150" s="64" ph="1"/>
    </row>
    <row r="3151" spans="23:23" ht="26.4">
      <c r="W3151" s="64" ph="1"/>
    </row>
    <row r="3152" spans="23:23" ht="26.4">
      <c r="W3152" s="64" ph="1"/>
    </row>
    <row r="3153" spans="23:23" ht="26.4">
      <c r="W3153" s="64" ph="1"/>
    </row>
    <row r="3154" spans="23:23" ht="26.4">
      <c r="W3154" s="64" ph="1"/>
    </row>
    <row r="3155" spans="23:23" ht="26.4">
      <c r="W3155" s="64" ph="1"/>
    </row>
    <row r="3156" spans="23:23" ht="26.4">
      <c r="W3156" s="64" ph="1"/>
    </row>
    <row r="3157" spans="23:23" ht="26.4">
      <c r="W3157" s="64" ph="1"/>
    </row>
    <row r="3158" spans="23:23" ht="26.4">
      <c r="W3158" s="64" ph="1"/>
    </row>
    <row r="3159" spans="23:23" ht="26.4">
      <c r="W3159" s="64" ph="1"/>
    </row>
    <row r="3160" spans="23:23" ht="26.4">
      <c r="W3160" s="64" ph="1"/>
    </row>
    <row r="3161" spans="23:23" ht="26.4">
      <c r="W3161" s="64" ph="1"/>
    </row>
    <row r="3162" spans="23:23" ht="26.4">
      <c r="W3162" s="64" ph="1"/>
    </row>
    <row r="3163" spans="23:23" ht="26.4">
      <c r="W3163" s="64" ph="1"/>
    </row>
    <row r="3164" spans="23:23" ht="26.4">
      <c r="W3164" s="64" ph="1"/>
    </row>
    <row r="3165" spans="23:23" ht="26.4">
      <c r="W3165" s="64" ph="1"/>
    </row>
    <row r="3166" spans="23:23" ht="26.4">
      <c r="W3166" s="64" ph="1"/>
    </row>
    <row r="3167" spans="23:23" ht="26.4">
      <c r="W3167" s="64" ph="1"/>
    </row>
    <row r="3168" spans="23:23" ht="26.4">
      <c r="W3168" s="64" ph="1"/>
    </row>
    <row r="3169" spans="23:23" ht="26.4">
      <c r="W3169" s="64" ph="1"/>
    </row>
    <row r="3170" spans="23:23" ht="26.4">
      <c r="W3170" s="64" ph="1"/>
    </row>
    <row r="3171" spans="23:23" ht="26.4">
      <c r="W3171" s="64" ph="1"/>
    </row>
    <row r="3172" spans="23:23" ht="26.4">
      <c r="W3172" s="64" ph="1"/>
    </row>
    <row r="3173" spans="23:23" ht="26.4">
      <c r="W3173" s="64" ph="1"/>
    </row>
    <row r="3174" spans="23:23" ht="26.4">
      <c r="W3174" s="64" ph="1"/>
    </row>
    <row r="3175" spans="23:23" ht="26.4">
      <c r="W3175" s="64" ph="1"/>
    </row>
    <row r="3176" spans="23:23" ht="26.4">
      <c r="W3176" s="64" ph="1"/>
    </row>
    <row r="3177" spans="23:23" ht="26.4">
      <c r="W3177" s="64" ph="1"/>
    </row>
    <row r="3178" spans="23:23" ht="26.4">
      <c r="W3178" s="64" ph="1"/>
    </row>
    <row r="3179" spans="23:23" ht="26.4">
      <c r="W3179" s="64" ph="1"/>
    </row>
    <row r="3180" spans="23:23" ht="26.4">
      <c r="W3180" s="64" ph="1"/>
    </row>
    <row r="3181" spans="23:23" ht="26.4">
      <c r="W3181" s="64" ph="1"/>
    </row>
    <row r="3182" spans="23:23" ht="26.4">
      <c r="W3182" s="64" ph="1"/>
    </row>
    <row r="3183" spans="23:23" ht="26.4">
      <c r="W3183" s="64" ph="1"/>
    </row>
    <row r="3184" spans="23:23" ht="26.4">
      <c r="W3184" s="64" ph="1"/>
    </row>
    <row r="3185" spans="23:23" ht="26.4">
      <c r="W3185" s="64" ph="1"/>
    </row>
    <row r="3186" spans="23:23" ht="26.4">
      <c r="W3186" s="64" ph="1"/>
    </row>
    <row r="3187" spans="23:23" ht="26.4">
      <c r="W3187" s="64" ph="1"/>
    </row>
    <row r="3188" spans="23:23" ht="26.4">
      <c r="W3188" s="64" ph="1"/>
    </row>
    <row r="3189" spans="23:23" ht="26.4">
      <c r="W3189" s="64" ph="1"/>
    </row>
    <row r="3190" spans="23:23" ht="26.4">
      <c r="W3190" s="64" ph="1"/>
    </row>
    <row r="3191" spans="23:23" ht="26.4">
      <c r="W3191" s="64" ph="1"/>
    </row>
    <row r="3192" spans="23:23" ht="26.4">
      <c r="W3192" s="64" ph="1"/>
    </row>
    <row r="3193" spans="23:23" ht="26.4">
      <c r="W3193" s="64" ph="1"/>
    </row>
    <row r="3194" spans="23:23" ht="26.4">
      <c r="W3194" s="64" ph="1"/>
    </row>
    <row r="3195" spans="23:23" ht="26.4">
      <c r="W3195" s="64" ph="1"/>
    </row>
    <row r="3196" spans="23:23" ht="26.4">
      <c r="W3196" s="64" ph="1"/>
    </row>
    <row r="3197" spans="23:23" ht="26.4">
      <c r="W3197" s="64" ph="1"/>
    </row>
    <row r="3198" spans="23:23" ht="26.4">
      <c r="W3198" s="64" ph="1"/>
    </row>
    <row r="3199" spans="23:23" ht="26.4">
      <c r="W3199" s="64" ph="1"/>
    </row>
    <row r="3200" spans="23:23" ht="26.4">
      <c r="W3200" s="64" ph="1"/>
    </row>
    <row r="3201" spans="23:23" ht="26.4">
      <c r="W3201" s="64" ph="1"/>
    </row>
    <row r="3202" spans="23:23" ht="26.4">
      <c r="W3202" s="64" ph="1"/>
    </row>
    <row r="3203" spans="23:23" ht="26.4">
      <c r="W3203" s="64" ph="1"/>
    </row>
    <row r="3204" spans="23:23" ht="26.4">
      <c r="W3204" s="64" ph="1"/>
    </row>
    <row r="3205" spans="23:23" ht="26.4">
      <c r="W3205" s="64" ph="1"/>
    </row>
    <row r="3206" spans="23:23" ht="26.4">
      <c r="W3206" s="64" ph="1"/>
    </row>
    <row r="3207" spans="23:23" ht="26.4">
      <c r="W3207" s="64" ph="1"/>
    </row>
    <row r="3208" spans="23:23" ht="26.4">
      <c r="W3208" s="64" ph="1"/>
    </row>
    <row r="3209" spans="23:23" ht="26.4">
      <c r="W3209" s="64" ph="1"/>
    </row>
    <row r="3210" spans="23:23" ht="26.4">
      <c r="W3210" s="64" ph="1"/>
    </row>
    <row r="3211" spans="23:23" ht="26.4">
      <c r="W3211" s="64" ph="1"/>
    </row>
    <row r="3212" spans="23:23" ht="26.4">
      <c r="W3212" s="64" ph="1"/>
    </row>
    <row r="3213" spans="23:23" ht="26.4">
      <c r="W3213" s="64" ph="1"/>
    </row>
    <row r="3214" spans="23:23" ht="26.4">
      <c r="W3214" s="64" ph="1"/>
    </row>
    <row r="3215" spans="23:23" ht="26.4">
      <c r="W3215" s="64" ph="1"/>
    </row>
    <row r="3216" spans="23:23" ht="26.4">
      <c r="W3216" s="64" ph="1"/>
    </row>
    <row r="3217" spans="23:23" ht="26.4">
      <c r="W3217" s="64" ph="1"/>
    </row>
    <row r="3218" spans="23:23" ht="26.4">
      <c r="W3218" s="64" ph="1"/>
    </row>
    <row r="3219" spans="23:23" ht="26.4">
      <c r="W3219" s="64" ph="1"/>
    </row>
    <row r="3220" spans="23:23" ht="26.4">
      <c r="W3220" s="64" ph="1"/>
    </row>
    <row r="3221" spans="23:23" ht="26.4">
      <c r="W3221" s="64" ph="1"/>
    </row>
    <row r="3222" spans="23:23" ht="26.4">
      <c r="W3222" s="64" ph="1"/>
    </row>
    <row r="3223" spans="23:23" ht="26.4">
      <c r="W3223" s="64" ph="1"/>
    </row>
    <row r="3224" spans="23:23" ht="26.4">
      <c r="W3224" s="64" ph="1"/>
    </row>
    <row r="3225" spans="23:23" ht="26.4">
      <c r="W3225" s="64" ph="1"/>
    </row>
    <row r="3226" spans="23:23" ht="26.4">
      <c r="W3226" s="64" ph="1"/>
    </row>
    <row r="3227" spans="23:23" ht="26.4">
      <c r="W3227" s="64" ph="1"/>
    </row>
    <row r="3228" spans="23:23" ht="26.4">
      <c r="W3228" s="64" ph="1"/>
    </row>
    <row r="3229" spans="23:23" ht="26.4">
      <c r="W3229" s="64" ph="1"/>
    </row>
    <row r="3230" spans="23:23" ht="26.4">
      <c r="W3230" s="64" ph="1"/>
    </row>
    <row r="3231" spans="23:23" ht="26.4">
      <c r="W3231" s="64" ph="1"/>
    </row>
    <row r="3232" spans="23:23" ht="26.4">
      <c r="W3232" s="64" ph="1"/>
    </row>
    <row r="3233" spans="23:23" ht="26.4">
      <c r="W3233" s="64" ph="1"/>
    </row>
    <row r="3234" spans="23:23" ht="26.4">
      <c r="W3234" s="64" ph="1"/>
    </row>
    <row r="3235" spans="23:23" ht="26.4">
      <c r="W3235" s="64" ph="1"/>
    </row>
    <row r="3236" spans="23:23" ht="26.4">
      <c r="W3236" s="64" ph="1"/>
    </row>
    <row r="3237" spans="23:23" ht="26.4">
      <c r="W3237" s="64" ph="1"/>
    </row>
    <row r="3238" spans="23:23" ht="26.4">
      <c r="W3238" s="64" ph="1"/>
    </row>
    <row r="3239" spans="23:23" ht="26.4">
      <c r="W3239" s="64" ph="1"/>
    </row>
    <row r="3240" spans="23:23" ht="26.4">
      <c r="W3240" s="64" ph="1"/>
    </row>
    <row r="3241" spans="23:23" ht="26.4">
      <c r="W3241" s="64" ph="1"/>
    </row>
    <row r="3242" spans="23:23" ht="26.4">
      <c r="W3242" s="64" ph="1"/>
    </row>
    <row r="3243" spans="23:23" ht="26.4">
      <c r="W3243" s="64" ph="1"/>
    </row>
    <row r="3244" spans="23:23" ht="26.4">
      <c r="W3244" s="64" ph="1"/>
    </row>
    <row r="3245" spans="23:23" ht="26.4">
      <c r="W3245" s="64" ph="1"/>
    </row>
    <row r="3246" spans="23:23" ht="26.4">
      <c r="W3246" s="64" ph="1"/>
    </row>
    <row r="3247" spans="23:23" ht="26.4">
      <c r="W3247" s="64" ph="1"/>
    </row>
    <row r="3248" spans="23:23" ht="26.4">
      <c r="W3248" s="64" ph="1"/>
    </row>
    <row r="3249" spans="23:23" ht="26.4">
      <c r="W3249" s="64" ph="1"/>
    </row>
    <row r="3250" spans="23:23" ht="26.4">
      <c r="W3250" s="64" ph="1"/>
    </row>
    <row r="3251" spans="23:23" ht="26.4">
      <c r="W3251" s="64" ph="1"/>
    </row>
    <row r="3252" spans="23:23" ht="26.4">
      <c r="W3252" s="64" ph="1"/>
    </row>
    <row r="3253" spans="23:23" ht="26.4">
      <c r="W3253" s="64" ph="1"/>
    </row>
    <row r="3254" spans="23:23" ht="26.4">
      <c r="W3254" s="64" ph="1"/>
    </row>
    <row r="3255" spans="23:23" ht="26.4">
      <c r="W3255" s="64" ph="1"/>
    </row>
    <row r="3256" spans="23:23" ht="26.4">
      <c r="W3256" s="64" ph="1"/>
    </row>
    <row r="3257" spans="23:23" ht="26.4">
      <c r="W3257" s="64" ph="1"/>
    </row>
    <row r="3258" spans="23:23" ht="26.4">
      <c r="W3258" s="64" ph="1"/>
    </row>
    <row r="3259" spans="23:23" ht="26.4">
      <c r="W3259" s="64" ph="1"/>
    </row>
    <row r="3260" spans="23:23" ht="26.4">
      <c r="W3260" s="64" ph="1"/>
    </row>
    <row r="3261" spans="23:23" ht="26.4">
      <c r="W3261" s="64" ph="1"/>
    </row>
    <row r="3262" spans="23:23" ht="26.4">
      <c r="W3262" s="64" ph="1"/>
    </row>
    <row r="3263" spans="23:23" ht="26.4">
      <c r="W3263" s="64" ph="1"/>
    </row>
    <row r="3264" spans="23:23" ht="26.4">
      <c r="W3264" s="64" ph="1"/>
    </row>
    <row r="3265" spans="23:23" ht="26.4">
      <c r="W3265" s="64" ph="1"/>
    </row>
    <row r="3266" spans="23:23" ht="26.4">
      <c r="W3266" s="64" ph="1"/>
    </row>
    <row r="3267" spans="23:23" ht="26.4">
      <c r="W3267" s="64" ph="1"/>
    </row>
    <row r="3268" spans="23:23" ht="26.4">
      <c r="W3268" s="64" ph="1"/>
    </row>
    <row r="3269" spans="23:23" ht="26.4">
      <c r="W3269" s="64" ph="1"/>
    </row>
    <row r="3270" spans="23:23" ht="26.4">
      <c r="W3270" s="64" ph="1"/>
    </row>
    <row r="3271" spans="23:23" ht="26.4">
      <c r="W3271" s="64" ph="1"/>
    </row>
    <row r="3272" spans="23:23" ht="26.4">
      <c r="W3272" s="64" ph="1"/>
    </row>
    <row r="3273" spans="23:23" ht="26.4">
      <c r="W3273" s="64" ph="1"/>
    </row>
    <row r="3274" spans="23:23" ht="26.4">
      <c r="W3274" s="64" ph="1"/>
    </row>
    <row r="3275" spans="23:23" ht="26.4">
      <c r="W3275" s="64" ph="1"/>
    </row>
    <row r="3276" spans="23:23" ht="26.4">
      <c r="W3276" s="64" ph="1"/>
    </row>
    <row r="3277" spans="23:23" ht="26.4">
      <c r="W3277" s="64" ph="1"/>
    </row>
    <row r="3278" spans="23:23" ht="26.4">
      <c r="W3278" s="64" ph="1"/>
    </row>
    <row r="3279" spans="23:23" ht="26.4">
      <c r="W3279" s="64" ph="1"/>
    </row>
    <row r="3280" spans="23:23" ht="26.4">
      <c r="W3280" s="64" ph="1"/>
    </row>
    <row r="3281" spans="23:23" ht="26.4">
      <c r="W3281" s="64" ph="1"/>
    </row>
    <row r="3282" spans="23:23" ht="26.4">
      <c r="W3282" s="64" ph="1"/>
    </row>
    <row r="3283" spans="23:23" ht="26.4">
      <c r="W3283" s="64" ph="1"/>
    </row>
    <row r="3284" spans="23:23" ht="26.4">
      <c r="W3284" s="64" ph="1"/>
    </row>
    <row r="3285" spans="23:23" ht="26.4">
      <c r="W3285" s="64" ph="1"/>
    </row>
    <row r="3286" spans="23:23" ht="26.4">
      <c r="W3286" s="64" ph="1"/>
    </row>
    <row r="3287" spans="23:23" ht="26.4">
      <c r="W3287" s="64" ph="1"/>
    </row>
    <row r="3288" spans="23:23" ht="26.4">
      <c r="W3288" s="64" ph="1"/>
    </row>
    <row r="3289" spans="23:23" ht="26.4">
      <c r="W3289" s="64" ph="1"/>
    </row>
    <row r="3290" spans="23:23" ht="26.4">
      <c r="W3290" s="64" ph="1"/>
    </row>
    <row r="3291" spans="23:23" ht="26.4">
      <c r="W3291" s="64" ph="1"/>
    </row>
    <row r="3292" spans="23:23" ht="26.4">
      <c r="W3292" s="64" ph="1"/>
    </row>
    <row r="3293" spans="23:23" ht="26.4">
      <c r="W3293" s="64" ph="1"/>
    </row>
    <row r="3294" spans="23:23" ht="26.4">
      <c r="W3294" s="64" ph="1"/>
    </row>
    <row r="3295" spans="23:23" ht="26.4">
      <c r="W3295" s="64" ph="1"/>
    </row>
    <row r="3296" spans="23:23" ht="26.4">
      <c r="W3296" s="64" ph="1"/>
    </row>
    <row r="3297" spans="23:23" ht="26.4">
      <c r="W3297" s="64" ph="1"/>
    </row>
    <row r="3298" spans="23:23" ht="26.4">
      <c r="W3298" s="64" ph="1"/>
    </row>
    <row r="3299" spans="23:23" ht="26.4">
      <c r="W3299" s="64" ph="1"/>
    </row>
    <row r="3300" spans="23:23" ht="26.4">
      <c r="W3300" s="64" ph="1"/>
    </row>
    <row r="3301" spans="23:23" ht="26.4">
      <c r="W3301" s="64" ph="1"/>
    </row>
    <row r="3302" spans="23:23" ht="26.4">
      <c r="W3302" s="64" ph="1"/>
    </row>
    <row r="3303" spans="23:23" ht="26.4">
      <c r="W3303" s="64" ph="1"/>
    </row>
    <row r="3304" spans="23:23" ht="26.4">
      <c r="W3304" s="64" ph="1"/>
    </row>
    <row r="3305" spans="23:23" ht="26.4">
      <c r="W3305" s="64" ph="1"/>
    </row>
    <row r="3306" spans="23:23" ht="26.4">
      <c r="W3306" s="64" ph="1"/>
    </row>
    <row r="3307" spans="23:23" ht="26.4">
      <c r="W3307" s="64" ph="1"/>
    </row>
    <row r="3308" spans="23:23" ht="26.4">
      <c r="W3308" s="64" ph="1"/>
    </row>
    <row r="3309" spans="23:23" ht="26.4">
      <c r="W3309" s="64" ph="1"/>
    </row>
    <row r="3310" spans="23:23" ht="26.4">
      <c r="W3310" s="64" ph="1"/>
    </row>
    <row r="3311" spans="23:23" ht="26.4">
      <c r="W3311" s="64" ph="1"/>
    </row>
    <row r="3312" spans="23:23" ht="26.4">
      <c r="W3312" s="64" ph="1"/>
    </row>
    <row r="3313" spans="23:23" ht="26.4">
      <c r="W3313" s="64" ph="1"/>
    </row>
    <row r="3314" spans="23:23" ht="26.4">
      <c r="W3314" s="64" ph="1"/>
    </row>
    <row r="3315" spans="23:23" ht="26.4">
      <c r="W3315" s="64" ph="1"/>
    </row>
    <row r="3316" spans="23:23" ht="26.4">
      <c r="W3316" s="64" ph="1"/>
    </row>
    <row r="3317" spans="23:23" ht="26.4">
      <c r="W3317" s="64" ph="1"/>
    </row>
    <row r="3318" spans="23:23" ht="26.4">
      <c r="W3318" s="64" ph="1"/>
    </row>
    <row r="3319" spans="23:23" ht="26.4">
      <c r="W3319" s="64" ph="1"/>
    </row>
    <row r="3320" spans="23:23" ht="26.4">
      <c r="W3320" s="64" ph="1"/>
    </row>
    <row r="3321" spans="23:23" ht="26.4">
      <c r="W3321" s="64" ph="1"/>
    </row>
    <row r="3322" spans="23:23" ht="26.4">
      <c r="W3322" s="64" ph="1"/>
    </row>
    <row r="3323" spans="23:23" ht="26.4">
      <c r="W3323" s="64" ph="1"/>
    </row>
    <row r="3324" spans="23:23" ht="26.4">
      <c r="W3324" s="64" ph="1"/>
    </row>
    <row r="3325" spans="23:23" ht="26.4">
      <c r="W3325" s="64" ph="1"/>
    </row>
    <row r="3326" spans="23:23" ht="26.4">
      <c r="W3326" s="64" ph="1"/>
    </row>
    <row r="3327" spans="23:23" ht="26.4">
      <c r="W3327" s="64" ph="1"/>
    </row>
    <row r="3328" spans="23:23" ht="26.4">
      <c r="W3328" s="64" ph="1"/>
    </row>
    <row r="3329" spans="23:23" ht="26.4">
      <c r="W3329" s="64" ph="1"/>
    </row>
    <row r="3330" spans="23:23" ht="26.4">
      <c r="W3330" s="64" ph="1"/>
    </row>
    <row r="3331" spans="23:23" ht="26.4">
      <c r="W3331" s="64" ph="1"/>
    </row>
    <row r="3332" spans="23:23" ht="26.4">
      <c r="W3332" s="64" ph="1"/>
    </row>
    <row r="3333" spans="23:23" ht="26.4">
      <c r="W3333" s="64" ph="1"/>
    </row>
    <row r="3334" spans="23:23" ht="26.4">
      <c r="W3334" s="64" ph="1"/>
    </row>
    <row r="3335" spans="23:23" ht="26.4">
      <c r="W3335" s="64" ph="1"/>
    </row>
    <row r="3336" spans="23:23" ht="26.4">
      <c r="W3336" s="64" ph="1"/>
    </row>
    <row r="3337" spans="23:23" ht="26.4">
      <c r="W3337" s="64" ph="1"/>
    </row>
    <row r="3338" spans="23:23" ht="26.4">
      <c r="W3338" s="64" ph="1"/>
    </row>
    <row r="3339" spans="23:23" ht="26.4">
      <c r="W3339" s="64" ph="1"/>
    </row>
    <row r="3340" spans="23:23" ht="26.4">
      <c r="W3340" s="64" ph="1"/>
    </row>
    <row r="3341" spans="23:23" ht="26.4">
      <c r="W3341" s="64" ph="1"/>
    </row>
    <row r="3342" spans="23:23" ht="26.4">
      <c r="W3342" s="64" ph="1"/>
    </row>
    <row r="3343" spans="23:23" ht="26.4">
      <c r="W3343" s="64" ph="1"/>
    </row>
    <row r="3344" spans="23:23" ht="26.4">
      <c r="W3344" s="64" ph="1"/>
    </row>
    <row r="3345" spans="23:23" ht="26.4">
      <c r="W3345" s="64" ph="1"/>
    </row>
    <row r="3346" spans="23:23" ht="26.4">
      <c r="W3346" s="64" ph="1"/>
    </row>
    <row r="3347" spans="23:23" ht="26.4">
      <c r="W3347" s="64" ph="1"/>
    </row>
    <row r="3348" spans="23:23" ht="26.4">
      <c r="W3348" s="64" ph="1"/>
    </row>
    <row r="3349" spans="23:23" ht="26.4">
      <c r="W3349" s="64" ph="1"/>
    </row>
    <row r="3350" spans="23:23" ht="26.4">
      <c r="W3350" s="64" ph="1"/>
    </row>
    <row r="3351" spans="23:23" ht="26.4">
      <c r="W3351" s="64" ph="1"/>
    </row>
    <row r="3352" spans="23:23" ht="26.4">
      <c r="W3352" s="64" ph="1"/>
    </row>
    <row r="3353" spans="23:23" ht="26.4">
      <c r="W3353" s="64" ph="1"/>
    </row>
    <row r="3354" spans="23:23" ht="26.4">
      <c r="W3354" s="64" ph="1"/>
    </row>
    <row r="3355" spans="23:23" ht="26.4">
      <c r="W3355" s="64" ph="1"/>
    </row>
    <row r="3356" spans="23:23" ht="26.4">
      <c r="W3356" s="64" ph="1"/>
    </row>
    <row r="3357" spans="23:23" ht="26.4">
      <c r="W3357" s="64" ph="1"/>
    </row>
    <row r="3358" spans="23:23" ht="26.4">
      <c r="W3358" s="64" ph="1"/>
    </row>
    <row r="3359" spans="23:23" ht="26.4">
      <c r="W3359" s="64" ph="1"/>
    </row>
    <row r="3360" spans="23:23" ht="26.4">
      <c r="W3360" s="64" ph="1"/>
    </row>
    <row r="3361" spans="23:23" ht="26.4">
      <c r="W3361" s="64" ph="1"/>
    </row>
    <row r="3362" spans="23:23" ht="26.4">
      <c r="W3362" s="64" ph="1"/>
    </row>
    <row r="3363" spans="23:23" ht="26.4">
      <c r="W3363" s="64" ph="1"/>
    </row>
    <row r="3364" spans="23:23" ht="26.4">
      <c r="W3364" s="64" ph="1"/>
    </row>
    <row r="3365" spans="23:23" ht="26.4">
      <c r="W3365" s="64" ph="1"/>
    </row>
    <row r="3366" spans="23:23" ht="26.4">
      <c r="W3366" s="64" ph="1"/>
    </row>
    <row r="3367" spans="23:23" ht="26.4">
      <c r="W3367" s="64" ph="1"/>
    </row>
    <row r="3368" spans="23:23" ht="26.4">
      <c r="W3368" s="64" ph="1"/>
    </row>
    <row r="3369" spans="23:23" ht="26.4">
      <c r="W3369" s="64" ph="1"/>
    </row>
    <row r="3370" spans="23:23" ht="26.4">
      <c r="W3370" s="64" ph="1"/>
    </row>
    <row r="3371" spans="23:23" ht="26.4">
      <c r="W3371" s="64" ph="1"/>
    </row>
    <row r="3372" spans="23:23" ht="26.4">
      <c r="W3372" s="64" ph="1"/>
    </row>
    <row r="3373" spans="23:23" ht="26.4">
      <c r="W3373" s="64" ph="1"/>
    </row>
    <row r="3374" spans="23:23" ht="26.4">
      <c r="W3374" s="64" ph="1"/>
    </row>
    <row r="3375" spans="23:23" ht="26.4">
      <c r="W3375" s="64" ph="1"/>
    </row>
    <row r="3376" spans="23:23" ht="26.4">
      <c r="W3376" s="64" ph="1"/>
    </row>
    <row r="3377" spans="23:23" ht="26.4">
      <c r="W3377" s="64" ph="1"/>
    </row>
    <row r="3378" spans="23:23" ht="26.4">
      <c r="W3378" s="64" ph="1"/>
    </row>
    <row r="3379" spans="23:23" ht="26.4">
      <c r="W3379" s="64" ph="1"/>
    </row>
    <row r="3380" spans="23:23" ht="26.4">
      <c r="W3380" s="64" ph="1"/>
    </row>
    <row r="3381" spans="23:23" ht="26.4">
      <c r="W3381" s="64" ph="1"/>
    </row>
    <row r="3382" spans="23:23" ht="26.4">
      <c r="W3382" s="64" ph="1"/>
    </row>
    <row r="3383" spans="23:23" ht="26.4">
      <c r="W3383" s="64" ph="1"/>
    </row>
    <row r="3384" spans="23:23" ht="26.4">
      <c r="W3384" s="64" ph="1"/>
    </row>
    <row r="3385" spans="23:23" ht="26.4">
      <c r="W3385" s="64" ph="1"/>
    </row>
    <row r="3386" spans="23:23" ht="26.4">
      <c r="W3386" s="64" ph="1"/>
    </row>
    <row r="3387" spans="23:23" ht="26.4">
      <c r="W3387" s="64" ph="1"/>
    </row>
    <row r="3388" spans="23:23" ht="26.4">
      <c r="W3388" s="64" ph="1"/>
    </row>
    <row r="3389" spans="23:23" ht="26.4">
      <c r="W3389" s="64" ph="1"/>
    </row>
    <row r="3390" spans="23:23" ht="26.4">
      <c r="W3390" s="64" ph="1"/>
    </row>
    <row r="3391" spans="23:23" ht="26.4">
      <c r="W3391" s="64" ph="1"/>
    </row>
    <row r="3392" spans="23:23" ht="26.4">
      <c r="W3392" s="64" ph="1"/>
    </row>
    <row r="3393" spans="23:23" ht="26.4">
      <c r="W3393" s="64" ph="1"/>
    </row>
    <row r="3394" spans="23:23" ht="26.4">
      <c r="W3394" s="64" ph="1"/>
    </row>
    <row r="3395" spans="23:23" ht="26.4">
      <c r="W3395" s="64" ph="1"/>
    </row>
    <row r="3396" spans="23:23" ht="26.4">
      <c r="W3396" s="64" ph="1"/>
    </row>
    <row r="3397" spans="23:23" ht="26.4">
      <c r="W3397" s="64" ph="1"/>
    </row>
    <row r="3398" spans="23:23" ht="26.4">
      <c r="W3398" s="64" ph="1"/>
    </row>
    <row r="3399" spans="23:23" ht="26.4">
      <c r="W3399" s="64" ph="1"/>
    </row>
    <row r="3400" spans="23:23" ht="26.4">
      <c r="W3400" s="64" ph="1"/>
    </row>
    <row r="3401" spans="23:23" ht="26.4">
      <c r="W3401" s="64" ph="1"/>
    </row>
    <row r="3402" spans="23:23" ht="26.4">
      <c r="W3402" s="64" ph="1"/>
    </row>
    <row r="3403" spans="23:23" ht="26.4">
      <c r="W3403" s="64" ph="1"/>
    </row>
    <row r="3404" spans="23:23" ht="26.4">
      <c r="W3404" s="64" ph="1"/>
    </row>
    <row r="3405" spans="23:23" ht="26.4">
      <c r="W3405" s="64" ph="1"/>
    </row>
    <row r="3406" spans="23:23" ht="26.4">
      <c r="W3406" s="64" ph="1"/>
    </row>
    <row r="3407" spans="23:23" ht="26.4">
      <c r="W3407" s="64" ph="1"/>
    </row>
    <row r="3408" spans="23:23" ht="26.4">
      <c r="W3408" s="64" ph="1"/>
    </row>
    <row r="3409" spans="23:23" ht="26.4">
      <c r="W3409" s="64" ph="1"/>
    </row>
    <row r="3410" spans="23:23" ht="26.4">
      <c r="W3410" s="64" ph="1"/>
    </row>
    <row r="3411" spans="23:23" ht="26.4">
      <c r="W3411" s="64" ph="1"/>
    </row>
    <row r="3412" spans="23:23" ht="26.4">
      <c r="W3412" s="64" ph="1"/>
    </row>
    <row r="3413" spans="23:23" ht="26.4">
      <c r="W3413" s="64" ph="1"/>
    </row>
    <row r="3414" spans="23:23" ht="26.4">
      <c r="W3414" s="64" ph="1"/>
    </row>
    <row r="3415" spans="23:23" ht="26.4">
      <c r="W3415" s="64" ph="1"/>
    </row>
    <row r="3416" spans="23:23" ht="26.4">
      <c r="W3416" s="64" ph="1"/>
    </row>
    <row r="3417" spans="23:23" ht="26.4">
      <c r="W3417" s="64" ph="1"/>
    </row>
    <row r="3418" spans="23:23" ht="26.4">
      <c r="W3418" s="64" ph="1"/>
    </row>
    <row r="3419" spans="23:23" ht="26.4">
      <c r="W3419" s="64" ph="1"/>
    </row>
    <row r="3420" spans="23:23" ht="26.4">
      <c r="W3420" s="64" ph="1"/>
    </row>
    <row r="3421" spans="23:23" ht="26.4">
      <c r="W3421" s="64" ph="1"/>
    </row>
    <row r="3422" spans="23:23" ht="26.4">
      <c r="W3422" s="64" ph="1"/>
    </row>
    <row r="3423" spans="23:23" ht="26.4">
      <c r="W3423" s="64" ph="1"/>
    </row>
    <row r="3424" spans="23:23" ht="26.4">
      <c r="W3424" s="64" ph="1"/>
    </row>
    <row r="3425" spans="23:23" ht="26.4">
      <c r="W3425" s="64" ph="1"/>
    </row>
    <row r="3426" spans="23:23" ht="26.4">
      <c r="W3426" s="64" ph="1"/>
    </row>
    <row r="3427" spans="23:23" ht="26.4">
      <c r="W3427" s="64" ph="1"/>
    </row>
    <row r="3428" spans="23:23" ht="26.4">
      <c r="W3428" s="64" ph="1"/>
    </row>
    <row r="3429" spans="23:23" ht="26.4">
      <c r="W3429" s="64" ph="1"/>
    </row>
    <row r="3430" spans="23:23" ht="26.4">
      <c r="W3430" s="64" ph="1"/>
    </row>
    <row r="3431" spans="23:23" ht="26.4">
      <c r="W3431" s="64" ph="1"/>
    </row>
    <row r="3432" spans="23:23" ht="26.4">
      <c r="W3432" s="64" ph="1"/>
    </row>
    <row r="3433" spans="23:23" ht="26.4">
      <c r="W3433" s="64" ph="1"/>
    </row>
    <row r="3434" spans="23:23" ht="26.4">
      <c r="W3434" s="64" ph="1"/>
    </row>
    <row r="3435" spans="23:23" ht="26.4">
      <c r="W3435" s="64" ph="1"/>
    </row>
    <row r="3436" spans="23:23" ht="26.4">
      <c r="W3436" s="64" ph="1"/>
    </row>
    <row r="3437" spans="23:23" ht="26.4">
      <c r="W3437" s="64" ph="1"/>
    </row>
    <row r="3438" spans="23:23" ht="26.4">
      <c r="W3438" s="64" ph="1"/>
    </row>
    <row r="3439" spans="23:23" ht="26.4">
      <c r="W3439" s="64" ph="1"/>
    </row>
    <row r="3440" spans="23:23" ht="26.4">
      <c r="W3440" s="64" ph="1"/>
    </row>
    <row r="3441" spans="23:23" ht="26.4">
      <c r="W3441" s="64" ph="1"/>
    </row>
    <row r="3442" spans="23:23" ht="26.4">
      <c r="W3442" s="64" ph="1"/>
    </row>
    <row r="3443" spans="23:23" ht="26.4">
      <c r="W3443" s="64" ph="1"/>
    </row>
    <row r="3444" spans="23:23" ht="26.4">
      <c r="W3444" s="64" ph="1"/>
    </row>
    <row r="3445" spans="23:23" ht="26.4">
      <c r="W3445" s="64" ph="1"/>
    </row>
    <row r="3446" spans="23:23" ht="26.4">
      <c r="W3446" s="64" ph="1"/>
    </row>
    <row r="3447" spans="23:23" ht="26.4">
      <c r="W3447" s="64" ph="1"/>
    </row>
    <row r="3448" spans="23:23" ht="26.4">
      <c r="W3448" s="64" ph="1"/>
    </row>
    <row r="3449" spans="23:23" ht="26.4">
      <c r="W3449" s="64" ph="1"/>
    </row>
    <row r="3450" spans="23:23" ht="26.4">
      <c r="W3450" s="64" ph="1"/>
    </row>
    <row r="3451" spans="23:23" ht="26.4">
      <c r="W3451" s="64" ph="1"/>
    </row>
    <row r="3452" spans="23:23" ht="26.4">
      <c r="W3452" s="64" ph="1"/>
    </row>
    <row r="3453" spans="23:23" ht="26.4">
      <c r="W3453" s="64" ph="1"/>
    </row>
    <row r="3454" spans="23:23" ht="26.4">
      <c r="W3454" s="64" ph="1"/>
    </row>
    <row r="3455" spans="23:23" ht="26.4">
      <c r="W3455" s="64" ph="1"/>
    </row>
    <row r="3456" spans="23:23" ht="26.4">
      <c r="W3456" s="64" ph="1"/>
    </row>
    <row r="3457" spans="23:23" ht="26.4">
      <c r="W3457" s="64" ph="1"/>
    </row>
    <row r="3458" spans="23:23" ht="26.4">
      <c r="W3458" s="64" ph="1"/>
    </row>
    <row r="3459" spans="23:23" ht="26.4">
      <c r="W3459" s="64" ph="1"/>
    </row>
    <row r="3460" spans="23:23" ht="26.4">
      <c r="W3460" s="64" ph="1"/>
    </row>
    <row r="3461" spans="23:23" ht="26.4">
      <c r="W3461" s="64" ph="1"/>
    </row>
    <row r="3462" spans="23:23" ht="26.4">
      <c r="W3462" s="64" ph="1"/>
    </row>
    <row r="3463" spans="23:23" ht="26.4">
      <c r="W3463" s="64" ph="1"/>
    </row>
    <row r="3464" spans="23:23" ht="26.4">
      <c r="W3464" s="64" ph="1"/>
    </row>
    <row r="3465" spans="23:23" ht="26.4">
      <c r="W3465" s="64" ph="1"/>
    </row>
    <row r="3466" spans="23:23" ht="26.4">
      <c r="W3466" s="64" ph="1"/>
    </row>
    <row r="3467" spans="23:23" ht="26.4">
      <c r="W3467" s="64" ph="1"/>
    </row>
    <row r="3468" spans="23:23" ht="26.4">
      <c r="W3468" s="64" ph="1"/>
    </row>
    <row r="3469" spans="23:23" ht="26.4">
      <c r="W3469" s="64" ph="1"/>
    </row>
    <row r="3470" spans="23:23" ht="26.4">
      <c r="W3470" s="64" ph="1"/>
    </row>
    <row r="3471" spans="23:23" ht="26.4">
      <c r="W3471" s="64" ph="1"/>
    </row>
    <row r="3472" spans="23:23" ht="26.4">
      <c r="W3472" s="64" ph="1"/>
    </row>
    <row r="3473" spans="23:23" ht="26.4">
      <c r="W3473" s="64" ph="1"/>
    </row>
    <row r="3474" spans="23:23" ht="26.4">
      <c r="W3474" s="64" ph="1"/>
    </row>
    <row r="3475" spans="23:23" ht="26.4">
      <c r="W3475" s="64" ph="1"/>
    </row>
    <row r="3476" spans="23:23" ht="26.4">
      <c r="W3476" s="64" ph="1"/>
    </row>
    <row r="3477" spans="23:23" ht="26.4">
      <c r="W3477" s="64" ph="1"/>
    </row>
    <row r="3478" spans="23:23" ht="26.4">
      <c r="W3478" s="64" ph="1"/>
    </row>
    <row r="3479" spans="23:23" ht="26.4">
      <c r="W3479" s="64" ph="1"/>
    </row>
    <row r="3480" spans="23:23" ht="26.4">
      <c r="W3480" s="64" ph="1"/>
    </row>
    <row r="3481" spans="23:23" ht="26.4">
      <c r="W3481" s="64" ph="1"/>
    </row>
    <row r="3482" spans="23:23" ht="26.4">
      <c r="W3482" s="64" ph="1"/>
    </row>
    <row r="3483" spans="23:23" ht="26.4">
      <c r="W3483" s="64" ph="1"/>
    </row>
    <row r="3484" spans="23:23" ht="26.4">
      <c r="W3484" s="64" ph="1"/>
    </row>
    <row r="3485" spans="23:23" ht="26.4">
      <c r="W3485" s="64" ph="1"/>
    </row>
    <row r="3486" spans="23:23" ht="26.4">
      <c r="W3486" s="64" ph="1"/>
    </row>
    <row r="3487" spans="23:23" ht="26.4">
      <c r="W3487" s="64" ph="1"/>
    </row>
    <row r="3488" spans="23:23" ht="26.4">
      <c r="W3488" s="64" ph="1"/>
    </row>
    <row r="3489" spans="23:23" ht="26.4">
      <c r="W3489" s="64" ph="1"/>
    </row>
    <row r="3490" spans="23:23" ht="26.4">
      <c r="W3490" s="64" ph="1"/>
    </row>
    <row r="3491" spans="23:23" ht="26.4">
      <c r="W3491" s="64" ph="1"/>
    </row>
    <row r="3492" spans="23:23" ht="26.4">
      <c r="W3492" s="64" ph="1"/>
    </row>
    <row r="3493" spans="23:23" ht="26.4">
      <c r="W3493" s="64" ph="1"/>
    </row>
    <row r="3494" spans="23:23" ht="26.4">
      <c r="W3494" s="64" ph="1"/>
    </row>
    <row r="3495" spans="23:23" ht="26.4">
      <c r="W3495" s="64" ph="1"/>
    </row>
    <row r="3496" spans="23:23" ht="26.4">
      <c r="W3496" s="64" ph="1"/>
    </row>
    <row r="3497" spans="23:23" ht="26.4">
      <c r="W3497" s="64" ph="1"/>
    </row>
    <row r="3498" spans="23:23" ht="26.4">
      <c r="W3498" s="64" ph="1"/>
    </row>
    <row r="3499" spans="23:23" ht="26.4">
      <c r="W3499" s="64" ph="1"/>
    </row>
    <row r="3500" spans="23:23" ht="26.4">
      <c r="W3500" s="64" ph="1"/>
    </row>
    <row r="3501" spans="23:23" ht="26.4">
      <c r="W3501" s="64" ph="1"/>
    </row>
    <row r="3502" spans="23:23" ht="26.4">
      <c r="W3502" s="64" ph="1"/>
    </row>
    <row r="3503" spans="23:23" ht="26.4">
      <c r="W3503" s="64" ph="1"/>
    </row>
    <row r="3504" spans="23:23" ht="26.4">
      <c r="W3504" s="64" ph="1"/>
    </row>
    <row r="3505" spans="23:23" ht="26.4">
      <c r="W3505" s="64" ph="1"/>
    </row>
    <row r="3506" spans="23:23" ht="26.4">
      <c r="W3506" s="64" ph="1"/>
    </row>
    <row r="3507" spans="23:23" ht="26.4">
      <c r="W3507" s="64" ph="1"/>
    </row>
    <row r="3508" spans="23:23" ht="26.4">
      <c r="W3508" s="64" ph="1"/>
    </row>
    <row r="3509" spans="23:23" ht="26.4">
      <c r="W3509" s="64" ph="1"/>
    </row>
    <row r="3510" spans="23:23" ht="26.4">
      <c r="W3510" s="64" ph="1"/>
    </row>
    <row r="3511" spans="23:23" ht="26.4">
      <c r="W3511" s="64" ph="1"/>
    </row>
    <row r="3512" spans="23:23" ht="26.4">
      <c r="W3512" s="64" ph="1"/>
    </row>
    <row r="3513" spans="23:23" ht="26.4">
      <c r="W3513" s="64" ph="1"/>
    </row>
    <row r="3514" spans="23:23" ht="26.4">
      <c r="W3514" s="64" ph="1"/>
    </row>
    <row r="3515" spans="23:23" ht="26.4">
      <c r="W3515" s="64" ph="1"/>
    </row>
    <row r="3516" spans="23:23" ht="26.4">
      <c r="W3516" s="64" ph="1"/>
    </row>
    <row r="3517" spans="23:23" ht="26.4">
      <c r="W3517" s="64" ph="1"/>
    </row>
    <row r="3518" spans="23:23" ht="26.4">
      <c r="W3518" s="64" ph="1"/>
    </row>
    <row r="3519" spans="23:23" ht="26.4">
      <c r="W3519" s="64" ph="1"/>
    </row>
    <row r="3520" spans="23:23" ht="26.4">
      <c r="W3520" s="64" ph="1"/>
    </row>
    <row r="3521" spans="23:23" ht="26.4">
      <c r="W3521" s="64" ph="1"/>
    </row>
    <row r="3522" spans="23:23" ht="26.4">
      <c r="W3522" s="64" ph="1"/>
    </row>
    <row r="3523" spans="23:23" ht="26.4">
      <c r="W3523" s="64" ph="1"/>
    </row>
    <row r="3524" spans="23:23" ht="26.4">
      <c r="W3524" s="64" ph="1"/>
    </row>
    <row r="3525" spans="23:23" ht="26.4">
      <c r="W3525" s="64" ph="1"/>
    </row>
    <row r="3526" spans="23:23" ht="26.4">
      <c r="W3526" s="64" ph="1"/>
    </row>
    <row r="3527" spans="23:23" ht="26.4">
      <c r="W3527" s="64" ph="1"/>
    </row>
    <row r="3528" spans="23:23" ht="26.4">
      <c r="W3528" s="64" ph="1"/>
    </row>
    <row r="3529" spans="23:23" ht="26.4">
      <c r="W3529" s="64" ph="1"/>
    </row>
    <row r="3530" spans="23:23" ht="26.4">
      <c r="W3530" s="64" ph="1"/>
    </row>
    <row r="3531" spans="23:23" ht="26.4">
      <c r="W3531" s="64" ph="1"/>
    </row>
    <row r="3532" spans="23:23" ht="26.4">
      <c r="W3532" s="64" ph="1"/>
    </row>
    <row r="3533" spans="23:23" ht="26.4">
      <c r="W3533" s="64" ph="1"/>
    </row>
    <row r="3534" spans="23:23" ht="26.4">
      <c r="W3534" s="64" ph="1"/>
    </row>
    <row r="3535" spans="23:23" ht="26.4">
      <c r="W3535" s="64" ph="1"/>
    </row>
    <row r="3536" spans="23:23" ht="26.4">
      <c r="W3536" s="64" ph="1"/>
    </row>
    <row r="3537" spans="23:23" ht="26.4">
      <c r="W3537" s="64" ph="1"/>
    </row>
    <row r="3538" spans="23:23" ht="26.4">
      <c r="W3538" s="64" ph="1"/>
    </row>
    <row r="3539" spans="23:23" ht="26.4">
      <c r="W3539" s="64" ph="1"/>
    </row>
    <row r="3540" spans="23:23" ht="26.4">
      <c r="W3540" s="64" ph="1"/>
    </row>
    <row r="3541" spans="23:23" ht="26.4">
      <c r="W3541" s="64" ph="1"/>
    </row>
    <row r="3542" spans="23:23" ht="26.4">
      <c r="W3542" s="64" ph="1"/>
    </row>
    <row r="3543" spans="23:23" ht="26.4">
      <c r="W3543" s="64" ph="1"/>
    </row>
    <row r="3544" spans="23:23" ht="26.4">
      <c r="W3544" s="64" ph="1"/>
    </row>
    <row r="3545" spans="23:23" ht="26.4">
      <c r="W3545" s="64" ph="1"/>
    </row>
    <row r="3546" spans="23:23" ht="26.4">
      <c r="W3546" s="64" ph="1"/>
    </row>
    <row r="3547" spans="23:23" ht="26.4">
      <c r="W3547" s="64" ph="1"/>
    </row>
    <row r="3548" spans="23:23" ht="26.4">
      <c r="W3548" s="64" ph="1"/>
    </row>
    <row r="3549" spans="23:23" ht="26.4">
      <c r="W3549" s="64" ph="1"/>
    </row>
    <row r="3550" spans="23:23" ht="26.4">
      <c r="W3550" s="64" ph="1"/>
    </row>
    <row r="3551" spans="23:23" ht="26.4">
      <c r="W3551" s="64" ph="1"/>
    </row>
    <row r="3552" spans="23:23" ht="26.4">
      <c r="W3552" s="64" ph="1"/>
    </row>
    <row r="3553" spans="23:23" ht="26.4">
      <c r="W3553" s="64" ph="1"/>
    </row>
    <row r="3554" spans="23:23" ht="26.4">
      <c r="W3554" s="64" ph="1"/>
    </row>
    <row r="3555" spans="23:23" ht="26.4">
      <c r="W3555" s="64" ph="1"/>
    </row>
    <row r="3556" spans="23:23" ht="26.4">
      <c r="W3556" s="64" ph="1"/>
    </row>
    <row r="3557" spans="23:23" ht="26.4">
      <c r="W3557" s="64" ph="1"/>
    </row>
    <row r="3558" spans="23:23" ht="26.4">
      <c r="W3558" s="64" ph="1"/>
    </row>
    <row r="3559" spans="23:23" ht="26.4">
      <c r="W3559" s="64" ph="1"/>
    </row>
    <row r="3560" spans="23:23" ht="26.4">
      <c r="W3560" s="64" ph="1"/>
    </row>
    <row r="3561" spans="23:23" ht="26.4">
      <c r="W3561" s="64" ph="1"/>
    </row>
    <row r="3562" spans="23:23" ht="26.4">
      <c r="W3562" s="64" ph="1"/>
    </row>
    <row r="3563" spans="23:23" ht="26.4">
      <c r="W3563" s="64" ph="1"/>
    </row>
    <row r="3564" spans="23:23" ht="26.4">
      <c r="W3564" s="64" ph="1"/>
    </row>
    <row r="3565" spans="23:23" ht="26.4">
      <c r="W3565" s="64" ph="1"/>
    </row>
    <row r="3566" spans="23:23" ht="26.4">
      <c r="W3566" s="64" ph="1"/>
    </row>
    <row r="3567" spans="23:23" ht="26.4">
      <c r="W3567" s="64" ph="1"/>
    </row>
    <row r="3568" spans="23:23" ht="26.4">
      <c r="W3568" s="64" ph="1"/>
    </row>
    <row r="3569" spans="23:23" ht="26.4">
      <c r="W3569" s="64" ph="1"/>
    </row>
    <row r="3570" spans="23:23" ht="26.4">
      <c r="W3570" s="64" ph="1"/>
    </row>
    <row r="3571" spans="23:23" ht="26.4">
      <c r="W3571" s="64" ph="1"/>
    </row>
    <row r="3572" spans="23:23" ht="26.4">
      <c r="W3572" s="64" ph="1"/>
    </row>
    <row r="3573" spans="23:23" ht="26.4">
      <c r="W3573" s="64" ph="1"/>
    </row>
    <row r="3574" spans="23:23" ht="26.4">
      <c r="W3574" s="64" ph="1"/>
    </row>
    <row r="3575" spans="23:23" ht="26.4">
      <c r="W3575" s="64" ph="1"/>
    </row>
    <row r="3576" spans="23:23" ht="26.4">
      <c r="W3576" s="64" ph="1"/>
    </row>
    <row r="3577" spans="23:23" ht="26.4">
      <c r="W3577" s="64" ph="1"/>
    </row>
    <row r="3578" spans="23:23" ht="26.4">
      <c r="W3578" s="64" ph="1"/>
    </row>
    <row r="3579" spans="23:23" ht="26.4">
      <c r="W3579" s="64" ph="1"/>
    </row>
    <row r="3580" spans="23:23" ht="26.4">
      <c r="W3580" s="64" ph="1"/>
    </row>
    <row r="3581" spans="23:23" ht="26.4">
      <c r="W3581" s="64" ph="1"/>
    </row>
    <row r="3582" spans="23:23" ht="26.4">
      <c r="W3582" s="64" ph="1"/>
    </row>
    <row r="3583" spans="23:23" ht="26.4">
      <c r="W3583" s="64" ph="1"/>
    </row>
    <row r="3584" spans="23:23" ht="26.4">
      <c r="W3584" s="64" ph="1"/>
    </row>
    <row r="3585" spans="23:23" ht="26.4">
      <c r="W3585" s="64" ph="1"/>
    </row>
    <row r="3586" spans="23:23" ht="26.4">
      <c r="W3586" s="64" ph="1"/>
    </row>
    <row r="3587" spans="23:23" ht="26.4">
      <c r="W3587" s="64" ph="1"/>
    </row>
    <row r="3588" spans="23:23" ht="26.4">
      <c r="W3588" s="64" ph="1"/>
    </row>
    <row r="3589" spans="23:23" ht="26.4">
      <c r="W3589" s="64" ph="1"/>
    </row>
    <row r="3590" spans="23:23" ht="26.4">
      <c r="W3590" s="64" ph="1"/>
    </row>
    <row r="3591" spans="23:23" ht="26.4">
      <c r="W3591" s="64" ph="1"/>
    </row>
    <row r="3592" spans="23:23" ht="26.4">
      <c r="W3592" s="64" ph="1"/>
    </row>
    <row r="3593" spans="23:23" ht="26.4">
      <c r="W3593" s="64" ph="1"/>
    </row>
    <row r="3594" spans="23:23" ht="26.4">
      <c r="W3594" s="64" ph="1"/>
    </row>
    <row r="3595" spans="23:23" ht="26.4">
      <c r="W3595" s="64" ph="1"/>
    </row>
    <row r="3596" spans="23:23" ht="26.4">
      <c r="W3596" s="64" ph="1"/>
    </row>
    <row r="3597" spans="23:23" ht="26.4">
      <c r="W3597" s="64" ph="1"/>
    </row>
    <row r="3598" spans="23:23" ht="26.4">
      <c r="W3598" s="64" ph="1"/>
    </row>
    <row r="3599" spans="23:23" ht="26.4">
      <c r="W3599" s="64" ph="1"/>
    </row>
    <row r="3600" spans="23:23" ht="26.4">
      <c r="W3600" s="64" ph="1"/>
    </row>
    <row r="3601" spans="23:23" ht="26.4">
      <c r="W3601" s="64" ph="1"/>
    </row>
    <row r="3602" spans="23:23" ht="26.4">
      <c r="W3602" s="64" ph="1"/>
    </row>
    <row r="3603" spans="23:23" ht="26.4">
      <c r="W3603" s="64" ph="1"/>
    </row>
    <row r="3604" spans="23:23" ht="26.4">
      <c r="W3604" s="64" ph="1"/>
    </row>
    <row r="3605" spans="23:23" ht="26.4">
      <c r="W3605" s="64" ph="1"/>
    </row>
    <row r="3606" spans="23:23" ht="26.4">
      <c r="W3606" s="64" ph="1"/>
    </row>
    <row r="3607" spans="23:23" ht="26.4">
      <c r="W3607" s="64" ph="1"/>
    </row>
    <row r="3608" spans="23:23" ht="26.4">
      <c r="W3608" s="64" ph="1"/>
    </row>
    <row r="3609" spans="23:23" ht="26.4">
      <c r="W3609" s="64" ph="1"/>
    </row>
    <row r="3610" spans="23:23" ht="26.4">
      <c r="W3610" s="64" ph="1"/>
    </row>
    <row r="3611" spans="23:23" ht="26.4">
      <c r="W3611" s="64" ph="1"/>
    </row>
    <row r="3612" spans="23:23" ht="26.4">
      <c r="W3612" s="64" ph="1"/>
    </row>
    <row r="3613" spans="23:23" ht="26.4">
      <c r="W3613" s="64" ph="1"/>
    </row>
    <row r="3614" spans="23:23" ht="26.4">
      <c r="W3614" s="64" ph="1"/>
    </row>
    <row r="3615" spans="23:23" ht="26.4">
      <c r="W3615" s="64" ph="1"/>
    </row>
    <row r="3616" spans="23:23" ht="26.4">
      <c r="W3616" s="64" ph="1"/>
    </row>
    <row r="3617" spans="23:23" ht="26.4">
      <c r="W3617" s="64" ph="1"/>
    </row>
    <row r="3618" spans="23:23" ht="26.4">
      <c r="W3618" s="64" ph="1"/>
    </row>
    <row r="3619" spans="23:23" ht="26.4">
      <c r="W3619" s="64" ph="1"/>
    </row>
    <row r="3620" spans="23:23" ht="26.4">
      <c r="W3620" s="64" ph="1"/>
    </row>
    <row r="3621" spans="23:23" ht="26.4">
      <c r="W3621" s="64" ph="1"/>
    </row>
    <row r="3622" spans="23:23" ht="26.4">
      <c r="W3622" s="64" ph="1"/>
    </row>
    <row r="3623" spans="23:23" ht="26.4">
      <c r="W3623" s="64" ph="1"/>
    </row>
    <row r="3624" spans="23:23" ht="26.4">
      <c r="W3624" s="64" ph="1"/>
    </row>
    <row r="3625" spans="23:23" ht="26.4">
      <c r="W3625" s="64" ph="1"/>
    </row>
    <row r="3626" spans="23:23" ht="26.4">
      <c r="W3626" s="64" ph="1"/>
    </row>
    <row r="3627" spans="23:23" ht="26.4">
      <c r="W3627" s="64" ph="1"/>
    </row>
    <row r="3628" spans="23:23" ht="26.4">
      <c r="W3628" s="64" ph="1"/>
    </row>
    <row r="3629" spans="23:23" ht="26.4">
      <c r="W3629" s="64" ph="1"/>
    </row>
    <row r="3630" spans="23:23" ht="26.4">
      <c r="W3630" s="64" ph="1"/>
    </row>
    <row r="3631" spans="23:23" ht="26.4">
      <c r="W3631" s="64" ph="1"/>
    </row>
    <row r="3632" spans="23:23" ht="26.4">
      <c r="W3632" s="64" ph="1"/>
    </row>
    <row r="3633" spans="23:23" ht="26.4">
      <c r="W3633" s="64" ph="1"/>
    </row>
    <row r="3634" spans="23:23" ht="26.4">
      <c r="W3634" s="64" ph="1"/>
    </row>
    <row r="3635" spans="23:23" ht="26.4">
      <c r="W3635" s="64" ph="1"/>
    </row>
    <row r="3636" spans="23:23" ht="26.4">
      <c r="W3636" s="64" ph="1"/>
    </row>
    <row r="3637" spans="23:23" ht="26.4">
      <c r="W3637" s="64" ph="1"/>
    </row>
    <row r="3638" spans="23:23" ht="26.4">
      <c r="W3638" s="64" ph="1"/>
    </row>
    <row r="3639" spans="23:23" ht="26.4">
      <c r="W3639" s="64" ph="1"/>
    </row>
    <row r="3640" spans="23:23" ht="26.4">
      <c r="W3640" s="64" ph="1"/>
    </row>
    <row r="3641" spans="23:23" ht="26.4">
      <c r="W3641" s="64" ph="1"/>
    </row>
    <row r="3642" spans="23:23" ht="26.4">
      <c r="W3642" s="64" ph="1"/>
    </row>
    <row r="3643" spans="23:23" ht="26.4">
      <c r="W3643" s="64" ph="1"/>
    </row>
    <row r="3644" spans="23:23" ht="26.4">
      <c r="W3644" s="64" ph="1"/>
    </row>
    <row r="3645" spans="23:23" ht="26.4">
      <c r="W3645" s="64" ph="1"/>
    </row>
    <row r="3646" spans="23:23" ht="26.4">
      <c r="W3646" s="64" ph="1"/>
    </row>
    <row r="3647" spans="23:23" ht="26.4">
      <c r="W3647" s="64" ph="1"/>
    </row>
    <row r="3648" spans="23:23" ht="26.4">
      <c r="W3648" s="64" ph="1"/>
    </row>
    <row r="3649" spans="23:23" ht="26.4">
      <c r="W3649" s="64" ph="1"/>
    </row>
    <row r="3650" spans="23:23" ht="26.4">
      <c r="W3650" s="64" ph="1"/>
    </row>
    <row r="3651" spans="23:23" ht="26.4">
      <c r="W3651" s="64" ph="1"/>
    </row>
    <row r="3652" spans="23:23" ht="26.4">
      <c r="W3652" s="64" ph="1"/>
    </row>
    <row r="3653" spans="23:23" ht="26.4">
      <c r="W3653" s="64" ph="1"/>
    </row>
    <row r="3654" spans="23:23" ht="26.4">
      <c r="W3654" s="64" ph="1"/>
    </row>
    <row r="3655" spans="23:23" ht="26.4">
      <c r="W3655" s="64" ph="1"/>
    </row>
    <row r="3656" spans="23:23" ht="26.4">
      <c r="W3656" s="64" ph="1"/>
    </row>
    <row r="3657" spans="23:23" ht="26.4">
      <c r="W3657" s="64" ph="1"/>
    </row>
    <row r="3658" spans="23:23" ht="26.4">
      <c r="W3658" s="64" ph="1"/>
    </row>
    <row r="3659" spans="23:23" ht="26.4">
      <c r="W3659" s="64" ph="1"/>
    </row>
    <row r="3660" spans="23:23" ht="26.4">
      <c r="W3660" s="64" ph="1"/>
    </row>
    <row r="3661" spans="23:23" ht="26.4">
      <c r="W3661" s="64" ph="1"/>
    </row>
    <row r="3662" spans="23:23" ht="26.4">
      <c r="W3662" s="64" ph="1"/>
    </row>
    <row r="3663" spans="23:23" ht="26.4">
      <c r="W3663" s="64" ph="1"/>
    </row>
    <row r="3664" spans="23:23" ht="26.4">
      <c r="W3664" s="64" ph="1"/>
    </row>
    <row r="3665" spans="23:23" ht="26.4">
      <c r="W3665" s="64" ph="1"/>
    </row>
    <row r="3666" spans="23:23" ht="26.4">
      <c r="W3666" s="64" ph="1"/>
    </row>
    <row r="3667" spans="23:23" ht="26.4">
      <c r="W3667" s="64" ph="1"/>
    </row>
    <row r="3668" spans="23:23" ht="26.4">
      <c r="W3668" s="64" ph="1"/>
    </row>
    <row r="3669" spans="23:23" ht="26.4">
      <c r="W3669" s="64" ph="1"/>
    </row>
    <row r="3670" spans="23:23" ht="26.4">
      <c r="W3670" s="64" ph="1"/>
    </row>
    <row r="3671" spans="23:23" ht="26.4">
      <c r="W3671" s="64" ph="1"/>
    </row>
    <row r="3672" spans="23:23" ht="26.4">
      <c r="W3672" s="64" ph="1"/>
    </row>
    <row r="3673" spans="23:23" ht="26.4">
      <c r="W3673" s="64" ph="1"/>
    </row>
    <row r="3674" spans="23:23" ht="26.4">
      <c r="W3674" s="64" ph="1"/>
    </row>
    <row r="3675" spans="23:23" ht="26.4">
      <c r="W3675" s="64" ph="1"/>
    </row>
    <row r="3676" spans="23:23" ht="26.4">
      <c r="W3676" s="64" ph="1"/>
    </row>
    <row r="3677" spans="23:23" ht="26.4">
      <c r="W3677" s="64" ph="1"/>
    </row>
    <row r="3678" spans="23:23" ht="26.4">
      <c r="W3678" s="64" ph="1"/>
    </row>
    <row r="3679" spans="23:23" ht="26.4">
      <c r="W3679" s="64" ph="1"/>
    </row>
    <row r="3680" spans="23:23" ht="26.4">
      <c r="W3680" s="64" ph="1"/>
    </row>
    <row r="3681" spans="23:23" ht="26.4">
      <c r="W3681" s="64" ph="1"/>
    </row>
    <row r="3682" spans="23:23" ht="26.4">
      <c r="W3682" s="64" ph="1"/>
    </row>
    <row r="3683" spans="23:23" ht="26.4">
      <c r="W3683" s="64" ph="1"/>
    </row>
    <row r="3684" spans="23:23" ht="26.4">
      <c r="W3684" s="64" ph="1"/>
    </row>
    <row r="3685" spans="23:23" ht="26.4">
      <c r="W3685" s="64" ph="1"/>
    </row>
    <row r="3686" spans="23:23" ht="26.4">
      <c r="W3686" s="64" ph="1"/>
    </row>
    <row r="3687" spans="23:23" ht="26.4">
      <c r="W3687" s="64" ph="1"/>
    </row>
    <row r="3688" spans="23:23" ht="26.4">
      <c r="W3688" s="64" ph="1"/>
    </row>
    <row r="3689" spans="23:23" ht="26.4">
      <c r="W3689" s="64" ph="1"/>
    </row>
    <row r="3690" spans="23:23" ht="26.4">
      <c r="W3690" s="64" ph="1"/>
    </row>
    <row r="3691" spans="23:23" ht="26.4">
      <c r="W3691" s="64" ph="1"/>
    </row>
    <row r="3692" spans="23:23" ht="26.4">
      <c r="W3692" s="64" ph="1"/>
    </row>
    <row r="3693" spans="23:23" ht="26.4">
      <c r="W3693" s="64" ph="1"/>
    </row>
    <row r="3694" spans="23:23" ht="26.4">
      <c r="W3694" s="64" ph="1"/>
    </row>
    <row r="3695" spans="23:23" ht="26.4">
      <c r="W3695" s="64" ph="1"/>
    </row>
    <row r="3696" spans="23:23" ht="26.4">
      <c r="W3696" s="64" ph="1"/>
    </row>
    <row r="3697" spans="23:23" ht="26.4">
      <c r="W3697" s="64" ph="1"/>
    </row>
    <row r="3698" spans="23:23" ht="26.4">
      <c r="W3698" s="64" ph="1"/>
    </row>
    <row r="3699" spans="23:23" ht="26.4">
      <c r="W3699" s="64" ph="1"/>
    </row>
    <row r="3700" spans="23:23" ht="26.4">
      <c r="W3700" s="64" ph="1"/>
    </row>
    <row r="3701" spans="23:23" ht="26.4">
      <c r="W3701" s="64" ph="1"/>
    </row>
    <row r="3702" spans="23:23" ht="26.4">
      <c r="W3702" s="64" ph="1"/>
    </row>
    <row r="3703" spans="23:23" ht="26.4">
      <c r="W3703" s="64" ph="1"/>
    </row>
    <row r="3704" spans="23:23" ht="26.4">
      <c r="W3704" s="64" ph="1"/>
    </row>
    <row r="3705" spans="23:23" ht="26.4">
      <c r="W3705" s="64" ph="1"/>
    </row>
    <row r="3706" spans="23:23" ht="26.4">
      <c r="W3706" s="64" ph="1"/>
    </row>
    <row r="3707" spans="23:23" ht="26.4">
      <c r="W3707" s="64" ph="1"/>
    </row>
    <row r="3708" spans="23:23" ht="26.4">
      <c r="W3708" s="64" ph="1"/>
    </row>
    <row r="3709" spans="23:23" ht="26.4">
      <c r="W3709" s="64" ph="1"/>
    </row>
    <row r="3710" spans="23:23" ht="26.4">
      <c r="W3710" s="64" ph="1"/>
    </row>
    <row r="3711" spans="23:23" ht="26.4">
      <c r="W3711" s="64" ph="1"/>
    </row>
    <row r="3712" spans="23:23" ht="26.4">
      <c r="W3712" s="64" ph="1"/>
    </row>
    <row r="3713" spans="23:23" ht="26.4">
      <c r="W3713" s="64" ph="1"/>
    </row>
    <row r="3714" spans="23:23" ht="26.4">
      <c r="W3714" s="64" ph="1"/>
    </row>
    <row r="3715" spans="23:23" ht="26.4">
      <c r="W3715" s="64" ph="1"/>
    </row>
    <row r="3716" spans="23:23" ht="26.4">
      <c r="W3716" s="64" ph="1"/>
    </row>
    <row r="3717" spans="23:23" ht="26.4">
      <c r="W3717" s="64" ph="1"/>
    </row>
    <row r="3718" spans="23:23" ht="26.4">
      <c r="W3718" s="64" ph="1"/>
    </row>
    <row r="3719" spans="23:23" ht="26.4">
      <c r="W3719" s="64" ph="1"/>
    </row>
    <row r="3720" spans="23:23" ht="26.4">
      <c r="W3720" s="64" ph="1"/>
    </row>
    <row r="3721" spans="23:23" ht="26.4">
      <c r="W3721" s="64" ph="1"/>
    </row>
    <row r="3722" spans="23:23" ht="26.4">
      <c r="W3722" s="64" ph="1"/>
    </row>
    <row r="3723" spans="23:23" ht="26.4">
      <c r="W3723" s="64" ph="1"/>
    </row>
    <row r="3724" spans="23:23" ht="26.4">
      <c r="W3724" s="64" ph="1"/>
    </row>
    <row r="3725" spans="23:23" ht="26.4">
      <c r="W3725" s="64" ph="1"/>
    </row>
    <row r="3726" spans="23:23" ht="26.4">
      <c r="W3726" s="64" ph="1"/>
    </row>
    <row r="3727" spans="23:23" ht="26.4">
      <c r="W3727" s="64" ph="1"/>
    </row>
    <row r="3728" spans="23:23" ht="26.4">
      <c r="W3728" s="64" ph="1"/>
    </row>
    <row r="3729" spans="23:23" ht="26.4">
      <c r="W3729" s="64" ph="1"/>
    </row>
    <row r="3730" spans="23:23" ht="26.4">
      <c r="W3730" s="64" ph="1"/>
    </row>
    <row r="3731" spans="23:23" ht="26.4">
      <c r="W3731" s="64" ph="1"/>
    </row>
    <row r="3732" spans="23:23" ht="26.4">
      <c r="W3732" s="64" ph="1"/>
    </row>
    <row r="3733" spans="23:23" ht="26.4">
      <c r="W3733" s="64" ph="1"/>
    </row>
    <row r="3734" spans="23:23" ht="26.4">
      <c r="W3734" s="64" ph="1"/>
    </row>
    <row r="3735" spans="23:23" ht="26.4">
      <c r="W3735" s="64" ph="1"/>
    </row>
    <row r="3736" spans="23:23" ht="26.4">
      <c r="W3736" s="64" ph="1"/>
    </row>
    <row r="3737" spans="23:23" ht="26.4">
      <c r="W3737" s="64" ph="1"/>
    </row>
    <row r="3738" spans="23:23" ht="26.4">
      <c r="W3738" s="64" ph="1"/>
    </row>
    <row r="3739" spans="23:23" ht="26.4">
      <c r="W3739" s="64" ph="1"/>
    </row>
    <row r="3740" spans="23:23" ht="26.4">
      <c r="W3740" s="64" ph="1"/>
    </row>
    <row r="3741" spans="23:23" ht="26.4">
      <c r="W3741" s="64" ph="1"/>
    </row>
    <row r="3742" spans="23:23" ht="26.4">
      <c r="W3742" s="64" ph="1"/>
    </row>
    <row r="3743" spans="23:23" ht="26.4">
      <c r="W3743" s="64" ph="1"/>
    </row>
    <row r="3744" spans="23:23" ht="26.4">
      <c r="W3744" s="64" ph="1"/>
    </row>
    <row r="3745" spans="23:23" ht="26.4">
      <c r="W3745" s="64" ph="1"/>
    </row>
    <row r="3746" spans="23:23" ht="26.4">
      <c r="W3746" s="64" ph="1"/>
    </row>
    <row r="3747" spans="23:23" ht="26.4">
      <c r="W3747" s="64" ph="1"/>
    </row>
    <row r="3748" spans="23:23" ht="26.4">
      <c r="W3748" s="64" ph="1"/>
    </row>
    <row r="3749" spans="23:23" ht="26.4">
      <c r="W3749" s="64" ph="1"/>
    </row>
    <row r="3750" spans="23:23" ht="26.4">
      <c r="W3750" s="64" ph="1"/>
    </row>
    <row r="3751" spans="23:23" ht="26.4">
      <c r="W3751" s="64" ph="1"/>
    </row>
    <row r="3752" spans="23:23" ht="26.4">
      <c r="W3752" s="64" ph="1"/>
    </row>
    <row r="3753" spans="23:23" ht="26.4">
      <c r="W3753" s="64" ph="1"/>
    </row>
    <row r="3754" spans="23:23" ht="26.4">
      <c r="W3754" s="64" ph="1"/>
    </row>
    <row r="3755" spans="23:23" ht="26.4">
      <c r="W3755" s="64" ph="1"/>
    </row>
    <row r="3756" spans="23:23" ht="26.4">
      <c r="W3756" s="64" ph="1"/>
    </row>
    <row r="3757" spans="23:23" ht="26.4">
      <c r="W3757" s="64" ph="1"/>
    </row>
    <row r="3758" spans="23:23" ht="26.4">
      <c r="W3758" s="64" ph="1"/>
    </row>
    <row r="3759" spans="23:23" ht="26.4">
      <c r="W3759" s="64" ph="1"/>
    </row>
    <row r="3760" spans="23:23" ht="26.4">
      <c r="W3760" s="64" ph="1"/>
    </row>
    <row r="3761" spans="23:23" ht="26.4">
      <c r="W3761" s="64" ph="1"/>
    </row>
    <row r="3762" spans="23:23" ht="26.4">
      <c r="W3762" s="64" ph="1"/>
    </row>
    <row r="3763" spans="23:23" ht="26.4">
      <c r="W3763" s="64" ph="1"/>
    </row>
    <row r="3764" spans="23:23" ht="26.4">
      <c r="W3764" s="64" ph="1"/>
    </row>
    <row r="3765" spans="23:23" ht="26.4">
      <c r="W3765" s="64" ph="1"/>
    </row>
    <row r="3766" spans="23:23" ht="26.4">
      <c r="W3766" s="64" ph="1"/>
    </row>
    <row r="3767" spans="23:23" ht="26.4">
      <c r="W3767" s="64" ph="1"/>
    </row>
    <row r="3768" spans="23:23" ht="26.4">
      <c r="W3768" s="64" ph="1"/>
    </row>
    <row r="3769" spans="23:23" ht="26.4">
      <c r="W3769" s="64" ph="1"/>
    </row>
    <row r="3770" spans="23:23" ht="26.4">
      <c r="W3770" s="64" ph="1"/>
    </row>
    <row r="3771" spans="23:23" ht="26.4">
      <c r="W3771" s="64" ph="1"/>
    </row>
    <row r="3772" spans="23:23" ht="26.4">
      <c r="W3772" s="64" ph="1"/>
    </row>
    <row r="3773" spans="23:23" ht="26.4">
      <c r="W3773" s="64" ph="1"/>
    </row>
    <row r="3774" spans="23:23" ht="26.4">
      <c r="W3774" s="64" ph="1"/>
    </row>
    <row r="3775" spans="23:23" ht="26.4">
      <c r="W3775" s="64" ph="1"/>
    </row>
    <row r="3776" spans="23:23" ht="26.4">
      <c r="W3776" s="64" ph="1"/>
    </row>
    <row r="3777" spans="23:23" ht="26.4">
      <c r="W3777" s="64" ph="1"/>
    </row>
    <row r="3778" spans="23:23" ht="26.4">
      <c r="W3778" s="64" ph="1"/>
    </row>
    <row r="3779" spans="23:23" ht="26.4">
      <c r="W3779" s="64" ph="1"/>
    </row>
    <row r="3780" spans="23:23" ht="26.4">
      <c r="W3780" s="64" ph="1"/>
    </row>
    <row r="3781" spans="23:23" ht="26.4">
      <c r="W3781" s="64" ph="1"/>
    </row>
    <row r="3782" spans="23:23" ht="26.4">
      <c r="W3782" s="64" ph="1"/>
    </row>
    <row r="3783" spans="23:23" ht="26.4">
      <c r="W3783" s="64" ph="1"/>
    </row>
    <row r="3784" spans="23:23" ht="26.4">
      <c r="W3784" s="64" ph="1"/>
    </row>
    <row r="3785" spans="23:23" ht="26.4">
      <c r="W3785" s="64" ph="1"/>
    </row>
    <row r="3786" spans="23:23" ht="26.4">
      <c r="W3786" s="64" ph="1"/>
    </row>
    <row r="3787" spans="23:23" ht="26.4">
      <c r="W3787" s="64" ph="1"/>
    </row>
    <row r="3788" spans="23:23" ht="26.4">
      <c r="W3788" s="64" ph="1"/>
    </row>
    <row r="3789" spans="23:23" ht="26.4">
      <c r="W3789" s="64" ph="1"/>
    </row>
    <row r="3790" spans="23:23" ht="26.4">
      <c r="W3790" s="64" ph="1"/>
    </row>
    <row r="3791" spans="23:23" ht="26.4">
      <c r="W3791" s="64" ph="1"/>
    </row>
    <row r="3792" spans="23:23" ht="26.4">
      <c r="W3792" s="64" ph="1"/>
    </row>
    <row r="3793" spans="23:23" ht="26.4">
      <c r="W3793" s="64" ph="1"/>
    </row>
    <row r="3794" spans="23:23" ht="26.4">
      <c r="W3794" s="64" ph="1"/>
    </row>
    <row r="3795" spans="23:23" ht="26.4">
      <c r="W3795" s="64" ph="1"/>
    </row>
    <row r="3796" spans="23:23" ht="26.4">
      <c r="W3796" s="64" ph="1"/>
    </row>
    <row r="3797" spans="23:23" ht="26.4">
      <c r="W3797" s="64" ph="1"/>
    </row>
    <row r="3798" spans="23:23" ht="26.4">
      <c r="W3798" s="64" ph="1"/>
    </row>
    <row r="3799" spans="23:23" ht="26.4">
      <c r="W3799" s="64" ph="1"/>
    </row>
    <row r="3800" spans="23:23" ht="26.4">
      <c r="W3800" s="64" ph="1"/>
    </row>
    <row r="3801" spans="23:23" ht="26.4">
      <c r="W3801" s="64" ph="1"/>
    </row>
    <row r="3802" spans="23:23" ht="26.4">
      <c r="W3802" s="64" ph="1"/>
    </row>
    <row r="3803" spans="23:23" ht="26.4">
      <c r="W3803" s="64" ph="1"/>
    </row>
    <row r="3804" spans="23:23" ht="26.4">
      <c r="W3804" s="64" ph="1"/>
    </row>
    <row r="3805" spans="23:23" ht="26.4">
      <c r="W3805" s="64" ph="1"/>
    </row>
    <row r="3806" spans="23:23" ht="26.4">
      <c r="W3806" s="64" ph="1"/>
    </row>
    <row r="3807" spans="23:23" ht="26.4">
      <c r="W3807" s="64" ph="1"/>
    </row>
    <row r="3808" spans="23:23" ht="26.4">
      <c r="W3808" s="64" ph="1"/>
    </row>
    <row r="3809" spans="23:23" ht="26.4">
      <c r="W3809" s="64" ph="1"/>
    </row>
    <row r="3810" spans="23:23" ht="26.4">
      <c r="W3810" s="64" ph="1"/>
    </row>
    <row r="3811" spans="23:23" ht="26.4">
      <c r="W3811" s="64" ph="1"/>
    </row>
    <row r="3812" spans="23:23" ht="26.4">
      <c r="W3812" s="64" ph="1"/>
    </row>
    <row r="3813" spans="23:23" ht="26.4">
      <c r="W3813" s="64" ph="1"/>
    </row>
    <row r="3814" spans="23:23" ht="26.4">
      <c r="W3814" s="64" ph="1"/>
    </row>
    <row r="3815" spans="23:23" ht="26.4">
      <c r="W3815" s="64" ph="1"/>
    </row>
    <row r="3816" spans="23:23" ht="26.4">
      <c r="W3816" s="64" ph="1"/>
    </row>
    <row r="3817" spans="23:23" ht="26.4">
      <c r="W3817" s="64" ph="1"/>
    </row>
    <row r="3818" spans="23:23" ht="26.4">
      <c r="W3818" s="64" ph="1"/>
    </row>
    <row r="3819" spans="23:23" ht="26.4">
      <c r="W3819" s="64" ph="1"/>
    </row>
    <row r="3820" spans="23:23" ht="26.4">
      <c r="W3820" s="64" ph="1"/>
    </row>
    <row r="3821" spans="23:23" ht="26.4">
      <c r="W3821" s="64" ph="1"/>
    </row>
    <row r="3822" spans="23:23" ht="26.4">
      <c r="W3822" s="64" ph="1"/>
    </row>
    <row r="3823" spans="23:23" ht="26.4">
      <c r="W3823" s="64" ph="1"/>
    </row>
    <row r="3824" spans="23:23" ht="26.4">
      <c r="W3824" s="64" ph="1"/>
    </row>
    <row r="3825" spans="23:23" ht="26.4">
      <c r="W3825" s="64" ph="1"/>
    </row>
    <row r="3826" spans="23:23" ht="26.4">
      <c r="W3826" s="64" ph="1"/>
    </row>
    <row r="3827" spans="23:23" ht="26.4">
      <c r="W3827" s="64" ph="1"/>
    </row>
    <row r="3828" spans="23:23" ht="26.4">
      <c r="W3828" s="64" ph="1"/>
    </row>
    <row r="3829" spans="23:23" ht="26.4">
      <c r="W3829" s="64" ph="1"/>
    </row>
    <row r="3830" spans="23:23" ht="26.4">
      <c r="W3830" s="64" ph="1"/>
    </row>
    <row r="3831" spans="23:23" ht="26.4">
      <c r="W3831" s="64" ph="1"/>
    </row>
    <row r="3832" spans="23:23" ht="26.4">
      <c r="W3832" s="64" ph="1"/>
    </row>
    <row r="3833" spans="23:23" ht="26.4">
      <c r="W3833" s="64" ph="1"/>
    </row>
    <row r="3834" spans="23:23" ht="26.4">
      <c r="W3834" s="64" ph="1"/>
    </row>
    <row r="3835" spans="23:23" ht="26.4">
      <c r="W3835" s="64" ph="1"/>
    </row>
    <row r="3836" spans="23:23" ht="26.4">
      <c r="W3836" s="64" ph="1"/>
    </row>
    <row r="3837" spans="23:23" ht="26.4">
      <c r="W3837" s="64" ph="1"/>
    </row>
    <row r="3838" spans="23:23" ht="26.4">
      <c r="W3838" s="64" ph="1"/>
    </row>
    <row r="3839" spans="23:23" ht="26.4">
      <c r="W3839" s="64" ph="1"/>
    </row>
    <row r="3840" spans="23:23" ht="26.4">
      <c r="W3840" s="64" ph="1"/>
    </row>
    <row r="3841" spans="23:23" ht="26.4">
      <c r="W3841" s="64" ph="1"/>
    </row>
    <row r="3842" spans="23:23" ht="26.4">
      <c r="W3842" s="64" ph="1"/>
    </row>
    <row r="3843" spans="23:23" ht="26.4">
      <c r="W3843" s="64" ph="1"/>
    </row>
    <row r="3844" spans="23:23" ht="26.4">
      <c r="W3844" s="64" ph="1"/>
    </row>
    <row r="3845" spans="23:23" ht="26.4">
      <c r="W3845" s="64" ph="1"/>
    </row>
    <row r="3846" spans="23:23" ht="26.4">
      <c r="W3846" s="64" ph="1"/>
    </row>
    <row r="3847" spans="23:23" ht="26.4">
      <c r="W3847" s="64" ph="1"/>
    </row>
    <row r="3848" spans="23:23" ht="26.4">
      <c r="W3848" s="64" ph="1"/>
    </row>
    <row r="3849" spans="23:23" ht="26.4">
      <c r="W3849" s="64" ph="1"/>
    </row>
    <row r="3850" spans="23:23" ht="26.4">
      <c r="W3850" s="64" ph="1"/>
    </row>
    <row r="3851" spans="23:23" ht="26.4">
      <c r="W3851" s="64" ph="1"/>
    </row>
    <row r="3852" spans="23:23" ht="26.4">
      <c r="W3852" s="64" ph="1"/>
    </row>
    <row r="3853" spans="23:23" ht="26.4">
      <c r="W3853" s="64" ph="1"/>
    </row>
    <row r="3854" spans="23:23" ht="26.4">
      <c r="W3854" s="64" ph="1"/>
    </row>
    <row r="3855" spans="23:23" ht="26.4">
      <c r="W3855" s="64" ph="1"/>
    </row>
    <row r="3856" spans="23:23" ht="26.4">
      <c r="W3856" s="64" ph="1"/>
    </row>
    <row r="3857" spans="23:23" ht="26.4">
      <c r="W3857" s="64" ph="1"/>
    </row>
    <row r="3858" spans="23:23" ht="26.4">
      <c r="W3858" s="64" ph="1"/>
    </row>
    <row r="3859" spans="23:23" ht="26.4">
      <c r="W3859" s="64" ph="1"/>
    </row>
    <row r="3860" spans="23:23" ht="26.4">
      <c r="W3860" s="64" ph="1"/>
    </row>
    <row r="3861" spans="23:23" ht="26.4">
      <c r="W3861" s="64" ph="1"/>
    </row>
    <row r="3862" spans="23:23" ht="26.4">
      <c r="W3862" s="64" ph="1"/>
    </row>
    <row r="3863" spans="23:23" ht="26.4">
      <c r="W3863" s="64" ph="1"/>
    </row>
    <row r="3864" spans="23:23" ht="26.4">
      <c r="W3864" s="64" ph="1"/>
    </row>
    <row r="3865" spans="23:23" ht="26.4">
      <c r="W3865" s="64" ph="1"/>
    </row>
    <row r="3866" spans="23:23" ht="26.4">
      <c r="W3866" s="64" ph="1"/>
    </row>
    <row r="3867" spans="23:23" ht="26.4">
      <c r="W3867" s="64" ph="1"/>
    </row>
    <row r="3868" spans="23:23" ht="26.4">
      <c r="W3868" s="64" ph="1"/>
    </row>
    <row r="3869" spans="23:23" ht="26.4">
      <c r="W3869" s="64" ph="1"/>
    </row>
    <row r="3870" spans="23:23" ht="26.4">
      <c r="W3870" s="64" ph="1"/>
    </row>
    <row r="3871" spans="23:23" ht="26.4">
      <c r="W3871" s="64" ph="1"/>
    </row>
    <row r="3872" spans="23:23" ht="26.4">
      <c r="W3872" s="64" ph="1"/>
    </row>
    <row r="3873" spans="23:23" ht="26.4">
      <c r="W3873" s="64" ph="1"/>
    </row>
    <row r="3874" spans="23:23" ht="26.4">
      <c r="W3874" s="64" ph="1"/>
    </row>
    <row r="3875" spans="23:23" ht="26.4">
      <c r="W3875" s="64" ph="1"/>
    </row>
    <row r="3876" spans="23:23" ht="26.4">
      <c r="W3876" s="64" ph="1"/>
    </row>
    <row r="3877" spans="23:23" ht="26.4">
      <c r="W3877" s="64" ph="1"/>
    </row>
    <row r="3878" spans="23:23" ht="26.4">
      <c r="W3878" s="64" ph="1"/>
    </row>
    <row r="3879" spans="23:23" ht="26.4">
      <c r="W3879" s="64" ph="1"/>
    </row>
    <row r="3880" spans="23:23" ht="26.4">
      <c r="W3880" s="64" ph="1"/>
    </row>
    <row r="3881" spans="23:23" ht="26.4">
      <c r="W3881" s="64" ph="1"/>
    </row>
    <row r="3882" spans="23:23" ht="26.4">
      <c r="W3882" s="64" ph="1"/>
    </row>
    <row r="3883" spans="23:23" ht="26.4">
      <c r="W3883" s="64" ph="1"/>
    </row>
    <row r="3884" spans="23:23" ht="26.4">
      <c r="W3884" s="64" ph="1"/>
    </row>
    <row r="3885" spans="23:23" ht="26.4">
      <c r="W3885" s="64" ph="1"/>
    </row>
    <row r="3886" spans="23:23" ht="26.4">
      <c r="W3886" s="64" ph="1"/>
    </row>
    <row r="3887" spans="23:23" ht="26.4">
      <c r="W3887" s="64" ph="1"/>
    </row>
    <row r="3888" spans="23:23" ht="26.4">
      <c r="W3888" s="64" ph="1"/>
    </row>
    <row r="3889" spans="23:23" ht="26.4">
      <c r="W3889" s="64" ph="1"/>
    </row>
    <row r="3890" spans="23:23" ht="26.4">
      <c r="W3890" s="64" ph="1"/>
    </row>
    <row r="3891" spans="23:23" ht="26.4">
      <c r="W3891" s="64" ph="1"/>
    </row>
    <row r="3892" spans="23:23" ht="26.4">
      <c r="W3892" s="64" ph="1"/>
    </row>
    <row r="3893" spans="23:23" ht="26.4">
      <c r="W3893" s="64" ph="1"/>
    </row>
    <row r="3894" spans="23:23" ht="26.4">
      <c r="W3894" s="64" ph="1"/>
    </row>
    <row r="3895" spans="23:23" ht="26.4">
      <c r="W3895" s="64" ph="1"/>
    </row>
    <row r="3896" spans="23:23" ht="26.4">
      <c r="W3896" s="64" ph="1"/>
    </row>
    <row r="3897" spans="23:23" ht="26.4">
      <c r="W3897" s="64" ph="1"/>
    </row>
    <row r="3898" spans="23:23" ht="26.4">
      <c r="W3898" s="64" ph="1"/>
    </row>
    <row r="3899" spans="23:23" ht="26.4">
      <c r="W3899" s="64" ph="1"/>
    </row>
    <row r="3900" spans="23:23" ht="26.4">
      <c r="W3900" s="64" ph="1"/>
    </row>
    <row r="3901" spans="23:23" ht="26.4">
      <c r="W3901" s="64" ph="1"/>
    </row>
    <row r="3902" spans="23:23" ht="26.4">
      <c r="W3902" s="64" ph="1"/>
    </row>
    <row r="3903" spans="23:23" ht="26.4">
      <c r="W3903" s="64" ph="1"/>
    </row>
    <row r="3904" spans="23:23" ht="26.4">
      <c r="W3904" s="64" ph="1"/>
    </row>
    <row r="3905" spans="23:23" ht="26.4">
      <c r="W3905" s="64" ph="1"/>
    </row>
    <row r="3906" spans="23:23" ht="26.4">
      <c r="W3906" s="64" ph="1"/>
    </row>
    <row r="3907" spans="23:23" ht="26.4">
      <c r="W3907" s="64" ph="1"/>
    </row>
    <row r="3908" spans="23:23" ht="26.4">
      <c r="W3908" s="64" ph="1"/>
    </row>
    <row r="3909" spans="23:23" ht="26.4">
      <c r="W3909" s="64" ph="1"/>
    </row>
    <row r="3910" spans="23:23" ht="26.4">
      <c r="W3910" s="64" ph="1"/>
    </row>
    <row r="3911" spans="23:23" ht="26.4">
      <c r="W3911" s="64" ph="1"/>
    </row>
    <row r="3912" spans="23:23" ht="26.4">
      <c r="W3912" s="64" ph="1"/>
    </row>
    <row r="3913" spans="23:23" ht="26.4">
      <c r="W3913" s="64" ph="1"/>
    </row>
    <row r="3914" spans="23:23" ht="26.4">
      <c r="W3914" s="64" ph="1"/>
    </row>
    <row r="3915" spans="23:23" ht="26.4">
      <c r="W3915" s="64" ph="1"/>
    </row>
    <row r="3916" spans="23:23" ht="26.4">
      <c r="W3916" s="64" ph="1"/>
    </row>
    <row r="3917" spans="23:23" ht="26.4">
      <c r="W3917" s="64" ph="1"/>
    </row>
    <row r="3918" spans="23:23" ht="26.4">
      <c r="W3918" s="64" ph="1"/>
    </row>
    <row r="3919" spans="23:23" ht="26.4">
      <c r="W3919" s="64" ph="1"/>
    </row>
    <row r="3920" spans="23:23" ht="26.4">
      <c r="W3920" s="64" ph="1"/>
    </row>
    <row r="3921" spans="23:23" ht="26.4">
      <c r="W3921" s="64" ph="1"/>
    </row>
    <row r="3922" spans="23:23" ht="26.4">
      <c r="W3922" s="64" ph="1"/>
    </row>
    <row r="3923" spans="23:23" ht="26.4">
      <c r="W3923" s="64" ph="1"/>
    </row>
    <row r="3924" spans="23:23" ht="26.4">
      <c r="W3924" s="64" ph="1"/>
    </row>
    <row r="3925" spans="23:23" ht="26.4">
      <c r="W3925" s="64" ph="1"/>
    </row>
    <row r="3926" spans="23:23" ht="26.4">
      <c r="W3926" s="64" ph="1"/>
    </row>
    <row r="3927" spans="23:23" ht="26.4">
      <c r="W3927" s="64" ph="1"/>
    </row>
    <row r="3928" spans="23:23" ht="26.4">
      <c r="W3928" s="64" ph="1"/>
    </row>
    <row r="3929" spans="23:23" ht="26.4">
      <c r="W3929" s="64" ph="1"/>
    </row>
    <row r="3930" spans="23:23" ht="26.4">
      <c r="W3930" s="64" ph="1"/>
    </row>
    <row r="3931" spans="23:23" ht="26.4">
      <c r="W3931" s="64" ph="1"/>
    </row>
    <row r="3932" spans="23:23" ht="26.4">
      <c r="W3932" s="64" ph="1"/>
    </row>
    <row r="3933" spans="23:23" ht="26.4">
      <c r="W3933" s="64" ph="1"/>
    </row>
    <row r="3934" spans="23:23" ht="26.4">
      <c r="W3934" s="64" ph="1"/>
    </row>
    <row r="3935" spans="23:23" ht="26.4">
      <c r="W3935" s="64" ph="1"/>
    </row>
    <row r="3936" spans="23:23" ht="26.4">
      <c r="W3936" s="64" ph="1"/>
    </row>
    <row r="3937" spans="23:23" ht="26.4">
      <c r="W3937" s="64" ph="1"/>
    </row>
    <row r="3938" spans="23:23" ht="26.4">
      <c r="W3938" s="64" ph="1"/>
    </row>
    <row r="3939" spans="23:23" ht="26.4">
      <c r="W3939" s="64" ph="1"/>
    </row>
    <row r="3940" spans="23:23" ht="26.4">
      <c r="W3940" s="64" ph="1"/>
    </row>
    <row r="3941" spans="23:23" ht="26.4">
      <c r="W3941" s="64" ph="1"/>
    </row>
    <row r="3942" spans="23:23" ht="26.4">
      <c r="W3942" s="64" ph="1"/>
    </row>
    <row r="3943" spans="23:23" ht="26.4">
      <c r="W3943" s="64" ph="1"/>
    </row>
    <row r="3944" spans="23:23" ht="26.4">
      <c r="W3944" s="64" ph="1"/>
    </row>
    <row r="3945" spans="23:23" ht="26.4">
      <c r="W3945" s="64" ph="1"/>
    </row>
    <row r="3946" spans="23:23" ht="26.4">
      <c r="W3946" s="64" ph="1"/>
    </row>
    <row r="3947" spans="23:23" ht="26.4">
      <c r="W3947" s="64" ph="1"/>
    </row>
    <row r="3948" spans="23:23" ht="26.4">
      <c r="W3948" s="64" ph="1"/>
    </row>
    <row r="3949" spans="23:23" ht="26.4">
      <c r="W3949" s="64" ph="1"/>
    </row>
    <row r="3950" spans="23:23" ht="26.4">
      <c r="W3950" s="64" ph="1"/>
    </row>
    <row r="3951" spans="23:23" ht="26.4">
      <c r="W3951" s="64" ph="1"/>
    </row>
    <row r="3952" spans="23:23" ht="26.4">
      <c r="W3952" s="64" ph="1"/>
    </row>
    <row r="3953" spans="23:23" ht="26.4">
      <c r="W3953" s="64" ph="1"/>
    </row>
    <row r="3954" spans="23:23" ht="26.4">
      <c r="W3954" s="64" ph="1"/>
    </row>
    <row r="3955" spans="23:23" ht="26.4">
      <c r="W3955" s="64" ph="1"/>
    </row>
    <row r="3956" spans="23:23" ht="26.4">
      <c r="W3956" s="64" ph="1"/>
    </row>
    <row r="3957" spans="23:23" ht="26.4">
      <c r="W3957" s="64" ph="1"/>
    </row>
    <row r="3958" spans="23:23" ht="26.4">
      <c r="W3958" s="64" ph="1"/>
    </row>
    <row r="3959" spans="23:23" ht="26.4">
      <c r="W3959" s="64" ph="1"/>
    </row>
    <row r="3960" spans="23:23" ht="26.4">
      <c r="W3960" s="64" ph="1"/>
    </row>
    <row r="3961" spans="23:23" ht="26.4">
      <c r="W3961" s="64" ph="1"/>
    </row>
    <row r="3962" spans="23:23" ht="26.4">
      <c r="W3962" s="64" ph="1"/>
    </row>
    <row r="3963" spans="23:23" ht="26.4">
      <c r="W3963" s="64" ph="1"/>
    </row>
    <row r="3964" spans="23:23" ht="26.4">
      <c r="W3964" s="64" ph="1"/>
    </row>
    <row r="3965" spans="23:23" ht="26.4">
      <c r="W3965" s="64" ph="1"/>
    </row>
    <row r="3966" spans="23:23" ht="26.4">
      <c r="W3966" s="64" ph="1"/>
    </row>
    <row r="3967" spans="23:23" ht="26.4">
      <c r="W3967" s="64" ph="1"/>
    </row>
    <row r="3968" spans="23:23" ht="26.4">
      <c r="W3968" s="64" ph="1"/>
    </row>
    <row r="3969" spans="23:23" ht="26.4">
      <c r="W3969" s="64" ph="1"/>
    </row>
    <row r="3970" spans="23:23" ht="26.4">
      <c r="W3970" s="64" ph="1"/>
    </row>
    <row r="3971" spans="23:23" ht="26.4">
      <c r="W3971" s="64" ph="1"/>
    </row>
    <row r="3972" spans="23:23" ht="26.4">
      <c r="W3972" s="64" ph="1"/>
    </row>
    <row r="3973" spans="23:23" ht="26.4">
      <c r="W3973" s="64" ph="1"/>
    </row>
    <row r="3974" spans="23:23" ht="26.4">
      <c r="W3974" s="64" ph="1"/>
    </row>
    <row r="3975" spans="23:23" ht="26.4">
      <c r="W3975" s="64" ph="1"/>
    </row>
    <row r="3976" spans="23:23" ht="26.4">
      <c r="W3976" s="64" ph="1"/>
    </row>
    <row r="3977" spans="23:23" ht="26.4">
      <c r="W3977" s="64" ph="1"/>
    </row>
    <row r="3978" spans="23:23" ht="26.4">
      <c r="W3978" s="64" ph="1"/>
    </row>
    <row r="3979" spans="23:23" ht="26.4">
      <c r="W3979" s="64" ph="1"/>
    </row>
    <row r="3980" spans="23:23" ht="26.4">
      <c r="W3980" s="64" ph="1"/>
    </row>
    <row r="3981" spans="23:23" ht="26.4">
      <c r="W3981" s="64" ph="1"/>
    </row>
    <row r="3982" spans="23:23" ht="26.4">
      <c r="W3982" s="64" ph="1"/>
    </row>
    <row r="3983" spans="23:23" ht="26.4">
      <c r="W3983" s="64" ph="1"/>
    </row>
    <row r="3984" spans="23:23" ht="26.4">
      <c r="W3984" s="64" ph="1"/>
    </row>
    <row r="3985" spans="23:23" ht="26.4">
      <c r="W3985" s="64" ph="1"/>
    </row>
    <row r="3986" spans="23:23" ht="26.4">
      <c r="W3986" s="64" ph="1"/>
    </row>
    <row r="3987" spans="23:23" ht="26.4">
      <c r="W3987" s="64" ph="1"/>
    </row>
    <row r="3988" spans="23:23" ht="26.4">
      <c r="W3988" s="64" ph="1"/>
    </row>
    <row r="3989" spans="23:23" ht="26.4">
      <c r="W3989" s="64" ph="1"/>
    </row>
    <row r="3990" spans="23:23" ht="26.4">
      <c r="W3990" s="64" ph="1"/>
    </row>
    <row r="3991" spans="23:23" ht="26.4">
      <c r="W3991" s="64" ph="1"/>
    </row>
    <row r="3992" spans="23:23" ht="26.4">
      <c r="W3992" s="64" ph="1"/>
    </row>
    <row r="3993" spans="23:23" ht="26.4">
      <c r="W3993" s="64" ph="1"/>
    </row>
    <row r="3994" spans="23:23" ht="26.4">
      <c r="W3994" s="64" ph="1"/>
    </row>
    <row r="3995" spans="23:23" ht="26.4">
      <c r="W3995" s="64" ph="1"/>
    </row>
    <row r="3996" spans="23:23" ht="26.4">
      <c r="W3996" s="64" ph="1"/>
    </row>
    <row r="3997" spans="23:23" ht="26.4">
      <c r="W3997" s="64" ph="1"/>
    </row>
    <row r="3998" spans="23:23" ht="26.4">
      <c r="W3998" s="64" ph="1"/>
    </row>
    <row r="3999" spans="23:23" ht="26.4">
      <c r="W3999" s="64" ph="1"/>
    </row>
    <row r="4000" spans="23:23" ht="26.4">
      <c r="W4000" s="64" ph="1"/>
    </row>
    <row r="4001" spans="23:23" ht="26.4">
      <c r="W4001" s="64" ph="1"/>
    </row>
    <row r="4002" spans="23:23" ht="26.4">
      <c r="W4002" s="64" ph="1"/>
    </row>
    <row r="4003" spans="23:23" ht="26.4">
      <c r="W4003" s="64" ph="1"/>
    </row>
    <row r="4004" spans="23:23" ht="26.4">
      <c r="W4004" s="64" ph="1"/>
    </row>
    <row r="4005" spans="23:23" ht="26.4">
      <c r="W4005" s="64" ph="1"/>
    </row>
    <row r="4006" spans="23:23" ht="26.4">
      <c r="W4006" s="64" ph="1"/>
    </row>
    <row r="4007" spans="23:23" ht="26.4">
      <c r="W4007" s="64" ph="1"/>
    </row>
    <row r="4008" spans="23:23" ht="26.4">
      <c r="W4008" s="64" ph="1"/>
    </row>
    <row r="4009" spans="23:23" ht="26.4">
      <c r="W4009" s="64" ph="1"/>
    </row>
    <row r="4010" spans="23:23" ht="26.4">
      <c r="W4010" s="64" ph="1"/>
    </row>
    <row r="4011" spans="23:23" ht="26.4">
      <c r="W4011" s="64" ph="1"/>
    </row>
    <row r="4012" spans="23:23" ht="26.4">
      <c r="W4012" s="64" ph="1"/>
    </row>
    <row r="4013" spans="23:23" ht="26.4">
      <c r="W4013" s="64" ph="1"/>
    </row>
    <row r="4014" spans="23:23" ht="26.4">
      <c r="W4014" s="64" ph="1"/>
    </row>
    <row r="4015" spans="23:23" ht="26.4">
      <c r="W4015" s="64" ph="1"/>
    </row>
    <row r="4016" spans="23:23" ht="26.4">
      <c r="W4016" s="64" ph="1"/>
    </row>
    <row r="4017" spans="23:23" ht="26.4">
      <c r="W4017" s="64" ph="1"/>
    </row>
    <row r="4018" spans="23:23" ht="26.4">
      <c r="W4018" s="64" ph="1"/>
    </row>
    <row r="4019" spans="23:23" ht="26.4">
      <c r="W4019" s="64" ph="1"/>
    </row>
    <row r="4020" spans="23:23" ht="26.4">
      <c r="W4020" s="64" ph="1"/>
    </row>
    <row r="4021" spans="23:23" ht="26.4">
      <c r="W4021" s="64" ph="1"/>
    </row>
    <row r="4022" spans="23:23" ht="26.4">
      <c r="W4022" s="64" ph="1"/>
    </row>
    <row r="4023" spans="23:23" ht="26.4">
      <c r="W4023" s="64" ph="1"/>
    </row>
    <row r="4024" spans="23:23" ht="26.4">
      <c r="W4024" s="64" ph="1"/>
    </row>
    <row r="4025" spans="23:23" ht="26.4">
      <c r="W4025" s="64" ph="1"/>
    </row>
    <row r="4026" spans="23:23" ht="26.4">
      <c r="W4026" s="64" ph="1"/>
    </row>
    <row r="4027" spans="23:23" ht="26.4">
      <c r="W4027" s="64" ph="1"/>
    </row>
    <row r="4028" spans="23:23" ht="26.4">
      <c r="W4028" s="64" ph="1"/>
    </row>
    <row r="4029" spans="23:23" ht="26.4">
      <c r="W4029" s="64" ph="1"/>
    </row>
    <row r="4030" spans="23:23" ht="26.4">
      <c r="W4030" s="64" ph="1"/>
    </row>
    <row r="4031" spans="23:23" ht="26.4">
      <c r="W4031" s="64" ph="1"/>
    </row>
    <row r="4032" spans="23:23" ht="26.4">
      <c r="W4032" s="64" ph="1"/>
    </row>
    <row r="4033" spans="23:23" ht="26.4">
      <c r="W4033" s="64" ph="1"/>
    </row>
    <row r="4034" spans="23:23" ht="26.4">
      <c r="W4034" s="64" ph="1"/>
    </row>
    <row r="4035" spans="23:23" ht="26.4">
      <c r="W4035" s="64" ph="1"/>
    </row>
    <row r="4036" spans="23:23" ht="26.4">
      <c r="W4036" s="64" ph="1"/>
    </row>
    <row r="4037" spans="23:23" ht="26.4">
      <c r="W4037" s="64" ph="1"/>
    </row>
    <row r="4038" spans="23:23" ht="26.4">
      <c r="W4038" s="64" ph="1"/>
    </row>
    <row r="4039" spans="23:23" ht="26.4">
      <c r="W4039" s="64" ph="1"/>
    </row>
    <row r="4040" spans="23:23" ht="26.4">
      <c r="W4040" s="64" ph="1"/>
    </row>
    <row r="4041" spans="23:23" ht="26.4">
      <c r="W4041" s="64" ph="1"/>
    </row>
    <row r="4042" spans="23:23" ht="26.4">
      <c r="W4042" s="64" ph="1"/>
    </row>
    <row r="4043" spans="23:23" ht="26.4">
      <c r="W4043" s="64" ph="1"/>
    </row>
    <row r="4044" spans="23:23" ht="26.4">
      <c r="W4044" s="64" ph="1"/>
    </row>
    <row r="4045" spans="23:23" ht="26.4">
      <c r="W4045" s="64" ph="1"/>
    </row>
    <row r="4046" spans="23:23" ht="26.4">
      <c r="W4046" s="64" ph="1"/>
    </row>
    <row r="4047" spans="23:23" ht="26.4">
      <c r="W4047" s="64" ph="1"/>
    </row>
    <row r="4048" spans="23:23" ht="26.4">
      <c r="W4048" s="64" ph="1"/>
    </row>
    <row r="4049" spans="23:23" ht="26.4">
      <c r="W4049" s="64" ph="1"/>
    </row>
    <row r="4050" spans="23:23" ht="26.4">
      <c r="W4050" s="64" ph="1"/>
    </row>
    <row r="4051" spans="23:23" ht="26.4">
      <c r="W4051" s="64" ph="1"/>
    </row>
    <row r="4052" spans="23:23" ht="26.4">
      <c r="W4052" s="64" ph="1"/>
    </row>
    <row r="4053" spans="23:23" ht="26.4">
      <c r="W4053" s="64" ph="1"/>
    </row>
    <row r="4054" spans="23:23" ht="26.4">
      <c r="W4054" s="64" ph="1"/>
    </row>
    <row r="4055" spans="23:23" ht="26.4">
      <c r="W4055" s="64" ph="1"/>
    </row>
    <row r="4056" spans="23:23" ht="26.4">
      <c r="W4056" s="64" ph="1"/>
    </row>
    <row r="4057" spans="23:23" ht="26.4">
      <c r="W4057" s="64" ph="1"/>
    </row>
    <row r="4058" spans="23:23" ht="26.4">
      <c r="W4058" s="64" ph="1"/>
    </row>
    <row r="4059" spans="23:23" ht="26.4">
      <c r="W4059" s="64" ph="1"/>
    </row>
    <row r="4060" spans="23:23" ht="26.4">
      <c r="W4060" s="64" ph="1"/>
    </row>
    <row r="4061" spans="23:23" ht="26.4">
      <c r="W4061" s="64" ph="1"/>
    </row>
    <row r="4062" spans="23:23" ht="26.4">
      <c r="W4062" s="64" ph="1"/>
    </row>
    <row r="4063" spans="23:23" ht="26.4">
      <c r="W4063" s="64" ph="1"/>
    </row>
    <row r="4064" spans="23:23" ht="26.4">
      <c r="W4064" s="64" ph="1"/>
    </row>
    <row r="4065" spans="23:23" ht="26.4">
      <c r="W4065" s="64" ph="1"/>
    </row>
    <row r="4066" spans="23:23" ht="26.4">
      <c r="W4066" s="64" ph="1"/>
    </row>
    <row r="4067" spans="23:23" ht="26.4">
      <c r="W4067" s="64" ph="1"/>
    </row>
    <row r="4068" spans="23:23" ht="26.4">
      <c r="W4068" s="64" ph="1"/>
    </row>
    <row r="4069" spans="23:23" ht="26.4">
      <c r="W4069" s="64" ph="1"/>
    </row>
    <row r="4070" spans="23:23" ht="26.4">
      <c r="W4070" s="64" ph="1"/>
    </row>
    <row r="4071" spans="23:23" ht="26.4">
      <c r="W4071" s="64" ph="1"/>
    </row>
    <row r="4072" spans="23:23" ht="26.4">
      <c r="W4072" s="64" ph="1"/>
    </row>
    <row r="4073" spans="23:23" ht="26.4">
      <c r="W4073" s="64" ph="1"/>
    </row>
    <row r="4074" spans="23:23" ht="26.4">
      <c r="W4074" s="64" ph="1"/>
    </row>
    <row r="4075" spans="23:23" ht="26.4">
      <c r="W4075" s="64" ph="1"/>
    </row>
    <row r="4076" spans="23:23" ht="26.4">
      <c r="W4076" s="64" ph="1"/>
    </row>
    <row r="4077" spans="23:23" ht="26.4">
      <c r="W4077" s="64" ph="1"/>
    </row>
    <row r="4078" spans="23:23" ht="26.4">
      <c r="W4078" s="64" ph="1"/>
    </row>
    <row r="4079" spans="23:23" ht="26.4">
      <c r="W4079" s="64" ph="1"/>
    </row>
    <row r="4080" spans="23:23" ht="26.4">
      <c r="W4080" s="64" ph="1"/>
    </row>
    <row r="4081" spans="23:23" ht="26.4">
      <c r="W4081" s="64" ph="1"/>
    </row>
    <row r="4082" spans="23:23" ht="26.4">
      <c r="W4082" s="64" ph="1"/>
    </row>
    <row r="4083" spans="23:23" ht="26.4">
      <c r="W4083" s="64" ph="1"/>
    </row>
    <row r="4084" spans="23:23" ht="26.4">
      <c r="W4084" s="64" ph="1"/>
    </row>
    <row r="4085" spans="23:23" ht="26.4">
      <c r="W4085" s="64" ph="1"/>
    </row>
    <row r="4086" spans="23:23" ht="26.4">
      <c r="W4086" s="64" ph="1"/>
    </row>
    <row r="4087" spans="23:23" ht="26.4">
      <c r="W4087" s="64" ph="1"/>
    </row>
    <row r="4088" spans="23:23" ht="26.4">
      <c r="W4088" s="64" ph="1"/>
    </row>
    <row r="4089" spans="23:23" ht="26.4">
      <c r="W4089" s="64" ph="1"/>
    </row>
    <row r="4090" spans="23:23" ht="26.4">
      <c r="W4090" s="64" ph="1"/>
    </row>
    <row r="4091" spans="23:23" ht="26.4">
      <c r="W4091" s="64" ph="1"/>
    </row>
    <row r="4092" spans="23:23" ht="26.4">
      <c r="W4092" s="64" ph="1"/>
    </row>
    <row r="4093" spans="23:23" ht="26.4">
      <c r="W4093" s="64" ph="1"/>
    </row>
    <row r="4094" spans="23:23" ht="26.4">
      <c r="W4094" s="64" ph="1"/>
    </row>
    <row r="4095" spans="23:23" ht="26.4">
      <c r="W4095" s="64" ph="1"/>
    </row>
    <row r="4096" spans="23:23" ht="26.4">
      <c r="W4096" s="64" ph="1"/>
    </row>
    <row r="4097" spans="23:23" ht="26.4">
      <c r="W4097" s="64" ph="1"/>
    </row>
    <row r="4098" spans="23:23" ht="26.4">
      <c r="W4098" s="64" ph="1"/>
    </row>
    <row r="4099" spans="23:23" ht="26.4">
      <c r="W4099" s="64" ph="1"/>
    </row>
    <row r="4100" spans="23:23" ht="26.4">
      <c r="W4100" s="64" ph="1"/>
    </row>
    <row r="4101" spans="23:23" ht="26.4">
      <c r="W4101" s="64" ph="1"/>
    </row>
    <row r="4102" spans="23:23" ht="26.4">
      <c r="W4102" s="64" ph="1"/>
    </row>
    <row r="4103" spans="23:23" ht="26.4">
      <c r="W4103" s="64" ph="1"/>
    </row>
    <row r="4104" spans="23:23" ht="26.4">
      <c r="W4104" s="64" ph="1"/>
    </row>
    <row r="4105" spans="23:23" ht="26.4">
      <c r="W4105" s="64" ph="1"/>
    </row>
    <row r="4106" spans="23:23" ht="26.4">
      <c r="W4106" s="64" ph="1"/>
    </row>
    <row r="4107" spans="23:23" ht="26.4">
      <c r="W4107" s="64" ph="1"/>
    </row>
    <row r="4108" spans="23:23" ht="26.4">
      <c r="W4108" s="64" ph="1"/>
    </row>
    <row r="4109" spans="23:23" ht="26.4">
      <c r="W4109" s="64" ph="1"/>
    </row>
    <row r="4110" spans="23:23" ht="26.4">
      <c r="W4110" s="64" ph="1"/>
    </row>
    <row r="4111" spans="23:23" ht="26.4">
      <c r="W4111" s="64" ph="1"/>
    </row>
    <row r="4112" spans="23:23" ht="26.4">
      <c r="W4112" s="64" ph="1"/>
    </row>
    <row r="4113" spans="23:23" ht="26.4">
      <c r="W4113" s="64" ph="1"/>
    </row>
    <row r="4114" spans="23:23" ht="26.4">
      <c r="W4114" s="64" ph="1"/>
    </row>
    <row r="4115" spans="23:23" ht="26.4">
      <c r="W4115" s="64" ph="1"/>
    </row>
    <row r="4116" spans="23:23" ht="26.4">
      <c r="W4116" s="64" ph="1"/>
    </row>
    <row r="4117" spans="23:23" ht="26.4">
      <c r="W4117" s="64" ph="1"/>
    </row>
    <row r="4118" spans="23:23" ht="26.4">
      <c r="W4118" s="64" ph="1"/>
    </row>
    <row r="4119" spans="23:23" ht="26.4">
      <c r="W4119" s="64" ph="1"/>
    </row>
    <row r="4120" spans="23:23" ht="26.4">
      <c r="W4120" s="64" ph="1"/>
    </row>
    <row r="4121" spans="23:23" ht="26.4">
      <c r="W4121" s="64" ph="1"/>
    </row>
    <row r="4122" spans="23:23" ht="26.4">
      <c r="W4122" s="64" ph="1"/>
    </row>
    <row r="4123" spans="23:23" ht="26.4">
      <c r="W4123" s="64" ph="1"/>
    </row>
    <row r="4124" spans="23:23" ht="26.4">
      <c r="W4124" s="64" ph="1"/>
    </row>
    <row r="4125" spans="23:23" ht="26.4">
      <c r="W4125" s="64" ph="1"/>
    </row>
    <row r="4126" spans="23:23" ht="26.4">
      <c r="W4126" s="64" ph="1"/>
    </row>
    <row r="4127" spans="23:23" ht="26.4">
      <c r="W4127" s="64" ph="1"/>
    </row>
    <row r="4128" spans="23:23" ht="26.4">
      <c r="W4128" s="64" ph="1"/>
    </row>
    <row r="4129" spans="23:23" ht="26.4">
      <c r="W4129" s="64" ph="1"/>
    </row>
    <row r="4130" spans="23:23" ht="26.4">
      <c r="W4130" s="64" ph="1"/>
    </row>
    <row r="4131" spans="23:23" ht="26.4">
      <c r="W4131" s="64" ph="1"/>
    </row>
    <row r="4132" spans="23:23" ht="26.4">
      <c r="W4132" s="64" ph="1"/>
    </row>
    <row r="4133" spans="23:23" ht="26.4">
      <c r="W4133" s="64" ph="1"/>
    </row>
    <row r="4134" spans="23:23" ht="26.4">
      <c r="W4134" s="64" ph="1"/>
    </row>
    <row r="4135" spans="23:23" ht="26.4">
      <c r="W4135" s="64" ph="1"/>
    </row>
    <row r="4136" spans="23:23" ht="26.4">
      <c r="W4136" s="64" ph="1"/>
    </row>
    <row r="4137" spans="23:23" ht="26.4">
      <c r="W4137" s="64" ph="1"/>
    </row>
    <row r="4138" spans="23:23" ht="26.4">
      <c r="W4138" s="64" ph="1"/>
    </row>
    <row r="4139" spans="23:23" ht="26.4">
      <c r="W4139" s="64" ph="1"/>
    </row>
    <row r="4140" spans="23:23" ht="26.4">
      <c r="W4140" s="64" ph="1"/>
    </row>
    <row r="4141" spans="23:23" ht="26.4">
      <c r="W4141" s="64" ph="1"/>
    </row>
    <row r="4142" spans="23:23" ht="26.4">
      <c r="W4142" s="64" ph="1"/>
    </row>
    <row r="4143" spans="23:23" ht="26.4">
      <c r="W4143" s="64" ph="1"/>
    </row>
    <row r="4144" spans="23:23" ht="26.4">
      <c r="W4144" s="64" ph="1"/>
    </row>
    <row r="4145" spans="23:23" ht="26.4">
      <c r="W4145" s="64" ph="1"/>
    </row>
    <row r="4146" spans="23:23" ht="26.4">
      <c r="W4146" s="64" ph="1"/>
    </row>
    <row r="4147" spans="23:23" ht="26.4">
      <c r="W4147" s="64" ph="1"/>
    </row>
    <row r="4148" spans="23:23" ht="26.4">
      <c r="W4148" s="64" ph="1"/>
    </row>
    <row r="4149" spans="23:23" ht="26.4">
      <c r="W4149" s="64" ph="1"/>
    </row>
    <row r="4150" spans="23:23" ht="26.4">
      <c r="W4150" s="64" ph="1"/>
    </row>
    <row r="4151" spans="23:23" ht="26.4">
      <c r="W4151" s="64" ph="1"/>
    </row>
    <row r="4152" spans="23:23" ht="26.4">
      <c r="W4152" s="64" ph="1"/>
    </row>
    <row r="4153" spans="23:23" ht="26.4">
      <c r="W4153" s="64" ph="1"/>
    </row>
    <row r="4154" spans="23:23" ht="26.4">
      <c r="W4154" s="64" ph="1"/>
    </row>
    <row r="4155" spans="23:23" ht="26.4">
      <c r="W4155" s="64" ph="1"/>
    </row>
    <row r="4156" spans="23:23" ht="26.4">
      <c r="W4156" s="64" ph="1"/>
    </row>
    <row r="4157" spans="23:23" ht="26.4">
      <c r="W4157" s="64" ph="1"/>
    </row>
    <row r="4158" spans="23:23" ht="26.4">
      <c r="W4158" s="64" ph="1"/>
    </row>
    <row r="4159" spans="23:23" ht="26.4">
      <c r="W4159" s="64" ph="1"/>
    </row>
    <row r="4160" spans="23:23" ht="26.4">
      <c r="W4160" s="64" ph="1"/>
    </row>
    <row r="4161" spans="23:23" ht="26.4">
      <c r="W4161" s="64" ph="1"/>
    </row>
    <row r="4162" spans="23:23" ht="26.4">
      <c r="W4162" s="64" ph="1"/>
    </row>
    <row r="4163" spans="23:23" ht="26.4">
      <c r="W4163" s="64" ph="1"/>
    </row>
    <row r="4164" spans="23:23" ht="26.4">
      <c r="W4164" s="64" ph="1"/>
    </row>
    <row r="4165" spans="23:23" ht="26.4">
      <c r="W4165" s="64" ph="1"/>
    </row>
    <row r="4166" spans="23:23" ht="26.4">
      <c r="W4166" s="64" ph="1"/>
    </row>
    <row r="4167" spans="23:23" ht="26.4">
      <c r="W4167" s="64" ph="1"/>
    </row>
    <row r="4168" spans="23:23" ht="26.4">
      <c r="W4168" s="64" ph="1"/>
    </row>
    <row r="4169" spans="23:23" ht="26.4">
      <c r="W4169" s="64" ph="1"/>
    </row>
    <row r="4170" spans="23:23" ht="26.4">
      <c r="W4170" s="64" ph="1"/>
    </row>
    <row r="4171" spans="23:23" ht="26.4">
      <c r="W4171" s="64" ph="1"/>
    </row>
    <row r="4172" spans="23:23" ht="26.4">
      <c r="W4172" s="64" ph="1"/>
    </row>
    <row r="4173" spans="23:23" ht="26.4">
      <c r="W4173" s="64" ph="1"/>
    </row>
    <row r="4174" spans="23:23" ht="26.4">
      <c r="W4174" s="64" ph="1"/>
    </row>
    <row r="4175" spans="23:23" ht="26.4">
      <c r="W4175" s="64" ph="1"/>
    </row>
    <row r="4176" spans="23:23" ht="26.4">
      <c r="W4176" s="64" ph="1"/>
    </row>
    <row r="4177" spans="23:23" ht="26.4">
      <c r="W4177" s="64" ph="1"/>
    </row>
    <row r="4178" spans="23:23" ht="26.4">
      <c r="W4178" s="64" ph="1"/>
    </row>
    <row r="4179" spans="23:23" ht="26.4">
      <c r="W4179" s="64" ph="1"/>
    </row>
    <row r="4180" spans="23:23" ht="26.4">
      <c r="W4180" s="64" ph="1"/>
    </row>
    <row r="4181" spans="23:23" ht="26.4">
      <c r="W4181" s="64" ph="1"/>
    </row>
    <row r="4182" spans="23:23" ht="26.4">
      <c r="W4182" s="64" ph="1"/>
    </row>
    <row r="4183" spans="23:23" ht="26.4">
      <c r="W4183" s="64" ph="1"/>
    </row>
    <row r="4184" spans="23:23" ht="26.4">
      <c r="W4184" s="64" ph="1"/>
    </row>
    <row r="4185" spans="23:23" ht="26.4">
      <c r="W4185" s="64" ph="1"/>
    </row>
    <row r="4186" spans="23:23" ht="26.4">
      <c r="W4186" s="64" ph="1"/>
    </row>
    <row r="4187" spans="23:23" ht="26.4">
      <c r="W4187" s="64" ph="1"/>
    </row>
    <row r="4188" spans="23:23" ht="26.4">
      <c r="W4188" s="64" ph="1"/>
    </row>
    <row r="4189" spans="23:23" ht="26.4">
      <c r="W4189" s="64" ph="1"/>
    </row>
    <row r="4190" spans="23:23" ht="26.4">
      <c r="W4190" s="64" ph="1"/>
    </row>
    <row r="4191" spans="23:23" ht="26.4">
      <c r="W4191" s="64" ph="1"/>
    </row>
    <row r="4192" spans="23:23" ht="26.4">
      <c r="W4192" s="64" ph="1"/>
    </row>
    <row r="4193" spans="23:23" ht="26.4">
      <c r="W4193" s="64" ph="1"/>
    </row>
    <row r="4194" spans="23:23" ht="26.4">
      <c r="W4194" s="64" ph="1"/>
    </row>
    <row r="4195" spans="23:23" ht="26.4">
      <c r="W4195" s="64" ph="1"/>
    </row>
    <row r="4196" spans="23:23" ht="26.4">
      <c r="W4196" s="64" ph="1"/>
    </row>
    <row r="4197" spans="23:23" ht="26.4">
      <c r="W4197" s="64" ph="1"/>
    </row>
    <row r="4198" spans="23:23" ht="26.4">
      <c r="W4198" s="64" ph="1"/>
    </row>
    <row r="4199" spans="23:23" ht="26.4">
      <c r="W4199" s="64" ph="1"/>
    </row>
    <row r="4200" spans="23:23" ht="26.4">
      <c r="W4200" s="64" ph="1"/>
    </row>
    <row r="4201" spans="23:23" ht="26.4">
      <c r="W4201" s="64" ph="1"/>
    </row>
    <row r="4202" spans="23:23" ht="26.4">
      <c r="W4202" s="64" ph="1"/>
    </row>
    <row r="4203" spans="23:23" ht="26.4">
      <c r="W4203" s="64" ph="1"/>
    </row>
    <row r="4204" spans="23:23" ht="26.4">
      <c r="W4204" s="64" ph="1"/>
    </row>
    <row r="4205" spans="23:23" ht="26.4">
      <c r="W4205" s="64" ph="1"/>
    </row>
    <row r="4206" spans="23:23" ht="26.4">
      <c r="W4206" s="64" ph="1"/>
    </row>
    <row r="4207" spans="23:23" ht="26.4">
      <c r="W4207" s="64" ph="1"/>
    </row>
    <row r="4208" spans="23:23" ht="26.4">
      <c r="W4208" s="64" ph="1"/>
    </row>
    <row r="4209" spans="23:23" ht="26.4">
      <c r="W4209" s="64" ph="1"/>
    </row>
    <row r="4210" spans="23:23" ht="26.4">
      <c r="W4210" s="64" ph="1"/>
    </row>
    <row r="4211" spans="23:23" ht="26.4">
      <c r="W4211" s="64" ph="1"/>
    </row>
    <row r="4212" spans="23:23" ht="26.4">
      <c r="W4212" s="64" ph="1"/>
    </row>
    <row r="4213" spans="23:23" ht="26.4">
      <c r="W4213" s="64" ph="1"/>
    </row>
    <row r="4214" spans="23:23" ht="26.4">
      <c r="W4214" s="64" ph="1"/>
    </row>
    <row r="4215" spans="23:23" ht="26.4">
      <c r="W4215" s="64" ph="1"/>
    </row>
    <row r="4216" spans="23:23" ht="26.4">
      <c r="W4216" s="64" ph="1"/>
    </row>
    <row r="4217" spans="23:23" ht="26.4">
      <c r="W4217" s="64" ph="1"/>
    </row>
    <row r="4218" spans="23:23" ht="26.4">
      <c r="W4218" s="64" ph="1"/>
    </row>
    <row r="4219" spans="23:23" ht="26.4">
      <c r="W4219" s="64" ph="1"/>
    </row>
    <row r="4220" spans="23:23" ht="26.4">
      <c r="W4220" s="64" ph="1"/>
    </row>
    <row r="4221" spans="23:23" ht="26.4">
      <c r="W4221" s="64" ph="1"/>
    </row>
    <row r="4222" spans="23:23" ht="26.4">
      <c r="W4222" s="64" ph="1"/>
    </row>
    <row r="4223" spans="23:23" ht="26.4">
      <c r="W4223" s="64" ph="1"/>
    </row>
    <row r="4224" spans="23:23" ht="26.4">
      <c r="W4224" s="64" ph="1"/>
    </row>
    <row r="4225" spans="23:23" ht="26.4">
      <c r="W4225" s="64" ph="1"/>
    </row>
    <row r="4226" spans="23:23" ht="26.4">
      <c r="W4226" s="64" ph="1"/>
    </row>
    <row r="4227" spans="23:23" ht="26.4">
      <c r="W4227" s="64" ph="1"/>
    </row>
    <row r="4228" spans="23:23" ht="26.4">
      <c r="W4228" s="64" ph="1"/>
    </row>
    <row r="4229" spans="23:23" ht="26.4">
      <c r="W4229" s="64" ph="1"/>
    </row>
    <row r="4230" spans="23:23" ht="26.4">
      <c r="W4230" s="64" ph="1"/>
    </row>
    <row r="4231" spans="23:23" ht="26.4">
      <c r="W4231" s="64" ph="1"/>
    </row>
    <row r="4232" spans="23:23" ht="26.4">
      <c r="W4232" s="64" ph="1"/>
    </row>
    <row r="4233" spans="23:23" ht="26.4">
      <c r="W4233" s="64" ph="1"/>
    </row>
    <row r="4234" spans="23:23" ht="26.4">
      <c r="W4234" s="64" ph="1"/>
    </row>
    <row r="4235" spans="23:23" ht="26.4">
      <c r="W4235" s="64" ph="1"/>
    </row>
    <row r="4236" spans="23:23" ht="26.4">
      <c r="W4236" s="64" ph="1"/>
    </row>
    <row r="4237" spans="23:23" ht="26.4">
      <c r="W4237" s="64" ph="1"/>
    </row>
    <row r="4238" spans="23:23" ht="26.4">
      <c r="W4238" s="64" ph="1"/>
    </row>
    <row r="4239" spans="23:23" ht="26.4">
      <c r="W4239" s="64" ph="1"/>
    </row>
    <row r="4240" spans="23:23" ht="26.4">
      <c r="W4240" s="64" ph="1"/>
    </row>
    <row r="4241" spans="23:23" ht="26.4">
      <c r="W4241" s="64" ph="1"/>
    </row>
    <row r="4242" spans="23:23" ht="26.4">
      <c r="W4242" s="64" ph="1"/>
    </row>
    <row r="4243" spans="23:23" ht="26.4">
      <c r="W4243" s="64" ph="1"/>
    </row>
    <row r="4244" spans="23:23" ht="26.4">
      <c r="W4244" s="64" ph="1"/>
    </row>
    <row r="4245" spans="23:23" ht="26.4">
      <c r="W4245" s="64" ph="1"/>
    </row>
    <row r="4246" spans="23:23" ht="26.4">
      <c r="W4246" s="64" ph="1"/>
    </row>
    <row r="4247" spans="23:23" ht="26.4">
      <c r="W4247" s="64" ph="1"/>
    </row>
    <row r="4248" spans="23:23" ht="26.4">
      <c r="W4248" s="64" ph="1"/>
    </row>
    <row r="4249" spans="23:23" ht="26.4">
      <c r="W4249" s="64" ph="1"/>
    </row>
    <row r="4250" spans="23:23" ht="26.4">
      <c r="W4250" s="64" ph="1"/>
    </row>
    <row r="4251" spans="23:23" ht="26.4">
      <c r="W4251" s="64" ph="1"/>
    </row>
    <row r="4252" spans="23:23" ht="26.4">
      <c r="W4252" s="64" ph="1"/>
    </row>
    <row r="4253" spans="23:23" ht="26.4">
      <c r="W4253" s="64" ph="1"/>
    </row>
    <row r="4254" spans="23:23" ht="26.4">
      <c r="W4254" s="64" ph="1"/>
    </row>
    <row r="4255" spans="23:23" ht="26.4">
      <c r="W4255" s="64" ph="1"/>
    </row>
    <row r="4256" spans="23:23" ht="26.4">
      <c r="W4256" s="64" ph="1"/>
    </row>
    <row r="4257" spans="23:23" ht="26.4">
      <c r="W4257" s="64" ph="1"/>
    </row>
    <row r="4258" spans="23:23" ht="26.4">
      <c r="W4258" s="64" ph="1"/>
    </row>
    <row r="4259" spans="23:23" ht="26.4">
      <c r="W4259" s="64" ph="1"/>
    </row>
    <row r="4260" spans="23:23" ht="26.4">
      <c r="W4260" s="64" ph="1"/>
    </row>
    <row r="4261" spans="23:23" ht="26.4">
      <c r="W4261" s="64" ph="1"/>
    </row>
    <row r="4262" spans="23:23" ht="26.4">
      <c r="W4262" s="64" ph="1"/>
    </row>
    <row r="4263" spans="23:23" ht="26.4">
      <c r="W4263" s="64" ph="1"/>
    </row>
    <row r="4264" spans="23:23" ht="26.4">
      <c r="W4264" s="64" ph="1"/>
    </row>
    <row r="4265" spans="23:23" ht="26.4">
      <c r="W4265" s="64" ph="1"/>
    </row>
    <row r="4266" spans="23:23" ht="26.4">
      <c r="W4266" s="64" ph="1"/>
    </row>
    <row r="4267" spans="23:23" ht="26.4">
      <c r="W4267" s="64" ph="1"/>
    </row>
    <row r="4268" spans="23:23" ht="26.4">
      <c r="W4268" s="64" ph="1"/>
    </row>
    <row r="4269" spans="23:23" ht="26.4">
      <c r="W4269" s="64" ph="1"/>
    </row>
    <row r="4270" spans="23:23" ht="26.4">
      <c r="W4270" s="64" ph="1"/>
    </row>
    <row r="4271" spans="23:23" ht="26.4">
      <c r="W4271" s="64" ph="1"/>
    </row>
    <row r="4272" spans="23:23" ht="26.4">
      <c r="W4272" s="64" ph="1"/>
    </row>
    <row r="4273" spans="23:23" ht="26.4">
      <c r="W4273" s="64" ph="1"/>
    </row>
    <row r="4274" spans="23:23" ht="26.4">
      <c r="W4274" s="64" ph="1"/>
    </row>
    <row r="4275" spans="23:23" ht="26.4">
      <c r="W4275" s="64" ph="1"/>
    </row>
    <row r="4276" spans="23:23" ht="26.4">
      <c r="W4276" s="64" ph="1"/>
    </row>
    <row r="4277" spans="23:23" ht="26.4">
      <c r="W4277" s="64" ph="1"/>
    </row>
    <row r="4278" spans="23:23" ht="26.4">
      <c r="W4278" s="64" ph="1"/>
    </row>
    <row r="4279" spans="23:23" ht="26.4">
      <c r="W4279" s="64" ph="1"/>
    </row>
    <row r="4280" spans="23:23" ht="26.4">
      <c r="W4280" s="64" ph="1"/>
    </row>
    <row r="4281" spans="23:23" ht="26.4">
      <c r="W4281" s="64" ph="1"/>
    </row>
    <row r="4282" spans="23:23" ht="26.4">
      <c r="W4282" s="64" ph="1"/>
    </row>
    <row r="4283" spans="23:23" ht="26.4">
      <c r="W4283" s="64" ph="1"/>
    </row>
    <row r="4284" spans="23:23" ht="26.4">
      <c r="W4284" s="64" ph="1"/>
    </row>
    <row r="4285" spans="23:23" ht="26.4">
      <c r="W4285" s="64" ph="1"/>
    </row>
    <row r="4286" spans="23:23" ht="26.4">
      <c r="W4286" s="64" ph="1"/>
    </row>
    <row r="4287" spans="23:23" ht="26.4">
      <c r="W4287" s="64" ph="1"/>
    </row>
    <row r="4288" spans="23:23" ht="26.4">
      <c r="W4288" s="64" ph="1"/>
    </row>
    <row r="4289" spans="23:23" ht="26.4">
      <c r="W4289" s="64" ph="1"/>
    </row>
    <row r="4290" spans="23:23" ht="26.4">
      <c r="W4290" s="64" ph="1"/>
    </row>
    <row r="4291" spans="23:23" ht="26.4">
      <c r="W4291" s="64" ph="1"/>
    </row>
    <row r="4292" spans="23:23" ht="26.4">
      <c r="W4292" s="64" ph="1"/>
    </row>
    <row r="4293" spans="23:23" ht="26.4">
      <c r="W4293" s="64" ph="1"/>
    </row>
    <row r="4294" spans="23:23" ht="26.4">
      <c r="W4294" s="64" ph="1"/>
    </row>
    <row r="4295" spans="23:23" ht="26.4">
      <c r="W4295" s="64" ph="1"/>
    </row>
    <row r="4296" spans="23:23" ht="26.4">
      <c r="W4296" s="64" ph="1"/>
    </row>
    <row r="4297" spans="23:23" ht="26.4">
      <c r="W4297" s="64" ph="1"/>
    </row>
    <row r="4298" spans="23:23" ht="26.4">
      <c r="W4298" s="64" ph="1"/>
    </row>
    <row r="4299" spans="23:23" ht="26.4">
      <c r="W4299" s="64" ph="1"/>
    </row>
    <row r="4300" spans="23:23" ht="26.4">
      <c r="W4300" s="64" ph="1"/>
    </row>
    <row r="4301" spans="23:23" ht="26.4">
      <c r="W4301" s="64" ph="1"/>
    </row>
    <row r="4302" spans="23:23" ht="26.4">
      <c r="W4302" s="64" ph="1"/>
    </row>
    <row r="4303" spans="23:23" ht="26.4">
      <c r="W4303" s="64" ph="1"/>
    </row>
    <row r="4304" spans="23:23" ht="26.4">
      <c r="W4304" s="64" ph="1"/>
    </row>
    <row r="4305" spans="23:23" ht="26.4">
      <c r="W4305" s="64" ph="1"/>
    </row>
    <row r="4306" spans="23:23" ht="26.4">
      <c r="W4306" s="64" ph="1"/>
    </row>
    <row r="4307" spans="23:23" ht="26.4">
      <c r="W4307" s="64" ph="1"/>
    </row>
    <row r="4308" spans="23:23" ht="26.4">
      <c r="W4308" s="64" ph="1"/>
    </row>
    <row r="4309" spans="23:23" ht="26.4">
      <c r="W4309" s="64" ph="1"/>
    </row>
    <row r="4310" spans="23:23" ht="26.4">
      <c r="W4310" s="64" ph="1"/>
    </row>
    <row r="4311" spans="23:23" ht="26.4">
      <c r="W4311" s="64" ph="1"/>
    </row>
    <row r="4312" spans="23:23" ht="26.4">
      <c r="W4312" s="64" ph="1"/>
    </row>
    <row r="4313" spans="23:23" ht="26.4">
      <c r="W4313" s="64" ph="1"/>
    </row>
    <row r="4314" spans="23:23" ht="26.4">
      <c r="W4314" s="64" ph="1"/>
    </row>
    <row r="4315" spans="23:23" ht="26.4">
      <c r="W4315" s="64" ph="1"/>
    </row>
    <row r="4316" spans="23:23" ht="26.4">
      <c r="W4316" s="64" ph="1"/>
    </row>
    <row r="4317" spans="23:23" ht="26.4">
      <c r="W4317" s="64" ph="1"/>
    </row>
    <row r="4318" spans="23:23" ht="26.4">
      <c r="W4318" s="64" ph="1"/>
    </row>
    <row r="4319" spans="23:23" ht="26.4">
      <c r="W4319" s="64" ph="1"/>
    </row>
    <row r="4320" spans="23:23" ht="26.4">
      <c r="W4320" s="64" ph="1"/>
    </row>
    <row r="4321" spans="23:23" ht="26.4">
      <c r="W4321" s="64" ph="1"/>
    </row>
    <row r="4322" spans="23:23" ht="26.4">
      <c r="W4322" s="64" ph="1"/>
    </row>
    <row r="4323" spans="23:23" ht="26.4">
      <c r="W4323" s="64" ph="1"/>
    </row>
    <row r="4324" spans="23:23" ht="26.4">
      <c r="W4324" s="64" ph="1"/>
    </row>
    <row r="4325" spans="23:23" ht="26.4">
      <c r="W4325" s="64" ph="1"/>
    </row>
    <row r="4326" spans="23:23" ht="26.4">
      <c r="W4326" s="64" ph="1"/>
    </row>
    <row r="4327" spans="23:23" ht="26.4">
      <c r="W4327" s="64" ph="1"/>
    </row>
    <row r="4328" spans="23:23" ht="26.4">
      <c r="W4328" s="64" ph="1"/>
    </row>
    <row r="4329" spans="23:23" ht="26.4">
      <c r="W4329" s="64" ph="1"/>
    </row>
    <row r="4330" spans="23:23" ht="26.4">
      <c r="W4330" s="64" ph="1"/>
    </row>
    <row r="4331" spans="23:23" ht="26.4">
      <c r="W4331" s="64" ph="1"/>
    </row>
    <row r="4332" spans="23:23" ht="26.4">
      <c r="W4332" s="64" ph="1"/>
    </row>
    <row r="4333" spans="23:23" ht="26.4">
      <c r="W4333" s="64" ph="1"/>
    </row>
    <row r="4334" spans="23:23" ht="26.4">
      <c r="W4334" s="64" ph="1"/>
    </row>
    <row r="4335" spans="23:23" ht="26.4">
      <c r="W4335" s="64" ph="1"/>
    </row>
    <row r="4336" spans="23:23" ht="26.4">
      <c r="W4336" s="64" ph="1"/>
    </row>
    <row r="4337" spans="23:23" ht="26.4">
      <c r="W4337" s="64" ph="1"/>
    </row>
    <row r="4338" spans="23:23" ht="26.4">
      <c r="W4338" s="64" ph="1"/>
    </row>
    <row r="4339" spans="23:23" ht="26.4">
      <c r="W4339" s="64" ph="1"/>
    </row>
    <row r="4340" spans="23:23" ht="26.4">
      <c r="W4340" s="64" ph="1"/>
    </row>
    <row r="4341" spans="23:23" ht="26.4">
      <c r="W4341" s="64" ph="1"/>
    </row>
    <row r="4342" spans="23:23" ht="26.4">
      <c r="W4342" s="64" ph="1"/>
    </row>
    <row r="4343" spans="23:23" ht="26.4">
      <c r="W4343" s="64" ph="1"/>
    </row>
    <row r="4344" spans="23:23" ht="26.4">
      <c r="W4344" s="64" ph="1"/>
    </row>
    <row r="4345" spans="23:23" ht="26.4">
      <c r="W4345" s="64" ph="1"/>
    </row>
    <row r="4346" spans="23:23" ht="26.4">
      <c r="W4346" s="64" ph="1"/>
    </row>
    <row r="4347" spans="23:23" ht="26.4">
      <c r="W4347" s="64" ph="1"/>
    </row>
    <row r="4348" spans="23:23" ht="26.4">
      <c r="W4348" s="64" ph="1"/>
    </row>
    <row r="4349" spans="23:23" ht="26.4">
      <c r="W4349" s="64" ph="1"/>
    </row>
    <row r="4350" spans="23:23" ht="26.4">
      <c r="W4350" s="64" ph="1"/>
    </row>
    <row r="4351" spans="23:23" ht="26.4">
      <c r="W4351" s="64" ph="1"/>
    </row>
    <row r="4352" spans="23:23" ht="26.4">
      <c r="W4352" s="64" ph="1"/>
    </row>
    <row r="4353" spans="23:23" ht="26.4">
      <c r="W4353" s="64" ph="1"/>
    </row>
    <row r="4354" spans="23:23" ht="26.4">
      <c r="W4354" s="64" ph="1"/>
    </row>
    <row r="4355" spans="23:23" ht="26.4">
      <c r="W4355" s="64" ph="1"/>
    </row>
    <row r="4356" spans="23:23" ht="26.4">
      <c r="W4356" s="64" ph="1"/>
    </row>
    <row r="4357" spans="23:23" ht="26.4">
      <c r="W4357" s="64" ph="1"/>
    </row>
    <row r="4358" spans="23:23" ht="26.4">
      <c r="W4358" s="64" ph="1"/>
    </row>
    <row r="4359" spans="23:23" ht="26.4">
      <c r="W4359" s="64" ph="1"/>
    </row>
    <row r="4360" spans="23:23" ht="26.4">
      <c r="W4360" s="64" ph="1"/>
    </row>
    <row r="4361" spans="23:23" ht="26.4">
      <c r="W4361" s="64" ph="1"/>
    </row>
    <row r="4362" spans="23:23" ht="26.4">
      <c r="W4362" s="64" ph="1"/>
    </row>
    <row r="4363" spans="23:23" ht="26.4">
      <c r="W4363" s="64" ph="1"/>
    </row>
    <row r="4364" spans="23:23" ht="26.4">
      <c r="W4364" s="64" ph="1"/>
    </row>
    <row r="4365" spans="23:23" ht="26.4">
      <c r="W4365" s="64" ph="1"/>
    </row>
    <row r="4366" spans="23:23" ht="26.4">
      <c r="W4366" s="64" ph="1"/>
    </row>
    <row r="4367" spans="23:23" ht="26.4">
      <c r="W4367" s="64" ph="1"/>
    </row>
    <row r="4368" spans="23:23" ht="26.4">
      <c r="W4368" s="64" ph="1"/>
    </row>
    <row r="4369" spans="23:23" ht="26.4">
      <c r="W4369" s="64" ph="1"/>
    </row>
    <row r="4370" spans="23:23" ht="26.4">
      <c r="W4370" s="64" ph="1"/>
    </row>
    <row r="4371" spans="23:23" ht="26.4">
      <c r="W4371" s="64" ph="1"/>
    </row>
    <row r="4372" spans="23:23" ht="26.4">
      <c r="W4372" s="64" ph="1"/>
    </row>
    <row r="4373" spans="23:23" ht="26.4">
      <c r="W4373" s="64" ph="1"/>
    </row>
    <row r="4374" spans="23:23" ht="26.4">
      <c r="W4374" s="64" ph="1"/>
    </row>
    <row r="4375" spans="23:23" ht="26.4">
      <c r="W4375" s="64" ph="1"/>
    </row>
    <row r="4376" spans="23:23" ht="26.4">
      <c r="W4376" s="64" ph="1"/>
    </row>
    <row r="4377" spans="23:23" ht="26.4">
      <c r="W4377" s="64" ph="1"/>
    </row>
    <row r="4378" spans="23:23" ht="26.4">
      <c r="W4378" s="64" ph="1"/>
    </row>
    <row r="4379" spans="23:23" ht="26.4">
      <c r="W4379" s="64" ph="1"/>
    </row>
    <row r="4380" spans="23:23" ht="26.4">
      <c r="W4380" s="64" ph="1"/>
    </row>
    <row r="4381" spans="23:23" ht="26.4">
      <c r="W4381" s="64" ph="1"/>
    </row>
    <row r="4382" spans="23:23" ht="26.4">
      <c r="W4382" s="64" ph="1"/>
    </row>
    <row r="4383" spans="23:23" ht="26.4">
      <c r="W4383" s="64" ph="1"/>
    </row>
    <row r="4384" spans="23:23" ht="26.4">
      <c r="W4384" s="64" ph="1"/>
    </row>
    <row r="4385" spans="23:23" ht="26.4">
      <c r="W4385" s="64" ph="1"/>
    </row>
    <row r="4386" spans="23:23" ht="26.4">
      <c r="W4386" s="64" ph="1"/>
    </row>
    <row r="4387" spans="23:23" ht="26.4">
      <c r="W4387" s="64" ph="1"/>
    </row>
    <row r="4388" spans="23:23" ht="26.4">
      <c r="W4388" s="64" ph="1"/>
    </row>
    <row r="4389" spans="23:23" ht="26.4">
      <c r="W4389" s="64" ph="1"/>
    </row>
    <row r="4390" spans="23:23" ht="26.4">
      <c r="W4390" s="64" ph="1"/>
    </row>
    <row r="4391" spans="23:23" ht="26.4">
      <c r="W4391" s="64" ph="1"/>
    </row>
    <row r="4392" spans="23:23" ht="26.4">
      <c r="W4392" s="64" ph="1"/>
    </row>
    <row r="4393" spans="23:23" ht="26.4">
      <c r="W4393" s="64" ph="1"/>
    </row>
    <row r="4394" spans="23:23" ht="26.4">
      <c r="W4394" s="64" ph="1"/>
    </row>
    <row r="4395" spans="23:23" ht="26.4">
      <c r="W4395" s="64" ph="1"/>
    </row>
    <row r="4396" spans="23:23" ht="26.4">
      <c r="W4396" s="64" ph="1"/>
    </row>
    <row r="4397" spans="23:23" ht="26.4">
      <c r="W4397" s="64" ph="1"/>
    </row>
    <row r="4398" spans="23:23" ht="26.4">
      <c r="W4398" s="64" ph="1"/>
    </row>
    <row r="4399" spans="23:23" ht="26.4">
      <c r="W4399" s="64" ph="1"/>
    </row>
    <row r="4400" spans="23:23" ht="26.4">
      <c r="W4400" s="64" ph="1"/>
    </row>
    <row r="4401" spans="23:23" ht="26.4">
      <c r="W4401" s="64" ph="1"/>
    </row>
    <row r="4402" spans="23:23" ht="26.4">
      <c r="W4402" s="64" ph="1"/>
    </row>
    <row r="4403" spans="23:23" ht="26.4">
      <c r="W4403" s="64" ph="1"/>
    </row>
    <row r="4404" spans="23:23" ht="26.4">
      <c r="W4404" s="64" ph="1"/>
    </row>
    <row r="4405" spans="23:23" ht="26.4">
      <c r="W4405" s="64" ph="1"/>
    </row>
    <row r="4406" spans="23:23" ht="26.4">
      <c r="W4406" s="64" ph="1"/>
    </row>
    <row r="4407" spans="23:23" ht="26.4">
      <c r="W4407" s="64" ph="1"/>
    </row>
    <row r="4408" spans="23:23" ht="26.4">
      <c r="W4408" s="64" ph="1"/>
    </row>
    <row r="4409" spans="23:23" ht="26.4">
      <c r="W4409" s="64" ph="1"/>
    </row>
    <row r="4410" spans="23:23" ht="26.4">
      <c r="W4410" s="64" ph="1"/>
    </row>
    <row r="4411" spans="23:23" ht="26.4">
      <c r="W4411" s="64" ph="1"/>
    </row>
    <row r="4412" spans="23:23" ht="26.4">
      <c r="W4412" s="64" ph="1"/>
    </row>
    <row r="4413" spans="23:23" ht="26.4">
      <c r="W4413" s="64" ph="1"/>
    </row>
    <row r="4414" spans="23:23" ht="26.4">
      <c r="W4414" s="64" ph="1"/>
    </row>
    <row r="4415" spans="23:23" ht="26.4">
      <c r="W4415" s="64" ph="1"/>
    </row>
    <row r="4416" spans="23:23" ht="26.4">
      <c r="W4416" s="64" ph="1"/>
    </row>
    <row r="4417" spans="23:23" ht="26.4">
      <c r="W4417" s="64" ph="1"/>
    </row>
    <row r="4418" spans="23:23" ht="26.4">
      <c r="W4418" s="64" ph="1"/>
    </row>
    <row r="4419" spans="23:23" ht="26.4">
      <c r="W4419" s="64" ph="1"/>
    </row>
    <row r="4420" spans="23:23" ht="26.4">
      <c r="W4420" s="64" ph="1"/>
    </row>
    <row r="4421" spans="23:23" ht="26.4">
      <c r="W4421" s="64" ph="1"/>
    </row>
    <row r="4422" spans="23:23" ht="26.4">
      <c r="W4422" s="64" ph="1"/>
    </row>
    <row r="4423" spans="23:23" ht="26.4">
      <c r="W4423" s="64" ph="1"/>
    </row>
    <row r="4424" spans="23:23" ht="26.4">
      <c r="W4424" s="64" ph="1"/>
    </row>
    <row r="4425" spans="23:23" ht="26.4">
      <c r="W4425" s="64" ph="1"/>
    </row>
    <row r="4426" spans="23:23" ht="26.4">
      <c r="W4426" s="64" ph="1"/>
    </row>
    <row r="4427" spans="23:23" ht="26.4">
      <c r="W4427" s="64" ph="1"/>
    </row>
    <row r="4428" spans="23:23" ht="26.4">
      <c r="W4428" s="64" ph="1"/>
    </row>
    <row r="4429" spans="23:23" ht="26.4">
      <c r="W4429" s="64" ph="1"/>
    </row>
    <row r="4430" spans="23:23" ht="26.4">
      <c r="W4430" s="64" ph="1"/>
    </row>
    <row r="4431" spans="23:23" ht="26.4">
      <c r="W4431" s="64" ph="1"/>
    </row>
    <row r="4432" spans="23:23" ht="26.4">
      <c r="W4432" s="64" ph="1"/>
    </row>
    <row r="4433" spans="23:23" ht="26.4">
      <c r="W4433" s="64" ph="1"/>
    </row>
    <row r="4434" spans="23:23" ht="26.4">
      <c r="W4434" s="64" ph="1"/>
    </row>
    <row r="4435" spans="23:23" ht="26.4">
      <c r="W4435" s="64" ph="1"/>
    </row>
    <row r="4436" spans="23:23" ht="26.4">
      <c r="W4436" s="64" ph="1"/>
    </row>
    <row r="4437" spans="23:23" ht="26.4">
      <c r="W4437" s="64" ph="1"/>
    </row>
    <row r="4438" spans="23:23" ht="26.4">
      <c r="W4438" s="64" ph="1"/>
    </row>
    <row r="4439" spans="23:23" ht="26.4">
      <c r="W4439" s="64" ph="1"/>
    </row>
    <row r="4440" spans="23:23" ht="26.4">
      <c r="W4440" s="64" ph="1"/>
    </row>
    <row r="4441" spans="23:23" ht="26.4">
      <c r="W4441" s="64" ph="1"/>
    </row>
    <row r="4442" spans="23:23" ht="26.4">
      <c r="W4442" s="64" ph="1"/>
    </row>
    <row r="4443" spans="23:23" ht="26.4">
      <c r="W4443" s="64" ph="1"/>
    </row>
    <row r="4444" spans="23:23" ht="26.4">
      <c r="W4444" s="64" ph="1"/>
    </row>
    <row r="4445" spans="23:23" ht="26.4">
      <c r="W4445" s="64" ph="1"/>
    </row>
    <row r="4446" spans="23:23" ht="26.4">
      <c r="W4446" s="64" ph="1"/>
    </row>
    <row r="4447" spans="23:23" ht="26.4">
      <c r="W4447" s="64" ph="1"/>
    </row>
    <row r="4448" spans="23:23" ht="26.4">
      <c r="W4448" s="64" ph="1"/>
    </row>
    <row r="4449" spans="23:23" ht="26.4">
      <c r="W4449" s="64" ph="1"/>
    </row>
    <row r="4450" spans="23:23" ht="26.4">
      <c r="W4450" s="64" ph="1"/>
    </row>
    <row r="4451" spans="23:23" ht="26.4">
      <c r="W4451" s="64" ph="1"/>
    </row>
    <row r="4452" spans="23:23" ht="26.4">
      <c r="W4452" s="64" ph="1"/>
    </row>
    <row r="4453" spans="23:23" ht="26.4">
      <c r="W4453" s="64" ph="1"/>
    </row>
    <row r="4454" spans="23:23" ht="26.4">
      <c r="W4454" s="64" ph="1"/>
    </row>
    <row r="4455" spans="23:23" ht="26.4">
      <c r="W4455" s="64" ph="1"/>
    </row>
    <row r="4456" spans="23:23" ht="26.4">
      <c r="W4456" s="64" ph="1"/>
    </row>
    <row r="4457" spans="23:23" ht="26.4">
      <c r="W4457" s="64" ph="1"/>
    </row>
    <row r="4458" spans="23:23" ht="26.4">
      <c r="W4458" s="64" ph="1"/>
    </row>
    <row r="4459" spans="23:23" ht="26.4">
      <c r="W4459" s="64" ph="1"/>
    </row>
    <row r="4460" spans="23:23" ht="26.4">
      <c r="W4460" s="64" ph="1"/>
    </row>
    <row r="4461" spans="23:23" ht="26.4">
      <c r="W4461" s="64" ph="1"/>
    </row>
    <row r="4462" spans="23:23" ht="26.4">
      <c r="W4462" s="64" ph="1"/>
    </row>
    <row r="4463" spans="23:23" ht="26.4">
      <c r="W4463" s="64" ph="1"/>
    </row>
    <row r="4464" spans="23:23" ht="26.4">
      <c r="W4464" s="64" ph="1"/>
    </row>
    <row r="4465" spans="23:23" ht="26.4">
      <c r="W4465" s="64" ph="1"/>
    </row>
    <row r="4466" spans="23:23" ht="26.4">
      <c r="W4466" s="64" ph="1"/>
    </row>
    <row r="4467" spans="23:23" ht="26.4">
      <c r="W4467" s="64" ph="1"/>
    </row>
    <row r="4468" spans="23:23" ht="26.4">
      <c r="W4468" s="64" ph="1"/>
    </row>
    <row r="4469" spans="23:23" ht="26.4">
      <c r="W4469" s="64" ph="1"/>
    </row>
    <row r="4470" spans="23:23" ht="26.4">
      <c r="W4470" s="64" ph="1"/>
    </row>
    <row r="4471" spans="23:23" ht="26.4">
      <c r="W4471" s="64" ph="1"/>
    </row>
    <row r="4472" spans="23:23" ht="26.4">
      <c r="W4472" s="64" ph="1"/>
    </row>
    <row r="4473" spans="23:23" ht="26.4">
      <c r="W4473" s="64" ph="1"/>
    </row>
    <row r="4474" spans="23:23" ht="26.4">
      <c r="W4474" s="64" ph="1"/>
    </row>
    <row r="4475" spans="23:23" ht="26.4">
      <c r="W4475" s="64" ph="1"/>
    </row>
    <row r="4476" spans="23:23" ht="26.4">
      <c r="W4476" s="64" ph="1"/>
    </row>
    <row r="4477" spans="23:23" ht="26.4">
      <c r="W4477" s="64" ph="1"/>
    </row>
    <row r="4478" spans="23:23" ht="26.4">
      <c r="W4478" s="64" ph="1"/>
    </row>
    <row r="4479" spans="23:23" ht="26.4">
      <c r="W4479" s="64" ph="1"/>
    </row>
    <row r="4480" spans="23:23" ht="26.4">
      <c r="W4480" s="64" ph="1"/>
    </row>
    <row r="4481" spans="23:23" ht="26.4">
      <c r="W4481" s="64" ph="1"/>
    </row>
    <row r="4482" spans="23:23" ht="26.4">
      <c r="W4482" s="64" ph="1"/>
    </row>
    <row r="4483" spans="23:23" ht="26.4">
      <c r="W4483" s="64" ph="1"/>
    </row>
    <row r="4484" spans="23:23" ht="26.4">
      <c r="W4484" s="64" ph="1"/>
    </row>
    <row r="4485" spans="23:23" ht="26.4">
      <c r="W4485" s="64" ph="1"/>
    </row>
    <row r="4486" spans="23:23" ht="26.4">
      <c r="W4486" s="64" ph="1"/>
    </row>
    <row r="4487" spans="23:23" ht="26.4">
      <c r="W4487" s="64" ph="1"/>
    </row>
    <row r="4488" spans="23:23" ht="26.4">
      <c r="W4488" s="64" ph="1"/>
    </row>
    <row r="4489" spans="23:23" ht="26.4">
      <c r="W4489" s="64" ph="1"/>
    </row>
    <row r="4490" spans="23:23" ht="26.4">
      <c r="W4490" s="64" ph="1"/>
    </row>
    <row r="4491" spans="23:23" ht="26.4">
      <c r="W4491" s="64" ph="1"/>
    </row>
    <row r="4492" spans="23:23" ht="26.4">
      <c r="W4492" s="64" ph="1"/>
    </row>
    <row r="4493" spans="23:23" ht="26.4">
      <c r="W4493" s="64" ph="1"/>
    </row>
    <row r="4494" spans="23:23" ht="26.4">
      <c r="W4494" s="64" ph="1"/>
    </row>
    <row r="4495" spans="23:23" ht="26.4">
      <c r="W4495" s="64" ph="1"/>
    </row>
    <row r="4496" spans="23:23" ht="26.4">
      <c r="W4496" s="64" ph="1"/>
    </row>
    <row r="4497" spans="23:23" ht="26.4">
      <c r="W4497" s="64" ph="1"/>
    </row>
    <row r="4498" spans="23:23" ht="26.4">
      <c r="W4498" s="64" ph="1"/>
    </row>
    <row r="4499" spans="23:23" ht="26.4">
      <c r="W4499" s="64" ph="1"/>
    </row>
    <row r="4500" spans="23:23" ht="26.4">
      <c r="W4500" s="64" ph="1"/>
    </row>
    <row r="4501" spans="23:23" ht="26.4">
      <c r="W4501" s="64" ph="1"/>
    </row>
    <row r="4502" spans="23:23" ht="26.4">
      <c r="W4502" s="64" ph="1"/>
    </row>
    <row r="4503" spans="23:23" ht="26.4">
      <c r="W4503" s="64" ph="1"/>
    </row>
    <row r="4504" spans="23:23" ht="26.4">
      <c r="W4504" s="64" ph="1"/>
    </row>
    <row r="4505" spans="23:23" ht="26.4">
      <c r="W4505" s="64" ph="1"/>
    </row>
    <row r="4506" spans="23:23" ht="26.4">
      <c r="W4506" s="64" ph="1"/>
    </row>
    <row r="4507" spans="23:23" ht="26.4">
      <c r="W4507" s="64" ph="1"/>
    </row>
    <row r="4508" spans="23:23" ht="26.4">
      <c r="W4508" s="64" ph="1"/>
    </row>
    <row r="4509" spans="23:23" ht="26.4">
      <c r="W4509" s="64" ph="1"/>
    </row>
    <row r="4510" spans="23:23" ht="26.4">
      <c r="W4510" s="64" ph="1"/>
    </row>
    <row r="4511" spans="23:23" ht="26.4">
      <c r="W4511" s="64" ph="1"/>
    </row>
    <row r="4512" spans="23:23" ht="26.4">
      <c r="W4512" s="64" ph="1"/>
    </row>
    <row r="4513" spans="23:23" ht="26.4">
      <c r="W4513" s="64" ph="1"/>
    </row>
    <row r="4514" spans="23:23" ht="26.4">
      <c r="W4514" s="64" ph="1"/>
    </row>
    <row r="4515" spans="23:23" ht="26.4">
      <c r="W4515" s="64" ph="1"/>
    </row>
    <row r="4516" spans="23:23" ht="26.4">
      <c r="W4516" s="64" ph="1"/>
    </row>
    <row r="4517" spans="23:23" ht="26.4">
      <c r="W4517" s="64" ph="1"/>
    </row>
    <row r="4518" spans="23:23" ht="26.4">
      <c r="W4518" s="64" ph="1"/>
    </row>
    <row r="4519" spans="23:23" ht="26.4">
      <c r="W4519" s="64" ph="1"/>
    </row>
    <row r="4520" spans="23:23" ht="26.4">
      <c r="W4520" s="64" ph="1"/>
    </row>
    <row r="4521" spans="23:23" ht="26.4">
      <c r="W4521" s="64" ph="1"/>
    </row>
    <row r="4522" spans="23:23" ht="26.4">
      <c r="W4522" s="64" ph="1"/>
    </row>
    <row r="4523" spans="23:23" ht="26.4">
      <c r="W4523" s="64" ph="1"/>
    </row>
    <row r="4524" spans="23:23" ht="26.4">
      <c r="W4524" s="64" ph="1"/>
    </row>
    <row r="4525" spans="23:23" ht="26.4">
      <c r="W4525" s="64" ph="1"/>
    </row>
    <row r="4526" spans="23:23" ht="26.4">
      <c r="W4526" s="64" ph="1"/>
    </row>
    <row r="4527" spans="23:23" ht="26.4">
      <c r="W4527" s="64" ph="1"/>
    </row>
    <row r="4528" spans="23:23" ht="26.4">
      <c r="W4528" s="64" ph="1"/>
    </row>
    <row r="4529" spans="23:23" ht="26.4">
      <c r="W4529" s="64" ph="1"/>
    </row>
    <row r="4530" spans="23:23" ht="26.4">
      <c r="W4530" s="64" ph="1"/>
    </row>
    <row r="4531" spans="23:23" ht="26.4">
      <c r="W4531" s="64" ph="1"/>
    </row>
    <row r="4532" spans="23:23" ht="26.4">
      <c r="W4532" s="64" ph="1"/>
    </row>
    <row r="4533" spans="23:23" ht="26.4">
      <c r="W4533" s="64" ph="1"/>
    </row>
    <row r="4534" spans="23:23" ht="26.4">
      <c r="W4534" s="64" ph="1"/>
    </row>
    <row r="4535" spans="23:23" ht="26.4">
      <c r="W4535" s="64" ph="1"/>
    </row>
    <row r="4536" spans="23:23" ht="26.4">
      <c r="W4536" s="64" ph="1"/>
    </row>
    <row r="4537" spans="23:23" ht="26.4">
      <c r="W4537" s="64" ph="1"/>
    </row>
    <row r="4538" spans="23:23" ht="26.4">
      <c r="W4538" s="64" ph="1"/>
    </row>
    <row r="4539" spans="23:23" ht="26.4">
      <c r="W4539" s="64" ph="1"/>
    </row>
    <row r="4540" spans="23:23" ht="26.4">
      <c r="W4540" s="64" ph="1"/>
    </row>
    <row r="4541" spans="23:23" ht="26.4">
      <c r="W4541" s="64" ph="1"/>
    </row>
    <row r="4542" spans="23:23" ht="26.4">
      <c r="W4542" s="64" ph="1"/>
    </row>
    <row r="4543" spans="23:23" ht="26.4">
      <c r="W4543" s="64" ph="1"/>
    </row>
    <row r="4544" spans="23:23" ht="26.4">
      <c r="W4544" s="64" ph="1"/>
    </row>
    <row r="4545" spans="23:23" ht="26.4">
      <c r="W4545" s="64" ph="1"/>
    </row>
    <row r="4546" spans="23:23" ht="26.4">
      <c r="W4546" s="64" ph="1"/>
    </row>
    <row r="4547" spans="23:23" ht="26.4">
      <c r="W4547" s="64" ph="1"/>
    </row>
    <row r="4548" spans="23:23" ht="26.4">
      <c r="W4548" s="64" ph="1"/>
    </row>
    <row r="4549" spans="23:23" ht="26.4">
      <c r="W4549" s="64" ph="1"/>
    </row>
    <row r="4550" spans="23:23" ht="26.4">
      <c r="W4550" s="64" ph="1"/>
    </row>
    <row r="4551" spans="23:23" ht="26.4">
      <c r="W4551" s="64" ph="1"/>
    </row>
    <row r="4552" spans="23:23" ht="26.4">
      <c r="W4552" s="64" ph="1"/>
    </row>
    <row r="4553" spans="23:23" ht="26.4">
      <c r="W4553" s="64" ph="1"/>
    </row>
    <row r="4554" spans="23:23" ht="26.4">
      <c r="W4554" s="64" ph="1"/>
    </row>
    <row r="4555" spans="23:23" ht="26.4">
      <c r="W4555" s="64" ph="1"/>
    </row>
    <row r="4556" spans="23:23" ht="26.4">
      <c r="W4556" s="64" ph="1"/>
    </row>
    <row r="4557" spans="23:23" ht="26.4">
      <c r="W4557" s="64" ph="1"/>
    </row>
    <row r="4558" spans="23:23" ht="26.4">
      <c r="W4558" s="64" ph="1"/>
    </row>
    <row r="4559" spans="23:23" ht="26.4">
      <c r="W4559" s="64" ph="1"/>
    </row>
    <row r="4560" spans="23:23" ht="26.4">
      <c r="W4560" s="64" ph="1"/>
    </row>
    <row r="4561" spans="23:23" ht="26.4">
      <c r="W4561" s="64" ph="1"/>
    </row>
    <row r="4562" spans="23:23" ht="26.4">
      <c r="W4562" s="64" ph="1"/>
    </row>
    <row r="4563" spans="23:23" ht="26.4">
      <c r="W4563" s="64" ph="1"/>
    </row>
    <row r="4564" spans="23:23" ht="26.4">
      <c r="W4564" s="64" ph="1"/>
    </row>
    <row r="4565" spans="23:23" ht="26.4">
      <c r="W4565" s="64" ph="1"/>
    </row>
    <row r="4566" spans="23:23" ht="26.4">
      <c r="W4566" s="64" ph="1"/>
    </row>
    <row r="4567" spans="23:23" ht="26.4">
      <c r="W4567" s="64" ph="1"/>
    </row>
    <row r="4568" spans="23:23" ht="26.4">
      <c r="W4568" s="64" ph="1"/>
    </row>
    <row r="4569" spans="23:23" ht="26.4">
      <c r="W4569" s="64" ph="1"/>
    </row>
    <row r="4570" spans="23:23" ht="26.4">
      <c r="W4570" s="64" ph="1"/>
    </row>
    <row r="4571" spans="23:23" ht="26.4">
      <c r="W4571" s="64" ph="1"/>
    </row>
    <row r="4572" spans="23:23" ht="26.4">
      <c r="W4572" s="64" ph="1"/>
    </row>
    <row r="4573" spans="23:23" ht="26.4">
      <c r="W4573" s="64" ph="1"/>
    </row>
    <row r="4574" spans="23:23" ht="26.4">
      <c r="W4574" s="64" ph="1"/>
    </row>
    <row r="4575" spans="23:23" ht="26.4">
      <c r="W4575" s="64" ph="1"/>
    </row>
    <row r="4576" spans="23:23" ht="26.4">
      <c r="W4576" s="64" ph="1"/>
    </row>
    <row r="4577" spans="23:23" ht="26.4">
      <c r="W4577" s="64" ph="1"/>
    </row>
    <row r="4578" spans="23:23" ht="26.4">
      <c r="W4578" s="64" ph="1"/>
    </row>
    <row r="4579" spans="23:23" ht="26.4">
      <c r="W4579" s="64" ph="1"/>
    </row>
    <row r="4580" spans="23:23" ht="26.4">
      <c r="W4580" s="64" ph="1"/>
    </row>
    <row r="4581" spans="23:23" ht="26.4">
      <c r="W4581" s="64" ph="1"/>
    </row>
    <row r="4582" spans="23:23" ht="26.4">
      <c r="W4582" s="64" ph="1"/>
    </row>
    <row r="4583" spans="23:23" ht="26.4">
      <c r="W4583" s="64" ph="1"/>
    </row>
    <row r="4584" spans="23:23" ht="26.4">
      <c r="W4584" s="64" ph="1"/>
    </row>
    <row r="4585" spans="23:23" ht="26.4">
      <c r="W4585" s="64" ph="1"/>
    </row>
    <row r="4586" spans="23:23" ht="26.4">
      <c r="W4586" s="64" ph="1"/>
    </row>
    <row r="4587" spans="23:23" ht="26.4">
      <c r="W4587" s="64" ph="1"/>
    </row>
    <row r="4588" spans="23:23" ht="26.4">
      <c r="W4588" s="64" ph="1"/>
    </row>
    <row r="4589" spans="23:23" ht="26.4">
      <c r="W4589" s="64" ph="1"/>
    </row>
    <row r="4590" spans="23:23" ht="26.4">
      <c r="W4590" s="64" ph="1"/>
    </row>
    <row r="4591" spans="23:23" ht="26.4">
      <c r="W4591" s="64" ph="1"/>
    </row>
    <row r="4592" spans="23:23" ht="26.4">
      <c r="W4592" s="64" ph="1"/>
    </row>
    <row r="4593" spans="23:23" ht="26.4">
      <c r="W4593" s="64" ph="1"/>
    </row>
    <row r="4594" spans="23:23" ht="26.4">
      <c r="W4594" s="64" ph="1"/>
    </row>
    <row r="4595" spans="23:23" ht="26.4">
      <c r="W4595" s="64" ph="1"/>
    </row>
    <row r="4596" spans="23:23" ht="26.4">
      <c r="W4596" s="64" ph="1"/>
    </row>
    <row r="4597" spans="23:23" ht="26.4">
      <c r="W4597" s="64" ph="1"/>
    </row>
    <row r="4598" spans="23:23" ht="26.4">
      <c r="W4598" s="64" ph="1"/>
    </row>
    <row r="4599" spans="23:23" ht="26.4">
      <c r="W4599" s="64" ph="1"/>
    </row>
    <row r="4600" spans="23:23" ht="26.4">
      <c r="W4600" s="64" ph="1"/>
    </row>
    <row r="4601" spans="23:23" ht="26.4">
      <c r="W4601" s="64" ph="1"/>
    </row>
    <row r="4602" spans="23:23" ht="26.4">
      <c r="W4602" s="64" ph="1"/>
    </row>
    <row r="4603" spans="23:23" ht="26.4">
      <c r="W4603" s="64" ph="1"/>
    </row>
    <row r="4604" spans="23:23" ht="26.4">
      <c r="W4604" s="64" ph="1"/>
    </row>
    <row r="4605" spans="23:23" ht="26.4">
      <c r="W4605" s="64" ph="1"/>
    </row>
    <row r="4606" spans="23:23" ht="26.4">
      <c r="W4606" s="64" ph="1"/>
    </row>
    <row r="4607" spans="23:23" ht="26.4">
      <c r="W4607" s="64" ph="1"/>
    </row>
    <row r="4608" spans="23:23" ht="26.4">
      <c r="W4608" s="64" ph="1"/>
    </row>
    <row r="4609" spans="23:23" ht="26.4">
      <c r="W4609" s="64" ph="1"/>
    </row>
    <row r="4610" spans="23:23" ht="26.4">
      <c r="W4610" s="64" ph="1"/>
    </row>
    <row r="4611" spans="23:23" ht="26.4">
      <c r="W4611" s="64" ph="1"/>
    </row>
    <row r="4612" spans="23:23" ht="26.4">
      <c r="W4612" s="64" ph="1"/>
    </row>
    <row r="4613" spans="23:23" ht="26.4">
      <c r="W4613" s="64" ph="1"/>
    </row>
    <row r="4614" spans="23:23" ht="26.4">
      <c r="W4614" s="64" ph="1"/>
    </row>
    <row r="4615" spans="23:23" ht="26.4">
      <c r="W4615" s="64" ph="1"/>
    </row>
    <row r="4616" spans="23:23" ht="26.4">
      <c r="W4616" s="64" ph="1"/>
    </row>
    <row r="4617" spans="23:23" ht="26.4">
      <c r="W4617" s="64" ph="1"/>
    </row>
    <row r="4618" spans="23:23" ht="26.4">
      <c r="W4618" s="64" ph="1"/>
    </row>
    <row r="4619" spans="23:23" ht="26.4">
      <c r="W4619" s="64" ph="1"/>
    </row>
    <row r="4620" spans="23:23" ht="26.4">
      <c r="W4620" s="64" ph="1"/>
    </row>
    <row r="4621" spans="23:23" ht="26.4">
      <c r="W4621" s="64" ph="1"/>
    </row>
    <row r="4622" spans="23:23" ht="26.4">
      <c r="W4622" s="64" ph="1"/>
    </row>
    <row r="4623" spans="23:23" ht="26.4">
      <c r="W4623" s="64" ph="1"/>
    </row>
    <row r="4624" spans="23:23" ht="26.4">
      <c r="W4624" s="64" ph="1"/>
    </row>
    <row r="4625" spans="23:23" ht="26.4">
      <c r="W4625" s="64" ph="1"/>
    </row>
    <row r="4626" spans="23:23" ht="26.4">
      <c r="W4626" s="64" ph="1"/>
    </row>
    <row r="4627" spans="23:23" ht="26.4">
      <c r="W4627" s="64" ph="1"/>
    </row>
    <row r="4628" spans="23:23" ht="26.4">
      <c r="W4628" s="64" ph="1"/>
    </row>
    <row r="4629" spans="23:23" ht="26.4">
      <c r="W4629" s="64" ph="1"/>
    </row>
    <row r="4630" spans="23:23" ht="26.4">
      <c r="W4630" s="64" ph="1"/>
    </row>
    <row r="4631" spans="23:23" ht="26.4">
      <c r="W4631" s="64" ph="1"/>
    </row>
    <row r="4632" spans="23:23" ht="26.4">
      <c r="W4632" s="64" ph="1"/>
    </row>
    <row r="4633" spans="23:23" ht="26.4">
      <c r="W4633" s="64" ph="1"/>
    </row>
    <row r="4634" spans="23:23" ht="26.4">
      <c r="W4634" s="64" ph="1"/>
    </row>
    <row r="4635" spans="23:23" ht="26.4">
      <c r="W4635" s="64" ph="1"/>
    </row>
    <row r="4636" spans="23:23" ht="26.4">
      <c r="W4636" s="64" ph="1"/>
    </row>
    <row r="4637" spans="23:23" ht="26.4">
      <c r="W4637" s="64" ph="1"/>
    </row>
    <row r="4638" spans="23:23" ht="26.4">
      <c r="W4638" s="64" ph="1"/>
    </row>
    <row r="4639" spans="23:23" ht="26.4">
      <c r="W4639" s="64" ph="1"/>
    </row>
    <row r="4640" spans="23:23" ht="26.4">
      <c r="W4640" s="64" ph="1"/>
    </row>
    <row r="4641" spans="23:23" ht="26.4">
      <c r="W4641" s="64" ph="1"/>
    </row>
    <row r="4642" spans="23:23" ht="26.4">
      <c r="W4642" s="64" ph="1"/>
    </row>
    <row r="4643" spans="23:23" ht="26.4">
      <c r="W4643" s="64" ph="1"/>
    </row>
    <row r="4644" spans="23:23" ht="26.4">
      <c r="W4644" s="64" ph="1"/>
    </row>
    <row r="4645" spans="23:23" ht="26.4">
      <c r="W4645" s="64" ph="1"/>
    </row>
    <row r="4646" spans="23:23" ht="26.4">
      <c r="W4646" s="64" ph="1"/>
    </row>
    <row r="4647" spans="23:23" ht="26.4">
      <c r="W4647" s="64" ph="1"/>
    </row>
    <row r="4648" spans="23:23" ht="26.4">
      <c r="W4648" s="64" ph="1"/>
    </row>
    <row r="4649" spans="23:23" ht="26.4">
      <c r="W4649" s="64" ph="1"/>
    </row>
    <row r="4650" spans="23:23" ht="26.4">
      <c r="W4650" s="64" ph="1"/>
    </row>
    <row r="4651" spans="23:23" ht="26.4">
      <c r="W4651" s="64" ph="1"/>
    </row>
    <row r="4652" spans="23:23" ht="26.4">
      <c r="W4652" s="64" ph="1"/>
    </row>
    <row r="4653" spans="23:23" ht="26.4">
      <c r="W4653" s="64" ph="1"/>
    </row>
    <row r="4654" spans="23:23" ht="26.4">
      <c r="W4654" s="64" ph="1"/>
    </row>
    <row r="4655" spans="23:23" ht="26.4">
      <c r="W4655" s="64" ph="1"/>
    </row>
    <row r="4656" spans="23:23" ht="26.4">
      <c r="W4656" s="64" ph="1"/>
    </row>
    <row r="4657" spans="23:23" ht="26.4">
      <c r="W4657" s="64" ph="1"/>
    </row>
    <row r="4658" spans="23:23" ht="26.4">
      <c r="W4658" s="64" ph="1"/>
    </row>
    <row r="4659" spans="23:23" ht="26.4">
      <c r="W4659" s="64" ph="1"/>
    </row>
    <row r="4660" spans="23:23" ht="26.4">
      <c r="W4660" s="64" ph="1"/>
    </row>
    <row r="4661" spans="23:23" ht="26.4">
      <c r="W4661" s="64" ph="1"/>
    </row>
    <row r="4662" spans="23:23" ht="26.4">
      <c r="W4662" s="64" ph="1"/>
    </row>
    <row r="4663" spans="23:23" ht="26.4">
      <c r="W4663" s="64" ph="1"/>
    </row>
    <row r="4664" spans="23:23" ht="26.4">
      <c r="W4664" s="64" ph="1"/>
    </row>
    <row r="4665" spans="23:23" ht="26.4">
      <c r="W4665" s="64" ph="1"/>
    </row>
    <row r="4666" spans="23:23" ht="26.4">
      <c r="W4666" s="64" ph="1"/>
    </row>
    <row r="4667" spans="23:23" ht="26.4">
      <c r="W4667" s="64" ph="1"/>
    </row>
    <row r="4668" spans="23:23" ht="26.4">
      <c r="W4668" s="64" ph="1"/>
    </row>
    <row r="4669" spans="23:23" ht="26.4">
      <c r="W4669" s="64" ph="1"/>
    </row>
    <row r="4670" spans="23:23" ht="26.4">
      <c r="W4670" s="64" ph="1"/>
    </row>
    <row r="4671" spans="23:23" ht="26.4">
      <c r="W4671" s="64" ph="1"/>
    </row>
    <row r="4672" spans="23:23" ht="26.4">
      <c r="W4672" s="64" ph="1"/>
    </row>
    <row r="4673" spans="23:23" ht="26.4">
      <c r="W4673" s="64" ph="1"/>
    </row>
    <row r="4674" spans="23:23" ht="26.4">
      <c r="W4674" s="64" ph="1"/>
    </row>
    <row r="4675" spans="23:23" ht="26.4">
      <c r="W4675" s="64" ph="1"/>
    </row>
    <row r="4676" spans="23:23" ht="26.4">
      <c r="W4676" s="64" ph="1"/>
    </row>
    <row r="4677" spans="23:23" ht="26.4">
      <c r="W4677" s="64" ph="1"/>
    </row>
    <row r="4678" spans="23:23" ht="26.4">
      <c r="W4678" s="64" ph="1"/>
    </row>
    <row r="4679" spans="23:23" ht="26.4">
      <c r="W4679" s="64" ph="1"/>
    </row>
    <row r="4680" spans="23:23" ht="26.4">
      <c r="W4680" s="64" ph="1"/>
    </row>
    <row r="4681" spans="23:23" ht="26.4">
      <c r="W4681" s="64" ph="1"/>
    </row>
    <row r="4682" spans="23:23" ht="26.4">
      <c r="W4682" s="64" ph="1"/>
    </row>
    <row r="4683" spans="23:23" ht="26.4">
      <c r="W4683" s="64" ph="1"/>
    </row>
    <row r="4684" spans="23:23" ht="26.4">
      <c r="W4684" s="64" ph="1"/>
    </row>
    <row r="4685" spans="23:23" ht="26.4">
      <c r="W4685" s="64" ph="1"/>
    </row>
    <row r="4686" spans="23:23" ht="26.4">
      <c r="W4686" s="64" ph="1"/>
    </row>
    <row r="4687" spans="23:23" ht="26.4">
      <c r="W4687" s="64" ph="1"/>
    </row>
    <row r="4688" spans="23:23" ht="26.4">
      <c r="W4688" s="64" ph="1"/>
    </row>
    <row r="4689" spans="23:23" ht="26.4">
      <c r="W4689" s="64" ph="1"/>
    </row>
    <row r="4690" spans="23:23" ht="26.4">
      <c r="W4690" s="64" ph="1"/>
    </row>
    <row r="4691" spans="23:23" ht="26.4">
      <c r="W4691" s="64" ph="1"/>
    </row>
    <row r="4692" spans="23:23" ht="26.4">
      <c r="W4692" s="64" ph="1"/>
    </row>
    <row r="4693" spans="23:23" ht="26.4">
      <c r="W4693" s="64" ph="1"/>
    </row>
    <row r="4694" spans="23:23" ht="26.4">
      <c r="W4694" s="64" ph="1"/>
    </row>
    <row r="4695" spans="23:23" ht="26.4">
      <c r="W4695" s="64" ph="1"/>
    </row>
    <row r="4696" spans="23:23" ht="26.4">
      <c r="W4696" s="64" ph="1"/>
    </row>
    <row r="4697" spans="23:23" ht="26.4">
      <c r="W4697" s="64" ph="1"/>
    </row>
    <row r="4698" spans="23:23" ht="26.4">
      <c r="W4698" s="64" ph="1"/>
    </row>
    <row r="4699" spans="23:23" ht="26.4">
      <c r="W4699" s="64" ph="1"/>
    </row>
    <row r="4700" spans="23:23" ht="26.4">
      <c r="W4700" s="64" ph="1"/>
    </row>
    <row r="4701" spans="23:23" ht="26.4">
      <c r="W4701" s="64" ph="1"/>
    </row>
    <row r="4702" spans="23:23" ht="26.4">
      <c r="W4702" s="64" ph="1"/>
    </row>
    <row r="4703" spans="23:23" ht="26.4">
      <c r="W4703" s="64" ph="1"/>
    </row>
    <row r="4704" spans="23:23" ht="26.4">
      <c r="W4704" s="64" ph="1"/>
    </row>
    <row r="4705" spans="23:23" ht="26.4">
      <c r="W4705" s="64" ph="1"/>
    </row>
    <row r="4706" spans="23:23" ht="26.4">
      <c r="W4706" s="64" ph="1"/>
    </row>
    <row r="4707" spans="23:23" ht="26.4">
      <c r="W4707" s="64" ph="1"/>
    </row>
    <row r="4708" spans="23:23" ht="26.4">
      <c r="W4708" s="64" ph="1"/>
    </row>
    <row r="4709" spans="23:23" ht="26.4">
      <c r="W4709" s="64" ph="1"/>
    </row>
    <row r="4710" spans="23:23" ht="26.4">
      <c r="W4710" s="64" ph="1"/>
    </row>
    <row r="4711" spans="23:23" ht="26.4">
      <c r="W4711" s="64" ph="1"/>
    </row>
    <row r="4712" spans="23:23" ht="26.4">
      <c r="W4712" s="64" ph="1"/>
    </row>
    <row r="4713" spans="23:23" ht="26.4">
      <c r="W4713" s="64" ph="1"/>
    </row>
    <row r="4714" spans="23:23" ht="26.4">
      <c r="W4714" s="64" ph="1"/>
    </row>
    <row r="4715" spans="23:23" ht="26.4">
      <c r="W4715" s="64" ph="1"/>
    </row>
    <row r="4716" spans="23:23" ht="26.4">
      <c r="W4716" s="64" ph="1"/>
    </row>
    <row r="4717" spans="23:23" ht="26.4">
      <c r="W4717" s="64" ph="1"/>
    </row>
    <row r="4718" spans="23:23" ht="26.4">
      <c r="W4718" s="64" ph="1"/>
    </row>
    <row r="4719" spans="23:23" ht="26.4">
      <c r="W4719" s="64" ph="1"/>
    </row>
    <row r="4720" spans="23:23" ht="26.4">
      <c r="W4720" s="64" ph="1"/>
    </row>
    <row r="4721" spans="23:23" ht="26.4">
      <c r="W4721" s="64" ph="1"/>
    </row>
    <row r="4722" spans="23:23" ht="26.4">
      <c r="W4722" s="64" ph="1"/>
    </row>
    <row r="4723" spans="23:23" ht="26.4">
      <c r="W4723" s="64" ph="1"/>
    </row>
    <row r="4724" spans="23:23" ht="26.4">
      <c r="W4724" s="64" ph="1"/>
    </row>
    <row r="4725" spans="23:23" ht="26.4">
      <c r="W4725" s="64" ph="1"/>
    </row>
    <row r="4726" spans="23:23" ht="26.4">
      <c r="W4726" s="64" ph="1"/>
    </row>
    <row r="4727" spans="23:23" ht="26.4">
      <c r="W4727" s="64" ph="1"/>
    </row>
    <row r="4728" spans="23:23" ht="26.4">
      <c r="W4728" s="64" ph="1"/>
    </row>
    <row r="4729" spans="23:23" ht="26.4">
      <c r="W4729" s="64" ph="1"/>
    </row>
    <row r="4730" spans="23:23" ht="26.4">
      <c r="W4730" s="64" ph="1"/>
    </row>
    <row r="4731" spans="23:23" ht="26.4">
      <c r="W4731" s="64" ph="1"/>
    </row>
    <row r="4732" spans="23:23" ht="26.4">
      <c r="W4732" s="64" ph="1"/>
    </row>
    <row r="4733" spans="23:23" ht="26.4">
      <c r="W4733" s="64" ph="1"/>
    </row>
    <row r="4734" spans="23:23" ht="26.4">
      <c r="W4734" s="64" ph="1"/>
    </row>
    <row r="4735" spans="23:23" ht="26.4">
      <c r="W4735" s="64" ph="1"/>
    </row>
    <row r="4736" spans="23:23" ht="26.4">
      <c r="W4736" s="64" ph="1"/>
    </row>
    <row r="4737" spans="23:23" ht="26.4">
      <c r="W4737" s="64" ph="1"/>
    </row>
    <row r="4738" spans="23:23" ht="26.4">
      <c r="W4738" s="64" ph="1"/>
    </row>
    <row r="4739" spans="23:23" ht="26.4">
      <c r="W4739" s="64" ph="1"/>
    </row>
    <row r="4740" spans="23:23" ht="26.4">
      <c r="W4740" s="64" ph="1"/>
    </row>
    <row r="4741" spans="23:23" ht="26.4">
      <c r="W4741" s="64" ph="1"/>
    </row>
    <row r="4742" spans="23:23" ht="26.4">
      <c r="W4742" s="64" ph="1"/>
    </row>
    <row r="4743" spans="23:23" ht="26.4">
      <c r="W4743" s="64" ph="1"/>
    </row>
    <row r="4744" spans="23:23" ht="26.4">
      <c r="W4744" s="64" ph="1"/>
    </row>
    <row r="4745" spans="23:23" ht="26.4">
      <c r="W4745" s="64" ph="1"/>
    </row>
    <row r="4746" spans="23:23" ht="26.4">
      <c r="W4746" s="64" ph="1"/>
    </row>
    <row r="4747" spans="23:23" ht="26.4">
      <c r="W4747" s="64" ph="1"/>
    </row>
    <row r="4748" spans="23:23" ht="26.4">
      <c r="W4748" s="64" ph="1"/>
    </row>
    <row r="4749" spans="23:23" ht="26.4">
      <c r="W4749" s="64" ph="1"/>
    </row>
    <row r="4750" spans="23:23" ht="26.4">
      <c r="W4750" s="64" ph="1"/>
    </row>
    <row r="4751" spans="23:23" ht="26.4">
      <c r="W4751" s="64" ph="1"/>
    </row>
    <row r="4752" spans="23:23" ht="26.4">
      <c r="W4752" s="64" ph="1"/>
    </row>
    <row r="4753" spans="23:23" ht="26.4">
      <c r="W4753" s="64" ph="1"/>
    </row>
    <row r="4754" spans="23:23" ht="26.4">
      <c r="W4754" s="64" ph="1"/>
    </row>
    <row r="4755" spans="23:23" ht="26.4">
      <c r="W4755" s="64" ph="1"/>
    </row>
    <row r="4756" spans="23:23" ht="26.4">
      <c r="W4756" s="64" ph="1"/>
    </row>
    <row r="4757" spans="23:23" ht="26.4">
      <c r="W4757" s="64" ph="1"/>
    </row>
    <row r="4758" spans="23:23" ht="26.4">
      <c r="W4758" s="64" ph="1"/>
    </row>
    <row r="4759" spans="23:23" ht="26.4">
      <c r="W4759" s="64" ph="1"/>
    </row>
    <row r="4760" spans="23:23" ht="26.4">
      <c r="W4760" s="64" ph="1"/>
    </row>
    <row r="4761" spans="23:23" ht="26.4">
      <c r="W4761" s="64" ph="1"/>
    </row>
    <row r="4762" spans="23:23" ht="26.4">
      <c r="W4762" s="64" ph="1"/>
    </row>
    <row r="4763" spans="23:23" ht="26.4">
      <c r="W4763" s="64" ph="1"/>
    </row>
    <row r="4764" spans="23:23" ht="26.4">
      <c r="W4764" s="64" ph="1"/>
    </row>
    <row r="4765" spans="23:23" ht="26.4">
      <c r="W4765" s="64" ph="1"/>
    </row>
    <row r="4766" spans="23:23" ht="26.4">
      <c r="W4766" s="64" ph="1"/>
    </row>
    <row r="4767" spans="23:23" ht="26.4">
      <c r="W4767" s="64" ph="1"/>
    </row>
    <row r="4768" spans="23:23" ht="26.4">
      <c r="W4768" s="64" ph="1"/>
    </row>
    <row r="4769" spans="23:23" ht="26.4">
      <c r="W4769" s="64" ph="1"/>
    </row>
    <row r="4770" spans="23:23" ht="26.4">
      <c r="W4770" s="64" ph="1"/>
    </row>
    <row r="4771" spans="23:23" ht="26.4">
      <c r="W4771" s="64" ph="1"/>
    </row>
    <row r="4772" spans="23:23" ht="26.4">
      <c r="W4772" s="64" ph="1"/>
    </row>
    <row r="4773" spans="23:23" ht="26.4">
      <c r="W4773" s="64" ph="1"/>
    </row>
    <row r="4774" spans="23:23" ht="26.4">
      <c r="W4774" s="64" ph="1"/>
    </row>
    <row r="4775" spans="23:23" ht="26.4">
      <c r="W4775" s="64" ph="1"/>
    </row>
    <row r="4776" spans="23:23" ht="26.4">
      <c r="W4776" s="64" ph="1"/>
    </row>
    <row r="4777" spans="23:23" ht="26.4">
      <c r="W4777" s="64" ph="1"/>
    </row>
    <row r="4778" spans="23:23" ht="26.4">
      <c r="W4778" s="64" ph="1"/>
    </row>
    <row r="4779" spans="23:23" ht="26.4">
      <c r="W4779" s="64" ph="1"/>
    </row>
    <row r="4780" spans="23:23" ht="26.4">
      <c r="W4780" s="64" ph="1"/>
    </row>
    <row r="4781" spans="23:23" ht="26.4">
      <c r="W4781" s="64" ph="1"/>
    </row>
    <row r="4782" spans="23:23" ht="26.4">
      <c r="W4782" s="64" ph="1"/>
    </row>
    <row r="4783" spans="23:23" ht="26.4">
      <c r="W4783" s="64" ph="1"/>
    </row>
    <row r="4784" spans="23:23" ht="26.4">
      <c r="W4784" s="64" ph="1"/>
    </row>
    <row r="4785" spans="23:23" ht="26.4">
      <c r="W4785" s="64" ph="1"/>
    </row>
    <row r="4786" spans="23:23" ht="26.4">
      <c r="W4786" s="64" ph="1"/>
    </row>
    <row r="4787" spans="23:23" ht="26.4">
      <c r="W4787" s="64" ph="1"/>
    </row>
    <row r="4788" spans="23:23" ht="26.4">
      <c r="W4788" s="64" ph="1"/>
    </row>
    <row r="4789" spans="23:23" ht="26.4">
      <c r="W4789" s="64" ph="1"/>
    </row>
    <row r="4790" spans="23:23" ht="26.4">
      <c r="W4790" s="64" ph="1"/>
    </row>
    <row r="4791" spans="23:23" ht="26.4">
      <c r="W4791" s="64" ph="1"/>
    </row>
    <row r="4792" spans="23:23" ht="26.4">
      <c r="W4792" s="64" ph="1"/>
    </row>
    <row r="4793" spans="23:23" ht="26.4">
      <c r="W4793" s="64" ph="1"/>
    </row>
    <row r="4794" spans="23:23" ht="26.4">
      <c r="W4794" s="64" ph="1"/>
    </row>
    <row r="4795" spans="23:23" ht="26.4">
      <c r="W4795" s="64" ph="1"/>
    </row>
    <row r="4796" spans="23:23" ht="26.4">
      <c r="W4796" s="64" ph="1"/>
    </row>
    <row r="4797" spans="23:23" ht="26.4">
      <c r="W4797" s="64" ph="1"/>
    </row>
    <row r="4798" spans="23:23" ht="26.4">
      <c r="W4798" s="64" ph="1"/>
    </row>
    <row r="4799" spans="23:23" ht="26.4">
      <c r="W4799" s="64" ph="1"/>
    </row>
    <row r="4800" spans="23:23" ht="26.4">
      <c r="W4800" s="64" ph="1"/>
    </row>
    <row r="4801" spans="23:23" ht="26.4">
      <c r="W4801" s="64" ph="1"/>
    </row>
    <row r="4802" spans="23:23" ht="26.4">
      <c r="W4802" s="64" ph="1"/>
    </row>
    <row r="4803" spans="23:23" ht="26.4">
      <c r="W4803" s="64" ph="1"/>
    </row>
    <row r="4804" spans="23:23" ht="26.4">
      <c r="W4804" s="64" ph="1"/>
    </row>
    <row r="4805" spans="23:23" ht="26.4">
      <c r="W4805" s="64" ph="1"/>
    </row>
    <row r="4806" spans="23:23" ht="26.4">
      <c r="W4806" s="64" ph="1"/>
    </row>
    <row r="4807" spans="23:23" ht="26.4">
      <c r="W4807" s="64" ph="1"/>
    </row>
    <row r="4808" spans="23:23" ht="26.4">
      <c r="W4808" s="64" ph="1"/>
    </row>
    <row r="4809" spans="23:23" ht="26.4">
      <c r="W4809" s="64" ph="1"/>
    </row>
    <row r="4810" spans="23:23" ht="26.4">
      <c r="W4810" s="64" ph="1"/>
    </row>
    <row r="4811" spans="23:23" ht="26.4">
      <c r="W4811" s="64" ph="1"/>
    </row>
    <row r="4812" spans="23:23" ht="26.4">
      <c r="W4812" s="64" ph="1"/>
    </row>
    <row r="4813" spans="23:23" ht="26.4">
      <c r="W4813" s="64" ph="1"/>
    </row>
    <row r="4814" spans="23:23" ht="26.4">
      <c r="W4814" s="64" ph="1"/>
    </row>
    <row r="4815" spans="23:23" ht="26.4">
      <c r="W4815" s="64" ph="1"/>
    </row>
    <row r="4816" spans="23:23" ht="26.4">
      <c r="W4816" s="64" ph="1"/>
    </row>
    <row r="4817" spans="23:23" ht="26.4">
      <c r="W4817" s="64" ph="1"/>
    </row>
    <row r="4818" spans="23:23" ht="26.4">
      <c r="W4818" s="64" ph="1"/>
    </row>
    <row r="4819" spans="23:23" ht="26.4">
      <c r="W4819" s="64" ph="1"/>
    </row>
    <row r="4820" spans="23:23" ht="26.4">
      <c r="W4820" s="64" ph="1"/>
    </row>
    <row r="4821" spans="23:23" ht="26.4">
      <c r="W4821" s="64" ph="1"/>
    </row>
    <row r="4822" spans="23:23" ht="26.4">
      <c r="W4822" s="64" ph="1"/>
    </row>
    <row r="4823" spans="23:23" ht="26.4">
      <c r="W4823" s="64" ph="1"/>
    </row>
    <row r="4824" spans="23:23" ht="26.4">
      <c r="W4824" s="64" ph="1"/>
    </row>
    <row r="4825" spans="23:23" ht="26.4">
      <c r="W4825" s="64" ph="1"/>
    </row>
    <row r="4826" spans="23:23" ht="26.4">
      <c r="W4826" s="64" ph="1"/>
    </row>
    <row r="4827" spans="23:23" ht="26.4">
      <c r="W4827" s="64" ph="1"/>
    </row>
    <row r="4828" spans="23:23" ht="26.4">
      <c r="W4828" s="64" ph="1"/>
    </row>
    <row r="4829" spans="23:23" ht="26.4">
      <c r="W4829" s="64" ph="1"/>
    </row>
    <row r="4830" spans="23:23" ht="26.4">
      <c r="W4830" s="64" ph="1"/>
    </row>
    <row r="4831" spans="23:23" ht="26.4">
      <c r="W4831" s="64" ph="1"/>
    </row>
    <row r="4832" spans="23:23" ht="26.4">
      <c r="W4832" s="64" ph="1"/>
    </row>
    <row r="4833" spans="23:23" ht="26.4">
      <c r="W4833" s="64" ph="1"/>
    </row>
    <row r="4834" spans="23:23" ht="26.4">
      <c r="W4834" s="64" ph="1"/>
    </row>
    <row r="4835" spans="23:23" ht="26.4">
      <c r="W4835" s="64" ph="1"/>
    </row>
    <row r="4836" spans="23:23" ht="26.4">
      <c r="W4836" s="64" ph="1"/>
    </row>
    <row r="4837" spans="23:23" ht="26.4">
      <c r="W4837" s="64" ph="1"/>
    </row>
    <row r="4838" spans="23:23" ht="26.4">
      <c r="W4838" s="64" ph="1"/>
    </row>
    <row r="4839" spans="23:23" ht="26.4">
      <c r="W4839" s="64" ph="1"/>
    </row>
    <row r="4840" spans="23:23" ht="26.4">
      <c r="W4840" s="64" ph="1"/>
    </row>
    <row r="4841" spans="23:23" ht="26.4">
      <c r="W4841" s="64" ph="1"/>
    </row>
    <row r="4842" spans="23:23" ht="26.4">
      <c r="W4842" s="64" ph="1"/>
    </row>
    <row r="4843" spans="23:23" ht="26.4">
      <c r="W4843" s="64" ph="1"/>
    </row>
    <row r="4844" spans="23:23" ht="26.4">
      <c r="W4844" s="64" ph="1"/>
    </row>
    <row r="4845" spans="23:23" ht="26.4">
      <c r="W4845" s="64" ph="1"/>
    </row>
    <row r="4846" spans="23:23" ht="26.4">
      <c r="W4846" s="64" ph="1"/>
    </row>
    <row r="4847" spans="23:23" ht="26.4">
      <c r="W4847" s="64" ph="1"/>
    </row>
    <row r="4848" spans="23:23" ht="26.4">
      <c r="W4848" s="64" ph="1"/>
    </row>
    <row r="4849" spans="23:23" ht="26.4">
      <c r="W4849" s="64" ph="1"/>
    </row>
    <row r="4850" spans="23:23" ht="26.4">
      <c r="W4850" s="64" ph="1"/>
    </row>
    <row r="4851" spans="23:23" ht="26.4">
      <c r="W4851" s="64" ph="1"/>
    </row>
    <row r="4852" spans="23:23" ht="26.4">
      <c r="W4852" s="64" ph="1"/>
    </row>
    <row r="4853" spans="23:23" ht="26.4">
      <c r="W4853" s="64" ph="1"/>
    </row>
    <row r="4854" spans="23:23" ht="26.4">
      <c r="W4854" s="64" ph="1"/>
    </row>
    <row r="4855" spans="23:23" ht="26.4">
      <c r="W4855" s="64" ph="1"/>
    </row>
    <row r="4856" spans="23:23" ht="26.4">
      <c r="W4856" s="64" ph="1"/>
    </row>
    <row r="4857" spans="23:23" ht="26.4">
      <c r="W4857" s="64" ph="1"/>
    </row>
    <row r="4858" spans="23:23" ht="26.4">
      <c r="W4858" s="64" ph="1"/>
    </row>
    <row r="4859" spans="23:23" ht="26.4">
      <c r="W4859" s="64" ph="1"/>
    </row>
    <row r="4860" spans="23:23" ht="26.4">
      <c r="W4860" s="64" ph="1"/>
    </row>
    <row r="4861" spans="23:23" ht="26.4">
      <c r="W4861" s="64" ph="1"/>
    </row>
    <row r="4862" spans="23:23" ht="26.4">
      <c r="W4862" s="64" ph="1"/>
    </row>
    <row r="4863" spans="23:23" ht="26.4">
      <c r="W4863" s="64" ph="1"/>
    </row>
    <row r="4864" spans="23:23" ht="26.4">
      <c r="W4864" s="64" ph="1"/>
    </row>
    <row r="4865" spans="23:23" ht="26.4">
      <c r="W4865" s="64" ph="1"/>
    </row>
    <row r="4866" spans="23:23" ht="26.4">
      <c r="W4866" s="64" ph="1"/>
    </row>
    <row r="4867" spans="23:23" ht="26.4">
      <c r="W4867" s="64" ph="1"/>
    </row>
    <row r="4868" spans="23:23" ht="26.4">
      <c r="W4868" s="64" ph="1"/>
    </row>
    <row r="4869" spans="23:23" ht="26.4">
      <c r="W4869" s="64" ph="1"/>
    </row>
    <row r="4870" spans="23:23" ht="26.4">
      <c r="W4870" s="64" ph="1"/>
    </row>
    <row r="4871" spans="23:23" ht="26.4">
      <c r="W4871" s="64" ph="1"/>
    </row>
    <row r="4872" spans="23:23" ht="26.4">
      <c r="W4872" s="64" ph="1"/>
    </row>
    <row r="4873" spans="23:23" ht="26.4">
      <c r="W4873" s="64" ph="1"/>
    </row>
    <row r="4874" spans="23:23" ht="26.4">
      <c r="W4874" s="64" ph="1"/>
    </row>
    <row r="4875" spans="23:23" ht="26.4">
      <c r="W4875" s="64" ph="1"/>
    </row>
    <row r="4876" spans="23:23" ht="26.4">
      <c r="W4876" s="64" ph="1"/>
    </row>
    <row r="4877" spans="23:23" ht="26.4">
      <c r="W4877" s="64" ph="1"/>
    </row>
    <row r="4878" spans="23:23" ht="26.4">
      <c r="W4878" s="64" ph="1"/>
    </row>
    <row r="4879" spans="23:23" ht="26.4">
      <c r="W4879" s="64" ph="1"/>
    </row>
    <row r="4880" spans="23:23" ht="26.4">
      <c r="W4880" s="64" ph="1"/>
    </row>
    <row r="4881" spans="23:23" ht="26.4">
      <c r="W4881" s="64" ph="1"/>
    </row>
    <row r="4882" spans="23:23" ht="26.4">
      <c r="W4882" s="64" ph="1"/>
    </row>
    <row r="4883" spans="23:23" ht="26.4">
      <c r="W4883" s="64" ph="1"/>
    </row>
    <row r="4884" spans="23:23" ht="26.4">
      <c r="W4884" s="64" ph="1"/>
    </row>
    <row r="4885" spans="23:23" ht="26.4">
      <c r="W4885" s="64" ph="1"/>
    </row>
    <row r="4886" spans="23:23" ht="26.4">
      <c r="W4886" s="64" ph="1"/>
    </row>
    <row r="4887" spans="23:23" ht="26.4">
      <c r="W4887" s="64" ph="1"/>
    </row>
    <row r="4888" spans="23:23" ht="26.4">
      <c r="W4888" s="64" ph="1"/>
    </row>
    <row r="4889" spans="23:23" ht="26.4">
      <c r="W4889" s="64" ph="1"/>
    </row>
    <row r="4890" spans="23:23" ht="26.4">
      <c r="W4890" s="64" ph="1"/>
    </row>
    <row r="4891" spans="23:23" ht="26.4">
      <c r="W4891" s="64" ph="1"/>
    </row>
    <row r="4892" spans="23:23" ht="26.4">
      <c r="W4892" s="64" ph="1"/>
    </row>
    <row r="4893" spans="23:23" ht="26.4">
      <c r="W4893" s="64" ph="1"/>
    </row>
    <row r="4894" spans="23:23" ht="26.4">
      <c r="W4894" s="64" ph="1"/>
    </row>
    <row r="4895" spans="23:23" ht="26.4">
      <c r="W4895" s="64" ph="1"/>
    </row>
    <row r="4896" spans="23:23" ht="26.4">
      <c r="W4896" s="64" ph="1"/>
    </row>
    <row r="4897" spans="23:23" ht="26.4">
      <c r="W4897" s="64" ph="1"/>
    </row>
    <row r="4898" spans="23:23" ht="26.4">
      <c r="W4898" s="64" ph="1"/>
    </row>
    <row r="4899" spans="23:23" ht="26.4">
      <c r="W4899" s="64" ph="1"/>
    </row>
    <row r="4900" spans="23:23" ht="26.4">
      <c r="W4900" s="64" ph="1"/>
    </row>
    <row r="4901" spans="23:23" ht="26.4">
      <c r="W4901" s="64" ph="1"/>
    </row>
    <row r="4902" spans="23:23" ht="26.4">
      <c r="W4902" s="64" ph="1"/>
    </row>
    <row r="4903" spans="23:23" ht="26.4">
      <c r="W4903" s="64" ph="1"/>
    </row>
    <row r="4904" spans="23:23" ht="26.4">
      <c r="W4904" s="64" ph="1"/>
    </row>
    <row r="4905" spans="23:23" ht="26.4">
      <c r="W4905" s="64" ph="1"/>
    </row>
    <row r="4906" spans="23:23" ht="26.4">
      <c r="W4906" s="64" ph="1"/>
    </row>
    <row r="4907" spans="23:23" ht="26.4">
      <c r="W4907" s="64" ph="1"/>
    </row>
    <row r="4908" spans="23:23" ht="26.4">
      <c r="W4908" s="64" ph="1"/>
    </row>
    <row r="4909" spans="23:23" ht="26.4">
      <c r="W4909" s="64" ph="1"/>
    </row>
    <row r="4910" spans="23:23" ht="26.4">
      <c r="W4910" s="64" ph="1"/>
    </row>
    <row r="4911" spans="23:23" ht="26.4">
      <c r="W4911" s="64" ph="1"/>
    </row>
    <row r="4912" spans="23:23" ht="26.4">
      <c r="W4912" s="64" ph="1"/>
    </row>
    <row r="4913" spans="23:23" ht="26.4">
      <c r="W4913" s="64" ph="1"/>
    </row>
    <row r="4914" spans="23:23" ht="26.4">
      <c r="W4914" s="64" ph="1"/>
    </row>
    <row r="4915" spans="23:23" ht="26.4">
      <c r="W4915" s="64" ph="1"/>
    </row>
    <row r="4916" spans="23:23" ht="26.4">
      <c r="W4916" s="64" ph="1"/>
    </row>
    <row r="4917" spans="23:23" ht="26.4">
      <c r="W4917" s="64" ph="1"/>
    </row>
    <row r="4918" spans="23:23" ht="26.4">
      <c r="W4918" s="64" ph="1"/>
    </row>
    <row r="4919" spans="23:23" ht="26.4">
      <c r="W4919" s="64" ph="1"/>
    </row>
    <row r="4920" spans="23:23" ht="26.4">
      <c r="W4920" s="64" ph="1"/>
    </row>
    <row r="4921" spans="23:23" ht="26.4">
      <c r="W4921" s="64" ph="1"/>
    </row>
    <row r="4922" spans="23:23" ht="26.4">
      <c r="W4922" s="64" ph="1"/>
    </row>
    <row r="4923" spans="23:23" ht="26.4">
      <c r="W4923" s="64" ph="1"/>
    </row>
    <row r="4924" spans="23:23" ht="26.4">
      <c r="W4924" s="64" ph="1"/>
    </row>
    <row r="4925" spans="23:23" ht="26.4">
      <c r="W4925" s="64" ph="1"/>
    </row>
    <row r="4926" spans="23:23" ht="26.4">
      <c r="W4926" s="64" ph="1"/>
    </row>
    <row r="4927" spans="23:23" ht="26.4">
      <c r="W4927" s="64" ph="1"/>
    </row>
    <row r="4928" spans="23:23" ht="26.4">
      <c r="W4928" s="64" ph="1"/>
    </row>
    <row r="4929" spans="23:23" ht="26.4">
      <c r="W4929" s="64" ph="1"/>
    </row>
    <row r="4930" spans="23:23" ht="26.4">
      <c r="W4930" s="64" ph="1"/>
    </row>
    <row r="4931" spans="23:23" ht="26.4">
      <c r="W4931" s="64" ph="1"/>
    </row>
    <row r="4932" spans="23:23" ht="26.4">
      <c r="W4932" s="64" ph="1"/>
    </row>
    <row r="4933" spans="23:23" ht="26.4">
      <c r="W4933" s="64" ph="1"/>
    </row>
    <row r="4934" spans="23:23" ht="26.4">
      <c r="W4934" s="64" ph="1"/>
    </row>
    <row r="4935" spans="23:23" ht="26.4">
      <c r="W4935" s="64" ph="1"/>
    </row>
    <row r="4936" spans="23:23" ht="26.4">
      <c r="W4936" s="64" ph="1"/>
    </row>
    <row r="4937" spans="23:23" ht="26.4">
      <c r="W4937" s="64" ph="1"/>
    </row>
    <row r="4938" spans="23:23" ht="26.4">
      <c r="W4938" s="64" ph="1"/>
    </row>
    <row r="4939" spans="23:23" ht="26.4">
      <c r="W4939" s="64" ph="1"/>
    </row>
    <row r="4940" spans="23:23" ht="26.4">
      <c r="W4940" s="64" ph="1"/>
    </row>
    <row r="4941" spans="23:23" ht="26.4">
      <c r="W4941" s="64" ph="1"/>
    </row>
    <row r="4942" spans="23:23" ht="26.4">
      <c r="W4942" s="64" ph="1"/>
    </row>
    <row r="4943" spans="23:23" ht="26.4">
      <c r="W4943" s="64" ph="1"/>
    </row>
    <row r="4944" spans="23:23" ht="26.4">
      <c r="W4944" s="64" ph="1"/>
    </row>
    <row r="4945" spans="23:23" ht="26.4">
      <c r="W4945" s="64" ph="1"/>
    </row>
    <row r="4946" spans="23:23" ht="26.4">
      <c r="W4946" s="64" ph="1"/>
    </row>
    <row r="4947" spans="23:23" ht="26.4">
      <c r="W4947" s="64" ph="1"/>
    </row>
    <row r="4948" spans="23:23" ht="26.4">
      <c r="W4948" s="64" ph="1"/>
    </row>
    <row r="4949" spans="23:23" ht="26.4">
      <c r="W4949" s="64" ph="1"/>
    </row>
    <row r="4950" spans="23:23" ht="26.4">
      <c r="W4950" s="64" ph="1"/>
    </row>
    <row r="4951" spans="23:23" ht="26.4">
      <c r="W4951" s="64" ph="1"/>
    </row>
    <row r="4952" spans="23:23" ht="26.4">
      <c r="W4952" s="64" ph="1"/>
    </row>
    <row r="4953" spans="23:23" ht="26.4">
      <c r="W4953" s="64" ph="1"/>
    </row>
    <row r="4954" spans="23:23" ht="26.4">
      <c r="W4954" s="64" ph="1"/>
    </row>
    <row r="4955" spans="23:23" ht="26.4">
      <c r="W4955" s="64" ph="1"/>
    </row>
    <row r="4956" spans="23:23" ht="26.4">
      <c r="W4956" s="64" ph="1"/>
    </row>
    <row r="4957" spans="23:23" ht="26.4">
      <c r="W4957" s="64" ph="1"/>
    </row>
    <row r="4958" spans="23:23" ht="26.4">
      <c r="W4958" s="64" ph="1"/>
    </row>
    <row r="4959" spans="23:23" ht="26.4">
      <c r="W4959" s="64" ph="1"/>
    </row>
    <row r="4960" spans="23:23" ht="26.4">
      <c r="W4960" s="64" ph="1"/>
    </row>
    <row r="4961" spans="23:23" ht="26.4">
      <c r="W4961" s="64" ph="1"/>
    </row>
    <row r="4962" spans="23:23" ht="26.4">
      <c r="W4962" s="64" ph="1"/>
    </row>
    <row r="4963" spans="23:23" ht="26.4">
      <c r="W4963" s="64" ph="1"/>
    </row>
    <row r="4964" spans="23:23" ht="26.4">
      <c r="W4964" s="64" ph="1"/>
    </row>
    <row r="4965" spans="23:23" ht="26.4">
      <c r="W4965" s="64" ph="1"/>
    </row>
    <row r="4966" spans="23:23" ht="26.4">
      <c r="W4966" s="64" ph="1"/>
    </row>
    <row r="4967" spans="23:23" ht="26.4">
      <c r="W4967" s="64" ph="1"/>
    </row>
    <row r="4968" spans="23:23" ht="26.4">
      <c r="W4968" s="64" ph="1"/>
    </row>
    <row r="4969" spans="23:23" ht="26.4">
      <c r="W4969" s="64" ph="1"/>
    </row>
    <row r="4970" spans="23:23" ht="26.4">
      <c r="W4970" s="64" ph="1"/>
    </row>
    <row r="4971" spans="23:23" ht="26.4">
      <c r="W4971" s="64" ph="1"/>
    </row>
    <row r="4972" spans="23:23" ht="26.4">
      <c r="W4972" s="64" ph="1"/>
    </row>
    <row r="4973" spans="23:23" ht="26.4">
      <c r="W4973" s="64" ph="1"/>
    </row>
    <row r="4974" spans="23:23" ht="26.4">
      <c r="W4974" s="64" ph="1"/>
    </row>
    <row r="4975" spans="23:23" ht="26.4">
      <c r="W4975" s="64" ph="1"/>
    </row>
    <row r="4976" spans="23:23" ht="26.4">
      <c r="W4976" s="64" ph="1"/>
    </row>
    <row r="4977" spans="23:23" ht="26.4">
      <c r="W4977" s="64" ph="1"/>
    </row>
    <row r="4978" spans="23:23" ht="26.4">
      <c r="W4978" s="64" ph="1"/>
    </row>
    <row r="4979" spans="23:23" ht="26.4">
      <c r="W4979" s="64" ph="1"/>
    </row>
    <row r="4980" spans="23:23" ht="26.4">
      <c r="W4980" s="64" ph="1"/>
    </row>
    <row r="4981" spans="23:23" ht="26.4">
      <c r="W4981" s="64" ph="1"/>
    </row>
    <row r="4982" spans="23:23" ht="26.4">
      <c r="W4982" s="64" ph="1"/>
    </row>
    <row r="4983" spans="23:23" ht="26.4">
      <c r="W4983" s="64" ph="1"/>
    </row>
    <row r="4984" spans="23:23" ht="26.4">
      <c r="W4984" s="64" ph="1"/>
    </row>
    <row r="4985" spans="23:23" ht="26.4">
      <c r="W4985" s="64" ph="1"/>
    </row>
    <row r="4986" spans="23:23" ht="26.4">
      <c r="W4986" s="64" ph="1"/>
    </row>
    <row r="4987" spans="23:23" ht="26.4">
      <c r="W4987" s="64" ph="1"/>
    </row>
    <row r="4988" spans="23:23" ht="26.4">
      <c r="W4988" s="64" ph="1"/>
    </row>
    <row r="4989" spans="23:23" ht="26.4">
      <c r="W4989" s="64" ph="1"/>
    </row>
    <row r="4990" spans="23:23" ht="26.4">
      <c r="W4990" s="64" ph="1"/>
    </row>
    <row r="4991" spans="23:23" ht="26.4">
      <c r="W4991" s="64" ph="1"/>
    </row>
    <row r="4992" spans="23:23" ht="26.4">
      <c r="W4992" s="64" ph="1"/>
    </row>
    <row r="4993" spans="23:23" ht="26.4">
      <c r="W4993" s="64" ph="1"/>
    </row>
    <row r="4994" spans="23:23" ht="26.4">
      <c r="W4994" s="64" ph="1"/>
    </row>
    <row r="4995" spans="23:23" ht="26.4">
      <c r="W4995" s="64" ph="1"/>
    </row>
    <row r="4996" spans="23:23" ht="26.4">
      <c r="W4996" s="64" ph="1"/>
    </row>
    <row r="4997" spans="23:23" ht="26.4">
      <c r="W4997" s="64" ph="1"/>
    </row>
    <row r="4998" spans="23:23" ht="26.4">
      <c r="W4998" s="64" ph="1"/>
    </row>
    <row r="4999" spans="23:23" ht="26.4">
      <c r="W4999" s="64" ph="1"/>
    </row>
    <row r="5000" spans="23:23" ht="26.4">
      <c r="W5000" s="64" ph="1"/>
    </row>
    <row r="5001" spans="23:23" ht="26.4">
      <c r="W5001" s="64" ph="1"/>
    </row>
    <row r="5002" spans="23:23" ht="26.4">
      <c r="W5002" s="64" ph="1"/>
    </row>
    <row r="5003" spans="23:23" ht="26.4">
      <c r="W5003" s="64" ph="1"/>
    </row>
    <row r="5004" spans="23:23" ht="26.4">
      <c r="W5004" s="64" ph="1"/>
    </row>
    <row r="5005" spans="23:23" ht="26.4">
      <c r="W5005" s="64" ph="1"/>
    </row>
    <row r="5006" spans="23:23" ht="26.4">
      <c r="W5006" s="64" ph="1"/>
    </row>
    <row r="5007" spans="23:23" ht="26.4">
      <c r="W5007" s="64" ph="1"/>
    </row>
    <row r="5008" spans="23:23" ht="26.4">
      <c r="W5008" s="64" ph="1"/>
    </row>
    <row r="5009" spans="23:23" ht="26.4">
      <c r="W5009" s="64" ph="1"/>
    </row>
    <row r="5010" spans="23:23" ht="26.4">
      <c r="W5010" s="64" ph="1"/>
    </row>
    <row r="5011" spans="23:23" ht="26.4">
      <c r="W5011" s="64" ph="1"/>
    </row>
    <row r="5012" spans="23:23" ht="26.4">
      <c r="W5012" s="64" ph="1"/>
    </row>
    <row r="5013" spans="23:23" ht="26.4">
      <c r="W5013" s="64" ph="1"/>
    </row>
    <row r="5014" spans="23:23" ht="26.4">
      <c r="W5014" s="64" ph="1"/>
    </row>
    <row r="5015" spans="23:23" ht="26.4">
      <c r="W5015" s="64" ph="1"/>
    </row>
    <row r="5016" spans="23:23" ht="26.4">
      <c r="W5016" s="64" ph="1"/>
    </row>
    <row r="5017" spans="23:23" ht="26.4">
      <c r="W5017" s="64" ph="1"/>
    </row>
    <row r="5018" spans="23:23" ht="26.4">
      <c r="W5018" s="64" ph="1"/>
    </row>
    <row r="5019" spans="23:23" ht="26.4">
      <c r="W5019" s="64" ph="1"/>
    </row>
    <row r="5020" spans="23:23" ht="26.4">
      <c r="W5020" s="64" ph="1"/>
    </row>
    <row r="5021" spans="23:23" ht="26.4">
      <c r="W5021" s="64" ph="1"/>
    </row>
    <row r="5022" spans="23:23" ht="26.4">
      <c r="W5022" s="64" ph="1"/>
    </row>
    <row r="5023" spans="23:23" ht="26.4">
      <c r="W5023" s="64" ph="1"/>
    </row>
    <row r="5024" spans="23:23" ht="26.4">
      <c r="W5024" s="64" ph="1"/>
    </row>
    <row r="5025" spans="23:23" ht="26.4">
      <c r="W5025" s="64" ph="1"/>
    </row>
    <row r="5026" spans="23:23" ht="26.4">
      <c r="W5026" s="64" ph="1"/>
    </row>
    <row r="5027" spans="23:23" ht="26.4">
      <c r="W5027" s="64" ph="1"/>
    </row>
    <row r="5028" spans="23:23" ht="26.4">
      <c r="W5028" s="64" ph="1"/>
    </row>
    <row r="5029" spans="23:23" ht="26.4">
      <c r="W5029" s="64" ph="1"/>
    </row>
    <row r="5030" spans="23:23" ht="26.4">
      <c r="W5030" s="64" ph="1"/>
    </row>
    <row r="5031" spans="23:23" ht="26.4">
      <c r="W5031" s="64" ph="1"/>
    </row>
    <row r="5032" spans="23:23" ht="26.4">
      <c r="W5032" s="64" ph="1"/>
    </row>
    <row r="5033" spans="23:23" ht="26.4">
      <c r="W5033" s="64" ph="1"/>
    </row>
    <row r="5034" spans="23:23" ht="26.4">
      <c r="W5034" s="64" ph="1"/>
    </row>
    <row r="5035" spans="23:23" ht="26.4">
      <c r="W5035" s="64" ph="1"/>
    </row>
    <row r="5036" spans="23:23" ht="26.4">
      <c r="W5036" s="64" ph="1"/>
    </row>
    <row r="5037" spans="23:23" ht="26.4">
      <c r="W5037" s="64" ph="1"/>
    </row>
    <row r="5038" spans="23:23" ht="26.4">
      <c r="W5038" s="64" ph="1"/>
    </row>
    <row r="5039" spans="23:23" ht="26.4">
      <c r="W5039" s="64" ph="1"/>
    </row>
    <row r="5040" spans="23:23" ht="26.4">
      <c r="W5040" s="64" ph="1"/>
    </row>
    <row r="5041" spans="23:23" ht="26.4">
      <c r="W5041" s="64" ph="1"/>
    </row>
    <row r="5042" spans="23:23" ht="26.4">
      <c r="W5042" s="64" ph="1"/>
    </row>
    <row r="5043" spans="23:23" ht="26.4">
      <c r="W5043" s="64" ph="1"/>
    </row>
    <row r="5044" spans="23:23" ht="26.4">
      <c r="W5044" s="64" ph="1"/>
    </row>
    <row r="5045" spans="23:23" ht="26.4">
      <c r="W5045" s="64" ph="1"/>
    </row>
    <row r="5046" spans="23:23" ht="26.4">
      <c r="W5046" s="64" ph="1"/>
    </row>
    <row r="5047" spans="23:23" ht="26.4">
      <c r="W5047" s="64" ph="1"/>
    </row>
    <row r="5048" spans="23:23" ht="26.4">
      <c r="W5048" s="64" ph="1"/>
    </row>
    <row r="5049" spans="23:23" ht="26.4">
      <c r="W5049" s="64" ph="1"/>
    </row>
    <row r="5050" spans="23:23" ht="26.4">
      <c r="W5050" s="64" ph="1"/>
    </row>
    <row r="5051" spans="23:23" ht="26.4">
      <c r="W5051" s="64" ph="1"/>
    </row>
    <row r="5052" spans="23:23" ht="26.4">
      <c r="W5052" s="64" ph="1"/>
    </row>
    <row r="5053" spans="23:23" ht="26.4">
      <c r="W5053" s="64" ph="1"/>
    </row>
    <row r="5054" spans="23:23" ht="26.4">
      <c r="W5054" s="64" ph="1"/>
    </row>
    <row r="5055" spans="23:23" ht="26.4">
      <c r="W5055" s="64" ph="1"/>
    </row>
    <row r="5056" spans="23:23" ht="26.4">
      <c r="W5056" s="64" ph="1"/>
    </row>
    <row r="5057" spans="23:23" ht="26.4">
      <c r="W5057" s="64" ph="1"/>
    </row>
    <row r="5058" spans="23:23" ht="26.4">
      <c r="W5058" s="64" ph="1"/>
    </row>
    <row r="5059" spans="23:23" ht="26.4">
      <c r="W5059" s="64" ph="1"/>
    </row>
    <row r="5060" spans="23:23" ht="26.4">
      <c r="W5060" s="64" ph="1"/>
    </row>
    <row r="5061" spans="23:23" ht="26.4">
      <c r="W5061" s="64" ph="1"/>
    </row>
    <row r="5062" spans="23:23" ht="26.4">
      <c r="W5062" s="64" ph="1"/>
    </row>
    <row r="5063" spans="23:23" ht="26.4">
      <c r="W5063" s="64" ph="1"/>
    </row>
    <row r="5064" spans="23:23" ht="26.4">
      <c r="W5064" s="64" ph="1"/>
    </row>
    <row r="5065" spans="23:23" ht="26.4">
      <c r="W5065" s="64" ph="1"/>
    </row>
    <row r="5066" spans="23:23" ht="26.4">
      <c r="W5066" s="64" ph="1"/>
    </row>
    <row r="5067" spans="23:23" ht="26.4">
      <c r="W5067" s="64" ph="1"/>
    </row>
    <row r="5068" spans="23:23" ht="26.4">
      <c r="W5068" s="64" ph="1"/>
    </row>
    <row r="5069" spans="23:23" ht="26.4">
      <c r="W5069" s="64" ph="1"/>
    </row>
    <row r="5070" spans="23:23" ht="26.4">
      <c r="W5070" s="64" ph="1"/>
    </row>
    <row r="5071" spans="23:23" ht="26.4">
      <c r="W5071" s="64" ph="1"/>
    </row>
    <row r="5072" spans="23:23" ht="26.4">
      <c r="W5072" s="64" ph="1"/>
    </row>
    <row r="5073" spans="23:23" ht="26.4">
      <c r="W5073" s="64" ph="1"/>
    </row>
    <row r="5074" spans="23:23" ht="26.4">
      <c r="W5074" s="64" ph="1"/>
    </row>
    <row r="5075" spans="23:23" ht="26.4">
      <c r="W5075" s="64" ph="1"/>
    </row>
    <row r="5076" spans="23:23" ht="26.4">
      <c r="W5076" s="64" ph="1"/>
    </row>
    <row r="5077" spans="23:23" ht="26.4">
      <c r="W5077" s="64" ph="1"/>
    </row>
    <row r="5078" spans="23:23" ht="26.4">
      <c r="W5078" s="64" ph="1"/>
    </row>
    <row r="5079" spans="23:23" ht="26.4">
      <c r="W5079" s="64" ph="1"/>
    </row>
    <row r="5080" spans="23:23" ht="26.4">
      <c r="W5080" s="64" ph="1"/>
    </row>
    <row r="5081" spans="23:23" ht="26.4">
      <c r="W5081" s="64" ph="1"/>
    </row>
    <row r="5082" spans="23:23" ht="26.4">
      <c r="W5082" s="64" ph="1"/>
    </row>
    <row r="5083" spans="23:23" ht="26.4">
      <c r="W5083" s="64" ph="1"/>
    </row>
    <row r="5084" spans="23:23" ht="26.4">
      <c r="W5084" s="64" ph="1"/>
    </row>
    <row r="5085" spans="23:23" ht="26.4">
      <c r="W5085" s="64" ph="1"/>
    </row>
    <row r="5086" spans="23:23" ht="26.4">
      <c r="W5086" s="64" ph="1"/>
    </row>
    <row r="5087" spans="23:23" ht="26.4">
      <c r="W5087" s="64" ph="1"/>
    </row>
    <row r="5088" spans="23:23" ht="26.4">
      <c r="W5088" s="64" ph="1"/>
    </row>
    <row r="5089" spans="23:23" ht="26.4">
      <c r="W5089" s="64" ph="1"/>
    </row>
    <row r="5090" spans="23:23" ht="26.4">
      <c r="W5090" s="64" ph="1"/>
    </row>
    <row r="5091" spans="23:23" ht="26.4">
      <c r="W5091" s="64" ph="1"/>
    </row>
    <row r="5092" spans="23:23" ht="26.4">
      <c r="W5092" s="64" ph="1"/>
    </row>
    <row r="5093" spans="23:23" ht="26.4">
      <c r="W5093" s="64" ph="1"/>
    </row>
    <row r="5094" spans="23:23" ht="26.4">
      <c r="W5094" s="64" ph="1"/>
    </row>
    <row r="5095" spans="23:23" ht="26.4">
      <c r="W5095" s="64" ph="1"/>
    </row>
    <row r="5096" spans="23:23" ht="26.4">
      <c r="W5096" s="64" ph="1"/>
    </row>
    <row r="5097" spans="23:23" ht="26.4">
      <c r="W5097" s="64" ph="1"/>
    </row>
    <row r="5098" spans="23:23" ht="26.4">
      <c r="W5098" s="64" ph="1"/>
    </row>
    <row r="5099" spans="23:23" ht="26.4">
      <c r="W5099" s="64" ph="1"/>
    </row>
    <row r="5100" spans="23:23" ht="26.4">
      <c r="W5100" s="64" ph="1"/>
    </row>
    <row r="5101" spans="23:23" ht="26.4">
      <c r="W5101" s="64" ph="1"/>
    </row>
    <row r="5102" spans="23:23" ht="26.4">
      <c r="W5102" s="64" ph="1"/>
    </row>
    <row r="5103" spans="23:23" ht="26.4">
      <c r="W5103" s="64" ph="1"/>
    </row>
    <row r="5104" spans="23:23" ht="26.4">
      <c r="W5104" s="64" ph="1"/>
    </row>
    <row r="5105" spans="23:23" ht="26.4">
      <c r="W5105" s="64" ph="1"/>
    </row>
    <row r="5106" spans="23:23" ht="26.4">
      <c r="W5106" s="64" ph="1"/>
    </row>
    <row r="5107" spans="23:23" ht="26.4">
      <c r="W5107" s="64" ph="1"/>
    </row>
    <row r="5108" spans="23:23" ht="26.4">
      <c r="W5108" s="64" ph="1"/>
    </row>
    <row r="5109" spans="23:23" ht="26.4">
      <c r="W5109" s="64" ph="1"/>
    </row>
    <row r="5110" spans="23:23" ht="26.4">
      <c r="W5110" s="64" ph="1"/>
    </row>
    <row r="5111" spans="23:23" ht="26.4">
      <c r="W5111" s="64" ph="1"/>
    </row>
    <row r="5112" spans="23:23" ht="26.4">
      <c r="W5112" s="64" ph="1"/>
    </row>
    <row r="5113" spans="23:23" ht="26.4">
      <c r="W5113" s="64" ph="1"/>
    </row>
    <row r="5114" spans="23:23" ht="26.4">
      <c r="W5114" s="64" ph="1"/>
    </row>
    <row r="5115" spans="23:23" ht="26.4">
      <c r="W5115" s="64" ph="1"/>
    </row>
    <row r="5116" spans="23:23" ht="26.4">
      <c r="W5116" s="64" ph="1"/>
    </row>
    <row r="5117" spans="23:23" ht="26.4">
      <c r="W5117" s="64" ph="1"/>
    </row>
    <row r="5118" spans="23:23" ht="26.4">
      <c r="W5118" s="64" ph="1"/>
    </row>
    <row r="5119" spans="23:23" ht="26.4">
      <c r="W5119" s="64" ph="1"/>
    </row>
    <row r="5120" spans="23:23" ht="26.4">
      <c r="W5120" s="64" ph="1"/>
    </row>
    <row r="5121" spans="23:23" ht="26.4">
      <c r="W5121" s="64" ph="1"/>
    </row>
    <row r="5122" spans="23:23" ht="26.4">
      <c r="W5122" s="64" ph="1"/>
    </row>
    <row r="5123" spans="23:23" ht="26.4">
      <c r="W5123" s="64" ph="1"/>
    </row>
    <row r="5124" spans="23:23" ht="26.4">
      <c r="W5124" s="64" ph="1"/>
    </row>
    <row r="5125" spans="23:23" ht="26.4">
      <c r="W5125" s="64" ph="1"/>
    </row>
    <row r="5126" spans="23:23" ht="26.4">
      <c r="W5126" s="64" ph="1"/>
    </row>
    <row r="5127" spans="23:23" ht="26.4">
      <c r="W5127" s="64" ph="1"/>
    </row>
    <row r="5128" spans="23:23" ht="26.4">
      <c r="W5128" s="64" ph="1"/>
    </row>
    <row r="5129" spans="23:23" ht="26.4">
      <c r="W5129" s="64" ph="1"/>
    </row>
    <row r="5130" spans="23:23" ht="26.4">
      <c r="W5130" s="64" ph="1"/>
    </row>
    <row r="5131" spans="23:23" ht="26.4">
      <c r="W5131" s="64" ph="1"/>
    </row>
    <row r="5132" spans="23:23" ht="26.4">
      <c r="W5132" s="64" ph="1"/>
    </row>
    <row r="5133" spans="23:23" ht="26.4">
      <c r="W5133" s="64" ph="1"/>
    </row>
    <row r="5134" spans="23:23" ht="26.4">
      <c r="W5134" s="64" ph="1"/>
    </row>
    <row r="5135" spans="23:23" ht="26.4">
      <c r="W5135" s="64" ph="1"/>
    </row>
    <row r="5136" spans="23:23" ht="26.4">
      <c r="W5136" s="64" ph="1"/>
    </row>
    <row r="5137" spans="23:23" ht="26.4">
      <c r="W5137" s="64" ph="1"/>
    </row>
    <row r="5138" spans="23:23" ht="26.4">
      <c r="W5138" s="64" ph="1"/>
    </row>
    <row r="5139" spans="23:23" ht="26.4">
      <c r="W5139" s="64" ph="1"/>
    </row>
    <row r="5140" spans="23:23" ht="26.4">
      <c r="W5140" s="64" ph="1"/>
    </row>
    <row r="5141" spans="23:23" ht="26.4">
      <c r="W5141" s="64" ph="1"/>
    </row>
    <row r="5142" spans="23:23" ht="26.4">
      <c r="W5142" s="64" ph="1"/>
    </row>
    <row r="5143" spans="23:23" ht="26.4">
      <c r="W5143" s="64" ph="1"/>
    </row>
    <row r="5144" spans="23:23" ht="26.4">
      <c r="W5144" s="64" ph="1"/>
    </row>
    <row r="5145" spans="23:23" ht="26.4">
      <c r="W5145" s="64" ph="1"/>
    </row>
    <row r="5146" spans="23:23" ht="26.4">
      <c r="W5146" s="64" ph="1"/>
    </row>
    <row r="5147" spans="23:23" ht="26.4">
      <c r="W5147" s="64" ph="1"/>
    </row>
    <row r="5148" spans="23:23" ht="26.4">
      <c r="W5148" s="64" ph="1"/>
    </row>
    <row r="5149" spans="23:23" ht="26.4">
      <c r="W5149" s="64" ph="1"/>
    </row>
    <row r="5150" spans="23:23" ht="26.4">
      <c r="W5150" s="64" ph="1"/>
    </row>
    <row r="5151" spans="23:23" ht="26.4">
      <c r="W5151" s="64" ph="1"/>
    </row>
    <row r="5152" spans="23:23" ht="26.4">
      <c r="W5152" s="64" ph="1"/>
    </row>
    <row r="5153" spans="23:23" ht="26.4">
      <c r="W5153" s="64" ph="1"/>
    </row>
    <row r="5154" spans="23:23" ht="26.4">
      <c r="W5154" s="64" ph="1"/>
    </row>
    <row r="5155" spans="23:23" ht="26.4">
      <c r="W5155" s="64" ph="1"/>
    </row>
    <row r="5156" spans="23:23" ht="26.4">
      <c r="W5156" s="64" ph="1"/>
    </row>
    <row r="5157" spans="23:23" ht="26.4">
      <c r="W5157" s="64" ph="1"/>
    </row>
    <row r="5158" spans="23:23" ht="26.4">
      <c r="W5158" s="64" ph="1"/>
    </row>
    <row r="5159" spans="23:23" ht="26.4">
      <c r="W5159" s="64" ph="1"/>
    </row>
    <row r="5160" spans="23:23" ht="26.4">
      <c r="W5160" s="64" ph="1"/>
    </row>
    <row r="5161" spans="23:23" ht="26.4">
      <c r="W5161" s="64" ph="1"/>
    </row>
    <row r="5162" spans="23:23" ht="26.4">
      <c r="W5162" s="64" ph="1"/>
    </row>
    <row r="5163" spans="23:23" ht="26.4">
      <c r="W5163" s="64" ph="1"/>
    </row>
    <row r="5164" spans="23:23" ht="26.4">
      <c r="W5164" s="64" ph="1"/>
    </row>
    <row r="5165" spans="23:23" ht="26.4">
      <c r="W5165" s="64" ph="1"/>
    </row>
    <row r="5166" spans="23:23" ht="26.4">
      <c r="W5166" s="64" ph="1"/>
    </row>
    <row r="5167" spans="23:23" ht="26.4">
      <c r="W5167" s="64" ph="1"/>
    </row>
    <row r="5168" spans="23:23" ht="26.4">
      <c r="W5168" s="64" ph="1"/>
    </row>
    <row r="5169" spans="23:23" ht="26.4">
      <c r="W5169" s="64" ph="1"/>
    </row>
    <row r="5170" spans="23:23" ht="26.4">
      <c r="W5170" s="64" ph="1"/>
    </row>
    <row r="5171" spans="23:23" ht="26.4">
      <c r="W5171" s="64" ph="1"/>
    </row>
    <row r="5172" spans="23:23" ht="26.4">
      <c r="W5172" s="64" ph="1"/>
    </row>
    <row r="5173" spans="23:23" ht="26.4">
      <c r="W5173" s="64" ph="1"/>
    </row>
    <row r="5174" spans="23:23" ht="26.4">
      <c r="W5174" s="64" ph="1"/>
    </row>
    <row r="5175" spans="23:23" ht="26.4">
      <c r="W5175" s="64" ph="1"/>
    </row>
    <row r="5176" spans="23:23" ht="26.4">
      <c r="W5176" s="64" ph="1"/>
    </row>
    <row r="5177" spans="23:23" ht="26.4">
      <c r="W5177" s="64" ph="1"/>
    </row>
    <row r="5178" spans="23:23" ht="26.4">
      <c r="W5178" s="64" ph="1"/>
    </row>
    <row r="5179" spans="23:23" ht="26.4">
      <c r="W5179" s="64" ph="1"/>
    </row>
    <row r="5180" spans="23:23" ht="26.4">
      <c r="W5180" s="64" ph="1"/>
    </row>
    <row r="5181" spans="23:23" ht="26.4">
      <c r="W5181" s="64" ph="1"/>
    </row>
    <row r="5182" spans="23:23" ht="26.4">
      <c r="W5182" s="64" ph="1"/>
    </row>
    <row r="5183" spans="23:23" ht="26.4">
      <c r="W5183" s="64" ph="1"/>
    </row>
    <row r="5184" spans="23:23" ht="26.4">
      <c r="W5184" s="64" ph="1"/>
    </row>
    <row r="5185" spans="23:23" ht="26.4">
      <c r="W5185" s="64" ph="1"/>
    </row>
    <row r="5186" spans="23:23" ht="26.4">
      <c r="W5186" s="64" ph="1"/>
    </row>
    <row r="5187" spans="23:23" ht="26.4">
      <c r="W5187" s="64" ph="1"/>
    </row>
    <row r="5188" spans="23:23" ht="26.4">
      <c r="W5188" s="64" ph="1"/>
    </row>
    <row r="5189" spans="23:23" ht="26.4">
      <c r="W5189" s="64" ph="1"/>
    </row>
    <row r="5190" spans="23:23" ht="26.4">
      <c r="W5190" s="64" ph="1"/>
    </row>
    <row r="5191" spans="23:23" ht="26.4">
      <c r="W5191" s="64" ph="1"/>
    </row>
    <row r="5192" spans="23:23" ht="26.4">
      <c r="W5192" s="64" ph="1"/>
    </row>
    <row r="5193" spans="23:23" ht="26.4">
      <c r="W5193" s="64" ph="1"/>
    </row>
    <row r="5194" spans="23:23" ht="26.4">
      <c r="W5194" s="64" ph="1"/>
    </row>
    <row r="5195" spans="23:23" ht="26.4">
      <c r="W5195" s="64" ph="1"/>
    </row>
    <row r="5196" spans="23:23" ht="26.4">
      <c r="W5196" s="64" ph="1"/>
    </row>
    <row r="5197" spans="23:23" ht="26.4">
      <c r="W5197" s="64" ph="1"/>
    </row>
    <row r="5198" spans="23:23" ht="26.4">
      <c r="W5198" s="64" ph="1"/>
    </row>
    <row r="5199" spans="23:23" ht="26.4">
      <c r="W5199" s="64" ph="1"/>
    </row>
    <row r="5200" spans="23:23" ht="26.4">
      <c r="W5200" s="64" ph="1"/>
    </row>
    <row r="5201" spans="23:23" ht="26.4">
      <c r="W5201" s="64" ph="1"/>
    </row>
    <row r="5202" spans="23:23" ht="26.4">
      <c r="W5202" s="64" ph="1"/>
    </row>
    <row r="5203" spans="23:23" ht="26.4">
      <c r="W5203" s="64" ph="1"/>
    </row>
    <row r="5204" spans="23:23" ht="26.4">
      <c r="W5204" s="64" ph="1"/>
    </row>
    <row r="5205" spans="23:23" ht="26.4">
      <c r="W5205" s="64" ph="1"/>
    </row>
    <row r="5206" spans="23:23" ht="26.4">
      <c r="W5206" s="64" ph="1"/>
    </row>
    <row r="5207" spans="23:23" ht="26.4">
      <c r="W5207" s="64" ph="1"/>
    </row>
    <row r="5208" spans="23:23" ht="26.4">
      <c r="W5208" s="64" ph="1"/>
    </row>
    <row r="5209" spans="23:23" ht="26.4">
      <c r="W5209" s="64" ph="1"/>
    </row>
    <row r="5210" spans="23:23" ht="26.4">
      <c r="W5210" s="64" ph="1"/>
    </row>
    <row r="5211" spans="23:23" ht="26.4">
      <c r="W5211" s="64" ph="1"/>
    </row>
    <row r="5212" spans="23:23" ht="26.4">
      <c r="W5212" s="64" ph="1"/>
    </row>
    <row r="5213" spans="23:23" ht="26.4">
      <c r="W5213" s="64" ph="1"/>
    </row>
    <row r="5214" spans="23:23" ht="26.4">
      <c r="W5214" s="64" ph="1"/>
    </row>
    <row r="5215" spans="23:23" ht="26.4">
      <c r="W5215" s="64" ph="1"/>
    </row>
    <row r="5216" spans="23:23" ht="26.4">
      <c r="W5216" s="64" ph="1"/>
    </row>
    <row r="5217" spans="23:23" ht="26.4">
      <c r="W5217" s="64" ph="1"/>
    </row>
    <row r="5218" spans="23:23" ht="26.4">
      <c r="W5218" s="64" ph="1"/>
    </row>
    <row r="5219" spans="23:23" ht="26.4">
      <c r="W5219" s="64" ph="1"/>
    </row>
    <row r="5220" spans="23:23" ht="26.4">
      <c r="W5220" s="64" ph="1"/>
    </row>
    <row r="5221" spans="23:23" ht="26.4">
      <c r="W5221" s="64" ph="1"/>
    </row>
    <row r="5222" spans="23:23" ht="26.4">
      <c r="W5222" s="64" ph="1"/>
    </row>
    <row r="5223" spans="23:23" ht="26.4">
      <c r="W5223" s="64" ph="1"/>
    </row>
    <row r="5224" spans="23:23" ht="26.4">
      <c r="W5224" s="64" ph="1"/>
    </row>
    <row r="5225" spans="23:23" ht="26.4">
      <c r="W5225" s="64" ph="1"/>
    </row>
    <row r="5226" spans="23:23" ht="26.4">
      <c r="W5226" s="64" ph="1"/>
    </row>
    <row r="5227" spans="23:23" ht="26.4">
      <c r="W5227" s="64" ph="1"/>
    </row>
    <row r="5228" spans="23:23" ht="26.4">
      <c r="W5228" s="64" ph="1"/>
    </row>
    <row r="5229" spans="23:23" ht="26.4">
      <c r="W5229" s="64" ph="1"/>
    </row>
    <row r="5230" spans="23:23" ht="26.4">
      <c r="W5230" s="64" ph="1"/>
    </row>
    <row r="5231" spans="23:23" ht="26.4">
      <c r="W5231" s="64" ph="1"/>
    </row>
    <row r="5232" spans="23:23" ht="26.4">
      <c r="W5232" s="64" ph="1"/>
    </row>
    <row r="5233" spans="23:23" ht="26.4">
      <c r="W5233" s="64" ph="1"/>
    </row>
    <row r="5234" spans="23:23" ht="26.4">
      <c r="W5234" s="64" ph="1"/>
    </row>
    <row r="5235" spans="23:23" ht="26.4">
      <c r="W5235" s="64" ph="1"/>
    </row>
    <row r="5236" spans="23:23" ht="26.4">
      <c r="W5236" s="64" ph="1"/>
    </row>
    <row r="5237" spans="23:23" ht="26.4">
      <c r="W5237" s="64" ph="1"/>
    </row>
    <row r="5238" spans="23:23" ht="26.4">
      <c r="W5238" s="64" ph="1"/>
    </row>
    <row r="5239" spans="23:23" ht="26.4">
      <c r="W5239" s="64" ph="1"/>
    </row>
    <row r="5240" spans="23:23" ht="26.4">
      <c r="W5240" s="64" ph="1"/>
    </row>
    <row r="5241" spans="23:23" ht="26.4">
      <c r="W5241" s="64" ph="1"/>
    </row>
    <row r="5242" spans="23:23" ht="26.4">
      <c r="W5242" s="64" ph="1"/>
    </row>
    <row r="5243" spans="23:23" ht="26.4">
      <c r="W5243" s="64" ph="1"/>
    </row>
    <row r="5244" spans="23:23" ht="26.4">
      <c r="W5244" s="64" ph="1"/>
    </row>
    <row r="5245" spans="23:23" ht="26.4">
      <c r="W5245" s="64" ph="1"/>
    </row>
    <row r="5246" spans="23:23" ht="26.4">
      <c r="W5246" s="64" ph="1"/>
    </row>
    <row r="5247" spans="23:23" ht="26.4">
      <c r="W5247" s="64" ph="1"/>
    </row>
    <row r="5248" spans="23:23" ht="26.4">
      <c r="W5248" s="64" ph="1"/>
    </row>
    <row r="5249" spans="23:23" ht="26.4">
      <c r="W5249" s="64" ph="1"/>
    </row>
    <row r="5250" spans="23:23" ht="26.4">
      <c r="W5250" s="64" ph="1"/>
    </row>
    <row r="5251" spans="23:23" ht="26.4">
      <c r="W5251" s="64" ph="1"/>
    </row>
    <row r="5252" spans="23:23" ht="26.4">
      <c r="W5252" s="64" ph="1"/>
    </row>
    <row r="5253" spans="23:23" ht="26.4">
      <c r="W5253" s="64" ph="1"/>
    </row>
    <row r="5254" spans="23:23" ht="26.4">
      <c r="W5254" s="64" ph="1"/>
    </row>
    <row r="5255" spans="23:23" ht="26.4">
      <c r="W5255" s="64" ph="1"/>
    </row>
    <row r="5256" spans="23:23" ht="26.4">
      <c r="W5256" s="64" ph="1"/>
    </row>
    <row r="5257" spans="23:23" ht="26.4">
      <c r="W5257" s="64" ph="1"/>
    </row>
    <row r="5258" spans="23:23" ht="26.4">
      <c r="W5258" s="64" ph="1"/>
    </row>
    <row r="5259" spans="23:23" ht="26.4">
      <c r="W5259" s="64" ph="1"/>
    </row>
    <row r="5260" spans="23:23" ht="26.4">
      <c r="W5260" s="64" ph="1"/>
    </row>
    <row r="5261" spans="23:23" ht="26.4">
      <c r="W5261" s="64" ph="1"/>
    </row>
    <row r="5262" spans="23:23" ht="26.4">
      <c r="W5262" s="64" ph="1"/>
    </row>
    <row r="5263" spans="23:23" ht="26.4">
      <c r="W5263" s="64" ph="1"/>
    </row>
    <row r="5264" spans="23:23" ht="26.4">
      <c r="W5264" s="64" ph="1"/>
    </row>
    <row r="5265" spans="23:23" ht="26.4">
      <c r="W5265" s="64" ph="1"/>
    </row>
    <row r="5266" spans="23:23" ht="26.4">
      <c r="W5266" s="64" ph="1"/>
    </row>
    <row r="5267" spans="23:23" ht="26.4">
      <c r="W5267" s="64" ph="1"/>
    </row>
    <row r="5268" spans="23:23" ht="26.4">
      <c r="W5268" s="64" ph="1"/>
    </row>
    <row r="5269" spans="23:23" ht="26.4">
      <c r="W5269" s="64" ph="1"/>
    </row>
    <row r="5270" spans="23:23" ht="26.4">
      <c r="W5270" s="64" ph="1"/>
    </row>
    <row r="5271" spans="23:23" ht="26.4">
      <c r="W5271" s="64" ph="1"/>
    </row>
    <row r="5272" spans="23:23" ht="26.4">
      <c r="W5272" s="64" ph="1"/>
    </row>
    <row r="5273" spans="23:23" ht="26.4">
      <c r="W5273" s="64" ph="1"/>
    </row>
    <row r="5274" spans="23:23" ht="26.4">
      <c r="W5274" s="64" ph="1"/>
    </row>
    <row r="5275" spans="23:23" ht="26.4">
      <c r="W5275" s="64" ph="1"/>
    </row>
    <row r="5276" spans="23:23" ht="26.4">
      <c r="W5276" s="64" ph="1"/>
    </row>
    <row r="5277" spans="23:23" ht="26.4">
      <c r="W5277" s="64" ph="1"/>
    </row>
    <row r="5278" spans="23:23" ht="26.4">
      <c r="W5278" s="64" ph="1"/>
    </row>
    <row r="5279" spans="23:23" ht="26.4">
      <c r="W5279" s="64" ph="1"/>
    </row>
    <row r="5280" spans="23:23" ht="26.4">
      <c r="W5280" s="64" ph="1"/>
    </row>
    <row r="5281" spans="23:23" ht="26.4">
      <c r="W5281" s="64" ph="1"/>
    </row>
    <row r="5282" spans="23:23" ht="26.4">
      <c r="W5282" s="64" ph="1"/>
    </row>
    <row r="5283" spans="23:23" ht="26.4">
      <c r="W5283" s="64" ph="1"/>
    </row>
    <row r="5284" spans="23:23" ht="26.4">
      <c r="W5284" s="64" ph="1"/>
    </row>
    <row r="5285" spans="23:23" ht="26.4">
      <c r="W5285" s="64" ph="1"/>
    </row>
    <row r="5286" spans="23:23" ht="26.4">
      <c r="W5286" s="64" ph="1"/>
    </row>
    <row r="5287" spans="23:23" ht="26.4">
      <c r="W5287" s="64" ph="1"/>
    </row>
    <row r="5288" spans="23:23" ht="26.4">
      <c r="W5288" s="64" ph="1"/>
    </row>
    <row r="5289" spans="23:23" ht="26.4">
      <c r="W5289" s="64" ph="1"/>
    </row>
    <row r="5290" spans="23:23" ht="26.4">
      <c r="W5290" s="64" ph="1"/>
    </row>
    <row r="5291" spans="23:23" ht="26.4">
      <c r="W5291" s="64" ph="1"/>
    </row>
    <row r="5292" spans="23:23" ht="26.4">
      <c r="W5292" s="64" ph="1"/>
    </row>
    <row r="5293" spans="23:23" ht="26.4">
      <c r="W5293" s="64" ph="1"/>
    </row>
    <row r="5294" spans="23:23" ht="26.4">
      <c r="W5294" s="64" ph="1"/>
    </row>
    <row r="5295" spans="23:23" ht="26.4">
      <c r="W5295" s="64" ph="1"/>
    </row>
    <row r="5296" spans="23:23" ht="26.4">
      <c r="W5296" s="64" ph="1"/>
    </row>
    <row r="5297" spans="23:23" ht="26.4">
      <c r="W5297" s="64" ph="1"/>
    </row>
    <row r="5298" spans="23:23" ht="26.4">
      <c r="W5298" s="64" ph="1"/>
    </row>
    <row r="5299" spans="23:23" ht="26.4">
      <c r="W5299" s="64" ph="1"/>
    </row>
    <row r="5300" spans="23:23" ht="26.4">
      <c r="W5300" s="64" ph="1"/>
    </row>
    <row r="5301" spans="23:23" ht="26.4">
      <c r="W5301" s="64" ph="1"/>
    </row>
    <row r="5302" spans="23:23" ht="26.4">
      <c r="W5302" s="64" ph="1"/>
    </row>
    <row r="5303" spans="23:23" ht="26.4">
      <c r="W5303" s="64" ph="1"/>
    </row>
    <row r="5304" spans="23:23" ht="26.4">
      <c r="W5304" s="64" ph="1"/>
    </row>
    <row r="5305" spans="23:23" ht="26.4">
      <c r="W5305" s="64" ph="1"/>
    </row>
    <row r="5306" spans="23:23" ht="26.4">
      <c r="W5306" s="64" ph="1"/>
    </row>
    <row r="5307" spans="23:23" ht="26.4">
      <c r="W5307" s="64" ph="1"/>
    </row>
    <row r="5308" spans="23:23" ht="26.4">
      <c r="W5308" s="64" ph="1"/>
    </row>
    <row r="5309" spans="23:23" ht="26.4">
      <c r="W5309" s="64" ph="1"/>
    </row>
    <row r="5310" spans="23:23" ht="26.4">
      <c r="W5310" s="64" ph="1"/>
    </row>
    <row r="5311" spans="23:23" ht="26.4">
      <c r="W5311" s="64" ph="1"/>
    </row>
    <row r="5312" spans="23:23" ht="26.4">
      <c r="W5312" s="64" ph="1"/>
    </row>
    <row r="5313" spans="23:23" ht="26.4">
      <c r="W5313" s="64" ph="1"/>
    </row>
    <row r="5314" spans="23:23" ht="26.4">
      <c r="W5314" s="64" ph="1"/>
    </row>
    <row r="5315" spans="23:23" ht="26.4">
      <c r="W5315" s="64" ph="1"/>
    </row>
    <row r="5316" spans="23:23" ht="26.4">
      <c r="W5316" s="64" ph="1"/>
    </row>
    <row r="5317" spans="23:23" ht="26.4">
      <c r="W5317" s="64" ph="1"/>
    </row>
    <row r="5318" spans="23:23" ht="26.4">
      <c r="W5318" s="64" ph="1"/>
    </row>
    <row r="5319" spans="23:23" ht="26.4">
      <c r="W5319" s="64" ph="1"/>
    </row>
    <row r="5320" spans="23:23" ht="26.4">
      <c r="W5320" s="64" ph="1"/>
    </row>
    <row r="5321" spans="23:23" ht="26.4">
      <c r="W5321" s="64" ph="1"/>
    </row>
    <row r="5322" spans="23:23" ht="26.4">
      <c r="W5322" s="64" ph="1"/>
    </row>
    <row r="5323" spans="23:23" ht="26.4">
      <c r="W5323" s="64" ph="1"/>
    </row>
    <row r="5324" spans="23:23" ht="26.4">
      <c r="W5324" s="64" ph="1"/>
    </row>
    <row r="5325" spans="23:23" ht="26.4">
      <c r="W5325" s="64" ph="1"/>
    </row>
    <row r="5326" spans="23:23" ht="26.4">
      <c r="W5326" s="64" ph="1"/>
    </row>
    <row r="5327" spans="23:23" ht="26.4">
      <c r="W5327" s="64" ph="1"/>
    </row>
    <row r="5328" spans="23:23" ht="26.4">
      <c r="W5328" s="64" ph="1"/>
    </row>
    <row r="5329" spans="23:23" ht="26.4">
      <c r="W5329" s="64" ph="1"/>
    </row>
    <row r="5330" spans="23:23" ht="26.4">
      <c r="W5330" s="64" ph="1"/>
    </row>
    <row r="5331" spans="23:23" ht="26.4">
      <c r="W5331" s="64" ph="1"/>
    </row>
    <row r="5332" spans="23:23" ht="26.4">
      <c r="W5332" s="64" ph="1"/>
    </row>
    <row r="5333" spans="23:23" ht="26.4">
      <c r="W5333" s="64" ph="1"/>
    </row>
    <row r="5334" spans="23:23" ht="26.4">
      <c r="W5334" s="64" ph="1"/>
    </row>
    <row r="5335" spans="23:23" ht="26.4">
      <c r="W5335" s="64" ph="1"/>
    </row>
    <row r="5336" spans="23:23" ht="26.4">
      <c r="W5336" s="64" ph="1"/>
    </row>
    <row r="5337" spans="23:23" ht="26.4">
      <c r="W5337" s="64" ph="1"/>
    </row>
    <row r="5338" spans="23:23" ht="26.4">
      <c r="W5338" s="64" ph="1"/>
    </row>
    <row r="5339" spans="23:23" ht="26.4">
      <c r="W5339" s="64" ph="1"/>
    </row>
    <row r="5340" spans="23:23" ht="26.4">
      <c r="W5340" s="64" ph="1"/>
    </row>
    <row r="5341" spans="23:23" ht="26.4">
      <c r="W5341" s="64" ph="1"/>
    </row>
    <row r="5342" spans="23:23" ht="26.4">
      <c r="W5342" s="64" ph="1"/>
    </row>
    <row r="5343" spans="23:23" ht="26.4">
      <c r="W5343" s="64" ph="1"/>
    </row>
    <row r="5344" spans="23:23" ht="26.4">
      <c r="W5344" s="64" ph="1"/>
    </row>
    <row r="5345" spans="23:23" ht="26.4">
      <c r="W5345" s="64" ph="1"/>
    </row>
    <row r="5346" spans="23:23" ht="26.4">
      <c r="W5346" s="64" ph="1"/>
    </row>
    <row r="5347" spans="23:23" ht="26.4">
      <c r="W5347" s="64" ph="1"/>
    </row>
    <row r="5348" spans="23:23" ht="26.4">
      <c r="W5348" s="64" ph="1"/>
    </row>
    <row r="5349" spans="23:23" ht="26.4">
      <c r="W5349" s="64" ph="1"/>
    </row>
    <row r="5350" spans="23:23" ht="26.4">
      <c r="W5350" s="64" ph="1"/>
    </row>
    <row r="5351" spans="23:23" ht="26.4">
      <c r="W5351" s="64" ph="1"/>
    </row>
    <row r="5352" spans="23:23" ht="26.4">
      <c r="W5352" s="64" ph="1"/>
    </row>
    <row r="5353" spans="23:23" ht="26.4">
      <c r="W5353" s="64" ph="1"/>
    </row>
    <row r="5354" spans="23:23" ht="26.4">
      <c r="W5354" s="64" ph="1"/>
    </row>
    <row r="5355" spans="23:23" ht="26.4">
      <c r="W5355" s="64" ph="1"/>
    </row>
    <row r="5356" spans="23:23" ht="26.4">
      <c r="W5356" s="64" ph="1"/>
    </row>
    <row r="5357" spans="23:23" ht="26.4">
      <c r="W5357" s="64" ph="1"/>
    </row>
    <row r="5358" spans="23:23" ht="26.4">
      <c r="W5358" s="64" ph="1"/>
    </row>
    <row r="5359" spans="23:23" ht="26.4">
      <c r="W5359" s="64" ph="1"/>
    </row>
    <row r="5360" spans="23:23" ht="26.4">
      <c r="W5360" s="64" ph="1"/>
    </row>
    <row r="5361" spans="23:23" ht="26.4">
      <c r="W5361" s="64" ph="1"/>
    </row>
    <row r="5362" spans="23:23" ht="26.4">
      <c r="W5362" s="64" ph="1"/>
    </row>
    <row r="5363" spans="23:23" ht="26.4">
      <c r="W5363" s="64" ph="1"/>
    </row>
    <row r="5364" spans="23:23" ht="26.4">
      <c r="W5364" s="64" ph="1"/>
    </row>
    <row r="5365" spans="23:23" ht="26.4">
      <c r="W5365" s="64" ph="1"/>
    </row>
    <row r="5366" spans="23:23" ht="26.4">
      <c r="W5366" s="64" ph="1"/>
    </row>
    <row r="5367" spans="23:23" ht="26.4">
      <c r="W5367" s="64" ph="1"/>
    </row>
    <row r="5368" spans="23:23" ht="26.4">
      <c r="W5368" s="64" ph="1"/>
    </row>
    <row r="5369" spans="23:23" ht="26.4">
      <c r="W5369" s="64" ph="1"/>
    </row>
    <row r="5370" spans="23:23" ht="26.4">
      <c r="W5370" s="64" ph="1"/>
    </row>
    <row r="5371" spans="23:23" ht="26.4">
      <c r="W5371" s="64" ph="1"/>
    </row>
    <row r="5372" spans="23:23" ht="26.4">
      <c r="W5372" s="64" ph="1"/>
    </row>
    <row r="5373" spans="23:23" ht="26.4">
      <c r="W5373" s="64" ph="1"/>
    </row>
    <row r="5374" spans="23:23" ht="26.4">
      <c r="W5374" s="64" ph="1"/>
    </row>
    <row r="5375" spans="23:23" ht="26.4">
      <c r="W5375" s="64" ph="1"/>
    </row>
    <row r="5376" spans="23:23" ht="26.4">
      <c r="W5376" s="64" ph="1"/>
    </row>
    <row r="5377" spans="23:23" ht="26.4">
      <c r="W5377" s="64" ph="1"/>
    </row>
    <row r="5378" spans="23:23" ht="26.4">
      <c r="W5378" s="64" ph="1"/>
    </row>
    <row r="5379" spans="23:23" ht="26.4">
      <c r="W5379" s="64" ph="1"/>
    </row>
    <row r="5380" spans="23:23" ht="26.4">
      <c r="W5380" s="64" ph="1"/>
    </row>
    <row r="5381" spans="23:23" ht="26.4">
      <c r="W5381" s="64" ph="1"/>
    </row>
    <row r="5382" spans="23:23" ht="26.4">
      <c r="W5382" s="64" ph="1"/>
    </row>
    <row r="5383" spans="23:23" ht="26.4">
      <c r="W5383" s="64" ph="1"/>
    </row>
    <row r="5384" spans="23:23" ht="26.4">
      <c r="W5384" s="64" ph="1"/>
    </row>
    <row r="5385" spans="23:23" ht="26.4">
      <c r="W5385" s="64" ph="1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2">
    <tabColor rgb="FFFFC000"/>
  </sheetPr>
  <dimension ref="A1:AU2604"/>
  <sheetViews>
    <sheetView workbookViewId="0">
      <selection activeCell="I39" sqref="I39"/>
    </sheetView>
  </sheetViews>
  <sheetFormatPr defaultColWidth="9.125" defaultRowHeight="16.2"/>
  <cols>
    <col min="1" max="1" width="5.75" style="150" customWidth="1"/>
    <col min="2" max="5" width="5.75" style="97" customWidth="1"/>
    <col min="6" max="6" width="8.75" style="66" customWidth="1"/>
    <col min="7" max="7" width="7.75" style="20" customWidth="1"/>
    <col min="8" max="8" width="5.75" style="13" customWidth="1"/>
    <col min="9" max="9" width="9.75" style="10" customWidth="1"/>
    <col min="10" max="10" width="6.75" style="32" customWidth="1"/>
    <col min="11" max="11" width="6.75" style="367" customWidth="1"/>
    <col min="12" max="12" width="6.75" style="77" customWidth="1"/>
    <col min="13" max="13" width="6.75" style="365" customWidth="1"/>
    <col min="14" max="14" width="7.75" style="367" customWidth="1"/>
    <col min="15" max="15" width="7.75" style="343" customWidth="1"/>
    <col min="16" max="16" width="5.75" style="232" customWidth="1"/>
    <col min="17" max="17" width="4.75" style="326" customWidth="1"/>
    <col min="18" max="18" width="4.75" style="111" customWidth="1"/>
    <col min="19" max="19" width="4.75" style="51" customWidth="1"/>
    <col min="20" max="20" width="5.75" style="339" customWidth="1"/>
    <col min="21" max="21" width="2.75" style="329" customWidth="1"/>
    <col min="22" max="22" width="6.75" style="371" customWidth="1"/>
    <col min="23" max="23" width="7.75" style="90" customWidth="1"/>
    <col min="24" max="24" width="7.75" style="240" customWidth="1"/>
    <col min="25" max="25" width="9.75" style="285" customWidth="1"/>
    <col min="26" max="26" width="9.75" style="72" customWidth="1"/>
    <col min="27" max="27" width="9.75" style="61" customWidth="1"/>
    <col min="28" max="28" width="8.75" style="12" customWidth="1"/>
    <col min="29" max="29" width="6.75" style="139" customWidth="1"/>
    <col min="30" max="30" width="8.75" style="10" customWidth="1"/>
    <col min="31" max="31" width="11.75" style="89" customWidth="1"/>
    <col min="32" max="32" width="11.75" style="88" customWidth="1"/>
    <col min="33" max="33" width="4.75" style="82" customWidth="1"/>
    <col min="34" max="34" width="3.75" style="147" customWidth="1"/>
    <col min="35" max="35" width="3.75" style="131" customWidth="1"/>
    <col min="36" max="36" width="13.75" style="284" customWidth="1"/>
    <col min="37" max="16384" width="9.125" style="284"/>
  </cols>
  <sheetData>
    <row r="1" spans="1:42" s="288" customFormat="1">
      <c r="A1" s="135" t="s">
        <v>2552</v>
      </c>
      <c r="B1" s="96" t="s">
        <v>2331</v>
      </c>
      <c r="C1" s="96" t="s">
        <v>2332</v>
      </c>
      <c r="D1" s="96" t="s">
        <v>2333</v>
      </c>
      <c r="E1" s="96" t="s">
        <v>2334</v>
      </c>
      <c r="F1" s="9" t="s">
        <v>1709</v>
      </c>
      <c r="G1" s="27" t="s">
        <v>5626</v>
      </c>
      <c r="H1" s="56" t="s">
        <v>578</v>
      </c>
      <c r="I1" s="1" t="s">
        <v>131</v>
      </c>
      <c r="J1" s="364" t="s">
        <v>2189</v>
      </c>
      <c r="K1" s="364" t="s">
        <v>1820</v>
      </c>
      <c r="L1" s="364" t="s">
        <v>515</v>
      </c>
      <c r="M1" s="364" t="s">
        <v>1699</v>
      </c>
      <c r="N1" s="364" t="s">
        <v>6633</v>
      </c>
      <c r="O1" s="343" t="s">
        <v>6634</v>
      </c>
      <c r="P1" s="83" t="s">
        <v>5279</v>
      </c>
      <c r="Q1" s="326" t="s">
        <v>5514</v>
      </c>
      <c r="R1" s="31" t="s">
        <v>6596</v>
      </c>
      <c r="S1" s="51" t="s">
        <v>6597</v>
      </c>
      <c r="T1" s="338" t="s">
        <v>5627</v>
      </c>
      <c r="U1" s="330" t="s">
        <v>6537</v>
      </c>
      <c r="V1" s="377" t="s">
        <v>6616</v>
      </c>
      <c r="W1" s="15" t="s">
        <v>127</v>
      </c>
      <c r="X1" s="71" t="s">
        <v>6626</v>
      </c>
      <c r="Y1" s="29" t="s">
        <v>6688</v>
      </c>
      <c r="Z1" s="18" t="s">
        <v>2113</v>
      </c>
      <c r="AA1" s="15" t="s">
        <v>3598</v>
      </c>
      <c r="AB1" s="22" t="s">
        <v>2199</v>
      </c>
      <c r="AC1" s="26" t="s">
        <v>211</v>
      </c>
      <c r="AD1" s="1" t="s">
        <v>131</v>
      </c>
      <c r="AE1" s="75" t="s">
        <v>2114</v>
      </c>
      <c r="AF1" s="76" t="s">
        <v>1826</v>
      </c>
      <c r="AG1" s="33" t="s">
        <v>1827</v>
      </c>
      <c r="AH1" s="147"/>
      <c r="AI1" s="173"/>
    </row>
    <row r="2" spans="1:42">
      <c r="A2" s="151"/>
      <c r="B2" s="84"/>
      <c r="C2" s="84"/>
      <c r="D2" s="85"/>
      <c r="E2" s="84"/>
      <c r="F2" s="7"/>
      <c r="G2" s="58"/>
      <c r="H2" s="31"/>
      <c r="I2" s="23"/>
      <c r="J2" s="77"/>
      <c r="K2" s="77"/>
      <c r="N2" s="365"/>
      <c r="W2" s="35"/>
      <c r="X2" s="59"/>
      <c r="Y2" s="37"/>
      <c r="Z2" s="242"/>
      <c r="AA2" s="16"/>
      <c r="AB2" s="3"/>
      <c r="AC2" s="107"/>
      <c r="AD2" s="23"/>
      <c r="AG2" s="34"/>
      <c r="AH2" s="42"/>
      <c r="AJ2" s="264"/>
      <c r="AK2" s="58"/>
      <c r="AL2" s="23"/>
      <c r="AM2" s="228"/>
      <c r="AN2" s="272"/>
      <c r="AO2" s="290"/>
      <c r="AP2" s="293"/>
    </row>
    <row r="3" spans="1:42" s="288" customFormat="1">
      <c r="A3" s="150"/>
      <c r="B3" s="84"/>
      <c r="C3" s="84"/>
      <c r="D3" s="84"/>
      <c r="E3" s="84"/>
      <c r="F3" s="7"/>
      <c r="G3" s="42"/>
      <c r="H3" s="9"/>
      <c r="I3" s="163"/>
      <c r="J3" s="371"/>
      <c r="K3" s="371"/>
      <c r="L3" s="371"/>
      <c r="M3" s="365"/>
      <c r="N3" s="365"/>
      <c r="O3" s="343"/>
      <c r="P3" s="229"/>
      <c r="Q3" s="326"/>
      <c r="R3" s="111"/>
      <c r="S3" s="51"/>
      <c r="T3" s="339"/>
      <c r="U3" s="329"/>
      <c r="V3" s="371"/>
      <c r="W3" s="205"/>
      <c r="X3" s="100"/>
      <c r="Y3" s="175">
        <f>SUM(Y2)</f>
        <v>0</v>
      </c>
      <c r="Z3" s="165">
        <f>SUM(Z2)</f>
        <v>0</v>
      </c>
      <c r="AA3" s="172">
        <f>Y3-Z3</f>
        <v>0</v>
      </c>
      <c r="AB3" s="174" t="e">
        <f>AA3/Z3</f>
        <v>#DIV/0!</v>
      </c>
      <c r="AC3" s="121"/>
      <c r="AD3" s="163">
        <f>Y3*(0.001425*0.5)+Y3*0.003+Z3*(0.001425*0.5)</f>
        <v>0</v>
      </c>
      <c r="AE3" s="7">
        <f>AA3-AD3</f>
        <v>0</v>
      </c>
      <c r="AF3" s="88"/>
      <c r="AG3" s="34"/>
      <c r="AH3" s="42" t="s">
        <v>1790</v>
      </c>
      <c r="AI3" s="173"/>
    </row>
    <row r="4" spans="1:42" s="288" customFormat="1">
      <c r="A4" s="150"/>
      <c r="B4" s="84"/>
      <c r="C4" s="84"/>
      <c r="D4" s="84"/>
      <c r="E4" s="84"/>
      <c r="F4" s="7"/>
      <c r="G4" s="42"/>
      <c r="H4" s="9"/>
      <c r="I4" s="163"/>
      <c r="J4" s="371"/>
      <c r="K4" s="371"/>
      <c r="L4" s="371"/>
      <c r="M4" s="365"/>
      <c r="N4" s="365"/>
      <c r="O4" s="343"/>
      <c r="P4" s="229"/>
      <c r="Q4" s="326"/>
      <c r="R4" s="111"/>
      <c r="S4" s="51"/>
      <c r="T4" s="339"/>
      <c r="U4" s="329"/>
      <c r="V4" s="371"/>
      <c r="W4" s="205"/>
      <c r="X4" s="100"/>
      <c r="Y4" s="175"/>
      <c r="Z4" s="165"/>
      <c r="AA4" s="172"/>
      <c r="AB4" s="174"/>
      <c r="AC4" s="121"/>
      <c r="AD4" s="163"/>
      <c r="AE4" s="7"/>
      <c r="AF4" s="88"/>
      <c r="AG4" s="34"/>
      <c r="AH4" s="42"/>
      <c r="AI4" s="173"/>
    </row>
    <row r="5" spans="1:42" s="288" customFormat="1">
      <c r="A5" s="135" t="s">
        <v>2552</v>
      </c>
      <c r="B5" s="96" t="s">
        <v>2331</v>
      </c>
      <c r="C5" s="96" t="s">
        <v>2332</v>
      </c>
      <c r="D5" s="96" t="s">
        <v>2333</v>
      </c>
      <c r="E5" s="96" t="s">
        <v>2334</v>
      </c>
      <c r="F5" s="9" t="s">
        <v>1709</v>
      </c>
      <c r="G5" s="27" t="s">
        <v>5626</v>
      </c>
      <c r="H5" s="56" t="s">
        <v>578</v>
      </c>
      <c r="I5" s="1" t="s">
        <v>131</v>
      </c>
      <c r="J5" s="364" t="s">
        <v>2189</v>
      </c>
      <c r="K5" s="364" t="s">
        <v>1820</v>
      </c>
      <c r="L5" s="364" t="s">
        <v>515</v>
      </c>
      <c r="M5" s="364" t="s">
        <v>1699</v>
      </c>
      <c r="N5" s="364" t="s">
        <v>6633</v>
      </c>
      <c r="O5" s="343" t="s">
        <v>6634</v>
      </c>
      <c r="P5" s="83" t="s">
        <v>5279</v>
      </c>
      <c r="Q5" s="326" t="s">
        <v>5514</v>
      </c>
      <c r="R5" s="31" t="s">
        <v>6596</v>
      </c>
      <c r="S5" s="51" t="s">
        <v>6597</v>
      </c>
      <c r="T5" s="338" t="s">
        <v>5627</v>
      </c>
      <c r="U5" s="330" t="s">
        <v>6537</v>
      </c>
      <c r="V5" s="377" t="s">
        <v>6616</v>
      </c>
      <c r="W5" s="15" t="s">
        <v>127</v>
      </c>
      <c r="X5" s="71" t="s">
        <v>6626</v>
      </c>
      <c r="Y5" s="29" t="s">
        <v>6688</v>
      </c>
      <c r="Z5" s="18" t="s">
        <v>2113</v>
      </c>
      <c r="AA5" s="15" t="s">
        <v>3598</v>
      </c>
      <c r="AB5" s="22" t="s">
        <v>2199</v>
      </c>
      <c r="AC5" s="26" t="s">
        <v>211</v>
      </c>
      <c r="AD5" s="1" t="s">
        <v>131</v>
      </c>
      <c r="AE5" s="75" t="s">
        <v>2114</v>
      </c>
      <c r="AF5" s="76" t="s">
        <v>1826</v>
      </c>
      <c r="AG5" s="33" t="s">
        <v>1827</v>
      </c>
      <c r="AH5" s="147"/>
      <c r="AI5" s="173"/>
    </row>
    <row r="6" spans="1:42">
      <c r="A6" s="151"/>
      <c r="B6" s="84"/>
      <c r="C6" s="84"/>
      <c r="D6" s="85"/>
      <c r="E6" s="84"/>
      <c r="F6" s="7"/>
      <c r="G6" s="58"/>
      <c r="H6" s="31"/>
      <c r="I6" s="23"/>
      <c r="J6" s="77"/>
      <c r="K6" s="77"/>
      <c r="N6" s="365"/>
      <c r="W6" s="35"/>
      <c r="X6" s="59"/>
      <c r="Y6" s="37"/>
      <c r="Z6" s="242"/>
      <c r="AA6" s="16"/>
      <c r="AB6" s="3"/>
      <c r="AC6" s="107"/>
      <c r="AD6" s="23"/>
      <c r="AG6" s="34"/>
      <c r="AH6" s="42"/>
      <c r="AJ6" s="264"/>
      <c r="AK6" s="58"/>
      <c r="AL6" s="23"/>
      <c r="AM6" s="228"/>
      <c r="AN6" s="272"/>
      <c r="AO6" s="290"/>
      <c r="AP6" s="293"/>
    </row>
    <row r="7" spans="1:42" s="288" customFormat="1">
      <c r="A7" s="150"/>
      <c r="B7" s="84"/>
      <c r="C7" s="84"/>
      <c r="D7" s="84"/>
      <c r="E7" s="84"/>
      <c r="F7" s="7"/>
      <c r="G7" s="42"/>
      <c r="H7" s="9"/>
      <c r="I7" s="163"/>
      <c r="J7" s="371"/>
      <c r="K7" s="371"/>
      <c r="L7" s="371"/>
      <c r="M7" s="365"/>
      <c r="N7" s="365"/>
      <c r="O7" s="343"/>
      <c r="P7" s="229"/>
      <c r="Q7" s="326"/>
      <c r="R7" s="111"/>
      <c r="S7" s="51"/>
      <c r="T7" s="339"/>
      <c r="U7" s="329"/>
      <c r="V7" s="371"/>
      <c r="W7" s="205"/>
      <c r="X7" s="100"/>
      <c r="Y7" s="175">
        <f>SUM(Y6)</f>
        <v>0</v>
      </c>
      <c r="Z7" s="165">
        <f>SUM(Z6)</f>
        <v>0</v>
      </c>
      <c r="AA7" s="172">
        <f>Y7-Z7</f>
        <v>0</v>
      </c>
      <c r="AB7" s="174" t="e">
        <f>AA7/Z7</f>
        <v>#DIV/0!</v>
      </c>
      <c r="AC7" s="121"/>
      <c r="AD7" s="163">
        <f>Y7*(0.001425*0.5)+Y7*0.003+Z7*(0.001425*0.5)</f>
        <v>0</v>
      </c>
      <c r="AE7" s="7">
        <f>AA7-AD7</f>
        <v>0</v>
      </c>
      <c r="AF7" s="88"/>
      <c r="AG7" s="34"/>
      <c r="AH7" s="42" t="s">
        <v>1790</v>
      </c>
      <c r="AI7" s="173"/>
    </row>
    <row r="8" spans="1:42" s="288" customFormat="1">
      <c r="A8" s="150"/>
      <c r="B8" s="84"/>
      <c r="C8" s="84"/>
      <c r="D8" s="84"/>
      <c r="E8" s="84"/>
      <c r="F8" s="7"/>
      <c r="G8" s="42"/>
      <c r="H8" s="9"/>
      <c r="I8" s="163"/>
      <c r="J8" s="371"/>
      <c r="K8" s="371"/>
      <c r="L8" s="371"/>
      <c r="M8" s="365"/>
      <c r="N8" s="365"/>
      <c r="O8" s="343"/>
      <c r="P8" s="229"/>
      <c r="Q8" s="326"/>
      <c r="R8" s="111"/>
      <c r="S8" s="51"/>
      <c r="T8" s="339"/>
      <c r="U8" s="329"/>
      <c r="V8" s="371"/>
      <c r="W8" s="205"/>
      <c r="X8" s="100"/>
      <c r="Y8" s="175"/>
      <c r="Z8" s="165"/>
      <c r="AA8" s="172"/>
      <c r="AB8" s="174"/>
      <c r="AC8" s="121"/>
      <c r="AD8" s="163"/>
      <c r="AE8" s="7"/>
      <c r="AF8" s="88"/>
      <c r="AG8" s="34"/>
      <c r="AH8" s="42"/>
      <c r="AI8" s="173"/>
    </row>
    <row r="9" spans="1:42" s="288" customFormat="1">
      <c r="A9" s="135" t="s">
        <v>2552</v>
      </c>
      <c r="B9" s="96" t="s">
        <v>2331</v>
      </c>
      <c r="C9" s="96" t="s">
        <v>2332</v>
      </c>
      <c r="D9" s="96" t="s">
        <v>2333</v>
      </c>
      <c r="E9" s="96" t="s">
        <v>2334</v>
      </c>
      <c r="F9" s="9" t="s">
        <v>1709</v>
      </c>
      <c r="G9" s="27" t="s">
        <v>5626</v>
      </c>
      <c r="H9" s="56" t="s">
        <v>578</v>
      </c>
      <c r="I9" s="1" t="s">
        <v>3593</v>
      </c>
      <c r="J9" s="364" t="s">
        <v>2189</v>
      </c>
      <c r="K9" s="364" t="s">
        <v>1820</v>
      </c>
      <c r="L9" s="364" t="s">
        <v>515</v>
      </c>
      <c r="M9" s="364" t="s">
        <v>1699</v>
      </c>
      <c r="N9" s="364" t="s">
        <v>6633</v>
      </c>
      <c r="O9" s="343" t="s">
        <v>6634</v>
      </c>
      <c r="P9" s="83" t="s">
        <v>5279</v>
      </c>
      <c r="Q9" s="326" t="s">
        <v>5514</v>
      </c>
      <c r="R9" s="31" t="s">
        <v>6596</v>
      </c>
      <c r="S9" s="51" t="s">
        <v>6597</v>
      </c>
      <c r="T9" s="338" t="s">
        <v>5627</v>
      </c>
      <c r="U9" s="330" t="s">
        <v>6537</v>
      </c>
      <c r="V9" s="377" t="s">
        <v>6616</v>
      </c>
      <c r="W9" s="15" t="s">
        <v>127</v>
      </c>
      <c r="X9" s="71" t="s">
        <v>6626</v>
      </c>
      <c r="Y9" s="29" t="s">
        <v>6688</v>
      </c>
      <c r="Z9" s="18" t="s">
        <v>2113</v>
      </c>
      <c r="AA9" s="15" t="s">
        <v>3598</v>
      </c>
      <c r="AB9" s="22" t="s">
        <v>2199</v>
      </c>
      <c r="AC9" s="26" t="s">
        <v>211</v>
      </c>
      <c r="AD9" s="1" t="s">
        <v>3593</v>
      </c>
      <c r="AE9" s="75" t="s">
        <v>2114</v>
      </c>
      <c r="AF9" s="76" t="s">
        <v>1826</v>
      </c>
      <c r="AG9" s="33" t="s">
        <v>1827</v>
      </c>
      <c r="AH9" s="147"/>
      <c r="AI9" s="173"/>
    </row>
    <row r="10" spans="1:42">
      <c r="A10" s="135" t="s">
        <v>3401</v>
      </c>
      <c r="B10" s="84">
        <v>66</v>
      </c>
      <c r="C10" s="84">
        <v>44</v>
      </c>
      <c r="D10" s="85">
        <v>-10</v>
      </c>
      <c r="E10" s="84">
        <v>89</v>
      </c>
      <c r="F10" s="59">
        <v>38.4</v>
      </c>
      <c r="G10" s="42" t="s">
        <v>1151</v>
      </c>
      <c r="H10" s="51" t="s">
        <v>2120</v>
      </c>
      <c r="I10" s="17" t="s">
        <v>1152</v>
      </c>
      <c r="J10" s="371">
        <v>63.59</v>
      </c>
      <c r="K10" s="371">
        <v>1.88</v>
      </c>
      <c r="L10" s="77">
        <v>7.09</v>
      </c>
      <c r="N10" s="365">
        <f t="shared" ref="N10" si="0">K10+J10+L10</f>
        <v>72.56</v>
      </c>
      <c r="R10" s="111">
        <v>5</v>
      </c>
      <c r="V10" s="371">
        <v>0</v>
      </c>
      <c r="W10" s="69">
        <v>4</v>
      </c>
      <c r="X10" s="59">
        <v>15.43</v>
      </c>
      <c r="Y10" s="37" t="str">
        <f>RTD("money.excel",,"6523","Price")</f>
        <v>無資料</v>
      </c>
      <c r="Z10" s="242">
        <f>77-4-4-5.22</f>
        <v>63.78</v>
      </c>
      <c r="AA10" s="16" t="e">
        <f t="shared" ref="AA10:AA13" si="1">Y10-Z10</f>
        <v>#VALUE!</v>
      </c>
      <c r="AB10" s="164" t="e">
        <f t="shared" ref="AB10:AB13" si="2">AA10/Z10</f>
        <v>#VALUE!</v>
      </c>
      <c r="AC10" s="149" t="s">
        <v>2929</v>
      </c>
      <c r="AD10" s="17" t="s">
        <v>1152</v>
      </c>
      <c r="AE10" s="89">
        <v>44329</v>
      </c>
      <c r="AG10" s="34">
        <f>AF10-AE10</f>
        <v>-44329</v>
      </c>
      <c r="AH10" s="135" t="s">
        <v>1790</v>
      </c>
      <c r="AI10" s="237"/>
      <c r="AJ10" s="238"/>
    </row>
    <row r="11" spans="1:42">
      <c r="A11" s="135" t="s">
        <v>3401</v>
      </c>
      <c r="B11" s="84">
        <v>66</v>
      </c>
      <c r="C11" s="84">
        <v>44</v>
      </c>
      <c r="D11" s="85">
        <v>-10</v>
      </c>
      <c r="E11" s="84">
        <v>89</v>
      </c>
      <c r="F11" s="59">
        <v>38.4</v>
      </c>
      <c r="G11" s="42" t="s">
        <v>1151</v>
      </c>
      <c r="H11" s="51" t="s">
        <v>2120</v>
      </c>
      <c r="I11" s="17" t="s">
        <v>1152</v>
      </c>
      <c r="J11" s="371">
        <v>63.59</v>
      </c>
      <c r="K11" s="371">
        <v>1.88</v>
      </c>
      <c r="L11" s="77">
        <v>7.09</v>
      </c>
      <c r="N11" s="365">
        <f t="shared" ref="N11:N13" si="3">K11+J11+L11</f>
        <v>72.56</v>
      </c>
      <c r="R11" s="111">
        <v>5</v>
      </c>
      <c r="V11" s="371">
        <v>0</v>
      </c>
      <c r="W11" s="69">
        <v>4</v>
      </c>
      <c r="X11" s="59">
        <v>15.43</v>
      </c>
      <c r="Y11" s="37" t="str">
        <f>RTD("money.excel",,"6523","Price")</f>
        <v>無資料</v>
      </c>
      <c r="Z11" s="242">
        <f>76.5-4-4-5.22</f>
        <v>63.28</v>
      </c>
      <c r="AA11" s="16" t="e">
        <f t="shared" si="1"/>
        <v>#VALUE!</v>
      </c>
      <c r="AB11" s="164" t="e">
        <f t="shared" si="2"/>
        <v>#VALUE!</v>
      </c>
      <c r="AC11" s="149" t="s">
        <v>2929</v>
      </c>
      <c r="AD11" s="17" t="s">
        <v>1152</v>
      </c>
      <c r="AE11" s="89">
        <v>44314</v>
      </c>
      <c r="AG11" s="34">
        <f>AF11-AE11</f>
        <v>-44314</v>
      </c>
      <c r="AH11" s="135" t="s">
        <v>1790</v>
      </c>
      <c r="AI11" s="135" t="s">
        <v>2243</v>
      </c>
      <c r="AJ11" s="238"/>
    </row>
    <row r="12" spans="1:42">
      <c r="A12" s="135" t="s">
        <v>3401</v>
      </c>
      <c r="B12" s="84">
        <v>66</v>
      </c>
      <c r="C12" s="84">
        <v>44</v>
      </c>
      <c r="D12" s="85">
        <v>-10</v>
      </c>
      <c r="E12" s="84">
        <v>89</v>
      </c>
      <c r="F12" s="59">
        <v>38.4</v>
      </c>
      <c r="G12" s="42" t="s">
        <v>1151</v>
      </c>
      <c r="H12" s="31" t="s">
        <v>2191</v>
      </c>
      <c r="I12" s="17" t="s">
        <v>1152</v>
      </c>
      <c r="J12" s="371">
        <v>63.59</v>
      </c>
      <c r="K12" s="371">
        <v>1.88</v>
      </c>
      <c r="L12" s="77">
        <v>7.09</v>
      </c>
      <c r="N12" s="365">
        <f t="shared" si="3"/>
        <v>72.56</v>
      </c>
      <c r="R12" s="111">
        <v>5</v>
      </c>
      <c r="V12" s="371">
        <v>0</v>
      </c>
      <c r="W12" s="69">
        <v>4</v>
      </c>
      <c r="X12" s="59">
        <v>15.43</v>
      </c>
      <c r="Y12" s="37" t="str">
        <f>RTD("money.excel",,"6523","Price")</f>
        <v>無資料</v>
      </c>
      <c r="Z12" s="242">
        <f>77-4-4-5.22</f>
        <v>63.78</v>
      </c>
      <c r="AA12" s="16" t="e">
        <f t="shared" si="1"/>
        <v>#VALUE!</v>
      </c>
      <c r="AB12" s="164" t="e">
        <f t="shared" si="2"/>
        <v>#VALUE!</v>
      </c>
      <c r="AC12" s="149" t="s">
        <v>2929</v>
      </c>
      <c r="AD12" s="17" t="s">
        <v>1152</v>
      </c>
      <c r="AE12" s="89">
        <v>44329</v>
      </c>
      <c r="AG12" s="34">
        <f>AF12-AE12</f>
        <v>-44329</v>
      </c>
      <c r="AH12" s="42" t="s">
        <v>1790</v>
      </c>
      <c r="AI12" s="237"/>
      <c r="AJ12" s="238"/>
    </row>
    <row r="13" spans="1:42">
      <c r="A13" s="135" t="s">
        <v>3401</v>
      </c>
      <c r="B13" s="84">
        <v>66</v>
      </c>
      <c r="C13" s="84">
        <v>44</v>
      </c>
      <c r="D13" s="85">
        <v>-10</v>
      </c>
      <c r="E13" s="84">
        <v>89</v>
      </c>
      <c r="F13" s="59">
        <v>38.4</v>
      </c>
      <c r="G13" s="42" t="s">
        <v>1151</v>
      </c>
      <c r="H13" s="31" t="s">
        <v>2191</v>
      </c>
      <c r="I13" s="17" t="s">
        <v>1152</v>
      </c>
      <c r="J13" s="371">
        <v>63.59</v>
      </c>
      <c r="K13" s="371">
        <v>1.88</v>
      </c>
      <c r="L13" s="77">
        <v>7.09</v>
      </c>
      <c r="N13" s="365">
        <f t="shared" si="3"/>
        <v>72.56</v>
      </c>
      <c r="O13" s="376"/>
      <c r="R13" s="111">
        <v>5</v>
      </c>
      <c r="V13" s="371">
        <v>0</v>
      </c>
      <c r="W13" s="69">
        <v>4</v>
      </c>
      <c r="X13" s="59">
        <v>15.43</v>
      </c>
      <c r="Y13" s="37" t="str">
        <f>RTD("money.excel",,"6523","Price")</f>
        <v>無資料</v>
      </c>
      <c r="Z13" s="242">
        <f>76.5-4-4-5.22</f>
        <v>63.28</v>
      </c>
      <c r="AA13" s="16" t="e">
        <f t="shared" si="1"/>
        <v>#VALUE!</v>
      </c>
      <c r="AB13" s="164" t="e">
        <f t="shared" si="2"/>
        <v>#VALUE!</v>
      </c>
      <c r="AC13" s="149" t="s">
        <v>2929</v>
      </c>
      <c r="AD13" s="17" t="s">
        <v>1152</v>
      </c>
      <c r="AE13" s="89">
        <v>44314</v>
      </c>
      <c r="AG13" s="34">
        <f>AF13-AE13</f>
        <v>-44314</v>
      </c>
      <c r="AH13" s="42" t="s">
        <v>1790</v>
      </c>
      <c r="AI13" s="42" t="s">
        <v>2243</v>
      </c>
      <c r="AJ13" s="238"/>
    </row>
    <row r="14" spans="1:42" s="288" customFormat="1">
      <c r="A14" s="150"/>
      <c r="B14" s="84"/>
      <c r="C14" s="84"/>
      <c r="D14" s="84"/>
      <c r="E14" s="84"/>
      <c r="F14" s="7"/>
      <c r="G14" s="42"/>
      <c r="H14" s="9"/>
      <c r="I14" s="163"/>
      <c r="J14" s="371"/>
      <c r="K14" s="371"/>
      <c r="L14" s="371"/>
      <c r="M14" s="365"/>
      <c r="N14" s="365"/>
      <c r="O14" s="343"/>
      <c r="P14" s="229"/>
      <c r="Q14" s="326"/>
      <c r="R14" s="111"/>
      <c r="S14" s="51"/>
      <c r="T14" s="339"/>
      <c r="U14" s="329"/>
      <c r="V14" s="371"/>
      <c r="W14" s="205"/>
      <c r="X14" s="100"/>
      <c r="Y14" s="175">
        <f>SUM(Y10:Y13)</f>
        <v>0</v>
      </c>
      <c r="Z14" s="165">
        <f>SUM(Z10:Z13)</f>
        <v>254.12</v>
      </c>
      <c r="AA14" s="172">
        <f>Y14-Z14</f>
        <v>-254.12</v>
      </c>
      <c r="AB14" s="323">
        <f>AA14/Z14</f>
        <v>-1</v>
      </c>
      <c r="AC14" s="121"/>
      <c r="AD14" s="163">
        <f>Y14*(0.001425*0.5)+Y14*0.003+Z14*(0.001425*0.5)</f>
        <v>0.18106050000000001</v>
      </c>
      <c r="AE14" s="7">
        <f>AA14-AD14</f>
        <v>-254.30106050000001</v>
      </c>
      <c r="AF14" s="88"/>
      <c r="AG14" s="34"/>
      <c r="AH14" s="42" t="s">
        <v>1792</v>
      </c>
      <c r="AI14" s="173"/>
    </row>
    <row r="15" spans="1:42" s="288" customFormat="1">
      <c r="A15" s="150"/>
      <c r="B15" s="84"/>
      <c r="C15" s="84"/>
      <c r="D15" s="84"/>
      <c r="E15" s="84"/>
      <c r="F15" s="7"/>
      <c r="G15" s="42"/>
      <c r="H15" s="9"/>
      <c r="I15" s="163"/>
      <c r="J15" s="371"/>
      <c r="K15" s="371"/>
      <c r="L15" s="371"/>
      <c r="M15" s="365"/>
      <c r="N15" s="365"/>
      <c r="O15" s="343"/>
      <c r="P15" s="229"/>
      <c r="Q15" s="326"/>
      <c r="R15" s="111"/>
      <c r="S15" s="51"/>
      <c r="T15" s="339"/>
      <c r="U15" s="329"/>
      <c r="V15" s="371"/>
      <c r="W15" s="205"/>
      <c r="X15" s="100"/>
      <c r="Y15" s="175"/>
      <c r="Z15" s="165"/>
      <c r="AA15" s="172"/>
      <c r="AB15" s="174"/>
      <c r="AC15" s="121"/>
      <c r="AD15" s="163"/>
      <c r="AE15" s="7"/>
      <c r="AF15" s="88"/>
      <c r="AG15" s="34"/>
      <c r="AH15" s="42"/>
      <c r="AI15" s="173"/>
    </row>
    <row r="16" spans="1:42" s="288" customFormat="1">
      <c r="A16" s="135" t="s">
        <v>2552</v>
      </c>
      <c r="B16" s="96" t="s">
        <v>2331</v>
      </c>
      <c r="C16" s="96" t="s">
        <v>2332</v>
      </c>
      <c r="D16" s="96" t="s">
        <v>2333</v>
      </c>
      <c r="E16" s="96" t="s">
        <v>2334</v>
      </c>
      <c r="F16" s="9" t="s">
        <v>1709</v>
      </c>
      <c r="G16" s="27" t="s">
        <v>5626</v>
      </c>
      <c r="H16" s="56" t="s">
        <v>578</v>
      </c>
      <c r="I16" s="1" t="s">
        <v>3593</v>
      </c>
      <c r="J16" s="364" t="s">
        <v>2189</v>
      </c>
      <c r="K16" s="364" t="s">
        <v>1820</v>
      </c>
      <c r="L16" s="364" t="s">
        <v>515</v>
      </c>
      <c r="M16" s="364" t="s">
        <v>1699</v>
      </c>
      <c r="N16" s="364" t="s">
        <v>6633</v>
      </c>
      <c r="O16" s="343" t="s">
        <v>6634</v>
      </c>
      <c r="P16" s="83" t="s">
        <v>5279</v>
      </c>
      <c r="Q16" s="326" t="s">
        <v>5514</v>
      </c>
      <c r="R16" s="31" t="s">
        <v>6596</v>
      </c>
      <c r="S16" s="51" t="s">
        <v>6597</v>
      </c>
      <c r="T16" s="338" t="s">
        <v>5627</v>
      </c>
      <c r="U16" s="330" t="s">
        <v>6537</v>
      </c>
      <c r="V16" s="377" t="s">
        <v>6616</v>
      </c>
      <c r="W16" s="15" t="s">
        <v>127</v>
      </c>
      <c r="X16" s="71" t="s">
        <v>6626</v>
      </c>
      <c r="Y16" s="29" t="s">
        <v>6688</v>
      </c>
      <c r="Z16" s="18" t="s">
        <v>2113</v>
      </c>
      <c r="AA16" s="15" t="s">
        <v>3598</v>
      </c>
      <c r="AB16" s="22" t="s">
        <v>2199</v>
      </c>
      <c r="AC16" s="26" t="s">
        <v>211</v>
      </c>
      <c r="AD16" s="1" t="s">
        <v>3593</v>
      </c>
      <c r="AE16" s="75" t="s">
        <v>2114</v>
      </c>
      <c r="AF16" s="76" t="s">
        <v>1826</v>
      </c>
      <c r="AG16" s="33" t="s">
        <v>1827</v>
      </c>
      <c r="AH16" s="147"/>
      <c r="AI16" s="173"/>
    </row>
    <row r="17" spans="1:42">
      <c r="A17" s="151" t="s">
        <v>3085</v>
      </c>
      <c r="B17" s="84">
        <v>171</v>
      </c>
      <c r="C17" s="84">
        <v>391</v>
      </c>
      <c r="D17" s="84">
        <v>0</v>
      </c>
      <c r="E17" s="84">
        <v>41</v>
      </c>
      <c r="F17" s="7">
        <v>9.7100000000000009</v>
      </c>
      <c r="G17" s="42" t="s">
        <v>531</v>
      </c>
      <c r="H17" s="31" t="s">
        <v>2191</v>
      </c>
      <c r="I17" s="17" t="s">
        <v>532</v>
      </c>
      <c r="J17" s="371">
        <v>49.96</v>
      </c>
      <c r="K17" s="371">
        <v>6.67</v>
      </c>
      <c r="L17" s="371">
        <v>16.91</v>
      </c>
      <c r="N17" s="389">
        <f t="shared" ref="N17" si="4">K17+J17+L17</f>
        <v>73.540000000000006</v>
      </c>
      <c r="R17" s="111">
        <v>8</v>
      </c>
      <c r="V17" s="371">
        <v>1.92</v>
      </c>
      <c r="W17" s="35">
        <v>1</v>
      </c>
      <c r="X17" s="100">
        <v>3.17</v>
      </c>
      <c r="Y17" s="37" t="str">
        <f>RTD("money.excel",,"6284","Price")</f>
        <v>無資料</v>
      </c>
      <c r="Z17" s="242">
        <v>56.7</v>
      </c>
      <c r="AA17" s="16" t="e">
        <f t="shared" ref="AA17" si="5">Y17-Z17</f>
        <v>#VALUE!</v>
      </c>
      <c r="AB17" s="80" t="e">
        <f t="shared" ref="AB17" si="6">AA17/Z17</f>
        <v>#VALUE!</v>
      </c>
      <c r="AC17" s="144" t="s">
        <v>5342</v>
      </c>
      <c r="AD17" s="17" t="s">
        <v>532</v>
      </c>
      <c r="AE17" s="89">
        <v>44454</v>
      </c>
      <c r="AG17" s="34">
        <f>AF17-AE17</f>
        <v>-44454</v>
      </c>
      <c r="AH17" s="42" t="s">
        <v>1790</v>
      </c>
      <c r="AI17" s="249"/>
      <c r="AJ17" s="282"/>
      <c r="AK17" s="42"/>
      <c r="AL17" s="17"/>
      <c r="AM17" s="228"/>
      <c r="AN17" s="272"/>
      <c r="AO17" s="290"/>
      <c r="AP17" s="292"/>
    </row>
    <row r="18" spans="1:42">
      <c r="A18" s="151" t="s">
        <v>3085</v>
      </c>
      <c r="B18" s="84">
        <v>171</v>
      </c>
      <c r="C18" s="84">
        <v>391</v>
      </c>
      <c r="D18" s="84">
        <v>0</v>
      </c>
      <c r="E18" s="84">
        <v>41</v>
      </c>
      <c r="F18" s="7">
        <v>9.7100000000000009</v>
      </c>
      <c r="G18" s="42" t="s">
        <v>3609</v>
      </c>
      <c r="H18" s="31" t="s">
        <v>2191</v>
      </c>
      <c r="I18" s="17" t="s">
        <v>532</v>
      </c>
      <c r="J18" s="371">
        <v>49.96</v>
      </c>
      <c r="K18" s="371">
        <v>6.67</v>
      </c>
      <c r="L18" s="371">
        <v>16.91</v>
      </c>
      <c r="N18" s="389">
        <f t="shared" ref="N18" si="7">K18+J18+L18</f>
        <v>73.540000000000006</v>
      </c>
      <c r="R18" s="111">
        <v>8</v>
      </c>
      <c r="V18" s="371">
        <v>1.92</v>
      </c>
      <c r="W18" s="35">
        <v>1</v>
      </c>
      <c r="X18" s="100">
        <v>3.17</v>
      </c>
      <c r="Y18" s="37" t="str">
        <f>RTD("money.excel",,"6284","Price")</f>
        <v>無資料</v>
      </c>
      <c r="Z18" s="242">
        <f>76.9-1</f>
        <v>75.900000000000006</v>
      </c>
      <c r="AA18" s="16" t="e">
        <f t="shared" ref="AA18" si="8">Y18-Z18</f>
        <v>#VALUE!</v>
      </c>
      <c r="AB18" s="80" t="e">
        <f t="shared" ref="AB18" si="9">AA18/Z18</f>
        <v>#VALUE!</v>
      </c>
      <c r="AC18" s="144" t="s">
        <v>5342</v>
      </c>
      <c r="AD18" s="17" t="s">
        <v>532</v>
      </c>
      <c r="AE18" s="89">
        <v>44393</v>
      </c>
      <c r="AG18" s="34">
        <f>AF18-AE18</f>
        <v>-44393</v>
      </c>
      <c r="AH18" s="42" t="s">
        <v>1790</v>
      </c>
      <c r="AI18" s="249"/>
      <c r="AJ18" s="282"/>
      <c r="AK18" s="42"/>
      <c r="AL18" s="17"/>
      <c r="AM18" s="228"/>
      <c r="AN18" s="272"/>
      <c r="AO18" s="290"/>
      <c r="AP18" s="292"/>
    </row>
    <row r="19" spans="1:42" s="288" customFormat="1">
      <c r="A19" s="150"/>
      <c r="B19" s="84"/>
      <c r="C19" s="84"/>
      <c r="D19" s="84"/>
      <c r="E19" s="84"/>
      <c r="F19" s="7"/>
      <c r="G19" s="42"/>
      <c r="H19" s="9"/>
      <c r="I19" s="163"/>
      <c r="J19" s="371"/>
      <c r="K19" s="371"/>
      <c r="L19" s="371"/>
      <c r="M19" s="365"/>
      <c r="N19" s="365"/>
      <c r="O19" s="343"/>
      <c r="P19" s="229"/>
      <c r="Q19" s="326"/>
      <c r="R19" s="111"/>
      <c r="S19" s="51"/>
      <c r="T19" s="339"/>
      <c r="U19" s="329"/>
      <c r="V19" s="371"/>
      <c r="W19" s="205"/>
      <c r="X19" s="100"/>
      <c r="Y19" s="175">
        <f>SUM(Y17:Y18)</f>
        <v>0</v>
      </c>
      <c r="Z19" s="165">
        <f>SUM(Z17:Z18)</f>
        <v>132.60000000000002</v>
      </c>
      <c r="AA19" s="172">
        <f>Y19-Z19</f>
        <v>-132.60000000000002</v>
      </c>
      <c r="AB19" s="174">
        <f>AA19/Z19</f>
        <v>-1</v>
      </c>
      <c r="AC19" s="121"/>
      <c r="AD19" s="163">
        <f>Y19*(0.001425*0.5)+Y19*0.003+Z19*(0.001425*0.5)</f>
        <v>9.447750000000002E-2</v>
      </c>
      <c r="AE19" s="7">
        <f>AA19-AD19</f>
        <v>-132.69447750000003</v>
      </c>
      <c r="AF19" s="88"/>
      <c r="AG19" s="34"/>
      <c r="AH19" s="42"/>
      <c r="AI19" s="173"/>
    </row>
    <row r="20" spans="1:42" s="288" customFormat="1">
      <c r="A20" s="150"/>
      <c r="B20" s="84"/>
      <c r="C20" s="84"/>
      <c r="D20" s="84"/>
      <c r="E20" s="84"/>
      <c r="F20" s="7"/>
      <c r="G20" s="42"/>
      <c r="H20" s="9"/>
      <c r="I20" s="163"/>
      <c r="J20" s="371"/>
      <c r="K20" s="371"/>
      <c r="L20" s="371"/>
      <c r="M20" s="365"/>
      <c r="N20" s="365"/>
      <c r="O20" s="343"/>
      <c r="P20" s="229"/>
      <c r="Q20" s="326"/>
      <c r="R20" s="111"/>
      <c r="S20" s="51"/>
      <c r="T20" s="339"/>
      <c r="U20" s="329"/>
      <c r="V20" s="371"/>
      <c r="W20" s="15"/>
      <c r="X20" s="100"/>
      <c r="Y20" s="175"/>
      <c r="Z20" s="165"/>
      <c r="AA20" s="172"/>
      <c r="AB20" s="174"/>
      <c r="AC20" s="121"/>
      <c r="AD20" s="163"/>
      <c r="AE20" s="7"/>
      <c r="AF20" s="88"/>
      <c r="AG20" s="34"/>
      <c r="AH20" s="42"/>
      <c r="AI20" s="173"/>
    </row>
    <row r="21" spans="1:42" s="288" customFormat="1">
      <c r="A21" s="135" t="s">
        <v>2552</v>
      </c>
      <c r="B21" s="96" t="s">
        <v>2331</v>
      </c>
      <c r="C21" s="96" t="s">
        <v>2332</v>
      </c>
      <c r="D21" s="96" t="s">
        <v>2333</v>
      </c>
      <c r="E21" s="96" t="s">
        <v>2334</v>
      </c>
      <c r="F21" s="9" t="s">
        <v>1709</v>
      </c>
      <c r="G21" s="27" t="s">
        <v>5626</v>
      </c>
      <c r="H21" s="56" t="s">
        <v>578</v>
      </c>
      <c r="I21" s="1" t="s">
        <v>131</v>
      </c>
      <c r="J21" s="364" t="s">
        <v>2189</v>
      </c>
      <c r="K21" s="364" t="s">
        <v>1820</v>
      </c>
      <c r="L21" s="364" t="s">
        <v>515</v>
      </c>
      <c r="M21" s="364" t="s">
        <v>1699</v>
      </c>
      <c r="N21" s="364" t="s">
        <v>6633</v>
      </c>
      <c r="O21" s="343" t="s">
        <v>6634</v>
      </c>
      <c r="P21" s="83" t="s">
        <v>5279</v>
      </c>
      <c r="Q21" s="326" t="s">
        <v>5514</v>
      </c>
      <c r="R21" s="31" t="s">
        <v>6596</v>
      </c>
      <c r="S21" s="51" t="s">
        <v>6597</v>
      </c>
      <c r="T21" s="338" t="s">
        <v>5627</v>
      </c>
      <c r="U21" s="330" t="s">
        <v>6537</v>
      </c>
      <c r="V21" s="377" t="s">
        <v>6616</v>
      </c>
      <c r="W21" s="15" t="s">
        <v>127</v>
      </c>
      <c r="X21" s="71" t="s">
        <v>6626</v>
      </c>
      <c r="Y21" s="29" t="s">
        <v>6688</v>
      </c>
      <c r="Z21" s="18" t="s">
        <v>2113</v>
      </c>
      <c r="AA21" s="15" t="s">
        <v>3598</v>
      </c>
      <c r="AB21" s="22" t="s">
        <v>2199</v>
      </c>
      <c r="AC21" s="26" t="s">
        <v>211</v>
      </c>
      <c r="AD21" s="1" t="s">
        <v>131</v>
      </c>
      <c r="AE21" s="75" t="s">
        <v>2114</v>
      </c>
      <c r="AF21" s="76" t="s">
        <v>1826</v>
      </c>
      <c r="AG21" s="33" t="s">
        <v>1827</v>
      </c>
      <c r="AH21" s="147"/>
      <c r="AI21" s="173"/>
    </row>
    <row r="22" spans="1:42">
      <c r="A22" s="151" t="s">
        <v>3113</v>
      </c>
      <c r="B22" s="84">
        <v>352</v>
      </c>
      <c r="C22" s="85">
        <v>-330</v>
      </c>
      <c r="D22" s="84">
        <v>49</v>
      </c>
      <c r="E22" s="84">
        <v>50</v>
      </c>
      <c r="F22" s="7">
        <v>-20.73</v>
      </c>
      <c r="G22" s="58" t="s">
        <v>1114</v>
      </c>
      <c r="H22" s="51" t="s">
        <v>2120</v>
      </c>
      <c r="I22" s="17" t="s">
        <v>1115</v>
      </c>
      <c r="J22" s="77">
        <v>47.87</v>
      </c>
      <c r="K22" s="77">
        <v>5.18</v>
      </c>
      <c r="N22" s="365">
        <f>K22+J22+L22</f>
        <v>53.05</v>
      </c>
      <c r="P22" s="195"/>
      <c r="R22" s="111">
        <v>37</v>
      </c>
      <c r="W22" s="35">
        <v>1</v>
      </c>
      <c r="X22" s="100">
        <v>3.29</v>
      </c>
      <c r="Y22" s="37" t="str">
        <f>RTD("money.excel",,"4128","Price")</f>
        <v>無資料</v>
      </c>
      <c r="Z22" s="242">
        <f>66.5</f>
        <v>66.5</v>
      </c>
      <c r="AA22" s="16" t="e">
        <f t="shared" ref="AA22:AA28" si="10">Y22-Z22</f>
        <v>#VALUE!</v>
      </c>
      <c r="AB22" s="3" t="e">
        <f t="shared" ref="AB22:AB27" si="11">AA22/Z22</f>
        <v>#VALUE!</v>
      </c>
      <c r="AC22" s="107" t="s">
        <v>2648</v>
      </c>
      <c r="AD22" s="17" t="s">
        <v>1115</v>
      </c>
      <c r="AE22" s="89">
        <v>44315</v>
      </c>
      <c r="AG22" s="34">
        <f t="shared" ref="AG22:AG27" si="12">AF22-AE22</f>
        <v>-44315</v>
      </c>
      <c r="AH22" s="135" t="s">
        <v>1790</v>
      </c>
      <c r="AI22" s="284"/>
      <c r="AJ22" s="9"/>
    </row>
    <row r="23" spans="1:42">
      <c r="A23" s="151" t="s">
        <v>3113</v>
      </c>
      <c r="B23" s="84">
        <v>352</v>
      </c>
      <c r="C23" s="85">
        <v>-330</v>
      </c>
      <c r="D23" s="84">
        <v>49</v>
      </c>
      <c r="E23" s="84">
        <v>50</v>
      </c>
      <c r="F23" s="7">
        <v>-20.73</v>
      </c>
      <c r="G23" s="58" t="s">
        <v>1114</v>
      </c>
      <c r="H23" s="31" t="s">
        <v>2191</v>
      </c>
      <c r="I23" s="17" t="s">
        <v>1115</v>
      </c>
      <c r="J23" s="77">
        <v>47.87</v>
      </c>
      <c r="K23" s="77">
        <v>5.18</v>
      </c>
      <c r="N23" s="365">
        <f t="shared" ref="N23:N27" si="13">K23+J23+L23</f>
        <v>53.05</v>
      </c>
      <c r="P23" s="195"/>
      <c r="R23" s="111">
        <v>37</v>
      </c>
      <c r="W23" s="35">
        <v>1</v>
      </c>
      <c r="X23" s="100">
        <v>3.29</v>
      </c>
      <c r="Y23" s="37" t="str">
        <f>RTD("money.excel",,"4128","Price")</f>
        <v>無資料</v>
      </c>
      <c r="Z23" s="242">
        <f>57.1</f>
        <v>57.1</v>
      </c>
      <c r="AA23" s="16" t="e">
        <f t="shared" si="10"/>
        <v>#VALUE!</v>
      </c>
      <c r="AB23" s="3" t="e">
        <f t="shared" si="11"/>
        <v>#VALUE!</v>
      </c>
      <c r="AC23" s="107" t="s">
        <v>2648</v>
      </c>
      <c r="AD23" s="17" t="s">
        <v>1115</v>
      </c>
      <c r="AE23" s="89">
        <v>44334</v>
      </c>
      <c r="AG23" s="34">
        <f t="shared" si="12"/>
        <v>-44334</v>
      </c>
      <c r="AH23" s="42" t="s">
        <v>1790</v>
      </c>
      <c r="AI23" s="284"/>
      <c r="AJ23" s="9"/>
    </row>
    <row r="24" spans="1:42">
      <c r="A24" s="151" t="s">
        <v>3113</v>
      </c>
      <c r="B24" s="84">
        <v>352</v>
      </c>
      <c r="C24" s="85">
        <v>-330</v>
      </c>
      <c r="D24" s="84">
        <v>49</v>
      </c>
      <c r="E24" s="84">
        <v>50</v>
      </c>
      <c r="F24" s="7">
        <v>-20.73</v>
      </c>
      <c r="G24" s="58" t="s">
        <v>1114</v>
      </c>
      <c r="H24" s="31" t="s">
        <v>2191</v>
      </c>
      <c r="I24" s="17" t="s">
        <v>1115</v>
      </c>
      <c r="J24" s="77">
        <v>47.87</v>
      </c>
      <c r="K24" s="77">
        <v>5.18</v>
      </c>
      <c r="N24" s="365">
        <f t="shared" si="13"/>
        <v>53.05</v>
      </c>
      <c r="P24" s="195"/>
      <c r="R24" s="111">
        <v>37</v>
      </c>
      <c r="W24" s="35">
        <v>1</v>
      </c>
      <c r="X24" s="100">
        <v>3.29</v>
      </c>
      <c r="Y24" s="37" t="str">
        <f>RTD("money.excel",,"4128","Price")</f>
        <v>無資料</v>
      </c>
      <c r="Z24" s="242">
        <f>60.3</f>
        <v>60.3</v>
      </c>
      <c r="AA24" s="16" t="e">
        <f t="shared" si="10"/>
        <v>#VALUE!</v>
      </c>
      <c r="AB24" s="3" t="e">
        <f t="shared" si="11"/>
        <v>#VALUE!</v>
      </c>
      <c r="AC24" s="107" t="s">
        <v>2648</v>
      </c>
      <c r="AD24" s="17" t="s">
        <v>1115</v>
      </c>
      <c r="AE24" s="89">
        <v>44313</v>
      </c>
      <c r="AG24" s="34">
        <f t="shared" si="12"/>
        <v>-44313</v>
      </c>
      <c r="AH24" s="42" t="s">
        <v>1790</v>
      </c>
      <c r="AI24" s="284"/>
      <c r="AJ24" s="9"/>
    </row>
    <row r="25" spans="1:42">
      <c r="A25" s="151" t="s">
        <v>3113</v>
      </c>
      <c r="B25" s="84">
        <v>352</v>
      </c>
      <c r="C25" s="85">
        <v>-330</v>
      </c>
      <c r="D25" s="84">
        <v>49</v>
      </c>
      <c r="E25" s="84">
        <v>50</v>
      </c>
      <c r="F25" s="7">
        <v>-20.73</v>
      </c>
      <c r="G25" s="58" t="s">
        <v>1114</v>
      </c>
      <c r="H25" s="31" t="s">
        <v>2191</v>
      </c>
      <c r="I25" s="17" t="s">
        <v>1115</v>
      </c>
      <c r="J25" s="77">
        <v>47.87</v>
      </c>
      <c r="K25" s="77">
        <v>5.18</v>
      </c>
      <c r="N25" s="365">
        <f t="shared" si="13"/>
        <v>53.05</v>
      </c>
      <c r="P25" s="195"/>
      <c r="R25" s="111">
        <v>37</v>
      </c>
      <c r="W25" s="35">
        <v>1</v>
      </c>
      <c r="X25" s="100">
        <v>3.29</v>
      </c>
      <c r="Y25" s="37" t="str">
        <f>RTD("money.excel",,"4128","Price")</f>
        <v>無資料</v>
      </c>
      <c r="Z25" s="242">
        <f>64</f>
        <v>64</v>
      </c>
      <c r="AA25" s="16" t="e">
        <f t="shared" si="10"/>
        <v>#VALUE!</v>
      </c>
      <c r="AB25" s="3" t="e">
        <f t="shared" si="11"/>
        <v>#VALUE!</v>
      </c>
      <c r="AC25" s="107" t="s">
        <v>2648</v>
      </c>
      <c r="AD25" s="17" t="s">
        <v>1115</v>
      </c>
      <c r="AE25" s="89">
        <v>44307</v>
      </c>
      <c r="AG25" s="34">
        <f t="shared" si="12"/>
        <v>-44307</v>
      </c>
      <c r="AH25" s="42" t="s">
        <v>1790</v>
      </c>
      <c r="AI25" s="284"/>
      <c r="AJ25" s="9"/>
    </row>
    <row r="26" spans="1:42">
      <c r="A26" s="151" t="s">
        <v>3113</v>
      </c>
      <c r="B26" s="84">
        <v>352</v>
      </c>
      <c r="C26" s="85">
        <v>-330</v>
      </c>
      <c r="D26" s="84">
        <v>49</v>
      </c>
      <c r="E26" s="84">
        <v>50</v>
      </c>
      <c r="F26" s="7">
        <v>-20.73</v>
      </c>
      <c r="G26" s="58" t="s">
        <v>1114</v>
      </c>
      <c r="H26" s="31" t="s">
        <v>2191</v>
      </c>
      <c r="I26" s="17" t="s">
        <v>1115</v>
      </c>
      <c r="J26" s="77">
        <v>47.87</v>
      </c>
      <c r="K26" s="77">
        <v>5.18</v>
      </c>
      <c r="N26" s="365">
        <f t="shared" si="13"/>
        <v>53.05</v>
      </c>
      <c r="P26" s="195"/>
      <c r="R26" s="111">
        <v>37</v>
      </c>
      <c r="W26" s="35">
        <v>1</v>
      </c>
      <c r="X26" s="100">
        <v>3.29</v>
      </c>
      <c r="Y26" s="37" t="str">
        <f>RTD("money.excel",,"4128","Price")</f>
        <v>無資料</v>
      </c>
      <c r="Z26" s="242">
        <f>63.5</f>
        <v>63.5</v>
      </c>
      <c r="AA26" s="16" t="e">
        <f t="shared" si="10"/>
        <v>#VALUE!</v>
      </c>
      <c r="AB26" s="3" t="e">
        <f t="shared" si="11"/>
        <v>#VALUE!</v>
      </c>
      <c r="AC26" s="107" t="s">
        <v>2648</v>
      </c>
      <c r="AD26" s="17" t="s">
        <v>1115</v>
      </c>
      <c r="AE26" s="89">
        <v>44307</v>
      </c>
      <c r="AG26" s="34">
        <f t="shared" si="12"/>
        <v>-44307</v>
      </c>
      <c r="AH26" s="42" t="s">
        <v>1790</v>
      </c>
      <c r="AI26" s="284"/>
      <c r="AJ26" s="9"/>
    </row>
    <row r="27" spans="1:42">
      <c r="A27" s="151" t="s">
        <v>3113</v>
      </c>
      <c r="B27" s="84">
        <v>352</v>
      </c>
      <c r="C27" s="85">
        <v>-330</v>
      </c>
      <c r="D27" s="84">
        <v>49</v>
      </c>
      <c r="E27" s="84">
        <v>50</v>
      </c>
      <c r="F27" s="7">
        <v>-20.73</v>
      </c>
      <c r="G27" s="58" t="s">
        <v>1114</v>
      </c>
      <c r="H27" s="31" t="s">
        <v>2191</v>
      </c>
      <c r="I27" s="17" t="s">
        <v>1115</v>
      </c>
      <c r="J27" s="77">
        <v>47.87</v>
      </c>
      <c r="K27" s="77">
        <v>5.18</v>
      </c>
      <c r="N27" s="365">
        <f t="shared" si="13"/>
        <v>53.05</v>
      </c>
      <c r="P27" s="195"/>
      <c r="R27" s="111">
        <v>37</v>
      </c>
      <c r="W27" s="35">
        <v>1</v>
      </c>
      <c r="X27" s="100">
        <v>3.29</v>
      </c>
      <c r="Y27" s="37" t="str">
        <f>RTD("money.excel",,"4128","Price")</f>
        <v>無資料</v>
      </c>
      <c r="Z27" s="242">
        <f>63.7</f>
        <v>63.7</v>
      </c>
      <c r="AA27" s="16" t="e">
        <f t="shared" si="10"/>
        <v>#VALUE!</v>
      </c>
      <c r="AB27" s="3" t="e">
        <f t="shared" si="11"/>
        <v>#VALUE!</v>
      </c>
      <c r="AC27" s="107" t="s">
        <v>2648</v>
      </c>
      <c r="AD27" s="17" t="s">
        <v>1115</v>
      </c>
      <c r="AE27" s="89">
        <v>44305</v>
      </c>
      <c r="AG27" s="34">
        <f t="shared" si="12"/>
        <v>-44305</v>
      </c>
      <c r="AH27" s="42" t="s">
        <v>1790</v>
      </c>
      <c r="AI27" s="42" t="s">
        <v>5052</v>
      </c>
      <c r="AJ27" s="9"/>
    </row>
    <row r="28" spans="1:42" s="288" customFormat="1">
      <c r="A28" s="150"/>
      <c r="B28" s="84"/>
      <c r="C28" s="84"/>
      <c r="D28" s="84"/>
      <c r="E28" s="84"/>
      <c r="F28" s="7"/>
      <c r="G28" s="42"/>
      <c r="H28" s="9"/>
      <c r="I28" s="163"/>
      <c r="J28" s="371"/>
      <c r="K28" s="371"/>
      <c r="L28" s="371"/>
      <c r="M28" s="365"/>
      <c r="N28" s="365"/>
      <c r="O28" s="343"/>
      <c r="P28" s="229"/>
      <c r="Q28" s="326"/>
      <c r="R28" s="111"/>
      <c r="S28" s="51"/>
      <c r="T28" s="339"/>
      <c r="U28" s="329"/>
      <c r="V28" s="371"/>
      <c r="W28" s="205"/>
      <c r="X28" s="100"/>
      <c r="Y28" s="175">
        <f>SUM(Y22:Y27)</f>
        <v>0</v>
      </c>
      <c r="Z28" s="165">
        <f>SUM(Z22:Z27)</f>
        <v>375.09999999999997</v>
      </c>
      <c r="AA28" s="172">
        <f t="shared" si="10"/>
        <v>-375.09999999999997</v>
      </c>
      <c r="AB28" s="168">
        <f>AA28/Z28</f>
        <v>-1</v>
      </c>
      <c r="AC28" s="121"/>
      <c r="AD28" s="163">
        <f>Y28*(0.001425*0.5)+Y28*0.003+Z28*(0.001425*0.5)</f>
        <v>0.26725874999999999</v>
      </c>
      <c r="AE28" s="7">
        <f>AA28-AD28</f>
        <v>-375.36725874999996</v>
      </c>
      <c r="AF28" s="88"/>
      <c r="AG28" s="34"/>
      <c r="AH28" s="42" t="s">
        <v>5244</v>
      </c>
      <c r="AI28" s="173"/>
    </row>
    <row r="29" spans="1:42" s="288" customFormat="1">
      <c r="A29" s="150"/>
      <c r="B29" s="84"/>
      <c r="C29" s="84"/>
      <c r="D29" s="84"/>
      <c r="E29" s="84"/>
      <c r="F29" s="7"/>
      <c r="G29" s="42"/>
      <c r="H29" s="9"/>
      <c r="I29" s="163"/>
      <c r="J29" s="371"/>
      <c r="K29" s="371"/>
      <c r="L29" s="371"/>
      <c r="M29" s="365"/>
      <c r="N29" s="365"/>
      <c r="O29" s="343"/>
      <c r="P29" s="229"/>
      <c r="Q29" s="326"/>
      <c r="R29" s="111"/>
      <c r="S29" s="51"/>
      <c r="T29" s="339"/>
      <c r="U29" s="329"/>
      <c r="V29" s="371"/>
      <c r="W29" s="205"/>
      <c r="X29" s="100"/>
      <c r="Y29" s="175"/>
      <c r="Z29" s="165"/>
      <c r="AA29" s="172"/>
      <c r="AB29" s="174"/>
      <c r="AC29" s="121"/>
      <c r="AD29" s="163"/>
      <c r="AE29" s="7"/>
      <c r="AF29" s="88"/>
      <c r="AG29" s="34"/>
      <c r="AH29" s="42"/>
      <c r="AI29" s="173"/>
    </row>
    <row r="30" spans="1:42" s="288" customFormat="1">
      <c r="A30" s="135" t="s">
        <v>2552</v>
      </c>
      <c r="B30" s="96" t="s">
        <v>2331</v>
      </c>
      <c r="C30" s="96" t="s">
        <v>2332</v>
      </c>
      <c r="D30" s="96" t="s">
        <v>2333</v>
      </c>
      <c r="E30" s="96" t="s">
        <v>2334</v>
      </c>
      <c r="F30" s="9" t="s">
        <v>1709</v>
      </c>
      <c r="G30" s="27" t="s">
        <v>5626</v>
      </c>
      <c r="H30" s="56" t="s">
        <v>578</v>
      </c>
      <c r="I30" s="1" t="s">
        <v>3593</v>
      </c>
      <c r="J30" s="364" t="s">
        <v>2189</v>
      </c>
      <c r="K30" s="364" t="s">
        <v>1820</v>
      </c>
      <c r="L30" s="364" t="s">
        <v>515</v>
      </c>
      <c r="M30" s="364" t="s">
        <v>1699</v>
      </c>
      <c r="N30" s="364" t="s">
        <v>6633</v>
      </c>
      <c r="O30" s="343" t="s">
        <v>6634</v>
      </c>
      <c r="P30" s="83" t="s">
        <v>5279</v>
      </c>
      <c r="Q30" s="326" t="s">
        <v>5514</v>
      </c>
      <c r="R30" s="31" t="s">
        <v>6596</v>
      </c>
      <c r="S30" s="51" t="s">
        <v>6597</v>
      </c>
      <c r="T30" s="338" t="s">
        <v>5627</v>
      </c>
      <c r="U30" s="330" t="s">
        <v>6537</v>
      </c>
      <c r="V30" s="377" t="s">
        <v>6616</v>
      </c>
      <c r="W30" s="15" t="s">
        <v>127</v>
      </c>
      <c r="X30" s="71" t="s">
        <v>6626</v>
      </c>
      <c r="Y30" s="29" t="s">
        <v>6688</v>
      </c>
      <c r="Z30" s="18" t="s">
        <v>2113</v>
      </c>
      <c r="AA30" s="15" t="s">
        <v>3598</v>
      </c>
      <c r="AB30" s="22" t="s">
        <v>2199</v>
      </c>
      <c r="AC30" s="26" t="s">
        <v>211</v>
      </c>
      <c r="AD30" s="1" t="s">
        <v>3593</v>
      </c>
      <c r="AE30" s="75" t="s">
        <v>2114</v>
      </c>
      <c r="AF30" s="76" t="s">
        <v>1826</v>
      </c>
      <c r="AG30" s="33" t="s">
        <v>1827</v>
      </c>
      <c r="AH30" s="147"/>
      <c r="AI30" s="173"/>
    </row>
    <row r="31" spans="1:42" s="288" customFormat="1">
      <c r="A31" s="135" t="s">
        <v>2696</v>
      </c>
      <c r="B31" s="84">
        <v>39</v>
      </c>
      <c r="C31" s="84">
        <v>43</v>
      </c>
      <c r="D31" s="84">
        <v>4</v>
      </c>
      <c r="E31" s="84">
        <v>31</v>
      </c>
      <c r="F31" s="59">
        <v>27.4</v>
      </c>
      <c r="G31" s="42" t="s">
        <v>2686</v>
      </c>
      <c r="H31" s="31" t="s">
        <v>2191</v>
      </c>
      <c r="I31" s="163" t="s">
        <v>2687</v>
      </c>
      <c r="J31" s="77">
        <v>78.739999999999995</v>
      </c>
      <c r="K31" s="77">
        <v>28.34</v>
      </c>
      <c r="L31" s="77">
        <v>0.71</v>
      </c>
      <c r="M31" s="365"/>
      <c r="N31" s="77">
        <f>K31+J31+L31</f>
        <v>107.78999999999999</v>
      </c>
      <c r="O31" s="343"/>
      <c r="P31" s="166"/>
      <c r="Q31" s="326"/>
      <c r="R31" s="111">
        <v>0</v>
      </c>
      <c r="S31" s="51"/>
      <c r="T31" s="339"/>
      <c r="U31" s="329"/>
      <c r="V31" s="371">
        <v>0.11</v>
      </c>
      <c r="W31" s="68">
        <v>3.5</v>
      </c>
      <c r="X31" s="59">
        <v>5.35</v>
      </c>
      <c r="Y31" s="171" t="str">
        <f>RTD("money.excel",,"6592","Price")</f>
        <v>無資料</v>
      </c>
      <c r="Z31" s="279">
        <f>85.5-3.5</f>
        <v>82</v>
      </c>
      <c r="AA31" s="172" t="e">
        <f t="shared" ref="AA31" si="14">Y31-Z31</f>
        <v>#VALUE!</v>
      </c>
      <c r="AB31" s="174" t="e">
        <f t="shared" ref="AB31" si="15">AA31/Z31</f>
        <v>#VALUE!</v>
      </c>
      <c r="AC31" s="217" t="s">
        <v>5163</v>
      </c>
      <c r="AD31" s="163" t="s">
        <v>2687</v>
      </c>
      <c r="AE31" s="89">
        <v>44312</v>
      </c>
      <c r="AF31" s="88"/>
      <c r="AG31" s="34">
        <f>AF31-AE31</f>
        <v>-44312</v>
      </c>
      <c r="AH31" s="42" t="s">
        <v>1790</v>
      </c>
      <c r="AI31" s="235"/>
      <c r="AJ31" s="202"/>
    </row>
    <row r="32" spans="1:42" s="288" customFormat="1">
      <c r="A32" s="150"/>
      <c r="B32" s="84"/>
      <c r="C32" s="84"/>
      <c r="D32" s="84"/>
      <c r="E32" s="84"/>
      <c r="F32" s="7"/>
      <c r="G32" s="42"/>
      <c r="H32" s="9"/>
      <c r="I32" s="163"/>
      <c r="J32" s="371"/>
      <c r="K32" s="371"/>
      <c r="L32" s="371"/>
      <c r="M32" s="365"/>
      <c r="N32" s="365"/>
      <c r="O32" s="343"/>
      <c r="P32" s="229"/>
      <c r="Q32" s="326"/>
      <c r="R32" s="111"/>
      <c r="S32" s="51"/>
      <c r="T32" s="339"/>
      <c r="U32" s="329"/>
      <c r="V32" s="371"/>
      <c r="W32" s="205"/>
      <c r="X32" s="100"/>
      <c r="Y32" s="175">
        <f>SUM(Y31)</f>
        <v>0</v>
      </c>
      <c r="Z32" s="165">
        <f>SUM(Z31)</f>
        <v>82</v>
      </c>
      <c r="AA32" s="172">
        <f>Y32-Z32</f>
        <v>-82</v>
      </c>
      <c r="AB32" s="168">
        <f>AA32/Z32</f>
        <v>-1</v>
      </c>
      <c r="AC32" s="121"/>
      <c r="AD32" s="163">
        <f>Y32*(0.001425*0.5)+Y32*0.003+Z32*(0.001425*0.5)</f>
        <v>5.8425000000000005E-2</v>
      </c>
      <c r="AE32" s="7">
        <f>AA32-AD32</f>
        <v>-82.058425</v>
      </c>
      <c r="AF32" s="88"/>
      <c r="AG32" s="34"/>
      <c r="AH32" s="42" t="s">
        <v>1790</v>
      </c>
      <c r="AI32" s="173"/>
    </row>
    <row r="33" spans="1:36" s="288" customFormat="1">
      <c r="A33" s="150"/>
      <c r="B33" s="84"/>
      <c r="C33" s="84"/>
      <c r="D33" s="84"/>
      <c r="E33" s="84"/>
      <c r="F33" s="7"/>
      <c r="G33" s="42"/>
      <c r="H33" s="9"/>
      <c r="I33" s="163"/>
      <c r="J33" s="371"/>
      <c r="K33" s="371"/>
      <c r="L33" s="371"/>
      <c r="M33" s="365"/>
      <c r="N33" s="365"/>
      <c r="O33" s="343"/>
      <c r="P33" s="229"/>
      <c r="Q33" s="326"/>
      <c r="R33" s="111"/>
      <c r="S33" s="51"/>
      <c r="T33" s="339"/>
      <c r="U33" s="329"/>
      <c r="V33" s="371"/>
      <c r="W33" s="205"/>
      <c r="X33" s="100"/>
      <c r="Y33" s="175"/>
      <c r="Z33" s="165"/>
      <c r="AA33" s="172"/>
      <c r="AB33" s="174"/>
      <c r="AC33" s="121"/>
      <c r="AD33" s="163"/>
      <c r="AE33" s="7"/>
      <c r="AF33" s="88"/>
      <c r="AG33" s="34"/>
      <c r="AH33" s="42"/>
      <c r="AI33" s="173"/>
    </row>
    <row r="34" spans="1:36" s="288" customFormat="1">
      <c r="A34" s="135" t="s">
        <v>2552</v>
      </c>
      <c r="B34" s="96" t="s">
        <v>2331</v>
      </c>
      <c r="C34" s="96" t="s">
        <v>2332</v>
      </c>
      <c r="D34" s="96" t="s">
        <v>2333</v>
      </c>
      <c r="E34" s="96" t="s">
        <v>2334</v>
      </c>
      <c r="F34" s="9" t="s">
        <v>1709</v>
      </c>
      <c r="G34" s="27" t="s">
        <v>5626</v>
      </c>
      <c r="H34" s="56" t="s">
        <v>578</v>
      </c>
      <c r="I34" s="1" t="s">
        <v>3593</v>
      </c>
      <c r="J34" s="364" t="s">
        <v>2189</v>
      </c>
      <c r="K34" s="364" t="s">
        <v>1820</v>
      </c>
      <c r="L34" s="364" t="s">
        <v>515</v>
      </c>
      <c r="M34" s="364" t="s">
        <v>1699</v>
      </c>
      <c r="N34" s="364" t="s">
        <v>6633</v>
      </c>
      <c r="O34" s="343" t="s">
        <v>6634</v>
      </c>
      <c r="P34" s="83" t="s">
        <v>5279</v>
      </c>
      <c r="Q34" s="326" t="s">
        <v>5514</v>
      </c>
      <c r="R34" s="31" t="s">
        <v>6596</v>
      </c>
      <c r="S34" s="51" t="s">
        <v>6597</v>
      </c>
      <c r="T34" s="338" t="s">
        <v>5627</v>
      </c>
      <c r="U34" s="330" t="s">
        <v>6537</v>
      </c>
      <c r="V34" s="377" t="s">
        <v>6616</v>
      </c>
      <c r="W34" s="15" t="s">
        <v>127</v>
      </c>
      <c r="X34" s="71" t="s">
        <v>6626</v>
      </c>
      <c r="Y34" s="29" t="s">
        <v>6688</v>
      </c>
      <c r="Z34" s="18" t="s">
        <v>2113</v>
      </c>
      <c r="AA34" s="15" t="s">
        <v>3598</v>
      </c>
      <c r="AB34" s="22" t="s">
        <v>2199</v>
      </c>
      <c r="AC34" s="26" t="s">
        <v>211</v>
      </c>
      <c r="AD34" s="1" t="s">
        <v>3593</v>
      </c>
      <c r="AE34" s="75" t="s">
        <v>2114</v>
      </c>
      <c r="AF34" s="76" t="s">
        <v>1826</v>
      </c>
      <c r="AG34" s="33" t="s">
        <v>1827</v>
      </c>
      <c r="AH34" s="147"/>
      <c r="AI34" s="173"/>
    </row>
    <row r="35" spans="1:36">
      <c r="A35" s="135" t="s">
        <v>4670</v>
      </c>
      <c r="B35" s="84">
        <v>763</v>
      </c>
      <c r="C35" s="84">
        <v>854</v>
      </c>
      <c r="D35" s="85">
        <v>-11</v>
      </c>
      <c r="E35" s="85">
        <v>-17</v>
      </c>
      <c r="F35" s="59">
        <v>16.18</v>
      </c>
      <c r="G35" s="58" t="s">
        <v>3540</v>
      </c>
      <c r="H35" s="31" t="s">
        <v>2191</v>
      </c>
      <c r="I35" s="17" t="s">
        <v>3541</v>
      </c>
      <c r="J35" s="371">
        <v>53.32</v>
      </c>
      <c r="K35" s="371">
        <v>43.8</v>
      </c>
      <c r="L35" s="371">
        <v>18.989999999999998</v>
      </c>
      <c r="N35" s="77">
        <f t="shared" ref="N35" si="16">K35+J35+L35</f>
        <v>116.11</v>
      </c>
      <c r="R35" s="111">
        <v>16</v>
      </c>
      <c r="T35" s="338"/>
      <c r="V35" s="371">
        <v>0.19</v>
      </c>
      <c r="W35" s="69">
        <v>3.5</v>
      </c>
      <c r="X35" s="59">
        <v>8.0500000000000007</v>
      </c>
      <c r="Y35" s="14" t="str">
        <f>RTD("money.excel",,"5223","Price")</f>
        <v>無資料</v>
      </c>
      <c r="Z35" s="242">
        <v>53.3</v>
      </c>
      <c r="AA35" s="16" t="e">
        <f>Y35-Z35</f>
        <v>#VALUE!</v>
      </c>
      <c r="AB35" s="3" t="e">
        <f>AA35/Z35</f>
        <v>#VALUE!</v>
      </c>
      <c r="AC35" s="149" t="s">
        <v>2929</v>
      </c>
      <c r="AD35" s="17" t="s">
        <v>3541</v>
      </c>
      <c r="AE35" s="89">
        <v>44452</v>
      </c>
      <c r="AG35" s="34">
        <f>AF35-AE35</f>
        <v>-44452</v>
      </c>
      <c r="AH35" s="42" t="s">
        <v>1790</v>
      </c>
      <c r="AJ35" s="9"/>
    </row>
    <row r="36" spans="1:36">
      <c r="A36" s="135" t="s">
        <v>4670</v>
      </c>
      <c r="B36" s="84">
        <v>763</v>
      </c>
      <c r="C36" s="84">
        <v>854</v>
      </c>
      <c r="D36" s="85">
        <v>-11</v>
      </c>
      <c r="E36" s="85">
        <v>-17</v>
      </c>
      <c r="F36" s="59">
        <v>16.18</v>
      </c>
      <c r="G36" s="58" t="s">
        <v>3540</v>
      </c>
      <c r="H36" s="31" t="s">
        <v>2191</v>
      </c>
      <c r="I36" s="17" t="s">
        <v>3541</v>
      </c>
      <c r="J36" s="371">
        <v>53.32</v>
      </c>
      <c r="K36" s="371">
        <v>43.8</v>
      </c>
      <c r="L36" s="371">
        <v>18.989999999999998</v>
      </c>
      <c r="N36" s="77">
        <f t="shared" ref="N36:N38" si="17">K36+J36+L36</f>
        <v>116.11</v>
      </c>
      <c r="R36" s="111">
        <v>16</v>
      </c>
      <c r="T36" s="338"/>
      <c r="V36" s="371">
        <v>0.19</v>
      </c>
      <c r="W36" s="69">
        <v>3.5</v>
      </c>
      <c r="X36" s="59">
        <v>8.0500000000000007</v>
      </c>
      <c r="Y36" s="14" t="str">
        <f>RTD("money.excel",,"5223","Price")</f>
        <v>無資料</v>
      </c>
      <c r="Z36" s="242">
        <f>68.1-3.41</f>
        <v>64.69</v>
      </c>
      <c r="AA36" s="16" t="e">
        <f>Y36-Z36</f>
        <v>#VALUE!</v>
      </c>
      <c r="AB36" s="3" t="e">
        <f>AA36/Z36</f>
        <v>#VALUE!</v>
      </c>
      <c r="AC36" s="149" t="s">
        <v>2929</v>
      </c>
      <c r="AD36" s="17" t="s">
        <v>3541</v>
      </c>
      <c r="AE36" s="89">
        <v>44344</v>
      </c>
      <c r="AG36" s="34">
        <f>AF36-AE36</f>
        <v>-44344</v>
      </c>
      <c r="AH36" s="42" t="s">
        <v>1790</v>
      </c>
      <c r="AJ36" s="9"/>
    </row>
    <row r="37" spans="1:36">
      <c r="A37" s="135" t="s">
        <v>4670</v>
      </c>
      <c r="B37" s="84">
        <v>763</v>
      </c>
      <c r="C37" s="84">
        <v>854</v>
      </c>
      <c r="D37" s="85">
        <v>-11</v>
      </c>
      <c r="E37" s="85">
        <v>-17</v>
      </c>
      <c r="F37" s="59">
        <v>16.18</v>
      </c>
      <c r="G37" s="58" t="s">
        <v>3540</v>
      </c>
      <c r="H37" s="31" t="s">
        <v>2191</v>
      </c>
      <c r="I37" s="17" t="s">
        <v>3541</v>
      </c>
      <c r="J37" s="371">
        <v>53.32</v>
      </c>
      <c r="K37" s="371">
        <v>43.8</v>
      </c>
      <c r="L37" s="371">
        <v>18.989999999999998</v>
      </c>
      <c r="N37" s="77">
        <f t="shared" si="17"/>
        <v>116.11</v>
      </c>
      <c r="R37" s="111">
        <v>16</v>
      </c>
      <c r="V37" s="371">
        <v>0.19</v>
      </c>
      <c r="W37" s="69">
        <v>3.5</v>
      </c>
      <c r="X37" s="59">
        <v>8.0500000000000007</v>
      </c>
      <c r="Y37" s="14" t="str">
        <f>RTD("money.excel",,"5223","Price")</f>
        <v>無資料</v>
      </c>
      <c r="Z37" s="242">
        <f>64.5-3.41</f>
        <v>61.09</v>
      </c>
      <c r="AA37" s="16" t="e">
        <f>Y37-Z37</f>
        <v>#VALUE!</v>
      </c>
      <c r="AB37" s="3" t="e">
        <f>AA37/Z37</f>
        <v>#VALUE!</v>
      </c>
      <c r="AC37" s="149" t="s">
        <v>2929</v>
      </c>
      <c r="AD37" s="17" t="s">
        <v>3541</v>
      </c>
      <c r="AE37" s="89">
        <v>44329</v>
      </c>
      <c r="AG37" s="34">
        <f>AF37-AE37</f>
        <v>-44329</v>
      </c>
      <c r="AH37" s="42" t="s">
        <v>1790</v>
      </c>
      <c r="AJ37" s="9"/>
    </row>
    <row r="38" spans="1:36">
      <c r="A38" s="135" t="s">
        <v>4670</v>
      </c>
      <c r="B38" s="84">
        <v>763</v>
      </c>
      <c r="C38" s="84">
        <v>854</v>
      </c>
      <c r="D38" s="85">
        <v>-11</v>
      </c>
      <c r="E38" s="85">
        <v>-17</v>
      </c>
      <c r="F38" s="59">
        <v>16.18</v>
      </c>
      <c r="G38" s="58" t="s">
        <v>3540</v>
      </c>
      <c r="H38" s="31" t="s">
        <v>2191</v>
      </c>
      <c r="I38" s="17" t="s">
        <v>3541</v>
      </c>
      <c r="J38" s="371">
        <v>53.32</v>
      </c>
      <c r="K38" s="371">
        <v>43.8</v>
      </c>
      <c r="L38" s="371">
        <v>18.989999999999998</v>
      </c>
      <c r="N38" s="77">
        <f t="shared" si="17"/>
        <v>116.11</v>
      </c>
      <c r="R38" s="111">
        <v>16</v>
      </c>
      <c r="V38" s="371">
        <v>0.19</v>
      </c>
      <c r="W38" s="69">
        <v>3.5</v>
      </c>
      <c r="X38" s="59">
        <v>8.0500000000000007</v>
      </c>
      <c r="Y38" s="14" t="str">
        <f>RTD("money.excel",,"5223","Price")</f>
        <v>無資料</v>
      </c>
      <c r="Z38" s="242">
        <f>83.1-3.41</f>
        <v>79.69</v>
      </c>
      <c r="AA38" s="16" t="e">
        <f>Y38-Z38</f>
        <v>#VALUE!</v>
      </c>
      <c r="AB38" s="3" t="e">
        <f>AA38/Z38</f>
        <v>#VALUE!</v>
      </c>
      <c r="AC38" s="149" t="s">
        <v>2929</v>
      </c>
      <c r="AD38" s="17" t="s">
        <v>3541</v>
      </c>
      <c r="AE38" s="89">
        <v>44313</v>
      </c>
      <c r="AG38" s="34">
        <f>AF38-AE38</f>
        <v>-44313</v>
      </c>
      <c r="AH38" s="42" t="s">
        <v>1790</v>
      </c>
      <c r="AJ38" s="9"/>
    </row>
    <row r="39" spans="1:36" s="288" customFormat="1">
      <c r="A39" s="150"/>
      <c r="B39" s="84"/>
      <c r="C39" s="84"/>
      <c r="D39" s="84"/>
      <c r="E39" s="84"/>
      <c r="F39" s="7"/>
      <c r="G39" s="42"/>
      <c r="H39" s="9"/>
      <c r="I39" s="163"/>
      <c r="J39" s="371"/>
      <c r="K39" s="371"/>
      <c r="L39" s="371"/>
      <c r="M39" s="365"/>
      <c r="N39" s="365"/>
      <c r="O39" s="343"/>
      <c r="P39" s="229"/>
      <c r="Q39" s="326"/>
      <c r="R39" s="111"/>
      <c r="S39" s="51"/>
      <c r="T39" s="339"/>
      <c r="U39" s="329"/>
      <c r="V39" s="371"/>
      <c r="W39" s="205"/>
      <c r="X39" s="100"/>
      <c r="Y39" s="175">
        <f>SUM(Y35:Y38)</f>
        <v>0</v>
      </c>
      <c r="Z39" s="165">
        <f>SUM(Z35:Z38)</f>
        <v>258.77</v>
      </c>
      <c r="AA39" s="172">
        <f>Y39-Z39</f>
        <v>-258.77</v>
      </c>
      <c r="AB39" s="174">
        <f>AA39/Z39</f>
        <v>-1</v>
      </c>
      <c r="AC39" s="121"/>
      <c r="AD39" s="163">
        <f>Y39*(0.001425*0.5)+Y39*0.003+Z39*(0.001425*0.5)</f>
        <v>0.18437362499999999</v>
      </c>
      <c r="AE39" s="7">
        <f>AA39-AD39</f>
        <v>-258.95437362499996</v>
      </c>
      <c r="AF39" s="88"/>
      <c r="AG39" s="34"/>
      <c r="AH39" s="42" t="s">
        <v>1792</v>
      </c>
      <c r="AI39" s="173"/>
    </row>
    <row r="40" spans="1:36" s="288" customFormat="1">
      <c r="A40" s="135"/>
      <c r="B40" s="96"/>
      <c r="C40" s="96"/>
      <c r="D40" s="96"/>
      <c r="E40" s="96"/>
      <c r="F40" s="9"/>
      <c r="G40" s="26"/>
      <c r="H40" s="56"/>
      <c r="I40" s="1"/>
      <c r="J40" s="364"/>
      <c r="K40" s="364"/>
      <c r="L40" s="364"/>
      <c r="M40" s="364"/>
      <c r="N40" s="364"/>
      <c r="O40" s="343"/>
      <c r="P40" s="195"/>
      <c r="Q40" s="326"/>
      <c r="R40" s="111"/>
      <c r="S40" s="51"/>
      <c r="T40" s="339"/>
      <c r="U40" s="329"/>
      <c r="V40" s="377"/>
      <c r="W40" s="15"/>
      <c r="X40" s="71"/>
      <c r="Y40" s="29"/>
      <c r="Z40" s="71"/>
      <c r="AA40" s="15"/>
      <c r="AB40" s="22"/>
      <c r="AC40" s="26"/>
      <c r="AD40" s="1"/>
      <c r="AE40" s="75"/>
      <c r="AF40" s="76"/>
      <c r="AG40" s="33"/>
      <c r="AH40" s="147"/>
      <c r="AI40" s="173"/>
    </row>
    <row r="41" spans="1:36" s="288" customFormat="1">
      <c r="A41" s="135" t="s">
        <v>4561</v>
      </c>
      <c r="B41" s="96" t="s">
        <v>4562</v>
      </c>
      <c r="C41" s="96" t="s">
        <v>4563</v>
      </c>
      <c r="D41" s="96" t="s">
        <v>5111</v>
      </c>
      <c r="E41" s="96" t="s">
        <v>4564</v>
      </c>
      <c r="F41" s="9" t="s">
        <v>4565</v>
      </c>
      <c r="G41" s="27" t="s">
        <v>5626</v>
      </c>
      <c r="H41" s="56" t="s">
        <v>578</v>
      </c>
      <c r="I41" s="1" t="s">
        <v>5112</v>
      </c>
      <c r="J41" s="364" t="s">
        <v>5113</v>
      </c>
      <c r="K41" s="364" t="s">
        <v>4560</v>
      </c>
      <c r="L41" s="364" t="s">
        <v>515</v>
      </c>
      <c r="M41" s="364" t="s">
        <v>1699</v>
      </c>
      <c r="N41" s="364" t="s">
        <v>6633</v>
      </c>
      <c r="O41" s="343" t="s">
        <v>6634</v>
      </c>
      <c r="P41" s="83" t="s">
        <v>5279</v>
      </c>
      <c r="Q41" s="326" t="s">
        <v>5514</v>
      </c>
      <c r="R41" s="31" t="s">
        <v>6596</v>
      </c>
      <c r="S41" s="51" t="s">
        <v>6597</v>
      </c>
      <c r="T41" s="338" t="s">
        <v>5627</v>
      </c>
      <c r="U41" s="330" t="s">
        <v>6537</v>
      </c>
      <c r="V41" s="377" t="s">
        <v>6616</v>
      </c>
      <c r="W41" s="15" t="s">
        <v>127</v>
      </c>
      <c r="X41" s="71" t="s">
        <v>6626</v>
      </c>
      <c r="Y41" s="29" t="s">
        <v>6688</v>
      </c>
      <c r="Z41" s="18" t="s">
        <v>2113</v>
      </c>
      <c r="AA41" s="15" t="s">
        <v>4510</v>
      </c>
      <c r="AB41" s="22" t="s">
        <v>4511</v>
      </c>
      <c r="AC41" s="26" t="s">
        <v>211</v>
      </c>
      <c r="AD41" s="1" t="s">
        <v>5112</v>
      </c>
      <c r="AE41" s="75" t="s">
        <v>2114</v>
      </c>
      <c r="AF41" s="76" t="s">
        <v>4516</v>
      </c>
      <c r="AG41" s="33" t="s">
        <v>5114</v>
      </c>
      <c r="AH41" s="147"/>
      <c r="AI41" s="173"/>
    </row>
    <row r="42" spans="1:36" s="288" customFormat="1">
      <c r="A42" s="135" t="s">
        <v>2536</v>
      </c>
      <c r="B42" s="84">
        <v>267</v>
      </c>
      <c r="C42" s="84">
        <v>304</v>
      </c>
      <c r="D42" s="84">
        <v>7</v>
      </c>
      <c r="E42" s="84">
        <v>15</v>
      </c>
      <c r="F42" s="59">
        <v>33.020000000000003</v>
      </c>
      <c r="G42" s="42" t="s">
        <v>3305</v>
      </c>
      <c r="H42" s="31" t="s">
        <v>2191</v>
      </c>
      <c r="I42" s="17" t="s">
        <v>323</v>
      </c>
      <c r="J42" s="77">
        <v>50.89</v>
      </c>
      <c r="K42" s="77">
        <v>9.8000000000000007</v>
      </c>
      <c r="L42" s="77">
        <v>23.82</v>
      </c>
      <c r="M42" s="365"/>
      <c r="N42" s="365">
        <f t="shared" ref="N42" si="18">K42+J42+L42</f>
        <v>84.509999999999991</v>
      </c>
      <c r="O42" s="343"/>
      <c r="P42" s="195"/>
      <c r="Q42" s="326"/>
      <c r="R42" s="111">
        <v>12</v>
      </c>
      <c r="S42" s="51"/>
      <c r="T42" s="339"/>
      <c r="U42" s="329"/>
      <c r="V42" s="371">
        <v>5.1100000000000003</v>
      </c>
      <c r="W42" s="35">
        <v>2.5</v>
      </c>
      <c r="X42" s="59">
        <v>7.95</v>
      </c>
      <c r="Y42" s="171" t="str">
        <f>RTD("money.excel",,"3374","Price")</f>
        <v>無資料</v>
      </c>
      <c r="Z42" s="227">
        <v>137</v>
      </c>
      <c r="AA42" s="112" t="e">
        <f t="shared" ref="AA42:AA47" si="19">Y42-Z42</f>
        <v>#VALUE!</v>
      </c>
      <c r="AB42" s="174" t="e">
        <f t="shared" ref="AB42:AB47" si="20">AA42/Z42</f>
        <v>#VALUE!</v>
      </c>
      <c r="AC42" s="178" t="s">
        <v>5115</v>
      </c>
      <c r="AD42" s="176" t="s">
        <v>323</v>
      </c>
      <c r="AE42" s="89">
        <v>44463</v>
      </c>
      <c r="AF42" s="88"/>
      <c r="AG42" s="34">
        <f t="shared" ref="AG42" si="21">AF42-AE42</f>
        <v>-44463</v>
      </c>
      <c r="AH42" s="42" t="s">
        <v>1790</v>
      </c>
    </row>
    <row r="43" spans="1:36" s="288" customFormat="1">
      <c r="A43" s="135" t="s">
        <v>2536</v>
      </c>
      <c r="B43" s="84">
        <v>267</v>
      </c>
      <c r="C43" s="84">
        <v>304</v>
      </c>
      <c r="D43" s="84">
        <v>7</v>
      </c>
      <c r="E43" s="84">
        <v>15</v>
      </c>
      <c r="F43" s="59">
        <v>33.020000000000003</v>
      </c>
      <c r="G43" s="42" t="s">
        <v>3305</v>
      </c>
      <c r="H43" s="31" t="s">
        <v>2191</v>
      </c>
      <c r="I43" s="17" t="s">
        <v>323</v>
      </c>
      <c r="J43" s="77">
        <v>50.89</v>
      </c>
      <c r="K43" s="77">
        <v>9.8000000000000007</v>
      </c>
      <c r="L43" s="77">
        <v>23.82</v>
      </c>
      <c r="M43" s="365"/>
      <c r="N43" s="365">
        <f t="shared" ref="N43" si="22">K43+J43+L43</f>
        <v>84.509999999999991</v>
      </c>
      <c r="O43" s="343"/>
      <c r="P43" s="195"/>
      <c r="Q43" s="326"/>
      <c r="R43" s="111">
        <v>12</v>
      </c>
      <c r="S43" s="51"/>
      <c r="T43" s="339"/>
      <c r="U43" s="329"/>
      <c r="V43" s="371">
        <v>5.1100000000000003</v>
      </c>
      <c r="W43" s="35">
        <v>2.5</v>
      </c>
      <c r="X43" s="59">
        <v>7.95</v>
      </c>
      <c r="Y43" s="171" t="str">
        <f>RTD("money.excel",,"3374","Price")</f>
        <v>無資料</v>
      </c>
      <c r="Z43" s="227">
        <f>162.5-2.5</f>
        <v>160</v>
      </c>
      <c r="AA43" s="112" t="e">
        <f t="shared" si="19"/>
        <v>#VALUE!</v>
      </c>
      <c r="AB43" s="174" t="e">
        <f t="shared" si="20"/>
        <v>#VALUE!</v>
      </c>
      <c r="AC43" s="178" t="s">
        <v>5115</v>
      </c>
      <c r="AD43" s="176" t="s">
        <v>323</v>
      </c>
      <c r="AE43" s="89">
        <v>44299</v>
      </c>
      <c r="AF43" s="88"/>
      <c r="AG43" s="34">
        <f t="shared" ref="AG43" si="23">AF43-AE43</f>
        <v>-44299</v>
      </c>
      <c r="AH43" s="42" t="s">
        <v>1790</v>
      </c>
    </row>
    <row r="44" spans="1:36" s="288" customFormat="1">
      <c r="A44" s="135" t="s">
        <v>2536</v>
      </c>
      <c r="B44" s="84">
        <v>267</v>
      </c>
      <c r="C44" s="84">
        <v>304</v>
      </c>
      <c r="D44" s="84">
        <v>7</v>
      </c>
      <c r="E44" s="84">
        <v>15</v>
      </c>
      <c r="F44" s="59">
        <v>33.020000000000003</v>
      </c>
      <c r="G44" s="42" t="s">
        <v>3305</v>
      </c>
      <c r="H44" s="31" t="s">
        <v>2191</v>
      </c>
      <c r="I44" s="17" t="s">
        <v>323</v>
      </c>
      <c r="J44" s="77">
        <v>50.89</v>
      </c>
      <c r="K44" s="77">
        <v>9.8000000000000007</v>
      </c>
      <c r="L44" s="77">
        <v>23.82</v>
      </c>
      <c r="M44" s="365"/>
      <c r="N44" s="365">
        <f t="shared" ref="N44:N46" si="24">K44+J44+L44</f>
        <v>84.509999999999991</v>
      </c>
      <c r="O44" s="343"/>
      <c r="P44" s="195"/>
      <c r="Q44" s="326"/>
      <c r="R44" s="111">
        <v>12</v>
      </c>
      <c r="S44" s="51"/>
      <c r="T44" s="339"/>
      <c r="U44" s="329"/>
      <c r="V44" s="371">
        <v>5.1100000000000003</v>
      </c>
      <c r="W44" s="35">
        <v>2.5</v>
      </c>
      <c r="X44" s="59">
        <v>7.95</v>
      </c>
      <c r="Y44" s="171" t="str">
        <f>RTD("money.excel",,"3374","Price")</f>
        <v>無資料</v>
      </c>
      <c r="Z44" s="227">
        <f>167.5-2.5</f>
        <v>165</v>
      </c>
      <c r="AA44" s="112" t="e">
        <f t="shared" si="19"/>
        <v>#VALUE!</v>
      </c>
      <c r="AB44" s="174" t="e">
        <f t="shared" si="20"/>
        <v>#VALUE!</v>
      </c>
      <c r="AC44" s="178" t="s">
        <v>5115</v>
      </c>
      <c r="AD44" s="176" t="s">
        <v>323</v>
      </c>
      <c r="AE44" s="89">
        <v>44299</v>
      </c>
      <c r="AF44" s="88"/>
      <c r="AG44" s="34">
        <f t="shared" ref="AG44" si="25">AF44-AE44</f>
        <v>-44299</v>
      </c>
      <c r="AH44" s="42" t="s">
        <v>1790</v>
      </c>
    </row>
    <row r="45" spans="1:36" s="288" customFormat="1">
      <c r="A45" s="135" t="s">
        <v>2536</v>
      </c>
      <c r="B45" s="84">
        <v>267</v>
      </c>
      <c r="C45" s="84">
        <v>304</v>
      </c>
      <c r="D45" s="84">
        <v>7</v>
      </c>
      <c r="E45" s="84">
        <v>15</v>
      </c>
      <c r="F45" s="59">
        <v>33.020000000000003</v>
      </c>
      <c r="G45" s="42" t="s">
        <v>3305</v>
      </c>
      <c r="H45" s="31" t="s">
        <v>2191</v>
      </c>
      <c r="I45" s="17" t="s">
        <v>323</v>
      </c>
      <c r="J45" s="77">
        <v>50.89</v>
      </c>
      <c r="K45" s="77">
        <v>9.8000000000000007</v>
      </c>
      <c r="L45" s="77">
        <v>23.82</v>
      </c>
      <c r="M45" s="365"/>
      <c r="N45" s="365">
        <f t="shared" si="24"/>
        <v>84.509999999999991</v>
      </c>
      <c r="O45" s="343"/>
      <c r="P45" s="195"/>
      <c r="Q45" s="326"/>
      <c r="R45" s="111">
        <v>12</v>
      </c>
      <c r="S45" s="51"/>
      <c r="T45" s="339"/>
      <c r="U45" s="329"/>
      <c r="V45" s="371">
        <v>5.1100000000000003</v>
      </c>
      <c r="W45" s="35">
        <v>2.5</v>
      </c>
      <c r="X45" s="59">
        <v>7.95</v>
      </c>
      <c r="Y45" s="171" t="str">
        <f>RTD("money.excel",,"3374","Price")</f>
        <v>無資料</v>
      </c>
      <c r="Z45" s="227">
        <f>175.5-2.5</f>
        <v>173</v>
      </c>
      <c r="AA45" s="112" t="e">
        <f t="shared" si="19"/>
        <v>#VALUE!</v>
      </c>
      <c r="AB45" s="174" t="e">
        <f t="shared" si="20"/>
        <v>#VALUE!</v>
      </c>
      <c r="AC45" s="178" t="s">
        <v>5115</v>
      </c>
      <c r="AD45" s="176" t="s">
        <v>323</v>
      </c>
      <c r="AE45" s="89">
        <v>44295</v>
      </c>
      <c r="AF45" s="88"/>
      <c r="AG45" s="34">
        <f t="shared" ref="AG45" si="26">AF45-AE45</f>
        <v>-44295</v>
      </c>
      <c r="AH45" s="42" t="s">
        <v>1790</v>
      </c>
    </row>
    <row r="46" spans="1:36" s="288" customFormat="1">
      <c r="A46" s="135" t="s">
        <v>2536</v>
      </c>
      <c r="B46" s="84">
        <v>267</v>
      </c>
      <c r="C46" s="84">
        <v>304</v>
      </c>
      <c r="D46" s="84">
        <v>7</v>
      </c>
      <c r="E46" s="84">
        <v>15</v>
      </c>
      <c r="F46" s="59">
        <v>33.020000000000003</v>
      </c>
      <c r="G46" s="42" t="s">
        <v>3305</v>
      </c>
      <c r="H46" s="31" t="s">
        <v>5064</v>
      </c>
      <c r="I46" s="17" t="s">
        <v>323</v>
      </c>
      <c r="J46" s="77">
        <v>50.89</v>
      </c>
      <c r="K46" s="77">
        <v>9.8000000000000007</v>
      </c>
      <c r="L46" s="77">
        <v>23.82</v>
      </c>
      <c r="M46" s="365"/>
      <c r="N46" s="365">
        <f t="shared" si="24"/>
        <v>84.509999999999991</v>
      </c>
      <c r="O46" s="343"/>
      <c r="P46" s="195"/>
      <c r="Q46" s="326"/>
      <c r="R46" s="111">
        <v>12</v>
      </c>
      <c r="S46" s="51"/>
      <c r="T46" s="339"/>
      <c r="U46" s="329"/>
      <c r="V46" s="371">
        <v>5.1100000000000003</v>
      </c>
      <c r="W46" s="35">
        <v>2.5</v>
      </c>
      <c r="X46" s="59">
        <v>7.95</v>
      </c>
      <c r="Y46" s="171" t="str">
        <f>RTD("money.excel",,"3374","Price")</f>
        <v>無資料</v>
      </c>
      <c r="Z46" s="227">
        <f>180.5-2.5</f>
        <v>178</v>
      </c>
      <c r="AA46" s="112" t="e">
        <f t="shared" si="19"/>
        <v>#VALUE!</v>
      </c>
      <c r="AB46" s="174" t="e">
        <f t="shared" si="20"/>
        <v>#VALUE!</v>
      </c>
      <c r="AC46" s="178" t="s">
        <v>5115</v>
      </c>
      <c r="AD46" s="176" t="s">
        <v>323</v>
      </c>
      <c r="AE46" s="89">
        <v>44292</v>
      </c>
      <c r="AF46" s="88"/>
      <c r="AG46" s="34">
        <f t="shared" ref="AG46" si="27">AF46-AE46</f>
        <v>-44292</v>
      </c>
      <c r="AH46" s="42" t="s">
        <v>4544</v>
      </c>
    </row>
    <row r="47" spans="1:36" s="288" customFormat="1">
      <c r="A47" s="150"/>
      <c r="B47" s="84"/>
      <c r="C47" s="84"/>
      <c r="D47" s="84"/>
      <c r="E47" s="84"/>
      <c r="F47" s="7"/>
      <c r="G47" s="42"/>
      <c r="H47" s="9"/>
      <c r="I47" s="163"/>
      <c r="J47" s="371"/>
      <c r="K47" s="371"/>
      <c r="L47" s="371"/>
      <c r="M47" s="365"/>
      <c r="N47" s="365"/>
      <c r="O47" s="343"/>
      <c r="P47" s="229"/>
      <c r="Q47" s="326"/>
      <c r="R47" s="111"/>
      <c r="S47" s="51"/>
      <c r="T47" s="339"/>
      <c r="U47" s="329"/>
      <c r="V47" s="371"/>
      <c r="W47" s="205"/>
      <c r="X47" s="100"/>
      <c r="Y47" s="175">
        <f>SUM(Y43:Y46)</f>
        <v>0</v>
      </c>
      <c r="Z47" s="165">
        <f>SUM(Z43:Z46)</f>
        <v>676</v>
      </c>
      <c r="AA47" s="256">
        <f t="shared" si="19"/>
        <v>-676</v>
      </c>
      <c r="AB47" s="174">
        <f t="shared" si="20"/>
        <v>-1</v>
      </c>
      <c r="AC47" s="121"/>
      <c r="AD47" s="163">
        <f>Y47*(0.001425*0.5)+Y47*0.003+Z47*(0.001425*0.5)</f>
        <v>0.48165000000000002</v>
      </c>
      <c r="AE47" s="7">
        <f>AA47-AD47</f>
        <v>-676.48164999999995</v>
      </c>
      <c r="AF47" s="88"/>
      <c r="AG47" s="34"/>
      <c r="AH47" s="42" t="s">
        <v>1792</v>
      </c>
      <c r="AI47" s="173"/>
    </row>
    <row r="48" spans="1:36" s="288" customFormat="1">
      <c r="A48" s="135"/>
      <c r="B48" s="84"/>
      <c r="C48" s="84"/>
      <c r="D48" s="85"/>
      <c r="E48" s="84"/>
      <c r="F48" s="59"/>
      <c r="G48" s="58"/>
      <c r="H48" s="154"/>
      <c r="I48" s="176"/>
      <c r="J48" s="77"/>
      <c r="K48" s="371"/>
      <c r="L48" s="77"/>
      <c r="M48" s="365"/>
      <c r="N48" s="365"/>
      <c r="O48" s="343"/>
      <c r="P48" s="195"/>
      <c r="Q48" s="326"/>
      <c r="R48" s="111"/>
      <c r="S48" s="51"/>
      <c r="T48" s="339"/>
      <c r="U48" s="329"/>
      <c r="V48" s="371"/>
      <c r="W48" s="205"/>
      <c r="X48" s="100"/>
      <c r="Y48" s="171"/>
      <c r="Z48" s="165"/>
      <c r="AA48" s="198"/>
      <c r="AB48" s="174"/>
      <c r="AC48" s="178"/>
      <c r="AD48" s="176"/>
      <c r="AE48" s="89"/>
      <c r="AF48" s="88"/>
      <c r="AG48" s="124"/>
      <c r="AH48" s="126"/>
    </row>
    <row r="49" spans="1:40" s="288" customFormat="1">
      <c r="A49" s="135" t="s">
        <v>2552</v>
      </c>
      <c r="B49" s="96" t="s">
        <v>2331</v>
      </c>
      <c r="C49" s="96" t="s">
        <v>2332</v>
      </c>
      <c r="D49" s="96" t="s">
        <v>2333</v>
      </c>
      <c r="E49" s="96" t="s">
        <v>2334</v>
      </c>
      <c r="F49" s="9" t="s">
        <v>1709</v>
      </c>
      <c r="G49" s="27" t="s">
        <v>5626</v>
      </c>
      <c r="H49" s="56" t="s">
        <v>578</v>
      </c>
      <c r="I49" s="1" t="s">
        <v>3593</v>
      </c>
      <c r="J49" s="364" t="s">
        <v>2189</v>
      </c>
      <c r="K49" s="364" t="s">
        <v>1820</v>
      </c>
      <c r="L49" s="364" t="s">
        <v>515</v>
      </c>
      <c r="M49" s="364" t="s">
        <v>1699</v>
      </c>
      <c r="N49" s="364" t="s">
        <v>6633</v>
      </c>
      <c r="O49" s="343" t="s">
        <v>6634</v>
      </c>
      <c r="P49" s="83" t="s">
        <v>5279</v>
      </c>
      <c r="Q49" s="326" t="s">
        <v>5514</v>
      </c>
      <c r="R49" s="31" t="s">
        <v>6596</v>
      </c>
      <c r="S49" s="51" t="s">
        <v>6597</v>
      </c>
      <c r="T49" s="338" t="s">
        <v>5627</v>
      </c>
      <c r="U49" s="330" t="s">
        <v>6537</v>
      </c>
      <c r="V49" s="377" t="s">
        <v>6616</v>
      </c>
      <c r="W49" s="15" t="s">
        <v>127</v>
      </c>
      <c r="X49" s="71" t="s">
        <v>6626</v>
      </c>
      <c r="Y49" s="29" t="s">
        <v>6688</v>
      </c>
      <c r="Z49" s="18" t="s">
        <v>2113</v>
      </c>
      <c r="AA49" s="15" t="s">
        <v>3598</v>
      </c>
      <c r="AB49" s="22" t="s">
        <v>2199</v>
      </c>
      <c r="AC49" s="26" t="s">
        <v>211</v>
      </c>
      <c r="AD49" s="1" t="s">
        <v>3593</v>
      </c>
      <c r="AE49" s="75" t="s">
        <v>2114</v>
      </c>
      <c r="AF49" s="76" t="s">
        <v>1826</v>
      </c>
      <c r="AG49" s="33" t="s">
        <v>1827</v>
      </c>
      <c r="AH49" s="147"/>
      <c r="AI49" s="173"/>
    </row>
    <row r="50" spans="1:40">
      <c r="A50" s="151" t="s">
        <v>4648</v>
      </c>
      <c r="B50" s="84">
        <v>256</v>
      </c>
      <c r="C50" s="84">
        <v>355</v>
      </c>
      <c r="D50" s="85">
        <v>-3</v>
      </c>
      <c r="E50" s="85">
        <v>-18</v>
      </c>
      <c r="F50" s="7">
        <v>7.57</v>
      </c>
      <c r="G50" s="85">
        <v>3162</v>
      </c>
      <c r="H50" s="31" t="s">
        <v>2191</v>
      </c>
      <c r="I50" s="17" t="s">
        <v>1012</v>
      </c>
      <c r="J50" s="371">
        <v>53.88</v>
      </c>
      <c r="K50" s="77">
        <v>51.78</v>
      </c>
      <c r="L50" s="371"/>
      <c r="N50" s="77">
        <f>K50+J50+L50</f>
        <v>105.66</v>
      </c>
      <c r="P50" s="195">
        <v>2</v>
      </c>
      <c r="Q50" s="326" t="str">
        <f>IFERROR(VLOOKUP($G50,主力整理!$A$2:$G$2301,6,0),"0")</f>
        <v>0</v>
      </c>
      <c r="R50" s="111">
        <v>8</v>
      </c>
      <c r="S50" s="51">
        <v>0</v>
      </c>
      <c r="T50" s="339">
        <f>SUM(R50:S50)</f>
        <v>8</v>
      </c>
      <c r="W50" s="35">
        <v>0</v>
      </c>
      <c r="X50" s="59">
        <v>7.0000000000000007E-2</v>
      </c>
      <c r="Y50" s="14" t="str">
        <f>RTD("money.excel",,"3162","Price")</f>
        <v>無資料</v>
      </c>
      <c r="Z50" s="242">
        <v>46.2</v>
      </c>
      <c r="AA50" s="16" t="e">
        <f>Y50-Z50</f>
        <v>#VALUE!</v>
      </c>
      <c r="AB50" s="80" t="e">
        <f>AA50/Z50</f>
        <v>#VALUE!</v>
      </c>
      <c r="AC50" s="144" t="s">
        <v>6455</v>
      </c>
      <c r="AD50" s="17" t="s">
        <v>1012</v>
      </c>
      <c r="AE50" s="89">
        <v>44518</v>
      </c>
      <c r="AG50" s="34">
        <f t="shared" ref="AG50" si="28">AF50-AE50</f>
        <v>-44518</v>
      </c>
      <c r="AH50" s="42" t="s">
        <v>1790</v>
      </c>
      <c r="AI50" s="249"/>
      <c r="AJ50" s="17"/>
      <c r="AK50" s="228"/>
      <c r="AL50" s="272"/>
      <c r="AM50" s="290"/>
      <c r="AN50" s="292"/>
    </row>
    <row r="51" spans="1:40" s="288" customFormat="1">
      <c r="A51" s="150"/>
      <c r="B51" s="84"/>
      <c r="C51" s="84"/>
      <c r="D51" s="84"/>
      <c r="E51" s="84"/>
      <c r="F51" s="7"/>
      <c r="G51" s="42"/>
      <c r="H51" s="9"/>
      <c r="I51" s="163"/>
      <c r="J51" s="371"/>
      <c r="K51" s="371"/>
      <c r="L51" s="371"/>
      <c r="M51" s="365"/>
      <c r="N51" s="365"/>
      <c r="O51" s="343"/>
      <c r="P51" s="229"/>
      <c r="Q51" s="326"/>
      <c r="R51" s="111"/>
      <c r="S51" s="51"/>
      <c r="T51" s="339"/>
      <c r="U51" s="329"/>
      <c r="V51" s="371"/>
      <c r="W51" s="205"/>
      <c r="X51" s="100"/>
      <c r="Y51" s="175">
        <f>SUM(Y50)</f>
        <v>0</v>
      </c>
      <c r="Z51" s="165">
        <f>SUM(Z50)</f>
        <v>46.2</v>
      </c>
      <c r="AA51" s="172">
        <f>Y51-Z51</f>
        <v>-46.2</v>
      </c>
      <c r="AB51" s="174">
        <f>AA51/Z51</f>
        <v>-1</v>
      </c>
      <c r="AC51" s="121"/>
      <c r="AD51" s="163">
        <f>Y51*(0.001425*0.5)+Y51*0.003+Z51*(0.001425*0.5)</f>
        <v>3.2917500000000002E-2</v>
      </c>
      <c r="AE51" s="7">
        <f>AA51-AD51</f>
        <v>-46.232917500000006</v>
      </c>
      <c r="AF51" s="88"/>
      <c r="AG51" s="34"/>
      <c r="AH51" s="42" t="s">
        <v>1790</v>
      </c>
      <c r="AI51" s="173"/>
    </row>
    <row r="52" spans="1:40" s="288" customFormat="1">
      <c r="A52" s="150"/>
      <c r="B52" s="84"/>
      <c r="C52" s="84"/>
      <c r="D52" s="84"/>
      <c r="E52" s="84"/>
      <c r="F52" s="7"/>
      <c r="G52" s="42"/>
      <c r="H52" s="9"/>
      <c r="I52" s="163"/>
      <c r="J52" s="371"/>
      <c r="K52" s="371"/>
      <c r="L52" s="371"/>
      <c r="M52" s="365"/>
      <c r="N52" s="365"/>
      <c r="O52" s="343"/>
      <c r="P52" s="229"/>
      <c r="Q52" s="326"/>
      <c r="R52" s="111"/>
      <c r="S52" s="51"/>
      <c r="T52" s="339"/>
      <c r="U52" s="329"/>
      <c r="V52" s="371"/>
      <c r="W52" s="205"/>
      <c r="X52" s="100"/>
      <c r="Y52" s="175"/>
      <c r="Z52" s="165"/>
      <c r="AA52" s="172"/>
      <c r="AB52" s="174"/>
      <c r="AC52" s="121"/>
      <c r="AD52" s="163"/>
      <c r="AE52" s="7"/>
      <c r="AF52" s="88"/>
      <c r="AG52" s="34"/>
      <c r="AH52" s="42"/>
      <c r="AI52" s="173"/>
    </row>
    <row r="53" spans="1:40" s="288" customFormat="1">
      <c r="A53" s="135" t="s">
        <v>2552</v>
      </c>
      <c r="B53" s="96" t="s">
        <v>2331</v>
      </c>
      <c r="C53" s="96" t="s">
        <v>2332</v>
      </c>
      <c r="D53" s="96" t="s">
        <v>2333</v>
      </c>
      <c r="E53" s="96" t="s">
        <v>2334</v>
      </c>
      <c r="F53" s="9" t="s">
        <v>1709</v>
      </c>
      <c r="G53" s="27" t="s">
        <v>5626</v>
      </c>
      <c r="H53" s="56" t="s">
        <v>578</v>
      </c>
      <c r="I53" s="1" t="s">
        <v>131</v>
      </c>
      <c r="J53" s="364" t="s">
        <v>2189</v>
      </c>
      <c r="K53" s="364" t="s">
        <v>1820</v>
      </c>
      <c r="L53" s="364" t="s">
        <v>515</v>
      </c>
      <c r="M53" s="364" t="s">
        <v>1699</v>
      </c>
      <c r="N53" s="364" t="s">
        <v>6633</v>
      </c>
      <c r="O53" s="343" t="s">
        <v>6634</v>
      </c>
      <c r="P53" s="83" t="s">
        <v>5279</v>
      </c>
      <c r="Q53" s="326" t="s">
        <v>5514</v>
      </c>
      <c r="R53" s="31" t="s">
        <v>6596</v>
      </c>
      <c r="S53" s="51" t="s">
        <v>6597</v>
      </c>
      <c r="T53" s="338" t="s">
        <v>5627</v>
      </c>
      <c r="U53" s="330" t="s">
        <v>6537</v>
      </c>
      <c r="V53" s="377" t="s">
        <v>6616</v>
      </c>
      <c r="W53" s="15" t="s">
        <v>127</v>
      </c>
      <c r="X53" s="71" t="s">
        <v>6626</v>
      </c>
      <c r="Y53" s="29" t="s">
        <v>6688</v>
      </c>
      <c r="Z53" s="18" t="s">
        <v>2113</v>
      </c>
      <c r="AA53" s="15" t="s">
        <v>3598</v>
      </c>
      <c r="AB53" s="22" t="s">
        <v>2199</v>
      </c>
      <c r="AC53" s="26" t="s">
        <v>211</v>
      </c>
      <c r="AD53" s="1" t="s">
        <v>131</v>
      </c>
      <c r="AE53" s="75" t="s">
        <v>2114</v>
      </c>
      <c r="AF53" s="76" t="s">
        <v>1826</v>
      </c>
      <c r="AG53" s="33" t="s">
        <v>1827</v>
      </c>
      <c r="AH53" s="147"/>
      <c r="AI53" s="173"/>
    </row>
    <row r="54" spans="1:40">
      <c r="A54" s="151" t="s">
        <v>4803</v>
      </c>
      <c r="B54" s="84">
        <v>24</v>
      </c>
      <c r="C54" s="85">
        <v>-19</v>
      </c>
      <c r="D54" s="84">
        <v>0</v>
      </c>
      <c r="E54" s="85">
        <v>-8</v>
      </c>
      <c r="F54" s="7">
        <v>5.91</v>
      </c>
      <c r="G54" s="84">
        <v>6179</v>
      </c>
      <c r="H54" s="9" t="s">
        <v>429</v>
      </c>
      <c r="I54" s="17" t="s">
        <v>1194</v>
      </c>
      <c r="J54" s="371">
        <v>45.15</v>
      </c>
      <c r="K54" s="371">
        <v>0.88</v>
      </c>
      <c r="L54" s="77">
        <v>23.13</v>
      </c>
      <c r="N54" s="365">
        <f t="shared" ref="N54" si="29">K54+J54+L54</f>
        <v>69.16</v>
      </c>
      <c r="P54" s="195">
        <v>1</v>
      </c>
      <c r="Q54" s="326">
        <v>0</v>
      </c>
      <c r="R54" s="111">
        <v>1</v>
      </c>
      <c r="S54" s="51">
        <v>0</v>
      </c>
      <c r="T54" s="339">
        <f>SUM(R54:S54)</f>
        <v>1</v>
      </c>
      <c r="V54" s="371">
        <v>0.06</v>
      </c>
      <c r="W54" s="35">
        <v>1.88</v>
      </c>
      <c r="X54" s="100">
        <v>2.72</v>
      </c>
      <c r="Y54" s="37" t="str">
        <f>RTD("money.excel",,"6179","Price")</f>
        <v>無資料</v>
      </c>
      <c r="Z54" s="69">
        <v>30.75</v>
      </c>
      <c r="AA54" s="16" t="e">
        <f t="shared" ref="AA54" si="30">Y54-Z54</f>
        <v>#VALUE!</v>
      </c>
      <c r="AB54" s="3" t="e">
        <f t="shared" ref="AB54" si="31">AA54/Z54</f>
        <v>#VALUE!</v>
      </c>
      <c r="AC54" s="107" t="s">
        <v>2648</v>
      </c>
      <c r="AD54" s="17" t="s">
        <v>1194</v>
      </c>
      <c r="AE54" s="89">
        <v>44526</v>
      </c>
      <c r="AG54" s="34">
        <f t="shared" ref="AG54" si="32">AF54-AE54</f>
        <v>-44526</v>
      </c>
      <c r="AH54" s="42" t="s">
        <v>1790</v>
      </c>
      <c r="AJ54" s="17"/>
      <c r="AK54" s="228"/>
      <c r="AL54" s="272"/>
      <c r="AM54" s="290"/>
      <c r="AN54" s="292"/>
    </row>
    <row r="55" spans="1:40" s="288" customFormat="1">
      <c r="A55" s="150"/>
      <c r="B55" s="84"/>
      <c r="C55" s="84"/>
      <c r="D55" s="84"/>
      <c r="E55" s="84"/>
      <c r="F55" s="7"/>
      <c r="G55" s="42"/>
      <c r="H55" s="9"/>
      <c r="I55" s="163"/>
      <c r="J55" s="371"/>
      <c r="K55" s="371"/>
      <c r="L55" s="371"/>
      <c r="M55" s="365"/>
      <c r="N55" s="365"/>
      <c r="O55" s="343"/>
      <c r="P55" s="229"/>
      <c r="Q55" s="326"/>
      <c r="R55" s="111"/>
      <c r="S55" s="51"/>
      <c r="T55" s="339"/>
      <c r="U55" s="329"/>
      <c r="V55" s="371"/>
      <c r="W55" s="205"/>
      <c r="X55" s="100"/>
      <c r="Y55" s="175">
        <f>SUM(Y54)</f>
        <v>0</v>
      </c>
      <c r="Z55" s="165">
        <f>SUM(Z54)</f>
        <v>30.75</v>
      </c>
      <c r="AA55" s="172">
        <f>Y55-Z55</f>
        <v>-30.75</v>
      </c>
      <c r="AB55" s="174">
        <f>AA55/Z55</f>
        <v>-1</v>
      </c>
      <c r="AC55" s="121"/>
      <c r="AD55" s="163">
        <f>Y55*(0.001425*0.5)+Y55*0.003+Z55*(0.001425*0.5)</f>
        <v>2.1909375000000002E-2</v>
      </c>
      <c r="AE55" s="7">
        <f>AA55-AD55</f>
        <v>-30.771909375</v>
      </c>
      <c r="AF55" s="88"/>
      <c r="AG55" s="34"/>
      <c r="AH55" s="42" t="s">
        <v>1790</v>
      </c>
      <c r="AI55" s="173"/>
    </row>
    <row r="56" spans="1:40" s="288" customFormat="1">
      <c r="A56" s="150"/>
      <c r="B56" s="84"/>
      <c r="C56" s="84"/>
      <c r="D56" s="84"/>
      <c r="E56" s="84"/>
      <c r="F56" s="7"/>
      <c r="G56" s="42"/>
      <c r="H56" s="9"/>
      <c r="I56" s="163"/>
      <c r="J56" s="371"/>
      <c r="K56" s="371"/>
      <c r="L56" s="371"/>
      <c r="M56" s="365"/>
      <c r="N56" s="365"/>
      <c r="O56" s="343"/>
      <c r="P56" s="229"/>
      <c r="Q56" s="326"/>
      <c r="R56" s="111"/>
      <c r="S56" s="51"/>
      <c r="T56" s="339"/>
      <c r="U56" s="329"/>
      <c r="V56" s="371"/>
      <c r="W56" s="205"/>
      <c r="X56" s="100"/>
      <c r="Y56" s="175"/>
      <c r="Z56" s="165"/>
      <c r="AA56" s="172"/>
      <c r="AB56" s="174"/>
      <c r="AC56" s="121"/>
      <c r="AD56" s="163"/>
      <c r="AE56" s="7"/>
      <c r="AF56" s="88"/>
      <c r="AG56" s="34"/>
      <c r="AH56" s="42"/>
      <c r="AI56" s="173"/>
    </row>
    <row r="57" spans="1:40" s="288" customFormat="1">
      <c r="A57" s="135" t="s">
        <v>2552</v>
      </c>
      <c r="B57" s="96" t="s">
        <v>2331</v>
      </c>
      <c r="C57" s="96" t="s">
        <v>2332</v>
      </c>
      <c r="D57" s="96" t="s">
        <v>2333</v>
      </c>
      <c r="E57" s="96" t="s">
        <v>2334</v>
      </c>
      <c r="F57" s="9" t="s">
        <v>1709</v>
      </c>
      <c r="G57" s="27" t="s">
        <v>5626</v>
      </c>
      <c r="H57" s="56" t="s">
        <v>578</v>
      </c>
      <c r="I57" s="1" t="s">
        <v>131</v>
      </c>
      <c r="J57" s="364" t="s">
        <v>2189</v>
      </c>
      <c r="K57" s="364" t="s">
        <v>1820</v>
      </c>
      <c r="L57" s="364" t="s">
        <v>515</v>
      </c>
      <c r="M57" s="364" t="s">
        <v>1699</v>
      </c>
      <c r="N57" s="364" t="s">
        <v>6633</v>
      </c>
      <c r="O57" s="343" t="s">
        <v>6634</v>
      </c>
      <c r="P57" s="83" t="s">
        <v>5279</v>
      </c>
      <c r="Q57" s="326" t="s">
        <v>5514</v>
      </c>
      <c r="R57" s="31" t="s">
        <v>6596</v>
      </c>
      <c r="S57" s="51" t="s">
        <v>6597</v>
      </c>
      <c r="T57" s="338" t="s">
        <v>5627</v>
      </c>
      <c r="U57" s="330" t="s">
        <v>6537</v>
      </c>
      <c r="V57" s="377" t="s">
        <v>6616</v>
      </c>
      <c r="W57" s="15" t="s">
        <v>127</v>
      </c>
      <c r="X57" s="71" t="s">
        <v>6626</v>
      </c>
      <c r="Y57" s="29" t="s">
        <v>6688</v>
      </c>
      <c r="Z57" s="18" t="s">
        <v>2113</v>
      </c>
      <c r="AA57" s="15" t="s">
        <v>3598</v>
      </c>
      <c r="AB57" s="22" t="s">
        <v>2199</v>
      </c>
      <c r="AC57" s="26" t="s">
        <v>211</v>
      </c>
      <c r="AD57" s="1" t="s">
        <v>131</v>
      </c>
      <c r="AE57" s="75" t="s">
        <v>2114</v>
      </c>
      <c r="AF57" s="76" t="s">
        <v>1826</v>
      </c>
      <c r="AG57" s="33" t="s">
        <v>1827</v>
      </c>
      <c r="AH57" s="147"/>
      <c r="AI57" s="173"/>
    </row>
    <row r="58" spans="1:40">
      <c r="A58" s="151" t="s">
        <v>3016</v>
      </c>
      <c r="B58" s="84">
        <v>5</v>
      </c>
      <c r="C58" s="84">
        <v>70</v>
      </c>
      <c r="D58" s="84">
        <v>1</v>
      </c>
      <c r="E58" s="84">
        <v>5</v>
      </c>
      <c r="F58" s="7">
        <v>4.54</v>
      </c>
      <c r="G58" s="84">
        <v>3015</v>
      </c>
      <c r="H58" s="31" t="s">
        <v>2191</v>
      </c>
      <c r="I58" s="23" t="s">
        <v>704</v>
      </c>
      <c r="J58" s="77">
        <v>54.32</v>
      </c>
      <c r="K58" s="371">
        <v>12.24</v>
      </c>
      <c r="L58" s="77">
        <v>5.84</v>
      </c>
      <c r="N58" s="365">
        <f>K58+J58+L58</f>
        <v>72.400000000000006</v>
      </c>
      <c r="P58" s="195">
        <v>2</v>
      </c>
      <c r="Q58" s="326" t="str">
        <f>IFERROR(VLOOKUP($G58,主力整理!$A$2:$G$2301,6,0),"0")</f>
        <v>0</v>
      </c>
      <c r="R58" s="111">
        <v>2</v>
      </c>
      <c r="S58" s="51">
        <v>0</v>
      </c>
      <c r="T58" s="339">
        <f>SUM(P58:S58)</f>
        <v>4</v>
      </c>
      <c r="U58" s="329" t="s">
        <v>6539</v>
      </c>
      <c r="V58" s="371">
        <v>0.26</v>
      </c>
      <c r="W58" s="69">
        <v>3</v>
      </c>
      <c r="X58" s="59">
        <v>3.68</v>
      </c>
      <c r="Y58" s="37" t="str">
        <f>RTD("money.excel",,"3015","Price")</f>
        <v>無資料</v>
      </c>
      <c r="Z58" s="242">
        <v>44.4</v>
      </c>
      <c r="AA58" s="16" t="e">
        <f>Y58-Z58</f>
        <v>#VALUE!</v>
      </c>
      <c r="AB58" s="66" t="e">
        <f>AA58/Z58</f>
        <v>#VALUE!</v>
      </c>
      <c r="AC58" s="105" t="s">
        <v>2241</v>
      </c>
      <c r="AD58" s="23" t="s">
        <v>704</v>
      </c>
      <c r="AE58" s="89">
        <v>44539</v>
      </c>
      <c r="AG58" s="34">
        <f>AF58-AE58</f>
        <v>-44539</v>
      </c>
      <c r="AH58" s="42" t="s">
        <v>1790</v>
      </c>
      <c r="AI58" s="249"/>
      <c r="AJ58" s="23"/>
      <c r="AK58" s="228"/>
      <c r="AL58" s="272"/>
      <c r="AM58" s="290"/>
      <c r="AN58" s="293"/>
    </row>
    <row r="59" spans="1:40" s="288" customFormat="1">
      <c r="A59" s="150"/>
      <c r="B59" s="84"/>
      <c r="C59" s="84"/>
      <c r="D59" s="84"/>
      <c r="E59" s="84"/>
      <c r="F59" s="7"/>
      <c r="G59" s="42"/>
      <c r="H59" s="9"/>
      <c r="I59" s="163"/>
      <c r="J59" s="371"/>
      <c r="K59" s="371"/>
      <c r="L59" s="371"/>
      <c r="M59" s="365"/>
      <c r="N59" s="365"/>
      <c r="O59" s="343"/>
      <c r="P59" s="229"/>
      <c r="Q59" s="326"/>
      <c r="R59" s="111"/>
      <c r="S59" s="51"/>
      <c r="T59" s="339"/>
      <c r="U59" s="329"/>
      <c r="V59" s="371"/>
      <c r="W59" s="205"/>
      <c r="X59" s="100"/>
      <c r="Y59" s="175">
        <f>SUM(Y58)</f>
        <v>0</v>
      </c>
      <c r="Z59" s="165">
        <f>SUM(Z58)</f>
        <v>44.4</v>
      </c>
      <c r="AA59" s="172">
        <f>Y59-Z59</f>
        <v>-44.4</v>
      </c>
      <c r="AB59" s="174">
        <f>AA59/Z59</f>
        <v>-1</v>
      </c>
      <c r="AC59" s="121"/>
      <c r="AD59" s="163">
        <f>Y59*(0.001425*0.5)+Y59*0.003+Z59*(0.001425*0.5)</f>
        <v>3.1635000000000003E-2</v>
      </c>
      <c r="AE59" s="7">
        <f>AA59-AD59</f>
        <v>-44.431635</v>
      </c>
      <c r="AF59" s="88"/>
      <c r="AG59" s="34"/>
      <c r="AH59" s="42" t="s">
        <v>1790</v>
      </c>
      <c r="AI59" s="173"/>
    </row>
    <row r="60" spans="1:40" s="288" customFormat="1">
      <c r="A60" s="150"/>
      <c r="B60" s="84"/>
      <c r="C60" s="84"/>
      <c r="D60" s="84"/>
      <c r="E60" s="84"/>
      <c r="F60" s="7"/>
      <c r="G60" s="42"/>
      <c r="H60" s="9"/>
      <c r="I60" s="163"/>
      <c r="J60" s="371"/>
      <c r="K60" s="371"/>
      <c r="L60" s="371"/>
      <c r="M60" s="365"/>
      <c r="N60" s="365"/>
      <c r="O60" s="343"/>
      <c r="P60" s="229"/>
      <c r="Q60" s="326"/>
      <c r="R60" s="111"/>
      <c r="S60" s="51"/>
      <c r="T60" s="339"/>
      <c r="U60" s="329"/>
      <c r="V60" s="371"/>
      <c r="W60" s="205"/>
      <c r="X60" s="100"/>
      <c r="Y60" s="175"/>
      <c r="Z60" s="165"/>
      <c r="AA60" s="172"/>
      <c r="AB60" s="174"/>
      <c r="AC60" s="121"/>
      <c r="AD60" s="163"/>
      <c r="AE60" s="7"/>
      <c r="AF60" s="88"/>
      <c r="AG60" s="34"/>
      <c r="AH60" s="42"/>
      <c r="AI60" s="173"/>
    </row>
    <row r="61" spans="1:40" s="288" customFormat="1">
      <c r="A61" s="135" t="s">
        <v>2552</v>
      </c>
      <c r="B61" s="96" t="s">
        <v>2331</v>
      </c>
      <c r="C61" s="96" t="s">
        <v>2332</v>
      </c>
      <c r="D61" s="96" t="s">
        <v>2333</v>
      </c>
      <c r="E61" s="96" t="s">
        <v>2334</v>
      </c>
      <c r="F61" s="9" t="s">
        <v>1709</v>
      </c>
      <c r="G61" s="27" t="s">
        <v>5626</v>
      </c>
      <c r="H61" s="56" t="s">
        <v>578</v>
      </c>
      <c r="I61" s="1" t="s">
        <v>3593</v>
      </c>
      <c r="J61" s="364" t="s">
        <v>2189</v>
      </c>
      <c r="K61" s="364" t="s">
        <v>1820</v>
      </c>
      <c r="L61" s="364" t="s">
        <v>515</v>
      </c>
      <c r="M61" s="364" t="s">
        <v>1699</v>
      </c>
      <c r="N61" s="364" t="s">
        <v>6633</v>
      </c>
      <c r="O61" s="343" t="s">
        <v>6634</v>
      </c>
      <c r="P61" s="83" t="s">
        <v>5279</v>
      </c>
      <c r="Q61" s="326" t="s">
        <v>5514</v>
      </c>
      <c r="R61" s="31" t="s">
        <v>6596</v>
      </c>
      <c r="S61" s="51" t="s">
        <v>6597</v>
      </c>
      <c r="T61" s="338" t="s">
        <v>5627</v>
      </c>
      <c r="U61" s="330" t="s">
        <v>6537</v>
      </c>
      <c r="V61" s="377" t="s">
        <v>6616</v>
      </c>
      <c r="W61" s="15" t="s">
        <v>127</v>
      </c>
      <c r="X61" s="71" t="s">
        <v>6626</v>
      </c>
      <c r="Y61" s="29" t="s">
        <v>6688</v>
      </c>
      <c r="Z61" s="18" t="s">
        <v>2113</v>
      </c>
      <c r="AA61" s="15" t="s">
        <v>3598</v>
      </c>
      <c r="AB61" s="22" t="s">
        <v>2199</v>
      </c>
      <c r="AC61" s="26" t="s">
        <v>211</v>
      </c>
      <c r="AD61" s="1" t="s">
        <v>3593</v>
      </c>
      <c r="AE61" s="75" t="s">
        <v>2114</v>
      </c>
      <c r="AF61" s="76" t="s">
        <v>1826</v>
      </c>
      <c r="AG61" s="33" t="s">
        <v>1827</v>
      </c>
      <c r="AH61" s="147"/>
      <c r="AI61" s="173"/>
    </row>
    <row r="62" spans="1:40" s="288" customFormat="1">
      <c r="A62" s="151" t="s">
        <v>2688</v>
      </c>
      <c r="B62" s="84">
        <v>349</v>
      </c>
      <c r="C62" s="84">
        <v>884</v>
      </c>
      <c r="D62" s="85">
        <v>-2</v>
      </c>
      <c r="E62" s="85">
        <v>-20</v>
      </c>
      <c r="F62" s="7">
        <v>1.02</v>
      </c>
      <c r="G62" s="42" t="s">
        <v>4592</v>
      </c>
      <c r="H62" s="31" t="s">
        <v>2191</v>
      </c>
      <c r="I62" s="163" t="s">
        <v>5109</v>
      </c>
      <c r="J62" s="77">
        <v>68.64</v>
      </c>
      <c r="K62" s="371">
        <v>32.369999999999997</v>
      </c>
      <c r="L62" s="77">
        <v>2.09</v>
      </c>
      <c r="M62" s="365"/>
      <c r="N62" s="77">
        <f>K62+J62+L62</f>
        <v>103.1</v>
      </c>
      <c r="O62" s="343"/>
      <c r="P62" s="166"/>
      <c r="Q62" s="326"/>
      <c r="R62" s="111">
        <v>2</v>
      </c>
      <c r="S62" s="51"/>
      <c r="T62" s="339"/>
      <c r="U62" s="329"/>
      <c r="V62" s="371">
        <v>0</v>
      </c>
      <c r="W62" s="68">
        <v>4.49</v>
      </c>
      <c r="X62" s="59">
        <v>8.89</v>
      </c>
      <c r="Y62" s="171" t="str">
        <f>RTD("money.excel",,"4938","Price")</f>
        <v>無資料</v>
      </c>
      <c r="Z62" s="279">
        <f>73.1-4.49</f>
        <v>68.61</v>
      </c>
      <c r="AA62" s="172" t="e">
        <f>Y62-Z62</f>
        <v>#VALUE!</v>
      </c>
      <c r="AB62" s="174" t="e">
        <f>AA62/Z62</f>
        <v>#VALUE!</v>
      </c>
      <c r="AC62" s="106" t="s">
        <v>5196</v>
      </c>
      <c r="AD62" s="163" t="s">
        <v>5109</v>
      </c>
      <c r="AE62" s="89">
        <v>44313</v>
      </c>
      <c r="AF62" s="88"/>
      <c r="AG62" s="34">
        <f>AF62-AE62</f>
        <v>-44313</v>
      </c>
      <c r="AH62" s="42" t="s">
        <v>1790</v>
      </c>
      <c r="AI62" s="237"/>
      <c r="AJ62" s="238"/>
    </row>
    <row r="63" spans="1:40" s="288" customFormat="1">
      <c r="A63" s="150"/>
      <c r="B63" s="84"/>
      <c r="C63" s="84"/>
      <c r="D63" s="84"/>
      <c r="E63" s="84"/>
      <c r="F63" s="7"/>
      <c r="G63" s="42"/>
      <c r="H63" s="9"/>
      <c r="I63" s="163"/>
      <c r="J63" s="371"/>
      <c r="K63" s="371"/>
      <c r="L63" s="371"/>
      <c r="M63" s="365"/>
      <c r="N63" s="365"/>
      <c r="O63" s="343"/>
      <c r="P63" s="229"/>
      <c r="Q63" s="326"/>
      <c r="R63" s="111"/>
      <c r="S63" s="51"/>
      <c r="T63" s="339"/>
      <c r="U63" s="329"/>
      <c r="V63" s="371"/>
      <c r="W63" s="205"/>
      <c r="X63" s="100"/>
      <c r="Y63" s="175">
        <f>SUM(Y62)</f>
        <v>0</v>
      </c>
      <c r="Z63" s="165">
        <f>SUM(Z62)</f>
        <v>68.61</v>
      </c>
      <c r="AA63" s="172">
        <f>Y63-Z63</f>
        <v>-68.61</v>
      </c>
      <c r="AB63" s="174">
        <f>AA63/Z63</f>
        <v>-1</v>
      </c>
      <c r="AC63" s="121"/>
      <c r="AD63" s="163">
        <f>Y63*(0.001425*0.5)+Y63*0.003+Z63*(0.001425*0.5)</f>
        <v>4.8884625000000001E-2</v>
      </c>
      <c r="AE63" s="7">
        <f>AA63-AD63</f>
        <v>-68.658884624999999</v>
      </c>
      <c r="AF63" s="88"/>
      <c r="AG63" s="34"/>
      <c r="AH63" s="42" t="s">
        <v>1790</v>
      </c>
      <c r="AI63" s="173"/>
    </row>
    <row r="64" spans="1:40">
      <c r="A64" s="151"/>
      <c r="B64" s="85"/>
      <c r="C64" s="85"/>
      <c r="D64" s="84"/>
      <c r="E64" s="84"/>
      <c r="F64" s="7"/>
      <c r="G64" s="58"/>
      <c r="H64" s="54"/>
      <c r="I64" s="23"/>
      <c r="J64" s="371"/>
      <c r="K64" s="371"/>
      <c r="N64" s="77"/>
      <c r="P64" s="195"/>
      <c r="W64" s="69"/>
      <c r="X64" s="59"/>
      <c r="Y64" s="14"/>
      <c r="Z64" s="69"/>
      <c r="AA64" s="16"/>
      <c r="AB64" s="3"/>
      <c r="AC64" s="105"/>
      <c r="AD64" s="23"/>
      <c r="AG64" s="124"/>
      <c r="AH64" s="125"/>
      <c r="AI64" s="284"/>
      <c r="AJ64" s="9"/>
    </row>
    <row r="65" spans="1:36" s="288" customFormat="1">
      <c r="A65" s="135" t="s">
        <v>2552</v>
      </c>
      <c r="B65" s="96" t="s">
        <v>2331</v>
      </c>
      <c r="C65" s="96" t="s">
        <v>2332</v>
      </c>
      <c r="D65" s="96" t="s">
        <v>2333</v>
      </c>
      <c r="E65" s="96" t="s">
        <v>2334</v>
      </c>
      <c r="F65" s="9" t="s">
        <v>1709</v>
      </c>
      <c r="G65" s="27" t="s">
        <v>5626</v>
      </c>
      <c r="H65" s="56" t="s">
        <v>578</v>
      </c>
      <c r="I65" s="1" t="s">
        <v>3593</v>
      </c>
      <c r="J65" s="364" t="s">
        <v>2189</v>
      </c>
      <c r="K65" s="364" t="s">
        <v>1820</v>
      </c>
      <c r="L65" s="364" t="s">
        <v>515</v>
      </c>
      <c r="M65" s="364" t="s">
        <v>1699</v>
      </c>
      <c r="N65" s="364" t="s">
        <v>6633</v>
      </c>
      <c r="O65" s="343" t="s">
        <v>6634</v>
      </c>
      <c r="P65" s="83" t="s">
        <v>5279</v>
      </c>
      <c r="Q65" s="326" t="s">
        <v>5514</v>
      </c>
      <c r="R65" s="31" t="s">
        <v>6596</v>
      </c>
      <c r="S65" s="51" t="s">
        <v>6597</v>
      </c>
      <c r="T65" s="338" t="s">
        <v>5627</v>
      </c>
      <c r="U65" s="330" t="s">
        <v>6537</v>
      </c>
      <c r="V65" s="377" t="s">
        <v>6616</v>
      </c>
      <c r="W65" s="15" t="s">
        <v>127</v>
      </c>
      <c r="X65" s="71" t="s">
        <v>6626</v>
      </c>
      <c r="Y65" s="29" t="s">
        <v>6688</v>
      </c>
      <c r="Z65" s="18" t="s">
        <v>2113</v>
      </c>
      <c r="AA65" s="15" t="s">
        <v>8</v>
      </c>
      <c r="AB65" s="22" t="s">
        <v>4</v>
      </c>
      <c r="AC65" s="26" t="s">
        <v>211</v>
      </c>
      <c r="AD65" s="1" t="s">
        <v>3593</v>
      </c>
      <c r="AE65" s="75" t="s">
        <v>2114</v>
      </c>
      <c r="AF65" s="76" t="s">
        <v>1826</v>
      </c>
      <c r="AG65" s="33" t="s">
        <v>1827</v>
      </c>
      <c r="AH65" s="147"/>
      <c r="AI65" s="173"/>
    </row>
    <row r="66" spans="1:36">
      <c r="A66" s="135" t="s">
        <v>2560</v>
      </c>
      <c r="B66" s="84">
        <v>86</v>
      </c>
      <c r="C66" s="84">
        <v>124</v>
      </c>
      <c r="D66" s="85">
        <v>-5</v>
      </c>
      <c r="E66" s="84">
        <v>7</v>
      </c>
      <c r="F66" s="59">
        <v>25.67</v>
      </c>
      <c r="G66" s="42" t="s">
        <v>636</v>
      </c>
      <c r="H66" s="31" t="s">
        <v>2191</v>
      </c>
      <c r="I66" s="23" t="s">
        <v>637</v>
      </c>
      <c r="J66" s="371">
        <v>27.11</v>
      </c>
      <c r="K66" s="371">
        <v>16.82</v>
      </c>
      <c r="L66" s="77">
        <v>17.420000000000002</v>
      </c>
      <c r="N66" s="365">
        <f t="shared" ref="N66" si="33">K66+J66+L66</f>
        <v>61.35</v>
      </c>
      <c r="R66" s="111">
        <v>12</v>
      </c>
      <c r="V66" s="371">
        <v>0.44</v>
      </c>
      <c r="W66" s="69">
        <v>5.7</v>
      </c>
      <c r="X66" s="100">
        <v>6.85</v>
      </c>
      <c r="Y66" s="37" t="str">
        <f>RTD("money.excel",,"5471","Price")</f>
        <v>無資料</v>
      </c>
      <c r="Z66" s="242">
        <v>91.8</v>
      </c>
      <c r="AA66" s="16" t="e">
        <f t="shared" ref="AA66" si="34">Y66-Z66</f>
        <v>#VALUE!</v>
      </c>
      <c r="AB66" s="80" t="e">
        <f t="shared" ref="AB66" si="35">AA66/Z66</f>
        <v>#VALUE!</v>
      </c>
      <c r="AC66" s="106" t="s">
        <v>5323</v>
      </c>
      <c r="AD66" s="23" t="s">
        <v>637</v>
      </c>
      <c r="AE66" s="89">
        <v>44525</v>
      </c>
      <c r="AG66" s="34">
        <f>AF66-AE66</f>
        <v>-44525</v>
      </c>
      <c r="AH66" s="42" t="s">
        <v>1790</v>
      </c>
      <c r="AI66" s="249"/>
      <c r="AJ66" s="282"/>
    </row>
    <row r="67" spans="1:36">
      <c r="A67" s="135" t="s">
        <v>2560</v>
      </c>
      <c r="B67" s="84">
        <v>86</v>
      </c>
      <c r="C67" s="84">
        <v>124</v>
      </c>
      <c r="D67" s="85">
        <v>-5</v>
      </c>
      <c r="E67" s="84">
        <v>7</v>
      </c>
      <c r="F67" s="59">
        <v>25.67</v>
      </c>
      <c r="G67" s="42" t="s">
        <v>636</v>
      </c>
      <c r="H67" s="31" t="s">
        <v>2191</v>
      </c>
      <c r="I67" s="23" t="s">
        <v>637</v>
      </c>
      <c r="J67" s="371">
        <v>27.11</v>
      </c>
      <c r="K67" s="371">
        <v>16.82</v>
      </c>
      <c r="L67" s="77">
        <v>17.420000000000002</v>
      </c>
      <c r="N67" s="365">
        <f t="shared" ref="N67" si="36">K67+J67+L67</f>
        <v>61.35</v>
      </c>
      <c r="R67" s="111">
        <v>12</v>
      </c>
      <c r="V67" s="371">
        <v>0.44</v>
      </c>
      <c r="W67" s="69">
        <v>5.7</v>
      </c>
      <c r="X67" s="100">
        <v>6.85</v>
      </c>
      <c r="Y67" s="37" t="str">
        <f>RTD("money.excel",,"5471","Price")</f>
        <v>無資料</v>
      </c>
      <c r="Z67" s="242">
        <f>115.5-5.7</f>
        <v>109.8</v>
      </c>
      <c r="AA67" s="16" t="e">
        <f t="shared" ref="AA67" si="37">Y67-Z67</f>
        <v>#VALUE!</v>
      </c>
      <c r="AB67" s="80" t="e">
        <f t="shared" ref="AB67" si="38">AA67/Z67</f>
        <v>#VALUE!</v>
      </c>
      <c r="AC67" s="106" t="s">
        <v>5323</v>
      </c>
      <c r="AD67" s="23" t="s">
        <v>637</v>
      </c>
      <c r="AE67" s="89">
        <v>44364</v>
      </c>
      <c r="AG67" s="34">
        <f>AF67-AE67</f>
        <v>-44364</v>
      </c>
      <c r="AH67" s="42" t="s">
        <v>1790</v>
      </c>
      <c r="AI67" s="249"/>
      <c r="AJ67" s="282"/>
    </row>
    <row r="68" spans="1:36" s="288" customFormat="1">
      <c r="A68" s="150"/>
      <c r="B68" s="84"/>
      <c r="C68" s="84"/>
      <c r="D68" s="84"/>
      <c r="E68" s="84"/>
      <c r="F68" s="7"/>
      <c r="G68" s="42"/>
      <c r="H68" s="9"/>
      <c r="I68" s="163"/>
      <c r="J68" s="371"/>
      <c r="K68" s="371"/>
      <c r="L68" s="371"/>
      <c r="M68" s="365"/>
      <c r="N68" s="365"/>
      <c r="O68" s="343"/>
      <c r="P68" s="229"/>
      <c r="Q68" s="326"/>
      <c r="R68" s="111"/>
      <c r="S68" s="51"/>
      <c r="T68" s="339"/>
      <c r="U68" s="329"/>
      <c r="V68" s="371"/>
      <c r="W68" s="205"/>
      <c r="X68" s="100"/>
      <c r="Y68" s="175">
        <f>SUM(Y66:Y67)</f>
        <v>0</v>
      </c>
      <c r="Z68" s="165">
        <f>SUM(Z66:Z67)</f>
        <v>201.6</v>
      </c>
      <c r="AA68" s="172">
        <f>Y68-Z68</f>
        <v>-201.6</v>
      </c>
      <c r="AB68" s="174">
        <f>AA68/Z68</f>
        <v>-1</v>
      </c>
      <c r="AC68" s="121"/>
      <c r="AD68" s="163">
        <f>Y68*(0.001425*0.5)+Y68*0.003+Z68*(0.001425*0.5)</f>
        <v>0.14363999999999999</v>
      </c>
      <c r="AE68" s="7">
        <f>AA68-AD68</f>
        <v>-201.74364</v>
      </c>
      <c r="AF68" s="88"/>
      <c r="AG68" s="34"/>
      <c r="AH68" s="42" t="s">
        <v>2243</v>
      </c>
      <c r="AI68" s="173"/>
    </row>
    <row r="69" spans="1:36" s="288" customFormat="1">
      <c r="A69" s="150"/>
      <c r="B69" s="84"/>
      <c r="C69" s="84"/>
      <c r="D69" s="84"/>
      <c r="E69" s="84"/>
      <c r="F69" s="7"/>
      <c r="G69" s="42"/>
      <c r="H69" s="9"/>
      <c r="I69" s="163"/>
      <c r="J69" s="371"/>
      <c r="K69" s="371"/>
      <c r="L69" s="371"/>
      <c r="M69" s="365"/>
      <c r="N69" s="365"/>
      <c r="O69" s="343"/>
      <c r="P69" s="229"/>
      <c r="Q69" s="326"/>
      <c r="R69" s="111"/>
      <c r="S69" s="51"/>
      <c r="T69" s="339"/>
      <c r="U69" s="329"/>
      <c r="V69" s="371"/>
      <c r="W69" s="205"/>
      <c r="X69" s="100"/>
      <c r="Y69" s="175"/>
      <c r="Z69" s="165"/>
      <c r="AA69" s="172"/>
      <c r="AB69" s="174"/>
      <c r="AC69" s="121"/>
      <c r="AD69" s="163"/>
      <c r="AE69" s="7"/>
      <c r="AF69" s="88"/>
      <c r="AG69" s="34"/>
      <c r="AH69" s="42"/>
      <c r="AI69" s="173"/>
    </row>
    <row r="70" spans="1:36" s="288" customFormat="1">
      <c r="A70" s="135" t="s">
        <v>2552</v>
      </c>
      <c r="B70" s="96" t="s">
        <v>2331</v>
      </c>
      <c r="C70" s="96" t="s">
        <v>2332</v>
      </c>
      <c r="D70" s="96" t="s">
        <v>2333</v>
      </c>
      <c r="E70" s="96" t="s">
        <v>2334</v>
      </c>
      <c r="F70" s="9" t="s">
        <v>1709</v>
      </c>
      <c r="G70" s="27" t="s">
        <v>5626</v>
      </c>
      <c r="H70" s="56" t="s">
        <v>578</v>
      </c>
      <c r="I70" s="1" t="s">
        <v>3593</v>
      </c>
      <c r="J70" s="364" t="s">
        <v>2189</v>
      </c>
      <c r="K70" s="364" t="s">
        <v>1820</v>
      </c>
      <c r="L70" s="364" t="s">
        <v>515</v>
      </c>
      <c r="M70" s="364" t="s">
        <v>1699</v>
      </c>
      <c r="N70" s="364" t="s">
        <v>6633</v>
      </c>
      <c r="O70" s="343" t="s">
        <v>6634</v>
      </c>
      <c r="P70" s="83" t="s">
        <v>5279</v>
      </c>
      <c r="Q70" s="326" t="s">
        <v>5514</v>
      </c>
      <c r="R70" s="31" t="s">
        <v>6596</v>
      </c>
      <c r="S70" s="51" t="s">
        <v>6597</v>
      </c>
      <c r="T70" s="338" t="s">
        <v>5627</v>
      </c>
      <c r="U70" s="330" t="s">
        <v>6537</v>
      </c>
      <c r="V70" s="377" t="s">
        <v>6616</v>
      </c>
      <c r="W70" s="15" t="s">
        <v>127</v>
      </c>
      <c r="X70" s="71" t="s">
        <v>6626</v>
      </c>
      <c r="Y70" s="29" t="s">
        <v>6688</v>
      </c>
      <c r="Z70" s="18" t="s">
        <v>2113</v>
      </c>
      <c r="AA70" s="15" t="s">
        <v>3598</v>
      </c>
      <c r="AB70" s="22" t="s">
        <v>2199</v>
      </c>
      <c r="AC70" s="26" t="s">
        <v>211</v>
      </c>
      <c r="AD70" s="1" t="s">
        <v>3593</v>
      </c>
      <c r="AE70" s="75" t="s">
        <v>2114</v>
      </c>
      <c r="AF70" s="76" t="s">
        <v>1826</v>
      </c>
      <c r="AG70" s="33" t="s">
        <v>1827</v>
      </c>
      <c r="AH70" s="147"/>
      <c r="AI70" s="173"/>
    </row>
    <row r="71" spans="1:36">
      <c r="A71" s="151" t="s">
        <v>3026</v>
      </c>
      <c r="B71" s="85">
        <v>-34</v>
      </c>
      <c r="C71" s="85">
        <v>-42</v>
      </c>
      <c r="D71" s="85">
        <v>-4</v>
      </c>
      <c r="E71" s="85">
        <v>-46</v>
      </c>
      <c r="F71" s="7">
        <v>9.8000000000000007</v>
      </c>
      <c r="G71" s="58" t="s">
        <v>832</v>
      </c>
      <c r="H71" s="31" t="s">
        <v>2191</v>
      </c>
      <c r="I71" s="23" t="s">
        <v>833</v>
      </c>
      <c r="J71" s="371">
        <v>44.47</v>
      </c>
      <c r="K71" s="371">
        <v>8.66</v>
      </c>
      <c r="L71" s="77">
        <v>20.92</v>
      </c>
      <c r="N71" s="365">
        <f>K71+J71+L71</f>
        <v>74.05</v>
      </c>
      <c r="Q71" s="109"/>
      <c r="R71" s="31">
        <v>14</v>
      </c>
      <c r="V71" s="371">
        <v>0.89</v>
      </c>
      <c r="W71" s="35">
        <v>1.1399999999999999</v>
      </c>
      <c r="X71" s="100">
        <v>2.54</v>
      </c>
      <c r="Y71" s="37" t="str">
        <f>RTD("money.excel",,"6477","Price")</f>
        <v>無資料</v>
      </c>
      <c r="Z71" s="269">
        <f>50.2-1.14</f>
        <v>49.06</v>
      </c>
      <c r="AA71" s="16" t="e">
        <f>Y71-Z71</f>
        <v>#VALUE!</v>
      </c>
      <c r="AB71" s="66" t="e">
        <f>AA71/Z71</f>
        <v>#VALUE!</v>
      </c>
      <c r="AC71" s="107" t="s">
        <v>4658</v>
      </c>
      <c r="AD71" s="23" t="s">
        <v>833</v>
      </c>
      <c r="AE71" s="89">
        <v>44364</v>
      </c>
      <c r="AG71" s="34">
        <f>AF71-AE71</f>
        <v>-44364</v>
      </c>
      <c r="AH71" s="42" t="s">
        <v>1790</v>
      </c>
      <c r="AI71" s="249"/>
      <c r="AJ71" s="282"/>
    </row>
    <row r="72" spans="1:36" s="288" customFormat="1">
      <c r="A72" s="150"/>
      <c r="B72" s="84"/>
      <c r="C72" s="84"/>
      <c r="D72" s="84"/>
      <c r="E72" s="84"/>
      <c r="F72" s="7"/>
      <c r="G72" s="42"/>
      <c r="H72" s="9"/>
      <c r="I72" s="163"/>
      <c r="J72" s="371"/>
      <c r="K72" s="371"/>
      <c r="L72" s="371"/>
      <c r="M72" s="365"/>
      <c r="N72" s="365"/>
      <c r="O72" s="343"/>
      <c r="P72" s="229"/>
      <c r="Q72" s="326"/>
      <c r="R72" s="111"/>
      <c r="S72" s="51"/>
      <c r="T72" s="339"/>
      <c r="U72" s="329"/>
      <c r="V72" s="371"/>
      <c r="W72" s="205"/>
      <c r="X72" s="100"/>
      <c r="Y72" s="175">
        <f>SUM(Y71)</f>
        <v>0</v>
      </c>
      <c r="Z72" s="165">
        <f>SUM(Z71)</f>
        <v>49.06</v>
      </c>
      <c r="AA72" s="172">
        <f>Y72-Z72</f>
        <v>-49.06</v>
      </c>
      <c r="AB72" s="174">
        <f>AA72/Z72</f>
        <v>-1</v>
      </c>
      <c r="AC72" s="121"/>
      <c r="AD72" s="163">
        <f>Y72*(0.001425*0.5)+Y72*0.003+Z72*(0.001425*0.5)</f>
        <v>3.495525E-2</v>
      </c>
      <c r="AE72" s="7">
        <f>AA72-AD72</f>
        <v>-49.094955250000005</v>
      </c>
      <c r="AF72" s="88"/>
      <c r="AG72" s="34"/>
      <c r="AH72" s="42"/>
      <c r="AI72" s="173"/>
      <c r="AJ72" s="280" t="s">
        <v>5350</v>
      </c>
    </row>
    <row r="73" spans="1:36" s="288" customFormat="1">
      <c r="A73" s="150"/>
      <c r="B73" s="84"/>
      <c r="C73" s="84"/>
      <c r="D73" s="84"/>
      <c r="E73" s="84"/>
      <c r="F73" s="7"/>
      <c r="G73" s="42"/>
      <c r="H73" s="9"/>
      <c r="I73" s="163"/>
      <c r="J73" s="371"/>
      <c r="K73" s="371"/>
      <c r="L73" s="371"/>
      <c r="M73" s="365"/>
      <c r="N73" s="365"/>
      <c r="O73" s="343"/>
      <c r="P73" s="229"/>
      <c r="Q73" s="326"/>
      <c r="R73" s="111"/>
      <c r="S73" s="51"/>
      <c r="T73" s="339"/>
      <c r="U73" s="329"/>
      <c r="V73" s="371"/>
      <c r="W73" s="205"/>
      <c r="X73" s="100"/>
      <c r="Y73" s="175"/>
      <c r="Z73" s="165"/>
      <c r="AA73" s="172"/>
      <c r="AB73" s="174"/>
      <c r="AC73" s="121"/>
      <c r="AD73" s="163"/>
      <c r="AE73" s="7"/>
      <c r="AF73" s="88"/>
      <c r="AG73" s="34"/>
      <c r="AH73" s="42"/>
      <c r="AI73" s="173"/>
    </row>
    <row r="74" spans="1:36" s="288" customFormat="1">
      <c r="A74" s="135" t="s">
        <v>2552</v>
      </c>
      <c r="B74" s="96" t="s">
        <v>2331</v>
      </c>
      <c r="C74" s="96" t="s">
        <v>2332</v>
      </c>
      <c r="D74" s="96" t="s">
        <v>2333</v>
      </c>
      <c r="E74" s="96" t="s">
        <v>2334</v>
      </c>
      <c r="F74" s="9" t="s">
        <v>1709</v>
      </c>
      <c r="G74" s="27" t="s">
        <v>5626</v>
      </c>
      <c r="H74" s="56" t="s">
        <v>578</v>
      </c>
      <c r="I74" s="1" t="s">
        <v>3593</v>
      </c>
      <c r="J74" s="364" t="s">
        <v>2189</v>
      </c>
      <c r="K74" s="364" t="s">
        <v>1820</v>
      </c>
      <c r="L74" s="364" t="s">
        <v>515</v>
      </c>
      <c r="M74" s="364" t="s">
        <v>1699</v>
      </c>
      <c r="N74" s="364" t="s">
        <v>6633</v>
      </c>
      <c r="O74" s="343" t="s">
        <v>6634</v>
      </c>
      <c r="P74" s="83" t="s">
        <v>5279</v>
      </c>
      <c r="Q74" s="326" t="s">
        <v>5514</v>
      </c>
      <c r="R74" s="31" t="s">
        <v>6596</v>
      </c>
      <c r="S74" s="51" t="s">
        <v>6597</v>
      </c>
      <c r="T74" s="338" t="s">
        <v>5627</v>
      </c>
      <c r="U74" s="330" t="s">
        <v>6537</v>
      </c>
      <c r="V74" s="377" t="s">
        <v>6616</v>
      </c>
      <c r="W74" s="15" t="s">
        <v>127</v>
      </c>
      <c r="X74" s="71" t="s">
        <v>6626</v>
      </c>
      <c r="Y74" s="29" t="s">
        <v>6688</v>
      </c>
      <c r="Z74" s="18" t="s">
        <v>2113</v>
      </c>
      <c r="AA74" s="15" t="s">
        <v>3598</v>
      </c>
      <c r="AB74" s="22" t="s">
        <v>2199</v>
      </c>
      <c r="AC74" s="26" t="s">
        <v>211</v>
      </c>
      <c r="AD74" s="1" t="s">
        <v>3593</v>
      </c>
      <c r="AE74" s="75" t="s">
        <v>2114</v>
      </c>
      <c r="AF74" s="76" t="s">
        <v>1826</v>
      </c>
      <c r="AG74" s="33" t="s">
        <v>1827</v>
      </c>
      <c r="AH74" s="147"/>
      <c r="AI74" s="173"/>
    </row>
    <row r="75" spans="1:36">
      <c r="A75" s="135" t="s">
        <v>4701</v>
      </c>
      <c r="B75" s="85">
        <v>-48</v>
      </c>
      <c r="C75" s="85">
        <v>-50</v>
      </c>
      <c r="D75" s="85">
        <v>-7</v>
      </c>
      <c r="E75" s="84">
        <v>22</v>
      </c>
      <c r="F75" s="59">
        <v>11.26</v>
      </c>
      <c r="G75" s="58" t="s">
        <v>1695</v>
      </c>
      <c r="H75" s="51" t="s">
        <v>2120</v>
      </c>
      <c r="I75" s="17" t="s">
        <v>273</v>
      </c>
      <c r="J75" s="371">
        <v>33.08</v>
      </c>
      <c r="K75" s="77">
        <v>2.92</v>
      </c>
      <c r="L75" s="371">
        <v>3.81</v>
      </c>
      <c r="N75" s="365">
        <f>K75+J75+L75</f>
        <v>39.81</v>
      </c>
      <c r="R75" s="111">
        <v>3</v>
      </c>
      <c r="V75" s="371">
        <v>0</v>
      </c>
      <c r="W75" s="69">
        <v>3.5</v>
      </c>
      <c r="X75" s="100">
        <v>4.5</v>
      </c>
      <c r="Y75" s="37" t="str">
        <f>RTD("money.excel",,"4163","Price")</f>
        <v>無資料</v>
      </c>
      <c r="Z75" s="242">
        <f>91.7-3.5</f>
        <v>88.2</v>
      </c>
      <c r="AA75" s="16" t="e">
        <f t="shared" ref="AA75:AA76" si="39">Y75-Z75</f>
        <v>#VALUE!</v>
      </c>
      <c r="AB75" s="3" t="e">
        <f t="shared" ref="AB75:AB76" si="40">AA75/Z75</f>
        <v>#VALUE!</v>
      </c>
      <c r="AC75" s="149" t="s">
        <v>2700</v>
      </c>
      <c r="AD75" s="17" t="s">
        <v>273</v>
      </c>
      <c r="AE75" s="89">
        <v>44299</v>
      </c>
      <c r="AG75" s="34">
        <f t="shared" ref="AG75:AG76" si="41">AF75-AE75</f>
        <v>-44299</v>
      </c>
      <c r="AH75" s="135" t="s">
        <v>1790</v>
      </c>
      <c r="AJ75" s="9"/>
    </row>
    <row r="76" spans="1:36">
      <c r="A76" s="135" t="s">
        <v>4701</v>
      </c>
      <c r="B76" s="85">
        <v>-48</v>
      </c>
      <c r="C76" s="85">
        <v>-50</v>
      </c>
      <c r="D76" s="85">
        <v>-7</v>
      </c>
      <c r="E76" s="84">
        <v>22</v>
      </c>
      <c r="F76" s="59">
        <v>11.26</v>
      </c>
      <c r="G76" s="58" t="s">
        <v>1695</v>
      </c>
      <c r="H76" s="31" t="s">
        <v>2191</v>
      </c>
      <c r="I76" s="17" t="s">
        <v>273</v>
      </c>
      <c r="J76" s="371">
        <v>33.08</v>
      </c>
      <c r="K76" s="77">
        <v>2.92</v>
      </c>
      <c r="L76" s="371">
        <v>3.81</v>
      </c>
      <c r="N76" s="365">
        <f>K76+J76+L76</f>
        <v>39.81</v>
      </c>
      <c r="R76" s="111">
        <v>3</v>
      </c>
      <c r="V76" s="371">
        <v>0</v>
      </c>
      <c r="W76" s="69">
        <v>3.5</v>
      </c>
      <c r="X76" s="100">
        <v>4.5</v>
      </c>
      <c r="Y76" s="37" t="str">
        <f>RTD("money.excel",,"4163","Price")</f>
        <v>無資料</v>
      </c>
      <c r="Z76" s="242">
        <f>91.7-3.5</f>
        <v>88.2</v>
      </c>
      <c r="AA76" s="16" t="e">
        <f t="shared" si="39"/>
        <v>#VALUE!</v>
      </c>
      <c r="AB76" s="3" t="e">
        <f t="shared" si="40"/>
        <v>#VALUE!</v>
      </c>
      <c r="AC76" s="149" t="s">
        <v>2700</v>
      </c>
      <c r="AD76" s="17" t="s">
        <v>273</v>
      </c>
      <c r="AE76" s="89">
        <v>44299</v>
      </c>
      <c r="AG76" s="34">
        <f t="shared" si="41"/>
        <v>-44299</v>
      </c>
      <c r="AH76" s="42" t="s">
        <v>1790</v>
      </c>
      <c r="AJ76" s="9"/>
    </row>
    <row r="77" spans="1:36" s="288" customFormat="1">
      <c r="A77" s="150"/>
      <c r="B77" s="84"/>
      <c r="C77" s="84"/>
      <c r="D77" s="84"/>
      <c r="E77" s="84"/>
      <c r="F77" s="7"/>
      <c r="G77" s="42"/>
      <c r="H77" s="9"/>
      <c r="I77" s="163"/>
      <c r="J77" s="371"/>
      <c r="K77" s="371"/>
      <c r="L77" s="371"/>
      <c r="M77" s="365"/>
      <c r="N77" s="365"/>
      <c r="O77" s="343"/>
      <c r="P77" s="229"/>
      <c r="Q77" s="326"/>
      <c r="R77" s="111"/>
      <c r="S77" s="51"/>
      <c r="T77" s="339"/>
      <c r="U77" s="329"/>
      <c r="V77" s="371"/>
      <c r="W77" s="205"/>
      <c r="X77" s="100"/>
      <c r="Y77" s="175">
        <f>SUM(Y75:Y76)</f>
        <v>0</v>
      </c>
      <c r="Z77" s="165">
        <f>SUM(Z75:Z76)</f>
        <v>176.4</v>
      </c>
      <c r="AA77" s="172">
        <f>Y77-Z77</f>
        <v>-176.4</v>
      </c>
      <c r="AB77" s="174">
        <f>AA77/Z77</f>
        <v>-1</v>
      </c>
      <c r="AC77" s="121"/>
      <c r="AD77" s="163">
        <f>Y77*(0.001425*0.5)+Y77*0.003+Z77*(0.001425*0.5)</f>
        <v>0.12568500000000002</v>
      </c>
      <c r="AE77" s="7">
        <f>AA77-AD77</f>
        <v>-176.52568500000001</v>
      </c>
      <c r="AF77" s="88"/>
      <c r="AG77" s="34"/>
      <c r="AH77" s="42" t="s">
        <v>2243</v>
      </c>
      <c r="AI77" s="173"/>
    </row>
    <row r="78" spans="1:36">
      <c r="A78" s="135"/>
      <c r="B78" s="85"/>
      <c r="C78" s="85"/>
      <c r="D78" s="84"/>
      <c r="E78" s="85"/>
      <c r="F78" s="59"/>
      <c r="G78" s="58"/>
      <c r="H78" s="5"/>
      <c r="I78" s="17"/>
      <c r="J78" s="77"/>
      <c r="K78" s="77"/>
      <c r="N78" s="389"/>
      <c r="W78" s="69"/>
      <c r="X78" s="100"/>
      <c r="Y78" s="37"/>
      <c r="Z78" s="69"/>
      <c r="AA78" s="16"/>
      <c r="AB78" s="3"/>
      <c r="AC78" s="149"/>
      <c r="AD78" s="17"/>
      <c r="AE78" s="123"/>
      <c r="AG78" s="124"/>
      <c r="AH78" s="25"/>
      <c r="AJ78" s="9"/>
    </row>
    <row r="79" spans="1:36" s="288" customFormat="1">
      <c r="A79" s="135" t="s">
        <v>2552</v>
      </c>
      <c r="B79" s="96" t="s">
        <v>2331</v>
      </c>
      <c r="C79" s="96" t="s">
        <v>2332</v>
      </c>
      <c r="D79" s="96" t="s">
        <v>2333</v>
      </c>
      <c r="E79" s="96" t="s">
        <v>2334</v>
      </c>
      <c r="F79" s="9" t="s">
        <v>1709</v>
      </c>
      <c r="G79" s="27" t="s">
        <v>5626</v>
      </c>
      <c r="H79" s="56" t="s">
        <v>578</v>
      </c>
      <c r="I79" s="1" t="s">
        <v>3593</v>
      </c>
      <c r="J79" s="364" t="s">
        <v>2189</v>
      </c>
      <c r="K79" s="364" t="s">
        <v>1820</v>
      </c>
      <c r="L79" s="364" t="s">
        <v>515</v>
      </c>
      <c r="M79" s="364" t="s">
        <v>1699</v>
      </c>
      <c r="N79" s="364" t="s">
        <v>6633</v>
      </c>
      <c r="O79" s="343" t="s">
        <v>6634</v>
      </c>
      <c r="P79" s="83" t="s">
        <v>5279</v>
      </c>
      <c r="Q79" s="326" t="s">
        <v>5514</v>
      </c>
      <c r="R79" s="31" t="s">
        <v>6596</v>
      </c>
      <c r="S79" s="51" t="s">
        <v>6597</v>
      </c>
      <c r="T79" s="338" t="s">
        <v>5627</v>
      </c>
      <c r="U79" s="330" t="s">
        <v>6537</v>
      </c>
      <c r="V79" s="377" t="s">
        <v>6616</v>
      </c>
      <c r="W79" s="15" t="s">
        <v>127</v>
      </c>
      <c r="X79" s="71" t="s">
        <v>6626</v>
      </c>
      <c r="Y79" s="29" t="s">
        <v>6688</v>
      </c>
      <c r="Z79" s="18" t="s">
        <v>2113</v>
      </c>
      <c r="AA79" s="15" t="s">
        <v>3598</v>
      </c>
      <c r="AB79" s="22" t="s">
        <v>2199</v>
      </c>
      <c r="AC79" s="26" t="s">
        <v>211</v>
      </c>
      <c r="AD79" s="1" t="s">
        <v>3593</v>
      </c>
      <c r="AE79" s="75" t="s">
        <v>2114</v>
      </c>
      <c r="AF79" s="76" t="s">
        <v>1826</v>
      </c>
      <c r="AG79" s="33" t="s">
        <v>1827</v>
      </c>
      <c r="AH79" s="47" t="s">
        <v>2323</v>
      </c>
      <c r="AI79" s="173"/>
    </row>
    <row r="80" spans="1:36">
      <c r="A80" s="151" t="s">
        <v>3363</v>
      </c>
      <c r="B80" s="84">
        <v>10</v>
      </c>
      <c r="C80" s="84">
        <v>9</v>
      </c>
      <c r="D80" s="84">
        <v>4</v>
      </c>
      <c r="E80" s="84">
        <v>22</v>
      </c>
      <c r="F80" s="7">
        <v>4.8899999999999997</v>
      </c>
      <c r="G80" s="58" t="s">
        <v>5234</v>
      </c>
      <c r="H80" s="31" t="s">
        <v>2191</v>
      </c>
      <c r="I80" s="23" t="s">
        <v>47</v>
      </c>
      <c r="J80" s="77">
        <v>68.62</v>
      </c>
      <c r="K80" s="371">
        <v>58.92</v>
      </c>
      <c r="L80" s="371">
        <v>6.27</v>
      </c>
      <c r="N80" s="77">
        <f>K80+J80+L80</f>
        <v>133.81</v>
      </c>
      <c r="P80" s="195"/>
      <c r="R80" s="111">
        <v>1</v>
      </c>
      <c r="V80" s="371">
        <v>0</v>
      </c>
      <c r="W80" s="69">
        <v>4.5</v>
      </c>
      <c r="X80" s="59">
        <v>8.93</v>
      </c>
      <c r="Y80" s="14" t="str">
        <f>RTD("money.excel",,"4958","Price")</f>
        <v>無資料</v>
      </c>
      <c r="Z80" s="242">
        <f>106-4.5</f>
        <v>101.5</v>
      </c>
      <c r="AA80" s="16" t="e">
        <f>Y80-Z80</f>
        <v>#VALUE!</v>
      </c>
      <c r="AB80" s="3" t="e">
        <f>AA80/Z80</f>
        <v>#VALUE!</v>
      </c>
      <c r="AC80" s="105" t="s">
        <v>2929</v>
      </c>
      <c r="AD80" s="23" t="s">
        <v>47</v>
      </c>
      <c r="AE80" s="89">
        <v>44308</v>
      </c>
      <c r="AG80" s="34">
        <f>AF80-AE80</f>
        <v>-44308</v>
      </c>
      <c r="AH80" s="42" t="s">
        <v>1790</v>
      </c>
      <c r="AI80" s="284"/>
      <c r="AJ80" s="9"/>
    </row>
    <row r="81" spans="1:40">
      <c r="A81" s="151" t="s">
        <v>3363</v>
      </c>
      <c r="B81" s="84">
        <v>10</v>
      </c>
      <c r="C81" s="84">
        <v>9</v>
      </c>
      <c r="D81" s="84">
        <v>4</v>
      </c>
      <c r="E81" s="84">
        <v>22</v>
      </c>
      <c r="F81" s="7">
        <v>4.8899999999999997</v>
      </c>
      <c r="G81" s="58" t="s">
        <v>5234</v>
      </c>
      <c r="H81" s="31" t="s">
        <v>2191</v>
      </c>
      <c r="I81" s="23" t="s">
        <v>47</v>
      </c>
      <c r="J81" s="77">
        <v>68.62</v>
      </c>
      <c r="K81" s="371">
        <v>58.92</v>
      </c>
      <c r="L81" s="371">
        <v>6.27</v>
      </c>
      <c r="N81" s="77">
        <f>K81+J81+L81</f>
        <v>133.81</v>
      </c>
      <c r="P81" s="195"/>
      <c r="R81" s="111">
        <v>1</v>
      </c>
      <c r="V81" s="371">
        <v>0</v>
      </c>
      <c r="W81" s="69">
        <v>4.5</v>
      </c>
      <c r="X81" s="59">
        <v>8.93</v>
      </c>
      <c r="Y81" s="14" t="str">
        <f>RTD("money.excel",,"4958","Price")</f>
        <v>無資料</v>
      </c>
      <c r="Z81" s="242">
        <f>110.5-4.5</f>
        <v>106</v>
      </c>
      <c r="AA81" s="16" t="e">
        <f>Y81-Z81</f>
        <v>#VALUE!</v>
      </c>
      <c r="AB81" s="3" t="e">
        <f>AA81/Z81</f>
        <v>#VALUE!</v>
      </c>
      <c r="AC81" s="105" t="s">
        <v>2929</v>
      </c>
      <c r="AD81" s="23" t="s">
        <v>47</v>
      </c>
      <c r="AE81" s="89">
        <v>44298</v>
      </c>
      <c r="AG81" s="34">
        <f>AF81-AE81</f>
        <v>-44298</v>
      </c>
      <c r="AH81" s="42" t="s">
        <v>1790</v>
      </c>
      <c r="AI81" s="284"/>
      <c r="AJ81" s="9"/>
    </row>
    <row r="82" spans="1:40">
      <c r="A82" s="151" t="s">
        <v>3363</v>
      </c>
      <c r="B82" s="84">
        <v>10</v>
      </c>
      <c r="C82" s="84">
        <v>9</v>
      </c>
      <c r="D82" s="84">
        <v>4</v>
      </c>
      <c r="E82" s="84">
        <v>22</v>
      </c>
      <c r="F82" s="7">
        <v>4.8899999999999997</v>
      </c>
      <c r="G82" s="58" t="s">
        <v>5234</v>
      </c>
      <c r="H82" s="31" t="s">
        <v>2191</v>
      </c>
      <c r="I82" s="23" t="s">
        <v>47</v>
      </c>
      <c r="J82" s="77">
        <v>68.62</v>
      </c>
      <c r="K82" s="371">
        <v>58.92</v>
      </c>
      <c r="L82" s="371">
        <v>6.27</v>
      </c>
      <c r="N82" s="77">
        <f>K82+J82+L82</f>
        <v>133.81</v>
      </c>
      <c r="P82" s="195"/>
      <c r="R82" s="111">
        <v>1</v>
      </c>
      <c r="V82" s="371">
        <v>0</v>
      </c>
      <c r="W82" s="69">
        <v>4.5</v>
      </c>
      <c r="X82" s="59">
        <v>8.93</v>
      </c>
      <c r="Y82" s="14" t="str">
        <f>RTD("money.excel",,"4958","Price")</f>
        <v>無資料</v>
      </c>
      <c r="Z82" s="242">
        <f>114-4.5</f>
        <v>109.5</v>
      </c>
      <c r="AA82" s="16" t="e">
        <f>Y82-Z82</f>
        <v>#VALUE!</v>
      </c>
      <c r="AB82" s="3" t="e">
        <f>AA82/Z82</f>
        <v>#VALUE!</v>
      </c>
      <c r="AC82" s="105" t="s">
        <v>2929</v>
      </c>
      <c r="AD82" s="23" t="s">
        <v>47</v>
      </c>
      <c r="AE82" s="89">
        <v>44298</v>
      </c>
      <c r="AG82" s="34">
        <f>AF82-AE82</f>
        <v>-44298</v>
      </c>
      <c r="AH82" s="42" t="s">
        <v>1790</v>
      </c>
      <c r="AI82" s="284"/>
      <c r="AJ82" s="9"/>
    </row>
    <row r="83" spans="1:40" s="288" customFormat="1">
      <c r="A83" s="150"/>
      <c r="B83" s="84"/>
      <c r="C83" s="84"/>
      <c r="D83" s="84"/>
      <c r="E83" s="84"/>
      <c r="F83" s="7"/>
      <c r="G83" s="42"/>
      <c r="H83" s="9"/>
      <c r="I83" s="163"/>
      <c r="J83" s="371"/>
      <c r="K83" s="371"/>
      <c r="L83" s="371"/>
      <c r="M83" s="365"/>
      <c r="N83" s="365"/>
      <c r="O83" s="343"/>
      <c r="P83" s="229"/>
      <c r="Q83" s="326"/>
      <c r="R83" s="111"/>
      <c r="S83" s="51"/>
      <c r="T83" s="339"/>
      <c r="U83" s="329"/>
      <c r="V83" s="371"/>
      <c r="W83" s="205"/>
      <c r="X83" s="100"/>
      <c r="Y83" s="175">
        <f>SUM(Y80:Y82)</f>
        <v>0</v>
      </c>
      <c r="Z83" s="165">
        <f>SUM(Z80:Z82)</f>
        <v>317</v>
      </c>
      <c r="AA83" s="172">
        <f>Y83-Z83</f>
        <v>-317</v>
      </c>
      <c r="AB83" s="174">
        <f>AA83/Z83</f>
        <v>-1</v>
      </c>
      <c r="AC83" s="121"/>
      <c r="AD83" s="163">
        <f>Y83*(0.001425*0.5)+Y83*0.003+Z83*(0.001425*0.5)</f>
        <v>0.22586250000000002</v>
      </c>
      <c r="AE83" s="7">
        <f>AA83-AD83</f>
        <v>-317.22586250000001</v>
      </c>
      <c r="AF83" s="88"/>
      <c r="AG83" s="34"/>
      <c r="AH83" s="42" t="s">
        <v>2306</v>
      </c>
      <c r="AI83" s="173"/>
    </row>
    <row r="84" spans="1:40">
      <c r="A84" s="135"/>
      <c r="B84" s="84"/>
      <c r="C84" s="84"/>
      <c r="D84" s="84"/>
      <c r="E84" s="84"/>
      <c r="F84" s="59"/>
      <c r="G84" s="58"/>
      <c r="H84" s="5"/>
      <c r="I84" s="23"/>
      <c r="J84" s="371"/>
      <c r="K84" s="77"/>
      <c r="N84" s="77"/>
      <c r="W84" s="69"/>
      <c r="X84" s="59"/>
      <c r="Y84" s="37"/>
      <c r="Z84" s="69"/>
      <c r="AA84" s="16"/>
      <c r="AB84" s="3"/>
      <c r="AC84" s="105"/>
      <c r="AD84" s="23"/>
      <c r="AG84" s="124"/>
      <c r="AH84" s="42"/>
      <c r="AI84" s="237"/>
      <c r="AJ84" s="238"/>
    </row>
    <row r="85" spans="1:40" s="288" customFormat="1">
      <c r="A85" s="135" t="s">
        <v>2552</v>
      </c>
      <c r="B85" s="96" t="s">
        <v>2331</v>
      </c>
      <c r="C85" s="96" t="s">
        <v>2332</v>
      </c>
      <c r="D85" s="96" t="s">
        <v>2333</v>
      </c>
      <c r="E85" s="96" t="s">
        <v>2334</v>
      </c>
      <c r="F85" s="9" t="s">
        <v>1709</v>
      </c>
      <c r="G85" s="27" t="s">
        <v>5626</v>
      </c>
      <c r="H85" s="56" t="s">
        <v>578</v>
      </c>
      <c r="I85" s="1" t="s">
        <v>3593</v>
      </c>
      <c r="J85" s="364" t="s">
        <v>2189</v>
      </c>
      <c r="K85" s="364" t="s">
        <v>1820</v>
      </c>
      <c r="L85" s="364" t="s">
        <v>515</v>
      </c>
      <c r="M85" s="364" t="s">
        <v>1699</v>
      </c>
      <c r="N85" s="364" t="s">
        <v>6633</v>
      </c>
      <c r="O85" s="343" t="s">
        <v>6634</v>
      </c>
      <c r="P85" s="83" t="s">
        <v>5279</v>
      </c>
      <c r="Q85" s="326" t="s">
        <v>5514</v>
      </c>
      <c r="R85" s="31" t="s">
        <v>6596</v>
      </c>
      <c r="S85" s="51" t="s">
        <v>6597</v>
      </c>
      <c r="T85" s="338" t="s">
        <v>5627</v>
      </c>
      <c r="U85" s="330" t="s">
        <v>6537</v>
      </c>
      <c r="V85" s="377" t="s">
        <v>6616</v>
      </c>
      <c r="W85" s="15" t="s">
        <v>127</v>
      </c>
      <c r="X85" s="71" t="s">
        <v>6626</v>
      </c>
      <c r="Y85" s="29" t="s">
        <v>6688</v>
      </c>
      <c r="Z85" s="18" t="s">
        <v>2113</v>
      </c>
      <c r="AA85" s="15" t="s">
        <v>3598</v>
      </c>
      <c r="AB85" s="22" t="s">
        <v>2199</v>
      </c>
      <c r="AC85" s="26" t="s">
        <v>211</v>
      </c>
      <c r="AD85" s="1" t="s">
        <v>3593</v>
      </c>
      <c r="AE85" s="75" t="s">
        <v>2114</v>
      </c>
      <c r="AF85" s="76" t="s">
        <v>1826</v>
      </c>
      <c r="AG85" s="33" t="s">
        <v>1827</v>
      </c>
      <c r="AH85" s="147"/>
      <c r="AI85" s="173"/>
    </row>
    <row r="86" spans="1:40" s="288" customFormat="1">
      <c r="A86" s="151" t="s">
        <v>2445</v>
      </c>
      <c r="B86" s="98">
        <v>2431</v>
      </c>
      <c r="C86" s="84">
        <v>636</v>
      </c>
      <c r="D86" s="85">
        <v>-5</v>
      </c>
      <c r="E86" s="84">
        <v>33</v>
      </c>
      <c r="F86" s="7">
        <v>8.8699999999999992</v>
      </c>
      <c r="G86" s="42" t="s">
        <v>1714</v>
      </c>
      <c r="H86" s="31" t="s">
        <v>2191</v>
      </c>
      <c r="I86" s="176" t="s">
        <v>3581</v>
      </c>
      <c r="J86" s="77">
        <v>58.7</v>
      </c>
      <c r="K86" s="77">
        <v>7.3</v>
      </c>
      <c r="L86" s="371">
        <v>2.06</v>
      </c>
      <c r="M86" s="365"/>
      <c r="N86" s="365">
        <f t="shared" ref="N86:N89" si="42">K86+J86+L86</f>
        <v>68.06</v>
      </c>
      <c r="O86" s="343"/>
      <c r="P86" s="166"/>
      <c r="Q86" s="326"/>
      <c r="R86" s="111">
        <v>1</v>
      </c>
      <c r="S86" s="51"/>
      <c r="T86" s="339"/>
      <c r="U86" s="329"/>
      <c r="V86" s="371">
        <v>0</v>
      </c>
      <c r="W86" s="205">
        <v>1.23</v>
      </c>
      <c r="X86" s="59">
        <v>1.9</v>
      </c>
      <c r="Y86" s="175" t="str">
        <f>RTD("money.excel",,"3265","Price")</f>
        <v>無資料</v>
      </c>
      <c r="Z86" s="279">
        <f>33.4-1.23</f>
        <v>32.17</v>
      </c>
      <c r="AA86" s="172" t="e">
        <f>Y86-Z86</f>
        <v>#VALUE!</v>
      </c>
      <c r="AB86" s="168" t="e">
        <f>AA86/Z86</f>
        <v>#VALUE!</v>
      </c>
      <c r="AC86" s="177" t="s">
        <v>2241</v>
      </c>
      <c r="AD86" s="176" t="s">
        <v>3581</v>
      </c>
      <c r="AE86" s="89">
        <v>44313</v>
      </c>
      <c r="AF86" s="88"/>
      <c r="AG86" s="34">
        <f t="shared" ref="AG86:AG89" si="43">AF86-AE86</f>
        <v>-44313</v>
      </c>
      <c r="AH86" s="42" t="s">
        <v>1790</v>
      </c>
      <c r="AI86" s="200"/>
      <c r="AJ86" s="199"/>
    </row>
    <row r="87" spans="1:40" s="288" customFormat="1">
      <c r="A87" s="151" t="s">
        <v>2445</v>
      </c>
      <c r="B87" s="98">
        <v>2431</v>
      </c>
      <c r="C87" s="84">
        <v>636</v>
      </c>
      <c r="D87" s="85">
        <v>-5</v>
      </c>
      <c r="E87" s="84">
        <v>33</v>
      </c>
      <c r="F87" s="7">
        <v>8.8699999999999992</v>
      </c>
      <c r="G87" s="42" t="s">
        <v>1714</v>
      </c>
      <c r="H87" s="31" t="s">
        <v>2191</v>
      </c>
      <c r="I87" s="176" t="s">
        <v>3581</v>
      </c>
      <c r="J87" s="77">
        <v>58.7</v>
      </c>
      <c r="K87" s="77">
        <v>7.3</v>
      </c>
      <c r="L87" s="371">
        <v>2.06</v>
      </c>
      <c r="M87" s="365"/>
      <c r="N87" s="365">
        <f t="shared" si="42"/>
        <v>68.06</v>
      </c>
      <c r="O87" s="343"/>
      <c r="P87" s="166"/>
      <c r="Q87" s="326"/>
      <c r="R87" s="111">
        <v>1</v>
      </c>
      <c r="S87" s="51"/>
      <c r="T87" s="339"/>
      <c r="U87" s="329"/>
      <c r="V87" s="371">
        <v>0</v>
      </c>
      <c r="W87" s="205">
        <v>1.23</v>
      </c>
      <c r="X87" s="59">
        <v>1.9</v>
      </c>
      <c r="Y87" s="175" t="str">
        <f>RTD("money.excel",,"3265","Price")</f>
        <v>無資料</v>
      </c>
      <c r="Z87" s="279">
        <f>33.8-1.23</f>
        <v>32.57</v>
      </c>
      <c r="AA87" s="172" t="e">
        <f>Y87-Z87</f>
        <v>#VALUE!</v>
      </c>
      <c r="AB87" s="168" t="e">
        <f>AA87/Z87</f>
        <v>#VALUE!</v>
      </c>
      <c r="AC87" s="177" t="s">
        <v>2241</v>
      </c>
      <c r="AD87" s="176" t="s">
        <v>3581</v>
      </c>
      <c r="AE87" s="89">
        <v>44299</v>
      </c>
      <c r="AF87" s="88"/>
      <c r="AG87" s="34">
        <f t="shared" si="43"/>
        <v>-44299</v>
      </c>
      <c r="AH87" s="42" t="s">
        <v>1790</v>
      </c>
      <c r="AI87" s="200"/>
      <c r="AJ87" s="199"/>
    </row>
    <row r="88" spans="1:40" s="288" customFormat="1">
      <c r="A88" s="151" t="s">
        <v>2445</v>
      </c>
      <c r="B88" s="98">
        <v>2431</v>
      </c>
      <c r="C88" s="84">
        <v>636</v>
      </c>
      <c r="D88" s="85">
        <v>-5</v>
      </c>
      <c r="E88" s="84">
        <v>33</v>
      </c>
      <c r="F88" s="7">
        <v>8.8699999999999992</v>
      </c>
      <c r="G88" s="42" t="s">
        <v>1714</v>
      </c>
      <c r="H88" s="31" t="s">
        <v>2191</v>
      </c>
      <c r="I88" s="176" t="s">
        <v>3581</v>
      </c>
      <c r="J88" s="77">
        <v>58.7</v>
      </c>
      <c r="K88" s="77">
        <v>7.3</v>
      </c>
      <c r="L88" s="371">
        <v>2.06</v>
      </c>
      <c r="M88" s="365"/>
      <c r="N88" s="365">
        <f t="shared" si="42"/>
        <v>68.06</v>
      </c>
      <c r="O88" s="343"/>
      <c r="P88" s="166"/>
      <c r="Q88" s="326"/>
      <c r="R88" s="111">
        <v>1</v>
      </c>
      <c r="S88" s="51"/>
      <c r="T88" s="339"/>
      <c r="U88" s="329"/>
      <c r="V88" s="371">
        <v>0</v>
      </c>
      <c r="W88" s="205">
        <v>1.23</v>
      </c>
      <c r="X88" s="59">
        <v>1.9</v>
      </c>
      <c r="Y88" s="175" t="str">
        <f>RTD("money.excel",,"3265","Price")</f>
        <v>無資料</v>
      </c>
      <c r="Z88" s="279">
        <f>35.15-1.23</f>
        <v>33.92</v>
      </c>
      <c r="AA88" s="172" t="e">
        <f>Y88-Z88</f>
        <v>#VALUE!</v>
      </c>
      <c r="AB88" s="168" t="e">
        <f>AA88/Z88</f>
        <v>#VALUE!</v>
      </c>
      <c r="AC88" s="177" t="s">
        <v>2241</v>
      </c>
      <c r="AD88" s="176" t="s">
        <v>3581</v>
      </c>
      <c r="AE88" s="89">
        <v>44293</v>
      </c>
      <c r="AF88" s="88"/>
      <c r="AG88" s="34">
        <f t="shared" si="43"/>
        <v>-44293</v>
      </c>
      <c r="AH88" s="42" t="s">
        <v>1790</v>
      </c>
      <c r="AI88" s="200"/>
      <c r="AJ88" s="199"/>
    </row>
    <row r="89" spans="1:40" s="288" customFormat="1">
      <c r="A89" s="151" t="s">
        <v>2445</v>
      </c>
      <c r="B89" s="98">
        <v>2431</v>
      </c>
      <c r="C89" s="84">
        <v>636</v>
      </c>
      <c r="D89" s="85">
        <v>-5</v>
      </c>
      <c r="E89" s="84">
        <v>33</v>
      </c>
      <c r="F89" s="7">
        <v>8.8699999999999992</v>
      </c>
      <c r="G89" s="42" t="s">
        <v>1714</v>
      </c>
      <c r="H89" s="31" t="s">
        <v>2191</v>
      </c>
      <c r="I89" s="176" t="s">
        <v>3581</v>
      </c>
      <c r="J89" s="77">
        <v>58.7</v>
      </c>
      <c r="K89" s="77">
        <v>7.3</v>
      </c>
      <c r="L89" s="371">
        <v>2.06</v>
      </c>
      <c r="M89" s="365"/>
      <c r="N89" s="365">
        <f t="shared" si="42"/>
        <v>68.06</v>
      </c>
      <c r="O89" s="343"/>
      <c r="P89" s="166"/>
      <c r="Q89" s="326"/>
      <c r="R89" s="111">
        <v>1</v>
      </c>
      <c r="S89" s="51"/>
      <c r="T89" s="339"/>
      <c r="U89" s="329"/>
      <c r="V89" s="371">
        <v>0</v>
      </c>
      <c r="W89" s="205">
        <v>1.23</v>
      </c>
      <c r="X89" s="59">
        <v>1.9</v>
      </c>
      <c r="Y89" s="175" t="str">
        <f>RTD("money.excel",,"3265","Price")</f>
        <v>無資料</v>
      </c>
      <c r="Z89" s="279">
        <f>36.5-1.23</f>
        <v>35.270000000000003</v>
      </c>
      <c r="AA89" s="172" t="e">
        <f>Y89-Z89</f>
        <v>#VALUE!</v>
      </c>
      <c r="AB89" s="168" t="e">
        <f>AA89/Z89</f>
        <v>#VALUE!</v>
      </c>
      <c r="AC89" s="177" t="s">
        <v>2241</v>
      </c>
      <c r="AD89" s="176" t="s">
        <v>3581</v>
      </c>
      <c r="AE89" s="89">
        <v>44292</v>
      </c>
      <c r="AF89" s="88"/>
      <c r="AG89" s="34">
        <f t="shared" si="43"/>
        <v>-44292</v>
      </c>
      <c r="AH89" s="42" t="s">
        <v>1790</v>
      </c>
      <c r="AI89" s="200"/>
      <c r="AJ89" s="199"/>
    </row>
    <row r="90" spans="1:40" s="288" customFormat="1">
      <c r="A90" s="150"/>
      <c r="B90" s="84"/>
      <c r="C90" s="84"/>
      <c r="D90" s="84"/>
      <c r="E90" s="84"/>
      <c r="F90" s="7"/>
      <c r="G90" s="42"/>
      <c r="H90" s="9"/>
      <c r="I90" s="163"/>
      <c r="J90" s="371"/>
      <c r="K90" s="371"/>
      <c r="L90" s="371"/>
      <c r="M90" s="365"/>
      <c r="N90" s="365"/>
      <c r="O90" s="343"/>
      <c r="P90" s="229"/>
      <c r="Q90" s="326"/>
      <c r="R90" s="111"/>
      <c r="S90" s="51"/>
      <c r="T90" s="339"/>
      <c r="U90" s="329"/>
      <c r="V90" s="371"/>
      <c r="W90" s="205"/>
      <c r="X90" s="100"/>
      <c r="Y90" s="175">
        <f>SUM(Y86:Y89)</f>
        <v>0</v>
      </c>
      <c r="Z90" s="165">
        <f>SUM(Z86:Z89)</f>
        <v>133.93</v>
      </c>
      <c r="AA90" s="172">
        <f>Y90-Z90</f>
        <v>-133.93</v>
      </c>
      <c r="AB90" s="174">
        <f>AA90/Z90</f>
        <v>-1</v>
      </c>
      <c r="AC90" s="121"/>
      <c r="AD90" s="163">
        <f>Y90*(0.001425*0.5)+Y90*0.003+Z90*(0.001425*0.5)</f>
        <v>9.5425125000000013E-2</v>
      </c>
      <c r="AE90" s="7">
        <f>AA90-AD90</f>
        <v>-134.025425125</v>
      </c>
      <c r="AF90" s="88"/>
      <c r="AG90" s="34"/>
      <c r="AH90" s="42" t="s">
        <v>1792</v>
      </c>
      <c r="AI90" s="173"/>
    </row>
    <row r="91" spans="1:40" s="288" customFormat="1">
      <c r="A91" s="150"/>
      <c r="B91" s="84"/>
      <c r="C91" s="84"/>
      <c r="D91" s="84"/>
      <c r="E91" s="84"/>
      <c r="F91" s="7"/>
      <c r="G91" s="42"/>
      <c r="H91" s="9"/>
      <c r="I91" s="163"/>
      <c r="J91" s="371"/>
      <c r="K91" s="371"/>
      <c r="L91" s="371"/>
      <c r="M91" s="365"/>
      <c r="N91" s="365"/>
      <c r="O91" s="343"/>
      <c r="P91" s="229"/>
      <c r="Q91" s="326"/>
      <c r="R91" s="111"/>
      <c r="S91" s="51"/>
      <c r="T91" s="339"/>
      <c r="U91" s="329"/>
      <c r="V91" s="371"/>
      <c r="W91" s="205"/>
      <c r="X91" s="100"/>
      <c r="Y91" s="175"/>
      <c r="Z91" s="165"/>
      <c r="AA91" s="172"/>
      <c r="AB91" s="174"/>
      <c r="AC91" s="121"/>
      <c r="AD91" s="163"/>
      <c r="AE91" s="7"/>
      <c r="AF91" s="88"/>
      <c r="AG91" s="34"/>
      <c r="AH91" s="42"/>
      <c r="AI91" s="173"/>
    </row>
    <row r="92" spans="1:40" s="288" customFormat="1">
      <c r="A92" s="135" t="s">
        <v>2552</v>
      </c>
      <c r="B92" s="96" t="s">
        <v>2331</v>
      </c>
      <c r="C92" s="96" t="s">
        <v>2332</v>
      </c>
      <c r="D92" s="96" t="s">
        <v>2333</v>
      </c>
      <c r="E92" s="96" t="s">
        <v>2334</v>
      </c>
      <c r="F92" s="9" t="s">
        <v>1709</v>
      </c>
      <c r="G92" s="27" t="s">
        <v>5626</v>
      </c>
      <c r="H92" s="56" t="s">
        <v>578</v>
      </c>
      <c r="I92" s="1" t="s">
        <v>131</v>
      </c>
      <c r="J92" s="364" t="s">
        <v>2189</v>
      </c>
      <c r="K92" s="364" t="s">
        <v>1820</v>
      </c>
      <c r="L92" s="364" t="s">
        <v>515</v>
      </c>
      <c r="M92" s="364" t="s">
        <v>1699</v>
      </c>
      <c r="N92" s="364" t="s">
        <v>6633</v>
      </c>
      <c r="O92" s="343" t="s">
        <v>6634</v>
      </c>
      <c r="P92" s="83" t="s">
        <v>5279</v>
      </c>
      <c r="Q92" s="326" t="s">
        <v>5514</v>
      </c>
      <c r="R92" s="31" t="s">
        <v>6596</v>
      </c>
      <c r="S92" s="51" t="s">
        <v>6597</v>
      </c>
      <c r="T92" s="338" t="s">
        <v>5627</v>
      </c>
      <c r="U92" s="330" t="s">
        <v>6537</v>
      </c>
      <c r="V92" s="377" t="s">
        <v>6616</v>
      </c>
      <c r="W92" s="15" t="s">
        <v>127</v>
      </c>
      <c r="X92" s="71" t="s">
        <v>6626</v>
      </c>
      <c r="Y92" s="29" t="s">
        <v>6688</v>
      </c>
      <c r="Z92" s="18" t="s">
        <v>2113</v>
      </c>
      <c r="AA92" s="15" t="s">
        <v>3598</v>
      </c>
      <c r="AB92" s="22" t="s">
        <v>2199</v>
      </c>
      <c r="AC92" s="26" t="s">
        <v>211</v>
      </c>
      <c r="AD92" s="1" t="s">
        <v>131</v>
      </c>
      <c r="AE92" s="75" t="s">
        <v>2114</v>
      </c>
      <c r="AF92" s="76" t="s">
        <v>1826</v>
      </c>
      <c r="AG92" s="33" t="s">
        <v>1827</v>
      </c>
      <c r="AH92" s="147"/>
      <c r="AI92" s="173"/>
    </row>
    <row r="93" spans="1:40">
      <c r="A93" s="135" t="s">
        <v>2502</v>
      </c>
      <c r="B93" s="84">
        <v>285</v>
      </c>
      <c r="C93" s="84">
        <v>110</v>
      </c>
      <c r="D93" s="84">
        <v>18</v>
      </c>
      <c r="E93" s="85">
        <v>-74</v>
      </c>
      <c r="F93" s="59">
        <v>50.43</v>
      </c>
      <c r="G93" s="84">
        <v>4162</v>
      </c>
      <c r="H93" s="51" t="s">
        <v>2120</v>
      </c>
      <c r="I93" s="17" t="s">
        <v>71</v>
      </c>
      <c r="J93" s="77">
        <v>38.11</v>
      </c>
      <c r="K93" s="77">
        <v>4.74</v>
      </c>
      <c r="L93" s="371">
        <v>13.09</v>
      </c>
      <c r="N93" s="365">
        <f t="shared" ref="N93" si="44">K93+J93+L93</f>
        <v>55.94</v>
      </c>
      <c r="P93" s="195">
        <v>4</v>
      </c>
      <c r="Q93" s="326">
        <v>1</v>
      </c>
      <c r="R93" s="111">
        <v>4</v>
      </c>
      <c r="S93" s="51">
        <v>0</v>
      </c>
      <c r="T93" s="339">
        <f>SUM(P93:S93)</f>
        <v>9</v>
      </c>
      <c r="U93" s="329" t="s">
        <v>6540</v>
      </c>
      <c r="V93" s="371">
        <v>0.17</v>
      </c>
      <c r="W93" s="35">
        <v>2.5299999999999998</v>
      </c>
      <c r="X93" s="100">
        <v>5.77</v>
      </c>
      <c r="Y93" s="37" t="str">
        <f>RTD("money.excel",,"4162","Price")</f>
        <v>無資料</v>
      </c>
      <c r="Z93" s="242">
        <f>68.5-2.53</f>
        <v>65.97</v>
      </c>
      <c r="AA93" s="16" t="e">
        <f t="shared" ref="AA93" si="45">Y93-Z93</f>
        <v>#VALUE!</v>
      </c>
      <c r="AB93" s="80" t="e">
        <f t="shared" ref="AB93" si="46">AA93/Z93</f>
        <v>#VALUE!</v>
      </c>
      <c r="AC93" s="144" t="s">
        <v>6575</v>
      </c>
      <c r="AD93" s="17" t="s">
        <v>71</v>
      </c>
      <c r="AE93" s="89">
        <v>44348</v>
      </c>
      <c r="AG93" s="34">
        <f>AF93-AE93</f>
        <v>-44348</v>
      </c>
      <c r="AH93" s="135" t="s">
        <v>1790</v>
      </c>
      <c r="AI93" s="249"/>
      <c r="AJ93" s="17"/>
      <c r="AK93" s="228"/>
      <c r="AL93" s="272"/>
      <c r="AM93" s="290"/>
      <c r="AN93" s="292"/>
    </row>
    <row r="94" spans="1:40" s="288" customFormat="1">
      <c r="A94" s="150"/>
      <c r="B94" s="84"/>
      <c r="C94" s="84"/>
      <c r="D94" s="84"/>
      <c r="E94" s="84"/>
      <c r="F94" s="7"/>
      <c r="G94" s="42"/>
      <c r="H94" s="9"/>
      <c r="I94" s="163"/>
      <c r="J94" s="371"/>
      <c r="K94" s="371"/>
      <c r="L94" s="371"/>
      <c r="M94" s="365"/>
      <c r="N94" s="365"/>
      <c r="O94" s="343"/>
      <c r="P94" s="229"/>
      <c r="Q94" s="326"/>
      <c r="R94" s="111"/>
      <c r="S94" s="51"/>
      <c r="T94" s="339"/>
      <c r="U94" s="329"/>
      <c r="V94" s="371"/>
      <c r="W94" s="205"/>
      <c r="X94" s="100"/>
      <c r="Y94" s="175">
        <f>SUM(Y93)</f>
        <v>0</v>
      </c>
      <c r="Z94" s="165">
        <f>SUM(Z93)</f>
        <v>65.97</v>
      </c>
      <c r="AA94" s="172">
        <f>Y94-Z94</f>
        <v>-65.97</v>
      </c>
      <c r="AB94" s="174">
        <f>AA94/Z94</f>
        <v>-1</v>
      </c>
      <c r="AC94" s="121"/>
      <c r="AD94" s="163">
        <f>Y94*(0.001425*0.5)+Y94*0.003+Z94*(0.001425*0.5)</f>
        <v>4.7003625E-2</v>
      </c>
      <c r="AE94" s="7">
        <f>AA94-AD94</f>
        <v>-66.017003625000001</v>
      </c>
      <c r="AF94" s="88"/>
      <c r="AG94" s="34"/>
      <c r="AH94" s="42" t="s">
        <v>1790</v>
      </c>
      <c r="AI94" s="173"/>
    </row>
    <row r="95" spans="1:40" s="288" customFormat="1">
      <c r="A95" s="150"/>
      <c r="B95" s="84"/>
      <c r="C95" s="84"/>
      <c r="D95" s="84"/>
      <c r="E95" s="84"/>
      <c r="F95" s="7"/>
      <c r="G95" s="42"/>
      <c r="H95" s="9"/>
      <c r="I95" s="163"/>
      <c r="J95" s="371"/>
      <c r="K95" s="371"/>
      <c r="L95" s="371"/>
      <c r="M95" s="365"/>
      <c r="N95" s="365"/>
      <c r="O95" s="343"/>
      <c r="P95" s="229"/>
      <c r="Q95" s="326"/>
      <c r="R95" s="111"/>
      <c r="S95" s="51"/>
      <c r="T95" s="339"/>
      <c r="U95" s="329"/>
      <c r="V95" s="371"/>
      <c r="W95" s="205"/>
      <c r="X95" s="100"/>
      <c r="Y95" s="175"/>
      <c r="Z95" s="165"/>
      <c r="AA95" s="172"/>
      <c r="AB95" s="174"/>
      <c r="AC95" s="121"/>
      <c r="AD95" s="163"/>
      <c r="AE95" s="7"/>
      <c r="AF95" s="88"/>
      <c r="AG95" s="34"/>
      <c r="AH95" s="42"/>
      <c r="AI95" s="173"/>
    </row>
    <row r="96" spans="1:40" s="288" customFormat="1">
      <c r="A96" s="135" t="s">
        <v>2552</v>
      </c>
      <c r="B96" s="96" t="s">
        <v>2331</v>
      </c>
      <c r="C96" s="96" t="s">
        <v>2332</v>
      </c>
      <c r="D96" s="96" t="s">
        <v>2333</v>
      </c>
      <c r="E96" s="96" t="s">
        <v>2334</v>
      </c>
      <c r="F96" s="9" t="s">
        <v>1709</v>
      </c>
      <c r="G96" s="27" t="s">
        <v>5626</v>
      </c>
      <c r="H96" s="56" t="s">
        <v>578</v>
      </c>
      <c r="I96" s="1" t="s">
        <v>131</v>
      </c>
      <c r="J96" s="364" t="s">
        <v>2189</v>
      </c>
      <c r="K96" s="364" t="s">
        <v>1820</v>
      </c>
      <c r="L96" s="364" t="s">
        <v>515</v>
      </c>
      <c r="M96" s="364" t="s">
        <v>1699</v>
      </c>
      <c r="N96" s="364" t="s">
        <v>6633</v>
      </c>
      <c r="O96" s="343" t="s">
        <v>6634</v>
      </c>
      <c r="P96" s="83" t="s">
        <v>5279</v>
      </c>
      <c r="Q96" s="326" t="s">
        <v>5514</v>
      </c>
      <c r="R96" s="31" t="s">
        <v>6596</v>
      </c>
      <c r="S96" s="51" t="s">
        <v>6597</v>
      </c>
      <c r="T96" s="338" t="s">
        <v>5627</v>
      </c>
      <c r="U96" s="330" t="s">
        <v>6537</v>
      </c>
      <c r="V96" s="377" t="s">
        <v>6616</v>
      </c>
      <c r="W96" s="15" t="s">
        <v>127</v>
      </c>
      <c r="X96" s="71" t="s">
        <v>6626</v>
      </c>
      <c r="Y96" s="29" t="s">
        <v>6688</v>
      </c>
      <c r="Z96" s="18" t="s">
        <v>2113</v>
      </c>
      <c r="AA96" s="15" t="s">
        <v>3598</v>
      </c>
      <c r="AB96" s="22" t="s">
        <v>2199</v>
      </c>
      <c r="AC96" s="26" t="s">
        <v>211</v>
      </c>
      <c r="AD96" s="1" t="s">
        <v>131</v>
      </c>
      <c r="AE96" s="75" t="s">
        <v>2114</v>
      </c>
      <c r="AF96" s="76" t="s">
        <v>1826</v>
      </c>
      <c r="AG96" s="33" t="s">
        <v>1827</v>
      </c>
      <c r="AH96" s="147"/>
      <c r="AI96" s="173"/>
    </row>
    <row r="97" spans="1:42">
      <c r="A97" s="135" t="s">
        <v>2664</v>
      </c>
      <c r="B97" s="84">
        <v>23</v>
      </c>
      <c r="C97" s="84">
        <v>22</v>
      </c>
      <c r="D97" s="84">
        <v>2</v>
      </c>
      <c r="E97" s="84">
        <v>30</v>
      </c>
      <c r="F97" s="59">
        <v>11.17</v>
      </c>
      <c r="G97" s="85">
        <v>1309</v>
      </c>
      <c r="H97" s="31" t="s">
        <v>2191</v>
      </c>
      <c r="I97" s="23" t="s">
        <v>570</v>
      </c>
      <c r="J97" s="371">
        <v>41.97</v>
      </c>
      <c r="K97" s="77">
        <v>9.1</v>
      </c>
      <c r="L97" s="371">
        <v>9.67</v>
      </c>
      <c r="N97" s="365">
        <f t="shared" ref="N97" si="47">K97+J97+L97</f>
        <v>60.74</v>
      </c>
      <c r="P97" s="195">
        <v>17</v>
      </c>
      <c r="Q97" s="326">
        <v>6</v>
      </c>
      <c r="R97" s="111">
        <v>12</v>
      </c>
      <c r="S97" s="51">
        <v>6</v>
      </c>
      <c r="T97" s="339">
        <f>SUM(R97:S97)</f>
        <v>18</v>
      </c>
      <c r="V97" s="371">
        <v>16.329999999999998</v>
      </c>
      <c r="W97" s="46">
        <v>3</v>
      </c>
      <c r="X97" s="100">
        <v>6.21</v>
      </c>
      <c r="Y97" s="37" t="str">
        <f>RTD("money.excel",,"1309","Price")</f>
        <v>無資料</v>
      </c>
      <c r="Z97" s="69">
        <v>35.549999999999997</v>
      </c>
      <c r="AA97" s="16" t="e">
        <f t="shared" ref="AA97" si="48">Y97-Z97</f>
        <v>#VALUE!</v>
      </c>
      <c r="AB97" s="3" t="e">
        <f t="shared" ref="AB97" si="49">AA97/Z97</f>
        <v>#VALUE!</v>
      </c>
      <c r="AC97" s="105" t="s">
        <v>6484</v>
      </c>
      <c r="AD97" s="23" t="s">
        <v>570</v>
      </c>
      <c r="AE97" s="89">
        <v>44525</v>
      </c>
      <c r="AG97" s="34">
        <f t="shared" ref="AG97" si="50">AF97-AE97</f>
        <v>-44525</v>
      </c>
      <c r="AH97" s="42" t="s">
        <v>1790</v>
      </c>
      <c r="AJ97" s="23"/>
      <c r="AK97" s="228"/>
      <c r="AL97" s="272"/>
      <c r="AM97" s="290"/>
      <c r="AN97" s="292"/>
    </row>
    <row r="98" spans="1:42" s="288" customFormat="1">
      <c r="A98" s="150"/>
      <c r="B98" s="84"/>
      <c r="C98" s="84"/>
      <c r="D98" s="84"/>
      <c r="E98" s="84"/>
      <c r="F98" s="7"/>
      <c r="G98" s="42"/>
      <c r="H98" s="9"/>
      <c r="I98" s="163"/>
      <c r="J98" s="371"/>
      <c r="K98" s="371"/>
      <c r="L98" s="371"/>
      <c r="M98" s="365"/>
      <c r="N98" s="365"/>
      <c r="O98" s="343"/>
      <c r="P98" s="229"/>
      <c r="Q98" s="326"/>
      <c r="R98" s="111"/>
      <c r="S98" s="51"/>
      <c r="T98" s="339"/>
      <c r="U98" s="329"/>
      <c r="V98" s="371"/>
      <c r="W98" s="205"/>
      <c r="X98" s="100"/>
      <c r="Y98" s="175">
        <f>SUM(Y97)</f>
        <v>0</v>
      </c>
      <c r="Z98" s="165">
        <f>SUM(Z97)</f>
        <v>35.549999999999997</v>
      </c>
      <c r="AA98" s="172">
        <f>Y98-Z98</f>
        <v>-35.549999999999997</v>
      </c>
      <c r="AB98" s="174">
        <f>AA98/Z98</f>
        <v>-1</v>
      </c>
      <c r="AC98" s="121"/>
      <c r="AD98" s="163">
        <f>Y98*(0.001425*0.5)+Y98*0.003+Z98*(0.001425*0.5)</f>
        <v>2.5329374999999998E-2</v>
      </c>
      <c r="AE98" s="7">
        <f>AA98-AD98</f>
        <v>-35.575329374999995</v>
      </c>
      <c r="AF98" s="88"/>
      <c r="AG98" s="34"/>
      <c r="AH98" s="42" t="s">
        <v>1790</v>
      </c>
      <c r="AI98" s="173"/>
    </row>
    <row r="99" spans="1:42" s="288" customFormat="1">
      <c r="A99" s="150"/>
      <c r="B99" s="84"/>
      <c r="C99" s="84"/>
      <c r="D99" s="84"/>
      <c r="E99" s="84"/>
      <c r="F99" s="7"/>
      <c r="G99" s="42"/>
      <c r="H99" s="9"/>
      <c r="I99" s="163"/>
      <c r="J99" s="371"/>
      <c r="K99" s="371"/>
      <c r="L99" s="371"/>
      <c r="M99" s="365"/>
      <c r="N99" s="365"/>
      <c r="O99" s="343"/>
      <c r="P99" s="229"/>
      <c r="Q99" s="326"/>
      <c r="R99" s="111"/>
      <c r="S99" s="51"/>
      <c r="T99" s="339"/>
      <c r="U99" s="329"/>
      <c r="V99" s="371"/>
      <c r="W99" s="205"/>
      <c r="X99" s="100"/>
      <c r="Y99" s="175"/>
      <c r="Z99" s="165"/>
      <c r="AA99" s="172"/>
      <c r="AB99" s="174"/>
      <c r="AC99" s="121"/>
      <c r="AD99" s="163"/>
      <c r="AE99" s="7"/>
      <c r="AF99" s="88"/>
      <c r="AG99" s="34"/>
      <c r="AH99" s="42"/>
      <c r="AI99" s="173"/>
    </row>
    <row r="100" spans="1:42" s="288" customFormat="1" ht="17.25" customHeight="1">
      <c r="A100" s="135" t="s">
        <v>2552</v>
      </c>
      <c r="B100" s="96" t="s">
        <v>2331</v>
      </c>
      <c r="C100" s="96" t="s">
        <v>2332</v>
      </c>
      <c r="D100" s="96" t="s">
        <v>2333</v>
      </c>
      <c r="E100" s="96" t="s">
        <v>2334</v>
      </c>
      <c r="F100" s="9" t="s">
        <v>1709</v>
      </c>
      <c r="G100" s="27" t="s">
        <v>5626</v>
      </c>
      <c r="H100" s="56" t="s">
        <v>578</v>
      </c>
      <c r="I100" s="1" t="s">
        <v>3593</v>
      </c>
      <c r="J100" s="364" t="s">
        <v>2189</v>
      </c>
      <c r="K100" s="364" t="s">
        <v>1820</v>
      </c>
      <c r="L100" s="364" t="s">
        <v>515</v>
      </c>
      <c r="M100" s="364" t="s">
        <v>1699</v>
      </c>
      <c r="N100" s="364" t="s">
        <v>6633</v>
      </c>
      <c r="O100" s="343" t="s">
        <v>6634</v>
      </c>
      <c r="P100" s="83" t="s">
        <v>5279</v>
      </c>
      <c r="Q100" s="326" t="s">
        <v>5514</v>
      </c>
      <c r="R100" s="31" t="s">
        <v>6596</v>
      </c>
      <c r="S100" s="51" t="s">
        <v>6597</v>
      </c>
      <c r="T100" s="338" t="s">
        <v>5627</v>
      </c>
      <c r="U100" s="330" t="s">
        <v>6537</v>
      </c>
      <c r="V100" s="377" t="s">
        <v>6616</v>
      </c>
      <c r="W100" s="15" t="s">
        <v>127</v>
      </c>
      <c r="X100" s="71" t="s">
        <v>6626</v>
      </c>
      <c r="Y100" s="29" t="s">
        <v>6688</v>
      </c>
      <c r="Z100" s="18" t="s">
        <v>2113</v>
      </c>
      <c r="AA100" s="15" t="s">
        <v>3598</v>
      </c>
      <c r="AB100" s="22" t="s">
        <v>2199</v>
      </c>
      <c r="AC100" s="26" t="s">
        <v>211</v>
      </c>
      <c r="AD100" s="1" t="s">
        <v>3593</v>
      </c>
      <c r="AE100" s="75" t="s">
        <v>2114</v>
      </c>
      <c r="AF100" s="76" t="s">
        <v>1826</v>
      </c>
      <c r="AG100" s="33" t="s">
        <v>1827</v>
      </c>
      <c r="AH100" s="147"/>
      <c r="AI100" s="173"/>
    </row>
    <row r="101" spans="1:42">
      <c r="A101" s="151" t="s">
        <v>3073</v>
      </c>
      <c r="B101" s="84">
        <v>348</v>
      </c>
      <c r="C101" s="84">
        <v>679</v>
      </c>
      <c r="D101" s="85">
        <v>-3</v>
      </c>
      <c r="E101" s="84">
        <v>4</v>
      </c>
      <c r="F101" s="7">
        <v>5.76</v>
      </c>
      <c r="G101" s="58" t="s">
        <v>5331</v>
      </c>
      <c r="H101" s="31" t="s">
        <v>2191</v>
      </c>
      <c r="I101" s="23" t="s">
        <v>428</v>
      </c>
      <c r="J101" s="77">
        <v>69.84</v>
      </c>
      <c r="K101" s="77">
        <v>7.44</v>
      </c>
      <c r="L101" s="77">
        <v>11.9</v>
      </c>
      <c r="N101" s="365">
        <f t="shared" ref="N101" si="51">K101+J101+L101</f>
        <v>89.18</v>
      </c>
      <c r="R101" s="111">
        <v>7</v>
      </c>
      <c r="V101" s="371">
        <v>0.56000000000000005</v>
      </c>
      <c r="W101" s="35">
        <v>2</v>
      </c>
      <c r="X101" s="59">
        <v>7.81</v>
      </c>
      <c r="Y101" s="37" t="str">
        <f>RTD("money.excel",,"2387","Price")</f>
        <v>無資料</v>
      </c>
      <c r="Z101" s="242">
        <f>51.9-2</f>
        <v>49.9</v>
      </c>
      <c r="AA101" s="16" t="e">
        <f t="shared" ref="AA101" si="52">Y101-Z101</f>
        <v>#VALUE!</v>
      </c>
      <c r="AB101" s="3" t="e">
        <f t="shared" ref="AB101" si="53">AA101/Z101</f>
        <v>#VALUE!</v>
      </c>
      <c r="AC101" s="107" t="s">
        <v>5369</v>
      </c>
      <c r="AD101" s="23" t="s">
        <v>428</v>
      </c>
      <c r="AE101" s="89">
        <v>44390</v>
      </c>
      <c r="AG101" s="34">
        <f t="shared" ref="AG101" si="54">AF101-AE101</f>
        <v>-44390</v>
      </c>
      <c r="AH101" s="42" t="s">
        <v>1790</v>
      </c>
      <c r="AJ101" s="264"/>
      <c r="AK101" s="58"/>
      <c r="AL101" s="23"/>
      <c r="AM101" s="228"/>
      <c r="AN101" s="272"/>
      <c r="AO101" s="290"/>
      <c r="AP101" s="293"/>
    </row>
    <row r="102" spans="1:42" s="288" customFormat="1">
      <c r="A102" s="150"/>
      <c r="B102" s="84"/>
      <c r="C102" s="84"/>
      <c r="D102" s="84"/>
      <c r="E102" s="84"/>
      <c r="F102" s="7"/>
      <c r="G102" s="42"/>
      <c r="H102" s="9"/>
      <c r="I102" s="163"/>
      <c r="J102" s="371"/>
      <c r="K102" s="371"/>
      <c r="L102" s="371"/>
      <c r="M102" s="365"/>
      <c r="N102" s="365"/>
      <c r="O102" s="343"/>
      <c r="P102" s="229"/>
      <c r="Q102" s="326"/>
      <c r="R102" s="111"/>
      <c r="S102" s="51"/>
      <c r="T102" s="339"/>
      <c r="U102" s="329"/>
      <c r="V102" s="371"/>
      <c r="W102" s="205"/>
      <c r="X102" s="100"/>
      <c r="Y102" s="175">
        <f>SUM(Y101)</f>
        <v>0</v>
      </c>
      <c r="Z102" s="165">
        <f>SUM(Z101)</f>
        <v>49.9</v>
      </c>
      <c r="AA102" s="172">
        <f>Y102-Z102</f>
        <v>-49.9</v>
      </c>
      <c r="AB102" s="174">
        <f>AA102/Z102</f>
        <v>-1</v>
      </c>
      <c r="AC102" s="121"/>
      <c r="AD102" s="163">
        <f>Y102*(0.001425*0.5)+Y102*0.003+Z102*(0.001425*0.5)</f>
        <v>3.5553750000000002E-2</v>
      </c>
      <c r="AE102" s="7">
        <f>AA102-AD102</f>
        <v>-49.935553749999997</v>
      </c>
      <c r="AF102" s="88"/>
      <c r="AG102" s="34"/>
      <c r="AH102" s="42" t="s">
        <v>1790</v>
      </c>
      <c r="AI102" s="173"/>
    </row>
    <row r="103" spans="1:42" s="288" customFormat="1">
      <c r="A103" s="150"/>
      <c r="B103" s="84"/>
      <c r="C103" s="84"/>
      <c r="D103" s="84"/>
      <c r="E103" s="84"/>
      <c r="F103" s="7"/>
      <c r="G103" s="42"/>
      <c r="H103" s="9"/>
      <c r="I103" s="163"/>
      <c r="J103" s="371"/>
      <c r="K103" s="371"/>
      <c r="L103" s="371"/>
      <c r="M103" s="365"/>
      <c r="N103" s="365"/>
      <c r="O103" s="343"/>
      <c r="P103" s="229"/>
      <c r="Q103" s="326"/>
      <c r="R103" s="111"/>
      <c r="S103" s="51"/>
      <c r="T103" s="339"/>
      <c r="U103" s="329"/>
      <c r="V103" s="371"/>
      <c r="W103" s="205"/>
      <c r="X103" s="100"/>
      <c r="Y103" s="175"/>
      <c r="Z103" s="165"/>
      <c r="AA103" s="172"/>
      <c r="AB103" s="174"/>
      <c r="AC103" s="121"/>
      <c r="AD103" s="163"/>
      <c r="AE103" s="7"/>
      <c r="AF103" s="88"/>
      <c r="AG103" s="34"/>
      <c r="AH103" s="42"/>
      <c r="AI103" s="173"/>
    </row>
    <row r="104" spans="1:42" s="288" customFormat="1">
      <c r="A104" s="135" t="s">
        <v>2552</v>
      </c>
      <c r="B104" s="96" t="s">
        <v>2331</v>
      </c>
      <c r="C104" s="96" t="s">
        <v>2332</v>
      </c>
      <c r="D104" s="96" t="s">
        <v>2333</v>
      </c>
      <c r="E104" s="96" t="s">
        <v>2334</v>
      </c>
      <c r="F104" s="9" t="s">
        <v>1709</v>
      </c>
      <c r="G104" s="27" t="s">
        <v>5626</v>
      </c>
      <c r="H104" s="56" t="s">
        <v>578</v>
      </c>
      <c r="I104" s="1" t="s">
        <v>3593</v>
      </c>
      <c r="J104" s="364" t="s">
        <v>2189</v>
      </c>
      <c r="K104" s="364" t="s">
        <v>1820</v>
      </c>
      <c r="L104" s="364" t="s">
        <v>515</v>
      </c>
      <c r="M104" s="364" t="s">
        <v>1699</v>
      </c>
      <c r="N104" s="364" t="s">
        <v>6633</v>
      </c>
      <c r="O104" s="343" t="s">
        <v>6634</v>
      </c>
      <c r="P104" s="83" t="s">
        <v>5279</v>
      </c>
      <c r="Q104" s="326" t="s">
        <v>5514</v>
      </c>
      <c r="R104" s="31" t="s">
        <v>6596</v>
      </c>
      <c r="S104" s="51" t="s">
        <v>6597</v>
      </c>
      <c r="T104" s="338" t="s">
        <v>5627</v>
      </c>
      <c r="U104" s="330" t="s">
        <v>6537</v>
      </c>
      <c r="V104" s="377" t="s">
        <v>6616</v>
      </c>
      <c r="W104" s="15" t="s">
        <v>127</v>
      </c>
      <c r="X104" s="71" t="s">
        <v>6626</v>
      </c>
      <c r="Y104" s="29" t="s">
        <v>6688</v>
      </c>
      <c r="Z104" s="18" t="s">
        <v>2113</v>
      </c>
      <c r="AA104" s="15" t="s">
        <v>3598</v>
      </c>
      <c r="AB104" s="22" t="s">
        <v>2199</v>
      </c>
      <c r="AC104" s="26" t="s">
        <v>211</v>
      </c>
      <c r="AD104" s="1" t="s">
        <v>3593</v>
      </c>
      <c r="AE104" s="75" t="s">
        <v>2114</v>
      </c>
      <c r="AF104" s="76" t="s">
        <v>1826</v>
      </c>
      <c r="AG104" s="33" t="s">
        <v>1827</v>
      </c>
      <c r="AH104" s="147"/>
      <c r="AI104" s="173"/>
    </row>
    <row r="105" spans="1:42">
      <c r="A105" s="151" t="s">
        <v>2906</v>
      </c>
      <c r="B105" s="98">
        <v>2639</v>
      </c>
      <c r="C105" s="98">
        <v>2126</v>
      </c>
      <c r="D105" s="84">
        <v>42</v>
      </c>
      <c r="E105" s="98">
        <v>1154</v>
      </c>
      <c r="F105" s="7">
        <v>9.25</v>
      </c>
      <c r="G105" s="58" t="s">
        <v>3275</v>
      </c>
      <c r="H105" s="31" t="s">
        <v>2191</v>
      </c>
      <c r="I105" s="17" t="s">
        <v>3276</v>
      </c>
      <c r="J105" s="77">
        <v>51.08</v>
      </c>
      <c r="K105" s="77">
        <v>0.28000000000000003</v>
      </c>
      <c r="N105" s="365">
        <f t="shared" ref="N105:N106" si="55">K105+J105+L105</f>
        <v>51.36</v>
      </c>
      <c r="R105" s="111">
        <v>1</v>
      </c>
      <c r="W105" s="35">
        <v>0</v>
      </c>
      <c r="X105" s="59">
        <v>0.32</v>
      </c>
      <c r="Y105" s="37" t="str">
        <f>RTD("money.excel",,"3713","Price")</f>
        <v>無資料</v>
      </c>
      <c r="Z105" s="242">
        <v>40.75</v>
      </c>
      <c r="AA105" s="16" t="e">
        <f t="shared" ref="AA105" si="56">Y105-Z105</f>
        <v>#VALUE!</v>
      </c>
      <c r="AB105" s="3" t="e">
        <f t="shared" ref="AB105" si="57">AA105/Z105</f>
        <v>#VALUE!</v>
      </c>
      <c r="AC105" s="105" t="s">
        <v>5317</v>
      </c>
      <c r="AD105" s="17" t="s">
        <v>3276</v>
      </c>
      <c r="AE105" s="89">
        <v>44363</v>
      </c>
      <c r="AG105" s="34"/>
      <c r="AH105" s="42" t="s">
        <v>1790</v>
      </c>
      <c r="AJ105" s="264"/>
    </row>
    <row r="106" spans="1:42">
      <c r="A106" s="151" t="s">
        <v>2906</v>
      </c>
      <c r="B106" s="98">
        <v>2639</v>
      </c>
      <c r="C106" s="98">
        <v>2126</v>
      </c>
      <c r="D106" s="84">
        <v>42</v>
      </c>
      <c r="E106" s="98">
        <v>1154</v>
      </c>
      <c r="F106" s="7">
        <v>9.25</v>
      </c>
      <c r="G106" s="58" t="s">
        <v>3275</v>
      </c>
      <c r="H106" s="31" t="s">
        <v>2191</v>
      </c>
      <c r="I106" s="17" t="s">
        <v>3276</v>
      </c>
      <c r="J106" s="77">
        <v>51.08</v>
      </c>
      <c r="K106" s="77">
        <v>0.28000000000000003</v>
      </c>
      <c r="N106" s="365">
        <f t="shared" si="55"/>
        <v>51.36</v>
      </c>
      <c r="R106" s="111">
        <v>1</v>
      </c>
      <c r="W106" s="35">
        <v>0</v>
      </c>
      <c r="X106" s="59">
        <v>0.32</v>
      </c>
      <c r="Y106" s="37" t="str">
        <f>RTD("money.excel",,"3713","Price")</f>
        <v>無資料</v>
      </c>
      <c r="Z106" s="242">
        <v>46.2</v>
      </c>
      <c r="AA106" s="16" t="e">
        <f t="shared" ref="AA106" si="58">Y106-Z106</f>
        <v>#VALUE!</v>
      </c>
      <c r="AB106" s="3" t="e">
        <f t="shared" ref="AB106" si="59">AA106/Z106</f>
        <v>#VALUE!</v>
      </c>
      <c r="AC106" s="105" t="s">
        <v>5317</v>
      </c>
      <c r="AD106" s="17" t="s">
        <v>3276</v>
      </c>
      <c r="AE106" s="89">
        <v>44363</v>
      </c>
      <c r="AG106" s="34"/>
      <c r="AH106" s="42" t="s">
        <v>1790</v>
      </c>
      <c r="AJ106" s="264"/>
    </row>
    <row r="107" spans="1:42" s="288" customFormat="1">
      <c r="A107" s="150"/>
      <c r="B107" s="84"/>
      <c r="C107" s="84"/>
      <c r="D107" s="84"/>
      <c r="E107" s="84"/>
      <c r="F107" s="7"/>
      <c r="G107" s="42"/>
      <c r="H107" s="9"/>
      <c r="I107" s="163"/>
      <c r="J107" s="371"/>
      <c r="K107" s="371"/>
      <c r="L107" s="371"/>
      <c r="M107" s="365"/>
      <c r="N107" s="365"/>
      <c r="O107" s="343"/>
      <c r="P107" s="229"/>
      <c r="Q107" s="326"/>
      <c r="R107" s="111"/>
      <c r="S107" s="51"/>
      <c r="T107" s="339"/>
      <c r="U107" s="329"/>
      <c r="V107" s="371"/>
      <c r="W107" s="205"/>
      <c r="X107" s="100"/>
      <c r="Y107" s="175">
        <f>SUM(Y105:Y106)</f>
        <v>0</v>
      </c>
      <c r="Z107" s="165">
        <f>SUM(Z105:Z106)</f>
        <v>86.95</v>
      </c>
      <c r="AA107" s="172">
        <f>Y107-Z107</f>
        <v>-86.95</v>
      </c>
      <c r="AB107" s="174">
        <f>AA107/Z107</f>
        <v>-1</v>
      </c>
      <c r="AC107" s="121"/>
      <c r="AD107" s="163">
        <f>Y107*(0.001425*0.5)+Y107*0.003+Z107*(0.001425*0.5)</f>
        <v>6.1951875000000003E-2</v>
      </c>
      <c r="AE107" s="7">
        <f>AA107-AD107</f>
        <v>-87.011951875000008</v>
      </c>
      <c r="AF107" s="88"/>
      <c r="AG107" s="34"/>
      <c r="AH107" s="42" t="s">
        <v>2243</v>
      </c>
      <c r="AI107" s="173"/>
    </row>
    <row r="108" spans="1:42">
      <c r="A108" s="151"/>
      <c r="B108" s="98"/>
      <c r="C108" s="98"/>
      <c r="D108" s="84"/>
      <c r="E108" s="98"/>
      <c r="F108" s="7"/>
      <c r="G108" s="58"/>
      <c r="H108" s="31"/>
      <c r="I108" s="17"/>
      <c r="J108" s="371"/>
      <c r="K108" s="77"/>
      <c r="N108" s="365"/>
      <c r="W108" s="35"/>
      <c r="X108" s="59"/>
      <c r="Y108" s="37"/>
      <c r="Z108" s="69"/>
      <c r="AA108" s="16"/>
      <c r="AB108" s="3"/>
      <c r="AC108" s="105"/>
      <c r="AD108" s="17"/>
      <c r="AG108" s="34"/>
      <c r="AH108" s="42"/>
      <c r="AJ108" s="264"/>
    </row>
    <row r="109" spans="1:42" s="288" customFormat="1">
      <c r="A109" s="135" t="s">
        <v>2552</v>
      </c>
      <c r="B109" s="96" t="s">
        <v>2331</v>
      </c>
      <c r="C109" s="96" t="s">
        <v>2332</v>
      </c>
      <c r="D109" s="96" t="s">
        <v>2333</v>
      </c>
      <c r="E109" s="96" t="s">
        <v>2334</v>
      </c>
      <c r="F109" s="9" t="s">
        <v>1709</v>
      </c>
      <c r="G109" s="27" t="s">
        <v>5626</v>
      </c>
      <c r="H109" s="56" t="s">
        <v>578</v>
      </c>
      <c r="I109" s="1" t="s">
        <v>3593</v>
      </c>
      <c r="J109" s="364" t="s">
        <v>2189</v>
      </c>
      <c r="K109" s="364" t="s">
        <v>1820</v>
      </c>
      <c r="L109" s="364" t="s">
        <v>515</v>
      </c>
      <c r="M109" s="364" t="s">
        <v>1699</v>
      </c>
      <c r="N109" s="364" t="s">
        <v>6633</v>
      </c>
      <c r="O109" s="343" t="s">
        <v>6634</v>
      </c>
      <c r="P109" s="83" t="s">
        <v>5279</v>
      </c>
      <c r="Q109" s="326" t="s">
        <v>5514</v>
      </c>
      <c r="R109" s="31" t="s">
        <v>6596</v>
      </c>
      <c r="S109" s="51" t="s">
        <v>6597</v>
      </c>
      <c r="T109" s="338" t="s">
        <v>5627</v>
      </c>
      <c r="U109" s="330" t="s">
        <v>6537</v>
      </c>
      <c r="V109" s="377" t="s">
        <v>6616</v>
      </c>
      <c r="W109" s="15" t="s">
        <v>127</v>
      </c>
      <c r="X109" s="71" t="s">
        <v>6626</v>
      </c>
      <c r="Y109" s="29" t="s">
        <v>6688</v>
      </c>
      <c r="Z109" s="18" t="s">
        <v>2113</v>
      </c>
      <c r="AA109" s="15" t="s">
        <v>3598</v>
      </c>
      <c r="AB109" s="22" t="s">
        <v>2199</v>
      </c>
      <c r="AC109" s="26" t="s">
        <v>211</v>
      </c>
      <c r="AD109" s="1" t="s">
        <v>3593</v>
      </c>
      <c r="AE109" s="75" t="s">
        <v>2114</v>
      </c>
      <c r="AF109" s="76" t="s">
        <v>1826</v>
      </c>
      <c r="AG109" s="33" t="s">
        <v>1827</v>
      </c>
      <c r="AH109" s="147"/>
      <c r="AI109" s="173"/>
    </row>
    <row r="110" spans="1:42">
      <c r="A110" s="135" t="s">
        <v>2485</v>
      </c>
      <c r="B110" s="98">
        <v>4675</v>
      </c>
      <c r="C110" s="84">
        <v>279</v>
      </c>
      <c r="D110" s="84">
        <v>30</v>
      </c>
      <c r="E110" s="84">
        <v>31</v>
      </c>
      <c r="F110" s="59">
        <v>14.09</v>
      </c>
      <c r="G110" s="42" t="s">
        <v>1217</v>
      </c>
      <c r="H110" s="31" t="s">
        <v>2191</v>
      </c>
      <c r="I110" s="17" t="s">
        <v>1218</v>
      </c>
      <c r="J110" s="77">
        <v>36.26</v>
      </c>
      <c r="K110" s="371">
        <v>6.39</v>
      </c>
      <c r="L110" s="77">
        <v>34.229999999999997</v>
      </c>
      <c r="N110" s="365">
        <f t="shared" ref="N110:N112" si="60">K110+J110+L110</f>
        <v>76.88</v>
      </c>
      <c r="R110" s="111">
        <v>10</v>
      </c>
      <c r="V110" s="371">
        <v>0.9</v>
      </c>
      <c r="W110" s="35">
        <v>0.25</v>
      </c>
      <c r="X110" s="100">
        <v>0.84</v>
      </c>
      <c r="Y110" s="37" t="str">
        <f>RTD("money.excel",,"8936","Price")</f>
        <v>無資料</v>
      </c>
      <c r="Z110" s="242">
        <f>25.1-0.25</f>
        <v>24.85</v>
      </c>
      <c r="AA110" s="16" t="e">
        <f>Y110-Z110</f>
        <v>#VALUE!</v>
      </c>
      <c r="AB110" s="3" t="e">
        <f>AA110/Z110</f>
        <v>#VALUE!</v>
      </c>
      <c r="AC110" s="107" t="s">
        <v>2648</v>
      </c>
      <c r="AD110" s="17" t="s">
        <v>1218</v>
      </c>
      <c r="AE110" s="89">
        <v>44383</v>
      </c>
      <c r="AG110" s="34">
        <f>AF110-AE110</f>
        <v>-44383</v>
      </c>
      <c r="AH110" s="42" t="s">
        <v>1790</v>
      </c>
      <c r="AJ110" s="9"/>
    </row>
    <row r="111" spans="1:42">
      <c r="A111" s="135" t="s">
        <v>2485</v>
      </c>
      <c r="B111" s="98">
        <v>4675</v>
      </c>
      <c r="C111" s="84">
        <v>279</v>
      </c>
      <c r="D111" s="84">
        <v>30</v>
      </c>
      <c r="E111" s="84">
        <v>31</v>
      </c>
      <c r="F111" s="59">
        <v>14.09</v>
      </c>
      <c r="G111" s="42" t="s">
        <v>1217</v>
      </c>
      <c r="H111" s="31" t="s">
        <v>2191</v>
      </c>
      <c r="I111" s="17" t="s">
        <v>1218</v>
      </c>
      <c r="J111" s="77">
        <v>36.26</v>
      </c>
      <c r="K111" s="371">
        <v>6.39</v>
      </c>
      <c r="L111" s="77">
        <v>34.229999999999997</v>
      </c>
      <c r="N111" s="365">
        <f t="shared" si="60"/>
        <v>76.88</v>
      </c>
      <c r="R111" s="111">
        <v>10</v>
      </c>
      <c r="V111" s="371">
        <v>0.9</v>
      </c>
      <c r="W111" s="35">
        <v>0.25</v>
      </c>
      <c r="X111" s="100">
        <v>0.84</v>
      </c>
      <c r="Y111" s="37" t="str">
        <f>RTD("money.excel",,"8936","Price")</f>
        <v>無資料</v>
      </c>
      <c r="Z111" s="242">
        <f>27.85-0.25</f>
        <v>27.6</v>
      </c>
      <c r="AA111" s="16" t="e">
        <f>Y111-Z111</f>
        <v>#VALUE!</v>
      </c>
      <c r="AB111" s="3" t="e">
        <f>AA111/Z111</f>
        <v>#VALUE!</v>
      </c>
      <c r="AC111" s="107" t="s">
        <v>2648</v>
      </c>
      <c r="AD111" s="17" t="s">
        <v>1218</v>
      </c>
      <c r="AE111" s="89">
        <v>44343</v>
      </c>
      <c r="AG111" s="34">
        <f>AF111-AE111</f>
        <v>-44343</v>
      </c>
      <c r="AH111" s="42" t="s">
        <v>1790</v>
      </c>
      <c r="AJ111" s="9"/>
    </row>
    <row r="112" spans="1:42">
      <c r="A112" s="135" t="s">
        <v>2485</v>
      </c>
      <c r="B112" s="98">
        <v>4675</v>
      </c>
      <c r="C112" s="84">
        <v>279</v>
      </c>
      <c r="D112" s="84">
        <v>30</v>
      </c>
      <c r="E112" s="84">
        <v>31</v>
      </c>
      <c r="F112" s="59">
        <v>14.09</v>
      </c>
      <c r="G112" s="42" t="s">
        <v>1217</v>
      </c>
      <c r="H112" s="31" t="s">
        <v>2191</v>
      </c>
      <c r="I112" s="17" t="s">
        <v>1218</v>
      </c>
      <c r="J112" s="77">
        <v>36.26</v>
      </c>
      <c r="K112" s="371">
        <v>6.39</v>
      </c>
      <c r="L112" s="77">
        <v>34.229999999999997</v>
      </c>
      <c r="N112" s="365">
        <f t="shared" si="60"/>
        <v>76.88</v>
      </c>
      <c r="R112" s="111">
        <v>10</v>
      </c>
      <c r="V112" s="371">
        <v>0.9</v>
      </c>
      <c r="W112" s="35">
        <v>0.25</v>
      </c>
      <c r="X112" s="100">
        <v>0.84</v>
      </c>
      <c r="Y112" s="37" t="str">
        <f>RTD("money.excel",,"8936","Price")</f>
        <v>無資料</v>
      </c>
      <c r="Z112" s="242">
        <f>30.3-0.25</f>
        <v>30.05</v>
      </c>
      <c r="AA112" s="16" t="e">
        <f>Y112-Z112</f>
        <v>#VALUE!</v>
      </c>
      <c r="AB112" s="3" t="e">
        <f>AA112/Z112</f>
        <v>#VALUE!</v>
      </c>
      <c r="AC112" s="107" t="s">
        <v>2648</v>
      </c>
      <c r="AD112" s="17" t="s">
        <v>1218</v>
      </c>
      <c r="AE112" s="89">
        <v>44336</v>
      </c>
      <c r="AG112" s="34">
        <f>AF112-AE112</f>
        <v>-44336</v>
      </c>
      <c r="AH112" s="42" t="s">
        <v>1790</v>
      </c>
      <c r="AJ112" s="9"/>
    </row>
    <row r="113" spans="1:36" s="288" customFormat="1">
      <c r="A113" s="150"/>
      <c r="B113" s="84"/>
      <c r="C113" s="84"/>
      <c r="D113" s="84"/>
      <c r="E113" s="84"/>
      <c r="F113" s="7"/>
      <c r="G113" s="42"/>
      <c r="H113" s="9"/>
      <c r="I113" s="163"/>
      <c r="J113" s="371"/>
      <c r="K113" s="371"/>
      <c r="L113" s="371"/>
      <c r="M113" s="365"/>
      <c r="N113" s="365"/>
      <c r="O113" s="343"/>
      <c r="P113" s="229"/>
      <c r="Q113" s="326"/>
      <c r="R113" s="111"/>
      <c r="S113" s="51"/>
      <c r="T113" s="339"/>
      <c r="U113" s="329"/>
      <c r="V113" s="371"/>
      <c r="W113" s="205"/>
      <c r="X113" s="100"/>
      <c r="Y113" s="175">
        <f>SUM(Y110:Y112)</f>
        <v>0</v>
      </c>
      <c r="Z113" s="165">
        <f>SUM(Z110:Z112)</f>
        <v>82.5</v>
      </c>
      <c r="AA113" s="172">
        <f>Y113-Z113</f>
        <v>-82.5</v>
      </c>
      <c r="AB113" s="174">
        <f>AA113/Z113</f>
        <v>-1</v>
      </c>
      <c r="AC113" s="121"/>
      <c r="AD113" s="163">
        <f>Y113*(0.001425*0.5)+Y113*0.003+Z113*(0.001425*0.5)</f>
        <v>5.878125E-2</v>
      </c>
      <c r="AE113" s="7">
        <f>AA113-AD113</f>
        <v>-82.558781249999996</v>
      </c>
      <c r="AF113" s="88"/>
      <c r="AG113" s="34"/>
      <c r="AH113" s="42" t="s">
        <v>2306</v>
      </c>
      <c r="AI113" s="173"/>
    </row>
    <row r="114" spans="1:36" s="288" customFormat="1">
      <c r="A114" s="150"/>
      <c r="B114" s="84"/>
      <c r="C114" s="84"/>
      <c r="D114" s="84"/>
      <c r="E114" s="84"/>
      <c r="F114" s="7"/>
      <c r="G114" s="42"/>
      <c r="H114" s="9"/>
      <c r="I114" s="163"/>
      <c r="J114" s="371"/>
      <c r="K114" s="371"/>
      <c r="L114" s="371"/>
      <c r="M114" s="365"/>
      <c r="N114" s="365"/>
      <c r="O114" s="343"/>
      <c r="P114" s="229"/>
      <c r="Q114" s="326"/>
      <c r="R114" s="111"/>
      <c r="S114" s="51"/>
      <c r="T114" s="339"/>
      <c r="U114" s="329"/>
      <c r="V114" s="371"/>
      <c r="W114" s="205"/>
      <c r="X114" s="100"/>
      <c r="Y114" s="175"/>
      <c r="Z114" s="165"/>
      <c r="AA114" s="172"/>
      <c r="AB114" s="174"/>
      <c r="AC114" s="121"/>
      <c r="AD114" s="163"/>
      <c r="AE114" s="7"/>
      <c r="AF114" s="88"/>
      <c r="AG114" s="34"/>
      <c r="AH114" s="42"/>
      <c r="AI114" s="173"/>
    </row>
    <row r="115" spans="1:36" s="288" customFormat="1">
      <c r="A115" s="135" t="s">
        <v>2552</v>
      </c>
      <c r="B115" s="96" t="s">
        <v>2331</v>
      </c>
      <c r="C115" s="96" t="s">
        <v>2332</v>
      </c>
      <c r="D115" s="96" t="s">
        <v>2333</v>
      </c>
      <c r="E115" s="96" t="s">
        <v>2334</v>
      </c>
      <c r="F115" s="9" t="s">
        <v>1709</v>
      </c>
      <c r="G115" s="27" t="s">
        <v>5626</v>
      </c>
      <c r="H115" s="56" t="s">
        <v>578</v>
      </c>
      <c r="I115" s="1" t="s">
        <v>3593</v>
      </c>
      <c r="J115" s="364" t="s">
        <v>2189</v>
      </c>
      <c r="K115" s="364" t="s">
        <v>1820</v>
      </c>
      <c r="L115" s="364" t="s">
        <v>515</v>
      </c>
      <c r="M115" s="364" t="s">
        <v>1699</v>
      </c>
      <c r="N115" s="364" t="s">
        <v>6633</v>
      </c>
      <c r="O115" s="343" t="s">
        <v>6634</v>
      </c>
      <c r="P115" s="83" t="s">
        <v>5279</v>
      </c>
      <c r="Q115" s="326" t="s">
        <v>5514</v>
      </c>
      <c r="R115" s="31" t="s">
        <v>6596</v>
      </c>
      <c r="S115" s="51" t="s">
        <v>6597</v>
      </c>
      <c r="T115" s="338" t="s">
        <v>5627</v>
      </c>
      <c r="U115" s="330" t="s">
        <v>6537</v>
      </c>
      <c r="V115" s="377" t="s">
        <v>6616</v>
      </c>
      <c r="W115" s="15" t="s">
        <v>127</v>
      </c>
      <c r="X115" s="71" t="s">
        <v>6626</v>
      </c>
      <c r="Y115" s="29" t="s">
        <v>6688</v>
      </c>
      <c r="Z115" s="18" t="s">
        <v>2113</v>
      </c>
      <c r="AA115" s="15" t="s">
        <v>3598</v>
      </c>
      <c r="AB115" s="22" t="s">
        <v>2199</v>
      </c>
      <c r="AC115" s="26" t="s">
        <v>211</v>
      </c>
      <c r="AD115" s="1" t="s">
        <v>3593</v>
      </c>
      <c r="AE115" s="75" t="s">
        <v>2114</v>
      </c>
      <c r="AF115" s="76" t="s">
        <v>1826</v>
      </c>
      <c r="AG115" s="33" t="s">
        <v>1827</v>
      </c>
      <c r="AH115" s="147"/>
      <c r="AI115" s="173"/>
    </row>
    <row r="116" spans="1:36">
      <c r="A116" s="135" t="s">
        <v>2613</v>
      </c>
      <c r="B116" s="84">
        <v>493</v>
      </c>
      <c r="C116" s="84">
        <v>373</v>
      </c>
      <c r="D116" s="85">
        <v>-51</v>
      </c>
      <c r="E116" s="84">
        <v>80</v>
      </c>
      <c r="F116" s="59">
        <v>21.21</v>
      </c>
      <c r="G116" s="58" t="s">
        <v>1136</v>
      </c>
      <c r="H116" s="51" t="s">
        <v>2120</v>
      </c>
      <c r="I116" s="17" t="s">
        <v>1137</v>
      </c>
      <c r="J116" s="371">
        <v>28.27</v>
      </c>
      <c r="K116" s="371">
        <v>1.08</v>
      </c>
      <c r="L116" s="77">
        <v>19.5</v>
      </c>
      <c r="N116" s="365">
        <f t="shared" ref="N116:N118" si="61">K116+J116+L116</f>
        <v>48.85</v>
      </c>
      <c r="R116" s="111">
        <v>6</v>
      </c>
      <c r="V116" s="371">
        <v>0.27</v>
      </c>
      <c r="W116" s="69">
        <v>1.5</v>
      </c>
      <c r="X116" s="100">
        <v>19.010000000000002</v>
      </c>
      <c r="Y116" s="37" t="str">
        <f>RTD("money.excel",,"4735","Price")</f>
        <v>無資料</v>
      </c>
      <c r="Z116" s="242">
        <f>91.8-1.5-2.5-1.2</f>
        <v>86.6</v>
      </c>
      <c r="AA116" s="16" t="e">
        <f>Y116-Z116</f>
        <v>#VALUE!</v>
      </c>
      <c r="AB116" s="80" t="e">
        <f t="shared" ref="AB116:AB118" si="62">AA116/Z116</f>
        <v>#VALUE!</v>
      </c>
      <c r="AC116" s="144" t="s">
        <v>5251</v>
      </c>
      <c r="AD116" s="17" t="s">
        <v>1137</v>
      </c>
      <c r="AE116" s="89">
        <v>44333</v>
      </c>
      <c r="AG116" s="34">
        <f t="shared" ref="AG116:AG118" si="63">AF116-AE116</f>
        <v>-44333</v>
      </c>
      <c r="AH116" s="135" t="s">
        <v>1790</v>
      </c>
      <c r="AI116" s="249"/>
      <c r="AJ116" s="238"/>
    </row>
    <row r="117" spans="1:36">
      <c r="A117" s="135" t="s">
        <v>2613</v>
      </c>
      <c r="B117" s="84">
        <v>493</v>
      </c>
      <c r="C117" s="84">
        <v>373</v>
      </c>
      <c r="D117" s="85">
        <v>-51</v>
      </c>
      <c r="E117" s="84">
        <v>80</v>
      </c>
      <c r="F117" s="59">
        <v>21.21</v>
      </c>
      <c r="G117" s="58" t="s">
        <v>1136</v>
      </c>
      <c r="H117" s="31" t="s">
        <v>2191</v>
      </c>
      <c r="I117" s="17" t="s">
        <v>1137</v>
      </c>
      <c r="J117" s="371">
        <v>28.27</v>
      </c>
      <c r="K117" s="371">
        <v>1.08</v>
      </c>
      <c r="L117" s="77">
        <v>19.5</v>
      </c>
      <c r="N117" s="365">
        <f t="shared" ref="N117" si="64">K117+J117+L117</f>
        <v>48.85</v>
      </c>
      <c r="R117" s="111">
        <v>6</v>
      </c>
      <c r="V117" s="371">
        <v>0.27</v>
      </c>
      <c r="W117" s="69">
        <v>1.5</v>
      </c>
      <c r="X117" s="100">
        <v>19.010000000000002</v>
      </c>
      <c r="Y117" s="37" t="str">
        <f>RTD("money.excel",,"4735","Price")</f>
        <v>無資料</v>
      </c>
      <c r="Z117" s="242">
        <f>71.1-2.5-1.2</f>
        <v>67.399999999999991</v>
      </c>
      <c r="AA117" s="16" t="e">
        <f>Y117-Z117</f>
        <v>#VALUE!</v>
      </c>
      <c r="AB117" s="80" t="e">
        <f t="shared" ref="AB117" si="65">AA117/Z117</f>
        <v>#VALUE!</v>
      </c>
      <c r="AC117" s="144" t="s">
        <v>5251</v>
      </c>
      <c r="AD117" s="17" t="s">
        <v>1137</v>
      </c>
      <c r="AE117" s="89">
        <v>44453</v>
      </c>
      <c r="AG117" s="34">
        <f t="shared" ref="AG117" si="66">AF117-AE117</f>
        <v>-44453</v>
      </c>
      <c r="AH117" s="42" t="s">
        <v>1790</v>
      </c>
      <c r="AI117" s="249"/>
      <c r="AJ117" s="238"/>
    </row>
    <row r="118" spans="1:36">
      <c r="A118" s="135" t="s">
        <v>2613</v>
      </c>
      <c r="B118" s="84">
        <v>493</v>
      </c>
      <c r="C118" s="84">
        <v>373</v>
      </c>
      <c r="D118" s="85">
        <v>-51</v>
      </c>
      <c r="E118" s="84">
        <v>80</v>
      </c>
      <c r="F118" s="59">
        <v>21.21</v>
      </c>
      <c r="G118" s="58" t="s">
        <v>1136</v>
      </c>
      <c r="H118" s="31" t="s">
        <v>2191</v>
      </c>
      <c r="I118" s="17" t="s">
        <v>1137</v>
      </c>
      <c r="J118" s="371">
        <v>28.27</v>
      </c>
      <c r="K118" s="371">
        <v>1.08</v>
      </c>
      <c r="L118" s="77">
        <v>19.5</v>
      </c>
      <c r="N118" s="365">
        <f t="shared" si="61"/>
        <v>48.85</v>
      </c>
      <c r="R118" s="111">
        <v>6</v>
      </c>
      <c r="V118" s="371">
        <v>0.27</v>
      </c>
      <c r="W118" s="69">
        <v>1.5</v>
      </c>
      <c r="X118" s="100">
        <v>19.010000000000002</v>
      </c>
      <c r="Y118" s="37" t="str">
        <f>RTD("money.excel",,"4735","Price")</f>
        <v>無資料</v>
      </c>
      <c r="Z118" s="242">
        <f>91.8-1.5-2.5-1.2</f>
        <v>86.6</v>
      </c>
      <c r="AA118" s="16" t="e">
        <f>Y118-Z118</f>
        <v>#VALUE!</v>
      </c>
      <c r="AB118" s="80" t="e">
        <f t="shared" si="62"/>
        <v>#VALUE!</v>
      </c>
      <c r="AC118" s="144" t="s">
        <v>5251</v>
      </c>
      <c r="AD118" s="17" t="s">
        <v>1137</v>
      </c>
      <c r="AE118" s="89">
        <v>44333</v>
      </c>
      <c r="AG118" s="34">
        <f t="shared" si="63"/>
        <v>-44333</v>
      </c>
      <c r="AH118" s="42" t="s">
        <v>1790</v>
      </c>
      <c r="AI118" s="249"/>
      <c r="AJ118" s="238"/>
    </row>
    <row r="119" spans="1:36" s="288" customFormat="1">
      <c r="A119" s="150"/>
      <c r="B119" s="84"/>
      <c r="C119" s="84"/>
      <c r="D119" s="84"/>
      <c r="E119" s="84"/>
      <c r="F119" s="7"/>
      <c r="G119" s="42"/>
      <c r="H119" s="9"/>
      <c r="I119" s="163"/>
      <c r="J119" s="371"/>
      <c r="K119" s="371"/>
      <c r="L119" s="371"/>
      <c r="M119" s="365"/>
      <c r="N119" s="365"/>
      <c r="O119" s="343"/>
      <c r="P119" s="229"/>
      <c r="Q119" s="326"/>
      <c r="R119" s="111"/>
      <c r="S119" s="51"/>
      <c r="T119" s="339"/>
      <c r="U119" s="329"/>
      <c r="V119" s="371"/>
      <c r="W119" s="205"/>
      <c r="X119" s="100"/>
      <c r="Y119" s="175">
        <f>SUM(Y116:Y118)</f>
        <v>0</v>
      </c>
      <c r="Z119" s="165">
        <f>SUM(Z116:Z118)</f>
        <v>240.6</v>
      </c>
      <c r="AA119" s="172">
        <f>Y119-Z119</f>
        <v>-240.6</v>
      </c>
      <c r="AB119" s="174">
        <f>AA119/Z119</f>
        <v>-1</v>
      </c>
      <c r="AC119" s="121"/>
      <c r="AD119" s="163">
        <f>Y119*(0.001425*0.5)+Y119*0.003+Z119*(0.001425*0.5)</f>
        <v>0.17142750000000001</v>
      </c>
      <c r="AE119" s="7">
        <f>AA119-AD119</f>
        <v>-240.77142749999999</v>
      </c>
      <c r="AF119" s="88"/>
      <c r="AG119" s="34"/>
      <c r="AH119" s="42" t="s">
        <v>2243</v>
      </c>
      <c r="AI119" s="173"/>
      <c r="AJ119" s="280" t="s">
        <v>5355</v>
      </c>
    </row>
    <row r="120" spans="1:36" s="288" customFormat="1">
      <c r="A120" s="150"/>
      <c r="B120" s="84"/>
      <c r="C120" s="84"/>
      <c r="D120" s="84"/>
      <c r="E120" s="84"/>
      <c r="F120" s="7"/>
      <c r="G120" s="42"/>
      <c r="H120" s="9"/>
      <c r="I120" s="163"/>
      <c r="J120" s="371"/>
      <c r="K120" s="371"/>
      <c r="L120" s="371"/>
      <c r="M120" s="365"/>
      <c r="N120" s="365"/>
      <c r="O120" s="343"/>
      <c r="P120" s="229"/>
      <c r="Q120" s="326"/>
      <c r="R120" s="111"/>
      <c r="S120" s="51"/>
      <c r="T120" s="339"/>
      <c r="U120" s="329"/>
      <c r="V120" s="371"/>
      <c r="W120" s="205"/>
      <c r="X120" s="100"/>
      <c r="Y120" s="175"/>
      <c r="Z120" s="165"/>
      <c r="AA120" s="172"/>
      <c r="AB120" s="174"/>
      <c r="AC120" s="121"/>
      <c r="AD120" s="163"/>
      <c r="AE120" s="7"/>
      <c r="AF120" s="88"/>
      <c r="AG120" s="34"/>
      <c r="AH120" s="42"/>
      <c r="AI120" s="173"/>
    </row>
    <row r="121" spans="1:36" s="288" customFormat="1">
      <c r="A121" s="135" t="s">
        <v>2552</v>
      </c>
      <c r="B121" s="96" t="s">
        <v>2331</v>
      </c>
      <c r="C121" s="96" t="s">
        <v>2332</v>
      </c>
      <c r="D121" s="96" t="s">
        <v>2333</v>
      </c>
      <c r="E121" s="96" t="s">
        <v>2334</v>
      </c>
      <c r="F121" s="9" t="s">
        <v>1709</v>
      </c>
      <c r="G121" s="27" t="s">
        <v>5626</v>
      </c>
      <c r="H121" s="56" t="s">
        <v>578</v>
      </c>
      <c r="I121" s="1" t="s">
        <v>3593</v>
      </c>
      <c r="J121" s="364" t="s">
        <v>2189</v>
      </c>
      <c r="K121" s="364" t="s">
        <v>1820</v>
      </c>
      <c r="L121" s="364" t="s">
        <v>515</v>
      </c>
      <c r="M121" s="364" t="s">
        <v>1699</v>
      </c>
      <c r="N121" s="364" t="s">
        <v>6633</v>
      </c>
      <c r="O121" s="343" t="s">
        <v>6634</v>
      </c>
      <c r="P121" s="83" t="s">
        <v>5279</v>
      </c>
      <c r="Q121" s="326" t="s">
        <v>5514</v>
      </c>
      <c r="R121" s="31" t="s">
        <v>6596</v>
      </c>
      <c r="S121" s="51" t="s">
        <v>6597</v>
      </c>
      <c r="T121" s="338" t="s">
        <v>5627</v>
      </c>
      <c r="U121" s="330" t="s">
        <v>6537</v>
      </c>
      <c r="V121" s="377" t="s">
        <v>6616</v>
      </c>
      <c r="W121" s="15" t="s">
        <v>127</v>
      </c>
      <c r="X121" s="71" t="s">
        <v>6626</v>
      </c>
      <c r="Y121" s="29" t="s">
        <v>6688</v>
      </c>
      <c r="Z121" s="18" t="s">
        <v>2113</v>
      </c>
      <c r="AA121" s="15" t="s">
        <v>3598</v>
      </c>
      <c r="AB121" s="22" t="s">
        <v>2199</v>
      </c>
      <c r="AC121" s="26" t="s">
        <v>211</v>
      </c>
      <c r="AD121" s="1" t="s">
        <v>3593</v>
      </c>
      <c r="AE121" s="75" t="s">
        <v>2114</v>
      </c>
      <c r="AF121" s="76" t="s">
        <v>1826</v>
      </c>
      <c r="AG121" s="33" t="s">
        <v>1827</v>
      </c>
      <c r="AH121" s="147"/>
      <c r="AI121" s="173"/>
    </row>
    <row r="122" spans="1:36">
      <c r="A122" s="151" t="s">
        <v>2669</v>
      </c>
      <c r="B122" s="85">
        <v>-53</v>
      </c>
      <c r="C122" s="85">
        <v>-65</v>
      </c>
      <c r="D122" s="84">
        <v>18</v>
      </c>
      <c r="E122" s="85">
        <v>-5</v>
      </c>
      <c r="F122" s="7">
        <v>6.45</v>
      </c>
      <c r="G122" s="58" t="s">
        <v>1117</v>
      </c>
      <c r="H122" s="51" t="s">
        <v>2120</v>
      </c>
      <c r="I122" s="17" t="s">
        <v>1118</v>
      </c>
      <c r="J122" s="77">
        <v>31.99</v>
      </c>
      <c r="K122" s="77">
        <v>0.87</v>
      </c>
      <c r="L122" s="371">
        <v>11.8</v>
      </c>
      <c r="N122" s="365">
        <f t="shared" ref="N122:N124" si="67">K122+J122+L122</f>
        <v>44.66</v>
      </c>
      <c r="P122" s="2"/>
      <c r="R122" s="111">
        <v>14</v>
      </c>
      <c r="V122" s="371">
        <v>0.13</v>
      </c>
      <c r="W122" s="35">
        <v>0.61</v>
      </c>
      <c r="X122" s="100">
        <v>0.27</v>
      </c>
      <c r="Y122" s="37" t="str">
        <f>RTD("money.excel",,"4130","Price")</f>
        <v>無資料</v>
      </c>
      <c r="Z122" s="242">
        <f>28.7</f>
        <v>28.7</v>
      </c>
      <c r="AA122" s="16" t="e">
        <f>Y122-Z122</f>
        <v>#VALUE!</v>
      </c>
      <c r="AB122" s="3" t="e">
        <f>AA122/Z122</f>
        <v>#VALUE!</v>
      </c>
      <c r="AC122" s="107" t="s">
        <v>2648</v>
      </c>
      <c r="AD122" s="17" t="s">
        <v>1118</v>
      </c>
      <c r="AE122" s="89">
        <v>44298</v>
      </c>
      <c r="AG122" s="34">
        <f>AF122-AE122</f>
        <v>-44298</v>
      </c>
      <c r="AH122" s="135" t="s">
        <v>1790</v>
      </c>
      <c r="AJ122" s="9"/>
    </row>
    <row r="123" spans="1:36">
      <c r="A123" s="151" t="s">
        <v>2669</v>
      </c>
      <c r="B123" s="85">
        <v>-53</v>
      </c>
      <c r="C123" s="85">
        <v>-65</v>
      </c>
      <c r="D123" s="84">
        <v>18</v>
      </c>
      <c r="E123" s="85">
        <v>-5</v>
      </c>
      <c r="F123" s="7">
        <v>6.45</v>
      </c>
      <c r="G123" s="58" t="s">
        <v>1117</v>
      </c>
      <c r="H123" s="31" t="s">
        <v>2191</v>
      </c>
      <c r="I123" s="17" t="s">
        <v>1118</v>
      </c>
      <c r="J123" s="77">
        <v>31.99</v>
      </c>
      <c r="K123" s="77">
        <v>0.87</v>
      </c>
      <c r="L123" s="371">
        <v>11.8</v>
      </c>
      <c r="N123" s="365">
        <f t="shared" si="67"/>
        <v>44.66</v>
      </c>
      <c r="P123" s="2"/>
      <c r="R123" s="111">
        <v>14</v>
      </c>
      <c r="V123" s="371">
        <v>0.13</v>
      </c>
      <c r="W123" s="35">
        <v>0.61</v>
      </c>
      <c r="X123" s="100">
        <v>0.27</v>
      </c>
      <c r="Y123" s="37" t="str">
        <f>RTD("money.excel",,"4130","Price")</f>
        <v>無資料</v>
      </c>
      <c r="Z123" s="242">
        <f>29.05</f>
        <v>29.05</v>
      </c>
      <c r="AA123" s="16" t="e">
        <f>Y123-Z123</f>
        <v>#VALUE!</v>
      </c>
      <c r="AB123" s="3" t="e">
        <f>AA123/Z123</f>
        <v>#VALUE!</v>
      </c>
      <c r="AC123" s="107" t="s">
        <v>2648</v>
      </c>
      <c r="AD123" s="17" t="s">
        <v>1118</v>
      </c>
      <c r="AE123" s="89">
        <v>44298</v>
      </c>
      <c r="AG123" s="34">
        <f>AF123-AE123</f>
        <v>-44298</v>
      </c>
      <c r="AH123" s="42" t="s">
        <v>1790</v>
      </c>
      <c r="AJ123" s="9"/>
    </row>
    <row r="124" spans="1:36">
      <c r="A124" s="151" t="s">
        <v>2669</v>
      </c>
      <c r="B124" s="85">
        <v>-53</v>
      </c>
      <c r="C124" s="85">
        <v>-65</v>
      </c>
      <c r="D124" s="84">
        <v>18</v>
      </c>
      <c r="E124" s="85">
        <v>-5</v>
      </c>
      <c r="F124" s="7">
        <v>6.45</v>
      </c>
      <c r="G124" s="58" t="s">
        <v>1117</v>
      </c>
      <c r="H124" s="31" t="s">
        <v>2191</v>
      </c>
      <c r="I124" s="17" t="s">
        <v>1118</v>
      </c>
      <c r="J124" s="77">
        <v>31.99</v>
      </c>
      <c r="K124" s="77">
        <v>0.87</v>
      </c>
      <c r="L124" s="371">
        <v>11.8</v>
      </c>
      <c r="N124" s="365">
        <f t="shared" si="67"/>
        <v>44.66</v>
      </c>
      <c r="P124" s="2"/>
      <c r="R124" s="111">
        <v>14</v>
      </c>
      <c r="V124" s="371">
        <v>0.13</v>
      </c>
      <c r="W124" s="35">
        <v>0.61</v>
      </c>
      <c r="X124" s="100">
        <v>0.27</v>
      </c>
      <c r="Y124" s="37" t="str">
        <f>RTD("money.excel",,"4130","Price")</f>
        <v>無資料</v>
      </c>
      <c r="Z124" s="242">
        <f>28.65</f>
        <v>28.65</v>
      </c>
      <c r="AA124" s="16" t="e">
        <f>Y124-Z124</f>
        <v>#VALUE!</v>
      </c>
      <c r="AB124" s="3" t="e">
        <f>AA124/Z124</f>
        <v>#VALUE!</v>
      </c>
      <c r="AC124" s="107" t="s">
        <v>2648</v>
      </c>
      <c r="AD124" s="17" t="s">
        <v>1118</v>
      </c>
      <c r="AE124" s="89">
        <v>44298</v>
      </c>
      <c r="AG124" s="34">
        <f>AF124-AE124</f>
        <v>-44298</v>
      </c>
      <c r="AH124" s="42" t="s">
        <v>1790</v>
      </c>
      <c r="AI124" s="42" t="s">
        <v>2243</v>
      </c>
      <c r="AJ124" s="9"/>
    </row>
    <row r="125" spans="1:36" s="288" customFormat="1">
      <c r="A125" s="150"/>
      <c r="B125" s="84"/>
      <c r="C125" s="84"/>
      <c r="D125" s="84"/>
      <c r="E125" s="84"/>
      <c r="F125" s="7"/>
      <c r="G125" s="42"/>
      <c r="H125" s="9"/>
      <c r="I125" s="163"/>
      <c r="J125" s="371"/>
      <c r="K125" s="371"/>
      <c r="L125" s="371"/>
      <c r="M125" s="365"/>
      <c r="N125" s="365"/>
      <c r="O125" s="343"/>
      <c r="P125" s="229"/>
      <c r="Q125" s="326"/>
      <c r="R125" s="111"/>
      <c r="S125" s="51"/>
      <c r="T125" s="339"/>
      <c r="U125" s="329"/>
      <c r="V125" s="371"/>
      <c r="W125" s="205"/>
      <c r="X125" s="100"/>
      <c r="Y125" s="175">
        <f>SUM(Y122:Y124)</f>
        <v>0</v>
      </c>
      <c r="Z125" s="165">
        <f>SUM(Z122:Z124)</f>
        <v>86.4</v>
      </c>
      <c r="AA125" s="172">
        <f>Y125-Z125</f>
        <v>-86.4</v>
      </c>
      <c r="AB125" s="174">
        <f>AA125/Z125</f>
        <v>-1</v>
      </c>
      <c r="AC125" s="121"/>
      <c r="AD125" s="163">
        <f>Y125*(0.001425*0.5)+Y125*0.003+Z125*(0.001425*0.5)</f>
        <v>6.1560000000000004E-2</v>
      </c>
      <c r="AE125" s="7">
        <f>AA125-AD125</f>
        <v>-86.461560000000006</v>
      </c>
      <c r="AF125" s="88"/>
      <c r="AG125" s="34"/>
      <c r="AH125" s="42" t="s">
        <v>2306</v>
      </c>
      <c r="AI125" s="173"/>
    </row>
    <row r="126" spans="1:36">
      <c r="A126" s="151"/>
      <c r="B126" s="84"/>
      <c r="C126" s="84"/>
      <c r="D126" s="84"/>
      <c r="E126" s="85"/>
      <c r="F126" s="7"/>
      <c r="G126" s="42"/>
      <c r="H126" s="5"/>
      <c r="I126" s="17"/>
      <c r="J126" s="77"/>
      <c r="K126" s="77"/>
      <c r="L126" s="371"/>
      <c r="N126" s="365"/>
      <c r="P126" s="2"/>
      <c r="W126" s="35"/>
      <c r="X126" s="100"/>
      <c r="Y126" s="37"/>
      <c r="Z126" s="69"/>
      <c r="AA126" s="16"/>
      <c r="AB126" s="3"/>
      <c r="AC126" s="107"/>
      <c r="AD126" s="17"/>
      <c r="AE126" s="123"/>
      <c r="AG126" s="124"/>
      <c r="AH126" s="25"/>
      <c r="AJ126" s="9"/>
    </row>
    <row r="127" spans="1:36" s="288" customFormat="1">
      <c r="A127" s="135" t="s">
        <v>2552</v>
      </c>
      <c r="B127" s="96" t="s">
        <v>2331</v>
      </c>
      <c r="C127" s="96" t="s">
        <v>2332</v>
      </c>
      <c r="D127" s="96" t="s">
        <v>2333</v>
      </c>
      <c r="E127" s="96" t="s">
        <v>2334</v>
      </c>
      <c r="F127" s="9" t="s">
        <v>1709</v>
      </c>
      <c r="G127" s="27" t="s">
        <v>5626</v>
      </c>
      <c r="H127" s="56" t="s">
        <v>578</v>
      </c>
      <c r="I127" s="1" t="s">
        <v>3593</v>
      </c>
      <c r="J127" s="364" t="s">
        <v>2189</v>
      </c>
      <c r="K127" s="364" t="s">
        <v>1820</v>
      </c>
      <c r="L127" s="364" t="s">
        <v>515</v>
      </c>
      <c r="M127" s="364" t="s">
        <v>1699</v>
      </c>
      <c r="N127" s="364" t="s">
        <v>6633</v>
      </c>
      <c r="O127" s="343" t="s">
        <v>6634</v>
      </c>
      <c r="P127" s="83" t="s">
        <v>5279</v>
      </c>
      <c r="Q127" s="326" t="s">
        <v>5514</v>
      </c>
      <c r="R127" s="31" t="s">
        <v>6596</v>
      </c>
      <c r="S127" s="51" t="s">
        <v>6597</v>
      </c>
      <c r="T127" s="338" t="s">
        <v>5627</v>
      </c>
      <c r="U127" s="330" t="s">
        <v>6537</v>
      </c>
      <c r="V127" s="377" t="s">
        <v>6616</v>
      </c>
      <c r="W127" s="15" t="s">
        <v>127</v>
      </c>
      <c r="X127" s="71" t="s">
        <v>6626</v>
      </c>
      <c r="Y127" s="29" t="s">
        <v>6688</v>
      </c>
      <c r="Z127" s="18" t="s">
        <v>2113</v>
      </c>
      <c r="AA127" s="15" t="s">
        <v>3598</v>
      </c>
      <c r="AB127" s="22" t="s">
        <v>2199</v>
      </c>
      <c r="AC127" s="26" t="s">
        <v>211</v>
      </c>
      <c r="AD127" s="1" t="s">
        <v>3593</v>
      </c>
      <c r="AE127" s="75" t="s">
        <v>2114</v>
      </c>
      <c r="AF127" s="76" t="s">
        <v>1826</v>
      </c>
      <c r="AG127" s="33" t="s">
        <v>1827</v>
      </c>
      <c r="AH127" s="147"/>
      <c r="AI127" s="173"/>
    </row>
    <row r="128" spans="1:36">
      <c r="A128" s="151" t="s">
        <v>3079</v>
      </c>
      <c r="B128" s="84">
        <v>171</v>
      </c>
      <c r="C128" s="84">
        <v>194</v>
      </c>
      <c r="D128" s="85">
        <v>-11</v>
      </c>
      <c r="E128" s="84">
        <v>3</v>
      </c>
      <c r="F128" s="7">
        <v>6.68</v>
      </c>
      <c r="G128" s="58" t="s">
        <v>3080</v>
      </c>
      <c r="H128" s="31" t="s">
        <v>2191</v>
      </c>
      <c r="I128" s="23" t="s">
        <v>1718</v>
      </c>
      <c r="J128" s="371">
        <v>40.75</v>
      </c>
      <c r="K128" s="371">
        <v>2.3199999999999998</v>
      </c>
      <c r="L128" s="371">
        <v>15.65</v>
      </c>
      <c r="N128" s="365">
        <f>K128+J128+L128</f>
        <v>58.72</v>
      </c>
      <c r="R128" s="111">
        <v>14</v>
      </c>
      <c r="V128" s="371">
        <v>0.32</v>
      </c>
      <c r="W128" s="35">
        <v>0.3</v>
      </c>
      <c r="X128" s="100">
        <v>1.42</v>
      </c>
      <c r="Y128" s="37" t="str">
        <f>RTD("money.excel",,"6558","Price")</f>
        <v>無資料</v>
      </c>
      <c r="Z128" s="242">
        <f>39.1-0.3</f>
        <v>38.800000000000004</v>
      </c>
      <c r="AA128" s="16" t="e">
        <f>Y128-Z128</f>
        <v>#VALUE!</v>
      </c>
      <c r="AB128" s="3" t="e">
        <f>AA128/Z128</f>
        <v>#VALUE!</v>
      </c>
      <c r="AC128" s="107" t="s">
        <v>5321</v>
      </c>
      <c r="AD128" s="23" t="s">
        <v>1718</v>
      </c>
      <c r="AE128" s="89">
        <v>44370</v>
      </c>
      <c r="AG128" s="34"/>
      <c r="AH128" s="42" t="s">
        <v>1790</v>
      </c>
      <c r="AJ128" s="264"/>
    </row>
    <row r="129" spans="1:46">
      <c r="A129" s="151" t="s">
        <v>3079</v>
      </c>
      <c r="B129" s="84">
        <v>171</v>
      </c>
      <c r="C129" s="84">
        <v>194</v>
      </c>
      <c r="D129" s="85">
        <v>-11</v>
      </c>
      <c r="E129" s="84">
        <v>3</v>
      </c>
      <c r="F129" s="7">
        <v>6.68</v>
      </c>
      <c r="G129" s="58" t="s">
        <v>3080</v>
      </c>
      <c r="H129" s="31" t="s">
        <v>2191</v>
      </c>
      <c r="I129" s="23" t="s">
        <v>1718</v>
      </c>
      <c r="J129" s="371">
        <v>40.75</v>
      </c>
      <c r="K129" s="371">
        <v>2.3199999999999998</v>
      </c>
      <c r="L129" s="371">
        <v>15.65</v>
      </c>
      <c r="N129" s="365">
        <f>K129+J129+L129</f>
        <v>58.72</v>
      </c>
      <c r="R129" s="111">
        <v>14</v>
      </c>
      <c r="V129" s="371">
        <v>0.32</v>
      </c>
      <c r="W129" s="35">
        <v>0.3</v>
      </c>
      <c r="X129" s="100">
        <v>1.42</v>
      </c>
      <c r="Y129" s="37" t="str">
        <f>RTD("money.excel",,"6558","Price")</f>
        <v>無資料</v>
      </c>
      <c r="Z129" s="242">
        <f>43.05-0.3</f>
        <v>42.75</v>
      </c>
      <c r="AA129" s="16" t="e">
        <f>Y129-Z129</f>
        <v>#VALUE!</v>
      </c>
      <c r="AB129" s="3" t="e">
        <f>AA129/Z129</f>
        <v>#VALUE!</v>
      </c>
      <c r="AC129" s="107" t="s">
        <v>5321</v>
      </c>
      <c r="AD129" s="23" t="s">
        <v>1718</v>
      </c>
      <c r="AE129" s="89">
        <v>44363</v>
      </c>
      <c r="AG129" s="34"/>
      <c r="AH129" s="42" t="s">
        <v>1790</v>
      </c>
      <c r="AJ129" s="264"/>
    </row>
    <row r="130" spans="1:46" s="288" customFormat="1">
      <c r="A130" s="150"/>
      <c r="B130" s="84"/>
      <c r="C130" s="84"/>
      <c r="D130" s="84"/>
      <c r="E130" s="84"/>
      <c r="F130" s="7"/>
      <c r="G130" s="42"/>
      <c r="H130" s="9"/>
      <c r="I130" s="163"/>
      <c r="J130" s="371"/>
      <c r="K130" s="371"/>
      <c r="L130" s="371"/>
      <c r="M130" s="365"/>
      <c r="N130" s="365"/>
      <c r="O130" s="343"/>
      <c r="P130" s="229"/>
      <c r="Q130" s="326"/>
      <c r="R130" s="111"/>
      <c r="S130" s="51"/>
      <c r="T130" s="339"/>
      <c r="U130" s="329"/>
      <c r="V130" s="371"/>
      <c r="W130" s="205"/>
      <c r="X130" s="100"/>
      <c r="Y130" s="175">
        <f>SUM(Y128:Y129)</f>
        <v>0</v>
      </c>
      <c r="Z130" s="165">
        <f>SUM(Z128:Z129)</f>
        <v>81.550000000000011</v>
      </c>
      <c r="AA130" s="172">
        <f>Y130-Z130</f>
        <v>-81.550000000000011</v>
      </c>
      <c r="AB130" s="174">
        <f>AA130/Z130</f>
        <v>-1</v>
      </c>
      <c r="AC130" s="121"/>
      <c r="AD130" s="163">
        <f>Y130*(0.001425*0.5)+Y130*0.003+Z130*(0.001425*0.5)</f>
        <v>5.8104375000000014E-2</v>
      </c>
      <c r="AE130" s="7">
        <f>AA130-AD130</f>
        <v>-81.608104375000011</v>
      </c>
      <c r="AF130" s="88"/>
      <c r="AG130" s="34"/>
      <c r="AH130" s="42" t="s">
        <v>2243</v>
      </c>
      <c r="AI130" s="173"/>
      <c r="AJ130" s="280" t="s">
        <v>5354</v>
      </c>
    </row>
    <row r="131" spans="1:46" s="288" customFormat="1">
      <c r="A131" s="150"/>
      <c r="B131" s="84"/>
      <c r="C131" s="85"/>
      <c r="D131" s="84"/>
      <c r="E131" s="85"/>
      <c r="F131" s="7"/>
      <c r="G131" s="42"/>
      <c r="H131" s="51"/>
      <c r="I131" s="176"/>
      <c r="J131" s="371"/>
      <c r="K131" s="371"/>
      <c r="L131" s="77"/>
      <c r="M131" s="365"/>
      <c r="N131" s="365"/>
      <c r="O131" s="343"/>
      <c r="P131" s="233"/>
      <c r="Q131" s="326"/>
      <c r="R131" s="111"/>
      <c r="S131" s="51"/>
      <c r="T131" s="339"/>
      <c r="U131" s="329"/>
      <c r="V131" s="371"/>
      <c r="W131" s="205"/>
      <c r="X131" s="100"/>
      <c r="Y131" s="175"/>
      <c r="Z131" s="165"/>
      <c r="AA131" s="172"/>
      <c r="AB131" s="174"/>
      <c r="AC131" s="121"/>
      <c r="AD131" s="163"/>
      <c r="AE131" s="7"/>
      <c r="AF131" s="88"/>
      <c r="AG131" s="34"/>
      <c r="AH131" s="135"/>
      <c r="AI131" s="173"/>
    </row>
    <row r="132" spans="1:46" s="288" customFormat="1">
      <c r="A132" s="135" t="s">
        <v>2552</v>
      </c>
      <c r="B132" s="96" t="s">
        <v>2331</v>
      </c>
      <c r="C132" s="96" t="s">
        <v>2332</v>
      </c>
      <c r="D132" s="96" t="s">
        <v>2333</v>
      </c>
      <c r="E132" s="96" t="s">
        <v>2334</v>
      </c>
      <c r="F132" s="9" t="s">
        <v>1709</v>
      </c>
      <c r="G132" s="27" t="s">
        <v>5626</v>
      </c>
      <c r="H132" s="56" t="s">
        <v>578</v>
      </c>
      <c r="I132" s="1" t="s">
        <v>131</v>
      </c>
      <c r="J132" s="364" t="s">
        <v>2189</v>
      </c>
      <c r="K132" s="364" t="s">
        <v>1820</v>
      </c>
      <c r="L132" s="364" t="s">
        <v>515</v>
      </c>
      <c r="M132" s="364" t="s">
        <v>1699</v>
      </c>
      <c r="N132" s="364" t="s">
        <v>6633</v>
      </c>
      <c r="O132" s="343" t="s">
        <v>6634</v>
      </c>
      <c r="P132" s="83" t="s">
        <v>5279</v>
      </c>
      <c r="Q132" s="326" t="s">
        <v>5514</v>
      </c>
      <c r="R132" s="31" t="s">
        <v>6596</v>
      </c>
      <c r="S132" s="51" t="s">
        <v>6597</v>
      </c>
      <c r="T132" s="338" t="s">
        <v>5627</v>
      </c>
      <c r="U132" s="330" t="s">
        <v>6537</v>
      </c>
      <c r="V132" s="377" t="s">
        <v>6616</v>
      </c>
      <c r="W132" s="15" t="s">
        <v>127</v>
      </c>
      <c r="X132" s="71" t="s">
        <v>6626</v>
      </c>
      <c r="Y132" s="29" t="s">
        <v>6688</v>
      </c>
      <c r="Z132" s="18" t="s">
        <v>2113</v>
      </c>
      <c r="AA132" s="15" t="s">
        <v>3598</v>
      </c>
      <c r="AB132" s="22" t="s">
        <v>2199</v>
      </c>
      <c r="AC132" s="26" t="s">
        <v>211</v>
      </c>
      <c r="AD132" s="1" t="s">
        <v>131</v>
      </c>
      <c r="AE132" s="75" t="s">
        <v>2114</v>
      </c>
      <c r="AF132" s="76" t="s">
        <v>1826</v>
      </c>
      <c r="AG132" s="33" t="s">
        <v>1827</v>
      </c>
      <c r="AH132" s="147"/>
      <c r="AI132" s="173"/>
    </row>
    <row r="133" spans="1:46" s="181" customFormat="1" ht="17.100000000000001" customHeight="1">
      <c r="A133" s="151">
        <v>5.0599999999999996</v>
      </c>
      <c r="B133" s="84">
        <v>11</v>
      </c>
      <c r="C133" s="84">
        <v>23</v>
      </c>
      <c r="D133" s="85">
        <v>-20</v>
      </c>
      <c r="E133" s="85">
        <v>-15</v>
      </c>
      <c r="F133" s="7">
        <v>-10.76</v>
      </c>
      <c r="G133" s="58" t="s">
        <v>3583</v>
      </c>
      <c r="H133" s="51" t="s">
        <v>2120</v>
      </c>
      <c r="I133" s="176" t="s">
        <v>377</v>
      </c>
      <c r="J133" s="371">
        <v>46.39</v>
      </c>
      <c r="K133" s="371">
        <v>0.97</v>
      </c>
      <c r="L133" s="77">
        <v>6.44</v>
      </c>
      <c r="M133" s="365"/>
      <c r="N133" s="365">
        <f t="shared" ref="N133:N140" si="68">K133+J133+L133</f>
        <v>53.8</v>
      </c>
      <c r="O133" s="343"/>
      <c r="P133" s="166"/>
      <c r="Q133" s="326"/>
      <c r="R133" s="111">
        <v>11</v>
      </c>
      <c r="S133" s="51"/>
      <c r="T133" s="339"/>
      <c r="U133" s="329"/>
      <c r="V133" s="371">
        <v>0.49</v>
      </c>
      <c r="W133" s="205">
        <v>0</v>
      </c>
      <c r="X133" s="100">
        <v>-0.1</v>
      </c>
      <c r="Y133" s="175" t="str">
        <f>RTD("money.excel",,"4432","Price")</f>
        <v>無資料</v>
      </c>
      <c r="Z133" s="68">
        <v>17.95</v>
      </c>
      <c r="AA133" s="172" t="e">
        <f t="shared" ref="AA133:AA140" si="69">Y133-Z133</f>
        <v>#VALUE!</v>
      </c>
      <c r="AB133" s="174" t="e">
        <f t="shared" ref="AB133:AB141" si="70">AA133/Z133</f>
        <v>#VALUE!</v>
      </c>
      <c r="AC133" s="121" t="s">
        <v>5117</v>
      </c>
      <c r="AD133" s="176" t="s">
        <v>377</v>
      </c>
      <c r="AE133" s="89">
        <v>44314</v>
      </c>
      <c r="AF133" s="88"/>
      <c r="AG133" s="34">
        <f t="shared" ref="AG133:AG140" si="71">AF133-AE133</f>
        <v>-44314</v>
      </c>
      <c r="AH133" s="135" t="s">
        <v>1790</v>
      </c>
      <c r="AI133" s="28"/>
      <c r="AJ133" s="18"/>
      <c r="AK133" s="12"/>
      <c r="AL133" s="12"/>
      <c r="AM133" s="12"/>
      <c r="AN133" s="12"/>
      <c r="AO133" s="288"/>
      <c r="AP133" s="288"/>
      <c r="AR133" s="4"/>
      <c r="AS133" s="288"/>
      <c r="AT133" s="288"/>
    </row>
    <row r="134" spans="1:46" s="181" customFormat="1" ht="17.100000000000001" customHeight="1">
      <c r="A134" s="151">
        <v>5.0599999999999996</v>
      </c>
      <c r="B134" s="84">
        <v>11</v>
      </c>
      <c r="C134" s="84">
        <v>23</v>
      </c>
      <c r="D134" s="85">
        <v>-20</v>
      </c>
      <c r="E134" s="85">
        <v>-15</v>
      </c>
      <c r="F134" s="7">
        <v>-10.76</v>
      </c>
      <c r="G134" s="58" t="s">
        <v>3583</v>
      </c>
      <c r="H134" s="51" t="s">
        <v>2120</v>
      </c>
      <c r="I134" s="176" t="s">
        <v>377</v>
      </c>
      <c r="J134" s="371">
        <v>46.39</v>
      </c>
      <c r="K134" s="371">
        <v>0.97</v>
      </c>
      <c r="L134" s="77">
        <v>6.44</v>
      </c>
      <c r="M134" s="365"/>
      <c r="N134" s="365">
        <f t="shared" si="68"/>
        <v>53.8</v>
      </c>
      <c r="O134" s="343"/>
      <c r="P134" s="166"/>
      <c r="Q134" s="326"/>
      <c r="R134" s="111">
        <v>11</v>
      </c>
      <c r="S134" s="51"/>
      <c r="T134" s="339"/>
      <c r="U134" s="329"/>
      <c r="V134" s="371">
        <v>0.49</v>
      </c>
      <c r="W134" s="205">
        <v>0</v>
      </c>
      <c r="X134" s="100">
        <v>-0.1</v>
      </c>
      <c r="Y134" s="175" t="str">
        <f>RTD("money.excel",,"4432","Price")</f>
        <v>無資料</v>
      </c>
      <c r="Z134" s="68">
        <v>17.899999999999999</v>
      </c>
      <c r="AA134" s="172" t="e">
        <f t="shared" si="69"/>
        <v>#VALUE!</v>
      </c>
      <c r="AB134" s="174" t="e">
        <f t="shared" si="70"/>
        <v>#VALUE!</v>
      </c>
      <c r="AC134" s="121" t="s">
        <v>5117</v>
      </c>
      <c r="AD134" s="176" t="s">
        <v>377</v>
      </c>
      <c r="AE134" s="89">
        <v>44313</v>
      </c>
      <c r="AF134" s="88"/>
      <c r="AG134" s="34">
        <f t="shared" si="71"/>
        <v>-44313</v>
      </c>
      <c r="AH134" s="135" t="s">
        <v>1790</v>
      </c>
      <c r="AI134" s="28"/>
      <c r="AJ134" s="18"/>
      <c r="AK134" s="12"/>
      <c r="AL134" s="12"/>
      <c r="AM134" s="12"/>
      <c r="AN134" s="12"/>
      <c r="AO134" s="288"/>
      <c r="AP134" s="288"/>
      <c r="AR134" s="4"/>
      <c r="AS134" s="288"/>
      <c r="AT134" s="288"/>
    </row>
    <row r="135" spans="1:46" s="181" customFormat="1" ht="17.100000000000001" customHeight="1">
      <c r="A135" s="151">
        <v>5.0599999999999996</v>
      </c>
      <c r="B135" s="84">
        <v>11</v>
      </c>
      <c r="C135" s="84">
        <v>23</v>
      </c>
      <c r="D135" s="85">
        <v>-20</v>
      </c>
      <c r="E135" s="85">
        <v>-15</v>
      </c>
      <c r="F135" s="7">
        <v>-10.76</v>
      </c>
      <c r="G135" s="58" t="s">
        <v>3583</v>
      </c>
      <c r="H135" s="51" t="s">
        <v>2120</v>
      </c>
      <c r="I135" s="176" t="s">
        <v>377</v>
      </c>
      <c r="J135" s="371">
        <v>46.39</v>
      </c>
      <c r="K135" s="371">
        <v>0.97</v>
      </c>
      <c r="L135" s="77">
        <v>6.44</v>
      </c>
      <c r="M135" s="365"/>
      <c r="N135" s="365">
        <f t="shared" si="68"/>
        <v>53.8</v>
      </c>
      <c r="O135" s="343"/>
      <c r="P135" s="166"/>
      <c r="Q135" s="326"/>
      <c r="R135" s="111">
        <v>11</v>
      </c>
      <c r="S135" s="51"/>
      <c r="T135" s="339"/>
      <c r="U135" s="329"/>
      <c r="V135" s="371">
        <v>0.49</v>
      </c>
      <c r="W135" s="205">
        <v>0</v>
      </c>
      <c r="X135" s="100">
        <v>-0.1</v>
      </c>
      <c r="Y135" s="175" t="str">
        <f>RTD("money.excel",,"4432","Price")</f>
        <v>無資料</v>
      </c>
      <c r="Z135" s="68">
        <v>18.05</v>
      </c>
      <c r="AA135" s="172" t="e">
        <f t="shared" si="69"/>
        <v>#VALUE!</v>
      </c>
      <c r="AB135" s="174" t="e">
        <f t="shared" si="70"/>
        <v>#VALUE!</v>
      </c>
      <c r="AC135" s="121" t="s">
        <v>5117</v>
      </c>
      <c r="AD135" s="176" t="s">
        <v>377</v>
      </c>
      <c r="AE135" s="89">
        <v>44312</v>
      </c>
      <c r="AF135" s="88"/>
      <c r="AG135" s="34">
        <f t="shared" si="71"/>
        <v>-44312</v>
      </c>
      <c r="AH135" s="135" t="s">
        <v>1790</v>
      </c>
      <c r="AI135" s="28"/>
      <c r="AJ135" s="18"/>
      <c r="AK135" s="12"/>
      <c r="AL135" s="12"/>
      <c r="AM135" s="12"/>
      <c r="AN135" s="12"/>
      <c r="AO135" s="288"/>
      <c r="AP135" s="288"/>
      <c r="AR135" s="4"/>
      <c r="AS135" s="288"/>
      <c r="AT135" s="288"/>
    </row>
    <row r="136" spans="1:46" s="181" customFormat="1" ht="17.100000000000001" customHeight="1">
      <c r="A136" s="151">
        <v>5.0599999999999996</v>
      </c>
      <c r="B136" s="84">
        <v>11</v>
      </c>
      <c r="C136" s="84">
        <v>23</v>
      </c>
      <c r="D136" s="85">
        <v>-20</v>
      </c>
      <c r="E136" s="85">
        <v>-15</v>
      </c>
      <c r="F136" s="7">
        <v>-10.76</v>
      </c>
      <c r="G136" s="58" t="s">
        <v>3583</v>
      </c>
      <c r="H136" s="51" t="s">
        <v>2120</v>
      </c>
      <c r="I136" s="176" t="s">
        <v>377</v>
      </c>
      <c r="J136" s="371">
        <v>46.39</v>
      </c>
      <c r="K136" s="371">
        <v>0.97</v>
      </c>
      <c r="L136" s="77">
        <v>6.44</v>
      </c>
      <c r="M136" s="365"/>
      <c r="N136" s="365">
        <f t="shared" si="68"/>
        <v>53.8</v>
      </c>
      <c r="O136" s="343"/>
      <c r="P136" s="166"/>
      <c r="Q136" s="326"/>
      <c r="R136" s="111">
        <v>11</v>
      </c>
      <c r="S136" s="51"/>
      <c r="T136" s="339"/>
      <c r="U136" s="329"/>
      <c r="V136" s="371">
        <v>0.49</v>
      </c>
      <c r="W136" s="205">
        <v>0</v>
      </c>
      <c r="X136" s="100">
        <v>-0.1</v>
      </c>
      <c r="Y136" s="175" t="str">
        <f>RTD("money.excel",,"4432","Price")</f>
        <v>無資料</v>
      </c>
      <c r="Z136" s="68">
        <v>18.149999999999999</v>
      </c>
      <c r="AA136" s="172" t="e">
        <f t="shared" si="69"/>
        <v>#VALUE!</v>
      </c>
      <c r="AB136" s="174" t="e">
        <f t="shared" si="70"/>
        <v>#VALUE!</v>
      </c>
      <c r="AC136" s="121" t="s">
        <v>5117</v>
      </c>
      <c r="AD136" s="176" t="s">
        <v>377</v>
      </c>
      <c r="AE136" s="89">
        <v>44312</v>
      </c>
      <c r="AF136" s="88"/>
      <c r="AG136" s="34">
        <f t="shared" si="71"/>
        <v>-44312</v>
      </c>
      <c r="AH136" s="135" t="s">
        <v>1790</v>
      </c>
      <c r="AI136" s="28"/>
      <c r="AJ136" s="18"/>
      <c r="AK136" s="12"/>
      <c r="AL136" s="12"/>
      <c r="AM136" s="12"/>
      <c r="AN136" s="12"/>
      <c r="AO136" s="288"/>
      <c r="AP136" s="288"/>
      <c r="AR136" s="4"/>
      <c r="AS136" s="288"/>
      <c r="AT136" s="288"/>
    </row>
    <row r="137" spans="1:46" s="181" customFormat="1" ht="17.100000000000001" customHeight="1">
      <c r="A137" s="151">
        <v>5.0599999999999996</v>
      </c>
      <c r="B137" s="84">
        <v>11</v>
      </c>
      <c r="C137" s="84">
        <v>23</v>
      </c>
      <c r="D137" s="85">
        <v>-20</v>
      </c>
      <c r="E137" s="85">
        <v>-15</v>
      </c>
      <c r="F137" s="7">
        <v>-10.76</v>
      </c>
      <c r="G137" s="58" t="s">
        <v>3583</v>
      </c>
      <c r="H137" s="51" t="s">
        <v>2120</v>
      </c>
      <c r="I137" s="176" t="s">
        <v>377</v>
      </c>
      <c r="J137" s="371">
        <v>46.39</v>
      </c>
      <c r="K137" s="371">
        <v>0.97</v>
      </c>
      <c r="L137" s="77">
        <v>6.44</v>
      </c>
      <c r="M137" s="365"/>
      <c r="N137" s="365">
        <f t="shared" si="68"/>
        <v>53.8</v>
      </c>
      <c r="O137" s="343"/>
      <c r="P137" s="166"/>
      <c r="Q137" s="326"/>
      <c r="R137" s="111">
        <v>11</v>
      </c>
      <c r="S137" s="51"/>
      <c r="T137" s="339"/>
      <c r="U137" s="329"/>
      <c r="V137" s="371">
        <v>0.49</v>
      </c>
      <c r="W137" s="205">
        <v>0</v>
      </c>
      <c r="X137" s="100">
        <v>-0.1</v>
      </c>
      <c r="Y137" s="175" t="str">
        <f>RTD("money.excel",,"4432","Price")</f>
        <v>無資料</v>
      </c>
      <c r="Z137" s="68">
        <f>46.16-2.4-0.93-1.16</f>
        <v>41.67</v>
      </c>
      <c r="AA137" s="172" t="e">
        <f t="shared" si="69"/>
        <v>#VALUE!</v>
      </c>
      <c r="AB137" s="174" t="e">
        <f t="shared" si="70"/>
        <v>#VALUE!</v>
      </c>
      <c r="AC137" s="121" t="s">
        <v>5117</v>
      </c>
      <c r="AD137" s="176" t="s">
        <v>377</v>
      </c>
      <c r="AE137" s="89">
        <v>42780</v>
      </c>
      <c r="AF137" s="88"/>
      <c r="AG137" s="34">
        <f t="shared" si="71"/>
        <v>-42780</v>
      </c>
      <c r="AH137" s="135" t="s">
        <v>1790</v>
      </c>
      <c r="AI137" s="28"/>
      <c r="AJ137" s="18"/>
      <c r="AK137" s="12"/>
      <c r="AL137" s="12"/>
      <c r="AM137" s="12"/>
      <c r="AN137" s="12"/>
      <c r="AO137" s="288"/>
      <c r="AP137" s="288"/>
      <c r="AR137" s="4"/>
      <c r="AS137" s="288"/>
      <c r="AT137" s="288"/>
    </row>
    <row r="138" spans="1:46" s="181" customFormat="1" ht="17.100000000000001" customHeight="1">
      <c r="A138" s="151">
        <v>5.0599999999999996</v>
      </c>
      <c r="B138" s="84">
        <v>11</v>
      </c>
      <c r="C138" s="84">
        <v>23</v>
      </c>
      <c r="D138" s="85">
        <v>-20</v>
      </c>
      <c r="E138" s="85">
        <v>-15</v>
      </c>
      <c r="F138" s="7">
        <v>-10.76</v>
      </c>
      <c r="G138" s="58" t="s">
        <v>3583</v>
      </c>
      <c r="H138" s="51" t="s">
        <v>2120</v>
      </c>
      <c r="I138" s="176" t="s">
        <v>377</v>
      </c>
      <c r="J138" s="371">
        <v>46.39</v>
      </c>
      <c r="K138" s="371">
        <v>0.97</v>
      </c>
      <c r="L138" s="77">
        <v>6.44</v>
      </c>
      <c r="M138" s="365"/>
      <c r="N138" s="365">
        <f t="shared" si="68"/>
        <v>53.8</v>
      </c>
      <c r="O138" s="343"/>
      <c r="P138" s="166"/>
      <c r="Q138" s="326"/>
      <c r="R138" s="111">
        <v>11</v>
      </c>
      <c r="S138" s="51"/>
      <c r="T138" s="339"/>
      <c r="U138" s="329"/>
      <c r="V138" s="371">
        <v>0.49</v>
      </c>
      <c r="W138" s="205">
        <v>0</v>
      </c>
      <c r="X138" s="100">
        <v>-0.1</v>
      </c>
      <c r="Y138" s="175" t="str">
        <f>RTD("money.excel",,"4432","Price")</f>
        <v>無資料</v>
      </c>
      <c r="Z138" s="68">
        <f>32.69-0.93-1.16</f>
        <v>30.599999999999998</v>
      </c>
      <c r="AA138" s="172" t="e">
        <f t="shared" si="69"/>
        <v>#VALUE!</v>
      </c>
      <c r="AB138" s="174" t="e">
        <f t="shared" si="70"/>
        <v>#VALUE!</v>
      </c>
      <c r="AC138" s="121" t="s">
        <v>5118</v>
      </c>
      <c r="AD138" s="176" t="s">
        <v>377</v>
      </c>
      <c r="AE138" s="89">
        <v>43206</v>
      </c>
      <c r="AF138" s="88"/>
      <c r="AG138" s="34">
        <f t="shared" si="71"/>
        <v>-43206</v>
      </c>
      <c r="AH138" s="135" t="s">
        <v>1790</v>
      </c>
      <c r="AI138" s="28"/>
      <c r="AJ138" s="18"/>
      <c r="AK138" s="12"/>
      <c r="AL138" s="12"/>
      <c r="AM138" s="12"/>
      <c r="AN138" s="12"/>
      <c r="AO138" s="288"/>
      <c r="AP138" s="288"/>
      <c r="AR138" s="4"/>
      <c r="AS138" s="288"/>
      <c r="AT138" s="288"/>
    </row>
    <row r="139" spans="1:46" s="288" customFormat="1" ht="16.5" customHeight="1">
      <c r="A139" s="151">
        <v>5.0599999999999996</v>
      </c>
      <c r="B139" s="84">
        <v>11</v>
      </c>
      <c r="C139" s="84">
        <v>23</v>
      </c>
      <c r="D139" s="85">
        <v>-20</v>
      </c>
      <c r="E139" s="85">
        <v>-15</v>
      </c>
      <c r="F139" s="7">
        <v>-10.76</v>
      </c>
      <c r="G139" s="58" t="s">
        <v>3583</v>
      </c>
      <c r="H139" s="51" t="s">
        <v>2120</v>
      </c>
      <c r="I139" s="176" t="s">
        <v>377</v>
      </c>
      <c r="J139" s="371">
        <v>46.39</v>
      </c>
      <c r="K139" s="371">
        <v>0.97</v>
      </c>
      <c r="L139" s="77">
        <v>6.44</v>
      </c>
      <c r="M139" s="365"/>
      <c r="N139" s="365">
        <f t="shared" si="68"/>
        <v>53.8</v>
      </c>
      <c r="O139" s="343"/>
      <c r="P139" s="166"/>
      <c r="Q139" s="326"/>
      <c r="R139" s="111">
        <v>11</v>
      </c>
      <c r="S139" s="51"/>
      <c r="T139" s="339"/>
      <c r="U139" s="329"/>
      <c r="V139" s="371">
        <v>0.49</v>
      </c>
      <c r="W139" s="205">
        <v>0</v>
      </c>
      <c r="X139" s="100">
        <v>-0.1</v>
      </c>
      <c r="Y139" s="171" t="str">
        <f>RTD("money.excel",,"4432","Price")</f>
        <v>無資料</v>
      </c>
      <c r="Z139" s="68">
        <v>23.55</v>
      </c>
      <c r="AA139" s="172" t="e">
        <f t="shared" si="69"/>
        <v>#VALUE!</v>
      </c>
      <c r="AB139" s="174" t="e">
        <f t="shared" si="70"/>
        <v>#VALUE!</v>
      </c>
      <c r="AC139" s="120" t="s">
        <v>5119</v>
      </c>
      <c r="AD139" s="176" t="s">
        <v>377</v>
      </c>
      <c r="AE139" s="89">
        <v>43741</v>
      </c>
      <c r="AF139" s="88"/>
      <c r="AG139" s="34">
        <f t="shared" si="71"/>
        <v>-43741</v>
      </c>
      <c r="AH139" s="135" t="s">
        <v>1790</v>
      </c>
    </row>
    <row r="140" spans="1:46" s="288" customFormat="1" ht="16.5" customHeight="1">
      <c r="A140" s="151">
        <v>5.0599999999999996</v>
      </c>
      <c r="B140" s="84">
        <v>11</v>
      </c>
      <c r="C140" s="84">
        <v>23</v>
      </c>
      <c r="D140" s="85">
        <v>-20</v>
      </c>
      <c r="E140" s="85">
        <v>-15</v>
      </c>
      <c r="F140" s="7">
        <v>-10.76</v>
      </c>
      <c r="G140" s="58" t="s">
        <v>3583</v>
      </c>
      <c r="H140" s="51" t="s">
        <v>2120</v>
      </c>
      <c r="I140" s="176" t="s">
        <v>377</v>
      </c>
      <c r="J140" s="371">
        <v>46.39</v>
      </c>
      <c r="K140" s="371">
        <v>0.97</v>
      </c>
      <c r="L140" s="77">
        <v>6.44</v>
      </c>
      <c r="M140" s="365"/>
      <c r="N140" s="365">
        <f t="shared" si="68"/>
        <v>53.8</v>
      </c>
      <c r="O140" s="343"/>
      <c r="P140" s="166"/>
      <c r="Q140" s="326"/>
      <c r="R140" s="111">
        <v>11</v>
      </c>
      <c r="S140" s="51"/>
      <c r="T140" s="339"/>
      <c r="U140" s="329"/>
      <c r="V140" s="371">
        <v>0.49</v>
      </c>
      <c r="W140" s="205">
        <v>0</v>
      </c>
      <c r="X140" s="100">
        <v>-0.1</v>
      </c>
      <c r="Y140" s="171" t="str">
        <f>RTD("money.excel",,"4432","Price")</f>
        <v>無資料</v>
      </c>
      <c r="Z140" s="68">
        <v>22.35</v>
      </c>
      <c r="AA140" s="172" t="e">
        <f t="shared" si="69"/>
        <v>#VALUE!</v>
      </c>
      <c r="AB140" s="174" t="e">
        <f t="shared" si="70"/>
        <v>#VALUE!</v>
      </c>
      <c r="AC140" s="120" t="s">
        <v>5120</v>
      </c>
      <c r="AD140" s="176" t="s">
        <v>377</v>
      </c>
      <c r="AE140" s="89">
        <v>43712</v>
      </c>
      <c r="AF140" s="88"/>
      <c r="AG140" s="34">
        <f t="shared" si="71"/>
        <v>-43712</v>
      </c>
      <c r="AH140" s="135" t="s">
        <v>1790</v>
      </c>
    </row>
    <row r="141" spans="1:46" s="288" customFormat="1">
      <c r="A141" s="150"/>
      <c r="B141" s="84"/>
      <c r="C141" s="85"/>
      <c r="D141" s="84"/>
      <c r="E141" s="85"/>
      <c r="F141" s="7"/>
      <c r="G141" s="42"/>
      <c r="H141" s="51"/>
      <c r="I141" s="176"/>
      <c r="J141" s="371"/>
      <c r="K141" s="371"/>
      <c r="L141" s="77"/>
      <c r="M141" s="365"/>
      <c r="N141" s="365"/>
      <c r="O141" s="343"/>
      <c r="P141" s="233"/>
      <c r="Q141" s="326"/>
      <c r="R141" s="111"/>
      <c r="S141" s="51"/>
      <c r="T141" s="339"/>
      <c r="U141" s="329"/>
      <c r="V141" s="371"/>
      <c r="W141" s="205"/>
      <c r="X141" s="100"/>
      <c r="Y141" s="175">
        <f>SUM(Y133:Y140)</f>
        <v>0</v>
      </c>
      <c r="Z141" s="165">
        <f>SUM(Z133:Z140)</f>
        <v>190.22</v>
      </c>
      <c r="AA141" s="172">
        <f>Y141-Z141</f>
        <v>-190.22</v>
      </c>
      <c r="AB141" s="174">
        <f t="shared" si="70"/>
        <v>-1</v>
      </c>
      <c r="AC141" s="121"/>
      <c r="AD141" s="163">
        <f>Y141*(0.001425*0.5)+Y141*0.003+Z141*(0.001425*0.5)</f>
        <v>0.13553175000000001</v>
      </c>
      <c r="AE141" s="7">
        <f>AA141-AD141</f>
        <v>-190.35553175000001</v>
      </c>
      <c r="AF141" s="88"/>
      <c r="AG141" s="34"/>
      <c r="AH141" s="135" t="s">
        <v>2576</v>
      </c>
      <c r="AI141" s="173"/>
    </row>
    <row r="142" spans="1:46" s="288" customFormat="1">
      <c r="A142" s="150"/>
      <c r="B142" s="84"/>
      <c r="C142" s="84"/>
      <c r="D142" s="84"/>
      <c r="E142" s="84"/>
      <c r="F142" s="7"/>
      <c r="G142" s="42"/>
      <c r="H142" s="9"/>
      <c r="I142" s="163"/>
      <c r="J142" s="371"/>
      <c r="K142" s="371"/>
      <c r="L142" s="371"/>
      <c r="M142" s="365"/>
      <c r="N142" s="365"/>
      <c r="O142" s="343"/>
      <c r="P142" s="229"/>
      <c r="Q142" s="326"/>
      <c r="R142" s="111"/>
      <c r="S142" s="51"/>
      <c r="T142" s="339"/>
      <c r="U142" s="329"/>
      <c r="V142" s="371"/>
      <c r="W142" s="205"/>
      <c r="X142" s="100"/>
      <c r="Y142" s="175"/>
      <c r="Z142" s="165"/>
      <c r="AA142" s="172"/>
      <c r="AB142" s="174"/>
      <c r="AC142" s="121"/>
      <c r="AD142" s="163"/>
      <c r="AE142" s="7"/>
      <c r="AF142" s="88"/>
      <c r="AG142" s="34"/>
      <c r="AH142" s="42"/>
      <c r="AI142" s="173"/>
    </row>
    <row r="143" spans="1:46" s="288" customFormat="1">
      <c r="A143" s="135" t="s">
        <v>2552</v>
      </c>
      <c r="B143" s="96" t="s">
        <v>2331</v>
      </c>
      <c r="C143" s="96" t="s">
        <v>2332</v>
      </c>
      <c r="D143" s="96" t="s">
        <v>2333</v>
      </c>
      <c r="E143" s="96" t="s">
        <v>2334</v>
      </c>
      <c r="F143" s="9" t="s">
        <v>1709</v>
      </c>
      <c r="G143" s="27" t="s">
        <v>5626</v>
      </c>
      <c r="H143" s="56" t="s">
        <v>578</v>
      </c>
      <c r="I143" s="1" t="s">
        <v>3593</v>
      </c>
      <c r="J143" s="364" t="s">
        <v>2189</v>
      </c>
      <c r="K143" s="364" t="s">
        <v>1820</v>
      </c>
      <c r="L143" s="364" t="s">
        <v>515</v>
      </c>
      <c r="M143" s="364" t="s">
        <v>1699</v>
      </c>
      <c r="N143" s="364" t="s">
        <v>6633</v>
      </c>
      <c r="O143" s="343" t="s">
        <v>6634</v>
      </c>
      <c r="P143" s="83" t="s">
        <v>5279</v>
      </c>
      <c r="Q143" s="326" t="s">
        <v>5514</v>
      </c>
      <c r="R143" s="31" t="s">
        <v>6596</v>
      </c>
      <c r="S143" s="51" t="s">
        <v>6597</v>
      </c>
      <c r="T143" s="338" t="s">
        <v>5627</v>
      </c>
      <c r="U143" s="330" t="s">
        <v>6537</v>
      </c>
      <c r="V143" s="377" t="s">
        <v>6616</v>
      </c>
      <c r="W143" s="15" t="s">
        <v>127</v>
      </c>
      <c r="X143" s="71" t="s">
        <v>6626</v>
      </c>
      <c r="Y143" s="29" t="s">
        <v>6688</v>
      </c>
      <c r="Z143" s="18" t="s">
        <v>2113</v>
      </c>
      <c r="AA143" s="15" t="s">
        <v>3598</v>
      </c>
      <c r="AB143" s="22" t="s">
        <v>2199</v>
      </c>
      <c r="AC143" s="26" t="s">
        <v>211</v>
      </c>
      <c r="AD143" s="1" t="s">
        <v>3593</v>
      </c>
      <c r="AE143" s="75" t="s">
        <v>2114</v>
      </c>
      <c r="AF143" s="76" t="s">
        <v>1826</v>
      </c>
      <c r="AG143" s="33" t="s">
        <v>1827</v>
      </c>
      <c r="AH143" s="147"/>
      <c r="AI143" s="173"/>
    </row>
    <row r="144" spans="1:46">
      <c r="A144" s="151" t="s">
        <v>2632</v>
      </c>
      <c r="B144" s="85">
        <v>-47</v>
      </c>
      <c r="C144" s="85">
        <v>-47</v>
      </c>
      <c r="D144" s="84">
        <v>69</v>
      </c>
      <c r="E144" s="84">
        <v>4</v>
      </c>
      <c r="F144" s="7">
        <v>4.82</v>
      </c>
      <c r="G144" s="58" t="s">
        <v>3215</v>
      </c>
      <c r="H144" s="31" t="s">
        <v>2191</v>
      </c>
      <c r="I144" s="23" t="s">
        <v>1250</v>
      </c>
      <c r="J144" s="77">
        <v>43.09</v>
      </c>
      <c r="K144" s="371">
        <v>3.36</v>
      </c>
      <c r="L144" s="371">
        <v>16.559999999999999</v>
      </c>
      <c r="N144" s="365">
        <f t="shared" ref="N144" si="72">K144+J144+L144</f>
        <v>63.010000000000005</v>
      </c>
      <c r="R144" s="111">
        <v>31</v>
      </c>
      <c r="V144" s="371">
        <v>17.05</v>
      </c>
      <c r="W144" s="46">
        <v>3</v>
      </c>
      <c r="X144" s="100">
        <v>4.32</v>
      </c>
      <c r="Y144" s="37" t="str">
        <f>RTD("money.excel",,"9919","Price")</f>
        <v>無資料</v>
      </c>
      <c r="Z144" s="242">
        <f>41.9-3</f>
        <v>38.9</v>
      </c>
      <c r="AA144" s="16" t="e">
        <f t="shared" ref="AA144" si="73">Y144-Z144</f>
        <v>#VALUE!</v>
      </c>
      <c r="AB144" s="3" t="e">
        <f t="shared" ref="AB144" si="74">AA144/Z144</f>
        <v>#VALUE!</v>
      </c>
      <c r="AC144" s="105" t="s">
        <v>5259</v>
      </c>
      <c r="AD144" s="23" t="s">
        <v>1250</v>
      </c>
      <c r="AE144" s="89">
        <v>44336</v>
      </c>
      <c r="AG144" s="34">
        <f t="shared" ref="AG144" si="75">AF144-AE144</f>
        <v>-44336</v>
      </c>
      <c r="AH144" s="42" t="s">
        <v>1790</v>
      </c>
      <c r="AI144" s="249"/>
      <c r="AJ144" s="9"/>
    </row>
    <row r="145" spans="1:36">
      <c r="A145" s="151" t="s">
        <v>2632</v>
      </c>
      <c r="B145" s="85">
        <v>-47</v>
      </c>
      <c r="C145" s="85">
        <v>-47</v>
      </c>
      <c r="D145" s="84">
        <v>69</v>
      </c>
      <c r="E145" s="84">
        <v>4</v>
      </c>
      <c r="F145" s="7">
        <v>4.82</v>
      </c>
      <c r="G145" s="58" t="s">
        <v>3215</v>
      </c>
      <c r="H145" s="31" t="s">
        <v>2191</v>
      </c>
      <c r="I145" s="23" t="s">
        <v>1250</v>
      </c>
      <c r="J145" s="77">
        <v>43.09</v>
      </c>
      <c r="K145" s="371">
        <v>3.36</v>
      </c>
      <c r="L145" s="371">
        <v>16.559999999999999</v>
      </c>
      <c r="N145" s="365">
        <f t="shared" ref="N145" si="76">K145+J145+L145</f>
        <v>63.010000000000005</v>
      </c>
      <c r="R145" s="111">
        <v>31</v>
      </c>
      <c r="V145" s="371">
        <v>17.05</v>
      </c>
      <c r="W145" s="46">
        <v>3</v>
      </c>
      <c r="X145" s="100">
        <v>4.32</v>
      </c>
      <c r="Y145" s="37" t="str">
        <f>RTD("money.excel",,"9919","Price")</f>
        <v>無資料</v>
      </c>
      <c r="Z145" s="242">
        <f>44.5-3</f>
        <v>41.5</v>
      </c>
      <c r="AA145" s="16" t="e">
        <f t="shared" ref="AA145" si="77">Y145-Z145</f>
        <v>#VALUE!</v>
      </c>
      <c r="AB145" s="3" t="e">
        <f t="shared" ref="AB145" si="78">AA145/Z145</f>
        <v>#VALUE!</v>
      </c>
      <c r="AC145" s="105" t="s">
        <v>5259</v>
      </c>
      <c r="AD145" s="23" t="s">
        <v>1250</v>
      </c>
      <c r="AE145" s="89">
        <v>44334</v>
      </c>
      <c r="AG145" s="34">
        <f t="shared" ref="AG145" si="79">AF145-AE145</f>
        <v>-44334</v>
      </c>
      <c r="AH145" s="42" t="s">
        <v>1790</v>
      </c>
      <c r="AI145" s="249"/>
      <c r="AJ145" s="9"/>
    </row>
    <row r="146" spans="1:36" s="288" customFormat="1">
      <c r="A146" s="150"/>
      <c r="B146" s="84"/>
      <c r="C146" s="84"/>
      <c r="D146" s="84"/>
      <c r="E146" s="84"/>
      <c r="F146" s="7"/>
      <c r="G146" s="42"/>
      <c r="H146" s="9"/>
      <c r="I146" s="163"/>
      <c r="J146" s="371"/>
      <c r="K146" s="371"/>
      <c r="L146" s="371"/>
      <c r="M146" s="365"/>
      <c r="N146" s="365"/>
      <c r="O146" s="343"/>
      <c r="P146" s="229"/>
      <c r="Q146" s="326"/>
      <c r="R146" s="111"/>
      <c r="S146" s="51"/>
      <c r="T146" s="339"/>
      <c r="U146" s="329"/>
      <c r="V146" s="371"/>
      <c r="W146" s="205"/>
      <c r="X146" s="100"/>
      <c r="Y146" s="175">
        <f>SUM(Y144:Y145)</f>
        <v>0</v>
      </c>
      <c r="Z146" s="165">
        <f>SUM(Z144:Z145)</f>
        <v>80.400000000000006</v>
      </c>
      <c r="AA146" s="172">
        <f>Y146-Z146</f>
        <v>-80.400000000000006</v>
      </c>
      <c r="AB146" s="174">
        <f>AA146/Z146</f>
        <v>-1</v>
      </c>
      <c r="AC146" s="121"/>
      <c r="AD146" s="163">
        <f>Y146*(0.001425*0.5)+Y146*0.003+Z146*(0.001425*0.5)</f>
        <v>5.728500000000001E-2</v>
      </c>
      <c r="AE146" s="7">
        <f>AA146-AD146</f>
        <v>-80.457284999999999</v>
      </c>
      <c r="AF146" s="88"/>
      <c r="AG146" s="34"/>
      <c r="AH146" s="42" t="s">
        <v>1790</v>
      </c>
      <c r="AI146" s="173"/>
    </row>
    <row r="147" spans="1:36" s="288" customFormat="1">
      <c r="A147" s="150"/>
      <c r="B147" s="84"/>
      <c r="C147" s="84"/>
      <c r="D147" s="84"/>
      <c r="E147" s="84"/>
      <c r="F147" s="7"/>
      <c r="G147" s="42"/>
      <c r="H147" s="9"/>
      <c r="I147" s="163"/>
      <c r="J147" s="371"/>
      <c r="K147" s="371"/>
      <c r="L147" s="371"/>
      <c r="M147" s="365"/>
      <c r="N147" s="365"/>
      <c r="O147" s="343"/>
      <c r="P147" s="229"/>
      <c r="Q147" s="326"/>
      <c r="R147" s="111"/>
      <c r="S147" s="51"/>
      <c r="T147" s="339"/>
      <c r="U147" s="329"/>
      <c r="V147" s="371"/>
      <c r="W147" s="205"/>
      <c r="X147" s="100"/>
      <c r="Y147" s="175"/>
      <c r="Z147" s="165"/>
      <c r="AA147" s="172"/>
      <c r="AB147" s="174"/>
      <c r="AC147" s="121"/>
      <c r="AD147" s="163"/>
      <c r="AE147" s="7"/>
      <c r="AF147" s="88"/>
      <c r="AG147" s="34"/>
      <c r="AH147" s="42"/>
      <c r="AI147" s="173"/>
    </row>
    <row r="148" spans="1:36" s="288" customFormat="1" ht="17.25" customHeight="1">
      <c r="A148" s="135" t="s">
        <v>2552</v>
      </c>
      <c r="B148" s="96" t="s">
        <v>2331</v>
      </c>
      <c r="C148" s="96" t="s">
        <v>2332</v>
      </c>
      <c r="D148" s="96" t="s">
        <v>2333</v>
      </c>
      <c r="E148" s="96" t="s">
        <v>2334</v>
      </c>
      <c r="F148" s="9" t="s">
        <v>1709</v>
      </c>
      <c r="G148" s="27" t="s">
        <v>5626</v>
      </c>
      <c r="H148" s="56" t="s">
        <v>578</v>
      </c>
      <c r="I148" s="1" t="s">
        <v>3593</v>
      </c>
      <c r="J148" s="364" t="s">
        <v>2189</v>
      </c>
      <c r="K148" s="364" t="s">
        <v>1820</v>
      </c>
      <c r="L148" s="364" t="s">
        <v>515</v>
      </c>
      <c r="M148" s="364" t="s">
        <v>1699</v>
      </c>
      <c r="N148" s="364" t="s">
        <v>6633</v>
      </c>
      <c r="O148" s="343" t="s">
        <v>6634</v>
      </c>
      <c r="P148" s="83" t="s">
        <v>5279</v>
      </c>
      <c r="Q148" s="326" t="s">
        <v>5514</v>
      </c>
      <c r="R148" s="31" t="s">
        <v>6596</v>
      </c>
      <c r="S148" s="51" t="s">
        <v>6597</v>
      </c>
      <c r="T148" s="338" t="s">
        <v>5627</v>
      </c>
      <c r="U148" s="330" t="s">
        <v>6537</v>
      </c>
      <c r="V148" s="377" t="s">
        <v>6616</v>
      </c>
      <c r="W148" s="15" t="s">
        <v>127</v>
      </c>
      <c r="X148" s="71" t="s">
        <v>6626</v>
      </c>
      <c r="Y148" s="29" t="s">
        <v>6688</v>
      </c>
      <c r="Z148" s="18" t="s">
        <v>2113</v>
      </c>
      <c r="AA148" s="15" t="s">
        <v>3598</v>
      </c>
      <c r="AB148" s="22" t="s">
        <v>2199</v>
      </c>
      <c r="AC148" s="26" t="s">
        <v>211</v>
      </c>
      <c r="AD148" s="1" t="s">
        <v>3593</v>
      </c>
      <c r="AE148" s="75" t="s">
        <v>2114</v>
      </c>
      <c r="AF148" s="76" t="s">
        <v>1826</v>
      </c>
      <c r="AG148" s="33" t="s">
        <v>1827</v>
      </c>
      <c r="AH148" s="147"/>
      <c r="AI148" s="173"/>
    </row>
    <row r="149" spans="1:36">
      <c r="A149" s="151" t="s">
        <v>2481</v>
      </c>
      <c r="B149" s="98">
        <v>8051</v>
      </c>
      <c r="C149" s="98">
        <v>8406</v>
      </c>
      <c r="D149" s="85">
        <v>-4</v>
      </c>
      <c r="E149" s="84">
        <v>17</v>
      </c>
      <c r="F149" s="7">
        <v>8.76</v>
      </c>
      <c r="G149" s="58" t="s">
        <v>1161</v>
      </c>
      <c r="H149" s="51" t="s">
        <v>2120</v>
      </c>
      <c r="I149" s="23" t="s">
        <v>1162</v>
      </c>
      <c r="J149" s="77">
        <v>51.45</v>
      </c>
      <c r="K149" s="371">
        <v>7.02</v>
      </c>
      <c r="L149" s="77">
        <v>28.84</v>
      </c>
      <c r="N149" s="365">
        <f t="shared" ref="N149" si="80">K149+J149+L149</f>
        <v>87.31</v>
      </c>
      <c r="R149" s="111">
        <v>5</v>
      </c>
      <c r="V149" s="371">
        <v>1.76</v>
      </c>
      <c r="W149" s="69">
        <v>7.47</v>
      </c>
      <c r="X149" s="59">
        <v>13.82</v>
      </c>
      <c r="Y149" s="37" t="str">
        <f>RTD("money.excel",,"1598","Price")</f>
        <v>無資料</v>
      </c>
      <c r="Z149" s="242">
        <f>89.5-7.47</f>
        <v>82.03</v>
      </c>
      <c r="AA149" s="16" t="e">
        <f t="shared" ref="AA149:AA152" si="81">Y149-Z149</f>
        <v>#VALUE!</v>
      </c>
      <c r="AB149" s="3" t="e">
        <f t="shared" ref="AB149:AB152" si="82">AA149/Z149</f>
        <v>#VALUE!</v>
      </c>
      <c r="AC149" s="105" t="s">
        <v>2929</v>
      </c>
      <c r="AD149" s="23" t="s">
        <v>1162</v>
      </c>
      <c r="AE149" s="89">
        <v>44329</v>
      </c>
      <c r="AG149" s="34">
        <f>AF149-AE149</f>
        <v>-44329</v>
      </c>
      <c r="AH149" s="135" t="s">
        <v>1790</v>
      </c>
      <c r="AI149" s="135"/>
      <c r="AJ149" s="238"/>
    </row>
    <row r="150" spans="1:36">
      <c r="A150" s="151" t="s">
        <v>2481</v>
      </c>
      <c r="B150" s="98">
        <v>8051</v>
      </c>
      <c r="C150" s="98">
        <v>8406</v>
      </c>
      <c r="D150" s="85">
        <v>-4</v>
      </c>
      <c r="E150" s="84">
        <v>17</v>
      </c>
      <c r="F150" s="7">
        <v>8.76</v>
      </c>
      <c r="G150" s="58" t="s">
        <v>1161</v>
      </c>
      <c r="H150" s="51" t="s">
        <v>2120</v>
      </c>
      <c r="I150" s="23" t="s">
        <v>1162</v>
      </c>
      <c r="J150" s="77">
        <v>51.45</v>
      </c>
      <c r="K150" s="371">
        <v>7.02</v>
      </c>
      <c r="L150" s="77">
        <v>28.84</v>
      </c>
      <c r="N150" s="365">
        <f t="shared" ref="N150:N152" si="83">K150+J150+L150</f>
        <v>87.31</v>
      </c>
      <c r="R150" s="111">
        <v>5</v>
      </c>
      <c r="V150" s="371">
        <v>1.76</v>
      </c>
      <c r="W150" s="69">
        <v>7.47</v>
      </c>
      <c r="X150" s="59">
        <v>13.82</v>
      </c>
      <c r="Y150" s="37" t="str">
        <f>RTD("money.excel",,"1598","Price")</f>
        <v>無資料</v>
      </c>
      <c r="Z150" s="242">
        <f>107-7.47</f>
        <v>99.53</v>
      </c>
      <c r="AA150" s="16" t="e">
        <f t="shared" si="81"/>
        <v>#VALUE!</v>
      </c>
      <c r="AB150" s="3" t="e">
        <f t="shared" si="82"/>
        <v>#VALUE!</v>
      </c>
      <c r="AC150" s="105" t="s">
        <v>2929</v>
      </c>
      <c r="AD150" s="23" t="s">
        <v>1162</v>
      </c>
      <c r="AE150" s="89">
        <v>44313</v>
      </c>
      <c r="AG150" s="34">
        <f>AF150-AE150</f>
        <v>-44313</v>
      </c>
      <c r="AH150" s="135" t="s">
        <v>1790</v>
      </c>
      <c r="AI150" s="135" t="s">
        <v>2243</v>
      </c>
      <c r="AJ150" s="238"/>
    </row>
    <row r="151" spans="1:36">
      <c r="A151" s="151" t="s">
        <v>2481</v>
      </c>
      <c r="B151" s="98">
        <v>8051</v>
      </c>
      <c r="C151" s="98">
        <v>8406</v>
      </c>
      <c r="D151" s="85">
        <v>-4</v>
      </c>
      <c r="E151" s="84">
        <v>17</v>
      </c>
      <c r="F151" s="7">
        <v>8.76</v>
      </c>
      <c r="G151" s="58" t="s">
        <v>1161</v>
      </c>
      <c r="H151" s="31" t="s">
        <v>2191</v>
      </c>
      <c r="I151" s="23" t="s">
        <v>1162</v>
      </c>
      <c r="J151" s="77">
        <v>51.45</v>
      </c>
      <c r="K151" s="371">
        <v>7.02</v>
      </c>
      <c r="L151" s="77">
        <v>28.84</v>
      </c>
      <c r="N151" s="365">
        <f t="shared" si="83"/>
        <v>87.31</v>
      </c>
      <c r="R151" s="111">
        <v>5</v>
      </c>
      <c r="V151" s="371">
        <v>1.76</v>
      </c>
      <c r="W151" s="69">
        <v>7.47</v>
      </c>
      <c r="X151" s="59">
        <v>13.82</v>
      </c>
      <c r="Y151" s="37" t="str">
        <f>RTD("money.excel",,"1598","Price")</f>
        <v>無資料</v>
      </c>
      <c r="Z151" s="242">
        <f>89.4-7.47</f>
        <v>81.93</v>
      </c>
      <c r="AA151" s="16" t="e">
        <f t="shared" si="81"/>
        <v>#VALUE!</v>
      </c>
      <c r="AB151" s="3" t="e">
        <f t="shared" si="82"/>
        <v>#VALUE!</v>
      </c>
      <c r="AC151" s="105" t="s">
        <v>2929</v>
      </c>
      <c r="AD151" s="23" t="s">
        <v>1162</v>
      </c>
      <c r="AE151" s="89">
        <v>44329</v>
      </c>
      <c r="AG151" s="34">
        <f>AF151-AE151</f>
        <v>-44329</v>
      </c>
      <c r="AH151" s="42" t="s">
        <v>1790</v>
      </c>
      <c r="AI151" s="237"/>
      <c r="AJ151" s="238"/>
    </row>
    <row r="152" spans="1:36">
      <c r="A152" s="151" t="s">
        <v>2481</v>
      </c>
      <c r="B152" s="98">
        <v>8051</v>
      </c>
      <c r="C152" s="98">
        <v>8406</v>
      </c>
      <c r="D152" s="85">
        <v>-4</v>
      </c>
      <c r="E152" s="84">
        <v>17</v>
      </c>
      <c r="F152" s="7">
        <v>8.76</v>
      </c>
      <c r="G152" s="58" t="s">
        <v>1161</v>
      </c>
      <c r="H152" s="31" t="s">
        <v>2191</v>
      </c>
      <c r="I152" s="23" t="s">
        <v>1162</v>
      </c>
      <c r="J152" s="77">
        <v>51.45</v>
      </c>
      <c r="K152" s="371">
        <v>7.02</v>
      </c>
      <c r="L152" s="77">
        <v>28.84</v>
      </c>
      <c r="N152" s="365">
        <f t="shared" si="83"/>
        <v>87.31</v>
      </c>
      <c r="R152" s="111">
        <v>5</v>
      </c>
      <c r="V152" s="371">
        <v>1.76</v>
      </c>
      <c r="W152" s="69">
        <v>7.47</v>
      </c>
      <c r="X152" s="59">
        <v>13.82</v>
      </c>
      <c r="Y152" s="37" t="str">
        <f>RTD("money.excel",,"1598","Price")</f>
        <v>無資料</v>
      </c>
      <c r="Z152" s="242">
        <f>107-7.47</f>
        <v>99.53</v>
      </c>
      <c r="AA152" s="16" t="e">
        <f t="shared" si="81"/>
        <v>#VALUE!</v>
      </c>
      <c r="AB152" s="3" t="e">
        <f t="shared" si="82"/>
        <v>#VALUE!</v>
      </c>
      <c r="AC152" s="105" t="s">
        <v>2929</v>
      </c>
      <c r="AD152" s="23" t="s">
        <v>1162</v>
      </c>
      <c r="AE152" s="89">
        <v>44313</v>
      </c>
      <c r="AG152" s="34">
        <f>AF152-AE152</f>
        <v>-44313</v>
      </c>
      <c r="AH152" s="42" t="s">
        <v>1790</v>
      </c>
      <c r="AI152" s="42" t="s">
        <v>2243</v>
      </c>
      <c r="AJ152" s="238"/>
    </row>
    <row r="153" spans="1:36" s="288" customFormat="1">
      <c r="A153" s="150"/>
      <c r="B153" s="84"/>
      <c r="C153" s="84"/>
      <c r="D153" s="84"/>
      <c r="E153" s="84"/>
      <c r="F153" s="7"/>
      <c r="G153" s="42"/>
      <c r="H153" s="9"/>
      <c r="I153" s="163"/>
      <c r="J153" s="371"/>
      <c r="K153" s="371"/>
      <c r="L153" s="371"/>
      <c r="M153" s="365"/>
      <c r="N153" s="365"/>
      <c r="O153" s="343"/>
      <c r="P153" s="229"/>
      <c r="Q153" s="326"/>
      <c r="R153" s="111"/>
      <c r="S153" s="51"/>
      <c r="T153" s="339"/>
      <c r="U153" s="329"/>
      <c r="V153" s="371"/>
      <c r="W153" s="205"/>
      <c r="X153" s="100"/>
      <c r="Y153" s="175">
        <f>SUM(Y149:Y152)</f>
        <v>0</v>
      </c>
      <c r="Z153" s="165">
        <f>SUM(Z149:Z152)</f>
        <v>363.02</v>
      </c>
      <c r="AA153" s="256">
        <f>Y153-Z153</f>
        <v>-363.02</v>
      </c>
      <c r="AB153" s="174">
        <f>AA153/Z153</f>
        <v>-1</v>
      </c>
      <c r="AC153" s="121"/>
      <c r="AD153" s="163">
        <f>Y153*(0.001425*0.5)+Y153*0.003+Z153*(0.001425*0.5)</f>
        <v>0.25865175000000001</v>
      </c>
      <c r="AE153" s="7">
        <f>AA153-AD153</f>
        <v>-363.27865174999999</v>
      </c>
      <c r="AF153" s="88"/>
      <c r="AG153" s="34"/>
      <c r="AH153" s="42" t="s">
        <v>1792</v>
      </c>
      <c r="AI153" s="173"/>
    </row>
    <row r="154" spans="1:36" s="288" customFormat="1">
      <c r="A154" s="150"/>
      <c r="B154" s="84"/>
      <c r="C154" s="84"/>
      <c r="D154" s="84"/>
      <c r="E154" s="84"/>
      <c r="F154" s="7"/>
      <c r="G154" s="42"/>
      <c r="H154" s="9"/>
      <c r="I154" s="163"/>
      <c r="J154" s="371"/>
      <c r="K154" s="371"/>
      <c r="L154" s="371"/>
      <c r="M154" s="365"/>
      <c r="N154" s="365"/>
      <c r="O154" s="343"/>
      <c r="P154" s="229"/>
      <c r="Q154" s="326"/>
      <c r="R154" s="111"/>
      <c r="S154" s="51"/>
      <c r="T154" s="339"/>
      <c r="U154" s="329"/>
      <c r="V154" s="371"/>
      <c r="W154" s="205"/>
      <c r="X154" s="100"/>
      <c r="Y154" s="175"/>
      <c r="Z154" s="165"/>
      <c r="AA154" s="172"/>
      <c r="AB154" s="174"/>
      <c r="AC154" s="121"/>
      <c r="AD154" s="163"/>
      <c r="AE154" s="7"/>
      <c r="AF154" s="88"/>
      <c r="AG154" s="34"/>
      <c r="AH154" s="42"/>
      <c r="AI154" s="173"/>
    </row>
    <row r="155" spans="1:36" s="288" customFormat="1">
      <c r="A155" s="135" t="s">
        <v>2552</v>
      </c>
      <c r="B155" s="96" t="s">
        <v>2331</v>
      </c>
      <c r="C155" s="96" t="s">
        <v>2332</v>
      </c>
      <c r="D155" s="96" t="s">
        <v>2333</v>
      </c>
      <c r="E155" s="96" t="s">
        <v>2334</v>
      </c>
      <c r="F155" s="9" t="s">
        <v>1709</v>
      </c>
      <c r="G155" s="27" t="s">
        <v>5626</v>
      </c>
      <c r="H155" s="56" t="s">
        <v>578</v>
      </c>
      <c r="I155" s="1" t="s">
        <v>3593</v>
      </c>
      <c r="J155" s="364" t="s">
        <v>2189</v>
      </c>
      <c r="K155" s="364" t="s">
        <v>1820</v>
      </c>
      <c r="L155" s="364" t="s">
        <v>515</v>
      </c>
      <c r="M155" s="364" t="s">
        <v>1699</v>
      </c>
      <c r="N155" s="364" t="s">
        <v>6633</v>
      </c>
      <c r="O155" s="343" t="s">
        <v>6634</v>
      </c>
      <c r="P155" s="83" t="s">
        <v>5279</v>
      </c>
      <c r="Q155" s="326" t="s">
        <v>5514</v>
      </c>
      <c r="R155" s="31" t="s">
        <v>6596</v>
      </c>
      <c r="S155" s="51" t="s">
        <v>6597</v>
      </c>
      <c r="T155" s="338" t="s">
        <v>5627</v>
      </c>
      <c r="U155" s="330" t="s">
        <v>6537</v>
      </c>
      <c r="V155" s="377" t="s">
        <v>6616</v>
      </c>
      <c r="W155" s="15" t="s">
        <v>127</v>
      </c>
      <c r="X155" s="71" t="s">
        <v>6626</v>
      </c>
      <c r="Y155" s="29" t="s">
        <v>6688</v>
      </c>
      <c r="Z155" s="18" t="s">
        <v>2113</v>
      </c>
      <c r="AA155" s="15" t="s">
        <v>3598</v>
      </c>
      <c r="AB155" s="22" t="s">
        <v>2199</v>
      </c>
      <c r="AC155" s="26" t="s">
        <v>211</v>
      </c>
      <c r="AD155" s="1" t="s">
        <v>3593</v>
      </c>
      <c r="AE155" s="75" t="s">
        <v>2114</v>
      </c>
      <c r="AF155" s="76" t="s">
        <v>1826</v>
      </c>
      <c r="AG155" s="33" t="s">
        <v>1827</v>
      </c>
      <c r="AH155" s="147"/>
      <c r="AI155" s="173"/>
    </row>
    <row r="156" spans="1:36">
      <c r="A156" s="135" t="s">
        <v>2930</v>
      </c>
      <c r="B156" s="84">
        <v>16</v>
      </c>
      <c r="C156" s="84">
        <v>22</v>
      </c>
      <c r="D156" s="84">
        <v>0</v>
      </c>
      <c r="E156" s="85">
        <v>-68</v>
      </c>
      <c r="F156" s="59">
        <v>41.9</v>
      </c>
      <c r="G156" s="58" t="s">
        <v>1088</v>
      </c>
      <c r="H156" s="51" t="s">
        <v>2120</v>
      </c>
      <c r="I156" s="23" t="s">
        <v>1089</v>
      </c>
      <c r="J156" s="371">
        <v>39.71</v>
      </c>
      <c r="K156" s="371">
        <v>8.25</v>
      </c>
      <c r="L156" s="371">
        <v>19.47</v>
      </c>
      <c r="N156" s="365">
        <f t="shared" ref="N156:N161" si="84">K156+J156+L156</f>
        <v>67.430000000000007</v>
      </c>
      <c r="R156" s="111">
        <v>32</v>
      </c>
      <c r="V156" s="371">
        <v>16.14</v>
      </c>
      <c r="W156" s="46">
        <v>12</v>
      </c>
      <c r="X156" s="100">
        <v>23.55</v>
      </c>
      <c r="Y156" s="37" t="str">
        <f>RTD("money.excel",,"1325","Price")</f>
        <v>無資料</v>
      </c>
      <c r="Z156" s="242">
        <f>105.5-12</f>
        <v>93.5</v>
      </c>
      <c r="AA156" s="16" t="e">
        <f t="shared" ref="AA156:AA162" si="85">Y156-Z156</f>
        <v>#VALUE!</v>
      </c>
      <c r="AB156" s="66" t="e">
        <f t="shared" ref="AB156:AB162" si="86">AA156/Z156</f>
        <v>#VALUE!</v>
      </c>
      <c r="AC156" s="107" t="s">
        <v>2626</v>
      </c>
      <c r="AD156" s="23" t="s">
        <v>1089</v>
      </c>
      <c r="AE156" s="89">
        <v>44336</v>
      </c>
      <c r="AG156" s="34">
        <f t="shared" ref="AG156:AG158" si="87">AF156-AE156</f>
        <v>-44336</v>
      </c>
      <c r="AH156" s="135" t="s">
        <v>1790</v>
      </c>
      <c r="AI156" s="235"/>
      <c r="AJ156" s="202"/>
    </row>
    <row r="157" spans="1:36">
      <c r="A157" s="135" t="s">
        <v>2930</v>
      </c>
      <c r="B157" s="84">
        <v>16</v>
      </c>
      <c r="C157" s="84">
        <v>22</v>
      </c>
      <c r="D157" s="84">
        <v>0</v>
      </c>
      <c r="E157" s="85">
        <v>-68</v>
      </c>
      <c r="F157" s="59">
        <v>41.9</v>
      </c>
      <c r="G157" s="58" t="s">
        <v>1088</v>
      </c>
      <c r="H157" s="51" t="s">
        <v>2120</v>
      </c>
      <c r="I157" s="23" t="s">
        <v>1089</v>
      </c>
      <c r="J157" s="371">
        <v>39.71</v>
      </c>
      <c r="K157" s="371">
        <v>8.25</v>
      </c>
      <c r="L157" s="371">
        <v>19.47</v>
      </c>
      <c r="N157" s="365">
        <f t="shared" si="84"/>
        <v>67.430000000000007</v>
      </c>
      <c r="R157" s="111">
        <v>32</v>
      </c>
      <c r="V157" s="371">
        <v>16.14</v>
      </c>
      <c r="W157" s="46">
        <v>12</v>
      </c>
      <c r="X157" s="100">
        <v>23.55</v>
      </c>
      <c r="Y157" s="37" t="str">
        <f>RTD("money.excel",,"1325","Price")</f>
        <v>無資料</v>
      </c>
      <c r="Z157" s="242">
        <f>112.5-12</f>
        <v>100.5</v>
      </c>
      <c r="AA157" s="16" t="e">
        <f t="shared" si="85"/>
        <v>#VALUE!</v>
      </c>
      <c r="AB157" s="66" t="e">
        <f t="shared" si="86"/>
        <v>#VALUE!</v>
      </c>
      <c r="AC157" s="107" t="s">
        <v>2626</v>
      </c>
      <c r="AD157" s="23" t="s">
        <v>1089</v>
      </c>
      <c r="AE157" s="89">
        <v>44334</v>
      </c>
      <c r="AG157" s="34">
        <f t="shared" si="87"/>
        <v>-44334</v>
      </c>
      <c r="AH157" s="135" t="s">
        <v>1790</v>
      </c>
      <c r="AI157" s="135"/>
      <c r="AJ157" s="202"/>
    </row>
    <row r="158" spans="1:36">
      <c r="A158" s="135" t="s">
        <v>2930</v>
      </c>
      <c r="B158" s="84">
        <v>16</v>
      </c>
      <c r="C158" s="84">
        <v>22</v>
      </c>
      <c r="D158" s="84">
        <v>0</v>
      </c>
      <c r="E158" s="85">
        <v>-68</v>
      </c>
      <c r="F158" s="59">
        <v>41.9</v>
      </c>
      <c r="G158" s="58" t="s">
        <v>1088</v>
      </c>
      <c r="H158" s="51" t="s">
        <v>2120</v>
      </c>
      <c r="I158" s="23" t="s">
        <v>1089</v>
      </c>
      <c r="J158" s="371">
        <v>39.71</v>
      </c>
      <c r="K158" s="371">
        <v>8.25</v>
      </c>
      <c r="L158" s="371">
        <v>19.47</v>
      </c>
      <c r="N158" s="365">
        <f t="shared" si="84"/>
        <v>67.430000000000007</v>
      </c>
      <c r="R158" s="111">
        <v>32</v>
      </c>
      <c r="V158" s="371">
        <v>16.14</v>
      </c>
      <c r="W158" s="46">
        <v>12</v>
      </c>
      <c r="X158" s="100">
        <v>23.55</v>
      </c>
      <c r="Y158" s="37" t="str">
        <f>RTD("money.excel",,"1325","Price")</f>
        <v>無資料</v>
      </c>
      <c r="Z158" s="242">
        <f>111-12</f>
        <v>99</v>
      </c>
      <c r="AA158" s="16" t="e">
        <f t="shared" si="85"/>
        <v>#VALUE!</v>
      </c>
      <c r="AB158" s="66" t="e">
        <f t="shared" si="86"/>
        <v>#VALUE!</v>
      </c>
      <c r="AC158" s="107" t="s">
        <v>2626</v>
      </c>
      <c r="AD158" s="23" t="s">
        <v>1089</v>
      </c>
      <c r="AE158" s="89">
        <v>44334</v>
      </c>
      <c r="AG158" s="34">
        <f t="shared" si="87"/>
        <v>-44334</v>
      </c>
      <c r="AH158" s="135" t="s">
        <v>1790</v>
      </c>
      <c r="AI158" s="135"/>
      <c r="AJ158" s="202"/>
    </row>
    <row r="159" spans="1:36">
      <c r="A159" s="135" t="s">
        <v>2930</v>
      </c>
      <c r="B159" s="84">
        <v>16</v>
      </c>
      <c r="C159" s="84">
        <v>22</v>
      </c>
      <c r="D159" s="84">
        <v>0</v>
      </c>
      <c r="E159" s="85">
        <v>-68</v>
      </c>
      <c r="F159" s="59">
        <v>41.9</v>
      </c>
      <c r="G159" s="58" t="s">
        <v>1088</v>
      </c>
      <c r="H159" s="51" t="s">
        <v>2120</v>
      </c>
      <c r="I159" s="23" t="s">
        <v>1089</v>
      </c>
      <c r="J159" s="371">
        <v>39.71</v>
      </c>
      <c r="K159" s="371">
        <v>8.25</v>
      </c>
      <c r="L159" s="371">
        <v>19.47</v>
      </c>
      <c r="N159" s="365">
        <f t="shared" si="84"/>
        <v>67.430000000000007</v>
      </c>
      <c r="R159" s="111">
        <v>32</v>
      </c>
      <c r="V159" s="371">
        <v>16.14</v>
      </c>
      <c r="W159" s="46">
        <v>12</v>
      </c>
      <c r="X159" s="100">
        <v>23.55</v>
      </c>
      <c r="Y159" s="37" t="str">
        <f>RTD("money.excel",,"1325","Price")</f>
        <v>無資料</v>
      </c>
      <c r="Z159" s="242">
        <f>109-12</f>
        <v>97</v>
      </c>
      <c r="AA159" s="16" t="e">
        <f t="shared" si="85"/>
        <v>#VALUE!</v>
      </c>
      <c r="AB159" s="66" t="e">
        <f t="shared" si="86"/>
        <v>#VALUE!</v>
      </c>
      <c r="AC159" s="107" t="s">
        <v>2626</v>
      </c>
      <c r="AD159" s="23" t="s">
        <v>1089</v>
      </c>
      <c r="AE159" s="89">
        <v>44334</v>
      </c>
      <c r="AG159" s="34">
        <f>AF159-AE159</f>
        <v>-44334</v>
      </c>
      <c r="AH159" s="135" t="s">
        <v>1790</v>
      </c>
      <c r="AI159" s="135" t="s">
        <v>1792</v>
      </c>
      <c r="AJ159" s="202"/>
    </row>
    <row r="160" spans="1:36">
      <c r="A160" s="135" t="s">
        <v>2930</v>
      </c>
      <c r="B160" s="84">
        <v>16</v>
      </c>
      <c r="C160" s="84">
        <v>22</v>
      </c>
      <c r="D160" s="84">
        <v>0</v>
      </c>
      <c r="E160" s="85">
        <v>-68</v>
      </c>
      <c r="F160" s="59">
        <v>41.9</v>
      </c>
      <c r="G160" s="58" t="s">
        <v>1088</v>
      </c>
      <c r="H160" s="31" t="s">
        <v>2191</v>
      </c>
      <c r="I160" s="23" t="s">
        <v>1089</v>
      </c>
      <c r="J160" s="371">
        <v>39.71</v>
      </c>
      <c r="K160" s="371">
        <v>8.25</v>
      </c>
      <c r="L160" s="371">
        <v>19.47</v>
      </c>
      <c r="N160" s="365">
        <f t="shared" si="84"/>
        <v>67.430000000000007</v>
      </c>
      <c r="R160" s="111">
        <v>32</v>
      </c>
      <c r="V160" s="371">
        <v>16.14</v>
      </c>
      <c r="W160" s="46">
        <v>12</v>
      </c>
      <c r="X160" s="100">
        <v>23.55</v>
      </c>
      <c r="Y160" s="37" t="str">
        <f>RTD("money.excel",,"1325","Price")</f>
        <v>無資料</v>
      </c>
      <c r="Z160" s="242">
        <f>104.5-12</f>
        <v>92.5</v>
      </c>
      <c r="AA160" s="16" t="e">
        <f t="shared" si="85"/>
        <v>#VALUE!</v>
      </c>
      <c r="AB160" s="66" t="e">
        <f t="shared" si="86"/>
        <v>#VALUE!</v>
      </c>
      <c r="AC160" s="107" t="s">
        <v>2626</v>
      </c>
      <c r="AD160" s="23" t="s">
        <v>1089</v>
      </c>
      <c r="AE160" s="89">
        <v>44336</v>
      </c>
      <c r="AG160" s="34">
        <f>AF160-AE160</f>
        <v>-44336</v>
      </c>
      <c r="AH160" s="42" t="s">
        <v>1790</v>
      </c>
      <c r="AI160" s="235"/>
      <c r="AJ160" s="202"/>
    </row>
    <row r="161" spans="1:40">
      <c r="A161" s="135" t="s">
        <v>2930</v>
      </c>
      <c r="B161" s="84">
        <v>16</v>
      </c>
      <c r="C161" s="84">
        <v>22</v>
      </c>
      <c r="D161" s="84">
        <v>0</v>
      </c>
      <c r="E161" s="85">
        <v>-68</v>
      </c>
      <c r="F161" s="59">
        <v>41.9</v>
      </c>
      <c r="G161" s="58" t="s">
        <v>1088</v>
      </c>
      <c r="H161" s="31" t="s">
        <v>2191</v>
      </c>
      <c r="I161" s="23" t="s">
        <v>1089</v>
      </c>
      <c r="J161" s="371">
        <v>39.71</v>
      </c>
      <c r="K161" s="371">
        <v>8.25</v>
      </c>
      <c r="L161" s="371">
        <v>19.47</v>
      </c>
      <c r="N161" s="365">
        <f t="shared" si="84"/>
        <v>67.430000000000007</v>
      </c>
      <c r="R161" s="111">
        <v>32</v>
      </c>
      <c r="V161" s="371">
        <v>16.14</v>
      </c>
      <c r="W161" s="46">
        <v>12</v>
      </c>
      <c r="X161" s="100">
        <v>23.55</v>
      </c>
      <c r="Y161" s="37" t="str">
        <f>RTD("money.excel",,"1325","Price")</f>
        <v>無資料</v>
      </c>
      <c r="Z161" s="242">
        <f>110-12</f>
        <v>98</v>
      </c>
      <c r="AA161" s="16" t="e">
        <f t="shared" si="85"/>
        <v>#VALUE!</v>
      </c>
      <c r="AB161" s="66" t="e">
        <f t="shared" si="86"/>
        <v>#VALUE!</v>
      </c>
      <c r="AC161" s="107" t="s">
        <v>2626</v>
      </c>
      <c r="AD161" s="23" t="s">
        <v>1089</v>
      </c>
      <c r="AE161" s="89">
        <v>44334</v>
      </c>
      <c r="AG161" s="34">
        <f>AF161-AE161</f>
        <v>-44334</v>
      </c>
      <c r="AH161" s="42" t="s">
        <v>1790</v>
      </c>
      <c r="AI161" s="42" t="s">
        <v>2243</v>
      </c>
      <c r="AJ161" s="202"/>
    </row>
    <row r="162" spans="1:40" s="288" customFormat="1">
      <c r="A162" s="150"/>
      <c r="B162" s="84"/>
      <c r="C162" s="84"/>
      <c r="D162" s="84"/>
      <c r="E162" s="84"/>
      <c r="F162" s="7"/>
      <c r="G162" s="42"/>
      <c r="H162" s="9"/>
      <c r="I162" s="163"/>
      <c r="J162" s="371"/>
      <c r="K162" s="371"/>
      <c r="L162" s="371"/>
      <c r="M162" s="365"/>
      <c r="N162" s="365"/>
      <c r="O162" s="343"/>
      <c r="P162" s="229"/>
      <c r="Q162" s="326"/>
      <c r="R162" s="111"/>
      <c r="S162" s="51"/>
      <c r="T162" s="339"/>
      <c r="U162" s="329"/>
      <c r="V162" s="371"/>
      <c r="W162" s="205"/>
      <c r="X162" s="100"/>
      <c r="Y162" s="175">
        <f>SUM(Y156:Y161)</f>
        <v>0</v>
      </c>
      <c r="Z162" s="165">
        <f>SUM(Z156:Z161)</f>
        <v>580.5</v>
      </c>
      <c r="AA162" s="256">
        <f t="shared" si="85"/>
        <v>-580.5</v>
      </c>
      <c r="AB162" s="259">
        <f t="shared" si="86"/>
        <v>-1</v>
      </c>
      <c r="AC162" s="121"/>
      <c r="AD162" s="163">
        <f>Y162*(0.001425*0.5)+Y162*0.003+Z162*(0.001425*0.5)</f>
        <v>0.41360625000000001</v>
      </c>
      <c r="AE162" s="7">
        <f>AA162-AD162</f>
        <v>-580.91360625000004</v>
      </c>
      <c r="AF162" s="88"/>
      <c r="AG162" s="34"/>
      <c r="AH162" s="42" t="s">
        <v>5244</v>
      </c>
      <c r="AI162" s="173"/>
      <c r="AJ162" s="280" t="s">
        <v>5351</v>
      </c>
    </row>
    <row r="163" spans="1:40">
      <c r="A163" s="135"/>
      <c r="B163" s="98"/>
      <c r="C163" s="98"/>
      <c r="D163" s="84"/>
      <c r="E163" s="85"/>
      <c r="F163" s="59"/>
      <c r="G163" s="58"/>
      <c r="H163" s="31"/>
      <c r="I163" s="23"/>
      <c r="J163" s="77"/>
      <c r="K163" s="371"/>
      <c r="N163" s="365"/>
      <c r="W163" s="69"/>
      <c r="X163" s="100"/>
      <c r="Y163" s="37"/>
      <c r="Z163" s="69"/>
      <c r="AA163" s="16"/>
      <c r="AB163" s="66"/>
      <c r="AC163" s="107"/>
      <c r="AD163" s="23"/>
      <c r="AG163" s="34"/>
      <c r="AH163" s="42"/>
      <c r="AI163" s="235"/>
      <c r="AJ163" s="202"/>
    </row>
    <row r="164" spans="1:40" s="288" customFormat="1">
      <c r="A164" s="150"/>
      <c r="B164" s="84"/>
      <c r="C164" s="84"/>
      <c r="D164" s="84"/>
      <c r="E164" s="84"/>
      <c r="F164" s="7"/>
      <c r="G164" s="42"/>
      <c r="H164" s="9"/>
      <c r="I164" s="163"/>
      <c r="J164" s="371"/>
      <c r="K164" s="371"/>
      <c r="L164" s="371"/>
      <c r="M164" s="365"/>
      <c r="N164" s="365"/>
      <c r="O164" s="343"/>
      <c r="P164" s="229"/>
      <c r="Q164" s="326"/>
      <c r="R164" s="111"/>
      <c r="S164" s="51"/>
      <c r="T164" s="339"/>
      <c r="U164" s="329"/>
      <c r="V164" s="371"/>
      <c r="W164" s="205"/>
      <c r="X164" s="100"/>
      <c r="Y164" s="175"/>
      <c r="Z164" s="165"/>
      <c r="AA164" s="172"/>
      <c r="AB164" s="174"/>
      <c r="AC164" s="121"/>
      <c r="AD164" s="163"/>
      <c r="AE164" s="7"/>
      <c r="AF164" s="88"/>
      <c r="AG164" s="34"/>
      <c r="AH164" s="42"/>
      <c r="AI164" s="173"/>
    </row>
    <row r="165" spans="1:40" s="288" customFormat="1">
      <c r="A165" s="150"/>
      <c r="B165" s="84"/>
      <c r="C165" s="84"/>
      <c r="D165" s="84"/>
      <c r="E165" s="84"/>
      <c r="F165" s="7"/>
      <c r="G165" s="42"/>
      <c r="H165" s="9"/>
      <c r="I165" s="163"/>
      <c r="J165" s="371"/>
      <c r="K165" s="371"/>
      <c r="L165" s="371"/>
      <c r="M165" s="365"/>
      <c r="N165" s="365"/>
      <c r="O165" s="343"/>
      <c r="P165" s="229"/>
      <c r="Q165" s="326"/>
      <c r="R165" s="111"/>
      <c r="S165" s="51"/>
      <c r="T165" s="339"/>
      <c r="U165" s="329"/>
      <c r="V165" s="371"/>
      <c r="W165" s="205"/>
      <c r="X165" s="100"/>
      <c r="Y165" s="175"/>
      <c r="Z165" s="165"/>
      <c r="AA165" s="172"/>
      <c r="AB165" s="174"/>
      <c r="AC165" s="121"/>
      <c r="AD165" s="163"/>
      <c r="AE165" s="7"/>
      <c r="AF165" s="88"/>
      <c r="AG165" s="34"/>
      <c r="AH165" s="42"/>
      <c r="AI165" s="173"/>
    </row>
    <row r="166" spans="1:40" s="288" customFormat="1">
      <c r="A166" s="150"/>
      <c r="B166" s="84"/>
      <c r="C166" s="84"/>
      <c r="D166" s="84"/>
      <c r="E166" s="84"/>
      <c r="F166" s="7"/>
      <c r="G166" s="42"/>
      <c r="H166" s="9"/>
      <c r="I166" s="163"/>
      <c r="J166" s="371"/>
      <c r="K166" s="371"/>
      <c r="L166" s="371"/>
      <c r="M166" s="365"/>
      <c r="N166" s="365"/>
      <c r="O166" s="343"/>
      <c r="P166" s="229"/>
      <c r="Q166" s="326"/>
      <c r="R166" s="111"/>
      <c r="S166" s="51"/>
      <c r="T166" s="339"/>
      <c r="U166" s="329"/>
      <c r="V166" s="371"/>
      <c r="W166" s="205"/>
      <c r="X166" s="100"/>
      <c r="Y166" s="175"/>
      <c r="Z166" s="165"/>
      <c r="AA166" s="172"/>
      <c r="AB166" s="174"/>
      <c r="AC166" s="121"/>
      <c r="AD166" s="163"/>
      <c r="AE166" s="7"/>
      <c r="AF166" s="88"/>
      <c r="AG166" s="34"/>
      <c r="AH166" s="42"/>
      <c r="AI166" s="173"/>
    </row>
    <row r="167" spans="1:40" s="288" customFormat="1">
      <c r="A167" s="150"/>
      <c r="B167" s="84"/>
      <c r="C167" s="84"/>
      <c r="D167" s="84"/>
      <c r="E167" s="84"/>
      <c r="F167" s="7"/>
      <c r="G167" s="42"/>
      <c r="H167" s="9"/>
      <c r="I167" s="163"/>
      <c r="J167" s="371"/>
      <c r="K167" s="371"/>
      <c r="L167" s="371"/>
      <c r="M167" s="365"/>
      <c r="N167" s="365"/>
      <c r="O167" s="343"/>
      <c r="P167" s="229"/>
      <c r="Q167" s="326"/>
      <c r="R167" s="111"/>
      <c r="S167" s="51"/>
      <c r="T167" s="339"/>
      <c r="U167" s="329"/>
      <c r="V167" s="371"/>
      <c r="W167" s="205"/>
      <c r="X167" s="100"/>
      <c r="Y167" s="175"/>
      <c r="Z167" s="165"/>
      <c r="AA167" s="172"/>
      <c r="AB167" s="174"/>
      <c r="AC167" s="121"/>
      <c r="AD167" s="163"/>
      <c r="AE167" s="7"/>
      <c r="AF167" s="88"/>
      <c r="AG167" s="34"/>
      <c r="AH167" s="42"/>
      <c r="AI167" s="173"/>
    </row>
    <row r="168" spans="1:40" s="288" customFormat="1">
      <c r="A168" s="150"/>
      <c r="B168" s="84"/>
      <c r="C168" s="84"/>
      <c r="D168" s="84"/>
      <c r="E168" s="84"/>
      <c r="F168" s="7"/>
      <c r="G168" s="42"/>
      <c r="H168" s="9"/>
      <c r="I168" s="163"/>
      <c r="J168" s="371"/>
      <c r="K168" s="371"/>
      <c r="L168" s="371"/>
      <c r="M168" s="365"/>
      <c r="N168" s="365"/>
      <c r="O168" s="343"/>
      <c r="P168" s="229"/>
      <c r="Q168" s="326"/>
      <c r="R168" s="111"/>
      <c r="S168" s="51"/>
      <c r="T168" s="339"/>
      <c r="U168" s="329"/>
      <c r="V168" s="371"/>
      <c r="W168" s="205"/>
      <c r="X168" s="100"/>
      <c r="Y168" s="175"/>
      <c r="Z168" s="165"/>
      <c r="AA168" s="172"/>
      <c r="AB168" s="174"/>
      <c r="AC168" s="121"/>
      <c r="AD168" s="163"/>
      <c r="AE168" s="7"/>
      <c r="AF168" s="88"/>
      <c r="AG168" s="34"/>
      <c r="AH168" s="42"/>
      <c r="AI168" s="173"/>
    </row>
    <row r="169" spans="1:40" s="288" customFormat="1">
      <c r="A169" s="150"/>
      <c r="B169" s="84"/>
      <c r="C169" s="84"/>
      <c r="D169" s="84"/>
      <c r="E169" s="84"/>
      <c r="F169" s="7"/>
      <c r="G169" s="42"/>
      <c r="H169" s="9"/>
      <c r="I169" s="163"/>
      <c r="J169" s="371"/>
      <c r="K169" s="371"/>
      <c r="L169" s="371"/>
      <c r="M169" s="365"/>
      <c r="N169" s="365"/>
      <c r="O169" s="343"/>
      <c r="P169" s="229"/>
      <c r="Q169" s="326"/>
      <c r="R169" s="111"/>
      <c r="S169" s="51"/>
      <c r="T169" s="339"/>
      <c r="U169" s="329"/>
      <c r="V169" s="371"/>
      <c r="W169" s="205"/>
      <c r="X169" s="100"/>
      <c r="Y169" s="175"/>
      <c r="Z169" s="165"/>
      <c r="AA169" s="172"/>
      <c r="AB169" s="174"/>
      <c r="AC169" s="121"/>
      <c r="AD169" s="163"/>
      <c r="AE169" s="7"/>
      <c r="AF169" s="88"/>
      <c r="AG169" s="34"/>
      <c r="AH169" s="42"/>
      <c r="AI169" s="173"/>
    </row>
    <row r="170" spans="1:40" s="288" customFormat="1">
      <c r="A170" s="150"/>
      <c r="B170" s="84"/>
      <c r="C170" s="84"/>
      <c r="D170" s="84"/>
      <c r="E170" s="84"/>
      <c r="F170" s="7"/>
      <c r="G170" s="42"/>
      <c r="H170" s="9"/>
      <c r="I170" s="163"/>
      <c r="J170" s="371"/>
      <c r="K170" s="371"/>
      <c r="L170" s="371"/>
      <c r="M170" s="365"/>
      <c r="N170" s="365"/>
      <c r="O170" s="343"/>
      <c r="P170" s="229"/>
      <c r="Q170" s="326"/>
      <c r="R170" s="111"/>
      <c r="S170" s="51"/>
      <c r="T170" s="339"/>
      <c r="U170" s="329"/>
      <c r="V170" s="371"/>
      <c r="W170" s="205"/>
      <c r="X170" s="100"/>
      <c r="Y170" s="175"/>
      <c r="Z170" s="165"/>
      <c r="AA170" s="172"/>
      <c r="AB170" s="174"/>
      <c r="AC170" s="121"/>
      <c r="AD170" s="163"/>
      <c r="AE170" s="7"/>
      <c r="AF170" s="88"/>
      <c r="AG170" s="34"/>
      <c r="AH170" s="42"/>
      <c r="AI170" s="173"/>
    </row>
    <row r="171" spans="1:40" s="288" customFormat="1">
      <c r="A171" s="150"/>
      <c r="B171" s="84"/>
      <c r="C171" s="84"/>
      <c r="D171" s="84"/>
      <c r="E171" s="84"/>
      <c r="F171" s="7"/>
      <c r="G171" s="42"/>
      <c r="H171" s="9"/>
      <c r="I171" s="163"/>
      <c r="J171" s="371"/>
      <c r="K171" s="371"/>
      <c r="L171" s="371"/>
      <c r="M171" s="365"/>
      <c r="N171" s="365"/>
      <c r="O171" s="343"/>
      <c r="P171" s="229"/>
      <c r="Q171" s="326"/>
      <c r="R171" s="111"/>
      <c r="S171" s="51"/>
      <c r="T171" s="339"/>
      <c r="U171" s="329"/>
      <c r="V171" s="371"/>
      <c r="W171" s="205"/>
      <c r="X171" s="100"/>
      <c r="Y171" s="175"/>
      <c r="Z171" s="165"/>
      <c r="AA171" s="172"/>
      <c r="AB171" s="174"/>
      <c r="AC171" s="121"/>
      <c r="AD171" s="163"/>
      <c r="AE171" s="7"/>
      <c r="AF171" s="88"/>
      <c r="AG171" s="34"/>
      <c r="AH171" s="42"/>
      <c r="AI171" s="173"/>
    </row>
    <row r="172" spans="1:40" s="288" customFormat="1">
      <c r="A172" s="150"/>
      <c r="B172" s="84"/>
      <c r="C172" s="84"/>
      <c r="D172" s="84"/>
      <c r="E172" s="84"/>
      <c r="F172" s="7"/>
      <c r="G172" s="42"/>
      <c r="H172" s="9"/>
      <c r="I172" s="163"/>
      <c r="J172" s="371"/>
      <c r="K172" s="371"/>
      <c r="L172" s="371"/>
      <c r="M172" s="365"/>
      <c r="N172" s="365"/>
      <c r="O172" s="343"/>
      <c r="P172" s="229"/>
      <c r="Q172" s="326"/>
      <c r="R172" s="111"/>
      <c r="S172" s="51"/>
      <c r="T172" s="339"/>
      <c r="U172" s="329"/>
      <c r="V172" s="371"/>
      <c r="W172" s="205"/>
      <c r="X172" s="100"/>
      <c r="Y172" s="175"/>
      <c r="Z172" s="165"/>
      <c r="AA172" s="172"/>
      <c r="AB172" s="174"/>
      <c r="AC172" s="121"/>
      <c r="AD172" s="163"/>
      <c r="AE172" s="7"/>
      <c r="AF172" s="88"/>
      <c r="AG172" s="34"/>
      <c r="AH172" s="42"/>
      <c r="AI172" s="173"/>
    </row>
    <row r="173" spans="1:40" s="288" customFormat="1">
      <c r="A173" s="150"/>
      <c r="B173" s="84"/>
      <c r="C173" s="84"/>
      <c r="D173" s="84"/>
      <c r="E173" s="84"/>
      <c r="F173" s="7"/>
      <c r="G173" s="42"/>
      <c r="H173" s="9"/>
      <c r="I173" s="163"/>
      <c r="J173" s="371"/>
      <c r="K173" s="371"/>
      <c r="L173" s="371"/>
      <c r="M173" s="365"/>
      <c r="N173" s="365"/>
      <c r="O173" s="343"/>
      <c r="P173" s="229"/>
      <c r="Q173" s="326"/>
      <c r="R173" s="111"/>
      <c r="S173" s="51"/>
      <c r="T173" s="339"/>
      <c r="U173" s="329"/>
      <c r="V173" s="371"/>
      <c r="W173" s="205"/>
      <c r="X173" s="100"/>
      <c r="Y173" s="175"/>
      <c r="Z173" s="165"/>
      <c r="AA173" s="172"/>
      <c r="AB173" s="174"/>
      <c r="AC173" s="121"/>
      <c r="AD173" s="163"/>
      <c r="AE173" s="7"/>
      <c r="AF173" s="88"/>
      <c r="AG173" s="34"/>
      <c r="AH173" s="42"/>
      <c r="AI173" s="173"/>
    </row>
    <row r="174" spans="1:40">
      <c r="A174" s="151"/>
      <c r="B174" s="84"/>
      <c r="C174" s="85"/>
      <c r="D174" s="84"/>
      <c r="E174" s="85"/>
      <c r="F174" s="7"/>
      <c r="G174" s="58"/>
      <c r="H174" s="5"/>
      <c r="I174" s="17"/>
      <c r="J174" s="77"/>
      <c r="K174" s="77"/>
      <c r="N174" s="365"/>
      <c r="P174" s="195"/>
      <c r="W174" s="35"/>
      <c r="X174" s="100"/>
      <c r="Y174" s="37"/>
      <c r="Z174" s="69"/>
      <c r="AA174" s="16"/>
      <c r="AB174" s="3"/>
      <c r="AC174" s="107"/>
      <c r="AD174" s="17"/>
      <c r="AG174" s="34"/>
      <c r="AH174" s="25"/>
      <c r="AI174" s="284"/>
      <c r="AJ174" s="9"/>
    </row>
    <row r="175" spans="1:40" s="288" customFormat="1">
      <c r="A175" s="135" t="s">
        <v>2552</v>
      </c>
      <c r="B175" s="96" t="s">
        <v>2331</v>
      </c>
      <c r="C175" s="96" t="s">
        <v>2332</v>
      </c>
      <c r="D175" s="96" t="s">
        <v>2333</v>
      </c>
      <c r="E175" s="96" t="s">
        <v>2334</v>
      </c>
      <c r="F175" s="9" t="s">
        <v>1709</v>
      </c>
      <c r="G175" s="27" t="s">
        <v>5626</v>
      </c>
      <c r="H175" s="56" t="s">
        <v>578</v>
      </c>
      <c r="I175" s="1" t="s">
        <v>131</v>
      </c>
      <c r="J175" s="364" t="s">
        <v>2189</v>
      </c>
      <c r="K175" s="364" t="s">
        <v>1820</v>
      </c>
      <c r="L175" s="364" t="s">
        <v>515</v>
      </c>
      <c r="M175" s="364" t="s">
        <v>1699</v>
      </c>
      <c r="N175" s="364" t="s">
        <v>6633</v>
      </c>
      <c r="O175" s="343" t="s">
        <v>6634</v>
      </c>
      <c r="P175" s="83" t="s">
        <v>5279</v>
      </c>
      <c r="Q175" s="326" t="s">
        <v>5514</v>
      </c>
      <c r="R175" s="31" t="s">
        <v>6596</v>
      </c>
      <c r="S175" s="51" t="s">
        <v>6597</v>
      </c>
      <c r="T175" s="338" t="s">
        <v>5627</v>
      </c>
      <c r="U175" s="330" t="s">
        <v>6537</v>
      </c>
      <c r="V175" s="377" t="s">
        <v>6616</v>
      </c>
      <c r="W175" s="15" t="s">
        <v>127</v>
      </c>
      <c r="X175" s="71" t="s">
        <v>6626</v>
      </c>
      <c r="Y175" s="29" t="s">
        <v>6688</v>
      </c>
      <c r="Z175" s="18" t="s">
        <v>2113</v>
      </c>
      <c r="AA175" s="15" t="s">
        <v>3598</v>
      </c>
      <c r="AB175" s="22" t="s">
        <v>2199</v>
      </c>
      <c r="AC175" s="26" t="s">
        <v>211</v>
      </c>
      <c r="AD175" s="1" t="s">
        <v>131</v>
      </c>
      <c r="AE175" s="75" t="s">
        <v>2114</v>
      </c>
      <c r="AF175" s="76" t="s">
        <v>1826</v>
      </c>
      <c r="AG175" s="33" t="s">
        <v>1827</v>
      </c>
      <c r="AH175" s="47" t="s">
        <v>6342</v>
      </c>
      <c r="AI175" s="173"/>
    </row>
    <row r="176" spans="1:40">
      <c r="A176" s="151" t="s">
        <v>4648</v>
      </c>
      <c r="B176" s="84">
        <v>294</v>
      </c>
      <c r="C176" s="84">
        <v>351</v>
      </c>
      <c r="D176" s="84">
        <v>57</v>
      </c>
      <c r="E176" s="84">
        <v>91</v>
      </c>
      <c r="F176" s="7">
        <v>7.57</v>
      </c>
      <c r="G176" s="85">
        <v>3162</v>
      </c>
      <c r="H176" s="31" t="s">
        <v>2191</v>
      </c>
      <c r="I176" s="17" t="s">
        <v>1012</v>
      </c>
      <c r="J176" s="371">
        <v>57.54</v>
      </c>
      <c r="K176" s="77">
        <v>59.11</v>
      </c>
      <c r="L176" s="371"/>
      <c r="N176" s="77">
        <f t="shared" ref="N176" si="88">K176+J176+L176</f>
        <v>116.65</v>
      </c>
      <c r="P176" s="195">
        <v>1</v>
      </c>
      <c r="Q176" s="326" t="str">
        <f>IFERROR(VLOOKUP($G176,主力整理!$A$2:$G$2301,6,0),"0")</f>
        <v>0</v>
      </c>
      <c r="R176" s="111">
        <v>7</v>
      </c>
      <c r="S176" s="51">
        <v>0</v>
      </c>
      <c r="T176" s="339">
        <f>SUM(R176:S176)</f>
        <v>7</v>
      </c>
      <c r="W176" s="35">
        <v>0</v>
      </c>
      <c r="X176" s="59">
        <v>7.0000000000000007E-2</v>
      </c>
      <c r="Y176" s="14">
        <v>49.3</v>
      </c>
      <c r="Z176" s="69">
        <v>40</v>
      </c>
      <c r="AA176" s="16">
        <f t="shared" ref="AA176" si="89">Y176-Z176</f>
        <v>9.2999999999999972</v>
      </c>
      <c r="AB176" s="66">
        <f t="shared" ref="AB176" si="90">AA176/Z176</f>
        <v>0.23249999999999993</v>
      </c>
      <c r="AC176" s="107" t="s">
        <v>6279</v>
      </c>
      <c r="AD176" s="17" t="s">
        <v>1012</v>
      </c>
      <c r="AE176" s="89">
        <v>44470</v>
      </c>
      <c r="AF176" s="88">
        <v>44477</v>
      </c>
      <c r="AG176" s="34">
        <f t="shared" ref="AG176" si="91">AF176-AE176</f>
        <v>7</v>
      </c>
      <c r="AH176" s="42" t="s">
        <v>1790</v>
      </c>
      <c r="AI176" s="249"/>
      <c r="AJ176" s="17"/>
      <c r="AK176" s="228"/>
      <c r="AL176" s="272"/>
      <c r="AM176" s="290"/>
      <c r="AN176" s="292"/>
    </row>
    <row r="177" spans="1:36" s="288" customFormat="1">
      <c r="A177" s="150"/>
      <c r="B177" s="84"/>
      <c r="C177" s="84"/>
      <c r="D177" s="84"/>
      <c r="E177" s="84"/>
      <c r="F177" s="7"/>
      <c r="G177" s="42"/>
      <c r="H177" s="9"/>
      <c r="I177" s="163"/>
      <c r="J177" s="371"/>
      <c r="K177" s="371"/>
      <c r="L177" s="371"/>
      <c r="M177" s="365"/>
      <c r="N177" s="365"/>
      <c r="O177" s="343"/>
      <c r="P177" s="229"/>
      <c r="Q177" s="326"/>
      <c r="R177" s="111"/>
      <c r="S177" s="51"/>
      <c r="T177" s="339"/>
      <c r="U177" s="329"/>
      <c r="V177" s="371"/>
      <c r="W177" s="205"/>
      <c r="X177" s="100"/>
      <c r="Y177" s="175">
        <f>SUM(Y176)</f>
        <v>49.3</v>
      </c>
      <c r="Z177" s="165">
        <f>SUM(Z176)</f>
        <v>40</v>
      </c>
      <c r="AA177" s="172">
        <f>Y177-Z177</f>
        <v>9.2999999999999972</v>
      </c>
      <c r="AB177" s="168">
        <f>AA177/Z177</f>
        <v>0.23249999999999993</v>
      </c>
      <c r="AC177" s="121"/>
      <c r="AD177" s="163">
        <f>Y177*(0.001425*0.5)+Y177*0.003+Z177*(0.001425*0.5)</f>
        <v>0.21152625</v>
      </c>
      <c r="AE177" s="7">
        <f>AA177-AD177</f>
        <v>9.0884737499999968</v>
      </c>
      <c r="AF177" s="88"/>
      <c r="AG177" s="34"/>
      <c r="AH177" s="42"/>
      <c r="AI177" s="173"/>
    </row>
    <row r="178" spans="1:36" s="288" customFormat="1">
      <c r="A178" s="150"/>
      <c r="B178" s="84"/>
      <c r="C178" s="84"/>
      <c r="D178" s="84"/>
      <c r="E178" s="84"/>
      <c r="F178" s="7"/>
      <c r="G178" s="42"/>
      <c r="H178" s="9"/>
      <c r="I178" s="163"/>
      <c r="J178" s="371"/>
      <c r="K178" s="371"/>
      <c r="L178" s="371"/>
      <c r="M178" s="365"/>
      <c r="N178" s="365"/>
      <c r="O178" s="343"/>
      <c r="P178" s="229"/>
      <c r="Q178" s="326"/>
      <c r="R178" s="111"/>
      <c r="S178" s="51"/>
      <c r="T178" s="339"/>
      <c r="U178" s="329"/>
      <c r="V178" s="371"/>
      <c r="W178" s="205"/>
      <c r="X178" s="100"/>
      <c r="Y178" s="175"/>
      <c r="Z178" s="165"/>
      <c r="AA178" s="172"/>
      <c r="AB178" s="174"/>
      <c r="AC178" s="121"/>
      <c r="AD178" s="163"/>
      <c r="AE178" s="7"/>
      <c r="AF178" s="88"/>
      <c r="AG178" s="34"/>
      <c r="AH178" s="42"/>
      <c r="AI178" s="173"/>
    </row>
    <row r="179" spans="1:36" s="297" customFormat="1">
      <c r="A179" s="135" t="s">
        <v>2552</v>
      </c>
      <c r="B179" s="96" t="s">
        <v>2331</v>
      </c>
      <c r="C179" s="96" t="s">
        <v>2332</v>
      </c>
      <c r="D179" s="96" t="s">
        <v>2333</v>
      </c>
      <c r="E179" s="96" t="s">
        <v>2334</v>
      </c>
      <c r="F179" s="9" t="s">
        <v>1709</v>
      </c>
      <c r="G179" s="27" t="s">
        <v>5626</v>
      </c>
      <c r="H179" s="56" t="s">
        <v>578</v>
      </c>
      <c r="I179" s="1" t="s">
        <v>3593</v>
      </c>
      <c r="J179" s="364" t="s">
        <v>2189</v>
      </c>
      <c r="K179" s="364" t="s">
        <v>1820</v>
      </c>
      <c r="L179" s="364" t="s">
        <v>515</v>
      </c>
      <c r="M179" s="364" t="s">
        <v>1699</v>
      </c>
      <c r="N179" s="364" t="s">
        <v>6604</v>
      </c>
      <c r="O179" s="343" t="s">
        <v>6634</v>
      </c>
      <c r="P179" s="83" t="s">
        <v>5279</v>
      </c>
      <c r="Q179" s="326" t="s">
        <v>5514</v>
      </c>
      <c r="R179" s="31" t="s">
        <v>6596</v>
      </c>
      <c r="S179" s="51" t="s">
        <v>6597</v>
      </c>
      <c r="T179" s="338" t="s">
        <v>5627</v>
      </c>
      <c r="U179" s="330" t="s">
        <v>6537</v>
      </c>
      <c r="V179" s="377" t="s">
        <v>6616</v>
      </c>
      <c r="W179" s="15" t="s">
        <v>127</v>
      </c>
      <c r="X179" s="71" t="s">
        <v>6626</v>
      </c>
      <c r="Y179" s="29" t="s">
        <v>6688</v>
      </c>
      <c r="Z179" s="18" t="s">
        <v>2113</v>
      </c>
      <c r="AA179" s="15" t="s">
        <v>3598</v>
      </c>
      <c r="AB179" s="22" t="s">
        <v>2199</v>
      </c>
      <c r="AC179" s="26" t="s">
        <v>211</v>
      </c>
      <c r="AD179" s="1" t="s">
        <v>3593</v>
      </c>
      <c r="AE179" s="75" t="s">
        <v>2114</v>
      </c>
      <c r="AF179" s="76" t="s">
        <v>1826</v>
      </c>
      <c r="AG179" s="33" t="s">
        <v>1827</v>
      </c>
      <c r="AH179" s="47" t="s">
        <v>5561</v>
      </c>
      <c r="AI179" s="173"/>
    </row>
    <row r="180" spans="1:36" s="288" customFormat="1">
      <c r="A180" s="135" t="s">
        <v>2513</v>
      </c>
      <c r="B180" s="84">
        <v>6</v>
      </c>
      <c r="C180" s="84">
        <v>3</v>
      </c>
      <c r="D180" s="84">
        <v>2</v>
      </c>
      <c r="E180" s="84">
        <v>15</v>
      </c>
      <c r="F180" s="59">
        <v>10.6</v>
      </c>
      <c r="G180" s="58" t="s">
        <v>5023</v>
      </c>
      <c r="H180" s="31" t="s">
        <v>2191</v>
      </c>
      <c r="I180" s="176" t="s">
        <v>342</v>
      </c>
      <c r="J180" s="77">
        <v>60.36</v>
      </c>
      <c r="K180" s="371">
        <v>41.93</v>
      </c>
      <c r="L180" s="77">
        <v>18.29</v>
      </c>
      <c r="M180" s="365"/>
      <c r="N180" s="77">
        <f>K180+J180+L180</f>
        <v>120.57999999999998</v>
      </c>
      <c r="O180" s="343"/>
      <c r="P180" s="166"/>
      <c r="Q180" s="326"/>
      <c r="R180" s="111">
        <v>8</v>
      </c>
      <c r="S180" s="51"/>
      <c r="T180" s="339"/>
      <c r="U180" s="329"/>
      <c r="V180" s="371">
        <v>2.96</v>
      </c>
      <c r="W180" s="205">
        <v>2.1</v>
      </c>
      <c r="X180" s="59">
        <v>4.29</v>
      </c>
      <c r="Y180" s="175">
        <v>87.5</v>
      </c>
      <c r="Z180" s="68">
        <f>81-2.1</f>
        <v>78.900000000000006</v>
      </c>
      <c r="AA180" s="112">
        <f t="shared" ref="AA180:AA187" si="92">Y180-Z180</f>
        <v>8.5999999999999943</v>
      </c>
      <c r="AB180" s="168">
        <f t="shared" ref="AB180:AB187" si="93">AA180/Z180</f>
        <v>0.10899873257287698</v>
      </c>
      <c r="AC180" s="177" t="s">
        <v>4648</v>
      </c>
      <c r="AD180" s="176" t="s">
        <v>342</v>
      </c>
      <c r="AE180" s="89">
        <v>44399</v>
      </c>
      <c r="AF180" s="88"/>
      <c r="AG180" s="34">
        <f t="shared" ref="AG180:AG186" si="94">AF180-AE180</f>
        <v>-44399</v>
      </c>
      <c r="AH180" s="42" t="s">
        <v>1790</v>
      </c>
      <c r="AI180" s="237"/>
      <c r="AJ180" s="25"/>
    </row>
    <row r="181" spans="1:36" s="288" customFormat="1">
      <c r="A181" s="135" t="s">
        <v>2513</v>
      </c>
      <c r="B181" s="84">
        <v>6</v>
      </c>
      <c r="C181" s="84">
        <v>3</v>
      </c>
      <c r="D181" s="84">
        <v>2</v>
      </c>
      <c r="E181" s="84">
        <v>15</v>
      </c>
      <c r="F181" s="59">
        <v>10.6</v>
      </c>
      <c r="G181" s="58" t="s">
        <v>5023</v>
      </c>
      <c r="H181" s="31" t="s">
        <v>2191</v>
      </c>
      <c r="I181" s="176" t="s">
        <v>342</v>
      </c>
      <c r="J181" s="77">
        <v>60.36</v>
      </c>
      <c r="K181" s="371">
        <v>41.93</v>
      </c>
      <c r="L181" s="77">
        <v>18.29</v>
      </c>
      <c r="M181" s="365"/>
      <c r="N181" s="77">
        <f>K181+J181+L181</f>
        <v>120.57999999999998</v>
      </c>
      <c r="O181" s="343"/>
      <c r="P181" s="166"/>
      <c r="Q181" s="326"/>
      <c r="R181" s="111">
        <v>8</v>
      </c>
      <c r="S181" s="51"/>
      <c r="T181" s="339"/>
      <c r="U181" s="329"/>
      <c r="V181" s="371">
        <v>2.96</v>
      </c>
      <c r="W181" s="205">
        <v>2.1</v>
      </c>
      <c r="X181" s="59">
        <v>4.29</v>
      </c>
      <c r="Y181" s="175">
        <v>87.5</v>
      </c>
      <c r="Z181" s="68">
        <f>69.6-2.1</f>
        <v>67.5</v>
      </c>
      <c r="AA181" s="112">
        <f t="shared" si="92"/>
        <v>20</v>
      </c>
      <c r="AB181" s="168">
        <f t="shared" si="93"/>
        <v>0.29629629629629628</v>
      </c>
      <c r="AC181" s="177" t="s">
        <v>5597</v>
      </c>
      <c r="AD181" s="176" t="s">
        <v>342</v>
      </c>
      <c r="AE181" s="89">
        <v>44364</v>
      </c>
      <c r="AF181" s="88"/>
      <c r="AG181" s="34">
        <f t="shared" si="94"/>
        <v>-44364</v>
      </c>
      <c r="AH181" s="42" t="s">
        <v>1790</v>
      </c>
      <c r="AI181" s="237"/>
      <c r="AJ181" s="25"/>
    </row>
    <row r="182" spans="1:36" s="288" customFormat="1">
      <c r="A182" s="135" t="s">
        <v>2513</v>
      </c>
      <c r="B182" s="84">
        <v>6</v>
      </c>
      <c r="C182" s="84">
        <v>3</v>
      </c>
      <c r="D182" s="84">
        <v>2</v>
      </c>
      <c r="E182" s="84">
        <v>15</v>
      </c>
      <c r="F182" s="59">
        <v>10.6</v>
      </c>
      <c r="G182" s="58" t="s">
        <v>5023</v>
      </c>
      <c r="H182" s="31" t="s">
        <v>2191</v>
      </c>
      <c r="I182" s="176" t="s">
        <v>342</v>
      </c>
      <c r="J182" s="77">
        <v>60.36</v>
      </c>
      <c r="K182" s="371">
        <v>41.93</v>
      </c>
      <c r="L182" s="77">
        <v>18.29</v>
      </c>
      <c r="M182" s="365"/>
      <c r="N182" s="77">
        <f t="shared" ref="N182:N183" si="95">K182+J182+L182</f>
        <v>120.57999999999998</v>
      </c>
      <c r="O182" s="343"/>
      <c r="P182" s="166"/>
      <c r="Q182" s="326"/>
      <c r="R182" s="111">
        <v>8</v>
      </c>
      <c r="S182" s="51"/>
      <c r="T182" s="339"/>
      <c r="U182" s="329"/>
      <c r="V182" s="371">
        <v>2.96</v>
      </c>
      <c r="W182" s="205">
        <v>2.1</v>
      </c>
      <c r="X182" s="59">
        <v>4.29</v>
      </c>
      <c r="Y182" s="175">
        <v>87.5</v>
      </c>
      <c r="Z182" s="68">
        <f>81.9-2.1</f>
        <v>79.800000000000011</v>
      </c>
      <c r="AA182" s="112">
        <f t="shared" si="92"/>
        <v>7.6999999999999886</v>
      </c>
      <c r="AB182" s="168">
        <f t="shared" si="93"/>
        <v>9.6491228070175281E-2</v>
      </c>
      <c r="AC182" s="177" t="s">
        <v>5598</v>
      </c>
      <c r="AD182" s="176" t="s">
        <v>342</v>
      </c>
      <c r="AE182" s="89">
        <v>44309</v>
      </c>
      <c r="AF182" s="88"/>
      <c r="AG182" s="34">
        <f t="shared" si="94"/>
        <v>-44309</v>
      </c>
      <c r="AH182" s="42" t="s">
        <v>1790</v>
      </c>
      <c r="AI182" s="237"/>
      <c r="AJ182" s="25"/>
    </row>
    <row r="183" spans="1:36" s="288" customFormat="1">
      <c r="A183" s="135" t="s">
        <v>2513</v>
      </c>
      <c r="B183" s="84">
        <v>6</v>
      </c>
      <c r="C183" s="84">
        <v>3</v>
      </c>
      <c r="D183" s="84">
        <v>2</v>
      </c>
      <c r="E183" s="84">
        <v>15</v>
      </c>
      <c r="F183" s="59">
        <v>10.6</v>
      </c>
      <c r="G183" s="58" t="s">
        <v>5023</v>
      </c>
      <c r="H183" s="31" t="s">
        <v>2191</v>
      </c>
      <c r="I183" s="176" t="s">
        <v>342</v>
      </c>
      <c r="J183" s="77">
        <v>60.36</v>
      </c>
      <c r="K183" s="371">
        <v>41.93</v>
      </c>
      <c r="L183" s="77">
        <v>18.29</v>
      </c>
      <c r="M183" s="365"/>
      <c r="N183" s="77">
        <f t="shared" si="95"/>
        <v>120.57999999999998</v>
      </c>
      <c r="O183" s="343"/>
      <c r="P183" s="166"/>
      <c r="Q183" s="326"/>
      <c r="R183" s="111">
        <v>8</v>
      </c>
      <c r="S183" s="51"/>
      <c r="T183" s="339"/>
      <c r="U183" s="329"/>
      <c r="V183" s="371">
        <v>2.96</v>
      </c>
      <c r="W183" s="205">
        <v>2.1</v>
      </c>
      <c r="X183" s="59">
        <v>4.29</v>
      </c>
      <c r="Y183" s="175">
        <v>87.5</v>
      </c>
      <c r="Z183" s="68">
        <f>85.9-2.1</f>
        <v>83.800000000000011</v>
      </c>
      <c r="AA183" s="112">
        <f t="shared" si="92"/>
        <v>3.6999999999999886</v>
      </c>
      <c r="AB183" s="168">
        <f t="shared" si="93"/>
        <v>4.4152744630071454E-2</v>
      </c>
      <c r="AC183" s="177" t="s">
        <v>2977</v>
      </c>
      <c r="AD183" s="176" t="s">
        <v>342</v>
      </c>
      <c r="AE183" s="89">
        <v>44302</v>
      </c>
      <c r="AF183" s="88"/>
      <c r="AG183" s="34">
        <f t="shared" si="94"/>
        <v>-44302</v>
      </c>
      <c r="AH183" s="42" t="s">
        <v>1790</v>
      </c>
      <c r="AI183" s="237"/>
      <c r="AJ183" s="25"/>
    </row>
    <row r="184" spans="1:36" s="288" customFormat="1">
      <c r="A184" s="135" t="s">
        <v>3586</v>
      </c>
      <c r="B184" s="84">
        <v>30</v>
      </c>
      <c r="C184" s="84">
        <v>29</v>
      </c>
      <c r="D184" s="84">
        <v>3</v>
      </c>
      <c r="E184" s="84">
        <v>45</v>
      </c>
      <c r="F184" s="59">
        <v>22.5</v>
      </c>
      <c r="G184" s="42" t="s">
        <v>1712</v>
      </c>
      <c r="H184" s="31" t="s">
        <v>2191</v>
      </c>
      <c r="I184" s="176" t="s">
        <v>76</v>
      </c>
      <c r="J184" s="371">
        <v>65.13</v>
      </c>
      <c r="K184" s="77">
        <v>48.45</v>
      </c>
      <c r="L184" s="77">
        <v>5.16</v>
      </c>
      <c r="M184" s="365"/>
      <c r="N184" s="77">
        <f t="shared" ref="N184:N186" si="96">K184+J184+L184</f>
        <v>118.74</v>
      </c>
      <c r="O184" s="343"/>
      <c r="P184" s="166"/>
      <c r="Q184" s="326"/>
      <c r="R184" s="111">
        <v>4</v>
      </c>
      <c r="S184" s="51"/>
      <c r="T184" s="339"/>
      <c r="U184" s="329"/>
      <c r="V184" s="371">
        <v>1.1100000000000001</v>
      </c>
      <c r="W184" s="68">
        <v>3.8</v>
      </c>
      <c r="X184" s="59">
        <v>6.01</v>
      </c>
      <c r="Y184" s="175">
        <v>85.5</v>
      </c>
      <c r="Z184" s="279">
        <f>75.7-3.8</f>
        <v>71.900000000000006</v>
      </c>
      <c r="AA184" s="112">
        <f t="shared" si="92"/>
        <v>13.599999999999994</v>
      </c>
      <c r="AB184" s="168">
        <f t="shared" si="93"/>
        <v>0.18915159944367166</v>
      </c>
      <c r="AC184" s="177" t="s">
        <v>5599</v>
      </c>
      <c r="AD184" s="176" t="s">
        <v>76</v>
      </c>
      <c r="AE184" s="89">
        <v>44309</v>
      </c>
      <c r="AF184" s="88"/>
      <c r="AG184" s="34">
        <f t="shared" si="94"/>
        <v>-44309</v>
      </c>
      <c r="AH184" s="42" t="s">
        <v>1790</v>
      </c>
      <c r="AI184" s="200"/>
      <c r="AJ184" s="199"/>
    </row>
    <row r="185" spans="1:36" s="288" customFormat="1">
      <c r="A185" s="135" t="s">
        <v>3586</v>
      </c>
      <c r="B185" s="84">
        <v>30</v>
      </c>
      <c r="C185" s="84">
        <v>29</v>
      </c>
      <c r="D185" s="84">
        <v>3</v>
      </c>
      <c r="E185" s="84">
        <v>45</v>
      </c>
      <c r="F185" s="59">
        <v>22.5</v>
      </c>
      <c r="G185" s="42" t="s">
        <v>1712</v>
      </c>
      <c r="H185" s="31" t="s">
        <v>2191</v>
      </c>
      <c r="I185" s="176" t="s">
        <v>76</v>
      </c>
      <c r="J185" s="371">
        <v>65.13</v>
      </c>
      <c r="K185" s="77">
        <v>48.45</v>
      </c>
      <c r="L185" s="77">
        <v>5.16</v>
      </c>
      <c r="M185" s="365"/>
      <c r="N185" s="77">
        <f t="shared" si="96"/>
        <v>118.74</v>
      </c>
      <c r="O185" s="343"/>
      <c r="P185" s="166"/>
      <c r="Q185" s="326"/>
      <c r="R185" s="111">
        <v>4</v>
      </c>
      <c r="S185" s="51"/>
      <c r="T185" s="339"/>
      <c r="U185" s="329"/>
      <c r="V185" s="371">
        <v>1.1100000000000001</v>
      </c>
      <c r="W185" s="68">
        <v>3.8</v>
      </c>
      <c r="X185" s="59">
        <v>6.01</v>
      </c>
      <c r="Y185" s="175">
        <v>85.5</v>
      </c>
      <c r="Z185" s="279">
        <f>75.3-3.8</f>
        <v>71.5</v>
      </c>
      <c r="AA185" s="112">
        <f t="shared" si="92"/>
        <v>14</v>
      </c>
      <c r="AB185" s="168">
        <f t="shared" si="93"/>
        <v>0.19580419580419581</v>
      </c>
      <c r="AC185" s="177" t="s">
        <v>5600</v>
      </c>
      <c r="AD185" s="176" t="s">
        <v>76</v>
      </c>
      <c r="AE185" s="89">
        <v>44299</v>
      </c>
      <c r="AF185" s="88"/>
      <c r="AG185" s="34">
        <f t="shared" si="94"/>
        <v>-44299</v>
      </c>
      <c r="AH185" s="42" t="s">
        <v>1790</v>
      </c>
      <c r="AI185" s="200"/>
      <c r="AJ185" s="199"/>
    </row>
    <row r="186" spans="1:36" s="288" customFormat="1">
      <c r="A186" s="135" t="s">
        <v>3586</v>
      </c>
      <c r="B186" s="84">
        <v>30</v>
      </c>
      <c r="C186" s="84">
        <v>29</v>
      </c>
      <c r="D186" s="84">
        <v>3</v>
      </c>
      <c r="E186" s="84">
        <v>45</v>
      </c>
      <c r="F186" s="59">
        <v>22.5</v>
      </c>
      <c r="G186" s="42" t="s">
        <v>1712</v>
      </c>
      <c r="H186" s="31" t="s">
        <v>2191</v>
      </c>
      <c r="I186" s="176" t="s">
        <v>76</v>
      </c>
      <c r="J186" s="371">
        <v>65.13</v>
      </c>
      <c r="K186" s="77">
        <v>48.45</v>
      </c>
      <c r="L186" s="77">
        <v>5.16</v>
      </c>
      <c r="M186" s="365"/>
      <c r="N186" s="77">
        <f t="shared" si="96"/>
        <v>118.74</v>
      </c>
      <c r="O186" s="343"/>
      <c r="P186" s="166"/>
      <c r="Q186" s="326"/>
      <c r="R186" s="111">
        <v>4</v>
      </c>
      <c r="S186" s="51"/>
      <c r="T186" s="339"/>
      <c r="U186" s="329"/>
      <c r="V186" s="371">
        <v>1.1100000000000001</v>
      </c>
      <c r="W186" s="68">
        <v>3.8</v>
      </c>
      <c r="X186" s="59">
        <v>6.01</v>
      </c>
      <c r="Y186" s="175">
        <v>85.5</v>
      </c>
      <c r="Z186" s="279">
        <f>78-3.8</f>
        <v>74.2</v>
      </c>
      <c r="AA186" s="112">
        <f t="shared" si="92"/>
        <v>11.299999999999997</v>
      </c>
      <c r="AB186" s="168">
        <f t="shared" si="93"/>
        <v>0.15229110512129376</v>
      </c>
      <c r="AC186" s="177" t="s">
        <v>5601</v>
      </c>
      <c r="AD186" s="176" t="s">
        <v>76</v>
      </c>
      <c r="AE186" s="89">
        <v>44294</v>
      </c>
      <c r="AF186" s="88"/>
      <c r="AG186" s="34">
        <f t="shared" si="94"/>
        <v>-44294</v>
      </c>
      <c r="AH186" s="42" t="s">
        <v>1790</v>
      </c>
      <c r="AI186" s="200"/>
      <c r="AJ186" s="199"/>
    </row>
    <row r="187" spans="1:36" s="288" customFormat="1">
      <c r="A187" s="150"/>
      <c r="B187" s="84"/>
      <c r="C187" s="84"/>
      <c r="D187" s="84"/>
      <c r="E187" s="84"/>
      <c r="F187" s="7"/>
      <c r="G187" s="42"/>
      <c r="H187" s="9"/>
      <c r="I187" s="163"/>
      <c r="J187" s="371"/>
      <c r="K187" s="371"/>
      <c r="L187" s="371"/>
      <c r="M187" s="365"/>
      <c r="N187" s="365"/>
      <c r="O187" s="343"/>
      <c r="P187" s="229"/>
      <c r="Q187" s="326"/>
      <c r="R187" s="111"/>
      <c r="S187" s="51"/>
      <c r="T187" s="339"/>
      <c r="U187" s="329"/>
      <c r="V187" s="371"/>
      <c r="W187" s="205"/>
      <c r="X187" s="100"/>
      <c r="Y187" s="175">
        <f>SUM(Y180:Y186)</f>
        <v>606.5</v>
      </c>
      <c r="Z187" s="165">
        <f>SUM(Z180:Z186)</f>
        <v>527.6</v>
      </c>
      <c r="AA187" s="172">
        <f t="shared" si="92"/>
        <v>78.899999999999977</v>
      </c>
      <c r="AB187" s="168">
        <f t="shared" si="93"/>
        <v>0.14954510993176645</v>
      </c>
      <c r="AC187" s="121"/>
      <c r="AD187" s="163">
        <f>Y187*(0.001425*0.5)+Y187*0.003+Z187*(0.001425*0.5)</f>
        <v>2.62754625</v>
      </c>
      <c r="AE187" s="7">
        <f>AA187-AD187</f>
        <v>76.272453749999983</v>
      </c>
      <c r="AF187" s="88"/>
      <c r="AG187" s="34"/>
      <c r="AH187" s="42"/>
      <c r="AI187" s="173"/>
      <c r="AJ187" s="280"/>
    </row>
    <row r="188" spans="1:36" s="288" customFormat="1">
      <c r="A188" s="150"/>
      <c r="B188" s="84"/>
      <c r="C188" s="85"/>
      <c r="D188" s="84"/>
      <c r="E188" s="85"/>
      <c r="F188" s="7"/>
      <c r="G188" s="42"/>
      <c r="H188" s="51"/>
      <c r="I188" s="176"/>
      <c r="J188" s="371"/>
      <c r="K188" s="371"/>
      <c r="L188" s="77"/>
      <c r="M188" s="365"/>
      <c r="N188" s="365"/>
      <c r="O188" s="343"/>
      <c r="P188" s="233"/>
      <c r="Q188" s="326"/>
      <c r="R188" s="111"/>
      <c r="S188" s="51"/>
      <c r="T188" s="339"/>
      <c r="U188" s="329"/>
      <c r="V188" s="371"/>
      <c r="W188" s="205"/>
      <c r="X188" s="100"/>
      <c r="Y188" s="175"/>
      <c r="Z188" s="165"/>
      <c r="AA188" s="172"/>
      <c r="AB188" s="174"/>
      <c r="AC188" s="121"/>
      <c r="AD188" s="163"/>
      <c r="AE188" s="7"/>
      <c r="AF188" s="88"/>
      <c r="AG188" s="34"/>
      <c r="AH188" s="135"/>
      <c r="AI188" s="173"/>
    </row>
    <row r="189" spans="1:36" s="297" customFormat="1">
      <c r="A189" s="135" t="s">
        <v>2552</v>
      </c>
      <c r="B189" s="96" t="s">
        <v>2331</v>
      </c>
      <c r="C189" s="96" t="s">
        <v>2332</v>
      </c>
      <c r="D189" s="96" t="s">
        <v>2333</v>
      </c>
      <c r="E189" s="96" t="s">
        <v>2334</v>
      </c>
      <c r="F189" s="9" t="s">
        <v>1709</v>
      </c>
      <c r="G189" s="27" t="s">
        <v>5626</v>
      </c>
      <c r="H189" s="56" t="s">
        <v>578</v>
      </c>
      <c r="I189" s="1" t="s">
        <v>3593</v>
      </c>
      <c r="J189" s="364" t="s">
        <v>2189</v>
      </c>
      <c r="K189" s="364" t="s">
        <v>1820</v>
      </c>
      <c r="L189" s="364" t="s">
        <v>515</v>
      </c>
      <c r="M189" s="364" t="s">
        <v>1699</v>
      </c>
      <c r="N189" s="364" t="s">
        <v>6604</v>
      </c>
      <c r="O189" s="343" t="s">
        <v>6634</v>
      </c>
      <c r="P189" s="83" t="s">
        <v>5279</v>
      </c>
      <c r="Q189" s="326" t="s">
        <v>5514</v>
      </c>
      <c r="R189" s="31" t="s">
        <v>6596</v>
      </c>
      <c r="S189" s="51" t="s">
        <v>6597</v>
      </c>
      <c r="T189" s="338" t="s">
        <v>5627</v>
      </c>
      <c r="U189" s="330" t="s">
        <v>6537</v>
      </c>
      <c r="V189" s="377" t="s">
        <v>6616</v>
      </c>
      <c r="W189" s="15" t="s">
        <v>127</v>
      </c>
      <c r="X189" s="71" t="s">
        <v>6626</v>
      </c>
      <c r="Y189" s="29" t="s">
        <v>4926</v>
      </c>
      <c r="Z189" s="71" t="s">
        <v>2113</v>
      </c>
      <c r="AA189" s="15" t="s">
        <v>3598</v>
      </c>
      <c r="AB189" s="22" t="s">
        <v>2199</v>
      </c>
      <c r="AC189" s="26" t="s">
        <v>211</v>
      </c>
      <c r="AD189" s="1" t="s">
        <v>3593</v>
      </c>
      <c r="AE189" s="75" t="s">
        <v>2114</v>
      </c>
      <c r="AF189" s="76" t="s">
        <v>1826</v>
      </c>
      <c r="AG189" s="33" t="s">
        <v>1827</v>
      </c>
      <c r="AH189" s="47" t="s">
        <v>5345</v>
      </c>
      <c r="AI189" s="173"/>
    </row>
    <row r="190" spans="1:36">
      <c r="A190" s="135" t="s">
        <v>2560</v>
      </c>
      <c r="B190" s="84">
        <v>86</v>
      </c>
      <c r="C190" s="84">
        <v>124</v>
      </c>
      <c r="D190" s="85">
        <v>-5</v>
      </c>
      <c r="E190" s="84">
        <v>7</v>
      </c>
      <c r="F190" s="59">
        <v>25.67</v>
      </c>
      <c r="G190" s="42" t="s">
        <v>636</v>
      </c>
      <c r="H190" s="31" t="s">
        <v>2191</v>
      </c>
      <c r="I190" s="23" t="s">
        <v>637</v>
      </c>
      <c r="J190" s="371">
        <v>27.11</v>
      </c>
      <c r="K190" s="371">
        <v>16.82</v>
      </c>
      <c r="L190" s="77">
        <v>17.420000000000002</v>
      </c>
      <c r="N190" s="365">
        <f t="shared" ref="N190" si="97">K190+J190+L190</f>
        <v>61.35</v>
      </c>
      <c r="R190" s="111">
        <v>12</v>
      </c>
      <c r="V190" s="371">
        <v>0.44</v>
      </c>
      <c r="W190" s="69">
        <v>5.7</v>
      </c>
      <c r="X190" s="100">
        <v>6.85</v>
      </c>
      <c r="Y190" s="37">
        <v>117</v>
      </c>
      <c r="Z190" s="69">
        <v>95.3</v>
      </c>
      <c r="AA190" s="16">
        <f t="shared" ref="AA190" si="98">Y190-Z190</f>
        <v>21.700000000000003</v>
      </c>
      <c r="AB190" s="66">
        <f t="shared" ref="AB190" si="99">AA190/Z190</f>
        <v>0.22770199370409239</v>
      </c>
      <c r="AC190" s="105" t="s">
        <v>5394</v>
      </c>
      <c r="AD190" s="23" t="s">
        <v>637</v>
      </c>
      <c r="AE190" s="89">
        <v>44364</v>
      </c>
      <c r="AF190" s="88">
        <v>44398</v>
      </c>
      <c r="AG190" s="34">
        <f t="shared" ref="AG190:AG195" si="100">AF190-AE190</f>
        <v>34</v>
      </c>
      <c r="AH190" s="42" t="s">
        <v>1790</v>
      </c>
      <c r="AI190" s="249"/>
      <c r="AJ190" s="282"/>
    </row>
    <row r="191" spans="1:36" s="288" customFormat="1" ht="15.75" customHeight="1">
      <c r="A191" s="151" t="s">
        <v>3298</v>
      </c>
      <c r="B191" s="85">
        <v>-19</v>
      </c>
      <c r="C191" s="85">
        <v>-15</v>
      </c>
      <c r="D191" s="84">
        <v>1</v>
      </c>
      <c r="E191" s="84">
        <v>2</v>
      </c>
      <c r="F191" s="7">
        <v>9.98</v>
      </c>
      <c r="G191" s="58" t="s">
        <v>77</v>
      </c>
      <c r="H191" s="31" t="s">
        <v>2191</v>
      </c>
      <c r="I191" s="176" t="s">
        <v>5009</v>
      </c>
      <c r="J191" s="371">
        <v>63.54</v>
      </c>
      <c r="K191" s="77">
        <v>52.55</v>
      </c>
      <c r="L191" s="77">
        <v>5.22</v>
      </c>
      <c r="M191" s="365"/>
      <c r="N191" s="77">
        <f>K191+J191+L191</f>
        <v>121.31</v>
      </c>
      <c r="O191" s="343"/>
      <c r="P191" s="166"/>
      <c r="Q191" s="326"/>
      <c r="R191" s="111">
        <v>2</v>
      </c>
      <c r="S191" s="51"/>
      <c r="T191" s="339"/>
      <c r="U191" s="329"/>
      <c r="V191" s="371">
        <v>0.89</v>
      </c>
      <c r="W191" s="68">
        <v>4.8</v>
      </c>
      <c r="X191" s="59">
        <v>6.36</v>
      </c>
      <c r="Y191" s="175">
        <v>118.5</v>
      </c>
      <c r="Z191" s="68">
        <v>102.5</v>
      </c>
      <c r="AA191" s="172">
        <f t="shared" ref="AA191:AA192" si="101">Y191-Z191</f>
        <v>16</v>
      </c>
      <c r="AB191" s="168">
        <f t="shared" ref="AB191:AB192" si="102">AA191/Z191</f>
        <v>0.15609756097560976</v>
      </c>
      <c r="AC191" s="177" t="s">
        <v>5366</v>
      </c>
      <c r="AD191" s="176" t="s">
        <v>5009</v>
      </c>
      <c r="AE191" s="89">
        <v>44348</v>
      </c>
      <c r="AF191" s="88">
        <v>44386</v>
      </c>
      <c r="AG191" s="34">
        <f t="shared" si="100"/>
        <v>38</v>
      </c>
      <c r="AH191" s="42" t="s">
        <v>1790</v>
      </c>
      <c r="AI191" s="237"/>
      <c r="AJ191" s="238"/>
    </row>
    <row r="192" spans="1:36" s="288" customFormat="1" ht="15.75" customHeight="1">
      <c r="A192" s="151" t="s">
        <v>3298</v>
      </c>
      <c r="B192" s="85">
        <v>-19</v>
      </c>
      <c r="C192" s="85">
        <v>-15</v>
      </c>
      <c r="D192" s="84">
        <v>1</v>
      </c>
      <c r="E192" s="84">
        <v>2</v>
      </c>
      <c r="F192" s="7">
        <v>9.98</v>
      </c>
      <c r="G192" s="58" t="s">
        <v>77</v>
      </c>
      <c r="H192" s="31" t="s">
        <v>2191</v>
      </c>
      <c r="I192" s="176" t="s">
        <v>5009</v>
      </c>
      <c r="J192" s="371">
        <v>63.54</v>
      </c>
      <c r="K192" s="77">
        <v>52.55</v>
      </c>
      <c r="L192" s="77">
        <v>5.22</v>
      </c>
      <c r="M192" s="365"/>
      <c r="N192" s="77">
        <f>K192+J192+L192</f>
        <v>121.31</v>
      </c>
      <c r="O192" s="343"/>
      <c r="P192" s="166"/>
      <c r="Q192" s="326"/>
      <c r="R192" s="111">
        <v>2</v>
      </c>
      <c r="S192" s="51"/>
      <c r="T192" s="339"/>
      <c r="U192" s="329"/>
      <c r="V192" s="371">
        <v>0.89</v>
      </c>
      <c r="W192" s="68">
        <v>4.8</v>
      </c>
      <c r="X192" s="59">
        <v>6.36</v>
      </c>
      <c r="Y192" s="175">
        <v>118.5</v>
      </c>
      <c r="Z192" s="68">
        <v>120.5</v>
      </c>
      <c r="AA192" s="172">
        <f t="shared" si="101"/>
        <v>-2</v>
      </c>
      <c r="AB192" s="174">
        <f t="shared" si="102"/>
        <v>-1.6597510373443983E-2</v>
      </c>
      <c r="AC192" s="178" t="s">
        <v>5273</v>
      </c>
      <c r="AD192" s="176" t="s">
        <v>5009</v>
      </c>
      <c r="AE192" s="89">
        <v>44309</v>
      </c>
      <c r="AF192" s="88">
        <v>44386</v>
      </c>
      <c r="AG192" s="34">
        <f t="shared" si="100"/>
        <v>77</v>
      </c>
      <c r="AH192" s="42" t="s">
        <v>1790</v>
      </c>
      <c r="AI192" s="237"/>
      <c r="AJ192" s="238"/>
    </row>
    <row r="193" spans="1:42">
      <c r="A193" s="151" t="s">
        <v>3085</v>
      </c>
      <c r="B193" s="84">
        <v>171</v>
      </c>
      <c r="C193" s="84">
        <v>391</v>
      </c>
      <c r="D193" s="84">
        <v>0</v>
      </c>
      <c r="E193" s="84">
        <v>41</v>
      </c>
      <c r="F193" s="7">
        <v>9.7100000000000009</v>
      </c>
      <c r="G193" s="42" t="s">
        <v>3609</v>
      </c>
      <c r="H193" s="31" t="s">
        <v>2191</v>
      </c>
      <c r="I193" s="17" t="s">
        <v>532</v>
      </c>
      <c r="J193" s="371">
        <v>49.96</v>
      </c>
      <c r="K193" s="371">
        <v>6.67</v>
      </c>
      <c r="L193" s="371">
        <v>16.91</v>
      </c>
      <c r="N193" s="389">
        <f t="shared" ref="N193" si="103">K193+J193+L193</f>
        <v>73.540000000000006</v>
      </c>
      <c r="R193" s="111">
        <v>8</v>
      </c>
      <c r="V193" s="371">
        <v>1.92</v>
      </c>
      <c r="W193" s="35">
        <v>1</v>
      </c>
      <c r="X193" s="100">
        <v>3.17</v>
      </c>
      <c r="Y193" s="37">
        <v>72</v>
      </c>
      <c r="Z193" s="69">
        <v>61.7</v>
      </c>
      <c r="AA193" s="16">
        <f t="shared" ref="AA193" si="104">Y193-Z193</f>
        <v>10.299999999999997</v>
      </c>
      <c r="AB193" s="66">
        <f t="shared" ref="AB193" si="105">AA193/Z193</f>
        <v>0.16693679092382491</v>
      </c>
      <c r="AC193" s="107" t="s">
        <v>5361</v>
      </c>
      <c r="AD193" s="17" t="s">
        <v>532</v>
      </c>
      <c r="AE193" s="89">
        <v>44357</v>
      </c>
      <c r="AF193" s="88">
        <v>44384</v>
      </c>
      <c r="AG193" s="34">
        <f t="shared" si="100"/>
        <v>27</v>
      </c>
      <c r="AH193" s="42" t="s">
        <v>1790</v>
      </c>
      <c r="AI193" s="249"/>
      <c r="AJ193" s="282"/>
      <c r="AK193" s="42"/>
      <c r="AL193" s="17"/>
      <c r="AM193" s="228"/>
      <c r="AN193" s="272"/>
      <c r="AO193" s="290"/>
      <c r="AP193" s="292"/>
    </row>
    <row r="194" spans="1:42">
      <c r="A194" s="135" t="s">
        <v>3063</v>
      </c>
      <c r="B194" s="84">
        <v>237</v>
      </c>
      <c r="C194" s="84">
        <v>275</v>
      </c>
      <c r="D194" s="85">
        <v>-2</v>
      </c>
      <c r="E194" s="84">
        <v>60</v>
      </c>
      <c r="F194" s="59">
        <v>13</v>
      </c>
      <c r="G194" s="42" t="s">
        <v>569</v>
      </c>
      <c r="H194" s="31" t="s">
        <v>2191</v>
      </c>
      <c r="I194" s="23" t="s">
        <v>570</v>
      </c>
      <c r="J194" s="371">
        <v>47.42</v>
      </c>
      <c r="K194" s="371">
        <v>6.37</v>
      </c>
      <c r="L194" s="371">
        <v>11.66</v>
      </c>
      <c r="N194" s="365">
        <f t="shared" ref="N194:N195" si="106">K194+J194+L194</f>
        <v>65.45</v>
      </c>
      <c r="R194" s="111">
        <v>11</v>
      </c>
      <c r="V194" s="371">
        <v>2.65</v>
      </c>
      <c r="W194" s="69">
        <v>3</v>
      </c>
      <c r="X194" s="100">
        <v>6.58</v>
      </c>
      <c r="Y194" s="37">
        <v>51.3</v>
      </c>
      <c r="Z194" s="69">
        <v>44.05</v>
      </c>
      <c r="AA194" s="16">
        <f t="shared" ref="AA194:AA195" si="107">Y194-Z194</f>
        <v>7.25</v>
      </c>
      <c r="AB194" s="66">
        <f t="shared" ref="AB194:AB195" si="108">AA194/Z194</f>
        <v>0.1645856980703746</v>
      </c>
      <c r="AC194" s="105" t="s">
        <v>5362</v>
      </c>
      <c r="AD194" s="23" t="s">
        <v>570</v>
      </c>
      <c r="AE194" s="89">
        <v>44351</v>
      </c>
      <c r="AF194" s="88">
        <v>44379</v>
      </c>
      <c r="AG194" s="34">
        <f t="shared" si="100"/>
        <v>28</v>
      </c>
      <c r="AH194" s="42" t="s">
        <v>1790</v>
      </c>
      <c r="AI194" s="249"/>
      <c r="AJ194" s="238"/>
    </row>
    <row r="195" spans="1:42">
      <c r="A195" s="135" t="s">
        <v>3063</v>
      </c>
      <c r="B195" s="84">
        <v>237</v>
      </c>
      <c r="C195" s="84">
        <v>275</v>
      </c>
      <c r="D195" s="85">
        <v>-2</v>
      </c>
      <c r="E195" s="84">
        <v>60</v>
      </c>
      <c r="F195" s="59">
        <v>13</v>
      </c>
      <c r="G195" s="42" t="s">
        <v>569</v>
      </c>
      <c r="H195" s="31" t="s">
        <v>2191</v>
      </c>
      <c r="I195" s="23" t="s">
        <v>570</v>
      </c>
      <c r="J195" s="371">
        <v>47.42</v>
      </c>
      <c r="K195" s="371">
        <v>6.37</v>
      </c>
      <c r="L195" s="371">
        <v>11.66</v>
      </c>
      <c r="N195" s="365">
        <f t="shared" si="106"/>
        <v>65.45</v>
      </c>
      <c r="R195" s="111">
        <v>11</v>
      </c>
      <c r="V195" s="371">
        <v>2.65</v>
      </c>
      <c r="W195" s="69">
        <v>3</v>
      </c>
      <c r="X195" s="100">
        <v>6.58</v>
      </c>
      <c r="Y195" s="37">
        <v>51.3</v>
      </c>
      <c r="Z195" s="69">
        <v>40.1</v>
      </c>
      <c r="AA195" s="16">
        <f t="shared" si="107"/>
        <v>11.199999999999996</v>
      </c>
      <c r="AB195" s="66">
        <f t="shared" si="108"/>
        <v>0.27930174563591009</v>
      </c>
      <c r="AC195" s="105" t="s">
        <v>5363</v>
      </c>
      <c r="AD195" s="23" t="s">
        <v>570</v>
      </c>
      <c r="AE195" s="89">
        <v>44343</v>
      </c>
      <c r="AF195" s="88">
        <v>44379</v>
      </c>
      <c r="AG195" s="34">
        <f t="shared" si="100"/>
        <v>36</v>
      </c>
      <c r="AH195" s="42" t="s">
        <v>1790</v>
      </c>
      <c r="AI195" s="249"/>
      <c r="AJ195" s="238"/>
    </row>
    <row r="196" spans="1:42" s="288" customFormat="1">
      <c r="A196" s="150"/>
      <c r="B196" s="84"/>
      <c r="C196" s="84"/>
      <c r="D196" s="84"/>
      <c r="E196" s="84"/>
      <c r="F196" s="7"/>
      <c r="G196" s="42"/>
      <c r="H196" s="9"/>
      <c r="I196" s="163"/>
      <c r="J196" s="371"/>
      <c r="K196" s="371"/>
      <c r="L196" s="371"/>
      <c r="M196" s="365"/>
      <c r="N196" s="365"/>
      <c r="O196" s="343"/>
      <c r="P196" s="229"/>
      <c r="Q196" s="326"/>
      <c r="R196" s="111"/>
      <c r="S196" s="51"/>
      <c r="T196" s="339"/>
      <c r="U196" s="329"/>
      <c r="V196" s="371"/>
      <c r="W196" s="205"/>
      <c r="X196" s="100"/>
      <c r="Y196" s="175">
        <f>SUM(Y190:Y195)</f>
        <v>528.6</v>
      </c>
      <c r="Z196" s="165">
        <f>SUM(Z190:Z195)</f>
        <v>464.15000000000003</v>
      </c>
      <c r="AA196" s="172">
        <f>Y196-Z196</f>
        <v>64.449999999999989</v>
      </c>
      <c r="AB196" s="168">
        <f>AA196/Z196</f>
        <v>0.1388559732844985</v>
      </c>
      <c r="AC196" s="121"/>
      <c r="AD196" s="163">
        <f>Y196*(0.001425*0.5)+Y196*0.003+Z196*(0.001425*0.5)</f>
        <v>2.2931343750000002</v>
      </c>
      <c r="AE196" s="7">
        <f>AA196-AD196</f>
        <v>62.156865624999988</v>
      </c>
      <c r="AF196" s="88"/>
      <c r="AG196" s="34"/>
      <c r="AH196" s="42" t="s">
        <v>2243</v>
      </c>
      <c r="AI196" s="173"/>
    </row>
    <row r="197" spans="1:42" s="297" customFormat="1">
      <c r="A197" s="135"/>
      <c r="B197" s="96"/>
      <c r="C197" s="96"/>
      <c r="D197" s="96"/>
      <c r="E197" s="96"/>
      <c r="F197" s="9"/>
      <c r="G197" s="26"/>
      <c r="H197" s="56"/>
      <c r="I197" s="1"/>
      <c r="J197" s="364"/>
      <c r="K197" s="364"/>
      <c r="L197" s="364"/>
      <c r="M197" s="364"/>
      <c r="N197" s="364"/>
      <c r="O197" s="343"/>
      <c r="P197" s="195"/>
      <c r="Q197" s="326"/>
      <c r="R197" s="111"/>
      <c r="S197" s="51"/>
      <c r="T197" s="339"/>
      <c r="U197" s="329"/>
      <c r="V197" s="377"/>
      <c r="W197" s="15"/>
      <c r="X197" s="71"/>
      <c r="Y197" s="29"/>
      <c r="Z197" s="71"/>
      <c r="AA197" s="15"/>
      <c r="AB197" s="22"/>
      <c r="AC197" s="26"/>
      <c r="AD197" s="257">
        <f>Y196*(0.001425*0.28)+Y196*0.003+Z196*(0.001425*0.28)</f>
        <v>1.9819072500000001</v>
      </c>
      <c r="AE197" s="75"/>
      <c r="AF197" s="76"/>
      <c r="AG197" s="33"/>
      <c r="AH197" s="47"/>
      <c r="AI197" s="173"/>
    </row>
    <row r="198" spans="1:42" s="288" customFormat="1">
      <c r="A198" s="150"/>
      <c r="B198" s="84"/>
      <c r="C198" s="85"/>
      <c r="D198" s="84"/>
      <c r="E198" s="85"/>
      <c r="F198" s="7"/>
      <c r="G198" s="42"/>
      <c r="H198" s="51"/>
      <c r="I198" s="176"/>
      <c r="J198" s="371"/>
      <c r="K198" s="371"/>
      <c r="L198" s="77"/>
      <c r="M198" s="365"/>
      <c r="N198" s="365"/>
      <c r="O198" s="343"/>
      <c r="P198" s="233"/>
      <c r="Q198" s="326"/>
      <c r="R198" s="111"/>
      <c r="S198" s="51"/>
      <c r="T198" s="339"/>
      <c r="U198" s="329"/>
      <c r="V198" s="371"/>
      <c r="W198" s="205"/>
      <c r="X198" s="100"/>
      <c r="Y198" s="175"/>
      <c r="Z198" s="165"/>
      <c r="AA198" s="172"/>
      <c r="AB198" s="174"/>
      <c r="AC198" s="121"/>
      <c r="AD198" s="163"/>
      <c r="AE198" s="7"/>
      <c r="AF198" s="88"/>
      <c r="AG198" s="34"/>
      <c r="AH198" s="135"/>
      <c r="AI198" s="173"/>
    </row>
    <row r="199" spans="1:42" s="297" customFormat="1">
      <c r="A199" s="135" t="s">
        <v>2552</v>
      </c>
      <c r="B199" s="96" t="s">
        <v>2331</v>
      </c>
      <c r="C199" s="96" t="s">
        <v>2332</v>
      </c>
      <c r="D199" s="96" t="s">
        <v>2333</v>
      </c>
      <c r="E199" s="96" t="s">
        <v>2334</v>
      </c>
      <c r="F199" s="9" t="s">
        <v>1709</v>
      </c>
      <c r="G199" s="27" t="s">
        <v>5626</v>
      </c>
      <c r="H199" s="56" t="s">
        <v>578</v>
      </c>
      <c r="I199" s="1" t="s">
        <v>3593</v>
      </c>
      <c r="J199" s="364" t="s">
        <v>2189</v>
      </c>
      <c r="K199" s="364" t="s">
        <v>1820</v>
      </c>
      <c r="L199" s="364" t="s">
        <v>515</v>
      </c>
      <c r="M199" s="364" t="s">
        <v>1699</v>
      </c>
      <c r="N199" s="364" t="s">
        <v>6604</v>
      </c>
      <c r="O199" s="343" t="s">
        <v>6634</v>
      </c>
      <c r="P199" s="83" t="s">
        <v>5279</v>
      </c>
      <c r="Q199" s="326" t="s">
        <v>5514</v>
      </c>
      <c r="R199" s="31" t="s">
        <v>6596</v>
      </c>
      <c r="S199" s="51" t="s">
        <v>6597</v>
      </c>
      <c r="T199" s="338" t="s">
        <v>5627</v>
      </c>
      <c r="U199" s="330" t="s">
        <v>6537</v>
      </c>
      <c r="V199" s="377" t="s">
        <v>6616</v>
      </c>
      <c r="W199" s="15" t="s">
        <v>127</v>
      </c>
      <c r="X199" s="71" t="s">
        <v>6626</v>
      </c>
      <c r="Y199" s="29" t="s">
        <v>4926</v>
      </c>
      <c r="Z199" s="71" t="s">
        <v>2113</v>
      </c>
      <c r="AA199" s="15" t="s">
        <v>3598</v>
      </c>
      <c r="AB199" s="22" t="s">
        <v>2199</v>
      </c>
      <c r="AC199" s="26" t="s">
        <v>211</v>
      </c>
      <c r="AD199" s="1" t="s">
        <v>3593</v>
      </c>
      <c r="AE199" s="75" t="s">
        <v>2114</v>
      </c>
      <c r="AF199" s="76" t="s">
        <v>1826</v>
      </c>
      <c r="AG199" s="33" t="s">
        <v>1827</v>
      </c>
      <c r="AH199" s="47" t="s">
        <v>5302</v>
      </c>
      <c r="AI199" s="173"/>
    </row>
    <row r="200" spans="1:42">
      <c r="A200" s="151" t="s">
        <v>3026</v>
      </c>
      <c r="B200" s="85">
        <v>-34</v>
      </c>
      <c r="C200" s="85">
        <v>-42</v>
      </c>
      <c r="D200" s="85">
        <v>-3</v>
      </c>
      <c r="E200" s="85">
        <v>-34</v>
      </c>
      <c r="F200" s="7">
        <v>9.8000000000000007</v>
      </c>
      <c r="G200" s="58" t="s">
        <v>832</v>
      </c>
      <c r="H200" s="31" t="s">
        <v>2191</v>
      </c>
      <c r="I200" s="23" t="s">
        <v>833</v>
      </c>
      <c r="J200" s="77">
        <v>43.17</v>
      </c>
      <c r="K200" s="77">
        <v>14.15</v>
      </c>
      <c r="L200" s="77">
        <v>19.73</v>
      </c>
      <c r="N200" s="365">
        <f t="shared" ref="N200" si="109">K200+J200+L200</f>
        <v>77.05</v>
      </c>
      <c r="R200" s="111">
        <v>14</v>
      </c>
      <c r="V200" s="371">
        <v>0.71</v>
      </c>
      <c r="W200" s="35">
        <v>1.1399999999999999</v>
      </c>
      <c r="X200" s="100">
        <v>2.56</v>
      </c>
      <c r="Y200" s="37">
        <v>50.4</v>
      </c>
      <c r="Z200" s="69">
        <v>45.7</v>
      </c>
      <c r="AA200" s="16">
        <f t="shared" ref="AA200" si="110">Y200-Z200</f>
        <v>4.6999999999999957</v>
      </c>
      <c r="AB200" s="66">
        <f t="shared" ref="AB200" si="111">AA200/Z200</f>
        <v>0.10284463894967168</v>
      </c>
      <c r="AC200" s="107" t="s">
        <v>5326</v>
      </c>
      <c r="AD200" s="23" t="s">
        <v>833</v>
      </c>
      <c r="AE200" s="89">
        <v>44336</v>
      </c>
      <c r="AF200" s="88">
        <v>44364</v>
      </c>
      <c r="AG200" s="34">
        <f t="shared" ref="AG200" si="112">AF200-AE200</f>
        <v>28</v>
      </c>
      <c r="AH200" s="42" t="s">
        <v>1790</v>
      </c>
      <c r="AJ200" s="9"/>
    </row>
    <row r="201" spans="1:42">
      <c r="A201" s="135" t="s">
        <v>2560</v>
      </c>
      <c r="B201" s="84">
        <v>86</v>
      </c>
      <c r="C201" s="84">
        <v>124</v>
      </c>
      <c r="D201" s="84">
        <v>9</v>
      </c>
      <c r="E201" s="85">
        <v>-1</v>
      </c>
      <c r="F201" s="59">
        <v>25.67</v>
      </c>
      <c r="G201" s="42" t="s">
        <v>636</v>
      </c>
      <c r="H201" s="31" t="s">
        <v>2191</v>
      </c>
      <c r="I201" s="23" t="s">
        <v>637</v>
      </c>
      <c r="J201" s="77">
        <v>29.01</v>
      </c>
      <c r="K201" s="77">
        <v>19.100000000000001</v>
      </c>
      <c r="L201" s="77">
        <v>15.78</v>
      </c>
      <c r="N201" s="365">
        <f t="shared" ref="N201" si="113">K201+J201+L201</f>
        <v>63.89</v>
      </c>
      <c r="R201" s="111">
        <v>12</v>
      </c>
      <c r="V201" s="371">
        <v>0.22</v>
      </c>
      <c r="W201" s="69">
        <v>5.7</v>
      </c>
      <c r="X201" s="100">
        <v>6.85</v>
      </c>
      <c r="Y201" s="37">
        <v>97.6</v>
      </c>
      <c r="Z201" s="69">
        <v>91.7</v>
      </c>
      <c r="AA201" s="16">
        <f t="shared" ref="AA201" si="114">Y201-Z201</f>
        <v>5.8999999999999915</v>
      </c>
      <c r="AB201" s="66">
        <f t="shared" ref="AB201" si="115">AA201/Z201</f>
        <v>6.4340239912758904E-2</v>
      </c>
      <c r="AC201" s="105" t="s">
        <v>4677</v>
      </c>
      <c r="AD201" s="23" t="s">
        <v>637</v>
      </c>
      <c r="AE201" s="89">
        <v>44342</v>
      </c>
      <c r="AF201" s="88">
        <v>44357</v>
      </c>
      <c r="AG201" s="34">
        <f>AF201-AE201</f>
        <v>15</v>
      </c>
      <c r="AH201" s="42" t="s">
        <v>1790</v>
      </c>
      <c r="AI201" s="249"/>
      <c r="AJ201" s="238"/>
    </row>
    <row r="202" spans="1:42">
      <c r="A202" s="151" t="s">
        <v>2931</v>
      </c>
      <c r="B202" s="85">
        <v>-22</v>
      </c>
      <c r="C202" s="85">
        <v>-26</v>
      </c>
      <c r="D202" s="84">
        <v>4</v>
      </c>
      <c r="E202" s="85">
        <v>-35</v>
      </c>
      <c r="F202" s="7">
        <v>3.86</v>
      </c>
      <c r="G202" s="58" t="s">
        <v>1128</v>
      </c>
      <c r="H202" s="51" t="s">
        <v>2120</v>
      </c>
      <c r="I202" s="17" t="s">
        <v>1129</v>
      </c>
      <c r="J202" s="371">
        <v>44.55</v>
      </c>
      <c r="K202" s="77">
        <v>1.26</v>
      </c>
      <c r="L202" s="77">
        <v>12.87</v>
      </c>
      <c r="N202" s="365">
        <f t="shared" ref="N202" si="116">K202+J202+L202</f>
        <v>58.679999999999993</v>
      </c>
      <c r="R202" s="111">
        <v>8</v>
      </c>
      <c r="V202" s="371">
        <v>0</v>
      </c>
      <c r="W202" s="35">
        <v>0.56000000000000005</v>
      </c>
      <c r="X202" s="100">
        <f t="shared" ref="X202" si="117">W202/Y202</f>
        <v>2.0664206642066422E-2</v>
      </c>
      <c r="Y202" s="37">
        <v>27.1</v>
      </c>
      <c r="Z202" s="69">
        <v>22.9</v>
      </c>
      <c r="AA202" s="16">
        <f t="shared" ref="AA202" si="118">Y202-Z202</f>
        <v>4.2000000000000028</v>
      </c>
      <c r="AB202" s="66">
        <f t="shared" ref="AB202" si="119">AA202/Z202</f>
        <v>0.18340611353711803</v>
      </c>
      <c r="AC202" s="105" t="s">
        <v>5309</v>
      </c>
      <c r="AD202" s="17" t="s">
        <v>1129</v>
      </c>
      <c r="AE202" s="89">
        <v>44299</v>
      </c>
      <c r="AF202" s="88">
        <v>44356</v>
      </c>
      <c r="AG202" s="34">
        <f t="shared" ref="AG202" si="120">AF202-AE202</f>
        <v>57</v>
      </c>
      <c r="AH202" s="135" t="s">
        <v>1790</v>
      </c>
      <c r="AJ202" s="9"/>
    </row>
    <row r="203" spans="1:42" s="288" customFormat="1">
      <c r="A203" s="150"/>
      <c r="B203" s="84"/>
      <c r="C203" s="84"/>
      <c r="D203" s="84"/>
      <c r="E203" s="84"/>
      <c r="F203" s="7"/>
      <c r="G203" s="42"/>
      <c r="H203" s="9"/>
      <c r="I203" s="163"/>
      <c r="J203" s="371"/>
      <c r="K203" s="371"/>
      <c r="L203" s="371"/>
      <c r="M203" s="365"/>
      <c r="N203" s="365"/>
      <c r="O203" s="343"/>
      <c r="P203" s="229"/>
      <c r="Q203" s="326"/>
      <c r="R203" s="111"/>
      <c r="S203" s="51"/>
      <c r="T203" s="339"/>
      <c r="U203" s="329"/>
      <c r="V203" s="371"/>
      <c r="W203" s="205"/>
      <c r="X203" s="100"/>
      <c r="Y203" s="175">
        <f>SUM(Y200:Y202)</f>
        <v>175.1</v>
      </c>
      <c r="Z203" s="165">
        <f>SUM(Z200:Z202)</f>
        <v>160.30000000000001</v>
      </c>
      <c r="AA203" s="172">
        <f>Y203-Z203</f>
        <v>14.799999999999983</v>
      </c>
      <c r="AB203" s="168">
        <f>AA203/Z203</f>
        <v>9.23268870867123E-2</v>
      </c>
      <c r="AC203" s="121"/>
      <c r="AD203" s="163">
        <f>Y203*(0.001425*0.5)+Y203*0.003+Z203*(0.001425*0.5)</f>
        <v>0.76427250000000002</v>
      </c>
      <c r="AE203" s="7">
        <f>AA203-AD203</f>
        <v>14.035727499999982</v>
      </c>
      <c r="AF203" s="88"/>
      <c r="AG203" s="34"/>
      <c r="AH203" s="42" t="s">
        <v>1790</v>
      </c>
      <c r="AI203" s="173"/>
    </row>
    <row r="204" spans="1:42" s="297" customFormat="1">
      <c r="A204" s="135"/>
      <c r="B204" s="96"/>
      <c r="C204" s="96"/>
      <c r="D204" s="96"/>
      <c r="E204" s="96"/>
      <c r="F204" s="9"/>
      <c r="G204" s="26"/>
      <c r="H204" s="56"/>
      <c r="I204" s="1"/>
      <c r="J204" s="364"/>
      <c r="K204" s="364"/>
      <c r="L204" s="364"/>
      <c r="M204" s="364"/>
      <c r="N204" s="364"/>
      <c r="O204" s="343"/>
      <c r="P204" s="195"/>
      <c r="Q204" s="326"/>
      <c r="R204" s="111"/>
      <c r="S204" s="51"/>
      <c r="T204" s="339"/>
      <c r="U204" s="329"/>
      <c r="V204" s="377"/>
      <c r="W204" s="15"/>
      <c r="X204" s="71"/>
      <c r="Y204" s="29"/>
      <c r="Z204" s="71"/>
      <c r="AA204" s="15"/>
      <c r="AB204" s="22"/>
      <c r="AC204" s="26"/>
      <c r="AD204" s="257">
        <f>Y203*(0.001425*0.28)+Y203*0.003+Z203*(0.001425*0.28)</f>
        <v>0.65912459999999995</v>
      </c>
      <c r="AE204" s="75"/>
      <c r="AF204" s="76"/>
      <c r="AG204" s="33"/>
      <c r="AH204" s="47"/>
      <c r="AI204" s="173"/>
    </row>
    <row r="205" spans="1:42" s="288" customFormat="1">
      <c r="A205" s="150"/>
      <c r="B205" s="84"/>
      <c r="C205" s="84"/>
      <c r="D205" s="84"/>
      <c r="E205" s="84"/>
      <c r="F205" s="7"/>
      <c r="G205" s="42"/>
      <c r="H205" s="9"/>
      <c r="I205" s="163"/>
      <c r="J205" s="371"/>
      <c r="K205" s="371"/>
      <c r="L205" s="371"/>
      <c r="M205" s="365"/>
      <c r="N205" s="365"/>
      <c r="O205" s="343"/>
      <c r="P205" s="229"/>
      <c r="Q205" s="326"/>
      <c r="R205" s="111"/>
      <c r="S205" s="51"/>
      <c r="T205" s="339"/>
      <c r="U205" s="329"/>
      <c r="V205" s="371"/>
      <c r="W205" s="205"/>
      <c r="X205" s="100"/>
      <c r="Y205" s="175"/>
      <c r="Z205" s="165"/>
      <c r="AA205" s="172"/>
      <c r="AB205" s="174"/>
      <c r="AC205" s="121"/>
      <c r="AD205" s="163"/>
      <c r="AE205" s="7"/>
      <c r="AF205" s="88"/>
      <c r="AG205" s="34"/>
      <c r="AH205" s="42"/>
      <c r="AI205" s="173"/>
    </row>
    <row r="206" spans="1:42" s="297" customFormat="1">
      <c r="A206" s="135" t="s">
        <v>2552</v>
      </c>
      <c r="B206" s="96" t="s">
        <v>2331</v>
      </c>
      <c r="C206" s="96" t="s">
        <v>2332</v>
      </c>
      <c r="D206" s="96" t="s">
        <v>2333</v>
      </c>
      <c r="E206" s="96" t="s">
        <v>2334</v>
      </c>
      <c r="F206" s="9" t="s">
        <v>1709</v>
      </c>
      <c r="G206" s="27" t="s">
        <v>5626</v>
      </c>
      <c r="H206" s="56" t="s">
        <v>578</v>
      </c>
      <c r="I206" s="1" t="s">
        <v>3593</v>
      </c>
      <c r="J206" s="364" t="s">
        <v>2189</v>
      </c>
      <c r="K206" s="364" t="s">
        <v>1820</v>
      </c>
      <c r="L206" s="364" t="s">
        <v>515</v>
      </c>
      <c r="M206" s="364" t="s">
        <v>1699</v>
      </c>
      <c r="N206" s="364" t="s">
        <v>6604</v>
      </c>
      <c r="O206" s="343" t="s">
        <v>6634</v>
      </c>
      <c r="P206" s="83" t="s">
        <v>5279</v>
      </c>
      <c r="Q206" s="326" t="s">
        <v>5514</v>
      </c>
      <c r="R206" s="31" t="s">
        <v>6596</v>
      </c>
      <c r="S206" s="51" t="s">
        <v>6597</v>
      </c>
      <c r="T206" s="338" t="s">
        <v>5627</v>
      </c>
      <c r="U206" s="330" t="s">
        <v>6537</v>
      </c>
      <c r="V206" s="377" t="s">
        <v>6616</v>
      </c>
      <c r="W206" s="15" t="s">
        <v>127</v>
      </c>
      <c r="X206" s="71" t="s">
        <v>6626</v>
      </c>
      <c r="Y206" s="29" t="s">
        <v>4926</v>
      </c>
      <c r="Z206" s="71" t="s">
        <v>2113</v>
      </c>
      <c r="AA206" s="15" t="s">
        <v>3598</v>
      </c>
      <c r="AB206" s="22" t="s">
        <v>2199</v>
      </c>
      <c r="AC206" s="26" t="s">
        <v>211</v>
      </c>
      <c r="AD206" s="1" t="s">
        <v>3593</v>
      </c>
      <c r="AE206" s="75" t="s">
        <v>2114</v>
      </c>
      <c r="AF206" s="76" t="s">
        <v>1826</v>
      </c>
      <c r="AG206" s="33" t="s">
        <v>1827</v>
      </c>
      <c r="AH206" s="47" t="s">
        <v>5221</v>
      </c>
      <c r="AI206" s="173"/>
    </row>
    <row r="207" spans="1:42">
      <c r="A207" s="151" t="s">
        <v>5282</v>
      </c>
      <c r="B207" s="98">
        <v>2312</v>
      </c>
      <c r="C207" s="98">
        <v>3731</v>
      </c>
      <c r="D207" s="85">
        <v>-10</v>
      </c>
      <c r="E207" s="84">
        <v>269</v>
      </c>
      <c r="F207" s="7">
        <v>3.78</v>
      </c>
      <c r="G207" s="42" t="s">
        <v>2121</v>
      </c>
      <c r="H207" s="51" t="s">
        <v>2120</v>
      </c>
      <c r="I207" s="23" t="s">
        <v>233</v>
      </c>
      <c r="J207" s="371">
        <v>59.67</v>
      </c>
      <c r="K207" s="371">
        <v>4.63</v>
      </c>
      <c r="L207" s="371">
        <v>26.14</v>
      </c>
      <c r="N207" s="365">
        <f t="shared" ref="N207" si="121">K207+J207+L207</f>
        <v>90.44</v>
      </c>
      <c r="R207" s="111">
        <v>9</v>
      </c>
      <c r="V207" s="371">
        <v>3.99</v>
      </c>
      <c r="W207" s="73">
        <v>0.8</v>
      </c>
      <c r="X207" s="59">
        <v>2.52</v>
      </c>
      <c r="Y207" s="37">
        <v>81.2</v>
      </c>
      <c r="Z207" s="69">
        <v>81.2</v>
      </c>
      <c r="AA207" s="46">
        <f t="shared" ref="AA207" si="122">Y207-Z207</f>
        <v>0</v>
      </c>
      <c r="AB207" s="66">
        <f t="shared" ref="AB207" si="123">AA207/Z207</f>
        <v>0</v>
      </c>
      <c r="AC207" s="107" t="s">
        <v>2241</v>
      </c>
      <c r="AD207" s="23" t="s">
        <v>233</v>
      </c>
      <c r="AE207" s="89">
        <v>44335</v>
      </c>
      <c r="AF207" s="88">
        <v>44347</v>
      </c>
      <c r="AG207" s="34">
        <f>AF207-AE207</f>
        <v>12</v>
      </c>
      <c r="AH207" s="135" t="s">
        <v>1790</v>
      </c>
      <c r="AI207" s="249"/>
      <c r="AJ207" s="238"/>
    </row>
    <row r="208" spans="1:42">
      <c r="A208" s="151" t="s">
        <v>5282</v>
      </c>
      <c r="B208" s="98">
        <v>2312</v>
      </c>
      <c r="C208" s="98">
        <v>3731</v>
      </c>
      <c r="D208" s="85">
        <v>-10</v>
      </c>
      <c r="E208" s="84">
        <v>269</v>
      </c>
      <c r="F208" s="7">
        <v>3.78</v>
      </c>
      <c r="G208" s="42" t="s">
        <v>2121</v>
      </c>
      <c r="H208" s="51" t="s">
        <v>2120</v>
      </c>
      <c r="I208" s="23" t="s">
        <v>233</v>
      </c>
      <c r="J208" s="371">
        <v>59.67</v>
      </c>
      <c r="K208" s="371">
        <v>4.63</v>
      </c>
      <c r="L208" s="371">
        <v>26.14</v>
      </c>
      <c r="N208" s="365">
        <f t="shared" ref="N208" si="124">K208+J208+L208</f>
        <v>90.44</v>
      </c>
      <c r="R208" s="111">
        <v>9</v>
      </c>
      <c r="V208" s="371">
        <v>3.99</v>
      </c>
      <c r="W208" s="73">
        <v>0.8</v>
      </c>
      <c r="X208" s="59">
        <v>2.52</v>
      </c>
      <c r="Y208" s="37">
        <v>81.2</v>
      </c>
      <c r="Z208" s="69">
        <v>66.599999999999994</v>
      </c>
      <c r="AA208" s="46">
        <f t="shared" ref="AA208" si="125">Y208-Z208</f>
        <v>14.600000000000009</v>
      </c>
      <c r="AB208" s="66">
        <f t="shared" ref="AB208" si="126">AA208/Z208</f>
        <v>0.21921921921921936</v>
      </c>
      <c r="AC208" s="107" t="s">
        <v>5306</v>
      </c>
      <c r="AD208" s="23" t="s">
        <v>233</v>
      </c>
      <c r="AE208" s="89">
        <v>44335</v>
      </c>
      <c r="AF208" s="88">
        <v>44347</v>
      </c>
      <c r="AG208" s="34">
        <f>AF208-AE208</f>
        <v>12</v>
      </c>
      <c r="AH208" s="135" t="s">
        <v>1790</v>
      </c>
      <c r="AI208" s="249"/>
      <c r="AJ208" s="238"/>
    </row>
    <row r="209" spans="1:36">
      <c r="A209" s="151" t="s">
        <v>3321</v>
      </c>
      <c r="B209" s="84">
        <v>179</v>
      </c>
      <c r="C209" s="84">
        <v>251</v>
      </c>
      <c r="D209" s="85">
        <v>-11</v>
      </c>
      <c r="E209" s="84">
        <v>61</v>
      </c>
      <c r="F209" s="7">
        <v>8.2799999999999994</v>
      </c>
      <c r="G209" s="42" t="s">
        <v>1563</v>
      </c>
      <c r="H209" s="31" t="s">
        <v>2191</v>
      </c>
      <c r="I209" s="23" t="s">
        <v>1564</v>
      </c>
      <c r="J209" s="77">
        <v>64.349999999999994</v>
      </c>
      <c r="K209" s="77">
        <v>3.65</v>
      </c>
      <c r="L209" s="77">
        <v>11.49</v>
      </c>
      <c r="N209" s="365">
        <f t="shared" ref="N209" si="127">K209+J209+L209</f>
        <v>79.489999999999995</v>
      </c>
      <c r="R209" s="111">
        <v>11</v>
      </c>
      <c r="V209" s="371">
        <v>2</v>
      </c>
      <c r="W209" s="35">
        <v>0.7</v>
      </c>
      <c r="X209" s="59">
        <v>5.32</v>
      </c>
      <c r="Y209" s="37">
        <v>27.5</v>
      </c>
      <c r="Z209" s="69">
        <v>28.75</v>
      </c>
      <c r="AA209" s="16">
        <f t="shared" ref="AA209" si="128">Y209-Z209</f>
        <v>-1.25</v>
      </c>
      <c r="AB209" s="80">
        <f t="shared" ref="AB209" si="129">AA209/Z209</f>
        <v>-4.3478260869565216E-2</v>
      </c>
      <c r="AC209" s="144" t="s">
        <v>5301</v>
      </c>
      <c r="AD209" s="23" t="s">
        <v>1564</v>
      </c>
      <c r="AE209" s="89">
        <v>44347</v>
      </c>
      <c r="AF209" s="88">
        <v>44347</v>
      </c>
      <c r="AG209" s="34">
        <f>AF209-AE209</f>
        <v>0</v>
      </c>
      <c r="AH209" s="42" t="s">
        <v>1790</v>
      </c>
      <c r="AI209" s="249"/>
      <c r="AJ209" s="238"/>
    </row>
    <row r="210" spans="1:36">
      <c r="A210" s="151" t="s">
        <v>2931</v>
      </c>
      <c r="B210" s="85">
        <v>-22</v>
      </c>
      <c r="C210" s="85">
        <v>-26</v>
      </c>
      <c r="D210" s="84">
        <v>4</v>
      </c>
      <c r="E210" s="85">
        <v>-35</v>
      </c>
      <c r="F210" s="7">
        <v>3.86</v>
      </c>
      <c r="G210" s="58" t="s">
        <v>1128</v>
      </c>
      <c r="H210" s="31" t="s">
        <v>2191</v>
      </c>
      <c r="I210" s="17" t="s">
        <v>1129</v>
      </c>
      <c r="J210" s="371">
        <v>44.55</v>
      </c>
      <c r="K210" s="77">
        <v>1.26</v>
      </c>
      <c r="L210" s="77">
        <v>12.87</v>
      </c>
      <c r="N210" s="365">
        <f t="shared" ref="N210:N211" si="130">K210+J210+L210</f>
        <v>58.679999999999993</v>
      </c>
      <c r="R210" s="111">
        <v>8</v>
      </c>
      <c r="V210" s="371">
        <v>0</v>
      </c>
      <c r="W210" s="35">
        <v>0.56000000000000005</v>
      </c>
      <c r="X210" s="100">
        <f t="shared" ref="X210:X211" si="131">W210/Y210</f>
        <v>2.3578947368421053E-2</v>
      </c>
      <c r="Y210" s="37">
        <v>23.75</v>
      </c>
      <c r="Z210" s="69">
        <v>21.9</v>
      </c>
      <c r="AA210" s="16">
        <f t="shared" ref="AA210:AA211" si="132">Y210-Z210</f>
        <v>1.8500000000000014</v>
      </c>
      <c r="AB210" s="66">
        <f t="shared" ref="AB210:AB211" si="133">AA210/Z210</f>
        <v>8.4474885844748923E-2</v>
      </c>
      <c r="AC210" s="105" t="s">
        <v>5298</v>
      </c>
      <c r="AD210" s="17" t="s">
        <v>1129</v>
      </c>
      <c r="AE210" s="89">
        <v>44301</v>
      </c>
      <c r="AF210" s="88">
        <v>44347</v>
      </c>
      <c r="AG210" s="34">
        <f t="shared" ref="AG210:AG211" si="134">AF210-AE210</f>
        <v>46</v>
      </c>
      <c r="AH210" s="42" t="s">
        <v>1790</v>
      </c>
      <c r="AJ210" s="9"/>
    </row>
    <row r="211" spans="1:36">
      <c r="A211" s="151" t="s">
        <v>2931</v>
      </c>
      <c r="B211" s="85">
        <v>-22</v>
      </c>
      <c r="C211" s="85">
        <v>-26</v>
      </c>
      <c r="D211" s="84">
        <v>4</v>
      </c>
      <c r="E211" s="85">
        <v>-35</v>
      </c>
      <c r="F211" s="7">
        <v>3.86</v>
      </c>
      <c r="G211" s="58" t="s">
        <v>1128</v>
      </c>
      <c r="H211" s="31" t="s">
        <v>2191</v>
      </c>
      <c r="I211" s="17" t="s">
        <v>1129</v>
      </c>
      <c r="J211" s="371">
        <v>44.55</v>
      </c>
      <c r="K211" s="77">
        <v>1.26</v>
      </c>
      <c r="L211" s="77">
        <v>12.87</v>
      </c>
      <c r="N211" s="365">
        <f t="shared" si="130"/>
        <v>58.679999999999993</v>
      </c>
      <c r="R211" s="111">
        <v>8</v>
      </c>
      <c r="V211" s="371">
        <v>0</v>
      </c>
      <c r="W211" s="35">
        <v>0.56000000000000005</v>
      </c>
      <c r="X211" s="100">
        <f t="shared" si="131"/>
        <v>2.3578947368421053E-2</v>
      </c>
      <c r="Y211" s="37">
        <v>23.75</v>
      </c>
      <c r="Z211" s="69">
        <v>22.95</v>
      </c>
      <c r="AA211" s="16">
        <f t="shared" si="132"/>
        <v>0.80000000000000071</v>
      </c>
      <c r="AB211" s="66">
        <f t="shared" si="133"/>
        <v>3.4858387799564301E-2</v>
      </c>
      <c r="AC211" s="105" t="s">
        <v>5299</v>
      </c>
      <c r="AD211" s="17" t="s">
        <v>1129</v>
      </c>
      <c r="AE211" s="89">
        <v>44299</v>
      </c>
      <c r="AF211" s="88">
        <v>44347</v>
      </c>
      <c r="AG211" s="34">
        <f t="shared" si="134"/>
        <v>48</v>
      </c>
      <c r="AH211" s="42" t="s">
        <v>1790</v>
      </c>
      <c r="AI211" s="42" t="s">
        <v>2243</v>
      </c>
      <c r="AJ211" s="9"/>
    </row>
    <row r="212" spans="1:36">
      <c r="A212" s="135" t="s">
        <v>5294</v>
      </c>
      <c r="B212" s="98">
        <v>5673</v>
      </c>
      <c r="C212" s="98">
        <v>8760</v>
      </c>
      <c r="D212" s="85">
        <v>-13</v>
      </c>
      <c r="E212" s="84">
        <v>95</v>
      </c>
      <c r="F212" s="59">
        <v>48.9</v>
      </c>
      <c r="G212" s="42" t="s">
        <v>63</v>
      </c>
      <c r="H212" s="51" t="s">
        <v>2120</v>
      </c>
      <c r="I212" s="23" t="s">
        <v>486</v>
      </c>
      <c r="J212" s="371">
        <v>64.83</v>
      </c>
      <c r="K212" s="77">
        <v>34.36</v>
      </c>
      <c r="L212" s="77">
        <v>20.86</v>
      </c>
      <c r="N212" s="77">
        <f t="shared" ref="N212" si="135">K212+J212+L212</f>
        <v>120.05</v>
      </c>
      <c r="P212" s="195"/>
      <c r="R212" s="111">
        <v>14</v>
      </c>
      <c r="V212" s="371">
        <v>1.89</v>
      </c>
      <c r="W212" s="35">
        <v>2.5</v>
      </c>
      <c r="X212" s="59">
        <v>12.45</v>
      </c>
      <c r="Y212" s="37">
        <v>95.3</v>
      </c>
      <c r="Z212" s="46">
        <v>88.4</v>
      </c>
      <c r="AA212" s="16">
        <f t="shared" ref="AA212" si="136">Y212-Z212</f>
        <v>6.8999999999999915</v>
      </c>
      <c r="AB212" s="66">
        <f t="shared" ref="AB212" si="137">AA212/Z212</f>
        <v>7.805429864253384E-2</v>
      </c>
      <c r="AC212" s="107" t="s">
        <v>5300</v>
      </c>
      <c r="AD212" s="23" t="s">
        <v>486</v>
      </c>
      <c r="AE212" s="89">
        <v>44335</v>
      </c>
      <c r="AF212" s="88">
        <v>44335</v>
      </c>
      <c r="AG212" s="34">
        <f t="shared" ref="AG212" si="138">AF212-AE212</f>
        <v>0</v>
      </c>
      <c r="AH212" s="135" t="s">
        <v>1790</v>
      </c>
      <c r="AI212" s="284"/>
      <c r="AJ212" s="9"/>
    </row>
    <row r="213" spans="1:36">
      <c r="A213" s="135" t="s">
        <v>2384</v>
      </c>
      <c r="B213" s="98">
        <v>1185</v>
      </c>
      <c r="C213" s="98">
        <v>1672</v>
      </c>
      <c r="D213" s="84">
        <v>13</v>
      </c>
      <c r="E213" s="84">
        <v>108</v>
      </c>
      <c r="F213" s="59">
        <v>18.190000000000001</v>
      </c>
      <c r="G213" s="42" t="s">
        <v>5276</v>
      </c>
      <c r="H213" s="31" t="s">
        <v>2191</v>
      </c>
      <c r="I213" s="17" t="s">
        <v>673</v>
      </c>
      <c r="J213" s="77">
        <v>5.23</v>
      </c>
      <c r="K213" s="77">
        <v>12.1</v>
      </c>
      <c r="L213" s="77">
        <v>22.41</v>
      </c>
      <c r="N213" s="365">
        <f>K213+J213+L213</f>
        <v>39.739999999999995</v>
      </c>
      <c r="R213" s="111">
        <v>12</v>
      </c>
      <c r="V213" s="371">
        <v>3.03</v>
      </c>
      <c r="W213" s="46">
        <v>3.5</v>
      </c>
      <c r="X213" s="100">
        <v>5.68</v>
      </c>
      <c r="Y213" s="37">
        <v>100</v>
      </c>
      <c r="Z213" s="69">
        <v>94.7</v>
      </c>
      <c r="AA213" s="16">
        <f>Y213-Z213</f>
        <v>5.2999999999999972</v>
      </c>
      <c r="AB213" s="66">
        <f>AA213/Z213</f>
        <v>5.5966209081309365E-2</v>
      </c>
      <c r="AC213" s="107" t="s">
        <v>5291</v>
      </c>
      <c r="AD213" s="17" t="s">
        <v>673</v>
      </c>
      <c r="AE213" s="89">
        <v>44336</v>
      </c>
      <c r="AF213" s="88">
        <v>44341</v>
      </c>
      <c r="AG213" s="34">
        <f>AF213-AE213</f>
        <v>5</v>
      </c>
      <c r="AH213" s="42" t="s">
        <v>1790</v>
      </c>
      <c r="AJ213" s="9"/>
    </row>
    <row r="214" spans="1:36">
      <c r="A214" s="151" t="s">
        <v>3257</v>
      </c>
      <c r="B214" s="98">
        <v>1721</v>
      </c>
      <c r="C214" s="84">
        <v>109</v>
      </c>
      <c r="D214" s="84">
        <v>101</v>
      </c>
      <c r="E214" s="84">
        <v>51</v>
      </c>
      <c r="F214" s="7">
        <v>4.4800000000000004</v>
      </c>
      <c r="G214" s="58" t="s">
        <v>1269</v>
      </c>
      <c r="H214" s="31" t="s">
        <v>2191</v>
      </c>
      <c r="I214" s="17" t="s">
        <v>1270</v>
      </c>
      <c r="J214" s="371">
        <v>47.97</v>
      </c>
      <c r="K214" s="77">
        <v>0.52</v>
      </c>
      <c r="L214" s="77">
        <v>8.0500000000000007</v>
      </c>
      <c r="N214" s="365">
        <f>K214+J214+L214</f>
        <v>56.540000000000006</v>
      </c>
      <c r="R214" s="111">
        <v>14</v>
      </c>
      <c r="V214" s="371">
        <v>7.0000000000000007E-2</v>
      </c>
      <c r="W214" s="35">
        <v>2</v>
      </c>
      <c r="X214" s="100">
        <f>W214/Y214</f>
        <v>4.77326968973747E-2</v>
      </c>
      <c r="Y214" s="37">
        <v>41.9</v>
      </c>
      <c r="Z214" s="69">
        <v>40.950000000000003</v>
      </c>
      <c r="AA214" s="16">
        <f>Y214-Z214</f>
        <v>0.94999999999999574</v>
      </c>
      <c r="AB214" s="66">
        <f>AA214/Z214</f>
        <v>2.3199023199023092E-2</v>
      </c>
      <c r="AC214" s="107" t="s">
        <v>5289</v>
      </c>
      <c r="AD214" s="17" t="s">
        <v>1270</v>
      </c>
      <c r="AE214" s="89">
        <v>44299</v>
      </c>
      <c r="AF214" s="88">
        <v>44340</v>
      </c>
      <c r="AG214" s="34">
        <f>AF214-AE214</f>
        <v>41</v>
      </c>
      <c r="AH214" s="42" t="s">
        <v>1790</v>
      </c>
      <c r="AJ214" s="9"/>
    </row>
    <row r="215" spans="1:36" s="288" customFormat="1" ht="15.75" customHeight="1">
      <c r="A215" s="135" t="s">
        <v>4712</v>
      </c>
      <c r="B215" s="84">
        <v>33</v>
      </c>
      <c r="C215" s="85">
        <v>-11</v>
      </c>
      <c r="D215" s="85">
        <v>-23</v>
      </c>
      <c r="E215" s="85">
        <v>-48</v>
      </c>
      <c r="F215" s="59">
        <v>26.29</v>
      </c>
      <c r="G215" s="58" t="s">
        <v>2798</v>
      </c>
      <c r="H215" s="31" t="s">
        <v>2191</v>
      </c>
      <c r="I215" s="176" t="s">
        <v>72</v>
      </c>
      <c r="J215" s="371">
        <v>41.12</v>
      </c>
      <c r="K215" s="77">
        <v>7.2</v>
      </c>
      <c r="L215" s="77">
        <v>16.53</v>
      </c>
      <c r="M215" s="365"/>
      <c r="N215" s="365">
        <f>K215+J215+L215</f>
        <v>64.849999999999994</v>
      </c>
      <c r="O215" s="343"/>
      <c r="P215" s="166"/>
      <c r="Q215" s="326"/>
      <c r="R215" s="111">
        <v>4</v>
      </c>
      <c r="S215" s="51"/>
      <c r="T215" s="339"/>
      <c r="U215" s="329"/>
      <c r="V215" s="371">
        <v>0.18</v>
      </c>
      <c r="W215" s="68">
        <v>11.5</v>
      </c>
      <c r="X215" s="100">
        <v>18.309999999999999</v>
      </c>
      <c r="Y215" s="171">
        <v>191</v>
      </c>
      <c r="Z215" s="68">
        <v>190</v>
      </c>
      <c r="AA215" s="172">
        <f>Y215-Z215</f>
        <v>1</v>
      </c>
      <c r="AB215" s="168">
        <f>AA215/Z215</f>
        <v>5.263157894736842E-3</v>
      </c>
      <c r="AC215" s="177" t="s">
        <v>5283</v>
      </c>
      <c r="AD215" s="176" t="s">
        <v>72</v>
      </c>
      <c r="AE215" s="89">
        <v>44334</v>
      </c>
      <c r="AF215" s="88">
        <v>44337</v>
      </c>
      <c r="AG215" s="34">
        <f t="shared" ref="AG215" si="139">AF215-AE215</f>
        <v>3</v>
      </c>
      <c r="AH215" s="42" t="s">
        <v>1790</v>
      </c>
      <c r="AI215" s="237"/>
      <c r="AJ215" s="238"/>
    </row>
    <row r="216" spans="1:36">
      <c r="A216" s="135" t="s">
        <v>2564</v>
      </c>
      <c r="B216" s="84">
        <v>71</v>
      </c>
      <c r="C216" s="84">
        <v>66</v>
      </c>
      <c r="D216" s="85">
        <v>-9</v>
      </c>
      <c r="E216" s="84">
        <v>38</v>
      </c>
      <c r="F216" s="59">
        <v>23.43</v>
      </c>
      <c r="G216" s="42" t="s">
        <v>3055</v>
      </c>
      <c r="H216" s="51" t="s">
        <v>2120</v>
      </c>
      <c r="I216" s="23" t="s">
        <v>195</v>
      </c>
      <c r="J216" s="371">
        <v>28.52</v>
      </c>
      <c r="K216" s="371">
        <v>22.9</v>
      </c>
      <c r="L216" s="371">
        <v>12.17</v>
      </c>
      <c r="N216" s="365">
        <f t="shared" ref="N216" si="140">K216+J216+L216</f>
        <v>63.59</v>
      </c>
      <c r="R216" s="111">
        <v>7</v>
      </c>
      <c r="V216" s="371">
        <v>0.53</v>
      </c>
      <c r="W216" s="69">
        <v>6</v>
      </c>
      <c r="X216" s="100">
        <v>5.83</v>
      </c>
      <c r="Y216" s="37">
        <v>112.5</v>
      </c>
      <c r="Z216" s="69">
        <v>111</v>
      </c>
      <c r="AA216" s="16">
        <f t="shared" ref="AA216" si="141">Y216-Z216</f>
        <v>1.5</v>
      </c>
      <c r="AB216" s="66">
        <f t="shared" ref="AB216" si="142">AA216/Z216</f>
        <v>1.3513513513513514E-2</v>
      </c>
      <c r="AC216" s="105" t="s">
        <v>5274</v>
      </c>
      <c r="AD216" s="23" t="s">
        <v>195</v>
      </c>
      <c r="AE216" s="89">
        <v>44335</v>
      </c>
      <c r="AF216" s="88">
        <v>44335</v>
      </c>
      <c r="AG216" s="34">
        <f t="shared" ref="AG216" si="143">AF216-AE216</f>
        <v>0</v>
      </c>
      <c r="AH216" s="135" t="s">
        <v>1790</v>
      </c>
      <c r="AJ216" s="9"/>
    </row>
    <row r="217" spans="1:36">
      <c r="A217" s="151" t="s">
        <v>2460</v>
      </c>
      <c r="B217" s="84">
        <v>480</v>
      </c>
      <c r="C217" s="84">
        <v>91</v>
      </c>
      <c r="D217" s="84">
        <v>329</v>
      </c>
      <c r="E217" s="85">
        <v>-4</v>
      </c>
      <c r="F217" s="7">
        <v>-1.38</v>
      </c>
      <c r="G217" s="58" t="s">
        <v>1176</v>
      </c>
      <c r="H217" s="51" t="s">
        <v>2120</v>
      </c>
      <c r="I217" s="23" t="s">
        <v>1177</v>
      </c>
      <c r="J217" s="371">
        <v>37.119999999999997</v>
      </c>
      <c r="K217" s="77">
        <v>10.54</v>
      </c>
      <c r="L217" s="77">
        <v>23.08</v>
      </c>
      <c r="N217" s="365">
        <f t="shared" ref="N217" si="144">K217+J217+L217</f>
        <v>70.739999999999995</v>
      </c>
      <c r="R217" s="111">
        <v>19</v>
      </c>
      <c r="V217" s="371">
        <v>0.69</v>
      </c>
      <c r="W217" s="35">
        <v>0.5</v>
      </c>
      <c r="X217" s="100">
        <v>3.08</v>
      </c>
      <c r="Y217" s="37">
        <v>59.1</v>
      </c>
      <c r="Z217" s="69">
        <v>60.1</v>
      </c>
      <c r="AA217" s="16">
        <f t="shared" ref="AA217" si="145">Y217-Z217</f>
        <v>-1</v>
      </c>
      <c r="AB217" s="80">
        <f t="shared" ref="AB217" si="146">AA217/Z217</f>
        <v>-1.6638935108153077E-2</v>
      </c>
      <c r="AC217" s="144" t="s">
        <v>5273</v>
      </c>
      <c r="AD217" s="23" t="s">
        <v>1177</v>
      </c>
      <c r="AE217" s="89">
        <v>44335</v>
      </c>
      <c r="AF217" s="88">
        <v>44335</v>
      </c>
      <c r="AG217" s="34">
        <f t="shared" ref="AG217" si="147">AF217-AE217</f>
        <v>0</v>
      </c>
      <c r="AH217" s="135" t="s">
        <v>1790</v>
      </c>
      <c r="AI217" s="135"/>
      <c r="AJ217" s="238"/>
    </row>
    <row r="218" spans="1:36">
      <c r="A218" s="135" t="s">
        <v>3015</v>
      </c>
      <c r="B218" s="98">
        <v>1180</v>
      </c>
      <c r="C218" s="84">
        <v>471</v>
      </c>
      <c r="D218" s="84">
        <v>0</v>
      </c>
      <c r="E218" s="84">
        <v>38</v>
      </c>
      <c r="F218" s="59">
        <v>13.34</v>
      </c>
      <c r="G218" s="58" t="s">
        <v>3526</v>
      </c>
      <c r="H218" s="31" t="s">
        <v>2191</v>
      </c>
      <c r="I218" s="17" t="s">
        <v>337</v>
      </c>
      <c r="J218" s="371">
        <v>26.78</v>
      </c>
      <c r="K218" s="77">
        <v>4.28</v>
      </c>
      <c r="L218" s="371">
        <v>24.52</v>
      </c>
      <c r="N218" s="365">
        <f>K218+J218+L218</f>
        <v>55.58</v>
      </c>
      <c r="R218" s="111">
        <v>14</v>
      </c>
      <c r="V218" s="371">
        <v>0.28999999999999998</v>
      </c>
      <c r="W218" s="69">
        <v>4.5</v>
      </c>
      <c r="X218" s="100">
        <v>9.01</v>
      </c>
      <c r="Y218" s="37">
        <v>67.5</v>
      </c>
      <c r="Z218" s="69">
        <v>65.7</v>
      </c>
      <c r="AA218" s="16">
        <f>Y218-Z218</f>
        <v>1.7999999999999972</v>
      </c>
      <c r="AB218" s="66">
        <f>AA218/Z218</f>
        <v>2.739726027397256E-2</v>
      </c>
      <c r="AC218" s="107" t="s">
        <v>5269</v>
      </c>
      <c r="AD218" s="17" t="s">
        <v>337</v>
      </c>
      <c r="AE218" s="89">
        <v>44335</v>
      </c>
      <c r="AF218" s="88">
        <v>44335</v>
      </c>
      <c r="AG218" s="34">
        <f>AF218-AE218</f>
        <v>0</v>
      </c>
      <c r="AH218" s="42" t="s">
        <v>1790</v>
      </c>
      <c r="AI218" s="249"/>
      <c r="AJ218" s="238"/>
    </row>
    <row r="219" spans="1:36">
      <c r="A219" s="135" t="s">
        <v>2883</v>
      </c>
      <c r="B219" s="84">
        <v>340</v>
      </c>
      <c r="C219" s="84">
        <v>392</v>
      </c>
      <c r="D219" s="85">
        <v>-32</v>
      </c>
      <c r="E219" s="85">
        <v>-22</v>
      </c>
      <c r="F219" s="59">
        <v>50.71</v>
      </c>
      <c r="G219" s="58" t="s">
        <v>1679</v>
      </c>
      <c r="H219" s="31" t="s">
        <v>2191</v>
      </c>
      <c r="I219" s="17" t="s">
        <v>1680</v>
      </c>
      <c r="J219" s="371">
        <v>33.57</v>
      </c>
      <c r="K219" s="77">
        <v>19.8</v>
      </c>
      <c r="L219" s="77">
        <v>11.88</v>
      </c>
      <c r="N219" s="365">
        <f>K219+J219+L219</f>
        <v>65.25</v>
      </c>
      <c r="V219" s="371">
        <v>0.03</v>
      </c>
      <c r="W219" s="69">
        <v>3.83</v>
      </c>
      <c r="X219" s="100">
        <v>8.31</v>
      </c>
      <c r="Y219" s="37">
        <v>175.5</v>
      </c>
      <c r="Z219" s="69">
        <v>173</v>
      </c>
      <c r="AA219" s="16">
        <f t="shared" ref="AA219" si="148">Y219-Z219</f>
        <v>2.5</v>
      </c>
      <c r="AB219" s="66">
        <f t="shared" ref="AB219" si="149">AA219/Z219</f>
        <v>1.4450867052023121E-2</v>
      </c>
      <c r="AC219" s="107" t="s">
        <v>5270</v>
      </c>
      <c r="AD219" s="17" t="s">
        <v>1680</v>
      </c>
      <c r="AE219" s="89">
        <v>44335</v>
      </c>
      <c r="AF219" s="88">
        <v>44335</v>
      </c>
      <c r="AG219" s="34">
        <f>AF219-AE219</f>
        <v>0</v>
      </c>
      <c r="AH219" s="42" t="s">
        <v>1790</v>
      </c>
      <c r="AI219" s="249"/>
      <c r="AJ219" s="238"/>
    </row>
    <row r="220" spans="1:36">
      <c r="A220" s="135" t="s">
        <v>2514</v>
      </c>
      <c r="B220" s="85">
        <v>-1</v>
      </c>
      <c r="C220" s="84">
        <v>6</v>
      </c>
      <c r="D220" s="85">
        <v>-10</v>
      </c>
      <c r="E220" s="84">
        <v>14</v>
      </c>
      <c r="F220" s="59">
        <v>24.68</v>
      </c>
      <c r="G220" s="42" t="s">
        <v>124</v>
      </c>
      <c r="H220" s="51" t="s">
        <v>2120</v>
      </c>
      <c r="I220" s="17" t="s">
        <v>285</v>
      </c>
      <c r="J220" s="371">
        <v>57.43</v>
      </c>
      <c r="K220" s="371">
        <v>28.97</v>
      </c>
      <c r="L220" s="371">
        <v>8.64</v>
      </c>
      <c r="N220" s="389">
        <f t="shared" ref="N220" si="150">K220+J220+L220</f>
        <v>95.04</v>
      </c>
      <c r="P220" s="195"/>
      <c r="R220" s="111">
        <v>2</v>
      </c>
      <c r="V220" s="371">
        <v>0.35</v>
      </c>
      <c r="W220" s="69">
        <v>5.5</v>
      </c>
      <c r="X220" s="59">
        <v>10.94</v>
      </c>
      <c r="Y220" s="37">
        <v>153.5</v>
      </c>
      <c r="Z220" s="69">
        <v>152</v>
      </c>
      <c r="AA220" s="16">
        <f t="shared" ref="AA220" si="151">Y220-Z220</f>
        <v>1.5</v>
      </c>
      <c r="AB220" s="66">
        <f t="shared" ref="AB220" si="152">AA220/Z220</f>
        <v>9.8684210526315784E-3</v>
      </c>
      <c r="AC220" s="177" t="s">
        <v>5271</v>
      </c>
      <c r="AD220" s="17" t="s">
        <v>285</v>
      </c>
      <c r="AE220" s="89">
        <v>44334</v>
      </c>
      <c r="AF220" s="88">
        <v>44334</v>
      </c>
      <c r="AG220" s="34">
        <f t="shared" ref="AG220:AG230" si="153">AF220-AE220</f>
        <v>0</v>
      </c>
      <c r="AH220" s="135" t="s">
        <v>1790</v>
      </c>
      <c r="AI220" s="249"/>
      <c r="AJ220" s="239"/>
    </row>
    <row r="221" spans="1:36">
      <c r="A221" s="135" t="s">
        <v>2883</v>
      </c>
      <c r="B221" s="84">
        <v>340</v>
      </c>
      <c r="C221" s="84">
        <v>392</v>
      </c>
      <c r="D221" s="85">
        <v>-32</v>
      </c>
      <c r="E221" s="85">
        <v>-22</v>
      </c>
      <c r="F221" s="59">
        <v>50.71</v>
      </c>
      <c r="G221" s="58" t="s">
        <v>1679</v>
      </c>
      <c r="H221" s="31" t="s">
        <v>2191</v>
      </c>
      <c r="I221" s="17" t="s">
        <v>1680</v>
      </c>
      <c r="J221" s="371">
        <v>33.57</v>
      </c>
      <c r="K221" s="77">
        <v>19.8</v>
      </c>
      <c r="L221" s="77">
        <v>11.88</v>
      </c>
      <c r="N221" s="365">
        <f>K221+J221+L221</f>
        <v>65.25</v>
      </c>
      <c r="V221" s="371">
        <v>0.03</v>
      </c>
      <c r="W221" s="69">
        <v>3.83</v>
      </c>
      <c r="X221" s="100">
        <v>8.31</v>
      </c>
      <c r="Y221" s="37">
        <v>167.5</v>
      </c>
      <c r="Z221" s="69">
        <v>165.5</v>
      </c>
      <c r="AA221" s="16">
        <f t="shared" ref="AA221" si="154">Y221-Z221</f>
        <v>2</v>
      </c>
      <c r="AB221" s="66">
        <f t="shared" ref="AB221" si="155">AA221/Z221</f>
        <v>1.2084592145015106E-2</v>
      </c>
      <c r="AC221" s="107" t="s">
        <v>5272</v>
      </c>
      <c r="AD221" s="17" t="s">
        <v>1680</v>
      </c>
      <c r="AE221" s="89">
        <v>44334</v>
      </c>
      <c r="AF221" s="88">
        <v>44334</v>
      </c>
      <c r="AG221" s="34">
        <f t="shared" si="153"/>
        <v>0</v>
      </c>
      <c r="AH221" s="42" t="s">
        <v>1790</v>
      </c>
      <c r="AI221" s="249"/>
      <c r="AJ221" s="238"/>
    </row>
    <row r="222" spans="1:36">
      <c r="A222" s="151" t="s">
        <v>2632</v>
      </c>
      <c r="B222" s="85">
        <v>-47</v>
      </c>
      <c r="C222" s="85">
        <v>-47</v>
      </c>
      <c r="D222" s="85">
        <v>-17</v>
      </c>
      <c r="E222" s="85">
        <v>-38</v>
      </c>
      <c r="F222" s="230">
        <v>4.82</v>
      </c>
      <c r="G222" s="58" t="s">
        <v>3215</v>
      </c>
      <c r="H222" s="51" t="s">
        <v>2120</v>
      </c>
      <c r="I222" s="23" t="s">
        <v>1250</v>
      </c>
      <c r="J222" s="77">
        <v>47.39</v>
      </c>
      <c r="K222" s="77">
        <v>5.49</v>
      </c>
      <c r="L222" s="77">
        <v>22.08</v>
      </c>
      <c r="N222" s="365">
        <f t="shared" ref="N222" si="156">K222+J222+L222</f>
        <v>74.960000000000008</v>
      </c>
      <c r="V222" s="371">
        <v>6.73</v>
      </c>
      <c r="W222" s="69">
        <v>3</v>
      </c>
      <c r="X222" s="100">
        <v>4.32</v>
      </c>
      <c r="Y222" s="37">
        <v>43.9</v>
      </c>
      <c r="Z222" s="69">
        <v>44.85</v>
      </c>
      <c r="AA222" s="16">
        <f t="shared" ref="AA222" si="157">Y222-Z222</f>
        <v>-0.95000000000000284</v>
      </c>
      <c r="AB222" s="80">
        <f t="shared" ref="AB222" si="158">AA222/Z222</f>
        <v>-2.118171683389081E-2</v>
      </c>
      <c r="AC222" s="106" t="s">
        <v>5266</v>
      </c>
      <c r="AD222" s="23" t="s">
        <v>1250</v>
      </c>
      <c r="AE222" s="89">
        <v>44334</v>
      </c>
      <c r="AF222" s="88">
        <v>44334</v>
      </c>
      <c r="AG222" s="34">
        <f t="shared" si="153"/>
        <v>0</v>
      </c>
      <c r="AH222" s="135" t="s">
        <v>1790</v>
      </c>
      <c r="AI222" s="249"/>
      <c r="AJ222" s="9"/>
    </row>
    <row r="223" spans="1:36">
      <c r="A223" s="135" t="s">
        <v>2930</v>
      </c>
      <c r="B223" s="98">
        <v>5707</v>
      </c>
      <c r="C223" s="98">
        <v>7419</v>
      </c>
      <c r="D223" s="84">
        <v>24</v>
      </c>
      <c r="E223" s="85">
        <v>-46</v>
      </c>
      <c r="F223" s="59">
        <v>62.23</v>
      </c>
      <c r="G223" s="58" t="s">
        <v>1088</v>
      </c>
      <c r="H223" s="31" t="s">
        <v>2191</v>
      </c>
      <c r="I223" s="23" t="s">
        <v>1089</v>
      </c>
      <c r="J223" s="77">
        <v>42.85</v>
      </c>
      <c r="K223" s="371">
        <v>7.48</v>
      </c>
      <c r="L223" s="77">
        <v>21.94</v>
      </c>
      <c r="N223" s="365">
        <f>K223+J223+L223</f>
        <v>72.27</v>
      </c>
      <c r="V223" s="371">
        <v>4.46</v>
      </c>
      <c r="W223" s="69">
        <v>12</v>
      </c>
      <c r="X223" s="100">
        <v>23.16</v>
      </c>
      <c r="Y223" s="242">
        <v>112.5</v>
      </c>
      <c r="Z223" s="242">
        <v>110</v>
      </c>
      <c r="AA223" s="16">
        <f>Y223-Z223</f>
        <v>2.5</v>
      </c>
      <c r="AB223" s="66">
        <f>AA223/Z223</f>
        <v>2.2727272727272728E-2</v>
      </c>
      <c r="AC223" s="107" t="s">
        <v>2626</v>
      </c>
      <c r="AD223" s="23" t="s">
        <v>1089</v>
      </c>
      <c r="AE223" s="89">
        <v>44334</v>
      </c>
      <c r="AF223" s="88">
        <v>44334</v>
      </c>
      <c r="AG223" s="34">
        <f t="shared" si="153"/>
        <v>0</v>
      </c>
      <c r="AH223" s="42" t="s">
        <v>1790</v>
      </c>
      <c r="AI223" s="235"/>
      <c r="AJ223" s="202"/>
    </row>
    <row r="224" spans="1:36">
      <c r="A224" s="135" t="s">
        <v>2883</v>
      </c>
      <c r="B224" s="84">
        <v>340</v>
      </c>
      <c r="C224" s="84">
        <v>392</v>
      </c>
      <c r="D224" s="85">
        <v>-32</v>
      </c>
      <c r="E224" s="85">
        <v>-22</v>
      </c>
      <c r="F224" s="59">
        <v>50.71</v>
      </c>
      <c r="G224" s="58" t="s">
        <v>1679</v>
      </c>
      <c r="H224" s="31" t="s">
        <v>2191</v>
      </c>
      <c r="I224" s="17" t="s">
        <v>1680</v>
      </c>
      <c r="J224" s="371">
        <v>33.57</v>
      </c>
      <c r="K224" s="77">
        <v>19.8</v>
      </c>
      <c r="L224" s="77">
        <v>11.88</v>
      </c>
      <c r="N224" s="365">
        <f>K224+J224+L224</f>
        <v>65.25</v>
      </c>
      <c r="V224" s="371">
        <v>0.03</v>
      </c>
      <c r="W224" s="69">
        <v>3.83</v>
      </c>
      <c r="X224" s="100">
        <v>8.31</v>
      </c>
      <c r="Y224" s="37">
        <v>168.5</v>
      </c>
      <c r="Z224" s="69">
        <v>166</v>
      </c>
      <c r="AA224" s="16">
        <f t="shared" ref="AA224" si="159">Y224-Z224</f>
        <v>2.5</v>
      </c>
      <c r="AB224" s="66">
        <f t="shared" ref="AB224" si="160">AA224/Z224</f>
        <v>1.5060240963855422E-2</v>
      </c>
      <c r="AC224" s="107" t="s">
        <v>5265</v>
      </c>
      <c r="AD224" s="17" t="s">
        <v>1680</v>
      </c>
      <c r="AE224" s="89">
        <v>44330</v>
      </c>
      <c r="AF224" s="88">
        <v>44334</v>
      </c>
      <c r="AG224" s="34">
        <f t="shared" si="153"/>
        <v>4</v>
      </c>
      <c r="AH224" s="42" t="s">
        <v>1790</v>
      </c>
      <c r="AI224" s="249"/>
      <c r="AJ224" s="238"/>
    </row>
    <row r="225" spans="1:36">
      <c r="A225" s="135" t="s">
        <v>2514</v>
      </c>
      <c r="B225" s="85">
        <v>-1</v>
      </c>
      <c r="C225" s="84">
        <v>6</v>
      </c>
      <c r="D225" s="85">
        <v>-10</v>
      </c>
      <c r="E225" s="84">
        <v>14</v>
      </c>
      <c r="F225" s="59">
        <v>24.68</v>
      </c>
      <c r="G225" s="42" t="s">
        <v>124</v>
      </c>
      <c r="H225" s="51" t="s">
        <v>2120</v>
      </c>
      <c r="I225" s="17" t="s">
        <v>285</v>
      </c>
      <c r="J225" s="371">
        <v>57.43</v>
      </c>
      <c r="K225" s="371">
        <v>28.97</v>
      </c>
      <c r="L225" s="371">
        <v>8.64</v>
      </c>
      <c r="N225" s="389">
        <f t="shared" ref="N225" si="161">K225+J225+L225</f>
        <v>95.04</v>
      </c>
      <c r="P225" s="195"/>
      <c r="V225" s="371">
        <v>0.35</v>
      </c>
      <c r="W225" s="69">
        <v>5.5</v>
      </c>
      <c r="X225" s="59">
        <v>10.94</v>
      </c>
      <c r="Y225" s="37">
        <v>150.5</v>
      </c>
      <c r="Z225" s="69">
        <v>150</v>
      </c>
      <c r="AA225" s="16">
        <f t="shared" ref="AA225" si="162">Y225-Z225</f>
        <v>0.5</v>
      </c>
      <c r="AB225" s="66">
        <f t="shared" ref="AB225" si="163">AA225/Z225</f>
        <v>3.3333333333333335E-3</v>
      </c>
      <c r="AC225" s="177" t="s">
        <v>5264</v>
      </c>
      <c r="AD225" s="17" t="s">
        <v>285</v>
      </c>
      <c r="AE225" s="89">
        <v>44333</v>
      </c>
      <c r="AF225" s="88">
        <v>44334</v>
      </c>
      <c r="AG225" s="34">
        <f t="shared" si="153"/>
        <v>1</v>
      </c>
      <c r="AH225" s="135" t="s">
        <v>1790</v>
      </c>
      <c r="AI225" s="249"/>
      <c r="AJ225" s="239"/>
    </row>
    <row r="226" spans="1:36">
      <c r="A226" s="135" t="s">
        <v>2514</v>
      </c>
      <c r="B226" s="85">
        <v>-1</v>
      </c>
      <c r="C226" s="84">
        <v>6</v>
      </c>
      <c r="D226" s="85">
        <v>-10</v>
      </c>
      <c r="E226" s="84">
        <v>14</v>
      </c>
      <c r="F226" s="59">
        <v>24.68</v>
      </c>
      <c r="G226" s="42" t="s">
        <v>124</v>
      </c>
      <c r="H226" s="31" t="s">
        <v>2191</v>
      </c>
      <c r="I226" s="17" t="s">
        <v>285</v>
      </c>
      <c r="J226" s="371">
        <v>57.43</v>
      </c>
      <c r="K226" s="371">
        <v>28.97</v>
      </c>
      <c r="L226" s="371">
        <v>8.64</v>
      </c>
      <c r="N226" s="389">
        <f t="shared" ref="N226" si="164">K226+J226+L226</f>
        <v>95.04</v>
      </c>
      <c r="P226" s="195"/>
      <c r="V226" s="371">
        <v>0.35</v>
      </c>
      <c r="W226" s="69">
        <v>5.5</v>
      </c>
      <c r="X226" s="59">
        <v>10.94</v>
      </c>
      <c r="Y226" s="37">
        <v>150</v>
      </c>
      <c r="Z226" s="69">
        <v>150</v>
      </c>
      <c r="AA226" s="16">
        <f t="shared" ref="AA226" si="165">Y226-Z226</f>
        <v>0</v>
      </c>
      <c r="AB226" s="66">
        <f t="shared" ref="AB226" si="166">AA226/Z226</f>
        <v>0</v>
      </c>
      <c r="AC226" s="177" t="s">
        <v>2241</v>
      </c>
      <c r="AD226" s="17" t="s">
        <v>285</v>
      </c>
      <c r="AE226" s="89">
        <v>44333</v>
      </c>
      <c r="AF226" s="88">
        <v>44334</v>
      </c>
      <c r="AG226" s="34">
        <f t="shared" si="153"/>
        <v>1</v>
      </c>
      <c r="AH226" s="42" t="s">
        <v>1790</v>
      </c>
      <c r="AI226" s="249"/>
      <c r="AJ226" s="239"/>
    </row>
    <row r="227" spans="1:36">
      <c r="A227" s="135" t="s">
        <v>2883</v>
      </c>
      <c r="B227" s="84">
        <v>340</v>
      </c>
      <c r="C227" s="84">
        <v>392</v>
      </c>
      <c r="D227" s="85">
        <v>-32</v>
      </c>
      <c r="E227" s="85">
        <v>-22</v>
      </c>
      <c r="F227" s="59">
        <v>50.71</v>
      </c>
      <c r="G227" s="58" t="s">
        <v>1679</v>
      </c>
      <c r="H227" s="31" t="s">
        <v>2191</v>
      </c>
      <c r="I227" s="17" t="s">
        <v>1680</v>
      </c>
      <c r="J227" s="371">
        <v>33.57</v>
      </c>
      <c r="K227" s="77">
        <v>19.8</v>
      </c>
      <c r="L227" s="77">
        <v>11.88</v>
      </c>
      <c r="N227" s="365">
        <f>K227+J227+L227</f>
        <v>65.25</v>
      </c>
      <c r="V227" s="371">
        <v>0.03</v>
      </c>
      <c r="W227" s="69">
        <v>3.83</v>
      </c>
      <c r="X227" s="100">
        <v>8.31</v>
      </c>
      <c r="Y227" s="37">
        <v>161</v>
      </c>
      <c r="Z227" s="69">
        <v>134.5</v>
      </c>
      <c r="AA227" s="16">
        <f t="shared" ref="AA227" si="167">Y227-Z227</f>
        <v>26.5</v>
      </c>
      <c r="AB227" s="66">
        <f t="shared" ref="AB227" si="168">AA227/Z227</f>
        <v>0.19702602230483271</v>
      </c>
      <c r="AC227" s="107" t="s">
        <v>2537</v>
      </c>
      <c r="AD227" s="17" t="s">
        <v>1680</v>
      </c>
      <c r="AE227" s="89">
        <v>44330</v>
      </c>
      <c r="AF227" s="88">
        <v>44334</v>
      </c>
      <c r="AG227" s="34">
        <f t="shared" si="153"/>
        <v>4</v>
      </c>
      <c r="AH227" s="42" t="s">
        <v>1790</v>
      </c>
      <c r="AI227" s="249"/>
      <c r="AJ227" s="238"/>
    </row>
    <row r="228" spans="1:36">
      <c r="A228" s="151" t="s">
        <v>2460</v>
      </c>
      <c r="B228" s="84">
        <v>480</v>
      </c>
      <c r="C228" s="84">
        <v>91</v>
      </c>
      <c r="D228" s="84">
        <v>329</v>
      </c>
      <c r="E228" s="85">
        <v>-4</v>
      </c>
      <c r="F228" s="7">
        <v>-1.38</v>
      </c>
      <c r="G228" s="58" t="s">
        <v>1176</v>
      </c>
      <c r="H228" s="51" t="s">
        <v>2120</v>
      </c>
      <c r="I228" s="23" t="s">
        <v>1177</v>
      </c>
      <c r="J228" s="371">
        <v>37.119999999999997</v>
      </c>
      <c r="K228" s="77">
        <v>10.54</v>
      </c>
      <c r="L228" s="77">
        <v>23.08</v>
      </c>
      <c r="N228" s="365">
        <f t="shared" ref="N228:N230" si="169">K228+J228+L228</f>
        <v>70.739999999999995</v>
      </c>
      <c r="V228" s="371">
        <v>0.69</v>
      </c>
      <c r="W228" s="35">
        <v>0.5</v>
      </c>
      <c r="X228" s="100">
        <v>3.08</v>
      </c>
      <c r="Y228" s="37">
        <v>61.2</v>
      </c>
      <c r="Z228" s="69">
        <v>62.3</v>
      </c>
      <c r="AA228" s="16">
        <f t="shared" ref="AA228:AA234" si="170">Y228-Z228</f>
        <v>-1.0999999999999943</v>
      </c>
      <c r="AB228" s="80">
        <f t="shared" ref="AB228:AB230" si="171">AA228/Z228</f>
        <v>-1.7656500802568129E-2</v>
      </c>
      <c r="AC228" s="144" t="s">
        <v>4914</v>
      </c>
      <c r="AD228" s="23" t="s">
        <v>1177</v>
      </c>
      <c r="AE228" s="89">
        <v>44333</v>
      </c>
      <c r="AF228" s="88">
        <v>44334</v>
      </c>
      <c r="AG228" s="34">
        <f t="shared" si="153"/>
        <v>1</v>
      </c>
      <c r="AH228" s="135" t="s">
        <v>1790</v>
      </c>
      <c r="AI228" s="237"/>
      <c r="AJ228" s="238"/>
    </row>
    <row r="229" spans="1:36">
      <c r="A229" s="151" t="s">
        <v>2460</v>
      </c>
      <c r="B229" s="84">
        <v>480</v>
      </c>
      <c r="C229" s="84">
        <v>91</v>
      </c>
      <c r="D229" s="84">
        <v>329</v>
      </c>
      <c r="E229" s="85">
        <v>-4</v>
      </c>
      <c r="F229" s="7">
        <v>-1.38</v>
      </c>
      <c r="G229" s="58" t="s">
        <v>1176</v>
      </c>
      <c r="H229" s="51" t="s">
        <v>2120</v>
      </c>
      <c r="I229" s="23" t="s">
        <v>1177</v>
      </c>
      <c r="J229" s="371">
        <v>37.119999999999997</v>
      </c>
      <c r="K229" s="77">
        <v>10.54</v>
      </c>
      <c r="L229" s="77">
        <v>23.08</v>
      </c>
      <c r="N229" s="365">
        <f t="shared" si="169"/>
        <v>70.739999999999995</v>
      </c>
      <c r="V229" s="371">
        <v>0.69</v>
      </c>
      <c r="W229" s="35">
        <v>0.5</v>
      </c>
      <c r="X229" s="100">
        <v>3.08</v>
      </c>
      <c r="Y229" s="37">
        <v>61.2</v>
      </c>
      <c r="Z229" s="69">
        <v>62.4</v>
      </c>
      <c r="AA229" s="16">
        <f t="shared" si="170"/>
        <v>-1.1999999999999957</v>
      </c>
      <c r="AB229" s="80">
        <f t="shared" si="171"/>
        <v>-1.9230769230769162E-2</v>
      </c>
      <c r="AC229" s="144" t="s">
        <v>5260</v>
      </c>
      <c r="AD229" s="23" t="s">
        <v>1177</v>
      </c>
      <c r="AE229" s="89">
        <v>44333</v>
      </c>
      <c r="AF229" s="88">
        <v>44334</v>
      </c>
      <c r="AG229" s="34">
        <f t="shared" si="153"/>
        <v>1</v>
      </c>
      <c r="AH229" s="135" t="s">
        <v>1790</v>
      </c>
      <c r="AI229" s="135" t="s">
        <v>2243</v>
      </c>
      <c r="AJ229" s="238"/>
    </row>
    <row r="230" spans="1:36">
      <c r="A230" s="151" t="s">
        <v>2460</v>
      </c>
      <c r="B230" s="84">
        <v>480</v>
      </c>
      <c r="C230" s="84">
        <v>91</v>
      </c>
      <c r="D230" s="84">
        <v>329</v>
      </c>
      <c r="E230" s="85">
        <v>-4</v>
      </c>
      <c r="F230" s="7">
        <v>-1.38</v>
      </c>
      <c r="G230" s="58" t="s">
        <v>1176</v>
      </c>
      <c r="H230" s="31" t="s">
        <v>2191</v>
      </c>
      <c r="I230" s="23" t="s">
        <v>1177</v>
      </c>
      <c r="J230" s="371">
        <v>37.119999999999997</v>
      </c>
      <c r="K230" s="77">
        <v>10.54</v>
      </c>
      <c r="L230" s="77">
        <v>23.08</v>
      </c>
      <c r="N230" s="365">
        <f t="shared" si="169"/>
        <v>70.739999999999995</v>
      </c>
      <c r="V230" s="371">
        <v>0.69</v>
      </c>
      <c r="W230" s="35">
        <v>0.5</v>
      </c>
      <c r="X230" s="100">
        <v>3.08</v>
      </c>
      <c r="Y230" s="37">
        <v>61.1</v>
      </c>
      <c r="Z230" s="69">
        <v>62.3</v>
      </c>
      <c r="AA230" s="16">
        <f t="shared" si="170"/>
        <v>-1.1999999999999957</v>
      </c>
      <c r="AB230" s="80">
        <f t="shared" si="171"/>
        <v>-1.9261637239165262E-2</v>
      </c>
      <c r="AC230" s="144" t="s">
        <v>5261</v>
      </c>
      <c r="AD230" s="23" t="s">
        <v>1177</v>
      </c>
      <c r="AE230" s="89">
        <v>44333</v>
      </c>
      <c r="AF230" s="88">
        <v>44334</v>
      </c>
      <c r="AG230" s="34">
        <f t="shared" si="153"/>
        <v>1</v>
      </c>
      <c r="AH230" s="42" t="s">
        <v>1790</v>
      </c>
      <c r="AI230" s="237"/>
      <c r="AJ230" s="238"/>
    </row>
    <row r="231" spans="1:36">
      <c r="A231" s="151" t="s">
        <v>2587</v>
      </c>
      <c r="B231" s="84">
        <v>369</v>
      </c>
      <c r="C231" s="84">
        <v>78</v>
      </c>
      <c r="D231" s="85">
        <v>-10</v>
      </c>
      <c r="E231" s="84">
        <v>27</v>
      </c>
      <c r="F231" s="7">
        <v>-2.17</v>
      </c>
      <c r="G231" s="58" t="s">
        <v>1097</v>
      </c>
      <c r="H231" s="51" t="s">
        <v>2120</v>
      </c>
      <c r="I231" s="17" t="s">
        <v>1098</v>
      </c>
      <c r="J231" s="77">
        <v>27.85</v>
      </c>
      <c r="K231" s="77">
        <v>0.28999999999999998</v>
      </c>
      <c r="N231" s="365">
        <f>K231+J231+L231</f>
        <v>28.14</v>
      </c>
      <c r="P231" s="2"/>
      <c r="R231" s="111">
        <v>41</v>
      </c>
      <c r="W231" s="35">
        <v>0</v>
      </c>
      <c r="X231" s="100">
        <v>4.3499999999999996</v>
      </c>
      <c r="Y231" s="37">
        <v>29.5</v>
      </c>
      <c r="Z231" s="69">
        <v>24.55</v>
      </c>
      <c r="AA231" s="16">
        <f t="shared" si="170"/>
        <v>4.9499999999999993</v>
      </c>
      <c r="AB231" s="66">
        <f t="shared" ref="AB231" si="172">AA231/Z231</f>
        <v>0.20162932790224028</v>
      </c>
      <c r="AC231" s="107" t="s">
        <v>5262</v>
      </c>
      <c r="AD231" s="17" t="s">
        <v>1098</v>
      </c>
      <c r="AE231" s="89">
        <v>44330</v>
      </c>
      <c r="AF231" s="88">
        <v>44334</v>
      </c>
      <c r="AG231" s="34">
        <f t="shared" ref="AG231" si="173">AF231-AE231</f>
        <v>4</v>
      </c>
      <c r="AH231" s="135" t="s">
        <v>1790</v>
      </c>
      <c r="AI231" s="249"/>
      <c r="AJ231" s="238"/>
    </row>
    <row r="232" spans="1:36">
      <c r="A232" s="135" t="s">
        <v>2930</v>
      </c>
      <c r="B232" s="98">
        <v>5707</v>
      </c>
      <c r="C232" s="98">
        <v>7419</v>
      </c>
      <c r="D232" s="84">
        <v>24</v>
      </c>
      <c r="E232" s="85">
        <v>-46</v>
      </c>
      <c r="F232" s="59">
        <v>62.23</v>
      </c>
      <c r="G232" s="58" t="s">
        <v>1088</v>
      </c>
      <c r="H232" s="51" t="s">
        <v>2120</v>
      </c>
      <c r="I232" s="23" t="s">
        <v>1089</v>
      </c>
      <c r="J232" s="77">
        <v>42.85</v>
      </c>
      <c r="K232" s="371">
        <v>7.48</v>
      </c>
      <c r="L232" s="77">
        <v>21.94</v>
      </c>
      <c r="N232" s="365">
        <f>K232+J232+L232</f>
        <v>72.27</v>
      </c>
      <c r="V232" s="371">
        <v>4.46</v>
      </c>
      <c r="W232" s="69">
        <v>12</v>
      </c>
      <c r="X232" s="100">
        <v>23.16</v>
      </c>
      <c r="Y232" s="242">
        <v>115.5</v>
      </c>
      <c r="Z232" s="242">
        <v>107.5</v>
      </c>
      <c r="AA232" s="16">
        <f t="shared" si="170"/>
        <v>8</v>
      </c>
      <c r="AB232" s="66">
        <f>AA232/Z232</f>
        <v>7.441860465116279E-2</v>
      </c>
      <c r="AC232" s="107" t="s">
        <v>2630</v>
      </c>
      <c r="AD232" s="23" t="s">
        <v>1089</v>
      </c>
      <c r="AE232" s="89">
        <v>44330</v>
      </c>
      <c r="AF232" s="88">
        <v>44334</v>
      </c>
      <c r="AG232" s="34">
        <f>AF232-AE232</f>
        <v>4</v>
      </c>
      <c r="AH232" s="135" t="s">
        <v>1790</v>
      </c>
      <c r="AI232" s="235"/>
      <c r="AJ232" s="202"/>
    </row>
    <row r="233" spans="1:36">
      <c r="A233" s="135" t="s">
        <v>2930</v>
      </c>
      <c r="B233" s="98">
        <v>5707</v>
      </c>
      <c r="C233" s="98">
        <v>7419</v>
      </c>
      <c r="D233" s="84">
        <v>24</v>
      </c>
      <c r="E233" s="85">
        <v>-46</v>
      </c>
      <c r="F233" s="59">
        <v>62.23</v>
      </c>
      <c r="G233" s="58" t="s">
        <v>1088</v>
      </c>
      <c r="H233" s="31" t="s">
        <v>2191</v>
      </c>
      <c r="I233" s="23" t="s">
        <v>1089</v>
      </c>
      <c r="J233" s="77">
        <v>42.85</v>
      </c>
      <c r="K233" s="371">
        <v>7.48</v>
      </c>
      <c r="L233" s="77">
        <v>21.94</v>
      </c>
      <c r="N233" s="365">
        <f>K233+J233+L233</f>
        <v>72.27</v>
      </c>
      <c r="V233" s="371">
        <v>4.46</v>
      </c>
      <c r="W233" s="69">
        <v>12</v>
      </c>
      <c r="X233" s="100">
        <v>23.16</v>
      </c>
      <c r="Y233" s="242">
        <v>115.5</v>
      </c>
      <c r="Z233" s="242">
        <v>107.5</v>
      </c>
      <c r="AA233" s="16">
        <f t="shared" si="170"/>
        <v>8</v>
      </c>
      <c r="AB233" s="66">
        <f>AA233/Z233</f>
        <v>7.441860465116279E-2</v>
      </c>
      <c r="AC233" s="107" t="s">
        <v>2630</v>
      </c>
      <c r="AD233" s="23" t="s">
        <v>1089</v>
      </c>
      <c r="AE233" s="89">
        <v>44330</v>
      </c>
      <c r="AF233" s="88">
        <v>44334</v>
      </c>
      <c r="AG233" s="34">
        <f>AF233-AE233</f>
        <v>4</v>
      </c>
      <c r="AH233" s="42" t="s">
        <v>1790</v>
      </c>
      <c r="AI233" s="235"/>
      <c r="AJ233" s="202"/>
    </row>
    <row r="234" spans="1:36" s="288" customFormat="1" ht="15.75" customHeight="1">
      <c r="A234" s="135" t="s">
        <v>4712</v>
      </c>
      <c r="B234" s="84">
        <v>33</v>
      </c>
      <c r="C234" s="85">
        <v>-11</v>
      </c>
      <c r="D234" s="85">
        <v>-23</v>
      </c>
      <c r="E234" s="85">
        <v>-48</v>
      </c>
      <c r="F234" s="59">
        <v>26.29</v>
      </c>
      <c r="G234" s="58" t="s">
        <v>2798</v>
      </c>
      <c r="H234" s="31" t="s">
        <v>2191</v>
      </c>
      <c r="I234" s="176" t="s">
        <v>72</v>
      </c>
      <c r="J234" s="371">
        <v>41.12</v>
      </c>
      <c r="K234" s="77">
        <v>7.2</v>
      </c>
      <c r="L234" s="77">
        <v>16.53</v>
      </c>
      <c r="M234" s="365"/>
      <c r="N234" s="365">
        <f>K234+J234+L234</f>
        <v>64.849999999999994</v>
      </c>
      <c r="O234" s="343"/>
      <c r="P234" s="166"/>
      <c r="Q234" s="326"/>
      <c r="R234" s="111"/>
      <c r="S234" s="51"/>
      <c r="T234" s="339"/>
      <c r="U234" s="329"/>
      <c r="V234" s="371">
        <v>0.18</v>
      </c>
      <c r="W234" s="68">
        <v>11.5</v>
      </c>
      <c r="X234" s="100">
        <v>18.309999999999999</v>
      </c>
      <c r="Y234" s="171">
        <v>195.5</v>
      </c>
      <c r="Z234" s="68">
        <v>190.5</v>
      </c>
      <c r="AA234" s="172">
        <f t="shared" si="170"/>
        <v>5</v>
      </c>
      <c r="AB234" s="168">
        <f>AA234/Z234</f>
        <v>2.6246719160104987E-2</v>
      </c>
      <c r="AC234" s="177" t="s">
        <v>5263</v>
      </c>
      <c r="AD234" s="176" t="s">
        <v>72</v>
      </c>
      <c r="AE234" s="89">
        <v>44333</v>
      </c>
      <c r="AF234" s="88">
        <v>44334</v>
      </c>
      <c r="AG234" s="34">
        <f t="shared" ref="AG234" si="174">AF234-AE234</f>
        <v>1</v>
      </c>
      <c r="AH234" s="42" t="s">
        <v>1790</v>
      </c>
      <c r="AI234" s="237"/>
      <c r="AJ234" s="238"/>
    </row>
    <row r="235" spans="1:36">
      <c r="A235" s="135" t="s">
        <v>3240</v>
      </c>
      <c r="B235" s="98">
        <v>2459</v>
      </c>
      <c r="C235" s="98">
        <v>3043</v>
      </c>
      <c r="D235" s="85">
        <v>-2</v>
      </c>
      <c r="E235" s="85">
        <v>-52</v>
      </c>
      <c r="F235" s="59">
        <v>36.35</v>
      </c>
      <c r="G235" s="58" t="s">
        <v>910</v>
      </c>
      <c r="H235" s="31" t="s">
        <v>2191</v>
      </c>
      <c r="I235" s="17" t="s">
        <v>911</v>
      </c>
      <c r="J235" s="371">
        <v>27</v>
      </c>
      <c r="K235" s="77">
        <v>4.71</v>
      </c>
      <c r="L235" s="77">
        <v>29.37</v>
      </c>
      <c r="N235" s="365">
        <f>K235+J235+L235</f>
        <v>61.08</v>
      </c>
      <c r="V235" s="371">
        <v>10.210000000000001</v>
      </c>
      <c r="W235" s="46">
        <v>10</v>
      </c>
      <c r="X235" s="100">
        <v>17.010000000000002</v>
      </c>
      <c r="Y235" s="37">
        <v>85</v>
      </c>
      <c r="Z235" s="69">
        <v>84.1</v>
      </c>
      <c r="AA235" s="16">
        <f t="shared" ref="AA235:AA244" si="175">Y235-Z235</f>
        <v>0.90000000000000568</v>
      </c>
      <c r="AB235" s="66">
        <f>AA235/Z235</f>
        <v>1.0701545778834788E-2</v>
      </c>
      <c r="AC235" s="107" t="s">
        <v>5258</v>
      </c>
      <c r="AD235" s="17" t="s">
        <v>911</v>
      </c>
      <c r="AE235" s="89">
        <v>44330</v>
      </c>
      <c r="AF235" s="88">
        <v>44333</v>
      </c>
      <c r="AG235" s="34">
        <f t="shared" ref="AG235" si="176">AF235-AE235</f>
        <v>3</v>
      </c>
      <c r="AH235" s="42" t="s">
        <v>1790</v>
      </c>
      <c r="AI235" s="249"/>
      <c r="AJ235" s="238"/>
    </row>
    <row r="236" spans="1:36">
      <c r="A236" s="135" t="s">
        <v>2613</v>
      </c>
      <c r="B236" s="84">
        <v>493</v>
      </c>
      <c r="C236" s="84">
        <v>373</v>
      </c>
      <c r="D236" s="85">
        <v>-6</v>
      </c>
      <c r="E236" s="84">
        <v>340</v>
      </c>
      <c r="F236" s="59">
        <v>21.21</v>
      </c>
      <c r="G236" s="58" t="s">
        <v>1136</v>
      </c>
      <c r="H236" s="51" t="s">
        <v>2120</v>
      </c>
      <c r="I236" s="17" t="s">
        <v>1137</v>
      </c>
      <c r="J236" s="371">
        <v>28.27</v>
      </c>
      <c r="K236" s="371">
        <v>1.33</v>
      </c>
      <c r="L236" s="371">
        <v>19.37</v>
      </c>
      <c r="N236" s="365">
        <f t="shared" ref="N236:N237" si="177">K236+J236+L236</f>
        <v>48.97</v>
      </c>
      <c r="V236" s="371">
        <v>0.26</v>
      </c>
      <c r="W236" s="69">
        <v>1.5</v>
      </c>
      <c r="X236" s="100">
        <v>19.010000000000002</v>
      </c>
      <c r="Y236" s="37">
        <v>90.4</v>
      </c>
      <c r="Z236" s="69">
        <v>88.2</v>
      </c>
      <c r="AA236" s="16">
        <f t="shared" si="175"/>
        <v>2.2000000000000028</v>
      </c>
      <c r="AB236" s="66">
        <f t="shared" ref="AB236:AB237" si="178">AA236/Z236</f>
        <v>2.4943310657596404E-2</v>
      </c>
      <c r="AC236" s="107" t="s">
        <v>5257</v>
      </c>
      <c r="AD236" s="17" t="s">
        <v>1137</v>
      </c>
      <c r="AE236" s="89">
        <v>44333</v>
      </c>
      <c r="AF236" s="88">
        <v>44333</v>
      </c>
      <c r="AG236" s="34">
        <f t="shared" ref="AG236:AG237" si="179">AF236-AE236</f>
        <v>0</v>
      </c>
      <c r="AH236" s="135" t="s">
        <v>1790</v>
      </c>
      <c r="AI236" s="249"/>
      <c r="AJ236" s="238"/>
    </row>
    <row r="237" spans="1:36">
      <c r="A237" s="135" t="s">
        <v>2613</v>
      </c>
      <c r="B237" s="84">
        <v>493</v>
      </c>
      <c r="C237" s="84">
        <v>373</v>
      </c>
      <c r="D237" s="85">
        <v>-6</v>
      </c>
      <c r="E237" s="84">
        <v>340</v>
      </c>
      <c r="F237" s="59">
        <v>21.21</v>
      </c>
      <c r="G237" s="58" t="s">
        <v>1136</v>
      </c>
      <c r="H237" s="31" t="s">
        <v>2191</v>
      </c>
      <c r="I237" s="17" t="s">
        <v>1137</v>
      </c>
      <c r="J237" s="371">
        <v>28.27</v>
      </c>
      <c r="K237" s="371">
        <v>1.33</v>
      </c>
      <c r="L237" s="371">
        <v>19.37</v>
      </c>
      <c r="N237" s="365">
        <f t="shared" si="177"/>
        <v>48.97</v>
      </c>
      <c r="V237" s="371">
        <v>0.26</v>
      </c>
      <c r="W237" s="69">
        <v>1.5</v>
      </c>
      <c r="X237" s="100">
        <v>19.010000000000002</v>
      </c>
      <c r="Y237" s="37">
        <v>90.4</v>
      </c>
      <c r="Z237" s="69">
        <v>88.3</v>
      </c>
      <c r="AA237" s="16">
        <f t="shared" si="175"/>
        <v>2.1000000000000085</v>
      </c>
      <c r="AB237" s="66">
        <f t="shared" si="178"/>
        <v>2.378255945639874E-2</v>
      </c>
      <c r="AC237" s="107" t="s">
        <v>4601</v>
      </c>
      <c r="AD237" s="17" t="s">
        <v>1137</v>
      </c>
      <c r="AE237" s="89">
        <v>44333</v>
      </c>
      <c r="AF237" s="88">
        <v>44333</v>
      </c>
      <c r="AG237" s="34">
        <f t="shared" si="179"/>
        <v>0</v>
      </c>
      <c r="AH237" s="42" t="s">
        <v>1790</v>
      </c>
      <c r="AI237" s="249"/>
      <c r="AJ237" s="238"/>
    </row>
    <row r="238" spans="1:36" s="288" customFormat="1">
      <c r="A238" s="135" t="s">
        <v>4712</v>
      </c>
      <c r="B238" s="84">
        <v>131</v>
      </c>
      <c r="C238" s="84">
        <v>146</v>
      </c>
      <c r="D238" s="84">
        <v>12</v>
      </c>
      <c r="E238" s="85">
        <v>-17</v>
      </c>
      <c r="F238" s="59">
        <v>33.57</v>
      </c>
      <c r="G238" s="42" t="s">
        <v>2798</v>
      </c>
      <c r="H238" s="51" t="s">
        <v>2120</v>
      </c>
      <c r="I238" s="176" t="s">
        <v>72</v>
      </c>
      <c r="J238" s="371">
        <v>41.12</v>
      </c>
      <c r="K238" s="77">
        <v>8.0399999999999991</v>
      </c>
      <c r="L238" s="77">
        <v>17.82</v>
      </c>
      <c r="M238" s="365"/>
      <c r="N238" s="365">
        <f>K238+J238+L238</f>
        <v>66.97999999999999</v>
      </c>
      <c r="O238" s="343"/>
      <c r="P238" s="166"/>
      <c r="Q238" s="326"/>
      <c r="R238" s="111"/>
      <c r="S238" s="51"/>
      <c r="T238" s="339"/>
      <c r="U238" s="329"/>
      <c r="V238" s="371">
        <v>0.06</v>
      </c>
      <c r="W238" s="68">
        <v>11.5</v>
      </c>
      <c r="X238" s="100">
        <f>W238/Y238</f>
        <v>6.0846560846560843E-2</v>
      </c>
      <c r="Y238" s="171">
        <v>189</v>
      </c>
      <c r="Z238" s="68">
        <v>186</v>
      </c>
      <c r="AA238" s="172">
        <f t="shared" si="175"/>
        <v>3</v>
      </c>
      <c r="AB238" s="168">
        <f>AA238/Z238</f>
        <v>1.6129032258064516E-2</v>
      </c>
      <c r="AC238" s="177" t="s">
        <v>5256</v>
      </c>
      <c r="AD238" s="176" t="s">
        <v>72</v>
      </c>
      <c r="AE238" s="89">
        <v>44294</v>
      </c>
      <c r="AF238" s="88">
        <v>44333</v>
      </c>
      <c r="AG238" s="34">
        <f t="shared" ref="AG238:AG244" si="180">AF238-AE238</f>
        <v>39</v>
      </c>
      <c r="AH238" s="135" t="s">
        <v>1790</v>
      </c>
      <c r="AI238" s="173"/>
    </row>
    <row r="239" spans="1:36" s="288" customFormat="1">
      <c r="A239" s="135" t="s">
        <v>4712</v>
      </c>
      <c r="B239" s="84">
        <v>131</v>
      </c>
      <c r="C239" s="84">
        <v>146</v>
      </c>
      <c r="D239" s="84">
        <v>12</v>
      </c>
      <c r="E239" s="85">
        <v>-17</v>
      </c>
      <c r="F239" s="59">
        <v>33.57</v>
      </c>
      <c r="G239" s="42" t="s">
        <v>2798</v>
      </c>
      <c r="H239" s="31" t="s">
        <v>2191</v>
      </c>
      <c r="I239" s="176" t="s">
        <v>72</v>
      </c>
      <c r="J239" s="371">
        <v>41.12</v>
      </c>
      <c r="K239" s="77">
        <v>8.0399999999999991</v>
      </c>
      <c r="L239" s="77">
        <v>17.82</v>
      </c>
      <c r="M239" s="365"/>
      <c r="N239" s="365">
        <f>K239+J239+L239</f>
        <v>66.97999999999999</v>
      </c>
      <c r="O239" s="343"/>
      <c r="P239" s="166"/>
      <c r="Q239" s="326"/>
      <c r="R239" s="111"/>
      <c r="S239" s="51"/>
      <c r="T239" s="339"/>
      <c r="U239" s="329"/>
      <c r="V239" s="371">
        <v>0.06</v>
      </c>
      <c r="W239" s="68">
        <v>11.5</v>
      </c>
      <c r="X239" s="100">
        <f>W239/Y239</f>
        <v>6.0846560846560843E-2</v>
      </c>
      <c r="Y239" s="171">
        <v>189</v>
      </c>
      <c r="Z239" s="68">
        <v>177.5</v>
      </c>
      <c r="AA239" s="172">
        <f t="shared" si="175"/>
        <v>11.5</v>
      </c>
      <c r="AB239" s="168">
        <f>AA239/Z239</f>
        <v>6.4788732394366194E-2</v>
      </c>
      <c r="AC239" s="177" t="s">
        <v>4749</v>
      </c>
      <c r="AD239" s="176" t="s">
        <v>72</v>
      </c>
      <c r="AE239" s="89">
        <v>44309</v>
      </c>
      <c r="AF239" s="88">
        <v>44333</v>
      </c>
      <c r="AG239" s="34">
        <f t="shared" si="180"/>
        <v>24</v>
      </c>
      <c r="AH239" s="42" t="s">
        <v>1790</v>
      </c>
      <c r="AI239" s="173"/>
    </row>
    <row r="240" spans="1:36" s="288" customFormat="1">
      <c r="A240" s="135" t="s">
        <v>4712</v>
      </c>
      <c r="B240" s="84">
        <v>131</v>
      </c>
      <c r="C240" s="84">
        <v>146</v>
      </c>
      <c r="D240" s="84">
        <v>12</v>
      </c>
      <c r="E240" s="85">
        <v>-17</v>
      </c>
      <c r="F240" s="59">
        <v>33.57</v>
      </c>
      <c r="G240" s="42" t="s">
        <v>2798</v>
      </c>
      <c r="H240" s="31" t="s">
        <v>2191</v>
      </c>
      <c r="I240" s="176" t="s">
        <v>72</v>
      </c>
      <c r="J240" s="371">
        <v>41.12</v>
      </c>
      <c r="K240" s="77">
        <v>8.0399999999999991</v>
      </c>
      <c r="L240" s="77">
        <v>17.82</v>
      </c>
      <c r="M240" s="365"/>
      <c r="N240" s="365">
        <f>K240+J240+L240</f>
        <v>66.97999999999999</v>
      </c>
      <c r="O240" s="343"/>
      <c r="P240" s="166"/>
      <c r="Q240" s="326"/>
      <c r="R240" s="111"/>
      <c r="S240" s="51"/>
      <c r="T240" s="339"/>
      <c r="U240" s="329"/>
      <c r="V240" s="371">
        <v>0.06</v>
      </c>
      <c r="W240" s="68">
        <v>11.5</v>
      </c>
      <c r="X240" s="100">
        <f>W240/Y240</f>
        <v>6.0846560846560843E-2</v>
      </c>
      <c r="Y240" s="171">
        <v>189</v>
      </c>
      <c r="Z240" s="68">
        <v>186</v>
      </c>
      <c r="AA240" s="172">
        <f t="shared" si="175"/>
        <v>3</v>
      </c>
      <c r="AB240" s="168">
        <f>AA240/Z240</f>
        <v>1.6129032258064516E-2</v>
      </c>
      <c r="AC240" s="177" t="s">
        <v>5256</v>
      </c>
      <c r="AD240" s="176" t="s">
        <v>72</v>
      </c>
      <c r="AE240" s="89">
        <v>44294</v>
      </c>
      <c r="AF240" s="88">
        <v>44333</v>
      </c>
      <c r="AG240" s="34">
        <f t="shared" si="180"/>
        <v>39</v>
      </c>
      <c r="AH240" s="42" t="s">
        <v>1790</v>
      </c>
      <c r="AI240" s="42" t="s">
        <v>2243</v>
      </c>
    </row>
    <row r="241" spans="1:36">
      <c r="A241" s="151" t="s">
        <v>2460</v>
      </c>
      <c r="B241" s="84">
        <v>480</v>
      </c>
      <c r="C241" s="84">
        <v>91</v>
      </c>
      <c r="D241" s="84">
        <v>329</v>
      </c>
      <c r="E241" s="85">
        <v>-4</v>
      </c>
      <c r="F241" s="7">
        <v>-1.38</v>
      </c>
      <c r="G241" s="58" t="s">
        <v>1176</v>
      </c>
      <c r="H241" s="51" t="s">
        <v>2120</v>
      </c>
      <c r="I241" s="23" t="s">
        <v>1177</v>
      </c>
      <c r="J241" s="371">
        <v>37.119999999999997</v>
      </c>
      <c r="K241" s="77">
        <v>10.54</v>
      </c>
      <c r="L241" s="77">
        <v>23.08</v>
      </c>
      <c r="N241" s="365">
        <f t="shared" ref="N241:N242" si="181">K241+J241+L241</f>
        <v>70.739999999999995</v>
      </c>
      <c r="V241" s="371">
        <v>0.69</v>
      </c>
      <c r="W241" s="35">
        <v>0.5</v>
      </c>
      <c r="X241" s="100">
        <v>3.08</v>
      </c>
      <c r="Y241" s="37">
        <v>61.8</v>
      </c>
      <c r="Z241" s="69">
        <v>59</v>
      </c>
      <c r="AA241" s="16">
        <f t="shared" si="175"/>
        <v>2.7999999999999972</v>
      </c>
      <c r="AB241" s="66">
        <f t="shared" ref="AB241:AB242" si="182">AA241/Z241</f>
        <v>4.745762711864402E-2</v>
      </c>
      <c r="AC241" s="107" t="s">
        <v>4622</v>
      </c>
      <c r="AD241" s="23" t="s">
        <v>1177</v>
      </c>
      <c r="AE241" s="89">
        <v>44330</v>
      </c>
      <c r="AF241" s="88">
        <v>44333</v>
      </c>
      <c r="AG241" s="34">
        <f t="shared" si="180"/>
        <v>3</v>
      </c>
      <c r="AH241" s="135" t="s">
        <v>1790</v>
      </c>
      <c r="AI241" s="237"/>
      <c r="AJ241" s="238"/>
    </row>
    <row r="242" spans="1:36">
      <c r="A242" s="151" t="s">
        <v>2460</v>
      </c>
      <c r="B242" s="84">
        <v>480</v>
      </c>
      <c r="C242" s="84">
        <v>91</v>
      </c>
      <c r="D242" s="84">
        <v>329</v>
      </c>
      <c r="E242" s="85">
        <v>-4</v>
      </c>
      <c r="F242" s="7">
        <v>-1.38</v>
      </c>
      <c r="G242" s="58" t="s">
        <v>1176</v>
      </c>
      <c r="H242" s="51" t="s">
        <v>2120</v>
      </c>
      <c r="I242" s="23" t="s">
        <v>1177</v>
      </c>
      <c r="J242" s="371">
        <v>37.119999999999997</v>
      </c>
      <c r="K242" s="77">
        <v>10.54</v>
      </c>
      <c r="L242" s="77">
        <v>23.08</v>
      </c>
      <c r="N242" s="365">
        <f t="shared" si="181"/>
        <v>70.739999999999995</v>
      </c>
      <c r="V242" s="371">
        <v>0.69</v>
      </c>
      <c r="W242" s="35">
        <v>0.5</v>
      </c>
      <c r="X242" s="100">
        <v>3.08</v>
      </c>
      <c r="Y242" s="37">
        <v>61.8</v>
      </c>
      <c r="Z242" s="69">
        <v>61.5</v>
      </c>
      <c r="AA242" s="16">
        <f t="shared" si="175"/>
        <v>0.29999999999999716</v>
      </c>
      <c r="AB242" s="66">
        <f t="shared" si="182"/>
        <v>4.8780487804877589E-3</v>
      </c>
      <c r="AC242" s="107" t="s">
        <v>5254</v>
      </c>
      <c r="AD242" s="23" t="s">
        <v>1177</v>
      </c>
      <c r="AE242" s="89">
        <v>44329</v>
      </c>
      <c r="AF242" s="88">
        <v>44333</v>
      </c>
      <c r="AG242" s="34">
        <f t="shared" si="180"/>
        <v>4</v>
      </c>
      <c r="AH242" s="135" t="s">
        <v>1790</v>
      </c>
      <c r="AI242" s="237"/>
      <c r="AJ242" s="238"/>
    </row>
    <row r="243" spans="1:36">
      <c r="A243" s="151" t="s">
        <v>2460</v>
      </c>
      <c r="B243" s="84">
        <v>480</v>
      </c>
      <c r="C243" s="84">
        <v>91</v>
      </c>
      <c r="D243" s="84">
        <v>329</v>
      </c>
      <c r="E243" s="85">
        <v>-4</v>
      </c>
      <c r="F243" s="7">
        <v>-1.38</v>
      </c>
      <c r="G243" s="58" t="s">
        <v>1176</v>
      </c>
      <c r="H243" s="31" t="s">
        <v>2191</v>
      </c>
      <c r="I243" s="23" t="s">
        <v>1177</v>
      </c>
      <c r="J243" s="371">
        <v>37.119999999999997</v>
      </c>
      <c r="K243" s="77">
        <v>10.54</v>
      </c>
      <c r="L243" s="77">
        <v>23.08</v>
      </c>
      <c r="N243" s="365">
        <f>K243+J243+L243</f>
        <v>70.739999999999995</v>
      </c>
      <c r="V243" s="371">
        <v>0.69</v>
      </c>
      <c r="W243" s="35">
        <v>0.5</v>
      </c>
      <c r="X243" s="100">
        <v>3.08</v>
      </c>
      <c r="Y243" s="37">
        <v>61.9</v>
      </c>
      <c r="Z243" s="69">
        <v>58.7</v>
      </c>
      <c r="AA243" s="16">
        <f t="shared" si="175"/>
        <v>3.1999999999999957</v>
      </c>
      <c r="AB243" s="66">
        <f>AA243/Z243</f>
        <v>5.4514480408858527E-2</v>
      </c>
      <c r="AC243" s="107" t="s">
        <v>4711</v>
      </c>
      <c r="AD243" s="23" t="s">
        <v>1177</v>
      </c>
      <c r="AE243" s="89">
        <v>44330</v>
      </c>
      <c r="AF243" s="88">
        <v>44333</v>
      </c>
      <c r="AG243" s="34">
        <f t="shared" si="180"/>
        <v>3</v>
      </c>
      <c r="AH243" s="42" t="s">
        <v>1790</v>
      </c>
      <c r="AI243" s="237"/>
      <c r="AJ243" s="238"/>
    </row>
    <row r="244" spans="1:36">
      <c r="A244" s="151" t="s">
        <v>2460</v>
      </c>
      <c r="B244" s="84">
        <v>480</v>
      </c>
      <c r="C244" s="84">
        <v>91</v>
      </c>
      <c r="D244" s="84">
        <v>329</v>
      </c>
      <c r="E244" s="85">
        <v>-4</v>
      </c>
      <c r="F244" s="7">
        <v>-1.38</v>
      </c>
      <c r="G244" s="58" t="s">
        <v>1176</v>
      </c>
      <c r="H244" s="31" t="s">
        <v>2191</v>
      </c>
      <c r="I244" s="23" t="s">
        <v>1177</v>
      </c>
      <c r="J244" s="371">
        <v>37.119999999999997</v>
      </c>
      <c r="K244" s="77">
        <v>10.54</v>
      </c>
      <c r="L244" s="77">
        <v>23.08</v>
      </c>
      <c r="N244" s="365">
        <f t="shared" ref="N244" si="183">K244+J244+L244</f>
        <v>70.739999999999995</v>
      </c>
      <c r="V244" s="371">
        <v>0.69</v>
      </c>
      <c r="W244" s="35">
        <v>0.5</v>
      </c>
      <c r="X244" s="100">
        <v>3.08</v>
      </c>
      <c r="Y244" s="37">
        <v>61.9</v>
      </c>
      <c r="Z244" s="69">
        <v>61.5</v>
      </c>
      <c r="AA244" s="16">
        <f t="shared" si="175"/>
        <v>0.39999999999999858</v>
      </c>
      <c r="AB244" s="66">
        <f t="shared" ref="AB244" si="184">AA244/Z244</f>
        <v>6.5040650406503831E-3</v>
      </c>
      <c r="AC244" s="107" t="s">
        <v>5255</v>
      </c>
      <c r="AD244" s="23" t="s">
        <v>1177</v>
      </c>
      <c r="AE244" s="89">
        <v>44329</v>
      </c>
      <c r="AF244" s="88">
        <v>44333</v>
      </c>
      <c r="AG244" s="34">
        <f t="shared" si="180"/>
        <v>4</v>
      </c>
      <c r="AH244" s="42" t="s">
        <v>1790</v>
      </c>
      <c r="AI244" s="237"/>
      <c r="AJ244" s="238"/>
    </row>
    <row r="245" spans="1:36">
      <c r="A245" s="135" t="s">
        <v>2883</v>
      </c>
      <c r="B245" s="84">
        <v>181</v>
      </c>
      <c r="C245" s="84">
        <v>217</v>
      </c>
      <c r="D245" s="84">
        <v>24</v>
      </c>
      <c r="E245" s="84">
        <v>77</v>
      </c>
      <c r="F245" s="59">
        <v>41.47</v>
      </c>
      <c r="G245" s="58" t="s">
        <v>1679</v>
      </c>
      <c r="H245" s="31" t="s">
        <v>2191</v>
      </c>
      <c r="I245" s="17" t="s">
        <v>1680</v>
      </c>
      <c r="J245" s="371">
        <v>34.75</v>
      </c>
      <c r="K245" s="371">
        <v>18.04</v>
      </c>
      <c r="N245" s="365">
        <f t="shared" ref="N245" si="185">K245+J245+L245</f>
        <v>52.79</v>
      </c>
      <c r="P245" s="2"/>
      <c r="W245" s="69">
        <v>3.83</v>
      </c>
      <c r="X245" s="100">
        <f t="shared" ref="X245" si="186">W245/Y245</f>
        <v>2.8161764705882355E-2</v>
      </c>
      <c r="Y245" s="37">
        <v>136</v>
      </c>
      <c r="Z245" s="69">
        <v>118.5</v>
      </c>
      <c r="AA245" s="16">
        <f t="shared" ref="AA245" si="187">Y245-Z245</f>
        <v>17.5</v>
      </c>
      <c r="AB245" s="66">
        <f t="shared" ref="AB245" si="188">AA245/Z245</f>
        <v>0.14767932489451477</v>
      </c>
      <c r="AC245" s="107" t="s">
        <v>5250</v>
      </c>
      <c r="AD245" s="17" t="s">
        <v>1680</v>
      </c>
      <c r="AE245" s="89">
        <v>44306</v>
      </c>
      <c r="AF245" s="88">
        <v>44330</v>
      </c>
      <c r="AG245" s="34">
        <f t="shared" ref="AG245:AG253" si="189">AF245-AE245</f>
        <v>24</v>
      </c>
      <c r="AH245" s="42" t="s">
        <v>1790</v>
      </c>
      <c r="AI245" s="236"/>
      <c r="AJ245" s="25"/>
    </row>
    <row r="246" spans="1:36">
      <c r="A246" s="135" t="s">
        <v>2930</v>
      </c>
      <c r="B246" s="98">
        <v>5707</v>
      </c>
      <c r="C246" s="98">
        <v>7419</v>
      </c>
      <c r="D246" s="84">
        <v>24</v>
      </c>
      <c r="E246" s="85">
        <v>-46</v>
      </c>
      <c r="F246" s="59">
        <v>62.23</v>
      </c>
      <c r="G246" s="58" t="s">
        <v>1088</v>
      </c>
      <c r="H246" s="51" t="s">
        <v>2120</v>
      </c>
      <c r="I246" s="23" t="s">
        <v>1089</v>
      </c>
      <c r="J246" s="77">
        <v>42.85</v>
      </c>
      <c r="K246" s="371">
        <v>7.48</v>
      </c>
      <c r="L246" s="77">
        <v>21.94</v>
      </c>
      <c r="N246" s="365">
        <f t="shared" ref="N246:N253" si="190">K246+J246+L246</f>
        <v>72.27</v>
      </c>
      <c r="V246" s="371">
        <v>4.46</v>
      </c>
      <c r="W246" s="69">
        <v>12</v>
      </c>
      <c r="X246" s="100">
        <v>23.16</v>
      </c>
      <c r="Y246" s="242">
        <v>112</v>
      </c>
      <c r="Z246" s="242">
        <v>101.5</v>
      </c>
      <c r="AA246" s="16">
        <f>Y246-Z246</f>
        <v>10.5</v>
      </c>
      <c r="AB246" s="66">
        <f t="shared" ref="AB246:AB253" si="191">AA246/Z246</f>
        <v>0.10344827586206896</v>
      </c>
      <c r="AC246" s="107" t="s">
        <v>3035</v>
      </c>
      <c r="AD246" s="23" t="s">
        <v>1089</v>
      </c>
      <c r="AE246" s="89">
        <v>44328</v>
      </c>
      <c r="AF246" s="88">
        <v>44330</v>
      </c>
      <c r="AG246" s="34">
        <f t="shared" si="189"/>
        <v>2</v>
      </c>
      <c r="AH246" s="135" t="s">
        <v>1790</v>
      </c>
      <c r="AI246" s="235"/>
      <c r="AJ246" s="202"/>
    </row>
    <row r="247" spans="1:36">
      <c r="A247" s="135" t="s">
        <v>2930</v>
      </c>
      <c r="B247" s="98">
        <v>5707</v>
      </c>
      <c r="C247" s="98">
        <v>7419</v>
      </c>
      <c r="D247" s="84">
        <v>24</v>
      </c>
      <c r="E247" s="85">
        <v>-46</v>
      </c>
      <c r="F247" s="59">
        <v>62.23</v>
      </c>
      <c r="G247" s="58" t="s">
        <v>1088</v>
      </c>
      <c r="H247" s="31" t="s">
        <v>2191</v>
      </c>
      <c r="I247" s="23" t="s">
        <v>1089</v>
      </c>
      <c r="J247" s="77">
        <v>42.85</v>
      </c>
      <c r="K247" s="371">
        <v>7.48</v>
      </c>
      <c r="L247" s="77">
        <v>21.94</v>
      </c>
      <c r="N247" s="365">
        <f t="shared" si="190"/>
        <v>72.27</v>
      </c>
      <c r="V247" s="371">
        <v>4.46</v>
      </c>
      <c r="W247" s="69">
        <v>12</v>
      </c>
      <c r="X247" s="100">
        <v>23.16</v>
      </c>
      <c r="Y247" s="242">
        <v>111.5</v>
      </c>
      <c r="Z247" s="242">
        <v>101</v>
      </c>
      <c r="AA247" s="16">
        <f>Y247-Z247</f>
        <v>10.5</v>
      </c>
      <c r="AB247" s="66">
        <f t="shared" si="191"/>
        <v>0.10396039603960396</v>
      </c>
      <c r="AC247" s="107" t="s">
        <v>2626</v>
      </c>
      <c r="AD247" s="23" t="s">
        <v>1089</v>
      </c>
      <c r="AE247" s="89">
        <v>44328</v>
      </c>
      <c r="AF247" s="88">
        <v>44330</v>
      </c>
      <c r="AG247" s="34">
        <f t="shared" si="189"/>
        <v>2</v>
      </c>
      <c r="AH247" s="42" t="s">
        <v>1790</v>
      </c>
      <c r="AI247" s="235"/>
      <c r="AJ247" s="202"/>
    </row>
    <row r="248" spans="1:36">
      <c r="A248" s="151" t="s">
        <v>2587</v>
      </c>
      <c r="B248" s="84">
        <v>369</v>
      </c>
      <c r="C248" s="84">
        <v>78</v>
      </c>
      <c r="D248" s="84">
        <v>63</v>
      </c>
      <c r="E248" s="84">
        <v>117</v>
      </c>
      <c r="F248" s="7">
        <v>-2.17</v>
      </c>
      <c r="G248" s="58" t="s">
        <v>1097</v>
      </c>
      <c r="H248" s="51" t="s">
        <v>2120</v>
      </c>
      <c r="I248" s="17" t="s">
        <v>1098</v>
      </c>
      <c r="J248" s="77">
        <v>27.45</v>
      </c>
      <c r="K248" s="77">
        <v>0.42</v>
      </c>
      <c r="L248" s="371">
        <v>0</v>
      </c>
      <c r="N248" s="365">
        <f t="shared" si="190"/>
        <v>27.87</v>
      </c>
      <c r="P248" s="2"/>
      <c r="V248" s="371">
        <v>0</v>
      </c>
      <c r="W248" s="35">
        <v>0</v>
      </c>
      <c r="X248" s="100">
        <f>W248/Y248</f>
        <v>0</v>
      </c>
      <c r="Y248" s="37">
        <v>24.05</v>
      </c>
      <c r="Z248" s="69">
        <v>22.85</v>
      </c>
      <c r="AA248" s="16">
        <f>Y248-Z248</f>
        <v>1.1999999999999993</v>
      </c>
      <c r="AB248" s="66">
        <f t="shared" si="191"/>
        <v>5.2516411378555762E-2</v>
      </c>
      <c r="AC248" s="107" t="s">
        <v>3322</v>
      </c>
      <c r="AD248" s="17" t="s">
        <v>1098</v>
      </c>
      <c r="AE248" s="89">
        <v>44298</v>
      </c>
      <c r="AF248" s="88">
        <v>44330</v>
      </c>
      <c r="AG248" s="34">
        <f t="shared" si="189"/>
        <v>32</v>
      </c>
      <c r="AH248" s="135" t="s">
        <v>1790</v>
      </c>
      <c r="AJ248" s="9"/>
    </row>
    <row r="249" spans="1:36">
      <c r="A249" s="151" t="s">
        <v>2587</v>
      </c>
      <c r="B249" s="84">
        <v>369</v>
      </c>
      <c r="C249" s="84">
        <v>78</v>
      </c>
      <c r="D249" s="84">
        <v>63</v>
      </c>
      <c r="E249" s="84">
        <v>117</v>
      </c>
      <c r="F249" s="7">
        <v>-2.17</v>
      </c>
      <c r="G249" s="58" t="s">
        <v>1097</v>
      </c>
      <c r="H249" s="31" t="s">
        <v>2191</v>
      </c>
      <c r="I249" s="17" t="s">
        <v>1098</v>
      </c>
      <c r="J249" s="77">
        <v>27.45</v>
      </c>
      <c r="K249" s="77">
        <v>0.42</v>
      </c>
      <c r="L249" s="371">
        <v>0</v>
      </c>
      <c r="N249" s="365">
        <f t="shared" si="190"/>
        <v>27.87</v>
      </c>
      <c r="P249" s="2"/>
      <c r="V249" s="371">
        <v>0</v>
      </c>
      <c r="W249" s="35">
        <v>0</v>
      </c>
      <c r="X249" s="100">
        <f>W249/Y249</f>
        <v>0</v>
      </c>
      <c r="Y249" s="37">
        <v>26</v>
      </c>
      <c r="Z249" s="69">
        <v>22.65</v>
      </c>
      <c r="AA249" s="16">
        <f>Y249-Z249</f>
        <v>3.3500000000000014</v>
      </c>
      <c r="AB249" s="66">
        <f t="shared" si="191"/>
        <v>0.14790286975717445</v>
      </c>
      <c r="AC249" s="107" t="s">
        <v>5249</v>
      </c>
      <c r="AD249" s="17" t="s">
        <v>1098</v>
      </c>
      <c r="AE249" s="89">
        <v>44298</v>
      </c>
      <c r="AF249" s="88">
        <v>44330</v>
      </c>
      <c r="AG249" s="34">
        <f t="shared" si="189"/>
        <v>32</v>
      </c>
      <c r="AH249" s="42" t="s">
        <v>1790</v>
      </c>
      <c r="AJ249" s="9"/>
    </row>
    <row r="250" spans="1:36">
      <c r="A250" s="135" t="s">
        <v>3240</v>
      </c>
      <c r="B250" s="98">
        <v>2459</v>
      </c>
      <c r="C250" s="98">
        <v>3043</v>
      </c>
      <c r="D250" s="85">
        <v>-2</v>
      </c>
      <c r="E250" s="85">
        <v>-49</v>
      </c>
      <c r="F250" s="59">
        <v>36.35</v>
      </c>
      <c r="G250" s="58" t="s">
        <v>910</v>
      </c>
      <c r="H250" s="51" t="s">
        <v>2120</v>
      </c>
      <c r="I250" s="17" t="s">
        <v>911</v>
      </c>
      <c r="J250" s="371">
        <v>27.21</v>
      </c>
      <c r="K250" s="77">
        <v>5.08</v>
      </c>
      <c r="L250" s="77">
        <v>32.26</v>
      </c>
      <c r="N250" s="365">
        <f t="shared" si="190"/>
        <v>64.55</v>
      </c>
      <c r="R250" s="111">
        <v>33</v>
      </c>
      <c r="V250" s="371">
        <v>9.5500000000000007</v>
      </c>
      <c r="W250" s="46">
        <v>10</v>
      </c>
      <c r="X250" s="100">
        <v>17.010000000000002</v>
      </c>
      <c r="Y250" s="37">
        <v>84.4</v>
      </c>
      <c r="Z250" s="69">
        <v>80.099999999999994</v>
      </c>
      <c r="AA250" s="16">
        <f t="shared" ref="AA250:AA265" si="192">Y250-Z250</f>
        <v>4.3000000000000114</v>
      </c>
      <c r="AB250" s="66">
        <f t="shared" si="191"/>
        <v>5.3682896379525738E-2</v>
      </c>
      <c r="AC250" s="107" t="s">
        <v>4626</v>
      </c>
      <c r="AD250" s="17" t="s">
        <v>911</v>
      </c>
      <c r="AE250" s="89">
        <v>44314</v>
      </c>
      <c r="AF250" s="88">
        <v>44329</v>
      </c>
      <c r="AG250" s="34">
        <f t="shared" si="189"/>
        <v>15</v>
      </c>
      <c r="AH250" s="135" t="s">
        <v>1790</v>
      </c>
      <c r="AI250" s="237"/>
      <c r="AJ250" s="238"/>
    </row>
    <row r="251" spans="1:36">
      <c r="A251" s="135" t="s">
        <v>3240</v>
      </c>
      <c r="B251" s="98">
        <v>2459</v>
      </c>
      <c r="C251" s="98">
        <v>3043</v>
      </c>
      <c r="D251" s="85">
        <v>-2</v>
      </c>
      <c r="E251" s="85">
        <v>-49</v>
      </c>
      <c r="F251" s="59">
        <v>36.35</v>
      </c>
      <c r="G251" s="58" t="s">
        <v>910</v>
      </c>
      <c r="H251" s="51" t="s">
        <v>2120</v>
      </c>
      <c r="I251" s="17" t="s">
        <v>911</v>
      </c>
      <c r="J251" s="371">
        <v>27.21</v>
      </c>
      <c r="K251" s="77">
        <v>5.08</v>
      </c>
      <c r="L251" s="77">
        <v>32.26</v>
      </c>
      <c r="N251" s="365">
        <f t="shared" si="190"/>
        <v>64.55</v>
      </c>
      <c r="V251" s="371">
        <v>9.5500000000000007</v>
      </c>
      <c r="W251" s="46">
        <v>10</v>
      </c>
      <c r="X251" s="100">
        <v>17.010000000000002</v>
      </c>
      <c r="Y251" s="37">
        <v>84.3</v>
      </c>
      <c r="Z251" s="69">
        <v>80.7</v>
      </c>
      <c r="AA251" s="16">
        <f t="shared" si="192"/>
        <v>3.5999999999999943</v>
      </c>
      <c r="AB251" s="66">
        <f t="shared" si="191"/>
        <v>4.4609665427509222E-2</v>
      </c>
      <c r="AC251" s="107" t="s">
        <v>4700</v>
      </c>
      <c r="AD251" s="17" t="s">
        <v>911</v>
      </c>
      <c r="AE251" s="89">
        <v>44313</v>
      </c>
      <c r="AF251" s="88">
        <v>44329</v>
      </c>
      <c r="AG251" s="34">
        <f t="shared" si="189"/>
        <v>16</v>
      </c>
      <c r="AH251" s="135" t="s">
        <v>1790</v>
      </c>
      <c r="AI251" s="237"/>
      <c r="AJ251" s="238"/>
    </row>
    <row r="252" spans="1:36">
      <c r="A252" s="135" t="s">
        <v>3240</v>
      </c>
      <c r="B252" s="98">
        <v>2459</v>
      </c>
      <c r="C252" s="98">
        <v>3043</v>
      </c>
      <c r="D252" s="85">
        <v>-2</v>
      </c>
      <c r="E252" s="85">
        <v>-49</v>
      </c>
      <c r="F252" s="59">
        <v>36.35</v>
      </c>
      <c r="G252" s="58" t="s">
        <v>910</v>
      </c>
      <c r="H252" s="31" t="s">
        <v>2191</v>
      </c>
      <c r="I252" s="17" t="s">
        <v>911</v>
      </c>
      <c r="J252" s="371">
        <v>27.21</v>
      </c>
      <c r="K252" s="77">
        <v>5.08</v>
      </c>
      <c r="L252" s="77">
        <v>32.26</v>
      </c>
      <c r="N252" s="365">
        <f t="shared" si="190"/>
        <v>64.55</v>
      </c>
      <c r="V252" s="371">
        <v>9.5500000000000007</v>
      </c>
      <c r="W252" s="46">
        <v>10</v>
      </c>
      <c r="X252" s="100">
        <v>17.010000000000002</v>
      </c>
      <c r="Y252" s="37">
        <v>84.3</v>
      </c>
      <c r="Z252" s="69">
        <v>81</v>
      </c>
      <c r="AA252" s="16">
        <f t="shared" si="192"/>
        <v>3.2999999999999972</v>
      </c>
      <c r="AB252" s="66">
        <f t="shared" si="191"/>
        <v>4.0740740740740702E-2</v>
      </c>
      <c r="AC252" s="107" t="s">
        <v>5246</v>
      </c>
      <c r="AD252" s="17" t="s">
        <v>911</v>
      </c>
      <c r="AE252" s="89">
        <v>44314</v>
      </c>
      <c r="AF252" s="88">
        <v>44329</v>
      </c>
      <c r="AG252" s="34">
        <f t="shared" si="189"/>
        <v>15</v>
      </c>
      <c r="AH252" s="42" t="s">
        <v>1790</v>
      </c>
      <c r="AI252" s="237"/>
      <c r="AJ252" s="238"/>
    </row>
    <row r="253" spans="1:36">
      <c r="A253" s="135" t="s">
        <v>3240</v>
      </c>
      <c r="B253" s="98">
        <v>2459</v>
      </c>
      <c r="C253" s="98">
        <v>3043</v>
      </c>
      <c r="D253" s="85">
        <v>-2</v>
      </c>
      <c r="E253" s="85">
        <v>-49</v>
      </c>
      <c r="F253" s="59">
        <v>36.35</v>
      </c>
      <c r="G253" s="58" t="s">
        <v>910</v>
      </c>
      <c r="H253" s="31" t="s">
        <v>2191</v>
      </c>
      <c r="I253" s="17" t="s">
        <v>911</v>
      </c>
      <c r="J253" s="371">
        <v>27.21</v>
      </c>
      <c r="K253" s="77">
        <v>5.08</v>
      </c>
      <c r="L253" s="77">
        <v>32.26</v>
      </c>
      <c r="N253" s="365">
        <f t="shared" si="190"/>
        <v>64.55</v>
      </c>
      <c r="V253" s="371">
        <v>9.5500000000000007</v>
      </c>
      <c r="W253" s="46">
        <v>10</v>
      </c>
      <c r="X253" s="100">
        <v>17.010000000000002</v>
      </c>
      <c r="Y253" s="37">
        <v>84.3</v>
      </c>
      <c r="Z253" s="69">
        <v>80.099999999999994</v>
      </c>
      <c r="AA253" s="16">
        <f t="shared" si="192"/>
        <v>4.2000000000000028</v>
      </c>
      <c r="AB253" s="66">
        <f t="shared" si="191"/>
        <v>5.2434456928838989E-2</v>
      </c>
      <c r="AC253" s="107" t="s">
        <v>5245</v>
      </c>
      <c r="AD253" s="17" t="s">
        <v>911</v>
      </c>
      <c r="AE253" s="89">
        <v>44313</v>
      </c>
      <c r="AF253" s="88">
        <v>44329</v>
      </c>
      <c r="AG253" s="34">
        <f t="shared" si="189"/>
        <v>16</v>
      </c>
      <c r="AH253" s="42" t="s">
        <v>1790</v>
      </c>
      <c r="AI253" s="42" t="s">
        <v>2243</v>
      </c>
      <c r="AJ253" s="238"/>
    </row>
    <row r="254" spans="1:36">
      <c r="A254" s="135" t="s">
        <v>2613</v>
      </c>
      <c r="B254" s="84">
        <v>297</v>
      </c>
      <c r="C254" s="84">
        <v>275</v>
      </c>
      <c r="D254" s="84">
        <v>49</v>
      </c>
      <c r="E254" s="84">
        <v>205</v>
      </c>
      <c r="F254" s="59">
        <v>25.55</v>
      </c>
      <c r="G254" s="58" t="s">
        <v>1136</v>
      </c>
      <c r="H254" s="51" t="s">
        <v>2120</v>
      </c>
      <c r="I254" s="17" t="s">
        <v>1137</v>
      </c>
      <c r="J254" s="371">
        <v>28.83</v>
      </c>
      <c r="K254" s="77">
        <v>2.15</v>
      </c>
      <c r="L254" s="77">
        <v>18.78</v>
      </c>
      <c r="N254" s="365">
        <f t="shared" ref="N254:N256" si="193">K254+J254+L254</f>
        <v>49.76</v>
      </c>
      <c r="V254" s="371">
        <v>7.0000000000000007E-2</v>
      </c>
      <c r="W254" s="69">
        <v>3</v>
      </c>
      <c r="X254" s="100">
        <v>15.17</v>
      </c>
      <c r="Y254" s="37">
        <v>95.4</v>
      </c>
      <c r="Z254" s="69">
        <v>90</v>
      </c>
      <c r="AA254" s="16">
        <f t="shared" si="192"/>
        <v>5.4000000000000057</v>
      </c>
      <c r="AB254" s="66">
        <f t="shared" ref="AB254:AB256" si="194">AA254/Z254</f>
        <v>6.000000000000006E-2</v>
      </c>
      <c r="AC254" s="107" t="s">
        <v>5244</v>
      </c>
      <c r="AD254" s="17" t="s">
        <v>1137</v>
      </c>
      <c r="AE254" s="89">
        <v>44315</v>
      </c>
      <c r="AF254" s="88">
        <v>44329</v>
      </c>
      <c r="AG254" s="34">
        <f t="shared" ref="AG254:AG256" si="195">AF254-AE254</f>
        <v>14</v>
      </c>
      <c r="AH254" s="135" t="s">
        <v>1790</v>
      </c>
      <c r="AI254" s="237"/>
      <c r="AJ254" s="238"/>
    </row>
    <row r="255" spans="1:36">
      <c r="A255" s="135" t="s">
        <v>2613</v>
      </c>
      <c r="B255" s="84">
        <v>297</v>
      </c>
      <c r="C255" s="84">
        <v>275</v>
      </c>
      <c r="D255" s="84">
        <v>49</v>
      </c>
      <c r="E255" s="84">
        <v>205</v>
      </c>
      <c r="F255" s="59">
        <v>25.55</v>
      </c>
      <c r="G255" s="58" t="s">
        <v>1136</v>
      </c>
      <c r="H255" s="31" t="s">
        <v>2191</v>
      </c>
      <c r="I255" s="17" t="s">
        <v>1137</v>
      </c>
      <c r="J255" s="371">
        <v>28.83</v>
      </c>
      <c r="K255" s="77">
        <v>2.15</v>
      </c>
      <c r="L255" s="77">
        <v>18.78</v>
      </c>
      <c r="N255" s="365">
        <f t="shared" si="193"/>
        <v>49.76</v>
      </c>
      <c r="V255" s="371">
        <v>7.0000000000000007E-2</v>
      </c>
      <c r="W255" s="69">
        <v>3</v>
      </c>
      <c r="X255" s="100">
        <v>15.17</v>
      </c>
      <c r="Y255" s="37">
        <v>95.1</v>
      </c>
      <c r="Z255" s="69">
        <v>89.8</v>
      </c>
      <c r="AA255" s="16">
        <f t="shared" si="192"/>
        <v>5.2999999999999972</v>
      </c>
      <c r="AB255" s="66">
        <f t="shared" si="194"/>
        <v>5.9020044543429816E-2</v>
      </c>
      <c r="AC255" s="107" t="s">
        <v>5243</v>
      </c>
      <c r="AD255" s="17" t="s">
        <v>1137</v>
      </c>
      <c r="AE255" s="89">
        <v>44315</v>
      </c>
      <c r="AF255" s="88">
        <v>44329</v>
      </c>
      <c r="AG255" s="34">
        <f t="shared" si="195"/>
        <v>14</v>
      </c>
      <c r="AH255" s="42" t="s">
        <v>1790</v>
      </c>
      <c r="AI255" s="237"/>
      <c r="AJ255" s="238"/>
    </row>
    <row r="256" spans="1:36">
      <c r="A256" s="135" t="s">
        <v>2613</v>
      </c>
      <c r="B256" s="84">
        <v>297</v>
      </c>
      <c r="C256" s="84">
        <v>275</v>
      </c>
      <c r="D256" s="84">
        <v>49</v>
      </c>
      <c r="E256" s="84">
        <v>205</v>
      </c>
      <c r="F256" s="59">
        <v>25.55</v>
      </c>
      <c r="G256" s="58" t="s">
        <v>1136</v>
      </c>
      <c r="H256" s="31" t="s">
        <v>2191</v>
      </c>
      <c r="I256" s="17" t="s">
        <v>1137</v>
      </c>
      <c r="J256" s="371">
        <v>28.83</v>
      </c>
      <c r="K256" s="77">
        <v>2.15</v>
      </c>
      <c r="L256" s="77">
        <v>18.78</v>
      </c>
      <c r="N256" s="365">
        <f t="shared" si="193"/>
        <v>49.76</v>
      </c>
      <c r="V256" s="371">
        <v>7.0000000000000007E-2</v>
      </c>
      <c r="W256" s="69">
        <v>3</v>
      </c>
      <c r="X256" s="100">
        <v>15.17</v>
      </c>
      <c r="Y256" s="37">
        <v>95.1</v>
      </c>
      <c r="Z256" s="69">
        <v>90.4</v>
      </c>
      <c r="AA256" s="16">
        <f t="shared" si="192"/>
        <v>4.6999999999999886</v>
      </c>
      <c r="AB256" s="66">
        <f t="shared" si="194"/>
        <v>5.1991150442477749E-2</v>
      </c>
      <c r="AC256" s="107" t="s">
        <v>5242</v>
      </c>
      <c r="AD256" s="17" t="s">
        <v>1137</v>
      </c>
      <c r="AE256" s="89">
        <v>44315</v>
      </c>
      <c r="AF256" s="88">
        <v>44329</v>
      </c>
      <c r="AG256" s="34">
        <f t="shared" si="195"/>
        <v>14</v>
      </c>
      <c r="AH256" s="42" t="s">
        <v>1790</v>
      </c>
      <c r="AI256" s="42" t="s">
        <v>2243</v>
      </c>
      <c r="AJ256" s="238"/>
    </row>
    <row r="257" spans="1:46">
      <c r="A257" s="151" t="s">
        <v>2496</v>
      </c>
      <c r="B257" s="85">
        <v>-4</v>
      </c>
      <c r="C257" s="84">
        <v>34</v>
      </c>
      <c r="D257" s="84">
        <v>23</v>
      </c>
      <c r="E257" s="84">
        <v>4</v>
      </c>
      <c r="F257" s="7">
        <v>6.35</v>
      </c>
      <c r="G257" s="58" t="s">
        <v>1108</v>
      </c>
      <c r="H257" s="51" t="s">
        <v>2120</v>
      </c>
      <c r="I257" s="17" t="s">
        <v>1109</v>
      </c>
      <c r="J257" s="77">
        <v>26.54</v>
      </c>
      <c r="K257" s="77">
        <v>1.46</v>
      </c>
      <c r="L257" s="77">
        <v>22.84</v>
      </c>
      <c r="N257" s="365">
        <f t="shared" ref="N257:N259" si="196">K257+J257+L257</f>
        <v>50.84</v>
      </c>
      <c r="P257" s="2"/>
      <c r="R257" s="111">
        <v>22</v>
      </c>
      <c r="V257" s="371">
        <v>0.16</v>
      </c>
      <c r="W257" s="35">
        <v>0.1</v>
      </c>
      <c r="X257" s="100">
        <f>W257/Y257</f>
        <v>3.8684719535783366E-3</v>
      </c>
      <c r="Y257" s="37">
        <v>25.85</v>
      </c>
      <c r="Z257" s="69">
        <v>23.3</v>
      </c>
      <c r="AA257" s="16">
        <f t="shared" si="192"/>
        <v>2.5500000000000007</v>
      </c>
      <c r="AB257" s="66">
        <f t="shared" ref="AB257:AB259" si="197">AA257/Z257</f>
        <v>0.10944206008583694</v>
      </c>
      <c r="AC257" s="107" t="s">
        <v>5241</v>
      </c>
      <c r="AD257" s="17" t="s">
        <v>1109</v>
      </c>
      <c r="AE257" s="89">
        <v>44298</v>
      </c>
      <c r="AF257" s="88">
        <v>44329</v>
      </c>
      <c r="AG257" s="34">
        <f t="shared" ref="AG257:AG264" si="198">AF257-AE257</f>
        <v>31</v>
      </c>
      <c r="AH257" s="135" t="s">
        <v>1790</v>
      </c>
      <c r="AJ257" s="9"/>
    </row>
    <row r="258" spans="1:46">
      <c r="A258" s="151" t="s">
        <v>2496</v>
      </c>
      <c r="B258" s="85">
        <v>-4</v>
      </c>
      <c r="C258" s="84">
        <v>34</v>
      </c>
      <c r="D258" s="84">
        <v>23</v>
      </c>
      <c r="E258" s="84">
        <v>4</v>
      </c>
      <c r="F258" s="7">
        <v>6.35</v>
      </c>
      <c r="G258" s="58" t="s">
        <v>1108</v>
      </c>
      <c r="H258" s="31" t="s">
        <v>2191</v>
      </c>
      <c r="I258" s="17" t="s">
        <v>1109</v>
      </c>
      <c r="J258" s="77">
        <v>26.54</v>
      </c>
      <c r="K258" s="77">
        <v>1.46</v>
      </c>
      <c r="L258" s="77">
        <v>22.84</v>
      </c>
      <c r="N258" s="365">
        <f t="shared" si="196"/>
        <v>50.84</v>
      </c>
      <c r="P258" s="2"/>
      <c r="V258" s="371">
        <v>0.16</v>
      </c>
      <c r="W258" s="35">
        <v>0.1</v>
      </c>
      <c r="X258" s="100">
        <f>W258/Y258</f>
        <v>3.8610038610038615E-3</v>
      </c>
      <c r="Y258" s="37">
        <v>25.9</v>
      </c>
      <c r="Z258" s="69">
        <v>23.7</v>
      </c>
      <c r="AA258" s="16">
        <f t="shared" si="192"/>
        <v>2.1999999999999993</v>
      </c>
      <c r="AB258" s="66">
        <f t="shared" si="197"/>
        <v>9.2827004219409259E-2</v>
      </c>
      <c r="AC258" s="107" t="s">
        <v>5240</v>
      </c>
      <c r="AD258" s="17" t="s">
        <v>1109</v>
      </c>
      <c r="AE258" s="89">
        <v>44299</v>
      </c>
      <c r="AF258" s="88">
        <v>44329</v>
      </c>
      <c r="AG258" s="34">
        <f t="shared" si="198"/>
        <v>30</v>
      </c>
      <c r="AH258" s="42" t="s">
        <v>1790</v>
      </c>
      <c r="AJ258" s="9"/>
    </row>
    <row r="259" spans="1:46">
      <c r="A259" s="151" t="s">
        <v>2496</v>
      </c>
      <c r="B259" s="85">
        <v>-4</v>
      </c>
      <c r="C259" s="84">
        <v>34</v>
      </c>
      <c r="D259" s="84">
        <v>23</v>
      </c>
      <c r="E259" s="84">
        <v>4</v>
      </c>
      <c r="F259" s="7">
        <v>6.35</v>
      </c>
      <c r="G259" s="58" t="s">
        <v>1108</v>
      </c>
      <c r="H259" s="31" t="s">
        <v>2191</v>
      </c>
      <c r="I259" s="17" t="s">
        <v>1109</v>
      </c>
      <c r="J259" s="77">
        <v>26.54</v>
      </c>
      <c r="K259" s="77">
        <v>1.46</v>
      </c>
      <c r="L259" s="77">
        <v>22.84</v>
      </c>
      <c r="N259" s="365">
        <f t="shared" si="196"/>
        <v>50.84</v>
      </c>
      <c r="P259" s="2"/>
      <c r="V259" s="371">
        <v>0.16</v>
      </c>
      <c r="W259" s="35">
        <v>0.1</v>
      </c>
      <c r="X259" s="100">
        <f>W259/Y259</f>
        <v>3.8610038610038615E-3</v>
      </c>
      <c r="Y259" s="37">
        <v>25.9</v>
      </c>
      <c r="Z259" s="69">
        <v>23.3</v>
      </c>
      <c r="AA259" s="16">
        <f t="shared" si="192"/>
        <v>2.5999999999999979</v>
      </c>
      <c r="AB259" s="66">
        <f t="shared" si="197"/>
        <v>0.11158798283261794</v>
      </c>
      <c r="AC259" s="107" t="s">
        <v>5239</v>
      </c>
      <c r="AD259" s="17" t="s">
        <v>1109</v>
      </c>
      <c r="AE259" s="89">
        <v>44298</v>
      </c>
      <c r="AF259" s="88">
        <v>44329</v>
      </c>
      <c r="AG259" s="34">
        <f t="shared" si="198"/>
        <v>31</v>
      </c>
      <c r="AH259" s="42" t="s">
        <v>1790</v>
      </c>
      <c r="AI259" s="42" t="s">
        <v>2243</v>
      </c>
      <c r="AJ259" s="9"/>
    </row>
    <row r="260" spans="1:46">
      <c r="A260" s="151" t="s">
        <v>2460</v>
      </c>
      <c r="B260" s="84">
        <v>480</v>
      </c>
      <c r="C260" s="84">
        <v>91</v>
      </c>
      <c r="D260" s="84">
        <v>329</v>
      </c>
      <c r="E260" s="85">
        <v>-4</v>
      </c>
      <c r="F260" s="7">
        <v>-1.38</v>
      </c>
      <c r="G260" s="58" t="s">
        <v>1176</v>
      </c>
      <c r="H260" s="51" t="s">
        <v>2120</v>
      </c>
      <c r="I260" s="23" t="s">
        <v>1177</v>
      </c>
      <c r="J260" s="371">
        <v>37.119999999999997</v>
      </c>
      <c r="K260" s="77">
        <v>10.54</v>
      </c>
      <c r="L260" s="77">
        <v>23.08</v>
      </c>
      <c r="N260" s="365">
        <f t="shared" ref="N260:N261" si="199">K260+J260+L260</f>
        <v>70.739999999999995</v>
      </c>
      <c r="V260" s="371">
        <v>0.69</v>
      </c>
      <c r="W260" s="35">
        <v>0.5</v>
      </c>
      <c r="X260" s="100">
        <v>3.08</v>
      </c>
      <c r="Y260" s="37">
        <v>62.4</v>
      </c>
      <c r="Z260" s="69">
        <v>56.1</v>
      </c>
      <c r="AA260" s="16">
        <f t="shared" si="192"/>
        <v>6.2999999999999972</v>
      </c>
      <c r="AB260" s="66">
        <f t="shared" ref="AB260:AB261" si="200">AA260/Z260</f>
        <v>0.11229946524064166</v>
      </c>
      <c r="AC260" s="107" t="s">
        <v>5238</v>
      </c>
      <c r="AD260" s="23" t="s">
        <v>1177</v>
      </c>
      <c r="AE260" s="89">
        <v>44319</v>
      </c>
      <c r="AF260" s="88">
        <v>44329</v>
      </c>
      <c r="AG260" s="34">
        <f t="shared" si="198"/>
        <v>10</v>
      </c>
      <c r="AH260" s="135" t="s">
        <v>1790</v>
      </c>
      <c r="AI260" s="237"/>
      <c r="AJ260" s="238"/>
    </row>
    <row r="261" spans="1:46">
      <c r="A261" s="151" t="s">
        <v>2460</v>
      </c>
      <c r="B261" s="84">
        <v>480</v>
      </c>
      <c r="C261" s="84">
        <v>91</v>
      </c>
      <c r="D261" s="84">
        <v>329</v>
      </c>
      <c r="E261" s="85">
        <v>-4</v>
      </c>
      <c r="F261" s="7">
        <v>-1.38</v>
      </c>
      <c r="G261" s="58" t="s">
        <v>1176</v>
      </c>
      <c r="H261" s="31" t="s">
        <v>2191</v>
      </c>
      <c r="I261" s="23" t="s">
        <v>1177</v>
      </c>
      <c r="J261" s="371">
        <v>37.119999999999997</v>
      </c>
      <c r="K261" s="77">
        <v>10.54</v>
      </c>
      <c r="L261" s="77">
        <v>23.08</v>
      </c>
      <c r="N261" s="365">
        <f t="shared" si="199"/>
        <v>70.739999999999995</v>
      </c>
      <c r="V261" s="371">
        <v>0.69</v>
      </c>
      <c r="W261" s="35">
        <v>0.5</v>
      </c>
      <c r="X261" s="100">
        <v>3.08</v>
      </c>
      <c r="Y261" s="37">
        <v>62.2</v>
      </c>
      <c r="Z261" s="69">
        <v>55.7</v>
      </c>
      <c r="AA261" s="16">
        <f t="shared" si="192"/>
        <v>6.5</v>
      </c>
      <c r="AB261" s="66">
        <f t="shared" si="200"/>
        <v>0.11669658886894074</v>
      </c>
      <c r="AC261" s="107" t="s">
        <v>5237</v>
      </c>
      <c r="AD261" s="23" t="s">
        <v>1177</v>
      </c>
      <c r="AE261" s="89">
        <v>44319</v>
      </c>
      <c r="AF261" s="88">
        <v>44329</v>
      </c>
      <c r="AG261" s="34">
        <f t="shared" si="198"/>
        <v>10</v>
      </c>
      <c r="AH261" s="42" t="s">
        <v>1790</v>
      </c>
      <c r="AI261" s="237"/>
      <c r="AJ261" s="238"/>
    </row>
    <row r="262" spans="1:46">
      <c r="A262" s="135" t="s">
        <v>2930</v>
      </c>
      <c r="B262" s="98">
        <v>5707</v>
      </c>
      <c r="C262" s="98">
        <v>7419</v>
      </c>
      <c r="D262" s="84">
        <v>24</v>
      </c>
      <c r="E262" s="85">
        <v>-46</v>
      </c>
      <c r="F262" s="59">
        <v>62.23</v>
      </c>
      <c r="G262" s="58" t="s">
        <v>1088</v>
      </c>
      <c r="H262" s="51" t="s">
        <v>2120</v>
      </c>
      <c r="I262" s="23" t="s">
        <v>1089</v>
      </c>
      <c r="J262" s="77">
        <v>42.85</v>
      </c>
      <c r="K262" s="371">
        <v>7.48</v>
      </c>
      <c r="L262" s="77">
        <v>21.94</v>
      </c>
      <c r="N262" s="365">
        <f>K262+J262+L262</f>
        <v>72.27</v>
      </c>
      <c r="V262" s="371">
        <v>4.46</v>
      </c>
      <c r="W262" s="69">
        <v>12</v>
      </c>
      <c r="X262" s="100">
        <v>23.16</v>
      </c>
      <c r="Y262" s="242">
        <v>97.8</v>
      </c>
      <c r="Z262" s="242">
        <v>86.7</v>
      </c>
      <c r="AA262" s="16">
        <f t="shared" si="192"/>
        <v>11.099999999999994</v>
      </c>
      <c r="AB262" s="66">
        <f>AA262/Z262</f>
        <v>0.12802768166089959</v>
      </c>
      <c r="AC262" s="105" t="s">
        <v>2575</v>
      </c>
      <c r="AD262" s="23" t="s">
        <v>1089</v>
      </c>
      <c r="AE262" s="89">
        <v>44315</v>
      </c>
      <c r="AF262" s="88">
        <v>44328</v>
      </c>
      <c r="AG262" s="34">
        <f t="shared" si="198"/>
        <v>13</v>
      </c>
      <c r="AH262" s="135" t="s">
        <v>1790</v>
      </c>
      <c r="AI262" s="235"/>
      <c r="AJ262" s="202"/>
    </row>
    <row r="263" spans="1:46">
      <c r="A263" s="135" t="s">
        <v>2930</v>
      </c>
      <c r="B263" s="98">
        <v>5707</v>
      </c>
      <c r="C263" s="98">
        <v>7419</v>
      </c>
      <c r="D263" s="84">
        <v>24</v>
      </c>
      <c r="E263" s="85">
        <v>-46</v>
      </c>
      <c r="F263" s="59">
        <v>62.23</v>
      </c>
      <c r="G263" s="58" t="s">
        <v>1088</v>
      </c>
      <c r="H263" s="31" t="s">
        <v>2191</v>
      </c>
      <c r="I263" s="23" t="s">
        <v>1089</v>
      </c>
      <c r="J263" s="77">
        <v>42.85</v>
      </c>
      <c r="K263" s="371">
        <v>7.48</v>
      </c>
      <c r="L263" s="77">
        <v>21.94</v>
      </c>
      <c r="N263" s="365">
        <f>K263+J263+L263</f>
        <v>72.27</v>
      </c>
      <c r="V263" s="371">
        <v>4.46</v>
      </c>
      <c r="W263" s="69">
        <v>12</v>
      </c>
      <c r="X263" s="100">
        <v>23.16</v>
      </c>
      <c r="Y263" s="242">
        <v>100.5</v>
      </c>
      <c r="Z263" s="242">
        <v>87.7</v>
      </c>
      <c r="AA263" s="16">
        <f t="shared" si="192"/>
        <v>12.799999999999997</v>
      </c>
      <c r="AB263" s="66">
        <f>AA263/Z263</f>
        <v>0.14595210946408205</v>
      </c>
      <c r="AC263" s="105" t="s">
        <v>2502</v>
      </c>
      <c r="AD263" s="23" t="s">
        <v>1089</v>
      </c>
      <c r="AE263" s="89">
        <v>44315</v>
      </c>
      <c r="AF263" s="88">
        <v>44328</v>
      </c>
      <c r="AG263" s="34">
        <f t="shared" si="198"/>
        <v>13</v>
      </c>
      <c r="AH263" s="42" t="s">
        <v>1790</v>
      </c>
      <c r="AI263" s="235"/>
      <c r="AJ263" s="202"/>
    </row>
    <row r="264" spans="1:46">
      <c r="A264" s="135" t="s">
        <v>2930</v>
      </c>
      <c r="B264" s="98">
        <v>5707</v>
      </c>
      <c r="C264" s="98">
        <v>7419</v>
      </c>
      <c r="D264" s="84">
        <v>24</v>
      </c>
      <c r="E264" s="85">
        <v>-46</v>
      </c>
      <c r="F264" s="59">
        <v>62.23</v>
      </c>
      <c r="G264" s="58" t="s">
        <v>1088</v>
      </c>
      <c r="H264" s="31" t="s">
        <v>2191</v>
      </c>
      <c r="I264" s="23" t="s">
        <v>1089</v>
      </c>
      <c r="J264" s="77">
        <v>42.85</v>
      </c>
      <c r="K264" s="371">
        <v>7.48</v>
      </c>
      <c r="L264" s="77">
        <v>21.94</v>
      </c>
      <c r="N264" s="365">
        <f>K264+J264+L264</f>
        <v>72.27</v>
      </c>
      <c r="V264" s="371">
        <v>4.46</v>
      </c>
      <c r="W264" s="69">
        <v>12</v>
      </c>
      <c r="X264" s="100">
        <v>23.16</v>
      </c>
      <c r="Y264" s="242">
        <v>100.5</v>
      </c>
      <c r="Z264" s="242">
        <v>86.5</v>
      </c>
      <c r="AA264" s="16">
        <f t="shared" si="192"/>
        <v>14</v>
      </c>
      <c r="AB264" s="66">
        <f>AA264/Z264</f>
        <v>0.16184971098265896</v>
      </c>
      <c r="AC264" s="105" t="s">
        <v>5236</v>
      </c>
      <c r="AD264" s="23" t="s">
        <v>1089</v>
      </c>
      <c r="AE264" s="89">
        <v>44315</v>
      </c>
      <c r="AF264" s="88">
        <v>44328</v>
      </c>
      <c r="AG264" s="34">
        <f t="shared" si="198"/>
        <v>13</v>
      </c>
      <c r="AH264" s="42" t="s">
        <v>1790</v>
      </c>
      <c r="AI264" s="42" t="s">
        <v>2243</v>
      </c>
      <c r="AJ264" s="202"/>
    </row>
    <row r="265" spans="1:46" s="288" customFormat="1">
      <c r="A265" s="151" t="s">
        <v>2594</v>
      </c>
      <c r="B265" s="85">
        <v>-7</v>
      </c>
      <c r="C265" s="84">
        <v>52</v>
      </c>
      <c r="D265" s="84">
        <v>50</v>
      </c>
      <c r="E265" s="84">
        <v>52</v>
      </c>
      <c r="F265" s="7">
        <v>3.9</v>
      </c>
      <c r="G265" s="42" t="s">
        <v>116</v>
      </c>
      <c r="H265" s="31" t="s">
        <v>2191</v>
      </c>
      <c r="I265" s="163" t="s">
        <v>510</v>
      </c>
      <c r="J265" s="77">
        <v>49.45</v>
      </c>
      <c r="K265" s="77">
        <v>15.5</v>
      </c>
      <c r="L265" s="77">
        <v>1.07</v>
      </c>
      <c r="M265" s="365"/>
      <c r="N265" s="389">
        <f>K265+J265+L265</f>
        <v>66.02</v>
      </c>
      <c r="O265" s="343"/>
      <c r="P265" s="166"/>
      <c r="Q265" s="326"/>
      <c r="R265" s="111">
        <v>6</v>
      </c>
      <c r="S265" s="51"/>
      <c r="T265" s="339"/>
      <c r="U265" s="329"/>
      <c r="V265" s="371">
        <v>0</v>
      </c>
      <c r="W265" s="205">
        <v>5</v>
      </c>
      <c r="X265" s="100">
        <f>W265/Y265</f>
        <v>5.5248618784530384E-2</v>
      </c>
      <c r="Y265" s="171">
        <v>90.5</v>
      </c>
      <c r="Z265" s="68">
        <v>88.1</v>
      </c>
      <c r="AA265" s="172">
        <f t="shared" si="192"/>
        <v>2.4000000000000057</v>
      </c>
      <c r="AB265" s="168">
        <f t="shared" ref="AB265" si="201">AA265/Z265</f>
        <v>2.7241770715096546E-2</v>
      </c>
      <c r="AC265" s="119" t="s">
        <v>5231</v>
      </c>
      <c r="AD265" s="163" t="s">
        <v>510</v>
      </c>
      <c r="AE265" s="89">
        <v>44302</v>
      </c>
      <c r="AF265" s="88">
        <v>44322</v>
      </c>
      <c r="AG265" s="34">
        <f t="shared" ref="AG265" si="202">AF265-AE265</f>
        <v>20</v>
      </c>
      <c r="AH265" s="42" t="s">
        <v>3434</v>
      </c>
      <c r="AI265" s="173"/>
    </row>
    <row r="266" spans="1:46" s="288" customFormat="1">
      <c r="A266" s="135" t="s">
        <v>2408</v>
      </c>
      <c r="B266" s="84">
        <v>44</v>
      </c>
      <c r="C266" s="84">
        <v>42</v>
      </c>
      <c r="D266" s="85">
        <v>-5</v>
      </c>
      <c r="E266" s="84">
        <v>26</v>
      </c>
      <c r="F266" s="59">
        <v>10.09</v>
      </c>
      <c r="G266" s="58" t="s">
        <v>2115</v>
      </c>
      <c r="H266" s="31" t="s">
        <v>2191</v>
      </c>
      <c r="I266" s="163" t="s">
        <v>820</v>
      </c>
      <c r="J266" s="371">
        <v>42.4</v>
      </c>
      <c r="K266" s="371">
        <v>12.5</v>
      </c>
      <c r="L266" s="371">
        <v>16.100000000000001</v>
      </c>
      <c r="M266" s="365"/>
      <c r="N266" s="365">
        <f t="shared" ref="N266" si="203">K266+J266+L266</f>
        <v>71</v>
      </c>
      <c r="O266" s="343"/>
      <c r="P266" s="166"/>
      <c r="Q266" s="326"/>
      <c r="R266" s="111">
        <v>5</v>
      </c>
      <c r="S266" s="51"/>
      <c r="T266" s="339"/>
      <c r="U266" s="329"/>
      <c r="V266" s="371">
        <v>3.31</v>
      </c>
      <c r="W266" s="165">
        <v>3</v>
      </c>
      <c r="X266" s="100">
        <v>6.32</v>
      </c>
      <c r="Y266" s="171">
        <v>67.3</v>
      </c>
      <c r="Z266" s="68">
        <v>67.400000000000006</v>
      </c>
      <c r="AA266" s="172">
        <f t="shared" ref="AA266" si="204">Y266-Z266</f>
        <v>-0.10000000000000853</v>
      </c>
      <c r="AB266" s="174">
        <f t="shared" ref="AB266" si="205">AA266/Z266</f>
        <v>-1.4836795252226784E-3</v>
      </c>
      <c r="AC266" s="178" t="s">
        <v>2904</v>
      </c>
      <c r="AD266" s="163" t="s">
        <v>820</v>
      </c>
      <c r="AE266" s="89">
        <v>44313</v>
      </c>
      <c r="AF266" s="88">
        <v>44322</v>
      </c>
      <c r="AG266" s="34">
        <f>AF266-AE266</f>
        <v>9</v>
      </c>
      <c r="AH266" s="42" t="s">
        <v>1790</v>
      </c>
      <c r="AI266" s="237"/>
      <c r="AJ266" s="238"/>
      <c r="AK266" s="18"/>
    </row>
    <row r="267" spans="1:46" s="288" customFormat="1">
      <c r="A267" s="150"/>
      <c r="B267" s="84"/>
      <c r="C267" s="84"/>
      <c r="D267" s="84"/>
      <c r="E267" s="84"/>
      <c r="F267" s="7"/>
      <c r="G267" s="42"/>
      <c r="H267" s="9"/>
      <c r="I267" s="163"/>
      <c r="J267" s="371"/>
      <c r="K267" s="371"/>
      <c r="L267" s="371"/>
      <c r="M267" s="365"/>
      <c r="N267" s="365"/>
      <c r="O267" s="343"/>
      <c r="P267" s="229"/>
      <c r="Q267" s="326"/>
      <c r="R267" s="111"/>
      <c r="S267" s="51"/>
      <c r="T267" s="339"/>
      <c r="U267" s="329"/>
      <c r="V267" s="371"/>
      <c r="W267" s="205"/>
      <c r="X267" s="100"/>
      <c r="Y267" s="171">
        <f>SUM(Y207:Y266)</f>
        <v>5598.6</v>
      </c>
      <c r="Z267" s="68">
        <f>SUM(Z207:Z266)</f>
        <v>5343.0500000000011</v>
      </c>
      <c r="AA267" s="172">
        <f>Y267-Z267</f>
        <v>255.54999999999927</v>
      </c>
      <c r="AB267" s="168">
        <f>AA267/Z267</f>
        <v>4.782848747438246E-2</v>
      </c>
      <c r="AC267" s="121"/>
      <c r="AD267" s="257">
        <f>Y267*(0.001425*0.5)+Y267*0.003+Z267*(0.001425*0.5)</f>
        <v>24.591725625000002</v>
      </c>
      <c r="AE267" s="7">
        <f>AA267-AD267</f>
        <v>230.95827437499926</v>
      </c>
      <c r="AF267" s="88"/>
      <c r="AG267" s="34"/>
      <c r="AH267" s="42"/>
      <c r="AI267" s="173"/>
    </row>
    <row r="268" spans="1:46" s="297" customFormat="1">
      <c r="A268" s="135"/>
      <c r="B268" s="96"/>
      <c r="C268" s="96"/>
      <c r="D268" s="96"/>
      <c r="E268" s="96"/>
      <c r="F268" s="9"/>
      <c r="G268" s="26"/>
      <c r="H268" s="56"/>
      <c r="I268" s="1"/>
      <c r="J268" s="364"/>
      <c r="K268" s="364"/>
      <c r="L268" s="364"/>
      <c r="M268" s="364"/>
      <c r="N268" s="364"/>
      <c r="O268" s="343"/>
      <c r="P268" s="195"/>
      <c r="Q268" s="328"/>
      <c r="R268" s="337"/>
      <c r="S268" s="51"/>
      <c r="T268" s="339"/>
      <c r="U268" s="329"/>
      <c r="V268" s="377"/>
      <c r="W268" s="15"/>
      <c r="X268" s="71"/>
      <c r="Y268" s="29"/>
      <c r="Z268" s="71"/>
      <c r="AA268" s="15"/>
      <c r="AB268" s="22"/>
      <c r="AC268" s="26"/>
      <c r="AD268" s="257">
        <f>Y267*(0.001425*0.28)+Y267*0.003+Z267*(0.001425*0.28)</f>
        <v>21.161518350000001</v>
      </c>
      <c r="AE268" s="75"/>
      <c r="AF268" s="76"/>
      <c r="AG268" s="33"/>
      <c r="AH268" s="47"/>
      <c r="AI268" s="173"/>
    </row>
    <row r="269" spans="1:46" s="297" customFormat="1">
      <c r="A269" s="135"/>
      <c r="B269" s="96"/>
      <c r="C269" s="96"/>
      <c r="D269" s="96"/>
      <c r="E269" s="96"/>
      <c r="F269" s="9"/>
      <c r="G269" s="26"/>
      <c r="H269" s="56"/>
      <c r="I269" s="1"/>
      <c r="J269" s="364"/>
      <c r="K269" s="364"/>
      <c r="L269" s="364"/>
      <c r="M269" s="364"/>
      <c r="N269" s="364"/>
      <c r="O269" s="343"/>
      <c r="P269" s="195"/>
      <c r="Q269" s="328"/>
      <c r="R269" s="337"/>
      <c r="S269" s="51"/>
      <c r="T269" s="339"/>
      <c r="U269" s="329"/>
      <c r="V269" s="377"/>
      <c r="W269" s="15"/>
      <c r="X269" s="71"/>
      <c r="Y269" s="29"/>
      <c r="Z269" s="71"/>
      <c r="AA269" s="15"/>
      <c r="AB269" s="22"/>
      <c r="AC269" s="26"/>
      <c r="AD269" s="257"/>
      <c r="AE269" s="75"/>
      <c r="AF269" s="76"/>
      <c r="AG269" s="33"/>
      <c r="AH269" s="47"/>
      <c r="AI269" s="173"/>
    </row>
    <row r="270" spans="1:46" s="297" customFormat="1">
      <c r="A270" s="135" t="s">
        <v>2552</v>
      </c>
      <c r="B270" s="96" t="s">
        <v>2331</v>
      </c>
      <c r="C270" s="96" t="s">
        <v>2332</v>
      </c>
      <c r="D270" s="96" t="s">
        <v>2333</v>
      </c>
      <c r="E270" s="96" t="s">
        <v>2334</v>
      </c>
      <c r="F270" s="9" t="s">
        <v>1709</v>
      </c>
      <c r="G270" s="27" t="s">
        <v>5626</v>
      </c>
      <c r="H270" s="56" t="s">
        <v>578</v>
      </c>
      <c r="I270" s="1" t="s">
        <v>3593</v>
      </c>
      <c r="J270" s="364" t="s">
        <v>2189</v>
      </c>
      <c r="K270" s="364" t="s">
        <v>1820</v>
      </c>
      <c r="L270" s="364" t="s">
        <v>515</v>
      </c>
      <c r="M270" s="364" t="s">
        <v>1699</v>
      </c>
      <c r="N270" s="364" t="s">
        <v>6604</v>
      </c>
      <c r="O270" s="343" t="s">
        <v>6634</v>
      </c>
      <c r="P270" s="83" t="s">
        <v>5279</v>
      </c>
      <c r="Q270" s="326" t="s">
        <v>5514</v>
      </c>
      <c r="R270" s="31" t="s">
        <v>6596</v>
      </c>
      <c r="S270" s="51" t="s">
        <v>6597</v>
      </c>
      <c r="T270" s="338" t="s">
        <v>5627</v>
      </c>
      <c r="U270" s="330" t="s">
        <v>6537</v>
      </c>
      <c r="V270" s="377" t="s">
        <v>6616</v>
      </c>
      <c r="W270" s="15" t="s">
        <v>127</v>
      </c>
      <c r="X270" s="71" t="s">
        <v>6626</v>
      </c>
      <c r="Y270" s="29" t="s">
        <v>4926</v>
      </c>
      <c r="Z270" s="71" t="s">
        <v>2113</v>
      </c>
      <c r="AA270" s="15" t="s">
        <v>3598</v>
      </c>
      <c r="AB270" s="22" t="s">
        <v>2199</v>
      </c>
      <c r="AC270" s="26" t="s">
        <v>211</v>
      </c>
      <c r="AD270" s="1" t="s">
        <v>3593</v>
      </c>
      <c r="AE270" s="75" t="s">
        <v>2114</v>
      </c>
      <c r="AF270" s="76" t="s">
        <v>1826</v>
      </c>
      <c r="AG270" s="33" t="s">
        <v>1827</v>
      </c>
      <c r="AH270" s="47" t="s">
        <v>5067</v>
      </c>
      <c r="AI270" s="173"/>
    </row>
    <row r="271" spans="1:46" s="288" customFormat="1">
      <c r="A271" s="151" t="s">
        <v>2925</v>
      </c>
      <c r="B271" s="85">
        <v>-16</v>
      </c>
      <c r="C271" s="84">
        <v>11</v>
      </c>
      <c r="D271" s="84">
        <v>30</v>
      </c>
      <c r="E271" s="84">
        <v>18</v>
      </c>
      <c r="F271" s="7">
        <v>5.99</v>
      </c>
      <c r="G271" s="42" t="s">
        <v>3166</v>
      </c>
      <c r="H271" s="31" t="s">
        <v>2191</v>
      </c>
      <c r="I271" s="176" t="s">
        <v>556</v>
      </c>
      <c r="J271" s="77">
        <v>41.4</v>
      </c>
      <c r="K271" s="371">
        <v>14.13</v>
      </c>
      <c r="L271" s="371">
        <v>31.04</v>
      </c>
      <c r="M271" s="365"/>
      <c r="N271" s="365">
        <f>K271+J271+L271</f>
        <v>86.57</v>
      </c>
      <c r="O271" s="343"/>
      <c r="P271" s="166"/>
      <c r="Q271" s="326"/>
      <c r="R271" s="111">
        <v>13</v>
      </c>
      <c r="S271" s="51"/>
      <c r="T271" s="339"/>
      <c r="U271" s="329"/>
      <c r="V271" s="371">
        <v>0.06</v>
      </c>
      <c r="W271" s="205">
        <v>1</v>
      </c>
      <c r="X271" s="100">
        <f>W271/Y271</f>
        <v>1.7035775127768313E-2</v>
      </c>
      <c r="Y271" s="171">
        <v>58.7</v>
      </c>
      <c r="Z271" s="165">
        <v>54.5</v>
      </c>
      <c r="AA271" s="112">
        <f>Y271-Z271</f>
        <v>4.2000000000000028</v>
      </c>
      <c r="AB271" s="168">
        <f>AA271/Z271</f>
        <v>7.7064220183486284E-2</v>
      </c>
      <c r="AC271" s="177" t="s">
        <v>3490</v>
      </c>
      <c r="AD271" s="176" t="s">
        <v>556</v>
      </c>
      <c r="AE271" s="89">
        <v>44309</v>
      </c>
      <c r="AF271" s="88">
        <v>44403</v>
      </c>
      <c r="AG271" s="34">
        <f>AF271-AE271</f>
        <v>94</v>
      </c>
      <c r="AH271" s="42" t="s">
        <v>1790</v>
      </c>
      <c r="AI271" s="237"/>
      <c r="AJ271" s="238"/>
    </row>
    <row r="272" spans="1:46" s="181" customFormat="1" ht="17.100000000000001" customHeight="1">
      <c r="A272" s="42"/>
      <c r="B272" s="85">
        <v>-63</v>
      </c>
      <c r="C272" s="85">
        <v>-76</v>
      </c>
      <c r="D272" s="85">
        <v>-63</v>
      </c>
      <c r="E272" s="85">
        <v>-76</v>
      </c>
      <c r="F272" s="7">
        <v>1.95</v>
      </c>
      <c r="G272" s="42" t="s">
        <v>3583</v>
      </c>
      <c r="H272" s="31" t="s">
        <v>2191</v>
      </c>
      <c r="I272" s="176" t="s">
        <v>377</v>
      </c>
      <c r="J272" s="371">
        <v>52.31</v>
      </c>
      <c r="K272" s="371">
        <v>0.64</v>
      </c>
      <c r="L272" s="77">
        <v>6.93</v>
      </c>
      <c r="M272" s="365"/>
      <c r="N272" s="365">
        <f>V272+K272+J272+L272</f>
        <v>109.26000000000002</v>
      </c>
      <c r="O272" s="343"/>
      <c r="P272" s="195"/>
      <c r="Q272" s="326"/>
      <c r="R272" s="111"/>
      <c r="S272" s="51"/>
      <c r="T272" s="339"/>
      <c r="U272" s="329"/>
      <c r="V272" s="371">
        <v>49.38</v>
      </c>
      <c r="W272" s="205">
        <v>1.1599999999999999</v>
      </c>
      <c r="X272" s="59">
        <f t="shared" ref="X272:X273" si="206">W272/Y272</f>
        <v>6.2533692722371956E-2</v>
      </c>
      <c r="Y272" s="175">
        <v>18.55</v>
      </c>
      <c r="Z272" s="68">
        <v>17</v>
      </c>
      <c r="AA272" s="172">
        <f t="shared" ref="AA272:AA273" si="207">Y272-Z272</f>
        <v>1.5500000000000007</v>
      </c>
      <c r="AB272" s="168">
        <f t="shared" ref="AB272:AB273" si="208">AA272/Z272</f>
        <v>9.1176470588235331E-2</v>
      </c>
      <c r="AC272" s="177" t="s">
        <v>5189</v>
      </c>
      <c r="AD272" s="176" t="s">
        <v>377</v>
      </c>
      <c r="AE272" s="89">
        <v>44252</v>
      </c>
      <c r="AF272" s="88">
        <v>44308</v>
      </c>
      <c r="AG272" s="34">
        <f t="shared" ref="AG272:AG273" si="209">AF272-AE272</f>
        <v>56</v>
      </c>
      <c r="AH272" s="42" t="s">
        <v>1790</v>
      </c>
      <c r="AI272" s="28"/>
      <c r="AJ272" s="18"/>
      <c r="AK272" s="12"/>
      <c r="AL272" s="12"/>
      <c r="AM272" s="12"/>
      <c r="AN272" s="12"/>
      <c r="AO272" s="288"/>
      <c r="AP272" s="288"/>
      <c r="AR272" s="4"/>
      <c r="AS272" s="288"/>
      <c r="AT272" s="288"/>
    </row>
    <row r="273" spans="1:46" s="181" customFormat="1" ht="17.100000000000001" customHeight="1">
      <c r="A273" s="42"/>
      <c r="B273" s="85">
        <v>-63</v>
      </c>
      <c r="C273" s="85">
        <v>-76</v>
      </c>
      <c r="D273" s="85">
        <v>-63</v>
      </c>
      <c r="E273" s="85">
        <v>-76</v>
      </c>
      <c r="F273" s="7">
        <v>1.95</v>
      </c>
      <c r="G273" s="42" t="s">
        <v>3583</v>
      </c>
      <c r="H273" s="31" t="s">
        <v>2191</v>
      </c>
      <c r="I273" s="176" t="s">
        <v>377</v>
      </c>
      <c r="J273" s="371">
        <v>52.31</v>
      </c>
      <c r="K273" s="371">
        <v>0.64</v>
      </c>
      <c r="L273" s="77">
        <v>6.93</v>
      </c>
      <c r="M273" s="365"/>
      <c r="N273" s="365">
        <f>V273+K273+J273+L273</f>
        <v>109.26000000000002</v>
      </c>
      <c r="O273" s="343"/>
      <c r="P273" s="195"/>
      <c r="Q273" s="326"/>
      <c r="R273" s="111"/>
      <c r="S273" s="51"/>
      <c r="T273" s="339"/>
      <c r="U273" s="329"/>
      <c r="V273" s="371">
        <v>49.38</v>
      </c>
      <c r="W273" s="205">
        <v>1.1599999999999999</v>
      </c>
      <c r="X273" s="59">
        <f t="shared" si="206"/>
        <v>6.2702702702702701E-2</v>
      </c>
      <c r="Y273" s="175">
        <v>18.5</v>
      </c>
      <c r="Z273" s="68">
        <v>17.350000000000001</v>
      </c>
      <c r="AA273" s="172">
        <f t="shared" si="207"/>
        <v>1.1499999999999986</v>
      </c>
      <c r="AB273" s="168">
        <f t="shared" si="208"/>
        <v>6.6282420749279453E-2</v>
      </c>
      <c r="AC273" s="177" t="s">
        <v>5190</v>
      </c>
      <c r="AD273" s="176" t="s">
        <v>377</v>
      </c>
      <c r="AE273" s="89">
        <v>44252</v>
      </c>
      <c r="AF273" s="88">
        <v>44308</v>
      </c>
      <c r="AG273" s="34">
        <f t="shared" si="209"/>
        <v>56</v>
      </c>
      <c r="AH273" s="42" t="s">
        <v>1790</v>
      </c>
      <c r="AI273" s="28"/>
      <c r="AJ273" s="18"/>
      <c r="AK273" s="12"/>
      <c r="AL273" s="12"/>
      <c r="AM273" s="12"/>
      <c r="AN273" s="12"/>
      <c r="AO273" s="288"/>
      <c r="AP273" s="288"/>
      <c r="AR273" s="4"/>
      <c r="AS273" s="288"/>
      <c r="AT273" s="288"/>
    </row>
    <row r="274" spans="1:46" s="288" customFormat="1">
      <c r="A274" s="151" t="s">
        <v>2445</v>
      </c>
      <c r="B274" s="85">
        <v>-63</v>
      </c>
      <c r="C274" s="85">
        <v>-65</v>
      </c>
      <c r="D274" s="85">
        <v>-8</v>
      </c>
      <c r="E274" s="84">
        <v>21</v>
      </c>
      <c r="F274" s="7">
        <v>8.69</v>
      </c>
      <c r="G274" s="42" t="s">
        <v>1714</v>
      </c>
      <c r="H274" s="31" t="s">
        <v>2191</v>
      </c>
      <c r="I274" s="176" t="s">
        <v>3581</v>
      </c>
      <c r="J274" s="371">
        <v>58.75</v>
      </c>
      <c r="K274" s="371">
        <v>59.96</v>
      </c>
      <c r="L274" s="77">
        <v>8.64</v>
      </c>
      <c r="M274" s="365"/>
      <c r="N274" s="77">
        <f>K274+J274+L274</f>
        <v>127.35000000000001</v>
      </c>
      <c r="O274" s="343"/>
      <c r="P274" s="195"/>
      <c r="Q274" s="326"/>
      <c r="R274" s="111"/>
      <c r="S274" s="51"/>
      <c r="T274" s="339"/>
      <c r="U274" s="329"/>
      <c r="V274" s="371">
        <v>0</v>
      </c>
      <c r="W274" s="205">
        <v>1.23</v>
      </c>
      <c r="X274" s="59">
        <f>W274/Y274</f>
        <v>3.7500000000000006E-2</v>
      </c>
      <c r="Y274" s="175">
        <v>32.799999999999997</v>
      </c>
      <c r="Z274" s="68">
        <v>32.1</v>
      </c>
      <c r="AA274" s="172">
        <f>Y274-Z274</f>
        <v>0.69999999999999574</v>
      </c>
      <c r="AB274" s="168">
        <f>AA274/Z274</f>
        <v>2.1806853582554384E-2</v>
      </c>
      <c r="AC274" s="177" t="s">
        <v>5188</v>
      </c>
      <c r="AD274" s="176" t="s">
        <v>3581</v>
      </c>
      <c r="AE274" s="89">
        <v>44300</v>
      </c>
      <c r="AF274" s="88">
        <v>44308</v>
      </c>
      <c r="AG274" s="34">
        <f t="shared" ref="AG274" si="210">AF274-AE274</f>
        <v>8</v>
      </c>
      <c r="AH274" s="42" t="s">
        <v>1790</v>
      </c>
      <c r="AI274" s="200"/>
      <c r="AJ274" s="199"/>
    </row>
    <row r="275" spans="1:46" s="288" customFormat="1">
      <c r="A275" s="151" t="s">
        <v>5130</v>
      </c>
      <c r="B275" s="84">
        <v>31</v>
      </c>
      <c r="C275" s="84">
        <v>8</v>
      </c>
      <c r="D275" s="84">
        <v>29</v>
      </c>
      <c r="E275" s="84">
        <v>22</v>
      </c>
      <c r="F275" s="7">
        <v>4.18</v>
      </c>
      <c r="G275" s="42" t="s">
        <v>116</v>
      </c>
      <c r="H275" s="31" t="s">
        <v>5064</v>
      </c>
      <c r="I275" s="163" t="s">
        <v>5131</v>
      </c>
      <c r="J275" s="77">
        <v>49.45</v>
      </c>
      <c r="K275" s="77">
        <v>15.5</v>
      </c>
      <c r="L275" s="77">
        <v>1.07</v>
      </c>
      <c r="M275" s="365"/>
      <c r="N275" s="389">
        <f>K275+J275+L275</f>
        <v>66.02</v>
      </c>
      <c r="O275" s="343"/>
      <c r="P275" s="195"/>
      <c r="Q275" s="326"/>
      <c r="R275" s="111"/>
      <c r="S275" s="51"/>
      <c r="T275" s="339"/>
      <c r="U275" s="329"/>
      <c r="V275" s="371">
        <v>0</v>
      </c>
      <c r="W275" s="205">
        <v>5</v>
      </c>
      <c r="X275" s="100">
        <f>W275/Y275</f>
        <v>5.5248618784530384E-2</v>
      </c>
      <c r="Y275" s="171">
        <v>90.5</v>
      </c>
      <c r="Z275" s="68">
        <v>87.5</v>
      </c>
      <c r="AA275" s="172">
        <f>Y275-Z275</f>
        <v>3</v>
      </c>
      <c r="AB275" s="168">
        <f t="shared" ref="AB275" si="211">AA275/Z275</f>
        <v>3.4285714285714287E-2</v>
      </c>
      <c r="AC275" s="119" t="s">
        <v>3234</v>
      </c>
      <c r="AD275" s="163" t="s">
        <v>5131</v>
      </c>
      <c r="AE275" s="89">
        <v>44182</v>
      </c>
      <c r="AF275" s="88">
        <v>44308</v>
      </c>
      <c r="AG275" s="81">
        <f t="shared" ref="AG275:AG280" si="212">AF275-AE275</f>
        <v>126</v>
      </c>
      <c r="AH275" s="42" t="s">
        <v>4523</v>
      </c>
      <c r="AI275" s="173"/>
    </row>
    <row r="276" spans="1:46" s="288" customFormat="1" ht="15.75" customHeight="1">
      <c r="A276" s="135" t="s">
        <v>3298</v>
      </c>
      <c r="B276" s="84">
        <v>1</v>
      </c>
      <c r="C276" s="84">
        <v>5</v>
      </c>
      <c r="D276" s="84">
        <v>22</v>
      </c>
      <c r="E276" s="85">
        <v>-1</v>
      </c>
      <c r="F276" s="59">
        <v>12.6</v>
      </c>
      <c r="G276" s="42" t="s">
        <v>77</v>
      </c>
      <c r="H276" s="31" t="s">
        <v>2191</v>
      </c>
      <c r="I276" s="176" t="s">
        <v>5009</v>
      </c>
      <c r="J276" s="77">
        <v>64.08</v>
      </c>
      <c r="K276" s="371">
        <v>53.55</v>
      </c>
      <c r="L276" s="371">
        <v>6.34</v>
      </c>
      <c r="M276" s="365"/>
      <c r="N276" s="77">
        <f t="shared" ref="N276" si="213">K276+J276+L276</f>
        <v>123.97</v>
      </c>
      <c r="O276" s="343"/>
      <c r="P276" s="166"/>
      <c r="Q276" s="326"/>
      <c r="R276" s="111"/>
      <c r="S276" s="51"/>
      <c r="T276" s="339"/>
      <c r="U276" s="329"/>
      <c r="V276" s="371">
        <v>0.18</v>
      </c>
      <c r="W276" s="68">
        <v>4.8</v>
      </c>
      <c r="X276" s="59">
        <f t="shared" ref="X276" si="214">W276/Y276</f>
        <v>0.04</v>
      </c>
      <c r="Y276" s="175">
        <v>120</v>
      </c>
      <c r="Z276" s="68">
        <f>125-4.8</f>
        <v>120.2</v>
      </c>
      <c r="AA276" s="172">
        <f t="shared" ref="AA276" si="215">Y276-Z276</f>
        <v>-0.20000000000000284</v>
      </c>
      <c r="AB276" s="174">
        <f t="shared" ref="AB276" si="216">AA276/Z276</f>
        <v>-1.6638935108153315E-3</v>
      </c>
      <c r="AC276" s="178" t="s">
        <v>5186</v>
      </c>
      <c r="AD276" s="176" t="s">
        <v>5009</v>
      </c>
      <c r="AE276" s="89">
        <v>44307</v>
      </c>
      <c r="AF276" s="88">
        <v>44308</v>
      </c>
      <c r="AG276" s="34">
        <f t="shared" si="212"/>
        <v>1</v>
      </c>
      <c r="AH276" s="42" t="s">
        <v>1790</v>
      </c>
      <c r="AJ276" s="298"/>
    </row>
    <row r="277" spans="1:46" s="288" customFormat="1" ht="15.75" customHeight="1">
      <c r="A277" s="135" t="s">
        <v>3298</v>
      </c>
      <c r="B277" s="84">
        <v>1</v>
      </c>
      <c r="C277" s="84">
        <v>5</v>
      </c>
      <c r="D277" s="84">
        <v>22</v>
      </c>
      <c r="E277" s="85">
        <v>-1</v>
      </c>
      <c r="F277" s="59">
        <v>12.6</v>
      </c>
      <c r="G277" s="42" t="s">
        <v>77</v>
      </c>
      <c r="H277" s="31" t="s">
        <v>2191</v>
      </c>
      <c r="I277" s="176" t="s">
        <v>5009</v>
      </c>
      <c r="J277" s="77">
        <v>64.08</v>
      </c>
      <c r="K277" s="371">
        <v>53.55</v>
      </c>
      <c r="L277" s="371">
        <v>6.34</v>
      </c>
      <c r="M277" s="365"/>
      <c r="N277" s="77">
        <f t="shared" ref="N277" si="217">K277+J277+L277</f>
        <v>123.97</v>
      </c>
      <c r="O277" s="343"/>
      <c r="P277" s="166"/>
      <c r="Q277" s="326"/>
      <c r="R277" s="111"/>
      <c r="S277" s="51"/>
      <c r="T277" s="339"/>
      <c r="U277" s="329"/>
      <c r="V277" s="371">
        <v>0.18</v>
      </c>
      <c r="W277" s="68">
        <v>4.8</v>
      </c>
      <c r="X277" s="59">
        <f t="shared" ref="X277" si="218">W277/Y277</f>
        <v>0.04</v>
      </c>
      <c r="Y277" s="175">
        <v>120</v>
      </c>
      <c r="Z277" s="68">
        <f>124-4.8</f>
        <v>119.2</v>
      </c>
      <c r="AA277" s="172">
        <f t="shared" ref="AA277" si="219">Y277-Z277</f>
        <v>0.79999999999999716</v>
      </c>
      <c r="AB277" s="168">
        <f t="shared" ref="AB277" si="220">AA277/Z277</f>
        <v>6.7114093959731299E-3</v>
      </c>
      <c r="AC277" s="177" t="s">
        <v>5187</v>
      </c>
      <c r="AD277" s="176" t="s">
        <v>5009</v>
      </c>
      <c r="AE277" s="89">
        <v>44301</v>
      </c>
      <c r="AF277" s="88">
        <v>44308</v>
      </c>
      <c r="AG277" s="34">
        <f t="shared" si="212"/>
        <v>7</v>
      </c>
      <c r="AH277" s="42" t="s">
        <v>1790</v>
      </c>
      <c r="AJ277" s="298"/>
    </row>
    <row r="278" spans="1:46" s="288" customFormat="1">
      <c r="A278" s="151" t="s">
        <v>2688</v>
      </c>
      <c r="B278" s="84">
        <v>22</v>
      </c>
      <c r="C278" s="84">
        <v>12</v>
      </c>
      <c r="D278" s="85">
        <v>-34</v>
      </c>
      <c r="E278" s="85">
        <v>-34</v>
      </c>
      <c r="F278" s="7">
        <v>1.36</v>
      </c>
      <c r="G278" s="58" t="s">
        <v>4592</v>
      </c>
      <c r="H278" s="31" t="s">
        <v>2191</v>
      </c>
      <c r="I278" s="163" t="s">
        <v>22</v>
      </c>
      <c r="J278" s="371">
        <v>68.59</v>
      </c>
      <c r="K278" s="371">
        <v>33.18</v>
      </c>
      <c r="L278" s="371">
        <v>3.52</v>
      </c>
      <c r="M278" s="365"/>
      <c r="N278" s="77">
        <f t="shared" ref="N278" si="221">K278+J278+L278</f>
        <v>105.29</v>
      </c>
      <c r="O278" s="343"/>
      <c r="P278" s="195"/>
      <c r="Q278" s="326"/>
      <c r="R278" s="111"/>
      <c r="S278" s="51"/>
      <c r="T278" s="339"/>
      <c r="U278" s="329"/>
      <c r="V278" s="371">
        <v>0.24</v>
      </c>
      <c r="W278" s="205">
        <v>4.5</v>
      </c>
      <c r="X278" s="59">
        <f t="shared" ref="X278" si="222">W278/Y278</f>
        <v>0.06</v>
      </c>
      <c r="Y278" s="171">
        <v>75</v>
      </c>
      <c r="Z278" s="68">
        <v>74.3</v>
      </c>
      <c r="AA278" s="172">
        <f>Y278-Z278</f>
        <v>0.70000000000000284</v>
      </c>
      <c r="AB278" s="168">
        <f t="shared" ref="AB278" si="223">AA278/Z278</f>
        <v>9.4212651413190154E-3</v>
      </c>
      <c r="AC278" s="105" t="s">
        <v>2225</v>
      </c>
      <c r="AD278" s="163" t="s">
        <v>22</v>
      </c>
      <c r="AE278" s="89">
        <v>44307</v>
      </c>
      <c r="AF278" s="88">
        <v>44308</v>
      </c>
      <c r="AG278" s="34">
        <f t="shared" si="212"/>
        <v>1</v>
      </c>
      <c r="AH278" s="42" t="s">
        <v>1790</v>
      </c>
    </row>
    <row r="279" spans="1:46" s="288" customFormat="1">
      <c r="A279" s="151" t="s">
        <v>2688</v>
      </c>
      <c r="B279" s="84">
        <v>22</v>
      </c>
      <c r="C279" s="84">
        <v>12</v>
      </c>
      <c r="D279" s="85">
        <v>-34</v>
      </c>
      <c r="E279" s="85">
        <v>-34</v>
      </c>
      <c r="F279" s="7">
        <v>1.36</v>
      </c>
      <c r="G279" s="58" t="s">
        <v>4592</v>
      </c>
      <c r="H279" s="31" t="s">
        <v>2191</v>
      </c>
      <c r="I279" s="163" t="s">
        <v>22</v>
      </c>
      <c r="J279" s="371">
        <v>68.59</v>
      </c>
      <c r="K279" s="371">
        <v>33.18</v>
      </c>
      <c r="L279" s="371">
        <v>3.52</v>
      </c>
      <c r="M279" s="365"/>
      <c r="N279" s="77">
        <f t="shared" ref="N279" si="224">K279+J279+L279</f>
        <v>105.29</v>
      </c>
      <c r="O279" s="343"/>
      <c r="P279" s="195"/>
      <c r="Q279" s="326"/>
      <c r="R279" s="111"/>
      <c r="S279" s="51"/>
      <c r="T279" s="339"/>
      <c r="U279" s="329"/>
      <c r="V279" s="371">
        <v>0.24</v>
      </c>
      <c r="W279" s="205">
        <v>4.5</v>
      </c>
      <c r="X279" s="59">
        <f t="shared" ref="X279" si="225">W279/Y279</f>
        <v>0.06</v>
      </c>
      <c r="Y279" s="171">
        <v>75</v>
      </c>
      <c r="Z279" s="68">
        <v>72.8</v>
      </c>
      <c r="AA279" s="172">
        <f>Y279-Z279</f>
        <v>2.2000000000000028</v>
      </c>
      <c r="AB279" s="168">
        <f t="shared" ref="AB279" si="226">AA279/Z279</f>
        <v>3.0219780219780262E-2</v>
      </c>
      <c r="AC279" s="105" t="s">
        <v>2533</v>
      </c>
      <c r="AD279" s="163" t="s">
        <v>22</v>
      </c>
      <c r="AE279" s="89">
        <v>44298</v>
      </c>
      <c r="AF279" s="88">
        <v>44308</v>
      </c>
      <c r="AG279" s="34">
        <f t="shared" si="212"/>
        <v>10</v>
      </c>
      <c r="AH279" s="42" t="s">
        <v>1790</v>
      </c>
    </row>
    <row r="280" spans="1:46" s="288" customFormat="1">
      <c r="A280" s="151" t="s">
        <v>5121</v>
      </c>
      <c r="B280" s="84">
        <v>22</v>
      </c>
      <c r="C280" s="84">
        <v>12</v>
      </c>
      <c r="D280" s="85">
        <v>-34</v>
      </c>
      <c r="E280" s="85">
        <v>-34</v>
      </c>
      <c r="F280" s="7">
        <v>1.36</v>
      </c>
      <c r="G280" s="58" t="s">
        <v>5007</v>
      </c>
      <c r="H280" s="31" t="s">
        <v>5064</v>
      </c>
      <c r="I280" s="163" t="s">
        <v>22</v>
      </c>
      <c r="J280" s="371">
        <v>68.59</v>
      </c>
      <c r="K280" s="371">
        <v>33.18</v>
      </c>
      <c r="L280" s="371">
        <v>3.52</v>
      </c>
      <c r="M280" s="365"/>
      <c r="N280" s="77">
        <f t="shared" ref="N280" si="227">K280+J280+L280</f>
        <v>105.29</v>
      </c>
      <c r="O280" s="343"/>
      <c r="P280" s="195"/>
      <c r="Q280" s="326"/>
      <c r="R280" s="111"/>
      <c r="S280" s="51"/>
      <c r="T280" s="339"/>
      <c r="U280" s="329"/>
      <c r="V280" s="371">
        <v>0.24</v>
      </c>
      <c r="W280" s="205">
        <v>4.5</v>
      </c>
      <c r="X280" s="59">
        <f t="shared" ref="X280" si="228">W280/Y280</f>
        <v>0.06</v>
      </c>
      <c r="Y280" s="171">
        <v>75</v>
      </c>
      <c r="Z280" s="68">
        <v>73.900000000000006</v>
      </c>
      <c r="AA280" s="172">
        <f>Y280-Z280</f>
        <v>1.0999999999999943</v>
      </c>
      <c r="AB280" s="168">
        <f t="shared" ref="AB280" si="229">AA280/Z280</f>
        <v>1.4884979702300329E-2</v>
      </c>
      <c r="AC280" s="105" t="s">
        <v>5185</v>
      </c>
      <c r="AD280" s="163" t="s">
        <v>22</v>
      </c>
      <c r="AE280" s="89">
        <v>44294</v>
      </c>
      <c r="AF280" s="88">
        <v>44308</v>
      </c>
      <c r="AG280" s="34">
        <f t="shared" si="212"/>
        <v>14</v>
      </c>
      <c r="AH280" s="42" t="s">
        <v>4544</v>
      </c>
    </row>
    <row r="281" spans="1:46" s="288" customFormat="1">
      <c r="A281" s="151">
        <v>29.4</v>
      </c>
      <c r="B281" s="84">
        <v>2</v>
      </c>
      <c r="C281" s="85">
        <v>-3</v>
      </c>
      <c r="D281" s="84">
        <v>21</v>
      </c>
      <c r="E281" s="84">
        <v>1</v>
      </c>
      <c r="F281" s="7">
        <v>8.85</v>
      </c>
      <c r="G281" s="42" t="s">
        <v>3582</v>
      </c>
      <c r="H281" s="31" t="s">
        <v>2191</v>
      </c>
      <c r="I281" s="163" t="s">
        <v>5110</v>
      </c>
      <c r="J281" s="371">
        <v>65.819999999999993</v>
      </c>
      <c r="K281" s="77">
        <v>15.88</v>
      </c>
      <c r="L281" s="77">
        <v>0.92</v>
      </c>
      <c r="M281" s="365"/>
      <c r="N281" s="365">
        <f t="shared" ref="N281:N282" si="230">K281+J281+L281</f>
        <v>82.61999999999999</v>
      </c>
      <c r="O281" s="343"/>
      <c r="P281" s="195"/>
      <c r="Q281" s="326"/>
      <c r="R281" s="111">
        <v>4</v>
      </c>
      <c r="S281" s="51"/>
      <c r="T281" s="339"/>
      <c r="U281" s="329"/>
      <c r="V281" s="371">
        <v>0</v>
      </c>
      <c r="W281" s="205">
        <v>2</v>
      </c>
      <c r="X281" s="100">
        <f t="shared" ref="X281:X289" si="231">W281/Y281</f>
        <v>3.6832412523020261E-2</v>
      </c>
      <c r="Y281" s="171">
        <v>54.3</v>
      </c>
      <c r="Z281" s="68">
        <v>47.65</v>
      </c>
      <c r="AA281" s="172">
        <f t="shared" ref="AA281:AA282" si="232">Y281-Z281</f>
        <v>6.6499999999999986</v>
      </c>
      <c r="AB281" s="168">
        <f t="shared" ref="AB281:AB282" si="233">AA281/Z281</f>
        <v>0.1395592864637985</v>
      </c>
      <c r="AC281" s="119" t="s">
        <v>5181</v>
      </c>
      <c r="AD281" s="163" t="s">
        <v>5110</v>
      </c>
      <c r="AE281" s="89">
        <v>44211</v>
      </c>
      <c r="AF281" s="88">
        <v>44307</v>
      </c>
      <c r="AG281" s="34">
        <f t="shared" ref="AG281:AG289" si="234">AF281-AE281</f>
        <v>96</v>
      </c>
      <c r="AH281" s="42" t="s">
        <v>1790</v>
      </c>
    </row>
    <row r="282" spans="1:46" s="288" customFormat="1">
      <c r="A282" s="151">
        <v>29.4</v>
      </c>
      <c r="B282" s="84">
        <v>2</v>
      </c>
      <c r="C282" s="85">
        <v>-3</v>
      </c>
      <c r="D282" s="84">
        <v>21</v>
      </c>
      <c r="E282" s="84">
        <v>1</v>
      </c>
      <c r="F282" s="7">
        <v>8.85</v>
      </c>
      <c r="G282" s="42" t="s">
        <v>3582</v>
      </c>
      <c r="H282" s="31" t="s">
        <v>2191</v>
      </c>
      <c r="I282" s="163" t="s">
        <v>5110</v>
      </c>
      <c r="J282" s="371">
        <v>65.819999999999993</v>
      </c>
      <c r="K282" s="77">
        <v>15.88</v>
      </c>
      <c r="L282" s="77">
        <v>0.92</v>
      </c>
      <c r="M282" s="365"/>
      <c r="N282" s="365">
        <f t="shared" si="230"/>
        <v>82.61999999999999</v>
      </c>
      <c r="O282" s="343"/>
      <c r="P282" s="195"/>
      <c r="Q282" s="326"/>
      <c r="R282" s="111"/>
      <c r="S282" s="51"/>
      <c r="T282" s="339"/>
      <c r="U282" s="329"/>
      <c r="V282" s="371">
        <v>0</v>
      </c>
      <c r="W282" s="205">
        <v>2</v>
      </c>
      <c r="X282" s="100">
        <f t="shared" si="231"/>
        <v>3.6832412523020261E-2</v>
      </c>
      <c r="Y282" s="171">
        <v>54.3</v>
      </c>
      <c r="Z282" s="68">
        <v>47.45</v>
      </c>
      <c r="AA282" s="172">
        <f t="shared" si="232"/>
        <v>6.8499999999999943</v>
      </c>
      <c r="AB282" s="168">
        <f t="shared" si="233"/>
        <v>0.14436248682824013</v>
      </c>
      <c r="AC282" s="119" t="s">
        <v>5182</v>
      </c>
      <c r="AD282" s="163" t="s">
        <v>5110</v>
      </c>
      <c r="AE282" s="89">
        <v>44211</v>
      </c>
      <c r="AF282" s="88">
        <v>44307</v>
      </c>
      <c r="AG282" s="34">
        <f t="shared" si="234"/>
        <v>96</v>
      </c>
      <c r="AH282" s="42" t="s">
        <v>1790</v>
      </c>
    </row>
    <row r="283" spans="1:46" s="181" customFormat="1" ht="17.100000000000001" customHeight="1">
      <c r="A283" s="42"/>
      <c r="B283" s="85">
        <v>-10</v>
      </c>
      <c r="C283" s="84">
        <v>15</v>
      </c>
      <c r="D283" s="85">
        <v>-10</v>
      </c>
      <c r="E283" s="84">
        <v>15</v>
      </c>
      <c r="F283" s="7">
        <v>7.76</v>
      </c>
      <c r="G283" s="20" t="s">
        <v>3582</v>
      </c>
      <c r="H283" s="9" t="s">
        <v>2119</v>
      </c>
      <c r="I283" s="163" t="s">
        <v>5110</v>
      </c>
      <c r="J283" s="371">
        <v>76.64</v>
      </c>
      <c r="K283" s="371">
        <v>19.91</v>
      </c>
      <c r="L283" s="371">
        <v>0.57999999999999996</v>
      </c>
      <c r="M283" s="365"/>
      <c r="N283" s="365">
        <f t="shared" ref="N283:N289" si="235">V283+K283+J283+L283</f>
        <v>138.81000000000003</v>
      </c>
      <c r="O283" s="343"/>
      <c r="P283" s="195"/>
      <c r="Q283" s="326"/>
      <c r="R283" s="111"/>
      <c r="S283" s="51"/>
      <c r="T283" s="339"/>
      <c r="U283" s="329"/>
      <c r="V283" s="371">
        <v>41.68</v>
      </c>
      <c r="W283" s="205">
        <v>2.7</v>
      </c>
      <c r="X283" s="59">
        <f t="shared" si="231"/>
        <v>4.9723756906077353E-2</v>
      </c>
      <c r="Y283" s="175">
        <v>54.3</v>
      </c>
      <c r="Z283" s="68">
        <f>62.88-2.8-2.7-2.7-2</f>
        <v>52.68</v>
      </c>
      <c r="AA283" s="112">
        <f t="shared" ref="AA283:AA289" si="236">Y283-Z283</f>
        <v>1.6199999999999974</v>
      </c>
      <c r="AB283" s="168">
        <f t="shared" ref="AB283:AB289" si="237">AA283/Z283</f>
        <v>3.0751708428245966E-2</v>
      </c>
      <c r="AC283" s="119" t="s">
        <v>4646</v>
      </c>
      <c r="AD283" s="163" t="s">
        <v>5110</v>
      </c>
      <c r="AE283" s="89">
        <v>42745</v>
      </c>
      <c r="AF283" s="88">
        <v>44307</v>
      </c>
      <c r="AG283" s="143">
        <f t="shared" si="234"/>
        <v>1562</v>
      </c>
      <c r="AH283" s="42" t="s">
        <v>1790</v>
      </c>
      <c r="AI283" s="28"/>
      <c r="AJ283" s="18"/>
      <c r="AK283" s="18"/>
      <c r="AL283" s="18"/>
      <c r="AM283" s="18"/>
      <c r="AN283" s="18"/>
      <c r="AO283" s="288"/>
      <c r="AP283" s="288"/>
    </row>
    <row r="284" spans="1:46" s="181" customFormat="1" ht="17.100000000000001" customHeight="1">
      <c r="A284" s="42"/>
      <c r="B284" s="85">
        <v>-10</v>
      </c>
      <c r="C284" s="84">
        <v>15</v>
      </c>
      <c r="D284" s="85">
        <v>-10</v>
      </c>
      <c r="E284" s="84">
        <v>15</v>
      </c>
      <c r="F284" s="7">
        <v>7.76</v>
      </c>
      <c r="G284" s="20" t="s">
        <v>3582</v>
      </c>
      <c r="H284" s="9" t="s">
        <v>2119</v>
      </c>
      <c r="I284" s="163" t="s">
        <v>5110</v>
      </c>
      <c r="J284" s="371">
        <v>76.64</v>
      </c>
      <c r="K284" s="371">
        <v>19.91</v>
      </c>
      <c r="L284" s="371">
        <v>0.57999999999999996</v>
      </c>
      <c r="M284" s="365"/>
      <c r="N284" s="365">
        <f t="shared" si="235"/>
        <v>138.81000000000003</v>
      </c>
      <c r="O284" s="343"/>
      <c r="P284" s="195"/>
      <c r="Q284" s="326"/>
      <c r="R284" s="111"/>
      <c r="S284" s="51"/>
      <c r="T284" s="339"/>
      <c r="U284" s="329"/>
      <c r="V284" s="371">
        <v>41.68</v>
      </c>
      <c r="W284" s="205">
        <v>2.7</v>
      </c>
      <c r="X284" s="59">
        <f t="shared" si="231"/>
        <v>4.9723756906077353E-2</v>
      </c>
      <c r="Y284" s="175">
        <v>54.3</v>
      </c>
      <c r="Z284" s="68">
        <f>50.5-2</f>
        <v>48.5</v>
      </c>
      <c r="AA284" s="165">
        <f t="shared" si="236"/>
        <v>5.7999999999999972</v>
      </c>
      <c r="AB284" s="168">
        <f t="shared" si="237"/>
        <v>0.11958762886597932</v>
      </c>
      <c r="AC284" s="119" t="s">
        <v>5183</v>
      </c>
      <c r="AD284" s="163" t="s">
        <v>5110</v>
      </c>
      <c r="AE284" s="89">
        <v>43735</v>
      </c>
      <c r="AF284" s="88">
        <v>44307</v>
      </c>
      <c r="AG284" s="81">
        <f t="shared" si="234"/>
        <v>572</v>
      </c>
      <c r="AH284" s="42" t="s">
        <v>1790</v>
      </c>
      <c r="AI284" s="28"/>
      <c r="AJ284" s="18"/>
      <c r="AK284" s="18"/>
      <c r="AL284" s="18"/>
      <c r="AM284" s="18"/>
      <c r="AN284" s="18"/>
      <c r="AO284" s="288"/>
      <c r="AP284" s="288"/>
    </row>
    <row r="285" spans="1:46" s="181" customFormat="1" ht="17.100000000000001" customHeight="1">
      <c r="A285" s="42"/>
      <c r="B285" s="85">
        <v>-10</v>
      </c>
      <c r="C285" s="84">
        <v>15</v>
      </c>
      <c r="D285" s="85">
        <v>-10</v>
      </c>
      <c r="E285" s="84">
        <v>15</v>
      </c>
      <c r="F285" s="7">
        <v>7.76</v>
      </c>
      <c r="G285" s="20" t="s">
        <v>3582</v>
      </c>
      <c r="H285" s="9" t="s">
        <v>2119</v>
      </c>
      <c r="I285" s="163" t="s">
        <v>5110</v>
      </c>
      <c r="J285" s="371">
        <v>76.64</v>
      </c>
      <c r="K285" s="371">
        <v>19.91</v>
      </c>
      <c r="L285" s="371">
        <v>0.57999999999999996</v>
      </c>
      <c r="M285" s="365"/>
      <c r="N285" s="365">
        <f t="shared" si="235"/>
        <v>138.81000000000003</v>
      </c>
      <c r="O285" s="343"/>
      <c r="P285" s="195"/>
      <c r="Q285" s="326"/>
      <c r="R285" s="111"/>
      <c r="S285" s="51"/>
      <c r="T285" s="339"/>
      <c r="U285" s="329"/>
      <c r="V285" s="371">
        <v>41.68</v>
      </c>
      <c r="W285" s="205">
        <v>2.7</v>
      </c>
      <c r="X285" s="59">
        <f t="shared" si="231"/>
        <v>4.9723756906077353E-2</v>
      </c>
      <c r="Y285" s="175">
        <v>54.3</v>
      </c>
      <c r="Z285" s="68">
        <f>51.77-2.7-2</f>
        <v>47.07</v>
      </c>
      <c r="AA285" s="165">
        <f t="shared" si="236"/>
        <v>7.2299999999999969</v>
      </c>
      <c r="AB285" s="168">
        <f t="shared" si="237"/>
        <v>0.15360101975780746</v>
      </c>
      <c r="AC285" s="119" t="s">
        <v>5184</v>
      </c>
      <c r="AD285" s="163" t="s">
        <v>5110</v>
      </c>
      <c r="AE285" s="89">
        <v>43347</v>
      </c>
      <c r="AF285" s="88">
        <v>44307</v>
      </c>
      <c r="AG285" s="81">
        <f t="shared" si="234"/>
        <v>960</v>
      </c>
      <c r="AH285" s="42" t="s">
        <v>1790</v>
      </c>
      <c r="AI285" s="28"/>
      <c r="AJ285" s="18"/>
      <c r="AK285" s="18"/>
      <c r="AL285" s="18"/>
      <c r="AM285" s="18"/>
      <c r="AN285" s="18"/>
      <c r="AO285" s="288"/>
      <c r="AP285" s="288"/>
    </row>
    <row r="286" spans="1:46" s="288" customFormat="1">
      <c r="A286" s="150"/>
      <c r="B286" s="85">
        <v>-116</v>
      </c>
      <c r="C286" s="85">
        <v>-118</v>
      </c>
      <c r="D286" s="85">
        <v>-116</v>
      </c>
      <c r="E286" s="85">
        <v>-118</v>
      </c>
      <c r="F286" s="7">
        <v>-1.1599999999999999</v>
      </c>
      <c r="G286" s="42" t="s">
        <v>5126</v>
      </c>
      <c r="H286" s="9" t="s">
        <v>2119</v>
      </c>
      <c r="I286" s="163" t="s">
        <v>5127</v>
      </c>
      <c r="J286" s="77">
        <v>58.67</v>
      </c>
      <c r="K286" s="371">
        <v>0.93</v>
      </c>
      <c r="L286" s="371">
        <v>1.33</v>
      </c>
      <c r="M286" s="365"/>
      <c r="N286" s="365">
        <f t="shared" si="235"/>
        <v>92.910000000000011</v>
      </c>
      <c r="O286" s="343"/>
      <c r="P286" s="195"/>
      <c r="Q286" s="326"/>
      <c r="R286" s="111">
        <v>1</v>
      </c>
      <c r="S286" s="51"/>
      <c r="T286" s="339"/>
      <c r="U286" s="329"/>
      <c r="V286" s="371">
        <v>31.98</v>
      </c>
      <c r="W286" s="205">
        <v>0.6</v>
      </c>
      <c r="X286" s="59">
        <f t="shared" si="231"/>
        <v>4.49438202247191E-2</v>
      </c>
      <c r="Y286" s="175">
        <v>13.35</v>
      </c>
      <c r="Z286" s="68">
        <f>14.57-0.6-0.2</f>
        <v>13.770000000000001</v>
      </c>
      <c r="AA286" s="172">
        <f t="shared" si="236"/>
        <v>-0.42000000000000171</v>
      </c>
      <c r="AB286" s="174">
        <f t="shared" si="237"/>
        <v>-3.0501089324618858E-2</v>
      </c>
      <c r="AC286" s="121" t="s">
        <v>5173</v>
      </c>
      <c r="AD286" s="163" t="s">
        <v>5127</v>
      </c>
      <c r="AE286" s="89">
        <v>43350</v>
      </c>
      <c r="AF286" s="88">
        <v>44306</v>
      </c>
      <c r="AG286" s="81">
        <f t="shared" si="234"/>
        <v>956</v>
      </c>
      <c r="AH286" s="42" t="s">
        <v>4544</v>
      </c>
      <c r="AI286" s="173"/>
      <c r="AK286" s="12"/>
      <c r="AL286" s="12"/>
      <c r="AM286" s="12"/>
      <c r="AN286" s="12"/>
      <c r="AQ286" s="181"/>
      <c r="AR286" s="4"/>
    </row>
    <row r="287" spans="1:46" s="288" customFormat="1">
      <c r="A287" s="150"/>
      <c r="B287" s="85">
        <v>-116</v>
      </c>
      <c r="C287" s="85">
        <v>-118</v>
      </c>
      <c r="D287" s="85">
        <v>-116</v>
      </c>
      <c r="E287" s="85">
        <v>-118</v>
      </c>
      <c r="F287" s="7">
        <v>-1.1599999999999999</v>
      </c>
      <c r="G287" s="42" t="s">
        <v>5126</v>
      </c>
      <c r="H287" s="51" t="s">
        <v>2120</v>
      </c>
      <c r="I287" s="163" t="s">
        <v>5127</v>
      </c>
      <c r="J287" s="77">
        <v>58.67</v>
      </c>
      <c r="K287" s="371">
        <v>0.93</v>
      </c>
      <c r="L287" s="371">
        <v>1.33</v>
      </c>
      <c r="M287" s="365"/>
      <c r="N287" s="365">
        <f t="shared" si="235"/>
        <v>92.910000000000011</v>
      </c>
      <c r="O287" s="343"/>
      <c r="P287" s="195"/>
      <c r="Q287" s="326"/>
      <c r="R287" s="111"/>
      <c r="S287" s="51"/>
      <c r="T287" s="339"/>
      <c r="U287" s="329"/>
      <c r="V287" s="371">
        <v>31.98</v>
      </c>
      <c r="W287" s="205">
        <v>0.6</v>
      </c>
      <c r="X287" s="59">
        <f t="shared" si="231"/>
        <v>4.49438202247191E-2</v>
      </c>
      <c r="Y287" s="175">
        <v>13.35</v>
      </c>
      <c r="Z287" s="68">
        <f>14.57-0.6-0.2</f>
        <v>13.770000000000001</v>
      </c>
      <c r="AA287" s="172">
        <f t="shared" si="236"/>
        <v>-0.42000000000000171</v>
      </c>
      <c r="AB287" s="174">
        <f t="shared" si="237"/>
        <v>-3.0501089324618858E-2</v>
      </c>
      <c r="AC287" s="121" t="s">
        <v>5173</v>
      </c>
      <c r="AD287" s="163" t="s">
        <v>5127</v>
      </c>
      <c r="AE287" s="89">
        <v>43350</v>
      </c>
      <c r="AF287" s="88">
        <v>44306</v>
      </c>
      <c r="AG287" s="81">
        <f t="shared" si="234"/>
        <v>956</v>
      </c>
      <c r="AH287" s="42" t="s">
        <v>4523</v>
      </c>
      <c r="AI287" s="173"/>
      <c r="AK287" s="12"/>
      <c r="AL287" s="12"/>
      <c r="AM287" s="12"/>
      <c r="AN287" s="12"/>
      <c r="AQ287" s="181"/>
      <c r="AR287" s="4"/>
    </row>
    <row r="288" spans="1:46" s="288" customFormat="1" ht="16.5" customHeight="1">
      <c r="A288" s="124"/>
      <c r="B288" s="85">
        <v>-90</v>
      </c>
      <c r="C288" s="85">
        <v>-95</v>
      </c>
      <c r="D288" s="85">
        <v>-90</v>
      </c>
      <c r="E288" s="85">
        <v>-95</v>
      </c>
      <c r="F288" s="7">
        <v>0.27</v>
      </c>
      <c r="G288" s="42" t="s">
        <v>5126</v>
      </c>
      <c r="H288" s="51" t="s">
        <v>2120</v>
      </c>
      <c r="I288" s="163" t="s">
        <v>5127</v>
      </c>
      <c r="J288" s="77">
        <v>58.49</v>
      </c>
      <c r="K288" s="371">
        <v>0.96</v>
      </c>
      <c r="L288" s="77">
        <v>0.78</v>
      </c>
      <c r="M288" s="365"/>
      <c r="N288" s="365">
        <f t="shared" si="235"/>
        <v>92.210000000000008</v>
      </c>
      <c r="O288" s="343"/>
      <c r="P288" s="195"/>
      <c r="Q288" s="326"/>
      <c r="R288" s="111"/>
      <c r="S288" s="51"/>
      <c r="T288" s="339"/>
      <c r="U288" s="329"/>
      <c r="V288" s="371">
        <v>31.98</v>
      </c>
      <c r="W288" s="205">
        <v>0.6</v>
      </c>
      <c r="X288" s="59">
        <f t="shared" si="231"/>
        <v>4.49438202247191E-2</v>
      </c>
      <c r="Y288" s="171">
        <v>13.35</v>
      </c>
      <c r="Z288" s="68">
        <f>12.4-0.2</f>
        <v>12.200000000000001</v>
      </c>
      <c r="AA288" s="172">
        <f t="shared" si="236"/>
        <v>1.1499999999999986</v>
      </c>
      <c r="AB288" s="168">
        <f t="shared" si="237"/>
        <v>9.4262295081967082E-2</v>
      </c>
      <c r="AC288" s="119" t="s">
        <v>5174</v>
      </c>
      <c r="AD288" s="163" t="s">
        <v>5127</v>
      </c>
      <c r="AE288" s="89">
        <v>43714</v>
      </c>
      <c r="AF288" s="88">
        <v>44306</v>
      </c>
      <c r="AG288" s="81">
        <f t="shared" si="234"/>
        <v>592</v>
      </c>
      <c r="AH288" s="42" t="s">
        <v>4523</v>
      </c>
    </row>
    <row r="289" spans="1:44" s="288" customFormat="1" ht="16.5" customHeight="1">
      <c r="A289" s="124"/>
      <c r="B289" s="85">
        <v>-90</v>
      </c>
      <c r="C289" s="85">
        <v>-95</v>
      </c>
      <c r="D289" s="85">
        <v>-90</v>
      </c>
      <c r="E289" s="85">
        <v>-95</v>
      </c>
      <c r="F289" s="7">
        <v>0.27</v>
      </c>
      <c r="G289" s="42" t="s">
        <v>5126</v>
      </c>
      <c r="H289" s="51" t="s">
        <v>2120</v>
      </c>
      <c r="I289" s="163" t="s">
        <v>5127</v>
      </c>
      <c r="J289" s="77">
        <v>58.49</v>
      </c>
      <c r="K289" s="77">
        <v>0.96</v>
      </c>
      <c r="L289" s="371">
        <v>0.76</v>
      </c>
      <c r="M289" s="365"/>
      <c r="N289" s="365">
        <f t="shared" si="235"/>
        <v>92.190000000000012</v>
      </c>
      <c r="O289" s="343"/>
      <c r="P289" s="195"/>
      <c r="Q289" s="326"/>
      <c r="R289" s="111"/>
      <c r="S289" s="51"/>
      <c r="T289" s="339"/>
      <c r="U289" s="329"/>
      <c r="V289" s="371">
        <v>31.98</v>
      </c>
      <c r="W289" s="205">
        <v>0.6</v>
      </c>
      <c r="X289" s="59">
        <f t="shared" si="231"/>
        <v>4.49438202247191E-2</v>
      </c>
      <c r="Y289" s="171">
        <v>13.35</v>
      </c>
      <c r="Z289" s="68">
        <f>12.35-0.2</f>
        <v>12.15</v>
      </c>
      <c r="AA289" s="172">
        <f t="shared" si="236"/>
        <v>1.1999999999999993</v>
      </c>
      <c r="AB289" s="168">
        <f t="shared" si="237"/>
        <v>9.8765432098765371E-2</v>
      </c>
      <c r="AC289" s="119" t="s">
        <v>4612</v>
      </c>
      <c r="AD289" s="163" t="s">
        <v>5127</v>
      </c>
      <c r="AE289" s="89">
        <v>43710</v>
      </c>
      <c r="AF289" s="88">
        <v>44306</v>
      </c>
      <c r="AG289" s="81">
        <f t="shared" si="234"/>
        <v>596</v>
      </c>
      <c r="AH289" s="42" t="s">
        <v>4523</v>
      </c>
    </row>
    <row r="290" spans="1:44" s="288" customFormat="1">
      <c r="A290" s="135" t="s">
        <v>2408</v>
      </c>
      <c r="B290" s="84">
        <v>44</v>
      </c>
      <c r="C290" s="84">
        <v>42</v>
      </c>
      <c r="D290" s="85">
        <v>-5</v>
      </c>
      <c r="E290" s="84">
        <v>26</v>
      </c>
      <c r="F290" s="59">
        <v>10.09</v>
      </c>
      <c r="G290" s="58" t="s">
        <v>2115</v>
      </c>
      <c r="H290" s="31" t="s">
        <v>2191</v>
      </c>
      <c r="I290" s="163" t="s">
        <v>820</v>
      </c>
      <c r="J290" s="371">
        <v>44.89</v>
      </c>
      <c r="K290" s="371">
        <v>12.89</v>
      </c>
      <c r="L290" s="77">
        <v>17.34</v>
      </c>
      <c r="M290" s="365"/>
      <c r="N290" s="365">
        <f t="shared" ref="N290" si="238">K290+J290+L290</f>
        <v>75.12</v>
      </c>
      <c r="O290" s="343"/>
      <c r="P290" s="195"/>
      <c r="Q290" s="326"/>
      <c r="R290" s="111"/>
      <c r="S290" s="51"/>
      <c r="T290" s="339"/>
      <c r="U290" s="329"/>
      <c r="V290" s="371">
        <v>1.83</v>
      </c>
      <c r="W290" s="205">
        <v>3</v>
      </c>
      <c r="X290" s="100">
        <f t="shared" ref="X290" si="239">W290/Y290</f>
        <v>4.4776119402985072E-2</v>
      </c>
      <c r="Y290" s="171">
        <v>67</v>
      </c>
      <c r="Z290" s="68">
        <v>62.2</v>
      </c>
      <c r="AA290" s="172">
        <f t="shared" ref="AA290" si="240">Y290-Z290</f>
        <v>4.7999999999999972</v>
      </c>
      <c r="AB290" s="168">
        <f t="shared" ref="AB290" si="241">AA290/Z290</f>
        <v>7.7170418006430819E-2</v>
      </c>
      <c r="AC290" s="177" t="s">
        <v>5078</v>
      </c>
      <c r="AD290" s="163" t="s">
        <v>820</v>
      </c>
      <c r="AE290" s="89">
        <v>44300</v>
      </c>
      <c r="AF290" s="88">
        <v>44306</v>
      </c>
      <c r="AG290" s="34">
        <f t="shared" ref="AG290" si="242">AF290-AE290</f>
        <v>6</v>
      </c>
      <c r="AH290" s="42" t="s">
        <v>1790</v>
      </c>
      <c r="AI290" s="28"/>
      <c r="AJ290" s="18"/>
      <c r="AK290" s="18"/>
      <c r="AL290" s="18"/>
      <c r="AM290" s="18"/>
      <c r="AN290" s="18"/>
    </row>
    <row r="291" spans="1:44" s="288" customFormat="1">
      <c r="A291" s="135" t="s">
        <v>2408</v>
      </c>
      <c r="B291" s="84">
        <v>44</v>
      </c>
      <c r="C291" s="84">
        <v>42</v>
      </c>
      <c r="D291" s="85">
        <v>-5</v>
      </c>
      <c r="E291" s="84">
        <v>26</v>
      </c>
      <c r="F291" s="59">
        <v>10.09</v>
      </c>
      <c r="G291" s="58" t="s">
        <v>2115</v>
      </c>
      <c r="H291" s="31" t="s">
        <v>2191</v>
      </c>
      <c r="I291" s="163" t="s">
        <v>820</v>
      </c>
      <c r="J291" s="371">
        <v>44.89</v>
      </c>
      <c r="K291" s="371">
        <v>12.89</v>
      </c>
      <c r="L291" s="77">
        <v>17.34</v>
      </c>
      <c r="M291" s="365"/>
      <c r="N291" s="365">
        <f t="shared" ref="N291" si="243">K291+J291+L291</f>
        <v>75.12</v>
      </c>
      <c r="O291" s="343"/>
      <c r="P291" s="195"/>
      <c r="Q291" s="326"/>
      <c r="R291" s="111"/>
      <c r="S291" s="51"/>
      <c r="T291" s="339"/>
      <c r="U291" s="329"/>
      <c r="V291" s="371">
        <v>1.83</v>
      </c>
      <c r="W291" s="205">
        <v>3</v>
      </c>
      <c r="X291" s="100">
        <f t="shared" ref="X291" si="244">W291/Y291</f>
        <v>4.4776119402985072E-2</v>
      </c>
      <c r="Y291" s="171">
        <v>67</v>
      </c>
      <c r="Z291" s="68">
        <v>62.2</v>
      </c>
      <c r="AA291" s="172">
        <f t="shared" ref="AA291" si="245">Y291-Z291</f>
        <v>4.7999999999999972</v>
      </c>
      <c r="AB291" s="168">
        <f t="shared" ref="AB291" si="246">AA291/Z291</f>
        <v>7.7170418006430819E-2</v>
      </c>
      <c r="AC291" s="177" t="s">
        <v>5078</v>
      </c>
      <c r="AD291" s="163" t="s">
        <v>820</v>
      </c>
      <c r="AE291" s="89">
        <v>44300</v>
      </c>
      <c r="AF291" s="88">
        <v>44306</v>
      </c>
      <c r="AG291" s="34">
        <f t="shared" ref="AG291" si="247">AF291-AE291</f>
        <v>6</v>
      </c>
      <c r="AH291" s="42" t="s">
        <v>1790</v>
      </c>
      <c r="AI291" s="28"/>
      <c r="AJ291" s="18"/>
      <c r="AK291" s="18"/>
      <c r="AL291" s="18"/>
      <c r="AM291" s="18"/>
      <c r="AN291" s="18"/>
    </row>
    <row r="292" spans="1:44" s="288" customFormat="1">
      <c r="A292" s="135" t="s">
        <v>5128</v>
      </c>
      <c r="B292" s="84">
        <v>44</v>
      </c>
      <c r="C292" s="84">
        <v>42</v>
      </c>
      <c r="D292" s="85">
        <v>-5</v>
      </c>
      <c r="E292" s="84">
        <v>26</v>
      </c>
      <c r="F292" s="59">
        <v>10.09</v>
      </c>
      <c r="G292" s="58" t="s">
        <v>2115</v>
      </c>
      <c r="H292" s="31" t="s">
        <v>5064</v>
      </c>
      <c r="I292" s="163" t="s">
        <v>5129</v>
      </c>
      <c r="J292" s="371">
        <v>44.89</v>
      </c>
      <c r="K292" s="371">
        <v>12.89</v>
      </c>
      <c r="L292" s="77">
        <v>17.34</v>
      </c>
      <c r="M292" s="365"/>
      <c r="N292" s="365">
        <f t="shared" ref="N292:N293" si="248">K292+J292+L292</f>
        <v>75.12</v>
      </c>
      <c r="O292" s="343"/>
      <c r="P292" s="195"/>
      <c r="Q292" s="326"/>
      <c r="R292" s="111"/>
      <c r="S292" s="51"/>
      <c r="T292" s="339"/>
      <c r="U292" s="329"/>
      <c r="V292" s="371">
        <v>1.83</v>
      </c>
      <c r="W292" s="205">
        <v>3</v>
      </c>
      <c r="X292" s="100">
        <f t="shared" ref="X292:X293" si="249">W292/Y292</f>
        <v>4.4776119402985072E-2</v>
      </c>
      <c r="Y292" s="171">
        <v>67</v>
      </c>
      <c r="Z292" s="68">
        <v>66.900000000000006</v>
      </c>
      <c r="AA292" s="172">
        <f t="shared" ref="AA292:AA293" si="250">Y292-Z292</f>
        <v>9.9999999999994316E-2</v>
      </c>
      <c r="AB292" s="168">
        <f t="shared" ref="AB292:AB293" si="251">AA292/Z292</f>
        <v>1.4947683109117235E-3</v>
      </c>
      <c r="AC292" s="177" t="s">
        <v>5172</v>
      </c>
      <c r="AD292" s="163" t="s">
        <v>5129</v>
      </c>
      <c r="AE292" s="89">
        <v>44292</v>
      </c>
      <c r="AF292" s="88">
        <v>44306</v>
      </c>
      <c r="AG292" s="34">
        <f t="shared" ref="AG292:AG293" si="252">AF292-AE292</f>
        <v>14</v>
      </c>
      <c r="AH292" s="42" t="s">
        <v>4544</v>
      </c>
      <c r="AI292" s="28"/>
      <c r="AJ292" s="18"/>
      <c r="AK292" s="18"/>
      <c r="AL292" s="18"/>
      <c r="AM292" s="18"/>
      <c r="AN292" s="18"/>
    </row>
    <row r="293" spans="1:44" s="288" customFormat="1">
      <c r="A293" s="135" t="s">
        <v>5128</v>
      </c>
      <c r="B293" s="84">
        <v>44</v>
      </c>
      <c r="C293" s="84">
        <v>42</v>
      </c>
      <c r="D293" s="85">
        <v>-5</v>
      </c>
      <c r="E293" s="84">
        <v>26</v>
      </c>
      <c r="F293" s="59">
        <v>10.09</v>
      </c>
      <c r="G293" s="58" t="s">
        <v>2115</v>
      </c>
      <c r="H293" s="31" t="s">
        <v>5064</v>
      </c>
      <c r="I293" s="163" t="s">
        <v>5129</v>
      </c>
      <c r="J293" s="371">
        <v>44.89</v>
      </c>
      <c r="K293" s="371">
        <v>12.89</v>
      </c>
      <c r="L293" s="77">
        <v>17.34</v>
      </c>
      <c r="M293" s="365"/>
      <c r="N293" s="365">
        <f t="shared" si="248"/>
        <v>75.12</v>
      </c>
      <c r="O293" s="343"/>
      <c r="P293" s="195"/>
      <c r="Q293" s="326"/>
      <c r="R293" s="111"/>
      <c r="S293" s="51"/>
      <c r="T293" s="339"/>
      <c r="U293" s="329"/>
      <c r="V293" s="371">
        <v>1.83</v>
      </c>
      <c r="W293" s="205">
        <v>3</v>
      </c>
      <c r="X293" s="100">
        <f t="shared" si="249"/>
        <v>4.4776119402985072E-2</v>
      </c>
      <c r="Y293" s="171">
        <v>67</v>
      </c>
      <c r="Z293" s="68">
        <v>66.900000000000006</v>
      </c>
      <c r="AA293" s="172">
        <f t="shared" si="250"/>
        <v>9.9999999999994316E-2</v>
      </c>
      <c r="AB293" s="168">
        <f t="shared" si="251"/>
        <v>1.4947683109117235E-3</v>
      </c>
      <c r="AC293" s="177" t="s">
        <v>5172</v>
      </c>
      <c r="AD293" s="163" t="s">
        <v>5129</v>
      </c>
      <c r="AE293" s="89">
        <v>44292</v>
      </c>
      <c r="AF293" s="88">
        <v>44306</v>
      </c>
      <c r="AG293" s="34">
        <f t="shared" si="252"/>
        <v>14</v>
      </c>
      <c r="AH293" s="42" t="s">
        <v>4544</v>
      </c>
      <c r="AI293" s="28"/>
      <c r="AJ293" s="18"/>
      <c r="AK293" s="18"/>
      <c r="AL293" s="18"/>
      <c r="AM293" s="18"/>
      <c r="AN293" s="18"/>
    </row>
    <row r="294" spans="1:44" s="288" customFormat="1">
      <c r="A294" s="135" t="s">
        <v>2513</v>
      </c>
      <c r="B294" s="84">
        <v>114</v>
      </c>
      <c r="C294" s="84">
        <v>108</v>
      </c>
      <c r="D294" s="85">
        <v>-38</v>
      </c>
      <c r="E294" s="85">
        <v>-29</v>
      </c>
      <c r="F294" s="59">
        <v>11.29</v>
      </c>
      <c r="G294" s="58" t="s">
        <v>5023</v>
      </c>
      <c r="H294" s="31" t="s">
        <v>2191</v>
      </c>
      <c r="I294" s="176" t="s">
        <v>342</v>
      </c>
      <c r="J294" s="371">
        <v>63.22</v>
      </c>
      <c r="K294" s="371">
        <v>46.37</v>
      </c>
      <c r="L294" s="77">
        <v>19.190000000000001</v>
      </c>
      <c r="M294" s="365"/>
      <c r="N294" s="77">
        <f>K294+J294+L294</f>
        <v>128.78</v>
      </c>
      <c r="O294" s="343"/>
      <c r="P294" s="195"/>
      <c r="Q294" s="326"/>
      <c r="R294" s="111"/>
      <c r="S294" s="51"/>
      <c r="T294" s="339"/>
      <c r="U294" s="329"/>
      <c r="V294" s="371">
        <v>0.71</v>
      </c>
      <c r="W294" s="205">
        <v>2.1</v>
      </c>
      <c r="X294" s="59">
        <f>W294/Y294</f>
        <v>2.4618991793669404E-2</v>
      </c>
      <c r="Y294" s="175">
        <v>85.3</v>
      </c>
      <c r="Z294" s="68">
        <v>85.4</v>
      </c>
      <c r="AA294" s="198">
        <f>Y294-Z294</f>
        <v>-0.10000000000000853</v>
      </c>
      <c r="AB294" s="174">
        <f>AA294/Z294</f>
        <v>-1.1709601873537297E-3</v>
      </c>
      <c r="AC294" s="178" t="s">
        <v>5157</v>
      </c>
      <c r="AD294" s="176" t="s">
        <v>342</v>
      </c>
      <c r="AE294" s="89">
        <v>44299</v>
      </c>
      <c r="AF294" s="88">
        <v>44300</v>
      </c>
      <c r="AG294" s="34">
        <f t="shared" ref="AG294:AG295" si="253">AF294-AE294</f>
        <v>1</v>
      </c>
      <c r="AH294" s="42" t="s">
        <v>1790</v>
      </c>
      <c r="AI294" s="173"/>
    </row>
    <row r="295" spans="1:44" s="288" customFormat="1">
      <c r="A295" s="135" t="s">
        <v>2513</v>
      </c>
      <c r="B295" s="84">
        <v>114</v>
      </c>
      <c r="C295" s="84">
        <v>108</v>
      </c>
      <c r="D295" s="85">
        <v>-38</v>
      </c>
      <c r="E295" s="85">
        <v>-29</v>
      </c>
      <c r="F295" s="59">
        <v>11.29</v>
      </c>
      <c r="G295" s="58" t="s">
        <v>5023</v>
      </c>
      <c r="H295" s="31" t="s">
        <v>2191</v>
      </c>
      <c r="I295" s="176" t="s">
        <v>342</v>
      </c>
      <c r="J295" s="371">
        <v>63.22</v>
      </c>
      <c r="K295" s="371">
        <v>46.37</v>
      </c>
      <c r="L295" s="77">
        <v>19.190000000000001</v>
      </c>
      <c r="M295" s="365"/>
      <c r="N295" s="77">
        <f>K295+J295+L295</f>
        <v>128.78</v>
      </c>
      <c r="O295" s="343"/>
      <c r="P295" s="195"/>
      <c r="Q295" s="326"/>
      <c r="R295" s="111"/>
      <c r="S295" s="51"/>
      <c r="T295" s="339"/>
      <c r="U295" s="329"/>
      <c r="V295" s="371">
        <v>0.71</v>
      </c>
      <c r="W295" s="205">
        <v>2.1</v>
      </c>
      <c r="X295" s="59">
        <f>W295/Y295</f>
        <v>2.4618991793669404E-2</v>
      </c>
      <c r="Y295" s="175">
        <v>85.3</v>
      </c>
      <c r="Z295" s="68">
        <v>83.8</v>
      </c>
      <c r="AA295" s="112">
        <f>Y295-Z295</f>
        <v>1.5</v>
      </c>
      <c r="AB295" s="168">
        <f>AA295/Z295</f>
        <v>1.7899761336515514E-2</v>
      </c>
      <c r="AC295" s="177" t="s">
        <v>5156</v>
      </c>
      <c r="AD295" s="176" t="s">
        <v>342</v>
      </c>
      <c r="AE295" s="89">
        <v>44293</v>
      </c>
      <c r="AF295" s="88">
        <v>44300</v>
      </c>
      <c r="AG295" s="34">
        <f t="shared" si="253"/>
        <v>7</v>
      </c>
      <c r="AH295" s="42" t="s">
        <v>1790</v>
      </c>
      <c r="AI295" s="173"/>
    </row>
    <row r="296" spans="1:44" s="288" customFormat="1">
      <c r="A296" s="135" t="s">
        <v>3298</v>
      </c>
      <c r="B296" s="84">
        <v>1</v>
      </c>
      <c r="C296" s="84">
        <v>5</v>
      </c>
      <c r="D296" s="84">
        <v>22</v>
      </c>
      <c r="E296" s="85">
        <v>-1</v>
      </c>
      <c r="F296" s="59">
        <v>12.6</v>
      </c>
      <c r="G296" s="42" t="s">
        <v>77</v>
      </c>
      <c r="H296" s="31" t="s">
        <v>2191</v>
      </c>
      <c r="I296" s="176" t="s">
        <v>5009</v>
      </c>
      <c r="J296" s="77">
        <v>64.08</v>
      </c>
      <c r="K296" s="371">
        <v>53.55</v>
      </c>
      <c r="L296" s="371">
        <v>6.34</v>
      </c>
      <c r="M296" s="365"/>
      <c r="N296" s="77">
        <f t="shared" ref="N296" si="254">K296+J296+L296</f>
        <v>123.97</v>
      </c>
      <c r="O296" s="343"/>
      <c r="P296" s="166"/>
      <c r="Q296" s="326"/>
      <c r="R296" s="111"/>
      <c r="S296" s="51"/>
      <c r="T296" s="339"/>
      <c r="U296" s="329"/>
      <c r="V296" s="371">
        <v>0.18</v>
      </c>
      <c r="W296" s="68">
        <v>4.8</v>
      </c>
      <c r="X296" s="59">
        <f t="shared" ref="X296" si="255">W296/Y296</f>
        <v>3.8399999999999997E-2</v>
      </c>
      <c r="Y296" s="175">
        <v>125</v>
      </c>
      <c r="Z296" s="68">
        <v>124</v>
      </c>
      <c r="AA296" s="172">
        <f t="shared" ref="AA296" si="256">Y296-Z296</f>
        <v>1</v>
      </c>
      <c r="AB296" s="168">
        <f t="shared" ref="AB296" si="257">AA296/Z296</f>
        <v>8.0645161290322578E-3</v>
      </c>
      <c r="AC296" s="177" t="s">
        <v>5155</v>
      </c>
      <c r="AD296" s="176" t="s">
        <v>5009</v>
      </c>
      <c r="AE296" s="89">
        <v>44299</v>
      </c>
      <c r="AF296" s="88">
        <v>44300</v>
      </c>
      <c r="AG296" s="34">
        <f t="shared" ref="AG296" si="258">AF296-AE296</f>
        <v>1</v>
      </c>
      <c r="AH296" s="42" t="s">
        <v>1790</v>
      </c>
    </row>
    <row r="297" spans="1:44">
      <c r="A297" s="135" t="s">
        <v>2883</v>
      </c>
      <c r="B297" s="84">
        <v>181</v>
      </c>
      <c r="C297" s="84">
        <v>217</v>
      </c>
      <c r="D297" s="84">
        <v>24</v>
      </c>
      <c r="E297" s="84">
        <v>77</v>
      </c>
      <c r="F297" s="59">
        <v>41.47</v>
      </c>
      <c r="G297" s="58" t="s">
        <v>1679</v>
      </c>
      <c r="H297" s="31" t="s">
        <v>2191</v>
      </c>
      <c r="I297" s="17" t="s">
        <v>1680</v>
      </c>
      <c r="J297" s="77">
        <v>34.85</v>
      </c>
      <c r="K297" s="77">
        <v>18.100000000000001</v>
      </c>
      <c r="N297" s="365">
        <f t="shared" ref="N297" si="259">K297+J297+L297</f>
        <v>52.95</v>
      </c>
      <c r="W297" s="35">
        <v>3.83</v>
      </c>
      <c r="X297" s="100">
        <f t="shared" ref="X297:X302" si="260">W297/Y297</f>
        <v>3.1265306122448981E-2</v>
      </c>
      <c r="Y297" s="37">
        <v>122.5</v>
      </c>
      <c r="Z297" s="69">
        <v>118</v>
      </c>
      <c r="AA297" s="16">
        <f t="shared" ref="AA297:AA302" si="261">Y297-Z297</f>
        <v>4.5</v>
      </c>
      <c r="AB297" s="66">
        <f t="shared" ref="AB297:AB302" si="262">AA297/Z297</f>
        <v>3.8135593220338986E-2</v>
      </c>
      <c r="AC297" s="107" t="s">
        <v>5150</v>
      </c>
      <c r="AD297" s="17" t="s">
        <v>1680</v>
      </c>
      <c r="AE297" s="89">
        <v>44295</v>
      </c>
      <c r="AF297" s="88">
        <v>44299</v>
      </c>
      <c r="AG297" s="34">
        <f>AF297-AE297</f>
        <v>4</v>
      </c>
      <c r="AH297" s="42" t="s">
        <v>1790</v>
      </c>
      <c r="AJ297" s="9"/>
    </row>
    <row r="298" spans="1:44" s="288" customFormat="1">
      <c r="A298" s="135" t="s">
        <v>2696</v>
      </c>
      <c r="B298" s="84">
        <v>31</v>
      </c>
      <c r="C298" s="84">
        <v>21</v>
      </c>
      <c r="D298" s="84">
        <v>1</v>
      </c>
      <c r="E298" s="84">
        <v>6</v>
      </c>
      <c r="F298" s="59">
        <v>26.31</v>
      </c>
      <c r="G298" s="42" t="s">
        <v>2686</v>
      </c>
      <c r="H298" s="31" t="s">
        <v>2191</v>
      </c>
      <c r="I298" s="163" t="s">
        <v>2687</v>
      </c>
      <c r="J298" s="371">
        <v>72.349999999999994</v>
      </c>
      <c r="K298" s="77">
        <v>23.1</v>
      </c>
      <c r="L298" s="77"/>
      <c r="M298" s="365"/>
      <c r="N298" s="77">
        <f>V298+K298+J298+L298</f>
        <v>164.01999999999998</v>
      </c>
      <c r="O298" s="343"/>
      <c r="P298" s="195"/>
      <c r="Q298" s="326"/>
      <c r="R298" s="111"/>
      <c r="S298" s="51"/>
      <c r="T298" s="339"/>
      <c r="U298" s="329"/>
      <c r="V298" s="371">
        <v>68.569999999999993</v>
      </c>
      <c r="W298" s="205">
        <v>3.3</v>
      </c>
      <c r="X298" s="100">
        <f t="shared" si="260"/>
        <v>3.6544850498338867E-2</v>
      </c>
      <c r="Y298" s="171">
        <v>90.3</v>
      </c>
      <c r="Z298" s="68">
        <v>79.8</v>
      </c>
      <c r="AA298" s="172">
        <f t="shared" si="261"/>
        <v>10.5</v>
      </c>
      <c r="AB298" s="168">
        <f t="shared" si="262"/>
        <v>0.13157894736842105</v>
      </c>
      <c r="AC298" s="177" t="s">
        <v>5147</v>
      </c>
      <c r="AD298" s="163" t="s">
        <v>2687</v>
      </c>
      <c r="AE298" s="89">
        <v>44200</v>
      </c>
      <c r="AF298" s="88">
        <v>44299</v>
      </c>
      <c r="AG298" s="34">
        <f>AF298-AE298</f>
        <v>99</v>
      </c>
      <c r="AH298" s="42" t="s">
        <v>3434</v>
      </c>
      <c r="AI298" s="286"/>
      <c r="AJ298" s="286"/>
      <c r="AK298" s="167"/>
      <c r="AL298" s="68"/>
      <c r="AM298" s="167"/>
      <c r="AN298" s="68"/>
      <c r="AO298" s="42"/>
      <c r="AP298" s="163"/>
    </row>
    <row r="299" spans="1:44" s="288" customFormat="1">
      <c r="A299" s="135" t="s">
        <v>2696</v>
      </c>
      <c r="B299" s="84">
        <v>31</v>
      </c>
      <c r="C299" s="84">
        <v>21</v>
      </c>
      <c r="D299" s="84">
        <v>1</v>
      </c>
      <c r="E299" s="84">
        <v>6</v>
      </c>
      <c r="F299" s="59">
        <v>26.31</v>
      </c>
      <c r="G299" s="42" t="s">
        <v>2686</v>
      </c>
      <c r="H299" s="31" t="s">
        <v>2191</v>
      </c>
      <c r="I299" s="163" t="s">
        <v>2687</v>
      </c>
      <c r="J299" s="371">
        <v>72.349999999999994</v>
      </c>
      <c r="K299" s="77">
        <v>23.1</v>
      </c>
      <c r="L299" s="77"/>
      <c r="M299" s="365"/>
      <c r="N299" s="77">
        <f>V299+K299+J299+L299</f>
        <v>164.01999999999998</v>
      </c>
      <c r="O299" s="343"/>
      <c r="P299" s="195"/>
      <c r="Q299" s="326"/>
      <c r="R299" s="111"/>
      <c r="S299" s="51"/>
      <c r="T299" s="339"/>
      <c r="U299" s="329"/>
      <c r="V299" s="371">
        <v>68.569999999999993</v>
      </c>
      <c r="W299" s="205">
        <v>3.3</v>
      </c>
      <c r="X299" s="100">
        <f t="shared" si="260"/>
        <v>3.6544850498338867E-2</v>
      </c>
      <c r="Y299" s="171">
        <v>90.3</v>
      </c>
      <c r="Z299" s="68">
        <v>81</v>
      </c>
      <c r="AA299" s="172">
        <f t="shared" si="261"/>
        <v>9.2999999999999972</v>
      </c>
      <c r="AB299" s="168">
        <f t="shared" si="262"/>
        <v>0.11481481481481479</v>
      </c>
      <c r="AC299" s="177" t="s">
        <v>5148</v>
      </c>
      <c r="AD299" s="163" t="s">
        <v>2687</v>
      </c>
      <c r="AE299" s="89">
        <v>44200</v>
      </c>
      <c r="AF299" s="88">
        <v>44299</v>
      </c>
      <c r="AG299" s="34">
        <f>AF299-AE299</f>
        <v>99</v>
      </c>
      <c r="AH299" s="42" t="s">
        <v>3434</v>
      </c>
      <c r="AI299" s="286"/>
      <c r="AJ299" s="286"/>
      <c r="AK299" s="167"/>
      <c r="AL299" s="68"/>
      <c r="AM299" s="167"/>
      <c r="AN299" s="68"/>
      <c r="AO299" s="42"/>
      <c r="AP299" s="163"/>
    </row>
    <row r="300" spans="1:44" s="288" customFormat="1">
      <c r="A300" s="135" t="s">
        <v>2696</v>
      </c>
      <c r="B300" s="84">
        <v>31</v>
      </c>
      <c r="C300" s="84">
        <v>21</v>
      </c>
      <c r="D300" s="84">
        <v>1</v>
      </c>
      <c r="E300" s="84">
        <v>6</v>
      </c>
      <c r="F300" s="59">
        <v>26.31</v>
      </c>
      <c r="G300" s="42" t="s">
        <v>2686</v>
      </c>
      <c r="H300" s="31" t="s">
        <v>2191</v>
      </c>
      <c r="I300" s="163" t="s">
        <v>2687</v>
      </c>
      <c r="J300" s="371">
        <v>72.349999999999994</v>
      </c>
      <c r="K300" s="77">
        <v>23.1</v>
      </c>
      <c r="L300" s="77"/>
      <c r="M300" s="365"/>
      <c r="N300" s="77">
        <f>V300+K300+J300+L300</f>
        <v>164.01999999999998</v>
      </c>
      <c r="O300" s="343"/>
      <c r="P300" s="195"/>
      <c r="Q300" s="326"/>
      <c r="R300" s="111"/>
      <c r="S300" s="51"/>
      <c r="T300" s="339"/>
      <c r="U300" s="329"/>
      <c r="V300" s="371">
        <v>68.569999999999993</v>
      </c>
      <c r="W300" s="205">
        <v>3.3</v>
      </c>
      <c r="X300" s="100">
        <f t="shared" si="260"/>
        <v>3.6544850498338867E-2</v>
      </c>
      <c r="Y300" s="171">
        <v>90.3</v>
      </c>
      <c r="Z300" s="68">
        <f>86.3-3.1</f>
        <v>83.2</v>
      </c>
      <c r="AA300" s="172">
        <f t="shared" si="261"/>
        <v>7.0999999999999943</v>
      </c>
      <c r="AB300" s="168">
        <f t="shared" si="262"/>
        <v>8.5336538461538394E-2</v>
      </c>
      <c r="AC300" s="177" t="s">
        <v>2930</v>
      </c>
      <c r="AD300" s="163" t="s">
        <v>2687</v>
      </c>
      <c r="AE300" s="89">
        <v>43843</v>
      </c>
      <c r="AF300" s="88">
        <v>44299</v>
      </c>
      <c r="AG300" s="81">
        <f>AF300-AE300</f>
        <v>456</v>
      </c>
      <c r="AH300" s="42" t="s">
        <v>3434</v>
      </c>
      <c r="AI300" s="286"/>
      <c r="AJ300" s="286"/>
      <c r="AK300" s="167"/>
      <c r="AL300" s="68"/>
      <c r="AM300" s="167"/>
      <c r="AN300" s="68"/>
      <c r="AO300" s="42"/>
      <c r="AP300" s="163"/>
    </row>
    <row r="301" spans="1:44" s="288" customFormat="1">
      <c r="A301" s="135" t="s">
        <v>3298</v>
      </c>
      <c r="B301" s="84">
        <v>1</v>
      </c>
      <c r="C301" s="84">
        <v>5</v>
      </c>
      <c r="D301" s="85">
        <v>-8</v>
      </c>
      <c r="E301" s="84">
        <v>8</v>
      </c>
      <c r="F301" s="59">
        <v>13.36</v>
      </c>
      <c r="G301" s="42" t="s">
        <v>77</v>
      </c>
      <c r="H301" s="31" t="s">
        <v>2191</v>
      </c>
      <c r="I301" s="176" t="s">
        <v>5009</v>
      </c>
      <c r="J301" s="77">
        <v>62.41</v>
      </c>
      <c r="K301" s="77">
        <v>52.9</v>
      </c>
      <c r="L301" s="77">
        <v>6.07</v>
      </c>
      <c r="M301" s="365"/>
      <c r="N301" s="77">
        <f>K301+J301+L301</f>
        <v>121.38</v>
      </c>
      <c r="O301" s="343"/>
      <c r="P301" s="195"/>
      <c r="Q301" s="326"/>
      <c r="R301" s="111"/>
      <c r="S301" s="51"/>
      <c r="T301" s="339"/>
      <c r="U301" s="329"/>
      <c r="V301" s="371">
        <v>0.19</v>
      </c>
      <c r="W301" s="205">
        <v>4.8</v>
      </c>
      <c r="X301" s="59">
        <f t="shared" si="260"/>
        <v>3.9183673469387753E-2</v>
      </c>
      <c r="Y301" s="175">
        <v>122.5</v>
      </c>
      <c r="Z301" s="68">
        <v>120.5</v>
      </c>
      <c r="AA301" s="172">
        <f t="shared" si="261"/>
        <v>2</v>
      </c>
      <c r="AB301" s="168">
        <f t="shared" si="262"/>
        <v>1.6597510373443983E-2</v>
      </c>
      <c r="AC301" s="177" t="s">
        <v>5149</v>
      </c>
      <c r="AD301" s="176" t="s">
        <v>5009</v>
      </c>
      <c r="AE301" s="89">
        <v>44292</v>
      </c>
      <c r="AF301" s="88">
        <v>44299</v>
      </c>
      <c r="AG301" s="34">
        <f t="shared" ref="AG301:AG302" si="263">AF301-AE301</f>
        <v>7</v>
      </c>
      <c r="AH301" s="42" t="s">
        <v>1790</v>
      </c>
    </row>
    <row r="302" spans="1:44" s="288" customFormat="1">
      <c r="A302" s="135" t="s">
        <v>3298</v>
      </c>
      <c r="B302" s="84">
        <v>1</v>
      </c>
      <c r="C302" s="84">
        <v>5</v>
      </c>
      <c r="D302" s="85">
        <v>-8</v>
      </c>
      <c r="E302" s="84">
        <v>8</v>
      </c>
      <c r="F302" s="59">
        <v>13.36</v>
      </c>
      <c r="G302" s="42" t="s">
        <v>77</v>
      </c>
      <c r="H302" s="31" t="s">
        <v>2191</v>
      </c>
      <c r="I302" s="176" t="s">
        <v>5009</v>
      </c>
      <c r="J302" s="77">
        <v>62.41</v>
      </c>
      <c r="K302" s="77">
        <v>52.9</v>
      </c>
      <c r="L302" s="77">
        <v>6.07</v>
      </c>
      <c r="M302" s="365"/>
      <c r="N302" s="77">
        <f>K302+J302+L302</f>
        <v>121.38</v>
      </c>
      <c r="O302" s="343"/>
      <c r="P302" s="195"/>
      <c r="Q302" s="326"/>
      <c r="R302" s="111"/>
      <c r="S302" s="51"/>
      <c r="T302" s="339"/>
      <c r="U302" s="329"/>
      <c r="V302" s="371">
        <v>0.19</v>
      </c>
      <c r="W302" s="205">
        <v>4.8</v>
      </c>
      <c r="X302" s="59">
        <f t="shared" si="260"/>
        <v>3.9183673469387753E-2</v>
      </c>
      <c r="Y302" s="175">
        <v>122.5</v>
      </c>
      <c r="Z302" s="68">
        <v>118</v>
      </c>
      <c r="AA302" s="172">
        <f t="shared" si="261"/>
        <v>4.5</v>
      </c>
      <c r="AB302" s="168">
        <f t="shared" si="262"/>
        <v>3.8135593220338986E-2</v>
      </c>
      <c r="AC302" s="177" t="s">
        <v>5150</v>
      </c>
      <c r="AD302" s="176" t="s">
        <v>5009</v>
      </c>
      <c r="AE302" s="89">
        <v>44285</v>
      </c>
      <c r="AF302" s="88">
        <v>44299</v>
      </c>
      <c r="AG302" s="34">
        <f t="shared" si="263"/>
        <v>14</v>
      </c>
      <c r="AH302" s="42" t="s">
        <v>1790</v>
      </c>
    </row>
    <row r="303" spans="1:44" s="181" customFormat="1" ht="17.100000000000001" customHeight="1">
      <c r="A303" s="42"/>
      <c r="B303" s="84">
        <v>-65</v>
      </c>
      <c r="C303" s="85">
        <v>-13</v>
      </c>
      <c r="D303" s="84">
        <v>-65</v>
      </c>
      <c r="E303" s="85">
        <v>-13</v>
      </c>
      <c r="F303" s="7">
        <v>3.72</v>
      </c>
      <c r="G303" s="42" t="s">
        <v>5122</v>
      </c>
      <c r="H303" s="109" t="s">
        <v>5124</v>
      </c>
      <c r="I303" s="163" t="s">
        <v>5123</v>
      </c>
      <c r="J303" s="77">
        <v>77.790000000000006</v>
      </c>
      <c r="K303" s="371">
        <v>14.18</v>
      </c>
      <c r="L303" s="77">
        <v>0.6</v>
      </c>
      <c r="M303" s="365"/>
      <c r="N303" s="77">
        <f t="shared" ref="N303:N311" si="264">V303+K303+J303+L303</f>
        <v>140.93</v>
      </c>
      <c r="O303" s="343"/>
      <c r="P303" s="195"/>
      <c r="Q303" s="326"/>
      <c r="R303" s="111">
        <v>2</v>
      </c>
      <c r="S303" s="51"/>
      <c r="T303" s="339"/>
      <c r="U303" s="329"/>
      <c r="V303" s="371">
        <v>48.36</v>
      </c>
      <c r="W303" s="205">
        <v>0.47</v>
      </c>
      <c r="X303" s="59">
        <f t="shared" ref="X303:X311" si="265">W303/Y303</f>
        <v>3.5606060606060606E-2</v>
      </c>
      <c r="Y303" s="175">
        <v>13.2</v>
      </c>
      <c r="Z303" s="68">
        <f>15.72-0.5-0.47</f>
        <v>14.75</v>
      </c>
      <c r="AA303" s="172">
        <f t="shared" ref="AA303:AA311" si="266">Y303-Z303</f>
        <v>-1.5500000000000007</v>
      </c>
      <c r="AB303" s="174">
        <f t="shared" ref="AB303:AB311" si="267">AA303/Z303</f>
        <v>-0.10508474576271191</v>
      </c>
      <c r="AC303" s="121" t="s">
        <v>5139</v>
      </c>
      <c r="AD303" s="163" t="s">
        <v>5123</v>
      </c>
      <c r="AE303" s="89">
        <v>42825</v>
      </c>
      <c r="AF303" s="88">
        <v>44298</v>
      </c>
      <c r="AG303" s="143">
        <f t="shared" ref="AG303:AG311" si="268">AF303-AE303</f>
        <v>1473</v>
      </c>
      <c r="AH303" s="42" t="s">
        <v>4544</v>
      </c>
      <c r="AI303" s="28"/>
      <c r="AJ303" s="18"/>
      <c r="AK303" s="12"/>
      <c r="AL303" s="12"/>
      <c r="AM303" s="12"/>
      <c r="AN303" s="12"/>
      <c r="AO303" s="288"/>
      <c r="AP303" s="288"/>
      <c r="AR303" s="32"/>
    </row>
    <row r="304" spans="1:44" s="181" customFormat="1" ht="17.100000000000001" customHeight="1">
      <c r="A304" s="42"/>
      <c r="B304" s="84">
        <v>-65</v>
      </c>
      <c r="C304" s="85">
        <v>-13</v>
      </c>
      <c r="D304" s="84">
        <v>-65</v>
      </c>
      <c r="E304" s="85">
        <v>-13</v>
      </c>
      <c r="F304" s="7">
        <v>3.72</v>
      </c>
      <c r="G304" s="42" t="s">
        <v>5122</v>
      </c>
      <c r="H304" s="9" t="s">
        <v>2119</v>
      </c>
      <c r="I304" s="163" t="s">
        <v>5123</v>
      </c>
      <c r="J304" s="77">
        <v>77.790000000000006</v>
      </c>
      <c r="K304" s="371">
        <v>14.18</v>
      </c>
      <c r="L304" s="77">
        <v>0.6</v>
      </c>
      <c r="M304" s="365"/>
      <c r="N304" s="77">
        <f t="shared" si="264"/>
        <v>140.93</v>
      </c>
      <c r="O304" s="343"/>
      <c r="P304" s="195"/>
      <c r="Q304" s="326"/>
      <c r="R304" s="111"/>
      <c r="S304" s="51"/>
      <c r="T304" s="339"/>
      <c r="U304" s="329"/>
      <c r="V304" s="371">
        <v>48.36</v>
      </c>
      <c r="W304" s="205">
        <v>0.47</v>
      </c>
      <c r="X304" s="59">
        <f t="shared" si="265"/>
        <v>1.7803030303030303E-2</v>
      </c>
      <c r="Y304" s="175">
        <v>26.4</v>
      </c>
      <c r="Z304" s="68">
        <f>(13.55-0.47)*AH304</f>
        <v>26.16</v>
      </c>
      <c r="AA304" s="172">
        <f t="shared" si="266"/>
        <v>0.23999999999999844</v>
      </c>
      <c r="AB304" s="168">
        <f t="shared" si="267"/>
        <v>9.1743119266054444E-3</v>
      </c>
      <c r="AC304" s="136" t="s">
        <v>5140</v>
      </c>
      <c r="AD304" s="163" t="s">
        <v>5123</v>
      </c>
      <c r="AE304" s="89">
        <v>43355</v>
      </c>
      <c r="AF304" s="88">
        <v>44298</v>
      </c>
      <c r="AG304" s="81">
        <f t="shared" si="268"/>
        <v>943</v>
      </c>
      <c r="AH304" s="42" t="s">
        <v>5116</v>
      </c>
      <c r="AI304" s="28"/>
      <c r="AJ304" s="18"/>
      <c r="AK304" s="12"/>
      <c r="AL304" s="12"/>
      <c r="AM304" s="12"/>
      <c r="AN304" s="12"/>
      <c r="AO304" s="288"/>
      <c r="AP304" s="288"/>
      <c r="AR304" s="32"/>
    </row>
    <row r="305" spans="1:44" s="181" customFormat="1" ht="17.100000000000001" customHeight="1">
      <c r="A305" s="42"/>
      <c r="B305" s="84">
        <v>-65</v>
      </c>
      <c r="C305" s="85">
        <v>-13</v>
      </c>
      <c r="D305" s="84">
        <v>-65</v>
      </c>
      <c r="E305" s="85">
        <v>-13</v>
      </c>
      <c r="F305" s="7">
        <v>3.72</v>
      </c>
      <c r="G305" s="42" t="s">
        <v>5122</v>
      </c>
      <c r="H305" s="51" t="s">
        <v>2120</v>
      </c>
      <c r="I305" s="163" t="s">
        <v>5123</v>
      </c>
      <c r="J305" s="77">
        <v>77.790000000000006</v>
      </c>
      <c r="K305" s="371">
        <v>14.18</v>
      </c>
      <c r="L305" s="77">
        <v>0.6</v>
      </c>
      <c r="M305" s="365"/>
      <c r="N305" s="77">
        <f t="shared" si="264"/>
        <v>140.93</v>
      </c>
      <c r="O305" s="343"/>
      <c r="P305" s="195"/>
      <c r="Q305" s="326"/>
      <c r="R305" s="111"/>
      <c r="S305" s="51"/>
      <c r="T305" s="339"/>
      <c r="U305" s="329"/>
      <c r="V305" s="371">
        <v>48.36</v>
      </c>
      <c r="W305" s="205">
        <v>0.47</v>
      </c>
      <c r="X305" s="59">
        <f>W305/Y305</f>
        <v>3.5471698113207543E-2</v>
      </c>
      <c r="Y305" s="175">
        <v>13.25</v>
      </c>
      <c r="Z305" s="68">
        <v>11</v>
      </c>
      <c r="AA305" s="172">
        <f t="shared" si="266"/>
        <v>2.25</v>
      </c>
      <c r="AB305" s="168">
        <f t="shared" si="267"/>
        <v>0.20454545454545456</v>
      </c>
      <c r="AC305" s="136" t="s">
        <v>3296</v>
      </c>
      <c r="AD305" s="163" t="s">
        <v>5123</v>
      </c>
      <c r="AE305" s="89">
        <v>44253</v>
      </c>
      <c r="AF305" s="88">
        <v>44298</v>
      </c>
      <c r="AG305" s="34">
        <f>AF305-AE305</f>
        <v>45</v>
      </c>
      <c r="AH305" s="42" t="s">
        <v>4544</v>
      </c>
      <c r="AJ305" s="18"/>
      <c r="AK305" s="12"/>
      <c r="AL305" s="12"/>
      <c r="AM305" s="12"/>
      <c r="AN305" s="12"/>
      <c r="AO305" s="288"/>
      <c r="AP305" s="288"/>
      <c r="AR305" s="32"/>
    </row>
    <row r="306" spans="1:44" s="181" customFormat="1" ht="17.100000000000001" customHeight="1">
      <c r="A306" s="42"/>
      <c r="B306" s="84">
        <v>-65</v>
      </c>
      <c r="C306" s="85">
        <v>-13</v>
      </c>
      <c r="D306" s="84">
        <v>-65</v>
      </c>
      <c r="E306" s="85">
        <v>-13</v>
      </c>
      <c r="F306" s="7">
        <v>3.72</v>
      </c>
      <c r="G306" s="42" t="s">
        <v>5122</v>
      </c>
      <c r="H306" s="51" t="s">
        <v>2120</v>
      </c>
      <c r="I306" s="163" t="s">
        <v>5123</v>
      </c>
      <c r="J306" s="77">
        <v>77.790000000000006</v>
      </c>
      <c r="K306" s="371">
        <v>14.18</v>
      </c>
      <c r="L306" s="77">
        <v>0.6</v>
      </c>
      <c r="M306" s="365"/>
      <c r="N306" s="77">
        <f t="shared" si="264"/>
        <v>140.93</v>
      </c>
      <c r="O306" s="343"/>
      <c r="P306" s="195"/>
      <c r="Q306" s="326"/>
      <c r="R306" s="111"/>
      <c r="S306" s="51"/>
      <c r="T306" s="339"/>
      <c r="U306" s="329"/>
      <c r="V306" s="371">
        <v>48.36</v>
      </c>
      <c r="W306" s="205">
        <v>0.47</v>
      </c>
      <c r="X306" s="59">
        <f>W306/Y306</f>
        <v>3.5471698113207543E-2</v>
      </c>
      <c r="Y306" s="175">
        <v>13.25</v>
      </c>
      <c r="Z306" s="68">
        <v>11</v>
      </c>
      <c r="AA306" s="172">
        <f t="shared" si="266"/>
        <v>2.25</v>
      </c>
      <c r="AB306" s="168">
        <f t="shared" si="267"/>
        <v>0.20454545454545456</v>
      </c>
      <c r="AC306" s="136" t="s">
        <v>3296</v>
      </c>
      <c r="AD306" s="163" t="s">
        <v>5123</v>
      </c>
      <c r="AE306" s="89">
        <v>44253</v>
      </c>
      <c r="AF306" s="88">
        <v>44298</v>
      </c>
      <c r="AG306" s="34">
        <f>AF306-AE306</f>
        <v>45</v>
      </c>
      <c r="AH306" s="42" t="s">
        <v>4544</v>
      </c>
      <c r="AJ306" s="18"/>
      <c r="AK306" s="12"/>
      <c r="AL306" s="12"/>
      <c r="AM306" s="12"/>
      <c r="AN306" s="12"/>
      <c r="AO306" s="288"/>
      <c r="AP306" s="288"/>
      <c r="AR306" s="32"/>
    </row>
    <row r="307" spans="1:44" s="181" customFormat="1" ht="17.100000000000001" customHeight="1">
      <c r="A307" s="42"/>
      <c r="B307" s="84">
        <v>-65</v>
      </c>
      <c r="C307" s="85">
        <v>-13</v>
      </c>
      <c r="D307" s="84">
        <v>-65</v>
      </c>
      <c r="E307" s="85">
        <v>-13</v>
      </c>
      <c r="F307" s="7">
        <v>3.72</v>
      </c>
      <c r="G307" s="42" t="s">
        <v>5122</v>
      </c>
      <c r="H307" s="51" t="s">
        <v>2120</v>
      </c>
      <c r="I307" s="163" t="s">
        <v>5123</v>
      </c>
      <c r="J307" s="77">
        <v>77.790000000000006</v>
      </c>
      <c r="K307" s="371">
        <v>14.18</v>
      </c>
      <c r="L307" s="77">
        <v>0.6</v>
      </c>
      <c r="M307" s="365"/>
      <c r="N307" s="77">
        <f t="shared" si="264"/>
        <v>140.93</v>
      </c>
      <c r="O307" s="343"/>
      <c r="P307" s="195"/>
      <c r="Q307" s="326"/>
      <c r="R307" s="111"/>
      <c r="S307" s="51"/>
      <c r="T307" s="339"/>
      <c r="U307" s="329"/>
      <c r="V307" s="371">
        <v>48.36</v>
      </c>
      <c r="W307" s="205">
        <v>0.47</v>
      </c>
      <c r="X307" s="59">
        <f>W307/Y307</f>
        <v>3.5471698113207543E-2</v>
      </c>
      <c r="Y307" s="175">
        <v>13.25</v>
      </c>
      <c r="Z307" s="68">
        <f>15.72-0.5-0.47</f>
        <v>14.75</v>
      </c>
      <c r="AA307" s="172">
        <f t="shared" si="266"/>
        <v>-1.5</v>
      </c>
      <c r="AB307" s="174">
        <f t="shared" si="267"/>
        <v>-0.10169491525423729</v>
      </c>
      <c r="AC307" s="121" t="s">
        <v>5151</v>
      </c>
      <c r="AD307" s="163" t="s">
        <v>5123</v>
      </c>
      <c r="AE307" s="89">
        <v>42825</v>
      </c>
      <c r="AF307" s="88">
        <v>44298</v>
      </c>
      <c r="AG307" s="143">
        <f>AF307-AE307</f>
        <v>1473</v>
      </c>
      <c r="AH307" s="42" t="s">
        <v>4544</v>
      </c>
      <c r="AJ307" s="18"/>
      <c r="AK307" s="12"/>
      <c r="AL307" s="12"/>
      <c r="AM307" s="12"/>
      <c r="AN307" s="12"/>
      <c r="AO307" s="288"/>
      <c r="AP307" s="288"/>
      <c r="AR307" s="32"/>
    </row>
    <row r="308" spans="1:44" s="181" customFormat="1" ht="17.100000000000001" customHeight="1">
      <c r="A308" s="42"/>
      <c r="B308" s="84">
        <v>-65</v>
      </c>
      <c r="C308" s="85">
        <v>-13</v>
      </c>
      <c r="D308" s="84">
        <v>-65</v>
      </c>
      <c r="E308" s="85">
        <v>-13</v>
      </c>
      <c r="F308" s="7">
        <v>3.72</v>
      </c>
      <c r="G308" s="42" t="s">
        <v>5122</v>
      </c>
      <c r="H308" s="51" t="s">
        <v>2120</v>
      </c>
      <c r="I308" s="163" t="s">
        <v>5123</v>
      </c>
      <c r="J308" s="77">
        <v>77.790000000000006</v>
      </c>
      <c r="K308" s="371">
        <v>14.18</v>
      </c>
      <c r="L308" s="77">
        <v>0.6</v>
      </c>
      <c r="M308" s="365"/>
      <c r="N308" s="77">
        <f t="shared" si="264"/>
        <v>140.93</v>
      </c>
      <c r="O308" s="343"/>
      <c r="P308" s="195"/>
      <c r="Q308" s="326"/>
      <c r="R308" s="111"/>
      <c r="S308" s="51"/>
      <c r="T308" s="339"/>
      <c r="U308" s="329"/>
      <c r="V308" s="371">
        <v>48.36</v>
      </c>
      <c r="W308" s="205">
        <v>0.47</v>
      </c>
      <c r="X308" s="59">
        <f t="shared" si="265"/>
        <v>1.7735849056603772E-2</v>
      </c>
      <c r="Y308" s="175">
        <f>13.25*2</f>
        <v>26.5</v>
      </c>
      <c r="Z308" s="68">
        <f>(13.72-0.47)*AH308</f>
        <v>26.5</v>
      </c>
      <c r="AA308" s="172">
        <f t="shared" si="266"/>
        <v>0</v>
      </c>
      <c r="AB308" s="168">
        <f t="shared" si="267"/>
        <v>0</v>
      </c>
      <c r="AC308" s="119" t="s">
        <v>2241</v>
      </c>
      <c r="AD308" s="163" t="s">
        <v>5123</v>
      </c>
      <c r="AE308" s="89">
        <v>43335</v>
      </c>
      <c r="AF308" s="88">
        <v>44298</v>
      </c>
      <c r="AG308" s="81">
        <f t="shared" si="268"/>
        <v>963</v>
      </c>
      <c r="AH308" s="42" t="s">
        <v>5116</v>
      </c>
      <c r="AI308" s="28"/>
      <c r="AJ308" s="18"/>
      <c r="AK308" s="12"/>
      <c r="AL308" s="12"/>
      <c r="AM308" s="12"/>
      <c r="AN308" s="12"/>
      <c r="AO308" s="288"/>
      <c r="AP308" s="288"/>
      <c r="AR308" s="32"/>
    </row>
    <row r="309" spans="1:44" s="288" customFormat="1">
      <c r="A309" s="150"/>
      <c r="B309" s="85">
        <v>-67</v>
      </c>
      <c r="C309" s="85">
        <v>-13</v>
      </c>
      <c r="D309" s="85">
        <v>-67</v>
      </c>
      <c r="E309" s="85">
        <v>-13</v>
      </c>
      <c r="F309" s="7">
        <v>3.72</v>
      </c>
      <c r="G309" s="42" t="s">
        <v>5122</v>
      </c>
      <c r="H309" s="51" t="s">
        <v>2120</v>
      </c>
      <c r="I309" s="163" t="s">
        <v>5123</v>
      </c>
      <c r="J309" s="77">
        <v>77.790000000000006</v>
      </c>
      <c r="K309" s="371">
        <v>14.14</v>
      </c>
      <c r="L309" s="371">
        <v>0.56000000000000005</v>
      </c>
      <c r="M309" s="365"/>
      <c r="N309" s="77">
        <f t="shared" si="264"/>
        <v>140.9</v>
      </c>
      <c r="O309" s="343"/>
      <c r="P309" s="195"/>
      <c r="Q309" s="326"/>
      <c r="R309" s="111"/>
      <c r="S309" s="51"/>
      <c r="T309" s="339"/>
      <c r="U309" s="329"/>
      <c r="V309" s="371">
        <v>48.41</v>
      </c>
      <c r="W309" s="205">
        <v>0.47</v>
      </c>
      <c r="X309" s="59">
        <f t="shared" si="265"/>
        <v>1.7735849056603772E-2</v>
      </c>
      <c r="Y309" s="171">
        <f>13.25*2</f>
        <v>26.5</v>
      </c>
      <c r="Z309" s="68">
        <f>12.25*AH309</f>
        <v>24.5</v>
      </c>
      <c r="AA309" s="172">
        <f t="shared" si="266"/>
        <v>2</v>
      </c>
      <c r="AB309" s="168">
        <f t="shared" si="267"/>
        <v>8.1632653061224483E-2</v>
      </c>
      <c r="AC309" s="119" t="s">
        <v>3454</v>
      </c>
      <c r="AD309" s="163" t="s">
        <v>5123</v>
      </c>
      <c r="AE309" s="89">
        <v>43697</v>
      </c>
      <c r="AF309" s="88">
        <v>44298</v>
      </c>
      <c r="AG309" s="81">
        <f t="shared" si="268"/>
        <v>601</v>
      </c>
      <c r="AH309" s="42" t="s">
        <v>5116</v>
      </c>
      <c r="AI309" s="173"/>
    </row>
    <row r="310" spans="1:44" s="288" customFormat="1">
      <c r="A310" s="152"/>
      <c r="B310" s="85">
        <v>-67</v>
      </c>
      <c r="C310" s="85">
        <v>-13</v>
      </c>
      <c r="D310" s="85">
        <v>-1</v>
      </c>
      <c r="E310" s="85">
        <v>-10</v>
      </c>
      <c r="F310" s="7">
        <v>3.72</v>
      </c>
      <c r="G310" s="42" t="s">
        <v>5122</v>
      </c>
      <c r="H310" s="51" t="s">
        <v>2120</v>
      </c>
      <c r="I310" s="163" t="s">
        <v>5123</v>
      </c>
      <c r="J310" s="371">
        <v>77.31</v>
      </c>
      <c r="K310" s="77">
        <v>14.13</v>
      </c>
      <c r="L310" s="77">
        <v>0.67</v>
      </c>
      <c r="M310" s="365"/>
      <c r="N310" s="77">
        <f t="shared" si="264"/>
        <v>140.51999999999998</v>
      </c>
      <c r="O310" s="343"/>
      <c r="P310" s="195"/>
      <c r="Q310" s="326"/>
      <c r="R310" s="111"/>
      <c r="S310" s="51"/>
      <c r="T310" s="339"/>
      <c r="U310" s="329"/>
      <c r="V310" s="371">
        <v>48.41</v>
      </c>
      <c r="W310" s="205">
        <v>0.47</v>
      </c>
      <c r="X310" s="59">
        <f t="shared" si="265"/>
        <v>8.8679245283018859E-3</v>
      </c>
      <c r="Y310" s="171">
        <f>13.25*4</f>
        <v>53</v>
      </c>
      <c r="Z310" s="68">
        <f>12.05*AH310</f>
        <v>48.2</v>
      </c>
      <c r="AA310" s="172">
        <f t="shared" si="266"/>
        <v>4.7999999999999972</v>
      </c>
      <c r="AB310" s="168">
        <f t="shared" si="267"/>
        <v>9.9585062240663838E-2</v>
      </c>
      <c r="AC310" s="119" t="s">
        <v>5141</v>
      </c>
      <c r="AD310" s="163" t="s">
        <v>5123</v>
      </c>
      <c r="AE310" s="89">
        <v>43727</v>
      </c>
      <c r="AF310" s="88">
        <v>44298</v>
      </c>
      <c r="AG310" s="81">
        <f t="shared" si="268"/>
        <v>571</v>
      </c>
      <c r="AH310" s="42" t="s">
        <v>5125</v>
      </c>
    </row>
    <row r="311" spans="1:44" s="288" customFormat="1">
      <c r="A311" s="152"/>
      <c r="B311" s="85">
        <v>-67</v>
      </c>
      <c r="C311" s="85">
        <v>-13</v>
      </c>
      <c r="D311" s="85">
        <v>-1</v>
      </c>
      <c r="E311" s="85">
        <v>-10</v>
      </c>
      <c r="F311" s="7">
        <v>3.72</v>
      </c>
      <c r="G311" s="42" t="s">
        <v>5122</v>
      </c>
      <c r="H311" s="51" t="s">
        <v>2120</v>
      </c>
      <c r="I311" s="163" t="s">
        <v>5123</v>
      </c>
      <c r="J311" s="371">
        <v>77.31</v>
      </c>
      <c r="K311" s="77">
        <v>14.13</v>
      </c>
      <c r="L311" s="77">
        <v>0.67</v>
      </c>
      <c r="M311" s="365"/>
      <c r="N311" s="77">
        <f t="shared" si="264"/>
        <v>140.51999999999998</v>
      </c>
      <c r="O311" s="343"/>
      <c r="P311" s="195"/>
      <c r="Q311" s="326"/>
      <c r="R311" s="111"/>
      <c r="S311" s="51"/>
      <c r="T311" s="339"/>
      <c r="U311" s="329"/>
      <c r="V311" s="371">
        <v>48.41</v>
      </c>
      <c r="W311" s="205">
        <v>0.47</v>
      </c>
      <c r="X311" s="59">
        <f t="shared" si="265"/>
        <v>8.8679245283018859E-3</v>
      </c>
      <c r="Y311" s="171">
        <f>13.25*4</f>
        <v>53</v>
      </c>
      <c r="Z311" s="68">
        <f>12*AH311</f>
        <v>48</v>
      </c>
      <c r="AA311" s="172">
        <f t="shared" si="266"/>
        <v>5</v>
      </c>
      <c r="AB311" s="168">
        <f t="shared" si="267"/>
        <v>0.10416666666666667</v>
      </c>
      <c r="AC311" s="119" t="s">
        <v>5142</v>
      </c>
      <c r="AD311" s="163" t="s">
        <v>5123</v>
      </c>
      <c r="AE311" s="89">
        <v>43727</v>
      </c>
      <c r="AF311" s="88">
        <v>44298</v>
      </c>
      <c r="AG311" s="81">
        <f t="shared" si="268"/>
        <v>571</v>
      </c>
      <c r="AH311" s="42" t="s">
        <v>5125</v>
      </c>
      <c r="AI311" s="42"/>
    </row>
    <row r="312" spans="1:44" s="288" customFormat="1">
      <c r="A312" s="135" t="s">
        <v>2510</v>
      </c>
      <c r="B312" s="84">
        <v>7</v>
      </c>
      <c r="C312" s="84">
        <v>7</v>
      </c>
      <c r="D312" s="84">
        <v>1</v>
      </c>
      <c r="E312" s="84">
        <v>8</v>
      </c>
      <c r="F312" s="59">
        <v>22.38</v>
      </c>
      <c r="G312" s="58" t="s">
        <v>64</v>
      </c>
      <c r="H312" s="31" t="s">
        <v>2191</v>
      </c>
      <c r="I312" s="176" t="s">
        <v>58</v>
      </c>
      <c r="J312" s="371">
        <v>84.78</v>
      </c>
      <c r="K312" s="371">
        <v>41.21</v>
      </c>
      <c r="L312" s="371">
        <v>1.1200000000000001</v>
      </c>
      <c r="M312" s="365"/>
      <c r="N312" s="77">
        <f t="shared" ref="N312" si="269">K312+J312+L312</f>
        <v>127.11000000000001</v>
      </c>
      <c r="O312" s="343"/>
      <c r="P312" s="195"/>
      <c r="Q312" s="326"/>
      <c r="R312" s="111">
        <v>2</v>
      </c>
      <c r="S312" s="51"/>
      <c r="T312" s="339"/>
      <c r="U312" s="329"/>
      <c r="V312" s="371">
        <v>0.05</v>
      </c>
      <c r="W312" s="205">
        <v>3.2</v>
      </c>
      <c r="X312" s="59">
        <f t="shared" ref="X312" si="270">W312/Y312</f>
        <v>2.7705627705627706E-2</v>
      </c>
      <c r="Y312" s="175">
        <v>115.5</v>
      </c>
      <c r="Z312" s="68">
        <v>109.5</v>
      </c>
      <c r="AA312" s="172">
        <f t="shared" ref="AA312" si="271">Y312-Z312</f>
        <v>6</v>
      </c>
      <c r="AB312" s="168">
        <f t="shared" ref="AB312" si="272">AA312/Z312</f>
        <v>5.4794520547945202E-2</v>
      </c>
      <c r="AC312" s="177" t="s">
        <v>2428</v>
      </c>
      <c r="AD312" s="176" t="s">
        <v>58</v>
      </c>
      <c r="AE312" s="89">
        <v>44273</v>
      </c>
      <c r="AF312" s="88">
        <v>44295</v>
      </c>
      <c r="AG312" s="34">
        <f t="shared" ref="AG312" si="273">AF312-AE312</f>
        <v>22</v>
      </c>
      <c r="AH312" s="42" t="s">
        <v>1790</v>
      </c>
    </row>
    <row r="313" spans="1:44" s="288" customFormat="1">
      <c r="A313" s="135" t="s">
        <v>2738</v>
      </c>
      <c r="B313" s="84">
        <v>73</v>
      </c>
      <c r="C313" s="84">
        <v>76</v>
      </c>
      <c r="D313" s="85">
        <v>-7</v>
      </c>
      <c r="E313" s="84">
        <v>23</v>
      </c>
      <c r="F313" s="59">
        <v>21.91</v>
      </c>
      <c r="G313" s="58" t="s">
        <v>1693</v>
      </c>
      <c r="H313" s="31" t="s">
        <v>2191</v>
      </c>
      <c r="I313" s="176" t="s">
        <v>483</v>
      </c>
      <c r="J313" s="77">
        <v>45.41</v>
      </c>
      <c r="K313" s="371">
        <v>20.61</v>
      </c>
      <c r="L313" s="77">
        <v>22</v>
      </c>
      <c r="M313" s="365"/>
      <c r="N313" s="389">
        <f>K313+J313+L313</f>
        <v>88.02</v>
      </c>
      <c r="O313" s="343"/>
      <c r="P313" s="195"/>
      <c r="Q313" s="326"/>
      <c r="R313" s="111">
        <v>4</v>
      </c>
      <c r="S313" s="51"/>
      <c r="T313" s="339"/>
      <c r="U313" s="329"/>
      <c r="V313" s="371">
        <v>0</v>
      </c>
      <c r="W313" s="205">
        <v>2.8</v>
      </c>
      <c r="X313" s="100">
        <f t="shared" ref="X313:X329" si="274">W313/Y313</f>
        <v>1.6969696969696968E-2</v>
      </c>
      <c r="Y313" s="171">
        <v>165</v>
      </c>
      <c r="Z313" s="165">
        <v>155.5</v>
      </c>
      <c r="AA313" s="112">
        <f>Y313-Z313</f>
        <v>9.5</v>
      </c>
      <c r="AB313" s="168">
        <f>AA313/Z313</f>
        <v>6.1093247588424437E-2</v>
      </c>
      <c r="AC313" s="177" t="s">
        <v>4734</v>
      </c>
      <c r="AD313" s="176" t="s">
        <v>483</v>
      </c>
      <c r="AE313" s="89">
        <v>44292</v>
      </c>
      <c r="AF313" s="88">
        <v>44293</v>
      </c>
      <c r="AG313" s="34">
        <f t="shared" ref="AG313:AG317" si="275">AF313-AE313</f>
        <v>1</v>
      </c>
      <c r="AH313" s="42" t="s">
        <v>1790</v>
      </c>
    </row>
    <row r="314" spans="1:44" s="288" customFormat="1">
      <c r="A314" s="151" t="s">
        <v>2925</v>
      </c>
      <c r="B314" s="84">
        <v>29</v>
      </c>
      <c r="C314" s="85">
        <v>-16</v>
      </c>
      <c r="D314" s="84">
        <v>12</v>
      </c>
      <c r="E314" s="84">
        <v>28</v>
      </c>
      <c r="F314" s="7">
        <v>4.82</v>
      </c>
      <c r="G314" s="42" t="s">
        <v>555</v>
      </c>
      <c r="H314" s="31" t="s">
        <v>2191</v>
      </c>
      <c r="I314" s="176" t="s">
        <v>556</v>
      </c>
      <c r="J314" s="371">
        <v>35.869999999999997</v>
      </c>
      <c r="K314" s="77">
        <v>15.05</v>
      </c>
      <c r="L314" s="77">
        <v>30.14</v>
      </c>
      <c r="M314" s="365"/>
      <c r="N314" s="365">
        <f t="shared" ref="N314:N319" si="276">K314+J314+L314</f>
        <v>81.06</v>
      </c>
      <c r="O314" s="343"/>
      <c r="P314" s="195"/>
      <c r="Q314" s="326"/>
      <c r="R314" s="111"/>
      <c r="S314" s="51"/>
      <c r="T314" s="339"/>
      <c r="U314" s="329"/>
      <c r="V314" s="371">
        <v>1.45</v>
      </c>
      <c r="W314" s="205">
        <v>1</v>
      </c>
      <c r="X314" s="100">
        <f t="shared" si="274"/>
        <v>1.8691588785046728E-2</v>
      </c>
      <c r="Y314" s="171">
        <v>53.5</v>
      </c>
      <c r="Z314" s="165">
        <v>43.25</v>
      </c>
      <c r="AA314" s="172">
        <f t="shared" ref="AA314:AA317" si="277">Y314-Z314</f>
        <v>10.25</v>
      </c>
      <c r="AB314" s="168">
        <f t="shared" ref="AB314:AB317" si="278">AA314/Z314</f>
        <v>0.23699421965317918</v>
      </c>
      <c r="AC314" s="177" t="s">
        <v>2946</v>
      </c>
      <c r="AD314" s="176" t="s">
        <v>556</v>
      </c>
      <c r="AE314" s="89">
        <v>44228</v>
      </c>
      <c r="AF314" s="88">
        <v>44293</v>
      </c>
      <c r="AG314" s="34">
        <f t="shared" si="275"/>
        <v>65</v>
      </c>
      <c r="AH314" s="42" t="s">
        <v>1790</v>
      </c>
    </row>
    <row r="315" spans="1:44" s="288" customFormat="1">
      <c r="A315" s="151" t="s">
        <v>2925</v>
      </c>
      <c r="B315" s="84">
        <v>29</v>
      </c>
      <c r="C315" s="85">
        <v>-16</v>
      </c>
      <c r="D315" s="84">
        <v>12</v>
      </c>
      <c r="E315" s="84">
        <v>28</v>
      </c>
      <c r="F315" s="7">
        <v>4.82</v>
      </c>
      <c r="G315" s="42" t="s">
        <v>555</v>
      </c>
      <c r="H315" s="31" t="s">
        <v>2191</v>
      </c>
      <c r="I315" s="176" t="s">
        <v>556</v>
      </c>
      <c r="J315" s="371">
        <v>35.869999999999997</v>
      </c>
      <c r="K315" s="77">
        <v>15.05</v>
      </c>
      <c r="L315" s="77">
        <v>30.14</v>
      </c>
      <c r="M315" s="365"/>
      <c r="N315" s="365">
        <f t="shared" si="276"/>
        <v>81.06</v>
      </c>
      <c r="O315" s="343"/>
      <c r="P315" s="195"/>
      <c r="Q315" s="326"/>
      <c r="R315" s="111"/>
      <c r="S315" s="51"/>
      <c r="T315" s="339"/>
      <c r="U315" s="329"/>
      <c r="V315" s="371">
        <v>1.45</v>
      </c>
      <c r="W315" s="205">
        <v>1</v>
      </c>
      <c r="X315" s="100">
        <f t="shared" si="274"/>
        <v>1.8691588785046728E-2</v>
      </c>
      <c r="Y315" s="171">
        <v>53.5</v>
      </c>
      <c r="Z315" s="165">
        <v>42.65</v>
      </c>
      <c r="AA315" s="172">
        <f t="shared" si="277"/>
        <v>10.850000000000001</v>
      </c>
      <c r="AB315" s="168">
        <f t="shared" si="278"/>
        <v>0.25439624853458387</v>
      </c>
      <c r="AC315" s="177" t="s">
        <v>5088</v>
      </c>
      <c r="AD315" s="176" t="s">
        <v>556</v>
      </c>
      <c r="AE315" s="89">
        <v>44228</v>
      </c>
      <c r="AF315" s="88">
        <v>44293</v>
      </c>
      <c r="AG315" s="34">
        <f t="shared" si="275"/>
        <v>65</v>
      </c>
      <c r="AH315" s="42" t="s">
        <v>1790</v>
      </c>
    </row>
    <row r="316" spans="1:44" s="288" customFormat="1">
      <c r="A316" s="151" t="s">
        <v>2925</v>
      </c>
      <c r="B316" s="84">
        <v>29</v>
      </c>
      <c r="C316" s="85">
        <v>-16</v>
      </c>
      <c r="D316" s="84">
        <v>12</v>
      </c>
      <c r="E316" s="84">
        <v>28</v>
      </c>
      <c r="F316" s="7">
        <v>4.82</v>
      </c>
      <c r="G316" s="42" t="s">
        <v>555</v>
      </c>
      <c r="H316" s="31" t="s">
        <v>2191</v>
      </c>
      <c r="I316" s="176" t="s">
        <v>556</v>
      </c>
      <c r="J316" s="371">
        <v>35.869999999999997</v>
      </c>
      <c r="K316" s="77">
        <v>15.05</v>
      </c>
      <c r="L316" s="77">
        <v>30.14</v>
      </c>
      <c r="M316" s="365"/>
      <c r="N316" s="365">
        <f t="shared" si="276"/>
        <v>81.06</v>
      </c>
      <c r="O316" s="343"/>
      <c r="P316" s="195"/>
      <c r="Q316" s="326"/>
      <c r="R316" s="111"/>
      <c r="S316" s="51"/>
      <c r="T316" s="339"/>
      <c r="U316" s="329"/>
      <c r="V316" s="371">
        <v>1.45</v>
      </c>
      <c r="W316" s="205">
        <v>1</v>
      </c>
      <c r="X316" s="100">
        <f t="shared" si="274"/>
        <v>1.8691588785046728E-2</v>
      </c>
      <c r="Y316" s="171">
        <v>53.5</v>
      </c>
      <c r="Z316" s="165">
        <v>48.35</v>
      </c>
      <c r="AA316" s="172">
        <f t="shared" si="277"/>
        <v>5.1499999999999986</v>
      </c>
      <c r="AB316" s="168">
        <f t="shared" si="278"/>
        <v>0.10651499482936914</v>
      </c>
      <c r="AC316" s="177" t="s">
        <v>5089</v>
      </c>
      <c r="AD316" s="176" t="s">
        <v>556</v>
      </c>
      <c r="AE316" s="89">
        <v>44207</v>
      </c>
      <c r="AF316" s="88">
        <v>44293</v>
      </c>
      <c r="AG316" s="34">
        <f t="shared" si="275"/>
        <v>86</v>
      </c>
      <c r="AH316" s="42" t="s">
        <v>1790</v>
      </c>
    </row>
    <row r="317" spans="1:44" s="288" customFormat="1">
      <c r="A317" s="151" t="s">
        <v>2925</v>
      </c>
      <c r="B317" s="84">
        <v>29</v>
      </c>
      <c r="C317" s="85">
        <v>-16</v>
      </c>
      <c r="D317" s="84">
        <v>12</v>
      </c>
      <c r="E317" s="84">
        <v>28</v>
      </c>
      <c r="F317" s="7">
        <v>4.82</v>
      </c>
      <c r="G317" s="42" t="s">
        <v>555</v>
      </c>
      <c r="H317" s="31" t="s">
        <v>2191</v>
      </c>
      <c r="I317" s="176" t="s">
        <v>556</v>
      </c>
      <c r="J317" s="371">
        <v>35.869999999999997</v>
      </c>
      <c r="K317" s="77">
        <v>15.05</v>
      </c>
      <c r="L317" s="77">
        <v>30.14</v>
      </c>
      <c r="M317" s="365"/>
      <c r="N317" s="365">
        <f t="shared" si="276"/>
        <v>81.06</v>
      </c>
      <c r="O317" s="343"/>
      <c r="P317" s="195"/>
      <c r="Q317" s="326"/>
      <c r="R317" s="111"/>
      <c r="S317" s="51"/>
      <c r="T317" s="339"/>
      <c r="U317" s="329"/>
      <c r="V317" s="371">
        <v>1.45</v>
      </c>
      <c r="W317" s="205">
        <v>1</v>
      </c>
      <c r="X317" s="100">
        <f t="shared" si="274"/>
        <v>1.8691588785046728E-2</v>
      </c>
      <c r="Y317" s="171">
        <v>53.5</v>
      </c>
      <c r="Z317" s="165">
        <v>51.2</v>
      </c>
      <c r="AA317" s="172">
        <f t="shared" si="277"/>
        <v>2.2999999999999972</v>
      </c>
      <c r="AB317" s="168">
        <f t="shared" si="278"/>
        <v>4.4921874999999944E-2</v>
      </c>
      <c r="AC317" s="177" t="s">
        <v>3312</v>
      </c>
      <c r="AD317" s="176" t="s">
        <v>556</v>
      </c>
      <c r="AE317" s="89">
        <v>44204</v>
      </c>
      <c r="AF317" s="88">
        <v>44293</v>
      </c>
      <c r="AG317" s="34">
        <f t="shared" si="275"/>
        <v>89</v>
      </c>
      <c r="AH317" s="42" t="s">
        <v>1790</v>
      </c>
    </row>
    <row r="318" spans="1:44" s="288" customFormat="1">
      <c r="A318" s="151" t="s">
        <v>2445</v>
      </c>
      <c r="B318" s="84">
        <v>34</v>
      </c>
      <c r="C318" s="84">
        <v>189</v>
      </c>
      <c r="D318" s="85">
        <v>-9</v>
      </c>
      <c r="E318" s="85">
        <v>-1</v>
      </c>
      <c r="F318" s="7">
        <v>5.3</v>
      </c>
      <c r="G318" s="42" t="s">
        <v>1714</v>
      </c>
      <c r="H318" s="31" t="s">
        <v>2191</v>
      </c>
      <c r="I318" s="176" t="s">
        <v>3581</v>
      </c>
      <c r="J318" s="77">
        <v>57.57</v>
      </c>
      <c r="K318" s="77">
        <v>60.12</v>
      </c>
      <c r="L318" s="77">
        <v>3.31</v>
      </c>
      <c r="M318" s="365"/>
      <c r="N318" s="77">
        <f t="shared" si="276"/>
        <v>121</v>
      </c>
      <c r="O318" s="343"/>
      <c r="P318" s="195"/>
      <c r="Q318" s="326"/>
      <c r="R318" s="111"/>
      <c r="S318" s="51"/>
      <c r="T318" s="339"/>
      <c r="U318" s="329"/>
      <c r="V318" s="371">
        <v>0.01</v>
      </c>
      <c r="W318" s="205">
        <v>1.5</v>
      </c>
      <c r="X318" s="100">
        <f t="shared" si="274"/>
        <v>4.4977511244377807E-2</v>
      </c>
      <c r="Y318" s="175">
        <v>33.35</v>
      </c>
      <c r="Z318" s="68">
        <v>29.3</v>
      </c>
      <c r="AA318" s="172">
        <f>Y318-Z318</f>
        <v>4.0500000000000007</v>
      </c>
      <c r="AB318" s="168">
        <f>AA318/Z318</f>
        <v>0.13822525597269628</v>
      </c>
      <c r="AC318" s="177" t="s">
        <v>5071</v>
      </c>
      <c r="AD318" s="176" t="s">
        <v>3581</v>
      </c>
      <c r="AE318" s="89">
        <v>44201</v>
      </c>
      <c r="AF318" s="88">
        <v>44287</v>
      </c>
      <c r="AG318" s="34">
        <f>AF318-AE318</f>
        <v>86</v>
      </c>
      <c r="AH318" s="42" t="s">
        <v>1790</v>
      </c>
      <c r="AI318" s="173"/>
    </row>
    <row r="319" spans="1:44" s="288" customFormat="1">
      <c r="A319" s="151" t="s">
        <v>2445</v>
      </c>
      <c r="B319" s="84">
        <v>34</v>
      </c>
      <c r="C319" s="84">
        <v>189</v>
      </c>
      <c r="D319" s="85">
        <v>-9</v>
      </c>
      <c r="E319" s="85">
        <v>-1</v>
      </c>
      <c r="F319" s="7">
        <v>5.3</v>
      </c>
      <c r="G319" s="42" t="s">
        <v>1714</v>
      </c>
      <c r="H319" s="31" t="s">
        <v>2191</v>
      </c>
      <c r="I319" s="176" t="s">
        <v>3581</v>
      </c>
      <c r="J319" s="77">
        <v>57.57</v>
      </c>
      <c r="K319" s="77">
        <v>60.12</v>
      </c>
      <c r="L319" s="77">
        <v>3.31</v>
      </c>
      <c r="M319" s="365"/>
      <c r="N319" s="77">
        <f t="shared" si="276"/>
        <v>121</v>
      </c>
      <c r="O319" s="343"/>
      <c r="P319" s="195"/>
      <c r="Q319" s="326"/>
      <c r="R319" s="111"/>
      <c r="S319" s="51"/>
      <c r="T319" s="339"/>
      <c r="U319" s="329"/>
      <c r="V319" s="371">
        <v>0.01</v>
      </c>
      <c r="W319" s="205">
        <v>1.5</v>
      </c>
      <c r="X319" s="100">
        <f t="shared" si="274"/>
        <v>4.4977511244377807E-2</v>
      </c>
      <c r="Y319" s="175">
        <v>33.35</v>
      </c>
      <c r="Z319" s="68">
        <v>28.7</v>
      </c>
      <c r="AA319" s="172">
        <f>Y319-Z319</f>
        <v>4.6500000000000021</v>
      </c>
      <c r="AB319" s="168">
        <f>AA319/Z319</f>
        <v>0.16202090592334503</v>
      </c>
      <c r="AC319" s="177" t="s">
        <v>2628</v>
      </c>
      <c r="AD319" s="176" t="s">
        <v>3581</v>
      </c>
      <c r="AE319" s="89">
        <v>44201</v>
      </c>
      <c r="AF319" s="88">
        <v>44287</v>
      </c>
      <c r="AG319" s="34">
        <f>AF319-AE319</f>
        <v>86</v>
      </c>
      <c r="AH319" s="42" t="s">
        <v>1790</v>
      </c>
      <c r="AI319" s="173"/>
    </row>
    <row r="320" spans="1:44" s="288" customFormat="1">
      <c r="A320" s="135" t="s">
        <v>3586</v>
      </c>
      <c r="B320" s="85">
        <v>-10</v>
      </c>
      <c r="C320" s="85">
        <v>-10</v>
      </c>
      <c r="D320" s="85">
        <v>-3</v>
      </c>
      <c r="E320" s="84">
        <v>21</v>
      </c>
      <c r="F320" s="59">
        <v>21.7</v>
      </c>
      <c r="G320" s="42" t="s">
        <v>1712</v>
      </c>
      <c r="H320" s="31" t="s">
        <v>2191</v>
      </c>
      <c r="I320" s="176" t="s">
        <v>76</v>
      </c>
      <c r="J320" s="77">
        <v>66.98</v>
      </c>
      <c r="K320" s="371">
        <v>51.61</v>
      </c>
      <c r="L320" s="371">
        <v>7.38</v>
      </c>
      <c r="M320" s="365"/>
      <c r="N320" s="77">
        <f>K320+J320+L320</f>
        <v>125.97</v>
      </c>
      <c r="O320" s="343"/>
      <c r="P320" s="195"/>
      <c r="Q320" s="326"/>
      <c r="R320" s="111"/>
      <c r="S320" s="51"/>
      <c r="T320" s="339"/>
      <c r="U320" s="329"/>
      <c r="V320" s="371">
        <v>0.52</v>
      </c>
      <c r="W320" s="205">
        <v>4.2</v>
      </c>
      <c r="X320" s="59">
        <f t="shared" si="274"/>
        <v>5.4054054054054057E-2</v>
      </c>
      <c r="Y320" s="175">
        <v>77.7</v>
      </c>
      <c r="Z320" s="68">
        <v>75.599999999999994</v>
      </c>
      <c r="AA320" s="172">
        <f>Y320-Z320</f>
        <v>2.1000000000000085</v>
      </c>
      <c r="AB320" s="168">
        <f>AA320/Z320</f>
        <v>2.7777777777777894E-2</v>
      </c>
      <c r="AC320" s="177" t="s">
        <v>4600</v>
      </c>
      <c r="AD320" s="176" t="s">
        <v>76</v>
      </c>
      <c r="AE320" s="89">
        <v>44278</v>
      </c>
      <c r="AF320" s="88">
        <v>44287</v>
      </c>
      <c r="AG320" s="34">
        <f t="shared" ref="AG320:AG329" si="279">AF320-AE320</f>
        <v>9</v>
      </c>
      <c r="AH320" s="42" t="s">
        <v>1790</v>
      </c>
      <c r="AI320" s="200"/>
      <c r="AJ320" s="199"/>
    </row>
    <row r="321" spans="1:35" s="288" customFormat="1">
      <c r="A321" s="151" t="s">
        <v>2557</v>
      </c>
      <c r="B321" s="84">
        <v>121</v>
      </c>
      <c r="C321" s="84">
        <v>196</v>
      </c>
      <c r="D321" s="84">
        <v>0</v>
      </c>
      <c r="E321" s="84">
        <v>0</v>
      </c>
      <c r="F321" s="7">
        <v>7.48</v>
      </c>
      <c r="G321" s="42" t="s">
        <v>5080</v>
      </c>
      <c r="H321" s="31" t="s">
        <v>2191</v>
      </c>
      <c r="I321" s="163" t="s">
        <v>230</v>
      </c>
      <c r="J321" s="371">
        <v>55.28</v>
      </c>
      <c r="K321" s="77">
        <v>41.5</v>
      </c>
      <c r="L321" s="77">
        <v>19.5</v>
      </c>
      <c r="M321" s="365"/>
      <c r="N321" s="77">
        <f t="shared" ref="N321:N329" si="280">K321+J321+L321</f>
        <v>116.28</v>
      </c>
      <c r="O321" s="343"/>
      <c r="P321" s="195"/>
      <c r="Q321" s="326"/>
      <c r="R321" s="111">
        <v>5</v>
      </c>
      <c r="S321" s="51"/>
      <c r="T321" s="339"/>
      <c r="U321" s="329"/>
      <c r="V321" s="371">
        <v>2.1800000000000002</v>
      </c>
      <c r="W321" s="68">
        <v>1.3</v>
      </c>
      <c r="X321" s="40">
        <f t="shared" si="274"/>
        <v>1.9145802650957288E-2</v>
      </c>
      <c r="Y321" s="175">
        <v>67.900000000000006</v>
      </c>
      <c r="Z321" s="68">
        <v>63.9</v>
      </c>
      <c r="AA321" s="172">
        <f t="shared" ref="AA321:AA329" si="281">Y321-Z321</f>
        <v>4.0000000000000071</v>
      </c>
      <c r="AB321" s="168">
        <f t="shared" ref="AB321:AB329" si="282">AA321/Z321</f>
        <v>6.2597809076682429E-2</v>
      </c>
      <c r="AC321" s="177" t="s">
        <v>2909</v>
      </c>
      <c r="AD321" s="163" t="s">
        <v>230</v>
      </c>
      <c r="AE321" s="89">
        <v>44267</v>
      </c>
      <c r="AF321" s="88">
        <v>44287</v>
      </c>
      <c r="AG321" s="34">
        <f t="shared" si="279"/>
        <v>20</v>
      </c>
      <c r="AH321" s="42" t="s">
        <v>3434</v>
      </c>
    </row>
    <row r="322" spans="1:35" s="288" customFormat="1">
      <c r="A322" s="151" t="s">
        <v>2557</v>
      </c>
      <c r="B322" s="84">
        <v>121</v>
      </c>
      <c r="C322" s="84">
        <v>196</v>
      </c>
      <c r="D322" s="84">
        <v>0</v>
      </c>
      <c r="E322" s="84">
        <v>0</v>
      </c>
      <c r="F322" s="7">
        <v>7.48</v>
      </c>
      <c r="G322" s="42" t="s">
        <v>5080</v>
      </c>
      <c r="H322" s="31" t="s">
        <v>2191</v>
      </c>
      <c r="I322" s="163" t="s">
        <v>230</v>
      </c>
      <c r="J322" s="371">
        <v>55.28</v>
      </c>
      <c r="K322" s="77">
        <v>41.5</v>
      </c>
      <c r="L322" s="77">
        <v>19.5</v>
      </c>
      <c r="M322" s="365"/>
      <c r="N322" s="77">
        <f t="shared" si="280"/>
        <v>116.28</v>
      </c>
      <c r="O322" s="343"/>
      <c r="P322" s="195"/>
      <c r="Q322" s="326"/>
      <c r="R322" s="111"/>
      <c r="S322" s="51"/>
      <c r="T322" s="339"/>
      <c r="U322" s="329"/>
      <c r="V322" s="371">
        <v>2.1800000000000002</v>
      </c>
      <c r="W322" s="68">
        <v>1.3</v>
      </c>
      <c r="X322" s="40">
        <f t="shared" si="274"/>
        <v>1.9145802650957288E-2</v>
      </c>
      <c r="Y322" s="175">
        <v>67.900000000000006</v>
      </c>
      <c r="Z322" s="68">
        <v>63.9</v>
      </c>
      <c r="AA322" s="172">
        <f t="shared" si="281"/>
        <v>4.0000000000000071</v>
      </c>
      <c r="AB322" s="168">
        <f t="shared" si="282"/>
        <v>6.2597809076682429E-2</v>
      </c>
      <c r="AC322" s="177" t="s">
        <v>2909</v>
      </c>
      <c r="AD322" s="163" t="s">
        <v>230</v>
      </c>
      <c r="AE322" s="89">
        <v>44267</v>
      </c>
      <c r="AF322" s="88">
        <v>44287</v>
      </c>
      <c r="AG322" s="34">
        <f t="shared" si="279"/>
        <v>20</v>
      </c>
      <c r="AH322" s="42" t="s">
        <v>3434</v>
      </c>
    </row>
    <row r="323" spans="1:35" s="288" customFormat="1">
      <c r="A323" s="151" t="s">
        <v>2557</v>
      </c>
      <c r="B323" s="84">
        <v>121</v>
      </c>
      <c r="C323" s="84">
        <v>196</v>
      </c>
      <c r="D323" s="84">
        <v>0</v>
      </c>
      <c r="E323" s="84">
        <v>0</v>
      </c>
      <c r="F323" s="7">
        <v>7.48</v>
      </c>
      <c r="G323" s="42" t="s">
        <v>5080</v>
      </c>
      <c r="H323" s="31" t="s">
        <v>2191</v>
      </c>
      <c r="I323" s="163" t="s">
        <v>230</v>
      </c>
      <c r="J323" s="371">
        <v>55.28</v>
      </c>
      <c r="K323" s="77">
        <v>41.5</v>
      </c>
      <c r="L323" s="77">
        <v>19.5</v>
      </c>
      <c r="M323" s="365"/>
      <c r="N323" s="77">
        <f t="shared" si="280"/>
        <v>116.28</v>
      </c>
      <c r="O323" s="343"/>
      <c r="P323" s="195"/>
      <c r="Q323" s="326"/>
      <c r="R323" s="111"/>
      <c r="S323" s="51"/>
      <c r="T323" s="339"/>
      <c r="U323" s="329"/>
      <c r="V323" s="371">
        <v>2.1800000000000002</v>
      </c>
      <c r="W323" s="68">
        <v>1.3</v>
      </c>
      <c r="X323" s="40">
        <f t="shared" si="274"/>
        <v>1.9145802650957288E-2</v>
      </c>
      <c r="Y323" s="175">
        <v>67.900000000000006</v>
      </c>
      <c r="Z323" s="68">
        <v>62.3</v>
      </c>
      <c r="AA323" s="172">
        <f t="shared" si="281"/>
        <v>5.6000000000000085</v>
      </c>
      <c r="AB323" s="168">
        <f t="shared" si="282"/>
        <v>8.9887640449438339E-2</v>
      </c>
      <c r="AC323" s="177" t="s">
        <v>5072</v>
      </c>
      <c r="AD323" s="163" t="s">
        <v>230</v>
      </c>
      <c r="AE323" s="89">
        <v>44266</v>
      </c>
      <c r="AF323" s="88">
        <v>44287</v>
      </c>
      <c r="AG323" s="34">
        <f t="shared" si="279"/>
        <v>21</v>
      </c>
      <c r="AH323" s="42" t="s">
        <v>3434</v>
      </c>
    </row>
    <row r="324" spans="1:35" s="288" customFormat="1">
      <c r="A324" s="151" t="s">
        <v>2557</v>
      </c>
      <c r="B324" s="84">
        <v>121</v>
      </c>
      <c r="C324" s="84">
        <v>196</v>
      </c>
      <c r="D324" s="84">
        <v>0</v>
      </c>
      <c r="E324" s="84">
        <v>0</v>
      </c>
      <c r="F324" s="7">
        <v>7.48</v>
      </c>
      <c r="G324" s="42" t="s">
        <v>5080</v>
      </c>
      <c r="H324" s="31" t="s">
        <v>2191</v>
      </c>
      <c r="I324" s="163" t="s">
        <v>230</v>
      </c>
      <c r="J324" s="371">
        <v>55.28</v>
      </c>
      <c r="K324" s="77">
        <v>41.5</v>
      </c>
      <c r="L324" s="77">
        <v>19.5</v>
      </c>
      <c r="M324" s="365"/>
      <c r="N324" s="77">
        <f t="shared" si="280"/>
        <v>116.28</v>
      </c>
      <c r="O324" s="343"/>
      <c r="P324" s="195"/>
      <c r="Q324" s="326"/>
      <c r="R324" s="111"/>
      <c r="S324" s="51"/>
      <c r="T324" s="339"/>
      <c r="U324" s="329"/>
      <c r="V324" s="371">
        <v>2.1800000000000002</v>
      </c>
      <c r="W324" s="68">
        <v>1.3</v>
      </c>
      <c r="X324" s="40">
        <f t="shared" si="274"/>
        <v>1.9145802650957288E-2</v>
      </c>
      <c r="Y324" s="175">
        <v>67.900000000000006</v>
      </c>
      <c r="Z324" s="68">
        <v>65.5</v>
      </c>
      <c r="AA324" s="172">
        <f t="shared" si="281"/>
        <v>2.4000000000000057</v>
      </c>
      <c r="AB324" s="168">
        <f t="shared" si="282"/>
        <v>3.6641221374045886E-2</v>
      </c>
      <c r="AC324" s="177" t="s">
        <v>3331</v>
      </c>
      <c r="AD324" s="163" t="s">
        <v>230</v>
      </c>
      <c r="AE324" s="89">
        <v>44258</v>
      </c>
      <c r="AF324" s="88">
        <v>44287</v>
      </c>
      <c r="AG324" s="34">
        <f t="shared" si="279"/>
        <v>29</v>
      </c>
      <c r="AH324" s="42" t="s">
        <v>3434</v>
      </c>
    </row>
    <row r="325" spans="1:35" s="288" customFormat="1">
      <c r="A325" s="151" t="s">
        <v>2557</v>
      </c>
      <c r="B325" s="84">
        <v>121</v>
      </c>
      <c r="C325" s="84">
        <v>196</v>
      </c>
      <c r="D325" s="84">
        <v>0</v>
      </c>
      <c r="E325" s="84">
        <v>0</v>
      </c>
      <c r="F325" s="7">
        <v>7.48</v>
      </c>
      <c r="G325" s="42" t="s">
        <v>5080</v>
      </c>
      <c r="H325" s="31" t="s">
        <v>2191</v>
      </c>
      <c r="I325" s="163" t="s">
        <v>230</v>
      </c>
      <c r="J325" s="371">
        <v>55.28</v>
      </c>
      <c r="K325" s="77">
        <v>41.5</v>
      </c>
      <c r="L325" s="77">
        <v>19.5</v>
      </c>
      <c r="M325" s="365"/>
      <c r="N325" s="77">
        <f t="shared" si="280"/>
        <v>116.28</v>
      </c>
      <c r="O325" s="343"/>
      <c r="P325" s="195"/>
      <c r="Q325" s="326"/>
      <c r="R325" s="111"/>
      <c r="S325" s="51"/>
      <c r="T325" s="339"/>
      <c r="U325" s="329"/>
      <c r="V325" s="371">
        <v>2.1800000000000002</v>
      </c>
      <c r="W325" s="68">
        <v>1.3</v>
      </c>
      <c r="X325" s="40">
        <f t="shared" si="274"/>
        <v>1.9145802650957288E-2</v>
      </c>
      <c r="Y325" s="175">
        <v>67.900000000000006</v>
      </c>
      <c r="Z325" s="68">
        <v>66.8</v>
      </c>
      <c r="AA325" s="172">
        <f t="shared" si="281"/>
        <v>1.1000000000000085</v>
      </c>
      <c r="AB325" s="168">
        <f t="shared" si="282"/>
        <v>1.6467065868263603E-2</v>
      </c>
      <c r="AC325" s="177" t="s">
        <v>5073</v>
      </c>
      <c r="AD325" s="163" t="s">
        <v>230</v>
      </c>
      <c r="AE325" s="89">
        <v>44257</v>
      </c>
      <c r="AF325" s="88">
        <v>44287</v>
      </c>
      <c r="AG325" s="34">
        <f t="shared" si="279"/>
        <v>30</v>
      </c>
      <c r="AH325" s="42" t="s">
        <v>3434</v>
      </c>
    </row>
    <row r="326" spans="1:35" s="288" customFormat="1">
      <c r="A326" s="151" t="s">
        <v>2557</v>
      </c>
      <c r="B326" s="84">
        <v>121</v>
      </c>
      <c r="C326" s="84">
        <v>196</v>
      </c>
      <c r="D326" s="84">
        <v>0</v>
      </c>
      <c r="E326" s="84">
        <v>0</v>
      </c>
      <c r="F326" s="7">
        <v>7.48</v>
      </c>
      <c r="G326" s="42" t="s">
        <v>5080</v>
      </c>
      <c r="H326" s="31" t="s">
        <v>2191</v>
      </c>
      <c r="I326" s="163" t="s">
        <v>230</v>
      </c>
      <c r="J326" s="371">
        <v>55.28</v>
      </c>
      <c r="K326" s="77">
        <v>41.5</v>
      </c>
      <c r="L326" s="77">
        <v>19.5</v>
      </c>
      <c r="M326" s="365"/>
      <c r="N326" s="77">
        <f t="shared" si="280"/>
        <v>116.28</v>
      </c>
      <c r="O326" s="343"/>
      <c r="P326" s="195"/>
      <c r="Q326" s="326"/>
      <c r="R326" s="111"/>
      <c r="S326" s="51"/>
      <c r="T326" s="339"/>
      <c r="U326" s="329"/>
      <c r="V326" s="371">
        <v>2.1800000000000002</v>
      </c>
      <c r="W326" s="68">
        <v>1.3</v>
      </c>
      <c r="X326" s="40">
        <f t="shared" si="274"/>
        <v>1.9145802650957288E-2</v>
      </c>
      <c r="Y326" s="175">
        <v>67.900000000000006</v>
      </c>
      <c r="Z326" s="68">
        <v>66.599999999999994</v>
      </c>
      <c r="AA326" s="172">
        <f t="shared" si="281"/>
        <v>1.3000000000000114</v>
      </c>
      <c r="AB326" s="168">
        <f t="shared" si="282"/>
        <v>1.951951951951969E-2</v>
      </c>
      <c r="AC326" s="177" t="s">
        <v>5152</v>
      </c>
      <c r="AD326" s="163" t="s">
        <v>230</v>
      </c>
      <c r="AE326" s="89">
        <v>44245</v>
      </c>
      <c r="AF326" s="88">
        <v>44287</v>
      </c>
      <c r="AG326" s="34">
        <f t="shared" si="279"/>
        <v>42</v>
      </c>
      <c r="AH326" s="42" t="s">
        <v>3434</v>
      </c>
    </row>
    <row r="327" spans="1:35" s="288" customFormat="1">
      <c r="A327" s="151" t="s">
        <v>2557</v>
      </c>
      <c r="B327" s="84">
        <v>121</v>
      </c>
      <c r="C327" s="84">
        <v>196</v>
      </c>
      <c r="D327" s="84">
        <v>0</v>
      </c>
      <c r="E327" s="84">
        <v>0</v>
      </c>
      <c r="F327" s="7">
        <v>7.48</v>
      </c>
      <c r="G327" s="42" t="s">
        <v>5080</v>
      </c>
      <c r="H327" s="31" t="s">
        <v>2191</v>
      </c>
      <c r="I327" s="163" t="s">
        <v>230</v>
      </c>
      <c r="J327" s="371">
        <v>55.28</v>
      </c>
      <c r="K327" s="77">
        <v>41.5</v>
      </c>
      <c r="L327" s="77">
        <v>19.5</v>
      </c>
      <c r="M327" s="365"/>
      <c r="N327" s="77">
        <f t="shared" si="280"/>
        <v>116.28</v>
      </c>
      <c r="O327" s="343"/>
      <c r="P327" s="195"/>
      <c r="Q327" s="326"/>
      <c r="R327" s="111"/>
      <c r="S327" s="51"/>
      <c r="T327" s="339"/>
      <c r="U327" s="329"/>
      <c r="V327" s="371">
        <v>2.1800000000000002</v>
      </c>
      <c r="W327" s="68">
        <v>1.3</v>
      </c>
      <c r="X327" s="40">
        <f t="shared" si="274"/>
        <v>1.9145802650957288E-2</v>
      </c>
      <c r="Y327" s="175">
        <v>67.900000000000006</v>
      </c>
      <c r="Z327" s="68">
        <v>70.400000000000006</v>
      </c>
      <c r="AA327" s="172">
        <f t="shared" si="281"/>
        <v>-2.5</v>
      </c>
      <c r="AB327" s="174">
        <f t="shared" si="282"/>
        <v>-3.5511363636363633E-2</v>
      </c>
      <c r="AC327" s="178" t="s">
        <v>5074</v>
      </c>
      <c r="AD327" s="163" t="s">
        <v>230</v>
      </c>
      <c r="AE327" s="89">
        <v>44217</v>
      </c>
      <c r="AF327" s="88">
        <v>44287</v>
      </c>
      <c r="AG327" s="34">
        <f t="shared" si="279"/>
        <v>70</v>
      </c>
      <c r="AH327" s="42" t="s">
        <v>3434</v>
      </c>
    </row>
    <row r="328" spans="1:35" s="288" customFormat="1">
      <c r="A328" s="151" t="s">
        <v>2557</v>
      </c>
      <c r="B328" s="84">
        <v>121</v>
      </c>
      <c r="C328" s="84">
        <v>196</v>
      </c>
      <c r="D328" s="84">
        <v>0</v>
      </c>
      <c r="E328" s="84">
        <v>0</v>
      </c>
      <c r="F328" s="7">
        <v>7.48</v>
      </c>
      <c r="G328" s="42" t="s">
        <v>5080</v>
      </c>
      <c r="H328" s="31" t="s">
        <v>2191</v>
      </c>
      <c r="I328" s="163" t="s">
        <v>230</v>
      </c>
      <c r="J328" s="371">
        <v>55.28</v>
      </c>
      <c r="K328" s="77">
        <v>41.5</v>
      </c>
      <c r="L328" s="77">
        <v>19.5</v>
      </c>
      <c r="M328" s="365"/>
      <c r="N328" s="77">
        <f t="shared" si="280"/>
        <v>116.28</v>
      </c>
      <c r="O328" s="343"/>
      <c r="P328" s="195"/>
      <c r="Q328" s="326"/>
      <c r="R328" s="111"/>
      <c r="S328" s="51"/>
      <c r="T328" s="339"/>
      <c r="U328" s="329"/>
      <c r="V328" s="371">
        <v>2.1800000000000002</v>
      </c>
      <c r="W328" s="68">
        <v>1.3</v>
      </c>
      <c r="X328" s="40">
        <f t="shared" si="274"/>
        <v>1.9117647058823531E-2</v>
      </c>
      <c r="Y328" s="175">
        <v>68</v>
      </c>
      <c r="Z328" s="68">
        <v>74.7</v>
      </c>
      <c r="AA328" s="172">
        <f t="shared" si="281"/>
        <v>-6.7000000000000028</v>
      </c>
      <c r="AB328" s="174">
        <f t="shared" si="282"/>
        <v>-8.9692101740294544E-2</v>
      </c>
      <c r="AC328" s="178" t="s">
        <v>5075</v>
      </c>
      <c r="AD328" s="163" t="s">
        <v>230</v>
      </c>
      <c r="AE328" s="89">
        <v>44211</v>
      </c>
      <c r="AF328" s="88">
        <v>44287</v>
      </c>
      <c r="AG328" s="34">
        <f t="shared" si="279"/>
        <v>76</v>
      </c>
      <c r="AH328" s="42" t="s">
        <v>3434</v>
      </c>
    </row>
    <row r="329" spans="1:35" s="288" customFormat="1">
      <c r="A329" s="135" t="s">
        <v>2536</v>
      </c>
      <c r="B329" s="84">
        <v>849</v>
      </c>
      <c r="C329" s="84">
        <v>654</v>
      </c>
      <c r="D329" s="85">
        <v>-1</v>
      </c>
      <c r="E329" s="84">
        <v>75</v>
      </c>
      <c r="F329" s="59">
        <v>24.22</v>
      </c>
      <c r="G329" s="58" t="s">
        <v>3305</v>
      </c>
      <c r="H329" s="31" t="s">
        <v>2191</v>
      </c>
      <c r="I329" s="176" t="s">
        <v>323</v>
      </c>
      <c r="J329" s="371">
        <v>48.1</v>
      </c>
      <c r="K329" s="77">
        <v>8.06</v>
      </c>
      <c r="L329" s="371">
        <v>31.97</v>
      </c>
      <c r="M329" s="365"/>
      <c r="N329" s="365">
        <f t="shared" si="280"/>
        <v>88.13</v>
      </c>
      <c r="O329" s="343"/>
      <c r="P329" s="195"/>
      <c r="Q329" s="326"/>
      <c r="R329" s="111"/>
      <c r="S329" s="51"/>
      <c r="T329" s="339"/>
      <c r="U329" s="329"/>
      <c r="V329" s="371">
        <v>6</v>
      </c>
      <c r="W329" s="112">
        <v>0</v>
      </c>
      <c r="X329" s="100">
        <f t="shared" si="274"/>
        <v>0</v>
      </c>
      <c r="Y329" s="171">
        <v>179.5</v>
      </c>
      <c r="Z329" s="165">
        <v>173</v>
      </c>
      <c r="AA329" s="172">
        <f t="shared" si="281"/>
        <v>6.5</v>
      </c>
      <c r="AB329" s="168">
        <f t="shared" si="282"/>
        <v>3.7572254335260118E-2</v>
      </c>
      <c r="AC329" s="177" t="s">
        <v>4582</v>
      </c>
      <c r="AD329" s="176" t="s">
        <v>323</v>
      </c>
      <c r="AE329" s="89">
        <v>44259</v>
      </c>
      <c r="AF329" s="88">
        <v>44287</v>
      </c>
      <c r="AG329" s="34">
        <f t="shared" si="279"/>
        <v>28</v>
      </c>
      <c r="AH329" s="42" t="s">
        <v>1790</v>
      </c>
    </row>
    <row r="330" spans="1:35" s="288" customFormat="1">
      <c r="A330" s="135" t="s">
        <v>2738</v>
      </c>
      <c r="B330" s="84">
        <v>73</v>
      </c>
      <c r="C330" s="84">
        <v>76</v>
      </c>
      <c r="D330" s="85">
        <v>-7</v>
      </c>
      <c r="E330" s="84">
        <v>23</v>
      </c>
      <c r="F330" s="59">
        <v>21.91</v>
      </c>
      <c r="G330" s="58" t="s">
        <v>1693</v>
      </c>
      <c r="H330" s="218" t="s">
        <v>4925</v>
      </c>
      <c r="I330" s="176" t="s">
        <v>483</v>
      </c>
      <c r="J330" s="77">
        <v>44.97</v>
      </c>
      <c r="K330" s="77">
        <v>20.73</v>
      </c>
      <c r="L330" s="371">
        <v>22</v>
      </c>
      <c r="M330" s="365"/>
      <c r="N330" s="389">
        <f>K330+J330+L330</f>
        <v>87.7</v>
      </c>
      <c r="O330" s="343"/>
      <c r="P330" s="195"/>
      <c r="Q330" s="326"/>
      <c r="R330" s="111"/>
      <c r="S330" s="51"/>
      <c r="T330" s="339"/>
      <c r="U330" s="329"/>
      <c r="V330" s="371">
        <v>2.4500000000000002</v>
      </c>
      <c r="W330" s="112">
        <v>1.7</v>
      </c>
      <c r="X330" s="100">
        <f>W330/Y330</f>
        <v>1.0862619808306708E-2</v>
      </c>
      <c r="Y330" s="171">
        <v>156.5</v>
      </c>
      <c r="Z330" s="165">
        <v>154.5</v>
      </c>
      <c r="AA330" s="172">
        <f>Y330-Z330</f>
        <v>2</v>
      </c>
      <c r="AB330" s="168">
        <f>AA330/Z330</f>
        <v>1.2944983818770227E-2</v>
      </c>
      <c r="AC330" s="177" t="s">
        <v>5076</v>
      </c>
      <c r="AD330" s="176" t="s">
        <v>483</v>
      </c>
      <c r="AE330" s="89">
        <v>44286</v>
      </c>
      <c r="AF330" s="88">
        <v>44287</v>
      </c>
      <c r="AG330" s="34">
        <f>AF330-AE330</f>
        <v>1</v>
      </c>
      <c r="AH330" s="42" t="s">
        <v>1790</v>
      </c>
    </row>
    <row r="331" spans="1:35" s="288" customFormat="1">
      <c r="A331" s="135" t="s">
        <v>2738</v>
      </c>
      <c r="B331" s="84">
        <v>73</v>
      </c>
      <c r="C331" s="84">
        <v>76</v>
      </c>
      <c r="D331" s="85">
        <v>-7</v>
      </c>
      <c r="E331" s="84">
        <v>23</v>
      </c>
      <c r="F331" s="59">
        <v>21.91</v>
      </c>
      <c r="G331" s="58" t="s">
        <v>1693</v>
      </c>
      <c r="H331" s="218" t="s">
        <v>4925</v>
      </c>
      <c r="I331" s="176" t="s">
        <v>483</v>
      </c>
      <c r="J331" s="77">
        <v>44.97</v>
      </c>
      <c r="K331" s="77">
        <v>20.73</v>
      </c>
      <c r="L331" s="371">
        <v>22</v>
      </c>
      <c r="M331" s="365"/>
      <c r="N331" s="389">
        <f>K331+J331+L331</f>
        <v>87.7</v>
      </c>
      <c r="O331" s="343"/>
      <c r="P331" s="195"/>
      <c r="Q331" s="326"/>
      <c r="R331" s="111"/>
      <c r="S331" s="51"/>
      <c r="T331" s="339"/>
      <c r="U331" s="329"/>
      <c r="V331" s="371">
        <v>2.4500000000000002</v>
      </c>
      <c r="W331" s="112">
        <v>1.7</v>
      </c>
      <c r="X331" s="100">
        <f>W331/Y331</f>
        <v>1.0862619808306708E-2</v>
      </c>
      <c r="Y331" s="171">
        <v>156.5</v>
      </c>
      <c r="Z331" s="165">
        <v>154.5</v>
      </c>
      <c r="AA331" s="172">
        <f>Y331-Z331</f>
        <v>2</v>
      </c>
      <c r="AB331" s="168">
        <f>AA331/Z331</f>
        <v>1.2944983818770227E-2</v>
      </c>
      <c r="AC331" s="177" t="s">
        <v>5076</v>
      </c>
      <c r="AD331" s="176" t="s">
        <v>483</v>
      </c>
      <c r="AE331" s="89">
        <v>44286</v>
      </c>
      <c r="AF331" s="88">
        <v>44287</v>
      </c>
      <c r="AG331" s="34">
        <f>AF331-AE331</f>
        <v>1</v>
      </c>
      <c r="AH331" s="42" t="s">
        <v>1790</v>
      </c>
    </row>
    <row r="332" spans="1:35" s="288" customFormat="1">
      <c r="A332" s="151"/>
      <c r="B332" s="84"/>
      <c r="C332" s="85"/>
      <c r="D332" s="84"/>
      <c r="E332" s="84"/>
      <c r="F332" s="7"/>
      <c r="G332" s="42"/>
      <c r="H332" s="31"/>
      <c r="I332" s="176"/>
      <c r="J332" s="371"/>
      <c r="K332" s="77"/>
      <c r="L332" s="77"/>
      <c r="M332" s="365"/>
      <c r="N332" s="365"/>
      <c r="O332" s="343"/>
      <c r="P332" s="195"/>
      <c r="Q332" s="326"/>
      <c r="R332" s="111"/>
      <c r="S332" s="51"/>
      <c r="T332" s="339"/>
      <c r="U332" s="329"/>
      <c r="V332" s="371"/>
      <c r="W332" s="205"/>
      <c r="X332" s="100"/>
      <c r="Y332" s="171">
        <f>SUM(Y271:Y331)</f>
        <v>4124</v>
      </c>
      <c r="Z332" s="68">
        <f>SUM(Z271:Z331)</f>
        <v>3941</v>
      </c>
      <c r="AA332" s="172">
        <f>SUM(AA271:AA331)</f>
        <v>183</v>
      </c>
      <c r="AB332" s="168">
        <f>AA332/Z332</f>
        <v>4.6434914996193857E-2</v>
      </c>
      <c r="AC332" s="177"/>
      <c r="AD332" s="163">
        <f>Y332*(0.001425*0.65)+Y332*0.003+Z332*(0.001425*0.65)</f>
        <v>19.84220625</v>
      </c>
      <c r="AE332" s="7">
        <f>AA332-AD332</f>
        <v>163.15779375</v>
      </c>
      <c r="AF332" s="88"/>
      <c r="AG332" s="124"/>
      <c r="AH332" s="42"/>
    </row>
    <row r="333" spans="1:35" s="297" customFormat="1">
      <c r="A333" s="135"/>
      <c r="B333" s="96"/>
      <c r="C333" s="96"/>
      <c r="D333" s="96"/>
      <c r="E333" s="96"/>
      <c r="F333" s="9"/>
      <c r="G333" s="26"/>
      <c r="H333" s="56"/>
      <c r="I333" s="1"/>
      <c r="J333" s="364"/>
      <c r="K333" s="364"/>
      <c r="L333" s="364"/>
      <c r="M333" s="364"/>
      <c r="N333" s="364"/>
      <c r="O333" s="343"/>
      <c r="P333" s="195"/>
      <c r="Q333" s="328"/>
      <c r="R333" s="337"/>
      <c r="S333" s="51"/>
      <c r="T333" s="339"/>
      <c r="U333" s="329"/>
      <c r="V333" s="377"/>
      <c r="W333" s="15"/>
      <c r="X333" s="29"/>
      <c r="Y333" s="29"/>
      <c r="Z333" s="71"/>
      <c r="AA333" s="15"/>
      <c r="AB333" s="22"/>
      <c r="AC333" s="26"/>
      <c r="AD333" s="257">
        <f>Y332*(0.001425*0.28)+Y332*0.003+Z332*(0.001425*0.28)</f>
        <v>15.589935000000001</v>
      </c>
      <c r="AE333" s="75"/>
      <c r="AF333" s="76"/>
      <c r="AG333" s="33"/>
      <c r="AH333" s="47"/>
      <c r="AI333" s="173"/>
    </row>
    <row r="334" spans="1:35" s="297" customFormat="1">
      <c r="A334" s="135"/>
      <c r="B334" s="96"/>
      <c r="C334" s="96"/>
      <c r="D334" s="96"/>
      <c r="E334" s="96"/>
      <c r="F334" s="9"/>
      <c r="G334" s="26"/>
      <c r="H334" s="56"/>
      <c r="I334" s="1"/>
      <c r="J334" s="364"/>
      <c r="K334" s="364"/>
      <c r="L334" s="364"/>
      <c r="M334" s="364"/>
      <c r="N334" s="364"/>
      <c r="O334" s="343"/>
      <c r="P334" s="195"/>
      <c r="Q334" s="328"/>
      <c r="R334" s="337"/>
      <c r="S334" s="51"/>
      <c r="T334" s="339"/>
      <c r="U334" s="329"/>
      <c r="V334" s="377"/>
      <c r="W334" s="15"/>
      <c r="X334" s="29"/>
      <c r="Y334" s="29"/>
      <c r="Z334" s="71"/>
      <c r="AA334" s="15"/>
      <c r="AB334" s="22"/>
      <c r="AC334" s="26"/>
      <c r="AD334" s="163"/>
      <c r="AE334" s="75"/>
      <c r="AF334" s="76"/>
      <c r="AG334" s="33"/>
      <c r="AH334" s="47"/>
      <c r="AI334" s="173"/>
    </row>
    <row r="335" spans="1:35" s="297" customFormat="1">
      <c r="A335" s="135" t="s">
        <v>2552</v>
      </c>
      <c r="B335" s="96" t="s">
        <v>2331</v>
      </c>
      <c r="C335" s="96" t="s">
        <v>2332</v>
      </c>
      <c r="D335" s="96" t="s">
        <v>2333</v>
      </c>
      <c r="E335" s="96" t="s">
        <v>2334</v>
      </c>
      <c r="F335" s="9" t="s">
        <v>1709</v>
      </c>
      <c r="G335" s="27" t="s">
        <v>5626</v>
      </c>
      <c r="H335" s="56" t="s">
        <v>3433</v>
      </c>
      <c r="I335" s="1" t="s">
        <v>131</v>
      </c>
      <c r="J335" s="364" t="s">
        <v>2189</v>
      </c>
      <c r="K335" s="364" t="s">
        <v>1820</v>
      </c>
      <c r="L335" s="364" t="s">
        <v>3596</v>
      </c>
      <c r="M335" s="364" t="s">
        <v>1699</v>
      </c>
      <c r="N335" s="364" t="s">
        <v>6604</v>
      </c>
      <c r="O335" s="343" t="s">
        <v>6634</v>
      </c>
      <c r="P335" s="83" t="s">
        <v>5279</v>
      </c>
      <c r="Q335" s="326" t="s">
        <v>5514</v>
      </c>
      <c r="R335" s="31" t="s">
        <v>6596</v>
      </c>
      <c r="S335" s="51" t="s">
        <v>6597</v>
      </c>
      <c r="T335" s="338" t="s">
        <v>5627</v>
      </c>
      <c r="U335" s="330" t="s">
        <v>6537</v>
      </c>
      <c r="V335" s="377" t="s">
        <v>6616</v>
      </c>
      <c r="W335" s="15" t="s">
        <v>4992</v>
      </c>
      <c r="X335" s="71" t="s">
        <v>5216</v>
      </c>
      <c r="Y335" s="29" t="s">
        <v>4926</v>
      </c>
      <c r="Z335" s="71" t="s">
        <v>2113</v>
      </c>
      <c r="AA335" s="15" t="s">
        <v>3598</v>
      </c>
      <c r="AB335" s="22" t="s">
        <v>2199</v>
      </c>
      <c r="AC335" s="26" t="s">
        <v>3432</v>
      </c>
      <c r="AD335" s="1" t="s">
        <v>131</v>
      </c>
      <c r="AE335" s="75" t="s">
        <v>2114</v>
      </c>
      <c r="AF335" s="76" t="s">
        <v>1826</v>
      </c>
      <c r="AG335" s="33" t="s">
        <v>1827</v>
      </c>
      <c r="AH335" s="47" t="s">
        <v>5021</v>
      </c>
      <c r="AI335" s="173"/>
    </row>
    <row r="336" spans="1:35" s="288" customFormat="1">
      <c r="A336" s="135" t="s">
        <v>5022</v>
      </c>
      <c r="B336" s="84">
        <v>151</v>
      </c>
      <c r="C336" s="84">
        <v>181</v>
      </c>
      <c r="D336" s="85">
        <v>-38</v>
      </c>
      <c r="E336" s="85">
        <v>-29</v>
      </c>
      <c r="F336" s="59">
        <v>11.29</v>
      </c>
      <c r="G336" s="58" t="s">
        <v>5023</v>
      </c>
      <c r="H336" s="31" t="s">
        <v>5025</v>
      </c>
      <c r="I336" s="176" t="s">
        <v>5024</v>
      </c>
      <c r="J336" s="77">
        <v>65.81</v>
      </c>
      <c r="K336" s="77">
        <v>46.97</v>
      </c>
      <c r="L336" s="371">
        <v>16.670000000000002</v>
      </c>
      <c r="M336" s="365"/>
      <c r="N336" s="77">
        <f t="shared" ref="N336" si="283">K336+J336+L336</f>
        <v>129.44999999999999</v>
      </c>
      <c r="O336" s="343"/>
      <c r="P336" s="195"/>
      <c r="Q336" s="326"/>
      <c r="R336" s="111"/>
      <c r="S336" s="51"/>
      <c r="T336" s="339"/>
      <c r="U336" s="329"/>
      <c r="V336" s="371">
        <v>0.68</v>
      </c>
      <c r="W336" s="205">
        <v>0.5</v>
      </c>
      <c r="X336" s="59">
        <f t="shared" ref="X336:X350" si="284">W336/Y336</f>
        <v>5.6433408577878106E-3</v>
      </c>
      <c r="Y336" s="175">
        <v>88.6</v>
      </c>
      <c r="Z336" s="68">
        <v>79</v>
      </c>
      <c r="AA336" s="172">
        <f t="shared" ref="AA336" si="285">Y336-Z336</f>
        <v>9.5999999999999943</v>
      </c>
      <c r="AB336" s="168">
        <f>AA336/Z336</f>
        <v>0.12151898734177208</v>
      </c>
      <c r="AC336" s="177" t="s">
        <v>5077</v>
      </c>
      <c r="AD336" s="176" t="s">
        <v>5024</v>
      </c>
      <c r="AE336" s="89">
        <v>44284</v>
      </c>
      <c r="AF336" s="88">
        <v>44286</v>
      </c>
      <c r="AG336" s="34">
        <f>AF336-AE336</f>
        <v>2</v>
      </c>
      <c r="AH336" s="42" t="s">
        <v>5026</v>
      </c>
      <c r="AI336" s="173"/>
    </row>
    <row r="337" spans="1:46" s="288" customFormat="1">
      <c r="A337" s="135" t="s">
        <v>5027</v>
      </c>
      <c r="B337" s="84">
        <v>73</v>
      </c>
      <c r="C337" s="84">
        <v>76</v>
      </c>
      <c r="D337" s="85">
        <v>-7</v>
      </c>
      <c r="E337" s="84">
        <v>23</v>
      </c>
      <c r="F337" s="59">
        <v>21.91</v>
      </c>
      <c r="G337" s="58" t="s">
        <v>5018</v>
      </c>
      <c r="H337" s="31" t="s">
        <v>5025</v>
      </c>
      <c r="I337" s="176" t="s">
        <v>5019</v>
      </c>
      <c r="J337" s="371">
        <v>46.4</v>
      </c>
      <c r="K337" s="371">
        <v>22.03</v>
      </c>
      <c r="L337" s="77">
        <v>21.68</v>
      </c>
      <c r="M337" s="365"/>
      <c r="N337" s="389">
        <f>K337+J337+L337</f>
        <v>90.110000000000014</v>
      </c>
      <c r="O337" s="343"/>
      <c r="P337" s="195"/>
      <c r="Q337" s="326"/>
      <c r="R337" s="111"/>
      <c r="S337" s="51"/>
      <c r="T337" s="339"/>
      <c r="U337" s="329"/>
      <c r="V337" s="371">
        <v>4.05</v>
      </c>
      <c r="W337" s="112">
        <v>1.7</v>
      </c>
      <c r="X337" s="100">
        <f t="shared" si="284"/>
        <v>1.1074918566775244E-2</v>
      </c>
      <c r="Y337" s="171">
        <v>153.5</v>
      </c>
      <c r="Z337" s="165">
        <v>142.5</v>
      </c>
      <c r="AA337" s="172">
        <f>Y337-Z337</f>
        <v>11</v>
      </c>
      <c r="AB337" s="168">
        <f>AA337/Z337</f>
        <v>7.7192982456140355E-2</v>
      </c>
      <c r="AC337" s="177" t="s">
        <v>5078</v>
      </c>
      <c r="AD337" s="176" t="s">
        <v>5019</v>
      </c>
      <c r="AE337" s="89">
        <v>44277</v>
      </c>
      <c r="AF337" s="88">
        <v>44286</v>
      </c>
      <c r="AG337" s="34">
        <f t="shared" ref="AG337:AG361" si="286">AF337-AE337</f>
        <v>9</v>
      </c>
      <c r="AH337" s="42" t="s">
        <v>5011</v>
      </c>
    </row>
    <row r="338" spans="1:46" s="288" customFormat="1">
      <c r="A338" s="135" t="s">
        <v>5027</v>
      </c>
      <c r="B338" s="84">
        <v>73</v>
      </c>
      <c r="C338" s="84">
        <v>76</v>
      </c>
      <c r="D338" s="85">
        <v>-7</v>
      </c>
      <c r="E338" s="84">
        <v>23</v>
      </c>
      <c r="F338" s="59">
        <v>21.91</v>
      </c>
      <c r="G338" s="58" t="s">
        <v>5018</v>
      </c>
      <c r="H338" s="31" t="s">
        <v>5025</v>
      </c>
      <c r="I338" s="176" t="s">
        <v>5019</v>
      </c>
      <c r="J338" s="371">
        <v>46.4</v>
      </c>
      <c r="K338" s="371">
        <v>22.03</v>
      </c>
      <c r="L338" s="77">
        <v>21.68</v>
      </c>
      <c r="M338" s="365"/>
      <c r="N338" s="389">
        <f>K338+J338+L338</f>
        <v>90.110000000000014</v>
      </c>
      <c r="O338" s="343"/>
      <c r="P338" s="195"/>
      <c r="Q338" s="326"/>
      <c r="R338" s="111"/>
      <c r="S338" s="51"/>
      <c r="T338" s="339"/>
      <c r="U338" s="329"/>
      <c r="V338" s="371">
        <v>4.05</v>
      </c>
      <c r="W338" s="112">
        <v>1.7</v>
      </c>
      <c r="X338" s="100">
        <f t="shared" si="284"/>
        <v>1.1074918566775244E-2</v>
      </c>
      <c r="Y338" s="171">
        <v>153.5</v>
      </c>
      <c r="Z338" s="165">
        <v>147</v>
      </c>
      <c r="AA338" s="172">
        <f>Y338-Z338</f>
        <v>6.5</v>
      </c>
      <c r="AB338" s="168">
        <f>AA338/Z338</f>
        <v>4.4217687074829932E-2</v>
      </c>
      <c r="AC338" s="177" t="s">
        <v>2977</v>
      </c>
      <c r="AD338" s="176" t="s">
        <v>5019</v>
      </c>
      <c r="AE338" s="89">
        <v>44273</v>
      </c>
      <c r="AF338" s="88">
        <v>44286</v>
      </c>
      <c r="AG338" s="34">
        <f t="shared" si="286"/>
        <v>13</v>
      </c>
      <c r="AH338" s="42" t="s">
        <v>5011</v>
      </c>
    </row>
    <row r="339" spans="1:46" s="288" customFormat="1">
      <c r="A339" s="135" t="s">
        <v>5015</v>
      </c>
      <c r="B339" s="84">
        <v>7</v>
      </c>
      <c r="C339" s="84">
        <v>9</v>
      </c>
      <c r="D339" s="85">
        <v>-8</v>
      </c>
      <c r="E339" s="84">
        <v>8</v>
      </c>
      <c r="F339" s="59">
        <v>13.36</v>
      </c>
      <c r="G339" s="58" t="s">
        <v>5016</v>
      </c>
      <c r="H339" s="31" t="s">
        <v>5025</v>
      </c>
      <c r="I339" s="176" t="s">
        <v>5017</v>
      </c>
      <c r="J339" s="371">
        <v>63.51</v>
      </c>
      <c r="K339" s="371">
        <v>53.2</v>
      </c>
      <c r="L339" s="371">
        <v>6.74</v>
      </c>
      <c r="M339" s="365"/>
      <c r="N339" s="77">
        <f t="shared" ref="N339:N350" si="287">K339+J339+L339</f>
        <v>123.45</v>
      </c>
      <c r="O339" s="343"/>
      <c r="P339" s="195"/>
      <c r="Q339" s="326"/>
      <c r="R339" s="111"/>
      <c r="S339" s="51"/>
      <c r="T339" s="339"/>
      <c r="U339" s="329"/>
      <c r="V339" s="371">
        <v>0.15</v>
      </c>
      <c r="W339" s="205">
        <v>4.5999999999999996</v>
      </c>
      <c r="X339" s="59">
        <f t="shared" si="284"/>
        <v>3.9316239316239315E-2</v>
      </c>
      <c r="Y339" s="175">
        <v>117</v>
      </c>
      <c r="Z339" s="68">
        <v>113</v>
      </c>
      <c r="AA339" s="172">
        <f t="shared" ref="AA339:AA361" si="288">Y339-Z339</f>
        <v>4</v>
      </c>
      <c r="AB339" s="168">
        <f t="shared" ref="AB339:AB361" si="289">AA339/Z339</f>
        <v>3.5398230088495575E-2</v>
      </c>
      <c r="AC339" s="177" t="s">
        <v>4643</v>
      </c>
      <c r="AD339" s="176" t="s">
        <v>5017</v>
      </c>
      <c r="AE339" s="89">
        <v>44263</v>
      </c>
      <c r="AF339" s="88">
        <v>44277</v>
      </c>
      <c r="AG339" s="34">
        <f t="shared" si="286"/>
        <v>14</v>
      </c>
      <c r="AH339" s="42" t="s">
        <v>5011</v>
      </c>
    </row>
    <row r="340" spans="1:46" s="288" customFormat="1">
      <c r="A340" s="135" t="s">
        <v>5012</v>
      </c>
      <c r="B340" s="85">
        <v>-10</v>
      </c>
      <c r="C340" s="85">
        <v>-10</v>
      </c>
      <c r="D340" s="85">
        <v>-3</v>
      </c>
      <c r="E340" s="84">
        <v>21</v>
      </c>
      <c r="F340" s="59">
        <v>21.7</v>
      </c>
      <c r="G340" s="42" t="s">
        <v>5013</v>
      </c>
      <c r="H340" s="31" t="s">
        <v>5025</v>
      </c>
      <c r="I340" s="176" t="s">
        <v>5014</v>
      </c>
      <c r="J340" s="77">
        <v>68.209999999999994</v>
      </c>
      <c r="K340" s="77">
        <v>51.18</v>
      </c>
      <c r="L340" s="77">
        <v>6.09</v>
      </c>
      <c r="M340" s="365"/>
      <c r="N340" s="77">
        <f t="shared" si="287"/>
        <v>125.47999999999999</v>
      </c>
      <c r="O340" s="343"/>
      <c r="P340" s="195"/>
      <c r="Q340" s="326"/>
      <c r="R340" s="111"/>
      <c r="S340" s="51"/>
      <c r="T340" s="339"/>
      <c r="U340" s="329"/>
      <c r="V340" s="371">
        <v>0.47</v>
      </c>
      <c r="W340" s="205">
        <v>4.2</v>
      </c>
      <c r="X340" s="59">
        <f t="shared" si="284"/>
        <v>5.3984575835475584E-2</v>
      </c>
      <c r="Y340" s="175">
        <v>77.8</v>
      </c>
      <c r="Z340" s="68">
        <v>72.2</v>
      </c>
      <c r="AA340" s="172">
        <f t="shared" si="288"/>
        <v>5.5999999999999943</v>
      </c>
      <c r="AB340" s="168">
        <f t="shared" si="289"/>
        <v>7.7562326869806006E-2</v>
      </c>
      <c r="AC340" s="177" t="s">
        <v>2921</v>
      </c>
      <c r="AD340" s="176" t="s">
        <v>5014</v>
      </c>
      <c r="AE340" s="89">
        <v>44266</v>
      </c>
      <c r="AF340" s="88">
        <v>44273</v>
      </c>
      <c r="AG340" s="34">
        <f t="shared" si="286"/>
        <v>7</v>
      </c>
      <c r="AH340" s="42" t="s">
        <v>5011</v>
      </c>
      <c r="AI340" s="200"/>
      <c r="AJ340" s="199"/>
    </row>
    <row r="341" spans="1:46" s="288" customFormat="1">
      <c r="A341" s="135" t="s">
        <v>5012</v>
      </c>
      <c r="B341" s="85">
        <v>-10</v>
      </c>
      <c r="C341" s="85">
        <v>-10</v>
      </c>
      <c r="D341" s="85">
        <v>-3</v>
      </c>
      <c r="E341" s="84">
        <v>21</v>
      </c>
      <c r="F341" s="59">
        <v>21.7</v>
      </c>
      <c r="G341" s="42" t="s">
        <v>5013</v>
      </c>
      <c r="H341" s="31" t="s">
        <v>5025</v>
      </c>
      <c r="I341" s="176" t="s">
        <v>5014</v>
      </c>
      <c r="J341" s="77">
        <v>68.209999999999994</v>
      </c>
      <c r="K341" s="77">
        <v>51.18</v>
      </c>
      <c r="L341" s="77">
        <v>6.09</v>
      </c>
      <c r="M341" s="365"/>
      <c r="N341" s="77">
        <f t="shared" si="287"/>
        <v>125.47999999999999</v>
      </c>
      <c r="O341" s="343"/>
      <c r="P341" s="195"/>
      <c r="Q341" s="326"/>
      <c r="R341" s="111"/>
      <c r="S341" s="51"/>
      <c r="T341" s="339"/>
      <c r="U341" s="329"/>
      <c r="V341" s="371">
        <v>0.47</v>
      </c>
      <c r="W341" s="205">
        <v>4.2</v>
      </c>
      <c r="X341" s="59">
        <f t="shared" si="284"/>
        <v>5.3984575835475584E-2</v>
      </c>
      <c r="Y341" s="175">
        <v>77.8</v>
      </c>
      <c r="Z341" s="68">
        <v>72.2</v>
      </c>
      <c r="AA341" s="172">
        <f t="shared" si="288"/>
        <v>5.5999999999999943</v>
      </c>
      <c r="AB341" s="168">
        <f t="shared" si="289"/>
        <v>7.7562326869806006E-2</v>
      </c>
      <c r="AC341" s="177" t="s">
        <v>2921</v>
      </c>
      <c r="AD341" s="176" t="s">
        <v>5014</v>
      </c>
      <c r="AE341" s="89">
        <v>44266</v>
      </c>
      <c r="AF341" s="88">
        <v>44273</v>
      </c>
      <c r="AG341" s="34">
        <f t="shared" si="286"/>
        <v>7</v>
      </c>
      <c r="AH341" s="42" t="s">
        <v>5011</v>
      </c>
      <c r="AI341" s="200"/>
      <c r="AJ341" s="199"/>
    </row>
    <row r="342" spans="1:46" s="288" customFormat="1">
      <c r="A342" s="135" t="s">
        <v>5012</v>
      </c>
      <c r="B342" s="85">
        <v>-10</v>
      </c>
      <c r="C342" s="85">
        <v>-10</v>
      </c>
      <c r="D342" s="85">
        <v>-3</v>
      </c>
      <c r="E342" s="84">
        <v>21</v>
      </c>
      <c r="F342" s="59">
        <v>21.7</v>
      </c>
      <c r="G342" s="42" t="s">
        <v>5013</v>
      </c>
      <c r="H342" s="31" t="s">
        <v>5025</v>
      </c>
      <c r="I342" s="176" t="s">
        <v>5014</v>
      </c>
      <c r="J342" s="77">
        <v>68.209999999999994</v>
      </c>
      <c r="K342" s="77">
        <v>51.18</v>
      </c>
      <c r="L342" s="77">
        <v>6.09</v>
      </c>
      <c r="M342" s="365"/>
      <c r="N342" s="77">
        <f t="shared" si="287"/>
        <v>125.47999999999999</v>
      </c>
      <c r="O342" s="343"/>
      <c r="P342" s="195"/>
      <c r="Q342" s="326"/>
      <c r="R342" s="111"/>
      <c r="S342" s="51"/>
      <c r="T342" s="339"/>
      <c r="U342" s="329"/>
      <c r="V342" s="371">
        <v>0.47</v>
      </c>
      <c r="W342" s="205">
        <v>4.2</v>
      </c>
      <c r="X342" s="59">
        <f t="shared" si="284"/>
        <v>5.3984575835475584E-2</v>
      </c>
      <c r="Y342" s="175">
        <v>77.8</v>
      </c>
      <c r="Z342" s="68">
        <v>71.2</v>
      </c>
      <c r="AA342" s="172">
        <f t="shared" si="288"/>
        <v>6.5999999999999943</v>
      </c>
      <c r="AB342" s="168">
        <f t="shared" si="289"/>
        <v>9.2696629213483067E-2</v>
      </c>
      <c r="AC342" s="177" t="s">
        <v>5028</v>
      </c>
      <c r="AD342" s="176" t="s">
        <v>5014</v>
      </c>
      <c r="AE342" s="89">
        <v>44265</v>
      </c>
      <c r="AF342" s="88">
        <v>44273</v>
      </c>
      <c r="AG342" s="34">
        <f t="shared" si="286"/>
        <v>8</v>
      </c>
      <c r="AH342" s="42" t="s">
        <v>5011</v>
      </c>
      <c r="AI342" s="200"/>
      <c r="AJ342" s="199"/>
    </row>
    <row r="343" spans="1:46" s="288" customFormat="1">
      <c r="A343" s="135" t="s">
        <v>5012</v>
      </c>
      <c r="B343" s="85">
        <v>-10</v>
      </c>
      <c r="C343" s="85">
        <v>-10</v>
      </c>
      <c r="D343" s="85">
        <v>-3</v>
      </c>
      <c r="E343" s="84">
        <v>21</v>
      </c>
      <c r="F343" s="59">
        <v>21.7</v>
      </c>
      <c r="G343" s="42" t="s">
        <v>5013</v>
      </c>
      <c r="H343" s="31" t="s">
        <v>5025</v>
      </c>
      <c r="I343" s="176" t="s">
        <v>5014</v>
      </c>
      <c r="J343" s="77">
        <v>68.209999999999994</v>
      </c>
      <c r="K343" s="77">
        <v>51.18</v>
      </c>
      <c r="L343" s="77">
        <v>6.09</v>
      </c>
      <c r="M343" s="365"/>
      <c r="N343" s="77">
        <f t="shared" si="287"/>
        <v>125.47999999999999</v>
      </c>
      <c r="O343" s="343"/>
      <c r="P343" s="195"/>
      <c r="Q343" s="326"/>
      <c r="R343" s="111"/>
      <c r="S343" s="51"/>
      <c r="T343" s="339"/>
      <c r="U343" s="329"/>
      <c r="V343" s="371">
        <v>0.47</v>
      </c>
      <c r="W343" s="205">
        <v>4.2</v>
      </c>
      <c r="X343" s="59">
        <f t="shared" si="284"/>
        <v>5.3984575835475584E-2</v>
      </c>
      <c r="Y343" s="175">
        <v>77.8</v>
      </c>
      <c r="Z343" s="68">
        <v>71.8</v>
      </c>
      <c r="AA343" s="172">
        <f t="shared" si="288"/>
        <v>6</v>
      </c>
      <c r="AB343" s="168">
        <f t="shared" si="289"/>
        <v>8.3565459610027856E-2</v>
      </c>
      <c r="AC343" s="177" t="s">
        <v>5029</v>
      </c>
      <c r="AD343" s="176" t="s">
        <v>5014</v>
      </c>
      <c r="AE343" s="89">
        <v>44265</v>
      </c>
      <c r="AF343" s="88">
        <v>44273</v>
      </c>
      <c r="AG343" s="34">
        <f t="shared" si="286"/>
        <v>8</v>
      </c>
      <c r="AH343" s="42" t="s">
        <v>5011</v>
      </c>
      <c r="AI343" s="200"/>
      <c r="AJ343" s="199"/>
    </row>
    <row r="344" spans="1:46" s="288" customFormat="1">
      <c r="A344" s="135" t="s">
        <v>5012</v>
      </c>
      <c r="B344" s="85">
        <v>-10</v>
      </c>
      <c r="C344" s="85">
        <v>-10</v>
      </c>
      <c r="D344" s="85">
        <v>-3</v>
      </c>
      <c r="E344" s="84">
        <v>21</v>
      </c>
      <c r="F344" s="59">
        <v>21.7</v>
      </c>
      <c r="G344" s="42" t="s">
        <v>5013</v>
      </c>
      <c r="H344" s="31" t="s">
        <v>5025</v>
      </c>
      <c r="I344" s="176" t="s">
        <v>5014</v>
      </c>
      <c r="J344" s="77">
        <v>68.209999999999994</v>
      </c>
      <c r="K344" s="77">
        <v>51.18</v>
      </c>
      <c r="L344" s="77">
        <v>6.09</v>
      </c>
      <c r="M344" s="365"/>
      <c r="N344" s="77">
        <f t="shared" si="287"/>
        <v>125.47999999999999</v>
      </c>
      <c r="O344" s="343"/>
      <c r="P344" s="195"/>
      <c r="Q344" s="326"/>
      <c r="R344" s="111"/>
      <c r="S344" s="51"/>
      <c r="T344" s="339"/>
      <c r="U344" s="329"/>
      <c r="V344" s="371">
        <v>0.47</v>
      </c>
      <c r="W344" s="205">
        <v>4.2</v>
      </c>
      <c r="X344" s="59">
        <f t="shared" si="284"/>
        <v>5.3984575835475584E-2</v>
      </c>
      <c r="Y344" s="175">
        <v>77.8</v>
      </c>
      <c r="Z344" s="68">
        <v>71.7</v>
      </c>
      <c r="AA344" s="172">
        <f t="shared" si="288"/>
        <v>6.0999999999999943</v>
      </c>
      <c r="AB344" s="168">
        <f t="shared" si="289"/>
        <v>8.5076708507670767E-2</v>
      </c>
      <c r="AC344" s="177" t="s">
        <v>5030</v>
      </c>
      <c r="AD344" s="176" t="s">
        <v>5014</v>
      </c>
      <c r="AE344" s="89">
        <v>44264</v>
      </c>
      <c r="AF344" s="88">
        <v>44273</v>
      </c>
      <c r="AG344" s="34">
        <f t="shared" si="286"/>
        <v>9</v>
      </c>
      <c r="AH344" s="42" t="s">
        <v>5011</v>
      </c>
      <c r="AI344" s="200"/>
      <c r="AJ344" s="199"/>
    </row>
    <row r="345" spans="1:46" s="288" customFormat="1">
      <c r="A345" s="151" t="s">
        <v>5031</v>
      </c>
      <c r="B345" s="84">
        <v>7</v>
      </c>
      <c r="C345" s="84">
        <v>0</v>
      </c>
      <c r="D345" s="85">
        <v>-4</v>
      </c>
      <c r="E345" s="84">
        <v>3</v>
      </c>
      <c r="F345" s="7">
        <v>7.51</v>
      </c>
      <c r="G345" s="42" t="s">
        <v>5032</v>
      </c>
      <c r="H345" s="31" t="s">
        <v>5025</v>
      </c>
      <c r="I345" s="163" t="s">
        <v>5033</v>
      </c>
      <c r="J345" s="371">
        <v>85.35</v>
      </c>
      <c r="K345" s="77">
        <v>46.46</v>
      </c>
      <c r="L345" s="371">
        <v>0.17</v>
      </c>
      <c r="M345" s="365"/>
      <c r="N345" s="77">
        <f t="shared" si="287"/>
        <v>131.97999999999999</v>
      </c>
      <c r="O345" s="343"/>
      <c r="P345" s="195"/>
      <c r="Q345" s="326"/>
      <c r="R345" s="111">
        <v>2</v>
      </c>
      <c r="S345" s="51"/>
      <c r="T345" s="339"/>
      <c r="U345" s="329"/>
      <c r="V345" s="371">
        <v>0</v>
      </c>
      <c r="W345" s="205">
        <v>2.5</v>
      </c>
      <c r="X345" s="100">
        <f t="shared" si="284"/>
        <v>3.6390101892285295E-2</v>
      </c>
      <c r="Y345" s="175">
        <v>68.7</v>
      </c>
      <c r="Z345" s="68">
        <v>68.3</v>
      </c>
      <c r="AA345" s="172">
        <f t="shared" si="288"/>
        <v>0.40000000000000568</v>
      </c>
      <c r="AB345" s="168">
        <f t="shared" si="289"/>
        <v>5.8565153733529385E-3</v>
      </c>
      <c r="AC345" s="105" t="s">
        <v>5034</v>
      </c>
      <c r="AD345" s="163" t="s">
        <v>5033</v>
      </c>
      <c r="AE345" s="89">
        <v>44225</v>
      </c>
      <c r="AF345" s="88">
        <v>44260</v>
      </c>
      <c r="AG345" s="34">
        <f t="shared" si="286"/>
        <v>35</v>
      </c>
      <c r="AH345" s="42" t="s">
        <v>5011</v>
      </c>
      <c r="AI345" s="201"/>
      <c r="AJ345" s="199"/>
    </row>
    <row r="346" spans="1:46" s="288" customFormat="1">
      <c r="A346" s="151" t="s">
        <v>5031</v>
      </c>
      <c r="B346" s="84">
        <v>7</v>
      </c>
      <c r="C346" s="84">
        <v>0</v>
      </c>
      <c r="D346" s="85">
        <v>-4</v>
      </c>
      <c r="E346" s="84">
        <v>3</v>
      </c>
      <c r="F346" s="7">
        <v>7.51</v>
      </c>
      <c r="G346" s="42" t="s">
        <v>5032</v>
      </c>
      <c r="H346" s="31" t="s">
        <v>5025</v>
      </c>
      <c r="I346" s="163" t="s">
        <v>5033</v>
      </c>
      <c r="J346" s="371">
        <v>85.35</v>
      </c>
      <c r="K346" s="77">
        <v>46.46</v>
      </c>
      <c r="L346" s="371">
        <v>0.17</v>
      </c>
      <c r="M346" s="365"/>
      <c r="N346" s="77">
        <f t="shared" si="287"/>
        <v>131.97999999999999</v>
      </c>
      <c r="O346" s="343"/>
      <c r="P346" s="195"/>
      <c r="Q346" s="326"/>
      <c r="R346" s="111"/>
      <c r="S346" s="51"/>
      <c r="T346" s="339"/>
      <c r="U346" s="329"/>
      <c r="V346" s="371">
        <v>0</v>
      </c>
      <c r="W346" s="205">
        <v>2.5</v>
      </c>
      <c r="X346" s="100">
        <f t="shared" si="284"/>
        <v>3.6390101892285295E-2</v>
      </c>
      <c r="Y346" s="175">
        <v>68.7</v>
      </c>
      <c r="Z346" s="68">
        <v>68.400000000000006</v>
      </c>
      <c r="AA346" s="172">
        <f t="shared" si="288"/>
        <v>0.29999999999999716</v>
      </c>
      <c r="AB346" s="168">
        <f t="shared" si="289"/>
        <v>4.3859649122806599E-3</v>
      </c>
      <c r="AC346" s="105" t="s">
        <v>5035</v>
      </c>
      <c r="AD346" s="163" t="s">
        <v>5033</v>
      </c>
      <c r="AE346" s="89">
        <v>44225</v>
      </c>
      <c r="AF346" s="88">
        <v>44260</v>
      </c>
      <c r="AG346" s="34">
        <f t="shared" si="286"/>
        <v>35</v>
      </c>
      <c r="AH346" s="42" t="s">
        <v>5011</v>
      </c>
      <c r="AI346" s="201"/>
      <c r="AJ346" s="199"/>
    </row>
    <row r="347" spans="1:46" s="288" customFormat="1">
      <c r="A347" s="151" t="s">
        <v>5031</v>
      </c>
      <c r="B347" s="84">
        <v>7</v>
      </c>
      <c r="C347" s="84">
        <v>0</v>
      </c>
      <c r="D347" s="85">
        <v>-4</v>
      </c>
      <c r="E347" s="84">
        <v>3</v>
      </c>
      <c r="F347" s="7">
        <v>7.51</v>
      </c>
      <c r="G347" s="42" t="s">
        <v>5032</v>
      </c>
      <c r="H347" s="31" t="s">
        <v>5025</v>
      </c>
      <c r="I347" s="163" t="s">
        <v>5033</v>
      </c>
      <c r="J347" s="371">
        <v>85.35</v>
      </c>
      <c r="K347" s="77">
        <v>46.46</v>
      </c>
      <c r="L347" s="371">
        <v>0.17</v>
      </c>
      <c r="M347" s="365"/>
      <c r="N347" s="77">
        <f t="shared" si="287"/>
        <v>131.97999999999999</v>
      </c>
      <c r="O347" s="343"/>
      <c r="P347" s="195"/>
      <c r="Q347" s="326"/>
      <c r="R347" s="111"/>
      <c r="S347" s="51"/>
      <c r="T347" s="339"/>
      <c r="U347" s="329"/>
      <c r="V347" s="371">
        <v>0</v>
      </c>
      <c r="W347" s="205">
        <v>2.5</v>
      </c>
      <c r="X347" s="100">
        <f t="shared" si="284"/>
        <v>3.6390101892285295E-2</v>
      </c>
      <c r="Y347" s="175">
        <v>68.7</v>
      </c>
      <c r="Z347" s="68">
        <v>68.5</v>
      </c>
      <c r="AA347" s="172">
        <f t="shared" si="288"/>
        <v>0.20000000000000284</v>
      </c>
      <c r="AB347" s="168">
        <f t="shared" si="289"/>
        <v>2.9197080291971217E-3</v>
      </c>
      <c r="AC347" s="105" t="s">
        <v>5036</v>
      </c>
      <c r="AD347" s="163" t="s">
        <v>5033</v>
      </c>
      <c r="AE347" s="89">
        <v>44225</v>
      </c>
      <c r="AF347" s="88">
        <v>44260</v>
      </c>
      <c r="AG347" s="34">
        <f t="shared" si="286"/>
        <v>35</v>
      </c>
      <c r="AH347" s="42" t="s">
        <v>5011</v>
      </c>
      <c r="AI347" s="201"/>
      <c r="AJ347" s="199"/>
    </row>
    <row r="348" spans="1:46" s="288" customFormat="1">
      <c r="A348" s="151" t="s">
        <v>5031</v>
      </c>
      <c r="B348" s="84">
        <v>7</v>
      </c>
      <c r="C348" s="84">
        <v>0</v>
      </c>
      <c r="D348" s="85">
        <v>-4</v>
      </c>
      <c r="E348" s="84">
        <v>3</v>
      </c>
      <c r="F348" s="7">
        <v>7.51</v>
      </c>
      <c r="G348" s="42" t="s">
        <v>5032</v>
      </c>
      <c r="H348" s="31" t="s">
        <v>5025</v>
      </c>
      <c r="I348" s="163" t="s">
        <v>5033</v>
      </c>
      <c r="J348" s="371">
        <v>85.35</v>
      </c>
      <c r="K348" s="77">
        <v>46.46</v>
      </c>
      <c r="L348" s="371">
        <v>0.17</v>
      </c>
      <c r="M348" s="365"/>
      <c r="N348" s="77">
        <f t="shared" si="287"/>
        <v>131.97999999999999</v>
      </c>
      <c r="O348" s="343"/>
      <c r="P348" s="195"/>
      <c r="Q348" s="326"/>
      <c r="R348" s="111"/>
      <c r="S348" s="51"/>
      <c r="T348" s="339"/>
      <c r="U348" s="329"/>
      <c r="V348" s="371">
        <v>0</v>
      </c>
      <c r="W348" s="205">
        <v>2.5</v>
      </c>
      <c r="X348" s="100">
        <f t="shared" si="284"/>
        <v>3.6390101892285295E-2</v>
      </c>
      <c r="Y348" s="175">
        <v>68.7</v>
      </c>
      <c r="Z348" s="68">
        <v>68.5</v>
      </c>
      <c r="AA348" s="172">
        <f t="shared" si="288"/>
        <v>0.20000000000000284</v>
      </c>
      <c r="AB348" s="168">
        <f t="shared" si="289"/>
        <v>2.9197080291971217E-3</v>
      </c>
      <c r="AC348" s="105" t="s">
        <v>5036</v>
      </c>
      <c r="AD348" s="163" t="s">
        <v>5033</v>
      </c>
      <c r="AE348" s="89">
        <v>44225</v>
      </c>
      <c r="AF348" s="88">
        <v>44260</v>
      </c>
      <c r="AG348" s="34">
        <f t="shared" si="286"/>
        <v>35</v>
      </c>
      <c r="AH348" s="42" t="s">
        <v>5011</v>
      </c>
      <c r="AI348" s="201"/>
      <c r="AJ348" s="199"/>
    </row>
    <row r="349" spans="1:46" s="288" customFormat="1">
      <c r="A349" s="151" t="s">
        <v>5031</v>
      </c>
      <c r="B349" s="84">
        <v>7</v>
      </c>
      <c r="C349" s="84">
        <v>0</v>
      </c>
      <c r="D349" s="85">
        <v>-4</v>
      </c>
      <c r="E349" s="84">
        <v>3</v>
      </c>
      <c r="F349" s="7">
        <v>7.51</v>
      </c>
      <c r="G349" s="42" t="s">
        <v>5032</v>
      </c>
      <c r="H349" s="31" t="s">
        <v>5025</v>
      </c>
      <c r="I349" s="163" t="s">
        <v>5033</v>
      </c>
      <c r="J349" s="371">
        <v>85.35</v>
      </c>
      <c r="K349" s="77">
        <v>46.46</v>
      </c>
      <c r="L349" s="371">
        <v>0.17</v>
      </c>
      <c r="M349" s="365"/>
      <c r="N349" s="77">
        <f t="shared" si="287"/>
        <v>131.97999999999999</v>
      </c>
      <c r="O349" s="343"/>
      <c r="P349" s="195"/>
      <c r="Q349" s="326"/>
      <c r="R349" s="111"/>
      <c r="S349" s="51"/>
      <c r="T349" s="339"/>
      <c r="U349" s="329"/>
      <c r="V349" s="371">
        <v>0</v>
      </c>
      <c r="W349" s="205">
        <v>2.5</v>
      </c>
      <c r="X349" s="100">
        <f t="shared" si="284"/>
        <v>3.6390101892285295E-2</v>
      </c>
      <c r="Y349" s="175">
        <v>68.7</v>
      </c>
      <c r="Z349" s="68">
        <v>68.2</v>
      </c>
      <c r="AA349" s="172">
        <f t="shared" si="288"/>
        <v>0.5</v>
      </c>
      <c r="AB349" s="168">
        <f t="shared" si="289"/>
        <v>7.3313782991202342E-3</v>
      </c>
      <c r="AC349" s="105" t="s">
        <v>5037</v>
      </c>
      <c r="AD349" s="163" t="s">
        <v>5033</v>
      </c>
      <c r="AE349" s="89">
        <v>44225</v>
      </c>
      <c r="AF349" s="88">
        <v>44260</v>
      </c>
      <c r="AG349" s="34">
        <f t="shared" si="286"/>
        <v>35</v>
      </c>
      <c r="AH349" s="42" t="s">
        <v>5011</v>
      </c>
      <c r="AI349" s="201"/>
      <c r="AJ349" s="199"/>
    </row>
    <row r="350" spans="1:46" s="288" customFormat="1">
      <c r="A350" s="151" t="s">
        <v>5031</v>
      </c>
      <c r="B350" s="84">
        <v>7</v>
      </c>
      <c r="C350" s="84">
        <v>0</v>
      </c>
      <c r="D350" s="85">
        <v>-4</v>
      </c>
      <c r="E350" s="84">
        <v>3</v>
      </c>
      <c r="F350" s="7">
        <v>7.51</v>
      </c>
      <c r="G350" s="42" t="s">
        <v>5032</v>
      </c>
      <c r="H350" s="31" t="s">
        <v>5025</v>
      </c>
      <c r="I350" s="163" t="s">
        <v>5033</v>
      </c>
      <c r="J350" s="371">
        <v>85.35</v>
      </c>
      <c r="K350" s="77">
        <v>46.46</v>
      </c>
      <c r="L350" s="371">
        <v>0.17</v>
      </c>
      <c r="M350" s="365"/>
      <c r="N350" s="77">
        <f t="shared" si="287"/>
        <v>131.97999999999999</v>
      </c>
      <c r="O350" s="343"/>
      <c r="P350" s="195"/>
      <c r="Q350" s="326"/>
      <c r="R350" s="111"/>
      <c r="S350" s="51"/>
      <c r="T350" s="339"/>
      <c r="U350" s="329"/>
      <c r="V350" s="371">
        <v>0</v>
      </c>
      <c r="W350" s="205">
        <v>2.5</v>
      </c>
      <c r="X350" s="100">
        <f t="shared" si="284"/>
        <v>3.6390101892285295E-2</v>
      </c>
      <c r="Y350" s="175">
        <v>68.7</v>
      </c>
      <c r="Z350" s="68">
        <v>68.2</v>
      </c>
      <c r="AA350" s="172">
        <f t="shared" si="288"/>
        <v>0.5</v>
      </c>
      <c r="AB350" s="168">
        <f t="shared" si="289"/>
        <v>7.3313782991202342E-3</v>
      </c>
      <c r="AC350" s="105" t="s">
        <v>5037</v>
      </c>
      <c r="AD350" s="163" t="s">
        <v>5033</v>
      </c>
      <c r="AE350" s="89">
        <v>44225</v>
      </c>
      <c r="AF350" s="88">
        <v>44260</v>
      </c>
      <c r="AG350" s="34">
        <f t="shared" si="286"/>
        <v>35</v>
      </c>
      <c r="AH350" s="42" t="s">
        <v>5011</v>
      </c>
      <c r="AI350" s="201"/>
      <c r="AJ350" s="199"/>
    </row>
    <row r="351" spans="1:46" s="288" customFormat="1">
      <c r="A351" s="151" t="s">
        <v>5038</v>
      </c>
      <c r="B351" s="85">
        <v>-115</v>
      </c>
      <c r="C351" s="85">
        <v>-36</v>
      </c>
      <c r="D351" s="84">
        <v>21</v>
      </c>
      <c r="E351" s="84">
        <v>24</v>
      </c>
      <c r="F351" s="7">
        <v>3.06</v>
      </c>
      <c r="G351" s="42" t="s">
        <v>5039</v>
      </c>
      <c r="H351" s="9" t="s">
        <v>5042</v>
      </c>
      <c r="I351" s="163" t="s">
        <v>5040</v>
      </c>
      <c r="J351" s="77">
        <v>60.69</v>
      </c>
      <c r="K351" s="77">
        <v>29.52</v>
      </c>
      <c r="L351" s="77">
        <v>3.12</v>
      </c>
      <c r="M351" s="365"/>
      <c r="N351" s="365">
        <f>K351+J351+L351</f>
        <v>93.33</v>
      </c>
      <c r="O351" s="343"/>
      <c r="P351" s="195"/>
      <c r="Q351" s="326"/>
      <c r="R351" s="111">
        <v>2</v>
      </c>
      <c r="S351" s="51"/>
      <c r="T351" s="339"/>
      <c r="U351" s="329"/>
      <c r="V351" s="371">
        <v>0.1</v>
      </c>
      <c r="W351" s="205">
        <v>0.5</v>
      </c>
      <c r="X351" s="59">
        <f>W351/Y351</f>
        <v>1.7953321364452424E-2</v>
      </c>
      <c r="Y351" s="171">
        <v>27.85</v>
      </c>
      <c r="Z351" s="68">
        <v>27.35</v>
      </c>
      <c r="AA351" s="172">
        <f t="shared" si="288"/>
        <v>0.5</v>
      </c>
      <c r="AB351" s="168">
        <f t="shared" si="289"/>
        <v>1.8281535648994516E-2</v>
      </c>
      <c r="AC351" s="204" t="s">
        <v>5041</v>
      </c>
      <c r="AD351" s="163" t="s">
        <v>5040</v>
      </c>
      <c r="AE351" s="89">
        <v>44253</v>
      </c>
      <c r="AF351" s="88">
        <v>44258</v>
      </c>
      <c r="AG351" s="34">
        <f t="shared" si="286"/>
        <v>5</v>
      </c>
      <c r="AH351" s="42" t="s">
        <v>5011</v>
      </c>
      <c r="AI351" s="200"/>
      <c r="AJ351" s="199"/>
    </row>
    <row r="352" spans="1:46" s="181" customFormat="1" ht="17.100000000000001" customHeight="1">
      <c r="A352" s="42"/>
      <c r="B352" s="85">
        <v>-79</v>
      </c>
      <c r="C352" s="84">
        <v>46</v>
      </c>
      <c r="D352" s="85">
        <v>-79</v>
      </c>
      <c r="E352" s="84">
        <v>46</v>
      </c>
      <c r="F352" s="7">
        <v>-1.74</v>
      </c>
      <c r="G352" s="42" t="s">
        <v>5043</v>
      </c>
      <c r="H352" s="51" t="s">
        <v>5047</v>
      </c>
      <c r="I352" s="163" t="s">
        <v>5044</v>
      </c>
      <c r="J352" s="77">
        <v>30.17</v>
      </c>
      <c r="K352" s="371">
        <v>14.25</v>
      </c>
      <c r="L352" s="77">
        <v>4.32</v>
      </c>
      <c r="M352" s="365"/>
      <c r="N352" s="365">
        <f t="shared" ref="N352:N359" si="290">V352+K352+J352+L352</f>
        <v>56.35</v>
      </c>
      <c r="O352" s="343"/>
      <c r="P352" s="195"/>
      <c r="Q352" s="326"/>
      <c r="R352" s="111">
        <v>7</v>
      </c>
      <c r="S352" s="51"/>
      <c r="T352" s="339"/>
      <c r="U352" s="329"/>
      <c r="V352" s="371">
        <v>7.61</v>
      </c>
      <c r="W352" s="205">
        <v>0</v>
      </c>
      <c r="X352" s="100">
        <f t="shared" ref="X352:X359" si="291">W352/Y352</f>
        <v>0</v>
      </c>
      <c r="Y352" s="171">
        <v>12.75</v>
      </c>
      <c r="Z352" s="68">
        <f>22.63-1.7</f>
        <v>20.93</v>
      </c>
      <c r="AA352" s="172">
        <f t="shared" si="288"/>
        <v>-8.18</v>
      </c>
      <c r="AB352" s="174">
        <f t="shared" si="289"/>
        <v>-0.3908265647396082</v>
      </c>
      <c r="AC352" s="120" t="s">
        <v>5045</v>
      </c>
      <c r="AD352" s="163" t="s">
        <v>5046</v>
      </c>
      <c r="AE352" s="89">
        <v>42776</v>
      </c>
      <c r="AF352" s="88">
        <v>44258</v>
      </c>
      <c r="AG352" s="143">
        <f t="shared" si="286"/>
        <v>1482</v>
      </c>
      <c r="AH352" s="42" t="s">
        <v>5011</v>
      </c>
      <c r="AI352" s="28"/>
      <c r="AJ352" s="18"/>
      <c r="AK352" s="12"/>
      <c r="AL352" s="12"/>
      <c r="AM352" s="12"/>
      <c r="AN352" s="12"/>
      <c r="AO352" s="288"/>
      <c r="AP352" s="288"/>
      <c r="AR352" s="4"/>
      <c r="AS352" s="288"/>
      <c r="AT352" s="288"/>
    </row>
    <row r="353" spans="1:46" s="181" customFormat="1" ht="17.100000000000001" customHeight="1">
      <c r="A353" s="42"/>
      <c r="B353" s="85">
        <v>-79</v>
      </c>
      <c r="C353" s="84">
        <v>46</v>
      </c>
      <c r="D353" s="85">
        <v>-79</v>
      </c>
      <c r="E353" s="84">
        <v>46</v>
      </c>
      <c r="F353" s="7">
        <v>-1.74</v>
      </c>
      <c r="G353" s="42" t="s">
        <v>5043</v>
      </c>
      <c r="H353" s="51" t="s">
        <v>5047</v>
      </c>
      <c r="I353" s="163" t="s">
        <v>5044</v>
      </c>
      <c r="J353" s="77">
        <v>30.17</v>
      </c>
      <c r="K353" s="371">
        <v>14.25</v>
      </c>
      <c r="L353" s="77">
        <v>4.32</v>
      </c>
      <c r="M353" s="365"/>
      <c r="N353" s="365">
        <f t="shared" si="290"/>
        <v>56.35</v>
      </c>
      <c r="O353" s="343"/>
      <c r="P353" s="195"/>
      <c r="Q353" s="326"/>
      <c r="R353" s="111"/>
      <c r="S353" s="51"/>
      <c r="T353" s="339"/>
      <c r="U353" s="329"/>
      <c r="V353" s="371">
        <v>7.61</v>
      </c>
      <c r="W353" s="205">
        <v>0</v>
      </c>
      <c r="X353" s="100">
        <f t="shared" si="291"/>
        <v>0</v>
      </c>
      <c r="Y353" s="171">
        <v>12.75</v>
      </c>
      <c r="Z353" s="68">
        <v>13.52</v>
      </c>
      <c r="AA353" s="172">
        <f t="shared" si="288"/>
        <v>-0.76999999999999957</v>
      </c>
      <c r="AB353" s="174">
        <f t="shared" si="289"/>
        <v>-5.6952662721893463E-2</v>
      </c>
      <c r="AC353" s="120" t="s">
        <v>5048</v>
      </c>
      <c r="AD353" s="163" t="s">
        <v>5044</v>
      </c>
      <c r="AE353" s="89">
        <v>43376</v>
      </c>
      <c r="AF353" s="88">
        <v>44258</v>
      </c>
      <c r="AG353" s="81">
        <f t="shared" si="286"/>
        <v>882</v>
      </c>
      <c r="AH353" s="42" t="s">
        <v>5011</v>
      </c>
      <c r="AI353" s="28"/>
      <c r="AJ353" s="18"/>
      <c r="AK353" s="12"/>
      <c r="AL353" s="12"/>
      <c r="AM353" s="12"/>
      <c r="AN353" s="12"/>
      <c r="AO353" s="288"/>
      <c r="AP353" s="288"/>
      <c r="AR353" s="4"/>
      <c r="AS353" s="288"/>
      <c r="AT353" s="288"/>
    </row>
    <row r="354" spans="1:46" s="181" customFormat="1" ht="17.100000000000001" customHeight="1">
      <c r="A354" s="42"/>
      <c r="B354" s="85">
        <v>-79</v>
      </c>
      <c r="C354" s="84">
        <v>46</v>
      </c>
      <c r="D354" s="85">
        <v>-79</v>
      </c>
      <c r="E354" s="84">
        <v>46</v>
      </c>
      <c r="F354" s="7">
        <v>-1.74</v>
      </c>
      <c r="G354" s="42" t="s">
        <v>5043</v>
      </c>
      <c r="H354" s="51" t="s">
        <v>5047</v>
      </c>
      <c r="I354" s="163" t="s">
        <v>5044</v>
      </c>
      <c r="J354" s="77">
        <v>30.17</v>
      </c>
      <c r="K354" s="371">
        <v>14.25</v>
      </c>
      <c r="L354" s="77">
        <v>4.32</v>
      </c>
      <c r="M354" s="365"/>
      <c r="N354" s="365">
        <f t="shared" si="290"/>
        <v>56.35</v>
      </c>
      <c r="O354" s="343"/>
      <c r="P354" s="195"/>
      <c r="Q354" s="326"/>
      <c r="R354" s="111"/>
      <c r="S354" s="51"/>
      <c r="T354" s="339"/>
      <c r="U354" s="329"/>
      <c r="V354" s="371">
        <v>7.61</v>
      </c>
      <c r="W354" s="205">
        <v>0</v>
      </c>
      <c r="X354" s="100">
        <f t="shared" si="291"/>
        <v>0</v>
      </c>
      <c r="Y354" s="171">
        <v>12.75</v>
      </c>
      <c r="Z354" s="68">
        <v>12.87</v>
      </c>
      <c r="AA354" s="172">
        <f t="shared" si="288"/>
        <v>-0.11999999999999922</v>
      </c>
      <c r="AB354" s="174">
        <f t="shared" si="289"/>
        <v>-9.3240093240092633E-3</v>
      </c>
      <c r="AC354" s="120" t="s">
        <v>5049</v>
      </c>
      <c r="AD354" s="163" t="s">
        <v>5044</v>
      </c>
      <c r="AE354" s="89">
        <v>43347</v>
      </c>
      <c r="AF354" s="88">
        <v>44258</v>
      </c>
      <c r="AG354" s="81">
        <f t="shared" si="286"/>
        <v>911</v>
      </c>
      <c r="AH354" s="42" t="s">
        <v>5011</v>
      </c>
      <c r="AI354" s="28"/>
      <c r="AJ354" s="18"/>
      <c r="AK354" s="12"/>
      <c r="AL354" s="12"/>
      <c r="AM354" s="12"/>
      <c r="AN354" s="12"/>
      <c r="AO354" s="288"/>
      <c r="AP354" s="288"/>
      <c r="AR354" s="4"/>
      <c r="AS354" s="288"/>
      <c r="AT354" s="288"/>
    </row>
    <row r="355" spans="1:46" s="288" customFormat="1" ht="16.5" customHeight="1">
      <c r="A355" s="150"/>
      <c r="B355" s="84">
        <v>62</v>
      </c>
      <c r="C355" s="84">
        <v>118</v>
      </c>
      <c r="D355" s="84">
        <v>62</v>
      </c>
      <c r="E355" s="84">
        <v>118</v>
      </c>
      <c r="F355" s="7">
        <v>0.45</v>
      </c>
      <c r="G355" s="42" t="s">
        <v>5043</v>
      </c>
      <c r="H355" s="51" t="s">
        <v>5047</v>
      </c>
      <c r="I355" s="163" t="s">
        <v>5044</v>
      </c>
      <c r="J355" s="77">
        <v>30.23</v>
      </c>
      <c r="K355" s="371">
        <v>14.22</v>
      </c>
      <c r="L355" s="77">
        <v>4.33</v>
      </c>
      <c r="M355" s="365"/>
      <c r="N355" s="365">
        <f t="shared" si="290"/>
        <v>56.39</v>
      </c>
      <c r="O355" s="343"/>
      <c r="P355" s="195"/>
      <c r="Q355" s="326"/>
      <c r="R355" s="111"/>
      <c r="S355" s="51"/>
      <c r="T355" s="339"/>
      <c r="U355" s="329"/>
      <c r="V355" s="371">
        <v>7.61</v>
      </c>
      <c r="W355" s="205">
        <v>0</v>
      </c>
      <c r="X355" s="100">
        <f t="shared" si="291"/>
        <v>0</v>
      </c>
      <c r="Y355" s="171">
        <f>12.75*3</f>
        <v>38.25</v>
      </c>
      <c r="Z355" s="68">
        <f>11.05*AH355</f>
        <v>33.150000000000006</v>
      </c>
      <c r="AA355" s="172">
        <f t="shared" si="288"/>
        <v>5.0999999999999943</v>
      </c>
      <c r="AB355" s="168">
        <f t="shared" si="289"/>
        <v>0.15384615384615366</v>
      </c>
      <c r="AC355" s="119" t="s">
        <v>5050</v>
      </c>
      <c r="AD355" s="163" t="s">
        <v>5044</v>
      </c>
      <c r="AE355" s="89">
        <v>43696</v>
      </c>
      <c r="AF355" s="88">
        <v>44258</v>
      </c>
      <c r="AG355" s="81">
        <f t="shared" si="286"/>
        <v>562</v>
      </c>
      <c r="AH355" s="42" t="s">
        <v>5020</v>
      </c>
      <c r="AI355" s="173"/>
    </row>
    <row r="356" spans="1:46" s="288" customFormat="1" ht="16.5" customHeight="1">
      <c r="A356" s="152"/>
      <c r="B356" s="84">
        <v>62</v>
      </c>
      <c r="C356" s="84">
        <v>118</v>
      </c>
      <c r="D356" s="84">
        <v>62</v>
      </c>
      <c r="E356" s="84">
        <v>118</v>
      </c>
      <c r="F356" s="7">
        <v>0.45</v>
      </c>
      <c r="G356" s="42" t="s">
        <v>5043</v>
      </c>
      <c r="H356" s="51" t="s">
        <v>5047</v>
      </c>
      <c r="I356" s="163" t="s">
        <v>5044</v>
      </c>
      <c r="J356" s="371">
        <v>30.06</v>
      </c>
      <c r="K356" s="77">
        <v>14.23</v>
      </c>
      <c r="L356" s="371">
        <v>4.25</v>
      </c>
      <c r="M356" s="365"/>
      <c r="N356" s="365">
        <f t="shared" si="290"/>
        <v>56.15</v>
      </c>
      <c r="O356" s="343"/>
      <c r="P356" s="195"/>
      <c r="Q356" s="326"/>
      <c r="R356" s="111"/>
      <c r="S356" s="51"/>
      <c r="T356" s="339"/>
      <c r="U356" s="329"/>
      <c r="V356" s="371">
        <v>7.61</v>
      </c>
      <c r="W356" s="205">
        <v>0</v>
      </c>
      <c r="X356" s="100">
        <f t="shared" si="291"/>
        <v>0</v>
      </c>
      <c r="Y356" s="171">
        <f>12.75*5</f>
        <v>63.75</v>
      </c>
      <c r="Z356" s="68">
        <f>11*AH356</f>
        <v>55</v>
      </c>
      <c r="AA356" s="172">
        <f t="shared" si="288"/>
        <v>8.75</v>
      </c>
      <c r="AB356" s="168">
        <f t="shared" si="289"/>
        <v>0.15909090909090909</v>
      </c>
      <c r="AC356" s="119" t="s">
        <v>5051</v>
      </c>
      <c r="AD356" s="163" t="s">
        <v>5044</v>
      </c>
      <c r="AE356" s="89">
        <v>43713</v>
      </c>
      <c r="AF356" s="88">
        <v>44258</v>
      </c>
      <c r="AG356" s="81">
        <f t="shared" si="286"/>
        <v>545</v>
      </c>
      <c r="AH356" s="42" t="s">
        <v>5052</v>
      </c>
    </row>
    <row r="357" spans="1:46" s="288" customFormat="1" ht="16.5" customHeight="1">
      <c r="A357" s="152"/>
      <c r="B357" s="84">
        <v>62</v>
      </c>
      <c r="C357" s="84">
        <v>118</v>
      </c>
      <c r="D357" s="84">
        <v>62</v>
      </c>
      <c r="E357" s="84">
        <v>118</v>
      </c>
      <c r="F357" s="7">
        <v>0.45</v>
      </c>
      <c r="G357" s="42" t="s">
        <v>5043</v>
      </c>
      <c r="H357" s="51" t="s">
        <v>5055</v>
      </c>
      <c r="I357" s="163" t="s">
        <v>5044</v>
      </c>
      <c r="J357" s="371">
        <v>30.06</v>
      </c>
      <c r="K357" s="77">
        <v>14.23</v>
      </c>
      <c r="L357" s="371">
        <v>4.25</v>
      </c>
      <c r="M357" s="365"/>
      <c r="N357" s="365">
        <f t="shared" si="290"/>
        <v>56.15</v>
      </c>
      <c r="O357" s="343"/>
      <c r="P357" s="195"/>
      <c r="Q357" s="326"/>
      <c r="R357" s="111"/>
      <c r="S357" s="51"/>
      <c r="T357" s="339"/>
      <c r="U357" s="329"/>
      <c r="V357" s="371">
        <v>7.61</v>
      </c>
      <c r="W357" s="205">
        <v>0</v>
      </c>
      <c r="X357" s="100">
        <f t="shared" si="291"/>
        <v>0</v>
      </c>
      <c r="Y357" s="171">
        <v>12.75</v>
      </c>
      <c r="Z357" s="68">
        <v>10.95</v>
      </c>
      <c r="AA357" s="172">
        <f t="shared" si="288"/>
        <v>1.8000000000000007</v>
      </c>
      <c r="AB357" s="168">
        <f t="shared" si="289"/>
        <v>0.16438356164383569</v>
      </c>
      <c r="AC357" s="119" t="s">
        <v>5053</v>
      </c>
      <c r="AD357" s="163" t="s">
        <v>5054</v>
      </c>
      <c r="AE357" s="89">
        <v>43713</v>
      </c>
      <c r="AF357" s="88">
        <v>44258</v>
      </c>
      <c r="AG357" s="81">
        <f t="shared" si="286"/>
        <v>545</v>
      </c>
      <c r="AH357" s="42" t="s">
        <v>5056</v>
      </c>
    </row>
    <row r="358" spans="1:46" s="288" customFormat="1" ht="16.5" customHeight="1">
      <c r="A358" s="152"/>
      <c r="B358" s="84">
        <v>62</v>
      </c>
      <c r="C358" s="84">
        <v>118</v>
      </c>
      <c r="D358" s="84">
        <v>62</v>
      </c>
      <c r="E358" s="84">
        <v>118</v>
      </c>
      <c r="F358" s="7">
        <v>0.45</v>
      </c>
      <c r="G358" s="42" t="s">
        <v>5057</v>
      </c>
      <c r="H358" s="51" t="s">
        <v>5055</v>
      </c>
      <c r="I358" s="163" t="s">
        <v>5054</v>
      </c>
      <c r="J358" s="371">
        <v>30.06</v>
      </c>
      <c r="K358" s="77">
        <v>14.23</v>
      </c>
      <c r="L358" s="371">
        <v>4.25</v>
      </c>
      <c r="M358" s="365"/>
      <c r="N358" s="365">
        <f t="shared" si="290"/>
        <v>56.15</v>
      </c>
      <c r="O358" s="343"/>
      <c r="P358" s="195"/>
      <c r="Q358" s="326"/>
      <c r="R358" s="111"/>
      <c r="S358" s="51"/>
      <c r="T358" s="339"/>
      <c r="U358" s="329"/>
      <c r="V358" s="371">
        <v>7.61</v>
      </c>
      <c r="W358" s="205">
        <v>0</v>
      </c>
      <c r="X358" s="100">
        <f t="shared" si="291"/>
        <v>0</v>
      </c>
      <c r="Y358" s="171">
        <v>12.75</v>
      </c>
      <c r="Z358" s="68">
        <v>10.7</v>
      </c>
      <c r="AA358" s="172">
        <f t="shared" si="288"/>
        <v>2.0500000000000007</v>
      </c>
      <c r="AB358" s="168">
        <f t="shared" si="289"/>
        <v>0.19158878504672905</v>
      </c>
      <c r="AC358" s="119" t="s">
        <v>5058</v>
      </c>
      <c r="AD358" s="163" t="s">
        <v>5054</v>
      </c>
      <c r="AE358" s="89">
        <v>43791</v>
      </c>
      <c r="AF358" s="88">
        <v>44258</v>
      </c>
      <c r="AG358" s="81">
        <f t="shared" si="286"/>
        <v>467</v>
      </c>
      <c r="AH358" s="42" t="s">
        <v>5056</v>
      </c>
    </row>
    <row r="359" spans="1:46" s="288" customFormat="1" ht="16.5" customHeight="1">
      <c r="A359" s="152"/>
      <c r="B359" s="84">
        <v>62</v>
      </c>
      <c r="C359" s="84">
        <v>118</v>
      </c>
      <c r="D359" s="84">
        <v>62</v>
      </c>
      <c r="E359" s="84">
        <v>118</v>
      </c>
      <c r="F359" s="7">
        <v>0.45</v>
      </c>
      <c r="G359" s="42" t="s">
        <v>5057</v>
      </c>
      <c r="H359" s="51" t="s">
        <v>5055</v>
      </c>
      <c r="I359" s="163" t="s">
        <v>5054</v>
      </c>
      <c r="J359" s="371">
        <v>30.06</v>
      </c>
      <c r="K359" s="77">
        <v>14.23</v>
      </c>
      <c r="L359" s="371">
        <v>4.25</v>
      </c>
      <c r="M359" s="365"/>
      <c r="N359" s="365">
        <f t="shared" si="290"/>
        <v>56.15</v>
      </c>
      <c r="O359" s="343"/>
      <c r="P359" s="195"/>
      <c r="Q359" s="326"/>
      <c r="R359" s="111"/>
      <c r="S359" s="51"/>
      <c r="T359" s="339"/>
      <c r="U359" s="329"/>
      <c r="V359" s="371">
        <v>7.61</v>
      </c>
      <c r="W359" s="205">
        <v>0</v>
      </c>
      <c r="X359" s="100">
        <f t="shared" si="291"/>
        <v>0</v>
      </c>
      <c r="Y359" s="171">
        <v>12.75</v>
      </c>
      <c r="Z359" s="68">
        <v>10.65</v>
      </c>
      <c r="AA359" s="172">
        <f t="shared" si="288"/>
        <v>2.0999999999999996</v>
      </c>
      <c r="AB359" s="168">
        <f t="shared" si="289"/>
        <v>0.19718309859154926</v>
      </c>
      <c r="AC359" s="119" t="s">
        <v>5059</v>
      </c>
      <c r="AD359" s="163" t="s">
        <v>5054</v>
      </c>
      <c r="AE359" s="89">
        <v>43791</v>
      </c>
      <c r="AF359" s="88">
        <v>44258</v>
      </c>
      <c r="AG359" s="81">
        <f t="shared" si="286"/>
        <v>467</v>
      </c>
      <c r="AH359" s="42" t="s">
        <v>5056</v>
      </c>
    </row>
    <row r="360" spans="1:46" s="288" customFormat="1">
      <c r="A360" s="135" t="s">
        <v>5060</v>
      </c>
      <c r="B360" s="85">
        <v>-16</v>
      </c>
      <c r="C360" s="85">
        <v>-15</v>
      </c>
      <c r="D360" s="84">
        <v>6</v>
      </c>
      <c r="E360" s="84">
        <v>14</v>
      </c>
      <c r="F360" s="59">
        <v>21.2</v>
      </c>
      <c r="G360" s="42" t="s">
        <v>5061</v>
      </c>
      <c r="H360" s="31" t="s">
        <v>5064</v>
      </c>
      <c r="I360" s="176" t="s">
        <v>5062</v>
      </c>
      <c r="J360" s="77">
        <v>69.09</v>
      </c>
      <c r="K360" s="77">
        <v>50.28</v>
      </c>
      <c r="L360" s="77">
        <v>5.86</v>
      </c>
      <c r="M360" s="365"/>
      <c r="N360" s="77">
        <f t="shared" ref="N360:N361" si="292">K360+J360+L360</f>
        <v>125.23</v>
      </c>
      <c r="O360" s="343"/>
      <c r="P360" s="195"/>
      <c r="Q360" s="326"/>
      <c r="R360" s="111"/>
      <c r="S360" s="51"/>
      <c r="T360" s="339"/>
      <c r="U360" s="329"/>
      <c r="V360" s="371">
        <v>0.28999999999999998</v>
      </c>
      <c r="W360" s="68">
        <v>4.2</v>
      </c>
      <c r="X360" s="40">
        <f>W360/Y360</f>
        <v>5.5118110236220472E-2</v>
      </c>
      <c r="Y360" s="175">
        <v>76.2</v>
      </c>
      <c r="Z360" s="68">
        <v>73</v>
      </c>
      <c r="AA360" s="172">
        <f t="shared" si="288"/>
        <v>3.2000000000000028</v>
      </c>
      <c r="AB360" s="168">
        <f t="shared" si="289"/>
        <v>4.3835616438356206E-2</v>
      </c>
      <c r="AC360" s="204" t="s">
        <v>5063</v>
      </c>
      <c r="AD360" s="176" t="s">
        <v>5062</v>
      </c>
      <c r="AE360" s="89">
        <v>44246</v>
      </c>
      <c r="AF360" s="88">
        <v>44257</v>
      </c>
      <c r="AG360" s="34">
        <f t="shared" si="286"/>
        <v>11</v>
      </c>
      <c r="AH360" s="42" t="s">
        <v>5056</v>
      </c>
    </row>
    <row r="361" spans="1:46" s="288" customFormat="1">
      <c r="A361" s="135" t="s">
        <v>5060</v>
      </c>
      <c r="B361" s="85">
        <v>-16</v>
      </c>
      <c r="C361" s="85">
        <v>-15</v>
      </c>
      <c r="D361" s="84">
        <v>6</v>
      </c>
      <c r="E361" s="84">
        <v>14</v>
      </c>
      <c r="F361" s="59">
        <v>21.2</v>
      </c>
      <c r="G361" s="42" t="s">
        <v>5061</v>
      </c>
      <c r="H361" s="31" t="s">
        <v>5025</v>
      </c>
      <c r="I361" s="176" t="s">
        <v>5062</v>
      </c>
      <c r="J361" s="77">
        <v>69.09</v>
      </c>
      <c r="K361" s="77">
        <v>50.28</v>
      </c>
      <c r="L361" s="77">
        <v>5.86</v>
      </c>
      <c r="M361" s="365"/>
      <c r="N361" s="77">
        <f t="shared" si="292"/>
        <v>125.23</v>
      </c>
      <c r="O361" s="343"/>
      <c r="P361" s="195"/>
      <c r="Q361" s="326"/>
      <c r="R361" s="111"/>
      <c r="S361" s="51"/>
      <c r="T361" s="339"/>
      <c r="U361" s="329"/>
      <c r="V361" s="371">
        <v>0.28999999999999998</v>
      </c>
      <c r="W361" s="68">
        <v>4.2</v>
      </c>
      <c r="X361" s="40">
        <f>W361/Y361</f>
        <v>5.5118110236220472E-2</v>
      </c>
      <c r="Y361" s="175">
        <v>76.2</v>
      </c>
      <c r="Z361" s="68">
        <v>76</v>
      </c>
      <c r="AA361" s="172">
        <f t="shared" si="288"/>
        <v>0.20000000000000284</v>
      </c>
      <c r="AB361" s="168">
        <f t="shared" si="289"/>
        <v>2.6315789473684583E-3</v>
      </c>
      <c r="AC361" s="204" t="s">
        <v>5065</v>
      </c>
      <c r="AD361" s="176" t="s">
        <v>5014</v>
      </c>
      <c r="AE361" s="89">
        <v>44222</v>
      </c>
      <c r="AF361" s="88">
        <v>44257</v>
      </c>
      <c r="AG361" s="34">
        <f t="shared" si="286"/>
        <v>35</v>
      </c>
      <c r="AH361" s="42" t="s">
        <v>5011</v>
      </c>
    </row>
    <row r="362" spans="1:46" s="288" customFormat="1">
      <c r="A362" s="135"/>
      <c r="B362" s="85"/>
      <c r="C362" s="85"/>
      <c r="D362" s="85"/>
      <c r="E362" s="84"/>
      <c r="F362" s="59"/>
      <c r="G362" s="42"/>
      <c r="H362" s="55"/>
      <c r="I362" s="166"/>
      <c r="J362" s="77"/>
      <c r="K362" s="77"/>
      <c r="L362" s="371"/>
      <c r="M362" s="365"/>
      <c r="N362" s="77"/>
      <c r="O362" s="343"/>
      <c r="P362" s="195"/>
      <c r="Q362" s="326"/>
      <c r="R362" s="111"/>
      <c r="S362" s="51"/>
      <c r="T362" s="339"/>
      <c r="U362" s="329"/>
      <c r="V362" s="371"/>
      <c r="W362" s="68"/>
      <c r="X362" s="40"/>
      <c r="Y362" s="171">
        <f>SUM(Y336:Y361)</f>
        <v>1672.55</v>
      </c>
      <c r="Z362" s="68">
        <f>SUM(Z336:Z361)</f>
        <v>1594.8200000000004</v>
      </c>
      <c r="AA362" s="172">
        <f>SUM(AA336:AA361)</f>
        <v>77.729999999999961</v>
      </c>
      <c r="AB362" s="168">
        <f>AA362/Z362</f>
        <v>4.8739042650581224E-2</v>
      </c>
      <c r="AC362" s="196"/>
      <c r="AD362" s="163">
        <f>Y362*(0.001425*0.65)+Y362*0.003+Z362*(0.001425*0.65)</f>
        <v>8.0440514625000006</v>
      </c>
      <c r="AE362" s="7">
        <f>AA362-AD362</f>
        <v>69.685948537499968</v>
      </c>
      <c r="AF362" s="76"/>
      <c r="AG362" s="124"/>
      <c r="AH362" s="42"/>
    </row>
    <row r="363" spans="1:46" s="288" customFormat="1">
      <c r="A363" s="135"/>
      <c r="B363" s="85"/>
      <c r="C363" s="85"/>
      <c r="D363" s="85"/>
      <c r="E363" s="84"/>
      <c r="F363" s="59"/>
      <c r="G363" s="42"/>
      <c r="H363" s="55"/>
      <c r="I363" s="166"/>
      <c r="J363" s="77"/>
      <c r="K363" s="77"/>
      <c r="L363" s="371"/>
      <c r="M363" s="365"/>
      <c r="N363" s="77"/>
      <c r="O363" s="343"/>
      <c r="P363" s="195"/>
      <c r="Q363" s="326"/>
      <c r="R363" s="111"/>
      <c r="S363" s="51"/>
      <c r="T363" s="339"/>
      <c r="U363" s="329"/>
      <c r="V363" s="371"/>
      <c r="W363" s="68"/>
      <c r="X363" s="40"/>
      <c r="Y363" s="175"/>
      <c r="Z363" s="165"/>
      <c r="AA363" s="172"/>
      <c r="AB363" s="168"/>
      <c r="AC363" s="196"/>
      <c r="AD363" s="163">
        <f>Y362*(0.001425*0.28)+Y362*0.003+Z362*(0.001425*0.28)</f>
        <v>6.3213306300000003</v>
      </c>
      <c r="AE363" s="75"/>
      <c r="AF363" s="76"/>
      <c r="AG363" s="124"/>
      <c r="AH363" s="42"/>
    </row>
    <row r="364" spans="1:46">
      <c r="B364" s="84"/>
      <c r="C364" s="84"/>
      <c r="D364" s="84"/>
      <c r="E364" s="84"/>
      <c r="F364" s="7"/>
      <c r="G364" s="42"/>
      <c r="H364" s="9"/>
      <c r="I364" s="23"/>
      <c r="J364" s="371"/>
      <c r="K364" s="371"/>
      <c r="L364" s="371"/>
      <c r="N364" s="365"/>
      <c r="W364" s="35"/>
      <c r="X364" s="100"/>
      <c r="Y364" s="14"/>
      <c r="Z364" s="46"/>
      <c r="AA364" s="16"/>
      <c r="AB364" s="80"/>
      <c r="AC364" s="121"/>
      <c r="AD364" s="23"/>
      <c r="AG364" s="34"/>
    </row>
    <row r="365" spans="1:46" s="297" customFormat="1">
      <c r="A365" s="135" t="s">
        <v>2552</v>
      </c>
      <c r="B365" s="96" t="s">
        <v>2331</v>
      </c>
      <c r="C365" s="96" t="s">
        <v>2332</v>
      </c>
      <c r="D365" s="96" t="s">
        <v>2333</v>
      </c>
      <c r="E365" s="96" t="s">
        <v>2334</v>
      </c>
      <c r="F365" s="9" t="s">
        <v>1709</v>
      </c>
      <c r="G365" s="27" t="s">
        <v>5626</v>
      </c>
      <c r="H365" s="56" t="s">
        <v>578</v>
      </c>
      <c r="I365" s="1" t="s">
        <v>131</v>
      </c>
      <c r="J365" s="364" t="s">
        <v>2189</v>
      </c>
      <c r="K365" s="364" t="s">
        <v>1820</v>
      </c>
      <c r="L365" s="364" t="s">
        <v>515</v>
      </c>
      <c r="M365" s="364"/>
      <c r="N365" s="364" t="s">
        <v>1708</v>
      </c>
      <c r="O365" s="343" t="s">
        <v>6634</v>
      </c>
      <c r="P365" s="195" t="s">
        <v>5279</v>
      </c>
      <c r="Q365" s="328"/>
      <c r="R365" s="337"/>
      <c r="S365" s="51" t="s">
        <v>5367</v>
      </c>
      <c r="T365" s="338" t="s">
        <v>5627</v>
      </c>
      <c r="U365" s="329"/>
      <c r="V365" s="377" t="s">
        <v>5296</v>
      </c>
      <c r="W365" s="15" t="s">
        <v>127</v>
      </c>
      <c r="X365" s="71" t="s">
        <v>5216</v>
      </c>
      <c r="Y365" s="29" t="s">
        <v>3</v>
      </c>
      <c r="Z365" s="71" t="s">
        <v>2113</v>
      </c>
      <c r="AA365" s="15" t="s">
        <v>8</v>
      </c>
      <c r="AB365" s="22" t="s">
        <v>4</v>
      </c>
      <c r="AC365" s="26" t="s">
        <v>211</v>
      </c>
      <c r="AD365" s="1" t="s">
        <v>131</v>
      </c>
      <c r="AE365" s="75" t="s">
        <v>2114</v>
      </c>
      <c r="AF365" s="76" t="s">
        <v>1826</v>
      </c>
      <c r="AG365" s="33" t="s">
        <v>1827</v>
      </c>
      <c r="AH365" s="47" t="s">
        <v>4938</v>
      </c>
      <c r="AI365" s="173"/>
    </row>
    <row r="366" spans="1:46" s="288" customFormat="1">
      <c r="A366" s="135" t="s">
        <v>2454</v>
      </c>
      <c r="B366" s="84">
        <v>969</v>
      </c>
      <c r="C366" s="98">
        <v>2455</v>
      </c>
      <c r="D366" s="84">
        <v>5</v>
      </c>
      <c r="E366" s="85">
        <v>-3</v>
      </c>
      <c r="F366" s="59">
        <v>13.31</v>
      </c>
      <c r="G366" s="42" t="s">
        <v>687</v>
      </c>
      <c r="H366" s="31" t="s">
        <v>2191</v>
      </c>
      <c r="I366" s="163" t="s">
        <v>688</v>
      </c>
      <c r="J366" s="77">
        <v>66.260000000000005</v>
      </c>
      <c r="K366" s="77">
        <v>26.32</v>
      </c>
      <c r="L366" s="77">
        <v>15.8</v>
      </c>
      <c r="M366" s="365"/>
      <c r="N366" s="77">
        <f t="shared" ref="N366:N371" si="293">K366+J366+L366</f>
        <v>108.38000000000001</v>
      </c>
      <c r="O366" s="343"/>
      <c r="P366" s="195"/>
      <c r="Q366" s="326"/>
      <c r="R366" s="111">
        <v>11</v>
      </c>
      <c r="S366" s="51"/>
      <c r="T366" s="339"/>
      <c r="U366" s="329"/>
      <c r="V366" s="371">
        <v>7.57</v>
      </c>
      <c r="W366" s="205">
        <v>0</v>
      </c>
      <c r="X366" s="59">
        <f>W366/Y366</f>
        <v>0</v>
      </c>
      <c r="Y366" s="171">
        <v>57.6</v>
      </c>
      <c r="Z366" s="68">
        <v>54.5</v>
      </c>
      <c r="AA366" s="172">
        <f t="shared" ref="AA366:AA382" si="294">Y366-Z366</f>
        <v>3.1000000000000014</v>
      </c>
      <c r="AB366" s="168">
        <f t="shared" ref="AB366:AB382" si="295">AA366/Z366</f>
        <v>5.6880733944954152E-2</v>
      </c>
      <c r="AC366" s="204" t="s">
        <v>4947</v>
      </c>
      <c r="AD366" s="163" t="s">
        <v>688</v>
      </c>
      <c r="AE366" s="89">
        <v>44225</v>
      </c>
      <c r="AF366" s="88">
        <v>44251</v>
      </c>
      <c r="AG366" s="34">
        <f t="shared" ref="AG366:AG375" si="296">AF366-AE366</f>
        <v>26</v>
      </c>
      <c r="AH366" s="42" t="s">
        <v>3434</v>
      </c>
      <c r="AI366" s="125"/>
    </row>
    <row r="367" spans="1:46" s="288" customFormat="1">
      <c r="A367" s="135" t="s">
        <v>2454</v>
      </c>
      <c r="B367" s="84">
        <v>969</v>
      </c>
      <c r="C367" s="98">
        <v>2455</v>
      </c>
      <c r="D367" s="84">
        <v>5</v>
      </c>
      <c r="E367" s="85">
        <v>-3</v>
      </c>
      <c r="F367" s="59">
        <v>13.31</v>
      </c>
      <c r="G367" s="42" t="s">
        <v>687</v>
      </c>
      <c r="H367" s="31" t="s">
        <v>2191</v>
      </c>
      <c r="I367" s="163" t="s">
        <v>688</v>
      </c>
      <c r="J367" s="77">
        <v>66.260000000000005</v>
      </c>
      <c r="K367" s="77">
        <v>26.32</v>
      </c>
      <c r="L367" s="77">
        <v>15.8</v>
      </c>
      <c r="M367" s="365"/>
      <c r="N367" s="77">
        <f t="shared" si="293"/>
        <v>108.38000000000001</v>
      </c>
      <c r="O367" s="343"/>
      <c r="P367" s="195"/>
      <c r="Q367" s="326"/>
      <c r="R367" s="111"/>
      <c r="S367" s="51"/>
      <c r="T367" s="339"/>
      <c r="U367" s="329"/>
      <c r="V367" s="371">
        <v>7.57</v>
      </c>
      <c r="W367" s="205">
        <v>0</v>
      </c>
      <c r="X367" s="59">
        <f>W367/Y367</f>
        <v>0</v>
      </c>
      <c r="Y367" s="171">
        <v>57.6</v>
      </c>
      <c r="Z367" s="68">
        <v>57.9</v>
      </c>
      <c r="AA367" s="172">
        <f t="shared" si="294"/>
        <v>-0.29999999999999716</v>
      </c>
      <c r="AB367" s="174">
        <f t="shared" si="295"/>
        <v>-5.1813471502590181E-3</v>
      </c>
      <c r="AC367" s="217" t="s">
        <v>4948</v>
      </c>
      <c r="AD367" s="163" t="s">
        <v>688</v>
      </c>
      <c r="AE367" s="89">
        <v>44214</v>
      </c>
      <c r="AF367" s="88">
        <v>44251</v>
      </c>
      <c r="AG367" s="34">
        <f t="shared" si="296"/>
        <v>37</v>
      </c>
      <c r="AH367" s="42" t="s">
        <v>3434</v>
      </c>
      <c r="AI367" s="125"/>
    </row>
    <row r="368" spans="1:46" s="288" customFormat="1">
      <c r="A368" s="135" t="s">
        <v>4935</v>
      </c>
      <c r="B368" s="84">
        <v>9</v>
      </c>
      <c r="C368" s="84">
        <v>9</v>
      </c>
      <c r="D368" s="84">
        <v>5</v>
      </c>
      <c r="E368" s="85">
        <v>-6</v>
      </c>
      <c r="F368" s="59">
        <v>27.77</v>
      </c>
      <c r="G368" s="42" t="s">
        <v>4936</v>
      </c>
      <c r="H368" s="31" t="s">
        <v>2191</v>
      </c>
      <c r="I368" s="163" t="s">
        <v>504</v>
      </c>
      <c r="J368" s="77">
        <v>74.510000000000005</v>
      </c>
      <c r="K368" s="371">
        <v>27.98</v>
      </c>
      <c r="L368" s="371">
        <v>0.49</v>
      </c>
      <c r="M368" s="365"/>
      <c r="N368" s="77">
        <f t="shared" si="293"/>
        <v>102.98</v>
      </c>
      <c r="O368" s="343"/>
      <c r="P368" s="195"/>
      <c r="Q368" s="326"/>
      <c r="R368" s="111">
        <v>1</v>
      </c>
      <c r="S368" s="51"/>
      <c r="T368" s="339"/>
      <c r="U368" s="329"/>
      <c r="V368" s="371">
        <v>0.03</v>
      </c>
      <c r="W368" s="205">
        <v>3</v>
      </c>
      <c r="X368" s="100">
        <f t="shared" ref="X368:X382" si="297">W368/Y368</f>
        <v>7.0754716981132074E-2</v>
      </c>
      <c r="Y368" s="171">
        <v>42.4</v>
      </c>
      <c r="Z368" s="68">
        <v>40.4</v>
      </c>
      <c r="AA368" s="172">
        <f t="shared" si="294"/>
        <v>2</v>
      </c>
      <c r="AB368" s="168">
        <f t="shared" si="295"/>
        <v>4.9504950495049507E-2</v>
      </c>
      <c r="AC368" s="204" t="s">
        <v>4837</v>
      </c>
      <c r="AD368" s="163" t="s">
        <v>504</v>
      </c>
      <c r="AE368" s="89">
        <v>44223</v>
      </c>
      <c r="AF368" s="88">
        <v>44251</v>
      </c>
      <c r="AG368" s="34">
        <f t="shared" si="296"/>
        <v>28</v>
      </c>
      <c r="AH368" s="42" t="s">
        <v>1790</v>
      </c>
      <c r="AI368" s="173"/>
    </row>
    <row r="369" spans="1:35" s="288" customFormat="1">
      <c r="A369" s="135" t="s">
        <v>4935</v>
      </c>
      <c r="B369" s="84">
        <v>9</v>
      </c>
      <c r="C369" s="84">
        <v>9</v>
      </c>
      <c r="D369" s="84">
        <v>5</v>
      </c>
      <c r="E369" s="85">
        <v>-6</v>
      </c>
      <c r="F369" s="59">
        <v>27.77</v>
      </c>
      <c r="G369" s="42" t="s">
        <v>4936</v>
      </c>
      <c r="H369" s="31" t="s">
        <v>2191</v>
      </c>
      <c r="I369" s="163" t="s">
        <v>504</v>
      </c>
      <c r="J369" s="77">
        <v>74.510000000000005</v>
      </c>
      <c r="K369" s="371">
        <v>27.98</v>
      </c>
      <c r="L369" s="371">
        <v>0.49</v>
      </c>
      <c r="M369" s="365"/>
      <c r="N369" s="77">
        <f t="shared" si="293"/>
        <v>102.98</v>
      </c>
      <c r="O369" s="343"/>
      <c r="P369" s="195"/>
      <c r="Q369" s="326"/>
      <c r="R369" s="111"/>
      <c r="S369" s="51"/>
      <c r="T369" s="339"/>
      <c r="U369" s="329"/>
      <c r="V369" s="371">
        <v>0.03</v>
      </c>
      <c r="W369" s="205">
        <v>3</v>
      </c>
      <c r="X369" s="100">
        <f t="shared" si="297"/>
        <v>7.0754716981132074E-2</v>
      </c>
      <c r="Y369" s="171">
        <v>42.4</v>
      </c>
      <c r="Z369" s="68">
        <v>40.4</v>
      </c>
      <c r="AA369" s="172">
        <f t="shared" si="294"/>
        <v>2</v>
      </c>
      <c r="AB369" s="168">
        <f t="shared" si="295"/>
        <v>4.9504950495049507E-2</v>
      </c>
      <c r="AC369" s="204" t="s">
        <v>4837</v>
      </c>
      <c r="AD369" s="163" t="s">
        <v>504</v>
      </c>
      <c r="AE369" s="89">
        <v>44223</v>
      </c>
      <c r="AF369" s="88">
        <v>44251</v>
      </c>
      <c r="AG369" s="34">
        <f t="shared" si="296"/>
        <v>28</v>
      </c>
      <c r="AH369" s="42" t="s">
        <v>1790</v>
      </c>
      <c r="AI369" s="173"/>
    </row>
    <row r="370" spans="1:35" s="288" customFormat="1">
      <c r="A370" s="135" t="s">
        <v>4935</v>
      </c>
      <c r="B370" s="84">
        <v>9</v>
      </c>
      <c r="C370" s="84">
        <v>9</v>
      </c>
      <c r="D370" s="84">
        <v>5</v>
      </c>
      <c r="E370" s="85">
        <v>-6</v>
      </c>
      <c r="F370" s="59">
        <v>27.77</v>
      </c>
      <c r="G370" s="42" t="s">
        <v>4936</v>
      </c>
      <c r="H370" s="31" t="s">
        <v>2191</v>
      </c>
      <c r="I370" s="163" t="s">
        <v>504</v>
      </c>
      <c r="J370" s="77">
        <v>74.510000000000005</v>
      </c>
      <c r="K370" s="371">
        <v>27.98</v>
      </c>
      <c r="L370" s="371">
        <v>0.49</v>
      </c>
      <c r="M370" s="365"/>
      <c r="N370" s="77">
        <f t="shared" si="293"/>
        <v>102.98</v>
      </c>
      <c r="O370" s="343"/>
      <c r="P370" s="195"/>
      <c r="Q370" s="326"/>
      <c r="R370" s="111"/>
      <c r="S370" s="51"/>
      <c r="T370" s="339"/>
      <c r="U370" s="329"/>
      <c r="V370" s="371">
        <v>0.03</v>
      </c>
      <c r="W370" s="205">
        <v>3</v>
      </c>
      <c r="X370" s="100">
        <f t="shared" si="297"/>
        <v>7.0754716981132074E-2</v>
      </c>
      <c r="Y370" s="171">
        <v>42.4</v>
      </c>
      <c r="Z370" s="68">
        <v>42.7</v>
      </c>
      <c r="AA370" s="172">
        <f t="shared" si="294"/>
        <v>-0.30000000000000426</v>
      </c>
      <c r="AB370" s="174">
        <f t="shared" si="295"/>
        <v>-7.0257611241218796E-3</v>
      </c>
      <c r="AC370" s="217" t="s">
        <v>4939</v>
      </c>
      <c r="AD370" s="163" t="s">
        <v>504</v>
      </c>
      <c r="AE370" s="89">
        <v>44188</v>
      </c>
      <c r="AF370" s="88">
        <v>44251</v>
      </c>
      <c r="AG370" s="34">
        <f t="shared" si="296"/>
        <v>63</v>
      </c>
      <c r="AH370" s="42" t="s">
        <v>1790</v>
      </c>
      <c r="AI370" s="173"/>
    </row>
    <row r="371" spans="1:35" s="288" customFormat="1">
      <c r="A371" s="135" t="s">
        <v>4935</v>
      </c>
      <c r="B371" s="84">
        <v>9</v>
      </c>
      <c r="C371" s="84">
        <v>9</v>
      </c>
      <c r="D371" s="84">
        <v>5</v>
      </c>
      <c r="E371" s="85">
        <v>-6</v>
      </c>
      <c r="F371" s="59">
        <v>27.77</v>
      </c>
      <c r="G371" s="42" t="s">
        <v>4936</v>
      </c>
      <c r="H371" s="31" t="s">
        <v>2191</v>
      </c>
      <c r="I371" s="163" t="s">
        <v>504</v>
      </c>
      <c r="J371" s="77">
        <v>74.510000000000005</v>
      </c>
      <c r="K371" s="371">
        <v>27.98</v>
      </c>
      <c r="L371" s="371">
        <v>0.49</v>
      </c>
      <c r="M371" s="365"/>
      <c r="N371" s="77">
        <f t="shared" si="293"/>
        <v>102.98</v>
      </c>
      <c r="O371" s="343"/>
      <c r="P371" s="195"/>
      <c r="Q371" s="326"/>
      <c r="R371" s="111"/>
      <c r="S371" s="51"/>
      <c r="T371" s="339"/>
      <c r="U371" s="329"/>
      <c r="V371" s="371">
        <v>0.03</v>
      </c>
      <c r="W371" s="205">
        <v>3</v>
      </c>
      <c r="X371" s="100">
        <f t="shared" si="297"/>
        <v>7.0754716981132074E-2</v>
      </c>
      <c r="Y371" s="171">
        <v>42.4</v>
      </c>
      <c r="Z371" s="68">
        <v>43.45</v>
      </c>
      <c r="AA371" s="172">
        <f t="shared" si="294"/>
        <v>-1.0500000000000043</v>
      </c>
      <c r="AB371" s="174">
        <f t="shared" si="295"/>
        <v>-2.4165707710011603E-2</v>
      </c>
      <c r="AC371" s="217" t="s">
        <v>4940</v>
      </c>
      <c r="AD371" s="163" t="s">
        <v>504</v>
      </c>
      <c r="AE371" s="89">
        <v>44186</v>
      </c>
      <c r="AF371" s="88">
        <v>44251</v>
      </c>
      <c r="AG371" s="34">
        <f t="shared" si="296"/>
        <v>65</v>
      </c>
      <c r="AH371" s="42" t="s">
        <v>1790</v>
      </c>
      <c r="AI371" s="173"/>
    </row>
    <row r="372" spans="1:35" s="288" customFormat="1">
      <c r="A372" s="135" t="s">
        <v>2535</v>
      </c>
      <c r="B372" s="98">
        <v>233</v>
      </c>
      <c r="C372" s="98">
        <v>237</v>
      </c>
      <c r="D372" s="84">
        <v>0</v>
      </c>
      <c r="E372" s="84">
        <v>4</v>
      </c>
      <c r="F372" s="59">
        <v>23.39</v>
      </c>
      <c r="G372" s="58" t="s">
        <v>4934</v>
      </c>
      <c r="H372" s="31" t="s">
        <v>2191</v>
      </c>
      <c r="I372" s="176" t="s">
        <v>162</v>
      </c>
      <c r="J372" s="77">
        <v>45.87</v>
      </c>
      <c r="K372" s="371">
        <v>6.43</v>
      </c>
      <c r="L372" s="77">
        <v>26.89</v>
      </c>
      <c r="M372" s="365"/>
      <c r="N372" s="389">
        <f>K372+J372+L372</f>
        <v>79.19</v>
      </c>
      <c r="O372" s="343"/>
      <c r="P372" s="195"/>
      <c r="Q372" s="326"/>
      <c r="R372" s="111"/>
      <c r="S372" s="51"/>
      <c r="T372" s="339"/>
      <c r="U372" s="329"/>
      <c r="V372" s="371">
        <v>0.3</v>
      </c>
      <c r="W372" s="205">
        <v>3.6</v>
      </c>
      <c r="X372" s="100">
        <f t="shared" si="297"/>
        <v>3.0125523012552301E-2</v>
      </c>
      <c r="Y372" s="171">
        <v>119.5</v>
      </c>
      <c r="Z372" s="165">
        <v>116</v>
      </c>
      <c r="AA372" s="172">
        <f t="shared" si="294"/>
        <v>3.5</v>
      </c>
      <c r="AB372" s="168">
        <f t="shared" si="295"/>
        <v>3.017241379310345E-2</v>
      </c>
      <c r="AC372" s="204" t="s">
        <v>2533</v>
      </c>
      <c r="AD372" s="176" t="s">
        <v>162</v>
      </c>
      <c r="AE372" s="89">
        <v>44209</v>
      </c>
      <c r="AF372" s="88">
        <v>44251</v>
      </c>
      <c r="AG372" s="34">
        <f t="shared" si="296"/>
        <v>42</v>
      </c>
      <c r="AH372" s="42" t="s">
        <v>1790</v>
      </c>
    </row>
    <row r="373" spans="1:35" s="288" customFormat="1">
      <c r="A373" s="135" t="s">
        <v>2535</v>
      </c>
      <c r="B373" s="98">
        <v>233</v>
      </c>
      <c r="C373" s="98">
        <v>237</v>
      </c>
      <c r="D373" s="84">
        <v>0</v>
      </c>
      <c r="E373" s="84">
        <v>4</v>
      </c>
      <c r="F373" s="59">
        <v>23.39</v>
      </c>
      <c r="G373" s="58" t="s">
        <v>4934</v>
      </c>
      <c r="H373" s="31" t="s">
        <v>2191</v>
      </c>
      <c r="I373" s="176" t="s">
        <v>162</v>
      </c>
      <c r="J373" s="77">
        <v>45.87</v>
      </c>
      <c r="K373" s="371">
        <v>6.43</v>
      </c>
      <c r="L373" s="77">
        <v>26.89</v>
      </c>
      <c r="M373" s="365"/>
      <c r="N373" s="389">
        <f>K373+J373+L373</f>
        <v>79.19</v>
      </c>
      <c r="O373" s="343"/>
      <c r="P373" s="195"/>
      <c r="Q373" s="326"/>
      <c r="R373" s="111"/>
      <c r="S373" s="51"/>
      <c r="T373" s="339"/>
      <c r="U373" s="329"/>
      <c r="V373" s="371">
        <v>0.3</v>
      </c>
      <c r="W373" s="205">
        <v>3.6</v>
      </c>
      <c r="X373" s="100">
        <f t="shared" si="297"/>
        <v>3.0125523012552301E-2</v>
      </c>
      <c r="Y373" s="171">
        <v>119.5</v>
      </c>
      <c r="Z373" s="165">
        <v>117</v>
      </c>
      <c r="AA373" s="172">
        <f t="shared" si="294"/>
        <v>2.5</v>
      </c>
      <c r="AB373" s="168">
        <f t="shared" si="295"/>
        <v>2.1367521367521368E-2</v>
      </c>
      <c r="AC373" s="204" t="s">
        <v>2610</v>
      </c>
      <c r="AD373" s="176" t="s">
        <v>162</v>
      </c>
      <c r="AE373" s="89">
        <v>44207</v>
      </c>
      <c r="AF373" s="88">
        <v>44251</v>
      </c>
      <c r="AG373" s="34">
        <f t="shared" si="296"/>
        <v>44</v>
      </c>
      <c r="AH373" s="42" t="s">
        <v>1790</v>
      </c>
    </row>
    <row r="374" spans="1:35" s="288" customFormat="1">
      <c r="A374" s="135" t="s">
        <v>3501</v>
      </c>
      <c r="B374" s="84">
        <v>89</v>
      </c>
      <c r="C374" s="84">
        <v>91</v>
      </c>
      <c r="D374" s="85">
        <v>-8</v>
      </c>
      <c r="E374" s="84">
        <v>14</v>
      </c>
      <c r="F374" s="59">
        <v>16.3</v>
      </c>
      <c r="G374" s="42" t="s">
        <v>3045</v>
      </c>
      <c r="H374" s="31" t="s">
        <v>2191</v>
      </c>
      <c r="I374" s="176" t="s">
        <v>664</v>
      </c>
      <c r="J374" s="77">
        <v>10.14</v>
      </c>
      <c r="K374" s="77">
        <v>4.7300000000000004</v>
      </c>
      <c r="L374" s="77">
        <v>53.31</v>
      </c>
      <c r="M374" s="365"/>
      <c r="N374" s="365">
        <f t="shared" ref="N374:N375" si="298">K374+J374+L374</f>
        <v>68.180000000000007</v>
      </c>
      <c r="O374" s="343"/>
      <c r="P374" s="195"/>
      <c r="Q374" s="326"/>
      <c r="R374" s="111">
        <v>6</v>
      </c>
      <c r="S374" s="51"/>
      <c r="T374" s="339"/>
      <c r="U374" s="329"/>
      <c r="V374" s="371">
        <v>4.17</v>
      </c>
      <c r="W374" s="205">
        <v>2</v>
      </c>
      <c r="X374" s="59">
        <f t="shared" si="297"/>
        <v>2.7359781121751029E-2</v>
      </c>
      <c r="Y374" s="171">
        <v>73.099999999999994</v>
      </c>
      <c r="Z374" s="165">
        <v>68.5</v>
      </c>
      <c r="AA374" s="172">
        <f t="shared" si="294"/>
        <v>4.5999999999999943</v>
      </c>
      <c r="AB374" s="168">
        <f t="shared" si="295"/>
        <v>6.7153284671532767E-2</v>
      </c>
      <c r="AC374" s="204" t="s">
        <v>4941</v>
      </c>
      <c r="AD374" s="176" t="s">
        <v>664</v>
      </c>
      <c r="AE374" s="89">
        <v>44218</v>
      </c>
      <c r="AF374" s="88">
        <v>44251</v>
      </c>
      <c r="AG374" s="34">
        <f t="shared" si="296"/>
        <v>33</v>
      </c>
      <c r="AH374" s="42" t="s">
        <v>1790</v>
      </c>
      <c r="AI374" s="173"/>
    </row>
    <row r="375" spans="1:35" s="288" customFormat="1">
      <c r="A375" s="135" t="s">
        <v>3501</v>
      </c>
      <c r="B375" s="84">
        <v>89</v>
      </c>
      <c r="C375" s="84">
        <v>91</v>
      </c>
      <c r="D375" s="85">
        <v>-8</v>
      </c>
      <c r="E375" s="84">
        <v>14</v>
      </c>
      <c r="F375" s="59">
        <v>16.3</v>
      </c>
      <c r="G375" s="42" t="s">
        <v>3045</v>
      </c>
      <c r="H375" s="31" t="s">
        <v>2191</v>
      </c>
      <c r="I375" s="176" t="s">
        <v>664</v>
      </c>
      <c r="J375" s="77">
        <v>10.14</v>
      </c>
      <c r="K375" s="77">
        <v>4.7300000000000004</v>
      </c>
      <c r="L375" s="77">
        <v>53.31</v>
      </c>
      <c r="M375" s="365"/>
      <c r="N375" s="365">
        <f t="shared" si="298"/>
        <v>68.180000000000007</v>
      </c>
      <c r="O375" s="343"/>
      <c r="P375" s="195"/>
      <c r="Q375" s="326"/>
      <c r="R375" s="111"/>
      <c r="S375" s="51"/>
      <c r="T375" s="339"/>
      <c r="U375" s="329"/>
      <c r="V375" s="371">
        <v>4.17</v>
      </c>
      <c r="W375" s="205">
        <v>2</v>
      </c>
      <c r="X375" s="59">
        <f t="shared" si="297"/>
        <v>2.7359781121751029E-2</v>
      </c>
      <c r="Y375" s="171">
        <v>73.099999999999994</v>
      </c>
      <c r="Z375" s="165">
        <v>73.900000000000006</v>
      </c>
      <c r="AA375" s="172">
        <f t="shared" si="294"/>
        <v>-0.80000000000001137</v>
      </c>
      <c r="AB375" s="174">
        <f t="shared" si="295"/>
        <v>-1.0825439783491358E-2</v>
      </c>
      <c r="AC375" s="217" t="s">
        <v>4942</v>
      </c>
      <c r="AD375" s="176" t="s">
        <v>664</v>
      </c>
      <c r="AE375" s="89">
        <v>44207</v>
      </c>
      <c r="AF375" s="88">
        <v>44251</v>
      </c>
      <c r="AG375" s="34">
        <f t="shared" si="296"/>
        <v>44</v>
      </c>
      <c r="AH375" s="42" t="s">
        <v>1790</v>
      </c>
      <c r="AI375" s="173"/>
    </row>
    <row r="376" spans="1:35" s="288" customFormat="1">
      <c r="A376" s="150"/>
      <c r="B376" s="85">
        <v>-1</v>
      </c>
      <c r="C376" s="85">
        <v>-17</v>
      </c>
      <c r="D376" s="85">
        <v>-1</v>
      </c>
      <c r="E376" s="85">
        <v>-12</v>
      </c>
      <c r="F376" s="7">
        <v>4.8499999999999996</v>
      </c>
      <c r="G376" s="42" t="s">
        <v>125</v>
      </c>
      <c r="H376" s="31" t="s">
        <v>2191</v>
      </c>
      <c r="I376" s="163" t="s">
        <v>4937</v>
      </c>
      <c r="J376" s="371">
        <v>67.36</v>
      </c>
      <c r="K376" s="77">
        <v>34.32</v>
      </c>
      <c r="L376" s="77">
        <v>1.4</v>
      </c>
      <c r="M376" s="365"/>
      <c r="N376" s="365">
        <f>V376+K376+J376+L376</f>
        <v>120.64</v>
      </c>
      <c r="O376" s="343"/>
      <c r="P376" s="195"/>
      <c r="Q376" s="326"/>
      <c r="R376" s="111"/>
      <c r="S376" s="51"/>
      <c r="T376" s="339"/>
      <c r="U376" s="329"/>
      <c r="V376" s="371">
        <v>17.559999999999999</v>
      </c>
      <c r="W376" s="68">
        <v>0.98</v>
      </c>
      <c r="X376" s="40">
        <f t="shared" si="297"/>
        <v>3.6567164179104474E-2</v>
      </c>
      <c r="Y376" s="171">
        <v>26.8</v>
      </c>
      <c r="Z376" s="68">
        <v>26.1</v>
      </c>
      <c r="AA376" s="172">
        <f t="shared" si="294"/>
        <v>0.69999999999999929</v>
      </c>
      <c r="AB376" s="168">
        <f t="shared" si="295"/>
        <v>2.6819923371647483E-2</v>
      </c>
      <c r="AC376" s="204" t="s">
        <v>4943</v>
      </c>
      <c r="AD376" s="163" t="s">
        <v>4937</v>
      </c>
      <c r="AE376" s="89">
        <v>44246</v>
      </c>
      <c r="AF376" s="88">
        <v>44251</v>
      </c>
      <c r="AG376" s="34">
        <f>AF376-AE376</f>
        <v>5</v>
      </c>
      <c r="AH376" s="42" t="s">
        <v>1790</v>
      </c>
      <c r="AI376" s="173"/>
    </row>
    <row r="377" spans="1:35" s="288" customFormat="1">
      <c r="A377" s="150"/>
      <c r="B377" s="85">
        <v>-1</v>
      </c>
      <c r="C377" s="85">
        <v>-17</v>
      </c>
      <c r="D377" s="85">
        <v>-1</v>
      </c>
      <c r="E377" s="85">
        <v>-12</v>
      </c>
      <c r="F377" s="7">
        <v>4.8499999999999996</v>
      </c>
      <c r="G377" s="42" t="s">
        <v>125</v>
      </c>
      <c r="H377" s="31" t="s">
        <v>2191</v>
      </c>
      <c r="I377" s="163" t="s">
        <v>4937</v>
      </c>
      <c r="J377" s="371">
        <v>67.36</v>
      </c>
      <c r="K377" s="77">
        <v>34.32</v>
      </c>
      <c r="L377" s="77">
        <v>1.4</v>
      </c>
      <c r="M377" s="365"/>
      <c r="N377" s="365">
        <f>V377+K377+J377+L377</f>
        <v>120.64</v>
      </c>
      <c r="O377" s="343"/>
      <c r="P377" s="195"/>
      <c r="Q377" s="326"/>
      <c r="R377" s="111"/>
      <c r="S377" s="51"/>
      <c r="T377" s="339"/>
      <c r="U377" s="329"/>
      <c r="V377" s="371">
        <v>17.559999999999999</v>
      </c>
      <c r="W377" s="68">
        <v>0.98</v>
      </c>
      <c r="X377" s="40">
        <f t="shared" si="297"/>
        <v>3.7984496124031007E-2</v>
      </c>
      <c r="Y377" s="171">
        <v>25.8</v>
      </c>
      <c r="Z377" s="68">
        <f>25.3-0.5</f>
        <v>24.8</v>
      </c>
      <c r="AA377" s="172">
        <f t="shared" si="294"/>
        <v>1</v>
      </c>
      <c r="AB377" s="168">
        <f t="shared" si="295"/>
        <v>4.0322580645161289E-2</v>
      </c>
      <c r="AC377" s="204" t="s">
        <v>4633</v>
      </c>
      <c r="AD377" s="163" t="s">
        <v>4937</v>
      </c>
      <c r="AE377" s="89">
        <v>43731</v>
      </c>
      <c r="AF377" s="88">
        <v>44245</v>
      </c>
      <c r="AG377" s="81">
        <f>AF377-AE377</f>
        <v>514</v>
      </c>
      <c r="AH377" s="124" t="s">
        <v>1790</v>
      </c>
      <c r="AI377" s="173"/>
    </row>
    <row r="378" spans="1:35" s="288" customFormat="1">
      <c r="A378" s="150"/>
      <c r="B378" s="85">
        <v>-1</v>
      </c>
      <c r="C378" s="85">
        <v>-17</v>
      </c>
      <c r="D378" s="85">
        <v>-1</v>
      </c>
      <c r="E378" s="85">
        <v>-12</v>
      </c>
      <c r="F378" s="7">
        <v>4.8499999999999996</v>
      </c>
      <c r="G378" s="42" t="s">
        <v>125</v>
      </c>
      <c r="H378" s="31" t="s">
        <v>2191</v>
      </c>
      <c r="I378" s="163" t="s">
        <v>4937</v>
      </c>
      <c r="J378" s="371">
        <v>67.36</v>
      </c>
      <c r="K378" s="77">
        <v>34.32</v>
      </c>
      <c r="L378" s="77">
        <v>1.4</v>
      </c>
      <c r="M378" s="365"/>
      <c r="N378" s="365">
        <f>V378+K378+J378+L378</f>
        <v>120.64</v>
      </c>
      <c r="O378" s="343"/>
      <c r="P378" s="195"/>
      <c r="Q378" s="326"/>
      <c r="R378" s="111"/>
      <c r="S378" s="51"/>
      <c r="T378" s="339"/>
      <c r="U378" s="329"/>
      <c r="V378" s="371">
        <v>17.559999999999999</v>
      </c>
      <c r="W378" s="68">
        <v>0.98</v>
      </c>
      <c r="X378" s="40">
        <f t="shared" si="297"/>
        <v>3.7984496124031007E-2</v>
      </c>
      <c r="Y378" s="171">
        <v>25.8</v>
      </c>
      <c r="Z378" s="68">
        <f>25.2-0.5</f>
        <v>24.7</v>
      </c>
      <c r="AA378" s="172">
        <f t="shared" si="294"/>
        <v>1.1000000000000014</v>
      </c>
      <c r="AB378" s="168">
        <f t="shared" si="295"/>
        <v>4.4534412955465646E-2</v>
      </c>
      <c r="AC378" s="204" t="s">
        <v>4670</v>
      </c>
      <c r="AD378" s="163" t="s">
        <v>4937</v>
      </c>
      <c r="AE378" s="89">
        <v>43732</v>
      </c>
      <c r="AF378" s="88">
        <v>44245</v>
      </c>
      <c r="AG378" s="81">
        <f>AF378-AE378</f>
        <v>513</v>
      </c>
      <c r="AH378" s="124" t="s">
        <v>1790</v>
      </c>
      <c r="AI378" s="173"/>
    </row>
    <row r="379" spans="1:35" s="288" customFormat="1">
      <c r="A379" s="150"/>
      <c r="B379" s="85">
        <v>-1</v>
      </c>
      <c r="C379" s="85">
        <v>-17</v>
      </c>
      <c r="D379" s="85">
        <v>-1</v>
      </c>
      <c r="E379" s="85">
        <v>-12</v>
      </c>
      <c r="F379" s="7">
        <v>4.8499999999999996</v>
      </c>
      <c r="G379" s="42" t="s">
        <v>125</v>
      </c>
      <c r="H379" s="31" t="s">
        <v>2191</v>
      </c>
      <c r="I379" s="163" t="s">
        <v>4937</v>
      </c>
      <c r="J379" s="371">
        <v>67.36</v>
      </c>
      <c r="K379" s="77">
        <v>34.32</v>
      </c>
      <c r="L379" s="77">
        <v>1.4</v>
      </c>
      <c r="M379" s="365"/>
      <c r="N379" s="365">
        <f>V379+K379+J379+L379</f>
        <v>120.64</v>
      </c>
      <c r="O379" s="343"/>
      <c r="P379" s="195"/>
      <c r="Q379" s="326"/>
      <c r="R379" s="111"/>
      <c r="S379" s="51"/>
      <c r="T379" s="339"/>
      <c r="U379" s="329"/>
      <c r="V379" s="371">
        <v>17.559999999999999</v>
      </c>
      <c r="W379" s="68">
        <v>0.98</v>
      </c>
      <c r="X379" s="40">
        <f t="shared" si="297"/>
        <v>3.7984496124031007E-2</v>
      </c>
      <c r="Y379" s="171">
        <v>25.8</v>
      </c>
      <c r="Z379" s="68">
        <f>25-0.5</f>
        <v>24.5</v>
      </c>
      <c r="AA379" s="172">
        <f t="shared" si="294"/>
        <v>1.3000000000000007</v>
      </c>
      <c r="AB379" s="168">
        <f t="shared" si="295"/>
        <v>5.3061224489795944E-2</v>
      </c>
      <c r="AC379" s="204" t="s">
        <v>4904</v>
      </c>
      <c r="AD379" s="163" t="s">
        <v>4937</v>
      </c>
      <c r="AE379" s="89">
        <v>43734</v>
      </c>
      <c r="AF379" s="88">
        <v>44245</v>
      </c>
      <c r="AG379" s="81">
        <f>AF379-AE379</f>
        <v>511</v>
      </c>
      <c r="AH379" s="124" t="s">
        <v>1790</v>
      </c>
      <c r="AI379" s="173"/>
    </row>
    <row r="380" spans="1:35" s="288" customFormat="1">
      <c r="A380" s="150"/>
      <c r="B380" s="85">
        <v>-1</v>
      </c>
      <c r="C380" s="85">
        <v>-17</v>
      </c>
      <c r="D380" s="85">
        <v>-1</v>
      </c>
      <c r="E380" s="85">
        <v>-12</v>
      </c>
      <c r="F380" s="7">
        <v>4.8499999999999996</v>
      </c>
      <c r="G380" s="42" t="s">
        <v>125</v>
      </c>
      <c r="H380" s="31" t="s">
        <v>2191</v>
      </c>
      <c r="I380" s="163" t="s">
        <v>4937</v>
      </c>
      <c r="J380" s="371">
        <v>67.36</v>
      </c>
      <c r="K380" s="77">
        <v>34.32</v>
      </c>
      <c r="L380" s="77">
        <v>1.4</v>
      </c>
      <c r="M380" s="365"/>
      <c r="N380" s="365">
        <f>V380+K380+J380+L380</f>
        <v>120.64</v>
      </c>
      <c r="O380" s="343"/>
      <c r="P380" s="195"/>
      <c r="Q380" s="326"/>
      <c r="R380" s="111"/>
      <c r="S380" s="51"/>
      <c r="T380" s="339"/>
      <c r="U380" s="329"/>
      <c r="V380" s="371">
        <v>17.559999999999999</v>
      </c>
      <c r="W380" s="68">
        <v>0.98</v>
      </c>
      <c r="X380" s="40">
        <f t="shared" si="297"/>
        <v>3.7984496124031007E-2</v>
      </c>
      <c r="Y380" s="171">
        <v>25.8</v>
      </c>
      <c r="Z380" s="68">
        <f>24.5-0.5</f>
        <v>24</v>
      </c>
      <c r="AA380" s="172">
        <f t="shared" si="294"/>
        <v>1.8000000000000007</v>
      </c>
      <c r="AB380" s="168">
        <f t="shared" si="295"/>
        <v>7.5000000000000025E-2</v>
      </c>
      <c r="AC380" s="204" t="s">
        <v>4944</v>
      </c>
      <c r="AD380" s="163" t="s">
        <v>4937</v>
      </c>
      <c r="AE380" s="89">
        <v>43735</v>
      </c>
      <c r="AF380" s="88">
        <v>44245</v>
      </c>
      <c r="AG380" s="81">
        <f>AF380-AE380</f>
        <v>510</v>
      </c>
      <c r="AH380" s="124" t="s">
        <v>1790</v>
      </c>
      <c r="AI380" s="173"/>
    </row>
    <row r="381" spans="1:35" s="288" customFormat="1">
      <c r="A381" s="151" t="s">
        <v>2780</v>
      </c>
      <c r="B381" s="85">
        <v>-71</v>
      </c>
      <c r="C381" s="85">
        <v>-61</v>
      </c>
      <c r="D381" s="85">
        <v>-7</v>
      </c>
      <c r="E381" s="84">
        <v>30</v>
      </c>
      <c r="F381" s="7">
        <v>7</v>
      </c>
      <c r="G381" s="42" t="s">
        <v>3446</v>
      </c>
      <c r="H381" s="31" t="s">
        <v>2191</v>
      </c>
      <c r="I381" s="163" t="s">
        <v>243</v>
      </c>
      <c r="J381" s="371">
        <v>52.89</v>
      </c>
      <c r="K381" s="77">
        <v>17.09</v>
      </c>
      <c r="L381" s="77">
        <v>8.4</v>
      </c>
      <c r="M381" s="365"/>
      <c r="N381" s="365">
        <f t="shared" ref="N381:N382" si="299">K381+J381+L381</f>
        <v>78.38000000000001</v>
      </c>
      <c r="O381" s="343"/>
      <c r="P381" s="195"/>
      <c r="Q381" s="326"/>
      <c r="R381" s="111">
        <v>2</v>
      </c>
      <c r="S381" s="51"/>
      <c r="T381" s="339"/>
      <c r="U381" s="329"/>
      <c r="V381" s="371">
        <v>0.71</v>
      </c>
      <c r="W381" s="68">
        <v>2</v>
      </c>
      <c r="X381" s="40">
        <f t="shared" si="297"/>
        <v>1.6666666666666666E-2</v>
      </c>
      <c r="Y381" s="171">
        <v>120</v>
      </c>
      <c r="Z381" s="68">
        <v>90</v>
      </c>
      <c r="AA381" s="172">
        <f t="shared" si="294"/>
        <v>30</v>
      </c>
      <c r="AB381" s="168">
        <f t="shared" si="295"/>
        <v>0.33333333333333331</v>
      </c>
      <c r="AC381" s="119" t="s">
        <v>4574</v>
      </c>
      <c r="AD381" s="163" t="s">
        <v>243</v>
      </c>
      <c r="AE381" s="89">
        <v>44231</v>
      </c>
      <c r="AF381" s="88">
        <v>44231</v>
      </c>
      <c r="AG381" s="34">
        <f t="shared" ref="AG381:AG382" si="300">AF381-AE381</f>
        <v>0</v>
      </c>
      <c r="AH381" s="124" t="s">
        <v>1790</v>
      </c>
    </row>
    <row r="382" spans="1:35" s="288" customFormat="1">
      <c r="A382" s="135" t="s">
        <v>3586</v>
      </c>
      <c r="B382" s="85">
        <v>-16</v>
      </c>
      <c r="C382" s="85">
        <v>-15</v>
      </c>
      <c r="D382" s="84">
        <v>6</v>
      </c>
      <c r="E382" s="84">
        <v>14</v>
      </c>
      <c r="F382" s="59">
        <v>21.2</v>
      </c>
      <c r="G382" s="42" t="s">
        <v>1712</v>
      </c>
      <c r="H382" s="31" t="s">
        <v>2191</v>
      </c>
      <c r="I382" s="176" t="s">
        <v>76</v>
      </c>
      <c r="J382" s="77">
        <v>69.09</v>
      </c>
      <c r="K382" s="77">
        <v>50.28</v>
      </c>
      <c r="L382" s="77">
        <v>5.86</v>
      </c>
      <c r="M382" s="365"/>
      <c r="N382" s="77">
        <f t="shared" si="299"/>
        <v>125.23</v>
      </c>
      <c r="O382" s="343"/>
      <c r="P382" s="195"/>
      <c r="Q382" s="326"/>
      <c r="R382" s="111"/>
      <c r="S382" s="51"/>
      <c r="T382" s="339"/>
      <c r="U382" s="329"/>
      <c r="V382" s="371">
        <v>0.28999999999999998</v>
      </c>
      <c r="W382" s="68">
        <v>4.2</v>
      </c>
      <c r="X382" s="40">
        <f t="shared" si="297"/>
        <v>5.9238363892806768E-2</v>
      </c>
      <c r="Y382" s="175">
        <v>70.900000000000006</v>
      </c>
      <c r="Z382" s="68">
        <v>68.900000000000006</v>
      </c>
      <c r="AA382" s="172">
        <f t="shared" si="294"/>
        <v>2</v>
      </c>
      <c r="AB382" s="168">
        <f t="shared" si="295"/>
        <v>2.9027576197387515E-2</v>
      </c>
      <c r="AC382" s="204" t="s">
        <v>4945</v>
      </c>
      <c r="AD382" s="176" t="s">
        <v>76</v>
      </c>
      <c r="AE382" s="89">
        <v>44228</v>
      </c>
      <c r="AF382" s="88">
        <v>44230</v>
      </c>
      <c r="AG382" s="34">
        <f t="shared" si="300"/>
        <v>2</v>
      </c>
      <c r="AH382" s="124" t="s">
        <v>1790</v>
      </c>
    </row>
    <row r="383" spans="1:35" s="288" customFormat="1">
      <c r="A383" s="150"/>
      <c r="B383" s="84"/>
      <c r="C383" s="85"/>
      <c r="D383" s="84"/>
      <c r="E383" s="85"/>
      <c r="F383" s="7"/>
      <c r="G383" s="42"/>
      <c r="H383" s="55"/>
      <c r="I383" s="176"/>
      <c r="J383" s="371"/>
      <c r="K383" s="371"/>
      <c r="L383" s="77"/>
      <c r="M383" s="365"/>
      <c r="N383" s="365"/>
      <c r="O383" s="343"/>
      <c r="P383" s="229"/>
      <c r="Q383" s="326"/>
      <c r="R383" s="111"/>
      <c r="S383" s="51"/>
      <c r="T383" s="339"/>
      <c r="U383" s="329"/>
      <c r="V383" s="371"/>
      <c r="W383" s="68"/>
      <c r="X383" s="40"/>
      <c r="Y383" s="171">
        <f>SUM(Y366:Y382)</f>
        <v>990.89999999999975</v>
      </c>
      <c r="Z383" s="68">
        <f>SUM(Z366:Z382)</f>
        <v>937.75</v>
      </c>
      <c r="AA383" s="172">
        <f>SUM(AA366:AA382)</f>
        <v>53.149999999999977</v>
      </c>
      <c r="AB383" s="168">
        <f>AA383/Z383</f>
        <v>5.6678219141562229E-2</v>
      </c>
      <c r="AC383" s="121"/>
      <c r="AD383" s="163">
        <f>Y383*(0.001425*0.65)+Y383*0.003+Z383*(0.001425*0.65)</f>
        <v>4.7591120624999999</v>
      </c>
      <c r="AE383" s="7">
        <f>AA383-AD383</f>
        <v>48.390887937499976</v>
      </c>
      <c r="AF383" s="88"/>
      <c r="AG383" s="34"/>
      <c r="AH383" s="147"/>
      <c r="AI383" s="173"/>
    </row>
    <row r="384" spans="1:35" s="288" customFormat="1">
      <c r="A384" s="150"/>
      <c r="B384" s="84"/>
      <c r="C384" s="85"/>
      <c r="D384" s="84"/>
      <c r="E384" s="85"/>
      <c r="F384" s="7"/>
      <c r="G384" s="42"/>
      <c r="H384" s="51"/>
      <c r="I384" s="176"/>
      <c r="J384" s="371"/>
      <c r="K384" s="371"/>
      <c r="L384" s="77"/>
      <c r="M384" s="365"/>
      <c r="N384" s="365"/>
      <c r="O384" s="343"/>
      <c r="P384" s="229"/>
      <c r="Q384" s="326"/>
      <c r="R384" s="111"/>
      <c r="S384" s="51"/>
      <c r="T384" s="339"/>
      <c r="U384" s="329"/>
      <c r="V384" s="371"/>
      <c r="W384" s="68"/>
      <c r="X384" s="40"/>
      <c r="Y384" s="171"/>
      <c r="Z384" s="68"/>
      <c r="AA384" s="172"/>
      <c r="AB384" s="168"/>
      <c r="AC384" s="121"/>
      <c r="AD384" s="163">
        <f>Y383*(0.001425*0.28)+Y383*0.003+Z383*(0.001425*0.28)</f>
        <v>3.7422313499999991</v>
      </c>
      <c r="AE384" s="89"/>
      <c r="AF384" s="88"/>
      <c r="AG384" s="34"/>
      <c r="AH384" s="147"/>
      <c r="AI384" s="173"/>
    </row>
    <row r="385" spans="1:41" s="288" customFormat="1">
      <c r="A385" s="150"/>
      <c r="B385" s="84"/>
      <c r="C385" s="85"/>
      <c r="D385" s="84"/>
      <c r="E385" s="85"/>
      <c r="F385" s="7"/>
      <c r="G385" s="42"/>
      <c r="H385" s="51"/>
      <c r="I385" s="176"/>
      <c r="J385" s="371"/>
      <c r="K385" s="371"/>
      <c r="L385" s="77"/>
      <c r="M385" s="365"/>
      <c r="N385" s="365"/>
      <c r="O385" s="343"/>
      <c r="P385" s="229"/>
      <c r="Q385" s="326"/>
      <c r="R385" s="111"/>
      <c r="S385" s="51"/>
      <c r="T385" s="339"/>
      <c r="U385" s="329"/>
      <c r="V385" s="371"/>
      <c r="W385" s="68"/>
      <c r="X385" s="40"/>
      <c r="Y385" s="171"/>
      <c r="Z385" s="68"/>
      <c r="AA385" s="172"/>
      <c r="AB385" s="168"/>
      <c r="AC385" s="121"/>
      <c r="AD385" s="163"/>
      <c r="AE385" s="89"/>
      <c r="AF385" s="88"/>
      <c r="AG385" s="34"/>
      <c r="AH385" s="147"/>
      <c r="AI385" s="173"/>
    </row>
    <row r="386" spans="1:41" s="297" customFormat="1">
      <c r="A386" s="135" t="s">
        <v>2552</v>
      </c>
      <c r="B386" s="96" t="s">
        <v>2331</v>
      </c>
      <c r="C386" s="96" t="s">
        <v>2332</v>
      </c>
      <c r="D386" s="96" t="s">
        <v>2333</v>
      </c>
      <c r="E386" s="96" t="s">
        <v>2334</v>
      </c>
      <c r="F386" s="9" t="s">
        <v>1709</v>
      </c>
      <c r="G386" s="27" t="s">
        <v>5626</v>
      </c>
      <c r="H386" s="56" t="s">
        <v>4514</v>
      </c>
      <c r="I386" s="1" t="s">
        <v>131</v>
      </c>
      <c r="J386" s="364" t="s">
        <v>2189</v>
      </c>
      <c r="K386" s="364" t="s">
        <v>1820</v>
      </c>
      <c r="L386" s="364" t="s">
        <v>515</v>
      </c>
      <c r="M386" s="364"/>
      <c r="N386" s="364" t="s">
        <v>1708</v>
      </c>
      <c r="O386" s="343"/>
      <c r="P386" s="195" t="s">
        <v>5279</v>
      </c>
      <c r="Q386" s="328"/>
      <c r="R386" s="337"/>
      <c r="S386" s="51" t="s">
        <v>5367</v>
      </c>
      <c r="T386" s="338" t="s">
        <v>5627</v>
      </c>
      <c r="U386" s="329"/>
      <c r="V386" s="377" t="s">
        <v>5296</v>
      </c>
      <c r="W386" s="11" t="s">
        <v>4585</v>
      </c>
      <c r="X386" s="71" t="s">
        <v>5216</v>
      </c>
      <c r="Y386" s="29" t="s">
        <v>4584</v>
      </c>
      <c r="Z386" s="18" t="s">
        <v>4586</v>
      </c>
      <c r="AA386" s="15" t="s">
        <v>4510</v>
      </c>
      <c r="AB386" s="22" t="s">
        <v>4511</v>
      </c>
      <c r="AC386" s="26" t="s">
        <v>4512</v>
      </c>
      <c r="AD386" s="1" t="s">
        <v>4513</v>
      </c>
      <c r="AE386" s="75" t="s">
        <v>4515</v>
      </c>
      <c r="AF386" s="76" t="s">
        <v>4516</v>
      </c>
      <c r="AG386" s="33" t="s">
        <v>4517</v>
      </c>
      <c r="AH386" s="47" t="s">
        <v>4518</v>
      </c>
      <c r="AI386" s="173"/>
    </row>
    <row r="387" spans="1:41" s="288" customFormat="1">
      <c r="A387" s="135" t="s">
        <v>4519</v>
      </c>
      <c r="B387" s="84">
        <v>969</v>
      </c>
      <c r="C387" s="98">
        <v>2455</v>
      </c>
      <c r="D387" s="84">
        <v>5</v>
      </c>
      <c r="E387" s="85">
        <v>-3</v>
      </c>
      <c r="F387" s="59">
        <v>13.31</v>
      </c>
      <c r="G387" s="42" t="s">
        <v>4520</v>
      </c>
      <c r="H387" s="31" t="s">
        <v>4522</v>
      </c>
      <c r="I387" s="163" t="s">
        <v>4521</v>
      </c>
      <c r="J387" s="77">
        <v>66.260000000000005</v>
      </c>
      <c r="K387" s="77">
        <v>26.32</v>
      </c>
      <c r="L387" s="77">
        <v>15.8</v>
      </c>
      <c r="M387" s="365"/>
      <c r="N387" s="77">
        <f t="shared" ref="N387:N397" si="301">K387+J387+L387</f>
        <v>108.38000000000001</v>
      </c>
      <c r="O387" s="343"/>
      <c r="P387" s="195"/>
      <c r="Q387" s="326"/>
      <c r="R387" s="111"/>
      <c r="S387" s="51"/>
      <c r="T387" s="339"/>
      <c r="U387" s="329"/>
      <c r="V387" s="371">
        <v>7.57</v>
      </c>
      <c r="W387" s="205">
        <v>0</v>
      </c>
      <c r="X387" s="59">
        <f t="shared" ref="X387:X407" si="302">W387/Y387</f>
        <v>0</v>
      </c>
      <c r="Y387" s="171">
        <v>53.8</v>
      </c>
      <c r="Z387" s="68">
        <v>52.7</v>
      </c>
      <c r="AA387" s="172">
        <f t="shared" ref="AA387:AA396" si="303">Y387-Z387</f>
        <v>1.0999999999999943</v>
      </c>
      <c r="AB387" s="168">
        <f t="shared" ref="AB387:AB397" si="304">AA387/Z387</f>
        <v>2.0872865275142205E-2</v>
      </c>
      <c r="AC387" s="204" t="s">
        <v>4909</v>
      </c>
      <c r="AD387" s="163" t="s">
        <v>4521</v>
      </c>
      <c r="AE387" s="89">
        <v>44218</v>
      </c>
      <c r="AF387" s="88">
        <v>44224</v>
      </c>
      <c r="AG387" s="34">
        <f t="shared" ref="AG387:AG388" si="305">AF387-AE387</f>
        <v>6</v>
      </c>
      <c r="AH387" s="124" t="s">
        <v>4523</v>
      </c>
      <c r="AI387" s="125"/>
    </row>
    <row r="388" spans="1:41" s="288" customFormat="1">
      <c r="A388" s="135" t="s">
        <v>4519</v>
      </c>
      <c r="B388" s="84">
        <v>969</v>
      </c>
      <c r="C388" s="98">
        <v>2455</v>
      </c>
      <c r="D388" s="84">
        <v>5</v>
      </c>
      <c r="E388" s="85">
        <v>-3</v>
      </c>
      <c r="F388" s="59">
        <v>13.31</v>
      </c>
      <c r="G388" s="42" t="s">
        <v>4520</v>
      </c>
      <c r="H388" s="31" t="s">
        <v>4522</v>
      </c>
      <c r="I388" s="163" t="s">
        <v>4521</v>
      </c>
      <c r="J388" s="77">
        <v>66.260000000000005</v>
      </c>
      <c r="K388" s="77">
        <v>26.32</v>
      </c>
      <c r="L388" s="77">
        <v>15.8</v>
      </c>
      <c r="M388" s="365"/>
      <c r="N388" s="77">
        <f t="shared" si="301"/>
        <v>108.38000000000001</v>
      </c>
      <c r="O388" s="343"/>
      <c r="P388" s="195"/>
      <c r="Q388" s="326"/>
      <c r="R388" s="111"/>
      <c r="S388" s="51"/>
      <c r="T388" s="339"/>
      <c r="U388" s="329"/>
      <c r="V388" s="371">
        <v>7.57</v>
      </c>
      <c r="W388" s="205">
        <v>0</v>
      </c>
      <c r="X388" s="59">
        <f t="shared" si="302"/>
        <v>0</v>
      </c>
      <c r="Y388" s="171">
        <v>53.8</v>
      </c>
      <c r="Z388" s="68">
        <v>52.3</v>
      </c>
      <c r="AA388" s="172">
        <f t="shared" si="303"/>
        <v>1.5</v>
      </c>
      <c r="AB388" s="168">
        <f t="shared" si="304"/>
        <v>2.8680688336520078E-2</v>
      </c>
      <c r="AC388" s="204" t="s">
        <v>4910</v>
      </c>
      <c r="AD388" s="163" t="s">
        <v>4521</v>
      </c>
      <c r="AE388" s="89">
        <v>44217</v>
      </c>
      <c r="AF388" s="88">
        <v>44224</v>
      </c>
      <c r="AG388" s="34">
        <f t="shared" si="305"/>
        <v>7</v>
      </c>
      <c r="AH388" s="124" t="s">
        <v>4523</v>
      </c>
      <c r="AI388" s="125"/>
    </row>
    <row r="389" spans="1:41" s="288" customFormat="1">
      <c r="A389" s="151" t="s">
        <v>4524</v>
      </c>
      <c r="B389" s="84">
        <v>7</v>
      </c>
      <c r="C389" s="84">
        <v>0</v>
      </c>
      <c r="D389" s="85">
        <v>-9</v>
      </c>
      <c r="E389" s="85">
        <v>-1</v>
      </c>
      <c r="F389" s="7">
        <v>7.51</v>
      </c>
      <c r="G389" s="58" t="s">
        <v>4525</v>
      </c>
      <c r="H389" s="31" t="s">
        <v>4522</v>
      </c>
      <c r="I389" s="163" t="s">
        <v>4526</v>
      </c>
      <c r="J389" s="371">
        <v>85.37</v>
      </c>
      <c r="K389" s="371">
        <v>46.74</v>
      </c>
      <c r="L389" s="77">
        <v>0.2</v>
      </c>
      <c r="M389" s="365"/>
      <c r="N389" s="77">
        <f t="shared" si="301"/>
        <v>132.31</v>
      </c>
      <c r="O389" s="343"/>
      <c r="P389" s="195"/>
      <c r="Q389" s="326"/>
      <c r="R389" s="111"/>
      <c r="S389" s="51"/>
      <c r="T389" s="339"/>
      <c r="U389" s="329"/>
      <c r="V389" s="371">
        <v>0</v>
      </c>
      <c r="W389" s="205">
        <v>2.5</v>
      </c>
      <c r="X389" s="100">
        <f t="shared" si="302"/>
        <v>3.7091988130563795E-2</v>
      </c>
      <c r="Y389" s="175">
        <v>67.400000000000006</v>
      </c>
      <c r="Z389" s="68">
        <v>67.599999999999994</v>
      </c>
      <c r="AA389" s="172">
        <f t="shared" si="303"/>
        <v>-0.19999999999998863</v>
      </c>
      <c r="AB389" s="174">
        <f t="shared" si="304"/>
        <v>-2.9585798816566368E-3</v>
      </c>
      <c r="AC389" s="120" t="s">
        <v>4911</v>
      </c>
      <c r="AD389" s="163" t="s">
        <v>4526</v>
      </c>
      <c r="AE389" s="89">
        <v>44196</v>
      </c>
      <c r="AF389" s="88">
        <v>44224</v>
      </c>
      <c r="AG389" s="34">
        <f>AF389-AE389</f>
        <v>28</v>
      </c>
      <c r="AH389" s="124" t="s">
        <v>4523</v>
      </c>
      <c r="AI389" s="286"/>
      <c r="AJ389" s="39"/>
      <c r="AK389" s="68"/>
      <c r="AL389" s="167"/>
      <c r="AM389" s="68"/>
      <c r="AN389" s="42"/>
      <c r="AO389" s="163"/>
    </row>
    <row r="390" spans="1:41" s="288" customFormat="1">
      <c r="A390" s="151" t="s">
        <v>4524</v>
      </c>
      <c r="B390" s="84">
        <v>7</v>
      </c>
      <c r="C390" s="84">
        <v>0</v>
      </c>
      <c r="D390" s="85">
        <v>-9</v>
      </c>
      <c r="E390" s="85">
        <v>-1</v>
      </c>
      <c r="F390" s="7">
        <v>7.51</v>
      </c>
      <c r="G390" s="58" t="s">
        <v>4525</v>
      </c>
      <c r="H390" s="31" t="s">
        <v>4522</v>
      </c>
      <c r="I390" s="163" t="s">
        <v>4526</v>
      </c>
      <c r="J390" s="371">
        <v>85.37</v>
      </c>
      <c r="K390" s="371">
        <v>46.74</v>
      </c>
      <c r="L390" s="77">
        <v>0.2</v>
      </c>
      <c r="M390" s="365"/>
      <c r="N390" s="77">
        <f t="shared" si="301"/>
        <v>132.31</v>
      </c>
      <c r="O390" s="343"/>
      <c r="P390" s="195"/>
      <c r="Q390" s="326"/>
      <c r="R390" s="111"/>
      <c r="S390" s="51"/>
      <c r="T390" s="339"/>
      <c r="U390" s="329"/>
      <c r="V390" s="371">
        <v>0</v>
      </c>
      <c r="W390" s="205">
        <v>2.5</v>
      </c>
      <c r="X390" s="100">
        <f t="shared" si="302"/>
        <v>3.7091988130563795E-2</v>
      </c>
      <c r="Y390" s="175">
        <v>67.400000000000006</v>
      </c>
      <c r="Z390" s="68">
        <v>66.7</v>
      </c>
      <c r="AA390" s="172">
        <f t="shared" si="303"/>
        <v>0.70000000000000284</v>
      </c>
      <c r="AB390" s="168">
        <f t="shared" si="304"/>
        <v>1.0494752623688198E-2</v>
      </c>
      <c r="AC390" s="119" t="s">
        <v>4912</v>
      </c>
      <c r="AD390" s="163" t="s">
        <v>4526</v>
      </c>
      <c r="AE390" s="89">
        <v>44183</v>
      </c>
      <c r="AF390" s="88">
        <v>44224</v>
      </c>
      <c r="AG390" s="34">
        <f>AF390-AE390</f>
        <v>41</v>
      </c>
      <c r="AH390" s="124" t="s">
        <v>4523</v>
      </c>
      <c r="AI390" s="286"/>
      <c r="AJ390" s="39"/>
      <c r="AK390" s="68"/>
      <c r="AL390" s="167"/>
      <c r="AM390" s="68"/>
      <c r="AN390" s="42"/>
      <c r="AO390" s="163"/>
    </row>
    <row r="391" spans="1:41" s="288" customFormat="1">
      <c r="A391" s="135" t="s">
        <v>4527</v>
      </c>
      <c r="B391" s="84">
        <v>24</v>
      </c>
      <c r="C391" s="84">
        <v>33</v>
      </c>
      <c r="D391" s="84">
        <v>7</v>
      </c>
      <c r="E391" s="84">
        <v>14</v>
      </c>
      <c r="F391" s="59">
        <v>15.22</v>
      </c>
      <c r="G391" s="42" t="s">
        <v>4528</v>
      </c>
      <c r="H391" s="31" t="s">
        <v>4522</v>
      </c>
      <c r="I391" s="176" t="s">
        <v>4529</v>
      </c>
      <c r="J391" s="77">
        <v>35.799999999999997</v>
      </c>
      <c r="K391" s="77">
        <v>5.67</v>
      </c>
      <c r="L391" s="77">
        <v>37.479999999999997</v>
      </c>
      <c r="M391" s="365"/>
      <c r="N391" s="365">
        <f t="shared" si="301"/>
        <v>78.949999999999989</v>
      </c>
      <c r="O391" s="343"/>
      <c r="P391" s="195"/>
      <c r="Q391" s="326"/>
      <c r="R391" s="111"/>
      <c r="S391" s="51"/>
      <c r="T391" s="339"/>
      <c r="U391" s="329"/>
      <c r="V391" s="371">
        <v>0.5</v>
      </c>
      <c r="W391" s="205">
        <v>2.2999999999999998</v>
      </c>
      <c r="X391" s="100">
        <f t="shared" si="302"/>
        <v>4.1441441441441441E-2</v>
      </c>
      <c r="Y391" s="171">
        <v>55.5</v>
      </c>
      <c r="Z391" s="165">
        <v>52.7</v>
      </c>
      <c r="AA391" s="172">
        <f t="shared" si="303"/>
        <v>2.7999999999999972</v>
      </c>
      <c r="AB391" s="168">
        <f t="shared" si="304"/>
        <v>5.3130929791271292E-2</v>
      </c>
      <c r="AC391" s="204" t="s">
        <v>4904</v>
      </c>
      <c r="AD391" s="176" t="s">
        <v>4529</v>
      </c>
      <c r="AE391" s="89">
        <v>44222</v>
      </c>
      <c r="AF391" s="88">
        <v>44224</v>
      </c>
      <c r="AG391" s="34">
        <f t="shared" ref="AG391:AG396" si="306">AF391-AE391</f>
        <v>2</v>
      </c>
      <c r="AH391" s="124" t="s">
        <v>4530</v>
      </c>
      <c r="AI391" s="173"/>
    </row>
    <row r="392" spans="1:41" s="288" customFormat="1">
      <c r="A392" s="135" t="s">
        <v>4527</v>
      </c>
      <c r="B392" s="84">
        <v>24</v>
      </c>
      <c r="C392" s="84">
        <v>33</v>
      </c>
      <c r="D392" s="84">
        <v>7</v>
      </c>
      <c r="E392" s="84">
        <v>14</v>
      </c>
      <c r="F392" s="59">
        <v>15.22</v>
      </c>
      <c r="G392" s="42" t="s">
        <v>4528</v>
      </c>
      <c r="H392" s="31" t="s">
        <v>4522</v>
      </c>
      <c r="I392" s="176" t="s">
        <v>4529</v>
      </c>
      <c r="J392" s="77">
        <v>35.799999999999997</v>
      </c>
      <c r="K392" s="77">
        <v>5.67</v>
      </c>
      <c r="L392" s="77">
        <v>37.479999999999997</v>
      </c>
      <c r="M392" s="365"/>
      <c r="N392" s="365">
        <f t="shared" si="301"/>
        <v>78.949999999999989</v>
      </c>
      <c r="O392" s="343"/>
      <c r="P392" s="195"/>
      <c r="Q392" s="326"/>
      <c r="R392" s="111">
        <v>2</v>
      </c>
      <c r="S392" s="51"/>
      <c r="T392" s="339"/>
      <c r="U392" s="329"/>
      <c r="V392" s="371">
        <v>0.5</v>
      </c>
      <c r="W392" s="205">
        <v>2.2999999999999998</v>
      </c>
      <c r="X392" s="100">
        <f t="shared" si="302"/>
        <v>4.1441441441441441E-2</v>
      </c>
      <c r="Y392" s="171">
        <v>55.5</v>
      </c>
      <c r="Z392" s="165">
        <v>51.8</v>
      </c>
      <c r="AA392" s="172">
        <f t="shared" si="303"/>
        <v>3.7000000000000028</v>
      </c>
      <c r="AB392" s="168">
        <f t="shared" si="304"/>
        <v>7.1428571428571494E-2</v>
      </c>
      <c r="AC392" s="204" t="s">
        <v>2187</v>
      </c>
      <c r="AD392" s="176" t="s">
        <v>4529</v>
      </c>
      <c r="AE392" s="89">
        <v>44219</v>
      </c>
      <c r="AF392" s="88">
        <v>44224</v>
      </c>
      <c r="AG392" s="34">
        <f t="shared" si="306"/>
        <v>5</v>
      </c>
      <c r="AH392" s="124" t="s">
        <v>4530</v>
      </c>
      <c r="AI392" s="173"/>
    </row>
    <row r="393" spans="1:41" s="288" customFormat="1">
      <c r="A393" s="135" t="s">
        <v>4527</v>
      </c>
      <c r="B393" s="84">
        <v>24</v>
      </c>
      <c r="C393" s="84">
        <v>33</v>
      </c>
      <c r="D393" s="84">
        <v>7</v>
      </c>
      <c r="E393" s="84">
        <v>14</v>
      </c>
      <c r="F393" s="59">
        <v>15.22</v>
      </c>
      <c r="G393" s="42" t="s">
        <v>4528</v>
      </c>
      <c r="H393" s="31" t="s">
        <v>4522</v>
      </c>
      <c r="I393" s="176" t="s">
        <v>4529</v>
      </c>
      <c r="J393" s="77">
        <v>35.799999999999997</v>
      </c>
      <c r="K393" s="77">
        <v>5.67</v>
      </c>
      <c r="L393" s="77">
        <v>37.479999999999997</v>
      </c>
      <c r="M393" s="365"/>
      <c r="N393" s="365">
        <f t="shared" si="301"/>
        <v>78.949999999999989</v>
      </c>
      <c r="O393" s="343"/>
      <c r="P393" s="195"/>
      <c r="Q393" s="326"/>
      <c r="R393" s="111"/>
      <c r="S393" s="51"/>
      <c r="T393" s="339"/>
      <c r="U393" s="329"/>
      <c r="V393" s="371">
        <v>0.5</v>
      </c>
      <c r="W393" s="205">
        <v>2.2999999999999998</v>
      </c>
      <c r="X393" s="100">
        <f t="shared" si="302"/>
        <v>4.1441441441441441E-2</v>
      </c>
      <c r="Y393" s="171">
        <v>55.5</v>
      </c>
      <c r="Z393" s="165">
        <v>51.5</v>
      </c>
      <c r="AA393" s="172">
        <f t="shared" si="303"/>
        <v>4</v>
      </c>
      <c r="AB393" s="168">
        <f t="shared" si="304"/>
        <v>7.7669902912621352E-2</v>
      </c>
      <c r="AC393" s="204" t="s">
        <v>4913</v>
      </c>
      <c r="AD393" s="176" t="s">
        <v>4529</v>
      </c>
      <c r="AE393" s="89">
        <v>44218</v>
      </c>
      <c r="AF393" s="88">
        <v>44224</v>
      </c>
      <c r="AG393" s="34">
        <f t="shared" si="306"/>
        <v>6</v>
      </c>
      <c r="AH393" s="124" t="s">
        <v>4530</v>
      </c>
      <c r="AI393" s="173"/>
    </row>
    <row r="394" spans="1:41" s="288" customFormat="1">
      <c r="A394" s="135" t="s">
        <v>4527</v>
      </c>
      <c r="B394" s="84">
        <v>24</v>
      </c>
      <c r="C394" s="84">
        <v>33</v>
      </c>
      <c r="D394" s="84">
        <v>7</v>
      </c>
      <c r="E394" s="84">
        <v>14</v>
      </c>
      <c r="F394" s="59">
        <v>15.22</v>
      </c>
      <c r="G394" s="42" t="s">
        <v>4528</v>
      </c>
      <c r="H394" s="31" t="s">
        <v>4522</v>
      </c>
      <c r="I394" s="176" t="s">
        <v>4529</v>
      </c>
      <c r="J394" s="77">
        <v>35.799999999999997</v>
      </c>
      <c r="K394" s="77">
        <v>5.67</v>
      </c>
      <c r="L394" s="77">
        <v>37.479999999999997</v>
      </c>
      <c r="M394" s="365"/>
      <c r="N394" s="365">
        <f t="shared" si="301"/>
        <v>78.949999999999989</v>
      </c>
      <c r="O394" s="343"/>
      <c r="P394" s="195"/>
      <c r="Q394" s="326"/>
      <c r="R394" s="111"/>
      <c r="S394" s="51"/>
      <c r="T394" s="339"/>
      <c r="U394" s="329"/>
      <c r="V394" s="371">
        <v>0.5</v>
      </c>
      <c r="W394" s="205">
        <v>2.2999999999999998</v>
      </c>
      <c r="X394" s="100">
        <f t="shared" si="302"/>
        <v>4.1441441441441441E-2</v>
      </c>
      <c r="Y394" s="171">
        <v>55.5</v>
      </c>
      <c r="Z394" s="165">
        <v>56.5</v>
      </c>
      <c r="AA394" s="172">
        <f t="shared" si="303"/>
        <v>-1</v>
      </c>
      <c r="AB394" s="174">
        <f t="shared" si="304"/>
        <v>-1.7699115044247787E-2</v>
      </c>
      <c r="AC394" s="217" t="s">
        <v>4914</v>
      </c>
      <c r="AD394" s="176" t="s">
        <v>4529</v>
      </c>
      <c r="AE394" s="89">
        <v>44203</v>
      </c>
      <c r="AF394" s="88">
        <v>44224</v>
      </c>
      <c r="AG394" s="34">
        <f t="shared" si="306"/>
        <v>21</v>
      </c>
      <c r="AH394" s="124" t="s">
        <v>4530</v>
      </c>
      <c r="AI394" s="173"/>
    </row>
    <row r="395" spans="1:41" s="288" customFormat="1">
      <c r="A395" s="135" t="s">
        <v>4527</v>
      </c>
      <c r="B395" s="84">
        <v>24</v>
      </c>
      <c r="C395" s="84">
        <v>33</v>
      </c>
      <c r="D395" s="84">
        <v>7</v>
      </c>
      <c r="E395" s="84">
        <v>14</v>
      </c>
      <c r="F395" s="59">
        <v>15.22</v>
      </c>
      <c r="G395" s="42" t="s">
        <v>4528</v>
      </c>
      <c r="H395" s="31" t="s">
        <v>4522</v>
      </c>
      <c r="I395" s="176" t="s">
        <v>4529</v>
      </c>
      <c r="J395" s="77">
        <v>35.799999999999997</v>
      </c>
      <c r="K395" s="77">
        <v>5.67</v>
      </c>
      <c r="L395" s="77">
        <v>37.479999999999997</v>
      </c>
      <c r="M395" s="365"/>
      <c r="N395" s="365">
        <f t="shared" si="301"/>
        <v>78.949999999999989</v>
      </c>
      <c r="O395" s="343"/>
      <c r="P395" s="195"/>
      <c r="Q395" s="326"/>
      <c r="R395" s="111"/>
      <c r="S395" s="51"/>
      <c r="T395" s="339"/>
      <c r="U395" s="329"/>
      <c r="V395" s="371">
        <v>0.5</v>
      </c>
      <c r="W395" s="205">
        <v>2.2999999999999998</v>
      </c>
      <c r="X395" s="100">
        <f t="shared" si="302"/>
        <v>4.1441441441441441E-2</v>
      </c>
      <c r="Y395" s="171">
        <v>55.5</v>
      </c>
      <c r="Z395" s="165">
        <v>57.7</v>
      </c>
      <c r="AA395" s="172">
        <f t="shared" si="303"/>
        <v>-2.2000000000000028</v>
      </c>
      <c r="AB395" s="174">
        <f t="shared" si="304"/>
        <v>-3.8128249566724483E-2</v>
      </c>
      <c r="AC395" s="217" t="s">
        <v>4915</v>
      </c>
      <c r="AD395" s="176" t="s">
        <v>4529</v>
      </c>
      <c r="AE395" s="89">
        <v>44203</v>
      </c>
      <c r="AF395" s="88">
        <v>44224</v>
      </c>
      <c r="AG395" s="34">
        <f t="shared" si="306"/>
        <v>21</v>
      </c>
      <c r="AH395" s="124" t="s">
        <v>4530</v>
      </c>
      <c r="AI395" s="173"/>
    </row>
    <row r="396" spans="1:41" s="288" customFormat="1">
      <c r="A396" s="135" t="s">
        <v>4527</v>
      </c>
      <c r="B396" s="84">
        <v>24</v>
      </c>
      <c r="C396" s="84">
        <v>33</v>
      </c>
      <c r="D396" s="84">
        <v>7</v>
      </c>
      <c r="E396" s="84">
        <v>14</v>
      </c>
      <c r="F396" s="59">
        <v>15.22</v>
      </c>
      <c r="G396" s="42" t="s">
        <v>4528</v>
      </c>
      <c r="H396" s="31" t="s">
        <v>4522</v>
      </c>
      <c r="I396" s="176" t="s">
        <v>4529</v>
      </c>
      <c r="J396" s="77">
        <v>35.799999999999997</v>
      </c>
      <c r="K396" s="77">
        <v>5.67</v>
      </c>
      <c r="L396" s="77">
        <v>37.479999999999997</v>
      </c>
      <c r="M396" s="365"/>
      <c r="N396" s="365">
        <f t="shared" si="301"/>
        <v>78.949999999999989</v>
      </c>
      <c r="O396" s="343"/>
      <c r="P396" s="195"/>
      <c r="Q396" s="326"/>
      <c r="R396" s="111"/>
      <c r="S396" s="51"/>
      <c r="T396" s="339"/>
      <c r="U396" s="329"/>
      <c r="V396" s="371">
        <v>0.5</v>
      </c>
      <c r="W396" s="205">
        <v>2.2999999999999998</v>
      </c>
      <c r="X396" s="100">
        <f t="shared" si="302"/>
        <v>4.1441441441441441E-2</v>
      </c>
      <c r="Y396" s="171">
        <v>55.5</v>
      </c>
      <c r="Z396" s="165">
        <v>54.3</v>
      </c>
      <c r="AA396" s="172">
        <f t="shared" si="303"/>
        <v>1.2000000000000028</v>
      </c>
      <c r="AB396" s="168">
        <f t="shared" si="304"/>
        <v>2.2099447513812209E-2</v>
      </c>
      <c r="AC396" s="204" t="s">
        <v>4916</v>
      </c>
      <c r="AD396" s="176" t="s">
        <v>4529</v>
      </c>
      <c r="AE396" s="89">
        <v>44194</v>
      </c>
      <c r="AF396" s="88">
        <v>44224</v>
      </c>
      <c r="AG396" s="34">
        <f t="shared" si="306"/>
        <v>30</v>
      </c>
      <c r="AH396" s="124" t="s">
        <v>4530</v>
      </c>
      <c r="AI396" s="173"/>
    </row>
    <row r="397" spans="1:41" s="288" customFormat="1">
      <c r="A397" s="135" t="s">
        <v>4531</v>
      </c>
      <c r="B397" s="84">
        <v>55</v>
      </c>
      <c r="C397" s="84">
        <v>41</v>
      </c>
      <c r="D397" s="84">
        <v>3</v>
      </c>
      <c r="E397" s="84">
        <v>34</v>
      </c>
      <c r="F397" s="59">
        <v>22.31</v>
      </c>
      <c r="G397" s="42" t="s">
        <v>4532</v>
      </c>
      <c r="H397" s="31" t="s">
        <v>4522</v>
      </c>
      <c r="I397" s="176" t="s">
        <v>4533</v>
      </c>
      <c r="J397" s="77">
        <v>61.92</v>
      </c>
      <c r="K397" s="77">
        <v>34.9</v>
      </c>
      <c r="L397" s="77">
        <v>9.77</v>
      </c>
      <c r="M397" s="365"/>
      <c r="N397" s="77">
        <f t="shared" si="301"/>
        <v>106.58999999999999</v>
      </c>
      <c r="O397" s="343"/>
      <c r="P397" s="195"/>
      <c r="Q397" s="326"/>
      <c r="R397" s="111"/>
      <c r="S397" s="51"/>
      <c r="T397" s="339"/>
      <c r="U397" s="329"/>
      <c r="V397" s="371">
        <v>0.17</v>
      </c>
      <c r="W397" s="205">
        <v>1.3</v>
      </c>
      <c r="X397" s="100">
        <f t="shared" si="302"/>
        <v>2.9782359679266898E-2</v>
      </c>
      <c r="Y397" s="171">
        <v>43.65</v>
      </c>
      <c r="Z397" s="68">
        <v>41.8</v>
      </c>
      <c r="AA397" s="172">
        <f>Y397-Z397</f>
        <v>1.8500000000000014</v>
      </c>
      <c r="AB397" s="168">
        <f t="shared" si="304"/>
        <v>4.4258373205741663E-2</v>
      </c>
      <c r="AC397" s="204" t="s">
        <v>4917</v>
      </c>
      <c r="AD397" s="176" t="s">
        <v>4533</v>
      </c>
      <c r="AE397" s="89">
        <v>44208</v>
      </c>
      <c r="AF397" s="88">
        <v>44217</v>
      </c>
      <c r="AG397" s="34">
        <f>AF397-AE397</f>
        <v>9</v>
      </c>
      <c r="AH397" s="124" t="s">
        <v>4530</v>
      </c>
      <c r="AI397" s="173"/>
    </row>
    <row r="398" spans="1:41" s="288" customFormat="1">
      <c r="A398" s="135" t="s">
        <v>4534</v>
      </c>
      <c r="B398" s="85">
        <v>-16</v>
      </c>
      <c r="C398" s="85">
        <v>-15</v>
      </c>
      <c r="D398" s="85">
        <v>-1</v>
      </c>
      <c r="E398" s="84">
        <v>20</v>
      </c>
      <c r="F398" s="59">
        <v>21.2</v>
      </c>
      <c r="G398" s="42" t="s">
        <v>4535</v>
      </c>
      <c r="H398" s="31" t="s">
        <v>4522</v>
      </c>
      <c r="I398" s="176" t="s">
        <v>4536</v>
      </c>
      <c r="J398" s="77">
        <v>64.22</v>
      </c>
      <c r="K398" s="77">
        <v>44.89</v>
      </c>
      <c r="L398" s="371">
        <v>7.1</v>
      </c>
      <c r="M398" s="365"/>
      <c r="N398" s="77">
        <f>K398+J398+L398</f>
        <v>116.21</v>
      </c>
      <c r="O398" s="343"/>
      <c r="P398" s="195"/>
      <c r="Q398" s="326"/>
      <c r="R398" s="111"/>
      <c r="S398" s="51"/>
      <c r="T398" s="339"/>
      <c r="U398" s="329"/>
      <c r="V398" s="371">
        <v>0.2</v>
      </c>
      <c r="W398" s="205">
        <v>4.2</v>
      </c>
      <c r="X398" s="100">
        <f t="shared" si="302"/>
        <v>5.6000000000000001E-2</v>
      </c>
      <c r="Y398" s="175">
        <v>75</v>
      </c>
      <c r="Z398" s="68">
        <v>72.3</v>
      </c>
      <c r="AA398" s="172">
        <f t="shared" ref="AA398:AA402" si="307">Y398-Z398</f>
        <v>2.7000000000000028</v>
      </c>
      <c r="AB398" s="168">
        <f>AA398/Z398</f>
        <v>3.7344398340249003E-2</v>
      </c>
      <c r="AC398" s="204" t="s">
        <v>3107</v>
      </c>
      <c r="AD398" s="176" t="s">
        <v>4536</v>
      </c>
      <c r="AE398" s="89">
        <v>44208</v>
      </c>
      <c r="AF398" s="88">
        <v>44216</v>
      </c>
      <c r="AG398" s="34">
        <f>AF398-AE398</f>
        <v>8</v>
      </c>
      <c r="AH398" s="124" t="s">
        <v>4530</v>
      </c>
    </row>
    <row r="399" spans="1:41" s="288" customFormat="1">
      <c r="A399" s="151" t="s">
        <v>4537</v>
      </c>
      <c r="B399" s="84">
        <v>52</v>
      </c>
      <c r="C399" s="84">
        <v>39</v>
      </c>
      <c r="D399" s="85">
        <v>1</v>
      </c>
      <c r="E399" s="85">
        <v>-3</v>
      </c>
      <c r="F399" s="7">
        <v>5.07</v>
      </c>
      <c r="G399" s="42" t="s">
        <v>4538</v>
      </c>
      <c r="H399" s="31" t="s">
        <v>4522</v>
      </c>
      <c r="I399" s="163" t="s">
        <v>4539</v>
      </c>
      <c r="J399" s="77">
        <v>73.73</v>
      </c>
      <c r="K399" s="371">
        <v>53.09</v>
      </c>
      <c r="L399" s="371">
        <v>8.09</v>
      </c>
      <c r="M399" s="365"/>
      <c r="N399" s="77">
        <f t="shared" ref="N399:N402" si="308">K399+J399+L399</f>
        <v>134.91</v>
      </c>
      <c r="O399" s="343"/>
      <c r="P399" s="195"/>
      <c r="Q399" s="326"/>
      <c r="R399" s="111">
        <v>4</v>
      </c>
      <c r="S399" s="51"/>
      <c r="T399" s="339"/>
      <c r="U399" s="329"/>
      <c r="V399" s="371">
        <v>2.62</v>
      </c>
      <c r="W399" s="205">
        <v>1.0900000000000001</v>
      </c>
      <c r="X399" s="100">
        <f t="shared" si="302"/>
        <v>1.0954773869346734E-2</v>
      </c>
      <c r="Y399" s="175">
        <v>99.5</v>
      </c>
      <c r="Z399" s="68">
        <v>99.2</v>
      </c>
      <c r="AA399" s="172">
        <f t="shared" si="307"/>
        <v>0.29999999999999716</v>
      </c>
      <c r="AB399" s="168">
        <f>AA399/Z399</f>
        <v>3.0241935483870681E-3</v>
      </c>
      <c r="AC399" s="204" t="s">
        <v>4918</v>
      </c>
      <c r="AD399" s="163" t="s">
        <v>4539</v>
      </c>
      <c r="AE399" s="89">
        <v>44209</v>
      </c>
      <c r="AF399" s="88">
        <v>44211</v>
      </c>
      <c r="AG399" s="34">
        <f>AF399-AE399</f>
        <v>2</v>
      </c>
      <c r="AH399" s="124" t="s">
        <v>4530</v>
      </c>
      <c r="AL399" s="12"/>
    </row>
    <row r="400" spans="1:41" s="288" customFormat="1">
      <c r="A400" s="151" t="s">
        <v>4537</v>
      </c>
      <c r="B400" s="84">
        <v>52</v>
      </c>
      <c r="C400" s="84">
        <v>39</v>
      </c>
      <c r="D400" s="85">
        <v>1</v>
      </c>
      <c r="E400" s="85">
        <v>-3</v>
      </c>
      <c r="F400" s="7">
        <v>5.07</v>
      </c>
      <c r="G400" s="42" t="s">
        <v>4538</v>
      </c>
      <c r="H400" s="31" t="s">
        <v>4522</v>
      </c>
      <c r="I400" s="163" t="s">
        <v>4539</v>
      </c>
      <c r="J400" s="77">
        <v>73.73</v>
      </c>
      <c r="K400" s="371">
        <v>53.09</v>
      </c>
      <c r="L400" s="371">
        <v>8.09</v>
      </c>
      <c r="M400" s="365"/>
      <c r="N400" s="77">
        <f t="shared" si="308"/>
        <v>134.91</v>
      </c>
      <c r="O400" s="343"/>
      <c r="P400" s="195"/>
      <c r="Q400" s="326"/>
      <c r="R400" s="111"/>
      <c r="S400" s="51"/>
      <c r="T400" s="339"/>
      <c r="U400" s="329"/>
      <c r="V400" s="371">
        <v>2.62</v>
      </c>
      <c r="W400" s="205">
        <v>1.0900000000000001</v>
      </c>
      <c r="X400" s="100">
        <f t="shared" si="302"/>
        <v>1.0954773869346734E-2</v>
      </c>
      <c r="Y400" s="175">
        <v>99.5</v>
      </c>
      <c r="Z400" s="68">
        <v>99.1</v>
      </c>
      <c r="AA400" s="172">
        <f t="shared" si="307"/>
        <v>0.40000000000000568</v>
      </c>
      <c r="AB400" s="168">
        <f>AA400/Z400</f>
        <v>4.0363269424823984E-3</v>
      </c>
      <c r="AC400" s="204" t="s">
        <v>4919</v>
      </c>
      <c r="AD400" s="163" t="s">
        <v>4539</v>
      </c>
      <c r="AE400" s="89">
        <v>44209</v>
      </c>
      <c r="AF400" s="88">
        <v>44211</v>
      </c>
      <c r="AG400" s="34">
        <f>AF400-AE400</f>
        <v>2</v>
      </c>
      <c r="AH400" s="124" t="s">
        <v>4530</v>
      </c>
      <c r="AL400" s="12"/>
    </row>
    <row r="401" spans="1:47" s="288" customFormat="1">
      <c r="A401" s="151" t="s">
        <v>4537</v>
      </c>
      <c r="B401" s="84">
        <v>52</v>
      </c>
      <c r="C401" s="84">
        <v>39</v>
      </c>
      <c r="D401" s="85">
        <v>1</v>
      </c>
      <c r="E401" s="85">
        <v>-3</v>
      </c>
      <c r="F401" s="7">
        <v>5.07</v>
      </c>
      <c r="G401" s="42" t="s">
        <v>4538</v>
      </c>
      <c r="H401" s="31" t="s">
        <v>4522</v>
      </c>
      <c r="I401" s="163" t="s">
        <v>4539</v>
      </c>
      <c r="J401" s="77">
        <v>73.73</v>
      </c>
      <c r="K401" s="371">
        <v>53.09</v>
      </c>
      <c r="L401" s="371">
        <v>8.09</v>
      </c>
      <c r="M401" s="365"/>
      <c r="N401" s="77">
        <f t="shared" si="308"/>
        <v>134.91</v>
      </c>
      <c r="O401" s="343"/>
      <c r="P401" s="195"/>
      <c r="Q401" s="326"/>
      <c r="R401" s="111"/>
      <c r="S401" s="51"/>
      <c r="T401" s="339"/>
      <c r="U401" s="329"/>
      <c r="V401" s="371">
        <v>2.62</v>
      </c>
      <c r="W401" s="205">
        <v>1.0900000000000001</v>
      </c>
      <c r="X401" s="100">
        <f t="shared" si="302"/>
        <v>1.1248710010319917E-2</v>
      </c>
      <c r="Y401" s="175">
        <v>96.9</v>
      </c>
      <c r="Z401" s="68">
        <v>93</v>
      </c>
      <c r="AA401" s="172">
        <f t="shared" si="307"/>
        <v>3.9000000000000057</v>
      </c>
      <c r="AB401" s="168">
        <f>AA401/Z401</f>
        <v>4.19354838709678E-2</v>
      </c>
      <c r="AC401" s="204" t="s">
        <v>2641</v>
      </c>
      <c r="AD401" s="163" t="s">
        <v>4539</v>
      </c>
      <c r="AE401" s="89">
        <v>44202</v>
      </c>
      <c r="AF401" s="88">
        <v>44207</v>
      </c>
      <c r="AG401" s="34">
        <f>AF401-AE401</f>
        <v>5</v>
      </c>
      <c r="AH401" s="124" t="s">
        <v>4530</v>
      </c>
      <c r="AL401" s="12"/>
    </row>
    <row r="402" spans="1:47" s="288" customFormat="1">
      <c r="A402" s="135" t="s">
        <v>4527</v>
      </c>
      <c r="B402" s="84">
        <v>24</v>
      </c>
      <c r="C402" s="84">
        <v>33</v>
      </c>
      <c r="D402" s="84">
        <v>7</v>
      </c>
      <c r="E402" s="84">
        <v>14</v>
      </c>
      <c r="F402" s="59">
        <v>15.22</v>
      </c>
      <c r="G402" s="42" t="s">
        <v>4528</v>
      </c>
      <c r="H402" s="31" t="s">
        <v>4522</v>
      </c>
      <c r="I402" s="176" t="s">
        <v>4529</v>
      </c>
      <c r="J402" s="77">
        <v>35.799999999999997</v>
      </c>
      <c r="K402" s="77">
        <v>5.67</v>
      </c>
      <c r="L402" s="77">
        <v>37.479999999999997</v>
      </c>
      <c r="M402" s="365"/>
      <c r="N402" s="365">
        <f t="shared" si="308"/>
        <v>78.949999999999989</v>
      </c>
      <c r="O402" s="343"/>
      <c r="P402" s="229"/>
      <c r="Q402" s="326"/>
      <c r="R402" s="111"/>
      <c r="S402" s="51"/>
      <c r="T402" s="339"/>
      <c r="U402" s="329"/>
      <c r="V402" s="371">
        <v>0.5</v>
      </c>
      <c r="W402" s="205">
        <v>2.2999999999999998</v>
      </c>
      <c r="X402" s="100">
        <f t="shared" si="302"/>
        <v>4.2990654205607472E-2</v>
      </c>
      <c r="Y402" s="171">
        <v>53.5</v>
      </c>
      <c r="Z402" s="165">
        <v>52.8</v>
      </c>
      <c r="AA402" s="172">
        <f t="shared" si="307"/>
        <v>0.70000000000000284</v>
      </c>
      <c r="AB402" s="168">
        <f t="shared" ref="AB402" si="309">AA402/Z402</f>
        <v>1.3257575757575812E-2</v>
      </c>
      <c r="AC402" s="204" t="s">
        <v>3147</v>
      </c>
      <c r="AD402" s="176" t="s">
        <v>4529</v>
      </c>
      <c r="AE402" s="89">
        <v>44196</v>
      </c>
      <c r="AF402" s="88">
        <v>44202</v>
      </c>
      <c r="AG402" s="34">
        <f t="shared" ref="AG402:AG407" si="310">AF402-AE402</f>
        <v>6</v>
      </c>
      <c r="AH402" s="124" t="s">
        <v>4530</v>
      </c>
      <c r="AI402" s="173"/>
    </row>
    <row r="403" spans="1:47" s="288" customFormat="1">
      <c r="A403" s="135" t="s">
        <v>4527</v>
      </c>
      <c r="B403" s="84">
        <v>24</v>
      </c>
      <c r="C403" s="84">
        <v>33</v>
      </c>
      <c r="D403" s="84">
        <v>7</v>
      </c>
      <c r="E403" s="84">
        <v>14</v>
      </c>
      <c r="F403" s="59">
        <v>15.22</v>
      </c>
      <c r="G403" s="42" t="s">
        <v>4528</v>
      </c>
      <c r="H403" s="31" t="s">
        <v>4522</v>
      </c>
      <c r="I403" s="176" t="s">
        <v>4529</v>
      </c>
      <c r="J403" s="77">
        <v>35.799999999999997</v>
      </c>
      <c r="K403" s="77">
        <v>5.67</v>
      </c>
      <c r="L403" s="77">
        <v>37.479999999999997</v>
      </c>
      <c r="M403" s="365"/>
      <c r="N403" s="365">
        <f>K403+J403+L403</f>
        <v>78.949999999999989</v>
      </c>
      <c r="O403" s="343"/>
      <c r="P403" s="229"/>
      <c r="Q403" s="326"/>
      <c r="R403" s="111"/>
      <c r="S403" s="51"/>
      <c r="T403" s="339"/>
      <c r="U403" s="329"/>
      <c r="V403" s="371">
        <v>0.5</v>
      </c>
      <c r="W403" s="205">
        <v>2.2999999999999998</v>
      </c>
      <c r="X403" s="100">
        <f t="shared" si="302"/>
        <v>4.2990654205607472E-2</v>
      </c>
      <c r="Y403" s="171">
        <v>53.5</v>
      </c>
      <c r="Z403" s="165">
        <v>52.7</v>
      </c>
      <c r="AA403" s="172">
        <f>Y403-Z403</f>
        <v>0.79999999999999716</v>
      </c>
      <c r="AB403" s="168">
        <f>AA403/Z403</f>
        <v>1.5180265654648901E-2</v>
      </c>
      <c r="AC403" s="204" t="s">
        <v>2553</v>
      </c>
      <c r="AD403" s="176" t="s">
        <v>4529</v>
      </c>
      <c r="AE403" s="89">
        <v>44195</v>
      </c>
      <c r="AF403" s="88">
        <v>44202</v>
      </c>
      <c r="AG403" s="34">
        <f t="shared" si="310"/>
        <v>7</v>
      </c>
      <c r="AH403" s="124" t="s">
        <v>4530</v>
      </c>
      <c r="AI403" s="173"/>
    </row>
    <row r="404" spans="1:47" s="288" customFormat="1">
      <c r="A404" s="151" t="s">
        <v>4537</v>
      </c>
      <c r="B404" s="84">
        <v>52</v>
      </c>
      <c r="C404" s="84">
        <v>39</v>
      </c>
      <c r="D404" s="85">
        <v>-8</v>
      </c>
      <c r="E404" s="85">
        <v>-3</v>
      </c>
      <c r="F404" s="7">
        <v>5.07</v>
      </c>
      <c r="G404" s="42" t="s">
        <v>4538</v>
      </c>
      <c r="H404" s="31" t="s">
        <v>4522</v>
      </c>
      <c r="I404" s="163" t="s">
        <v>4539</v>
      </c>
      <c r="J404" s="77">
        <v>71.510000000000005</v>
      </c>
      <c r="K404" s="77">
        <v>50.78</v>
      </c>
      <c r="L404" s="77">
        <v>8.6300000000000008</v>
      </c>
      <c r="M404" s="365"/>
      <c r="N404" s="77">
        <f t="shared" ref="N404" si="311">K404+J404+L404</f>
        <v>130.92000000000002</v>
      </c>
      <c r="O404" s="343"/>
      <c r="P404" s="229"/>
      <c r="Q404" s="326"/>
      <c r="R404" s="111"/>
      <c r="S404" s="51"/>
      <c r="T404" s="339"/>
      <c r="U404" s="329"/>
      <c r="V404" s="371">
        <v>2.98</v>
      </c>
      <c r="W404" s="205">
        <v>1.0900000000000001</v>
      </c>
      <c r="X404" s="100">
        <f t="shared" si="302"/>
        <v>1.1534391534391536E-2</v>
      </c>
      <c r="Y404" s="175">
        <v>94.5</v>
      </c>
      <c r="Z404" s="68">
        <v>85.3</v>
      </c>
      <c r="AA404" s="172">
        <f t="shared" ref="AA404" si="312">Y404-Z404</f>
        <v>9.2000000000000028</v>
      </c>
      <c r="AB404" s="168">
        <f t="shared" ref="AB404" si="313">AA404/Z404</f>
        <v>0.10785463071512313</v>
      </c>
      <c r="AC404" s="204" t="s">
        <v>4920</v>
      </c>
      <c r="AD404" s="163" t="s">
        <v>4539</v>
      </c>
      <c r="AE404" s="89">
        <v>44189</v>
      </c>
      <c r="AF404" s="88">
        <v>44202</v>
      </c>
      <c r="AG404" s="34">
        <f t="shared" si="310"/>
        <v>13</v>
      </c>
      <c r="AH404" s="124" t="s">
        <v>4530</v>
      </c>
      <c r="AI404" s="170"/>
      <c r="AU404" s="12"/>
    </row>
    <row r="405" spans="1:47" s="288" customFormat="1">
      <c r="A405" s="135" t="s">
        <v>4540</v>
      </c>
      <c r="B405" s="84">
        <v>57</v>
      </c>
      <c r="C405" s="84">
        <v>47</v>
      </c>
      <c r="D405" s="84">
        <v>4</v>
      </c>
      <c r="E405" s="84">
        <v>0</v>
      </c>
      <c r="F405" s="59">
        <v>12.43</v>
      </c>
      <c r="G405" s="42" t="s">
        <v>4541</v>
      </c>
      <c r="H405" s="31" t="s">
        <v>4543</v>
      </c>
      <c r="I405" s="176" t="s">
        <v>4542</v>
      </c>
      <c r="J405" s="371">
        <v>31.47</v>
      </c>
      <c r="K405" s="77">
        <v>12.88</v>
      </c>
      <c r="L405" s="77">
        <v>24.09</v>
      </c>
      <c r="M405" s="365"/>
      <c r="N405" s="365">
        <f>K405+J405+L405</f>
        <v>68.44</v>
      </c>
      <c r="O405" s="343"/>
      <c r="P405" s="229"/>
      <c r="Q405" s="326"/>
      <c r="R405" s="111">
        <v>2</v>
      </c>
      <c r="S405" s="51"/>
      <c r="T405" s="339"/>
      <c r="U405" s="329"/>
      <c r="V405" s="371">
        <v>1.63</v>
      </c>
      <c r="W405" s="205">
        <v>2</v>
      </c>
      <c r="X405" s="100">
        <f t="shared" si="302"/>
        <v>3.7383177570093455E-2</v>
      </c>
      <c r="Y405" s="171">
        <v>53.5</v>
      </c>
      <c r="Z405" s="165">
        <v>52.8</v>
      </c>
      <c r="AA405" s="172">
        <f>Y405-Z405</f>
        <v>0.70000000000000284</v>
      </c>
      <c r="AB405" s="168">
        <f>AA405/Z405</f>
        <v>1.3257575757575812E-2</v>
      </c>
      <c r="AC405" s="204" t="s">
        <v>3147</v>
      </c>
      <c r="AD405" s="176" t="s">
        <v>4542</v>
      </c>
      <c r="AE405" s="89">
        <v>44200</v>
      </c>
      <c r="AF405" s="88">
        <v>44202</v>
      </c>
      <c r="AG405" s="34">
        <f t="shared" si="310"/>
        <v>2</v>
      </c>
      <c r="AH405" s="124" t="s">
        <v>4544</v>
      </c>
      <c r="AI405" s="173"/>
    </row>
    <row r="406" spans="1:47" s="288" customFormat="1">
      <c r="A406" s="135" t="s">
        <v>4545</v>
      </c>
      <c r="B406" s="84">
        <v>57</v>
      </c>
      <c r="C406" s="84">
        <v>47</v>
      </c>
      <c r="D406" s="84">
        <v>4</v>
      </c>
      <c r="E406" s="84">
        <v>0</v>
      </c>
      <c r="F406" s="59">
        <v>12.43</v>
      </c>
      <c r="G406" s="42" t="s">
        <v>4546</v>
      </c>
      <c r="H406" s="31" t="s">
        <v>4543</v>
      </c>
      <c r="I406" s="176" t="s">
        <v>4542</v>
      </c>
      <c r="J406" s="371">
        <v>31.47</v>
      </c>
      <c r="K406" s="77">
        <v>12.88</v>
      </c>
      <c r="L406" s="77">
        <v>24.09</v>
      </c>
      <c r="M406" s="365"/>
      <c r="N406" s="365">
        <f>K406+J406+L406</f>
        <v>68.44</v>
      </c>
      <c r="O406" s="343"/>
      <c r="P406" s="229"/>
      <c r="Q406" s="326"/>
      <c r="R406" s="111"/>
      <c r="S406" s="51"/>
      <c r="T406" s="339"/>
      <c r="U406" s="329"/>
      <c r="V406" s="371">
        <v>1.63</v>
      </c>
      <c r="W406" s="205">
        <v>2</v>
      </c>
      <c r="X406" s="100">
        <f t="shared" si="302"/>
        <v>3.7383177570093455E-2</v>
      </c>
      <c r="Y406" s="171">
        <v>53.5</v>
      </c>
      <c r="Z406" s="165">
        <v>54.1</v>
      </c>
      <c r="AA406" s="172">
        <f>Y406-Z406</f>
        <v>-0.60000000000000142</v>
      </c>
      <c r="AB406" s="174">
        <f>AA406/Z406</f>
        <v>-1.1090573012939028E-2</v>
      </c>
      <c r="AC406" s="217" t="s">
        <v>4921</v>
      </c>
      <c r="AD406" s="176" t="s">
        <v>4542</v>
      </c>
      <c r="AE406" s="89">
        <v>44194</v>
      </c>
      <c r="AF406" s="88">
        <v>44202</v>
      </c>
      <c r="AG406" s="34">
        <f t="shared" si="310"/>
        <v>8</v>
      </c>
      <c r="AH406" s="124" t="s">
        <v>4544</v>
      </c>
      <c r="AI406" s="173"/>
    </row>
    <row r="407" spans="1:47" s="288" customFormat="1">
      <c r="A407" s="135" t="s">
        <v>4545</v>
      </c>
      <c r="B407" s="84">
        <v>57</v>
      </c>
      <c r="C407" s="84">
        <v>47</v>
      </c>
      <c r="D407" s="84">
        <v>4</v>
      </c>
      <c r="E407" s="84">
        <v>0</v>
      </c>
      <c r="F407" s="59">
        <v>12.43</v>
      </c>
      <c r="G407" s="42" t="s">
        <v>4546</v>
      </c>
      <c r="H407" s="31" t="s">
        <v>4543</v>
      </c>
      <c r="I407" s="176" t="s">
        <v>4542</v>
      </c>
      <c r="J407" s="371">
        <v>31.47</v>
      </c>
      <c r="K407" s="77">
        <v>12.88</v>
      </c>
      <c r="L407" s="77">
        <v>24.09</v>
      </c>
      <c r="M407" s="365"/>
      <c r="N407" s="365">
        <f>K407+J407+L407</f>
        <v>68.44</v>
      </c>
      <c r="O407" s="343"/>
      <c r="P407" s="229"/>
      <c r="Q407" s="326"/>
      <c r="R407" s="111"/>
      <c r="S407" s="51"/>
      <c r="T407" s="339"/>
      <c r="U407" s="329"/>
      <c r="V407" s="371">
        <v>1.63</v>
      </c>
      <c r="W407" s="205">
        <v>2</v>
      </c>
      <c r="X407" s="100">
        <f t="shared" si="302"/>
        <v>3.7383177570093455E-2</v>
      </c>
      <c r="Y407" s="171">
        <v>53.5</v>
      </c>
      <c r="Z407" s="165">
        <v>51.9</v>
      </c>
      <c r="AA407" s="172">
        <f>Y407-Z407</f>
        <v>1.6000000000000014</v>
      </c>
      <c r="AB407" s="168">
        <f>AA407/Z407</f>
        <v>3.0828516377649353E-2</v>
      </c>
      <c r="AC407" s="204" t="s">
        <v>4646</v>
      </c>
      <c r="AD407" s="176" t="s">
        <v>4542</v>
      </c>
      <c r="AE407" s="89">
        <v>44189</v>
      </c>
      <c r="AF407" s="88">
        <v>44202</v>
      </c>
      <c r="AG407" s="34">
        <f t="shared" si="310"/>
        <v>13</v>
      </c>
      <c r="AH407" s="124" t="s">
        <v>4544</v>
      </c>
      <c r="AI407" s="173"/>
    </row>
    <row r="408" spans="1:47" s="288" customFormat="1">
      <c r="A408" s="151"/>
      <c r="B408" s="84"/>
      <c r="C408" s="84"/>
      <c r="D408" s="85"/>
      <c r="E408" s="85"/>
      <c r="F408" s="7"/>
      <c r="G408" s="42"/>
      <c r="H408" s="55"/>
      <c r="I408" s="163"/>
      <c r="J408" s="77"/>
      <c r="K408" s="77"/>
      <c r="L408" s="77"/>
      <c r="M408" s="365"/>
      <c r="N408" s="77"/>
      <c r="O408" s="343"/>
      <c r="P408" s="229"/>
      <c r="Q408" s="326"/>
      <c r="R408" s="111"/>
      <c r="S408" s="51"/>
      <c r="T408" s="339"/>
      <c r="U408" s="329"/>
      <c r="V408" s="371"/>
      <c r="W408" s="205"/>
      <c r="X408" s="100"/>
      <c r="Y408" s="171">
        <f>SUM(Y387:Y407)</f>
        <v>1351.9499999999998</v>
      </c>
      <c r="Z408" s="68">
        <f>SUM(Z387:Z407)</f>
        <v>1318.7999999999997</v>
      </c>
      <c r="AA408" s="172">
        <f>SUM(AA387:AA407)</f>
        <v>33.150000000000027</v>
      </c>
      <c r="AB408" s="168">
        <f>AA408/Z408</f>
        <v>2.5136487716105577E-2</v>
      </c>
      <c r="AC408" s="177"/>
      <c r="AD408" s="163">
        <f>Y408*(0.001425*0.65)+Y408*0.003+Z408*(0.001425*0.65)</f>
        <v>6.529632187499999</v>
      </c>
      <c r="AE408" s="7">
        <f>AA408-AD408</f>
        <v>26.620367812500028</v>
      </c>
      <c r="AF408" s="88"/>
      <c r="AG408" s="124"/>
      <c r="AH408" s="124"/>
      <c r="AI408" s="170"/>
      <c r="AU408" s="12"/>
    </row>
    <row r="409" spans="1:47" s="288" customFormat="1">
      <c r="A409" s="151"/>
      <c r="B409" s="84"/>
      <c r="C409" s="84"/>
      <c r="D409" s="85"/>
      <c r="E409" s="85"/>
      <c r="F409" s="7"/>
      <c r="G409" s="42"/>
      <c r="H409" s="4"/>
      <c r="I409" s="163"/>
      <c r="J409" s="77"/>
      <c r="K409" s="77"/>
      <c r="L409" s="77"/>
      <c r="M409" s="365"/>
      <c r="N409" s="77"/>
      <c r="O409" s="343"/>
      <c r="P409" s="232"/>
      <c r="Q409" s="326"/>
      <c r="R409" s="111"/>
      <c r="S409" s="51"/>
      <c r="T409" s="339"/>
      <c r="U409" s="329"/>
      <c r="V409" s="371"/>
      <c r="W409" s="205"/>
      <c r="X409" s="100"/>
      <c r="Y409" s="171"/>
      <c r="Z409" s="68"/>
      <c r="AA409" s="172"/>
      <c r="AB409" s="168"/>
      <c r="AC409" s="177"/>
      <c r="AD409" s="163"/>
      <c r="AE409" s="89"/>
      <c r="AF409" s="88"/>
      <c r="AG409" s="124"/>
      <c r="AH409" s="124"/>
      <c r="AI409" s="170"/>
      <c r="AU409" s="12"/>
    </row>
    <row r="410" spans="1:47" s="297" customFormat="1">
      <c r="A410" s="135" t="s">
        <v>3587</v>
      </c>
      <c r="B410" s="96" t="s">
        <v>3588</v>
      </c>
      <c r="C410" s="96" t="s">
        <v>3589</v>
      </c>
      <c r="D410" s="96" t="s">
        <v>3590</v>
      </c>
      <c r="E410" s="96" t="s">
        <v>3591</v>
      </c>
      <c r="F410" s="9" t="s">
        <v>3592</v>
      </c>
      <c r="G410" s="27" t="s">
        <v>5626</v>
      </c>
      <c r="H410" s="56" t="s">
        <v>3601</v>
      </c>
      <c r="I410" s="1" t="s">
        <v>3593</v>
      </c>
      <c r="J410" s="364" t="s">
        <v>3594</v>
      </c>
      <c r="K410" s="364" t="s">
        <v>3595</v>
      </c>
      <c r="L410" s="364" t="s">
        <v>3596</v>
      </c>
      <c r="M410" s="364"/>
      <c r="N410" s="364" t="s">
        <v>3597</v>
      </c>
      <c r="O410" s="343"/>
      <c r="P410" s="195" t="s">
        <v>5279</v>
      </c>
      <c r="Q410" s="328"/>
      <c r="R410" s="337"/>
      <c r="S410" s="51" t="s">
        <v>5367</v>
      </c>
      <c r="T410" s="338" t="s">
        <v>5514</v>
      </c>
      <c r="U410" s="329"/>
      <c r="V410" s="377" t="s">
        <v>5296</v>
      </c>
      <c r="W410" s="11" t="s">
        <v>4585</v>
      </c>
      <c r="X410" s="71" t="s">
        <v>4583</v>
      </c>
      <c r="Y410" s="29" t="s">
        <v>4584</v>
      </c>
      <c r="Z410" s="18" t="s">
        <v>4586</v>
      </c>
      <c r="AA410" s="15" t="s">
        <v>3598</v>
      </c>
      <c r="AB410" s="22" t="s">
        <v>3599</v>
      </c>
      <c r="AC410" s="26" t="s">
        <v>3600</v>
      </c>
      <c r="AD410" s="1" t="s">
        <v>3593</v>
      </c>
      <c r="AE410" s="75" t="s">
        <v>3602</v>
      </c>
      <c r="AF410" s="76" t="s">
        <v>3603</v>
      </c>
      <c r="AG410" s="33" t="s">
        <v>3604</v>
      </c>
      <c r="AH410" s="47" t="s">
        <v>3607</v>
      </c>
      <c r="AI410" s="173"/>
    </row>
    <row r="411" spans="1:47" s="181" customFormat="1" ht="17.100000000000001" customHeight="1">
      <c r="A411" s="135" t="s">
        <v>3608</v>
      </c>
      <c r="B411" s="84">
        <v>79</v>
      </c>
      <c r="C411" s="84">
        <v>153</v>
      </c>
      <c r="D411" s="84">
        <v>6</v>
      </c>
      <c r="E411" s="84">
        <v>34</v>
      </c>
      <c r="F411" s="59">
        <v>10.11</v>
      </c>
      <c r="G411" s="42" t="s">
        <v>3609</v>
      </c>
      <c r="H411" s="31" t="s">
        <v>3605</v>
      </c>
      <c r="I411" s="176" t="s">
        <v>3610</v>
      </c>
      <c r="J411" s="371">
        <v>47.16</v>
      </c>
      <c r="K411" s="77">
        <v>10.68</v>
      </c>
      <c r="L411" s="77">
        <v>47.47</v>
      </c>
      <c r="M411" s="365"/>
      <c r="N411" s="77">
        <f>K411+J411+L411</f>
        <v>105.31</v>
      </c>
      <c r="O411" s="343"/>
      <c r="P411" s="232"/>
      <c r="Q411" s="326"/>
      <c r="R411" s="111">
        <v>8</v>
      </c>
      <c r="S411" s="51"/>
      <c r="T411" s="339"/>
      <c r="U411" s="329"/>
      <c r="V411" s="371">
        <v>4.33</v>
      </c>
      <c r="W411" s="205">
        <v>0.5</v>
      </c>
      <c r="X411" s="59">
        <f>W411/Y411</f>
        <v>7.0422535211267607E-3</v>
      </c>
      <c r="Y411" s="171">
        <v>71</v>
      </c>
      <c r="Z411" s="165">
        <v>62.1</v>
      </c>
      <c r="AA411" s="172">
        <f>Y411-Z411</f>
        <v>8.8999999999999986</v>
      </c>
      <c r="AB411" s="168">
        <f>AA411/Z411</f>
        <v>0.14331723027375198</v>
      </c>
      <c r="AC411" s="177" t="s">
        <v>4922</v>
      </c>
      <c r="AD411" s="176" t="s">
        <v>3610</v>
      </c>
      <c r="AE411" s="89">
        <v>44190</v>
      </c>
      <c r="AF411" s="88">
        <v>44195</v>
      </c>
      <c r="AG411" s="34">
        <f>AF411-AE411</f>
        <v>5</v>
      </c>
      <c r="AH411" s="124" t="s">
        <v>3606</v>
      </c>
      <c r="AI411" s="129"/>
      <c r="AJ411" s="12"/>
      <c r="AK411" s="12"/>
      <c r="AL411" s="12"/>
      <c r="AM411" s="12"/>
      <c r="AN411" s="12"/>
    </row>
    <row r="412" spans="1:47" s="288" customFormat="1">
      <c r="A412" s="151" t="s">
        <v>3611</v>
      </c>
      <c r="B412" s="84">
        <v>307</v>
      </c>
      <c r="C412" s="84">
        <v>153</v>
      </c>
      <c r="D412" s="84">
        <v>3</v>
      </c>
      <c r="E412" s="84">
        <v>199</v>
      </c>
      <c r="F412" s="7">
        <v>8.8800000000000008</v>
      </c>
      <c r="G412" s="42" t="s">
        <v>3612</v>
      </c>
      <c r="H412" s="31" t="s">
        <v>3605</v>
      </c>
      <c r="I412" s="176" t="s">
        <v>3613</v>
      </c>
      <c r="J412" s="77">
        <v>24.14</v>
      </c>
      <c r="K412" s="77">
        <v>3.71</v>
      </c>
      <c r="L412" s="77">
        <v>50.15</v>
      </c>
      <c r="M412" s="365"/>
      <c r="N412" s="365">
        <f>K412+J412+L412</f>
        <v>78</v>
      </c>
      <c r="O412" s="343"/>
      <c r="P412" s="232"/>
      <c r="Q412" s="326"/>
      <c r="R412" s="111">
        <v>33</v>
      </c>
      <c r="S412" s="51"/>
      <c r="T412" s="339"/>
      <c r="U412" s="329"/>
      <c r="V412" s="371">
        <v>3.29</v>
      </c>
      <c r="W412" s="205">
        <v>0.25</v>
      </c>
      <c r="X412" s="59">
        <f>W412/Y412</f>
        <v>3.2425421530479898E-3</v>
      </c>
      <c r="Y412" s="171">
        <v>77.099999999999994</v>
      </c>
      <c r="Z412" s="165">
        <v>61.2</v>
      </c>
      <c r="AA412" s="172">
        <f>Y412-Z412</f>
        <v>15.899999999999991</v>
      </c>
      <c r="AB412" s="168">
        <f t="shared" ref="AB412:AB413" si="314">AA412/Z412</f>
        <v>0.25980392156862731</v>
      </c>
      <c r="AC412" s="105" t="s">
        <v>4923</v>
      </c>
      <c r="AD412" s="176" t="s">
        <v>3613</v>
      </c>
      <c r="AE412" s="89">
        <v>44183</v>
      </c>
      <c r="AF412" s="88">
        <v>44195</v>
      </c>
      <c r="AG412" s="34">
        <f>AF412-AE412</f>
        <v>12</v>
      </c>
      <c r="AH412" s="124" t="s">
        <v>3614</v>
      </c>
      <c r="AI412" s="173"/>
    </row>
    <row r="413" spans="1:47" s="288" customFormat="1">
      <c r="A413" s="151" t="s">
        <v>3611</v>
      </c>
      <c r="B413" s="84">
        <v>307</v>
      </c>
      <c r="C413" s="84">
        <v>153</v>
      </c>
      <c r="D413" s="84">
        <v>3</v>
      </c>
      <c r="E413" s="84">
        <v>199</v>
      </c>
      <c r="F413" s="7">
        <v>8.8800000000000008</v>
      </c>
      <c r="G413" s="42" t="s">
        <v>3612</v>
      </c>
      <c r="H413" s="31" t="s">
        <v>3605</v>
      </c>
      <c r="I413" s="176" t="s">
        <v>3613</v>
      </c>
      <c r="J413" s="77">
        <v>24.14</v>
      </c>
      <c r="K413" s="77">
        <v>3.71</v>
      </c>
      <c r="L413" s="77">
        <v>50.15</v>
      </c>
      <c r="M413" s="365"/>
      <c r="N413" s="365">
        <f>K413+J413+L413</f>
        <v>78</v>
      </c>
      <c r="O413" s="343"/>
      <c r="P413" s="232"/>
      <c r="Q413" s="326"/>
      <c r="R413" s="111"/>
      <c r="S413" s="51"/>
      <c r="T413" s="339"/>
      <c r="U413" s="329"/>
      <c r="V413" s="371">
        <v>3.29</v>
      </c>
      <c r="W413" s="205">
        <v>0.25</v>
      </c>
      <c r="X413" s="59">
        <f>W413/Y413</f>
        <v>4.1597337770382693E-3</v>
      </c>
      <c r="Y413" s="171">
        <v>60.1</v>
      </c>
      <c r="Z413" s="165">
        <v>51</v>
      </c>
      <c r="AA413" s="172">
        <f>Y413-Z413</f>
        <v>9.1000000000000014</v>
      </c>
      <c r="AB413" s="168">
        <f t="shared" si="314"/>
        <v>0.17843137254901964</v>
      </c>
      <c r="AC413" s="105" t="s">
        <v>4924</v>
      </c>
      <c r="AD413" s="176" t="s">
        <v>3613</v>
      </c>
      <c r="AE413" s="89">
        <v>44183</v>
      </c>
      <c r="AF413" s="88">
        <v>44187</v>
      </c>
      <c r="AG413" s="34">
        <f>AF413-AE413</f>
        <v>4</v>
      </c>
      <c r="AH413" s="124" t="s">
        <v>3614</v>
      </c>
      <c r="AI413" s="173"/>
    </row>
    <row r="414" spans="1:47" s="288" customFormat="1">
      <c r="A414" s="150"/>
      <c r="B414" s="84"/>
      <c r="C414" s="85"/>
      <c r="D414" s="84"/>
      <c r="E414" s="85"/>
      <c r="F414" s="7"/>
      <c r="G414" s="42"/>
      <c r="H414" s="55"/>
      <c r="I414" s="176"/>
      <c r="J414" s="371"/>
      <c r="K414" s="371"/>
      <c r="L414" s="77"/>
      <c r="M414" s="365"/>
      <c r="N414" s="365"/>
      <c r="O414" s="343"/>
      <c r="P414" s="232"/>
      <c r="Q414" s="326"/>
      <c r="R414" s="111"/>
      <c r="S414" s="51"/>
      <c r="T414" s="339"/>
      <c r="U414" s="329"/>
      <c r="V414" s="371"/>
      <c r="W414" s="205"/>
      <c r="X414" s="100"/>
      <c r="Y414" s="175">
        <f>SUM(Y411:Y413)</f>
        <v>208.2</v>
      </c>
      <c r="Z414" s="165">
        <f>SUM(Z411:Z413)</f>
        <v>174.3</v>
      </c>
      <c r="AA414" s="172">
        <f>SUM(AA411:AA413)</f>
        <v>33.899999999999991</v>
      </c>
      <c r="AB414" s="168">
        <f>AA414/Z414</f>
        <v>0.19449225473321852</v>
      </c>
      <c r="AC414" s="121"/>
      <c r="AD414" s="163">
        <f>Y414*(0.001425*0.65)+Y414*0.003+Z414*(0.001425*0.65)</f>
        <v>0.97889062500000001</v>
      </c>
      <c r="AE414" s="7">
        <f>AA414-AD414</f>
        <v>32.921109374999993</v>
      </c>
      <c r="AF414" s="88"/>
      <c r="AG414" s="34"/>
      <c r="AH414" s="147"/>
      <c r="AI414" s="173"/>
    </row>
    <row r="415" spans="1:47">
      <c r="B415" s="84"/>
      <c r="C415" s="85"/>
      <c r="D415" s="84"/>
      <c r="E415" s="85"/>
      <c r="F415" s="7"/>
      <c r="G415" s="42"/>
      <c r="H415" s="51"/>
      <c r="I415" s="17"/>
      <c r="J415" s="371"/>
      <c r="K415" s="371"/>
      <c r="N415" s="365"/>
      <c r="W415" s="35"/>
      <c r="X415" s="100"/>
      <c r="Y415" s="14"/>
      <c r="Z415" s="46"/>
      <c r="AA415" s="16"/>
      <c r="AB415" s="80"/>
      <c r="AC415" s="121"/>
      <c r="AD415" s="17"/>
      <c r="AG415" s="34"/>
    </row>
    <row r="416" spans="1:47">
      <c r="A416" s="135" t="s">
        <v>2552</v>
      </c>
      <c r="B416" s="96" t="s">
        <v>2331</v>
      </c>
      <c r="C416" s="96" t="s">
        <v>2332</v>
      </c>
      <c r="D416" s="96" t="s">
        <v>2333</v>
      </c>
      <c r="E416" s="96" t="s">
        <v>2334</v>
      </c>
      <c r="F416" s="9" t="s">
        <v>1709</v>
      </c>
      <c r="G416" s="27" t="s">
        <v>5626</v>
      </c>
      <c r="H416" s="56" t="s">
        <v>578</v>
      </c>
      <c r="I416" s="1" t="s">
        <v>131</v>
      </c>
      <c r="J416" s="364" t="s">
        <v>2189</v>
      </c>
      <c r="K416" s="364" t="s">
        <v>1820</v>
      </c>
      <c r="L416" s="364" t="s">
        <v>515</v>
      </c>
      <c r="M416" s="364"/>
      <c r="N416" s="364" t="s">
        <v>1708</v>
      </c>
      <c r="P416" s="195" t="s">
        <v>5279</v>
      </c>
      <c r="S416" s="51" t="s">
        <v>5367</v>
      </c>
      <c r="T416" s="338" t="s">
        <v>5514</v>
      </c>
      <c r="V416" s="377" t="s">
        <v>5296</v>
      </c>
      <c r="W416" s="11" t="s">
        <v>4585</v>
      </c>
      <c r="X416" s="71" t="s">
        <v>4583</v>
      </c>
      <c r="Y416" s="29" t="s">
        <v>4584</v>
      </c>
      <c r="Z416" s="18" t="s">
        <v>4586</v>
      </c>
      <c r="AA416" s="15" t="s">
        <v>8</v>
      </c>
      <c r="AB416" s="22" t="s">
        <v>4</v>
      </c>
      <c r="AC416" s="26" t="s">
        <v>211</v>
      </c>
      <c r="AD416" s="1" t="s">
        <v>131</v>
      </c>
      <c r="AE416" s="75" t="s">
        <v>2114</v>
      </c>
      <c r="AF416" s="76" t="s">
        <v>1826</v>
      </c>
      <c r="AG416" s="33" t="s">
        <v>1827</v>
      </c>
      <c r="AH416" s="47" t="s">
        <v>2323</v>
      </c>
    </row>
    <row r="417" spans="1:46" ht="16.5" customHeight="1">
      <c r="A417" s="140"/>
      <c r="B417" s="96"/>
      <c r="C417" s="140"/>
      <c r="D417" s="96"/>
      <c r="E417" s="96"/>
      <c r="F417" s="7"/>
      <c r="G417" s="42" t="s">
        <v>2865</v>
      </c>
      <c r="H417" s="9" t="s">
        <v>2119</v>
      </c>
      <c r="I417" s="23" t="s">
        <v>378</v>
      </c>
      <c r="J417" s="77">
        <v>63.08</v>
      </c>
      <c r="K417" s="209" ph="1">
        <v>64.72</v>
      </c>
      <c r="L417" s="371">
        <v>14.15</v>
      </c>
      <c r="N417" s="77">
        <f>V417+K417+J417+L417</f>
        <v>141.94999999999999</v>
      </c>
      <c r="W417" s="35"/>
      <c r="X417" s="100">
        <f>W417/Y417</f>
        <v>0</v>
      </c>
      <c r="Y417" s="14">
        <v>6.97</v>
      </c>
      <c r="Z417" s="69">
        <v>18.57</v>
      </c>
      <c r="AA417" s="16">
        <f t="shared" ref="AA417" si="315">Y417-Z417</f>
        <v>-11.600000000000001</v>
      </c>
      <c r="AB417" s="80">
        <f t="shared" ref="AB417" si="316">AA417/Z417</f>
        <v>-0.62466343564889615</v>
      </c>
      <c r="AC417" s="121" t="s">
        <v>2869</v>
      </c>
      <c r="AD417" s="23" t="s">
        <v>378</v>
      </c>
      <c r="AG417" s="34" t="e">
        <f>AF417-#REF!</f>
        <v>#REF!</v>
      </c>
      <c r="AH417" s="50" t="s">
        <v>2871</v>
      </c>
      <c r="AI417" s="286"/>
      <c r="AJ417" s="286"/>
      <c r="AK417" s="79"/>
      <c r="AL417" s="69"/>
      <c r="AM417" s="79"/>
      <c r="AN417" s="69"/>
      <c r="AO417" s="42"/>
      <c r="AP417" s="23"/>
    </row>
    <row r="418" spans="1:46" ht="16.5" customHeight="1">
      <c r="A418" s="140"/>
      <c r="B418" s="96"/>
      <c r="C418" s="140"/>
      <c r="D418" s="96"/>
      <c r="E418" s="96"/>
      <c r="F418" s="7"/>
      <c r="G418" s="42" t="s">
        <v>598</v>
      </c>
      <c r="H418" s="51" t="s">
        <v>2234</v>
      </c>
      <c r="I418" s="23" t="s">
        <v>378</v>
      </c>
      <c r="J418" s="77">
        <v>63.08</v>
      </c>
      <c r="K418" s="209" ph="1">
        <v>64.72</v>
      </c>
      <c r="L418" s="371">
        <v>14.15</v>
      </c>
      <c r="N418" s="77">
        <f>V418+K418+J418+L418</f>
        <v>141.94999999999999</v>
      </c>
      <c r="W418" s="35"/>
      <c r="X418" s="100">
        <f>W418/Y418</f>
        <v>0</v>
      </c>
      <c r="Y418" s="14">
        <v>6.95</v>
      </c>
      <c r="Z418" s="69">
        <v>16.73</v>
      </c>
      <c r="AA418" s="16">
        <f t="shared" ref="AA418" si="317">Y418-Z418</f>
        <v>-9.7800000000000011</v>
      </c>
      <c r="AB418" s="80">
        <f t="shared" ref="AB418" si="318">AA418/Z418</f>
        <v>-0.58457860131500305</v>
      </c>
      <c r="AC418" s="121" t="s">
        <v>2873</v>
      </c>
      <c r="AD418" s="23" t="s">
        <v>378</v>
      </c>
      <c r="AG418" s="34" t="e">
        <f>AF418-#REF!</f>
        <v>#REF!</v>
      </c>
      <c r="AH418" s="50" t="s">
        <v>2576</v>
      </c>
      <c r="AI418" s="286"/>
      <c r="AJ418" s="286"/>
      <c r="AK418" s="79"/>
      <c r="AL418" s="69"/>
      <c r="AM418" s="79"/>
      <c r="AN418" s="69"/>
      <c r="AO418" s="42"/>
      <c r="AP418" s="23"/>
    </row>
    <row r="419" spans="1:46">
      <c r="A419" s="135"/>
      <c r="B419" s="96"/>
      <c r="C419" s="96"/>
      <c r="D419" s="96"/>
      <c r="E419" s="96"/>
      <c r="F419" s="9"/>
      <c r="G419" s="26"/>
      <c r="H419" s="56"/>
      <c r="I419" s="1"/>
      <c r="J419" s="364"/>
      <c r="K419" s="364"/>
      <c r="L419" s="364"/>
      <c r="M419" s="364"/>
      <c r="N419" s="364"/>
      <c r="W419" s="11"/>
      <c r="X419" s="71"/>
      <c r="Y419" s="29"/>
      <c r="Z419" s="18"/>
      <c r="AA419" s="15"/>
      <c r="AB419" s="22"/>
      <c r="AC419" s="26"/>
      <c r="AD419" s="1"/>
      <c r="AE419" s="75"/>
      <c r="AF419" s="76"/>
      <c r="AG419" s="33"/>
      <c r="AH419" s="47"/>
    </row>
    <row r="420" spans="1:46">
      <c r="A420" s="135" t="s">
        <v>2552</v>
      </c>
      <c r="B420" s="96" t="s">
        <v>2331</v>
      </c>
      <c r="C420" s="96" t="s">
        <v>2332</v>
      </c>
      <c r="D420" s="96" t="s">
        <v>2333</v>
      </c>
      <c r="E420" s="96" t="s">
        <v>2334</v>
      </c>
      <c r="F420" s="9" t="s">
        <v>1709</v>
      </c>
      <c r="G420" s="27" t="s">
        <v>5626</v>
      </c>
      <c r="H420" s="56" t="s">
        <v>578</v>
      </c>
      <c r="I420" s="1" t="s">
        <v>131</v>
      </c>
      <c r="J420" s="364" t="s">
        <v>2189</v>
      </c>
      <c r="K420" s="364" t="s">
        <v>1820</v>
      </c>
      <c r="L420" s="364" t="s">
        <v>515</v>
      </c>
      <c r="M420" s="364"/>
      <c r="N420" s="364" t="s">
        <v>1708</v>
      </c>
      <c r="P420" s="195"/>
      <c r="S420" s="51" t="s">
        <v>5367</v>
      </c>
      <c r="T420" s="338" t="s">
        <v>5514</v>
      </c>
      <c r="V420" s="377" t="s">
        <v>5296</v>
      </c>
      <c r="W420" s="11" t="s">
        <v>4585</v>
      </c>
      <c r="X420" s="71" t="s">
        <v>4583</v>
      </c>
      <c r="Y420" s="29" t="s">
        <v>4584</v>
      </c>
      <c r="Z420" s="18" t="s">
        <v>4586</v>
      </c>
      <c r="AA420" s="15" t="s">
        <v>8</v>
      </c>
      <c r="AB420" s="22" t="s">
        <v>4</v>
      </c>
      <c r="AC420" s="26" t="s">
        <v>211</v>
      </c>
      <c r="AD420" s="1" t="s">
        <v>131</v>
      </c>
      <c r="AE420" s="75" t="s">
        <v>2114</v>
      </c>
      <c r="AF420" s="76" t="s">
        <v>1826</v>
      </c>
      <c r="AG420" s="33" t="s">
        <v>1827</v>
      </c>
      <c r="AH420" s="47" t="s">
        <v>2976</v>
      </c>
    </row>
    <row r="421" spans="1:46">
      <c r="B421" s="85">
        <v>-61</v>
      </c>
      <c r="C421" s="84">
        <v>22</v>
      </c>
      <c r="D421" s="85">
        <v>-61</v>
      </c>
      <c r="E421" s="84">
        <v>22</v>
      </c>
      <c r="F421" s="7">
        <v>-16.91</v>
      </c>
      <c r="G421" s="42" t="s">
        <v>932</v>
      </c>
      <c r="H421" s="9" t="s">
        <v>2119</v>
      </c>
      <c r="I421" s="23" t="s">
        <v>933</v>
      </c>
      <c r="J421" s="371">
        <v>52.53</v>
      </c>
      <c r="K421" s="371">
        <v>3.65</v>
      </c>
      <c r="L421" s="371">
        <v>38.520000000000003</v>
      </c>
      <c r="N421" s="365">
        <f>V421+K421+J421+L421</f>
        <v>124</v>
      </c>
      <c r="V421" s="371">
        <v>29.3</v>
      </c>
      <c r="W421" s="35">
        <v>0</v>
      </c>
      <c r="X421" s="100">
        <f>W421/Y421</f>
        <v>0</v>
      </c>
      <c r="Y421" s="14">
        <v>11.8</v>
      </c>
      <c r="Z421" s="46">
        <v>13.57</v>
      </c>
      <c r="AA421" s="16">
        <f>Y421-Z421</f>
        <v>-1.7699999999999996</v>
      </c>
      <c r="AB421" s="80">
        <f>AA421/Z421</f>
        <v>-0.13043478260869562</v>
      </c>
      <c r="AC421" s="121" t="s">
        <v>2979</v>
      </c>
      <c r="AD421" s="23" t="s">
        <v>933</v>
      </c>
      <c r="AE421" s="89">
        <v>43362</v>
      </c>
      <c r="AG421" s="34">
        <f>AF421-AE421</f>
        <v>-43362</v>
      </c>
      <c r="AH421" s="42" t="s">
        <v>1790</v>
      </c>
      <c r="AK421" s="12"/>
      <c r="AL421" s="12"/>
      <c r="AM421" s="12"/>
      <c r="AN421" s="12"/>
      <c r="AQ421" s="8"/>
      <c r="AR421" s="32"/>
      <c r="AS421" s="8"/>
      <c r="AT421" s="8"/>
    </row>
    <row r="422" spans="1:46">
      <c r="B422" s="85">
        <v>-61</v>
      </c>
      <c r="C422" s="84">
        <v>22</v>
      </c>
      <c r="D422" s="85">
        <v>-61</v>
      </c>
      <c r="E422" s="84">
        <v>22</v>
      </c>
      <c r="F422" s="7">
        <v>-16.91</v>
      </c>
      <c r="G422" s="42" t="s">
        <v>932</v>
      </c>
      <c r="H422" s="51" t="s">
        <v>2120</v>
      </c>
      <c r="I422" s="23" t="s">
        <v>933</v>
      </c>
      <c r="J422" s="371">
        <v>52.53</v>
      </c>
      <c r="K422" s="371">
        <v>3.65</v>
      </c>
      <c r="L422" s="371">
        <v>38.520000000000003</v>
      </c>
      <c r="N422" s="365">
        <f>V422+K422+J422+L422</f>
        <v>124</v>
      </c>
      <c r="V422" s="371">
        <v>29.3</v>
      </c>
      <c r="W422" s="35">
        <v>0</v>
      </c>
      <c r="X422" s="100">
        <f>W422/Y422</f>
        <v>0</v>
      </c>
      <c r="Y422" s="14">
        <v>11.8</v>
      </c>
      <c r="Z422" s="46">
        <v>13.57</v>
      </c>
      <c r="AA422" s="16">
        <f>Y422-Z422</f>
        <v>-1.7699999999999996</v>
      </c>
      <c r="AB422" s="80">
        <f>AA422/Z422</f>
        <v>-0.13043478260869562</v>
      </c>
      <c r="AC422" s="121" t="s">
        <v>2980</v>
      </c>
      <c r="AD422" s="23" t="s">
        <v>933</v>
      </c>
      <c r="AE422" s="89">
        <v>43362</v>
      </c>
      <c r="AG422" s="34">
        <f>AF422-AE422</f>
        <v>-43362</v>
      </c>
      <c r="AH422" s="124" t="s">
        <v>2361</v>
      </c>
      <c r="AK422" s="12"/>
      <c r="AL422" s="12"/>
      <c r="AM422" s="12"/>
      <c r="AN422" s="12"/>
      <c r="AQ422" s="8"/>
      <c r="AR422" s="32"/>
      <c r="AS422" s="8"/>
      <c r="AT422" s="8"/>
    </row>
    <row r="423" spans="1:46" ht="16.5" customHeight="1">
      <c r="A423" s="152"/>
      <c r="B423" s="85">
        <v>-66</v>
      </c>
      <c r="C423" s="85">
        <v>-17</v>
      </c>
      <c r="D423" s="85">
        <v>-66</v>
      </c>
      <c r="E423" s="85">
        <v>-17</v>
      </c>
      <c r="F423" s="7">
        <v>-25.81</v>
      </c>
      <c r="G423" s="42" t="s">
        <v>932</v>
      </c>
      <c r="H423" s="51" t="s">
        <v>2120</v>
      </c>
      <c r="I423" s="23" t="s">
        <v>933</v>
      </c>
      <c r="J423" s="371">
        <v>51.86</v>
      </c>
      <c r="K423" s="77">
        <v>3.98</v>
      </c>
      <c r="L423" s="77">
        <v>34.36</v>
      </c>
      <c r="N423" s="365">
        <f>V423+K423+J423+L423</f>
        <v>119.5</v>
      </c>
      <c r="V423" s="371">
        <v>29.3</v>
      </c>
      <c r="W423" s="35">
        <v>0</v>
      </c>
      <c r="X423" s="100">
        <f>W423/Y423</f>
        <v>0</v>
      </c>
      <c r="Y423" s="37">
        <v>11.8</v>
      </c>
      <c r="Z423" s="46">
        <v>11.3</v>
      </c>
      <c r="AA423" s="16">
        <f>Y423-Z423</f>
        <v>0.5</v>
      </c>
      <c r="AB423" s="66">
        <f>AA423/Z423</f>
        <v>4.4247787610619468E-2</v>
      </c>
      <c r="AC423" s="119" t="s">
        <v>2977</v>
      </c>
      <c r="AD423" s="23" t="s">
        <v>933</v>
      </c>
      <c r="AE423" s="89">
        <v>43711</v>
      </c>
      <c r="AG423" s="34">
        <f>AF423-AE423</f>
        <v>-43711</v>
      </c>
      <c r="AH423" s="124"/>
      <c r="AI423" s="284"/>
    </row>
    <row r="424" spans="1:46" ht="16.5" customHeight="1">
      <c r="B424" s="85">
        <v>-66</v>
      </c>
      <c r="C424" s="85">
        <v>-17</v>
      </c>
      <c r="D424" s="85">
        <v>-66</v>
      </c>
      <c r="E424" s="85">
        <v>-17</v>
      </c>
      <c r="F424" s="7">
        <v>-25.81</v>
      </c>
      <c r="G424" s="42" t="s">
        <v>932</v>
      </c>
      <c r="H424" s="51" t="s">
        <v>2120</v>
      </c>
      <c r="I424" s="23" t="s">
        <v>933</v>
      </c>
      <c r="J424" s="371">
        <v>51.66</v>
      </c>
      <c r="K424" s="77">
        <v>3.67</v>
      </c>
      <c r="L424" s="371">
        <v>34.44</v>
      </c>
      <c r="N424" s="365">
        <f>V424+K424+J424+L424</f>
        <v>119.07</v>
      </c>
      <c r="V424" s="371">
        <v>29.3</v>
      </c>
      <c r="W424" s="35">
        <v>0</v>
      </c>
      <c r="X424" s="100">
        <f>W424/Y424</f>
        <v>0</v>
      </c>
      <c r="Y424" s="37">
        <v>11.8</v>
      </c>
      <c r="Z424" s="46">
        <v>11.25</v>
      </c>
      <c r="AA424" s="16">
        <f>Y424-Z424</f>
        <v>0.55000000000000071</v>
      </c>
      <c r="AB424" s="66">
        <f>AA424/Z424</f>
        <v>4.8888888888888954E-2</v>
      </c>
      <c r="AC424" s="119" t="s">
        <v>2978</v>
      </c>
      <c r="AD424" s="23" t="s">
        <v>933</v>
      </c>
      <c r="AE424" s="89">
        <v>43698</v>
      </c>
      <c r="AG424" s="34">
        <f>AF424-AE424</f>
        <v>-43698</v>
      </c>
      <c r="AH424" s="124"/>
    </row>
    <row r="425" spans="1:46">
      <c r="B425" s="85"/>
      <c r="C425" s="84"/>
      <c r="D425" s="85"/>
      <c r="E425" s="84"/>
      <c r="F425" s="7"/>
      <c r="G425" s="42"/>
      <c r="H425" s="9"/>
      <c r="I425" s="23"/>
      <c r="J425" s="371"/>
      <c r="K425" s="371"/>
      <c r="L425" s="371"/>
      <c r="N425" s="365"/>
      <c r="W425" s="35"/>
      <c r="X425" s="100"/>
      <c r="Y425" s="14">
        <f>SUM(Y421:Y424)</f>
        <v>47.2</v>
      </c>
      <c r="Z425" s="46">
        <f>SUM(Z421:Z424)</f>
        <v>49.69</v>
      </c>
      <c r="AA425" s="16">
        <f>Y425-Z425</f>
        <v>-2.4899999999999949</v>
      </c>
      <c r="AB425" s="80">
        <f>AA425/Z425</f>
        <v>-5.0110686254779532E-2</v>
      </c>
      <c r="AC425" s="121"/>
      <c r="AD425" s="23"/>
      <c r="AG425" s="34"/>
      <c r="AH425" s="124"/>
      <c r="AK425" s="12"/>
      <c r="AL425" s="12"/>
      <c r="AM425" s="12"/>
      <c r="AN425" s="12"/>
      <c r="AQ425" s="8"/>
      <c r="AR425" s="32"/>
      <c r="AS425" s="8"/>
      <c r="AT425" s="8"/>
    </row>
    <row r="426" spans="1:46">
      <c r="A426" s="135" t="s">
        <v>2552</v>
      </c>
      <c r="B426" s="96" t="s">
        <v>2331</v>
      </c>
      <c r="C426" s="96" t="s">
        <v>2332</v>
      </c>
      <c r="D426" s="96" t="s">
        <v>2333</v>
      </c>
      <c r="E426" s="96" t="s">
        <v>2334</v>
      </c>
      <c r="F426" s="9" t="s">
        <v>1709</v>
      </c>
      <c r="G426" s="27" t="s">
        <v>5626</v>
      </c>
      <c r="H426" s="56" t="s">
        <v>578</v>
      </c>
      <c r="I426" s="1" t="s">
        <v>131</v>
      </c>
      <c r="J426" s="364" t="s">
        <v>2189</v>
      </c>
      <c r="K426" s="364" t="s">
        <v>1820</v>
      </c>
      <c r="L426" s="364" t="s">
        <v>515</v>
      </c>
      <c r="M426" s="364"/>
      <c r="N426" s="364" t="s">
        <v>1708</v>
      </c>
      <c r="P426" s="195"/>
      <c r="S426" s="51" t="s">
        <v>5367</v>
      </c>
      <c r="T426" s="338" t="s">
        <v>5514</v>
      </c>
      <c r="V426" s="377" t="s">
        <v>5296</v>
      </c>
      <c r="W426" s="11" t="s">
        <v>4585</v>
      </c>
      <c r="X426" s="71" t="s">
        <v>4583</v>
      </c>
      <c r="Y426" s="29" t="s">
        <v>4584</v>
      </c>
      <c r="Z426" s="18" t="s">
        <v>4586</v>
      </c>
      <c r="AA426" s="15" t="s">
        <v>8</v>
      </c>
      <c r="AB426" s="22" t="s">
        <v>4</v>
      </c>
      <c r="AC426" s="26" t="s">
        <v>211</v>
      </c>
      <c r="AD426" s="1" t="s">
        <v>131</v>
      </c>
      <c r="AE426" s="75" t="s">
        <v>2114</v>
      </c>
      <c r="AF426" s="76" t="s">
        <v>1826</v>
      </c>
      <c r="AG426" s="33" t="s">
        <v>1827</v>
      </c>
      <c r="AH426" s="47" t="s">
        <v>2903</v>
      </c>
    </row>
    <row r="427" spans="1:46" ht="16.5" customHeight="1">
      <c r="A427" s="140"/>
      <c r="B427" s="96"/>
      <c r="C427" s="140"/>
      <c r="D427" s="96"/>
      <c r="E427" s="96"/>
      <c r="F427" s="7"/>
      <c r="G427" s="42" t="s">
        <v>2864</v>
      </c>
      <c r="H427" s="9" t="s">
        <v>2119</v>
      </c>
      <c r="I427" s="23" t="s">
        <v>2232</v>
      </c>
      <c r="J427" s="371">
        <v>55.41</v>
      </c>
      <c r="K427" s="209">
        <v>29</v>
      </c>
      <c r="L427" s="371">
        <v>21.01</v>
      </c>
      <c r="N427" s="77">
        <f>V427+K427+J427+L427</f>
        <v>105.42</v>
      </c>
      <c r="W427" s="35"/>
      <c r="X427" s="100">
        <f>W427/Y427</f>
        <v>0</v>
      </c>
      <c r="Y427" s="37">
        <v>13.88</v>
      </c>
      <c r="Z427" s="46">
        <v>19.579999999999998</v>
      </c>
      <c r="AA427" s="16">
        <f>Y427-Z427</f>
        <v>-5.6999999999999975</v>
      </c>
      <c r="AB427" s="80">
        <f>AA427/Z427</f>
        <v>-0.29111338100102135</v>
      </c>
      <c r="AC427" s="121" t="s">
        <v>2877</v>
      </c>
      <c r="AD427" s="23" t="s">
        <v>2232</v>
      </c>
      <c r="AE427" s="123"/>
      <c r="AG427" s="34">
        <f>AF427-AE427</f>
        <v>0</v>
      </c>
      <c r="AH427" s="50" t="s">
        <v>2870</v>
      </c>
      <c r="AI427" s="286"/>
      <c r="AJ427" s="286"/>
      <c r="AK427" s="79"/>
      <c r="AL427" s="69"/>
      <c r="AM427" s="79"/>
      <c r="AN427" s="69"/>
      <c r="AO427" s="42"/>
      <c r="AP427" s="23"/>
    </row>
    <row r="428" spans="1:46" ht="16.5" customHeight="1">
      <c r="A428" s="140"/>
      <c r="B428" s="96"/>
      <c r="C428" s="140"/>
      <c r="D428" s="96"/>
      <c r="E428" s="96"/>
      <c r="F428" s="7"/>
      <c r="G428" s="42"/>
      <c r="H428" s="9"/>
      <c r="I428" s="23"/>
      <c r="J428" s="371"/>
      <c r="K428" s="209"/>
      <c r="L428" s="371"/>
      <c r="N428" s="77"/>
      <c r="W428" s="35"/>
      <c r="X428" s="100"/>
      <c r="Y428" s="14">
        <f>Y427*AH427</f>
        <v>749.5200000000001</v>
      </c>
      <c r="Z428" s="209">
        <f>Z427*AH427</f>
        <v>1057.32</v>
      </c>
      <c r="AA428" s="146">
        <f t="shared" ref="AA428" si="319">Y428-Z428</f>
        <v>-307.79999999999984</v>
      </c>
      <c r="AB428" s="80">
        <f t="shared" ref="AB428" si="320">AA428/Z428</f>
        <v>-0.2911133810010213</v>
      </c>
      <c r="AC428" s="121"/>
      <c r="AD428" s="23"/>
      <c r="AE428" s="123"/>
      <c r="AG428" s="34"/>
      <c r="AH428" s="50"/>
      <c r="AI428" s="286"/>
      <c r="AJ428" s="286"/>
      <c r="AK428" s="79"/>
      <c r="AL428" s="69"/>
      <c r="AM428" s="79"/>
      <c r="AN428" s="69"/>
      <c r="AO428" s="42"/>
      <c r="AP428" s="23"/>
    </row>
    <row r="429" spans="1:46">
      <c r="B429" s="84"/>
      <c r="C429" s="85"/>
      <c r="D429" s="84"/>
      <c r="E429" s="85"/>
      <c r="F429" s="7"/>
      <c r="G429" s="42"/>
      <c r="H429" s="51"/>
      <c r="I429" s="17"/>
      <c r="J429" s="371"/>
      <c r="K429" s="371"/>
      <c r="N429" s="365"/>
      <c r="W429" s="35"/>
      <c r="X429" s="100"/>
      <c r="Y429" s="14"/>
      <c r="Z429" s="46"/>
      <c r="AA429" s="16"/>
      <c r="AB429" s="80"/>
      <c r="AC429" s="121"/>
      <c r="AD429" s="17"/>
      <c r="AG429" s="34"/>
    </row>
    <row r="430" spans="1:46">
      <c r="A430" s="135" t="s">
        <v>2552</v>
      </c>
      <c r="B430" s="96" t="s">
        <v>2331</v>
      </c>
      <c r="C430" s="96" t="s">
        <v>2332</v>
      </c>
      <c r="D430" s="96" t="s">
        <v>2333</v>
      </c>
      <c r="E430" s="96" t="s">
        <v>2334</v>
      </c>
      <c r="F430" s="9" t="s">
        <v>1709</v>
      </c>
      <c r="G430" s="27" t="s">
        <v>5626</v>
      </c>
      <c r="H430" s="56" t="s">
        <v>578</v>
      </c>
      <c r="I430" s="1" t="s">
        <v>131</v>
      </c>
      <c r="J430" s="364" t="s">
        <v>2189</v>
      </c>
      <c r="K430" s="364" t="s">
        <v>1820</v>
      </c>
      <c r="L430" s="364" t="s">
        <v>515</v>
      </c>
      <c r="M430" s="364"/>
      <c r="N430" s="364" t="s">
        <v>1708</v>
      </c>
      <c r="S430" s="51" t="s">
        <v>5367</v>
      </c>
      <c r="V430" s="377" t="s">
        <v>5296</v>
      </c>
      <c r="W430" s="11" t="s">
        <v>127</v>
      </c>
      <c r="X430" s="71" t="s">
        <v>2231</v>
      </c>
      <c r="Y430" s="29" t="s">
        <v>3</v>
      </c>
      <c r="Z430" s="18" t="s">
        <v>2113</v>
      </c>
      <c r="AA430" s="15" t="s">
        <v>8</v>
      </c>
      <c r="AB430" s="22" t="s">
        <v>4</v>
      </c>
      <c r="AC430" s="26" t="s">
        <v>211</v>
      </c>
      <c r="AD430" s="1" t="s">
        <v>131</v>
      </c>
      <c r="AE430" s="75" t="s">
        <v>2114</v>
      </c>
      <c r="AF430" s="76" t="s">
        <v>1826</v>
      </c>
      <c r="AG430" s="33" t="s">
        <v>1827</v>
      </c>
      <c r="AH430" s="47" t="s">
        <v>2762</v>
      </c>
    </row>
    <row r="431" spans="1:46">
      <c r="A431" s="135" t="s">
        <v>2685</v>
      </c>
      <c r="B431" s="84">
        <v>31</v>
      </c>
      <c r="C431" s="84">
        <v>21</v>
      </c>
      <c r="D431" s="84">
        <v>3</v>
      </c>
      <c r="E431" s="84">
        <v>8</v>
      </c>
      <c r="F431" s="59">
        <v>26.31</v>
      </c>
      <c r="G431" s="20" t="s">
        <v>2686</v>
      </c>
      <c r="H431" s="4" t="s">
        <v>429</v>
      </c>
      <c r="I431" s="23" t="s">
        <v>2687</v>
      </c>
      <c r="J431" s="77">
        <v>99.39</v>
      </c>
      <c r="K431" s="77">
        <v>33.28</v>
      </c>
      <c r="L431" s="371"/>
      <c r="N431" s="365">
        <f>V431+K431+J431+L431</f>
        <v>132.67000000000002</v>
      </c>
      <c r="W431" s="35">
        <v>3.3</v>
      </c>
      <c r="X431" s="100">
        <f>W431/Y431</f>
        <v>3.793103448275862E-2</v>
      </c>
      <c r="Y431" s="14">
        <v>87</v>
      </c>
      <c r="Z431" s="46">
        <f>92.6-3</f>
        <v>89.6</v>
      </c>
      <c r="AA431" s="16">
        <f>Y431-Z431</f>
        <v>-2.5999999999999943</v>
      </c>
      <c r="AB431" s="80">
        <f>AA431/Z431</f>
        <v>-2.9017857142857081E-2</v>
      </c>
      <c r="AC431" s="106" t="s">
        <v>2763</v>
      </c>
      <c r="AD431" s="23" t="s">
        <v>2687</v>
      </c>
      <c r="AF431" s="88">
        <v>43833</v>
      </c>
      <c r="AG431" s="34">
        <f>AF431-AE431</f>
        <v>43833</v>
      </c>
      <c r="AH431" s="50" t="s">
        <v>1790</v>
      </c>
      <c r="AI431" s="286"/>
      <c r="AJ431" s="286"/>
      <c r="AK431" s="79"/>
      <c r="AL431" s="69"/>
      <c r="AM431" s="79"/>
      <c r="AN431" s="69"/>
      <c r="AO431" s="20"/>
      <c r="AP431" s="23"/>
    </row>
    <row r="432" spans="1:46">
      <c r="A432" s="135"/>
      <c r="B432" s="84"/>
      <c r="C432" s="84"/>
      <c r="D432" s="84"/>
      <c r="E432" s="84"/>
      <c r="F432" s="59"/>
      <c r="H432" s="4"/>
      <c r="I432" s="23"/>
      <c r="J432" s="77"/>
      <c r="K432" s="77"/>
      <c r="L432" s="371"/>
      <c r="N432" s="365"/>
      <c r="W432" s="35"/>
      <c r="X432" s="100"/>
      <c r="Y432" s="14"/>
      <c r="Z432" s="69"/>
      <c r="AA432" s="16"/>
      <c r="AB432" s="80"/>
      <c r="AC432" s="106"/>
      <c r="AD432" s="23"/>
      <c r="AF432" s="134"/>
      <c r="AG432" s="34"/>
      <c r="AH432" s="50"/>
      <c r="AI432" s="286"/>
      <c r="AJ432" s="286"/>
      <c r="AK432" s="79"/>
      <c r="AL432" s="69"/>
      <c r="AM432" s="79"/>
      <c r="AN432" s="69"/>
      <c r="AO432" s="20"/>
      <c r="AP432" s="23"/>
    </row>
    <row r="433" spans="1:47">
      <c r="A433" s="135" t="s">
        <v>2552</v>
      </c>
      <c r="B433" s="96" t="s">
        <v>2331</v>
      </c>
      <c r="C433" s="96" t="s">
        <v>2332</v>
      </c>
      <c r="D433" s="96" t="s">
        <v>2333</v>
      </c>
      <c r="E433" s="96" t="s">
        <v>2334</v>
      </c>
      <c r="F433" s="9" t="s">
        <v>1709</v>
      </c>
      <c r="G433" s="27" t="s">
        <v>5626</v>
      </c>
      <c r="H433" s="56" t="s">
        <v>578</v>
      </c>
      <c r="I433" s="1" t="s">
        <v>131</v>
      </c>
      <c r="J433" s="364" t="s">
        <v>2189</v>
      </c>
      <c r="K433" s="364" t="s">
        <v>1820</v>
      </c>
      <c r="L433" s="364" t="s">
        <v>515</v>
      </c>
      <c r="M433" s="364"/>
      <c r="N433" s="364" t="s">
        <v>1708</v>
      </c>
      <c r="S433" s="51" t="s">
        <v>5367</v>
      </c>
      <c r="V433" s="377" t="s">
        <v>5296</v>
      </c>
      <c r="W433" s="11" t="s">
        <v>127</v>
      </c>
      <c r="X433" s="71" t="s">
        <v>2231</v>
      </c>
      <c r="Y433" s="29" t="s">
        <v>3</v>
      </c>
      <c r="Z433" s="18" t="s">
        <v>2113</v>
      </c>
      <c r="AA433" s="15" t="s">
        <v>8</v>
      </c>
      <c r="AB433" s="22" t="s">
        <v>4</v>
      </c>
      <c r="AC433" s="26" t="s">
        <v>211</v>
      </c>
      <c r="AD433" s="1" t="s">
        <v>131</v>
      </c>
      <c r="AE433" s="75" t="s">
        <v>2114</v>
      </c>
      <c r="AF433" s="76" t="s">
        <v>1826</v>
      </c>
      <c r="AG433" s="33" t="s">
        <v>1827</v>
      </c>
      <c r="AH433" s="47" t="s">
        <v>2323</v>
      </c>
    </row>
    <row r="434" spans="1:47">
      <c r="A434" s="135" t="s">
        <v>2696</v>
      </c>
      <c r="B434" s="84">
        <v>31</v>
      </c>
      <c r="C434" s="84">
        <v>21</v>
      </c>
      <c r="D434" s="84">
        <v>3</v>
      </c>
      <c r="E434" s="84">
        <v>9</v>
      </c>
      <c r="F434" s="59">
        <v>26.31</v>
      </c>
      <c r="G434" s="20" t="s">
        <v>2686</v>
      </c>
      <c r="H434" s="4" t="s">
        <v>429</v>
      </c>
      <c r="I434" s="23" t="s">
        <v>2687</v>
      </c>
      <c r="J434" s="371">
        <v>75.31</v>
      </c>
      <c r="K434" s="371">
        <v>23.46</v>
      </c>
      <c r="L434" s="371"/>
      <c r="N434" s="365">
        <f>V434+K434+J434+L434</f>
        <v>98.77000000000001</v>
      </c>
      <c r="W434" s="35">
        <v>3.3</v>
      </c>
      <c r="X434" s="100">
        <f>W434/Y434</f>
        <v>3.7499999999999999E-2</v>
      </c>
      <c r="Y434" s="14">
        <v>88</v>
      </c>
      <c r="Z434" s="46">
        <v>85</v>
      </c>
      <c r="AA434" s="16">
        <f>Y434-Z434</f>
        <v>3</v>
      </c>
      <c r="AB434" s="66">
        <f>AA434/Z434</f>
        <v>3.5294117647058823E-2</v>
      </c>
      <c r="AC434" s="107" t="s">
        <v>2426</v>
      </c>
      <c r="AD434" s="23" t="s">
        <v>2687</v>
      </c>
      <c r="AF434" s="88">
        <v>43833</v>
      </c>
      <c r="AG434" s="34">
        <f>AF434-AE434</f>
        <v>43833</v>
      </c>
      <c r="AH434" s="50"/>
      <c r="AI434" s="286"/>
      <c r="AJ434" s="286"/>
      <c r="AK434" s="79"/>
      <c r="AL434" s="69"/>
      <c r="AM434" s="79"/>
      <c r="AN434" s="69"/>
      <c r="AO434" s="20"/>
      <c r="AP434" s="23"/>
    </row>
    <row r="435" spans="1:47">
      <c r="A435" s="135"/>
      <c r="B435" s="84"/>
      <c r="C435" s="84"/>
      <c r="D435" s="84"/>
      <c r="E435" s="84"/>
      <c r="F435" s="59"/>
      <c r="H435" s="4"/>
      <c r="I435" s="23"/>
      <c r="J435" s="371"/>
      <c r="K435" s="371"/>
      <c r="L435" s="371"/>
      <c r="N435" s="365"/>
      <c r="W435" s="35"/>
      <c r="X435" s="100"/>
      <c r="Y435" s="37"/>
      <c r="Z435" s="69"/>
      <c r="AA435" s="16"/>
      <c r="AB435" s="66"/>
      <c r="AC435" s="107"/>
      <c r="AD435" s="23"/>
      <c r="AF435" s="134"/>
      <c r="AG435" s="34"/>
      <c r="AH435" s="50"/>
      <c r="AI435" s="286"/>
      <c r="AJ435" s="286"/>
      <c r="AK435" s="79"/>
      <c r="AL435" s="69"/>
      <c r="AM435" s="79"/>
      <c r="AN435" s="69"/>
      <c r="AO435" s="20"/>
      <c r="AP435" s="23"/>
    </row>
    <row r="436" spans="1:47">
      <c r="A436" s="135" t="s">
        <v>2552</v>
      </c>
      <c r="B436" s="96" t="s">
        <v>2331</v>
      </c>
      <c r="C436" s="96" t="s">
        <v>2332</v>
      </c>
      <c r="D436" s="96" t="s">
        <v>2333</v>
      </c>
      <c r="E436" s="96" t="s">
        <v>2334</v>
      </c>
      <c r="F436" s="9" t="s">
        <v>1709</v>
      </c>
      <c r="G436" s="27" t="s">
        <v>5626</v>
      </c>
      <c r="H436" s="56" t="s">
        <v>578</v>
      </c>
      <c r="I436" s="1" t="s">
        <v>131</v>
      </c>
      <c r="J436" s="364" t="s">
        <v>2189</v>
      </c>
      <c r="K436" s="364" t="s">
        <v>1820</v>
      </c>
      <c r="L436" s="364" t="s">
        <v>515</v>
      </c>
      <c r="M436" s="364"/>
      <c r="N436" s="364" t="s">
        <v>1708</v>
      </c>
      <c r="S436" s="51" t="s">
        <v>5367</v>
      </c>
      <c r="V436" s="377" t="s">
        <v>5296</v>
      </c>
      <c r="W436" s="11" t="s">
        <v>127</v>
      </c>
      <c r="X436" s="71" t="s">
        <v>2231</v>
      </c>
      <c r="Y436" s="29" t="s">
        <v>3</v>
      </c>
      <c r="Z436" s="18" t="s">
        <v>2113</v>
      </c>
      <c r="AA436" s="15" t="s">
        <v>8</v>
      </c>
      <c r="AB436" s="22" t="s">
        <v>4</v>
      </c>
      <c r="AC436" s="26" t="s">
        <v>211</v>
      </c>
      <c r="AD436" s="1" t="s">
        <v>131</v>
      </c>
      <c r="AE436" s="75" t="s">
        <v>2114</v>
      </c>
      <c r="AF436" s="76" t="s">
        <v>1826</v>
      </c>
      <c r="AG436" s="33" t="s">
        <v>1827</v>
      </c>
      <c r="AH436" s="47" t="s">
        <v>2697</v>
      </c>
    </row>
    <row r="437" spans="1:47">
      <c r="B437" s="84">
        <v>80</v>
      </c>
      <c r="C437" s="84">
        <v>78</v>
      </c>
      <c r="D437" s="84">
        <v>80</v>
      </c>
      <c r="E437" s="84">
        <v>78</v>
      </c>
      <c r="F437" s="59">
        <v>26.24</v>
      </c>
      <c r="G437" s="42" t="s">
        <v>1691</v>
      </c>
      <c r="H437" s="51" t="s">
        <v>2120</v>
      </c>
      <c r="I437" s="17" t="s">
        <v>158</v>
      </c>
      <c r="J437" s="371">
        <v>51.77</v>
      </c>
      <c r="K437" s="371">
        <v>3.39</v>
      </c>
      <c r="L437" s="371">
        <v>27.29</v>
      </c>
      <c r="N437" s="365">
        <f>V437+K437+J437+L437</f>
        <v>127.50999999999999</v>
      </c>
      <c r="V437" s="371">
        <v>45.06</v>
      </c>
      <c r="W437" s="35">
        <v>4.3</v>
      </c>
      <c r="X437" s="59">
        <f>W437/Y437</f>
        <v>6.3235294117647056E-2</v>
      </c>
      <c r="Y437" s="14">
        <v>68</v>
      </c>
      <c r="Z437" s="46">
        <f>63.1-1.6-1.6</f>
        <v>59.9</v>
      </c>
      <c r="AA437" s="16">
        <f>Y437-Z437</f>
        <v>8.1000000000000014</v>
      </c>
      <c r="AB437" s="66">
        <f>AA437/Z437</f>
        <v>0.13522537562604342</v>
      </c>
      <c r="AC437" s="119" t="s">
        <v>2745</v>
      </c>
      <c r="AD437" s="17" t="s">
        <v>158</v>
      </c>
      <c r="AF437" s="88">
        <v>43825</v>
      </c>
      <c r="AG437" s="34">
        <f>AF437-AE437</f>
        <v>43825</v>
      </c>
      <c r="AH437" s="124"/>
    </row>
    <row r="438" spans="1:47">
      <c r="B438" s="85">
        <v>-33</v>
      </c>
      <c r="C438" s="85">
        <v>-21</v>
      </c>
      <c r="D438" s="85">
        <v>2</v>
      </c>
      <c r="E438" s="85">
        <v>-9</v>
      </c>
      <c r="F438" s="59">
        <v>16.489999999999998</v>
      </c>
      <c r="G438" s="42" t="s">
        <v>66</v>
      </c>
      <c r="H438" s="31" t="s">
        <v>2191</v>
      </c>
      <c r="I438" s="17" t="s">
        <v>478</v>
      </c>
      <c r="J438" s="371">
        <v>70.91</v>
      </c>
      <c r="K438" s="77">
        <v>30.18</v>
      </c>
      <c r="L438" s="77">
        <v>16.260000000000002</v>
      </c>
      <c r="N438" s="365">
        <f>V438+K438+J438+L438</f>
        <v>132.47</v>
      </c>
      <c r="V438" s="371">
        <v>15.12</v>
      </c>
      <c r="W438" s="35">
        <v>1.6</v>
      </c>
      <c r="X438" s="100">
        <f>W438/Y438</f>
        <v>1.737242128121607E-2</v>
      </c>
      <c r="Y438" s="14">
        <v>92.1</v>
      </c>
      <c r="Z438" s="46">
        <v>85.7</v>
      </c>
      <c r="AA438" s="16">
        <f>Y438-Z438</f>
        <v>6.3999999999999915</v>
      </c>
      <c r="AB438" s="66">
        <f>AA438/Z438</f>
        <v>7.4679113185530818E-2</v>
      </c>
      <c r="AC438" s="105" t="s">
        <v>2739</v>
      </c>
      <c r="AD438" s="17" t="s">
        <v>478</v>
      </c>
      <c r="AF438" s="88">
        <v>43822</v>
      </c>
      <c r="AG438" s="34">
        <f>AF438-AE438</f>
        <v>43822</v>
      </c>
      <c r="AH438" s="124" t="s">
        <v>1792</v>
      </c>
      <c r="AU438" s="12"/>
    </row>
    <row r="439" spans="1:47" ht="16.5" customHeight="1">
      <c r="A439" s="124"/>
      <c r="B439" s="85">
        <v>-68</v>
      </c>
      <c r="C439" s="85">
        <v>-85</v>
      </c>
      <c r="D439" s="85">
        <v>-3</v>
      </c>
      <c r="E439" s="85">
        <v>-40</v>
      </c>
      <c r="F439" s="7">
        <v>1.94</v>
      </c>
      <c r="G439" s="42" t="s">
        <v>1710</v>
      </c>
      <c r="H439" s="51" t="s">
        <v>2120</v>
      </c>
      <c r="I439" s="23" t="s">
        <v>217</v>
      </c>
      <c r="J439" s="77">
        <v>68.19</v>
      </c>
      <c r="K439" s="371">
        <v>24.94</v>
      </c>
      <c r="L439" s="371">
        <v>6</v>
      </c>
      <c r="N439" s="365">
        <f>V439+K439+J439+L439</f>
        <v>112.57</v>
      </c>
      <c r="V439" s="371">
        <v>13.44</v>
      </c>
      <c r="W439" s="35">
        <v>1.2</v>
      </c>
      <c r="X439" s="100">
        <f>W439/Y439</f>
        <v>8.9186176142697863E-3</v>
      </c>
      <c r="Y439" s="14">
        <v>134.55000000000001</v>
      </c>
      <c r="Z439" s="46">
        <v>131.4</v>
      </c>
      <c r="AA439" s="16">
        <f>Y439-Z439</f>
        <v>3.1500000000000057</v>
      </c>
      <c r="AB439" s="66">
        <f>AA439/Z439</f>
        <v>2.3972602739726071E-2</v>
      </c>
      <c r="AC439" s="119" t="s">
        <v>2698</v>
      </c>
      <c r="AD439" s="23" t="s">
        <v>217</v>
      </c>
      <c r="AF439" s="88">
        <v>43811</v>
      </c>
      <c r="AG439" s="34">
        <f>AF439-AE439</f>
        <v>43811</v>
      </c>
      <c r="AH439" s="124"/>
      <c r="AI439" s="284"/>
    </row>
    <row r="440" spans="1:47" ht="16.5" customHeight="1">
      <c r="A440" s="124"/>
      <c r="B440" s="85"/>
      <c r="C440" s="85"/>
      <c r="D440" s="85"/>
      <c r="E440" s="85"/>
      <c r="F440" s="7"/>
      <c r="G440" s="42"/>
      <c r="H440" s="51"/>
      <c r="I440" s="23"/>
      <c r="J440" s="77"/>
      <c r="K440" s="371"/>
      <c r="L440" s="371"/>
      <c r="N440" s="365"/>
      <c r="W440" s="35"/>
      <c r="X440" s="100"/>
      <c r="Y440" s="14">
        <f>SUM(Y437:Y439)</f>
        <v>294.64999999999998</v>
      </c>
      <c r="Z440" s="46">
        <f>SUM(Z437:Z439)</f>
        <v>277</v>
      </c>
      <c r="AA440" s="16">
        <f>Y440-Z440</f>
        <v>17.649999999999977</v>
      </c>
      <c r="AB440" s="66">
        <f>AA440/Z440</f>
        <v>6.3718411552346491E-2</v>
      </c>
      <c r="AC440" s="119"/>
      <c r="AD440" s="23"/>
      <c r="AG440" s="34"/>
      <c r="AH440" s="124"/>
      <c r="AI440" s="284"/>
    </row>
    <row r="441" spans="1:47">
      <c r="A441" s="135" t="s">
        <v>2552</v>
      </c>
      <c r="B441" s="96" t="s">
        <v>2331</v>
      </c>
      <c r="C441" s="96" t="s">
        <v>2332</v>
      </c>
      <c r="D441" s="96" t="s">
        <v>2333</v>
      </c>
      <c r="E441" s="96" t="s">
        <v>2334</v>
      </c>
      <c r="F441" s="9" t="s">
        <v>1709</v>
      </c>
      <c r="G441" s="27" t="s">
        <v>5626</v>
      </c>
      <c r="H441" s="56" t="s">
        <v>578</v>
      </c>
      <c r="I441" s="1" t="s">
        <v>131</v>
      </c>
      <c r="J441" s="364" t="s">
        <v>2189</v>
      </c>
      <c r="K441" s="364" t="s">
        <v>1820</v>
      </c>
      <c r="L441" s="364" t="s">
        <v>515</v>
      </c>
      <c r="M441" s="364"/>
      <c r="N441" s="364" t="s">
        <v>1708</v>
      </c>
      <c r="S441" s="51" t="s">
        <v>5367</v>
      </c>
      <c r="V441" s="371" t="s">
        <v>1699</v>
      </c>
      <c r="W441" s="11" t="s">
        <v>127</v>
      </c>
      <c r="X441" s="71" t="s">
        <v>2231</v>
      </c>
      <c r="Y441" s="29" t="s">
        <v>3</v>
      </c>
      <c r="Z441" s="18" t="s">
        <v>2113</v>
      </c>
      <c r="AA441" s="15" t="s">
        <v>8</v>
      </c>
      <c r="AB441" s="22" t="s">
        <v>4</v>
      </c>
      <c r="AC441" s="26" t="s">
        <v>211</v>
      </c>
      <c r="AD441" s="1" t="s">
        <v>131</v>
      </c>
      <c r="AE441" s="75" t="s">
        <v>2114</v>
      </c>
      <c r="AF441" s="76" t="s">
        <v>1826</v>
      </c>
      <c r="AG441" s="33" t="s">
        <v>1827</v>
      </c>
    </row>
    <row r="442" spans="1:47">
      <c r="B442" s="85">
        <v>-33</v>
      </c>
      <c r="C442" s="85">
        <v>-21</v>
      </c>
      <c r="D442" s="85">
        <v>2</v>
      </c>
      <c r="E442" s="85">
        <v>-9</v>
      </c>
      <c r="F442" s="59">
        <v>16.489999999999998</v>
      </c>
      <c r="G442" s="42" t="s">
        <v>66</v>
      </c>
      <c r="H442" s="31" t="s">
        <v>2191</v>
      </c>
      <c r="I442" s="17" t="s">
        <v>478</v>
      </c>
      <c r="J442" s="371">
        <v>70.91</v>
      </c>
      <c r="K442" s="77">
        <v>30.18</v>
      </c>
      <c r="L442" s="77">
        <v>16.260000000000002</v>
      </c>
      <c r="N442" s="365">
        <f>V442+K442+J442+L442</f>
        <v>132.47</v>
      </c>
      <c r="V442" s="371">
        <v>15.12</v>
      </c>
      <c r="W442" s="35">
        <v>1.6</v>
      </c>
      <c r="X442" s="100">
        <f>W442/Y442</f>
        <v>5.2117263843648211E-2</v>
      </c>
      <c r="Y442" s="37">
        <v>30.7</v>
      </c>
      <c r="Z442" s="69">
        <v>28.75</v>
      </c>
      <c r="AA442" s="16">
        <f>Y442-Z442</f>
        <v>1.9499999999999993</v>
      </c>
      <c r="AB442" s="66">
        <f>AA442/Z442</f>
        <v>6.7826086956521717E-2</v>
      </c>
      <c r="AC442" s="105" t="s">
        <v>2733</v>
      </c>
      <c r="AD442" s="17" t="s">
        <v>478</v>
      </c>
      <c r="AE442" s="89">
        <v>43732</v>
      </c>
      <c r="AG442" s="34">
        <f>AF442-AE442</f>
        <v>-43732</v>
      </c>
      <c r="AH442" s="124" t="s">
        <v>1792</v>
      </c>
      <c r="AU442" s="12"/>
    </row>
    <row r="443" spans="1:47">
      <c r="B443" s="85">
        <v>-33</v>
      </c>
      <c r="C443" s="85">
        <v>-21</v>
      </c>
      <c r="D443" s="85">
        <v>2</v>
      </c>
      <c r="E443" s="85">
        <v>-9</v>
      </c>
      <c r="F443" s="59">
        <v>16.489999999999998</v>
      </c>
      <c r="G443" s="42" t="s">
        <v>66</v>
      </c>
      <c r="H443" s="31" t="s">
        <v>2191</v>
      </c>
      <c r="I443" s="17" t="s">
        <v>478</v>
      </c>
      <c r="J443" s="371">
        <v>70.91</v>
      </c>
      <c r="K443" s="77">
        <v>30.18</v>
      </c>
      <c r="L443" s="77">
        <v>16.260000000000002</v>
      </c>
      <c r="N443" s="365">
        <f>V443+K443+J443+L443</f>
        <v>132.47</v>
      </c>
      <c r="V443" s="371">
        <v>15.12</v>
      </c>
      <c r="W443" s="35">
        <v>1.6</v>
      </c>
      <c r="X443" s="100">
        <f>W443/Y443</f>
        <v>5.2117263843648211E-2</v>
      </c>
      <c r="Y443" s="37">
        <v>30.7</v>
      </c>
      <c r="Z443" s="69">
        <v>28.7</v>
      </c>
      <c r="AA443" s="16">
        <f>Y443-Z443</f>
        <v>2</v>
      </c>
      <c r="AB443" s="66">
        <f>AA443/Z443</f>
        <v>6.968641114982578E-2</v>
      </c>
      <c r="AC443" s="105" t="s">
        <v>2672</v>
      </c>
      <c r="AD443" s="17" t="s">
        <v>478</v>
      </c>
      <c r="AE443" s="89">
        <v>43733</v>
      </c>
      <c r="AG443" s="34">
        <f>AF443-AE443</f>
        <v>-43733</v>
      </c>
      <c r="AH443" s="124"/>
      <c r="AU443" s="12"/>
    </row>
    <row r="444" spans="1:47">
      <c r="B444" s="85">
        <v>-33</v>
      </c>
      <c r="C444" s="85">
        <v>-21</v>
      </c>
      <c r="D444" s="85">
        <v>2</v>
      </c>
      <c r="E444" s="85">
        <v>-9</v>
      </c>
      <c r="F444" s="59">
        <v>16.489999999999998</v>
      </c>
      <c r="G444" s="42" t="s">
        <v>66</v>
      </c>
      <c r="H444" s="31" t="s">
        <v>2191</v>
      </c>
      <c r="I444" s="17" t="s">
        <v>478</v>
      </c>
      <c r="J444" s="371">
        <v>70.91</v>
      </c>
      <c r="K444" s="77">
        <v>30.18</v>
      </c>
      <c r="L444" s="77">
        <v>16.260000000000002</v>
      </c>
      <c r="N444" s="365">
        <f>V444+K444+J444+L444</f>
        <v>132.47</v>
      </c>
      <c r="V444" s="371">
        <v>15.12</v>
      </c>
      <c r="W444" s="35">
        <v>1.6</v>
      </c>
      <c r="X444" s="100">
        <f>W444/Y444</f>
        <v>5.2117263843648211E-2</v>
      </c>
      <c r="Y444" s="37">
        <v>30.7</v>
      </c>
      <c r="Z444" s="69">
        <v>28.25</v>
      </c>
      <c r="AA444" s="16">
        <f>Y444-Z444</f>
        <v>2.4499999999999993</v>
      </c>
      <c r="AB444" s="66">
        <f>AA444/Z444</f>
        <v>8.672566371681413E-2</v>
      </c>
      <c r="AC444" s="105" t="s">
        <v>2699</v>
      </c>
      <c r="AD444" s="17" t="s">
        <v>478</v>
      </c>
      <c r="AE444" s="89">
        <v>43734</v>
      </c>
      <c r="AG444" s="34">
        <f>AF444-AE444</f>
        <v>-43734</v>
      </c>
      <c r="AH444" s="124"/>
      <c r="AU444" s="12"/>
    </row>
    <row r="445" spans="1:47">
      <c r="B445" s="85">
        <v>-33</v>
      </c>
      <c r="C445" s="85">
        <v>-21</v>
      </c>
      <c r="D445" s="85">
        <v>-1</v>
      </c>
      <c r="E445" s="85">
        <v>-2</v>
      </c>
      <c r="F445" s="59">
        <v>16.489999999999998</v>
      </c>
      <c r="G445" s="20" t="s">
        <v>66</v>
      </c>
      <c r="H445" s="31" t="s">
        <v>2191</v>
      </c>
      <c r="I445" s="17" t="s">
        <v>478</v>
      </c>
      <c r="J445" s="371">
        <v>70.81</v>
      </c>
      <c r="K445" s="371">
        <v>29.68</v>
      </c>
      <c r="L445" s="77">
        <v>15.66</v>
      </c>
      <c r="N445" s="365">
        <f>V445+K445+J445+L445</f>
        <v>131.27000000000001</v>
      </c>
      <c r="V445" s="371">
        <v>15.12</v>
      </c>
      <c r="W445" s="35">
        <v>1.6</v>
      </c>
      <c r="X445" s="100">
        <f>W445/Y445</f>
        <v>5.2117263843648211E-2</v>
      </c>
      <c r="Y445" s="37">
        <v>30.7</v>
      </c>
      <c r="Z445" s="69">
        <v>27.6</v>
      </c>
      <c r="AA445" s="16">
        <f>Y445-Z445</f>
        <v>3.0999999999999979</v>
      </c>
      <c r="AB445" s="66">
        <f>AA445/Z445</f>
        <v>0.11231884057971006</v>
      </c>
      <c r="AC445" s="105" t="s">
        <v>2415</v>
      </c>
      <c r="AD445" s="17" t="s">
        <v>478</v>
      </c>
      <c r="AE445" s="89">
        <v>43760</v>
      </c>
      <c r="AG445" s="34">
        <f>AF445-AE445</f>
        <v>-43760</v>
      </c>
      <c r="AH445" s="124"/>
      <c r="AI445" s="284"/>
      <c r="AT445" s="12"/>
    </row>
    <row r="446" spans="1:47">
      <c r="B446" s="85"/>
      <c r="C446" s="85"/>
      <c r="D446" s="85"/>
      <c r="E446" s="85"/>
      <c r="F446" s="59"/>
      <c r="G446" s="42"/>
      <c r="H446" s="31"/>
      <c r="I446" s="17"/>
      <c r="J446" s="371"/>
      <c r="K446" s="77"/>
      <c r="N446" s="365"/>
      <c r="W446" s="35"/>
      <c r="X446" s="100"/>
      <c r="Y446" s="14">
        <f>SUM(Y442:Y444)</f>
        <v>92.1</v>
      </c>
      <c r="Z446" s="46">
        <f>SUM(Z442:Z444)</f>
        <v>85.7</v>
      </c>
      <c r="AA446" s="16">
        <f>Y446-Z446</f>
        <v>6.3999999999999915</v>
      </c>
      <c r="AB446" s="66">
        <f>AA446/Z446</f>
        <v>7.4679113185530818E-2</v>
      </c>
      <c r="AC446" s="105"/>
      <c r="AD446" s="17"/>
      <c r="AG446" s="34"/>
      <c r="AH446" s="124"/>
      <c r="AU446" s="12"/>
    </row>
    <row r="447" spans="1:47">
      <c r="A447" s="135" t="s">
        <v>2552</v>
      </c>
      <c r="B447" s="96" t="s">
        <v>2331</v>
      </c>
      <c r="C447" s="96" t="s">
        <v>2332</v>
      </c>
      <c r="D447" s="96" t="s">
        <v>2333</v>
      </c>
      <c r="E447" s="96" t="s">
        <v>2334</v>
      </c>
      <c r="F447" s="9" t="s">
        <v>1709</v>
      </c>
      <c r="G447" s="27" t="s">
        <v>5626</v>
      </c>
      <c r="H447" s="56" t="s">
        <v>578</v>
      </c>
      <c r="I447" s="1" t="s">
        <v>131</v>
      </c>
      <c r="J447" s="364" t="s">
        <v>2189</v>
      </c>
      <c r="K447" s="364" t="s">
        <v>1820</v>
      </c>
      <c r="L447" s="364" t="s">
        <v>515</v>
      </c>
      <c r="M447" s="364"/>
      <c r="N447" s="364" t="s">
        <v>1708</v>
      </c>
      <c r="S447" s="51" t="s">
        <v>5367</v>
      </c>
      <c r="V447" s="371" t="s">
        <v>1699</v>
      </c>
      <c r="W447" s="11" t="s">
        <v>127</v>
      </c>
      <c r="X447" s="71" t="s">
        <v>2231</v>
      </c>
      <c r="Y447" s="29" t="s">
        <v>3</v>
      </c>
      <c r="Z447" s="18" t="s">
        <v>2113</v>
      </c>
      <c r="AA447" s="15" t="s">
        <v>8</v>
      </c>
      <c r="AB447" s="22" t="s">
        <v>4</v>
      </c>
      <c r="AC447" s="26" t="s">
        <v>211</v>
      </c>
      <c r="AD447" s="1" t="s">
        <v>131</v>
      </c>
      <c r="AE447" s="75" t="s">
        <v>2114</v>
      </c>
      <c r="AF447" s="76" t="s">
        <v>1826</v>
      </c>
      <c r="AG447" s="33" t="s">
        <v>1827</v>
      </c>
    </row>
    <row r="448" spans="1:47" ht="16.5" customHeight="1">
      <c r="A448" s="124"/>
      <c r="B448" s="85">
        <v>-68</v>
      </c>
      <c r="C448" s="85">
        <v>-85</v>
      </c>
      <c r="D448" s="85">
        <v>-3</v>
      </c>
      <c r="E448" s="85">
        <v>-40</v>
      </c>
      <c r="F448" s="7">
        <v>1.94</v>
      </c>
      <c r="G448" s="42" t="s">
        <v>1710</v>
      </c>
      <c r="H448" s="51" t="s">
        <v>2120</v>
      </c>
      <c r="I448" s="23" t="s">
        <v>217</v>
      </c>
      <c r="J448" s="77">
        <v>68.19</v>
      </c>
      <c r="K448" s="371">
        <v>24.94</v>
      </c>
      <c r="L448" s="371">
        <v>6</v>
      </c>
      <c r="N448" s="365">
        <f>V448+K448+J448+L448</f>
        <v>112.57</v>
      </c>
      <c r="V448" s="371">
        <v>13.44</v>
      </c>
      <c r="W448" s="35">
        <v>1.2</v>
      </c>
      <c r="X448" s="100">
        <f>W448/Y448</f>
        <v>4.0133779264214048E-2</v>
      </c>
      <c r="Y448" s="37">
        <f>14.95*2</f>
        <v>29.9</v>
      </c>
      <c r="Z448" s="69">
        <f>14.85*AH448</f>
        <v>29.7</v>
      </c>
      <c r="AA448" s="16">
        <f t="shared" ref="AA448:AA453" si="321">Y448-Z448</f>
        <v>0.19999999999999929</v>
      </c>
      <c r="AB448" s="80">
        <f t="shared" ref="AB448:AB453" si="322">AA448/Z448</f>
        <v>6.7340067340067103E-3</v>
      </c>
      <c r="AC448" s="120" t="s">
        <v>2419</v>
      </c>
      <c r="AD448" s="23" t="s">
        <v>217</v>
      </c>
      <c r="AE448" s="89">
        <v>43728</v>
      </c>
      <c r="AG448" s="34">
        <f>AF448-AE448</f>
        <v>-43728</v>
      </c>
      <c r="AH448" s="124" t="s">
        <v>2243</v>
      </c>
      <c r="AI448" s="284"/>
    </row>
    <row r="449" spans="1:46" ht="16.5" customHeight="1">
      <c r="A449" s="124"/>
      <c r="B449" s="85">
        <v>-68</v>
      </c>
      <c r="C449" s="85">
        <v>-85</v>
      </c>
      <c r="D449" s="85">
        <v>-3</v>
      </c>
      <c r="E449" s="85">
        <v>-40</v>
      </c>
      <c r="F449" s="7">
        <v>1.94</v>
      </c>
      <c r="G449" s="42" t="s">
        <v>1710</v>
      </c>
      <c r="H449" s="51" t="s">
        <v>2120</v>
      </c>
      <c r="I449" s="23" t="s">
        <v>217</v>
      </c>
      <c r="J449" s="77">
        <v>68.19</v>
      </c>
      <c r="K449" s="371">
        <v>24.94</v>
      </c>
      <c r="L449" s="371">
        <v>6</v>
      </c>
      <c r="N449" s="365">
        <f>V449+K449+J449+L449</f>
        <v>112.57</v>
      </c>
      <c r="V449" s="371">
        <v>13.44</v>
      </c>
      <c r="W449" s="35">
        <v>1.2</v>
      </c>
      <c r="X449" s="100">
        <f>W449/Y449</f>
        <v>2.6755852842809368E-2</v>
      </c>
      <c r="Y449" s="37">
        <f>14.95*3</f>
        <v>44.849999999999994</v>
      </c>
      <c r="Z449" s="69">
        <f>14.8*AH449</f>
        <v>44.400000000000006</v>
      </c>
      <c r="AA449" s="16">
        <f t="shared" si="321"/>
        <v>0.44999999999998863</v>
      </c>
      <c r="AB449" s="66">
        <f t="shared" si="322"/>
        <v>1.0135135135134877E-2</v>
      </c>
      <c r="AC449" s="119" t="s">
        <v>2691</v>
      </c>
      <c r="AD449" s="23" t="s">
        <v>217</v>
      </c>
      <c r="AE449" s="89">
        <v>43728</v>
      </c>
      <c r="AG449" s="34">
        <f>AF449-AE449</f>
        <v>-43728</v>
      </c>
      <c r="AH449" s="124" t="s">
        <v>2370</v>
      </c>
      <c r="AI449" s="284"/>
    </row>
    <row r="450" spans="1:46" ht="16.5" customHeight="1">
      <c r="A450" s="124"/>
      <c r="B450" s="85">
        <v>-68</v>
      </c>
      <c r="C450" s="85">
        <v>-85</v>
      </c>
      <c r="D450" s="85">
        <v>-3</v>
      </c>
      <c r="E450" s="85">
        <v>-40</v>
      </c>
      <c r="F450" s="7">
        <v>1.94</v>
      </c>
      <c r="G450" s="42" t="s">
        <v>1710</v>
      </c>
      <c r="H450" s="51" t="s">
        <v>2120</v>
      </c>
      <c r="I450" s="23" t="s">
        <v>217</v>
      </c>
      <c r="J450" s="77">
        <v>68.19</v>
      </c>
      <c r="K450" s="371">
        <v>24.94</v>
      </c>
      <c r="L450" s="371">
        <v>6</v>
      </c>
      <c r="N450" s="365">
        <f>V450+K450+J450+L450</f>
        <v>112.57</v>
      </c>
      <c r="V450" s="371">
        <v>13.44</v>
      </c>
      <c r="W450" s="35">
        <v>1.2</v>
      </c>
      <c r="X450" s="100">
        <f>W450/Y450</f>
        <v>8.0267558528428096E-2</v>
      </c>
      <c r="Y450" s="37">
        <v>14.95</v>
      </c>
      <c r="Z450" s="69">
        <v>14.75</v>
      </c>
      <c r="AA450" s="16">
        <f t="shared" si="321"/>
        <v>0.19999999999999929</v>
      </c>
      <c r="AB450" s="66">
        <f t="shared" si="322"/>
        <v>1.3559322033898256E-2</v>
      </c>
      <c r="AC450" s="119" t="s">
        <v>2690</v>
      </c>
      <c r="AD450" s="23" t="s">
        <v>217</v>
      </c>
      <c r="AE450" s="89">
        <v>43728</v>
      </c>
      <c r="AG450" s="34">
        <f>AF450-AE450</f>
        <v>-43728</v>
      </c>
      <c r="AH450" s="124" t="s">
        <v>2369</v>
      </c>
      <c r="AI450" s="284"/>
    </row>
    <row r="451" spans="1:46" ht="16.5" customHeight="1">
      <c r="A451" s="124"/>
      <c r="B451" s="85">
        <v>-68</v>
      </c>
      <c r="C451" s="85">
        <v>-85</v>
      </c>
      <c r="D451" s="85">
        <v>-3</v>
      </c>
      <c r="E451" s="85">
        <v>-40</v>
      </c>
      <c r="F451" s="7">
        <v>1.94</v>
      </c>
      <c r="G451" s="42" t="s">
        <v>1710</v>
      </c>
      <c r="H451" s="51" t="s">
        <v>2120</v>
      </c>
      <c r="I451" s="23" t="s">
        <v>217</v>
      </c>
      <c r="J451" s="77">
        <v>68.19</v>
      </c>
      <c r="K451" s="371">
        <v>24.94</v>
      </c>
      <c r="L451" s="371">
        <v>6</v>
      </c>
      <c r="N451" s="365">
        <f>V451+K451+J451+L451</f>
        <v>112.57</v>
      </c>
      <c r="V451" s="371">
        <v>13.44</v>
      </c>
      <c r="W451" s="35">
        <v>1.2</v>
      </c>
      <c r="X451" s="100">
        <f>W451/Y451</f>
        <v>8.0267558528428096E-2</v>
      </c>
      <c r="Y451" s="37">
        <v>14.95</v>
      </c>
      <c r="Z451" s="69">
        <v>14.55</v>
      </c>
      <c r="AA451" s="16">
        <f>Y451-Z451</f>
        <v>0.39999999999999858</v>
      </c>
      <c r="AB451" s="66">
        <f>AA451/Z451</f>
        <v>2.7491408934707806E-2</v>
      </c>
      <c r="AC451" s="119" t="s">
        <v>2693</v>
      </c>
      <c r="AD451" s="23" t="s">
        <v>217</v>
      </c>
      <c r="AE451" s="89">
        <v>43742</v>
      </c>
      <c r="AG451" s="34">
        <f>AF451-AE451</f>
        <v>-43742</v>
      </c>
      <c r="AH451" s="124" t="s">
        <v>1790</v>
      </c>
      <c r="AI451" s="284"/>
    </row>
    <row r="452" spans="1:46" ht="16.5" customHeight="1">
      <c r="A452" s="151">
        <v>332</v>
      </c>
      <c r="B452" s="85">
        <v>-76</v>
      </c>
      <c r="C452" s="85">
        <v>-79</v>
      </c>
      <c r="D452" s="85">
        <v>-1</v>
      </c>
      <c r="E452" s="85">
        <v>-28</v>
      </c>
      <c r="F452" s="7">
        <v>2.0499999999999998</v>
      </c>
      <c r="G452" s="42" t="s">
        <v>1710</v>
      </c>
      <c r="H452" s="51" t="s">
        <v>2120</v>
      </c>
      <c r="I452" s="23" t="s">
        <v>217</v>
      </c>
      <c r="J452" s="371">
        <v>69.13</v>
      </c>
      <c r="K452" s="371">
        <v>25.34</v>
      </c>
      <c r="L452" s="371">
        <v>5.26</v>
      </c>
      <c r="N452" s="365">
        <f>V452+K452+J452+L452</f>
        <v>113.17</v>
      </c>
      <c r="P452" s="140"/>
      <c r="V452" s="371">
        <v>13.44</v>
      </c>
      <c r="W452" s="35">
        <v>1.2</v>
      </c>
      <c r="X452" s="100">
        <f>W452/Y452</f>
        <v>4.0133779264214048E-2</v>
      </c>
      <c r="Y452" s="37">
        <f>14.95*2</f>
        <v>29.9</v>
      </c>
      <c r="Z452" s="69">
        <f>14*2</f>
        <v>28</v>
      </c>
      <c r="AA452" s="16">
        <f>Y452-Z452</f>
        <v>1.8999999999999986</v>
      </c>
      <c r="AB452" s="66">
        <f>AA452/Z452</f>
        <v>6.785714285714281E-2</v>
      </c>
      <c r="AC452" s="119" t="s">
        <v>2694</v>
      </c>
      <c r="AD452" s="23" t="s">
        <v>217</v>
      </c>
      <c r="AE452" s="89">
        <v>43782</v>
      </c>
      <c r="AG452" s="34">
        <f>AF452-AE452</f>
        <v>-43782</v>
      </c>
      <c r="AH452" s="124" t="s">
        <v>2243</v>
      </c>
      <c r="AI452" s="284"/>
    </row>
    <row r="453" spans="1:46" ht="16.5" customHeight="1">
      <c r="A453" s="124"/>
      <c r="B453" s="85"/>
      <c r="C453" s="85"/>
      <c r="D453" s="85"/>
      <c r="E453" s="85"/>
      <c r="F453" s="7"/>
      <c r="G453" s="42"/>
      <c r="H453" s="5"/>
      <c r="I453" s="23"/>
      <c r="J453" s="77"/>
      <c r="K453" s="371"/>
      <c r="L453" s="371"/>
      <c r="N453" s="365"/>
      <c r="W453" s="35"/>
      <c r="X453" s="100"/>
      <c r="Y453" s="14">
        <f>SUM(Y448:Y452)</f>
        <v>134.55000000000001</v>
      </c>
      <c r="Z453" s="46">
        <f>SUM(Z448:Z452)</f>
        <v>131.4</v>
      </c>
      <c r="AA453" s="16">
        <f t="shared" si="321"/>
        <v>3.1500000000000057</v>
      </c>
      <c r="AB453" s="66">
        <f t="shared" si="322"/>
        <v>2.3972602739726071E-2</v>
      </c>
      <c r="AC453" s="119"/>
      <c r="AD453" s="23"/>
      <c r="AE453" s="123"/>
      <c r="AF453" s="134"/>
      <c r="AG453" s="34"/>
      <c r="AH453" s="124" t="s">
        <v>2637</v>
      </c>
      <c r="AI453" s="284"/>
    </row>
    <row r="454" spans="1:46">
      <c r="A454" s="135" t="s">
        <v>2552</v>
      </c>
      <c r="B454" s="96" t="s">
        <v>2331</v>
      </c>
      <c r="C454" s="96" t="s">
        <v>2332</v>
      </c>
      <c r="D454" s="96" t="s">
        <v>2333</v>
      </c>
      <c r="E454" s="96" t="s">
        <v>2334</v>
      </c>
      <c r="F454" s="9" t="s">
        <v>1709</v>
      </c>
      <c r="G454" s="27" t="s">
        <v>5626</v>
      </c>
      <c r="H454" s="56" t="s">
        <v>578</v>
      </c>
      <c r="I454" s="1" t="s">
        <v>131</v>
      </c>
      <c r="J454" s="364" t="s">
        <v>2189</v>
      </c>
      <c r="K454" s="364" t="s">
        <v>1820</v>
      </c>
      <c r="L454" s="364" t="s">
        <v>515</v>
      </c>
      <c r="M454" s="364"/>
      <c r="N454" s="364" t="s">
        <v>1708</v>
      </c>
      <c r="S454" s="51" t="s">
        <v>5367</v>
      </c>
      <c r="V454" s="371" t="s">
        <v>1699</v>
      </c>
      <c r="W454" s="11" t="s">
        <v>127</v>
      </c>
      <c r="X454" s="71" t="s">
        <v>2231</v>
      </c>
      <c r="Y454" s="29" t="s">
        <v>3</v>
      </c>
      <c r="Z454" s="18" t="s">
        <v>2113</v>
      </c>
      <c r="AA454" s="15" t="s">
        <v>8</v>
      </c>
      <c r="AB454" s="22" t="s">
        <v>4</v>
      </c>
      <c r="AC454" s="26" t="s">
        <v>211</v>
      </c>
      <c r="AD454" s="1" t="s">
        <v>131</v>
      </c>
      <c r="AE454" s="75" t="s">
        <v>2114</v>
      </c>
      <c r="AF454" s="76" t="s">
        <v>1826</v>
      </c>
      <c r="AG454" s="33" t="s">
        <v>1827</v>
      </c>
      <c r="AH454" s="47" t="s">
        <v>2581</v>
      </c>
    </row>
    <row r="455" spans="1:46" ht="16.5" customHeight="1">
      <c r="B455" s="85">
        <v>-49</v>
      </c>
      <c r="C455" s="85">
        <v>-36</v>
      </c>
      <c r="D455" s="85">
        <v>-49</v>
      </c>
      <c r="E455" s="85">
        <v>-36</v>
      </c>
      <c r="F455" s="59">
        <v>12.88</v>
      </c>
      <c r="G455" s="42" t="s">
        <v>600</v>
      </c>
      <c r="H455" s="51" t="s">
        <v>2120</v>
      </c>
      <c r="I455" s="23" t="s">
        <v>248</v>
      </c>
      <c r="J455" s="371">
        <v>78.17</v>
      </c>
      <c r="K455" s="371">
        <v>3.94</v>
      </c>
      <c r="L455" s="77">
        <v>1.56</v>
      </c>
      <c r="N455" s="77">
        <f>V455+K455+J455+L455</f>
        <v>148.12</v>
      </c>
      <c r="V455" s="371">
        <v>64.45</v>
      </c>
      <c r="W455" s="35">
        <v>0.49</v>
      </c>
      <c r="X455" s="59">
        <f>W455/Y455</f>
        <v>4.5539033457249068E-3</v>
      </c>
      <c r="Y455" s="14">
        <v>107.6</v>
      </c>
      <c r="Z455" s="46">
        <v>103.27</v>
      </c>
      <c r="AA455" s="16">
        <f t="shared" ref="AA455:AA460" si="323">Y455-Z455</f>
        <v>4.3299999999999983</v>
      </c>
      <c r="AB455" s="66">
        <f t="shared" ref="AB455:AB460" si="324">AA455/Z455</f>
        <v>4.1928924179335705E-2</v>
      </c>
      <c r="AC455" s="119" t="s">
        <v>2641</v>
      </c>
      <c r="AD455" s="23" t="s">
        <v>248</v>
      </c>
      <c r="AF455" s="88">
        <v>43789</v>
      </c>
      <c r="AG455" s="34">
        <f>AF455-AE455</f>
        <v>43789</v>
      </c>
      <c r="AH455" s="124"/>
    </row>
    <row r="456" spans="1:46" s="8" customFormat="1" ht="17.100000000000001" customHeight="1">
      <c r="A456" s="133"/>
      <c r="B456" s="84">
        <v>0.6</v>
      </c>
      <c r="C456" s="85">
        <v>-34</v>
      </c>
      <c r="D456" s="84">
        <v>0.6</v>
      </c>
      <c r="E456" s="85">
        <v>-34</v>
      </c>
      <c r="F456" s="7">
        <v>1.53</v>
      </c>
      <c r="G456" s="42" t="s">
        <v>354</v>
      </c>
      <c r="H456" s="51" t="s">
        <v>2120</v>
      </c>
      <c r="I456" s="23" t="s">
        <v>5</v>
      </c>
      <c r="J456" s="374">
        <v>69.78</v>
      </c>
      <c r="K456" s="371">
        <v>42.11</v>
      </c>
      <c r="L456" s="371">
        <v>1.63</v>
      </c>
      <c r="M456" s="365"/>
      <c r="N456" s="365">
        <f>V456+K456+J456+L456</f>
        <v>123.63</v>
      </c>
      <c r="O456" s="343"/>
      <c r="P456" s="232"/>
      <c r="Q456" s="326"/>
      <c r="R456" s="111"/>
      <c r="S456" s="51"/>
      <c r="T456" s="339"/>
      <c r="U456" s="329"/>
      <c r="V456" s="371">
        <v>10.11</v>
      </c>
      <c r="W456" s="206">
        <v>4</v>
      </c>
      <c r="X456" s="100">
        <f>W456/Y456</f>
        <v>5.5248618784530384E-2</v>
      </c>
      <c r="Y456" s="14">
        <f>90.5*0.8</f>
        <v>72.400000000000006</v>
      </c>
      <c r="Z456" s="46">
        <f>94.93-4-4*0.8</f>
        <v>87.73</v>
      </c>
      <c r="AA456" s="46">
        <f t="shared" si="323"/>
        <v>-15.329999999999998</v>
      </c>
      <c r="AB456" s="80">
        <f t="shared" si="324"/>
        <v>-0.17474068163684028</v>
      </c>
      <c r="AC456" s="120" t="s">
        <v>2622</v>
      </c>
      <c r="AD456" s="23" t="s">
        <v>5</v>
      </c>
      <c r="AE456" s="89"/>
      <c r="AF456" s="88">
        <v>43777</v>
      </c>
      <c r="AG456" s="34">
        <f>AF456-AE456</f>
        <v>43777</v>
      </c>
      <c r="AH456" s="124"/>
      <c r="AI456" s="133"/>
      <c r="AJ456" s="38"/>
      <c r="AK456" s="38"/>
      <c r="AL456" s="38"/>
      <c r="AM456" s="38"/>
      <c r="AN456" s="38"/>
      <c r="AO456" s="284"/>
      <c r="AP456" s="284"/>
    </row>
    <row r="457" spans="1:46">
      <c r="B457" s="84">
        <v>100</v>
      </c>
      <c r="C457" s="84">
        <v>67</v>
      </c>
      <c r="D457" s="84">
        <v>100</v>
      </c>
      <c r="E457" s="84">
        <v>67</v>
      </c>
      <c r="F457" s="59">
        <v>18.75</v>
      </c>
      <c r="G457" s="20" t="s">
        <v>183</v>
      </c>
      <c r="H457" s="51" t="s">
        <v>2120</v>
      </c>
      <c r="I457" s="23" t="s">
        <v>184</v>
      </c>
      <c r="J457" s="371">
        <v>80.25</v>
      </c>
      <c r="K457" s="77">
        <v>5.08</v>
      </c>
      <c r="L457" s="77">
        <v>0.35</v>
      </c>
      <c r="N457" s="365">
        <f>V457+K457+J457+L457</f>
        <v>119.25999999999999</v>
      </c>
      <c r="V457" s="371">
        <v>33.58</v>
      </c>
      <c r="W457" s="35">
        <v>1.3</v>
      </c>
      <c r="X457" s="59">
        <f>W457/Y457</f>
        <v>2.0280811232449302E-2</v>
      </c>
      <c r="Y457" s="14">
        <v>64.099999999999994</v>
      </c>
      <c r="Z457" s="46">
        <v>63.2</v>
      </c>
      <c r="AA457" s="73">
        <f t="shared" si="323"/>
        <v>0.89999999999999147</v>
      </c>
      <c r="AB457" s="66">
        <f t="shared" si="324"/>
        <v>1.4240506329113788E-2</v>
      </c>
      <c r="AC457" s="119" t="s">
        <v>2380</v>
      </c>
      <c r="AD457" s="23" t="s">
        <v>184</v>
      </c>
      <c r="AF457" s="88">
        <v>43776</v>
      </c>
      <c r="AG457" s="34">
        <f>AF457-AE457</f>
        <v>43776</v>
      </c>
      <c r="AH457" s="124"/>
    </row>
    <row r="458" spans="1:46">
      <c r="B458" s="84">
        <v>11</v>
      </c>
      <c r="C458" s="84">
        <v>7</v>
      </c>
      <c r="D458" s="84">
        <v>1</v>
      </c>
      <c r="E458" s="85">
        <v>-11</v>
      </c>
      <c r="F458" s="59">
        <v>24.12</v>
      </c>
      <c r="G458" s="20" t="s">
        <v>64</v>
      </c>
      <c r="H458" s="51" t="s">
        <v>2120</v>
      </c>
      <c r="I458" s="17" t="s">
        <v>58</v>
      </c>
      <c r="J458" s="77">
        <v>91.58</v>
      </c>
      <c r="K458" s="77">
        <v>38.26</v>
      </c>
      <c r="L458" s="77">
        <v>0.74</v>
      </c>
      <c r="N458" s="77">
        <f>V458+K458+J458+L458</f>
        <v>175.93</v>
      </c>
      <c r="V458" s="371">
        <v>45.35</v>
      </c>
      <c r="W458" s="35">
        <v>3.2</v>
      </c>
      <c r="X458" s="59">
        <f>W458/Y458</f>
        <v>4.7976011994002997E-2</v>
      </c>
      <c r="Y458" s="14">
        <v>66.7</v>
      </c>
      <c r="Z458" s="46">
        <v>62.8</v>
      </c>
      <c r="AA458" s="16">
        <f t="shared" si="323"/>
        <v>3.9000000000000057</v>
      </c>
      <c r="AB458" s="66">
        <f t="shared" si="324"/>
        <v>6.2101910828025568E-2</v>
      </c>
      <c r="AC458" s="105" t="s">
        <v>2582</v>
      </c>
      <c r="AD458" s="17" t="s">
        <v>58</v>
      </c>
      <c r="AF458" s="88">
        <v>43774</v>
      </c>
      <c r="AG458" s="34">
        <f>AF458-AE458</f>
        <v>43774</v>
      </c>
      <c r="AH458" s="126"/>
    </row>
    <row r="459" spans="1:46">
      <c r="B459" s="85">
        <v>-211</v>
      </c>
      <c r="C459" s="99">
        <v>-5489</v>
      </c>
      <c r="D459" s="85">
        <v>-211</v>
      </c>
      <c r="E459" s="99">
        <v>-5489</v>
      </c>
      <c r="F459" s="7">
        <v>-13.71</v>
      </c>
      <c r="G459" s="42" t="s">
        <v>630</v>
      </c>
      <c r="H459" s="51" t="s">
        <v>2120</v>
      </c>
      <c r="I459" s="23" t="s">
        <v>631</v>
      </c>
      <c r="J459" s="371">
        <v>37.869999999999997</v>
      </c>
      <c r="K459" s="371">
        <v>19.09</v>
      </c>
      <c r="L459" s="371">
        <v>22.04</v>
      </c>
      <c r="N459" s="365">
        <f>V459+K459+J459+L459</f>
        <v>84.52</v>
      </c>
      <c r="V459" s="371">
        <v>5.52</v>
      </c>
      <c r="W459" s="35">
        <v>0.5</v>
      </c>
      <c r="X459" s="100">
        <f>W459/Y459</f>
        <v>5.208333333333333E-3</v>
      </c>
      <c r="Y459" s="14">
        <v>96</v>
      </c>
      <c r="Z459" s="46">
        <v>94.67</v>
      </c>
      <c r="AA459" s="16">
        <f t="shared" si="323"/>
        <v>1.3299999999999983</v>
      </c>
      <c r="AB459" s="66">
        <f t="shared" si="324"/>
        <v>1.404880109855285E-2</v>
      </c>
      <c r="AC459" s="119" t="s">
        <v>2608</v>
      </c>
      <c r="AD459" s="23" t="s">
        <v>631</v>
      </c>
      <c r="AF459" s="88">
        <v>43774</v>
      </c>
      <c r="AG459" s="34">
        <f>AF459-AE459</f>
        <v>43774</v>
      </c>
      <c r="AH459" s="124"/>
      <c r="AK459" s="12"/>
      <c r="AL459" s="12"/>
      <c r="AM459" s="12"/>
      <c r="AN459" s="12"/>
      <c r="AQ459" s="8"/>
      <c r="AR459" s="4"/>
    </row>
    <row r="460" spans="1:46">
      <c r="A460" s="135"/>
      <c r="B460" s="96"/>
      <c r="C460" s="96"/>
      <c r="D460" s="96"/>
      <c r="E460" s="96"/>
      <c r="F460" s="9"/>
      <c r="G460" s="26"/>
      <c r="H460" s="56"/>
      <c r="I460" s="1"/>
      <c r="J460" s="364"/>
      <c r="K460" s="364"/>
      <c r="L460" s="364"/>
      <c r="M460" s="364"/>
      <c r="N460" s="364"/>
      <c r="W460" s="11"/>
      <c r="X460" s="71"/>
      <c r="Y460" s="29">
        <f>SUM(Y455:Y459)</f>
        <v>406.8</v>
      </c>
      <c r="Z460" s="18">
        <f>SUM(Z455:Z459)</f>
        <v>411.67</v>
      </c>
      <c r="AA460" s="16">
        <f t="shared" si="323"/>
        <v>-4.8700000000000045</v>
      </c>
      <c r="AB460" s="80">
        <f t="shared" si="324"/>
        <v>-1.1829863725799802E-2</v>
      </c>
      <c r="AC460" s="26"/>
      <c r="AD460" s="1"/>
      <c r="AE460" s="75"/>
      <c r="AF460" s="76"/>
      <c r="AG460" s="33"/>
      <c r="AH460" s="47"/>
    </row>
    <row r="461" spans="1:46">
      <c r="A461" s="135" t="s">
        <v>2552</v>
      </c>
      <c r="B461" s="96" t="s">
        <v>2331</v>
      </c>
      <c r="C461" s="96" t="s">
        <v>2332</v>
      </c>
      <c r="D461" s="96" t="s">
        <v>2333</v>
      </c>
      <c r="E461" s="96" t="s">
        <v>2334</v>
      </c>
      <c r="F461" s="9" t="s">
        <v>1709</v>
      </c>
      <c r="G461" s="27" t="s">
        <v>5626</v>
      </c>
      <c r="H461" s="56" t="s">
        <v>578</v>
      </c>
      <c r="I461" s="1" t="s">
        <v>131</v>
      </c>
      <c r="J461" s="364" t="s">
        <v>2189</v>
      </c>
      <c r="K461" s="364" t="s">
        <v>1820</v>
      </c>
      <c r="L461" s="364" t="s">
        <v>515</v>
      </c>
      <c r="M461" s="364"/>
      <c r="N461" s="364" t="s">
        <v>1708</v>
      </c>
      <c r="S461" s="51" t="s">
        <v>5367</v>
      </c>
      <c r="V461" s="371" t="s">
        <v>1699</v>
      </c>
      <c r="W461" s="11" t="s">
        <v>127</v>
      </c>
      <c r="X461" s="71" t="s">
        <v>2231</v>
      </c>
      <c r="Y461" s="29" t="s">
        <v>3</v>
      </c>
      <c r="Z461" s="18" t="s">
        <v>2113</v>
      </c>
      <c r="AA461" s="15" t="s">
        <v>8</v>
      </c>
      <c r="AB461" s="22" t="s">
        <v>4</v>
      </c>
      <c r="AC461" s="26" t="s">
        <v>211</v>
      </c>
      <c r="AD461" s="1" t="s">
        <v>131</v>
      </c>
      <c r="AE461" s="75" t="s">
        <v>2114</v>
      </c>
      <c r="AF461" s="76" t="s">
        <v>1826</v>
      </c>
      <c r="AG461" s="33" t="s">
        <v>1827</v>
      </c>
    </row>
    <row r="462" spans="1:46" s="8" customFormat="1" ht="17.100000000000001" customHeight="1">
      <c r="A462" s="128"/>
      <c r="B462" s="85">
        <v>-49</v>
      </c>
      <c r="C462" s="85">
        <v>-36</v>
      </c>
      <c r="D462" s="85">
        <v>-49</v>
      </c>
      <c r="E462" s="85">
        <v>-36</v>
      </c>
      <c r="F462" s="59">
        <v>12.88</v>
      </c>
      <c r="G462" s="42" t="s">
        <v>600</v>
      </c>
      <c r="H462" s="51" t="s">
        <v>2120</v>
      </c>
      <c r="I462" s="23" t="s">
        <v>248</v>
      </c>
      <c r="J462" s="371">
        <v>78.17</v>
      </c>
      <c r="K462" s="371">
        <v>3.95</v>
      </c>
      <c r="L462" s="371">
        <v>1.55</v>
      </c>
      <c r="M462" s="365"/>
      <c r="N462" s="77">
        <f>V462+K462+J462+L462</f>
        <v>148.12</v>
      </c>
      <c r="O462" s="343"/>
      <c r="P462" s="232"/>
      <c r="Q462" s="326"/>
      <c r="R462" s="111"/>
      <c r="S462" s="51"/>
      <c r="T462" s="339"/>
      <c r="U462" s="329"/>
      <c r="V462" s="371">
        <v>64.45</v>
      </c>
      <c r="W462" s="35">
        <v>0.49</v>
      </c>
      <c r="X462" s="59">
        <f>W462/Y462</f>
        <v>1.8215613382899627E-2</v>
      </c>
      <c r="Y462" s="14">
        <v>26.9</v>
      </c>
      <c r="Z462" s="69">
        <f>32.54-0.48-0.49</f>
        <v>31.570000000000004</v>
      </c>
      <c r="AA462" s="16">
        <f>Y462-Z462</f>
        <v>-4.6700000000000053</v>
      </c>
      <c r="AB462" s="80">
        <f>AA462/Z462</f>
        <v>-0.14792524548622124</v>
      </c>
      <c r="AC462" s="120" t="s">
        <v>2642</v>
      </c>
      <c r="AD462" s="23" t="s">
        <v>248</v>
      </c>
      <c r="AE462" s="89">
        <v>43216</v>
      </c>
      <c r="AF462" s="88"/>
      <c r="AG462" s="34">
        <f>AF462-AE462</f>
        <v>-43216</v>
      </c>
      <c r="AH462" s="124" t="s">
        <v>1792</v>
      </c>
      <c r="AI462" s="128"/>
      <c r="AJ462" s="34"/>
      <c r="AK462" s="12"/>
      <c r="AL462" s="12"/>
      <c r="AM462" s="12"/>
      <c r="AN462" s="12"/>
      <c r="AO462" s="284"/>
      <c r="AP462" s="284"/>
      <c r="AR462" s="4"/>
      <c r="AS462" s="284"/>
      <c r="AT462" s="284"/>
    </row>
    <row r="463" spans="1:46" ht="16.5" customHeight="1">
      <c r="A463" s="152"/>
      <c r="B463" s="85">
        <v>-49</v>
      </c>
      <c r="C463" s="85">
        <v>-36</v>
      </c>
      <c r="D463" s="85">
        <v>-49</v>
      </c>
      <c r="E463" s="85">
        <v>-36</v>
      </c>
      <c r="F463" s="59">
        <v>12.88</v>
      </c>
      <c r="G463" s="42" t="s">
        <v>600</v>
      </c>
      <c r="H463" s="51" t="s">
        <v>2120</v>
      </c>
      <c r="I463" s="23" t="s">
        <v>248</v>
      </c>
      <c r="J463" s="77">
        <v>78.22</v>
      </c>
      <c r="K463" s="371">
        <v>3.94</v>
      </c>
      <c r="L463" s="371">
        <v>1.53</v>
      </c>
      <c r="N463" s="77">
        <f>V463+K463+J463+L463</f>
        <v>148.14000000000001</v>
      </c>
      <c r="V463" s="371">
        <v>64.45</v>
      </c>
      <c r="W463" s="35">
        <v>0.49</v>
      </c>
      <c r="X463" s="59">
        <f>W463/Y463</f>
        <v>1.8215613382899627E-2</v>
      </c>
      <c r="Y463" s="37">
        <v>26.9</v>
      </c>
      <c r="Z463" s="69">
        <v>24.05</v>
      </c>
      <c r="AA463" s="16">
        <f>Y463-Z463</f>
        <v>2.8499999999999979</v>
      </c>
      <c r="AB463" s="66">
        <f>AA463/Z463</f>
        <v>0.11850311850311841</v>
      </c>
      <c r="AC463" s="119" t="s">
        <v>2643</v>
      </c>
      <c r="AD463" s="23" t="s">
        <v>248</v>
      </c>
      <c r="AE463" s="89">
        <v>43735</v>
      </c>
      <c r="AG463" s="34">
        <f>AF463-AE463</f>
        <v>-43735</v>
      </c>
      <c r="AH463" s="124"/>
      <c r="AI463" s="284"/>
    </row>
    <row r="464" spans="1:46" ht="16.5" customHeight="1">
      <c r="A464" s="152"/>
      <c r="B464" s="85">
        <v>-49</v>
      </c>
      <c r="C464" s="85">
        <v>-36</v>
      </c>
      <c r="D464" s="85">
        <v>-49</v>
      </c>
      <c r="E464" s="85">
        <v>-36</v>
      </c>
      <c r="F464" s="59">
        <v>12.88</v>
      </c>
      <c r="G464" s="42" t="s">
        <v>600</v>
      </c>
      <c r="H464" s="51" t="s">
        <v>2120</v>
      </c>
      <c r="I464" s="23" t="s">
        <v>248</v>
      </c>
      <c r="J464" s="77">
        <v>78.22</v>
      </c>
      <c r="K464" s="371">
        <v>3.94</v>
      </c>
      <c r="L464" s="371">
        <v>1.53</v>
      </c>
      <c r="N464" s="77">
        <f>V464+K464+J464+L464</f>
        <v>148.14000000000001</v>
      </c>
      <c r="V464" s="371">
        <v>64.45</v>
      </c>
      <c r="W464" s="35">
        <v>0.49</v>
      </c>
      <c r="X464" s="59">
        <f>W464/Y464</f>
        <v>1.8215613382899627E-2</v>
      </c>
      <c r="Y464" s="37">
        <v>26.9</v>
      </c>
      <c r="Z464" s="69">
        <v>23.9</v>
      </c>
      <c r="AA464" s="16">
        <f>Y464-Z464</f>
        <v>3</v>
      </c>
      <c r="AB464" s="66">
        <f>AA464/Z464</f>
        <v>0.12552301255230125</v>
      </c>
      <c r="AC464" s="119" t="s">
        <v>2644</v>
      </c>
      <c r="AD464" s="23" t="s">
        <v>248</v>
      </c>
      <c r="AE464" s="89">
        <v>43710</v>
      </c>
      <c r="AG464" s="34">
        <f>AF464-AE464</f>
        <v>-43710</v>
      </c>
      <c r="AH464" s="124"/>
      <c r="AI464" s="284"/>
    </row>
    <row r="465" spans="1:46" ht="16.5" customHeight="1">
      <c r="B465" s="85">
        <v>-49</v>
      </c>
      <c r="C465" s="85">
        <v>-36</v>
      </c>
      <c r="D465" s="85">
        <v>-49</v>
      </c>
      <c r="E465" s="85">
        <v>-36</v>
      </c>
      <c r="F465" s="59">
        <v>12.88</v>
      </c>
      <c r="G465" s="42" t="s">
        <v>600</v>
      </c>
      <c r="H465" s="51" t="s">
        <v>2120</v>
      </c>
      <c r="I465" s="23" t="s">
        <v>248</v>
      </c>
      <c r="J465" s="371">
        <v>78.17</v>
      </c>
      <c r="K465" s="371">
        <v>3.94</v>
      </c>
      <c r="L465" s="77">
        <v>1.56</v>
      </c>
      <c r="N465" s="77">
        <f>V465+K465+J465+L465</f>
        <v>148.12</v>
      </c>
      <c r="V465" s="371">
        <v>64.45</v>
      </c>
      <c r="W465" s="35">
        <v>0.49</v>
      </c>
      <c r="X465" s="59">
        <f>W465/Y465</f>
        <v>1.8215613382899627E-2</v>
      </c>
      <c r="Y465" s="37">
        <v>26.9</v>
      </c>
      <c r="Z465" s="69">
        <v>23.75</v>
      </c>
      <c r="AA465" s="16">
        <f>Y465-Z465</f>
        <v>3.1499999999999986</v>
      </c>
      <c r="AB465" s="66">
        <f>AA465/Z465</f>
        <v>0.13263157894736835</v>
      </c>
      <c r="AC465" s="119" t="s">
        <v>2645</v>
      </c>
      <c r="AD465" s="23" t="s">
        <v>248</v>
      </c>
      <c r="AE465" s="89">
        <v>43698</v>
      </c>
      <c r="AG465" s="34">
        <f>AF465-AE465</f>
        <v>-43698</v>
      </c>
      <c r="AH465" s="124"/>
    </row>
    <row r="466" spans="1:46" s="8" customFormat="1" ht="17.100000000000001" customHeight="1">
      <c r="A466" s="128"/>
      <c r="B466" s="85"/>
      <c r="C466" s="85"/>
      <c r="D466" s="85"/>
      <c r="E466" s="85"/>
      <c r="F466" s="59"/>
      <c r="G466" s="42"/>
      <c r="H466" s="51"/>
      <c r="I466" s="23"/>
      <c r="J466" s="371"/>
      <c r="K466" s="371"/>
      <c r="L466" s="371"/>
      <c r="M466" s="365"/>
      <c r="N466" s="77"/>
      <c r="O466" s="343"/>
      <c r="P466" s="232"/>
      <c r="Q466" s="326"/>
      <c r="R466" s="111"/>
      <c r="S466" s="51"/>
      <c r="T466" s="339"/>
      <c r="U466" s="329"/>
      <c r="V466" s="371"/>
      <c r="W466" s="35"/>
      <c r="X466" s="59"/>
      <c r="Y466" s="14">
        <f>SUM(Y462:Y465)</f>
        <v>107.6</v>
      </c>
      <c r="Z466" s="46">
        <f>SUM(Z462:Z465)</f>
        <v>103.27000000000001</v>
      </c>
      <c r="AA466" s="16">
        <f>Y466-Z466</f>
        <v>4.3299999999999841</v>
      </c>
      <c r="AB466" s="66">
        <f>AA466/Z466</f>
        <v>4.1928924179335567E-2</v>
      </c>
      <c r="AC466" s="120"/>
      <c r="AD466" s="23"/>
      <c r="AE466" s="89"/>
      <c r="AF466" s="88"/>
      <c r="AG466" s="34"/>
      <c r="AH466" s="124"/>
      <c r="AI466" s="128"/>
      <c r="AJ466" s="34"/>
      <c r="AK466" s="12"/>
      <c r="AL466" s="12"/>
      <c r="AM466" s="12"/>
      <c r="AN466" s="12"/>
      <c r="AO466" s="284"/>
      <c r="AP466" s="284"/>
      <c r="AR466" s="4"/>
      <c r="AS466" s="284"/>
      <c r="AT466" s="284"/>
    </row>
    <row r="467" spans="1:46">
      <c r="A467" s="135" t="s">
        <v>2552</v>
      </c>
      <c r="B467" s="96" t="s">
        <v>2331</v>
      </c>
      <c r="C467" s="96" t="s">
        <v>2332</v>
      </c>
      <c r="D467" s="96" t="s">
        <v>2333</v>
      </c>
      <c r="E467" s="96" t="s">
        <v>2334</v>
      </c>
      <c r="F467" s="9" t="s">
        <v>1709</v>
      </c>
      <c r="G467" s="26" t="s">
        <v>682</v>
      </c>
      <c r="H467" s="56" t="s">
        <v>578</v>
      </c>
      <c r="I467" s="1" t="s">
        <v>131</v>
      </c>
      <c r="J467" s="364" t="s">
        <v>2189</v>
      </c>
      <c r="K467" s="364" t="s">
        <v>1820</v>
      </c>
      <c r="L467" s="364" t="s">
        <v>515</v>
      </c>
      <c r="M467" s="364"/>
      <c r="N467" s="364" t="s">
        <v>1708</v>
      </c>
      <c r="S467" s="51" t="s">
        <v>5367</v>
      </c>
      <c r="V467" s="371" t="s">
        <v>1699</v>
      </c>
      <c r="W467" s="11" t="s">
        <v>127</v>
      </c>
      <c r="X467" s="71" t="s">
        <v>2231</v>
      </c>
      <c r="Y467" s="29" t="s">
        <v>3</v>
      </c>
      <c r="Z467" s="18" t="s">
        <v>2113</v>
      </c>
      <c r="AA467" s="15" t="s">
        <v>8</v>
      </c>
      <c r="AB467" s="22" t="s">
        <v>4</v>
      </c>
      <c r="AC467" s="26" t="s">
        <v>211</v>
      </c>
      <c r="AD467" s="1" t="s">
        <v>131</v>
      </c>
      <c r="AE467" s="75" t="s">
        <v>2114</v>
      </c>
      <c r="AF467" s="76" t="s">
        <v>1826</v>
      </c>
      <c r="AG467" s="33" t="s">
        <v>1827</v>
      </c>
      <c r="AH467" s="47" t="s">
        <v>2323</v>
      </c>
    </row>
    <row r="468" spans="1:46" ht="16.5" customHeight="1">
      <c r="A468" s="135" t="s">
        <v>2503</v>
      </c>
      <c r="B468" s="85">
        <v>-26</v>
      </c>
      <c r="C468" s="85">
        <v>-18</v>
      </c>
      <c r="D468" s="85">
        <v>-1</v>
      </c>
      <c r="E468" s="85">
        <v>-40</v>
      </c>
      <c r="F468" s="59">
        <v>23.76</v>
      </c>
      <c r="G468" s="42" t="s">
        <v>1691</v>
      </c>
      <c r="H468" s="51" t="s">
        <v>2120</v>
      </c>
      <c r="I468" s="17" t="s">
        <v>158</v>
      </c>
      <c r="J468" s="371">
        <v>49.8</v>
      </c>
      <c r="K468" s="371">
        <v>2.81</v>
      </c>
      <c r="L468" s="371">
        <v>31.88</v>
      </c>
      <c r="N468" s="365">
        <f>V468+K468+J468+L468</f>
        <v>129.53</v>
      </c>
      <c r="V468" s="371">
        <v>45.04</v>
      </c>
      <c r="W468" s="35">
        <v>4.3</v>
      </c>
      <c r="X468" s="59">
        <f>W468/Y468</f>
        <v>7.5438596491228069E-2</v>
      </c>
      <c r="Y468" s="37">
        <v>57</v>
      </c>
      <c r="Z468" s="46">
        <v>55.4</v>
      </c>
      <c r="AA468" s="16">
        <f>Y468-Z468</f>
        <v>1.6000000000000014</v>
      </c>
      <c r="AB468" s="66">
        <f>AA468/Z468</f>
        <v>2.8880866425992805E-2</v>
      </c>
      <c r="AC468" s="119" t="s">
        <v>2416</v>
      </c>
      <c r="AD468" s="17" t="s">
        <v>158</v>
      </c>
      <c r="AF468" s="88">
        <v>43783</v>
      </c>
      <c r="AG468" s="34">
        <f>AF468-AE468</f>
        <v>43783</v>
      </c>
      <c r="AH468" s="50" t="s">
        <v>2636</v>
      </c>
      <c r="AI468" s="284"/>
    </row>
    <row r="469" spans="1:46">
      <c r="A469" s="135"/>
      <c r="B469" s="96"/>
      <c r="C469" s="96"/>
      <c r="D469" s="96"/>
      <c r="E469" s="96"/>
      <c r="F469" s="9"/>
      <c r="G469" s="26"/>
      <c r="H469" s="56"/>
      <c r="I469" s="1"/>
      <c r="J469" s="364"/>
      <c r="K469" s="364"/>
      <c r="L469" s="364"/>
      <c r="M469" s="364"/>
      <c r="N469" s="364"/>
      <c r="W469" s="11"/>
      <c r="X469" s="71"/>
      <c r="Y469" s="29"/>
      <c r="Z469" s="18"/>
      <c r="AA469" s="16"/>
      <c r="AB469" s="66"/>
      <c r="AC469" s="26"/>
      <c r="AD469" s="1"/>
      <c r="AE469" s="75"/>
      <c r="AF469" s="76"/>
      <c r="AG469" s="33"/>
      <c r="AH469" s="47"/>
    </row>
    <row r="470" spans="1:46">
      <c r="A470" s="135" t="s">
        <v>2552</v>
      </c>
      <c r="B470" s="96" t="s">
        <v>2331</v>
      </c>
      <c r="C470" s="96" t="s">
        <v>2332</v>
      </c>
      <c r="D470" s="96" t="s">
        <v>2333</v>
      </c>
      <c r="E470" s="96" t="s">
        <v>2334</v>
      </c>
      <c r="F470" s="9" t="s">
        <v>1709</v>
      </c>
      <c r="G470" s="26" t="s">
        <v>682</v>
      </c>
      <c r="H470" s="56" t="s">
        <v>578</v>
      </c>
      <c r="I470" s="1" t="s">
        <v>131</v>
      </c>
      <c r="J470" s="364" t="s">
        <v>2189</v>
      </c>
      <c r="K470" s="364" t="s">
        <v>1820</v>
      </c>
      <c r="L470" s="364" t="s">
        <v>515</v>
      </c>
      <c r="M470" s="364"/>
      <c r="N470" s="364" t="s">
        <v>1708</v>
      </c>
      <c r="S470" s="51" t="s">
        <v>5367</v>
      </c>
      <c r="V470" s="371" t="s">
        <v>1699</v>
      </c>
      <c r="W470" s="11" t="s">
        <v>127</v>
      </c>
      <c r="X470" s="71" t="s">
        <v>2231</v>
      </c>
      <c r="Y470" s="29" t="s">
        <v>3</v>
      </c>
      <c r="Z470" s="18" t="s">
        <v>2113</v>
      </c>
      <c r="AA470" s="15" t="s">
        <v>8</v>
      </c>
      <c r="AB470" s="22" t="s">
        <v>4</v>
      </c>
      <c r="AC470" s="26" t="s">
        <v>211</v>
      </c>
      <c r="AD470" s="1" t="s">
        <v>131</v>
      </c>
      <c r="AE470" s="75" t="s">
        <v>2114</v>
      </c>
      <c r="AF470" s="76" t="s">
        <v>1826</v>
      </c>
      <c r="AG470" s="33" t="s">
        <v>1827</v>
      </c>
    </row>
    <row r="471" spans="1:46">
      <c r="B471" s="84">
        <v>100</v>
      </c>
      <c r="C471" s="84">
        <v>67</v>
      </c>
      <c r="D471" s="84">
        <v>100</v>
      </c>
      <c r="E471" s="84">
        <v>67</v>
      </c>
      <c r="F471" s="59">
        <v>18.75</v>
      </c>
      <c r="G471" s="20" t="s">
        <v>183</v>
      </c>
      <c r="H471" s="31" t="s">
        <v>2191</v>
      </c>
      <c r="I471" s="23" t="s">
        <v>184</v>
      </c>
      <c r="J471" s="371">
        <v>80.25</v>
      </c>
      <c r="K471" s="77">
        <v>5.08</v>
      </c>
      <c r="L471" s="77">
        <v>0.35</v>
      </c>
      <c r="N471" s="365">
        <f>V471+K471+J471+L471</f>
        <v>119.25999999999999</v>
      </c>
      <c r="V471" s="371">
        <v>33.58</v>
      </c>
      <c r="W471" s="35">
        <v>1.3</v>
      </c>
      <c r="X471" s="59">
        <f>W471/Y471</f>
        <v>4.0561622464898604E-2</v>
      </c>
      <c r="Y471" s="14">
        <v>32.049999999999997</v>
      </c>
      <c r="Z471" s="69">
        <v>31.6</v>
      </c>
      <c r="AA471" s="46">
        <f>Y471-Z471</f>
        <v>0.44999999999999574</v>
      </c>
      <c r="AB471" s="66">
        <f>AA471/Z471</f>
        <v>1.4240506329113788E-2</v>
      </c>
      <c r="AC471" s="119" t="s">
        <v>2389</v>
      </c>
      <c r="AD471" s="23" t="s">
        <v>184</v>
      </c>
      <c r="AE471" s="89">
        <v>43689</v>
      </c>
      <c r="AG471" s="34">
        <f>AF471-AE471</f>
        <v>-43689</v>
      </c>
      <c r="AH471" s="42" t="s">
        <v>1790</v>
      </c>
    </row>
    <row r="472" spans="1:46">
      <c r="B472" s="84">
        <v>100</v>
      </c>
      <c r="C472" s="84">
        <v>67</v>
      </c>
      <c r="D472" s="84">
        <v>100</v>
      </c>
      <c r="E472" s="84">
        <v>67</v>
      </c>
      <c r="F472" s="59">
        <v>18.75</v>
      </c>
      <c r="G472" s="20" t="s">
        <v>183</v>
      </c>
      <c r="H472" s="51" t="s">
        <v>2120</v>
      </c>
      <c r="I472" s="23" t="s">
        <v>184</v>
      </c>
      <c r="J472" s="371">
        <v>80.25</v>
      </c>
      <c r="K472" s="77">
        <v>5.08</v>
      </c>
      <c r="L472" s="77">
        <v>0.35</v>
      </c>
      <c r="N472" s="365">
        <f>V472+K472+J472+L472</f>
        <v>119.25999999999999</v>
      </c>
      <c r="V472" s="371">
        <v>33.58</v>
      </c>
      <c r="W472" s="35">
        <v>1.3</v>
      </c>
      <c r="X472" s="59">
        <f>W472/Y472</f>
        <v>4.0561622464898604E-2</v>
      </c>
      <c r="Y472" s="14">
        <v>32.049999999999997</v>
      </c>
      <c r="Z472" s="69">
        <v>31.6</v>
      </c>
      <c r="AA472" s="46">
        <f>Y472-Z472</f>
        <v>0.44999999999999574</v>
      </c>
      <c r="AB472" s="66">
        <f>AA472/Z472</f>
        <v>1.4240506329113788E-2</v>
      </c>
      <c r="AC472" s="119" t="s">
        <v>2389</v>
      </c>
      <c r="AD472" s="23" t="s">
        <v>184</v>
      </c>
      <c r="AE472" s="89">
        <v>43689</v>
      </c>
      <c r="AG472" s="34">
        <f>AF472-AE472</f>
        <v>-43689</v>
      </c>
      <c r="AH472" s="124" t="s">
        <v>2362</v>
      </c>
    </row>
    <row r="473" spans="1:46">
      <c r="B473" s="84"/>
      <c r="C473" s="84"/>
      <c r="D473" s="84"/>
      <c r="E473" s="84"/>
      <c r="F473" s="59"/>
      <c r="H473" s="31"/>
      <c r="I473" s="23"/>
      <c r="J473" s="371"/>
      <c r="K473" s="77"/>
      <c r="N473" s="365"/>
      <c r="W473" s="35"/>
      <c r="X473" s="59"/>
      <c r="Y473" s="14">
        <f>SUM(Y471:Y472)</f>
        <v>64.099999999999994</v>
      </c>
      <c r="Z473" s="46">
        <f>SUM(Z471:Z472)</f>
        <v>63.2</v>
      </c>
      <c r="AA473" s="16">
        <f>Y473-Z473</f>
        <v>0.89999999999999147</v>
      </c>
      <c r="AB473" s="66">
        <f>AA473/Z473</f>
        <v>1.4240506329113788E-2</v>
      </c>
      <c r="AC473" s="119"/>
      <c r="AD473" s="23"/>
      <c r="AG473" s="34"/>
      <c r="AH473" s="124"/>
    </row>
    <row r="474" spans="1:46">
      <c r="A474" s="135" t="s">
        <v>2552</v>
      </c>
      <c r="B474" s="96" t="s">
        <v>2331</v>
      </c>
      <c r="C474" s="96" t="s">
        <v>2332</v>
      </c>
      <c r="D474" s="96" t="s">
        <v>2333</v>
      </c>
      <c r="E474" s="96" t="s">
        <v>2334</v>
      </c>
      <c r="F474" s="9" t="s">
        <v>1709</v>
      </c>
      <c r="G474" s="26" t="s">
        <v>682</v>
      </c>
      <c r="H474" s="56" t="s">
        <v>578</v>
      </c>
      <c r="I474" s="1" t="s">
        <v>131</v>
      </c>
      <c r="J474" s="364" t="s">
        <v>2189</v>
      </c>
      <c r="K474" s="364" t="s">
        <v>1820</v>
      </c>
      <c r="L474" s="364" t="s">
        <v>515</v>
      </c>
      <c r="M474" s="364"/>
      <c r="N474" s="364" t="s">
        <v>1708</v>
      </c>
      <c r="S474" s="51" t="s">
        <v>5367</v>
      </c>
      <c r="V474" s="371" t="s">
        <v>1699</v>
      </c>
      <c r="W474" s="11" t="s">
        <v>127</v>
      </c>
      <c r="X474" s="71" t="s">
        <v>2231</v>
      </c>
      <c r="Y474" s="29" t="s">
        <v>3</v>
      </c>
      <c r="Z474" s="18" t="s">
        <v>2113</v>
      </c>
      <c r="AA474" s="15" t="s">
        <v>8</v>
      </c>
      <c r="AB474" s="22" t="s">
        <v>4</v>
      </c>
      <c r="AC474" s="26" t="s">
        <v>211</v>
      </c>
      <c r="AD474" s="1" t="s">
        <v>131</v>
      </c>
      <c r="AE474" s="75" t="s">
        <v>2114</v>
      </c>
      <c r="AF474" s="76" t="s">
        <v>1826</v>
      </c>
      <c r="AG474" s="33" t="s">
        <v>1827</v>
      </c>
    </row>
    <row r="475" spans="1:46">
      <c r="B475" s="85">
        <v>-211</v>
      </c>
      <c r="C475" s="99">
        <v>-5489</v>
      </c>
      <c r="D475" s="85">
        <v>-211</v>
      </c>
      <c r="E475" s="99">
        <v>-5489</v>
      </c>
      <c r="F475" s="7">
        <v>-13.71</v>
      </c>
      <c r="G475" s="42" t="s">
        <v>630</v>
      </c>
      <c r="H475" s="9" t="s">
        <v>2119</v>
      </c>
      <c r="I475" s="23" t="s">
        <v>631</v>
      </c>
      <c r="J475" s="371">
        <v>37.869999999999997</v>
      </c>
      <c r="K475" s="371">
        <v>19.09</v>
      </c>
      <c r="L475" s="371">
        <v>22.04</v>
      </c>
      <c r="N475" s="365">
        <f>V475+K475+J475+L475</f>
        <v>84.52</v>
      </c>
      <c r="V475" s="371">
        <v>5.52</v>
      </c>
      <c r="W475" s="35">
        <v>0.5</v>
      </c>
      <c r="X475" s="100">
        <f>W475/Y475</f>
        <v>2.0833333333333332E-2</v>
      </c>
      <c r="Y475" s="37">
        <v>24</v>
      </c>
      <c r="Z475" s="46">
        <f>26.73-0.52</f>
        <v>26.21</v>
      </c>
      <c r="AA475" s="16">
        <f>Y475-Z475</f>
        <v>-2.2100000000000009</v>
      </c>
      <c r="AB475" s="80">
        <f>AA475/Z475</f>
        <v>-8.4318962228157227E-2</v>
      </c>
      <c r="AC475" s="120" t="s">
        <v>2578</v>
      </c>
      <c r="AD475" s="23" t="s">
        <v>631</v>
      </c>
      <c r="AE475" s="89">
        <v>43353</v>
      </c>
      <c r="AG475" s="34">
        <f>AF475-AE475</f>
        <v>-43353</v>
      </c>
      <c r="AH475" s="124" t="s">
        <v>1790</v>
      </c>
      <c r="AK475" s="12"/>
      <c r="AL475" s="12"/>
      <c r="AM475" s="12"/>
      <c r="AN475" s="12"/>
      <c r="AQ475" s="8"/>
      <c r="AR475" s="4"/>
    </row>
    <row r="476" spans="1:46">
      <c r="B476" s="85">
        <v>-211</v>
      </c>
      <c r="C476" s="99">
        <v>-5489</v>
      </c>
      <c r="D476" s="85">
        <v>-211</v>
      </c>
      <c r="E476" s="99">
        <v>-5489</v>
      </c>
      <c r="F476" s="7">
        <v>-13.71</v>
      </c>
      <c r="G476" s="42" t="s">
        <v>630</v>
      </c>
      <c r="H476" s="51" t="s">
        <v>2120</v>
      </c>
      <c r="I476" s="23" t="s">
        <v>631</v>
      </c>
      <c r="J476" s="371">
        <v>37.869999999999997</v>
      </c>
      <c r="K476" s="371">
        <v>19.09</v>
      </c>
      <c r="L476" s="371">
        <v>22.04</v>
      </c>
      <c r="N476" s="365">
        <f>V476+K476+J476+L476</f>
        <v>84.52</v>
      </c>
      <c r="V476" s="371">
        <v>5.52</v>
      </c>
      <c r="W476" s="35">
        <v>0.5</v>
      </c>
      <c r="X476" s="100">
        <f>W476/Y476</f>
        <v>2.0833333333333332E-2</v>
      </c>
      <c r="Y476" s="37">
        <v>24</v>
      </c>
      <c r="Z476" s="46">
        <f>26.73-0.52-1.7</f>
        <v>24.51</v>
      </c>
      <c r="AA476" s="16">
        <f>Y476-Z476</f>
        <v>-0.51000000000000156</v>
      </c>
      <c r="AB476" s="80">
        <f>AA476/Z476</f>
        <v>-2.0807833537331764E-2</v>
      </c>
      <c r="AC476" s="120" t="s">
        <v>2579</v>
      </c>
      <c r="AD476" s="23" t="s">
        <v>631</v>
      </c>
      <c r="AE476" s="89">
        <v>43353</v>
      </c>
      <c r="AG476" s="34">
        <f>AF476-AE476</f>
        <v>-43353</v>
      </c>
      <c r="AH476" s="124" t="s">
        <v>2306</v>
      </c>
      <c r="AK476" s="12"/>
      <c r="AL476" s="12"/>
      <c r="AM476" s="12"/>
      <c r="AN476" s="12"/>
      <c r="AQ476" s="8"/>
      <c r="AR476" s="4"/>
    </row>
    <row r="477" spans="1:46">
      <c r="B477" s="85">
        <v>-211</v>
      </c>
      <c r="C477" s="99">
        <v>-5489</v>
      </c>
      <c r="D477" s="85">
        <v>-211</v>
      </c>
      <c r="E477" s="99">
        <v>-5489</v>
      </c>
      <c r="F477" s="7">
        <v>-13.71</v>
      </c>
      <c r="G477" s="42" t="s">
        <v>630</v>
      </c>
      <c r="H477" s="51" t="s">
        <v>2120</v>
      </c>
      <c r="I477" s="23" t="s">
        <v>631</v>
      </c>
      <c r="J477" s="371">
        <v>37.869999999999997</v>
      </c>
      <c r="K477" s="371">
        <v>19.09</v>
      </c>
      <c r="L477" s="371">
        <v>22.04</v>
      </c>
      <c r="N477" s="365">
        <f>V477+K477+J477+L477</f>
        <v>84.52</v>
      </c>
      <c r="V477" s="371">
        <v>5.52</v>
      </c>
      <c r="W477" s="35">
        <v>0.5</v>
      </c>
      <c r="X477" s="100">
        <f>W477/Y477</f>
        <v>2.0833333333333332E-2</v>
      </c>
      <c r="Y477" s="37">
        <v>24</v>
      </c>
      <c r="Z477" s="46">
        <v>22.05</v>
      </c>
      <c r="AA477" s="16">
        <f>Y477-Z477</f>
        <v>1.9499999999999993</v>
      </c>
      <c r="AB477" s="66">
        <f>AA477/Z477</f>
        <v>8.8435374149659823E-2</v>
      </c>
      <c r="AC477" s="119" t="s">
        <v>2580</v>
      </c>
      <c r="AD477" s="23" t="s">
        <v>631</v>
      </c>
      <c r="AE477" s="89">
        <v>43731</v>
      </c>
      <c r="AG477" s="34">
        <f>AF477-AE477</f>
        <v>-43731</v>
      </c>
      <c r="AH477" s="124"/>
      <c r="AK477" s="12"/>
      <c r="AL477" s="12"/>
      <c r="AM477" s="12"/>
      <c r="AN477" s="12"/>
      <c r="AQ477" s="8"/>
      <c r="AR477" s="4"/>
    </row>
    <row r="478" spans="1:46">
      <c r="B478" s="85">
        <v>-211</v>
      </c>
      <c r="C478" s="99">
        <v>-5489</v>
      </c>
      <c r="D478" s="85">
        <v>-211</v>
      </c>
      <c r="E478" s="99">
        <v>-5489</v>
      </c>
      <c r="F478" s="7">
        <v>-13.71</v>
      </c>
      <c r="G478" s="42" t="s">
        <v>630</v>
      </c>
      <c r="H478" s="51" t="s">
        <v>2120</v>
      </c>
      <c r="I478" s="23" t="s">
        <v>631</v>
      </c>
      <c r="J478" s="371">
        <v>37.869999999999997</v>
      </c>
      <c r="K478" s="371">
        <v>19.09</v>
      </c>
      <c r="L478" s="371">
        <v>22.04</v>
      </c>
      <c r="N478" s="365">
        <f>V478+K478+J478+L478</f>
        <v>84.52</v>
      </c>
      <c r="V478" s="371">
        <v>5.52</v>
      </c>
      <c r="W478" s="35">
        <v>0.5</v>
      </c>
      <c r="X478" s="100">
        <f>W478/Y478</f>
        <v>2.0833333333333332E-2</v>
      </c>
      <c r="Y478" s="37">
        <v>24</v>
      </c>
      <c r="Z478" s="46">
        <v>21.9</v>
      </c>
      <c r="AA478" s="16">
        <f>Y478-Z478</f>
        <v>2.1000000000000014</v>
      </c>
      <c r="AB478" s="66">
        <f>AA478/Z478</f>
        <v>9.5890410958904188E-2</v>
      </c>
      <c r="AC478" s="119" t="s">
        <v>2325</v>
      </c>
      <c r="AD478" s="23" t="s">
        <v>631</v>
      </c>
      <c r="AE478" s="89">
        <v>43732</v>
      </c>
      <c r="AG478" s="34">
        <f>AF478-AE478</f>
        <v>-43732</v>
      </c>
      <c r="AH478" s="124"/>
      <c r="AK478" s="12"/>
      <c r="AL478" s="12"/>
      <c r="AM478" s="12"/>
      <c r="AN478" s="12"/>
      <c r="AQ478" s="8"/>
      <c r="AR478" s="4"/>
    </row>
    <row r="479" spans="1:46">
      <c r="A479" s="20"/>
      <c r="B479" s="85"/>
      <c r="C479" s="85"/>
      <c r="D479" s="85"/>
      <c r="E479" s="85"/>
      <c r="F479" s="7"/>
      <c r="H479" s="9"/>
      <c r="I479" s="23"/>
      <c r="J479" s="371"/>
      <c r="K479" s="371"/>
      <c r="L479" s="371"/>
      <c r="N479" s="365"/>
      <c r="W479" s="35"/>
      <c r="X479" s="100"/>
      <c r="Y479" s="14">
        <f>SUM(Y475:Y478)</f>
        <v>96</v>
      </c>
      <c r="Z479" s="46">
        <f>SUM(Z475:Z478)</f>
        <v>94.669999999999987</v>
      </c>
      <c r="AA479" s="16">
        <f>Y479-Z479</f>
        <v>1.3300000000000125</v>
      </c>
      <c r="AB479" s="66">
        <f>AA479/Z479</f>
        <v>1.4048801098553002E-2</v>
      </c>
      <c r="AC479" s="121"/>
      <c r="AD479" s="23"/>
      <c r="AG479" s="34"/>
      <c r="AH479" s="42"/>
    </row>
    <row r="480" spans="1:46">
      <c r="A480" s="135" t="s">
        <v>2552</v>
      </c>
      <c r="B480" s="96" t="s">
        <v>2331</v>
      </c>
      <c r="C480" s="96" t="s">
        <v>2332</v>
      </c>
      <c r="D480" s="96" t="s">
        <v>2333</v>
      </c>
      <c r="E480" s="96" t="s">
        <v>2334</v>
      </c>
      <c r="F480" s="9" t="s">
        <v>1709</v>
      </c>
      <c r="G480" s="26" t="s">
        <v>682</v>
      </c>
      <c r="H480" s="56" t="s">
        <v>578</v>
      </c>
      <c r="I480" s="1" t="s">
        <v>131</v>
      </c>
      <c r="J480" s="364" t="s">
        <v>2189</v>
      </c>
      <c r="K480" s="364" t="s">
        <v>1820</v>
      </c>
      <c r="L480" s="364" t="s">
        <v>515</v>
      </c>
      <c r="M480" s="364"/>
      <c r="N480" s="364" t="s">
        <v>1708</v>
      </c>
      <c r="S480" s="51" t="s">
        <v>5367</v>
      </c>
      <c r="V480" s="371" t="s">
        <v>1699</v>
      </c>
      <c r="W480" s="11" t="s">
        <v>127</v>
      </c>
      <c r="X480" s="71" t="s">
        <v>2231</v>
      </c>
      <c r="Y480" s="29" t="s">
        <v>3</v>
      </c>
      <c r="Z480" s="18" t="s">
        <v>2113</v>
      </c>
      <c r="AA480" s="15" t="s">
        <v>8</v>
      </c>
      <c r="AB480" s="22" t="s">
        <v>4</v>
      </c>
      <c r="AC480" s="26" t="s">
        <v>211</v>
      </c>
      <c r="AD480" s="1" t="s">
        <v>131</v>
      </c>
      <c r="AE480" s="75" t="s">
        <v>2114</v>
      </c>
      <c r="AF480" s="76" t="s">
        <v>1826</v>
      </c>
      <c r="AG480" s="33" t="s">
        <v>1827</v>
      </c>
      <c r="AH480" s="47" t="s">
        <v>2405</v>
      </c>
    </row>
    <row r="481" spans="1:47">
      <c r="A481" s="124"/>
      <c r="B481" s="84">
        <v>2</v>
      </c>
      <c r="C481" s="85">
        <v>-30</v>
      </c>
      <c r="D481" s="84">
        <v>2</v>
      </c>
      <c r="E481" s="85">
        <v>-30</v>
      </c>
      <c r="F481" s="59">
        <v>10.220000000000001</v>
      </c>
      <c r="G481" s="42" t="s">
        <v>132</v>
      </c>
      <c r="H481" s="51"/>
      <c r="I481" s="23" t="s">
        <v>0</v>
      </c>
      <c r="J481" s="77">
        <v>81.91</v>
      </c>
      <c r="K481" s="371">
        <v>8.74</v>
      </c>
      <c r="L481" s="371">
        <v>2.2599999999999998</v>
      </c>
      <c r="N481" s="365">
        <f>V481+K481+J481+L481</f>
        <v>114.2</v>
      </c>
      <c r="V481" s="371">
        <v>21.29</v>
      </c>
      <c r="W481" s="35">
        <v>0.4</v>
      </c>
      <c r="X481" s="100">
        <f>W481/Y481</f>
        <v>8.3682008368200847E-3</v>
      </c>
      <c r="Y481" s="37">
        <v>47.8</v>
      </c>
      <c r="Z481" s="69">
        <v>43.78</v>
      </c>
      <c r="AA481" s="16">
        <f>Y481-Z481</f>
        <v>4.019999999999996</v>
      </c>
      <c r="AB481" s="66">
        <f>AA481/Z481</f>
        <v>9.1822750114207305E-2</v>
      </c>
      <c r="AC481" s="119"/>
      <c r="AD481" s="23" t="s">
        <v>0</v>
      </c>
      <c r="AF481" s="88">
        <v>43769</v>
      </c>
      <c r="AG481" s="34">
        <f>AF481-AE481</f>
        <v>43769</v>
      </c>
      <c r="AH481" s="124"/>
      <c r="AI481" s="284"/>
    </row>
    <row r="482" spans="1:47">
      <c r="B482" s="85">
        <v>-8</v>
      </c>
      <c r="C482" s="84">
        <v>15</v>
      </c>
      <c r="D482" s="84">
        <v>2</v>
      </c>
      <c r="E482" s="85">
        <v>-31</v>
      </c>
      <c r="F482" s="59">
        <v>23.94</v>
      </c>
      <c r="G482" s="42" t="s">
        <v>322</v>
      </c>
      <c r="H482" s="51"/>
      <c r="I482" s="17" t="s">
        <v>321</v>
      </c>
      <c r="J482" s="371">
        <v>26.05</v>
      </c>
      <c r="K482" s="77">
        <v>10.89</v>
      </c>
      <c r="L482" s="77">
        <v>39.659999999999997</v>
      </c>
      <c r="N482" s="365">
        <f>V482+K482+J482+L482</f>
        <v>81.55</v>
      </c>
      <c r="V482" s="371">
        <v>4.95</v>
      </c>
      <c r="W482" s="35">
        <v>2.5</v>
      </c>
      <c r="X482" s="100">
        <f>W482/Y482</f>
        <v>1.7857142857142856E-2</v>
      </c>
      <c r="Y482" s="37">
        <v>140</v>
      </c>
      <c r="Z482" s="46">
        <v>136.1</v>
      </c>
      <c r="AA482" s="16">
        <f>Y482-Z482</f>
        <v>3.9000000000000057</v>
      </c>
      <c r="AB482" s="66">
        <f>AA482/Z482</f>
        <v>2.8655400440852359E-2</v>
      </c>
      <c r="AC482" s="107" t="s">
        <v>2429</v>
      </c>
      <c r="AD482" s="17" t="s">
        <v>321</v>
      </c>
      <c r="AF482" s="88">
        <v>43769</v>
      </c>
      <c r="AG482" s="34">
        <f>AF482-AE482</f>
        <v>43769</v>
      </c>
      <c r="AH482" s="124"/>
      <c r="AU482" s="12"/>
    </row>
    <row r="483" spans="1:47">
      <c r="A483" s="42"/>
      <c r="B483" s="84"/>
      <c r="C483" s="85"/>
      <c r="D483" s="84"/>
      <c r="E483" s="85"/>
      <c r="F483" s="7"/>
      <c r="H483" s="51"/>
      <c r="I483" s="23"/>
      <c r="J483" s="374"/>
      <c r="K483" s="371"/>
      <c r="N483" s="365"/>
      <c r="W483" s="206"/>
      <c r="X483" s="100"/>
      <c r="Y483" s="14">
        <f>SUM(Y481:Y482)</f>
        <v>187.8</v>
      </c>
      <c r="Z483" s="46">
        <f>SUM(Z481:Z482)</f>
        <v>179.88</v>
      </c>
      <c r="AA483" s="16">
        <f>Y483-Z483</f>
        <v>7.9200000000000159</v>
      </c>
      <c r="AB483" s="66">
        <f>AA483/Z483</f>
        <v>4.4029352901934715E-2</v>
      </c>
      <c r="AC483" s="120"/>
      <c r="AD483" s="23"/>
      <c r="AG483" s="34"/>
      <c r="AH483" s="124"/>
    </row>
    <row r="484" spans="1:47">
      <c r="A484" s="135" t="s">
        <v>2552</v>
      </c>
      <c r="B484" s="96" t="s">
        <v>2331</v>
      </c>
      <c r="C484" s="96" t="s">
        <v>2332</v>
      </c>
      <c r="D484" s="96" t="s">
        <v>2333</v>
      </c>
      <c r="E484" s="96" t="s">
        <v>2334</v>
      </c>
      <c r="F484" s="9" t="s">
        <v>1709</v>
      </c>
      <c r="G484" s="26" t="s">
        <v>682</v>
      </c>
      <c r="H484" s="56" t="s">
        <v>578</v>
      </c>
      <c r="I484" s="1" t="s">
        <v>131</v>
      </c>
      <c r="J484" s="364" t="s">
        <v>2189</v>
      </c>
      <c r="K484" s="364" t="s">
        <v>1820</v>
      </c>
      <c r="L484" s="364" t="s">
        <v>515</v>
      </c>
      <c r="M484" s="364"/>
      <c r="N484" s="364" t="s">
        <v>1708</v>
      </c>
      <c r="S484" s="51" t="s">
        <v>5367</v>
      </c>
      <c r="V484" s="371" t="s">
        <v>1699</v>
      </c>
      <c r="W484" s="11" t="s">
        <v>127</v>
      </c>
      <c r="X484" s="71" t="s">
        <v>2231</v>
      </c>
      <c r="Y484" s="29" t="s">
        <v>3</v>
      </c>
      <c r="Z484" s="18" t="s">
        <v>2113</v>
      </c>
      <c r="AA484" s="15" t="s">
        <v>8</v>
      </c>
      <c r="AB484" s="22" t="s">
        <v>4</v>
      </c>
      <c r="AC484" s="26" t="s">
        <v>211</v>
      </c>
      <c r="AD484" s="1" t="s">
        <v>131</v>
      </c>
      <c r="AE484" s="75" t="s">
        <v>2114</v>
      </c>
      <c r="AF484" s="76" t="s">
        <v>1826</v>
      </c>
      <c r="AG484" s="33" t="s">
        <v>1827</v>
      </c>
    </row>
    <row r="485" spans="1:47">
      <c r="B485" s="85">
        <v>-8</v>
      </c>
      <c r="C485" s="84">
        <v>15</v>
      </c>
      <c r="D485" s="84">
        <v>2</v>
      </c>
      <c r="E485" s="85">
        <v>-31</v>
      </c>
      <c r="F485" s="59">
        <v>23.94</v>
      </c>
      <c r="G485" s="42" t="s">
        <v>322</v>
      </c>
      <c r="H485" s="51" t="s">
        <v>2120</v>
      </c>
      <c r="I485" s="17" t="s">
        <v>321</v>
      </c>
      <c r="J485" s="371">
        <v>26.05</v>
      </c>
      <c r="K485" s="77">
        <v>10.89</v>
      </c>
      <c r="L485" s="77">
        <v>39.659999999999997</v>
      </c>
      <c r="N485" s="365">
        <f>V485+K485+J485+L485</f>
        <v>81.55</v>
      </c>
      <c r="V485" s="371">
        <v>4.95</v>
      </c>
      <c r="W485" s="35">
        <v>2.5</v>
      </c>
      <c r="X485" s="100">
        <f>W485/Y485</f>
        <v>7.1428571428571425E-2</v>
      </c>
      <c r="Y485" s="37">
        <v>35</v>
      </c>
      <c r="Z485" s="46">
        <v>34.25</v>
      </c>
      <c r="AA485" s="16">
        <f>Y485-Z485</f>
        <v>0.75</v>
      </c>
      <c r="AB485" s="66">
        <f>AA485/Z485</f>
        <v>2.1897810218978103E-2</v>
      </c>
      <c r="AC485" s="107" t="s">
        <v>2429</v>
      </c>
      <c r="AD485" s="17" t="s">
        <v>321</v>
      </c>
      <c r="AE485" s="89">
        <v>43733</v>
      </c>
      <c r="AG485" s="34">
        <f>AF485-AE485</f>
        <v>-43733</v>
      </c>
      <c r="AH485" s="124" t="s">
        <v>2391</v>
      </c>
      <c r="AU485" s="12"/>
    </row>
    <row r="486" spans="1:47">
      <c r="B486" s="85">
        <v>-8</v>
      </c>
      <c r="C486" s="84">
        <v>15</v>
      </c>
      <c r="D486" s="84">
        <v>2</v>
      </c>
      <c r="E486" s="85">
        <v>-31</v>
      </c>
      <c r="F486" s="59">
        <v>23.94</v>
      </c>
      <c r="G486" s="42" t="s">
        <v>322</v>
      </c>
      <c r="H486" s="51" t="s">
        <v>2120</v>
      </c>
      <c r="I486" s="17" t="s">
        <v>321</v>
      </c>
      <c r="J486" s="371">
        <v>26.05</v>
      </c>
      <c r="K486" s="77">
        <v>10.89</v>
      </c>
      <c r="L486" s="77">
        <v>39.659999999999997</v>
      </c>
      <c r="N486" s="365">
        <f>V486+K486+J486+L486</f>
        <v>81.55</v>
      </c>
      <c r="V486" s="371">
        <v>4.95</v>
      </c>
      <c r="W486" s="35">
        <v>2.5</v>
      </c>
      <c r="X486" s="100">
        <f>W486/Y486</f>
        <v>7.1428571428571425E-2</v>
      </c>
      <c r="Y486" s="37">
        <v>35</v>
      </c>
      <c r="Z486" s="46">
        <v>34.200000000000003</v>
      </c>
      <c r="AA486" s="16">
        <f>Y486-Z486</f>
        <v>0.79999999999999716</v>
      </c>
      <c r="AB486" s="66">
        <f>AA486/Z486</f>
        <v>2.3391812865496991E-2</v>
      </c>
      <c r="AC486" s="107" t="s">
        <v>2324</v>
      </c>
      <c r="AD486" s="17" t="s">
        <v>321</v>
      </c>
      <c r="AE486" s="89">
        <v>43733</v>
      </c>
      <c r="AG486" s="34">
        <f>AF486-AE486</f>
        <v>-43733</v>
      </c>
      <c r="AH486" s="124"/>
      <c r="AU486" s="12"/>
    </row>
    <row r="487" spans="1:47">
      <c r="B487" s="85">
        <v>-8</v>
      </c>
      <c r="C487" s="84">
        <v>15</v>
      </c>
      <c r="D487" s="84">
        <v>2</v>
      </c>
      <c r="E487" s="85">
        <v>-31</v>
      </c>
      <c r="F487" s="59">
        <v>23.94</v>
      </c>
      <c r="G487" s="42" t="s">
        <v>322</v>
      </c>
      <c r="H487" s="51" t="s">
        <v>2120</v>
      </c>
      <c r="I487" s="17" t="s">
        <v>321</v>
      </c>
      <c r="J487" s="371">
        <v>26.05</v>
      </c>
      <c r="K487" s="77">
        <v>10.89</v>
      </c>
      <c r="L487" s="77">
        <v>39.659999999999997</v>
      </c>
      <c r="N487" s="365">
        <f>V487+K487+J487+L487</f>
        <v>81.55</v>
      </c>
      <c r="V487" s="371">
        <v>4.95</v>
      </c>
      <c r="W487" s="35">
        <v>2.5</v>
      </c>
      <c r="X487" s="100">
        <f>W487/Y487</f>
        <v>7.1428571428571425E-2</v>
      </c>
      <c r="Y487" s="37">
        <v>35</v>
      </c>
      <c r="Z487" s="46">
        <v>33.9</v>
      </c>
      <c r="AA487" s="16">
        <f>Y487-Z487</f>
        <v>1.1000000000000014</v>
      </c>
      <c r="AB487" s="66">
        <f>AA487/Z487</f>
        <v>3.2448377581120985E-2</v>
      </c>
      <c r="AC487" s="107" t="s">
        <v>2356</v>
      </c>
      <c r="AD487" s="17" t="s">
        <v>321</v>
      </c>
      <c r="AE487" s="89">
        <v>43733</v>
      </c>
      <c r="AG487" s="34">
        <f>AF487-AE487</f>
        <v>-43733</v>
      </c>
      <c r="AH487" s="124"/>
      <c r="AU487" s="12"/>
    </row>
    <row r="488" spans="1:47">
      <c r="B488" s="85">
        <v>-8</v>
      </c>
      <c r="C488" s="84">
        <v>15</v>
      </c>
      <c r="D488" s="84">
        <v>2</v>
      </c>
      <c r="E488" s="85">
        <v>-31</v>
      </c>
      <c r="F488" s="59">
        <v>23.94</v>
      </c>
      <c r="G488" s="42" t="s">
        <v>322</v>
      </c>
      <c r="H488" s="51" t="s">
        <v>2120</v>
      </c>
      <c r="I488" s="17" t="s">
        <v>321</v>
      </c>
      <c r="J488" s="371">
        <v>26.05</v>
      </c>
      <c r="K488" s="77">
        <v>10.89</v>
      </c>
      <c r="L488" s="77">
        <v>39.659999999999997</v>
      </c>
      <c r="N488" s="365">
        <f>V488+K488+J488+L488</f>
        <v>81.55</v>
      </c>
      <c r="V488" s="371">
        <v>4.95</v>
      </c>
      <c r="W488" s="35">
        <v>2.5</v>
      </c>
      <c r="X488" s="100">
        <f>W488/Y488</f>
        <v>7.1428571428571425E-2</v>
      </c>
      <c r="Y488" s="37">
        <v>35</v>
      </c>
      <c r="Z488" s="46">
        <v>33.75</v>
      </c>
      <c r="AA488" s="16">
        <f>Y488-Z488</f>
        <v>1.25</v>
      </c>
      <c r="AB488" s="66">
        <f>AA488/Z488</f>
        <v>3.7037037037037035E-2</v>
      </c>
      <c r="AC488" s="107" t="s">
        <v>2428</v>
      </c>
      <c r="AD488" s="17" t="s">
        <v>321</v>
      </c>
      <c r="AE488" s="89">
        <v>43731</v>
      </c>
      <c r="AG488" s="34">
        <f>AF488-AE488</f>
        <v>-43731</v>
      </c>
      <c r="AH488" s="124"/>
      <c r="AU488" s="12"/>
    </row>
    <row r="489" spans="1:47">
      <c r="B489" s="85"/>
      <c r="C489" s="84"/>
      <c r="D489" s="84"/>
      <c r="E489" s="85"/>
      <c r="F489" s="59"/>
      <c r="G489" s="42"/>
      <c r="H489" s="51"/>
      <c r="I489" s="17"/>
      <c r="J489" s="371"/>
      <c r="K489" s="77"/>
      <c r="N489" s="365"/>
      <c r="W489" s="35"/>
      <c r="X489" s="100"/>
      <c r="Y489" s="14">
        <f>SUM(Y485:Y488)</f>
        <v>140</v>
      </c>
      <c r="Z489" s="46">
        <f>SUM(Z485:Z488)</f>
        <v>136.1</v>
      </c>
      <c r="AA489" s="16">
        <f>Y489-Z489</f>
        <v>3.9000000000000057</v>
      </c>
      <c r="AB489" s="66">
        <f>AA489/Z489</f>
        <v>2.8655400440852359E-2</v>
      </c>
      <c r="AC489" s="107"/>
      <c r="AD489" s="17"/>
      <c r="AG489" s="34"/>
      <c r="AH489" s="124"/>
      <c r="AU489" s="12"/>
    </row>
    <row r="490" spans="1:47">
      <c r="A490" s="135" t="s">
        <v>2552</v>
      </c>
      <c r="B490" s="96" t="s">
        <v>2331</v>
      </c>
      <c r="C490" s="96" t="s">
        <v>2332</v>
      </c>
      <c r="D490" s="96" t="s">
        <v>2333</v>
      </c>
      <c r="E490" s="96" t="s">
        <v>2334</v>
      </c>
      <c r="F490" s="9" t="s">
        <v>1709</v>
      </c>
      <c r="G490" s="26" t="s">
        <v>682</v>
      </c>
      <c r="H490" s="56" t="s">
        <v>578</v>
      </c>
      <c r="I490" s="1" t="s">
        <v>131</v>
      </c>
      <c r="J490" s="364" t="s">
        <v>2189</v>
      </c>
      <c r="K490" s="364" t="s">
        <v>1820</v>
      </c>
      <c r="L490" s="364" t="s">
        <v>515</v>
      </c>
      <c r="M490" s="364"/>
      <c r="N490" s="364" t="s">
        <v>1708</v>
      </c>
      <c r="V490" s="371" t="s">
        <v>1699</v>
      </c>
      <c r="W490" s="11" t="s">
        <v>127</v>
      </c>
      <c r="X490" s="71" t="s">
        <v>2231</v>
      </c>
      <c r="Y490" s="29" t="s">
        <v>3</v>
      </c>
      <c r="Z490" s="18" t="s">
        <v>2113</v>
      </c>
      <c r="AA490" s="15" t="s">
        <v>8</v>
      </c>
      <c r="AB490" s="22" t="s">
        <v>4</v>
      </c>
      <c r="AC490" s="26" t="s">
        <v>211</v>
      </c>
      <c r="AD490" s="1" t="s">
        <v>131</v>
      </c>
      <c r="AE490" s="75" t="s">
        <v>2114</v>
      </c>
      <c r="AF490" s="76" t="s">
        <v>1826</v>
      </c>
      <c r="AG490" s="33" t="s">
        <v>1827</v>
      </c>
    </row>
    <row r="491" spans="1:47" s="8" customFormat="1" ht="17.100000000000001" customHeight="1">
      <c r="A491" s="58"/>
      <c r="B491" s="85">
        <v>-5</v>
      </c>
      <c r="C491" s="85">
        <v>-17</v>
      </c>
      <c r="D491" s="85">
        <v>-5</v>
      </c>
      <c r="E491" s="85">
        <v>-17</v>
      </c>
      <c r="F491" s="59">
        <v>14.01</v>
      </c>
      <c r="G491" s="42" t="s">
        <v>132</v>
      </c>
      <c r="H491" s="9" t="s">
        <v>2119</v>
      </c>
      <c r="I491" s="23" t="s">
        <v>0</v>
      </c>
      <c r="J491" s="371">
        <v>81.69</v>
      </c>
      <c r="K491" s="371">
        <v>8.7899999999999991</v>
      </c>
      <c r="L491" s="77">
        <v>2.41</v>
      </c>
      <c r="M491" s="365"/>
      <c r="N491" s="365">
        <f>V491+K491+J491+L491</f>
        <v>114.17999999999999</v>
      </c>
      <c r="O491" s="343"/>
      <c r="P491" s="232"/>
      <c r="Q491" s="326"/>
      <c r="R491" s="111"/>
      <c r="S491" s="51"/>
      <c r="T491" s="339"/>
      <c r="U491" s="329"/>
      <c r="V491" s="371">
        <v>21.29</v>
      </c>
      <c r="W491" s="35">
        <v>0.4</v>
      </c>
      <c r="X491" s="100">
        <f>W491/Y491</f>
        <v>1.6736401673640169E-2</v>
      </c>
      <c r="Y491" s="14">
        <v>23.9</v>
      </c>
      <c r="Z491" s="69">
        <f>23.88-0.7-0.4-0.4</f>
        <v>22.380000000000003</v>
      </c>
      <c r="AA491" s="16">
        <f>Y491-Z491</f>
        <v>1.519999999999996</v>
      </c>
      <c r="AB491" s="66">
        <f>AA491/Z491</f>
        <v>6.7917783735477924E-2</v>
      </c>
      <c r="AC491" s="136" t="s">
        <v>2415</v>
      </c>
      <c r="AD491" s="23" t="s">
        <v>0</v>
      </c>
      <c r="AE491" s="89">
        <v>42800</v>
      </c>
      <c r="AF491" s="88"/>
      <c r="AG491" s="34">
        <f>AF491-AE491</f>
        <v>-42800</v>
      </c>
      <c r="AH491" s="42" t="s">
        <v>1790</v>
      </c>
      <c r="AI491" s="52"/>
      <c r="AJ491" s="19"/>
      <c r="AK491" s="284"/>
      <c r="AL491" s="284"/>
      <c r="AM491" s="284"/>
      <c r="AN491" s="284"/>
      <c r="AO491" s="284"/>
      <c r="AP491" s="284"/>
      <c r="AQ491" s="284"/>
      <c r="AR491" s="284"/>
      <c r="AS491" s="284"/>
      <c r="AT491" s="284"/>
    </row>
    <row r="492" spans="1:47">
      <c r="A492" s="124"/>
      <c r="B492" s="84">
        <v>2</v>
      </c>
      <c r="C492" s="85">
        <v>-30</v>
      </c>
      <c r="D492" s="84">
        <v>2</v>
      </c>
      <c r="E492" s="85">
        <v>-30</v>
      </c>
      <c r="F492" s="59">
        <v>10.220000000000001</v>
      </c>
      <c r="G492" s="42" t="s">
        <v>132</v>
      </c>
      <c r="H492" s="51" t="s">
        <v>2120</v>
      </c>
      <c r="I492" s="23" t="s">
        <v>0</v>
      </c>
      <c r="J492" s="77">
        <v>81.91</v>
      </c>
      <c r="K492" s="371">
        <v>8.74</v>
      </c>
      <c r="L492" s="371">
        <v>2.2599999999999998</v>
      </c>
      <c r="N492" s="365">
        <f>V492+K492+J492+L492</f>
        <v>114.2</v>
      </c>
      <c r="V492" s="371">
        <v>21.29</v>
      </c>
      <c r="W492" s="35">
        <v>0.4</v>
      </c>
      <c r="X492" s="100">
        <f>W492/Y492</f>
        <v>1.6736401673640169E-2</v>
      </c>
      <c r="Y492" s="37">
        <v>23.9</v>
      </c>
      <c r="Z492" s="69">
        <v>21.4</v>
      </c>
      <c r="AA492" s="16">
        <f>Y492-Z492</f>
        <v>2.5</v>
      </c>
      <c r="AB492" s="66">
        <f>AA492/Z492</f>
        <v>0.11682242990654207</v>
      </c>
      <c r="AC492" s="119" t="s">
        <v>2427</v>
      </c>
      <c r="AD492" s="23" t="s">
        <v>0</v>
      </c>
      <c r="AE492" s="89">
        <v>43705</v>
      </c>
      <c r="AG492" s="34">
        <f>AF492-AE492</f>
        <v>-43705</v>
      </c>
      <c r="AH492" s="124" t="s">
        <v>1790</v>
      </c>
      <c r="AI492" s="284"/>
    </row>
    <row r="493" spans="1:47" s="8" customFormat="1" ht="17.100000000000001" customHeight="1">
      <c r="A493" s="58"/>
      <c r="B493" s="85"/>
      <c r="C493" s="85"/>
      <c r="D493" s="85"/>
      <c r="E493" s="85"/>
      <c r="F493" s="59"/>
      <c r="G493" s="42"/>
      <c r="H493" s="9"/>
      <c r="I493" s="23"/>
      <c r="J493" s="371"/>
      <c r="K493" s="371"/>
      <c r="L493" s="77"/>
      <c r="M493" s="365"/>
      <c r="N493" s="365"/>
      <c r="O493" s="343"/>
      <c r="P493" s="232"/>
      <c r="Q493" s="326"/>
      <c r="R493" s="111"/>
      <c r="S493" s="51"/>
      <c r="T493" s="339"/>
      <c r="U493" s="329"/>
      <c r="V493" s="371"/>
      <c r="W493" s="35"/>
      <c r="X493" s="100"/>
      <c r="Y493" s="14">
        <f>SUM(Y491:Y492)</f>
        <v>47.8</v>
      </c>
      <c r="Z493" s="46">
        <f>SUM(Z491:Z492)</f>
        <v>43.78</v>
      </c>
      <c r="AA493" s="16">
        <f>Y493-Z493</f>
        <v>4.019999999999996</v>
      </c>
      <c r="AB493" s="66">
        <f>AA493/Z493</f>
        <v>9.1822750114207305E-2</v>
      </c>
      <c r="AC493" s="120"/>
      <c r="AD493" s="23"/>
      <c r="AE493" s="89"/>
      <c r="AF493" s="88"/>
      <c r="AG493" s="34"/>
      <c r="AH493" s="124"/>
      <c r="AI493" s="52"/>
      <c r="AJ493" s="19"/>
      <c r="AK493" s="284"/>
      <c r="AL493" s="284"/>
      <c r="AM493" s="284"/>
      <c r="AN493" s="284"/>
      <c r="AO493" s="284"/>
      <c r="AP493" s="284"/>
      <c r="AQ493" s="284"/>
      <c r="AR493" s="284"/>
      <c r="AS493" s="284"/>
      <c r="AT493" s="284"/>
    </row>
    <row r="494" spans="1:47">
      <c r="A494" s="135" t="s">
        <v>2552</v>
      </c>
      <c r="B494" s="96" t="s">
        <v>2331</v>
      </c>
      <c r="C494" s="96" t="s">
        <v>2332</v>
      </c>
      <c r="D494" s="96" t="s">
        <v>2333</v>
      </c>
      <c r="E494" s="96" t="s">
        <v>2334</v>
      </c>
      <c r="F494" s="9" t="s">
        <v>1709</v>
      </c>
      <c r="G494" s="26" t="s">
        <v>682</v>
      </c>
      <c r="H494" s="56" t="s">
        <v>578</v>
      </c>
      <c r="I494" s="1" t="s">
        <v>131</v>
      </c>
      <c r="J494" s="364" t="s">
        <v>2189</v>
      </c>
      <c r="K494" s="364" t="s">
        <v>1820</v>
      </c>
      <c r="L494" s="364" t="s">
        <v>515</v>
      </c>
      <c r="M494" s="364"/>
      <c r="N494" s="364" t="s">
        <v>1708</v>
      </c>
      <c r="V494" s="371" t="s">
        <v>1699</v>
      </c>
      <c r="W494" s="11" t="s">
        <v>127</v>
      </c>
      <c r="X494" s="71" t="s">
        <v>2231</v>
      </c>
      <c r="Y494" s="29" t="s">
        <v>3</v>
      </c>
      <c r="Z494" s="18" t="s">
        <v>2113</v>
      </c>
      <c r="AA494" s="15" t="s">
        <v>8</v>
      </c>
      <c r="AB494" s="22" t="s">
        <v>4</v>
      </c>
      <c r="AC494" s="26" t="s">
        <v>211</v>
      </c>
      <c r="AD494" s="1" t="s">
        <v>131</v>
      </c>
      <c r="AE494" s="75" t="s">
        <v>2114</v>
      </c>
      <c r="AF494" s="76" t="s">
        <v>1826</v>
      </c>
      <c r="AG494" s="33" t="s">
        <v>1827</v>
      </c>
      <c r="AH494" s="47" t="s">
        <v>2338</v>
      </c>
    </row>
    <row r="495" spans="1:47">
      <c r="B495" s="85"/>
      <c r="C495" s="85"/>
      <c r="D495" s="85"/>
      <c r="E495" s="85"/>
      <c r="F495" s="7"/>
      <c r="G495" s="42" t="s">
        <v>62</v>
      </c>
      <c r="H495" s="31"/>
      <c r="I495" s="23" t="s">
        <v>26</v>
      </c>
      <c r="J495" s="371"/>
      <c r="K495" s="77"/>
      <c r="L495" s="371"/>
      <c r="N495" s="365"/>
      <c r="W495" s="35"/>
      <c r="X495" s="100"/>
      <c r="Y495" s="14">
        <v>197.4</v>
      </c>
      <c r="Z495" s="46">
        <v>189.1</v>
      </c>
      <c r="AA495" s="16">
        <f t="shared" ref="AA495:AA500" si="325">Y495-Z495</f>
        <v>8.3000000000000114</v>
      </c>
      <c r="AB495" s="66">
        <f t="shared" ref="AB495:AB500" si="326">AA495/Z495</f>
        <v>4.3892120571126451E-2</v>
      </c>
      <c r="AC495" s="119"/>
      <c r="AD495" s="23" t="s">
        <v>26</v>
      </c>
      <c r="AF495" s="88">
        <v>43733</v>
      </c>
      <c r="AG495" s="34">
        <f>AF495-AE495</f>
        <v>43733</v>
      </c>
      <c r="AH495" s="124"/>
    </row>
    <row r="496" spans="1:47">
      <c r="B496" s="84"/>
      <c r="C496" s="98"/>
      <c r="D496" s="84"/>
      <c r="E496" s="98"/>
      <c r="F496" s="59"/>
      <c r="G496" s="42" t="s">
        <v>610</v>
      </c>
      <c r="H496" s="9"/>
      <c r="I496" s="23" t="s">
        <v>611</v>
      </c>
      <c r="J496" s="371"/>
      <c r="K496" s="77"/>
      <c r="L496" s="371"/>
      <c r="N496" s="365"/>
      <c r="W496" s="35"/>
      <c r="X496" s="100"/>
      <c r="Y496" s="14">
        <v>80.099999999999994</v>
      </c>
      <c r="Z496" s="46">
        <v>78.260000000000005</v>
      </c>
      <c r="AA496" s="16">
        <f t="shared" si="325"/>
        <v>1.8399999999999892</v>
      </c>
      <c r="AB496" s="66">
        <f t="shared" si="326"/>
        <v>2.351137234858151E-2</v>
      </c>
      <c r="AC496" s="120"/>
      <c r="AD496" s="23" t="s">
        <v>611</v>
      </c>
      <c r="AF496" s="88">
        <v>43724</v>
      </c>
      <c r="AG496" s="34">
        <f>AF496-AE496</f>
        <v>43724</v>
      </c>
      <c r="AH496" s="124"/>
      <c r="AK496" s="12"/>
      <c r="AL496" s="12"/>
      <c r="AM496" s="12"/>
      <c r="AN496" s="12"/>
      <c r="AQ496" s="8"/>
      <c r="AR496" s="32"/>
      <c r="AS496" s="8"/>
      <c r="AT496" s="8"/>
    </row>
    <row r="497" spans="1:46">
      <c r="B497" s="85"/>
      <c r="C497" s="85"/>
      <c r="D497" s="85"/>
      <c r="E497" s="85"/>
      <c r="F497" s="7"/>
      <c r="G497" s="42" t="s">
        <v>573</v>
      </c>
      <c r="H497" s="31"/>
      <c r="I497" s="23" t="s">
        <v>574</v>
      </c>
      <c r="J497" s="371"/>
      <c r="K497" s="371"/>
      <c r="L497" s="371"/>
      <c r="N497" s="365"/>
      <c r="W497" s="35"/>
      <c r="X497" s="100"/>
      <c r="Y497" s="14">
        <v>135.6</v>
      </c>
      <c r="Z497" s="46">
        <v>133.6</v>
      </c>
      <c r="AA497" s="16">
        <f t="shared" si="325"/>
        <v>2</v>
      </c>
      <c r="AB497" s="66">
        <f t="shared" si="326"/>
        <v>1.4970059880239521E-2</v>
      </c>
      <c r="AC497" s="120"/>
      <c r="AD497" s="23" t="s">
        <v>574</v>
      </c>
      <c r="AF497" s="88">
        <v>43724</v>
      </c>
      <c r="AG497" s="34">
        <f>AF497-AE497</f>
        <v>43724</v>
      </c>
      <c r="AH497" s="124"/>
    </row>
    <row r="498" spans="1:46">
      <c r="B498" s="85"/>
      <c r="C498" s="85"/>
      <c r="D498" s="85"/>
      <c r="E498" s="85"/>
      <c r="F498" s="7"/>
      <c r="G498" s="42" t="s">
        <v>1710</v>
      </c>
      <c r="H498" s="31"/>
      <c r="I498" s="23" t="s">
        <v>217</v>
      </c>
      <c r="J498" s="371"/>
      <c r="K498" s="371"/>
      <c r="L498" s="371"/>
      <c r="N498" s="365"/>
      <c r="W498" s="35"/>
      <c r="X498" s="100"/>
      <c r="Y498" s="14">
        <v>147.5</v>
      </c>
      <c r="Z498" s="46">
        <v>140.85</v>
      </c>
      <c r="AA498" s="16">
        <f t="shared" si="325"/>
        <v>6.6500000000000057</v>
      </c>
      <c r="AB498" s="66">
        <f t="shared" si="326"/>
        <v>4.7213347532836396E-2</v>
      </c>
      <c r="AC498" s="119"/>
      <c r="AD498" s="23" t="s">
        <v>217</v>
      </c>
      <c r="AF498" s="88">
        <v>43724</v>
      </c>
      <c r="AG498" s="34">
        <f>AF498-AE498</f>
        <v>43724</v>
      </c>
      <c r="AH498" s="124"/>
    </row>
    <row r="499" spans="1:46" s="8" customFormat="1" ht="17.100000000000001" customHeight="1">
      <c r="A499" s="42"/>
      <c r="B499" s="85"/>
      <c r="C499" s="85"/>
      <c r="D499" s="85"/>
      <c r="E499" s="85"/>
      <c r="F499" s="7"/>
      <c r="G499" s="42" t="s">
        <v>601</v>
      </c>
      <c r="H499" s="9"/>
      <c r="I499" s="23" t="s">
        <v>123</v>
      </c>
      <c r="J499" s="77"/>
      <c r="K499" s="371"/>
      <c r="L499" s="77"/>
      <c r="M499" s="365"/>
      <c r="N499" s="365"/>
      <c r="O499" s="343"/>
      <c r="P499" s="232"/>
      <c r="Q499" s="326"/>
      <c r="R499" s="111"/>
      <c r="S499" s="51"/>
      <c r="T499" s="339"/>
      <c r="U499" s="329"/>
      <c r="V499" s="371"/>
      <c r="W499" s="35"/>
      <c r="X499" s="100"/>
      <c r="Y499" s="14">
        <v>135.80000000000001</v>
      </c>
      <c r="Z499" s="46">
        <v>133.85</v>
      </c>
      <c r="AA499" s="16">
        <f t="shared" si="325"/>
        <v>1.9500000000000171</v>
      </c>
      <c r="AB499" s="66">
        <f t="shared" si="326"/>
        <v>1.4568546880836886E-2</v>
      </c>
      <c r="AC499" s="121"/>
      <c r="AD499" s="23" t="s">
        <v>123</v>
      </c>
      <c r="AE499" s="89"/>
      <c r="AF499" s="88">
        <v>43724</v>
      </c>
      <c r="AG499" s="143">
        <f>AF499-AE499</f>
        <v>43724</v>
      </c>
      <c r="AH499" s="124"/>
      <c r="AI499" s="28"/>
      <c r="AJ499" s="18"/>
      <c r="AK499" s="12"/>
      <c r="AL499" s="12"/>
      <c r="AM499" s="12"/>
      <c r="AN499" s="12"/>
      <c r="AO499" s="284"/>
      <c r="AP499" s="284"/>
      <c r="AR499" s="4"/>
      <c r="AS499" s="284"/>
      <c r="AT499" s="284"/>
    </row>
    <row r="500" spans="1:46" s="8" customFormat="1" ht="17.100000000000001" customHeight="1">
      <c r="A500" s="42"/>
      <c r="B500" s="85"/>
      <c r="C500" s="85"/>
      <c r="D500" s="85"/>
      <c r="E500" s="85"/>
      <c r="F500" s="7"/>
      <c r="G500" s="42"/>
      <c r="H500" s="9"/>
      <c r="I500" s="23"/>
      <c r="J500" s="77"/>
      <c r="K500" s="371"/>
      <c r="L500" s="77"/>
      <c r="M500" s="365"/>
      <c r="N500" s="365"/>
      <c r="O500" s="343"/>
      <c r="P500" s="232"/>
      <c r="Q500" s="326"/>
      <c r="R500" s="111"/>
      <c r="S500" s="51"/>
      <c r="T500" s="339"/>
      <c r="U500" s="329"/>
      <c r="V500" s="371"/>
      <c r="W500" s="35"/>
      <c r="X500" s="100"/>
      <c r="Y500" s="14">
        <f>SUM(Y495:Y499)</f>
        <v>696.40000000000009</v>
      </c>
      <c r="Z500" s="46">
        <f>SUM(Z495:Z499)</f>
        <v>675.66000000000008</v>
      </c>
      <c r="AA500" s="16">
        <f t="shared" si="325"/>
        <v>20.740000000000009</v>
      </c>
      <c r="AB500" s="66">
        <f t="shared" si="326"/>
        <v>3.0695912145161777E-2</v>
      </c>
      <c r="AC500" s="121"/>
      <c r="AD500" s="23"/>
      <c r="AE500" s="89"/>
      <c r="AF500" s="88"/>
      <c r="AG500" s="143"/>
      <c r="AH500" s="124"/>
      <c r="AI500" s="28"/>
      <c r="AJ500" s="18"/>
      <c r="AK500" s="12"/>
      <c r="AL500" s="12"/>
      <c r="AM500" s="12"/>
      <c r="AN500" s="12"/>
      <c r="AO500" s="284"/>
      <c r="AP500" s="284"/>
      <c r="AR500" s="4"/>
      <c r="AS500" s="284"/>
      <c r="AT500" s="284"/>
    </row>
    <row r="501" spans="1:46">
      <c r="A501" s="135" t="s">
        <v>2552</v>
      </c>
      <c r="B501" s="96" t="s">
        <v>2331</v>
      </c>
      <c r="C501" s="96" t="s">
        <v>2332</v>
      </c>
      <c r="D501" s="96" t="s">
        <v>2333</v>
      </c>
      <c r="E501" s="96" t="s">
        <v>2334</v>
      </c>
      <c r="F501" s="9" t="s">
        <v>1709</v>
      </c>
      <c r="G501" s="26" t="s">
        <v>682</v>
      </c>
      <c r="H501" s="56" t="s">
        <v>578</v>
      </c>
      <c r="I501" s="1" t="s">
        <v>131</v>
      </c>
      <c r="J501" s="364" t="s">
        <v>2189</v>
      </c>
      <c r="K501" s="364" t="s">
        <v>1820</v>
      </c>
      <c r="L501" s="364" t="s">
        <v>515</v>
      </c>
      <c r="M501" s="364"/>
      <c r="N501" s="364" t="s">
        <v>1708</v>
      </c>
      <c r="V501" s="371" t="s">
        <v>1699</v>
      </c>
      <c r="W501" s="11" t="s">
        <v>127</v>
      </c>
      <c r="X501" s="71" t="s">
        <v>2231</v>
      </c>
      <c r="Y501" s="29" t="s">
        <v>3</v>
      </c>
      <c r="Z501" s="18" t="s">
        <v>2113</v>
      </c>
      <c r="AA501" s="15" t="s">
        <v>8</v>
      </c>
      <c r="AB501" s="22" t="s">
        <v>4</v>
      </c>
      <c r="AC501" s="26" t="s">
        <v>211</v>
      </c>
      <c r="AD501" s="1" t="s">
        <v>131</v>
      </c>
      <c r="AE501" s="75" t="s">
        <v>2114</v>
      </c>
      <c r="AF501" s="76" t="s">
        <v>1826</v>
      </c>
      <c r="AG501" s="33" t="s">
        <v>1827</v>
      </c>
      <c r="AH501" s="47" t="s">
        <v>2378</v>
      </c>
    </row>
    <row r="502" spans="1:46">
      <c r="B502" s="84">
        <v>80</v>
      </c>
      <c r="C502" s="84">
        <v>78</v>
      </c>
      <c r="D502" s="84">
        <v>80</v>
      </c>
      <c r="E502" s="84">
        <v>78</v>
      </c>
      <c r="F502" s="59">
        <v>26.24</v>
      </c>
      <c r="G502" s="42" t="s">
        <v>1691</v>
      </c>
      <c r="H502" s="31" t="s">
        <v>2191</v>
      </c>
      <c r="I502" s="17" t="s">
        <v>158</v>
      </c>
      <c r="J502" s="371">
        <v>51.77</v>
      </c>
      <c r="K502" s="371">
        <v>3.39</v>
      </c>
      <c r="L502" s="371">
        <v>27.29</v>
      </c>
      <c r="N502" s="365">
        <f>V502+K502+J502+L502</f>
        <v>127.50999999999999</v>
      </c>
      <c r="V502" s="371">
        <v>45.06</v>
      </c>
      <c r="W502" s="35">
        <v>4.3</v>
      </c>
      <c r="X502" s="59">
        <f>W502/Y502</f>
        <v>7.5438596491228069E-2</v>
      </c>
      <c r="Y502" s="14">
        <v>57</v>
      </c>
      <c r="Z502" s="46">
        <v>63.1</v>
      </c>
      <c r="AA502" s="16">
        <f t="shared" ref="AA502:AA507" si="327">Y502-Z502</f>
        <v>-6.1000000000000014</v>
      </c>
      <c r="AB502" s="66">
        <f t="shared" ref="AB502:AB507" si="328">AA502/Z502</f>
        <v>-9.667194928684629E-2</v>
      </c>
      <c r="AC502" s="119" t="s">
        <v>2379</v>
      </c>
      <c r="AD502" s="17" t="s">
        <v>158</v>
      </c>
      <c r="AE502" s="89">
        <v>43677</v>
      </c>
      <c r="AF502" s="88">
        <v>43734</v>
      </c>
      <c r="AG502" s="34">
        <f>AF502-AE502</f>
        <v>57</v>
      </c>
      <c r="AH502" s="124" t="s">
        <v>2243</v>
      </c>
    </row>
    <row r="503" spans="1:46" ht="16.5" customHeight="1">
      <c r="A503" s="124"/>
      <c r="B503" s="85">
        <v>-26</v>
      </c>
      <c r="C503" s="85">
        <v>-18</v>
      </c>
      <c r="D503" s="85">
        <v>-26</v>
      </c>
      <c r="E503" s="85">
        <v>-18</v>
      </c>
      <c r="F503" s="59">
        <v>23.76</v>
      </c>
      <c r="G503" s="42" t="s">
        <v>1691</v>
      </c>
      <c r="H503" s="31" t="s">
        <v>2191</v>
      </c>
      <c r="I503" s="17" t="s">
        <v>158</v>
      </c>
      <c r="J503" s="371">
        <v>49.47</v>
      </c>
      <c r="K503" s="371">
        <v>2.89</v>
      </c>
      <c r="L503" s="77">
        <v>29.22</v>
      </c>
      <c r="N503" s="365">
        <f>V503+K503+J503+L503</f>
        <v>126.67</v>
      </c>
      <c r="V503" s="371">
        <v>45.09</v>
      </c>
      <c r="W503" s="35">
        <v>4.3</v>
      </c>
      <c r="X503" s="59">
        <f>W503/Y503</f>
        <v>7.5438596491228069E-2</v>
      </c>
      <c r="Y503" s="37">
        <v>57</v>
      </c>
      <c r="Z503" s="46">
        <v>56.2</v>
      </c>
      <c r="AA503" s="16">
        <f t="shared" si="327"/>
        <v>0.79999999999999716</v>
      </c>
      <c r="AB503" s="66">
        <f t="shared" si="328"/>
        <v>1.4234875444839807E-2</v>
      </c>
      <c r="AC503" s="119" t="s">
        <v>2380</v>
      </c>
      <c r="AD503" s="17" t="s">
        <v>158</v>
      </c>
      <c r="AE503" s="89">
        <v>43710</v>
      </c>
      <c r="AF503" s="88">
        <v>43734</v>
      </c>
      <c r="AG503" s="34">
        <f>AF503-AE503</f>
        <v>24</v>
      </c>
      <c r="AH503" s="124"/>
      <c r="AI503" s="284"/>
    </row>
    <row r="504" spans="1:46" ht="16.5" customHeight="1">
      <c r="A504" s="124"/>
      <c r="B504" s="85">
        <v>-26</v>
      </c>
      <c r="C504" s="85">
        <v>-18</v>
      </c>
      <c r="D504" s="85">
        <v>-26</v>
      </c>
      <c r="E504" s="85">
        <v>-18</v>
      </c>
      <c r="F504" s="59">
        <v>23.76</v>
      </c>
      <c r="G504" s="42" t="s">
        <v>1691</v>
      </c>
      <c r="H504" s="51" t="s">
        <v>2120</v>
      </c>
      <c r="I504" s="17" t="s">
        <v>158</v>
      </c>
      <c r="J504" s="371">
        <v>49.47</v>
      </c>
      <c r="K504" s="371">
        <v>2.89</v>
      </c>
      <c r="L504" s="77">
        <v>29.22</v>
      </c>
      <c r="N504" s="365">
        <f>V504+K504+J504+L504</f>
        <v>126.67</v>
      </c>
      <c r="V504" s="371">
        <v>45.09</v>
      </c>
      <c r="W504" s="35">
        <v>4.3</v>
      </c>
      <c r="X504" s="59">
        <f>W504/Y504</f>
        <v>7.5174825174825169E-2</v>
      </c>
      <c r="Y504" s="37">
        <v>57.2</v>
      </c>
      <c r="Z504" s="46">
        <v>56.2</v>
      </c>
      <c r="AA504" s="16">
        <f t="shared" si="327"/>
        <v>1</v>
      </c>
      <c r="AB504" s="66">
        <f t="shared" si="328"/>
        <v>1.779359430604982E-2</v>
      </c>
      <c r="AC504" s="119" t="s">
        <v>2381</v>
      </c>
      <c r="AD504" s="17" t="s">
        <v>158</v>
      </c>
      <c r="AE504" s="89">
        <v>43710</v>
      </c>
      <c r="AF504" s="88">
        <v>43734</v>
      </c>
      <c r="AG504" s="34">
        <f>AF504-AE504</f>
        <v>24</v>
      </c>
      <c r="AH504" s="124" t="s">
        <v>2377</v>
      </c>
      <c r="AI504" s="284"/>
    </row>
    <row r="505" spans="1:46" ht="16.5" customHeight="1">
      <c r="A505" s="124"/>
      <c r="B505" s="85">
        <v>-26</v>
      </c>
      <c r="C505" s="85">
        <v>-18</v>
      </c>
      <c r="D505" s="84">
        <v>2</v>
      </c>
      <c r="E505" s="85">
        <v>-51</v>
      </c>
      <c r="F505" s="59">
        <v>23.76</v>
      </c>
      <c r="G505" s="42" t="s">
        <v>1691</v>
      </c>
      <c r="H505" s="51" t="s">
        <v>2120</v>
      </c>
      <c r="I505" s="17" t="s">
        <v>158</v>
      </c>
      <c r="J505" s="371">
        <v>49.7</v>
      </c>
      <c r="K505" s="371">
        <v>2.59</v>
      </c>
      <c r="L505" s="77">
        <v>28.97</v>
      </c>
      <c r="N505" s="365">
        <f>V505+K505+J505+L505</f>
        <v>126.32000000000001</v>
      </c>
      <c r="V505" s="371">
        <v>45.06</v>
      </c>
      <c r="W505" s="35">
        <v>4.3</v>
      </c>
      <c r="X505" s="59">
        <f>W505/Y505</f>
        <v>7.5174825174825169E-2</v>
      </c>
      <c r="Y505" s="37">
        <v>57.2</v>
      </c>
      <c r="Z505" s="46">
        <v>54.4</v>
      </c>
      <c r="AA505" s="16">
        <f t="shared" si="327"/>
        <v>2.8000000000000043</v>
      </c>
      <c r="AB505" s="66">
        <f t="shared" si="328"/>
        <v>5.1470588235294198E-2</v>
      </c>
      <c r="AC505" s="119" t="s">
        <v>2382</v>
      </c>
      <c r="AD505" s="17" t="s">
        <v>158</v>
      </c>
      <c r="AE505" s="89">
        <v>43727</v>
      </c>
      <c r="AF505" s="88">
        <v>43734</v>
      </c>
      <c r="AG505" s="34">
        <f>AF505-AE505</f>
        <v>7</v>
      </c>
      <c r="AH505" s="124"/>
      <c r="AI505" s="284"/>
    </row>
    <row r="506" spans="1:46" ht="16.5" customHeight="1">
      <c r="A506" s="124"/>
      <c r="B506" s="85">
        <v>-26</v>
      </c>
      <c r="C506" s="85">
        <v>-18</v>
      </c>
      <c r="D506" s="84">
        <v>2</v>
      </c>
      <c r="E506" s="85">
        <v>-51</v>
      </c>
      <c r="F506" s="59">
        <v>23.76</v>
      </c>
      <c r="G506" s="42" t="s">
        <v>1691</v>
      </c>
      <c r="H506" s="51" t="s">
        <v>2120</v>
      </c>
      <c r="I506" s="17" t="s">
        <v>158</v>
      </c>
      <c r="J506" s="371">
        <v>49.7</v>
      </c>
      <c r="K506" s="371">
        <v>2.59</v>
      </c>
      <c r="L506" s="77">
        <v>28.97</v>
      </c>
      <c r="N506" s="365">
        <f>V506+K506+J506+L506</f>
        <v>126.32000000000001</v>
      </c>
      <c r="V506" s="371">
        <v>45.06</v>
      </c>
      <c r="W506" s="35">
        <v>4.3</v>
      </c>
      <c r="X506" s="59">
        <f>W506/Y506</f>
        <v>7.5174825174825169E-2</v>
      </c>
      <c r="Y506" s="37">
        <v>57.2</v>
      </c>
      <c r="Z506" s="46">
        <v>54.1</v>
      </c>
      <c r="AA506" s="16">
        <f t="shared" si="327"/>
        <v>3.1000000000000014</v>
      </c>
      <c r="AB506" s="66">
        <f t="shared" si="328"/>
        <v>5.7301293900184867E-2</v>
      </c>
      <c r="AC506" s="119" t="s">
        <v>2383</v>
      </c>
      <c r="AD506" s="17" t="s">
        <v>158</v>
      </c>
      <c r="AE506" s="89">
        <v>43733</v>
      </c>
      <c r="AF506" s="88">
        <v>43734</v>
      </c>
      <c r="AG506" s="34">
        <f>AF506-AE506</f>
        <v>1</v>
      </c>
      <c r="AH506" s="124"/>
      <c r="AI506" s="284"/>
    </row>
    <row r="507" spans="1:46">
      <c r="B507" s="84"/>
      <c r="C507" s="84"/>
      <c r="D507" s="84"/>
      <c r="E507" s="84"/>
      <c r="F507" s="59"/>
      <c r="G507" s="42"/>
      <c r="H507" s="31"/>
      <c r="I507" s="17"/>
      <c r="J507" s="371"/>
      <c r="K507" s="77"/>
      <c r="N507" s="365"/>
      <c r="W507" s="35"/>
      <c r="X507" s="59"/>
      <c r="Y507" s="14">
        <f>SUM(Y502:Y506)</f>
        <v>285.59999999999997</v>
      </c>
      <c r="Z507" s="46">
        <f>SUM(Z502:Z506)</f>
        <v>284</v>
      </c>
      <c r="AA507" s="16">
        <f t="shared" si="327"/>
        <v>1.5999999999999659</v>
      </c>
      <c r="AB507" s="66">
        <f t="shared" si="328"/>
        <v>5.6338028169012882E-3</v>
      </c>
      <c r="AC507" s="119"/>
      <c r="AD507" s="17"/>
      <c r="AG507" s="34"/>
      <c r="AH507" s="124"/>
    </row>
    <row r="508" spans="1:46">
      <c r="A508" s="135" t="s">
        <v>2552</v>
      </c>
      <c r="B508" s="96" t="s">
        <v>2331</v>
      </c>
      <c r="C508" s="96" t="s">
        <v>2332</v>
      </c>
      <c r="D508" s="96" t="s">
        <v>2333</v>
      </c>
      <c r="E508" s="96" t="s">
        <v>2334</v>
      </c>
      <c r="F508" s="9" t="s">
        <v>1709</v>
      </c>
      <c r="G508" s="26" t="s">
        <v>682</v>
      </c>
      <c r="H508" s="56" t="s">
        <v>578</v>
      </c>
      <c r="I508" s="1" t="s">
        <v>131</v>
      </c>
      <c r="J508" s="364" t="s">
        <v>2189</v>
      </c>
      <c r="K508" s="364" t="s">
        <v>1820</v>
      </c>
      <c r="L508" s="364" t="s">
        <v>515</v>
      </c>
      <c r="M508" s="364"/>
      <c r="N508" s="364" t="s">
        <v>1708</v>
      </c>
      <c r="V508" s="371" t="s">
        <v>1699</v>
      </c>
      <c r="W508" s="11" t="s">
        <v>127</v>
      </c>
      <c r="X508" s="71" t="s">
        <v>2231</v>
      </c>
      <c r="Y508" s="29" t="s">
        <v>3</v>
      </c>
      <c r="Z508" s="18" t="s">
        <v>2113</v>
      </c>
      <c r="AA508" s="15" t="s">
        <v>8</v>
      </c>
      <c r="AB508" s="22" t="s">
        <v>4</v>
      </c>
      <c r="AC508" s="26" t="s">
        <v>211</v>
      </c>
      <c r="AD508" s="1" t="s">
        <v>131</v>
      </c>
      <c r="AE508" s="75" t="s">
        <v>2114</v>
      </c>
      <c r="AF508" s="76" t="s">
        <v>1826</v>
      </c>
      <c r="AG508" s="33" t="s">
        <v>1827</v>
      </c>
    </row>
    <row r="509" spans="1:46">
      <c r="B509" s="85">
        <v>0</v>
      </c>
      <c r="C509" s="85">
        <v>-49</v>
      </c>
      <c r="D509" s="85">
        <v>0</v>
      </c>
      <c r="E509" s="85">
        <v>-49</v>
      </c>
      <c r="F509" s="7">
        <v>3.54</v>
      </c>
      <c r="G509" s="42" t="s">
        <v>62</v>
      </c>
      <c r="H509" s="31" t="s">
        <v>2191</v>
      </c>
      <c r="I509" s="23" t="s">
        <v>26</v>
      </c>
      <c r="J509" s="371">
        <v>67.58</v>
      </c>
      <c r="K509" s="77">
        <v>28.12</v>
      </c>
      <c r="L509" s="371">
        <v>1.84</v>
      </c>
      <c r="N509" s="365">
        <f>V509+K509+J509+L509</f>
        <v>103.6</v>
      </c>
      <c r="V509" s="371">
        <v>6.06</v>
      </c>
      <c r="W509" s="35">
        <v>3.2</v>
      </c>
      <c r="X509" s="100">
        <f>W509/Y509</f>
        <v>4.8632218844984809E-2</v>
      </c>
      <c r="Y509" s="37">
        <v>65.8</v>
      </c>
      <c r="Z509" s="69">
        <v>62.3</v>
      </c>
      <c r="AA509" s="16">
        <f>Y509-Z509</f>
        <v>3.5</v>
      </c>
      <c r="AB509" s="66">
        <f>AA509/Z509</f>
        <v>5.6179775280898882E-2</v>
      </c>
      <c r="AC509" s="119" t="s">
        <v>2208</v>
      </c>
      <c r="AD509" s="23" t="s">
        <v>26</v>
      </c>
      <c r="AE509" s="89">
        <v>43696</v>
      </c>
      <c r="AF509" s="88">
        <v>43733</v>
      </c>
      <c r="AG509" s="34">
        <f>AF509-AE509</f>
        <v>37</v>
      </c>
      <c r="AH509" s="124" t="s">
        <v>2359</v>
      </c>
    </row>
    <row r="510" spans="1:46">
      <c r="A510" s="152"/>
      <c r="B510" s="85">
        <v>0</v>
      </c>
      <c r="C510" s="85">
        <v>-49</v>
      </c>
      <c r="D510" s="85">
        <v>0</v>
      </c>
      <c r="E510" s="85">
        <v>-49</v>
      </c>
      <c r="F510" s="7">
        <v>3.54</v>
      </c>
      <c r="G510" s="42" t="s">
        <v>62</v>
      </c>
      <c r="H510" s="31" t="s">
        <v>2191</v>
      </c>
      <c r="I510" s="23" t="s">
        <v>26</v>
      </c>
      <c r="J510" s="77">
        <v>67.62</v>
      </c>
      <c r="K510" s="371">
        <v>28.28</v>
      </c>
      <c r="L510" s="371">
        <v>1.84</v>
      </c>
      <c r="N510" s="365">
        <f>V510+K510+J510+L510</f>
        <v>103.80000000000001</v>
      </c>
      <c r="V510" s="371">
        <v>6.06</v>
      </c>
      <c r="W510" s="35">
        <v>3.2</v>
      </c>
      <c r="X510" s="100">
        <f>W510/Y510</f>
        <v>4.8632218844984809E-2</v>
      </c>
      <c r="Y510" s="37">
        <v>65.8</v>
      </c>
      <c r="Z510" s="69">
        <v>63.4</v>
      </c>
      <c r="AA510" s="16">
        <f>Y510-Z510</f>
        <v>2.3999999999999986</v>
      </c>
      <c r="AB510" s="66">
        <f>AA510/Z510</f>
        <v>3.7854889589905343E-2</v>
      </c>
      <c r="AC510" s="119" t="s">
        <v>2213</v>
      </c>
      <c r="AD510" s="23" t="s">
        <v>26</v>
      </c>
      <c r="AE510" s="89">
        <v>43710</v>
      </c>
      <c r="AF510" s="88">
        <v>43733</v>
      </c>
      <c r="AG510" s="34">
        <f>AF510-AE510</f>
        <v>23</v>
      </c>
      <c r="AH510" s="124"/>
      <c r="AI510" s="284"/>
    </row>
    <row r="511" spans="1:46">
      <c r="A511" s="152"/>
      <c r="B511" s="85">
        <v>0</v>
      </c>
      <c r="C511" s="85">
        <v>-49</v>
      </c>
      <c r="D511" s="85">
        <v>0</v>
      </c>
      <c r="E511" s="85">
        <v>-49</v>
      </c>
      <c r="F511" s="7">
        <v>3.54</v>
      </c>
      <c r="G511" s="42" t="s">
        <v>62</v>
      </c>
      <c r="H511" s="31" t="s">
        <v>2191</v>
      </c>
      <c r="I511" s="23" t="s">
        <v>26</v>
      </c>
      <c r="J511" s="77">
        <v>67.62</v>
      </c>
      <c r="K511" s="371">
        <v>28.28</v>
      </c>
      <c r="L511" s="371">
        <v>1.84</v>
      </c>
      <c r="N511" s="365">
        <f>V511+K511+J511+L511</f>
        <v>103.80000000000001</v>
      </c>
      <c r="V511" s="371">
        <v>6.06</v>
      </c>
      <c r="W511" s="35">
        <v>3.2</v>
      </c>
      <c r="X511" s="100">
        <f>W511/Y511</f>
        <v>4.8632218844984809E-2</v>
      </c>
      <c r="Y511" s="37">
        <v>65.8</v>
      </c>
      <c r="Z511" s="69">
        <v>63.4</v>
      </c>
      <c r="AA511" s="16">
        <f>Y511-Z511</f>
        <v>2.3999999999999986</v>
      </c>
      <c r="AB511" s="66">
        <f>AA511/Z511</f>
        <v>3.7854889589905343E-2</v>
      </c>
      <c r="AC511" s="119" t="s">
        <v>2213</v>
      </c>
      <c r="AD511" s="23" t="s">
        <v>26</v>
      </c>
      <c r="AE511" s="89">
        <v>43710</v>
      </c>
      <c r="AF511" s="88">
        <v>43733</v>
      </c>
      <c r="AG511" s="34">
        <f>AF511-AE511</f>
        <v>23</v>
      </c>
      <c r="AH511" s="124"/>
      <c r="AI511" s="284"/>
    </row>
    <row r="512" spans="1:46">
      <c r="B512" s="85"/>
      <c r="C512" s="85"/>
      <c r="D512" s="85"/>
      <c r="E512" s="85"/>
      <c r="F512" s="7"/>
      <c r="G512" s="42"/>
      <c r="H512" s="31"/>
      <c r="I512" s="23"/>
      <c r="J512" s="371"/>
      <c r="K512" s="77"/>
      <c r="L512" s="371"/>
      <c r="N512" s="365"/>
      <c r="W512" s="35"/>
      <c r="X512" s="100"/>
      <c r="Y512" s="14">
        <f>SUM(Y509:Y511)</f>
        <v>197.39999999999998</v>
      </c>
      <c r="Z512" s="46">
        <f>SUM(Z509:Z511)</f>
        <v>189.1</v>
      </c>
      <c r="AA512" s="16">
        <f>Y512-Z512</f>
        <v>8.2999999999999829</v>
      </c>
      <c r="AB512" s="66">
        <f>AA512/Z512</f>
        <v>4.3892120571126299E-2</v>
      </c>
      <c r="AC512" s="119"/>
      <c r="AD512" s="23"/>
      <c r="AG512" s="34"/>
      <c r="AH512" s="124"/>
    </row>
    <row r="513" spans="1:46">
      <c r="A513" s="135" t="s">
        <v>2552</v>
      </c>
      <c r="B513" s="96" t="s">
        <v>2331</v>
      </c>
      <c r="C513" s="96" t="s">
        <v>2332</v>
      </c>
      <c r="D513" s="96" t="s">
        <v>2333</v>
      </c>
      <c r="E513" s="96" t="s">
        <v>2334</v>
      </c>
      <c r="F513" s="9" t="s">
        <v>1709</v>
      </c>
      <c r="G513" s="26" t="s">
        <v>682</v>
      </c>
      <c r="H513" s="56" t="s">
        <v>578</v>
      </c>
      <c r="I513" s="1" t="s">
        <v>131</v>
      </c>
      <c r="J513" s="364" t="s">
        <v>2189</v>
      </c>
      <c r="K513" s="364" t="s">
        <v>1820</v>
      </c>
      <c r="L513" s="364" t="s">
        <v>515</v>
      </c>
      <c r="M513" s="364"/>
      <c r="N513" s="364" t="s">
        <v>1708</v>
      </c>
      <c r="V513" s="371" t="s">
        <v>1699</v>
      </c>
      <c r="W513" s="11" t="s">
        <v>127</v>
      </c>
      <c r="X513" s="71" t="s">
        <v>2231</v>
      </c>
      <c r="Y513" s="29" t="s">
        <v>3</v>
      </c>
      <c r="Z513" s="18" t="s">
        <v>2113</v>
      </c>
      <c r="AA513" s="15" t="s">
        <v>8</v>
      </c>
      <c r="AB513" s="22" t="s">
        <v>4</v>
      </c>
      <c r="AC513" s="26" t="s">
        <v>211</v>
      </c>
      <c r="AD513" s="1" t="s">
        <v>131</v>
      </c>
      <c r="AE513" s="75" t="s">
        <v>2114</v>
      </c>
      <c r="AF513" s="76" t="s">
        <v>1826</v>
      </c>
      <c r="AG513" s="33" t="s">
        <v>1827</v>
      </c>
    </row>
    <row r="514" spans="1:46">
      <c r="B514" s="84">
        <v>705</v>
      </c>
      <c r="C514" s="98">
        <v>1518</v>
      </c>
      <c r="D514" s="84">
        <v>705</v>
      </c>
      <c r="E514" s="98">
        <v>1518</v>
      </c>
      <c r="F514" s="59">
        <v>40.08</v>
      </c>
      <c r="G514" s="42" t="s">
        <v>610</v>
      </c>
      <c r="H514" s="9" t="s">
        <v>2119</v>
      </c>
      <c r="I514" s="23" t="s">
        <v>611</v>
      </c>
      <c r="J514" s="371">
        <v>77.25</v>
      </c>
      <c r="K514" s="77">
        <v>11.5</v>
      </c>
      <c r="L514" s="371">
        <v>0.69</v>
      </c>
      <c r="N514" s="365">
        <f t="shared" ref="N514:N519" si="329">V514+K514+J514+L514</f>
        <v>97.75</v>
      </c>
      <c r="V514" s="371">
        <v>8.31</v>
      </c>
      <c r="W514" s="35">
        <v>0.69</v>
      </c>
      <c r="X514" s="100">
        <f t="shared" ref="X514:X519" si="330">W514/Y514</f>
        <v>5.1685393258426963E-2</v>
      </c>
      <c r="Y514" s="14">
        <v>13.35</v>
      </c>
      <c r="Z514" s="69">
        <f>14.32-0.69</f>
        <v>13.63</v>
      </c>
      <c r="AA514" s="16">
        <f t="shared" ref="AA514:AA520" si="331">Y514-Z514</f>
        <v>-0.28000000000000114</v>
      </c>
      <c r="AB514" s="80">
        <f t="shared" ref="AB514:AB520" si="332">AA514/Z514</f>
        <v>-2.0542920029347111E-2</v>
      </c>
      <c r="AC514" s="120" t="s">
        <v>2354</v>
      </c>
      <c r="AD514" s="23" t="s">
        <v>611</v>
      </c>
      <c r="AE514" s="89">
        <v>43362</v>
      </c>
      <c r="AF514" s="88">
        <v>43724</v>
      </c>
      <c r="AG514" s="81">
        <f t="shared" ref="AG514:AG519" si="333">AF514-AE514</f>
        <v>362</v>
      </c>
      <c r="AH514" s="124"/>
      <c r="AK514" s="12"/>
      <c r="AL514" s="12"/>
      <c r="AM514" s="12"/>
      <c r="AN514" s="12"/>
      <c r="AQ514" s="8"/>
      <c r="AR514" s="32"/>
      <c r="AS514" s="8"/>
      <c r="AT514" s="8"/>
    </row>
    <row r="515" spans="1:46">
      <c r="B515" s="84">
        <v>705</v>
      </c>
      <c r="C515" s="98">
        <v>1518</v>
      </c>
      <c r="D515" s="84">
        <v>705</v>
      </c>
      <c r="E515" s="98">
        <v>1518</v>
      </c>
      <c r="F515" s="59">
        <v>40.08</v>
      </c>
      <c r="G515" s="42" t="s">
        <v>610</v>
      </c>
      <c r="H515" s="9" t="s">
        <v>2119</v>
      </c>
      <c r="I515" s="23" t="s">
        <v>611</v>
      </c>
      <c r="J515" s="371">
        <v>77.25</v>
      </c>
      <c r="K515" s="77">
        <v>11.5</v>
      </c>
      <c r="L515" s="371">
        <v>0.69</v>
      </c>
      <c r="N515" s="365">
        <f t="shared" si="329"/>
        <v>97.75</v>
      </c>
      <c r="V515" s="371">
        <v>8.31</v>
      </c>
      <c r="W515" s="35">
        <v>0.69</v>
      </c>
      <c r="X515" s="100">
        <f t="shared" si="330"/>
        <v>5.1685393258426963E-2</v>
      </c>
      <c r="Y515" s="14">
        <v>13.35</v>
      </c>
      <c r="Z515" s="69">
        <v>12.75</v>
      </c>
      <c r="AA515" s="16">
        <f t="shared" si="331"/>
        <v>0.59999999999999964</v>
      </c>
      <c r="AB515" s="66">
        <f t="shared" si="332"/>
        <v>4.7058823529411736E-2</v>
      </c>
      <c r="AC515" s="119" t="s">
        <v>2345</v>
      </c>
      <c r="AD515" s="23" t="s">
        <v>611</v>
      </c>
      <c r="AE515" s="89">
        <v>43689</v>
      </c>
      <c r="AF515" s="88">
        <v>43724</v>
      </c>
      <c r="AG515" s="34">
        <f t="shared" si="333"/>
        <v>35</v>
      </c>
      <c r="AH515" s="124"/>
      <c r="AK515" s="12"/>
      <c r="AL515" s="12"/>
      <c r="AM515" s="12"/>
      <c r="AN515" s="12"/>
      <c r="AQ515" s="8"/>
      <c r="AR515" s="32"/>
      <c r="AS515" s="8"/>
      <c r="AT515" s="8"/>
    </row>
    <row r="516" spans="1:46">
      <c r="B516" s="84">
        <v>705</v>
      </c>
      <c r="C516" s="98">
        <v>1518</v>
      </c>
      <c r="D516" s="84">
        <v>705</v>
      </c>
      <c r="E516" s="98">
        <v>1518</v>
      </c>
      <c r="F516" s="59">
        <v>40.08</v>
      </c>
      <c r="G516" s="42" t="s">
        <v>610</v>
      </c>
      <c r="H516" s="31" t="s">
        <v>2191</v>
      </c>
      <c r="I516" s="23" t="s">
        <v>611</v>
      </c>
      <c r="J516" s="371">
        <v>77.25</v>
      </c>
      <c r="K516" s="77">
        <v>11.5</v>
      </c>
      <c r="L516" s="371">
        <v>0.69</v>
      </c>
      <c r="N516" s="365">
        <f t="shared" si="329"/>
        <v>97.75</v>
      </c>
      <c r="V516" s="371">
        <v>8.31</v>
      </c>
      <c r="W516" s="35">
        <v>0.69</v>
      </c>
      <c r="X516" s="100">
        <f t="shared" si="330"/>
        <v>5.1685393258426963E-2</v>
      </c>
      <c r="Y516" s="14">
        <v>13.35</v>
      </c>
      <c r="Z516" s="69">
        <v>12.75</v>
      </c>
      <c r="AA516" s="16">
        <f t="shared" si="331"/>
        <v>0.59999999999999964</v>
      </c>
      <c r="AB516" s="66">
        <f t="shared" si="332"/>
        <v>4.7058823529411736E-2</v>
      </c>
      <c r="AC516" s="119" t="s">
        <v>2345</v>
      </c>
      <c r="AD516" s="23" t="s">
        <v>611</v>
      </c>
      <c r="AE516" s="89">
        <v>43689</v>
      </c>
      <c r="AF516" s="88">
        <v>43724</v>
      </c>
      <c r="AG516" s="34">
        <f t="shared" si="333"/>
        <v>35</v>
      </c>
      <c r="AH516" s="124"/>
      <c r="AK516" s="12"/>
      <c r="AL516" s="12"/>
      <c r="AM516" s="12"/>
      <c r="AN516" s="12"/>
      <c r="AQ516" s="8"/>
      <c r="AR516" s="32"/>
      <c r="AS516" s="8"/>
      <c r="AT516" s="8"/>
    </row>
    <row r="517" spans="1:46">
      <c r="B517" s="84">
        <v>705</v>
      </c>
      <c r="C517" s="98">
        <v>1518</v>
      </c>
      <c r="D517" s="84">
        <v>705</v>
      </c>
      <c r="E517" s="98">
        <v>1518</v>
      </c>
      <c r="F517" s="59">
        <v>40.08</v>
      </c>
      <c r="G517" s="42" t="s">
        <v>610</v>
      </c>
      <c r="H517" s="31" t="s">
        <v>2191</v>
      </c>
      <c r="I517" s="23" t="s">
        <v>611</v>
      </c>
      <c r="J517" s="371">
        <v>77.25</v>
      </c>
      <c r="K517" s="77">
        <v>11.5</v>
      </c>
      <c r="L517" s="371">
        <v>0.69</v>
      </c>
      <c r="N517" s="365">
        <f t="shared" si="329"/>
        <v>97.75</v>
      </c>
      <c r="V517" s="371">
        <v>8.31</v>
      </c>
      <c r="W517" s="35">
        <v>0.69</v>
      </c>
      <c r="X517" s="100">
        <f t="shared" si="330"/>
        <v>5.1685393258426963E-2</v>
      </c>
      <c r="Y517" s="14">
        <v>13.35</v>
      </c>
      <c r="Z517" s="69">
        <v>12.75</v>
      </c>
      <c r="AA517" s="16">
        <f t="shared" si="331"/>
        <v>0.59999999999999964</v>
      </c>
      <c r="AB517" s="66">
        <f t="shared" si="332"/>
        <v>4.7058823529411736E-2</v>
      </c>
      <c r="AC517" s="119" t="s">
        <v>2345</v>
      </c>
      <c r="AD517" s="23" t="s">
        <v>611</v>
      </c>
      <c r="AE517" s="89">
        <v>43689</v>
      </c>
      <c r="AF517" s="88">
        <v>43724</v>
      </c>
      <c r="AG517" s="34">
        <f t="shared" si="333"/>
        <v>35</v>
      </c>
      <c r="AH517" s="124"/>
      <c r="AK517" s="12"/>
      <c r="AL517" s="12"/>
      <c r="AM517" s="12"/>
      <c r="AN517" s="12"/>
      <c r="AQ517" s="8"/>
      <c r="AR517" s="32"/>
      <c r="AS517" s="8"/>
      <c r="AT517" s="8"/>
    </row>
    <row r="518" spans="1:46">
      <c r="B518" s="84">
        <v>705</v>
      </c>
      <c r="C518" s="98">
        <v>1518</v>
      </c>
      <c r="D518" s="84">
        <v>705</v>
      </c>
      <c r="E518" s="98">
        <v>1518</v>
      </c>
      <c r="F518" s="59">
        <v>40.08</v>
      </c>
      <c r="G518" s="42" t="s">
        <v>610</v>
      </c>
      <c r="H518" s="51" t="s">
        <v>2120</v>
      </c>
      <c r="I518" s="23" t="s">
        <v>611</v>
      </c>
      <c r="J518" s="371">
        <v>77.25</v>
      </c>
      <c r="K518" s="77">
        <v>11.5</v>
      </c>
      <c r="L518" s="371">
        <v>0.69</v>
      </c>
      <c r="N518" s="365">
        <f t="shared" si="329"/>
        <v>97.75</v>
      </c>
      <c r="V518" s="371">
        <v>8.31</v>
      </c>
      <c r="W518" s="35">
        <v>0.69</v>
      </c>
      <c r="X518" s="100">
        <f t="shared" si="330"/>
        <v>5.1685393258426963E-2</v>
      </c>
      <c r="Y518" s="14">
        <v>13.35</v>
      </c>
      <c r="Z518" s="69">
        <f>14.32-0.69</f>
        <v>13.63</v>
      </c>
      <c r="AA518" s="16">
        <f t="shared" si="331"/>
        <v>-0.28000000000000114</v>
      </c>
      <c r="AB518" s="80">
        <f t="shared" si="332"/>
        <v>-2.0542920029347111E-2</v>
      </c>
      <c r="AC518" s="120" t="s">
        <v>2354</v>
      </c>
      <c r="AD518" s="23" t="s">
        <v>611</v>
      </c>
      <c r="AE518" s="89">
        <v>43368</v>
      </c>
      <c r="AF518" s="88">
        <v>43724</v>
      </c>
      <c r="AG518" s="81">
        <f t="shared" si="333"/>
        <v>356</v>
      </c>
      <c r="AH518" s="124"/>
      <c r="AK518" s="12"/>
      <c r="AL518" s="12"/>
      <c r="AM518" s="12"/>
      <c r="AN518" s="12"/>
      <c r="AQ518" s="8"/>
      <c r="AR518" s="32"/>
      <c r="AS518" s="8"/>
      <c r="AT518" s="8"/>
    </row>
    <row r="519" spans="1:46">
      <c r="B519" s="84">
        <v>705</v>
      </c>
      <c r="C519" s="98">
        <v>1518</v>
      </c>
      <c r="D519" s="84">
        <v>705</v>
      </c>
      <c r="E519" s="98">
        <v>1518</v>
      </c>
      <c r="F519" s="59">
        <v>40.08</v>
      </c>
      <c r="G519" s="42" t="s">
        <v>610</v>
      </c>
      <c r="H519" s="51" t="s">
        <v>2120</v>
      </c>
      <c r="I519" s="23" t="s">
        <v>611</v>
      </c>
      <c r="J519" s="371">
        <v>77.25</v>
      </c>
      <c r="K519" s="77">
        <v>11.5</v>
      </c>
      <c r="L519" s="371">
        <v>0.69</v>
      </c>
      <c r="N519" s="365">
        <f t="shared" si="329"/>
        <v>97.75</v>
      </c>
      <c r="V519" s="371">
        <v>8.31</v>
      </c>
      <c r="W519" s="35">
        <v>0.69</v>
      </c>
      <c r="X519" s="100">
        <f t="shared" si="330"/>
        <v>5.1685393258426963E-2</v>
      </c>
      <c r="Y519" s="14">
        <v>13.35</v>
      </c>
      <c r="Z519" s="69">
        <v>12.75</v>
      </c>
      <c r="AA519" s="16">
        <f t="shared" si="331"/>
        <v>0.59999999999999964</v>
      </c>
      <c r="AB519" s="66">
        <f t="shared" si="332"/>
        <v>4.7058823529411736E-2</v>
      </c>
      <c r="AC519" s="119" t="s">
        <v>2345</v>
      </c>
      <c r="AD519" s="23" t="s">
        <v>611</v>
      </c>
      <c r="AE519" s="89">
        <v>43689</v>
      </c>
      <c r="AF519" s="88">
        <v>43724</v>
      </c>
      <c r="AG519" s="34">
        <f t="shared" si="333"/>
        <v>35</v>
      </c>
      <c r="AH519" s="124"/>
      <c r="AK519" s="12"/>
      <c r="AL519" s="12"/>
      <c r="AM519" s="12"/>
      <c r="AN519" s="12"/>
      <c r="AQ519" s="8"/>
      <c r="AR519" s="32"/>
      <c r="AS519" s="8"/>
      <c r="AT519" s="8"/>
    </row>
    <row r="520" spans="1:46">
      <c r="B520" s="85"/>
      <c r="C520" s="85"/>
      <c r="D520" s="85"/>
      <c r="E520" s="85"/>
      <c r="F520" s="59"/>
      <c r="H520" s="9"/>
      <c r="I520" s="23"/>
      <c r="J520" s="371"/>
      <c r="K520" s="77"/>
      <c r="L520" s="371"/>
      <c r="N520" s="365"/>
      <c r="W520" s="35"/>
      <c r="X520" s="100"/>
      <c r="Y520" s="14">
        <f>SUM(Y514:Y519)</f>
        <v>80.099999999999994</v>
      </c>
      <c r="Z520" s="46">
        <f>SUM(Z514:Z519)</f>
        <v>78.260000000000005</v>
      </c>
      <c r="AA520" s="16">
        <f t="shared" si="331"/>
        <v>1.8399999999999892</v>
      </c>
      <c r="AB520" s="66">
        <f t="shared" si="332"/>
        <v>2.351137234858151E-2</v>
      </c>
      <c r="AC520" s="120"/>
      <c r="AD520" s="23"/>
      <c r="AG520" s="34"/>
    </row>
    <row r="521" spans="1:46">
      <c r="A521" s="135" t="s">
        <v>2552</v>
      </c>
      <c r="B521" s="96" t="s">
        <v>2331</v>
      </c>
      <c r="C521" s="96" t="s">
        <v>2332</v>
      </c>
      <c r="D521" s="96" t="s">
        <v>2333</v>
      </c>
      <c r="E521" s="96" t="s">
        <v>2334</v>
      </c>
      <c r="F521" s="9" t="s">
        <v>1709</v>
      </c>
      <c r="G521" s="26" t="s">
        <v>682</v>
      </c>
      <c r="H521" s="56" t="s">
        <v>578</v>
      </c>
      <c r="I521" s="1" t="s">
        <v>131</v>
      </c>
      <c r="J521" s="364" t="s">
        <v>2189</v>
      </c>
      <c r="K521" s="364" t="s">
        <v>1820</v>
      </c>
      <c r="L521" s="364" t="s">
        <v>515</v>
      </c>
      <c r="M521" s="364"/>
      <c r="N521" s="364" t="s">
        <v>1708</v>
      </c>
      <c r="V521" s="371" t="s">
        <v>1699</v>
      </c>
      <c r="W521" s="11" t="s">
        <v>127</v>
      </c>
      <c r="X521" s="71" t="s">
        <v>2231</v>
      </c>
      <c r="Y521" s="29" t="s">
        <v>3</v>
      </c>
      <c r="Z521" s="18" t="s">
        <v>2113</v>
      </c>
      <c r="AA521" s="15" t="s">
        <v>8</v>
      </c>
      <c r="AB521" s="22" t="s">
        <v>4</v>
      </c>
      <c r="AC521" s="26" t="s">
        <v>211</v>
      </c>
      <c r="AD521" s="1" t="s">
        <v>131</v>
      </c>
      <c r="AE521" s="75" t="s">
        <v>2114</v>
      </c>
      <c r="AF521" s="76" t="s">
        <v>1826</v>
      </c>
      <c r="AG521" s="33" t="s">
        <v>1827</v>
      </c>
    </row>
    <row r="522" spans="1:46">
      <c r="B522" s="85">
        <v>-73</v>
      </c>
      <c r="C522" s="85">
        <v>-96</v>
      </c>
      <c r="D522" s="85">
        <v>-73</v>
      </c>
      <c r="E522" s="85">
        <v>-96</v>
      </c>
      <c r="F522" s="7">
        <v>0.63</v>
      </c>
      <c r="G522" s="42" t="s">
        <v>573</v>
      </c>
      <c r="H522" s="31" t="s">
        <v>2191</v>
      </c>
      <c r="I522" s="23" t="s">
        <v>574</v>
      </c>
      <c r="J522" s="371">
        <v>72.38</v>
      </c>
      <c r="K522" s="371">
        <v>11.36</v>
      </c>
      <c r="L522" s="371">
        <v>2.4700000000000002</v>
      </c>
      <c r="N522" s="365">
        <f t="shared" ref="N522:N527" si="334">V522+K522+J522+L522</f>
        <v>96.69</v>
      </c>
      <c r="V522" s="371">
        <v>10.48</v>
      </c>
      <c r="W522" s="35">
        <v>1.75</v>
      </c>
      <c r="X522" s="100">
        <f t="shared" ref="X522:X527" si="335">W522/Y522</f>
        <v>7.7433628318584066E-2</v>
      </c>
      <c r="Y522" s="14">
        <v>22.6</v>
      </c>
      <c r="Z522" s="69">
        <v>23.9</v>
      </c>
      <c r="AA522" s="16">
        <f t="shared" ref="AA522:AA528" si="336">Y522-Z522</f>
        <v>-1.2999999999999972</v>
      </c>
      <c r="AB522" s="80">
        <f t="shared" ref="AB522:AB528" si="337">AA522/Z522</f>
        <v>-5.4393305439330429E-2</v>
      </c>
      <c r="AC522" s="120" t="s">
        <v>2308</v>
      </c>
      <c r="AD522" s="23" t="s">
        <v>574</v>
      </c>
      <c r="AE522" s="89">
        <v>43675</v>
      </c>
      <c r="AF522" s="88">
        <v>43724</v>
      </c>
      <c r="AG522" s="34">
        <f t="shared" ref="AG522:AG527" si="338">AF522-AE522</f>
        <v>49</v>
      </c>
      <c r="AH522" s="124"/>
    </row>
    <row r="523" spans="1:46" ht="16.5" customHeight="1">
      <c r="A523" s="124"/>
      <c r="B523" s="85">
        <v>-105</v>
      </c>
      <c r="C523" s="85">
        <v>-112</v>
      </c>
      <c r="D523" s="85">
        <v>-105</v>
      </c>
      <c r="E523" s="85">
        <v>-112</v>
      </c>
      <c r="F523" s="7">
        <v>-1.92</v>
      </c>
      <c r="G523" s="42" t="s">
        <v>573</v>
      </c>
      <c r="H523" s="31" t="s">
        <v>2191</v>
      </c>
      <c r="I523" s="23" t="s">
        <v>574</v>
      </c>
      <c r="J523" s="371">
        <v>71.709999999999994</v>
      </c>
      <c r="K523" s="371">
        <v>11.16</v>
      </c>
      <c r="L523" s="77">
        <v>2.56</v>
      </c>
      <c r="N523" s="365">
        <f t="shared" si="334"/>
        <v>95.91</v>
      </c>
      <c r="V523" s="371">
        <v>10.48</v>
      </c>
      <c r="W523" s="35">
        <v>1.75</v>
      </c>
      <c r="X523" s="100">
        <f t="shared" si="335"/>
        <v>7.7433628318584066E-2</v>
      </c>
      <c r="Y523" s="37">
        <v>22.6</v>
      </c>
      <c r="Z523" s="69">
        <v>21.15</v>
      </c>
      <c r="AA523" s="16">
        <f t="shared" si="336"/>
        <v>1.4500000000000028</v>
      </c>
      <c r="AB523" s="66">
        <f t="shared" si="337"/>
        <v>6.855791962174955E-2</v>
      </c>
      <c r="AC523" s="119" t="s">
        <v>2344</v>
      </c>
      <c r="AD523" s="23" t="s">
        <v>574</v>
      </c>
      <c r="AE523" s="89">
        <v>43707</v>
      </c>
      <c r="AF523" s="88">
        <v>43724</v>
      </c>
      <c r="AG523" s="34">
        <f t="shared" si="338"/>
        <v>17</v>
      </c>
      <c r="AH523" s="124"/>
      <c r="AI523" s="284"/>
    </row>
    <row r="524" spans="1:46" ht="16.5" customHeight="1">
      <c r="A524" s="124"/>
      <c r="B524" s="85">
        <v>-105</v>
      </c>
      <c r="C524" s="85">
        <v>-112</v>
      </c>
      <c r="D524" s="85">
        <v>-105</v>
      </c>
      <c r="E524" s="85">
        <v>-112</v>
      </c>
      <c r="F524" s="7">
        <v>-1.92</v>
      </c>
      <c r="G524" s="42" t="s">
        <v>573</v>
      </c>
      <c r="H524" s="31" t="s">
        <v>2191</v>
      </c>
      <c r="I524" s="23" t="s">
        <v>574</v>
      </c>
      <c r="J524" s="371">
        <v>71.22</v>
      </c>
      <c r="K524" s="77">
        <v>11.16</v>
      </c>
      <c r="L524" s="371">
        <v>2.6</v>
      </c>
      <c r="N524" s="365">
        <f t="shared" si="334"/>
        <v>95.46</v>
      </c>
      <c r="V524" s="371">
        <v>10.48</v>
      </c>
      <c r="W524" s="35">
        <v>1.75</v>
      </c>
      <c r="X524" s="100">
        <f t="shared" si="335"/>
        <v>7.7433628318584066E-2</v>
      </c>
      <c r="Y524" s="37">
        <v>22.6</v>
      </c>
      <c r="Z524" s="69">
        <v>21.75</v>
      </c>
      <c r="AA524" s="16">
        <f t="shared" si="336"/>
        <v>0.85000000000000142</v>
      </c>
      <c r="AB524" s="66">
        <f t="shared" si="337"/>
        <v>3.9080459770115004E-2</v>
      </c>
      <c r="AC524" s="119" t="s">
        <v>2355</v>
      </c>
      <c r="AD524" s="23" t="s">
        <v>574</v>
      </c>
      <c r="AE524" s="89">
        <v>43711</v>
      </c>
      <c r="AF524" s="88">
        <v>43724</v>
      </c>
      <c r="AG524" s="34">
        <f t="shared" si="338"/>
        <v>13</v>
      </c>
      <c r="AH524" s="124"/>
      <c r="AI524" s="284"/>
    </row>
    <row r="525" spans="1:46">
      <c r="B525" s="85">
        <v>-73</v>
      </c>
      <c r="C525" s="85">
        <v>-96</v>
      </c>
      <c r="D525" s="85">
        <v>-73</v>
      </c>
      <c r="E525" s="85">
        <v>-96</v>
      </c>
      <c r="F525" s="7">
        <v>0.63</v>
      </c>
      <c r="G525" s="42" t="s">
        <v>573</v>
      </c>
      <c r="H525" s="51" t="s">
        <v>2120</v>
      </c>
      <c r="I525" s="23" t="s">
        <v>574</v>
      </c>
      <c r="J525" s="371">
        <v>72.38</v>
      </c>
      <c r="K525" s="371">
        <v>11.36</v>
      </c>
      <c r="L525" s="371">
        <v>2.4700000000000002</v>
      </c>
      <c r="N525" s="365">
        <f t="shared" si="334"/>
        <v>96.69</v>
      </c>
      <c r="V525" s="371">
        <v>10.48</v>
      </c>
      <c r="W525" s="35">
        <v>1.75</v>
      </c>
      <c r="X525" s="100">
        <f t="shared" si="335"/>
        <v>7.7433628318584066E-2</v>
      </c>
      <c r="Y525" s="14">
        <v>22.6</v>
      </c>
      <c r="Z525" s="69">
        <v>23.9</v>
      </c>
      <c r="AA525" s="16">
        <f t="shared" si="336"/>
        <v>-1.2999999999999972</v>
      </c>
      <c r="AB525" s="80">
        <f t="shared" si="337"/>
        <v>-5.4393305439330429E-2</v>
      </c>
      <c r="AC525" s="120" t="s">
        <v>2308</v>
      </c>
      <c r="AD525" s="23" t="s">
        <v>574</v>
      </c>
      <c r="AE525" s="89">
        <v>43675</v>
      </c>
      <c r="AF525" s="88">
        <v>43724</v>
      </c>
      <c r="AG525" s="34">
        <f t="shared" si="338"/>
        <v>49</v>
      </c>
      <c r="AH525" s="124"/>
    </row>
    <row r="526" spans="1:46" ht="16.5" customHeight="1">
      <c r="A526" s="124"/>
      <c r="B526" s="85">
        <v>-105</v>
      </c>
      <c r="C526" s="85">
        <v>-112</v>
      </c>
      <c r="D526" s="85">
        <v>-105</v>
      </c>
      <c r="E526" s="85">
        <v>-112</v>
      </c>
      <c r="F526" s="7">
        <v>-1.92</v>
      </c>
      <c r="G526" s="42" t="s">
        <v>573</v>
      </c>
      <c r="H526" s="51" t="s">
        <v>2120</v>
      </c>
      <c r="I526" s="23" t="s">
        <v>574</v>
      </c>
      <c r="J526" s="371">
        <v>71.709999999999994</v>
      </c>
      <c r="K526" s="371">
        <v>11.16</v>
      </c>
      <c r="L526" s="77">
        <v>2.56</v>
      </c>
      <c r="N526" s="365">
        <f t="shared" si="334"/>
        <v>95.91</v>
      </c>
      <c r="V526" s="371">
        <v>10.48</v>
      </c>
      <c r="W526" s="35">
        <v>1.75</v>
      </c>
      <c r="X526" s="100">
        <f t="shared" si="335"/>
        <v>7.7433628318584066E-2</v>
      </c>
      <c r="Y526" s="37">
        <v>22.6</v>
      </c>
      <c r="Z526" s="69">
        <v>21.15</v>
      </c>
      <c r="AA526" s="16">
        <f t="shared" si="336"/>
        <v>1.4500000000000028</v>
      </c>
      <c r="AB526" s="66">
        <f t="shared" si="337"/>
        <v>6.855791962174955E-2</v>
      </c>
      <c r="AC526" s="119" t="s">
        <v>2344</v>
      </c>
      <c r="AD526" s="23" t="s">
        <v>574</v>
      </c>
      <c r="AE526" s="89">
        <v>43707</v>
      </c>
      <c r="AF526" s="88">
        <v>43724</v>
      </c>
      <c r="AG526" s="34">
        <f t="shared" si="338"/>
        <v>17</v>
      </c>
      <c r="AH526" s="124"/>
      <c r="AI526" s="284"/>
    </row>
    <row r="527" spans="1:46" ht="16.5" customHeight="1">
      <c r="A527" s="124"/>
      <c r="B527" s="85">
        <v>-105</v>
      </c>
      <c r="C527" s="85">
        <v>-112</v>
      </c>
      <c r="D527" s="85">
        <v>-105</v>
      </c>
      <c r="E527" s="85">
        <v>-112</v>
      </c>
      <c r="F527" s="7">
        <v>-1.92</v>
      </c>
      <c r="G527" s="42" t="s">
        <v>573</v>
      </c>
      <c r="H527" s="51" t="s">
        <v>2120</v>
      </c>
      <c r="I527" s="23" t="s">
        <v>574</v>
      </c>
      <c r="J527" s="371">
        <v>71.22</v>
      </c>
      <c r="K527" s="77">
        <v>11.16</v>
      </c>
      <c r="L527" s="371">
        <v>2.6</v>
      </c>
      <c r="N527" s="365">
        <f t="shared" si="334"/>
        <v>95.46</v>
      </c>
      <c r="V527" s="371">
        <v>10.48</v>
      </c>
      <c r="W527" s="35">
        <v>1.75</v>
      </c>
      <c r="X527" s="100">
        <f t="shared" si="335"/>
        <v>7.7433628318584066E-2</v>
      </c>
      <c r="Y527" s="37">
        <v>22.6</v>
      </c>
      <c r="Z527" s="69">
        <v>21.75</v>
      </c>
      <c r="AA527" s="16">
        <f t="shared" si="336"/>
        <v>0.85000000000000142</v>
      </c>
      <c r="AB527" s="66">
        <f t="shared" si="337"/>
        <v>3.9080459770115004E-2</v>
      </c>
      <c r="AC527" s="119" t="s">
        <v>2355</v>
      </c>
      <c r="AD527" s="23" t="s">
        <v>574</v>
      </c>
      <c r="AE527" s="89">
        <v>43711</v>
      </c>
      <c r="AF527" s="88">
        <v>43724</v>
      </c>
      <c r="AG527" s="34">
        <f t="shared" si="338"/>
        <v>13</v>
      </c>
      <c r="AH527" s="124"/>
      <c r="AI527" s="284"/>
    </row>
    <row r="528" spans="1:46">
      <c r="B528" s="85"/>
      <c r="C528" s="85"/>
      <c r="D528" s="85"/>
      <c r="E528" s="85"/>
      <c r="F528" s="7"/>
      <c r="G528" s="42"/>
      <c r="H528" s="9"/>
      <c r="I528" s="23"/>
      <c r="J528" s="371"/>
      <c r="K528" s="77"/>
      <c r="N528" s="365"/>
      <c r="W528" s="35"/>
      <c r="X528" s="100"/>
      <c r="Y528" s="14">
        <f>SUM(Y522:Y527)</f>
        <v>135.6</v>
      </c>
      <c r="Z528" s="69">
        <f>SUM(Z522:Z527)</f>
        <v>133.6</v>
      </c>
      <c r="AA528" s="16">
        <f t="shared" si="336"/>
        <v>2</v>
      </c>
      <c r="AB528" s="66">
        <f t="shared" si="337"/>
        <v>1.4970059880239521E-2</v>
      </c>
      <c r="AC528" s="120"/>
      <c r="AD528" s="23"/>
      <c r="AG528" s="34"/>
      <c r="AH528" s="124"/>
    </row>
    <row r="529" spans="1:46">
      <c r="A529" s="135" t="s">
        <v>2552</v>
      </c>
      <c r="B529" s="96" t="s">
        <v>2331</v>
      </c>
      <c r="C529" s="96" t="s">
        <v>2332</v>
      </c>
      <c r="D529" s="96" t="s">
        <v>2333</v>
      </c>
      <c r="E529" s="96" t="s">
        <v>2334</v>
      </c>
      <c r="F529" s="9" t="s">
        <v>1709</v>
      </c>
      <c r="G529" s="26" t="s">
        <v>682</v>
      </c>
      <c r="H529" s="56" t="s">
        <v>578</v>
      </c>
      <c r="I529" s="1" t="s">
        <v>131</v>
      </c>
      <c r="J529" s="364" t="s">
        <v>2189</v>
      </c>
      <c r="K529" s="364" t="s">
        <v>1820</v>
      </c>
      <c r="L529" s="364" t="s">
        <v>515</v>
      </c>
      <c r="M529" s="364"/>
      <c r="N529" s="364" t="s">
        <v>1708</v>
      </c>
      <c r="V529" s="371" t="s">
        <v>1699</v>
      </c>
      <c r="W529" s="11" t="s">
        <v>127</v>
      </c>
      <c r="X529" s="71" t="s">
        <v>2231</v>
      </c>
      <c r="Y529" s="29" t="s">
        <v>3</v>
      </c>
      <c r="Z529" s="18" t="s">
        <v>2113</v>
      </c>
      <c r="AA529" s="15" t="s">
        <v>8</v>
      </c>
      <c r="AB529" s="22" t="s">
        <v>4</v>
      </c>
      <c r="AC529" s="26" t="s">
        <v>211</v>
      </c>
      <c r="AD529" s="1" t="s">
        <v>131</v>
      </c>
      <c r="AE529" s="75" t="s">
        <v>2114</v>
      </c>
      <c r="AF529" s="76" t="s">
        <v>1826</v>
      </c>
      <c r="AG529" s="33" t="s">
        <v>1827</v>
      </c>
    </row>
    <row r="530" spans="1:46">
      <c r="B530" s="85">
        <v>-68</v>
      </c>
      <c r="C530" s="85">
        <v>-85</v>
      </c>
      <c r="D530" s="85">
        <v>-68</v>
      </c>
      <c r="E530" s="85">
        <v>-85</v>
      </c>
      <c r="F530" s="7">
        <v>1.94</v>
      </c>
      <c r="G530" s="42" t="s">
        <v>1710</v>
      </c>
      <c r="H530" s="31" t="s">
        <v>2191</v>
      </c>
      <c r="I530" s="23" t="s">
        <v>217</v>
      </c>
      <c r="J530" s="371">
        <v>67.84</v>
      </c>
      <c r="K530" s="371">
        <v>25.17</v>
      </c>
      <c r="L530" s="371">
        <v>6.39</v>
      </c>
      <c r="N530" s="365">
        <f t="shared" ref="N530:N539" si="339">V530+K530+J530+L530</f>
        <v>112.85000000000001</v>
      </c>
      <c r="V530" s="371">
        <v>13.45</v>
      </c>
      <c r="W530" s="35">
        <v>1.2</v>
      </c>
      <c r="X530" s="100">
        <f t="shared" ref="X530:X539" si="340">W530/Y530</f>
        <v>8.1355932203389825E-2</v>
      </c>
      <c r="Y530" s="14">
        <v>14.75</v>
      </c>
      <c r="Z530" s="69">
        <v>15</v>
      </c>
      <c r="AA530" s="16">
        <f t="shared" ref="AA530:AA536" si="341">Y530-Z530</f>
        <v>-0.25</v>
      </c>
      <c r="AB530" s="66">
        <f t="shared" ref="AB530:AB536" si="342">AA530/Z530</f>
        <v>-1.6666666666666666E-2</v>
      </c>
      <c r="AC530" s="119" t="s">
        <v>2241</v>
      </c>
      <c r="AD530" s="23" t="s">
        <v>217</v>
      </c>
      <c r="AE530" s="89">
        <v>43675</v>
      </c>
      <c r="AF530" s="88">
        <v>43724</v>
      </c>
      <c r="AG530" s="34">
        <f t="shared" ref="AG530:AG536" si="343">AF530-AE530</f>
        <v>49</v>
      </c>
      <c r="AH530" s="124"/>
    </row>
    <row r="531" spans="1:46" ht="16.5" customHeight="1">
      <c r="B531" s="85">
        <v>-68</v>
      </c>
      <c r="C531" s="85">
        <v>-85</v>
      </c>
      <c r="D531" s="85">
        <v>-68</v>
      </c>
      <c r="E531" s="85">
        <v>-85</v>
      </c>
      <c r="F531" s="7">
        <v>1.94</v>
      </c>
      <c r="G531" s="42" t="s">
        <v>1710</v>
      </c>
      <c r="H531" s="31" t="s">
        <v>2191</v>
      </c>
      <c r="I531" s="23" t="s">
        <v>217</v>
      </c>
      <c r="J531" s="371">
        <v>67.599999999999994</v>
      </c>
      <c r="K531" s="371">
        <v>24.67</v>
      </c>
      <c r="L531" s="77">
        <v>6.45</v>
      </c>
      <c r="N531" s="365">
        <f t="shared" si="339"/>
        <v>112.17</v>
      </c>
      <c r="V531" s="371">
        <v>13.45</v>
      </c>
      <c r="W531" s="35">
        <v>1.2</v>
      </c>
      <c r="X531" s="100">
        <f t="shared" si="340"/>
        <v>8.1355932203389825E-2</v>
      </c>
      <c r="Y531" s="37">
        <v>14.75</v>
      </c>
      <c r="Z531" s="69">
        <v>13.65</v>
      </c>
      <c r="AA531" s="16">
        <f t="shared" si="341"/>
        <v>1.0999999999999996</v>
      </c>
      <c r="AB531" s="66">
        <f t="shared" si="342"/>
        <v>8.0586080586080563E-2</v>
      </c>
      <c r="AC531" s="119" t="s">
        <v>2343</v>
      </c>
      <c r="AD531" s="23" t="s">
        <v>217</v>
      </c>
      <c r="AE531" s="89">
        <v>43699</v>
      </c>
      <c r="AF531" s="88">
        <v>43724</v>
      </c>
      <c r="AG531" s="34">
        <f t="shared" si="343"/>
        <v>25</v>
      </c>
      <c r="AH531" s="124"/>
    </row>
    <row r="532" spans="1:46" ht="16.5" customHeight="1">
      <c r="B532" s="85">
        <v>-68</v>
      </c>
      <c r="C532" s="85">
        <v>-85</v>
      </c>
      <c r="D532" s="85">
        <v>-68</v>
      </c>
      <c r="E532" s="85">
        <v>-85</v>
      </c>
      <c r="F532" s="7">
        <v>1.94</v>
      </c>
      <c r="G532" s="42" t="s">
        <v>1710</v>
      </c>
      <c r="H532" s="31" t="s">
        <v>2191</v>
      </c>
      <c r="I532" s="23" t="s">
        <v>217</v>
      </c>
      <c r="J532" s="371">
        <v>67.599999999999994</v>
      </c>
      <c r="K532" s="371">
        <v>24.67</v>
      </c>
      <c r="L532" s="77">
        <v>6.45</v>
      </c>
      <c r="N532" s="365">
        <f t="shared" si="339"/>
        <v>112.17</v>
      </c>
      <c r="V532" s="371">
        <v>13.45</v>
      </c>
      <c r="W532" s="35">
        <v>1.2</v>
      </c>
      <c r="X532" s="100">
        <f t="shared" si="340"/>
        <v>8.1355932203389825E-2</v>
      </c>
      <c r="Y532" s="37">
        <v>14.75</v>
      </c>
      <c r="Z532" s="69">
        <v>13.65</v>
      </c>
      <c r="AA532" s="16">
        <f t="shared" si="341"/>
        <v>1.0999999999999996</v>
      </c>
      <c r="AB532" s="66">
        <f t="shared" si="342"/>
        <v>8.0586080586080563E-2</v>
      </c>
      <c r="AC532" s="119" t="s">
        <v>2343</v>
      </c>
      <c r="AD532" s="23" t="s">
        <v>217</v>
      </c>
      <c r="AE532" s="89">
        <v>43699</v>
      </c>
      <c r="AF532" s="88">
        <v>43724</v>
      </c>
      <c r="AG532" s="34">
        <f t="shared" si="343"/>
        <v>25</v>
      </c>
      <c r="AH532" s="124"/>
    </row>
    <row r="533" spans="1:46" ht="16.5" customHeight="1">
      <c r="A533" s="124"/>
      <c r="B533" s="85">
        <v>-68</v>
      </c>
      <c r="C533" s="85">
        <v>-85</v>
      </c>
      <c r="D533" s="85">
        <v>-68</v>
      </c>
      <c r="E533" s="85">
        <v>-85</v>
      </c>
      <c r="F533" s="7">
        <v>1.94</v>
      </c>
      <c r="G533" s="42" t="s">
        <v>1710</v>
      </c>
      <c r="H533" s="31" t="s">
        <v>2191</v>
      </c>
      <c r="I533" s="23" t="s">
        <v>217</v>
      </c>
      <c r="J533" s="77">
        <v>67.58</v>
      </c>
      <c r="K533" s="371">
        <v>24.53</v>
      </c>
      <c r="L533" s="371">
        <v>6.44</v>
      </c>
      <c r="N533" s="365">
        <f t="shared" si="339"/>
        <v>112</v>
      </c>
      <c r="V533" s="371">
        <v>13.45</v>
      </c>
      <c r="W533" s="35">
        <v>1.2</v>
      </c>
      <c r="X533" s="100">
        <f t="shared" si="340"/>
        <v>8.1355932203389825E-2</v>
      </c>
      <c r="Y533" s="37">
        <v>14.75</v>
      </c>
      <c r="Z533" s="69">
        <v>14</v>
      </c>
      <c r="AA533" s="16">
        <f>Y533-Z533</f>
        <v>0.75</v>
      </c>
      <c r="AB533" s="66">
        <f>AA533/Z533</f>
        <v>5.3571428571428568E-2</v>
      </c>
      <c r="AC533" s="119" t="s">
        <v>2187</v>
      </c>
      <c r="AD533" s="23" t="s">
        <v>217</v>
      </c>
      <c r="AE533" s="89">
        <v>43710</v>
      </c>
      <c r="AF533" s="88">
        <v>43724</v>
      </c>
      <c r="AG533" s="34">
        <f>AF533-AE533</f>
        <v>14</v>
      </c>
      <c r="AH533" s="124"/>
      <c r="AI533" s="284"/>
    </row>
    <row r="534" spans="1:46">
      <c r="B534" s="85">
        <v>-68</v>
      </c>
      <c r="C534" s="85">
        <v>-85</v>
      </c>
      <c r="D534" s="85">
        <v>-68</v>
      </c>
      <c r="E534" s="85">
        <v>-85</v>
      </c>
      <c r="F534" s="7">
        <v>1.94</v>
      </c>
      <c r="G534" s="42" t="s">
        <v>1710</v>
      </c>
      <c r="H534" s="51" t="s">
        <v>2120</v>
      </c>
      <c r="I534" s="23" t="s">
        <v>217</v>
      </c>
      <c r="J534" s="371">
        <v>67.84</v>
      </c>
      <c r="K534" s="371">
        <v>25.17</v>
      </c>
      <c r="L534" s="371">
        <v>6.39</v>
      </c>
      <c r="N534" s="365">
        <f t="shared" si="339"/>
        <v>112.85000000000001</v>
      </c>
      <c r="V534" s="371">
        <v>13.45</v>
      </c>
      <c r="W534" s="35">
        <v>1.2</v>
      </c>
      <c r="X534" s="100">
        <f t="shared" si="340"/>
        <v>8.1355932203389825E-2</v>
      </c>
      <c r="Y534" s="14">
        <v>14.75</v>
      </c>
      <c r="Z534" s="69">
        <v>15</v>
      </c>
      <c r="AA534" s="16">
        <f t="shared" si="341"/>
        <v>-0.25</v>
      </c>
      <c r="AB534" s="66">
        <f t="shared" si="342"/>
        <v>-1.6666666666666666E-2</v>
      </c>
      <c r="AC534" s="119" t="s">
        <v>2241</v>
      </c>
      <c r="AD534" s="23" t="s">
        <v>217</v>
      </c>
      <c r="AE534" s="89">
        <v>43675</v>
      </c>
      <c r="AF534" s="88">
        <v>43724</v>
      </c>
      <c r="AG534" s="34">
        <f t="shared" si="343"/>
        <v>49</v>
      </c>
      <c r="AH534" s="124"/>
    </row>
    <row r="535" spans="1:46" ht="16.5" customHeight="1">
      <c r="B535" s="85">
        <v>-68</v>
      </c>
      <c r="C535" s="85">
        <v>-85</v>
      </c>
      <c r="D535" s="85">
        <v>-68</v>
      </c>
      <c r="E535" s="85">
        <v>-85</v>
      </c>
      <c r="F535" s="7">
        <v>1.94</v>
      </c>
      <c r="G535" s="42" t="s">
        <v>1710</v>
      </c>
      <c r="H535" s="51" t="s">
        <v>2120</v>
      </c>
      <c r="I535" s="23" t="s">
        <v>217</v>
      </c>
      <c r="J535" s="371">
        <v>67.599999999999994</v>
      </c>
      <c r="K535" s="371">
        <v>24.67</v>
      </c>
      <c r="L535" s="77">
        <v>6.45</v>
      </c>
      <c r="N535" s="365">
        <f t="shared" si="339"/>
        <v>112.17</v>
      </c>
      <c r="V535" s="371">
        <v>13.45</v>
      </c>
      <c r="W535" s="35">
        <v>1.2</v>
      </c>
      <c r="X535" s="100">
        <f t="shared" si="340"/>
        <v>8.1355932203389825E-2</v>
      </c>
      <c r="Y535" s="37">
        <v>14.75</v>
      </c>
      <c r="Z535" s="69">
        <v>13.65</v>
      </c>
      <c r="AA535" s="16">
        <f t="shared" si="341"/>
        <v>1.0999999999999996</v>
      </c>
      <c r="AB535" s="66">
        <f t="shared" si="342"/>
        <v>8.0586080586080563E-2</v>
      </c>
      <c r="AC535" s="119" t="s">
        <v>2343</v>
      </c>
      <c r="AD535" s="23" t="s">
        <v>217</v>
      </c>
      <c r="AE535" s="89">
        <v>43699</v>
      </c>
      <c r="AF535" s="88">
        <v>43724</v>
      </c>
      <c r="AG535" s="34">
        <f t="shared" si="343"/>
        <v>25</v>
      </c>
      <c r="AH535" s="124"/>
    </row>
    <row r="536" spans="1:46" ht="16.5" customHeight="1">
      <c r="B536" s="85">
        <v>-68</v>
      </c>
      <c r="C536" s="85">
        <v>-85</v>
      </c>
      <c r="D536" s="85">
        <v>-68</v>
      </c>
      <c r="E536" s="85">
        <v>-85</v>
      </c>
      <c r="F536" s="7">
        <v>1.94</v>
      </c>
      <c r="G536" s="42" t="s">
        <v>1710</v>
      </c>
      <c r="H536" s="51" t="s">
        <v>2120</v>
      </c>
      <c r="I536" s="23" t="s">
        <v>217</v>
      </c>
      <c r="J536" s="371">
        <v>67.599999999999994</v>
      </c>
      <c r="K536" s="371">
        <v>24.67</v>
      </c>
      <c r="L536" s="77">
        <v>6.45</v>
      </c>
      <c r="N536" s="365">
        <f t="shared" si="339"/>
        <v>112.17</v>
      </c>
      <c r="V536" s="371">
        <v>13.45</v>
      </c>
      <c r="W536" s="35">
        <v>1.2</v>
      </c>
      <c r="X536" s="100">
        <f t="shared" si="340"/>
        <v>8.1355932203389825E-2</v>
      </c>
      <c r="Y536" s="37">
        <v>14.75</v>
      </c>
      <c r="Z536" s="69">
        <v>13.65</v>
      </c>
      <c r="AA536" s="16">
        <f t="shared" si="341"/>
        <v>1.0999999999999996</v>
      </c>
      <c r="AB536" s="66">
        <f t="shared" si="342"/>
        <v>8.0586080586080563E-2</v>
      </c>
      <c r="AC536" s="119" t="s">
        <v>2343</v>
      </c>
      <c r="AD536" s="23" t="s">
        <v>217</v>
      </c>
      <c r="AE536" s="89">
        <v>43699</v>
      </c>
      <c r="AF536" s="88">
        <v>43724</v>
      </c>
      <c r="AG536" s="34">
        <f t="shared" si="343"/>
        <v>25</v>
      </c>
      <c r="AH536" s="124"/>
    </row>
    <row r="537" spans="1:46" ht="16.5" customHeight="1">
      <c r="A537" s="124"/>
      <c r="B537" s="85">
        <v>-68</v>
      </c>
      <c r="C537" s="85">
        <v>-85</v>
      </c>
      <c r="D537" s="85">
        <v>-68</v>
      </c>
      <c r="E537" s="85">
        <v>-85</v>
      </c>
      <c r="F537" s="7">
        <v>1.94</v>
      </c>
      <c r="G537" s="42" t="s">
        <v>1710</v>
      </c>
      <c r="H537" s="51" t="s">
        <v>2120</v>
      </c>
      <c r="I537" s="23" t="s">
        <v>217</v>
      </c>
      <c r="J537" s="77">
        <v>67.58</v>
      </c>
      <c r="K537" s="371">
        <v>24.53</v>
      </c>
      <c r="L537" s="371">
        <v>6.44</v>
      </c>
      <c r="N537" s="365">
        <f t="shared" si="339"/>
        <v>112</v>
      </c>
      <c r="V537" s="371">
        <v>13.45</v>
      </c>
      <c r="W537" s="35">
        <v>1.2</v>
      </c>
      <c r="X537" s="100">
        <f t="shared" si="340"/>
        <v>8.1355932203389825E-2</v>
      </c>
      <c r="Y537" s="37">
        <v>14.75</v>
      </c>
      <c r="Z537" s="69">
        <v>13.95</v>
      </c>
      <c r="AA537" s="16">
        <f>Y537-Z537</f>
        <v>0.80000000000000071</v>
      </c>
      <c r="AB537" s="66">
        <f>AA537/Z537</f>
        <v>5.7347670250896113E-2</v>
      </c>
      <c r="AC537" s="119" t="s">
        <v>2346</v>
      </c>
      <c r="AD537" s="23" t="s">
        <v>217</v>
      </c>
      <c r="AE537" s="89">
        <v>43710</v>
      </c>
      <c r="AF537" s="88">
        <v>43724</v>
      </c>
      <c r="AG537" s="34">
        <f>AF537-AE537</f>
        <v>14</v>
      </c>
      <c r="AH537" s="124"/>
      <c r="AI537" s="284"/>
    </row>
    <row r="538" spans="1:46" ht="16.5" customHeight="1">
      <c r="A538" s="124"/>
      <c r="B538" s="85">
        <v>-68</v>
      </c>
      <c r="C538" s="85">
        <v>-85</v>
      </c>
      <c r="D538" s="85">
        <v>-68</v>
      </c>
      <c r="E538" s="85">
        <v>-85</v>
      </c>
      <c r="F538" s="7">
        <v>1.94</v>
      </c>
      <c r="G538" s="42" t="s">
        <v>1710</v>
      </c>
      <c r="H538" s="51" t="s">
        <v>2120</v>
      </c>
      <c r="I538" s="23" t="s">
        <v>217</v>
      </c>
      <c r="J538" s="77">
        <v>67.58</v>
      </c>
      <c r="K538" s="371">
        <v>24.5</v>
      </c>
      <c r="L538" s="77">
        <v>6.5</v>
      </c>
      <c r="N538" s="365">
        <f t="shared" si="339"/>
        <v>112.03</v>
      </c>
      <c r="V538" s="371">
        <v>13.45</v>
      </c>
      <c r="W538" s="35">
        <v>1.2</v>
      </c>
      <c r="X538" s="100">
        <f t="shared" si="340"/>
        <v>8.1355932203389825E-2</v>
      </c>
      <c r="Y538" s="37">
        <v>14.75</v>
      </c>
      <c r="Z538" s="69">
        <v>14.15</v>
      </c>
      <c r="AA538" s="16">
        <f>Y538-Z538</f>
        <v>0.59999999999999964</v>
      </c>
      <c r="AB538" s="66">
        <f>AA538/Z538</f>
        <v>4.240282685512365E-2</v>
      </c>
      <c r="AC538" s="119" t="s">
        <v>2347</v>
      </c>
      <c r="AD538" s="23" t="s">
        <v>217</v>
      </c>
      <c r="AE538" s="89">
        <v>43711</v>
      </c>
      <c r="AF538" s="88">
        <v>43724</v>
      </c>
      <c r="AG538" s="34">
        <f>AF538-AE538</f>
        <v>13</v>
      </c>
      <c r="AH538" s="124"/>
      <c r="AI538" s="284"/>
    </row>
    <row r="539" spans="1:46" ht="16.5" customHeight="1">
      <c r="A539" s="124"/>
      <c r="B539" s="85">
        <v>-68</v>
      </c>
      <c r="C539" s="85">
        <v>-85</v>
      </c>
      <c r="D539" s="85">
        <v>-68</v>
      </c>
      <c r="E539" s="85">
        <v>-85</v>
      </c>
      <c r="F539" s="7">
        <v>1.94</v>
      </c>
      <c r="G539" s="42" t="s">
        <v>1710</v>
      </c>
      <c r="H539" s="51" t="s">
        <v>2120</v>
      </c>
      <c r="I539" s="23" t="s">
        <v>217</v>
      </c>
      <c r="J539" s="77">
        <v>67.58</v>
      </c>
      <c r="K539" s="371">
        <v>24.5</v>
      </c>
      <c r="L539" s="77">
        <v>6.5</v>
      </c>
      <c r="N539" s="365">
        <f t="shared" si="339"/>
        <v>112.03</v>
      </c>
      <c r="V539" s="371">
        <v>13.45</v>
      </c>
      <c r="W539" s="35">
        <v>1.2</v>
      </c>
      <c r="X539" s="100">
        <f t="shared" si="340"/>
        <v>8.1355932203389825E-2</v>
      </c>
      <c r="Y539" s="37">
        <v>14.75</v>
      </c>
      <c r="Z539" s="69">
        <v>14.15</v>
      </c>
      <c r="AA539" s="16">
        <f>Y539-Z539</f>
        <v>0.59999999999999964</v>
      </c>
      <c r="AB539" s="66">
        <f>AA539/Z539</f>
        <v>4.240282685512365E-2</v>
      </c>
      <c r="AC539" s="119" t="s">
        <v>2347</v>
      </c>
      <c r="AD539" s="23" t="s">
        <v>217</v>
      </c>
      <c r="AE539" s="89">
        <v>43711</v>
      </c>
      <c r="AF539" s="88">
        <v>43724</v>
      </c>
      <c r="AG539" s="34">
        <f>AF539-AE539</f>
        <v>13</v>
      </c>
      <c r="AH539" s="124"/>
      <c r="AI539" s="284"/>
    </row>
    <row r="540" spans="1:46">
      <c r="B540" s="85"/>
      <c r="C540" s="85"/>
      <c r="D540" s="85"/>
      <c r="E540" s="85"/>
      <c r="F540" s="7"/>
      <c r="G540" s="42"/>
      <c r="H540" s="9"/>
      <c r="I540" s="23"/>
      <c r="J540" s="371"/>
      <c r="K540" s="371"/>
      <c r="N540" s="365"/>
      <c r="W540" s="35"/>
      <c r="X540" s="100"/>
      <c r="Y540" s="14">
        <f>SUM(Y530:Y539)</f>
        <v>147.5</v>
      </c>
      <c r="Z540" s="69">
        <f>SUM(Z530:Z539)</f>
        <v>140.85000000000002</v>
      </c>
      <c r="AA540" s="16">
        <f>Y540-Z540</f>
        <v>6.6499999999999773</v>
      </c>
      <c r="AB540" s="66">
        <f>AA540/Z540</f>
        <v>4.7213347532836181E-2</v>
      </c>
      <c r="AC540" s="119"/>
      <c r="AD540" s="23"/>
      <c r="AG540" s="34"/>
      <c r="AH540" s="124"/>
    </row>
    <row r="541" spans="1:46">
      <c r="A541" s="135" t="s">
        <v>2552</v>
      </c>
      <c r="B541" s="96" t="s">
        <v>2331</v>
      </c>
      <c r="C541" s="96" t="s">
        <v>2332</v>
      </c>
      <c r="D541" s="96" t="s">
        <v>2333</v>
      </c>
      <c r="E541" s="96" t="s">
        <v>2334</v>
      </c>
      <c r="F541" s="9" t="s">
        <v>1709</v>
      </c>
      <c r="G541" s="26" t="s">
        <v>682</v>
      </c>
      <c r="H541" s="56" t="s">
        <v>578</v>
      </c>
      <c r="I541" s="1" t="s">
        <v>131</v>
      </c>
      <c r="J541" s="364" t="s">
        <v>2189</v>
      </c>
      <c r="K541" s="364" t="s">
        <v>1820</v>
      </c>
      <c r="L541" s="364" t="s">
        <v>515</v>
      </c>
      <c r="M541" s="364"/>
      <c r="N541" s="364" t="s">
        <v>1708</v>
      </c>
      <c r="V541" s="371" t="s">
        <v>1699</v>
      </c>
      <c r="W541" s="11" t="s">
        <v>127</v>
      </c>
      <c r="X541" s="71" t="s">
        <v>2231</v>
      </c>
      <c r="Y541" s="29" t="s">
        <v>3</v>
      </c>
      <c r="Z541" s="18" t="s">
        <v>2113</v>
      </c>
      <c r="AA541" s="15" t="s">
        <v>8</v>
      </c>
      <c r="AB541" s="22" t="s">
        <v>4</v>
      </c>
      <c r="AC541" s="26" t="s">
        <v>211</v>
      </c>
      <c r="AD541" s="1" t="s">
        <v>131</v>
      </c>
      <c r="AE541" s="75" t="s">
        <v>2114</v>
      </c>
      <c r="AF541" s="76" t="s">
        <v>1826</v>
      </c>
      <c r="AG541" s="33" t="s">
        <v>1827</v>
      </c>
      <c r="AH541" s="42"/>
    </row>
    <row r="542" spans="1:46" s="8" customFormat="1" ht="17.100000000000001" customHeight="1">
      <c r="A542" s="42"/>
      <c r="B542" s="85">
        <v>-28</v>
      </c>
      <c r="C542" s="85">
        <v>-33</v>
      </c>
      <c r="D542" s="85">
        <v>-28</v>
      </c>
      <c r="E542" s="85">
        <v>-33</v>
      </c>
      <c r="F542" s="7">
        <v>4.51</v>
      </c>
      <c r="G542" s="42" t="s">
        <v>601</v>
      </c>
      <c r="H542" s="9" t="s">
        <v>2119</v>
      </c>
      <c r="I542" s="23" t="s">
        <v>123</v>
      </c>
      <c r="J542" s="77">
        <v>60.93</v>
      </c>
      <c r="K542" s="371">
        <v>34.159999999999997</v>
      </c>
      <c r="L542" s="77">
        <v>1.87</v>
      </c>
      <c r="M542" s="365"/>
      <c r="N542" s="365">
        <f t="shared" ref="N542:N551" si="344">V542+K542+J542+L542</f>
        <v>111.6</v>
      </c>
      <c r="O542" s="343"/>
      <c r="P542" s="232"/>
      <c r="Q542" s="326"/>
      <c r="R542" s="111"/>
      <c r="S542" s="51"/>
      <c r="T542" s="339"/>
      <c r="U542" s="329"/>
      <c r="V542" s="371">
        <v>14.64</v>
      </c>
      <c r="W542" s="35">
        <v>0.3</v>
      </c>
      <c r="X542" s="100">
        <f t="shared" ref="X542:X551" si="345">W542/Y542</f>
        <v>2.1660649819494584E-2</v>
      </c>
      <c r="Y542" s="14">
        <v>13.85</v>
      </c>
      <c r="Z542" s="69">
        <f>16.97-0.3-0.3-0.47</f>
        <v>15.899999999999997</v>
      </c>
      <c r="AA542" s="16">
        <f>Y542-Z542</f>
        <v>-2.0499999999999972</v>
      </c>
      <c r="AB542" s="80">
        <f>AA542/Z542</f>
        <v>-0.12893081761006275</v>
      </c>
      <c r="AC542" s="121" t="s">
        <v>2348</v>
      </c>
      <c r="AD542" s="23" t="s">
        <v>123</v>
      </c>
      <c r="AE542" s="89">
        <v>42719</v>
      </c>
      <c r="AF542" s="88">
        <v>43724</v>
      </c>
      <c r="AG542" s="143">
        <f>AF542-AE542</f>
        <v>1005</v>
      </c>
      <c r="AH542" s="124"/>
      <c r="AI542" s="28"/>
      <c r="AJ542" s="18"/>
      <c r="AK542" s="12"/>
      <c r="AL542" s="12"/>
      <c r="AM542" s="12"/>
      <c r="AN542" s="12"/>
      <c r="AO542" s="284"/>
      <c r="AP542" s="284"/>
      <c r="AR542" s="4"/>
      <c r="AS542" s="284"/>
      <c r="AT542" s="284"/>
    </row>
    <row r="543" spans="1:46" s="8" customFormat="1" ht="17.100000000000001" customHeight="1">
      <c r="A543" s="42"/>
      <c r="B543" s="85">
        <v>-28</v>
      </c>
      <c r="C543" s="85">
        <v>-33</v>
      </c>
      <c r="D543" s="85">
        <v>-28</v>
      </c>
      <c r="E543" s="85">
        <v>-33</v>
      </c>
      <c r="F543" s="7">
        <v>4.51</v>
      </c>
      <c r="G543" s="42" t="s">
        <v>601</v>
      </c>
      <c r="H543" s="51" t="s">
        <v>2120</v>
      </c>
      <c r="I543" s="23" t="s">
        <v>123</v>
      </c>
      <c r="J543" s="77">
        <v>60.93</v>
      </c>
      <c r="K543" s="371">
        <v>34.159999999999997</v>
      </c>
      <c r="L543" s="77">
        <v>1.87</v>
      </c>
      <c r="M543" s="365"/>
      <c r="N543" s="365">
        <f t="shared" si="344"/>
        <v>111.6</v>
      </c>
      <c r="O543" s="343"/>
      <c r="P543" s="232"/>
      <c r="Q543" s="326"/>
      <c r="R543" s="111"/>
      <c r="S543" s="51"/>
      <c r="T543" s="339"/>
      <c r="U543" s="329"/>
      <c r="V543" s="371">
        <v>14.64</v>
      </c>
      <c r="W543" s="35">
        <v>0.3</v>
      </c>
      <c r="X543" s="100">
        <f t="shared" si="345"/>
        <v>2.1660649819494584E-2</v>
      </c>
      <c r="Y543" s="14">
        <v>13.85</v>
      </c>
      <c r="Z543" s="69">
        <f>16.87-0.3-0.3-0.46</f>
        <v>15.809999999999999</v>
      </c>
      <c r="AA543" s="16">
        <f>Y543-Z543</f>
        <v>-1.9599999999999991</v>
      </c>
      <c r="AB543" s="80">
        <f>AA543/Z543</f>
        <v>-0.12397216951296643</v>
      </c>
      <c r="AC543" s="121" t="s">
        <v>2349</v>
      </c>
      <c r="AD543" s="23" t="s">
        <v>123</v>
      </c>
      <c r="AE543" s="89">
        <v>42718</v>
      </c>
      <c r="AF543" s="88">
        <v>43724</v>
      </c>
      <c r="AG543" s="143">
        <f>AF543-AE543</f>
        <v>1006</v>
      </c>
      <c r="AH543" s="124"/>
      <c r="AI543" s="28"/>
      <c r="AJ543" s="18"/>
      <c r="AK543" s="12"/>
      <c r="AL543" s="12"/>
      <c r="AM543" s="12"/>
      <c r="AN543" s="12"/>
      <c r="AO543" s="284"/>
      <c r="AP543" s="284"/>
      <c r="AR543" s="4"/>
      <c r="AS543" s="284"/>
      <c r="AT543" s="284"/>
    </row>
    <row r="544" spans="1:46" s="8" customFormat="1" ht="17.100000000000001" customHeight="1">
      <c r="A544" s="42"/>
      <c r="B544" s="85">
        <v>-28</v>
      </c>
      <c r="C544" s="85">
        <v>-33</v>
      </c>
      <c r="D544" s="85">
        <v>-28</v>
      </c>
      <c r="E544" s="85">
        <v>-33</v>
      </c>
      <c r="F544" s="7">
        <v>4.51</v>
      </c>
      <c r="G544" s="42" t="s">
        <v>601</v>
      </c>
      <c r="H544" s="9" t="s">
        <v>2119</v>
      </c>
      <c r="I544" s="23" t="s">
        <v>123</v>
      </c>
      <c r="J544" s="77">
        <v>60.93</v>
      </c>
      <c r="K544" s="371">
        <v>34.159999999999997</v>
      </c>
      <c r="L544" s="77">
        <v>1.87</v>
      </c>
      <c r="M544" s="365"/>
      <c r="N544" s="365">
        <f t="shared" si="344"/>
        <v>111.6</v>
      </c>
      <c r="O544" s="343"/>
      <c r="P544" s="232"/>
      <c r="Q544" s="326"/>
      <c r="R544" s="111"/>
      <c r="S544" s="51"/>
      <c r="T544" s="339"/>
      <c r="U544" s="329"/>
      <c r="V544" s="371">
        <v>14.64</v>
      </c>
      <c r="W544" s="35">
        <v>0.3</v>
      </c>
      <c r="X544" s="100">
        <f t="shared" si="345"/>
        <v>2.3255813953488372E-2</v>
      </c>
      <c r="Y544" s="14">
        <v>12.9</v>
      </c>
      <c r="Z544" s="69">
        <f>13.82-0.3</f>
        <v>13.52</v>
      </c>
      <c r="AA544" s="16">
        <f>Y544-Z544</f>
        <v>-0.61999999999999922</v>
      </c>
      <c r="AB544" s="80">
        <f>AA544/Z544</f>
        <v>-4.5857988165680416E-2</v>
      </c>
      <c r="AC544" s="121" t="s">
        <v>2341</v>
      </c>
      <c r="AD544" s="23" t="s">
        <v>123</v>
      </c>
      <c r="AE544" s="89">
        <v>43350</v>
      </c>
      <c r="AF544" s="88">
        <v>43724</v>
      </c>
      <c r="AG544" s="81">
        <f>AF544-AE544</f>
        <v>374</v>
      </c>
      <c r="AH544" s="124"/>
      <c r="AI544" s="28"/>
      <c r="AJ544" s="18"/>
      <c r="AK544" s="12"/>
      <c r="AL544" s="12"/>
      <c r="AM544" s="12"/>
      <c r="AN544" s="12"/>
      <c r="AO544" s="284"/>
      <c r="AP544" s="284"/>
      <c r="AR544" s="4"/>
      <c r="AS544" s="284"/>
      <c r="AT544" s="284"/>
    </row>
    <row r="545" spans="1:46" s="8" customFormat="1" ht="17.100000000000001" customHeight="1">
      <c r="A545" s="42"/>
      <c r="B545" s="85">
        <v>-28</v>
      </c>
      <c r="C545" s="85">
        <v>-33</v>
      </c>
      <c r="D545" s="85">
        <v>-28</v>
      </c>
      <c r="E545" s="85">
        <v>-33</v>
      </c>
      <c r="F545" s="7">
        <v>4.51</v>
      </c>
      <c r="G545" s="42" t="s">
        <v>601</v>
      </c>
      <c r="H545" s="51" t="s">
        <v>2120</v>
      </c>
      <c r="I545" s="23" t="s">
        <v>123</v>
      </c>
      <c r="J545" s="77">
        <v>60.93</v>
      </c>
      <c r="K545" s="371">
        <v>34.159999999999997</v>
      </c>
      <c r="L545" s="77">
        <v>1.87</v>
      </c>
      <c r="M545" s="365"/>
      <c r="N545" s="365">
        <f t="shared" si="344"/>
        <v>111.6</v>
      </c>
      <c r="O545" s="343"/>
      <c r="P545" s="232"/>
      <c r="Q545" s="326"/>
      <c r="R545" s="111"/>
      <c r="S545" s="51"/>
      <c r="T545" s="339"/>
      <c r="U545" s="329"/>
      <c r="V545" s="371">
        <v>14.64</v>
      </c>
      <c r="W545" s="35">
        <v>0.3</v>
      </c>
      <c r="X545" s="100">
        <f t="shared" si="345"/>
        <v>2.2058823529411766E-2</v>
      </c>
      <c r="Y545" s="14">
        <v>13.6</v>
      </c>
      <c r="Z545" s="69">
        <f>13.82-0.3</f>
        <v>13.52</v>
      </c>
      <c r="AA545" s="16">
        <f>Y545-Z545</f>
        <v>8.0000000000000071E-2</v>
      </c>
      <c r="AB545" s="80">
        <f>AA545/Z545</f>
        <v>5.9171597633136145E-3</v>
      </c>
      <c r="AC545" s="121" t="s">
        <v>2350</v>
      </c>
      <c r="AD545" s="23" t="s">
        <v>123</v>
      </c>
      <c r="AE545" s="89">
        <v>43350</v>
      </c>
      <c r="AF545" s="88">
        <v>43724</v>
      </c>
      <c r="AG545" s="81">
        <f>AF545-AE545</f>
        <v>374</v>
      </c>
      <c r="AH545" s="124"/>
      <c r="AI545" s="28"/>
      <c r="AJ545" s="18"/>
      <c r="AK545" s="12"/>
      <c r="AL545" s="12"/>
      <c r="AM545" s="12"/>
      <c r="AN545" s="12"/>
      <c r="AO545" s="284"/>
      <c r="AP545" s="284"/>
      <c r="AR545" s="4"/>
      <c r="AS545" s="284"/>
      <c r="AT545" s="284"/>
    </row>
    <row r="546" spans="1:46" ht="16.5" customHeight="1">
      <c r="B546" s="85">
        <v>-22</v>
      </c>
      <c r="C546" s="85">
        <v>-32</v>
      </c>
      <c r="D546" s="85">
        <v>-22</v>
      </c>
      <c r="E546" s="85">
        <v>-32</v>
      </c>
      <c r="F546" s="7">
        <v>4.38</v>
      </c>
      <c r="G546" s="42" t="s">
        <v>601</v>
      </c>
      <c r="H546" s="51" t="s">
        <v>2120</v>
      </c>
      <c r="I546" s="23" t="s">
        <v>123</v>
      </c>
      <c r="J546" s="77">
        <v>60.98</v>
      </c>
      <c r="K546" s="77">
        <v>34.229999999999997</v>
      </c>
      <c r="L546" s="371">
        <v>1.8</v>
      </c>
      <c r="N546" s="365">
        <f t="shared" si="344"/>
        <v>111.64999999999999</v>
      </c>
      <c r="V546" s="371">
        <v>14.64</v>
      </c>
      <c r="W546" s="35">
        <v>0.3</v>
      </c>
      <c r="X546" s="100">
        <f t="shared" si="345"/>
        <v>2.2058823529411766E-2</v>
      </c>
      <c r="Y546" s="37">
        <v>13.6</v>
      </c>
      <c r="Z546" s="69">
        <v>12.25</v>
      </c>
      <c r="AA546" s="16">
        <f t="shared" ref="AA546:AA551" si="346">Y546-Z546</f>
        <v>1.3499999999999996</v>
      </c>
      <c r="AB546" s="66">
        <f t="shared" ref="AB546:AB551" si="347">AA546/Z546</f>
        <v>0.11020408163265304</v>
      </c>
      <c r="AC546" s="119" t="s">
        <v>2330</v>
      </c>
      <c r="AD546" s="23" t="s">
        <v>123</v>
      </c>
      <c r="AE546" s="89">
        <v>43697</v>
      </c>
      <c r="AF546" s="88">
        <v>43724</v>
      </c>
      <c r="AG546" s="34">
        <f t="shared" ref="AG546:AG551" si="348">AF546-AE546</f>
        <v>27</v>
      </c>
      <c r="AH546" s="124"/>
    </row>
    <row r="547" spans="1:46" ht="16.5" customHeight="1">
      <c r="B547" s="85">
        <v>-22</v>
      </c>
      <c r="C547" s="85">
        <v>-32</v>
      </c>
      <c r="D547" s="85">
        <v>-22</v>
      </c>
      <c r="E547" s="85">
        <v>-32</v>
      </c>
      <c r="F547" s="7">
        <v>4.38</v>
      </c>
      <c r="G547" s="42" t="s">
        <v>601</v>
      </c>
      <c r="H547" s="51" t="s">
        <v>2120</v>
      </c>
      <c r="I547" s="23" t="s">
        <v>123</v>
      </c>
      <c r="J547" s="77">
        <v>60.98</v>
      </c>
      <c r="K547" s="77">
        <v>34.229999999999997</v>
      </c>
      <c r="L547" s="371">
        <v>1.8</v>
      </c>
      <c r="N547" s="365">
        <f t="shared" si="344"/>
        <v>111.64999999999999</v>
      </c>
      <c r="V547" s="371">
        <v>14.64</v>
      </c>
      <c r="W547" s="35">
        <v>0.3</v>
      </c>
      <c r="X547" s="100">
        <f t="shared" si="345"/>
        <v>2.2058823529411766E-2</v>
      </c>
      <c r="Y547" s="37">
        <v>13.6</v>
      </c>
      <c r="Z547" s="69">
        <v>12.25</v>
      </c>
      <c r="AA547" s="16">
        <f t="shared" si="346"/>
        <v>1.3499999999999996</v>
      </c>
      <c r="AB547" s="66">
        <f t="shared" si="347"/>
        <v>0.11020408163265304</v>
      </c>
      <c r="AC547" s="119" t="s">
        <v>2330</v>
      </c>
      <c r="AD547" s="23" t="s">
        <v>123</v>
      </c>
      <c r="AE547" s="89">
        <v>43697</v>
      </c>
      <c r="AF547" s="88">
        <v>43724</v>
      </c>
      <c r="AG547" s="34">
        <f t="shared" si="348"/>
        <v>27</v>
      </c>
      <c r="AH547" s="124"/>
    </row>
    <row r="548" spans="1:46" ht="16.5" customHeight="1">
      <c r="A548" s="152"/>
      <c r="B548" s="85">
        <v>-22</v>
      </c>
      <c r="C548" s="85">
        <v>-32</v>
      </c>
      <c r="D548" s="85">
        <v>-22</v>
      </c>
      <c r="E548" s="85">
        <v>-32</v>
      </c>
      <c r="F548" s="7">
        <v>4.38</v>
      </c>
      <c r="G548" s="20" t="s">
        <v>601</v>
      </c>
      <c r="H548" s="51" t="s">
        <v>2120</v>
      </c>
      <c r="I548" s="23" t="s">
        <v>123</v>
      </c>
      <c r="J548" s="77">
        <v>61.16</v>
      </c>
      <c r="K548" s="371">
        <v>34.33</v>
      </c>
      <c r="L548" s="77">
        <v>1.73</v>
      </c>
      <c r="N548" s="365">
        <f t="shared" si="344"/>
        <v>111.86</v>
      </c>
      <c r="V548" s="371">
        <v>14.64</v>
      </c>
      <c r="W548" s="35">
        <v>0.3</v>
      </c>
      <c r="X548" s="100">
        <f t="shared" si="345"/>
        <v>2.2058823529411766E-2</v>
      </c>
      <c r="Y548" s="37">
        <v>13.6</v>
      </c>
      <c r="Z548" s="69">
        <v>12.6</v>
      </c>
      <c r="AA548" s="16">
        <f t="shared" si="346"/>
        <v>1</v>
      </c>
      <c r="AB548" s="66">
        <f t="shared" si="347"/>
        <v>7.9365079365079361E-2</v>
      </c>
      <c r="AC548" s="119" t="s">
        <v>2351</v>
      </c>
      <c r="AD548" s="23" t="s">
        <v>123</v>
      </c>
      <c r="AE548" s="89">
        <v>43704</v>
      </c>
      <c r="AF548" s="88">
        <v>43724</v>
      </c>
      <c r="AG548" s="34">
        <f t="shared" si="348"/>
        <v>20</v>
      </c>
      <c r="AH548" s="124"/>
      <c r="AI548" s="284"/>
    </row>
    <row r="549" spans="1:46" ht="16.5" customHeight="1">
      <c r="A549" s="152"/>
      <c r="B549" s="85">
        <v>-22</v>
      </c>
      <c r="C549" s="85">
        <v>-32</v>
      </c>
      <c r="D549" s="85">
        <v>-22</v>
      </c>
      <c r="E549" s="85">
        <v>-32</v>
      </c>
      <c r="F549" s="7">
        <v>4.38</v>
      </c>
      <c r="G549" s="20" t="s">
        <v>601</v>
      </c>
      <c r="H549" s="51" t="s">
        <v>2120</v>
      </c>
      <c r="I549" s="23" t="s">
        <v>123</v>
      </c>
      <c r="J549" s="77">
        <v>61.16</v>
      </c>
      <c r="K549" s="371">
        <v>34.33</v>
      </c>
      <c r="L549" s="77">
        <v>1.73</v>
      </c>
      <c r="N549" s="365">
        <f t="shared" si="344"/>
        <v>111.86</v>
      </c>
      <c r="V549" s="371">
        <v>14.64</v>
      </c>
      <c r="W549" s="35">
        <v>0.3</v>
      </c>
      <c r="X549" s="100">
        <f t="shared" si="345"/>
        <v>2.2058823529411766E-2</v>
      </c>
      <c r="Y549" s="37">
        <v>13.6</v>
      </c>
      <c r="Z549" s="69">
        <v>12.6</v>
      </c>
      <c r="AA549" s="16">
        <f t="shared" si="346"/>
        <v>1</v>
      </c>
      <c r="AB549" s="66">
        <f t="shared" si="347"/>
        <v>7.9365079365079361E-2</v>
      </c>
      <c r="AC549" s="119" t="s">
        <v>2351</v>
      </c>
      <c r="AD549" s="23" t="s">
        <v>123</v>
      </c>
      <c r="AE549" s="89">
        <v>43704</v>
      </c>
      <c r="AF549" s="88">
        <v>43724</v>
      </c>
      <c r="AG549" s="34">
        <f t="shared" si="348"/>
        <v>20</v>
      </c>
      <c r="AH549" s="124"/>
      <c r="AI549" s="284"/>
    </row>
    <row r="550" spans="1:46" ht="16.5" customHeight="1">
      <c r="A550" s="152"/>
      <c r="B550" s="85">
        <v>-22</v>
      </c>
      <c r="C550" s="85">
        <v>-32</v>
      </c>
      <c r="D550" s="85">
        <v>-22</v>
      </c>
      <c r="E550" s="85">
        <v>-32</v>
      </c>
      <c r="F550" s="7">
        <v>4.38</v>
      </c>
      <c r="G550" s="20" t="s">
        <v>601</v>
      </c>
      <c r="H550" s="51" t="s">
        <v>2120</v>
      </c>
      <c r="I550" s="23" t="s">
        <v>123</v>
      </c>
      <c r="J550" s="77">
        <v>61.24</v>
      </c>
      <c r="K550" s="77">
        <v>34.409999999999997</v>
      </c>
      <c r="L550" s="77">
        <v>1.75</v>
      </c>
      <c r="N550" s="365">
        <f t="shared" si="344"/>
        <v>112.03999999999999</v>
      </c>
      <c r="V550" s="371">
        <v>14.64</v>
      </c>
      <c r="W550" s="35">
        <v>0.3</v>
      </c>
      <c r="X550" s="100">
        <f t="shared" si="345"/>
        <v>2.2058823529411766E-2</v>
      </c>
      <c r="Y550" s="37">
        <v>13.6</v>
      </c>
      <c r="Z550" s="69">
        <v>12.7</v>
      </c>
      <c r="AA550" s="16">
        <f t="shared" si="346"/>
        <v>0.90000000000000036</v>
      </c>
      <c r="AB550" s="66">
        <f t="shared" si="347"/>
        <v>7.0866141732283491E-2</v>
      </c>
      <c r="AC550" s="119" t="s">
        <v>2352</v>
      </c>
      <c r="AD550" s="23" t="s">
        <v>123</v>
      </c>
      <c r="AE550" s="89">
        <v>43710</v>
      </c>
      <c r="AF550" s="88">
        <v>43724</v>
      </c>
      <c r="AG550" s="34">
        <f t="shared" si="348"/>
        <v>14</v>
      </c>
      <c r="AH550" s="124"/>
      <c r="AI550" s="284"/>
    </row>
    <row r="551" spans="1:46" ht="16.5" customHeight="1">
      <c r="A551" s="152"/>
      <c r="B551" s="85">
        <v>-22</v>
      </c>
      <c r="C551" s="85">
        <v>-32</v>
      </c>
      <c r="D551" s="85">
        <v>-22</v>
      </c>
      <c r="E551" s="85">
        <v>-32</v>
      </c>
      <c r="F551" s="7">
        <v>4.38</v>
      </c>
      <c r="G551" s="20" t="s">
        <v>601</v>
      </c>
      <c r="H551" s="51" t="s">
        <v>2120</v>
      </c>
      <c r="I551" s="23" t="s">
        <v>123</v>
      </c>
      <c r="J551" s="77">
        <v>61.24</v>
      </c>
      <c r="K551" s="77">
        <v>34.409999999999997</v>
      </c>
      <c r="L551" s="77">
        <v>1.75</v>
      </c>
      <c r="N551" s="365">
        <f t="shared" si="344"/>
        <v>112.03999999999999</v>
      </c>
      <c r="V551" s="371">
        <v>14.64</v>
      </c>
      <c r="W551" s="35">
        <v>0.3</v>
      </c>
      <c r="X551" s="100">
        <f t="shared" si="345"/>
        <v>2.2058823529411766E-2</v>
      </c>
      <c r="Y551" s="37">
        <v>13.6</v>
      </c>
      <c r="Z551" s="69">
        <v>12.7</v>
      </c>
      <c r="AA551" s="16">
        <f t="shared" si="346"/>
        <v>0.90000000000000036</v>
      </c>
      <c r="AB551" s="66">
        <f t="shared" si="347"/>
        <v>7.0866141732283491E-2</v>
      </c>
      <c r="AC551" s="119" t="s">
        <v>2353</v>
      </c>
      <c r="AD551" s="23" t="s">
        <v>123</v>
      </c>
      <c r="AE551" s="89">
        <v>43710</v>
      </c>
      <c r="AF551" s="88">
        <v>43724</v>
      </c>
      <c r="AG551" s="34">
        <f t="shared" si="348"/>
        <v>14</v>
      </c>
      <c r="AH551" s="124"/>
      <c r="AI551" s="284"/>
    </row>
    <row r="552" spans="1:46">
      <c r="B552" s="85"/>
      <c r="C552" s="85"/>
      <c r="D552" s="85"/>
      <c r="E552" s="85"/>
      <c r="F552" s="7"/>
      <c r="G552" s="42"/>
      <c r="H552" s="9"/>
      <c r="I552" s="23"/>
      <c r="J552" s="77"/>
      <c r="K552" s="371"/>
      <c r="N552" s="365"/>
      <c r="W552" s="35"/>
      <c r="X552" s="59"/>
      <c r="Y552" s="14">
        <f>SUM(Y542:Y551)</f>
        <v>135.79999999999998</v>
      </c>
      <c r="Z552" s="69">
        <f>SUM(Z542:Z551)</f>
        <v>133.84999999999997</v>
      </c>
      <c r="AA552" s="16">
        <f>Y552-Z552</f>
        <v>1.9500000000000171</v>
      </c>
      <c r="AB552" s="66">
        <f>AA552/Z552</f>
        <v>1.4568546880836889E-2</v>
      </c>
      <c r="AC552" s="121"/>
      <c r="AD552" s="23"/>
      <c r="AG552" s="34"/>
    </row>
    <row r="553" spans="1:46">
      <c r="A553" s="135" t="s">
        <v>2552</v>
      </c>
      <c r="B553" s="96" t="s">
        <v>2331</v>
      </c>
      <c r="C553" s="96" t="s">
        <v>2332</v>
      </c>
      <c r="D553" s="96" t="s">
        <v>2333</v>
      </c>
      <c r="E553" s="96" t="s">
        <v>2334</v>
      </c>
      <c r="F553" s="9" t="s">
        <v>1709</v>
      </c>
      <c r="G553" s="26" t="s">
        <v>682</v>
      </c>
      <c r="H553" s="56" t="s">
        <v>578</v>
      </c>
      <c r="I553" s="1" t="s">
        <v>131</v>
      </c>
      <c r="J553" s="364" t="s">
        <v>2189</v>
      </c>
      <c r="K553" s="364" t="s">
        <v>1820</v>
      </c>
      <c r="L553" s="364" t="s">
        <v>515</v>
      </c>
      <c r="M553" s="364"/>
      <c r="N553" s="364" t="s">
        <v>1708</v>
      </c>
      <c r="V553" s="371" t="s">
        <v>1699</v>
      </c>
      <c r="W553" s="11" t="s">
        <v>127</v>
      </c>
      <c r="X553" s="71" t="s">
        <v>2231</v>
      </c>
      <c r="Y553" s="29" t="s">
        <v>3</v>
      </c>
      <c r="Z553" s="18" t="s">
        <v>2113</v>
      </c>
      <c r="AA553" s="15" t="s">
        <v>8</v>
      </c>
      <c r="AB553" s="22" t="s">
        <v>4</v>
      </c>
      <c r="AC553" s="26" t="s">
        <v>211</v>
      </c>
      <c r="AD553" s="1" t="s">
        <v>131</v>
      </c>
      <c r="AE553" s="75" t="s">
        <v>2114</v>
      </c>
      <c r="AF553" s="76" t="s">
        <v>1826</v>
      </c>
      <c r="AG553" s="33" t="s">
        <v>1827</v>
      </c>
      <c r="AH553" s="47" t="s">
        <v>2329</v>
      </c>
    </row>
    <row r="554" spans="1:46" ht="16.5" customHeight="1">
      <c r="B554" s="85">
        <v>-467</v>
      </c>
      <c r="C554" s="85">
        <v>-992</v>
      </c>
      <c r="D554" s="85">
        <v>-467</v>
      </c>
      <c r="E554" s="85">
        <v>-992</v>
      </c>
      <c r="F554" s="7">
        <v>-9.84</v>
      </c>
      <c r="G554" s="42" t="s">
        <v>630</v>
      </c>
      <c r="H554" s="51" t="s">
        <v>2120</v>
      </c>
      <c r="I554" s="23" t="s">
        <v>631</v>
      </c>
      <c r="J554" s="371">
        <v>37.770000000000003</v>
      </c>
      <c r="K554" s="77">
        <v>19.420000000000002</v>
      </c>
      <c r="L554" s="77">
        <v>22.63</v>
      </c>
      <c r="N554" s="365">
        <f>V554+K554+J554+L554</f>
        <v>85.47</v>
      </c>
      <c r="V554" s="371">
        <v>5.65</v>
      </c>
      <c r="W554" s="35">
        <v>0.52</v>
      </c>
      <c r="X554" s="100">
        <f>W554/Y554</f>
        <v>2.2365591397849462E-2</v>
      </c>
      <c r="Y554" s="37">
        <v>23.25</v>
      </c>
      <c r="Z554" s="46">
        <v>22.4</v>
      </c>
      <c r="AA554" s="16">
        <f>Y554-Z554</f>
        <v>0.85000000000000142</v>
      </c>
      <c r="AB554" s="66">
        <f>AA554/Z554</f>
        <v>3.7946428571428638E-2</v>
      </c>
      <c r="AC554" s="119" t="s">
        <v>2327</v>
      </c>
      <c r="AD554" s="23" t="s">
        <v>631</v>
      </c>
      <c r="AE554" s="89">
        <v>43696</v>
      </c>
      <c r="AF554" s="88">
        <v>43713</v>
      </c>
      <c r="AG554" s="34">
        <f>AF554-AE554</f>
        <v>17</v>
      </c>
      <c r="AH554" s="124"/>
    </row>
    <row r="555" spans="1:46" ht="16.5" customHeight="1">
      <c r="B555" s="85">
        <v>-467</v>
      </c>
      <c r="C555" s="85">
        <v>-992</v>
      </c>
      <c r="D555" s="85">
        <v>-467</v>
      </c>
      <c r="E555" s="85">
        <v>-992</v>
      </c>
      <c r="F555" s="7">
        <v>-9.84</v>
      </c>
      <c r="G555" s="42" t="s">
        <v>630</v>
      </c>
      <c r="H555" s="51" t="s">
        <v>2120</v>
      </c>
      <c r="I555" s="23" t="s">
        <v>631</v>
      </c>
      <c r="J555" s="371">
        <v>37.770000000000003</v>
      </c>
      <c r="K555" s="77">
        <v>19.420000000000002</v>
      </c>
      <c r="L555" s="77">
        <v>22.63</v>
      </c>
      <c r="N555" s="365">
        <f>V555+K555+J555+L555</f>
        <v>85.47</v>
      </c>
      <c r="V555" s="371">
        <v>5.65</v>
      </c>
      <c r="W555" s="35">
        <v>0.52</v>
      </c>
      <c r="X555" s="100">
        <f>W555/Y555</f>
        <v>2.2365591397849462E-2</v>
      </c>
      <c r="Y555" s="37">
        <v>23.25</v>
      </c>
      <c r="Z555" s="46">
        <v>22.4</v>
      </c>
      <c r="AA555" s="16">
        <f>Y555-Z555</f>
        <v>0.85000000000000142</v>
      </c>
      <c r="AB555" s="66">
        <f>AA555/Z555</f>
        <v>3.7946428571428638E-2</v>
      </c>
      <c r="AC555" s="119" t="s">
        <v>2327</v>
      </c>
      <c r="AD555" s="23" t="s">
        <v>631</v>
      </c>
      <c r="AE555" s="89">
        <v>43696</v>
      </c>
      <c r="AF555" s="88">
        <v>43713</v>
      </c>
      <c r="AG555" s="34">
        <f>AF555-AE555</f>
        <v>17</v>
      </c>
      <c r="AH555" s="50"/>
    </row>
    <row r="556" spans="1:46" ht="16.5" customHeight="1">
      <c r="B556" s="85"/>
      <c r="C556" s="85"/>
      <c r="D556" s="85"/>
      <c r="E556" s="85"/>
      <c r="F556" s="7"/>
      <c r="G556" s="42"/>
      <c r="H556" s="51"/>
      <c r="I556" s="23"/>
      <c r="J556" s="371"/>
      <c r="K556" s="77"/>
      <c r="N556" s="365"/>
      <c r="W556" s="35"/>
      <c r="X556" s="100"/>
      <c r="Y556" s="37">
        <f>SUM(Y554:Y555)</f>
        <v>46.5</v>
      </c>
      <c r="Z556" s="46">
        <f>SUM(Z554:Z555)</f>
        <v>44.8</v>
      </c>
      <c r="AA556" s="16">
        <f>SUM(AA554:AA555)</f>
        <v>1.7000000000000028</v>
      </c>
      <c r="AB556" s="66">
        <f>AA556/Z556</f>
        <v>3.7946428571428638E-2</v>
      </c>
      <c r="AC556" s="119"/>
      <c r="AD556" s="23"/>
      <c r="AG556" s="34"/>
      <c r="AH556" s="50"/>
    </row>
    <row r="557" spans="1:46">
      <c r="A557" s="135" t="s">
        <v>2552</v>
      </c>
      <c r="B557" s="96" t="s">
        <v>2331</v>
      </c>
      <c r="C557" s="96" t="s">
        <v>2332</v>
      </c>
      <c r="D557" s="96" t="s">
        <v>2333</v>
      </c>
      <c r="E557" s="96" t="s">
        <v>2334</v>
      </c>
      <c r="F557" s="9" t="s">
        <v>1709</v>
      </c>
      <c r="G557" s="26" t="s">
        <v>682</v>
      </c>
      <c r="H557" s="56" t="s">
        <v>578</v>
      </c>
      <c r="I557" s="1" t="s">
        <v>131</v>
      </c>
      <c r="J557" s="364" t="s">
        <v>2189</v>
      </c>
      <c r="K557" s="364" t="s">
        <v>1820</v>
      </c>
      <c r="L557" s="364" t="s">
        <v>515</v>
      </c>
      <c r="M557" s="364"/>
      <c r="N557" s="364" t="s">
        <v>1708</v>
      </c>
      <c r="V557" s="371" t="s">
        <v>1699</v>
      </c>
      <c r="W557" s="11" t="s">
        <v>127</v>
      </c>
      <c r="X557" s="71" t="s">
        <v>2231</v>
      </c>
      <c r="Y557" s="29" t="s">
        <v>3</v>
      </c>
      <c r="Z557" s="18" t="s">
        <v>2113</v>
      </c>
      <c r="AA557" s="15" t="s">
        <v>8</v>
      </c>
      <c r="AB557" s="22" t="s">
        <v>4</v>
      </c>
      <c r="AC557" s="26" t="s">
        <v>211</v>
      </c>
      <c r="AD557" s="1" t="s">
        <v>131</v>
      </c>
      <c r="AE557" s="75" t="s">
        <v>2114</v>
      </c>
      <c r="AF557" s="76" t="s">
        <v>1826</v>
      </c>
      <c r="AG557" s="33" t="s">
        <v>1827</v>
      </c>
      <c r="AH557" s="47" t="s">
        <v>2337</v>
      </c>
    </row>
    <row r="558" spans="1:46">
      <c r="B558" s="85">
        <v>-45</v>
      </c>
      <c r="C558" s="85">
        <v>-62</v>
      </c>
      <c r="D558" s="85">
        <v>-45</v>
      </c>
      <c r="E558" s="85">
        <v>-62</v>
      </c>
      <c r="F558" s="59">
        <v>10.51</v>
      </c>
      <c r="G558" s="20" t="s">
        <v>1001</v>
      </c>
      <c r="H558" s="51" t="s">
        <v>2120</v>
      </c>
      <c r="I558" s="23" t="s">
        <v>1002</v>
      </c>
      <c r="J558" s="371">
        <v>37.96</v>
      </c>
      <c r="K558" s="371">
        <v>0.8</v>
      </c>
      <c r="L558" s="77">
        <v>1.97</v>
      </c>
      <c r="N558" s="365">
        <f>V558+K558+J558+L558</f>
        <v>61.07</v>
      </c>
      <c r="V558" s="371">
        <v>20.34</v>
      </c>
      <c r="W558" s="35">
        <v>1.98</v>
      </c>
      <c r="X558" s="100">
        <f>W558/Y558</f>
        <v>6.815834767641997E-2</v>
      </c>
      <c r="Y558" s="37">
        <v>29.05</v>
      </c>
      <c r="Z558" s="69">
        <f>30.34-2.06</f>
        <v>28.28</v>
      </c>
      <c r="AA558" s="16">
        <f>Y558-Z558</f>
        <v>0.76999999999999957</v>
      </c>
      <c r="AB558" s="66">
        <f>AA558/Z558</f>
        <v>2.722772277227721E-2</v>
      </c>
      <c r="AC558" s="136" t="s">
        <v>2235</v>
      </c>
      <c r="AD558" s="23" t="s">
        <v>1002</v>
      </c>
      <c r="AE558" s="89">
        <v>43321</v>
      </c>
      <c r="AF558" s="88">
        <v>43697</v>
      </c>
      <c r="AG558" s="81">
        <f>AF558-AE558</f>
        <v>376</v>
      </c>
      <c r="AH558" s="50"/>
    </row>
    <row r="559" spans="1:46">
      <c r="B559" s="84">
        <v>525</v>
      </c>
      <c r="C559" s="84">
        <v>8</v>
      </c>
      <c r="D559" s="84">
        <v>525</v>
      </c>
      <c r="E559" s="84">
        <v>8</v>
      </c>
      <c r="F559" s="7">
        <v>4.24</v>
      </c>
      <c r="G559" s="42" t="s">
        <v>719</v>
      </c>
      <c r="H559" s="51" t="s">
        <v>2120</v>
      </c>
      <c r="I559" s="23" t="s">
        <v>720</v>
      </c>
      <c r="J559" s="77">
        <v>42.59</v>
      </c>
      <c r="K559" s="371">
        <v>10.37</v>
      </c>
      <c r="L559" s="371">
        <v>9.83</v>
      </c>
      <c r="N559" s="365">
        <f>V559+K559+J559+L559</f>
        <v>76.27</v>
      </c>
      <c r="V559" s="371">
        <v>13.48</v>
      </c>
      <c r="W559" s="35">
        <v>2.5</v>
      </c>
      <c r="X559" s="100">
        <f>W559/Y559</f>
        <v>9.727626459143969E-2</v>
      </c>
      <c r="Y559" s="37">
        <v>25.7</v>
      </c>
      <c r="Z559" s="69">
        <f>27.08-2.5</f>
        <v>24.58</v>
      </c>
      <c r="AA559" s="16">
        <f>Y559-Z559</f>
        <v>1.120000000000001</v>
      </c>
      <c r="AB559" s="66">
        <f>AA559/Z559</f>
        <v>4.5565500406834866E-2</v>
      </c>
      <c r="AC559" s="136" t="s">
        <v>2218</v>
      </c>
      <c r="AD559" s="23" t="s">
        <v>720</v>
      </c>
      <c r="AE559" s="89">
        <v>43335</v>
      </c>
      <c r="AF559" s="88">
        <v>43690</v>
      </c>
      <c r="AG559" s="81">
        <f>AF559-AE559</f>
        <v>355</v>
      </c>
      <c r="AH559" s="50"/>
    </row>
    <row r="560" spans="1:46">
      <c r="B560" s="84">
        <v>525</v>
      </c>
      <c r="C560" s="84">
        <v>8</v>
      </c>
      <c r="D560" s="84">
        <v>525</v>
      </c>
      <c r="E560" s="84">
        <v>8</v>
      </c>
      <c r="F560" s="7">
        <v>4.24</v>
      </c>
      <c r="G560" s="42" t="s">
        <v>719</v>
      </c>
      <c r="H560" s="9" t="s">
        <v>2119</v>
      </c>
      <c r="I560" s="23" t="s">
        <v>720</v>
      </c>
      <c r="J560" s="77">
        <v>42.59</v>
      </c>
      <c r="K560" s="371">
        <v>10.37</v>
      </c>
      <c r="L560" s="371">
        <v>9.83</v>
      </c>
      <c r="N560" s="365">
        <f>V560+K560+J560+L560</f>
        <v>76.27</v>
      </c>
      <c r="V560" s="371">
        <v>13.48</v>
      </c>
      <c r="W560" s="35">
        <v>2.5</v>
      </c>
      <c r="X560" s="100">
        <f>W560/Y560</f>
        <v>9.727626459143969E-2</v>
      </c>
      <c r="Y560" s="37">
        <v>25.7</v>
      </c>
      <c r="Z560" s="69">
        <f>27.03-2.5</f>
        <v>24.53</v>
      </c>
      <c r="AA560" s="16">
        <f>Y560-Z560</f>
        <v>1.1699999999999982</v>
      </c>
      <c r="AB560" s="66">
        <f>AA560/Z560</f>
        <v>4.7696697920913092E-2</v>
      </c>
      <c r="AC560" s="136" t="s">
        <v>2217</v>
      </c>
      <c r="AD560" s="23" t="s">
        <v>720</v>
      </c>
      <c r="AE560" s="89">
        <v>43360</v>
      </c>
      <c r="AF560" s="88">
        <v>43690</v>
      </c>
      <c r="AG560" s="81">
        <f>AF560-AE560</f>
        <v>330</v>
      </c>
      <c r="AH560" s="50"/>
    </row>
    <row r="561" spans="1:34">
      <c r="B561" s="84"/>
      <c r="C561" s="84"/>
      <c r="D561" s="84"/>
      <c r="E561" s="84"/>
      <c r="F561" s="7"/>
      <c r="H561" s="9"/>
      <c r="I561" s="23"/>
      <c r="J561" s="371"/>
      <c r="K561" s="77"/>
      <c r="L561" s="371"/>
      <c r="N561" s="365"/>
      <c r="W561" s="35"/>
      <c r="X561" s="100"/>
      <c r="Y561" s="14">
        <f>SUM(Y558:Y560)</f>
        <v>80.45</v>
      </c>
      <c r="Z561" s="46">
        <f>SUM(Z558:Z560)</f>
        <v>77.39</v>
      </c>
      <c r="AA561" s="16">
        <f>Y561-Z561</f>
        <v>3.0600000000000023</v>
      </c>
      <c r="AB561" s="66">
        <f>AA561/Z561</f>
        <v>3.9539992247060375E-2</v>
      </c>
      <c r="AC561" s="136"/>
      <c r="AD561" s="23"/>
      <c r="AG561" s="34"/>
      <c r="AH561" s="129"/>
    </row>
    <row r="562" spans="1:34">
      <c r="A562" s="135" t="s">
        <v>2552</v>
      </c>
      <c r="B562" s="96" t="s">
        <v>2331</v>
      </c>
      <c r="C562" s="96" t="s">
        <v>2332</v>
      </c>
      <c r="D562" s="96" t="s">
        <v>2333</v>
      </c>
      <c r="E562" s="96" t="s">
        <v>2334</v>
      </c>
      <c r="F562" s="9" t="s">
        <v>1709</v>
      </c>
      <c r="G562" s="26" t="s">
        <v>682</v>
      </c>
      <c r="H562" s="56" t="s">
        <v>578</v>
      </c>
      <c r="I562" s="1" t="s">
        <v>131</v>
      </c>
      <c r="J562" s="364" t="s">
        <v>2189</v>
      </c>
      <c r="K562" s="364" t="s">
        <v>1820</v>
      </c>
      <c r="L562" s="364" t="s">
        <v>515</v>
      </c>
      <c r="M562" s="364"/>
      <c r="N562" s="364" t="s">
        <v>1708</v>
      </c>
      <c r="V562" s="371" t="s">
        <v>1699</v>
      </c>
      <c r="W562" s="11" t="s">
        <v>127</v>
      </c>
      <c r="X562" s="71" t="s">
        <v>2231</v>
      </c>
      <c r="Y562" s="29" t="s">
        <v>3</v>
      </c>
      <c r="Z562" s="18" t="s">
        <v>2113</v>
      </c>
      <c r="AA562" s="15" t="s">
        <v>8</v>
      </c>
      <c r="AB562" s="22" t="s">
        <v>4</v>
      </c>
      <c r="AC562" s="26" t="s">
        <v>211</v>
      </c>
      <c r="AD562" s="1" t="s">
        <v>131</v>
      </c>
      <c r="AE562" s="75" t="s">
        <v>2114</v>
      </c>
      <c r="AF562" s="76" t="s">
        <v>1826</v>
      </c>
      <c r="AG562" s="33" t="s">
        <v>1827</v>
      </c>
      <c r="AH562" s="47" t="s">
        <v>2336</v>
      </c>
    </row>
    <row r="563" spans="1:34">
      <c r="A563" s="42"/>
      <c r="B563" s="85">
        <v>-92</v>
      </c>
      <c r="C563" s="85">
        <v>-95</v>
      </c>
      <c r="D563" s="85">
        <v>-92</v>
      </c>
      <c r="E563" s="85">
        <v>-95</v>
      </c>
      <c r="F563" s="7">
        <v>1.42</v>
      </c>
      <c r="G563" s="20" t="s">
        <v>1694</v>
      </c>
      <c r="H563" s="51" t="s">
        <v>2120</v>
      </c>
      <c r="I563" s="23" t="s">
        <v>84</v>
      </c>
      <c r="J563" s="77">
        <v>41.39</v>
      </c>
      <c r="K563" s="77">
        <v>25.24</v>
      </c>
      <c r="L563" s="77">
        <v>16.68</v>
      </c>
      <c r="N563" s="365">
        <f t="shared" ref="N563:N569" si="349">V563+K563+J563+L563</f>
        <v>86.35</v>
      </c>
      <c r="V563" s="371">
        <v>3.04</v>
      </c>
      <c r="W563" s="35">
        <v>1.2</v>
      </c>
      <c r="X563" s="100">
        <f t="shared" ref="X563:X569" si="350">W563/Y563</f>
        <v>3.8399999999999997E-2</v>
      </c>
      <c r="Y563" s="37">
        <v>31.25</v>
      </c>
      <c r="Z563" s="69">
        <v>21.58</v>
      </c>
      <c r="AA563" s="16">
        <f t="shared" ref="AA563:AA569" si="351">Y563-Z563</f>
        <v>9.6700000000000017</v>
      </c>
      <c r="AB563" s="66">
        <f t="shared" ref="AB563:AB570" si="352">AA563/Z563</f>
        <v>0.44810009267840606</v>
      </c>
      <c r="AC563" s="119" t="s">
        <v>2190</v>
      </c>
      <c r="AD563" s="23" t="s">
        <v>84</v>
      </c>
      <c r="AE563" s="89">
        <v>43566</v>
      </c>
      <c r="AF563" s="88">
        <v>43676</v>
      </c>
      <c r="AG563" s="81">
        <f t="shared" ref="AG563:AG569" si="353">AF563-AE563</f>
        <v>110</v>
      </c>
      <c r="AH563" s="50"/>
    </row>
    <row r="564" spans="1:34">
      <c r="A564" s="42"/>
      <c r="B564" s="84">
        <v>249</v>
      </c>
      <c r="C564" s="84">
        <v>39</v>
      </c>
      <c r="D564" s="84">
        <v>249</v>
      </c>
      <c r="E564" s="84">
        <v>39</v>
      </c>
      <c r="F564" s="59">
        <v>12.02</v>
      </c>
      <c r="G564" s="20" t="s">
        <v>1180</v>
      </c>
      <c r="H564" s="51" t="s">
        <v>2120</v>
      </c>
      <c r="I564" s="23" t="s">
        <v>1181</v>
      </c>
      <c r="J564" s="77">
        <v>63.55</v>
      </c>
      <c r="K564" s="77">
        <v>33.49</v>
      </c>
      <c r="L564" s="77">
        <v>18.34</v>
      </c>
      <c r="N564" s="77">
        <f t="shared" si="349"/>
        <v>146.45000000000002</v>
      </c>
      <c r="V564" s="371">
        <v>31.07</v>
      </c>
      <c r="W564" s="35">
        <v>1.8</v>
      </c>
      <c r="X564" s="59">
        <f t="shared" si="350"/>
        <v>3.7460978147762752E-2</v>
      </c>
      <c r="Y564" s="14">
        <v>48.05</v>
      </c>
      <c r="Z564" s="69">
        <f>35.75-1.8</f>
        <v>33.950000000000003</v>
      </c>
      <c r="AA564" s="16">
        <f t="shared" si="351"/>
        <v>14.099999999999994</v>
      </c>
      <c r="AB564" s="66">
        <f t="shared" si="352"/>
        <v>0.41531664212076563</v>
      </c>
      <c r="AC564" s="136" t="s">
        <v>2202</v>
      </c>
      <c r="AD564" s="23" t="s">
        <v>1181</v>
      </c>
      <c r="AE564" s="89">
        <v>43362</v>
      </c>
      <c r="AF564" s="88">
        <v>43676</v>
      </c>
      <c r="AG564" s="81">
        <f t="shared" si="353"/>
        <v>314</v>
      </c>
      <c r="AH564" s="50"/>
    </row>
    <row r="565" spans="1:34">
      <c r="A565" s="42"/>
      <c r="B565" s="84">
        <v>249</v>
      </c>
      <c r="C565" s="84">
        <v>39</v>
      </c>
      <c r="D565" s="84">
        <v>249</v>
      </c>
      <c r="E565" s="84">
        <v>39</v>
      </c>
      <c r="F565" s="59">
        <v>12.02</v>
      </c>
      <c r="G565" s="20" t="s">
        <v>1180</v>
      </c>
      <c r="H565" s="9" t="s">
        <v>2119</v>
      </c>
      <c r="I565" s="23" t="s">
        <v>1181</v>
      </c>
      <c r="J565" s="77">
        <v>63.55</v>
      </c>
      <c r="K565" s="77">
        <v>33.49</v>
      </c>
      <c r="L565" s="77">
        <v>18.34</v>
      </c>
      <c r="N565" s="77">
        <f t="shared" si="349"/>
        <v>146.45000000000002</v>
      </c>
      <c r="V565" s="371">
        <v>31.07</v>
      </c>
      <c r="W565" s="35">
        <v>1.8</v>
      </c>
      <c r="X565" s="59">
        <f t="shared" si="350"/>
        <v>3.7460978147762752E-2</v>
      </c>
      <c r="Y565" s="14">
        <v>48.05</v>
      </c>
      <c r="Z565" s="69">
        <f>35.75-1.8</f>
        <v>33.950000000000003</v>
      </c>
      <c r="AA565" s="16">
        <f t="shared" si="351"/>
        <v>14.099999999999994</v>
      </c>
      <c r="AB565" s="66">
        <f t="shared" si="352"/>
        <v>0.41531664212076563</v>
      </c>
      <c r="AC565" s="136" t="s">
        <v>2202</v>
      </c>
      <c r="AD565" s="23" t="s">
        <v>1181</v>
      </c>
      <c r="AE565" s="89">
        <v>43362</v>
      </c>
      <c r="AF565" s="88">
        <v>43676</v>
      </c>
      <c r="AG565" s="81">
        <f t="shared" si="353"/>
        <v>314</v>
      </c>
      <c r="AH565" s="50"/>
    </row>
    <row r="566" spans="1:34">
      <c r="A566" s="42"/>
      <c r="B566" s="84">
        <v>476</v>
      </c>
      <c r="C566" s="84">
        <v>181</v>
      </c>
      <c r="D566" s="84">
        <v>476</v>
      </c>
      <c r="E566" s="84">
        <v>181</v>
      </c>
      <c r="F566" s="7">
        <v>3.5</v>
      </c>
      <c r="G566" s="20" t="s">
        <v>1102</v>
      </c>
      <c r="H566" s="51" t="s">
        <v>2120</v>
      </c>
      <c r="I566" s="17" t="s">
        <v>1103</v>
      </c>
      <c r="J566" s="371">
        <v>40.26</v>
      </c>
      <c r="K566" s="371">
        <v>10.1</v>
      </c>
      <c r="L566" s="371">
        <v>4.92</v>
      </c>
      <c r="N566" s="365">
        <f t="shared" si="349"/>
        <v>89.42</v>
      </c>
      <c r="V566" s="371">
        <v>34.14</v>
      </c>
      <c r="W566" s="35">
        <v>2</v>
      </c>
      <c r="X566" s="59">
        <f t="shared" si="350"/>
        <v>8.4033613445378144E-2</v>
      </c>
      <c r="Y566" s="37">
        <v>23.8</v>
      </c>
      <c r="Z566" s="69">
        <f>22.33-2</f>
        <v>20.329999999999998</v>
      </c>
      <c r="AA566" s="16">
        <f t="shared" si="351"/>
        <v>3.4700000000000024</v>
      </c>
      <c r="AB566" s="66">
        <f t="shared" si="352"/>
        <v>0.17068371864240053</v>
      </c>
      <c r="AC566" s="136" t="s">
        <v>2203</v>
      </c>
      <c r="AD566" s="17" t="s">
        <v>1103</v>
      </c>
      <c r="AE566" s="89">
        <v>43360</v>
      </c>
      <c r="AF566" s="88">
        <v>43676</v>
      </c>
      <c r="AG566" s="81">
        <f t="shared" si="353"/>
        <v>316</v>
      </c>
      <c r="AH566" s="50"/>
    </row>
    <row r="567" spans="1:34">
      <c r="A567" s="42"/>
      <c r="B567" s="84">
        <v>476</v>
      </c>
      <c r="C567" s="84">
        <v>181</v>
      </c>
      <c r="D567" s="84">
        <v>476</v>
      </c>
      <c r="E567" s="84">
        <v>181</v>
      </c>
      <c r="F567" s="7">
        <v>3.5</v>
      </c>
      <c r="G567" s="20" t="s">
        <v>1102</v>
      </c>
      <c r="H567" s="9" t="s">
        <v>2119</v>
      </c>
      <c r="I567" s="17" t="s">
        <v>1103</v>
      </c>
      <c r="J567" s="371">
        <v>40.26</v>
      </c>
      <c r="K567" s="371">
        <v>10.1</v>
      </c>
      <c r="L567" s="371">
        <v>4.92</v>
      </c>
      <c r="N567" s="365">
        <f t="shared" si="349"/>
        <v>89.42</v>
      </c>
      <c r="V567" s="371">
        <v>34.14</v>
      </c>
      <c r="W567" s="35">
        <v>2</v>
      </c>
      <c r="X567" s="59">
        <f t="shared" si="350"/>
        <v>8.4033613445378144E-2</v>
      </c>
      <c r="Y567" s="37">
        <v>23.8</v>
      </c>
      <c r="Z567" s="69">
        <f>21.78-2</f>
        <v>19.78</v>
      </c>
      <c r="AA567" s="16">
        <f t="shared" si="351"/>
        <v>4.0199999999999996</v>
      </c>
      <c r="AB567" s="66">
        <f t="shared" si="352"/>
        <v>0.20323559150657225</v>
      </c>
      <c r="AC567" s="136" t="s">
        <v>2204</v>
      </c>
      <c r="AD567" s="17" t="s">
        <v>1103</v>
      </c>
      <c r="AE567" s="89">
        <v>43354</v>
      </c>
      <c r="AF567" s="88">
        <v>43676</v>
      </c>
      <c r="AG567" s="81">
        <f t="shared" si="353"/>
        <v>322</v>
      </c>
      <c r="AH567" s="50"/>
    </row>
    <row r="568" spans="1:34">
      <c r="A568" s="42"/>
      <c r="B568" s="84">
        <v>26</v>
      </c>
      <c r="C568" s="85">
        <v>-22</v>
      </c>
      <c r="D568" s="84">
        <v>26</v>
      </c>
      <c r="E568" s="85">
        <v>-22</v>
      </c>
      <c r="F568" s="7">
        <v>6.6</v>
      </c>
      <c r="G568" s="20" t="s">
        <v>517</v>
      </c>
      <c r="H568" s="51" t="s">
        <v>2120</v>
      </c>
      <c r="I568" s="23" t="s">
        <v>518</v>
      </c>
      <c r="J568" s="371">
        <v>20.67</v>
      </c>
      <c r="K568" s="371">
        <v>8.16</v>
      </c>
      <c r="L568" s="77">
        <v>10.37</v>
      </c>
      <c r="N568" s="365">
        <f t="shared" si="349"/>
        <v>49.35</v>
      </c>
      <c r="V568" s="371">
        <v>10.15</v>
      </c>
      <c r="W568" s="35">
        <v>0.85</v>
      </c>
      <c r="X568" s="100">
        <f t="shared" si="350"/>
        <v>2.8192371475953566E-2</v>
      </c>
      <c r="Y568" s="37">
        <v>30.15</v>
      </c>
      <c r="Z568" s="69">
        <f>31.74-1.5-0.85</f>
        <v>29.389999999999997</v>
      </c>
      <c r="AA568" s="16">
        <f t="shared" si="351"/>
        <v>0.76000000000000156</v>
      </c>
      <c r="AB568" s="66">
        <f t="shared" si="352"/>
        <v>2.5859135760462799E-2</v>
      </c>
      <c r="AC568" s="136" t="s">
        <v>2205</v>
      </c>
      <c r="AD568" s="23" t="s">
        <v>518</v>
      </c>
      <c r="AE568" s="89">
        <v>43215</v>
      </c>
      <c r="AF568" s="88">
        <v>43676</v>
      </c>
      <c r="AG568" s="81">
        <f t="shared" si="353"/>
        <v>461</v>
      </c>
      <c r="AH568" s="50"/>
    </row>
    <row r="569" spans="1:34">
      <c r="A569" s="42"/>
      <c r="B569" s="84">
        <v>26</v>
      </c>
      <c r="C569" s="85">
        <v>-22</v>
      </c>
      <c r="D569" s="84">
        <v>26</v>
      </c>
      <c r="E569" s="85">
        <v>-22</v>
      </c>
      <c r="F569" s="7">
        <v>6.6</v>
      </c>
      <c r="G569" s="20" t="s">
        <v>517</v>
      </c>
      <c r="H569" s="9" t="s">
        <v>2119</v>
      </c>
      <c r="I569" s="23" t="s">
        <v>518</v>
      </c>
      <c r="J569" s="371">
        <v>20.67</v>
      </c>
      <c r="K569" s="371">
        <v>8.16</v>
      </c>
      <c r="L569" s="77">
        <v>10.37</v>
      </c>
      <c r="N569" s="365">
        <f t="shared" si="349"/>
        <v>49.35</v>
      </c>
      <c r="V569" s="371">
        <v>10.15</v>
      </c>
      <c r="W569" s="35">
        <v>0.85</v>
      </c>
      <c r="X569" s="100">
        <f t="shared" si="350"/>
        <v>2.8192371475953566E-2</v>
      </c>
      <c r="Y569" s="37">
        <v>30.15</v>
      </c>
      <c r="Z569" s="69">
        <f>29.24-0.85</f>
        <v>28.389999999999997</v>
      </c>
      <c r="AA569" s="16">
        <f t="shared" si="351"/>
        <v>1.7600000000000016</v>
      </c>
      <c r="AB569" s="66">
        <f t="shared" si="352"/>
        <v>6.1993659739344904E-2</v>
      </c>
      <c r="AC569" s="136" t="s">
        <v>2206</v>
      </c>
      <c r="AD569" s="23" t="s">
        <v>518</v>
      </c>
      <c r="AE569" s="89">
        <v>43361</v>
      </c>
      <c r="AF569" s="88">
        <v>43676</v>
      </c>
      <c r="AG569" s="81">
        <f t="shared" si="353"/>
        <v>315</v>
      </c>
      <c r="AH569" s="50"/>
    </row>
    <row r="570" spans="1:34">
      <c r="F570" s="284"/>
      <c r="H570" s="284"/>
      <c r="N570" s="375"/>
      <c r="W570" s="73"/>
      <c r="X570" s="242"/>
      <c r="Y570" s="14">
        <f>SUM(Y563:Y569)</f>
        <v>235.25000000000003</v>
      </c>
      <c r="Z570" s="46">
        <f>SUM(Z563:Z569)</f>
        <v>187.36999999999998</v>
      </c>
      <c r="AA570" s="73">
        <f>SUM(AA563:AA569)</f>
        <v>47.879999999999995</v>
      </c>
      <c r="AB570" s="66">
        <f t="shared" si="352"/>
        <v>0.25553717243955809</v>
      </c>
      <c r="AC570" s="137"/>
      <c r="AD570" s="16"/>
      <c r="AE570" s="299"/>
      <c r="AF570" s="299"/>
      <c r="AG570" s="284"/>
      <c r="AH570" s="129"/>
    </row>
    <row r="571" spans="1:34">
      <c r="A571" s="135" t="s">
        <v>2552</v>
      </c>
      <c r="B571" s="96" t="s">
        <v>2331</v>
      </c>
      <c r="C571" s="96" t="s">
        <v>2332</v>
      </c>
      <c r="D571" s="96" t="s">
        <v>2333</v>
      </c>
      <c r="E571" s="96" t="s">
        <v>2334</v>
      </c>
      <c r="F571" s="9" t="s">
        <v>1709</v>
      </c>
      <c r="G571" s="26" t="s">
        <v>682</v>
      </c>
      <c r="H571" s="56" t="s">
        <v>578</v>
      </c>
      <c r="I571" s="1" t="s">
        <v>131</v>
      </c>
      <c r="J571" s="364" t="s">
        <v>2189</v>
      </c>
      <c r="K571" s="364" t="s">
        <v>1820</v>
      </c>
      <c r="L571" s="364" t="s">
        <v>515</v>
      </c>
      <c r="M571" s="364"/>
      <c r="N571" s="364" t="s">
        <v>1708</v>
      </c>
      <c r="V571" s="371" t="s">
        <v>1699</v>
      </c>
      <c r="W571" s="11" t="s">
        <v>127</v>
      </c>
      <c r="X571" s="71" t="s">
        <v>2231</v>
      </c>
      <c r="Y571" s="29" t="s">
        <v>2193</v>
      </c>
      <c r="Z571" s="18" t="s">
        <v>2194</v>
      </c>
      <c r="AA571" s="15" t="s">
        <v>2195</v>
      </c>
      <c r="AB571" s="22" t="s">
        <v>4</v>
      </c>
      <c r="AC571" s="26" t="s">
        <v>211</v>
      </c>
      <c r="AD571" s="1" t="s">
        <v>131</v>
      </c>
      <c r="AE571" s="75" t="s">
        <v>2114</v>
      </c>
      <c r="AF571" s="76" t="s">
        <v>1826</v>
      </c>
      <c r="AG571" s="33" t="s">
        <v>1827</v>
      </c>
      <c r="AH571" s="47" t="s">
        <v>2363</v>
      </c>
    </row>
    <row r="572" spans="1:34">
      <c r="A572" s="42"/>
      <c r="B572" s="85" t="s">
        <v>516</v>
      </c>
      <c r="C572" s="84" t="s">
        <v>539</v>
      </c>
      <c r="D572" s="85" t="s">
        <v>516</v>
      </c>
      <c r="E572" s="84" t="s">
        <v>539</v>
      </c>
      <c r="F572" s="7">
        <v>-70.83</v>
      </c>
      <c r="G572" s="58" t="s">
        <v>1226</v>
      </c>
      <c r="H572" s="51" t="s">
        <v>2120</v>
      </c>
      <c r="I572" s="23" t="s">
        <v>1227</v>
      </c>
      <c r="J572" s="77">
        <v>92.03</v>
      </c>
      <c r="K572" s="371">
        <v>7.93</v>
      </c>
      <c r="L572" s="77">
        <v>25.79</v>
      </c>
      <c r="N572" s="77">
        <f t="shared" ref="N572:N577" si="354">V572+K572+J572+L572</f>
        <v>145.13999999999999</v>
      </c>
      <c r="V572" s="371">
        <v>19.39</v>
      </c>
      <c r="W572" s="35">
        <v>0.5</v>
      </c>
      <c r="X572" s="100">
        <f t="shared" ref="X572:X578" si="355">W572/Y572</f>
        <v>3.1446540880503145E-2</v>
      </c>
      <c r="Y572" s="14">
        <v>15.9</v>
      </c>
      <c r="Z572" s="153">
        <v>25</v>
      </c>
      <c r="AA572" s="78">
        <f t="shared" ref="AA572:AA577" si="356">Y572*Z572</f>
        <v>397.5</v>
      </c>
      <c r="AB572" s="3">
        <f t="shared" ref="AB572:AB578" si="357">AA572/Z572</f>
        <v>15.9</v>
      </c>
      <c r="AC572" s="136"/>
      <c r="AD572" s="23" t="s">
        <v>1227</v>
      </c>
      <c r="AG572" s="34">
        <f t="shared" ref="AG572:AG577" si="358">AF572-AE572</f>
        <v>0</v>
      </c>
      <c r="AH572" s="50"/>
    </row>
    <row r="573" spans="1:34">
      <c r="A573" s="42"/>
      <c r="B573" s="84" t="s">
        <v>516</v>
      </c>
      <c r="C573" s="84"/>
      <c r="D573" s="84" t="s">
        <v>516</v>
      </c>
      <c r="E573" s="84"/>
      <c r="F573" s="7"/>
      <c r="G573" s="20" t="s">
        <v>61</v>
      </c>
      <c r="H573" s="51" t="s">
        <v>2120</v>
      </c>
      <c r="I573" s="23" t="s">
        <v>485</v>
      </c>
      <c r="J573" s="77">
        <v>68.61</v>
      </c>
      <c r="K573" s="371">
        <v>27.12</v>
      </c>
      <c r="L573" s="371">
        <v>1.17</v>
      </c>
      <c r="N573" s="365">
        <f t="shared" si="354"/>
        <v>119.02</v>
      </c>
      <c r="V573" s="371">
        <v>22.12</v>
      </c>
      <c r="W573" s="35">
        <v>0.8</v>
      </c>
      <c r="X573" s="100">
        <f t="shared" si="355"/>
        <v>5.9479553903345729E-2</v>
      </c>
      <c r="Y573" s="14">
        <v>13.45</v>
      </c>
      <c r="Z573" s="210">
        <v>31</v>
      </c>
      <c r="AA573" s="78">
        <f t="shared" si="356"/>
        <v>416.95</v>
      </c>
      <c r="AB573" s="3">
        <f t="shared" si="357"/>
        <v>13.45</v>
      </c>
      <c r="AC573" s="138"/>
      <c r="AD573" s="23" t="s">
        <v>485</v>
      </c>
      <c r="AG573" s="34">
        <f t="shared" si="358"/>
        <v>0</v>
      </c>
      <c r="AH573" s="50"/>
    </row>
    <row r="574" spans="1:34">
      <c r="A574" s="42"/>
      <c r="B574" s="84" t="s">
        <v>516</v>
      </c>
      <c r="C574" s="84" t="s">
        <v>539</v>
      </c>
      <c r="D574" s="84" t="s">
        <v>516</v>
      </c>
      <c r="E574" s="84" t="s">
        <v>539</v>
      </c>
      <c r="F574" s="7">
        <v>7.08</v>
      </c>
      <c r="G574" s="20" t="s">
        <v>2115</v>
      </c>
      <c r="H574" s="51" t="s">
        <v>2120</v>
      </c>
      <c r="I574" s="23" t="s">
        <v>820</v>
      </c>
      <c r="J574" s="77">
        <v>50.16</v>
      </c>
      <c r="K574" s="77">
        <v>28.06</v>
      </c>
      <c r="L574" s="77">
        <v>35.39</v>
      </c>
      <c r="N574" s="365">
        <f t="shared" si="354"/>
        <v>115.58999999999999</v>
      </c>
      <c r="V574" s="371">
        <v>1.98</v>
      </c>
      <c r="W574" s="35">
        <v>2.56</v>
      </c>
      <c r="X574" s="100">
        <f t="shared" si="355"/>
        <v>4.8301886792452828E-2</v>
      </c>
      <c r="Y574" s="14">
        <v>53</v>
      </c>
      <c r="Z574" s="153">
        <v>32</v>
      </c>
      <c r="AA574" s="78">
        <f t="shared" si="356"/>
        <v>1696</v>
      </c>
      <c r="AB574" s="3">
        <f t="shared" si="357"/>
        <v>53</v>
      </c>
      <c r="AC574" s="136"/>
      <c r="AD574" s="23" t="s">
        <v>820</v>
      </c>
      <c r="AG574" s="34">
        <f t="shared" si="358"/>
        <v>0</v>
      </c>
      <c r="AH574" s="50"/>
    </row>
    <row r="575" spans="1:34">
      <c r="A575" s="42"/>
      <c r="B575" s="84" t="s">
        <v>516</v>
      </c>
      <c r="C575" s="84" t="s">
        <v>539</v>
      </c>
      <c r="D575" s="84" t="s">
        <v>516</v>
      </c>
      <c r="E575" s="84" t="s">
        <v>539</v>
      </c>
      <c r="F575" s="7">
        <v>4.6100000000000003</v>
      </c>
      <c r="G575" s="42" t="s">
        <v>1716</v>
      </c>
      <c r="H575" s="51" t="s">
        <v>2120</v>
      </c>
      <c r="I575" s="17" t="s">
        <v>425</v>
      </c>
      <c r="J575" s="371">
        <v>39.42</v>
      </c>
      <c r="K575" s="77">
        <v>8.0500000000000007</v>
      </c>
      <c r="L575" s="371">
        <v>42.3</v>
      </c>
      <c r="N575" s="365">
        <f t="shared" si="354"/>
        <v>106.74</v>
      </c>
      <c r="V575" s="371">
        <v>16.97</v>
      </c>
      <c r="W575" s="35">
        <v>0</v>
      </c>
      <c r="X575" s="100">
        <f t="shared" si="355"/>
        <v>0</v>
      </c>
      <c r="Y575" s="37">
        <v>38.85</v>
      </c>
      <c r="Z575" s="153">
        <v>19</v>
      </c>
      <c r="AA575" s="78">
        <f t="shared" si="356"/>
        <v>738.15</v>
      </c>
      <c r="AB575" s="3">
        <f t="shared" si="357"/>
        <v>38.85</v>
      </c>
      <c r="AC575" s="136"/>
      <c r="AD575" s="17" t="s">
        <v>425</v>
      </c>
      <c r="AG575" s="34">
        <f t="shared" si="358"/>
        <v>0</v>
      </c>
      <c r="AH575" s="50"/>
    </row>
    <row r="576" spans="1:34">
      <c r="A576" s="42"/>
      <c r="B576" s="84" t="s">
        <v>516</v>
      </c>
      <c r="C576" s="84" t="s">
        <v>539</v>
      </c>
      <c r="D576" s="84" t="s">
        <v>516</v>
      </c>
      <c r="E576" s="84" t="s">
        <v>539</v>
      </c>
      <c r="F576" s="7">
        <v>4.6100000000000003</v>
      </c>
      <c r="G576" s="42" t="s">
        <v>1716</v>
      </c>
      <c r="H576" s="51" t="s">
        <v>2120</v>
      </c>
      <c r="I576" s="17" t="s">
        <v>425</v>
      </c>
      <c r="J576" s="371">
        <v>39.42</v>
      </c>
      <c r="K576" s="77">
        <v>8.0500000000000007</v>
      </c>
      <c r="L576" s="371">
        <v>42.3</v>
      </c>
      <c r="N576" s="365">
        <f t="shared" si="354"/>
        <v>106.74</v>
      </c>
      <c r="V576" s="371">
        <v>16.97</v>
      </c>
      <c r="W576" s="35">
        <v>0</v>
      </c>
      <c r="X576" s="100">
        <f t="shared" si="355"/>
        <v>0</v>
      </c>
      <c r="Y576" s="37">
        <v>37.799999999999997</v>
      </c>
      <c r="Z576" s="153">
        <v>78</v>
      </c>
      <c r="AA576" s="78">
        <f>Y576*Z576</f>
        <v>2948.3999999999996</v>
      </c>
      <c r="AB576" s="3">
        <f t="shared" si="357"/>
        <v>37.799999999999997</v>
      </c>
      <c r="AC576" s="136"/>
      <c r="AD576" s="17" t="s">
        <v>425</v>
      </c>
      <c r="AG576" s="34">
        <f>AF576-AE576</f>
        <v>0</v>
      </c>
      <c r="AH576" s="50"/>
    </row>
    <row r="577" spans="1:47">
      <c r="A577" s="42"/>
      <c r="B577" s="84" t="s">
        <v>516</v>
      </c>
      <c r="C577" s="84" t="s">
        <v>539</v>
      </c>
      <c r="D577" s="84" t="s">
        <v>516</v>
      </c>
      <c r="E577" s="84" t="s">
        <v>539</v>
      </c>
      <c r="F577" s="59">
        <v>11.06</v>
      </c>
      <c r="G577" s="42" t="s">
        <v>130</v>
      </c>
      <c r="H577" s="9" t="s">
        <v>2119</v>
      </c>
      <c r="I577" s="23" t="s">
        <v>512</v>
      </c>
      <c r="J577" s="77">
        <v>76.849999999999994</v>
      </c>
      <c r="K577" s="371">
        <v>24.2</v>
      </c>
      <c r="L577" s="371">
        <v>8.7100000000000009</v>
      </c>
      <c r="N577" s="365">
        <f t="shared" si="354"/>
        <v>122.59</v>
      </c>
      <c r="V577" s="371">
        <v>12.83</v>
      </c>
      <c r="W577" s="35">
        <v>3</v>
      </c>
      <c r="X577" s="100">
        <f t="shared" si="355"/>
        <v>6.5146579804560262E-2</v>
      </c>
      <c r="Y577" s="14">
        <v>46.05</v>
      </c>
      <c r="Z577" s="210">
        <v>30</v>
      </c>
      <c r="AA577" s="78">
        <f t="shared" si="356"/>
        <v>1381.5</v>
      </c>
      <c r="AB577" s="3">
        <f t="shared" si="357"/>
        <v>46.05</v>
      </c>
      <c r="AC577" s="138" t="s">
        <v>390</v>
      </c>
      <c r="AD577" s="23" t="s">
        <v>512</v>
      </c>
      <c r="AG577" s="34">
        <f t="shared" si="358"/>
        <v>0</v>
      </c>
      <c r="AH577" s="50"/>
    </row>
    <row r="578" spans="1:47">
      <c r="B578" s="84" t="s">
        <v>516</v>
      </c>
      <c r="C578" s="84"/>
      <c r="D578" s="84" t="s">
        <v>516</v>
      </c>
      <c r="E578" s="84"/>
      <c r="F578" s="7"/>
      <c r="G578" s="58" t="s">
        <v>599</v>
      </c>
      <c r="H578" s="117" t="s">
        <v>2234</v>
      </c>
      <c r="I578" s="23" t="s">
        <v>2</v>
      </c>
      <c r="J578" s="77">
        <v>30.37</v>
      </c>
      <c r="K578" s="77">
        <v>80.12</v>
      </c>
      <c r="L578" s="371">
        <v>0.16</v>
      </c>
      <c r="N578" s="365">
        <f>V578+J578+K578+L578</f>
        <v>116.83</v>
      </c>
      <c r="V578" s="371">
        <v>6.18</v>
      </c>
      <c r="W578" s="35">
        <v>0.64</v>
      </c>
      <c r="X578" s="100">
        <f t="shared" si="355"/>
        <v>5.245901639344263E-2</v>
      </c>
      <c r="Y578" s="14">
        <v>12.2</v>
      </c>
      <c r="Z578" s="210">
        <v>107</v>
      </c>
      <c r="AA578" s="78">
        <f>Y578*Z578</f>
        <v>1305.3999999999999</v>
      </c>
      <c r="AB578" s="3">
        <f t="shared" si="357"/>
        <v>12.2</v>
      </c>
      <c r="AC578" s="138" t="s">
        <v>2111</v>
      </c>
      <c r="AD578" s="23" t="s">
        <v>2</v>
      </c>
      <c r="AH578" s="50"/>
      <c r="AU578" s="12"/>
    </row>
    <row r="579" spans="1:47">
      <c r="A579" s="42"/>
      <c r="B579" s="84"/>
      <c r="C579" s="84"/>
      <c r="D579" s="84"/>
      <c r="E579" s="84"/>
      <c r="F579" s="59"/>
      <c r="G579" s="42"/>
      <c r="H579" s="9"/>
      <c r="I579" s="23"/>
      <c r="J579" s="77"/>
      <c r="K579" s="371"/>
      <c r="L579" s="371"/>
      <c r="N579" s="365"/>
      <c r="W579" s="35"/>
      <c r="X579" s="100"/>
      <c r="Y579" s="14"/>
      <c r="Z579" s="210"/>
      <c r="AA579" s="16">
        <f>SUM(AA572:AA578)/1000</f>
        <v>8.8838999999999988</v>
      </c>
      <c r="AB579" s="3"/>
      <c r="AC579" s="138"/>
      <c r="AD579" s="23"/>
      <c r="AG579" s="34"/>
      <c r="AH579" s="50"/>
    </row>
    <row r="580" spans="1:47">
      <c r="F580" s="284"/>
      <c r="H580" s="284"/>
      <c r="N580" s="375"/>
      <c r="W580" s="113"/>
      <c r="X580" s="241"/>
      <c r="Y580" s="284"/>
      <c r="Z580" s="207"/>
      <c r="AA580" s="284"/>
      <c r="AB580" s="284"/>
      <c r="AC580" s="137"/>
      <c r="AD580" s="284"/>
      <c r="AE580" s="299"/>
      <c r="AF580" s="299"/>
      <c r="AG580" s="284"/>
    </row>
    <row r="581" spans="1:47">
      <c r="B581" s="284"/>
      <c r="C581" s="284"/>
      <c r="D581" s="284"/>
      <c r="E581" s="284"/>
      <c r="F581" s="284"/>
      <c r="H581" s="284"/>
      <c r="N581" s="375"/>
      <c r="W581" s="113"/>
      <c r="X581" s="241"/>
      <c r="Y581" s="284"/>
      <c r="Z581" s="207"/>
      <c r="AA581" s="284"/>
      <c r="AB581" s="284"/>
      <c r="AC581" s="137"/>
      <c r="AD581" s="284"/>
      <c r="AE581" s="299"/>
      <c r="AF581" s="299"/>
      <c r="AG581" s="284"/>
    </row>
    <row r="582" spans="1:47">
      <c r="B582" s="284"/>
      <c r="C582" s="284"/>
      <c r="D582" s="284"/>
      <c r="E582" s="284"/>
      <c r="F582" s="284"/>
      <c r="H582" s="284"/>
      <c r="N582" s="375"/>
      <c r="W582" s="113"/>
      <c r="X582" s="241"/>
      <c r="Y582" s="284"/>
      <c r="Z582" s="207"/>
      <c r="AA582" s="284"/>
      <c r="AB582" s="284"/>
      <c r="AC582" s="137"/>
      <c r="AD582" s="284"/>
      <c r="AE582" s="299"/>
      <c r="AF582" s="299"/>
      <c r="AG582" s="284"/>
    </row>
    <row r="583" spans="1:47">
      <c r="B583" s="284"/>
      <c r="C583" s="284"/>
      <c r="D583" s="284"/>
      <c r="E583" s="284"/>
      <c r="F583" s="284"/>
      <c r="H583" s="284"/>
      <c r="N583" s="375"/>
      <c r="W583" s="113"/>
      <c r="X583" s="241"/>
      <c r="Y583" s="284"/>
      <c r="Z583" s="207"/>
      <c r="AA583" s="284"/>
      <c r="AB583" s="284"/>
      <c r="AC583" s="137"/>
      <c r="AD583" s="284"/>
      <c r="AE583" s="299"/>
      <c r="AF583" s="299"/>
      <c r="AG583" s="284"/>
    </row>
    <row r="584" spans="1:47">
      <c r="B584" s="284"/>
      <c r="C584" s="284"/>
      <c r="D584" s="284"/>
      <c r="E584" s="284"/>
      <c r="F584" s="284"/>
      <c r="H584" s="284"/>
      <c r="N584" s="375"/>
      <c r="W584" s="113"/>
      <c r="X584" s="241"/>
      <c r="Y584" s="284"/>
      <c r="Z584" s="207"/>
      <c r="AA584" s="284"/>
      <c r="AB584" s="284"/>
      <c r="AC584" s="137"/>
      <c r="AD584" s="284"/>
      <c r="AE584" s="299"/>
      <c r="AF584" s="299"/>
      <c r="AG584" s="284"/>
    </row>
    <row r="585" spans="1:47">
      <c r="B585" s="284"/>
      <c r="C585" s="284"/>
      <c r="D585" s="284"/>
      <c r="E585" s="284"/>
      <c r="F585" s="284"/>
      <c r="H585" s="284"/>
      <c r="N585" s="375"/>
      <c r="W585" s="113"/>
      <c r="X585" s="241"/>
      <c r="Y585" s="284"/>
      <c r="Z585" s="207"/>
      <c r="AA585" s="284"/>
      <c r="AB585" s="284"/>
      <c r="AC585" s="137"/>
      <c r="AD585" s="284"/>
      <c r="AE585" s="299"/>
      <c r="AF585" s="299"/>
      <c r="AG585" s="284"/>
    </row>
    <row r="586" spans="1:47">
      <c r="B586" s="284"/>
      <c r="C586" s="284"/>
      <c r="D586" s="284"/>
      <c r="E586" s="284"/>
      <c r="F586" s="284"/>
      <c r="H586" s="284"/>
      <c r="N586" s="375"/>
      <c r="W586" s="113"/>
      <c r="X586" s="241"/>
      <c r="Y586" s="284"/>
      <c r="Z586" s="207"/>
      <c r="AA586" s="284"/>
      <c r="AB586" s="284"/>
      <c r="AC586" s="137"/>
      <c r="AD586" s="284"/>
      <c r="AE586" s="299"/>
      <c r="AF586" s="299"/>
      <c r="AG586" s="284"/>
    </row>
    <row r="587" spans="1:47">
      <c r="B587" s="284"/>
      <c r="C587" s="284"/>
      <c r="D587" s="284"/>
      <c r="E587" s="284"/>
      <c r="F587" s="284"/>
      <c r="H587" s="284"/>
      <c r="N587" s="375"/>
      <c r="W587" s="113"/>
      <c r="X587" s="241"/>
      <c r="Y587" s="284"/>
      <c r="Z587" s="207"/>
      <c r="AA587" s="284"/>
      <c r="AB587" s="284"/>
      <c r="AC587" s="137"/>
      <c r="AD587" s="284"/>
      <c r="AE587" s="299"/>
      <c r="AF587" s="299"/>
      <c r="AG587" s="284"/>
    </row>
    <row r="588" spans="1:47">
      <c r="B588" s="284"/>
      <c r="C588" s="284"/>
      <c r="D588" s="284"/>
      <c r="E588" s="284"/>
      <c r="F588" s="284"/>
      <c r="H588" s="284"/>
      <c r="N588" s="375"/>
      <c r="W588" s="113"/>
      <c r="X588" s="241"/>
      <c r="Y588" s="284"/>
      <c r="Z588" s="207"/>
      <c r="AA588" s="284"/>
      <c r="AB588" s="284"/>
      <c r="AC588" s="137"/>
      <c r="AD588" s="284"/>
      <c r="AE588" s="299"/>
      <c r="AF588" s="299"/>
      <c r="AG588" s="284"/>
    </row>
    <row r="589" spans="1:47">
      <c r="B589" s="284"/>
      <c r="C589" s="284"/>
      <c r="D589" s="284"/>
      <c r="E589" s="284"/>
      <c r="F589" s="284"/>
      <c r="H589" s="284"/>
      <c r="N589" s="375"/>
      <c r="W589" s="113"/>
      <c r="X589" s="241"/>
      <c r="Y589" s="284"/>
      <c r="Z589" s="207"/>
      <c r="AA589" s="284"/>
      <c r="AB589" s="284"/>
      <c r="AC589" s="137"/>
      <c r="AD589" s="284"/>
      <c r="AE589" s="299"/>
      <c r="AF589" s="299"/>
      <c r="AG589" s="284"/>
    </row>
    <row r="590" spans="1:47">
      <c r="B590" s="284"/>
      <c r="C590" s="284"/>
      <c r="D590" s="284"/>
      <c r="E590" s="284"/>
      <c r="F590" s="284"/>
      <c r="H590" s="284"/>
      <c r="N590" s="375"/>
      <c r="W590" s="113"/>
      <c r="X590" s="241"/>
      <c r="Y590" s="284"/>
      <c r="Z590" s="207"/>
      <c r="AA590" s="284"/>
      <c r="AB590" s="284"/>
      <c r="AC590" s="137"/>
      <c r="AD590" s="284"/>
      <c r="AE590" s="299"/>
      <c r="AF590" s="299"/>
      <c r="AG590" s="284"/>
    </row>
    <row r="591" spans="1:47">
      <c r="B591" s="284"/>
      <c r="C591" s="284"/>
      <c r="D591" s="284"/>
      <c r="E591" s="284"/>
      <c r="F591" s="284"/>
      <c r="H591" s="284"/>
      <c r="N591" s="375"/>
      <c r="W591" s="113"/>
      <c r="X591" s="241"/>
      <c r="Y591" s="284"/>
      <c r="Z591" s="207"/>
      <c r="AA591" s="284"/>
      <c r="AB591" s="284"/>
      <c r="AC591" s="137"/>
      <c r="AD591" s="284"/>
      <c r="AE591" s="299"/>
      <c r="AF591" s="299"/>
      <c r="AG591" s="284"/>
    </row>
    <row r="592" spans="1:47">
      <c r="B592" s="284"/>
      <c r="C592" s="284"/>
      <c r="D592" s="284"/>
      <c r="E592" s="284"/>
      <c r="F592" s="284"/>
      <c r="H592" s="284"/>
      <c r="N592" s="375"/>
      <c r="W592" s="113"/>
      <c r="X592" s="241"/>
      <c r="Y592" s="284"/>
      <c r="Z592" s="207"/>
      <c r="AA592" s="284"/>
      <c r="AB592" s="284"/>
      <c r="AC592" s="137"/>
      <c r="AD592" s="284"/>
      <c r="AE592" s="299"/>
      <c r="AF592" s="299"/>
      <c r="AG592" s="284"/>
    </row>
    <row r="593" spans="2:33">
      <c r="B593" s="284"/>
      <c r="C593" s="284"/>
      <c r="D593" s="284"/>
      <c r="E593" s="284"/>
      <c r="F593" s="284"/>
      <c r="H593" s="284"/>
      <c r="N593" s="375"/>
      <c r="W593" s="113"/>
      <c r="X593" s="241"/>
      <c r="Y593" s="284"/>
      <c r="Z593" s="207"/>
      <c r="AA593" s="284"/>
      <c r="AB593" s="284"/>
      <c r="AC593" s="137"/>
      <c r="AD593" s="284"/>
      <c r="AE593" s="299"/>
      <c r="AF593" s="299"/>
      <c r="AG593" s="284"/>
    </row>
    <row r="594" spans="2:33">
      <c r="B594" s="284"/>
      <c r="C594" s="284"/>
      <c r="D594" s="284"/>
      <c r="E594" s="284"/>
      <c r="F594" s="284"/>
      <c r="H594" s="284"/>
      <c r="N594" s="375"/>
      <c r="W594" s="113"/>
      <c r="X594" s="241"/>
      <c r="Y594" s="284"/>
      <c r="Z594" s="207"/>
      <c r="AA594" s="284"/>
      <c r="AB594" s="284"/>
      <c r="AC594" s="137"/>
      <c r="AD594" s="284"/>
      <c r="AE594" s="299"/>
      <c r="AF594" s="299"/>
      <c r="AG594" s="284"/>
    </row>
    <row r="595" spans="2:33">
      <c r="B595" s="284"/>
      <c r="C595" s="284"/>
      <c r="D595" s="284"/>
      <c r="E595" s="284"/>
      <c r="F595" s="284"/>
      <c r="H595" s="284"/>
      <c r="N595" s="375"/>
      <c r="W595" s="113"/>
      <c r="X595" s="241"/>
      <c r="Y595" s="284"/>
      <c r="Z595" s="207"/>
      <c r="AA595" s="284"/>
      <c r="AB595" s="284"/>
      <c r="AC595" s="137"/>
      <c r="AD595" s="284"/>
      <c r="AE595" s="299"/>
      <c r="AF595" s="299"/>
      <c r="AG595" s="284"/>
    </row>
    <row r="596" spans="2:33">
      <c r="B596" s="284"/>
      <c r="C596" s="284"/>
      <c r="D596" s="284"/>
      <c r="E596" s="284"/>
      <c r="F596" s="284"/>
      <c r="H596" s="284"/>
      <c r="N596" s="375"/>
      <c r="W596" s="113"/>
      <c r="X596" s="241"/>
      <c r="Y596" s="284"/>
      <c r="Z596" s="207"/>
      <c r="AA596" s="284"/>
      <c r="AB596" s="284"/>
      <c r="AC596" s="137"/>
      <c r="AD596" s="284"/>
      <c r="AE596" s="299"/>
      <c r="AF596" s="299"/>
      <c r="AG596" s="284"/>
    </row>
    <row r="597" spans="2:33">
      <c r="F597" s="284"/>
      <c r="H597" s="284"/>
      <c r="N597" s="375"/>
      <c r="W597" s="113"/>
      <c r="X597" s="241"/>
      <c r="Y597" s="284"/>
      <c r="Z597" s="207"/>
      <c r="AA597" s="284"/>
      <c r="AB597" s="284"/>
      <c r="AC597" s="137"/>
      <c r="AD597" s="284"/>
      <c r="AE597" s="299"/>
      <c r="AF597" s="299"/>
      <c r="AG597" s="284"/>
    </row>
    <row r="598" spans="2:33">
      <c r="F598" s="284"/>
      <c r="H598" s="284"/>
      <c r="N598" s="375"/>
      <c r="W598" s="113"/>
      <c r="X598" s="241"/>
      <c r="Y598" s="284"/>
      <c r="Z598" s="207"/>
      <c r="AA598" s="284"/>
      <c r="AB598" s="284"/>
      <c r="AC598" s="137"/>
      <c r="AD598" s="284"/>
      <c r="AE598" s="299"/>
      <c r="AF598" s="299"/>
      <c r="AG598" s="284"/>
    </row>
    <row r="599" spans="2:33">
      <c r="F599" s="284"/>
      <c r="H599" s="284"/>
      <c r="N599" s="375"/>
      <c r="W599" s="113"/>
      <c r="X599" s="241"/>
      <c r="Y599" s="284"/>
      <c r="Z599" s="207"/>
      <c r="AA599" s="284"/>
      <c r="AB599" s="284"/>
      <c r="AC599" s="137"/>
      <c r="AD599" s="284"/>
      <c r="AE599" s="299"/>
      <c r="AF599" s="299"/>
      <c r="AG599" s="284"/>
    </row>
    <row r="600" spans="2:33">
      <c r="F600" s="284"/>
      <c r="H600" s="284"/>
      <c r="N600" s="375"/>
      <c r="W600" s="113"/>
      <c r="X600" s="241"/>
      <c r="Y600" s="284"/>
      <c r="Z600" s="207"/>
      <c r="AA600" s="284"/>
      <c r="AB600" s="284"/>
      <c r="AC600" s="137"/>
      <c r="AD600" s="284"/>
      <c r="AE600" s="299"/>
      <c r="AF600" s="299"/>
      <c r="AG600" s="284"/>
    </row>
    <row r="601" spans="2:33">
      <c r="F601" s="284"/>
      <c r="H601" s="284"/>
      <c r="N601" s="375"/>
      <c r="W601" s="113"/>
      <c r="X601" s="241"/>
      <c r="Y601" s="284"/>
      <c r="Z601" s="207"/>
      <c r="AA601" s="284"/>
      <c r="AB601" s="284"/>
      <c r="AC601" s="137"/>
      <c r="AD601" s="284"/>
      <c r="AE601" s="299"/>
      <c r="AF601" s="299"/>
      <c r="AG601" s="284"/>
    </row>
    <row r="602" spans="2:33">
      <c r="F602" s="284"/>
      <c r="H602" s="284"/>
      <c r="N602" s="375"/>
      <c r="W602" s="113"/>
      <c r="X602" s="241"/>
      <c r="Y602" s="284"/>
      <c r="Z602" s="207"/>
      <c r="AA602" s="284"/>
      <c r="AB602" s="284"/>
      <c r="AC602" s="137"/>
      <c r="AD602" s="284"/>
      <c r="AE602" s="299"/>
      <c r="AF602" s="299"/>
      <c r="AG602" s="284"/>
    </row>
    <row r="603" spans="2:33">
      <c r="F603" s="284"/>
      <c r="H603" s="284"/>
      <c r="N603" s="375"/>
      <c r="W603" s="113"/>
      <c r="X603" s="241"/>
      <c r="Y603" s="284"/>
      <c r="Z603" s="207"/>
      <c r="AA603" s="284"/>
      <c r="AB603" s="284"/>
      <c r="AC603" s="137"/>
      <c r="AD603" s="284"/>
      <c r="AE603" s="299"/>
      <c r="AF603" s="299"/>
      <c r="AG603" s="284"/>
    </row>
    <row r="604" spans="2:33">
      <c r="B604" s="86"/>
      <c r="C604" s="84"/>
      <c r="D604" s="86"/>
      <c r="E604" s="84"/>
      <c r="F604" s="284"/>
      <c r="G604" s="49"/>
      <c r="H604" s="284"/>
      <c r="I604" s="74"/>
      <c r="J604" s="371"/>
      <c r="K604" s="77"/>
      <c r="L604" s="160"/>
      <c r="M604" s="388"/>
      <c r="N604" s="375"/>
      <c r="W604" s="113"/>
      <c r="X604" s="241"/>
      <c r="Y604" s="284"/>
      <c r="Z604" s="207"/>
      <c r="AA604" s="284"/>
      <c r="AB604" s="284"/>
      <c r="AC604" s="137"/>
      <c r="AD604" s="284"/>
      <c r="AE604" s="299"/>
      <c r="AF604" s="299"/>
      <c r="AG604" s="284"/>
    </row>
    <row r="605" spans="2:33">
      <c r="B605" s="86"/>
      <c r="C605" s="84"/>
      <c r="D605" s="86"/>
      <c r="E605" s="84"/>
      <c r="F605" s="284"/>
      <c r="G605" s="49"/>
      <c r="H605" s="284"/>
      <c r="I605" s="74"/>
      <c r="J605" s="371"/>
      <c r="K605" s="77"/>
      <c r="L605" s="160"/>
      <c r="M605" s="388"/>
      <c r="N605" s="375"/>
      <c r="W605" s="113"/>
      <c r="X605" s="241"/>
      <c r="Y605" s="284"/>
      <c r="Z605" s="207"/>
      <c r="AA605" s="284"/>
      <c r="AB605" s="284"/>
      <c r="AC605" s="137"/>
      <c r="AD605" s="284"/>
      <c r="AE605" s="299"/>
      <c r="AF605" s="299"/>
      <c r="AG605" s="284"/>
    </row>
    <row r="606" spans="2:33">
      <c r="B606" s="86"/>
      <c r="C606" s="84"/>
      <c r="D606" s="86"/>
      <c r="E606" s="84"/>
      <c r="F606" s="284"/>
      <c r="G606" s="49"/>
      <c r="H606" s="284"/>
      <c r="I606" s="74"/>
      <c r="J606" s="371"/>
      <c r="K606" s="77"/>
      <c r="L606" s="160"/>
      <c r="M606" s="388"/>
      <c r="N606" s="375"/>
      <c r="W606" s="113"/>
      <c r="X606" s="241"/>
      <c r="Y606" s="284"/>
      <c r="Z606" s="207"/>
      <c r="AA606" s="284"/>
      <c r="AB606" s="284"/>
      <c r="AC606" s="137"/>
      <c r="AD606" s="284"/>
      <c r="AE606" s="299"/>
      <c r="AF606" s="299"/>
      <c r="AG606" s="284"/>
    </row>
    <row r="607" spans="2:33">
      <c r="B607" s="86"/>
      <c r="C607" s="84"/>
      <c r="D607" s="86"/>
      <c r="E607" s="84"/>
      <c r="F607" s="284"/>
      <c r="G607" s="49"/>
      <c r="H607" s="284"/>
      <c r="I607" s="74"/>
      <c r="J607" s="371"/>
      <c r="K607" s="77"/>
      <c r="L607" s="160"/>
      <c r="M607" s="388"/>
      <c r="N607" s="375"/>
      <c r="W607" s="113"/>
      <c r="X607" s="241"/>
      <c r="Y607" s="284"/>
      <c r="Z607" s="207"/>
      <c r="AA607" s="284"/>
      <c r="AB607" s="284"/>
      <c r="AC607" s="137"/>
      <c r="AD607" s="284"/>
      <c r="AE607" s="299"/>
      <c r="AF607" s="299"/>
      <c r="AG607" s="284"/>
    </row>
    <row r="608" spans="2:33">
      <c r="B608" s="86"/>
      <c r="C608" s="84"/>
      <c r="D608" s="86"/>
      <c r="E608" s="84"/>
      <c r="F608" s="284"/>
      <c r="G608" s="49"/>
      <c r="H608" s="284"/>
      <c r="I608" s="74"/>
      <c r="J608" s="371"/>
      <c r="K608" s="77"/>
      <c r="L608" s="160"/>
      <c r="M608" s="388"/>
      <c r="N608" s="375"/>
      <c r="W608" s="113"/>
      <c r="X608" s="241"/>
      <c r="Y608" s="284"/>
      <c r="Z608" s="207"/>
      <c r="AA608" s="284"/>
      <c r="AB608" s="284"/>
      <c r="AC608" s="137"/>
      <c r="AD608" s="284"/>
      <c r="AE608" s="299"/>
      <c r="AF608" s="299"/>
      <c r="AG608" s="284"/>
    </row>
    <row r="609" spans="2:33">
      <c r="B609" s="86"/>
      <c r="C609" s="84"/>
      <c r="D609" s="86"/>
      <c r="E609" s="84"/>
      <c r="F609" s="284"/>
      <c r="G609" s="49"/>
      <c r="H609" s="284"/>
      <c r="I609" s="74"/>
      <c r="J609" s="371"/>
      <c r="K609" s="77"/>
      <c r="L609" s="160"/>
      <c r="M609" s="388"/>
      <c r="N609" s="375"/>
      <c r="W609" s="113"/>
      <c r="X609" s="241"/>
      <c r="Y609" s="284"/>
      <c r="Z609" s="207"/>
      <c r="AA609" s="284"/>
      <c r="AB609" s="284"/>
      <c r="AC609" s="137"/>
      <c r="AD609" s="284"/>
      <c r="AE609" s="299"/>
      <c r="AF609" s="299"/>
      <c r="AG609" s="284"/>
    </row>
    <row r="610" spans="2:33">
      <c r="B610" s="86"/>
      <c r="C610" s="84"/>
      <c r="D610" s="86"/>
      <c r="E610" s="84"/>
      <c r="F610" s="284"/>
      <c r="G610" s="49"/>
      <c r="H610" s="284"/>
      <c r="I610" s="74"/>
      <c r="J610" s="371"/>
      <c r="K610" s="77"/>
      <c r="L610" s="160"/>
      <c r="M610" s="388"/>
      <c r="N610" s="375"/>
      <c r="W610" s="113"/>
      <c r="X610" s="241"/>
      <c r="Y610" s="284"/>
      <c r="Z610" s="207"/>
      <c r="AA610" s="284"/>
      <c r="AB610" s="284"/>
      <c r="AC610" s="137"/>
      <c r="AD610" s="284"/>
      <c r="AE610" s="299"/>
      <c r="AF610" s="299"/>
      <c r="AG610" s="284"/>
    </row>
    <row r="611" spans="2:33">
      <c r="B611" s="86"/>
      <c r="C611" s="84"/>
      <c r="D611" s="86"/>
      <c r="E611" s="84"/>
      <c r="F611" s="284"/>
      <c r="G611" s="49"/>
      <c r="H611" s="284"/>
      <c r="I611" s="74"/>
      <c r="J611" s="371"/>
      <c r="K611" s="77"/>
      <c r="L611" s="160"/>
      <c r="M611" s="388"/>
      <c r="N611" s="375"/>
      <c r="W611" s="113"/>
      <c r="X611" s="241"/>
      <c r="Y611" s="284"/>
      <c r="Z611" s="207"/>
      <c r="AA611" s="284"/>
      <c r="AB611" s="284"/>
      <c r="AC611" s="137"/>
      <c r="AD611" s="284"/>
      <c r="AE611" s="299"/>
      <c r="AF611" s="299"/>
      <c r="AG611" s="284"/>
    </row>
    <row r="612" spans="2:33">
      <c r="B612" s="86"/>
      <c r="C612" s="84"/>
      <c r="D612" s="86"/>
      <c r="E612" s="84"/>
      <c r="F612" s="284"/>
      <c r="G612" s="49"/>
      <c r="H612" s="284"/>
      <c r="I612" s="74"/>
      <c r="J612" s="371"/>
      <c r="K612" s="77"/>
      <c r="L612" s="160"/>
      <c r="M612" s="388"/>
      <c r="N612" s="375"/>
      <c r="W612" s="113"/>
      <c r="X612" s="241"/>
      <c r="Y612" s="284"/>
      <c r="Z612" s="207"/>
      <c r="AA612" s="284"/>
      <c r="AB612" s="284"/>
      <c r="AC612" s="137"/>
      <c r="AD612" s="284"/>
      <c r="AE612" s="299"/>
      <c r="AF612" s="299"/>
      <c r="AG612" s="284"/>
    </row>
    <row r="613" spans="2:33">
      <c r="B613" s="86"/>
      <c r="C613" s="84"/>
      <c r="D613" s="86"/>
      <c r="E613" s="84"/>
      <c r="F613" s="284"/>
      <c r="G613" s="49"/>
      <c r="H613" s="284"/>
      <c r="I613" s="74"/>
      <c r="J613" s="371"/>
      <c r="K613" s="77"/>
      <c r="L613" s="160"/>
      <c r="M613" s="388"/>
      <c r="N613" s="375"/>
      <c r="W613" s="113"/>
      <c r="X613" s="241"/>
      <c r="Y613" s="284"/>
      <c r="Z613" s="207"/>
      <c r="AA613" s="284"/>
      <c r="AB613" s="284"/>
      <c r="AC613" s="137"/>
      <c r="AD613" s="284"/>
      <c r="AE613" s="299"/>
      <c r="AF613" s="299"/>
      <c r="AG613" s="284"/>
    </row>
    <row r="614" spans="2:33">
      <c r="B614" s="86"/>
      <c r="C614" s="84"/>
      <c r="D614" s="86"/>
      <c r="E614" s="84"/>
      <c r="F614" s="284"/>
      <c r="G614" s="49"/>
      <c r="H614" s="284"/>
      <c r="I614" s="74"/>
      <c r="J614" s="371"/>
      <c r="K614" s="77"/>
      <c r="L614" s="160"/>
      <c r="M614" s="388"/>
      <c r="N614" s="375"/>
      <c r="W614" s="113"/>
      <c r="X614" s="241"/>
      <c r="Y614" s="284"/>
      <c r="Z614" s="207"/>
      <c r="AA614" s="284"/>
      <c r="AB614" s="284"/>
      <c r="AC614" s="137"/>
      <c r="AD614" s="284"/>
      <c r="AE614" s="299"/>
      <c r="AF614" s="299"/>
      <c r="AG614" s="284"/>
    </row>
    <row r="615" spans="2:33">
      <c r="B615" s="86"/>
      <c r="C615" s="84"/>
      <c r="D615" s="86"/>
      <c r="E615" s="84"/>
      <c r="F615" s="284"/>
      <c r="G615" s="49"/>
      <c r="H615" s="284"/>
      <c r="I615" s="74"/>
      <c r="J615" s="371"/>
      <c r="K615" s="77"/>
      <c r="L615" s="160"/>
      <c r="M615" s="388"/>
      <c r="N615" s="375"/>
      <c r="W615" s="113"/>
      <c r="X615" s="241"/>
      <c r="Y615" s="284"/>
      <c r="Z615" s="207"/>
      <c r="AA615" s="284"/>
      <c r="AB615" s="284"/>
      <c r="AC615" s="137"/>
      <c r="AD615" s="284"/>
      <c r="AE615" s="299"/>
      <c r="AF615" s="299"/>
      <c r="AG615" s="284"/>
    </row>
    <row r="616" spans="2:33">
      <c r="B616" s="86"/>
      <c r="C616" s="84"/>
      <c r="D616" s="86"/>
      <c r="E616" s="84"/>
      <c r="F616" s="284"/>
      <c r="G616" s="49"/>
      <c r="H616" s="284"/>
      <c r="I616" s="74"/>
      <c r="J616" s="371"/>
      <c r="K616" s="77"/>
      <c r="L616" s="160"/>
      <c r="M616" s="388"/>
      <c r="N616" s="375"/>
      <c r="W616" s="113"/>
      <c r="X616" s="241"/>
      <c r="Y616" s="284"/>
      <c r="Z616" s="207"/>
      <c r="AA616" s="284"/>
      <c r="AB616" s="284"/>
      <c r="AC616" s="137"/>
      <c r="AD616" s="284"/>
      <c r="AE616" s="299"/>
      <c r="AF616" s="299"/>
      <c r="AG616" s="284"/>
    </row>
    <row r="617" spans="2:33">
      <c r="B617" s="86"/>
      <c r="C617" s="84"/>
      <c r="D617" s="86"/>
      <c r="E617" s="84"/>
      <c r="F617" s="284"/>
      <c r="G617" s="49"/>
      <c r="H617" s="284"/>
      <c r="I617" s="74"/>
      <c r="J617" s="371"/>
      <c r="K617" s="77"/>
      <c r="L617" s="160"/>
      <c r="M617" s="388"/>
      <c r="N617" s="375"/>
      <c r="W617" s="113"/>
      <c r="X617" s="241"/>
      <c r="Y617" s="284"/>
      <c r="Z617" s="207"/>
      <c r="AA617" s="284"/>
      <c r="AB617" s="284"/>
      <c r="AC617" s="137"/>
      <c r="AD617" s="284"/>
      <c r="AE617" s="299"/>
      <c r="AF617" s="299"/>
      <c r="AG617" s="284"/>
    </row>
    <row r="618" spans="2:33">
      <c r="B618" s="86"/>
      <c r="C618" s="84"/>
      <c r="D618" s="86"/>
      <c r="E618" s="84"/>
      <c r="F618" s="284"/>
      <c r="G618" s="49"/>
      <c r="H618" s="284"/>
      <c r="I618" s="74"/>
      <c r="J618" s="371"/>
      <c r="K618" s="77"/>
      <c r="L618" s="160"/>
      <c r="M618" s="388"/>
      <c r="N618" s="375"/>
      <c r="W618" s="113"/>
      <c r="X618" s="241"/>
      <c r="Y618" s="284"/>
      <c r="Z618" s="207"/>
      <c r="AA618" s="284"/>
      <c r="AB618" s="284"/>
      <c r="AC618" s="137"/>
      <c r="AD618" s="284"/>
      <c r="AE618" s="299"/>
      <c r="AF618" s="299"/>
      <c r="AG618" s="284"/>
    </row>
    <row r="619" spans="2:33">
      <c r="B619" s="86"/>
      <c r="C619" s="84"/>
      <c r="D619" s="86"/>
      <c r="E619" s="84"/>
      <c r="F619" s="284"/>
      <c r="G619" s="49"/>
      <c r="H619" s="284"/>
      <c r="I619" s="74"/>
      <c r="J619" s="371"/>
      <c r="K619" s="77"/>
      <c r="L619" s="160"/>
      <c r="M619" s="388"/>
      <c r="N619" s="375"/>
      <c r="W619" s="113"/>
      <c r="X619" s="241"/>
      <c r="Y619" s="284"/>
      <c r="Z619" s="207"/>
      <c r="AA619" s="284"/>
      <c r="AB619" s="284"/>
      <c r="AC619" s="137"/>
      <c r="AD619" s="284"/>
      <c r="AE619" s="299"/>
      <c r="AF619" s="299"/>
      <c r="AG619" s="284"/>
    </row>
    <row r="620" spans="2:33">
      <c r="B620" s="86"/>
      <c r="C620" s="84"/>
      <c r="D620" s="86"/>
      <c r="E620" s="84"/>
      <c r="F620" s="284"/>
      <c r="G620" s="49"/>
      <c r="H620" s="284"/>
      <c r="I620" s="74"/>
      <c r="J620" s="371"/>
      <c r="K620" s="77"/>
      <c r="L620" s="160"/>
      <c r="M620" s="388"/>
      <c r="N620" s="375"/>
      <c r="W620" s="113"/>
      <c r="X620" s="241"/>
      <c r="Y620" s="284"/>
      <c r="Z620" s="207"/>
      <c r="AA620" s="284"/>
      <c r="AB620" s="284"/>
      <c r="AC620" s="137"/>
      <c r="AD620" s="284"/>
      <c r="AE620" s="299"/>
      <c r="AF620" s="299"/>
      <c r="AG620" s="284"/>
    </row>
    <row r="621" spans="2:33">
      <c r="B621" s="86"/>
      <c r="C621" s="84"/>
      <c r="D621" s="86"/>
      <c r="E621" s="84"/>
      <c r="F621" s="284"/>
      <c r="G621" s="49"/>
      <c r="H621" s="284"/>
      <c r="I621" s="74"/>
      <c r="J621" s="371"/>
      <c r="K621" s="77"/>
      <c r="L621" s="160"/>
      <c r="M621" s="388"/>
      <c r="N621" s="375"/>
      <c r="W621" s="113"/>
      <c r="X621" s="241"/>
      <c r="Y621" s="284"/>
      <c r="Z621" s="207"/>
      <c r="AA621" s="284"/>
      <c r="AB621" s="284"/>
      <c r="AC621" s="137"/>
      <c r="AD621" s="284"/>
      <c r="AE621" s="299"/>
      <c r="AF621" s="299"/>
      <c r="AG621" s="284"/>
    </row>
    <row r="622" spans="2:33">
      <c r="B622" s="86"/>
      <c r="C622" s="84"/>
      <c r="D622" s="86"/>
      <c r="E622" s="84"/>
      <c r="F622" s="284"/>
      <c r="G622" s="49"/>
      <c r="H622" s="284"/>
      <c r="I622" s="74"/>
      <c r="J622" s="371"/>
      <c r="K622" s="77"/>
      <c r="L622" s="160"/>
      <c r="M622" s="388"/>
      <c r="N622" s="375"/>
      <c r="W622" s="113"/>
      <c r="X622" s="241"/>
      <c r="Y622" s="284"/>
      <c r="Z622" s="207"/>
      <c r="AA622" s="284"/>
      <c r="AB622" s="284"/>
      <c r="AC622" s="137"/>
      <c r="AD622" s="284"/>
      <c r="AE622" s="299"/>
      <c r="AF622" s="299"/>
      <c r="AG622" s="284"/>
    </row>
    <row r="623" spans="2:33">
      <c r="B623" s="86"/>
      <c r="C623" s="84"/>
      <c r="D623" s="86"/>
      <c r="E623" s="84"/>
      <c r="F623" s="284"/>
      <c r="G623" s="49"/>
      <c r="H623" s="284"/>
      <c r="I623" s="74"/>
      <c r="J623" s="371"/>
      <c r="K623" s="77"/>
      <c r="L623" s="160"/>
      <c r="M623" s="388"/>
      <c r="N623" s="375"/>
      <c r="W623" s="113"/>
      <c r="X623" s="241"/>
      <c r="Y623" s="284"/>
      <c r="Z623" s="207"/>
      <c r="AA623" s="284"/>
      <c r="AB623" s="284"/>
      <c r="AC623" s="137"/>
      <c r="AD623" s="284"/>
      <c r="AE623" s="299"/>
      <c r="AF623" s="299"/>
      <c r="AG623" s="284"/>
    </row>
    <row r="624" spans="2:33">
      <c r="B624" s="86"/>
      <c r="C624" s="84"/>
      <c r="D624" s="86"/>
      <c r="E624" s="84"/>
      <c r="F624" s="284"/>
      <c r="G624" s="49"/>
      <c r="H624" s="284"/>
      <c r="I624" s="74"/>
      <c r="J624" s="371"/>
      <c r="K624" s="77"/>
      <c r="L624" s="160"/>
      <c r="M624" s="388"/>
      <c r="N624" s="375"/>
      <c r="W624" s="113"/>
      <c r="X624" s="241"/>
      <c r="Y624" s="284"/>
      <c r="Z624" s="207"/>
      <c r="AA624" s="284"/>
      <c r="AB624" s="284"/>
      <c r="AC624" s="137"/>
      <c r="AD624" s="284"/>
      <c r="AE624" s="299"/>
      <c r="AF624" s="299"/>
      <c r="AG624" s="284"/>
    </row>
    <row r="625" spans="2:33">
      <c r="B625" s="86"/>
      <c r="C625" s="84"/>
      <c r="D625" s="86"/>
      <c r="E625" s="84"/>
      <c r="F625" s="284"/>
      <c r="G625" s="49"/>
      <c r="H625" s="284"/>
      <c r="I625" s="74"/>
      <c r="J625" s="371"/>
      <c r="K625" s="77"/>
      <c r="L625" s="160"/>
      <c r="M625" s="388"/>
      <c r="N625" s="375"/>
      <c r="W625" s="113"/>
      <c r="X625" s="241"/>
      <c r="Y625" s="284"/>
      <c r="Z625" s="207"/>
      <c r="AA625" s="284"/>
      <c r="AB625" s="284"/>
      <c r="AC625" s="137"/>
      <c r="AD625" s="284"/>
      <c r="AE625" s="299"/>
      <c r="AF625" s="299"/>
      <c r="AG625" s="284"/>
    </row>
    <row r="626" spans="2:33">
      <c r="B626" s="86"/>
      <c r="C626" s="84"/>
      <c r="D626" s="86"/>
      <c r="E626" s="84"/>
      <c r="F626" s="284"/>
      <c r="G626" s="49"/>
      <c r="H626" s="284"/>
      <c r="I626" s="74"/>
      <c r="J626" s="371"/>
      <c r="K626" s="77"/>
      <c r="L626" s="160"/>
      <c r="M626" s="388"/>
      <c r="N626" s="375"/>
      <c r="W626" s="113"/>
      <c r="X626" s="241"/>
      <c r="Y626" s="284"/>
      <c r="Z626" s="207"/>
      <c r="AA626" s="284"/>
      <c r="AB626" s="284"/>
      <c r="AC626" s="137"/>
      <c r="AD626" s="284"/>
      <c r="AE626" s="299"/>
      <c r="AF626" s="299"/>
      <c r="AG626" s="284"/>
    </row>
    <row r="627" spans="2:33">
      <c r="B627" s="86"/>
      <c r="C627" s="84"/>
      <c r="D627" s="86"/>
      <c r="E627" s="84"/>
      <c r="F627" s="284"/>
      <c r="G627" s="49"/>
      <c r="H627" s="284"/>
      <c r="I627" s="74"/>
      <c r="J627" s="371"/>
      <c r="K627" s="77"/>
      <c r="L627" s="160"/>
      <c r="M627" s="388"/>
      <c r="N627" s="375"/>
      <c r="W627" s="113"/>
      <c r="X627" s="241"/>
      <c r="Y627" s="284"/>
      <c r="Z627" s="207"/>
      <c r="AA627" s="284"/>
      <c r="AB627" s="284"/>
      <c r="AC627" s="137"/>
      <c r="AD627" s="284"/>
      <c r="AE627" s="299"/>
      <c r="AF627" s="299"/>
      <c r="AG627" s="284"/>
    </row>
    <row r="628" spans="2:33">
      <c r="B628" s="86"/>
      <c r="C628" s="84"/>
      <c r="D628" s="86"/>
      <c r="E628" s="84"/>
      <c r="F628" s="284"/>
      <c r="G628" s="49"/>
      <c r="H628" s="284"/>
      <c r="I628" s="74"/>
      <c r="J628" s="371"/>
      <c r="K628" s="77"/>
      <c r="L628" s="160"/>
      <c r="M628" s="388"/>
      <c r="N628" s="375"/>
      <c r="W628" s="113"/>
      <c r="X628" s="241"/>
      <c r="Y628" s="284"/>
      <c r="Z628" s="207"/>
      <c r="AA628" s="284"/>
      <c r="AB628" s="284"/>
      <c r="AC628" s="137"/>
      <c r="AD628" s="284"/>
      <c r="AE628" s="299"/>
      <c r="AF628" s="299"/>
      <c r="AG628" s="284"/>
    </row>
    <row r="629" spans="2:33">
      <c r="B629" s="86"/>
      <c r="C629" s="84"/>
      <c r="D629" s="86"/>
      <c r="E629" s="84"/>
      <c r="F629" s="284"/>
      <c r="G629" s="49"/>
      <c r="H629" s="284"/>
      <c r="I629" s="74"/>
      <c r="J629" s="371"/>
      <c r="K629" s="77"/>
      <c r="L629" s="160"/>
      <c r="M629" s="388"/>
      <c r="N629" s="375"/>
      <c r="W629" s="113"/>
      <c r="X629" s="241"/>
      <c r="Y629" s="284"/>
      <c r="Z629" s="207"/>
      <c r="AA629" s="284"/>
      <c r="AB629" s="284"/>
      <c r="AC629" s="137"/>
      <c r="AD629" s="284"/>
      <c r="AE629" s="299"/>
      <c r="AF629" s="299"/>
      <c r="AG629" s="284"/>
    </row>
    <row r="630" spans="2:33">
      <c r="B630" s="86"/>
      <c r="C630" s="84"/>
      <c r="D630" s="86"/>
      <c r="E630" s="84"/>
      <c r="F630" s="284"/>
      <c r="G630" s="49"/>
      <c r="H630" s="284"/>
      <c r="I630" s="74"/>
      <c r="J630" s="371"/>
      <c r="K630" s="77"/>
      <c r="L630" s="160"/>
      <c r="M630" s="388"/>
      <c r="N630" s="375"/>
      <c r="W630" s="113"/>
      <c r="X630" s="241"/>
      <c r="Y630" s="284"/>
      <c r="Z630" s="207"/>
      <c r="AA630" s="284"/>
      <c r="AB630" s="284"/>
      <c r="AC630" s="137"/>
      <c r="AD630" s="284"/>
      <c r="AE630" s="299"/>
      <c r="AF630" s="299"/>
      <c r="AG630" s="284"/>
    </row>
    <row r="631" spans="2:33">
      <c r="B631" s="86"/>
      <c r="C631" s="84"/>
      <c r="D631" s="86"/>
      <c r="E631" s="84"/>
      <c r="F631" s="284"/>
      <c r="G631" s="49"/>
      <c r="H631" s="284"/>
      <c r="I631" s="74"/>
      <c r="J631" s="371"/>
      <c r="K631" s="77"/>
      <c r="L631" s="160"/>
      <c r="M631" s="388"/>
      <c r="N631" s="375"/>
      <c r="W631" s="113"/>
      <c r="X631" s="241"/>
      <c r="Y631" s="284"/>
      <c r="Z631" s="207"/>
      <c r="AA631" s="284"/>
      <c r="AB631" s="284"/>
      <c r="AC631" s="137"/>
      <c r="AD631" s="284"/>
      <c r="AE631" s="299"/>
      <c r="AF631" s="299"/>
      <c r="AG631" s="284"/>
    </row>
    <row r="632" spans="2:33">
      <c r="B632" s="86"/>
      <c r="C632" s="84"/>
      <c r="D632" s="86"/>
      <c r="E632" s="84"/>
      <c r="F632" s="284"/>
      <c r="G632" s="49"/>
      <c r="H632" s="284"/>
      <c r="I632" s="74"/>
      <c r="J632" s="371"/>
      <c r="K632" s="77"/>
      <c r="L632" s="160"/>
      <c r="M632" s="388"/>
      <c r="N632" s="375"/>
      <c r="W632" s="113"/>
      <c r="X632" s="241"/>
      <c r="Y632" s="284"/>
      <c r="Z632" s="207"/>
      <c r="AA632" s="284"/>
      <c r="AB632" s="284"/>
      <c r="AC632" s="137"/>
      <c r="AD632" s="284"/>
      <c r="AE632" s="299"/>
      <c r="AF632" s="299"/>
      <c r="AG632" s="284"/>
    </row>
    <row r="633" spans="2:33">
      <c r="B633" s="86"/>
      <c r="C633" s="84"/>
      <c r="D633" s="86"/>
      <c r="E633" s="84"/>
      <c r="F633" s="284"/>
      <c r="G633" s="49"/>
      <c r="H633" s="284"/>
      <c r="I633" s="74"/>
      <c r="J633" s="371"/>
      <c r="K633" s="77"/>
      <c r="L633" s="160"/>
      <c r="M633" s="388"/>
      <c r="N633" s="375"/>
      <c r="W633" s="113"/>
      <c r="X633" s="241"/>
      <c r="Y633" s="284"/>
      <c r="Z633" s="207"/>
      <c r="AA633" s="284"/>
      <c r="AB633" s="284"/>
      <c r="AC633" s="137"/>
      <c r="AD633" s="284"/>
      <c r="AE633" s="299"/>
      <c r="AF633" s="299"/>
      <c r="AG633" s="284"/>
    </row>
    <row r="634" spans="2:33">
      <c r="B634" s="86"/>
      <c r="C634" s="84"/>
      <c r="D634" s="86"/>
      <c r="E634" s="84"/>
      <c r="F634" s="284"/>
      <c r="G634" s="49"/>
      <c r="H634" s="284"/>
      <c r="I634" s="74"/>
      <c r="J634" s="371"/>
      <c r="K634" s="77"/>
      <c r="L634" s="160"/>
      <c r="M634" s="388"/>
      <c r="N634" s="375"/>
      <c r="W634" s="113"/>
      <c r="X634" s="241"/>
      <c r="Y634" s="284"/>
      <c r="Z634" s="207"/>
      <c r="AA634" s="284"/>
      <c r="AB634" s="284"/>
      <c r="AC634" s="137"/>
      <c r="AD634" s="284"/>
      <c r="AE634" s="299"/>
      <c r="AF634" s="299"/>
      <c r="AG634" s="284"/>
    </row>
    <row r="635" spans="2:33">
      <c r="B635" s="86"/>
      <c r="C635" s="84"/>
      <c r="D635" s="86"/>
      <c r="E635" s="84"/>
      <c r="F635" s="284"/>
      <c r="G635" s="49"/>
      <c r="H635" s="284"/>
      <c r="I635" s="74"/>
      <c r="J635" s="371"/>
      <c r="K635" s="77"/>
      <c r="L635" s="160"/>
      <c r="M635" s="388"/>
      <c r="N635" s="375"/>
      <c r="W635" s="113"/>
      <c r="X635" s="241"/>
      <c r="Y635" s="284"/>
      <c r="Z635" s="207"/>
      <c r="AA635" s="284"/>
      <c r="AB635" s="284"/>
      <c r="AC635" s="137"/>
      <c r="AD635" s="284"/>
      <c r="AE635" s="299"/>
      <c r="AF635" s="299"/>
      <c r="AG635" s="284"/>
    </row>
    <row r="636" spans="2:33">
      <c r="B636" s="86"/>
      <c r="C636" s="84"/>
      <c r="D636" s="86"/>
      <c r="E636" s="84"/>
      <c r="F636" s="284"/>
      <c r="G636" s="49"/>
      <c r="H636" s="284"/>
      <c r="I636" s="74"/>
      <c r="J636" s="371"/>
      <c r="K636" s="77"/>
      <c r="L636" s="160"/>
      <c r="M636" s="388"/>
      <c r="N636" s="375"/>
      <c r="W636" s="113"/>
      <c r="X636" s="241"/>
      <c r="Y636" s="284"/>
      <c r="Z636" s="207"/>
      <c r="AA636" s="284"/>
      <c r="AB636" s="284"/>
      <c r="AC636" s="137"/>
      <c r="AD636" s="284"/>
      <c r="AE636" s="299"/>
      <c r="AF636" s="299"/>
      <c r="AG636" s="284"/>
    </row>
    <row r="637" spans="2:33">
      <c r="B637" s="86"/>
      <c r="C637" s="84"/>
      <c r="D637" s="86"/>
      <c r="E637" s="84"/>
      <c r="F637" s="284"/>
      <c r="G637" s="49"/>
      <c r="H637" s="284"/>
      <c r="I637" s="74"/>
      <c r="J637" s="371"/>
      <c r="K637" s="77"/>
      <c r="L637" s="160"/>
      <c r="M637" s="388"/>
      <c r="N637" s="375"/>
      <c r="W637" s="113"/>
      <c r="X637" s="241"/>
      <c r="Y637" s="284"/>
      <c r="Z637" s="207"/>
      <c r="AA637" s="284"/>
      <c r="AB637" s="284"/>
      <c r="AC637" s="137"/>
      <c r="AD637" s="284"/>
      <c r="AE637" s="299"/>
      <c r="AF637" s="299"/>
      <c r="AG637" s="284"/>
    </row>
    <row r="638" spans="2:33">
      <c r="B638" s="86"/>
      <c r="C638" s="84"/>
      <c r="D638" s="86"/>
      <c r="E638" s="84"/>
      <c r="F638" s="284"/>
      <c r="G638" s="49"/>
      <c r="H638" s="284"/>
      <c r="I638" s="74"/>
      <c r="J638" s="371"/>
      <c r="K638" s="77"/>
      <c r="L638" s="160"/>
      <c r="M638" s="388"/>
      <c r="N638" s="375"/>
      <c r="W638" s="113"/>
      <c r="X638" s="241"/>
      <c r="Y638" s="284"/>
      <c r="Z638" s="207"/>
      <c r="AA638" s="284"/>
      <c r="AB638" s="284"/>
      <c r="AC638" s="137"/>
      <c r="AD638" s="284"/>
      <c r="AE638" s="299"/>
      <c r="AF638" s="299"/>
      <c r="AG638" s="284"/>
    </row>
    <row r="639" spans="2:33">
      <c r="B639" s="86"/>
      <c r="C639" s="84"/>
      <c r="D639" s="86"/>
      <c r="E639" s="84"/>
      <c r="F639" s="284"/>
      <c r="G639" s="49"/>
      <c r="H639" s="284"/>
      <c r="I639" s="74"/>
      <c r="J639" s="371"/>
      <c r="K639" s="77"/>
      <c r="L639" s="160"/>
      <c r="M639" s="388"/>
      <c r="N639" s="375"/>
      <c r="W639" s="113"/>
      <c r="X639" s="241"/>
      <c r="Y639" s="284"/>
      <c r="Z639" s="207"/>
      <c r="AA639" s="284"/>
      <c r="AB639" s="284"/>
      <c r="AC639" s="137"/>
      <c r="AD639" s="284"/>
      <c r="AE639" s="299"/>
      <c r="AF639" s="299"/>
      <c r="AG639" s="284"/>
    </row>
    <row r="640" spans="2:33">
      <c r="B640" s="86"/>
      <c r="C640" s="84"/>
      <c r="D640" s="86"/>
      <c r="E640" s="84"/>
      <c r="F640" s="284"/>
      <c r="G640" s="49"/>
      <c r="H640" s="284"/>
      <c r="I640" s="74"/>
      <c r="J640" s="371"/>
      <c r="K640" s="77"/>
      <c r="L640" s="160"/>
      <c r="M640" s="388"/>
      <c r="N640" s="375"/>
      <c r="W640" s="113"/>
      <c r="X640" s="241"/>
      <c r="Y640" s="284"/>
      <c r="Z640" s="207"/>
      <c r="AA640" s="284"/>
      <c r="AB640" s="284"/>
      <c r="AC640" s="137"/>
      <c r="AD640" s="284"/>
      <c r="AE640" s="299"/>
      <c r="AF640" s="299"/>
      <c r="AG640" s="284"/>
    </row>
    <row r="641" spans="2:33">
      <c r="B641" s="86"/>
      <c r="C641" s="84"/>
      <c r="D641" s="86"/>
      <c r="E641" s="84"/>
      <c r="F641" s="284"/>
      <c r="G641" s="49"/>
      <c r="H641" s="284"/>
      <c r="I641" s="74"/>
      <c r="J641" s="371"/>
      <c r="K641" s="77"/>
      <c r="L641" s="160"/>
      <c r="M641" s="388"/>
      <c r="N641" s="375"/>
      <c r="W641" s="113"/>
      <c r="X641" s="241"/>
      <c r="Y641" s="284"/>
      <c r="Z641" s="207"/>
      <c r="AA641" s="284"/>
      <c r="AB641" s="284"/>
      <c r="AC641" s="137"/>
      <c r="AD641" s="284"/>
      <c r="AE641" s="299"/>
      <c r="AF641" s="299"/>
      <c r="AG641" s="284"/>
    </row>
    <row r="642" spans="2:33">
      <c r="B642" s="86"/>
      <c r="C642" s="84"/>
      <c r="D642" s="86"/>
      <c r="E642" s="84"/>
      <c r="F642" s="284"/>
      <c r="G642" s="49"/>
      <c r="H642" s="284"/>
      <c r="I642" s="74"/>
      <c r="J642" s="371"/>
      <c r="K642" s="77"/>
      <c r="L642" s="160"/>
      <c r="M642" s="388"/>
      <c r="N642" s="375"/>
      <c r="W642" s="113"/>
      <c r="X642" s="241"/>
      <c r="Y642" s="284"/>
      <c r="Z642" s="207"/>
      <c r="AA642" s="284"/>
      <c r="AB642" s="284"/>
      <c r="AC642" s="137"/>
      <c r="AD642" s="284"/>
      <c r="AE642" s="299"/>
      <c r="AF642" s="299"/>
      <c r="AG642" s="284"/>
    </row>
    <row r="643" spans="2:33">
      <c r="B643" s="86"/>
      <c r="C643" s="84"/>
      <c r="D643" s="86"/>
      <c r="E643" s="84"/>
      <c r="F643" s="284"/>
      <c r="G643" s="49"/>
      <c r="H643" s="284"/>
      <c r="I643" s="74"/>
      <c r="J643" s="371"/>
      <c r="K643" s="77"/>
      <c r="L643" s="160"/>
      <c r="M643" s="388"/>
      <c r="N643" s="375"/>
      <c r="W643" s="113"/>
      <c r="X643" s="241"/>
      <c r="Y643" s="284"/>
      <c r="Z643" s="207"/>
      <c r="AA643" s="284"/>
      <c r="AB643" s="284"/>
      <c r="AC643" s="137"/>
      <c r="AD643" s="284"/>
      <c r="AE643" s="299"/>
      <c r="AF643" s="299"/>
      <c r="AG643" s="284"/>
    </row>
    <row r="644" spans="2:33">
      <c r="B644" s="86"/>
      <c r="C644" s="84"/>
      <c r="D644" s="86"/>
      <c r="E644" s="84"/>
      <c r="F644" s="284"/>
      <c r="G644" s="49"/>
      <c r="H644" s="284"/>
      <c r="I644" s="74"/>
      <c r="J644" s="371"/>
      <c r="K644" s="77"/>
      <c r="L644" s="160"/>
      <c r="M644" s="388"/>
      <c r="N644" s="375"/>
      <c r="W644" s="113"/>
      <c r="X644" s="241"/>
      <c r="Y644" s="284"/>
      <c r="Z644" s="207"/>
      <c r="AA644" s="284"/>
      <c r="AB644" s="284"/>
      <c r="AC644" s="137"/>
      <c r="AD644" s="284"/>
      <c r="AE644" s="299"/>
      <c r="AF644" s="299"/>
      <c r="AG644" s="284"/>
    </row>
    <row r="645" spans="2:33">
      <c r="B645" s="86"/>
      <c r="C645" s="84"/>
      <c r="D645" s="86"/>
      <c r="E645" s="84"/>
      <c r="F645" s="284"/>
      <c r="G645" s="49"/>
      <c r="H645" s="284"/>
      <c r="I645" s="74"/>
      <c r="J645" s="371"/>
      <c r="K645" s="77"/>
      <c r="L645" s="160"/>
      <c r="M645" s="388"/>
      <c r="N645" s="375"/>
      <c r="W645" s="113"/>
      <c r="X645" s="241"/>
      <c r="Y645" s="284"/>
      <c r="Z645" s="207"/>
      <c r="AA645" s="284"/>
      <c r="AB645" s="284"/>
      <c r="AC645" s="137"/>
      <c r="AD645" s="284"/>
      <c r="AE645" s="299"/>
      <c r="AF645" s="299"/>
      <c r="AG645" s="284"/>
    </row>
    <row r="646" spans="2:33">
      <c r="B646" s="86"/>
      <c r="C646" s="84"/>
      <c r="D646" s="86"/>
      <c r="E646" s="84"/>
      <c r="F646" s="284"/>
      <c r="G646" s="49"/>
      <c r="H646" s="284"/>
      <c r="I646" s="74"/>
      <c r="J646" s="371"/>
      <c r="K646" s="77"/>
      <c r="L646" s="160"/>
      <c r="M646" s="388"/>
      <c r="N646" s="375"/>
      <c r="W646" s="113"/>
      <c r="X646" s="241"/>
      <c r="Y646" s="284"/>
      <c r="Z646" s="207"/>
      <c r="AA646" s="284"/>
      <c r="AB646" s="284"/>
      <c r="AC646" s="137"/>
      <c r="AD646" s="284"/>
      <c r="AE646" s="299"/>
      <c r="AF646" s="299"/>
      <c r="AG646" s="284"/>
    </row>
    <row r="647" spans="2:33">
      <c r="B647" s="86"/>
      <c r="C647" s="84"/>
      <c r="D647" s="86"/>
      <c r="E647" s="84"/>
      <c r="F647" s="284"/>
      <c r="G647" s="49"/>
      <c r="H647" s="284"/>
      <c r="I647" s="74"/>
      <c r="J647" s="371"/>
      <c r="K647" s="77"/>
      <c r="L647" s="160"/>
      <c r="M647" s="388"/>
      <c r="N647" s="375"/>
      <c r="W647" s="113"/>
      <c r="X647" s="241"/>
      <c r="Y647" s="284"/>
      <c r="Z647" s="207"/>
      <c r="AA647" s="284"/>
      <c r="AB647" s="284"/>
      <c r="AC647" s="137"/>
      <c r="AD647" s="284"/>
      <c r="AE647" s="299"/>
      <c r="AF647" s="299"/>
      <c r="AG647" s="284"/>
    </row>
    <row r="648" spans="2:33">
      <c r="B648" s="86"/>
      <c r="C648" s="84"/>
      <c r="D648" s="86"/>
      <c r="E648" s="84"/>
      <c r="F648" s="284"/>
      <c r="G648" s="49"/>
      <c r="H648" s="284"/>
      <c r="I648" s="74"/>
      <c r="J648" s="371"/>
      <c r="K648" s="77"/>
      <c r="L648" s="160"/>
      <c r="M648" s="388"/>
      <c r="N648" s="375"/>
      <c r="W648" s="113"/>
      <c r="X648" s="241"/>
      <c r="Y648" s="284"/>
      <c r="Z648" s="207"/>
      <c r="AA648" s="284"/>
      <c r="AB648" s="284"/>
      <c r="AC648" s="137"/>
      <c r="AD648" s="284"/>
      <c r="AE648" s="299"/>
      <c r="AF648" s="299"/>
      <c r="AG648" s="284"/>
    </row>
    <row r="649" spans="2:33">
      <c r="B649" s="86"/>
      <c r="C649" s="84"/>
      <c r="D649" s="86"/>
      <c r="E649" s="84"/>
      <c r="F649" s="284"/>
      <c r="G649" s="49"/>
      <c r="H649" s="284"/>
      <c r="I649" s="74"/>
      <c r="J649" s="371"/>
      <c r="K649" s="77"/>
      <c r="L649" s="160"/>
      <c r="M649" s="388"/>
      <c r="N649" s="375"/>
      <c r="W649" s="113"/>
      <c r="X649" s="241"/>
      <c r="Y649" s="284"/>
      <c r="Z649" s="207"/>
      <c r="AA649" s="284"/>
      <c r="AB649" s="284"/>
      <c r="AC649" s="137"/>
      <c r="AD649" s="284"/>
      <c r="AE649" s="299"/>
      <c r="AF649" s="299"/>
      <c r="AG649" s="284"/>
    </row>
    <row r="650" spans="2:33">
      <c r="B650" s="86"/>
      <c r="C650" s="84"/>
      <c r="D650" s="86"/>
      <c r="E650" s="84"/>
      <c r="F650" s="284"/>
      <c r="G650" s="49"/>
      <c r="H650" s="284"/>
      <c r="I650" s="74"/>
      <c r="J650" s="371"/>
      <c r="K650" s="77"/>
      <c r="L650" s="160"/>
      <c r="M650" s="388"/>
      <c r="N650" s="375"/>
      <c r="W650" s="113"/>
      <c r="X650" s="241"/>
      <c r="Y650" s="284"/>
      <c r="Z650" s="207"/>
      <c r="AA650" s="284"/>
      <c r="AB650" s="284"/>
      <c r="AC650" s="137"/>
      <c r="AD650" s="284"/>
      <c r="AE650" s="299"/>
      <c r="AF650" s="299"/>
      <c r="AG650" s="284"/>
    </row>
    <row r="651" spans="2:33">
      <c r="B651" s="86"/>
      <c r="C651" s="84"/>
      <c r="D651" s="86"/>
      <c r="E651" s="84"/>
      <c r="F651" s="284"/>
      <c r="G651" s="49"/>
      <c r="H651" s="284"/>
      <c r="I651" s="74"/>
      <c r="J651" s="371"/>
      <c r="K651" s="77"/>
      <c r="L651" s="160"/>
      <c r="M651" s="388"/>
      <c r="N651" s="375"/>
      <c r="W651" s="113"/>
      <c r="X651" s="241"/>
      <c r="Y651" s="284"/>
      <c r="Z651" s="207"/>
      <c r="AA651" s="284"/>
      <c r="AB651" s="284"/>
      <c r="AC651" s="137"/>
      <c r="AD651" s="284"/>
      <c r="AE651" s="299"/>
      <c r="AF651" s="299"/>
      <c r="AG651" s="284"/>
    </row>
    <row r="652" spans="2:33">
      <c r="B652" s="86"/>
      <c r="C652" s="84"/>
      <c r="D652" s="86"/>
      <c r="E652" s="84"/>
      <c r="F652" s="284"/>
      <c r="G652" s="49"/>
      <c r="H652" s="284"/>
      <c r="I652" s="74"/>
      <c r="J652" s="371"/>
      <c r="K652" s="77"/>
      <c r="L652" s="160"/>
      <c r="M652" s="388"/>
      <c r="N652" s="375"/>
      <c r="W652" s="113"/>
      <c r="X652" s="241"/>
      <c r="Y652" s="284"/>
      <c r="Z652" s="207"/>
      <c r="AA652" s="284"/>
      <c r="AB652" s="284"/>
      <c r="AC652" s="137"/>
      <c r="AD652" s="284"/>
      <c r="AE652" s="299"/>
      <c r="AF652" s="299"/>
      <c r="AG652" s="284"/>
    </row>
    <row r="653" spans="2:33">
      <c r="B653" s="86"/>
      <c r="C653" s="84"/>
      <c r="D653" s="86"/>
      <c r="E653" s="84"/>
      <c r="F653" s="284"/>
      <c r="G653" s="49"/>
      <c r="H653" s="284"/>
      <c r="I653" s="74"/>
      <c r="J653" s="371"/>
      <c r="K653" s="77"/>
      <c r="L653" s="160"/>
      <c r="M653" s="388"/>
      <c r="N653" s="375"/>
      <c r="W653" s="113"/>
      <c r="X653" s="241"/>
      <c r="Y653" s="284"/>
      <c r="Z653" s="207"/>
      <c r="AA653" s="284"/>
      <c r="AB653" s="284"/>
      <c r="AC653" s="137"/>
      <c r="AD653" s="284"/>
      <c r="AE653" s="299"/>
      <c r="AF653" s="299"/>
      <c r="AG653" s="284"/>
    </row>
    <row r="654" spans="2:33">
      <c r="B654" s="86"/>
      <c r="C654" s="84"/>
      <c r="D654" s="86"/>
      <c r="E654" s="84"/>
      <c r="F654" s="284"/>
      <c r="G654" s="49"/>
      <c r="H654" s="284"/>
      <c r="I654" s="74"/>
      <c r="J654" s="371"/>
      <c r="K654" s="77"/>
      <c r="L654" s="160"/>
      <c r="M654" s="388"/>
      <c r="N654" s="375"/>
      <c r="W654" s="113"/>
      <c r="X654" s="241"/>
      <c r="Y654" s="284"/>
      <c r="Z654" s="207"/>
      <c r="AA654" s="284"/>
      <c r="AB654" s="284"/>
      <c r="AC654" s="137"/>
      <c r="AD654" s="284"/>
      <c r="AE654" s="299"/>
      <c r="AF654" s="299"/>
      <c r="AG654" s="284"/>
    </row>
    <row r="655" spans="2:33">
      <c r="B655" s="86"/>
      <c r="C655" s="84"/>
      <c r="D655" s="86"/>
      <c r="E655" s="84"/>
      <c r="F655" s="284"/>
      <c r="G655" s="49"/>
      <c r="H655" s="284"/>
      <c r="I655" s="74"/>
      <c r="J655" s="371"/>
      <c r="K655" s="77"/>
      <c r="L655" s="160"/>
      <c r="M655" s="388"/>
      <c r="N655" s="375"/>
      <c r="W655" s="113"/>
      <c r="X655" s="241"/>
      <c r="Y655" s="284"/>
      <c r="Z655" s="207"/>
      <c r="AA655" s="284"/>
      <c r="AB655" s="284"/>
      <c r="AC655" s="137"/>
      <c r="AD655" s="284"/>
      <c r="AE655" s="299"/>
      <c r="AF655" s="299"/>
      <c r="AG655" s="284"/>
    </row>
    <row r="656" spans="2:33">
      <c r="B656" s="86"/>
      <c r="C656" s="84"/>
      <c r="D656" s="86"/>
      <c r="E656" s="84"/>
      <c r="F656" s="284"/>
      <c r="G656" s="49"/>
      <c r="H656" s="284"/>
      <c r="I656" s="74"/>
      <c r="J656" s="371"/>
      <c r="K656" s="77"/>
      <c r="L656" s="160"/>
      <c r="M656" s="388"/>
      <c r="N656" s="375"/>
      <c r="W656" s="113"/>
      <c r="X656" s="241"/>
      <c r="Y656" s="284"/>
      <c r="Z656" s="207"/>
      <c r="AA656" s="284"/>
      <c r="AB656" s="284"/>
      <c r="AC656" s="137"/>
      <c r="AD656" s="284"/>
      <c r="AE656" s="299"/>
      <c r="AF656" s="299"/>
      <c r="AG656" s="284"/>
    </row>
    <row r="657" spans="2:33">
      <c r="B657" s="86"/>
      <c r="C657" s="84"/>
      <c r="D657" s="86"/>
      <c r="E657" s="84"/>
      <c r="F657" s="284"/>
      <c r="G657" s="49"/>
      <c r="H657" s="284"/>
      <c r="I657" s="74"/>
      <c r="J657" s="371"/>
      <c r="K657" s="77"/>
      <c r="L657" s="160"/>
      <c r="M657" s="388"/>
      <c r="N657" s="375"/>
      <c r="W657" s="113"/>
      <c r="X657" s="241"/>
      <c r="Y657" s="284"/>
      <c r="Z657" s="207"/>
      <c r="AA657" s="284"/>
      <c r="AB657" s="284"/>
      <c r="AC657" s="137"/>
      <c r="AD657" s="284"/>
      <c r="AE657" s="299"/>
      <c r="AF657" s="299"/>
      <c r="AG657" s="284"/>
    </row>
    <row r="658" spans="2:33">
      <c r="B658" s="86"/>
      <c r="C658" s="84"/>
      <c r="D658" s="86"/>
      <c r="E658" s="84"/>
      <c r="F658" s="284"/>
      <c r="G658" s="49"/>
      <c r="H658" s="284"/>
      <c r="I658" s="74"/>
      <c r="J658" s="371"/>
      <c r="K658" s="77"/>
      <c r="L658" s="160"/>
      <c r="M658" s="388"/>
      <c r="N658" s="375"/>
      <c r="W658" s="113"/>
      <c r="X658" s="241"/>
      <c r="Y658" s="284"/>
      <c r="Z658" s="207"/>
      <c r="AA658" s="284"/>
      <c r="AB658" s="284"/>
      <c r="AC658" s="137"/>
      <c r="AD658" s="284"/>
      <c r="AE658" s="299"/>
      <c r="AF658" s="299"/>
      <c r="AG658" s="284"/>
    </row>
    <row r="659" spans="2:33">
      <c r="B659" s="86"/>
      <c r="C659" s="84"/>
      <c r="D659" s="86"/>
      <c r="E659" s="84"/>
      <c r="F659" s="284"/>
      <c r="G659" s="49"/>
      <c r="H659" s="284"/>
      <c r="I659" s="74"/>
      <c r="J659" s="371"/>
      <c r="K659" s="77"/>
      <c r="L659" s="160"/>
      <c r="M659" s="388"/>
      <c r="N659" s="375"/>
      <c r="W659" s="113"/>
      <c r="X659" s="241"/>
      <c r="Y659" s="284"/>
      <c r="Z659" s="207"/>
      <c r="AA659" s="284"/>
      <c r="AB659" s="284"/>
      <c r="AC659" s="137"/>
      <c r="AD659" s="284"/>
      <c r="AE659" s="299"/>
      <c r="AF659" s="299"/>
      <c r="AG659" s="284"/>
    </row>
    <row r="660" spans="2:33">
      <c r="B660" s="86"/>
      <c r="C660" s="84"/>
      <c r="D660" s="86"/>
      <c r="E660" s="84"/>
      <c r="F660" s="284"/>
      <c r="G660" s="49"/>
      <c r="H660" s="284"/>
      <c r="I660" s="74"/>
      <c r="J660" s="371"/>
      <c r="K660" s="77"/>
      <c r="L660" s="160"/>
      <c r="M660" s="388"/>
      <c r="N660" s="375"/>
      <c r="W660" s="113"/>
      <c r="X660" s="241"/>
      <c r="Y660" s="284"/>
      <c r="Z660" s="207"/>
      <c r="AA660" s="284"/>
      <c r="AB660" s="284"/>
      <c r="AC660" s="137"/>
      <c r="AD660" s="284"/>
      <c r="AE660" s="299"/>
      <c r="AF660" s="299"/>
      <c r="AG660" s="284"/>
    </row>
    <row r="661" spans="2:33">
      <c r="B661" s="86"/>
      <c r="C661" s="84"/>
      <c r="D661" s="86"/>
      <c r="E661" s="84"/>
      <c r="F661" s="284"/>
      <c r="G661" s="49"/>
      <c r="H661" s="284"/>
      <c r="I661" s="74"/>
      <c r="J661" s="371"/>
      <c r="K661" s="77"/>
      <c r="L661" s="160"/>
      <c r="M661" s="388"/>
      <c r="N661" s="375"/>
      <c r="W661" s="113"/>
      <c r="X661" s="241"/>
      <c r="Y661" s="284"/>
      <c r="Z661" s="207"/>
      <c r="AA661" s="284"/>
      <c r="AB661" s="284"/>
      <c r="AC661" s="137"/>
      <c r="AD661" s="284"/>
      <c r="AE661" s="299"/>
      <c r="AF661" s="299"/>
      <c r="AG661" s="284"/>
    </row>
    <row r="662" spans="2:33">
      <c r="B662" s="86"/>
      <c r="C662" s="84"/>
      <c r="D662" s="86"/>
      <c r="E662" s="84"/>
      <c r="F662" s="284"/>
      <c r="G662" s="49"/>
      <c r="H662" s="284"/>
      <c r="I662" s="74"/>
      <c r="J662" s="371"/>
      <c r="K662" s="77"/>
      <c r="L662" s="160"/>
      <c r="M662" s="388"/>
      <c r="N662" s="375"/>
      <c r="W662" s="113"/>
      <c r="X662" s="241"/>
      <c r="Y662" s="284"/>
      <c r="Z662" s="207"/>
      <c r="AA662" s="284"/>
      <c r="AB662" s="284"/>
      <c r="AC662" s="137"/>
      <c r="AD662" s="284"/>
      <c r="AE662" s="299"/>
      <c r="AF662" s="299"/>
      <c r="AG662" s="284"/>
    </row>
    <row r="663" spans="2:33">
      <c r="B663" s="86"/>
      <c r="C663" s="84"/>
      <c r="D663" s="86"/>
      <c r="E663" s="84"/>
      <c r="F663" s="284"/>
      <c r="G663" s="49"/>
      <c r="H663" s="284"/>
      <c r="I663" s="74"/>
      <c r="J663" s="371"/>
      <c r="K663" s="77"/>
      <c r="L663" s="160"/>
      <c r="M663" s="388"/>
      <c r="N663" s="375"/>
      <c r="W663" s="113"/>
      <c r="X663" s="241"/>
      <c r="Y663" s="284"/>
      <c r="Z663" s="207"/>
      <c r="AA663" s="284"/>
      <c r="AB663" s="284"/>
      <c r="AC663" s="137"/>
      <c r="AD663" s="284"/>
      <c r="AE663" s="299"/>
      <c r="AF663" s="299"/>
      <c r="AG663" s="284"/>
    </row>
    <row r="664" spans="2:33">
      <c r="B664" s="86"/>
      <c r="C664" s="84"/>
      <c r="D664" s="86"/>
      <c r="E664" s="84"/>
      <c r="F664" s="284"/>
      <c r="G664" s="49"/>
      <c r="H664" s="284"/>
      <c r="I664" s="74"/>
      <c r="J664" s="371"/>
      <c r="K664" s="77"/>
      <c r="L664" s="160"/>
      <c r="M664" s="388"/>
      <c r="N664" s="375"/>
      <c r="W664" s="113"/>
      <c r="X664" s="241"/>
      <c r="Y664" s="284"/>
      <c r="Z664" s="207"/>
      <c r="AA664" s="284"/>
      <c r="AB664" s="284"/>
      <c r="AC664" s="137"/>
      <c r="AD664" s="284"/>
      <c r="AE664" s="299"/>
      <c r="AF664" s="299"/>
      <c r="AG664" s="284"/>
    </row>
    <row r="665" spans="2:33">
      <c r="B665" s="86"/>
      <c r="C665" s="84"/>
      <c r="D665" s="86"/>
      <c r="E665" s="84"/>
      <c r="F665" s="284"/>
      <c r="G665" s="49"/>
      <c r="H665" s="284"/>
      <c r="I665" s="74"/>
      <c r="J665" s="371"/>
      <c r="K665" s="77"/>
      <c r="L665" s="160"/>
      <c r="M665" s="388"/>
      <c r="N665" s="375"/>
      <c r="W665" s="113"/>
      <c r="X665" s="241"/>
      <c r="Y665" s="284"/>
      <c r="Z665" s="207"/>
      <c r="AA665" s="284"/>
      <c r="AB665" s="284"/>
      <c r="AC665" s="137"/>
      <c r="AD665" s="284"/>
      <c r="AE665" s="299"/>
      <c r="AF665" s="299"/>
      <c r="AG665" s="284"/>
    </row>
    <row r="666" spans="2:33">
      <c r="B666" s="86"/>
      <c r="C666" s="84"/>
      <c r="D666" s="86"/>
      <c r="E666" s="84"/>
      <c r="F666" s="284"/>
      <c r="G666" s="49"/>
      <c r="H666" s="284"/>
      <c r="I666" s="74"/>
      <c r="J666" s="371"/>
      <c r="K666" s="77"/>
      <c r="L666" s="160"/>
      <c r="M666" s="388"/>
      <c r="N666" s="375"/>
      <c r="W666" s="113"/>
      <c r="X666" s="241"/>
      <c r="Y666" s="284"/>
      <c r="Z666" s="207"/>
      <c r="AA666" s="284"/>
      <c r="AB666" s="284"/>
      <c r="AC666" s="137"/>
      <c r="AD666" s="284"/>
      <c r="AE666" s="299"/>
      <c r="AF666" s="299"/>
      <c r="AG666" s="284"/>
    </row>
    <row r="667" spans="2:33">
      <c r="B667" s="86"/>
      <c r="C667" s="84"/>
      <c r="D667" s="86"/>
      <c r="E667" s="84"/>
      <c r="F667" s="284"/>
      <c r="G667" s="49"/>
      <c r="H667" s="284"/>
      <c r="I667" s="74"/>
      <c r="J667" s="371"/>
      <c r="K667" s="77"/>
      <c r="L667" s="160"/>
      <c r="M667" s="388"/>
      <c r="N667" s="375"/>
      <c r="W667" s="113"/>
      <c r="X667" s="241"/>
      <c r="Y667" s="284"/>
      <c r="Z667" s="207"/>
      <c r="AA667" s="284"/>
      <c r="AB667" s="284"/>
      <c r="AC667" s="137"/>
      <c r="AD667" s="284"/>
      <c r="AE667" s="299"/>
      <c r="AF667" s="299"/>
      <c r="AG667" s="284"/>
    </row>
    <row r="668" spans="2:33">
      <c r="B668" s="86"/>
      <c r="C668" s="84"/>
      <c r="D668" s="86"/>
      <c r="E668" s="84"/>
      <c r="F668" s="284"/>
      <c r="G668" s="49"/>
      <c r="H668" s="284"/>
      <c r="I668" s="74"/>
      <c r="J668" s="371"/>
      <c r="K668" s="77"/>
      <c r="L668" s="160"/>
      <c r="M668" s="388"/>
      <c r="N668" s="375"/>
      <c r="W668" s="113"/>
      <c r="X668" s="241"/>
      <c r="Y668" s="284"/>
      <c r="Z668" s="207"/>
      <c r="AA668" s="284"/>
      <c r="AB668" s="284"/>
      <c r="AC668" s="137"/>
      <c r="AD668" s="284"/>
      <c r="AE668" s="299"/>
      <c r="AF668" s="299"/>
      <c r="AG668" s="284"/>
    </row>
    <row r="669" spans="2:33">
      <c r="B669" s="86"/>
      <c r="C669" s="84"/>
      <c r="D669" s="86"/>
      <c r="E669" s="84"/>
      <c r="F669" s="284"/>
      <c r="G669" s="49"/>
      <c r="H669" s="284"/>
      <c r="I669" s="74"/>
      <c r="J669" s="371"/>
      <c r="K669" s="77"/>
      <c r="L669" s="160"/>
      <c r="M669" s="388"/>
      <c r="N669" s="375"/>
      <c r="W669" s="113"/>
      <c r="X669" s="241"/>
      <c r="Y669" s="284"/>
      <c r="Z669" s="207"/>
      <c r="AA669" s="284"/>
      <c r="AB669" s="284"/>
      <c r="AC669" s="137"/>
      <c r="AD669" s="284"/>
      <c r="AE669" s="299"/>
      <c r="AF669" s="299"/>
      <c r="AG669" s="284"/>
    </row>
    <row r="670" spans="2:33">
      <c r="B670" s="86"/>
      <c r="C670" s="84"/>
      <c r="D670" s="86"/>
      <c r="E670" s="84"/>
      <c r="F670" s="284"/>
      <c r="G670" s="49"/>
      <c r="H670" s="284"/>
      <c r="I670" s="74"/>
      <c r="J670" s="371"/>
      <c r="K670" s="77"/>
      <c r="L670" s="160"/>
      <c r="M670" s="388"/>
      <c r="N670" s="375"/>
      <c r="W670" s="113"/>
      <c r="X670" s="241"/>
      <c r="Y670" s="284"/>
      <c r="Z670" s="207"/>
      <c r="AA670" s="284"/>
      <c r="AB670" s="284"/>
      <c r="AC670" s="137"/>
      <c r="AD670" s="284"/>
      <c r="AE670" s="299"/>
      <c r="AF670" s="299"/>
      <c r="AG670" s="284"/>
    </row>
    <row r="671" spans="2:33">
      <c r="B671" s="86"/>
      <c r="C671" s="84"/>
      <c r="D671" s="86"/>
      <c r="E671" s="84"/>
      <c r="F671" s="284"/>
      <c r="G671" s="49"/>
      <c r="H671" s="284"/>
      <c r="I671" s="74"/>
      <c r="J671" s="371"/>
      <c r="K671" s="77"/>
      <c r="L671" s="160"/>
      <c r="M671" s="388"/>
      <c r="N671" s="375"/>
      <c r="W671" s="113"/>
      <c r="X671" s="241"/>
      <c r="Y671" s="284"/>
      <c r="Z671" s="207"/>
      <c r="AA671" s="284"/>
      <c r="AB671" s="284"/>
      <c r="AC671" s="137"/>
      <c r="AD671" s="284"/>
      <c r="AE671" s="299"/>
      <c r="AF671" s="299"/>
      <c r="AG671" s="284"/>
    </row>
    <row r="672" spans="2:33">
      <c r="B672" s="86"/>
      <c r="C672" s="84"/>
      <c r="D672" s="86"/>
      <c r="E672" s="84"/>
      <c r="F672" s="284"/>
      <c r="G672" s="49"/>
      <c r="H672" s="284"/>
      <c r="I672" s="74"/>
      <c r="J672" s="371"/>
      <c r="K672" s="77"/>
      <c r="L672" s="160"/>
      <c r="M672" s="388"/>
      <c r="N672" s="375"/>
      <c r="W672" s="113"/>
      <c r="X672" s="241"/>
      <c r="Y672" s="284"/>
      <c r="Z672" s="207"/>
      <c r="AA672" s="284"/>
      <c r="AB672" s="284"/>
      <c r="AC672" s="137"/>
      <c r="AD672" s="284"/>
      <c r="AE672" s="299"/>
      <c r="AF672" s="299"/>
      <c r="AG672" s="284"/>
    </row>
    <row r="673" spans="2:33">
      <c r="B673" s="86"/>
      <c r="C673" s="84"/>
      <c r="D673" s="86"/>
      <c r="E673" s="84"/>
      <c r="F673" s="284"/>
      <c r="G673" s="49"/>
      <c r="H673" s="284"/>
      <c r="I673" s="74"/>
      <c r="J673" s="371"/>
      <c r="K673" s="77"/>
      <c r="L673" s="160"/>
      <c r="M673" s="388"/>
      <c r="N673" s="375"/>
      <c r="W673" s="113"/>
      <c r="X673" s="241"/>
      <c r="Y673" s="284"/>
      <c r="Z673" s="207"/>
      <c r="AA673" s="284"/>
      <c r="AB673" s="284"/>
      <c r="AC673" s="137"/>
      <c r="AD673" s="284"/>
      <c r="AE673" s="299"/>
      <c r="AF673" s="299"/>
      <c r="AG673" s="284"/>
    </row>
    <row r="674" spans="2:33">
      <c r="B674" s="86"/>
      <c r="C674" s="84"/>
      <c r="D674" s="86"/>
      <c r="E674" s="84"/>
      <c r="F674" s="284"/>
      <c r="G674" s="49"/>
      <c r="H674" s="284"/>
      <c r="I674" s="74"/>
      <c r="J674" s="371"/>
      <c r="K674" s="77"/>
      <c r="L674" s="160"/>
      <c r="M674" s="388"/>
      <c r="N674" s="375"/>
      <c r="W674" s="113"/>
      <c r="X674" s="241"/>
      <c r="Y674" s="284"/>
      <c r="Z674" s="207"/>
      <c r="AA674" s="284"/>
      <c r="AB674" s="284"/>
      <c r="AC674" s="137"/>
      <c r="AD674" s="284"/>
      <c r="AE674" s="299"/>
      <c r="AF674" s="299"/>
      <c r="AG674" s="284"/>
    </row>
    <row r="675" spans="2:33">
      <c r="B675" s="86"/>
      <c r="C675" s="84"/>
      <c r="D675" s="86"/>
      <c r="E675" s="84"/>
      <c r="F675" s="284"/>
      <c r="G675" s="49"/>
      <c r="H675" s="284"/>
      <c r="I675" s="74"/>
      <c r="J675" s="371"/>
      <c r="K675" s="77"/>
      <c r="L675" s="160"/>
      <c r="M675" s="388"/>
      <c r="N675" s="375"/>
      <c r="W675" s="113"/>
      <c r="X675" s="241"/>
      <c r="Y675" s="284"/>
      <c r="Z675" s="207"/>
      <c r="AA675" s="284"/>
      <c r="AB675" s="284"/>
      <c r="AC675" s="137"/>
      <c r="AD675" s="284"/>
      <c r="AE675" s="299"/>
      <c r="AF675" s="299"/>
      <c r="AG675" s="284"/>
    </row>
    <row r="676" spans="2:33">
      <c r="B676" s="86"/>
      <c r="C676" s="84"/>
      <c r="D676" s="86"/>
      <c r="E676" s="84"/>
      <c r="F676" s="284"/>
      <c r="G676" s="49"/>
      <c r="H676" s="284"/>
      <c r="I676" s="74"/>
      <c r="J676" s="371"/>
      <c r="K676" s="77"/>
      <c r="L676" s="160"/>
      <c r="M676" s="388"/>
      <c r="N676" s="375"/>
      <c r="W676" s="113"/>
      <c r="X676" s="241"/>
      <c r="Y676" s="284"/>
      <c r="Z676" s="207"/>
      <c r="AA676" s="284"/>
      <c r="AB676" s="284"/>
      <c r="AC676" s="137"/>
      <c r="AD676" s="284"/>
      <c r="AE676" s="299"/>
      <c r="AF676" s="299"/>
      <c r="AG676" s="284"/>
    </row>
    <row r="677" spans="2:33">
      <c r="B677" s="86"/>
      <c r="C677" s="84"/>
      <c r="D677" s="86"/>
      <c r="E677" s="84"/>
      <c r="F677" s="284"/>
      <c r="G677" s="49"/>
      <c r="H677" s="284"/>
      <c r="I677" s="74"/>
      <c r="J677" s="371"/>
      <c r="K677" s="77"/>
      <c r="L677" s="160"/>
      <c r="M677" s="388"/>
      <c r="N677" s="375"/>
      <c r="W677" s="113"/>
      <c r="X677" s="241"/>
      <c r="Y677" s="284"/>
      <c r="Z677" s="207"/>
      <c r="AA677" s="284"/>
      <c r="AB677" s="284"/>
      <c r="AC677" s="137"/>
      <c r="AD677" s="284"/>
      <c r="AE677" s="299"/>
      <c r="AF677" s="299"/>
      <c r="AG677" s="284"/>
    </row>
    <row r="678" spans="2:33">
      <c r="B678" s="86"/>
      <c r="C678" s="84"/>
      <c r="D678" s="86"/>
      <c r="E678" s="84"/>
      <c r="F678" s="284"/>
      <c r="G678" s="49"/>
      <c r="H678" s="284"/>
      <c r="I678" s="74"/>
      <c r="J678" s="371"/>
      <c r="K678" s="77"/>
      <c r="L678" s="160"/>
      <c r="M678" s="388"/>
      <c r="N678" s="375"/>
      <c r="W678" s="113"/>
      <c r="X678" s="241"/>
      <c r="Y678" s="284"/>
      <c r="Z678" s="207"/>
      <c r="AA678" s="284"/>
      <c r="AB678" s="284"/>
      <c r="AC678" s="137"/>
      <c r="AD678" s="284"/>
      <c r="AE678" s="299"/>
      <c r="AF678" s="299"/>
      <c r="AG678" s="284"/>
    </row>
    <row r="679" spans="2:33">
      <c r="B679" s="86"/>
      <c r="C679" s="84"/>
      <c r="D679" s="86"/>
      <c r="E679" s="84"/>
      <c r="F679" s="284"/>
      <c r="G679" s="49"/>
      <c r="H679" s="284"/>
      <c r="I679" s="74"/>
      <c r="J679" s="371"/>
      <c r="K679" s="77"/>
      <c r="L679" s="160"/>
      <c r="M679" s="388"/>
      <c r="N679" s="375"/>
      <c r="W679" s="113"/>
      <c r="X679" s="241"/>
      <c r="Y679" s="284"/>
      <c r="Z679" s="207"/>
      <c r="AA679" s="284"/>
      <c r="AB679" s="284"/>
      <c r="AC679" s="137"/>
      <c r="AD679" s="284"/>
      <c r="AE679" s="299"/>
      <c r="AF679" s="299"/>
      <c r="AG679" s="284"/>
    </row>
    <row r="680" spans="2:33">
      <c r="B680" s="86"/>
      <c r="C680" s="84"/>
      <c r="D680" s="86"/>
      <c r="E680" s="84"/>
      <c r="F680" s="284"/>
      <c r="G680" s="49"/>
      <c r="H680" s="284"/>
      <c r="I680" s="74"/>
      <c r="J680" s="371"/>
      <c r="K680" s="77"/>
      <c r="L680" s="160"/>
      <c r="M680" s="388"/>
      <c r="N680" s="375"/>
      <c r="W680" s="113"/>
      <c r="X680" s="241"/>
      <c r="Y680" s="284"/>
      <c r="Z680" s="207"/>
      <c r="AA680" s="284"/>
      <c r="AB680" s="284"/>
      <c r="AC680" s="137"/>
      <c r="AD680" s="284"/>
      <c r="AE680" s="299"/>
      <c r="AF680" s="299"/>
      <c r="AG680" s="284"/>
    </row>
    <row r="681" spans="2:33">
      <c r="B681" s="86"/>
      <c r="C681" s="84"/>
      <c r="D681" s="86"/>
      <c r="E681" s="84"/>
      <c r="F681" s="284"/>
      <c r="G681" s="49"/>
      <c r="H681" s="284"/>
      <c r="I681" s="74"/>
      <c r="J681" s="371"/>
      <c r="K681" s="77"/>
      <c r="L681" s="160"/>
      <c r="M681" s="388"/>
      <c r="N681" s="375"/>
      <c r="W681" s="113"/>
      <c r="X681" s="241"/>
      <c r="Y681" s="284"/>
      <c r="Z681" s="207"/>
      <c r="AA681" s="284"/>
      <c r="AB681" s="284"/>
      <c r="AC681" s="137"/>
      <c r="AD681" s="284"/>
      <c r="AE681" s="299"/>
      <c r="AF681" s="299"/>
      <c r="AG681" s="284"/>
    </row>
    <row r="682" spans="2:33">
      <c r="B682" s="86"/>
      <c r="C682" s="84"/>
      <c r="D682" s="86"/>
      <c r="E682" s="84"/>
      <c r="F682" s="284"/>
      <c r="G682" s="49"/>
      <c r="H682" s="284"/>
      <c r="I682" s="74"/>
      <c r="J682" s="371"/>
      <c r="K682" s="77"/>
      <c r="L682" s="160"/>
      <c r="M682" s="388"/>
      <c r="N682" s="375"/>
      <c r="W682" s="113"/>
      <c r="X682" s="241"/>
      <c r="Y682" s="284"/>
      <c r="Z682" s="207"/>
      <c r="AA682" s="284"/>
      <c r="AB682" s="284"/>
      <c r="AC682" s="137"/>
      <c r="AD682" s="284"/>
      <c r="AE682" s="299"/>
      <c r="AF682" s="299"/>
      <c r="AG682" s="284"/>
    </row>
    <row r="683" spans="2:33">
      <c r="B683" s="86"/>
      <c r="C683" s="84"/>
      <c r="D683" s="86"/>
      <c r="E683" s="84"/>
      <c r="F683" s="284"/>
      <c r="G683" s="49"/>
      <c r="H683" s="284"/>
      <c r="I683" s="74"/>
      <c r="J683" s="371"/>
      <c r="K683" s="77"/>
      <c r="L683" s="160"/>
      <c r="M683" s="388"/>
      <c r="N683" s="375"/>
      <c r="W683" s="113"/>
      <c r="X683" s="241"/>
      <c r="Y683" s="284"/>
      <c r="Z683" s="207"/>
      <c r="AA683" s="284"/>
      <c r="AB683" s="284"/>
      <c r="AC683" s="137"/>
      <c r="AD683" s="284"/>
      <c r="AE683" s="299"/>
      <c r="AF683" s="299"/>
      <c r="AG683" s="284"/>
    </row>
    <row r="684" spans="2:33">
      <c r="B684" s="86"/>
      <c r="C684" s="84"/>
      <c r="D684" s="86"/>
      <c r="E684" s="84"/>
      <c r="F684" s="284"/>
      <c r="G684" s="49"/>
      <c r="H684" s="284"/>
      <c r="I684" s="74"/>
      <c r="J684" s="371"/>
      <c r="K684" s="77"/>
      <c r="L684" s="160"/>
      <c r="M684" s="388"/>
      <c r="N684" s="375"/>
      <c r="W684" s="113"/>
      <c r="X684" s="241"/>
      <c r="Y684" s="284"/>
      <c r="Z684" s="207"/>
      <c r="AA684" s="284"/>
      <c r="AB684" s="284"/>
      <c r="AC684" s="137"/>
      <c r="AD684" s="284"/>
      <c r="AE684" s="299"/>
      <c r="AF684" s="299"/>
      <c r="AG684" s="284"/>
    </row>
    <row r="685" spans="2:33">
      <c r="B685" s="86"/>
      <c r="C685" s="84"/>
      <c r="D685" s="86"/>
      <c r="E685" s="84"/>
      <c r="F685" s="284"/>
      <c r="G685" s="49"/>
      <c r="H685" s="284"/>
      <c r="I685" s="74"/>
      <c r="J685" s="371"/>
      <c r="K685" s="77"/>
      <c r="L685" s="160"/>
      <c r="M685" s="388"/>
      <c r="N685" s="375"/>
      <c r="W685" s="113"/>
      <c r="X685" s="241"/>
      <c r="Y685" s="284"/>
      <c r="Z685" s="207"/>
      <c r="AA685" s="284"/>
      <c r="AB685" s="284"/>
      <c r="AC685" s="137"/>
      <c r="AD685" s="284"/>
      <c r="AE685" s="299"/>
      <c r="AF685" s="299"/>
      <c r="AG685" s="284"/>
    </row>
    <row r="686" spans="2:33">
      <c r="B686" s="86"/>
      <c r="C686" s="84"/>
      <c r="D686" s="86"/>
      <c r="E686" s="84"/>
      <c r="F686" s="284"/>
      <c r="G686" s="49"/>
      <c r="H686" s="284"/>
      <c r="I686" s="74"/>
      <c r="J686" s="371"/>
      <c r="K686" s="77"/>
      <c r="L686" s="160"/>
      <c r="M686" s="388"/>
      <c r="N686" s="375"/>
      <c r="W686" s="113"/>
      <c r="X686" s="241"/>
      <c r="Y686" s="284"/>
      <c r="Z686" s="207"/>
      <c r="AA686" s="284"/>
      <c r="AB686" s="284"/>
      <c r="AC686" s="137"/>
      <c r="AD686" s="284"/>
      <c r="AE686" s="299"/>
      <c r="AF686" s="299"/>
      <c r="AG686" s="284"/>
    </row>
    <row r="687" spans="2:33">
      <c r="B687" s="86"/>
      <c r="C687" s="84"/>
      <c r="D687" s="86"/>
      <c r="E687" s="84"/>
      <c r="F687" s="284"/>
      <c r="G687" s="49"/>
      <c r="H687" s="284"/>
      <c r="I687" s="74"/>
      <c r="J687" s="371"/>
      <c r="K687" s="77"/>
      <c r="L687" s="160"/>
      <c r="M687" s="388"/>
      <c r="N687" s="375"/>
      <c r="W687" s="113"/>
      <c r="X687" s="241"/>
      <c r="Y687" s="284"/>
      <c r="Z687" s="207"/>
      <c r="AA687" s="284"/>
      <c r="AB687" s="284"/>
      <c r="AC687" s="137"/>
      <c r="AD687" s="284"/>
      <c r="AE687" s="299"/>
      <c r="AF687" s="299"/>
      <c r="AG687" s="284"/>
    </row>
    <row r="688" spans="2:33">
      <c r="B688" s="86"/>
      <c r="C688" s="84"/>
      <c r="D688" s="86"/>
      <c r="E688" s="84"/>
      <c r="F688" s="284"/>
      <c r="G688" s="49"/>
      <c r="H688" s="284"/>
      <c r="I688" s="74"/>
      <c r="J688" s="371"/>
      <c r="K688" s="77"/>
      <c r="L688" s="160"/>
      <c r="M688" s="388"/>
      <c r="N688" s="375"/>
      <c r="W688" s="113"/>
      <c r="X688" s="241"/>
      <c r="Y688" s="284"/>
      <c r="Z688" s="207"/>
      <c r="AA688" s="284"/>
      <c r="AB688" s="284"/>
      <c r="AC688" s="137"/>
      <c r="AD688" s="284"/>
      <c r="AE688" s="299"/>
      <c r="AF688" s="299"/>
      <c r="AG688" s="284"/>
    </row>
    <row r="689" spans="2:33">
      <c r="B689" s="86"/>
      <c r="C689" s="84"/>
      <c r="D689" s="86"/>
      <c r="E689" s="84"/>
      <c r="F689" s="284"/>
      <c r="G689" s="49"/>
      <c r="H689" s="284"/>
      <c r="I689" s="74"/>
      <c r="J689" s="371"/>
      <c r="K689" s="77"/>
      <c r="L689" s="160"/>
      <c r="M689" s="388"/>
      <c r="N689" s="375"/>
      <c r="W689" s="113"/>
      <c r="X689" s="241"/>
      <c r="Y689" s="284"/>
      <c r="Z689" s="207"/>
      <c r="AA689" s="284"/>
      <c r="AB689" s="284"/>
      <c r="AC689" s="137"/>
      <c r="AD689" s="284"/>
      <c r="AE689" s="299"/>
      <c r="AF689" s="299"/>
      <c r="AG689" s="284"/>
    </row>
    <row r="690" spans="2:33">
      <c r="B690" s="86"/>
      <c r="C690" s="84"/>
      <c r="D690" s="86"/>
      <c r="E690" s="84"/>
      <c r="F690" s="284"/>
      <c r="G690" s="49"/>
      <c r="H690" s="284"/>
      <c r="I690" s="74"/>
      <c r="J690" s="371"/>
      <c r="K690" s="77"/>
      <c r="L690" s="160"/>
      <c r="M690" s="388"/>
      <c r="N690" s="375"/>
      <c r="W690" s="113"/>
      <c r="X690" s="241"/>
      <c r="Y690" s="284"/>
      <c r="Z690" s="207"/>
      <c r="AA690" s="284"/>
      <c r="AB690" s="284"/>
      <c r="AC690" s="137"/>
      <c r="AD690" s="284"/>
      <c r="AE690" s="299"/>
      <c r="AF690" s="299"/>
      <c r="AG690" s="284"/>
    </row>
    <row r="691" spans="2:33">
      <c r="B691" s="86"/>
      <c r="C691" s="84"/>
      <c r="D691" s="86"/>
      <c r="E691" s="84"/>
      <c r="F691" s="284"/>
      <c r="G691" s="49"/>
      <c r="H691" s="284"/>
      <c r="I691" s="74"/>
      <c r="J691" s="371"/>
      <c r="K691" s="77"/>
      <c r="L691" s="160"/>
      <c r="M691" s="388"/>
      <c r="N691" s="375"/>
      <c r="W691" s="113"/>
      <c r="X691" s="241"/>
      <c r="Y691" s="284"/>
      <c r="Z691" s="207"/>
      <c r="AA691" s="284"/>
      <c r="AB691" s="284"/>
      <c r="AC691" s="137"/>
      <c r="AD691" s="284"/>
      <c r="AE691" s="299"/>
      <c r="AF691" s="299"/>
      <c r="AG691" s="284"/>
    </row>
    <row r="692" spans="2:33">
      <c r="B692" s="86"/>
      <c r="C692" s="84"/>
      <c r="D692" s="86"/>
      <c r="E692" s="84"/>
      <c r="F692" s="284"/>
      <c r="G692" s="49"/>
      <c r="H692" s="284"/>
      <c r="I692" s="74"/>
      <c r="J692" s="371"/>
      <c r="K692" s="77"/>
      <c r="L692" s="160"/>
      <c r="M692" s="388"/>
      <c r="N692" s="375"/>
      <c r="W692" s="113"/>
      <c r="X692" s="241"/>
      <c r="Y692" s="284"/>
      <c r="Z692" s="207"/>
      <c r="AA692" s="284"/>
      <c r="AB692" s="284"/>
      <c r="AC692" s="137"/>
      <c r="AD692" s="284"/>
      <c r="AE692" s="299"/>
      <c r="AF692" s="299"/>
      <c r="AG692" s="284"/>
    </row>
    <row r="693" spans="2:33">
      <c r="B693" s="86"/>
      <c r="C693" s="84"/>
      <c r="D693" s="86"/>
      <c r="E693" s="84"/>
      <c r="F693" s="284"/>
      <c r="G693" s="49"/>
      <c r="H693" s="284"/>
      <c r="I693" s="74"/>
      <c r="J693" s="371"/>
      <c r="K693" s="77"/>
      <c r="L693" s="160"/>
      <c r="M693" s="388"/>
      <c r="N693" s="375"/>
      <c r="W693" s="113"/>
      <c r="X693" s="241"/>
      <c r="Y693" s="284"/>
      <c r="Z693" s="207"/>
      <c r="AA693" s="284"/>
      <c r="AB693" s="284"/>
      <c r="AC693" s="137"/>
      <c r="AD693" s="284"/>
      <c r="AE693" s="299"/>
      <c r="AF693" s="299"/>
      <c r="AG693" s="284"/>
    </row>
    <row r="694" spans="2:33">
      <c r="B694" s="86"/>
      <c r="C694" s="84"/>
      <c r="D694" s="86"/>
      <c r="E694" s="84"/>
      <c r="F694" s="284"/>
      <c r="G694" s="49"/>
      <c r="H694" s="284"/>
      <c r="I694" s="74"/>
      <c r="J694" s="371"/>
      <c r="K694" s="77"/>
      <c r="L694" s="160"/>
      <c r="M694" s="388"/>
      <c r="N694" s="375"/>
      <c r="W694" s="113"/>
      <c r="X694" s="241"/>
      <c r="Y694" s="284"/>
      <c r="Z694" s="207"/>
      <c r="AA694" s="284"/>
      <c r="AB694" s="284"/>
      <c r="AC694" s="137"/>
      <c r="AD694" s="284"/>
      <c r="AE694" s="299"/>
      <c r="AF694" s="299"/>
      <c r="AG694" s="284"/>
    </row>
    <row r="695" spans="2:33">
      <c r="B695" s="86"/>
      <c r="C695" s="84"/>
      <c r="D695" s="86"/>
      <c r="E695" s="84"/>
      <c r="F695" s="284"/>
      <c r="G695" s="49"/>
      <c r="H695" s="284"/>
      <c r="I695" s="74"/>
      <c r="J695" s="371"/>
      <c r="K695" s="77"/>
      <c r="L695" s="160"/>
      <c r="M695" s="388"/>
      <c r="N695" s="375"/>
      <c r="W695" s="113"/>
      <c r="X695" s="241"/>
      <c r="Y695" s="284"/>
      <c r="Z695" s="207"/>
      <c r="AA695" s="284"/>
      <c r="AB695" s="284"/>
      <c r="AC695" s="137"/>
      <c r="AD695" s="284"/>
      <c r="AE695" s="299"/>
      <c r="AF695" s="299"/>
      <c r="AG695" s="284"/>
    </row>
    <row r="696" spans="2:33">
      <c r="B696" s="86"/>
      <c r="C696" s="84"/>
      <c r="D696" s="86"/>
      <c r="E696" s="84"/>
      <c r="F696" s="284"/>
      <c r="G696" s="49"/>
      <c r="H696" s="284"/>
      <c r="I696" s="74"/>
      <c r="J696" s="371"/>
      <c r="K696" s="77"/>
      <c r="L696" s="160"/>
      <c r="M696" s="388"/>
      <c r="N696" s="375"/>
      <c r="W696" s="113"/>
      <c r="X696" s="241"/>
      <c r="Y696" s="284"/>
      <c r="Z696" s="207"/>
      <c r="AA696" s="284"/>
      <c r="AB696" s="284"/>
      <c r="AC696" s="137"/>
      <c r="AD696" s="284"/>
      <c r="AE696" s="299"/>
      <c r="AF696" s="299"/>
      <c r="AG696" s="284"/>
    </row>
    <row r="697" spans="2:33">
      <c r="B697" s="86"/>
      <c r="C697" s="84"/>
      <c r="D697" s="86"/>
      <c r="E697" s="84"/>
      <c r="F697" s="284"/>
      <c r="G697" s="49"/>
      <c r="H697" s="284"/>
      <c r="I697" s="74"/>
      <c r="J697" s="371"/>
      <c r="K697" s="77"/>
      <c r="L697" s="160"/>
      <c r="M697" s="388"/>
      <c r="N697" s="375"/>
      <c r="W697" s="113"/>
      <c r="X697" s="241"/>
      <c r="Y697" s="284"/>
      <c r="Z697" s="207"/>
      <c r="AA697" s="284"/>
      <c r="AB697" s="284"/>
      <c r="AC697" s="137"/>
      <c r="AD697" s="284"/>
      <c r="AE697" s="299"/>
      <c r="AF697" s="299"/>
      <c r="AG697" s="284"/>
    </row>
    <row r="698" spans="2:33">
      <c r="B698" s="86"/>
      <c r="C698" s="84"/>
      <c r="D698" s="86"/>
      <c r="E698" s="84"/>
      <c r="F698" s="284"/>
      <c r="G698" s="49"/>
      <c r="H698" s="284"/>
      <c r="I698" s="74"/>
      <c r="J698" s="371"/>
      <c r="K698" s="77"/>
      <c r="L698" s="160"/>
      <c r="M698" s="388"/>
      <c r="N698" s="375"/>
      <c r="W698" s="113"/>
      <c r="X698" s="241"/>
      <c r="Y698" s="284"/>
      <c r="Z698" s="207"/>
      <c r="AA698" s="284"/>
      <c r="AB698" s="284"/>
      <c r="AC698" s="137"/>
      <c r="AD698" s="284"/>
      <c r="AE698" s="299"/>
      <c r="AF698" s="299"/>
      <c r="AG698" s="284"/>
    </row>
    <row r="699" spans="2:33">
      <c r="B699" s="86"/>
      <c r="C699" s="84"/>
      <c r="D699" s="86"/>
      <c r="E699" s="84"/>
      <c r="F699" s="284"/>
      <c r="G699" s="49"/>
      <c r="H699" s="284"/>
      <c r="I699" s="74"/>
      <c r="J699" s="371"/>
      <c r="K699" s="77"/>
      <c r="L699" s="160"/>
      <c r="M699" s="388"/>
      <c r="N699" s="375"/>
      <c r="W699" s="113"/>
      <c r="X699" s="241"/>
      <c r="Y699" s="284"/>
      <c r="Z699" s="207"/>
      <c r="AA699" s="284"/>
      <c r="AB699" s="284"/>
      <c r="AC699" s="137"/>
      <c r="AD699" s="284"/>
      <c r="AE699" s="299"/>
      <c r="AF699" s="299"/>
      <c r="AG699" s="284"/>
    </row>
    <row r="700" spans="2:33">
      <c r="B700" s="86"/>
      <c r="C700" s="84"/>
      <c r="D700" s="86"/>
      <c r="E700" s="84"/>
      <c r="F700" s="284"/>
      <c r="G700" s="49"/>
      <c r="H700" s="284"/>
      <c r="I700" s="74"/>
      <c r="J700" s="371"/>
      <c r="K700" s="77"/>
      <c r="L700" s="160"/>
      <c r="M700" s="388"/>
      <c r="N700" s="375"/>
      <c r="W700" s="113"/>
      <c r="X700" s="241"/>
      <c r="Y700" s="284"/>
      <c r="Z700" s="207"/>
      <c r="AA700" s="284"/>
      <c r="AB700" s="284"/>
      <c r="AC700" s="137"/>
      <c r="AD700" s="284"/>
      <c r="AE700" s="299"/>
      <c r="AF700" s="299"/>
      <c r="AG700" s="284"/>
    </row>
    <row r="701" spans="2:33">
      <c r="B701" s="86"/>
      <c r="C701" s="84"/>
      <c r="D701" s="86"/>
      <c r="E701" s="84"/>
      <c r="F701" s="284"/>
      <c r="G701" s="49"/>
      <c r="H701" s="284"/>
      <c r="I701" s="74"/>
      <c r="J701" s="371"/>
      <c r="K701" s="77"/>
      <c r="L701" s="160"/>
      <c r="M701" s="388"/>
      <c r="N701" s="375"/>
      <c r="W701" s="113"/>
      <c r="X701" s="241"/>
      <c r="Y701" s="284"/>
      <c r="Z701" s="207"/>
      <c r="AA701" s="284"/>
      <c r="AB701" s="284"/>
      <c r="AC701" s="137"/>
      <c r="AD701" s="284"/>
      <c r="AE701" s="299"/>
      <c r="AF701" s="299"/>
      <c r="AG701" s="284"/>
    </row>
    <row r="702" spans="2:33">
      <c r="B702" s="86"/>
      <c r="C702" s="84"/>
      <c r="D702" s="86"/>
      <c r="E702" s="84"/>
      <c r="F702" s="284"/>
      <c r="G702" s="49"/>
      <c r="H702" s="284"/>
      <c r="I702" s="74"/>
      <c r="J702" s="371"/>
      <c r="K702" s="77"/>
      <c r="L702" s="160"/>
      <c r="M702" s="388"/>
      <c r="N702" s="375"/>
      <c r="W702" s="113"/>
      <c r="X702" s="241"/>
      <c r="Y702" s="284"/>
      <c r="Z702" s="207"/>
      <c r="AA702" s="284"/>
      <c r="AB702" s="284"/>
      <c r="AC702" s="137"/>
      <c r="AD702" s="284"/>
      <c r="AE702" s="299"/>
      <c r="AF702" s="299"/>
      <c r="AG702" s="284"/>
    </row>
    <row r="703" spans="2:33">
      <c r="B703" s="86"/>
      <c r="C703" s="84"/>
      <c r="D703" s="86"/>
      <c r="E703" s="84"/>
      <c r="F703" s="284"/>
      <c r="G703" s="49"/>
      <c r="H703" s="284"/>
      <c r="I703" s="74"/>
      <c r="J703" s="371"/>
      <c r="K703" s="77"/>
      <c r="L703" s="160"/>
      <c r="M703" s="388"/>
      <c r="N703" s="375"/>
      <c r="W703" s="113"/>
      <c r="X703" s="241"/>
      <c r="Y703" s="284"/>
      <c r="Z703" s="207"/>
      <c r="AA703" s="284"/>
      <c r="AB703" s="284"/>
      <c r="AC703" s="137"/>
      <c r="AD703" s="284"/>
      <c r="AE703" s="299"/>
      <c r="AF703" s="299"/>
      <c r="AG703" s="284"/>
    </row>
    <row r="704" spans="2:33">
      <c r="B704" s="86"/>
      <c r="C704" s="84"/>
      <c r="D704" s="86"/>
      <c r="E704" s="84"/>
      <c r="F704" s="284"/>
      <c r="G704" s="49"/>
      <c r="H704" s="284"/>
      <c r="I704" s="74"/>
      <c r="J704" s="371"/>
      <c r="K704" s="77"/>
      <c r="L704" s="160"/>
      <c r="M704" s="388"/>
      <c r="N704" s="375"/>
      <c r="W704" s="113"/>
      <c r="X704" s="241"/>
      <c r="Y704" s="284"/>
      <c r="Z704" s="207"/>
      <c r="AA704" s="284"/>
      <c r="AB704" s="284"/>
      <c r="AC704" s="137"/>
      <c r="AD704" s="284"/>
      <c r="AE704" s="299"/>
      <c r="AF704" s="299"/>
      <c r="AG704" s="284"/>
    </row>
    <row r="705" spans="2:33">
      <c r="B705" s="86"/>
      <c r="C705" s="84"/>
      <c r="D705" s="86"/>
      <c r="E705" s="84"/>
      <c r="F705" s="284"/>
      <c r="G705" s="49"/>
      <c r="H705" s="284"/>
      <c r="I705" s="74"/>
      <c r="J705" s="371"/>
      <c r="K705" s="77"/>
      <c r="L705" s="160"/>
      <c r="M705" s="388"/>
      <c r="N705" s="375"/>
      <c r="W705" s="113"/>
      <c r="X705" s="241"/>
      <c r="Y705" s="284"/>
      <c r="Z705" s="207"/>
      <c r="AA705" s="284"/>
      <c r="AB705" s="284"/>
      <c r="AC705" s="137"/>
      <c r="AD705" s="284"/>
      <c r="AE705" s="299"/>
      <c r="AF705" s="299"/>
      <c r="AG705" s="284"/>
    </row>
    <row r="706" spans="2:33">
      <c r="B706" s="86"/>
      <c r="C706" s="84"/>
      <c r="D706" s="86"/>
      <c r="E706" s="84"/>
      <c r="F706" s="284"/>
      <c r="G706" s="49"/>
      <c r="H706" s="284"/>
      <c r="I706" s="74"/>
      <c r="J706" s="371"/>
      <c r="K706" s="77"/>
      <c r="L706" s="160"/>
      <c r="M706" s="388"/>
      <c r="N706" s="375"/>
      <c r="W706" s="113"/>
      <c r="X706" s="241"/>
      <c r="Y706" s="284"/>
      <c r="Z706" s="207"/>
      <c r="AA706" s="284"/>
      <c r="AB706" s="284"/>
      <c r="AC706" s="137"/>
      <c r="AD706" s="284"/>
      <c r="AE706" s="299"/>
      <c r="AF706" s="299"/>
      <c r="AG706" s="284"/>
    </row>
    <row r="707" spans="2:33">
      <c r="B707" s="86"/>
      <c r="C707" s="84"/>
      <c r="D707" s="86"/>
      <c r="E707" s="84"/>
      <c r="F707" s="284"/>
      <c r="G707" s="49"/>
      <c r="H707" s="284"/>
      <c r="I707" s="74"/>
      <c r="J707" s="371"/>
      <c r="K707" s="77"/>
      <c r="L707" s="160"/>
      <c r="M707" s="388"/>
      <c r="N707" s="375"/>
      <c r="W707" s="113"/>
      <c r="X707" s="241"/>
      <c r="Y707" s="284"/>
      <c r="Z707" s="207"/>
      <c r="AA707" s="284"/>
      <c r="AB707" s="284"/>
      <c r="AC707" s="137"/>
      <c r="AD707" s="284"/>
      <c r="AE707" s="299"/>
      <c r="AF707" s="299"/>
      <c r="AG707" s="284"/>
    </row>
    <row r="708" spans="2:33">
      <c r="B708" s="86"/>
      <c r="C708" s="84"/>
      <c r="D708" s="86"/>
      <c r="E708" s="84"/>
      <c r="F708" s="284"/>
      <c r="G708" s="49"/>
      <c r="H708" s="284"/>
      <c r="I708" s="74"/>
      <c r="J708" s="371"/>
      <c r="K708" s="77"/>
      <c r="L708" s="160"/>
      <c r="M708" s="388"/>
      <c r="N708" s="375"/>
      <c r="W708" s="113"/>
      <c r="X708" s="241"/>
      <c r="Y708" s="284"/>
      <c r="Z708" s="207"/>
      <c r="AA708" s="284"/>
      <c r="AB708" s="284"/>
      <c r="AC708" s="137"/>
      <c r="AD708" s="284"/>
      <c r="AE708" s="299"/>
      <c r="AF708" s="299"/>
      <c r="AG708" s="284"/>
    </row>
    <row r="709" spans="2:33">
      <c r="B709" s="86"/>
      <c r="C709" s="84"/>
      <c r="D709" s="86"/>
      <c r="E709" s="84"/>
      <c r="F709" s="284"/>
      <c r="G709" s="49"/>
      <c r="H709" s="284"/>
      <c r="I709" s="74"/>
      <c r="J709" s="371"/>
      <c r="K709" s="77"/>
      <c r="L709" s="160"/>
      <c r="M709" s="388"/>
      <c r="N709" s="375"/>
      <c r="W709" s="113"/>
      <c r="X709" s="241"/>
      <c r="Y709" s="284"/>
      <c r="Z709" s="207"/>
      <c r="AA709" s="284"/>
      <c r="AB709" s="284"/>
      <c r="AC709" s="137"/>
      <c r="AD709" s="284"/>
      <c r="AE709" s="299"/>
      <c r="AF709" s="299"/>
      <c r="AG709" s="284"/>
    </row>
    <row r="710" spans="2:33">
      <c r="B710" s="86"/>
      <c r="C710" s="84"/>
      <c r="D710" s="86"/>
      <c r="E710" s="84"/>
      <c r="F710" s="284"/>
      <c r="G710" s="49"/>
      <c r="H710" s="284"/>
      <c r="I710" s="74"/>
      <c r="J710" s="371"/>
      <c r="K710" s="77"/>
      <c r="L710" s="160"/>
      <c r="M710" s="388"/>
      <c r="N710" s="375"/>
      <c r="W710" s="113"/>
      <c r="X710" s="241"/>
      <c r="Y710" s="284"/>
      <c r="Z710" s="207"/>
      <c r="AA710" s="284"/>
      <c r="AB710" s="284"/>
      <c r="AC710" s="137"/>
      <c r="AD710" s="284"/>
      <c r="AE710" s="299"/>
      <c r="AF710" s="299"/>
      <c r="AG710" s="284"/>
    </row>
    <row r="711" spans="2:33">
      <c r="B711" s="86"/>
      <c r="C711" s="84"/>
      <c r="D711" s="86"/>
      <c r="E711" s="84"/>
      <c r="F711" s="284"/>
      <c r="G711" s="49"/>
      <c r="H711" s="284"/>
      <c r="I711" s="74"/>
      <c r="J711" s="371"/>
      <c r="K711" s="77"/>
      <c r="L711" s="160"/>
      <c r="M711" s="388"/>
      <c r="N711" s="375"/>
      <c r="W711" s="113"/>
      <c r="X711" s="241"/>
      <c r="Y711" s="284"/>
      <c r="Z711" s="207"/>
      <c r="AA711" s="284"/>
      <c r="AB711" s="284"/>
      <c r="AC711" s="137"/>
      <c r="AD711" s="284"/>
      <c r="AE711" s="299"/>
      <c r="AF711" s="299"/>
      <c r="AG711" s="284"/>
    </row>
    <row r="712" spans="2:33">
      <c r="B712" s="86"/>
      <c r="C712" s="84"/>
      <c r="D712" s="86"/>
      <c r="E712" s="84"/>
      <c r="F712" s="284"/>
      <c r="G712" s="49"/>
      <c r="H712" s="284"/>
      <c r="I712" s="74"/>
      <c r="J712" s="371"/>
      <c r="K712" s="77"/>
      <c r="L712" s="160"/>
      <c r="M712" s="388"/>
      <c r="N712" s="375"/>
      <c r="W712" s="113"/>
      <c r="X712" s="241"/>
      <c r="Y712" s="284"/>
      <c r="Z712" s="207"/>
      <c r="AA712" s="284"/>
      <c r="AB712" s="284"/>
      <c r="AC712" s="137"/>
      <c r="AD712" s="284"/>
      <c r="AE712" s="299"/>
      <c r="AF712" s="299"/>
      <c r="AG712" s="284"/>
    </row>
    <row r="713" spans="2:33">
      <c r="B713" s="86"/>
      <c r="C713" s="84"/>
      <c r="D713" s="86"/>
      <c r="E713" s="84"/>
      <c r="F713" s="284"/>
      <c r="G713" s="49"/>
      <c r="H713" s="284"/>
      <c r="I713" s="74"/>
      <c r="J713" s="371"/>
      <c r="K713" s="77"/>
      <c r="L713" s="160"/>
      <c r="M713" s="388"/>
      <c r="N713" s="375"/>
      <c r="W713" s="113"/>
      <c r="X713" s="241"/>
      <c r="Y713" s="284"/>
      <c r="Z713" s="207"/>
      <c r="AA713" s="284"/>
      <c r="AB713" s="284"/>
      <c r="AC713" s="137"/>
      <c r="AD713" s="284"/>
      <c r="AE713" s="299"/>
      <c r="AF713" s="299"/>
      <c r="AG713" s="284"/>
    </row>
    <row r="714" spans="2:33">
      <c r="B714" s="86"/>
      <c r="C714" s="84"/>
      <c r="D714" s="86"/>
      <c r="E714" s="84"/>
      <c r="F714" s="284"/>
      <c r="G714" s="49"/>
      <c r="H714" s="284"/>
      <c r="I714" s="74"/>
      <c r="J714" s="371"/>
      <c r="K714" s="77"/>
      <c r="L714" s="160"/>
      <c r="M714" s="388"/>
      <c r="N714" s="375"/>
      <c r="W714" s="113"/>
      <c r="X714" s="241"/>
      <c r="Y714" s="284"/>
      <c r="Z714" s="207"/>
      <c r="AA714" s="284"/>
      <c r="AB714" s="284"/>
      <c r="AC714" s="137"/>
      <c r="AD714" s="284"/>
      <c r="AE714" s="299"/>
      <c r="AF714" s="299"/>
      <c r="AG714" s="284"/>
    </row>
    <row r="715" spans="2:33">
      <c r="B715" s="86"/>
      <c r="C715" s="84"/>
      <c r="D715" s="86"/>
      <c r="E715" s="84"/>
      <c r="F715" s="284"/>
      <c r="G715" s="49"/>
      <c r="H715" s="284"/>
      <c r="I715" s="74"/>
      <c r="J715" s="371"/>
      <c r="K715" s="77"/>
      <c r="L715" s="160"/>
      <c r="M715" s="388"/>
      <c r="N715" s="375"/>
      <c r="W715" s="113"/>
      <c r="X715" s="241"/>
      <c r="Y715" s="284"/>
      <c r="Z715" s="207"/>
      <c r="AA715" s="284"/>
      <c r="AB715" s="284"/>
      <c r="AC715" s="137"/>
      <c r="AD715" s="284"/>
      <c r="AE715" s="299"/>
      <c r="AF715" s="299"/>
      <c r="AG715" s="284"/>
    </row>
    <row r="716" spans="2:33">
      <c r="B716" s="86"/>
      <c r="C716" s="84"/>
      <c r="D716" s="86"/>
      <c r="E716" s="84"/>
      <c r="F716" s="284"/>
      <c r="G716" s="49"/>
      <c r="H716" s="284"/>
      <c r="I716" s="74"/>
      <c r="J716" s="371"/>
      <c r="K716" s="77"/>
      <c r="L716" s="160"/>
      <c r="M716" s="388"/>
      <c r="N716" s="375"/>
      <c r="W716" s="113"/>
      <c r="X716" s="241"/>
      <c r="Y716" s="284"/>
      <c r="Z716" s="207"/>
      <c r="AA716" s="284"/>
      <c r="AB716" s="284"/>
      <c r="AC716" s="137"/>
      <c r="AD716" s="284"/>
      <c r="AE716" s="299"/>
      <c r="AF716" s="299"/>
      <c r="AG716" s="284"/>
    </row>
    <row r="717" spans="2:33">
      <c r="B717" s="86"/>
      <c r="C717" s="84"/>
      <c r="D717" s="86"/>
      <c r="E717" s="84"/>
      <c r="F717" s="284"/>
      <c r="G717" s="49"/>
      <c r="H717" s="284"/>
      <c r="I717" s="74"/>
      <c r="J717" s="371"/>
      <c r="K717" s="77"/>
      <c r="L717" s="160"/>
      <c r="M717" s="388"/>
      <c r="N717" s="375"/>
      <c r="W717" s="113"/>
      <c r="X717" s="241"/>
      <c r="Y717" s="284"/>
      <c r="Z717" s="207"/>
      <c r="AA717" s="284"/>
      <c r="AB717" s="284"/>
      <c r="AC717" s="137"/>
      <c r="AD717" s="284"/>
      <c r="AE717" s="299"/>
      <c r="AF717" s="299"/>
      <c r="AG717" s="284"/>
    </row>
    <row r="718" spans="2:33">
      <c r="B718" s="86"/>
      <c r="C718" s="84"/>
      <c r="D718" s="86"/>
      <c r="E718" s="84"/>
      <c r="F718" s="284"/>
      <c r="G718" s="49"/>
      <c r="H718" s="284"/>
      <c r="I718" s="74"/>
      <c r="J718" s="371"/>
      <c r="K718" s="77"/>
      <c r="L718" s="160"/>
      <c r="M718" s="388"/>
      <c r="N718" s="375"/>
      <c r="W718" s="113"/>
      <c r="X718" s="241"/>
      <c r="Y718" s="284"/>
      <c r="Z718" s="207"/>
      <c r="AA718" s="284"/>
      <c r="AB718" s="284"/>
      <c r="AC718" s="137"/>
      <c r="AD718" s="284"/>
      <c r="AE718" s="299"/>
      <c r="AF718" s="299"/>
      <c r="AG718" s="284"/>
    </row>
    <row r="719" spans="2:33">
      <c r="B719" s="86"/>
      <c r="C719" s="84"/>
      <c r="D719" s="86"/>
      <c r="E719" s="84"/>
      <c r="F719" s="284"/>
      <c r="G719" s="49"/>
      <c r="H719" s="284"/>
      <c r="I719" s="74"/>
      <c r="J719" s="371"/>
      <c r="K719" s="77"/>
      <c r="L719" s="160"/>
      <c r="M719" s="388"/>
      <c r="N719" s="375"/>
      <c r="W719" s="113"/>
      <c r="X719" s="241"/>
      <c r="Y719" s="284"/>
      <c r="Z719" s="207"/>
      <c r="AA719" s="284"/>
      <c r="AB719" s="284"/>
      <c r="AC719" s="137"/>
      <c r="AD719" s="284"/>
      <c r="AE719" s="299"/>
      <c r="AF719" s="299"/>
      <c r="AG719" s="284"/>
    </row>
    <row r="720" spans="2:33">
      <c r="B720" s="86"/>
      <c r="C720" s="84"/>
      <c r="D720" s="86"/>
      <c r="E720" s="84"/>
      <c r="F720" s="284"/>
      <c r="G720" s="49"/>
      <c r="H720" s="284"/>
      <c r="I720" s="74"/>
      <c r="J720" s="371"/>
      <c r="K720" s="77"/>
      <c r="L720" s="160"/>
      <c r="M720" s="388"/>
      <c r="N720" s="375"/>
      <c r="W720" s="113"/>
      <c r="X720" s="241"/>
      <c r="Y720" s="284"/>
      <c r="Z720" s="207"/>
      <c r="AA720" s="284"/>
      <c r="AB720" s="284"/>
      <c r="AC720" s="137"/>
      <c r="AD720" s="284"/>
      <c r="AE720" s="299"/>
      <c r="AF720" s="299"/>
      <c r="AG720" s="284"/>
    </row>
    <row r="721" spans="2:33">
      <c r="B721" s="86"/>
      <c r="C721" s="84"/>
      <c r="D721" s="86"/>
      <c r="E721" s="84"/>
      <c r="F721" s="284"/>
      <c r="G721" s="49"/>
      <c r="H721" s="284"/>
      <c r="I721" s="74"/>
      <c r="J721" s="371"/>
      <c r="K721" s="77"/>
      <c r="L721" s="160"/>
      <c r="M721" s="388"/>
      <c r="N721" s="375"/>
      <c r="W721" s="113"/>
      <c r="X721" s="241"/>
      <c r="Y721" s="284"/>
      <c r="Z721" s="207"/>
      <c r="AA721" s="284"/>
      <c r="AB721" s="284"/>
      <c r="AC721" s="137"/>
      <c r="AD721" s="284"/>
      <c r="AE721" s="299"/>
      <c r="AF721" s="299"/>
      <c r="AG721" s="284"/>
    </row>
    <row r="722" spans="2:33">
      <c r="B722" s="86"/>
      <c r="C722" s="84"/>
      <c r="D722" s="86"/>
      <c r="E722" s="84"/>
      <c r="F722" s="284"/>
      <c r="G722" s="49"/>
      <c r="H722" s="284"/>
      <c r="I722" s="74"/>
      <c r="J722" s="371"/>
      <c r="K722" s="77"/>
      <c r="L722" s="160"/>
      <c r="M722" s="388"/>
      <c r="N722" s="375"/>
      <c r="W722" s="113"/>
      <c r="X722" s="241"/>
      <c r="Y722" s="284"/>
      <c r="Z722" s="207"/>
      <c r="AA722" s="284"/>
      <c r="AB722" s="284"/>
      <c r="AC722" s="137"/>
      <c r="AD722" s="284"/>
      <c r="AE722" s="299"/>
      <c r="AF722" s="299"/>
      <c r="AG722" s="284"/>
    </row>
    <row r="723" spans="2:33">
      <c r="B723" s="86"/>
      <c r="C723" s="84"/>
      <c r="D723" s="86"/>
      <c r="E723" s="84"/>
      <c r="F723" s="284"/>
      <c r="G723" s="49"/>
      <c r="H723" s="284"/>
      <c r="I723" s="74"/>
      <c r="J723" s="371"/>
      <c r="K723" s="77"/>
      <c r="L723" s="160"/>
      <c r="M723" s="388"/>
      <c r="N723" s="375"/>
      <c r="W723" s="113"/>
      <c r="X723" s="241"/>
      <c r="Y723" s="284"/>
      <c r="Z723" s="207"/>
      <c r="AA723" s="284"/>
      <c r="AB723" s="284"/>
      <c r="AC723" s="137"/>
      <c r="AD723" s="284"/>
      <c r="AE723" s="299"/>
      <c r="AF723" s="299"/>
      <c r="AG723" s="284"/>
    </row>
    <row r="724" spans="2:33">
      <c r="B724" s="86"/>
      <c r="C724" s="84"/>
      <c r="D724" s="86"/>
      <c r="E724" s="84"/>
      <c r="F724" s="284"/>
      <c r="G724" s="49"/>
      <c r="H724" s="284"/>
      <c r="I724" s="74"/>
      <c r="J724" s="371"/>
      <c r="K724" s="77"/>
      <c r="L724" s="160"/>
      <c r="M724" s="388"/>
      <c r="N724" s="375"/>
      <c r="W724" s="113"/>
      <c r="X724" s="241"/>
      <c r="Y724" s="284"/>
      <c r="Z724" s="207"/>
      <c r="AA724" s="284"/>
      <c r="AB724" s="284"/>
      <c r="AC724" s="137"/>
      <c r="AD724" s="284"/>
      <c r="AE724" s="299"/>
      <c r="AF724" s="299"/>
      <c r="AG724" s="284"/>
    </row>
    <row r="725" spans="2:33">
      <c r="B725" s="86"/>
      <c r="C725" s="84"/>
      <c r="D725" s="86"/>
      <c r="E725" s="84"/>
      <c r="F725" s="284"/>
      <c r="G725" s="49"/>
      <c r="H725" s="284"/>
      <c r="I725" s="74"/>
      <c r="J725" s="371"/>
      <c r="K725" s="77"/>
      <c r="L725" s="160"/>
      <c r="M725" s="388"/>
      <c r="N725" s="375"/>
      <c r="W725" s="113"/>
      <c r="X725" s="241"/>
      <c r="Y725" s="284"/>
      <c r="Z725" s="207"/>
      <c r="AA725" s="284"/>
      <c r="AB725" s="284"/>
      <c r="AC725" s="137"/>
      <c r="AD725" s="284"/>
      <c r="AE725" s="299"/>
      <c r="AF725" s="299"/>
      <c r="AG725" s="284"/>
    </row>
    <row r="726" spans="2:33">
      <c r="B726" s="86"/>
      <c r="C726" s="84"/>
      <c r="D726" s="86"/>
      <c r="E726" s="84"/>
      <c r="F726" s="284"/>
      <c r="G726" s="49"/>
      <c r="H726" s="284"/>
      <c r="I726" s="74"/>
      <c r="J726" s="371"/>
      <c r="K726" s="77"/>
      <c r="L726" s="160"/>
      <c r="M726" s="388"/>
      <c r="N726" s="375"/>
      <c r="W726" s="113"/>
      <c r="X726" s="241"/>
      <c r="Y726" s="284"/>
      <c r="Z726" s="207"/>
      <c r="AA726" s="284"/>
      <c r="AB726" s="284"/>
      <c r="AC726" s="137"/>
      <c r="AD726" s="284"/>
      <c r="AE726" s="299"/>
      <c r="AF726" s="299"/>
      <c r="AG726" s="284"/>
    </row>
    <row r="727" spans="2:33">
      <c r="B727" s="86"/>
      <c r="C727" s="84"/>
      <c r="D727" s="86"/>
      <c r="E727" s="84"/>
      <c r="F727" s="284"/>
      <c r="G727" s="49"/>
      <c r="H727" s="284"/>
      <c r="I727" s="74"/>
      <c r="J727" s="371"/>
      <c r="K727" s="77"/>
      <c r="L727" s="160"/>
      <c r="M727" s="388"/>
      <c r="N727" s="375"/>
      <c r="W727" s="113"/>
      <c r="X727" s="241"/>
      <c r="Y727" s="284"/>
      <c r="Z727" s="207"/>
      <c r="AA727" s="284"/>
      <c r="AB727" s="284"/>
      <c r="AC727" s="137"/>
      <c r="AD727" s="284"/>
      <c r="AE727" s="299"/>
      <c r="AF727" s="299"/>
      <c r="AG727" s="284"/>
    </row>
    <row r="728" spans="2:33">
      <c r="B728" s="86"/>
      <c r="C728" s="84"/>
      <c r="D728" s="86"/>
      <c r="E728" s="84"/>
      <c r="F728" s="284"/>
      <c r="G728" s="49"/>
      <c r="H728" s="284"/>
      <c r="I728" s="74"/>
      <c r="J728" s="371"/>
      <c r="K728" s="77"/>
      <c r="L728" s="160"/>
      <c r="M728" s="388"/>
      <c r="N728" s="375"/>
      <c r="W728" s="113"/>
      <c r="X728" s="241"/>
      <c r="Y728" s="284"/>
      <c r="Z728" s="207"/>
      <c r="AA728" s="284"/>
      <c r="AB728" s="284"/>
      <c r="AC728" s="137"/>
      <c r="AD728" s="284"/>
      <c r="AE728" s="299"/>
      <c r="AF728" s="299"/>
      <c r="AG728" s="284"/>
    </row>
    <row r="729" spans="2:33">
      <c r="B729" s="86"/>
      <c r="C729" s="84"/>
      <c r="D729" s="86"/>
      <c r="E729" s="84"/>
      <c r="F729" s="284"/>
      <c r="G729" s="49"/>
      <c r="H729" s="284"/>
      <c r="I729" s="74"/>
      <c r="J729" s="371"/>
      <c r="K729" s="77"/>
      <c r="L729" s="160"/>
      <c r="M729" s="388"/>
      <c r="N729" s="375"/>
      <c r="W729" s="113"/>
      <c r="X729" s="241"/>
      <c r="Y729" s="284"/>
      <c r="Z729" s="207"/>
      <c r="AA729" s="284"/>
      <c r="AB729" s="284"/>
      <c r="AC729" s="137"/>
      <c r="AD729" s="284"/>
      <c r="AE729" s="299"/>
      <c r="AF729" s="299"/>
      <c r="AG729" s="284"/>
    </row>
    <row r="730" spans="2:33">
      <c r="B730" s="86"/>
      <c r="C730" s="84"/>
      <c r="D730" s="86"/>
      <c r="E730" s="84"/>
      <c r="F730" s="284"/>
      <c r="G730" s="49"/>
      <c r="H730" s="284"/>
      <c r="I730" s="74"/>
      <c r="J730" s="371"/>
      <c r="K730" s="77"/>
      <c r="L730" s="160"/>
      <c r="M730" s="388"/>
      <c r="N730" s="375"/>
      <c r="W730" s="113"/>
      <c r="X730" s="241"/>
      <c r="Y730" s="284"/>
      <c r="Z730" s="207"/>
      <c r="AA730" s="284"/>
      <c r="AB730" s="284"/>
      <c r="AC730" s="137"/>
      <c r="AD730" s="284"/>
      <c r="AE730" s="299"/>
      <c r="AF730" s="299"/>
      <c r="AG730" s="284"/>
    </row>
    <row r="731" spans="2:33">
      <c r="B731" s="86"/>
      <c r="C731" s="84"/>
      <c r="D731" s="86"/>
      <c r="E731" s="84"/>
      <c r="F731" s="284"/>
      <c r="G731" s="49"/>
      <c r="H731" s="284"/>
      <c r="I731" s="74"/>
      <c r="J731" s="371"/>
      <c r="K731" s="77"/>
      <c r="L731" s="160"/>
      <c r="M731" s="388"/>
      <c r="N731" s="375"/>
      <c r="W731" s="113"/>
      <c r="X731" s="241"/>
      <c r="Y731" s="284"/>
      <c r="Z731" s="207"/>
      <c r="AA731" s="284"/>
      <c r="AB731" s="284"/>
      <c r="AC731" s="137"/>
      <c r="AD731" s="284"/>
      <c r="AE731" s="299"/>
      <c r="AF731" s="299"/>
      <c r="AG731" s="284"/>
    </row>
    <row r="732" spans="2:33">
      <c r="B732" s="86"/>
      <c r="C732" s="84"/>
      <c r="D732" s="86"/>
      <c r="E732" s="84"/>
      <c r="F732" s="284"/>
      <c r="G732" s="49"/>
      <c r="H732" s="284"/>
      <c r="I732" s="74"/>
      <c r="J732" s="371"/>
      <c r="K732" s="77"/>
      <c r="L732" s="160"/>
      <c r="M732" s="388"/>
      <c r="N732" s="375"/>
      <c r="W732" s="113"/>
      <c r="X732" s="241"/>
      <c r="Y732" s="284"/>
      <c r="Z732" s="207"/>
      <c r="AA732" s="284"/>
      <c r="AB732" s="284"/>
      <c r="AC732" s="137"/>
      <c r="AD732" s="284"/>
      <c r="AE732" s="299"/>
      <c r="AF732" s="299"/>
      <c r="AG732" s="284"/>
    </row>
    <row r="733" spans="2:33">
      <c r="B733" s="86"/>
      <c r="C733" s="84"/>
      <c r="D733" s="86"/>
      <c r="E733" s="84"/>
      <c r="F733" s="284"/>
      <c r="G733" s="49"/>
      <c r="H733" s="284"/>
      <c r="I733" s="74"/>
      <c r="J733" s="371"/>
      <c r="K733" s="77"/>
      <c r="L733" s="160"/>
      <c r="M733" s="388"/>
      <c r="N733" s="375"/>
      <c r="W733" s="113"/>
      <c r="X733" s="241"/>
      <c r="Y733" s="284"/>
      <c r="Z733" s="207"/>
      <c r="AA733" s="284"/>
      <c r="AB733" s="284"/>
      <c r="AC733" s="137"/>
      <c r="AD733" s="284"/>
      <c r="AE733" s="299"/>
      <c r="AF733" s="299"/>
      <c r="AG733" s="284"/>
    </row>
    <row r="734" spans="2:33">
      <c r="B734" s="86"/>
      <c r="C734" s="84"/>
      <c r="D734" s="86"/>
      <c r="E734" s="84"/>
      <c r="F734" s="284"/>
      <c r="G734" s="49"/>
      <c r="H734" s="284"/>
      <c r="I734" s="74"/>
      <c r="J734" s="371"/>
      <c r="K734" s="77"/>
      <c r="L734" s="160"/>
      <c r="M734" s="388"/>
      <c r="N734" s="375"/>
      <c r="W734" s="113"/>
      <c r="X734" s="241"/>
      <c r="Y734" s="284"/>
      <c r="Z734" s="207"/>
      <c r="AA734" s="284"/>
      <c r="AB734" s="284"/>
      <c r="AC734" s="137"/>
      <c r="AD734" s="284"/>
      <c r="AE734" s="299"/>
      <c r="AF734" s="299"/>
      <c r="AG734" s="284"/>
    </row>
    <row r="735" spans="2:33">
      <c r="B735" s="86"/>
      <c r="C735" s="84"/>
      <c r="D735" s="86"/>
      <c r="E735" s="84"/>
      <c r="F735" s="284"/>
      <c r="G735" s="49"/>
      <c r="H735" s="284"/>
      <c r="I735" s="74"/>
      <c r="J735" s="371"/>
      <c r="K735" s="77"/>
      <c r="L735" s="160"/>
      <c r="M735" s="388"/>
      <c r="N735" s="375"/>
      <c r="W735" s="113"/>
      <c r="X735" s="241"/>
      <c r="Y735" s="284"/>
      <c r="Z735" s="207"/>
      <c r="AA735" s="284"/>
      <c r="AB735" s="284"/>
      <c r="AC735" s="137"/>
      <c r="AD735" s="284"/>
      <c r="AE735" s="299"/>
      <c r="AF735" s="299"/>
      <c r="AG735" s="284"/>
    </row>
    <row r="736" spans="2:33">
      <c r="B736" s="86"/>
      <c r="C736" s="84"/>
      <c r="D736" s="86"/>
      <c r="E736" s="84"/>
      <c r="F736" s="284"/>
      <c r="G736" s="49"/>
      <c r="H736" s="284"/>
      <c r="I736" s="74"/>
      <c r="J736" s="371"/>
      <c r="K736" s="77"/>
      <c r="L736" s="160"/>
      <c r="M736" s="388"/>
      <c r="N736" s="375"/>
      <c r="W736" s="113"/>
      <c r="X736" s="241"/>
      <c r="Y736" s="284"/>
      <c r="Z736" s="207"/>
      <c r="AA736" s="284"/>
      <c r="AB736" s="284"/>
      <c r="AC736" s="137"/>
      <c r="AD736" s="284"/>
      <c r="AE736" s="299"/>
      <c r="AF736" s="299"/>
      <c r="AG736" s="284"/>
    </row>
    <row r="737" spans="2:33">
      <c r="B737" s="86"/>
      <c r="C737" s="84"/>
      <c r="D737" s="86"/>
      <c r="E737" s="84"/>
      <c r="F737" s="284"/>
      <c r="G737" s="49"/>
      <c r="H737" s="284"/>
      <c r="I737" s="74"/>
      <c r="J737" s="371"/>
      <c r="K737" s="77"/>
      <c r="L737" s="160"/>
      <c r="M737" s="388"/>
      <c r="N737" s="375"/>
      <c r="W737" s="113"/>
      <c r="X737" s="241"/>
      <c r="Y737" s="284"/>
      <c r="Z737" s="207"/>
      <c r="AA737" s="284"/>
      <c r="AB737" s="284"/>
      <c r="AC737" s="137"/>
      <c r="AD737" s="284"/>
      <c r="AE737" s="299"/>
      <c r="AF737" s="299"/>
      <c r="AG737" s="284"/>
    </row>
    <row r="738" spans="2:33">
      <c r="B738" s="86"/>
      <c r="C738" s="84"/>
      <c r="D738" s="86"/>
      <c r="E738" s="84"/>
      <c r="F738" s="284"/>
      <c r="G738" s="49"/>
      <c r="H738" s="284"/>
      <c r="I738" s="74"/>
      <c r="J738" s="371"/>
      <c r="K738" s="77"/>
      <c r="L738" s="160"/>
      <c r="M738" s="388"/>
      <c r="N738" s="375"/>
      <c r="W738" s="113"/>
      <c r="X738" s="241"/>
      <c r="Y738" s="284"/>
      <c r="Z738" s="207"/>
      <c r="AA738" s="284"/>
      <c r="AB738" s="284"/>
      <c r="AC738" s="137"/>
      <c r="AD738" s="284"/>
      <c r="AE738" s="299"/>
      <c r="AF738" s="299"/>
      <c r="AG738" s="284"/>
    </row>
    <row r="739" spans="2:33">
      <c r="B739" s="86"/>
      <c r="C739" s="84"/>
      <c r="D739" s="86"/>
      <c r="E739" s="84"/>
      <c r="F739" s="284"/>
      <c r="G739" s="49"/>
      <c r="H739" s="284"/>
      <c r="I739" s="74"/>
      <c r="J739" s="371"/>
      <c r="K739" s="77"/>
      <c r="L739" s="160"/>
      <c r="M739" s="388"/>
      <c r="N739" s="375"/>
      <c r="W739" s="113"/>
      <c r="X739" s="241"/>
      <c r="Y739" s="284"/>
      <c r="Z739" s="207"/>
      <c r="AA739" s="284"/>
      <c r="AB739" s="284"/>
      <c r="AC739" s="137"/>
      <c r="AD739" s="284"/>
      <c r="AE739" s="299"/>
      <c r="AF739" s="299"/>
      <c r="AG739" s="284"/>
    </row>
    <row r="740" spans="2:33">
      <c r="B740" s="86"/>
      <c r="C740" s="84"/>
      <c r="D740" s="86"/>
      <c r="E740" s="84"/>
      <c r="F740" s="284"/>
      <c r="G740" s="49"/>
      <c r="H740" s="284"/>
      <c r="I740" s="74"/>
      <c r="J740" s="371"/>
      <c r="K740" s="77"/>
      <c r="L740" s="160"/>
      <c r="M740" s="388"/>
      <c r="N740" s="375"/>
      <c r="W740" s="113"/>
      <c r="X740" s="241"/>
      <c r="Y740" s="284"/>
      <c r="Z740" s="207"/>
      <c r="AA740" s="284"/>
      <c r="AB740" s="284"/>
      <c r="AC740" s="137"/>
      <c r="AD740" s="284"/>
      <c r="AE740" s="299"/>
      <c r="AF740" s="299"/>
      <c r="AG740" s="284"/>
    </row>
    <row r="741" spans="2:33">
      <c r="B741" s="86"/>
      <c r="C741" s="84"/>
      <c r="D741" s="86"/>
      <c r="E741" s="84"/>
      <c r="F741" s="284"/>
      <c r="G741" s="49"/>
      <c r="H741" s="284"/>
      <c r="I741" s="74"/>
      <c r="J741" s="371"/>
      <c r="K741" s="77"/>
      <c r="L741" s="160"/>
      <c r="M741" s="388"/>
      <c r="N741" s="375"/>
      <c r="W741" s="113"/>
      <c r="X741" s="241"/>
      <c r="Y741" s="284"/>
      <c r="Z741" s="207"/>
      <c r="AA741" s="284"/>
      <c r="AB741" s="284"/>
      <c r="AC741" s="137"/>
      <c r="AD741" s="284"/>
      <c r="AE741" s="299"/>
      <c r="AF741" s="299"/>
      <c r="AG741" s="284"/>
    </row>
    <row r="742" spans="2:33">
      <c r="B742" s="86"/>
      <c r="C742" s="84"/>
      <c r="D742" s="86"/>
      <c r="E742" s="84"/>
      <c r="F742" s="284"/>
      <c r="G742" s="49"/>
      <c r="H742" s="284"/>
      <c r="I742" s="74"/>
      <c r="J742" s="371"/>
      <c r="K742" s="77"/>
      <c r="L742" s="160"/>
      <c r="M742" s="388"/>
      <c r="N742" s="375"/>
      <c r="W742" s="113"/>
      <c r="X742" s="241"/>
      <c r="Y742" s="284"/>
      <c r="Z742" s="207"/>
      <c r="AA742" s="284"/>
      <c r="AB742" s="284"/>
      <c r="AC742" s="137"/>
      <c r="AD742" s="284"/>
      <c r="AE742" s="299"/>
      <c r="AF742" s="299"/>
      <c r="AG742" s="284"/>
    </row>
    <row r="743" spans="2:33">
      <c r="B743" s="86"/>
      <c r="C743" s="84"/>
      <c r="D743" s="86"/>
      <c r="E743" s="84"/>
      <c r="F743" s="284"/>
      <c r="G743" s="49"/>
      <c r="H743" s="284"/>
      <c r="I743" s="74"/>
      <c r="J743" s="371"/>
      <c r="K743" s="77"/>
      <c r="L743" s="160"/>
      <c r="M743" s="388"/>
      <c r="N743" s="375"/>
      <c r="W743" s="113"/>
      <c r="X743" s="241"/>
      <c r="Y743" s="284"/>
      <c r="Z743" s="207"/>
      <c r="AA743" s="284"/>
      <c r="AB743" s="284"/>
      <c r="AC743" s="137"/>
      <c r="AD743" s="284"/>
      <c r="AE743" s="299"/>
      <c r="AF743" s="299"/>
      <c r="AG743" s="284"/>
    </row>
    <row r="744" spans="2:33">
      <c r="B744" s="86"/>
      <c r="C744" s="84"/>
      <c r="D744" s="86"/>
      <c r="E744" s="84"/>
      <c r="F744" s="284"/>
      <c r="G744" s="49"/>
      <c r="H744" s="284"/>
      <c r="I744" s="74"/>
      <c r="J744" s="371"/>
      <c r="K744" s="77"/>
      <c r="L744" s="160"/>
      <c r="M744" s="388"/>
      <c r="N744" s="375"/>
      <c r="W744" s="113"/>
      <c r="X744" s="241"/>
      <c r="Y744" s="284"/>
      <c r="Z744" s="207"/>
      <c r="AA744" s="284"/>
      <c r="AB744" s="284"/>
      <c r="AC744" s="137"/>
      <c r="AD744" s="284"/>
      <c r="AE744" s="299"/>
      <c r="AF744" s="299"/>
      <c r="AG744" s="284"/>
    </row>
    <row r="745" spans="2:33">
      <c r="B745" s="86"/>
      <c r="C745" s="84"/>
      <c r="D745" s="86"/>
      <c r="E745" s="84"/>
      <c r="F745" s="284"/>
      <c r="G745" s="49"/>
      <c r="H745" s="284"/>
      <c r="I745" s="74"/>
      <c r="J745" s="371"/>
      <c r="K745" s="77"/>
      <c r="L745" s="160"/>
      <c r="M745" s="388"/>
      <c r="N745" s="375"/>
      <c r="W745" s="113"/>
      <c r="X745" s="241"/>
      <c r="Y745" s="284"/>
      <c r="Z745" s="207"/>
      <c r="AA745" s="284"/>
      <c r="AB745" s="284"/>
      <c r="AC745" s="137"/>
      <c r="AD745" s="284"/>
      <c r="AE745" s="299"/>
      <c r="AF745" s="299"/>
      <c r="AG745" s="284"/>
    </row>
    <row r="746" spans="2:33">
      <c r="B746" s="86"/>
      <c r="C746" s="84"/>
      <c r="D746" s="86"/>
      <c r="E746" s="84"/>
      <c r="F746" s="284"/>
      <c r="G746" s="49"/>
      <c r="H746" s="284"/>
      <c r="I746" s="74"/>
      <c r="J746" s="371"/>
      <c r="K746" s="77"/>
      <c r="L746" s="160"/>
      <c r="M746" s="388"/>
      <c r="N746" s="375"/>
      <c r="W746" s="113"/>
      <c r="X746" s="241"/>
      <c r="Y746" s="284"/>
      <c r="Z746" s="207"/>
      <c r="AA746" s="284"/>
      <c r="AB746" s="284"/>
      <c r="AC746" s="137"/>
      <c r="AD746" s="284"/>
      <c r="AE746" s="299"/>
      <c r="AF746" s="299"/>
      <c r="AG746" s="284"/>
    </row>
    <row r="747" spans="2:33">
      <c r="B747" s="86"/>
      <c r="C747" s="84"/>
      <c r="D747" s="86"/>
      <c r="E747" s="84"/>
      <c r="F747" s="284"/>
      <c r="G747" s="49"/>
      <c r="H747" s="284"/>
      <c r="I747" s="74"/>
      <c r="J747" s="371"/>
      <c r="K747" s="77"/>
      <c r="L747" s="160"/>
      <c r="M747" s="388"/>
      <c r="N747" s="375"/>
      <c r="W747" s="113"/>
      <c r="X747" s="241"/>
      <c r="Y747" s="284"/>
      <c r="Z747" s="207"/>
      <c r="AA747" s="284"/>
      <c r="AB747" s="284"/>
      <c r="AC747" s="137"/>
      <c r="AD747" s="284"/>
      <c r="AE747" s="299"/>
      <c r="AF747" s="299"/>
      <c r="AG747" s="284"/>
    </row>
    <row r="748" spans="2:33">
      <c r="B748" s="86"/>
      <c r="C748" s="84"/>
      <c r="D748" s="86"/>
      <c r="E748" s="84"/>
      <c r="F748" s="284"/>
      <c r="G748" s="49"/>
      <c r="H748" s="284"/>
      <c r="I748" s="74"/>
      <c r="J748" s="371"/>
      <c r="K748" s="77"/>
      <c r="L748" s="160"/>
      <c r="M748" s="388"/>
      <c r="N748" s="375"/>
      <c r="W748" s="113"/>
      <c r="X748" s="241"/>
      <c r="Y748" s="284"/>
      <c r="Z748" s="207"/>
      <c r="AA748" s="284"/>
      <c r="AB748" s="284"/>
      <c r="AC748" s="137"/>
      <c r="AD748" s="284"/>
      <c r="AE748" s="299"/>
      <c r="AF748" s="299"/>
      <c r="AG748" s="284"/>
    </row>
    <row r="749" spans="2:33">
      <c r="B749" s="86"/>
      <c r="C749" s="84"/>
      <c r="D749" s="86"/>
      <c r="E749" s="84"/>
      <c r="F749" s="284"/>
      <c r="G749" s="49"/>
      <c r="H749" s="284"/>
      <c r="I749" s="74"/>
      <c r="J749" s="371"/>
      <c r="K749" s="77"/>
      <c r="L749" s="160"/>
      <c r="M749" s="388"/>
      <c r="N749" s="375"/>
      <c r="W749" s="113"/>
      <c r="X749" s="241"/>
      <c r="Y749" s="284"/>
      <c r="Z749" s="207"/>
      <c r="AA749" s="284"/>
      <c r="AB749" s="284"/>
      <c r="AC749" s="137"/>
      <c r="AD749" s="284"/>
      <c r="AE749" s="299"/>
      <c r="AF749" s="299"/>
      <c r="AG749" s="284"/>
    </row>
    <row r="750" spans="2:33">
      <c r="B750" s="86"/>
      <c r="C750" s="84"/>
      <c r="D750" s="86"/>
      <c r="E750" s="84"/>
      <c r="F750" s="284"/>
      <c r="G750" s="49"/>
      <c r="H750" s="284"/>
      <c r="I750" s="74"/>
      <c r="J750" s="371"/>
      <c r="K750" s="77"/>
      <c r="L750" s="160"/>
      <c r="M750" s="388"/>
      <c r="N750" s="375"/>
      <c r="W750" s="113"/>
      <c r="X750" s="241"/>
      <c r="Y750" s="284"/>
      <c r="Z750" s="207"/>
      <c r="AA750" s="284"/>
      <c r="AB750" s="284"/>
      <c r="AC750" s="137"/>
      <c r="AD750" s="284"/>
      <c r="AE750" s="299"/>
      <c r="AF750" s="299"/>
      <c r="AG750" s="284"/>
    </row>
    <row r="751" spans="2:33">
      <c r="B751" s="86"/>
      <c r="C751" s="84"/>
      <c r="D751" s="86"/>
      <c r="E751" s="84"/>
      <c r="F751" s="284"/>
      <c r="G751" s="49"/>
      <c r="H751" s="284"/>
      <c r="I751" s="74"/>
      <c r="J751" s="371"/>
      <c r="K751" s="77"/>
      <c r="L751" s="160"/>
      <c r="M751" s="388"/>
      <c r="N751" s="375"/>
      <c r="W751" s="113"/>
      <c r="X751" s="241"/>
      <c r="Y751" s="284"/>
      <c r="Z751" s="207"/>
      <c r="AA751" s="284"/>
      <c r="AB751" s="284"/>
      <c r="AC751" s="137"/>
      <c r="AD751" s="284"/>
      <c r="AE751" s="299"/>
      <c r="AF751" s="299"/>
      <c r="AG751" s="284"/>
    </row>
    <row r="752" spans="2:33">
      <c r="B752" s="86"/>
      <c r="C752" s="84"/>
      <c r="D752" s="86"/>
      <c r="E752" s="84"/>
      <c r="F752" s="284"/>
      <c r="G752" s="49"/>
      <c r="H752" s="284"/>
      <c r="I752" s="74"/>
      <c r="J752" s="371"/>
      <c r="K752" s="77"/>
      <c r="L752" s="160"/>
      <c r="M752" s="388"/>
      <c r="N752" s="375"/>
      <c r="W752" s="113"/>
      <c r="X752" s="241"/>
      <c r="Y752" s="284"/>
      <c r="Z752" s="207"/>
      <c r="AA752" s="284"/>
      <c r="AB752" s="284"/>
      <c r="AC752" s="137"/>
      <c r="AD752" s="284"/>
      <c r="AE752" s="299"/>
      <c r="AF752" s="299"/>
      <c r="AG752" s="284"/>
    </row>
    <row r="753" spans="2:33">
      <c r="B753" s="86"/>
      <c r="C753" s="84"/>
      <c r="D753" s="86"/>
      <c r="E753" s="84"/>
      <c r="F753" s="284"/>
      <c r="G753" s="49"/>
      <c r="H753" s="284"/>
      <c r="I753" s="74"/>
      <c r="J753" s="371"/>
      <c r="K753" s="77"/>
      <c r="L753" s="160"/>
      <c r="M753" s="388"/>
      <c r="N753" s="375"/>
      <c r="W753" s="113"/>
      <c r="X753" s="241"/>
      <c r="Y753" s="284"/>
      <c r="Z753" s="207"/>
      <c r="AA753" s="284"/>
      <c r="AB753" s="284"/>
      <c r="AC753" s="137"/>
      <c r="AD753" s="284"/>
      <c r="AE753" s="299"/>
      <c r="AF753" s="299"/>
      <c r="AG753" s="284"/>
    </row>
    <row r="754" spans="2:33">
      <c r="B754" s="86"/>
      <c r="C754" s="84"/>
      <c r="D754" s="86"/>
      <c r="E754" s="84"/>
      <c r="F754" s="284"/>
      <c r="G754" s="49"/>
      <c r="H754" s="284"/>
      <c r="I754" s="74"/>
      <c r="J754" s="371"/>
      <c r="K754" s="77"/>
      <c r="L754" s="160"/>
      <c r="M754" s="388"/>
      <c r="N754" s="375"/>
      <c r="W754" s="113"/>
      <c r="X754" s="241"/>
      <c r="Y754" s="284"/>
      <c r="Z754" s="207"/>
      <c r="AA754" s="284"/>
      <c r="AB754" s="284"/>
      <c r="AC754" s="137"/>
      <c r="AD754" s="284"/>
      <c r="AE754" s="299"/>
      <c r="AF754" s="299"/>
      <c r="AG754" s="284"/>
    </row>
    <row r="755" spans="2:33">
      <c r="B755" s="86"/>
      <c r="C755" s="84"/>
      <c r="D755" s="86"/>
      <c r="E755" s="84"/>
      <c r="F755" s="284"/>
      <c r="G755" s="49"/>
      <c r="H755" s="284"/>
      <c r="I755" s="74"/>
      <c r="J755" s="371"/>
      <c r="K755" s="77"/>
      <c r="L755" s="160"/>
      <c r="M755" s="388"/>
      <c r="N755" s="375"/>
      <c r="W755" s="113"/>
      <c r="X755" s="241"/>
      <c r="Y755" s="284"/>
      <c r="Z755" s="207"/>
      <c r="AA755" s="284"/>
      <c r="AB755" s="284"/>
      <c r="AC755" s="137"/>
      <c r="AD755" s="284"/>
      <c r="AE755" s="299"/>
      <c r="AF755" s="299"/>
      <c r="AG755" s="284"/>
    </row>
    <row r="756" spans="2:33">
      <c r="B756" s="86"/>
      <c r="C756" s="84"/>
      <c r="D756" s="86"/>
      <c r="E756" s="84"/>
      <c r="F756" s="284"/>
      <c r="G756" s="49"/>
      <c r="H756" s="284"/>
      <c r="I756" s="74"/>
      <c r="J756" s="371"/>
      <c r="K756" s="77"/>
      <c r="L756" s="160"/>
      <c r="M756" s="388"/>
      <c r="N756" s="375"/>
      <c r="W756" s="113"/>
      <c r="X756" s="241"/>
      <c r="Y756" s="284"/>
      <c r="Z756" s="207"/>
      <c r="AA756" s="284"/>
      <c r="AB756" s="284"/>
      <c r="AC756" s="137"/>
      <c r="AD756" s="284"/>
      <c r="AE756" s="299"/>
      <c r="AF756" s="299"/>
      <c r="AG756" s="284"/>
    </row>
    <row r="757" spans="2:33">
      <c r="B757" s="86"/>
      <c r="C757" s="84"/>
      <c r="D757" s="86"/>
      <c r="E757" s="84"/>
      <c r="F757" s="284"/>
      <c r="G757" s="49"/>
      <c r="H757" s="284"/>
      <c r="I757" s="74"/>
      <c r="J757" s="371"/>
      <c r="K757" s="77"/>
      <c r="L757" s="160"/>
      <c r="M757" s="388"/>
      <c r="N757" s="375"/>
      <c r="W757" s="113"/>
      <c r="X757" s="241"/>
      <c r="Y757" s="284"/>
      <c r="Z757" s="207"/>
      <c r="AA757" s="284"/>
      <c r="AB757" s="284"/>
      <c r="AC757" s="137"/>
      <c r="AD757" s="284"/>
      <c r="AE757" s="299"/>
      <c r="AF757" s="299"/>
      <c r="AG757" s="284"/>
    </row>
    <row r="758" spans="2:33">
      <c r="B758" s="86"/>
      <c r="C758" s="84"/>
      <c r="D758" s="86"/>
      <c r="E758" s="84"/>
      <c r="F758" s="284"/>
      <c r="G758" s="49"/>
      <c r="H758" s="284"/>
      <c r="I758" s="74"/>
      <c r="J758" s="371"/>
      <c r="K758" s="77"/>
      <c r="L758" s="160"/>
      <c r="M758" s="388"/>
      <c r="N758" s="375"/>
      <c r="W758" s="113"/>
      <c r="X758" s="241"/>
      <c r="Y758" s="284"/>
      <c r="Z758" s="207"/>
      <c r="AA758" s="284"/>
      <c r="AB758" s="284"/>
      <c r="AC758" s="137"/>
      <c r="AD758" s="284"/>
      <c r="AE758" s="299"/>
      <c r="AF758" s="299"/>
      <c r="AG758" s="284"/>
    </row>
    <row r="759" spans="2:33">
      <c r="B759" s="86"/>
      <c r="C759" s="84"/>
      <c r="D759" s="86"/>
      <c r="E759" s="84"/>
      <c r="F759" s="284"/>
      <c r="G759" s="49"/>
      <c r="H759" s="284"/>
      <c r="I759" s="74"/>
      <c r="J759" s="371"/>
      <c r="K759" s="77"/>
      <c r="L759" s="160"/>
      <c r="M759" s="388"/>
      <c r="N759" s="375"/>
      <c r="W759" s="113"/>
      <c r="X759" s="241"/>
      <c r="Y759" s="284"/>
      <c r="Z759" s="207"/>
      <c r="AA759" s="284"/>
      <c r="AB759" s="284"/>
      <c r="AC759" s="137"/>
      <c r="AD759" s="284"/>
      <c r="AE759" s="299"/>
      <c r="AF759" s="299"/>
      <c r="AG759" s="284"/>
    </row>
    <row r="760" spans="2:33">
      <c r="B760" s="86"/>
      <c r="C760" s="84"/>
      <c r="D760" s="86"/>
      <c r="E760" s="84"/>
      <c r="F760" s="284"/>
      <c r="G760" s="49"/>
      <c r="H760" s="284"/>
      <c r="I760" s="74"/>
      <c r="J760" s="371"/>
      <c r="K760" s="77"/>
      <c r="L760" s="160"/>
      <c r="M760" s="388"/>
      <c r="N760" s="375"/>
      <c r="W760" s="113"/>
      <c r="X760" s="241"/>
      <c r="Y760" s="284"/>
      <c r="Z760" s="207"/>
      <c r="AA760" s="284"/>
      <c r="AB760" s="284"/>
      <c r="AC760" s="137"/>
      <c r="AD760" s="284"/>
      <c r="AE760" s="299"/>
      <c r="AF760" s="299"/>
      <c r="AG760" s="284"/>
    </row>
    <row r="761" spans="2:33">
      <c r="B761" s="86"/>
      <c r="C761" s="84"/>
      <c r="D761" s="86"/>
      <c r="E761" s="84"/>
      <c r="F761" s="284"/>
      <c r="G761" s="49"/>
      <c r="H761" s="284"/>
      <c r="I761" s="74"/>
      <c r="J761" s="371"/>
      <c r="K761" s="77"/>
      <c r="L761" s="160"/>
      <c r="M761" s="388"/>
      <c r="N761" s="375"/>
      <c r="W761" s="113"/>
      <c r="X761" s="241"/>
      <c r="Y761" s="284"/>
      <c r="Z761" s="207"/>
      <c r="AA761" s="284"/>
      <c r="AB761" s="284"/>
      <c r="AC761" s="137"/>
      <c r="AD761" s="284"/>
      <c r="AE761" s="299"/>
      <c r="AF761" s="299"/>
      <c r="AG761" s="284"/>
    </row>
    <row r="762" spans="2:33">
      <c r="B762" s="86"/>
      <c r="C762" s="84"/>
      <c r="D762" s="86"/>
      <c r="E762" s="84"/>
      <c r="F762" s="284"/>
      <c r="G762" s="49"/>
      <c r="H762" s="284"/>
      <c r="I762" s="74"/>
      <c r="J762" s="371"/>
      <c r="K762" s="77"/>
      <c r="L762" s="160"/>
      <c r="M762" s="388"/>
      <c r="N762" s="375"/>
      <c r="W762" s="113"/>
      <c r="X762" s="241"/>
      <c r="Y762" s="284"/>
      <c r="Z762" s="207"/>
      <c r="AA762" s="284"/>
      <c r="AB762" s="284"/>
      <c r="AC762" s="137"/>
      <c r="AD762" s="284"/>
      <c r="AE762" s="299"/>
      <c r="AF762" s="299"/>
      <c r="AG762" s="284"/>
    </row>
    <row r="763" spans="2:33">
      <c r="B763" s="86"/>
      <c r="C763" s="84"/>
      <c r="D763" s="86"/>
      <c r="E763" s="84"/>
      <c r="F763" s="284"/>
      <c r="G763" s="49"/>
      <c r="H763" s="284"/>
      <c r="I763" s="74"/>
      <c r="J763" s="371"/>
      <c r="K763" s="77"/>
      <c r="L763" s="160"/>
      <c r="M763" s="388"/>
      <c r="N763" s="375"/>
      <c r="W763" s="113"/>
      <c r="X763" s="241"/>
      <c r="Y763" s="284"/>
      <c r="Z763" s="207"/>
      <c r="AA763" s="284"/>
      <c r="AB763" s="284"/>
      <c r="AC763" s="137"/>
      <c r="AD763" s="284"/>
      <c r="AE763" s="299"/>
      <c r="AF763" s="299"/>
      <c r="AG763" s="284"/>
    </row>
    <row r="764" spans="2:33">
      <c r="B764" s="86"/>
      <c r="C764" s="84"/>
      <c r="D764" s="86"/>
      <c r="E764" s="84"/>
      <c r="F764" s="284"/>
      <c r="G764" s="49"/>
      <c r="H764" s="284"/>
      <c r="I764" s="74"/>
      <c r="J764" s="371"/>
      <c r="K764" s="77"/>
      <c r="L764" s="160"/>
      <c r="M764" s="388"/>
      <c r="N764" s="375"/>
      <c r="W764" s="113"/>
      <c r="X764" s="241"/>
      <c r="Y764" s="284"/>
      <c r="Z764" s="207"/>
      <c r="AA764" s="284"/>
      <c r="AB764" s="284"/>
      <c r="AC764" s="137"/>
      <c r="AD764" s="284"/>
      <c r="AE764" s="299"/>
      <c r="AF764" s="299"/>
      <c r="AG764" s="284"/>
    </row>
    <row r="765" spans="2:33">
      <c r="B765" s="86"/>
      <c r="C765" s="84"/>
      <c r="D765" s="86"/>
      <c r="E765" s="84"/>
      <c r="F765" s="284"/>
      <c r="G765" s="49"/>
      <c r="H765" s="284"/>
      <c r="I765" s="74"/>
      <c r="J765" s="371"/>
      <c r="K765" s="77"/>
      <c r="L765" s="160"/>
      <c r="M765" s="388"/>
      <c r="N765" s="375"/>
      <c r="W765" s="113"/>
      <c r="X765" s="241"/>
      <c r="Y765" s="284"/>
      <c r="Z765" s="207"/>
      <c r="AA765" s="284"/>
      <c r="AB765" s="284"/>
      <c r="AC765" s="137"/>
      <c r="AD765" s="284"/>
      <c r="AE765" s="299"/>
      <c r="AF765" s="299"/>
      <c r="AG765" s="284"/>
    </row>
    <row r="766" spans="2:33">
      <c r="B766" s="86"/>
      <c r="C766" s="84"/>
      <c r="D766" s="86"/>
      <c r="E766" s="84"/>
      <c r="F766" s="284"/>
      <c r="G766" s="49"/>
      <c r="H766" s="284"/>
      <c r="I766" s="74"/>
      <c r="J766" s="371"/>
      <c r="K766" s="77"/>
      <c r="L766" s="160"/>
      <c r="M766" s="388"/>
      <c r="N766" s="375"/>
      <c r="W766" s="113"/>
      <c r="X766" s="241"/>
      <c r="Y766" s="284"/>
      <c r="Z766" s="207"/>
      <c r="AA766" s="284"/>
      <c r="AB766" s="284"/>
      <c r="AC766" s="137"/>
      <c r="AD766" s="284"/>
      <c r="AE766" s="299"/>
      <c r="AF766" s="299"/>
      <c r="AG766" s="284"/>
    </row>
    <row r="767" spans="2:33">
      <c r="B767" s="86"/>
      <c r="C767" s="84"/>
      <c r="D767" s="86"/>
      <c r="E767" s="84"/>
      <c r="F767" s="284"/>
      <c r="G767" s="49"/>
      <c r="H767" s="284"/>
      <c r="I767" s="74"/>
      <c r="J767" s="371"/>
      <c r="K767" s="77"/>
      <c r="L767" s="160"/>
      <c r="M767" s="388"/>
      <c r="N767" s="375"/>
      <c r="W767" s="113"/>
      <c r="X767" s="241"/>
      <c r="Y767" s="284"/>
      <c r="Z767" s="207"/>
      <c r="AA767" s="284"/>
      <c r="AB767" s="284"/>
      <c r="AC767" s="137"/>
      <c r="AD767" s="284"/>
      <c r="AE767" s="299"/>
      <c r="AF767" s="299"/>
      <c r="AG767" s="284"/>
    </row>
    <row r="768" spans="2:33">
      <c r="B768" s="86"/>
      <c r="C768" s="84"/>
      <c r="D768" s="86"/>
      <c r="E768" s="84"/>
      <c r="F768" s="284"/>
      <c r="G768" s="49"/>
      <c r="H768" s="284"/>
      <c r="I768" s="74"/>
      <c r="J768" s="371"/>
      <c r="K768" s="77"/>
      <c r="L768" s="160"/>
      <c r="M768" s="388"/>
      <c r="N768" s="375"/>
      <c r="W768" s="113"/>
      <c r="X768" s="241"/>
      <c r="Y768" s="284"/>
      <c r="Z768" s="207"/>
      <c r="AA768" s="284"/>
      <c r="AB768" s="284"/>
      <c r="AC768" s="137"/>
      <c r="AD768" s="284"/>
      <c r="AE768" s="299"/>
      <c r="AF768" s="299"/>
      <c r="AG768" s="284"/>
    </row>
    <row r="769" spans="2:33">
      <c r="B769" s="86"/>
      <c r="C769" s="84"/>
      <c r="D769" s="86"/>
      <c r="E769" s="84"/>
      <c r="F769" s="284"/>
      <c r="G769" s="49"/>
      <c r="H769" s="284"/>
      <c r="I769" s="74"/>
      <c r="J769" s="371"/>
      <c r="K769" s="77"/>
      <c r="L769" s="160"/>
      <c r="M769" s="388"/>
      <c r="N769" s="375"/>
      <c r="W769" s="113"/>
      <c r="X769" s="241"/>
      <c r="Y769" s="284"/>
      <c r="Z769" s="207"/>
      <c r="AA769" s="284"/>
      <c r="AB769" s="284"/>
      <c r="AC769" s="137"/>
      <c r="AD769" s="284"/>
      <c r="AE769" s="299"/>
      <c r="AF769" s="299"/>
      <c r="AG769" s="284"/>
    </row>
    <row r="770" spans="2:33">
      <c r="B770" s="86"/>
      <c r="C770" s="84"/>
      <c r="D770" s="86"/>
      <c r="E770" s="84"/>
      <c r="F770" s="284"/>
      <c r="G770" s="49"/>
      <c r="H770" s="284"/>
      <c r="I770" s="74"/>
      <c r="J770" s="371"/>
      <c r="K770" s="77"/>
      <c r="L770" s="160"/>
      <c r="M770" s="388"/>
      <c r="N770" s="375"/>
      <c r="W770" s="113"/>
      <c r="X770" s="241"/>
      <c r="Y770" s="284"/>
      <c r="Z770" s="207"/>
      <c r="AA770" s="284"/>
      <c r="AB770" s="284"/>
      <c r="AC770" s="137"/>
      <c r="AD770" s="284"/>
      <c r="AE770" s="299"/>
      <c r="AF770" s="299"/>
      <c r="AG770" s="284"/>
    </row>
    <row r="771" spans="2:33">
      <c r="B771" s="86"/>
      <c r="C771" s="84"/>
      <c r="D771" s="86"/>
      <c r="E771" s="84"/>
      <c r="F771" s="284"/>
      <c r="G771" s="49"/>
      <c r="H771" s="284"/>
      <c r="I771" s="74"/>
      <c r="J771" s="371"/>
      <c r="K771" s="77"/>
      <c r="L771" s="160"/>
      <c r="M771" s="388"/>
      <c r="N771" s="375"/>
      <c r="W771" s="113"/>
      <c r="X771" s="241"/>
      <c r="Y771" s="284"/>
      <c r="Z771" s="207"/>
      <c r="AA771" s="284"/>
      <c r="AB771" s="284"/>
      <c r="AC771" s="137"/>
      <c r="AD771" s="284"/>
      <c r="AE771" s="299"/>
      <c r="AF771" s="299"/>
      <c r="AG771" s="284"/>
    </row>
    <row r="772" spans="2:33">
      <c r="B772" s="86"/>
      <c r="C772" s="84"/>
      <c r="D772" s="86"/>
      <c r="E772" s="84"/>
      <c r="F772" s="284"/>
      <c r="G772" s="49"/>
      <c r="H772" s="284"/>
      <c r="I772" s="74"/>
      <c r="J772" s="371"/>
      <c r="K772" s="77"/>
      <c r="L772" s="160"/>
      <c r="M772" s="388"/>
      <c r="N772" s="375"/>
      <c r="W772" s="113"/>
      <c r="X772" s="241"/>
      <c r="Y772" s="284"/>
      <c r="Z772" s="207"/>
      <c r="AA772" s="284"/>
      <c r="AB772" s="284"/>
      <c r="AC772" s="137"/>
      <c r="AD772" s="284"/>
      <c r="AE772" s="299"/>
      <c r="AF772" s="299"/>
      <c r="AG772" s="284"/>
    </row>
    <row r="773" spans="2:33">
      <c r="B773" s="86"/>
      <c r="C773" s="84"/>
      <c r="D773" s="86"/>
      <c r="E773" s="84"/>
      <c r="F773" s="284"/>
      <c r="G773" s="49"/>
      <c r="H773" s="284"/>
      <c r="I773" s="74"/>
      <c r="J773" s="371"/>
      <c r="K773" s="77"/>
      <c r="L773" s="160"/>
      <c r="M773" s="388"/>
      <c r="N773" s="375"/>
      <c r="W773" s="113"/>
      <c r="X773" s="241"/>
      <c r="Y773" s="284"/>
      <c r="Z773" s="207"/>
      <c r="AA773" s="284"/>
      <c r="AB773" s="284"/>
      <c r="AC773" s="137"/>
      <c r="AD773" s="284"/>
      <c r="AE773" s="299"/>
      <c r="AF773" s="299"/>
      <c r="AG773" s="284"/>
    </row>
    <row r="774" spans="2:33">
      <c r="B774" s="86"/>
      <c r="C774" s="84"/>
      <c r="D774" s="86"/>
      <c r="E774" s="84"/>
      <c r="F774" s="284"/>
      <c r="G774" s="49"/>
      <c r="H774" s="284"/>
      <c r="I774" s="74"/>
      <c r="J774" s="371"/>
      <c r="K774" s="77"/>
      <c r="L774" s="160"/>
      <c r="M774" s="388"/>
      <c r="N774" s="375"/>
      <c r="W774" s="113"/>
      <c r="X774" s="241"/>
      <c r="Y774" s="284"/>
      <c r="Z774" s="207"/>
      <c r="AA774" s="284"/>
      <c r="AB774" s="284"/>
      <c r="AC774" s="137"/>
      <c r="AD774" s="284"/>
      <c r="AE774" s="299"/>
      <c r="AF774" s="299"/>
      <c r="AG774" s="284"/>
    </row>
    <row r="775" spans="2:33">
      <c r="B775" s="86"/>
      <c r="C775" s="84"/>
      <c r="D775" s="86"/>
      <c r="E775" s="84"/>
      <c r="F775" s="284"/>
      <c r="G775" s="49"/>
      <c r="H775" s="284"/>
      <c r="I775" s="74"/>
      <c r="J775" s="371"/>
      <c r="K775" s="77"/>
      <c r="L775" s="160"/>
      <c r="M775" s="388"/>
      <c r="N775" s="375"/>
      <c r="W775" s="113"/>
      <c r="X775" s="241"/>
      <c r="Y775" s="284"/>
      <c r="Z775" s="207"/>
      <c r="AA775" s="284"/>
      <c r="AB775" s="284"/>
      <c r="AC775" s="137"/>
      <c r="AD775" s="284"/>
      <c r="AE775" s="299"/>
      <c r="AF775" s="299"/>
      <c r="AG775" s="284"/>
    </row>
    <row r="776" spans="2:33">
      <c r="B776" s="86"/>
      <c r="C776" s="84"/>
      <c r="D776" s="86"/>
      <c r="E776" s="84"/>
      <c r="F776" s="284"/>
      <c r="G776" s="49"/>
      <c r="H776" s="284"/>
      <c r="I776" s="74"/>
      <c r="J776" s="371"/>
      <c r="K776" s="77"/>
      <c r="L776" s="160"/>
      <c r="M776" s="388"/>
      <c r="N776" s="375"/>
      <c r="W776" s="113"/>
      <c r="X776" s="241"/>
      <c r="Y776" s="284"/>
      <c r="Z776" s="207"/>
      <c r="AA776" s="284"/>
      <c r="AB776" s="284"/>
      <c r="AC776" s="137"/>
      <c r="AD776" s="284"/>
      <c r="AE776" s="299"/>
      <c r="AF776" s="299"/>
      <c r="AG776" s="284"/>
    </row>
    <row r="777" spans="2:33">
      <c r="B777" s="86"/>
      <c r="C777" s="84"/>
      <c r="D777" s="86"/>
      <c r="E777" s="84"/>
      <c r="F777" s="284"/>
      <c r="G777" s="49"/>
      <c r="H777" s="284"/>
      <c r="I777" s="74"/>
      <c r="J777" s="371"/>
      <c r="K777" s="77"/>
      <c r="L777" s="160"/>
      <c r="M777" s="388"/>
      <c r="N777" s="375"/>
      <c r="W777" s="113"/>
      <c r="X777" s="241"/>
      <c r="Y777" s="284"/>
      <c r="Z777" s="207"/>
      <c r="AA777" s="284"/>
      <c r="AB777" s="284"/>
      <c r="AC777" s="137"/>
      <c r="AD777" s="284"/>
      <c r="AE777" s="299"/>
      <c r="AF777" s="299"/>
      <c r="AG777" s="284"/>
    </row>
    <row r="778" spans="2:33">
      <c r="B778" s="86"/>
      <c r="C778" s="84"/>
      <c r="D778" s="86"/>
      <c r="E778" s="84"/>
      <c r="F778" s="284"/>
      <c r="G778" s="49"/>
      <c r="H778" s="284"/>
      <c r="I778" s="74"/>
      <c r="J778" s="371"/>
      <c r="K778" s="77"/>
      <c r="L778" s="160"/>
      <c r="M778" s="388"/>
      <c r="N778" s="375"/>
      <c r="W778" s="113"/>
      <c r="X778" s="241"/>
      <c r="Y778" s="284"/>
      <c r="Z778" s="207"/>
      <c r="AA778" s="284"/>
      <c r="AB778" s="284"/>
      <c r="AC778" s="137"/>
      <c r="AD778" s="284"/>
      <c r="AE778" s="299"/>
      <c r="AF778" s="299"/>
      <c r="AG778" s="284"/>
    </row>
    <row r="779" spans="2:33">
      <c r="B779" s="86"/>
      <c r="C779" s="84"/>
      <c r="D779" s="86"/>
      <c r="E779" s="84"/>
      <c r="F779" s="284"/>
      <c r="G779" s="49"/>
      <c r="H779" s="284"/>
      <c r="I779" s="74"/>
      <c r="J779" s="371"/>
      <c r="K779" s="77"/>
      <c r="L779" s="160"/>
      <c r="M779" s="388"/>
      <c r="N779" s="375"/>
      <c r="W779" s="113"/>
      <c r="X779" s="241"/>
      <c r="Y779" s="284"/>
      <c r="Z779" s="207"/>
      <c r="AA779" s="284"/>
      <c r="AB779" s="284"/>
      <c r="AC779" s="137"/>
      <c r="AD779" s="284"/>
      <c r="AE779" s="299"/>
      <c r="AF779" s="299"/>
      <c r="AG779" s="284"/>
    </row>
    <row r="780" spans="2:33">
      <c r="B780" s="86"/>
      <c r="C780" s="84"/>
      <c r="D780" s="86"/>
      <c r="E780" s="84"/>
      <c r="F780" s="284"/>
      <c r="G780" s="49"/>
      <c r="H780" s="284"/>
      <c r="I780" s="74"/>
      <c r="J780" s="371"/>
      <c r="K780" s="77"/>
      <c r="L780" s="160"/>
      <c r="M780" s="388"/>
      <c r="N780" s="375"/>
      <c r="W780" s="113"/>
      <c r="X780" s="241"/>
      <c r="Y780" s="284"/>
      <c r="Z780" s="207"/>
      <c r="AA780" s="284"/>
      <c r="AB780" s="284"/>
      <c r="AC780" s="137"/>
      <c r="AD780" s="284"/>
      <c r="AE780" s="299"/>
      <c r="AF780" s="299"/>
      <c r="AG780" s="284"/>
    </row>
    <row r="781" spans="2:33">
      <c r="B781" s="86"/>
      <c r="C781" s="84"/>
      <c r="D781" s="86"/>
      <c r="E781" s="84"/>
      <c r="F781" s="284"/>
      <c r="G781" s="49"/>
      <c r="H781" s="284"/>
      <c r="I781" s="74"/>
      <c r="J781" s="371"/>
      <c r="K781" s="77"/>
      <c r="L781" s="160"/>
      <c r="M781" s="388"/>
      <c r="N781" s="375"/>
      <c r="W781" s="113"/>
      <c r="X781" s="241"/>
      <c r="Y781" s="284"/>
      <c r="Z781" s="207"/>
      <c r="AA781" s="284"/>
      <c r="AB781" s="284"/>
      <c r="AC781" s="137"/>
      <c r="AD781" s="284"/>
      <c r="AE781" s="299"/>
      <c r="AF781" s="299"/>
      <c r="AG781" s="284"/>
    </row>
    <row r="782" spans="2:33">
      <c r="B782" s="86"/>
      <c r="C782" s="84"/>
      <c r="D782" s="86"/>
      <c r="E782" s="84"/>
      <c r="F782" s="284"/>
      <c r="G782" s="49"/>
      <c r="H782" s="284"/>
      <c r="I782" s="74"/>
      <c r="J782" s="371"/>
      <c r="K782" s="77"/>
      <c r="L782" s="160"/>
      <c r="M782" s="388"/>
      <c r="N782" s="375"/>
      <c r="W782" s="113"/>
      <c r="X782" s="241"/>
      <c r="Y782" s="284"/>
      <c r="Z782" s="207"/>
      <c r="AA782" s="284"/>
      <c r="AB782" s="284"/>
      <c r="AC782" s="137"/>
      <c r="AD782" s="284"/>
      <c r="AE782" s="299"/>
      <c r="AF782" s="299"/>
      <c r="AG782" s="284"/>
    </row>
    <row r="783" spans="2:33">
      <c r="B783" s="86"/>
      <c r="C783" s="84"/>
      <c r="D783" s="86"/>
      <c r="E783" s="84"/>
      <c r="F783" s="284"/>
      <c r="G783" s="49"/>
      <c r="H783" s="284"/>
      <c r="I783" s="74"/>
      <c r="J783" s="371"/>
      <c r="K783" s="77"/>
      <c r="L783" s="160"/>
      <c r="M783" s="388"/>
      <c r="N783" s="375"/>
      <c r="W783" s="113"/>
      <c r="X783" s="241"/>
      <c r="Y783" s="284"/>
      <c r="Z783" s="207"/>
      <c r="AA783" s="284"/>
      <c r="AB783" s="284"/>
      <c r="AC783" s="137"/>
      <c r="AD783" s="284"/>
      <c r="AE783" s="299"/>
      <c r="AF783" s="299"/>
      <c r="AG783" s="284"/>
    </row>
    <row r="784" spans="2:33">
      <c r="B784" s="86"/>
      <c r="C784" s="84"/>
      <c r="D784" s="86"/>
      <c r="E784" s="84"/>
      <c r="F784" s="284"/>
      <c r="G784" s="49"/>
      <c r="H784" s="284"/>
      <c r="I784" s="74"/>
      <c r="J784" s="371"/>
      <c r="K784" s="77"/>
      <c r="L784" s="160"/>
      <c r="M784" s="388"/>
      <c r="N784" s="375"/>
      <c r="W784" s="113"/>
      <c r="X784" s="241"/>
      <c r="Y784" s="284"/>
      <c r="Z784" s="207"/>
      <c r="AA784" s="284"/>
      <c r="AB784" s="284"/>
      <c r="AC784" s="137"/>
      <c r="AD784" s="284"/>
      <c r="AE784" s="299"/>
      <c r="AF784" s="299"/>
      <c r="AG784" s="284"/>
    </row>
    <row r="785" spans="2:33">
      <c r="B785" s="86"/>
      <c r="C785" s="84"/>
      <c r="D785" s="86"/>
      <c r="E785" s="84"/>
      <c r="F785" s="284"/>
      <c r="G785" s="49"/>
      <c r="H785" s="284"/>
      <c r="I785" s="74"/>
      <c r="J785" s="371"/>
      <c r="K785" s="77"/>
      <c r="L785" s="160"/>
      <c r="M785" s="388"/>
      <c r="N785" s="375"/>
      <c r="W785" s="113"/>
      <c r="X785" s="241"/>
      <c r="Y785" s="284"/>
      <c r="Z785" s="207"/>
      <c r="AA785" s="284"/>
      <c r="AB785" s="284"/>
      <c r="AC785" s="137"/>
      <c r="AD785" s="284"/>
      <c r="AE785" s="299"/>
      <c r="AF785" s="299"/>
      <c r="AG785" s="284"/>
    </row>
    <row r="786" spans="2:33">
      <c r="B786" s="86"/>
      <c r="C786" s="84"/>
      <c r="D786" s="86"/>
      <c r="E786" s="84"/>
      <c r="F786" s="284"/>
      <c r="G786" s="49"/>
      <c r="H786" s="284"/>
      <c r="I786" s="74"/>
      <c r="J786" s="371"/>
      <c r="K786" s="77"/>
      <c r="L786" s="160"/>
      <c r="M786" s="388"/>
      <c r="N786" s="375"/>
      <c r="W786" s="113"/>
      <c r="X786" s="241"/>
      <c r="Y786" s="284"/>
      <c r="Z786" s="207"/>
      <c r="AA786" s="284"/>
      <c r="AB786" s="284"/>
      <c r="AC786" s="137"/>
      <c r="AD786" s="284"/>
      <c r="AE786" s="299"/>
      <c r="AF786" s="299"/>
      <c r="AG786" s="284"/>
    </row>
    <row r="787" spans="2:33">
      <c r="B787" s="86"/>
      <c r="C787" s="84"/>
      <c r="D787" s="86"/>
      <c r="E787" s="84"/>
      <c r="F787" s="284"/>
      <c r="G787" s="49"/>
      <c r="H787" s="284"/>
      <c r="I787" s="74"/>
      <c r="J787" s="371"/>
      <c r="K787" s="77"/>
      <c r="L787" s="160"/>
      <c r="M787" s="388"/>
      <c r="N787" s="375"/>
      <c r="W787" s="113"/>
      <c r="X787" s="241"/>
      <c r="Y787" s="284"/>
      <c r="Z787" s="207"/>
      <c r="AA787" s="284"/>
      <c r="AB787" s="284"/>
      <c r="AC787" s="137"/>
      <c r="AD787" s="284"/>
      <c r="AE787" s="299"/>
      <c r="AF787" s="299"/>
      <c r="AG787" s="284"/>
    </row>
    <row r="788" spans="2:33">
      <c r="B788" s="86"/>
      <c r="C788" s="84"/>
      <c r="D788" s="86"/>
      <c r="E788" s="84"/>
      <c r="F788" s="284"/>
      <c r="G788" s="49"/>
      <c r="H788" s="284"/>
      <c r="I788" s="74"/>
      <c r="J788" s="371"/>
      <c r="K788" s="77"/>
      <c r="L788" s="160"/>
      <c r="M788" s="388"/>
      <c r="N788" s="375"/>
      <c r="W788" s="113"/>
      <c r="X788" s="241"/>
      <c r="Y788" s="284"/>
      <c r="Z788" s="207"/>
      <c r="AA788" s="284"/>
      <c r="AB788" s="284"/>
      <c r="AC788" s="137"/>
      <c r="AD788" s="284"/>
      <c r="AE788" s="299"/>
      <c r="AF788" s="299"/>
      <c r="AG788" s="284"/>
    </row>
    <row r="789" spans="2:33">
      <c r="B789" s="86"/>
      <c r="C789" s="84"/>
      <c r="D789" s="86"/>
      <c r="E789" s="84"/>
      <c r="F789" s="284"/>
      <c r="G789" s="49"/>
      <c r="H789" s="284"/>
      <c r="I789" s="74"/>
      <c r="J789" s="371"/>
      <c r="K789" s="77"/>
      <c r="L789" s="160"/>
      <c r="M789" s="388"/>
      <c r="N789" s="375"/>
      <c r="W789" s="113"/>
      <c r="X789" s="241"/>
      <c r="Y789" s="284"/>
      <c r="Z789" s="207"/>
      <c r="AA789" s="284"/>
      <c r="AB789" s="284"/>
      <c r="AC789" s="137"/>
      <c r="AD789" s="284"/>
      <c r="AE789" s="299"/>
      <c r="AF789" s="299"/>
      <c r="AG789" s="284"/>
    </row>
    <row r="790" spans="2:33">
      <c r="B790" s="86"/>
      <c r="C790" s="84"/>
      <c r="D790" s="86"/>
      <c r="E790" s="84"/>
      <c r="F790" s="284"/>
      <c r="G790" s="49"/>
      <c r="H790" s="284"/>
      <c r="I790" s="74"/>
      <c r="J790" s="371"/>
      <c r="K790" s="77"/>
      <c r="L790" s="160"/>
      <c r="M790" s="388"/>
      <c r="N790" s="375"/>
      <c r="W790" s="113"/>
      <c r="X790" s="241"/>
      <c r="Y790" s="284"/>
      <c r="Z790" s="207"/>
      <c r="AA790" s="284"/>
      <c r="AB790" s="284"/>
      <c r="AC790" s="137"/>
      <c r="AD790" s="284"/>
      <c r="AE790" s="299"/>
      <c r="AF790" s="299"/>
      <c r="AG790" s="284"/>
    </row>
    <row r="791" spans="2:33">
      <c r="B791" s="86"/>
      <c r="C791" s="84"/>
      <c r="D791" s="86"/>
      <c r="E791" s="84"/>
      <c r="F791" s="284"/>
      <c r="G791" s="49"/>
      <c r="H791" s="284"/>
      <c r="I791" s="74"/>
      <c r="J791" s="371"/>
      <c r="K791" s="77"/>
      <c r="L791" s="160"/>
      <c r="M791" s="388"/>
      <c r="N791" s="375"/>
      <c r="W791" s="113"/>
      <c r="X791" s="241"/>
      <c r="Y791" s="284"/>
      <c r="Z791" s="207"/>
      <c r="AA791" s="284"/>
      <c r="AB791" s="284"/>
      <c r="AC791" s="137"/>
      <c r="AD791" s="284"/>
      <c r="AE791" s="299"/>
      <c r="AF791" s="299"/>
      <c r="AG791" s="284"/>
    </row>
    <row r="792" spans="2:33">
      <c r="B792" s="86"/>
      <c r="C792" s="84"/>
      <c r="D792" s="86"/>
      <c r="E792" s="84"/>
      <c r="F792" s="284"/>
      <c r="G792" s="49"/>
      <c r="H792" s="284"/>
      <c r="I792" s="74"/>
      <c r="J792" s="371"/>
      <c r="K792" s="77"/>
      <c r="L792" s="160"/>
      <c r="M792" s="388"/>
      <c r="N792" s="375"/>
      <c r="W792" s="113"/>
      <c r="X792" s="241"/>
      <c r="Y792" s="284"/>
      <c r="Z792" s="207"/>
      <c r="AA792" s="284"/>
      <c r="AB792" s="284"/>
      <c r="AC792" s="137"/>
      <c r="AD792" s="284"/>
      <c r="AE792" s="299"/>
      <c r="AF792" s="299"/>
      <c r="AG792" s="284"/>
    </row>
    <row r="793" spans="2:33">
      <c r="B793" s="86"/>
      <c r="C793" s="84"/>
      <c r="D793" s="86"/>
      <c r="E793" s="84"/>
      <c r="F793" s="284"/>
      <c r="G793" s="49"/>
      <c r="H793" s="284"/>
      <c r="I793" s="74"/>
      <c r="J793" s="371"/>
      <c r="K793" s="77"/>
      <c r="L793" s="160"/>
      <c r="M793" s="388"/>
      <c r="N793" s="375"/>
      <c r="W793" s="113"/>
      <c r="X793" s="241"/>
      <c r="Y793" s="284"/>
      <c r="Z793" s="207"/>
      <c r="AA793" s="284"/>
      <c r="AB793" s="284"/>
      <c r="AC793" s="137"/>
      <c r="AD793" s="284"/>
      <c r="AE793" s="299"/>
      <c r="AF793" s="299"/>
      <c r="AG793" s="284"/>
    </row>
    <row r="794" spans="2:33">
      <c r="B794" s="86"/>
      <c r="C794" s="84"/>
      <c r="D794" s="86"/>
      <c r="E794" s="84"/>
      <c r="F794" s="284"/>
      <c r="G794" s="49"/>
      <c r="H794" s="284"/>
      <c r="I794" s="74"/>
      <c r="J794" s="371"/>
      <c r="K794" s="77"/>
      <c r="L794" s="160"/>
      <c r="M794" s="388"/>
      <c r="N794" s="375"/>
      <c r="W794" s="113"/>
      <c r="X794" s="241"/>
      <c r="Y794" s="284"/>
      <c r="Z794" s="207"/>
      <c r="AA794" s="284"/>
      <c r="AB794" s="284"/>
      <c r="AC794" s="137"/>
      <c r="AD794" s="284"/>
      <c r="AE794" s="299"/>
      <c r="AF794" s="299"/>
      <c r="AG794" s="284"/>
    </row>
    <row r="795" spans="2:33">
      <c r="B795" s="86"/>
      <c r="C795" s="84"/>
      <c r="D795" s="86"/>
      <c r="E795" s="84"/>
      <c r="F795" s="284"/>
      <c r="G795" s="49"/>
      <c r="H795" s="284"/>
      <c r="I795" s="74"/>
      <c r="J795" s="371"/>
      <c r="K795" s="77"/>
      <c r="L795" s="160"/>
      <c r="M795" s="388"/>
      <c r="N795" s="375"/>
      <c r="W795" s="113"/>
      <c r="X795" s="241"/>
      <c r="Y795" s="284"/>
      <c r="Z795" s="207"/>
      <c r="AA795" s="284"/>
      <c r="AB795" s="284"/>
      <c r="AC795" s="137"/>
      <c r="AD795" s="284"/>
      <c r="AE795" s="299"/>
      <c r="AF795" s="299"/>
      <c r="AG795" s="284"/>
    </row>
    <row r="796" spans="2:33">
      <c r="B796" s="86"/>
      <c r="C796" s="84"/>
      <c r="D796" s="86"/>
      <c r="E796" s="84"/>
      <c r="F796" s="284"/>
      <c r="G796" s="49"/>
      <c r="H796" s="284"/>
      <c r="I796" s="74"/>
      <c r="J796" s="371"/>
      <c r="K796" s="77"/>
      <c r="L796" s="160"/>
      <c r="M796" s="388"/>
      <c r="N796" s="375"/>
      <c r="W796" s="113"/>
      <c r="X796" s="241"/>
      <c r="Y796" s="284"/>
      <c r="Z796" s="207"/>
      <c r="AA796" s="284"/>
      <c r="AB796" s="284"/>
      <c r="AC796" s="137"/>
      <c r="AD796" s="284"/>
      <c r="AE796" s="299"/>
      <c r="AF796" s="299"/>
      <c r="AG796" s="284"/>
    </row>
    <row r="797" spans="2:33">
      <c r="B797" s="86"/>
      <c r="C797" s="84"/>
      <c r="D797" s="86"/>
      <c r="E797" s="84"/>
      <c r="F797" s="284"/>
      <c r="G797" s="49"/>
      <c r="H797" s="284"/>
      <c r="I797" s="74"/>
      <c r="J797" s="371"/>
      <c r="K797" s="77"/>
      <c r="L797" s="160"/>
      <c r="M797" s="388"/>
      <c r="N797" s="375"/>
      <c r="W797" s="113"/>
      <c r="X797" s="241"/>
      <c r="Y797" s="284"/>
      <c r="Z797" s="207"/>
      <c r="AA797" s="284"/>
      <c r="AB797" s="284"/>
      <c r="AC797" s="137"/>
      <c r="AD797" s="284"/>
      <c r="AE797" s="299"/>
      <c r="AF797" s="299"/>
      <c r="AG797" s="284"/>
    </row>
    <row r="798" spans="2:33">
      <c r="B798" s="86"/>
      <c r="C798" s="84"/>
      <c r="D798" s="86"/>
      <c r="E798" s="84"/>
      <c r="F798" s="284"/>
      <c r="G798" s="49"/>
      <c r="H798" s="284"/>
      <c r="I798" s="74"/>
      <c r="J798" s="371"/>
      <c r="K798" s="77"/>
      <c r="L798" s="160"/>
      <c r="M798" s="388"/>
      <c r="N798" s="375"/>
      <c r="W798" s="113"/>
      <c r="X798" s="241"/>
      <c r="Y798" s="284"/>
      <c r="Z798" s="207"/>
      <c r="AA798" s="284"/>
      <c r="AB798" s="284"/>
      <c r="AC798" s="137"/>
      <c r="AD798" s="284"/>
      <c r="AE798" s="299"/>
      <c r="AF798" s="299"/>
      <c r="AG798" s="284"/>
    </row>
    <row r="799" spans="2:33">
      <c r="B799" s="86"/>
      <c r="C799" s="84"/>
      <c r="D799" s="86"/>
      <c r="E799" s="84"/>
      <c r="F799" s="284"/>
      <c r="G799" s="49"/>
      <c r="H799" s="284"/>
      <c r="I799" s="74"/>
      <c r="J799" s="371"/>
      <c r="K799" s="77"/>
      <c r="L799" s="160"/>
      <c r="M799" s="388"/>
      <c r="N799" s="375"/>
      <c r="W799" s="113"/>
      <c r="X799" s="241"/>
      <c r="Y799" s="284"/>
      <c r="Z799" s="207"/>
      <c r="AA799" s="284"/>
      <c r="AB799" s="284"/>
      <c r="AC799" s="137"/>
      <c r="AD799" s="284"/>
      <c r="AE799" s="299"/>
      <c r="AF799" s="299"/>
      <c r="AG799" s="284"/>
    </row>
    <row r="800" spans="2:33">
      <c r="B800" s="86"/>
      <c r="C800" s="84"/>
      <c r="D800" s="86"/>
      <c r="E800" s="84"/>
      <c r="F800" s="284"/>
      <c r="G800" s="49"/>
      <c r="H800" s="284"/>
      <c r="I800" s="74"/>
      <c r="J800" s="371"/>
      <c r="K800" s="77"/>
      <c r="L800" s="160"/>
      <c r="M800" s="388"/>
      <c r="N800" s="375"/>
      <c r="W800" s="113"/>
      <c r="X800" s="241"/>
      <c r="Y800" s="284"/>
      <c r="Z800" s="207"/>
      <c r="AA800" s="284"/>
      <c r="AB800" s="284"/>
      <c r="AC800" s="137"/>
      <c r="AD800" s="284"/>
      <c r="AE800" s="299"/>
      <c r="AF800" s="299"/>
      <c r="AG800" s="284"/>
    </row>
    <row r="801" spans="2:33">
      <c r="B801" s="86"/>
      <c r="C801" s="84"/>
      <c r="D801" s="86"/>
      <c r="E801" s="84"/>
      <c r="F801" s="284"/>
      <c r="G801" s="49"/>
      <c r="H801" s="284"/>
      <c r="I801" s="74"/>
      <c r="J801" s="371"/>
      <c r="K801" s="77"/>
      <c r="L801" s="160"/>
      <c r="M801" s="388"/>
      <c r="N801" s="375"/>
      <c r="W801" s="113"/>
      <c r="X801" s="241"/>
      <c r="Y801" s="284"/>
      <c r="Z801" s="207"/>
      <c r="AA801" s="284"/>
      <c r="AB801" s="284"/>
      <c r="AC801" s="137"/>
      <c r="AD801" s="284"/>
      <c r="AE801" s="299"/>
      <c r="AF801" s="299"/>
      <c r="AG801" s="284"/>
    </row>
    <row r="802" spans="2:33">
      <c r="B802" s="86"/>
      <c r="C802" s="84"/>
      <c r="D802" s="86"/>
      <c r="E802" s="84"/>
      <c r="F802" s="284"/>
      <c r="G802" s="49"/>
      <c r="H802" s="284"/>
      <c r="I802" s="74"/>
      <c r="J802" s="371"/>
      <c r="K802" s="77"/>
      <c r="L802" s="160"/>
      <c r="M802" s="388"/>
      <c r="N802" s="375"/>
      <c r="W802" s="113"/>
      <c r="X802" s="241"/>
      <c r="Y802" s="284"/>
      <c r="Z802" s="207"/>
      <c r="AA802" s="284"/>
      <c r="AB802" s="284"/>
      <c r="AC802" s="137"/>
      <c r="AD802" s="284"/>
      <c r="AE802" s="299"/>
      <c r="AF802" s="299"/>
      <c r="AG802" s="284"/>
    </row>
    <row r="803" spans="2:33">
      <c r="B803" s="86"/>
      <c r="C803" s="84"/>
      <c r="D803" s="86"/>
      <c r="E803" s="84"/>
      <c r="F803" s="284"/>
      <c r="G803" s="49"/>
      <c r="H803" s="284"/>
      <c r="I803" s="74"/>
      <c r="J803" s="371"/>
      <c r="K803" s="77"/>
      <c r="L803" s="160"/>
      <c r="M803" s="388"/>
      <c r="N803" s="375"/>
      <c r="W803" s="113"/>
      <c r="X803" s="241"/>
      <c r="Y803" s="284"/>
      <c r="Z803" s="207"/>
      <c r="AA803" s="284"/>
      <c r="AB803" s="284"/>
      <c r="AC803" s="137"/>
      <c r="AD803" s="284"/>
      <c r="AE803" s="299"/>
      <c r="AF803" s="299"/>
      <c r="AG803" s="284"/>
    </row>
    <row r="804" spans="2:33">
      <c r="B804" s="86"/>
      <c r="C804" s="84"/>
      <c r="D804" s="86"/>
      <c r="E804" s="84"/>
      <c r="F804" s="284"/>
      <c r="G804" s="49"/>
      <c r="H804" s="284"/>
      <c r="I804" s="74"/>
      <c r="J804" s="371"/>
      <c r="K804" s="77"/>
      <c r="L804" s="160"/>
      <c r="M804" s="388"/>
      <c r="N804" s="375"/>
      <c r="W804" s="113"/>
      <c r="X804" s="241"/>
      <c r="Y804" s="284"/>
      <c r="Z804" s="207"/>
      <c r="AA804" s="284"/>
      <c r="AB804" s="284"/>
      <c r="AC804" s="137"/>
      <c r="AD804" s="284"/>
      <c r="AE804" s="299"/>
      <c r="AF804" s="299"/>
      <c r="AG804" s="284"/>
    </row>
    <row r="805" spans="2:33">
      <c r="B805" s="86"/>
      <c r="C805" s="84"/>
      <c r="D805" s="86"/>
      <c r="E805" s="84"/>
      <c r="F805" s="284"/>
      <c r="G805" s="49"/>
      <c r="H805" s="284"/>
      <c r="I805" s="74"/>
      <c r="J805" s="371"/>
      <c r="K805" s="77"/>
      <c r="L805" s="160"/>
      <c r="M805" s="388"/>
      <c r="N805" s="375"/>
      <c r="W805" s="113"/>
      <c r="X805" s="241"/>
      <c r="Y805" s="284"/>
      <c r="Z805" s="207"/>
      <c r="AA805" s="284"/>
      <c r="AB805" s="284"/>
      <c r="AC805" s="137"/>
      <c r="AD805" s="284"/>
      <c r="AE805" s="299"/>
      <c r="AF805" s="299"/>
      <c r="AG805" s="284"/>
    </row>
    <row r="806" spans="2:33">
      <c r="B806" s="86"/>
      <c r="C806" s="84"/>
      <c r="D806" s="86"/>
      <c r="E806" s="84"/>
      <c r="F806" s="284"/>
      <c r="G806" s="49"/>
      <c r="H806" s="284"/>
      <c r="I806" s="74"/>
      <c r="J806" s="371"/>
      <c r="K806" s="77"/>
      <c r="L806" s="160"/>
      <c r="M806" s="388"/>
      <c r="N806" s="375"/>
      <c r="W806" s="113"/>
      <c r="X806" s="241"/>
      <c r="Y806" s="284"/>
      <c r="Z806" s="207"/>
      <c r="AA806" s="284"/>
      <c r="AB806" s="284"/>
      <c r="AC806" s="137"/>
      <c r="AD806" s="284"/>
      <c r="AE806" s="299"/>
      <c r="AF806" s="299"/>
      <c r="AG806" s="284"/>
    </row>
    <row r="807" spans="2:33">
      <c r="B807" s="86"/>
      <c r="C807" s="84"/>
      <c r="D807" s="86"/>
      <c r="E807" s="84"/>
      <c r="F807" s="284"/>
      <c r="G807" s="49"/>
      <c r="H807" s="284"/>
      <c r="I807" s="74"/>
      <c r="J807" s="371"/>
      <c r="K807" s="77"/>
      <c r="L807" s="160"/>
      <c r="M807" s="388"/>
      <c r="N807" s="375"/>
      <c r="W807" s="113"/>
      <c r="X807" s="241"/>
      <c r="Y807" s="284"/>
      <c r="Z807" s="207"/>
      <c r="AA807" s="284"/>
      <c r="AB807" s="284"/>
      <c r="AC807" s="137"/>
      <c r="AD807" s="284"/>
      <c r="AE807" s="299"/>
      <c r="AF807" s="299"/>
      <c r="AG807" s="284"/>
    </row>
    <row r="808" spans="2:33">
      <c r="B808" s="86"/>
      <c r="C808" s="84"/>
      <c r="D808" s="86"/>
      <c r="E808" s="84"/>
      <c r="F808" s="284"/>
      <c r="G808" s="49"/>
      <c r="H808" s="284"/>
      <c r="I808" s="74"/>
      <c r="J808" s="371"/>
      <c r="K808" s="77"/>
      <c r="L808" s="160"/>
      <c r="M808" s="388"/>
      <c r="N808" s="375"/>
      <c r="W808" s="113"/>
      <c r="X808" s="241"/>
      <c r="Y808" s="284"/>
      <c r="Z808" s="207"/>
      <c r="AA808" s="284"/>
      <c r="AB808" s="284"/>
      <c r="AC808" s="137"/>
      <c r="AD808" s="284"/>
      <c r="AE808" s="299"/>
      <c r="AF808" s="299"/>
      <c r="AG808" s="284"/>
    </row>
    <row r="809" spans="2:33">
      <c r="B809" s="86"/>
      <c r="C809" s="84"/>
      <c r="D809" s="86"/>
      <c r="E809" s="84"/>
      <c r="F809" s="284"/>
      <c r="G809" s="49"/>
      <c r="H809" s="284"/>
      <c r="I809" s="74"/>
      <c r="J809" s="371"/>
      <c r="K809" s="77"/>
      <c r="L809" s="160"/>
      <c r="M809" s="388"/>
      <c r="N809" s="375"/>
      <c r="W809" s="113"/>
      <c r="X809" s="241"/>
      <c r="Y809" s="284"/>
      <c r="Z809" s="207"/>
      <c r="AA809" s="284"/>
      <c r="AB809" s="284"/>
      <c r="AC809" s="137"/>
      <c r="AD809" s="284"/>
      <c r="AE809" s="299"/>
      <c r="AF809" s="299"/>
      <c r="AG809" s="284"/>
    </row>
    <row r="810" spans="2:33">
      <c r="B810" s="86"/>
      <c r="C810" s="84"/>
      <c r="D810" s="86"/>
      <c r="E810" s="84"/>
      <c r="F810" s="284"/>
      <c r="G810" s="49"/>
      <c r="H810" s="284"/>
      <c r="I810" s="74"/>
      <c r="J810" s="371"/>
      <c r="K810" s="77"/>
      <c r="L810" s="160"/>
      <c r="M810" s="388"/>
      <c r="N810" s="375"/>
      <c r="W810" s="113"/>
      <c r="X810" s="241"/>
      <c r="Y810" s="284"/>
      <c r="Z810" s="207"/>
      <c r="AA810" s="284"/>
      <c r="AB810" s="284"/>
      <c r="AC810" s="137"/>
      <c r="AD810" s="284"/>
      <c r="AE810" s="299"/>
      <c r="AF810" s="299"/>
      <c r="AG810" s="284"/>
    </row>
    <row r="811" spans="2:33">
      <c r="B811" s="86"/>
      <c r="C811" s="84"/>
      <c r="D811" s="86"/>
      <c r="E811" s="84"/>
      <c r="F811" s="284"/>
      <c r="G811" s="49"/>
      <c r="H811" s="284"/>
      <c r="I811" s="74"/>
      <c r="J811" s="371"/>
      <c r="K811" s="77"/>
      <c r="L811" s="160"/>
      <c r="M811" s="388"/>
      <c r="N811" s="375"/>
      <c r="W811" s="113"/>
      <c r="X811" s="241"/>
      <c r="Y811" s="284"/>
      <c r="Z811" s="207"/>
      <c r="AA811" s="284"/>
      <c r="AB811" s="284"/>
      <c r="AC811" s="137"/>
      <c r="AD811" s="284"/>
      <c r="AE811" s="299"/>
      <c r="AF811" s="299"/>
      <c r="AG811" s="284"/>
    </row>
    <row r="812" spans="2:33">
      <c r="B812" s="86"/>
      <c r="C812" s="84"/>
      <c r="D812" s="86"/>
      <c r="E812" s="84"/>
      <c r="F812" s="284"/>
      <c r="G812" s="49"/>
      <c r="H812" s="284"/>
      <c r="I812" s="74"/>
      <c r="J812" s="371"/>
      <c r="K812" s="77"/>
      <c r="L812" s="160"/>
      <c r="M812" s="388"/>
      <c r="N812" s="375"/>
      <c r="W812" s="113"/>
      <c r="X812" s="241"/>
      <c r="Y812" s="284"/>
      <c r="Z812" s="207"/>
      <c r="AA812" s="284"/>
      <c r="AB812" s="284"/>
      <c r="AC812" s="137"/>
      <c r="AD812" s="284"/>
      <c r="AE812" s="299"/>
      <c r="AF812" s="299"/>
      <c r="AG812" s="284"/>
    </row>
    <row r="813" spans="2:33">
      <c r="B813" s="86"/>
      <c r="C813" s="84"/>
      <c r="D813" s="86"/>
      <c r="E813" s="84"/>
      <c r="F813" s="284"/>
      <c r="G813" s="49"/>
      <c r="H813" s="284"/>
      <c r="I813" s="74"/>
      <c r="J813" s="371"/>
      <c r="K813" s="77"/>
      <c r="L813" s="160"/>
      <c r="M813" s="388"/>
      <c r="N813" s="375"/>
      <c r="W813" s="113"/>
      <c r="X813" s="241"/>
      <c r="Y813" s="284"/>
      <c r="Z813" s="207"/>
      <c r="AA813" s="284"/>
      <c r="AB813" s="284"/>
      <c r="AC813" s="137"/>
      <c r="AD813" s="284"/>
      <c r="AE813" s="299"/>
      <c r="AF813" s="299"/>
      <c r="AG813" s="284"/>
    </row>
    <row r="814" spans="2:33">
      <c r="B814" s="86"/>
      <c r="C814" s="84"/>
      <c r="D814" s="86"/>
      <c r="E814" s="84"/>
      <c r="F814" s="284"/>
      <c r="G814" s="49"/>
      <c r="H814" s="284"/>
      <c r="I814" s="74"/>
      <c r="J814" s="371"/>
      <c r="K814" s="77"/>
      <c r="L814" s="160"/>
      <c r="M814" s="388"/>
      <c r="N814" s="375"/>
      <c r="W814" s="113"/>
      <c r="X814" s="241"/>
      <c r="Y814" s="284"/>
      <c r="Z814" s="207"/>
      <c r="AA814" s="284"/>
      <c r="AB814" s="284"/>
      <c r="AC814" s="137"/>
      <c r="AD814" s="284"/>
      <c r="AE814" s="299"/>
      <c r="AF814" s="299"/>
      <c r="AG814" s="284"/>
    </row>
    <row r="815" spans="2:33">
      <c r="B815" s="86"/>
      <c r="C815" s="84"/>
      <c r="D815" s="86"/>
      <c r="E815" s="84"/>
      <c r="F815" s="284"/>
      <c r="G815" s="49"/>
      <c r="H815" s="284"/>
      <c r="I815" s="74"/>
      <c r="J815" s="371"/>
      <c r="K815" s="77"/>
      <c r="L815" s="160"/>
      <c r="M815" s="388"/>
      <c r="N815" s="375"/>
      <c r="W815" s="113"/>
      <c r="X815" s="241"/>
      <c r="Y815" s="284"/>
      <c r="Z815" s="207"/>
      <c r="AA815" s="284"/>
      <c r="AB815" s="284"/>
      <c r="AC815" s="137"/>
      <c r="AD815" s="284"/>
      <c r="AE815" s="299"/>
      <c r="AF815" s="299"/>
      <c r="AG815" s="284"/>
    </row>
    <row r="816" spans="2:33">
      <c r="B816" s="86"/>
      <c r="C816" s="84"/>
      <c r="D816" s="86"/>
      <c r="E816" s="84"/>
      <c r="F816" s="284"/>
      <c r="G816" s="49"/>
      <c r="H816" s="284"/>
      <c r="I816" s="74"/>
      <c r="J816" s="371"/>
      <c r="K816" s="77"/>
      <c r="L816" s="160"/>
      <c r="M816" s="388"/>
      <c r="N816" s="375"/>
      <c r="W816" s="113"/>
      <c r="X816" s="241"/>
      <c r="Y816" s="284"/>
      <c r="Z816" s="207"/>
      <c r="AA816" s="284"/>
      <c r="AB816" s="284"/>
      <c r="AC816" s="137"/>
      <c r="AD816" s="284"/>
      <c r="AE816" s="299"/>
      <c r="AF816" s="299"/>
      <c r="AG816" s="284"/>
    </row>
    <row r="817" spans="2:33">
      <c r="B817" s="86"/>
      <c r="C817" s="84"/>
      <c r="D817" s="86"/>
      <c r="E817" s="84"/>
      <c r="F817" s="284"/>
      <c r="G817" s="49"/>
      <c r="H817" s="284"/>
      <c r="I817" s="74"/>
      <c r="J817" s="371"/>
      <c r="K817" s="77"/>
      <c r="L817" s="160"/>
      <c r="M817" s="388"/>
      <c r="N817" s="375"/>
      <c r="W817" s="113"/>
      <c r="X817" s="241"/>
      <c r="Y817" s="284"/>
      <c r="Z817" s="207"/>
      <c r="AA817" s="284"/>
      <c r="AB817" s="284"/>
      <c r="AC817" s="137"/>
      <c r="AD817" s="284"/>
      <c r="AE817" s="299"/>
      <c r="AF817" s="299"/>
      <c r="AG817" s="284"/>
    </row>
    <row r="818" spans="2:33">
      <c r="B818" s="86"/>
      <c r="C818" s="84"/>
      <c r="D818" s="86"/>
      <c r="E818" s="84"/>
      <c r="F818" s="284"/>
      <c r="G818" s="49"/>
      <c r="H818" s="284"/>
      <c r="I818" s="74"/>
      <c r="J818" s="371"/>
      <c r="K818" s="77"/>
      <c r="L818" s="160"/>
      <c r="M818" s="388"/>
      <c r="N818" s="375"/>
      <c r="W818" s="113"/>
      <c r="X818" s="241"/>
      <c r="Y818" s="284"/>
      <c r="Z818" s="207"/>
      <c r="AA818" s="284"/>
      <c r="AB818" s="284"/>
      <c r="AC818" s="137"/>
      <c r="AD818" s="284"/>
      <c r="AE818" s="299"/>
      <c r="AF818" s="299"/>
      <c r="AG818" s="284"/>
    </row>
    <row r="819" spans="2:33">
      <c r="B819" s="86"/>
      <c r="C819" s="84"/>
      <c r="D819" s="86"/>
      <c r="E819" s="84"/>
      <c r="F819" s="284"/>
      <c r="G819" s="49"/>
      <c r="H819" s="284"/>
      <c r="I819" s="74"/>
      <c r="J819" s="371"/>
      <c r="K819" s="77"/>
      <c r="L819" s="160"/>
      <c r="M819" s="388"/>
      <c r="N819" s="375"/>
      <c r="W819" s="113"/>
      <c r="X819" s="241"/>
      <c r="Y819" s="284"/>
      <c r="Z819" s="207"/>
      <c r="AA819" s="284"/>
      <c r="AB819" s="284"/>
      <c r="AC819" s="137"/>
      <c r="AD819" s="284"/>
      <c r="AE819" s="299"/>
      <c r="AF819" s="299"/>
      <c r="AG819" s="284"/>
    </row>
    <row r="820" spans="2:33">
      <c r="B820" s="86"/>
      <c r="C820" s="84"/>
      <c r="D820" s="86"/>
      <c r="E820" s="84"/>
      <c r="F820" s="284"/>
      <c r="G820" s="49"/>
      <c r="H820" s="284"/>
      <c r="I820" s="74"/>
      <c r="J820" s="371"/>
      <c r="K820" s="77"/>
      <c r="L820" s="160"/>
      <c r="M820" s="388"/>
      <c r="N820" s="375"/>
      <c r="W820" s="113"/>
      <c r="X820" s="241"/>
      <c r="Y820" s="284"/>
      <c r="Z820" s="207"/>
      <c r="AA820" s="284"/>
      <c r="AB820" s="284"/>
      <c r="AC820" s="137"/>
      <c r="AD820" s="284"/>
      <c r="AE820" s="299"/>
      <c r="AF820" s="299"/>
      <c r="AG820" s="284"/>
    </row>
    <row r="821" spans="2:33">
      <c r="B821" s="86"/>
      <c r="C821" s="84"/>
      <c r="D821" s="86"/>
      <c r="E821" s="84"/>
      <c r="F821" s="284"/>
      <c r="G821" s="49"/>
      <c r="H821" s="284"/>
      <c r="I821" s="74"/>
      <c r="J821" s="371"/>
      <c r="K821" s="77"/>
      <c r="L821" s="160"/>
      <c r="M821" s="388"/>
      <c r="N821" s="375"/>
      <c r="W821" s="113"/>
      <c r="X821" s="241"/>
      <c r="Y821" s="284"/>
      <c r="Z821" s="207"/>
      <c r="AA821" s="284"/>
      <c r="AB821" s="284"/>
      <c r="AC821" s="137"/>
      <c r="AD821" s="284"/>
      <c r="AE821" s="299"/>
      <c r="AF821" s="299"/>
      <c r="AG821" s="284"/>
    </row>
    <row r="822" spans="2:33">
      <c r="B822" s="86"/>
      <c r="C822" s="84"/>
      <c r="D822" s="86"/>
      <c r="E822" s="84"/>
      <c r="F822" s="284"/>
      <c r="G822" s="49"/>
      <c r="H822" s="284"/>
      <c r="I822" s="74"/>
      <c r="J822" s="371"/>
      <c r="K822" s="77"/>
      <c r="L822" s="160"/>
      <c r="M822" s="388"/>
      <c r="N822" s="375"/>
      <c r="W822" s="113"/>
      <c r="X822" s="241"/>
      <c r="Y822" s="284"/>
      <c r="Z822" s="207"/>
      <c r="AA822" s="284"/>
      <c r="AB822" s="284"/>
      <c r="AC822" s="137"/>
      <c r="AD822" s="284"/>
      <c r="AE822" s="299"/>
      <c r="AF822" s="299"/>
      <c r="AG822" s="284"/>
    </row>
    <row r="823" spans="2:33">
      <c r="B823" s="86"/>
      <c r="C823" s="84"/>
      <c r="D823" s="86"/>
      <c r="E823" s="84"/>
      <c r="F823" s="284"/>
      <c r="G823" s="49"/>
      <c r="H823" s="284"/>
      <c r="I823" s="74"/>
      <c r="J823" s="371"/>
      <c r="K823" s="77"/>
      <c r="L823" s="160"/>
      <c r="M823" s="388"/>
      <c r="N823" s="375"/>
      <c r="W823" s="113"/>
      <c r="X823" s="241"/>
      <c r="Y823" s="284"/>
      <c r="Z823" s="207"/>
      <c r="AA823" s="284"/>
      <c r="AB823" s="284"/>
      <c r="AC823" s="137"/>
      <c r="AD823" s="284"/>
      <c r="AE823" s="299"/>
      <c r="AF823" s="299"/>
      <c r="AG823" s="284"/>
    </row>
    <row r="824" spans="2:33">
      <c r="B824" s="86"/>
      <c r="C824" s="84"/>
      <c r="D824" s="86"/>
      <c r="E824" s="84"/>
      <c r="F824" s="284"/>
      <c r="G824" s="49"/>
      <c r="H824" s="284"/>
      <c r="I824" s="74"/>
      <c r="J824" s="371"/>
      <c r="K824" s="77"/>
      <c r="L824" s="160"/>
      <c r="M824" s="388"/>
      <c r="N824" s="375"/>
      <c r="W824" s="113"/>
      <c r="X824" s="241"/>
      <c r="Y824" s="284"/>
      <c r="Z824" s="207"/>
      <c r="AA824" s="284"/>
      <c r="AB824" s="284"/>
      <c r="AC824" s="137"/>
      <c r="AD824" s="284"/>
      <c r="AE824" s="299"/>
      <c r="AF824" s="299"/>
      <c r="AG824" s="284"/>
    </row>
    <row r="825" spans="2:33">
      <c r="B825" s="86"/>
      <c r="C825" s="84"/>
      <c r="D825" s="86"/>
      <c r="E825" s="84"/>
      <c r="F825" s="284"/>
      <c r="G825" s="49"/>
      <c r="H825" s="284"/>
      <c r="I825" s="74"/>
      <c r="J825" s="371"/>
      <c r="K825" s="77"/>
      <c r="L825" s="160"/>
      <c r="M825" s="388"/>
      <c r="N825" s="375"/>
      <c r="W825" s="113"/>
      <c r="X825" s="241"/>
      <c r="Y825" s="284"/>
      <c r="Z825" s="207"/>
      <c r="AA825" s="284"/>
      <c r="AB825" s="284"/>
      <c r="AC825" s="137"/>
      <c r="AD825" s="284"/>
      <c r="AE825" s="299"/>
      <c r="AF825" s="299"/>
      <c r="AG825" s="284"/>
    </row>
    <row r="826" spans="2:33">
      <c r="B826" s="86"/>
      <c r="C826" s="84"/>
      <c r="D826" s="86"/>
      <c r="E826" s="84"/>
      <c r="F826" s="284"/>
      <c r="G826" s="49"/>
      <c r="H826" s="284"/>
      <c r="I826" s="74"/>
      <c r="J826" s="371"/>
      <c r="K826" s="77"/>
      <c r="L826" s="160"/>
      <c r="M826" s="388"/>
      <c r="N826" s="375"/>
      <c r="W826" s="113"/>
      <c r="X826" s="241"/>
      <c r="Y826" s="284"/>
      <c r="Z826" s="207"/>
      <c r="AA826" s="284"/>
      <c r="AB826" s="284"/>
      <c r="AC826" s="137"/>
      <c r="AD826" s="284"/>
      <c r="AE826" s="299"/>
      <c r="AF826" s="299"/>
      <c r="AG826" s="284"/>
    </row>
    <row r="827" spans="2:33">
      <c r="B827" s="86"/>
      <c r="C827" s="84"/>
      <c r="D827" s="86"/>
      <c r="E827" s="84"/>
      <c r="F827" s="284"/>
      <c r="G827" s="49"/>
      <c r="H827" s="284"/>
      <c r="I827" s="74"/>
      <c r="J827" s="371"/>
      <c r="K827" s="77"/>
      <c r="L827" s="160"/>
      <c r="M827" s="388"/>
      <c r="N827" s="375"/>
      <c r="W827" s="113"/>
      <c r="X827" s="241"/>
      <c r="Y827" s="284"/>
      <c r="Z827" s="207"/>
      <c r="AA827" s="284"/>
      <c r="AB827" s="284"/>
      <c r="AC827" s="137"/>
      <c r="AD827" s="284"/>
      <c r="AE827" s="299"/>
      <c r="AF827" s="299"/>
      <c r="AG827" s="284"/>
    </row>
    <row r="828" spans="2:33">
      <c r="B828" s="86"/>
      <c r="C828" s="84"/>
      <c r="D828" s="86"/>
      <c r="E828" s="84"/>
      <c r="F828" s="284"/>
      <c r="G828" s="49"/>
      <c r="H828" s="284"/>
      <c r="I828" s="74"/>
      <c r="J828" s="371"/>
      <c r="K828" s="77"/>
      <c r="L828" s="160"/>
      <c r="M828" s="388"/>
      <c r="N828" s="375"/>
      <c r="W828" s="113"/>
      <c r="X828" s="241"/>
      <c r="Y828" s="284"/>
      <c r="Z828" s="207"/>
      <c r="AA828" s="284"/>
      <c r="AB828" s="284"/>
      <c r="AC828" s="137"/>
      <c r="AD828" s="284"/>
      <c r="AE828" s="299"/>
      <c r="AF828" s="299"/>
      <c r="AG828" s="284"/>
    </row>
    <row r="829" spans="2:33">
      <c r="B829" s="86"/>
      <c r="C829" s="84"/>
      <c r="D829" s="86"/>
      <c r="E829" s="84"/>
      <c r="F829" s="284"/>
      <c r="G829" s="49"/>
      <c r="H829" s="284"/>
      <c r="I829" s="74"/>
      <c r="J829" s="371"/>
      <c r="K829" s="77"/>
      <c r="L829" s="160"/>
      <c r="M829" s="388"/>
      <c r="N829" s="375"/>
      <c r="W829" s="113"/>
      <c r="X829" s="241"/>
      <c r="Y829" s="284"/>
      <c r="Z829" s="207"/>
      <c r="AA829" s="284"/>
      <c r="AB829" s="284"/>
      <c r="AC829" s="137"/>
      <c r="AD829" s="284"/>
      <c r="AE829" s="299"/>
      <c r="AF829" s="299"/>
      <c r="AG829" s="284"/>
    </row>
    <row r="830" spans="2:33">
      <c r="B830" s="86"/>
      <c r="C830" s="84"/>
      <c r="D830" s="86"/>
      <c r="E830" s="84"/>
      <c r="F830" s="284"/>
      <c r="G830" s="49"/>
      <c r="H830" s="284"/>
      <c r="I830" s="74"/>
      <c r="J830" s="371"/>
      <c r="K830" s="77"/>
      <c r="L830" s="160"/>
      <c r="M830" s="388"/>
      <c r="N830" s="375"/>
      <c r="W830" s="113"/>
      <c r="X830" s="241"/>
      <c r="Y830" s="284"/>
      <c r="Z830" s="207"/>
      <c r="AA830" s="284"/>
      <c r="AB830" s="284"/>
      <c r="AC830" s="137"/>
      <c r="AD830" s="284"/>
      <c r="AE830" s="299"/>
      <c r="AF830" s="299"/>
      <c r="AG830" s="284"/>
    </row>
    <row r="831" spans="2:33">
      <c r="B831" s="86"/>
      <c r="C831" s="84"/>
      <c r="D831" s="86"/>
      <c r="E831" s="84"/>
      <c r="F831" s="284"/>
      <c r="G831" s="49"/>
      <c r="H831" s="284"/>
      <c r="I831" s="74"/>
      <c r="J831" s="371"/>
      <c r="K831" s="77"/>
      <c r="L831" s="160"/>
      <c r="M831" s="388"/>
      <c r="N831" s="375"/>
      <c r="W831" s="113"/>
      <c r="X831" s="241"/>
      <c r="Y831" s="284"/>
      <c r="Z831" s="207"/>
      <c r="AA831" s="284"/>
      <c r="AB831" s="284"/>
      <c r="AC831" s="137"/>
      <c r="AD831" s="284"/>
      <c r="AE831" s="299"/>
      <c r="AF831" s="299"/>
      <c r="AG831" s="284"/>
    </row>
    <row r="832" spans="2:33">
      <c r="B832" s="86"/>
      <c r="C832" s="84"/>
      <c r="D832" s="86"/>
      <c r="E832" s="84"/>
      <c r="F832" s="284"/>
      <c r="G832" s="49"/>
      <c r="H832" s="284"/>
      <c r="I832" s="74"/>
      <c r="J832" s="371"/>
      <c r="K832" s="77"/>
      <c r="L832" s="160"/>
      <c r="M832" s="388"/>
      <c r="N832" s="375"/>
      <c r="W832" s="113"/>
      <c r="X832" s="241"/>
      <c r="Y832" s="284"/>
      <c r="Z832" s="207"/>
      <c r="AA832" s="284"/>
      <c r="AB832" s="284"/>
      <c r="AC832" s="137"/>
      <c r="AD832" s="284"/>
      <c r="AE832" s="299"/>
      <c r="AF832" s="299"/>
      <c r="AG832" s="284"/>
    </row>
    <row r="833" spans="2:33">
      <c r="B833" s="86"/>
      <c r="C833" s="84"/>
      <c r="D833" s="86"/>
      <c r="E833" s="84"/>
      <c r="F833" s="284"/>
      <c r="G833" s="49"/>
      <c r="H833" s="284"/>
      <c r="I833" s="74"/>
      <c r="J833" s="371"/>
      <c r="K833" s="77"/>
      <c r="L833" s="160"/>
      <c r="M833" s="388"/>
      <c r="N833" s="375"/>
      <c r="W833" s="113"/>
      <c r="X833" s="241"/>
      <c r="Y833" s="284"/>
      <c r="Z833" s="207"/>
      <c r="AA833" s="284"/>
      <c r="AB833" s="284"/>
      <c r="AC833" s="137"/>
      <c r="AD833" s="284"/>
      <c r="AE833" s="299"/>
      <c r="AF833" s="299"/>
      <c r="AG833" s="284"/>
    </row>
    <row r="834" spans="2:33">
      <c r="B834" s="86"/>
      <c r="C834" s="84"/>
      <c r="D834" s="86"/>
      <c r="E834" s="84"/>
      <c r="F834" s="284"/>
      <c r="G834" s="49"/>
      <c r="H834" s="284"/>
      <c r="I834" s="74"/>
      <c r="J834" s="371"/>
      <c r="K834" s="77"/>
      <c r="L834" s="160"/>
      <c r="M834" s="388"/>
      <c r="N834" s="375"/>
      <c r="W834" s="113"/>
      <c r="X834" s="241"/>
      <c r="Y834" s="284"/>
      <c r="Z834" s="207"/>
      <c r="AA834" s="284"/>
      <c r="AB834" s="284"/>
      <c r="AC834" s="137"/>
      <c r="AD834" s="284"/>
      <c r="AE834" s="299"/>
      <c r="AF834" s="299"/>
      <c r="AG834" s="284"/>
    </row>
    <row r="835" spans="2:33">
      <c r="B835" s="86"/>
      <c r="C835" s="84"/>
      <c r="D835" s="86"/>
      <c r="E835" s="84"/>
      <c r="F835" s="284"/>
      <c r="G835" s="49"/>
      <c r="H835" s="284"/>
      <c r="I835" s="74"/>
      <c r="J835" s="371"/>
      <c r="K835" s="77"/>
      <c r="L835" s="160"/>
      <c r="M835" s="388"/>
      <c r="N835" s="375"/>
      <c r="W835" s="113"/>
      <c r="X835" s="241"/>
      <c r="Y835" s="284"/>
      <c r="Z835" s="207"/>
      <c r="AA835" s="284"/>
      <c r="AB835" s="284"/>
      <c r="AC835" s="137"/>
      <c r="AD835" s="284"/>
      <c r="AE835" s="299"/>
      <c r="AF835" s="299"/>
      <c r="AG835" s="284"/>
    </row>
    <row r="836" spans="2:33">
      <c r="B836" s="86"/>
      <c r="C836" s="84"/>
      <c r="D836" s="86"/>
      <c r="E836" s="84"/>
      <c r="F836" s="284"/>
      <c r="G836" s="49"/>
      <c r="H836" s="284"/>
      <c r="I836" s="74"/>
      <c r="J836" s="371"/>
      <c r="K836" s="77"/>
      <c r="L836" s="160"/>
      <c r="M836" s="388"/>
      <c r="N836" s="375"/>
      <c r="W836" s="113"/>
      <c r="X836" s="241"/>
      <c r="Y836" s="284"/>
      <c r="Z836" s="207"/>
      <c r="AA836" s="284"/>
      <c r="AB836" s="284"/>
      <c r="AC836" s="137"/>
      <c r="AD836" s="284"/>
      <c r="AE836" s="299"/>
      <c r="AF836" s="299"/>
      <c r="AG836" s="284"/>
    </row>
    <row r="837" spans="2:33">
      <c r="B837" s="86"/>
      <c r="C837" s="84"/>
      <c r="D837" s="86"/>
      <c r="E837" s="84"/>
      <c r="F837" s="284"/>
      <c r="G837" s="49"/>
      <c r="H837" s="284"/>
      <c r="I837" s="74"/>
      <c r="J837" s="371"/>
      <c r="K837" s="77"/>
      <c r="L837" s="160"/>
      <c r="M837" s="388"/>
      <c r="N837" s="375"/>
      <c r="W837" s="113"/>
      <c r="X837" s="241"/>
      <c r="Y837" s="284"/>
      <c r="Z837" s="207"/>
      <c r="AA837" s="284"/>
      <c r="AB837" s="284"/>
      <c r="AC837" s="137"/>
      <c r="AD837" s="284"/>
      <c r="AE837" s="299"/>
      <c r="AF837" s="299"/>
      <c r="AG837" s="284"/>
    </row>
    <row r="838" spans="2:33">
      <c r="B838" s="86"/>
      <c r="C838" s="84"/>
      <c r="D838" s="86"/>
      <c r="E838" s="84"/>
      <c r="F838" s="284"/>
      <c r="G838" s="49"/>
      <c r="H838" s="284"/>
      <c r="I838" s="74"/>
      <c r="J838" s="371"/>
      <c r="K838" s="77"/>
      <c r="L838" s="160"/>
      <c r="M838" s="388"/>
      <c r="N838" s="375"/>
      <c r="W838" s="113"/>
      <c r="X838" s="241"/>
      <c r="Y838" s="284"/>
      <c r="Z838" s="207"/>
      <c r="AA838" s="284"/>
      <c r="AB838" s="284"/>
      <c r="AC838" s="137"/>
      <c r="AD838" s="284"/>
      <c r="AE838" s="299"/>
      <c r="AF838" s="299"/>
      <c r="AG838" s="284"/>
    </row>
    <row r="839" spans="2:33">
      <c r="B839" s="86"/>
      <c r="C839" s="84"/>
      <c r="D839" s="86"/>
      <c r="E839" s="84"/>
      <c r="F839" s="284"/>
      <c r="G839" s="49"/>
      <c r="H839" s="284"/>
      <c r="I839" s="74"/>
      <c r="J839" s="371"/>
      <c r="K839" s="77"/>
      <c r="L839" s="160"/>
      <c r="M839" s="388"/>
      <c r="N839" s="375"/>
      <c r="W839" s="113"/>
      <c r="X839" s="241"/>
      <c r="Y839" s="284"/>
      <c r="Z839" s="207"/>
      <c r="AA839" s="284"/>
      <c r="AB839" s="284"/>
      <c r="AC839" s="137"/>
      <c r="AD839" s="284"/>
      <c r="AE839" s="299"/>
      <c r="AF839" s="299"/>
      <c r="AG839" s="284"/>
    </row>
    <row r="840" spans="2:33">
      <c r="B840" s="86"/>
      <c r="C840" s="84"/>
      <c r="D840" s="86"/>
      <c r="E840" s="84"/>
      <c r="F840" s="284"/>
      <c r="G840" s="49"/>
      <c r="H840" s="284"/>
      <c r="I840" s="74"/>
      <c r="J840" s="371"/>
      <c r="K840" s="77"/>
      <c r="L840" s="160"/>
      <c r="M840" s="388"/>
      <c r="N840" s="375"/>
      <c r="W840" s="113"/>
      <c r="X840" s="241"/>
      <c r="Y840" s="284"/>
      <c r="Z840" s="207"/>
      <c r="AA840" s="284"/>
      <c r="AB840" s="284"/>
      <c r="AC840" s="137"/>
      <c r="AD840" s="284"/>
      <c r="AE840" s="299"/>
      <c r="AF840" s="299"/>
      <c r="AG840" s="284"/>
    </row>
    <row r="841" spans="2:33">
      <c r="B841" s="86"/>
      <c r="C841" s="84"/>
      <c r="D841" s="86"/>
      <c r="E841" s="84"/>
      <c r="F841" s="284"/>
      <c r="G841" s="49"/>
      <c r="H841" s="284"/>
      <c r="I841" s="74"/>
      <c r="J841" s="371"/>
      <c r="K841" s="77"/>
      <c r="L841" s="160"/>
      <c r="M841" s="388"/>
      <c r="N841" s="375"/>
      <c r="W841" s="113"/>
      <c r="X841" s="241"/>
      <c r="Y841" s="284"/>
      <c r="Z841" s="207"/>
      <c r="AA841" s="284"/>
      <c r="AB841" s="284"/>
      <c r="AC841" s="137"/>
      <c r="AD841" s="284"/>
      <c r="AE841" s="299"/>
      <c r="AF841" s="299"/>
      <c r="AG841" s="284"/>
    </row>
    <row r="842" spans="2:33">
      <c r="B842" s="86"/>
      <c r="C842" s="84"/>
      <c r="D842" s="86"/>
      <c r="E842" s="84"/>
      <c r="F842" s="284"/>
      <c r="G842" s="49"/>
      <c r="H842" s="284"/>
      <c r="I842" s="74"/>
      <c r="J842" s="371"/>
      <c r="K842" s="77"/>
      <c r="L842" s="160"/>
      <c r="M842" s="388"/>
      <c r="N842" s="375"/>
      <c r="W842" s="113"/>
      <c r="X842" s="241"/>
      <c r="Y842" s="284"/>
      <c r="Z842" s="207"/>
      <c r="AA842" s="284"/>
      <c r="AB842" s="284"/>
      <c r="AC842" s="137"/>
      <c r="AD842" s="284"/>
      <c r="AE842" s="299"/>
      <c r="AF842" s="299"/>
      <c r="AG842" s="284"/>
    </row>
    <row r="843" spans="2:33">
      <c r="B843" s="86"/>
      <c r="C843" s="84"/>
      <c r="D843" s="86"/>
      <c r="E843" s="84"/>
      <c r="F843" s="284"/>
      <c r="G843" s="49"/>
      <c r="H843" s="284"/>
      <c r="I843" s="74"/>
      <c r="J843" s="371"/>
      <c r="K843" s="77"/>
      <c r="L843" s="160"/>
      <c r="M843" s="388"/>
      <c r="N843" s="375"/>
      <c r="W843" s="113"/>
      <c r="X843" s="241"/>
      <c r="Y843" s="284"/>
      <c r="Z843" s="207"/>
      <c r="AA843" s="284"/>
      <c r="AB843" s="284"/>
      <c r="AC843" s="137"/>
      <c r="AD843" s="284"/>
      <c r="AE843" s="299"/>
      <c r="AF843" s="299"/>
      <c r="AG843" s="284"/>
    </row>
    <row r="844" spans="2:33">
      <c r="B844" s="86"/>
      <c r="C844" s="84"/>
      <c r="D844" s="86"/>
      <c r="E844" s="84"/>
      <c r="F844" s="284"/>
      <c r="G844" s="49"/>
      <c r="H844" s="284"/>
      <c r="I844" s="74"/>
      <c r="J844" s="371"/>
      <c r="K844" s="77"/>
      <c r="L844" s="160"/>
      <c r="M844" s="388"/>
      <c r="N844" s="375"/>
      <c r="W844" s="113"/>
      <c r="X844" s="241"/>
      <c r="Y844" s="284"/>
      <c r="Z844" s="207"/>
      <c r="AA844" s="284"/>
      <c r="AB844" s="284"/>
      <c r="AC844" s="137"/>
      <c r="AD844" s="284"/>
      <c r="AE844" s="299"/>
      <c r="AF844" s="299"/>
      <c r="AG844" s="284"/>
    </row>
    <row r="845" spans="2:33">
      <c r="B845" s="86"/>
      <c r="C845" s="84"/>
      <c r="D845" s="86"/>
      <c r="E845" s="84"/>
      <c r="F845" s="284"/>
      <c r="G845" s="49"/>
      <c r="H845" s="284"/>
      <c r="I845" s="74"/>
      <c r="J845" s="371"/>
      <c r="K845" s="77"/>
      <c r="L845" s="160"/>
      <c r="M845" s="388"/>
      <c r="N845" s="375"/>
      <c r="W845" s="113"/>
      <c r="X845" s="241"/>
      <c r="Y845" s="284"/>
      <c r="Z845" s="207"/>
      <c r="AA845" s="284"/>
      <c r="AB845" s="284"/>
      <c r="AC845" s="137"/>
      <c r="AD845" s="284"/>
      <c r="AE845" s="299"/>
      <c r="AF845" s="299"/>
      <c r="AG845" s="284"/>
    </row>
    <row r="846" spans="2:33">
      <c r="B846" s="86"/>
      <c r="C846" s="84"/>
      <c r="D846" s="86"/>
      <c r="E846" s="84"/>
      <c r="F846" s="284"/>
      <c r="G846" s="49"/>
      <c r="H846" s="284"/>
      <c r="I846" s="74"/>
      <c r="J846" s="371"/>
      <c r="K846" s="77"/>
      <c r="L846" s="160"/>
      <c r="M846" s="388"/>
      <c r="N846" s="375"/>
      <c r="W846" s="113"/>
      <c r="X846" s="241"/>
      <c r="Y846" s="284"/>
      <c r="Z846" s="207"/>
      <c r="AA846" s="284"/>
      <c r="AB846" s="284"/>
      <c r="AC846" s="137"/>
      <c r="AD846" s="284"/>
      <c r="AE846" s="299"/>
      <c r="AF846" s="299"/>
      <c r="AG846" s="284"/>
    </row>
    <row r="847" spans="2:33">
      <c r="B847" s="86"/>
      <c r="C847" s="84"/>
      <c r="D847" s="86"/>
      <c r="E847" s="84"/>
      <c r="F847" s="284"/>
      <c r="G847" s="49"/>
      <c r="H847" s="284"/>
      <c r="I847" s="74"/>
      <c r="J847" s="371"/>
      <c r="K847" s="77"/>
      <c r="L847" s="160"/>
      <c r="M847" s="388"/>
      <c r="N847" s="375"/>
      <c r="W847" s="113"/>
      <c r="X847" s="241"/>
      <c r="Y847" s="284"/>
      <c r="Z847" s="207"/>
      <c r="AA847" s="284"/>
      <c r="AB847" s="284"/>
      <c r="AC847" s="137"/>
      <c r="AD847" s="284"/>
      <c r="AE847" s="299"/>
      <c r="AF847" s="299"/>
      <c r="AG847" s="284"/>
    </row>
    <row r="848" spans="2:33">
      <c r="B848" s="86"/>
      <c r="C848" s="84"/>
      <c r="D848" s="86"/>
      <c r="E848" s="84"/>
      <c r="F848" s="284"/>
      <c r="G848" s="49"/>
      <c r="H848" s="284"/>
      <c r="I848" s="74"/>
      <c r="J848" s="371"/>
      <c r="K848" s="77"/>
      <c r="L848" s="160"/>
      <c r="M848" s="388"/>
      <c r="N848" s="375"/>
      <c r="W848" s="113"/>
      <c r="X848" s="241"/>
      <c r="Y848" s="284"/>
      <c r="Z848" s="207"/>
      <c r="AA848" s="284"/>
      <c r="AB848" s="284"/>
      <c r="AC848" s="137"/>
      <c r="AD848" s="284"/>
      <c r="AE848" s="299"/>
      <c r="AF848" s="299"/>
      <c r="AG848" s="284"/>
    </row>
    <row r="849" spans="2:33">
      <c r="B849" s="86"/>
      <c r="C849" s="84"/>
      <c r="D849" s="86"/>
      <c r="E849" s="84"/>
      <c r="F849" s="284"/>
      <c r="G849" s="49"/>
      <c r="H849" s="284"/>
      <c r="I849" s="74"/>
      <c r="J849" s="371"/>
      <c r="K849" s="77"/>
      <c r="L849" s="160"/>
      <c r="M849" s="388"/>
      <c r="N849" s="375"/>
      <c r="W849" s="113"/>
      <c r="X849" s="241"/>
      <c r="Y849" s="284"/>
      <c r="Z849" s="207"/>
      <c r="AA849" s="284"/>
      <c r="AB849" s="284"/>
      <c r="AC849" s="137"/>
      <c r="AD849" s="284"/>
      <c r="AE849" s="299"/>
      <c r="AF849" s="299"/>
      <c r="AG849" s="284"/>
    </row>
    <row r="850" spans="2:33">
      <c r="B850" s="86"/>
      <c r="C850" s="84"/>
      <c r="D850" s="86"/>
      <c r="E850" s="84"/>
      <c r="F850" s="284"/>
      <c r="G850" s="49"/>
      <c r="H850" s="284"/>
      <c r="I850" s="74"/>
      <c r="J850" s="371"/>
      <c r="K850" s="77"/>
      <c r="L850" s="160"/>
      <c r="M850" s="388"/>
      <c r="N850" s="375"/>
      <c r="W850" s="113"/>
      <c r="X850" s="241"/>
      <c r="Y850" s="284"/>
      <c r="Z850" s="207"/>
      <c r="AA850" s="284"/>
      <c r="AB850" s="284"/>
      <c r="AC850" s="137"/>
      <c r="AD850" s="284"/>
      <c r="AE850" s="299"/>
      <c r="AF850" s="299"/>
      <c r="AG850" s="284"/>
    </row>
    <row r="851" spans="2:33">
      <c r="B851" s="86"/>
      <c r="C851" s="84"/>
      <c r="D851" s="86"/>
      <c r="E851" s="84"/>
      <c r="F851" s="284"/>
      <c r="G851" s="49"/>
      <c r="H851" s="284"/>
      <c r="I851" s="74"/>
      <c r="J851" s="371"/>
      <c r="K851" s="77"/>
      <c r="L851" s="160"/>
      <c r="M851" s="388"/>
      <c r="N851" s="375"/>
      <c r="W851" s="113"/>
      <c r="X851" s="241"/>
      <c r="Y851" s="284"/>
      <c r="Z851" s="207"/>
      <c r="AA851" s="284"/>
      <c r="AB851" s="284"/>
      <c r="AC851" s="137"/>
      <c r="AD851" s="284"/>
      <c r="AE851" s="299"/>
      <c r="AF851" s="299"/>
      <c r="AG851" s="284"/>
    </row>
    <row r="852" spans="2:33">
      <c r="B852" s="86"/>
      <c r="C852" s="84"/>
      <c r="D852" s="86"/>
      <c r="E852" s="84"/>
      <c r="F852" s="284"/>
      <c r="G852" s="49"/>
      <c r="H852" s="284"/>
      <c r="I852" s="74"/>
      <c r="J852" s="371"/>
      <c r="K852" s="77"/>
      <c r="L852" s="160"/>
      <c r="M852" s="388"/>
      <c r="N852" s="375"/>
      <c r="W852" s="113"/>
      <c r="X852" s="241"/>
      <c r="Y852" s="284"/>
      <c r="Z852" s="207"/>
      <c r="AA852" s="284"/>
      <c r="AB852" s="284"/>
      <c r="AC852" s="137"/>
      <c r="AD852" s="284"/>
      <c r="AE852" s="299"/>
      <c r="AF852" s="299"/>
      <c r="AG852" s="284"/>
    </row>
    <row r="853" spans="2:33">
      <c r="B853" s="86"/>
      <c r="C853" s="84"/>
      <c r="D853" s="86"/>
      <c r="E853" s="84"/>
      <c r="F853" s="284"/>
      <c r="G853" s="49"/>
      <c r="H853" s="284"/>
      <c r="I853" s="74"/>
      <c r="J853" s="371"/>
      <c r="K853" s="77"/>
      <c r="L853" s="160"/>
      <c r="M853" s="388"/>
      <c r="N853" s="375"/>
      <c r="W853" s="113"/>
      <c r="X853" s="241"/>
      <c r="Y853" s="284"/>
      <c r="Z853" s="207"/>
      <c r="AA853" s="284"/>
      <c r="AB853" s="284"/>
      <c r="AC853" s="137"/>
      <c r="AD853" s="284"/>
      <c r="AE853" s="299"/>
      <c r="AF853" s="299"/>
      <c r="AG853" s="284"/>
    </row>
    <row r="854" spans="2:33">
      <c r="B854" s="86"/>
      <c r="C854" s="84"/>
      <c r="D854" s="86"/>
      <c r="E854" s="84"/>
      <c r="F854" s="284"/>
      <c r="G854" s="49"/>
      <c r="H854" s="284"/>
      <c r="I854" s="74"/>
      <c r="J854" s="371"/>
      <c r="K854" s="77"/>
      <c r="L854" s="160"/>
      <c r="M854" s="388"/>
      <c r="N854" s="375"/>
      <c r="W854" s="113"/>
      <c r="X854" s="241"/>
      <c r="Y854" s="284"/>
      <c r="Z854" s="207"/>
      <c r="AA854" s="284"/>
      <c r="AB854" s="284"/>
      <c r="AC854" s="137"/>
      <c r="AD854" s="284"/>
      <c r="AE854" s="299"/>
      <c r="AF854" s="299"/>
      <c r="AG854" s="284"/>
    </row>
    <row r="855" spans="2:33">
      <c r="B855" s="86"/>
      <c r="C855" s="84"/>
      <c r="D855" s="86"/>
      <c r="E855" s="84"/>
      <c r="F855" s="284"/>
      <c r="G855" s="49"/>
      <c r="H855" s="284"/>
      <c r="I855" s="74"/>
      <c r="J855" s="371"/>
      <c r="K855" s="77"/>
      <c r="L855" s="160"/>
      <c r="M855" s="388"/>
      <c r="N855" s="375"/>
      <c r="W855" s="113"/>
      <c r="X855" s="241"/>
      <c r="Y855" s="284"/>
      <c r="Z855" s="207"/>
      <c r="AA855" s="284"/>
      <c r="AB855" s="284"/>
      <c r="AC855" s="137"/>
      <c r="AD855" s="284"/>
      <c r="AE855" s="299"/>
      <c r="AF855" s="299"/>
      <c r="AG855" s="284"/>
    </row>
    <row r="856" spans="2:33">
      <c r="B856" s="86"/>
      <c r="C856" s="84"/>
      <c r="D856" s="86"/>
      <c r="E856" s="84"/>
      <c r="F856" s="284"/>
      <c r="G856" s="49"/>
      <c r="H856" s="284"/>
      <c r="I856" s="74"/>
      <c r="J856" s="371"/>
      <c r="K856" s="77"/>
      <c r="L856" s="160"/>
      <c r="M856" s="388"/>
      <c r="N856" s="375"/>
      <c r="W856" s="113"/>
      <c r="X856" s="241"/>
      <c r="Y856" s="284"/>
      <c r="Z856" s="207"/>
      <c r="AA856" s="284"/>
      <c r="AB856" s="284"/>
      <c r="AC856" s="137"/>
      <c r="AD856" s="284"/>
      <c r="AE856" s="299"/>
      <c r="AF856" s="299"/>
      <c r="AG856" s="284"/>
    </row>
    <row r="857" spans="2:33">
      <c r="B857" s="86"/>
      <c r="C857" s="84"/>
      <c r="D857" s="86"/>
      <c r="E857" s="84"/>
      <c r="F857" s="284"/>
      <c r="G857" s="49"/>
      <c r="H857" s="284"/>
      <c r="I857" s="74"/>
      <c r="J857" s="371"/>
      <c r="K857" s="77"/>
      <c r="L857" s="160"/>
      <c r="M857" s="388"/>
      <c r="N857" s="375"/>
      <c r="W857" s="113"/>
      <c r="X857" s="241"/>
      <c r="Y857" s="284"/>
      <c r="Z857" s="207"/>
      <c r="AA857" s="284"/>
      <c r="AB857" s="284"/>
      <c r="AC857" s="137"/>
      <c r="AD857" s="284"/>
      <c r="AE857" s="299"/>
      <c r="AF857" s="299"/>
      <c r="AG857" s="284"/>
    </row>
    <row r="858" spans="2:33">
      <c r="B858" s="86"/>
      <c r="C858" s="84"/>
      <c r="D858" s="86"/>
      <c r="E858" s="84"/>
      <c r="F858" s="284"/>
      <c r="G858" s="49"/>
      <c r="H858" s="284"/>
      <c r="I858" s="74"/>
      <c r="J858" s="371"/>
      <c r="K858" s="77"/>
      <c r="L858" s="160"/>
      <c r="M858" s="388"/>
      <c r="N858" s="375"/>
      <c r="W858" s="113"/>
      <c r="X858" s="241"/>
      <c r="Y858" s="284"/>
      <c r="Z858" s="207"/>
      <c r="AA858" s="284"/>
      <c r="AB858" s="284"/>
      <c r="AC858" s="137"/>
      <c r="AD858" s="284"/>
      <c r="AE858" s="299"/>
      <c r="AF858" s="299"/>
      <c r="AG858" s="284"/>
    </row>
    <row r="859" spans="2:33">
      <c r="B859" s="86"/>
      <c r="C859" s="84"/>
      <c r="D859" s="86"/>
      <c r="E859" s="84"/>
      <c r="F859" s="284"/>
      <c r="G859" s="49"/>
      <c r="H859" s="284"/>
      <c r="I859" s="74"/>
      <c r="J859" s="371"/>
      <c r="K859" s="77"/>
      <c r="L859" s="160"/>
      <c r="M859" s="388"/>
      <c r="N859" s="375"/>
      <c r="W859" s="113"/>
      <c r="X859" s="241"/>
      <c r="Y859" s="284"/>
      <c r="Z859" s="207"/>
      <c r="AA859" s="284"/>
      <c r="AB859" s="284"/>
      <c r="AC859" s="137"/>
      <c r="AD859" s="284"/>
      <c r="AE859" s="299"/>
      <c r="AF859" s="299"/>
      <c r="AG859" s="284"/>
    </row>
    <row r="860" spans="2:33">
      <c r="B860" s="86"/>
      <c r="C860" s="84"/>
      <c r="D860" s="86"/>
      <c r="E860" s="84"/>
      <c r="F860" s="284"/>
      <c r="G860" s="49"/>
      <c r="H860" s="284"/>
      <c r="I860" s="74"/>
      <c r="J860" s="371"/>
      <c r="K860" s="77"/>
      <c r="L860" s="160"/>
      <c r="M860" s="388"/>
      <c r="N860" s="375"/>
      <c r="W860" s="113"/>
      <c r="X860" s="241"/>
      <c r="Y860" s="284"/>
      <c r="Z860" s="207"/>
      <c r="AA860" s="284"/>
      <c r="AB860" s="284"/>
      <c r="AC860" s="137"/>
      <c r="AD860" s="284"/>
      <c r="AE860" s="299"/>
      <c r="AF860" s="299"/>
      <c r="AG860" s="284"/>
    </row>
    <row r="861" spans="2:33">
      <c r="B861" s="86"/>
      <c r="C861" s="84"/>
      <c r="D861" s="86"/>
      <c r="E861" s="84"/>
      <c r="F861" s="284"/>
      <c r="G861" s="49"/>
      <c r="H861" s="284"/>
      <c r="I861" s="74"/>
      <c r="J861" s="371"/>
      <c r="K861" s="77"/>
      <c r="L861" s="160"/>
      <c r="M861" s="388"/>
      <c r="N861" s="375"/>
      <c r="W861" s="113"/>
      <c r="X861" s="241"/>
      <c r="Y861" s="284"/>
      <c r="Z861" s="207"/>
      <c r="AA861" s="284"/>
      <c r="AB861" s="284"/>
      <c r="AC861" s="137"/>
      <c r="AD861" s="284"/>
      <c r="AE861" s="299"/>
      <c r="AF861" s="299"/>
      <c r="AG861" s="284"/>
    </row>
    <row r="862" spans="2:33">
      <c r="B862" s="86"/>
      <c r="C862" s="84"/>
      <c r="D862" s="86"/>
      <c r="E862" s="84"/>
      <c r="F862" s="284"/>
      <c r="G862" s="49"/>
      <c r="H862" s="284"/>
      <c r="I862" s="74"/>
      <c r="J862" s="371"/>
      <c r="K862" s="77"/>
      <c r="L862" s="160"/>
      <c r="M862" s="388"/>
      <c r="N862" s="375"/>
      <c r="W862" s="113"/>
      <c r="X862" s="241"/>
      <c r="Y862" s="284"/>
      <c r="Z862" s="207"/>
      <c r="AA862" s="284"/>
      <c r="AB862" s="284"/>
      <c r="AC862" s="137"/>
      <c r="AD862" s="284"/>
      <c r="AE862" s="299"/>
      <c r="AF862" s="299"/>
      <c r="AG862" s="284"/>
    </row>
    <row r="863" spans="2:33">
      <c r="B863" s="86"/>
      <c r="C863" s="84"/>
      <c r="D863" s="86"/>
      <c r="E863" s="84"/>
      <c r="F863" s="284"/>
      <c r="G863" s="49"/>
      <c r="H863" s="284"/>
      <c r="I863" s="74"/>
      <c r="J863" s="371"/>
      <c r="K863" s="77"/>
      <c r="L863" s="160"/>
      <c r="M863" s="388"/>
      <c r="N863" s="375"/>
      <c r="W863" s="113"/>
      <c r="X863" s="241"/>
      <c r="Y863" s="284"/>
      <c r="Z863" s="207"/>
      <c r="AA863" s="284"/>
      <c r="AB863" s="284"/>
      <c r="AC863" s="137"/>
      <c r="AD863" s="284"/>
      <c r="AE863" s="299"/>
      <c r="AF863" s="299"/>
      <c r="AG863" s="284"/>
    </row>
    <row r="864" spans="2:33">
      <c r="B864" s="86"/>
      <c r="C864" s="84"/>
      <c r="D864" s="86"/>
      <c r="E864" s="84"/>
      <c r="F864" s="284"/>
      <c r="G864" s="49"/>
      <c r="H864" s="284"/>
      <c r="I864" s="74"/>
      <c r="J864" s="371"/>
      <c r="K864" s="77"/>
      <c r="L864" s="160"/>
      <c r="M864" s="388"/>
      <c r="N864" s="375"/>
      <c r="W864" s="113"/>
      <c r="X864" s="241"/>
      <c r="Y864" s="284"/>
      <c r="Z864" s="207"/>
      <c r="AA864" s="284"/>
      <c r="AB864" s="284"/>
      <c r="AC864" s="137"/>
      <c r="AD864" s="284"/>
      <c r="AE864" s="299"/>
      <c r="AF864" s="299"/>
      <c r="AG864" s="284"/>
    </row>
    <row r="865" spans="2:33">
      <c r="B865" s="86"/>
      <c r="C865" s="84"/>
      <c r="D865" s="86"/>
      <c r="E865" s="84"/>
      <c r="F865" s="284"/>
      <c r="G865" s="49"/>
      <c r="H865" s="284"/>
      <c r="I865" s="74"/>
      <c r="J865" s="371"/>
      <c r="K865" s="77"/>
      <c r="L865" s="160"/>
      <c r="M865" s="388"/>
      <c r="N865" s="375"/>
      <c r="W865" s="113"/>
      <c r="X865" s="241"/>
      <c r="Y865" s="284"/>
      <c r="Z865" s="207"/>
      <c r="AA865" s="284"/>
      <c r="AB865" s="284"/>
      <c r="AC865" s="137"/>
      <c r="AD865" s="284"/>
      <c r="AE865" s="299"/>
      <c r="AF865" s="299"/>
      <c r="AG865" s="284"/>
    </row>
    <row r="866" spans="2:33">
      <c r="B866" s="86"/>
      <c r="C866" s="84"/>
      <c r="D866" s="86"/>
      <c r="E866" s="84"/>
      <c r="F866" s="284"/>
      <c r="G866" s="49"/>
      <c r="H866" s="284"/>
      <c r="I866" s="74"/>
      <c r="J866" s="371"/>
      <c r="K866" s="77"/>
      <c r="L866" s="160"/>
      <c r="M866" s="388"/>
      <c r="N866" s="375"/>
      <c r="W866" s="113"/>
      <c r="X866" s="241"/>
      <c r="Y866" s="284"/>
      <c r="Z866" s="207"/>
      <c r="AA866" s="284"/>
      <c r="AB866" s="284"/>
      <c r="AC866" s="137"/>
      <c r="AD866" s="284"/>
      <c r="AE866" s="299"/>
      <c r="AF866" s="299"/>
      <c r="AG866" s="284"/>
    </row>
    <row r="867" spans="2:33">
      <c r="B867" s="86"/>
      <c r="C867" s="84"/>
      <c r="D867" s="86"/>
      <c r="E867" s="84"/>
      <c r="F867" s="284"/>
      <c r="G867" s="49"/>
      <c r="H867" s="284"/>
      <c r="I867" s="74"/>
      <c r="J867" s="371"/>
      <c r="K867" s="77"/>
      <c r="L867" s="160"/>
      <c r="M867" s="388"/>
      <c r="N867" s="375"/>
      <c r="W867" s="113"/>
      <c r="X867" s="241"/>
      <c r="Y867" s="284"/>
      <c r="Z867" s="207"/>
      <c r="AA867" s="284"/>
      <c r="AB867" s="284"/>
      <c r="AC867" s="137"/>
      <c r="AD867" s="284"/>
      <c r="AE867" s="299"/>
      <c r="AF867" s="299"/>
      <c r="AG867" s="284"/>
    </row>
    <row r="868" spans="2:33">
      <c r="B868" s="86"/>
      <c r="C868" s="84"/>
      <c r="D868" s="86"/>
      <c r="E868" s="84"/>
      <c r="F868" s="284"/>
      <c r="G868" s="49"/>
      <c r="H868" s="284"/>
      <c r="I868" s="74"/>
      <c r="J868" s="371"/>
      <c r="K868" s="77"/>
      <c r="L868" s="160"/>
      <c r="M868" s="388"/>
      <c r="N868" s="375"/>
      <c r="W868" s="113"/>
      <c r="X868" s="241"/>
      <c r="Y868" s="284"/>
      <c r="Z868" s="207"/>
      <c r="AA868" s="284"/>
      <c r="AB868" s="284"/>
      <c r="AC868" s="137"/>
      <c r="AD868" s="284"/>
      <c r="AE868" s="299"/>
      <c r="AF868" s="299"/>
      <c r="AG868" s="284"/>
    </row>
    <row r="869" spans="2:33">
      <c r="B869" s="86"/>
      <c r="C869" s="84"/>
      <c r="D869" s="86"/>
      <c r="E869" s="84"/>
      <c r="F869" s="284"/>
      <c r="G869" s="49"/>
      <c r="H869" s="284"/>
      <c r="I869" s="74"/>
      <c r="J869" s="371"/>
      <c r="K869" s="77"/>
      <c r="L869" s="160"/>
      <c r="M869" s="388"/>
      <c r="N869" s="375"/>
      <c r="W869" s="113"/>
      <c r="X869" s="241"/>
      <c r="Y869" s="284"/>
      <c r="Z869" s="207"/>
      <c r="AA869" s="284"/>
      <c r="AB869" s="284"/>
      <c r="AC869" s="137"/>
      <c r="AD869" s="284"/>
      <c r="AE869" s="299"/>
      <c r="AF869" s="299"/>
      <c r="AG869" s="284"/>
    </row>
    <row r="870" spans="2:33">
      <c r="B870" s="86"/>
      <c r="C870" s="84"/>
      <c r="D870" s="86"/>
      <c r="E870" s="84"/>
      <c r="F870" s="284"/>
      <c r="G870" s="49"/>
      <c r="H870" s="284"/>
      <c r="I870" s="74"/>
      <c r="J870" s="371"/>
      <c r="K870" s="77"/>
      <c r="L870" s="160"/>
      <c r="M870" s="388"/>
      <c r="N870" s="375"/>
      <c r="W870" s="113"/>
      <c r="X870" s="241"/>
      <c r="Y870" s="284"/>
      <c r="Z870" s="207"/>
      <c r="AA870" s="284"/>
      <c r="AB870" s="284"/>
      <c r="AC870" s="137"/>
      <c r="AD870" s="284"/>
      <c r="AE870" s="299"/>
      <c r="AF870" s="299"/>
      <c r="AG870" s="284"/>
    </row>
    <row r="871" spans="2:33">
      <c r="B871" s="86"/>
      <c r="C871" s="84"/>
      <c r="D871" s="86"/>
      <c r="E871" s="84"/>
      <c r="F871" s="284"/>
      <c r="G871" s="49"/>
      <c r="H871" s="284"/>
      <c r="I871" s="74"/>
      <c r="J871" s="371"/>
      <c r="K871" s="77"/>
      <c r="L871" s="160"/>
      <c r="M871" s="388"/>
      <c r="N871" s="375"/>
      <c r="W871" s="113"/>
      <c r="X871" s="241"/>
      <c r="Y871" s="284"/>
      <c r="Z871" s="207"/>
      <c r="AA871" s="284"/>
      <c r="AB871" s="284"/>
      <c r="AC871" s="137"/>
      <c r="AD871" s="284"/>
      <c r="AE871" s="299"/>
      <c r="AF871" s="299"/>
      <c r="AG871" s="284"/>
    </row>
    <row r="872" spans="2:33">
      <c r="B872" s="86"/>
      <c r="C872" s="84"/>
      <c r="D872" s="86"/>
      <c r="E872" s="84"/>
      <c r="F872" s="284"/>
      <c r="G872" s="49"/>
      <c r="H872" s="284"/>
      <c r="I872" s="74"/>
      <c r="J872" s="371"/>
      <c r="K872" s="77"/>
      <c r="L872" s="160"/>
      <c r="M872" s="388"/>
      <c r="N872" s="375"/>
      <c r="W872" s="113"/>
      <c r="X872" s="241"/>
      <c r="Y872" s="284"/>
      <c r="Z872" s="207"/>
      <c r="AA872" s="284"/>
      <c r="AB872" s="284"/>
      <c r="AC872" s="137"/>
      <c r="AD872" s="284"/>
      <c r="AE872" s="299"/>
      <c r="AF872" s="299"/>
      <c r="AG872" s="284"/>
    </row>
    <row r="873" spans="2:33">
      <c r="B873" s="86"/>
      <c r="C873" s="84"/>
      <c r="D873" s="86"/>
      <c r="E873" s="84"/>
      <c r="F873" s="284"/>
      <c r="G873" s="49"/>
      <c r="H873" s="284"/>
      <c r="I873" s="74"/>
      <c r="J873" s="371"/>
      <c r="K873" s="77"/>
      <c r="L873" s="160"/>
      <c r="M873" s="388"/>
      <c r="N873" s="375"/>
      <c r="W873" s="113"/>
      <c r="X873" s="241"/>
      <c r="Y873" s="284"/>
      <c r="Z873" s="207"/>
      <c r="AA873" s="284"/>
      <c r="AB873" s="284"/>
      <c r="AC873" s="137"/>
      <c r="AD873" s="284"/>
      <c r="AE873" s="299"/>
      <c r="AF873" s="299"/>
      <c r="AG873" s="284"/>
    </row>
    <row r="874" spans="2:33">
      <c r="B874" s="86"/>
      <c r="C874" s="84"/>
      <c r="D874" s="86"/>
      <c r="E874" s="84"/>
      <c r="F874" s="284"/>
      <c r="G874" s="49"/>
      <c r="H874" s="284"/>
      <c r="I874" s="74"/>
      <c r="J874" s="371"/>
      <c r="K874" s="77"/>
      <c r="L874" s="160"/>
      <c r="M874" s="388"/>
      <c r="N874" s="375"/>
      <c r="W874" s="113"/>
      <c r="X874" s="241"/>
      <c r="Y874" s="284"/>
      <c r="Z874" s="207"/>
      <c r="AA874" s="284"/>
      <c r="AB874" s="284"/>
      <c r="AC874" s="137"/>
      <c r="AD874" s="284"/>
      <c r="AE874" s="299"/>
      <c r="AF874" s="299"/>
      <c r="AG874" s="284"/>
    </row>
    <row r="875" spans="2:33">
      <c r="B875" s="86"/>
      <c r="C875" s="84"/>
      <c r="D875" s="86"/>
      <c r="E875" s="84"/>
      <c r="F875" s="284"/>
      <c r="G875" s="49"/>
      <c r="H875" s="284"/>
      <c r="I875" s="74"/>
      <c r="J875" s="371"/>
      <c r="K875" s="77"/>
      <c r="L875" s="160"/>
      <c r="M875" s="388"/>
      <c r="N875" s="375"/>
      <c r="W875" s="113"/>
      <c r="X875" s="241"/>
      <c r="Y875" s="284"/>
      <c r="Z875" s="207"/>
      <c r="AA875" s="284"/>
      <c r="AB875" s="284"/>
      <c r="AC875" s="137"/>
      <c r="AD875" s="284"/>
      <c r="AE875" s="299"/>
      <c r="AF875" s="299"/>
      <c r="AG875" s="284"/>
    </row>
    <row r="876" spans="2:33">
      <c r="B876" s="86"/>
      <c r="C876" s="84"/>
      <c r="D876" s="86"/>
      <c r="E876" s="84"/>
      <c r="F876" s="284"/>
      <c r="G876" s="49"/>
      <c r="H876" s="284"/>
      <c r="I876" s="74"/>
      <c r="J876" s="371"/>
      <c r="K876" s="77"/>
      <c r="L876" s="160"/>
      <c r="M876" s="388"/>
      <c r="N876" s="375"/>
      <c r="W876" s="113"/>
      <c r="X876" s="241"/>
      <c r="Y876" s="284"/>
      <c r="Z876" s="207"/>
      <c r="AA876" s="284"/>
      <c r="AB876" s="284"/>
      <c r="AC876" s="137"/>
      <c r="AD876" s="284"/>
      <c r="AE876" s="299"/>
      <c r="AF876" s="299"/>
      <c r="AG876" s="284"/>
    </row>
    <row r="877" spans="2:33">
      <c r="B877" s="86"/>
      <c r="C877" s="84"/>
      <c r="D877" s="86"/>
      <c r="E877" s="84"/>
      <c r="F877" s="284"/>
      <c r="G877" s="49"/>
      <c r="H877" s="284"/>
      <c r="I877" s="74"/>
      <c r="J877" s="371"/>
      <c r="K877" s="77"/>
      <c r="L877" s="160"/>
      <c r="M877" s="388"/>
      <c r="N877" s="375"/>
      <c r="W877" s="113"/>
      <c r="X877" s="241"/>
      <c r="Y877" s="284"/>
      <c r="Z877" s="207"/>
      <c r="AA877" s="284"/>
      <c r="AB877" s="284"/>
      <c r="AC877" s="137"/>
      <c r="AD877" s="284"/>
      <c r="AE877" s="299"/>
      <c r="AF877" s="299"/>
      <c r="AG877" s="284"/>
    </row>
    <row r="878" spans="2:33">
      <c r="B878" s="86"/>
      <c r="C878" s="84"/>
      <c r="D878" s="86"/>
      <c r="E878" s="84"/>
      <c r="F878" s="284"/>
      <c r="G878" s="49"/>
      <c r="H878" s="284"/>
      <c r="I878" s="74"/>
      <c r="J878" s="371"/>
      <c r="K878" s="77"/>
      <c r="L878" s="160"/>
      <c r="M878" s="388"/>
      <c r="N878" s="375"/>
      <c r="W878" s="113"/>
      <c r="X878" s="241"/>
      <c r="Y878" s="284"/>
      <c r="Z878" s="207"/>
      <c r="AA878" s="284"/>
      <c r="AB878" s="284"/>
      <c r="AC878" s="137"/>
      <c r="AD878" s="284"/>
      <c r="AE878" s="299"/>
      <c r="AF878" s="299"/>
      <c r="AG878" s="284"/>
    </row>
    <row r="879" spans="2:33">
      <c r="B879" s="86"/>
      <c r="C879" s="84"/>
      <c r="D879" s="86"/>
      <c r="E879" s="84"/>
      <c r="F879" s="284"/>
      <c r="G879" s="49"/>
      <c r="H879" s="284"/>
      <c r="I879" s="74"/>
      <c r="J879" s="371"/>
      <c r="K879" s="77"/>
      <c r="L879" s="160"/>
      <c r="M879" s="388"/>
      <c r="N879" s="375"/>
      <c r="W879" s="113"/>
      <c r="X879" s="241"/>
      <c r="Y879" s="284"/>
      <c r="Z879" s="207"/>
      <c r="AA879" s="284"/>
      <c r="AB879" s="284"/>
      <c r="AC879" s="137"/>
      <c r="AD879" s="284"/>
      <c r="AE879" s="299"/>
      <c r="AF879" s="299"/>
      <c r="AG879" s="284"/>
    </row>
    <row r="880" spans="2:33">
      <c r="B880" s="86"/>
      <c r="C880" s="84"/>
      <c r="D880" s="86"/>
      <c r="E880" s="84"/>
      <c r="F880" s="284"/>
      <c r="G880" s="49"/>
      <c r="H880" s="284"/>
      <c r="I880" s="74"/>
      <c r="J880" s="371"/>
      <c r="K880" s="77"/>
      <c r="L880" s="160"/>
      <c r="M880" s="388"/>
      <c r="N880" s="375"/>
      <c r="W880" s="113"/>
      <c r="X880" s="241"/>
      <c r="Y880" s="284"/>
      <c r="Z880" s="207"/>
      <c r="AA880" s="284"/>
      <c r="AB880" s="284"/>
      <c r="AC880" s="137"/>
      <c r="AD880" s="284"/>
      <c r="AE880" s="299"/>
      <c r="AF880" s="299"/>
      <c r="AG880" s="284"/>
    </row>
    <row r="881" spans="2:33">
      <c r="B881" s="86"/>
      <c r="C881" s="84"/>
      <c r="D881" s="86"/>
      <c r="E881" s="84"/>
      <c r="F881" s="284"/>
      <c r="G881" s="49"/>
      <c r="H881" s="284"/>
      <c r="I881" s="74"/>
      <c r="J881" s="371"/>
      <c r="K881" s="77"/>
      <c r="L881" s="160"/>
      <c r="M881" s="388"/>
      <c r="N881" s="375"/>
      <c r="W881" s="113"/>
      <c r="X881" s="241"/>
      <c r="Y881" s="284"/>
      <c r="Z881" s="207"/>
      <c r="AA881" s="284"/>
      <c r="AB881" s="284"/>
      <c r="AC881" s="137"/>
      <c r="AD881" s="284"/>
      <c r="AE881" s="299"/>
      <c r="AF881" s="299"/>
      <c r="AG881" s="284"/>
    </row>
    <row r="882" spans="2:33">
      <c r="B882" s="86"/>
      <c r="C882" s="84"/>
      <c r="D882" s="86"/>
      <c r="E882" s="84"/>
      <c r="F882" s="284"/>
      <c r="G882" s="49"/>
      <c r="H882" s="284"/>
      <c r="I882" s="74"/>
      <c r="J882" s="371"/>
      <c r="K882" s="77"/>
      <c r="L882" s="160"/>
      <c r="M882" s="388"/>
      <c r="N882" s="375"/>
      <c r="W882" s="113"/>
      <c r="X882" s="241"/>
      <c r="Y882" s="284"/>
      <c r="Z882" s="207"/>
      <c r="AA882" s="284"/>
      <c r="AB882" s="284"/>
      <c r="AC882" s="137"/>
      <c r="AD882" s="284"/>
      <c r="AE882" s="299"/>
      <c r="AF882" s="299"/>
      <c r="AG882" s="284"/>
    </row>
    <row r="883" spans="2:33">
      <c r="B883" s="86"/>
      <c r="C883" s="84"/>
      <c r="D883" s="86"/>
      <c r="E883" s="84"/>
      <c r="F883" s="284"/>
      <c r="G883" s="49"/>
      <c r="H883" s="284"/>
      <c r="I883" s="74"/>
      <c r="J883" s="371"/>
      <c r="K883" s="77"/>
      <c r="L883" s="160"/>
      <c r="M883" s="388"/>
      <c r="N883" s="375"/>
      <c r="W883" s="113"/>
      <c r="X883" s="241"/>
      <c r="Y883" s="284"/>
      <c r="Z883" s="207"/>
      <c r="AA883" s="284"/>
      <c r="AB883" s="284"/>
      <c r="AC883" s="137"/>
      <c r="AD883" s="284"/>
      <c r="AE883" s="299"/>
      <c r="AF883" s="299"/>
      <c r="AG883" s="284"/>
    </row>
    <row r="884" spans="2:33">
      <c r="B884" s="86"/>
      <c r="C884" s="84"/>
      <c r="D884" s="86"/>
      <c r="E884" s="84"/>
      <c r="F884" s="284"/>
      <c r="G884" s="49"/>
      <c r="H884" s="284"/>
      <c r="I884" s="74"/>
      <c r="J884" s="371"/>
      <c r="K884" s="77"/>
      <c r="L884" s="160"/>
      <c r="M884" s="388"/>
      <c r="N884" s="375"/>
      <c r="W884" s="113"/>
      <c r="X884" s="241"/>
      <c r="Y884" s="284"/>
      <c r="Z884" s="207"/>
      <c r="AA884" s="284"/>
      <c r="AB884" s="284"/>
      <c r="AC884" s="137"/>
      <c r="AD884" s="284"/>
      <c r="AE884" s="299"/>
      <c r="AF884" s="299"/>
      <c r="AG884" s="284"/>
    </row>
    <row r="885" spans="2:33">
      <c r="B885" s="86"/>
      <c r="C885" s="84"/>
      <c r="D885" s="86"/>
      <c r="E885" s="84"/>
      <c r="F885" s="284"/>
      <c r="G885" s="49"/>
      <c r="H885" s="284"/>
      <c r="I885" s="74"/>
      <c r="J885" s="371"/>
      <c r="K885" s="77"/>
      <c r="L885" s="160"/>
      <c r="M885" s="388"/>
      <c r="N885" s="375"/>
      <c r="W885" s="113"/>
      <c r="X885" s="241"/>
      <c r="Y885" s="284"/>
      <c r="Z885" s="207"/>
      <c r="AA885" s="284"/>
      <c r="AB885" s="284"/>
      <c r="AC885" s="137"/>
      <c r="AD885" s="284"/>
      <c r="AE885" s="299"/>
      <c r="AF885" s="299"/>
      <c r="AG885" s="284"/>
    </row>
    <row r="886" spans="2:33">
      <c r="B886" s="86"/>
      <c r="C886" s="84"/>
      <c r="D886" s="86"/>
      <c r="E886" s="84"/>
      <c r="F886" s="284"/>
      <c r="G886" s="49"/>
      <c r="H886" s="284"/>
      <c r="I886" s="74"/>
      <c r="J886" s="371"/>
      <c r="K886" s="77"/>
      <c r="L886" s="160"/>
      <c r="M886" s="388"/>
      <c r="N886" s="375"/>
      <c r="W886" s="113"/>
      <c r="X886" s="241"/>
      <c r="Y886" s="284"/>
      <c r="Z886" s="207"/>
      <c r="AA886" s="284"/>
      <c r="AB886" s="284"/>
      <c r="AC886" s="137"/>
      <c r="AD886" s="284"/>
      <c r="AE886" s="299"/>
      <c r="AF886" s="299"/>
      <c r="AG886" s="284"/>
    </row>
    <row r="887" spans="2:33">
      <c r="B887" s="86"/>
      <c r="C887" s="84"/>
      <c r="D887" s="86"/>
      <c r="E887" s="84"/>
      <c r="F887" s="284"/>
      <c r="G887" s="49"/>
      <c r="H887" s="284"/>
      <c r="I887" s="74"/>
      <c r="J887" s="371"/>
      <c r="K887" s="77"/>
      <c r="L887" s="160"/>
      <c r="M887" s="388"/>
      <c r="N887" s="375"/>
      <c r="W887" s="113"/>
      <c r="X887" s="241"/>
      <c r="Y887" s="284"/>
      <c r="Z887" s="207"/>
      <c r="AA887" s="284"/>
      <c r="AB887" s="284"/>
      <c r="AC887" s="137"/>
      <c r="AD887" s="284"/>
      <c r="AE887" s="299"/>
      <c r="AF887" s="299"/>
      <c r="AG887" s="284"/>
    </row>
    <row r="888" spans="2:33">
      <c r="B888" s="86"/>
      <c r="C888" s="84"/>
      <c r="D888" s="86"/>
      <c r="E888" s="84"/>
      <c r="F888" s="284"/>
      <c r="G888" s="49"/>
      <c r="H888" s="284"/>
      <c r="I888" s="74"/>
      <c r="J888" s="371"/>
      <c r="K888" s="77"/>
      <c r="L888" s="160"/>
      <c r="M888" s="388"/>
      <c r="N888" s="375"/>
      <c r="W888" s="113"/>
      <c r="X888" s="241"/>
      <c r="Y888" s="284"/>
      <c r="Z888" s="207"/>
      <c r="AA888" s="284"/>
      <c r="AB888" s="284"/>
      <c r="AC888" s="137"/>
      <c r="AD888" s="284"/>
      <c r="AE888" s="299"/>
      <c r="AF888" s="299"/>
      <c r="AG888" s="284"/>
    </row>
    <row r="889" spans="2:33">
      <c r="B889" s="86"/>
      <c r="C889" s="84"/>
      <c r="D889" s="86"/>
      <c r="E889" s="84"/>
      <c r="F889" s="284"/>
      <c r="G889" s="49"/>
      <c r="H889" s="284"/>
      <c r="I889" s="74"/>
      <c r="J889" s="371"/>
      <c r="K889" s="77"/>
      <c r="L889" s="160"/>
      <c r="M889" s="388"/>
      <c r="N889" s="375"/>
      <c r="W889" s="113"/>
      <c r="X889" s="241"/>
      <c r="Y889" s="284"/>
      <c r="Z889" s="207"/>
      <c r="AA889" s="284"/>
      <c r="AB889" s="284"/>
      <c r="AC889" s="137"/>
      <c r="AD889" s="284"/>
      <c r="AE889" s="299"/>
      <c r="AF889" s="299"/>
      <c r="AG889" s="284"/>
    </row>
    <row r="890" spans="2:33">
      <c r="B890" s="86"/>
      <c r="C890" s="84"/>
      <c r="D890" s="86"/>
      <c r="E890" s="84"/>
      <c r="F890" s="284"/>
      <c r="G890" s="49"/>
      <c r="H890" s="284"/>
      <c r="I890" s="74"/>
      <c r="J890" s="371"/>
      <c r="K890" s="77"/>
      <c r="L890" s="160"/>
      <c r="M890" s="388"/>
      <c r="N890" s="375"/>
      <c r="W890" s="113"/>
      <c r="X890" s="241"/>
      <c r="Y890" s="284"/>
      <c r="Z890" s="207"/>
      <c r="AA890" s="284"/>
      <c r="AB890" s="284"/>
      <c r="AC890" s="137"/>
      <c r="AD890" s="284"/>
      <c r="AE890" s="299"/>
      <c r="AF890" s="299"/>
      <c r="AG890" s="284"/>
    </row>
    <row r="891" spans="2:33">
      <c r="B891" s="86"/>
      <c r="C891" s="84"/>
      <c r="D891" s="86"/>
      <c r="E891" s="84"/>
      <c r="F891" s="284"/>
      <c r="G891" s="49"/>
      <c r="H891" s="284"/>
      <c r="I891" s="74"/>
      <c r="J891" s="371"/>
      <c r="K891" s="77"/>
      <c r="L891" s="160"/>
      <c r="M891" s="388"/>
      <c r="N891" s="375"/>
      <c r="W891" s="113"/>
      <c r="X891" s="241"/>
      <c r="Y891" s="284"/>
      <c r="Z891" s="207"/>
      <c r="AA891" s="284"/>
      <c r="AB891" s="284"/>
      <c r="AC891" s="137"/>
      <c r="AD891" s="284"/>
      <c r="AE891" s="299"/>
      <c r="AF891" s="299"/>
      <c r="AG891" s="284"/>
    </row>
    <row r="892" spans="2:33">
      <c r="B892" s="86"/>
      <c r="C892" s="84"/>
      <c r="D892" s="86"/>
      <c r="E892" s="84"/>
      <c r="F892" s="284"/>
      <c r="G892" s="49"/>
      <c r="H892" s="284"/>
      <c r="I892" s="74"/>
      <c r="J892" s="371"/>
      <c r="K892" s="77"/>
      <c r="L892" s="160"/>
      <c r="M892" s="388"/>
      <c r="N892" s="375"/>
      <c r="W892" s="113"/>
      <c r="X892" s="241"/>
      <c r="Y892" s="284"/>
      <c r="Z892" s="207"/>
      <c r="AA892" s="284"/>
      <c r="AB892" s="284"/>
      <c r="AC892" s="137"/>
      <c r="AD892" s="284"/>
      <c r="AE892" s="299"/>
      <c r="AF892" s="299"/>
      <c r="AG892" s="284"/>
    </row>
    <row r="893" spans="2:33">
      <c r="B893" s="86"/>
      <c r="C893" s="84"/>
      <c r="D893" s="86"/>
      <c r="E893" s="84"/>
      <c r="F893" s="284"/>
      <c r="G893" s="49"/>
      <c r="H893" s="284"/>
      <c r="I893" s="74"/>
      <c r="J893" s="371"/>
      <c r="K893" s="77"/>
      <c r="L893" s="160"/>
      <c r="M893" s="388"/>
      <c r="N893" s="375"/>
      <c r="W893" s="113"/>
      <c r="X893" s="241"/>
      <c r="Y893" s="284"/>
      <c r="Z893" s="207"/>
      <c r="AA893" s="284"/>
      <c r="AB893" s="284"/>
      <c r="AC893" s="137"/>
      <c r="AD893" s="284"/>
      <c r="AE893" s="299"/>
      <c r="AF893" s="299"/>
      <c r="AG893" s="284"/>
    </row>
    <row r="894" spans="2:33">
      <c r="B894" s="86"/>
      <c r="C894" s="84"/>
      <c r="D894" s="86"/>
      <c r="E894" s="84"/>
      <c r="F894" s="284"/>
      <c r="G894" s="49"/>
      <c r="H894" s="284"/>
      <c r="I894" s="74"/>
      <c r="J894" s="371"/>
      <c r="K894" s="77"/>
      <c r="L894" s="160"/>
      <c r="M894" s="388"/>
      <c r="N894" s="375"/>
      <c r="W894" s="113"/>
      <c r="X894" s="241"/>
      <c r="Y894" s="284"/>
      <c r="Z894" s="207"/>
      <c r="AA894" s="284"/>
      <c r="AB894" s="284"/>
      <c r="AC894" s="137"/>
      <c r="AD894" s="284"/>
      <c r="AE894" s="299"/>
      <c r="AF894" s="299"/>
      <c r="AG894" s="284"/>
    </row>
    <row r="895" spans="2:33">
      <c r="B895" s="86"/>
      <c r="C895" s="84"/>
      <c r="D895" s="86"/>
      <c r="E895" s="84"/>
      <c r="F895" s="284"/>
      <c r="G895" s="49"/>
      <c r="H895" s="284"/>
      <c r="I895" s="74"/>
      <c r="J895" s="371"/>
      <c r="K895" s="77"/>
      <c r="L895" s="160"/>
      <c r="M895" s="388"/>
      <c r="N895" s="375"/>
      <c r="W895" s="113"/>
      <c r="X895" s="241"/>
      <c r="Y895" s="284"/>
      <c r="Z895" s="207"/>
      <c r="AA895" s="284"/>
      <c r="AB895" s="284"/>
      <c r="AC895" s="137"/>
      <c r="AD895" s="284"/>
      <c r="AE895" s="299"/>
      <c r="AF895" s="299"/>
      <c r="AG895" s="284"/>
    </row>
    <row r="896" spans="2:33">
      <c r="B896" s="86"/>
      <c r="C896" s="84"/>
      <c r="D896" s="86"/>
      <c r="E896" s="84"/>
      <c r="F896" s="284"/>
      <c r="G896" s="49"/>
      <c r="H896" s="284"/>
      <c r="I896" s="74"/>
      <c r="J896" s="371"/>
      <c r="K896" s="77"/>
      <c r="L896" s="160"/>
      <c r="M896" s="388"/>
      <c r="N896" s="375"/>
      <c r="W896" s="113"/>
      <c r="X896" s="241"/>
      <c r="Y896" s="284"/>
      <c r="Z896" s="207"/>
      <c r="AA896" s="284"/>
      <c r="AB896" s="284"/>
      <c r="AC896" s="137"/>
      <c r="AD896" s="284"/>
      <c r="AE896" s="299"/>
      <c r="AF896" s="299"/>
      <c r="AG896" s="284"/>
    </row>
    <row r="897" spans="2:33">
      <c r="B897" s="86"/>
      <c r="C897" s="84"/>
      <c r="D897" s="86"/>
      <c r="E897" s="84"/>
      <c r="F897" s="284"/>
      <c r="G897" s="49"/>
      <c r="H897" s="284"/>
      <c r="I897" s="74"/>
      <c r="J897" s="371"/>
      <c r="K897" s="77"/>
      <c r="L897" s="160"/>
      <c r="M897" s="388"/>
      <c r="N897" s="375"/>
      <c r="W897" s="113"/>
      <c r="X897" s="241"/>
      <c r="Y897" s="284"/>
      <c r="Z897" s="207"/>
      <c r="AA897" s="284"/>
      <c r="AB897" s="284"/>
      <c r="AC897" s="137"/>
      <c r="AD897" s="284"/>
      <c r="AE897" s="299"/>
      <c r="AF897" s="299"/>
      <c r="AG897" s="284"/>
    </row>
    <row r="898" spans="2:33">
      <c r="B898" s="86"/>
      <c r="C898" s="84"/>
      <c r="D898" s="86"/>
      <c r="E898" s="84"/>
      <c r="F898" s="284"/>
      <c r="G898" s="49"/>
      <c r="H898" s="284"/>
      <c r="I898" s="74"/>
      <c r="J898" s="371"/>
      <c r="K898" s="77"/>
      <c r="L898" s="160"/>
      <c r="M898" s="388"/>
      <c r="N898" s="375"/>
      <c r="W898" s="113"/>
      <c r="X898" s="241"/>
      <c r="Y898" s="284"/>
      <c r="Z898" s="207"/>
      <c r="AA898" s="284"/>
      <c r="AB898" s="284"/>
      <c r="AC898" s="137"/>
      <c r="AD898" s="284"/>
      <c r="AE898" s="299"/>
      <c r="AF898" s="299"/>
      <c r="AG898" s="284"/>
    </row>
    <row r="899" spans="2:33">
      <c r="B899" s="86"/>
      <c r="C899" s="84"/>
      <c r="D899" s="86"/>
      <c r="E899" s="84"/>
      <c r="F899" s="284"/>
      <c r="G899" s="49"/>
      <c r="H899" s="284"/>
      <c r="I899" s="74"/>
      <c r="J899" s="371"/>
      <c r="K899" s="77"/>
      <c r="L899" s="160"/>
      <c r="M899" s="388"/>
      <c r="N899" s="375"/>
      <c r="W899" s="113"/>
      <c r="X899" s="241"/>
      <c r="Y899" s="284"/>
      <c r="Z899" s="207"/>
      <c r="AA899" s="284"/>
      <c r="AB899" s="284"/>
      <c r="AC899" s="137"/>
      <c r="AD899" s="284"/>
      <c r="AE899" s="299"/>
      <c r="AF899" s="299"/>
      <c r="AG899" s="284"/>
    </row>
    <row r="900" spans="2:33">
      <c r="B900" s="86"/>
      <c r="C900" s="84"/>
      <c r="D900" s="86"/>
      <c r="E900" s="84"/>
      <c r="F900" s="284"/>
      <c r="G900" s="49"/>
      <c r="H900" s="284"/>
      <c r="I900" s="74"/>
      <c r="J900" s="371"/>
      <c r="K900" s="77"/>
      <c r="L900" s="160"/>
      <c r="M900" s="388"/>
      <c r="N900" s="375"/>
      <c r="W900" s="113"/>
      <c r="X900" s="241"/>
      <c r="Y900" s="284"/>
      <c r="Z900" s="207"/>
      <c r="AA900" s="284"/>
      <c r="AB900" s="284"/>
      <c r="AC900" s="137"/>
      <c r="AD900" s="284"/>
      <c r="AE900" s="299"/>
      <c r="AF900" s="299"/>
      <c r="AG900" s="284"/>
    </row>
    <row r="901" spans="2:33">
      <c r="B901" s="86"/>
      <c r="C901" s="84"/>
      <c r="D901" s="86"/>
      <c r="E901" s="84"/>
      <c r="F901" s="284"/>
      <c r="G901" s="49"/>
      <c r="H901" s="284"/>
      <c r="I901" s="74"/>
      <c r="J901" s="371"/>
      <c r="K901" s="77"/>
      <c r="L901" s="160"/>
      <c r="M901" s="388"/>
      <c r="N901" s="375"/>
      <c r="W901" s="113"/>
      <c r="X901" s="241"/>
      <c r="Y901" s="284"/>
      <c r="Z901" s="207"/>
      <c r="AA901" s="284"/>
      <c r="AB901" s="284"/>
      <c r="AC901" s="137"/>
      <c r="AD901" s="284"/>
      <c r="AE901" s="299"/>
      <c r="AF901" s="299"/>
      <c r="AG901" s="284"/>
    </row>
    <row r="902" spans="2:33">
      <c r="B902" s="86"/>
      <c r="C902" s="84"/>
      <c r="D902" s="86"/>
      <c r="E902" s="84"/>
      <c r="F902" s="284"/>
      <c r="G902" s="49"/>
      <c r="H902" s="284"/>
      <c r="I902" s="74"/>
      <c r="J902" s="371"/>
      <c r="K902" s="77"/>
      <c r="L902" s="160"/>
      <c r="M902" s="388"/>
      <c r="N902" s="375"/>
      <c r="W902" s="113"/>
      <c r="X902" s="241"/>
      <c r="Y902" s="284"/>
      <c r="Z902" s="207"/>
      <c r="AA902" s="284"/>
      <c r="AB902" s="284"/>
      <c r="AC902" s="137"/>
      <c r="AD902" s="284"/>
      <c r="AE902" s="299"/>
      <c r="AF902" s="299"/>
      <c r="AG902" s="284"/>
    </row>
    <row r="903" spans="2:33">
      <c r="B903" s="86"/>
      <c r="C903" s="84"/>
      <c r="D903" s="86"/>
      <c r="E903" s="84"/>
      <c r="F903" s="284"/>
      <c r="G903" s="49"/>
      <c r="H903" s="284"/>
      <c r="I903" s="74"/>
      <c r="J903" s="371"/>
      <c r="K903" s="77"/>
      <c r="L903" s="160"/>
      <c r="M903" s="388"/>
      <c r="N903" s="375"/>
      <c r="W903" s="113"/>
      <c r="X903" s="241"/>
      <c r="Y903" s="284"/>
      <c r="Z903" s="207"/>
      <c r="AA903" s="284"/>
      <c r="AB903" s="284"/>
      <c r="AC903" s="137"/>
      <c r="AD903" s="284"/>
      <c r="AE903" s="299"/>
      <c r="AF903" s="299"/>
      <c r="AG903" s="284"/>
    </row>
    <row r="904" spans="2:33">
      <c r="B904" s="86"/>
      <c r="C904" s="84"/>
      <c r="D904" s="86"/>
      <c r="E904" s="84"/>
      <c r="F904" s="284"/>
      <c r="G904" s="49"/>
      <c r="H904" s="284"/>
      <c r="I904" s="74"/>
      <c r="J904" s="371"/>
      <c r="K904" s="77"/>
      <c r="L904" s="160"/>
      <c r="M904" s="388"/>
      <c r="N904" s="375"/>
      <c r="W904" s="113"/>
      <c r="X904" s="241"/>
      <c r="Y904" s="284"/>
      <c r="Z904" s="207"/>
      <c r="AA904" s="284"/>
      <c r="AB904" s="284"/>
      <c r="AC904" s="137"/>
      <c r="AD904" s="284"/>
      <c r="AE904" s="299"/>
      <c r="AF904" s="299"/>
      <c r="AG904" s="284"/>
    </row>
    <row r="905" spans="2:33">
      <c r="B905" s="86"/>
      <c r="C905" s="84"/>
      <c r="D905" s="86"/>
      <c r="E905" s="84"/>
      <c r="F905" s="284"/>
      <c r="G905" s="49"/>
      <c r="H905" s="284"/>
      <c r="I905" s="74"/>
      <c r="J905" s="371"/>
      <c r="K905" s="77"/>
      <c r="L905" s="160"/>
      <c r="M905" s="388"/>
      <c r="N905" s="375"/>
      <c r="W905" s="113"/>
      <c r="X905" s="241"/>
      <c r="Y905" s="284"/>
      <c r="Z905" s="207"/>
      <c r="AA905" s="284"/>
      <c r="AB905" s="284"/>
      <c r="AC905" s="137"/>
      <c r="AD905" s="284"/>
      <c r="AE905" s="299"/>
      <c r="AF905" s="299"/>
      <c r="AG905" s="284"/>
    </row>
    <row r="906" spans="2:33">
      <c r="B906" s="86"/>
      <c r="C906" s="84"/>
      <c r="D906" s="86"/>
      <c r="E906" s="84"/>
      <c r="F906" s="284"/>
      <c r="G906" s="49"/>
      <c r="H906" s="284"/>
      <c r="I906" s="74"/>
      <c r="J906" s="371"/>
      <c r="K906" s="77"/>
      <c r="L906" s="160"/>
      <c r="M906" s="388"/>
      <c r="N906" s="375"/>
      <c r="W906" s="113"/>
      <c r="X906" s="241"/>
      <c r="Y906" s="284"/>
      <c r="Z906" s="207"/>
      <c r="AA906" s="284"/>
      <c r="AB906" s="284"/>
      <c r="AC906" s="137"/>
      <c r="AD906" s="284"/>
      <c r="AE906" s="299"/>
      <c r="AF906" s="299"/>
      <c r="AG906" s="284"/>
    </row>
    <row r="907" spans="2:33">
      <c r="B907" s="86"/>
      <c r="C907" s="84"/>
      <c r="D907" s="86"/>
      <c r="E907" s="84"/>
      <c r="F907" s="284"/>
      <c r="G907" s="49"/>
      <c r="H907" s="284"/>
      <c r="I907" s="74"/>
      <c r="J907" s="371"/>
      <c r="K907" s="77"/>
      <c r="L907" s="160"/>
      <c r="M907" s="388"/>
      <c r="N907" s="375"/>
      <c r="W907" s="113"/>
      <c r="X907" s="241"/>
      <c r="Y907" s="284"/>
      <c r="Z907" s="207"/>
      <c r="AA907" s="284"/>
      <c r="AB907" s="284"/>
      <c r="AC907" s="137"/>
      <c r="AD907" s="284"/>
      <c r="AE907" s="299"/>
      <c r="AF907" s="299"/>
      <c r="AG907" s="284"/>
    </row>
    <row r="908" spans="2:33">
      <c r="B908" s="86"/>
      <c r="C908" s="84"/>
      <c r="D908" s="86"/>
      <c r="E908" s="84"/>
      <c r="F908" s="284"/>
      <c r="G908" s="49"/>
      <c r="H908" s="284"/>
      <c r="I908" s="74"/>
      <c r="J908" s="371"/>
      <c r="K908" s="77"/>
      <c r="L908" s="160"/>
      <c r="M908" s="388"/>
      <c r="N908" s="375"/>
      <c r="W908" s="113"/>
      <c r="X908" s="241"/>
      <c r="Y908" s="284"/>
      <c r="Z908" s="207"/>
      <c r="AA908" s="284"/>
      <c r="AB908" s="284"/>
      <c r="AC908" s="137"/>
      <c r="AD908" s="284"/>
      <c r="AE908" s="299"/>
      <c r="AF908" s="299"/>
      <c r="AG908" s="284"/>
    </row>
    <row r="909" spans="2:33">
      <c r="B909" s="86"/>
      <c r="C909" s="84"/>
      <c r="D909" s="86"/>
      <c r="E909" s="84"/>
      <c r="F909" s="284"/>
      <c r="G909" s="49"/>
      <c r="H909" s="284"/>
      <c r="I909" s="74"/>
      <c r="J909" s="371"/>
      <c r="K909" s="77"/>
      <c r="L909" s="160"/>
      <c r="M909" s="388"/>
      <c r="N909" s="375"/>
      <c r="W909" s="113"/>
      <c r="X909" s="241"/>
      <c r="Y909" s="284"/>
      <c r="Z909" s="207"/>
      <c r="AA909" s="284"/>
      <c r="AB909" s="284"/>
      <c r="AC909" s="137"/>
      <c r="AD909" s="284"/>
      <c r="AE909" s="299"/>
      <c r="AF909" s="299"/>
      <c r="AG909" s="284"/>
    </row>
    <row r="910" spans="2:33">
      <c r="B910" s="86"/>
      <c r="C910" s="84"/>
      <c r="D910" s="86"/>
      <c r="E910" s="84"/>
      <c r="F910" s="284"/>
      <c r="G910" s="49"/>
      <c r="H910" s="284"/>
      <c r="I910" s="74"/>
      <c r="J910" s="371"/>
      <c r="K910" s="77"/>
      <c r="L910" s="160"/>
      <c r="M910" s="388"/>
      <c r="N910" s="375"/>
      <c r="W910" s="113"/>
      <c r="X910" s="241"/>
      <c r="Y910" s="284"/>
      <c r="Z910" s="207"/>
      <c r="AA910" s="284"/>
      <c r="AB910" s="284"/>
      <c r="AC910" s="137"/>
      <c r="AD910" s="284"/>
      <c r="AE910" s="299"/>
      <c r="AF910" s="299"/>
      <c r="AG910" s="284"/>
    </row>
    <row r="911" spans="2:33">
      <c r="B911" s="86"/>
      <c r="C911" s="84"/>
      <c r="D911" s="86"/>
      <c r="E911" s="84"/>
      <c r="F911" s="284"/>
      <c r="G911" s="49"/>
      <c r="H911" s="284"/>
      <c r="I911" s="74"/>
      <c r="J911" s="371"/>
      <c r="K911" s="77"/>
      <c r="L911" s="160"/>
      <c r="M911" s="388"/>
      <c r="N911" s="375"/>
      <c r="W911" s="113"/>
      <c r="X911" s="241"/>
      <c r="Y911" s="284"/>
      <c r="Z911" s="207"/>
      <c r="AA911" s="284"/>
      <c r="AB911" s="284"/>
      <c r="AC911" s="137"/>
      <c r="AD911" s="284"/>
      <c r="AE911" s="299"/>
      <c r="AF911" s="299"/>
      <c r="AG911" s="284"/>
    </row>
    <row r="912" spans="2:33">
      <c r="B912" s="86"/>
      <c r="C912" s="84"/>
      <c r="D912" s="86"/>
      <c r="E912" s="84"/>
      <c r="F912" s="284"/>
      <c r="G912" s="49"/>
      <c r="H912" s="284"/>
      <c r="I912" s="74"/>
      <c r="J912" s="371"/>
      <c r="K912" s="77"/>
      <c r="L912" s="160"/>
      <c r="M912" s="388"/>
      <c r="N912" s="375"/>
      <c r="W912" s="113"/>
      <c r="X912" s="241"/>
      <c r="Y912" s="284"/>
      <c r="Z912" s="207"/>
      <c r="AA912" s="284"/>
      <c r="AB912" s="284"/>
      <c r="AC912" s="137"/>
      <c r="AD912" s="284"/>
      <c r="AE912" s="299"/>
      <c r="AF912" s="299"/>
      <c r="AG912" s="284"/>
    </row>
    <row r="913" spans="2:33">
      <c r="B913" s="86"/>
      <c r="C913" s="84"/>
      <c r="D913" s="86"/>
      <c r="E913" s="84"/>
      <c r="F913" s="284"/>
      <c r="G913" s="49"/>
      <c r="H913" s="284"/>
      <c r="I913" s="74"/>
      <c r="J913" s="371"/>
      <c r="K913" s="77"/>
      <c r="L913" s="160"/>
      <c r="M913" s="388"/>
      <c r="N913" s="375"/>
      <c r="W913" s="113"/>
      <c r="X913" s="241"/>
      <c r="Y913" s="284"/>
      <c r="Z913" s="207"/>
      <c r="AA913" s="284"/>
      <c r="AB913" s="284"/>
      <c r="AC913" s="137"/>
      <c r="AD913" s="284"/>
      <c r="AE913" s="299"/>
      <c r="AF913" s="299"/>
      <c r="AG913" s="284"/>
    </row>
    <row r="914" spans="2:33">
      <c r="B914" s="86"/>
      <c r="C914" s="84"/>
      <c r="D914" s="86"/>
      <c r="E914" s="84"/>
      <c r="F914" s="284"/>
      <c r="G914" s="49"/>
      <c r="H914" s="284"/>
      <c r="I914" s="74"/>
      <c r="J914" s="371"/>
      <c r="K914" s="77"/>
      <c r="L914" s="160"/>
      <c r="M914" s="388"/>
      <c r="N914" s="375"/>
      <c r="W914" s="113"/>
      <c r="X914" s="241"/>
      <c r="Y914" s="284"/>
      <c r="Z914" s="207"/>
      <c r="AA914" s="284"/>
      <c r="AB914" s="284"/>
      <c r="AC914" s="137"/>
      <c r="AD914" s="284"/>
      <c r="AE914" s="299"/>
      <c r="AF914" s="299"/>
      <c r="AG914" s="284"/>
    </row>
    <row r="915" spans="2:33">
      <c r="B915" s="86"/>
      <c r="C915" s="84"/>
      <c r="D915" s="86"/>
      <c r="E915" s="84"/>
      <c r="F915" s="284"/>
      <c r="G915" s="49"/>
      <c r="H915" s="284"/>
      <c r="I915" s="74"/>
      <c r="J915" s="371"/>
      <c r="K915" s="77"/>
      <c r="L915" s="160"/>
      <c r="M915" s="388"/>
      <c r="N915" s="375"/>
      <c r="W915" s="113"/>
      <c r="X915" s="241"/>
      <c r="Y915" s="284"/>
      <c r="Z915" s="207"/>
      <c r="AA915" s="284"/>
      <c r="AB915" s="284"/>
      <c r="AC915" s="137"/>
      <c r="AD915" s="284"/>
      <c r="AE915" s="299"/>
      <c r="AF915" s="299"/>
      <c r="AG915" s="284"/>
    </row>
    <row r="916" spans="2:33">
      <c r="B916" s="86"/>
      <c r="C916" s="84"/>
      <c r="D916" s="86"/>
      <c r="E916" s="84"/>
      <c r="F916" s="284"/>
      <c r="G916" s="49"/>
      <c r="H916" s="284"/>
      <c r="I916" s="74"/>
      <c r="J916" s="371"/>
      <c r="K916" s="77"/>
      <c r="L916" s="160"/>
      <c r="M916" s="388"/>
      <c r="N916" s="375"/>
      <c r="W916" s="113"/>
      <c r="X916" s="241"/>
      <c r="Y916" s="284"/>
      <c r="Z916" s="207"/>
      <c r="AA916" s="284"/>
      <c r="AB916" s="284"/>
      <c r="AC916" s="137"/>
      <c r="AD916" s="284"/>
      <c r="AE916" s="299"/>
      <c r="AF916" s="299"/>
      <c r="AG916" s="284"/>
    </row>
    <row r="917" spans="2:33">
      <c r="B917" s="86"/>
      <c r="C917" s="84"/>
      <c r="D917" s="86"/>
      <c r="E917" s="84"/>
      <c r="F917" s="284"/>
      <c r="G917" s="49"/>
      <c r="H917" s="284"/>
      <c r="I917" s="74"/>
      <c r="J917" s="371"/>
      <c r="K917" s="77"/>
      <c r="L917" s="160"/>
      <c r="M917" s="388"/>
      <c r="N917" s="375"/>
      <c r="W917" s="113"/>
      <c r="X917" s="241"/>
      <c r="Y917" s="284"/>
      <c r="Z917" s="207"/>
      <c r="AA917" s="284"/>
      <c r="AB917" s="284"/>
      <c r="AC917" s="137"/>
      <c r="AD917" s="284"/>
      <c r="AE917" s="299"/>
      <c r="AF917" s="299"/>
      <c r="AG917" s="284"/>
    </row>
    <row r="918" spans="2:33">
      <c r="B918" s="86"/>
      <c r="C918" s="84"/>
      <c r="D918" s="86"/>
      <c r="E918" s="84"/>
      <c r="F918" s="284"/>
      <c r="G918" s="49"/>
      <c r="H918" s="284"/>
      <c r="I918" s="74"/>
      <c r="J918" s="371"/>
      <c r="K918" s="77"/>
      <c r="L918" s="160"/>
      <c r="M918" s="388"/>
      <c r="N918" s="375"/>
      <c r="W918" s="113"/>
      <c r="X918" s="241"/>
      <c r="Y918" s="284"/>
      <c r="Z918" s="207"/>
      <c r="AA918" s="284"/>
      <c r="AB918" s="284"/>
      <c r="AC918" s="137"/>
      <c r="AD918" s="284"/>
      <c r="AE918" s="299"/>
      <c r="AF918" s="299"/>
      <c r="AG918" s="284"/>
    </row>
    <row r="919" spans="2:33">
      <c r="B919" s="86"/>
      <c r="C919" s="84"/>
      <c r="D919" s="86"/>
      <c r="E919" s="84"/>
      <c r="F919" s="284"/>
      <c r="G919" s="49"/>
      <c r="H919" s="284"/>
      <c r="I919" s="74"/>
      <c r="J919" s="371"/>
      <c r="K919" s="77"/>
      <c r="L919" s="160"/>
      <c r="M919" s="388"/>
      <c r="N919" s="375"/>
      <c r="W919" s="113"/>
      <c r="X919" s="241"/>
      <c r="Y919" s="284"/>
      <c r="Z919" s="207"/>
      <c r="AA919" s="284"/>
      <c r="AB919" s="284"/>
      <c r="AC919" s="137"/>
      <c r="AD919" s="284"/>
      <c r="AE919" s="299"/>
      <c r="AF919" s="299"/>
      <c r="AG919" s="284"/>
    </row>
    <row r="920" spans="2:33">
      <c r="B920" s="86"/>
      <c r="C920" s="84"/>
      <c r="D920" s="86"/>
      <c r="E920" s="84"/>
      <c r="F920" s="284"/>
      <c r="G920" s="49"/>
      <c r="H920" s="284"/>
      <c r="I920" s="74"/>
      <c r="J920" s="371"/>
      <c r="K920" s="77"/>
      <c r="L920" s="160"/>
      <c r="M920" s="388"/>
      <c r="N920" s="375"/>
      <c r="W920" s="113"/>
      <c r="X920" s="241"/>
      <c r="Y920" s="284"/>
      <c r="Z920" s="207"/>
      <c r="AA920" s="284"/>
      <c r="AB920" s="284"/>
      <c r="AC920" s="137"/>
      <c r="AD920" s="284"/>
      <c r="AE920" s="299"/>
      <c r="AF920" s="299"/>
      <c r="AG920" s="284"/>
    </row>
    <row r="921" spans="2:33">
      <c r="B921" s="86"/>
      <c r="C921" s="84"/>
      <c r="D921" s="86"/>
      <c r="E921" s="84"/>
      <c r="F921" s="284"/>
      <c r="G921" s="49"/>
      <c r="H921" s="284"/>
      <c r="I921" s="74"/>
      <c r="J921" s="371"/>
      <c r="K921" s="77"/>
      <c r="L921" s="160"/>
      <c r="M921" s="388"/>
      <c r="N921" s="375"/>
      <c r="W921" s="113"/>
      <c r="X921" s="241"/>
      <c r="Y921" s="284"/>
      <c r="Z921" s="207"/>
      <c r="AA921" s="284"/>
      <c r="AB921" s="284"/>
      <c r="AC921" s="137"/>
      <c r="AD921" s="284"/>
      <c r="AE921" s="299"/>
      <c r="AF921" s="299"/>
      <c r="AG921" s="284"/>
    </row>
    <row r="922" spans="2:33">
      <c r="B922" s="86"/>
      <c r="C922" s="84"/>
      <c r="D922" s="86"/>
      <c r="E922" s="84"/>
      <c r="F922" s="284"/>
      <c r="G922" s="49"/>
      <c r="H922" s="284"/>
      <c r="I922" s="74"/>
      <c r="J922" s="371"/>
      <c r="K922" s="77"/>
      <c r="L922" s="160"/>
      <c r="M922" s="388"/>
      <c r="N922" s="375"/>
      <c r="W922" s="113"/>
      <c r="X922" s="241"/>
      <c r="Y922" s="284"/>
      <c r="Z922" s="207"/>
      <c r="AA922" s="284"/>
      <c r="AB922" s="284"/>
      <c r="AC922" s="137"/>
      <c r="AD922" s="284"/>
      <c r="AE922" s="299"/>
      <c r="AF922" s="299"/>
      <c r="AG922" s="284"/>
    </row>
    <row r="923" spans="2:33">
      <c r="B923" s="86"/>
      <c r="C923" s="84"/>
      <c r="D923" s="86"/>
      <c r="E923" s="84"/>
      <c r="F923" s="284"/>
      <c r="G923" s="49"/>
      <c r="H923" s="284"/>
      <c r="I923" s="74"/>
      <c r="J923" s="371"/>
      <c r="K923" s="77"/>
      <c r="L923" s="160"/>
      <c r="M923" s="388"/>
      <c r="N923" s="375"/>
      <c r="W923" s="113"/>
      <c r="X923" s="241"/>
      <c r="Y923" s="284"/>
      <c r="Z923" s="207"/>
      <c r="AA923" s="284"/>
      <c r="AB923" s="284"/>
      <c r="AC923" s="137"/>
      <c r="AD923" s="284"/>
      <c r="AE923" s="299"/>
      <c r="AF923" s="299"/>
      <c r="AG923" s="284"/>
    </row>
    <row r="924" spans="2:33">
      <c r="B924" s="86"/>
      <c r="C924" s="84"/>
      <c r="D924" s="86"/>
      <c r="E924" s="84"/>
      <c r="F924" s="284"/>
      <c r="G924" s="49"/>
      <c r="H924" s="284"/>
      <c r="I924" s="74"/>
      <c r="J924" s="371"/>
      <c r="K924" s="77"/>
      <c r="L924" s="160"/>
      <c r="M924" s="388"/>
      <c r="N924" s="375"/>
      <c r="W924" s="113"/>
      <c r="X924" s="241"/>
      <c r="Y924" s="284"/>
      <c r="Z924" s="207"/>
      <c r="AA924" s="284"/>
      <c r="AB924" s="284"/>
      <c r="AC924" s="137"/>
      <c r="AD924" s="284"/>
      <c r="AE924" s="299"/>
      <c r="AF924" s="299"/>
      <c r="AG924" s="284"/>
    </row>
    <row r="925" spans="2:33">
      <c r="B925" s="86"/>
      <c r="C925" s="84"/>
      <c r="D925" s="86"/>
      <c r="E925" s="84"/>
      <c r="F925" s="284"/>
      <c r="G925" s="49"/>
      <c r="H925" s="284"/>
      <c r="I925" s="74"/>
      <c r="J925" s="371"/>
      <c r="K925" s="77"/>
      <c r="L925" s="160"/>
      <c r="M925" s="388"/>
      <c r="N925" s="375"/>
      <c r="W925" s="113"/>
      <c r="X925" s="241"/>
      <c r="Y925" s="284"/>
      <c r="Z925" s="207"/>
      <c r="AA925" s="284"/>
      <c r="AB925" s="284"/>
      <c r="AC925" s="137"/>
      <c r="AD925" s="284"/>
      <c r="AE925" s="299"/>
      <c r="AF925" s="299"/>
      <c r="AG925" s="284"/>
    </row>
    <row r="926" spans="2:33">
      <c r="B926" s="86"/>
      <c r="C926" s="84"/>
      <c r="D926" s="86"/>
      <c r="E926" s="84"/>
      <c r="F926" s="284"/>
      <c r="G926" s="49"/>
      <c r="H926" s="284"/>
      <c r="I926" s="74"/>
      <c r="J926" s="371"/>
      <c r="K926" s="77"/>
      <c r="L926" s="160"/>
      <c r="M926" s="388"/>
      <c r="N926" s="375"/>
      <c r="W926" s="113"/>
      <c r="X926" s="241"/>
      <c r="Y926" s="284"/>
      <c r="Z926" s="207"/>
      <c r="AA926" s="284"/>
      <c r="AB926" s="284"/>
      <c r="AC926" s="137"/>
      <c r="AD926" s="284"/>
      <c r="AE926" s="299"/>
      <c r="AF926" s="299"/>
      <c r="AG926" s="284"/>
    </row>
    <row r="927" spans="2:33">
      <c r="B927" s="86"/>
      <c r="C927" s="84"/>
      <c r="D927" s="86"/>
      <c r="E927" s="84"/>
      <c r="F927" s="284"/>
      <c r="G927" s="49"/>
      <c r="H927" s="284"/>
      <c r="I927" s="74"/>
      <c r="J927" s="371"/>
      <c r="K927" s="77"/>
      <c r="L927" s="160"/>
      <c r="M927" s="388"/>
      <c r="N927" s="375"/>
      <c r="W927" s="113"/>
      <c r="X927" s="241"/>
      <c r="Y927" s="284"/>
      <c r="Z927" s="207"/>
      <c r="AA927" s="284"/>
      <c r="AB927" s="284"/>
      <c r="AC927" s="137"/>
      <c r="AD927" s="284"/>
      <c r="AE927" s="299"/>
      <c r="AF927" s="299"/>
      <c r="AG927" s="284"/>
    </row>
    <row r="928" spans="2:33">
      <c r="B928" s="86"/>
      <c r="C928" s="84"/>
      <c r="D928" s="86"/>
      <c r="E928" s="84"/>
      <c r="F928" s="284"/>
      <c r="G928" s="49"/>
      <c r="H928" s="284"/>
      <c r="I928" s="74"/>
      <c r="J928" s="371"/>
      <c r="K928" s="77"/>
      <c r="L928" s="160"/>
      <c r="M928" s="388"/>
      <c r="N928" s="375"/>
      <c r="W928" s="113"/>
      <c r="X928" s="241"/>
      <c r="Y928" s="284"/>
      <c r="Z928" s="207"/>
      <c r="AA928" s="284"/>
      <c r="AB928" s="284"/>
      <c r="AC928" s="137"/>
      <c r="AD928" s="284"/>
      <c r="AE928" s="299"/>
      <c r="AF928" s="299"/>
      <c r="AG928" s="284"/>
    </row>
    <row r="929" spans="2:33">
      <c r="B929" s="86"/>
      <c r="C929" s="84"/>
      <c r="D929" s="86"/>
      <c r="E929" s="84"/>
      <c r="F929" s="284"/>
      <c r="G929" s="49"/>
      <c r="H929" s="284"/>
      <c r="I929" s="74"/>
      <c r="J929" s="371"/>
      <c r="K929" s="77"/>
      <c r="L929" s="160"/>
      <c r="M929" s="388"/>
      <c r="N929" s="375"/>
      <c r="W929" s="113"/>
      <c r="X929" s="241"/>
      <c r="Y929" s="284"/>
      <c r="Z929" s="207"/>
      <c r="AA929" s="284"/>
      <c r="AB929" s="284"/>
      <c r="AC929" s="137"/>
      <c r="AD929" s="284"/>
      <c r="AE929" s="299"/>
      <c r="AF929" s="299"/>
      <c r="AG929" s="284"/>
    </row>
    <row r="930" spans="2:33">
      <c r="B930" s="86"/>
      <c r="C930" s="84"/>
      <c r="D930" s="86"/>
      <c r="E930" s="84"/>
      <c r="F930" s="284"/>
      <c r="G930" s="49"/>
      <c r="H930" s="284"/>
      <c r="I930" s="74"/>
      <c r="J930" s="371"/>
      <c r="K930" s="77"/>
      <c r="L930" s="160"/>
      <c r="M930" s="388"/>
      <c r="N930" s="375"/>
      <c r="W930" s="113"/>
      <c r="X930" s="241"/>
      <c r="Y930" s="284"/>
      <c r="Z930" s="207"/>
      <c r="AA930" s="284"/>
      <c r="AB930" s="284"/>
      <c r="AC930" s="137"/>
      <c r="AD930" s="284"/>
      <c r="AE930" s="299"/>
      <c r="AF930" s="299"/>
      <c r="AG930" s="284"/>
    </row>
    <row r="931" spans="2:33">
      <c r="B931" s="86"/>
      <c r="C931" s="84"/>
      <c r="D931" s="86"/>
      <c r="E931" s="84"/>
      <c r="F931" s="284"/>
      <c r="G931" s="49"/>
      <c r="H931" s="284"/>
      <c r="I931" s="74"/>
      <c r="J931" s="371"/>
      <c r="K931" s="77"/>
      <c r="L931" s="160"/>
      <c r="M931" s="388"/>
      <c r="N931" s="375"/>
      <c r="W931" s="113"/>
      <c r="X931" s="241"/>
      <c r="Y931" s="284"/>
      <c r="Z931" s="207"/>
      <c r="AA931" s="284"/>
      <c r="AB931" s="284"/>
      <c r="AC931" s="137"/>
      <c r="AD931" s="284"/>
      <c r="AE931" s="299"/>
      <c r="AF931" s="299"/>
      <c r="AG931" s="284"/>
    </row>
    <row r="932" spans="2:33">
      <c r="B932" s="86"/>
      <c r="C932" s="84"/>
      <c r="D932" s="86"/>
      <c r="E932" s="84"/>
      <c r="F932" s="284"/>
      <c r="G932" s="49"/>
      <c r="H932" s="284"/>
      <c r="I932" s="74"/>
      <c r="J932" s="371"/>
      <c r="K932" s="77"/>
      <c r="L932" s="160"/>
      <c r="M932" s="388"/>
      <c r="N932" s="375"/>
      <c r="W932" s="113"/>
      <c r="X932" s="241"/>
      <c r="Y932" s="284"/>
      <c r="Z932" s="207"/>
      <c r="AA932" s="284"/>
      <c r="AB932" s="284"/>
      <c r="AC932" s="137"/>
      <c r="AD932" s="284"/>
      <c r="AE932" s="299"/>
      <c r="AF932" s="299"/>
      <c r="AG932" s="284"/>
    </row>
    <row r="933" spans="2:33">
      <c r="B933" s="86"/>
      <c r="C933" s="84"/>
      <c r="D933" s="86"/>
      <c r="E933" s="84"/>
      <c r="F933" s="284"/>
      <c r="G933" s="49"/>
      <c r="H933" s="284"/>
      <c r="I933" s="74"/>
      <c r="J933" s="371"/>
      <c r="K933" s="77"/>
      <c r="L933" s="160"/>
      <c r="M933" s="388"/>
      <c r="N933" s="375"/>
      <c r="W933" s="113"/>
      <c r="X933" s="241"/>
      <c r="Y933" s="284"/>
      <c r="Z933" s="207"/>
      <c r="AA933" s="284"/>
      <c r="AB933" s="284"/>
      <c r="AC933" s="137"/>
      <c r="AD933" s="284"/>
      <c r="AE933" s="299"/>
      <c r="AF933" s="299"/>
      <c r="AG933" s="284"/>
    </row>
    <row r="934" spans="2:33">
      <c r="B934" s="86"/>
      <c r="C934" s="84"/>
      <c r="D934" s="86"/>
      <c r="E934" s="84"/>
      <c r="F934" s="284"/>
      <c r="G934" s="49"/>
      <c r="H934" s="284"/>
      <c r="I934" s="74"/>
      <c r="J934" s="371"/>
      <c r="K934" s="77"/>
      <c r="L934" s="160"/>
      <c r="M934" s="388"/>
      <c r="N934" s="375"/>
      <c r="W934" s="113"/>
      <c r="X934" s="241"/>
      <c r="Y934" s="284"/>
      <c r="Z934" s="207"/>
      <c r="AA934" s="284"/>
      <c r="AB934" s="284"/>
      <c r="AC934" s="137"/>
      <c r="AD934" s="284"/>
      <c r="AE934" s="299"/>
      <c r="AF934" s="299"/>
      <c r="AG934" s="284"/>
    </row>
    <row r="935" spans="2:33">
      <c r="B935" s="86"/>
      <c r="C935" s="84"/>
      <c r="D935" s="86"/>
      <c r="E935" s="84"/>
      <c r="F935" s="284"/>
      <c r="G935" s="49"/>
      <c r="H935" s="284"/>
      <c r="I935" s="74"/>
      <c r="J935" s="371"/>
      <c r="K935" s="77"/>
      <c r="L935" s="160"/>
      <c r="M935" s="388"/>
      <c r="N935" s="375"/>
      <c r="W935" s="113"/>
      <c r="X935" s="241"/>
      <c r="Y935" s="284"/>
      <c r="Z935" s="207"/>
      <c r="AA935" s="284"/>
      <c r="AB935" s="284"/>
      <c r="AC935" s="137"/>
      <c r="AD935" s="284"/>
      <c r="AE935" s="299"/>
      <c r="AF935" s="299"/>
      <c r="AG935" s="284"/>
    </row>
    <row r="936" spans="2:33">
      <c r="B936" s="86"/>
      <c r="C936" s="84"/>
      <c r="D936" s="86"/>
      <c r="E936" s="84"/>
      <c r="F936" s="284"/>
      <c r="G936" s="49"/>
      <c r="H936" s="284"/>
      <c r="I936" s="74"/>
      <c r="J936" s="371"/>
      <c r="K936" s="77"/>
      <c r="L936" s="160"/>
      <c r="M936" s="388"/>
      <c r="N936" s="375"/>
      <c r="W936" s="113"/>
      <c r="X936" s="241"/>
      <c r="Y936" s="284"/>
      <c r="Z936" s="207"/>
      <c r="AA936" s="284"/>
      <c r="AB936" s="284"/>
      <c r="AC936" s="137"/>
      <c r="AD936" s="284"/>
      <c r="AE936" s="299"/>
      <c r="AF936" s="299"/>
      <c r="AG936" s="284"/>
    </row>
    <row r="937" spans="2:33">
      <c r="B937" s="86"/>
      <c r="C937" s="84"/>
      <c r="D937" s="86"/>
      <c r="E937" s="84"/>
      <c r="F937" s="284"/>
      <c r="G937" s="49"/>
      <c r="H937" s="284"/>
      <c r="I937" s="74"/>
      <c r="J937" s="371"/>
      <c r="K937" s="77"/>
      <c r="L937" s="160"/>
      <c r="M937" s="388"/>
      <c r="N937" s="375"/>
      <c r="W937" s="113"/>
      <c r="X937" s="241"/>
      <c r="Y937" s="284"/>
      <c r="Z937" s="207"/>
      <c r="AA937" s="284"/>
      <c r="AB937" s="284"/>
      <c r="AC937" s="137"/>
      <c r="AD937" s="284"/>
      <c r="AE937" s="299"/>
      <c r="AF937" s="299"/>
      <c r="AG937" s="284"/>
    </row>
    <row r="938" spans="2:33">
      <c r="B938" s="86"/>
      <c r="C938" s="84"/>
      <c r="D938" s="86"/>
      <c r="E938" s="84"/>
      <c r="F938" s="284"/>
      <c r="G938" s="49"/>
      <c r="H938" s="284"/>
      <c r="I938" s="74"/>
      <c r="J938" s="371"/>
      <c r="K938" s="77"/>
      <c r="L938" s="160"/>
      <c r="M938" s="388"/>
      <c r="N938" s="375"/>
      <c r="W938" s="113"/>
      <c r="X938" s="241"/>
      <c r="Y938" s="284"/>
      <c r="Z938" s="207"/>
      <c r="AA938" s="284"/>
      <c r="AB938" s="284"/>
      <c r="AC938" s="137"/>
      <c r="AD938" s="284"/>
      <c r="AE938" s="299"/>
      <c r="AF938" s="299"/>
      <c r="AG938" s="284"/>
    </row>
    <row r="939" spans="2:33">
      <c r="B939" s="86"/>
      <c r="C939" s="84"/>
      <c r="D939" s="86"/>
      <c r="E939" s="84"/>
      <c r="F939" s="284"/>
      <c r="G939" s="49"/>
      <c r="H939" s="284"/>
      <c r="I939" s="74"/>
      <c r="J939" s="371"/>
      <c r="K939" s="77"/>
      <c r="L939" s="160"/>
      <c r="M939" s="388"/>
      <c r="N939" s="375"/>
      <c r="W939" s="113"/>
      <c r="X939" s="241"/>
      <c r="Y939" s="284"/>
      <c r="Z939" s="207"/>
      <c r="AA939" s="284"/>
      <c r="AB939" s="284"/>
      <c r="AC939" s="137"/>
      <c r="AD939" s="284"/>
      <c r="AE939" s="299"/>
      <c r="AF939" s="299"/>
      <c r="AG939" s="284"/>
    </row>
    <row r="940" spans="2:33">
      <c r="B940" s="86"/>
      <c r="C940" s="84"/>
      <c r="D940" s="86"/>
      <c r="E940" s="84"/>
      <c r="F940" s="284"/>
      <c r="G940" s="49"/>
      <c r="H940" s="284"/>
      <c r="I940" s="74"/>
      <c r="J940" s="371"/>
      <c r="K940" s="77"/>
      <c r="L940" s="160"/>
      <c r="M940" s="388"/>
      <c r="N940" s="375"/>
      <c r="W940" s="113"/>
      <c r="X940" s="241"/>
      <c r="Y940" s="284"/>
      <c r="Z940" s="207"/>
      <c r="AA940" s="284"/>
      <c r="AB940" s="284"/>
      <c r="AC940" s="137"/>
      <c r="AD940" s="284"/>
      <c r="AE940" s="299"/>
      <c r="AF940" s="299"/>
      <c r="AG940" s="284"/>
    </row>
    <row r="941" spans="2:33">
      <c r="B941" s="86"/>
      <c r="C941" s="84"/>
      <c r="D941" s="86"/>
      <c r="E941" s="84"/>
      <c r="F941" s="284"/>
      <c r="G941" s="49"/>
      <c r="H941" s="284"/>
      <c r="I941" s="74"/>
      <c r="J941" s="371"/>
      <c r="K941" s="77"/>
      <c r="L941" s="160"/>
      <c r="M941" s="388"/>
      <c r="N941" s="375"/>
      <c r="W941" s="113"/>
      <c r="X941" s="241"/>
      <c r="Y941" s="284"/>
      <c r="Z941" s="207"/>
      <c r="AA941" s="284"/>
      <c r="AB941" s="284"/>
      <c r="AC941" s="137"/>
      <c r="AD941" s="284"/>
      <c r="AE941" s="299"/>
      <c r="AF941" s="299"/>
      <c r="AG941" s="284"/>
    </row>
    <row r="942" spans="2:33">
      <c r="B942" s="86"/>
      <c r="C942" s="84"/>
      <c r="D942" s="86"/>
      <c r="E942" s="84"/>
      <c r="F942" s="284"/>
      <c r="G942" s="49"/>
      <c r="H942" s="284"/>
      <c r="I942" s="74"/>
      <c r="J942" s="371"/>
      <c r="K942" s="77"/>
      <c r="L942" s="160"/>
      <c r="M942" s="388"/>
      <c r="N942" s="375"/>
      <c r="W942" s="113"/>
      <c r="X942" s="241"/>
      <c r="Y942" s="284"/>
      <c r="Z942" s="207"/>
      <c r="AA942" s="284"/>
      <c r="AB942" s="284"/>
      <c r="AC942" s="137"/>
      <c r="AD942" s="284"/>
      <c r="AE942" s="299"/>
      <c r="AF942" s="299"/>
      <c r="AG942" s="284"/>
    </row>
    <row r="943" spans="2:33">
      <c r="B943" s="86"/>
      <c r="C943" s="84"/>
      <c r="D943" s="86"/>
      <c r="E943" s="84"/>
      <c r="F943" s="284"/>
      <c r="G943" s="49"/>
      <c r="H943" s="284"/>
      <c r="I943" s="74"/>
      <c r="J943" s="371"/>
      <c r="K943" s="77"/>
      <c r="L943" s="160"/>
      <c r="M943" s="388"/>
      <c r="N943" s="375"/>
      <c r="W943" s="113"/>
      <c r="X943" s="241"/>
      <c r="Y943" s="284"/>
      <c r="Z943" s="207"/>
      <c r="AA943" s="284"/>
      <c r="AB943" s="284"/>
      <c r="AC943" s="137"/>
      <c r="AD943" s="284"/>
      <c r="AE943" s="299"/>
      <c r="AF943" s="299"/>
      <c r="AG943" s="284"/>
    </row>
    <row r="944" spans="2:33">
      <c r="B944" s="86"/>
      <c r="C944" s="84"/>
      <c r="D944" s="86"/>
      <c r="E944" s="84"/>
      <c r="F944" s="284"/>
      <c r="G944" s="49"/>
      <c r="H944" s="284"/>
      <c r="I944" s="74"/>
      <c r="J944" s="371"/>
      <c r="K944" s="77"/>
      <c r="L944" s="160"/>
      <c r="M944" s="388"/>
      <c r="N944" s="375"/>
      <c r="W944" s="113"/>
      <c r="X944" s="241"/>
      <c r="Y944" s="284"/>
      <c r="Z944" s="207"/>
      <c r="AA944" s="284"/>
      <c r="AB944" s="284"/>
      <c r="AC944" s="137"/>
      <c r="AD944" s="284"/>
      <c r="AE944" s="299"/>
      <c r="AF944" s="299"/>
      <c r="AG944" s="284"/>
    </row>
    <row r="945" spans="2:33">
      <c r="B945" s="86"/>
      <c r="C945" s="84"/>
      <c r="D945" s="86"/>
      <c r="E945" s="84"/>
      <c r="F945" s="284"/>
      <c r="G945" s="49"/>
      <c r="H945" s="284"/>
      <c r="I945" s="74"/>
      <c r="J945" s="371"/>
      <c r="K945" s="77"/>
      <c r="L945" s="160"/>
      <c r="M945" s="388"/>
      <c r="N945" s="375"/>
      <c r="W945" s="113"/>
      <c r="X945" s="241"/>
      <c r="Y945" s="284"/>
      <c r="Z945" s="207"/>
      <c r="AA945" s="284"/>
      <c r="AB945" s="284"/>
      <c r="AC945" s="137"/>
      <c r="AD945" s="284"/>
      <c r="AE945" s="299"/>
      <c r="AF945" s="299"/>
      <c r="AG945" s="284"/>
    </row>
    <row r="946" spans="2:33">
      <c r="B946" s="86"/>
      <c r="C946" s="84"/>
      <c r="D946" s="86"/>
      <c r="E946" s="84"/>
      <c r="F946" s="284"/>
      <c r="G946" s="49"/>
      <c r="H946" s="284"/>
      <c r="I946" s="74"/>
      <c r="J946" s="371"/>
      <c r="K946" s="77"/>
      <c r="L946" s="160"/>
      <c r="M946" s="388"/>
      <c r="N946" s="375"/>
      <c r="W946" s="113"/>
      <c r="X946" s="241"/>
      <c r="Y946" s="284"/>
      <c r="Z946" s="207"/>
      <c r="AA946" s="284"/>
      <c r="AB946" s="284"/>
      <c r="AC946" s="137"/>
      <c r="AD946" s="284"/>
      <c r="AE946" s="299"/>
      <c r="AF946" s="299"/>
      <c r="AG946" s="284"/>
    </row>
    <row r="947" spans="2:33">
      <c r="B947" s="86"/>
      <c r="C947" s="84"/>
      <c r="D947" s="86"/>
      <c r="E947" s="84"/>
      <c r="F947" s="284"/>
      <c r="G947" s="49"/>
      <c r="H947" s="284"/>
      <c r="I947" s="74"/>
      <c r="J947" s="371"/>
      <c r="K947" s="77"/>
      <c r="L947" s="160"/>
      <c r="M947" s="388"/>
      <c r="N947" s="375"/>
      <c r="W947" s="113"/>
      <c r="X947" s="241"/>
      <c r="Y947" s="284"/>
      <c r="Z947" s="207"/>
      <c r="AA947" s="284"/>
      <c r="AB947" s="284"/>
      <c r="AC947" s="137"/>
      <c r="AD947" s="284"/>
      <c r="AE947" s="299"/>
      <c r="AF947" s="299"/>
      <c r="AG947" s="284"/>
    </row>
    <row r="948" spans="2:33">
      <c r="B948" s="86"/>
      <c r="C948" s="84"/>
      <c r="D948" s="86"/>
      <c r="E948" s="84"/>
      <c r="F948" s="284"/>
      <c r="G948" s="49"/>
      <c r="H948" s="284"/>
      <c r="I948" s="74"/>
      <c r="J948" s="371"/>
      <c r="K948" s="77"/>
      <c r="L948" s="160"/>
      <c r="M948" s="388"/>
      <c r="N948" s="375"/>
      <c r="W948" s="113"/>
      <c r="X948" s="241"/>
      <c r="Y948" s="284"/>
      <c r="Z948" s="207"/>
      <c r="AA948" s="284"/>
      <c r="AB948" s="284"/>
      <c r="AC948" s="137"/>
      <c r="AD948" s="284"/>
      <c r="AE948" s="299"/>
      <c r="AF948" s="299"/>
      <c r="AG948" s="284"/>
    </row>
    <row r="949" spans="2:33">
      <c r="B949" s="86"/>
      <c r="C949" s="84"/>
      <c r="D949" s="86"/>
      <c r="E949" s="84"/>
      <c r="F949" s="284"/>
      <c r="G949" s="49"/>
      <c r="H949" s="284"/>
      <c r="I949" s="74"/>
      <c r="J949" s="371"/>
      <c r="K949" s="77"/>
      <c r="L949" s="160"/>
      <c r="M949" s="388"/>
      <c r="N949" s="375"/>
      <c r="W949" s="113"/>
      <c r="X949" s="241"/>
      <c r="Y949" s="284"/>
      <c r="Z949" s="207"/>
      <c r="AA949" s="284"/>
      <c r="AB949" s="284"/>
      <c r="AC949" s="137"/>
      <c r="AD949" s="284"/>
      <c r="AE949" s="299"/>
      <c r="AF949" s="299"/>
      <c r="AG949" s="284"/>
    </row>
    <row r="950" spans="2:33">
      <c r="B950" s="86"/>
      <c r="C950" s="84"/>
      <c r="D950" s="86"/>
      <c r="E950" s="84"/>
      <c r="F950" s="284"/>
      <c r="G950" s="49"/>
      <c r="H950" s="284"/>
      <c r="I950" s="74"/>
      <c r="J950" s="371"/>
      <c r="K950" s="77"/>
      <c r="L950" s="160"/>
      <c r="M950" s="388"/>
      <c r="N950" s="375"/>
      <c r="W950" s="113"/>
      <c r="X950" s="241"/>
      <c r="Y950" s="284"/>
      <c r="Z950" s="207"/>
      <c r="AA950" s="284"/>
      <c r="AB950" s="284"/>
      <c r="AC950" s="137"/>
      <c r="AD950" s="284"/>
      <c r="AE950" s="299"/>
      <c r="AF950" s="299"/>
      <c r="AG950" s="284"/>
    </row>
    <row r="951" spans="2:33">
      <c r="B951" s="86"/>
      <c r="C951" s="84"/>
      <c r="D951" s="86"/>
      <c r="E951" s="84"/>
      <c r="F951" s="284"/>
      <c r="G951" s="49"/>
      <c r="H951" s="284"/>
      <c r="I951" s="74"/>
      <c r="J951" s="371"/>
      <c r="K951" s="77"/>
      <c r="L951" s="160"/>
      <c r="M951" s="388"/>
      <c r="N951" s="375"/>
      <c r="W951" s="113"/>
      <c r="X951" s="241"/>
      <c r="Y951" s="284"/>
      <c r="Z951" s="207"/>
      <c r="AA951" s="284"/>
      <c r="AB951" s="284"/>
      <c r="AC951" s="137"/>
      <c r="AD951" s="284"/>
      <c r="AE951" s="299"/>
      <c r="AF951" s="299"/>
      <c r="AG951" s="284"/>
    </row>
    <row r="952" spans="2:33">
      <c r="B952" s="86"/>
      <c r="C952" s="84"/>
      <c r="D952" s="86"/>
      <c r="E952" s="84"/>
      <c r="F952" s="284"/>
      <c r="G952" s="49"/>
      <c r="H952" s="284"/>
      <c r="I952" s="74"/>
      <c r="J952" s="371"/>
      <c r="K952" s="77"/>
      <c r="L952" s="160"/>
      <c r="M952" s="388"/>
      <c r="N952" s="375"/>
      <c r="W952" s="113"/>
      <c r="X952" s="241"/>
      <c r="Y952" s="284"/>
      <c r="Z952" s="207"/>
      <c r="AA952" s="284"/>
      <c r="AB952" s="284"/>
      <c r="AC952" s="137"/>
      <c r="AD952" s="284"/>
      <c r="AE952" s="299"/>
      <c r="AF952" s="299"/>
      <c r="AG952" s="284"/>
    </row>
    <row r="953" spans="2:33">
      <c r="B953" s="86"/>
      <c r="C953" s="84"/>
      <c r="D953" s="86"/>
      <c r="E953" s="84"/>
      <c r="F953" s="284"/>
      <c r="G953" s="49"/>
      <c r="H953" s="284"/>
      <c r="I953" s="74"/>
      <c r="J953" s="371"/>
      <c r="K953" s="77"/>
      <c r="L953" s="160"/>
      <c r="M953" s="388"/>
      <c r="N953" s="375"/>
      <c r="W953" s="113"/>
      <c r="X953" s="241"/>
      <c r="Y953" s="284"/>
      <c r="Z953" s="207"/>
      <c r="AA953" s="284"/>
      <c r="AB953" s="284"/>
      <c r="AC953" s="137"/>
      <c r="AD953" s="284"/>
      <c r="AE953" s="299"/>
      <c r="AF953" s="299"/>
      <c r="AG953" s="284"/>
    </row>
    <row r="954" spans="2:33">
      <c r="B954" s="86"/>
      <c r="C954" s="84"/>
      <c r="D954" s="86"/>
      <c r="E954" s="84"/>
      <c r="F954" s="284"/>
      <c r="G954" s="49"/>
      <c r="H954" s="284"/>
      <c r="I954" s="74"/>
      <c r="J954" s="371"/>
      <c r="K954" s="77"/>
      <c r="L954" s="160"/>
      <c r="M954" s="388"/>
      <c r="N954" s="375"/>
      <c r="W954" s="113"/>
      <c r="X954" s="241"/>
      <c r="Y954" s="284"/>
      <c r="Z954" s="207"/>
      <c r="AA954" s="284"/>
      <c r="AB954" s="284"/>
      <c r="AC954" s="137"/>
      <c r="AD954" s="284"/>
      <c r="AE954" s="299"/>
      <c r="AF954" s="299"/>
      <c r="AG954" s="284"/>
    </row>
    <row r="955" spans="2:33">
      <c r="B955" s="86"/>
      <c r="C955" s="84"/>
      <c r="D955" s="86"/>
      <c r="E955" s="84"/>
      <c r="F955" s="284"/>
      <c r="G955" s="49"/>
      <c r="H955" s="284"/>
      <c r="I955" s="74"/>
      <c r="J955" s="371"/>
      <c r="K955" s="77"/>
      <c r="L955" s="160"/>
      <c r="M955" s="388"/>
      <c r="N955" s="375"/>
      <c r="W955" s="113"/>
      <c r="X955" s="241"/>
      <c r="Y955" s="284"/>
      <c r="Z955" s="207"/>
      <c r="AA955" s="284"/>
      <c r="AB955" s="284"/>
      <c r="AC955" s="137"/>
      <c r="AD955" s="284"/>
      <c r="AE955" s="299"/>
      <c r="AF955" s="299"/>
      <c r="AG955" s="284"/>
    </row>
    <row r="956" spans="2:33">
      <c r="B956" s="86"/>
      <c r="C956" s="84"/>
      <c r="D956" s="86"/>
      <c r="E956" s="84"/>
      <c r="F956" s="284"/>
      <c r="G956" s="49"/>
      <c r="H956" s="284"/>
      <c r="I956" s="74"/>
      <c r="J956" s="371"/>
      <c r="K956" s="77"/>
      <c r="L956" s="160"/>
      <c r="M956" s="388"/>
      <c r="N956" s="375"/>
      <c r="W956" s="113"/>
      <c r="X956" s="241"/>
      <c r="Y956" s="284"/>
      <c r="Z956" s="207"/>
      <c r="AA956" s="284"/>
      <c r="AB956" s="284"/>
      <c r="AC956" s="137"/>
      <c r="AD956" s="284"/>
      <c r="AE956" s="299"/>
      <c r="AF956" s="299"/>
      <c r="AG956" s="284"/>
    </row>
    <row r="957" spans="2:33">
      <c r="B957" s="86"/>
      <c r="C957" s="84"/>
      <c r="D957" s="86"/>
      <c r="E957" s="84"/>
      <c r="F957" s="284"/>
      <c r="G957" s="49"/>
      <c r="H957" s="284"/>
      <c r="I957" s="74"/>
      <c r="J957" s="371"/>
      <c r="K957" s="77"/>
      <c r="L957" s="160"/>
      <c r="M957" s="388"/>
      <c r="N957" s="375"/>
      <c r="W957" s="113"/>
      <c r="X957" s="241"/>
      <c r="Y957" s="284"/>
      <c r="Z957" s="207"/>
      <c r="AA957" s="284"/>
      <c r="AB957" s="284"/>
      <c r="AC957" s="137"/>
      <c r="AD957" s="284"/>
      <c r="AE957" s="299"/>
      <c r="AF957" s="299"/>
      <c r="AG957" s="284"/>
    </row>
    <row r="958" spans="2:33">
      <c r="B958" s="86"/>
      <c r="C958" s="84"/>
      <c r="D958" s="86"/>
      <c r="E958" s="84"/>
      <c r="F958" s="284"/>
      <c r="G958" s="49"/>
      <c r="H958" s="284"/>
      <c r="I958" s="74"/>
      <c r="J958" s="371"/>
      <c r="K958" s="77"/>
      <c r="L958" s="160"/>
      <c r="M958" s="388"/>
      <c r="N958" s="375"/>
      <c r="W958" s="113"/>
      <c r="X958" s="241"/>
      <c r="Y958" s="284"/>
      <c r="Z958" s="207"/>
      <c r="AA958" s="284"/>
      <c r="AB958" s="284"/>
      <c r="AC958" s="137"/>
      <c r="AD958" s="284"/>
      <c r="AE958" s="299"/>
      <c r="AF958" s="299"/>
      <c r="AG958" s="284"/>
    </row>
    <row r="959" spans="2:33">
      <c r="B959" s="86"/>
      <c r="C959" s="84"/>
      <c r="D959" s="86"/>
      <c r="E959" s="84"/>
      <c r="F959" s="284"/>
      <c r="G959" s="49"/>
      <c r="H959" s="284"/>
      <c r="I959" s="74"/>
      <c r="J959" s="371"/>
      <c r="K959" s="77"/>
      <c r="L959" s="160"/>
      <c r="M959" s="388"/>
      <c r="N959" s="375"/>
      <c r="W959" s="113"/>
      <c r="X959" s="241"/>
      <c r="Y959" s="284"/>
      <c r="Z959" s="207"/>
      <c r="AA959" s="284"/>
      <c r="AB959" s="284"/>
      <c r="AC959" s="137"/>
      <c r="AD959" s="284"/>
      <c r="AE959" s="299"/>
      <c r="AF959" s="299"/>
      <c r="AG959" s="284"/>
    </row>
    <row r="960" spans="2:33">
      <c r="B960" s="86"/>
      <c r="C960" s="84"/>
      <c r="D960" s="86"/>
      <c r="E960" s="84"/>
      <c r="F960" s="284"/>
      <c r="G960" s="49"/>
      <c r="H960" s="284"/>
      <c r="I960" s="74"/>
      <c r="J960" s="371"/>
      <c r="K960" s="77"/>
      <c r="L960" s="160"/>
      <c r="M960" s="388"/>
      <c r="N960" s="375"/>
      <c r="W960" s="113"/>
      <c r="X960" s="241"/>
      <c r="Y960" s="284"/>
      <c r="Z960" s="207"/>
      <c r="AA960" s="284"/>
      <c r="AB960" s="284"/>
      <c r="AC960" s="137"/>
      <c r="AD960" s="284"/>
      <c r="AE960" s="299"/>
      <c r="AF960" s="299"/>
      <c r="AG960" s="284"/>
    </row>
    <row r="961" spans="2:33">
      <c r="B961" s="86"/>
      <c r="C961" s="84"/>
      <c r="D961" s="86"/>
      <c r="E961" s="84"/>
      <c r="F961" s="284"/>
      <c r="G961" s="49"/>
      <c r="H961" s="284"/>
      <c r="I961" s="74"/>
      <c r="J961" s="371"/>
      <c r="K961" s="77"/>
      <c r="L961" s="160"/>
      <c r="M961" s="388"/>
      <c r="N961" s="375"/>
      <c r="W961" s="113"/>
      <c r="X961" s="241"/>
      <c r="Y961" s="284"/>
      <c r="Z961" s="207"/>
      <c r="AA961" s="284"/>
      <c r="AB961" s="284"/>
      <c r="AC961" s="137"/>
      <c r="AD961" s="284"/>
      <c r="AE961" s="299"/>
      <c r="AF961" s="299"/>
      <c r="AG961" s="284"/>
    </row>
    <row r="962" spans="2:33">
      <c r="B962" s="86"/>
      <c r="C962" s="84"/>
      <c r="D962" s="86"/>
      <c r="E962" s="84"/>
      <c r="F962" s="284"/>
      <c r="G962" s="49"/>
      <c r="H962" s="284"/>
      <c r="I962" s="74"/>
      <c r="J962" s="371"/>
      <c r="K962" s="77"/>
      <c r="L962" s="160"/>
      <c r="M962" s="388"/>
      <c r="N962" s="375"/>
      <c r="W962" s="113"/>
      <c r="X962" s="241"/>
      <c r="Y962" s="284"/>
      <c r="Z962" s="207"/>
      <c r="AA962" s="284"/>
      <c r="AB962" s="284"/>
      <c r="AC962" s="137"/>
      <c r="AD962" s="284"/>
      <c r="AE962" s="299"/>
      <c r="AF962" s="299"/>
      <c r="AG962" s="284"/>
    </row>
    <row r="963" spans="2:33">
      <c r="B963" s="86"/>
      <c r="C963" s="84"/>
      <c r="D963" s="86"/>
      <c r="E963" s="84"/>
      <c r="F963" s="284"/>
      <c r="G963" s="49"/>
      <c r="H963" s="284"/>
      <c r="I963" s="74"/>
      <c r="J963" s="371"/>
      <c r="K963" s="77"/>
      <c r="L963" s="160"/>
      <c r="M963" s="388"/>
      <c r="N963" s="375"/>
      <c r="W963" s="113"/>
      <c r="X963" s="241"/>
      <c r="Y963" s="284"/>
      <c r="Z963" s="207"/>
      <c r="AA963" s="284"/>
      <c r="AB963" s="284"/>
      <c r="AC963" s="137"/>
      <c r="AD963" s="284"/>
      <c r="AE963" s="299"/>
      <c r="AF963" s="299"/>
      <c r="AG963" s="284"/>
    </row>
    <row r="964" spans="2:33">
      <c r="B964" s="86"/>
      <c r="C964" s="84"/>
      <c r="D964" s="86"/>
      <c r="E964" s="84"/>
      <c r="F964" s="284"/>
      <c r="G964" s="49"/>
      <c r="H964" s="284"/>
      <c r="I964" s="74"/>
      <c r="J964" s="371"/>
      <c r="K964" s="77"/>
      <c r="L964" s="160"/>
      <c r="M964" s="388"/>
      <c r="N964" s="375"/>
      <c r="W964" s="113"/>
      <c r="X964" s="241"/>
      <c r="Y964" s="284"/>
      <c r="Z964" s="207"/>
      <c r="AA964" s="284"/>
      <c r="AB964" s="284"/>
      <c r="AC964" s="137"/>
      <c r="AD964" s="284"/>
      <c r="AE964" s="299"/>
      <c r="AF964" s="299"/>
      <c r="AG964" s="284"/>
    </row>
    <row r="965" spans="2:33">
      <c r="B965" s="86"/>
      <c r="C965" s="84"/>
      <c r="D965" s="86"/>
      <c r="E965" s="84"/>
      <c r="F965" s="284"/>
      <c r="G965" s="49"/>
      <c r="H965" s="284"/>
      <c r="I965" s="74"/>
      <c r="J965" s="371"/>
      <c r="K965" s="77"/>
      <c r="L965" s="160"/>
      <c r="M965" s="388"/>
      <c r="N965" s="375"/>
      <c r="W965" s="113"/>
      <c r="X965" s="241"/>
      <c r="Y965" s="284"/>
      <c r="Z965" s="207"/>
      <c r="AA965" s="284"/>
      <c r="AB965" s="284"/>
      <c r="AC965" s="137"/>
      <c r="AD965" s="284"/>
      <c r="AE965" s="299"/>
      <c r="AF965" s="299"/>
      <c r="AG965" s="284"/>
    </row>
    <row r="966" spans="2:33">
      <c r="B966" s="86"/>
      <c r="C966" s="84"/>
      <c r="D966" s="86"/>
      <c r="E966" s="84"/>
      <c r="F966" s="284"/>
      <c r="G966" s="49"/>
      <c r="H966" s="284"/>
      <c r="I966" s="74"/>
      <c r="J966" s="371"/>
      <c r="K966" s="77"/>
      <c r="L966" s="160"/>
      <c r="M966" s="388"/>
      <c r="N966" s="375"/>
      <c r="W966" s="113"/>
      <c r="X966" s="241"/>
      <c r="Y966" s="284"/>
      <c r="Z966" s="207"/>
      <c r="AA966" s="284"/>
      <c r="AB966" s="284"/>
      <c r="AC966" s="137"/>
      <c r="AD966" s="284"/>
      <c r="AE966" s="299"/>
      <c r="AF966" s="299"/>
      <c r="AG966" s="284"/>
    </row>
    <row r="967" spans="2:33">
      <c r="B967" s="86"/>
      <c r="C967" s="84"/>
      <c r="D967" s="86"/>
      <c r="E967" s="84"/>
      <c r="F967" s="284"/>
      <c r="G967" s="49"/>
      <c r="H967" s="284"/>
      <c r="I967" s="74"/>
      <c r="J967" s="371"/>
      <c r="K967" s="77"/>
      <c r="L967" s="160"/>
      <c r="M967" s="388"/>
      <c r="N967" s="375"/>
      <c r="W967" s="113"/>
      <c r="X967" s="241"/>
      <c r="Y967" s="284"/>
      <c r="Z967" s="207"/>
      <c r="AA967" s="284"/>
      <c r="AB967" s="284"/>
      <c r="AC967" s="137"/>
      <c r="AD967" s="284"/>
      <c r="AE967" s="299"/>
      <c r="AF967" s="299"/>
      <c r="AG967" s="284"/>
    </row>
    <row r="968" spans="2:33">
      <c r="B968" s="86"/>
      <c r="C968" s="84"/>
      <c r="D968" s="86"/>
      <c r="E968" s="84"/>
      <c r="F968" s="284"/>
      <c r="G968" s="49"/>
      <c r="H968" s="284"/>
      <c r="I968" s="74"/>
      <c r="J968" s="371"/>
      <c r="K968" s="77"/>
      <c r="L968" s="160"/>
      <c r="M968" s="388"/>
      <c r="N968" s="375"/>
      <c r="W968" s="113"/>
      <c r="X968" s="241"/>
      <c r="Y968" s="284"/>
      <c r="Z968" s="207"/>
      <c r="AA968" s="284"/>
      <c r="AB968" s="284"/>
      <c r="AC968" s="137"/>
      <c r="AD968" s="284"/>
      <c r="AE968" s="299"/>
      <c r="AF968" s="299"/>
      <c r="AG968" s="284"/>
    </row>
    <row r="969" spans="2:33">
      <c r="B969" s="86"/>
      <c r="C969" s="84"/>
      <c r="D969" s="86"/>
      <c r="E969" s="84"/>
      <c r="F969" s="284"/>
      <c r="G969" s="49"/>
      <c r="H969" s="284"/>
      <c r="I969" s="74"/>
      <c r="J969" s="371"/>
      <c r="K969" s="77"/>
      <c r="L969" s="160"/>
      <c r="M969" s="388"/>
      <c r="N969" s="375"/>
      <c r="W969" s="113"/>
      <c r="X969" s="241"/>
      <c r="Y969" s="284"/>
      <c r="Z969" s="207"/>
      <c r="AA969" s="284"/>
      <c r="AB969" s="284"/>
      <c r="AC969" s="137"/>
      <c r="AD969" s="284"/>
      <c r="AE969" s="299"/>
      <c r="AF969" s="299"/>
      <c r="AG969" s="284"/>
    </row>
    <row r="970" spans="2:33">
      <c r="B970" s="86"/>
      <c r="C970" s="84"/>
      <c r="D970" s="86"/>
      <c r="E970" s="84"/>
      <c r="F970" s="284"/>
      <c r="G970" s="49"/>
      <c r="H970" s="284"/>
      <c r="I970" s="74"/>
      <c r="J970" s="371"/>
      <c r="K970" s="77"/>
      <c r="L970" s="160"/>
      <c r="M970" s="388"/>
      <c r="N970" s="375"/>
      <c r="W970" s="113"/>
      <c r="X970" s="241"/>
      <c r="Y970" s="284"/>
      <c r="Z970" s="207"/>
      <c r="AA970" s="284"/>
      <c r="AB970" s="284"/>
      <c r="AC970" s="137"/>
      <c r="AD970" s="284"/>
      <c r="AE970" s="299"/>
      <c r="AF970" s="299"/>
      <c r="AG970" s="284"/>
    </row>
    <row r="971" spans="2:33">
      <c r="B971" s="86"/>
      <c r="C971" s="84"/>
      <c r="D971" s="86"/>
      <c r="E971" s="84"/>
      <c r="F971" s="284"/>
      <c r="G971" s="49"/>
      <c r="H971" s="284"/>
      <c r="I971" s="74"/>
      <c r="J971" s="371"/>
      <c r="K971" s="77"/>
      <c r="L971" s="160"/>
      <c r="M971" s="388"/>
      <c r="N971" s="375"/>
      <c r="W971" s="113"/>
      <c r="X971" s="241"/>
      <c r="Y971" s="284"/>
      <c r="Z971" s="207"/>
      <c r="AA971" s="284"/>
      <c r="AB971" s="284"/>
      <c r="AC971" s="137"/>
      <c r="AD971" s="284"/>
      <c r="AE971" s="299"/>
      <c r="AF971" s="299"/>
      <c r="AG971" s="284"/>
    </row>
    <row r="972" spans="2:33">
      <c r="B972" s="86"/>
      <c r="C972" s="84"/>
      <c r="D972" s="86"/>
      <c r="E972" s="84"/>
      <c r="F972" s="284"/>
      <c r="G972" s="49"/>
      <c r="H972" s="284"/>
      <c r="I972" s="74"/>
      <c r="J972" s="371"/>
      <c r="K972" s="77"/>
      <c r="L972" s="160"/>
      <c r="M972" s="388"/>
      <c r="N972" s="375"/>
      <c r="W972" s="113"/>
      <c r="X972" s="241"/>
      <c r="Y972" s="284"/>
      <c r="Z972" s="207"/>
      <c r="AA972" s="284"/>
      <c r="AB972" s="284"/>
      <c r="AC972" s="137"/>
      <c r="AD972" s="284"/>
      <c r="AE972" s="299"/>
      <c r="AF972" s="299"/>
      <c r="AG972" s="284"/>
    </row>
    <row r="973" spans="2:33">
      <c r="B973" s="86"/>
      <c r="C973" s="84"/>
      <c r="D973" s="86"/>
      <c r="E973" s="84"/>
      <c r="F973" s="284"/>
      <c r="G973" s="49"/>
      <c r="H973" s="284"/>
      <c r="I973" s="74"/>
      <c r="J973" s="371"/>
      <c r="K973" s="77"/>
      <c r="L973" s="160"/>
      <c r="M973" s="388"/>
      <c r="N973" s="375"/>
      <c r="W973" s="113"/>
      <c r="X973" s="241"/>
      <c r="Y973" s="284"/>
      <c r="Z973" s="207"/>
      <c r="AA973" s="284"/>
      <c r="AB973" s="284"/>
      <c r="AC973" s="137"/>
      <c r="AD973" s="284"/>
      <c r="AE973" s="299"/>
      <c r="AF973" s="299"/>
      <c r="AG973" s="284"/>
    </row>
    <row r="974" spans="2:33">
      <c r="B974" s="86"/>
      <c r="C974" s="84"/>
      <c r="D974" s="86"/>
      <c r="E974" s="84"/>
      <c r="F974" s="284"/>
      <c r="G974" s="49"/>
      <c r="H974" s="284"/>
      <c r="I974" s="74"/>
      <c r="J974" s="371"/>
      <c r="K974" s="77"/>
      <c r="L974" s="160"/>
      <c r="M974" s="388"/>
      <c r="N974" s="375"/>
      <c r="W974" s="113"/>
      <c r="X974" s="241"/>
      <c r="Y974" s="284"/>
      <c r="Z974" s="207"/>
      <c r="AA974" s="284"/>
      <c r="AB974" s="284"/>
      <c r="AC974" s="137"/>
      <c r="AD974" s="284"/>
      <c r="AE974" s="299"/>
      <c r="AF974" s="299"/>
      <c r="AG974" s="284"/>
    </row>
    <row r="975" spans="2:33">
      <c r="B975" s="86"/>
      <c r="C975" s="84"/>
      <c r="D975" s="86"/>
      <c r="E975" s="84"/>
      <c r="F975" s="284"/>
      <c r="G975" s="49"/>
      <c r="H975" s="284"/>
      <c r="I975" s="74"/>
      <c r="J975" s="371"/>
      <c r="K975" s="77"/>
      <c r="L975" s="160"/>
      <c r="M975" s="388"/>
      <c r="N975" s="375"/>
      <c r="W975" s="113"/>
      <c r="X975" s="241"/>
      <c r="Y975" s="284"/>
      <c r="Z975" s="207"/>
      <c r="AA975" s="284"/>
      <c r="AB975" s="284"/>
      <c r="AC975" s="137"/>
      <c r="AD975" s="284"/>
      <c r="AE975" s="299"/>
      <c r="AF975" s="299"/>
      <c r="AG975" s="284"/>
    </row>
    <row r="976" spans="2:33">
      <c r="B976" s="86"/>
      <c r="C976" s="84"/>
      <c r="D976" s="86"/>
      <c r="E976" s="84"/>
      <c r="F976" s="284"/>
      <c r="G976" s="49"/>
      <c r="H976" s="284"/>
      <c r="I976" s="74"/>
      <c r="J976" s="371"/>
      <c r="K976" s="77"/>
      <c r="L976" s="160"/>
      <c r="M976" s="388"/>
      <c r="N976" s="375"/>
      <c r="W976" s="113"/>
      <c r="X976" s="241"/>
      <c r="Y976" s="284"/>
      <c r="Z976" s="207"/>
      <c r="AA976" s="284"/>
      <c r="AB976" s="284"/>
      <c r="AC976" s="137"/>
      <c r="AD976" s="284"/>
      <c r="AE976" s="299"/>
      <c r="AF976" s="299"/>
      <c r="AG976" s="284"/>
    </row>
    <row r="977" spans="2:33">
      <c r="B977" s="86"/>
      <c r="C977" s="84"/>
      <c r="D977" s="86"/>
      <c r="E977" s="84"/>
      <c r="F977" s="284"/>
      <c r="G977" s="49"/>
      <c r="H977" s="284"/>
      <c r="I977" s="74"/>
      <c r="J977" s="371"/>
      <c r="K977" s="77"/>
      <c r="L977" s="160"/>
      <c r="M977" s="388"/>
      <c r="N977" s="375"/>
      <c r="W977" s="113"/>
      <c r="X977" s="241"/>
      <c r="Y977" s="284"/>
      <c r="Z977" s="207"/>
      <c r="AA977" s="284"/>
      <c r="AB977" s="284"/>
      <c r="AC977" s="137"/>
      <c r="AD977" s="284"/>
      <c r="AE977" s="299"/>
      <c r="AF977" s="299"/>
      <c r="AG977" s="284"/>
    </row>
    <row r="978" spans="2:33">
      <c r="B978" s="86"/>
      <c r="C978" s="84"/>
      <c r="D978" s="86"/>
      <c r="E978" s="84"/>
      <c r="F978" s="284"/>
      <c r="G978" s="49"/>
      <c r="H978" s="284"/>
      <c r="I978" s="74"/>
      <c r="J978" s="371"/>
      <c r="K978" s="77"/>
      <c r="L978" s="160"/>
      <c r="M978" s="388"/>
      <c r="N978" s="375"/>
      <c r="W978" s="113"/>
      <c r="X978" s="241"/>
      <c r="Y978" s="284"/>
      <c r="Z978" s="207"/>
      <c r="AA978" s="284"/>
      <c r="AB978" s="284"/>
      <c r="AC978" s="137"/>
      <c r="AD978" s="284"/>
      <c r="AE978" s="299"/>
      <c r="AF978" s="299"/>
      <c r="AG978" s="284"/>
    </row>
    <row r="979" spans="2:33">
      <c r="B979" s="86"/>
      <c r="C979" s="84"/>
      <c r="D979" s="86"/>
      <c r="E979" s="84"/>
      <c r="F979" s="284"/>
      <c r="G979" s="49"/>
      <c r="H979" s="284"/>
      <c r="I979" s="74"/>
      <c r="J979" s="371"/>
      <c r="K979" s="77"/>
      <c r="L979" s="160"/>
      <c r="M979" s="388"/>
      <c r="N979" s="375"/>
      <c r="W979" s="113"/>
      <c r="X979" s="241"/>
      <c r="Y979" s="284"/>
      <c r="Z979" s="207"/>
      <c r="AA979" s="284"/>
      <c r="AB979" s="284"/>
      <c r="AC979" s="137"/>
      <c r="AD979" s="284"/>
      <c r="AE979" s="299"/>
      <c r="AF979" s="299"/>
      <c r="AG979" s="284"/>
    </row>
    <row r="980" spans="2:33">
      <c r="B980" s="86"/>
      <c r="C980" s="84"/>
      <c r="D980" s="86"/>
      <c r="E980" s="84"/>
      <c r="F980" s="284"/>
      <c r="G980" s="49"/>
      <c r="H980" s="284"/>
      <c r="I980" s="74"/>
      <c r="J980" s="371"/>
      <c r="K980" s="77"/>
      <c r="L980" s="160"/>
      <c r="M980" s="388"/>
      <c r="N980" s="375"/>
      <c r="W980" s="113"/>
      <c r="X980" s="241"/>
      <c r="Y980" s="284"/>
      <c r="Z980" s="207"/>
      <c r="AA980" s="284"/>
      <c r="AB980" s="284"/>
      <c r="AC980" s="137"/>
      <c r="AD980" s="284"/>
      <c r="AE980" s="299"/>
      <c r="AF980" s="299"/>
      <c r="AG980" s="284"/>
    </row>
    <row r="981" spans="2:33">
      <c r="B981" s="86"/>
      <c r="C981" s="84"/>
      <c r="D981" s="86"/>
      <c r="E981" s="84"/>
      <c r="F981" s="284"/>
      <c r="G981" s="49"/>
      <c r="H981" s="284"/>
      <c r="I981" s="74"/>
      <c r="J981" s="371"/>
      <c r="K981" s="77"/>
      <c r="L981" s="160"/>
      <c r="M981" s="388"/>
      <c r="N981" s="375"/>
      <c r="W981" s="113"/>
      <c r="X981" s="241"/>
      <c r="Y981" s="284"/>
      <c r="Z981" s="207"/>
      <c r="AA981" s="284"/>
      <c r="AB981" s="284"/>
      <c r="AC981" s="137"/>
      <c r="AD981" s="284"/>
      <c r="AE981" s="299"/>
      <c r="AF981" s="299"/>
      <c r="AG981" s="284"/>
    </row>
    <row r="982" spans="2:33">
      <c r="B982" s="86"/>
      <c r="C982" s="84"/>
      <c r="D982" s="86"/>
      <c r="E982" s="84"/>
      <c r="F982" s="284"/>
      <c r="G982" s="49"/>
      <c r="H982" s="284"/>
      <c r="I982" s="74"/>
      <c r="J982" s="371"/>
      <c r="K982" s="77"/>
      <c r="L982" s="160"/>
      <c r="M982" s="388"/>
      <c r="N982" s="375"/>
      <c r="W982" s="113"/>
      <c r="X982" s="241"/>
      <c r="Y982" s="284"/>
      <c r="Z982" s="207"/>
      <c r="AA982" s="284"/>
      <c r="AB982" s="284"/>
      <c r="AC982" s="137"/>
      <c r="AD982" s="284"/>
      <c r="AE982" s="299"/>
      <c r="AF982" s="299"/>
      <c r="AG982" s="284"/>
    </row>
    <row r="983" spans="2:33">
      <c r="B983" s="86"/>
      <c r="C983" s="84"/>
      <c r="D983" s="86"/>
      <c r="E983" s="84"/>
      <c r="F983" s="284"/>
      <c r="G983" s="49"/>
      <c r="H983" s="284"/>
      <c r="I983" s="74"/>
      <c r="J983" s="371"/>
      <c r="K983" s="77"/>
      <c r="L983" s="160"/>
      <c r="M983" s="388"/>
      <c r="N983" s="375"/>
      <c r="W983" s="113"/>
      <c r="X983" s="241"/>
      <c r="Y983" s="284"/>
      <c r="Z983" s="207"/>
      <c r="AA983" s="284"/>
      <c r="AB983" s="284"/>
      <c r="AC983" s="137"/>
      <c r="AD983" s="284"/>
      <c r="AE983" s="299"/>
      <c r="AF983" s="299"/>
      <c r="AG983" s="284"/>
    </row>
    <row r="984" spans="2:33">
      <c r="B984" s="86"/>
      <c r="C984" s="84"/>
      <c r="D984" s="86"/>
      <c r="E984" s="84"/>
      <c r="F984" s="284"/>
      <c r="G984" s="49"/>
      <c r="H984" s="284"/>
      <c r="I984" s="74"/>
      <c r="J984" s="371"/>
      <c r="K984" s="77"/>
      <c r="L984" s="160"/>
      <c r="M984" s="388"/>
      <c r="N984" s="375"/>
      <c r="W984" s="113"/>
      <c r="X984" s="241"/>
      <c r="Y984" s="284"/>
      <c r="Z984" s="207"/>
      <c r="AA984" s="284"/>
      <c r="AB984" s="284"/>
      <c r="AC984" s="137"/>
      <c r="AD984" s="284"/>
      <c r="AE984" s="299"/>
      <c r="AF984" s="299"/>
      <c r="AG984" s="284"/>
    </row>
    <row r="985" spans="2:33">
      <c r="B985" s="86"/>
      <c r="C985" s="84"/>
      <c r="D985" s="86"/>
      <c r="E985" s="84"/>
      <c r="F985" s="284"/>
      <c r="G985" s="49"/>
      <c r="H985" s="284"/>
      <c r="I985" s="74"/>
      <c r="J985" s="371"/>
      <c r="K985" s="77"/>
      <c r="L985" s="160"/>
      <c r="M985" s="388"/>
      <c r="N985" s="375"/>
      <c r="W985" s="113"/>
      <c r="X985" s="241"/>
      <c r="Y985" s="284"/>
      <c r="Z985" s="207"/>
      <c r="AA985" s="284"/>
      <c r="AB985" s="284"/>
      <c r="AC985" s="137"/>
      <c r="AD985" s="284"/>
      <c r="AE985" s="299"/>
      <c r="AF985" s="299"/>
      <c r="AG985" s="284"/>
    </row>
    <row r="986" spans="2:33">
      <c r="B986" s="86"/>
      <c r="C986" s="84"/>
      <c r="D986" s="86"/>
      <c r="E986" s="84"/>
      <c r="F986" s="284"/>
      <c r="G986" s="49"/>
      <c r="H986" s="284"/>
      <c r="I986" s="74"/>
      <c r="J986" s="371"/>
      <c r="K986" s="77"/>
      <c r="L986" s="160"/>
      <c r="M986" s="388"/>
      <c r="N986" s="375"/>
      <c r="W986" s="113"/>
      <c r="X986" s="241"/>
      <c r="Y986" s="284"/>
      <c r="Z986" s="207"/>
      <c r="AA986" s="284"/>
      <c r="AB986" s="284"/>
      <c r="AC986" s="137"/>
      <c r="AD986" s="284"/>
      <c r="AE986" s="299"/>
      <c r="AF986" s="299"/>
      <c r="AG986" s="284"/>
    </row>
    <row r="987" spans="2:33">
      <c r="B987" s="86"/>
      <c r="C987" s="84"/>
      <c r="D987" s="86"/>
      <c r="E987" s="84"/>
      <c r="F987" s="284"/>
      <c r="G987" s="49"/>
      <c r="H987" s="284"/>
      <c r="I987" s="74"/>
      <c r="J987" s="371"/>
      <c r="K987" s="77"/>
      <c r="L987" s="160"/>
      <c r="M987" s="388"/>
      <c r="N987" s="375"/>
      <c r="W987" s="113"/>
      <c r="X987" s="241"/>
      <c r="Y987" s="284"/>
      <c r="Z987" s="207"/>
      <c r="AA987" s="284"/>
      <c r="AB987" s="284"/>
      <c r="AC987" s="137"/>
      <c r="AD987" s="284"/>
      <c r="AE987" s="299"/>
      <c r="AF987" s="299"/>
      <c r="AG987" s="284"/>
    </row>
    <row r="988" spans="2:33">
      <c r="B988" s="86"/>
      <c r="C988" s="84"/>
      <c r="D988" s="86"/>
      <c r="E988" s="84"/>
      <c r="F988" s="284"/>
      <c r="G988" s="49"/>
      <c r="H988" s="284"/>
      <c r="I988" s="74"/>
      <c r="J988" s="371"/>
      <c r="K988" s="77"/>
      <c r="L988" s="160"/>
      <c r="M988" s="388"/>
      <c r="N988" s="375"/>
      <c r="W988" s="113"/>
      <c r="X988" s="241"/>
      <c r="Y988" s="284"/>
      <c r="Z988" s="207"/>
      <c r="AA988" s="284"/>
      <c r="AB988" s="284"/>
      <c r="AC988" s="137"/>
      <c r="AD988" s="284"/>
      <c r="AE988" s="299"/>
      <c r="AF988" s="299"/>
      <c r="AG988" s="284"/>
    </row>
    <row r="989" spans="2:33">
      <c r="B989" s="86"/>
      <c r="C989" s="84"/>
      <c r="D989" s="86"/>
      <c r="E989" s="84"/>
      <c r="F989" s="284"/>
      <c r="G989" s="49"/>
      <c r="H989" s="284"/>
      <c r="I989" s="74"/>
      <c r="J989" s="371"/>
      <c r="K989" s="77"/>
      <c r="L989" s="160"/>
      <c r="M989" s="388"/>
      <c r="N989" s="375"/>
      <c r="W989" s="113"/>
      <c r="X989" s="241"/>
      <c r="Y989" s="284"/>
      <c r="Z989" s="207"/>
      <c r="AA989" s="284"/>
      <c r="AB989" s="284"/>
      <c r="AC989" s="137"/>
      <c r="AD989" s="284"/>
      <c r="AE989" s="299"/>
      <c r="AF989" s="299"/>
      <c r="AG989" s="284"/>
    </row>
    <row r="990" spans="2:33">
      <c r="B990" s="86"/>
      <c r="C990" s="84"/>
      <c r="D990" s="86"/>
      <c r="E990" s="84"/>
      <c r="F990" s="284"/>
      <c r="G990" s="49"/>
      <c r="H990" s="284"/>
      <c r="I990" s="74"/>
      <c r="J990" s="371"/>
      <c r="K990" s="77"/>
      <c r="L990" s="160"/>
      <c r="M990" s="388"/>
      <c r="N990" s="375"/>
      <c r="W990" s="113"/>
      <c r="X990" s="241"/>
      <c r="Y990" s="284"/>
      <c r="Z990" s="207"/>
      <c r="AA990" s="284"/>
      <c r="AB990" s="284"/>
      <c r="AC990" s="137"/>
      <c r="AD990" s="284"/>
      <c r="AE990" s="299"/>
      <c r="AF990" s="299"/>
      <c r="AG990" s="284"/>
    </row>
    <row r="991" spans="2:33">
      <c r="B991" s="86"/>
      <c r="C991" s="84"/>
      <c r="D991" s="86"/>
      <c r="E991" s="84"/>
      <c r="F991" s="284"/>
      <c r="G991" s="49"/>
      <c r="H991" s="284"/>
      <c r="I991" s="74"/>
      <c r="J991" s="371"/>
      <c r="K991" s="77"/>
      <c r="L991" s="160"/>
      <c r="M991" s="388"/>
      <c r="N991" s="375"/>
      <c r="W991" s="113"/>
      <c r="X991" s="241"/>
      <c r="Y991" s="284"/>
      <c r="Z991" s="207"/>
      <c r="AA991" s="284"/>
      <c r="AB991" s="284"/>
      <c r="AC991" s="137"/>
      <c r="AD991" s="284"/>
      <c r="AE991" s="299"/>
      <c r="AF991" s="299"/>
      <c r="AG991" s="284"/>
    </row>
    <row r="992" spans="2:33">
      <c r="B992" s="86"/>
      <c r="C992" s="84"/>
      <c r="D992" s="86"/>
      <c r="E992" s="84"/>
      <c r="F992" s="284"/>
      <c r="G992" s="49"/>
      <c r="H992" s="284"/>
      <c r="I992" s="74"/>
      <c r="J992" s="371"/>
      <c r="K992" s="77"/>
      <c r="L992" s="160"/>
      <c r="M992" s="388"/>
      <c r="N992" s="375"/>
      <c r="W992" s="113"/>
      <c r="X992" s="241"/>
      <c r="Y992" s="284"/>
      <c r="Z992" s="207"/>
      <c r="AA992" s="284"/>
      <c r="AB992" s="284"/>
      <c r="AC992" s="137"/>
      <c r="AD992" s="284"/>
      <c r="AE992" s="299"/>
      <c r="AF992" s="299"/>
      <c r="AG992" s="284"/>
    </row>
    <row r="993" spans="2:33">
      <c r="B993" s="86"/>
      <c r="C993" s="84"/>
      <c r="D993" s="86"/>
      <c r="E993" s="84"/>
      <c r="F993" s="284"/>
      <c r="G993" s="49"/>
      <c r="H993" s="284"/>
      <c r="I993" s="74"/>
      <c r="J993" s="371"/>
      <c r="K993" s="77"/>
      <c r="L993" s="160"/>
      <c r="M993" s="388"/>
      <c r="N993" s="375"/>
      <c r="W993" s="113"/>
      <c r="X993" s="241"/>
      <c r="Y993" s="284"/>
      <c r="Z993" s="207"/>
      <c r="AA993" s="284"/>
      <c r="AB993" s="284"/>
      <c r="AC993" s="137"/>
      <c r="AD993" s="284"/>
      <c r="AE993" s="299"/>
      <c r="AF993" s="299"/>
      <c r="AG993" s="284"/>
    </row>
    <row r="994" spans="2:33">
      <c r="B994" s="86"/>
      <c r="C994" s="84"/>
      <c r="D994" s="86"/>
      <c r="E994" s="84"/>
      <c r="F994" s="284"/>
      <c r="G994" s="49"/>
      <c r="H994" s="284"/>
      <c r="I994" s="74"/>
      <c r="J994" s="371"/>
      <c r="K994" s="77"/>
      <c r="L994" s="160"/>
      <c r="M994" s="388"/>
      <c r="N994" s="375"/>
      <c r="W994" s="113"/>
      <c r="X994" s="241"/>
      <c r="Y994" s="284"/>
      <c r="Z994" s="207"/>
      <c r="AA994" s="284"/>
      <c r="AB994" s="284"/>
      <c r="AC994" s="137"/>
      <c r="AD994" s="284"/>
      <c r="AE994" s="299"/>
      <c r="AF994" s="299"/>
      <c r="AG994" s="284"/>
    </row>
    <row r="995" spans="2:33">
      <c r="B995" s="86"/>
      <c r="C995" s="84"/>
      <c r="D995" s="86"/>
      <c r="E995" s="84"/>
      <c r="F995" s="284"/>
      <c r="G995" s="49"/>
      <c r="H995" s="284"/>
      <c r="I995" s="74"/>
      <c r="J995" s="371"/>
      <c r="K995" s="77"/>
      <c r="L995" s="160"/>
      <c r="M995" s="388"/>
      <c r="N995" s="375"/>
      <c r="W995" s="113"/>
      <c r="X995" s="241"/>
      <c r="Y995" s="284"/>
      <c r="Z995" s="207"/>
      <c r="AA995" s="284"/>
      <c r="AB995" s="284"/>
      <c r="AC995" s="137"/>
      <c r="AD995" s="284"/>
      <c r="AE995" s="299"/>
      <c r="AF995" s="299"/>
      <c r="AG995" s="284"/>
    </row>
    <row r="996" spans="2:33">
      <c r="B996" s="86"/>
      <c r="C996" s="84"/>
      <c r="D996" s="86"/>
      <c r="E996" s="84"/>
      <c r="F996" s="284"/>
      <c r="G996" s="49"/>
      <c r="H996" s="284"/>
      <c r="I996" s="74"/>
      <c r="J996" s="371"/>
      <c r="K996" s="77"/>
      <c r="L996" s="160"/>
      <c r="M996" s="388"/>
      <c r="N996" s="375"/>
      <c r="W996" s="113"/>
      <c r="X996" s="241"/>
      <c r="Y996" s="284"/>
      <c r="Z996" s="207"/>
      <c r="AA996" s="284"/>
      <c r="AB996" s="284"/>
      <c r="AC996" s="137"/>
      <c r="AD996" s="284"/>
      <c r="AE996" s="299"/>
      <c r="AF996" s="299"/>
      <c r="AG996" s="284"/>
    </row>
    <row r="997" spans="2:33">
      <c r="B997" s="86"/>
      <c r="C997" s="84"/>
      <c r="D997" s="86"/>
      <c r="E997" s="84"/>
      <c r="F997" s="284"/>
      <c r="G997" s="49"/>
      <c r="H997" s="284"/>
      <c r="I997" s="74"/>
      <c r="J997" s="371"/>
      <c r="K997" s="77"/>
      <c r="L997" s="160"/>
      <c r="M997" s="388"/>
      <c r="N997" s="375"/>
      <c r="W997" s="113"/>
      <c r="X997" s="241"/>
      <c r="Y997" s="284"/>
      <c r="Z997" s="207"/>
      <c r="AA997" s="284"/>
      <c r="AB997" s="284"/>
      <c r="AC997" s="137"/>
      <c r="AD997" s="284"/>
      <c r="AE997" s="299"/>
      <c r="AF997" s="299"/>
      <c r="AG997" s="284"/>
    </row>
    <row r="998" spans="2:33">
      <c r="B998" s="86"/>
      <c r="C998" s="84"/>
      <c r="D998" s="86"/>
      <c r="E998" s="84"/>
      <c r="F998" s="284"/>
      <c r="G998" s="49"/>
      <c r="H998" s="284"/>
      <c r="I998" s="74"/>
      <c r="J998" s="371"/>
      <c r="K998" s="77"/>
      <c r="L998" s="160"/>
      <c r="M998" s="388"/>
      <c r="N998" s="375"/>
      <c r="W998" s="113"/>
      <c r="X998" s="241"/>
      <c r="Y998" s="284"/>
      <c r="Z998" s="207"/>
      <c r="AA998" s="284"/>
      <c r="AB998" s="284"/>
      <c r="AC998" s="137"/>
      <c r="AD998" s="284"/>
      <c r="AE998" s="299"/>
      <c r="AF998" s="299"/>
      <c r="AG998" s="284"/>
    </row>
    <row r="999" spans="2:33">
      <c r="B999" s="86"/>
      <c r="C999" s="84"/>
      <c r="D999" s="86"/>
      <c r="E999" s="84"/>
      <c r="F999" s="284"/>
      <c r="G999" s="49"/>
      <c r="H999" s="284"/>
      <c r="I999" s="74"/>
      <c r="J999" s="371"/>
      <c r="K999" s="77"/>
      <c r="L999" s="160"/>
      <c r="M999" s="388"/>
      <c r="N999" s="375"/>
      <c r="W999" s="113"/>
      <c r="X999" s="241"/>
      <c r="Y999" s="284"/>
      <c r="Z999" s="207"/>
      <c r="AA999" s="284"/>
      <c r="AB999" s="284"/>
      <c r="AC999" s="137"/>
      <c r="AD999" s="284"/>
      <c r="AE999" s="299"/>
      <c r="AF999" s="299"/>
      <c r="AG999" s="284"/>
    </row>
    <row r="1000" spans="2:33">
      <c r="B1000" s="86"/>
      <c r="C1000" s="84"/>
      <c r="D1000" s="86"/>
      <c r="E1000" s="84"/>
      <c r="F1000" s="284"/>
      <c r="G1000" s="49"/>
      <c r="H1000" s="284"/>
      <c r="I1000" s="74"/>
      <c r="J1000" s="371"/>
      <c r="K1000" s="77"/>
      <c r="L1000" s="160"/>
      <c r="M1000" s="388"/>
      <c r="N1000" s="375"/>
      <c r="W1000" s="113"/>
      <c r="X1000" s="241"/>
      <c r="Y1000" s="284"/>
      <c r="Z1000" s="207"/>
      <c r="AA1000" s="284"/>
      <c r="AB1000" s="284"/>
      <c r="AC1000" s="137"/>
      <c r="AD1000" s="284"/>
      <c r="AE1000" s="299"/>
      <c r="AF1000" s="299"/>
      <c r="AG1000" s="284"/>
    </row>
    <row r="1001" spans="2:33">
      <c r="B1001" s="86"/>
      <c r="C1001" s="84"/>
      <c r="D1001" s="86"/>
      <c r="E1001" s="84"/>
      <c r="F1001" s="284"/>
      <c r="G1001" s="49"/>
      <c r="H1001" s="284"/>
      <c r="I1001" s="74"/>
      <c r="J1001" s="371"/>
      <c r="K1001" s="77"/>
      <c r="L1001" s="160"/>
      <c r="M1001" s="388"/>
      <c r="N1001" s="375"/>
      <c r="W1001" s="113"/>
      <c r="X1001" s="241"/>
      <c r="Y1001" s="284"/>
      <c r="Z1001" s="207"/>
      <c r="AA1001" s="284"/>
      <c r="AB1001" s="284"/>
      <c r="AC1001" s="137"/>
      <c r="AD1001" s="284"/>
      <c r="AE1001" s="299"/>
      <c r="AF1001" s="299"/>
      <c r="AG1001" s="284"/>
    </row>
    <row r="1002" spans="2:33">
      <c r="B1002" s="86"/>
      <c r="C1002" s="84"/>
      <c r="D1002" s="86"/>
      <c r="E1002" s="84"/>
      <c r="F1002" s="284"/>
      <c r="G1002" s="49"/>
      <c r="H1002" s="284"/>
      <c r="I1002" s="74"/>
      <c r="J1002" s="371"/>
      <c r="K1002" s="77"/>
      <c r="L1002" s="160"/>
      <c r="M1002" s="388"/>
      <c r="N1002" s="375"/>
      <c r="W1002" s="113"/>
      <c r="X1002" s="241"/>
      <c r="Y1002" s="284"/>
      <c r="Z1002" s="207"/>
      <c r="AA1002" s="284"/>
      <c r="AB1002" s="284"/>
      <c r="AC1002" s="137"/>
      <c r="AD1002" s="284"/>
      <c r="AE1002" s="299"/>
      <c r="AF1002" s="299"/>
      <c r="AG1002" s="284"/>
    </row>
    <row r="1003" spans="2:33">
      <c r="B1003" s="86"/>
      <c r="C1003" s="84"/>
      <c r="D1003" s="86"/>
      <c r="E1003" s="84"/>
      <c r="F1003" s="284"/>
      <c r="G1003" s="49"/>
      <c r="H1003" s="284"/>
      <c r="I1003" s="74"/>
      <c r="J1003" s="371"/>
      <c r="K1003" s="77"/>
      <c r="L1003" s="160"/>
      <c r="M1003" s="388"/>
      <c r="N1003" s="375"/>
      <c r="W1003" s="113"/>
      <c r="X1003" s="241"/>
      <c r="Y1003" s="284"/>
      <c r="Z1003" s="207"/>
      <c r="AA1003" s="284"/>
      <c r="AB1003" s="284"/>
      <c r="AC1003" s="137"/>
      <c r="AD1003" s="284"/>
      <c r="AE1003" s="299"/>
      <c r="AF1003" s="299"/>
      <c r="AG1003" s="284"/>
    </row>
    <row r="1004" spans="2:33">
      <c r="B1004" s="86"/>
      <c r="C1004" s="84"/>
      <c r="D1004" s="86"/>
      <c r="E1004" s="84"/>
      <c r="F1004" s="284"/>
      <c r="G1004" s="49"/>
      <c r="H1004" s="284"/>
      <c r="I1004" s="74"/>
      <c r="J1004" s="371"/>
      <c r="K1004" s="77"/>
      <c r="L1004" s="160"/>
      <c r="M1004" s="388"/>
      <c r="N1004" s="375"/>
      <c r="W1004" s="113"/>
      <c r="X1004" s="241"/>
      <c r="Y1004" s="284"/>
      <c r="Z1004" s="207"/>
      <c r="AA1004" s="284"/>
      <c r="AB1004" s="284"/>
      <c r="AC1004" s="137"/>
      <c r="AD1004" s="284"/>
      <c r="AE1004" s="299"/>
      <c r="AF1004" s="299"/>
      <c r="AG1004" s="284"/>
    </row>
    <row r="1005" spans="2:33">
      <c r="B1005" s="86"/>
      <c r="C1005" s="84"/>
      <c r="D1005" s="86"/>
      <c r="E1005" s="84"/>
      <c r="F1005" s="284"/>
      <c r="G1005" s="49"/>
      <c r="H1005" s="284"/>
      <c r="I1005" s="74"/>
      <c r="J1005" s="371"/>
      <c r="K1005" s="77"/>
      <c r="L1005" s="160"/>
      <c r="M1005" s="388"/>
      <c r="N1005" s="375"/>
      <c r="W1005" s="113"/>
      <c r="X1005" s="241"/>
      <c r="Y1005" s="284"/>
      <c r="Z1005" s="207"/>
      <c r="AA1005" s="284"/>
      <c r="AB1005" s="284"/>
      <c r="AC1005" s="137"/>
      <c r="AD1005" s="284"/>
      <c r="AE1005" s="299"/>
      <c r="AF1005" s="299"/>
      <c r="AG1005" s="284"/>
    </row>
    <row r="1006" spans="2:33">
      <c r="B1006" s="86"/>
      <c r="C1006" s="84"/>
      <c r="D1006" s="86"/>
      <c r="E1006" s="84"/>
      <c r="F1006" s="284"/>
      <c r="G1006" s="49"/>
      <c r="H1006" s="284"/>
      <c r="I1006" s="74"/>
      <c r="J1006" s="371"/>
      <c r="K1006" s="77"/>
      <c r="L1006" s="160"/>
      <c r="M1006" s="388"/>
      <c r="N1006" s="375"/>
      <c r="W1006" s="113"/>
      <c r="X1006" s="241"/>
      <c r="Y1006" s="284"/>
      <c r="Z1006" s="207"/>
      <c r="AA1006" s="284"/>
      <c r="AB1006" s="284"/>
      <c r="AC1006" s="137"/>
      <c r="AD1006" s="284"/>
      <c r="AE1006" s="299"/>
      <c r="AF1006" s="299"/>
      <c r="AG1006" s="284"/>
    </row>
    <row r="1007" spans="2:33">
      <c r="B1007" s="86"/>
      <c r="C1007" s="84"/>
      <c r="D1007" s="86"/>
      <c r="E1007" s="84"/>
      <c r="F1007" s="284"/>
      <c r="G1007" s="49"/>
      <c r="H1007" s="284"/>
      <c r="I1007" s="74"/>
      <c r="J1007" s="371"/>
      <c r="K1007" s="77"/>
      <c r="L1007" s="160"/>
      <c r="M1007" s="388"/>
      <c r="N1007" s="375"/>
      <c r="W1007" s="113"/>
      <c r="X1007" s="241"/>
      <c r="Y1007" s="284"/>
      <c r="Z1007" s="207"/>
      <c r="AA1007" s="284"/>
      <c r="AB1007" s="284"/>
      <c r="AC1007" s="137"/>
      <c r="AD1007" s="284"/>
      <c r="AE1007" s="299"/>
      <c r="AF1007" s="299"/>
      <c r="AG1007" s="284"/>
    </row>
    <row r="1008" spans="2:33">
      <c r="B1008" s="86"/>
      <c r="C1008" s="84"/>
      <c r="D1008" s="86"/>
      <c r="E1008" s="84"/>
      <c r="F1008" s="284"/>
      <c r="G1008" s="49"/>
      <c r="H1008" s="284"/>
      <c r="I1008" s="74"/>
      <c r="J1008" s="371"/>
      <c r="K1008" s="77"/>
      <c r="L1008" s="160"/>
      <c r="M1008" s="388"/>
      <c r="N1008" s="375"/>
      <c r="W1008" s="113"/>
      <c r="X1008" s="241"/>
      <c r="Y1008" s="284"/>
      <c r="Z1008" s="207"/>
      <c r="AA1008" s="284"/>
      <c r="AB1008" s="284"/>
      <c r="AC1008" s="137"/>
      <c r="AD1008" s="284"/>
      <c r="AE1008" s="299"/>
      <c r="AF1008" s="299"/>
      <c r="AG1008" s="284"/>
    </row>
    <row r="1009" spans="2:33">
      <c r="B1009" s="86"/>
      <c r="C1009" s="84"/>
      <c r="D1009" s="86"/>
      <c r="E1009" s="84"/>
      <c r="F1009" s="284"/>
      <c r="G1009" s="49"/>
      <c r="H1009" s="284"/>
      <c r="I1009" s="74"/>
      <c r="J1009" s="371"/>
      <c r="K1009" s="77"/>
      <c r="L1009" s="160"/>
      <c r="M1009" s="388"/>
      <c r="N1009" s="375"/>
      <c r="W1009" s="113"/>
      <c r="X1009" s="241"/>
      <c r="Y1009" s="284"/>
      <c r="Z1009" s="207"/>
      <c r="AA1009" s="284"/>
      <c r="AB1009" s="284"/>
      <c r="AC1009" s="137"/>
      <c r="AD1009" s="284"/>
      <c r="AE1009" s="299"/>
      <c r="AF1009" s="299"/>
      <c r="AG1009" s="284"/>
    </row>
    <row r="1010" spans="2:33">
      <c r="B1010" s="86"/>
      <c r="C1010" s="84"/>
      <c r="D1010" s="86"/>
      <c r="E1010" s="84"/>
      <c r="F1010" s="284"/>
      <c r="G1010" s="49"/>
      <c r="H1010" s="284"/>
      <c r="I1010" s="74"/>
      <c r="J1010" s="371"/>
      <c r="K1010" s="77"/>
      <c r="L1010" s="160"/>
      <c r="M1010" s="388"/>
      <c r="N1010" s="375"/>
      <c r="W1010" s="113"/>
      <c r="X1010" s="241"/>
      <c r="Y1010" s="284"/>
      <c r="Z1010" s="207"/>
      <c r="AA1010" s="284"/>
      <c r="AB1010" s="284"/>
      <c r="AC1010" s="137"/>
      <c r="AD1010" s="284"/>
      <c r="AE1010" s="299"/>
      <c r="AF1010" s="299"/>
      <c r="AG1010" s="284"/>
    </row>
    <row r="1011" spans="2:33">
      <c r="B1011" s="86"/>
      <c r="C1011" s="84"/>
      <c r="D1011" s="86"/>
      <c r="E1011" s="84"/>
      <c r="F1011" s="284"/>
      <c r="G1011" s="49"/>
      <c r="H1011" s="284"/>
      <c r="I1011" s="74"/>
      <c r="J1011" s="371"/>
      <c r="K1011" s="77"/>
      <c r="L1011" s="160"/>
      <c r="M1011" s="388"/>
      <c r="N1011" s="375"/>
      <c r="W1011" s="113"/>
      <c r="X1011" s="241"/>
      <c r="Y1011" s="284"/>
      <c r="Z1011" s="207"/>
      <c r="AA1011" s="284"/>
      <c r="AB1011" s="284"/>
      <c r="AC1011" s="137"/>
      <c r="AD1011" s="284"/>
      <c r="AE1011" s="299"/>
      <c r="AF1011" s="299"/>
      <c r="AG1011" s="284"/>
    </row>
    <row r="1012" spans="2:33">
      <c r="B1012" s="86"/>
      <c r="C1012" s="84"/>
      <c r="D1012" s="86"/>
      <c r="E1012" s="84"/>
      <c r="F1012" s="284"/>
      <c r="G1012" s="49"/>
      <c r="H1012" s="284"/>
      <c r="I1012" s="74"/>
      <c r="J1012" s="371"/>
      <c r="K1012" s="77"/>
      <c r="L1012" s="160"/>
      <c r="M1012" s="388"/>
      <c r="N1012" s="375"/>
      <c r="W1012" s="113"/>
      <c r="X1012" s="241"/>
      <c r="Y1012" s="284"/>
      <c r="Z1012" s="207"/>
      <c r="AA1012" s="284"/>
      <c r="AB1012" s="284"/>
      <c r="AC1012" s="137"/>
      <c r="AD1012" s="284"/>
      <c r="AE1012" s="299"/>
      <c r="AF1012" s="299"/>
      <c r="AG1012" s="284"/>
    </row>
    <row r="1013" spans="2:33">
      <c r="B1013" s="86"/>
      <c r="C1013" s="84"/>
      <c r="D1013" s="86"/>
      <c r="E1013" s="84"/>
      <c r="F1013" s="284"/>
      <c r="G1013" s="49"/>
      <c r="H1013" s="284"/>
      <c r="I1013" s="74"/>
      <c r="J1013" s="371"/>
      <c r="K1013" s="77"/>
      <c r="L1013" s="160"/>
      <c r="M1013" s="388"/>
      <c r="N1013" s="375"/>
      <c r="W1013" s="113"/>
      <c r="X1013" s="241"/>
      <c r="Y1013" s="284"/>
      <c r="Z1013" s="207"/>
      <c r="AA1013" s="284"/>
      <c r="AB1013" s="284"/>
      <c r="AC1013" s="137"/>
      <c r="AD1013" s="284"/>
      <c r="AE1013" s="299"/>
      <c r="AF1013" s="299"/>
      <c r="AG1013" s="284"/>
    </row>
    <row r="1014" spans="2:33">
      <c r="B1014" s="86"/>
      <c r="C1014" s="84"/>
      <c r="D1014" s="86"/>
      <c r="E1014" s="84"/>
      <c r="F1014" s="284"/>
      <c r="G1014" s="49"/>
      <c r="H1014" s="284"/>
      <c r="I1014" s="74"/>
      <c r="J1014" s="371"/>
      <c r="K1014" s="77"/>
      <c r="L1014" s="160"/>
      <c r="M1014" s="388"/>
      <c r="N1014" s="375"/>
      <c r="W1014" s="113"/>
      <c r="X1014" s="241"/>
      <c r="Y1014" s="284"/>
      <c r="Z1014" s="207"/>
      <c r="AA1014" s="284"/>
      <c r="AB1014" s="284"/>
      <c r="AC1014" s="137"/>
      <c r="AD1014" s="284"/>
      <c r="AE1014" s="299"/>
      <c r="AF1014" s="299"/>
      <c r="AG1014" s="284"/>
    </row>
    <row r="1015" spans="2:33">
      <c r="B1015" s="86"/>
      <c r="C1015" s="84"/>
      <c r="D1015" s="86"/>
      <c r="E1015" s="84"/>
      <c r="F1015" s="284"/>
      <c r="G1015" s="49"/>
      <c r="H1015" s="284"/>
      <c r="I1015" s="74"/>
      <c r="J1015" s="371"/>
      <c r="K1015" s="77"/>
      <c r="L1015" s="160"/>
      <c r="M1015" s="388"/>
      <c r="N1015" s="375"/>
      <c r="W1015" s="113"/>
      <c r="X1015" s="241"/>
      <c r="Y1015" s="284"/>
      <c r="Z1015" s="207"/>
      <c r="AA1015" s="284"/>
      <c r="AB1015" s="284"/>
      <c r="AC1015" s="137"/>
      <c r="AD1015" s="284"/>
      <c r="AE1015" s="299"/>
      <c r="AF1015" s="299"/>
      <c r="AG1015" s="284"/>
    </row>
    <row r="1016" spans="2:33">
      <c r="B1016" s="86"/>
      <c r="C1016" s="84"/>
      <c r="D1016" s="86"/>
      <c r="E1016" s="84"/>
      <c r="F1016" s="284"/>
      <c r="G1016" s="49"/>
      <c r="H1016" s="284"/>
      <c r="I1016" s="74"/>
      <c r="J1016" s="371"/>
      <c r="K1016" s="77"/>
      <c r="L1016" s="160"/>
      <c r="M1016" s="388"/>
      <c r="N1016" s="375"/>
      <c r="W1016" s="113"/>
      <c r="X1016" s="241"/>
      <c r="Y1016" s="284"/>
      <c r="Z1016" s="207"/>
      <c r="AA1016" s="284"/>
      <c r="AB1016" s="284"/>
      <c r="AC1016" s="137"/>
      <c r="AD1016" s="284"/>
      <c r="AE1016" s="299"/>
      <c r="AF1016" s="299"/>
      <c r="AG1016" s="284"/>
    </row>
    <row r="1017" spans="2:33">
      <c r="B1017" s="86"/>
      <c r="C1017" s="84"/>
      <c r="D1017" s="86"/>
      <c r="E1017" s="84"/>
      <c r="F1017" s="284"/>
      <c r="G1017" s="49"/>
      <c r="H1017" s="284"/>
      <c r="I1017" s="74"/>
      <c r="J1017" s="371"/>
      <c r="K1017" s="77"/>
      <c r="L1017" s="160"/>
      <c r="M1017" s="388"/>
      <c r="N1017" s="375"/>
      <c r="W1017" s="113"/>
      <c r="X1017" s="241"/>
      <c r="Y1017" s="284"/>
      <c r="Z1017" s="207"/>
      <c r="AA1017" s="284"/>
      <c r="AB1017" s="284"/>
      <c r="AC1017" s="137"/>
      <c r="AD1017" s="284"/>
      <c r="AE1017" s="299"/>
      <c r="AF1017" s="299"/>
      <c r="AG1017" s="284"/>
    </row>
    <row r="1018" spans="2:33">
      <c r="B1018" s="86"/>
      <c r="C1018" s="84"/>
      <c r="D1018" s="86"/>
      <c r="E1018" s="84"/>
      <c r="F1018" s="284"/>
      <c r="G1018" s="49"/>
      <c r="H1018" s="284"/>
      <c r="I1018" s="74"/>
      <c r="J1018" s="371"/>
      <c r="K1018" s="77"/>
      <c r="L1018" s="160"/>
      <c r="M1018" s="388"/>
      <c r="N1018" s="375"/>
      <c r="W1018" s="113"/>
      <c r="X1018" s="241"/>
      <c r="Y1018" s="284"/>
      <c r="Z1018" s="207"/>
      <c r="AA1018" s="284"/>
      <c r="AB1018" s="284"/>
      <c r="AC1018" s="137"/>
      <c r="AD1018" s="284"/>
      <c r="AE1018" s="299"/>
      <c r="AF1018" s="299"/>
      <c r="AG1018" s="284"/>
    </row>
    <row r="1019" spans="2:33">
      <c r="B1019" s="86"/>
      <c r="C1019" s="84"/>
      <c r="D1019" s="86"/>
      <c r="E1019" s="84"/>
      <c r="F1019" s="284"/>
      <c r="G1019" s="49"/>
      <c r="H1019" s="284"/>
      <c r="I1019" s="74"/>
      <c r="J1019" s="371"/>
      <c r="K1019" s="77"/>
      <c r="L1019" s="160"/>
      <c r="M1019" s="388"/>
      <c r="N1019" s="375"/>
      <c r="W1019" s="113"/>
      <c r="X1019" s="241"/>
      <c r="Y1019" s="284"/>
      <c r="Z1019" s="207"/>
      <c r="AA1019" s="284"/>
      <c r="AB1019" s="284"/>
      <c r="AC1019" s="137"/>
      <c r="AD1019" s="284"/>
      <c r="AE1019" s="299"/>
      <c r="AF1019" s="299"/>
      <c r="AG1019" s="284"/>
    </row>
    <row r="1020" spans="2:33">
      <c r="B1020" s="86"/>
      <c r="C1020" s="84"/>
      <c r="D1020" s="86"/>
      <c r="E1020" s="84"/>
      <c r="F1020" s="284"/>
      <c r="G1020" s="49"/>
      <c r="H1020" s="284"/>
      <c r="I1020" s="74"/>
      <c r="J1020" s="371"/>
      <c r="K1020" s="77"/>
      <c r="L1020" s="160"/>
      <c r="M1020" s="388"/>
      <c r="N1020" s="375"/>
      <c r="W1020" s="113"/>
      <c r="X1020" s="241"/>
      <c r="Y1020" s="284"/>
      <c r="Z1020" s="207"/>
      <c r="AA1020" s="284"/>
      <c r="AB1020" s="284"/>
      <c r="AC1020" s="137"/>
      <c r="AD1020" s="284"/>
      <c r="AE1020" s="299"/>
      <c r="AF1020" s="299"/>
      <c r="AG1020" s="284"/>
    </row>
    <row r="1021" spans="2:33">
      <c r="B1021" s="86"/>
      <c r="C1021" s="84"/>
      <c r="D1021" s="86"/>
      <c r="E1021" s="84"/>
      <c r="F1021" s="284"/>
      <c r="G1021" s="49"/>
      <c r="H1021" s="284"/>
      <c r="I1021" s="74"/>
      <c r="J1021" s="371"/>
      <c r="K1021" s="77"/>
      <c r="L1021" s="160"/>
      <c r="M1021" s="388"/>
      <c r="N1021" s="375"/>
      <c r="W1021" s="113"/>
      <c r="X1021" s="241"/>
      <c r="Y1021" s="284"/>
      <c r="Z1021" s="207"/>
      <c r="AA1021" s="284"/>
      <c r="AB1021" s="284"/>
      <c r="AC1021" s="137"/>
      <c r="AD1021" s="284"/>
      <c r="AE1021" s="299"/>
      <c r="AF1021" s="299"/>
      <c r="AG1021" s="284"/>
    </row>
    <row r="1022" spans="2:33">
      <c r="B1022" s="86"/>
      <c r="C1022" s="84"/>
      <c r="D1022" s="86"/>
      <c r="E1022" s="84"/>
      <c r="F1022" s="284"/>
      <c r="G1022" s="49"/>
      <c r="H1022" s="284"/>
      <c r="I1022" s="74"/>
      <c r="J1022" s="371"/>
      <c r="K1022" s="77"/>
      <c r="L1022" s="160"/>
      <c r="M1022" s="388"/>
      <c r="N1022" s="375"/>
      <c r="W1022" s="113"/>
      <c r="X1022" s="241"/>
      <c r="Y1022" s="284"/>
      <c r="Z1022" s="207"/>
      <c r="AA1022" s="284"/>
      <c r="AB1022" s="284"/>
      <c r="AC1022" s="137"/>
      <c r="AD1022" s="284"/>
      <c r="AE1022" s="299"/>
      <c r="AF1022" s="299"/>
      <c r="AG1022" s="284"/>
    </row>
    <row r="1023" spans="2:33">
      <c r="B1023" s="86"/>
      <c r="C1023" s="84"/>
      <c r="D1023" s="86"/>
      <c r="E1023" s="84"/>
      <c r="F1023" s="284"/>
      <c r="G1023" s="49"/>
      <c r="H1023" s="284"/>
      <c r="I1023" s="74"/>
      <c r="J1023" s="371"/>
      <c r="K1023" s="77"/>
      <c r="L1023" s="160"/>
      <c r="M1023" s="388"/>
      <c r="N1023" s="375"/>
      <c r="W1023" s="113"/>
      <c r="X1023" s="241"/>
      <c r="Y1023" s="284"/>
      <c r="Z1023" s="207"/>
      <c r="AA1023" s="284"/>
      <c r="AB1023" s="284"/>
      <c r="AC1023" s="137"/>
      <c r="AD1023" s="284"/>
      <c r="AE1023" s="299"/>
      <c r="AF1023" s="299"/>
      <c r="AG1023" s="284"/>
    </row>
    <row r="1024" spans="2:33">
      <c r="B1024" s="86"/>
      <c r="C1024" s="84"/>
      <c r="D1024" s="86"/>
      <c r="E1024" s="84"/>
      <c r="F1024" s="284"/>
      <c r="G1024" s="49"/>
      <c r="H1024" s="284"/>
      <c r="I1024" s="74"/>
      <c r="J1024" s="371"/>
      <c r="K1024" s="77"/>
      <c r="L1024" s="160"/>
      <c r="M1024" s="388"/>
      <c r="N1024" s="375"/>
      <c r="W1024" s="113"/>
      <c r="X1024" s="241"/>
      <c r="Y1024" s="284"/>
      <c r="Z1024" s="207"/>
      <c r="AA1024" s="284"/>
      <c r="AB1024" s="284"/>
      <c r="AC1024" s="137"/>
      <c r="AD1024" s="284"/>
      <c r="AE1024" s="299"/>
      <c r="AF1024" s="299"/>
      <c r="AG1024" s="284"/>
    </row>
    <row r="1025" spans="2:33">
      <c r="B1025" s="86"/>
      <c r="C1025" s="84"/>
      <c r="D1025" s="86"/>
      <c r="E1025" s="84"/>
      <c r="F1025" s="284"/>
      <c r="G1025" s="49"/>
      <c r="H1025" s="284"/>
      <c r="I1025" s="74"/>
      <c r="J1025" s="371"/>
      <c r="K1025" s="77"/>
      <c r="L1025" s="160"/>
      <c r="M1025" s="388"/>
      <c r="N1025" s="375"/>
      <c r="W1025" s="113"/>
      <c r="X1025" s="241"/>
      <c r="Y1025" s="284"/>
      <c r="Z1025" s="207"/>
      <c r="AA1025" s="284"/>
      <c r="AB1025" s="284"/>
      <c r="AC1025" s="137"/>
      <c r="AD1025" s="284"/>
      <c r="AE1025" s="299"/>
      <c r="AF1025" s="299"/>
      <c r="AG1025" s="284"/>
    </row>
    <row r="1026" spans="2:33">
      <c r="B1026" s="86"/>
      <c r="C1026" s="84"/>
      <c r="D1026" s="86"/>
      <c r="E1026" s="84"/>
      <c r="F1026" s="284"/>
      <c r="G1026" s="49"/>
      <c r="H1026" s="284"/>
      <c r="I1026" s="74"/>
      <c r="J1026" s="371"/>
      <c r="K1026" s="77"/>
      <c r="L1026" s="160"/>
      <c r="M1026" s="388"/>
      <c r="N1026" s="375"/>
      <c r="W1026" s="113"/>
      <c r="X1026" s="241"/>
      <c r="Y1026" s="284"/>
      <c r="Z1026" s="207"/>
      <c r="AA1026" s="284"/>
      <c r="AB1026" s="284"/>
      <c r="AC1026" s="137"/>
      <c r="AD1026" s="284"/>
      <c r="AE1026" s="299"/>
      <c r="AF1026" s="299"/>
      <c r="AG1026" s="284"/>
    </row>
    <row r="1027" spans="2:33">
      <c r="B1027" s="86"/>
      <c r="C1027" s="84"/>
      <c r="D1027" s="86"/>
      <c r="E1027" s="84"/>
      <c r="F1027" s="284"/>
      <c r="G1027" s="49"/>
      <c r="H1027" s="284"/>
      <c r="I1027" s="74"/>
      <c r="J1027" s="371"/>
      <c r="K1027" s="77"/>
      <c r="L1027" s="160"/>
      <c r="M1027" s="388"/>
      <c r="N1027" s="375"/>
      <c r="W1027" s="113"/>
      <c r="X1027" s="241"/>
      <c r="Y1027" s="284"/>
      <c r="Z1027" s="207"/>
      <c r="AA1027" s="284"/>
      <c r="AB1027" s="284"/>
      <c r="AC1027" s="137"/>
      <c r="AD1027" s="284"/>
      <c r="AE1027" s="299"/>
      <c r="AF1027" s="299"/>
      <c r="AG1027" s="284"/>
    </row>
    <row r="1028" spans="2:33">
      <c r="B1028" s="86"/>
      <c r="C1028" s="84"/>
      <c r="D1028" s="86"/>
      <c r="E1028" s="84"/>
      <c r="F1028" s="284"/>
      <c r="G1028" s="49"/>
      <c r="H1028" s="284"/>
      <c r="I1028" s="74"/>
      <c r="J1028" s="371"/>
      <c r="K1028" s="77"/>
      <c r="L1028" s="160"/>
      <c r="M1028" s="388"/>
      <c r="N1028" s="375"/>
      <c r="W1028" s="113"/>
      <c r="X1028" s="241"/>
      <c r="Y1028" s="284"/>
      <c r="Z1028" s="207"/>
      <c r="AA1028" s="284"/>
      <c r="AB1028" s="284"/>
      <c r="AC1028" s="137"/>
      <c r="AD1028" s="284"/>
      <c r="AE1028" s="299"/>
      <c r="AF1028" s="299"/>
      <c r="AG1028" s="284"/>
    </row>
    <row r="1029" spans="2:33">
      <c r="B1029" s="86"/>
      <c r="C1029" s="84"/>
      <c r="D1029" s="86"/>
      <c r="E1029" s="84"/>
      <c r="F1029" s="284"/>
      <c r="G1029" s="49"/>
      <c r="H1029" s="284"/>
      <c r="I1029" s="74"/>
      <c r="J1029" s="371"/>
      <c r="K1029" s="77"/>
      <c r="L1029" s="160"/>
      <c r="M1029" s="388"/>
      <c r="N1029" s="375"/>
      <c r="W1029" s="113"/>
      <c r="X1029" s="241"/>
      <c r="Y1029" s="284"/>
      <c r="Z1029" s="207"/>
      <c r="AA1029" s="284"/>
      <c r="AB1029" s="284"/>
      <c r="AC1029" s="137"/>
      <c r="AD1029" s="284"/>
      <c r="AE1029" s="299"/>
      <c r="AF1029" s="299"/>
      <c r="AG1029" s="284"/>
    </row>
    <row r="1030" spans="2:33">
      <c r="B1030" s="86"/>
      <c r="C1030" s="84"/>
      <c r="D1030" s="86"/>
      <c r="E1030" s="84"/>
      <c r="F1030" s="284"/>
      <c r="G1030" s="49"/>
      <c r="H1030" s="284"/>
      <c r="I1030" s="74"/>
      <c r="J1030" s="371"/>
      <c r="K1030" s="77"/>
      <c r="L1030" s="160"/>
      <c r="M1030" s="388"/>
      <c r="N1030" s="375"/>
      <c r="W1030" s="113"/>
      <c r="X1030" s="241"/>
      <c r="Y1030" s="284"/>
      <c r="Z1030" s="207"/>
      <c r="AA1030" s="284"/>
      <c r="AB1030" s="284"/>
      <c r="AC1030" s="137"/>
      <c r="AD1030" s="284"/>
      <c r="AE1030" s="299"/>
      <c r="AF1030" s="299"/>
      <c r="AG1030" s="284"/>
    </row>
    <row r="1031" spans="2:33">
      <c r="B1031" s="86"/>
      <c r="C1031" s="84"/>
      <c r="D1031" s="86"/>
      <c r="E1031" s="84"/>
      <c r="F1031" s="284"/>
      <c r="G1031" s="49"/>
      <c r="H1031" s="284"/>
      <c r="I1031" s="74"/>
      <c r="J1031" s="371"/>
      <c r="K1031" s="77"/>
      <c r="L1031" s="160"/>
      <c r="M1031" s="388"/>
      <c r="N1031" s="375"/>
      <c r="W1031" s="113"/>
      <c r="X1031" s="241"/>
      <c r="Y1031" s="284"/>
      <c r="Z1031" s="207"/>
      <c r="AA1031" s="284"/>
      <c r="AB1031" s="284"/>
      <c r="AC1031" s="137"/>
      <c r="AD1031" s="284"/>
      <c r="AE1031" s="299"/>
      <c r="AF1031" s="299"/>
      <c r="AG1031" s="284"/>
    </row>
    <row r="1032" spans="2:33">
      <c r="B1032" s="86"/>
      <c r="C1032" s="84"/>
      <c r="D1032" s="86"/>
      <c r="E1032" s="84"/>
      <c r="F1032" s="284"/>
      <c r="G1032" s="49"/>
      <c r="H1032" s="284"/>
      <c r="I1032" s="74"/>
      <c r="J1032" s="371"/>
      <c r="K1032" s="77"/>
      <c r="L1032" s="160"/>
      <c r="M1032" s="388"/>
      <c r="N1032" s="375"/>
      <c r="W1032" s="113"/>
      <c r="X1032" s="241"/>
      <c r="Y1032" s="284"/>
      <c r="Z1032" s="207"/>
      <c r="AA1032" s="284"/>
      <c r="AB1032" s="284"/>
      <c r="AC1032" s="137"/>
      <c r="AD1032" s="284"/>
      <c r="AE1032" s="299"/>
      <c r="AF1032" s="299"/>
      <c r="AG1032" s="284"/>
    </row>
    <row r="1033" spans="2:33">
      <c r="B1033" s="86"/>
      <c r="C1033" s="84"/>
      <c r="D1033" s="86"/>
      <c r="E1033" s="84"/>
      <c r="F1033" s="284"/>
      <c r="G1033" s="49"/>
      <c r="H1033" s="284"/>
      <c r="I1033" s="74"/>
      <c r="J1033" s="371"/>
      <c r="K1033" s="77"/>
      <c r="L1033" s="160"/>
      <c r="M1033" s="388"/>
      <c r="N1033" s="375"/>
      <c r="W1033" s="113"/>
      <c r="X1033" s="241"/>
      <c r="Y1033" s="284"/>
      <c r="Z1033" s="207"/>
      <c r="AA1033" s="284"/>
      <c r="AB1033" s="284"/>
      <c r="AC1033" s="137"/>
      <c r="AD1033" s="284"/>
      <c r="AE1033" s="299"/>
      <c r="AF1033" s="299"/>
      <c r="AG1033" s="284"/>
    </row>
    <row r="1034" spans="2:33">
      <c r="B1034" s="86"/>
      <c r="C1034" s="84"/>
      <c r="D1034" s="86"/>
      <c r="E1034" s="84"/>
      <c r="F1034" s="284"/>
      <c r="G1034" s="49"/>
      <c r="H1034" s="284"/>
      <c r="I1034" s="74"/>
      <c r="J1034" s="371"/>
      <c r="K1034" s="77"/>
      <c r="L1034" s="160"/>
      <c r="M1034" s="388"/>
      <c r="N1034" s="375"/>
      <c r="W1034" s="113"/>
      <c r="X1034" s="241"/>
      <c r="Y1034" s="284"/>
      <c r="Z1034" s="207"/>
      <c r="AA1034" s="284"/>
      <c r="AB1034" s="284"/>
      <c r="AC1034" s="137"/>
      <c r="AD1034" s="284"/>
      <c r="AE1034" s="299"/>
      <c r="AF1034" s="299"/>
      <c r="AG1034" s="284"/>
    </row>
    <row r="1035" spans="2:33">
      <c r="B1035" s="86"/>
      <c r="C1035" s="84"/>
      <c r="D1035" s="86"/>
      <c r="E1035" s="84"/>
      <c r="F1035" s="284"/>
      <c r="G1035" s="49"/>
      <c r="H1035" s="284"/>
      <c r="I1035" s="74"/>
      <c r="J1035" s="371"/>
      <c r="K1035" s="77"/>
      <c r="L1035" s="160"/>
      <c r="M1035" s="388"/>
      <c r="N1035" s="375"/>
      <c r="W1035" s="113"/>
      <c r="X1035" s="241"/>
      <c r="Y1035" s="284"/>
      <c r="Z1035" s="207"/>
      <c r="AA1035" s="284"/>
      <c r="AB1035" s="284"/>
      <c r="AC1035" s="137"/>
      <c r="AD1035" s="284"/>
      <c r="AE1035" s="299"/>
      <c r="AF1035" s="299"/>
      <c r="AG1035" s="284"/>
    </row>
    <row r="1036" spans="2:33">
      <c r="B1036" s="86"/>
      <c r="C1036" s="84"/>
      <c r="D1036" s="86"/>
      <c r="E1036" s="84"/>
      <c r="F1036" s="284"/>
      <c r="G1036" s="49"/>
      <c r="H1036" s="284"/>
      <c r="I1036" s="74"/>
      <c r="J1036" s="371"/>
      <c r="K1036" s="77"/>
      <c r="L1036" s="160"/>
      <c r="M1036" s="388"/>
      <c r="N1036" s="375"/>
      <c r="W1036" s="113"/>
      <c r="X1036" s="241"/>
      <c r="Y1036" s="284"/>
      <c r="Z1036" s="207"/>
      <c r="AA1036" s="284"/>
      <c r="AB1036" s="284"/>
      <c r="AC1036" s="137"/>
      <c r="AD1036" s="284"/>
      <c r="AE1036" s="299"/>
      <c r="AF1036" s="299"/>
      <c r="AG1036" s="284"/>
    </row>
    <row r="1037" spans="2:33">
      <c r="B1037" s="86"/>
      <c r="C1037" s="84"/>
      <c r="D1037" s="86"/>
      <c r="E1037" s="84"/>
      <c r="F1037" s="284"/>
      <c r="G1037" s="49"/>
      <c r="H1037" s="284"/>
      <c r="I1037" s="74"/>
      <c r="J1037" s="371"/>
      <c r="K1037" s="77"/>
      <c r="L1037" s="160"/>
      <c r="M1037" s="388"/>
      <c r="N1037" s="375"/>
      <c r="W1037" s="113"/>
      <c r="X1037" s="241"/>
      <c r="Y1037" s="284"/>
      <c r="Z1037" s="207"/>
      <c r="AA1037" s="284"/>
      <c r="AB1037" s="284"/>
      <c r="AC1037" s="137"/>
      <c r="AD1037" s="284"/>
      <c r="AE1037" s="299"/>
      <c r="AF1037" s="299"/>
      <c r="AG1037" s="284"/>
    </row>
    <row r="1038" spans="2:33">
      <c r="B1038" s="86"/>
      <c r="C1038" s="84"/>
      <c r="D1038" s="86"/>
      <c r="E1038" s="84"/>
      <c r="F1038" s="284"/>
      <c r="G1038" s="49"/>
      <c r="H1038" s="284"/>
      <c r="I1038" s="74"/>
      <c r="J1038" s="371"/>
      <c r="K1038" s="77"/>
      <c r="L1038" s="160"/>
      <c r="M1038" s="388"/>
      <c r="N1038" s="375"/>
      <c r="W1038" s="113"/>
      <c r="X1038" s="241"/>
      <c r="Y1038" s="284"/>
      <c r="Z1038" s="207"/>
      <c r="AA1038" s="284"/>
      <c r="AB1038" s="284"/>
      <c r="AC1038" s="137"/>
      <c r="AD1038" s="284"/>
      <c r="AE1038" s="299"/>
      <c r="AF1038" s="299"/>
      <c r="AG1038" s="284"/>
    </row>
    <row r="1039" spans="2:33">
      <c r="B1039" s="86"/>
      <c r="C1039" s="84"/>
      <c r="D1039" s="86"/>
      <c r="E1039" s="84"/>
      <c r="F1039" s="284"/>
      <c r="G1039" s="49"/>
      <c r="H1039" s="284"/>
      <c r="I1039" s="74"/>
      <c r="J1039" s="371"/>
      <c r="K1039" s="77"/>
      <c r="L1039" s="160"/>
      <c r="M1039" s="388"/>
      <c r="N1039" s="375"/>
      <c r="W1039" s="113"/>
      <c r="X1039" s="241"/>
      <c r="Y1039" s="284"/>
      <c r="Z1039" s="207"/>
      <c r="AA1039" s="284"/>
      <c r="AB1039" s="284"/>
      <c r="AC1039" s="137"/>
      <c r="AD1039" s="284"/>
      <c r="AE1039" s="299"/>
      <c r="AF1039" s="299"/>
      <c r="AG1039" s="284"/>
    </row>
    <row r="1040" spans="2:33">
      <c r="B1040" s="86"/>
      <c r="C1040" s="84"/>
      <c r="D1040" s="86"/>
      <c r="E1040" s="84"/>
      <c r="F1040" s="284"/>
      <c r="G1040" s="49"/>
      <c r="H1040" s="284"/>
      <c r="I1040" s="74"/>
      <c r="J1040" s="371"/>
      <c r="K1040" s="77"/>
      <c r="L1040" s="160"/>
      <c r="M1040" s="388"/>
      <c r="N1040" s="375"/>
      <c r="W1040" s="113"/>
      <c r="X1040" s="241"/>
      <c r="Y1040" s="284"/>
      <c r="Z1040" s="207"/>
      <c r="AA1040" s="284"/>
      <c r="AB1040" s="284"/>
      <c r="AC1040" s="137"/>
      <c r="AD1040" s="284"/>
      <c r="AE1040" s="299"/>
      <c r="AF1040" s="299"/>
      <c r="AG1040" s="284"/>
    </row>
    <row r="1041" spans="2:33">
      <c r="B1041" s="86"/>
      <c r="C1041" s="84"/>
      <c r="D1041" s="86"/>
      <c r="E1041" s="84"/>
      <c r="F1041" s="284"/>
      <c r="G1041" s="49"/>
      <c r="H1041" s="284"/>
      <c r="I1041" s="74"/>
      <c r="J1041" s="371"/>
      <c r="K1041" s="77"/>
      <c r="L1041" s="160"/>
      <c r="M1041" s="388"/>
      <c r="N1041" s="375"/>
      <c r="W1041" s="113"/>
      <c r="X1041" s="241"/>
      <c r="Y1041" s="284"/>
      <c r="Z1041" s="207"/>
      <c r="AA1041" s="284"/>
      <c r="AB1041" s="284"/>
      <c r="AC1041" s="137"/>
      <c r="AD1041" s="284"/>
      <c r="AE1041" s="299"/>
      <c r="AF1041" s="299"/>
      <c r="AG1041" s="284"/>
    </row>
    <row r="1042" spans="2:33">
      <c r="B1042" s="86"/>
      <c r="C1042" s="84"/>
      <c r="D1042" s="86"/>
      <c r="E1042" s="84"/>
      <c r="F1042" s="284"/>
      <c r="G1042" s="49"/>
      <c r="H1042" s="284"/>
      <c r="I1042" s="74"/>
      <c r="J1042" s="371"/>
      <c r="K1042" s="77"/>
      <c r="L1042" s="160"/>
      <c r="M1042" s="388"/>
      <c r="N1042" s="375"/>
      <c r="W1042" s="113"/>
      <c r="X1042" s="241"/>
      <c r="Y1042" s="284"/>
      <c r="Z1042" s="207"/>
      <c r="AA1042" s="284"/>
      <c r="AB1042" s="284"/>
      <c r="AC1042" s="137"/>
      <c r="AD1042" s="284"/>
      <c r="AE1042" s="299"/>
      <c r="AF1042" s="299"/>
      <c r="AG1042" s="284"/>
    </row>
    <row r="1043" spans="2:33">
      <c r="B1043" s="86"/>
      <c r="C1043" s="84"/>
      <c r="D1043" s="86"/>
      <c r="E1043" s="84"/>
      <c r="F1043" s="284"/>
      <c r="G1043" s="49"/>
      <c r="H1043" s="284"/>
      <c r="I1043" s="74"/>
      <c r="J1043" s="371"/>
      <c r="K1043" s="77"/>
      <c r="L1043" s="160"/>
      <c r="M1043" s="388"/>
      <c r="N1043" s="375"/>
      <c r="W1043" s="113"/>
      <c r="X1043" s="241"/>
      <c r="Y1043" s="284"/>
      <c r="Z1043" s="207"/>
      <c r="AA1043" s="284"/>
      <c r="AB1043" s="284"/>
      <c r="AC1043" s="137"/>
      <c r="AD1043" s="284"/>
      <c r="AE1043" s="299"/>
      <c r="AF1043" s="299"/>
      <c r="AG1043" s="284"/>
    </row>
    <row r="1044" spans="2:33">
      <c r="B1044" s="86"/>
      <c r="C1044" s="84"/>
      <c r="D1044" s="86"/>
      <c r="E1044" s="84"/>
      <c r="F1044" s="284"/>
      <c r="G1044" s="49"/>
      <c r="H1044" s="284"/>
      <c r="I1044" s="74"/>
      <c r="J1044" s="371"/>
      <c r="K1044" s="77"/>
      <c r="L1044" s="160"/>
      <c r="M1044" s="388"/>
      <c r="N1044" s="375"/>
      <c r="W1044" s="113"/>
      <c r="X1044" s="241"/>
      <c r="Y1044" s="284"/>
      <c r="Z1044" s="207"/>
      <c r="AA1044" s="284"/>
      <c r="AB1044" s="284"/>
      <c r="AC1044" s="137"/>
      <c r="AD1044" s="284"/>
      <c r="AE1044" s="299"/>
      <c r="AF1044" s="299"/>
      <c r="AG1044" s="284"/>
    </row>
    <row r="1045" spans="2:33">
      <c r="B1045" s="86"/>
      <c r="C1045" s="84"/>
      <c r="D1045" s="86"/>
      <c r="E1045" s="84"/>
      <c r="F1045" s="284"/>
      <c r="G1045" s="49"/>
      <c r="H1045" s="284"/>
      <c r="I1045" s="74"/>
      <c r="J1045" s="371"/>
      <c r="K1045" s="77"/>
      <c r="L1045" s="160"/>
      <c r="M1045" s="388"/>
      <c r="N1045" s="375"/>
      <c r="W1045" s="113"/>
      <c r="X1045" s="241"/>
      <c r="Y1045" s="284"/>
      <c r="Z1045" s="207"/>
      <c r="AA1045" s="284"/>
      <c r="AB1045" s="284"/>
      <c r="AC1045" s="137"/>
      <c r="AD1045" s="284"/>
      <c r="AE1045" s="299"/>
      <c r="AF1045" s="299"/>
      <c r="AG1045" s="284"/>
    </row>
    <row r="1046" spans="2:33">
      <c r="B1046" s="86"/>
      <c r="C1046" s="84"/>
      <c r="D1046" s="86"/>
      <c r="E1046" s="84"/>
      <c r="F1046" s="284"/>
      <c r="G1046" s="49"/>
      <c r="H1046" s="284"/>
      <c r="I1046" s="74"/>
      <c r="J1046" s="371"/>
      <c r="K1046" s="77"/>
      <c r="L1046" s="160"/>
      <c r="M1046" s="388"/>
      <c r="N1046" s="375"/>
      <c r="W1046" s="113"/>
      <c r="X1046" s="241"/>
      <c r="Y1046" s="284"/>
      <c r="Z1046" s="207"/>
      <c r="AA1046" s="284"/>
      <c r="AB1046" s="284"/>
      <c r="AC1046" s="137"/>
      <c r="AD1046" s="284"/>
      <c r="AE1046" s="299"/>
      <c r="AF1046" s="299"/>
      <c r="AG1046" s="284"/>
    </row>
    <row r="1047" spans="2:33">
      <c r="B1047" s="86"/>
      <c r="C1047" s="84"/>
      <c r="D1047" s="86"/>
      <c r="E1047" s="84"/>
      <c r="F1047" s="284"/>
      <c r="G1047" s="49"/>
      <c r="H1047" s="284"/>
      <c r="I1047" s="74"/>
      <c r="J1047" s="371"/>
      <c r="K1047" s="77"/>
      <c r="L1047" s="160"/>
      <c r="M1047" s="388"/>
      <c r="N1047" s="375"/>
      <c r="W1047" s="113"/>
      <c r="X1047" s="241"/>
      <c r="Y1047" s="284"/>
      <c r="Z1047" s="207"/>
      <c r="AA1047" s="284"/>
      <c r="AB1047" s="284"/>
      <c r="AC1047" s="137"/>
      <c r="AD1047" s="284"/>
      <c r="AE1047" s="299"/>
      <c r="AF1047" s="299"/>
      <c r="AG1047" s="284"/>
    </row>
    <row r="1048" spans="2:33">
      <c r="B1048" s="86"/>
      <c r="C1048" s="84"/>
      <c r="D1048" s="86"/>
      <c r="E1048" s="84"/>
      <c r="F1048" s="284"/>
      <c r="G1048" s="49"/>
      <c r="H1048" s="284"/>
      <c r="I1048" s="74"/>
      <c r="J1048" s="371"/>
      <c r="K1048" s="77"/>
      <c r="L1048" s="160"/>
      <c r="M1048" s="388"/>
      <c r="N1048" s="375"/>
      <c r="W1048" s="113"/>
      <c r="X1048" s="241"/>
      <c r="Y1048" s="284"/>
      <c r="Z1048" s="207"/>
      <c r="AA1048" s="284"/>
      <c r="AB1048" s="284"/>
      <c r="AC1048" s="137"/>
      <c r="AD1048" s="284"/>
      <c r="AE1048" s="299"/>
      <c r="AF1048" s="299"/>
      <c r="AG1048" s="284"/>
    </row>
    <row r="1049" spans="2:33">
      <c r="B1049" s="86"/>
      <c r="C1049" s="84"/>
      <c r="D1049" s="86"/>
      <c r="E1049" s="84"/>
      <c r="F1049" s="284"/>
      <c r="G1049" s="49"/>
      <c r="H1049" s="284"/>
      <c r="I1049" s="74"/>
      <c r="J1049" s="371"/>
      <c r="K1049" s="77"/>
      <c r="L1049" s="160"/>
      <c r="M1049" s="388"/>
      <c r="N1049" s="375"/>
      <c r="W1049" s="113"/>
      <c r="X1049" s="241"/>
      <c r="Y1049" s="284"/>
      <c r="Z1049" s="207"/>
      <c r="AA1049" s="284"/>
      <c r="AB1049" s="284"/>
      <c r="AC1049" s="137"/>
      <c r="AD1049" s="284"/>
      <c r="AE1049" s="299"/>
      <c r="AF1049" s="299"/>
      <c r="AG1049" s="284"/>
    </row>
    <row r="1050" spans="2:33">
      <c r="B1050" s="86"/>
      <c r="C1050" s="84"/>
      <c r="D1050" s="86"/>
      <c r="E1050" s="84"/>
      <c r="F1050" s="284"/>
      <c r="G1050" s="49"/>
      <c r="H1050" s="284"/>
      <c r="I1050" s="74"/>
      <c r="J1050" s="371"/>
      <c r="K1050" s="77"/>
      <c r="L1050" s="160"/>
      <c r="M1050" s="388"/>
      <c r="N1050" s="375"/>
      <c r="W1050" s="113"/>
      <c r="X1050" s="241"/>
      <c r="Y1050" s="284"/>
      <c r="Z1050" s="207"/>
      <c r="AA1050" s="284"/>
      <c r="AB1050" s="284"/>
      <c r="AC1050" s="137"/>
      <c r="AD1050" s="284"/>
      <c r="AE1050" s="299"/>
      <c r="AF1050" s="299"/>
      <c r="AG1050" s="284"/>
    </row>
    <row r="1051" spans="2:33">
      <c r="B1051" s="86"/>
      <c r="C1051" s="84"/>
      <c r="D1051" s="86"/>
      <c r="E1051" s="84"/>
      <c r="F1051" s="284"/>
      <c r="G1051" s="49"/>
      <c r="H1051" s="284"/>
      <c r="I1051" s="74"/>
      <c r="J1051" s="371"/>
      <c r="K1051" s="77"/>
      <c r="L1051" s="160"/>
      <c r="M1051" s="388"/>
      <c r="N1051" s="375"/>
      <c r="W1051" s="113"/>
      <c r="X1051" s="241"/>
      <c r="Y1051" s="284"/>
      <c r="Z1051" s="207"/>
      <c r="AA1051" s="284"/>
      <c r="AB1051" s="284"/>
      <c r="AC1051" s="137"/>
      <c r="AD1051" s="284"/>
      <c r="AE1051" s="299"/>
      <c r="AF1051" s="299"/>
      <c r="AG1051" s="284"/>
    </row>
    <row r="1052" spans="2:33">
      <c r="B1052" s="86"/>
      <c r="C1052" s="84"/>
      <c r="D1052" s="86"/>
      <c r="E1052" s="84"/>
      <c r="F1052" s="284"/>
      <c r="G1052" s="49"/>
      <c r="H1052" s="284"/>
      <c r="I1052" s="74"/>
      <c r="J1052" s="371"/>
      <c r="K1052" s="77"/>
      <c r="L1052" s="160"/>
      <c r="M1052" s="388"/>
      <c r="N1052" s="375"/>
      <c r="W1052" s="113"/>
      <c r="X1052" s="241"/>
      <c r="Y1052" s="284"/>
      <c r="Z1052" s="207"/>
      <c r="AA1052" s="284"/>
      <c r="AB1052" s="284"/>
      <c r="AC1052" s="137"/>
      <c r="AD1052" s="284"/>
      <c r="AE1052" s="299"/>
      <c r="AF1052" s="299"/>
      <c r="AG1052" s="284"/>
    </row>
    <row r="1053" spans="2:33">
      <c r="B1053" s="86"/>
      <c r="C1053" s="84"/>
      <c r="D1053" s="86"/>
      <c r="E1053" s="84"/>
      <c r="F1053" s="284"/>
      <c r="G1053" s="49"/>
      <c r="H1053" s="284"/>
      <c r="I1053" s="74"/>
      <c r="J1053" s="371"/>
      <c r="K1053" s="77"/>
      <c r="L1053" s="160"/>
      <c r="M1053" s="388"/>
      <c r="N1053" s="375"/>
      <c r="W1053" s="113"/>
      <c r="X1053" s="241"/>
      <c r="Y1053" s="284"/>
      <c r="Z1053" s="207"/>
      <c r="AA1053" s="284"/>
      <c r="AB1053" s="284"/>
      <c r="AC1053" s="137"/>
      <c r="AD1053" s="284"/>
      <c r="AE1053" s="299"/>
      <c r="AF1053" s="299"/>
      <c r="AG1053" s="284"/>
    </row>
    <row r="1054" spans="2:33">
      <c r="B1054" s="86"/>
      <c r="C1054" s="84"/>
      <c r="D1054" s="86"/>
      <c r="E1054" s="84"/>
      <c r="F1054" s="284"/>
      <c r="G1054" s="49"/>
      <c r="H1054" s="284"/>
      <c r="I1054" s="74"/>
      <c r="J1054" s="371"/>
      <c r="K1054" s="77"/>
      <c r="L1054" s="160"/>
      <c r="M1054" s="388"/>
      <c r="N1054" s="375"/>
      <c r="W1054" s="113"/>
      <c r="X1054" s="241"/>
      <c r="Y1054" s="284"/>
      <c r="Z1054" s="207"/>
      <c r="AA1054" s="284"/>
      <c r="AB1054" s="284"/>
      <c r="AC1054" s="137"/>
      <c r="AD1054" s="284"/>
      <c r="AE1054" s="299"/>
      <c r="AF1054" s="299"/>
      <c r="AG1054" s="284"/>
    </row>
    <row r="1055" spans="2:33">
      <c r="B1055" s="86"/>
      <c r="C1055" s="84"/>
      <c r="D1055" s="86"/>
      <c r="E1055" s="84"/>
      <c r="F1055" s="284"/>
      <c r="G1055" s="49"/>
      <c r="H1055" s="284"/>
      <c r="I1055" s="74"/>
      <c r="J1055" s="371"/>
      <c r="K1055" s="77"/>
      <c r="L1055" s="160"/>
      <c r="M1055" s="388"/>
      <c r="N1055" s="375"/>
      <c r="W1055" s="113"/>
      <c r="X1055" s="241"/>
      <c r="Y1055" s="284"/>
      <c r="Z1055" s="207"/>
      <c r="AA1055" s="284"/>
      <c r="AB1055" s="284"/>
      <c r="AC1055" s="137"/>
      <c r="AD1055" s="284"/>
      <c r="AE1055" s="299"/>
      <c r="AF1055" s="299"/>
      <c r="AG1055" s="284"/>
    </row>
    <row r="1056" spans="2:33">
      <c r="B1056" s="86"/>
      <c r="C1056" s="84"/>
      <c r="D1056" s="86"/>
      <c r="E1056" s="84"/>
      <c r="F1056" s="284"/>
      <c r="G1056" s="49"/>
      <c r="H1056" s="284"/>
      <c r="I1056" s="74"/>
      <c r="J1056" s="371"/>
      <c r="K1056" s="77"/>
      <c r="L1056" s="160"/>
      <c r="M1056" s="388"/>
      <c r="N1056" s="375"/>
      <c r="W1056" s="113"/>
      <c r="X1056" s="241"/>
      <c r="Y1056" s="284"/>
      <c r="Z1056" s="207"/>
      <c r="AA1056" s="284"/>
      <c r="AB1056" s="284"/>
      <c r="AC1056" s="137"/>
      <c r="AD1056" s="284"/>
      <c r="AE1056" s="299"/>
      <c r="AF1056" s="299"/>
      <c r="AG1056" s="284"/>
    </row>
    <row r="1057" spans="2:33">
      <c r="B1057" s="86"/>
      <c r="C1057" s="84"/>
      <c r="D1057" s="86"/>
      <c r="E1057" s="84"/>
      <c r="F1057" s="284"/>
      <c r="G1057" s="49"/>
      <c r="H1057" s="284"/>
      <c r="I1057" s="74"/>
      <c r="J1057" s="371"/>
      <c r="K1057" s="77"/>
      <c r="L1057" s="160"/>
      <c r="M1057" s="388"/>
      <c r="N1057" s="375"/>
      <c r="W1057" s="113"/>
      <c r="X1057" s="241"/>
      <c r="Y1057" s="284"/>
      <c r="Z1057" s="207"/>
      <c r="AA1057" s="284"/>
      <c r="AB1057" s="284"/>
      <c r="AC1057" s="137"/>
      <c r="AD1057" s="284"/>
      <c r="AE1057" s="299"/>
      <c r="AF1057" s="299"/>
      <c r="AG1057" s="284"/>
    </row>
    <row r="1058" spans="2:33">
      <c r="B1058" s="86"/>
      <c r="C1058" s="84"/>
      <c r="D1058" s="86"/>
      <c r="E1058" s="84"/>
      <c r="F1058" s="284"/>
      <c r="G1058" s="49"/>
      <c r="H1058" s="284"/>
      <c r="I1058" s="74"/>
      <c r="J1058" s="371"/>
      <c r="K1058" s="77"/>
      <c r="L1058" s="160"/>
      <c r="M1058" s="388"/>
      <c r="N1058" s="375"/>
      <c r="W1058" s="113"/>
      <c r="X1058" s="241"/>
      <c r="Y1058" s="284"/>
      <c r="Z1058" s="207"/>
      <c r="AA1058" s="284"/>
      <c r="AB1058" s="284"/>
      <c r="AC1058" s="137"/>
      <c r="AD1058" s="284"/>
      <c r="AE1058" s="299"/>
      <c r="AF1058" s="299"/>
      <c r="AG1058" s="284"/>
    </row>
    <row r="1059" spans="2:33">
      <c r="B1059" s="86"/>
      <c r="C1059" s="84"/>
      <c r="D1059" s="86"/>
      <c r="E1059" s="84"/>
      <c r="F1059" s="284"/>
      <c r="G1059" s="49"/>
      <c r="H1059" s="284"/>
      <c r="I1059" s="74"/>
      <c r="J1059" s="371"/>
      <c r="K1059" s="77"/>
      <c r="L1059" s="160"/>
      <c r="M1059" s="388"/>
      <c r="N1059" s="375"/>
      <c r="W1059" s="113"/>
      <c r="X1059" s="241"/>
      <c r="Y1059" s="284"/>
      <c r="Z1059" s="207"/>
      <c r="AA1059" s="284"/>
      <c r="AB1059" s="284"/>
      <c r="AC1059" s="137"/>
      <c r="AD1059" s="284"/>
      <c r="AE1059" s="299"/>
      <c r="AF1059" s="299"/>
      <c r="AG1059" s="284"/>
    </row>
    <row r="1060" spans="2:33">
      <c r="B1060" s="86"/>
      <c r="C1060" s="84"/>
      <c r="D1060" s="86"/>
      <c r="E1060" s="84"/>
      <c r="F1060" s="284"/>
      <c r="G1060" s="49"/>
      <c r="H1060" s="284"/>
      <c r="I1060" s="74"/>
      <c r="J1060" s="371"/>
      <c r="K1060" s="77"/>
      <c r="L1060" s="160"/>
      <c r="M1060" s="388"/>
      <c r="N1060" s="375"/>
      <c r="W1060" s="113"/>
      <c r="X1060" s="241"/>
      <c r="Y1060" s="284"/>
      <c r="Z1060" s="207"/>
      <c r="AA1060" s="284"/>
      <c r="AB1060" s="284"/>
      <c r="AC1060" s="137"/>
      <c r="AD1060" s="284"/>
      <c r="AE1060" s="299"/>
      <c r="AF1060" s="299"/>
      <c r="AG1060" s="284"/>
    </row>
    <row r="1061" spans="2:33">
      <c r="B1061" s="86"/>
      <c r="C1061" s="84"/>
      <c r="D1061" s="86"/>
      <c r="E1061" s="84"/>
      <c r="F1061" s="284"/>
      <c r="G1061" s="49"/>
      <c r="H1061" s="284"/>
      <c r="I1061" s="74"/>
      <c r="J1061" s="371"/>
      <c r="K1061" s="77"/>
      <c r="L1061" s="160"/>
      <c r="M1061" s="388"/>
      <c r="N1061" s="375"/>
      <c r="W1061" s="113"/>
      <c r="X1061" s="241"/>
      <c r="Y1061" s="284"/>
      <c r="Z1061" s="207"/>
      <c r="AA1061" s="284"/>
      <c r="AB1061" s="284"/>
      <c r="AC1061" s="137"/>
      <c r="AD1061" s="284"/>
      <c r="AE1061" s="299"/>
      <c r="AF1061" s="299"/>
      <c r="AG1061" s="284"/>
    </row>
    <row r="1062" spans="2:33">
      <c r="B1062" s="86"/>
      <c r="C1062" s="84"/>
      <c r="D1062" s="86"/>
      <c r="E1062" s="84"/>
      <c r="F1062" s="284"/>
      <c r="G1062" s="49"/>
      <c r="H1062" s="284"/>
      <c r="I1062" s="74"/>
      <c r="J1062" s="371"/>
      <c r="K1062" s="77"/>
      <c r="L1062" s="160"/>
      <c r="M1062" s="388"/>
      <c r="N1062" s="375"/>
      <c r="W1062" s="113"/>
      <c r="X1062" s="241"/>
      <c r="Y1062" s="284"/>
      <c r="Z1062" s="207"/>
      <c r="AA1062" s="284"/>
      <c r="AB1062" s="284"/>
      <c r="AC1062" s="137"/>
      <c r="AD1062" s="284"/>
      <c r="AE1062" s="299"/>
      <c r="AF1062" s="299"/>
      <c r="AG1062" s="284"/>
    </row>
    <row r="1063" spans="2:33">
      <c r="B1063" s="86"/>
      <c r="C1063" s="84"/>
      <c r="D1063" s="86"/>
      <c r="E1063" s="84"/>
      <c r="F1063" s="284"/>
      <c r="G1063" s="49"/>
      <c r="H1063" s="284"/>
      <c r="I1063" s="74"/>
      <c r="J1063" s="371"/>
      <c r="K1063" s="77"/>
      <c r="L1063" s="160"/>
      <c r="M1063" s="388"/>
      <c r="N1063" s="375"/>
      <c r="W1063" s="113"/>
      <c r="X1063" s="241"/>
      <c r="Y1063" s="284"/>
      <c r="Z1063" s="207"/>
      <c r="AA1063" s="284"/>
      <c r="AB1063" s="284"/>
      <c r="AC1063" s="137"/>
      <c r="AD1063" s="284"/>
      <c r="AE1063" s="299"/>
      <c r="AF1063" s="299"/>
      <c r="AG1063" s="284"/>
    </row>
    <row r="1064" spans="2:33">
      <c r="B1064" s="86"/>
      <c r="C1064" s="84"/>
      <c r="D1064" s="86"/>
      <c r="E1064" s="84"/>
      <c r="F1064" s="284"/>
      <c r="G1064" s="49"/>
      <c r="H1064" s="284"/>
      <c r="I1064" s="74"/>
      <c r="J1064" s="371"/>
      <c r="K1064" s="77"/>
      <c r="L1064" s="160"/>
      <c r="M1064" s="388"/>
      <c r="N1064" s="375"/>
      <c r="W1064" s="113"/>
      <c r="X1064" s="241"/>
      <c r="Y1064" s="284"/>
      <c r="Z1064" s="207"/>
      <c r="AA1064" s="284"/>
      <c r="AB1064" s="284"/>
      <c r="AC1064" s="137"/>
      <c r="AD1064" s="284"/>
      <c r="AE1064" s="299"/>
      <c r="AF1064" s="299"/>
      <c r="AG1064" s="284"/>
    </row>
    <row r="1065" spans="2:33">
      <c r="B1065" s="86"/>
      <c r="C1065" s="84"/>
      <c r="D1065" s="86"/>
      <c r="E1065" s="84"/>
      <c r="F1065" s="284"/>
      <c r="G1065" s="49"/>
      <c r="H1065" s="284"/>
      <c r="I1065" s="74"/>
      <c r="J1065" s="371"/>
      <c r="K1065" s="77"/>
      <c r="L1065" s="160"/>
      <c r="M1065" s="388"/>
      <c r="N1065" s="375"/>
      <c r="W1065" s="113"/>
      <c r="X1065" s="241"/>
      <c r="Y1065" s="284"/>
      <c r="Z1065" s="207"/>
      <c r="AA1065" s="284"/>
      <c r="AB1065" s="284"/>
      <c r="AC1065" s="137"/>
      <c r="AD1065" s="284"/>
      <c r="AE1065" s="299"/>
      <c r="AF1065" s="299"/>
      <c r="AG1065" s="284"/>
    </row>
    <row r="1066" spans="2:33">
      <c r="B1066" s="86"/>
      <c r="C1066" s="84"/>
      <c r="D1066" s="86"/>
      <c r="E1066" s="84"/>
      <c r="F1066" s="284"/>
      <c r="G1066" s="49"/>
      <c r="H1066" s="284"/>
      <c r="I1066" s="74"/>
      <c r="J1066" s="371"/>
      <c r="K1066" s="77"/>
      <c r="L1066" s="160"/>
      <c r="M1066" s="388"/>
      <c r="N1066" s="375"/>
      <c r="W1066" s="113"/>
      <c r="X1066" s="241"/>
      <c r="Y1066" s="284"/>
      <c r="Z1066" s="207"/>
      <c r="AA1066" s="284"/>
      <c r="AB1066" s="284"/>
      <c r="AC1066" s="137"/>
      <c r="AD1066" s="284"/>
      <c r="AE1066" s="299"/>
      <c r="AF1066" s="299"/>
      <c r="AG1066" s="284"/>
    </row>
    <row r="1067" spans="2:33">
      <c r="B1067" s="86"/>
      <c r="C1067" s="84"/>
      <c r="D1067" s="86"/>
      <c r="E1067" s="84"/>
      <c r="F1067" s="284"/>
      <c r="G1067" s="49"/>
      <c r="H1067" s="284"/>
      <c r="I1067" s="74"/>
      <c r="J1067" s="371"/>
      <c r="K1067" s="77"/>
      <c r="L1067" s="160"/>
      <c r="M1067" s="388"/>
      <c r="N1067" s="375"/>
      <c r="W1067" s="113"/>
      <c r="X1067" s="241"/>
      <c r="Y1067" s="284"/>
      <c r="Z1067" s="207"/>
      <c r="AA1067" s="284"/>
      <c r="AB1067" s="284"/>
      <c r="AC1067" s="137"/>
      <c r="AD1067" s="284"/>
      <c r="AE1067" s="299"/>
      <c r="AF1067" s="299"/>
      <c r="AG1067" s="284"/>
    </row>
    <row r="1068" spans="2:33">
      <c r="B1068" s="86"/>
      <c r="C1068" s="84"/>
      <c r="D1068" s="86"/>
      <c r="E1068" s="84"/>
      <c r="F1068" s="284"/>
      <c r="G1068" s="49"/>
      <c r="H1068" s="284"/>
      <c r="I1068" s="74"/>
      <c r="J1068" s="371"/>
      <c r="K1068" s="77"/>
      <c r="L1068" s="160"/>
      <c r="M1068" s="388"/>
      <c r="N1068" s="375"/>
      <c r="W1068" s="113"/>
      <c r="X1068" s="241"/>
      <c r="Y1068" s="284"/>
      <c r="Z1068" s="207"/>
      <c r="AA1068" s="284"/>
      <c r="AB1068" s="284"/>
      <c r="AC1068" s="137"/>
      <c r="AD1068" s="284"/>
      <c r="AE1068" s="299"/>
      <c r="AF1068" s="299"/>
      <c r="AG1068" s="284"/>
    </row>
    <row r="1069" spans="2:33">
      <c r="B1069" s="86"/>
      <c r="C1069" s="84"/>
      <c r="D1069" s="86"/>
      <c r="E1069" s="84"/>
      <c r="F1069" s="284"/>
      <c r="G1069" s="49"/>
      <c r="H1069" s="284"/>
      <c r="I1069" s="74"/>
      <c r="J1069" s="371"/>
      <c r="K1069" s="77"/>
      <c r="L1069" s="160"/>
      <c r="M1069" s="388"/>
      <c r="N1069" s="375"/>
      <c r="W1069" s="113"/>
      <c r="X1069" s="241"/>
      <c r="Y1069" s="284"/>
      <c r="Z1069" s="207"/>
      <c r="AA1069" s="284"/>
      <c r="AB1069" s="284"/>
      <c r="AC1069" s="137"/>
      <c r="AD1069" s="284"/>
      <c r="AE1069" s="299"/>
      <c r="AF1069" s="299"/>
      <c r="AG1069" s="284"/>
    </row>
    <row r="1070" spans="2:33">
      <c r="B1070" s="86"/>
      <c r="C1070" s="84"/>
      <c r="D1070" s="86"/>
      <c r="E1070" s="84"/>
      <c r="F1070" s="284"/>
      <c r="G1070" s="49"/>
      <c r="H1070" s="284"/>
      <c r="I1070" s="74"/>
      <c r="J1070" s="371"/>
      <c r="K1070" s="77"/>
      <c r="L1070" s="160"/>
      <c r="M1070" s="388"/>
      <c r="N1070" s="375"/>
      <c r="W1070" s="113"/>
      <c r="X1070" s="241"/>
      <c r="Y1070" s="284"/>
      <c r="Z1070" s="207"/>
      <c r="AA1070" s="284"/>
      <c r="AB1070" s="284"/>
      <c r="AC1070" s="137"/>
      <c r="AD1070" s="284"/>
      <c r="AE1070" s="299"/>
      <c r="AF1070" s="299"/>
      <c r="AG1070" s="284"/>
    </row>
    <row r="1071" spans="2:33">
      <c r="B1071" s="86"/>
      <c r="C1071" s="84"/>
      <c r="D1071" s="86"/>
      <c r="E1071" s="84"/>
      <c r="F1071" s="284"/>
      <c r="G1071" s="49"/>
      <c r="H1071" s="284"/>
      <c r="I1071" s="74"/>
      <c r="J1071" s="371"/>
      <c r="K1071" s="77"/>
      <c r="L1071" s="160"/>
      <c r="M1071" s="388"/>
      <c r="N1071" s="375"/>
      <c r="W1071" s="113"/>
      <c r="X1071" s="241"/>
      <c r="Y1071" s="284"/>
      <c r="Z1071" s="207"/>
      <c r="AA1071" s="284"/>
      <c r="AB1071" s="284"/>
      <c r="AC1071" s="137"/>
      <c r="AD1071" s="284"/>
      <c r="AE1071" s="299"/>
      <c r="AF1071" s="299"/>
      <c r="AG1071" s="284"/>
    </row>
    <row r="1072" spans="2:33">
      <c r="B1072" s="86"/>
      <c r="C1072" s="84"/>
      <c r="D1072" s="86"/>
      <c r="E1072" s="84"/>
      <c r="F1072" s="284"/>
      <c r="G1072" s="49"/>
      <c r="H1072" s="284"/>
      <c r="I1072" s="74"/>
      <c r="J1072" s="371"/>
      <c r="K1072" s="77"/>
      <c r="L1072" s="160"/>
      <c r="M1072" s="388"/>
      <c r="N1072" s="375"/>
      <c r="W1072" s="113"/>
      <c r="X1072" s="241"/>
      <c r="Y1072" s="284"/>
      <c r="Z1072" s="207"/>
      <c r="AA1072" s="284"/>
      <c r="AB1072" s="284"/>
      <c r="AC1072" s="137"/>
      <c r="AD1072" s="284"/>
      <c r="AE1072" s="299"/>
      <c r="AF1072" s="299"/>
      <c r="AG1072" s="284"/>
    </row>
    <row r="1073" spans="2:33">
      <c r="B1073" s="86"/>
      <c r="C1073" s="84"/>
      <c r="D1073" s="86"/>
      <c r="E1073" s="84"/>
      <c r="F1073" s="284"/>
      <c r="G1073" s="49"/>
      <c r="H1073" s="284"/>
      <c r="I1073" s="74"/>
      <c r="J1073" s="371"/>
      <c r="K1073" s="77"/>
      <c r="L1073" s="160"/>
      <c r="M1073" s="388"/>
      <c r="N1073" s="375"/>
      <c r="W1073" s="113"/>
      <c r="X1073" s="241"/>
      <c r="Y1073" s="284"/>
      <c r="Z1073" s="207"/>
      <c r="AA1073" s="284"/>
      <c r="AB1073" s="284"/>
      <c r="AC1073" s="137"/>
      <c r="AD1073" s="284"/>
      <c r="AE1073" s="299"/>
      <c r="AF1073" s="299"/>
      <c r="AG1073" s="284"/>
    </row>
    <row r="1074" spans="2:33">
      <c r="B1074" s="86"/>
      <c r="C1074" s="84"/>
      <c r="D1074" s="86"/>
      <c r="E1074" s="84"/>
      <c r="F1074" s="284"/>
      <c r="G1074" s="49"/>
      <c r="H1074" s="284"/>
      <c r="I1074" s="74"/>
      <c r="J1074" s="371"/>
      <c r="K1074" s="77"/>
      <c r="L1074" s="160"/>
      <c r="M1074" s="388"/>
      <c r="N1074" s="375"/>
      <c r="W1074" s="113"/>
      <c r="X1074" s="241"/>
      <c r="Y1074" s="284"/>
      <c r="Z1074" s="207"/>
      <c r="AA1074" s="284"/>
      <c r="AB1074" s="284"/>
      <c r="AC1074" s="137"/>
      <c r="AD1074" s="284"/>
      <c r="AE1074" s="299"/>
      <c r="AF1074" s="299"/>
      <c r="AG1074" s="284"/>
    </row>
    <row r="1075" spans="2:33">
      <c r="B1075" s="86"/>
      <c r="C1075" s="84"/>
      <c r="D1075" s="86"/>
      <c r="E1075" s="84"/>
      <c r="F1075" s="284"/>
      <c r="G1075" s="49"/>
      <c r="H1075" s="284"/>
      <c r="I1075" s="74"/>
      <c r="J1075" s="371"/>
      <c r="K1075" s="77"/>
      <c r="L1075" s="160"/>
      <c r="M1075" s="388"/>
      <c r="N1075" s="375"/>
      <c r="W1075" s="113"/>
      <c r="X1075" s="241"/>
      <c r="Y1075" s="284"/>
      <c r="Z1075" s="207"/>
      <c r="AA1075" s="284"/>
      <c r="AB1075" s="284"/>
      <c r="AC1075" s="137"/>
      <c r="AD1075" s="284"/>
      <c r="AE1075" s="299"/>
      <c r="AF1075" s="299"/>
      <c r="AG1075" s="284"/>
    </row>
    <row r="1076" spans="2:33">
      <c r="B1076" s="86"/>
      <c r="C1076" s="84"/>
      <c r="D1076" s="86"/>
      <c r="E1076" s="84"/>
      <c r="F1076" s="284"/>
      <c r="G1076" s="49"/>
      <c r="H1076" s="284"/>
      <c r="I1076" s="74"/>
      <c r="J1076" s="371"/>
      <c r="K1076" s="77"/>
      <c r="L1076" s="160"/>
      <c r="M1076" s="388"/>
      <c r="N1076" s="375"/>
      <c r="W1076" s="113"/>
      <c r="X1076" s="241"/>
      <c r="Y1076" s="284"/>
      <c r="Z1076" s="207"/>
      <c r="AA1076" s="284"/>
      <c r="AB1076" s="284"/>
      <c r="AC1076" s="137"/>
      <c r="AD1076" s="284"/>
      <c r="AE1076" s="299"/>
      <c r="AF1076" s="299"/>
      <c r="AG1076" s="284"/>
    </row>
    <row r="1077" spans="2:33">
      <c r="B1077" s="86"/>
      <c r="C1077" s="84"/>
      <c r="D1077" s="86"/>
      <c r="E1077" s="84"/>
      <c r="F1077" s="284"/>
      <c r="G1077" s="49"/>
      <c r="H1077" s="284"/>
      <c r="I1077" s="74"/>
      <c r="J1077" s="371"/>
      <c r="K1077" s="77"/>
      <c r="L1077" s="160"/>
      <c r="M1077" s="388"/>
      <c r="N1077" s="375"/>
      <c r="W1077" s="113"/>
      <c r="X1077" s="241"/>
      <c r="Y1077" s="284"/>
      <c r="Z1077" s="207"/>
      <c r="AA1077" s="284"/>
      <c r="AB1077" s="284"/>
      <c r="AC1077" s="137"/>
      <c r="AD1077" s="284"/>
      <c r="AE1077" s="299"/>
      <c r="AF1077" s="299"/>
      <c r="AG1077" s="284"/>
    </row>
    <row r="1078" spans="2:33">
      <c r="B1078" s="86"/>
      <c r="C1078" s="84"/>
      <c r="D1078" s="86"/>
      <c r="E1078" s="84"/>
      <c r="F1078" s="284"/>
      <c r="G1078" s="49"/>
      <c r="H1078" s="284"/>
      <c r="I1078" s="74"/>
      <c r="J1078" s="371"/>
      <c r="K1078" s="77"/>
      <c r="L1078" s="160"/>
      <c r="M1078" s="388"/>
      <c r="N1078" s="375"/>
      <c r="W1078" s="113"/>
      <c r="X1078" s="241"/>
      <c r="Y1078" s="284"/>
      <c r="Z1078" s="207"/>
      <c r="AA1078" s="284"/>
      <c r="AB1078" s="284"/>
      <c r="AC1078" s="137"/>
      <c r="AD1078" s="284"/>
      <c r="AE1078" s="299"/>
      <c r="AF1078" s="299"/>
      <c r="AG1078" s="284"/>
    </row>
    <row r="1079" spans="2:33">
      <c r="B1079" s="86"/>
      <c r="C1079" s="84"/>
      <c r="D1079" s="86"/>
      <c r="E1079" s="84"/>
      <c r="F1079" s="284"/>
      <c r="G1079" s="49"/>
      <c r="H1079" s="284"/>
      <c r="I1079" s="74"/>
      <c r="J1079" s="371"/>
      <c r="K1079" s="77"/>
      <c r="L1079" s="160"/>
      <c r="M1079" s="388"/>
      <c r="N1079" s="375"/>
      <c r="W1079" s="113"/>
      <c r="X1079" s="241"/>
      <c r="Y1079" s="284"/>
      <c r="Z1079" s="207"/>
      <c r="AA1079" s="284"/>
      <c r="AB1079" s="284"/>
      <c r="AC1079" s="137"/>
      <c r="AD1079" s="284"/>
      <c r="AE1079" s="299"/>
      <c r="AF1079" s="299"/>
      <c r="AG1079" s="284"/>
    </row>
    <row r="1080" spans="2:33">
      <c r="B1080" s="86"/>
      <c r="C1080" s="84"/>
      <c r="D1080" s="86"/>
      <c r="E1080" s="84"/>
      <c r="F1080" s="284"/>
      <c r="G1080" s="49"/>
      <c r="H1080" s="284"/>
      <c r="I1080" s="74"/>
      <c r="J1080" s="371"/>
      <c r="K1080" s="77"/>
      <c r="L1080" s="160"/>
      <c r="M1080" s="388"/>
      <c r="N1080" s="375"/>
      <c r="W1080" s="113"/>
      <c r="X1080" s="241"/>
      <c r="Y1080" s="284"/>
      <c r="Z1080" s="207"/>
      <c r="AA1080" s="284"/>
      <c r="AB1080" s="284"/>
      <c r="AC1080" s="137"/>
      <c r="AD1080" s="284"/>
      <c r="AE1080" s="299"/>
      <c r="AF1080" s="299"/>
      <c r="AG1080" s="284"/>
    </row>
    <row r="1081" spans="2:33">
      <c r="B1081" s="86"/>
      <c r="C1081" s="84"/>
      <c r="D1081" s="86"/>
      <c r="E1081" s="84"/>
      <c r="F1081" s="284"/>
      <c r="G1081" s="49"/>
      <c r="H1081" s="284"/>
      <c r="I1081" s="74"/>
      <c r="J1081" s="371"/>
      <c r="K1081" s="77"/>
      <c r="L1081" s="160"/>
      <c r="M1081" s="388"/>
      <c r="N1081" s="375"/>
      <c r="W1081" s="113"/>
      <c r="X1081" s="241"/>
      <c r="Y1081" s="284"/>
      <c r="Z1081" s="207"/>
      <c r="AA1081" s="284"/>
      <c r="AB1081" s="284"/>
      <c r="AC1081" s="137"/>
      <c r="AD1081" s="284"/>
      <c r="AE1081" s="299"/>
      <c r="AF1081" s="299"/>
      <c r="AG1081" s="284"/>
    </row>
    <row r="1082" spans="2:33">
      <c r="B1082" s="86"/>
      <c r="C1082" s="84"/>
      <c r="D1082" s="86"/>
      <c r="E1082" s="84"/>
      <c r="F1082" s="284"/>
      <c r="G1082" s="49"/>
      <c r="H1082" s="284"/>
      <c r="I1082" s="74"/>
      <c r="J1082" s="371"/>
      <c r="K1082" s="77"/>
      <c r="L1082" s="160"/>
      <c r="M1082" s="388"/>
      <c r="N1082" s="375"/>
      <c r="W1082" s="113"/>
      <c r="X1082" s="241"/>
      <c r="Y1082" s="284"/>
      <c r="Z1082" s="207"/>
      <c r="AA1082" s="284"/>
      <c r="AB1082" s="284"/>
      <c r="AC1082" s="137"/>
      <c r="AD1082" s="284"/>
      <c r="AE1082" s="299"/>
      <c r="AF1082" s="299"/>
      <c r="AG1082" s="284"/>
    </row>
    <row r="1083" spans="2:33">
      <c r="B1083" s="86"/>
      <c r="C1083" s="84"/>
      <c r="D1083" s="86"/>
      <c r="E1083" s="84"/>
      <c r="F1083" s="284"/>
      <c r="G1083" s="49"/>
      <c r="H1083" s="284"/>
      <c r="I1083" s="74"/>
      <c r="J1083" s="371"/>
      <c r="K1083" s="77"/>
      <c r="L1083" s="160"/>
      <c r="M1083" s="388"/>
      <c r="N1083" s="375"/>
      <c r="W1083" s="113"/>
      <c r="X1083" s="241"/>
      <c r="Y1083" s="284"/>
      <c r="Z1083" s="207"/>
      <c r="AA1083" s="284"/>
      <c r="AB1083" s="284"/>
      <c r="AC1083" s="137"/>
      <c r="AD1083" s="284"/>
      <c r="AE1083" s="299"/>
      <c r="AF1083" s="299"/>
      <c r="AG1083" s="284"/>
    </row>
    <row r="1084" spans="2:33">
      <c r="B1084" s="86"/>
      <c r="C1084" s="84"/>
      <c r="D1084" s="86"/>
      <c r="E1084" s="84"/>
      <c r="F1084" s="284"/>
      <c r="G1084" s="49"/>
      <c r="H1084" s="284"/>
      <c r="I1084" s="74"/>
      <c r="J1084" s="371"/>
      <c r="K1084" s="77"/>
      <c r="L1084" s="160"/>
      <c r="M1084" s="388"/>
      <c r="N1084" s="375"/>
      <c r="W1084" s="113"/>
      <c r="X1084" s="241"/>
      <c r="Y1084" s="284"/>
      <c r="Z1084" s="207"/>
      <c r="AA1084" s="284"/>
      <c r="AB1084" s="284"/>
      <c r="AC1084" s="137"/>
      <c r="AD1084" s="284"/>
      <c r="AE1084" s="299"/>
      <c r="AF1084" s="299"/>
      <c r="AG1084" s="284"/>
    </row>
    <row r="1085" spans="2:33">
      <c r="B1085" s="86"/>
      <c r="C1085" s="84"/>
      <c r="D1085" s="86"/>
      <c r="E1085" s="84"/>
      <c r="F1085" s="284"/>
      <c r="G1085" s="49"/>
      <c r="H1085" s="284"/>
      <c r="I1085" s="74"/>
      <c r="J1085" s="371"/>
      <c r="K1085" s="77"/>
      <c r="L1085" s="160"/>
      <c r="M1085" s="388"/>
      <c r="N1085" s="375"/>
      <c r="W1085" s="113"/>
      <c r="X1085" s="241"/>
      <c r="Y1085" s="284"/>
      <c r="Z1085" s="207"/>
      <c r="AA1085" s="284"/>
      <c r="AB1085" s="284"/>
      <c r="AC1085" s="137"/>
      <c r="AD1085" s="284"/>
      <c r="AE1085" s="299"/>
      <c r="AF1085" s="299"/>
      <c r="AG1085" s="284"/>
    </row>
    <row r="1086" spans="2:33">
      <c r="B1086" s="86"/>
      <c r="C1086" s="84"/>
      <c r="D1086" s="86"/>
      <c r="E1086" s="84"/>
      <c r="F1086" s="284"/>
      <c r="G1086" s="49"/>
      <c r="H1086" s="284"/>
      <c r="I1086" s="74"/>
      <c r="J1086" s="371"/>
      <c r="K1086" s="77"/>
      <c r="L1086" s="160"/>
      <c r="M1086" s="388"/>
      <c r="N1086" s="375"/>
      <c r="W1086" s="113"/>
      <c r="X1086" s="241"/>
      <c r="Y1086" s="284"/>
      <c r="Z1086" s="207"/>
      <c r="AA1086" s="284"/>
      <c r="AB1086" s="284"/>
      <c r="AC1086" s="137"/>
      <c r="AD1086" s="284"/>
      <c r="AE1086" s="299"/>
      <c r="AF1086" s="299"/>
      <c r="AG1086" s="284"/>
    </row>
    <row r="1087" spans="2:33">
      <c r="B1087" s="86"/>
      <c r="C1087" s="84"/>
      <c r="D1087" s="86"/>
      <c r="E1087" s="84"/>
      <c r="F1087" s="284"/>
      <c r="G1087" s="49"/>
      <c r="H1087" s="284"/>
      <c r="I1087" s="74"/>
      <c r="J1087" s="371"/>
      <c r="K1087" s="77"/>
      <c r="L1087" s="160"/>
      <c r="M1087" s="388"/>
      <c r="N1087" s="375"/>
      <c r="W1087" s="113"/>
      <c r="X1087" s="241"/>
      <c r="Y1087" s="284"/>
      <c r="Z1087" s="207"/>
      <c r="AA1087" s="284"/>
      <c r="AB1087" s="284"/>
      <c r="AC1087" s="137"/>
      <c r="AD1087" s="284"/>
      <c r="AE1087" s="299"/>
      <c r="AF1087" s="299"/>
      <c r="AG1087" s="284"/>
    </row>
    <row r="1088" spans="2:33">
      <c r="B1088" s="86"/>
      <c r="C1088" s="84"/>
      <c r="D1088" s="86"/>
      <c r="E1088" s="84"/>
      <c r="F1088" s="284"/>
      <c r="G1088" s="49"/>
      <c r="H1088" s="284"/>
      <c r="I1088" s="74"/>
      <c r="J1088" s="371"/>
      <c r="K1088" s="77"/>
      <c r="L1088" s="160"/>
      <c r="M1088" s="388"/>
      <c r="N1088" s="375"/>
      <c r="W1088" s="113"/>
      <c r="X1088" s="241"/>
      <c r="Y1088" s="284"/>
      <c r="Z1088" s="207"/>
      <c r="AA1088" s="284"/>
      <c r="AB1088" s="284"/>
      <c r="AC1088" s="137"/>
      <c r="AD1088" s="284"/>
      <c r="AE1088" s="299"/>
      <c r="AF1088" s="299"/>
      <c r="AG1088" s="284"/>
    </row>
    <row r="1089" spans="2:33">
      <c r="B1089" s="86"/>
      <c r="C1089" s="84"/>
      <c r="D1089" s="86"/>
      <c r="E1089" s="84"/>
      <c r="F1089" s="284"/>
      <c r="G1089" s="49"/>
      <c r="H1089" s="284"/>
      <c r="I1089" s="74"/>
      <c r="J1089" s="371"/>
      <c r="K1089" s="77"/>
      <c r="L1089" s="160"/>
      <c r="M1089" s="388"/>
      <c r="N1089" s="375"/>
      <c r="W1089" s="113"/>
      <c r="X1089" s="241"/>
      <c r="Y1089" s="284"/>
      <c r="Z1089" s="207"/>
      <c r="AA1089" s="284"/>
      <c r="AB1089" s="284"/>
      <c r="AC1089" s="137"/>
      <c r="AD1089" s="284"/>
      <c r="AE1089" s="299"/>
      <c r="AF1089" s="299"/>
      <c r="AG1089" s="284"/>
    </row>
    <row r="1090" spans="2:33">
      <c r="B1090" s="86"/>
      <c r="C1090" s="84"/>
      <c r="D1090" s="86"/>
      <c r="E1090" s="84"/>
      <c r="F1090" s="284"/>
      <c r="G1090" s="49"/>
      <c r="H1090" s="284"/>
      <c r="I1090" s="74"/>
      <c r="J1090" s="371"/>
      <c r="K1090" s="77"/>
      <c r="L1090" s="160"/>
      <c r="M1090" s="388"/>
      <c r="N1090" s="375"/>
      <c r="W1090" s="113"/>
      <c r="X1090" s="241"/>
      <c r="Y1090" s="284"/>
      <c r="Z1090" s="207"/>
      <c r="AA1090" s="284"/>
      <c r="AB1090" s="284"/>
      <c r="AC1090" s="137"/>
      <c r="AD1090" s="284"/>
      <c r="AE1090" s="299"/>
      <c r="AF1090" s="299"/>
      <c r="AG1090" s="284"/>
    </row>
    <row r="1091" spans="2:33">
      <c r="B1091" s="86"/>
      <c r="C1091" s="84"/>
      <c r="D1091" s="86"/>
      <c r="E1091" s="84"/>
      <c r="F1091" s="284"/>
      <c r="G1091" s="49"/>
      <c r="H1091" s="284"/>
      <c r="I1091" s="74"/>
      <c r="J1091" s="371"/>
      <c r="K1091" s="77"/>
      <c r="L1091" s="160"/>
      <c r="M1091" s="388"/>
      <c r="N1091" s="375"/>
      <c r="W1091" s="113"/>
      <c r="X1091" s="241"/>
      <c r="Y1091" s="284"/>
      <c r="Z1091" s="207"/>
      <c r="AA1091" s="284"/>
      <c r="AB1091" s="284"/>
      <c r="AC1091" s="137"/>
      <c r="AD1091" s="284"/>
      <c r="AE1091" s="299"/>
      <c r="AF1091" s="299"/>
      <c r="AG1091" s="284"/>
    </row>
    <row r="1092" spans="2:33">
      <c r="B1092" s="86"/>
      <c r="C1092" s="84"/>
      <c r="D1092" s="86"/>
      <c r="E1092" s="84"/>
      <c r="F1092" s="284"/>
      <c r="G1092" s="49"/>
      <c r="H1092" s="284"/>
      <c r="I1092" s="74"/>
      <c r="J1092" s="371"/>
      <c r="K1092" s="77"/>
      <c r="L1092" s="160"/>
      <c r="M1092" s="388"/>
      <c r="N1092" s="375"/>
      <c r="W1092" s="113"/>
      <c r="X1092" s="241"/>
      <c r="Y1092" s="284"/>
      <c r="Z1092" s="207"/>
      <c r="AA1092" s="284"/>
      <c r="AB1092" s="284"/>
      <c r="AC1092" s="137"/>
      <c r="AD1092" s="284"/>
      <c r="AE1092" s="299"/>
      <c r="AF1092" s="299"/>
      <c r="AG1092" s="284"/>
    </row>
    <row r="1093" spans="2:33">
      <c r="B1093" s="86"/>
      <c r="C1093" s="84"/>
      <c r="D1093" s="86"/>
      <c r="E1093" s="84"/>
      <c r="F1093" s="284"/>
      <c r="G1093" s="49"/>
      <c r="H1093" s="284"/>
      <c r="I1093" s="74"/>
      <c r="J1093" s="371"/>
      <c r="K1093" s="77"/>
      <c r="L1093" s="160"/>
      <c r="M1093" s="388"/>
      <c r="N1093" s="375"/>
      <c r="W1093" s="113"/>
      <c r="X1093" s="241"/>
      <c r="Y1093" s="284"/>
      <c r="Z1093" s="207"/>
      <c r="AA1093" s="284"/>
      <c r="AB1093" s="284"/>
      <c r="AC1093" s="137"/>
      <c r="AD1093" s="284"/>
      <c r="AE1093" s="299"/>
      <c r="AF1093" s="299"/>
      <c r="AG1093" s="284"/>
    </row>
    <row r="1094" spans="2:33">
      <c r="B1094" s="86"/>
      <c r="C1094" s="84"/>
      <c r="D1094" s="86"/>
      <c r="E1094" s="84"/>
      <c r="F1094" s="284"/>
      <c r="G1094" s="49"/>
      <c r="H1094" s="284"/>
      <c r="I1094" s="74"/>
      <c r="J1094" s="371"/>
      <c r="K1094" s="77"/>
      <c r="L1094" s="160"/>
      <c r="M1094" s="388"/>
      <c r="N1094" s="375"/>
      <c r="W1094" s="113"/>
      <c r="X1094" s="241"/>
      <c r="Y1094" s="284"/>
      <c r="Z1094" s="207"/>
      <c r="AA1094" s="284"/>
      <c r="AB1094" s="284"/>
      <c r="AC1094" s="137"/>
      <c r="AD1094" s="284"/>
      <c r="AE1094" s="299"/>
      <c r="AF1094" s="299"/>
      <c r="AG1094" s="284"/>
    </row>
    <row r="1095" spans="2:33">
      <c r="B1095" s="86"/>
      <c r="C1095" s="84"/>
      <c r="D1095" s="86"/>
      <c r="E1095" s="84"/>
      <c r="F1095" s="284"/>
      <c r="G1095" s="49"/>
      <c r="H1095" s="284"/>
      <c r="I1095" s="74"/>
      <c r="J1095" s="371"/>
      <c r="K1095" s="77"/>
      <c r="L1095" s="160"/>
      <c r="M1095" s="388"/>
      <c r="N1095" s="375"/>
      <c r="W1095" s="113"/>
      <c r="X1095" s="241"/>
      <c r="Y1095" s="284"/>
      <c r="Z1095" s="207"/>
      <c r="AA1095" s="284"/>
      <c r="AB1095" s="284"/>
      <c r="AC1095" s="137"/>
      <c r="AD1095" s="284"/>
      <c r="AE1095" s="299"/>
      <c r="AF1095" s="299"/>
      <c r="AG1095" s="284"/>
    </row>
    <row r="1096" spans="2:33">
      <c r="B1096" s="86"/>
      <c r="C1096" s="84"/>
      <c r="D1096" s="86"/>
      <c r="E1096" s="84"/>
      <c r="F1096" s="284"/>
      <c r="G1096" s="49"/>
      <c r="H1096" s="284"/>
      <c r="I1096" s="74"/>
      <c r="J1096" s="371"/>
      <c r="K1096" s="77"/>
      <c r="L1096" s="160"/>
      <c r="M1096" s="388"/>
      <c r="N1096" s="375"/>
      <c r="W1096" s="113"/>
      <c r="X1096" s="241"/>
      <c r="Y1096" s="284"/>
      <c r="Z1096" s="207"/>
      <c r="AA1096" s="284"/>
      <c r="AB1096" s="284"/>
      <c r="AC1096" s="137"/>
      <c r="AD1096" s="284"/>
      <c r="AE1096" s="299"/>
      <c r="AF1096" s="299"/>
      <c r="AG1096" s="284"/>
    </row>
    <row r="1097" spans="2:33">
      <c r="B1097" s="86"/>
      <c r="C1097" s="84"/>
      <c r="D1097" s="86"/>
      <c r="E1097" s="84"/>
      <c r="F1097" s="284"/>
      <c r="G1097" s="49"/>
      <c r="H1097" s="284"/>
      <c r="I1097" s="74"/>
      <c r="J1097" s="371"/>
      <c r="K1097" s="77"/>
      <c r="L1097" s="160"/>
      <c r="M1097" s="388"/>
      <c r="N1097" s="375"/>
      <c r="W1097" s="113"/>
      <c r="X1097" s="241"/>
      <c r="Y1097" s="284"/>
      <c r="Z1097" s="207"/>
      <c r="AA1097" s="284"/>
      <c r="AB1097" s="284"/>
      <c r="AC1097" s="137"/>
      <c r="AD1097" s="284"/>
      <c r="AE1097" s="299"/>
      <c r="AF1097" s="299"/>
      <c r="AG1097" s="284"/>
    </row>
    <row r="1098" spans="2:33">
      <c r="B1098" s="86"/>
      <c r="C1098" s="84"/>
      <c r="D1098" s="86"/>
      <c r="E1098" s="84"/>
      <c r="F1098" s="284"/>
      <c r="G1098" s="49"/>
      <c r="H1098" s="284"/>
      <c r="I1098" s="74"/>
      <c r="J1098" s="371"/>
      <c r="K1098" s="77"/>
      <c r="L1098" s="160"/>
      <c r="M1098" s="388"/>
      <c r="N1098" s="375"/>
      <c r="W1098" s="113"/>
      <c r="X1098" s="241"/>
      <c r="Y1098" s="284"/>
      <c r="Z1098" s="207"/>
      <c r="AA1098" s="284"/>
      <c r="AB1098" s="284"/>
      <c r="AC1098" s="137"/>
      <c r="AD1098" s="284"/>
      <c r="AE1098" s="299"/>
      <c r="AF1098" s="299"/>
      <c r="AG1098" s="284"/>
    </row>
    <row r="1099" spans="2:33">
      <c r="B1099" s="86"/>
      <c r="C1099" s="84"/>
      <c r="D1099" s="86"/>
      <c r="E1099" s="84"/>
      <c r="F1099" s="284"/>
      <c r="G1099" s="49"/>
      <c r="H1099" s="284"/>
      <c r="I1099" s="74"/>
      <c r="J1099" s="371"/>
      <c r="K1099" s="77"/>
      <c r="L1099" s="160"/>
      <c r="M1099" s="388"/>
      <c r="N1099" s="375"/>
      <c r="W1099" s="113"/>
      <c r="X1099" s="241"/>
      <c r="Y1099" s="284"/>
      <c r="Z1099" s="207"/>
      <c r="AA1099" s="284"/>
      <c r="AB1099" s="284"/>
      <c r="AC1099" s="137"/>
      <c r="AD1099" s="284"/>
      <c r="AE1099" s="299"/>
      <c r="AF1099" s="299"/>
      <c r="AG1099" s="284"/>
    </row>
    <row r="1100" spans="2:33">
      <c r="B1100" s="86"/>
      <c r="C1100" s="84"/>
      <c r="D1100" s="86"/>
      <c r="E1100" s="84"/>
      <c r="F1100" s="284"/>
      <c r="G1100" s="49"/>
      <c r="H1100" s="284"/>
      <c r="I1100" s="74"/>
      <c r="J1100" s="371"/>
      <c r="K1100" s="77"/>
      <c r="L1100" s="160"/>
      <c r="M1100" s="388"/>
      <c r="N1100" s="375"/>
      <c r="W1100" s="113"/>
      <c r="X1100" s="241"/>
      <c r="Y1100" s="284"/>
      <c r="Z1100" s="207"/>
      <c r="AA1100" s="284"/>
      <c r="AB1100" s="284"/>
      <c r="AC1100" s="137"/>
      <c r="AD1100" s="284"/>
      <c r="AE1100" s="299"/>
      <c r="AF1100" s="299"/>
      <c r="AG1100" s="284"/>
    </row>
    <row r="1101" spans="2:33">
      <c r="B1101" s="86"/>
      <c r="C1101" s="84"/>
      <c r="D1101" s="86"/>
      <c r="E1101" s="84"/>
      <c r="F1101" s="284"/>
      <c r="G1101" s="49"/>
      <c r="H1101" s="284"/>
      <c r="I1101" s="74"/>
      <c r="J1101" s="371"/>
      <c r="K1101" s="77"/>
      <c r="L1101" s="160"/>
      <c r="M1101" s="388"/>
      <c r="N1101" s="375"/>
      <c r="W1101" s="113"/>
      <c r="X1101" s="241"/>
      <c r="Y1101" s="284"/>
      <c r="Z1101" s="207"/>
      <c r="AA1101" s="284"/>
      <c r="AB1101" s="284"/>
      <c r="AC1101" s="137"/>
      <c r="AD1101" s="284"/>
      <c r="AE1101" s="299"/>
      <c r="AF1101" s="299"/>
      <c r="AG1101" s="284"/>
    </row>
    <row r="1102" spans="2:33">
      <c r="B1102" s="86"/>
      <c r="C1102" s="84"/>
      <c r="D1102" s="86"/>
      <c r="E1102" s="84"/>
      <c r="F1102" s="284"/>
      <c r="G1102" s="49"/>
      <c r="H1102" s="284"/>
      <c r="I1102" s="74"/>
      <c r="J1102" s="371"/>
      <c r="K1102" s="77"/>
      <c r="L1102" s="160"/>
      <c r="M1102" s="388"/>
      <c r="N1102" s="375"/>
      <c r="W1102" s="113"/>
      <c r="X1102" s="241"/>
      <c r="Y1102" s="284"/>
      <c r="Z1102" s="207"/>
      <c r="AA1102" s="284"/>
      <c r="AB1102" s="284"/>
      <c r="AC1102" s="137"/>
      <c r="AD1102" s="284"/>
      <c r="AE1102" s="299"/>
      <c r="AF1102" s="299"/>
      <c r="AG1102" s="284"/>
    </row>
    <row r="1103" spans="2:33">
      <c r="B1103" s="86"/>
      <c r="C1103" s="84"/>
      <c r="D1103" s="86"/>
      <c r="E1103" s="84"/>
      <c r="F1103" s="284"/>
      <c r="G1103" s="49"/>
      <c r="H1103" s="284"/>
      <c r="I1103" s="74"/>
      <c r="J1103" s="371"/>
      <c r="K1103" s="77"/>
      <c r="L1103" s="160"/>
      <c r="M1103" s="388"/>
      <c r="N1103" s="375"/>
      <c r="W1103" s="113"/>
      <c r="X1103" s="241"/>
      <c r="Y1103" s="284"/>
      <c r="Z1103" s="207"/>
      <c r="AA1103" s="284"/>
      <c r="AB1103" s="284"/>
      <c r="AC1103" s="137"/>
      <c r="AD1103" s="284"/>
      <c r="AE1103" s="299"/>
      <c r="AF1103" s="299"/>
      <c r="AG1103" s="284"/>
    </row>
    <row r="1104" spans="2:33">
      <c r="B1104" s="86"/>
      <c r="C1104" s="84"/>
      <c r="D1104" s="86"/>
      <c r="E1104" s="84"/>
      <c r="F1104" s="284"/>
      <c r="G1104" s="49"/>
      <c r="H1104" s="284"/>
      <c r="I1104" s="74"/>
      <c r="J1104" s="371"/>
      <c r="K1104" s="77"/>
      <c r="L1104" s="160"/>
      <c r="M1104" s="388"/>
      <c r="N1104" s="375"/>
      <c r="W1104" s="113"/>
      <c r="X1104" s="241"/>
      <c r="Y1104" s="284"/>
      <c r="Z1104" s="207"/>
      <c r="AA1104" s="284"/>
      <c r="AB1104" s="284"/>
      <c r="AC1104" s="137"/>
      <c r="AD1104" s="284"/>
      <c r="AE1104" s="299"/>
      <c r="AF1104" s="299"/>
      <c r="AG1104" s="284"/>
    </row>
    <row r="1105" spans="2:33">
      <c r="B1105" s="86"/>
      <c r="C1105" s="84"/>
      <c r="D1105" s="86"/>
      <c r="E1105" s="84"/>
      <c r="F1105" s="284"/>
      <c r="G1105" s="49"/>
      <c r="H1105" s="284"/>
      <c r="I1105" s="74"/>
      <c r="J1105" s="371"/>
      <c r="K1105" s="77"/>
      <c r="L1105" s="160"/>
      <c r="M1105" s="388"/>
      <c r="N1105" s="375"/>
      <c r="W1105" s="113"/>
      <c r="X1105" s="241"/>
      <c r="Y1105" s="284"/>
      <c r="Z1105" s="207"/>
      <c r="AA1105" s="284"/>
      <c r="AB1105" s="284"/>
      <c r="AC1105" s="137"/>
      <c r="AD1105" s="284"/>
      <c r="AE1105" s="299"/>
      <c r="AF1105" s="299"/>
      <c r="AG1105" s="284"/>
    </row>
    <row r="1106" spans="2:33">
      <c r="B1106" s="86"/>
      <c r="C1106" s="84"/>
      <c r="D1106" s="86"/>
      <c r="E1106" s="84"/>
      <c r="F1106" s="284"/>
      <c r="G1106" s="49"/>
      <c r="H1106" s="284"/>
      <c r="I1106" s="74"/>
      <c r="J1106" s="371"/>
      <c r="K1106" s="77"/>
      <c r="L1106" s="160"/>
      <c r="M1106" s="388"/>
      <c r="N1106" s="375"/>
      <c r="W1106" s="113"/>
      <c r="X1106" s="241"/>
      <c r="Y1106" s="284"/>
      <c r="Z1106" s="207"/>
      <c r="AA1106" s="284"/>
      <c r="AB1106" s="284"/>
      <c r="AC1106" s="137"/>
      <c r="AD1106" s="284"/>
      <c r="AE1106" s="299"/>
      <c r="AF1106" s="299"/>
      <c r="AG1106" s="284"/>
    </row>
    <row r="1107" spans="2:33">
      <c r="B1107" s="86"/>
      <c r="C1107" s="84"/>
      <c r="D1107" s="86"/>
      <c r="E1107" s="84"/>
      <c r="F1107" s="284"/>
      <c r="G1107" s="49"/>
      <c r="H1107" s="284"/>
      <c r="I1107" s="74"/>
      <c r="J1107" s="371"/>
      <c r="K1107" s="77"/>
      <c r="L1107" s="160"/>
      <c r="M1107" s="388"/>
      <c r="N1107" s="375"/>
      <c r="W1107" s="113"/>
      <c r="X1107" s="241"/>
      <c r="Y1107" s="284"/>
      <c r="Z1107" s="207"/>
      <c r="AA1107" s="284"/>
      <c r="AB1107" s="284"/>
      <c r="AC1107" s="137"/>
      <c r="AD1107" s="284"/>
      <c r="AE1107" s="299"/>
      <c r="AF1107" s="299"/>
      <c r="AG1107" s="284"/>
    </row>
    <row r="1108" spans="2:33">
      <c r="B1108" s="86"/>
      <c r="C1108" s="84"/>
      <c r="D1108" s="86"/>
      <c r="E1108" s="84"/>
      <c r="F1108" s="284"/>
      <c r="G1108" s="49"/>
      <c r="H1108" s="284"/>
      <c r="I1108" s="74"/>
      <c r="J1108" s="371"/>
      <c r="K1108" s="77"/>
      <c r="L1108" s="160"/>
      <c r="M1108" s="388"/>
      <c r="N1108" s="375"/>
      <c r="W1108" s="113"/>
      <c r="X1108" s="241"/>
      <c r="Y1108" s="284"/>
      <c r="Z1108" s="207"/>
      <c r="AA1108" s="284"/>
      <c r="AB1108" s="284"/>
      <c r="AC1108" s="137"/>
      <c r="AD1108" s="284"/>
      <c r="AE1108" s="299"/>
      <c r="AF1108" s="299"/>
      <c r="AG1108" s="284"/>
    </row>
    <row r="1109" spans="2:33">
      <c r="B1109" s="86"/>
      <c r="C1109" s="84"/>
      <c r="D1109" s="86"/>
      <c r="E1109" s="84"/>
      <c r="F1109" s="284"/>
      <c r="G1109" s="49"/>
      <c r="H1109" s="284"/>
      <c r="I1109" s="74"/>
      <c r="J1109" s="371"/>
      <c r="K1109" s="77"/>
      <c r="L1109" s="160"/>
      <c r="M1109" s="388"/>
      <c r="N1109" s="375"/>
      <c r="W1109" s="113"/>
      <c r="X1109" s="241"/>
      <c r="Y1109" s="284"/>
      <c r="Z1109" s="207"/>
      <c r="AA1109" s="284"/>
      <c r="AB1109" s="284"/>
      <c r="AC1109" s="137"/>
      <c r="AD1109" s="284"/>
      <c r="AE1109" s="299"/>
      <c r="AF1109" s="299"/>
      <c r="AG1109" s="284"/>
    </row>
    <row r="1110" spans="2:33">
      <c r="B1110" s="86"/>
      <c r="C1110" s="84"/>
      <c r="D1110" s="86"/>
      <c r="E1110" s="84"/>
      <c r="F1110" s="284"/>
      <c r="G1110" s="49"/>
      <c r="H1110" s="284"/>
      <c r="I1110" s="74"/>
      <c r="J1110" s="371"/>
      <c r="K1110" s="77"/>
      <c r="L1110" s="160"/>
      <c r="M1110" s="388"/>
      <c r="N1110" s="375"/>
      <c r="W1110" s="113"/>
      <c r="X1110" s="241"/>
      <c r="Y1110" s="284"/>
      <c r="Z1110" s="207"/>
      <c r="AA1110" s="284"/>
      <c r="AB1110" s="284"/>
      <c r="AC1110" s="137"/>
      <c r="AD1110" s="284"/>
      <c r="AE1110" s="299"/>
      <c r="AF1110" s="299"/>
      <c r="AG1110" s="284"/>
    </row>
    <row r="1111" spans="2:33">
      <c r="B1111" s="86"/>
      <c r="C1111" s="84"/>
      <c r="D1111" s="86"/>
      <c r="E1111" s="84"/>
      <c r="F1111" s="284"/>
      <c r="G1111" s="49"/>
      <c r="H1111" s="284"/>
      <c r="I1111" s="74"/>
      <c r="J1111" s="371"/>
      <c r="K1111" s="77"/>
      <c r="L1111" s="160"/>
      <c r="M1111" s="388"/>
      <c r="N1111" s="375"/>
      <c r="W1111" s="113"/>
      <c r="X1111" s="241"/>
      <c r="Y1111" s="284"/>
      <c r="Z1111" s="207"/>
      <c r="AA1111" s="284"/>
      <c r="AB1111" s="284"/>
      <c r="AC1111" s="137"/>
      <c r="AD1111" s="284"/>
      <c r="AE1111" s="299"/>
      <c r="AF1111" s="299"/>
      <c r="AG1111" s="284"/>
    </row>
    <row r="1112" spans="2:33">
      <c r="B1112" s="86"/>
      <c r="C1112" s="84"/>
      <c r="D1112" s="86"/>
      <c r="E1112" s="84"/>
      <c r="F1112" s="284"/>
      <c r="G1112" s="49"/>
      <c r="H1112" s="284"/>
      <c r="I1112" s="74"/>
      <c r="J1112" s="371"/>
      <c r="K1112" s="77"/>
      <c r="L1112" s="160"/>
      <c r="M1112" s="388"/>
      <c r="N1112" s="375"/>
      <c r="W1112" s="113"/>
      <c r="X1112" s="241"/>
      <c r="Y1112" s="284"/>
      <c r="Z1112" s="207"/>
      <c r="AA1112" s="284"/>
      <c r="AB1112" s="284"/>
      <c r="AC1112" s="137"/>
      <c r="AD1112" s="284"/>
      <c r="AE1112" s="299"/>
      <c r="AF1112" s="299"/>
      <c r="AG1112" s="284"/>
    </row>
    <row r="1113" spans="2:33">
      <c r="B1113" s="86"/>
      <c r="C1113" s="84"/>
      <c r="D1113" s="86"/>
      <c r="E1113" s="84"/>
      <c r="F1113" s="284"/>
      <c r="G1113" s="49"/>
      <c r="H1113" s="284"/>
      <c r="I1113" s="74"/>
      <c r="J1113" s="371"/>
      <c r="K1113" s="77"/>
      <c r="L1113" s="160"/>
      <c r="M1113" s="388"/>
      <c r="N1113" s="375"/>
      <c r="W1113" s="113"/>
      <c r="X1113" s="241"/>
      <c r="Y1113" s="284"/>
      <c r="Z1113" s="207"/>
      <c r="AA1113" s="284"/>
      <c r="AB1113" s="284"/>
      <c r="AC1113" s="137"/>
      <c r="AD1113" s="284"/>
      <c r="AE1113" s="299"/>
      <c r="AF1113" s="299"/>
      <c r="AG1113" s="284"/>
    </row>
    <row r="1114" spans="2:33">
      <c r="B1114" s="86"/>
      <c r="C1114" s="84"/>
      <c r="D1114" s="86"/>
      <c r="E1114" s="84"/>
      <c r="F1114" s="284"/>
      <c r="G1114" s="49"/>
      <c r="H1114" s="284"/>
      <c r="I1114" s="74"/>
      <c r="J1114" s="371"/>
      <c r="K1114" s="77"/>
      <c r="L1114" s="160"/>
      <c r="M1114" s="388"/>
      <c r="N1114" s="375"/>
      <c r="W1114" s="113"/>
      <c r="X1114" s="241"/>
      <c r="Y1114" s="284"/>
      <c r="Z1114" s="207"/>
      <c r="AA1114" s="284"/>
      <c r="AB1114" s="284"/>
      <c r="AC1114" s="137"/>
      <c r="AD1114" s="284"/>
      <c r="AE1114" s="299"/>
      <c r="AF1114" s="299"/>
      <c r="AG1114" s="284"/>
    </row>
    <row r="1115" spans="2:33">
      <c r="B1115" s="86"/>
      <c r="C1115" s="84"/>
      <c r="D1115" s="86"/>
      <c r="E1115" s="84"/>
      <c r="F1115" s="284"/>
      <c r="G1115" s="49"/>
      <c r="H1115" s="284"/>
      <c r="I1115" s="74"/>
      <c r="J1115" s="371"/>
      <c r="K1115" s="77"/>
      <c r="L1115" s="160"/>
      <c r="M1115" s="388"/>
      <c r="N1115" s="375"/>
      <c r="W1115" s="113"/>
      <c r="X1115" s="241"/>
      <c r="Y1115" s="284"/>
      <c r="Z1115" s="207"/>
      <c r="AA1115" s="284"/>
      <c r="AB1115" s="284"/>
      <c r="AC1115" s="137"/>
      <c r="AD1115" s="284"/>
      <c r="AE1115" s="299"/>
      <c r="AF1115" s="299"/>
      <c r="AG1115" s="284"/>
    </row>
    <row r="1116" spans="2:33">
      <c r="B1116" s="86"/>
      <c r="C1116" s="84"/>
      <c r="D1116" s="86"/>
      <c r="E1116" s="84"/>
      <c r="F1116" s="284"/>
      <c r="G1116" s="49"/>
      <c r="H1116" s="284"/>
      <c r="I1116" s="74"/>
      <c r="J1116" s="371"/>
      <c r="K1116" s="77"/>
      <c r="L1116" s="160"/>
      <c r="M1116" s="388"/>
      <c r="N1116" s="375"/>
      <c r="W1116" s="113"/>
      <c r="X1116" s="241"/>
      <c r="Y1116" s="284"/>
      <c r="Z1116" s="207"/>
      <c r="AA1116" s="284"/>
      <c r="AB1116" s="284"/>
      <c r="AC1116" s="137"/>
      <c r="AD1116" s="284"/>
      <c r="AE1116" s="299"/>
      <c r="AF1116" s="299"/>
      <c r="AG1116" s="284"/>
    </row>
    <row r="1117" spans="2:33">
      <c r="B1117" s="86"/>
      <c r="C1117" s="84"/>
      <c r="D1117" s="86"/>
      <c r="E1117" s="84"/>
      <c r="F1117" s="284"/>
      <c r="G1117" s="49"/>
      <c r="H1117" s="284"/>
      <c r="I1117" s="74"/>
      <c r="J1117" s="371"/>
      <c r="K1117" s="77"/>
      <c r="L1117" s="160"/>
      <c r="M1117" s="388"/>
      <c r="N1117" s="375"/>
      <c r="W1117" s="113"/>
      <c r="X1117" s="241"/>
      <c r="Y1117" s="284"/>
      <c r="Z1117" s="207"/>
      <c r="AA1117" s="284"/>
      <c r="AB1117" s="284"/>
      <c r="AC1117" s="137"/>
      <c r="AD1117" s="284"/>
      <c r="AE1117" s="299"/>
      <c r="AF1117" s="299"/>
      <c r="AG1117" s="284"/>
    </row>
    <row r="1118" spans="2:33">
      <c r="B1118" s="86"/>
      <c r="C1118" s="84"/>
      <c r="D1118" s="86"/>
      <c r="E1118" s="84"/>
      <c r="F1118" s="284"/>
      <c r="G1118" s="49"/>
      <c r="H1118" s="284"/>
      <c r="I1118" s="74"/>
      <c r="J1118" s="371"/>
      <c r="K1118" s="77"/>
      <c r="L1118" s="160"/>
      <c r="M1118" s="388"/>
      <c r="N1118" s="375"/>
      <c r="W1118" s="113"/>
      <c r="X1118" s="241"/>
      <c r="Y1118" s="284"/>
      <c r="Z1118" s="207"/>
      <c r="AA1118" s="284"/>
      <c r="AB1118" s="284"/>
      <c r="AC1118" s="137"/>
      <c r="AD1118" s="284"/>
      <c r="AE1118" s="299"/>
      <c r="AF1118" s="299"/>
      <c r="AG1118" s="284"/>
    </row>
    <row r="1119" spans="2:33">
      <c r="B1119" s="86"/>
      <c r="C1119" s="84"/>
      <c r="D1119" s="86"/>
      <c r="E1119" s="84"/>
      <c r="F1119" s="284"/>
      <c r="G1119" s="49"/>
      <c r="H1119" s="284"/>
      <c r="I1119" s="74"/>
      <c r="J1119" s="371"/>
      <c r="K1119" s="77"/>
      <c r="L1119" s="160"/>
      <c r="M1119" s="388"/>
      <c r="N1119" s="375"/>
      <c r="W1119" s="113"/>
      <c r="X1119" s="241"/>
      <c r="Y1119" s="284"/>
      <c r="Z1119" s="207"/>
      <c r="AA1119" s="284"/>
      <c r="AB1119" s="284"/>
      <c r="AC1119" s="137"/>
      <c r="AD1119" s="284"/>
      <c r="AE1119" s="299"/>
      <c r="AF1119" s="299"/>
      <c r="AG1119" s="284"/>
    </row>
    <row r="1120" spans="2:33">
      <c r="B1120" s="86"/>
      <c r="C1120" s="84"/>
      <c r="D1120" s="86"/>
      <c r="E1120" s="84"/>
      <c r="F1120" s="284"/>
      <c r="G1120" s="49"/>
      <c r="H1120" s="284"/>
      <c r="I1120" s="74"/>
      <c r="J1120" s="371"/>
      <c r="K1120" s="77"/>
      <c r="L1120" s="160"/>
      <c r="M1120" s="388"/>
      <c r="N1120" s="375"/>
      <c r="W1120" s="113"/>
      <c r="X1120" s="241"/>
      <c r="Y1120" s="284"/>
      <c r="Z1120" s="207"/>
      <c r="AA1120" s="284"/>
      <c r="AB1120" s="284"/>
      <c r="AC1120" s="137"/>
      <c r="AD1120" s="284"/>
      <c r="AE1120" s="299"/>
      <c r="AF1120" s="299"/>
      <c r="AG1120" s="284"/>
    </row>
    <row r="1121" spans="2:33">
      <c r="B1121" s="86"/>
      <c r="C1121" s="84"/>
      <c r="D1121" s="86"/>
      <c r="E1121" s="84"/>
      <c r="F1121" s="284"/>
      <c r="G1121" s="49"/>
      <c r="H1121" s="284"/>
      <c r="I1121" s="74"/>
      <c r="J1121" s="371"/>
      <c r="K1121" s="77"/>
      <c r="L1121" s="160"/>
      <c r="M1121" s="388"/>
      <c r="N1121" s="375"/>
      <c r="W1121" s="113"/>
      <c r="X1121" s="241"/>
      <c r="Y1121" s="284"/>
      <c r="Z1121" s="207"/>
      <c r="AA1121" s="284"/>
      <c r="AB1121" s="284"/>
      <c r="AC1121" s="137"/>
      <c r="AD1121" s="284"/>
      <c r="AE1121" s="299"/>
      <c r="AF1121" s="299"/>
      <c r="AG1121" s="284"/>
    </row>
    <row r="1122" spans="2:33">
      <c r="B1122" s="86"/>
      <c r="C1122" s="84"/>
      <c r="D1122" s="86"/>
      <c r="E1122" s="84"/>
      <c r="F1122" s="284"/>
      <c r="G1122" s="49"/>
      <c r="H1122" s="284"/>
      <c r="I1122" s="74"/>
      <c r="J1122" s="371"/>
      <c r="K1122" s="77"/>
      <c r="L1122" s="160"/>
      <c r="M1122" s="388"/>
      <c r="N1122" s="375"/>
      <c r="W1122" s="113"/>
      <c r="X1122" s="241"/>
      <c r="Y1122" s="284"/>
      <c r="Z1122" s="207"/>
      <c r="AA1122" s="284"/>
      <c r="AB1122" s="284"/>
      <c r="AC1122" s="137"/>
      <c r="AD1122" s="284"/>
      <c r="AE1122" s="299"/>
      <c r="AF1122" s="299"/>
      <c r="AG1122" s="284"/>
    </row>
    <row r="1123" spans="2:33">
      <c r="B1123" s="86"/>
      <c r="C1123" s="84"/>
      <c r="D1123" s="86"/>
      <c r="E1123" s="84"/>
      <c r="F1123" s="284"/>
      <c r="G1123" s="49"/>
      <c r="H1123" s="284"/>
      <c r="I1123" s="74"/>
      <c r="J1123" s="371"/>
      <c r="K1123" s="77"/>
      <c r="L1123" s="160"/>
      <c r="M1123" s="388"/>
      <c r="N1123" s="375"/>
      <c r="W1123" s="113"/>
      <c r="X1123" s="241"/>
      <c r="Y1123" s="284"/>
      <c r="Z1123" s="207"/>
      <c r="AA1123" s="284"/>
      <c r="AB1123" s="284"/>
      <c r="AC1123" s="137"/>
      <c r="AD1123" s="284"/>
      <c r="AE1123" s="299"/>
      <c r="AF1123" s="299"/>
      <c r="AG1123" s="284"/>
    </row>
    <row r="1124" spans="2:33">
      <c r="B1124" s="86"/>
      <c r="C1124" s="84"/>
      <c r="D1124" s="86"/>
      <c r="E1124" s="84"/>
      <c r="F1124" s="284"/>
      <c r="G1124" s="49"/>
      <c r="H1124" s="284"/>
      <c r="I1124" s="74"/>
      <c r="J1124" s="371"/>
      <c r="K1124" s="77"/>
      <c r="L1124" s="160"/>
      <c r="M1124" s="388"/>
      <c r="N1124" s="375"/>
      <c r="W1124" s="113"/>
      <c r="X1124" s="241"/>
      <c r="Y1124" s="284"/>
      <c r="Z1124" s="207"/>
      <c r="AA1124" s="284"/>
      <c r="AB1124" s="284"/>
      <c r="AC1124" s="137"/>
      <c r="AD1124" s="284"/>
      <c r="AE1124" s="299"/>
      <c r="AF1124" s="299"/>
      <c r="AG1124" s="284"/>
    </row>
    <row r="1125" spans="2:33">
      <c r="B1125" s="86"/>
      <c r="C1125" s="84"/>
      <c r="D1125" s="86"/>
      <c r="E1125" s="84"/>
      <c r="F1125" s="284"/>
      <c r="G1125" s="49"/>
      <c r="H1125" s="284"/>
      <c r="I1125" s="74"/>
      <c r="J1125" s="371"/>
      <c r="K1125" s="77"/>
      <c r="L1125" s="160"/>
      <c r="M1125" s="388"/>
      <c r="N1125" s="375"/>
      <c r="W1125" s="113"/>
      <c r="X1125" s="241"/>
      <c r="Y1125" s="284"/>
      <c r="Z1125" s="207"/>
      <c r="AA1125" s="284"/>
      <c r="AB1125" s="284"/>
      <c r="AC1125" s="137"/>
      <c r="AD1125" s="284"/>
      <c r="AE1125" s="299"/>
      <c r="AF1125" s="299"/>
      <c r="AG1125" s="284"/>
    </row>
    <row r="1126" spans="2:33">
      <c r="B1126" s="86"/>
      <c r="C1126" s="84"/>
      <c r="D1126" s="86"/>
      <c r="E1126" s="84"/>
      <c r="F1126" s="284"/>
      <c r="G1126" s="49"/>
      <c r="H1126" s="284"/>
      <c r="I1126" s="74"/>
      <c r="J1126" s="371"/>
      <c r="K1126" s="77"/>
      <c r="L1126" s="160"/>
      <c r="M1126" s="388"/>
      <c r="N1126" s="375"/>
      <c r="W1126" s="113"/>
      <c r="X1126" s="241"/>
      <c r="Y1126" s="284"/>
      <c r="Z1126" s="207"/>
      <c r="AA1126" s="284"/>
      <c r="AB1126" s="284"/>
      <c r="AC1126" s="137"/>
      <c r="AD1126" s="284"/>
      <c r="AE1126" s="299"/>
      <c r="AF1126" s="299"/>
      <c r="AG1126" s="284"/>
    </row>
    <row r="1127" spans="2:33">
      <c r="B1127" s="86"/>
      <c r="C1127" s="84"/>
      <c r="D1127" s="86"/>
      <c r="E1127" s="84"/>
      <c r="F1127" s="284"/>
      <c r="G1127" s="49"/>
      <c r="H1127" s="284"/>
      <c r="I1127" s="74"/>
      <c r="J1127" s="371"/>
      <c r="K1127" s="77"/>
      <c r="L1127" s="160"/>
      <c r="M1127" s="388"/>
      <c r="N1127" s="375"/>
      <c r="W1127" s="113"/>
      <c r="X1127" s="241"/>
      <c r="Y1127" s="284"/>
      <c r="Z1127" s="207"/>
      <c r="AA1127" s="284"/>
      <c r="AB1127" s="284"/>
      <c r="AC1127" s="137"/>
      <c r="AD1127" s="284"/>
      <c r="AE1127" s="299"/>
      <c r="AF1127" s="299"/>
      <c r="AG1127" s="284"/>
    </row>
    <row r="1128" spans="2:33">
      <c r="B1128" s="86"/>
      <c r="C1128" s="84"/>
      <c r="D1128" s="86"/>
      <c r="E1128" s="84"/>
      <c r="F1128" s="284"/>
      <c r="G1128" s="49"/>
      <c r="H1128" s="284"/>
      <c r="I1128" s="74"/>
      <c r="J1128" s="371"/>
      <c r="K1128" s="77"/>
      <c r="L1128" s="160"/>
      <c r="M1128" s="388"/>
      <c r="N1128" s="375"/>
      <c r="W1128" s="113"/>
      <c r="X1128" s="241"/>
      <c r="Y1128" s="284"/>
      <c r="Z1128" s="207"/>
      <c r="AA1128" s="284"/>
      <c r="AB1128" s="284"/>
      <c r="AC1128" s="137"/>
      <c r="AD1128" s="284"/>
      <c r="AE1128" s="299"/>
      <c r="AF1128" s="299"/>
      <c r="AG1128" s="284"/>
    </row>
    <row r="1129" spans="2:33">
      <c r="B1129" s="86"/>
      <c r="C1129" s="84"/>
      <c r="D1129" s="86"/>
      <c r="E1129" s="84"/>
      <c r="F1129" s="284"/>
      <c r="G1129" s="49"/>
      <c r="H1129" s="284"/>
      <c r="I1129" s="74"/>
      <c r="J1129" s="371"/>
      <c r="K1129" s="77"/>
      <c r="L1129" s="160"/>
      <c r="M1129" s="388"/>
      <c r="N1129" s="375"/>
      <c r="W1129" s="113"/>
      <c r="X1129" s="241"/>
      <c r="Y1129" s="284"/>
      <c r="Z1129" s="207"/>
      <c r="AA1129" s="284"/>
      <c r="AB1129" s="284"/>
      <c r="AC1129" s="137"/>
      <c r="AD1129" s="284"/>
      <c r="AE1129" s="299"/>
      <c r="AF1129" s="299"/>
      <c r="AG1129" s="284"/>
    </row>
    <row r="1130" spans="2:33">
      <c r="B1130" s="86"/>
      <c r="C1130" s="84"/>
      <c r="D1130" s="86"/>
      <c r="E1130" s="84"/>
      <c r="F1130" s="284"/>
      <c r="G1130" s="49"/>
      <c r="H1130" s="284"/>
      <c r="I1130" s="74"/>
      <c r="J1130" s="371"/>
      <c r="K1130" s="77"/>
      <c r="L1130" s="160"/>
      <c r="M1130" s="388"/>
      <c r="N1130" s="375"/>
      <c r="W1130" s="113"/>
      <c r="X1130" s="241"/>
      <c r="Y1130" s="284"/>
      <c r="Z1130" s="207"/>
      <c r="AA1130" s="284"/>
      <c r="AB1130" s="284"/>
      <c r="AC1130" s="137"/>
      <c r="AD1130" s="284"/>
      <c r="AE1130" s="299"/>
      <c r="AF1130" s="299"/>
      <c r="AG1130" s="284"/>
    </row>
    <row r="1131" spans="2:33">
      <c r="B1131" s="86"/>
      <c r="C1131" s="84"/>
      <c r="D1131" s="86"/>
      <c r="E1131" s="84"/>
      <c r="F1131" s="284"/>
      <c r="G1131" s="49"/>
      <c r="H1131" s="284"/>
      <c r="I1131" s="74"/>
      <c r="J1131" s="371"/>
      <c r="K1131" s="77"/>
      <c r="L1131" s="160"/>
      <c r="M1131" s="388"/>
      <c r="N1131" s="375"/>
      <c r="W1131" s="113"/>
      <c r="X1131" s="241"/>
      <c r="Y1131" s="284"/>
      <c r="Z1131" s="207"/>
      <c r="AA1131" s="284"/>
      <c r="AB1131" s="284"/>
      <c r="AC1131" s="137"/>
      <c r="AD1131" s="284"/>
      <c r="AE1131" s="299"/>
      <c r="AF1131" s="299"/>
      <c r="AG1131" s="284"/>
    </row>
    <row r="1132" spans="2:33">
      <c r="B1132" s="86"/>
      <c r="C1132" s="84"/>
      <c r="D1132" s="86"/>
      <c r="E1132" s="84"/>
      <c r="F1132" s="284"/>
      <c r="G1132" s="49"/>
      <c r="H1132" s="284"/>
      <c r="I1132" s="74"/>
      <c r="J1132" s="371"/>
      <c r="K1132" s="77"/>
      <c r="L1132" s="160"/>
      <c r="M1132" s="388"/>
      <c r="N1132" s="375"/>
      <c r="W1132" s="113"/>
      <c r="X1132" s="241"/>
      <c r="Y1132" s="284"/>
      <c r="Z1132" s="207"/>
      <c r="AA1132" s="284"/>
      <c r="AB1132" s="284"/>
      <c r="AC1132" s="137"/>
      <c r="AD1132" s="284"/>
      <c r="AE1132" s="299"/>
      <c r="AF1132" s="299"/>
      <c r="AG1132" s="284"/>
    </row>
    <row r="1133" spans="2:33">
      <c r="B1133" s="86"/>
      <c r="C1133" s="84"/>
      <c r="D1133" s="86"/>
      <c r="E1133" s="84"/>
      <c r="F1133" s="284"/>
      <c r="G1133" s="49"/>
      <c r="H1133" s="284"/>
      <c r="I1133" s="74"/>
      <c r="J1133" s="371"/>
      <c r="K1133" s="77"/>
      <c r="L1133" s="160"/>
      <c r="M1133" s="388"/>
      <c r="N1133" s="375"/>
      <c r="W1133" s="113"/>
      <c r="X1133" s="241"/>
      <c r="Y1133" s="284"/>
      <c r="Z1133" s="207"/>
      <c r="AA1133" s="284"/>
      <c r="AB1133" s="284"/>
      <c r="AC1133" s="137"/>
      <c r="AD1133" s="284"/>
      <c r="AE1133" s="299"/>
      <c r="AF1133" s="299"/>
      <c r="AG1133" s="284"/>
    </row>
    <row r="1134" spans="2:33">
      <c r="B1134" s="86"/>
      <c r="C1134" s="84"/>
      <c r="D1134" s="86"/>
      <c r="E1134" s="84"/>
      <c r="F1134" s="284"/>
      <c r="G1134" s="49"/>
      <c r="H1134" s="284"/>
      <c r="I1134" s="74"/>
      <c r="J1134" s="371"/>
      <c r="K1134" s="77"/>
      <c r="L1134" s="160"/>
      <c r="M1134" s="388"/>
      <c r="N1134" s="375"/>
      <c r="W1134" s="113"/>
      <c r="X1134" s="241"/>
      <c r="Y1134" s="284"/>
      <c r="Z1134" s="207"/>
      <c r="AA1134" s="284"/>
      <c r="AB1134" s="284"/>
      <c r="AC1134" s="137"/>
      <c r="AD1134" s="284"/>
      <c r="AE1134" s="299"/>
      <c r="AF1134" s="299"/>
      <c r="AG1134" s="284"/>
    </row>
    <row r="1135" spans="2:33">
      <c r="B1135" s="86"/>
      <c r="C1135" s="84"/>
      <c r="D1135" s="86"/>
      <c r="E1135" s="84"/>
      <c r="F1135" s="284"/>
      <c r="G1135" s="49"/>
      <c r="H1135" s="284"/>
      <c r="I1135" s="74"/>
      <c r="J1135" s="371"/>
      <c r="K1135" s="77"/>
      <c r="L1135" s="160"/>
      <c r="M1135" s="388"/>
      <c r="N1135" s="375"/>
      <c r="W1135" s="113"/>
      <c r="X1135" s="241"/>
      <c r="Y1135" s="284"/>
      <c r="Z1135" s="207"/>
      <c r="AA1135" s="284"/>
      <c r="AB1135" s="284"/>
      <c r="AC1135" s="137"/>
      <c r="AD1135" s="284"/>
      <c r="AE1135" s="299"/>
      <c r="AF1135" s="299"/>
      <c r="AG1135" s="284"/>
    </row>
    <row r="1136" spans="2:33">
      <c r="B1136" s="86"/>
      <c r="C1136" s="84"/>
      <c r="D1136" s="86"/>
      <c r="E1136" s="84"/>
      <c r="F1136" s="284"/>
      <c r="G1136" s="49"/>
      <c r="H1136" s="284"/>
      <c r="I1136" s="74"/>
      <c r="J1136" s="371"/>
      <c r="K1136" s="77"/>
      <c r="L1136" s="160"/>
      <c r="M1136" s="388"/>
      <c r="N1136" s="375"/>
      <c r="W1136" s="113"/>
      <c r="X1136" s="241"/>
      <c r="Y1136" s="284"/>
      <c r="Z1136" s="207"/>
      <c r="AA1136" s="284"/>
      <c r="AB1136" s="284"/>
      <c r="AC1136" s="137"/>
      <c r="AD1136" s="284"/>
      <c r="AE1136" s="299"/>
      <c r="AF1136" s="299"/>
      <c r="AG1136" s="284"/>
    </row>
    <row r="1137" spans="2:33">
      <c r="B1137" s="86"/>
      <c r="C1137" s="84"/>
      <c r="D1137" s="86"/>
      <c r="E1137" s="84"/>
      <c r="F1137" s="284"/>
      <c r="G1137" s="49"/>
      <c r="H1137" s="284"/>
      <c r="I1137" s="74"/>
      <c r="J1137" s="371"/>
      <c r="K1137" s="77"/>
      <c r="L1137" s="160"/>
      <c r="M1137" s="388"/>
      <c r="N1137" s="375"/>
      <c r="W1137" s="113"/>
      <c r="X1137" s="241"/>
      <c r="Y1137" s="284"/>
      <c r="Z1137" s="207"/>
      <c r="AA1137" s="284"/>
      <c r="AB1137" s="284"/>
      <c r="AC1137" s="137"/>
      <c r="AD1137" s="284"/>
      <c r="AE1137" s="299"/>
      <c r="AF1137" s="299"/>
      <c r="AG1137" s="284"/>
    </row>
    <row r="1138" spans="2:33">
      <c r="B1138" s="86"/>
      <c r="C1138" s="84"/>
      <c r="D1138" s="86"/>
      <c r="E1138" s="84"/>
      <c r="F1138" s="284"/>
      <c r="G1138" s="49"/>
      <c r="H1138" s="284"/>
      <c r="I1138" s="74"/>
      <c r="J1138" s="371"/>
      <c r="K1138" s="77"/>
      <c r="L1138" s="160"/>
      <c r="M1138" s="388"/>
      <c r="N1138" s="375"/>
      <c r="W1138" s="113"/>
      <c r="X1138" s="241"/>
      <c r="Y1138" s="284"/>
      <c r="Z1138" s="207"/>
      <c r="AA1138" s="284"/>
      <c r="AB1138" s="284"/>
      <c r="AC1138" s="137"/>
      <c r="AD1138" s="284"/>
      <c r="AE1138" s="299"/>
      <c r="AF1138" s="299"/>
      <c r="AG1138" s="284"/>
    </row>
    <row r="1139" spans="2:33">
      <c r="B1139" s="86"/>
      <c r="C1139" s="84"/>
      <c r="D1139" s="86"/>
      <c r="E1139" s="84"/>
      <c r="F1139" s="284"/>
      <c r="G1139" s="49"/>
      <c r="H1139" s="284"/>
      <c r="I1139" s="74"/>
      <c r="J1139" s="371"/>
      <c r="K1139" s="77"/>
      <c r="L1139" s="160"/>
      <c r="M1139" s="388"/>
      <c r="N1139" s="375"/>
      <c r="W1139" s="113"/>
      <c r="X1139" s="241"/>
      <c r="Y1139" s="284"/>
      <c r="Z1139" s="207"/>
      <c r="AA1139" s="284"/>
      <c r="AB1139" s="284"/>
      <c r="AC1139" s="137"/>
      <c r="AD1139" s="284"/>
      <c r="AE1139" s="299"/>
      <c r="AF1139" s="299"/>
      <c r="AG1139" s="284"/>
    </row>
    <row r="1140" spans="2:33">
      <c r="B1140" s="86"/>
      <c r="C1140" s="84"/>
      <c r="D1140" s="86"/>
      <c r="E1140" s="84"/>
      <c r="F1140" s="284"/>
      <c r="G1140" s="49"/>
      <c r="H1140" s="284"/>
      <c r="I1140" s="74"/>
      <c r="J1140" s="371"/>
      <c r="K1140" s="77"/>
      <c r="L1140" s="160"/>
      <c r="M1140" s="388"/>
      <c r="N1140" s="375"/>
      <c r="W1140" s="113"/>
      <c r="X1140" s="241"/>
      <c r="Y1140" s="284"/>
      <c r="Z1140" s="207"/>
      <c r="AA1140" s="284"/>
      <c r="AB1140" s="284"/>
      <c r="AC1140" s="137"/>
      <c r="AD1140" s="284"/>
      <c r="AE1140" s="299"/>
      <c r="AF1140" s="299"/>
      <c r="AG1140" s="284"/>
    </row>
    <row r="1141" spans="2:33">
      <c r="B1141" s="86"/>
      <c r="C1141" s="84"/>
      <c r="D1141" s="86"/>
      <c r="E1141" s="84"/>
      <c r="F1141" s="284"/>
      <c r="G1141" s="49"/>
      <c r="H1141" s="284"/>
      <c r="I1141" s="74"/>
      <c r="J1141" s="371"/>
      <c r="K1141" s="77"/>
      <c r="L1141" s="160"/>
      <c r="M1141" s="388"/>
      <c r="N1141" s="375"/>
      <c r="W1141" s="113"/>
      <c r="X1141" s="241"/>
      <c r="Y1141" s="284"/>
      <c r="Z1141" s="207"/>
      <c r="AA1141" s="284"/>
      <c r="AB1141" s="284"/>
      <c r="AC1141" s="137"/>
      <c r="AD1141" s="284"/>
      <c r="AE1141" s="299"/>
      <c r="AF1141" s="299"/>
      <c r="AG1141" s="284"/>
    </row>
    <row r="1142" spans="2:33">
      <c r="B1142" s="86"/>
      <c r="C1142" s="84"/>
      <c r="D1142" s="86"/>
      <c r="E1142" s="84"/>
      <c r="F1142" s="284"/>
      <c r="G1142" s="49"/>
      <c r="H1142" s="284"/>
      <c r="I1142" s="74"/>
      <c r="J1142" s="371"/>
      <c r="K1142" s="77"/>
      <c r="L1142" s="160"/>
      <c r="M1142" s="388"/>
      <c r="N1142" s="375"/>
      <c r="W1142" s="113"/>
      <c r="X1142" s="241"/>
      <c r="Y1142" s="284"/>
      <c r="Z1142" s="207"/>
      <c r="AA1142" s="284"/>
      <c r="AB1142" s="284"/>
      <c r="AC1142" s="137"/>
      <c r="AD1142" s="284"/>
      <c r="AE1142" s="299"/>
      <c r="AF1142" s="299"/>
      <c r="AG1142" s="284"/>
    </row>
    <row r="1143" spans="2:33">
      <c r="B1143" s="86"/>
      <c r="C1143" s="84"/>
      <c r="D1143" s="86"/>
      <c r="E1143" s="84"/>
      <c r="F1143" s="284"/>
      <c r="G1143" s="49"/>
      <c r="H1143" s="284"/>
      <c r="I1143" s="74"/>
      <c r="J1143" s="371"/>
      <c r="K1143" s="77"/>
      <c r="L1143" s="160"/>
      <c r="M1143" s="388"/>
      <c r="N1143" s="375"/>
      <c r="W1143" s="113"/>
      <c r="X1143" s="241"/>
      <c r="Y1143" s="284"/>
      <c r="Z1143" s="207"/>
      <c r="AA1143" s="284"/>
      <c r="AB1143" s="284"/>
      <c r="AC1143" s="137"/>
      <c r="AD1143" s="284"/>
      <c r="AE1143" s="299"/>
      <c r="AF1143" s="299"/>
      <c r="AG1143" s="284"/>
    </row>
    <row r="1144" spans="2:33">
      <c r="B1144" s="86"/>
      <c r="C1144" s="84"/>
      <c r="D1144" s="86"/>
      <c r="E1144" s="84"/>
      <c r="F1144" s="284"/>
      <c r="G1144" s="49"/>
      <c r="H1144" s="284"/>
      <c r="I1144" s="74"/>
      <c r="J1144" s="371"/>
      <c r="K1144" s="77"/>
      <c r="L1144" s="160"/>
      <c r="M1144" s="388"/>
      <c r="N1144" s="375"/>
      <c r="W1144" s="113"/>
      <c r="X1144" s="241"/>
      <c r="Y1144" s="284"/>
      <c r="Z1144" s="207"/>
      <c r="AA1144" s="284"/>
      <c r="AB1144" s="284"/>
      <c r="AC1144" s="137"/>
      <c r="AD1144" s="284"/>
      <c r="AE1144" s="299"/>
      <c r="AF1144" s="299"/>
      <c r="AG1144" s="284"/>
    </row>
    <row r="1145" spans="2:33">
      <c r="B1145" s="86"/>
      <c r="C1145" s="84"/>
      <c r="D1145" s="86"/>
      <c r="E1145" s="84"/>
      <c r="F1145" s="284"/>
      <c r="G1145" s="49"/>
      <c r="H1145" s="284"/>
      <c r="I1145" s="74"/>
      <c r="J1145" s="371"/>
      <c r="K1145" s="77"/>
      <c r="L1145" s="160"/>
      <c r="M1145" s="388"/>
      <c r="N1145" s="375"/>
      <c r="W1145" s="113"/>
      <c r="X1145" s="241"/>
      <c r="Y1145" s="284"/>
      <c r="Z1145" s="207"/>
      <c r="AA1145" s="284"/>
      <c r="AB1145" s="284"/>
      <c r="AC1145" s="137"/>
      <c r="AD1145" s="284"/>
      <c r="AE1145" s="299"/>
      <c r="AF1145" s="299"/>
      <c r="AG1145" s="284"/>
    </row>
    <row r="1146" spans="2:33">
      <c r="B1146" s="86"/>
      <c r="C1146" s="84"/>
      <c r="D1146" s="86"/>
      <c r="E1146" s="84"/>
      <c r="F1146" s="284"/>
      <c r="G1146" s="49"/>
      <c r="H1146" s="284"/>
      <c r="I1146" s="74"/>
      <c r="J1146" s="371"/>
      <c r="K1146" s="77"/>
      <c r="L1146" s="160"/>
      <c r="M1146" s="388"/>
      <c r="N1146" s="375"/>
      <c r="W1146" s="113"/>
      <c r="X1146" s="241"/>
      <c r="Y1146" s="284"/>
      <c r="Z1146" s="207"/>
      <c r="AA1146" s="284"/>
      <c r="AB1146" s="284"/>
      <c r="AC1146" s="137"/>
      <c r="AD1146" s="284"/>
      <c r="AE1146" s="299"/>
      <c r="AF1146" s="299"/>
      <c r="AG1146" s="284"/>
    </row>
    <row r="1147" spans="2:33">
      <c r="B1147" s="86"/>
      <c r="C1147" s="84"/>
      <c r="D1147" s="86"/>
      <c r="E1147" s="84"/>
      <c r="F1147" s="284"/>
      <c r="G1147" s="49"/>
      <c r="H1147" s="284"/>
      <c r="I1147" s="74"/>
      <c r="J1147" s="371"/>
      <c r="K1147" s="77"/>
      <c r="L1147" s="160"/>
      <c r="M1147" s="388"/>
      <c r="N1147" s="375"/>
      <c r="W1147" s="113"/>
      <c r="X1147" s="241"/>
      <c r="Y1147" s="284"/>
      <c r="Z1147" s="207"/>
      <c r="AA1147" s="284"/>
      <c r="AB1147" s="284"/>
      <c r="AC1147" s="137"/>
      <c r="AD1147" s="284"/>
      <c r="AE1147" s="299"/>
      <c r="AF1147" s="299"/>
      <c r="AG1147" s="284"/>
    </row>
    <row r="1148" spans="2:33">
      <c r="B1148" s="86"/>
      <c r="C1148" s="84"/>
      <c r="D1148" s="86"/>
      <c r="E1148" s="84"/>
      <c r="F1148" s="284"/>
      <c r="G1148" s="49"/>
      <c r="H1148" s="284"/>
      <c r="I1148" s="74"/>
      <c r="J1148" s="371"/>
      <c r="K1148" s="77"/>
      <c r="L1148" s="160"/>
      <c r="M1148" s="388"/>
      <c r="N1148" s="375"/>
      <c r="W1148" s="113"/>
      <c r="X1148" s="241"/>
      <c r="Y1148" s="284"/>
      <c r="Z1148" s="207"/>
      <c r="AA1148" s="284"/>
      <c r="AB1148" s="284"/>
      <c r="AC1148" s="137"/>
      <c r="AD1148" s="284"/>
      <c r="AE1148" s="299"/>
      <c r="AF1148" s="299"/>
      <c r="AG1148" s="284"/>
    </row>
    <row r="1149" spans="2:33">
      <c r="B1149" s="86"/>
      <c r="C1149" s="84"/>
      <c r="D1149" s="86"/>
      <c r="E1149" s="84"/>
      <c r="F1149" s="284"/>
      <c r="G1149" s="49"/>
      <c r="H1149" s="284"/>
      <c r="I1149" s="74"/>
      <c r="J1149" s="371"/>
      <c r="K1149" s="77"/>
      <c r="L1149" s="160"/>
      <c r="M1149" s="388"/>
      <c r="N1149" s="375"/>
      <c r="W1149" s="113"/>
      <c r="X1149" s="241"/>
      <c r="Y1149" s="284"/>
      <c r="Z1149" s="207"/>
      <c r="AA1149" s="284"/>
      <c r="AB1149" s="284"/>
      <c r="AC1149" s="137"/>
      <c r="AD1149" s="284"/>
      <c r="AE1149" s="299"/>
      <c r="AF1149" s="299"/>
      <c r="AG1149" s="284"/>
    </row>
    <row r="1150" spans="2:33">
      <c r="B1150" s="86"/>
      <c r="C1150" s="84"/>
      <c r="D1150" s="86"/>
      <c r="E1150" s="84"/>
      <c r="F1150" s="284"/>
      <c r="G1150" s="49"/>
      <c r="H1150" s="284"/>
      <c r="I1150" s="74"/>
      <c r="J1150" s="371"/>
      <c r="K1150" s="77"/>
      <c r="L1150" s="160"/>
      <c r="M1150" s="388"/>
      <c r="N1150" s="375"/>
      <c r="W1150" s="113"/>
      <c r="X1150" s="241"/>
      <c r="Y1150" s="284"/>
      <c r="Z1150" s="207"/>
      <c r="AA1150" s="284"/>
      <c r="AB1150" s="284"/>
      <c r="AC1150" s="137"/>
      <c r="AD1150" s="284"/>
      <c r="AE1150" s="299"/>
      <c r="AF1150" s="299"/>
      <c r="AG1150" s="284"/>
    </row>
    <row r="1151" spans="2:33">
      <c r="B1151" s="86"/>
      <c r="C1151" s="84"/>
      <c r="D1151" s="86"/>
      <c r="E1151" s="84"/>
      <c r="F1151" s="284"/>
      <c r="G1151" s="49"/>
      <c r="H1151" s="284"/>
      <c r="I1151" s="74"/>
      <c r="J1151" s="371"/>
      <c r="K1151" s="77"/>
      <c r="L1151" s="160"/>
      <c r="M1151" s="388"/>
      <c r="N1151" s="375"/>
      <c r="W1151" s="113"/>
      <c r="X1151" s="241"/>
      <c r="Y1151" s="284"/>
      <c r="Z1151" s="207"/>
      <c r="AA1151" s="284"/>
      <c r="AB1151" s="284"/>
      <c r="AC1151" s="137"/>
      <c r="AD1151" s="284"/>
      <c r="AE1151" s="299"/>
      <c r="AF1151" s="299"/>
      <c r="AG1151" s="284"/>
    </row>
    <row r="1152" spans="2:33">
      <c r="B1152" s="86"/>
      <c r="C1152" s="84"/>
      <c r="D1152" s="86"/>
      <c r="E1152" s="84"/>
      <c r="F1152" s="284"/>
      <c r="G1152" s="49"/>
      <c r="H1152" s="284"/>
      <c r="I1152" s="74"/>
      <c r="J1152" s="371"/>
      <c r="K1152" s="77"/>
      <c r="L1152" s="160"/>
      <c r="M1152" s="388"/>
      <c r="N1152" s="375"/>
      <c r="W1152" s="113"/>
      <c r="X1152" s="241"/>
      <c r="Y1152" s="284"/>
      <c r="Z1152" s="207"/>
      <c r="AA1152" s="284"/>
      <c r="AB1152" s="284"/>
      <c r="AC1152" s="137"/>
      <c r="AD1152" s="284"/>
      <c r="AE1152" s="299"/>
      <c r="AF1152" s="299"/>
      <c r="AG1152" s="284"/>
    </row>
    <row r="1153" spans="2:33">
      <c r="B1153" s="86"/>
      <c r="C1153" s="84"/>
      <c r="D1153" s="86"/>
      <c r="E1153" s="84"/>
      <c r="F1153" s="284"/>
      <c r="G1153" s="49"/>
      <c r="H1153" s="284"/>
      <c r="I1153" s="74"/>
      <c r="J1153" s="371"/>
      <c r="K1153" s="77"/>
      <c r="L1153" s="160"/>
      <c r="M1153" s="388"/>
      <c r="N1153" s="375"/>
      <c r="W1153" s="113"/>
      <c r="X1153" s="241"/>
      <c r="Y1153" s="284"/>
      <c r="Z1153" s="207"/>
      <c r="AA1153" s="284"/>
      <c r="AB1153" s="284"/>
      <c r="AC1153" s="137"/>
      <c r="AD1153" s="284"/>
      <c r="AE1153" s="299"/>
      <c r="AF1153" s="299"/>
      <c r="AG1153" s="284"/>
    </row>
    <row r="1154" spans="2:33">
      <c r="B1154" s="86"/>
      <c r="C1154" s="84"/>
      <c r="D1154" s="86"/>
      <c r="E1154" s="84"/>
      <c r="F1154" s="284"/>
      <c r="G1154" s="49"/>
      <c r="H1154" s="284"/>
      <c r="I1154" s="74"/>
      <c r="J1154" s="371"/>
      <c r="K1154" s="77"/>
      <c r="L1154" s="160"/>
      <c r="M1154" s="388"/>
      <c r="N1154" s="375"/>
      <c r="W1154" s="113"/>
      <c r="X1154" s="241"/>
      <c r="Y1154" s="284"/>
      <c r="Z1154" s="207"/>
      <c r="AA1154" s="284"/>
      <c r="AB1154" s="284"/>
      <c r="AC1154" s="137"/>
      <c r="AD1154" s="284"/>
      <c r="AE1154" s="299"/>
      <c r="AF1154" s="299"/>
      <c r="AG1154" s="284"/>
    </row>
    <row r="1155" spans="2:33">
      <c r="B1155" s="86"/>
      <c r="C1155" s="84"/>
      <c r="D1155" s="86"/>
      <c r="E1155" s="84"/>
      <c r="F1155" s="284"/>
      <c r="G1155" s="49"/>
      <c r="H1155" s="284"/>
      <c r="I1155" s="74"/>
      <c r="J1155" s="371"/>
      <c r="K1155" s="77"/>
      <c r="L1155" s="160"/>
      <c r="M1155" s="388"/>
      <c r="N1155" s="375"/>
      <c r="W1155" s="113"/>
      <c r="X1155" s="241"/>
      <c r="Y1155" s="284"/>
      <c r="Z1155" s="207"/>
      <c r="AA1155" s="284"/>
      <c r="AB1155" s="284"/>
      <c r="AC1155" s="137"/>
      <c r="AD1155" s="284"/>
      <c r="AE1155" s="299"/>
      <c r="AF1155" s="299"/>
      <c r="AG1155" s="284"/>
    </row>
    <row r="1156" spans="2:33">
      <c r="B1156" s="86"/>
      <c r="C1156" s="84"/>
      <c r="D1156" s="86"/>
      <c r="E1156" s="84"/>
      <c r="F1156" s="284"/>
      <c r="G1156" s="49"/>
      <c r="H1156" s="284"/>
      <c r="I1156" s="74"/>
      <c r="J1156" s="371"/>
      <c r="K1156" s="77"/>
      <c r="L1156" s="160"/>
      <c r="M1156" s="388"/>
      <c r="N1156" s="375"/>
      <c r="W1156" s="113"/>
      <c r="X1156" s="241"/>
      <c r="Y1156" s="284"/>
      <c r="Z1156" s="207"/>
      <c r="AA1156" s="284"/>
      <c r="AB1156" s="284"/>
      <c r="AC1156" s="137"/>
      <c r="AD1156" s="284"/>
      <c r="AE1156" s="299"/>
      <c r="AF1156" s="299"/>
      <c r="AG1156" s="284"/>
    </row>
    <row r="1157" spans="2:33">
      <c r="B1157" s="86"/>
      <c r="C1157" s="84"/>
      <c r="D1157" s="86"/>
      <c r="E1157" s="84"/>
      <c r="F1157" s="284"/>
      <c r="G1157" s="49"/>
      <c r="H1157" s="284"/>
      <c r="I1157" s="74"/>
      <c r="J1157" s="371"/>
      <c r="K1157" s="77"/>
      <c r="L1157" s="160"/>
      <c r="M1157" s="388"/>
      <c r="N1157" s="375"/>
      <c r="W1157" s="113"/>
      <c r="X1157" s="241"/>
      <c r="Y1157" s="284"/>
      <c r="Z1157" s="207"/>
      <c r="AA1157" s="284"/>
      <c r="AB1157" s="284"/>
      <c r="AC1157" s="137"/>
      <c r="AD1157" s="284"/>
      <c r="AE1157" s="299"/>
      <c r="AF1157" s="299"/>
      <c r="AG1157" s="284"/>
    </row>
    <row r="1158" spans="2:33">
      <c r="B1158" s="86"/>
      <c r="C1158" s="84"/>
      <c r="D1158" s="86"/>
      <c r="E1158" s="84"/>
      <c r="F1158" s="284"/>
      <c r="G1158" s="49"/>
      <c r="H1158" s="284"/>
      <c r="I1158" s="74"/>
      <c r="J1158" s="371"/>
      <c r="K1158" s="77"/>
      <c r="L1158" s="160"/>
      <c r="M1158" s="388"/>
      <c r="N1158" s="375"/>
      <c r="W1158" s="113"/>
      <c r="X1158" s="241"/>
      <c r="Y1158" s="284"/>
      <c r="Z1158" s="207"/>
      <c r="AA1158" s="284"/>
      <c r="AB1158" s="284"/>
      <c r="AC1158" s="137"/>
      <c r="AD1158" s="284"/>
      <c r="AE1158" s="299"/>
      <c r="AF1158" s="299"/>
      <c r="AG1158" s="284"/>
    </row>
    <row r="1159" spans="2:33">
      <c r="B1159" s="86"/>
      <c r="C1159" s="84"/>
      <c r="D1159" s="86"/>
      <c r="E1159" s="84"/>
      <c r="F1159" s="284"/>
      <c r="G1159" s="49"/>
      <c r="H1159" s="284"/>
      <c r="I1159" s="74"/>
      <c r="J1159" s="371"/>
      <c r="K1159" s="77"/>
      <c r="L1159" s="160"/>
      <c r="M1159" s="388"/>
      <c r="N1159" s="375"/>
      <c r="W1159" s="113"/>
      <c r="X1159" s="241"/>
      <c r="Y1159" s="284"/>
      <c r="Z1159" s="207"/>
      <c r="AA1159" s="284"/>
      <c r="AB1159" s="284"/>
      <c r="AC1159" s="137"/>
      <c r="AD1159" s="284"/>
      <c r="AE1159" s="299"/>
      <c r="AF1159" s="299"/>
      <c r="AG1159" s="284"/>
    </row>
    <row r="1160" spans="2:33">
      <c r="B1160" s="86"/>
      <c r="C1160" s="84"/>
      <c r="D1160" s="86"/>
      <c r="E1160" s="84"/>
      <c r="F1160" s="284"/>
      <c r="G1160" s="49"/>
      <c r="H1160" s="284"/>
      <c r="I1160" s="74"/>
      <c r="J1160" s="371"/>
      <c r="K1160" s="77"/>
      <c r="L1160" s="160"/>
      <c r="M1160" s="388"/>
      <c r="N1160" s="375"/>
      <c r="W1160" s="113"/>
      <c r="X1160" s="241"/>
      <c r="Y1160" s="284"/>
      <c r="Z1160" s="207"/>
      <c r="AA1160" s="284"/>
      <c r="AB1160" s="284"/>
      <c r="AC1160" s="137"/>
      <c r="AD1160" s="284"/>
      <c r="AE1160" s="299"/>
      <c r="AF1160" s="299"/>
      <c r="AG1160" s="284"/>
    </row>
    <row r="1161" spans="2:33">
      <c r="B1161" s="86"/>
      <c r="C1161" s="84"/>
      <c r="D1161" s="86"/>
      <c r="E1161" s="84"/>
      <c r="F1161" s="284"/>
      <c r="G1161" s="49"/>
      <c r="H1161" s="284"/>
      <c r="I1161" s="74"/>
      <c r="J1161" s="371"/>
      <c r="K1161" s="77"/>
      <c r="L1161" s="160"/>
      <c r="M1161" s="388"/>
      <c r="N1161" s="375"/>
      <c r="W1161" s="113"/>
      <c r="X1161" s="241"/>
      <c r="Y1161" s="284"/>
      <c r="Z1161" s="207"/>
      <c r="AA1161" s="284"/>
      <c r="AB1161" s="284"/>
      <c r="AC1161" s="137"/>
      <c r="AD1161" s="284"/>
      <c r="AE1161" s="299"/>
      <c r="AF1161" s="299"/>
      <c r="AG1161" s="284"/>
    </row>
    <row r="1162" spans="2:33">
      <c r="B1162" s="86"/>
      <c r="C1162" s="84"/>
      <c r="D1162" s="86"/>
      <c r="E1162" s="84"/>
      <c r="F1162" s="284"/>
      <c r="G1162" s="49"/>
      <c r="H1162" s="284"/>
      <c r="I1162" s="74"/>
      <c r="J1162" s="371"/>
      <c r="K1162" s="77"/>
      <c r="L1162" s="160"/>
      <c r="M1162" s="388"/>
      <c r="N1162" s="375"/>
      <c r="W1162" s="113"/>
      <c r="X1162" s="241"/>
      <c r="Y1162" s="284"/>
      <c r="Z1162" s="207"/>
      <c r="AA1162" s="284"/>
      <c r="AB1162" s="284"/>
      <c r="AC1162" s="137"/>
      <c r="AD1162" s="284"/>
      <c r="AE1162" s="299"/>
      <c r="AF1162" s="299"/>
      <c r="AG1162" s="284"/>
    </row>
    <row r="1163" spans="2:33">
      <c r="B1163" s="86"/>
      <c r="C1163" s="84"/>
      <c r="D1163" s="86"/>
      <c r="E1163" s="84"/>
      <c r="F1163" s="284"/>
      <c r="G1163" s="49"/>
      <c r="H1163" s="284"/>
      <c r="I1163" s="74"/>
      <c r="J1163" s="371"/>
      <c r="K1163" s="77"/>
      <c r="L1163" s="160"/>
      <c r="M1163" s="388"/>
      <c r="N1163" s="375"/>
      <c r="W1163" s="113"/>
      <c r="X1163" s="241"/>
      <c r="Y1163" s="284"/>
      <c r="Z1163" s="207"/>
      <c r="AA1163" s="284"/>
      <c r="AB1163" s="284"/>
      <c r="AC1163" s="137"/>
      <c r="AD1163" s="284"/>
      <c r="AE1163" s="299"/>
      <c r="AF1163" s="299"/>
      <c r="AG1163" s="284"/>
    </row>
    <row r="1164" spans="2:33">
      <c r="B1164" s="86"/>
      <c r="C1164" s="84"/>
      <c r="D1164" s="86"/>
      <c r="E1164" s="84"/>
      <c r="F1164" s="284"/>
      <c r="G1164" s="49"/>
      <c r="H1164" s="284"/>
      <c r="I1164" s="74"/>
      <c r="J1164" s="371"/>
      <c r="K1164" s="77"/>
      <c r="L1164" s="160"/>
      <c r="M1164" s="388"/>
      <c r="N1164" s="375"/>
      <c r="W1164" s="113"/>
      <c r="X1164" s="241"/>
      <c r="Y1164" s="284"/>
      <c r="Z1164" s="207"/>
      <c r="AA1164" s="284"/>
      <c r="AB1164" s="284"/>
      <c r="AC1164" s="137"/>
      <c r="AD1164" s="284"/>
      <c r="AE1164" s="299"/>
      <c r="AF1164" s="299"/>
      <c r="AG1164" s="284"/>
    </row>
    <row r="1165" spans="2:33">
      <c r="B1165" s="86"/>
      <c r="C1165" s="84"/>
      <c r="D1165" s="86"/>
      <c r="E1165" s="84"/>
      <c r="F1165" s="284"/>
      <c r="G1165" s="49"/>
      <c r="H1165" s="284"/>
      <c r="I1165" s="74"/>
      <c r="J1165" s="371"/>
      <c r="K1165" s="77"/>
      <c r="L1165" s="160"/>
      <c r="M1165" s="388"/>
      <c r="N1165" s="375"/>
      <c r="W1165" s="113"/>
      <c r="X1165" s="241"/>
      <c r="Y1165" s="284"/>
      <c r="Z1165" s="207"/>
      <c r="AA1165" s="284"/>
      <c r="AB1165" s="284"/>
      <c r="AC1165" s="137"/>
      <c r="AD1165" s="284"/>
      <c r="AE1165" s="299"/>
      <c r="AF1165" s="299"/>
      <c r="AG1165" s="284"/>
    </row>
    <row r="1166" spans="2:33">
      <c r="B1166" s="86"/>
      <c r="C1166" s="84"/>
      <c r="D1166" s="86"/>
      <c r="E1166" s="84"/>
      <c r="F1166" s="284"/>
      <c r="G1166" s="49"/>
      <c r="H1166" s="284"/>
      <c r="I1166" s="74"/>
      <c r="J1166" s="371"/>
      <c r="K1166" s="77"/>
      <c r="L1166" s="160"/>
      <c r="M1166" s="388"/>
      <c r="N1166" s="375"/>
      <c r="W1166" s="113"/>
      <c r="X1166" s="241"/>
      <c r="Y1166" s="284"/>
      <c r="Z1166" s="207"/>
      <c r="AA1166" s="284"/>
      <c r="AB1166" s="284"/>
      <c r="AC1166" s="137"/>
      <c r="AD1166" s="284"/>
      <c r="AE1166" s="299"/>
      <c r="AF1166" s="299"/>
      <c r="AG1166" s="284"/>
    </row>
    <row r="1167" spans="2:33">
      <c r="B1167" s="86"/>
      <c r="C1167" s="84"/>
      <c r="D1167" s="86"/>
      <c r="E1167" s="84"/>
      <c r="F1167" s="284"/>
      <c r="G1167" s="49"/>
      <c r="H1167" s="284"/>
      <c r="I1167" s="74"/>
      <c r="J1167" s="371"/>
      <c r="K1167" s="77"/>
      <c r="L1167" s="160"/>
      <c r="M1167" s="388"/>
      <c r="N1167" s="375"/>
      <c r="W1167" s="113"/>
      <c r="X1167" s="241"/>
      <c r="Y1167" s="284"/>
      <c r="Z1167" s="207"/>
      <c r="AA1167" s="284"/>
      <c r="AB1167" s="284"/>
      <c r="AC1167" s="137"/>
      <c r="AD1167" s="284"/>
      <c r="AE1167" s="299"/>
      <c r="AF1167" s="299"/>
      <c r="AG1167" s="284"/>
    </row>
    <row r="1168" spans="2:33">
      <c r="B1168" s="86"/>
      <c r="C1168" s="84"/>
      <c r="D1168" s="86"/>
      <c r="E1168" s="84"/>
      <c r="F1168" s="284"/>
      <c r="G1168" s="49"/>
      <c r="H1168" s="284"/>
      <c r="I1168" s="74"/>
      <c r="J1168" s="371"/>
      <c r="K1168" s="77"/>
      <c r="L1168" s="160"/>
      <c r="M1168" s="388"/>
      <c r="N1168" s="375"/>
      <c r="W1168" s="113"/>
      <c r="X1168" s="241"/>
      <c r="Y1168" s="284"/>
      <c r="Z1168" s="207"/>
      <c r="AA1168" s="284"/>
      <c r="AB1168" s="284"/>
      <c r="AC1168" s="137"/>
      <c r="AD1168" s="284"/>
      <c r="AE1168" s="299"/>
      <c r="AF1168" s="299"/>
      <c r="AG1168" s="284"/>
    </row>
    <row r="1169" spans="2:33">
      <c r="B1169" s="86"/>
      <c r="C1169" s="84"/>
      <c r="D1169" s="86"/>
      <c r="E1169" s="84"/>
      <c r="F1169" s="284"/>
      <c r="G1169" s="49"/>
      <c r="H1169" s="284"/>
      <c r="I1169" s="74"/>
      <c r="J1169" s="371"/>
      <c r="K1169" s="77"/>
      <c r="L1169" s="160"/>
      <c r="M1169" s="388"/>
      <c r="N1169" s="375"/>
      <c r="W1169" s="113"/>
      <c r="X1169" s="241"/>
      <c r="Y1169" s="284"/>
      <c r="Z1169" s="207"/>
      <c r="AA1169" s="284"/>
      <c r="AB1169" s="284"/>
      <c r="AC1169" s="137"/>
      <c r="AD1169" s="284"/>
      <c r="AE1169" s="299"/>
      <c r="AF1169" s="299"/>
      <c r="AG1169" s="284"/>
    </row>
    <row r="1170" spans="2:33">
      <c r="B1170" s="86"/>
      <c r="C1170" s="84"/>
      <c r="D1170" s="86"/>
      <c r="E1170" s="84"/>
      <c r="F1170" s="284"/>
      <c r="G1170" s="49"/>
      <c r="H1170" s="284"/>
      <c r="I1170" s="74"/>
      <c r="J1170" s="371"/>
      <c r="K1170" s="77"/>
      <c r="L1170" s="160"/>
      <c r="M1170" s="388"/>
      <c r="N1170" s="375"/>
      <c r="W1170" s="113"/>
      <c r="X1170" s="241"/>
      <c r="Y1170" s="284"/>
      <c r="Z1170" s="207"/>
      <c r="AA1170" s="284"/>
      <c r="AB1170" s="284"/>
      <c r="AC1170" s="137"/>
      <c r="AD1170" s="284"/>
      <c r="AE1170" s="299"/>
      <c r="AF1170" s="299"/>
      <c r="AG1170" s="284"/>
    </row>
    <row r="1171" spans="2:33">
      <c r="B1171" s="86"/>
      <c r="C1171" s="84"/>
      <c r="D1171" s="86"/>
      <c r="E1171" s="84"/>
      <c r="F1171" s="284"/>
      <c r="G1171" s="49"/>
      <c r="H1171" s="284"/>
      <c r="I1171" s="74"/>
      <c r="J1171" s="371"/>
      <c r="K1171" s="77"/>
      <c r="L1171" s="160"/>
      <c r="M1171" s="388"/>
      <c r="N1171" s="375"/>
      <c r="W1171" s="113"/>
      <c r="X1171" s="241"/>
      <c r="Y1171" s="284"/>
      <c r="Z1171" s="207"/>
      <c r="AA1171" s="284"/>
      <c r="AB1171" s="284"/>
      <c r="AC1171" s="137"/>
      <c r="AD1171" s="284"/>
      <c r="AE1171" s="299"/>
      <c r="AF1171" s="299"/>
      <c r="AG1171" s="284"/>
    </row>
    <row r="1172" spans="2:33">
      <c r="B1172" s="86"/>
      <c r="C1172" s="84"/>
      <c r="D1172" s="86"/>
      <c r="E1172" s="84"/>
      <c r="F1172" s="284"/>
      <c r="G1172" s="49"/>
      <c r="H1172" s="284"/>
      <c r="I1172" s="74"/>
      <c r="J1172" s="371"/>
      <c r="K1172" s="77"/>
      <c r="L1172" s="160"/>
      <c r="M1172" s="388"/>
      <c r="N1172" s="375"/>
      <c r="W1172" s="113"/>
      <c r="X1172" s="241"/>
      <c r="Y1172" s="284"/>
      <c r="Z1172" s="207"/>
      <c r="AA1172" s="284"/>
      <c r="AB1172" s="284"/>
      <c r="AC1172" s="137"/>
      <c r="AD1172" s="284"/>
      <c r="AE1172" s="299"/>
      <c r="AF1172" s="299"/>
      <c r="AG1172" s="284"/>
    </row>
    <row r="1173" spans="2:33">
      <c r="B1173" s="86"/>
      <c r="C1173" s="84"/>
      <c r="D1173" s="86"/>
      <c r="E1173" s="84"/>
      <c r="F1173" s="284"/>
      <c r="G1173" s="49"/>
      <c r="H1173" s="284"/>
      <c r="I1173" s="74"/>
      <c r="J1173" s="371"/>
      <c r="K1173" s="77"/>
      <c r="L1173" s="160"/>
      <c r="M1173" s="388"/>
      <c r="N1173" s="375"/>
      <c r="W1173" s="113"/>
      <c r="X1173" s="241"/>
      <c r="Y1173" s="284"/>
      <c r="Z1173" s="207"/>
      <c r="AA1173" s="284"/>
      <c r="AB1173" s="284"/>
      <c r="AC1173" s="137"/>
      <c r="AD1173" s="284"/>
      <c r="AE1173" s="299"/>
      <c r="AF1173" s="299"/>
      <c r="AG1173" s="284"/>
    </row>
    <row r="1174" spans="2:33">
      <c r="B1174" s="86"/>
      <c r="C1174" s="84"/>
      <c r="D1174" s="86"/>
      <c r="E1174" s="84"/>
      <c r="F1174" s="284"/>
      <c r="G1174" s="49"/>
      <c r="H1174" s="284"/>
      <c r="I1174" s="74"/>
      <c r="J1174" s="371"/>
      <c r="K1174" s="77"/>
      <c r="L1174" s="160"/>
      <c r="M1174" s="388"/>
      <c r="N1174" s="375"/>
      <c r="W1174" s="113"/>
      <c r="X1174" s="241"/>
      <c r="Y1174" s="284"/>
      <c r="Z1174" s="207"/>
      <c r="AA1174" s="284"/>
      <c r="AB1174" s="284"/>
      <c r="AC1174" s="137"/>
      <c r="AD1174" s="284"/>
      <c r="AE1174" s="299"/>
      <c r="AF1174" s="299"/>
      <c r="AG1174" s="284"/>
    </row>
    <row r="1175" spans="2:33">
      <c r="B1175" s="86"/>
      <c r="C1175" s="84"/>
      <c r="D1175" s="86"/>
      <c r="E1175" s="84"/>
      <c r="F1175" s="284"/>
      <c r="G1175" s="49"/>
      <c r="H1175" s="284"/>
      <c r="I1175" s="74"/>
      <c r="J1175" s="371"/>
      <c r="K1175" s="77"/>
      <c r="L1175" s="160"/>
      <c r="M1175" s="388"/>
      <c r="N1175" s="375"/>
      <c r="W1175" s="113"/>
      <c r="X1175" s="241"/>
      <c r="Y1175" s="284"/>
      <c r="Z1175" s="207"/>
      <c r="AA1175" s="284"/>
      <c r="AB1175" s="284"/>
      <c r="AC1175" s="137"/>
      <c r="AD1175" s="284"/>
      <c r="AE1175" s="299"/>
      <c r="AF1175" s="299"/>
      <c r="AG1175" s="284"/>
    </row>
    <row r="1176" spans="2:33">
      <c r="B1176" s="86"/>
      <c r="C1176" s="84"/>
      <c r="D1176" s="86"/>
      <c r="E1176" s="84"/>
      <c r="F1176" s="284"/>
      <c r="G1176" s="49"/>
      <c r="H1176" s="284"/>
      <c r="I1176" s="74"/>
      <c r="J1176" s="371"/>
      <c r="K1176" s="77"/>
      <c r="L1176" s="160"/>
      <c r="M1176" s="388"/>
      <c r="N1176" s="375"/>
      <c r="W1176" s="113"/>
      <c r="X1176" s="241"/>
      <c r="Y1176" s="284"/>
      <c r="Z1176" s="207"/>
      <c r="AA1176" s="284"/>
      <c r="AB1176" s="284"/>
      <c r="AC1176" s="137"/>
      <c r="AD1176" s="284"/>
      <c r="AE1176" s="299"/>
      <c r="AF1176" s="299"/>
      <c r="AG1176" s="284"/>
    </row>
    <row r="1177" spans="2:33">
      <c r="B1177" s="86"/>
      <c r="C1177" s="84"/>
      <c r="D1177" s="86"/>
      <c r="E1177" s="84"/>
      <c r="F1177" s="284"/>
      <c r="G1177" s="49"/>
      <c r="H1177" s="284"/>
      <c r="I1177" s="74"/>
      <c r="J1177" s="371"/>
      <c r="K1177" s="77"/>
      <c r="L1177" s="160"/>
      <c r="M1177" s="388"/>
      <c r="N1177" s="375"/>
      <c r="W1177" s="113"/>
      <c r="X1177" s="241"/>
      <c r="Y1177" s="284"/>
      <c r="Z1177" s="207"/>
      <c r="AA1177" s="284"/>
      <c r="AB1177" s="284"/>
      <c r="AC1177" s="137"/>
      <c r="AD1177" s="284"/>
      <c r="AE1177" s="299"/>
      <c r="AF1177" s="299"/>
      <c r="AG1177" s="284"/>
    </row>
    <row r="1178" spans="2:33">
      <c r="B1178" s="86"/>
      <c r="C1178" s="84"/>
      <c r="D1178" s="86"/>
      <c r="E1178" s="84"/>
      <c r="F1178" s="284"/>
      <c r="G1178" s="49"/>
      <c r="H1178" s="284"/>
      <c r="I1178" s="74"/>
      <c r="J1178" s="371"/>
      <c r="K1178" s="77"/>
      <c r="L1178" s="160"/>
      <c r="M1178" s="388"/>
      <c r="N1178" s="375"/>
      <c r="W1178" s="113"/>
      <c r="X1178" s="241"/>
      <c r="Y1178" s="284"/>
      <c r="Z1178" s="207"/>
      <c r="AA1178" s="284"/>
      <c r="AB1178" s="284"/>
      <c r="AC1178" s="137"/>
      <c r="AD1178" s="284"/>
      <c r="AE1178" s="299"/>
      <c r="AF1178" s="299"/>
      <c r="AG1178" s="284"/>
    </row>
    <row r="1179" spans="2:33">
      <c r="B1179" s="86"/>
      <c r="C1179" s="84"/>
      <c r="D1179" s="86"/>
      <c r="E1179" s="84"/>
      <c r="F1179" s="284"/>
      <c r="G1179" s="49"/>
      <c r="H1179" s="284"/>
      <c r="I1179" s="74"/>
      <c r="J1179" s="371"/>
      <c r="K1179" s="77"/>
      <c r="L1179" s="160"/>
      <c r="M1179" s="388"/>
      <c r="N1179" s="375"/>
      <c r="W1179" s="113"/>
      <c r="X1179" s="241"/>
      <c r="Y1179" s="284"/>
      <c r="Z1179" s="207"/>
      <c r="AA1179" s="284"/>
      <c r="AB1179" s="284"/>
      <c r="AC1179" s="137"/>
      <c r="AD1179" s="284"/>
      <c r="AE1179" s="299"/>
      <c r="AF1179" s="299"/>
      <c r="AG1179" s="284"/>
    </row>
    <row r="1180" spans="2:33">
      <c r="B1180" s="86"/>
      <c r="C1180" s="84"/>
      <c r="D1180" s="86"/>
      <c r="E1180" s="84"/>
      <c r="F1180" s="284"/>
      <c r="G1180" s="49"/>
      <c r="H1180" s="284"/>
      <c r="I1180" s="74"/>
      <c r="J1180" s="371"/>
      <c r="K1180" s="77"/>
      <c r="L1180" s="160"/>
      <c r="M1180" s="388"/>
      <c r="N1180" s="375"/>
      <c r="W1180" s="113"/>
      <c r="X1180" s="241"/>
      <c r="Y1180" s="284"/>
      <c r="Z1180" s="207"/>
      <c r="AA1180" s="284"/>
      <c r="AB1180" s="284"/>
      <c r="AC1180" s="137"/>
      <c r="AD1180" s="284"/>
      <c r="AE1180" s="299"/>
      <c r="AF1180" s="299"/>
      <c r="AG1180" s="284"/>
    </row>
    <row r="1181" spans="2:33">
      <c r="B1181" s="86"/>
      <c r="C1181" s="84"/>
      <c r="D1181" s="86"/>
      <c r="E1181" s="84"/>
      <c r="F1181" s="284"/>
      <c r="G1181" s="49"/>
      <c r="H1181" s="284"/>
      <c r="I1181" s="74"/>
      <c r="J1181" s="371"/>
      <c r="K1181" s="77"/>
      <c r="L1181" s="160"/>
      <c r="M1181" s="388"/>
      <c r="N1181" s="375"/>
      <c r="W1181" s="113"/>
      <c r="X1181" s="241"/>
      <c r="Y1181" s="284"/>
      <c r="Z1181" s="207"/>
      <c r="AA1181" s="284"/>
      <c r="AB1181" s="284"/>
      <c r="AC1181" s="137"/>
      <c r="AD1181" s="284"/>
      <c r="AE1181" s="299"/>
      <c r="AF1181" s="299"/>
      <c r="AG1181" s="284"/>
    </row>
    <row r="1182" spans="2:33">
      <c r="B1182" s="86"/>
      <c r="C1182" s="84"/>
      <c r="D1182" s="86"/>
      <c r="E1182" s="84"/>
      <c r="F1182" s="284"/>
      <c r="G1182" s="49"/>
      <c r="H1182" s="284"/>
      <c r="I1182" s="74"/>
      <c r="J1182" s="371"/>
      <c r="K1182" s="77"/>
      <c r="L1182" s="160"/>
      <c r="M1182" s="388"/>
      <c r="N1182" s="375"/>
      <c r="W1182" s="113"/>
      <c r="X1182" s="241"/>
      <c r="Y1182" s="284"/>
      <c r="Z1182" s="207"/>
      <c r="AA1182" s="284"/>
      <c r="AB1182" s="284"/>
      <c r="AC1182" s="137"/>
      <c r="AD1182" s="284"/>
      <c r="AE1182" s="299"/>
      <c r="AF1182" s="299"/>
      <c r="AG1182" s="284"/>
    </row>
    <row r="1183" spans="2:33">
      <c r="B1183" s="86"/>
      <c r="C1183" s="84"/>
      <c r="D1183" s="86"/>
      <c r="E1183" s="84"/>
      <c r="F1183" s="284"/>
      <c r="G1183" s="49"/>
      <c r="H1183" s="284"/>
      <c r="I1183" s="74"/>
      <c r="J1183" s="371"/>
      <c r="K1183" s="77"/>
      <c r="L1183" s="160"/>
      <c r="M1183" s="388"/>
      <c r="N1183" s="375"/>
      <c r="W1183" s="113"/>
      <c r="X1183" s="241"/>
      <c r="Y1183" s="284"/>
      <c r="Z1183" s="207"/>
      <c r="AA1183" s="284"/>
      <c r="AB1183" s="284"/>
      <c r="AC1183" s="137"/>
      <c r="AD1183" s="284"/>
      <c r="AE1183" s="299"/>
      <c r="AF1183" s="299"/>
      <c r="AG1183" s="284"/>
    </row>
    <row r="1184" spans="2:33">
      <c r="B1184" s="86"/>
      <c r="C1184" s="84"/>
      <c r="D1184" s="86"/>
      <c r="E1184" s="84"/>
      <c r="F1184" s="284"/>
      <c r="G1184" s="49"/>
      <c r="H1184" s="284"/>
      <c r="I1184" s="74"/>
      <c r="J1184" s="371"/>
      <c r="K1184" s="77"/>
      <c r="L1184" s="160"/>
      <c r="M1184" s="388"/>
      <c r="N1184" s="375"/>
      <c r="W1184" s="113"/>
      <c r="X1184" s="241"/>
      <c r="Y1184" s="284"/>
      <c r="Z1184" s="207"/>
      <c r="AA1184" s="284"/>
      <c r="AB1184" s="284"/>
      <c r="AC1184" s="137"/>
      <c r="AD1184" s="284"/>
      <c r="AE1184" s="299"/>
      <c r="AF1184" s="299"/>
      <c r="AG1184" s="284"/>
    </row>
    <row r="1185" spans="2:33">
      <c r="B1185" s="86"/>
      <c r="C1185" s="84"/>
      <c r="D1185" s="86"/>
      <c r="E1185" s="84"/>
      <c r="F1185" s="284"/>
      <c r="G1185" s="49"/>
      <c r="H1185" s="284"/>
      <c r="I1185" s="74"/>
      <c r="J1185" s="371"/>
      <c r="K1185" s="77"/>
      <c r="L1185" s="160"/>
      <c r="M1185" s="388"/>
      <c r="N1185" s="375"/>
      <c r="W1185" s="113"/>
      <c r="X1185" s="241"/>
      <c r="Y1185" s="284"/>
      <c r="Z1185" s="207"/>
      <c r="AA1185" s="284"/>
      <c r="AB1185" s="284"/>
      <c r="AC1185" s="137"/>
      <c r="AD1185" s="284"/>
      <c r="AE1185" s="299"/>
      <c r="AF1185" s="299"/>
      <c r="AG1185" s="284"/>
    </row>
    <row r="1186" spans="2:33">
      <c r="B1186" s="86"/>
      <c r="C1186" s="84"/>
      <c r="D1186" s="86"/>
      <c r="E1186" s="84"/>
      <c r="F1186" s="284"/>
      <c r="G1186" s="49"/>
      <c r="H1186" s="284"/>
      <c r="I1186" s="74"/>
      <c r="J1186" s="371"/>
      <c r="K1186" s="77"/>
      <c r="L1186" s="160"/>
      <c r="M1186" s="388"/>
      <c r="N1186" s="375"/>
      <c r="W1186" s="113"/>
      <c r="X1186" s="241"/>
      <c r="Y1186" s="284"/>
      <c r="Z1186" s="207"/>
      <c r="AA1186" s="284"/>
      <c r="AB1186" s="284"/>
      <c r="AC1186" s="137"/>
      <c r="AD1186" s="284"/>
      <c r="AE1186" s="299"/>
      <c r="AF1186" s="299"/>
      <c r="AG1186" s="284"/>
    </row>
    <row r="1187" spans="2:33">
      <c r="B1187" s="86"/>
      <c r="C1187" s="84"/>
      <c r="D1187" s="86"/>
      <c r="E1187" s="84"/>
      <c r="F1187" s="284"/>
      <c r="G1187" s="49"/>
      <c r="H1187" s="284"/>
      <c r="I1187" s="74"/>
      <c r="J1187" s="371"/>
      <c r="K1187" s="77"/>
      <c r="L1187" s="160"/>
      <c r="M1187" s="388"/>
      <c r="N1187" s="375"/>
      <c r="W1187" s="113"/>
      <c r="X1187" s="241"/>
      <c r="Y1187" s="284"/>
      <c r="Z1187" s="207"/>
      <c r="AA1187" s="284"/>
      <c r="AB1187" s="284"/>
      <c r="AC1187" s="137"/>
      <c r="AD1187" s="284"/>
      <c r="AE1187" s="299"/>
      <c r="AF1187" s="299"/>
      <c r="AG1187" s="284"/>
    </row>
    <row r="1188" spans="2:33">
      <c r="B1188" s="86"/>
      <c r="C1188" s="84"/>
      <c r="D1188" s="86"/>
      <c r="E1188" s="84"/>
      <c r="F1188" s="284"/>
      <c r="G1188" s="49"/>
      <c r="H1188" s="284"/>
      <c r="I1188" s="74"/>
      <c r="J1188" s="371"/>
      <c r="K1188" s="77"/>
      <c r="L1188" s="160"/>
      <c r="M1188" s="388"/>
      <c r="N1188" s="375"/>
      <c r="W1188" s="113"/>
      <c r="X1188" s="241"/>
      <c r="Y1188" s="284"/>
      <c r="Z1188" s="207"/>
      <c r="AA1188" s="284"/>
      <c r="AB1188" s="284"/>
      <c r="AC1188" s="137"/>
      <c r="AD1188" s="284"/>
      <c r="AE1188" s="299"/>
      <c r="AF1188" s="299"/>
      <c r="AG1188" s="284"/>
    </row>
    <row r="1189" spans="2:33">
      <c r="B1189" s="86"/>
      <c r="C1189" s="84"/>
      <c r="D1189" s="86"/>
      <c r="E1189" s="84"/>
      <c r="F1189" s="284"/>
      <c r="G1189" s="49"/>
      <c r="H1189" s="284"/>
      <c r="I1189" s="74"/>
      <c r="J1189" s="371"/>
      <c r="K1189" s="77"/>
      <c r="L1189" s="160"/>
      <c r="M1189" s="388"/>
      <c r="N1189" s="375"/>
      <c r="W1189" s="113"/>
      <c r="X1189" s="241"/>
      <c r="Y1189" s="284"/>
      <c r="Z1189" s="207"/>
      <c r="AA1189" s="284"/>
      <c r="AB1189" s="284"/>
      <c r="AC1189" s="137"/>
      <c r="AD1189" s="284"/>
      <c r="AE1189" s="299"/>
      <c r="AF1189" s="299"/>
      <c r="AG1189" s="284"/>
    </row>
    <row r="1190" spans="2:33">
      <c r="B1190" s="86"/>
      <c r="C1190" s="84"/>
      <c r="D1190" s="86"/>
      <c r="E1190" s="84"/>
      <c r="F1190" s="284"/>
      <c r="G1190" s="49"/>
      <c r="H1190" s="284"/>
      <c r="I1190" s="74"/>
      <c r="J1190" s="371"/>
      <c r="K1190" s="77"/>
      <c r="L1190" s="160"/>
      <c r="M1190" s="388"/>
      <c r="N1190" s="375"/>
      <c r="W1190" s="113"/>
      <c r="X1190" s="241"/>
      <c r="Y1190" s="284"/>
      <c r="Z1190" s="207"/>
      <c r="AA1190" s="284"/>
      <c r="AB1190" s="284"/>
      <c r="AC1190" s="137"/>
      <c r="AD1190" s="284"/>
      <c r="AE1190" s="299"/>
      <c r="AF1190" s="299"/>
      <c r="AG1190" s="284"/>
    </row>
    <row r="1191" spans="2:33">
      <c r="B1191" s="86"/>
      <c r="C1191" s="84"/>
      <c r="D1191" s="86"/>
      <c r="E1191" s="84"/>
      <c r="F1191" s="284"/>
      <c r="G1191" s="49"/>
      <c r="H1191" s="284"/>
      <c r="I1191" s="74"/>
      <c r="J1191" s="371"/>
      <c r="K1191" s="77"/>
      <c r="L1191" s="160"/>
      <c r="M1191" s="388"/>
      <c r="N1191" s="375"/>
      <c r="W1191" s="113"/>
      <c r="X1191" s="241"/>
      <c r="Y1191" s="284"/>
      <c r="Z1191" s="207"/>
      <c r="AA1191" s="284"/>
      <c r="AB1191" s="284"/>
      <c r="AC1191" s="137"/>
      <c r="AD1191" s="284"/>
      <c r="AE1191" s="299"/>
      <c r="AF1191" s="299"/>
      <c r="AG1191" s="284"/>
    </row>
    <row r="1192" spans="2:33">
      <c r="B1192" s="86"/>
      <c r="C1192" s="84"/>
      <c r="D1192" s="86"/>
      <c r="E1192" s="84"/>
      <c r="F1192" s="284"/>
      <c r="G1192" s="49"/>
      <c r="H1192" s="284"/>
      <c r="I1192" s="74"/>
      <c r="J1192" s="371"/>
      <c r="K1192" s="77"/>
      <c r="L1192" s="160"/>
      <c r="M1192" s="388"/>
      <c r="N1192" s="375"/>
      <c r="W1192" s="113"/>
      <c r="X1192" s="241"/>
      <c r="Y1192" s="284"/>
      <c r="Z1192" s="207"/>
      <c r="AA1192" s="284"/>
      <c r="AB1192" s="284"/>
      <c r="AC1192" s="137"/>
      <c r="AD1192" s="284"/>
      <c r="AE1192" s="299"/>
      <c r="AF1192" s="299"/>
      <c r="AG1192" s="284"/>
    </row>
    <row r="1193" spans="2:33">
      <c r="B1193" s="86"/>
      <c r="C1193" s="84"/>
      <c r="D1193" s="86"/>
      <c r="E1193" s="84"/>
      <c r="F1193" s="284"/>
      <c r="G1193" s="49"/>
      <c r="H1193" s="284"/>
      <c r="I1193" s="74"/>
      <c r="J1193" s="371"/>
      <c r="K1193" s="77"/>
      <c r="L1193" s="160"/>
      <c r="M1193" s="388"/>
      <c r="N1193" s="375"/>
      <c r="W1193" s="113"/>
      <c r="X1193" s="241"/>
      <c r="Y1193" s="284"/>
      <c r="Z1193" s="207"/>
      <c r="AA1193" s="284"/>
      <c r="AB1193" s="284"/>
      <c r="AC1193" s="137"/>
      <c r="AD1193" s="284"/>
      <c r="AE1193" s="299"/>
      <c r="AF1193" s="299"/>
      <c r="AG1193" s="284"/>
    </row>
    <row r="1194" spans="2:33">
      <c r="B1194" s="86"/>
      <c r="C1194" s="84"/>
      <c r="D1194" s="86"/>
      <c r="E1194" s="84"/>
      <c r="F1194" s="284"/>
      <c r="G1194" s="49"/>
      <c r="H1194" s="284"/>
      <c r="I1194" s="74"/>
      <c r="J1194" s="371"/>
      <c r="K1194" s="77"/>
      <c r="L1194" s="160"/>
      <c r="M1194" s="388"/>
      <c r="N1194" s="375"/>
      <c r="W1194" s="113"/>
      <c r="X1194" s="241"/>
      <c r="Y1194" s="284"/>
      <c r="Z1194" s="207"/>
      <c r="AA1194" s="284"/>
      <c r="AB1194" s="284"/>
      <c r="AC1194" s="137"/>
      <c r="AD1194" s="284"/>
      <c r="AE1194" s="299"/>
      <c r="AF1194" s="299"/>
      <c r="AG1194" s="284"/>
    </row>
    <row r="1195" spans="2:33">
      <c r="B1195" s="86"/>
      <c r="C1195" s="84"/>
      <c r="D1195" s="86"/>
      <c r="E1195" s="84"/>
      <c r="F1195" s="284"/>
      <c r="G1195" s="49"/>
      <c r="H1195" s="284"/>
      <c r="I1195" s="74"/>
      <c r="J1195" s="371"/>
      <c r="K1195" s="77"/>
      <c r="L1195" s="160"/>
      <c r="M1195" s="388"/>
      <c r="N1195" s="375"/>
      <c r="W1195" s="113"/>
      <c r="X1195" s="241"/>
      <c r="Y1195" s="284"/>
      <c r="Z1195" s="207"/>
      <c r="AA1195" s="284"/>
      <c r="AB1195" s="284"/>
      <c r="AC1195" s="137"/>
      <c r="AD1195" s="284"/>
      <c r="AE1195" s="299"/>
      <c r="AF1195" s="299"/>
      <c r="AG1195" s="284"/>
    </row>
    <row r="1196" spans="2:33">
      <c r="B1196" s="86"/>
      <c r="C1196" s="84"/>
      <c r="D1196" s="86"/>
      <c r="E1196" s="84"/>
      <c r="F1196" s="284"/>
      <c r="G1196" s="49"/>
      <c r="H1196" s="284"/>
      <c r="I1196" s="74"/>
      <c r="J1196" s="371"/>
      <c r="K1196" s="77"/>
      <c r="L1196" s="160"/>
      <c r="M1196" s="388"/>
      <c r="N1196" s="375"/>
      <c r="W1196" s="113"/>
      <c r="X1196" s="241"/>
      <c r="Y1196" s="284"/>
      <c r="Z1196" s="207"/>
      <c r="AA1196" s="284"/>
      <c r="AB1196" s="284"/>
      <c r="AC1196" s="137"/>
      <c r="AD1196" s="284"/>
      <c r="AE1196" s="299"/>
      <c r="AF1196" s="299"/>
      <c r="AG1196" s="284"/>
    </row>
    <row r="1197" spans="2:33">
      <c r="B1197" s="86"/>
      <c r="C1197" s="84"/>
      <c r="D1197" s="86"/>
      <c r="E1197" s="84"/>
      <c r="F1197" s="284"/>
      <c r="G1197" s="49"/>
      <c r="H1197" s="284"/>
      <c r="I1197" s="74"/>
      <c r="J1197" s="371"/>
      <c r="K1197" s="77"/>
      <c r="L1197" s="160"/>
      <c r="M1197" s="388"/>
      <c r="N1197" s="375"/>
      <c r="W1197" s="113"/>
      <c r="X1197" s="241"/>
      <c r="Y1197" s="284"/>
      <c r="Z1197" s="207"/>
      <c r="AA1197" s="284"/>
      <c r="AB1197" s="284"/>
      <c r="AC1197" s="137"/>
      <c r="AD1197" s="284"/>
      <c r="AE1197" s="299"/>
      <c r="AF1197" s="299"/>
      <c r="AG1197" s="284"/>
    </row>
    <row r="1198" spans="2:33">
      <c r="B1198" s="86"/>
      <c r="C1198" s="84"/>
      <c r="D1198" s="86"/>
      <c r="E1198" s="84"/>
      <c r="F1198" s="284"/>
      <c r="G1198" s="49"/>
      <c r="H1198" s="284"/>
      <c r="I1198" s="74"/>
      <c r="J1198" s="371"/>
      <c r="K1198" s="77"/>
      <c r="L1198" s="160"/>
      <c r="M1198" s="388"/>
      <c r="N1198" s="375"/>
      <c r="W1198" s="113"/>
      <c r="X1198" s="241"/>
      <c r="Y1198" s="284"/>
      <c r="Z1198" s="207"/>
      <c r="AA1198" s="284"/>
      <c r="AB1198" s="284"/>
      <c r="AC1198" s="137"/>
      <c r="AD1198" s="284"/>
      <c r="AE1198" s="299"/>
      <c r="AF1198" s="299"/>
      <c r="AG1198" s="284"/>
    </row>
    <row r="1199" spans="2:33">
      <c r="B1199" s="86"/>
      <c r="C1199" s="84"/>
      <c r="D1199" s="86"/>
      <c r="E1199" s="84"/>
      <c r="F1199" s="284"/>
      <c r="G1199" s="49"/>
      <c r="H1199" s="284"/>
      <c r="I1199" s="74"/>
      <c r="J1199" s="371"/>
      <c r="K1199" s="77"/>
      <c r="L1199" s="160"/>
      <c r="M1199" s="388"/>
      <c r="N1199" s="375"/>
      <c r="W1199" s="113"/>
      <c r="X1199" s="241"/>
      <c r="Y1199" s="284"/>
      <c r="Z1199" s="207"/>
      <c r="AA1199" s="284"/>
      <c r="AB1199" s="284"/>
      <c r="AC1199" s="137"/>
      <c r="AD1199" s="284"/>
      <c r="AE1199" s="299"/>
      <c r="AF1199" s="299"/>
      <c r="AG1199" s="284"/>
    </row>
    <row r="1200" spans="2:33">
      <c r="B1200" s="86"/>
      <c r="C1200" s="84"/>
      <c r="D1200" s="86"/>
      <c r="E1200" s="84"/>
      <c r="F1200" s="284"/>
      <c r="G1200" s="49"/>
      <c r="H1200" s="284"/>
      <c r="I1200" s="74"/>
      <c r="J1200" s="371"/>
      <c r="K1200" s="77"/>
      <c r="L1200" s="160"/>
      <c r="M1200" s="388"/>
      <c r="N1200" s="375"/>
      <c r="W1200" s="113"/>
      <c r="X1200" s="241"/>
      <c r="Y1200" s="284"/>
      <c r="Z1200" s="207"/>
      <c r="AA1200" s="284"/>
      <c r="AB1200" s="284"/>
      <c r="AC1200" s="137"/>
      <c r="AD1200" s="284"/>
      <c r="AE1200" s="299"/>
      <c r="AF1200" s="299"/>
      <c r="AG1200" s="284"/>
    </row>
    <row r="1201" spans="2:33">
      <c r="B1201" s="86"/>
      <c r="C1201" s="84"/>
      <c r="D1201" s="86"/>
      <c r="E1201" s="84"/>
      <c r="F1201" s="284"/>
      <c r="G1201" s="49"/>
      <c r="H1201" s="284"/>
      <c r="I1201" s="74"/>
      <c r="J1201" s="371"/>
      <c r="K1201" s="77"/>
      <c r="L1201" s="160"/>
      <c r="M1201" s="388"/>
      <c r="N1201" s="375"/>
      <c r="W1201" s="113"/>
      <c r="X1201" s="241"/>
      <c r="Y1201" s="284"/>
      <c r="Z1201" s="207"/>
      <c r="AA1201" s="284"/>
      <c r="AB1201" s="284"/>
      <c r="AC1201" s="137"/>
      <c r="AD1201" s="284"/>
      <c r="AE1201" s="299"/>
      <c r="AF1201" s="299"/>
      <c r="AG1201" s="284"/>
    </row>
    <row r="1202" spans="2:33">
      <c r="B1202" s="86"/>
      <c r="C1202" s="84"/>
      <c r="D1202" s="86"/>
      <c r="E1202" s="84"/>
      <c r="F1202" s="284"/>
      <c r="G1202" s="49"/>
      <c r="H1202" s="284"/>
      <c r="I1202" s="74"/>
      <c r="J1202" s="371"/>
      <c r="K1202" s="77"/>
      <c r="L1202" s="160"/>
      <c r="M1202" s="388"/>
      <c r="N1202" s="375"/>
      <c r="W1202" s="113"/>
      <c r="X1202" s="241"/>
      <c r="Y1202" s="284"/>
      <c r="Z1202" s="207"/>
      <c r="AA1202" s="284"/>
      <c r="AB1202" s="284"/>
      <c r="AC1202" s="137"/>
      <c r="AD1202" s="284"/>
      <c r="AE1202" s="299"/>
      <c r="AF1202" s="299"/>
      <c r="AG1202" s="284"/>
    </row>
    <row r="1203" spans="2:33">
      <c r="B1203" s="86"/>
      <c r="C1203" s="84"/>
      <c r="D1203" s="86"/>
      <c r="E1203" s="84"/>
      <c r="F1203" s="284"/>
      <c r="G1203" s="49"/>
      <c r="H1203" s="284"/>
      <c r="I1203" s="74"/>
      <c r="J1203" s="371"/>
      <c r="K1203" s="77"/>
      <c r="L1203" s="160"/>
      <c r="M1203" s="388"/>
      <c r="N1203" s="375"/>
      <c r="W1203" s="113"/>
      <c r="X1203" s="241"/>
      <c r="Y1203" s="284"/>
      <c r="Z1203" s="207"/>
      <c r="AA1203" s="284"/>
      <c r="AB1203" s="284"/>
      <c r="AC1203" s="137"/>
      <c r="AD1203" s="284"/>
      <c r="AE1203" s="299"/>
      <c r="AF1203" s="299"/>
      <c r="AG1203" s="284"/>
    </row>
    <row r="1204" spans="2:33">
      <c r="B1204" s="86"/>
      <c r="C1204" s="84"/>
      <c r="D1204" s="86"/>
      <c r="E1204" s="84"/>
      <c r="F1204" s="284"/>
      <c r="G1204" s="49"/>
      <c r="H1204" s="284"/>
      <c r="I1204" s="74"/>
      <c r="J1204" s="371"/>
      <c r="K1204" s="77"/>
      <c r="L1204" s="160"/>
      <c r="M1204" s="388"/>
      <c r="N1204" s="375"/>
      <c r="W1204" s="113"/>
      <c r="X1204" s="241"/>
      <c r="Y1204" s="284"/>
      <c r="Z1204" s="207"/>
      <c r="AA1204" s="284"/>
      <c r="AB1204" s="284"/>
      <c r="AC1204" s="137"/>
      <c r="AD1204" s="284"/>
      <c r="AE1204" s="299"/>
      <c r="AF1204" s="299"/>
      <c r="AG1204" s="284"/>
    </row>
    <row r="1205" spans="2:33">
      <c r="B1205" s="86"/>
      <c r="C1205" s="84"/>
      <c r="D1205" s="86"/>
      <c r="E1205" s="84"/>
      <c r="F1205" s="284"/>
      <c r="G1205" s="49"/>
      <c r="H1205" s="284"/>
      <c r="I1205" s="74"/>
      <c r="J1205" s="371"/>
      <c r="K1205" s="77"/>
      <c r="L1205" s="160"/>
      <c r="M1205" s="388"/>
      <c r="N1205" s="375"/>
      <c r="W1205" s="113"/>
      <c r="X1205" s="241"/>
      <c r="Y1205" s="284"/>
      <c r="Z1205" s="207"/>
      <c r="AA1205" s="284"/>
      <c r="AB1205" s="284"/>
      <c r="AC1205" s="137"/>
      <c r="AD1205" s="284"/>
      <c r="AE1205" s="299"/>
      <c r="AF1205" s="299"/>
      <c r="AG1205" s="284"/>
    </row>
    <row r="1206" spans="2:33">
      <c r="B1206" s="86"/>
      <c r="C1206" s="84"/>
      <c r="D1206" s="86"/>
      <c r="E1206" s="84"/>
      <c r="F1206" s="284"/>
      <c r="G1206" s="49"/>
      <c r="H1206" s="284"/>
      <c r="I1206" s="74"/>
      <c r="J1206" s="371"/>
      <c r="K1206" s="77"/>
      <c r="L1206" s="160"/>
      <c r="M1206" s="388"/>
      <c r="N1206" s="375"/>
      <c r="W1206" s="113"/>
      <c r="X1206" s="241"/>
      <c r="Y1206" s="284"/>
      <c r="Z1206" s="207"/>
      <c r="AA1206" s="284"/>
      <c r="AB1206" s="284"/>
      <c r="AC1206" s="137"/>
      <c r="AD1206" s="284"/>
      <c r="AE1206" s="299"/>
      <c r="AF1206" s="299"/>
      <c r="AG1206" s="284"/>
    </row>
    <row r="1207" spans="2:33">
      <c r="B1207" s="86"/>
      <c r="C1207" s="84"/>
      <c r="D1207" s="86"/>
      <c r="E1207" s="84"/>
      <c r="F1207" s="284"/>
      <c r="G1207" s="49"/>
      <c r="H1207" s="284"/>
      <c r="I1207" s="74"/>
      <c r="J1207" s="371"/>
      <c r="K1207" s="77"/>
      <c r="L1207" s="160"/>
      <c r="M1207" s="388"/>
      <c r="N1207" s="375"/>
      <c r="W1207" s="113"/>
      <c r="X1207" s="241"/>
      <c r="Y1207" s="284"/>
      <c r="Z1207" s="207"/>
      <c r="AA1207" s="284"/>
      <c r="AB1207" s="284"/>
      <c r="AC1207" s="137"/>
      <c r="AD1207" s="284"/>
      <c r="AE1207" s="299"/>
      <c r="AF1207" s="299"/>
      <c r="AG1207" s="284"/>
    </row>
    <row r="1208" spans="2:33">
      <c r="B1208" s="86"/>
      <c r="C1208" s="84"/>
      <c r="D1208" s="86"/>
      <c r="E1208" s="84"/>
      <c r="F1208" s="284"/>
      <c r="G1208" s="49"/>
      <c r="H1208" s="284"/>
      <c r="I1208" s="74"/>
      <c r="J1208" s="371"/>
      <c r="K1208" s="77"/>
      <c r="L1208" s="160"/>
      <c r="M1208" s="388"/>
      <c r="N1208" s="375"/>
      <c r="W1208" s="113"/>
      <c r="X1208" s="241"/>
      <c r="Y1208" s="284"/>
      <c r="Z1208" s="207"/>
      <c r="AA1208" s="284"/>
      <c r="AB1208" s="284"/>
      <c r="AC1208" s="137"/>
      <c r="AD1208" s="284"/>
      <c r="AE1208" s="299"/>
      <c r="AF1208" s="299"/>
      <c r="AG1208" s="284"/>
    </row>
    <row r="1209" spans="2:33">
      <c r="B1209" s="86"/>
      <c r="C1209" s="84"/>
      <c r="D1209" s="86"/>
      <c r="E1209" s="84"/>
      <c r="F1209" s="284"/>
      <c r="G1209" s="49"/>
      <c r="H1209" s="284"/>
      <c r="I1209" s="74"/>
      <c r="J1209" s="371"/>
      <c r="K1209" s="77"/>
      <c r="L1209" s="160"/>
      <c r="M1209" s="388"/>
      <c r="N1209" s="375"/>
      <c r="W1209" s="113"/>
      <c r="X1209" s="241"/>
      <c r="Y1209" s="284"/>
      <c r="Z1209" s="207"/>
      <c r="AA1209" s="284"/>
      <c r="AB1209" s="284"/>
      <c r="AC1209" s="137"/>
      <c r="AD1209" s="284"/>
      <c r="AE1209" s="299"/>
      <c r="AF1209" s="299"/>
      <c r="AG1209" s="284"/>
    </row>
    <row r="1210" spans="2:33">
      <c r="B1210" s="86"/>
      <c r="C1210" s="84"/>
      <c r="D1210" s="86"/>
      <c r="E1210" s="84"/>
      <c r="F1210" s="284"/>
      <c r="G1210" s="49"/>
      <c r="H1210" s="284"/>
      <c r="I1210" s="74"/>
      <c r="J1210" s="371"/>
      <c r="K1210" s="77"/>
      <c r="L1210" s="160"/>
      <c r="M1210" s="388"/>
      <c r="N1210" s="375"/>
      <c r="W1210" s="113"/>
      <c r="X1210" s="241"/>
      <c r="Y1210" s="284"/>
      <c r="Z1210" s="207"/>
      <c r="AA1210" s="284"/>
      <c r="AB1210" s="284"/>
      <c r="AC1210" s="137"/>
      <c r="AD1210" s="284"/>
      <c r="AE1210" s="299"/>
      <c r="AF1210" s="299"/>
      <c r="AG1210" s="284"/>
    </row>
    <row r="1211" spans="2:33">
      <c r="B1211" s="86"/>
      <c r="C1211" s="84"/>
      <c r="D1211" s="86"/>
      <c r="E1211" s="84"/>
      <c r="F1211" s="284"/>
      <c r="G1211" s="49"/>
      <c r="H1211" s="284"/>
      <c r="I1211" s="74"/>
      <c r="J1211" s="371"/>
      <c r="K1211" s="77"/>
      <c r="L1211" s="160"/>
      <c r="M1211" s="388"/>
      <c r="N1211" s="375"/>
      <c r="W1211" s="113"/>
      <c r="X1211" s="241"/>
      <c r="Y1211" s="284"/>
      <c r="Z1211" s="207"/>
      <c r="AA1211" s="284"/>
      <c r="AB1211" s="284"/>
      <c r="AC1211" s="137"/>
      <c r="AD1211" s="284"/>
      <c r="AE1211" s="299"/>
      <c r="AF1211" s="299"/>
      <c r="AG1211" s="284"/>
    </row>
    <row r="1212" spans="2:33">
      <c r="B1212" s="86"/>
      <c r="C1212" s="84"/>
      <c r="D1212" s="86"/>
      <c r="E1212" s="84"/>
      <c r="F1212" s="284"/>
      <c r="G1212" s="49"/>
      <c r="H1212" s="284"/>
      <c r="I1212" s="74"/>
      <c r="J1212" s="371"/>
      <c r="K1212" s="77"/>
      <c r="L1212" s="160"/>
      <c r="M1212" s="388"/>
      <c r="N1212" s="375"/>
      <c r="W1212" s="113"/>
      <c r="X1212" s="241"/>
      <c r="Y1212" s="284"/>
      <c r="Z1212" s="207"/>
      <c r="AA1212" s="284"/>
      <c r="AB1212" s="284"/>
      <c r="AC1212" s="137"/>
      <c r="AD1212" s="284"/>
      <c r="AE1212" s="299"/>
      <c r="AF1212" s="299"/>
      <c r="AG1212" s="284"/>
    </row>
    <row r="1213" spans="2:33">
      <c r="B1213" s="86"/>
      <c r="C1213" s="84"/>
      <c r="D1213" s="86"/>
      <c r="E1213" s="84"/>
      <c r="F1213" s="284"/>
      <c r="G1213" s="49"/>
      <c r="H1213" s="284"/>
      <c r="I1213" s="74"/>
      <c r="J1213" s="371"/>
      <c r="K1213" s="77"/>
      <c r="L1213" s="160"/>
      <c r="M1213" s="388"/>
      <c r="N1213" s="375"/>
      <c r="W1213" s="113"/>
      <c r="X1213" s="241"/>
      <c r="Y1213" s="284"/>
      <c r="Z1213" s="207"/>
      <c r="AA1213" s="284"/>
      <c r="AB1213" s="284"/>
      <c r="AC1213" s="137"/>
      <c r="AD1213" s="284"/>
      <c r="AE1213" s="299"/>
      <c r="AF1213" s="299"/>
      <c r="AG1213" s="284"/>
    </row>
    <row r="1214" spans="2:33">
      <c r="B1214" s="86"/>
      <c r="C1214" s="84"/>
      <c r="D1214" s="86"/>
      <c r="E1214" s="84"/>
      <c r="F1214" s="284"/>
      <c r="G1214" s="49"/>
      <c r="H1214" s="284"/>
      <c r="I1214" s="74"/>
      <c r="J1214" s="371"/>
      <c r="K1214" s="77"/>
      <c r="L1214" s="160"/>
      <c r="M1214" s="388"/>
      <c r="N1214" s="375"/>
      <c r="W1214" s="113"/>
      <c r="X1214" s="241"/>
      <c r="Y1214" s="284"/>
      <c r="Z1214" s="207"/>
      <c r="AA1214" s="284"/>
      <c r="AB1214" s="284"/>
      <c r="AC1214" s="137"/>
      <c r="AD1214" s="284"/>
      <c r="AE1214" s="299"/>
      <c r="AF1214" s="299"/>
      <c r="AG1214" s="284"/>
    </row>
    <row r="1215" spans="2:33">
      <c r="B1215" s="86"/>
      <c r="C1215" s="84"/>
      <c r="D1215" s="86"/>
      <c r="E1215" s="84"/>
      <c r="F1215" s="284"/>
      <c r="G1215" s="49"/>
      <c r="H1215" s="284"/>
      <c r="I1215" s="74"/>
      <c r="J1215" s="371"/>
      <c r="K1215" s="77"/>
      <c r="L1215" s="160"/>
      <c r="M1215" s="388"/>
      <c r="N1215" s="375"/>
      <c r="W1215" s="113"/>
      <c r="X1215" s="241"/>
      <c r="Y1215" s="284"/>
      <c r="Z1215" s="207"/>
      <c r="AA1215" s="284"/>
      <c r="AB1215" s="284"/>
      <c r="AC1215" s="137"/>
      <c r="AD1215" s="284"/>
      <c r="AE1215" s="299"/>
      <c r="AF1215" s="299"/>
      <c r="AG1215" s="284"/>
    </row>
    <row r="1216" spans="2:33">
      <c r="B1216" s="86"/>
      <c r="C1216" s="84"/>
      <c r="D1216" s="86"/>
      <c r="E1216" s="84"/>
      <c r="F1216" s="284"/>
      <c r="G1216" s="49"/>
      <c r="H1216" s="284"/>
      <c r="I1216" s="74"/>
      <c r="J1216" s="371"/>
      <c r="K1216" s="77"/>
      <c r="L1216" s="160"/>
      <c r="M1216" s="388"/>
      <c r="N1216" s="375"/>
      <c r="W1216" s="113"/>
      <c r="X1216" s="241"/>
      <c r="Y1216" s="284"/>
      <c r="Z1216" s="207"/>
      <c r="AA1216" s="284"/>
      <c r="AB1216" s="284"/>
      <c r="AC1216" s="137"/>
      <c r="AD1216" s="284"/>
      <c r="AE1216" s="299"/>
      <c r="AF1216" s="299"/>
      <c r="AG1216" s="284"/>
    </row>
    <row r="1217" spans="2:33">
      <c r="B1217" s="86"/>
      <c r="C1217" s="84"/>
      <c r="D1217" s="86"/>
      <c r="E1217" s="84"/>
      <c r="F1217" s="284"/>
      <c r="G1217" s="49"/>
      <c r="H1217" s="284"/>
      <c r="I1217" s="74"/>
      <c r="J1217" s="371"/>
      <c r="K1217" s="77"/>
      <c r="L1217" s="160"/>
      <c r="M1217" s="388"/>
      <c r="N1217" s="375"/>
      <c r="W1217" s="113"/>
      <c r="X1217" s="241"/>
      <c r="Y1217" s="284"/>
      <c r="Z1217" s="207"/>
      <c r="AA1217" s="284"/>
      <c r="AB1217" s="284"/>
      <c r="AC1217" s="137"/>
      <c r="AD1217" s="284"/>
      <c r="AE1217" s="299"/>
      <c r="AF1217" s="299"/>
      <c r="AG1217" s="284"/>
    </row>
    <row r="1218" spans="2:33">
      <c r="B1218" s="86"/>
      <c r="C1218" s="84"/>
      <c r="D1218" s="86"/>
      <c r="E1218" s="84"/>
      <c r="F1218" s="284"/>
      <c r="G1218" s="49"/>
      <c r="H1218" s="284"/>
      <c r="I1218" s="74"/>
      <c r="J1218" s="371"/>
      <c r="K1218" s="77"/>
      <c r="L1218" s="160"/>
      <c r="M1218" s="388"/>
      <c r="N1218" s="375"/>
      <c r="W1218" s="113"/>
      <c r="X1218" s="241"/>
      <c r="Y1218" s="284"/>
      <c r="Z1218" s="207"/>
      <c r="AA1218" s="284"/>
      <c r="AB1218" s="284"/>
      <c r="AC1218" s="137"/>
      <c r="AD1218" s="284"/>
      <c r="AE1218" s="299"/>
      <c r="AF1218" s="299"/>
      <c r="AG1218" s="284"/>
    </row>
    <row r="1219" spans="2:33">
      <c r="B1219" s="86"/>
      <c r="C1219" s="84"/>
      <c r="D1219" s="86"/>
      <c r="E1219" s="84"/>
      <c r="F1219" s="284"/>
      <c r="G1219" s="49"/>
      <c r="H1219" s="284"/>
      <c r="I1219" s="74"/>
      <c r="J1219" s="371"/>
      <c r="K1219" s="77"/>
      <c r="L1219" s="160"/>
      <c r="M1219" s="388"/>
      <c r="N1219" s="375"/>
      <c r="W1219" s="113"/>
      <c r="X1219" s="241"/>
      <c r="Y1219" s="284"/>
      <c r="Z1219" s="207"/>
      <c r="AA1219" s="284"/>
      <c r="AB1219" s="284"/>
      <c r="AC1219" s="137"/>
      <c r="AD1219" s="284"/>
      <c r="AE1219" s="299"/>
      <c r="AF1219" s="299"/>
      <c r="AG1219" s="284"/>
    </row>
    <row r="1220" spans="2:33">
      <c r="B1220" s="86"/>
      <c r="C1220" s="84"/>
      <c r="D1220" s="86"/>
      <c r="E1220" s="84"/>
      <c r="F1220" s="284"/>
      <c r="G1220" s="49"/>
      <c r="H1220" s="284"/>
      <c r="I1220" s="74"/>
      <c r="J1220" s="371"/>
      <c r="K1220" s="77"/>
      <c r="L1220" s="160"/>
      <c r="M1220" s="388"/>
      <c r="N1220" s="375"/>
      <c r="W1220" s="113"/>
      <c r="X1220" s="241"/>
      <c r="Y1220" s="284"/>
      <c r="Z1220" s="207"/>
      <c r="AA1220" s="284"/>
      <c r="AB1220" s="284"/>
      <c r="AC1220" s="137"/>
      <c r="AD1220" s="284"/>
      <c r="AE1220" s="299"/>
      <c r="AF1220" s="299"/>
      <c r="AG1220" s="284"/>
    </row>
    <row r="1221" spans="2:33">
      <c r="B1221" s="86"/>
      <c r="C1221" s="84"/>
      <c r="D1221" s="86"/>
      <c r="E1221" s="84"/>
      <c r="F1221" s="284"/>
      <c r="G1221" s="49"/>
      <c r="H1221" s="284"/>
      <c r="I1221" s="74"/>
      <c r="J1221" s="371"/>
      <c r="K1221" s="77"/>
      <c r="L1221" s="160"/>
      <c r="M1221" s="388"/>
      <c r="N1221" s="375"/>
      <c r="W1221" s="113"/>
      <c r="X1221" s="241"/>
      <c r="Y1221" s="284"/>
      <c r="Z1221" s="207"/>
      <c r="AA1221" s="284"/>
      <c r="AB1221" s="284"/>
      <c r="AC1221" s="137"/>
      <c r="AD1221" s="284"/>
      <c r="AE1221" s="299"/>
      <c r="AF1221" s="299"/>
      <c r="AG1221" s="284"/>
    </row>
    <row r="1222" spans="2:33">
      <c r="B1222" s="86"/>
      <c r="C1222" s="84"/>
      <c r="D1222" s="86"/>
      <c r="E1222" s="84"/>
      <c r="F1222" s="284"/>
      <c r="G1222" s="49"/>
      <c r="H1222" s="284"/>
      <c r="I1222" s="74"/>
      <c r="J1222" s="371"/>
      <c r="K1222" s="77"/>
      <c r="L1222" s="160"/>
      <c r="M1222" s="388"/>
      <c r="N1222" s="375"/>
      <c r="W1222" s="113"/>
      <c r="X1222" s="241"/>
      <c r="Y1222" s="284"/>
      <c r="Z1222" s="207"/>
      <c r="AA1222" s="284"/>
      <c r="AB1222" s="284"/>
      <c r="AC1222" s="137"/>
      <c r="AD1222" s="284"/>
      <c r="AE1222" s="299"/>
      <c r="AF1222" s="299"/>
      <c r="AG1222" s="284"/>
    </row>
    <row r="1223" spans="2:33">
      <c r="B1223" s="86"/>
      <c r="C1223" s="84"/>
      <c r="D1223" s="86"/>
      <c r="E1223" s="84"/>
      <c r="F1223" s="284"/>
      <c r="G1223" s="49"/>
      <c r="H1223" s="284"/>
      <c r="I1223" s="74"/>
      <c r="J1223" s="371"/>
      <c r="K1223" s="77"/>
      <c r="L1223" s="160"/>
      <c r="M1223" s="388"/>
      <c r="N1223" s="375"/>
      <c r="W1223" s="113"/>
      <c r="X1223" s="241"/>
      <c r="Y1223" s="284"/>
      <c r="Z1223" s="207"/>
      <c r="AA1223" s="284"/>
      <c r="AB1223" s="284"/>
      <c r="AC1223" s="137"/>
      <c r="AD1223" s="284"/>
      <c r="AE1223" s="299"/>
      <c r="AF1223" s="299"/>
      <c r="AG1223" s="284"/>
    </row>
    <row r="1224" spans="2:33">
      <c r="B1224" s="86"/>
      <c r="C1224" s="84"/>
      <c r="D1224" s="86"/>
      <c r="E1224" s="84"/>
      <c r="F1224" s="284"/>
      <c r="G1224" s="49"/>
      <c r="H1224" s="284"/>
      <c r="I1224" s="74"/>
      <c r="J1224" s="371"/>
      <c r="K1224" s="77"/>
      <c r="L1224" s="160"/>
      <c r="M1224" s="388"/>
      <c r="N1224" s="375"/>
      <c r="W1224" s="113"/>
      <c r="X1224" s="241"/>
      <c r="Y1224" s="284"/>
      <c r="Z1224" s="207"/>
      <c r="AA1224" s="284"/>
      <c r="AB1224" s="284"/>
      <c r="AC1224" s="137"/>
      <c r="AD1224" s="284"/>
      <c r="AE1224" s="299"/>
      <c r="AF1224" s="299"/>
      <c r="AG1224" s="284"/>
    </row>
    <row r="1225" spans="2:33">
      <c r="B1225" s="86"/>
      <c r="C1225" s="84"/>
      <c r="D1225" s="86"/>
      <c r="E1225" s="84"/>
      <c r="F1225" s="284"/>
      <c r="G1225" s="49"/>
      <c r="H1225" s="284"/>
      <c r="I1225" s="74"/>
      <c r="J1225" s="371"/>
      <c r="K1225" s="77"/>
      <c r="L1225" s="160"/>
      <c r="M1225" s="388"/>
      <c r="N1225" s="375"/>
      <c r="W1225" s="113"/>
      <c r="X1225" s="241"/>
      <c r="Y1225" s="284"/>
      <c r="Z1225" s="207"/>
      <c r="AA1225" s="284"/>
      <c r="AB1225" s="284"/>
      <c r="AC1225" s="137"/>
      <c r="AD1225" s="284"/>
      <c r="AE1225" s="299"/>
      <c r="AF1225" s="299"/>
      <c r="AG1225" s="284"/>
    </row>
    <row r="1226" spans="2:33">
      <c r="B1226" s="86"/>
      <c r="C1226" s="84"/>
      <c r="D1226" s="86"/>
      <c r="E1226" s="84"/>
      <c r="F1226" s="284"/>
      <c r="G1226" s="49"/>
      <c r="H1226" s="284"/>
      <c r="I1226" s="74"/>
      <c r="J1226" s="371"/>
      <c r="K1226" s="77"/>
      <c r="L1226" s="160"/>
      <c r="M1226" s="388"/>
      <c r="N1226" s="375"/>
      <c r="W1226" s="113"/>
      <c r="X1226" s="241"/>
      <c r="Y1226" s="284"/>
      <c r="Z1226" s="207"/>
      <c r="AA1226" s="284"/>
      <c r="AB1226" s="284"/>
      <c r="AC1226" s="137"/>
      <c r="AD1226" s="284"/>
      <c r="AE1226" s="299"/>
      <c r="AF1226" s="299"/>
      <c r="AG1226" s="284"/>
    </row>
    <row r="1227" spans="2:33">
      <c r="B1227" s="86"/>
      <c r="C1227" s="84"/>
      <c r="D1227" s="86"/>
      <c r="E1227" s="84"/>
      <c r="F1227" s="284"/>
      <c r="G1227" s="49"/>
      <c r="H1227" s="284"/>
      <c r="I1227" s="74"/>
      <c r="J1227" s="371"/>
      <c r="K1227" s="77"/>
      <c r="L1227" s="160"/>
      <c r="M1227" s="388"/>
      <c r="N1227" s="375"/>
      <c r="W1227" s="113"/>
      <c r="X1227" s="241"/>
      <c r="Y1227" s="284"/>
      <c r="Z1227" s="207"/>
      <c r="AA1227" s="284"/>
      <c r="AB1227" s="284"/>
      <c r="AC1227" s="137"/>
      <c r="AD1227" s="284"/>
      <c r="AE1227" s="299"/>
      <c r="AF1227" s="299"/>
      <c r="AG1227" s="284"/>
    </row>
    <row r="1228" spans="2:33">
      <c r="B1228" s="86"/>
      <c r="C1228" s="84"/>
      <c r="D1228" s="86"/>
      <c r="E1228" s="84"/>
      <c r="F1228" s="284"/>
      <c r="G1228" s="49"/>
      <c r="H1228" s="284"/>
      <c r="I1228" s="74"/>
      <c r="J1228" s="371"/>
      <c r="K1228" s="77"/>
      <c r="L1228" s="160"/>
      <c r="M1228" s="388"/>
      <c r="N1228" s="375"/>
      <c r="W1228" s="113"/>
      <c r="X1228" s="241"/>
      <c r="Y1228" s="284"/>
      <c r="Z1228" s="207"/>
      <c r="AA1228" s="284"/>
      <c r="AB1228" s="284"/>
      <c r="AC1228" s="137"/>
      <c r="AD1228" s="284"/>
      <c r="AE1228" s="299"/>
      <c r="AF1228" s="299"/>
      <c r="AG1228" s="284"/>
    </row>
    <row r="1229" spans="2:33">
      <c r="B1229" s="86"/>
      <c r="C1229" s="84"/>
      <c r="D1229" s="86"/>
      <c r="E1229" s="84"/>
      <c r="F1229" s="284"/>
      <c r="G1229" s="49"/>
      <c r="H1229" s="284"/>
      <c r="I1229" s="74"/>
      <c r="J1229" s="371"/>
      <c r="K1229" s="77"/>
      <c r="L1229" s="160"/>
      <c r="M1229" s="388"/>
      <c r="N1229" s="375"/>
      <c r="W1229" s="113"/>
      <c r="X1229" s="241"/>
      <c r="Y1229" s="284"/>
      <c r="Z1229" s="207"/>
      <c r="AA1229" s="284"/>
      <c r="AB1229" s="284"/>
      <c r="AC1229" s="137"/>
      <c r="AD1229" s="284"/>
      <c r="AE1229" s="299"/>
      <c r="AF1229" s="299"/>
      <c r="AG1229" s="284"/>
    </row>
    <row r="1230" spans="2:33">
      <c r="B1230" s="86"/>
      <c r="C1230" s="84"/>
      <c r="D1230" s="86"/>
      <c r="E1230" s="84"/>
      <c r="F1230" s="284"/>
      <c r="G1230" s="49"/>
      <c r="H1230" s="284"/>
      <c r="I1230" s="74"/>
      <c r="J1230" s="371"/>
      <c r="K1230" s="77"/>
      <c r="L1230" s="160"/>
      <c r="M1230" s="388"/>
      <c r="N1230" s="375"/>
      <c r="W1230" s="113"/>
      <c r="X1230" s="241"/>
      <c r="Y1230" s="284"/>
      <c r="Z1230" s="207"/>
      <c r="AA1230" s="284"/>
      <c r="AB1230" s="284"/>
      <c r="AC1230" s="137"/>
      <c r="AD1230" s="284"/>
      <c r="AE1230" s="299"/>
      <c r="AF1230" s="299"/>
      <c r="AG1230" s="284"/>
    </row>
    <row r="1231" spans="2:33">
      <c r="B1231" s="86"/>
      <c r="C1231" s="84"/>
      <c r="D1231" s="86"/>
      <c r="E1231" s="84"/>
      <c r="F1231" s="284"/>
      <c r="G1231" s="49"/>
      <c r="H1231" s="284"/>
      <c r="I1231" s="74"/>
      <c r="J1231" s="371"/>
      <c r="K1231" s="77"/>
      <c r="L1231" s="160"/>
      <c r="M1231" s="388"/>
      <c r="N1231" s="375"/>
      <c r="W1231" s="113"/>
      <c r="X1231" s="241"/>
      <c r="Y1231" s="284"/>
      <c r="Z1231" s="207"/>
      <c r="AA1231" s="284"/>
      <c r="AB1231" s="284"/>
      <c r="AC1231" s="137"/>
      <c r="AD1231" s="284"/>
      <c r="AE1231" s="299"/>
      <c r="AF1231" s="299"/>
      <c r="AG1231" s="284"/>
    </row>
    <row r="1232" spans="2:33">
      <c r="B1232" s="86"/>
      <c r="C1232" s="84"/>
      <c r="D1232" s="86"/>
      <c r="E1232" s="84"/>
      <c r="F1232" s="284"/>
      <c r="G1232" s="49"/>
      <c r="H1232" s="284"/>
      <c r="I1232" s="74"/>
      <c r="J1232" s="371"/>
      <c r="K1232" s="77"/>
      <c r="L1232" s="160"/>
      <c r="M1232" s="388"/>
      <c r="N1232" s="375"/>
      <c r="W1232" s="113"/>
      <c r="X1232" s="241"/>
      <c r="Y1232" s="284"/>
      <c r="Z1232" s="207"/>
      <c r="AA1232" s="284"/>
      <c r="AB1232" s="284"/>
      <c r="AC1232" s="137"/>
      <c r="AD1232" s="284"/>
      <c r="AE1232" s="299"/>
      <c r="AF1232" s="299"/>
      <c r="AG1232" s="284"/>
    </row>
    <row r="1233" spans="2:33">
      <c r="B1233" s="86"/>
      <c r="C1233" s="84"/>
      <c r="D1233" s="86"/>
      <c r="E1233" s="84"/>
      <c r="F1233" s="284"/>
      <c r="G1233" s="49"/>
      <c r="H1233" s="284"/>
      <c r="I1233" s="74"/>
      <c r="J1233" s="371"/>
      <c r="K1233" s="77"/>
      <c r="L1233" s="160"/>
      <c r="M1233" s="388"/>
      <c r="N1233" s="375"/>
      <c r="W1233" s="113"/>
      <c r="X1233" s="241"/>
      <c r="Y1233" s="284"/>
      <c r="Z1233" s="207"/>
      <c r="AA1233" s="284"/>
      <c r="AB1233" s="284"/>
      <c r="AC1233" s="137"/>
      <c r="AD1233" s="284"/>
      <c r="AE1233" s="299"/>
      <c r="AF1233" s="299"/>
      <c r="AG1233" s="284"/>
    </row>
    <row r="1234" spans="2:33">
      <c r="B1234" s="86"/>
      <c r="C1234" s="84"/>
      <c r="D1234" s="86"/>
      <c r="E1234" s="84"/>
      <c r="F1234" s="284"/>
      <c r="G1234" s="49"/>
      <c r="H1234" s="284"/>
      <c r="I1234" s="74"/>
      <c r="J1234" s="371"/>
      <c r="K1234" s="77"/>
      <c r="L1234" s="160"/>
      <c r="M1234" s="388"/>
      <c r="N1234" s="375"/>
      <c r="W1234" s="113"/>
      <c r="X1234" s="241"/>
      <c r="Y1234" s="284"/>
      <c r="Z1234" s="207"/>
      <c r="AA1234" s="284"/>
      <c r="AB1234" s="284"/>
      <c r="AC1234" s="137"/>
      <c r="AD1234" s="284"/>
      <c r="AE1234" s="299"/>
      <c r="AF1234" s="299"/>
      <c r="AG1234" s="284"/>
    </row>
    <row r="1235" spans="2:33">
      <c r="B1235" s="86"/>
      <c r="C1235" s="84"/>
      <c r="D1235" s="86"/>
      <c r="E1235" s="84"/>
      <c r="F1235" s="284"/>
      <c r="G1235" s="49"/>
      <c r="H1235" s="284"/>
      <c r="I1235" s="74"/>
      <c r="J1235" s="371"/>
      <c r="K1235" s="77"/>
      <c r="L1235" s="160"/>
      <c r="M1235" s="388"/>
      <c r="N1235" s="375"/>
      <c r="W1235" s="113"/>
      <c r="X1235" s="241"/>
      <c r="Y1235" s="284"/>
      <c r="Z1235" s="207"/>
      <c r="AA1235" s="284"/>
      <c r="AB1235" s="284"/>
      <c r="AC1235" s="137"/>
      <c r="AD1235" s="284"/>
      <c r="AE1235" s="299"/>
      <c r="AF1235" s="299"/>
      <c r="AG1235" s="284"/>
    </row>
    <row r="1236" spans="2:33">
      <c r="B1236" s="86"/>
      <c r="C1236" s="84"/>
      <c r="D1236" s="86"/>
      <c r="E1236" s="84"/>
      <c r="F1236" s="284"/>
      <c r="G1236" s="49"/>
      <c r="H1236" s="284"/>
      <c r="I1236" s="74"/>
      <c r="J1236" s="371"/>
      <c r="K1236" s="77"/>
      <c r="L1236" s="160"/>
      <c r="M1236" s="388"/>
      <c r="N1236" s="375"/>
      <c r="W1236" s="113"/>
      <c r="X1236" s="241"/>
      <c r="Y1236" s="284"/>
      <c r="Z1236" s="207"/>
      <c r="AA1236" s="284"/>
      <c r="AB1236" s="284"/>
      <c r="AC1236" s="137"/>
      <c r="AD1236" s="284"/>
      <c r="AE1236" s="299"/>
      <c r="AF1236" s="299"/>
      <c r="AG1236" s="284"/>
    </row>
    <row r="1237" spans="2:33">
      <c r="B1237" s="86"/>
      <c r="C1237" s="84"/>
      <c r="D1237" s="86"/>
      <c r="E1237" s="84"/>
      <c r="F1237" s="284"/>
      <c r="G1237" s="49"/>
      <c r="H1237" s="284"/>
      <c r="I1237" s="74"/>
      <c r="J1237" s="371"/>
      <c r="K1237" s="77"/>
      <c r="L1237" s="160"/>
      <c r="M1237" s="388"/>
      <c r="N1237" s="375"/>
      <c r="W1237" s="113"/>
      <c r="X1237" s="241"/>
      <c r="Y1237" s="284"/>
      <c r="Z1237" s="207"/>
      <c r="AA1237" s="284"/>
      <c r="AB1237" s="284"/>
      <c r="AC1237" s="137"/>
      <c r="AD1237" s="284"/>
      <c r="AE1237" s="299"/>
      <c r="AF1237" s="299"/>
      <c r="AG1237" s="284"/>
    </row>
    <row r="1238" spans="2:33">
      <c r="B1238" s="86"/>
      <c r="C1238" s="84"/>
      <c r="D1238" s="86"/>
      <c r="E1238" s="84"/>
      <c r="F1238" s="284"/>
      <c r="G1238" s="49"/>
      <c r="H1238" s="284"/>
      <c r="I1238" s="74"/>
      <c r="J1238" s="371"/>
      <c r="K1238" s="77"/>
      <c r="L1238" s="160"/>
      <c r="M1238" s="388"/>
      <c r="N1238" s="375"/>
      <c r="W1238" s="113"/>
      <c r="X1238" s="241"/>
      <c r="Y1238" s="284"/>
      <c r="Z1238" s="207"/>
      <c r="AA1238" s="284"/>
      <c r="AB1238" s="284"/>
      <c r="AC1238" s="137"/>
      <c r="AD1238" s="284"/>
      <c r="AE1238" s="299"/>
      <c r="AF1238" s="299"/>
      <c r="AG1238" s="284"/>
    </row>
    <row r="1239" spans="2:33">
      <c r="B1239" s="86"/>
      <c r="C1239" s="84"/>
      <c r="D1239" s="86"/>
      <c r="E1239" s="84"/>
      <c r="F1239" s="284"/>
      <c r="G1239" s="49"/>
      <c r="H1239" s="284"/>
      <c r="I1239" s="74"/>
      <c r="J1239" s="371"/>
      <c r="K1239" s="77"/>
      <c r="L1239" s="160"/>
      <c r="M1239" s="388"/>
      <c r="N1239" s="375"/>
      <c r="W1239" s="113"/>
      <c r="X1239" s="241"/>
      <c r="Y1239" s="284"/>
      <c r="Z1239" s="207"/>
      <c r="AA1239" s="284"/>
      <c r="AB1239" s="284"/>
      <c r="AC1239" s="137"/>
      <c r="AD1239" s="284"/>
      <c r="AE1239" s="299"/>
      <c r="AF1239" s="299"/>
      <c r="AG1239" s="284"/>
    </row>
    <row r="1240" spans="2:33">
      <c r="B1240" s="86"/>
      <c r="C1240" s="84"/>
      <c r="D1240" s="86"/>
      <c r="E1240" s="84"/>
      <c r="F1240" s="284"/>
      <c r="G1240" s="49"/>
      <c r="H1240" s="284"/>
      <c r="I1240" s="74"/>
      <c r="J1240" s="371"/>
      <c r="K1240" s="77"/>
      <c r="L1240" s="160"/>
      <c r="M1240" s="388"/>
      <c r="N1240" s="375"/>
      <c r="W1240" s="113"/>
      <c r="X1240" s="241"/>
      <c r="Y1240" s="284"/>
      <c r="Z1240" s="207"/>
      <c r="AA1240" s="284"/>
      <c r="AB1240" s="284"/>
      <c r="AC1240" s="137"/>
      <c r="AD1240" s="284"/>
      <c r="AE1240" s="299"/>
      <c r="AF1240" s="299"/>
      <c r="AG1240" s="284"/>
    </row>
    <row r="1241" spans="2:33">
      <c r="B1241" s="86"/>
      <c r="C1241" s="84"/>
      <c r="D1241" s="86"/>
      <c r="E1241" s="84"/>
      <c r="F1241" s="284"/>
      <c r="G1241" s="49"/>
      <c r="H1241" s="284"/>
      <c r="I1241" s="74"/>
      <c r="J1241" s="371"/>
      <c r="K1241" s="77"/>
      <c r="L1241" s="160"/>
      <c r="M1241" s="388"/>
      <c r="N1241" s="375"/>
      <c r="W1241" s="113"/>
      <c r="X1241" s="241"/>
      <c r="Y1241" s="284"/>
      <c r="Z1241" s="207"/>
      <c r="AA1241" s="284"/>
      <c r="AB1241" s="284"/>
      <c r="AC1241" s="137"/>
      <c r="AD1241" s="284"/>
      <c r="AE1241" s="299"/>
      <c r="AF1241" s="299"/>
      <c r="AG1241" s="284"/>
    </row>
    <row r="1242" spans="2:33">
      <c r="B1242" s="86"/>
      <c r="C1242" s="84"/>
      <c r="D1242" s="86"/>
      <c r="E1242" s="84"/>
      <c r="F1242" s="284"/>
      <c r="G1242" s="49"/>
      <c r="H1242" s="284"/>
      <c r="I1242" s="74"/>
      <c r="J1242" s="371"/>
      <c r="K1242" s="77"/>
      <c r="L1242" s="160"/>
      <c r="M1242" s="388"/>
      <c r="N1242" s="375"/>
      <c r="W1242" s="113"/>
      <c r="X1242" s="241"/>
      <c r="Y1242" s="284"/>
      <c r="Z1242" s="207"/>
      <c r="AA1242" s="284"/>
      <c r="AB1242" s="284"/>
      <c r="AC1242" s="137"/>
      <c r="AD1242" s="284"/>
      <c r="AE1242" s="299"/>
      <c r="AF1242" s="299"/>
      <c r="AG1242" s="284"/>
    </row>
    <row r="1243" spans="2:33">
      <c r="B1243" s="86"/>
      <c r="C1243" s="84"/>
      <c r="D1243" s="86"/>
      <c r="E1243" s="84"/>
      <c r="F1243" s="284"/>
      <c r="G1243" s="49"/>
      <c r="H1243" s="284"/>
      <c r="I1243" s="74"/>
      <c r="J1243" s="371"/>
      <c r="K1243" s="77"/>
      <c r="L1243" s="160"/>
      <c r="M1243" s="388"/>
      <c r="N1243" s="375"/>
      <c r="W1243" s="113"/>
      <c r="X1243" s="241"/>
      <c r="Y1243" s="284"/>
      <c r="Z1243" s="207"/>
      <c r="AA1243" s="284"/>
      <c r="AB1243" s="284"/>
      <c r="AC1243" s="137"/>
      <c r="AD1243" s="284"/>
      <c r="AE1243" s="299"/>
      <c r="AF1243" s="299"/>
      <c r="AG1243" s="284"/>
    </row>
    <row r="1244" spans="2:33">
      <c r="B1244" s="86"/>
      <c r="C1244" s="84"/>
      <c r="D1244" s="86"/>
      <c r="E1244" s="84"/>
      <c r="F1244" s="284"/>
      <c r="G1244" s="49"/>
      <c r="H1244" s="284"/>
      <c r="I1244" s="74"/>
      <c r="J1244" s="371"/>
      <c r="K1244" s="77"/>
      <c r="L1244" s="160"/>
      <c r="M1244" s="388"/>
      <c r="N1244" s="375"/>
      <c r="W1244" s="113"/>
      <c r="X1244" s="241"/>
      <c r="Y1244" s="284"/>
      <c r="Z1244" s="207"/>
      <c r="AA1244" s="284"/>
      <c r="AB1244" s="284"/>
      <c r="AC1244" s="137"/>
      <c r="AD1244" s="284"/>
      <c r="AE1244" s="299"/>
      <c r="AF1244" s="299"/>
      <c r="AG1244" s="284"/>
    </row>
    <row r="1245" spans="2:33">
      <c r="B1245" s="86"/>
      <c r="C1245" s="84"/>
      <c r="D1245" s="86"/>
      <c r="E1245" s="84"/>
      <c r="F1245" s="284"/>
      <c r="G1245" s="49"/>
      <c r="H1245" s="284"/>
      <c r="I1245" s="74"/>
      <c r="J1245" s="371"/>
      <c r="K1245" s="77"/>
      <c r="L1245" s="160"/>
      <c r="M1245" s="388"/>
      <c r="N1245" s="375"/>
      <c r="W1245" s="113"/>
      <c r="X1245" s="241"/>
      <c r="Y1245" s="284"/>
      <c r="Z1245" s="207"/>
      <c r="AA1245" s="284"/>
      <c r="AB1245" s="284"/>
      <c r="AC1245" s="137"/>
      <c r="AD1245" s="284"/>
      <c r="AE1245" s="299"/>
      <c r="AF1245" s="299"/>
      <c r="AG1245" s="284"/>
    </row>
    <row r="1246" spans="2:33">
      <c r="B1246" s="86"/>
      <c r="C1246" s="84"/>
      <c r="D1246" s="86"/>
      <c r="E1246" s="84"/>
      <c r="F1246" s="284"/>
      <c r="G1246" s="49"/>
      <c r="H1246" s="284"/>
      <c r="I1246" s="74"/>
      <c r="J1246" s="371"/>
      <c r="K1246" s="77"/>
      <c r="L1246" s="160"/>
      <c r="M1246" s="388"/>
      <c r="N1246" s="375"/>
      <c r="W1246" s="113"/>
      <c r="X1246" s="241"/>
      <c r="Y1246" s="284"/>
      <c r="Z1246" s="207"/>
      <c r="AA1246" s="284"/>
      <c r="AB1246" s="284"/>
      <c r="AC1246" s="137"/>
      <c r="AD1246" s="284"/>
      <c r="AE1246" s="299"/>
      <c r="AF1246" s="299"/>
      <c r="AG1246" s="284"/>
    </row>
    <row r="1247" spans="2:33">
      <c r="B1247" s="86"/>
      <c r="C1247" s="84"/>
      <c r="D1247" s="86"/>
      <c r="E1247" s="84"/>
      <c r="F1247" s="284"/>
      <c r="G1247" s="49"/>
      <c r="H1247" s="284"/>
      <c r="I1247" s="74"/>
      <c r="J1247" s="371"/>
      <c r="K1247" s="77"/>
      <c r="L1247" s="160"/>
      <c r="M1247" s="388"/>
      <c r="N1247" s="375"/>
      <c r="W1247" s="113"/>
      <c r="X1247" s="241"/>
      <c r="Y1247" s="284"/>
      <c r="Z1247" s="207"/>
      <c r="AA1247" s="284"/>
      <c r="AB1247" s="284"/>
      <c r="AC1247" s="137"/>
      <c r="AD1247" s="284"/>
      <c r="AE1247" s="299"/>
      <c r="AF1247" s="299"/>
      <c r="AG1247" s="284"/>
    </row>
    <row r="1248" spans="2:33">
      <c r="B1248" s="86"/>
      <c r="C1248" s="84"/>
      <c r="D1248" s="86"/>
      <c r="E1248" s="84"/>
      <c r="F1248" s="284"/>
      <c r="G1248" s="49"/>
      <c r="H1248" s="284"/>
      <c r="I1248" s="74"/>
      <c r="J1248" s="371"/>
      <c r="K1248" s="77"/>
      <c r="L1248" s="160"/>
      <c r="M1248" s="388"/>
      <c r="N1248" s="375"/>
      <c r="W1248" s="113"/>
      <c r="X1248" s="241"/>
      <c r="Y1248" s="284"/>
      <c r="Z1248" s="207"/>
      <c r="AA1248" s="284"/>
      <c r="AB1248" s="284"/>
      <c r="AC1248" s="137"/>
      <c r="AD1248" s="284"/>
      <c r="AE1248" s="299"/>
      <c r="AF1248" s="299"/>
      <c r="AG1248" s="284"/>
    </row>
    <row r="1249" spans="2:33">
      <c r="B1249" s="86"/>
      <c r="C1249" s="84"/>
      <c r="D1249" s="86"/>
      <c r="E1249" s="84"/>
      <c r="F1249" s="284"/>
      <c r="G1249" s="49"/>
      <c r="H1249" s="284"/>
      <c r="I1249" s="74"/>
      <c r="J1249" s="371"/>
      <c r="K1249" s="77"/>
      <c r="L1249" s="160"/>
      <c r="M1249" s="388"/>
      <c r="N1249" s="375"/>
      <c r="W1249" s="113"/>
      <c r="X1249" s="241"/>
      <c r="Y1249" s="284"/>
      <c r="Z1249" s="207"/>
      <c r="AA1249" s="284"/>
      <c r="AB1249" s="284"/>
      <c r="AC1249" s="137"/>
      <c r="AD1249" s="284"/>
      <c r="AE1249" s="299"/>
      <c r="AF1249" s="299"/>
      <c r="AG1249" s="284"/>
    </row>
    <row r="1250" spans="2:33">
      <c r="B1250" s="86"/>
      <c r="C1250" s="84"/>
      <c r="D1250" s="86"/>
      <c r="E1250" s="84"/>
      <c r="F1250" s="284"/>
      <c r="G1250" s="49"/>
      <c r="H1250" s="284"/>
      <c r="I1250" s="74"/>
      <c r="J1250" s="371"/>
      <c r="K1250" s="77"/>
      <c r="L1250" s="160"/>
      <c r="M1250" s="388"/>
      <c r="N1250" s="375"/>
      <c r="W1250" s="113"/>
      <c r="X1250" s="241"/>
      <c r="Y1250" s="284"/>
      <c r="Z1250" s="207"/>
      <c r="AA1250" s="284"/>
      <c r="AB1250" s="284"/>
      <c r="AC1250" s="137"/>
      <c r="AD1250" s="284"/>
      <c r="AE1250" s="299"/>
      <c r="AF1250" s="299"/>
      <c r="AG1250" s="284"/>
    </row>
    <row r="1251" spans="2:33">
      <c r="B1251" s="86"/>
      <c r="C1251" s="84"/>
      <c r="D1251" s="86"/>
      <c r="E1251" s="84"/>
      <c r="F1251" s="284"/>
      <c r="G1251" s="49"/>
      <c r="H1251" s="284"/>
      <c r="I1251" s="74"/>
      <c r="J1251" s="371"/>
      <c r="K1251" s="77"/>
      <c r="L1251" s="160"/>
      <c r="M1251" s="388"/>
      <c r="N1251" s="375"/>
      <c r="W1251" s="113"/>
      <c r="X1251" s="241"/>
      <c r="Y1251" s="284"/>
      <c r="Z1251" s="207"/>
      <c r="AA1251" s="284"/>
      <c r="AB1251" s="284"/>
      <c r="AC1251" s="137"/>
      <c r="AD1251" s="284"/>
      <c r="AE1251" s="299"/>
      <c r="AF1251" s="299"/>
      <c r="AG1251" s="284"/>
    </row>
    <row r="1252" spans="2:33">
      <c r="B1252" s="86"/>
      <c r="C1252" s="84"/>
      <c r="D1252" s="86"/>
      <c r="E1252" s="84"/>
      <c r="F1252" s="284"/>
      <c r="G1252" s="49"/>
      <c r="H1252" s="284"/>
      <c r="I1252" s="74"/>
      <c r="J1252" s="371"/>
      <c r="K1252" s="77"/>
      <c r="L1252" s="160"/>
      <c r="M1252" s="388"/>
      <c r="N1252" s="375"/>
      <c r="W1252" s="113"/>
      <c r="X1252" s="241"/>
      <c r="Y1252" s="284"/>
      <c r="Z1252" s="207"/>
      <c r="AA1252" s="284"/>
      <c r="AB1252" s="284"/>
      <c r="AC1252" s="137"/>
      <c r="AD1252" s="284"/>
      <c r="AE1252" s="299"/>
      <c r="AF1252" s="299"/>
      <c r="AG1252" s="284"/>
    </row>
    <row r="1253" spans="2:33">
      <c r="B1253" s="86"/>
      <c r="C1253" s="84"/>
      <c r="D1253" s="86"/>
      <c r="E1253" s="84"/>
      <c r="F1253" s="284"/>
      <c r="G1253" s="49"/>
      <c r="H1253" s="284"/>
      <c r="I1253" s="74"/>
      <c r="J1253" s="371"/>
      <c r="K1253" s="77"/>
      <c r="L1253" s="160"/>
      <c r="M1253" s="388"/>
      <c r="N1253" s="375"/>
      <c r="W1253" s="113"/>
      <c r="X1253" s="241"/>
      <c r="Y1253" s="284"/>
      <c r="Z1253" s="207"/>
      <c r="AA1253" s="284"/>
      <c r="AB1253" s="284"/>
      <c r="AC1253" s="137"/>
      <c r="AD1253" s="284"/>
      <c r="AE1253" s="299"/>
      <c r="AF1253" s="299"/>
      <c r="AG1253" s="284"/>
    </row>
    <row r="1254" spans="2:33">
      <c r="B1254" s="86"/>
      <c r="C1254" s="84"/>
      <c r="D1254" s="86"/>
      <c r="E1254" s="84"/>
      <c r="F1254" s="284"/>
      <c r="G1254" s="49"/>
      <c r="H1254" s="284"/>
      <c r="I1254" s="74"/>
      <c r="J1254" s="371"/>
      <c r="K1254" s="77"/>
      <c r="L1254" s="160"/>
      <c r="M1254" s="388"/>
      <c r="N1254" s="375"/>
      <c r="W1254" s="113"/>
      <c r="X1254" s="241"/>
      <c r="Y1254" s="284"/>
      <c r="Z1254" s="207"/>
      <c r="AA1254" s="284"/>
      <c r="AB1254" s="284"/>
      <c r="AC1254" s="137"/>
      <c r="AD1254" s="284"/>
      <c r="AE1254" s="299"/>
      <c r="AF1254" s="299"/>
      <c r="AG1254" s="284"/>
    </row>
    <row r="1255" spans="2:33">
      <c r="B1255" s="86"/>
      <c r="C1255" s="84"/>
      <c r="D1255" s="86"/>
      <c r="E1255" s="84"/>
      <c r="F1255" s="284"/>
      <c r="G1255" s="49"/>
      <c r="H1255" s="284"/>
      <c r="I1255" s="74"/>
      <c r="J1255" s="371"/>
      <c r="K1255" s="77"/>
      <c r="L1255" s="160"/>
      <c r="M1255" s="388"/>
      <c r="N1255" s="375"/>
      <c r="W1255" s="113"/>
      <c r="X1255" s="241"/>
      <c r="Y1255" s="284"/>
      <c r="Z1255" s="207"/>
      <c r="AA1255" s="284"/>
      <c r="AB1255" s="284"/>
      <c r="AC1255" s="137"/>
      <c r="AD1255" s="284"/>
      <c r="AE1255" s="299"/>
      <c r="AF1255" s="299"/>
      <c r="AG1255" s="284"/>
    </row>
    <row r="1256" spans="2:33">
      <c r="B1256" s="86"/>
      <c r="C1256" s="84"/>
      <c r="D1256" s="86"/>
      <c r="E1256" s="84"/>
      <c r="F1256" s="284"/>
      <c r="G1256" s="49"/>
      <c r="H1256" s="284"/>
      <c r="I1256" s="74"/>
      <c r="J1256" s="371"/>
      <c r="K1256" s="77"/>
      <c r="L1256" s="160"/>
      <c r="M1256" s="388"/>
      <c r="N1256" s="375"/>
      <c r="W1256" s="113"/>
      <c r="X1256" s="241"/>
      <c r="Y1256" s="284"/>
      <c r="Z1256" s="207"/>
      <c r="AA1256" s="284"/>
      <c r="AB1256" s="284"/>
      <c r="AC1256" s="137"/>
      <c r="AD1256" s="284"/>
      <c r="AE1256" s="299"/>
      <c r="AF1256" s="299"/>
      <c r="AG1256" s="284"/>
    </row>
    <row r="1257" spans="2:33">
      <c r="B1257" s="86"/>
      <c r="C1257" s="84"/>
      <c r="D1257" s="86"/>
      <c r="E1257" s="84"/>
      <c r="F1257" s="284"/>
      <c r="G1257" s="49"/>
      <c r="H1257" s="284"/>
      <c r="I1257" s="74"/>
      <c r="J1257" s="371"/>
      <c r="K1257" s="77"/>
      <c r="L1257" s="160"/>
      <c r="M1257" s="388"/>
      <c r="N1257" s="375"/>
      <c r="W1257" s="113"/>
      <c r="X1257" s="241"/>
      <c r="Y1257" s="284"/>
      <c r="Z1257" s="207"/>
      <c r="AA1257" s="284"/>
      <c r="AB1257" s="284"/>
      <c r="AC1257" s="137"/>
      <c r="AD1257" s="284"/>
      <c r="AE1257" s="299"/>
      <c r="AF1257" s="299"/>
      <c r="AG1257" s="284"/>
    </row>
    <row r="1258" spans="2:33">
      <c r="B1258" s="86"/>
      <c r="C1258" s="84"/>
      <c r="D1258" s="86"/>
      <c r="E1258" s="84"/>
      <c r="F1258" s="284"/>
      <c r="G1258" s="49"/>
      <c r="H1258" s="284"/>
      <c r="I1258" s="74"/>
      <c r="J1258" s="371"/>
      <c r="K1258" s="77"/>
      <c r="L1258" s="160"/>
      <c r="M1258" s="388"/>
      <c r="N1258" s="375"/>
      <c r="W1258" s="113"/>
      <c r="X1258" s="241"/>
      <c r="Y1258" s="284"/>
      <c r="Z1258" s="207"/>
      <c r="AA1258" s="284"/>
      <c r="AB1258" s="284"/>
      <c r="AC1258" s="137"/>
      <c r="AD1258" s="284"/>
      <c r="AE1258" s="299"/>
      <c r="AF1258" s="299"/>
      <c r="AG1258" s="284"/>
    </row>
    <row r="1259" spans="2:33">
      <c r="B1259" s="86"/>
      <c r="C1259" s="84"/>
      <c r="D1259" s="86"/>
      <c r="E1259" s="84"/>
      <c r="F1259" s="284"/>
      <c r="G1259" s="49"/>
      <c r="H1259" s="284"/>
      <c r="I1259" s="74"/>
      <c r="J1259" s="371"/>
      <c r="K1259" s="77"/>
      <c r="L1259" s="160"/>
      <c r="M1259" s="388"/>
      <c r="N1259" s="375"/>
      <c r="W1259" s="113"/>
      <c r="X1259" s="241"/>
      <c r="Y1259" s="284"/>
      <c r="Z1259" s="207"/>
      <c r="AA1259" s="284"/>
      <c r="AB1259" s="284"/>
      <c r="AC1259" s="137"/>
      <c r="AD1259" s="284"/>
      <c r="AE1259" s="299"/>
      <c r="AF1259" s="299"/>
      <c r="AG1259" s="284"/>
    </row>
    <row r="1260" spans="2:33">
      <c r="B1260" s="86"/>
      <c r="C1260" s="84"/>
      <c r="D1260" s="86"/>
      <c r="E1260" s="84"/>
      <c r="F1260" s="284"/>
      <c r="G1260" s="49"/>
      <c r="H1260" s="284"/>
      <c r="I1260" s="74"/>
      <c r="J1260" s="371"/>
      <c r="K1260" s="77"/>
      <c r="L1260" s="160"/>
      <c r="M1260" s="388"/>
      <c r="N1260" s="375"/>
      <c r="W1260" s="113"/>
      <c r="X1260" s="241"/>
      <c r="Y1260" s="284"/>
      <c r="Z1260" s="207"/>
      <c r="AA1260" s="284"/>
      <c r="AB1260" s="284"/>
      <c r="AC1260" s="137"/>
      <c r="AD1260" s="284"/>
      <c r="AE1260" s="299"/>
      <c r="AF1260" s="299"/>
      <c r="AG1260" s="284"/>
    </row>
    <row r="1261" spans="2:33">
      <c r="B1261" s="86"/>
      <c r="C1261" s="84"/>
      <c r="D1261" s="86"/>
      <c r="E1261" s="84"/>
      <c r="F1261" s="284"/>
      <c r="G1261" s="49"/>
      <c r="H1261" s="284"/>
      <c r="I1261" s="74"/>
      <c r="J1261" s="371"/>
      <c r="K1261" s="77"/>
      <c r="L1261" s="160"/>
      <c r="M1261" s="388"/>
      <c r="N1261" s="375"/>
      <c r="W1261" s="113"/>
      <c r="X1261" s="241"/>
      <c r="Y1261" s="284"/>
      <c r="Z1261" s="207"/>
      <c r="AA1261" s="284"/>
      <c r="AB1261" s="284"/>
      <c r="AC1261" s="137"/>
      <c r="AD1261" s="284"/>
      <c r="AE1261" s="299"/>
      <c r="AF1261" s="299"/>
      <c r="AG1261" s="284"/>
    </row>
    <row r="1262" spans="2:33">
      <c r="B1262" s="86"/>
      <c r="C1262" s="84"/>
      <c r="D1262" s="86"/>
      <c r="E1262" s="84"/>
      <c r="F1262" s="284"/>
      <c r="G1262" s="49"/>
      <c r="H1262" s="284"/>
      <c r="I1262" s="74"/>
      <c r="J1262" s="371"/>
      <c r="K1262" s="77"/>
      <c r="L1262" s="160"/>
      <c r="M1262" s="388"/>
      <c r="N1262" s="375"/>
      <c r="W1262" s="113"/>
      <c r="X1262" s="241"/>
      <c r="Y1262" s="284"/>
      <c r="Z1262" s="207"/>
      <c r="AA1262" s="284"/>
      <c r="AB1262" s="284"/>
      <c r="AC1262" s="137"/>
      <c r="AD1262" s="284"/>
      <c r="AE1262" s="299"/>
      <c r="AF1262" s="299"/>
      <c r="AG1262" s="284"/>
    </row>
    <row r="1263" spans="2:33">
      <c r="B1263" s="86"/>
      <c r="C1263" s="84"/>
      <c r="D1263" s="86"/>
      <c r="E1263" s="84"/>
      <c r="F1263" s="284"/>
      <c r="G1263" s="49"/>
      <c r="H1263" s="284"/>
      <c r="I1263" s="74"/>
      <c r="J1263" s="371"/>
      <c r="K1263" s="77"/>
      <c r="L1263" s="160"/>
      <c r="M1263" s="388"/>
      <c r="N1263" s="375"/>
      <c r="W1263" s="113"/>
      <c r="X1263" s="241"/>
      <c r="Y1263" s="284"/>
      <c r="Z1263" s="207"/>
      <c r="AA1263" s="284"/>
      <c r="AB1263" s="284"/>
      <c r="AC1263" s="137"/>
      <c r="AD1263" s="284"/>
      <c r="AE1263" s="299"/>
      <c r="AF1263" s="299"/>
      <c r="AG1263" s="284"/>
    </row>
    <row r="1264" spans="2:33">
      <c r="B1264" s="86"/>
      <c r="C1264" s="84"/>
      <c r="D1264" s="86"/>
      <c r="E1264" s="84"/>
      <c r="F1264" s="284"/>
      <c r="G1264" s="49"/>
      <c r="H1264" s="284"/>
      <c r="I1264" s="74"/>
      <c r="J1264" s="371"/>
      <c r="K1264" s="77"/>
      <c r="L1264" s="160"/>
      <c r="M1264" s="388"/>
      <c r="N1264" s="375"/>
      <c r="W1264" s="113"/>
      <c r="X1264" s="241"/>
      <c r="Y1264" s="284"/>
      <c r="Z1264" s="207"/>
      <c r="AA1264" s="284"/>
      <c r="AB1264" s="284"/>
      <c r="AC1264" s="137"/>
      <c r="AD1264" s="284"/>
      <c r="AE1264" s="299"/>
      <c r="AF1264" s="299"/>
      <c r="AG1264" s="284"/>
    </row>
    <row r="1265" spans="2:33">
      <c r="B1265" s="86"/>
      <c r="C1265" s="84"/>
      <c r="D1265" s="86"/>
      <c r="E1265" s="84"/>
      <c r="F1265" s="284"/>
      <c r="G1265" s="49"/>
      <c r="H1265" s="284"/>
      <c r="I1265" s="74"/>
      <c r="J1265" s="371"/>
      <c r="K1265" s="77"/>
      <c r="L1265" s="160"/>
      <c r="M1265" s="388"/>
      <c r="N1265" s="375"/>
      <c r="W1265" s="113"/>
      <c r="X1265" s="241"/>
      <c r="Y1265" s="284"/>
      <c r="Z1265" s="207"/>
      <c r="AA1265" s="284"/>
      <c r="AB1265" s="284"/>
      <c r="AC1265" s="137"/>
      <c r="AD1265" s="284"/>
      <c r="AE1265" s="299"/>
      <c r="AF1265" s="299"/>
      <c r="AG1265" s="284"/>
    </row>
    <row r="1266" spans="2:33">
      <c r="B1266" s="86"/>
      <c r="C1266" s="84"/>
      <c r="D1266" s="86"/>
      <c r="E1266" s="84"/>
      <c r="F1266" s="284"/>
      <c r="G1266" s="49"/>
      <c r="H1266" s="284"/>
      <c r="I1266" s="74"/>
      <c r="J1266" s="371"/>
      <c r="K1266" s="77"/>
      <c r="L1266" s="160"/>
      <c r="M1266" s="388"/>
      <c r="N1266" s="375"/>
      <c r="W1266" s="113"/>
      <c r="X1266" s="241"/>
      <c r="Y1266" s="284"/>
      <c r="Z1266" s="207"/>
      <c r="AA1266" s="284"/>
      <c r="AB1266" s="284"/>
      <c r="AC1266" s="137"/>
      <c r="AD1266" s="284"/>
      <c r="AE1266" s="299"/>
      <c r="AF1266" s="299"/>
      <c r="AG1266" s="284"/>
    </row>
    <row r="1267" spans="2:33">
      <c r="B1267" s="86"/>
      <c r="C1267" s="84"/>
      <c r="D1267" s="86"/>
      <c r="E1267" s="84"/>
      <c r="F1267" s="284"/>
      <c r="G1267" s="49"/>
      <c r="H1267" s="284"/>
      <c r="I1267" s="74"/>
      <c r="J1267" s="371"/>
      <c r="K1267" s="77"/>
      <c r="L1267" s="160"/>
      <c r="M1267" s="388"/>
      <c r="N1267" s="375"/>
      <c r="W1267" s="113"/>
      <c r="X1267" s="241"/>
      <c r="Y1267" s="284"/>
      <c r="Z1267" s="207"/>
      <c r="AA1267" s="284"/>
      <c r="AB1267" s="284"/>
      <c r="AC1267" s="137"/>
      <c r="AD1267" s="284"/>
      <c r="AE1267" s="299"/>
      <c r="AF1267" s="299"/>
      <c r="AG1267" s="284"/>
    </row>
    <row r="1268" spans="2:33">
      <c r="B1268" s="86"/>
      <c r="C1268" s="84"/>
      <c r="D1268" s="86"/>
      <c r="E1268" s="84"/>
      <c r="F1268" s="284"/>
      <c r="G1268" s="49"/>
      <c r="H1268" s="284"/>
      <c r="I1268" s="74"/>
      <c r="J1268" s="371"/>
      <c r="K1268" s="77"/>
      <c r="L1268" s="160"/>
      <c r="M1268" s="388"/>
      <c r="N1268" s="375"/>
      <c r="W1268" s="113"/>
      <c r="X1268" s="241"/>
      <c r="Y1268" s="284"/>
      <c r="Z1268" s="207"/>
      <c r="AA1268" s="284"/>
      <c r="AB1268" s="284"/>
      <c r="AC1268" s="137"/>
      <c r="AD1268" s="284"/>
      <c r="AE1268" s="299"/>
      <c r="AF1268" s="299"/>
      <c r="AG1268" s="284"/>
    </row>
    <row r="1269" spans="2:33">
      <c r="B1269" s="86"/>
      <c r="C1269" s="84"/>
      <c r="D1269" s="86"/>
      <c r="E1269" s="84"/>
      <c r="F1269" s="284"/>
      <c r="G1269" s="49"/>
      <c r="H1269" s="284"/>
      <c r="I1269" s="74"/>
      <c r="J1269" s="371"/>
      <c r="K1269" s="77"/>
      <c r="L1269" s="160"/>
      <c r="M1269" s="388"/>
      <c r="N1269" s="375"/>
      <c r="W1269" s="113"/>
      <c r="X1269" s="241"/>
      <c r="Y1269" s="284"/>
      <c r="Z1269" s="207"/>
      <c r="AA1269" s="284"/>
      <c r="AB1269" s="284"/>
      <c r="AC1269" s="137"/>
      <c r="AD1269" s="284"/>
      <c r="AE1269" s="299"/>
      <c r="AF1269" s="299"/>
      <c r="AG1269" s="284"/>
    </row>
    <row r="1270" spans="2:33">
      <c r="B1270" s="86"/>
      <c r="C1270" s="84"/>
      <c r="D1270" s="86"/>
      <c r="E1270" s="84"/>
      <c r="F1270" s="284"/>
      <c r="G1270" s="49"/>
      <c r="H1270" s="284"/>
      <c r="I1270" s="74"/>
      <c r="J1270" s="371"/>
      <c r="K1270" s="77"/>
      <c r="L1270" s="160"/>
      <c r="M1270" s="388"/>
      <c r="N1270" s="375"/>
      <c r="W1270" s="113"/>
      <c r="X1270" s="241"/>
      <c r="Y1270" s="284"/>
      <c r="Z1270" s="207"/>
      <c r="AA1270" s="284"/>
      <c r="AB1270" s="284"/>
      <c r="AC1270" s="137"/>
      <c r="AD1270" s="284"/>
      <c r="AE1270" s="299"/>
      <c r="AF1270" s="299"/>
      <c r="AG1270" s="284"/>
    </row>
    <row r="1271" spans="2:33">
      <c r="B1271" s="86"/>
      <c r="C1271" s="84"/>
      <c r="D1271" s="86"/>
      <c r="E1271" s="84"/>
      <c r="F1271" s="284"/>
      <c r="G1271" s="49"/>
      <c r="H1271" s="284"/>
      <c r="I1271" s="74"/>
      <c r="J1271" s="371"/>
      <c r="K1271" s="77"/>
      <c r="L1271" s="160"/>
      <c r="M1271" s="388"/>
      <c r="N1271" s="375"/>
      <c r="W1271" s="113"/>
      <c r="X1271" s="241"/>
      <c r="Y1271" s="284"/>
      <c r="Z1271" s="207"/>
      <c r="AA1271" s="284"/>
      <c r="AB1271" s="284"/>
      <c r="AC1271" s="137"/>
      <c r="AD1271" s="284"/>
      <c r="AE1271" s="299"/>
      <c r="AF1271" s="299"/>
      <c r="AG1271" s="284"/>
    </row>
    <row r="1272" spans="2:33">
      <c r="B1272" s="86"/>
      <c r="C1272" s="84"/>
      <c r="D1272" s="86"/>
      <c r="E1272" s="84"/>
      <c r="F1272" s="284"/>
      <c r="G1272" s="49"/>
      <c r="H1272" s="284"/>
      <c r="I1272" s="74"/>
      <c r="J1272" s="371"/>
      <c r="K1272" s="77"/>
      <c r="L1272" s="160"/>
      <c r="M1272" s="388"/>
      <c r="N1272" s="375"/>
      <c r="W1272" s="113"/>
      <c r="X1272" s="241"/>
      <c r="Y1272" s="284"/>
      <c r="Z1272" s="207"/>
      <c r="AA1272" s="284"/>
      <c r="AB1272" s="284"/>
      <c r="AC1272" s="137"/>
      <c r="AD1272" s="284"/>
      <c r="AE1272" s="299"/>
      <c r="AF1272" s="299"/>
      <c r="AG1272" s="284"/>
    </row>
    <row r="1273" spans="2:33">
      <c r="B1273" s="86"/>
      <c r="C1273" s="84"/>
      <c r="D1273" s="86"/>
      <c r="E1273" s="84"/>
      <c r="F1273" s="284"/>
      <c r="G1273" s="49"/>
      <c r="H1273" s="284"/>
      <c r="I1273" s="74"/>
      <c r="J1273" s="371"/>
      <c r="K1273" s="77"/>
      <c r="L1273" s="160"/>
      <c r="M1273" s="388"/>
      <c r="N1273" s="375"/>
      <c r="W1273" s="113"/>
      <c r="X1273" s="241"/>
      <c r="Y1273" s="284"/>
      <c r="Z1273" s="207"/>
      <c r="AA1273" s="284"/>
      <c r="AB1273" s="284"/>
      <c r="AC1273" s="137"/>
      <c r="AD1273" s="284"/>
      <c r="AE1273" s="299"/>
      <c r="AF1273" s="299"/>
      <c r="AG1273" s="284"/>
    </row>
    <row r="1274" spans="2:33">
      <c r="B1274" s="86"/>
      <c r="C1274" s="84"/>
      <c r="D1274" s="86"/>
      <c r="E1274" s="84"/>
      <c r="F1274" s="284"/>
      <c r="G1274" s="49"/>
      <c r="H1274" s="284"/>
      <c r="I1274" s="74"/>
      <c r="J1274" s="371"/>
      <c r="K1274" s="77"/>
      <c r="L1274" s="160"/>
      <c r="M1274" s="388"/>
      <c r="N1274" s="375"/>
      <c r="W1274" s="113"/>
      <c r="X1274" s="241"/>
      <c r="Y1274" s="284"/>
      <c r="Z1274" s="207"/>
      <c r="AA1274" s="284"/>
      <c r="AB1274" s="284"/>
      <c r="AC1274" s="137"/>
      <c r="AD1274" s="284"/>
      <c r="AE1274" s="299"/>
      <c r="AF1274" s="299"/>
      <c r="AG1274" s="284"/>
    </row>
    <row r="1275" spans="2:33">
      <c r="B1275" s="86"/>
      <c r="C1275" s="84"/>
      <c r="D1275" s="86"/>
      <c r="E1275" s="84"/>
      <c r="F1275" s="284"/>
      <c r="G1275" s="49"/>
      <c r="H1275" s="284"/>
      <c r="I1275" s="74"/>
      <c r="J1275" s="371"/>
      <c r="K1275" s="77"/>
      <c r="L1275" s="160"/>
      <c r="M1275" s="388"/>
      <c r="N1275" s="375"/>
      <c r="W1275" s="113"/>
      <c r="X1275" s="241"/>
      <c r="Y1275" s="284"/>
      <c r="Z1275" s="207"/>
      <c r="AA1275" s="284"/>
      <c r="AB1275" s="284"/>
      <c r="AC1275" s="137"/>
      <c r="AD1275" s="284"/>
      <c r="AE1275" s="299"/>
      <c r="AF1275" s="299"/>
      <c r="AG1275" s="284"/>
    </row>
    <row r="1276" spans="2:33">
      <c r="B1276" s="86"/>
      <c r="C1276" s="84"/>
      <c r="D1276" s="86"/>
      <c r="E1276" s="84"/>
      <c r="F1276" s="284"/>
      <c r="G1276" s="49"/>
      <c r="H1276" s="284"/>
      <c r="I1276" s="74"/>
      <c r="J1276" s="371"/>
      <c r="K1276" s="77"/>
      <c r="L1276" s="160"/>
      <c r="M1276" s="388"/>
      <c r="N1276" s="375"/>
      <c r="W1276" s="113"/>
      <c r="X1276" s="241"/>
      <c r="Y1276" s="284"/>
      <c r="Z1276" s="207"/>
      <c r="AA1276" s="284"/>
      <c r="AB1276" s="284"/>
      <c r="AC1276" s="137"/>
      <c r="AD1276" s="284"/>
      <c r="AE1276" s="299"/>
      <c r="AF1276" s="299"/>
      <c r="AG1276" s="284"/>
    </row>
    <row r="1277" spans="2:33">
      <c r="B1277" s="86"/>
      <c r="C1277" s="84"/>
      <c r="D1277" s="86"/>
      <c r="E1277" s="84"/>
      <c r="F1277" s="284"/>
      <c r="G1277" s="49"/>
      <c r="H1277" s="284"/>
      <c r="I1277" s="74"/>
      <c r="J1277" s="371"/>
      <c r="K1277" s="77"/>
      <c r="L1277" s="160"/>
      <c r="M1277" s="388"/>
      <c r="N1277" s="375"/>
      <c r="W1277" s="113"/>
      <c r="X1277" s="241"/>
      <c r="Y1277" s="284"/>
      <c r="Z1277" s="207"/>
      <c r="AA1277" s="284"/>
      <c r="AB1277" s="284"/>
      <c r="AC1277" s="137"/>
      <c r="AD1277" s="284"/>
      <c r="AE1277" s="299"/>
      <c r="AF1277" s="299"/>
      <c r="AG1277" s="284"/>
    </row>
    <row r="1278" spans="2:33">
      <c r="B1278" s="86"/>
      <c r="C1278" s="84"/>
      <c r="D1278" s="86"/>
      <c r="E1278" s="84"/>
      <c r="F1278" s="284"/>
      <c r="G1278" s="49"/>
      <c r="H1278" s="284"/>
      <c r="I1278" s="74"/>
      <c r="J1278" s="371"/>
      <c r="K1278" s="77"/>
      <c r="L1278" s="160"/>
      <c r="M1278" s="388"/>
      <c r="N1278" s="375"/>
      <c r="W1278" s="113"/>
      <c r="X1278" s="241"/>
      <c r="Y1278" s="284"/>
      <c r="Z1278" s="207"/>
      <c r="AA1278" s="284"/>
      <c r="AB1278" s="284"/>
      <c r="AC1278" s="137"/>
      <c r="AD1278" s="284"/>
      <c r="AE1278" s="299"/>
      <c r="AF1278" s="299"/>
      <c r="AG1278" s="284"/>
    </row>
    <row r="1279" spans="2:33">
      <c r="B1279" s="86"/>
      <c r="C1279" s="84"/>
      <c r="D1279" s="86"/>
      <c r="E1279" s="84"/>
      <c r="F1279" s="284"/>
      <c r="G1279" s="49"/>
      <c r="H1279" s="284"/>
      <c r="I1279" s="74"/>
      <c r="J1279" s="371"/>
      <c r="K1279" s="77"/>
      <c r="L1279" s="160"/>
      <c r="M1279" s="388"/>
      <c r="N1279" s="375"/>
      <c r="O1279" s="370"/>
      <c r="W1279" s="113"/>
      <c r="X1279" s="241"/>
      <c r="Y1279" s="284"/>
      <c r="Z1279" s="207"/>
      <c r="AA1279" s="284"/>
      <c r="AB1279" s="284"/>
      <c r="AC1279" s="137"/>
      <c r="AD1279" s="284"/>
      <c r="AE1279" s="299"/>
      <c r="AF1279" s="299"/>
      <c r="AG1279" s="284"/>
    </row>
    <row r="1280" spans="2:33">
      <c r="B1280" s="86"/>
      <c r="C1280" s="84"/>
      <c r="D1280" s="86"/>
      <c r="E1280" s="84"/>
      <c r="F1280" s="284"/>
      <c r="G1280" s="49"/>
      <c r="H1280" s="284"/>
      <c r="I1280" s="74"/>
      <c r="J1280" s="371"/>
      <c r="K1280" s="77"/>
      <c r="L1280" s="160"/>
      <c r="M1280" s="388"/>
      <c r="N1280" s="375"/>
      <c r="W1280" s="113"/>
      <c r="X1280" s="241"/>
      <c r="Y1280" s="284"/>
      <c r="Z1280" s="207"/>
      <c r="AA1280" s="284"/>
      <c r="AB1280" s="284"/>
      <c r="AC1280" s="137"/>
      <c r="AD1280" s="284"/>
      <c r="AE1280" s="299"/>
      <c r="AF1280" s="299"/>
      <c r="AG1280" s="284"/>
    </row>
    <row r="1281" spans="2:33">
      <c r="B1281" s="86"/>
      <c r="C1281" s="84"/>
      <c r="D1281" s="86"/>
      <c r="E1281" s="84"/>
      <c r="F1281" s="284"/>
      <c r="G1281" s="49"/>
      <c r="H1281" s="284"/>
      <c r="I1281" s="74"/>
      <c r="J1281" s="371"/>
      <c r="K1281" s="77"/>
      <c r="L1281" s="160"/>
      <c r="M1281" s="388"/>
      <c r="N1281" s="375"/>
      <c r="W1281" s="113"/>
      <c r="X1281" s="241"/>
      <c r="Y1281" s="284"/>
      <c r="Z1281" s="207"/>
      <c r="AA1281" s="284"/>
      <c r="AB1281" s="284"/>
      <c r="AC1281" s="137"/>
      <c r="AD1281" s="284"/>
      <c r="AE1281" s="299"/>
      <c r="AF1281" s="299"/>
      <c r="AG1281" s="284"/>
    </row>
    <row r="1282" spans="2:33">
      <c r="B1282" s="86"/>
      <c r="C1282" s="84"/>
      <c r="D1282" s="86"/>
      <c r="E1282" s="84"/>
      <c r="F1282" s="284"/>
      <c r="G1282" s="49"/>
      <c r="H1282" s="284"/>
      <c r="I1282" s="74"/>
      <c r="J1282" s="371"/>
      <c r="K1282" s="77"/>
      <c r="L1282" s="160"/>
      <c r="M1282" s="388"/>
      <c r="N1282" s="375"/>
      <c r="W1282" s="113"/>
      <c r="X1282" s="241"/>
      <c r="Y1282" s="284"/>
      <c r="Z1282" s="207"/>
      <c r="AA1282" s="284"/>
      <c r="AB1282" s="284"/>
      <c r="AC1282" s="137"/>
      <c r="AD1282" s="284"/>
      <c r="AE1282" s="299"/>
      <c r="AF1282" s="299"/>
      <c r="AG1282" s="284"/>
    </row>
    <row r="1283" spans="2:33">
      <c r="B1283" s="86"/>
      <c r="C1283" s="84"/>
      <c r="D1283" s="86"/>
      <c r="E1283" s="84"/>
      <c r="F1283" s="284"/>
      <c r="G1283" s="49"/>
      <c r="H1283" s="284"/>
      <c r="I1283" s="74"/>
      <c r="J1283" s="371"/>
      <c r="K1283" s="77"/>
      <c r="L1283" s="160"/>
      <c r="M1283" s="388"/>
      <c r="N1283" s="375"/>
      <c r="W1283" s="113"/>
      <c r="X1283" s="241"/>
      <c r="Y1283" s="284"/>
      <c r="Z1283" s="207"/>
      <c r="AA1283" s="284"/>
      <c r="AB1283" s="284"/>
      <c r="AC1283" s="137"/>
      <c r="AD1283" s="284"/>
      <c r="AE1283" s="299"/>
      <c r="AF1283" s="299"/>
      <c r="AG1283" s="284"/>
    </row>
    <row r="1284" spans="2:33">
      <c r="B1284" s="86"/>
      <c r="C1284" s="84"/>
      <c r="D1284" s="86"/>
      <c r="E1284" s="84"/>
      <c r="F1284" s="284"/>
      <c r="G1284" s="49"/>
      <c r="H1284" s="284"/>
      <c r="I1284" s="74"/>
      <c r="J1284" s="371"/>
      <c r="K1284" s="77"/>
      <c r="L1284" s="160"/>
      <c r="M1284" s="388"/>
      <c r="N1284" s="375"/>
      <c r="W1284" s="113"/>
      <c r="X1284" s="241"/>
      <c r="Y1284" s="284"/>
      <c r="Z1284" s="207"/>
      <c r="AA1284" s="284"/>
      <c r="AB1284" s="284"/>
      <c r="AC1284" s="137"/>
      <c r="AD1284" s="284"/>
      <c r="AE1284" s="299"/>
      <c r="AF1284" s="299"/>
      <c r="AG1284" s="284"/>
    </row>
    <row r="1285" spans="2:33">
      <c r="B1285" s="86"/>
      <c r="C1285" s="84"/>
      <c r="D1285" s="86"/>
      <c r="E1285" s="84"/>
      <c r="F1285" s="284"/>
      <c r="G1285" s="49"/>
      <c r="H1285" s="284"/>
      <c r="I1285" s="74"/>
      <c r="J1285" s="371"/>
      <c r="K1285" s="77"/>
      <c r="L1285" s="160"/>
      <c r="M1285" s="388"/>
      <c r="N1285" s="375"/>
      <c r="W1285" s="113"/>
      <c r="X1285" s="241"/>
      <c r="Y1285" s="284"/>
      <c r="Z1285" s="207"/>
      <c r="AA1285" s="284"/>
      <c r="AB1285" s="284"/>
      <c r="AC1285" s="137"/>
      <c r="AD1285" s="284"/>
      <c r="AE1285" s="299"/>
      <c r="AF1285" s="299"/>
      <c r="AG1285" s="284"/>
    </row>
    <row r="1286" spans="2:33">
      <c r="B1286" s="86"/>
      <c r="C1286" s="84"/>
      <c r="D1286" s="86"/>
      <c r="E1286" s="84"/>
      <c r="F1286" s="284"/>
      <c r="G1286" s="49"/>
      <c r="H1286" s="284"/>
      <c r="I1286" s="74"/>
      <c r="J1286" s="371"/>
      <c r="K1286" s="77"/>
      <c r="L1286" s="160"/>
      <c r="M1286" s="388"/>
      <c r="N1286" s="375"/>
      <c r="W1286" s="113"/>
      <c r="X1286" s="241"/>
      <c r="Y1286" s="284"/>
      <c r="Z1286" s="207"/>
      <c r="AA1286" s="284"/>
      <c r="AB1286" s="284"/>
      <c r="AC1286" s="137"/>
      <c r="AD1286" s="284"/>
      <c r="AE1286" s="299"/>
      <c r="AF1286" s="299"/>
      <c r="AG1286" s="284"/>
    </row>
    <row r="1287" spans="2:33">
      <c r="B1287" s="86"/>
      <c r="C1287" s="84"/>
      <c r="D1287" s="86"/>
      <c r="E1287" s="84"/>
      <c r="F1287" s="284"/>
      <c r="G1287" s="49"/>
      <c r="H1287" s="284"/>
      <c r="I1287" s="74"/>
      <c r="J1287" s="371"/>
      <c r="K1287" s="77"/>
      <c r="L1287" s="160"/>
      <c r="M1287" s="388"/>
      <c r="N1287" s="375"/>
      <c r="W1287" s="113"/>
      <c r="X1287" s="241"/>
      <c r="Y1287" s="284"/>
      <c r="Z1287" s="207"/>
      <c r="AA1287" s="284"/>
      <c r="AB1287" s="284"/>
      <c r="AC1287" s="137"/>
      <c r="AD1287" s="284"/>
      <c r="AE1287" s="299"/>
      <c r="AF1287" s="299"/>
      <c r="AG1287" s="284"/>
    </row>
    <row r="1288" spans="2:33">
      <c r="B1288" s="86"/>
      <c r="C1288" s="84"/>
      <c r="D1288" s="86"/>
      <c r="E1288" s="84"/>
      <c r="F1288" s="284"/>
      <c r="G1288" s="49"/>
      <c r="H1288" s="284"/>
      <c r="I1288" s="74"/>
      <c r="J1288" s="371"/>
      <c r="K1288" s="77"/>
      <c r="L1288" s="160"/>
      <c r="M1288" s="388"/>
      <c r="N1288" s="375"/>
      <c r="W1288" s="113"/>
      <c r="X1288" s="241"/>
      <c r="Y1288" s="284"/>
      <c r="Z1288" s="207"/>
      <c r="AA1288" s="284"/>
      <c r="AB1288" s="284"/>
      <c r="AC1288" s="137"/>
      <c r="AD1288" s="284"/>
      <c r="AE1288" s="299"/>
      <c r="AF1288" s="299"/>
      <c r="AG1288" s="284"/>
    </row>
    <row r="1289" spans="2:33">
      <c r="B1289" s="86"/>
      <c r="C1289" s="84"/>
      <c r="D1289" s="86"/>
      <c r="E1289" s="84"/>
      <c r="F1289" s="284"/>
      <c r="G1289" s="49"/>
      <c r="H1289" s="284"/>
      <c r="I1289" s="74"/>
      <c r="J1289" s="371"/>
      <c r="K1289" s="77"/>
      <c r="L1289" s="160"/>
      <c r="M1289" s="388"/>
      <c r="N1289" s="375"/>
      <c r="O1289" s="370"/>
      <c r="W1289" s="113"/>
      <c r="X1289" s="241"/>
      <c r="Y1289" s="284"/>
      <c r="Z1289" s="207"/>
      <c r="AA1289" s="284"/>
      <c r="AB1289" s="284"/>
      <c r="AC1289" s="137"/>
      <c r="AD1289" s="284"/>
      <c r="AE1289" s="299"/>
      <c r="AF1289" s="299"/>
      <c r="AG1289" s="284"/>
    </row>
    <row r="1290" spans="2:33">
      <c r="B1290" s="86"/>
      <c r="C1290" s="84"/>
      <c r="D1290" s="86"/>
      <c r="E1290" s="84"/>
      <c r="F1290" s="284"/>
      <c r="G1290" s="49"/>
      <c r="H1290" s="284"/>
      <c r="I1290" s="74"/>
      <c r="J1290" s="371"/>
      <c r="K1290" s="77"/>
      <c r="L1290" s="160"/>
      <c r="M1290" s="388"/>
      <c r="N1290" s="375"/>
      <c r="W1290" s="113"/>
      <c r="X1290" s="241"/>
      <c r="Y1290" s="284"/>
      <c r="Z1290" s="207"/>
      <c r="AA1290" s="284"/>
      <c r="AB1290" s="284"/>
      <c r="AC1290" s="137"/>
      <c r="AD1290" s="284"/>
      <c r="AE1290" s="299"/>
      <c r="AF1290" s="299"/>
      <c r="AG1290" s="284"/>
    </row>
    <row r="1291" spans="2:33">
      <c r="B1291" s="86"/>
      <c r="C1291" s="84"/>
      <c r="D1291" s="86"/>
      <c r="E1291" s="84"/>
      <c r="F1291" s="284"/>
      <c r="G1291" s="49"/>
      <c r="H1291" s="284"/>
      <c r="I1291" s="74"/>
      <c r="J1291" s="371"/>
      <c r="K1291" s="77"/>
      <c r="L1291" s="160"/>
      <c r="M1291" s="388"/>
      <c r="N1291" s="375"/>
      <c r="W1291" s="113"/>
      <c r="X1291" s="241"/>
      <c r="Y1291" s="284"/>
      <c r="Z1291" s="207"/>
      <c r="AA1291" s="284"/>
      <c r="AB1291" s="284"/>
      <c r="AC1291" s="137"/>
      <c r="AD1291" s="284"/>
      <c r="AE1291" s="299"/>
      <c r="AF1291" s="299"/>
      <c r="AG1291" s="284"/>
    </row>
    <row r="1292" spans="2:33">
      <c r="B1292" s="86"/>
      <c r="C1292" s="84"/>
      <c r="D1292" s="86"/>
      <c r="E1292" s="84"/>
      <c r="F1292" s="284"/>
      <c r="G1292" s="49"/>
      <c r="H1292" s="284"/>
      <c r="I1292" s="74"/>
      <c r="J1292" s="371"/>
      <c r="K1292" s="77"/>
      <c r="L1292" s="160"/>
      <c r="M1292" s="388"/>
      <c r="N1292" s="375"/>
      <c r="W1292" s="113"/>
      <c r="X1292" s="241"/>
      <c r="Y1292" s="284"/>
      <c r="Z1292" s="207"/>
      <c r="AA1292" s="284"/>
      <c r="AB1292" s="284"/>
      <c r="AC1292" s="137"/>
      <c r="AD1292" s="284"/>
      <c r="AE1292" s="299"/>
      <c r="AF1292" s="299"/>
      <c r="AG1292" s="284"/>
    </row>
    <row r="1293" spans="2:33">
      <c r="B1293" s="86"/>
      <c r="C1293" s="84"/>
      <c r="D1293" s="86"/>
      <c r="E1293" s="84"/>
      <c r="F1293" s="284"/>
      <c r="G1293" s="49"/>
      <c r="H1293" s="284"/>
      <c r="I1293" s="74"/>
      <c r="J1293" s="371"/>
      <c r="K1293" s="77"/>
      <c r="L1293" s="160"/>
      <c r="M1293" s="388"/>
      <c r="N1293" s="375"/>
      <c r="O1293" s="370"/>
      <c r="W1293" s="113"/>
      <c r="X1293" s="241"/>
      <c r="Y1293" s="284"/>
      <c r="Z1293" s="207"/>
      <c r="AA1293" s="284"/>
      <c r="AB1293" s="284"/>
      <c r="AC1293" s="137"/>
      <c r="AD1293" s="284"/>
      <c r="AE1293" s="299"/>
      <c r="AF1293" s="299"/>
      <c r="AG1293" s="284"/>
    </row>
    <row r="1294" spans="2:33">
      <c r="B1294" s="86"/>
      <c r="C1294" s="84"/>
      <c r="D1294" s="86"/>
      <c r="E1294" s="84"/>
      <c r="F1294" s="284"/>
      <c r="G1294" s="49"/>
      <c r="H1294" s="284"/>
      <c r="I1294" s="74"/>
      <c r="J1294" s="371"/>
      <c r="K1294" s="77"/>
      <c r="L1294" s="160"/>
      <c r="M1294" s="388"/>
      <c r="N1294" s="375"/>
      <c r="W1294" s="113"/>
      <c r="X1294" s="241"/>
      <c r="Y1294" s="284"/>
      <c r="Z1294" s="207"/>
      <c r="AA1294" s="284"/>
      <c r="AB1294" s="284"/>
      <c r="AC1294" s="137"/>
      <c r="AD1294" s="284"/>
      <c r="AE1294" s="299"/>
      <c r="AF1294" s="299"/>
      <c r="AG1294" s="284"/>
    </row>
    <row r="1295" spans="2:33">
      <c r="B1295" s="86"/>
      <c r="C1295" s="84"/>
      <c r="D1295" s="86"/>
      <c r="E1295" s="84"/>
      <c r="F1295" s="284"/>
      <c r="G1295" s="49"/>
      <c r="H1295" s="284"/>
      <c r="I1295" s="74"/>
      <c r="J1295" s="371"/>
      <c r="K1295" s="77"/>
      <c r="L1295" s="160"/>
      <c r="M1295" s="388"/>
      <c r="N1295" s="375"/>
      <c r="W1295" s="113"/>
      <c r="X1295" s="241"/>
      <c r="Y1295" s="284"/>
      <c r="Z1295" s="207"/>
      <c r="AA1295" s="284"/>
      <c r="AB1295" s="284"/>
      <c r="AC1295" s="137"/>
      <c r="AD1295" s="284"/>
      <c r="AE1295" s="299"/>
      <c r="AF1295" s="299"/>
      <c r="AG1295" s="284"/>
    </row>
    <row r="1296" spans="2:33">
      <c r="B1296" s="86"/>
      <c r="C1296" s="84"/>
      <c r="D1296" s="86"/>
      <c r="E1296" s="84"/>
      <c r="F1296" s="284"/>
      <c r="G1296" s="49"/>
      <c r="H1296" s="284"/>
      <c r="I1296" s="74"/>
      <c r="J1296" s="371"/>
      <c r="K1296" s="77"/>
      <c r="L1296" s="160"/>
      <c r="M1296" s="388"/>
      <c r="N1296" s="375"/>
      <c r="W1296" s="113"/>
      <c r="X1296" s="241"/>
      <c r="Y1296" s="284"/>
      <c r="Z1296" s="207"/>
      <c r="AA1296" s="284"/>
      <c r="AB1296" s="284"/>
      <c r="AC1296" s="137"/>
      <c r="AD1296" s="284"/>
      <c r="AE1296" s="299"/>
      <c r="AF1296" s="299"/>
      <c r="AG1296" s="284"/>
    </row>
    <row r="1297" spans="2:33">
      <c r="B1297" s="86"/>
      <c r="C1297" s="84"/>
      <c r="D1297" s="86"/>
      <c r="E1297" s="84"/>
      <c r="F1297" s="284"/>
      <c r="G1297" s="49"/>
      <c r="H1297" s="284"/>
      <c r="I1297" s="74"/>
      <c r="J1297" s="371"/>
      <c r="K1297" s="77"/>
      <c r="L1297" s="160"/>
      <c r="M1297" s="388"/>
      <c r="N1297" s="375"/>
      <c r="W1297" s="113"/>
      <c r="X1297" s="241"/>
      <c r="Y1297" s="284"/>
      <c r="Z1297" s="207"/>
      <c r="AA1297" s="284"/>
      <c r="AB1297" s="284"/>
      <c r="AC1297" s="137"/>
      <c r="AD1297" s="284"/>
      <c r="AE1297" s="299"/>
      <c r="AF1297" s="299"/>
      <c r="AG1297" s="284"/>
    </row>
    <row r="1298" spans="2:33">
      <c r="B1298" s="86"/>
      <c r="C1298" s="84"/>
      <c r="D1298" s="86"/>
      <c r="E1298" s="84"/>
      <c r="F1298" s="284"/>
      <c r="G1298" s="49"/>
      <c r="H1298" s="284"/>
      <c r="I1298" s="74"/>
      <c r="J1298" s="371"/>
      <c r="K1298" s="77"/>
      <c r="L1298" s="160"/>
      <c r="M1298" s="388"/>
      <c r="N1298" s="375"/>
      <c r="O1298" s="370"/>
      <c r="W1298" s="113"/>
      <c r="X1298" s="241"/>
      <c r="Y1298" s="284"/>
      <c r="Z1298" s="207"/>
      <c r="AA1298" s="284"/>
      <c r="AB1298" s="284"/>
      <c r="AC1298" s="137"/>
      <c r="AD1298" s="284"/>
      <c r="AE1298" s="299"/>
      <c r="AF1298" s="299"/>
      <c r="AG1298" s="284"/>
    </row>
    <row r="1299" spans="2:33">
      <c r="B1299" s="86"/>
      <c r="C1299" s="84"/>
      <c r="D1299" s="86"/>
      <c r="E1299" s="84"/>
      <c r="F1299" s="284"/>
      <c r="G1299" s="49"/>
      <c r="H1299" s="284"/>
      <c r="I1299" s="74"/>
      <c r="J1299" s="371"/>
      <c r="K1299" s="77"/>
      <c r="L1299" s="160"/>
      <c r="M1299" s="388"/>
      <c r="N1299" s="375"/>
      <c r="O1299" s="370"/>
      <c r="W1299" s="113"/>
      <c r="X1299" s="241"/>
      <c r="Y1299" s="284"/>
      <c r="Z1299" s="207"/>
      <c r="AA1299" s="284"/>
      <c r="AB1299" s="284"/>
      <c r="AC1299" s="137"/>
      <c r="AD1299" s="284"/>
      <c r="AE1299" s="299"/>
      <c r="AF1299" s="299"/>
      <c r="AG1299" s="284"/>
    </row>
    <row r="1300" spans="2:33">
      <c r="B1300" s="86"/>
      <c r="C1300" s="84"/>
      <c r="D1300" s="86"/>
      <c r="E1300" s="84"/>
      <c r="F1300" s="284"/>
      <c r="G1300" s="49"/>
      <c r="H1300" s="284"/>
      <c r="I1300" s="74"/>
      <c r="J1300" s="371"/>
      <c r="K1300" s="77"/>
      <c r="L1300" s="160"/>
      <c r="M1300" s="388"/>
      <c r="N1300" s="375"/>
      <c r="O1300" s="370"/>
      <c r="W1300" s="113"/>
      <c r="X1300" s="241"/>
      <c r="Y1300" s="284"/>
      <c r="Z1300" s="207"/>
      <c r="AA1300" s="284"/>
      <c r="AB1300" s="284"/>
      <c r="AC1300" s="137"/>
      <c r="AD1300" s="284"/>
      <c r="AE1300" s="299"/>
      <c r="AF1300" s="299"/>
      <c r="AG1300" s="284"/>
    </row>
    <row r="1301" spans="2:33">
      <c r="B1301" s="86"/>
      <c r="C1301" s="84"/>
      <c r="D1301" s="86"/>
      <c r="E1301" s="84"/>
      <c r="F1301" s="284"/>
      <c r="G1301" s="49"/>
      <c r="H1301" s="284"/>
      <c r="I1301" s="74"/>
      <c r="J1301" s="371"/>
      <c r="K1301" s="77"/>
      <c r="L1301" s="160"/>
      <c r="M1301" s="388"/>
      <c r="N1301" s="375"/>
      <c r="W1301" s="113"/>
      <c r="X1301" s="241"/>
      <c r="Y1301" s="284"/>
      <c r="Z1301" s="207"/>
      <c r="AA1301" s="284"/>
      <c r="AB1301" s="284"/>
      <c r="AC1301" s="137"/>
      <c r="AD1301" s="284"/>
      <c r="AE1301" s="299"/>
      <c r="AF1301" s="299"/>
      <c r="AG1301" s="284"/>
    </row>
    <row r="1302" spans="2:33">
      <c r="B1302" s="86"/>
      <c r="C1302" s="84"/>
      <c r="D1302" s="86"/>
      <c r="E1302" s="84"/>
      <c r="F1302" s="284"/>
      <c r="G1302" s="49"/>
      <c r="H1302" s="284"/>
      <c r="I1302" s="74"/>
      <c r="J1302" s="371"/>
      <c r="K1302" s="77"/>
      <c r="L1302" s="160"/>
      <c r="M1302" s="388"/>
      <c r="N1302" s="375"/>
      <c r="O1302" s="370"/>
      <c r="W1302" s="113"/>
      <c r="X1302" s="241"/>
      <c r="Y1302" s="284"/>
      <c r="Z1302" s="207"/>
      <c r="AA1302" s="284"/>
      <c r="AB1302" s="284"/>
      <c r="AC1302" s="137"/>
      <c r="AD1302" s="284"/>
      <c r="AE1302" s="299"/>
      <c r="AF1302" s="299"/>
      <c r="AG1302" s="284"/>
    </row>
    <row r="1303" spans="2:33">
      <c r="B1303" s="86"/>
      <c r="C1303" s="84"/>
      <c r="D1303" s="86"/>
      <c r="E1303" s="84"/>
      <c r="F1303" s="284"/>
      <c r="G1303" s="49"/>
      <c r="H1303" s="284"/>
      <c r="I1303" s="74"/>
      <c r="J1303" s="371"/>
      <c r="K1303" s="77"/>
      <c r="L1303" s="160"/>
      <c r="M1303" s="388"/>
      <c r="N1303" s="375"/>
      <c r="O1303" s="370"/>
      <c r="W1303" s="113"/>
      <c r="X1303" s="241"/>
      <c r="Y1303" s="284"/>
      <c r="Z1303" s="207"/>
      <c r="AA1303" s="284"/>
      <c r="AB1303" s="284"/>
      <c r="AC1303" s="137"/>
      <c r="AD1303" s="284"/>
      <c r="AE1303" s="299"/>
      <c r="AF1303" s="299"/>
      <c r="AG1303" s="284"/>
    </row>
    <row r="1304" spans="2:33">
      <c r="B1304" s="86"/>
      <c r="C1304" s="84"/>
      <c r="D1304" s="86"/>
      <c r="E1304" s="84"/>
      <c r="F1304" s="284"/>
      <c r="G1304" s="49"/>
      <c r="H1304" s="284"/>
      <c r="I1304" s="74"/>
      <c r="J1304" s="371"/>
      <c r="K1304" s="77"/>
      <c r="L1304" s="160"/>
      <c r="M1304" s="388"/>
      <c r="N1304" s="375"/>
      <c r="W1304" s="113"/>
      <c r="X1304" s="241"/>
      <c r="Y1304" s="284"/>
      <c r="Z1304" s="207"/>
      <c r="AA1304" s="284"/>
      <c r="AB1304" s="284"/>
      <c r="AC1304" s="137"/>
      <c r="AD1304" s="284"/>
      <c r="AE1304" s="299"/>
      <c r="AF1304" s="299"/>
      <c r="AG1304" s="284"/>
    </row>
    <row r="1305" spans="2:33">
      <c r="B1305" s="86"/>
      <c r="C1305" s="84"/>
      <c r="D1305" s="86"/>
      <c r="E1305" s="84"/>
      <c r="F1305" s="284"/>
      <c r="G1305" s="49"/>
      <c r="H1305" s="284"/>
      <c r="I1305" s="74"/>
      <c r="J1305" s="371"/>
      <c r="K1305" s="77"/>
      <c r="L1305" s="160"/>
      <c r="M1305" s="388"/>
      <c r="N1305" s="375"/>
      <c r="O1305" s="370"/>
      <c r="W1305" s="113"/>
      <c r="X1305" s="241"/>
      <c r="Y1305" s="284"/>
      <c r="Z1305" s="207"/>
      <c r="AA1305" s="284"/>
      <c r="AB1305" s="284"/>
      <c r="AC1305" s="137"/>
      <c r="AD1305" s="284"/>
      <c r="AE1305" s="299"/>
      <c r="AF1305" s="299"/>
      <c r="AG1305" s="284"/>
    </row>
    <row r="1306" spans="2:33">
      <c r="B1306" s="86"/>
      <c r="C1306" s="84"/>
      <c r="D1306" s="86"/>
      <c r="E1306" s="84"/>
      <c r="F1306" s="284"/>
      <c r="G1306" s="49"/>
      <c r="H1306" s="284"/>
      <c r="I1306" s="74"/>
      <c r="J1306" s="371"/>
      <c r="K1306" s="77"/>
      <c r="L1306" s="160"/>
      <c r="M1306" s="388"/>
      <c r="N1306" s="375"/>
      <c r="W1306" s="113"/>
      <c r="X1306" s="241"/>
      <c r="Y1306" s="284"/>
      <c r="Z1306" s="207"/>
      <c r="AA1306" s="284"/>
      <c r="AB1306" s="284"/>
      <c r="AC1306" s="137"/>
      <c r="AD1306" s="284"/>
      <c r="AE1306" s="299"/>
      <c r="AF1306" s="299"/>
      <c r="AG1306" s="284"/>
    </row>
    <row r="1307" spans="2:33">
      <c r="B1307" s="86"/>
      <c r="C1307" s="84"/>
      <c r="D1307" s="86"/>
      <c r="E1307" s="84"/>
      <c r="F1307" s="284"/>
      <c r="G1307" s="49"/>
      <c r="H1307" s="284"/>
      <c r="I1307" s="74"/>
      <c r="J1307" s="371"/>
      <c r="K1307" s="77"/>
      <c r="L1307" s="160"/>
      <c r="M1307" s="388"/>
      <c r="N1307" s="375"/>
      <c r="O1307" s="370"/>
      <c r="W1307" s="113"/>
      <c r="X1307" s="241"/>
      <c r="Y1307" s="284"/>
      <c r="Z1307" s="207"/>
      <c r="AA1307" s="284"/>
      <c r="AB1307" s="284"/>
      <c r="AC1307" s="137"/>
      <c r="AD1307" s="284"/>
      <c r="AE1307" s="299"/>
      <c r="AF1307" s="299"/>
      <c r="AG1307" s="284"/>
    </row>
    <row r="1308" spans="2:33">
      <c r="B1308" s="86"/>
      <c r="C1308" s="84"/>
      <c r="D1308" s="86"/>
      <c r="E1308" s="84"/>
      <c r="F1308" s="284"/>
      <c r="G1308" s="49"/>
      <c r="H1308" s="284"/>
      <c r="I1308" s="74"/>
      <c r="J1308" s="371"/>
      <c r="K1308" s="77"/>
      <c r="L1308" s="160"/>
      <c r="M1308" s="388"/>
      <c r="N1308" s="375"/>
      <c r="O1308" s="370"/>
      <c r="W1308" s="113"/>
      <c r="X1308" s="241"/>
      <c r="Y1308" s="284"/>
      <c r="Z1308" s="207"/>
      <c r="AA1308" s="284"/>
      <c r="AB1308" s="284"/>
      <c r="AC1308" s="137"/>
      <c r="AD1308" s="284"/>
      <c r="AE1308" s="299"/>
      <c r="AF1308" s="299"/>
      <c r="AG1308" s="284"/>
    </row>
    <row r="1309" spans="2:33">
      <c r="B1309" s="86"/>
      <c r="C1309" s="84"/>
      <c r="D1309" s="86"/>
      <c r="E1309" s="84"/>
      <c r="F1309" s="284"/>
      <c r="G1309" s="49"/>
      <c r="H1309" s="284"/>
      <c r="I1309" s="74"/>
      <c r="J1309" s="371"/>
      <c r="K1309" s="77"/>
      <c r="L1309" s="160"/>
      <c r="M1309" s="388"/>
      <c r="N1309" s="375"/>
      <c r="O1309" s="370"/>
      <c r="W1309" s="113"/>
      <c r="X1309" s="241"/>
      <c r="Y1309" s="284"/>
      <c r="Z1309" s="207"/>
      <c r="AA1309" s="284"/>
      <c r="AB1309" s="284"/>
      <c r="AC1309" s="137"/>
      <c r="AD1309" s="284"/>
      <c r="AE1309" s="299"/>
      <c r="AF1309" s="299"/>
      <c r="AG1309" s="284"/>
    </row>
    <row r="1310" spans="2:33">
      <c r="B1310" s="86"/>
      <c r="C1310" s="84"/>
      <c r="D1310" s="86"/>
      <c r="E1310" s="84"/>
      <c r="F1310" s="284"/>
      <c r="G1310" s="49"/>
      <c r="H1310" s="284"/>
      <c r="I1310" s="74"/>
      <c r="J1310" s="371"/>
      <c r="K1310" s="77"/>
      <c r="L1310" s="160"/>
      <c r="M1310" s="388"/>
      <c r="N1310" s="375"/>
      <c r="O1310" s="370"/>
      <c r="W1310" s="113"/>
      <c r="X1310" s="241"/>
      <c r="Y1310" s="284"/>
      <c r="Z1310" s="207"/>
      <c r="AA1310" s="284"/>
      <c r="AB1310" s="284"/>
      <c r="AC1310" s="137"/>
      <c r="AD1310" s="284"/>
      <c r="AE1310" s="299"/>
      <c r="AF1310" s="299"/>
      <c r="AG1310" s="284"/>
    </row>
    <row r="1311" spans="2:33">
      <c r="B1311" s="86"/>
      <c r="C1311" s="84"/>
      <c r="D1311" s="86"/>
      <c r="E1311" s="84"/>
      <c r="F1311" s="284"/>
      <c r="G1311" s="49"/>
      <c r="H1311" s="284"/>
      <c r="I1311" s="74"/>
      <c r="J1311" s="371"/>
      <c r="K1311" s="77"/>
      <c r="L1311" s="160"/>
      <c r="M1311" s="388"/>
      <c r="N1311" s="375"/>
      <c r="O1311" s="370"/>
      <c r="W1311" s="113"/>
      <c r="X1311" s="241"/>
      <c r="Y1311" s="284"/>
      <c r="Z1311" s="207"/>
      <c r="AA1311" s="284"/>
      <c r="AB1311" s="284"/>
      <c r="AC1311" s="137"/>
      <c r="AD1311" s="284"/>
      <c r="AE1311" s="299"/>
      <c r="AF1311" s="299"/>
      <c r="AG1311" s="284"/>
    </row>
    <row r="1312" spans="2:33">
      <c r="B1312" s="86"/>
      <c r="C1312" s="84"/>
      <c r="D1312" s="86"/>
      <c r="E1312" s="84"/>
      <c r="F1312" s="284"/>
      <c r="G1312" s="49"/>
      <c r="H1312" s="284"/>
      <c r="I1312" s="74"/>
      <c r="J1312" s="371"/>
      <c r="K1312" s="77"/>
      <c r="L1312" s="160"/>
      <c r="M1312" s="388"/>
      <c r="N1312" s="375"/>
      <c r="O1312" s="370"/>
      <c r="W1312" s="113"/>
      <c r="X1312" s="241"/>
      <c r="Y1312" s="284"/>
      <c r="Z1312" s="207"/>
      <c r="AA1312" s="284"/>
      <c r="AB1312" s="284"/>
      <c r="AC1312" s="137"/>
      <c r="AD1312" s="284"/>
      <c r="AE1312" s="299"/>
      <c r="AF1312" s="299"/>
      <c r="AG1312" s="284"/>
    </row>
    <row r="1313" spans="2:33">
      <c r="B1313" s="86"/>
      <c r="C1313" s="84"/>
      <c r="D1313" s="86"/>
      <c r="E1313" s="84"/>
      <c r="F1313" s="284"/>
      <c r="G1313" s="49"/>
      <c r="H1313" s="284"/>
      <c r="I1313" s="74"/>
      <c r="J1313" s="371"/>
      <c r="K1313" s="77"/>
      <c r="L1313" s="160"/>
      <c r="M1313" s="388"/>
      <c r="N1313" s="375"/>
      <c r="O1313" s="370"/>
      <c r="W1313" s="113"/>
      <c r="X1313" s="241"/>
      <c r="Y1313" s="284"/>
      <c r="Z1313" s="207"/>
      <c r="AA1313" s="284"/>
      <c r="AB1313" s="284"/>
      <c r="AC1313" s="137"/>
      <c r="AD1313" s="284"/>
      <c r="AE1313" s="299"/>
      <c r="AF1313" s="299"/>
      <c r="AG1313" s="284"/>
    </row>
    <row r="1314" spans="2:33">
      <c r="B1314" s="86"/>
      <c r="C1314" s="84"/>
      <c r="D1314" s="86"/>
      <c r="E1314" s="84"/>
      <c r="F1314" s="284"/>
      <c r="G1314" s="49"/>
      <c r="H1314" s="284"/>
      <c r="I1314" s="74"/>
      <c r="J1314" s="371"/>
      <c r="K1314" s="77"/>
      <c r="L1314" s="160"/>
      <c r="M1314" s="388"/>
      <c r="N1314" s="375"/>
      <c r="O1314" s="370"/>
      <c r="W1314" s="113"/>
      <c r="X1314" s="241"/>
      <c r="Y1314" s="284"/>
      <c r="Z1314" s="207"/>
      <c r="AA1314" s="284"/>
      <c r="AB1314" s="284"/>
      <c r="AC1314" s="137"/>
      <c r="AD1314" s="284"/>
      <c r="AE1314" s="299"/>
      <c r="AF1314" s="299"/>
      <c r="AG1314" s="284"/>
    </row>
    <row r="1315" spans="2:33">
      <c r="B1315" s="86"/>
      <c r="C1315" s="84"/>
      <c r="D1315" s="86"/>
      <c r="E1315" s="84"/>
      <c r="F1315" s="284"/>
      <c r="G1315" s="49"/>
      <c r="H1315" s="284"/>
      <c r="I1315" s="74"/>
      <c r="J1315" s="371"/>
      <c r="K1315" s="77"/>
      <c r="L1315" s="160"/>
      <c r="M1315" s="388"/>
      <c r="N1315" s="375"/>
      <c r="W1315" s="113"/>
      <c r="X1315" s="241"/>
      <c r="Y1315" s="284"/>
      <c r="Z1315" s="207"/>
      <c r="AA1315" s="284"/>
      <c r="AB1315" s="284"/>
      <c r="AC1315" s="137"/>
      <c r="AD1315" s="284"/>
      <c r="AE1315" s="299"/>
      <c r="AF1315" s="299"/>
      <c r="AG1315" s="284"/>
    </row>
    <row r="1316" spans="2:33">
      <c r="B1316" s="86"/>
      <c r="C1316" s="84"/>
      <c r="D1316" s="86"/>
      <c r="E1316" s="84"/>
      <c r="F1316" s="284"/>
      <c r="G1316" s="49"/>
      <c r="H1316" s="284"/>
      <c r="I1316" s="74"/>
      <c r="J1316" s="371"/>
      <c r="K1316" s="77"/>
      <c r="L1316" s="160"/>
      <c r="M1316" s="388"/>
      <c r="N1316" s="375"/>
      <c r="W1316" s="113"/>
      <c r="X1316" s="241"/>
      <c r="Y1316" s="284"/>
      <c r="Z1316" s="207"/>
      <c r="AA1316" s="284"/>
      <c r="AB1316" s="284"/>
      <c r="AC1316" s="137"/>
      <c r="AD1316" s="284"/>
      <c r="AE1316" s="299"/>
      <c r="AF1316" s="299"/>
      <c r="AG1316" s="284"/>
    </row>
    <row r="1317" spans="2:33">
      <c r="B1317" s="86"/>
      <c r="C1317" s="84"/>
      <c r="D1317" s="86"/>
      <c r="E1317" s="84"/>
      <c r="F1317" s="284"/>
      <c r="G1317" s="49"/>
      <c r="H1317" s="284"/>
      <c r="I1317" s="74"/>
      <c r="J1317" s="371"/>
      <c r="K1317" s="77"/>
      <c r="L1317" s="160"/>
      <c r="M1317" s="388"/>
      <c r="N1317" s="375"/>
      <c r="T1317" s="340"/>
      <c r="W1317" s="113"/>
      <c r="X1317" s="241"/>
      <c r="Y1317" s="284"/>
      <c r="Z1317" s="207"/>
      <c r="AA1317" s="284"/>
      <c r="AB1317" s="284"/>
      <c r="AC1317" s="137"/>
      <c r="AD1317" s="284"/>
      <c r="AE1317" s="299"/>
      <c r="AF1317" s="299"/>
      <c r="AG1317" s="284"/>
    </row>
    <row r="1318" spans="2:33">
      <c r="B1318" s="86"/>
      <c r="C1318" s="84"/>
      <c r="D1318" s="86"/>
      <c r="E1318" s="84"/>
      <c r="F1318" s="284"/>
      <c r="G1318" s="49"/>
      <c r="H1318" s="284"/>
      <c r="I1318" s="74"/>
      <c r="J1318" s="371"/>
      <c r="K1318" s="77"/>
      <c r="L1318" s="160"/>
      <c r="M1318" s="388"/>
      <c r="N1318" s="375"/>
      <c r="W1318" s="113"/>
      <c r="X1318" s="241"/>
      <c r="Y1318" s="284"/>
      <c r="Z1318" s="207"/>
      <c r="AA1318" s="284"/>
      <c r="AB1318" s="284"/>
      <c r="AC1318" s="137"/>
      <c r="AD1318" s="284"/>
      <c r="AE1318" s="299"/>
      <c r="AF1318" s="299"/>
      <c r="AG1318" s="284"/>
    </row>
    <row r="1319" spans="2:33">
      <c r="B1319" s="86"/>
      <c r="C1319" s="84"/>
      <c r="D1319" s="86"/>
      <c r="E1319" s="84"/>
      <c r="F1319" s="284"/>
      <c r="G1319" s="49"/>
      <c r="H1319" s="284"/>
      <c r="I1319" s="74"/>
      <c r="J1319" s="371"/>
      <c r="K1319" s="77"/>
      <c r="L1319" s="160"/>
      <c r="M1319" s="388"/>
      <c r="N1319" s="375"/>
      <c r="W1319" s="113"/>
      <c r="X1319" s="241"/>
      <c r="Y1319" s="284"/>
      <c r="Z1319" s="207"/>
      <c r="AA1319" s="284"/>
      <c r="AB1319" s="284"/>
      <c r="AC1319" s="137"/>
      <c r="AD1319" s="284"/>
      <c r="AE1319" s="299"/>
      <c r="AF1319" s="299"/>
      <c r="AG1319" s="284"/>
    </row>
    <row r="1320" spans="2:33">
      <c r="B1320" s="86"/>
      <c r="C1320" s="84"/>
      <c r="D1320" s="86"/>
      <c r="E1320" s="84"/>
      <c r="F1320" s="284"/>
      <c r="G1320" s="49"/>
      <c r="H1320" s="284"/>
      <c r="I1320" s="74"/>
      <c r="J1320" s="371"/>
      <c r="K1320" s="77"/>
      <c r="L1320" s="160"/>
      <c r="M1320" s="388"/>
      <c r="N1320" s="375"/>
      <c r="W1320" s="113"/>
      <c r="X1320" s="241"/>
      <c r="Y1320" s="284"/>
      <c r="Z1320" s="207"/>
      <c r="AA1320" s="284"/>
      <c r="AB1320" s="284"/>
      <c r="AC1320" s="137"/>
      <c r="AD1320" s="284"/>
      <c r="AE1320" s="299"/>
      <c r="AF1320" s="299"/>
      <c r="AG1320" s="284"/>
    </row>
    <row r="1321" spans="2:33">
      <c r="B1321" s="86"/>
      <c r="C1321" s="84"/>
      <c r="D1321" s="86"/>
      <c r="E1321" s="84"/>
      <c r="F1321" s="284"/>
      <c r="G1321" s="49"/>
      <c r="H1321" s="284"/>
      <c r="I1321" s="74"/>
      <c r="J1321" s="371"/>
      <c r="K1321" s="77"/>
      <c r="L1321" s="160"/>
      <c r="M1321" s="388"/>
      <c r="N1321" s="375"/>
      <c r="W1321" s="113"/>
      <c r="X1321" s="241"/>
      <c r="Y1321" s="284"/>
      <c r="Z1321" s="207"/>
      <c r="AA1321" s="284"/>
      <c r="AB1321" s="284"/>
      <c r="AC1321" s="137"/>
      <c r="AD1321" s="284"/>
      <c r="AE1321" s="299"/>
      <c r="AF1321" s="299"/>
      <c r="AG1321" s="284"/>
    </row>
    <row r="1322" spans="2:33">
      <c r="B1322" s="86"/>
      <c r="C1322" s="84"/>
      <c r="D1322" s="86"/>
      <c r="E1322" s="84"/>
      <c r="F1322" s="284"/>
      <c r="G1322" s="49"/>
      <c r="H1322" s="284"/>
      <c r="I1322" s="74"/>
      <c r="J1322" s="371"/>
      <c r="K1322" s="77"/>
      <c r="L1322" s="160"/>
      <c r="M1322" s="388"/>
      <c r="N1322" s="375"/>
      <c r="W1322" s="113"/>
      <c r="X1322" s="241"/>
      <c r="Y1322" s="284"/>
      <c r="Z1322" s="207"/>
      <c r="AA1322" s="284"/>
      <c r="AB1322" s="284"/>
      <c r="AC1322" s="137"/>
      <c r="AD1322" s="284"/>
      <c r="AE1322" s="299"/>
      <c r="AF1322" s="299"/>
      <c r="AG1322" s="284"/>
    </row>
    <row r="1323" spans="2:33">
      <c r="B1323" s="86"/>
      <c r="C1323" s="84"/>
      <c r="D1323" s="86"/>
      <c r="E1323" s="84"/>
      <c r="F1323" s="284"/>
      <c r="G1323" s="49"/>
      <c r="H1323" s="284"/>
      <c r="I1323" s="74"/>
      <c r="J1323" s="371"/>
      <c r="K1323" s="77"/>
      <c r="L1323" s="160"/>
      <c r="M1323" s="388"/>
      <c r="N1323" s="375"/>
      <c r="O1323" s="370"/>
      <c r="W1323" s="113"/>
      <c r="X1323" s="241"/>
      <c r="Y1323" s="284"/>
      <c r="Z1323" s="207"/>
      <c r="AA1323" s="284"/>
      <c r="AB1323" s="284"/>
      <c r="AC1323" s="137"/>
      <c r="AD1323" s="284"/>
      <c r="AE1323" s="299"/>
      <c r="AF1323" s="299"/>
      <c r="AG1323" s="284"/>
    </row>
    <row r="1324" spans="2:33">
      <c r="B1324" s="86"/>
      <c r="C1324" s="84"/>
      <c r="D1324" s="86"/>
      <c r="E1324" s="84"/>
      <c r="F1324" s="284"/>
      <c r="G1324" s="49"/>
      <c r="H1324" s="284"/>
      <c r="I1324" s="74"/>
      <c r="J1324" s="371"/>
      <c r="K1324" s="77"/>
      <c r="L1324" s="160"/>
      <c r="M1324" s="388"/>
      <c r="N1324" s="375"/>
      <c r="O1324" s="370"/>
      <c r="W1324" s="113"/>
      <c r="X1324" s="241"/>
      <c r="Y1324" s="284"/>
      <c r="Z1324" s="207"/>
      <c r="AA1324" s="284"/>
      <c r="AB1324" s="284"/>
      <c r="AC1324" s="137"/>
      <c r="AD1324" s="284"/>
      <c r="AE1324" s="299"/>
      <c r="AF1324" s="299"/>
      <c r="AG1324" s="284"/>
    </row>
    <row r="1325" spans="2:33">
      <c r="B1325" s="86"/>
      <c r="C1325" s="84"/>
      <c r="D1325" s="86"/>
      <c r="E1325" s="84"/>
      <c r="F1325" s="284"/>
      <c r="G1325" s="49"/>
      <c r="H1325" s="284"/>
      <c r="I1325" s="74"/>
      <c r="J1325" s="371"/>
      <c r="K1325" s="77"/>
      <c r="L1325" s="160"/>
      <c r="M1325" s="388"/>
      <c r="N1325" s="375"/>
      <c r="O1325" s="370"/>
      <c r="W1325" s="113"/>
      <c r="X1325" s="241"/>
      <c r="Y1325" s="284"/>
      <c r="Z1325" s="207"/>
      <c r="AA1325" s="284"/>
      <c r="AB1325" s="284"/>
      <c r="AC1325" s="137"/>
      <c r="AD1325" s="284"/>
      <c r="AE1325" s="299"/>
      <c r="AF1325" s="299"/>
      <c r="AG1325" s="284"/>
    </row>
    <row r="1326" spans="2:33">
      <c r="B1326" s="86"/>
      <c r="C1326" s="84"/>
      <c r="D1326" s="86"/>
      <c r="E1326" s="84"/>
      <c r="F1326" s="284"/>
      <c r="G1326" s="49"/>
      <c r="H1326" s="284"/>
      <c r="I1326" s="74"/>
      <c r="J1326" s="371"/>
      <c r="K1326" s="77"/>
      <c r="L1326" s="160"/>
      <c r="M1326" s="388"/>
      <c r="N1326" s="375"/>
      <c r="W1326" s="113"/>
      <c r="X1326" s="241"/>
      <c r="Y1326" s="284"/>
      <c r="Z1326" s="207"/>
      <c r="AA1326" s="284"/>
      <c r="AB1326" s="284"/>
      <c r="AC1326" s="137"/>
      <c r="AD1326" s="284"/>
      <c r="AE1326" s="299"/>
      <c r="AF1326" s="299"/>
      <c r="AG1326" s="284"/>
    </row>
    <row r="1327" spans="2:33">
      <c r="B1327" s="86"/>
      <c r="C1327" s="84"/>
      <c r="D1327" s="86"/>
      <c r="E1327" s="84"/>
      <c r="F1327" s="284"/>
      <c r="G1327" s="49"/>
      <c r="H1327" s="284"/>
      <c r="I1327" s="74"/>
      <c r="J1327" s="371"/>
      <c r="K1327" s="77"/>
      <c r="L1327" s="160"/>
      <c r="M1327" s="388"/>
      <c r="N1327" s="375"/>
      <c r="O1327" s="370"/>
      <c r="T1327" s="340"/>
      <c r="W1327" s="113"/>
      <c r="X1327" s="241"/>
      <c r="Y1327" s="284"/>
      <c r="Z1327" s="207"/>
      <c r="AA1327" s="284"/>
      <c r="AB1327" s="284"/>
      <c r="AC1327" s="137"/>
      <c r="AD1327" s="284"/>
      <c r="AE1327" s="299"/>
      <c r="AF1327" s="299"/>
      <c r="AG1327" s="284"/>
    </row>
    <row r="1328" spans="2:33">
      <c r="B1328" s="86"/>
      <c r="C1328" s="84"/>
      <c r="D1328" s="86"/>
      <c r="E1328" s="84"/>
      <c r="F1328" s="284"/>
      <c r="G1328" s="49"/>
      <c r="H1328" s="284"/>
      <c r="I1328" s="74"/>
      <c r="J1328" s="371"/>
      <c r="K1328" s="77"/>
      <c r="L1328" s="160"/>
      <c r="M1328" s="388"/>
      <c r="N1328" s="375"/>
      <c r="O1328" s="370"/>
      <c r="W1328" s="113"/>
      <c r="X1328" s="241"/>
      <c r="Y1328" s="284"/>
      <c r="Z1328" s="207"/>
      <c r="AA1328" s="284"/>
      <c r="AB1328" s="284"/>
      <c r="AC1328" s="137"/>
      <c r="AD1328" s="284"/>
      <c r="AE1328" s="299"/>
      <c r="AF1328" s="299"/>
      <c r="AG1328" s="284"/>
    </row>
    <row r="1329" spans="2:33">
      <c r="B1329" s="86"/>
      <c r="C1329" s="84"/>
      <c r="D1329" s="86"/>
      <c r="E1329" s="84"/>
      <c r="F1329" s="284"/>
      <c r="G1329" s="49"/>
      <c r="H1329" s="284"/>
      <c r="I1329" s="74"/>
      <c r="J1329" s="371"/>
      <c r="K1329" s="77"/>
      <c r="L1329" s="160"/>
      <c r="M1329" s="388"/>
      <c r="N1329" s="375"/>
      <c r="O1329" s="370"/>
      <c r="W1329" s="113"/>
      <c r="X1329" s="241"/>
      <c r="Y1329" s="284"/>
      <c r="Z1329" s="207"/>
      <c r="AA1329" s="284"/>
      <c r="AB1329" s="284"/>
      <c r="AC1329" s="137"/>
      <c r="AD1329" s="284"/>
      <c r="AE1329" s="299"/>
      <c r="AF1329" s="299"/>
      <c r="AG1329" s="284"/>
    </row>
    <row r="1330" spans="2:33">
      <c r="B1330" s="86"/>
      <c r="C1330" s="84"/>
      <c r="D1330" s="86"/>
      <c r="E1330" s="84"/>
      <c r="F1330" s="284"/>
      <c r="G1330" s="49"/>
      <c r="H1330" s="284"/>
      <c r="I1330" s="74"/>
      <c r="J1330" s="371"/>
      <c r="K1330" s="77"/>
      <c r="L1330" s="160"/>
      <c r="M1330" s="388"/>
      <c r="N1330" s="375"/>
      <c r="O1330" s="370"/>
      <c r="W1330" s="113"/>
      <c r="X1330" s="241"/>
      <c r="Y1330" s="284"/>
      <c r="Z1330" s="207"/>
      <c r="AA1330" s="284"/>
      <c r="AB1330" s="284"/>
      <c r="AC1330" s="137"/>
      <c r="AD1330" s="284"/>
      <c r="AE1330" s="299"/>
      <c r="AF1330" s="299"/>
      <c r="AG1330" s="284"/>
    </row>
    <row r="1331" spans="2:33">
      <c r="B1331" s="86"/>
      <c r="C1331" s="84"/>
      <c r="D1331" s="86"/>
      <c r="E1331" s="84"/>
      <c r="F1331" s="284"/>
      <c r="G1331" s="49"/>
      <c r="H1331" s="284"/>
      <c r="I1331" s="74"/>
      <c r="J1331" s="371"/>
      <c r="K1331" s="77"/>
      <c r="L1331" s="160"/>
      <c r="M1331" s="388"/>
      <c r="N1331" s="375"/>
      <c r="T1331" s="340"/>
      <c r="W1331" s="113"/>
      <c r="X1331" s="241"/>
      <c r="Y1331" s="284"/>
      <c r="Z1331" s="207"/>
      <c r="AA1331" s="284"/>
      <c r="AB1331" s="284"/>
      <c r="AC1331" s="137"/>
      <c r="AD1331" s="284"/>
      <c r="AE1331" s="299"/>
      <c r="AF1331" s="299"/>
      <c r="AG1331" s="284"/>
    </row>
    <row r="1332" spans="2:33">
      <c r="B1332" s="86"/>
      <c r="C1332" s="84"/>
      <c r="D1332" s="86"/>
      <c r="E1332" s="84"/>
      <c r="F1332" s="284"/>
      <c r="G1332" s="49"/>
      <c r="H1332" s="284"/>
      <c r="I1332" s="74"/>
      <c r="J1332" s="371"/>
      <c r="K1332" s="77"/>
      <c r="L1332" s="160"/>
      <c r="M1332" s="388"/>
      <c r="N1332" s="375"/>
      <c r="W1332" s="113"/>
      <c r="X1332" s="241"/>
      <c r="Y1332" s="284"/>
      <c r="Z1332" s="207"/>
      <c r="AA1332" s="284"/>
      <c r="AB1332" s="284"/>
      <c r="AC1332" s="137"/>
      <c r="AD1332" s="284"/>
      <c r="AE1332" s="299"/>
      <c r="AF1332" s="299"/>
      <c r="AG1332" s="284"/>
    </row>
    <row r="1333" spans="2:33">
      <c r="B1333" s="86"/>
      <c r="C1333" s="84"/>
      <c r="D1333" s="86"/>
      <c r="E1333" s="84"/>
      <c r="F1333" s="284"/>
      <c r="G1333" s="49"/>
      <c r="H1333" s="284"/>
      <c r="I1333" s="74"/>
      <c r="J1333" s="371"/>
      <c r="K1333" s="77"/>
      <c r="L1333" s="160"/>
      <c r="M1333" s="388"/>
      <c r="N1333" s="375"/>
      <c r="W1333" s="113"/>
      <c r="X1333" s="241"/>
      <c r="Y1333" s="284"/>
      <c r="Z1333" s="207"/>
      <c r="AA1333" s="284"/>
      <c r="AB1333" s="284"/>
      <c r="AC1333" s="137"/>
      <c r="AD1333" s="284"/>
      <c r="AE1333" s="299"/>
      <c r="AF1333" s="299"/>
      <c r="AG1333" s="284"/>
    </row>
    <row r="1334" spans="2:33">
      <c r="B1334" s="86"/>
      <c r="C1334" s="84"/>
      <c r="D1334" s="86"/>
      <c r="E1334" s="84"/>
      <c r="F1334" s="284"/>
      <c r="G1334" s="49"/>
      <c r="H1334" s="284"/>
      <c r="I1334" s="74"/>
      <c r="J1334" s="371"/>
      <c r="K1334" s="77"/>
      <c r="L1334" s="160"/>
      <c r="M1334" s="388"/>
      <c r="N1334" s="375"/>
      <c r="W1334" s="113"/>
      <c r="X1334" s="241"/>
      <c r="Y1334" s="284"/>
      <c r="Z1334" s="207"/>
      <c r="AA1334" s="284"/>
      <c r="AB1334" s="284"/>
      <c r="AC1334" s="137"/>
      <c r="AD1334" s="284"/>
      <c r="AE1334" s="299"/>
      <c r="AF1334" s="299"/>
      <c r="AG1334" s="284"/>
    </row>
    <row r="1335" spans="2:33">
      <c r="B1335" s="86"/>
      <c r="C1335" s="84"/>
      <c r="D1335" s="86"/>
      <c r="E1335" s="84"/>
      <c r="F1335" s="284"/>
      <c r="G1335" s="49"/>
      <c r="H1335" s="284"/>
      <c r="I1335" s="74"/>
      <c r="J1335" s="371"/>
      <c r="K1335" s="77"/>
      <c r="L1335" s="160"/>
      <c r="M1335" s="388"/>
      <c r="N1335" s="375"/>
      <c r="W1335" s="113"/>
      <c r="X1335" s="241"/>
      <c r="Y1335" s="284"/>
      <c r="Z1335" s="207"/>
      <c r="AA1335" s="284"/>
      <c r="AB1335" s="284"/>
      <c r="AC1335" s="137"/>
      <c r="AD1335" s="284"/>
      <c r="AE1335" s="299"/>
      <c r="AF1335" s="299"/>
      <c r="AG1335" s="284"/>
    </row>
    <row r="1336" spans="2:33">
      <c r="B1336" s="86"/>
      <c r="C1336" s="84"/>
      <c r="D1336" s="86"/>
      <c r="E1336" s="84"/>
      <c r="F1336" s="284"/>
      <c r="G1336" s="49"/>
      <c r="H1336" s="284"/>
      <c r="I1336" s="74"/>
      <c r="J1336" s="371"/>
      <c r="K1336" s="77"/>
      <c r="L1336" s="160"/>
      <c r="M1336" s="388"/>
      <c r="N1336" s="375"/>
      <c r="T1336" s="340"/>
      <c r="W1336" s="113"/>
      <c r="X1336" s="241"/>
      <c r="Y1336" s="284"/>
      <c r="Z1336" s="207"/>
      <c r="AA1336" s="284"/>
      <c r="AB1336" s="284"/>
      <c r="AC1336" s="137"/>
      <c r="AD1336" s="284"/>
      <c r="AE1336" s="299"/>
      <c r="AF1336" s="299"/>
      <c r="AG1336" s="284"/>
    </row>
    <row r="1337" spans="2:33">
      <c r="B1337" s="86"/>
      <c r="C1337" s="84"/>
      <c r="D1337" s="86"/>
      <c r="E1337" s="84"/>
      <c r="F1337" s="284"/>
      <c r="G1337" s="49"/>
      <c r="H1337" s="284"/>
      <c r="I1337" s="74"/>
      <c r="J1337" s="371"/>
      <c r="K1337" s="77"/>
      <c r="L1337" s="160"/>
      <c r="M1337" s="388"/>
      <c r="N1337" s="375"/>
      <c r="T1337" s="340"/>
      <c r="W1337" s="113"/>
      <c r="X1337" s="241"/>
      <c r="Y1337" s="284"/>
      <c r="Z1337" s="207"/>
      <c r="AA1337" s="284"/>
      <c r="AB1337" s="284"/>
      <c r="AC1337" s="137"/>
      <c r="AD1337" s="284"/>
      <c r="AE1337" s="299"/>
      <c r="AF1337" s="299"/>
      <c r="AG1337" s="284"/>
    </row>
    <row r="1338" spans="2:33">
      <c r="B1338" s="86"/>
      <c r="C1338" s="84"/>
      <c r="D1338" s="86"/>
      <c r="E1338" s="84"/>
      <c r="F1338" s="284"/>
      <c r="G1338" s="49"/>
      <c r="H1338" s="284"/>
      <c r="I1338" s="74"/>
      <c r="J1338" s="371"/>
      <c r="K1338" s="77"/>
      <c r="L1338" s="160"/>
      <c r="M1338" s="388"/>
      <c r="N1338" s="375"/>
      <c r="T1338" s="340"/>
      <c r="W1338" s="113"/>
      <c r="X1338" s="241"/>
      <c r="Y1338" s="284"/>
      <c r="Z1338" s="207"/>
      <c r="AA1338" s="284"/>
      <c r="AB1338" s="284"/>
      <c r="AC1338" s="137"/>
      <c r="AD1338" s="284"/>
      <c r="AE1338" s="299"/>
      <c r="AF1338" s="299"/>
      <c r="AG1338" s="284"/>
    </row>
    <row r="1339" spans="2:33">
      <c r="B1339" s="86"/>
      <c r="C1339" s="84"/>
      <c r="D1339" s="86"/>
      <c r="E1339" s="84"/>
      <c r="F1339" s="284"/>
      <c r="G1339" s="49"/>
      <c r="H1339" s="284"/>
      <c r="I1339" s="74"/>
      <c r="J1339" s="371"/>
      <c r="K1339" s="77"/>
      <c r="L1339" s="160"/>
      <c r="M1339" s="388"/>
      <c r="N1339" s="375"/>
      <c r="W1339" s="113"/>
      <c r="X1339" s="241"/>
      <c r="Y1339" s="284"/>
      <c r="Z1339" s="207"/>
      <c r="AA1339" s="284"/>
      <c r="AB1339" s="284"/>
      <c r="AC1339" s="137"/>
      <c r="AD1339" s="284"/>
      <c r="AE1339" s="299"/>
      <c r="AF1339" s="299"/>
      <c r="AG1339" s="284"/>
    </row>
    <row r="1340" spans="2:33">
      <c r="B1340" s="86"/>
      <c r="C1340" s="84"/>
      <c r="D1340" s="86"/>
      <c r="E1340" s="84"/>
      <c r="F1340" s="284"/>
      <c r="G1340" s="49"/>
      <c r="H1340" s="284"/>
      <c r="I1340" s="74"/>
      <c r="J1340" s="371"/>
      <c r="K1340" s="77"/>
      <c r="L1340" s="160"/>
      <c r="M1340" s="388"/>
      <c r="N1340" s="375"/>
      <c r="T1340" s="340"/>
      <c r="W1340" s="113"/>
      <c r="X1340" s="241"/>
      <c r="Y1340" s="284"/>
      <c r="Z1340" s="207"/>
      <c r="AA1340" s="284"/>
      <c r="AB1340" s="284"/>
      <c r="AC1340" s="137"/>
      <c r="AD1340" s="284"/>
      <c r="AE1340" s="299"/>
      <c r="AF1340" s="299"/>
      <c r="AG1340" s="284"/>
    </row>
    <row r="1341" spans="2:33">
      <c r="B1341" s="86"/>
      <c r="C1341" s="84"/>
      <c r="D1341" s="86"/>
      <c r="E1341" s="84"/>
      <c r="F1341" s="284"/>
      <c r="G1341" s="49"/>
      <c r="H1341" s="284"/>
      <c r="I1341" s="74"/>
      <c r="J1341" s="371"/>
      <c r="K1341" s="77"/>
      <c r="L1341" s="160"/>
      <c r="M1341" s="388"/>
      <c r="N1341" s="375"/>
      <c r="T1341" s="340"/>
      <c r="W1341" s="113"/>
      <c r="X1341" s="241"/>
      <c r="Y1341" s="284"/>
      <c r="Z1341" s="207"/>
      <c r="AA1341" s="284"/>
      <c r="AB1341" s="284"/>
      <c r="AC1341" s="137"/>
      <c r="AD1341" s="284"/>
      <c r="AE1341" s="299"/>
      <c r="AF1341" s="299"/>
      <c r="AG1341" s="284"/>
    </row>
    <row r="1342" spans="2:33">
      <c r="B1342" s="86"/>
      <c r="C1342" s="84"/>
      <c r="D1342" s="86"/>
      <c r="E1342" s="84"/>
      <c r="F1342" s="284"/>
      <c r="G1342" s="49"/>
      <c r="H1342" s="284"/>
      <c r="I1342" s="74"/>
      <c r="J1342" s="371"/>
      <c r="K1342" s="77"/>
      <c r="L1342" s="160"/>
      <c r="M1342" s="388"/>
      <c r="N1342" s="375"/>
      <c r="W1342" s="113"/>
      <c r="X1342" s="241"/>
      <c r="Y1342" s="284"/>
      <c r="Z1342" s="207"/>
      <c r="AA1342" s="284"/>
      <c r="AB1342" s="284"/>
      <c r="AC1342" s="137"/>
      <c r="AD1342" s="284"/>
      <c r="AE1342" s="299"/>
      <c r="AF1342" s="299"/>
      <c r="AG1342" s="284"/>
    </row>
    <row r="1343" spans="2:33">
      <c r="B1343" s="86"/>
      <c r="C1343" s="84"/>
      <c r="D1343" s="86"/>
      <c r="E1343" s="84"/>
      <c r="F1343" s="284"/>
      <c r="G1343" s="49"/>
      <c r="H1343" s="284"/>
      <c r="I1343" s="74"/>
      <c r="J1343" s="371"/>
      <c r="K1343" s="77"/>
      <c r="L1343" s="160"/>
      <c r="M1343" s="388"/>
      <c r="N1343" s="375"/>
      <c r="T1343" s="340"/>
      <c r="W1343" s="113"/>
      <c r="X1343" s="241"/>
      <c r="Y1343" s="284"/>
      <c r="Z1343" s="207"/>
      <c r="AA1343" s="284"/>
      <c r="AB1343" s="284"/>
      <c r="AC1343" s="137"/>
      <c r="AD1343" s="284"/>
      <c r="AE1343" s="299"/>
      <c r="AF1343" s="299"/>
      <c r="AG1343" s="284"/>
    </row>
    <row r="1344" spans="2:33">
      <c r="B1344" s="86"/>
      <c r="C1344" s="84"/>
      <c r="D1344" s="86"/>
      <c r="E1344" s="84"/>
      <c r="F1344" s="284"/>
      <c r="G1344" s="49"/>
      <c r="H1344" s="284"/>
      <c r="I1344" s="74"/>
      <c r="J1344" s="371"/>
      <c r="K1344" s="77"/>
      <c r="L1344" s="160"/>
      <c r="M1344" s="388"/>
      <c r="N1344" s="375"/>
      <c r="W1344" s="113"/>
      <c r="X1344" s="241"/>
      <c r="Y1344" s="284"/>
      <c r="Z1344" s="207"/>
      <c r="AA1344" s="284"/>
      <c r="AB1344" s="284"/>
      <c r="AC1344" s="137"/>
      <c r="AD1344" s="284"/>
      <c r="AE1344" s="299"/>
      <c r="AF1344" s="299"/>
      <c r="AG1344" s="284"/>
    </row>
    <row r="1345" spans="2:33">
      <c r="B1345" s="86"/>
      <c r="C1345" s="84"/>
      <c r="D1345" s="86"/>
      <c r="E1345" s="84"/>
      <c r="F1345" s="284"/>
      <c r="G1345" s="49"/>
      <c r="H1345" s="284"/>
      <c r="I1345" s="74"/>
      <c r="J1345" s="371"/>
      <c r="K1345" s="77"/>
      <c r="L1345" s="160"/>
      <c r="M1345" s="388"/>
      <c r="N1345" s="375"/>
      <c r="T1345" s="340"/>
      <c r="W1345" s="113"/>
      <c r="X1345" s="241"/>
      <c r="Y1345" s="284"/>
      <c r="Z1345" s="207"/>
      <c r="AA1345" s="284"/>
      <c r="AB1345" s="284"/>
      <c r="AC1345" s="137"/>
      <c r="AD1345" s="284"/>
      <c r="AE1345" s="299"/>
      <c r="AF1345" s="299"/>
      <c r="AG1345" s="284"/>
    </row>
    <row r="1346" spans="2:33">
      <c r="B1346" s="86"/>
      <c r="C1346" s="84"/>
      <c r="D1346" s="86"/>
      <c r="E1346" s="84"/>
      <c r="F1346" s="284"/>
      <c r="G1346" s="49"/>
      <c r="H1346" s="284"/>
      <c r="I1346" s="74"/>
      <c r="J1346" s="371"/>
      <c r="K1346" s="77"/>
      <c r="L1346" s="160"/>
      <c r="M1346" s="388"/>
      <c r="N1346" s="375"/>
      <c r="T1346" s="340"/>
      <c r="W1346" s="113"/>
      <c r="X1346" s="241"/>
      <c r="Y1346" s="284"/>
      <c r="Z1346" s="207"/>
      <c r="AA1346" s="284"/>
      <c r="AB1346" s="284"/>
      <c r="AC1346" s="137"/>
      <c r="AD1346" s="284"/>
      <c r="AE1346" s="299"/>
      <c r="AF1346" s="299"/>
      <c r="AG1346" s="284"/>
    </row>
    <row r="1347" spans="2:33">
      <c r="B1347" s="86"/>
      <c r="C1347" s="84"/>
      <c r="D1347" s="86"/>
      <c r="E1347" s="84"/>
      <c r="F1347" s="284"/>
      <c r="G1347" s="49"/>
      <c r="H1347" s="284"/>
      <c r="I1347" s="74"/>
      <c r="J1347" s="371"/>
      <c r="K1347" s="77"/>
      <c r="L1347" s="160"/>
      <c r="M1347" s="388"/>
      <c r="N1347" s="375"/>
      <c r="T1347" s="340"/>
      <c r="W1347" s="113"/>
      <c r="X1347" s="241"/>
      <c r="Y1347" s="284"/>
      <c r="Z1347" s="207"/>
      <c r="AA1347" s="284"/>
      <c r="AB1347" s="284"/>
      <c r="AC1347" s="137"/>
      <c r="AD1347" s="284"/>
      <c r="AE1347" s="299"/>
      <c r="AF1347" s="299"/>
      <c r="AG1347" s="284"/>
    </row>
    <row r="1348" spans="2:33">
      <c r="B1348" s="86"/>
      <c r="C1348" s="84"/>
      <c r="D1348" s="86"/>
      <c r="E1348" s="84"/>
      <c r="F1348" s="284"/>
      <c r="G1348" s="49"/>
      <c r="H1348" s="284"/>
      <c r="I1348" s="74"/>
      <c r="J1348" s="371"/>
      <c r="K1348" s="77"/>
      <c r="L1348" s="160"/>
      <c r="M1348" s="388"/>
      <c r="N1348" s="375"/>
      <c r="T1348" s="340"/>
      <c r="W1348" s="113"/>
      <c r="X1348" s="241"/>
      <c r="Y1348" s="284"/>
      <c r="Z1348" s="207"/>
      <c r="AA1348" s="284"/>
      <c r="AB1348" s="284"/>
      <c r="AC1348" s="137"/>
      <c r="AD1348" s="284"/>
      <c r="AE1348" s="299"/>
      <c r="AF1348" s="299"/>
      <c r="AG1348" s="284"/>
    </row>
    <row r="1349" spans="2:33">
      <c r="B1349" s="86"/>
      <c r="C1349" s="84"/>
      <c r="D1349" s="86"/>
      <c r="E1349" s="84"/>
      <c r="F1349" s="284"/>
      <c r="G1349" s="49"/>
      <c r="H1349" s="284"/>
      <c r="I1349" s="74"/>
      <c r="J1349" s="371"/>
      <c r="K1349" s="77"/>
      <c r="L1349" s="160"/>
      <c r="M1349" s="388"/>
      <c r="N1349" s="375"/>
      <c r="T1349" s="340"/>
      <c r="W1349" s="113"/>
      <c r="X1349" s="241"/>
      <c r="Y1349" s="284"/>
      <c r="Z1349" s="207"/>
      <c r="AA1349" s="284"/>
      <c r="AB1349" s="284"/>
      <c r="AC1349" s="137"/>
      <c r="AD1349" s="284"/>
      <c r="AE1349" s="299"/>
      <c r="AF1349" s="299"/>
      <c r="AG1349" s="284"/>
    </row>
    <row r="1350" spans="2:33">
      <c r="B1350" s="86"/>
      <c r="C1350" s="84"/>
      <c r="D1350" s="86"/>
      <c r="E1350" s="84"/>
      <c r="F1350" s="284"/>
      <c r="G1350" s="49"/>
      <c r="H1350" s="284"/>
      <c r="I1350" s="74"/>
      <c r="J1350" s="371"/>
      <c r="K1350" s="77"/>
      <c r="L1350" s="160"/>
      <c r="M1350" s="388"/>
      <c r="N1350" s="375"/>
      <c r="T1350" s="340"/>
      <c r="W1350" s="113"/>
      <c r="X1350" s="241"/>
      <c r="Y1350" s="284"/>
      <c r="Z1350" s="207"/>
      <c r="AA1350" s="284"/>
      <c r="AB1350" s="284"/>
      <c r="AC1350" s="137"/>
      <c r="AD1350" s="284"/>
      <c r="AE1350" s="299"/>
      <c r="AF1350" s="299"/>
      <c r="AG1350" s="284"/>
    </row>
    <row r="1351" spans="2:33">
      <c r="B1351" s="86"/>
      <c r="C1351" s="84"/>
      <c r="D1351" s="86"/>
      <c r="E1351" s="84"/>
      <c r="F1351" s="284"/>
      <c r="G1351" s="49"/>
      <c r="H1351" s="284"/>
      <c r="I1351" s="74"/>
      <c r="J1351" s="371"/>
      <c r="K1351" s="77"/>
      <c r="L1351" s="160"/>
      <c r="M1351" s="388"/>
      <c r="N1351" s="375"/>
      <c r="T1351" s="340"/>
      <c r="W1351" s="113"/>
      <c r="X1351" s="241"/>
      <c r="Y1351" s="284"/>
      <c r="Z1351" s="207"/>
      <c r="AA1351" s="284"/>
      <c r="AB1351" s="284"/>
      <c r="AC1351" s="137"/>
      <c r="AD1351" s="284"/>
      <c r="AE1351" s="299"/>
      <c r="AF1351" s="299"/>
      <c r="AG1351" s="284"/>
    </row>
    <row r="1352" spans="2:33">
      <c r="B1352" s="86"/>
      <c r="C1352" s="84"/>
      <c r="D1352" s="86"/>
      <c r="E1352" s="84"/>
      <c r="F1352" s="284"/>
      <c r="G1352" s="49"/>
      <c r="H1352" s="284"/>
      <c r="I1352" s="74"/>
      <c r="J1352" s="371"/>
      <c r="K1352" s="77"/>
      <c r="L1352" s="160"/>
      <c r="M1352" s="388"/>
      <c r="N1352" s="375"/>
      <c r="T1352" s="340"/>
      <c r="W1352" s="113"/>
      <c r="X1352" s="241"/>
      <c r="Y1352" s="284"/>
      <c r="Z1352" s="207"/>
      <c r="AA1352" s="284"/>
      <c r="AB1352" s="284"/>
      <c r="AC1352" s="137"/>
      <c r="AD1352" s="284"/>
      <c r="AE1352" s="299"/>
      <c r="AF1352" s="299"/>
      <c r="AG1352" s="284"/>
    </row>
    <row r="1353" spans="2:33">
      <c r="B1353" s="86"/>
      <c r="C1353" s="84"/>
      <c r="D1353" s="86"/>
      <c r="E1353" s="84"/>
      <c r="F1353" s="284"/>
      <c r="G1353" s="49"/>
      <c r="H1353" s="284"/>
      <c r="I1353" s="74"/>
      <c r="J1353" s="371"/>
      <c r="K1353" s="77"/>
      <c r="L1353" s="160"/>
      <c r="M1353" s="388"/>
      <c r="N1353" s="375"/>
      <c r="W1353" s="113"/>
      <c r="X1353" s="241"/>
      <c r="Y1353" s="284"/>
      <c r="Z1353" s="207"/>
      <c r="AA1353" s="284"/>
      <c r="AB1353" s="284"/>
      <c r="AC1353" s="137"/>
      <c r="AD1353" s="284"/>
      <c r="AE1353" s="299"/>
      <c r="AF1353" s="299"/>
      <c r="AG1353" s="284"/>
    </row>
    <row r="1354" spans="2:33">
      <c r="B1354" s="86"/>
      <c r="C1354" s="84"/>
      <c r="D1354" s="86"/>
      <c r="E1354" s="84"/>
      <c r="F1354" s="284"/>
      <c r="G1354" s="49"/>
      <c r="H1354" s="284"/>
      <c r="I1354" s="74"/>
      <c r="J1354" s="371"/>
      <c r="K1354" s="77"/>
      <c r="L1354" s="160"/>
      <c r="M1354" s="388"/>
      <c r="N1354" s="375"/>
      <c r="W1354" s="113"/>
      <c r="X1354" s="241"/>
      <c r="Y1354" s="284"/>
      <c r="Z1354" s="207"/>
      <c r="AA1354" s="284"/>
      <c r="AB1354" s="284"/>
      <c r="AC1354" s="137"/>
      <c r="AD1354" s="284"/>
      <c r="AE1354" s="299"/>
      <c r="AF1354" s="299"/>
      <c r="AG1354" s="284"/>
    </row>
    <row r="1355" spans="2:33">
      <c r="B1355" s="86"/>
      <c r="C1355" s="84"/>
      <c r="D1355" s="86"/>
      <c r="E1355" s="84"/>
      <c r="F1355" s="284"/>
      <c r="G1355" s="49"/>
      <c r="H1355" s="284"/>
      <c r="I1355" s="74"/>
      <c r="J1355" s="371"/>
      <c r="K1355" s="77"/>
      <c r="L1355" s="160"/>
      <c r="M1355" s="388"/>
      <c r="N1355" s="375"/>
      <c r="W1355" s="113"/>
      <c r="X1355" s="241"/>
      <c r="Y1355" s="284"/>
      <c r="Z1355" s="207"/>
      <c r="AA1355" s="284"/>
      <c r="AB1355" s="284"/>
      <c r="AC1355" s="137"/>
      <c r="AD1355" s="284"/>
      <c r="AE1355" s="299"/>
      <c r="AF1355" s="299"/>
      <c r="AG1355" s="284"/>
    </row>
    <row r="1356" spans="2:33">
      <c r="B1356" s="86"/>
      <c r="C1356" s="84"/>
      <c r="D1356" s="86"/>
      <c r="E1356" s="84"/>
      <c r="F1356" s="284"/>
      <c r="G1356" s="49"/>
      <c r="H1356" s="284"/>
      <c r="I1356" s="74"/>
      <c r="J1356" s="371"/>
      <c r="K1356" s="77"/>
      <c r="L1356" s="160"/>
      <c r="M1356" s="388"/>
      <c r="N1356" s="375"/>
      <c r="W1356" s="113"/>
      <c r="X1356" s="241"/>
      <c r="Y1356" s="284"/>
      <c r="Z1356" s="207"/>
      <c r="AA1356" s="284"/>
      <c r="AB1356" s="284"/>
      <c r="AC1356" s="137"/>
      <c r="AD1356" s="284"/>
      <c r="AE1356" s="299"/>
      <c r="AF1356" s="299"/>
      <c r="AG1356" s="284"/>
    </row>
    <row r="1357" spans="2:33">
      <c r="B1357" s="86"/>
      <c r="C1357" s="84"/>
      <c r="D1357" s="86"/>
      <c r="E1357" s="84"/>
      <c r="F1357" s="284"/>
      <c r="G1357" s="49"/>
      <c r="H1357" s="284"/>
      <c r="I1357" s="74"/>
      <c r="J1357" s="371"/>
      <c r="K1357" s="77"/>
      <c r="L1357" s="160"/>
      <c r="M1357" s="388"/>
      <c r="N1357" s="375"/>
      <c r="W1357" s="113"/>
      <c r="X1357" s="241"/>
      <c r="Y1357" s="284"/>
      <c r="Z1357" s="207"/>
      <c r="AA1357" s="284"/>
      <c r="AB1357" s="284"/>
      <c r="AC1357" s="137"/>
      <c r="AD1357" s="284"/>
      <c r="AE1357" s="299"/>
      <c r="AF1357" s="299"/>
      <c r="AG1357" s="284"/>
    </row>
    <row r="1358" spans="2:33">
      <c r="B1358" s="86"/>
      <c r="C1358" s="84"/>
      <c r="D1358" s="86"/>
      <c r="E1358" s="84"/>
      <c r="F1358" s="284"/>
      <c r="G1358" s="49"/>
      <c r="H1358" s="284"/>
      <c r="I1358" s="74"/>
      <c r="J1358" s="371"/>
      <c r="K1358" s="77"/>
      <c r="L1358" s="160"/>
      <c r="M1358" s="388"/>
      <c r="N1358" s="375"/>
      <c r="W1358" s="113"/>
      <c r="X1358" s="241"/>
      <c r="Y1358" s="284"/>
      <c r="Z1358" s="207"/>
      <c r="AA1358" s="284"/>
      <c r="AB1358" s="284"/>
      <c r="AC1358" s="137"/>
      <c r="AD1358" s="284"/>
      <c r="AE1358" s="299"/>
      <c r="AF1358" s="299"/>
      <c r="AG1358" s="284"/>
    </row>
    <row r="1359" spans="2:33">
      <c r="B1359" s="86"/>
      <c r="C1359" s="84"/>
      <c r="D1359" s="86"/>
      <c r="E1359" s="84"/>
      <c r="F1359" s="284"/>
      <c r="G1359" s="49"/>
      <c r="H1359" s="284"/>
      <c r="I1359" s="74"/>
      <c r="J1359" s="371"/>
      <c r="K1359" s="77"/>
      <c r="L1359" s="160"/>
      <c r="M1359" s="388"/>
      <c r="N1359" s="375"/>
      <c r="W1359" s="113"/>
      <c r="X1359" s="241"/>
      <c r="Y1359" s="284"/>
      <c r="Z1359" s="207"/>
      <c r="AA1359" s="284"/>
      <c r="AB1359" s="284"/>
      <c r="AC1359" s="137"/>
      <c r="AD1359" s="284"/>
      <c r="AE1359" s="299"/>
      <c r="AF1359" s="299"/>
      <c r="AG1359" s="284"/>
    </row>
    <row r="1360" spans="2:33">
      <c r="B1360" s="86"/>
      <c r="C1360" s="84"/>
      <c r="D1360" s="86"/>
      <c r="E1360" s="84"/>
      <c r="F1360" s="284"/>
      <c r="G1360" s="49"/>
      <c r="H1360" s="284"/>
      <c r="I1360" s="74"/>
      <c r="J1360" s="371"/>
      <c r="K1360" s="77"/>
      <c r="L1360" s="160"/>
      <c r="M1360" s="388"/>
      <c r="N1360" s="375"/>
      <c r="W1360" s="113"/>
      <c r="X1360" s="241"/>
      <c r="Y1360" s="284"/>
      <c r="Z1360" s="207"/>
      <c r="AA1360" s="284"/>
      <c r="AB1360" s="284"/>
      <c r="AC1360" s="137"/>
      <c r="AD1360" s="284"/>
      <c r="AE1360" s="299"/>
      <c r="AF1360" s="299"/>
      <c r="AG1360" s="284"/>
    </row>
    <row r="1361" spans="2:33">
      <c r="B1361" s="86"/>
      <c r="C1361" s="84"/>
      <c r="D1361" s="86"/>
      <c r="E1361" s="84"/>
      <c r="F1361" s="284"/>
      <c r="G1361" s="49"/>
      <c r="H1361" s="284"/>
      <c r="I1361" s="74"/>
      <c r="J1361" s="371"/>
      <c r="K1361" s="77"/>
      <c r="L1361" s="160"/>
      <c r="M1361" s="388"/>
      <c r="N1361" s="375"/>
      <c r="T1361" s="340"/>
      <c r="W1361" s="113"/>
      <c r="X1361" s="241"/>
      <c r="Y1361" s="284"/>
      <c r="Z1361" s="207"/>
      <c r="AA1361" s="284"/>
      <c r="AB1361" s="284"/>
      <c r="AC1361" s="137"/>
      <c r="AD1361" s="284"/>
      <c r="AE1361" s="299"/>
      <c r="AF1361" s="299"/>
      <c r="AG1361" s="284"/>
    </row>
    <row r="1362" spans="2:33">
      <c r="B1362" s="86"/>
      <c r="C1362" s="84"/>
      <c r="D1362" s="86"/>
      <c r="E1362" s="84"/>
      <c r="F1362" s="284"/>
      <c r="G1362" s="49"/>
      <c r="H1362" s="284"/>
      <c r="I1362" s="74"/>
      <c r="J1362" s="371"/>
      <c r="K1362" s="77"/>
      <c r="L1362" s="160"/>
      <c r="M1362" s="388"/>
      <c r="N1362" s="375"/>
      <c r="T1362" s="340"/>
      <c r="W1362" s="113"/>
      <c r="X1362" s="241"/>
      <c r="Y1362" s="284"/>
      <c r="Z1362" s="207"/>
      <c r="AA1362" s="284"/>
      <c r="AB1362" s="284"/>
      <c r="AC1362" s="137"/>
      <c r="AD1362" s="284"/>
      <c r="AE1362" s="299"/>
      <c r="AF1362" s="299"/>
      <c r="AG1362" s="284"/>
    </row>
    <row r="1363" spans="2:33">
      <c r="B1363" s="86"/>
      <c r="C1363" s="84"/>
      <c r="D1363" s="86"/>
      <c r="E1363" s="84"/>
      <c r="F1363" s="284"/>
      <c r="G1363" s="49"/>
      <c r="H1363" s="284"/>
      <c r="I1363" s="74"/>
      <c r="J1363" s="371"/>
      <c r="K1363" s="77"/>
      <c r="L1363" s="160"/>
      <c r="M1363" s="388"/>
      <c r="N1363" s="375"/>
      <c r="T1363" s="340"/>
      <c r="W1363" s="113"/>
      <c r="X1363" s="241"/>
      <c r="Y1363" s="284"/>
      <c r="Z1363" s="207"/>
      <c r="AA1363" s="284"/>
      <c r="AB1363" s="284"/>
      <c r="AC1363" s="137"/>
      <c r="AD1363" s="284"/>
      <c r="AE1363" s="299"/>
      <c r="AF1363" s="299"/>
      <c r="AG1363" s="284"/>
    </row>
    <row r="1364" spans="2:33">
      <c r="B1364" s="86"/>
      <c r="C1364" s="84"/>
      <c r="D1364" s="86"/>
      <c r="E1364" s="84"/>
      <c r="F1364" s="284"/>
      <c r="G1364" s="49"/>
      <c r="H1364" s="284"/>
      <c r="I1364" s="74"/>
      <c r="J1364" s="371"/>
      <c r="K1364" s="77"/>
      <c r="L1364" s="160"/>
      <c r="M1364" s="388"/>
      <c r="N1364" s="375"/>
      <c r="W1364" s="113"/>
      <c r="X1364" s="241"/>
      <c r="Y1364" s="284"/>
      <c r="Z1364" s="207"/>
      <c r="AA1364" s="284"/>
      <c r="AB1364" s="284"/>
      <c r="AC1364" s="137"/>
      <c r="AD1364" s="284"/>
      <c r="AE1364" s="299"/>
      <c r="AF1364" s="299"/>
      <c r="AG1364" s="284"/>
    </row>
    <row r="1365" spans="2:33">
      <c r="B1365" s="86"/>
      <c r="C1365" s="84"/>
      <c r="D1365" s="86"/>
      <c r="E1365" s="84"/>
      <c r="F1365" s="284"/>
      <c r="G1365" s="49"/>
      <c r="H1365" s="284"/>
      <c r="I1365" s="74"/>
      <c r="J1365" s="371"/>
      <c r="K1365" s="77"/>
      <c r="L1365" s="160"/>
      <c r="M1365" s="388"/>
      <c r="N1365" s="375"/>
      <c r="T1365" s="340"/>
      <c r="W1365" s="113"/>
      <c r="X1365" s="241"/>
      <c r="Y1365" s="284"/>
      <c r="Z1365" s="207"/>
      <c r="AA1365" s="284"/>
      <c r="AB1365" s="284"/>
      <c r="AC1365" s="137"/>
      <c r="AD1365" s="284"/>
      <c r="AE1365" s="299"/>
      <c r="AF1365" s="299"/>
      <c r="AG1365" s="284"/>
    </row>
    <row r="1366" spans="2:33">
      <c r="B1366" s="86"/>
      <c r="C1366" s="84"/>
      <c r="D1366" s="86"/>
      <c r="E1366" s="84"/>
      <c r="F1366" s="284"/>
      <c r="G1366" s="49"/>
      <c r="H1366" s="284"/>
      <c r="I1366" s="74"/>
      <c r="J1366" s="371"/>
      <c r="K1366" s="77"/>
      <c r="L1366" s="160"/>
      <c r="M1366" s="388"/>
      <c r="N1366" s="375"/>
      <c r="T1366" s="340"/>
      <c r="W1366" s="113"/>
      <c r="X1366" s="241"/>
      <c r="Y1366" s="284"/>
      <c r="Z1366" s="207"/>
      <c r="AA1366" s="284"/>
      <c r="AB1366" s="284"/>
      <c r="AC1366" s="137"/>
      <c r="AD1366" s="284"/>
      <c r="AE1366" s="299"/>
      <c r="AF1366" s="299"/>
      <c r="AG1366" s="284"/>
    </row>
    <row r="1367" spans="2:33">
      <c r="B1367" s="86"/>
      <c r="C1367" s="84"/>
      <c r="D1367" s="86"/>
      <c r="E1367" s="84"/>
      <c r="F1367" s="284"/>
      <c r="G1367" s="49"/>
      <c r="H1367" s="284"/>
      <c r="I1367" s="74"/>
      <c r="J1367" s="371"/>
      <c r="K1367" s="77"/>
      <c r="L1367" s="160"/>
      <c r="M1367" s="388"/>
      <c r="N1367" s="375"/>
      <c r="T1367" s="340"/>
      <c r="W1367" s="113"/>
      <c r="X1367" s="241"/>
      <c r="Y1367" s="284"/>
      <c r="Z1367" s="207"/>
      <c r="AA1367" s="284"/>
      <c r="AB1367" s="284"/>
      <c r="AC1367" s="137"/>
      <c r="AD1367" s="284"/>
      <c r="AE1367" s="299"/>
      <c r="AF1367" s="299"/>
      <c r="AG1367" s="284"/>
    </row>
    <row r="1368" spans="2:33">
      <c r="B1368" s="86"/>
      <c r="C1368" s="84"/>
      <c r="D1368" s="86"/>
      <c r="E1368" s="84"/>
      <c r="F1368" s="284"/>
      <c r="G1368" s="49"/>
      <c r="H1368" s="284"/>
      <c r="I1368" s="74"/>
      <c r="J1368" s="371"/>
      <c r="K1368" s="77"/>
      <c r="L1368" s="160"/>
      <c r="M1368" s="388"/>
      <c r="N1368" s="375"/>
      <c r="T1368" s="340"/>
      <c r="W1368" s="113"/>
      <c r="X1368" s="241"/>
      <c r="Y1368" s="284"/>
      <c r="Z1368" s="207"/>
      <c r="AA1368" s="284"/>
      <c r="AB1368" s="284"/>
      <c r="AC1368" s="137"/>
      <c r="AD1368" s="284"/>
      <c r="AE1368" s="299"/>
      <c r="AF1368" s="299"/>
      <c r="AG1368" s="284"/>
    </row>
    <row r="1369" spans="2:33">
      <c r="B1369" s="86"/>
      <c r="C1369" s="84"/>
      <c r="D1369" s="86"/>
      <c r="E1369" s="84"/>
      <c r="F1369" s="284"/>
      <c r="G1369" s="49"/>
      <c r="H1369" s="284"/>
      <c r="I1369" s="74"/>
      <c r="J1369" s="371"/>
      <c r="K1369" s="77"/>
      <c r="L1369" s="160"/>
      <c r="M1369" s="388"/>
      <c r="N1369" s="375"/>
      <c r="W1369" s="113"/>
      <c r="X1369" s="241"/>
      <c r="Y1369" s="284"/>
      <c r="Z1369" s="207"/>
      <c r="AA1369" s="284"/>
      <c r="AB1369" s="284"/>
      <c r="AC1369" s="137"/>
      <c r="AD1369" s="284"/>
      <c r="AE1369" s="299"/>
      <c r="AF1369" s="299"/>
      <c r="AG1369" s="284"/>
    </row>
    <row r="1370" spans="2:33">
      <c r="B1370" s="86"/>
      <c r="C1370" s="84"/>
      <c r="D1370" s="86"/>
      <c r="E1370" s="84"/>
      <c r="F1370" s="284"/>
      <c r="G1370" s="49"/>
      <c r="H1370" s="284"/>
      <c r="I1370" s="74"/>
      <c r="J1370" s="371"/>
      <c r="K1370" s="77"/>
      <c r="L1370" s="160"/>
      <c r="M1370" s="388"/>
      <c r="N1370" s="375"/>
      <c r="W1370" s="113"/>
      <c r="X1370" s="241"/>
      <c r="Y1370" s="284"/>
      <c r="Z1370" s="207"/>
      <c r="AA1370" s="284"/>
      <c r="AB1370" s="284"/>
      <c r="AC1370" s="137"/>
      <c r="AD1370" s="284"/>
      <c r="AE1370" s="299"/>
      <c r="AF1370" s="299"/>
      <c r="AG1370" s="284"/>
    </row>
    <row r="1371" spans="2:33">
      <c r="B1371" s="86"/>
      <c r="C1371" s="84"/>
      <c r="D1371" s="86"/>
      <c r="E1371" s="84"/>
      <c r="F1371" s="284"/>
      <c r="G1371" s="49"/>
      <c r="H1371" s="284"/>
      <c r="I1371" s="74"/>
      <c r="J1371" s="371"/>
      <c r="K1371" s="77"/>
      <c r="L1371" s="160"/>
      <c r="M1371" s="388"/>
      <c r="N1371" s="375"/>
      <c r="W1371" s="113"/>
      <c r="X1371" s="241"/>
      <c r="Y1371" s="284"/>
      <c r="Z1371" s="207"/>
      <c r="AA1371" s="284"/>
      <c r="AB1371" s="284"/>
      <c r="AC1371" s="137"/>
      <c r="AD1371" s="284"/>
      <c r="AE1371" s="299"/>
      <c r="AF1371" s="299"/>
      <c r="AG1371" s="284"/>
    </row>
    <row r="1372" spans="2:33">
      <c r="B1372" s="86"/>
      <c r="C1372" s="84"/>
      <c r="D1372" s="86"/>
      <c r="E1372" s="84"/>
      <c r="F1372" s="284"/>
      <c r="G1372" s="49"/>
      <c r="H1372" s="284"/>
      <c r="I1372" s="74"/>
      <c r="J1372" s="371"/>
      <c r="K1372" s="77"/>
      <c r="L1372" s="160"/>
      <c r="M1372" s="388"/>
      <c r="N1372" s="375"/>
      <c r="W1372" s="113"/>
      <c r="X1372" s="241"/>
      <c r="Y1372" s="284"/>
      <c r="Z1372" s="207"/>
      <c r="AA1372" s="284"/>
      <c r="AB1372" s="284"/>
      <c r="AC1372" s="137"/>
      <c r="AD1372" s="284"/>
      <c r="AE1372" s="299"/>
      <c r="AF1372" s="299"/>
      <c r="AG1372" s="284"/>
    </row>
    <row r="1373" spans="2:33">
      <c r="B1373" s="86"/>
      <c r="C1373" s="84"/>
      <c r="D1373" s="86"/>
      <c r="E1373" s="84"/>
      <c r="F1373" s="284"/>
      <c r="G1373" s="49"/>
      <c r="H1373" s="284"/>
      <c r="I1373" s="74"/>
      <c r="J1373" s="371"/>
      <c r="K1373" s="77"/>
      <c r="L1373" s="160"/>
      <c r="M1373" s="388"/>
      <c r="N1373" s="375"/>
      <c r="W1373" s="113"/>
      <c r="X1373" s="241"/>
      <c r="Y1373" s="284"/>
      <c r="Z1373" s="207"/>
      <c r="AA1373" s="284"/>
      <c r="AB1373" s="284"/>
      <c r="AC1373" s="137"/>
      <c r="AD1373" s="284"/>
      <c r="AE1373" s="299"/>
      <c r="AF1373" s="299"/>
      <c r="AG1373" s="284"/>
    </row>
    <row r="1374" spans="2:33">
      <c r="B1374" s="86"/>
      <c r="C1374" s="84"/>
      <c r="D1374" s="86"/>
      <c r="E1374" s="84"/>
      <c r="F1374" s="284"/>
      <c r="G1374" s="49"/>
      <c r="H1374" s="284"/>
      <c r="I1374" s="74"/>
      <c r="J1374" s="371"/>
      <c r="K1374" s="77"/>
      <c r="L1374" s="160"/>
      <c r="M1374" s="388"/>
      <c r="N1374" s="375"/>
      <c r="W1374" s="113"/>
      <c r="X1374" s="241"/>
      <c r="Y1374" s="284"/>
      <c r="Z1374" s="207"/>
      <c r="AA1374" s="284"/>
      <c r="AB1374" s="284"/>
      <c r="AC1374" s="137"/>
      <c r="AD1374" s="284"/>
      <c r="AE1374" s="299"/>
      <c r="AF1374" s="299"/>
      <c r="AG1374" s="284"/>
    </row>
    <row r="1375" spans="2:33">
      <c r="B1375" s="86"/>
      <c r="C1375" s="84"/>
      <c r="D1375" s="86"/>
      <c r="E1375" s="84"/>
      <c r="F1375" s="284"/>
      <c r="G1375" s="49"/>
      <c r="H1375" s="284"/>
      <c r="I1375" s="74"/>
      <c r="J1375" s="371"/>
      <c r="K1375" s="77"/>
      <c r="L1375" s="160"/>
      <c r="M1375" s="388"/>
      <c r="N1375" s="375"/>
      <c r="W1375" s="113"/>
      <c r="X1375" s="241"/>
      <c r="Y1375" s="284"/>
      <c r="Z1375" s="207"/>
      <c r="AA1375" s="284"/>
      <c r="AB1375" s="284"/>
      <c r="AC1375" s="137"/>
      <c r="AD1375" s="284"/>
      <c r="AE1375" s="299"/>
      <c r="AF1375" s="299"/>
      <c r="AG1375" s="284"/>
    </row>
    <row r="1376" spans="2:33">
      <c r="B1376" s="86"/>
      <c r="C1376" s="84"/>
      <c r="D1376" s="86"/>
      <c r="E1376" s="84"/>
      <c r="F1376" s="284"/>
      <c r="G1376" s="49"/>
      <c r="H1376" s="284"/>
      <c r="I1376" s="74"/>
      <c r="J1376" s="371"/>
      <c r="K1376" s="77"/>
      <c r="L1376" s="160"/>
      <c r="M1376" s="388"/>
      <c r="N1376" s="375"/>
      <c r="W1376" s="113"/>
      <c r="X1376" s="241"/>
      <c r="Y1376" s="284"/>
      <c r="Z1376" s="207"/>
      <c r="AA1376" s="284"/>
      <c r="AB1376" s="284"/>
      <c r="AC1376" s="137"/>
      <c r="AD1376" s="284"/>
      <c r="AE1376" s="299"/>
      <c r="AF1376" s="299"/>
      <c r="AG1376" s="284"/>
    </row>
    <row r="1377" spans="2:33">
      <c r="B1377" s="86"/>
      <c r="C1377" s="84"/>
      <c r="D1377" s="86"/>
      <c r="E1377" s="84"/>
      <c r="F1377" s="284"/>
      <c r="G1377" s="49"/>
      <c r="H1377" s="284"/>
      <c r="I1377" s="74"/>
      <c r="J1377" s="371"/>
      <c r="K1377" s="77"/>
      <c r="L1377" s="160"/>
      <c r="M1377" s="388"/>
      <c r="N1377" s="375"/>
      <c r="W1377" s="113"/>
      <c r="X1377" s="241"/>
      <c r="Y1377" s="284"/>
      <c r="Z1377" s="207"/>
      <c r="AA1377" s="284"/>
      <c r="AB1377" s="284"/>
      <c r="AC1377" s="137"/>
      <c r="AD1377" s="284"/>
      <c r="AE1377" s="299"/>
      <c r="AF1377" s="299"/>
      <c r="AG1377" s="284"/>
    </row>
    <row r="1378" spans="2:33">
      <c r="B1378" s="86"/>
      <c r="C1378" s="84"/>
      <c r="D1378" s="86"/>
      <c r="E1378" s="84"/>
      <c r="F1378" s="284"/>
      <c r="G1378" s="49"/>
      <c r="H1378" s="284"/>
      <c r="I1378" s="74"/>
      <c r="J1378" s="371"/>
      <c r="K1378" s="77"/>
      <c r="L1378" s="160"/>
      <c r="M1378" s="388"/>
      <c r="N1378" s="375"/>
      <c r="W1378" s="113"/>
      <c r="X1378" s="241"/>
      <c r="Y1378" s="284"/>
      <c r="Z1378" s="207"/>
      <c r="AA1378" s="284"/>
      <c r="AB1378" s="284"/>
      <c r="AC1378" s="137"/>
      <c r="AD1378" s="284"/>
      <c r="AE1378" s="299"/>
      <c r="AF1378" s="299"/>
      <c r="AG1378" s="284"/>
    </row>
    <row r="1379" spans="2:33">
      <c r="B1379" s="86"/>
      <c r="C1379" s="84"/>
      <c r="D1379" s="86"/>
      <c r="E1379" s="84"/>
      <c r="F1379" s="284"/>
      <c r="G1379" s="49"/>
      <c r="H1379" s="284"/>
      <c r="I1379" s="74"/>
      <c r="J1379" s="371"/>
      <c r="K1379" s="77"/>
      <c r="L1379" s="160"/>
      <c r="M1379" s="388"/>
      <c r="N1379" s="375"/>
      <c r="W1379" s="113"/>
      <c r="X1379" s="241"/>
      <c r="Y1379" s="284"/>
      <c r="Z1379" s="207"/>
      <c r="AA1379" s="284"/>
      <c r="AB1379" s="284"/>
      <c r="AC1379" s="137"/>
      <c r="AD1379" s="284"/>
      <c r="AE1379" s="299"/>
      <c r="AF1379" s="299"/>
      <c r="AG1379" s="284"/>
    </row>
    <row r="1380" spans="2:33">
      <c r="B1380" s="86"/>
      <c r="C1380" s="84"/>
      <c r="D1380" s="86"/>
      <c r="E1380" s="84"/>
      <c r="F1380" s="284"/>
      <c r="G1380" s="49"/>
      <c r="H1380" s="284"/>
      <c r="I1380" s="74"/>
      <c r="J1380" s="371"/>
      <c r="K1380" s="77"/>
      <c r="L1380" s="160"/>
      <c r="M1380" s="388"/>
      <c r="N1380" s="375"/>
      <c r="W1380" s="113"/>
      <c r="X1380" s="241"/>
      <c r="Y1380" s="284"/>
      <c r="Z1380" s="207"/>
      <c r="AA1380" s="284"/>
      <c r="AB1380" s="284"/>
      <c r="AC1380" s="137"/>
      <c r="AD1380" s="284"/>
      <c r="AE1380" s="299"/>
      <c r="AF1380" s="299"/>
      <c r="AG1380" s="284"/>
    </row>
    <row r="1381" spans="2:33">
      <c r="B1381" s="86"/>
      <c r="C1381" s="84"/>
      <c r="D1381" s="86"/>
      <c r="E1381" s="84"/>
      <c r="F1381" s="284"/>
      <c r="G1381" s="49"/>
      <c r="H1381" s="284"/>
      <c r="I1381" s="74"/>
      <c r="J1381" s="371"/>
      <c r="K1381" s="77"/>
      <c r="L1381" s="160"/>
      <c r="M1381" s="388"/>
      <c r="N1381" s="375"/>
      <c r="W1381" s="113"/>
      <c r="X1381" s="241"/>
      <c r="Y1381" s="284"/>
      <c r="Z1381" s="207"/>
      <c r="AA1381" s="284"/>
      <c r="AB1381" s="284"/>
      <c r="AC1381" s="137"/>
      <c r="AD1381" s="284"/>
      <c r="AE1381" s="299"/>
      <c r="AF1381" s="299"/>
      <c r="AG1381" s="284"/>
    </row>
    <row r="1382" spans="2:33">
      <c r="B1382" s="86"/>
      <c r="C1382" s="84"/>
      <c r="D1382" s="86"/>
      <c r="E1382" s="84"/>
      <c r="F1382" s="284"/>
      <c r="G1382" s="49"/>
      <c r="H1382" s="284"/>
      <c r="I1382" s="74"/>
      <c r="J1382" s="371"/>
      <c r="K1382" s="77"/>
      <c r="L1382" s="160"/>
      <c r="M1382" s="388"/>
      <c r="N1382" s="375"/>
      <c r="W1382" s="113"/>
      <c r="X1382" s="241"/>
      <c r="Y1382" s="284"/>
      <c r="Z1382" s="207"/>
      <c r="AA1382" s="284"/>
      <c r="AB1382" s="284"/>
      <c r="AC1382" s="137"/>
      <c r="AD1382" s="284"/>
      <c r="AE1382" s="299"/>
      <c r="AF1382" s="299"/>
      <c r="AG1382" s="284"/>
    </row>
    <row r="1383" spans="2:33">
      <c r="B1383" s="86"/>
      <c r="C1383" s="84"/>
      <c r="D1383" s="86"/>
      <c r="E1383" s="84"/>
      <c r="F1383" s="284"/>
      <c r="G1383" s="49"/>
      <c r="H1383" s="284"/>
      <c r="I1383" s="74"/>
      <c r="J1383" s="371"/>
      <c r="K1383" s="77"/>
      <c r="L1383" s="160"/>
      <c r="M1383" s="388"/>
      <c r="N1383" s="375"/>
      <c r="W1383" s="113"/>
      <c r="X1383" s="241"/>
      <c r="Y1383" s="284"/>
      <c r="Z1383" s="207"/>
      <c r="AA1383" s="284"/>
      <c r="AB1383" s="284"/>
      <c r="AC1383" s="137"/>
      <c r="AD1383" s="284"/>
      <c r="AE1383" s="299"/>
      <c r="AF1383" s="299"/>
      <c r="AG1383" s="284"/>
    </row>
    <row r="1384" spans="2:33">
      <c r="B1384" s="86"/>
      <c r="C1384" s="84"/>
      <c r="D1384" s="86"/>
      <c r="E1384" s="84"/>
      <c r="F1384" s="284"/>
      <c r="G1384" s="49"/>
      <c r="H1384" s="284"/>
      <c r="I1384" s="74"/>
      <c r="J1384" s="371"/>
      <c r="K1384" s="77"/>
      <c r="L1384" s="160"/>
      <c r="M1384" s="388"/>
      <c r="N1384" s="375"/>
      <c r="W1384" s="113"/>
      <c r="X1384" s="241"/>
      <c r="Y1384" s="284"/>
      <c r="Z1384" s="207"/>
      <c r="AA1384" s="284"/>
      <c r="AB1384" s="284"/>
      <c r="AC1384" s="137"/>
      <c r="AD1384" s="284"/>
      <c r="AE1384" s="299"/>
      <c r="AF1384" s="299"/>
      <c r="AG1384" s="284"/>
    </row>
    <row r="1385" spans="2:33">
      <c r="B1385" s="86"/>
      <c r="C1385" s="84"/>
      <c r="D1385" s="86"/>
      <c r="E1385" s="84"/>
      <c r="F1385" s="284"/>
      <c r="G1385" s="49"/>
      <c r="H1385" s="284"/>
      <c r="I1385" s="74"/>
      <c r="J1385" s="371"/>
      <c r="K1385" s="77"/>
      <c r="L1385" s="160"/>
      <c r="M1385" s="388"/>
      <c r="N1385" s="375"/>
      <c r="W1385" s="113"/>
      <c r="X1385" s="241"/>
      <c r="Y1385" s="284"/>
      <c r="Z1385" s="207"/>
      <c r="AA1385" s="284"/>
      <c r="AB1385" s="284"/>
      <c r="AC1385" s="137"/>
      <c r="AD1385" s="284"/>
      <c r="AE1385" s="299"/>
      <c r="AF1385" s="299"/>
      <c r="AG1385" s="284"/>
    </row>
    <row r="1386" spans="2:33">
      <c r="B1386" s="86"/>
      <c r="C1386" s="84"/>
      <c r="D1386" s="86"/>
      <c r="E1386" s="84"/>
      <c r="F1386" s="284"/>
      <c r="G1386" s="49"/>
      <c r="H1386" s="284"/>
      <c r="I1386" s="74"/>
      <c r="J1386" s="371"/>
      <c r="K1386" s="77"/>
      <c r="L1386" s="160"/>
      <c r="M1386" s="388"/>
      <c r="N1386" s="375"/>
      <c r="W1386" s="113"/>
      <c r="X1386" s="241"/>
      <c r="Y1386" s="284"/>
      <c r="Z1386" s="207"/>
      <c r="AA1386" s="284"/>
      <c r="AB1386" s="284"/>
      <c r="AC1386" s="137"/>
      <c r="AD1386" s="284"/>
      <c r="AE1386" s="299"/>
      <c r="AF1386" s="299"/>
      <c r="AG1386" s="284"/>
    </row>
    <row r="1387" spans="2:33">
      <c r="B1387" s="86"/>
      <c r="C1387" s="84"/>
      <c r="D1387" s="86"/>
      <c r="E1387" s="84"/>
      <c r="F1387" s="284"/>
      <c r="G1387" s="49"/>
      <c r="H1387" s="284"/>
      <c r="I1387" s="74"/>
      <c r="J1387" s="371"/>
      <c r="K1387" s="77"/>
      <c r="L1387" s="160"/>
      <c r="M1387" s="388"/>
      <c r="N1387" s="375"/>
      <c r="W1387" s="113"/>
      <c r="X1387" s="241"/>
      <c r="Y1387" s="284"/>
      <c r="Z1387" s="207"/>
      <c r="AA1387" s="284"/>
      <c r="AB1387" s="284"/>
      <c r="AC1387" s="137"/>
      <c r="AD1387" s="284"/>
      <c r="AE1387" s="299"/>
      <c r="AF1387" s="299"/>
      <c r="AG1387" s="284"/>
    </row>
    <row r="1388" spans="2:33">
      <c r="B1388" s="86"/>
      <c r="C1388" s="84"/>
      <c r="D1388" s="86"/>
      <c r="E1388" s="84"/>
      <c r="F1388" s="284"/>
      <c r="G1388" s="49"/>
      <c r="H1388" s="284"/>
      <c r="I1388" s="74"/>
      <c r="J1388" s="371"/>
      <c r="K1388" s="77"/>
      <c r="L1388" s="160"/>
      <c r="M1388" s="388"/>
      <c r="N1388" s="375"/>
      <c r="W1388" s="113"/>
      <c r="X1388" s="241"/>
      <c r="Y1388" s="284"/>
      <c r="Z1388" s="207"/>
      <c r="AA1388" s="284"/>
      <c r="AB1388" s="284"/>
      <c r="AC1388" s="137"/>
      <c r="AD1388" s="284"/>
      <c r="AE1388" s="299"/>
      <c r="AF1388" s="299"/>
      <c r="AG1388" s="284"/>
    </row>
    <row r="1389" spans="2:33">
      <c r="B1389" s="86"/>
      <c r="C1389" s="84"/>
      <c r="D1389" s="86"/>
      <c r="E1389" s="84"/>
      <c r="F1389" s="284"/>
      <c r="G1389" s="49"/>
      <c r="H1389" s="284"/>
      <c r="I1389" s="74"/>
      <c r="J1389" s="371"/>
      <c r="K1389" s="77"/>
      <c r="L1389" s="160"/>
      <c r="M1389" s="388"/>
      <c r="N1389" s="375"/>
      <c r="W1389" s="113"/>
      <c r="X1389" s="241"/>
      <c r="Y1389" s="284"/>
      <c r="Z1389" s="207"/>
      <c r="AA1389" s="284"/>
      <c r="AB1389" s="284"/>
      <c r="AC1389" s="137"/>
      <c r="AD1389" s="284"/>
      <c r="AE1389" s="299"/>
      <c r="AF1389" s="299"/>
      <c r="AG1389" s="284"/>
    </row>
    <row r="1390" spans="2:33">
      <c r="B1390" s="86"/>
      <c r="C1390" s="84"/>
      <c r="D1390" s="86"/>
      <c r="E1390" s="84"/>
      <c r="F1390" s="284"/>
      <c r="G1390" s="49"/>
      <c r="H1390" s="284"/>
      <c r="I1390" s="74"/>
      <c r="J1390" s="371"/>
      <c r="K1390" s="77"/>
      <c r="L1390" s="160"/>
      <c r="M1390" s="388"/>
      <c r="N1390" s="375"/>
      <c r="W1390" s="113"/>
      <c r="X1390" s="241"/>
      <c r="Y1390" s="284"/>
      <c r="Z1390" s="207"/>
      <c r="AA1390" s="284"/>
      <c r="AB1390" s="284"/>
      <c r="AC1390" s="137"/>
      <c r="AD1390" s="284"/>
      <c r="AE1390" s="299"/>
      <c r="AF1390" s="299"/>
      <c r="AG1390" s="284"/>
    </row>
    <row r="1391" spans="2:33">
      <c r="B1391" s="86"/>
      <c r="C1391" s="84"/>
      <c r="D1391" s="86"/>
      <c r="E1391" s="84"/>
      <c r="F1391" s="284"/>
      <c r="G1391" s="49"/>
      <c r="H1391" s="284"/>
      <c r="I1391" s="74"/>
      <c r="J1391" s="371"/>
      <c r="K1391" s="77"/>
      <c r="L1391" s="160"/>
      <c r="M1391" s="388"/>
      <c r="N1391" s="375"/>
      <c r="W1391" s="113"/>
      <c r="X1391" s="241"/>
      <c r="Y1391" s="284"/>
      <c r="Z1391" s="207"/>
      <c r="AA1391" s="284"/>
      <c r="AB1391" s="284"/>
      <c r="AC1391" s="137"/>
      <c r="AD1391" s="284"/>
      <c r="AE1391" s="299"/>
      <c r="AF1391" s="299"/>
      <c r="AG1391" s="284"/>
    </row>
    <row r="1392" spans="2:33">
      <c r="B1392" s="86"/>
      <c r="C1392" s="84"/>
      <c r="D1392" s="86"/>
      <c r="E1392" s="84"/>
      <c r="F1392" s="284"/>
      <c r="G1392" s="49"/>
      <c r="H1392" s="284"/>
      <c r="I1392" s="74"/>
      <c r="J1392" s="371"/>
      <c r="K1392" s="77"/>
      <c r="L1392" s="160"/>
      <c r="M1392" s="388"/>
      <c r="N1392" s="375"/>
      <c r="W1392" s="113"/>
      <c r="X1392" s="241"/>
      <c r="Y1392" s="284"/>
      <c r="Z1392" s="207"/>
      <c r="AA1392" s="284"/>
      <c r="AB1392" s="284"/>
      <c r="AC1392" s="137"/>
      <c r="AD1392" s="284"/>
      <c r="AE1392" s="299"/>
      <c r="AF1392" s="299"/>
      <c r="AG1392" s="284"/>
    </row>
    <row r="1393" spans="2:33">
      <c r="B1393" s="86"/>
      <c r="C1393" s="84"/>
      <c r="D1393" s="86"/>
      <c r="E1393" s="84"/>
      <c r="F1393" s="284"/>
      <c r="G1393" s="49"/>
      <c r="H1393" s="284"/>
      <c r="I1393" s="74"/>
      <c r="J1393" s="371"/>
      <c r="K1393" s="77"/>
      <c r="L1393" s="160"/>
      <c r="M1393" s="388"/>
      <c r="N1393" s="375"/>
      <c r="W1393" s="113"/>
      <c r="X1393" s="241"/>
      <c r="Y1393" s="284"/>
      <c r="Z1393" s="207"/>
      <c r="AA1393" s="284"/>
      <c r="AB1393" s="284"/>
      <c r="AC1393" s="137"/>
      <c r="AD1393" s="284"/>
      <c r="AE1393" s="299"/>
      <c r="AF1393" s="299"/>
      <c r="AG1393" s="284"/>
    </row>
    <row r="1394" spans="2:33">
      <c r="B1394" s="86"/>
      <c r="C1394" s="84"/>
      <c r="D1394" s="86"/>
      <c r="E1394" s="84"/>
      <c r="F1394" s="284"/>
      <c r="G1394" s="49"/>
      <c r="H1394" s="284"/>
      <c r="I1394" s="74"/>
      <c r="J1394" s="371"/>
      <c r="K1394" s="77"/>
      <c r="L1394" s="160"/>
      <c r="M1394" s="388"/>
      <c r="N1394" s="375"/>
      <c r="W1394" s="113"/>
      <c r="X1394" s="241"/>
      <c r="Y1394" s="284"/>
      <c r="Z1394" s="207"/>
      <c r="AA1394" s="284"/>
      <c r="AB1394" s="284"/>
      <c r="AC1394" s="137"/>
      <c r="AD1394" s="284"/>
      <c r="AE1394" s="299"/>
      <c r="AF1394" s="299"/>
      <c r="AG1394" s="284"/>
    </row>
    <row r="1395" spans="2:33">
      <c r="B1395" s="86"/>
      <c r="C1395" s="84"/>
      <c r="D1395" s="86"/>
      <c r="E1395" s="84"/>
      <c r="F1395" s="284"/>
      <c r="G1395" s="49"/>
      <c r="H1395" s="284"/>
      <c r="I1395" s="74"/>
      <c r="J1395" s="371"/>
      <c r="K1395" s="77"/>
      <c r="L1395" s="160"/>
      <c r="M1395" s="388"/>
      <c r="N1395" s="375"/>
      <c r="W1395" s="113"/>
      <c r="X1395" s="241"/>
      <c r="Y1395" s="284"/>
      <c r="Z1395" s="207"/>
      <c r="AA1395" s="284"/>
      <c r="AB1395" s="284"/>
      <c r="AC1395" s="137"/>
      <c r="AD1395" s="284"/>
      <c r="AE1395" s="299"/>
      <c r="AF1395" s="299"/>
      <c r="AG1395" s="284"/>
    </row>
    <row r="1396" spans="2:33">
      <c r="B1396" s="86"/>
      <c r="C1396" s="84"/>
      <c r="D1396" s="86"/>
      <c r="E1396" s="84"/>
      <c r="F1396" s="284"/>
      <c r="G1396" s="49"/>
      <c r="H1396" s="284"/>
      <c r="I1396" s="74"/>
      <c r="J1396" s="371"/>
      <c r="K1396" s="77"/>
      <c r="L1396" s="160"/>
      <c r="M1396" s="388"/>
      <c r="N1396" s="375"/>
      <c r="W1396" s="113"/>
      <c r="X1396" s="241"/>
      <c r="Y1396" s="284"/>
      <c r="Z1396" s="207"/>
      <c r="AA1396" s="284"/>
      <c r="AB1396" s="284"/>
      <c r="AC1396" s="137"/>
      <c r="AD1396" s="284"/>
      <c r="AE1396" s="299"/>
      <c r="AF1396" s="299"/>
      <c r="AG1396" s="284"/>
    </row>
    <row r="1397" spans="2:33">
      <c r="B1397" s="86"/>
      <c r="C1397" s="84"/>
      <c r="D1397" s="86"/>
      <c r="E1397" s="84"/>
      <c r="F1397" s="284"/>
      <c r="G1397" s="49"/>
      <c r="H1397" s="284"/>
      <c r="I1397" s="74"/>
      <c r="J1397" s="371"/>
      <c r="K1397" s="77"/>
      <c r="L1397" s="160"/>
      <c r="M1397" s="388"/>
      <c r="N1397" s="375"/>
      <c r="W1397" s="113"/>
      <c r="X1397" s="241"/>
      <c r="Y1397" s="284"/>
      <c r="Z1397" s="207"/>
      <c r="AA1397" s="284"/>
      <c r="AB1397" s="284"/>
      <c r="AC1397" s="137"/>
      <c r="AD1397" s="284"/>
      <c r="AE1397" s="299"/>
      <c r="AF1397" s="299"/>
      <c r="AG1397" s="284"/>
    </row>
    <row r="1398" spans="2:33">
      <c r="B1398" s="86"/>
      <c r="C1398" s="84"/>
      <c r="D1398" s="86"/>
      <c r="E1398" s="84"/>
      <c r="F1398" s="284"/>
      <c r="G1398" s="49"/>
      <c r="H1398" s="284"/>
      <c r="I1398" s="74"/>
      <c r="J1398" s="371"/>
      <c r="K1398" s="77"/>
      <c r="L1398" s="160"/>
      <c r="M1398" s="388"/>
      <c r="N1398" s="375"/>
      <c r="W1398" s="113"/>
      <c r="X1398" s="241"/>
      <c r="Y1398" s="284"/>
      <c r="Z1398" s="207"/>
      <c r="AA1398" s="284"/>
      <c r="AB1398" s="284"/>
      <c r="AC1398" s="137"/>
      <c r="AD1398" s="284"/>
      <c r="AE1398" s="299"/>
      <c r="AF1398" s="299"/>
      <c r="AG1398" s="284"/>
    </row>
    <row r="1399" spans="2:33">
      <c r="B1399" s="86"/>
      <c r="C1399" s="84"/>
      <c r="D1399" s="86"/>
      <c r="E1399" s="84"/>
      <c r="F1399" s="284"/>
      <c r="G1399" s="49"/>
      <c r="H1399" s="284"/>
      <c r="I1399" s="74"/>
      <c r="J1399" s="371"/>
      <c r="K1399" s="77"/>
      <c r="L1399" s="160"/>
      <c r="M1399" s="388"/>
      <c r="N1399" s="375"/>
      <c r="W1399" s="113"/>
      <c r="X1399" s="241"/>
      <c r="Y1399" s="284"/>
      <c r="Z1399" s="207"/>
      <c r="AA1399" s="284"/>
      <c r="AB1399" s="284"/>
      <c r="AC1399" s="137"/>
      <c r="AD1399" s="284"/>
      <c r="AE1399" s="299"/>
      <c r="AF1399" s="299"/>
      <c r="AG1399" s="284"/>
    </row>
    <row r="1400" spans="2:33">
      <c r="B1400" s="86"/>
      <c r="C1400" s="84"/>
      <c r="D1400" s="86"/>
      <c r="E1400" s="84"/>
      <c r="F1400" s="284"/>
      <c r="G1400" s="49"/>
      <c r="H1400" s="284"/>
      <c r="I1400" s="74"/>
      <c r="J1400" s="371"/>
      <c r="K1400" s="77"/>
      <c r="L1400" s="160"/>
      <c r="M1400" s="388"/>
      <c r="N1400" s="375"/>
      <c r="W1400" s="113"/>
      <c r="X1400" s="241"/>
      <c r="Y1400" s="284"/>
      <c r="Z1400" s="207"/>
      <c r="AA1400" s="284"/>
      <c r="AB1400" s="284"/>
      <c r="AC1400" s="137"/>
      <c r="AD1400" s="284"/>
      <c r="AE1400" s="299"/>
      <c r="AF1400" s="299"/>
      <c r="AG1400" s="284"/>
    </row>
    <row r="1401" spans="2:33">
      <c r="B1401" s="86"/>
      <c r="C1401" s="84"/>
      <c r="D1401" s="86"/>
      <c r="E1401" s="84"/>
      <c r="F1401" s="284"/>
      <c r="G1401" s="49"/>
      <c r="H1401" s="284"/>
      <c r="I1401" s="74"/>
      <c r="J1401" s="371"/>
      <c r="K1401" s="77"/>
      <c r="L1401" s="160"/>
      <c r="M1401" s="388"/>
      <c r="N1401" s="375"/>
      <c r="W1401" s="113"/>
      <c r="X1401" s="241"/>
      <c r="Y1401" s="284"/>
      <c r="Z1401" s="207"/>
      <c r="AA1401" s="284"/>
      <c r="AB1401" s="284"/>
      <c r="AC1401" s="137"/>
      <c r="AD1401" s="284"/>
      <c r="AE1401" s="299"/>
      <c r="AF1401" s="299"/>
      <c r="AG1401" s="284"/>
    </row>
    <row r="1402" spans="2:33">
      <c r="B1402" s="86"/>
      <c r="C1402" s="84"/>
      <c r="D1402" s="86"/>
      <c r="E1402" s="84"/>
      <c r="F1402" s="284"/>
      <c r="G1402" s="49"/>
      <c r="H1402" s="284"/>
      <c r="I1402" s="74"/>
      <c r="J1402" s="371"/>
      <c r="K1402" s="77"/>
      <c r="L1402" s="160"/>
      <c r="M1402" s="388"/>
      <c r="N1402" s="375"/>
      <c r="W1402" s="113"/>
      <c r="X1402" s="241"/>
      <c r="Y1402" s="284"/>
      <c r="Z1402" s="207"/>
      <c r="AA1402" s="284"/>
      <c r="AB1402" s="284"/>
      <c r="AC1402" s="137"/>
      <c r="AD1402" s="284"/>
      <c r="AE1402" s="299"/>
      <c r="AF1402" s="299"/>
      <c r="AG1402" s="284"/>
    </row>
    <row r="1403" spans="2:33">
      <c r="B1403" s="86"/>
      <c r="C1403" s="84"/>
      <c r="D1403" s="86"/>
      <c r="E1403" s="84"/>
      <c r="F1403" s="284"/>
      <c r="G1403" s="49"/>
      <c r="H1403" s="284"/>
      <c r="I1403" s="74"/>
      <c r="J1403" s="371"/>
      <c r="K1403" s="77"/>
      <c r="L1403" s="160"/>
      <c r="M1403" s="388"/>
      <c r="N1403" s="375"/>
      <c r="W1403" s="113"/>
      <c r="X1403" s="241"/>
      <c r="Y1403" s="284"/>
      <c r="Z1403" s="207"/>
      <c r="AA1403" s="284"/>
      <c r="AB1403" s="284"/>
      <c r="AC1403" s="137"/>
      <c r="AD1403" s="284"/>
      <c r="AE1403" s="299"/>
      <c r="AF1403" s="299"/>
      <c r="AG1403" s="284"/>
    </row>
    <row r="1404" spans="2:33">
      <c r="B1404" s="86"/>
      <c r="C1404" s="84"/>
      <c r="D1404" s="86"/>
      <c r="E1404" s="84"/>
      <c r="F1404" s="284"/>
      <c r="G1404" s="49"/>
      <c r="H1404" s="284"/>
      <c r="I1404" s="74"/>
      <c r="J1404" s="371"/>
      <c r="K1404" s="77"/>
      <c r="L1404" s="160"/>
      <c r="M1404" s="388"/>
      <c r="N1404" s="375"/>
      <c r="W1404" s="113"/>
      <c r="X1404" s="241"/>
      <c r="Y1404" s="284"/>
      <c r="Z1404" s="207"/>
      <c r="AA1404" s="284"/>
      <c r="AB1404" s="284"/>
      <c r="AC1404" s="137"/>
      <c r="AD1404" s="284"/>
      <c r="AE1404" s="299"/>
      <c r="AF1404" s="299"/>
      <c r="AG1404" s="284"/>
    </row>
    <row r="1405" spans="2:33">
      <c r="B1405" s="86"/>
      <c r="C1405" s="84"/>
      <c r="D1405" s="86"/>
      <c r="E1405" s="84"/>
      <c r="F1405" s="284"/>
      <c r="G1405" s="49"/>
      <c r="H1405" s="284"/>
      <c r="I1405" s="74"/>
      <c r="J1405" s="371"/>
      <c r="K1405" s="77"/>
      <c r="L1405" s="160"/>
      <c r="M1405" s="388"/>
      <c r="N1405" s="375"/>
      <c r="W1405" s="113"/>
      <c r="X1405" s="241"/>
      <c r="Y1405" s="284"/>
      <c r="Z1405" s="207"/>
      <c r="AA1405" s="284"/>
      <c r="AB1405" s="284"/>
      <c r="AC1405" s="137"/>
      <c r="AD1405" s="284"/>
      <c r="AE1405" s="299"/>
      <c r="AF1405" s="299"/>
      <c r="AG1405" s="284"/>
    </row>
    <row r="1406" spans="2:33">
      <c r="B1406" s="86"/>
      <c r="C1406" s="84"/>
      <c r="D1406" s="86"/>
      <c r="E1406" s="84"/>
      <c r="F1406" s="284"/>
      <c r="G1406" s="49"/>
      <c r="H1406" s="284"/>
      <c r="I1406" s="74"/>
      <c r="J1406" s="371"/>
      <c r="K1406" s="77"/>
      <c r="L1406" s="160"/>
      <c r="M1406" s="388"/>
      <c r="N1406" s="375"/>
      <c r="W1406" s="113"/>
      <c r="X1406" s="241"/>
      <c r="Y1406" s="284"/>
      <c r="Z1406" s="207"/>
      <c r="AA1406" s="284"/>
      <c r="AB1406" s="284"/>
      <c r="AC1406" s="137"/>
      <c r="AD1406" s="284"/>
      <c r="AE1406" s="299"/>
      <c r="AF1406" s="299"/>
      <c r="AG1406" s="284"/>
    </row>
    <row r="1407" spans="2:33">
      <c r="B1407" s="86"/>
      <c r="C1407" s="84"/>
      <c r="D1407" s="86"/>
      <c r="E1407" s="84"/>
      <c r="F1407" s="284"/>
      <c r="G1407" s="49"/>
      <c r="H1407" s="284"/>
      <c r="I1407" s="74"/>
      <c r="J1407" s="371"/>
      <c r="K1407" s="77"/>
      <c r="L1407" s="160"/>
      <c r="M1407" s="388"/>
      <c r="N1407" s="375"/>
      <c r="W1407" s="113"/>
      <c r="X1407" s="241"/>
      <c r="Y1407" s="284"/>
      <c r="Z1407" s="207"/>
      <c r="AA1407" s="284"/>
      <c r="AB1407" s="284"/>
      <c r="AC1407" s="137"/>
      <c r="AD1407" s="284"/>
      <c r="AE1407" s="299"/>
      <c r="AF1407" s="299"/>
      <c r="AG1407" s="284"/>
    </row>
    <row r="1408" spans="2:33">
      <c r="B1408" s="86"/>
      <c r="C1408" s="84"/>
      <c r="D1408" s="86"/>
      <c r="E1408" s="84"/>
      <c r="F1408" s="284"/>
      <c r="G1408" s="49"/>
      <c r="H1408" s="284"/>
      <c r="I1408" s="74"/>
      <c r="J1408" s="371"/>
      <c r="K1408" s="77"/>
      <c r="L1408" s="160"/>
      <c r="M1408" s="388"/>
      <c r="N1408" s="375"/>
      <c r="W1408" s="113"/>
      <c r="X1408" s="241"/>
      <c r="Y1408" s="284"/>
      <c r="Z1408" s="207"/>
      <c r="AA1408" s="284"/>
      <c r="AB1408" s="284"/>
      <c r="AC1408" s="137"/>
      <c r="AD1408" s="284"/>
      <c r="AE1408" s="299"/>
      <c r="AF1408" s="299"/>
      <c r="AG1408" s="284"/>
    </row>
    <row r="1409" spans="2:33">
      <c r="B1409" s="86"/>
      <c r="C1409" s="84"/>
      <c r="D1409" s="86"/>
      <c r="E1409" s="84"/>
      <c r="F1409" s="284"/>
      <c r="G1409" s="49"/>
      <c r="H1409" s="284"/>
      <c r="I1409" s="74"/>
      <c r="J1409" s="371"/>
      <c r="K1409" s="77"/>
      <c r="L1409" s="160"/>
      <c r="M1409" s="388"/>
      <c r="N1409" s="375"/>
      <c r="W1409" s="113"/>
      <c r="X1409" s="241"/>
      <c r="Y1409" s="284"/>
      <c r="Z1409" s="207"/>
      <c r="AA1409" s="284"/>
      <c r="AB1409" s="284"/>
      <c r="AC1409" s="137"/>
      <c r="AD1409" s="284"/>
      <c r="AE1409" s="299"/>
      <c r="AF1409" s="299"/>
      <c r="AG1409" s="284"/>
    </row>
    <row r="1410" spans="2:33">
      <c r="B1410" s="86"/>
      <c r="C1410" s="84"/>
      <c r="D1410" s="86"/>
      <c r="E1410" s="84"/>
      <c r="F1410" s="284"/>
      <c r="G1410" s="49"/>
      <c r="H1410" s="284"/>
      <c r="I1410" s="74"/>
      <c r="J1410" s="371"/>
      <c r="K1410" s="77"/>
      <c r="L1410" s="160"/>
      <c r="M1410" s="388"/>
      <c r="N1410" s="375"/>
      <c r="W1410" s="113"/>
      <c r="X1410" s="241"/>
      <c r="Y1410" s="284"/>
      <c r="Z1410" s="207"/>
      <c r="AA1410" s="284"/>
      <c r="AB1410" s="284"/>
      <c r="AC1410" s="137"/>
      <c r="AD1410" s="284"/>
      <c r="AE1410" s="299"/>
      <c r="AF1410" s="299"/>
      <c r="AG1410" s="284"/>
    </row>
    <row r="1411" spans="2:33">
      <c r="B1411" s="86"/>
      <c r="C1411" s="84"/>
      <c r="D1411" s="86"/>
      <c r="E1411" s="84"/>
      <c r="F1411" s="284"/>
      <c r="G1411" s="49"/>
      <c r="H1411" s="284"/>
      <c r="I1411" s="74"/>
      <c r="J1411" s="371"/>
      <c r="K1411" s="77"/>
      <c r="L1411" s="160"/>
      <c r="M1411" s="388"/>
      <c r="N1411" s="375"/>
      <c r="W1411" s="113"/>
      <c r="X1411" s="241"/>
      <c r="Y1411" s="284"/>
      <c r="Z1411" s="207"/>
      <c r="AA1411" s="284"/>
      <c r="AB1411" s="284"/>
      <c r="AC1411" s="137"/>
      <c r="AD1411" s="284"/>
      <c r="AE1411" s="299"/>
      <c r="AF1411" s="299"/>
      <c r="AG1411" s="284"/>
    </row>
    <row r="1412" spans="2:33">
      <c r="B1412" s="86"/>
      <c r="C1412" s="84"/>
      <c r="D1412" s="86"/>
      <c r="E1412" s="84"/>
      <c r="F1412" s="284"/>
      <c r="G1412" s="49"/>
      <c r="H1412" s="284"/>
      <c r="I1412" s="74"/>
      <c r="J1412" s="371"/>
      <c r="K1412" s="77"/>
      <c r="L1412" s="160"/>
      <c r="M1412" s="388"/>
      <c r="N1412" s="375"/>
      <c r="W1412" s="113"/>
      <c r="X1412" s="241"/>
      <c r="Y1412" s="284"/>
      <c r="Z1412" s="207"/>
      <c r="AA1412" s="284"/>
      <c r="AB1412" s="284"/>
      <c r="AC1412" s="137"/>
      <c r="AD1412" s="284"/>
      <c r="AE1412" s="299"/>
      <c r="AF1412" s="299"/>
      <c r="AG1412" s="284"/>
    </row>
    <row r="1413" spans="2:33">
      <c r="B1413" s="86"/>
      <c r="C1413" s="84"/>
      <c r="D1413" s="86"/>
      <c r="E1413" s="84"/>
      <c r="F1413" s="284"/>
      <c r="G1413" s="49"/>
      <c r="H1413" s="284"/>
      <c r="I1413" s="74"/>
      <c r="J1413" s="371"/>
      <c r="K1413" s="77"/>
      <c r="L1413" s="160"/>
      <c r="M1413" s="388"/>
      <c r="N1413" s="375"/>
      <c r="W1413" s="113"/>
      <c r="X1413" s="241"/>
      <c r="Y1413" s="284"/>
      <c r="Z1413" s="207"/>
      <c r="AA1413" s="284"/>
      <c r="AB1413" s="284"/>
      <c r="AC1413" s="137"/>
      <c r="AD1413" s="284"/>
      <c r="AE1413" s="299"/>
      <c r="AF1413" s="299"/>
      <c r="AG1413" s="284"/>
    </row>
    <row r="1414" spans="2:33">
      <c r="B1414" s="86"/>
      <c r="C1414" s="84"/>
      <c r="D1414" s="86"/>
      <c r="E1414" s="84"/>
      <c r="F1414" s="284"/>
      <c r="G1414" s="49"/>
      <c r="H1414" s="284"/>
      <c r="I1414" s="74"/>
      <c r="J1414" s="371"/>
      <c r="K1414" s="77"/>
      <c r="L1414" s="160"/>
      <c r="M1414" s="388"/>
      <c r="N1414" s="375"/>
      <c r="W1414" s="113"/>
      <c r="X1414" s="241"/>
      <c r="Y1414" s="284"/>
      <c r="Z1414" s="207"/>
      <c r="AA1414" s="284"/>
      <c r="AB1414" s="284"/>
      <c r="AC1414" s="137"/>
      <c r="AD1414" s="284"/>
      <c r="AE1414" s="299"/>
      <c r="AF1414" s="299"/>
      <c r="AG1414" s="284"/>
    </row>
    <row r="1415" spans="2:33">
      <c r="B1415" s="86"/>
      <c r="C1415" s="84"/>
      <c r="D1415" s="86"/>
      <c r="E1415" s="84"/>
      <c r="F1415" s="284"/>
      <c r="G1415" s="49"/>
      <c r="H1415" s="284"/>
      <c r="I1415" s="74"/>
      <c r="J1415" s="371"/>
      <c r="K1415" s="77"/>
      <c r="L1415" s="160"/>
      <c r="M1415" s="388"/>
      <c r="N1415" s="375"/>
      <c r="W1415" s="113"/>
      <c r="X1415" s="241"/>
      <c r="Y1415" s="284"/>
      <c r="Z1415" s="207"/>
      <c r="AA1415" s="284"/>
      <c r="AB1415" s="284"/>
      <c r="AC1415" s="137"/>
      <c r="AD1415" s="284"/>
      <c r="AE1415" s="299"/>
      <c r="AF1415" s="299"/>
      <c r="AG1415" s="284"/>
    </row>
    <row r="1416" spans="2:33">
      <c r="B1416" s="86"/>
      <c r="C1416" s="84"/>
      <c r="D1416" s="86"/>
      <c r="E1416" s="84"/>
      <c r="F1416" s="284"/>
      <c r="G1416" s="49"/>
      <c r="H1416" s="284"/>
      <c r="I1416" s="74"/>
      <c r="J1416" s="371"/>
      <c r="K1416" s="77"/>
      <c r="L1416" s="160"/>
      <c r="M1416" s="388"/>
      <c r="N1416" s="375"/>
      <c r="W1416" s="113"/>
      <c r="X1416" s="241"/>
      <c r="Y1416" s="284"/>
      <c r="Z1416" s="207"/>
      <c r="AA1416" s="284"/>
      <c r="AB1416" s="284"/>
      <c r="AC1416" s="137"/>
      <c r="AD1416" s="284"/>
      <c r="AE1416" s="299"/>
      <c r="AF1416" s="299"/>
      <c r="AG1416" s="284"/>
    </row>
    <row r="1417" spans="2:33">
      <c r="B1417" s="86"/>
      <c r="C1417" s="84"/>
      <c r="D1417" s="86"/>
      <c r="E1417" s="84"/>
      <c r="F1417" s="284"/>
      <c r="G1417" s="49"/>
      <c r="H1417" s="284"/>
      <c r="I1417" s="74"/>
      <c r="J1417" s="371"/>
      <c r="K1417" s="77"/>
      <c r="L1417" s="160"/>
      <c r="M1417" s="388"/>
      <c r="N1417" s="375"/>
      <c r="W1417" s="113"/>
      <c r="X1417" s="241"/>
      <c r="Y1417" s="284"/>
      <c r="Z1417" s="207"/>
      <c r="AA1417" s="284"/>
      <c r="AB1417" s="284"/>
      <c r="AC1417" s="137"/>
      <c r="AD1417" s="284"/>
      <c r="AE1417" s="299"/>
      <c r="AF1417" s="299"/>
      <c r="AG1417" s="284"/>
    </row>
    <row r="1418" spans="2:33">
      <c r="B1418" s="86"/>
      <c r="C1418" s="84"/>
      <c r="D1418" s="86"/>
      <c r="E1418" s="84"/>
      <c r="F1418" s="284"/>
      <c r="G1418" s="49"/>
      <c r="H1418" s="284"/>
      <c r="I1418" s="74"/>
      <c r="J1418" s="371"/>
      <c r="K1418" s="77"/>
      <c r="L1418" s="160"/>
      <c r="M1418" s="388"/>
      <c r="N1418" s="375"/>
      <c r="W1418" s="113"/>
      <c r="X1418" s="241"/>
      <c r="Y1418" s="284"/>
      <c r="Z1418" s="207"/>
      <c r="AA1418" s="284"/>
      <c r="AB1418" s="284"/>
      <c r="AC1418" s="137"/>
      <c r="AD1418" s="284"/>
      <c r="AE1418" s="299"/>
      <c r="AF1418" s="299"/>
      <c r="AG1418" s="284"/>
    </row>
    <row r="1419" spans="2:33">
      <c r="B1419" s="86"/>
      <c r="C1419" s="84"/>
      <c r="D1419" s="86"/>
      <c r="E1419" s="84"/>
      <c r="F1419" s="284"/>
      <c r="G1419" s="49"/>
      <c r="H1419" s="284"/>
      <c r="I1419" s="74"/>
      <c r="J1419" s="371"/>
      <c r="K1419" s="77"/>
      <c r="L1419" s="160"/>
      <c r="M1419" s="388"/>
      <c r="N1419" s="375"/>
      <c r="W1419" s="113"/>
      <c r="X1419" s="241"/>
      <c r="Y1419" s="284"/>
      <c r="Z1419" s="207"/>
      <c r="AA1419" s="284"/>
      <c r="AB1419" s="284"/>
      <c r="AC1419" s="137"/>
      <c r="AD1419" s="284"/>
      <c r="AE1419" s="299"/>
      <c r="AF1419" s="299"/>
      <c r="AG1419" s="284"/>
    </row>
    <row r="1420" spans="2:33">
      <c r="B1420" s="86"/>
      <c r="C1420" s="84"/>
      <c r="D1420" s="86"/>
      <c r="E1420" s="84"/>
      <c r="F1420" s="284"/>
      <c r="G1420" s="49"/>
      <c r="H1420" s="284"/>
      <c r="I1420" s="74"/>
      <c r="J1420" s="371"/>
      <c r="K1420" s="77"/>
      <c r="L1420" s="160"/>
      <c r="M1420" s="388"/>
      <c r="N1420" s="375"/>
      <c r="W1420" s="113"/>
      <c r="X1420" s="241"/>
      <c r="Y1420" s="284"/>
      <c r="Z1420" s="207"/>
      <c r="AA1420" s="284"/>
      <c r="AB1420" s="284"/>
      <c r="AC1420" s="137"/>
      <c r="AD1420" s="284"/>
      <c r="AE1420" s="299"/>
      <c r="AF1420" s="299"/>
      <c r="AG1420" s="284"/>
    </row>
    <row r="1421" spans="2:33">
      <c r="B1421" s="86"/>
      <c r="C1421" s="84"/>
      <c r="D1421" s="86"/>
      <c r="E1421" s="84"/>
      <c r="F1421" s="284"/>
      <c r="G1421" s="49"/>
      <c r="H1421" s="284"/>
      <c r="I1421" s="74"/>
      <c r="J1421" s="371"/>
      <c r="K1421" s="77"/>
      <c r="L1421" s="160"/>
      <c r="M1421" s="388"/>
      <c r="N1421" s="375"/>
      <c r="W1421" s="113"/>
      <c r="X1421" s="241"/>
      <c r="Y1421" s="284"/>
      <c r="Z1421" s="207"/>
      <c r="AA1421" s="284"/>
      <c r="AB1421" s="284"/>
      <c r="AC1421" s="137"/>
      <c r="AD1421" s="284"/>
      <c r="AE1421" s="299"/>
      <c r="AF1421" s="299"/>
      <c r="AG1421" s="284"/>
    </row>
    <row r="1422" spans="2:33">
      <c r="B1422" s="86"/>
      <c r="C1422" s="84"/>
      <c r="D1422" s="86"/>
      <c r="E1422" s="84"/>
      <c r="F1422" s="284"/>
      <c r="G1422" s="49"/>
      <c r="H1422" s="284"/>
      <c r="I1422" s="74"/>
      <c r="J1422" s="371"/>
      <c r="K1422" s="77"/>
      <c r="L1422" s="160"/>
      <c r="M1422" s="388"/>
      <c r="N1422" s="375"/>
      <c r="W1422" s="113"/>
      <c r="X1422" s="241"/>
      <c r="Y1422" s="284"/>
      <c r="Z1422" s="207"/>
      <c r="AA1422" s="284"/>
      <c r="AB1422" s="284"/>
      <c r="AC1422" s="137"/>
      <c r="AD1422" s="284"/>
      <c r="AE1422" s="299"/>
      <c r="AF1422" s="299"/>
      <c r="AG1422" s="284"/>
    </row>
    <row r="1423" spans="2:33">
      <c r="B1423" s="86"/>
      <c r="C1423" s="84"/>
      <c r="D1423" s="86"/>
      <c r="E1423" s="84"/>
      <c r="F1423" s="284"/>
      <c r="G1423" s="49"/>
      <c r="H1423" s="284"/>
      <c r="I1423" s="74"/>
      <c r="J1423" s="371"/>
      <c r="K1423" s="77"/>
      <c r="L1423" s="160"/>
      <c r="M1423" s="388"/>
      <c r="N1423" s="375"/>
      <c r="W1423" s="113"/>
      <c r="X1423" s="241"/>
      <c r="Y1423" s="284"/>
      <c r="Z1423" s="207"/>
      <c r="AA1423" s="284"/>
      <c r="AB1423" s="284"/>
      <c r="AC1423" s="137"/>
      <c r="AD1423" s="284"/>
      <c r="AE1423" s="299"/>
      <c r="AF1423" s="299"/>
      <c r="AG1423" s="284"/>
    </row>
    <row r="1424" spans="2:33">
      <c r="B1424" s="86"/>
      <c r="C1424" s="84"/>
      <c r="D1424" s="86"/>
      <c r="E1424" s="84"/>
      <c r="F1424" s="284"/>
      <c r="G1424" s="49"/>
      <c r="H1424" s="284"/>
      <c r="I1424" s="74"/>
      <c r="J1424" s="371"/>
      <c r="K1424" s="77"/>
      <c r="L1424" s="160"/>
      <c r="M1424" s="388"/>
      <c r="N1424" s="375"/>
      <c r="W1424" s="113"/>
      <c r="X1424" s="241"/>
      <c r="Y1424" s="284"/>
      <c r="Z1424" s="207"/>
      <c r="AA1424" s="284"/>
      <c r="AB1424" s="284"/>
      <c r="AC1424" s="137"/>
      <c r="AD1424" s="284"/>
      <c r="AE1424" s="299"/>
      <c r="AF1424" s="299"/>
      <c r="AG1424" s="284"/>
    </row>
    <row r="1425" spans="2:33">
      <c r="B1425" s="86"/>
      <c r="C1425" s="84"/>
      <c r="D1425" s="86"/>
      <c r="E1425" s="84"/>
      <c r="F1425" s="284"/>
      <c r="G1425" s="49"/>
      <c r="H1425" s="284"/>
      <c r="I1425" s="74"/>
      <c r="J1425" s="371"/>
      <c r="K1425" s="77"/>
      <c r="L1425" s="160"/>
      <c r="M1425" s="388"/>
      <c r="N1425" s="375"/>
      <c r="W1425" s="113"/>
      <c r="X1425" s="241"/>
      <c r="Y1425" s="284"/>
      <c r="Z1425" s="207"/>
      <c r="AA1425" s="284"/>
      <c r="AB1425" s="284"/>
      <c r="AC1425" s="137"/>
      <c r="AD1425" s="284"/>
      <c r="AE1425" s="299"/>
      <c r="AF1425" s="299"/>
      <c r="AG1425" s="284"/>
    </row>
    <row r="1426" spans="2:33">
      <c r="B1426" s="86"/>
      <c r="C1426" s="84"/>
      <c r="D1426" s="86"/>
      <c r="E1426" s="84"/>
      <c r="F1426" s="284"/>
      <c r="G1426" s="49"/>
      <c r="H1426" s="284"/>
      <c r="I1426" s="74"/>
      <c r="J1426" s="371"/>
      <c r="K1426" s="77"/>
      <c r="L1426" s="160"/>
      <c r="M1426" s="388"/>
      <c r="N1426" s="375"/>
      <c r="W1426" s="113"/>
      <c r="X1426" s="241"/>
      <c r="Y1426" s="284"/>
      <c r="Z1426" s="207"/>
      <c r="AA1426" s="284"/>
      <c r="AB1426" s="284"/>
      <c r="AC1426" s="137"/>
      <c r="AD1426" s="284"/>
      <c r="AE1426" s="299"/>
      <c r="AF1426" s="299"/>
      <c r="AG1426" s="284"/>
    </row>
    <row r="1427" spans="2:33">
      <c r="B1427" s="86"/>
      <c r="C1427" s="84"/>
      <c r="D1427" s="86"/>
      <c r="E1427" s="84"/>
      <c r="F1427" s="284"/>
      <c r="G1427" s="49"/>
      <c r="H1427" s="284"/>
      <c r="I1427" s="74"/>
      <c r="J1427" s="371"/>
      <c r="K1427" s="77"/>
      <c r="L1427" s="160"/>
      <c r="M1427" s="388"/>
      <c r="N1427" s="375"/>
      <c r="W1427" s="113"/>
      <c r="X1427" s="241"/>
      <c r="Y1427" s="284"/>
      <c r="Z1427" s="207"/>
      <c r="AA1427" s="284"/>
      <c r="AB1427" s="284"/>
      <c r="AC1427" s="137"/>
      <c r="AD1427" s="284"/>
      <c r="AE1427" s="299"/>
      <c r="AF1427" s="299"/>
      <c r="AG1427" s="284"/>
    </row>
    <row r="1428" spans="2:33">
      <c r="B1428" s="86"/>
      <c r="C1428" s="84"/>
      <c r="D1428" s="86"/>
      <c r="E1428" s="84"/>
      <c r="F1428" s="284"/>
      <c r="G1428" s="49"/>
      <c r="H1428" s="284"/>
      <c r="I1428" s="74"/>
      <c r="J1428" s="371"/>
      <c r="K1428" s="77"/>
      <c r="L1428" s="160"/>
      <c r="M1428" s="388"/>
      <c r="N1428" s="375"/>
      <c r="W1428" s="113"/>
      <c r="X1428" s="241"/>
      <c r="Y1428" s="284"/>
      <c r="Z1428" s="207"/>
      <c r="AA1428" s="284"/>
      <c r="AB1428" s="284"/>
      <c r="AC1428" s="137"/>
      <c r="AD1428" s="284"/>
      <c r="AE1428" s="299"/>
      <c r="AF1428" s="299"/>
      <c r="AG1428" s="284"/>
    </row>
    <row r="1429" spans="2:33">
      <c r="B1429" s="86"/>
      <c r="C1429" s="84"/>
      <c r="D1429" s="86"/>
      <c r="E1429" s="84"/>
      <c r="F1429" s="284"/>
      <c r="G1429" s="49"/>
      <c r="H1429" s="284"/>
      <c r="I1429" s="74"/>
      <c r="J1429" s="371"/>
      <c r="K1429" s="77"/>
      <c r="L1429" s="160"/>
      <c r="M1429" s="388"/>
      <c r="N1429" s="375"/>
      <c r="W1429" s="113"/>
      <c r="X1429" s="241"/>
      <c r="Y1429" s="284"/>
      <c r="Z1429" s="207"/>
      <c r="AA1429" s="284"/>
      <c r="AB1429" s="284"/>
      <c r="AC1429" s="137"/>
      <c r="AD1429" s="284"/>
      <c r="AE1429" s="299"/>
      <c r="AF1429" s="299"/>
      <c r="AG1429" s="284"/>
    </row>
    <row r="1430" spans="2:33">
      <c r="B1430" s="86"/>
      <c r="C1430" s="84"/>
      <c r="D1430" s="86"/>
      <c r="E1430" s="84"/>
      <c r="F1430" s="284"/>
      <c r="G1430" s="49"/>
      <c r="H1430" s="284"/>
      <c r="I1430" s="74"/>
      <c r="J1430" s="371"/>
      <c r="K1430" s="77"/>
      <c r="L1430" s="160"/>
      <c r="M1430" s="388"/>
      <c r="N1430" s="375"/>
      <c r="W1430" s="113"/>
      <c r="X1430" s="241"/>
      <c r="Y1430" s="284"/>
      <c r="Z1430" s="207"/>
      <c r="AA1430" s="284"/>
      <c r="AB1430" s="284"/>
      <c r="AC1430" s="137"/>
      <c r="AD1430" s="284"/>
      <c r="AE1430" s="299"/>
      <c r="AF1430" s="299"/>
      <c r="AG1430" s="284"/>
    </row>
    <row r="1431" spans="2:33">
      <c r="B1431" s="86"/>
      <c r="C1431" s="84"/>
      <c r="D1431" s="86"/>
      <c r="E1431" s="84"/>
      <c r="F1431" s="284"/>
      <c r="G1431" s="49"/>
      <c r="H1431" s="284"/>
      <c r="I1431" s="74"/>
      <c r="J1431" s="371"/>
      <c r="K1431" s="77"/>
      <c r="L1431" s="160"/>
      <c r="M1431" s="388"/>
      <c r="N1431" s="375"/>
      <c r="W1431" s="113"/>
      <c r="X1431" s="241"/>
      <c r="Y1431" s="284"/>
      <c r="Z1431" s="207"/>
      <c r="AA1431" s="284"/>
      <c r="AB1431" s="284"/>
      <c r="AC1431" s="137"/>
      <c r="AD1431" s="284"/>
      <c r="AE1431" s="299"/>
      <c r="AF1431" s="299"/>
      <c r="AG1431" s="284"/>
    </row>
    <row r="1432" spans="2:33">
      <c r="B1432" s="86"/>
      <c r="C1432" s="84"/>
      <c r="D1432" s="86"/>
      <c r="E1432" s="84"/>
      <c r="F1432" s="284"/>
      <c r="G1432" s="49"/>
      <c r="H1432" s="284"/>
      <c r="I1432" s="74"/>
      <c r="J1432" s="371"/>
      <c r="K1432" s="77"/>
      <c r="L1432" s="160"/>
      <c r="M1432" s="388"/>
      <c r="N1432" s="375"/>
      <c r="W1432" s="113"/>
      <c r="X1432" s="241"/>
      <c r="Y1432" s="284"/>
      <c r="Z1432" s="207"/>
      <c r="AA1432" s="284"/>
      <c r="AB1432" s="284"/>
      <c r="AC1432" s="137"/>
      <c r="AD1432" s="284"/>
      <c r="AE1432" s="299"/>
      <c r="AF1432" s="299"/>
      <c r="AG1432" s="284"/>
    </row>
    <row r="1433" spans="2:33">
      <c r="B1433" s="86"/>
      <c r="C1433" s="84"/>
      <c r="D1433" s="86"/>
      <c r="E1433" s="84"/>
      <c r="F1433" s="284"/>
      <c r="G1433" s="49"/>
      <c r="H1433" s="284"/>
      <c r="I1433" s="74"/>
      <c r="J1433" s="371"/>
      <c r="K1433" s="77"/>
      <c r="L1433" s="160"/>
      <c r="M1433" s="388"/>
      <c r="N1433" s="375"/>
      <c r="W1433" s="113"/>
      <c r="X1433" s="241"/>
      <c r="Y1433" s="284"/>
      <c r="Z1433" s="207"/>
      <c r="AA1433" s="284"/>
      <c r="AB1433" s="284"/>
      <c r="AC1433" s="137"/>
      <c r="AD1433" s="284"/>
      <c r="AE1433" s="299"/>
      <c r="AF1433" s="299"/>
      <c r="AG1433" s="284"/>
    </row>
    <row r="1434" spans="2:33">
      <c r="B1434" s="86"/>
      <c r="C1434" s="84"/>
      <c r="D1434" s="86"/>
      <c r="E1434" s="84"/>
      <c r="F1434" s="284"/>
      <c r="G1434" s="49"/>
      <c r="H1434" s="284"/>
      <c r="I1434" s="74"/>
      <c r="J1434" s="371"/>
      <c r="K1434" s="77"/>
      <c r="L1434" s="160"/>
      <c r="M1434" s="388"/>
      <c r="N1434" s="375"/>
      <c r="W1434" s="113"/>
      <c r="X1434" s="241"/>
      <c r="Y1434" s="284"/>
      <c r="Z1434" s="207"/>
      <c r="AA1434" s="284"/>
      <c r="AB1434" s="284"/>
      <c r="AC1434" s="137"/>
      <c r="AD1434" s="284"/>
      <c r="AE1434" s="299"/>
      <c r="AF1434" s="299"/>
      <c r="AG1434" s="284"/>
    </row>
    <row r="1435" spans="2:33">
      <c r="B1435" s="86"/>
      <c r="C1435" s="84"/>
      <c r="D1435" s="86"/>
      <c r="E1435" s="84"/>
      <c r="F1435" s="284"/>
      <c r="G1435" s="49"/>
      <c r="H1435" s="284"/>
      <c r="I1435" s="74"/>
      <c r="J1435" s="371"/>
      <c r="K1435" s="77"/>
      <c r="L1435" s="160"/>
      <c r="M1435" s="388"/>
      <c r="N1435" s="375"/>
      <c r="W1435" s="113"/>
      <c r="X1435" s="241"/>
      <c r="Y1435" s="284"/>
      <c r="Z1435" s="207"/>
      <c r="AA1435" s="284"/>
      <c r="AB1435" s="284"/>
      <c r="AC1435" s="137"/>
      <c r="AD1435" s="284"/>
      <c r="AE1435" s="299"/>
      <c r="AF1435" s="299"/>
      <c r="AG1435" s="284"/>
    </row>
    <row r="1436" spans="2:33">
      <c r="B1436" s="86"/>
      <c r="C1436" s="84"/>
      <c r="D1436" s="86"/>
      <c r="E1436" s="84"/>
      <c r="F1436" s="284"/>
      <c r="G1436" s="49"/>
      <c r="H1436" s="284"/>
      <c r="I1436" s="74"/>
      <c r="J1436" s="371"/>
      <c r="K1436" s="77"/>
      <c r="L1436" s="160"/>
      <c r="M1436" s="388"/>
      <c r="N1436" s="375"/>
      <c r="W1436" s="113"/>
      <c r="X1436" s="241"/>
      <c r="Y1436" s="284"/>
      <c r="Z1436" s="207"/>
      <c r="AA1436" s="284"/>
      <c r="AB1436" s="284"/>
      <c r="AC1436" s="137"/>
      <c r="AD1436" s="284"/>
      <c r="AE1436" s="299"/>
      <c r="AF1436" s="299"/>
      <c r="AG1436" s="284"/>
    </row>
    <row r="1437" spans="2:33">
      <c r="B1437" s="86"/>
      <c r="C1437" s="84"/>
      <c r="D1437" s="86"/>
      <c r="E1437" s="84"/>
      <c r="F1437" s="284"/>
      <c r="G1437" s="49"/>
      <c r="H1437" s="284"/>
      <c r="I1437" s="74"/>
      <c r="J1437" s="371"/>
      <c r="K1437" s="77"/>
      <c r="L1437" s="160"/>
      <c r="M1437" s="388"/>
      <c r="N1437" s="375"/>
      <c r="W1437" s="113"/>
      <c r="X1437" s="241"/>
      <c r="Y1437" s="284"/>
      <c r="Z1437" s="207"/>
      <c r="AA1437" s="284"/>
      <c r="AB1437" s="284"/>
      <c r="AC1437" s="137"/>
      <c r="AD1437" s="284"/>
      <c r="AE1437" s="299"/>
      <c r="AF1437" s="299"/>
      <c r="AG1437" s="284"/>
    </row>
    <row r="1438" spans="2:33">
      <c r="B1438" s="86"/>
      <c r="C1438" s="84"/>
      <c r="D1438" s="86"/>
      <c r="E1438" s="84"/>
      <c r="F1438" s="284"/>
      <c r="G1438" s="49"/>
      <c r="H1438" s="284"/>
      <c r="I1438" s="74"/>
      <c r="J1438" s="371"/>
      <c r="K1438" s="77"/>
      <c r="L1438" s="160"/>
      <c r="M1438" s="388"/>
      <c r="N1438" s="375"/>
      <c r="W1438" s="113"/>
      <c r="X1438" s="241"/>
      <c r="Y1438" s="284"/>
      <c r="Z1438" s="207"/>
      <c r="AA1438" s="284"/>
      <c r="AB1438" s="284"/>
      <c r="AC1438" s="137"/>
      <c r="AD1438" s="284"/>
      <c r="AE1438" s="299"/>
      <c r="AF1438" s="299"/>
      <c r="AG1438" s="284"/>
    </row>
    <row r="1439" spans="2:33">
      <c r="B1439" s="86"/>
      <c r="C1439" s="84"/>
      <c r="D1439" s="86"/>
      <c r="E1439" s="84"/>
      <c r="F1439" s="284"/>
      <c r="G1439" s="49"/>
      <c r="H1439" s="284"/>
      <c r="I1439" s="74"/>
      <c r="J1439" s="371"/>
      <c r="K1439" s="77"/>
      <c r="L1439" s="160"/>
      <c r="M1439" s="388"/>
      <c r="N1439" s="375"/>
      <c r="W1439" s="113"/>
      <c r="X1439" s="241"/>
      <c r="Y1439" s="284"/>
      <c r="Z1439" s="207"/>
      <c r="AA1439" s="284"/>
      <c r="AB1439" s="284"/>
      <c r="AC1439" s="137"/>
      <c r="AD1439" s="284"/>
      <c r="AE1439" s="299"/>
      <c r="AF1439" s="299"/>
      <c r="AG1439" s="284"/>
    </row>
    <row r="1440" spans="2:33">
      <c r="B1440" s="86"/>
      <c r="C1440" s="84"/>
      <c r="D1440" s="86"/>
      <c r="E1440" s="84"/>
      <c r="F1440" s="284"/>
      <c r="G1440" s="49"/>
      <c r="H1440" s="284"/>
      <c r="I1440" s="74"/>
      <c r="J1440" s="371"/>
      <c r="K1440" s="77"/>
      <c r="L1440" s="160"/>
      <c r="M1440" s="388"/>
      <c r="N1440" s="375"/>
      <c r="W1440" s="113"/>
      <c r="X1440" s="241"/>
      <c r="Y1440" s="284"/>
      <c r="Z1440" s="207"/>
      <c r="AA1440" s="284"/>
      <c r="AB1440" s="284"/>
      <c r="AC1440" s="137"/>
      <c r="AD1440" s="284"/>
      <c r="AE1440" s="299"/>
      <c r="AF1440" s="299"/>
      <c r="AG1440" s="284"/>
    </row>
    <row r="1441" spans="2:33">
      <c r="B1441" s="86"/>
      <c r="C1441" s="84"/>
      <c r="D1441" s="86"/>
      <c r="E1441" s="84"/>
      <c r="F1441" s="284"/>
      <c r="G1441" s="49"/>
      <c r="H1441" s="284"/>
      <c r="I1441" s="74"/>
      <c r="J1441" s="371"/>
      <c r="K1441" s="77"/>
      <c r="L1441" s="160"/>
      <c r="M1441" s="388"/>
      <c r="N1441" s="375"/>
      <c r="W1441" s="113"/>
      <c r="X1441" s="241"/>
      <c r="Y1441" s="284"/>
      <c r="Z1441" s="207"/>
      <c r="AA1441" s="284"/>
      <c r="AB1441" s="284"/>
      <c r="AC1441" s="137"/>
      <c r="AD1441" s="284"/>
      <c r="AE1441" s="299"/>
      <c r="AF1441" s="299"/>
      <c r="AG1441" s="284"/>
    </row>
    <row r="1442" spans="2:33">
      <c r="B1442" s="86"/>
      <c r="C1442" s="84"/>
      <c r="D1442" s="86"/>
      <c r="E1442" s="84"/>
      <c r="F1442" s="284"/>
      <c r="G1442" s="49"/>
      <c r="H1442" s="284"/>
      <c r="I1442" s="74"/>
      <c r="J1442" s="371"/>
      <c r="K1442" s="77"/>
      <c r="L1442" s="160"/>
      <c r="M1442" s="388"/>
      <c r="N1442" s="375"/>
      <c r="W1442" s="113"/>
      <c r="X1442" s="241"/>
      <c r="Y1442" s="284"/>
      <c r="Z1442" s="207"/>
      <c r="AA1442" s="284"/>
      <c r="AB1442" s="284"/>
      <c r="AC1442" s="137"/>
      <c r="AD1442" s="284"/>
      <c r="AE1442" s="299"/>
      <c r="AF1442" s="299"/>
      <c r="AG1442" s="284"/>
    </row>
    <row r="1443" spans="2:33">
      <c r="B1443" s="86"/>
      <c r="C1443" s="84"/>
      <c r="D1443" s="86"/>
      <c r="E1443" s="84"/>
      <c r="F1443" s="284"/>
      <c r="G1443" s="49"/>
      <c r="H1443" s="284"/>
      <c r="I1443" s="74"/>
      <c r="J1443" s="371"/>
      <c r="K1443" s="77"/>
      <c r="L1443" s="160"/>
      <c r="M1443" s="388"/>
      <c r="N1443" s="375"/>
      <c r="W1443" s="113"/>
      <c r="X1443" s="241"/>
      <c r="Y1443" s="284"/>
      <c r="Z1443" s="207"/>
      <c r="AA1443" s="284"/>
      <c r="AB1443" s="284"/>
      <c r="AC1443" s="137"/>
      <c r="AD1443" s="284"/>
      <c r="AE1443" s="299"/>
      <c r="AF1443" s="299"/>
      <c r="AG1443" s="284"/>
    </row>
    <row r="1444" spans="2:33">
      <c r="B1444" s="86"/>
      <c r="C1444" s="84"/>
      <c r="D1444" s="86"/>
      <c r="E1444" s="84"/>
      <c r="F1444" s="284"/>
      <c r="G1444" s="49"/>
      <c r="H1444" s="284"/>
      <c r="I1444" s="74"/>
      <c r="J1444" s="371"/>
      <c r="K1444" s="77"/>
      <c r="L1444" s="160"/>
      <c r="M1444" s="388"/>
      <c r="N1444" s="375"/>
      <c r="W1444" s="113"/>
      <c r="X1444" s="241"/>
      <c r="Y1444" s="284"/>
      <c r="Z1444" s="207"/>
      <c r="AA1444" s="284"/>
      <c r="AB1444" s="284"/>
      <c r="AC1444" s="137"/>
      <c r="AD1444" s="284"/>
      <c r="AE1444" s="299"/>
      <c r="AF1444" s="299"/>
      <c r="AG1444" s="284"/>
    </row>
    <row r="1445" spans="2:33">
      <c r="B1445" s="86"/>
      <c r="C1445" s="84"/>
      <c r="D1445" s="86"/>
      <c r="E1445" s="84"/>
      <c r="F1445" s="284"/>
      <c r="G1445" s="49"/>
      <c r="H1445" s="284"/>
      <c r="I1445" s="74"/>
      <c r="J1445" s="371"/>
      <c r="K1445" s="77"/>
      <c r="L1445" s="160"/>
      <c r="M1445" s="388"/>
      <c r="N1445" s="375"/>
      <c r="W1445" s="113"/>
      <c r="X1445" s="241"/>
      <c r="Y1445" s="284"/>
      <c r="Z1445" s="207"/>
      <c r="AA1445" s="284"/>
      <c r="AB1445" s="284"/>
      <c r="AC1445" s="137"/>
      <c r="AD1445" s="284"/>
      <c r="AE1445" s="299"/>
      <c r="AF1445" s="299"/>
      <c r="AG1445" s="284"/>
    </row>
    <row r="1446" spans="2:33">
      <c r="B1446" s="86"/>
      <c r="C1446" s="84"/>
      <c r="D1446" s="86"/>
      <c r="E1446" s="84"/>
      <c r="F1446" s="284"/>
      <c r="G1446" s="49"/>
      <c r="H1446" s="284"/>
      <c r="I1446" s="74"/>
      <c r="J1446" s="371"/>
      <c r="K1446" s="77"/>
      <c r="L1446" s="160"/>
      <c r="M1446" s="388"/>
      <c r="N1446" s="375"/>
      <c r="W1446" s="113"/>
      <c r="X1446" s="241"/>
      <c r="Y1446" s="284"/>
      <c r="Z1446" s="207"/>
      <c r="AA1446" s="284"/>
      <c r="AB1446" s="284"/>
      <c r="AC1446" s="137"/>
      <c r="AD1446" s="284"/>
      <c r="AE1446" s="299"/>
      <c r="AF1446" s="299"/>
      <c r="AG1446" s="284"/>
    </row>
    <row r="1447" spans="2:33">
      <c r="B1447" s="86"/>
      <c r="C1447" s="84"/>
      <c r="D1447" s="86"/>
      <c r="E1447" s="84"/>
      <c r="F1447" s="284"/>
      <c r="G1447" s="49"/>
      <c r="H1447" s="284"/>
      <c r="I1447" s="74"/>
      <c r="J1447" s="371"/>
      <c r="K1447" s="77"/>
      <c r="L1447" s="160"/>
      <c r="M1447" s="388"/>
      <c r="N1447" s="375"/>
      <c r="W1447" s="113"/>
      <c r="X1447" s="241"/>
      <c r="Y1447" s="284"/>
      <c r="Z1447" s="207"/>
      <c r="AA1447" s="284"/>
      <c r="AB1447" s="284"/>
      <c r="AC1447" s="137"/>
      <c r="AD1447" s="284"/>
      <c r="AE1447" s="299"/>
      <c r="AF1447" s="299"/>
      <c r="AG1447" s="284"/>
    </row>
    <row r="1448" spans="2:33">
      <c r="B1448" s="86"/>
      <c r="C1448" s="84"/>
      <c r="D1448" s="86"/>
      <c r="E1448" s="84"/>
      <c r="F1448" s="284"/>
      <c r="G1448" s="49"/>
      <c r="H1448" s="284"/>
      <c r="I1448" s="74"/>
      <c r="J1448" s="371"/>
      <c r="K1448" s="77"/>
      <c r="L1448" s="160"/>
      <c r="M1448" s="388"/>
      <c r="N1448" s="375"/>
      <c r="W1448" s="113"/>
      <c r="X1448" s="241"/>
      <c r="Y1448" s="284"/>
      <c r="Z1448" s="207"/>
      <c r="AA1448" s="284"/>
      <c r="AB1448" s="284"/>
      <c r="AC1448" s="137"/>
      <c r="AD1448" s="284"/>
      <c r="AE1448" s="299"/>
      <c r="AF1448" s="299"/>
      <c r="AG1448" s="284"/>
    </row>
    <row r="1449" spans="2:33">
      <c r="B1449" s="86"/>
      <c r="C1449" s="84"/>
      <c r="D1449" s="86"/>
      <c r="E1449" s="84"/>
      <c r="F1449" s="284"/>
      <c r="G1449" s="49"/>
      <c r="H1449" s="284"/>
      <c r="I1449" s="74"/>
      <c r="J1449" s="371"/>
      <c r="K1449" s="77"/>
      <c r="L1449" s="160"/>
      <c r="M1449" s="388"/>
      <c r="N1449" s="375"/>
      <c r="W1449" s="113"/>
      <c r="X1449" s="241"/>
      <c r="Y1449" s="284"/>
      <c r="Z1449" s="207"/>
      <c r="AA1449" s="284"/>
      <c r="AB1449" s="284"/>
      <c r="AC1449" s="137"/>
      <c r="AD1449" s="284"/>
      <c r="AE1449" s="299"/>
      <c r="AF1449" s="299"/>
      <c r="AG1449" s="284"/>
    </row>
    <row r="1450" spans="2:33">
      <c r="B1450" s="86"/>
      <c r="C1450" s="84"/>
      <c r="D1450" s="86"/>
      <c r="E1450" s="84"/>
      <c r="F1450" s="284"/>
      <c r="G1450" s="49"/>
      <c r="H1450" s="284"/>
      <c r="I1450" s="74"/>
      <c r="J1450" s="371"/>
      <c r="K1450" s="77"/>
      <c r="L1450" s="160"/>
      <c r="M1450" s="388"/>
      <c r="N1450" s="375"/>
      <c r="W1450" s="113"/>
      <c r="X1450" s="241"/>
      <c r="Y1450" s="284"/>
      <c r="Z1450" s="207"/>
      <c r="AA1450" s="284"/>
      <c r="AB1450" s="284"/>
      <c r="AC1450" s="137"/>
      <c r="AD1450" s="284"/>
      <c r="AE1450" s="299"/>
      <c r="AF1450" s="299"/>
      <c r="AG1450" s="284"/>
    </row>
    <row r="1451" spans="2:33">
      <c r="B1451" s="86"/>
      <c r="C1451" s="84"/>
      <c r="D1451" s="86"/>
      <c r="E1451" s="84"/>
      <c r="F1451" s="284"/>
      <c r="G1451" s="49"/>
      <c r="H1451" s="284"/>
      <c r="I1451" s="74"/>
      <c r="J1451" s="371"/>
      <c r="K1451" s="77"/>
      <c r="L1451" s="160"/>
      <c r="M1451" s="388"/>
      <c r="N1451" s="375"/>
      <c r="W1451" s="113"/>
      <c r="X1451" s="241"/>
      <c r="Y1451" s="284"/>
      <c r="Z1451" s="207"/>
      <c r="AA1451" s="284"/>
      <c r="AB1451" s="284"/>
      <c r="AC1451" s="137"/>
      <c r="AD1451" s="284"/>
      <c r="AE1451" s="299"/>
      <c r="AF1451" s="299"/>
      <c r="AG1451" s="284"/>
    </row>
    <row r="1452" spans="2:33">
      <c r="B1452" s="86"/>
      <c r="C1452" s="84"/>
      <c r="D1452" s="86"/>
      <c r="E1452" s="84"/>
      <c r="F1452" s="284"/>
      <c r="G1452" s="49"/>
      <c r="H1452" s="284"/>
      <c r="I1452" s="74"/>
      <c r="J1452" s="371"/>
      <c r="K1452" s="77"/>
      <c r="L1452" s="160"/>
      <c r="M1452" s="388"/>
      <c r="N1452" s="375"/>
      <c r="W1452" s="113"/>
      <c r="X1452" s="241"/>
      <c r="Y1452" s="284"/>
      <c r="Z1452" s="207"/>
      <c r="AA1452" s="284"/>
      <c r="AB1452" s="284"/>
      <c r="AC1452" s="137"/>
      <c r="AD1452" s="284"/>
      <c r="AE1452" s="299"/>
      <c r="AF1452" s="299"/>
      <c r="AG1452" s="284"/>
    </row>
    <row r="1453" spans="2:33">
      <c r="B1453" s="86"/>
      <c r="C1453" s="84"/>
      <c r="D1453" s="86"/>
      <c r="E1453" s="84"/>
      <c r="F1453" s="284"/>
      <c r="G1453" s="49"/>
      <c r="H1453" s="284"/>
      <c r="I1453" s="74"/>
      <c r="J1453" s="371"/>
      <c r="K1453" s="77"/>
      <c r="L1453" s="160"/>
      <c r="M1453" s="388"/>
      <c r="N1453" s="375"/>
      <c r="W1453" s="113"/>
      <c r="X1453" s="241"/>
      <c r="Y1453" s="284"/>
      <c r="Z1453" s="207"/>
      <c r="AA1453" s="284"/>
      <c r="AB1453" s="284"/>
      <c r="AC1453" s="137"/>
      <c r="AD1453" s="284"/>
      <c r="AE1453" s="299"/>
      <c r="AF1453" s="299"/>
      <c r="AG1453" s="284"/>
    </row>
    <row r="1454" spans="2:33">
      <c r="B1454" s="86"/>
      <c r="C1454" s="84"/>
      <c r="D1454" s="86"/>
      <c r="E1454" s="84"/>
      <c r="F1454" s="284"/>
      <c r="G1454" s="49"/>
      <c r="H1454" s="284"/>
      <c r="I1454" s="74"/>
      <c r="J1454" s="371"/>
      <c r="K1454" s="77"/>
      <c r="L1454" s="160"/>
      <c r="M1454" s="388"/>
      <c r="N1454" s="375"/>
      <c r="W1454" s="113"/>
      <c r="X1454" s="241"/>
      <c r="Y1454" s="284"/>
      <c r="Z1454" s="207"/>
      <c r="AA1454" s="284"/>
      <c r="AB1454" s="284"/>
      <c r="AC1454" s="137"/>
      <c r="AD1454" s="284"/>
      <c r="AE1454" s="299"/>
      <c r="AF1454" s="299"/>
      <c r="AG1454" s="284"/>
    </row>
    <row r="1455" spans="2:33">
      <c r="B1455" s="86"/>
      <c r="C1455" s="84"/>
      <c r="D1455" s="86"/>
      <c r="E1455" s="84"/>
      <c r="F1455" s="284"/>
      <c r="G1455" s="49"/>
      <c r="H1455" s="284"/>
      <c r="I1455" s="74"/>
      <c r="J1455" s="371"/>
      <c r="K1455" s="77"/>
      <c r="L1455" s="160"/>
      <c r="M1455" s="388"/>
      <c r="N1455" s="375"/>
      <c r="W1455" s="113"/>
      <c r="X1455" s="241"/>
      <c r="Y1455" s="284"/>
      <c r="Z1455" s="207"/>
      <c r="AA1455" s="284"/>
      <c r="AB1455" s="284"/>
      <c r="AC1455" s="137"/>
      <c r="AD1455" s="284"/>
      <c r="AE1455" s="299"/>
      <c r="AF1455" s="299"/>
      <c r="AG1455" s="284"/>
    </row>
    <row r="1456" spans="2:33">
      <c r="B1456" s="86"/>
      <c r="C1456" s="84"/>
      <c r="D1456" s="86"/>
      <c r="E1456" s="84"/>
      <c r="F1456" s="284"/>
      <c r="G1456" s="49"/>
      <c r="H1456" s="284"/>
      <c r="I1456" s="74"/>
      <c r="J1456" s="371"/>
      <c r="K1456" s="77"/>
      <c r="L1456" s="160"/>
      <c r="M1456" s="388"/>
      <c r="N1456" s="375"/>
      <c r="O1456" s="370"/>
      <c r="W1456" s="113"/>
      <c r="X1456" s="241"/>
      <c r="Y1456" s="284"/>
      <c r="Z1456" s="207"/>
      <c r="AA1456" s="284"/>
      <c r="AB1456" s="284"/>
      <c r="AC1456" s="137"/>
      <c r="AD1456" s="284"/>
      <c r="AE1456" s="299"/>
      <c r="AF1456" s="299"/>
      <c r="AG1456" s="284"/>
    </row>
    <row r="1457" spans="2:33">
      <c r="B1457" s="86"/>
      <c r="C1457" s="84"/>
      <c r="D1457" s="86"/>
      <c r="E1457" s="84"/>
      <c r="F1457" s="284"/>
      <c r="G1457" s="49"/>
      <c r="H1457" s="284"/>
      <c r="I1457" s="74"/>
      <c r="J1457" s="371"/>
      <c r="K1457" s="77"/>
      <c r="L1457" s="160"/>
      <c r="M1457" s="388"/>
      <c r="N1457" s="375"/>
      <c r="W1457" s="113"/>
      <c r="X1457" s="241"/>
      <c r="Y1457" s="284"/>
      <c r="Z1457" s="207"/>
      <c r="AA1457" s="284"/>
      <c r="AB1457" s="284"/>
      <c r="AC1457" s="137"/>
      <c r="AD1457" s="284"/>
      <c r="AE1457" s="299"/>
      <c r="AF1457" s="299"/>
      <c r="AG1457" s="284"/>
    </row>
    <row r="1458" spans="2:33">
      <c r="B1458" s="86"/>
      <c r="C1458" s="84"/>
      <c r="D1458" s="86"/>
      <c r="E1458" s="84"/>
      <c r="F1458" s="284"/>
      <c r="G1458" s="49"/>
      <c r="H1458" s="284"/>
      <c r="I1458" s="74"/>
      <c r="J1458" s="371"/>
      <c r="K1458" s="77"/>
      <c r="L1458" s="160"/>
      <c r="M1458" s="388"/>
      <c r="N1458" s="375"/>
      <c r="W1458" s="113"/>
      <c r="X1458" s="241"/>
      <c r="Y1458" s="284"/>
      <c r="Z1458" s="207"/>
      <c r="AA1458" s="284"/>
      <c r="AB1458" s="284"/>
      <c r="AC1458" s="137"/>
      <c r="AD1458" s="284"/>
      <c r="AE1458" s="299"/>
      <c r="AF1458" s="299"/>
      <c r="AG1458" s="284"/>
    </row>
    <row r="1459" spans="2:33">
      <c r="B1459" s="86"/>
      <c r="C1459" s="84"/>
      <c r="D1459" s="86"/>
      <c r="E1459" s="84"/>
      <c r="F1459" s="284"/>
      <c r="G1459" s="49"/>
      <c r="H1459" s="284"/>
      <c r="I1459" s="74"/>
      <c r="J1459" s="371"/>
      <c r="K1459" s="77"/>
      <c r="L1459" s="160"/>
      <c r="M1459" s="388"/>
      <c r="N1459" s="375"/>
      <c r="W1459" s="113"/>
      <c r="X1459" s="241"/>
      <c r="Y1459" s="284"/>
      <c r="Z1459" s="207"/>
      <c r="AA1459" s="284"/>
      <c r="AB1459" s="284"/>
      <c r="AC1459" s="137"/>
      <c r="AD1459" s="284"/>
      <c r="AE1459" s="299"/>
      <c r="AF1459" s="299"/>
      <c r="AG1459" s="284"/>
    </row>
    <row r="1460" spans="2:33">
      <c r="B1460" s="86"/>
      <c r="C1460" s="84"/>
      <c r="D1460" s="86"/>
      <c r="E1460" s="84"/>
      <c r="F1460" s="284"/>
      <c r="G1460" s="49"/>
      <c r="H1460" s="284"/>
      <c r="I1460" s="74"/>
      <c r="J1460" s="371"/>
      <c r="K1460" s="77"/>
      <c r="L1460" s="160"/>
      <c r="M1460" s="388"/>
      <c r="N1460" s="375"/>
      <c r="W1460" s="113"/>
      <c r="X1460" s="241"/>
      <c r="Y1460" s="284"/>
      <c r="Z1460" s="207"/>
      <c r="AA1460" s="284"/>
      <c r="AB1460" s="284"/>
      <c r="AC1460" s="137"/>
      <c r="AD1460" s="284"/>
      <c r="AE1460" s="299"/>
      <c r="AF1460" s="299"/>
      <c r="AG1460" s="284"/>
    </row>
    <row r="1461" spans="2:33">
      <c r="B1461" s="86"/>
      <c r="C1461" s="84"/>
      <c r="D1461" s="86"/>
      <c r="E1461" s="84"/>
      <c r="F1461" s="284"/>
      <c r="G1461" s="49"/>
      <c r="H1461" s="284"/>
      <c r="I1461" s="74"/>
      <c r="J1461" s="371"/>
      <c r="K1461" s="77"/>
      <c r="L1461" s="160"/>
      <c r="M1461" s="388"/>
      <c r="N1461" s="375"/>
      <c r="W1461" s="113"/>
      <c r="X1461" s="241"/>
      <c r="Y1461" s="284"/>
      <c r="Z1461" s="207"/>
      <c r="AA1461" s="284"/>
      <c r="AB1461" s="284"/>
      <c r="AC1461" s="137"/>
      <c r="AD1461" s="284"/>
      <c r="AE1461" s="299"/>
      <c r="AF1461" s="299"/>
      <c r="AG1461" s="284"/>
    </row>
    <row r="1462" spans="2:33">
      <c r="B1462" s="86"/>
      <c r="C1462" s="84"/>
      <c r="D1462" s="86"/>
      <c r="E1462" s="84"/>
      <c r="F1462" s="284"/>
      <c r="G1462" s="49"/>
      <c r="H1462" s="284"/>
      <c r="I1462" s="74"/>
      <c r="J1462" s="371"/>
      <c r="K1462" s="77"/>
      <c r="L1462" s="160"/>
      <c r="M1462" s="388"/>
      <c r="N1462" s="375"/>
      <c r="W1462" s="113"/>
      <c r="X1462" s="241"/>
      <c r="Y1462" s="284"/>
      <c r="Z1462" s="207"/>
      <c r="AA1462" s="284"/>
      <c r="AB1462" s="284"/>
      <c r="AC1462" s="137"/>
      <c r="AD1462" s="284"/>
      <c r="AE1462" s="299"/>
      <c r="AF1462" s="299"/>
      <c r="AG1462" s="284"/>
    </row>
    <row r="1463" spans="2:33">
      <c r="B1463" s="86"/>
      <c r="C1463" s="84"/>
      <c r="D1463" s="86"/>
      <c r="E1463" s="84"/>
      <c r="F1463" s="284"/>
      <c r="G1463" s="49"/>
      <c r="H1463" s="284"/>
      <c r="I1463" s="74"/>
      <c r="J1463" s="371"/>
      <c r="K1463" s="77"/>
      <c r="L1463" s="160"/>
      <c r="M1463" s="388"/>
      <c r="N1463" s="375"/>
      <c r="W1463" s="113"/>
      <c r="X1463" s="241"/>
      <c r="Y1463" s="284"/>
      <c r="Z1463" s="207"/>
      <c r="AA1463" s="284"/>
      <c r="AB1463" s="284"/>
      <c r="AC1463" s="137"/>
      <c r="AD1463" s="284"/>
      <c r="AE1463" s="299"/>
      <c r="AF1463" s="299"/>
      <c r="AG1463" s="284"/>
    </row>
    <row r="1464" spans="2:33">
      <c r="B1464" s="86"/>
      <c r="C1464" s="84"/>
      <c r="D1464" s="86"/>
      <c r="E1464" s="84"/>
      <c r="F1464" s="284"/>
      <c r="G1464" s="49"/>
      <c r="H1464" s="284"/>
      <c r="I1464" s="74"/>
      <c r="J1464" s="371"/>
      <c r="K1464" s="77"/>
      <c r="L1464" s="160"/>
      <c r="M1464" s="388"/>
      <c r="N1464" s="375"/>
      <c r="W1464" s="113"/>
      <c r="X1464" s="241"/>
      <c r="Y1464" s="284"/>
      <c r="Z1464" s="207"/>
      <c r="AA1464" s="284"/>
      <c r="AB1464" s="284"/>
      <c r="AC1464" s="137"/>
      <c r="AD1464" s="284"/>
      <c r="AE1464" s="299"/>
      <c r="AF1464" s="299"/>
      <c r="AG1464" s="284"/>
    </row>
    <row r="1465" spans="2:33">
      <c r="B1465" s="86"/>
      <c r="C1465" s="84"/>
      <c r="D1465" s="86"/>
      <c r="E1465" s="84"/>
      <c r="F1465" s="284"/>
      <c r="G1465" s="49"/>
      <c r="H1465" s="284"/>
      <c r="I1465" s="74"/>
      <c r="J1465" s="371"/>
      <c r="K1465" s="77"/>
      <c r="L1465" s="160"/>
      <c r="M1465" s="388"/>
      <c r="N1465" s="375"/>
      <c r="W1465" s="113"/>
      <c r="X1465" s="241"/>
      <c r="Y1465" s="284"/>
      <c r="Z1465" s="207"/>
      <c r="AA1465" s="284"/>
      <c r="AB1465" s="284"/>
      <c r="AC1465" s="137"/>
      <c r="AD1465" s="284"/>
      <c r="AE1465" s="299"/>
      <c r="AF1465" s="299"/>
      <c r="AG1465" s="284"/>
    </row>
    <row r="1466" spans="2:33">
      <c r="B1466" s="86"/>
      <c r="C1466" s="84"/>
      <c r="D1466" s="86"/>
      <c r="E1466" s="84"/>
      <c r="F1466" s="284"/>
      <c r="G1466" s="49"/>
      <c r="H1466" s="284"/>
      <c r="I1466" s="74"/>
      <c r="J1466" s="371"/>
      <c r="K1466" s="77"/>
      <c r="L1466" s="160"/>
      <c r="M1466" s="388"/>
      <c r="N1466" s="375"/>
      <c r="O1466" s="370"/>
      <c r="W1466" s="113"/>
      <c r="X1466" s="241"/>
      <c r="Y1466" s="284"/>
      <c r="Z1466" s="207"/>
      <c r="AA1466" s="284"/>
      <c r="AB1466" s="284"/>
      <c r="AC1466" s="137"/>
      <c r="AD1466" s="284"/>
      <c r="AE1466" s="299"/>
      <c r="AF1466" s="299"/>
      <c r="AG1466" s="284"/>
    </row>
    <row r="1467" spans="2:33">
      <c r="B1467" s="86"/>
      <c r="C1467" s="84"/>
      <c r="D1467" s="86"/>
      <c r="E1467" s="84"/>
      <c r="F1467" s="284"/>
      <c r="G1467" s="49"/>
      <c r="H1467" s="284"/>
      <c r="I1467" s="74"/>
      <c r="J1467" s="371"/>
      <c r="K1467" s="77"/>
      <c r="L1467" s="160"/>
      <c r="M1467" s="388"/>
      <c r="N1467" s="375"/>
      <c r="W1467" s="113"/>
      <c r="X1467" s="241"/>
      <c r="Y1467" s="284"/>
      <c r="Z1467" s="207"/>
      <c r="AA1467" s="284"/>
      <c r="AB1467" s="284"/>
      <c r="AC1467" s="137"/>
      <c r="AD1467" s="284"/>
      <c r="AE1467" s="299"/>
      <c r="AF1467" s="299"/>
      <c r="AG1467" s="284"/>
    </row>
    <row r="1468" spans="2:33">
      <c r="B1468" s="86"/>
      <c r="C1468" s="84"/>
      <c r="D1468" s="86"/>
      <c r="E1468" s="84"/>
      <c r="F1468" s="284"/>
      <c r="G1468" s="49"/>
      <c r="H1468" s="284"/>
      <c r="I1468" s="74"/>
      <c r="J1468" s="371"/>
      <c r="K1468" s="77"/>
      <c r="L1468" s="160"/>
      <c r="M1468" s="388"/>
      <c r="N1468" s="375"/>
      <c r="W1468" s="113"/>
      <c r="X1468" s="241"/>
      <c r="Y1468" s="284"/>
      <c r="Z1468" s="207"/>
      <c r="AA1468" s="284"/>
      <c r="AB1468" s="284"/>
      <c r="AC1468" s="137"/>
      <c r="AD1468" s="284"/>
      <c r="AE1468" s="299"/>
      <c r="AF1468" s="299"/>
      <c r="AG1468" s="284"/>
    </row>
    <row r="1469" spans="2:33">
      <c r="B1469" s="86"/>
      <c r="C1469" s="84"/>
      <c r="D1469" s="86"/>
      <c r="E1469" s="84"/>
      <c r="F1469" s="284"/>
      <c r="G1469" s="49"/>
      <c r="H1469" s="284"/>
      <c r="I1469" s="74"/>
      <c r="J1469" s="371"/>
      <c r="K1469" s="77"/>
      <c r="L1469" s="160"/>
      <c r="M1469" s="388"/>
      <c r="N1469" s="375"/>
      <c r="W1469" s="113"/>
      <c r="X1469" s="241"/>
      <c r="Y1469" s="284"/>
      <c r="Z1469" s="207"/>
      <c r="AA1469" s="284"/>
      <c r="AB1469" s="284"/>
      <c r="AC1469" s="137"/>
      <c r="AD1469" s="284"/>
      <c r="AE1469" s="299"/>
      <c r="AF1469" s="299"/>
      <c r="AG1469" s="284"/>
    </row>
    <row r="1470" spans="2:33">
      <c r="B1470" s="86"/>
      <c r="C1470" s="84"/>
      <c r="D1470" s="86"/>
      <c r="E1470" s="84"/>
      <c r="F1470" s="284"/>
      <c r="G1470" s="49"/>
      <c r="H1470" s="284"/>
      <c r="I1470" s="74"/>
      <c r="J1470" s="371"/>
      <c r="K1470" s="77"/>
      <c r="L1470" s="160"/>
      <c r="M1470" s="388"/>
      <c r="N1470" s="375"/>
      <c r="O1470" s="370"/>
      <c r="W1470" s="113"/>
      <c r="X1470" s="241"/>
      <c r="Y1470" s="284"/>
      <c r="Z1470" s="207"/>
      <c r="AA1470" s="284"/>
      <c r="AB1470" s="284"/>
      <c r="AC1470" s="137"/>
      <c r="AD1470" s="284"/>
      <c r="AE1470" s="299"/>
      <c r="AF1470" s="299"/>
      <c r="AG1470" s="284"/>
    </row>
    <row r="1471" spans="2:33">
      <c r="B1471" s="86"/>
      <c r="C1471" s="84"/>
      <c r="D1471" s="86"/>
      <c r="E1471" s="84"/>
      <c r="F1471" s="284"/>
      <c r="G1471" s="49"/>
      <c r="H1471" s="284"/>
      <c r="I1471" s="74"/>
      <c r="J1471" s="371"/>
      <c r="K1471" s="77"/>
      <c r="L1471" s="160"/>
      <c r="M1471" s="388"/>
      <c r="N1471" s="375"/>
      <c r="W1471" s="113"/>
      <c r="X1471" s="241"/>
      <c r="Y1471" s="284"/>
      <c r="Z1471" s="207"/>
      <c r="AA1471" s="284"/>
      <c r="AB1471" s="284"/>
      <c r="AC1471" s="137"/>
      <c r="AD1471" s="284"/>
      <c r="AE1471" s="299"/>
      <c r="AF1471" s="299"/>
      <c r="AG1471" s="284"/>
    </row>
    <row r="1472" spans="2:33">
      <c r="B1472" s="86"/>
      <c r="C1472" s="84"/>
      <c r="D1472" s="86"/>
      <c r="E1472" s="84"/>
      <c r="F1472" s="284"/>
      <c r="G1472" s="49"/>
      <c r="H1472" s="284"/>
      <c r="I1472" s="74"/>
      <c r="J1472" s="371"/>
      <c r="K1472" s="77"/>
      <c r="L1472" s="160"/>
      <c r="M1472" s="388"/>
      <c r="N1472" s="375"/>
      <c r="W1472" s="113"/>
      <c r="X1472" s="241"/>
      <c r="Y1472" s="284"/>
      <c r="Z1472" s="207"/>
      <c r="AA1472" s="284"/>
      <c r="AB1472" s="284"/>
      <c r="AC1472" s="137"/>
      <c r="AD1472" s="284"/>
      <c r="AE1472" s="299"/>
      <c r="AF1472" s="299"/>
      <c r="AG1472" s="284"/>
    </row>
    <row r="1473" spans="2:33">
      <c r="B1473" s="86"/>
      <c r="C1473" s="84"/>
      <c r="D1473" s="86"/>
      <c r="E1473" s="84"/>
      <c r="F1473" s="284"/>
      <c r="G1473" s="49"/>
      <c r="H1473" s="284"/>
      <c r="I1473" s="74"/>
      <c r="J1473" s="371"/>
      <c r="K1473" s="77"/>
      <c r="L1473" s="160"/>
      <c r="M1473" s="388"/>
      <c r="N1473" s="375"/>
      <c r="W1473" s="113"/>
      <c r="X1473" s="241"/>
      <c r="Y1473" s="284"/>
      <c r="Z1473" s="207"/>
      <c r="AA1473" s="284"/>
      <c r="AB1473" s="284"/>
      <c r="AC1473" s="137"/>
      <c r="AD1473" s="284"/>
      <c r="AE1473" s="299"/>
      <c r="AF1473" s="299"/>
      <c r="AG1473" s="284"/>
    </row>
    <row r="1474" spans="2:33">
      <c r="B1474" s="86"/>
      <c r="C1474" s="84"/>
      <c r="D1474" s="86"/>
      <c r="E1474" s="84"/>
      <c r="F1474" s="284"/>
      <c r="G1474" s="49"/>
      <c r="H1474" s="284"/>
      <c r="I1474" s="74"/>
      <c r="J1474" s="371"/>
      <c r="K1474" s="77"/>
      <c r="L1474" s="160"/>
      <c r="M1474" s="388"/>
      <c r="N1474" s="375"/>
      <c r="W1474" s="113"/>
      <c r="X1474" s="241"/>
      <c r="Y1474" s="284"/>
      <c r="Z1474" s="207"/>
      <c r="AA1474" s="284"/>
      <c r="AB1474" s="284"/>
      <c r="AC1474" s="137"/>
      <c r="AD1474" s="284"/>
      <c r="AE1474" s="299"/>
      <c r="AF1474" s="299"/>
      <c r="AG1474" s="284"/>
    </row>
    <row r="1475" spans="2:33">
      <c r="B1475" s="86"/>
      <c r="C1475" s="84"/>
      <c r="D1475" s="86"/>
      <c r="E1475" s="84"/>
      <c r="F1475" s="284"/>
      <c r="G1475" s="49"/>
      <c r="H1475" s="284"/>
      <c r="I1475" s="74"/>
      <c r="J1475" s="371"/>
      <c r="K1475" s="77"/>
      <c r="L1475" s="160"/>
      <c r="M1475" s="388"/>
      <c r="N1475" s="375"/>
      <c r="O1475" s="370"/>
      <c r="W1475" s="113"/>
      <c r="X1475" s="241"/>
      <c r="Y1475" s="284"/>
      <c r="Z1475" s="207"/>
      <c r="AA1475" s="284"/>
      <c r="AB1475" s="284"/>
      <c r="AC1475" s="137"/>
      <c r="AD1475" s="284"/>
      <c r="AE1475" s="299"/>
      <c r="AF1475" s="299"/>
      <c r="AG1475" s="284"/>
    </row>
    <row r="1476" spans="2:33">
      <c r="B1476" s="86"/>
      <c r="C1476" s="84"/>
      <c r="D1476" s="86"/>
      <c r="E1476" s="84"/>
      <c r="F1476" s="284"/>
      <c r="G1476" s="49"/>
      <c r="H1476" s="284"/>
      <c r="I1476" s="74"/>
      <c r="J1476" s="371"/>
      <c r="K1476" s="77"/>
      <c r="L1476" s="160"/>
      <c r="M1476" s="388"/>
      <c r="N1476" s="375"/>
      <c r="O1476" s="370"/>
      <c r="W1476" s="113"/>
      <c r="X1476" s="241"/>
      <c r="Y1476" s="284"/>
      <c r="Z1476" s="207"/>
      <c r="AA1476" s="284"/>
      <c r="AB1476" s="284"/>
      <c r="AC1476" s="137"/>
      <c r="AD1476" s="284"/>
      <c r="AE1476" s="299"/>
      <c r="AF1476" s="299"/>
      <c r="AG1476" s="284"/>
    </row>
    <row r="1477" spans="2:33">
      <c r="B1477" s="86"/>
      <c r="C1477" s="84"/>
      <c r="D1477" s="86"/>
      <c r="E1477" s="84"/>
      <c r="F1477" s="284"/>
      <c r="G1477" s="49"/>
      <c r="H1477" s="284"/>
      <c r="I1477" s="74"/>
      <c r="J1477" s="371"/>
      <c r="K1477" s="77"/>
      <c r="L1477" s="160"/>
      <c r="M1477" s="388"/>
      <c r="N1477" s="375"/>
      <c r="O1477" s="370"/>
      <c r="W1477" s="113"/>
      <c r="X1477" s="241"/>
      <c r="Y1477" s="284"/>
      <c r="Z1477" s="207"/>
      <c r="AA1477" s="284"/>
      <c r="AB1477" s="284"/>
      <c r="AC1477" s="137"/>
      <c r="AD1477" s="284"/>
      <c r="AE1477" s="299"/>
      <c r="AF1477" s="299"/>
      <c r="AG1477" s="284"/>
    </row>
    <row r="1478" spans="2:33">
      <c r="B1478" s="86"/>
      <c r="C1478" s="84"/>
      <c r="D1478" s="86"/>
      <c r="E1478" s="84"/>
      <c r="F1478" s="284"/>
      <c r="G1478" s="49"/>
      <c r="H1478" s="284"/>
      <c r="I1478" s="74"/>
      <c r="J1478" s="371"/>
      <c r="K1478" s="77"/>
      <c r="L1478" s="160"/>
      <c r="M1478" s="388"/>
      <c r="N1478" s="375"/>
      <c r="W1478" s="113"/>
      <c r="X1478" s="241"/>
      <c r="Y1478" s="284"/>
      <c r="Z1478" s="207"/>
      <c r="AA1478" s="284"/>
      <c r="AB1478" s="284"/>
      <c r="AC1478" s="137"/>
      <c r="AD1478" s="284"/>
      <c r="AE1478" s="299"/>
      <c r="AF1478" s="299"/>
      <c r="AG1478" s="284"/>
    </row>
    <row r="1479" spans="2:33">
      <c r="B1479" s="86"/>
      <c r="C1479" s="84"/>
      <c r="D1479" s="86"/>
      <c r="E1479" s="84"/>
      <c r="F1479" s="284"/>
      <c r="G1479" s="49"/>
      <c r="H1479" s="284"/>
      <c r="I1479" s="74"/>
      <c r="J1479" s="371"/>
      <c r="K1479" s="77"/>
      <c r="L1479" s="160"/>
      <c r="M1479" s="388"/>
      <c r="N1479" s="375"/>
      <c r="O1479" s="370"/>
      <c r="W1479" s="113"/>
      <c r="X1479" s="241"/>
      <c r="Y1479" s="284"/>
      <c r="Z1479" s="207"/>
      <c r="AA1479" s="284"/>
      <c r="AB1479" s="284"/>
      <c r="AC1479" s="137"/>
      <c r="AD1479" s="284"/>
      <c r="AE1479" s="299"/>
      <c r="AF1479" s="299"/>
      <c r="AG1479" s="284"/>
    </row>
    <row r="1480" spans="2:33">
      <c r="B1480" s="86"/>
      <c r="C1480" s="84"/>
      <c r="D1480" s="86"/>
      <c r="E1480" s="84"/>
      <c r="F1480" s="284"/>
      <c r="G1480" s="49"/>
      <c r="H1480" s="284"/>
      <c r="I1480" s="74"/>
      <c r="J1480" s="371"/>
      <c r="K1480" s="77"/>
      <c r="L1480" s="160"/>
      <c r="M1480" s="388"/>
      <c r="N1480" s="375"/>
      <c r="O1480" s="370"/>
      <c r="W1480" s="113"/>
      <c r="X1480" s="241"/>
      <c r="Y1480" s="284"/>
      <c r="Z1480" s="207"/>
      <c r="AA1480" s="284"/>
      <c r="AB1480" s="284"/>
      <c r="AC1480" s="137"/>
      <c r="AD1480" s="284"/>
      <c r="AE1480" s="299"/>
      <c r="AF1480" s="299"/>
      <c r="AG1480" s="284"/>
    </row>
    <row r="1481" spans="2:33">
      <c r="B1481" s="86"/>
      <c r="C1481" s="84"/>
      <c r="D1481" s="86"/>
      <c r="E1481" s="84"/>
      <c r="F1481" s="284"/>
      <c r="G1481" s="49"/>
      <c r="H1481" s="284"/>
      <c r="I1481" s="74"/>
      <c r="J1481" s="371"/>
      <c r="K1481" s="77"/>
      <c r="L1481" s="160"/>
      <c r="M1481" s="388"/>
      <c r="N1481" s="375"/>
      <c r="W1481" s="113"/>
      <c r="X1481" s="241"/>
      <c r="Y1481" s="284"/>
      <c r="Z1481" s="207"/>
      <c r="AA1481" s="284"/>
      <c r="AB1481" s="284"/>
      <c r="AC1481" s="137"/>
      <c r="AD1481" s="284"/>
      <c r="AE1481" s="299"/>
      <c r="AF1481" s="299"/>
      <c r="AG1481" s="284"/>
    </row>
    <row r="1482" spans="2:33">
      <c r="B1482" s="86"/>
      <c r="C1482" s="84"/>
      <c r="D1482" s="86"/>
      <c r="E1482" s="84"/>
      <c r="F1482" s="284"/>
      <c r="G1482" s="49"/>
      <c r="H1482" s="284"/>
      <c r="I1482" s="74"/>
      <c r="J1482" s="371"/>
      <c r="K1482" s="77"/>
      <c r="L1482" s="160"/>
      <c r="M1482" s="388"/>
      <c r="N1482" s="375"/>
      <c r="O1482" s="370"/>
      <c r="W1482" s="113"/>
      <c r="X1482" s="241"/>
      <c r="Y1482" s="284"/>
      <c r="Z1482" s="207"/>
      <c r="AA1482" s="284"/>
      <c r="AB1482" s="284"/>
      <c r="AC1482" s="137"/>
      <c r="AD1482" s="284"/>
      <c r="AE1482" s="299"/>
      <c r="AF1482" s="299"/>
      <c r="AG1482" s="284"/>
    </row>
    <row r="1483" spans="2:33">
      <c r="B1483" s="86"/>
      <c r="C1483" s="84"/>
      <c r="D1483" s="86"/>
      <c r="E1483" s="84"/>
      <c r="F1483" s="284"/>
      <c r="G1483" s="49"/>
      <c r="H1483" s="284"/>
      <c r="I1483" s="74"/>
      <c r="J1483" s="371"/>
      <c r="K1483" s="77"/>
      <c r="L1483" s="160"/>
      <c r="M1483" s="388"/>
      <c r="N1483" s="375"/>
      <c r="W1483" s="113"/>
      <c r="X1483" s="241"/>
      <c r="Y1483" s="284"/>
      <c r="Z1483" s="207"/>
      <c r="AA1483" s="284"/>
      <c r="AB1483" s="284"/>
      <c r="AC1483" s="137"/>
      <c r="AD1483" s="284"/>
      <c r="AE1483" s="299"/>
      <c r="AF1483" s="299"/>
      <c r="AG1483" s="284"/>
    </row>
    <row r="1484" spans="2:33">
      <c r="B1484" s="86"/>
      <c r="C1484" s="84"/>
      <c r="D1484" s="86"/>
      <c r="E1484" s="84"/>
      <c r="F1484" s="284"/>
      <c r="G1484" s="49"/>
      <c r="H1484" s="284"/>
      <c r="I1484" s="74"/>
      <c r="J1484" s="371"/>
      <c r="K1484" s="77"/>
      <c r="L1484" s="160"/>
      <c r="M1484" s="388"/>
      <c r="N1484" s="375"/>
      <c r="O1484" s="370"/>
      <c r="W1484" s="113"/>
      <c r="X1484" s="241"/>
      <c r="Y1484" s="284"/>
      <c r="Z1484" s="207"/>
      <c r="AA1484" s="284"/>
      <c r="AB1484" s="284"/>
      <c r="AC1484" s="137"/>
      <c r="AD1484" s="284"/>
      <c r="AE1484" s="299"/>
      <c r="AF1484" s="299"/>
      <c r="AG1484" s="284"/>
    </row>
    <row r="1485" spans="2:33">
      <c r="B1485" s="86"/>
      <c r="C1485" s="84"/>
      <c r="D1485" s="86"/>
      <c r="E1485" s="84"/>
      <c r="F1485" s="284"/>
      <c r="G1485" s="49"/>
      <c r="H1485" s="284"/>
      <c r="I1485" s="74"/>
      <c r="J1485" s="371"/>
      <c r="K1485" s="77"/>
      <c r="L1485" s="160"/>
      <c r="M1485" s="388"/>
      <c r="N1485" s="375"/>
      <c r="O1485" s="370"/>
      <c r="W1485" s="113"/>
      <c r="X1485" s="241"/>
      <c r="Y1485" s="284"/>
      <c r="Z1485" s="207"/>
      <c r="AA1485" s="284"/>
      <c r="AB1485" s="284"/>
      <c r="AC1485" s="137"/>
      <c r="AD1485" s="284"/>
      <c r="AE1485" s="299"/>
      <c r="AF1485" s="299"/>
      <c r="AG1485" s="284"/>
    </row>
    <row r="1486" spans="2:33">
      <c r="B1486" s="86"/>
      <c r="C1486" s="84"/>
      <c r="D1486" s="86"/>
      <c r="E1486" s="84"/>
      <c r="F1486" s="284"/>
      <c r="G1486" s="49"/>
      <c r="H1486" s="284"/>
      <c r="I1486" s="74"/>
      <c r="J1486" s="371"/>
      <c r="K1486" s="77"/>
      <c r="L1486" s="160"/>
      <c r="M1486" s="388"/>
      <c r="N1486" s="375"/>
      <c r="O1486" s="370"/>
      <c r="W1486" s="113"/>
      <c r="X1486" s="241"/>
      <c r="Y1486" s="284"/>
      <c r="Z1486" s="207"/>
      <c r="AA1486" s="284"/>
      <c r="AB1486" s="284"/>
      <c r="AC1486" s="137"/>
      <c r="AD1486" s="284"/>
      <c r="AE1486" s="299"/>
      <c r="AF1486" s="299"/>
      <c r="AG1486" s="284"/>
    </row>
    <row r="1487" spans="2:33">
      <c r="B1487" s="86"/>
      <c r="C1487" s="84"/>
      <c r="D1487" s="86"/>
      <c r="E1487" s="84"/>
      <c r="F1487" s="284"/>
      <c r="G1487" s="49"/>
      <c r="H1487" s="284"/>
      <c r="I1487" s="74"/>
      <c r="J1487" s="371"/>
      <c r="K1487" s="77"/>
      <c r="L1487" s="160"/>
      <c r="M1487" s="388"/>
      <c r="N1487" s="375"/>
      <c r="O1487" s="370"/>
      <c r="W1487" s="113"/>
      <c r="X1487" s="241"/>
      <c r="Y1487" s="284"/>
      <c r="Z1487" s="207"/>
      <c r="AA1487" s="284"/>
      <c r="AB1487" s="284"/>
      <c r="AC1487" s="137"/>
      <c r="AD1487" s="284"/>
      <c r="AE1487" s="299"/>
      <c r="AF1487" s="299"/>
      <c r="AG1487" s="284"/>
    </row>
    <row r="1488" spans="2:33">
      <c r="B1488" s="86"/>
      <c r="C1488" s="84"/>
      <c r="D1488" s="86"/>
      <c r="E1488" s="84"/>
      <c r="F1488" s="284"/>
      <c r="G1488" s="49"/>
      <c r="H1488" s="284"/>
      <c r="I1488" s="74"/>
      <c r="J1488" s="371"/>
      <c r="K1488" s="77"/>
      <c r="L1488" s="160"/>
      <c r="M1488" s="388"/>
      <c r="N1488" s="375"/>
      <c r="O1488" s="370"/>
      <c r="W1488" s="113"/>
      <c r="X1488" s="241"/>
      <c r="Y1488" s="284"/>
      <c r="Z1488" s="207"/>
      <c r="AA1488" s="284"/>
      <c r="AB1488" s="284"/>
      <c r="AC1488" s="137"/>
      <c r="AD1488" s="284"/>
      <c r="AE1488" s="299"/>
      <c r="AF1488" s="299"/>
      <c r="AG1488" s="284"/>
    </row>
    <row r="1489" spans="2:33">
      <c r="B1489" s="86"/>
      <c r="C1489" s="84"/>
      <c r="D1489" s="86"/>
      <c r="E1489" s="84"/>
      <c r="F1489" s="284"/>
      <c r="G1489" s="49"/>
      <c r="H1489" s="284"/>
      <c r="I1489" s="74"/>
      <c r="J1489" s="371"/>
      <c r="K1489" s="77"/>
      <c r="L1489" s="160"/>
      <c r="M1489" s="388"/>
      <c r="N1489" s="375"/>
      <c r="O1489" s="370"/>
      <c r="W1489" s="113"/>
      <c r="X1489" s="241"/>
      <c r="Y1489" s="284"/>
      <c r="Z1489" s="207"/>
      <c r="AA1489" s="284"/>
      <c r="AB1489" s="284"/>
      <c r="AC1489" s="137"/>
      <c r="AD1489" s="284"/>
      <c r="AE1489" s="299"/>
      <c r="AF1489" s="299"/>
      <c r="AG1489" s="284"/>
    </row>
    <row r="1490" spans="2:33">
      <c r="B1490" s="86"/>
      <c r="C1490" s="84"/>
      <c r="D1490" s="86"/>
      <c r="E1490" s="84"/>
      <c r="F1490" s="284"/>
      <c r="G1490" s="49"/>
      <c r="H1490" s="284"/>
      <c r="I1490" s="74"/>
      <c r="J1490" s="371"/>
      <c r="K1490" s="77"/>
      <c r="L1490" s="160"/>
      <c r="M1490" s="388"/>
      <c r="N1490" s="375"/>
      <c r="O1490" s="370"/>
      <c r="W1490" s="113"/>
      <c r="X1490" s="241"/>
      <c r="Y1490" s="284"/>
      <c r="Z1490" s="207"/>
      <c r="AA1490" s="284"/>
      <c r="AB1490" s="284"/>
      <c r="AC1490" s="137"/>
      <c r="AD1490" s="284"/>
      <c r="AE1490" s="299"/>
      <c r="AF1490" s="299"/>
      <c r="AG1490" s="284"/>
    </row>
    <row r="1491" spans="2:33">
      <c r="B1491" s="86"/>
      <c r="C1491" s="84"/>
      <c r="D1491" s="86"/>
      <c r="E1491" s="84"/>
      <c r="F1491" s="284"/>
      <c r="G1491" s="49"/>
      <c r="H1491" s="284"/>
      <c r="I1491" s="74"/>
      <c r="J1491" s="371"/>
      <c r="K1491" s="77"/>
      <c r="L1491" s="160"/>
      <c r="M1491" s="388"/>
      <c r="N1491" s="375"/>
      <c r="O1491" s="370"/>
      <c r="W1491" s="113"/>
      <c r="X1491" s="241"/>
      <c r="Y1491" s="284"/>
      <c r="Z1491" s="207"/>
      <c r="AA1491" s="284"/>
      <c r="AB1491" s="284"/>
      <c r="AC1491" s="137"/>
      <c r="AD1491" s="284"/>
      <c r="AE1491" s="299"/>
      <c r="AF1491" s="299"/>
      <c r="AG1491" s="284"/>
    </row>
    <row r="1492" spans="2:33">
      <c r="B1492" s="86"/>
      <c r="C1492" s="84"/>
      <c r="D1492" s="86"/>
      <c r="E1492" s="84"/>
      <c r="F1492" s="284"/>
      <c r="G1492" s="49"/>
      <c r="H1492" s="284"/>
      <c r="I1492" s="74"/>
      <c r="J1492" s="371"/>
      <c r="K1492" s="77"/>
      <c r="L1492" s="160"/>
      <c r="M1492" s="388"/>
      <c r="N1492" s="375"/>
      <c r="O1492" s="370"/>
      <c r="W1492" s="113"/>
      <c r="X1492" s="241"/>
      <c r="Y1492" s="284"/>
      <c r="Z1492" s="207"/>
      <c r="AA1492" s="284"/>
      <c r="AB1492" s="284"/>
      <c r="AC1492" s="137"/>
      <c r="AD1492" s="284"/>
      <c r="AE1492" s="299"/>
      <c r="AF1492" s="299"/>
      <c r="AG1492" s="284"/>
    </row>
    <row r="1493" spans="2:33">
      <c r="B1493" s="86"/>
      <c r="C1493" s="84"/>
      <c r="D1493" s="86"/>
      <c r="E1493" s="84"/>
      <c r="F1493" s="284"/>
      <c r="G1493" s="49"/>
      <c r="H1493" s="284"/>
      <c r="I1493" s="74"/>
      <c r="J1493" s="371"/>
      <c r="K1493" s="77"/>
      <c r="L1493" s="160"/>
      <c r="M1493" s="388"/>
      <c r="N1493" s="375"/>
      <c r="O1493" s="370"/>
      <c r="W1493" s="113"/>
      <c r="X1493" s="241"/>
      <c r="Y1493" s="284"/>
      <c r="Z1493" s="207"/>
      <c r="AA1493" s="284"/>
      <c r="AB1493" s="284"/>
      <c r="AC1493" s="137"/>
      <c r="AD1493" s="284"/>
      <c r="AE1493" s="299"/>
      <c r="AF1493" s="299"/>
      <c r="AG1493" s="284"/>
    </row>
    <row r="1494" spans="2:33">
      <c r="B1494" s="86"/>
      <c r="C1494" s="84"/>
      <c r="D1494" s="86"/>
      <c r="E1494" s="84"/>
      <c r="F1494" s="284"/>
      <c r="G1494" s="49"/>
      <c r="H1494" s="284"/>
      <c r="I1494" s="74"/>
      <c r="J1494" s="371"/>
      <c r="K1494" s="77"/>
      <c r="L1494" s="160"/>
      <c r="M1494" s="388"/>
      <c r="N1494" s="375"/>
      <c r="T1494" s="340"/>
      <c r="W1494" s="113"/>
      <c r="X1494" s="241"/>
      <c r="Y1494" s="284"/>
      <c r="Z1494" s="207"/>
      <c r="AA1494" s="284"/>
      <c r="AB1494" s="284"/>
      <c r="AC1494" s="137"/>
      <c r="AD1494" s="284"/>
      <c r="AE1494" s="299"/>
      <c r="AF1494" s="299"/>
      <c r="AG1494" s="284"/>
    </row>
    <row r="1495" spans="2:33">
      <c r="B1495" s="86"/>
      <c r="C1495" s="84"/>
      <c r="D1495" s="86"/>
      <c r="E1495" s="84"/>
      <c r="F1495" s="284"/>
      <c r="G1495" s="49"/>
      <c r="H1495" s="284"/>
      <c r="I1495" s="74"/>
      <c r="J1495" s="371"/>
      <c r="K1495" s="77"/>
      <c r="L1495" s="160"/>
      <c r="M1495" s="388"/>
      <c r="N1495" s="375"/>
      <c r="O1495" s="370"/>
      <c r="W1495" s="113"/>
      <c r="X1495" s="241"/>
      <c r="Y1495" s="284"/>
      <c r="Z1495" s="207"/>
      <c r="AA1495" s="284"/>
      <c r="AB1495" s="284"/>
      <c r="AC1495" s="137"/>
      <c r="AD1495" s="284"/>
      <c r="AE1495" s="299"/>
      <c r="AF1495" s="299"/>
      <c r="AG1495" s="284"/>
    </row>
    <row r="1496" spans="2:33">
      <c r="B1496" s="86"/>
      <c r="C1496" s="84"/>
      <c r="D1496" s="86"/>
      <c r="E1496" s="84"/>
      <c r="F1496" s="284"/>
      <c r="G1496" s="49"/>
      <c r="H1496" s="284"/>
      <c r="I1496" s="74"/>
      <c r="J1496" s="371"/>
      <c r="K1496" s="77"/>
      <c r="L1496" s="160"/>
      <c r="M1496" s="388"/>
      <c r="N1496" s="375"/>
      <c r="O1496" s="370"/>
      <c r="W1496" s="113"/>
      <c r="X1496" s="241"/>
      <c r="Y1496" s="284"/>
      <c r="Z1496" s="207"/>
      <c r="AA1496" s="284"/>
      <c r="AB1496" s="284"/>
      <c r="AC1496" s="137"/>
      <c r="AD1496" s="284"/>
      <c r="AE1496" s="299"/>
      <c r="AF1496" s="299"/>
      <c r="AG1496" s="284"/>
    </row>
    <row r="1497" spans="2:33">
      <c r="B1497" s="86"/>
      <c r="C1497" s="84"/>
      <c r="D1497" s="86"/>
      <c r="E1497" s="84"/>
      <c r="F1497" s="284"/>
      <c r="G1497" s="49"/>
      <c r="H1497" s="284"/>
      <c r="I1497" s="74"/>
      <c r="J1497" s="371"/>
      <c r="K1497" s="77"/>
      <c r="L1497" s="160"/>
      <c r="M1497" s="388"/>
      <c r="N1497" s="375"/>
      <c r="O1497" s="370"/>
      <c r="W1497" s="113"/>
      <c r="X1497" s="241"/>
      <c r="Y1497" s="284"/>
      <c r="Z1497" s="207"/>
      <c r="AA1497" s="284"/>
      <c r="AB1497" s="284"/>
      <c r="AC1497" s="137"/>
      <c r="AD1497" s="284"/>
      <c r="AE1497" s="299"/>
      <c r="AF1497" s="299"/>
      <c r="AG1497" s="284"/>
    </row>
    <row r="1498" spans="2:33">
      <c r="B1498" s="86"/>
      <c r="C1498" s="84"/>
      <c r="D1498" s="86"/>
      <c r="E1498" s="84"/>
      <c r="F1498" s="284"/>
      <c r="G1498" s="49"/>
      <c r="H1498" s="284"/>
      <c r="I1498" s="74"/>
      <c r="J1498" s="371"/>
      <c r="K1498" s="77"/>
      <c r="L1498" s="160"/>
      <c r="M1498" s="388"/>
      <c r="N1498" s="375"/>
      <c r="O1498" s="370"/>
      <c r="W1498" s="113"/>
      <c r="X1498" s="241"/>
      <c r="Y1498" s="284"/>
      <c r="Z1498" s="207"/>
      <c r="AA1498" s="284"/>
      <c r="AB1498" s="284"/>
      <c r="AC1498" s="137"/>
      <c r="AD1498" s="284"/>
      <c r="AE1498" s="299"/>
      <c r="AF1498" s="299"/>
      <c r="AG1498" s="284"/>
    </row>
    <row r="1499" spans="2:33">
      <c r="B1499" s="86"/>
      <c r="C1499" s="84"/>
      <c r="D1499" s="86"/>
      <c r="E1499" s="84"/>
      <c r="F1499" s="284"/>
      <c r="G1499" s="49"/>
      <c r="H1499" s="284"/>
      <c r="I1499" s="74"/>
      <c r="J1499" s="371"/>
      <c r="K1499" s="77"/>
      <c r="L1499" s="160"/>
      <c r="M1499" s="388"/>
      <c r="N1499" s="375"/>
      <c r="O1499" s="370"/>
      <c r="W1499" s="113"/>
      <c r="X1499" s="241"/>
      <c r="Y1499" s="284"/>
      <c r="Z1499" s="207"/>
      <c r="AA1499" s="284"/>
      <c r="AB1499" s="284"/>
      <c r="AC1499" s="137"/>
      <c r="AD1499" s="284"/>
      <c r="AE1499" s="299"/>
      <c r="AF1499" s="299"/>
      <c r="AG1499" s="284"/>
    </row>
    <row r="1500" spans="2:33">
      <c r="B1500" s="86"/>
      <c r="C1500" s="84"/>
      <c r="D1500" s="86"/>
      <c r="E1500" s="84"/>
      <c r="F1500" s="284"/>
      <c r="G1500" s="49"/>
      <c r="H1500" s="284"/>
      <c r="I1500" s="74"/>
      <c r="J1500" s="371"/>
      <c r="K1500" s="77"/>
      <c r="L1500" s="160"/>
      <c r="M1500" s="388"/>
      <c r="N1500" s="375"/>
      <c r="O1500" s="370"/>
      <c r="W1500" s="113"/>
      <c r="X1500" s="241"/>
      <c r="Y1500" s="284"/>
      <c r="Z1500" s="207"/>
      <c r="AA1500" s="284"/>
      <c r="AB1500" s="284"/>
      <c r="AC1500" s="137"/>
      <c r="AD1500" s="284"/>
      <c r="AE1500" s="299"/>
      <c r="AF1500" s="299"/>
      <c r="AG1500" s="284"/>
    </row>
    <row r="1501" spans="2:33">
      <c r="B1501" s="86"/>
      <c r="C1501" s="84"/>
      <c r="D1501" s="86"/>
      <c r="E1501" s="84"/>
      <c r="F1501" s="284"/>
      <c r="G1501" s="49"/>
      <c r="H1501" s="284"/>
      <c r="I1501" s="74"/>
      <c r="J1501" s="371"/>
      <c r="K1501" s="77"/>
      <c r="L1501" s="160"/>
      <c r="M1501" s="388"/>
      <c r="N1501" s="375"/>
      <c r="O1501" s="370"/>
      <c r="W1501" s="113"/>
      <c r="X1501" s="241"/>
      <c r="Y1501" s="284"/>
      <c r="Z1501" s="207"/>
      <c r="AA1501" s="284"/>
      <c r="AB1501" s="284"/>
      <c r="AC1501" s="137"/>
      <c r="AD1501" s="284"/>
      <c r="AE1501" s="299"/>
      <c r="AF1501" s="299"/>
      <c r="AG1501" s="284"/>
    </row>
    <row r="1502" spans="2:33">
      <c r="B1502" s="86"/>
      <c r="C1502" s="84"/>
      <c r="D1502" s="86"/>
      <c r="E1502" s="84"/>
      <c r="F1502" s="284"/>
      <c r="G1502" s="49"/>
      <c r="H1502" s="284"/>
      <c r="I1502" s="74"/>
      <c r="J1502" s="371"/>
      <c r="K1502" s="77"/>
      <c r="L1502" s="160"/>
      <c r="M1502" s="388"/>
      <c r="N1502" s="375"/>
      <c r="O1502" s="370"/>
      <c r="W1502" s="113"/>
      <c r="X1502" s="241"/>
      <c r="Y1502" s="284"/>
      <c r="Z1502" s="207"/>
      <c r="AA1502" s="284"/>
      <c r="AB1502" s="284"/>
      <c r="AC1502" s="137"/>
      <c r="AD1502" s="284"/>
      <c r="AE1502" s="299"/>
      <c r="AF1502" s="299"/>
      <c r="AG1502" s="284"/>
    </row>
    <row r="1503" spans="2:33">
      <c r="B1503" s="86"/>
      <c r="C1503" s="84"/>
      <c r="D1503" s="86"/>
      <c r="E1503" s="84"/>
      <c r="F1503" s="284"/>
      <c r="G1503" s="49"/>
      <c r="H1503" s="284"/>
      <c r="I1503" s="74"/>
      <c r="J1503" s="371"/>
      <c r="K1503" s="77"/>
      <c r="L1503" s="160"/>
      <c r="M1503" s="388"/>
      <c r="N1503" s="375"/>
      <c r="W1503" s="113"/>
      <c r="X1503" s="241"/>
      <c r="Y1503" s="284"/>
      <c r="Z1503" s="207"/>
      <c r="AA1503" s="284"/>
      <c r="AB1503" s="284"/>
      <c r="AC1503" s="137"/>
      <c r="AD1503" s="284"/>
      <c r="AE1503" s="299"/>
      <c r="AF1503" s="299"/>
      <c r="AG1503" s="284"/>
    </row>
    <row r="1504" spans="2:33">
      <c r="B1504" s="86"/>
      <c r="C1504" s="84"/>
      <c r="D1504" s="86"/>
      <c r="E1504" s="84"/>
      <c r="F1504" s="284"/>
      <c r="G1504" s="49"/>
      <c r="H1504" s="284"/>
      <c r="I1504" s="74"/>
      <c r="J1504" s="371"/>
      <c r="K1504" s="77"/>
      <c r="L1504" s="160"/>
      <c r="M1504" s="388"/>
      <c r="N1504" s="375"/>
      <c r="O1504" s="370"/>
      <c r="T1504" s="340"/>
      <c r="W1504" s="113"/>
      <c r="X1504" s="241"/>
      <c r="Y1504" s="284"/>
      <c r="Z1504" s="207"/>
      <c r="AA1504" s="284"/>
      <c r="AB1504" s="284"/>
      <c r="AC1504" s="137"/>
      <c r="AD1504" s="284"/>
      <c r="AE1504" s="299"/>
      <c r="AF1504" s="299"/>
      <c r="AG1504" s="284"/>
    </row>
    <row r="1505" spans="2:33">
      <c r="B1505" s="86"/>
      <c r="C1505" s="84"/>
      <c r="D1505" s="86"/>
      <c r="E1505" s="84"/>
      <c r="F1505" s="284"/>
      <c r="G1505" s="49"/>
      <c r="H1505" s="284"/>
      <c r="I1505" s="74"/>
      <c r="J1505" s="371"/>
      <c r="K1505" s="77"/>
      <c r="L1505" s="160"/>
      <c r="M1505" s="388"/>
      <c r="N1505" s="375"/>
      <c r="O1505" s="370"/>
      <c r="W1505" s="113"/>
      <c r="X1505" s="241"/>
      <c r="Y1505" s="284"/>
      <c r="Z1505" s="207"/>
      <c r="AA1505" s="284"/>
      <c r="AB1505" s="284"/>
      <c r="AC1505" s="137"/>
      <c r="AD1505" s="284"/>
      <c r="AE1505" s="299"/>
      <c r="AF1505" s="299"/>
      <c r="AG1505" s="284"/>
    </row>
    <row r="1506" spans="2:33">
      <c r="B1506" s="86"/>
      <c r="C1506" s="84"/>
      <c r="D1506" s="86"/>
      <c r="E1506" s="84"/>
      <c r="F1506" s="284"/>
      <c r="G1506" s="49"/>
      <c r="H1506" s="284"/>
      <c r="I1506" s="74"/>
      <c r="J1506" s="371"/>
      <c r="K1506" s="77"/>
      <c r="L1506" s="160"/>
      <c r="M1506" s="388"/>
      <c r="N1506" s="375"/>
      <c r="O1506" s="370"/>
      <c r="W1506" s="113"/>
      <c r="X1506" s="241"/>
      <c r="Y1506" s="284"/>
      <c r="Z1506" s="207"/>
      <c r="AA1506" s="284"/>
      <c r="AB1506" s="284"/>
      <c r="AC1506" s="137"/>
      <c r="AD1506" s="284"/>
      <c r="AE1506" s="299"/>
      <c r="AF1506" s="299"/>
      <c r="AG1506" s="284"/>
    </row>
    <row r="1507" spans="2:33">
      <c r="B1507" s="86"/>
      <c r="C1507" s="84"/>
      <c r="D1507" s="86"/>
      <c r="E1507" s="84"/>
      <c r="F1507" s="284"/>
      <c r="G1507" s="49"/>
      <c r="H1507" s="284"/>
      <c r="I1507" s="74"/>
      <c r="J1507" s="371"/>
      <c r="K1507" s="77"/>
      <c r="L1507" s="160"/>
      <c r="M1507" s="388"/>
      <c r="N1507" s="375"/>
      <c r="O1507" s="370"/>
      <c r="W1507" s="113"/>
      <c r="X1507" s="241"/>
      <c r="Y1507" s="284"/>
      <c r="Z1507" s="207"/>
      <c r="AA1507" s="284"/>
      <c r="AB1507" s="284"/>
      <c r="AC1507" s="137"/>
      <c r="AD1507" s="284"/>
      <c r="AE1507" s="299"/>
      <c r="AF1507" s="299"/>
      <c r="AG1507" s="284"/>
    </row>
    <row r="1508" spans="2:33">
      <c r="B1508" s="86"/>
      <c r="C1508" s="84"/>
      <c r="D1508" s="86"/>
      <c r="E1508" s="84"/>
      <c r="F1508" s="284"/>
      <c r="G1508" s="49"/>
      <c r="H1508" s="284"/>
      <c r="I1508" s="74"/>
      <c r="J1508" s="371"/>
      <c r="K1508" s="77"/>
      <c r="L1508" s="160"/>
      <c r="M1508" s="388"/>
      <c r="N1508" s="375"/>
      <c r="O1508" s="370"/>
      <c r="T1508" s="340"/>
      <c r="W1508" s="113"/>
      <c r="X1508" s="241"/>
      <c r="Y1508" s="284"/>
      <c r="Z1508" s="207"/>
      <c r="AA1508" s="284"/>
      <c r="AB1508" s="284"/>
      <c r="AC1508" s="137"/>
      <c r="AD1508" s="284"/>
      <c r="AE1508" s="299"/>
      <c r="AF1508" s="299"/>
      <c r="AG1508" s="284"/>
    </row>
    <row r="1509" spans="2:33">
      <c r="B1509" s="86"/>
      <c r="C1509" s="84"/>
      <c r="D1509" s="86"/>
      <c r="E1509" s="84"/>
      <c r="F1509" s="284"/>
      <c r="G1509" s="49"/>
      <c r="H1509" s="284"/>
      <c r="I1509" s="74"/>
      <c r="J1509" s="371"/>
      <c r="K1509" s="77"/>
      <c r="L1509" s="160"/>
      <c r="M1509" s="388"/>
      <c r="N1509" s="375"/>
      <c r="O1509" s="370"/>
      <c r="W1509" s="113"/>
      <c r="X1509" s="241"/>
      <c r="Y1509" s="284"/>
      <c r="Z1509" s="207"/>
      <c r="AA1509" s="284"/>
      <c r="AB1509" s="284"/>
      <c r="AC1509" s="137"/>
      <c r="AD1509" s="284"/>
      <c r="AE1509" s="299"/>
      <c r="AF1509" s="299"/>
      <c r="AG1509" s="284"/>
    </row>
    <row r="1510" spans="2:33">
      <c r="B1510" s="86"/>
      <c r="C1510" s="84"/>
      <c r="D1510" s="86"/>
      <c r="E1510" s="84"/>
      <c r="F1510" s="284"/>
      <c r="G1510" s="49"/>
      <c r="H1510" s="284"/>
      <c r="I1510" s="74"/>
      <c r="J1510" s="371"/>
      <c r="K1510" s="77"/>
      <c r="L1510" s="160"/>
      <c r="M1510" s="388"/>
      <c r="N1510" s="375"/>
      <c r="O1510" s="370"/>
      <c r="W1510" s="113"/>
      <c r="X1510" s="241"/>
      <c r="Y1510" s="284"/>
      <c r="Z1510" s="207"/>
      <c r="AA1510" s="284"/>
      <c r="AB1510" s="284"/>
      <c r="AC1510" s="137"/>
      <c r="AD1510" s="284"/>
      <c r="AE1510" s="299"/>
      <c r="AF1510" s="299"/>
      <c r="AG1510" s="284"/>
    </row>
    <row r="1511" spans="2:33">
      <c r="B1511" s="86"/>
      <c r="C1511" s="84"/>
      <c r="D1511" s="86"/>
      <c r="E1511" s="84"/>
      <c r="F1511" s="284"/>
      <c r="G1511" s="49"/>
      <c r="H1511" s="284"/>
      <c r="I1511" s="74"/>
      <c r="J1511" s="371"/>
      <c r="K1511" s="77"/>
      <c r="L1511" s="160"/>
      <c r="M1511" s="388"/>
      <c r="N1511" s="375"/>
      <c r="O1511" s="370"/>
      <c r="W1511" s="113"/>
      <c r="X1511" s="241"/>
      <c r="Y1511" s="284"/>
      <c r="Z1511" s="207"/>
      <c r="AA1511" s="284"/>
      <c r="AB1511" s="284"/>
      <c r="AC1511" s="137"/>
      <c r="AD1511" s="284"/>
      <c r="AE1511" s="299"/>
      <c r="AF1511" s="299"/>
      <c r="AG1511" s="284"/>
    </row>
    <row r="1512" spans="2:33">
      <c r="B1512" s="86"/>
      <c r="C1512" s="84"/>
      <c r="D1512" s="86"/>
      <c r="E1512" s="84"/>
      <c r="F1512" s="284"/>
      <c r="G1512" s="49"/>
      <c r="H1512" s="284"/>
      <c r="I1512" s="74"/>
      <c r="J1512" s="371"/>
      <c r="K1512" s="77"/>
      <c r="L1512" s="160"/>
      <c r="M1512" s="388"/>
      <c r="N1512" s="375"/>
      <c r="O1512" s="370"/>
      <c r="W1512" s="113"/>
      <c r="X1512" s="241"/>
      <c r="Y1512" s="284"/>
      <c r="Z1512" s="207"/>
      <c r="AA1512" s="284"/>
      <c r="AB1512" s="284"/>
      <c r="AC1512" s="137"/>
      <c r="AD1512" s="284"/>
      <c r="AE1512" s="299"/>
      <c r="AF1512" s="299"/>
      <c r="AG1512" s="284"/>
    </row>
    <row r="1513" spans="2:33">
      <c r="B1513" s="86"/>
      <c r="C1513" s="84"/>
      <c r="D1513" s="86"/>
      <c r="E1513" s="84"/>
      <c r="F1513" s="284"/>
      <c r="G1513" s="49"/>
      <c r="H1513" s="284"/>
      <c r="I1513" s="74"/>
      <c r="J1513" s="371"/>
      <c r="K1513" s="77"/>
      <c r="L1513" s="160"/>
      <c r="M1513" s="388"/>
      <c r="N1513" s="375"/>
      <c r="O1513" s="370"/>
      <c r="T1513" s="340"/>
      <c r="W1513" s="113"/>
      <c r="X1513" s="241"/>
      <c r="Y1513" s="284"/>
      <c r="Z1513" s="207"/>
      <c r="AA1513" s="284"/>
      <c r="AB1513" s="284"/>
      <c r="AC1513" s="137"/>
      <c r="AD1513" s="284"/>
      <c r="AE1513" s="299"/>
      <c r="AF1513" s="299"/>
      <c r="AG1513" s="284"/>
    </row>
    <row r="1514" spans="2:33">
      <c r="B1514" s="86"/>
      <c r="C1514" s="84"/>
      <c r="D1514" s="86"/>
      <c r="E1514" s="84"/>
      <c r="F1514" s="284"/>
      <c r="G1514" s="49"/>
      <c r="H1514" s="284"/>
      <c r="I1514" s="74"/>
      <c r="J1514" s="371"/>
      <c r="K1514" s="77"/>
      <c r="L1514" s="160"/>
      <c r="M1514" s="388"/>
      <c r="N1514" s="375"/>
      <c r="O1514" s="370"/>
      <c r="T1514" s="340"/>
      <c r="W1514" s="113"/>
      <c r="X1514" s="241"/>
      <c r="Y1514" s="284"/>
      <c r="Z1514" s="207"/>
      <c r="AA1514" s="284"/>
      <c r="AB1514" s="284"/>
      <c r="AC1514" s="137"/>
      <c r="AD1514" s="284"/>
      <c r="AE1514" s="299"/>
      <c r="AF1514" s="299"/>
      <c r="AG1514" s="284"/>
    </row>
    <row r="1515" spans="2:33">
      <c r="B1515" s="86"/>
      <c r="C1515" s="84"/>
      <c r="D1515" s="86"/>
      <c r="E1515" s="84"/>
      <c r="F1515" s="284"/>
      <c r="G1515" s="49"/>
      <c r="H1515" s="284"/>
      <c r="I1515" s="74"/>
      <c r="J1515" s="371"/>
      <c r="K1515" s="77"/>
      <c r="L1515" s="160"/>
      <c r="M1515" s="388"/>
      <c r="N1515" s="375"/>
      <c r="T1515" s="340"/>
      <c r="W1515" s="113"/>
      <c r="X1515" s="241"/>
      <c r="Y1515" s="284"/>
      <c r="Z1515" s="207"/>
      <c r="AA1515" s="284"/>
      <c r="AB1515" s="284"/>
      <c r="AC1515" s="137"/>
      <c r="AD1515" s="284"/>
      <c r="AE1515" s="299"/>
      <c r="AF1515" s="299"/>
      <c r="AG1515" s="284"/>
    </row>
    <row r="1516" spans="2:33">
      <c r="B1516" s="86"/>
      <c r="C1516" s="84"/>
      <c r="D1516" s="86"/>
      <c r="E1516" s="84"/>
      <c r="F1516" s="284"/>
      <c r="G1516" s="49"/>
      <c r="H1516" s="284"/>
      <c r="I1516" s="74"/>
      <c r="J1516" s="371"/>
      <c r="K1516" s="77"/>
      <c r="L1516" s="160"/>
      <c r="M1516" s="388"/>
      <c r="N1516" s="375"/>
      <c r="O1516" s="370"/>
      <c r="W1516" s="113"/>
      <c r="X1516" s="241"/>
      <c r="Y1516" s="284"/>
      <c r="Z1516" s="207"/>
      <c r="AA1516" s="284"/>
      <c r="AB1516" s="284"/>
      <c r="AC1516" s="137"/>
      <c r="AD1516" s="284"/>
      <c r="AE1516" s="299"/>
      <c r="AF1516" s="299"/>
      <c r="AG1516" s="284"/>
    </row>
    <row r="1517" spans="2:33">
      <c r="B1517" s="86"/>
      <c r="C1517" s="84"/>
      <c r="D1517" s="86"/>
      <c r="E1517" s="84"/>
      <c r="F1517" s="284"/>
      <c r="G1517" s="49"/>
      <c r="H1517" s="284"/>
      <c r="I1517" s="74"/>
      <c r="J1517" s="371"/>
      <c r="K1517" s="77"/>
      <c r="L1517" s="160"/>
      <c r="M1517" s="388"/>
      <c r="N1517" s="375"/>
      <c r="O1517" s="370"/>
      <c r="T1517" s="340"/>
      <c r="W1517" s="113"/>
      <c r="X1517" s="241"/>
      <c r="Y1517" s="284"/>
      <c r="Z1517" s="207"/>
      <c r="AA1517" s="284"/>
      <c r="AB1517" s="284"/>
      <c r="AC1517" s="137"/>
      <c r="AD1517" s="284"/>
      <c r="AE1517" s="299"/>
      <c r="AF1517" s="299"/>
      <c r="AG1517" s="284"/>
    </row>
    <row r="1518" spans="2:33">
      <c r="B1518" s="86"/>
      <c r="C1518" s="84"/>
      <c r="D1518" s="86"/>
      <c r="E1518" s="84"/>
      <c r="F1518" s="284"/>
      <c r="G1518" s="49"/>
      <c r="H1518" s="284"/>
      <c r="I1518" s="74"/>
      <c r="J1518" s="371"/>
      <c r="K1518" s="77"/>
      <c r="L1518" s="160"/>
      <c r="M1518" s="388"/>
      <c r="N1518" s="375"/>
      <c r="O1518" s="370"/>
      <c r="T1518" s="340"/>
      <c r="W1518" s="113"/>
      <c r="X1518" s="241"/>
      <c r="Y1518" s="284"/>
      <c r="Z1518" s="207"/>
      <c r="AA1518" s="284"/>
      <c r="AB1518" s="284"/>
      <c r="AC1518" s="137"/>
      <c r="AD1518" s="284"/>
      <c r="AE1518" s="299"/>
      <c r="AF1518" s="299"/>
      <c r="AG1518" s="284"/>
    </row>
    <row r="1519" spans="2:33">
      <c r="B1519" s="86"/>
      <c r="C1519" s="84"/>
      <c r="D1519" s="86"/>
      <c r="E1519" s="84"/>
      <c r="F1519" s="284"/>
      <c r="G1519" s="49"/>
      <c r="H1519" s="284"/>
      <c r="I1519" s="74"/>
      <c r="J1519" s="371"/>
      <c r="K1519" s="77"/>
      <c r="L1519" s="160"/>
      <c r="M1519" s="388"/>
      <c r="N1519" s="375"/>
      <c r="O1519" s="370"/>
      <c r="W1519" s="113"/>
      <c r="X1519" s="241"/>
      <c r="Y1519" s="284"/>
      <c r="Z1519" s="207"/>
      <c r="AA1519" s="284"/>
      <c r="AB1519" s="284"/>
      <c r="AC1519" s="137"/>
      <c r="AD1519" s="284"/>
      <c r="AE1519" s="299"/>
      <c r="AF1519" s="299"/>
      <c r="AG1519" s="284"/>
    </row>
    <row r="1520" spans="2:33">
      <c r="B1520" s="86"/>
      <c r="C1520" s="84"/>
      <c r="D1520" s="86"/>
      <c r="E1520" s="84"/>
      <c r="F1520" s="284"/>
      <c r="G1520" s="49"/>
      <c r="H1520" s="284"/>
      <c r="I1520" s="74"/>
      <c r="J1520" s="371"/>
      <c r="K1520" s="77"/>
      <c r="L1520" s="160"/>
      <c r="M1520" s="388"/>
      <c r="N1520" s="375"/>
      <c r="O1520" s="370"/>
      <c r="T1520" s="340"/>
      <c r="W1520" s="113"/>
      <c r="X1520" s="241"/>
      <c r="Y1520" s="284"/>
      <c r="Z1520" s="207"/>
      <c r="AA1520" s="284"/>
      <c r="AB1520" s="284"/>
      <c r="AC1520" s="137"/>
      <c r="AD1520" s="284"/>
      <c r="AE1520" s="299"/>
      <c r="AF1520" s="299"/>
      <c r="AG1520" s="284"/>
    </row>
    <row r="1521" spans="2:33">
      <c r="B1521" s="86"/>
      <c r="C1521" s="84"/>
      <c r="D1521" s="86"/>
      <c r="E1521" s="84"/>
      <c r="F1521" s="284"/>
      <c r="G1521" s="49"/>
      <c r="H1521" s="284"/>
      <c r="I1521" s="74"/>
      <c r="J1521" s="371"/>
      <c r="K1521" s="77"/>
      <c r="L1521" s="160"/>
      <c r="M1521" s="388"/>
      <c r="N1521" s="375"/>
      <c r="O1521" s="370"/>
      <c r="W1521" s="113"/>
      <c r="X1521" s="241"/>
      <c r="Y1521" s="284"/>
      <c r="Z1521" s="207"/>
      <c r="AA1521" s="284"/>
      <c r="AB1521" s="284"/>
      <c r="AC1521" s="137"/>
      <c r="AD1521" s="284"/>
      <c r="AE1521" s="299"/>
      <c r="AF1521" s="299"/>
      <c r="AG1521" s="284"/>
    </row>
    <row r="1522" spans="2:33">
      <c r="B1522" s="86"/>
      <c r="C1522" s="84"/>
      <c r="D1522" s="86"/>
      <c r="E1522" s="84"/>
      <c r="F1522" s="284"/>
      <c r="G1522" s="49"/>
      <c r="H1522" s="284"/>
      <c r="I1522" s="74"/>
      <c r="J1522" s="371"/>
      <c r="K1522" s="77"/>
      <c r="L1522" s="160"/>
      <c r="M1522" s="388"/>
      <c r="N1522" s="375"/>
      <c r="O1522" s="370"/>
      <c r="T1522" s="340"/>
      <c r="W1522" s="113"/>
      <c r="X1522" s="241"/>
      <c r="Y1522" s="284"/>
      <c r="Z1522" s="207"/>
      <c r="AA1522" s="284"/>
      <c r="AB1522" s="284"/>
      <c r="AC1522" s="137"/>
      <c r="AD1522" s="284"/>
      <c r="AE1522" s="299"/>
      <c r="AF1522" s="299"/>
      <c r="AG1522" s="284"/>
    </row>
    <row r="1523" spans="2:33">
      <c r="B1523" s="86"/>
      <c r="C1523" s="84"/>
      <c r="D1523" s="86"/>
      <c r="E1523" s="84"/>
      <c r="F1523" s="284"/>
      <c r="G1523" s="49"/>
      <c r="H1523" s="284"/>
      <c r="I1523" s="74"/>
      <c r="J1523" s="371"/>
      <c r="K1523" s="77"/>
      <c r="L1523" s="160"/>
      <c r="M1523" s="388"/>
      <c r="N1523" s="375"/>
      <c r="O1523" s="370"/>
      <c r="T1523" s="340"/>
      <c r="W1523" s="113"/>
      <c r="X1523" s="241"/>
      <c r="Y1523" s="284"/>
      <c r="Z1523" s="207"/>
      <c r="AA1523" s="284"/>
      <c r="AB1523" s="284"/>
      <c r="AC1523" s="137"/>
      <c r="AD1523" s="284"/>
      <c r="AE1523" s="299"/>
      <c r="AF1523" s="299"/>
      <c r="AG1523" s="284"/>
    </row>
    <row r="1524" spans="2:33">
      <c r="B1524" s="86"/>
      <c r="C1524" s="84"/>
      <c r="D1524" s="86"/>
      <c r="E1524" s="84"/>
      <c r="F1524" s="284"/>
      <c r="G1524" s="49"/>
      <c r="H1524" s="284"/>
      <c r="I1524" s="74"/>
      <c r="J1524" s="371"/>
      <c r="K1524" s="77"/>
      <c r="L1524" s="160"/>
      <c r="M1524" s="388"/>
      <c r="N1524" s="375"/>
      <c r="T1524" s="340"/>
      <c r="W1524" s="113"/>
      <c r="X1524" s="241"/>
      <c r="Y1524" s="284"/>
      <c r="Z1524" s="207"/>
      <c r="AA1524" s="284"/>
      <c r="AB1524" s="284"/>
      <c r="AC1524" s="137"/>
      <c r="AD1524" s="284"/>
      <c r="AE1524" s="299"/>
      <c r="AF1524" s="299"/>
      <c r="AG1524" s="284"/>
    </row>
    <row r="1525" spans="2:33">
      <c r="B1525" s="86"/>
      <c r="C1525" s="84"/>
      <c r="D1525" s="86"/>
      <c r="E1525" s="84"/>
      <c r="F1525" s="284"/>
      <c r="G1525" s="49"/>
      <c r="H1525" s="284"/>
      <c r="I1525" s="74"/>
      <c r="J1525" s="371"/>
      <c r="K1525" s="77"/>
      <c r="L1525" s="160"/>
      <c r="M1525" s="388"/>
      <c r="N1525" s="375"/>
      <c r="O1525" s="370"/>
      <c r="T1525" s="340"/>
      <c r="W1525" s="113"/>
      <c r="X1525" s="241"/>
      <c r="Y1525" s="284"/>
      <c r="Z1525" s="207"/>
      <c r="AA1525" s="284"/>
      <c r="AB1525" s="284"/>
      <c r="AC1525" s="137"/>
      <c r="AD1525" s="284"/>
      <c r="AE1525" s="299"/>
      <c r="AF1525" s="299"/>
      <c r="AG1525" s="284"/>
    </row>
    <row r="1526" spans="2:33">
      <c r="B1526" s="86"/>
      <c r="C1526" s="84"/>
      <c r="D1526" s="86"/>
      <c r="E1526" s="84"/>
      <c r="F1526" s="284"/>
      <c r="G1526" s="49"/>
      <c r="H1526" s="284"/>
      <c r="I1526" s="74"/>
      <c r="J1526" s="371"/>
      <c r="K1526" s="77"/>
      <c r="L1526" s="160"/>
      <c r="M1526" s="388"/>
      <c r="N1526" s="375"/>
      <c r="O1526" s="370"/>
      <c r="T1526" s="340"/>
      <c r="W1526" s="113"/>
      <c r="X1526" s="241"/>
      <c r="Y1526" s="284"/>
      <c r="Z1526" s="207"/>
      <c r="AA1526" s="284"/>
      <c r="AB1526" s="284"/>
      <c r="AC1526" s="137"/>
      <c r="AD1526" s="284"/>
      <c r="AE1526" s="299"/>
      <c r="AF1526" s="299"/>
      <c r="AG1526" s="284"/>
    </row>
    <row r="1527" spans="2:33">
      <c r="B1527" s="86"/>
      <c r="C1527" s="84"/>
      <c r="D1527" s="86"/>
      <c r="E1527" s="84"/>
      <c r="F1527" s="284"/>
      <c r="G1527" s="49"/>
      <c r="H1527" s="284"/>
      <c r="I1527" s="74"/>
      <c r="J1527" s="371"/>
      <c r="K1527" s="77"/>
      <c r="L1527" s="160"/>
      <c r="M1527" s="388"/>
      <c r="N1527" s="375"/>
      <c r="O1527" s="370"/>
      <c r="T1527" s="340"/>
      <c r="W1527" s="113"/>
      <c r="X1527" s="241"/>
      <c r="Y1527" s="284"/>
      <c r="Z1527" s="207"/>
      <c r="AA1527" s="284"/>
      <c r="AB1527" s="284"/>
      <c r="AC1527" s="137"/>
      <c r="AD1527" s="284"/>
      <c r="AE1527" s="299"/>
      <c r="AF1527" s="299"/>
      <c r="AG1527" s="284"/>
    </row>
    <row r="1528" spans="2:33">
      <c r="B1528" s="86"/>
      <c r="C1528" s="84"/>
      <c r="D1528" s="86"/>
      <c r="E1528" s="84"/>
      <c r="F1528" s="284"/>
      <c r="G1528" s="49"/>
      <c r="H1528" s="284"/>
      <c r="I1528" s="74"/>
      <c r="J1528" s="371"/>
      <c r="K1528" s="77"/>
      <c r="L1528" s="160"/>
      <c r="M1528" s="388"/>
      <c r="N1528" s="375"/>
      <c r="O1528" s="370"/>
      <c r="T1528" s="340"/>
      <c r="W1528" s="113"/>
      <c r="X1528" s="241"/>
      <c r="Y1528" s="284"/>
      <c r="Z1528" s="207"/>
      <c r="AA1528" s="284"/>
      <c r="AB1528" s="284"/>
      <c r="AC1528" s="137"/>
      <c r="AD1528" s="284"/>
      <c r="AE1528" s="299"/>
      <c r="AF1528" s="299"/>
      <c r="AG1528" s="284"/>
    </row>
    <row r="1529" spans="2:33">
      <c r="B1529" s="86"/>
      <c r="C1529" s="84"/>
      <c r="D1529" s="86"/>
      <c r="E1529" s="84"/>
      <c r="F1529" s="284"/>
      <c r="G1529" s="49"/>
      <c r="H1529" s="284"/>
      <c r="I1529" s="74"/>
      <c r="J1529" s="371"/>
      <c r="K1529" s="77"/>
      <c r="L1529" s="160"/>
      <c r="M1529" s="388"/>
      <c r="N1529" s="375"/>
      <c r="O1529" s="370"/>
      <c r="T1529" s="340"/>
      <c r="W1529" s="113"/>
      <c r="X1529" s="241"/>
      <c r="Y1529" s="284"/>
      <c r="Z1529" s="207"/>
      <c r="AA1529" s="284"/>
      <c r="AB1529" s="284"/>
      <c r="AC1529" s="137"/>
      <c r="AD1529" s="284"/>
      <c r="AE1529" s="299"/>
      <c r="AF1529" s="299"/>
      <c r="AG1529" s="284"/>
    </row>
    <row r="1530" spans="2:33">
      <c r="B1530" s="86"/>
      <c r="C1530" s="84"/>
      <c r="D1530" s="86"/>
      <c r="E1530" s="84"/>
      <c r="F1530" s="284"/>
      <c r="G1530" s="49"/>
      <c r="H1530" s="284"/>
      <c r="I1530" s="74"/>
      <c r="J1530" s="371"/>
      <c r="K1530" s="77"/>
      <c r="L1530" s="160"/>
      <c r="M1530" s="388"/>
      <c r="N1530" s="375"/>
      <c r="O1530" s="370"/>
      <c r="T1530" s="340"/>
      <c r="W1530" s="113"/>
      <c r="X1530" s="241"/>
      <c r="Y1530" s="284"/>
      <c r="Z1530" s="207"/>
      <c r="AA1530" s="284"/>
      <c r="AB1530" s="284"/>
      <c r="AC1530" s="137"/>
      <c r="AD1530" s="284"/>
      <c r="AE1530" s="299"/>
      <c r="AF1530" s="299"/>
      <c r="AG1530" s="284"/>
    </row>
    <row r="1531" spans="2:33">
      <c r="B1531" s="86"/>
      <c r="C1531" s="84"/>
      <c r="D1531" s="86"/>
      <c r="E1531" s="84"/>
      <c r="F1531" s="284"/>
      <c r="G1531" s="49"/>
      <c r="H1531" s="284"/>
      <c r="I1531" s="74"/>
      <c r="J1531" s="371"/>
      <c r="K1531" s="77"/>
      <c r="L1531" s="160"/>
      <c r="M1531" s="388"/>
      <c r="N1531" s="375"/>
      <c r="O1531" s="370"/>
      <c r="T1531" s="340"/>
      <c r="W1531" s="113"/>
      <c r="X1531" s="241"/>
      <c r="Y1531" s="284"/>
      <c r="Z1531" s="207"/>
      <c r="AA1531" s="284"/>
      <c r="AB1531" s="284"/>
      <c r="AC1531" s="137"/>
      <c r="AD1531" s="284"/>
      <c r="AE1531" s="299"/>
      <c r="AF1531" s="299"/>
      <c r="AG1531" s="284"/>
    </row>
    <row r="1532" spans="2:33">
      <c r="B1532" s="86"/>
      <c r="C1532" s="84"/>
      <c r="D1532" s="86"/>
      <c r="E1532" s="84"/>
      <c r="F1532" s="284"/>
      <c r="G1532" s="49"/>
      <c r="H1532" s="284"/>
      <c r="I1532" s="74"/>
      <c r="J1532" s="371"/>
      <c r="K1532" s="77"/>
      <c r="L1532" s="160"/>
      <c r="M1532" s="388"/>
      <c r="N1532" s="375"/>
      <c r="O1532" s="370"/>
      <c r="W1532" s="113"/>
      <c r="X1532" s="241"/>
      <c r="Y1532" s="284"/>
      <c r="Z1532" s="207"/>
      <c r="AA1532" s="284"/>
      <c r="AB1532" s="284"/>
      <c r="AC1532" s="137"/>
      <c r="AD1532" s="284"/>
      <c r="AE1532" s="299"/>
      <c r="AF1532" s="299"/>
      <c r="AG1532" s="284"/>
    </row>
    <row r="1533" spans="2:33">
      <c r="B1533" s="86"/>
      <c r="C1533" s="84"/>
      <c r="D1533" s="86"/>
      <c r="E1533" s="84"/>
      <c r="F1533" s="284"/>
      <c r="G1533" s="49"/>
      <c r="H1533" s="284"/>
      <c r="I1533" s="74"/>
      <c r="J1533" s="371"/>
      <c r="K1533" s="77"/>
      <c r="L1533" s="160"/>
      <c r="M1533" s="388"/>
      <c r="N1533" s="375"/>
      <c r="O1533" s="370"/>
      <c r="T1533" s="340"/>
      <c r="W1533" s="113"/>
      <c r="X1533" s="241"/>
      <c r="Y1533" s="284"/>
      <c r="Z1533" s="207"/>
      <c r="AA1533" s="284"/>
      <c r="AB1533" s="284"/>
      <c r="AC1533" s="137"/>
      <c r="AD1533" s="284"/>
      <c r="AE1533" s="299"/>
      <c r="AF1533" s="299"/>
      <c r="AG1533" s="284"/>
    </row>
    <row r="1534" spans="2:33">
      <c r="B1534" s="86"/>
      <c r="C1534" s="84"/>
      <c r="D1534" s="86"/>
      <c r="E1534" s="84"/>
      <c r="F1534" s="284"/>
      <c r="G1534" s="49"/>
      <c r="H1534" s="284"/>
      <c r="I1534" s="74"/>
      <c r="J1534" s="371"/>
      <c r="K1534" s="77"/>
      <c r="L1534" s="160"/>
      <c r="M1534" s="388"/>
      <c r="N1534" s="375"/>
      <c r="O1534" s="370"/>
      <c r="T1534" s="340"/>
      <c r="W1534" s="113"/>
      <c r="X1534" s="241"/>
      <c r="Y1534" s="284"/>
      <c r="Z1534" s="207"/>
      <c r="AA1534" s="284"/>
      <c r="AB1534" s="284"/>
      <c r="AC1534" s="137"/>
      <c r="AD1534" s="284"/>
      <c r="AE1534" s="299"/>
      <c r="AF1534" s="299"/>
      <c r="AG1534" s="284"/>
    </row>
    <row r="1535" spans="2:33">
      <c r="B1535" s="86"/>
      <c r="C1535" s="84"/>
      <c r="D1535" s="86"/>
      <c r="E1535" s="84"/>
      <c r="F1535" s="284"/>
      <c r="G1535" s="49"/>
      <c r="H1535" s="284"/>
      <c r="I1535" s="74"/>
      <c r="J1535" s="371"/>
      <c r="K1535" s="77"/>
      <c r="L1535" s="160"/>
      <c r="M1535" s="388"/>
      <c r="N1535" s="375"/>
      <c r="O1535" s="370"/>
      <c r="T1535" s="340"/>
      <c r="W1535" s="113"/>
      <c r="X1535" s="241"/>
      <c r="Y1535" s="284"/>
      <c r="Z1535" s="207"/>
      <c r="AA1535" s="284"/>
      <c r="AB1535" s="284"/>
      <c r="AC1535" s="137"/>
      <c r="AD1535" s="284"/>
      <c r="AE1535" s="299"/>
      <c r="AF1535" s="299"/>
      <c r="AG1535" s="284"/>
    </row>
    <row r="1536" spans="2:33">
      <c r="B1536" s="86"/>
      <c r="C1536" s="84"/>
      <c r="D1536" s="86"/>
      <c r="E1536" s="84"/>
      <c r="F1536" s="284"/>
      <c r="G1536" s="49"/>
      <c r="H1536" s="284"/>
      <c r="I1536" s="74"/>
      <c r="J1536" s="371"/>
      <c r="K1536" s="77"/>
      <c r="L1536" s="160"/>
      <c r="M1536" s="388"/>
      <c r="N1536" s="375"/>
      <c r="O1536" s="370"/>
      <c r="T1536" s="340"/>
      <c r="W1536" s="113"/>
      <c r="X1536" s="241"/>
      <c r="Y1536" s="284"/>
      <c r="Z1536" s="207"/>
      <c r="AA1536" s="284"/>
      <c r="AB1536" s="284"/>
      <c r="AC1536" s="137"/>
      <c r="AD1536" s="284"/>
      <c r="AE1536" s="299"/>
      <c r="AF1536" s="299"/>
      <c r="AG1536" s="284"/>
    </row>
    <row r="1537" spans="2:33">
      <c r="B1537" s="86"/>
      <c r="C1537" s="84"/>
      <c r="D1537" s="86"/>
      <c r="E1537" s="84"/>
      <c r="F1537" s="284"/>
      <c r="G1537" s="49"/>
      <c r="H1537" s="284"/>
      <c r="I1537" s="74"/>
      <c r="J1537" s="371"/>
      <c r="K1537" s="77"/>
      <c r="L1537" s="160"/>
      <c r="M1537" s="388"/>
      <c r="N1537" s="375"/>
      <c r="O1537" s="370"/>
      <c r="T1537" s="340"/>
      <c r="W1537" s="113"/>
      <c r="X1537" s="241"/>
      <c r="Y1537" s="284"/>
      <c r="Z1537" s="207"/>
      <c r="AA1537" s="284"/>
      <c r="AB1537" s="284"/>
      <c r="AC1537" s="137"/>
      <c r="AD1537" s="284"/>
      <c r="AE1537" s="299"/>
      <c r="AF1537" s="299"/>
      <c r="AG1537" s="284"/>
    </row>
    <row r="1538" spans="2:33">
      <c r="B1538" s="86"/>
      <c r="C1538" s="84"/>
      <c r="D1538" s="86"/>
      <c r="E1538" s="84"/>
      <c r="F1538" s="284"/>
      <c r="G1538" s="49"/>
      <c r="H1538" s="284"/>
      <c r="I1538" s="74"/>
      <c r="J1538" s="371"/>
      <c r="K1538" s="77"/>
      <c r="L1538" s="160"/>
      <c r="M1538" s="388"/>
      <c r="N1538" s="375"/>
      <c r="O1538" s="370"/>
      <c r="T1538" s="340"/>
      <c r="W1538" s="113"/>
      <c r="X1538" s="241"/>
      <c r="Y1538" s="284"/>
      <c r="Z1538" s="207"/>
      <c r="AA1538" s="284"/>
      <c r="AB1538" s="284"/>
      <c r="AC1538" s="137"/>
      <c r="AD1538" s="284"/>
      <c r="AE1538" s="299"/>
      <c r="AF1538" s="299"/>
      <c r="AG1538" s="284"/>
    </row>
    <row r="1539" spans="2:33">
      <c r="B1539" s="86"/>
      <c r="C1539" s="84"/>
      <c r="D1539" s="86"/>
      <c r="E1539" s="84"/>
      <c r="F1539" s="284"/>
      <c r="G1539" s="49"/>
      <c r="H1539" s="284"/>
      <c r="I1539" s="74"/>
      <c r="J1539" s="371"/>
      <c r="K1539" s="77"/>
      <c r="L1539" s="160"/>
      <c r="M1539" s="388"/>
      <c r="N1539" s="375"/>
      <c r="O1539" s="370"/>
      <c r="T1539" s="340"/>
      <c r="W1539" s="113"/>
      <c r="X1539" s="241"/>
      <c r="Y1539" s="284"/>
      <c r="Z1539" s="207"/>
      <c r="AA1539" s="284"/>
      <c r="AB1539" s="284"/>
      <c r="AC1539" s="137"/>
      <c r="AD1539" s="284"/>
      <c r="AE1539" s="299"/>
      <c r="AF1539" s="299"/>
      <c r="AG1539" s="284"/>
    </row>
    <row r="1540" spans="2:33">
      <c r="B1540" s="86"/>
      <c r="C1540" s="84"/>
      <c r="D1540" s="86"/>
      <c r="E1540" s="84"/>
      <c r="F1540" s="284"/>
      <c r="G1540" s="49"/>
      <c r="H1540" s="284"/>
      <c r="I1540" s="74"/>
      <c r="J1540" s="371"/>
      <c r="K1540" s="77"/>
      <c r="L1540" s="160"/>
      <c r="M1540" s="388"/>
      <c r="N1540" s="375"/>
      <c r="O1540" s="370"/>
      <c r="T1540" s="340"/>
      <c r="W1540" s="113"/>
      <c r="X1540" s="241"/>
      <c r="Y1540" s="284"/>
      <c r="Z1540" s="207"/>
      <c r="AA1540" s="284"/>
      <c r="AB1540" s="284"/>
      <c r="AC1540" s="137"/>
      <c r="AD1540" s="284"/>
      <c r="AE1540" s="299"/>
      <c r="AF1540" s="299"/>
      <c r="AG1540" s="284"/>
    </row>
    <row r="1541" spans="2:33">
      <c r="B1541" s="86"/>
      <c r="C1541" s="84"/>
      <c r="D1541" s="86"/>
      <c r="E1541" s="84"/>
      <c r="F1541" s="284"/>
      <c r="G1541" s="49"/>
      <c r="H1541" s="284"/>
      <c r="I1541" s="74"/>
      <c r="J1541" s="371"/>
      <c r="K1541" s="77"/>
      <c r="L1541" s="160"/>
      <c r="M1541" s="388"/>
      <c r="N1541" s="375"/>
      <c r="O1541" s="370"/>
      <c r="W1541" s="113"/>
      <c r="X1541" s="241"/>
      <c r="Y1541" s="284"/>
      <c r="Z1541" s="207"/>
      <c r="AA1541" s="284"/>
      <c r="AB1541" s="284"/>
      <c r="AC1541" s="137"/>
      <c r="AD1541" s="284"/>
      <c r="AE1541" s="299"/>
      <c r="AF1541" s="299"/>
      <c r="AG1541" s="284"/>
    </row>
    <row r="1542" spans="2:33">
      <c r="B1542" s="86"/>
      <c r="C1542" s="84"/>
      <c r="D1542" s="86"/>
      <c r="E1542" s="84"/>
      <c r="F1542" s="284"/>
      <c r="G1542" s="49"/>
      <c r="H1542" s="284"/>
      <c r="I1542" s="74"/>
      <c r="J1542" s="371"/>
      <c r="K1542" s="77"/>
      <c r="L1542" s="160"/>
      <c r="M1542" s="388"/>
      <c r="N1542" s="375"/>
      <c r="O1542" s="370"/>
      <c r="T1542" s="340"/>
      <c r="W1542" s="113"/>
      <c r="X1542" s="241"/>
      <c r="Y1542" s="284"/>
      <c r="Z1542" s="207"/>
      <c r="AA1542" s="284"/>
      <c r="AB1542" s="284"/>
      <c r="AC1542" s="137"/>
      <c r="AD1542" s="284"/>
      <c r="AE1542" s="299"/>
      <c r="AF1542" s="299"/>
      <c r="AG1542" s="284"/>
    </row>
    <row r="1543" spans="2:33">
      <c r="B1543" s="86"/>
      <c r="C1543" s="84"/>
      <c r="D1543" s="86"/>
      <c r="E1543" s="84"/>
      <c r="F1543" s="284"/>
      <c r="G1543" s="49"/>
      <c r="H1543" s="284"/>
      <c r="I1543" s="74"/>
      <c r="J1543" s="371"/>
      <c r="K1543" s="77"/>
      <c r="L1543" s="160"/>
      <c r="M1543" s="388"/>
      <c r="N1543" s="375"/>
      <c r="O1543" s="370"/>
      <c r="T1543" s="340"/>
      <c r="W1543" s="113"/>
      <c r="X1543" s="241"/>
      <c r="Y1543" s="284"/>
      <c r="Z1543" s="207"/>
      <c r="AA1543" s="284"/>
      <c r="AB1543" s="284"/>
      <c r="AC1543" s="137"/>
      <c r="AD1543" s="284"/>
      <c r="AE1543" s="299"/>
      <c r="AF1543" s="299"/>
      <c r="AG1543" s="284"/>
    </row>
    <row r="1544" spans="2:33">
      <c r="B1544" s="86"/>
      <c r="C1544" s="84"/>
      <c r="D1544" s="86"/>
      <c r="E1544" s="84"/>
      <c r="F1544" s="284"/>
      <c r="G1544" s="49"/>
      <c r="H1544" s="284"/>
      <c r="I1544" s="74"/>
      <c r="J1544" s="371"/>
      <c r="K1544" s="77"/>
      <c r="L1544" s="160"/>
      <c r="M1544" s="388"/>
      <c r="N1544" s="375"/>
      <c r="O1544" s="370"/>
      <c r="T1544" s="340"/>
      <c r="W1544" s="113"/>
      <c r="X1544" s="241"/>
      <c r="Y1544" s="284"/>
      <c r="Z1544" s="207"/>
      <c r="AA1544" s="284"/>
      <c r="AB1544" s="284"/>
      <c r="AC1544" s="137"/>
      <c r="AD1544" s="284"/>
      <c r="AE1544" s="299"/>
      <c r="AF1544" s="299"/>
      <c r="AG1544" s="284"/>
    </row>
    <row r="1545" spans="2:33">
      <c r="B1545" s="86"/>
      <c r="C1545" s="84"/>
      <c r="D1545" s="86"/>
      <c r="E1545" s="84"/>
      <c r="F1545" s="284"/>
      <c r="G1545" s="49"/>
      <c r="H1545" s="284"/>
      <c r="I1545" s="74"/>
      <c r="J1545" s="371"/>
      <c r="K1545" s="77"/>
      <c r="L1545" s="160"/>
      <c r="M1545" s="388"/>
      <c r="N1545" s="375"/>
      <c r="O1545" s="370"/>
      <c r="T1545" s="340"/>
      <c r="W1545" s="113"/>
      <c r="X1545" s="241"/>
      <c r="Y1545" s="284"/>
      <c r="Z1545" s="207"/>
      <c r="AA1545" s="284"/>
      <c r="AB1545" s="284"/>
      <c r="AC1545" s="137"/>
      <c r="AD1545" s="284"/>
      <c r="AE1545" s="299"/>
      <c r="AF1545" s="299"/>
      <c r="AG1545" s="284"/>
    </row>
    <row r="1546" spans="2:33">
      <c r="B1546" s="86"/>
      <c r="C1546" s="84"/>
      <c r="D1546" s="86"/>
      <c r="E1546" s="84"/>
      <c r="F1546" s="284"/>
      <c r="G1546" s="49"/>
      <c r="H1546" s="284"/>
      <c r="I1546" s="74"/>
      <c r="J1546" s="371"/>
      <c r="K1546" s="77"/>
      <c r="L1546" s="160"/>
      <c r="M1546" s="388"/>
      <c r="N1546" s="375"/>
      <c r="O1546" s="370"/>
      <c r="T1546" s="340"/>
      <c r="W1546" s="113"/>
      <c r="X1546" s="241"/>
      <c r="Y1546" s="284"/>
      <c r="Z1546" s="207"/>
      <c r="AA1546" s="284"/>
      <c r="AB1546" s="284"/>
      <c r="AC1546" s="137"/>
      <c r="AD1546" s="284"/>
      <c r="AE1546" s="299"/>
      <c r="AF1546" s="299"/>
      <c r="AG1546" s="284"/>
    </row>
    <row r="1547" spans="2:33">
      <c r="B1547" s="86"/>
      <c r="C1547" s="84"/>
      <c r="D1547" s="86"/>
      <c r="E1547" s="84"/>
      <c r="F1547" s="284"/>
      <c r="G1547" s="49"/>
      <c r="H1547" s="284"/>
      <c r="I1547" s="74"/>
      <c r="J1547" s="371"/>
      <c r="K1547" s="77"/>
      <c r="L1547" s="160"/>
      <c r="M1547" s="388"/>
      <c r="N1547" s="375"/>
      <c r="O1547" s="370"/>
      <c r="T1547" s="340"/>
      <c r="W1547" s="113"/>
      <c r="X1547" s="241"/>
      <c r="Y1547" s="284"/>
      <c r="Z1547" s="207"/>
      <c r="AA1547" s="284"/>
      <c r="AB1547" s="284"/>
      <c r="AC1547" s="137"/>
      <c r="AD1547" s="284"/>
      <c r="AE1547" s="299"/>
      <c r="AF1547" s="299"/>
      <c r="AG1547" s="284"/>
    </row>
    <row r="1548" spans="2:33">
      <c r="B1548" s="86"/>
      <c r="C1548" s="84"/>
      <c r="D1548" s="86"/>
      <c r="E1548" s="84"/>
      <c r="F1548" s="284"/>
      <c r="G1548" s="49"/>
      <c r="H1548" s="284"/>
      <c r="I1548" s="74"/>
      <c r="J1548" s="371"/>
      <c r="K1548" s="77"/>
      <c r="L1548" s="160"/>
      <c r="M1548" s="388"/>
      <c r="N1548" s="375"/>
      <c r="O1548" s="370"/>
      <c r="T1548" s="340"/>
      <c r="W1548" s="113"/>
      <c r="X1548" s="241"/>
      <c r="Y1548" s="284"/>
      <c r="Z1548" s="207"/>
      <c r="AA1548" s="284"/>
      <c r="AB1548" s="284"/>
      <c r="AC1548" s="137"/>
      <c r="AD1548" s="284"/>
      <c r="AE1548" s="299"/>
      <c r="AF1548" s="299"/>
      <c r="AG1548" s="284"/>
    </row>
    <row r="1549" spans="2:33">
      <c r="B1549" s="86"/>
      <c r="C1549" s="84"/>
      <c r="D1549" s="86"/>
      <c r="E1549" s="84"/>
      <c r="F1549" s="284"/>
      <c r="G1549" s="49"/>
      <c r="H1549" s="284"/>
      <c r="I1549" s="74"/>
      <c r="J1549" s="371"/>
      <c r="K1549" s="77"/>
      <c r="L1549" s="160"/>
      <c r="M1549" s="388"/>
      <c r="N1549" s="375"/>
      <c r="O1549" s="370"/>
      <c r="T1549" s="340"/>
      <c r="W1549" s="113"/>
      <c r="X1549" s="241"/>
      <c r="Y1549" s="284"/>
      <c r="Z1549" s="207"/>
      <c r="AA1549" s="284"/>
      <c r="AB1549" s="284"/>
      <c r="AC1549" s="137"/>
      <c r="AD1549" s="284"/>
      <c r="AE1549" s="299"/>
      <c r="AF1549" s="299"/>
      <c r="AG1549" s="284"/>
    </row>
    <row r="1550" spans="2:33">
      <c r="B1550" s="86"/>
      <c r="C1550" s="84"/>
      <c r="D1550" s="86"/>
      <c r="E1550" s="84"/>
      <c r="F1550" s="284"/>
      <c r="G1550" s="49"/>
      <c r="H1550" s="284"/>
      <c r="I1550" s="74"/>
      <c r="J1550" s="371"/>
      <c r="K1550" s="77"/>
      <c r="L1550" s="160"/>
      <c r="M1550" s="388"/>
      <c r="N1550" s="375"/>
      <c r="O1550" s="370"/>
      <c r="T1550" s="340"/>
      <c r="W1550" s="113"/>
      <c r="X1550" s="241"/>
      <c r="Y1550" s="284"/>
      <c r="Z1550" s="207"/>
      <c r="AA1550" s="284"/>
      <c r="AB1550" s="284"/>
      <c r="AC1550" s="137"/>
      <c r="AD1550" s="284"/>
      <c r="AE1550" s="299"/>
      <c r="AF1550" s="299"/>
      <c r="AG1550" s="284"/>
    </row>
    <row r="1551" spans="2:33">
      <c r="B1551" s="86"/>
      <c r="C1551" s="84"/>
      <c r="D1551" s="86"/>
      <c r="E1551" s="84"/>
      <c r="F1551" s="284"/>
      <c r="G1551" s="49"/>
      <c r="H1551" s="284"/>
      <c r="I1551" s="74"/>
      <c r="J1551" s="371"/>
      <c r="K1551" s="77"/>
      <c r="L1551" s="160"/>
      <c r="M1551" s="388"/>
      <c r="N1551" s="375"/>
      <c r="O1551" s="370"/>
      <c r="T1551" s="340"/>
      <c r="W1551" s="113"/>
      <c r="X1551" s="241"/>
      <c r="Y1551" s="284"/>
      <c r="Z1551" s="207"/>
      <c r="AA1551" s="284"/>
      <c r="AB1551" s="284"/>
      <c r="AC1551" s="137"/>
      <c r="AD1551" s="284"/>
      <c r="AE1551" s="299"/>
      <c r="AF1551" s="299"/>
      <c r="AG1551" s="284"/>
    </row>
    <row r="1552" spans="2:33">
      <c r="B1552" s="86"/>
      <c r="C1552" s="84"/>
      <c r="D1552" s="86"/>
      <c r="E1552" s="84"/>
      <c r="F1552" s="284"/>
      <c r="G1552" s="49"/>
      <c r="H1552" s="284"/>
      <c r="I1552" s="74"/>
      <c r="J1552" s="371"/>
      <c r="K1552" s="77"/>
      <c r="L1552" s="160"/>
      <c r="M1552" s="388"/>
      <c r="N1552" s="375"/>
      <c r="O1552" s="370"/>
      <c r="T1552" s="340"/>
      <c r="W1552" s="113"/>
      <c r="X1552" s="241"/>
      <c r="Y1552" s="284"/>
      <c r="Z1552" s="207"/>
      <c r="AA1552" s="284"/>
      <c r="AB1552" s="284"/>
      <c r="AC1552" s="137"/>
      <c r="AD1552" s="284"/>
      <c r="AE1552" s="299"/>
      <c r="AF1552" s="299"/>
      <c r="AG1552" s="284"/>
    </row>
    <row r="1553" spans="2:33">
      <c r="B1553" s="86"/>
      <c r="C1553" s="84"/>
      <c r="D1553" s="86"/>
      <c r="E1553" s="84"/>
      <c r="F1553" s="284"/>
      <c r="G1553" s="49"/>
      <c r="H1553" s="284"/>
      <c r="I1553" s="74"/>
      <c r="J1553" s="371"/>
      <c r="K1553" s="77"/>
      <c r="L1553" s="160"/>
      <c r="M1553" s="388"/>
      <c r="N1553" s="375"/>
      <c r="O1553" s="370"/>
      <c r="W1553" s="113"/>
      <c r="X1553" s="241"/>
      <c r="Y1553" s="284"/>
      <c r="Z1553" s="207"/>
      <c r="AA1553" s="284"/>
      <c r="AB1553" s="284"/>
      <c r="AC1553" s="137"/>
      <c r="AD1553" s="284"/>
      <c r="AE1553" s="299"/>
      <c r="AF1553" s="299"/>
      <c r="AG1553" s="284"/>
    </row>
    <row r="1554" spans="2:33">
      <c r="B1554" s="86"/>
      <c r="C1554" s="84"/>
      <c r="D1554" s="86"/>
      <c r="E1554" s="84"/>
      <c r="F1554" s="284"/>
      <c r="G1554" s="49"/>
      <c r="H1554" s="284"/>
      <c r="I1554" s="74"/>
      <c r="J1554" s="371"/>
      <c r="K1554" s="77"/>
      <c r="L1554" s="160"/>
      <c r="M1554" s="388"/>
      <c r="N1554" s="375"/>
      <c r="O1554" s="370"/>
      <c r="T1554" s="340"/>
      <c r="W1554" s="113"/>
      <c r="X1554" s="241"/>
      <c r="Y1554" s="284"/>
      <c r="Z1554" s="207"/>
      <c r="AA1554" s="284"/>
      <c r="AB1554" s="284"/>
      <c r="AC1554" s="137"/>
      <c r="AD1554" s="284"/>
      <c r="AE1554" s="299"/>
      <c r="AF1554" s="299"/>
      <c r="AG1554" s="284"/>
    </row>
    <row r="1555" spans="2:33">
      <c r="B1555" s="86"/>
      <c r="C1555" s="84"/>
      <c r="D1555" s="86"/>
      <c r="E1555" s="84"/>
      <c r="F1555" s="284"/>
      <c r="G1555" s="49"/>
      <c r="H1555" s="284"/>
      <c r="I1555" s="74"/>
      <c r="J1555" s="371"/>
      <c r="K1555" s="77"/>
      <c r="L1555" s="160"/>
      <c r="M1555" s="388"/>
      <c r="N1555" s="375"/>
      <c r="O1555" s="370"/>
      <c r="T1555" s="340"/>
      <c r="W1555" s="113"/>
      <c r="X1555" s="241"/>
      <c r="Y1555" s="284"/>
      <c r="Z1555" s="207"/>
      <c r="AA1555" s="284"/>
      <c r="AB1555" s="284"/>
      <c r="AC1555" s="137"/>
      <c r="AD1555" s="284"/>
      <c r="AE1555" s="299"/>
      <c r="AF1555" s="299"/>
      <c r="AG1555" s="284"/>
    </row>
    <row r="1556" spans="2:33">
      <c r="B1556" s="86"/>
      <c r="C1556" s="84"/>
      <c r="D1556" s="86"/>
      <c r="E1556" s="84"/>
      <c r="F1556" s="284"/>
      <c r="G1556" s="49"/>
      <c r="H1556" s="284"/>
      <c r="I1556" s="74"/>
      <c r="J1556" s="371"/>
      <c r="K1556" s="77"/>
      <c r="L1556" s="160"/>
      <c r="M1556" s="388"/>
      <c r="N1556" s="375"/>
      <c r="O1556" s="370"/>
      <c r="T1556" s="340"/>
      <c r="W1556" s="113"/>
      <c r="X1556" s="241"/>
      <c r="Y1556" s="284"/>
      <c r="Z1556" s="207"/>
      <c r="AA1556" s="284"/>
      <c r="AB1556" s="284"/>
      <c r="AC1556" s="137"/>
      <c r="AD1556" s="284"/>
      <c r="AE1556" s="299"/>
      <c r="AF1556" s="299"/>
      <c r="AG1556" s="284"/>
    </row>
    <row r="1557" spans="2:33">
      <c r="B1557" s="86"/>
      <c r="C1557" s="84"/>
      <c r="D1557" s="86"/>
      <c r="E1557" s="84"/>
      <c r="F1557" s="284"/>
      <c r="G1557" s="49"/>
      <c r="H1557" s="284"/>
      <c r="I1557" s="74"/>
      <c r="J1557" s="371"/>
      <c r="K1557" s="77"/>
      <c r="L1557" s="160"/>
      <c r="M1557" s="388"/>
      <c r="N1557" s="375"/>
      <c r="O1557" s="370"/>
      <c r="T1557" s="340"/>
      <c r="W1557" s="113"/>
      <c r="X1557" s="241"/>
      <c r="Y1557" s="284"/>
      <c r="Z1557" s="207"/>
      <c r="AA1557" s="284"/>
      <c r="AB1557" s="284"/>
      <c r="AC1557" s="137"/>
      <c r="AD1557" s="284"/>
      <c r="AE1557" s="299"/>
      <c r="AF1557" s="299"/>
      <c r="AG1557" s="284"/>
    </row>
    <row r="1558" spans="2:33">
      <c r="B1558" s="86"/>
      <c r="C1558" s="84"/>
      <c r="D1558" s="86"/>
      <c r="E1558" s="84"/>
      <c r="F1558" s="284"/>
      <c r="G1558" s="49"/>
      <c r="H1558" s="284"/>
      <c r="I1558" s="74"/>
      <c r="J1558" s="371"/>
      <c r="K1558" s="77"/>
      <c r="L1558" s="160"/>
      <c r="M1558" s="388"/>
      <c r="N1558" s="375"/>
      <c r="O1558" s="370"/>
      <c r="T1558" s="340"/>
      <c r="W1558" s="113"/>
      <c r="X1558" s="241"/>
      <c r="Y1558" s="284"/>
      <c r="Z1558" s="207"/>
      <c r="AA1558" s="284"/>
      <c r="AB1558" s="284"/>
      <c r="AC1558" s="137"/>
      <c r="AD1558" s="284"/>
      <c r="AE1558" s="299"/>
      <c r="AF1558" s="299"/>
      <c r="AG1558" s="284"/>
    </row>
    <row r="1559" spans="2:33">
      <c r="B1559" s="86"/>
      <c r="C1559" s="84"/>
      <c r="D1559" s="86"/>
      <c r="E1559" s="84"/>
      <c r="F1559" s="284"/>
      <c r="G1559" s="49"/>
      <c r="H1559" s="284"/>
      <c r="I1559" s="74"/>
      <c r="J1559" s="371"/>
      <c r="K1559" s="77"/>
      <c r="L1559" s="160"/>
      <c r="M1559" s="388"/>
      <c r="N1559" s="375"/>
      <c r="O1559" s="370"/>
      <c r="T1559" s="340"/>
      <c r="W1559" s="113"/>
      <c r="X1559" s="241"/>
      <c r="Y1559" s="284"/>
      <c r="Z1559" s="207"/>
      <c r="AA1559" s="284"/>
      <c r="AB1559" s="284"/>
      <c r="AC1559" s="137"/>
      <c r="AD1559" s="284"/>
      <c r="AE1559" s="299"/>
      <c r="AF1559" s="299"/>
      <c r="AG1559" s="284"/>
    </row>
    <row r="1560" spans="2:33">
      <c r="B1560" s="86"/>
      <c r="C1560" s="84"/>
      <c r="D1560" s="86"/>
      <c r="E1560" s="84"/>
      <c r="F1560" s="284"/>
      <c r="G1560" s="49"/>
      <c r="H1560" s="284"/>
      <c r="I1560" s="74"/>
      <c r="J1560" s="371"/>
      <c r="K1560" s="77"/>
      <c r="L1560" s="160"/>
      <c r="M1560" s="388"/>
      <c r="N1560" s="375"/>
      <c r="O1560" s="370"/>
      <c r="T1560" s="340"/>
      <c r="W1560" s="113"/>
      <c r="X1560" s="241"/>
      <c r="Y1560" s="284"/>
      <c r="Z1560" s="207"/>
      <c r="AA1560" s="284"/>
      <c r="AB1560" s="284"/>
      <c r="AC1560" s="137"/>
      <c r="AD1560" s="284"/>
      <c r="AE1560" s="299"/>
      <c r="AF1560" s="299"/>
      <c r="AG1560" s="284"/>
    </row>
    <row r="1561" spans="2:33">
      <c r="B1561" s="86"/>
      <c r="C1561" s="84"/>
      <c r="D1561" s="86"/>
      <c r="E1561" s="84"/>
      <c r="F1561" s="284"/>
      <c r="G1561" s="49"/>
      <c r="H1561" s="284"/>
      <c r="I1561" s="74"/>
      <c r="J1561" s="371"/>
      <c r="K1561" s="77"/>
      <c r="L1561" s="160"/>
      <c r="M1561" s="388"/>
      <c r="N1561" s="375"/>
      <c r="O1561" s="370"/>
      <c r="T1561" s="340"/>
      <c r="W1561" s="113"/>
      <c r="X1561" s="241"/>
      <c r="Y1561" s="284"/>
      <c r="Z1561" s="207"/>
      <c r="AA1561" s="284"/>
      <c r="AB1561" s="284"/>
      <c r="AC1561" s="137"/>
      <c r="AD1561" s="284"/>
      <c r="AE1561" s="299"/>
      <c r="AF1561" s="299"/>
      <c r="AG1561" s="284"/>
    </row>
    <row r="1562" spans="2:33">
      <c r="B1562" s="86"/>
      <c r="C1562" s="84"/>
      <c r="D1562" s="86"/>
      <c r="E1562" s="84"/>
      <c r="F1562" s="284"/>
      <c r="G1562" s="49"/>
      <c r="H1562" s="284"/>
      <c r="I1562" s="74"/>
      <c r="J1562" s="371"/>
      <c r="K1562" s="77"/>
      <c r="L1562" s="160"/>
      <c r="M1562" s="388"/>
      <c r="N1562" s="375"/>
      <c r="O1562" s="370"/>
      <c r="W1562" s="113"/>
      <c r="X1562" s="241"/>
      <c r="Y1562" s="284"/>
      <c r="Z1562" s="207"/>
      <c r="AA1562" s="284"/>
      <c r="AB1562" s="284"/>
      <c r="AC1562" s="137"/>
      <c r="AD1562" s="284"/>
      <c r="AE1562" s="299"/>
      <c r="AF1562" s="299"/>
      <c r="AG1562" s="284"/>
    </row>
    <row r="1563" spans="2:33">
      <c r="B1563" s="86"/>
      <c r="C1563" s="84"/>
      <c r="D1563" s="86"/>
      <c r="E1563" s="84"/>
      <c r="F1563" s="284"/>
      <c r="G1563" s="49"/>
      <c r="H1563" s="284"/>
      <c r="I1563" s="74"/>
      <c r="J1563" s="371"/>
      <c r="K1563" s="77"/>
      <c r="L1563" s="160"/>
      <c r="M1563" s="388"/>
      <c r="N1563" s="375"/>
      <c r="O1563" s="370"/>
      <c r="T1563" s="340"/>
      <c r="W1563" s="113"/>
      <c r="X1563" s="241"/>
      <c r="Y1563" s="284"/>
      <c r="Z1563" s="207"/>
      <c r="AA1563" s="284"/>
      <c r="AB1563" s="284"/>
      <c r="AC1563" s="137"/>
      <c r="AD1563" s="284"/>
      <c r="AE1563" s="299"/>
      <c r="AF1563" s="299"/>
      <c r="AG1563" s="284"/>
    </row>
    <row r="1564" spans="2:33">
      <c r="B1564" s="86"/>
      <c r="C1564" s="84"/>
      <c r="D1564" s="86"/>
      <c r="E1564" s="84"/>
      <c r="F1564" s="284"/>
      <c r="G1564" s="49"/>
      <c r="H1564" s="284"/>
      <c r="I1564" s="74"/>
      <c r="J1564" s="371"/>
      <c r="K1564" s="77"/>
      <c r="L1564" s="160"/>
      <c r="M1564" s="388"/>
      <c r="N1564" s="375"/>
      <c r="O1564" s="370"/>
      <c r="T1564" s="340"/>
      <c r="W1564" s="113"/>
      <c r="X1564" s="241"/>
      <c r="Y1564" s="284"/>
      <c r="Z1564" s="207"/>
      <c r="AA1564" s="284"/>
      <c r="AB1564" s="284"/>
      <c r="AC1564" s="137"/>
      <c r="AD1564" s="284"/>
      <c r="AE1564" s="299"/>
      <c r="AF1564" s="299"/>
      <c r="AG1564" s="284"/>
    </row>
    <row r="1565" spans="2:33">
      <c r="B1565" s="86"/>
      <c r="C1565" s="84"/>
      <c r="D1565" s="86"/>
      <c r="E1565" s="84"/>
      <c r="F1565" s="284"/>
      <c r="G1565" s="49"/>
      <c r="H1565" s="284"/>
      <c r="I1565" s="74"/>
      <c r="J1565" s="371"/>
      <c r="K1565" s="77"/>
      <c r="L1565" s="160"/>
      <c r="M1565" s="388"/>
      <c r="N1565" s="375"/>
      <c r="O1565" s="370"/>
      <c r="T1565" s="340"/>
      <c r="W1565" s="113"/>
      <c r="X1565" s="241"/>
      <c r="Y1565" s="284"/>
      <c r="Z1565" s="207"/>
      <c r="AA1565" s="284"/>
      <c r="AB1565" s="284"/>
      <c r="AC1565" s="137"/>
      <c r="AD1565" s="284"/>
      <c r="AE1565" s="299"/>
      <c r="AF1565" s="299"/>
      <c r="AG1565" s="284"/>
    </row>
    <row r="1566" spans="2:33">
      <c r="B1566" s="86"/>
      <c r="C1566" s="84"/>
      <c r="D1566" s="86"/>
      <c r="E1566" s="84"/>
      <c r="F1566" s="284"/>
      <c r="G1566" s="49"/>
      <c r="H1566" s="284"/>
      <c r="I1566" s="74"/>
      <c r="J1566" s="371"/>
      <c r="K1566" s="77"/>
      <c r="L1566" s="160"/>
      <c r="M1566" s="388"/>
      <c r="N1566" s="375"/>
      <c r="O1566" s="370"/>
      <c r="T1566" s="340"/>
      <c r="W1566" s="113"/>
      <c r="X1566" s="241"/>
      <c r="Y1566" s="284"/>
      <c r="Z1566" s="207"/>
      <c r="AA1566" s="284"/>
      <c r="AB1566" s="284"/>
      <c r="AC1566" s="137"/>
      <c r="AD1566" s="284"/>
      <c r="AE1566" s="299"/>
      <c r="AF1566" s="299"/>
      <c r="AG1566" s="284"/>
    </row>
    <row r="1567" spans="2:33">
      <c r="B1567" s="86"/>
      <c r="C1567" s="84"/>
      <c r="D1567" s="86"/>
      <c r="E1567" s="84"/>
      <c r="F1567" s="284"/>
      <c r="G1567" s="49"/>
      <c r="H1567" s="284"/>
      <c r="I1567" s="74"/>
      <c r="J1567" s="371"/>
      <c r="K1567" s="77"/>
      <c r="L1567" s="160"/>
      <c r="M1567" s="388"/>
      <c r="N1567" s="375"/>
      <c r="O1567" s="370"/>
      <c r="T1567" s="340"/>
      <c r="W1567" s="113"/>
      <c r="X1567" s="241"/>
      <c r="Y1567" s="284"/>
      <c r="Z1567" s="207"/>
      <c r="AA1567" s="284"/>
      <c r="AB1567" s="284"/>
      <c r="AC1567" s="137"/>
      <c r="AD1567" s="284"/>
      <c r="AE1567" s="299"/>
      <c r="AF1567" s="299"/>
      <c r="AG1567" s="284"/>
    </row>
    <row r="1568" spans="2:33">
      <c r="B1568" s="86"/>
      <c r="C1568" s="84"/>
      <c r="D1568" s="86"/>
      <c r="E1568" s="84"/>
      <c r="F1568" s="284"/>
      <c r="G1568" s="49"/>
      <c r="H1568" s="284"/>
      <c r="I1568" s="74"/>
      <c r="J1568" s="371"/>
      <c r="K1568" s="77"/>
      <c r="L1568" s="160"/>
      <c r="M1568" s="388"/>
      <c r="N1568" s="375"/>
      <c r="O1568" s="370"/>
      <c r="T1568" s="340"/>
      <c r="W1568" s="113"/>
      <c r="X1568" s="241"/>
      <c r="Y1568" s="284"/>
      <c r="Z1568" s="207"/>
      <c r="AA1568" s="284"/>
      <c r="AB1568" s="284"/>
      <c r="AC1568" s="137"/>
      <c r="AD1568" s="284"/>
      <c r="AE1568" s="299"/>
      <c r="AF1568" s="299"/>
      <c r="AG1568" s="284"/>
    </row>
    <row r="1569" spans="2:33">
      <c r="B1569" s="86"/>
      <c r="C1569" s="84"/>
      <c r="D1569" s="86"/>
      <c r="E1569" s="84"/>
      <c r="F1569" s="284"/>
      <c r="G1569" s="49"/>
      <c r="H1569" s="284"/>
      <c r="I1569" s="74"/>
      <c r="J1569" s="371"/>
      <c r="K1569" s="77"/>
      <c r="L1569" s="160"/>
      <c r="M1569" s="388"/>
      <c r="N1569" s="375"/>
      <c r="O1569" s="370"/>
      <c r="T1569" s="340"/>
      <c r="W1569" s="113"/>
      <c r="X1569" s="241"/>
      <c r="Y1569" s="284"/>
      <c r="Z1569" s="207"/>
      <c r="AA1569" s="284"/>
      <c r="AB1569" s="284"/>
      <c r="AC1569" s="137"/>
      <c r="AD1569" s="284"/>
      <c r="AE1569" s="299"/>
      <c r="AF1569" s="299"/>
      <c r="AG1569" s="284"/>
    </row>
    <row r="1570" spans="2:33">
      <c r="B1570" s="86"/>
      <c r="C1570" s="84"/>
      <c r="D1570" s="86"/>
      <c r="E1570" s="84"/>
      <c r="F1570" s="284"/>
      <c r="G1570" s="49"/>
      <c r="H1570" s="284"/>
      <c r="I1570" s="74"/>
      <c r="J1570" s="371"/>
      <c r="K1570" s="77"/>
      <c r="L1570" s="160"/>
      <c r="M1570" s="388"/>
      <c r="N1570" s="375"/>
      <c r="O1570" s="370"/>
      <c r="T1570" s="340"/>
      <c r="W1570" s="113"/>
      <c r="X1570" s="241"/>
      <c r="Y1570" s="284"/>
      <c r="Z1570" s="207"/>
      <c r="AA1570" s="284"/>
      <c r="AB1570" s="284"/>
      <c r="AC1570" s="137"/>
      <c r="AD1570" s="284"/>
      <c r="AE1570" s="299"/>
      <c r="AF1570" s="299"/>
      <c r="AG1570" s="284"/>
    </row>
    <row r="1571" spans="2:33">
      <c r="B1571" s="86"/>
      <c r="C1571" s="84"/>
      <c r="D1571" s="86"/>
      <c r="E1571" s="84"/>
      <c r="F1571" s="284"/>
      <c r="G1571" s="49"/>
      <c r="H1571" s="284"/>
      <c r="I1571" s="74"/>
      <c r="J1571" s="371"/>
      <c r="K1571" s="77"/>
      <c r="L1571" s="160"/>
      <c r="M1571" s="388"/>
      <c r="N1571" s="375"/>
      <c r="O1571" s="370"/>
      <c r="T1571" s="340"/>
      <c r="W1571" s="113"/>
      <c r="X1571" s="241"/>
      <c r="Y1571" s="284"/>
      <c r="Z1571" s="207"/>
      <c r="AA1571" s="284"/>
      <c r="AB1571" s="284"/>
      <c r="AC1571" s="137"/>
      <c r="AD1571" s="284"/>
      <c r="AE1571" s="299"/>
      <c r="AF1571" s="299"/>
      <c r="AG1571" s="284"/>
    </row>
    <row r="1572" spans="2:33">
      <c r="B1572" s="86"/>
      <c r="C1572" s="84"/>
      <c r="D1572" s="86"/>
      <c r="E1572" s="84"/>
      <c r="F1572" s="284"/>
      <c r="G1572" s="49"/>
      <c r="H1572" s="284"/>
      <c r="I1572" s="74"/>
      <c r="J1572" s="371"/>
      <c r="K1572" s="77"/>
      <c r="L1572" s="160"/>
      <c r="M1572" s="388"/>
      <c r="N1572" s="375"/>
      <c r="O1572" s="370"/>
      <c r="T1572" s="340"/>
      <c r="W1572" s="113"/>
      <c r="X1572" s="241"/>
      <c r="Y1572" s="284"/>
      <c r="Z1572" s="207"/>
      <c r="AA1572" s="284"/>
      <c r="AB1572" s="284"/>
      <c r="AC1572" s="137"/>
      <c r="AD1572" s="284"/>
      <c r="AE1572" s="299"/>
      <c r="AF1572" s="299"/>
      <c r="AG1572" s="284"/>
    </row>
    <row r="1573" spans="2:33">
      <c r="B1573" s="86"/>
      <c r="C1573" s="84"/>
      <c r="D1573" s="86"/>
      <c r="E1573" s="84"/>
      <c r="F1573" s="284"/>
      <c r="G1573" s="49"/>
      <c r="H1573" s="284"/>
      <c r="I1573" s="74"/>
      <c r="J1573" s="371"/>
      <c r="K1573" s="77"/>
      <c r="L1573" s="160"/>
      <c r="M1573" s="388"/>
      <c r="N1573" s="375"/>
      <c r="O1573" s="370"/>
      <c r="T1573" s="340"/>
      <c r="W1573" s="113"/>
      <c r="X1573" s="241"/>
      <c r="Y1573" s="284"/>
      <c r="Z1573" s="207"/>
      <c r="AA1573" s="284"/>
      <c r="AB1573" s="284"/>
      <c r="AC1573" s="137"/>
      <c r="AD1573" s="284"/>
      <c r="AE1573" s="299"/>
      <c r="AF1573" s="299"/>
      <c r="AG1573" s="284"/>
    </row>
    <row r="1574" spans="2:33">
      <c r="B1574" s="86"/>
      <c r="C1574" s="84"/>
      <c r="D1574" s="86"/>
      <c r="E1574" s="84"/>
      <c r="F1574" s="284"/>
      <c r="G1574" s="49"/>
      <c r="H1574" s="284"/>
      <c r="I1574" s="74"/>
      <c r="J1574" s="371"/>
      <c r="K1574" s="77"/>
      <c r="L1574" s="160"/>
      <c r="M1574" s="388"/>
      <c r="N1574" s="375"/>
      <c r="O1574" s="370"/>
      <c r="T1574" s="340"/>
      <c r="W1574" s="113"/>
      <c r="X1574" s="241"/>
      <c r="Y1574" s="284"/>
      <c r="Z1574" s="207"/>
      <c r="AA1574" s="284"/>
      <c r="AB1574" s="284"/>
      <c r="AC1574" s="137"/>
      <c r="AD1574" s="284"/>
      <c r="AE1574" s="299"/>
      <c r="AF1574" s="299"/>
      <c r="AG1574" s="284"/>
    </row>
    <row r="1575" spans="2:33">
      <c r="B1575" s="86"/>
      <c r="C1575" s="84"/>
      <c r="D1575" s="86"/>
      <c r="E1575" s="84"/>
      <c r="F1575" s="284"/>
      <c r="G1575" s="49"/>
      <c r="H1575" s="284"/>
      <c r="I1575" s="74"/>
      <c r="J1575" s="371"/>
      <c r="K1575" s="77"/>
      <c r="L1575" s="160"/>
      <c r="M1575" s="388"/>
      <c r="N1575" s="375"/>
      <c r="O1575" s="370"/>
      <c r="T1575" s="340"/>
      <c r="W1575" s="113"/>
      <c r="X1575" s="241"/>
      <c r="Y1575" s="284"/>
      <c r="Z1575" s="207"/>
      <c r="AA1575" s="284"/>
      <c r="AB1575" s="284"/>
      <c r="AC1575" s="137"/>
      <c r="AD1575" s="284"/>
      <c r="AE1575" s="299"/>
      <c r="AF1575" s="299"/>
      <c r="AG1575" s="284"/>
    </row>
    <row r="1576" spans="2:33">
      <c r="B1576" s="86"/>
      <c r="C1576" s="84"/>
      <c r="D1576" s="86"/>
      <c r="E1576" s="84"/>
      <c r="F1576" s="284"/>
      <c r="G1576" s="49"/>
      <c r="H1576" s="284"/>
      <c r="I1576" s="74"/>
      <c r="J1576" s="371"/>
      <c r="K1576" s="77"/>
      <c r="L1576" s="160"/>
      <c r="M1576" s="388"/>
      <c r="N1576" s="375"/>
      <c r="O1576" s="370"/>
      <c r="T1576" s="340"/>
      <c r="W1576" s="113"/>
      <c r="X1576" s="241"/>
      <c r="Y1576" s="284"/>
      <c r="Z1576" s="207"/>
      <c r="AA1576" s="284"/>
      <c r="AB1576" s="284"/>
      <c r="AC1576" s="137"/>
      <c r="AD1576" s="284"/>
      <c r="AE1576" s="299"/>
      <c r="AF1576" s="299"/>
      <c r="AG1576" s="284"/>
    </row>
    <row r="1577" spans="2:33">
      <c r="B1577" s="86"/>
      <c r="C1577" s="84"/>
      <c r="D1577" s="86"/>
      <c r="E1577" s="84"/>
      <c r="F1577" s="284"/>
      <c r="G1577" s="49"/>
      <c r="H1577" s="284"/>
      <c r="I1577" s="74"/>
      <c r="J1577" s="371"/>
      <c r="K1577" s="77"/>
      <c r="L1577" s="160"/>
      <c r="M1577" s="388"/>
      <c r="N1577" s="375"/>
      <c r="O1577" s="370"/>
      <c r="T1577" s="340"/>
      <c r="W1577" s="113"/>
      <c r="X1577" s="241"/>
      <c r="Y1577" s="284"/>
      <c r="Z1577" s="207"/>
      <c r="AA1577" s="284"/>
      <c r="AB1577" s="284"/>
      <c r="AC1577" s="137"/>
      <c r="AD1577" s="284"/>
      <c r="AE1577" s="299"/>
      <c r="AF1577" s="299"/>
      <c r="AG1577" s="284"/>
    </row>
    <row r="1578" spans="2:33">
      <c r="B1578" s="86"/>
      <c r="C1578" s="84"/>
      <c r="D1578" s="86"/>
      <c r="E1578" s="84"/>
      <c r="F1578" s="284"/>
      <c r="G1578" s="49"/>
      <c r="H1578" s="284"/>
      <c r="I1578" s="74"/>
      <c r="J1578" s="371"/>
      <c r="K1578" s="77"/>
      <c r="L1578" s="160"/>
      <c r="M1578" s="388"/>
      <c r="N1578" s="375"/>
      <c r="O1578" s="370"/>
      <c r="T1578" s="340"/>
      <c r="W1578" s="113"/>
      <c r="X1578" s="241"/>
      <c r="Y1578" s="284"/>
      <c r="Z1578" s="207"/>
      <c r="AA1578" s="284"/>
      <c r="AB1578" s="284"/>
      <c r="AC1578" s="137"/>
      <c r="AD1578" s="284"/>
      <c r="AE1578" s="299"/>
      <c r="AF1578" s="299"/>
      <c r="AG1578" s="284"/>
    </row>
    <row r="1579" spans="2:33">
      <c r="B1579" s="86"/>
      <c r="C1579" s="84"/>
      <c r="D1579" s="86"/>
      <c r="E1579" s="84"/>
      <c r="F1579" s="284"/>
      <c r="G1579" s="49"/>
      <c r="H1579" s="284"/>
      <c r="I1579" s="74"/>
      <c r="J1579" s="371"/>
      <c r="K1579" s="77"/>
      <c r="L1579" s="160"/>
      <c r="M1579" s="388"/>
      <c r="N1579" s="375"/>
      <c r="O1579" s="370"/>
      <c r="T1579" s="340"/>
      <c r="W1579" s="113"/>
      <c r="X1579" s="241"/>
      <c r="Y1579" s="284"/>
      <c r="Z1579" s="207"/>
      <c r="AA1579" s="284"/>
      <c r="AB1579" s="284"/>
      <c r="AC1579" s="137"/>
      <c r="AD1579" s="284"/>
      <c r="AE1579" s="299"/>
      <c r="AF1579" s="299"/>
      <c r="AG1579" s="284"/>
    </row>
    <row r="1580" spans="2:33">
      <c r="B1580" s="86"/>
      <c r="C1580" s="84"/>
      <c r="D1580" s="86"/>
      <c r="E1580" s="84"/>
      <c r="F1580" s="284"/>
      <c r="G1580" s="49"/>
      <c r="H1580" s="284"/>
      <c r="I1580" s="74"/>
      <c r="J1580" s="371"/>
      <c r="K1580" s="77"/>
      <c r="L1580" s="160"/>
      <c r="M1580" s="388"/>
      <c r="N1580" s="375"/>
      <c r="O1580" s="370"/>
      <c r="T1580" s="340"/>
      <c r="W1580" s="113"/>
      <c r="X1580" s="241"/>
      <c r="Y1580" s="284"/>
      <c r="Z1580" s="207"/>
      <c r="AA1580" s="284"/>
      <c r="AB1580" s="284"/>
      <c r="AC1580" s="137"/>
      <c r="AD1580" s="284"/>
      <c r="AE1580" s="299"/>
      <c r="AF1580" s="299"/>
      <c r="AG1580" s="284"/>
    </row>
    <row r="1581" spans="2:33">
      <c r="B1581" s="86"/>
      <c r="C1581" s="84"/>
      <c r="D1581" s="86"/>
      <c r="E1581" s="84"/>
      <c r="F1581" s="284"/>
      <c r="G1581" s="49"/>
      <c r="H1581" s="284"/>
      <c r="I1581" s="74"/>
      <c r="J1581" s="371"/>
      <c r="K1581" s="77"/>
      <c r="L1581" s="160"/>
      <c r="M1581" s="388"/>
      <c r="N1581" s="375"/>
      <c r="O1581" s="370"/>
      <c r="T1581" s="340"/>
      <c r="W1581" s="113"/>
      <c r="X1581" s="241"/>
      <c r="Y1581" s="284"/>
      <c r="Z1581" s="207"/>
      <c r="AA1581" s="284"/>
      <c r="AB1581" s="284"/>
      <c r="AC1581" s="137"/>
      <c r="AD1581" s="284"/>
      <c r="AE1581" s="299"/>
      <c r="AF1581" s="299"/>
      <c r="AG1581" s="284"/>
    </row>
    <row r="1582" spans="2:33">
      <c r="B1582" s="86"/>
      <c r="C1582" s="84"/>
      <c r="D1582" s="86"/>
      <c r="E1582" s="84"/>
      <c r="F1582" s="284"/>
      <c r="G1582" s="49"/>
      <c r="H1582" s="284"/>
      <c r="I1582" s="74"/>
      <c r="J1582" s="371"/>
      <c r="K1582" s="77"/>
      <c r="L1582" s="160"/>
      <c r="M1582" s="388"/>
      <c r="N1582" s="375"/>
      <c r="O1582" s="370"/>
      <c r="T1582" s="340"/>
      <c r="W1582" s="113"/>
      <c r="X1582" s="241"/>
      <c r="Y1582" s="284"/>
      <c r="Z1582" s="207"/>
      <c r="AA1582" s="284"/>
      <c r="AB1582" s="284"/>
      <c r="AC1582" s="137"/>
      <c r="AD1582" s="284"/>
      <c r="AE1582" s="299"/>
      <c r="AF1582" s="299"/>
      <c r="AG1582" s="284"/>
    </row>
    <row r="1583" spans="2:33">
      <c r="B1583" s="86"/>
      <c r="C1583" s="84"/>
      <c r="D1583" s="86"/>
      <c r="E1583" s="84"/>
      <c r="F1583" s="284"/>
      <c r="G1583" s="49"/>
      <c r="H1583" s="284"/>
      <c r="I1583" s="74"/>
      <c r="J1583" s="371"/>
      <c r="K1583" s="77"/>
      <c r="L1583" s="160"/>
      <c r="M1583" s="388"/>
      <c r="N1583" s="375"/>
      <c r="O1583" s="370"/>
      <c r="T1583" s="340"/>
      <c r="W1583" s="113"/>
      <c r="X1583" s="241"/>
      <c r="Y1583" s="284"/>
      <c r="Z1583" s="207"/>
      <c r="AA1583" s="284"/>
      <c r="AB1583" s="284"/>
      <c r="AC1583" s="137"/>
      <c r="AD1583" s="284"/>
      <c r="AE1583" s="299"/>
      <c r="AF1583" s="299"/>
      <c r="AG1583" s="284"/>
    </row>
    <row r="1584" spans="2:33">
      <c r="B1584" s="86"/>
      <c r="C1584" s="84"/>
      <c r="D1584" s="86"/>
      <c r="E1584" s="84"/>
      <c r="F1584" s="284"/>
      <c r="G1584" s="49"/>
      <c r="H1584" s="284"/>
      <c r="I1584" s="74"/>
      <c r="J1584" s="371"/>
      <c r="K1584" s="77"/>
      <c r="L1584" s="160"/>
      <c r="M1584" s="388"/>
      <c r="N1584" s="375"/>
      <c r="O1584" s="370"/>
      <c r="T1584" s="340"/>
      <c r="W1584" s="113"/>
      <c r="X1584" s="241"/>
      <c r="Y1584" s="284"/>
      <c r="Z1584" s="207"/>
      <c r="AA1584" s="284"/>
      <c r="AB1584" s="284"/>
      <c r="AC1584" s="137"/>
      <c r="AD1584" s="284"/>
      <c r="AE1584" s="299"/>
      <c r="AF1584" s="299"/>
      <c r="AG1584" s="284"/>
    </row>
    <row r="1585" spans="2:33">
      <c r="B1585" s="86"/>
      <c r="C1585" s="84"/>
      <c r="D1585" s="86"/>
      <c r="E1585" s="84"/>
      <c r="F1585" s="284"/>
      <c r="G1585" s="49"/>
      <c r="H1585" s="284"/>
      <c r="I1585" s="74"/>
      <c r="J1585" s="371"/>
      <c r="K1585" s="77"/>
      <c r="L1585" s="160"/>
      <c r="M1585" s="388"/>
      <c r="N1585" s="375"/>
      <c r="O1585" s="370"/>
      <c r="T1585" s="340"/>
      <c r="W1585" s="113"/>
      <c r="X1585" s="241"/>
      <c r="Y1585" s="284"/>
      <c r="Z1585" s="207"/>
      <c r="AA1585" s="284"/>
      <c r="AB1585" s="284"/>
      <c r="AC1585" s="137"/>
      <c r="AD1585" s="284"/>
      <c r="AE1585" s="299"/>
      <c r="AF1585" s="299"/>
      <c r="AG1585" s="284"/>
    </row>
    <row r="1586" spans="2:33">
      <c r="B1586" s="86"/>
      <c r="C1586" s="84"/>
      <c r="D1586" s="86"/>
      <c r="E1586" s="84"/>
      <c r="F1586" s="284"/>
      <c r="G1586" s="49"/>
      <c r="H1586" s="284"/>
      <c r="I1586" s="74"/>
      <c r="J1586" s="371"/>
      <c r="K1586" s="77"/>
      <c r="L1586" s="160"/>
      <c r="M1586" s="388"/>
      <c r="N1586" s="375"/>
      <c r="O1586" s="370"/>
      <c r="T1586" s="340"/>
      <c r="W1586" s="113"/>
      <c r="X1586" s="241"/>
      <c r="Y1586" s="284"/>
      <c r="Z1586" s="207"/>
      <c r="AA1586" s="284"/>
      <c r="AB1586" s="284"/>
      <c r="AC1586" s="137"/>
      <c r="AD1586" s="284"/>
      <c r="AE1586" s="299"/>
      <c r="AF1586" s="299"/>
      <c r="AG1586" s="284"/>
    </row>
    <row r="1587" spans="2:33">
      <c r="B1587" s="86"/>
      <c r="C1587" s="84"/>
      <c r="D1587" s="86"/>
      <c r="E1587" s="84"/>
      <c r="F1587" s="284"/>
      <c r="G1587" s="49"/>
      <c r="H1587" s="284"/>
      <c r="I1587" s="74"/>
      <c r="J1587" s="371"/>
      <c r="K1587" s="77"/>
      <c r="L1587" s="160"/>
      <c r="M1587" s="388"/>
      <c r="N1587" s="375"/>
      <c r="O1587" s="370"/>
      <c r="T1587" s="340"/>
      <c r="W1587" s="113"/>
      <c r="X1587" s="241"/>
      <c r="Y1587" s="284"/>
      <c r="Z1587" s="207"/>
      <c r="AA1587" s="284"/>
      <c r="AB1587" s="284"/>
      <c r="AC1587" s="137"/>
      <c r="AD1587" s="284"/>
      <c r="AE1587" s="299"/>
      <c r="AF1587" s="299"/>
      <c r="AG1587" s="284"/>
    </row>
    <row r="1588" spans="2:33">
      <c r="B1588" s="86"/>
      <c r="C1588" s="84"/>
      <c r="D1588" s="86"/>
      <c r="E1588" s="84"/>
      <c r="F1588" s="284"/>
      <c r="G1588" s="49"/>
      <c r="H1588" s="284"/>
      <c r="I1588" s="74"/>
      <c r="J1588" s="371"/>
      <c r="K1588" s="77"/>
      <c r="L1588" s="160"/>
      <c r="M1588" s="388"/>
      <c r="N1588" s="375"/>
      <c r="O1588" s="370"/>
      <c r="T1588" s="340"/>
      <c r="W1588" s="113"/>
      <c r="X1588" s="241"/>
      <c r="Y1588" s="284"/>
      <c r="Z1588" s="207"/>
      <c r="AA1588" s="284"/>
      <c r="AB1588" s="284"/>
      <c r="AC1588" s="137"/>
      <c r="AD1588" s="284"/>
      <c r="AE1588" s="299"/>
      <c r="AF1588" s="299"/>
      <c r="AG1588" s="284"/>
    </row>
    <row r="1589" spans="2:33">
      <c r="B1589" s="86"/>
      <c r="C1589" s="84"/>
      <c r="D1589" s="86"/>
      <c r="E1589" s="84"/>
      <c r="F1589" s="284"/>
      <c r="G1589" s="49"/>
      <c r="H1589" s="284"/>
      <c r="I1589" s="74"/>
      <c r="J1589" s="371"/>
      <c r="K1589" s="77"/>
      <c r="L1589" s="160"/>
      <c r="M1589" s="388"/>
      <c r="N1589" s="375"/>
      <c r="O1589" s="370"/>
      <c r="T1589" s="340"/>
      <c r="W1589" s="113"/>
      <c r="X1589" s="241"/>
      <c r="Y1589" s="284"/>
      <c r="Z1589" s="207"/>
      <c r="AA1589" s="284"/>
      <c r="AB1589" s="284"/>
      <c r="AC1589" s="137"/>
      <c r="AD1589" s="284"/>
      <c r="AE1589" s="299"/>
      <c r="AF1589" s="299"/>
      <c r="AG1589" s="284"/>
    </row>
    <row r="1590" spans="2:33">
      <c r="B1590" s="86"/>
      <c r="C1590" s="84"/>
      <c r="D1590" s="86"/>
      <c r="E1590" s="84"/>
      <c r="F1590" s="284"/>
      <c r="G1590" s="49"/>
      <c r="H1590" s="284"/>
      <c r="I1590" s="74"/>
      <c r="J1590" s="371"/>
      <c r="K1590" s="77"/>
      <c r="L1590" s="160"/>
      <c r="M1590" s="388"/>
      <c r="N1590" s="375"/>
      <c r="O1590" s="370"/>
      <c r="T1590" s="340"/>
      <c r="W1590" s="113"/>
      <c r="X1590" s="241"/>
      <c r="Y1590" s="284"/>
      <c r="Z1590" s="207"/>
      <c r="AA1590" s="284"/>
      <c r="AB1590" s="284"/>
      <c r="AC1590" s="137"/>
      <c r="AD1590" s="284"/>
      <c r="AE1590" s="299"/>
      <c r="AF1590" s="299"/>
      <c r="AG1590" s="284"/>
    </row>
    <row r="1591" spans="2:33">
      <c r="B1591" s="86"/>
      <c r="C1591" s="84"/>
      <c r="D1591" s="86"/>
      <c r="E1591" s="84"/>
      <c r="F1591" s="284"/>
      <c r="G1591" s="49"/>
      <c r="H1591" s="284"/>
      <c r="I1591" s="74"/>
      <c r="J1591" s="371"/>
      <c r="K1591" s="77"/>
      <c r="L1591" s="160"/>
      <c r="M1591" s="388"/>
      <c r="N1591" s="375"/>
      <c r="O1591" s="370"/>
      <c r="T1591" s="340"/>
      <c r="W1591" s="113"/>
      <c r="X1591" s="241"/>
      <c r="Y1591" s="284"/>
      <c r="Z1591" s="207"/>
      <c r="AA1591" s="284"/>
      <c r="AB1591" s="284"/>
      <c r="AC1591" s="137"/>
      <c r="AD1591" s="284"/>
      <c r="AE1591" s="299"/>
      <c r="AF1591" s="299"/>
      <c r="AG1591" s="284"/>
    </row>
    <row r="1592" spans="2:33">
      <c r="B1592" s="86"/>
      <c r="C1592" s="84"/>
      <c r="D1592" s="86"/>
      <c r="E1592" s="84"/>
      <c r="F1592" s="284"/>
      <c r="G1592" s="49"/>
      <c r="H1592" s="284"/>
      <c r="I1592" s="74"/>
      <c r="J1592" s="371"/>
      <c r="K1592" s="77"/>
      <c r="L1592" s="160"/>
      <c r="M1592" s="388"/>
      <c r="N1592" s="375"/>
      <c r="O1592" s="370"/>
      <c r="T1592" s="340"/>
      <c r="W1592" s="113"/>
      <c r="X1592" s="241"/>
      <c r="Y1592" s="284"/>
      <c r="Z1592" s="207"/>
      <c r="AA1592" s="284"/>
      <c r="AB1592" s="284"/>
      <c r="AC1592" s="137"/>
      <c r="AD1592" s="284"/>
      <c r="AE1592" s="299"/>
      <c r="AF1592" s="299"/>
      <c r="AG1592" s="284"/>
    </row>
    <row r="1593" spans="2:33">
      <c r="B1593" s="86"/>
      <c r="C1593" s="84"/>
      <c r="D1593" s="86"/>
      <c r="E1593" s="84"/>
      <c r="F1593" s="284"/>
      <c r="G1593" s="49"/>
      <c r="H1593" s="284"/>
      <c r="I1593" s="74"/>
      <c r="J1593" s="371"/>
      <c r="K1593" s="77"/>
      <c r="L1593" s="160"/>
      <c r="M1593" s="388"/>
      <c r="N1593" s="375"/>
      <c r="O1593" s="370"/>
      <c r="T1593" s="340"/>
      <c r="W1593" s="113"/>
      <c r="X1593" s="241"/>
      <c r="Y1593" s="284"/>
      <c r="Z1593" s="207"/>
      <c r="AA1593" s="284"/>
      <c r="AB1593" s="284"/>
      <c r="AC1593" s="137"/>
      <c r="AD1593" s="284"/>
      <c r="AE1593" s="299"/>
      <c r="AF1593" s="299"/>
      <c r="AG1593" s="284"/>
    </row>
    <row r="1594" spans="2:33">
      <c r="B1594" s="86"/>
      <c r="C1594" s="84"/>
      <c r="D1594" s="86"/>
      <c r="E1594" s="84"/>
      <c r="F1594" s="284"/>
      <c r="G1594" s="49"/>
      <c r="H1594" s="284"/>
      <c r="I1594" s="74"/>
      <c r="J1594" s="371"/>
      <c r="K1594" s="77"/>
      <c r="L1594" s="160"/>
      <c r="M1594" s="388"/>
      <c r="N1594" s="375"/>
      <c r="O1594" s="370"/>
      <c r="T1594" s="340"/>
      <c r="W1594" s="113"/>
      <c r="X1594" s="241"/>
      <c r="Y1594" s="284"/>
      <c r="Z1594" s="207"/>
      <c r="AA1594" s="284"/>
      <c r="AB1594" s="284"/>
      <c r="AC1594" s="137"/>
      <c r="AD1594" s="284"/>
      <c r="AE1594" s="299"/>
      <c r="AF1594" s="299"/>
      <c r="AG1594" s="284"/>
    </row>
    <row r="1595" spans="2:33">
      <c r="B1595" s="86"/>
      <c r="C1595" s="84"/>
      <c r="D1595" s="86"/>
      <c r="E1595" s="84"/>
      <c r="F1595" s="284"/>
      <c r="G1595" s="49"/>
      <c r="H1595" s="284"/>
      <c r="I1595" s="74"/>
      <c r="J1595" s="371"/>
      <c r="K1595" s="77"/>
      <c r="L1595" s="160"/>
      <c r="M1595" s="388"/>
      <c r="N1595" s="375"/>
      <c r="O1595" s="370"/>
      <c r="T1595" s="340"/>
      <c r="W1595" s="113"/>
      <c r="X1595" s="241"/>
      <c r="Y1595" s="284"/>
      <c r="Z1595" s="207"/>
      <c r="AA1595" s="284"/>
      <c r="AB1595" s="284"/>
      <c r="AC1595" s="137"/>
      <c r="AD1595" s="284"/>
      <c r="AE1595" s="299"/>
      <c r="AF1595" s="299"/>
      <c r="AG1595" s="284"/>
    </row>
    <row r="1596" spans="2:33">
      <c r="B1596" s="86"/>
      <c r="C1596" s="84"/>
      <c r="D1596" s="86"/>
      <c r="E1596" s="84"/>
      <c r="F1596" s="284"/>
      <c r="G1596" s="49"/>
      <c r="H1596" s="284"/>
      <c r="I1596" s="74"/>
      <c r="J1596" s="371"/>
      <c r="K1596" s="77"/>
      <c r="L1596" s="160"/>
      <c r="M1596" s="388"/>
      <c r="N1596" s="375"/>
      <c r="O1596" s="370"/>
      <c r="T1596" s="340"/>
      <c r="W1596" s="113"/>
      <c r="X1596" s="241"/>
      <c r="Y1596" s="284"/>
      <c r="Z1596" s="207"/>
      <c r="AA1596" s="284"/>
      <c r="AB1596" s="284"/>
      <c r="AC1596" s="137"/>
      <c r="AD1596" s="284"/>
      <c r="AE1596" s="299"/>
      <c r="AF1596" s="299"/>
      <c r="AG1596" s="284"/>
    </row>
    <row r="1597" spans="2:33">
      <c r="B1597" s="86"/>
      <c r="C1597" s="84"/>
      <c r="D1597" s="86"/>
      <c r="E1597" s="84"/>
      <c r="F1597" s="284"/>
      <c r="G1597" s="49"/>
      <c r="H1597" s="284"/>
      <c r="I1597" s="74"/>
      <c r="J1597" s="371"/>
      <c r="K1597" s="77"/>
      <c r="L1597" s="160"/>
      <c r="M1597" s="388"/>
      <c r="N1597" s="375"/>
      <c r="O1597" s="370"/>
      <c r="T1597" s="340"/>
      <c r="W1597" s="113"/>
      <c r="X1597" s="241"/>
      <c r="Y1597" s="284"/>
      <c r="Z1597" s="207"/>
      <c r="AA1597" s="284"/>
      <c r="AB1597" s="284"/>
      <c r="AC1597" s="137"/>
      <c r="AD1597" s="284"/>
      <c r="AE1597" s="299"/>
      <c r="AF1597" s="299"/>
      <c r="AG1597" s="284"/>
    </row>
    <row r="1598" spans="2:33">
      <c r="B1598" s="86"/>
      <c r="C1598" s="84"/>
      <c r="D1598" s="86"/>
      <c r="E1598" s="84"/>
      <c r="F1598" s="284"/>
      <c r="G1598" s="49"/>
      <c r="H1598" s="284"/>
      <c r="I1598" s="74"/>
      <c r="J1598" s="371"/>
      <c r="K1598" s="77"/>
      <c r="L1598" s="160"/>
      <c r="M1598" s="388"/>
      <c r="N1598" s="375"/>
      <c r="O1598" s="370"/>
      <c r="T1598" s="340"/>
      <c r="W1598" s="113"/>
      <c r="X1598" s="241"/>
      <c r="Y1598" s="284"/>
      <c r="Z1598" s="207"/>
      <c r="AA1598" s="284"/>
      <c r="AB1598" s="284"/>
      <c r="AC1598" s="137"/>
      <c r="AD1598" s="284"/>
      <c r="AE1598" s="299"/>
      <c r="AF1598" s="299"/>
      <c r="AG1598" s="284"/>
    </row>
    <row r="1599" spans="2:33">
      <c r="B1599" s="86"/>
      <c r="C1599" s="84"/>
      <c r="D1599" s="86"/>
      <c r="E1599" s="84"/>
      <c r="F1599" s="284"/>
      <c r="G1599" s="49"/>
      <c r="H1599" s="284"/>
      <c r="I1599" s="74"/>
      <c r="J1599" s="371"/>
      <c r="K1599" s="77"/>
      <c r="L1599" s="160"/>
      <c r="M1599" s="388"/>
      <c r="N1599" s="375"/>
      <c r="O1599" s="370"/>
      <c r="T1599" s="340"/>
      <c r="W1599" s="113"/>
      <c r="X1599" s="241"/>
      <c r="Y1599" s="284"/>
      <c r="Z1599" s="207"/>
      <c r="AA1599" s="284"/>
      <c r="AB1599" s="284"/>
      <c r="AC1599" s="137"/>
      <c r="AD1599" s="284"/>
      <c r="AE1599" s="299"/>
      <c r="AF1599" s="299"/>
      <c r="AG1599" s="284"/>
    </row>
    <row r="1600" spans="2:33">
      <c r="B1600" s="86"/>
      <c r="C1600" s="84"/>
      <c r="D1600" s="86"/>
      <c r="E1600" s="84"/>
      <c r="F1600" s="284"/>
      <c r="G1600" s="49"/>
      <c r="H1600" s="284"/>
      <c r="I1600" s="74"/>
      <c r="J1600" s="371"/>
      <c r="K1600" s="77"/>
      <c r="L1600" s="160"/>
      <c r="M1600" s="388"/>
      <c r="N1600" s="375"/>
      <c r="O1600" s="370"/>
      <c r="T1600" s="340"/>
      <c r="W1600" s="113"/>
      <c r="X1600" s="241"/>
      <c r="Y1600" s="284"/>
      <c r="Z1600" s="207"/>
      <c r="AA1600" s="284"/>
      <c r="AB1600" s="284"/>
      <c r="AC1600" s="137"/>
      <c r="AD1600" s="284"/>
      <c r="AE1600" s="299"/>
      <c r="AF1600" s="299"/>
      <c r="AG1600" s="284"/>
    </row>
    <row r="1601" spans="2:33">
      <c r="B1601" s="86"/>
      <c r="C1601" s="84"/>
      <c r="D1601" s="86"/>
      <c r="E1601" s="84"/>
      <c r="F1601" s="284"/>
      <c r="G1601" s="49"/>
      <c r="H1601" s="284"/>
      <c r="I1601" s="74"/>
      <c r="J1601" s="371"/>
      <c r="K1601" s="77"/>
      <c r="L1601" s="160"/>
      <c r="M1601" s="388"/>
      <c r="N1601" s="375"/>
      <c r="O1601" s="370"/>
      <c r="T1601" s="340"/>
      <c r="W1601" s="113"/>
      <c r="X1601" s="241"/>
      <c r="Y1601" s="284"/>
      <c r="Z1601" s="207"/>
      <c r="AA1601" s="284"/>
      <c r="AB1601" s="284"/>
      <c r="AC1601" s="137"/>
      <c r="AD1601" s="284"/>
      <c r="AE1601" s="299"/>
      <c r="AF1601" s="299"/>
      <c r="AG1601" s="284"/>
    </row>
    <row r="1602" spans="2:33">
      <c r="B1602" s="86"/>
      <c r="C1602" s="84"/>
      <c r="D1602" s="86"/>
      <c r="E1602" s="84"/>
      <c r="F1602" s="284"/>
      <c r="G1602" s="49"/>
      <c r="H1602" s="284"/>
      <c r="I1602" s="74"/>
      <c r="J1602" s="371"/>
      <c r="K1602" s="77"/>
      <c r="L1602" s="160"/>
      <c r="M1602" s="388"/>
      <c r="N1602" s="375"/>
      <c r="O1602" s="370"/>
      <c r="T1602" s="340"/>
      <c r="W1602" s="113"/>
      <c r="X1602" s="241"/>
      <c r="Y1602" s="284"/>
      <c r="Z1602" s="207"/>
      <c r="AA1602" s="284"/>
      <c r="AB1602" s="284"/>
      <c r="AC1602" s="137"/>
      <c r="AD1602" s="284"/>
      <c r="AE1602" s="299"/>
      <c r="AF1602" s="299"/>
      <c r="AG1602" s="284"/>
    </row>
    <row r="1603" spans="2:33">
      <c r="B1603" s="86"/>
      <c r="C1603" s="84"/>
      <c r="D1603" s="86"/>
      <c r="E1603" s="84"/>
      <c r="F1603" s="284"/>
      <c r="G1603" s="49"/>
      <c r="H1603" s="284"/>
      <c r="I1603" s="74"/>
      <c r="J1603" s="371"/>
      <c r="K1603" s="77"/>
      <c r="L1603" s="160"/>
      <c r="M1603" s="388"/>
      <c r="N1603" s="375"/>
      <c r="O1603" s="370"/>
      <c r="T1603" s="340"/>
      <c r="W1603" s="113"/>
      <c r="X1603" s="241"/>
      <c r="Y1603" s="284"/>
      <c r="Z1603" s="207"/>
      <c r="AA1603" s="284"/>
      <c r="AB1603" s="284"/>
      <c r="AC1603" s="137"/>
      <c r="AD1603" s="284"/>
      <c r="AE1603" s="299"/>
      <c r="AF1603" s="299"/>
      <c r="AG1603" s="284"/>
    </row>
    <row r="1604" spans="2:33">
      <c r="B1604" s="86"/>
      <c r="C1604" s="84"/>
      <c r="D1604" s="86"/>
      <c r="E1604" s="84"/>
      <c r="F1604" s="284"/>
      <c r="G1604" s="49"/>
      <c r="H1604" s="284"/>
      <c r="I1604" s="74"/>
      <c r="J1604" s="371"/>
      <c r="K1604" s="77"/>
      <c r="L1604" s="160"/>
      <c r="M1604" s="388"/>
      <c r="N1604" s="375"/>
      <c r="O1604" s="370"/>
      <c r="T1604" s="340"/>
      <c r="W1604" s="113"/>
      <c r="X1604" s="241"/>
      <c r="Y1604" s="284"/>
      <c r="Z1604" s="207"/>
      <c r="AA1604" s="284"/>
      <c r="AB1604" s="284"/>
      <c r="AC1604" s="137"/>
      <c r="AD1604" s="284"/>
      <c r="AE1604" s="299"/>
      <c r="AF1604" s="299"/>
      <c r="AG1604" s="284"/>
    </row>
    <row r="1605" spans="2:33">
      <c r="B1605" s="86"/>
      <c r="C1605" s="84"/>
      <c r="D1605" s="86"/>
      <c r="E1605" s="84"/>
      <c r="F1605" s="284"/>
      <c r="G1605" s="49"/>
      <c r="H1605" s="284"/>
      <c r="I1605" s="74"/>
      <c r="J1605" s="371"/>
      <c r="K1605" s="77"/>
      <c r="L1605" s="160"/>
      <c r="M1605" s="388"/>
      <c r="N1605" s="375"/>
      <c r="O1605" s="370"/>
      <c r="T1605" s="340"/>
      <c r="W1605" s="113"/>
      <c r="X1605" s="241"/>
      <c r="Y1605" s="284"/>
      <c r="Z1605" s="207"/>
      <c r="AA1605" s="284"/>
      <c r="AB1605" s="284"/>
      <c r="AC1605" s="137"/>
      <c r="AD1605" s="284"/>
      <c r="AE1605" s="299"/>
      <c r="AF1605" s="299"/>
      <c r="AG1605" s="284"/>
    </row>
    <row r="1606" spans="2:33">
      <c r="B1606" s="86"/>
      <c r="C1606" s="84"/>
      <c r="D1606" s="86"/>
      <c r="E1606" s="84"/>
      <c r="F1606" s="284"/>
      <c r="G1606" s="49"/>
      <c r="H1606" s="284"/>
      <c r="I1606" s="74"/>
      <c r="J1606" s="371"/>
      <c r="K1606" s="77"/>
      <c r="L1606" s="160"/>
      <c r="M1606" s="388"/>
      <c r="N1606" s="375"/>
      <c r="O1606" s="370"/>
      <c r="T1606" s="340"/>
      <c r="W1606" s="113"/>
      <c r="X1606" s="241"/>
      <c r="Y1606" s="284"/>
      <c r="Z1606" s="207"/>
      <c r="AA1606" s="284"/>
      <c r="AB1606" s="284"/>
      <c r="AC1606" s="137"/>
      <c r="AD1606" s="284"/>
      <c r="AE1606" s="299"/>
      <c r="AF1606" s="299"/>
      <c r="AG1606" s="284"/>
    </row>
    <row r="1607" spans="2:33">
      <c r="B1607" s="86"/>
      <c r="C1607" s="84"/>
      <c r="D1607" s="86"/>
      <c r="E1607" s="84"/>
      <c r="F1607" s="284"/>
      <c r="G1607" s="49"/>
      <c r="H1607" s="284"/>
      <c r="I1607" s="74"/>
      <c r="J1607" s="371"/>
      <c r="K1607" s="77"/>
      <c r="L1607" s="160"/>
      <c r="M1607" s="388"/>
      <c r="N1607" s="375"/>
      <c r="O1607" s="370"/>
      <c r="T1607" s="340"/>
      <c r="W1607" s="113"/>
      <c r="X1607" s="241"/>
      <c r="Y1607" s="284"/>
      <c r="Z1607" s="207"/>
      <c r="AA1607" s="284"/>
      <c r="AB1607" s="284"/>
      <c r="AC1607" s="137"/>
      <c r="AD1607" s="284"/>
      <c r="AE1607" s="299"/>
      <c r="AF1607" s="299"/>
      <c r="AG1607" s="284"/>
    </row>
    <row r="1608" spans="2:33">
      <c r="B1608" s="86"/>
      <c r="C1608" s="84"/>
      <c r="D1608" s="86"/>
      <c r="E1608" s="84"/>
      <c r="F1608" s="284"/>
      <c r="G1608" s="49"/>
      <c r="H1608" s="284"/>
      <c r="I1608" s="74"/>
      <c r="J1608" s="371"/>
      <c r="K1608" s="77"/>
      <c r="L1608" s="160"/>
      <c r="M1608" s="388"/>
      <c r="N1608" s="375"/>
      <c r="O1608" s="370"/>
      <c r="T1608" s="340"/>
      <c r="W1608" s="113"/>
      <c r="X1608" s="241"/>
      <c r="Y1608" s="284"/>
      <c r="Z1608" s="207"/>
      <c r="AA1608" s="284"/>
      <c r="AB1608" s="284"/>
      <c r="AC1608" s="137"/>
      <c r="AD1608" s="284"/>
      <c r="AE1608" s="299"/>
      <c r="AF1608" s="299"/>
      <c r="AG1608" s="284"/>
    </row>
    <row r="1609" spans="2:33">
      <c r="B1609" s="86"/>
      <c r="C1609" s="84"/>
      <c r="D1609" s="86"/>
      <c r="E1609" s="84"/>
      <c r="F1609" s="284"/>
      <c r="G1609" s="49"/>
      <c r="H1609" s="284"/>
      <c r="I1609" s="74"/>
      <c r="J1609" s="371"/>
      <c r="K1609" s="77"/>
      <c r="L1609" s="160"/>
      <c r="M1609" s="388"/>
      <c r="N1609" s="375"/>
      <c r="O1609" s="370"/>
      <c r="T1609" s="340"/>
      <c r="W1609" s="113"/>
      <c r="X1609" s="241"/>
      <c r="Y1609" s="284"/>
      <c r="Z1609" s="207"/>
      <c r="AA1609" s="284"/>
      <c r="AB1609" s="284"/>
      <c r="AC1609" s="137"/>
      <c r="AD1609" s="284"/>
      <c r="AE1609" s="299"/>
      <c r="AF1609" s="299"/>
      <c r="AG1609" s="284"/>
    </row>
    <row r="1610" spans="2:33">
      <c r="B1610" s="86"/>
      <c r="C1610" s="84"/>
      <c r="D1610" s="86"/>
      <c r="E1610" s="84"/>
      <c r="F1610" s="284"/>
      <c r="G1610" s="49"/>
      <c r="H1610" s="284"/>
      <c r="I1610" s="74"/>
      <c r="J1610" s="371"/>
      <c r="K1610" s="77"/>
      <c r="L1610" s="160"/>
      <c r="M1610" s="388"/>
      <c r="N1610" s="375"/>
      <c r="O1610" s="370"/>
      <c r="T1610" s="340"/>
      <c r="W1610" s="113"/>
      <c r="X1610" s="241"/>
      <c r="Y1610" s="284"/>
      <c r="Z1610" s="207"/>
      <c r="AA1610" s="284"/>
      <c r="AB1610" s="284"/>
      <c r="AC1610" s="137"/>
      <c r="AD1610" s="284"/>
      <c r="AE1610" s="299"/>
      <c r="AF1610" s="299"/>
      <c r="AG1610" s="284"/>
    </row>
    <row r="1611" spans="2:33">
      <c r="B1611" s="86"/>
      <c r="C1611" s="84"/>
      <c r="D1611" s="86"/>
      <c r="E1611" s="84"/>
      <c r="F1611" s="284"/>
      <c r="G1611" s="49"/>
      <c r="H1611" s="284"/>
      <c r="I1611" s="74"/>
      <c r="J1611" s="371"/>
      <c r="K1611" s="77"/>
      <c r="L1611" s="160"/>
      <c r="M1611" s="388"/>
      <c r="N1611" s="375"/>
      <c r="O1611" s="370"/>
      <c r="T1611" s="340"/>
      <c r="W1611" s="113"/>
      <c r="X1611" s="241"/>
      <c r="Y1611" s="284"/>
      <c r="Z1611" s="207"/>
      <c r="AA1611" s="284"/>
      <c r="AB1611" s="284"/>
      <c r="AC1611" s="137"/>
      <c r="AD1611" s="284"/>
      <c r="AE1611" s="299"/>
      <c r="AF1611" s="299"/>
      <c r="AG1611" s="284"/>
    </row>
    <row r="1612" spans="2:33">
      <c r="B1612" s="86"/>
      <c r="C1612" s="84"/>
      <c r="D1612" s="86"/>
      <c r="E1612" s="84"/>
      <c r="F1612" s="284"/>
      <c r="G1612" s="49"/>
      <c r="H1612" s="284"/>
      <c r="I1612" s="74"/>
      <c r="J1612" s="371"/>
      <c r="K1612" s="77"/>
      <c r="L1612" s="160"/>
      <c r="M1612" s="388"/>
      <c r="N1612" s="375"/>
      <c r="O1612" s="370"/>
      <c r="T1612" s="340"/>
      <c r="W1612" s="113"/>
      <c r="X1612" s="241"/>
      <c r="Y1612" s="284"/>
      <c r="Z1612" s="207"/>
      <c r="AA1612" s="284"/>
      <c r="AB1612" s="284"/>
      <c r="AC1612" s="137"/>
      <c r="AD1612" s="284"/>
      <c r="AE1612" s="299"/>
      <c r="AF1612" s="299"/>
      <c r="AG1612" s="284"/>
    </row>
    <row r="1613" spans="2:33">
      <c r="B1613" s="86"/>
      <c r="C1613" s="84"/>
      <c r="D1613" s="86"/>
      <c r="E1613" s="84"/>
      <c r="F1613" s="284"/>
      <c r="G1613" s="49"/>
      <c r="H1613" s="284"/>
      <c r="I1613" s="74"/>
      <c r="J1613" s="371"/>
      <c r="K1613" s="77"/>
      <c r="L1613" s="160"/>
      <c r="M1613" s="388"/>
      <c r="N1613" s="375"/>
      <c r="O1613" s="370"/>
      <c r="T1613" s="340"/>
      <c r="W1613" s="113"/>
      <c r="X1613" s="241"/>
      <c r="Y1613" s="284"/>
      <c r="Z1613" s="207"/>
      <c r="AA1613" s="284"/>
      <c r="AB1613" s="284"/>
      <c r="AC1613" s="137"/>
      <c r="AD1613" s="284"/>
      <c r="AE1613" s="299"/>
      <c r="AF1613" s="299"/>
      <c r="AG1613" s="284"/>
    </row>
    <row r="1614" spans="2:33">
      <c r="B1614" s="86"/>
      <c r="C1614" s="84"/>
      <c r="D1614" s="86"/>
      <c r="E1614" s="84"/>
      <c r="F1614" s="284"/>
      <c r="G1614" s="49"/>
      <c r="H1614" s="284"/>
      <c r="I1614" s="74"/>
      <c r="J1614" s="371"/>
      <c r="K1614" s="77"/>
      <c r="L1614" s="160"/>
      <c r="M1614" s="388"/>
      <c r="N1614" s="375"/>
      <c r="O1614" s="370"/>
      <c r="T1614" s="340"/>
      <c r="W1614" s="113"/>
      <c r="X1614" s="241"/>
      <c r="Y1614" s="284"/>
      <c r="Z1614" s="207"/>
      <c r="AA1614" s="284"/>
      <c r="AB1614" s="284"/>
      <c r="AC1614" s="137"/>
      <c r="AD1614" s="284"/>
      <c r="AE1614" s="299"/>
      <c r="AF1614" s="299"/>
      <c r="AG1614" s="284"/>
    </row>
    <row r="1615" spans="2:33">
      <c r="B1615" s="86"/>
      <c r="C1615" s="84"/>
      <c r="D1615" s="86"/>
      <c r="E1615" s="84"/>
      <c r="F1615" s="284"/>
      <c r="G1615" s="49"/>
      <c r="H1615" s="284"/>
      <c r="I1615" s="74"/>
      <c r="J1615" s="371"/>
      <c r="K1615" s="77"/>
      <c r="L1615" s="160"/>
      <c r="M1615" s="388"/>
      <c r="N1615" s="375"/>
      <c r="O1615" s="370"/>
      <c r="T1615" s="340"/>
      <c r="W1615" s="113"/>
      <c r="X1615" s="241"/>
      <c r="Y1615" s="284"/>
      <c r="Z1615" s="207"/>
      <c r="AA1615" s="284"/>
      <c r="AB1615" s="284"/>
      <c r="AC1615" s="137"/>
      <c r="AD1615" s="284"/>
      <c r="AE1615" s="299"/>
      <c r="AF1615" s="299"/>
      <c r="AG1615" s="284"/>
    </row>
    <row r="1616" spans="2:33">
      <c r="B1616" s="86"/>
      <c r="C1616" s="84"/>
      <c r="D1616" s="86"/>
      <c r="E1616" s="84"/>
      <c r="F1616" s="284"/>
      <c r="G1616" s="49"/>
      <c r="H1616" s="284"/>
      <c r="I1616" s="74"/>
      <c r="J1616" s="371"/>
      <c r="K1616" s="77"/>
      <c r="L1616" s="160"/>
      <c r="M1616" s="388"/>
      <c r="N1616" s="375"/>
      <c r="O1616" s="370"/>
      <c r="T1616" s="340"/>
      <c r="W1616" s="113"/>
      <c r="X1616" s="241"/>
      <c r="Y1616" s="284"/>
      <c r="Z1616" s="207"/>
      <c r="AA1616" s="284"/>
      <c r="AB1616" s="284"/>
      <c r="AC1616" s="137"/>
      <c r="AD1616" s="284"/>
      <c r="AE1616" s="299"/>
      <c r="AF1616" s="299"/>
      <c r="AG1616" s="284"/>
    </row>
    <row r="1617" spans="2:33">
      <c r="B1617" s="86"/>
      <c r="C1617" s="84"/>
      <c r="D1617" s="86"/>
      <c r="E1617" s="84"/>
      <c r="F1617" s="284"/>
      <c r="G1617" s="49"/>
      <c r="H1617" s="284"/>
      <c r="I1617" s="74"/>
      <c r="J1617" s="371"/>
      <c r="K1617" s="77"/>
      <c r="L1617" s="160"/>
      <c r="M1617" s="388"/>
      <c r="N1617" s="375"/>
      <c r="O1617" s="370"/>
      <c r="T1617" s="340"/>
      <c r="W1617" s="113"/>
      <c r="X1617" s="241"/>
      <c r="Y1617" s="284"/>
      <c r="Z1617" s="207"/>
      <c r="AA1617" s="284"/>
      <c r="AB1617" s="284"/>
      <c r="AC1617" s="137"/>
      <c r="AD1617" s="284"/>
      <c r="AE1617" s="299"/>
      <c r="AF1617" s="299"/>
      <c r="AG1617" s="284"/>
    </row>
    <row r="1618" spans="2:33">
      <c r="B1618" s="86"/>
      <c r="C1618" s="84"/>
      <c r="D1618" s="86"/>
      <c r="E1618" s="84"/>
      <c r="F1618" s="284"/>
      <c r="G1618" s="49"/>
      <c r="H1618" s="284"/>
      <c r="I1618" s="74"/>
      <c r="J1618" s="371"/>
      <c r="K1618" s="77"/>
      <c r="L1618" s="160"/>
      <c r="M1618" s="388"/>
      <c r="N1618" s="375"/>
      <c r="O1618" s="370"/>
      <c r="T1618" s="340"/>
      <c r="W1618" s="113"/>
      <c r="X1618" s="241"/>
      <c r="Y1618" s="284"/>
      <c r="Z1618" s="207"/>
      <c r="AA1618" s="284"/>
      <c r="AB1618" s="284"/>
      <c r="AC1618" s="137"/>
      <c r="AD1618" s="284"/>
      <c r="AE1618" s="299"/>
      <c r="AF1618" s="299"/>
      <c r="AG1618" s="284"/>
    </row>
    <row r="1619" spans="2:33">
      <c r="B1619" s="86"/>
      <c r="C1619" s="84"/>
      <c r="D1619" s="86"/>
      <c r="E1619" s="84"/>
      <c r="F1619" s="284"/>
      <c r="G1619" s="49"/>
      <c r="H1619" s="284"/>
      <c r="I1619" s="74"/>
      <c r="J1619" s="371"/>
      <c r="K1619" s="77"/>
      <c r="L1619" s="160"/>
      <c r="M1619" s="388"/>
      <c r="N1619" s="375"/>
      <c r="O1619" s="370"/>
      <c r="T1619" s="340"/>
      <c r="W1619" s="113"/>
      <c r="X1619" s="241"/>
      <c r="Y1619" s="284"/>
      <c r="Z1619" s="207"/>
      <c r="AA1619" s="284"/>
      <c r="AB1619" s="284"/>
      <c r="AC1619" s="137"/>
      <c r="AD1619" s="284"/>
      <c r="AE1619" s="299"/>
      <c r="AF1619" s="299"/>
      <c r="AG1619" s="284"/>
    </row>
    <row r="1620" spans="2:33">
      <c r="B1620" s="86"/>
      <c r="C1620" s="84"/>
      <c r="D1620" s="86"/>
      <c r="E1620" s="84"/>
      <c r="F1620" s="284"/>
      <c r="G1620" s="49"/>
      <c r="H1620" s="284"/>
      <c r="I1620" s="74"/>
      <c r="J1620" s="371"/>
      <c r="K1620" s="77"/>
      <c r="L1620" s="160"/>
      <c r="M1620" s="388"/>
      <c r="N1620" s="375"/>
      <c r="O1620" s="370"/>
      <c r="T1620" s="340"/>
      <c r="W1620" s="113"/>
      <c r="X1620" s="241"/>
      <c r="Y1620" s="284"/>
      <c r="Z1620" s="207"/>
      <c r="AA1620" s="284"/>
      <c r="AB1620" s="284"/>
      <c r="AC1620" s="137"/>
      <c r="AD1620" s="284"/>
      <c r="AE1620" s="299"/>
      <c r="AF1620" s="299"/>
      <c r="AG1620" s="284"/>
    </row>
    <row r="1621" spans="2:33">
      <c r="B1621" s="86"/>
      <c r="C1621" s="84"/>
      <c r="D1621" s="86"/>
      <c r="E1621" s="84"/>
      <c r="F1621" s="284"/>
      <c r="G1621" s="49"/>
      <c r="H1621" s="284"/>
      <c r="I1621" s="74"/>
      <c r="J1621" s="371"/>
      <c r="K1621" s="77"/>
      <c r="L1621" s="160"/>
      <c r="M1621" s="388"/>
      <c r="N1621" s="375"/>
      <c r="O1621" s="370"/>
      <c r="T1621" s="340"/>
      <c r="W1621" s="113"/>
      <c r="X1621" s="241"/>
      <c r="Y1621" s="284"/>
      <c r="Z1621" s="207"/>
      <c r="AA1621" s="284"/>
      <c r="AB1621" s="284"/>
      <c r="AC1621" s="137"/>
      <c r="AD1621" s="284"/>
      <c r="AE1621" s="299"/>
      <c r="AF1621" s="299"/>
      <c r="AG1621" s="284"/>
    </row>
    <row r="1622" spans="2:33">
      <c r="B1622" s="86"/>
      <c r="C1622" s="84"/>
      <c r="D1622" s="86"/>
      <c r="E1622" s="84"/>
      <c r="F1622" s="284"/>
      <c r="G1622" s="49"/>
      <c r="H1622" s="284"/>
      <c r="I1622" s="74"/>
      <c r="J1622" s="371"/>
      <c r="K1622" s="77"/>
      <c r="L1622" s="160"/>
      <c r="M1622" s="388"/>
      <c r="N1622" s="375"/>
      <c r="O1622" s="370"/>
      <c r="T1622" s="340"/>
      <c r="W1622" s="113"/>
      <c r="X1622" s="241"/>
      <c r="Y1622" s="284"/>
      <c r="Z1622" s="207"/>
      <c r="AA1622" s="284"/>
      <c r="AB1622" s="284"/>
      <c r="AC1622" s="137"/>
      <c r="AD1622" s="284"/>
      <c r="AE1622" s="299"/>
      <c r="AF1622" s="299"/>
      <c r="AG1622" s="284"/>
    </row>
    <row r="1623" spans="2:33">
      <c r="B1623" s="86"/>
      <c r="C1623" s="84"/>
      <c r="D1623" s="86"/>
      <c r="E1623" s="84"/>
      <c r="F1623" s="284"/>
      <c r="G1623" s="49"/>
      <c r="H1623" s="284"/>
      <c r="I1623" s="74"/>
      <c r="J1623" s="371"/>
      <c r="K1623" s="77"/>
      <c r="L1623" s="160"/>
      <c r="M1623" s="388"/>
      <c r="N1623" s="375"/>
      <c r="O1623" s="370"/>
      <c r="T1623" s="340"/>
      <c r="W1623" s="113"/>
      <c r="X1623" s="241"/>
      <c r="Y1623" s="284"/>
      <c r="Z1623" s="207"/>
      <c r="AA1623" s="284"/>
      <c r="AB1623" s="284"/>
      <c r="AC1623" s="137"/>
      <c r="AD1623" s="284"/>
      <c r="AE1623" s="299"/>
      <c r="AF1623" s="299"/>
      <c r="AG1623" s="284"/>
    </row>
    <row r="1624" spans="2:33">
      <c r="B1624" s="86"/>
      <c r="C1624" s="84"/>
      <c r="D1624" s="86"/>
      <c r="E1624" s="84"/>
      <c r="F1624" s="284"/>
      <c r="G1624" s="49"/>
      <c r="H1624" s="284"/>
      <c r="I1624" s="74"/>
      <c r="J1624" s="371"/>
      <c r="K1624" s="77"/>
      <c r="L1624" s="160"/>
      <c r="M1624" s="388"/>
      <c r="N1624" s="375"/>
      <c r="O1624" s="370"/>
      <c r="T1624" s="340"/>
      <c r="W1624" s="113"/>
      <c r="X1624" s="241"/>
      <c r="Y1624" s="284"/>
      <c r="Z1624" s="207"/>
      <c r="AA1624" s="284"/>
      <c r="AB1624" s="284"/>
      <c r="AC1624" s="137"/>
      <c r="AD1624" s="284"/>
      <c r="AE1624" s="299"/>
      <c r="AF1624" s="299"/>
      <c r="AG1624" s="284"/>
    </row>
    <row r="1625" spans="2:33">
      <c r="B1625" s="86"/>
      <c r="C1625" s="84"/>
      <c r="D1625" s="86"/>
      <c r="E1625" s="84"/>
      <c r="F1625" s="284"/>
      <c r="G1625" s="49"/>
      <c r="H1625" s="284"/>
      <c r="I1625" s="74"/>
      <c r="J1625" s="371"/>
      <c r="K1625" s="77"/>
      <c r="L1625" s="160"/>
      <c r="M1625" s="388"/>
      <c r="N1625" s="375"/>
      <c r="O1625" s="370"/>
      <c r="T1625" s="340"/>
      <c r="W1625" s="113"/>
      <c r="X1625" s="241"/>
      <c r="Y1625" s="284"/>
      <c r="Z1625" s="207"/>
      <c r="AA1625" s="284"/>
      <c r="AB1625" s="284"/>
      <c r="AC1625" s="137"/>
      <c r="AD1625" s="284"/>
      <c r="AE1625" s="299"/>
      <c r="AF1625" s="299"/>
      <c r="AG1625" s="284"/>
    </row>
    <row r="1626" spans="2:33">
      <c r="B1626" s="86"/>
      <c r="C1626" s="84"/>
      <c r="D1626" s="86"/>
      <c r="E1626" s="84"/>
      <c r="F1626" s="284"/>
      <c r="G1626" s="49"/>
      <c r="H1626" s="284"/>
      <c r="I1626" s="74"/>
      <c r="J1626" s="371"/>
      <c r="K1626" s="77"/>
      <c r="L1626" s="160"/>
      <c r="M1626" s="388"/>
      <c r="N1626" s="375"/>
      <c r="O1626" s="370"/>
      <c r="T1626" s="340"/>
      <c r="W1626" s="113"/>
      <c r="X1626" s="241"/>
      <c r="Y1626" s="284"/>
      <c r="Z1626" s="207"/>
      <c r="AA1626" s="284"/>
      <c r="AB1626" s="284"/>
      <c r="AC1626" s="137"/>
      <c r="AD1626" s="284"/>
      <c r="AE1626" s="299"/>
      <c r="AF1626" s="299"/>
      <c r="AG1626" s="284"/>
    </row>
    <row r="1627" spans="2:33">
      <c r="B1627" s="86"/>
      <c r="C1627" s="84"/>
      <c r="D1627" s="86"/>
      <c r="E1627" s="84"/>
      <c r="F1627" s="284"/>
      <c r="G1627" s="49"/>
      <c r="H1627" s="284"/>
      <c r="I1627" s="74"/>
      <c r="J1627" s="371"/>
      <c r="K1627" s="77"/>
      <c r="L1627" s="160"/>
      <c r="M1627" s="388"/>
      <c r="N1627" s="375"/>
      <c r="O1627" s="370"/>
      <c r="T1627" s="340"/>
      <c r="W1627" s="113"/>
      <c r="X1627" s="241"/>
      <c r="Y1627" s="284"/>
      <c r="Z1627" s="207"/>
      <c r="AA1627" s="284"/>
      <c r="AB1627" s="284"/>
      <c r="AC1627" s="137"/>
      <c r="AD1627" s="284"/>
      <c r="AE1627" s="299"/>
      <c r="AF1627" s="299"/>
      <c r="AG1627" s="284"/>
    </row>
    <row r="1628" spans="2:33">
      <c r="B1628" s="86"/>
      <c r="C1628" s="84"/>
      <c r="D1628" s="86"/>
      <c r="E1628" s="84"/>
      <c r="F1628" s="284"/>
      <c r="G1628" s="49"/>
      <c r="H1628" s="284"/>
      <c r="I1628" s="74"/>
      <c r="J1628" s="371"/>
      <c r="K1628" s="77"/>
      <c r="L1628" s="160"/>
      <c r="M1628" s="388"/>
      <c r="N1628" s="375"/>
      <c r="O1628" s="370"/>
      <c r="T1628" s="340"/>
      <c r="W1628" s="113"/>
      <c r="X1628" s="241"/>
      <c r="Y1628" s="284"/>
      <c r="Z1628" s="207"/>
      <c r="AA1628" s="284"/>
      <c r="AB1628" s="284"/>
      <c r="AC1628" s="137"/>
      <c r="AD1628" s="284"/>
      <c r="AE1628" s="299"/>
      <c r="AF1628" s="299"/>
      <c r="AG1628" s="284"/>
    </row>
    <row r="1629" spans="2:33">
      <c r="B1629" s="86"/>
      <c r="C1629" s="84"/>
      <c r="D1629" s="86"/>
      <c r="E1629" s="84"/>
      <c r="F1629" s="284"/>
      <c r="G1629" s="49"/>
      <c r="H1629" s="284"/>
      <c r="I1629" s="74"/>
      <c r="J1629" s="371"/>
      <c r="K1629" s="77"/>
      <c r="L1629" s="160"/>
      <c r="M1629" s="388"/>
      <c r="N1629" s="375"/>
      <c r="O1629" s="370"/>
      <c r="T1629" s="340"/>
      <c r="W1629" s="113"/>
      <c r="X1629" s="241"/>
      <c r="Y1629" s="284"/>
      <c r="Z1629" s="207"/>
      <c r="AA1629" s="284"/>
      <c r="AB1629" s="284"/>
      <c r="AC1629" s="137"/>
      <c r="AD1629" s="284"/>
      <c r="AE1629" s="299"/>
      <c r="AF1629" s="299"/>
      <c r="AG1629" s="284"/>
    </row>
    <row r="1630" spans="2:33">
      <c r="B1630" s="86"/>
      <c r="C1630" s="84"/>
      <c r="D1630" s="86"/>
      <c r="E1630" s="84"/>
      <c r="F1630" s="284"/>
      <c r="G1630" s="49"/>
      <c r="H1630" s="284"/>
      <c r="I1630" s="74"/>
      <c r="J1630" s="371"/>
      <c r="K1630" s="77"/>
      <c r="L1630" s="160"/>
      <c r="M1630" s="388"/>
      <c r="N1630" s="375"/>
      <c r="O1630" s="370"/>
      <c r="T1630" s="340"/>
      <c r="W1630" s="113"/>
      <c r="X1630" s="241"/>
      <c r="Y1630" s="284"/>
      <c r="Z1630" s="207"/>
      <c r="AA1630" s="284"/>
      <c r="AB1630" s="284"/>
      <c r="AC1630" s="137"/>
      <c r="AD1630" s="284"/>
      <c r="AE1630" s="299"/>
      <c r="AF1630" s="299"/>
      <c r="AG1630" s="284"/>
    </row>
    <row r="1631" spans="2:33">
      <c r="B1631" s="86"/>
      <c r="C1631" s="84"/>
      <c r="D1631" s="86"/>
      <c r="E1631" s="84"/>
      <c r="F1631" s="284"/>
      <c r="G1631" s="49"/>
      <c r="H1631" s="284"/>
      <c r="I1631" s="74"/>
      <c r="J1631" s="371"/>
      <c r="K1631" s="77"/>
      <c r="L1631" s="160"/>
      <c r="M1631" s="388"/>
      <c r="N1631" s="375"/>
      <c r="O1631" s="370"/>
      <c r="T1631" s="340"/>
      <c r="W1631" s="113"/>
      <c r="X1631" s="241"/>
      <c r="Y1631" s="284"/>
      <c r="Z1631" s="207"/>
      <c r="AA1631" s="284"/>
      <c r="AB1631" s="284"/>
      <c r="AC1631" s="137"/>
      <c r="AD1631" s="284"/>
      <c r="AE1631" s="299"/>
      <c r="AF1631" s="299"/>
      <c r="AG1631" s="284"/>
    </row>
    <row r="1632" spans="2:33">
      <c r="B1632" s="86"/>
      <c r="C1632" s="84"/>
      <c r="D1632" s="86"/>
      <c r="E1632" s="84"/>
      <c r="F1632" s="284"/>
      <c r="G1632" s="49"/>
      <c r="H1632" s="284"/>
      <c r="I1632" s="74"/>
      <c r="J1632" s="371"/>
      <c r="K1632" s="77"/>
      <c r="L1632" s="160"/>
      <c r="M1632" s="388"/>
      <c r="N1632" s="375"/>
      <c r="O1632" s="370"/>
      <c r="T1632" s="340"/>
      <c r="W1632" s="113"/>
      <c r="X1632" s="241"/>
      <c r="Y1632" s="284"/>
      <c r="Z1632" s="207"/>
      <c r="AA1632" s="284"/>
      <c r="AB1632" s="284"/>
      <c r="AC1632" s="137"/>
      <c r="AD1632" s="284"/>
      <c r="AE1632" s="299"/>
      <c r="AF1632" s="299"/>
      <c r="AG1632" s="284"/>
    </row>
    <row r="1633" spans="2:33">
      <c r="B1633" s="86"/>
      <c r="C1633" s="84"/>
      <c r="D1633" s="86"/>
      <c r="E1633" s="84"/>
      <c r="F1633" s="284"/>
      <c r="G1633" s="49"/>
      <c r="H1633" s="284"/>
      <c r="I1633" s="74"/>
      <c r="J1633" s="371"/>
      <c r="K1633" s="77"/>
      <c r="L1633" s="160"/>
      <c r="M1633" s="388"/>
      <c r="N1633" s="375"/>
      <c r="O1633" s="370"/>
      <c r="T1633" s="340"/>
      <c r="W1633" s="113"/>
      <c r="X1633" s="241"/>
      <c r="Y1633" s="284"/>
      <c r="Z1633" s="207"/>
      <c r="AA1633" s="284"/>
      <c r="AB1633" s="284"/>
      <c r="AC1633" s="137"/>
      <c r="AD1633" s="284"/>
      <c r="AE1633" s="299"/>
      <c r="AF1633" s="299"/>
      <c r="AG1633" s="284"/>
    </row>
    <row r="1634" spans="2:33">
      <c r="B1634" s="86"/>
      <c r="C1634" s="84"/>
      <c r="D1634" s="86"/>
      <c r="E1634" s="84"/>
      <c r="F1634" s="284"/>
      <c r="G1634" s="49"/>
      <c r="H1634" s="284"/>
      <c r="I1634" s="74"/>
      <c r="J1634" s="371"/>
      <c r="K1634" s="77"/>
      <c r="L1634" s="160"/>
      <c r="M1634" s="388"/>
      <c r="N1634" s="375"/>
      <c r="O1634" s="370"/>
      <c r="T1634" s="340"/>
      <c r="W1634" s="113"/>
      <c r="X1634" s="241"/>
      <c r="Y1634" s="284"/>
      <c r="Z1634" s="207"/>
      <c r="AA1634" s="284"/>
      <c r="AB1634" s="284"/>
      <c r="AC1634" s="137"/>
      <c r="AD1634" s="284"/>
      <c r="AE1634" s="299"/>
      <c r="AF1634" s="299"/>
      <c r="AG1634" s="284"/>
    </row>
    <row r="1635" spans="2:33">
      <c r="B1635" s="86"/>
      <c r="C1635" s="84"/>
      <c r="D1635" s="86"/>
      <c r="E1635" s="84"/>
      <c r="F1635" s="284"/>
      <c r="G1635" s="49"/>
      <c r="H1635" s="284"/>
      <c r="I1635" s="74"/>
      <c r="J1635" s="371"/>
      <c r="K1635" s="77"/>
      <c r="L1635" s="160"/>
      <c r="M1635" s="388"/>
      <c r="N1635" s="375"/>
      <c r="O1635" s="370"/>
      <c r="T1635" s="340"/>
      <c r="W1635" s="113"/>
      <c r="X1635" s="241"/>
      <c r="Y1635" s="284"/>
      <c r="Z1635" s="207"/>
      <c r="AA1635" s="284"/>
      <c r="AB1635" s="284"/>
      <c r="AC1635" s="137"/>
      <c r="AD1635" s="284"/>
      <c r="AE1635" s="299"/>
      <c r="AF1635" s="299"/>
      <c r="AG1635" s="284"/>
    </row>
    <row r="1636" spans="2:33">
      <c r="B1636" s="86"/>
      <c r="C1636" s="84"/>
      <c r="D1636" s="86"/>
      <c r="E1636" s="84"/>
      <c r="F1636" s="284"/>
      <c r="G1636" s="49"/>
      <c r="H1636" s="284"/>
      <c r="I1636" s="74"/>
      <c r="J1636" s="371"/>
      <c r="K1636" s="77"/>
      <c r="L1636" s="160"/>
      <c r="M1636" s="388"/>
      <c r="N1636" s="375"/>
      <c r="O1636" s="370"/>
      <c r="T1636" s="340"/>
      <c r="W1636" s="113"/>
      <c r="X1636" s="241"/>
      <c r="Y1636" s="284"/>
      <c r="Z1636" s="207"/>
      <c r="AA1636" s="284"/>
      <c r="AB1636" s="284"/>
      <c r="AC1636" s="137"/>
      <c r="AD1636" s="284"/>
      <c r="AE1636" s="299"/>
      <c r="AF1636" s="299"/>
      <c r="AG1636" s="284"/>
    </row>
    <row r="1637" spans="2:33">
      <c r="B1637" s="86"/>
      <c r="C1637" s="84"/>
      <c r="D1637" s="86"/>
      <c r="E1637" s="84"/>
      <c r="F1637" s="284"/>
      <c r="G1637" s="49"/>
      <c r="H1637" s="284"/>
      <c r="I1637" s="74"/>
      <c r="J1637" s="371"/>
      <c r="K1637" s="77"/>
      <c r="L1637" s="160"/>
      <c r="M1637" s="388"/>
      <c r="N1637" s="375"/>
      <c r="O1637" s="370"/>
      <c r="T1637" s="340"/>
      <c r="W1637" s="113"/>
      <c r="X1637" s="241"/>
      <c r="Y1637" s="284"/>
      <c r="Z1637" s="207"/>
      <c r="AA1637" s="284"/>
      <c r="AB1637" s="284"/>
      <c r="AC1637" s="137"/>
      <c r="AD1637" s="284"/>
      <c r="AE1637" s="299"/>
      <c r="AF1637" s="299"/>
      <c r="AG1637" s="284"/>
    </row>
    <row r="1638" spans="2:33">
      <c r="B1638" s="86"/>
      <c r="C1638" s="84"/>
      <c r="D1638" s="86"/>
      <c r="E1638" s="84"/>
      <c r="F1638" s="284"/>
      <c r="G1638" s="49"/>
      <c r="H1638" s="284"/>
      <c r="I1638" s="74"/>
      <c r="J1638" s="371"/>
      <c r="K1638" s="77"/>
      <c r="L1638" s="160"/>
      <c r="M1638" s="388"/>
      <c r="N1638" s="375"/>
      <c r="O1638" s="370"/>
      <c r="T1638" s="340"/>
      <c r="W1638" s="113"/>
      <c r="X1638" s="241"/>
      <c r="Y1638" s="284"/>
      <c r="Z1638" s="207"/>
      <c r="AA1638" s="284"/>
      <c r="AB1638" s="284"/>
      <c r="AC1638" s="137"/>
      <c r="AD1638" s="284"/>
      <c r="AE1638" s="299"/>
      <c r="AF1638" s="299"/>
      <c r="AG1638" s="284"/>
    </row>
    <row r="1639" spans="2:33">
      <c r="B1639" s="86"/>
      <c r="C1639" s="84"/>
      <c r="D1639" s="86"/>
      <c r="E1639" s="84"/>
      <c r="F1639" s="284"/>
      <c r="G1639" s="49"/>
      <c r="H1639" s="284"/>
      <c r="I1639" s="74"/>
      <c r="J1639" s="371"/>
      <c r="K1639" s="77"/>
      <c r="L1639" s="160"/>
      <c r="M1639" s="388"/>
      <c r="N1639" s="375"/>
      <c r="O1639" s="370"/>
      <c r="T1639" s="340"/>
      <c r="W1639" s="113"/>
      <c r="X1639" s="241"/>
      <c r="Y1639" s="284"/>
      <c r="Z1639" s="207"/>
      <c r="AA1639" s="284"/>
      <c r="AB1639" s="284"/>
      <c r="AC1639" s="137"/>
      <c r="AD1639" s="284"/>
      <c r="AE1639" s="299"/>
      <c r="AF1639" s="299"/>
      <c r="AG1639" s="284"/>
    </row>
    <row r="1640" spans="2:33">
      <c r="B1640" s="86"/>
      <c r="C1640" s="84"/>
      <c r="D1640" s="86"/>
      <c r="E1640" s="84"/>
      <c r="F1640" s="284"/>
      <c r="G1640" s="49"/>
      <c r="H1640" s="284"/>
      <c r="I1640" s="74"/>
      <c r="J1640" s="371"/>
      <c r="K1640" s="77"/>
      <c r="L1640" s="160"/>
      <c r="M1640" s="388"/>
      <c r="N1640" s="375"/>
      <c r="O1640" s="370"/>
      <c r="T1640" s="340"/>
      <c r="W1640" s="113"/>
      <c r="X1640" s="241"/>
      <c r="Y1640" s="284"/>
      <c r="Z1640" s="207"/>
      <c r="AA1640" s="284"/>
      <c r="AB1640" s="284"/>
      <c r="AC1640" s="137"/>
      <c r="AD1640" s="284"/>
      <c r="AE1640" s="299"/>
      <c r="AF1640" s="299"/>
      <c r="AG1640" s="284"/>
    </row>
    <row r="1641" spans="2:33">
      <c r="B1641" s="86"/>
      <c r="C1641" s="84"/>
      <c r="D1641" s="86"/>
      <c r="E1641" s="84"/>
      <c r="F1641" s="284"/>
      <c r="G1641" s="49"/>
      <c r="H1641" s="284"/>
      <c r="I1641" s="74"/>
      <c r="J1641" s="371"/>
      <c r="K1641" s="77"/>
      <c r="L1641" s="160"/>
      <c r="M1641" s="388"/>
      <c r="N1641" s="375"/>
      <c r="O1641" s="370"/>
      <c r="T1641" s="340"/>
      <c r="W1641" s="113"/>
      <c r="X1641" s="241"/>
      <c r="Y1641" s="284"/>
      <c r="Z1641" s="207"/>
      <c r="AA1641" s="284"/>
      <c r="AB1641" s="284"/>
      <c r="AC1641" s="137"/>
      <c r="AD1641" s="284"/>
      <c r="AE1641" s="299"/>
      <c r="AF1641" s="299"/>
      <c r="AG1641" s="284"/>
    </row>
    <row r="1642" spans="2:33">
      <c r="B1642" s="86"/>
      <c r="C1642" s="84"/>
      <c r="D1642" s="86"/>
      <c r="E1642" s="84"/>
      <c r="F1642" s="284"/>
      <c r="G1642" s="49"/>
      <c r="H1642" s="284"/>
      <c r="I1642" s="74"/>
      <c r="J1642" s="371"/>
      <c r="K1642" s="77"/>
      <c r="L1642" s="160"/>
      <c r="M1642" s="388"/>
      <c r="N1642" s="375"/>
      <c r="O1642" s="370"/>
      <c r="T1642" s="340"/>
      <c r="W1642" s="113"/>
      <c r="X1642" s="241"/>
      <c r="Y1642" s="284"/>
      <c r="Z1642" s="207"/>
      <c r="AA1642" s="284"/>
      <c r="AB1642" s="284"/>
      <c r="AC1642" s="137"/>
      <c r="AD1642" s="284"/>
      <c r="AE1642" s="299"/>
      <c r="AF1642" s="299"/>
      <c r="AG1642" s="284"/>
    </row>
    <row r="1643" spans="2:33">
      <c r="B1643" s="86"/>
      <c r="C1643" s="84"/>
      <c r="D1643" s="86"/>
      <c r="E1643" s="84"/>
      <c r="F1643" s="284"/>
      <c r="G1643" s="49"/>
      <c r="H1643" s="284"/>
      <c r="I1643" s="74"/>
      <c r="J1643" s="371"/>
      <c r="K1643" s="77"/>
      <c r="L1643" s="160"/>
      <c r="M1643" s="388"/>
      <c r="N1643" s="375"/>
      <c r="O1643" s="370"/>
      <c r="T1643" s="340"/>
      <c r="W1643" s="113"/>
      <c r="X1643" s="241"/>
      <c r="Y1643" s="284"/>
      <c r="Z1643" s="207"/>
      <c r="AA1643" s="284"/>
      <c r="AB1643" s="284"/>
      <c r="AC1643" s="137"/>
      <c r="AD1643" s="284"/>
      <c r="AE1643" s="299"/>
      <c r="AF1643" s="299"/>
      <c r="AG1643" s="284"/>
    </row>
    <row r="1644" spans="2:33">
      <c r="B1644" s="86"/>
      <c r="C1644" s="84"/>
      <c r="D1644" s="86"/>
      <c r="E1644" s="84"/>
      <c r="F1644" s="284"/>
      <c r="G1644" s="49"/>
      <c r="H1644" s="284"/>
      <c r="I1644" s="74"/>
      <c r="J1644" s="371"/>
      <c r="K1644" s="77"/>
      <c r="L1644" s="160"/>
      <c r="M1644" s="388"/>
      <c r="N1644" s="375"/>
      <c r="O1644" s="370"/>
      <c r="T1644" s="340"/>
      <c r="W1644" s="113"/>
      <c r="X1644" s="241"/>
      <c r="Y1644" s="284"/>
      <c r="Z1644" s="207"/>
      <c r="AA1644" s="284"/>
      <c r="AB1644" s="284"/>
      <c r="AC1644" s="137"/>
      <c r="AD1644" s="284"/>
      <c r="AE1644" s="299"/>
      <c r="AF1644" s="299"/>
      <c r="AG1644" s="284"/>
    </row>
    <row r="1645" spans="2:33">
      <c r="B1645" s="86"/>
      <c r="C1645" s="84"/>
      <c r="D1645" s="86"/>
      <c r="E1645" s="84"/>
      <c r="F1645" s="284"/>
      <c r="G1645" s="49"/>
      <c r="H1645" s="284"/>
      <c r="I1645" s="74"/>
      <c r="J1645" s="371"/>
      <c r="K1645" s="77"/>
      <c r="L1645" s="160"/>
      <c r="M1645" s="388"/>
      <c r="N1645" s="375"/>
      <c r="O1645" s="370"/>
      <c r="T1645" s="340"/>
      <c r="W1645" s="113"/>
      <c r="X1645" s="241"/>
      <c r="Y1645" s="284"/>
      <c r="Z1645" s="207"/>
      <c r="AA1645" s="284"/>
      <c r="AB1645" s="284"/>
      <c r="AC1645" s="137"/>
      <c r="AD1645" s="284"/>
      <c r="AE1645" s="299"/>
      <c r="AF1645" s="299"/>
      <c r="AG1645" s="284"/>
    </row>
    <row r="1646" spans="2:33">
      <c r="B1646" s="86"/>
      <c r="C1646" s="84"/>
      <c r="D1646" s="86"/>
      <c r="E1646" s="84"/>
      <c r="F1646" s="284"/>
      <c r="G1646" s="49"/>
      <c r="H1646" s="284"/>
      <c r="I1646" s="74"/>
      <c r="J1646" s="371"/>
      <c r="K1646" s="77"/>
      <c r="L1646" s="160"/>
      <c r="M1646" s="388"/>
      <c r="N1646" s="375"/>
      <c r="O1646" s="370"/>
      <c r="T1646" s="340"/>
      <c r="W1646" s="113"/>
      <c r="X1646" s="241"/>
      <c r="Y1646" s="284"/>
      <c r="Z1646" s="207"/>
      <c r="AA1646" s="284"/>
      <c r="AB1646" s="284"/>
      <c r="AC1646" s="137"/>
      <c r="AD1646" s="284"/>
      <c r="AE1646" s="299"/>
      <c r="AF1646" s="299"/>
      <c r="AG1646" s="284"/>
    </row>
    <row r="1647" spans="2:33">
      <c r="B1647" s="86"/>
      <c r="C1647" s="84"/>
      <c r="D1647" s="86"/>
      <c r="E1647" s="84"/>
      <c r="F1647" s="284"/>
      <c r="G1647" s="49"/>
      <c r="H1647" s="284"/>
      <c r="I1647" s="74"/>
      <c r="J1647" s="371"/>
      <c r="K1647" s="77"/>
      <c r="L1647" s="160"/>
      <c r="M1647" s="388"/>
      <c r="N1647" s="375"/>
      <c r="O1647" s="370"/>
      <c r="T1647" s="340"/>
      <c r="W1647" s="113"/>
      <c r="X1647" s="241"/>
      <c r="Y1647" s="284"/>
      <c r="Z1647" s="207"/>
      <c r="AA1647" s="284"/>
      <c r="AB1647" s="284"/>
      <c r="AC1647" s="137"/>
      <c r="AD1647" s="284"/>
      <c r="AE1647" s="299"/>
      <c r="AF1647" s="299"/>
      <c r="AG1647" s="284"/>
    </row>
    <row r="1648" spans="2:33">
      <c r="B1648" s="86"/>
      <c r="C1648" s="84"/>
      <c r="D1648" s="86"/>
      <c r="E1648" s="84"/>
      <c r="F1648" s="284"/>
      <c r="G1648" s="49"/>
      <c r="H1648" s="284"/>
      <c r="I1648" s="74"/>
      <c r="J1648" s="371"/>
      <c r="K1648" s="77"/>
      <c r="L1648" s="160"/>
      <c r="M1648" s="388"/>
      <c r="N1648" s="375"/>
      <c r="O1648" s="370"/>
      <c r="T1648" s="340"/>
      <c r="W1648" s="113"/>
      <c r="X1648" s="241"/>
      <c r="Y1648" s="284"/>
      <c r="Z1648" s="207"/>
      <c r="AA1648" s="284"/>
      <c r="AB1648" s="284"/>
      <c r="AC1648" s="137"/>
      <c r="AD1648" s="284"/>
      <c r="AE1648" s="299"/>
      <c r="AF1648" s="299"/>
      <c r="AG1648" s="284"/>
    </row>
    <row r="1649" spans="2:33">
      <c r="B1649" s="86"/>
      <c r="C1649" s="84"/>
      <c r="D1649" s="86"/>
      <c r="E1649" s="84"/>
      <c r="F1649" s="284"/>
      <c r="G1649" s="49"/>
      <c r="H1649" s="284"/>
      <c r="I1649" s="74"/>
      <c r="J1649" s="371"/>
      <c r="K1649" s="77"/>
      <c r="L1649" s="160"/>
      <c r="M1649" s="388"/>
      <c r="N1649" s="375"/>
      <c r="O1649" s="370"/>
      <c r="T1649" s="340"/>
      <c r="W1649" s="113"/>
      <c r="X1649" s="241"/>
      <c r="Y1649" s="284"/>
      <c r="Z1649" s="207"/>
      <c r="AA1649" s="284"/>
      <c r="AB1649" s="284"/>
      <c r="AC1649" s="137"/>
      <c r="AD1649" s="284"/>
      <c r="AE1649" s="299"/>
      <c r="AF1649" s="299"/>
      <c r="AG1649" s="284"/>
    </row>
    <row r="1650" spans="2:33">
      <c r="B1650" s="86"/>
      <c r="C1650" s="84"/>
      <c r="D1650" s="86"/>
      <c r="E1650" s="84"/>
      <c r="F1650" s="284"/>
      <c r="G1650" s="49"/>
      <c r="H1650" s="284"/>
      <c r="I1650" s="74"/>
      <c r="J1650" s="371"/>
      <c r="K1650" s="77"/>
      <c r="L1650" s="160"/>
      <c r="M1650" s="388"/>
      <c r="N1650" s="375"/>
      <c r="O1650" s="370"/>
      <c r="T1650" s="340"/>
      <c r="W1650" s="113"/>
      <c r="X1650" s="241"/>
      <c r="Y1650" s="284"/>
      <c r="Z1650" s="207"/>
      <c r="AA1650" s="284"/>
      <c r="AB1650" s="284"/>
      <c r="AC1650" s="137"/>
      <c r="AD1650" s="284"/>
      <c r="AE1650" s="299"/>
      <c r="AF1650" s="299"/>
      <c r="AG1650" s="284"/>
    </row>
    <row r="1651" spans="2:33">
      <c r="B1651" s="86"/>
      <c r="C1651" s="84"/>
      <c r="D1651" s="86"/>
      <c r="E1651" s="84"/>
      <c r="F1651" s="284"/>
      <c r="G1651" s="49"/>
      <c r="H1651" s="284"/>
      <c r="I1651" s="74"/>
      <c r="J1651" s="371"/>
      <c r="K1651" s="77"/>
      <c r="L1651" s="160"/>
      <c r="M1651" s="388"/>
      <c r="N1651" s="375"/>
      <c r="O1651" s="370"/>
      <c r="T1651" s="340"/>
      <c r="W1651" s="113"/>
      <c r="X1651" s="241"/>
      <c r="Y1651" s="284"/>
      <c r="Z1651" s="207"/>
      <c r="AA1651" s="284"/>
      <c r="AB1651" s="284"/>
      <c r="AC1651" s="137"/>
      <c r="AD1651" s="284"/>
      <c r="AE1651" s="299"/>
      <c r="AF1651" s="299"/>
      <c r="AG1651" s="284"/>
    </row>
    <row r="1652" spans="2:33">
      <c r="B1652" s="86"/>
      <c r="C1652" s="84"/>
      <c r="D1652" s="86"/>
      <c r="E1652" s="84"/>
      <c r="F1652" s="284"/>
      <c r="G1652" s="49"/>
      <c r="H1652" s="284"/>
      <c r="I1652" s="74"/>
      <c r="J1652" s="371"/>
      <c r="K1652" s="77"/>
      <c r="L1652" s="160"/>
      <c r="M1652" s="388"/>
      <c r="N1652" s="375"/>
      <c r="O1652" s="370"/>
      <c r="T1652" s="340"/>
      <c r="W1652" s="113"/>
      <c r="X1652" s="241"/>
      <c r="Y1652" s="284"/>
      <c r="Z1652" s="207"/>
      <c r="AA1652" s="284"/>
      <c r="AB1652" s="284"/>
      <c r="AC1652" s="137"/>
      <c r="AD1652" s="284"/>
      <c r="AE1652" s="299"/>
      <c r="AF1652" s="299"/>
      <c r="AG1652" s="284"/>
    </row>
    <row r="1653" spans="2:33">
      <c r="B1653" s="86"/>
      <c r="C1653" s="84"/>
      <c r="D1653" s="86"/>
      <c r="E1653" s="84"/>
      <c r="F1653" s="284"/>
      <c r="G1653" s="49"/>
      <c r="H1653" s="284"/>
      <c r="I1653" s="74"/>
      <c r="J1653" s="371"/>
      <c r="K1653" s="77"/>
      <c r="L1653" s="160"/>
      <c r="M1653" s="388"/>
      <c r="N1653" s="375"/>
      <c r="O1653" s="370"/>
      <c r="T1653" s="340"/>
      <c r="W1653" s="113"/>
      <c r="X1653" s="241"/>
      <c r="Y1653" s="284"/>
      <c r="Z1653" s="207"/>
      <c r="AA1653" s="284"/>
      <c r="AB1653" s="284"/>
      <c r="AC1653" s="137"/>
      <c r="AD1653" s="284"/>
      <c r="AE1653" s="299"/>
      <c r="AF1653" s="299"/>
      <c r="AG1653" s="284"/>
    </row>
    <row r="1654" spans="2:33">
      <c r="B1654" s="86"/>
      <c r="C1654" s="84"/>
      <c r="D1654" s="86"/>
      <c r="E1654" s="84"/>
      <c r="F1654" s="284"/>
      <c r="G1654" s="49"/>
      <c r="H1654" s="284"/>
      <c r="I1654" s="74"/>
      <c r="J1654" s="371"/>
      <c r="K1654" s="77"/>
      <c r="L1654" s="160"/>
      <c r="M1654" s="388"/>
      <c r="N1654" s="375"/>
      <c r="O1654" s="370"/>
      <c r="T1654" s="340"/>
      <c r="W1654" s="113"/>
      <c r="X1654" s="241"/>
      <c r="Y1654" s="284"/>
      <c r="Z1654" s="207"/>
      <c r="AA1654" s="284"/>
      <c r="AB1654" s="284"/>
      <c r="AC1654" s="137"/>
      <c r="AD1654" s="284"/>
      <c r="AE1654" s="299"/>
      <c r="AF1654" s="299"/>
      <c r="AG1654" s="284"/>
    </row>
    <row r="1655" spans="2:33">
      <c r="B1655" s="86"/>
      <c r="C1655" s="84"/>
      <c r="D1655" s="86"/>
      <c r="E1655" s="84"/>
      <c r="F1655" s="284"/>
      <c r="G1655" s="49"/>
      <c r="H1655" s="284"/>
      <c r="I1655" s="74"/>
      <c r="J1655" s="371"/>
      <c r="K1655" s="77"/>
      <c r="L1655" s="160"/>
      <c r="M1655" s="388"/>
      <c r="N1655" s="375"/>
      <c r="O1655" s="370"/>
      <c r="T1655" s="340"/>
      <c r="W1655" s="113"/>
      <c r="X1655" s="241"/>
      <c r="Y1655" s="284"/>
      <c r="Z1655" s="207"/>
      <c r="AA1655" s="284"/>
      <c r="AB1655" s="284"/>
      <c r="AC1655" s="137"/>
      <c r="AD1655" s="284"/>
      <c r="AE1655" s="299"/>
      <c r="AF1655" s="299"/>
      <c r="AG1655" s="284"/>
    </row>
    <row r="1656" spans="2:33">
      <c r="B1656" s="86"/>
      <c r="C1656" s="84"/>
      <c r="D1656" s="86"/>
      <c r="E1656" s="84"/>
      <c r="F1656" s="284"/>
      <c r="G1656" s="49"/>
      <c r="H1656" s="284"/>
      <c r="I1656" s="74"/>
      <c r="J1656" s="371"/>
      <c r="K1656" s="77"/>
      <c r="L1656" s="160"/>
      <c r="M1656" s="388"/>
      <c r="N1656" s="375"/>
      <c r="O1656" s="370"/>
      <c r="T1656" s="340"/>
      <c r="W1656" s="113"/>
      <c r="X1656" s="241"/>
      <c r="Y1656" s="284"/>
      <c r="Z1656" s="207"/>
      <c r="AA1656" s="284"/>
      <c r="AB1656" s="284"/>
      <c r="AC1656" s="137"/>
      <c r="AD1656" s="284"/>
      <c r="AE1656" s="299"/>
      <c r="AF1656" s="299"/>
      <c r="AG1656" s="284"/>
    </row>
    <row r="1657" spans="2:33">
      <c r="B1657" s="86"/>
      <c r="C1657" s="84"/>
      <c r="D1657" s="86"/>
      <c r="E1657" s="84"/>
      <c r="F1657" s="284"/>
      <c r="G1657" s="49"/>
      <c r="H1657" s="284"/>
      <c r="I1657" s="74"/>
      <c r="J1657" s="371"/>
      <c r="K1657" s="77"/>
      <c r="L1657" s="160"/>
      <c r="M1657" s="388"/>
      <c r="N1657" s="375"/>
      <c r="O1657" s="370"/>
      <c r="T1657" s="340"/>
      <c r="W1657" s="113"/>
      <c r="X1657" s="241"/>
      <c r="Y1657" s="284"/>
      <c r="Z1657" s="207"/>
      <c r="AA1657" s="284"/>
      <c r="AB1657" s="284"/>
      <c r="AC1657" s="137"/>
      <c r="AD1657" s="284"/>
      <c r="AE1657" s="299"/>
      <c r="AF1657" s="299"/>
      <c r="AG1657" s="284"/>
    </row>
    <row r="1658" spans="2:33">
      <c r="B1658" s="86"/>
      <c r="C1658" s="84"/>
      <c r="D1658" s="86"/>
      <c r="E1658" s="84"/>
      <c r="F1658" s="284"/>
      <c r="G1658" s="49"/>
      <c r="H1658" s="284"/>
      <c r="I1658" s="74"/>
      <c r="J1658" s="371"/>
      <c r="K1658" s="77"/>
      <c r="L1658" s="160"/>
      <c r="M1658" s="388"/>
      <c r="N1658" s="375"/>
      <c r="O1658" s="370"/>
      <c r="T1658" s="340"/>
      <c r="W1658" s="113"/>
      <c r="X1658" s="241"/>
      <c r="Y1658" s="284"/>
      <c r="Z1658" s="207"/>
      <c r="AA1658" s="284"/>
      <c r="AB1658" s="284"/>
      <c r="AC1658" s="137"/>
      <c r="AD1658" s="284"/>
      <c r="AE1658" s="299"/>
      <c r="AF1658" s="299"/>
      <c r="AG1658" s="284"/>
    </row>
    <row r="1659" spans="2:33">
      <c r="B1659" s="86"/>
      <c r="C1659" s="84"/>
      <c r="D1659" s="86"/>
      <c r="E1659" s="84"/>
      <c r="F1659" s="284"/>
      <c r="G1659" s="49"/>
      <c r="H1659" s="284"/>
      <c r="I1659" s="74"/>
      <c r="J1659" s="371"/>
      <c r="K1659" s="77"/>
      <c r="L1659" s="160"/>
      <c r="M1659" s="388"/>
      <c r="N1659" s="375"/>
      <c r="O1659" s="370"/>
      <c r="T1659" s="340"/>
      <c r="W1659" s="113"/>
      <c r="X1659" s="241"/>
      <c r="Y1659" s="284"/>
      <c r="Z1659" s="207"/>
      <c r="AA1659" s="284"/>
      <c r="AB1659" s="284"/>
      <c r="AC1659" s="137"/>
      <c r="AD1659" s="284"/>
      <c r="AE1659" s="299"/>
      <c r="AF1659" s="299"/>
      <c r="AG1659" s="284"/>
    </row>
    <row r="1660" spans="2:33">
      <c r="B1660" s="86"/>
      <c r="C1660" s="84"/>
      <c r="D1660" s="86"/>
      <c r="E1660" s="84"/>
      <c r="F1660" s="284"/>
      <c r="G1660" s="49"/>
      <c r="H1660" s="284"/>
      <c r="I1660" s="74"/>
      <c r="J1660" s="371"/>
      <c r="K1660" s="77"/>
      <c r="L1660" s="160"/>
      <c r="M1660" s="388"/>
      <c r="N1660" s="375"/>
      <c r="O1660" s="370"/>
      <c r="T1660" s="340"/>
      <c r="W1660" s="113"/>
      <c r="X1660" s="241"/>
      <c r="Y1660" s="284"/>
      <c r="Z1660" s="207"/>
      <c r="AA1660" s="284"/>
      <c r="AB1660" s="284"/>
      <c r="AC1660" s="137"/>
      <c r="AD1660" s="284"/>
      <c r="AE1660" s="299"/>
      <c r="AF1660" s="299"/>
      <c r="AG1660" s="284"/>
    </row>
    <row r="1661" spans="2:33">
      <c r="B1661" s="86"/>
      <c r="C1661" s="84"/>
      <c r="D1661" s="86"/>
      <c r="E1661" s="84"/>
      <c r="F1661" s="284"/>
      <c r="G1661" s="49"/>
      <c r="H1661" s="284"/>
      <c r="I1661" s="74"/>
      <c r="J1661" s="371"/>
      <c r="K1661" s="77"/>
      <c r="L1661" s="160"/>
      <c r="M1661" s="388"/>
      <c r="N1661" s="375"/>
      <c r="O1661" s="370"/>
      <c r="T1661" s="340"/>
      <c r="W1661" s="113"/>
      <c r="X1661" s="241"/>
      <c r="Y1661" s="284"/>
      <c r="Z1661" s="207"/>
      <c r="AA1661" s="284"/>
      <c r="AB1661" s="284"/>
      <c r="AC1661" s="137"/>
      <c r="AD1661" s="284"/>
      <c r="AE1661" s="299"/>
      <c r="AF1661" s="299"/>
      <c r="AG1661" s="284"/>
    </row>
    <row r="1662" spans="2:33">
      <c r="B1662" s="86"/>
      <c r="C1662" s="84"/>
      <c r="D1662" s="86"/>
      <c r="E1662" s="84"/>
      <c r="F1662" s="284"/>
      <c r="G1662" s="49"/>
      <c r="H1662" s="284"/>
      <c r="I1662" s="74"/>
      <c r="J1662" s="371"/>
      <c r="K1662" s="77"/>
      <c r="L1662" s="160"/>
      <c r="M1662" s="388"/>
      <c r="N1662" s="375"/>
      <c r="O1662" s="370"/>
      <c r="T1662" s="340"/>
      <c r="W1662" s="113"/>
      <c r="X1662" s="241"/>
      <c r="Y1662" s="284"/>
      <c r="Z1662" s="207"/>
      <c r="AA1662" s="284"/>
      <c r="AB1662" s="284"/>
      <c r="AC1662" s="137"/>
      <c r="AD1662" s="284"/>
      <c r="AE1662" s="299"/>
      <c r="AF1662" s="299"/>
      <c r="AG1662" s="284"/>
    </row>
    <row r="1663" spans="2:33">
      <c r="B1663" s="86"/>
      <c r="C1663" s="84"/>
      <c r="D1663" s="86"/>
      <c r="E1663" s="84"/>
      <c r="F1663" s="284"/>
      <c r="G1663" s="49"/>
      <c r="H1663" s="284"/>
      <c r="I1663" s="74"/>
      <c r="J1663" s="371"/>
      <c r="K1663" s="77"/>
      <c r="L1663" s="160"/>
      <c r="M1663" s="388"/>
      <c r="N1663" s="375"/>
      <c r="O1663" s="370"/>
      <c r="T1663" s="340"/>
      <c r="W1663" s="113"/>
      <c r="X1663" s="241"/>
      <c r="Y1663" s="284"/>
      <c r="Z1663" s="207"/>
      <c r="AA1663" s="284"/>
      <c r="AB1663" s="284"/>
      <c r="AC1663" s="137"/>
      <c r="AD1663" s="284"/>
      <c r="AE1663" s="299"/>
      <c r="AF1663" s="299"/>
      <c r="AG1663" s="284"/>
    </row>
    <row r="1664" spans="2:33">
      <c r="B1664" s="86"/>
      <c r="C1664" s="84"/>
      <c r="D1664" s="86"/>
      <c r="E1664" s="84"/>
      <c r="F1664" s="284"/>
      <c r="G1664" s="49"/>
      <c r="H1664" s="284"/>
      <c r="I1664" s="74"/>
      <c r="J1664" s="371"/>
      <c r="K1664" s="77"/>
      <c r="L1664" s="160"/>
      <c r="M1664" s="388"/>
      <c r="N1664" s="375"/>
      <c r="O1664" s="370"/>
      <c r="T1664" s="340"/>
      <c r="W1664" s="113"/>
      <c r="X1664" s="241"/>
      <c r="Y1664" s="284"/>
      <c r="Z1664" s="207"/>
      <c r="AA1664" s="284"/>
      <c r="AB1664" s="284"/>
      <c r="AC1664" s="137"/>
      <c r="AD1664" s="284"/>
      <c r="AE1664" s="299"/>
      <c r="AF1664" s="299"/>
      <c r="AG1664" s="284"/>
    </row>
    <row r="1665" spans="2:33">
      <c r="B1665" s="86"/>
      <c r="C1665" s="84"/>
      <c r="D1665" s="86"/>
      <c r="E1665" s="84"/>
      <c r="F1665" s="284"/>
      <c r="G1665" s="49"/>
      <c r="H1665" s="284"/>
      <c r="I1665" s="74"/>
      <c r="J1665" s="371"/>
      <c r="K1665" s="77"/>
      <c r="L1665" s="160"/>
      <c r="M1665" s="388"/>
      <c r="N1665" s="375"/>
      <c r="O1665" s="370"/>
      <c r="T1665" s="340"/>
      <c r="W1665" s="113"/>
      <c r="X1665" s="241"/>
      <c r="Y1665" s="284"/>
      <c r="Z1665" s="207"/>
      <c r="AA1665" s="284"/>
      <c r="AB1665" s="284"/>
      <c r="AC1665" s="137"/>
      <c r="AD1665" s="284"/>
      <c r="AE1665" s="299"/>
      <c r="AF1665" s="299"/>
      <c r="AG1665" s="284"/>
    </row>
    <row r="1666" spans="2:33">
      <c r="B1666" s="86"/>
      <c r="C1666" s="84"/>
      <c r="D1666" s="86"/>
      <c r="E1666" s="84"/>
      <c r="F1666" s="284"/>
      <c r="G1666" s="49"/>
      <c r="H1666" s="284"/>
      <c r="I1666" s="74"/>
      <c r="J1666" s="371"/>
      <c r="K1666" s="77"/>
      <c r="L1666" s="160"/>
      <c r="M1666" s="388"/>
      <c r="N1666" s="375"/>
      <c r="O1666" s="370"/>
      <c r="T1666" s="340"/>
      <c r="W1666" s="113"/>
      <c r="X1666" s="241"/>
      <c r="Y1666" s="284"/>
      <c r="Z1666" s="207"/>
      <c r="AA1666" s="284"/>
      <c r="AB1666" s="284"/>
      <c r="AC1666" s="137"/>
      <c r="AD1666" s="284"/>
      <c r="AE1666" s="299"/>
      <c r="AF1666" s="299"/>
      <c r="AG1666" s="284"/>
    </row>
    <row r="1667" spans="2:33">
      <c r="B1667" s="86"/>
      <c r="C1667" s="84"/>
      <c r="D1667" s="86"/>
      <c r="E1667" s="84"/>
      <c r="F1667" s="284"/>
      <c r="G1667" s="49"/>
      <c r="H1667" s="284"/>
      <c r="I1667" s="74"/>
      <c r="J1667" s="371"/>
      <c r="K1667" s="77"/>
      <c r="L1667" s="160"/>
      <c r="M1667" s="388"/>
      <c r="N1667" s="375"/>
      <c r="O1667" s="370"/>
      <c r="T1667" s="340"/>
      <c r="W1667" s="113"/>
      <c r="X1667" s="241"/>
      <c r="Y1667" s="284"/>
      <c r="Z1667" s="207"/>
      <c r="AA1667" s="284"/>
      <c r="AB1667" s="284"/>
      <c r="AC1667" s="137"/>
      <c r="AD1667" s="284"/>
      <c r="AE1667" s="299"/>
      <c r="AF1667" s="299"/>
      <c r="AG1667" s="284"/>
    </row>
    <row r="1668" spans="2:33">
      <c r="B1668" s="86"/>
      <c r="C1668" s="84"/>
      <c r="D1668" s="86"/>
      <c r="E1668" s="84"/>
      <c r="F1668" s="284"/>
      <c r="G1668" s="49"/>
      <c r="H1668" s="284"/>
      <c r="I1668" s="74"/>
      <c r="J1668" s="371"/>
      <c r="K1668" s="77"/>
      <c r="L1668" s="160"/>
      <c r="M1668" s="388"/>
      <c r="N1668" s="375"/>
      <c r="O1668" s="370"/>
      <c r="T1668" s="340"/>
      <c r="W1668" s="113"/>
      <c r="X1668" s="241"/>
      <c r="Y1668" s="284"/>
      <c r="Z1668" s="207"/>
      <c r="AA1668" s="284"/>
      <c r="AB1668" s="284"/>
      <c r="AC1668" s="137"/>
      <c r="AD1668" s="284"/>
      <c r="AE1668" s="299"/>
      <c r="AF1668" s="299"/>
      <c r="AG1668" s="284"/>
    </row>
    <row r="1669" spans="2:33">
      <c r="B1669" s="86"/>
      <c r="C1669" s="84"/>
      <c r="D1669" s="86"/>
      <c r="E1669" s="84"/>
      <c r="F1669" s="284"/>
      <c r="G1669" s="49"/>
      <c r="H1669" s="284"/>
      <c r="I1669" s="74"/>
      <c r="J1669" s="371"/>
      <c r="K1669" s="77"/>
      <c r="L1669" s="160"/>
      <c r="M1669" s="388"/>
      <c r="N1669" s="375"/>
      <c r="O1669" s="370"/>
      <c r="T1669" s="340"/>
      <c r="W1669" s="113"/>
      <c r="X1669" s="241"/>
      <c r="Y1669" s="284"/>
      <c r="Z1669" s="207"/>
      <c r="AA1669" s="284"/>
      <c r="AB1669" s="284"/>
      <c r="AC1669" s="137"/>
      <c r="AD1669" s="284"/>
      <c r="AE1669" s="299"/>
      <c r="AF1669" s="299"/>
      <c r="AG1669" s="284"/>
    </row>
    <row r="1670" spans="2:33">
      <c r="B1670" s="86"/>
      <c r="C1670" s="84"/>
      <c r="D1670" s="86"/>
      <c r="E1670" s="84"/>
      <c r="F1670" s="284"/>
      <c r="G1670" s="49"/>
      <c r="H1670" s="284"/>
      <c r="I1670" s="74"/>
      <c r="J1670" s="371"/>
      <c r="K1670" s="77"/>
      <c r="L1670" s="160"/>
      <c r="M1670" s="388"/>
      <c r="N1670" s="375"/>
      <c r="O1670" s="370"/>
      <c r="T1670" s="340"/>
      <c r="W1670" s="113"/>
      <c r="X1670" s="241"/>
      <c r="Y1670" s="284"/>
      <c r="Z1670" s="207"/>
      <c r="AA1670" s="284"/>
      <c r="AB1670" s="284"/>
      <c r="AC1670" s="137"/>
      <c r="AD1670" s="284"/>
      <c r="AE1670" s="299"/>
      <c r="AF1670" s="299"/>
      <c r="AG1670" s="284"/>
    </row>
    <row r="1671" spans="2:33">
      <c r="B1671" s="86"/>
      <c r="C1671" s="84"/>
      <c r="D1671" s="86"/>
      <c r="E1671" s="84"/>
      <c r="F1671" s="284"/>
      <c r="G1671" s="49"/>
      <c r="H1671" s="284"/>
      <c r="I1671" s="74"/>
      <c r="J1671" s="371"/>
      <c r="K1671" s="77"/>
      <c r="L1671" s="160"/>
      <c r="M1671" s="388"/>
      <c r="N1671" s="375"/>
      <c r="O1671" s="370"/>
      <c r="T1671" s="340"/>
      <c r="W1671" s="113"/>
      <c r="X1671" s="241"/>
      <c r="Y1671" s="284"/>
      <c r="Z1671" s="207"/>
      <c r="AA1671" s="284"/>
      <c r="AB1671" s="284"/>
      <c r="AC1671" s="137"/>
      <c r="AD1671" s="284"/>
      <c r="AE1671" s="299"/>
      <c r="AF1671" s="299"/>
      <c r="AG1671" s="284"/>
    </row>
    <row r="1672" spans="2:33">
      <c r="B1672" s="86"/>
      <c r="C1672" s="84"/>
      <c r="D1672" s="86"/>
      <c r="E1672" s="84"/>
      <c r="F1672" s="284"/>
      <c r="G1672" s="49"/>
      <c r="H1672" s="284"/>
      <c r="I1672" s="74"/>
      <c r="J1672" s="371"/>
      <c r="K1672" s="77"/>
      <c r="L1672" s="160"/>
      <c r="M1672" s="388"/>
      <c r="N1672" s="375"/>
      <c r="O1672" s="370"/>
      <c r="T1672" s="340"/>
      <c r="W1672" s="113"/>
      <c r="X1672" s="241"/>
      <c r="Y1672" s="284"/>
      <c r="Z1672" s="207"/>
      <c r="AA1672" s="284"/>
      <c r="AB1672" s="284"/>
      <c r="AC1672" s="137"/>
      <c r="AD1672" s="284"/>
      <c r="AE1672" s="299"/>
      <c r="AF1672" s="299"/>
      <c r="AG1672" s="284"/>
    </row>
    <row r="1673" spans="2:33">
      <c r="B1673" s="86"/>
      <c r="C1673" s="84"/>
      <c r="D1673" s="86"/>
      <c r="E1673" s="84"/>
      <c r="F1673" s="284"/>
      <c r="G1673" s="49"/>
      <c r="H1673" s="284"/>
      <c r="I1673" s="74"/>
      <c r="J1673" s="371"/>
      <c r="K1673" s="77"/>
      <c r="L1673" s="160"/>
      <c r="M1673" s="388"/>
      <c r="N1673" s="375"/>
      <c r="O1673" s="370"/>
      <c r="T1673" s="340"/>
      <c r="W1673" s="113"/>
      <c r="X1673" s="241"/>
      <c r="Y1673" s="284"/>
      <c r="Z1673" s="207"/>
      <c r="AA1673" s="284"/>
      <c r="AB1673" s="284"/>
      <c r="AC1673" s="137"/>
      <c r="AD1673" s="284"/>
      <c r="AE1673" s="299"/>
      <c r="AF1673" s="299"/>
      <c r="AG1673" s="284"/>
    </row>
    <row r="1674" spans="2:33">
      <c r="B1674" s="86"/>
      <c r="C1674" s="84"/>
      <c r="D1674" s="86"/>
      <c r="E1674" s="84"/>
      <c r="F1674" s="284"/>
      <c r="G1674" s="49"/>
      <c r="H1674" s="284"/>
      <c r="I1674" s="74"/>
      <c r="J1674" s="371"/>
      <c r="K1674" s="77"/>
      <c r="L1674" s="160"/>
      <c r="M1674" s="388"/>
      <c r="N1674" s="375"/>
      <c r="O1674" s="370"/>
      <c r="T1674" s="340"/>
      <c r="W1674" s="113"/>
      <c r="X1674" s="241"/>
      <c r="Y1674" s="284"/>
      <c r="Z1674" s="207"/>
      <c r="AA1674" s="284"/>
      <c r="AB1674" s="284"/>
      <c r="AC1674" s="137"/>
      <c r="AD1674" s="284"/>
      <c r="AE1674" s="299"/>
      <c r="AF1674" s="299"/>
      <c r="AG1674" s="284"/>
    </row>
    <row r="1675" spans="2:33">
      <c r="B1675" s="86"/>
      <c r="C1675" s="84"/>
      <c r="D1675" s="86"/>
      <c r="E1675" s="84"/>
      <c r="F1675" s="284"/>
      <c r="G1675" s="49"/>
      <c r="H1675" s="284"/>
      <c r="I1675" s="74"/>
      <c r="J1675" s="371"/>
      <c r="K1675" s="77"/>
      <c r="L1675" s="160"/>
      <c r="M1675" s="388"/>
      <c r="N1675" s="375"/>
      <c r="O1675" s="370"/>
      <c r="T1675" s="340"/>
      <c r="W1675" s="113"/>
      <c r="X1675" s="241"/>
      <c r="Y1675" s="284"/>
      <c r="Z1675" s="207"/>
      <c r="AA1675" s="284"/>
      <c r="AB1675" s="284"/>
      <c r="AC1675" s="137"/>
      <c r="AD1675" s="284"/>
      <c r="AE1675" s="299"/>
      <c r="AF1675" s="299"/>
      <c r="AG1675" s="284"/>
    </row>
    <row r="1676" spans="2:33">
      <c r="B1676" s="86"/>
      <c r="C1676" s="84"/>
      <c r="D1676" s="86"/>
      <c r="E1676" s="84"/>
      <c r="F1676" s="284"/>
      <c r="G1676" s="49"/>
      <c r="H1676" s="284"/>
      <c r="I1676" s="74"/>
      <c r="J1676" s="371"/>
      <c r="K1676" s="77"/>
      <c r="L1676" s="160"/>
      <c r="M1676" s="388"/>
      <c r="N1676" s="375"/>
      <c r="O1676" s="370"/>
      <c r="T1676" s="340"/>
      <c r="W1676" s="113"/>
      <c r="X1676" s="241"/>
      <c r="Y1676" s="284"/>
      <c r="Z1676" s="207"/>
      <c r="AA1676" s="284"/>
      <c r="AB1676" s="284"/>
      <c r="AC1676" s="137"/>
      <c r="AD1676" s="284"/>
      <c r="AE1676" s="299"/>
      <c r="AF1676" s="299"/>
      <c r="AG1676" s="284"/>
    </row>
    <row r="1677" spans="2:33">
      <c r="B1677" s="86"/>
      <c r="C1677" s="84"/>
      <c r="D1677" s="86"/>
      <c r="E1677" s="84"/>
      <c r="F1677" s="284"/>
      <c r="G1677" s="49"/>
      <c r="H1677" s="284"/>
      <c r="I1677" s="74"/>
      <c r="J1677" s="371"/>
      <c r="K1677" s="77"/>
      <c r="L1677" s="160"/>
      <c r="M1677" s="388"/>
      <c r="N1677" s="375"/>
      <c r="O1677" s="370"/>
      <c r="T1677" s="340"/>
      <c r="W1677" s="113"/>
      <c r="X1677" s="241"/>
      <c r="Y1677" s="284"/>
      <c r="Z1677" s="207"/>
      <c r="AA1677" s="284"/>
      <c r="AB1677" s="284"/>
      <c r="AC1677" s="137"/>
      <c r="AD1677" s="284"/>
      <c r="AE1677" s="299"/>
      <c r="AF1677" s="299"/>
      <c r="AG1677" s="284"/>
    </row>
    <row r="1678" spans="2:33">
      <c r="B1678" s="86"/>
      <c r="C1678" s="84"/>
      <c r="D1678" s="86"/>
      <c r="E1678" s="84"/>
      <c r="F1678" s="284"/>
      <c r="G1678" s="49"/>
      <c r="H1678" s="284"/>
      <c r="I1678" s="74"/>
      <c r="J1678" s="371"/>
      <c r="K1678" s="77"/>
      <c r="L1678" s="160"/>
      <c r="M1678" s="388"/>
      <c r="N1678" s="375"/>
      <c r="O1678" s="370"/>
      <c r="T1678" s="340"/>
      <c r="W1678" s="113"/>
      <c r="X1678" s="241"/>
      <c r="Y1678" s="284"/>
      <c r="Z1678" s="207"/>
      <c r="AA1678" s="284"/>
      <c r="AB1678" s="284"/>
      <c r="AC1678" s="137"/>
      <c r="AD1678" s="284"/>
      <c r="AE1678" s="299"/>
      <c r="AF1678" s="299"/>
      <c r="AG1678" s="284"/>
    </row>
    <row r="1679" spans="2:33">
      <c r="B1679" s="86"/>
      <c r="C1679" s="84"/>
      <c r="D1679" s="86"/>
      <c r="E1679" s="84"/>
      <c r="F1679" s="284"/>
      <c r="G1679" s="49"/>
      <c r="H1679" s="284"/>
      <c r="I1679" s="74"/>
      <c r="J1679" s="371"/>
      <c r="K1679" s="77"/>
      <c r="L1679" s="160"/>
      <c r="M1679" s="388"/>
      <c r="N1679" s="375"/>
      <c r="O1679" s="370"/>
      <c r="T1679" s="340"/>
      <c r="W1679" s="113"/>
      <c r="X1679" s="241"/>
      <c r="Y1679" s="284"/>
      <c r="Z1679" s="207"/>
      <c r="AA1679" s="284"/>
      <c r="AB1679" s="284"/>
      <c r="AC1679" s="137"/>
      <c r="AD1679" s="284"/>
      <c r="AE1679" s="299"/>
      <c r="AF1679" s="299"/>
      <c r="AG1679" s="284"/>
    </row>
    <row r="1680" spans="2:33">
      <c r="B1680" s="86"/>
      <c r="C1680" s="84"/>
      <c r="D1680" s="86"/>
      <c r="E1680" s="84"/>
      <c r="F1680" s="284"/>
      <c r="G1680" s="49"/>
      <c r="H1680" s="284"/>
      <c r="I1680" s="74"/>
      <c r="J1680" s="371"/>
      <c r="K1680" s="77"/>
      <c r="L1680" s="160"/>
      <c r="M1680" s="388"/>
      <c r="N1680" s="375"/>
      <c r="O1680" s="370"/>
      <c r="T1680" s="340"/>
      <c r="W1680" s="113"/>
      <c r="X1680" s="241"/>
      <c r="Y1680" s="284"/>
      <c r="Z1680" s="207"/>
      <c r="AA1680" s="284"/>
      <c r="AB1680" s="284"/>
      <c r="AC1680" s="137"/>
      <c r="AD1680" s="284"/>
      <c r="AE1680" s="299"/>
      <c r="AF1680" s="299"/>
      <c r="AG1680" s="284"/>
    </row>
    <row r="1681" spans="2:33">
      <c r="B1681" s="86"/>
      <c r="C1681" s="84"/>
      <c r="D1681" s="86"/>
      <c r="E1681" s="84"/>
      <c r="F1681" s="284"/>
      <c r="G1681" s="49"/>
      <c r="H1681" s="284"/>
      <c r="I1681" s="74"/>
      <c r="J1681" s="371"/>
      <c r="K1681" s="77"/>
      <c r="L1681" s="160"/>
      <c r="M1681" s="388"/>
      <c r="N1681" s="375"/>
      <c r="O1681" s="370"/>
      <c r="T1681" s="340"/>
      <c r="W1681" s="113"/>
      <c r="X1681" s="241"/>
      <c r="Y1681" s="284"/>
      <c r="Z1681" s="207"/>
      <c r="AA1681" s="284"/>
      <c r="AB1681" s="284"/>
      <c r="AC1681" s="137"/>
      <c r="AD1681" s="284"/>
      <c r="AE1681" s="299"/>
      <c r="AF1681" s="299"/>
      <c r="AG1681" s="284"/>
    </row>
    <row r="1682" spans="2:33">
      <c r="B1682" s="86"/>
      <c r="C1682" s="84"/>
      <c r="D1682" s="86"/>
      <c r="E1682" s="84"/>
      <c r="F1682" s="284"/>
      <c r="G1682" s="49"/>
      <c r="H1682" s="284"/>
      <c r="I1682" s="74"/>
      <c r="J1682" s="371"/>
      <c r="K1682" s="77"/>
      <c r="L1682" s="160"/>
      <c r="M1682" s="388"/>
      <c r="N1682" s="375"/>
      <c r="O1682" s="370"/>
      <c r="T1682" s="340"/>
      <c r="W1682" s="113"/>
      <c r="X1682" s="241"/>
      <c r="Y1682" s="284"/>
      <c r="Z1682" s="207"/>
      <c r="AA1682" s="284"/>
      <c r="AB1682" s="284"/>
      <c r="AC1682" s="137"/>
      <c r="AD1682" s="284"/>
      <c r="AE1682" s="299"/>
      <c r="AF1682" s="299"/>
      <c r="AG1682" s="284"/>
    </row>
    <row r="1683" spans="2:33">
      <c r="B1683" s="86"/>
      <c r="C1683" s="84"/>
      <c r="D1683" s="86"/>
      <c r="E1683" s="84"/>
      <c r="F1683" s="284"/>
      <c r="G1683" s="49"/>
      <c r="H1683" s="284"/>
      <c r="I1683" s="74"/>
      <c r="J1683" s="371"/>
      <c r="K1683" s="77"/>
      <c r="L1683" s="160"/>
      <c r="M1683" s="388"/>
      <c r="N1683" s="375"/>
      <c r="O1683" s="370"/>
      <c r="T1683" s="340"/>
      <c r="W1683" s="113"/>
      <c r="X1683" s="241"/>
      <c r="Y1683" s="284"/>
      <c r="Z1683" s="207"/>
      <c r="AA1683" s="284"/>
      <c r="AB1683" s="284"/>
      <c r="AC1683" s="137"/>
      <c r="AD1683" s="284"/>
      <c r="AE1683" s="299"/>
      <c r="AF1683" s="299"/>
      <c r="AG1683" s="284"/>
    </row>
    <row r="1684" spans="2:33">
      <c r="B1684" s="86"/>
      <c r="C1684" s="84"/>
      <c r="D1684" s="86"/>
      <c r="E1684" s="84"/>
      <c r="F1684" s="284"/>
      <c r="G1684" s="49"/>
      <c r="H1684" s="284"/>
      <c r="I1684" s="74"/>
      <c r="J1684" s="371"/>
      <c r="K1684" s="77"/>
      <c r="L1684" s="160"/>
      <c r="M1684" s="388"/>
      <c r="N1684" s="375"/>
      <c r="O1684" s="370"/>
      <c r="T1684" s="340"/>
      <c r="W1684" s="113"/>
      <c r="X1684" s="241"/>
      <c r="Y1684" s="284"/>
      <c r="Z1684" s="207"/>
      <c r="AA1684" s="284"/>
      <c r="AB1684" s="284"/>
      <c r="AC1684" s="137"/>
      <c r="AD1684" s="284"/>
      <c r="AE1684" s="299"/>
      <c r="AF1684" s="299"/>
      <c r="AG1684" s="284"/>
    </row>
    <row r="1685" spans="2:33">
      <c r="B1685" s="86"/>
      <c r="C1685" s="84"/>
      <c r="D1685" s="86"/>
      <c r="E1685" s="84"/>
      <c r="F1685" s="284"/>
      <c r="G1685" s="49"/>
      <c r="H1685" s="284"/>
      <c r="I1685" s="74"/>
      <c r="J1685" s="371"/>
      <c r="K1685" s="77"/>
      <c r="L1685" s="160"/>
      <c r="M1685" s="388"/>
      <c r="N1685" s="375"/>
      <c r="O1685" s="370"/>
      <c r="T1685" s="340"/>
      <c r="W1685" s="113"/>
      <c r="X1685" s="241"/>
      <c r="Y1685" s="284"/>
      <c r="Z1685" s="207"/>
      <c r="AA1685" s="284"/>
      <c r="AB1685" s="284"/>
      <c r="AC1685" s="137"/>
      <c r="AD1685" s="284"/>
      <c r="AE1685" s="299"/>
      <c r="AF1685" s="299"/>
      <c r="AG1685" s="284"/>
    </row>
    <row r="1686" spans="2:33">
      <c r="B1686" s="86"/>
      <c r="C1686" s="84"/>
      <c r="D1686" s="86"/>
      <c r="E1686" s="84"/>
      <c r="F1686" s="284"/>
      <c r="G1686" s="49"/>
      <c r="H1686" s="284"/>
      <c r="I1686" s="74"/>
      <c r="J1686" s="371"/>
      <c r="K1686" s="77"/>
      <c r="L1686" s="160"/>
      <c r="M1686" s="388"/>
      <c r="N1686" s="375"/>
      <c r="O1686" s="370"/>
      <c r="T1686" s="340"/>
      <c r="W1686" s="113"/>
      <c r="X1686" s="241"/>
      <c r="Y1686" s="284"/>
      <c r="Z1686" s="207"/>
      <c r="AA1686" s="284"/>
      <c r="AB1686" s="284"/>
      <c r="AC1686" s="137"/>
      <c r="AD1686" s="284"/>
      <c r="AE1686" s="299"/>
      <c r="AF1686" s="299"/>
      <c r="AG1686" s="284"/>
    </row>
    <row r="1687" spans="2:33">
      <c r="B1687" s="86"/>
      <c r="C1687" s="84"/>
      <c r="D1687" s="86"/>
      <c r="E1687" s="84"/>
      <c r="F1687" s="284"/>
      <c r="G1687" s="49"/>
      <c r="H1687" s="284"/>
      <c r="I1687" s="74"/>
      <c r="J1687" s="371"/>
      <c r="K1687" s="77"/>
      <c r="L1687" s="160"/>
      <c r="M1687" s="388"/>
      <c r="N1687" s="375"/>
      <c r="O1687" s="370"/>
      <c r="T1687" s="340"/>
      <c r="W1687" s="113"/>
      <c r="X1687" s="241"/>
      <c r="Y1687" s="284"/>
      <c r="Z1687" s="207"/>
      <c r="AA1687" s="284"/>
      <c r="AB1687" s="284"/>
      <c r="AC1687" s="137"/>
      <c r="AD1687" s="284"/>
      <c r="AE1687" s="299"/>
      <c r="AF1687" s="299"/>
      <c r="AG1687" s="284"/>
    </row>
    <row r="1688" spans="2:33">
      <c r="B1688" s="86"/>
      <c r="C1688" s="84"/>
      <c r="D1688" s="86"/>
      <c r="E1688" s="84"/>
      <c r="F1688" s="284"/>
      <c r="G1688" s="49"/>
      <c r="H1688" s="284"/>
      <c r="I1688" s="74"/>
      <c r="J1688" s="371"/>
      <c r="K1688" s="77"/>
      <c r="L1688" s="160"/>
      <c r="M1688" s="388"/>
      <c r="N1688" s="375"/>
      <c r="O1688" s="370"/>
      <c r="T1688" s="340"/>
      <c r="W1688" s="113"/>
      <c r="X1688" s="241"/>
      <c r="Y1688" s="284"/>
      <c r="Z1688" s="207"/>
      <c r="AA1688" s="284"/>
      <c r="AB1688" s="284"/>
      <c r="AC1688" s="137"/>
      <c r="AD1688" s="284"/>
      <c r="AE1688" s="299"/>
      <c r="AF1688" s="299"/>
      <c r="AG1688" s="284"/>
    </row>
    <row r="1689" spans="2:33">
      <c r="B1689" s="86"/>
      <c r="C1689" s="84"/>
      <c r="D1689" s="86"/>
      <c r="E1689" s="84"/>
      <c r="F1689" s="284"/>
      <c r="G1689" s="49"/>
      <c r="H1689" s="284"/>
      <c r="I1689" s="74"/>
      <c r="J1689" s="371"/>
      <c r="K1689" s="77"/>
      <c r="L1689" s="160"/>
      <c r="M1689" s="388"/>
      <c r="N1689" s="375"/>
      <c r="O1689" s="370"/>
      <c r="T1689" s="340"/>
      <c r="W1689" s="113"/>
      <c r="X1689" s="241"/>
      <c r="Y1689" s="284"/>
      <c r="Z1689" s="207"/>
      <c r="AA1689" s="284"/>
      <c r="AB1689" s="284"/>
      <c r="AC1689" s="137"/>
      <c r="AD1689" s="284"/>
      <c r="AE1689" s="299"/>
      <c r="AF1689" s="299"/>
      <c r="AG1689" s="284"/>
    </row>
    <row r="1690" spans="2:33">
      <c r="B1690" s="86"/>
      <c r="C1690" s="84"/>
      <c r="D1690" s="86"/>
      <c r="E1690" s="84"/>
      <c r="F1690" s="284"/>
      <c r="G1690" s="49"/>
      <c r="H1690" s="284"/>
      <c r="I1690" s="74"/>
      <c r="J1690" s="371"/>
      <c r="K1690" s="77"/>
      <c r="L1690" s="160"/>
      <c r="M1690" s="388"/>
      <c r="N1690" s="375"/>
      <c r="O1690" s="370"/>
      <c r="T1690" s="340"/>
      <c r="W1690" s="113"/>
      <c r="X1690" s="241"/>
      <c r="Y1690" s="284"/>
      <c r="Z1690" s="207"/>
      <c r="AA1690" s="284"/>
      <c r="AB1690" s="284"/>
      <c r="AC1690" s="137"/>
      <c r="AD1690" s="284"/>
      <c r="AE1690" s="299"/>
      <c r="AF1690" s="299"/>
      <c r="AG1690" s="284"/>
    </row>
    <row r="1691" spans="2:33">
      <c r="B1691" s="86"/>
      <c r="C1691" s="84"/>
      <c r="D1691" s="86"/>
      <c r="E1691" s="84"/>
      <c r="F1691" s="284"/>
      <c r="G1691" s="49"/>
      <c r="H1691" s="284"/>
      <c r="I1691" s="74"/>
      <c r="J1691" s="371"/>
      <c r="K1691" s="77"/>
      <c r="L1691" s="160"/>
      <c r="M1691" s="388"/>
      <c r="N1691" s="375"/>
      <c r="O1691" s="370"/>
      <c r="T1691" s="340"/>
      <c r="W1691" s="113"/>
      <c r="X1691" s="241"/>
      <c r="Y1691" s="284"/>
      <c r="Z1691" s="207"/>
      <c r="AA1691" s="284"/>
      <c r="AB1691" s="284"/>
      <c r="AC1691" s="137"/>
      <c r="AD1691" s="284"/>
      <c r="AE1691" s="299"/>
      <c r="AF1691" s="299"/>
      <c r="AG1691" s="284"/>
    </row>
    <row r="1692" spans="2:33">
      <c r="B1692" s="86"/>
      <c r="C1692" s="84"/>
      <c r="D1692" s="86"/>
      <c r="E1692" s="84"/>
      <c r="F1692" s="284"/>
      <c r="G1692" s="49"/>
      <c r="H1692" s="284"/>
      <c r="I1692" s="74"/>
      <c r="J1692" s="371"/>
      <c r="K1692" s="77"/>
      <c r="L1692" s="160"/>
      <c r="M1692" s="388"/>
      <c r="N1692" s="375"/>
      <c r="O1692" s="370"/>
      <c r="T1692" s="340"/>
      <c r="W1692" s="113"/>
      <c r="X1692" s="241"/>
      <c r="Y1692" s="284"/>
      <c r="Z1692" s="207"/>
      <c r="AA1692" s="284"/>
      <c r="AB1692" s="284"/>
      <c r="AC1692" s="137"/>
      <c r="AD1692" s="284"/>
      <c r="AE1692" s="299"/>
      <c r="AF1692" s="299"/>
      <c r="AG1692" s="284"/>
    </row>
    <row r="1693" spans="2:33">
      <c r="B1693" s="86"/>
      <c r="C1693" s="84"/>
      <c r="D1693" s="86"/>
      <c r="E1693" s="84"/>
      <c r="F1693" s="284"/>
      <c r="G1693" s="49"/>
      <c r="H1693" s="284"/>
      <c r="I1693" s="74"/>
      <c r="J1693" s="371"/>
      <c r="K1693" s="77"/>
      <c r="L1693" s="160"/>
      <c r="M1693" s="388"/>
      <c r="N1693" s="375"/>
      <c r="O1693" s="370"/>
      <c r="T1693" s="340"/>
      <c r="W1693" s="113"/>
      <c r="X1693" s="241"/>
      <c r="Y1693" s="284"/>
      <c r="Z1693" s="207"/>
      <c r="AA1693" s="284"/>
      <c r="AB1693" s="284"/>
      <c r="AC1693" s="137"/>
      <c r="AD1693" s="284"/>
      <c r="AE1693" s="299"/>
      <c r="AF1693" s="299"/>
      <c r="AG1693" s="284"/>
    </row>
    <row r="1694" spans="2:33">
      <c r="B1694" s="86"/>
      <c r="C1694" s="84"/>
      <c r="D1694" s="86"/>
      <c r="E1694" s="84"/>
      <c r="F1694" s="284"/>
      <c r="G1694" s="49"/>
      <c r="H1694" s="284"/>
      <c r="I1694" s="74"/>
      <c r="J1694" s="371"/>
      <c r="K1694" s="77"/>
      <c r="L1694" s="160"/>
      <c r="M1694" s="388"/>
      <c r="N1694" s="375"/>
      <c r="O1694" s="370"/>
      <c r="T1694" s="340"/>
      <c r="W1694" s="113"/>
      <c r="X1694" s="241"/>
      <c r="Y1694" s="284"/>
      <c r="Z1694" s="207"/>
      <c r="AA1694" s="284"/>
      <c r="AB1694" s="284"/>
      <c r="AC1694" s="137"/>
      <c r="AD1694" s="284"/>
      <c r="AE1694" s="299"/>
      <c r="AF1694" s="299"/>
      <c r="AG1694" s="284"/>
    </row>
    <row r="1695" spans="2:33">
      <c r="B1695" s="86"/>
      <c r="C1695" s="84"/>
      <c r="D1695" s="86"/>
      <c r="E1695" s="84"/>
      <c r="F1695" s="284"/>
      <c r="G1695" s="49"/>
      <c r="H1695" s="284"/>
      <c r="I1695" s="74"/>
      <c r="J1695" s="371"/>
      <c r="K1695" s="77"/>
      <c r="L1695" s="160"/>
      <c r="M1695" s="388"/>
      <c r="N1695" s="375"/>
      <c r="O1695" s="370"/>
      <c r="T1695" s="340"/>
      <c r="W1695" s="113"/>
      <c r="X1695" s="241"/>
      <c r="Y1695" s="284"/>
      <c r="Z1695" s="207"/>
      <c r="AA1695" s="284"/>
      <c r="AB1695" s="284"/>
      <c r="AC1695" s="137"/>
      <c r="AD1695" s="284"/>
      <c r="AE1695" s="299"/>
      <c r="AF1695" s="299"/>
      <c r="AG1695" s="284"/>
    </row>
    <row r="1696" spans="2:33">
      <c r="B1696" s="86"/>
      <c r="C1696" s="84"/>
      <c r="D1696" s="86"/>
      <c r="E1696" s="84"/>
      <c r="F1696" s="284"/>
      <c r="G1696" s="49"/>
      <c r="H1696" s="284"/>
      <c r="I1696" s="74"/>
      <c r="J1696" s="371"/>
      <c r="K1696" s="77"/>
      <c r="L1696" s="160"/>
      <c r="M1696" s="388"/>
      <c r="N1696" s="375"/>
      <c r="O1696" s="370"/>
      <c r="T1696" s="340"/>
      <c r="W1696" s="113"/>
      <c r="X1696" s="241"/>
      <c r="Y1696" s="284"/>
      <c r="Z1696" s="207"/>
      <c r="AA1696" s="284"/>
      <c r="AB1696" s="284"/>
      <c r="AC1696" s="137"/>
      <c r="AD1696" s="284"/>
      <c r="AE1696" s="299"/>
      <c r="AF1696" s="299"/>
      <c r="AG1696" s="284"/>
    </row>
    <row r="1697" spans="2:33">
      <c r="B1697" s="86"/>
      <c r="C1697" s="84"/>
      <c r="D1697" s="86"/>
      <c r="E1697" s="84"/>
      <c r="F1697" s="284"/>
      <c r="G1697" s="49"/>
      <c r="H1697" s="284"/>
      <c r="I1697" s="74"/>
      <c r="J1697" s="371"/>
      <c r="K1697" s="77"/>
      <c r="L1697" s="160"/>
      <c r="M1697" s="388"/>
      <c r="N1697" s="375"/>
      <c r="O1697" s="370"/>
      <c r="T1697" s="340"/>
      <c r="W1697" s="113"/>
      <c r="X1697" s="241"/>
      <c r="Y1697" s="284"/>
      <c r="Z1697" s="207"/>
      <c r="AA1697" s="284"/>
      <c r="AB1697" s="284"/>
      <c r="AC1697" s="137"/>
      <c r="AD1697" s="284"/>
      <c r="AE1697" s="299"/>
      <c r="AF1697" s="299"/>
      <c r="AG1697" s="284"/>
    </row>
    <row r="1698" spans="2:33">
      <c r="B1698" s="86"/>
      <c r="C1698" s="84"/>
      <c r="D1698" s="86"/>
      <c r="E1698" s="84"/>
      <c r="F1698" s="284"/>
      <c r="G1698" s="49"/>
      <c r="H1698" s="284"/>
      <c r="I1698" s="74"/>
      <c r="J1698" s="371"/>
      <c r="K1698" s="77"/>
      <c r="L1698" s="160"/>
      <c r="M1698" s="388"/>
      <c r="N1698" s="375"/>
      <c r="O1698" s="370"/>
      <c r="T1698" s="340"/>
      <c r="W1698" s="113"/>
      <c r="X1698" s="241"/>
      <c r="Y1698" s="284"/>
      <c r="Z1698" s="207"/>
      <c r="AA1698" s="284"/>
      <c r="AB1698" s="284"/>
      <c r="AC1698" s="137"/>
      <c r="AD1698" s="284"/>
      <c r="AE1698" s="299"/>
      <c r="AF1698" s="299"/>
      <c r="AG1698" s="284"/>
    </row>
    <row r="1699" spans="2:33">
      <c r="B1699" s="86"/>
      <c r="C1699" s="84"/>
      <c r="D1699" s="86"/>
      <c r="E1699" s="84"/>
      <c r="F1699" s="284"/>
      <c r="G1699" s="49"/>
      <c r="H1699" s="284"/>
      <c r="I1699" s="74"/>
      <c r="J1699" s="371"/>
      <c r="K1699" s="77"/>
      <c r="L1699" s="160"/>
      <c r="M1699" s="388"/>
      <c r="N1699" s="375"/>
      <c r="O1699" s="370"/>
      <c r="T1699" s="340"/>
      <c r="W1699" s="113"/>
      <c r="X1699" s="241"/>
      <c r="Y1699" s="284"/>
      <c r="Z1699" s="207"/>
      <c r="AA1699" s="284"/>
      <c r="AB1699" s="284"/>
      <c r="AC1699" s="137"/>
      <c r="AD1699" s="284"/>
      <c r="AE1699" s="299"/>
      <c r="AF1699" s="299"/>
      <c r="AG1699" s="284"/>
    </row>
    <row r="1700" spans="2:33">
      <c r="B1700" s="86"/>
      <c r="C1700" s="84"/>
      <c r="D1700" s="86"/>
      <c r="E1700" s="84"/>
      <c r="F1700" s="284"/>
      <c r="G1700" s="49"/>
      <c r="H1700" s="284"/>
      <c r="I1700" s="74"/>
      <c r="J1700" s="371"/>
      <c r="K1700" s="77"/>
      <c r="L1700" s="160"/>
      <c r="M1700" s="388"/>
      <c r="N1700" s="375"/>
      <c r="O1700" s="370"/>
      <c r="T1700" s="340"/>
      <c r="W1700" s="113"/>
      <c r="X1700" s="241"/>
      <c r="Y1700" s="284"/>
      <c r="Z1700" s="207"/>
      <c r="AA1700" s="284"/>
      <c r="AB1700" s="284"/>
      <c r="AC1700" s="137"/>
      <c r="AD1700" s="284"/>
      <c r="AE1700" s="299"/>
      <c r="AF1700" s="299"/>
      <c r="AG1700" s="284"/>
    </row>
    <row r="1701" spans="2:33">
      <c r="B1701" s="86"/>
      <c r="C1701" s="84"/>
      <c r="D1701" s="86"/>
      <c r="E1701" s="84"/>
      <c r="F1701" s="284"/>
      <c r="G1701" s="49"/>
      <c r="H1701" s="284"/>
      <c r="I1701" s="74"/>
      <c r="J1701" s="371"/>
      <c r="K1701" s="77"/>
      <c r="L1701" s="160"/>
      <c r="M1701" s="388"/>
      <c r="N1701" s="375"/>
      <c r="O1701" s="370"/>
      <c r="T1701" s="340"/>
      <c r="W1701" s="113"/>
      <c r="X1701" s="241"/>
      <c r="Y1701" s="284"/>
      <c r="Z1701" s="207"/>
      <c r="AA1701" s="284"/>
      <c r="AB1701" s="284"/>
      <c r="AC1701" s="137"/>
      <c r="AD1701" s="284"/>
      <c r="AE1701" s="299"/>
      <c r="AF1701" s="299"/>
      <c r="AG1701" s="284"/>
    </row>
    <row r="1702" spans="2:33">
      <c r="B1702" s="86"/>
      <c r="C1702" s="84"/>
      <c r="D1702" s="86"/>
      <c r="E1702" s="84"/>
      <c r="F1702" s="284"/>
      <c r="G1702" s="49"/>
      <c r="H1702" s="284"/>
      <c r="I1702" s="74"/>
      <c r="J1702" s="371"/>
      <c r="K1702" s="77"/>
      <c r="L1702" s="160"/>
      <c r="M1702" s="388"/>
      <c r="N1702" s="375"/>
      <c r="O1702" s="370"/>
      <c r="T1702" s="340"/>
      <c r="W1702" s="113"/>
      <c r="X1702" s="241"/>
      <c r="Y1702" s="284"/>
      <c r="Z1702" s="207"/>
      <c r="AA1702" s="284"/>
      <c r="AB1702" s="284"/>
      <c r="AC1702" s="137"/>
      <c r="AD1702" s="284"/>
      <c r="AE1702" s="299"/>
      <c r="AF1702" s="299"/>
      <c r="AG1702" s="284"/>
    </row>
    <row r="1703" spans="2:33">
      <c r="B1703" s="86"/>
      <c r="C1703" s="84"/>
      <c r="D1703" s="86"/>
      <c r="E1703" s="84"/>
      <c r="F1703" s="284"/>
      <c r="G1703" s="49"/>
      <c r="H1703" s="284"/>
      <c r="I1703" s="74"/>
      <c r="J1703" s="371"/>
      <c r="K1703" s="77"/>
      <c r="L1703" s="160"/>
      <c r="M1703" s="388"/>
      <c r="N1703" s="375"/>
      <c r="O1703" s="370"/>
      <c r="T1703" s="340"/>
      <c r="W1703" s="113"/>
      <c r="X1703" s="241"/>
      <c r="Y1703" s="284"/>
      <c r="Z1703" s="207"/>
      <c r="AA1703" s="284"/>
      <c r="AB1703" s="284"/>
      <c r="AC1703" s="137"/>
      <c r="AD1703" s="284"/>
      <c r="AE1703" s="299"/>
      <c r="AF1703" s="299"/>
      <c r="AG1703" s="284"/>
    </row>
    <row r="1704" spans="2:33">
      <c r="B1704" s="86"/>
      <c r="C1704" s="84"/>
      <c r="D1704" s="86"/>
      <c r="E1704" s="84"/>
      <c r="F1704" s="284"/>
      <c r="G1704" s="49"/>
      <c r="H1704" s="284"/>
      <c r="I1704" s="74"/>
      <c r="J1704" s="371"/>
      <c r="K1704" s="77"/>
      <c r="L1704" s="160"/>
      <c r="M1704" s="388"/>
      <c r="N1704" s="375"/>
      <c r="O1704" s="370"/>
      <c r="T1704" s="340"/>
      <c r="W1704" s="113"/>
      <c r="X1704" s="241"/>
      <c r="Y1704" s="284"/>
      <c r="Z1704" s="207"/>
      <c r="AA1704" s="284"/>
      <c r="AB1704" s="284"/>
      <c r="AC1704" s="137"/>
      <c r="AD1704" s="284"/>
      <c r="AE1704" s="299"/>
      <c r="AF1704" s="299"/>
      <c r="AG1704" s="284"/>
    </row>
    <row r="1705" spans="2:33">
      <c r="B1705" s="86"/>
      <c r="C1705" s="84"/>
      <c r="D1705" s="86"/>
      <c r="E1705" s="84"/>
      <c r="F1705" s="284"/>
      <c r="G1705" s="49"/>
      <c r="H1705" s="284"/>
      <c r="I1705" s="74"/>
      <c r="J1705" s="371"/>
      <c r="K1705" s="77"/>
      <c r="L1705" s="160"/>
      <c r="M1705" s="388"/>
      <c r="N1705" s="375"/>
      <c r="O1705" s="370"/>
      <c r="T1705" s="340"/>
      <c r="W1705" s="113"/>
      <c r="X1705" s="241"/>
      <c r="Y1705" s="284"/>
      <c r="Z1705" s="207"/>
      <c r="AA1705" s="284"/>
      <c r="AB1705" s="284"/>
      <c r="AC1705" s="137"/>
      <c r="AD1705" s="284"/>
      <c r="AE1705" s="299"/>
      <c r="AF1705" s="299"/>
      <c r="AG1705" s="284"/>
    </row>
    <row r="1706" spans="2:33">
      <c r="B1706" s="86"/>
      <c r="C1706" s="84"/>
      <c r="D1706" s="86"/>
      <c r="E1706" s="84"/>
      <c r="F1706" s="284"/>
      <c r="G1706" s="49"/>
      <c r="H1706" s="284"/>
      <c r="I1706" s="74"/>
      <c r="J1706" s="371"/>
      <c r="K1706" s="77"/>
      <c r="L1706" s="160"/>
      <c r="M1706" s="388"/>
      <c r="N1706" s="375"/>
      <c r="O1706" s="370"/>
      <c r="T1706" s="340"/>
      <c r="W1706" s="113"/>
      <c r="X1706" s="241"/>
      <c r="Y1706" s="284"/>
      <c r="Z1706" s="207"/>
      <c r="AA1706" s="284"/>
      <c r="AB1706" s="284"/>
      <c r="AC1706" s="137"/>
      <c r="AD1706" s="284"/>
      <c r="AE1706" s="299"/>
      <c r="AF1706" s="299"/>
      <c r="AG1706" s="284"/>
    </row>
    <row r="1707" spans="2:33">
      <c r="B1707" s="86"/>
      <c r="C1707" s="84"/>
      <c r="D1707" s="86"/>
      <c r="E1707" s="84"/>
      <c r="F1707" s="284"/>
      <c r="G1707" s="49"/>
      <c r="H1707" s="284"/>
      <c r="I1707" s="74"/>
      <c r="J1707" s="371"/>
      <c r="K1707" s="77"/>
      <c r="L1707" s="160"/>
      <c r="M1707" s="388"/>
      <c r="N1707" s="375"/>
      <c r="O1707" s="370"/>
      <c r="T1707" s="340"/>
      <c r="W1707" s="113"/>
      <c r="X1707" s="241"/>
      <c r="Y1707" s="284"/>
      <c r="Z1707" s="207"/>
      <c r="AA1707" s="284"/>
      <c r="AB1707" s="284"/>
      <c r="AC1707" s="137"/>
      <c r="AD1707" s="284"/>
      <c r="AE1707" s="299"/>
      <c r="AF1707" s="299"/>
      <c r="AG1707" s="284"/>
    </row>
    <row r="1708" spans="2:33">
      <c r="B1708" s="86"/>
      <c r="C1708" s="84"/>
      <c r="D1708" s="86"/>
      <c r="E1708" s="84"/>
      <c r="F1708" s="284"/>
      <c r="G1708" s="49"/>
      <c r="H1708" s="284"/>
      <c r="I1708" s="74"/>
      <c r="J1708" s="371"/>
      <c r="K1708" s="77"/>
      <c r="L1708" s="160"/>
      <c r="M1708" s="388"/>
      <c r="N1708" s="375"/>
      <c r="O1708" s="370"/>
      <c r="T1708" s="340"/>
      <c r="W1708" s="113"/>
      <c r="X1708" s="241"/>
      <c r="Y1708" s="284"/>
      <c r="Z1708" s="207"/>
      <c r="AA1708" s="284"/>
      <c r="AB1708" s="284"/>
      <c r="AC1708" s="137"/>
      <c r="AD1708" s="284"/>
      <c r="AE1708" s="299"/>
      <c r="AF1708" s="299"/>
      <c r="AG1708" s="284"/>
    </row>
    <row r="1709" spans="2:33">
      <c r="B1709" s="86"/>
      <c r="C1709" s="84"/>
      <c r="D1709" s="86"/>
      <c r="E1709" s="84"/>
      <c r="F1709" s="284"/>
      <c r="G1709" s="49"/>
      <c r="H1709" s="284"/>
      <c r="I1709" s="74"/>
      <c r="J1709" s="371"/>
      <c r="K1709" s="77"/>
      <c r="L1709" s="160"/>
      <c r="M1709" s="388"/>
      <c r="N1709" s="375"/>
      <c r="O1709" s="370"/>
      <c r="T1709" s="340"/>
      <c r="W1709" s="113"/>
      <c r="X1709" s="241"/>
      <c r="Y1709" s="284"/>
      <c r="Z1709" s="207"/>
      <c r="AA1709" s="284"/>
      <c r="AB1709" s="284"/>
      <c r="AC1709" s="137"/>
      <c r="AD1709" s="284"/>
      <c r="AE1709" s="299"/>
      <c r="AF1709" s="299"/>
      <c r="AG1709" s="284"/>
    </row>
    <row r="1710" spans="2:33">
      <c r="B1710" s="86"/>
      <c r="C1710" s="84"/>
      <c r="D1710" s="86"/>
      <c r="E1710" s="84"/>
      <c r="F1710" s="284"/>
      <c r="G1710" s="49"/>
      <c r="H1710" s="284"/>
      <c r="I1710" s="74"/>
      <c r="J1710" s="371"/>
      <c r="K1710" s="77"/>
      <c r="L1710" s="160"/>
      <c r="M1710" s="388"/>
      <c r="N1710" s="375"/>
      <c r="O1710" s="370"/>
      <c r="T1710" s="340"/>
      <c r="W1710" s="113"/>
      <c r="X1710" s="241"/>
      <c r="Y1710" s="284"/>
      <c r="Z1710" s="207"/>
      <c r="AA1710" s="284"/>
      <c r="AB1710" s="284"/>
      <c r="AC1710" s="137"/>
      <c r="AD1710" s="284"/>
      <c r="AE1710" s="299"/>
      <c r="AF1710" s="299"/>
      <c r="AG1710" s="284"/>
    </row>
    <row r="1711" spans="2:33">
      <c r="B1711" s="86"/>
      <c r="C1711" s="84"/>
      <c r="D1711" s="86"/>
      <c r="E1711" s="84"/>
      <c r="F1711" s="284"/>
      <c r="G1711" s="49"/>
      <c r="H1711" s="284"/>
      <c r="I1711" s="74"/>
      <c r="J1711" s="371"/>
      <c r="K1711" s="77"/>
      <c r="L1711" s="160"/>
      <c r="M1711" s="388"/>
      <c r="N1711" s="375"/>
      <c r="O1711" s="370"/>
      <c r="T1711" s="340"/>
      <c r="W1711" s="113"/>
      <c r="X1711" s="241"/>
      <c r="Y1711" s="284"/>
      <c r="Z1711" s="207"/>
      <c r="AA1711" s="284"/>
      <c r="AB1711" s="284"/>
      <c r="AC1711" s="137"/>
      <c r="AD1711" s="284"/>
      <c r="AE1711" s="299"/>
      <c r="AF1711" s="299"/>
      <c r="AG1711" s="284"/>
    </row>
    <row r="1712" spans="2:33">
      <c r="B1712" s="86"/>
      <c r="C1712" s="84"/>
      <c r="D1712" s="86"/>
      <c r="E1712" s="84"/>
      <c r="F1712" s="284"/>
      <c r="G1712" s="49"/>
      <c r="H1712" s="284"/>
      <c r="I1712" s="74"/>
      <c r="J1712" s="371"/>
      <c r="K1712" s="77"/>
      <c r="L1712" s="160"/>
      <c r="M1712" s="388"/>
      <c r="N1712" s="375"/>
      <c r="O1712" s="370"/>
      <c r="T1712" s="340"/>
      <c r="W1712" s="113"/>
      <c r="X1712" s="241"/>
      <c r="Y1712" s="284"/>
      <c r="Z1712" s="207"/>
      <c r="AA1712" s="284"/>
      <c r="AB1712" s="284"/>
      <c r="AC1712" s="137"/>
      <c r="AD1712" s="284"/>
      <c r="AE1712" s="299"/>
      <c r="AF1712" s="299"/>
      <c r="AG1712" s="284"/>
    </row>
    <row r="1713" spans="2:33">
      <c r="B1713" s="86"/>
      <c r="C1713" s="84"/>
      <c r="D1713" s="86"/>
      <c r="E1713" s="84"/>
      <c r="F1713" s="284"/>
      <c r="G1713" s="49"/>
      <c r="H1713" s="284"/>
      <c r="I1713" s="74"/>
      <c r="J1713" s="371"/>
      <c r="K1713" s="77"/>
      <c r="L1713" s="160"/>
      <c r="M1713" s="388"/>
      <c r="N1713" s="375"/>
      <c r="O1713" s="370"/>
      <c r="T1713" s="340"/>
      <c r="W1713" s="113"/>
      <c r="X1713" s="241"/>
      <c r="Y1713" s="284"/>
      <c r="Z1713" s="207"/>
      <c r="AA1713" s="284"/>
      <c r="AB1713" s="284"/>
      <c r="AC1713" s="137"/>
      <c r="AD1713" s="284"/>
      <c r="AE1713" s="299"/>
      <c r="AF1713" s="299"/>
      <c r="AG1713" s="284"/>
    </row>
    <row r="1714" spans="2:33">
      <c r="B1714" s="86"/>
      <c r="C1714" s="84"/>
      <c r="D1714" s="86"/>
      <c r="E1714" s="84"/>
      <c r="F1714" s="284"/>
      <c r="G1714" s="49"/>
      <c r="H1714" s="284"/>
      <c r="I1714" s="74"/>
      <c r="J1714" s="371"/>
      <c r="K1714" s="77"/>
      <c r="L1714" s="160"/>
      <c r="M1714" s="388"/>
      <c r="N1714" s="375"/>
      <c r="O1714" s="370"/>
      <c r="T1714" s="340"/>
      <c r="W1714" s="113"/>
      <c r="X1714" s="241"/>
      <c r="Y1714" s="284"/>
      <c r="Z1714" s="207"/>
      <c r="AA1714" s="284"/>
      <c r="AB1714" s="284"/>
      <c r="AC1714" s="137"/>
      <c r="AD1714" s="284"/>
      <c r="AE1714" s="299"/>
      <c r="AF1714" s="299"/>
      <c r="AG1714" s="284"/>
    </row>
    <row r="1715" spans="2:33">
      <c r="B1715" s="86"/>
      <c r="C1715" s="84"/>
      <c r="D1715" s="86"/>
      <c r="E1715" s="84"/>
      <c r="F1715" s="284"/>
      <c r="G1715" s="49"/>
      <c r="H1715" s="284"/>
      <c r="I1715" s="74"/>
      <c r="J1715" s="371"/>
      <c r="K1715" s="77"/>
      <c r="L1715" s="160"/>
      <c r="M1715" s="388"/>
      <c r="N1715" s="375"/>
      <c r="O1715" s="370"/>
      <c r="T1715" s="340"/>
      <c r="W1715" s="113"/>
      <c r="X1715" s="241"/>
      <c r="Y1715" s="284"/>
      <c r="Z1715" s="207"/>
      <c r="AA1715" s="284"/>
      <c r="AB1715" s="284"/>
      <c r="AC1715" s="137"/>
      <c r="AD1715" s="284"/>
      <c r="AE1715" s="299"/>
      <c r="AF1715" s="299"/>
      <c r="AG1715" s="284"/>
    </row>
    <row r="1716" spans="2:33">
      <c r="B1716" s="86"/>
      <c r="C1716" s="84"/>
      <c r="D1716" s="86"/>
      <c r="E1716" s="84"/>
      <c r="F1716" s="284"/>
      <c r="G1716" s="49"/>
      <c r="H1716" s="284"/>
      <c r="I1716" s="74"/>
      <c r="J1716" s="371"/>
      <c r="K1716" s="77"/>
      <c r="L1716" s="160"/>
      <c r="M1716" s="388"/>
      <c r="N1716" s="375"/>
      <c r="O1716" s="370"/>
      <c r="T1716" s="340"/>
      <c r="W1716" s="113"/>
      <c r="X1716" s="241"/>
      <c r="Y1716" s="284"/>
      <c r="Z1716" s="207"/>
      <c r="AA1716" s="284"/>
      <c r="AB1716" s="284"/>
      <c r="AC1716" s="137"/>
      <c r="AD1716" s="284"/>
      <c r="AE1716" s="299"/>
      <c r="AF1716" s="299"/>
      <c r="AG1716" s="284"/>
    </row>
    <row r="1717" spans="2:33">
      <c r="B1717" s="86"/>
      <c r="C1717" s="84"/>
      <c r="D1717" s="86"/>
      <c r="E1717" s="84"/>
      <c r="F1717" s="284"/>
      <c r="G1717" s="49"/>
      <c r="H1717" s="284"/>
      <c r="I1717" s="74"/>
      <c r="J1717" s="371"/>
      <c r="K1717" s="77"/>
      <c r="L1717" s="160"/>
      <c r="M1717" s="388"/>
      <c r="N1717" s="375"/>
      <c r="O1717" s="370"/>
      <c r="T1717" s="340"/>
      <c r="W1717" s="113"/>
      <c r="X1717" s="241"/>
      <c r="Y1717" s="284"/>
      <c r="Z1717" s="207"/>
      <c r="AA1717" s="284"/>
      <c r="AB1717" s="284"/>
      <c r="AC1717" s="137"/>
      <c r="AD1717" s="284"/>
      <c r="AE1717" s="299"/>
      <c r="AF1717" s="299"/>
      <c r="AG1717" s="284"/>
    </row>
    <row r="1718" spans="2:33">
      <c r="B1718" s="86"/>
      <c r="C1718" s="84"/>
      <c r="D1718" s="86"/>
      <c r="E1718" s="84"/>
      <c r="F1718" s="284"/>
      <c r="G1718" s="49"/>
      <c r="H1718" s="284"/>
      <c r="I1718" s="74"/>
      <c r="J1718" s="371"/>
      <c r="K1718" s="77"/>
      <c r="L1718" s="160"/>
      <c r="M1718" s="388"/>
      <c r="N1718" s="375"/>
      <c r="O1718" s="370"/>
      <c r="T1718" s="340"/>
      <c r="W1718" s="113"/>
      <c r="X1718" s="241"/>
      <c r="Y1718" s="284"/>
      <c r="Z1718" s="207"/>
      <c r="AA1718" s="284"/>
      <c r="AB1718" s="284"/>
      <c r="AC1718" s="137"/>
      <c r="AD1718" s="284"/>
      <c r="AE1718" s="299"/>
      <c r="AF1718" s="299"/>
      <c r="AG1718" s="284"/>
    </row>
    <row r="1719" spans="2:33">
      <c r="B1719" s="86"/>
      <c r="C1719" s="84"/>
      <c r="D1719" s="86"/>
      <c r="E1719" s="84"/>
      <c r="F1719" s="284"/>
      <c r="G1719" s="49"/>
      <c r="H1719" s="284"/>
      <c r="I1719" s="74"/>
      <c r="J1719" s="371"/>
      <c r="K1719" s="77"/>
      <c r="L1719" s="160"/>
      <c r="M1719" s="388"/>
      <c r="N1719" s="375"/>
      <c r="O1719" s="370"/>
      <c r="T1719" s="340"/>
      <c r="W1719" s="113"/>
      <c r="X1719" s="241"/>
      <c r="Y1719" s="284"/>
      <c r="Z1719" s="207"/>
      <c r="AA1719" s="284"/>
      <c r="AB1719" s="284"/>
      <c r="AC1719" s="137"/>
      <c r="AD1719" s="284"/>
      <c r="AE1719" s="299"/>
      <c r="AF1719" s="299"/>
      <c r="AG1719" s="284"/>
    </row>
    <row r="1720" spans="2:33">
      <c r="B1720" s="86"/>
      <c r="C1720" s="84"/>
      <c r="D1720" s="86"/>
      <c r="E1720" s="84"/>
      <c r="F1720" s="284"/>
      <c r="G1720" s="49"/>
      <c r="H1720" s="284"/>
      <c r="I1720" s="74"/>
      <c r="J1720" s="371"/>
      <c r="K1720" s="77"/>
      <c r="L1720" s="160"/>
      <c r="M1720" s="388"/>
      <c r="N1720" s="375"/>
      <c r="O1720" s="370"/>
      <c r="T1720" s="340"/>
      <c r="W1720" s="113"/>
      <c r="X1720" s="241"/>
      <c r="Y1720" s="284"/>
      <c r="Z1720" s="207"/>
      <c r="AA1720" s="284"/>
      <c r="AB1720" s="284"/>
      <c r="AC1720" s="137"/>
      <c r="AD1720" s="284"/>
      <c r="AE1720" s="299"/>
      <c r="AF1720" s="299"/>
      <c r="AG1720" s="284"/>
    </row>
    <row r="1721" spans="2:33">
      <c r="B1721" s="86"/>
      <c r="C1721" s="84"/>
      <c r="D1721" s="86"/>
      <c r="E1721" s="84"/>
      <c r="F1721" s="284"/>
      <c r="G1721" s="49"/>
      <c r="H1721" s="284"/>
      <c r="I1721" s="74"/>
      <c r="J1721" s="371"/>
      <c r="K1721" s="77"/>
      <c r="L1721" s="160"/>
      <c r="M1721" s="388"/>
      <c r="N1721" s="375"/>
      <c r="O1721" s="370"/>
      <c r="T1721" s="340"/>
      <c r="W1721" s="113"/>
      <c r="X1721" s="241"/>
      <c r="Y1721" s="284"/>
      <c r="Z1721" s="207"/>
      <c r="AA1721" s="284"/>
      <c r="AB1721" s="284"/>
      <c r="AC1721" s="137"/>
      <c r="AD1721" s="284"/>
      <c r="AE1721" s="299"/>
      <c r="AF1721" s="299"/>
      <c r="AG1721" s="284"/>
    </row>
    <row r="1722" spans="2:33">
      <c r="B1722" s="86"/>
      <c r="C1722" s="84"/>
      <c r="D1722" s="86"/>
      <c r="E1722" s="84"/>
      <c r="F1722" s="284"/>
      <c r="G1722" s="49"/>
      <c r="H1722" s="284"/>
      <c r="I1722" s="74"/>
      <c r="J1722" s="371"/>
      <c r="K1722" s="77"/>
      <c r="L1722" s="160"/>
      <c r="M1722" s="388"/>
      <c r="N1722" s="375"/>
      <c r="O1722" s="370"/>
      <c r="T1722" s="340"/>
      <c r="W1722" s="113"/>
      <c r="X1722" s="241"/>
      <c r="Y1722" s="284"/>
      <c r="Z1722" s="207"/>
      <c r="AA1722" s="284"/>
      <c r="AB1722" s="284"/>
      <c r="AC1722" s="137"/>
      <c r="AD1722" s="284"/>
      <c r="AE1722" s="299"/>
      <c r="AF1722" s="299"/>
      <c r="AG1722" s="284"/>
    </row>
    <row r="1723" spans="2:33">
      <c r="B1723" s="86"/>
      <c r="C1723" s="84"/>
      <c r="D1723" s="86"/>
      <c r="E1723" s="84"/>
      <c r="F1723" s="284"/>
      <c r="G1723" s="49"/>
      <c r="H1723" s="284"/>
      <c r="I1723" s="74"/>
      <c r="J1723" s="371"/>
      <c r="K1723" s="77"/>
      <c r="L1723" s="160"/>
      <c r="M1723" s="388"/>
      <c r="N1723" s="375"/>
      <c r="O1723" s="370"/>
      <c r="T1723" s="340"/>
      <c r="W1723" s="113"/>
      <c r="X1723" s="241"/>
      <c r="Y1723" s="284"/>
      <c r="Z1723" s="207"/>
      <c r="AA1723" s="284"/>
      <c r="AB1723" s="284"/>
      <c r="AC1723" s="137"/>
      <c r="AD1723" s="284"/>
      <c r="AE1723" s="299"/>
      <c r="AF1723" s="299"/>
      <c r="AG1723" s="284"/>
    </row>
    <row r="1724" spans="2:33">
      <c r="B1724" s="86"/>
      <c r="C1724" s="84"/>
      <c r="D1724" s="86"/>
      <c r="E1724" s="84"/>
      <c r="F1724" s="284"/>
      <c r="G1724" s="49"/>
      <c r="H1724" s="284"/>
      <c r="I1724" s="74"/>
      <c r="J1724" s="371"/>
      <c r="K1724" s="77"/>
      <c r="L1724" s="160"/>
      <c r="M1724" s="388"/>
      <c r="N1724" s="375"/>
      <c r="O1724" s="370"/>
      <c r="T1724" s="340"/>
      <c r="W1724" s="113"/>
      <c r="X1724" s="241"/>
      <c r="Y1724" s="284"/>
      <c r="Z1724" s="207"/>
      <c r="AA1724" s="284"/>
      <c r="AB1724" s="284"/>
      <c r="AC1724" s="137"/>
      <c r="AD1724" s="284"/>
      <c r="AE1724" s="299"/>
      <c r="AF1724" s="299"/>
      <c r="AG1724" s="284"/>
    </row>
    <row r="1725" spans="2:33">
      <c r="B1725" s="86"/>
      <c r="C1725" s="84"/>
      <c r="D1725" s="86"/>
      <c r="E1725" s="84"/>
      <c r="F1725" s="284"/>
      <c r="G1725" s="49"/>
      <c r="H1725" s="284"/>
      <c r="I1725" s="74"/>
      <c r="J1725" s="371"/>
      <c r="K1725" s="77"/>
      <c r="L1725" s="160"/>
      <c r="M1725" s="388"/>
      <c r="N1725" s="375"/>
      <c r="O1725" s="370"/>
      <c r="T1725" s="340"/>
      <c r="W1725" s="113"/>
      <c r="X1725" s="241"/>
      <c r="Y1725" s="284"/>
      <c r="Z1725" s="207"/>
      <c r="AA1725" s="284"/>
      <c r="AB1725" s="284"/>
      <c r="AC1725" s="137"/>
      <c r="AD1725" s="284"/>
      <c r="AE1725" s="299"/>
      <c r="AF1725" s="299"/>
      <c r="AG1725" s="284"/>
    </row>
    <row r="1726" spans="2:33">
      <c r="B1726" s="86"/>
      <c r="C1726" s="84"/>
      <c r="D1726" s="86"/>
      <c r="E1726" s="84"/>
      <c r="F1726" s="284"/>
      <c r="G1726" s="49"/>
      <c r="H1726" s="284"/>
      <c r="I1726" s="74"/>
      <c r="J1726" s="371"/>
      <c r="K1726" s="77"/>
      <c r="L1726" s="160"/>
      <c r="M1726" s="388"/>
      <c r="N1726" s="375"/>
      <c r="O1726" s="370"/>
      <c r="T1726" s="340"/>
      <c r="W1726" s="113"/>
      <c r="X1726" s="241"/>
      <c r="Y1726" s="284"/>
      <c r="Z1726" s="207"/>
      <c r="AA1726" s="284"/>
      <c r="AB1726" s="284"/>
      <c r="AC1726" s="137"/>
      <c r="AD1726" s="284"/>
      <c r="AE1726" s="299"/>
      <c r="AF1726" s="299"/>
      <c r="AG1726" s="284"/>
    </row>
    <row r="1727" spans="2:33">
      <c r="B1727" s="86"/>
      <c r="C1727" s="84"/>
      <c r="D1727" s="86"/>
      <c r="E1727" s="84"/>
      <c r="F1727" s="284"/>
      <c r="G1727" s="49"/>
      <c r="H1727" s="284"/>
      <c r="I1727" s="74"/>
      <c r="J1727" s="371"/>
      <c r="K1727" s="77"/>
      <c r="L1727" s="160"/>
      <c r="M1727" s="388"/>
      <c r="N1727" s="375"/>
      <c r="O1727" s="370"/>
      <c r="T1727" s="340"/>
      <c r="W1727" s="113"/>
      <c r="X1727" s="241"/>
      <c r="Y1727" s="284"/>
      <c r="Z1727" s="207"/>
      <c r="AA1727" s="284"/>
      <c r="AB1727" s="284"/>
      <c r="AC1727" s="137"/>
      <c r="AD1727" s="284"/>
      <c r="AE1727" s="299"/>
      <c r="AF1727" s="299"/>
      <c r="AG1727" s="284"/>
    </row>
    <row r="1728" spans="2:33">
      <c r="B1728" s="86"/>
      <c r="C1728" s="84"/>
      <c r="D1728" s="86"/>
      <c r="E1728" s="84"/>
      <c r="F1728" s="284"/>
      <c r="G1728" s="49"/>
      <c r="H1728" s="284"/>
      <c r="I1728" s="74"/>
      <c r="J1728" s="371"/>
      <c r="K1728" s="77"/>
      <c r="L1728" s="160"/>
      <c r="M1728" s="388"/>
      <c r="N1728" s="375"/>
      <c r="O1728" s="370"/>
      <c r="T1728" s="340"/>
      <c r="W1728" s="113"/>
      <c r="X1728" s="241"/>
      <c r="Y1728" s="284"/>
      <c r="Z1728" s="207"/>
      <c r="AA1728" s="284"/>
      <c r="AB1728" s="284"/>
      <c r="AC1728" s="137"/>
      <c r="AD1728" s="284"/>
      <c r="AE1728" s="299"/>
      <c r="AF1728" s="299"/>
      <c r="AG1728" s="284"/>
    </row>
    <row r="1729" spans="2:33">
      <c r="B1729" s="86"/>
      <c r="C1729" s="84"/>
      <c r="D1729" s="86"/>
      <c r="E1729" s="84"/>
      <c r="F1729" s="284"/>
      <c r="G1729" s="49"/>
      <c r="H1729" s="284"/>
      <c r="I1729" s="74"/>
      <c r="J1729" s="371"/>
      <c r="K1729" s="77"/>
      <c r="L1729" s="160"/>
      <c r="M1729" s="388"/>
      <c r="N1729" s="375"/>
      <c r="O1729" s="370"/>
      <c r="T1729" s="340"/>
      <c r="W1729" s="113"/>
      <c r="X1729" s="241"/>
      <c r="Y1729" s="284"/>
      <c r="Z1729" s="207"/>
      <c r="AA1729" s="284"/>
      <c r="AB1729" s="284"/>
      <c r="AC1729" s="137"/>
      <c r="AD1729" s="284"/>
      <c r="AE1729" s="299"/>
      <c r="AF1729" s="299"/>
      <c r="AG1729" s="284"/>
    </row>
    <row r="1730" spans="2:33">
      <c r="B1730" s="86"/>
      <c r="C1730" s="84"/>
      <c r="D1730" s="86"/>
      <c r="E1730" s="84"/>
      <c r="F1730" s="284"/>
      <c r="G1730" s="49"/>
      <c r="H1730" s="284"/>
      <c r="I1730" s="74"/>
      <c r="J1730" s="371"/>
      <c r="K1730" s="77"/>
      <c r="L1730" s="160"/>
      <c r="M1730" s="388"/>
      <c r="N1730" s="375"/>
      <c r="O1730" s="370"/>
      <c r="T1730" s="340"/>
      <c r="W1730" s="113"/>
      <c r="X1730" s="241"/>
      <c r="Y1730" s="284"/>
      <c r="Z1730" s="207"/>
      <c r="AA1730" s="284"/>
      <c r="AB1730" s="284"/>
      <c r="AC1730" s="137"/>
      <c r="AD1730" s="284"/>
      <c r="AE1730" s="299"/>
      <c r="AF1730" s="299"/>
      <c r="AG1730" s="284"/>
    </row>
    <row r="1731" spans="2:33">
      <c r="B1731" s="86"/>
      <c r="C1731" s="84"/>
      <c r="D1731" s="86"/>
      <c r="E1731" s="84"/>
      <c r="F1731" s="284"/>
      <c r="G1731" s="49"/>
      <c r="H1731" s="284"/>
      <c r="I1731" s="74"/>
      <c r="J1731" s="371"/>
      <c r="K1731" s="77"/>
      <c r="L1731" s="160"/>
      <c r="M1731" s="388"/>
      <c r="N1731" s="375"/>
      <c r="O1731" s="370"/>
      <c r="T1731" s="340"/>
      <c r="W1731" s="113"/>
      <c r="X1731" s="241"/>
      <c r="Y1731" s="284"/>
      <c r="Z1731" s="207"/>
      <c r="AA1731" s="284"/>
      <c r="AB1731" s="284"/>
      <c r="AC1731" s="137"/>
      <c r="AD1731" s="284"/>
      <c r="AE1731" s="299"/>
      <c r="AF1731" s="299"/>
      <c r="AG1731" s="284"/>
    </row>
    <row r="1732" spans="2:33">
      <c r="B1732" s="86"/>
      <c r="C1732" s="84"/>
      <c r="D1732" s="86"/>
      <c r="E1732" s="84"/>
      <c r="F1732" s="284"/>
      <c r="G1732" s="49"/>
      <c r="H1732" s="284"/>
      <c r="I1732" s="74"/>
      <c r="J1732" s="371"/>
      <c r="K1732" s="77"/>
      <c r="L1732" s="160"/>
      <c r="M1732" s="388"/>
      <c r="N1732" s="375"/>
      <c r="O1732" s="370"/>
      <c r="T1732" s="340"/>
      <c r="W1732" s="113"/>
      <c r="X1732" s="241"/>
      <c r="Y1732" s="284"/>
      <c r="Z1732" s="207"/>
      <c r="AA1732" s="284"/>
      <c r="AB1732" s="284"/>
      <c r="AC1732" s="137"/>
      <c r="AD1732" s="284"/>
      <c r="AE1732" s="299"/>
      <c r="AF1732" s="299"/>
      <c r="AG1732" s="284"/>
    </row>
    <row r="1733" spans="2:33">
      <c r="B1733" s="86"/>
      <c r="C1733" s="84"/>
      <c r="D1733" s="86"/>
      <c r="E1733" s="84"/>
      <c r="F1733" s="284"/>
      <c r="G1733" s="49"/>
      <c r="H1733" s="284"/>
      <c r="I1733" s="74"/>
      <c r="J1733" s="371"/>
      <c r="K1733" s="77"/>
      <c r="L1733" s="160"/>
      <c r="M1733" s="388"/>
      <c r="N1733" s="375"/>
      <c r="O1733" s="370"/>
      <c r="T1733" s="340"/>
      <c r="W1733" s="113"/>
      <c r="X1733" s="241"/>
      <c r="Y1733" s="284"/>
      <c r="Z1733" s="207"/>
      <c r="AA1733" s="284"/>
      <c r="AB1733" s="284"/>
      <c r="AC1733" s="137"/>
      <c r="AD1733" s="284"/>
      <c r="AE1733" s="299"/>
      <c r="AF1733" s="299"/>
      <c r="AG1733" s="284"/>
    </row>
    <row r="1734" spans="2:33">
      <c r="B1734" s="86"/>
      <c r="C1734" s="84"/>
      <c r="D1734" s="86"/>
      <c r="E1734" s="84"/>
      <c r="F1734" s="284"/>
      <c r="G1734" s="49"/>
      <c r="H1734" s="284"/>
      <c r="I1734" s="74"/>
      <c r="J1734" s="371"/>
      <c r="K1734" s="77"/>
      <c r="L1734" s="160"/>
      <c r="M1734" s="388"/>
      <c r="N1734" s="375"/>
      <c r="O1734" s="370"/>
      <c r="T1734" s="340"/>
      <c r="W1734" s="113"/>
      <c r="X1734" s="241"/>
      <c r="Y1734" s="284"/>
      <c r="Z1734" s="207"/>
      <c r="AA1734" s="284"/>
      <c r="AB1734" s="284"/>
      <c r="AC1734" s="137"/>
      <c r="AD1734" s="284"/>
      <c r="AE1734" s="299"/>
      <c r="AF1734" s="299"/>
      <c r="AG1734" s="284"/>
    </row>
    <row r="1735" spans="2:33">
      <c r="B1735" s="86"/>
      <c r="C1735" s="84"/>
      <c r="D1735" s="86"/>
      <c r="E1735" s="84"/>
      <c r="F1735" s="284"/>
      <c r="G1735" s="49"/>
      <c r="H1735" s="284"/>
      <c r="I1735" s="74"/>
      <c r="J1735" s="371"/>
      <c r="K1735" s="77"/>
      <c r="L1735" s="160"/>
      <c r="M1735" s="388"/>
      <c r="N1735" s="375"/>
      <c r="O1735" s="370"/>
      <c r="T1735" s="340"/>
      <c r="W1735" s="113"/>
      <c r="X1735" s="241"/>
      <c r="Y1735" s="284"/>
      <c r="Z1735" s="207"/>
      <c r="AA1735" s="284"/>
      <c r="AB1735" s="284"/>
      <c r="AC1735" s="137"/>
      <c r="AD1735" s="284"/>
      <c r="AE1735" s="299"/>
      <c r="AF1735" s="299"/>
      <c r="AG1735" s="284"/>
    </row>
    <row r="1736" spans="2:33">
      <c r="B1736" s="86"/>
      <c r="C1736" s="84"/>
      <c r="D1736" s="86"/>
      <c r="E1736" s="84"/>
      <c r="F1736" s="284"/>
      <c r="G1736" s="49"/>
      <c r="H1736" s="284"/>
      <c r="I1736" s="74"/>
      <c r="J1736" s="371"/>
      <c r="K1736" s="77"/>
      <c r="L1736" s="160"/>
      <c r="M1736" s="388"/>
      <c r="N1736" s="375"/>
      <c r="O1736" s="370"/>
      <c r="T1736" s="340"/>
      <c r="W1736" s="113"/>
      <c r="X1736" s="241"/>
      <c r="Y1736" s="284"/>
      <c r="Z1736" s="207"/>
      <c r="AA1736" s="284"/>
      <c r="AB1736" s="284"/>
      <c r="AC1736" s="137"/>
      <c r="AD1736" s="284"/>
      <c r="AE1736" s="299"/>
      <c r="AF1736" s="299"/>
      <c r="AG1736" s="284"/>
    </row>
    <row r="1737" spans="2:33">
      <c r="B1737" s="86"/>
      <c r="C1737" s="84"/>
      <c r="D1737" s="86"/>
      <c r="E1737" s="84"/>
      <c r="F1737" s="284"/>
      <c r="G1737" s="49"/>
      <c r="H1737" s="284"/>
      <c r="I1737" s="74"/>
      <c r="J1737" s="371"/>
      <c r="K1737" s="77"/>
      <c r="L1737" s="160"/>
      <c r="M1737" s="388"/>
      <c r="N1737" s="375"/>
      <c r="O1737" s="370"/>
      <c r="T1737" s="340"/>
      <c r="W1737" s="113"/>
      <c r="X1737" s="241"/>
      <c r="Y1737" s="284"/>
      <c r="Z1737" s="207"/>
      <c r="AA1737" s="284"/>
      <c r="AB1737" s="284"/>
      <c r="AC1737" s="137"/>
      <c r="AD1737" s="284"/>
      <c r="AE1737" s="299"/>
      <c r="AF1737" s="299"/>
      <c r="AG1737" s="284"/>
    </row>
    <row r="1738" spans="2:33">
      <c r="B1738" s="86"/>
      <c r="C1738" s="84"/>
      <c r="D1738" s="86"/>
      <c r="E1738" s="84"/>
      <c r="F1738" s="284"/>
      <c r="G1738" s="49"/>
      <c r="H1738" s="284"/>
      <c r="I1738" s="74"/>
      <c r="J1738" s="371"/>
      <c r="K1738" s="77"/>
      <c r="L1738" s="160"/>
      <c r="M1738" s="388"/>
      <c r="N1738" s="375"/>
      <c r="O1738" s="370"/>
      <c r="T1738" s="340"/>
      <c r="W1738" s="113"/>
      <c r="X1738" s="241"/>
      <c r="Y1738" s="284"/>
      <c r="Z1738" s="207"/>
      <c r="AA1738" s="284"/>
      <c r="AB1738" s="284"/>
      <c r="AC1738" s="137"/>
      <c r="AD1738" s="284"/>
      <c r="AE1738" s="299"/>
      <c r="AF1738" s="299"/>
      <c r="AG1738" s="284"/>
    </row>
    <row r="1739" spans="2:33">
      <c r="B1739" s="86"/>
      <c r="C1739" s="84"/>
      <c r="D1739" s="86"/>
      <c r="E1739" s="84"/>
      <c r="F1739" s="284"/>
      <c r="G1739" s="49"/>
      <c r="H1739" s="284"/>
      <c r="I1739" s="74"/>
      <c r="J1739" s="371"/>
      <c r="K1739" s="77"/>
      <c r="L1739" s="160"/>
      <c r="M1739" s="388"/>
      <c r="N1739" s="375"/>
      <c r="O1739" s="370"/>
      <c r="T1739" s="340"/>
      <c r="W1739" s="113"/>
      <c r="X1739" s="241"/>
      <c r="Y1739" s="284"/>
      <c r="Z1739" s="207"/>
      <c r="AA1739" s="284"/>
      <c r="AB1739" s="284"/>
      <c r="AC1739" s="137"/>
      <c r="AD1739" s="284"/>
      <c r="AE1739" s="299"/>
      <c r="AF1739" s="299"/>
      <c r="AG1739" s="284"/>
    </row>
    <row r="1740" spans="2:33">
      <c r="B1740" s="86"/>
      <c r="C1740" s="84"/>
      <c r="D1740" s="86"/>
      <c r="E1740" s="84"/>
      <c r="F1740" s="284"/>
      <c r="G1740" s="49"/>
      <c r="H1740" s="284"/>
      <c r="I1740" s="74"/>
      <c r="J1740" s="371"/>
      <c r="K1740" s="77"/>
      <c r="L1740" s="160"/>
      <c r="M1740" s="388"/>
      <c r="N1740" s="375"/>
      <c r="O1740" s="370"/>
      <c r="T1740" s="340"/>
      <c r="W1740" s="113"/>
      <c r="X1740" s="241"/>
      <c r="Y1740" s="284"/>
      <c r="Z1740" s="207"/>
      <c r="AA1740" s="284"/>
      <c r="AB1740" s="284"/>
      <c r="AC1740" s="137"/>
      <c r="AD1740" s="284"/>
      <c r="AE1740" s="299"/>
      <c r="AF1740" s="299"/>
      <c r="AG1740" s="284"/>
    </row>
    <row r="1741" spans="2:33">
      <c r="B1741" s="86"/>
      <c r="C1741" s="84"/>
      <c r="D1741" s="86"/>
      <c r="E1741" s="84"/>
      <c r="F1741" s="284"/>
      <c r="G1741" s="49"/>
      <c r="H1741" s="284"/>
      <c r="I1741" s="74"/>
      <c r="J1741" s="371"/>
      <c r="K1741" s="77"/>
      <c r="L1741" s="160"/>
      <c r="M1741" s="388"/>
      <c r="N1741" s="375"/>
      <c r="O1741" s="370"/>
      <c r="T1741" s="340"/>
      <c r="W1741" s="113"/>
      <c r="X1741" s="241"/>
      <c r="Y1741" s="284"/>
      <c r="Z1741" s="207"/>
      <c r="AA1741" s="284"/>
      <c r="AB1741" s="284"/>
      <c r="AC1741" s="137"/>
      <c r="AD1741" s="284"/>
      <c r="AE1741" s="299"/>
      <c r="AF1741" s="299"/>
      <c r="AG1741" s="284"/>
    </row>
    <row r="1742" spans="2:33">
      <c r="B1742" s="86"/>
      <c r="C1742" s="84"/>
      <c r="D1742" s="86"/>
      <c r="E1742" s="84"/>
      <c r="F1742" s="284"/>
      <c r="G1742" s="49"/>
      <c r="H1742" s="284"/>
      <c r="I1742" s="74"/>
      <c r="J1742" s="371"/>
      <c r="K1742" s="77"/>
      <c r="L1742" s="160"/>
      <c r="M1742" s="388"/>
      <c r="N1742" s="375"/>
      <c r="O1742" s="370"/>
      <c r="T1742" s="340"/>
      <c r="W1742" s="113"/>
      <c r="X1742" s="241"/>
      <c r="Y1742" s="284"/>
      <c r="Z1742" s="207"/>
      <c r="AA1742" s="284"/>
      <c r="AB1742" s="284"/>
      <c r="AC1742" s="137"/>
      <c r="AD1742" s="284"/>
      <c r="AE1742" s="299"/>
      <c r="AF1742" s="299"/>
      <c r="AG1742" s="284"/>
    </row>
    <row r="1743" spans="2:33">
      <c r="B1743" s="86"/>
      <c r="C1743" s="84"/>
      <c r="D1743" s="86"/>
      <c r="E1743" s="84"/>
      <c r="F1743" s="284"/>
      <c r="G1743" s="49"/>
      <c r="H1743" s="284"/>
      <c r="I1743" s="74"/>
      <c r="J1743" s="371"/>
      <c r="K1743" s="77"/>
      <c r="L1743" s="160"/>
      <c r="M1743" s="388"/>
      <c r="N1743" s="375"/>
      <c r="O1743" s="370"/>
      <c r="T1743" s="340"/>
      <c r="W1743" s="113"/>
      <c r="X1743" s="241"/>
      <c r="Y1743" s="284"/>
      <c r="Z1743" s="207"/>
      <c r="AA1743" s="284"/>
      <c r="AB1743" s="284"/>
      <c r="AC1743" s="137"/>
      <c r="AD1743" s="284"/>
      <c r="AE1743" s="299"/>
      <c r="AF1743" s="299"/>
      <c r="AG1743" s="284"/>
    </row>
    <row r="1744" spans="2:33">
      <c r="B1744" s="86"/>
      <c r="C1744" s="84"/>
      <c r="D1744" s="86"/>
      <c r="E1744" s="84"/>
      <c r="F1744" s="284"/>
      <c r="G1744" s="49"/>
      <c r="H1744" s="284"/>
      <c r="I1744" s="74"/>
      <c r="J1744" s="371"/>
      <c r="K1744" s="77"/>
      <c r="L1744" s="160"/>
      <c r="M1744" s="388"/>
      <c r="N1744" s="375"/>
      <c r="O1744" s="370"/>
      <c r="T1744" s="340"/>
      <c r="W1744" s="113"/>
      <c r="X1744" s="241"/>
      <c r="Y1744" s="284"/>
      <c r="Z1744" s="207"/>
      <c r="AA1744" s="284"/>
      <c r="AB1744" s="284"/>
      <c r="AC1744" s="137"/>
      <c r="AD1744" s="284"/>
      <c r="AE1744" s="299"/>
      <c r="AF1744" s="299"/>
      <c r="AG1744" s="284"/>
    </row>
    <row r="1745" spans="2:33">
      <c r="B1745" s="86"/>
      <c r="C1745" s="84"/>
      <c r="D1745" s="86"/>
      <c r="E1745" s="84"/>
      <c r="F1745" s="284"/>
      <c r="G1745" s="49"/>
      <c r="H1745" s="284"/>
      <c r="I1745" s="74"/>
      <c r="J1745" s="371"/>
      <c r="K1745" s="77"/>
      <c r="L1745" s="160"/>
      <c r="M1745" s="388"/>
      <c r="N1745" s="375"/>
      <c r="O1745" s="370"/>
      <c r="T1745" s="340"/>
      <c r="W1745" s="113"/>
      <c r="X1745" s="241"/>
      <c r="Y1745" s="284"/>
      <c r="Z1745" s="207"/>
      <c r="AA1745" s="284"/>
      <c r="AB1745" s="284"/>
      <c r="AC1745" s="137"/>
      <c r="AD1745" s="284"/>
      <c r="AE1745" s="299"/>
      <c r="AF1745" s="299"/>
      <c r="AG1745" s="284"/>
    </row>
    <row r="1746" spans="2:33">
      <c r="B1746" s="86"/>
      <c r="C1746" s="84"/>
      <c r="D1746" s="86"/>
      <c r="E1746" s="84"/>
      <c r="F1746" s="284"/>
      <c r="G1746" s="49"/>
      <c r="H1746" s="284"/>
      <c r="I1746" s="74"/>
      <c r="J1746" s="371"/>
      <c r="K1746" s="77"/>
      <c r="L1746" s="160"/>
      <c r="M1746" s="388"/>
      <c r="N1746" s="375"/>
      <c r="O1746" s="370"/>
      <c r="T1746" s="340"/>
      <c r="W1746" s="113"/>
      <c r="X1746" s="241"/>
      <c r="Y1746" s="284"/>
      <c r="Z1746" s="207"/>
      <c r="AA1746" s="284"/>
      <c r="AB1746" s="284"/>
      <c r="AC1746" s="137"/>
      <c r="AD1746" s="284"/>
      <c r="AE1746" s="299"/>
      <c r="AF1746" s="299"/>
      <c r="AG1746" s="284"/>
    </row>
    <row r="1747" spans="2:33">
      <c r="B1747" s="86"/>
      <c r="C1747" s="84"/>
      <c r="D1747" s="86"/>
      <c r="E1747" s="84"/>
      <c r="F1747" s="284"/>
      <c r="G1747" s="49"/>
      <c r="H1747" s="284"/>
      <c r="I1747" s="74"/>
      <c r="J1747" s="371"/>
      <c r="K1747" s="77"/>
      <c r="L1747" s="160"/>
      <c r="M1747" s="388"/>
      <c r="N1747" s="375"/>
      <c r="O1747" s="370"/>
      <c r="T1747" s="340"/>
      <c r="W1747" s="113"/>
      <c r="X1747" s="241"/>
      <c r="Y1747" s="284"/>
      <c r="Z1747" s="207"/>
      <c r="AA1747" s="284"/>
      <c r="AB1747" s="284"/>
      <c r="AC1747" s="137"/>
      <c r="AD1747" s="284"/>
      <c r="AE1747" s="299"/>
      <c r="AF1747" s="299"/>
      <c r="AG1747" s="284"/>
    </row>
    <row r="1748" spans="2:33">
      <c r="B1748" s="86"/>
      <c r="C1748" s="84"/>
      <c r="D1748" s="86"/>
      <c r="E1748" s="84"/>
      <c r="F1748" s="284"/>
      <c r="G1748" s="49"/>
      <c r="H1748" s="284"/>
      <c r="I1748" s="74"/>
      <c r="J1748" s="371"/>
      <c r="K1748" s="77"/>
      <c r="L1748" s="160"/>
      <c r="M1748" s="388"/>
      <c r="N1748" s="375"/>
      <c r="O1748" s="370"/>
      <c r="T1748" s="340"/>
      <c r="W1748" s="113"/>
      <c r="X1748" s="241"/>
      <c r="Y1748" s="284"/>
      <c r="Z1748" s="207"/>
      <c r="AA1748" s="284"/>
      <c r="AB1748" s="284"/>
      <c r="AC1748" s="137"/>
      <c r="AD1748" s="284"/>
      <c r="AE1748" s="299"/>
      <c r="AF1748" s="299"/>
      <c r="AG1748" s="284"/>
    </row>
    <row r="1749" spans="2:33">
      <c r="B1749" s="86"/>
      <c r="C1749" s="84"/>
      <c r="D1749" s="86"/>
      <c r="E1749" s="84"/>
      <c r="F1749" s="284"/>
      <c r="G1749" s="49"/>
      <c r="H1749" s="284"/>
      <c r="I1749" s="74"/>
      <c r="J1749" s="371"/>
      <c r="K1749" s="77"/>
      <c r="L1749" s="160"/>
      <c r="M1749" s="388"/>
      <c r="N1749" s="375"/>
      <c r="O1749" s="370"/>
      <c r="T1749" s="340"/>
      <c r="W1749" s="113"/>
      <c r="X1749" s="241"/>
      <c r="Y1749" s="284"/>
      <c r="Z1749" s="207"/>
      <c r="AA1749" s="284"/>
      <c r="AB1749" s="284"/>
      <c r="AC1749" s="137"/>
      <c r="AD1749" s="284"/>
      <c r="AE1749" s="299"/>
      <c r="AF1749" s="299"/>
      <c r="AG1749" s="284"/>
    </row>
    <row r="1750" spans="2:33">
      <c r="B1750" s="86"/>
      <c r="C1750" s="84"/>
      <c r="D1750" s="86"/>
      <c r="E1750" s="84"/>
      <c r="F1750" s="284"/>
      <c r="G1750" s="49"/>
      <c r="H1750" s="284"/>
      <c r="I1750" s="74"/>
      <c r="J1750" s="371"/>
      <c r="K1750" s="77"/>
      <c r="L1750" s="160"/>
      <c r="M1750" s="388"/>
      <c r="N1750" s="375"/>
      <c r="O1750" s="370"/>
      <c r="T1750" s="340"/>
      <c r="W1750" s="113"/>
      <c r="X1750" s="241"/>
      <c r="Y1750" s="284"/>
      <c r="Z1750" s="207"/>
      <c r="AA1750" s="284"/>
      <c r="AB1750" s="284"/>
      <c r="AC1750" s="137"/>
      <c r="AD1750" s="284"/>
      <c r="AE1750" s="299"/>
      <c r="AF1750" s="299"/>
      <c r="AG1750" s="284"/>
    </row>
    <row r="1751" spans="2:33">
      <c r="B1751" s="86"/>
      <c r="C1751" s="84"/>
      <c r="D1751" s="86"/>
      <c r="E1751" s="84"/>
      <c r="F1751" s="284"/>
      <c r="G1751" s="49"/>
      <c r="H1751" s="284"/>
      <c r="I1751" s="74"/>
      <c r="J1751" s="371"/>
      <c r="K1751" s="77"/>
      <c r="L1751" s="160"/>
      <c r="M1751" s="388"/>
      <c r="N1751" s="375"/>
      <c r="O1751" s="370"/>
      <c r="T1751" s="340"/>
      <c r="W1751" s="113"/>
      <c r="X1751" s="241"/>
      <c r="Y1751" s="284"/>
      <c r="Z1751" s="207"/>
      <c r="AA1751" s="284"/>
      <c r="AB1751" s="284"/>
      <c r="AC1751" s="137"/>
      <c r="AD1751" s="284"/>
      <c r="AE1751" s="299"/>
      <c r="AF1751" s="299"/>
      <c r="AG1751" s="284"/>
    </row>
    <row r="1752" spans="2:33">
      <c r="B1752" s="86"/>
      <c r="C1752" s="84"/>
      <c r="D1752" s="86"/>
      <c r="E1752" s="84"/>
      <c r="F1752" s="284"/>
      <c r="G1752" s="49"/>
      <c r="H1752" s="284"/>
      <c r="I1752" s="74"/>
      <c r="J1752" s="371"/>
      <c r="K1752" s="77"/>
      <c r="L1752" s="160"/>
      <c r="M1752" s="388"/>
      <c r="N1752" s="375"/>
      <c r="O1752" s="370"/>
      <c r="T1752" s="340"/>
      <c r="W1752" s="113"/>
      <c r="X1752" s="241"/>
      <c r="Y1752" s="284"/>
      <c r="Z1752" s="207"/>
      <c r="AA1752" s="284"/>
      <c r="AB1752" s="284"/>
      <c r="AC1752" s="137"/>
      <c r="AD1752" s="284"/>
      <c r="AE1752" s="299"/>
      <c r="AF1752" s="299"/>
      <c r="AG1752" s="284"/>
    </row>
    <row r="1753" spans="2:33">
      <c r="B1753" s="86"/>
      <c r="C1753" s="84"/>
      <c r="D1753" s="86"/>
      <c r="E1753" s="84"/>
      <c r="F1753" s="284"/>
      <c r="G1753" s="49"/>
      <c r="H1753" s="284"/>
      <c r="I1753" s="74"/>
      <c r="J1753" s="371"/>
      <c r="K1753" s="77"/>
      <c r="L1753" s="160"/>
      <c r="M1753" s="388"/>
      <c r="N1753" s="375"/>
      <c r="O1753" s="370"/>
      <c r="T1753" s="340"/>
      <c r="W1753" s="113"/>
      <c r="X1753" s="241"/>
      <c r="Y1753" s="284"/>
      <c r="Z1753" s="207"/>
      <c r="AA1753" s="284"/>
      <c r="AB1753" s="284"/>
      <c r="AC1753" s="137"/>
      <c r="AD1753" s="284"/>
      <c r="AE1753" s="299"/>
      <c r="AF1753" s="299"/>
      <c r="AG1753" s="284"/>
    </row>
    <row r="1754" spans="2:33">
      <c r="B1754" s="86"/>
      <c r="C1754" s="84"/>
      <c r="D1754" s="86"/>
      <c r="E1754" s="84"/>
      <c r="F1754" s="284"/>
      <c r="G1754" s="49"/>
      <c r="H1754" s="284"/>
      <c r="I1754" s="74"/>
      <c r="J1754" s="371"/>
      <c r="K1754" s="77"/>
      <c r="L1754" s="160"/>
      <c r="M1754" s="388"/>
      <c r="N1754" s="375"/>
      <c r="O1754" s="370"/>
      <c r="T1754" s="340"/>
      <c r="W1754" s="113"/>
      <c r="X1754" s="241"/>
      <c r="Y1754" s="284"/>
      <c r="Z1754" s="207"/>
      <c r="AA1754" s="284"/>
      <c r="AB1754" s="284"/>
      <c r="AC1754" s="137"/>
      <c r="AD1754" s="284"/>
      <c r="AE1754" s="299"/>
      <c r="AF1754" s="299"/>
      <c r="AG1754" s="284"/>
    </row>
    <row r="1755" spans="2:33">
      <c r="B1755" s="86"/>
      <c r="C1755" s="84"/>
      <c r="D1755" s="86"/>
      <c r="E1755" s="84"/>
      <c r="F1755" s="284"/>
      <c r="G1755" s="49"/>
      <c r="H1755" s="284"/>
      <c r="I1755" s="74"/>
      <c r="J1755" s="371"/>
      <c r="K1755" s="77"/>
      <c r="L1755" s="160"/>
      <c r="M1755" s="388"/>
      <c r="N1755" s="375"/>
      <c r="O1755" s="370"/>
      <c r="T1755" s="340"/>
      <c r="W1755" s="113"/>
      <c r="X1755" s="241"/>
      <c r="Y1755" s="284"/>
      <c r="Z1755" s="207"/>
      <c r="AA1755" s="284"/>
      <c r="AB1755" s="284"/>
      <c r="AC1755" s="137"/>
      <c r="AD1755" s="284"/>
      <c r="AE1755" s="299"/>
      <c r="AF1755" s="299"/>
      <c r="AG1755" s="284"/>
    </row>
    <row r="1756" spans="2:33">
      <c r="B1756" s="86"/>
      <c r="C1756" s="84"/>
      <c r="D1756" s="86"/>
      <c r="E1756" s="84"/>
      <c r="F1756" s="284"/>
      <c r="G1756" s="49"/>
      <c r="H1756" s="284"/>
      <c r="I1756" s="74"/>
      <c r="J1756" s="371"/>
      <c r="K1756" s="77"/>
      <c r="L1756" s="160"/>
      <c r="M1756" s="388"/>
      <c r="N1756" s="375"/>
      <c r="O1756" s="370"/>
      <c r="T1756" s="340"/>
      <c r="W1756" s="113"/>
      <c r="X1756" s="241"/>
      <c r="Y1756" s="284"/>
      <c r="Z1756" s="207"/>
      <c r="AA1756" s="284"/>
      <c r="AB1756" s="284"/>
      <c r="AC1756" s="137"/>
      <c r="AD1756" s="284"/>
      <c r="AE1756" s="299"/>
      <c r="AF1756" s="299"/>
      <c r="AG1756" s="284"/>
    </row>
    <row r="1757" spans="2:33">
      <c r="B1757" s="86"/>
      <c r="C1757" s="84"/>
      <c r="D1757" s="86"/>
      <c r="E1757" s="84"/>
      <c r="F1757" s="284"/>
      <c r="G1757" s="49"/>
      <c r="H1757" s="284"/>
      <c r="I1757" s="74"/>
      <c r="J1757" s="371"/>
      <c r="K1757" s="77"/>
      <c r="L1757" s="160"/>
      <c r="M1757" s="388"/>
      <c r="N1757" s="375"/>
      <c r="O1757" s="370"/>
      <c r="T1757" s="340"/>
      <c r="W1757" s="113"/>
      <c r="X1757" s="241"/>
      <c r="Y1757" s="284"/>
      <c r="Z1757" s="207"/>
      <c r="AA1757" s="284"/>
      <c r="AB1757" s="284"/>
      <c r="AC1757" s="137"/>
      <c r="AD1757" s="284"/>
      <c r="AE1757" s="299"/>
      <c r="AF1757" s="299"/>
      <c r="AG1757" s="284"/>
    </row>
    <row r="1758" spans="2:33">
      <c r="B1758" s="86"/>
      <c r="C1758" s="84"/>
      <c r="D1758" s="86"/>
      <c r="E1758" s="84"/>
      <c r="F1758" s="284"/>
      <c r="G1758" s="49"/>
      <c r="H1758" s="284"/>
      <c r="I1758" s="74"/>
      <c r="J1758" s="371"/>
      <c r="K1758" s="77"/>
      <c r="L1758" s="160"/>
      <c r="M1758" s="388"/>
      <c r="N1758" s="375"/>
      <c r="O1758" s="370"/>
      <c r="T1758" s="340"/>
      <c r="W1758" s="113"/>
      <c r="X1758" s="241"/>
      <c r="Y1758" s="284"/>
      <c r="Z1758" s="207"/>
      <c r="AA1758" s="284"/>
      <c r="AB1758" s="284"/>
      <c r="AC1758" s="137"/>
      <c r="AD1758" s="284"/>
      <c r="AE1758" s="299"/>
      <c r="AF1758" s="299"/>
      <c r="AG1758" s="284"/>
    </row>
    <row r="1759" spans="2:33">
      <c r="B1759" s="86"/>
      <c r="C1759" s="84"/>
      <c r="D1759" s="86"/>
      <c r="E1759" s="84"/>
      <c r="F1759" s="284"/>
      <c r="G1759" s="49"/>
      <c r="H1759" s="284"/>
      <c r="I1759" s="74"/>
      <c r="J1759" s="371"/>
      <c r="K1759" s="77"/>
      <c r="L1759" s="160"/>
      <c r="M1759" s="388"/>
      <c r="N1759" s="375"/>
      <c r="O1759" s="370"/>
      <c r="T1759" s="340"/>
      <c r="W1759" s="113"/>
      <c r="X1759" s="241"/>
      <c r="Y1759" s="284"/>
      <c r="Z1759" s="207"/>
      <c r="AA1759" s="284"/>
      <c r="AB1759" s="284"/>
      <c r="AC1759" s="137"/>
      <c r="AD1759" s="284"/>
      <c r="AE1759" s="299"/>
      <c r="AF1759" s="299"/>
      <c r="AG1759" s="284"/>
    </row>
    <row r="1760" spans="2:33">
      <c r="B1760" s="86"/>
      <c r="C1760" s="84"/>
      <c r="D1760" s="86"/>
      <c r="E1760" s="84"/>
      <c r="F1760" s="284"/>
      <c r="G1760" s="49"/>
      <c r="H1760" s="284"/>
      <c r="I1760" s="74"/>
      <c r="J1760" s="371"/>
      <c r="K1760" s="77"/>
      <c r="L1760" s="160"/>
      <c r="M1760" s="388"/>
      <c r="N1760" s="375"/>
      <c r="O1760" s="370"/>
      <c r="T1760" s="340"/>
      <c r="W1760" s="113"/>
      <c r="X1760" s="241"/>
      <c r="Y1760" s="284"/>
      <c r="Z1760" s="207"/>
      <c r="AA1760" s="284"/>
      <c r="AB1760" s="284"/>
      <c r="AC1760" s="137"/>
      <c r="AD1760" s="284"/>
      <c r="AE1760" s="299"/>
      <c r="AF1760" s="299"/>
      <c r="AG1760" s="284"/>
    </row>
    <row r="1761" spans="2:33">
      <c r="B1761" s="86"/>
      <c r="C1761" s="84"/>
      <c r="D1761" s="86"/>
      <c r="E1761" s="84"/>
      <c r="F1761" s="284"/>
      <c r="G1761" s="49"/>
      <c r="H1761" s="284"/>
      <c r="I1761" s="74"/>
      <c r="J1761" s="371"/>
      <c r="K1761" s="77"/>
      <c r="L1761" s="160"/>
      <c r="M1761" s="388"/>
      <c r="N1761" s="375"/>
      <c r="O1761" s="370"/>
      <c r="T1761" s="340"/>
      <c r="W1761" s="113"/>
      <c r="X1761" s="241"/>
      <c r="Y1761" s="284"/>
      <c r="Z1761" s="207"/>
      <c r="AA1761" s="284"/>
      <c r="AB1761" s="284"/>
      <c r="AC1761" s="137"/>
      <c r="AD1761" s="284"/>
      <c r="AE1761" s="299"/>
      <c r="AF1761" s="299"/>
      <c r="AG1761" s="284"/>
    </row>
    <row r="1762" spans="2:33">
      <c r="B1762" s="86"/>
      <c r="C1762" s="84"/>
      <c r="D1762" s="86"/>
      <c r="E1762" s="84"/>
      <c r="F1762" s="284"/>
      <c r="G1762" s="49"/>
      <c r="H1762" s="284"/>
      <c r="I1762" s="74"/>
      <c r="J1762" s="371"/>
      <c r="K1762" s="77"/>
      <c r="L1762" s="160"/>
      <c r="M1762" s="388"/>
      <c r="N1762" s="375"/>
      <c r="O1762" s="370"/>
      <c r="T1762" s="340"/>
      <c r="W1762" s="113"/>
      <c r="X1762" s="241"/>
      <c r="Y1762" s="284"/>
      <c r="Z1762" s="207"/>
      <c r="AA1762" s="284"/>
      <c r="AB1762" s="284"/>
      <c r="AC1762" s="137"/>
      <c r="AD1762" s="284"/>
      <c r="AE1762" s="299"/>
      <c r="AF1762" s="299"/>
      <c r="AG1762" s="284"/>
    </row>
    <row r="1763" spans="2:33">
      <c r="B1763" s="86"/>
      <c r="C1763" s="84"/>
      <c r="D1763" s="86"/>
      <c r="E1763" s="84"/>
      <c r="F1763" s="284"/>
      <c r="G1763" s="49"/>
      <c r="H1763" s="284"/>
      <c r="I1763" s="74"/>
      <c r="J1763" s="371"/>
      <c r="K1763" s="77"/>
      <c r="L1763" s="160"/>
      <c r="M1763" s="388"/>
      <c r="N1763" s="375"/>
      <c r="O1763" s="370"/>
      <c r="T1763" s="340"/>
      <c r="W1763" s="113"/>
      <c r="X1763" s="241"/>
      <c r="Y1763" s="284"/>
      <c r="Z1763" s="207"/>
      <c r="AA1763" s="284"/>
      <c r="AB1763" s="284"/>
      <c r="AC1763" s="137"/>
      <c r="AD1763" s="284"/>
      <c r="AE1763" s="299"/>
      <c r="AF1763" s="299"/>
      <c r="AG1763" s="284"/>
    </row>
    <row r="1764" spans="2:33">
      <c r="B1764" s="86"/>
      <c r="C1764" s="84"/>
      <c r="D1764" s="86"/>
      <c r="E1764" s="84"/>
      <c r="F1764" s="284"/>
      <c r="G1764" s="49"/>
      <c r="H1764" s="284"/>
      <c r="I1764" s="74"/>
      <c r="J1764" s="371"/>
      <c r="K1764" s="77"/>
      <c r="L1764" s="160"/>
      <c r="M1764" s="388"/>
      <c r="N1764" s="375"/>
      <c r="O1764" s="370"/>
      <c r="T1764" s="340"/>
      <c r="W1764" s="113"/>
      <c r="X1764" s="241"/>
      <c r="Y1764" s="284"/>
      <c r="Z1764" s="207"/>
      <c r="AA1764" s="284"/>
      <c r="AB1764" s="284"/>
      <c r="AC1764" s="137"/>
      <c r="AD1764" s="284"/>
      <c r="AE1764" s="299"/>
      <c r="AF1764" s="299"/>
      <c r="AG1764" s="284"/>
    </row>
    <row r="1765" spans="2:33">
      <c r="B1765" s="86"/>
      <c r="C1765" s="84"/>
      <c r="D1765" s="86"/>
      <c r="E1765" s="84"/>
      <c r="F1765" s="284"/>
      <c r="G1765" s="49"/>
      <c r="H1765" s="284"/>
      <c r="I1765" s="74"/>
      <c r="J1765" s="371"/>
      <c r="K1765" s="77"/>
      <c r="L1765" s="160"/>
      <c r="M1765" s="388"/>
      <c r="N1765" s="375"/>
      <c r="O1765" s="370"/>
      <c r="T1765" s="340"/>
      <c r="W1765" s="113"/>
      <c r="X1765" s="241"/>
      <c r="Y1765" s="284"/>
      <c r="Z1765" s="207"/>
      <c r="AA1765" s="284"/>
      <c r="AB1765" s="284"/>
      <c r="AC1765" s="137"/>
      <c r="AD1765" s="284"/>
      <c r="AE1765" s="299"/>
      <c r="AF1765" s="299"/>
      <c r="AG1765" s="284"/>
    </row>
    <row r="1766" spans="2:33">
      <c r="B1766" s="86"/>
      <c r="C1766" s="84"/>
      <c r="D1766" s="86"/>
      <c r="E1766" s="84"/>
      <c r="F1766" s="284"/>
      <c r="G1766" s="49"/>
      <c r="H1766" s="284"/>
      <c r="I1766" s="74"/>
      <c r="J1766" s="371"/>
      <c r="K1766" s="77"/>
      <c r="L1766" s="160"/>
      <c r="M1766" s="388"/>
      <c r="N1766" s="375"/>
      <c r="O1766" s="370"/>
      <c r="T1766" s="340"/>
      <c r="W1766" s="113"/>
      <c r="X1766" s="241"/>
      <c r="Y1766" s="284"/>
      <c r="Z1766" s="207"/>
      <c r="AA1766" s="284"/>
      <c r="AB1766" s="284"/>
      <c r="AC1766" s="137"/>
      <c r="AD1766" s="284"/>
      <c r="AE1766" s="299"/>
      <c r="AF1766" s="299"/>
      <c r="AG1766" s="284"/>
    </row>
    <row r="1767" spans="2:33">
      <c r="B1767" s="86"/>
      <c r="C1767" s="84"/>
      <c r="D1767" s="86"/>
      <c r="E1767" s="84"/>
      <c r="F1767" s="284"/>
      <c r="G1767" s="49"/>
      <c r="H1767" s="284"/>
      <c r="I1767" s="74"/>
      <c r="J1767" s="371"/>
      <c r="K1767" s="77"/>
      <c r="L1767" s="160"/>
      <c r="M1767" s="388"/>
      <c r="N1767" s="375"/>
      <c r="O1767" s="370"/>
      <c r="T1767" s="340"/>
      <c r="W1767" s="113"/>
      <c r="X1767" s="241"/>
      <c r="Y1767" s="284"/>
      <c r="Z1767" s="207"/>
      <c r="AA1767" s="284"/>
      <c r="AB1767" s="284"/>
      <c r="AC1767" s="137"/>
      <c r="AD1767" s="284"/>
      <c r="AE1767" s="299"/>
      <c r="AF1767" s="299"/>
      <c r="AG1767" s="284"/>
    </row>
    <row r="1768" spans="2:33">
      <c r="B1768" s="86"/>
      <c r="C1768" s="84"/>
      <c r="D1768" s="86"/>
      <c r="E1768" s="84"/>
      <c r="F1768" s="284"/>
      <c r="G1768" s="49"/>
      <c r="H1768" s="284"/>
      <c r="I1768" s="74"/>
      <c r="J1768" s="371"/>
      <c r="K1768" s="77"/>
      <c r="L1768" s="160"/>
      <c r="M1768" s="388"/>
      <c r="N1768" s="375"/>
      <c r="O1768" s="370"/>
      <c r="T1768" s="340"/>
      <c r="W1768" s="113"/>
      <c r="X1768" s="241"/>
      <c r="Y1768" s="284"/>
      <c r="Z1768" s="207"/>
      <c r="AA1768" s="284"/>
      <c r="AB1768" s="284"/>
      <c r="AC1768" s="137"/>
      <c r="AD1768" s="284"/>
      <c r="AE1768" s="299"/>
      <c r="AF1768" s="299"/>
      <c r="AG1768" s="284"/>
    </row>
    <row r="1769" spans="2:33">
      <c r="B1769" s="86"/>
      <c r="C1769" s="84"/>
      <c r="D1769" s="86"/>
      <c r="E1769" s="84"/>
      <c r="F1769" s="284"/>
      <c r="G1769" s="49"/>
      <c r="H1769" s="284"/>
      <c r="I1769" s="74"/>
      <c r="J1769" s="371"/>
      <c r="K1769" s="77"/>
      <c r="L1769" s="160"/>
      <c r="M1769" s="388"/>
      <c r="N1769" s="375"/>
      <c r="O1769" s="370"/>
      <c r="T1769" s="340"/>
      <c r="W1769" s="113"/>
      <c r="X1769" s="241"/>
      <c r="Y1769" s="284"/>
      <c r="Z1769" s="207"/>
      <c r="AA1769" s="284"/>
      <c r="AB1769" s="284"/>
      <c r="AC1769" s="137"/>
      <c r="AD1769" s="284"/>
      <c r="AE1769" s="299"/>
      <c r="AF1769" s="299"/>
      <c r="AG1769" s="284"/>
    </row>
    <row r="1770" spans="2:33">
      <c r="B1770" s="86"/>
      <c r="C1770" s="84"/>
      <c r="D1770" s="86"/>
      <c r="E1770" s="84"/>
      <c r="F1770" s="284"/>
      <c r="G1770" s="49"/>
      <c r="H1770" s="284"/>
      <c r="I1770" s="74"/>
      <c r="J1770" s="371"/>
      <c r="K1770" s="77"/>
      <c r="L1770" s="160"/>
      <c r="M1770" s="388"/>
      <c r="N1770" s="375"/>
      <c r="O1770" s="370"/>
      <c r="T1770" s="340"/>
      <c r="W1770" s="113"/>
      <c r="X1770" s="241"/>
      <c r="Y1770" s="284"/>
      <c r="Z1770" s="207"/>
      <c r="AA1770" s="284"/>
      <c r="AB1770" s="284"/>
      <c r="AC1770" s="137"/>
      <c r="AD1770" s="284"/>
      <c r="AE1770" s="299"/>
      <c r="AF1770" s="299"/>
      <c r="AG1770" s="284"/>
    </row>
    <row r="1771" spans="2:33">
      <c r="B1771" s="86"/>
      <c r="C1771" s="84"/>
      <c r="D1771" s="86"/>
      <c r="E1771" s="84"/>
      <c r="F1771" s="284"/>
      <c r="G1771" s="49"/>
      <c r="H1771" s="284"/>
      <c r="I1771" s="74"/>
      <c r="J1771" s="371"/>
      <c r="K1771" s="77"/>
      <c r="L1771" s="160"/>
      <c r="M1771" s="388"/>
      <c r="N1771" s="375"/>
      <c r="O1771" s="370"/>
      <c r="T1771" s="340"/>
      <c r="W1771" s="113"/>
      <c r="X1771" s="241"/>
      <c r="Y1771" s="284"/>
      <c r="Z1771" s="207"/>
      <c r="AA1771" s="284"/>
      <c r="AB1771" s="284"/>
      <c r="AC1771" s="137"/>
      <c r="AD1771" s="284"/>
      <c r="AE1771" s="299"/>
      <c r="AF1771" s="299"/>
      <c r="AG1771" s="284"/>
    </row>
    <row r="1772" spans="2:33">
      <c r="B1772" s="86"/>
      <c r="C1772" s="84"/>
      <c r="D1772" s="86"/>
      <c r="E1772" s="84"/>
      <c r="F1772" s="284"/>
      <c r="G1772" s="49"/>
      <c r="H1772" s="284"/>
      <c r="I1772" s="74"/>
      <c r="J1772" s="371"/>
      <c r="K1772" s="77"/>
      <c r="L1772" s="160"/>
      <c r="M1772" s="388"/>
      <c r="N1772" s="375"/>
      <c r="O1772" s="370"/>
      <c r="T1772" s="340"/>
      <c r="W1772" s="113"/>
      <c r="X1772" s="241"/>
      <c r="Y1772" s="284"/>
      <c r="Z1772" s="207"/>
      <c r="AA1772" s="284"/>
      <c r="AB1772" s="284"/>
      <c r="AC1772" s="137"/>
      <c r="AD1772" s="284"/>
      <c r="AE1772" s="299"/>
      <c r="AF1772" s="299"/>
      <c r="AG1772" s="284"/>
    </row>
    <row r="1773" spans="2:33">
      <c r="B1773" s="86"/>
      <c r="C1773" s="84"/>
      <c r="D1773" s="86"/>
      <c r="E1773" s="84"/>
      <c r="F1773" s="284"/>
      <c r="G1773" s="49"/>
      <c r="H1773" s="284"/>
      <c r="I1773" s="74"/>
      <c r="J1773" s="371"/>
      <c r="K1773" s="77"/>
      <c r="L1773" s="160"/>
      <c r="M1773" s="388"/>
      <c r="N1773" s="375"/>
      <c r="O1773" s="370"/>
      <c r="T1773" s="340"/>
      <c r="W1773" s="113"/>
      <c r="X1773" s="241"/>
      <c r="Y1773" s="284"/>
      <c r="Z1773" s="207"/>
      <c r="AA1773" s="284"/>
      <c r="AB1773" s="284"/>
      <c r="AC1773" s="137"/>
      <c r="AD1773" s="284"/>
      <c r="AE1773" s="299"/>
      <c r="AF1773" s="299"/>
      <c r="AG1773" s="284"/>
    </row>
    <row r="1774" spans="2:33">
      <c r="B1774" s="86"/>
      <c r="C1774" s="84"/>
      <c r="D1774" s="86"/>
      <c r="E1774" s="84"/>
      <c r="F1774" s="284"/>
      <c r="G1774" s="49"/>
      <c r="H1774" s="284"/>
      <c r="I1774" s="74"/>
      <c r="J1774" s="371"/>
      <c r="K1774" s="77"/>
      <c r="L1774" s="160"/>
      <c r="M1774" s="388"/>
      <c r="N1774" s="375"/>
      <c r="O1774" s="370"/>
      <c r="T1774" s="340"/>
      <c r="W1774" s="113"/>
      <c r="X1774" s="241"/>
      <c r="Y1774" s="284"/>
      <c r="Z1774" s="207"/>
      <c r="AA1774" s="284"/>
      <c r="AB1774" s="284"/>
      <c r="AC1774" s="137"/>
      <c r="AD1774" s="284"/>
      <c r="AE1774" s="299"/>
      <c r="AF1774" s="299"/>
      <c r="AG1774" s="284"/>
    </row>
    <row r="1775" spans="2:33">
      <c r="B1775" s="86"/>
      <c r="C1775" s="84"/>
      <c r="D1775" s="86"/>
      <c r="E1775" s="84"/>
      <c r="F1775" s="284"/>
      <c r="G1775" s="49"/>
      <c r="H1775" s="284"/>
      <c r="I1775" s="74"/>
      <c r="J1775" s="371"/>
      <c r="K1775" s="77"/>
      <c r="L1775" s="160"/>
      <c r="M1775" s="388"/>
      <c r="N1775" s="375"/>
      <c r="O1775" s="370"/>
      <c r="T1775" s="340"/>
      <c r="W1775" s="113"/>
      <c r="X1775" s="241"/>
      <c r="Y1775" s="284"/>
      <c r="Z1775" s="207"/>
      <c r="AA1775" s="284"/>
      <c r="AB1775" s="284"/>
      <c r="AC1775" s="137"/>
      <c r="AD1775" s="284"/>
      <c r="AE1775" s="299"/>
      <c r="AF1775" s="299"/>
      <c r="AG1775" s="284"/>
    </row>
    <row r="1776" spans="2:33">
      <c r="B1776" s="86"/>
      <c r="C1776" s="84"/>
      <c r="D1776" s="86"/>
      <c r="E1776" s="84"/>
      <c r="F1776" s="284"/>
      <c r="G1776" s="49"/>
      <c r="H1776" s="284"/>
      <c r="I1776" s="74"/>
      <c r="J1776" s="371"/>
      <c r="K1776" s="77"/>
      <c r="L1776" s="160"/>
      <c r="M1776" s="388"/>
      <c r="N1776" s="375"/>
      <c r="O1776" s="370"/>
      <c r="T1776" s="340"/>
      <c r="W1776" s="113"/>
      <c r="X1776" s="241"/>
      <c r="Y1776" s="284"/>
      <c r="Z1776" s="207"/>
      <c r="AA1776" s="284"/>
      <c r="AB1776" s="284"/>
      <c r="AC1776" s="137"/>
      <c r="AD1776" s="284"/>
      <c r="AE1776" s="299"/>
      <c r="AF1776" s="299"/>
      <c r="AG1776" s="284"/>
    </row>
    <row r="1777" spans="2:33">
      <c r="B1777" s="86"/>
      <c r="C1777" s="84"/>
      <c r="D1777" s="86"/>
      <c r="E1777" s="84"/>
      <c r="F1777" s="284"/>
      <c r="G1777" s="49"/>
      <c r="H1777" s="284"/>
      <c r="I1777" s="74"/>
      <c r="J1777" s="371"/>
      <c r="K1777" s="77"/>
      <c r="L1777" s="160"/>
      <c r="M1777" s="388"/>
      <c r="N1777" s="375"/>
      <c r="O1777" s="370"/>
      <c r="T1777" s="340"/>
      <c r="W1777" s="113"/>
      <c r="X1777" s="241"/>
      <c r="Y1777" s="284"/>
      <c r="Z1777" s="207"/>
      <c r="AA1777" s="284"/>
      <c r="AB1777" s="284"/>
      <c r="AC1777" s="137"/>
      <c r="AD1777" s="284"/>
      <c r="AE1777" s="299"/>
      <c r="AF1777" s="299"/>
      <c r="AG1777" s="284"/>
    </row>
    <row r="1778" spans="2:33">
      <c r="B1778" s="86"/>
      <c r="C1778" s="84"/>
      <c r="D1778" s="86"/>
      <c r="E1778" s="84"/>
      <c r="F1778" s="284"/>
      <c r="G1778" s="49"/>
      <c r="H1778" s="284"/>
      <c r="I1778" s="74"/>
      <c r="J1778" s="371"/>
      <c r="K1778" s="77"/>
      <c r="L1778" s="160"/>
      <c r="M1778" s="388"/>
      <c r="N1778" s="375"/>
      <c r="O1778" s="370"/>
      <c r="T1778" s="340"/>
      <c r="W1778" s="113"/>
      <c r="X1778" s="241"/>
      <c r="Y1778" s="284"/>
      <c r="Z1778" s="207"/>
      <c r="AA1778" s="284"/>
      <c r="AB1778" s="284"/>
      <c r="AC1778" s="137"/>
      <c r="AD1778" s="284"/>
      <c r="AE1778" s="299"/>
      <c r="AF1778" s="299"/>
      <c r="AG1778" s="284"/>
    </row>
    <row r="1779" spans="2:33">
      <c r="B1779" s="86"/>
      <c r="C1779" s="84"/>
      <c r="D1779" s="86"/>
      <c r="E1779" s="84"/>
      <c r="F1779" s="284"/>
      <c r="G1779" s="49"/>
      <c r="H1779" s="284"/>
      <c r="I1779" s="74"/>
      <c r="J1779" s="371"/>
      <c r="K1779" s="77"/>
      <c r="L1779" s="160"/>
      <c r="M1779" s="388"/>
      <c r="N1779" s="375"/>
      <c r="O1779" s="370"/>
      <c r="T1779" s="340"/>
      <c r="W1779" s="113"/>
      <c r="X1779" s="241"/>
      <c r="Y1779" s="284"/>
      <c r="Z1779" s="207"/>
      <c r="AA1779" s="284"/>
      <c r="AB1779" s="284"/>
      <c r="AC1779" s="137"/>
      <c r="AD1779" s="284"/>
      <c r="AE1779" s="299"/>
      <c r="AF1779" s="299"/>
      <c r="AG1779" s="284"/>
    </row>
    <row r="1780" spans="2:33">
      <c r="B1780" s="86"/>
      <c r="C1780" s="84"/>
      <c r="D1780" s="86"/>
      <c r="E1780" s="84"/>
      <c r="F1780" s="284"/>
      <c r="G1780" s="49"/>
      <c r="H1780" s="284"/>
      <c r="I1780" s="74"/>
      <c r="J1780" s="371"/>
      <c r="K1780" s="77"/>
      <c r="L1780" s="160"/>
      <c r="M1780" s="388"/>
      <c r="N1780" s="375"/>
      <c r="O1780" s="370"/>
      <c r="T1780" s="340"/>
      <c r="W1780" s="113"/>
      <c r="X1780" s="241"/>
      <c r="Y1780" s="284"/>
      <c r="Z1780" s="207"/>
      <c r="AA1780" s="284"/>
      <c r="AB1780" s="284"/>
      <c r="AC1780" s="137"/>
      <c r="AD1780" s="284"/>
      <c r="AE1780" s="299"/>
      <c r="AF1780" s="299"/>
      <c r="AG1780" s="284"/>
    </row>
    <row r="1781" spans="2:33">
      <c r="B1781" s="86"/>
      <c r="C1781" s="84"/>
      <c r="D1781" s="86"/>
      <c r="E1781" s="84"/>
      <c r="F1781" s="284"/>
      <c r="G1781" s="49"/>
      <c r="H1781" s="284"/>
      <c r="I1781" s="74"/>
      <c r="J1781" s="371"/>
      <c r="K1781" s="77"/>
      <c r="L1781" s="160"/>
      <c r="M1781" s="388"/>
      <c r="N1781" s="375"/>
      <c r="O1781" s="370"/>
      <c r="T1781" s="340"/>
      <c r="W1781" s="113"/>
      <c r="X1781" s="241"/>
      <c r="Y1781" s="284"/>
      <c r="Z1781" s="207"/>
      <c r="AA1781" s="284"/>
      <c r="AB1781" s="284"/>
      <c r="AC1781" s="137"/>
      <c r="AD1781" s="284"/>
      <c r="AE1781" s="299"/>
      <c r="AF1781" s="299"/>
      <c r="AG1781" s="284"/>
    </row>
    <row r="1782" spans="2:33">
      <c r="B1782" s="86"/>
      <c r="C1782" s="84"/>
      <c r="D1782" s="86"/>
      <c r="E1782" s="84"/>
      <c r="F1782" s="284"/>
      <c r="G1782" s="49"/>
      <c r="H1782" s="284"/>
      <c r="I1782" s="74"/>
      <c r="J1782" s="371"/>
      <c r="K1782" s="77"/>
      <c r="L1782" s="160"/>
      <c r="M1782" s="388"/>
      <c r="N1782" s="375"/>
      <c r="O1782" s="370"/>
      <c r="T1782" s="340"/>
      <c r="W1782" s="113"/>
      <c r="X1782" s="241"/>
      <c r="Y1782" s="284"/>
      <c r="Z1782" s="207"/>
      <c r="AA1782" s="284"/>
      <c r="AB1782" s="284"/>
      <c r="AC1782" s="137"/>
      <c r="AD1782" s="284"/>
      <c r="AE1782" s="299"/>
      <c r="AF1782" s="299"/>
      <c r="AG1782" s="284"/>
    </row>
    <row r="1783" spans="2:33">
      <c r="B1783" s="86"/>
      <c r="C1783" s="84"/>
      <c r="D1783" s="86"/>
      <c r="E1783" s="84"/>
      <c r="F1783" s="284"/>
      <c r="G1783" s="49"/>
      <c r="H1783" s="284"/>
      <c r="I1783" s="74"/>
      <c r="J1783" s="371"/>
      <c r="K1783" s="77"/>
      <c r="L1783" s="160"/>
      <c r="M1783" s="388"/>
      <c r="N1783" s="375"/>
      <c r="O1783" s="370"/>
      <c r="T1783" s="340"/>
      <c r="W1783" s="113"/>
      <c r="X1783" s="241"/>
      <c r="Y1783" s="284"/>
      <c r="Z1783" s="207"/>
      <c r="AA1783" s="284"/>
      <c r="AB1783" s="284"/>
      <c r="AC1783" s="137"/>
      <c r="AD1783" s="284"/>
      <c r="AE1783" s="299"/>
      <c r="AF1783" s="299"/>
      <c r="AG1783" s="284"/>
    </row>
    <row r="1784" spans="2:33">
      <c r="B1784" s="86"/>
      <c r="C1784" s="84"/>
      <c r="D1784" s="86"/>
      <c r="E1784" s="84"/>
      <c r="F1784" s="284"/>
      <c r="G1784" s="49"/>
      <c r="H1784" s="284"/>
      <c r="I1784" s="74"/>
      <c r="J1784" s="371"/>
      <c r="K1784" s="77"/>
      <c r="L1784" s="160"/>
      <c r="M1784" s="388"/>
      <c r="N1784" s="375"/>
      <c r="O1784" s="370"/>
      <c r="T1784" s="340"/>
      <c r="W1784" s="113"/>
      <c r="X1784" s="241"/>
      <c r="Y1784" s="284"/>
      <c r="Z1784" s="207"/>
      <c r="AA1784" s="284"/>
      <c r="AB1784" s="284"/>
      <c r="AC1784" s="137"/>
      <c r="AD1784" s="284"/>
      <c r="AE1784" s="299"/>
      <c r="AF1784" s="299"/>
      <c r="AG1784" s="284"/>
    </row>
    <row r="1785" spans="2:33">
      <c r="B1785" s="86"/>
      <c r="C1785" s="84"/>
      <c r="D1785" s="86"/>
      <c r="E1785" s="84"/>
      <c r="F1785" s="284"/>
      <c r="G1785" s="49"/>
      <c r="H1785" s="284"/>
      <c r="I1785" s="74"/>
      <c r="J1785" s="371"/>
      <c r="K1785" s="77"/>
      <c r="L1785" s="160"/>
      <c r="M1785" s="388"/>
      <c r="N1785" s="375"/>
      <c r="O1785" s="370"/>
      <c r="T1785" s="340"/>
      <c r="W1785" s="113"/>
      <c r="X1785" s="241"/>
      <c r="Y1785" s="284"/>
      <c r="Z1785" s="207"/>
      <c r="AA1785" s="284"/>
      <c r="AB1785" s="284"/>
      <c r="AC1785" s="137"/>
      <c r="AD1785" s="284"/>
      <c r="AE1785" s="299"/>
      <c r="AF1785" s="299"/>
      <c r="AG1785" s="284"/>
    </row>
    <row r="1786" spans="2:33">
      <c r="B1786" s="86"/>
      <c r="C1786" s="84"/>
      <c r="D1786" s="86"/>
      <c r="E1786" s="84"/>
      <c r="F1786" s="284"/>
      <c r="G1786" s="49"/>
      <c r="H1786" s="284"/>
      <c r="I1786" s="74"/>
      <c r="J1786" s="371"/>
      <c r="K1786" s="77"/>
      <c r="L1786" s="160"/>
      <c r="M1786" s="388"/>
      <c r="N1786" s="375"/>
      <c r="O1786" s="370"/>
      <c r="T1786" s="340"/>
      <c r="W1786" s="113"/>
      <c r="X1786" s="241"/>
      <c r="Y1786" s="284"/>
      <c r="Z1786" s="207"/>
      <c r="AA1786" s="284"/>
      <c r="AB1786" s="284"/>
      <c r="AC1786" s="137"/>
      <c r="AD1786" s="284"/>
      <c r="AE1786" s="299"/>
      <c r="AF1786" s="299"/>
      <c r="AG1786" s="284"/>
    </row>
    <row r="1787" spans="2:33">
      <c r="B1787" s="86"/>
      <c r="C1787" s="84"/>
      <c r="D1787" s="86"/>
      <c r="E1787" s="84"/>
      <c r="F1787" s="284"/>
      <c r="G1787" s="49"/>
      <c r="H1787" s="284"/>
      <c r="I1787" s="74"/>
      <c r="J1787" s="371"/>
      <c r="K1787" s="77"/>
      <c r="L1787" s="160"/>
      <c r="M1787" s="388"/>
      <c r="N1787" s="375"/>
      <c r="O1787" s="370"/>
      <c r="T1787" s="340"/>
      <c r="W1787" s="113"/>
      <c r="X1787" s="241"/>
      <c r="Y1787" s="284"/>
      <c r="Z1787" s="207"/>
      <c r="AA1787" s="284"/>
      <c r="AB1787" s="284"/>
      <c r="AC1787" s="137"/>
      <c r="AD1787" s="284"/>
      <c r="AE1787" s="299"/>
      <c r="AF1787" s="299"/>
      <c r="AG1787" s="284"/>
    </row>
    <row r="1788" spans="2:33">
      <c r="B1788" s="86"/>
      <c r="C1788" s="84"/>
      <c r="D1788" s="86"/>
      <c r="E1788" s="84"/>
      <c r="F1788" s="284"/>
      <c r="G1788" s="49"/>
      <c r="H1788" s="284"/>
      <c r="I1788" s="74"/>
      <c r="J1788" s="371"/>
      <c r="K1788" s="77"/>
      <c r="L1788" s="160"/>
      <c r="M1788" s="388"/>
      <c r="N1788" s="375"/>
      <c r="O1788" s="370"/>
      <c r="T1788" s="340"/>
      <c r="W1788" s="113"/>
      <c r="X1788" s="241"/>
      <c r="Y1788" s="284"/>
      <c r="Z1788" s="207"/>
      <c r="AA1788" s="284"/>
      <c r="AB1788" s="284"/>
      <c r="AC1788" s="137"/>
      <c r="AD1788" s="284"/>
      <c r="AE1788" s="299"/>
      <c r="AF1788" s="299"/>
      <c r="AG1788" s="284"/>
    </row>
    <row r="1789" spans="2:33">
      <c r="B1789" s="86"/>
      <c r="C1789" s="84"/>
      <c r="D1789" s="86"/>
      <c r="E1789" s="84"/>
      <c r="F1789" s="284"/>
      <c r="G1789" s="49"/>
      <c r="H1789" s="284"/>
      <c r="I1789" s="74"/>
      <c r="J1789" s="371"/>
      <c r="K1789" s="77"/>
      <c r="L1789" s="160"/>
      <c r="M1789" s="388"/>
      <c r="N1789" s="375"/>
      <c r="O1789" s="370"/>
      <c r="T1789" s="340"/>
      <c r="W1789" s="113"/>
      <c r="X1789" s="241"/>
      <c r="Y1789" s="284"/>
      <c r="Z1789" s="207"/>
      <c r="AA1789" s="284"/>
      <c r="AB1789" s="284"/>
      <c r="AC1789" s="137"/>
      <c r="AD1789" s="284"/>
      <c r="AE1789" s="299"/>
      <c r="AF1789" s="299"/>
      <c r="AG1789" s="284"/>
    </row>
    <row r="1790" spans="2:33">
      <c r="B1790" s="86"/>
      <c r="C1790" s="84"/>
      <c r="D1790" s="86"/>
      <c r="E1790" s="84"/>
      <c r="F1790" s="284"/>
      <c r="G1790" s="49"/>
      <c r="H1790" s="284"/>
      <c r="I1790" s="74"/>
      <c r="J1790" s="371"/>
      <c r="K1790" s="77"/>
      <c r="L1790" s="160"/>
      <c r="M1790" s="388"/>
      <c r="N1790" s="375"/>
      <c r="O1790" s="370"/>
      <c r="T1790" s="340"/>
      <c r="W1790" s="113"/>
      <c r="X1790" s="241"/>
      <c r="Y1790" s="284"/>
      <c r="Z1790" s="207"/>
      <c r="AA1790" s="284"/>
      <c r="AB1790" s="284"/>
      <c r="AC1790" s="137"/>
      <c r="AD1790" s="284"/>
      <c r="AE1790" s="299"/>
      <c r="AF1790" s="299"/>
      <c r="AG1790" s="284"/>
    </row>
    <row r="1791" spans="2:33">
      <c r="B1791" s="86"/>
      <c r="C1791" s="84"/>
      <c r="D1791" s="86"/>
      <c r="E1791" s="84"/>
      <c r="F1791" s="284"/>
      <c r="G1791" s="49"/>
      <c r="H1791" s="284"/>
      <c r="I1791" s="74"/>
      <c r="J1791" s="371"/>
      <c r="K1791" s="77"/>
      <c r="L1791" s="160"/>
      <c r="M1791" s="388"/>
      <c r="N1791" s="375"/>
      <c r="O1791" s="370"/>
      <c r="T1791" s="340"/>
      <c r="W1791" s="113"/>
      <c r="X1791" s="241"/>
      <c r="Y1791" s="284"/>
      <c r="Z1791" s="207"/>
      <c r="AA1791" s="284"/>
      <c r="AB1791" s="284"/>
      <c r="AC1791" s="137"/>
      <c r="AD1791" s="284"/>
      <c r="AE1791" s="299"/>
      <c r="AF1791" s="299"/>
      <c r="AG1791" s="284"/>
    </row>
    <row r="1792" spans="2:33">
      <c r="B1792" s="86"/>
      <c r="C1792" s="84"/>
      <c r="D1792" s="86"/>
      <c r="E1792" s="84"/>
      <c r="F1792" s="284"/>
      <c r="G1792" s="49"/>
      <c r="H1792" s="284"/>
      <c r="I1792" s="74"/>
      <c r="J1792" s="371"/>
      <c r="K1792" s="77"/>
      <c r="L1792" s="160"/>
      <c r="M1792" s="388"/>
      <c r="N1792" s="375"/>
      <c r="O1792" s="370"/>
      <c r="T1792" s="340"/>
      <c r="W1792" s="113"/>
      <c r="X1792" s="241"/>
      <c r="Y1792" s="284"/>
      <c r="Z1792" s="207"/>
      <c r="AA1792" s="284"/>
      <c r="AB1792" s="284"/>
      <c r="AC1792" s="137"/>
      <c r="AD1792" s="284"/>
      <c r="AE1792" s="299"/>
      <c r="AF1792" s="299"/>
      <c r="AG1792" s="284"/>
    </row>
    <row r="1793" spans="2:33">
      <c r="B1793" s="86"/>
      <c r="C1793" s="84"/>
      <c r="D1793" s="86"/>
      <c r="E1793" s="84"/>
      <c r="F1793" s="284"/>
      <c r="G1793" s="49"/>
      <c r="H1793" s="284"/>
      <c r="I1793" s="74"/>
      <c r="J1793" s="371"/>
      <c r="K1793" s="77"/>
      <c r="L1793" s="160"/>
      <c r="M1793" s="388"/>
      <c r="N1793" s="375"/>
      <c r="O1793" s="370"/>
      <c r="T1793" s="340"/>
      <c r="W1793" s="113"/>
      <c r="X1793" s="241"/>
      <c r="Y1793" s="284"/>
      <c r="Z1793" s="207"/>
      <c r="AA1793" s="284"/>
      <c r="AB1793" s="284"/>
      <c r="AC1793" s="137"/>
      <c r="AD1793" s="284"/>
      <c r="AE1793" s="299"/>
      <c r="AF1793" s="299"/>
      <c r="AG1793" s="284"/>
    </row>
    <row r="1794" spans="2:33">
      <c r="B1794" s="86"/>
      <c r="C1794" s="84"/>
      <c r="D1794" s="86"/>
      <c r="E1794" s="84"/>
      <c r="F1794" s="284"/>
      <c r="G1794" s="49"/>
      <c r="H1794" s="284"/>
      <c r="I1794" s="74"/>
      <c r="J1794" s="371"/>
      <c r="K1794" s="77"/>
      <c r="L1794" s="160"/>
      <c r="M1794" s="388"/>
      <c r="N1794" s="375"/>
      <c r="O1794" s="370"/>
      <c r="T1794" s="340"/>
      <c r="W1794" s="113"/>
      <c r="X1794" s="241"/>
      <c r="Y1794" s="284"/>
      <c r="Z1794" s="207"/>
      <c r="AA1794" s="284"/>
      <c r="AB1794" s="284"/>
      <c r="AC1794" s="137"/>
      <c r="AD1794" s="284"/>
      <c r="AE1794" s="299"/>
      <c r="AF1794" s="299"/>
      <c r="AG1794" s="284"/>
    </row>
    <row r="1795" spans="2:33">
      <c r="B1795" s="86"/>
      <c r="C1795" s="84"/>
      <c r="D1795" s="86"/>
      <c r="E1795" s="84"/>
      <c r="F1795" s="284"/>
      <c r="G1795" s="49"/>
      <c r="H1795" s="284"/>
      <c r="I1795" s="74"/>
      <c r="J1795" s="371"/>
      <c r="K1795" s="77"/>
      <c r="L1795" s="160"/>
      <c r="M1795" s="388"/>
      <c r="N1795" s="375"/>
      <c r="O1795" s="370"/>
      <c r="T1795" s="340"/>
      <c r="W1795" s="113"/>
      <c r="X1795" s="241"/>
      <c r="Y1795" s="284"/>
      <c r="Z1795" s="207"/>
      <c r="AA1795" s="284"/>
      <c r="AB1795" s="284"/>
      <c r="AC1795" s="137"/>
      <c r="AD1795" s="284"/>
      <c r="AE1795" s="299"/>
      <c r="AF1795" s="299"/>
      <c r="AG1795" s="284"/>
    </row>
    <row r="1796" spans="2:33">
      <c r="B1796" s="86"/>
      <c r="C1796" s="84"/>
      <c r="D1796" s="86"/>
      <c r="E1796" s="84"/>
      <c r="F1796" s="284"/>
      <c r="G1796" s="49"/>
      <c r="H1796" s="284"/>
      <c r="I1796" s="74"/>
      <c r="J1796" s="371"/>
      <c r="K1796" s="77"/>
      <c r="L1796" s="160"/>
      <c r="M1796" s="388"/>
      <c r="N1796" s="375"/>
      <c r="O1796" s="370"/>
      <c r="T1796" s="340"/>
      <c r="W1796" s="113"/>
      <c r="X1796" s="241"/>
      <c r="Y1796" s="284"/>
      <c r="Z1796" s="207"/>
      <c r="AA1796" s="284"/>
      <c r="AB1796" s="284"/>
      <c r="AC1796" s="137"/>
      <c r="AD1796" s="284"/>
      <c r="AE1796" s="299"/>
      <c r="AF1796" s="299"/>
      <c r="AG1796" s="284"/>
    </row>
    <row r="1797" spans="2:33">
      <c r="B1797" s="86"/>
      <c r="C1797" s="84"/>
      <c r="D1797" s="86"/>
      <c r="E1797" s="84"/>
      <c r="F1797" s="284"/>
      <c r="G1797" s="49"/>
      <c r="H1797" s="284"/>
      <c r="I1797" s="74"/>
      <c r="J1797" s="371"/>
      <c r="K1797" s="77"/>
      <c r="L1797" s="160"/>
      <c r="M1797" s="388"/>
      <c r="N1797" s="375"/>
      <c r="O1797" s="370"/>
      <c r="T1797" s="340"/>
      <c r="W1797" s="113"/>
      <c r="X1797" s="241"/>
      <c r="Y1797" s="284"/>
      <c r="Z1797" s="207"/>
      <c r="AA1797" s="284"/>
      <c r="AB1797" s="284"/>
      <c r="AC1797" s="137"/>
      <c r="AD1797" s="284"/>
      <c r="AE1797" s="299"/>
      <c r="AF1797" s="299"/>
      <c r="AG1797" s="284"/>
    </row>
    <row r="1798" spans="2:33">
      <c r="B1798" s="86"/>
      <c r="C1798" s="84"/>
      <c r="D1798" s="86"/>
      <c r="E1798" s="84"/>
      <c r="F1798" s="284"/>
      <c r="G1798" s="49"/>
      <c r="H1798" s="284"/>
      <c r="I1798" s="74"/>
      <c r="J1798" s="371"/>
      <c r="K1798" s="77"/>
      <c r="L1798" s="160"/>
      <c r="M1798" s="388"/>
      <c r="N1798" s="375"/>
      <c r="O1798" s="370"/>
      <c r="T1798" s="340"/>
      <c r="W1798" s="113"/>
      <c r="X1798" s="241"/>
      <c r="Y1798" s="284"/>
      <c r="Z1798" s="207"/>
      <c r="AA1798" s="284"/>
      <c r="AB1798" s="284"/>
      <c r="AC1798" s="137"/>
      <c r="AD1798" s="284"/>
      <c r="AE1798" s="299"/>
      <c r="AF1798" s="299"/>
      <c r="AG1798" s="284"/>
    </row>
    <row r="1799" spans="2:33">
      <c r="B1799" s="86"/>
      <c r="C1799" s="84"/>
      <c r="D1799" s="86"/>
      <c r="E1799" s="84"/>
      <c r="F1799" s="284"/>
      <c r="G1799" s="49"/>
      <c r="H1799" s="284"/>
      <c r="I1799" s="74"/>
      <c r="J1799" s="371"/>
      <c r="K1799" s="77"/>
      <c r="L1799" s="160"/>
      <c r="M1799" s="388"/>
      <c r="N1799" s="375"/>
      <c r="O1799" s="370"/>
      <c r="T1799" s="340"/>
      <c r="W1799" s="113"/>
      <c r="X1799" s="241"/>
      <c r="Y1799" s="284"/>
      <c r="Z1799" s="207"/>
      <c r="AA1799" s="284"/>
      <c r="AB1799" s="284"/>
      <c r="AC1799" s="137"/>
      <c r="AD1799" s="284"/>
      <c r="AE1799" s="299"/>
      <c r="AF1799" s="299"/>
      <c r="AG1799" s="284"/>
    </row>
    <row r="1800" spans="2:33">
      <c r="B1800" s="86"/>
      <c r="C1800" s="84"/>
      <c r="D1800" s="86"/>
      <c r="E1800" s="84"/>
      <c r="F1800" s="284"/>
      <c r="G1800" s="49"/>
      <c r="H1800" s="284"/>
      <c r="I1800" s="74"/>
      <c r="J1800" s="371"/>
      <c r="K1800" s="77"/>
      <c r="L1800" s="160"/>
      <c r="M1800" s="388"/>
      <c r="N1800" s="375"/>
      <c r="O1800" s="370"/>
      <c r="T1800" s="340"/>
      <c r="W1800" s="113"/>
      <c r="X1800" s="241"/>
      <c r="Y1800" s="284"/>
      <c r="Z1800" s="207"/>
      <c r="AA1800" s="284"/>
      <c r="AB1800" s="284"/>
      <c r="AC1800" s="137"/>
      <c r="AD1800" s="284"/>
      <c r="AE1800" s="299"/>
      <c r="AF1800" s="299"/>
      <c r="AG1800" s="284"/>
    </row>
    <row r="1801" spans="2:33">
      <c r="B1801" s="86"/>
      <c r="C1801" s="84"/>
      <c r="D1801" s="86"/>
      <c r="E1801" s="84"/>
      <c r="F1801" s="284"/>
      <c r="G1801" s="49"/>
      <c r="H1801" s="284"/>
      <c r="I1801" s="74"/>
      <c r="J1801" s="371"/>
      <c r="K1801" s="77"/>
      <c r="L1801" s="160"/>
      <c r="M1801" s="388"/>
      <c r="N1801" s="375"/>
      <c r="O1801" s="370"/>
      <c r="T1801" s="340"/>
      <c r="W1801" s="113"/>
      <c r="X1801" s="241"/>
      <c r="Y1801" s="284"/>
      <c r="Z1801" s="207"/>
      <c r="AA1801" s="284"/>
      <c r="AB1801" s="284"/>
      <c r="AC1801" s="137"/>
      <c r="AD1801" s="284"/>
      <c r="AE1801" s="299"/>
      <c r="AF1801" s="299"/>
      <c r="AG1801" s="284"/>
    </row>
    <row r="1802" spans="2:33">
      <c r="B1802" s="86"/>
      <c r="C1802" s="84"/>
      <c r="D1802" s="86"/>
      <c r="E1802" s="84"/>
      <c r="F1802" s="284"/>
      <c r="G1802" s="49"/>
      <c r="H1802" s="284"/>
      <c r="I1802" s="74"/>
      <c r="J1802" s="371"/>
      <c r="K1802" s="77"/>
      <c r="L1802" s="160"/>
      <c r="M1802" s="388"/>
      <c r="N1802" s="375"/>
      <c r="O1802" s="370"/>
      <c r="T1802" s="340"/>
      <c r="W1802" s="113"/>
      <c r="X1802" s="241"/>
      <c r="Y1802" s="284"/>
      <c r="Z1802" s="207"/>
      <c r="AA1802" s="284"/>
      <c r="AB1802" s="284"/>
      <c r="AC1802" s="137"/>
      <c r="AD1802" s="284"/>
      <c r="AE1802" s="299"/>
      <c r="AF1802" s="299"/>
      <c r="AG1802" s="284"/>
    </row>
    <row r="1803" spans="2:33">
      <c r="B1803" s="86"/>
      <c r="C1803" s="84"/>
      <c r="D1803" s="86"/>
      <c r="E1803" s="84"/>
      <c r="F1803" s="284"/>
      <c r="G1803" s="49"/>
      <c r="H1803" s="284"/>
      <c r="I1803" s="74"/>
      <c r="J1803" s="371"/>
      <c r="K1803" s="77"/>
      <c r="L1803" s="160"/>
      <c r="M1803" s="388"/>
      <c r="N1803" s="375"/>
      <c r="O1803" s="370"/>
      <c r="T1803" s="340"/>
      <c r="W1803" s="113"/>
      <c r="X1803" s="241"/>
      <c r="Y1803" s="284"/>
      <c r="Z1803" s="207"/>
      <c r="AA1803" s="284"/>
      <c r="AB1803" s="284"/>
      <c r="AC1803" s="137"/>
      <c r="AD1803" s="284"/>
      <c r="AE1803" s="299"/>
      <c r="AF1803" s="299"/>
      <c r="AG1803" s="284"/>
    </row>
    <row r="1804" spans="2:33">
      <c r="B1804" s="86"/>
      <c r="C1804" s="84"/>
      <c r="D1804" s="86"/>
      <c r="E1804" s="84"/>
      <c r="F1804" s="284"/>
      <c r="G1804" s="49"/>
      <c r="H1804" s="284"/>
      <c r="I1804" s="74"/>
      <c r="J1804" s="371"/>
      <c r="K1804" s="77"/>
      <c r="L1804" s="160"/>
      <c r="M1804" s="388"/>
      <c r="N1804" s="375"/>
      <c r="O1804" s="370"/>
      <c r="T1804" s="340"/>
      <c r="W1804" s="113"/>
      <c r="X1804" s="241"/>
      <c r="Y1804" s="284"/>
      <c r="Z1804" s="207"/>
      <c r="AA1804" s="284"/>
      <c r="AB1804" s="284"/>
      <c r="AC1804" s="137"/>
      <c r="AD1804" s="284"/>
      <c r="AE1804" s="299"/>
      <c r="AF1804" s="299"/>
      <c r="AG1804" s="284"/>
    </row>
    <row r="1805" spans="2:33">
      <c r="B1805" s="86"/>
      <c r="C1805" s="84"/>
      <c r="D1805" s="86"/>
      <c r="E1805" s="84"/>
      <c r="F1805" s="284"/>
      <c r="G1805" s="49"/>
      <c r="H1805" s="284"/>
      <c r="I1805" s="74"/>
      <c r="J1805" s="371"/>
      <c r="K1805" s="77"/>
      <c r="L1805" s="160"/>
      <c r="M1805" s="388"/>
      <c r="N1805" s="375"/>
      <c r="O1805" s="370"/>
      <c r="T1805" s="340"/>
      <c r="W1805" s="113"/>
      <c r="X1805" s="241"/>
      <c r="Y1805" s="284"/>
      <c r="Z1805" s="207"/>
      <c r="AA1805" s="284"/>
      <c r="AB1805" s="284"/>
      <c r="AC1805" s="137"/>
      <c r="AD1805" s="284"/>
      <c r="AE1805" s="299"/>
      <c r="AF1805" s="299"/>
      <c r="AG1805" s="284"/>
    </row>
    <row r="1806" spans="2:33">
      <c r="B1806" s="86"/>
      <c r="C1806" s="84"/>
      <c r="D1806" s="86"/>
      <c r="E1806" s="84"/>
      <c r="F1806" s="284"/>
      <c r="G1806" s="49"/>
      <c r="H1806" s="284"/>
      <c r="I1806" s="74"/>
      <c r="J1806" s="371"/>
      <c r="K1806" s="77"/>
      <c r="L1806" s="160"/>
      <c r="M1806" s="388"/>
      <c r="N1806" s="375"/>
      <c r="O1806" s="370"/>
      <c r="T1806" s="340"/>
      <c r="W1806" s="113"/>
      <c r="X1806" s="241"/>
      <c r="Y1806" s="284"/>
      <c r="Z1806" s="207"/>
      <c r="AA1806" s="284"/>
      <c r="AB1806" s="284"/>
      <c r="AC1806" s="137"/>
      <c r="AD1806" s="284"/>
      <c r="AE1806" s="299"/>
      <c r="AF1806" s="299"/>
      <c r="AG1806" s="284"/>
    </row>
    <row r="1807" spans="2:33">
      <c r="B1807" s="86"/>
      <c r="C1807" s="84"/>
      <c r="D1807" s="86"/>
      <c r="E1807" s="84"/>
      <c r="F1807" s="284"/>
      <c r="G1807" s="49"/>
      <c r="H1807" s="284"/>
      <c r="I1807" s="74"/>
      <c r="J1807" s="371"/>
      <c r="K1807" s="77"/>
      <c r="L1807" s="160"/>
      <c r="M1807" s="388"/>
      <c r="N1807" s="375"/>
      <c r="O1807" s="370"/>
      <c r="T1807" s="340"/>
      <c r="W1807" s="113"/>
      <c r="X1807" s="241"/>
      <c r="Y1807" s="284"/>
      <c r="Z1807" s="207"/>
      <c r="AA1807" s="284"/>
      <c r="AB1807" s="284"/>
      <c r="AC1807" s="137"/>
      <c r="AD1807" s="284"/>
      <c r="AE1807" s="299"/>
      <c r="AF1807" s="299"/>
      <c r="AG1807" s="284"/>
    </row>
    <row r="1808" spans="2:33">
      <c r="B1808" s="86"/>
      <c r="C1808" s="84"/>
      <c r="D1808" s="86"/>
      <c r="E1808" s="84"/>
      <c r="F1808" s="284"/>
      <c r="G1808" s="49"/>
      <c r="H1808" s="284"/>
      <c r="I1808" s="74"/>
      <c r="J1808" s="371"/>
      <c r="K1808" s="77"/>
      <c r="L1808" s="160"/>
      <c r="M1808" s="388"/>
      <c r="N1808" s="375"/>
      <c r="O1808" s="370"/>
      <c r="T1808" s="340"/>
      <c r="W1808" s="113"/>
      <c r="X1808" s="241"/>
      <c r="Y1808" s="284"/>
      <c r="Z1808" s="207"/>
      <c r="AA1808" s="284"/>
      <c r="AB1808" s="284"/>
      <c r="AC1808" s="137"/>
      <c r="AD1808" s="284"/>
      <c r="AE1808" s="299"/>
      <c r="AF1808" s="299"/>
      <c r="AG1808" s="284"/>
    </row>
    <row r="1809" spans="2:33">
      <c r="B1809" s="86"/>
      <c r="C1809" s="84"/>
      <c r="D1809" s="86"/>
      <c r="E1809" s="84"/>
      <c r="F1809" s="284"/>
      <c r="G1809" s="49"/>
      <c r="H1809" s="284"/>
      <c r="I1809" s="74"/>
      <c r="J1809" s="371"/>
      <c r="K1809" s="77"/>
      <c r="L1809" s="160"/>
      <c r="M1809" s="388"/>
      <c r="N1809" s="375"/>
      <c r="O1809" s="370"/>
      <c r="T1809" s="340"/>
      <c r="W1809" s="113"/>
      <c r="X1809" s="241"/>
      <c r="Y1809" s="284"/>
      <c r="Z1809" s="207"/>
      <c r="AA1809" s="284"/>
      <c r="AB1809" s="284"/>
      <c r="AC1809" s="137"/>
      <c r="AD1809" s="284"/>
      <c r="AE1809" s="299"/>
      <c r="AF1809" s="299"/>
      <c r="AG1809" s="284"/>
    </row>
    <row r="1810" spans="2:33">
      <c r="B1810" s="86"/>
      <c r="C1810" s="84"/>
      <c r="D1810" s="86"/>
      <c r="E1810" s="84"/>
      <c r="F1810" s="284"/>
      <c r="G1810" s="49"/>
      <c r="H1810" s="284"/>
      <c r="I1810" s="74"/>
      <c r="J1810" s="371"/>
      <c r="K1810" s="77"/>
      <c r="L1810" s="160"/>
      <c r="M1810" s="388"/>
      <c r="N1810" s="375"/>
      <c r="O1810" s="370"/>
      <c r="T1810" s="340"/>
      <c r="W1810" s="113"/>
      <c r="X1810" s="241"/>
      <c r="Y1810" s="284"/>
      <c r="Z1810" s="207"/>
      <c r="AA1810" s="284"/>
      <c r="AB1810" s="284"/>
      <c r="AC1810" s="137"/>
      <c r="AD1810" s="284"/>
      <c r="AE1810" s="299"/>
      <c r="AF1810" s="299"/>
      <c r="AG1810" s="284"/>
    </row>
    <row r="1811" spans="2:33">
      <c r="B1811" s="86"/>
      <c r="C1811" s="84"/>
      <c r="D1811" s="86"/>
      <c r="E1811" s="84"/>
      <c r="F1811" s="284"/>
      <c r="G1811" s="49"/>
      <c r="H1811" s="284"/>
      <c r="I1811" s="74"/>
      <c r="J1811" s="371"/>
      <c r="K1811" s="77"/>
      <c r="L1811" s="160"/>
      <c r="M1811" s="388"/>
      <c r="N1811" s="375"/>
      <c r="O1811" s="370"/>
      <c r="T1811" s="340"/>
      <c r="W1811" s="113"/>
      <c r="X1811" s="241"/>
      <c r="Y1811" s="284"/>
      <c r="Z1811" s="207"/>
      <c r="AA1811" s="284"/>
      <c r="AB1811" s="284"/>
      <c r="AC1811" s="137"/>
      <c r="AD1811" s="284"/>
      <c r="AE1811" s="299"/>
      <c r="AF1811" s="299"/>
      <c r="AG1811" s="284"/>
    </row>
    <row r="1812" spans="2:33">
      <c r="B1812" s="86"/>
      <c r="C1812" s="84"/>
      <c r="D1812" s="86"/>
      <c r="E1812" s="84"/>
      <c r="F1812" s="284"/>
      <c r="G1812" s="49"/>
      <c r="H1812" s="284"/>
      <c r="I1812" s="74"/>
      <c r="J1812" s="371"/>
      <c r="K1812" s="77"/>
      <c r="L1812" s="160"/>
      <c r="M1812" s="388"/>
      <c r="N1812" s="375"/>
      <c r="O1812" s="370"/>
      <c r="T1812" s="340"/>
      <c r="W1812" s="113"/>
      <c r="X1812" s="241"/>
      <c r="Y1812" s="284"/>
      <c r="Z1812" s="207"/>
      <c r="AA1812" s="284"/>
      <c r="AB1812" s="284"/>
      <c r="AC1812" s="137"/>
      <c r="AD1812" s="284"/>
      <c r="AE1812" s="299"/>
      <c r="AF1812" s="299"/>
      <c r="AG1812" s="284"/>
    </row>
    <row r="1813" spans="2:33">
      <c r="B1813" s="86"/>
      <c r="C1813" s="84"/>
      <c r="D1813" s="86"/>
      <c r="E1813" s="84"/>
      <c r="F1813" s="284"/>
      <c r="G1813" s="49"/>
      <c r="H1813" s="284"/>
      <c r="I1813" s="74"/>
      <c r="J1813" s="371"/>
      <c r="K1813" s="77"/>
      <c r="L1813" s="160"/>
      <c r="M1813" s="388"/>
      <c r="N1813" s="375"/>
      <c r="O1813" s="370"/>
      <c r="T1813" s="340"/>
      <c r="W1813" s="113"/>
      <c r="X1813" s="241"/>
      <c r="Y1813" s="284"/>
      <c r="Z1813" s="207"/>
      <c r="AA1813" s="284"/>
      <c r="AB1813" s="284"/>
      <c r="AC1813" s="137"/>
      <c r="AD1813" s="284"/>
      <c r="AE1813" s="299"/>
      <c r="AF1813" s="299"/>
      <c r="AG1813" s="284"/>
    </row>
    <row r="1814" spans="2:33">
      <c r="B1814" s="86"/>
      <c r="C1814" s="84"/>
      <c r="D1814" s="86"/>
      <c r="E1814" s="84"/>
      <c r="F1814" s="284"/>
      <c r="G1814" s="49"/>
      <c r="H1814" s="284"/>
      <c r="I1814" s="74"/>
      <c r="J1814" s="371"/>
      <c r="K1814" s="77"/>
      <c r="L1814" s="160"/>
      <c r="M1814" s="388"/>
      <c r="N1814" s="375"/>
      <c r="O1814" s="370"/>
      <c r="T1814" s="340"/>
      <c r="W1814" s="113"/>
      <c r="X1814" s="241"/>
      <c r="Y1814" s="284"/>
      <c r="Z1814" s="207"/>
      <c r="AA1814" s="284"/>
      <c r="AB1814" s="284"/>
      <c r="AC1814" s="137"/>
      <c r="AD1814" s="284"/>
      <c r="AE1814" s="299"/>
      <c r="AF1814" s="299"/>
      <c r="AG1814" s="284"/>
    </row>
    <row r="1815" spans="2:33">
      <c r="B1815" s="86"/>
      <c r="C1815" s="84"/>
      <c r="D1815" s="86"/>
      <c r="E1815" s="84"/>
      <c r="F1815" s="284"/>
      <c r="G1815" s="49"/>
      <c r="H1815" s="284"/>
      <c r="I1815" s="74"/>
      <c r="J1815" s="371"/>
      <c r="K1815" s="77"/>
      <c r="L1815" s="160"/>
      <c r="M1815" s="388"/>
      <c r="N1815" s="375"/>
      <c r="O1815" s="370"/>
      <c r="T1815" s="340"/>
      <c r="W1815" s="113"/>
      <c r="X1815" s="241"/>
      <c r="Y1815" s="284"/>
      <c r="Z1815" s="207"/>
      <c r="AA1815" s="284"/>
      <c r="AB1815" s="284"/>
      <c r="AC1815" s="137"/>
      <c r="AD1815" s="284"/>
      <c r="AE1815" s="299"/>
      <c r="AF1815" s="299"/>
      <c r="AG1815" s="284"/>
    </row>
    <row r="1816" spans="2:33">
      <c r="B1816" s="86"/>
      <c r="C1816" s="84"/>
      <c r="D1816" s="86"/>
      <c r="E1816" s="84"/>
      <c r="F1816" s="284"/>
      <c r="G1816" s="49"/>
      <c r="H1816" s="284"/>
      <c r="I1816" s="74"/>
      <c r="J1816" s="371"/>
      <c r="K1816" s="77"/>
      <c r="L1816" s="160"/>
      <c r="M1816" s="388"/>
      <c r="N1816" s="375"/>
      <c r="O1816" s="370"/>
      <c r="T1816" s="340"/>
      <c r="W1816" s="113"/>
      <c r="X1816" s="241"/>
      <c r="Y1816" s="284"/>
      <c r="Z1816" s="207"/>
      <c r="AA1816" s="284"/>
      <c r="AB1816" s="284"/>
      <c r="AC1816" s="137"/>
      <c r="AD1816" s="284"/>
      <c r="AE1816" s="299"/>
      <c r="AF1816" s="299"/>
      <c r="AG1816" s="284"/>
    </row>
    <row r="1817" spans="2:33">
      <c r="B1817" s="86"/>
      <c r="C1817" s="84"/>
      <c r="D1817" s="86"/>
      <c r="E1817" s="84"/>
      <c r="F1817" s="284"/>
      <c r="G1817" s="49"/>
      <c r="H1817" s="284"/>
      <c r="I1817" s="74"/>
      <c r="J1817" s="371"/>
      <c r="K1817" s="77"/>
      <c r="L1817" s="160"/>
      <c r="M1817" s="388"/>
      <c r="N1817" s="375"/>
      <c r="O1817" s="370"/>
      <c r="T1817" s="340"/>
      <c r="W1817" s="113"/>
      <c r="X1817" s="241"/>
      <c r="Y1817" s="284"/>
      <c r="Z1817" s="207"/>
      <c r="AA1817" s="284"/>
      <c r="AB1817" s="284"/>
      <c r="AC1817" s="137"/>
      <c r="AD1817" s="284"/>
      <c r="AE1817" s="299"/>
      <c r="AF1817" s="299"/>
      <c r="AG1817" s="284"/>
    </row>
    <row r="1818" spans="2:33">
      <c r="B1818" s="86"/>
      <c r="C1818" s="84"/>
      <c r="D1818" s="86"/>
      <c r="E1818" s="84"/>
      <c r="F1818" s="284"/>
      <c r="G1818" s="49"/>
      <c r="H1818" s="284"/>
      <c r="I1818" s="74"/>
      <c r="J1818" s="371"/>
      <c r="K1818" s="77"/>
      <c r="L1818" s="160"/>
      <c r="M1818" s="388"/>
      <c r="N1818" s="375"/>
      <c r="O1818" s="370"/>
      <c r="T1818" s="340"/>
      <c r="W1818" s="113"/>
      <c r="X1818" s="241"/>
      <c r="Y1818" s="284"/>
      <c r="Z1818" s="207"/>
      <c r="AA1818" s="284"/>
      <c r="AB1818" s="284"/>
      <c r="AC1818" s="137"/>
      <c r="AD1818" s="284"/>
      <c r="AE1818" s="299"/>
      <c r="AF1818" s="299"/>
      <c r="AG1818" s="284"/>
    </row>
    <row r="1819" spans="2:33">
      <c r="B1819" s="86"/>
      <c r="C1819" s="84"/>
      <c r="D1819" s="86"/>
      <c r="E1819" s="84"/>
      <c r="F1819" s="284"/>
      <c r="G1819" s="49"/>
      <c r="H1819" s="284"/>
      <c r="I1819" s="74"/>
      <c r="J1819" s="371"/>
      <c r="K1819" s="77"/>
      <c r="L1819" s="160"/>
      <c r="M1819" s="388"/>
      <c r="N1819" s="375"/>
      <c r="O1819" s="370"/>
      <c r="T1819" s="340"/>
      <c r="W1819" s="113"/>
      <c r="X1819" s="241"/>
      <c r="Y1819" s="284"/>
      <c r="Z1819" s="207"/>
      <c r="AA1819" s="284"/>
      <c r="AB1819" s="284"/>
      <c r="AC1819" s="137"/>
      <c r="AD1819" s="284"/>
      <c r="AE1819" s="299"/>
      <c r="AF1819" s="299"/>
      <c r="AG1819" s="284"/>
    </row>
    <row r="1820" spans="2:33">
      <c r="B1820" s="86"/>
      <c r="C1820" s="84"/>
      <c r="D1820" s="86"/>
      <c r="E1820" s="84"/>
      <c r="F1820" s="284"/>
      <c r="G1820" s="49"/>
      <c r="H1820" s="284"/>
      <c r="I1820" s="74"/>
      <c r="J1820" s="371"/>
      <c r="K1820" s="77"/>
      <c r="L1820" s="160"/>
      <c r="M1820" s="388"/>
      <c r="N1820" s="375"/>
      <c r="O1820" s="370"/>
      <c r="T1820" s="340"/>
      <c r="W1820" s="113"/>
      <c r="X1820" s="241"/>
      <c r="Y1820" s="284"/>
      <c r="Z1820" s="207"/>
      <c r="AA1820" s="284"/>
      <c r="AB1820" s="284"/>
      <c r="AC1820" s="137"/>
      <c r="AD1820" s="284"/>
      <c r="AE1820" s="299"/>
      <c r="AF1820" s="299"/>
      <c r="AG1820" s="284"/>
    </row>
    <row r="1821" spans="2:33">
      <c r="B1821" s="86"/>
      <c r="C1821" s="84"/>
      <c r="D1821" s="86"/>
      <c r="E1821" s="84"/>
      <c r="F1821" s="284"/>
      <c r="G1821" s="49"/>
      <c r="H1821" s="284"/>
      <c r="I1821" s="74"/>
      <c r="J1821" s="371"/>
      <c r="K1821" s="77"/>
      <c r="L1821" s="160"/>
      <c r="M1821" s="388"/>
      <c r="N1821" s="375"/>
      <c r="O1821" s="370"/>
      <c r="T1821" s="340"/>
      <c r="W1821" s="113"/>
      <c r="X1821" s="241"/>
      <c r="Y1821" s="284"/>
      <c r="Z1821" s="207"/>
      <c r="AA1821" s="284"/>
      <c r="AB1821" s="284"/>
      <c r="AC1821" s="137"/>
      <c r="AD1821" s="284"/>
      <c r="AE1821" s="299"/>
      <c r="AF1821" s="299"/>
      <c r="AG1821" s="284"/>
    </row>
    <row r="1822" spans="2:33">
      <c r="B1822" s="86"/>
      <c r="C1822" s="84"/>
      <c r="D1822" s="86"/>
      <c r="E1822" s="84"/>
      <c r="F1822" s="284"/>
      <c r="G1822" s="49"/>
      <c r="H1822" s="284"/>
      <c r="I1822" s="74"/>
      <c r="J1822" s="371"/>
      <c r="K1822" s="77"/>
      <c r="L1822" s="160"/>
      <c r="M1822" s="388"/>
      <c r="N1822" s="375"/>
      <c r="O1822" s="370"/>
      <c r="T1822" s="340"/>
      <c r="W1822" s="113"/>
      <c r="X1822" s="241"/>
      <c r="Y1822" s="284"/>
      <c r="Z1822" s="207"/>
      <c r="AA1822" s="284"/>
      <c r="AB1822" s="284"/>
      <c r="AC1822" s="137"/>
      <c r="AD1822" s="284"/>
      <c r="AE1822" s="299"/>
      <c r="AF1822" s="299"/>
      <c r="AG1822" s="284"/>
    </row>
    <row r="1823" spans="2:33">
      <c r="B1823" s="86"/>
      <c r="C1823" s="84"/>
      <c r="D1823" s="86"/>
      <c r="E1823" s="84"/>
      <c r="F1823" s="284"/>
      <c r="G1823" s="49"/>
      <c r="H1823" s="284"/>
      <c r="I1823" s="74"/>
      <c r="J1823" s="371"/>
      <c r="K1823" s="77"/>
      <c r="L1823" s="160"/>
      <c r="M1823" s="388"/>
      <c r="N1823" s="375"/>
      <c r="O1823" s="370"/>
      <c r="T1823" s="340"/>
      <c r="W1823" s="113"/>
      <c r="X1823" s="241"/>
      <c r="Y1823" s="284"/>
      <c r="Z1823" s="207"/>
      <c r="AA1823" s="284"/>
      <c r="AB1823" s="284"/>
      <c r="AC1823" s="137"/>
      <c r="AD1823" s="284"/>
      <c r="AE1823" s="299"/>
      <c r="AF1823" s="299"/>
      <c r="AG1823" s="284"/>
    </row>
    <row r="1824" spans="2:33">
      <c r="B1824" s="86"/>
      <c r="C1824" s="84"/>
      <c r="D1824" s="86"/>
      <c r="E1824" s="84"/>
      <c r="F1824" s="284"/>
      <c r="G1824" s="49"/>
      <c r="H1824" s="284"/>
      <c r="I1824" s="74"/>
      <c r="J1824" s="371"/>
      <c r="K1824" s="77"/>
      <c r="L1824" s="160"/>
      <c r="M1824" s="388"/>
      <c r="N1824" s="375"/>
      <c r="O1824" s="370"/>
      <c r="T1824" s="340"/>
      <c r="W1824" s="113"/>
      <c r="X1824" s="241"/>
      <c r="Y1824" s="284"/>
      <c r="Z1824" s="207"/>
      <c r="AA1824" s="284"/>
      <c r="AB1824" s="284"/>
      <c r="AC1824" s="137"/>
      <c r="AD1824" s="284"/>
      <c r="AE1824" s="299"/>
      <c r="AF1824" s="299"/>
      <c r="AG1824" s="284"/>
    </row>
    <row r="1825" spans="2:33">
      <c r="B1825" s="86"/>
      <c r="C1825" s="84"/>
      <c r="D1825" s="86"/>
      <c r="E1825" s="84"/>
      <c r="F1825" s="284"/>
      <c r="G1825" s="49"/>
      <c r="H1825" s="284"/>
      <c r="I1825" s="74"/>
      <c r="J1825" s="371"/>
      <c r="K1825" s="77"/>
      <c r="L1825" s="160"/>
      <c r="M1825" s="388"/>
      <c r="N1825" s="375"/>
      <c r="O1825" s="370"/>
      <c r="T1825" s="340"/>
      <c r="W1825" s="113"/>
      <c r="X1825" s="241"/>
      <c r="Y1825" s="284"/>
      <c r="Z1825" s="207"/>
      <c r="AA1825" s="284"/>
      <c r="AB1825" s="284"/>
      <c r="AC1825" s="137"/>
      <c r="AD1825" s="284"/>
      <c r="AE1825" s="299"/>
      <c r="AF1825" s="299"/>
      <c r="AG1825" s="284"/>
    </row>
    <row r="1826" spans="2:33">
      <c r="B1826" s="86"/>
      <c r="C1826" s="84"/>
      <c r="D1826" s="86"/>
      <c r="E1826" s="84"/>
      <c r="F1826" s="284"/>
      <c r="G1826" s="49"/>
      <c r="H1826" s="284"/>
      <c r="I1826" s="74"/>
      <c r="J1826" s="371"/>
      <c r="K1826" s="77"/>
      <c r="L1826" s="160"/>
      <c r="M1826" s="388"/>
      <c r="N1826" s="375"/>
      <c r="O1826" s="370"/>
      <c r="T1826" s="340"/>
      <c r="W1826" s="113"/>
      <c r="X1826" s="241"/>
      <c r="Y1826" s="284"/>
      <c r="Z1826" s="207"/>
      <c r="AA1826" s="284"/>
      <c r="AB1826" s="284"/>
      <c r="AC1826" s="137"/>
      <c r="AD1826" s="284"/>
      <c r="AE1826" s="299"/>
      <c r="AF1826" s="299"/>
      <c r="AG1826" s="284"/>
    </row>
    <row r="1827" spans="2:33">
      <c r="B1827" s="86"/>
      <c r="C1827" s="84"/>
      <c r="D1827" s="86"/>
      <c r="E1827" s="84"/>
      <c r="F1827" s="284"/>
      <c r="G1827" s="49"/>
      <c r="H1827" s="284"/>
      <c r="I1827" s="74"/>
      <c r="J1827" s="371"/>
      <c r="K1827" s="77"/>
      <c r="L1827" s="160"/>
      <c r="M1827" s="388"/>
      <c r="N1827" s="375"/>
      <c r="O1827" s="370"/>
      <c r="T1827" s="340"/>
      <c r="W1827" s="113"/>
      <c r="X1827" s="241"/>
      <c r="Y1827" s="284"/>
      <c r="Z1827" s="207"/>
      <c r="AA1827" s="284"/>
      <c r="AB1827" s="284"/>
      <c r="AC1827" s="137"/>
      <c r="AD1827" s="284"/>
      <c r="AE1827" s="299"/>
      <c r="AF1827" s="299"/>
      <c r="AG1827" s="284"/>
    </row>
    <row r="1828" spans="2:33">
      <c r="B1828" s="86"/>
      <c r="C1828" s="84"/>
      <c r="D1828" s="86"/>
      <c r="E1828" s="84"/>
      <c r="F1828" s="284"/>
      <c r="G1828" s="49"/>
      <c r="H1828" s="284"/>
      <c r="I1828" s="74"/>
      <c r="J1828" s="371"/>
      <c r="K1828" s="77"/>
      <c r="L1828" s="160"/>
      <c r="M1828" s="388"/>
      <c r="N1828" s="375"/>
      <c r="O1828" s="370"/>
      <c r="T1828" s="340"/>
      <c r="W1828" s="113"/>
      <c r="X1828" s="241"/>
      <c r="Y1828" s="284"/>
      <c r="Z1828" s="207"/>
      <c r="AA1828" s="284"/>
      <c r="AB1828" s="284"/>
      <c r="AC1828" s="137"/>
      <c r="AD1828" s="284"/>
      <c r="AE1828" s="299"/>
      <c r="AF1828" s="299"/>
      <c r="AG1828" s="284"/>
    </row>
    <row r="1829" spans="2:33">
      <c r="B1829" s="86"/>
      <c r="C1829" s="84"/>
      <c r="D1829" s="86"/>
      <c r="E1829" s="84"/>
      <c r="F1829" s="284"/>
      <c r="G1829" s="49"/>
      <c r="H1829" s="284"/>
      <c r="I1829" s="74"/>
      <c r="J1829" s="371"/>
      <c r="K1829" s="77"/>
      <c r="L1829" s="160"/>
      <c r="M1829" s="388"/>
      <c r="N1829" s="375"/>
      <c r="O1829" s="370"/>
      <c r="T1829" s="340"/>
      <c r="W1829" s="113"/>
      <c r="X1829" s="241"/>
      <c r="Y1829" s="284"/>
      <c r="Z1829" s="207"/>
      <c r="AA1829" s="284"/>
      <c r="AB1829" s="284"/>
      <c r="AC1829" s="137"/>
      <c r="AD1829" s="284"/>
      <c r="AE1829" s="299"/>
      <c r="AF1829" s="299"/>
      <c r="AG1829" s="284"/>
    </row>
    <row r="1830" spans="2:33">
      <c r="B1830" s="86"/>
      <c r="C1830" s="84"/>
      <c r="D1830" s="86"/>
      <c r="E1830" s="84"/>
      <c r="F1830" s="284"/>
      <c r="G1830" s="49"/>
      <c r="H1830" s="284"/>
      <c r="I1830" s="74"/>
      <c r="J1830" s="371"/>
      <c r="K1830" s="77"/>
      <c r="L1830" s="160"/>
      <c r="M1830" s="388"/>
      <c r="N1830" s="375"/>
      <c r="O1830" s="370"/>
      <c r="T1830" s="340"/>
      <c r="W1830" s="113"/>
      <c r="X1830" s="241"/>
      <c r="Y1830" s="284"/>
      <c r="Z1830" s="207"/>
      <c r="AA1830" s="284"/>
      <c r="AB1830" s="284"/>
      <c r="AC1830" s="137"/>
      <c r="AD1830" s="284"/>
      <c r="AE1830" s="299"/>
      <c r="AF1830" s="299"/>
      <c r="AG1830" s="284"/>
    </row>
    <row r="1831" spans="2:33">
      <c r="B1831" s="86"/>
      <c r="C1831" s="84"/>
      <c r="D1831" s="86"/>
      <c r="E1831" s="84"/>
      <c r="F1831" s="284"/>
      <c r="G1831" s="49"/>
      <c r="H1831" s="284"/>
      <c r="I1831" s="74"/>
      <c r="J1831" s="371"/>
      <c r="K1831" s="77"/>
      <c r="L1831" s="160"/>
      <c r="M1831" s="388"/>
      <c r="N1831" s="375"/>
      <c r="O1831" s="370"/>
      <c r="T1831" s="340"/>
      <c r="W1831" s="113"/>
      <c r="X1831" s="241"/>
      <c r="Y1831" s="284"/>
      <c r="Z1831" s="207"/>
      <c r="AA1831" s="284"/>
      <c r="AB1831" s="284"/>
      <c r="AC1831" s="137"/>
      <c r="AD1831" s="284"/>
      <c r="AE1831" s="299"/>
      <c r="AF1831" s="299"/>
      <c r="AG1831" s="284"/>
    </row>
    <row r="1832" spans="2:33">
      <c r="B1832" s="86"/>
      <c r="C1832" s="84"/>
      <c r="D1832" s="86"/>
      <c r="E1832" s="84"/>
      <c r="F1832" s="284"/>
      <c r="G1832" s="49"/>
      <c r="H1832" s="284"/>
      <c r="I1832" s="74"/>
      <c r="J1832" s="371"/>
      <c r="K1832" s="77"/>
      <c r="L1832" s="160"/>
      <c r="M1832" s="388"/>
      <c r="N1832" s="375"/>
      <c r="O1832" s="370"/>
      <c r="T1832" s="340"/>
      <c r="W1832" s="113"/>
      <c r="X1832" s="241"/>
      <c r="Y1832" s="284"/>
      <c r="Z1832" s="207"/>
      <c r="AA1832" s="284"/>
      <c r="AB1832" s="284"/>
      <c r="AC1832" s="137"/>
      <c r="AD1832" s="284"/>
      <c r="AE1832" s="299"/>
      <c r="AF1832" s="299"/>
      <c r="AG1832" s="284"/>
    </row>
    <row r="1833" spans="2:33">
      <c r="B1833" s="86"/>
      <c r="C1833" s="84"/>
      <c r="D1833" s="86"/>
      <c r="E1833" s="84"/>
      <c r="F1833" s="284"/>
      <c r="G1833" s="49"/>
      <c r="H1833" s="284"/>
      <c r="I1833" s="74"/>
      <c r="J1833" s="371"/>
      <c r="K1833" s="77"/>
      <c r="L1833" s="160"/>
      <c r="M1833" s="388"/>
      <c r="N1833" s="375"/>
      <c r="O1833" s="370"/>
      <c r="T1833" s="340"/>
      <c r="W1833" s="113"/>
      <c r="X1833" s="241"/>
      <c r="Y1833" s="284"/>
      <c r="Z1833" s="207"/>
      <c r="AA1833" s="284"/>
      <c r="AB1833" s="284"/>
      <c r="AC1833" s="137"/>
      <c r="AD1833" s="284"/>
      <c r="AE1833" s="299"/>
      <c r="AF1833" s="299"/>
      <c r="AG1833" s="284"/>
    </row>
    <row r="1834" spans="2:33">
      <c r="B1834" s="86"/>
      <c r="C1834" s="84"/>
      <c r="D1834" s="86"/>
      <c r="E1834" s="84"/>
      <c r="F1834" s="284"/>
      <c r="G1834" s="49"/>
      <c r="H1834" s="284"/>
      <c r="I1834" s="74"/>
      <c r="J1834" s="371"/>
      <c r="K1834" s="77"/>
      <c r="L1834" s="160"/>
      <c r="M1834" s="388"/>
      <c r="N1834" s="375"/>
      <c r="O1834" s="370"/>
      <c r="T1834" s="340"/>
      <c r="W1834" s="113"/>
      <c r="X1834" s="241"/>
      <c r="Y1834" s="284"/>
      <c r="Z1834" s="207"/>
      <c r="AA1834" s="284"/>
      <c r="AB1834" s="284"/>
      <c r="AC1834" s="137"/>
      <c r="AD1834" s="284"/>
      <c r="AE1834" s="299"/>
      <c r="AF1834" s="299"/>
      <c r="AG1834" s="284"/>
    </row>
    <row r="1835" spans="2:33">
      <c r="B1835" s="86"/>
      <c r="C1835" s="84"/>
      <c r="D1835" s="86"/>
      <c r="E1835" s="84"/>
      <c r="F1835" s="284"/>
      <c r="G1835" s="49"/>
      <c r="H1835" s="284"/>
      <c r="I1835" s="74"/>
      <c r="J1835" s="371"/>
      <c r="K1835" s="77"/>
      <c r="L1835" s="160"/>
      <c r="M1835" s="388"/>
      <c r="N1835" s="375"/>
      <c r="O1835" s="370"/>
      <c r="T1835" s="340"/>
      <c r="W1835" s="113"/>
      <c r="X1835" s="241"/>
      <c r="Y1835" s="284"/>
      <c r="Z1835" s="207"/>
      <c r="AA1835" s="284"/>
      <c r="AB1835" s="284"/>
      <c r="AC1835" s="137"/>
      <c r="AD1835" s="284"/>
      <c r="AE1835" s="299"/>
      <c r="AF1835" s="299"/>
      <c r="AG1835" s="284"/>
    </row>
    <row r="1836" spans="2:33">
      <c r="B1836" s="86"/>
      <c r="C1836" s="84"/>
      <c r="D1836" s="86"/>
      <c r="E1836" s="84"/>
      <c r="F1836" s="284"/>
      <c r="G1836" s="49"/>
      <c r="H1836" s="284"/>
      <c r="I1836" s="74"/>
      <c r="J1836" s="371"/>
      <c r="K1836" s="77"/>
      <c r="L1836" s="160"/>
      <c r="M1836" s="388"/>
      <c r="N1836" s="375"/>
      <c r="O1836" s="370"/>
      <c r="T1836" s="340"/>
      <c r="W1836" s="113"/>
      <c r="X1836" s="241"/>
      <c r="Y1836" s="284"/>
      <c r="Z1836" s="207"/>
      <c r="AA1836" s="284"/>
      <c r="AB1836" s="284"/>
      <c r="AC1836" s="137"/>
      <c r="AD1836" s="284"/>
      <c r="AE1836" s="299"/>
      <c r="AF1836" s="299"/>
      <c r="AG1836" s="284"/>
    </row>
    <row r="1837" spans="2:33">
      <c r="B1837" s="86"/>
      <c r="C1837" s="84"/>
      <c r="D1837" s="86"/>
      <c r="E1837" s="84"/>
      <c r="F1837" s="284"/>
      <c r="G1837" s="49"/>
      <c r="H1837" s="284"/>
      <c r="I1837" s="74"/>
      <c r="J1837" s="371"/>
      <c r="K1837" s="77"/>
      <c r="L1837" s="160"/>
      <c r="M1837" s="388"/>
      <c r="N1837" s="375"/>
      <c r="O1837" s="370"/>
      <c r="T1837" s="340"/>
      <c r="W1837" s="113"/>
      <c r="X1837" s="241"/>
      <c r="Y1837" s="284"/>
      <c r="Z1837" s="207"/>
      <c r="AA1837" s="284"/>
      <c r="AB1837" s="284"/>
      <c r="AC1837" s="137"/>
      <c r="AD1837" s="284"/>
      <c r="AE1837" s="299"/>
      <c r="AF1837" s="299"/>
      <c r="AG1837" s="284"/>
    </row>
    <row r="1838" spans="2:33">
      <c r="B1838" s="86"/>
      <c r="C1838" s="84"/>
      <c r="D1838" s="86"/>
      <c r="E1838" s="84"/>
      <c r="F1838" s="284"/>
      <c r="G1838" s="49"/>
      <c r="H1838" s="284"/>
      <c r="I1838" s="74"/>
      <c r="J1838" s="371"/>
      <c r="K1838" s="77"/>
      <c r="L1838" s="160"/>
      <c r="M1838" s="388"/>
      <c r="N1838" s="375"/>
      <c r="O1838" s="370"/>
      <c r="T1838" s="340"/>
      <c r="W1838" s="113"/>
      <c r="X1838" s="241"/>
      <c r="Y1838" s="284"/>
      <c r="Z1838" s="207"/>
      <c r="AA1838" s="284"/>
      <c r="AB1838" s="284"/>
      <c r="AC1838" s="137"/>
      <c r="AD1838" s="284"/>
      <c r="AE1838" s="299"/>
      <c r="AF1838" s="299"/>
      <c r="AG1838" s="284"/>
    </row>
    <row r="1839" spans="2:33">
      <c r="B1839" s="86"/>
      <c r="C1839" s="84"/>
      <c r="D1839" s="86"/>
      <c r="E1839" s="84"/>
      <c r="F1839" s="284"/>
      <c r="G1839" s="49"/>
      <c r="H1839" s="284"/>
      <c r="I1839" s="74"/>
      <c r="J1839" s="371"/>
      <c r="K1839" s="77"/>
      <c r="L1839" s="160"/>
      <c r="M1839" s="388"/>
      <c r="N1839" s="375"/>
      <c r="O1839" s="370"/>
      <c r="T1839" s="340"/>
      <c r="W1839" s="113"/>
      <c r="X1839" s="241"/>
      <c r="Y1839" s="284"/>
      <c r="Z1839" s="207"/>
      <c r="AA1839" s="284"/>
      <c r="AB1839" s="284"/>
      <c r="AC1839" s="137"/>
      <c r="AD1839" s="284"/>
      <c r="AE1839" s="299"/>
      <c r="AF1839" s="299"/>
      <c r="AG1839" s="284"/>
    </row>
    <row r="1840" spans="2:33">
      <c r="B1840" s="86"/>
      <c r="C1840" s="84"/>
      <c r="D1840" s="86"/>
      <c r="E1840" s="84"/>
      <c r="F1840" s="284"/>
      <c r="G1840" s="49"/>
      <c r="H1840" s="284"/>
      <c r="I1840" s="74"/>
      <c r="J1840" s="371"/>
      <c r="K1840" s="77"/>
      <c r="L1840" s="160"/>
      <c r="M1840" s="388"/>
      <c r="N1840" s="375"/>
      <c r="O1840" s="370"/>
      <c r="T1840" s="340"/>
      <c r="W1840" s="113"/>
      <c r="X1840" s="241"/>
      <c r="Y1840" s="284"/>
      <c r="Z1840" s="207"/>
      <c r="AA1840" s="284"/>
      <c r="AB1840" s="284"/>
      <c r="AC1840" s="137"/>
      <c r="AD1840" s="284"/>
      <c r="AE1840" s="299"/>
      <c r="AF1840" s="299"/>
      <c r="AG1840" s="284"/>
    </row>
    <row r="1841" spans="2:33">
      <c r="B1841" s="86"/>
      <c r="C1841" s="84"/>
      <c r="D1841" s="86"/>
      <c r="E1841" s="84"/>
      <c r="F1841" s="284"/>
      <c r="G1841" s="49"/>
      <c r="H1841" s="284"/>
      <c r="I1841" s="74"/>
      <c r="J1841" s="371"/>
      <c r="K1841" s="77"/>
      <c r="L1841" s="160"/>
      <c r="M1841" s="388"/>
      <c r="N1841" s="375"/>
      <c r="O1841" s="370"/>
      <c r="T1841" s="340"/>
      <c r="W1841" s="113"/>
      <c r="X1841" s="241"/>
      <c r="Y1841" s="284"/>
      <c r="Z1841" s="207"/>
      <c r="AA1841" s="284"/>
      <c r="AB1841" s="284"/>
      <c r="AC1841" s="137"/>
      <c r="AD1841" s="284"/>
      <c r="AE1841" s="299"/>
      <c r="AF1841" s="299"/>
      <c r="AG1841" s="284"/>
    </row>
    <row r="1842" spans="2:33">
      <c r="B1842" s="86"/>
      <c r="C1842" s="84"/>
      <c r="D1842" s="86"/>
      <c r="E1842" s="84"/>
      <c r="F1842" s="284"/>
      <c r="G1842" s="49"/>
      <c r="H1842" s="284"/>
      <c r="I1842" s="74"/>
      <c r="J1842" s="371"/>
      <c r="K1842" s="77"/>
      <c r="L1842" s="160"/>
      <c r="M1842" s="388"/>
      <c r="N1842" s="375"/>
      <c r="O1842" s="370"/>
      <c r="T1842" s="340"/>
      <c r="W1842" s="113"/>
      <c r="X1842" s="241"/>
      <c r="Y1842" s="284"/>
      <c r="Z1842" s="207"/>
      <c r="AA1842" s="284"/>
      <c r="AB1842" s="284"/>
      <c r="AC1842" s="137"/>
      <c r="AD1842" s="284"/>
      <c r="AE1842" s="299"/>
      <c r="AF1842" s="299"/>
      <c r="AG1842" s="284"/>
    </row>
    <row r="1843" spans="2:33">
      <c r="B1843" s="86"/>
      <c r="C1843" s="84"/>
      <c r="D1843" s="86"/>
      <c r="E1843" s="84"/>
      <c r="F1843" s="284"/>
      <c r="G1843" s="49"/>
      <c r="H1843" s="284"/>
      <c r="I1843" s="74"/>
      <c r="J1843" s="371"/>
      <c r="K1843" s="77"/>
      <c r="L1843" s="160"/>
      <c r="M1843" s="388"/>
      <c r="N1843" s="375"/>
      <c r="O1843" s="370"/>
      <c r="T1843" s="340"/>
      <c r="W1843" s="113"/>
      <c r="X1843" s="241"/>
      <c r="Y1843" s="284"/>
      <c r="Z1843" s="207"/>
      <c r="AA1843" s="284"/>
      <c r="AB1843" s="284"/>
      <c r="AC1843" s="137"/>
      <c r="AD1843" s="284"/>
      <c r="AE1843" s="299"/>
      <c r="AF1843" s="299"/>
      <c r="AG1843" s="284"/>
    </row>
    <row r="1844" spans="2:33">
      <c r="B1844" s="86"/>
      <c r="C1844" s="84"/>
      <c r="D1844" s="86"/>
      <c r="E1844" s="84"/>
      <c r="F1844" s="284"/>
      <c r="G1844" s="49"/>
      <c r="H1844" s="284"/>
      <c r="I1844" s="74"/>
      <c r="J1844" s="371"/>
      <c r="K1844" s="77"/>
      <c r="L1844" s="160"/>
      <c r="M1844" s="388"/>
      <c r="N1844" s="375"/>
      <c r="O1844" s="370"/>
      <c r="T1844" s="340"/>
      <c r="W1844" s="113"/>
      <c r="X1844" s="241"/>
      <c r="Y1844" s="284"/>
      <c r="Z1844" s="207"/>
      <c r="AA1844" s="284"/>
      <c r="AB1844" s="284"/>
      <c r="AC1844" s="137"/>
      <c r="AD1844" s="284"/>
      <c r="AE1844" s="299"/>
      <c r="AF1844" s="299"/>
      <c r="AG1844" s="284"/>
    </row>
    <row r="1845" spans="2:33">
      <c r="B1845" s="86"/>
      <c r="C1845" s="84"/>
      <c r="D1845" s="86"/>
      <c r="E1845" s="84"/>
      <c r="F1845" s="284"/>
      <c r="G1845" s="49"/>
      <c r="H1845" s="284"/>
      <c r="I1845" s="74"/>
      <c r="J1845" s="371"/>
      <c r="K1845" s="77"/>
      <c r="L1845" s="160"/>
      <c r="M1845" s="388"/>
      <c r="N1845" s="375"/>
      <c r="O1845" s="370"/>
      <c r="T1845" s="340"/>
      <c r="W1845" s="113"/>
      <c r="X1845" s="241"/>
      <c r="Y1845" s="284"/>
      <c r="Z1845" s="207"/>
      <c r="AA1845" s="284"/>
      <c r="AB1845" s="284"/>
      <c r="AC1845" s="137"/>
      <c r="AD1845" s="284"/>
      <c r="AE1845" s="299"/>
      <c r="AF1845" s="299"/>
      <c r="AG1845" s="284"/>
    </row>
    <row r="1846" spans="2:33">
      <c r="B1846" s="86"/>
      <c r="C1846" s="84"/>
      <c r="D1846" s="86"/>
      <c r="E1846" s="84"/>
      <c r="F1846" s="284"/>
      <c r="G1846" s="49"/>
      <c r="H1846" s="284"/>
      <c r="I1846" s="74"/>
      <c r="J1846" s="371"/>
      <c r="K1846" s="77"/>
      <c r="L1846" s="160"/>
      <c r="M1846" s="388"/>
      <c r="N1846" s="375"/>
      <c r="O1846" s="370"/>
      <c r="T1846" s="340"/>
      <c r="W1846" s="113"/>
      <c r="X1846" s="241"/>
      <c r="Y1846" s="284"/>
      <c r="Z1846" s="207"/>
      <c r="AA1846" s="284"/>
      <c r="AB1846" s="284"/>
      <c r="AC1846" s="137"/>
      <c r="AD1846" s="284"/>
      <c r="AE1846" s="299"/>
      <c r="AF1846" s="299"/>
      <c r="AG1846" s="284"/>
    </row>
    <row r="1847" spans="2:33">
      <c r="B1847" s="86"/>
      <c r="C1847" s="84"/>
      <c r="D1847" s="86"/>
      <c r="E1847" s="84"/>
      <c r="F1847" s="284"/>
      <c r="G1847" s="49"/>
      <c r="H1847" s="284"/>
      <c r="I1847" s="74"/>
      <c r="J1847" s="371"/>
      <c r="K1847" s="77"/>
      <c r="L1847" s="160"/>
      <c r="M1847" s="388"/>
      <c r="N1847" s="375"/>
      <c r="O1847" s="370"/>
      <c r="T1847" s="340"/>
      <c r="W1847" s="113"/>
      <c r="X1847" s="241"/>
      <c r="Y1847" s="284"/>
      <c r="Z1847" s="207"/>
      <c r="AA1847" s="284"/>
      <c r="AB1847" s="284"/>
      <c r="AC1847" s="137"/>
      <c r="AD1847" s="284"/>
      <c r="AE1847" s="299"/>
      <c r="AF1847" s="299"/>
      <c r="AG1847" s="284"/>
    </row>
    <row r="1848" spans="2:33">
      <c r="B1848" s="86"/>
      <c r="C1848" s="84"/>
      <c r="D1848" s="86"/>
      <c r="E1848" s="84"/>
      <c r="F1848" s="284"/>
      <c r="G1848" s="49"/>
      <c r="H1848" s="284"/>
      <c r="I1848" s="74"/>
      <c r="J1848" s="371"/>
      <c r="K1848" s="77"/>
      <c r="L1848" s="160"/>
      <c r="M1848" s="388"/>
      <c r="N1848" s="375"/>
      <c r="O1848" s="370"/>
      <c r="T1848" s="340"/>
      <c r="W1848" s="113"/>
      <c r="X1848" s="241"/>
      <c r="Y1848" s="284"/>
      <c r="Z1848" s="207"/>
      <c r="AA1848" s="284"/>
      <c r="AB1848" s="284"/>
      <c r="AC1848" s="137"/>
      <c r="AD1848" s="284"/>
      <c r="AE1848" s="299"/>
      <c r="AF1848" s="299"/>
      <c r="AG1848" s="284"/>
    </row>
    <row r="1849" spans="2:33">
      <c r="B1849" s="86"/>
      <c r="C1849" s="84"/>
      <c r="D1849" s="86"/>
      <c r="E1849" s="84"/>
      <c r="F1849" s="284"/>
      <c r="G1849" s="49"/>
      <c r="H1849" s="284"/>
      <c r="I1849" s="74"/>
      <c r="J1849" s="371"/>
      <c r="K1849" s="77"/>
      <c r="L1849" s="160"/>
      <c r="M1849" s="388"/>
      <c r="N1849" s="375"/>
      <c r="O1849" s="370"/>
      <c r="T1849" s="340"/>
      <c r="W1849" s="113"/>
      <c r="X1849" s="241"/>
      <c r="Y1849" s="284"/>
      <c r="Z1849" s="207"/>
      <c r="AA1849" s="284"/>
      <c r="AB1849" s="284"/>
      <c r="AC1849" s="137"/>
      <c r="AD1849" s="284"/>
      <c r="AE1849" s="299"/>
      <c r="AF1849" s="299"/>
      <c r="AG1849" s="284"/>
    </row>
    <row r="1850" spans="2:33">
      <c r="B1850" s="86"/>
      <c r="C1850" s="84"/>
      <c r="D1850" s="86"/>
      <c r="E1850" s="84"/>
      <c r="F1850" s="284"/>
      <c r="G1850" s="49"/>
      <c r="H1850" s="284"/>
      <c r="I1850" s="74"/>
      <c r="J1850" s="371"/>
      <c r="K1850" s="77"/>
      <c r="L1850" s="160"/>
      <c r="M1850" s="388"/>
      <c r="N1850" s="375"/>
      <c r="O1850" s="370"/>
      <c r="T1850" s="340"/>
      <c r="W1850" s="113"/>
      <c r="X1850" s="241"/>
      <c r="Y1850" s="284"/>
      <c r="Z1850" s="207"/>
      <c r="AA1850" s="284"/>
      <c r="AB1850" s="284"/>
      <c r="AC1850" s="137"/>
      <c r="AD1850" s="284"/>
      <c r="AE1850" s="299"/>
      <c r="AF1850" s="299"/>
      <c r="AG1850" s="284"/>
    </row>
    <row r="1851" spans="2:33">
      <c r="B1851" s="86"/>
      <c r="C1851" s="84"/>
      <c r="D1851" s="86"/>
      <c r="E1851" s="84"/>
      <c r="F1851" s="284"/>
      <c r="G1851" s="49"/>
      <c r="H1851" s="284"/>
      <c r="I1851" s="74"/>
      <c r="J1851" s="371"/>
      <c r="K1851" s="77"/>
      <c r="L1851" s="160"/>
      <c r="M1851" s="388"/>
      <c r="N1851" s="375"/>
      <c r="O1851" s="370"/>
      <c r="T1851" s="340"/>
      <c r="W1851" s="113"/>
      <c r="X1851" s="241"/>
      <c r="Y1851" s="284"/>
      <c r="Z1851" s="207"/>
      <c r="AA1851" s="284"/>
      <c r="AB1851" s="284"/>
      <c r="AC1851" s="137"/>
      <c r="AD1851" s="284"/>
      <c r="AE1851" s="299"/>
      <c r="AF1851" s="299"/>
      <c r="AG1851" s="284"/>
    </row>
    <row r="1852" spans="2:33">
      <c r="B1852" s="86"/>
      <c r="C1852" s="84"/>
      <c r="D1852" s="86"/>
      <c r="E1852" s="84"/>
      <c r="F1852" s="284"/>
      <c r="G1852" s="49"/>
      <c r="H1852" s="284"/>
      <c r="I1852" s="74"/>
      <c r="J1852" s="371"/>
      <c r="K1852" s="77"/>
      <c r="L1852" s="160"/>
      <c r="M1852" s="388"/>
      <c r="N1852" s="375"/>
      <c r="O1852" s="370"/>
      <c r="T1852" s="340"/>
      <c r="W1852" s="113"/>
      <c r="X1852" s="241"/>
      <c r="Y1852" s="284"/>
      <c r="Z1852" s="207"/>
      <c r="AA1852" s="284"/>
      <c r="AB1852" s="284"/>
      <c r="AC1852" s="137"/>
      <c r="AD1852" s="284"/>
      <c r="AE1852" s="299"/>
      <c r="AF1852" s="299"/>
      <c r="AG1852" s="284"/>
    </row>
    <row r="1853" spans="2:33">
      <c r="B1853" s="86"/>
      <c r="C1853" s="84"/>
      <c r="D1853" s="86"/>
      <c r="E1853" s="84"/>
      <c r="F1853" s="284"/>
      <c r="G1853" s="49"/>
      <c r="H1853" s="284"/>
      <c r="I1853" s="74"/>
      <c r="J1853" s="371"/>
      <c r="K1853" s="77"/>
      <c r="L1853" s="160"/>
      <c r="M1853" s="388"/>
      <c r="N1853" s="375"/>
      <c r="O1853" s="370"/>
      <c r="T1853" s="340"/>
      <c r="W1853" s="113"/>
      <c r="X1853" s="241"/>
      <c r="Y1853" s="284"/>
      <c r="Z1853" s="207"/>
      <c r="AA1853" s="284"/>
      <c r="AB1853" s="284"/>
      <c r="AC1853" s="137"/>
      <c r="AD1853" s="284"/>
      <c r="AE1853" s="299"/>
      <c r="AF1853" s="299"/>
      <c r="AG1853" s="284"/>
    </row>
    <row r="1854" spans="2:33">
      <c r="B1854" s="86"/>
      <c r="C1854" s="84"/>
      <c r="D1854" s="86"/>
      <c r="E1854" s="84"/>
      <c r="F1854" s="284"/>
      <c r="G1854" s="49"/>
      <c r="H1854" s="284"/>
      <c r="I1854" s="74"/>
      <c r="J1854" s="371"/>
      <c r="K1854" s="77"/>
      <c r="L1854" s="160"/>
      <c r="M1854" s="388"/>
      <c r="N1854" s="375"/>
      <c r="O1854" s="370"/>
      <c r="T1854" s="340"/>
      <c r="W1854" s="113"/>
      <c r="X1854" s="241"/>
      <c r="Y1854" s="284"/>
      <c r="Z1854" s="207"/>
      <c r="AA1854" s="284"/>
      <c r="AB1854" s="284"/>
      <c r="AC1854" s="137"/>
      <c r="AD1854" s="284"/>
      <c r="AE1854" s="299"/>
      <c r="AF1854" s="299"/>
      <c r="AG1854" s="284"/>
    </row>
    <row r="1855" spans="2:33">
      <c r="B1855" s="86"/>
      <c r="C1855" s="84"/>
      <c r="D1855" s="86"/>
      <c r="E1855" s="84"/>
      <c r="F1855" s="284"/>
      <c r="G1855" s="49"/>
      <c r="H1855" s="284"/>
      <c r="I1855" s="74"/>
      <c r="J1855" s="371"/>
      <c r="K1855" s="77"/>
      <c r="L1855" s="160"/>
      <c r="M1855" s="388"/>
      <c r="N1855" s="375"/>
      <c r="O1855" s="370"/>
      <c r="T1855" s="340"/>
      <c r="W1855" s="113"/>
      <c r="X1855" s="241"/>
      <c r="Y1855" s="284"/>
      <c r="Z1855" s="207"/>
      <c r="AA1855" s="284"/>
      <c r="AB1855" s="284"/>
      <c r="AC1855" s="137"/>
      <c r="AD1855" s="284"/>
      <c r="AE1855" s="299"/>
      <c r="AF1855" s="299"/>
      <c r="AG1855" s="284"/>
    </row>
    <row r="1856" spans="2:33">
      <c r="B1856" s="86"/>
      <c r="C1856" s="84"/>
      <c r="D1856" s="86"/>
      <c r="E1856" s="84"/>
      <c r="F1856" s="284"/>
      <c r="G1856" s="49"/>
      <c r="H1856" s="284"/>
      <c r="I1856" s="74"/>
      <c r="J1856" s="371"/>
      <c r="K1856" s="77"/>
      <c r="L1856" s="160"/>
      <c r="M1856" s="388"/>
      <c r="N1856" s="375"/>
      <c r="O1856" s="370"/>
      <c r="T1856" s="340"/>
      <c r="W1856" s="113"/>
      <c r="X1856" s="241"/>
      <c r="Y1856" s="284"/>
      <c r="Z1856" s="207"/>
      <c r="AA1856" s="284"/>
      <c r="AB1856" s="284"/>
      <c r="AC1856" s="137"/>
      <c r="AD1856" s="284"/>
      <c r="AE1856" s="299"/>
      <c r="AF1856" s="299"/>
      <c r="AG1856" s="284"/>
    </row>
    <row r="1857" spans="2:33">
      <c r="B1857" s="86"/>
      <c r="C1857" s="84"/>
      <c r="D1857" s="86"/>
      <c r="E1857" s="84"/>
      <c r="F1857" s="284"/>
      <c r="G1857" s="49"/>
      <c r="H1857" s="284"/>
      <c r="I1857" s="74"/>
      <c r="J1857" s="371"/>
      <c r="K1857" s="77"/>
      <c r="L1857" s="160"/>
      <c r="M1857" s="388"/>
      <c r="N1857" s="375"/>
      <c r="O1857" s="370"/>
      <c r="T1857" s="340"/>
      <c r="W1857" s="113"/>
      <c r="X1857" s="241"/>
      <c r="Y1857" s="284"/>
      <c r="Z1857" s="207"/>
      <c r="AA1857" s="284"/>
      <c r="AB1857" s="284"/>
      <c r="AC1857" s="137"/>
      <c r="AD1857" s="284"/>
      <c r="AE1857" s="299"/>
      <c r="AF1857" s="299"/>
      <c r="AG1857" s="284"/>
    </row>
    <row r="1858" spans="2:33">
      <c r="B1858" s="86"/>
      <c r="C1858" s="84"/>
      <c r="D1858" s="86"/>
      <c r="E1858" s="84"/>
      <c r="F1858" s="284"/>
      <c r="G1858" s="49"/>
      <c r="H1858" s="284"/>
      <c r="I1858" s="74"/>
      <c r="J1858" s="371"/>
      <c r="K1858" s="77"/>
      <c r="L1858" s="160"/>
      <c r="M1858" s="388"/>
      <c r="N1858" s="375"/>
      <c r="O1858" s="370"/>
      <c r="T1858" s="340"/>
      <c r="W1858" s="113"/>
      <c r="X1858" s="241"/>
      <c r="Y1858" s="284"/>
      <c r="Z1858" s="207"/>
      <c r="AA1858" s="284"/>
      <c r="AB1858" s="284"/>
      <c r="AC1858" s="137"/>
      <c r="AD1858" s="284"/>
      <c r="AE1858" s="299"/>
      <c r="AF1858" s="299"/>
      <c r="AG1858" s="284"/>
    </row>
    <row r="1859" spans="2:33">
      <c r="B1859" s="86"/>
      <c r="C1859" s="84"/>
      <c r="D1859" s="86"/>
      <c r="E1859" s="84"/>
      <c r="F1859" s="284"/>
      <c r="G1859" s="49"/>
      <c r="H1859" s="284"/>
      <c r="I1859" s="74"/>
      <c r="J1859" s="371"/>
      <c r="K1859" s="77"/>
      <c r="L1859" s="160"/>
      <c r="M1859" s="388"/>
      <c r="N1859" s="375"/>
      <c r="O1859" s="370"/>
      <c r="T1859" s="340"/>
      <c r="W1859" s="113"/>
      <c r="X1859" s="241"/>
      <c r="Y1859" s="284"/>
      <c r="Z1859" s="207"/>
      <c r="AA1859" s="284"/>
      <c r="AB1859" s="284"/>
      <c r="AC1859" s="137"/>
      <c r="AD1859" s="284"/>
      <c r="AE1859" s="299"/>
      <c r="AF1859" s="299"/>
      <c r="AG1859" s="284"/>
    </row>
    <row r="1860" spans="2:33">
      <c r="B1860" s="86"/>
      <c r="C1860" s="84"/>
      <c r="D1860" s="86"/>
      <c r="E1860" s="84"/>
      <c r="F1860" s="284"/>
      <c r="G1860" s="49"/>
      <c r="H1860" s="284"/>
      <c r="I1860" s="74"/>
      <c r="J1860" s="371"/>
      <c r="K1860" s="77"/>
      <c r="L1860" s="160"/>
      <c r="M1860" s="388"/>
      <c r="N1860" s="375"/>
      <c r="O1860" s="370"/>
      <c r="T1860" s="340"/>
      <c r="W1860" s="113"/>
      <c r="X1860" s="241"/>
      <c r="Y1860" s="284"/>
      <c r="Z1860" s="207"/>
      <c r="AA1860" s="284"/>
      <c r="AB1860" s="284"/>
      <c r="AC1860" s="137"/>
      <c r="AD1860" s="284"/>
      <c r="AE1860" s="299"/>
      <c r="AF1860" s="299"/>
      <c r="AG1860" s="284"/>
    </row>
    <row r="1861" spans="2:33">
      <c r="B1861" s="86"/>
      <c r="C1861" s="84"/>
      <c r="D1861" s="86"/>
      <c r="E1861" s="84"/>
      <c r="F1861" s="284"/>
      <c r="G1861" s="49"/>
      <c r="H1861" s="284"/>
      <c r="I1861" s="74"/>
      <c r="J1861" s="371"/>
      <c r="K1861" s="77"/>
      <c r="L1861" s="160"/>
      <c r="M1861" s="388"/>
      <c r="N1861" s="375"/>
      <c r="O1861" s="370"/>
      <c r="T1861" s="340"/>
      <c r="W1861" s="113"/>
      <c r="X1861" s="241"/>
      <c r="Y1861" s="284"/>
      <c r="Z1861" s="207"/>
      <c r="AA1861" s="284"/>
      <c r="AB1861" s="284"/>
      <c r="AC1861" s="137"/>
      <c r="AD1861" s="284"/>
      <c r="AE1861" s="299"/>
      <c r="AF1861" s="299"/>
      <c r="AG1861" s="284"/>
    </row>
    <row r="1862" spans="2:33">
      <c r="B1862" s="86"/>
      <c r="C1862" s="84"/>
      <c r="D1862" s="86"/>
      <c r="E1862" s="84"/>
      <c r="F1862" s="284"/>
      <c r="G1862" s="49"/>
      <c r="H1862" s="284"/>
      <c r="I1862" s="74"/>
      <c r="J1862" s="371"/>
      <c r="K1862" s="77"/>
      <c r="L1862" s="160"/>
      <c r="M1862" s="388"/>
      <c r="N1862" s="375"/>
      <c r="O1862" s="370"/>
      <c r="T1862" s="340"/>
      <c r="W1862" s="113"/>
      <c r="X1862" s="241"/>
      <c r="Y1862" s="284"/>
      <c r="Z1862" s="207"/>
      <c r="AA1862" s="284"/>
      <c r="AB1862" s="284"/>
      <c r="AC1862" s="137"/>
      <c r="AD1862" s="284"/>
      <c r="AE1862" s="299"/>
      <c r="AF1862" s="299"/>
      <c r="AG1862" s="284"/>
    </row>
    <row r="1863" spans="2:33">
      <c r="B1863" s="86"/>
      <c r="C1863" s="84"/>
      <c r="D1863" s="86"/>
      <c r="E1863" s="84"/>
      <c r="F1863" s="284"/>
      <c r="G1863" s="49"/>
      <c r="H1863" s="284"/>
      <c r="I1863" s="74"/>
      <c r="J1863" s="371"/>
      <c r="K1863" s="77"/>
      <c r="L1863" s="160"/>
      <c r="M1863" s="388"/>
      <c r="N1863" s="375"/>
      <c r="O1863" s="370"/>
      <c r="T1863" s="340"/>
      <c r="W1863" s="113"/>
      <c r="X1863" s="241"/>
      <c r="Y1863" s="284"/>
      <c r="Z1863" s="207"/>
      <c r="AA1863" s="284"/>
      <c r="AB1863" s="284"/>
      <c r="AC1863" s="137"/>
      <c r="AD1863" s="284"/>
      <c r="AE1863" s="299"/>
      <c r="AF1863" s="299"/>
      <c r="AG1863" s="284"/>
    </row>
    <row r="1864" spans="2:33">
      <c r="B1864" s="86"/>
      <c r="C1864" s="84"/>
      <c r="D1864" s="86"/>
      <c r="E1864" s="84"/>
      <c r="F1864" s="284"/>
      <c r="G1864" s="49"/>
      <c r="H1864" s="284"/>
      <c r="I1864" s="74"/>
      <c r="J1864" s="371"/>
      <c r="K1864" s="77"/>
      <c r="L1864" s="160"/>
      <c r="M1864" s="388"/>
      <c r="N1864" s="375"/>
      <c r="O1864" s="370"/>
      <c r="T1864" s="340"/>
      <c r="W1864" s="113"/>
      <c r="X1864" s="241"/>
      <c r="Y1864" s="284"/>
      <c r="Z1864" s="207"/>
      <c r="AA1864" s="284"/>
      <c r="AB1864" s="284"/>
      <c r="AC1864" s="137"/>
      <c r="AD1864" s="284"/>
      <c r="AE1864" s="299"/>
      <c r="AF1864" s="299"/>
      <c r="AG1864" s="284"/>
    </row>
    <row r="1865" spans="2:33">
      <c r="B1865" s="86"/>
      <c r="C1865" s="84"/>
      <c r="D1865" s="86"/>
      <c r="E1865" s="84"/>
      <c r="F1865" s="284"/>
      <c r="G1865" s="49"/>
      <c r="H1865" s="284"/>
      <c r="I1865" s="74"/>
      <c r="J1865" s="371"/>
      <c r="K1865" s="77"/>
      <c r="L1865" s="160"/>
      <c r="M1865" s="388"/>
      <c r="N1865" s="375"/>
      <c r="O1865" s="370"/>
      <c r="T1865" s="340"/>
      <c r="W1865" s="113"/>
      <c r="X1865" s="241"/>
      <c r="Y1865" s="284"/>
      <c r="Z1865" s="207"/>
      <c r="AA1865" s="284"/>
      <c r="AB1865" s="284"/>
      <c r="AC1865" s="137"/>
      <c r="AD1865" s="284"/>
      <c r="AE1865" s="299"/>
      <c r="AF1865" s="299"/>
      <c r="AG1865" s="284"/>
    </row>
    <row r="1866" spans="2:33">
      <c r="B1866" s="86"/>
      <c r="C1866" s="84"/>
      <c r="D1866" s="86"/>
      <c r="E1866" s="84"/>
      <c r="F1866" s="284"/>
      <c r="G1866" s="49"/>
      <c r="H1866" s="284"/>
      <c r="I1866" s="74"/>
      <c r="J1866" s="371"/>
      <c r="K1866" s="77"/>
      <c r="L1866" s="160"/>
      <c r="M1866" s="388"/>
      <c r="N1866" s="375"/>
      <c r="O1866" s="370"/>
      <c r="T1866" s="340"/>
      <c r="W1866" s="113"/>
      <c r="X1866" s="241"/>
      <c r="Y1866" s="284"/>
      <c r="Z1866" s="207"/>
      <c r="AA1866" s="284"/>
      <c r="AB1866" s="284"/>
      <c r="AC1866" s="137"/>
      <c r="AD1866" s="284"/>
      <c r="AE1866" s="299"/>
      <c r="AF1866" s="299"/>
      <c r="AG1866" s="284"/>
    </row>
    <row r="1867" spans="2:33">
      <c r="B1867" s="86"/>
      <c r="C1867" s="84"/>
      <c r="D1867" s="86"/>
      <c r="E1867" s="84"/>
      <c r="F1867" s="284"/>
      <c r="G1867" s="49"/>
      <c r="H1867" s="284"/>
      <c r="I1867" s="74"/>
      <c r="J1867" s="371"/>
      <c r="K1867" s="77"/>
      <c r="L1867" s="160"/>
      <c r="M1867" s="388"/>
      <c r="N1867" s="375"/>
      <c r="O1867" s="370"/>
      <c r="T1867" s="340"/>
      <c r="W1867" s="113"/>
      <c r="X1867" s="241"/>
      <c r="Y1867" s="284"/>
      <c r="Z1867" s="207"/>
      <c r="AA1867" s="284"/>
      <c r="AB1867" s="284"/>
      <c r="AC1867" s="137"/>
      <c r="AD1867" s="284"/>
      <c r="AE1867" s="299"/>
      <c r="AF1867" s="299"/>
      <c r="AG1867" s="284"/>
    </row>
    <row r="1868" spans="2:33">
      <c r="B1868" s="86"/>
      <c r="C1868" s="84"/>
      <c r="D1868" s="86"/>
      <c r="E1868" s="84"/>
      <c r="F1868" s="284"/>
      <c r="G1868" s="49"/>
      <c r="H1868" s="284"/>
      <c r="I1868" s="74"/>
      <c r="J1868" s="371"/>
      <c r="K1868" s="77"/>
      <c r="L1868" s="160"/>
      <c r="M1868" s="388"/>
      <c r="N1868" s="375"/>
      <c r="O1868" s="370"/>
      <c r="T1868" s="340"/>
      <c r="W1868" s="113"/>
      <c r="X1868" s="241"/>
      <c r="Y1868" s="284"/>
      <c r="Z1868" s="207"/>
      <c r="AA1868" s="284"/>
      <c r="AB1868" s="284"/>
      <c r="AC1868" s="137"/>
      <c r="AD1868" s="284"/>
      <c r="AE1868" s="299"/>
      <c r="AF1868" s="299"/>
      <c r="AG1868" s="284"/>
    </row>
    <row r="1869" spans="2:33">
      <c r="B1869" s="86"/>
      <c r="C1869" s="84"/>
      <c r="D1869" s="86"/>
      <c r="E1869" s="84"/>
      <c r="F1869" s="284"/>
      <c r="G1869" s="49"/>
      <c r="H1869" s="284"/>
      <c r="I1869" s="74"/>
      <c r="J1869" s="371"/>
      <c r="K1869" s="77"/>
      <c r="L1869" s="160"/>
      <c r="M1869" s="388"/>
      <c r="N1869" s="375"/>
      <c r="O1869" s="370"/>
      <c r="T1869" s="340"/>
      <c r="W1869" s="113"/>
      <c r="X1869" s="241"/>
      <c r="Y1869" s="284"/>
      <c r="Z1869" s="207"/>
      <c r="AA1869" s="284"/>
      <c r="AB1869" s="284"/>
      <c r="AC1869" s="137"/>
      <c r="AD1869" s="284"/>
      <c r="AE1869" s="299"/>
      <c r="AF1869" s="299"/>
      <c r="AG1869" s="284"/>
    </row>
    <row r="1870" spans="2:33">
      <c r="B1870" s="86"/>
      <c r="C1870" s="84"/>
      <c r="D1870" s="86"/>
      <c r="E1870" s="84"/>
      <c r="F1870" s="284"/>
      <c r="G1870" s="49"/>
      <c r="H1870" s="284"/>
      <c r="I1870" s="74"/>
      <c r="J1870" s="371"/>
      <c r="K1870" s="77"/>
      <c r="L1870" s="160"/>
      <c r="M1870" s="388"/>
      <c r="N1870" s="375"/>
      <c r="O1870" s="370"/>
      <c r="T1870" s="340"/>
      <c r="W1870" s="113"/>
      <c r="X1870" s="241"/>
      <c r="Y1870" s="284"/>
      <c r="Z1870" s="207"/>
      <c r="AA1870" s="284"/>
      <c r="AB1870" s="284"/>
      <c r="AC1870" s="137"/>
      <c r="AD1870" s="284"/>
      <c r="AE1870" s="299"/>
      <c r="AF1870" s="299"/>
      <c r="AG1870" s="284"/>
    </row>
    <row r="1871" spans="2:33">
      <c r="B1871" s="86"/>
      <c r="C1871" s="84"/>
      <c r="D1871" s="86"/>
      <c r="E1871" s="84"/>
      <c r="F1871" s="284"/>
      <c r="G1871" s="49"/>
      <c r="H1871" s="284"/>
      <c r="I1871" s="74"/>
      <c r="J1871" s="371"/>
      <c r="K1871" s="77"/>
      <c r="L1871" s="160"/>
      <c r="M1871" s="388"/>
      <c r="N1871" s="375"/>
      <c r="O1871" s="370"/>
      <c r="T1871" s="340"/>
      <c r="W1871" s="113"/>
      <c r="X1871" s="241"/>
      <c r="Y1871" s="284"/>
      <c r="Z1871" s="207"/>
      <c r="AA1871" s="284"/>
      <c r="AB1871" s="284"/>
      <c r="AC1871" s="137"/>
      <c r="AD1871" s="284"/>
      <c r="AE1871" s="299"/>
      <c r="AF1871" s="299"/>
      <c r="AG1871" s="284"/>
    </row>
    <row r="1872" spans="2:33">
      <c r="B1872" s="86"/>
      <c r="C1872" s="84"/>
      <c r="D1872" s="86"/>
      <c r="E1872" s="84"/>
      <c r="F1872" s="284"/>
      <c r="G1872" s="49"/>
      <c r="H1872" s="284"/>
      <c r="I1872" s="74"/>
      <c r="J1872" s="371"/>
      <c r="K1872" s="77"/>
      <c r="L1872" s="160"/>
      <c r="M1872" s="388"/>
      <c r="N1872" s="375"/>
      <c r="O1872" s="370"/>
      <c r="T1872" s="340"/>
      <c r="W1872" s="113"/>
      <c r="X1872" s="241"/>
      <c r="Y1872" s="284"/>
      <c r="Z1872" s="207"/>
      <c r="AA1872" s="284"/>
      <c r="AB1872" s="284"/>
      <c r="AC1872" s="137"/>
      <c r="AD1872" s="284"/>
      <c r="AE1872" s="299"/>
      <c r="AF1872" s="299"/>
      <c r="AG1872" s="284"/>
    </row>
    <row r="1873" spans="2:33">
      <c r="B1873" s="86"/>
      <c r="C1873" s="84"/>
      <c r="D1873" s="86"/>
      <c r="E1873" s="84"/>
      <c r="F1873" s="284"/>
      <c r="G1873" s="49"/>
      <c r="H1873" s="284"/>
      <c r="I1873" s="74"/>
      <c r="J1873" s="371"/>
      <c r="K1873" s="77"/>
      <c r="L1873" s="160"/>
      <c r="M1873" s="388"/>
      <c r="N1873" s="375"/>
      <c r="O1873" s="370"/>
      <c r="T1873" s="340"/>
      <c r="W1873" s="113"/>
      <c r="X1873" s="241"/>
      <c r="Y1873" s="284"/>
      <c r="Z1873" s="207"/>
      <c r="AA1873" s="284"/>
      <c r="AB1873" s="284"/>
      <c r="AC1873" s="137"/>
      <c r="AD1873" s="284"/>
      <c r="AE1873" s="299"/>
      <c r="AF1873" s="299"/>
      <c r="AG1873" s="284"/>
    </row>
    <row r="1874" spans="2:33">
      <c r="B1874" s="86"/>
      <c r="C1874" s="84"/>
      <c r="D1874" s="86"/>
      <c r="E1874" s="84"/>
      <c r="F1874" s="284"/>
      <c r="G1874" s="49"/>
      <c r="H1874" s="284"/>
      <c r="I1874" s="74"/>
      <c r="J1874" s="371"/>
      <c r="K1874" s="77"/>
      <c r="L1874" s="160"/>
      <c r="M1874" s="388"/>
      <c r="N1874" s="375"/>
      <c r="O1874" s="370"/>
      <c r="T1874" s="340"/>
      <c r="W1874" s="113"/>
      <c r="X1874" s="241"/>
      <c r="Y1874" s="284"/>
      <c r="Z1874" s="207"/>
      <c r="AA1874" s="284"/>
      <c r="AB1874" s="284"/>
      <c r="AC1874" s="137"/>
      <c r="AD1874" s="284"/>
      <c r="AE1874" s="299"/>
      <c r="AF1874" s="299"/>
      <c r="AG1874" s="284"/>
    </row>
    <row r="1875" spans="2:33">
      <c r="B1875" s="86"/>
      <c r="C1875" s="84"/>
      <c r="D1875" s="86"/>
      <c r="E1875" s="84"/>
      <c r="F1875" s="284"/>
      <c r="G1875" s="49"/>
      <c r="H1875" s="284"/>
      <c r="I1875" s="74"/>
      <c r="J1875" s="371"/>
      <c r="K1875" s="77"/>
      <c r="L1875" s="160"/>
      <c r="M1875" s="388"/>
      <c r="N1875" s="375"/>
      <c r="O1875" s="370"/>
      <c r="T1875" s="340"/>
      <c r="W1875" s="113"/>
      <c r="X1875" s="241"/>
      <c r="Y1875" s="284"/>
      <c r="Z1875" s="207"/>
      <c r="AA1875" s="284"/>
      <c r="AB1875" s="284"/>
      <c r="AC1875" s="137"/>
      <c r="AD1875" s="284"/>
      <c r="AE1875" s="299"/>
      <c r="AF1875" s="299"/>
      <c r="AG1875" s="284"/>
    </row>
    <row r="1876" spans="2:33">
      <c r="B1876" s="86"/>
      <c r="C1876" s="84"/>
      <c r="D1876" s="86"/>
      <c r="E1876" s="84"/>
      <c r="F1876" s="284"/>
      <c r="G1876" s="49"/>
      <c r="H1876" s="284"/>
      <c r="I1876" s="74"/>
      <c r="J1876" s="371"/>
      <c r="K1876" s="77"/>
      <c r="L1876" s="160"/>
      <c r="M1876" s="388"/>
      <c r="N1876" s="375"/>
      <c r="O1876" s="370"/>
      <c r="T1876" s="340"/>
      <c r="W1876" s="113"/>
      <c r="X1876" s="241"/>
      <c r="Y1876" s="284"/>
      <c r="Z1876" s="207"/>
      <c r="AA1876" s="284"/>
      <c r="AB1876" s="284"/>
      <c r="AC1876" s="137"/>
      <c r="AD1876" s="284"/>
      <c r="AE1876" s="299"/>
      <c r="AF1876" s="299"/>
      <c r="AG1876" s="284"/>
    </row>
    <row r="1877" spans="2:33">
      <c r="B1877" s="86"/>
      <c r="C1877" s="84"/>
      <c r="D1877" s="86"/>
      <c r="E1877" s="84"/>
      <c r="F1877" s="284"/>
      <c r="G1877" s="49"/>
      <c r="H1877" s="284"/>
      <c r="I1877" s="74"/>
      <c r="J1877" s="371"/>
      <c r="K1877" s="77"/>
      <c r="L1877" s="160"/>
      <c r="M1877" s="388"/>
      <c r="N1877" s="375"/>
      <c r="O1877" s="370"/>
      <c r="T1877" s="340"/>
      <c r="W1877" s="113"/>
      <c r="X1877" s="241"/>
      <c r="Y1877" s="284"/>
      <c r="Z1877" s="207"/>
      <c r="AA1877" s="284"/>
      <c r="AB1877" s="284"/>
      <c r="AC1877" s="137"/>
      <c r="AD1877" s="284"/>
      <c r="AE1877" s="299"/>
      <c r="AF1877" s="299"/>
      <c r="AG1877" s="284"/>
    </row>
    <row r="1878" spans="2:33">
      <c r="B1878" s="86"/>
      <c r="C1878" s="84"/>
      <c r="D1878" s="86"/>
      <c r="E1878" s="84"/>
      <c r="F1878" s="284"/>
      <c r="G1878" s="49"/>
      <c r="H1878" s="284"/>
      <c r="I1878" s="74"/>
      <c r="J1878" s="371"/>
      <c r="K1878" s="77"/>
      <c r="L1878" s="160"/>
      <c r="M1878" s="388"/>
      <c r="N1878" s="375"/>
      <c r="O1878" s="370"/>
      <c r="T1878" s="340"/>
      <c r="W1878" s="113"/>
      <c r="X1878" s="241"/>
      <c r="Y1878" s="284"/>
      <c r="Z1878" s="207"/>
      <c r="AA1878" s="284"/>
      <c r="AB1878" s="284"/>
      <c r="AC1878" s="137"/>
      <c r="AD1878" s="284"/>
      <c r="AE1878" s="299"/>
      <c r="AF1878" s="299"/>
      <c r="AG1878" s="284"/>
    </row>
    <row r="1879" spans="2:33">
      <c r="B1879" s="86"/>
      <c r="C1879" s="84"/>
      <c r="D1879" s="86"/>
      <c r="E1879" s="84"/>
      <c r="F1879" s="284"/>
      <c r="G1879" s="49"/>
      <c r="H1879" s="284"/>
      <c r="I1879" s="74"/>
      <c r="J1879" s="371"/>
      <c r="K1879" s="77"/>
      <c r="L1879" s="160"/>
      <c r="M1879" s="388"/>
      <c r="N1879" s="375"/>
      <c r="O1879" s="370"/>
      <c r="T1879" s="340"/>
      <c r="W1879" s="113"/>
      <c r="X1879" s="241"/>
      <c r="Y1879" s="284"/>
      <c r="Z1879" s="207"/>
      <c r="AA1879" s="284"/>
      <c r="AB1879" s="284"/>
      <c r="AC1879" s="137"/>
      <c r="AD1879" s="284"/>
      <c r="AE1879" s="299"/>
      <c r="AF1879" s="299"/>
      <c r="AG1879" s="284"/>
    </row>
    <row r="1880" spans="2:33">
      <c r="B1880" s="86"/>
      <c r="C1880" s="84"/>
      <c r="D1880" s="86"/>
      <c r="E1880" s="84"/>
      <c r="F1880" s="284"/>
      <c r="G1880" s="49"/>
      <c r="H1880" s="284"/>
      <c r="I1880" s="74"/>
      <c r="J1880" s="371"/>
      <c r="K1880" s="77"/>
      <c r="L1880" s="160"/>
      <c r="M1880" s="388"/>
      <c r="N1880" s="375"/>
      <c r="O1880" s="370"/>
      <c r="T1880" s="340"/>
      <c r="W1880" s="113"/>
      <c r="X1880" s="241"/>
      <c r="Y1880" s="284"/>
      <c r="Z1880" s="207"/>
      <c r="AA1880" s="284"/>
      <c r="AB1880" s="284"/>
      <c r="AC1880" s="137"/>
      <c r="AD1880" s="284"/>
      <c r="AE1880" s="299"/>
      <c r="AF1880" s="299"/>
      <c r="AG1880" s="284"/>
    </row>
    <row r="1881" spans="2:33">
      <c r="B1881" s="86"/>
      <c r="C1881" s="84"/>
      <c r="D1881" s="86"/>
      <c r="E1881" s="84"/>
      <c r="F1881" s="284"/>
      <c r="G1881" s="49"/>
      <c r="H1881" s="284"/>
      <c r="I1881" s="74"/>
      <c r="J1881" s="371"/>
      <c r="K1881" s="77"/>
      <c r="L1881" s="160"/>
      <c r="M1881" s="388"/>
      <c r="N1881" s="375"/>
      <c r="O1881" s="370"/>
      <c r="T1881" s="340"/>
      <c r="W1881" s="113"/>
      <c r="X1881" s="241"/>
      <c r="Y1881" s="284"/>
      <c r="Z1881" s="207"/>
      <c r="AA1881" s="284"/>
      <c r="AB1881" s="284"/>
      <c r="AC1881" s="137"/>
      <c r="AD1881" s="284"/>
      <c r="AE1881" s="299"/>
      <c r="AF1881" s="299"/>
      <c r="AG1881" s="284"/>
    </row>
    <row r="1882" spans="2:33">
      <c r="B1882" s="86"/>
      <c r="C1882" s="84"/>
      <c r="D1882" s="86"/>
      <c r="E1882" s="84"/>
      <c r="F1882" s="284"/>
      <c r="G1882" s="49"/>
      <c r="H1882" s="284"/>
      <c r="I1882" s="74"/>
      <c r="J1882" s="371"/>
      <c r="K1882" s="77"/>
      <c r="L1882" s="160"/>
      <c r="M1882" s="388"/>
      <c r="N1882" s="375"/>
      <c r="O1882" s="370"/>
      <c r="T1882" s="340"/>
      <c r="W1882" s="113"/>
      <c r="X1882" s="241"/>
      <c r="Y1882" s="284"/>
      <c r="Z1882" s="207"/>
      <c r="AA1882" s="284"/>
      <c r="AB1882" s="284"/>
      <c r="AC1882" s="137"/>
      <c r="AD1882" s="284"/>
      <c r="AE1882" s="299"/>
      <c r="AF1882" s="299"/>
      <c r="AG1882" s="284"/>
    </row>
    <row r="1883" spans="2:33">
      <c r="B1883" s="86"/>
      <c r="C1883" s="84"/>
      <c r="D1883" s="86"/>
      <c r="E1883" s="84"/>
      <c r="F1883" s="284"/>
      <c r="G1883" s="49"/>
      <c r="H1883" s="284"/>
      <c r="I1883" s="74"/>
      <c r="J1883" s="371"/>
      <c r="K1883" s="77"/>
      <c r="L1883" s="160"/>
      <c r="M1883" s="388"/>
      <c r="N1883" s="375"/>
      <c r="O1883" s="370"/>
      <c r="T1883" s="340"/>
      <c r="W1883" s="113"/>
      <c r="X1883" s="241"/>
      <c r="Y1883" s="284"/>
      <c r="Z1883" s="207"/>
      <c r="AA1883" s="284"/>
      <c r="AB1883" s="284"/>
      <c r="AC1883" s="137"/>
      <c r="AD1883" s="284"/>
      <c r="AE1883" s="299"/>
      <c r="AF1883" s="299"/>
      <c r="AG1883" s="284"/>
    </row>
    <row r="1884" spans="2:33">
      <c r="B1884" s="86"/>
      <c r="C1884" s="84"/>
      <c r="D1884" s="86"/>
      <c r="E1884" s="84"/>
      <c r="F1884" s="284"/>
      <c r="G1884" s="49"/>
      <c r="H1884" s="284"/>
      <c r="I1884" s="74"/>
      <c r="J1884" s="371"/>
      <c r="K1884" s="77"/>
      <c r="L1884" s="160"/>
      <c r="M1884" s="388"/>
      <c r="N1884" s="375"/>
      <c r="O1884" s="370"/>
      <c r="T1884" s="340"/>
      <c r="W1884" s="113"/>
      <c r="X1884" s="241"/>
      <c r="Y1884" s="284"/>
      <c r="Z1884" s="207"/>
      <c r="AA1884" s="284"/>
      <c r="AB1884" s="284"/>
      <c r="AC1884" s="137"/>
      <c r="AD1884" s="284"/>
      <c r="AE1884" s="299"/>
      <c r="AF1884" s="299"/>
      <c r="AG1884" s="284"/>
    </row>
    <row r="1885" spans="2:33">
      <c r="B1885" s="86"/>
      <c r="C1885" s="84"/>
      <c r="D1885" s="86"/>
      <c r="E1885" s="84"/>
      <c r="F1885" s="284"/>
      <c r="G1885" s="49"/>
      <c r="H1885" s="284"/>
      <c r="I1885" s="74"/>
      <c r="J1885" s="371"/>
      <c r="K1885" s="77"/>
      <c r="L1885" s="160"/>
      <c r="M1885" s="388"/>
      <c r="N1885" s="375"/>
      <c r="O1885" s="370"/>
      <c r="T1885" s="340"/>
      <c r="W1885" s="113"/>
      <c r="X1885" s="241"/>
      <c r="Y1885" s="284"/>
      <c r="Z1885" s="207"/>
      <c r="AA1885" s="284"/>
      <c r="AB1885" s="284"/>
      <c r="AC1885" s="137"/>
      <c r="AD1885" s="284"/>
      <c r="AE1885" s="299"/>
      <c r="AF1885" s="299"/>
      <c r="AG1885" s="284"/>
    </row>
    <row r="1886" spans="2:33">
      <c r="B1886" s="86"/>
      <c r="C1886" s="84"/>
      <c r="D1886" s="86"/>
      <c r="E1886" s="84"/>
      <c r="F1886" s="284"/>
      <c r="G1886" s="49"/>
      <c r="H1886" s="284"/>
      <c r="I1886" s="74"/>
      <c r="J1886" s="371"/>
      <c r="K1886" s="77"/>
      <c r="L1886" s="160"/>
      <c r="M1886" s="388"/>
      <c r="N1886" s="375"/>
      <c r="O1886" s="370"/>
      <c r="T1886" s="340"/>
      <c r="W1886" s="113"/>
      <c r="X1886" s="241"/>
      <c r="Y1886" s="284"/>
      <c r="Z1886" s="207"/>
      <c r="AA1886" s="284"/>
      <c r="AB1886" s="284"/>
      <c r="AC1886" s="137"/>
      <c r="AD1886" s="284"/>
      <c r="AE1886" s="299"/>
      <c r="AF1886" s="299"/>
      <c r="AG1886" s="284"/>
    </row>
    <row r="1887" spans="2:33">
      <c r="B1887" s="86"/>
      <c r="C1887" s="84"/>
      <c r="D1887" s="86"/>
      <c r="E1887" s="84"/>
      <c r="F1887" s="284"/>
      <c r="G1887" s="49"/>
      <c r="H1887" s="284"/>
      <c r="I1887" s="74"/>
      <c r="J1887" s="371"/>
      <c r="K1887" s="77"/>
      <c r="L1887" s="160"/>
      <c r="M1887" s="388"/>
      <c r="N1887" s="375"/>
      <c r="O1887" s="370"/>
      <c r="T1887" s="340"/>
      <c r="W1887" s="113"/>
      <c r="X1887" s="241"/>
      <c r="Y1887" s="284"/>
      <c r="Z1887" s="207"/>
      <c r="AA1887" s="284"/>
      <c r="AB1887" s="284"/>
      <c r="AC1887" s="137"/>
      <c r="AD1887" s="284"/>
      <c r="AE1887" s="299"/>
      <c r="AF1887" s="299"/>
      <c r="AG1887" s="284"/>
    </row>
    <row r="1888" spans="2:33">
      <c r="B1888" s="86"/>
      <c r="C1888" s="84"/>
      <c r="D1888" s="86"/>
      <c r="E1888" s="84"/>
      <c r="F1888" s="284"/>
      <c r="G1888" s="49"/>
      <c r="H1888" s="284"/>
      <c r="I1888" s="74"/>
      <c r="J1888" s="371"/>
      <c r="K1888" s="77"/>
      <c r="L1888" s="160"/>
      <c r="M1888" s="388"/>
      <c r="N1888" s="375"/>
      <c r="O1888" s="370"/>
      <c r="T1888" s="340"/>
      <c r="W1888" s="113"/>
      <c r="X1888" s="241"/>
      <c r="Y1888" s="284"/>
      <c r="Z1888" s="207"/>
      <c r="AA1888" s="284"/>
      <c r="AB1888" s="284"/>
      <c r="AC1888" s="137"/>
      <c r="AD1888" s="284"/>
      <c r="AE1888" s="299"/>
      <c r="AF1888" s="299"/>
      <c r="AG1888" s="284"/>
    </row>
    <row r="1889" spans="2:33">
      <c r="B1889" s="86"/>
      <c r="C1889" s="84"/>
      <c r="D1889" s="86"/>
      <c r="E1889" s="84"/>
      <c r="F1889" s="284"/>
      <c r="G1889" s="49"/>
      <c r="H1889" s="284"/>
      <c r="I1889" s="74"/>
      <c r="J1889" s="371"/>
      <c r="K1889" s="77"/>
      <c r="L1889" s="160"/>
      <c r="M1889" s="388"/>
      <c r="N1889" s="375"/>
      <c r="O1889" s="370"/>
      <c r="T1889" s="340"/>
      <c r="W1889" s="113"/>
      <c r="X1889" s="241"/>
      <c r="Y1889" s="284"/>
      <c r="Z1889" s="207"/>
      <c r="AA1889" s="284"/>
      <c r="AB1889" s="284"/>
      <c r="AC1889" s="137"/>
      <c r="AD1889" s="284"/>
      <c r="AE1889" s="299"/>
      <c r="AF1889" s="299"/>
      <c r="AG1889" s="284"/>
    </row>
    <row r="1890" spans="2:33">
      <c r="B1890" s="86"/>
      <c r="C1890" s="84"/>
      <c r="D1890" s="86"/>
      <c r="E1890" s="84"/>
      <c r="F1890" s="284"/>
      <c r="G1890" s="49"/>
      <c r="H1890" s="284"/>
      <c r="I1890" s="74"/>
      <c r="J1890" s="371"/>
      <c r="K1890" s="77"/>
      <c r="L1890" s="160"/>
      <c r="M1890" s="388"/>
      <c r="N1890" s="375"/>
      <c r="O1890" s="370"/>
      <c r="T1890" s="340"/>
      <c r="W1890" s="113"/>
      <c r="X1890" s="241"/>
      <c r="Y1890" s="284"/>
      <c r="Z1890" s="207"/>
      <c r="AA1890" s="284"/>
      <c r="AB1890" s="284"/>
      <c r="AC1890" s="137"/>
      <c r="AD1890" s="284"/>
      <c r="AE1890" s="299"/>
      <c r="AF1890" s="299"/>
      <c r="AG1890" s="284"/>
    </row>
    <row r="1891" spans="2:33">
      <c r="B1891" s="86"/>
      <c r="C1891" s="84"/>
      <c r="D1891" s="86"/>
      <c r="E1891" s="84"/>
      <c r="F1891" s="284"/>
      <c r="G1891" s="49"/>
      <c r="H1891" s="284"/>
      <c r="I1891" s="74"/>
      <c r="J1891" s="371"/>
      <c r="K1891" s="77"/>
      <c r="L1891" s="160"/>
      <c r="M1891" s="388"/>
      <c r="N1891" s="375"/>
      <c r="O1891" s="370"/>
      <c r="T1891" s="340"/>
      <c r="W1891" s="113"/>
      <c r="X1891" s="241"/>
      <c r="Y1891" s="284"/>
      <c r="Z1891" s="207"/>
      <c r="AA1891" s="284"/>
      <c r="AB1891" s="284"/>
      <c r="AC1891" s="137"/>
      <c r="AD1891" s="284"/>
      <c r="AE1891" s="299"/>
      <c r="AF1891" s="299"/>
      <c r="AG1891" s="284"/>
    </row>
    <row r="1892" spans="2:33">
      <c r="B1892" s="86"/>
      <c r="C1892" s="84"/>
      <c r="D1892" s="86"/>
      <c r="E1892" s="84"/>
      <c r="F1892" s="284"/>
      <c r="G1892" s="49"/>
      <c r="H1892" s="284"/>
      <c r="I1892" s="74"/>
      <c r="J1892" s="371"/>
      <c r="K1892" s="77"/>
      <c r="L1892" s="160"/>
      <c r="M1892" s="388"/>
      <c r="N1892" s="375"/>
      <c r="O1892" s="370"/>
      <c r="T1892" s="340"/>
      <c r="W1892" s="113"/>
      <c r="X1892" s="241"/>
      <c r="Y1892" s="284"/>
      <c r="Z1892" s="207"/>
      <c r="AA1892" s="284"/>
      <c r="AB1892" s="284"/>
      <c r="AC1892" s="137"/>
      <c r="AD1892" s="284"/>
      <c r="AE1892" s="299"/>
      <c r="AF1892" s="299"/>
      <c r="AG1892" s="284"/>
    </row>
    <row r="1893" spans="2:33">
      <c r="B1893" s="86"/>
      <c r="C1893" s="84"/>
      <c r="D1893" s="86"/>
      <c r="E1893" s="84"/>
      <c r="F1893" s="284"/>
      <c r="G1893" s="49"/>
      <c r="H1893" s="284"/>
      <c r="I1893" s="74"/>
      <c r="J1893" s="371"/>
      <c r="K1893" s="77"/>
      <c r="L1893" s="160"/>
      <c r="M1893" s="388"/>
      <c r="N1893" s="375"/>
      <c r="O1893" s="370"/>
      <c r="T1893" s="340"/>
      <c r="W1893" s="113"/>
      <c r="X1893" s="241"/>
      <c r="Y1893" s="284"/>
      <c r="Z1893" s="207"/>
      <c r="AA1893" s="284"/>
      <c r="AB1893" s="284"/>
      <c r="AC1893" s="137"/>
      <c r="AD1893" s="284"/>
      <c r="AE1893" s="299"/>
      <c r="AF1893" s="299"/>
      <c r="AG1893" s="284"/>
    </row>
    <row r="1894" spans="2:33">
      <c r="B1894" s="86"/>
      <c r="C1894" s="84"/>
      <c r="D1894" s="86"/>
      <c r="E1894" s="84"/>
      <c r="F1894" s="284"/>
      <c r="G1894" s="49"/>
      <c r="H1894" s="284"/>
      <c r="I1894" s="74"/>
      <c r="J1894" s="371"/>
      <c r="K1894" s="77"/>
      <c r="L1894" s="160"/>
      <c r="M1894" s="388"/>
      <c r="N1894" s="375"/>
      <c r="O1894" s="370"/>
      <c r="T1894" s="340"/>
      <c r="W1894" s="113"/>
      <c r="X1894" s="241"/>
      <c r="Y1894" s="284"/>
      <c r="Z1894" s="207"/>
      <c r="AA1894" s="284"/>
      <c r="AB1894" s="284"/>
      <c r="AC1894" s="137"/>
      <c r="AD1894" s="284"/>
      <c r="AE1894" s="299"/>
      <c r="AF1894" s="299"/>
      <c r="AG1894" s="284"/>
    </row>
    <row r="1895" spans="2:33">
      <c r="B1895" s="86"/>
      <c r="C1895" s="84"/>
      <c r="D1895" s="86"/>
      <c r="E1895" s="84"/>
      <c r="F1895" s="284"/>
      <c r="G1895" s="49"/>
      <c r="H1895" s="284"/>
      <c r="I1895" s="74"/>
      <c r="J1895" s="371"/>
      <c r="K1895" s="77"/>
      <c r="L1895" s="160"/>
      <c r="M1895" s="388"/>
      <c r="N1895" s="375"/>
      <c r="O1895" s="370"/>
      <c r="T1895" s="340"/>
      <c r="W1895" s="113"/>
      <c r="X1895" s="241"/>
      <c r="Y1895" s="284"/>
      <c r="Z1895" s="207"/>
      <c r="AA1895" s="284"/>
      <c r="AB1895" s="284"/>
      <c r="AC1895" s="137"/>
      <c r="AD1895" s="284"/>
      <c r="AE1895" s="299"/>
      <c r="AF1895" s="299"/>
      <c r="AG1895" s="284"/>
    </row>
    <row r="1896" spans="2:33">
      <c r="B1896" s="86"/>
      <c r="C1896" s="84"/>
      <c r="D1896" s="86"/>
      <c r="E1896" s="84"/>
      <c r="F1896" s="284"/>
      <c r="G1896" s="49"/>
      <c r="H1896" s="284"/>
      <c r="I1896" s="74"/>
      <c r="J1896" s="371"/>
      <c r="K1896" s="77"/>
      <c r="L1896" s="160"/>
      <c r="M1896" s="388"/>
      <c r="N1896" s="375"/>
      <c r="O1896" s="370"/>
      <c r="T1896" s="340"/>
      <c r="W1896" s="113"/>
      <c r="X1896" s="241"/>
      <c r="Y1896" s="284"/>
      <c r="Z1896" s="207"/>
      <c r="AA1896" s="284"/>
      <c r="AB1896" s="284"/>
      <c r="AC1896" s="137"/>
      <c r="AD1896" s="284"/>
      <c r="AE1896" s="299"/>
      <c r="AF1896" s="299"/>
      <c r="AG1896" s="284"/>
    </row>
    <row r="1897" spans="2:33">
      <c r="B1897" s="86"/>
      <c r="C1897" s="84"/>
      <c r="D1897" s="86"/>
      <c r="E1897" s="84"/>
      <c r="F1897" s="284"/>
      <c r="G1897" s="49"/>
      <c r="H1897" s="284"/>
      <c r="I1897" s="74"/>
      <c r="J1897" s="371"/>
      <c r="K1897" s="77"/>
      <c r="L1897" s="160"/>
      <c r="M1897" s="388"/>
      <c r="N1897" s="375"/>
      <c r="O1897" s="370"/>
      <c r="T1897" s="340"/>
      <c r="W1897" s="113"/>
      <c r="X1897" s="241"/>
      <c r="Y1897" s="284"/>
      <c r="Z1897" s="207"/>
      <c r="AA1897" s="284"/>
      <c r="AB1897" s="284"/>
      <c r="AC1897" s="137"/>
      <c r="AD1897" s="284"/>
      <c r="AE1897" s="299"/>
      <c r="AF1897" s="299"/>
      <c r="AG1897" s="284"/>
    </row>
    <row r="1898" spans="2:33">
      <c r="B1898" s="86"/>
      <c r="C1898" s="84"/>
      <c r="D1898" s="86"/>
      <c r="E1898" s="84"/>
      <c r="F1898" s="284"/>
      <c r="G1898" s="49"/>
      <c r="H1898" s="284"/>
      <c r="I1898" s="74"/>
      <c r="J1898" s="371"/>
      <c r="K1898" s="77"/>
      <c r="L1898" s="160"/>
      <c r="M1898" s="388"/>
      <c r="N1898" s="375"/>
      <c r="O1898" s="370"/>
      <c r="T1898" s="340"/>
      <c r="W1898" s="113"/>
      <c r="X1898" s="241"/>
      <c r="Y1898" s="284"/>
      <c r="Z1898" s="207"/>
      <c r="AA1898" s="284"/>
      <c r="AB1898" s="284"/>
      <c r="AC1898" s="137"/>
      <c r="AD1898" s="284"/>
      <c r="AE1898" s="299"/>
      <c r="AF1898" s="299"/>
      <c r="AG1898" s="284"/>
    </row>
    <row r="1899" spans="2:33">
      <c r="B1899" s="86"/>
      <c r="C1899" s="84"/>
      <c r="D1899" s="86"/>
      <c r="E1899" s="84"/>
      <c r="F1899" s="284"/>
      <c r="G1899" s="49"/>
      <c r="H1899" s="284"/>
      <c r="I1899" s="74"/>
      <c r="J1899" s="371"/>
      <c r="K1899" s="77"/>
      <c r="L1899" s="160"/>
      <c r="M1899" s="388"/>
      <c r="N1899" s="375"/>
      <c r="O1899" s="370"/>
      <c r="T1899" s="340"/>
      <c r="W1899" s="113"/>
      <c r="X1899" s="241"/>
      <c r="Y1899" s="284"/>
      <c r="Z1899" s="207"/>
      <c r="AA1899" s="284"/>
      <c r="AB1899" s="284"/>
      <c r="AC1899" s="137"/>
      <c r="AD1899" s="284"/>
      <c r="AE1899" s="299"/>
      <c r="AF1899" s="299"/>
      <c r="AG1899" s="284"/>
    </row>
    <row r="1900" spans="2:33">
      <c r="B1900" s="86"/>
      <c r="C1900" s="84"/>
      <c r="D1900" s="86"/>
      <c r="E1900" s="84"/>
      <c r="F1900" s="284"/>
      <c r="G1900" s="49"/>
      <c r="H1900" s="284"/>
      <c r="I1900" s="74"/>
      <c r="J1900" s="371"/>
      <c r="K1900" s="77"/>
      <c r="L1900" s="160"/>
      <c r="M1900" s="388"/>
      <c r="N1900" s="375"/>
      <c r="O1900" s="370"/>
      <c r="T1900" s="340"/>
      <c r="W1900" s="113"/>
      <c r="X1900" s="241"/>
      <c r="Y1900" s="284"/>
      <c r="Z1900" s="207"/>
      <c r="AA1900" s="284"/>
      <c r="AB1900" s="284"/>
      <c r="AC1900" s="137"/>
      <c r="AD1900" s="284"/>
      <c r="AE1900" s="299"/>
      <c r="AF1900" s="299"/>
      <c r="AG1900" s="284"/>
    </row>
    <row r="1901" spans="2:33">
      <c r="B1901" s="86"/>
      <c r="C1901" s="84"/>
      <c r="D1901" s="86"/>
      <c r="E1901" s="84"/>
      <c r="F1901" s="284"/>
      <c r="G1901" s="49"/>
      <c r="H1901" s="284"/>
      <c r="I1901" s="74"/>
      <c r="J1901" s="371"/>
      <c r="K1901" s="77"/>
      <c r="L1901" s="160"/>
      <c r="M1901" s="388"/>
      <c r="N1901" s="375"/>
      <c r="O1901" s="370"/>
      <c r="T1901" s="340"/>
      <c r="W1901" s="113"/>
      <c r="X1901" s="241"/>
      <c r="Y1901" s="284"/>
      <c r="Z1901" s="207"/>
      <c r="AA1901" s="284"/>
      <c r="AB1901" s="284"/>
      <c r="AC1901" s="137"/>
      <c r="AD1901" s="284"/>
      <c r="AE1901" s="299"/>
      <c r="AF1901" s="299"/>
      <c r="AG1901" s="284"/>
    </row>
    <row r="1902" spans="2:33">
      <c r="B1902" s="86"/>
      <c r="C1902" s="84"/>
      <c r="D1902" s="86"/>
      <c r="E1902" s="84"/>
      <c r="F1902" s="284"/>
      <c r="G1902" s="49"/>
      <c r="H1902" s="284"/>
      <c r="I1902" s="74"/>
      <c r="J1902" s="371"/>
      <c r="K1902" s="77"/>
      <c r="L1902" s="160"/>
      <c r="M1902" s="388"/>
      <c r="N1902" s="375"/>
      <c r="O1902" s="370"/>
      <c r="T1902" s="340"/>
      <c r="W1902" s="113"/>
      <c r="X1902" s="241"/>
      <c r="Y1902" s="284"/>
      <c r="Z1902" s="207"/>
      <c r="AA1902" s="284"/>
      <c r="AB1902" s="284"/>
      <c r="AC1902" s="137"/>
      <c r="AD1902" s="284"/>
      <c r="AE1902" s="299"/>
      <c r="AF1902" s="299"/>
      <c r="AG1902" s="284"/>
    </row>
    <row r="1903" spans="2:33">
      <c r="B1903" s="86"/>
      <c r="C1903" s="84"/>
      <c r="D1903" s="86"/>
      <c r="E1903" s="84"/>
      <c r="F1903" s="284"/>
      <c r="G1903" s="49"/>
      <c r="H1903" s="284"/>
      <c r="I1903" s="74"/>
      <c r="J1903" s="371"/>
      <c r="K1903" s="77"/>
      <c r="L1903" s="160"/>
      <c r="M1903" s="388"/>
      <c r="N1903" s="375"/>
      <c r="O1903" s="370"/>
      <c r="T1903" s="340"/>
      <c r="W1903" s="113"/>
      <c r="X1903" s="241"/>
      <c r="Y1903" s="284"/>
      <c r="Z1903" s="207"/>
      <c r="AA1903" s="284"/>
      <c r="AB1903" s="284"/>
      <c r="AC1903" s="137"/>
      <c r="AD1903" s="284"/>
      <c r="AE1903" s="299"/>
      <c r="AF1903" s="299"/>
      <c r="AG1903" s="284"/>
    </row>
    <row r="1904" spans="2:33">
      <c r="B1904" s="86"/>
      <c r="C1904" s="84"/>
      <c r="D1904" s="86"/>
      <c r="E1904" s="84"/>
      <c r="F1904" s="284"/>
      <c r="G1904" s="49"/>
      <c r="H1904" s="284"/>
      <c r="I1904" s="74"/>
      <c r="J1904" s="371"/>
      <c r="K1904" s="77"/>
      <c r="L1904" s="160"/>
      <c r="M1904" s="388"/>
      <c r="N1904" s="375"/>
      <c r="O1904" s="370"/>
      <c r="T1904" s="340"/>
      <c r="W1904" s="113"/>
      <c r="X1904" s="241"/>
      <c r="Y1904" s="284"/>
      <c r="Z1904" s="207"/>
      <c r="AA1904" s="284"/>
      <c r="AB1904" s="284"/>
      <c r="AC1904" s="137"/>
      <c r="AD1904" s="284"/>
      <c r="AE1904" s="299"/>
      <c r="AF1904" s="299"/>
      <c r="AG1904" s="284"/>
    </row>
    <row r="1905" spans="2:33">
      <c r="B1905" s="86"/>
      <c r="C1905" s="84"/>
      <c r="D1905" s="86"/>
      <c r="E1905" s="84"/>
      <c r="F1905" s="284"/>
      <c r="G1905" s="49"/>
      <c r="H1905" s="284"/>
      <c r="I1905" s="74"/>
      <c r="J1905" s="371"/>
      <c r="K1905" s="77"/>
      <c r="L1905" s="160"/>
      <c r="M1905" s="388"/>
      <c r="N1905" s="375"/>
      <c r="O1905" s="370"/>
      <c r="T1905" s="340"/>
      <c r="W1905" s="113"/>
      <c r="X1905" s="241"/>
      <c r="Y1905" s="284"/>
      <c r="Z1905" s="207"/>
      <c r="AA1905" s="284"/>
      <c r="AB1905" s="284"/>
      <c r="AC1905" s="137"/>
      <c r="AD1905" s="284"/>
      <c r="AE1905" s="299"/>
      <c r="AF1905" s="299"/>
      <c r="AG1905" s="284"/>
    </row>
    <row r="1906" spans="2:33">
      <c r="B1906" s="86"/>
      <c r="C1906" s="84"/>
      <c r="D1906" s="86"/>
      <c r="E1906" s="84"/>
      <c r="F1906" s="284"/>
      <c r="G1906" s="49"/>
      <c r="H1906" s="284"/>
      <c r="I1906" s="74"/>
      <c r="J1906" s="371"/>
      <c r="K1906" s="77"/>
      <c r="L1906" s="160"/>
      <c r="M1906" s="388"/>
      <c r="N1906" s="375"/>
      <c r="O1906" s="370"/>
      <c r="T1906" s="340"/>
      <c r="W1906" s="113"/>
      <c r="X1906" s="241"/>
      <c r="Y1906" s="284"/>
      <c r="Z1906" s="207"/>
      <c r="AA1906" s="284"/>
      <c r="AB1906" s="284"/>
      <c r="AC1906" s="137"/>
      <c r="AD1906" s="284"/>
      <c r="AE1906" s="299"/>
      <c r="AF1906" s="299"/>
      <c r="AG1906" s="284"/>
    </row>
    <row r="1907" spans="2:33">
      <c r="B1907" s="86"/>
      <c r="C1907" s="84"/>
      <c r="D1907" s="86"/>
      <c r="E1907" s="84"/>
      <c r="F1907" s="284"/>
      <c r="G1907" s="49"/>
      <c r="H1907" s="284"/>
      <c r="I1907" s="74"/>
      <c r="J1907" s="371"/>
      <c r="K1907" s="77"/>
      <c r="L1907" s="160"/>
      <c r="M1907" s="388"/>
      <c r="N1907" s="375"/>
      <c r="O1907" s="370"/>
      <c r="T1907" s="340"/>
      <c r="W1907" s="113"/>
      <c r="X1907" s="241"/>
      <c r="Y1907" s="284"/>
      <c r="Z1907" s="207"/>
      <c r="AA1907" s="284"/>
      <c r="AB1907" s="284"/>
      <c r="AC1907" s="137"/>
      <c r="AD1907" s="284"/>
      <c r="AE1907" s="299"/>
      <c r="AF1907" s="299"/>
      <c r="AG1907" s="284"/>
    </row>
    <row r="1908" spans="2:33">
      <c r="B1908" s="86"/>
      <c r="C1908" s="84"/>
      <c r="D1908" s="86"/>
      <c r="E1908" s="84"/>
      <c r="F1908" s="284"/>
      <c r="G1908" s="49"/>
      <c r="H1908" s="284"/>
      <c r="I1908" s="74"/>
      <c r="J1908" s="371"/>
      <c r="K1908" s="77"/>
      <c r="L1908" s="160"/>
      <c r="M1908" s="388"/>
      <c r="N1908" s="375"/>
      <c r="O1908" s="370"/>
      <c r="T1908" s="340"/>
      <c r="W1908" s="113"/>
      <c r="X1908" s="241"/>
      <c r="Y1908" s="284"/>
      <c r="Z1908" s="207"/>
      <c r="AA1908" s="284"/>
      <c r="AB1908" s="284"/>
      <c r="AC1908" s="137"/>
      <c r="AD1908" s="284"/>
      <c r="AE1908" s="299"/>
      <c r="AF1908" s="299"/>
      <c r="AG1908" s="284"/>
    </row>
    <row r="1909" spans="2:33">
      <c r="B1909" s="86"/>
      <c r="C1909" s="84"/>
      <c r="D1909" s="86"/>
      <c r="E1909" s="84"/>
      <c r="F1909" s="284"/>
      <c r="G1909" s="49"/>
      <c r="H1909" s="284"/>
      <c r="I1909" s="74"/>
      <c r="J1909" s="371"/>
      <c r="K1909" s="77"/>
      <c r="L1909" s="160"/>
      <c r="M1909" s="388"/>
      <c r="N1909" s="375"/>
      <c r="O1909" s="370"/>
      <c r="T1909" s="340"/>
      <c r="W1909" s="113"/>
      <c r="X1909" s="241"/>
      <c r="Y1909" s="284"/>
      <c r="Z1909" s="207"/>
      <c r="AA1909" s="284"/>
      <c r="AB1909" s="284"/>
      <c r="AC1909" s="137"/>
      <c r="AD1909" s="284"/>
      <c r="AE1909" s="299"/>
      <c r="AF1909" s="299"/>
      <c r="AG1909" s="284"/>
    </row>
    <row r="1910" spans="2:33">
      <c r="B1910" s="86"/>
      <c r="C1910" s="84"/>
      <c r="D1910" s="86"/>
      <c r="E1910" s="84"/>
      <c r="F1910" s="284"/>
      <c r="G1910" s="49"/>
      <c r="H1910" s="284"/>
      <c r="I1910" s="74"/>
      <c r="J1910" s="371"/>
      <c r="K1910" s="77"/>
      <c r="L1910" s="160"/>
      <c r="M1910" s="388"/>
      <c r="N1910" s="375"/>
      <c r="O1910" s="370"/>
      <c r="T1910" s="340"/>
      <c r="W1910" s="113"/>
      <c r="X1910" s="241"/>
      <c r="Y1910" s="284"/>
      <c r="Z1910" s="207"/>
      <c r="AA1910" s="284"/>
      <c r="AB1910" s="284"/>
      <c r="AC1910" s="137"/>
      <c r="AD1910" s="284"/>
      <c r="AE1910" s="299"/>
      <c r="AF1910" s="299"/>
      <c r="AG1910" s="284"/>
    </row>
    <row r="1911" spans="2:33">
      <c r="B1911" s="86"/>
      <c r="C1911" s="84"/>
      <c r="D1911" s="86"/>
      <c r="E1911" s="84"/>
      <c r="F1911" s="284"/>
      <c r="G1911" s="49"/>
      <c r="H1911" s="284"/>
      <c r="I1911" s="74"/>
      <c r="J1911" s="371"/>
      <c r="K1911" s="77"/>
      <c r="L1911" s="160"/>
      <c r="M1911" s="388"/>
      <c r="N1911" s="375"/>
      <c r="O1911" s="370"/>
      <c r="T1911" s="340"/>
      <c r="W1911" s="113"/>
      <c r="X1911" s="241"/>
      <c r="Y1911" s="284"/>
      <c r="Z1911" s="207"/>
      <c r="AA1911" s="284"/>
      <c r="AB1911" s="284"/>
      <c r="AC1911" s="137"/>
      <c r="AD1911" s="284"/>
      <c r="AE1911" s="299"/>
      <c r="AF1911" s="299"/>
      <c r="AG1911" s="284"/>
    </row>
    <row r="1912" spans="2:33">
      <c r="B1912" s="86"/>
      <c r="C1912" s="84"/>
      <c r="D1912" s="86"/>
      <c r="E1912" s="84"/>
      <c r="F1912" s="284"/>
      <c r="G1912" s="49"/>
      <c r="H1912" s="284"/>
      <c r="I1912" s="74"/>
      <c r="J1912" s="371"/>
      <c r="K1912" s="77"/>
      <c r="L1912" s="160"/>
      <c r="M1912" s="388"/>
      <c r="N1912" s="375"/>
      <c r="O1912" s="370"/>
      <c r="T1912" s="340"/>
      <c r="W1912" s="113"/>
      <c r="X1912" s="241"/>
      <c r="Y1912" s="284"/>
      <c r="Z1912" s="207"/>
      <c r="AA1912" s="284"/>
      <c r="AB1912" s="284"/>
      <c r="AC1912" s="137"/>
      <c r="AD1912" s="284"/>
      <c r="AE1912" s="299"/>
      <c r="AF1912" s="299"/>
      <c r="AG1912" s="284"/>
    </row>
    <row r="1913" spans="2:33">
      <c r="B1913" s="86"/>
      <c r="C1913" s="84"/>
      <c r="D1913" s="86"/>
      <c r="E1913" s="84"/>
      <c r="F1913" s="284"/>
      <c r="G1913" s="49"/>
      <c r="H1913" s="284"/>
      <c r="I1913" s="74"/>
      <c r="J1913" s="371"/>
      <c r="K1913" s="77"/>
      <c r="L1913" s="160"/>
      <c r="M1913" s="388"/>
      <c r="N1913" s="375"/>
      <c r="O1913" s="370"/>
      <c r="T1913" s="340"/>
      <c r="W1913" s="113"/>
      <c r="X1913" s="241"/>
      <c r="Y1913" s="284"/>
      <c r="Z1913" s="207"/>
      <c r="AA1913" s="284"/>
      <c r="AB1913" s="284"/>
      <c r="AC1913" s="137"/>
      <c r="AD1913" s="284"/>
      <c r="AE1913" s="299"/>
      <c r="AF1913" s="299"/>
      <c r="AG1913" s="284"/>
    </row>
    <row r="1914" spans="2:33">
      <c r="B1914" s="86"/>
      <c r="C1914" s="84"/>
      <c r="D1914" s="86"/>
      <c r="E1914" s="84"/>
      <c r="F1914" s="284"/>
      <c r="G1914" s="49"/>
      <c r="H1914" s="284"/>
      <c r="I1914" s="74"/>
      <c r="J1914" s="371"/>
      <c r="K1914" s="77"/>
      <c r="L1914" s="160"/>
      <c r="M1914" s="388"/>
      <c r="N1914" s="375"/>
      <c r="O1914" s="370"/>
      <c r="T1914" s="340"/>
      <c r="W1914" s="113"/>
      <c r="X1914" s="241"/>
      <c r="Y1914" s="284"/>
      <c r="Z1914" s="207"/>
      <c r="AA1914" s="284"/>
      <c r="AB1914" s="284"/>
      <c r="AC1914" s="137"/>
      <c r="AD1914" s="284"/>
      <c r="AE1914" s="299"/>
      <c r="AF1914" s="299"/>
      <c r="AG1914" s="284"/>
    </row>
    <row r="1915" spans="2:33">
      <c r="B1915" s="86"/>
      <c r="C1915" s="84"/>
      <c r="D1915" s="86"/>
      <c r="E1915" s="84"/>
      <c r="F1915" s="284"/>
      <c r="G1915" s="49"/>
      <c r="H1915" s="284"/>
      <c r="I1915" s="74"/>
      <c r="J1915" s="371"/>
      <c r="K1915" s="77"/>
      <c r="L1915" s="160"/>
      <c r="M1915" s="388"/>
      <c r="N1915" s="375"/>
      <c r="O1915" s="370"/>
      <c r="T1915" s="340"/>
      <c r="W1915" s="113"/>
      <c r="X1915" s="241"/>
      <c r="Y1915" s="284"/>
      <c r="Z1915" s="207"/>
      <c r="AA1915" s="284"/>
      <c r="AB1915" s="284"/>
      <c r="AC1915" s="137"/>
      <c r="AD1915" s="284"/>
      <c r="AE1915" s="299"/>
      <c r="AF1915" s="299"/>
      <c r="AG1915" s="284"/>
    </row>
    <row r="1916" spans="2:33">
      <c r="B1916" s="86"/>
      <c r="C1916" s="84"/>
      <c r="D1916" s="86"/>
      <c r="E1916" s="84"/>
      <c r="F1916" s="284"/>
      <c r="G1916" s="49"/>
      <c r="H1916" s="284"/>
      <c r="I1916" s="74"/>
      <c r="J1916" s="371"/>
      <c r="K1916" s="77"/>
      <c r="L1916" s="160"/>
      <c r="M1916" s="388"/>
      <c r="N1916" s="375"/>
      <c r="O1916" s="370"/>
      <c r="T1916" s="340"/>
      <c r="W1916" s="113"/>
      <c r="X1916" s="241"/>
      <c r="Y1916" s="284"/>
      <c r="Z1916" s="207"/>
      <c r="AA1916" s="284"/>
      <c r="AB1916" s="284"/>
      <c r="AC1916" s="137"/>
      <c r="AD1916" s="284"/>
      <c r="AE1916" s="299"/>
      <c r="AF1916" s="299"/>
      <c r="AG1916" s="284"/>
    </row>
    <row r="1917" spans="2:33">
      <c r="B1917" s="86"/>
      <c r="C1917" s="84"/>
      <c r="D1917" s="86"/>
      <c r="E1917" s="84"/>
      <c r="F1917" s="284"/>
      <c r="G1917" s="49"/>
      <c r="H1917" s="284"/>
      <c r="I1917" s="74"/>
      <c r="J1917" s="371"/>
      <c r="K1917" s="77"/>
      <c r="L1917" s="160"/>
      <c r="M1917" s="388"/>
      <c r="N1917" s="375"/>
      <c r="O1917" s="370"/>
      <c r="T1917" s="340"/>
      <c r="W1917" s="113"/>
      <c r="X1917" s="241"/>
      <c r="Y1917" s="284"/>
      <c r="Z1917" s="207"/>
      <c r="AA1917" s="284"/>
      <c r="AB1917" s="284"/>
      <c r="AC1917" s="137"/>
      <c r="AD1917" s="284"/>
      <c r="AE1917" s="299"/>
      <c r="AF1917" s="299"/>
      <c r="AG1917" s="284"/>
    </row>
    <row r="1918" spans="2:33">
      <c r="B1918" s="86"/>
      <c r="C1918" s="84"/>
      <c r="D1918" s="86"/>
      <c r="E1918" s="84"/>
      <c r="F1918" s="284"/>
      <c r="G1918" s="49"/>
      <c r="H1918" s="284"/>
      <c r="I1918" s="74"/>
      <c r="J1918" s="371"/>
      <c r="K1918" s="77"/>
      <c r="L1918" s="160"/>
      <c r="M1918" s="388"/>
      <c r="N1918" s="375"/>
      <c r="O1918" s="370"/>
      <c r="T1918" s="340"/>
      <c r="W1918" s="113"/>
      <c r="X1918" s="241"/>
      <c r="Y1918" s="284"/>
      <c r="Z1918" s="207"/>
      <c r="AA1918" s="284"/>
      <c r="AB1918" s="284"/>
      <c r="AC1918" s="137"/>
      <c r="AD1918" s="284"/>
      <c r="AE1918" s="299"/>
      <c r="AF1918" s="299"/>
      <c r="AG1918" s="284"/>
    </row>
    <row r="1919" spans="2:33">
      <c r="B1919" s="86"/>
      <c r="C1919" s="84"/>
      <c r="D1919" s="86"/>
      <c r="E1919" s="84"/>
      <c r="F1919" s="284"/>
      <c r="G1919" s="49"/>
      <c r="H1919" s="284"/>
      <c r="I1919" s="74"/>
      <c r="J1919" s="371"/>
      <c r="K1919" s="77"/>
      <c r="L1919" s="160"/>
      <c r="M1919" s="388"/>
      <c r="N1919" s="375"/>
      <c r="O1919" s="370"/>
      <c r="T1919" s="340"/>
      <c r="W1919" s="113"/>
      <c r="X1919" s="241"/>
      <c r="Y1919" s="284"/>
      <c r="Z1919" s="207"/>
      <c r="AA1919" s="284"/>
      <c r="AB1919" s="284"/>
      <c r="AC1919" s="137"/>
      <c r="AD1919" s="284"/>
      <c r="AE1919" s="299"/>
      <c r="AF1919" s="299"/>
      <c r="AG1919" s="284"/>
    </row>
    <row r="1920" spans="2:33">
      <c r="B1920" s="86"/>
      <c r="C1920" s="84"/>
      <c r="D1920" s="86"/>
      <c r="E1920" s="84"/>
      <c r="F1920" s="284"/>
      <c r="G1920" s="49"/>
      <c r="H1920" s="284"/>
      <c r="I1920" s="74"/>
      <c r="J1920" s="371"/>
      <c r="K1920" s="77"/>
      <c r="L1920" s="160"/>
      <c r="M1920" s="388"/>
      <c r="N1920" s="375"/>
      <c r="O1920" s="370"/>
      <c r="T1920" s="340"/>
      <c r="W1920" s="113"/>
      <c r="X1920" s="241"/>
      <c r="Y1920" s="284"/>
      <c r="Z1920" s="207"/>
      <c r="AA1920" s="284"/>
      <c r="AB1920" s="284"/>
      <c r="AC1920" s="137"/>
      <c r="AD1920" s="284"/>
      <c r="AE1920" s="299"/>
      <c r="AF1920" s="299"/>
      <c r="AG1920" s="284"/>
    </row>
    <row r="1921" spans="2:33">
      <c r="B1921" s="86"/>
      <c r="C1921" s="84"/>
      <c r="D1921" s="86"/>
      <c r="E1921" s="84"/>
      <c r="F1921" s="284"/>
      <c r="G1921" s="49"/>
      <c r="H1921" s="284"/>
      <c r="I1921" s="74"/>
      <c r="J1921" s="371"/>
      <c r="K1921" s="77"/>
      <c r="L1921" s="160"/>
      <c r="M1921" s="388"/>
      <c r="N1921" s="375"/>
      <c r="O1921" s="370"/>
      <c r="T1921" s="340"/>
      <c r="W1921" s="113"/>
      <c r="X1921" s="241"/>
      <c r="Y1921" s="284"/>
      <c r="Z1921" s="207"/>
      <c r="AA1921" s="284"/>
      <c r="AB1921" s="284"/>
      <c r="AC1921" s="137"/>
      <c r="AD1921" s="284"/>
      <c r="AE1921" s="299"/>
      <c r="AF1921" s="299"/>
      <c r="AG1921" s="284"/>
    </row>
    <row r="1922" spans="2:33">
      <c r="B1922" s="86"/>
      <c r="C1922" s="84"/>
      <c r="D1922" s="86"/>
      <c r="E1922" s="84"/>
      <c r="F1922" s="284"/>
      <c r="G1922" s="49"/>
      <c r="H1922" s="284"/>
      <c r="I1922" s="74"/>
      <c r="J1922" s="371"/>
      <c r="K1922" s="77"/>
      <c r="L1922" s="160"/>
      <c r="M1922" s="388"/>
      <c r="N1922" s="375"/>
      <c r="O1922" s="370"/>
      <c r="T1922" s="340"/>
      <c r="W1922" s="113"/>
      <c r="X1922" s="241"/>
      <c r="Y1922" s="284"/>
      <c r="Z1922" s="207"/>
      <c r="AA1922" s="284"/>
      <c r="AB1922" s="284"/>
      <c r="AC1922" s="137"/>
      <c r="AD1922" s="284"/>
      <c r="AE1922" s="299"/>
      <c r="AF1922" s="299"/>
      <c r="AG1922" s="284"/>
    </row>
    <row r="1923" spans="2:33">
      <c r="B1923" s="86"/>
      <c r="C1923" s="84"/>
      <c r="D1923" s="86"/>
      <c r="E1923" s="84"/>
      <c r="F1923" s="284"/>
      <c r="G1923" s="49"/>
      <c r="H1923" s="284"/>
      <c r="I1923" s="74"/>
      <c r="J1923" s="371"/>
      <c r="K1923" s="77"/>
      <c r="L1923" s="160"/>
      <c r="M1923" s="388"/>
      <c r="N1923" s="375"/>
      <c r="O1923" s="370"/>
      <c r="T1923" s="340"/>
      <c r="W1923" s="113"/>
      <c r="X1923" s="241"/>
      <c r="Y1923" s="284"/>
      <c r="Z1923" s="207"/>
      <c r="AA1923" s="284"/>
      <c r="AB1923" s="284"/>
      <c r="AC1923" s="137"/>
      <c r="AD1923" s="284"/>
      <c r="AE1923" s="299"/>
      <c r="AF1923" s="299"/>
      <c r="AG1923" s="284"/>
    </row>
    <row r="1924" spans="2:33">
      <c r="B1924" s="86"/>
      <c r="C1924" s="84"/>
      <c r="D1924" s="86"/>
      <c r="E1924" s="84"/>
      <c r="F1924" s="284"/>
      <c r="G1924" s="49"/>
      <c r="H1924" s="284"/>
      <c r="I1924" s="74"/>
      <c r="J1924" s="371"/>
      <c r="K1924" s="77"/>
      <c r="L1924" s="160"/>
      <c r="M1924" s="388"/>
      <c r="N1924" s="375"/>
      <c r="O1924" s="370"/>
      <c r="T1924" s="340"/>
      <c r="W1924" s="113"/>
      <c r="X1924" s="241"/>
      <c r="Y1924" s="284"/>
      <c r="Z1924" s="207"/>
      <c r="AA1924" s="284"/>
      <c r="AB1924" s="284"/>
      <c r="AC1924" s="137"/>
      <c r="AD1924" s="284"/>
      <c r="AE1924" s="299"/>
      <c r="AF1924" s="299"/>
      <c r="AG1924" s="284"/>
    </row>
    <row r="1925" spans="2:33">
      <c r="B1925" s="86"/>
      <c r="C1925" s="84"/>
      <c r="D1925" s="86"/>
      <c r="E1925" s="84"/>
      <c r="F1925" s="284"/>
      <c r="G1925" s="49"/>
      <c r="H1925" s="284"/>
      <c r="I1925" s="74"/>
      <c r="J1925" s="371"/>
      <c r="K1925" s="77"/>
      <c r="L1925" s="160"/>
      <c r="M1925" s="388"/>
      <c r="N1925" s="375"/>
      <c r="O1925" s="370"/>
      <c r="T1925" s="340"/>
      <c r="W1925" s="113"/>
      <c r="X1925" s="241"/>
      <c r="Y1925" s="284"/>
      <c r="Z1925" s="207"/>
      <c r="AA1925" s="284"/>
      <c r="AB1925" s="284"/>
      <c r="AC1925" s="137"/>
      <c r="AD1925" s="284"/>
      <c r="AE1925" s="299"/>
      <c r="AF1925" s="299"/>
      <c r="AG1925" s="284"/>
    </row>
    <row r="1926" spans="2:33">
      <c r="B1926" s="86"/>
      <c r="C1926" s="84"/>
      <c r="D1926" s="86"/>
      <c r="E1926" s="84"/>
      <c r="F1926" s="284"/>
      <c r="G1926" s="49"/>
      <c r="H1926" s="284"/>
      <c r="I1926" s="74"/>
      <c r="J1926" s="371"/>
      <c r="K1926" s="77"/>
      <c r="L1926" s="160"/>
      <c r="M1926" s="388"/>
      <c r="N1926" s="375"/>
      <c r="O1926" s="370"/>
      <c r="T1926" s="340"/>
      <c r="W1926" s="113"/>
      <c r="X1926" s="241"/>
      <c r="Y1926" s="284"/>
      <c r="Z1926" s="207"/>
      <c r="AA1926" s="284"/>
      <c r="AB1926" s="284"/>
      <c r="AC1926" s="137"/>
      <c r="AD1926" s="284"/>
      <c r="AE1926" s="299"/>
      <c r="AF1926" s="299"/>
      <c r="AG1926" s="284"/>
    </row>
    <row r="1927" spans="2:33">
      <c r="B1927" s="86"/>
      <c r="C1927" s="84"/>
      <c r="D1927" s="86"/>
      <c r="E1927" s="84"/>
      <c r="F1927" s="284"/>
      <c r="G1927" s="49"/>
      <c r="H1927" s="284"/>
      <c r="I1927" s="74"/>
      <c r="J1927" s="371"/>
      <c r="K1927" s="77"/>
      <c r="L1927" s="160"/>
      <c r="M1927" s="388"/>
      <c r="N1927" s="375"/>
      <c r="O1927" s="370"/>
      <c r="T1927" s="340"/>
      <c r="W1927" s="113"/>
      <c r="X1927" s="241"/>
      <c r="Y1927" s="284"/>
      <c r="Z1927" s="207"/>
      <c r="AA1927" s="284"/>
      <c r="AB1927" s="284"/>
      <c r="AC1927" s="137"/>
      <c r="AD1927" s="284"/>
      <c r="AE1927" s="299"/>
      <c r="AF1927" s="299"/>
      <c r="AG1927" s="284"/>
    </row>
    <row r="1928" spans="2:33">
      <c r="B1928" s="86"/>
      <c r="C1928" s="84"/>
      <c r="D1928" s="86"/>
      <c r="E1928" s="84"/>
      <c r="F1928" s="284"/>
      <c r="G1928" s="49"/>
      <c r="H1928" s="284"/>
      <c r="I1928" s="74"/>
      <c r="J1928" s="371"/>
      <c r="K1928" s="77"/>
      <c r="L1928" s="160"/>
      <c r="M1928" s="388"/>
      <c r="N1928" s="375"/>
      <c r="O1928" s="370"/>
      <c r="T1928" s="340"/>
      <c r="W1928" s="113"/>
      <c r="X1928" s="241"/>
      <c r="Y1928" s="284"/>
      <c r="Z1928" s="207"/>
      <c r="AA1928" s="284"/>
      <c r="AB1928" s="284"/>
      <c r="AC1928" s="137"/>
      <c r="AD1928" s="284"/>
      <c r="AE1928" s="299"/>
      <c r="AF1928" s="299"/>
      <c r="AG1928" s="284"/>
    </row>
    <row r="1929" spans="2:33">
      <c r="B1929" s="86"/>
      <c r="C1929" s="84"/>
      <c r="D1929" s="86"/>
      <c r="E1929" s="84"/>
      <c r="F1929" s="284"/>
      <c r="G1929" s="49"/>
      <c r="H1929" s="284"/>
      <c r="I1929" s="74"/>
      <c r="J1929" s="371"/>
      <c r="K1929" s="77"/>
      <c r="L1929" s="160"/>
      <c r="M1929" s="388"/>
      <c r="N1929" s="375"/>
      <c r="O1929" s="370"/>
      <c r="T1929" s="340"/>
      <c r="W1929" s="113"/>
      <c r="X1929" s="241"/>
      <c r="Y1929" s="284"/>
      <c r="Z1929" s="207"/>
      <c r="AA1929" s="284"/>
      <c r="AB1929" s="284"/>
      <c r="AC1929" s="137"/>
      <c r="AD1929" s="284"/>
      <c r="AE1929" s="299"/>
      <c r="AF1929" s="299"/>
      <c r="AG1929" s="284"/>
    </row>
    <row r="1930" spans="2:33">
      <c r="B1930" s="86"/>
      <c r="C1930" s="84"/>
      <c r="D1930" s="86"/>
      <c r="E1930" s="84"/>
      <c r="F1930" s="284"/>
      <c r="G1930" s="49"/>
      <c r="H1930" s="284"/>
      <c r="I1930" s="74"/>
      <c r="J1930" s="371"/>
      <c r="K1930" s="77"/>
      <c r="L1930" s="160"/>
      <c r="M1930" s="388"/>
      <c r="N1930" s="375"/>
      <c r="O1930" s="370"/>
      <c r="T1930" s="340"/>
      <c r="W1930" s="113"/>
      <c r="X1930" s="241"/>
      <c r="Y1930" s="284"/>
      <c r="Z1930" s="207"/>
      <c r="AA1930" s="284"/>
      <c r="AB1930" s="284"/>
      <c r="AC1930" s="137"/>
      <c r="AD1930" s="284"/>
      <c r="AE1930" s="299"/>
      <c r="AF1930" s="299"/>
      <c r="AG1930" s="284"/>
    </row>
    <row r="1931" spans="2:33">
      <c r="B1931" s="86"/>
      <c r="C1931" s="84"/>
      <c r="D1931" s="86"/>
      <c r="E1931" s="84"/>
      <c r="F1931" s="284"/>
      <c r="G1931" s="49"/>
      <c r="H1931" s="284"/>
      <c r="I1931" s="74"/>
      <c r="J1931" s="371"/>
      <c r="K1931" s="77"/>
      <c r="L1931" s="160"/>
      <c r="M1931" s="388"/>
      <c r="N1931" s="375"/>
      <c r="O1931" s="370"/>
      <c r="T1931" s="340"/>
      <c r="W1931" s="113"/>
      <c r="X1931" s="241"/>
      <c r="Y1931" s="284"/>
      <c r="Z1931" s="207"/>
      <c r="AA1931" s="284"/>
      <c r="AB1931" s="284"/>
      <c r="AC1931" s="137"/>
      <c r="AD1931" s="284"/>
      <c r="AE1931" s="299"/>
      <c r="AF1931" s="299"/>
      <c r="AG1931" s="284"/>
    </row>
    <row r="1932" spans="2:33">
      <c r="B1932" s="86"/>
      <c r="C1932" s="84"/>
      <c r="D1932" s="86"/>
      <c r="E1932" s="84"/>
      <c r="F1932" s="284"/>
      <c r="G1932" s="49"/>
      <c r="H1932" s="284"/>
      <c r="I1932" s="74"/>
      <c r="J1932" s="371"/>
      <c r="K1932" s="77"/>
      <c r="L1932" s="160"/>
      <c r="M1932" s="388"/>
      <c r="N1932" s="375"/>
      <c r="O1932" s="370"/>
      <c r="T1932" s="340"/>
      <c r="W1932" s="113"/>
      <c r="X1932" s="241"/>
      <c r="Y1932" s="284"/>
      <c r="Z1932" s="207"/>
      <c r="AA1932" s="284"/>
      <c r="AB1932" s="284"/>
      <c r="AC1932" s="137"/>
      <c r="AD1932" s="284"/>
      <c r="AE1932" s="299"/>
      <c r="AF1932" s="299"/>
      <c r="AG1932" s="284"/>
    </row>
    <row r="1933" spans="2:33">
      <c r="B1933" s="86"/>
      <c r="C1933" s="84"/>
      <c r="D1933" s="86"/>
      <c r="E1933" s="84"/>
      <c r="F1933" s="284"/>
      <c r="G1933" s="49"/>
      <c r="H1933" s="284"/>
      <c r="I1933" s="74"/>
      <c r="J1933" s="371"/>
      <c r="K1933" s="77"/>
      <c r="L1933" s="160"/>
      <c r="M1933" s="388"/>
      <c r="N1933" s="375"/>
      <c r="O1933" s="370"/>
      <c r="T1933" s="340"/>
      <c r="W1933" s="113"/>
      <c r="X1933" s="241"/>
      <c r="Y1933" s="284"/>
      <c r="Z1933" s="207"/>
      <c r="AA1933" s="284"/>
      <c r="AB1933" s="284"/>
      <c r="AC1933" s="137"/>
      <c r="AD1933" s="284"/>
      <c r="AE1933" s="299"/>
      <c r="AF1933" s="299"/>
      <c r="AG1933" s="284"/>
    </row>
    <row r="1934" spans="2:33">
      <c r="B1934" s="86"/>
      <c r="C1934" s="84"/>
      <c r="D1934" s="86"/>
      <c r="E1934" s="84"/>
      <c r="F1934" s="284"/>
      <c r="G1934" s="49"/>
      <c r="H1934" s="284"/>
      <c r="I1934" s="74"/>
      <c r="J1934" s="371"/>
      <c r="K1934" s="77"/>
      <c r="L1934" s="160"/>
      <c r="M1934" s="388"/>
      <c r="N1934" s="375"/>
      <c r="O1934" s="370"/>
      <c r="T1934" s="340"/>
      <c r="W1934" s="113"/>
      <c r="X1934" s="241"/>
      <c r="Y1934" s="284"/>
      <c r="Z1934" s="207"/>
      <c r="AA1934" s="284"/>
      <c r="AB1934" s="284"/>
      <c r="AC1934" s="137"/>
      <c r="AD1934" s="284"/>
      <c r="AE1934" s="299"/>
      <c r="AF1934" s="299"/>
      <c r="AG1934" s="284"/>
    </row>
    <row r="1935" spans="2:33">
      <c r="B1935" s="86"/>
      <c r="C1935" s="84"/>
      <c r="D1935" s="86"/>
      <c r="E1935" s="84"/>
      <c r="F1935" s="284"/>
      <c r="G1935" s="49"/>
      <c r="H1935" s="284"/>
      <c r="I1935" s="74"/>
      <c r="J1935" s="371"/>
      <c r="K1935" s="77"/>
      <c r="L1935" s="160"/>
      <c r="M1935" s="388"/>
      <c r="N1935" s="375"/>
      <c r="O1935" s="370"/>
      <c r="T1935" s="340"/>
      <c r="W1935" s="113"/>
      <c r="X1935" s="241"/>
      <c r="Y1935" s="284"/>
      <c r="Z1935" s="207"/>
      <c r="AA1935" s="284"/>
      <c r="AB1935" s="284"/>
      <c r="AC1935" s="137"/>
      <c r="AD1935" s="284"/>
      <c r="AE1935" s="299"/>
      <c r="AF1935" s="299"/>
      <c r="AG1935" s="284"/>
    </row>
    <row r="1936" spans="2:33">
      <c r="B1936" s="86"/>
      <c r="C1936" s="84"/>
      <c r="D1936" s="86"/>
      <c r="E1936" s="84"/>
      <c r="F1936" s="284"/>
      <c r="G1936" s="49"/>
      <c r="H1936" s="284"/>
      <c r="I1936" s="74"/>
      <c r="J1936" s="371"/>
      <c r="K1936" s="77"/>
      <c r="L1936" s="160"/>
      <c r="M1936" s="388"/>
      <c r="N1936" s="375"/>
      <c r="O1936" s="370"/>
      <c r="T1936" s="340"/>
      <c r="W1936" s="113"/>
      <c r="X1936" s="241"/>
      <c r="Y1936" s="284"/>
      <c r="Z1936" s="207"/>
      <c r="AA1936" s="284"/>
      <c r="AB1936" s="284"/>
      <c r="AC1936" s="137"/>
      <c r="AD1936" s="284"/>
      <c r="AE1936" s="299"/>
      <c r="AF1936" s="299"/>
      <c r="AG1936" s="284"/>
    </row>
    <row r="1937" spans="2:33">
      <c r="B1937" s="86"/>
      <c r="C1937" s="84"/>
      <c r="D1937" s="86"/>
      <c r="E1937" s="84"/>
      <c r="F1937" s="284"/>
      <c r="G1937" s="49"/>
      <c r="H1937" s="284"/>
      <c r="I1937" s="74"/>
      <c r="J1937" s="371"/>
      <c r="K1937" s="77"/>
      <c r="L1937" s="160"/>
      <c r="M1937" s="388"/>
      <c r="N1937" s="375"/>
      <c r="O1937" s="370"/>
      <c r="T1937" s="340"/>
      <c r="W1937" s="113"/>
      <c r="X1937" s="241"/>
      <c r="Y1937" s="284"/>
      <c r="Z1937" s="207"/>
      <c r="AA1937" s="284"/>
      <c r="AB1937" s="284"/>
      <c r="AC1937" s="137"/>
      <c r="AD1937" s="284"/>
      <c r="AE1937" s="299"/>
      <c r="AF1937" s="299"/>
      <c r="AG1937" s="284"/>
    </row>
    <row r="1938" spans="2:33">
      <c r="B1938" s="86"/>
      <c r="C1938" s="84"/>
      <c r="D1938" s="86"/>
      <c r="E1938" s="84"/>
      <c r="F1938" s="284"/>
      <c r="G1938" s="49"/>
      <c r="H1938" s="284"/>
      <c r="I1938" s="74"/>
      <c r="J1938" s="371"/>
      <c r="K1938" s="77"/>
      <c r="L1938" s="160"/>
      <c r="M1938" s="388"/>
      <c r="N1938" s="375"/>
      <c r="O1938" s="370"/>
      <c r="T1938" s="340"/>
      <c r="W1938" s="113"/>
      <c r="X1938" s="241"/>
      <c r="Y1938" s="284"/>
      <c r="Z1938" s="207"/>
      <c r="AA1938" s="284"/>
      <c r="AB1938" s="284"/>
      <c r="AC1938" s="137"/>
      <c r="AD1938" s="284"/>
      <c r="AE1938" s="299"/>
      <c r="AF1938" s="299"/>
      <c r="AG1938" s="284"/>
    </row>
    <row r="1939" spans="2:33">
      <c r="B1939" s="86"/>
      <c r="C1939" s="84"/>
      <c r="D1939" s="86"/>
      <c r="E1939" s="84"/>
      <c r="F1939" s="284"/>
      <c r="G1939" s="49"/>
      <c r="H1939" s="284"/>
      <c r="I1939" s="74"/>
      <c r="J1939" s="371"/>
      <c r="K1939" s="77"/>
      <c r="L1939" s="160"/>
      <c r="M1939" s="388"/>
      <c r="N1939" s="375"/>
      <c r="O1939" s="370"/>
      <c r="T1939" s="340"/>
      <c r="W1939" s="113"/>
      <c r="X1939" s="241"/>
      <c r="Y1939" s="284"/>
      <c r="Z1939" s="207"/>
      <c r="AA1939" s="284"/>
      <c r="AB1939" s="284"/>
      <c r="AC1939" s="137"/>
      <c r="AD1939" s="284"/>
      <c r="AE1939" s="299"/>
      <c r="AF1939" s="299"/>
      <c r="AG1939" s="284"/>
    </row>
    <row r="1940" spans="2:33">
      <c r="B1940" s="86"/>
      <c r="C1940" s="84"/>
      <c r="D1940" s="86"/>
      <c r="E1940" s="84"/>
      <c r="F1940" s="284"/>
      <c r="G1940" s="49"/>
      <c r="H1940" s="284"/>
      <c r="I1940" s="74"/>
      <c r="J1940" s="371"/>
      <c r="K1940" s="77"/>
      <c r="L1940" s="160"/>
      <c r="M1940" s="388"/>
      <c r="N1940" s="375"/>
      <c r="O1940" s="370"/>
      <c r="T1940" s="340"/>
      <c r="W1940" s="113"/>
      <c r="X1940" s="241"/>
      <c r="Y1940" s="284"/>
      <c r="Z1940" s="207"/>
      <c r="AA1940" s="284"/>
      <c r="AB1940" s="284"/>
      <c r="AC1940" s="137"/>
      <c r="AD1940" s="284"/>
      <c r="AE1940" s="299"/>
      <c r="AF1940" s="299"/>
      <c r="AG1940" s="284"/>
    </row>
    <row r="1941" spans="2:33">
      <c r="B1941" s="86"/>
      <c r="C1941" s="84"/>
      <c r="D1941" s="86"/>
      <c r="E1941" s="84"/>
      <c r="F1941" s="284"/>
      <c r="G1941" s="49"/>
      <c r="H1941" s="284"/>
      <c r="I1941" s="74"/>
      <c r="J1941" s="371"/>
      <c r="K1941" s="77"/>
      <c r="L1941" s="160"/>
      <c r="M1941" s="388"/>
      <c r="N1941" s="375"/>
      <c r="O1941" s="370"/>
      <c r="T1941" s="340"/>
      <c r="W1941" s="113"/>
      <c r="X1941" s="241"/>
      <c r="Y1941" s="284"/>
      <c r="Z1941" s="207"/>
      <c r="AA1941" s="284"/>
      <c r="AB1941" s="284"/>
      <c r="AC1941" s="137"/>
      <c r="AD1941" s="284"/>
      <c r="AE1941" s="299"/>
      <c r="AF1941" s="299"/>
      <c r="AG1941" s="284"/>
    </row>
    <row r="1942" spans="2:33">
      <c r="B1942" s="86"/>
      <c r="C1942" s="84"/>
      <c r="D1942" s="86"/>
      <c r="E1942" s="84"/>
      <c r="F1942" s="284"/>
      <c r="G1942" s="49"/>
      <c r="H1942" s="284"/>
      <c r="I1942" s="74"/>
      <c r="J1942" s="371"/>
      <c r="K1942" s="77"/>
      <c r="L1942" s="160"/>
      <c r="M1942" s="388"/>
      <c r="N1942" s="375"/>
      <c r="O1942" s="370"/>
      <c r="T1942" s="340"/>
      <c r="W1942" s="113"/>
      <c r="X1942" s="241"/>
      <c r="Y1942" s="284"/>
      <c r="Z1942" s="207"/>
      <c r="AA1942" s="284"/>
      <c r="AB1942" s="284"/>
      <c r="AC1942" s="137"/>
      <c r="AD1942" s="284"/>
      <c r="AE1942" s="299"/>
      <c r="AF1942" s="299"/>
      <c r="AG1942" s="284"/>
    </row>
    <row r="1943" spans="2:33">
      <c r="B1943" s="86"/>
      <c r="C1943" s="84"/>
      <c r="D1943" s="86"/>
      <c r="E1943" s="84"/>
      <c r="F1943" s="284"/>
      <c r="G1943" s="49"/>
      <c r="H1943" s="284"/>
      <c r="I1943" s="74"/>
      <c r="J1943" s="371"/>
      <c r="K1943" s="77"/>
      <c r="L1943" s="160"/>
      <c r="M1943" s="388"/>
      <c r="N1943" s="375"/>
      <c r="O1943" s="370"/>
      <c r="T1943" s="340"/>
      <c r="W1943" s="113"/>
      <c r="X1943" s="241"/>
      <c r="Y1943" s="284"/>
      <c r="Z1943" s="207"/>
      <c r="AA1943" s="284"/>
      <c r="AB1943" s="284"/>
      <c r="AC1943" s="137"/>
      <c r="AD1943" s="284"/>
      <c r="AE1943" s="299"/>
      <c r="AF1943" s="299"/>
      <c r="AG1943" s="284"/>
    </row>
    <row r="1944" spans="2:33">
      <c r="B1944" s="86"/>
      <c r="C1944" s="84"/>
      <c r="D1944" s="86"/>
      <c r="E1944" s="84"/>
      <c r="F1944" s="284"/>
      <c r="G1944" s="49"/>
      <c r="H1944" s="284"/>
      <c r="I1944" s="74"/>
      <c r="J1944" s="371"/>
      <c r="K1944" s="77"/>
      <c r="L1944" s="160"/>
      <c r="M1944" s="388"/>
      <c r="N1944" s="375"/>
      <c r="O1944" s="370"/>
      <c r="T1944" s="340"/>
      <c r="W1944" s="113"/>
      <c r="X1944" s="241"/>
      <c r="Y1944" s="284"/>
      <c r="Z1944" s="207"/>
      <c r="AA1944" s="284"/>
      <c r="AB1944" s="284"/>
      <c r="AC1944" s="137"/>
      <c r="AD1944" s="284"/>
      <c r="AE1944" s="299"/>
      <c r="AF1944" s="299"/>
      <c r="AG1944" s="284"/>
    </row>
    <row r="1945" spans="2:33">
      <c r="B1945" s="86"/>
      <c r="C1945" s="84"/>
      <c r="D1945" s="86"/>
      <c r="E1945" s="84"/>
      <c r="F1945" s="284"/>
      <c r="G1945" s="49"/>
      <c r="H1945" s="284"/>
      <c r="I1945" s="74"/>
      <c r="J1945" s="371"/>
      <c r="K1945" s="77"/>
      <c r="L1945" s="160"/>
      <c r="M1945" s="388"/>
      <c r="N1945" s="375"/>
      <c r="O1945" s="370"/>
      <c r="T1945" s="340"/>
      <c r="W1945" s="113"/>
      <c r="X1945" s="241"/>
      <c r="Y1945" s="284"/>
      <c r="Z1945" s="207"/>
      <c r="AA1945" s="284"/>
      <c r="AB1945" s="284"/>
      <c r="AC1945" s="137"/>
      <c r="AD1945" s="284"/>
      <c r="AE1945" s="299"/>
      <c r="AF1945" s="299"/>
      <c r="AG1945" s="284"/>
    </row>
    <row r="1946" spans="2:33">
      <c r="B1946" s="86"/>
      <c r="C1946" s="84"/>
      <c r="D1946" s="86"/>
      <c r="E1946" s="84"/>
      <c r="F1946" s="284"/>
      <c r="G1946" s="49"/>
      <c r="H1946" s="284"/>
      <c r="I1946" s="74"/>
      <c r="J1946" s="371"/>
      <c r="K1946" s="77"/>
      <c r="L1946" s="160"/>
      <c r="M1946" s="388"/>
      <c r="N1946" s="375"/>
      <c r="O1946" s="370"/>
      <c r="T1946" s="340"/>
      <c r="W1946" s="113"/>
      <c r="X1946" s="241"/>
      <c r="Y1946" s="284"/>
      <c r="Z1946" s="207"/>
      <c r="AA1946" s="284"/>
      <c r="AB1946" s="284"/>
      <c r="AC1946" s="137"/>
      <c r="AD1946" s="284"/>
      <c r="AE1946" s="299"/>
      <c r="AF1946" s="299"/>
      <c r="AG1946" s="284"/>
    </row>
    <row r="1947" spans="2:33">
      <c r="B1947" s="86"/>
      <c r="C1947" s="84"/>
      <c r="D1947" s="86"/>
      <c r="E1947" s="84"/>
      <c r="F1947" s="284"/>
      <c r="G1947" s="49"/>
      <c r="H1947" s="284"/>
      <c r="I1947" s="74"/>
      <c r="J1947" s="371"/>
      <c r="K1947" s="77"/>
      <c r="L1947" s="160"/>
      <c r="M1947" s="388"/>
      <c r="N1947" s="375"/>
      <c r="O1947" s="370"/>
      <c r="T1947" s="340"/>
      <c r="W1947" s="113"/>
      <c r="X1947" s="241"/>
      <c r="Y1947" s="284"/>
      <c r="Z1947" s="207"/>
      <c r="AA1947" s="284"/>
      <c r="AB1947" s="284"/>
      <c r="AC1947" s="137"/>
      <c r="AD1947" s="284"/>
      <c r="AE1947" s="299"/>
      <c r="AF1947" s="299"/>
      <c r="AG1947" s="284"/>
    </row>
    <row r="1948" spans="2:33">
      <c r="B1948" s="86"/>
      <c r="C1948" s="84"/>
      <c r="D1948" s="86"/>
      <c r="E1948" s="84"/>
      <c r="F1948" s="284"/>
      <c r="G1948" s="49"/>
      <c r="H1948" s="284"/>
      <c r="I1948" s="74"/>
      <c r="J1948" s="371"/>
      <c r="K1948" s="77"/>
      <c r="L1948" s="160"/>
      <c r="M1948" s="388"/>
      <c r="N1948" s="375"/>
      <c r="O1948" s="370"/>
      <c r="T1948" s="340"/>
      <c r="W1948" s="113"/>
      <c r="X1948" s="241"/>
      <c r="Y1948" s="284"/>
      <c r="Z1948" s="207"/>
      <c r="AA1948" s="284"/>
      <c r="AB1948" s="284"/>
      <c r="AC1948" s="137"/>
      <c r="AD1948" s="284"/>
      <c r="AE1948" s="299"/>
      <c r="AF1948" s="299"/>
      <c r="AG1948" s="284"/>
    </row>
    <row r="1949" spans="2:33">
      <c r="B1949" s="86"/>
      <c r="C1949" s="84"/>
      <c r="D1949" s="86"/>
      <c r="E1949" s="84"/>
      <c r="F1949" s="284"/>
      <c r="G1949" s="49"/>
      <c r="H1949" s="284"/>
      <c r="I1949" s="74"/>
      <c r="J1949" s="371"/>
      <c r="K1949" s="77"/>
      <c r="L1949" s="160"/>
      <c r="M1949" s="388"/>
      <c r="N1949" s="375"/>
      <c r="O1949" s="370"/>
      <c r="T1949" s="340"/>
      <c r="W1949" s="113"/>
      <c r="X1949" s="241"/>
      <c r="Y1949" s="284"/>
      <c r="Z1949" s="207"/>
      <c r="AA1949" s="284"/>
      <c r="AB1949" s="284"/>
      <c r="AC1949" s="137"/>
      <c r="AD1949" s="284"/>
      <c r="AE1949" s="299"/>
      <c r="AF1949" s="299"/>
      <c r="AG1949" s="284"/>
    </row>
    <row r="1950" spans="2:33">
      <c r="B1950" s="86"/>
      <c r="C1950" s="84"/>
      <c r="D1950" s="86"/>
      <c r="E1950" s="84"/>
      <c r="F1950" s="284"/>
      <c r="G1950" s="49"/>
      <c r="H1950" s="284"/>
      <c r="I1950" s="74"/>
      <c r="J1950" s="371"/>
      <c r="K1950" s="77"/>
      <c r="L1950" s="160"/>
      <c r="M1950" s="388"/>
      <c r="N1950" s="375"/>
      <c r="O1950" s="370"/>
      <c r="T1950" s="340"/>
      <c r="W1950" s="113"/>
      <c r="X1950" s="241"/>
      <c r="Y1950" s="284"/>
      <c r="Z1950" s="207"/>
      <c r="AA1950" s="284"/>
      <c r="AB1950" s="284"/>
      <c r="AC1950" s="137"/>
      <c r="AD1950" s="284"/>
      <c r="AE1950" s="299"/>
      <c r="AF1950" s="299"/>
      <c r="AG1950" s="284"/>
    </row>
    <row r="1951" spans="2:33">
      <c r="B1951" s="86"/>
      <c r="C1951" s="84"/>
      <c r="D1951" s="86"/>
      <c r="E1951" s="84"/>
      <c r="F1951" s="284"/>
      <c r="G1951" s="49"/>
      <c r="H1951" s="284"/>
      <c r="I1951" s="74"/>
      <c r="J1951" s="371"/>
      <c r="K1951" s="77"/>
      <c r="L1951" s="160"/>
      <c r="M1951" s="388"/>
      <c r="N1951" s="375"/>
      <c r="O1951" s="370"/>
      <c r="T1951" s="340"/>
      <c r="W1951" s="113"/>
      <c r="X1951" s="241"/>
      <c r="Y1951" s="284"/>
      <c r="Z1951" s="207"/>
      <c r="AA1951" s="284"/>
      <c r="AB1951" s="284"/>
      <c r="AC1951" s="137"/>
      <c r="AD1951" s="284"/>
      <c r="AE1951" s="299"/>
      <c r="AF1951" s="299"/>
      <c r="AG1951" s="284"/>
    </row>
    <row r="1952" spans="2:33">
      <c r="B1952" s="86"/>
      <c r="C1952" s="84"/>
      <c r="D1952" s="86"/>
      <c r="E1952" s="84"/>
      <c r="F1952" s="284"/>
      <c r="G1952" s="49"/>
      <c r="H1952" s="284"/>
      <c r="I1952" s="74"/>
      <c r="J1952" s="371"/>
      <c r="K1952" s="77"/>
      <c r="L1952" s="160"/>
      <c r="M1952" s="388"/>
      <c r="N1952" s="375"/>
      <c r="O1952" s="370"/>
      <c r="T1952" s="340"/>
      <c r="W1952" s="113"/>
      <c r="X1952" s="241"/>
      <c r="Y1952" s="284"/>
      <c r="Z1952" s="207"/>
      <c r="AA1952" s="284"/>
      <c r="AB1952" s="284"/>
      <c r="AC1952" s="137"/>
      <c r="AD1952" s="284"/>
      <c r="AE1952" s="299"/>
      <c r="AF1952" s="299"/>
      <c r="AG1952" s="284"/>
    </row>
    <row r="1953" spans="2:33">
      <c r="B1953" s="86"/>
      <c r="C1953" s="84"/>
      <c r="D1953" s="86"/>
      <c r="E1953" s="84"/>
      <c r="F1953" s="284"/>
      <c r="G1953" s="49"/>
      <c r="H1953" s="284"/>
      <c r="I1953" s="74"/>
      <c r="J1953" s="371"/>
      <c r="K1953" s="77"/>
      <c r="L1953" s="160"/>
      <c r="M1953" s="388"/>
      <c r="N1953" s="375"/>
      <c r="O1953" s="370"/>
      <c r="T1953" s="340"/>
      <c r="W1953" s="113"/>
      <c r="X1953" s="241"/>
      <c r="Y1953" s="284"/>
      <c r="Z1953" s="207"/>
      <c r="AA1953" s="284"/>
      <c r="AB1953" s="284"/>
      <c r="AC1953" s="137"/>
      <c r="AD1953" s="284"/>
      <c r="AE1953" s="299"/>
      <c r="AF1953" s="299"/>
      <c r="AG1953" s="284"/>
    </row>
    <row r="1954" spans="2:33">
      <c r="B1954" s="86"/>
      <c r="C1954" s="84"/>
      <c r="D1954" s="86"/>
      <c r="E1954" s="84"/>
      <c r="F1954" s="284"/>
      <c r="G1954" s="49"/>
      <c r="H1954" s="284"/>
      <c r="I1954" s="74"/>
      <c r="J1954" s="371"/>
      <c r="K1954" s="77"/>
      <c r="L1954" s="160"/>
      <c r="M1954" s="388"/>
      <c r="N1954" s="375"/>
      <c r="O1954" s="370"/>
      <c r="T1954" s="340"/>
      <c r="W1954" s="113"/>
      <c r="X1954" s="241"/>
      <c r="Y1954" s="284"/>
      <c r="Z1954" s="207"/>
      <c r="AA1954" s="284"/>
      <c r="AB1954" s="284"/>
      <c r="AC1954" s="137"/>
      <c r="AD1954" s="284"/>
      <c r="AE1954" s="299"/>
      <c r="AF1954" s="299"/>
      <c r="AG1954" s="284"/>
    </row>
    <row r="1955" spans="2:33">
      <c r="B1955" s="86"/>
      <c r="C1955" s="84"/>
      <c r="D1955" s="86"/>
      <c r="E1955" s="84"/>
      <c r="F1955" s="284"/>
      <c r="G1955" s="49"/>
      <c r="H1955" s="284"/>
      <c r="I1955" s="74"/>
      <c r="J1955" s="371"/>
      <c r="K1955" s="77"/>
      <c r="L1955" s="160"/>
      <c r="M1955" s="388"/>
      <c r="N1955" s="375"/>
      <c r="O1955" s="370"/>
      <c r="T1955" s="340"/>
      <c r="W1955" s="113"/>
      <c r="X1955" s="241"/>
      <c r="Y1955" s="284"/>
      <c r="Z1955" s="207"/>
      <c r="AA1955" s="284"/>
      <c r="AB1955" s="284"/>
      <c r="AC1955" s="137"/>
      <c r="AD1955" s="284"/>
      <c r="AE1955" s="299"/>
      <c r="AF1955" s="299"/>
      <c r="AG1955" s="284"/>
    </row>
    <row r="1956" spans="2:33">
      <c r="B1956" s="86"/>
      <c r="C1956" s="84"/>
      <c r="D1956" s="86"/>
      <c r="E1956" s="84"/>
      <c r="F1956" s="284"/>
      <c r="G1956" s="49"/>
      <c r="H1956" s="284"/>
      <c r="I1956" s="74"/>
      <c r="J1956" s="371"/>
      <c r="K1956" s="77"/>
      <c r="L1956" s="160"/>
      <c r="M1956" s="388"/>
      <c r="N1956" s="375"/>
      <c r="O1956" s="370"/>
      <c r="T1956" s="340"/>
      <c r="W1956" s="113"/>
      <c r="X1956" s="241"/>
      <c r="Y1956" s="284"/>
      <c r="Z1956" s="207"/>
      <c r="AA1956" s="284"/>
      <c r="AB1956" s="284"/>
      <c r="AC1956" s="137"/>
      <c r="AD1956" s="284"/>
      <c r="AE1956" s="299"/>
      <c r="AF1956" s="299"/>
      <c r="AG1956" s="284"/>
    </row>
    <row r="1957" spans="2:33">
      <c r="B1957" s="86"/>
      <c r="C1957" s="84"/>
      <c r="D1957" s="86"/>
      <c r="E1957" s="84"/>
      <c r="F1957" s="284"/>
      <c r="G1957" s="49"/>
      <c r="H1957" s="284"/>
      <c r="I1957" s="74"/>
      <c r="J1957" s="371"/>
      <c r="K1957" s="77"/>
      <c r="L1957" s="160"/>
      <c r="M1957" s="388"/>
      <c r="N1957" s="375"/>
      <c r="O1957" s="370"/>
      <c r="T1957" s="340"/>
      <c r="W1957" s="113"/>
      <c r="X1957" s="241"/>
      <c r="Y1957" s="284"/>
      <c r="Z1957" s="207"/>
      <c r="AA1957" s="284"/>
      <c r="AB1957" s="284"/>
      <c r="AC1957" s="137"/>
      <c r="AD1957" s="284"/>
      <c r="AE1957" s="299"/>
      <c r="AF1957" s="299"/>
      <c r="AG1957" s="284"/>
    </row>
    <row r="1958" spans="2:33">
      <c r="B1958" s="86"/>
      <c r="C1958" s="84"/>
      <c r="D1958" s="86"/>
      <c r="E1958" s="84"/>
      <c r="F1958" s="284"/>
      <c r="G1958" s="49"/>
      <c r="H1958" s="284"/>
      <c r="I1958" s="74"/>
      <c r="J1958" s="371"/>
      <c r="K1958" s="77"/>
      <c r="L1958" s="160"/>
      <c r="M1958" s="388"/>
      <c r="N1958" s="375"/>
      <c r="O1958" s="370"/>
      <c r="T1958" s="340"/>
      <c r="W1958" s="113"/>
      <c r="X1958" s="241"/>
      <c r="Y1958" s="284"/>
      <c r="Z1958" s="207"/>
      <c r="AA1958" s="284"/>
      <c r="AB1958" s="284"/>
      <c r="AC1958" s="137"/>
      <c r="AD1958" s="284"/>
      <c r="AE1958" s="299"/>
      <c r="AF1958" s="299"/>
      <c r="AG1958" s="284"/>
    </row>
    <row r="1959" spans="2:33">
      <c r="B1959" s="86"/>
      <c r="C1959" s="84"/>
      <c r="D1959" s="86"/>
      <c r="E1959" s="84"/>
      <c r="F1959" s="284"/>
      <c r="G1959" s="49"/>
      <c r="H1959" s="284"/>
      <c r="I1959" s="74"/>
      <c r="J1959" s="371"/>
      <c r="K1959" s="77"/>
      <c r="L1959" s="160"/>
      <c r="M1959" s="388"/>
      <c r="N1959" s="375"/>
      <c r="O1959" s="370"/>
      <c r="T1959" s="340"/>
      <c r="W1959" s="113"/>
      <c r="X1959" s="241"/>
      <c r="Y1959" s="284"/>
      <c r="Z1959" s="207"/>
      <c r="AA1959" s="284"/>
      <c r="AB1959" s="284"/>
      <c r="AC1959" s="137"/>
      <c r="AD1959" s="284"/>
      <c r="AE1959" s="299"/>
      <c r="AF1959" s="299"/>
      <c r="AG1959" s="284"/>
    </row>
    <row r="1960" spans="2:33">
      <c r="B1960" s="86"/>
      <c r="C1960" s="84"/>
      <c r="D1960" s="86"/>
      <c r="E1960" s="84"/>
      <c r="F1960" s="284"/>
      <c r="G1960" s="49"/>
      <c r="H1960" s="284"/>
      <c r="I1960" s="74"/>
      <c r="J1960" s="371"/>
      <c r="K1960" s="77"/>
      <c r="L1960" s="160"/>
      <c r="M1960" s="388"/>
      <c r="N1960" s="375"/>
      <c r="O1960" s="370"/>
      <c r="T1960" s="340"/>
      <c r="W1960" s="113"/>
      <c r="X1960" s="241"/>
      <c r="Y1960" s="284"/>
      <c r="Z1960" s="207"/>
      <c r="AA1960" s="284"/>
      <c r="AB1960" s="284"/>
      <c r="AC1960" s="137"/>
      <c r="AD1960" s="284"/>
      <c r="AE1960" s="299"/>
      <c r="AF1960" s="299"/>
      <c r="AG1960" s="284"/>
    </row>
    <row r="1961" spans="2:33">
      <c r="B1961" s="86"/>
      <c r="C1961" s="84"/>
      <c r="D1961" s="86"/>
      <c r="E1961" s="84"/>
      <c r="F1961" s="284"/>
      <c r="G1961" s="49"/>
      <c r="H1961" s="284"/>
      <c r="I1961" s="74"/>
      <c r="J1961" s="371"/>
      <c r="K1961" s="77"/>
      <c r="L1961" s="160"/>
      <c r="M1961" s="388"/>
      <c r="N1961" s="375"/>
      <c r="O1961" s="370"/>
      <c r="T1961" s="340"/>
      <c r="W1961" s="113"/>
      <c r="X1961" s="241"/>
      <c r="Y1961" s="284"/>
      <c r="Z1961" s="207"/>
      <c r="AA1961" s="284"/>
      <c r="AB1961" s="284"/>
      <c r="AC1961" s="137"/>
      <c r="AD1961" s="284"/>
      <c r="AE1961" s="299"/>
      <c r="AF1961" s="299"/>
      <c r="AG1961" s="284"/>
    </row>
    <row r="1962" spans="2:33">
      <c r="B1962" s="86"/>
      <c r="C1962" s="84"/>
      <c r="D1962" s="86"/>
      <c r="E1962" s="84"/>
      <c r="F1962" s="284"/>
      <c r="G1962" s="49"/>
      <c r="H1962" s="284"/>
      <c r="I1962" s="74"/>
      <c r="J1962" s="371"/>
      <c r="K1962" s="77"/>
      <c r="L1962" s="160"/>
      <c r="M1962" s="388"/>
      <c r="N1962" s="375"/>
      <c r="O1962" s="370"/>
      <c r="T1962" s="340"/>
      <c r="W1962" s="113"/>
      <c r="X1962" s="241"/>
      <c r="Y1962" s="284"/>
      <c r="Z1962" s="207"/>
      <c r="AA1962" s="284"/>
      <c r="AB1962" s="284"/>
      <c r="AC1962" s="137"/>
      <c r="AD1962" s="284"/>
      <c r="AE1962" s="299"/>
      <c r="AF1962" s="299"/>
      <c r="AG1962" s="284"/>
    </row>
    <row r="1963" spans="2:33">
      <c r="B1963" s="86"/>
      <c r="C1963" s="84"/>
      <c r="D1963" s="86"/>
      <c r="E1963" s="84"/>
      <c r="F1963" s="284"/>
      <c r="G1963" s="49"/>
      <c r="H1963" s="284"/>
      <c r="I1963" s="74"/>
      <c r="J1963" s="371"/>
      <c r="K1963" s="77"/>
      <c r="L1963" s="160"/>
      <c r="M1963" s="388"/>
      <c r="N1963" s="375"/>
      <c r="O1963" s="370"/>
      <c r="T1963" s="340"/>
      <c r="W1963" s="113"/>
      <c r="X1963" s="241"/>
      <c r="Y1963" s="284"/>
      <c r="Z1963" s="207"/>
      <c r="AA1963" s="284"/>
      <c r="AB1963" s="284"/>
      <c r="AC1963" s="137"/>
      <c r="AD1963" s="284"/>
      <c r="AE1963" s="299"/>
      <c r="AF1963" s="299"/>
      <c r="AG1963" s="284"/>
    </row>
    <row r="1964" spans="2:33">
      <c r="B1964" s="86"/>
      <c r="C1964" s="84"/>
      <c r="D1964" s="86"/>
      <c r="E1964" s="84"/>
      <c r="F1964" s="284"/>
      <c r="G1964" s="49"/>
      <c r="H1964" s="284"/>
      <c r="I1964" s="74"/>
      <c r="J1964" s="371"/>
      <c r="K1964" s="77"/>
      <c r="L1964" s="160"/>
      <c r="M1964" s="388"/>
      <c r="N1964" s="375"/>
      <c r="O1964" s="370"/>
      <c r="T1964" s="340"/>
      <c r="W1964" s="113"/>
      <c r="X1964" s="241"/>
      <c r="Y1964" s="284"/>
      <c r="Z1964" s="207"/>
      <c r="AA1964" s="284"/>
      <c r="AB1964" s="284"/>
      <c r="AC1964" s="137"/>
      <c r="AD1964" s="284"/>
      <c r="AE1964" s="299"/>
      <c r="AF1964" s="299"/>
      <c r="AG1964" s="284"/>
    </row>
    <row r="1965" spans="2:33">
      <c r="B1965" s="86"/>
      <c r="C1965" s="84"/>
      <c r="D1965" s="86"/>
      <c r="E1965" s="84"/>
      <c r="F1965" s="284"/>
      <c r="G1965" s="49"/>
      <c r="H1965" s="284"/>
      <c r="I1965" s="74"/>
      <c r="J1965" s="371"/>
      <c r="K1965" s="77"/>
      <c r="L1965" s="160"/>
      <c r="M1965" s="388"/>
      <c r="N1965" s="375"/>
      <c r="O1965" s="370"/>
      <c r="T1965" s="340"/>
      <c r="W1965" s="113"/>
      <c r="X1965" s="241"/>
      <c r="Y1965" s="284"/>
      <c r="Z1965" s="207"/>
      <c r="AA1965" s="284"/>
      <c r="AB1965" s="284"/>
      <c r="AC1965" s="137"/>
      <c r="AD1965" s="284"/>
      <c r="AE1965" s="299"/>
      <c r="AF1965" s="299"/>
      <c r="AG1965" s="284"/>
    </row>
    <row r="1966" spans="2:33">
      <c r="B1966" s="86"/>
      <c r="C1966" s="84"/>
      <c r="D1966" s="86"/>
      <c r="E1966" s="84"/>
      <c r="F1966" s="284"/>
      <c r="G1966" s="49"/>
      <c r="H1966" s="284"/>
      <c r="I1966" s="74"/>
      <c r="J1966" s="371"/>
      <c r="K1966" s="77"/>
      <c r="L1966" s="160"/>
      <c r="M1966" s="388"/>
      <c r="N1966" s="375"/>
      <c r="O1966" s="370"/>
      <c r="T1966" s="340"/>
      <c r="W1966" s="113"/>
      <c r="X1966" s="241"/>
      <c r="Y1966" s="284"/>
      <c r="Z1966" s="207"/>
      <c r="AA1966" s="284"/>
      <c r="AB1966" s="284"/>
      <c r="AC1966" s="137"/>
      <c r="AD1966" s="284"/>
      <c r="AE1966" s="299"/>
      <c r="AF1966" s="299"/>
      <c r="AG1966" s="284"/>
    </row>
    <row r="1967" spans="2:33">
      <c r="B1967" s="86"/>
      <c r="C1967" s="84"/>
      <c r="D1967" s="86"/>
      <c r="E1967" s="84"/>
      <c r="F1967" s="284"/>
      <c r="G1967" s="49"/>
      <c r="H1967" s="284"/>
      <c r="I1967" s="74"/>
      <c r="J1967" s="371"/>
      <c r="K1967" s="77"/>
      <c r="L1967" s="160"/>
      <c r="M1967" s="388"/>
      <c r="N1967" s="375"/>
      <c r="O1967" s="370"/>
      <c r="T1967" s="340"/>
      <c r="W1967" s="113"/>
      <c r="X1967" s="241"/>
      <c r="Y1967" s="284"/>
      <c r="Z1967" s="207"/>
      <c r="AA1967" s="284"/>
      <c r="AB1967" s="284"/>
      <c r="AC1967" s="137"/>
      <c r="AD1967" s="284"/>
      <c r="AE1967" s="299"/>
      <c r="AF1967" s="299"/>
      <c r="AG1967" s="284"/>
    </row>
    <row r="1968" spans="2:33">
      <c r="B1968" s="86"/>
      <c r="C1968" s="84"/>
      <c r="D1968" s="86"/>
      <c r="E1968" s="84"/>
      <c r="F1968" s="284"/>
      <c r="G1968" s="49"/>
      <c r="H1968" s="284"/>
      <c r="I1968" s="74"/>
      <c r="J1968" s="371"/>
      <c r="K1968" s="77"/>
      <c r="L1968" s="160"/>
      <c r="M1968" s="388"/>
      <c r="N1968" s="375"/>
      <c r="O1968" s="370"/>
      <c r="T1968" s="340"/>
      <c r="W1968" s="113"/>
      <c r="X1968" s="241"/>
      <c r="Y1968" s="284"/>
      <c r="Z1968" s="207"/>
      <c r="AA1968" s="284"/>
      <c r="AB1968" s="284"/>
      <c r="AC1968" s="137"/>
      <c r="AD1968" s="284"/>
      <c r="AE1968" s="299"/>
      <c r="AF1968" s="299"/>
      <c r="AG1968" s="284"/>
    </row>
    <row r="1969" spans="2:33">
      <c r="B1969" s="86"/>
      <c r="C1969" s="84"/>
      <c r="D1969" s="86"/>
      <c r="E1969" s="84"/>
      <c r="F1969" s="284"/>
      <c r="G1969" s="49"/>
      <c r="H1969" s="284"/>
      <c r="I1969" s="74"/>
      <c r="J1969" s="371"/>
      <c r="K1969" s="77"/>
      <c r="L1969" s="160"/>
      <c r="M1969" s="388"/>
      <c r="N1969" s="375"/>
      <c r="O1969" s="370"/>
      <c r="T1969" s="340"/>
      <c r="W1969" s="113"/>
      <c r="X1969" s="241"/>
      <c r="Y1969" s="284"/>
      <c r="Z1969" s="207"/>
      <c r="AA1969" s="284"/>
      <c r="AB1969" s="284"/>
      <c r="AC1969" s="137"/>
      <c r="AD1969" s="284"/>
      <c r="AE1969" s="299"/>
      <c r="AF1969" s="299"/>
      <c r="AG1969" s="284"/>
    </row>
    <row r="1970" spans="2:33">
      <c r="B1970" s="86"/>
      <c r="C1970" s="84"/>
      <c r="D1970" s="86"/>
      <c r="E1970" s="84"/>
      <c r="F1970" s="284"/>
      <c r="G1970" s="49"/>
      <c r="H1970" s="284"/>
      <c r="I1970" s="74"/>
      <c r="J1970" s="371"/>
      <c r="K1970" s="77"/>
      <c r="L1970" s="160"/>
      <c r="M1970" s="388"/>
      <c r="N1970" s="375"/>
      <c r="O1970" s="370"/>
      <c r="T1970" s="340"/>
      <c r="W1970" s="113"/>
      <c r="X1970" s="241"/>
      <c r="Y1970" s="284"/>
      <c r="Z1970" s="207"/>
      <c r="AA1970" s="284"/>
      <c r="AB1970" s="284"/>
      <c r="AC1970" s="137"/>
      <c r="AD1970" s="284"/>
      <c r="AE1970" s="299"/>
      <c r="AF1970" s="299"/>
      <c r="AG1970" s="284"/>
    </row>
    <row r="1971" spans="2:33">
      <c r="B1971" s="86"/>
      <c r="C1971" s="84"/>
      <c r="D1971" s="86"/>
      <c r="E1971" s="84"/>
      <c r="F1971" s="284"/>
      <c r="G1971" s="49"/>
      <c r="H1971" s="284"/>
      <c r="I1971" s="74"/>
      <c r="J1971" s="371"/>
      <c r="K1971" s="77"/>
      <c r="L1971" s="160"/>
      <c r="M1971" s="388"/>
      <c r="N1971" s="375"/>
      <c r="O1971" s="370"/>
      <c r="T1971" s="340"/>
      <c r="W1971" s="113"/>
      <c r="X1971" s="241"/>
      <c r="Y1971" s="284"/>
      <c r="Z1971" s="207"/>
      <c r="AA1971" s="284"/>
      <c r="AB1971" s="284"/>
      <c r="AC1971" s="137"/>
      <c r="AD1971" s="284"/>
      <c r="AE1971" s="299"/>
      <c r="AF1971" s="299"/>
      <c r="AG1971" s="284"/>
    </row>
    <row r="1972" spans="2:33">
      <c r="B1972" s="86"/>
      <c r="C1972" s="84"/>
      <c r="D1972" s="86"/>
      <c r="E1972" s="84"/>
      <c r="F1972" s="284"/>
      <c r="G1972" s="49"/>
      <c r="H1972" s="284"/>
      <c r="I1972" s="74"/>
      <c r="J1972" s="371"/>
      <c r="K1972" s="77"/>
      <c r="L1972" s="160"/>
      <c r="M1972" s="388"/>
      <c r="N1972" s="375"/>
      <c r="O1972" s="370"/>
      <c r="T1972" s="340"/>
      <c r="W1972" s="113"/>
      <c r="X1972" s="241"/>
      <c r="Y1972" s="284"/>
      <c r="Z1972" s="207"/>
      <c r="AA1972" s="284"/>
      <c r="AB1972" s="284"/>
      <c r="AC1972" s="137"/>
      <c r="AD1972" s="284"/>
      <c r="AE1972" s="299"/>
      <c r="AF1972" s="299"/>
      <c r="AG1972" s="284"/>
    </row>
    <row r="1973" spans="2:33">
      <c r="B1973" s="86"/>
      <c r="C1973" s="84"/>
      <c r="D1973" s="86"/>
      <c r="E1973" s="84"/>
      <c r="F1973" s="284"/>
      <c r="G1973" s="49"/>
      <c r="H1973" s="284"/>
      <c r="I1973" s="74"/>
      <c r="J1973" s="371"/>
      <c r="K1973" s="77"/>
      <c r="L1973" s="160"/>
      <c r="M1973" s="388"/>
      <c r="N1973" s="375"/>
      <c r="O1973" s="370"/>
      <c r="T1973" s="340"/>
      <c r="W1973" s="113"/>
      <c r="X1973" s="241"/>
      <c r="Y1973" s="284"/>
      <c r="Z1973" s="207"/>
      <c r="AA1973" s="284"/>
      <c r="AB1973" s="284"/>
      <c r="AC1973" s="137"/>
      <c r="AD1973" s="284"/>
      <c r="AE1973" s="299"/>
      <c r="AF1973" s="299"/>
      <c r="AG1973" s="284"/>
    </row>
    <row r="1974" spans="2:33">
      <c r="B1974" s="86"/>
      <c r="C1974" s="84"/>
      <c r="D1974" s="86"/>
      <c r="E1974" s="84"/>
      <c r="F1974" s="284"/>
      <c r="G1974" s="49"/>
      <c r="H1974" s="284"/>
      <c r="I1974" s="74"/>
      <c r="J1974" s="371"/>
      <c r="K1974" s="77"/>
      <c r="L1974" s="160"/>
      <c r="M1974" s="388"/>
      <c r="N1974" s="375"/>
      <c r="O1974" s="370"/>
      <c r="T1974" s="340"/>
      <c r="W1974" s="113"/>
      <c r="X1974" s="241"/>
      <c r="Y1974" s="284"/>
      <c r="Z1974" s="207"/>
      <c r="AA1974" s="284"/>
      <c r="AB1974" s="284"/>
      <c r="AC1974" s="137"/>
      <c r="AD1974" s="284"/>
      <c r="AE1974" s="299"/>
      <c r="AF1974" s="299"/>
      <c r="AG1974" s="284"/>
    </row>
    <row r="1975" spans="2:33">
      <c r="B1975" s="86"/>
      <c r="C1975" s="84"/>
      <c r="D1975" s="86"/>
      <c r="E1975" s="84"/>
      <c r="F1975" s="284"/>
      <c r="G1975" s="49"/>
      <c r="H1975" s="284"/>
      <c r="I1975" s="74"/>
      <c r="J1975" s="371"/>
      <c r="K1975" s="77"/>
      <c r="L1975" s="160"/>
      <c r="M1975" s="388"/>
      <c r="N1975" s="375"/>
      <c r="O1975" s="370"/>
      <c r="T1975" s="340"/>
      <c r="W1975" s="113"/>
      <c r="X1975" s="241"/>
      <c r="Y1975" s="284"/>
      <c r="Z1975" s="207"/>
      <c r="AA1975" s="284"/>
      <c r="AB1975" s="284"/>
      <c r="AC1975" s="137"/>
      <c r="AD1975" s="284"/>
      <c r="AE1975" s="299"/>
      <c r="AF1975" s="299"/>
      <c r="AG1975" s="284"/>
    </row>
    <row r="1976" spans="2:33">
      <c r="B1976" s="86"/>
      <c r="C1976" s="84"/>
      <c r="D1976" s="86"/>
      <c r="E1976" s="84"/>
      <c r="F1976" s="284"/>
      <c r="G1976" s="49"/>
      <c r="H1976" s="284"/>
      <c r="I1976" s="74"/>
      <c r="J1976" s="371"/>
      <c r="K1976" s="77"/>
      <c r="L1976" s="160"/>
      <c r="M1976" s="388"/>
      <c r="N1976" s="375"/>
      <c r="O1976" s="370"/>
      <c r="T1976" s="340"/>
      <c r="W1976" s="113"/>
      <c r="X1976" s="241"/>
      <c r="Y1976" s="284"/>
      <c r="Z1976" s="207"/>
      <c r="AA1976" s="284"/>
      <c r="AB1976" s="284"/>
      <c r="AC1976" s="137"/>
      <c r="AD1976" s="284"/>
      <c r="AE1976" s="299"/>
      <c r="AF1976" s="299"/>
      <c r="AG1976" s="284"/>
    </row>
    <row r="1977" spans="2:33">
      <c r="B1977" s="86"/>
      <c r="C1977" s="84"/>
      <c r="D1977" s="86"/>
      <c r="E1977" s="84"/>
      <c r="F1977" s="284"/>
      <c r="G1977" s="49"/>
      <c r="H1977" s="284"/>
      <c r="I1977" s="74"/>
      <c r="J1977" s="371"/>
      <c r="K1977" s="77"/>
      <c r="L1977" s="160"/>
      <c r="M1977" s="388"/>
      <c r="N1977" s="375"/>
      <c r="O1977" s="370"/>
      <c r="T1977" s="340"/>
      <c r="W1977" s="113"/>
      <c r="X1977" s="241"/>
      <c r="Y1977" s="284"/>
      <c r="Z1977" s="207"/>
      <c r="AA1977" s="284"/>
      <c r="AB1977" s="284"/>
      <c r="AC1977" s="137"/>
      <c r="AD1977" s="284"/>
      <c r="AE1977" s="299"/>
      <c r="AF1977" s="299"/>
      <c r="AG1977" s="284"/>
    </row>
    <row r="1978" spans="2:33">
      <c r="B1978" s="86"/>
      <c r="C1978" s="84"/>
      <c r="D1978" s="86"/>
      <c r="E1978" s="84"/>
      <c r="F1978" s="284"/>
      <c r="G1978" s="49"/>
      <c r="H1978" s="284"/>
      <c r="I1978" s="74"/>
      <c r="J1978" s="371"/>
      <c r="K1978" s="77"/>
      <c r="L1978" s="160"/>
      <c r="M1978" s="388"/>
      <c r="N1978" s="375"/>
      <c r="O1978" s="370"/>
      <c r="T1978" s="340"/>
      <c r="W1978" s="113"/>
      <c r="X1978" s="241"/>
      <c r="Y1978" s="284"/>
      <c r="Z1978" s="207"/>
      <c r="AA1978" s="284"/>
      <c r="AB1978" s="284"/>
      <c r="AC1978" s="137"/>
      <c r="AD1978" s="284"/>
      <c r="AE1978" s="299"/>
      <c r="AF1978" s="299"/>
      <c r="AG1978" s="284"/>
    </row>
    <row r="1979" spans="2:33">
      <c r="B1979" s="86"/>
      <c r="C1979" s="84"/>
      <c r="D1979" s="86"/>
      <c r="E1979" s="84"/>
      <c r="F1979" s="284"/>
      <c r="G1979" s="49"/>
      <c r="H1979" s="284"/>
      <c r="I1979" s="74"/>
      <c r="J1979" s="371"/>
      <c r="K1979" s="77"/>
      <c r="L1979" s="160"/>
      <c r="M1979" s="388"/>
      <c r="N1979" s="375"/>
      <c r="O1979" s="370"/>
      <c r="T1979" s="340"/>
      <c r="W1979" s="113"/>
      <c r="X1979" s="241"/>
      <c r="Y1979" s="284"/>
      <c r="Z1979" s="207"/>
      <c r="AA1979" s="284"/>
      <c r="AB1979" s="284"/>
      <c r="AC1979" s="137"/>
      <c r="AD1979" s="284"/>
      <c r="AE1979" s="299"/>
      <c r="AF1979" s="299"/>
      <c r="AG1979" s="284"/>
    </row>
    <row r="1980" spans="2:33">
      <c r="B1980" s="86"/>
      <c r="C1980" s="84"/>
      <c r="D1980" s="86"/>
      <c r="E1980" s="84"/>
      <c r="F1980" s="284"/>
      <c r="G1980" s="49"/>
      <c r="H1980" s="284"/>
      <c r="I1980" s="74"/>
      <c r="J1980" s="371"/>
      <c r="K1980" s="77"/>
      <c r="L1980" s="160"/>
      <c r="M1980" s="388"/>
      <c r="N1980" s="375"/>
      <c r="O1980" s="370"/>
      <c r="T1980" s="340"/>
      <c r="W1980" s="113"/>
      <c r="X1980" s="241"/>
      <c r="Y1980" s="284"/>
      <c r="Z1980" s="207"/>
      <c r="AA1980" s="284"/>
      <c r="AB1980" s="284"/>
      <c r="AC1980" s="137"/>
      <c r="AD1980" s="284"/>
      <c r="AE1980" s="299"/>
      <c r="AF1980" s="299"/>
      <c r="AG1980" s="284"/>
    </row>
    <row r="1981" spans="2:33">
      <c r="B1981" s="86"/>
      <c r="C1981" s="84"/>
      <c r="D1981" s="86"/>
      <c r="E1981" s="84"/>
      <c r="F1981" s="284"/>
      <c r="G1981" s="49"/>
      <c r="H1981" s="284"/>
      <c r="I1981" s="74"/>
      <c r="J1981" s="371"/>
      <c r="K1981" s="77"/>
      <c r="L1981" s="160"/>
      <c r="M1981" s="388"/>
      <c r="N1981" s="375"/>
      <c r="O1981" s="370"/>
      <c r="T1981" s="340"/>
      <c r="W1981" s="113"/>
      <c r="X1981" s="241"/>
      <c r="Y1981" s="284"/>
      <c r="Z1981" s="207"/>
      <c r="AA1981" s="284"/>
      <c r="AB1981" s="284"/>
      <c r="AC1981" s="137"/>
      <c r="AD1981" s="284"/>
      <c r="AE1981" s="299"/>
      <c r="AF1981" s="299"/>
      <c r="AG1981" s="284"/>
    </row>
    <row r="1982" spans="2:33">
      <c r="B1982" s="86"/>
      <c r="C1982" s="84"/>
      <c r="D1982" s="86"/>
      <c r="E1982" s="84"/>
      <c r="F1982" s="284"/>
      <c r="G1982" s="49"/>
      <c r="H1982" s="284"/>
      <c r="I1982" s="74"/>
      <c r="J1982" s="371"/>
      <c r="K1982" s="77"/>
      <c r="L1982" s="160"/>
      <c r="M1982" s="388"/>
      <c r="N1982" s="375"/>
      <c r="O1982" s="370"/>
      <c r="T1982" s="340"/>
      <c r="W1982" s="113"/>
      <c r="X1982" s="241"/>
      <c r="Y1982" s="284"/>
      <c r="Z1982" s="207"/>
      <c r="AA1982" s="284"/>
      <c r="AB1982" s="284"/>
      <c r="AC1982" s="137"/>
      <c r="AD1982" s="284"/>
      <c r="AE1982" s="299"/>
      <c r="AF1982" s="299"/>
      <c r="AG1982" s="284"/>
    </row>
    <row r="1983" spans="2:33">
      <c r="B1983" s="86"/>
      <c r="C1983" s="84"/>
      <c r="D1983" s="86"/>
      <c r="E1983" s="84"/>
      <c r="F1983" s="284"/>
      <c r="G1983" s="49"/>
      <c r="H1983" s="284"/>
      <c r="I1983" s="74"/>
      <c r="J1983" s="371"/>
      <c r="K1983" s="77"/>
      <c r="L1983" s="160"/>
      <c r="M1983" s="388"/>
      <c r="N1983" s="375"/>
      <c r="O1983" s="370"/>
      <c r="T1983" s="340"/>
      <c r="W1983" s="113"/>
      <c r="X1983" s="241"/>
      <c r="Y1983" s="284"/>
      <c r="Z1983" s="207"/>
      <c r="AA1983" s="284"/>
      <c r="AB1983" s="284"/>
      <c r="AC1983" s="137"/>
      <c r="AD1983" s="284"/>
      <c r="AE1983" s="299"/>
      <c r="AF1983" s="299"/>
      <c r="AG1983" s="284"/>
    </row>
    <row r="1984" spans="2:33">
      <c r="B1984" s="86"/>
      <c r="C1984" s="84"/>
      <c r="D1984" s="86"/>
      <c r="E1984" s="84"/>
      <c r="F1984" s="284"/>
      <c r="G1984" s="49"/>
      <c r="H1984" s="284"/>
      <c r="I1984" s="74"/>
      <c r="J1984" s="371"/>
      <c r="K1984" s="77"/>
      <c r="L1984" s="160"/>
      <c r="M1984" s="388"/>
      <c r="N1984" s="375"/>
      <c r="O1984" s="370"/>
      <c r="T1984" s="340"/>
      <c r="W1984" s="113"/>
      <c r="X1984" s="241"/>
      <c r="Y1984" s="284"/>
      <c r="Z1984" s="207"/>
      <c r="AA1984" s="284"/>
      <c r="AB1984" s="284"/>
      <c r="AC1984" s="137"/>
      <c r="AD1984" s="284"/>
      <c r="AE1984" s="299"/>
      <c r="AF1984" s="299"/>
      <c r="AG1984" s="284"/>
    </row>
    <row r="1985" spans="2:33">
      <c r="B1985" s="86"/>
      <c r="C1985" s="84"/>
      <c r="D1985" s="86"/>
      <c r="E1985" s="84"/>
      <c r="F1985" s="284"/>
      <c r="G1985" s="49"/>
      <c r="H1985" s="284"/>
      <c r="I1985" s="74"/>
      <c r="J1985" s="371"/>
      <c r="K1985" s="77"/>
      <c r="L1985" s="160"/>
      <c r="M1985" s="388"/>
      <c r="N1985" s="375"/>
      <c r="O1985" s="370"/>
      <c r="T1985" s="340"/>
      <c r="W1985" s="113"/>
      <c r="X1985" s="241"/>
      <c r="Y1985" s="284"/>
      <c r="Z1985" s="207"/>
      <c r="AA1985" s="284"/>
      <c r="AB1985" s="284"/>
      <c r="AC1985" s="137"/>
      <c r="AD1985" s="284"/>
      <c r="AE1985" s="299"/>
      <c r="AF1985" s="299"/>
      <c r="AG1985" s="284"/>
    </row>
    <row r="1986" spans="2:33">
      <c r="B1986" s="86"/>
      <c r="C1986" s="84"/>
      <c r="D1986" s="86"/>
      <c r="E1986" s="84"/>
      <c r="F1986" s="284"/>
      <c r="G1986" s="49"/>
      <c r="H1986" s="284"/>
      <c r="I1986" s="74"/>
      <c r="J1986" s="371"/>
      <c r="K1986" s="77"/>
      <c r="L1986" s="160"/>
      <c r="M1986" s="388"/>
      <c r="N1986" s="375"/>
      <c r="O1986" s="370"/>
      <c r="T1986" s="340"/>
      <c r="W1986" s="113"/>
      <c r="X1986" s="241"/>
      <c r="Y1986" s="284"/>
      <c r="Z1986" s="207"/>
      <c r="AA1986" s="284"/>
      <c r="AB1986" s="284"/>
      <c r="AC1986" s="137"/>
      <c r="AD1986" s="284"/>
      <c r="AE1986" s="299"/>
      <c r="AF1986" s="299"/>
      <c r="AG1986" s="284"/>
    </row>
    <row r="1987" spans="2:33">
      <c r="B1987" s="86"/>
      <c r="C1987" s="84"/>
      <c r="D1987" s="86"/>
      <c r="E1987" s="84"/>
      <c r="F1987" s="284"/>
      <c r="G1987" s="49"/>
      <c r="H1987" s="284"/>
      <c r="I1987" s="74"/>
      <c r="J1987" s="371"/>
      <c r="K1987" s="77"/>
      <c r="L1987" s="160"/>
      <c r="M1987" s="388"/>
      <c r="N1987" s="375"/>
      <c r="O1987" s="370"/>
      <c r="T1987" s="340"/>
      <c r="W1987" s="113"/>
      <c r="X1987" s="241"/>
      <c r="Y1987" s="284"/>
      <c r="Z1987" s="207"/>
      <c r="AA1987" s="284"/>
      <c r="AB1987" s="284"/>
      <c r="AC1987" s="137"/>
      <c r="AD1987" s="284"/>
      <c r="AE1987" s="299"/>
      <c r="AF1987" s="299"/>
      <c r="AG1987" s="284"/>
    </row>
    <row r="1988" spans="2:33">
      <c r="B1988" s="86"/>
      <c r="C1988" s="84"/>
      <c r="D1988" s="86"/>
      <c r="E1988" s="84"/>
      <c r="F1988" s="284"/>
      <c r="G1988" s="49"/>
      <c r="H1988" s="284"/>
      <c r="I1988" s="74"/>
      <c r="J1988" s="371"/>
      <c r="K1988" s="77"/>
      <c r="L1988" s="160"/>
      <c r="M1988" s="388"/>
      <c r="N1988" s="375"/>
      <c r="O1988" s="370"/>
      <c r="T1988" s="340"/>
      <c r="W1988" s="113"/>
      <c r="X1988" s="241"/>
      <c r="Y1988" s="284"/>
      <c r="Z1988" s="207"/>
      <c r="AA1988" s="284"/>
      <c r="AB1988" s="284"/>
      <c r="AC1988" s="137"/>
      <c r="AD1988" s="284"/>
      <c r="AE1988" s="299"/>
      <c r="AF1988" s="299"/>
      <c r="AG1988" s="284"/>
    </row>
    <row r="1989" spans="2:33">
      <c r="B1989" s="86"/>
      <c r="C1989" s="84"/>
      <c r="D1989" s="86"/>
      <c r="E1989" s="84"/>
      <c r="F1989" s="284"/>
      <c r="G1989" s="49"/>
      <c r="H1989" s="284"/>
      <c r="I1989" s="74"/>
      <c r="J1989" s="371"/>
      <c r="K1989" s="77"/>
      <c r="L1989" s="160"/>
      <c r="M1989" s="388"/>
      <c r="N1989" s="375"/>
      <c r="O1989" s="370"/>
      <c r="T1989" s="340"/>
      <c r="W1989" s="113"/>
      <c r="X1989" s="241"/>
      <c r="Y1989" s="284"/>
      <c r="Z1989" s="207"/>
      <c r="AA1989" s="284"/>
      <c r="AB1989" s="284"/>
      <c r="AC1989" s="137"/>
      <c r="AD1989" s="284"/>
      <c r="AE1989" s="299"/>
      <c r="AF1989" s="299"/>
      <c r="AG1989" s="284"/>
    </row>
    <row r="1990" spans="2:33">
      <c r="B1990" s="86"/>
      <c r="C1990" s="84"/>
      <c r="D1990" s="86"/>
      <c r="E1990" s="84"/>
      <c r="F1990" s="284"/>
      <c r="G1990" s="49"/>
      <c r="H1990" s="284"/>
      <c r="I1990" s="74"/>
      <c r="J1990" s="371"/>
      <c r="K1990" s="77"/>
      <c r="L1990" s="160"/>
      <c r="M1990" s="388"/>
      <c r="N1990" s="375"/>
      <c r="O1990" s="370"/>
      <c r="T1990" s="340"/>
      <c r="W1990" s="113"/>
      <c r="X1990" s="241"/>
      <c r="Y1990" s="284"/>
      <c r="Z1990" s="207"/>
      <c r="AA1990" s="284"/>
      <c r="AB1990" s="284"/>
      <c r="AC1990" s="137"/>
      <c r="AD1990" s="284"/>
      <c r="AE1990" s="299"/>
      <c r="AF1990" s="299"/>
      <c r="AG1990" s="284"/>
    </row>
    <row r="1991" spans="2:33">
      <c r="B1991" s="86"/>
      <c r="C1991" s="84"/>
      <c r="D1991" s="86"/>
      <c r="E1991" s="84"/>
      <c r="F1991" s="284"/>
      <c r="G1991" s="49"/>
      <c r="H1991" s="284"/>
      <c r="I1991" s="74"/>
      <c r="J1991" s="371"/>
      <c r="K1991" s="77"/>
      <c r="L1991" s="160"/>
      <c r="M1991" s="388"/>
      <c r="N1991" s="375"/>
      <c r="O1991" s="370"/>
      <c r="T1991" s="340"/>
      <c r="W1991" s="113"/>
      <c r="X1991" s="241"/>
      <c r="Y1991" s="284"/>
      <c r="Z1991" s="207"/>
      <c r="AA1991" s="284"/>
      <c r="AB1991" s="284"/>
      <c r="AC1991" s="137"/>
      <c r="AD1991" s="284"/>
      <c r="AE1991" s="299"/>
      <c r="AF1991" s="299"/>
      <c r="AG1991" s="284"/>
    </row>
    <row r="1992" spans="2:33">
      <c r="B1992" s="86"/>
      <c r="C1992" s="84"/>
      <c r="D1992" s="86"/>
      <c r="E1992" s="84"/>
      <c r="F1992" s="284"/>
      <c r="G1992" s="49"/>
      <c r="H1992" s="284"/>
      <c r="I1992" s="74"/>
      <c r="J1992" s="371"/>
      <c r="K1992" s="77"/>
      <c r="L1992" s="160"/>
      <c r="M1992" s="388"/>
      <c r="N1992" s="375"/>
      <c r="O1992" s="370"/>
      <c r="T1992" s="340"/>
      <c r="W1992" s="113"/>
      <c r="X1992" s="241"/>
      <c r="Y1992" s="284"/>
      <c r="Z1992" s="207"/>
      <c r="AA1992" s="284"/>
      <c r="AB1992" s="284"/>
      <c r="AC1992" s="137"/>
      <c r="AD1992" s="284"/>
      <c r="AE1992" s="299"/>
      <c r="AF1992" s="299"/>
      <c r="AG1992" s="284"/>
    </row>
    <row r="1993" spans="2:33">
      <c r="B1993" s="86"/>
      <c r="C1993" s="84"/>
      <c r="D1993" s="86"/>
      <c r="E1993" s="84"/>
      <c r="F1993" s="284"/>
      <c r="G1993" s="49"/>
      <c r="H1993" s="284"/>
      <c r="I1993" s="74"/>
      <c r="J1993" s="371"/>
      <c r="K1993" s="77"/>
      <c r="L1993" s="160"/>
      <c r="M1993" s="388"/>
      <c r="N1993" s="375"/>
      <c r="O1993" s="370"/>
      <c r="T1993" s="340"/>
      <c r="W1993" s="113"/>
      <c r="X1993" s="241"/>
      <c r="Y1993" s="284"/>
      <c r="Z1993" s="207"/>
      <c r="AA1993" s="284"/>
      <c r="AB1993" s="284"/>
      <c r="AC1993" s="137"/>
      <c r="AD1993" s="284"/>
      <c r="AE1993" s="299"/>
      <c r="AF1993" s="299"/>
      <c r="AG1993" s="284"/>
    </row>
    <row r="1994" spans="2:33">
      <c r="B1994" s="86"/>
      <c r="C1994" s="84"/>
      <c r="D1994" s="86"/>
      <c r="E1994" s="84"/>
      <c r="F1994" s="284"/>
      <c r="G1994" s="49"/>
      <c r="H1994" s="284"/>
      <c r="I1994" s="74"/>
      <c r="J1994" s="371"/>
      <c r="K1994" s="77"/>
      <c r="L1994" s="160"/>
      <c r="M1994" s="388"/>
      <c r="N1994" s="375"/>
      <c r="O1994" s="370"/>
      <c r="T1994" s="340"/>
      <c r="W1994" s="113"/>
      <c r="X1994" s="241"/>
      <c r="Y1994" s="284"/>
      <c r="Z1994" s="207"/>
      <c r="AA1994" s="284"/>
      <c r="AB1994" s="284"/>
      <c r="AC1994" s="137"/>
      <c r="AD1994" s="284"/>
      <c r="AE1994" s="299"/>
      <c r="AF1994" s="299"/>
      <c r="AG1994" s="284"/>
    </row>
    <row r="1995" spans="2:33">
      <c r="B1995" s="86"/>
      <c r="C1995" s="84"/>
      <c r="D1995" s="86"/>
      <c r="E1995" s="84"/>
      <c r="F1995" s="284"/>
      <c r="G1995" s="49"/>
      <c r="H1995" s="284"/>
      <c r="I1995" s="74"/>
      <c r="J1995" s="371"/>
      <c r="K1995" s="77"/>
      <c r="L1995" s="160"/>
      <c r="M1995" s="388"/>
      <c r="N1995" s="375"/>
      <c r="O1995" s="370"/>
      <c r="T1995" s="340"/>
      <c r="W1995" s="113"/>
      <c r="X1995" s="241"/>
      <c r="Y1995" s="284"/>
      <c r="Z1995" s="207"/>
      <c r="AA1995" s="284"/>
      <c r="AB1995" s="284"/>
      <c r="AC1995" s="137"/>
      <c r="AD1995" s="284"/>
      <c r="AE1995" s="299"/>
      <c r="AF1995" s="299"/>
      <c r="AG1995" s="284"/>
    </row>
    <row r="1996" spans="2:33">
      <c r="B1996" s="86"/>
      <c r="C1996" s="84"/>
      <c r="D1996" s="86"/>
      <c r="E1996" s="84"/>
      <c r="F1996" s="284"/>
      <c r="G1996" s="49"/>
      <c r="H1996" s="284"/>
      <c r="I1996" s="74"/>
      <c r="J1996" s="371"/>
      <c r="K1996" s="77"/>
      <c r="L1996" s="160"/>
      <c r="M1996" s="388"/>
      <c r="N1996" s="375"/>
      <c r="O1996" s="370"/>
      <c r="T1996" s="340"/>
      <c r="W1996" s="113"/>
      <c r="X1996" s="241"/>
      <c r="Y1996" s="284"/>
      <c r="Z1996" s="207"/>
      <c r="AA1996" s="284"/>
      <c r="AB1996" s="284"/>
      <c r="AC1996" s="137"/>
      <c r="AD1996" s="284"/>
      <c r="AE1996" s="299"/>
      <c r="AF1996" s="299"/>
      <c r="AG1996" s="284"/>
    </row>
    <row r="1997" spans="2:33">
      <c r="B1997" s="86"/>
      <c r="C1997" s="84"/>
      <c r="D1997" s="86"/>
      <c r="E1997" s="84"/>
      <c r="F1997" s="284"/>
      <c r="G1997" s="49"/>
      <c r="H1997" s="284"/>
      <c r="I1997" s="74"/>
      <c r="J1997" s="371"/>
      <c r="K1997" s="77"/>
      <c r="L1997" s="160"/>
      <c r="M1997" s="388"/>
      <c r="N1997" s="375"/>
      <c r="O1997" s="370"/>
      <c r="T1997" s="340"/>
      <c r="W1997" s="113"/>
      <c r="X1997" s="241"/>
      <c r="Y1997" s="284"/>
      <c r="Z1997" s="207"/>
      <c r="AA1997" s="284"/>
      <c r="AB1997" s="284"/>
      <c r="AC1997" s="137"/>
      <c r="AD1997" s="284"/>
      <c r="AE1997" s="299"/>
      <c r="AF1997" s="299"/>
      <c r="AG1997" s="284"/>
    </row>
    <row r="1998" spans="2:33">
      <c r="B1998" s="86"/>
      <c r="C1998" s="84"/>
      <c r="D1998" s="86"/>
      <c r="E1998" s="84"/>
      <c r="F1998" s="284"/>
      <c r="G1998" s="49"/>
      <c r="H1998" s="284"/>
      <c r="I1998" s="74"/>
      <c r="J1998" s="371"/>
      <c r="K1998" s="77"/>
      <c r="L1998" s="160"/>
      <c r="M1998" s="388"/>
      <c r="N1998" s="375"/>
      <c r="O1998" s="370"/>
      <c r="T1998" s="340"/>
      <c r="W1998" s="113"/>
      <c r="X1998" s="241"/>
      <c r="Y1998" s="284"/>
      <c r="Z1998" s="207"/>
      <c r="AA1998" s="284"/>
      <c r="AB1998" s="284"/>
      <c r="AC1998" s="137"/>
      <c r="AD1998" s="284"/>
      <c r="AE1998" s="299"/>
      <c r="AF1998" s="299"/>
      <c r="AG1998" s="284"/>
    </row>
    <row r="1999" spans="2:33">
      <c r="B1999" s="86"/>
      <c r="C1999" s="84"/>
      <c r="D1999" s="86"/>
      <c r="E1999" s="84"/>
      <c r="F1999" s="284"/>
      <c r="G1999" s="49"/>
      <c r="H1999" s="284"/>
      <c r="I1999" s="74"/>
      <c r="J1999" s="371"/>
      <c r="K1999" s="77"/>
      <c r="L1999" s="160"/>
      <c r="M1999" s="388"/>
      <c r="N1999" s="375"/>
      <c r="O1999" s="370"/>
      <c r="T1999" s="340"/>
      <c r="W1999" s="113"/>
      <c r="X1999" s="241"/>
      <c r="Y1999" s="284"/>
      <c r="Z1999" s="207"/>
      <c r="AA1999" s="284"/>
      <c r="AB1999" s="284"/>
      <c r="AC1999" s="137"/>
      <c r="AD1999" s="284"/>
      <c r="AE1999" s="299"/>
      <c r="AF1999" s="299"/>
      <c r="AG1999" s="284"/>
    </row>
    <row r="2000" spans="2:33">
      <c r="B2000" s="86"/>
      <c r="C2000" s="84"/>
      <c r="D2000" s="86"/>
      <c r="E2000" s="84"/>
      <c r="F2000" s="284"/>
      <c r="G2000" s="49"/>
      <c r="H2000" s="284"/>
      <c r="I2000" s="74"/>
      <c r="J2000" s="371"/>
      <c r="K2000" s="77"/>
      <c r="L2000" s="160"/>
      <c r="M2000" s="388"/>
      <c r="N2000" s="375"/>
      <c r="O2000" s="370"/>
      <c r="T2000" s="340"/>
      <c r="W2000" s="113"/>
      <c r="X2000" s="241"/>
      <c r="Y2000" s="284"/>
      <c r="Z2000" s="207"/>
      <c r="AA2000" s="284"/>
      <c r="AB2000" s="284"/>
      <c r="AC2000" s="137"/>
      <c r="AD2000" s="284"/>
      <c r="AE2000" s="299"/>
      <c r="AF2000" s="299"/>
      <c r="AG2000" s="284"/>
    </row>
    <row r="2001" spans="2:33">
      <c r="B2001" s="86"/>
      <c r="C2001" s="84"/>
      <c r="D2001" s="86"/>
      <c r="E2001" s="84"/>
      <c r="F2001" s="284"/>
      <c r="G2001" s="49"/>
      <c r="H2001" s="284"/>
      <c r="I2001" s="74"/>
      <c r="J2001" s="371"/>
      <c r="K2001" s="77"/>
      <c r="L2001" s="160"/>
      <c r="M2001" s="388"/>
      <c r="N2001" s="375"/>
      <c r="O2001" s="370"/>
      <c r="T2001" s="340"/>
      <c r="W2001" s="113"/>
      <c r="X2001" s="241"/>
      <c r="Y2001" s="284"/>
      <c r="Z2001" s="207"/>
      <c r="AA2001" s="284"/>
      <c r="AB2001" s="284"/>
      <c r="AC2001" s="137"/>
      <c r="AD2001" s="284"/>
      <c r="AE2001" s="299"/>
      <c r="AF2001" s="299"/>
      <c r="AG2001" s="284"/>
    </row>
    <row r="2002" spans="2:33">
      <c r="B2002" s="86"/>
      <c r="C2002" s="84"/>
      <c r="D2002" s="86"/>
      <c r="E2002" s="84"/>
      <c r="F2002" s="284"/>
      <c r="G2002" s="49"/>
      <c r="H2002" s="284"/>
      <c r="I2002" s="74"/>
      <c r="J2002" s="371"/>
      <c r="K2002" s="77"/>
      <c r="L2002" s="160"/>
      <c r="M2002" s="388"/>
      <c r="N2002" s="375"/>
      <c r="O2002" s="370"/>
      <c r="T2002" s="340"/>
      <c r="W2002" s="113"/>
      <c r="X2002" s="241"/>
      <c r="Y2002" s="284"/>
      <c r="Z2002" s="207"/>
      <c r="AA2002" s="284"/>
      <c r="AB2002" s="284"/>
      <c r="AC2002" s="137"/>
      <c r="AD2002" s="284"/>
      <c r="AE2002" s="299"/>
      <c r="AF2002" s="299"/>
      <c r="AG2002" s="284"/>
    </row>
    <row r="2003" spans="2:33">
      <c r="B2003" s="86"/>
      <c r="C2003" s="84"/>
      <c r="D2003" s="86"/>
      <c r="E2003" s="84"/>
      <c r="F2003" s="284"/>
      <c r="G2003" s="49"/>
      <c r="H2003" s="284"/>
      <c r="I2003" s="74"/>
      <c r="J2003" s="371"/>
      <c r="K2003" s="77"/>
      <c r="L2003" s="160"/>
      <c r="M2003" s="388"/>
      <c r="N2003" s="375"/>
      <c r="O2003" s="370"/>
      <c r="T2003" s="340"/>
      <c r="W2003" s="113"/>
      <c r="X2003" s="241"/>
      <c r="Y2003" s="284"/>
      <c r="Z2003" s="207"/>
      <c r="AA2003" s="284"/>
      <c r="AB2003" s="284"/>
      <c r="AC2003" s="137"/>
      <c r="AD2003" s="284"/>
      <c r="AE2003" s="299"/>
      <c r="AF2003" s="299"/>
      <c r="AG2003" s="284"/>
    </row>
    <row r="2004" spans="2:33">
      <c r="B2004" s="86"/>
      <c r="C2004" s="84"/>
      <c r="D2004" s="86"/>
      <c r="E2004" s="84"/>
      <c r="F2004" s="284"/>
      <c r="G2004" s="49"/>
      <c r="H2004" s="284"/>
      <c r="I2004" s="74"/>
      <c r="J2004" s="371"/>
      <c r="K2004" s="77"/>
      <c r="L2004" s="160"/>
      <c r="M2004" s="388"/>
      <c r="N2004" s="375"/>
      <c r="O2004" s="370"/>
      <c r="T2004" s="340"/>
      <c r="W2004" s="113"/>
      <c r="X2004" s="241"/>
      <c r="Y2004" s="284"/>
      <c r="Z2004" s="207"/>
      <c r="AA2004" s="284"/>
      <c r="AB2004" s="284"/>
      <c r="AC2004" s="137"/>
      <c r="AD2004" s="284"/>
      <c r="AE2004" s="299"/>
      <c r="AF2004" s="299"/>
      <c r="AG2004" s="284"/>
    </row>
    <row r="2005" spans="2:33">
      <c r="B2005" s="86"/>
      <c r="C2005" s="84"/>
      <c r="D2005" s="86"/>
      <c r="E2005" s="84"/>
      <c r="F2005" s="284"/>
      <c r="G2005" s="49"/>
      <c r="H2005" s="284"/>
      <c r="I2005" s="74"/>
      <c r="J2005" s="371"/>
      <c r="K2005" s="77"/>
      <c r="L2005" s="160"/>
      <c r="M2005" s="388"/>
      <c r="N2005" s="375"/>
      <c r="O2005" s="370"/>
      <c r="T2005" s="340"/>
      <c r="W2005" s="113"/>
      <c r="X2005" s="241"/>
      <c r="Y2005" s="284"/>
      <c r="Z2005" s="207"/>
      <c r="AA2005" s="284"/>
      <c r="AB2005" s="284"/>
      <c r="AC2005" s="137"/>
      <c r="AD2005" s="284"/>
      <c r="AE2005" s="299"/>
      <c r="AF2005" s="299"/>
      <c r="AG2005" s="284"/>
    </row>
    <row r="2006" spans="2:33">
      <c r="B2006" s="86"/>
      <c r="C2006" s="84"/>
      <c r="D2006" s="86"/>
      <c r="E2006" s="84"/>
      <c r="F2006" s="284"/>
      <c r="G2006" s="49"/>
      <c r="H2006" s="284"/>
      <c r="I2006" s="74"/>
      <c r="J2006" s="371"/>
      <c r="K2006" s="77"/>
      <c r="L2006" s="160"/>
      <c r="M2006" s="388"/>
      <c r="N2006" s="375"/>
      <c r="O2006" s="370"/>
      <c r="T2006" s="340"/>
      <c r="W2006" s="113"/>
      <c r="X2006" s="241"/>
      <c r="Y2006" s="284"/>
      <c r="Z2006" s="207"/>
      <c r="AA2006" s="284"/>
      <c r="AB2006" s="284"/>
      <c r="AC2006" s="137"/>
      <c r="AD2006" s="284"/>
      <c r="AE2006" s="299"/>
      <c r="AF2006" s="299"/>
      <c r="AG2006" s="284"/>
    </row>
    <row r="2007" spans="2:33">
      <c r="B2007" s="86"/>
      <c r="C2007" s="84"/>
      <c r="D2007" s="86"/>
      <c r="E2007" s="84"/>
      <c r="F2007" s="284"/>
      <c r="G2007" s="49"/>
      <c r="H2007" s="284"/>
      <c r="I2007" s="74"/>
      <c r="J2007" s="371"/>
      <c r="K2007" s="77"/>
      <c r="L2007" s="160"/>
      <c r="M2007" s="388"/>
      <c r="N2007" s="375"/>
      <c r="O2007" s="370"/>
      <c r="T2007" s="340"/>
      <c r="W2007" s="113"/>
      <c r="X2007" s="241"/>
      <c r="Y2007" s="284"/>
      <c r="Z2007" s="207"/>
      <c r="AA2007" s="284"/>
      <c r="AB2007" s="284"/>
      <c r="AC2007" s="137"/>
      <c r="AD2007" s="284"/>
      <c r="AE2007" s="299"/>
      <c r="AF2007" s="299"/>
      <c r="AG2007" s="284"/>
    </row>
    <row r="2008" spans="2:33">
      <c r="B2008" s="86"/>
      <c r="C2008" s="84"/>
      <c r="D2008" s="86"/>
      <c r="E2008" s="84"/>
      <c r="F2008" s="284"/>
      <c r="G2008" s="49"/>
      <c r="H2008" s="284"/>
      <c r="I2008" s="74"/>
      <c r="J2008" s="371"/>
      <c r="K2008" s="77"/>
      <c r="L2008" s="160"/>
      <c r="M2008" s="388"/>
      <c r="N2008" s="375"/>
      <c r="O2008" s="370"/>
      <c r="T2008" s="340"/>
      <c r="W2008" s="113"/>
      <c r="X2008" s="241"/>
      <c r="Y2008" s="284"/>
      <c r="Z2008" s="207"/>
      <c r="AA2008" s="284"/>
      <c r="AB2008" s="284"/>
      <c r="AC2008" s="137"/>
      <c r="AD2008" s="284"/>
      <c r="AE2008" s="299"/>
      <c r="AF2008" s="299"/>
      <c r="AG2008" s="284"/>
    </row>
    <row r="2009" spans="2:33">
      <c r="B2009" s="86"/>
      <c r="C2009" s="84"/>
      <c r="D2009" s="86"/>
      <c r="E2009" s="84"/>
      <c r="F2009" s="284"/>
      <c r="G2009" s="49"/>
      <c r="H2009" s="284"/>
      <c r="I2009" s="74"/>
      <c r="J2009" s="371"/>
      <c r="K2009" s="77"/>
      <c r="L2009" s="160"/>
      <c r="M2009" s="388"/>
      <c r="N2009" s="375"/>
      <c r="O2009" s="370"/>
      <c r="T2009" s="340"/>
      <c r="W2009" s="113"/>
      <c r="X2009" s="241"/>
      <c r="Y2009" s="284"/>
      <c r="Z2009" s="207"/>
      <c r="AA2009" s="284"/>
      <c r="AB2009" s="284"/>
      <c r="AC2009" s="137"/>
      <c r="AD2009" s="284"/>
      <c r="AE2009" s="299"/>
      <c r="AF2009" s="299"/>
      <c r="AG2009" s="284"/>
    </row>
    <row r="2010" spans="2:33">
      <c r="B2010" s="86"/>
      <c r="C2010" s="84"/>
      <c r="D2010" s="86"/>
      <c r="E2010" s="84"/>
      <c r="F2010" s="284"/>
      <c r="G2010" s="49"/>
      <c r="H2010" s="284"/>
      <c r="I2010" s="74"/>
      <c r="J2010" s="371"/>
      <c r="K2010" s="77"/>
      <c r="L2010" s="160"/>
      <c r="M2010" s="388"/>
      <c r="N2010" s="375"/>
      <c r="O2010" s="370"/>
      <c r="T2010" s="340"/>
      <c r="W2010" s="113"/>
      <c r="X2010" s="241"/>
      <c r="Y2010" s="284"/>
      <c r="Z2010" s="207"/>
      <c r="AA2010" s="284"/>
      <c r="AB2010" s="284"/>
      <c r="AC2010" s="137"/>
      <c r="AD2010" s="284"/>
      <c r="AE2010" s="299"/>
      <c r="AF2010" s="299"/>
      <c r="AG2010" s="284"/>
    </row>
    <row r="2011" spans="2:33">
      <c r="B2011" s="86"/>
      <c r="C2011" s="84"/>
      <c r="D2011" s="86"/>
      <c r="E2011" s="84"/>
      <c r="F2011" s="284"/>
      <c r="G2011" s="49"/>
      <c r="H2011" s="284"/>
      <c r="I2011" s="74"/>
      <c r="J2011" s="371"/>
      <c r="K2011" s="77"/>
      <c r="L2011" s="160"/>
      <c r="M2011" s="388"/>
      <c r="N2011" s="375"/>
      <c r="O2011" s="370"/>
      <c r="T2011" s="340"/>
      <c r="W2011" s="113"/>
      <c r="X2011" s="241"/>
      <c r="Y2011" s="284"/>
      <c r="Z2011" s="207"/>
      <c r="AA2011" s="284"/>
      <c r="AB2011" s="284"/>
      <c r="AC2011" s="137"/>
      <c r="AD2011" s="284"/>
      <c r="AE2011" s="299"/>
      <c r="AF2011" s="299"/>
      <c r="AG2011" s="284"/>
    </row>
    <row r="2012" spans="2:33">
      <c r="B2012" s="86"/>
      <c r="C2012" s="84"/>
      <c r="D2012" s="86"/>
      <c r="E2012" s="84"/>
      <c r="F2012" s="284"/>
      <c r="G2012" s="49"/>
      <c r="H2012" s="284"/>
      <c r="I2012" s="74"/>
      <c r="J2012" s="371"/>
      <c r="K2012" s="77"/>
      <c r="L2012" s="160"/>
      <c r="M2012" s="388"/>
      <c r="N2012" s="375"/>
      <c r="O2012" s="370"/>
      <c r="T2012" s="340"/>
      <c r="W2012" s="113"/>
      <c r="X2012" s="241"/>
      <c r="Y2012" s="284"/>
      <c r="Z2012" s="207"/>
      <c r="AA2012" s="284"/>
      <c r="AB2012" s="284"/>
      <c r="AC2012" s="137"/>
      <c r="AD2012" s="284"/>
      <c r="AE2012" s="299"/>
      <c r="AF2012" s="299"/>
      <c r="AG2012" s="284"/>
    </row>
    <row r="2013" spans="2:33">
      <c r="B2013" s="86"/>
      <c r="C2013" s="84"/>
      <c r="D2013" s="86"/>
      <c r="E2013" s="84"/>
      <c r="F2013" s="284"/>
      <c r="G2013" s="49"/>
      <c r="H2013" s="284"/>
      <c r="I2013" s="74"/>
      <c r="J2013" s="371"/>
      <c r="K2013" s="77"/>
      <c r="L2013" s="160"/>
      <c r="M2013" s="388"/>
      <c r="N2013" s="375"/>
      <c r="O2013" s="370"/>
      <c r="T2013" s="340"/>
      <c r="W2013" s="113"/>
      <c r="X2013" s="241"/>
      <c r="Y2013" s="284"/>
      <c r="Z2013" s="207"/>
      <c r="AA2013" s="284"/>
      <c r="AB2013" s="284"/>
      <c r="AC2013" s="137"/>
      <c r="AD2013" s="284"/>
      <c r="AE2013" s="299"/>
      <c r="AF2013" s="299"/>
      <c r="AG2013" s="284"/>
    </row>
    <row r="2014" spans="2:33">
      <c r="B2014" s="86"/>
      <c r="C2014" s="84"/>
      <c r="D2014" s="86"/>
      <c r="E2014" s="84"/>
      <c r="F2014" s="284"/>
      <c r="G2014" s="49"/>
      <c r="H2014" s="284"/>
      <c r="I2014" s="74"/>
      <c r="J2014" s="371"/>
      <c r="K2014" s="77"/>
      <c r="L2014" s="160"/>
      <c r="M2014" s="388"/>
      <c r="N2014" s="375"/>
      <c r="O2014" s="370"/>
      <c r="T2014" s="340"/>
      <c r="W2014" s="113"/>
      <c r="X2014" s="241"/>
      <c r="Y2014" s="284"/>
      <c r="Z2014" s="207"/>
      <c r="AA2014" s="284"/>
      <c r="AB2014" s="284"/>
      <c r="AC2014" s="137"/>
      <c r="AD2014" s="284"/>
      <c r="AE2014" s="299"/>
      <c r="AF2014" s="299"/>
      <c r="AG2014" s="284"/>
    </row>
    <row r="2015" spans="2:33">
      <c r="B2015" s="86"/>
      <c r="C2015" s="84"/>
      <c r="D2015" s="86"/>
      <c r="E2015" s="84"/>
      <c r="F2015" s="284"/>
      <c r="G2015" s="49"/>
      <c r="H2015" s="284"/>
      <c r="I2015" s="74"/>
      <c r="J2015" s="371"/>
      <c r="K2015" s="77"/>
      <c r="L2015" s="160"/>
      <c r="M2015" s="388"/>
      <c r="N2015" s="375"/>
      <c r="O2015" s="370"/>
      <c r="T2015" s="340"/>
      <c r="W2015" s="113"/>
      <c r="X2015" s="241"/>
      <c r="Y2015" s="284"/>
      <c r="Z2015" s="207"/>
      <c r="AA2015" s="284"/>
      <c r="AB2015" s="284"/>
      <c r="AC2015" s="137"/>
      <c r="AD2015" s="284"/>
      <c r="AE2015" s="299"/>
      <c r="AF2015" s="299"/>
      <c r="AG2015" s="284"/>
    </row>
    <row r="2016" spans="2:33">
      <c r="B2016" s="86"/>
      <c r="C2016" s="84"/>
      <c r="D2016" s="86"/>
      <c r="E2016" s="84"/>
      <c r="F2016" s="284"/>
      <c r="G2016" s="49"/>
      <c r="H2016" s="284"/>
      <c r="I2016" s="74"/>
      <c r="J2016" s="371"/>
      <c r="K2016" s="77"/>
      <c r="L2016" s="160"/>
      <c r="M2016" s="388"/>
      <c r="N2016" s="375"/>
      <c r="O2016" s="370"/>
      <c r="T2016" s="340"/>
      <c r="W2016" s="113"/>
      <c r="X2016" s="241"/>
      <c r="Y2016" s="284"/>
      <c r="Z2016" s="207"/>
      <c r="AA2016" s="284"/>
      <c r="AB2016" s="284"/>
      <c r="AC2016" s="137"/>
      <c r="AD2016" s="284"/>
      <c r="AE2016" s="299"/>
      <c r="AF2016" s="299"/>
      <c r="AG2016" s="284"/>
    </row>
    <row r="2017" spans="2:33">
      <c r="B2017" s="86"/>
      <c r="C2017" s="84"/>
      <c r="D2017" s="86"/>
      <c r="E2017" s="84"/>
      <c r="F2017" s="284"/>
      <c r="G2017" s="49"/>
      <c r="H2017" s="284"/>
      <c r="I2017" s="74"/>
      <c r="J2017" s="371"/>
      <c r="K2017" s="77"/>
      <c r="L2017" s="160"/>
      <c r="M2017" s="388"/>
      <c r="N2017" s="375"/>
      <c r="O2017" s="370"/>
      <c r="T2017" s="340"/>
      <c r="W2017" s="113"/>
      <c r="X2017" s="241"/>
      <c r="Y2017" s="284"/>
      <c r="Z2017" s="207"/>
      <c r="AA2017" s="284"/>
      <c r="AB2017" s="284"/>
      <c r="AC2017" s="137"/>
      <c r="AD2017" s="284"/>
      <c r="AE2017" s="299"/>
      <c r="AF2017" s="299"/>
      <c r="AG2017" s="284"/>
    </row>
    <row r="2018" spans="2:33">
      <c r="B2018" s="86"/>
      <c r="C2018" s="84"/>
      <c r="D2018" s="86"/>
      <c r="E2018" s="84"/>
      <c r="F2018" s="284"/>
      <c r="G2018" s="49"/>
      <c r="H2018" s="284"/>
      <c r="I2018" s="74"/>
      <c r="J2018" s="371"/>
      <c r="K2018" s="77"/>
      <c r="L2018" s="160"/>
      <c r="M2018" s="388"/>
      <c r="N2018" s="375"/>
      <c r="O2018" s="370"/>
      <c r="T2018" s="340"/>
      <c r="W2018" s="113"/>
      <c r="X2018" s="241"/>
      <c r="Y2018" s="284"/>
      <c r="Z2018" s="207"/>
      <c r="AA2018" s="284"/>
      <c r="AB2018" s="284"/>
      <c r="AC2018" s="137"/>
      <c r="AD2018" s="284"/>
      <c r="AE2018" s="299"/>
      <c r="AF2018" s="299"/>
      <c r="AG2018" s="284"/>
    </row>
    <row r="2019" spans="2:33">
      <c r="B2019" s="86"/>
      <c r="C2019" s="84"/>
      <c r="D2019" s="86"/>
      <c r="E2019" s="84"/>
      <c r="F2019" s="284"/>
      <c r="G2019" s="49"/>
      <c r="H2019" s="284"/>
      <c r="I2019" s="74"/>
      <c r="J2019" s="371"/>
      <c r="K2019" s="77"/>
      <c r="L2019" s="160"/>
      <c r="M2019" s="388"/>
      <c r="N2019" s="375"/>
      <c r="O2019" s="370"/>
      <c r="T2019" s="340"/>
      <c r="W2019" s="113"/>
      <c r="X2019" s="241"/>
      <c r="Y2019" s="284"/>
      <c r="Z2019" s="207"/>
      <c r="AA2019" s="284"/>
      <c r="AB2019" s="284"/>
      <c r="AC2019" s="137"/>
      <c r="AD2019" s="284"/>
      <c r="AE2019" s="299"/>
      <c r="AF2019" s="299"/>
      <c r="AG2019" s="284"/>
    </row>
    <row r="2020" spans="2:33">
      <c r="B2020" s="86"/>
      <c r="C2020" s="84"/>
      <c r="D2020" s="86"/>
      <c r="E2020" s="84"/>
      <c r="F2020" s="284"/>
      <c r="G2020" s="49"/>
      <c r="H2020" s="284"/>
      <c r="I2020" s="74"/>
      <c r="J2020" s="371"/>
      <c r="K2020" s="77"/>
      <c r="L2020" s="160"/>
      <c r="M2020" s="388"/>
      <c r="N2020" s="375"/>
      <c r="O2020" s="370"/>
      <c r="T2020" s="340"/>
      <c r="W2020" s="113"/>
      <c r="X2020" s="241"/>
      <c r="Y2020" s="284"/>
      <c r="Z2020" s="207"/>
      <c r="AA2020" s="284"/>
      <c r="AB2020" s="284"/>
      <c r="AC2020" s="137"/>
      <c r="AD2020" s="284"/>
      <c r="AE2020" s="299"/>
      <c r="AF2020" s="299"/>
      <c r="AG2020" s="284"/>
    </row>
    <row r="2021" spans="2:33">
      <c r="B2021" s="86"/>
      <c r="C2021" s="84"/>
      <c r="D2021" s="86"/>
      <c r="E2021" s="84"/>
      <c r="F2021" s="284"/>
      <c r="G2021" s="49"/>
      <c r="H2021" s="284"/>
      <c r="I2021" s="74"/>
      <c r="J2021" s="371"/>
      <c r="K2021" s="77"/>
      <c r="L2021" s="160"/>
      <c r="M2021" s="388"/>
      <c r="N2021" s="375"/>
      <c r="O2021" s="370"/>
      <c r="T2021" s="340"/>
      <c r="W2021" s="113"/>
      <c r="X2021" s="241"/>
      <c r="Y2021" s="284"/>
      <c r="Z2021" s="207"/>
      <c r="AA2021" s="284"/>
      <c r="AB2021" s="284"/>
      <c r="AC2021" s="137"/>
      <c r="AD2021" s="284"/>
      <c r="AE2021" s="299"/>
      <c r="AF2021" s="299"/>
      <c r="AG2021" s="284"/>
    </row>
    <row r="2022" spans="2:33">
      <c r="B2022" s="86"/>
      <c r="C2022" s="84"/>
      <c r="D2022" s="86"/>
      <c r="E2022" s="84"/>
      <c r="F2022" s="284"/>
      <c r="G2022" s="49"/>
      <c r="H2022" s="284"/>
      <c r="I2022" s="74"/>
      <c r="J2022" s="371"/>
      <c r="K2022" s="77"/>
      <c r="L2022" s="160"/>
      <c r="M2022" s="388"/>
      <c r="N2022" s="375"/>
      <c r="O2022" s="370"/>
      <c r="T2022" s="340"/>
      <c r="W2022" s="113"/>
      <c r="X2022" s="241"/>
      <c r="Y2022" s="284"/>
      <c r="Z2022" s="207"/>
      <c r="AA2022" s="284"/>
      <c r="AB2022" s="284"/>
      <c r="AC2022" s="137"/>
      <c r="AD2022" s="284"/>
      <c r="AE2022" s="299"/>
      <c r="AF2022" s="299"/>
      <c r="AG2022" s="284"/>
    </row>
    <row r="2023" spans="2:33">
      <c r="B2023" s="86"/>
      <c r="C2023" s="84"/>
      <c r="D2023" s="86"/>
      <c r="E2023" s="84"/>
      <c r="F2023" s="284"/>
      <c r="G2023" s="49"/>
      <c r="H2023" s="284"/>
      <c r="I2023" s="74"/>
      <c r="J2023" s="371"/>
      <c r="K2023" s="77"/>
      <c r="L2023" s="160"/>
      <c r="M2023" s="388"/>
      <c r="N2023" s="375"/>
      <c r="O2023" s="370"/>
      <c r="T2023" s="340"/>
      <c r="W2023" s="113"/>
      <c r="X2023" s="241"/>
      <c r="Y2023" s="284"/>
      <c r="Z2023" s="207"/>
      <c r="AA2023" s="284"/>
      <c r="AB2023" s="284"/>
      <c r="AC2023" s="137"/>
      <c r="AD2023" s="284"/>
      <c r="AE2023" s="299"/>
      <c r="AF2023" s="299"/>
      <c r="AG2023" s="284"/>
    </row>
    <row r="2024" spans="2:33">
      <c r="B2024" s="86"/>
      <c r="C2024" s="84"/>
      <c r="D2024" s="86"/>
      <c r="E2024" s="84"/>
      <c r="F2024" s="284"/>
      <c r="G2024" s="49"/>
      <c r="H2024" s="284"/>
      <c r="I2024" s="74"/>
      <c r="J2024" s="371"/>
      <c r="K2024" s="77"/>
      <c r="L2024" s="160"/>
      <c r="M2024" s="388"/>
      <c r="N2024" s="375"/>
      <c r="O2024" s="370"/>
      <c r="T2024" s="340"/>
      <c r="W2024" s="113"/>
      <c r="X2024" s="241"/>
      <c r="Y2024" s="284"/>
      <c r="Z2024" s="207"/>
      <c r="AA2024" s="284"/>
      <c r="AB2024" s="284"/>
      <c r="AC2024" s="137"/>
      <c r="AD2024" s="284"/>
      <c r="AE2024" s="299"/>
      <c r="AF2024" s="299"/>
      <c r="AG2024" s="284"/>
    </row>
    <row r="2025" spans="2:33">
      <c r="B2025" s="86"/>
      <c r="C2025" s="84"/>
      <c r="D2025" s="86"/>
      <c r="E2025" s="84"/>
      <c r="F2025" s="284"/>
      <c r="G2025" s="49"/>
      <c r="H2025" s="284"/>
      <c r="I2025" s="74"/>
      <c r="J2025" s="371"/>
      <c r="K2025" s="77"/>
      <c r="L2025" s="160"/>
      <c r="M2025" s="388"/>
      <c r="N2025" s="375"/>
      <c r="O2025" s="370"/>
      <c r="T2025" s="340"/>
      <c r="W2025" s="113"/>
      <c r="X2025" s="241"/>
      <c r="Y2025" s="284"/>
      <c r="Z2025" s="207"/>
      <c r="AA2025" s="284"/>
      <c r="AB2025" s="284"/>
      <c r="AC2025" s="137"/>
      <c r="AD2025" s="284"/>
      <c r="AE2025" s="299"/>
      <c r="AF2025" s="299"/>
      <c r="AG2025" s="284"/>
    </row>
    <row r="2026" spans="2:33">
      <c r="B2026" s="86"/>
      <c r="C2026" s="84"/>
      <c r="D2026" s="86"/>
      <c r="E2026" s="84"/>
      <c r="F2026" s="284"/>
      <c r="G2026" s="49"/>
      <c r="H2026" s="284"/>
      <c r="I2026" s="74"/>
      <c r="J2026" s="371"/>
      <c r="K2026" s="77"/>
      <c r="L2026" s="160"/>
      <c r="M2026" s="388"/>
      <c r="N2026" s="375"/>
      <c r="O2026" s="370"/>
      <c r="T2026" s="340"/>
      <c r="W2026" s="113"/>
      <c r="X2026" s="241"/>
      <c r="Y2026" s="284"/>
      <c r="Z2026" s="207"/>
      <c r="AA2026" s="284"/>
      <c r="AB2026" s="284"/>
      <c r="AC2026" s="137"/>
      <c r="AD2026" s="284"/>
      <c r="AE2026" s="299"/>
      <c r="AF2026" s="299"/>
      <c r="AG2026" s="284"/>
    </row>
    <row r="2027" spans="2:33">
      <c r="B2027" s="86"/>
      <c r="C2027" s="84"/>
      <c r="D2027" s="86"/>
      <c r="E2027" s="84"/>
      <c r="F2027" s="284"/>
      <c r="G2027" s="49"/>
      <c r="H2027" s="284"/>
      <c r="I2027" s="74"/>
      <c r="J2027" s="371"/>
      <c r="K2027" s="77"/>
      <c r="L2027" s="160"/>
      <c r="M2027" s="388"/>
      <c r="N2027" s="375"/>
      <c r="O2027" s="370"/>
      <c r="T2027" s="340"/>
      <c r="W2027" s="113"/>
      <c r="X2027" s="241"/>
      <c r="Y2027" s="284"/>
      <c r="Z2027" s="207"/>
      <c r="AA2027" s="284"/>
      <c r="AB2027" s="284"/>
      <c r="AC2027" s="137"/>
      <c r="AD2027" s="284"/>
      <c r="AE2027" s="299"/>
      <c r="AF2027" s="299"/>
      <c r="AG2027" s="284"/>
    </row>
    <row r="2028" spans="2:33">
      <c r="B2028" s="86"/>
      <c r="C2028" s="84"/>
      <c r="D2028" s="86"/>
      <c r="E2028" s="84"/>
      <c r="F2028" s="284"/>
      <c r="G2028" s="49"/>
      <c r="H2028" s="284"/>
      <c r="I2028" s="74"/>
      <c r="J2028" s="371"/>
      <c r="K2028" s="77"/>
      <c r="L2028" s="160"/>
      <c r="M2028" s="388"/>
      <c r="N2028" s="375"/>
      <c r="O2028" s="370"/>
      <c r="T2028" s="340"/>
      <c r="W2028" s="113"/>
      <c r="X2028" s="241"/>
      <c r="Y2028" s="284"/>
      <c r="Z2028" s="207"/>
      <c r="AA2028" s="284"/>
      <c r="AB2028" s="284"/>
      <c r="AC2028" s="137"/>
      <c r="AD2028" s="284"/>
      <c r="AE2028" s="299"/>
      <c r="AF2028" s="299"/>
      <c r="AG2028" s="284"/>
    </row>
    <row r="2029" spans="2:33">
      <c r="B2029" s="86"/>
      <c r="C2029" s="84"/>
      <c r="D2029" s="86"/>
      <c r="E2029" s="84"/>
      <c r="F2029" s="284"/>
      <c r="G2029" s="49"/>
      <c r="H2029" s="284"/>
      <c r="I2029" s="74"/>
      <c r="J2029" s="371"/>
      <c r="K2029" s="77"/>
      <c r="L2029" s="160"/>
      <c r="M2029" s="388"/>
      <c r="N2029" s="375"/>
      <c r="O2029" s="370"/>
      <c r="T2029" s="340"/>
      <c r="W2029" s="113"/>
      <c r="X2029" s="241"/>
      <c r="Y2029" s="284"/>
      <c r="Z2029" s="207"/>
      <c r="AA2029" s="284"/>
      <c r="AB2029" s="284"/>
      <c r="AC2029" s="137"/>
      <c r="AD2029" s="284"/>
      <c r="AE2029" s="299"/>
      <c r="AF2029" s="299"/>
      <c r="AG2029" s="284"/>
    </row>
    <row r="2030" spans="2:33">
      <c r="B2030" s="86"/>
      <c r="C2030" s="84"/>
      <c r="D2030" s="86"/>
      <c r="E2030" s="84"/>
      <c r="F2030" s="284"/>
      <c r="G2030" s="49"/>
      <c r="H2030" s="284"/>
      <c r="I2030" s="74"/>
      <c r="J2030" s="371"/>
      <c r="K2030" s="77"/>
      <c r="L2030" s="160"/>
      <c r="M2030" s="388"/>
      <c r="N2030" s="375"/>
      <c r="O2030" s="370"/>
      <c r="T2030" s="340"/>
      <c r="W2030" s="113"/>
      <c r="X2030" s="241"/>
      <c r="Y2030" s="284"/>
      <c r="Z2030" s="207"/>
      <c r="AA2030" s="284"/>
      <c r="AB2030" s="284"/>
      <c r="AC2030" s="137"/>
      <c r="AD2030" s="284"/>
      <c r="AE2030" s="299"/>
      <c r="AF2030" s="299"/>
      <c r="AG2030" s="284"/>
    </row>
    <row r="2031" spans="2:33">
      <c r="B2031" s="86"/>
      <c r="C2031" s="84"/>
      <c r="D2031" s="86"/>
      <c r="E2031" s="84"/>
      <c r="F2031" s="284"/>
      <c r="G2031" s="49"/>
      <c r="H2031" s="284"/>
      <c r="I2031" s="74"/>
      <c r="J2031" s="371"/>
      <c r="K2031" s="77"/>
      <c r="L2031" s="160"/>
      <c r="M2031" s="388"/>
      <c r="N2031" s="375"/>
      <c r="O2031" s="370"/>
      <c r="T2031" s="340"/>
      <c r="W2031" s="113"/>
      <c r="X2031" s="241"/>
      <c r="Y2031" s="284"/>
      <c r="Z2031" s="207"/>
      <c r="AA2031" s="284"/>
      <c r="AB2031" s="284"/>
      <c r="AC2031" s="137"/>
      <c r="AD2031" s="284"/>
      <c r="AE2031" s="299"/>
      <c r="AF2031" s="299"/>
      <c r="AG2031" s="284"/>
    </row>
    <row r="2032" spans="2:33">
      <c r="B2032" s="86"/>
      <c r="C2032" s="84"/>
      <c r="D2032" s="86"/>
      <c r="E2032" s="84"/>
      <c r="F2032" s="284"/>
      <c r="G2032" s="49"/>
      <c r="H2032" s="284"/>
      <c r="I2032" s="74"/>
      <c r="J2032" s="371"/>
      <c r="K2032" s="77"/>
      <c r="L2032" s="160"/>
      <c r="M2032" s="388"/>
      <c r="N2032" s="375"/>
      <c r="O2032" s="370"/>
      <c r="T2032" s="340"/>
      <c r="W2032" s="113"/>
      <c r="X2032" s="241"/>
      <c r="Y2032" s="284"/>
      <c r="Z2032" s="207"/>
      <c r="AA2032" s="284"/>
      <c r="AB2032" s="284"/>
      <c r="AC2032" s="137"/>
      <c r="AD2032" s="284"/>
      <c r="AE2032" s="299"/>
      <c r="AF2032" s="299"/>
      <c r="AG2032" s="284"/>
    </row>
    <row r="2033" spans="2:33">
      <c r="B2033" s="86"/>
      <c r="C2033" s="84"/>
      <c r="D2033" s="86"/>
      <c r="E2033" s="84"/>
      <c r="F2033" s="284"/>
      <c r="G2033" s="49"/>
      <c r="H2033" s="284"/>
      <c r="I2033" s="74"/>
      <c r="J2033" s="371"/>
      <c r="K2033" s="77"/>
      <c r="L2033" s="160"/>
      <c r="M2033" s="388"/>
      <c r="N2033" s="375"/>
      <c r="O2033" s="370"/>
      <c r="T2033" s="340"/>
      <c r="W2033" s="113"/>
      <c r="X2033" s="241"/>
      <c r="Y2033" s="284"/>
      <c r="Z2033" s="207"/>
      <c r="AA2033" s="284"/>
      <c r="AB2033" s="284"/>
      <c r="AC2033" s="137"/>
      <c r="AD2033" s="284"/>
      <c r="AE2033" s="299"/>
      <c r="AF2033" s="299"/>
      <c r="AG2033" s="284"/>
    </row>
    <row r="2034" spans="2:33">
      <c r="B2034" s="86"/>
      <c r="C2034" s="84"/>
      <c r="D2034" s="86"/>
      <c r="E2034" s="84"/>
      <c r="F2034" s="284"/>
      <c r="G2034" s="49"/>
      <c r="H2034" s="284"/>
      <c r="I2034" s="74"/>
      <c r="J2034" s="371"/>
      <c r="K2034" s="77"/>
      <c r="L2034" s="160"/>
      <c r="M2034" s="388"/>
      <c r="N2034" s="375"/>
      <c r="O2034" s="370"/>
      <c r="T2034" s="340"/>
      <c r="W2034" s="113"/>
      <c r="X2034" s="241"/>
      <c r="Y2034" s="284"/>
      <c r="Z2034" s="207"/>
      <c r="AA2034" s="284"/>
      <c r="AB2034" s="284"/>
      <c r="AC2034" s="137"/>
      <c r="AD2034" s="284"/>
      <c r="AE2034" s="299"/>
      <c r="AF2034" s="299"/>
      <c r="AG2034" s="284"/>
    </row>
    <row r="2035" spans="2:33">
      <c r="B2035" s="86"/>
      <c r="C2035" s="84"/>
      <c r="D2035" s="86"/>
      <c r="E2035" s="84"/>
      <c r="F2035" s="284"/>
      <c r="G2035" s="49"/>
      <c r="H2035" s="284"/>
      <c r="I2035" s="74"/>
      <c r="J2035" s="371"/>
      <c r="K2035" s="77"/>
      <c r="L2035" s="160"/>
      <c r="M2035" s="388"/>
      <c r="N2035" s="375"/>
      <c r="O2035" s="370"/>
      <c r="T2035" s="340"/>
      <c r="W2035" s="113"/>
      <c r="X2035" s="241"/>
      <c r="Y2035" s="284"/>
      <c r="Z2035" s="207"/>
      <c r="AA2035" s="284"/>
      <c r="AB2035" s="284"/>
      <c r="AC2035" s="137"/>
      <c r="AD2035" s="284"/>
      <c r="AE2035" s="299"/>
      <c r="AF2035" s="299"/>
      <c r="AG2035" s="284"/>
    </row>
    <row r="2036" spans="2:33">
      <c r="B2036" s="86"/>
      <c r="C2036" s="84"/>
      <c r="D2036" s="86"/>
      <c r="E2036" s="84"/>
      <c r="F2036" s="284"/>
      <c r="G2036" s="49"/>
      <c r="H2036" s="284"/>
      <c r="I2036" s="74"/>
      <c r="J2036" s="371"/>
      <c r="K2036" s="77"/>
      <c r="L2036" s="160"/>
      <c r="M2036" s="388"/>
      <c r="N2036" s="375"/>
      <c r="O2036" s="370"/>
      <c r="T2036" s="340"/>
      <c r="W2036" s="113"/>
      <c r="X2036" s="241"/>
      <c r="Y2036" s="284"/>
      <c r="Z2036" s="207"/>
      <c r="AA2036" s="284"/>
      <c r="AB2036" s="284"/>
      <c r="AC2036" s="137"/>
      <c r="AD2036" s="284"/>
      <c r="AE2036" s="299"/>
      <c r="AF2036" s="299"/>
      <c r="AG2036" s="284"/>
    </row>
    <row r="2037" spans="2:33">
      <c r="B2037" s="86"/>
      <c r="C2037" s="84"/>
      <c r="D2037" s="86"/>
      <c r="E2037" s="84"/>
      <c r="F2037" s="284"/>
      <c r="G2037" s="49"/>
      <c r="H2037" s="284"/>
      <c r="I2037" s="74"/>
      <c r="J2037" s="371"/>
      <c r="K2037" s="77"/>
      <c r="L2037" s="160"/>
      <c r="M2037" s="388"/>
      <c r="N2037" s="375"/>
      <c r="O2037" s="370"/>
      <c r="T2037" s="340"/>
      <c r="W2037" s="113"/>
      <c r="X2037" s="241"/>
      <c r="Y2037" s="284"/>
      <c r="Z2037" s="207"/>
      <c r="AA2037" s="284"/>
      <c r="AB2037" s="284"/>
      <c r="AC2037" s="137"/>
      <c r="AD2037" s="284"/>
      <c r="AE2037" s="299"/>
      <c r="AF2037" s="299"/>
      <c r="AG2037" s="284"/>
    </row>
    <row r="2038" spans="2:33">
      <c r="B2038" s="86"/>
      <c r="C2038" s="84"/>
      <c r="D2038" s="86"/>
      <c r="E2038" s="84"/>
      <c r="F2038" s="284"/>
      <c r="G2038" s="49"/>
      <c r="H2038" s="284"/>
      <c r="I2038" s="74"/>
      <c r="J2038" s="371"/>
      <c r="K2038" s="77"/>
      <c r="L2038" s="160"/>
      <c r="M2038" s="388"/>
      <c r="N2038" s="375"/>
      <c r="O2038" s="370"/>
      <c r="T2038" s="340"/>
      <c r="W2038" s="113"/>
      <c r="X2038" s="241"/>
      <c r="Y2038" s="284"/>
      <c r="Z2038" s="207"/>
      <c r="AA2038" s="284"/>
      <c r="AB2038" s="284"/>
      <c r="AC2038" s="137"/>
      <c r="AD2038" s="284"/>
      <c r="AE2038" s="299"/>
      <c r="AF2038" s="299"/>
      <c r="AG2038" s="284"/>
    </row>
    <row r="2039" spans="2:33">
      <c r="B2039" s="86"/>
      <c r="C2039" s="84"/>
      <c r="D2039" s="86"/>
      <c r="E2039" s="84"/>
      <c r="F2039" s="284"/>
      <c r="G2039" s="49"/>
      <c r="H2039" s="284"/>
      <c r="I2039" s="74"/>
      <c r="J2039" s="371"/>
      <c r="K2039" s="77"/>
      <c r="L2039" s="160"/>
      <c r="M2039" s="388"/>
      <c r="N2039" s="375"/>
      <c r="O2039" s="370"/>
      <c r="T2039" s="340"/>
      <c r="W2039" s="113"/>
      <c r="X2039" s="241"/>
      <c r="Y2039" s="284"/>
      <c r="Z2039" s="207"/>
      <c r="AA2039" s="284"/>
      <c r="AB2039" s="284"/>
      <c r="AC2039" s="137"/>
      <c r="AD2039" s="284"/>
      <c r="AE2039" s="299"/>
      <c r="AF2039" s="299"/>
      <c r="AG2039" s="284"/>
    </row>
    <row r="2040" spans="2:33">
      <c r="B2040" s="86"/>
      <c r="C2040" s="84"/>
      <c r="D2040" s="86"/>
      <c r="E2040" s="84"/>
      <c r="F2040" s="284"/>
      <c r="G2040" s="49"/>
      <c r="H2040" s="284"/>
      <c r="I2040" s="74"/>
      <c r="J2040" s="371"/>
      <c r="K2040" s="77"/>
      <c r="L2040" s="160"/>
      <c r="M2040" s="388"/>
      <c r="N2040" s="375"/>
      <c r="O2040" s="370"/>
      <c r="T2040" s="340"/>
      <c r="W2040" s="113"/>
      <c r="X2040" s="241"/>
      <c r="Y2040" s="284"/>
      <c r="Z2040" s="207"/>
      <c r="AA2040" s="284"/>
      <c r="AB2040" s="284"/>
      <c r="AC2040" s="137"/>
      <c r="AD2040" s="284"/>
      <c r="AE2040" s="299"/>
      <c r="AF2040" s="299"/>
      <c r="AG2040" s="284"/>
    </row>
    <row r="2041" spans="2:33">
      <c r="B2041" s="86"/>
      <c r="C2041" s="84"/>
      <c r="D2041" s="86"/>
      <c r="E2041" s="84"/>
      <c r="F2041" s="284"/>
      <c r="G2041" s="49"/>
      <c r="H2041" s="284"/>
      <c r="I2041" s="74"/>
      <c r="J2041" s="371"/>
      <c r="K2041" s="77"/>
      <c r="L2041" s="160"/>
      <c r="M2041" s="388"/>
      <c r="N2041" s="375"/>
      <c r="O2041" s="370"/>
      <c r="T2041" s="340"/>
      <c r="W2041" s="113"/>
      <c r="X2041" s="241"/>
      <c r="Y2041" s="284"/>
      <c r="Z2041" s="207"/>
      <c r="AA2041" s="284"/>
      <c r="AB2041" s="284"/>
      <c r="AC2041" s="137"/>
      <c r="AD2041" s="284"/>
      <c r="AE2041" s="299"/>
      <c r="AF2041" s="299"/>
      <c r="AG2041" s="284"/>
    </row>
    <row r="2042" spans="2:33">
      <c r="B2042" s="86"/>
      <c r="C2042" s="84"/>
      <c r="D2042" s="86"/>
      <c r="E2042" s="84"/>
      <c r="F2042" s="284"/>
      <c r="G2042" s="49"/>
      <c r="H2042" s="284"/>
      <c r="I2042" s="74"/>
      <c r="J2042" s="371"/>
      <c r="K2042" s="77"/>
      <c r="L2042" s="160"/>
      <c r="M2042" s="388"/>
      <c r="N2042" s="375"/>
      <c r="O2042" s="370"/>
      <c r="T2042" s="340"/>
      <c r="W2042" s="113"/>
      <c r="X2042" s="241"/>
      <c r="Y2042" s="284"/>
      <c r="Z2042" s="207"/>
      <c r="AA2042" s="284"/>
      <c r="AB2042" s="284"/>
      <c r="AC2042" s="137"/>
      <c r="AD2042" s="284"/>
      <c r="AE2042" s="299"/>
      <c r="AF2042" s="299"/>
      <c r="AG2042" s="284"/>
    </row>
    <row r="2043" spans="2:33">
      <c r="B2043" s="86"/>
      <c r="C2043" s="84"/>
      <c r="D2043" s="86"/>
      <c r="E2043" s="84"/>
      <c r="F2043" s="284"/>
      <c r="G2043" s="49"/>
      <c r="H2043" s="284"/>
      <c r="I2043" s="74"/>
      <c r="J2043" s="371"/>
      <c r="K2043" s="77"/>
      <c r="L2043" s="160"/>
      <c r="M2043" s="388"/>
      <c r="N2043" s="375"/>
      <c r="O2043" s="370"/>
      <c r="T2043" s="340"/>
      <c r="W2043" s="113"/>
      <c r="X2043" s="241"/>
      <c r="Y2043" s="284"/>
      <c r="Z2043" s="207"/>
      <c r="AA2043" s="284"/>
      <c r="AB2043" s="284"/>
      <c r="AC2043" s="137"/>
      <c r="AD2043" s="284"/>
      <c r="AE2043" s="299"/>
      <c r="AF2043" s="299"/>
      <c r="AG2043" s="284"/>
    </row>
    <row r="2044" spans="2:33">
      <c r="B2044" s="86"/>
      <c r="C2044" s="84"/>
      <c r="D2044" s="86"/>
      <c r="E2044" s="84"/>
      <c r="F2044" s="284"/>
      <c r="G2044" s="49"/>
      <c r="H2044" s="284"/>
      <c r="I2044" s="74"/>
      <c r="J2044" s="371"/>
      <c r="K2044" s="77"/>
      <c r="L2044" s="160"/>
      <c r="M2044" s="388"/>
      <c r="N2044" s="375"/>
      <c r="O2044" s="370"/>
      <c r="T2044" s="340"/>
      <c r="W2044" s="113"/>
      <c r="X2044" s="241"/>
      <c r="Y2044" s="284"/>
      <c r="Z2044" s="207"/>
      <c r="AA2044" s="284"/>
      <c r="AB2044" s="284"/>
      <c r="AC2044" s="137"/>
      <c r="AD2044" s="284"/>
      <c r="AE2044" s="299"/>
      <c r="AF2044" s="299"/>
      <c r="AG2044" s="284"/>
    </row>
    <row r="2045" spans="2:33">
      <c r="B2045" s="86"/>
      <c r="C2045" s="84"/>
      <c r="D2045" s="86"/>
      <c r="E2045" s="84"/>
      <c r="F2045" s="284"/>
      <c r="G2045" s="49"/>
      <c r="H2045" s="284"/>
      <c r="I2045" s="74"/>
      <c r="J2045" s="371"/>
      <c r="K2045" s="77"/>
      <c r="L2045" s="160"/>
      <c r="M2045" s="388"/>
      <c r="N2045" s="375"/>
      <c r="O2045" s="370"/>
      <c r="T2045" s="340"/>
      <c r="W2045" s="113"/>
      <c r="X2045" s="241"/>
      <c r="Y2045" s="284"/>
      <c r="Z2045" s="207"/>
      <c r="AA2045" s="284"/>
      <c r="AB2045" s="284"/>
      <c r="AC2045" s="137"/>
      <c r="AD2045" s="284"/>
      <c r="AE2045" s="299"/>
      <c r="AF2045" s="299"/>
      <c r="AG2045" s="284"/>
    </row>
    <row r="2046" spans="2:33">
      <c r="B2046" s="86"/>
      <c r="C2046" s="84"/>
      <c r="D2046" s="86"/>
      <c r="E2046" s="84"/>
      <c r="F2046" s="284"/>
      <c r="G2046" s="49"/>
      <c r="H2046" s="284"/>
      <c r="I2046" s="74"/>
      <c r="J2046" s="371"/>
      <c r="K2046" s="77"/>
      <c r="L2046" s="160"/>
      <c r="M2046" s="388"/>
      <c r="N2046" s="375"/>
      <c r="O2046" s="370"/>
      <c r="T2046" s="340"/>
      <c r="W2046" s="113"/>
      <c r="X2046" s="241"/>
      <c r="Y2046" s="284"/>
      <c r="Z2046" s="207"/>
      <c r="AA2046" s="284"/>
      <c r="AB2046" s="284"/>
      <c r="AC2046" s="137"/>
      <c r="AD2046" s="284"/>
      <c r="AE2046" s="299"/>
      <c r="AF2046" s="299"/>
      <c r="AG2046" s="284"/>
    </row>
    <row r="2047" spans="2:33">
      <c r="B2047" s="86"/>
      <c r="C2047" s="84"/>
      <c r="D2047" s="86"/>
      <c r="E2047" s="84"/>
      <c r="F2047" s="284"/>
      <c r="G2047" s="49"/>
      <c r="H2047" s="284"/>
      <c r="I2047" s="74"/>
      <c r="J2047" s="371"/>
      <c r="K2047" s="77"/>
      <c r="L2047" s="160"/>
      <c r="M2047" s="388"/>
      <c r="N2047" s="375"/>
      <c r="O2047" s="370"/>
      <c r="T2047" s="340"/>
      <c r="W2047" s="113"/>
      <c r="X2047" s="241"/>
      <c r="Y2047" s="284"/>
      <c r="Z2047" s="207"/>
      <c r="AA2047" s="284"/>
      <c r="AB2047" s="284"/>
      <c r="AC2047" s="137"/>
      <c r="AD2047" s="284"/>
      <c r="AE2047" s="299"/>
      <c r="AF2047" s="299"/>
      <c r="AG2047" s="284"/>
    </row>
    <row r="2048" spans="2:33">
      <c r="B2048" s="86"/>
      <c r="C2048" s="84"/>
      <c r="D2048" s="86"/>
      <c r="E2048" s="84"/>
      <c r="F2048" s="284"/>
      <c r="G2048" s="49"/>
      <c r="H2048" s="284"/>
      <c r="I2048" s="74"/>
      <c r="J2048" s="371"/>
      <c r="K2048" s="77"/>
      <c r="L2048" s="160"/>
      <c r="M2048" s="388"/>
      <c r="N2048" s="375"/>
      <c r="O2048" s="370"/>
      <c r="T2048" s="340"/>
      <c r="W2048" s="113"/>
      <c r="X2048" s="241"/>
      <c r="Y2048" s="284"/>
      <c r="Z2048" s="207"/>
      <c r="AA2048" s="284"/>
      <c r="AB2048" s="284"/>
      <c r="AC2048" s="137"/>
      <c r="AD2048" s="284"/>
      <c r="AE2048" s="299"/>
      <c r="AF2048" s="299"/>
      <c r="AG2048" s="284"/>
    </row>
    <row r="2049" spans="2:33">
      <c r="B2049" s="86"/>
      <c r="C2049" s="84"/>
      <c r="D2049" s="86"/>
      <c r="E2049" s="84"/>
      <c r="F2049" s="284"/>
      <c r="G2049" s="49"/>
      <c r="H2049" s="284"/>
      <c r="I2049" s="74"/>
      <c r="J2049" s="371"/>
      <c r="K2049" s="77"/>
      <c r="L2049" s="160"/>
      <c r="M2049" s="388"/>
      <c r="N2049" s="375"/>
      <c r="O2049" s="370"/>
      <c r="T2049" s="340"/>
      <c r="W2049" s="113"/>
      <c r="X2049" s="241"/>
      <c r="Y2049" s="284"/>
      <c r="Z2049" s="207"/>
      <c r="AA2049" s="284"/>
      <c r="AB2049" s="284"/>
      <c r="AC2049" s="137"/>
      <c r="AD2049" s="284"/>
      <c r="AE2049" s="299"/>
      <c r="AF2049" s="299"/>
      <c r="AG2049" s="284"/>
    </row>
    <row r="2050" spans="2:33">
      <c r="B2050" s="86"/>
      <c r="C2050" s="84"/>
      <c r="D2050" s="86"/>
      <c r="E2050" s="84"/>
      <c r="F2050" s="284"/>
      <c r="G2050" s="49"/>
      <c r="H2050" s="284"/>
      <c r="I2050" s="74"/>
      <c r="J2050" s="371"/>
      <c r="K2050" s="77"/>
      <c r="L2050" s="160"/>
      <c r="M2050" s="388"/>
      <c r="N2050" s="375"/>
      <c r="O2050" s="370"/>
      <c r="T2050" s="340"/>
      <c r="W2050" s="113"/>
      <c r="X2050" s="241"/>
      <c r="Y2050" s="284"/>
      <c r="Z2050" s="207"/>
      <c r="AA2050" s="284"/>
      <c r="AB2050" s="284"/>
      <c r="AC2050" s="137"/>
      <c r="AD2050" s="284"/>
      <c r="AE2050" s="299"/>
      <c r="AF2050" s="299"/>
      <c r="AG2050" s="284"/>
    </row>
    <row r="2051" spans="2:33">
      <c r="B2051" s="86"/>
      <c r="C2051" s="84"/>
      <c r="D2051" s="86"/>
      <c r="E2051" s="84"/>
      <c r="F2051" s="284"/>
      <c r="G2051" s="49"/>
      <c r="H2051" s="284"/>
      <c r="I2051" s="74"/>
      <c r="J2051" s="371"/>
      <c r="K2051" s="77"/>
      <c r="L2051" s="160"/>
      <c r="M2051" s="388"/>
      <c r="N2051" s="375"/>
      <c r="O2051" s="370"/>
      <c r="T2051" s="340"/>
      <c r="W2051" s="113"/>
      <c r="X2051" s="241"/>
      <c r="Y2051" s="284"/>
      <c r="Z2051" s="207"/>
      <c r="AA2051" s="284"/>
      <c r="AB2051" s="284"/>
      <c r="AC2051" s="137"/>
      <c r="AD2051" s="284"/>
      <c r="AE2051" s="299"/>
      <c r="AF2051" s="299"/>
      <c r="AG2051" s="284"/>
    </row>
    <row r="2052" spans="2:33">
      <c r="B2052" s="86"/>
      <c r="C2052" s="84"/>
      <c r="D2052" s="86"/>
      <c r="E2052" s="84"/>
      <c r="F2052" s="284"/>
      <c r="G2052" s="49"/>
      <c r="H2052" s="284"/>
      <c r="I2052" s="74"/>
      <c r="J2052" s="371"/>
      <c r="K2052" s="77"/>
      <c r="L2052" s="160"/>
      <c r="M2052" s="388"/>
      <c r="N2052" s="375"/>
      <c r="O2052" s="370"/>
      <c r="T2052" s="340"/>
      <c r="W2052" s="113"/>
      <c r="X2052" s="241"/>
      <c r="Y2052" s="284"/>
      <c r="Z2052" s="207"/>
      <c r="AA2052" s="284"/>
      <c r="AB2052" s="284"/>
      <c r="AC2052" s="137"/>
      <c r="AD2052" s="284"/>
      <c r="AE2052" s="299"/>
      <c r="AF2052" s="299"/>
      <c r="AG2052" s="284"/>
    </row>
    <row r="2053" spans="2:33">
      <c r="B2053" s="86"/>
      <c r="C2053" s="84"/>
      <c r="D2053" s="86"/>
      <c r="E2053" s="84"/>
      <c r="F2053" s="284"/>
      <c r="G2053" s="49"/>
      <c r="H2053" s="284"/>
      <c r="I2053" s="74"/>
      <c r="J2053" s="371"/>
      <c r="K2053" s="77"/>
      <c r="L2053" s="160"/>
      <c r="M2053" s="388"/>
      <c r="N2053" s="375"/>
      <c r="O2053" s="370"/>
      <c r="T2053" s="340"/>
      <c r="W2053" s="113"/>
      <c r="X2053" s="241"/>
      <c r="Y2053" s="284"/>
      <c r="Z2053" s="207"/>
      <c r="AA2053" s="284"/>
      <c r="AB2053" s="284"/>
      <c r="AC2053" s="137"/>
      <c r="AD2053" s="284"/>
      <c r="AE2053" s="299"/>
      <c r="AF2053" s="299"/>
      <c r="AG2053" s="284"/>
    </row>
    <row r="2054" spans="2:33">
      <c r="B2054" s="86"/>
      <c r="C2054" s="84"/>
      <c r="D2054" s="86"/>
      <c r="E2054" s="84"/>
      <c r="F2054" s="284"/>
      <c r="G2054" s="49"/>
      <c r="H2054" s="284"/>
      <c r="I2054" s="74"/>
      <c r="J2054" s="371"/>
      <c r="K2054" s="77"/>
      <c r="L2054" s="160"/>
      <c r="M2054" s="388"/>
      <c r="N2054" s="375"/>
      <c r="O2054" s="370"/>
      <c r="T2054" s="340"/>
      <c r="W2054" s="113"/>
      <c r="X2054" s="241"/>
      <c r="Y2054" s="284"/>
      <c r="Z2054" s="207"/>
      <c r="AA2054" s="284"/>
      <c r="AB2054" s="284"/>
      <c r="AC2054" s="137"/>
      <c r="AD2054" s="284"/>
      <c r="AE2054" s="299"/>
      <c r="AF2054" s="299"/>
      <c r="AG2054" s="284"/>
    </row>
    <row r="2055" spans="2:33">
      <c r="B2055" s="86"/>
      <c r="C2055" s="84"/>
      <c r="D2055" s="86"/>
      <c r="E2055" s="84"/>
      <c r="F2055" s="284"/>
      <c r="G2055" s="49"/>
      <c r="H2055" s="284"/>
      <c r="I2055" s="74"/>
      <c r="J2055" s="371"/>
      <c r="K2055" s="77"/>
      <c r="L2055" s="160"/>
      <c r="M2055" s="388"/>
      <c r="N2055" s="375"/>
      <c r="O2055" s="370"/>
      <c r="T2055" s="340"/>
      <c r="W2055" s="113"/>
      <c r="X2055" s="241"/>
      <c r="Y2055" s="284"/>
      <c r="Z2055" s="207"/>
      <c r="AA2055" s="284"/>
      <c r="AB2055" s="284"/>
      <c r="AC2055" s="137"/>
      <c r="AD2055" s="284"/>
      <c r="AE2055" s="299"/>
      <c r="AF2055" s="299"/>
      <c r="AG2055" s="284"/>
    </row>
    <row r="2056" spans="2:33">
      <c r="B2056" s="86"/>
      <c r="C2056" s="84"/>
      <c r="D2056" s="86"/>
      <c r="E2056" s="84"/>
      <c r="F2056" s="284"/>
      <c r="G2056" s="49"/>
      <c r="H2056" s="284"/>
      <c r="I2056" s="74"/>
      <c r="J2056" s="371"/>
      <c r="K2056" s="77"/>
      <c r="L2056" s="160"/>
      <c r="M2056" s="388"/>
      <c r="N2056" s="375"/>
      <c r="O2056" s="370"/>
      <c r="T2056" s="340"/>
      <c r="W2056" s="113"/>
      <c r="X2056" s="241"/>
      <c r="Y2056" s="284"/>
      <c r="Z2056" s="207"/>
      <c r="AA2056" s="284"/>
      <c r="AB2056" s="284"/>
      <c r="AC2056" s="137"/>
      <c r="AD2056" s="284"/>
      <c r="AE2056" s="299"/>
      <c r="AF2056" s="299"/>
      <c r="AG2056" s="284"/>
    </row>
    <row r="2057" spans="2:33">
      <c r="B2057" s="86"/>
      <c r="C2057" s="84"/>
      <c r="D2057" s="86"/>
      <c r="E2057" s="84"/>
      <c r="F2057" s="284"/>
      <c r="G2057" s="49"/>
      <c r="H2057" s="284"/>
      <c r="I2057" s="74"/>
      <c r="J2057" s="371"/>
      <c r="K2057" s="77"/>
      <c r="L2057" s="160"/>
      <c r="M2057" s="388"/>
      <c r="N2057" s="375"/>
      <c r="O2057" s="370"/>
      <c r="T2057" s="340"/>
      <c r="W2057" s="113"/>
      <c r="X2057" s="241"/>
      <c r="Y2057" s="284"/>
      <c r="Z2057" s="207"/>
      <c r="AA2057" s="284"/>
      <c r="AB2057" s="284"/>
      <c r="AC2057" s="137"/>
      <c r="AD2057" s="284"/>
      <c r="AE2057" s="299"/>
      <c r="AF2057" s="299"/>
      <c r="AG2057" s="284"/>
    </row>
    <row r="2058" spans="2:33">
      <c r="B2058" s="86"/>
      <c r="C2058" s="84"/>
      <c r="D2058" s="86"/>
      <c r="E2058" s="84"/>
      <c r="F2058" s="284"/>
      <c r="G2058" s="49"/>
      <c r="H2058" s="284"/>
      <c r="I2058" s="74"/>
      <c r="J2058" s="371"/>
      <c r="K2058" s="77"/>
      <c r="L2058" s="160"/>
      <c r="M2058" s="388"/>
      <c r="N2058" s="375"/>
      <c r="O2058" s="370"/>
      <c r="T2058" s="340"/>
      <c r="W2058" s="113"/>
      <c r="X2058" s="241"/>
      <c r="Y2058" s="284"/>
      <c r="Z2058" s="207"/>
      <c r="AA2058" s="284"/>
      <c r="AB2058" s="284"/>
      <c r="AC2058" s="137"/>
      <c r="AD2058" s="284"/>
      <c r="AE2058" s="299"/>
      <c r="AF2058" s="299"/>
      <c r="AG2058" s="284"/>
    </row>
    <row r="2059" spans="2:33">
      <c r="B2059" s="86"/>
      <c r="C2059" s="84"/>
      <c r="D2059" s="86"/>
      <c r="E2059" s="84"/>
      <c r="F2059" s="284"/>
      <c r="G2059" s="49"/>
      <c r="H2059" s="284"/>
      <c r="I2059" s="74"/>
      <c r="J2059" s="371"/>
      <c r="K2059" s="77"/>
      <c r="L2059" s="160"/>
      <c r="M2059" s="388"/>
      <c r="N2059" s="375"/>
      <c r="O2059" s="370"/>
      <c r="T2059" s="340"/>
      <c r="W2059" s="113"/>
      <c r="X2059" s="241"/>
      <c r="Y2059" s="284"/>
      <c r="Z2059" s="207"/>
      <c r="AA2059" s="284"/>
      <c r="AB2059" s="284"/>
      <c r="AC2059" s="137"/>
      <c r="AD2059" s="284"/>
      <c r="AE2059" s="299"/>
      <c r="AF2059" s="299"/>
      <c r="AG2059" s="284"/>
    </row>
    <row r="2060" spans="2:33">
      <c r="B2060" s="86"/>
      <c r="C2060" s="84"/>
      <c r="D2060" s="86"/>
      <c r="E2060" s="84"/>
      <c r="F2060" s="284"/>
      <c r="G2060" s="49"/>
      <c r="H2060" s="284"/>
      <c r="I2060" s="74"/>
      <c r="J2060" s="371"/>
      <c r="K2060" s="77"/>
      <c r="L2060" s="160"/>
      <c r="M2060" s="388"/>
      <c r="N2060" s="375"/>
      <c r="O2060" s="370"/>
      <c r="T2060" s="340"/>
      <c r="W2060" s="113"/>
      <c r="X2060" s="241"/>
      <c r="Y2060" s="284"/>
      <c r="Z2060" s="207"/>
      <c r="AA2060" s="284"/>
      <c r="AB2060" s="284"/>
      <c r="AC2060" s="137"/>
      <c r="AD2060" s="284"/>
      <c r="AE2060" s="299"/>
      <c r="AF2060" s="299"/>
      <c r="AG2060" s="284"/>
    </row>
    <row r="2061" spans="2:33">
      <c r="B2061" s="86"/>
      <c r="C2061" s="84"/>
      <c r="D2061" s="86"/>
      <c r="E2061" s="84"/>
      <c r="F2061" s="284"/>
      <c r="G2061" s="49"/>
      <c r="H2061" s="284"/>
      <c r="I2061" s="74"/>
      <c r="J2061" s="371"/>
      <c r="K2061" s="77"/>
      <c r="L2061" s="160"/>
      <c r="M2061" s="388"/>
      <c r="N2061" s="375"/>
      <c r="O2061" s="370"/>
      <c r="T2061" s="340"/>
      <c r="W2061" s="113"/>
      <c r="X2061" s="241"/>
      <c r="Y2061" s="284"/>
      <c r="Z2061" s="207"/>
      <c r="AA2061" s="284"/>
      <c r="AB2061" s="284"/>
      <c r="AC2061" s="137"/>
      <c r="AD2061" s="284"/>
      <c r="AE2061" s="299"/>
      <c r="AF2061" s="299"/>
      <c r="AG2061" s="284"/>
    </row>
    <row r="2062" spans="2:33">
      <c r="B2062" s="86"/>
      <c r="C2062" s="84"/>
      <c r="D2062" s="86"/>
      <c r="E2062" s="84"/>
      <c r="F2062" s="284"/>
      <c r="G2062" s="49"/>
      <c r="H2062" s="284"/>
      <c r="I2062" s="74"/>
      <c r="J2062" s="371"/>
      <c r="K2062" s="77"/>
      <c r="L2062" s="160"/>
      <c r="M2062" s="388"/>
      <c r="N2062" s="375"/>
      <c r="O2062" s="370"/>
      <c r="T2062" s="340"/>
      <c r="W2062" s="113"/>
      <c r="X2062" s="241"/>
      <c r="Y2062" s="284"/>
      <c r="Z2062" s="207"/>
      <c r="AA2062" s="284"/>
      <c r="AB2062" s="284"/>
      <c r="AC2062" s="137"/>
      <c r="AD2062" s="284"/>
      <c r="AE2062" s="299"/>
      <c r="AF2062" s="299"/>
      <c r="AG2062" s="284"/>
    </row>
    <row r="2063" spans="2:33">
      <c r="B2063" s="86"/>
      <c r="C2063" s="84"/>
      <c r="D2063" s="86"/>
      <c r="E2063" s="84"/>
      <c r="F2063" s="284"/>
      <c r="G2063" s="49"/>
      <c r="H2063" s="284"/>
      <c r="I2063" s="74"/>
      <c r="J2063" s="371"/>
      <c r="K2063" s="77"/>
      <c r="L2063" s="160"/>
      <c r="M2063" s="388"/>
      <c r="N2063" s="375"/>
      <c r="O2063" s="370"/>
      <c r="T2063" s="340"/>
      <c r="W2063" s="113"/>
      <c r="X2063" s="241"/>
      <c r="Y2063" s="284"/>
      <c r="Z2063" s="207"/>
      <c r="AA2063" s="284"/>
      <c r="AB2063" s="284"/>
      <c r="AC2063" s="137"/>
      <c r="AD2063" s="284"/>
      <c r="AE2063" s="299"/>
      <c r="AF2063" s="299"/>
      <c r="AG2063" s="284"/>
    </row>
    <row r="2064" spans="2:33">
      <c r="B2064" s="86"/>
      <c r="C2064" s="84"/>
      <c r="D2064" s="86"/>
      <c r="E2064" s="84"/>
      <c r="F2064" s="284"/>
      <c r="G2064" s="49"/>
      <c r="H2064" s="284"/>
      <c r="I2064" s="74"/>
      <c r="J2064" s="371"/>
      <c r="K2064" s="77"/>
      <c r="L2064" s="160"/>
      <c r="M2064" s="388"/>
      <c r="N2064" s="375"/>
      <c r="O2064" s="370"/>
      <c r="T2064" s="340"/>
      <c r="W2064" s="113"/>
      <c r="X2064" s="241"/>
      <c r="Y2064" s="284"/>
      <c r="Z2064" s="207"/>
      <c r="AA2064" s="284"/>
      <c r="AB2064" s="284"/>
      <c r="AC2064" s="137"/>
      <c r="AD2064" s="284"/>
      <c r="AE2064" s="299"/>
      <c r="AF2064" s="299"/>
      <c r="AG2064" s="284"/>
    </row>
    <row r="2065" spans="2:33">
      <c r="B2065" s="86"/>
      <c r="C2065" s="84"/>
      <c r="D2065" s="86"/>
      <c r="E2065" s="84"/>
      <c r="F2065" s="284"/>
      <c r="G2065" s="49"/>
      <c r="H2065" s="284"/>
      <c r="I2065" s="74"/>
      <c r="J2065" s="371"/>
      <c r="K2065" s="77"/>
      <c r="L2065" s="160"/>
      <c r="M2065" s="388"/>
      <c r="N2065" s="375"/>
      <c r="O2065" s="370"/>
      <c r="T2065" s="340"/>
      <c r="W2065" s="113"/>
      <c r="X2065" s="241"/>
      <c r="Y2065" s="284"/>
      <c r="Z2065" s="207"/>
      <c r="AA2065" s="284"/>
      <c r="AB2065" s="284"/>
      <c r="AC2065" s="137"/>
      <c r="AD2065" s="284"/>
      <c r="AE2065" s="299"/>
      <c r="AF2065" s="299"/>
      <c r="AG2065" s="284"/>
    </row>
    <row r="2066" spans="2:33">
      <c r="B2066" s="86"/>
      <c r="C2066" s="84"/>
      <c r="D2066" s="86"/>
      <c r="E2066" s="84"/>
      <c r="F2066" s="284"/>
      <c r="G2066" s="49"/>
      <c r="H2066" s="284"/>
      <c r="I2066" s="74"/>
      <c r="J2066" s="371"/>
      <c r="K2066" s="77"/>
      <c r="L2066" s="160"/>
      <c r="M2066" s="388"/>
      <c r="N2066" s="375"/>
      <c r="O2066" s="370"/>
      <c r="T2066" s="340"/>
      <c r="W2066" s="113"/>
      <c r="X2066" s="241"/>
      <c r="Y2066" s="284"/>
      <c r="Z2066" s="207"/>
      <c r="AA2066" s="284"/>
      <c r="AB2066" s="284"/>
      <c r="AC2066" s="137"/>
      <c r="AD2066" s="284"/>
      <c r="AE2066" s="299"/>
      <c r="AF2066" s="299"/>
      <c r="AG2066" s="284"/>
    </row>
    <row r="2067" spans="2:33">
      <c r="B2067" s="86"/>
      <c r="C2067" s="84"/>
      <c r="D2067" s="86"/>
      <c r="E2067" s="84"/>
      <c r="F2067" s="284"/>
      <c r="G2067" s="49"/>
      <c r="H2067" s="284"/>
      <c r="I2067" s="74"/>
      <c r="J2067" s="371"/>
      <c r="K2067" s="77"/>
      <c r="L2067" s="160"/>
      <c r="M2067" s="388"/>
      <c r="N2067" s="375"/>
      <c r="O2067" s="370"/>
      <c r="T2067" s="340"/>
      <c r="W2067" s="113"/>
      <c r="X2067" s="241"/>
      <c r="Y2067" s="284"/>
      <c r="Z2067" s="207"/>
      <c r="AA2067" s="284"/>
      <c r="AB2067" s="284"/>
      <c r="AC2067" s="137"/>
      <c r="AD2067" s="284"/>
      <c r="AE2067" s="299"/>
      <c r="AF2067" s="299"/>
      <c r="AG2067" s="284"/>
    </row>
    <row r="2068" spans="2:33">
      <c r="B2068" s="86"/>
      <c r="C2068" s="84"/>
      <c r="D2068" s="86"/>
      <c r="E2068" s="84"/>
      <c r="F2068" s="284"/>
      <c r="G2068" s="49"/>
      <c r="H2068" s="284"/>
      <c r="I2068" s="74"/>
      <c r="J2068" s="371"/>
      <c r="K2068" s="77"/>
      <c r="L2068" s="160"/>
      <c r="M2068" s="388"/>
      <c r="N2068" s="375"/>
      <c r="O2068" s="370"/>
      <c r="T2068" s="340"/>
      <c r="W2068" s="113"/>
      <c r="X2068" s="241"/>
      <c r="Y2068" s="284"/>
      <c r="Z2068" s="207"/>
      <c r="AA2068" s="284"/>
      <c r="AB2068" s="284"/>
      <c r="AC2068" s="137"/>
      <c r="AD2068" s="284"/>
      <c r="AE2068" s="299"/>
      <c r="AF2068" s="299"/>
      <c r="AG2068" s="284"/>
    </row>
    <row r="2069" spans="2:33">
      <c r="B2069" s="86"/>
      <c r="C2069" s="84"/>
      <c r="D2069" s="86"/>
      <c r="E2069" s="84"/>
      <c r="F2069" s="284"/>
      <c r="G2069" s="49"/>
      <c r="H2069" s="284"/>
      <c r="I2069" s="74"/>
      <c r="J2069" s="371"/>
      <c r="K2069" s="77"/>
      <c r="L2069" s="160"/>
      <c r="M2069" s="388"/>
      <c r="N2069" s="375"/>
      <c r="O2069" s="370"/>
      <c r="T2069" s="340"/>
      <c r="W2069" s="113"/>
      <c r="X2069" s="241"/>
      <c r="Y2069" s="284"/>
      <c r="Z2069" s="207"/>
      <c r="AA2069" s="284"/>
      <c r="AB2069" s="284"/>
      <c r="AC2069" s="137"/>
      <c r="AD2069" s="284"/>
      <c r="AE2069" s="299"/>
      <c r="AF2069" s="299"/>
      <c r="AG2069" s="284"/>
    </row>
    <row r="2070" spans="2:33">
      <c r="B2070" s="86"/>
      <c r="C2070" s="84"/>
      <c r="D2070" s="86"/>
      <c r="E2070" s="84"/>
      <c r="F2070" s="284"/>
      <c r="G2070" s="49"/>
      <c r="H2070" s="284"/>
      <c r="I2070" s="74"/>
      <c r="J2070" s="371"/>
      <c r="K2070" s="77"/>
      <c r="L2070" s="160"/>
      <c r="M2070" s="388"/>
      <c r="N2070" s="375"/>
      <c r="O2070" s="370"/>
      <c r="T2070" s="340"/>
      <c r="W2070" s="113"/>
      <c r="X2070" s="241"/>
      <c r="Y2070" s="284"/>
      <c r="Z2070" s="207"/>
      <c r="AA2070" s="284"/>
      <c r="AB2070" s="284"/>
      <c r="AC2070" s="137"/>
      <c r="AD2070" s="284"/>
      <c r="AE2070" s="299"/>
      <c r="AF2070" s="299"/>
      <c r="AG2070" s="284"/>
    </row>
    <row r="2071" spans="2:33">
      <c r="B2071" s="86"/>
      <c r="C2071" s="84"/>
      <c r="D2071" s="86"/>
      <c r="E2071" s="84"/>
      <c r="F2071" s="284"/>
      <c r="G2071" s="49"/>
      <c r="H2071" s="284"/>
      <c r="I2071" s="74"/>
      <c r="J2071" s="371"/>
      <c r="K2071" s="77"/>
      <c r="L2071" s="160"/>
      <c r="M2071" s="388"/>
      <c r="N2071" s="375"/>
      <c r="O2071" s="370"/>
      <c r="T2071" s="340"/>
      <c r="W2071" s="113"/>
      <c r="X2071" s="241"/>
      <c r="Y2071" s="284"/>
      <c r="Z2071" s="207"/>
      <c r="AA2071" s="284"/>
      <c r="AB2071" s="284"/>
      <c r="AC2071" s="137"/>
      <c r="AD2071" s="284"/>
      <c r="AE2071" s="299"/>
      <c r="AF2071" s="299"/>
      <c r="AG2071" s="284"/>
    </row>
    <row r="2072" spans="2:33">
      <c r="B2072" s="86"/>
      <c r="C2072" s="84"/>
      <c r="D2072" s="86"/>
      <c r="E2072" s="84"/>
      <c r="F2072" s="284"/>
      <c r="G2072" s="49"/>
      <c r="H2072" s="284"/>
      <c r="I2072" s="74"/>
      <c r="J2072" s="371"/>
      <c r="K2072" s="77"/>
      <c r="L2072" s="160"/>
      <c r="M2072" s="388"/>
      <c r="N2072" s="375"/>
      <c r="O2072" s="370"/>
      <c r="T2072" s="340"/>
      <c r="W2072" s="113"/>
      <c r="X2072" s="241"/>
      <c r="Y2072" s="284"/>
      <c r="Z2072" s="207"/>
      <c r="AA2072" s="284"/>
      <c r="AB2072" s="284"/>
      <c r="AC2072" s="137"/>
      <c r="AD2072" s="284"/>
      <c r="AE2072" s="299"/>
      <c r="AF2072" s="299"/>
      <c r="AG2072" s="284"/>
    </row>
    <row r="2073" spans="2:33">
      <c r="B2073" s="86"/>
      <c r="C2073" s="84"/>
      <c r="D2073" s="86"/>
      <c r="E2073" s="84"/>
      <c r="F2073" s="284"/>
      <c r="G2073" s="49"/>
      <c r="H2073" s="284"/>
      <c r="I2073" s="74"/>
      <c r="J2073" s="371"/>
      <c r="K2073" s="77"/>
      <c r="L2073" s="160"/>
      <c r="M2073" s="388"/>
      <c r="N2073" s="375"/>
      <c r="O2073" s="370"/>
      <c r="T2073" s="340"/>
      <c r="W2073" s="113"/>
      <c r="X2073" s="241"/>
      <c r="Y2073" s="284"/>
      <c r="Z2073" s="207"/>
      <c r="AA2073" s="284"/>
      <c r="AB2073" s="284"/>
      <c r="AC2073" s="137"/>
      <c r="AD2073" s="284"/>
      <c r="AE2073" s="299"/>
      <c r="AF2073" s="299"/>
      <c r="AG2073" s="284"/>
    </row>
    <row r="2074" spans="2:33">
      <c r="B2074" s="86"/>
      <c r="C2074" s="84"/>
      <c r="D2074" s="86"/>
      <c r="E2074" s="84"/>
      <c r="F2074" s="284"/>
      <c r="G2074" s="49"/>
      <c r="H2074" s="284"/>
      <c r="I2074" s="74"/>
      <c r="J2074" s="371"/>
      <c r="K2074" s="77"/>
      <c r="L2074" s="160"/>
      <c r="M2074" s="388"/>
      <c r="N2074" s="375"/>
      <c r="O2074" s="370"/>
      <c r="T2074" s="340"/>
      <c r="W2074" s="113"/>
      <c r="X2074" s="241"/>
      <c r="Y2074" s="284"/>
      <c r="Z2074" s="207"/>
      <c r="AA2074" s="284"/>
      <c r="AB2074" s="284"/>
      <c r="AC2074" s="137"/>
      <c r="AD2074" s="284"/>
      <c r="AE2074" s="299"/>
      <c r="AF2074" s="299"/>
      <c r="AG2074" s="284"/>
    </row>
    <row r="2075" spans="2:33">
      <c r="B2075" s="86"/>
      <c r="C2075" s="84"/>
      <c r="D2075" s="86"/>
      <c r="E2075" s="84"/>
      <c r="F2075" s="284"/>
      <c r="G2075" s="49"/>
      <c r="H2075" s="284"/>
      <c r="I2075" s="74"/>
      <c r="J2075" s="371"/>
      <c r="K2075" s="77"/>
      <c r="L2075" s="160"/>
      <c r="M2075" s="388"/>
      <c r="N2075" s="375"/>
      <c r="O2075" s="370"/>
      <c r="T2075" s="340"/>
      <c r="W2075" s="113"/>
      <c r="X2075" s="241"/>
      <c r="Y2075" s="284"/>
      <c r="Z2075" s="207"/>
      <c r="AA2075" s="284"/>
      <c r="AB2075" s="284"/>
      <c r="AC2075" s="137"/>
      <c r="AD2075" s="284"/>
      <c r="AE2075" s="299"/>
      <c r="AF2075" s="299"/>
      <c r="AG2075" s="284"/>
    </row>
    <row r="2076" spans="2:33">
      <c r="B2076" s="86"/>
      <c r="C2076" s="84"/>
      <c r="D2076" s="86"/>
      <c r="E2076" s="84"/>
      <c r="F2076" s="284"/>
      <c r="G2076" s="49"/>
      <c r="H2076" s="284"/>
      <c r="I2076" s="74"/>
      <c r="J2076" s="371"/>
      <c r="K2076" s="77"/>
      <c r="L2076" s="160"/>
      <c r="M2076" s="388"/>
      <c r="N2076" s="375"/>
      <c r="O2076" s="370"/>
      <c r="T2076" s="340"/>
      <c r="W2076" s="113"/>
      <c r="X2076" s="241"/>
      <c r="Y2076" s="284"/>
      <c r="Z2076" s="207"/>
      <c r="AA2076" s="284"/>
      <c r="AB2076" s="284"/>
      <c r="AC2076" s="137"/>
      <c r="AD2076" s="284"/>
      <c r="AE2076" s="299"/>
      <c r="AF2076" s="299"/>
      <c r="AG2076" s="284"/>
    </row>
    <row r="2077" spans="2:33">
      <c r="B2077" s="86"/>
      <c r="C2077" s="84"/>
      <c r="D2077" s="86"/>
      <c r="E2077" s="84"/>
      <c r="F2077" s="284"/>
      <c r="G2077" s="49"/>
      <c r="H2077" s="284"/>
      <c r="I2077" s="74"/>
      <c r="J2077" s="371"/>
      <c r="K2077" s="77"/>
      <c r="L2077" s="160"/>
      <c r="M2077" s="388"/>
      <c r="N2077" s="375"/>
      <c r="O2077" s="370"/>
      <c r="T2077" s="340"/>
      <c r="W2077" s="113"/>
      <c r="X2077" s="241"/>
      <c r="Y2077" s="284"/>
      <c r="Z2077" s="207"/>
      <c r="AA2077" s="284"/>
      <c r="AB2077" s="284"/>
      <c r="AC2077" s="137"/>
      <c r="AD2077" s="284"/>
      <c r="AE2077" s="299"/>
      <c r="AF2077" s="299"/>
      <c r="AG2077" s="284"/>
    </row>
    <row r="2078" spans="2:33">
      <c r="B2078" s="86"/>
      <c r="C2078" s="84"/>
      <c r="D2078" s="86"/>
      <c r="E2078" s="84"/>
      <c r="F2078" s="284"/>
      <c r="G2078" s="49"/>
      <c r="H2078" s="284"/>
      <c r="I2078" s="74"/>
      <c r="J2078" s="371"/>
      <c r="K2078" s="77"/>
      <c r="L2078" s="160"/>
      <c r="M2078" s="388"/>
      <c r="N2078" s="375"/>
      <c r="O2078" s="370"/>
      <c r="T2078" s="340"/>
      <c r="W2078" s="113"/>
      <c r="X2078" s="241"/>
      <c r="Y2078" s="284"/>
      <c r="Z2078" s="207"/>
      <c r="AA2078" s="284"/>
      <c r="AB2078" s="284"/>
      <c r="AC2078" s="137"/>
      <c r="AD2078" s="284"/>
      <c r="AE2078" s="299"/>
      <c r="AF2078" s="299"/>
      <c r="AG2078" s="284"/>
    </row>
    <row r="2079" spans="2:33">
      <c r="B2079" s="86"/>
      <c r="C2079" s="84"/>
      <c r="D2079" s="86"/>
      <c r="E2079" s="84"/>
      <c r="F2079" s="284"/>
      <c r="G2079" s="49"/>
      <c r="H2079" s="284"/>
      <c r="I2079" s="74"/>
      <c r="J2079" s="371"/>
      <c r="K2079" s="77"/>
      <c r="L2079" s="160"/>
      <c r="M2079" s="388"/>
      <c r="N2079" s="375"/>
      <c r="O2079" s="370"/>
      <c r="T2079" s="340"/>
      <c r="W2079" s="113"/>
      <c r="X2079" s="241"/>
      <c r="Y2079" s="284"/>
      <c r="Z2079" s="207"/>
      <c r="AA2079" s="284"/>
      <c r="AB2079" s="284"/>
      <c r="AC2079" s="137"/>
      <c r="AD2079" s="284"/>
      <c r="AE2079" s="299"/>
      <c r="AF2079" s="299"/>
      <c r="AG2079" s="284"/>
    </row>
    <row r="2080" spans="2:33">
      <c r="B2080" s="86"/>
      <c r="C2080" s="84"/>
      <c r="D2080" s="86"/>
      <c r="E2080" s="84"/>
      <c r="F2080" s="284"/>
      <c r="G2080" s="49"/>
      <c r="H2080" s="284"/>
      <c r="I2080" s="74"/>
      <c r="J2080" s="371"/>
      <c r="K2080" s="77"/>
      <c r="L2080" s="160"/>
      <c r="M2080" s="388"/>
      <c r="N2080" s="375"/>
      <c r="O2080" s="370"/>
      <c r="T2080" s="340"/>
      <c r="W2080" s="113"/>
      <c r="X2080" s="241"/>
      <c r="Y2080" s="284"/>
      <c r="Z2080" s="207"/>
      <c r="AA2080" s="284"/>
      <c r="AB2080" s="284"/>
      <c r="AC2080" s="137"/>
      <c r="AD2080" s="284"/>
      <c r="AE2080" s="299"/>
      <c r="AF2080" s="299"/>
      <c r="AG2080" s="284"/>
    </row>
    <row r="2081" spans="2:33">
      <c r="B2081" s="86"/>
      <c r="C2081" s="84"/>
      <c r="D2081" s="86"/>
      <c r="E2081" s="84"/>
      <c r="F2081" s="284"/>
      <c r="G2081" s="49"/>
      <c r="H2081" s="284"/>
      <c r="I2081" s="74"/>
      <c r="J2081" s="371"/>
      <c r="K2081" s="77"/>
      <c r="L2081" s="160"/>
      <c r="M2081" s="388"/>
      <c r="N2081" s="375"/>
      <c r="O2081" s="370"/>
      <c r="T2081" s="340"/>
      <c r="W2081" s="113"/>
      <c r="X2081" s="241"/>
      <c r="Y2081" s="284"/>
      <c r="Z2081" s="207"/>
      <c r="AA2081" s="284"/>
      <c r="AB2081" s="284"/>
      <c r="AC2081" s="137"/>
      <c r="AD2081" s="284"/>
      <c r="AE2081" s="299"/>
      <c r="AF2081" s="299"/>
      <c r="AG2081" s="284"/>
    </row>
    <row r="2082" spans="2:33">
      <c r="B2082" s="86"/>
      <c r="C2082" s="84"/>
      <c r="D2082" s="86"/>
      <c r="E2082" s="84"/>
      <c r="F2082" s="284"/>
      <c r="G2082" s="49"/>
      <c r="H2082" s="284"/>
      <c r="I2082" s="74"/>
      <c r="J2082" s="371"/>
      <c r="K2082" s="77"/>
      <c r="L2082" s="160"/>
      <c r="M2082" s="388"/>
      <c r="N2082" s="375"/>
      <c r="O2082" s="370"/>
      <c r="T2082" s="340"/>
      <c r="W2082" s="113"/>
      <c r="X2082" s="241"/>
      <c r="Y2082" s="284"/>
      <c r="Z2082" s="207"/>
      <c r="AA2082" s="284"/>
      <c r="AB2082" s="284"/>
      <c r="AC2082" s="137"/>
      <c r="AD2082" s="284"/>
      <c r="AE2082" s="299"/>
      <c r="AF2082" s="299"/>
      <c r="AG2082" s="284"/>
    </row>
    <row r="2083" spans="2:33">
      <c r="B2083" s="86"/>
      <c r="C2083" s="84"/>
      <c r="D2083" s="86"/>
      <c r="E2083" s="84"/>
      <c r="F2083" s="284"/>
      <c r="G2083" s="49"/>
      <c r="H2083" s="284"/>
      <c r="I2083" s="74"/>
      <c r="J2083" s="371"/>
      <c r="K2083" s="77"/>
      <c r="L2083" s="160"/>
      <c r="M2083" s="388"/>
      <c r="N2083" s="375"/>
      <c r="O2083" s="370"/>
      <c r="T2083" s="340"/>
      <c r="W2083" s="113"/>
      <c r="X2083" s="241"/>
      <c r="Y2083" s="284"/>
      <c r="Z2083" s="207"/>
      <c r="AA2083" s="284"/>
      <c r="AB2083" s="284"/>
      <c r="AC2083" s="137"/>
      <c r="AD2083" s="284"/>
      <c r="AE2083" s="299"/>
      <c r="AF2083" s="299"/>
      <c r="AG2083" s="284"/>
    </row>
    <row r="2084" spans="2:33">
      <c r="B2084" s="86"/>
      <c r="C2084" s="84"/>
      <c r="D2084" s="86"/>
      <c r="E2084" s="84"/>
      <c r="F2084" s="284"/>
      <c r="G2084" s="49"/>
      <c r="H2084" s="284"/>
      <c r="I2084" s="74"/>
      <c r="J2084" s="371"/>
      <c r="K2084" s="77"/>
      <c r="L2084" s="160"/>
      <c r="M2084" s="388"/>
      <c r="N2084" s="375"/>
      <c r="O2084" s="370"/>
      <c r="T2084" s="340"/>
      <c r="W2084" s="113"/>
      <c r="X2084" s="241"/>
      <c r="Y2084" s="284"/>
      <c r="Z2084" s="207"/>
      <c r="AA2084" s="284"/>
      <c r="AB2084" s="284"/>
      <c r="AC2084" s="137"/>
      <c r="AD2084" s="284"/>
      <c r="AE2084" s="299"/>
      <c r="AF2084" s="299"/>
      <c r="AG2084" s="284"/>
    </row>
    <row r="2085" spans="2:33">
      <c r="B2085" s="86"/>
      <c r="C2085" s="84"/>
      <c r="D2085" s="86"/>
      <c r="E2085" s="84"/>
      <c r="F2085" s="284"/>
      <c r="G2085" s="49"/>
      <c r="H2085" s="284"/>
      <c r="I2085" s="74"/>
      <c r="J2085" s="371"/>
      <c r="K2085" s="77"/>
      <c r="L2085" s="160"/>
      <c r="M2085" s="388"/>
      <c r="N2085" s="375"/>
      <c r="O2085" s="370"/>
      <c r="T2085" s="340"/>
      <c r="W2085" s="113"/>
      <c r="X2085" s="241"/>
      <c r="Y2085" s="284"/>
      <c r="Z2085" s="207"/>
      <c r="AA2085" s="284"/>
      <c r="AB2085" s="284"/>
      <c r="AC2085" s="137"/>
      <c r="AD2085" s="284"/>
      <c r="AE2085" s="299"/>
      <c r="AF2085" s="299"/>
      <c r="AG2085" s="284"/>
    </row>
    <row r="2086" spans="2:33">
      <c r="B2086" s="86"/>
      <c r="C2086" s="84"/>
      <c r="D2086" s="86"/>
      <c r="E2086" s="84"/>
      <c r="F2086" s="284"/>
      <c r="G2086" s="49"/>
      <c r="H2086" s="284"/>
      <c r="I2086" s="74"/>
      <c r="J2086" s="371"/>
      <c r="K2086" s="77"/>
      <c r="L2086" s="160"/>
      <c r="M2086" s="388"/>
      <c r="N2086" s="375"/>
      <c r="O2086" s="370"/>
      <c r="T2086" s="340"/>
      <c r="W2086" s="113"/>
      <c r="X2086" s="241"/>
      <c r="Y2086" s="284"/>
      <c r="Z2086" s="207"/>
      <c r="AA2086" s="284"/>
      <c r="AB2086" s="284"/>
      <c r="AC2086" s="137"/>
      <c r="AD2086" s="284"/>
      <c r="AE2086" s="299"/>
      <c r="AF2086" s="299"/>
      <c r="AG2086" s="284"/>
    </row>
    <row r="2087" spans="2:33">
      <c r="B2087" s="86"/>
      <c r="C2087" s="84"/>
      <c r="D2087" s="86"/>
      <c r="E2087" s="84"/>
      <c r="F2087" s="284"/>
      <c r="G2087" s="49"/>
      <c r="H2087" s="284"/>
      <c r="I2087" s="74"/>
      <c r="J2087" s="371"/>
      <c r="K2087" s="77"/>
      <c r="L2087" s="160"/>
      <c r="M2087" s="388"/>
      <c r="N2087" s="375"/>
      <c r="O2087" s="370"/>
      <c r="T2087" s="340"/>
      <c r="W2087" s="113"/>
      <c r="X2087" s="241"/>
      <c r="Y2087" s="284"/>
      <c r="Z2087" s="207"/>
      <c r="AA2087" s="284"/>
      <c r="AB2087" s="284"/>
      <c r="AC2087" s="137"/>
      <c r="AD2087" s="284"/>
      <c r="AE2087" s="299"/>
      <c r="AF2087" s="299"/>
      <c r="AG2087" s="284"/>
    </row>
    <row r="2088" spans="2:33">
      <c r="B2088" s="86"/>
      <c r="C2088" s="84"/>
      <c r="D2088" s="86"/>
      <c r="E2088" s="84"/>
      <c r="F2088" s="284"/>
      <c r="G2088" s="49"/>
      <c r="H2088" s="284"/>
      <c r="I2088" s="74"/>
      <c r="J2088" s="371"/>
      <c r="K2088" s="77"/>
      <c r="L2088" s="160"/>
      <c r="M2088" s="388"/>
      <c r="N2088" s="375"/>
      <c r="O2088" s="370"/>
      <c r="T2088" s="340"/>
      <c r="W2088" s="113"/>
      <c r="X2088" s="241"/>
      <c r="Y2088" s="284"/>
      <c r="Z2088" s="207"/>
      <c r="AA2088" s="284"/>
      <c r="AB2088" s="284"/>
      <c r="AC2088" s="137"/>
      <c r="AD2088" s="284"/>
      <c r="AE2088" s="299"/>
      <c r="AF2088" s="299"/>
      <c r="AG2088" s="284"/>
    </row>
    <row r="2089" spans="2:33">
      <c r="B2089" s="86"/>
      <c r="C2089" s="84"/>
      <c r="D2089" s="86"/>
      <c r="E2089" s="84"/>
      <c r="F2089" s="284"/>
      <c r="G2089" s="49"/>
      <c r="H2089" s="284"/>
      <c r="I2089" s="74"/>
      <c r="J2089" s="371"/>
      <c r="K2089" s="77"/>
      <c r="L2089" s="160"/>
      <c r="M2089" s="388"/>
      <c r="N2089" s="375"/>
      <c r="O2089" s="370"/>
      <c r="T2089" s="340"/>
      <c r="W2089" s="113"/>
      <c r="X2089" s="241"/>
      <c r="Y2089" s="284"/>
      <c r="Z2089" s="207"/>
      <c r="AA2089" s="284"/>
      <c r="AB2089" s="284"/>
      <c r="AC2089" s="137"/>
      <c r="AD2089" s="284"/>
      <c r="AE2089" s="299"/>
      <c r="AF2089" s="299"/>
      <c r="AG2089" s="284"/>
    </row>
    <row r="2090" spans="2:33">
      <c r="B2090" s="86"/>
      <c r="C2090" s="84"/>
      <c r="D2090" s="86"/>
      <c r="E2090" s="84"/>
      <c r="F2090" s="284"/>
      <c r="G2090" s="49"/>
      <c r="H2090" s="284"/>
      <c r="I2090" s="74"/>
      <c r="J2090" s="371"/>
      <c r="K2090" s="77"/>
      <c r="L2090" s="160"/>
      <c r="M2090" s="388"/>
      <c r="N2090" s="375"/>
      <c r="O2090" s="370"/>
      <c r="T2090" s="340"/>
      <c r="W2090" s="113"/>
      <c r="X2090" s="241"/>
      <c r="Y2090" s="284"/>
      <c r="Z2090" s="207"/>
      <c r="AA2090" s="284"/>
      <c r="AB2090" s="284"/>
      <c r="AC2090" s="137"/>
      <c r="AD2090" s="284"/>
      <c r="AE2090" s="299"/>
      <c r="AF2090" s="299"/>
      <c r="AG2090" s="284"/>
    </row>
    <row r="2091" spans="2:33">
      <c r="B2091" s="86"/>
      <c r="C2091" s="84"/>
      <c r="D2091" s="86"/>
      <c r="E2091" s="84"/>
      <c r="F2091" s="284"/>
      <c r="G2091" s="49"/>
      <c r="H2091" s="284"/>
      <c r="I2091" s="74"/>
      <c r="J2091" s="371"/>
      <c r="K2091" s="77"/>
      <c r="L2091" s="160"/>
      <c r="M2091" s="388"/>
      <c r="N2091" s="375"/>
      <c r="O2091" s="370"/>
      <c r="T2091" s="340"/>
      <c r="W2091" s="113"/>
      <c r="X2091" s="241"/>
      <c r="Y2091" s="284"/>
      <c r="Z2091" s="207"/>
      <c r="AA2091" s="284"/>
      <c r="AB2091" s="284"/>
      <c r="AC2091" s="137"/>
      <c r="AD2091" s="284"/>
      <c r="AE2091" s="299"/>
      <c r="AF2091" s="299"/>
      <c r="AG2091" s="284"/>
    </row>
    <row r="2092" spans="2:33">
      <c r="B2092" s="86"/>
      <c r="C2092" s="84"/>
      <c r="D2092" s="86"/>
      <c r="E2092" s="84"/>
      <c r="F2092" s="284"/>
      <c r="G2092" s="49"/>
      <c r="H2092" s="284"/>
      <c r="I2092" s="74"/>
      <c r="J2092" s="371"/>
      <c r="K2092" s="77"/>
      <c r="L2092" s="160"/>
      <c r="M2092" s="388"/>
      <c r="N2092" s="375"/>
      <c r="O2092" s="370"/>
      <c r="T2092" s="340"/>
      <c r="W2092" s="113"/>
      <c r="X2092" s="241"/>
      <c r="Y2092" s="284"/>
      <c r="Z2092" s="207"/>
      <c r="AA2092" s="284"/>
      <c r="AB2092" s="284"/>
      <c r="AC2092" s="137"/>
      <c r="AD2092" s="284"/>
      <c r="AE2092" s="299"/>
      <c r="AF2092" s="299"/>
      <c r="AG2092" s="284"/>
    </row>
    <row r="2093" spans="2:33">
      <c r="B2093" s="86"/>
      <c r="C2093" s="84"/>
      <c r="D2093" s="86"/>
      <c r="E2093" s="84"/>
      <c r="F2093" s="284"/>
      <c r="G2093" s="49"/>
      <c r="H2093" s="284"/>
      <c r="I2093" s="74"/>
      <c r="J2093" s="371"/>
      <c r="K2093" s="77"/>
      <c r="L2093" s="160"/>
      <c r="M2093" s="388"/>
      <c r="N2093" s="375"/>
      <c r="O2093" s="370"/>
      <c r="T2093" s="340"/>
      <c r="W2093" s="113"/>
      <c r="X2093" s="241"/>
      <c r="Y2093" s="284"/>
      <c r="Z2093" s="207"/>
      <c r="AA2093" s="284"/>
      <c r="AB2093" s="284"/>
      <c r="AC2093" s="137"/>
      <c r="AD2093" s="284"/>
      <c r="AE2093" s="299"/>
      <c r="AF2093" s="299"/>
      <c r="AG2093" s="284"/>
    </row>
    <row r="2094" spans="2:33">
      <c r="B2094" s="86"/>
      <c r="C2094" s="84"/>
      <c r="D2094" s="86"/>
      <c r="E2094" s="84"/>
      <c r="F2094" s="284"/>
      <c r="G2094" s="49"/>
      <c r="H2094" s="284"/>
      <c r="I2094" s="74"/>
      <c r="J2094" s="371"/>
      <c r="K2094" s="77"/>
      <c r="L2094" s="160"/>
      <c r="M2094" s="388"/>
      <c r="N2094" s="375"/>
      <c r="O2094" s="370"/>
      <c r="T2094" s="340"/>
      <c r="W2094" s="113"/>
      <c r="X2094" s="241"/>
      <c r="Y2094" s="284"/>
      <c r="Z2094" s="207"/>
      <c r="AA2094" s="284"/>
      <c r="AB2094" s="284"/>
      <c r="AC2094" s="137"/>
      <c r="AD2094" s="284"/>
      <c r="AE2094" s="299"/>
      <c r="AF2094" s="299"/>
      <c r="AG2094" s="284"/>
    </row>
    <row r="2095" spans="2:33">
      <c r="B2095" s="86"/>
      <c r="C2095" s="84"/>
      <c r="D2095" s="86"/>
      <c r="E2095" s="84"/>
      <c r="F2095" s="284"/>
      <c r="G2095" s="49"/>
      <c r="H2095" s="284"/>
      <c r="I2095" s="74"/>
      <c r="J2095" s="371"/>
      <c r="K2095" s="77"/>
      <c r="L2095" s="160"/>
      <c r="M2095" s="388"/>
      <c r="N2095" s="375"/>
      <c r="O2095" s="370"/>
      <c r="T2095" s="340"/>
      <c r="W2095" s="113"/>
      <c r="X2095" s="241"/>
      <c r="Y2095" s="284"/>
      <c r="Z2095" s="207"/>
      <c r="AA2095" s="284"/>
      <c r="AB2095" s="284"/>
      <c r="AC2095" s="137"/>
      <c r="AD2095" s="284"/>
      <c r="AE2095" s="299"/>
      <c r="AF2095" s="299"/>
      <c r="AG2095" s="284"/>
    </row>
    <row r="2096" spans="2:33">
      <c r="B2096" s="86"/>
      <c r="C2096" s="84"/>
      <c r="D2096" s="86"/>
      <c r="E2096" s="84"/>
      <c r="F2096" s="284"/>
      <c r="G2096" s="49"/>
      <c r="H2096" s="284"/>
      <c r="I2096" s="74"/>
      <c r="J2096" s="371"/>
      <c r="K2096" s="77"/>
      <c r="L2096" s="160"/>
      <c r="M2096" s="388"/>
      <c r="N2096" s="375"/>
      <c r="O2096" s="370"/>
      <c r="T2096" s="340"/>
      <c r="W2096" s="113"/>
      <c r="X2096" s="241"/>
      <c r="Y2096" s="284"/>
      <c r="Z2096" s="207"/>
      <c r="AA2096" s="284"/>
      <c r="AB2096" s="284"/>
      <c r="AC2096" s="137"/>
      <c r="AD2096" s="284"/>
      <c r="AE2096" s="299"/>
      <c r="AF2096" s="299"/>
      <c r="AG2096" s="284"/>
    </row>
    <row r="2097" spans="2:33">
      <c r="B2097" s="86"/>
      <c r="C2097" s="84"/>
      <c r="D2097" s="86"/>
      <c r="E2097" s="84"/>
      <c r="F2097" s="284"/>
      <c r="G2097" s="49"/>
      <c r="H2097" s="284"/>
      <c r="I2097" s="74"/>
      <c r="J2097" s="371"/>
      <c r="K2097" s="77"/>
      <c r="L2097" s="160"/>
      <c r="M2097" s="388"/>
      <c r="N2097" s="375"/>
      <c r="O2097" s="370"/>
      <c r="T2097" s="340"/>
      <c r="W2097" s="113"/>
      <c r="X2097" s="241"/>
      <c r="Y2097" s="284"/>
      <c r="Z2097" s="207"/>
      <c r="AA2097" s="284"/>
      <c r="AB2097" s="284"/>
      <c r="AC2097" s="137"/>
      <c r="AD2097" s="284"/>
      <c r="AE2097" s="299"/>
      <c r="AF2097" s="299"/>
      <c r="AG2097" s="284"/>
    </row>
    <row r="2098" spans="2:33">
      <c r="B2098" s="86"/>
      <c r="C2098" s="84"/>
      <c r="D2098" s="86"/>
      <c r="E2098" s="84"/>
      <c r="F2098" s="284"/>
      <c r="G2098" s="49"/>
      <c r="H2098" s="284"/>
      <c r="I2098" s="74"/>
      <c r="J2098" s="371"/>
      <c r="K2098" s="77"/>
      <c r="L2098" s="160"/>
      <c r="M2098" s="388"/>
      <c r="N2098" s="375"/>
      <c r="O2098" s="370"/>
      <c r="T2098" s="340"/>
      <c r="W2098" s="113"/>
      <c r="X2098" s="241"/>
      <c r="Y2098" s="284"/>
      <c r="Z2098" s="207"/>
      <c r="AA2098" s="284"/>
      <c r="AB2098" s="284"/>
      <c r="AC2098" s="137"/>
      <c r="AD2098" s="284"/>
      <c r="AE2098" s="299"/>
      <c r="AF2098" s="299"/>
      <c r="AG2098" s="284"/>
    </row>
    <row r="2099" spans="2:33">
      <c r="B2099" s="86"/>
      <c r="C2099" s="84"/>
      <c r="D2099" s="86"/>
      <c r="E2099" s="84"/>
      <c r="F2099" s="284"/>
      <c r="G2099" s="49"/>
      <c r="H2099" s="284"/>
      <c r="I2099" s="74"/>
      <c r="J2099" s="371"/>
      <c r="K2099" s="77"/>
      <c r="L2099" s="160"/>
      <c r="M2099" s="388"/>
      <c r="N2099" s="375"/>
      <c r="O2099" s="370"/>
      <c r="T2099" s="340"/>
      <c r="W2099" s="113"/>
      <c r="X2099" s="241"/>
      <c r="Y2099" s="284"/>
      <c r="Z2099" s="207"/>
      <c r="AA2099" s="284"/>
      <c r="AB2099" s="284"/>
      <c r="AC2099" s="137"/>
      <c r="AD2099" s="284"/>
      <c r="AE2099" s="299"/>
      <c r="AF2099" s="299"/>
      <c r="AG2099" s="284"/>
    </row>
    <row r="2100" spans="2:33">
      <c r="B2100" s="86"/>
      <c r="C2100" s="84"/>
      <c r="D2100" s="86"/>
      <c r="E2100" s="84"/>
      <c r="F2100" s="284"/>
      <c r="G2100" s="49"/>
      <c r="H2100" s="284"/>
      <c r="I2100" s="74"/>
      <c r="J2100" s="371"/>
      <c r="K2100" s="77"/>
      <c r="L2100" s="160"/>
      <c r="M2100" s="388"/>
      <c r="N2100" s="375"/>
      <c r="O2100" s="370"/>
      <c r="T2100" s="340"/>
      <c r="W2100" s="113"/>
      <c r="X2100" s="241"/>
      <c r="Y2100" s="284"/>
      <c r="Z2100" s="207"/>
      <c r="AA2100" s="284"/>
      <c r="AB2100" s="284"/>
      <c r="AC2100" s="137"/>
      <c r="AD2100" s="284"/>
      <c r="AE2100" s="299"/>
      <c r="AF2100" s="299"/>
      <c r="AG2100" s="284"/>
    </row>
    <row r="2101" spans="2:33">
      <c r="B2101" s="86"/>
      <c r="C2101" s="84"/>
      <c r="D2101" s="86"/>
      <c r="E2101" s="84"/>
      <c r="F2101" s="284"/>
      <c r="G2101" s="49"/>
      <c r="H2101" s="284"/>
      <c r="I2101" s="74"/>
      <c r="J2101" s="371"/>
      <c r="K2101" s="77"/>
      <c r="L2101" s="160"/>
      <c r="M2101" s="388"/>
      <c r="N2101" s="375"/>
      <c r="O2101" s="370"/>
      <c r="T2101" s="340"/>
      <c r="W2101" s="113"/>
      <c r="X2101" s="241"/>
      <c r="Y2101" s="284"/>
      <c r="Z2101" s="207"/>
      <c r="AA2101" s="284"/>
      <c r="AB2101" s="284"/>
      <c r="AC2101" s="137"/>
      <c r="AD2101" s="284"/>
      <c r="AE2101" s="299"/>
      <c r="AF2101" s="299"/>
      <c r="AG2101" s="284"/>
    </row>
    <row r="2102" spans="2:33">
      <c r="B2102" s="86"/>
      <c r="C2102" s="84"/>
      <c r="D2102" s="86"/>
      <c r="E2102" s="84"/>
      <c r="F2102" s="284"/>
      <c r="G2102" s="49"/>
      <c r="H2102" s="284"/>
      <c r="I2102" s="74"/>
      <c r="J2102" s="371"/>
      <c r="K2102" s="77"/>
      <c r="L2102" s="160"/>
      <c r="M2102" s="388"/>
      <c r="N2102" s="375"/>
      <c r="O2102" s="370"/>
      <c r="T2102" s="340"/>
      <c r="W2102" s="113"/>
      <c r="X2102" s="241"/>
      <c r="Y2102" s="284"/>
      <c r="Z2102" s="207"/>
      <c r="AA2102" s="284"/>
      <c r="AB2102" s="284"/>
      <c r="AC2102" s="137"/>
      <c r="AD2102" s="284"/>
      <c r="AE2102" s="299"/>
      <c r="AF2102" s="299"/>
      <c r="AG2102" s="284"/>
    </row>
    <row r="2103" spans="2:33">
      <c r="B2103" s="86"/>
      <c r="C2103" s="84"/>
      <c r="D2103" s="86"/>
      <c r="E2103" s="84"/>
      <c r="F2103" s="284"/>
      <c r="G2103" s="49"/>
      <c r="H2103" s="284"/>
      <c r="I2103" s="74"/>
      <c r="J2103" s="371"/>
      <c r="K2103" s="77"/>
      <c r="L2103" s="160"/>
      <c r="M2103" s="388"/>
      <c r="N2103" s="375"/>
      <c r="O2103" s="370"/>
      <c r="T2103" s="340"/>
      <c r="W2103" s="113"/>
      <c r="X2103" s="241"/>
      <c r="Y2103" s="284"/>
      <c r="Z2103" s="207"/>
      <c r="AA2103" s="284"/>
      <c r="AB2103" s="284"/>
      <c r="AC2103" s="137"/>
      <c r="AD2103" s="284"/>
      <c r="AE2103" s="299"/>
      <c r="AF2103" s="299"/>
      <c r="AG2103" s="284"/>
    </row>
    <row r="2104" spans="2:33">
      <c r="B2104" s="86"/>
      <c r="C2104" s="84"/>
      <c r="D2104" s="86"/>
      <c r="E2104" s="84"/>
      <c r="F2104" s="284"/>
      <c r="G2104" s="49"/>
      <c r="H2104" s="284"/>
      <c r="I2104" s="74"/>
      <c r="J2104" s="371"/>
      <c r="K2104" s="77"/>
      <c r="L2104" s="160"/>
      <c r="M2104" s="388"/>
      <c r="N2104" s="375"/>
      <c r="O2104" s="370"/>
      <c r="T2104" s="340"/>
      <c r="W2104" s="113"/>
      <c r="X2104" s="241"/>
      <c r="Y2104" s="284"/>
      <c r="Z2104" s="207"/>
      <c r="AA2104" s="284"/>
      <c r="AB2104" s="284"/>
      <c r="AC2104" s="137"/>
      <c r="AD2104" s="284"/>
      <c r="AE2104" s="299"/>
      <c r="AF2104" s="299"/>
      <c r="AG2104" s="284"/>
    </row>
    <row r="2105" spans="2:33">
      <c r="B2105" s="86"/>
      <c r="C2105" s="84"/>
      <c r="D2105" s="86"/>
      <c r="E2105" s="84"/>
      <c r="F2105" s="284"/>
      <c r="G2105" s="49"/>
      <c r="H2105" s="284"/>
      <c r="I2105" s="74"/>
      <c r="J2105" s="371"/>
      <c r="K2105" s="77"/>
      <c r="L2105" s="160"/>
      <c r="M2105" s="388"/>
      <c r="N2105" s="375"/>
      <c r="O2105" s="370"/>
      <c r="T2105" s="340"/>
      <c r="W2105" s="113"/>
      <c r="X2105" s="241"/>
      <c r="Y2105" s="284"/>
      <c r="Z2105" s="207"/>
      <c r="AA2105" s="284"/>
      <c r="AB2105" s="284"/>
      <c r="AC2105" s="137"/>
      <c r="AD2105" s="284"/>
      <c r="AE2105" s="299"/>
      <c r="AF2105" s="299"/>
      <c r="AG2105" s="284"/>
    </row>
    <row r="2106" spans="2:33">
      <c r="B2106" s="86"/>
      <c r="C2106" s="84"/>
      <c r="D2106" s="86"/>
      <c r="E2106" s="84"/>
      <c r="F2106" s="284"/>
      <c r="G2106" s="49"/>
      <c r="H2106" s="284"/>
      <c r="I2106" s="74"/>
      <c r="J2106" s="371"/>
      <c r="K2106" s="77"/>
      <c r="L2106" s="160"/>
      <c r="M2106" s="388"/>
      <c r="N2106" s="375"/>
      <c r="O2106" s="370"/>
      <c r="T2106" s="340"/>
      <c r="W2106" s="113"/>
      <c r="X2106" s="241"/>
      <c r="Y2106" s="284"/>
      <c r="Z2106" s="207"/>
      <c r="AA2106" s="284"/>
      <c r="AB2106" s="284"/>
      <c r="AC2106" s="137"/>
      <c r="AD2106" s="284"/>
      <c r="AE2106" s="299"/>
      <c r="AF2106" s="299"/>
      <c r="AG2106" s="284"/>
    </row>
    <row r="2107" spans="2:33">
      <c r="B2107" s="86"/>
      <c r="C2107" s="84"/>
      <c r="D2107" s="86"/>
      <c r="E2107" s="84"/>
      <c r="F2107" s="284"/>
      <c r="G2107" s="49"/>
      <c r="H2107" s="284"/>
      <c r="I2107" s="74"/>
      <c r="J2107" s="371"/>
      <c r="K2107" s="77"/>
      <c r="L2107" s="160"/>
      <c r="M2107" s="388"/>
      <c r="N2107" s="375"/>
      <c r="O2107" s="370"/>
      <c r="T2107" s="340"/>
      <c r="W2107" s="113"/>
      <c r="X2107" s="241"/>
      <c r="Y2107" s="284"/>
      <c r="Z2107" s="207"/>
      <c r="AA2107" s="284"/>
      <c r="AB2107" s="284"/>
      <c r="AC2107" s="137"/>
      <c r="AD2107" s="284"/>
      <c r="AE2107" s="299"/>
      <c r="AF2107" s="299"/>
      <c r="AG2107" s="284"/>
    </row>
    <row r="2108" spans="2:33">
      <c r="B2108" s="86"/>
      <c r="C2108" s="84"/>
      <c r="D2108" s="86"/>
      <c r="E2108" s="84"/>
      <c r="F2108" s="284"/>
      <c r="G2108" s="49"/>
      <c r="H2108" s="284"/>
      <c r="I2108" s="74"/>
      <c r="J2108" s="371"/>
      <c r="K2108" s="77"/>
      <c r="L2108" s="160"/>
      <c r="M2108" s="388"/>
      <c r="N2108" s="375"/>
      <c r="O2108" s="370"/>
      <c r="T2108" s="340"/>
      <c r="W2108" s="113"/>
      <c r="X2108" s="241"/>
      <c r="Y2108" s="284"/>
      <c r="Z2108" s="207"/>
      <c r="AA2108" s="284"/>
      <c r="AB2108" s="284"/>
      <c r="AC2108" s="137"/>
      <c r="AD2108" s="284"/>
      <c r="AE2108" s="299"/>
      <c r="AF2108" s="299"/>
      <c r="AG2108" s="284"/>
    </row>
    <row r="2109" spans="2:33">
      <c r="B2109" s="86"/>
      <c r="C2109" s="84"/>
      <c r="D2109" s="86"/>
      <c r="E2109" s="84"/>
      <c r="F2109" s="284"/>
      <c r="G2109" s="49"/>
      <c r="H2109" s="284"/>
      <c r="I2109" s="74"/>
      <c r="J2109" s="371"/>
      <c r="K2109" s="77"/>
      <c r="L2109" s="160"/>
      <c r="M2109" s="388"/>
      <c r="N2109" s="375"/>
      <c r="O2109" s="370"/>
      <c r="T2109" s="340"/>
      <c r="W2109" s="113"/>
      <c r="X2109" s="241"/>
      <c r="Y2109" s="284"/>
      <c r="Z2109" s="207"/>
      <c r="AA2109" s="284"/>
      <c r="AB2109" s="284"/>
      <c r="AC2109" s="137"/>
      <c r="AD2109" s="284"/>
      <c r="AE2109" s="299"/>
      <c r="AF2109" s="299"/>
      <c r="AG2109" s="284"/>
    </row>
    <row r="2110" spans="2:33">
      <c r="B2110" s="86"/>
      <c r="C2110" s="84"/>
      <c r="D2110" s="86"/>
      <c r="E2110" s="84"/>
      <c r="F2110" s="284"/>
      <c r="G2110" s="49"/>
      <c r="H2110" s="284"/>
      <c r="I2110" s="74"/>
      <c r="J2110" s="371"/>
      <c r="K2110" s="77"/>
      <c r="L2110" s="160"/>
      <c r="M2110" s="388"/>
      <c r="N2110" s="375"/>
      <c r="O2110" s="370"/>
      <c r="T2110" s="340"/>
      <c r="W2110" s="113"/>
      <c r="X2110" s="241"/>
      <c r="Y2110" s="284"/>
      <c r="Z2110" s="207"/>
      <c r="AA2110" s="284"/>
      <c r="AB2110" s="284"/>
      <c r="AC2110" s="137"/>
      <c r="AD2110" s="284"/>
      <c r="AE2110" s="299"/>
      <c r="AF2110" s="299"/>
      <c r="AG2110" s="284"/>
    </row>
    <row r="2111" spans="2:33">
      <c r="B2111" s="86"/>
      <c r="C2111" s="84"/>
      <c r="D2111" s="86"/>
      <c r="E2111" s="84"/>
      <c r="F2111" s="284"/>
      <c r="G2111" s="49"/>
      <c r="H2111" s="284"/>
      <c r="I2111" s="74"/>
      <c r="J2111" s="371"/>
      <c r="K2111" s="77"/>
      <c r="L2111" s="160"/>
      <c r="M2111" s="388"/>
      <c r="N2111" s="375"/>
      <c r="O2111" s="370"/>
      <c r="T2111" s="340"/>
      <c r="W2111" s="113"/>
      <c r="X2111" s="241"/>
      <c r="Y2111" s="284"/>
      <c r="Z2111" s="207"/>
      <c r="AA2111" s="284"/>
      <c r="AB2111" s="284"/>
      <c r="AC2111" s="137"/>
      <c r="AD2111" s="284"/>
      <c r="AE2111" s="299"/>
      <c r="AF2111" s="299"/>
      <c r="AG2111" s="284"/>
    </row>
    <row r="2112" spans="2:33">
      <c r="B2112" s="86"/>
      <c r="C2112" s="84"/>
      <c r="D2112" s="86"/>
      <c r="E2112" s="84"/>
      <c r="F2112" s="284"/>
      <c r="G2112" s="49"/>
      <c r="H2112" s="284"/>
      <c r="I2112" s="74"/>
      <c r="J2112" s="371"/>
      <c r="K2112" s="77"/>
      <c r="L2112" s="160"/>
      <c r="M2112" s="388"/>
      <c r="N2112" s="375"/>
      <c r="O2112" s="370"/>
      <c r="T2112" s="340"/>
      <c r="W2112" s="113"/>
      <c r="X2112" s="241"/>
      <c r="Y2112" s="284"/>
      <c r="Z2112" s="207"/>
      <c r="AA2112" s="284"/>
      <c r="AB2112" s="284"/>
      <c r="AC2112" s="137"/>
      <c r="AD2112" s="284"/>
      <c r="AE2112" s="299"/>
      <c r="AF2112" s="299"/>
      <c r="AG2112" s="284"/>
    </row>
    <row r="2113" spans="2:33">
      <c r="B2113" s="86"/>
      <c r="C2113" s="84"/>
      <c r="D2113" s="86"/>
      <c r="E2113" s="84"/>
      <c r="F2113" s="284"/>
      <c r="G2113" s="49"/>
      <c r="H2113" s="284"/>
      <c r="I2113" s="74"/>
      <c r="J2113" s="371"/>
      <c r="K2113" s="77"/>
      <c r="L2113" s="160"/>
      <c r="M2113" s="388"/>
      <c r="N2113" s="375"/>
      <c r="O2113" s="370"/>
      <c r="T2113" s="340"/>
      <c r="W2113" s="113"/>
      <c r="X2113" s="241"/>
      <c r="Y2113" s="284"/>
      <c r="Z2113" s="207"/>
      <c r="AA2113" s="284"/>
      <c r="AB2113" s="284"/>
      <c r="AC2113" s="137"/>
      <c r="AD2113" s="284"/>
      <c r="AE2113" s="299"/>
      <c r="AF2113" s="299"/>
      <c r="AG2113" s="284"/>
    </row>
    <row r="2114" spans="2:33">
      <c r="B2114" s="86"/>
      <c r="C2114" s="84"/>
      <c r="D2114" s="86"/>
      <c r="E2114" s="84"/>
      <c r="F2114" s="284"/>
      <c r="G2114" s="49"/>
      <c r="H2114" s="284"/>
      <c r="I2114" s="74"/>
      <c r="J2114" s="371"/>
      <c r="K2114" s="77"/>
      <c r="L2114" s="160"/>
      <c r="M2114" s="388"/>
      <c r="N2114" s="375"/>
      <c r="O2114" s="370"/>
      <c r="T2114" s="340"/>
      <c r="W2114" s="113"/>
      <c r="X2114" s="241"/>
      <c r="Y2114" s="284"/>
      <c r="Z2114" s="207"/>
      <c r="AA2114" s="284"/>
      <c r="AB2114" s="284"/>
      <c r="AC2114" s="137"/>
      <c r="AD2114" s="284"/>
      <c r="AE2114" s="299"/>
      <c r="AF2114" s="299"/>
      <c r="AG2114" s="284"/>
    </row>
    <row r="2115" spans="2:33">
      <c r="B2115" s="86"/>
      <c r="C2115" s="84"/>
      <c r="D2115" s="86"/>
      <c r="E2115" s="84"/>
      <c r="F2115" s="284"/>
      <c r="G2115" s="49"/>
      <c r="H2115" s="284"/>
      <c r="I2115" s="74"/>
      <c r="J2115" s="371"/>
      <c r="K2115" s="77"/>
      <c r="L2115" s="160"/>
      <c r="M2115" s="388"/>
      <c r="N2115" s="375"/>
      <c r="O2115" s="370"/>
      <c r="T2115" s="340"/>
      <c r="W2115" s="113"/>
      <c r="X2115" s="241"/>
      <c r="Y2115" s="284"/>
      <c r="Z2115" s="207"/>
      <c r="AA2115" s="284"/>
      <c r="AB2115" s="284"/>
      <c r="AC2115" s="137"/>
      <c r="AD2115" s="284"/>
      <c r="AE2115" s="299"/>
      <c r="AF2115" s="299"/>
      <c r="AG2115" s="284"/>
    </row>
    <row r="2116" spans="2:33">
      <c r="B2116" s="86"/>
      <c r="C2116" s="84"/>
      <c r="D2116" s="86"/>
      <c r="E2116" s="84"/>
      <c r="F2116" s="284"/>
      <c r="G2116" s="49"/>
      <c r="H2116" s="284"/>
      <c r="I2116" s="74"/>
      <c r="J2116" s="371"/>
      <c r="K2116" s="77"/>
      <c r="L2116" s="160"/>
      <c r="M2116" s="388"/>
      <c r="N2116" s="375"/>
      <c r="O2116" s="370"/>
      <c r="T2116" s="340"/>
      <c r="W2116" s="113"/>
      <c r="X2116" s="241"/>
      <c r="Y2116" s="284"/>
      <c r="Z2116" s="207"/>
      <c r="AA2116" s="284"/>
      <c r="AB2116" s="284"/>
      <c r="AC2116" s="137"/>
      <c r="AD2116" s="284"/>
      <c r="AE2116" s="299"/>
      <c r="AF2116" s="299"/>
      <c r="AG2116" s="284"/>
    </row>
    <row r="2117" spans="2:33">
      <c r="B2117" s="86"/>
      <c r="C2117" s="84"/>
      <c r="D2117" s="86"/>
      <c r="E2117" s="84"/>
      <c r="F2117" s="284"/>
      <c r="G2117" s="49"/>
      <c r="H2117" s="284"/>
      <c r="I2117" s="74"/>
      <c r="J2117" s="371"/>
      <c r="K2117" s="77"/>
      <c r="L2117" s="160"/>
      <c r="M2117" s="388"/>
      <c r="N2117" s="375"/>
      <c r="O2117" s="370"/>
      <c r="T2117" s="340"/>
      <c r="W2117" s="113"/>
      <c r="X2117" s="241"/>
      <c r="Y2117" s="284"/>
      <c r="Z2117" s="207"/>
      <c r="AA2117" s="284"/>
      <c r="AB2117" s="284"/>
      <c r="AC2117" s="137"/>
      <c r="AD2117" s="284"/>
      <c r="AE2117" s="299"/>
      <c r="AF2117" s="299"/>
      <c r="AG2117" s="284"/>
    </row>
    <row r="2118" spans="2:33">
      <c r="B2118" s="86"/>
      <c r="C2118" s="84"/>
      <c r="D2118" s="86"/>
      <c r="E2118" s="84"/>
      <c r="F2118" s="284"/>
      <c r="G2118" s="49"/>
      <c r="H2118" s="284"/>
      <c r="I2118" s="74"/>
      <c r="J2118" s="371"/>
      <c r="K2118" s="77"/>
      <c r="L2118" s="160"/>
      <c r="M2118" s="388"/>
      <c r="N2118" s="375"/>
      <c r="O2118" s="370"/>
      <c r="T2118" s="340"/>
      <c r="W2118" s="113"/>
      <c r="X2118" s="241"/>
      <c r="Y2118" s="284"/>
      <c r="Z2118" s="207"/>
      <c r="AA2118" s="284"/>
      <c r="AB2118" s="284"/>
      <c r="AC2118" s="137"/>
      <c r="AD2118" s="284"/>
      <c r="AE2118" s="299"/>
      <c r="AF2118" s="299"/>
      <c r="AG2118" s="284"/>
    </row>
    <row r="2119" spans="2:33">
      <c r="B2119" s="86"/>
      <c r="C2119" s="84"/>
      <c r="D2119" s="86"/>
      <c r="E2119" s="84"/>
      <c r="F2119" s="284"/>
      <c r="G2119" s="49"/>
      <c r="H2119" s="284"/>
      <c r="I2119" s="74"/>
      <c r="J2119" s="371"/>
      <c r="K2119" s="77"/>
      <c r="L2119" s="160"/>
      <c r="M2119" s="388"/>
      <c r="N2119" s="375"/>
      <c r="O2119" s="370"/>
      <c r="T2119" s="340"/>
      <c r="W2119" s="113"/>
      <c r="X2119" s="241"/>
      <c r="Y2119" s="284"/>
      <c r="Z2119" s="207"/>
      <c r="AA2119" s="284"/>
      <c r="AB2119" s="284"/>
      <c r="AC2119" s="137"/>
      <c r="AD2119" s="284"/>
      <c r="AE2119" s="299"/>
      <c r="AF2119" s="299"/>
      <c r="AG2119" s="284"/>
    </row>
    <row r="2120" spans="2:33">
      <c r="B2120" s="86"/>
      <c r="C2120" s="84"/>
      <c r="D2120" s="86"/>
      <c r="E2120" s="84"/>
      <c r="F2120" s="284"/>
      <c r="G2120" s="49"/>
      <c r="H2120" s="284"/>
      <c r="I2120" s="74"/>
      <c r="J2120" s="371"/>
      <c r="K2120" s="77"/>
      <c r="L2120" s="160"/>
      <c r="M2120" s="388"/>
      <c r="N2120" s="375"/>
      <c r="O2120" s="370"/>
      <c r="T2120" s="340"/>
      <c r="W2120" s="113"/>
      <c r="X2120" s="241"/>
      <c r="Y2120" s="284"/>
      <c r="Z2120" s="207"/>
      <c r="AA2120" s="284"/>
      <c r="AB2120" s="284"/>
      <c r="AC2120" s="137"/>
      <c r="AD2120" s="284"/>
      <c r="AE2120" s="299"/>
      <c r="AF2120" s="299"/>
      <c r="AG2120" s="284"/>
    </row>
    <row r="2121" spans="2:33">
      <c r="B2121" s="86"/>
      <c r="C2121" s="84"/>
      <c r="D2121" s="86"/>
      <c r="E2121" s="84"/>
      <c r="F2121" s="284"/>
      <c r="G2121" s="49"/>
      <c r="H2121" s="284"/>
      <c r="I2121" s="74"/>
      <c r="J2121" s="371"/>
      <c r="K2121" s="77"/>
      <c r="L2121" s="160"/>
      <c r="M2121" s="388"/>
      <c r="N2121" s="375"/>
      <c r="O2121" s="370"/>
      <c r="T2121" s="340"/>
      <c r="W2121" s="113"/>
      <c r="X2121" s="241"/>
      <c r="Y2121" s="284"/>
      <c r="Z2121" s="207"/>
      <c r="AA2121" s="284"/>
      <c r="AB2121" s="284"/>
      <c r="AC2121" s="137"/>
      <c r="AD2121" s="284"/>
      <c r="AE2121" s="299"/>
      <c r="AF2121" s="299"/>
      <c r="AG2121" s="284"/>
    </row>
    <row r="2122" spans="2:33">
      <c r="B2122" s="86"/>
      <c r="C2122" s="84"/>
      <c r="D2122" s="86"/>
      <c r="E2122" s="84"/>
      <c r="F2122" s="284"/>
      <c r="G2122" s="49"/>
      <c r="H2122" s="284"/>
      <c r="I2122" s="74"/>
      <c r="J2122" s="371"/>
      <c r="K2122" s="77"/>
      <c r="L2122" s="160"/>
      <c r="M2122" s="388"/>
      <c r="N2122" s="375"/>
      <c r="O2122" s="370"/>
      <c r="T2122" s="340"/>
      <c r="W2122" s="113"/>
      <c r="X2122" s="241"/>
      <c r="Y2122" s="284"/>
      <c r="Z2122" s="207"/>
      <c r="AA2122" s="284"/>
      <c r="AB2122" s="284"/>
      <c r="AC2122" s="137"/>
      <c r="AD2122" s="284"/>
      <c r="AE2122" s="299"/>
      <c r="AF2122" s="299"/>
      <c r="AG2122" s="284"/>
    </row>
    <row r="2123" spans="2:33">
      <c r="B2123" s="86"/>
      <c r="C2123" s="84"/>
      <c r="D2123" s="86"/>
      <c r="E2123" s="84"/>
      <c r="F2123" s="284"/>
      <c r="G2123" s="49"/>
      <c r="H2123" s="284"/>
      <c r="I2123" s="74"/>
      <c r="J2123" s="371"/>
      <c r="K2123" s="77"/>
      <c r="L2123" s="160"/>
      <c r="M2123" s="388"/>
      <c r="N2123" s="375"/>
      <c r="O2123" s="370"/>
      <c r="T2123" s="340"/>
      <c r="W2123" s="113"/>
      <c r="X2123" s="241"/>
      <c r="Y2123" s="284"/>
      <c r="Z2123" s="207"/>
      <c r="AA2123" s="284"/>
      <c r="AB2123" s="284"/>
      <c r="AC2123" s="137"/>
      <c r="AD2123" s="284"/>
      <c r="AE2123" s="299"/>
      <c r="AF2123" s="299"/>
      <c r="AG2123" s="284"/>
    </row>
    <row r="2124" spans="2:33">
      <c r="B2124" s="86"/>
      <c r="C2124" s="84"/>
      <c r="D2124" s="86"/>
      <c r="E2124" s="84"/>
      <c r="F2124" s="284"/>
      <c r="G2124" s="49"/>
      <c r="H2124" s="284"/>
      <c r="I2124" s="74"/>
      <c r="J2124" s="371"/>
      <c r="K2124" s="77"/>
      <c r="L2124" s="160"/>
      <c r="M2124" s="388"/>
      <c r="N2124" s="375"/>
      <c r="O2124" s="370"/>
      <c r="T2124" s="340"/>
      <c r="W2124" s="113"/>
      <c r="X2124" s="241"/>
      <c r="Y2124" s="284"/>
      <c r="Z2124" s="207"/>
      <c r="AA2124" s="284"/>
      <c r="AB2124" s="284"/>
      <c r="AC2124" s="137"/>
      <c r="AD2124" s="284"/>
      <c r="AE2124" s="299"/>
      <c r="AF2124" s="299"/>
      <c r="AG2124" s="284"/>
    </row>
    <row r="2125" spans="2:33">
      <c r="B2125" s="86"/>
      <c r="C2125" s="84"/>
      <c r="D2125" s="86"/>
      <c r="E2125" s="84"/>
      <c r="F2125" s="284"/>
      <c r="G2125" s="49"/>
      <c r="H2125" s="284"/>
      <c r="I2125" s="74"/>
      <c r="J2125" s="371"/>
      <c r="K2125" s="77"/>
      <c r="L2125" s="160"/>
      <c r="M2125" s="388"/>
      <c r="N2125" s="375"/>
      <c r="O2125" s="370"/>
      <c r="T2125" s="340"/>
      <c r="W2125" s="113"/>
      <c r="X2125" s="241"/>
      <c r="Y2125" s="284"/>
      <c r="Z2125" s="207"/>
      <c r="AA2125" s="284"/>
      <c r="AB2125" s="284"/>
      <c r="AC2125" s="137"/>
      <c r="AD2125" s="284"/>
      <c r="AE2125" s="299"/>
      <c r="AF2125" s="299"/>
      <c r="AG2125" s="284"/>
    </row>
    <row r="2126" spans="2:33">
      <c r="B2126" s="86"/>
      <c r="C2126" s="84"/>
      <c r="D2126" s="86"/>
      <c r="E2126" s="84"/>
      <c r="F2126" s="284"/>
      <c r="G2126" s="49"/>
      <c r="H2126" s="284"/>
      <c r="I2126" s="74"/>
      <c r="J2126" s="371"/>
      <c r="K2126" s="77"/>
      <c r="L2126" s="160"/>
      <c r="M2126" s="388"/>
      <c r="N2126" s="375"/>
      <c r="O2126" s="370"/>
      <c r="T2126" s="340"/>
      <c r="W2126" s="113"/>
      <c r="X2126" s="241"/>
      <c r="Y2126" s="284"/>
      <c r="Z2126" s="207"/>
      <c r="AA2126" s="284"/>
      <c r="AB2126" s="284"/>
      <c r="AC2126" s="137"/>
      <c r="AD2126" s="284"/>
      <c r="AE2126" s="299"/>
      <c r="AF2126" s="299"/>
      <c r="AG2126" s="284"/>
    </row>
    <row r="2127" spans="2:33">
      <c r="B2127" s="86"/>
      <c r="C2127" s="84"/>
      <c r="D2127" s="86"/>
      <c r="E2127" s="84"/>
      <c r="F2127" s="284"/>
      <c r="G2127" s="49"/>
      <c r="H2127" s="284"/>
      <c r="I2127" s="74"/>
      <c r="J2127" s="371"/>
      <c r="K2127" s="77"/>
      <c r="L2127" s="160"/>
      <c r="M2127" s="388"/>
      <c r="N2127" s="375"/>
      <c r="O2127" s="370"/>
      <c r="T2127" s="340"/>
      <c r="W2127" s="113"/>
      <c r="X2127" s="241"/>
      <c r="Y2127" s="284"/>
      <c r="Z2127" s="207"/>
      <c r="AA2127" s="284"/>
      <c r="AB2127" s="284"/>
      <c r="AC2127" s="137"/>
      <c r="AD2127" s="284"/>
      <c r="AE2127" s="299"/>
      <c r="AF2127" s="299"/>
      <c r="AG2127" s="284"/>
    </row>
    <row r="2128" spans="2:33">
      <c r="B2128" s="86"/>
      <c r="C2128" s="84"/>
      <c r="D2128" s="86"/>
      <c r="E2128" s="84"/>
      <c r="F2128" s="284"/>
      <c r="G2128" s="49"/>
      <c r="H2128" s="284"/>
      <c r="I2128" s="74"/>
      <c r="J2128" s="371"/>
      <c r="K2128" s="77"/>
      <c r="L2128" s="160"/>
      <c r="M2128" s="388"/>
      <c r="N2128" s="375"/>
      <c r="O2128" s="370"/>
      <c r="T2128" s="340"/>
      <c r="W2128" s="113"/>
      <c r="X2128" s="241"/>
      <c r="Y2128" s="284"/>
      <c r="Z2128" s="207"/>
      <c r="AA2128" s="284"/>
      <c r="AB2128" s="284"/>
      <c r="AC2128" s="137"/>
      <c r="AD2128" s="284"/>
      <c r="AE2128" s="299"/>
      <c r="AF2128" s="299"/>
      <c r="AG2128" s="284"/>
    </row>
    <row r="2129" spans="2:33">
      <c r="B2129" s="86"/>
      <c r="C2129" s="84"/>
      <c r="D2129" s="86"/>
      <c r="E2129" s="84"/>
      <c r="F2129" s="284"/>
      <c r="G2129" s="49"/>
      <c r="H2129" s="284"/>
      <c r="I2129" s="74"/>
      <c r="J2129" s="371"/>
      <c r="K2129" s="77"/>
      <c r="L2129" s="160"/>
      <c r="M2129" s="388"/>
      <c r="N2129" s="375"/>
      <c r="O2129" s="370"/>
      <c r="T2129" s="340"/>
      <c r="W2129" s="113"/>
      <c r="X2129" s="241"/>
      <c r="Y2129" s="284"/>
      <c r="Z2129" s="207"/>
      <c r="AA2129" s="284"/>
      <c r="AB2129" s="284"/>
      <c r="AC2129" s="137"/>
      <c r="AD2129" s="284"/>
      <c r="AE2129" s="299"/>
      <c r="AF2129" s="299"/>
      <c r="AG2129" s="284"/>
    </row>
    <row r="2130" spans="2:33">
      <c r="B2130" s="86"/>
      <c r="C2130" s="84"/>
      <c r="D2130" s="86"/>
      <c r="E2130" s="84"/>
      <c r="F2130" s="284"/>
      <c r="G2130" s="49"/>
      <c r="H2130" s="284"/>
      <c r="I2130" s="74"/>
      <c r="J2130" s="371"/>
      <c r="K2130" s="77"/>
      <c r="L2130" s="160"/>
      <c r="M2130" s="388"/>
      <c r="N2130" s="375"/>
      <c r="O2130" s="370"/>
      <c r="T2130" s="340"/>
      <c r="W2130" s="113"/>
      <c r="X2130" s="241"/>
      <c r="Y2130" s="284"/>
      <c r="Z2130" s="207"/>
      <c r="AA2130" s="284"/>
      <c r="AB2130" s="284"/>
      <c r="AC2130" s="137"/>
      <c r="AD2130" s="284"/>
      <c r="AE2130" s="299"/>
      <c r="AF2130" s="299"/>
      <c r="AG2130" s="284"/>
    </row>
    <row r="2131" spans="2:33">
      <c r="B2131" s="86"/>
      <c r="C2131" s="84"/>
      <c r="D2131" s="86"/>
      <c r="E2131" s="84"/>
      <c r="F2131" s="284"/>
      <c r="G2131" s="49"/>
      <c r="H2131" s="284"/>
      <c r="I2131" s="74"/>
      <c r="J2131" s="371"/>
      <c r="K2131" s="77"/>
      <c r="L2131" s="160"/>
      <c r="M2131" s="388"/>
      <c r="N2131" s="375"/>
      <c r="O2131" s="370"/>
      <c r="T2131" s="340"/>
      <c r="W2131" s="113"/>
      <c r="X2131" s="241"/>
      <c r="Y2131" s="284"/>
      <c r="Z2131" s="207"/>
      <c r="AA2131" s="284"/>
      <c r="AB2131" s="284"/>
      <c r="AC2131" s="137"/>
      <c r="AD2131" s="284"/>
      <c r="AE2131" s="299"/>
      <c r="AF2131" s="299"/>
      <c r="AG2131" s="284"/>
    </row>
    <row r="2132" spans="2:33">
      <c r="B2132" s="86"/>
      <c r="C2132" s="84"/>
      <c r="D2132" s="86"/>
      <c r="E2132" s="84"/>
      <c r="F2132" s="284"/>
      <c r="G2132" s="49"/>
      <c r="H2132" s="284"/>
      <c r="I2132" s="74"/>
      <c r="J2132" s="371"/>
      <c r="K2132" s="77"/>
      <c r="L2132" s="160"/>
      <c r="M2132" s="388"/>
      <c r="N2132" s="375"/>
      <c r="O2132" s="370"/>
      <c r="T2132" s="340"/>
      <c r="W2132" s="113"/>
      <c r="X2132" s="241"/>
      <c r="Y2132" s="284"/>
      <c r="Z2132" s="207"/>
      <c r="AA2132" s="284"/>
      <c r="AB2132" s="284"/>
      <c r="AC2132" s="137"/>
      <c r="AD2132" s="284"/>
      <c r="AE2132" s="299"/>
      <c r="AF2132" s="299"/>
      <c r="AG2132" s="284"/>
    </row>
    <row r="2133" spans="2:33">
      <c r="B2133" s="86"/>
      <c r="C2133" s="84"/>
      <c r="D2133" s="86"/>
      <c r="E2133" s="84"/>
      <c r="F2133" s="284"/>
      <c r="G2133" s="49"/>
      <c r="H2133" s="284"/>
      <c r="I2133" s="74"/>
      <c r="J2133" s="371"/>
      <c r="K2133" s="77"/>
      <c r="L2133" s="160"/>
      <c r="M2133" s="388"/>
      <c r="N2133" s="375"/>
      <c r="O2133" s="370"/>
      <c r="T2133" s="340"/>
      <c r="W2133" s="113"/>
      <c r="X2133" s="241"/>
      <c r="Y2133" s="284"/>
      <c r="Z2133" s="207"/>
      <c r="AA2133" s="284"/>
      <c r="AB2133" s="284"/>
      <c r="AC2133" s="137"/>
      <c r="AD2133" s="284"/>
      <c r="AE2133" s="299"/>
      <c r="AF2133" s="299"/>
      <c r="AG2133" s="284"/>
    </row>
    <row r="2134" spans="2:33">
      <c r="B2134" s="86"/>
      <c r="C2134" s="84"/>
      <c r="D2134" s="86"/>
      <c r="E2134" s="84"/>
      <c r="F2134" s="284"/>
      <c r="G2134" s="49"/>
      <c r="H2134" s="284"/>
      <c r="I2134" s="74"/>
      <c r="J2134" s="371"/>
      <c r="K2134" s="77"/>
      <c r="L2134" s="160"/>
      <c r="M2134" s="388"/>
      <c r="N2134" s="375"/>
      <c r="O2134" s="370"/>
      <c r="T2134" s="340"/>
      <c r="W2134" s="113"/>
      <c r="X2134" s="241"/>
      <c r="Y2134" s="284"/>
      <c r="Z2134" s="207"/>
      <c r="AA2134" s="284"/>
      <c r="AB2134" s="284"/>
      <c r="AC2134" s="137"/>
      <c r="AD2134" s="284"/>
      <c r="AE2134" s="299"/>
      <c r="AF2134" s="299"/>
      <c r="AG2134" s="284"/>
    </row>
    <row r="2135" spans="2:33">
      <c r="B2135" s="86"/>
      <c r="C2135" s="84"/>
      <c r="D2135" s="86"/>
      <c r="E2135" s="84"/>
      <c r="F2135" s="284"/>
      <c r="G2135" s="49"/>
      <c r="H2135" s="284"/>
      <c r="I2135" s="74"/>
      <c r="J2135" s="371"/>
      <c r="K2135" s="77"/>
      <c r="L2135" s="160"/>
      <c r="M2135" s="388"/>
      <c r="N2135" s="375"/>
      <c r="O2135" s="370"/>
      <c r="T2135" s="340"/>
      <c r="W2135" s="113"/>
      <c r="X2135" s="241"/>
      <c r="Y2135" s="284"/>
      <c r="Z2135" s="207"/>
      <c r="AA2135" s="284"/>
      <c r="AB2135" s="284"/>
      <c r="AC2135" s="137"/>
      <c r="AD2135" s="284"/>
      <c r="AE2135" s="299"/>
      <c r="AF2135" s="299"/>
      <c r="AG2135" s="284"/>
    </row>
    <row r="2136" spans="2:33">
      <c r="B2136" s="86"/>
      <c r="C2136" s="84"/>
      <c r="D2136" s="86"/>
      <c r="E2136" s="84"/>
      <c r="F2136" s="284"/>
      <c r="G2136" s="49"/>
      <c r="H2136" s="284"/>
      <c r="I2136" s="74"/>
      <c r="J2136" s="371"/>
      <c r="K2136" s="77"/>
      <c r="L2136" s="160"/>
      <c r="M2136" s="388"/>
      <c r="N2136" s="375"/>
      <c r="O2136" s="370"/>
      <c r="T2136" s="340"/>
      <c r="W2136" s="113"/>
      <c r="X2136" s="241"/>
      <c r="Y2136" s="284"/>
      <c r="Z2136" s="207"/>
      <c r="AA2136" s="284"/>
      <c r="AB2136" s="284"/>
      <c r="AC2136" s="137"/>
      <c r="AD2136" s="284"/>
      <c r="AE2136" s="299"/>
      <c r="AF2136" s="299"/>
      <c r="AG2136" s="284"/>
    </row>
    <row r="2137" spans="2:33">
      <c r="B2137" s="86"/>
      <c r="C2137" s="84"/>
      <c r="D2137" s="86"/>
      <c r="E2137" s="84"/>
      <c r="F2137" s="284"/>
      <c r="G2137" s="49"/>
      <c r="H2137" s="284"/>
      <c r="I2137" s="74"/>
      <c r="J2137" s="371"/>
      <c r="K2137" s="77"/>
      <c r="L2137" s="160"/>
      <c r="M2137" s="388"/>
      <c r="N2137" s="375"/>
      <c r="O2137" s="370"/>
      <c r="T2137" s="340"/>
      <c r="W2137" s="113"/>
      <c r="X2137" s="241"/>
      <c r="Y2137" s="284"/>
      <c r="Z2137" s="207"/>
      <c r="AA2137" s="284"/>
      <c r="AB2137" s="284"/>
      <c r="AC2137" s="137"/>
      <c r="AD2137" s="284"/>
      <c r="AE2137" s="299"/>
      <c r="AF2137" s="299"/>
      <c r="AG2137" s="284"/>
    </row>
    <row r="2138" spans="2:33">
      <c r="B2138" s="86"/>
      <c r="C2138" s="84"/>
      <c r="D2138" s="86"/>
      <c r="E2138" s="84"/>
      <c r="F2138" s="284"/>
      <c r="G2138" s="49"/>
      <c r="H2138" s="284"/>
      <c r="I2138" s="74"/>
      <c r="J2138" s="371"/>
      <c r="K2138" s="77"/>
      <c r="L2138" s="160"/>
      <c r="M2138" s="388"/>
      <c r="N2138" s="375"/>
      <c r="O2138" s="370"/>
      <c r="T2138" s="340"/>
      <c r="W2138" s="113"/>
      <c r="X2138" s="241"/>
      <c r="Y2138" s="284"/>
      <c r="Z2138" s="207"/>
      <c r="AA2138" s="284"/>
      <c r="AB2138" s="284"/>
      <c r="AC2138" s="137"/>
      <c r="AD2138" s="284"/>
      <c r="AE2138" s="299"/>
      <c r="AF2138" s="299"/>
      <c r="AG2138" s="284"/>
    </row>
    <row r="2139" spans="2:33">
      <c r="B2139" s="86"/>
      <c r="C2139" s="84"/>
      <c r="D2139" s="86"/>
      <c r="E2139" s="84"/>
      <c r="F2139" s="284"/>
      <c r="G2139" s="49"/>
      <c r="H2139" s="284"/>
      <c r="I2139" s="74"/>
      <c r="J2139" s="371"/>
      <c r="K2139" s="77"/>
      <c r="L2139" s="160"/>
      <c r="M2139" s="388"/>
      <c r="N2139" s="375"/>
      <c r="O2139" s="370"/>
      <c r="T2139" s="340"/>
      <c r="W2139" s="113"/>
      <c r="X2139" s="241"/>
      <c r="Y2139" s="284"/>
      <c r="Z2139" s="207"/>
      <c r="AA2139" s="284"/>
      <c r="AB2139" s="284"/>
      <c r="AC2139" s="137"/>
      <c r="AD2139" s="284"/>
      <c r="AE2139" s="299"/>
      <c r="AF2139" s="299"/>
      <c r="AG2139" s="284"/>
    </row>
    <row r="2140" spans="2:33">
      <c r="B2140" s="86"/>
      <c r="C2140" s="84"/>
      <c r="D2140" s="86"/>
      <c r="E2140" s="84"/>
      <c r="F2140" s="284"/>
      <c r="G2140" s="49"/>
      <c r="H2140" s="284"/>
      <c r="I2140" s="74"/>
      <c r="J2140" s="371"/>
      <c r="K2140" s="77"/>
      <c r="L2140" s="160"/>
      <c r="M2140" s="388"/>
      <c r="N2140" s="375"/>
      <c r="O2140" s="370"/>
      <c r="T2140" s="340"/>
      <c r="W2140" s="113"/>
      <c r="X2140" s="241"/>
      <c r="Y2140" s="284"/>
      <c r="Z2140" s="207"/>
      <c r="AA2140" s="284"/>
      <c r="AB2140" s="284"/>
      <c r="AC2140" s="137"/>
      <c r="AD2140" s="284"/>
      <c r="AE2140" s="299"/>
      <c r="AF2140" s="299"/>
      <c r="AG2140" s="284"/>
    </row>
    <row r="2141" spans="2:33">
      <c r="B2141" s="86"/>
      <c r="C2141" s="84"/>
      <c r="D2141" s="86"/>
      <c r="E2141" s="84"/>
      <c r="F2141" s="284"/>
      <c r="G2141" s="49"/>
      <c r="H2141" s="284"/>
      <c r="I2141" s="74"/>
      <c r="J2141" s="371"/>
      <c r="K2141" s="77"/>
      <c r="L2141" s="160"/>
      <c r="M2141" s="388"/>
      <c r="N2141" s="375"/>
      <c r="O2141" s="370"/>
      <c r="T2141" s="340"/>
      <c r="W2141" s="113"/>
      <c r="X2141" s="241"/>
      <c r="Y2141" s="284"/>
      <c r="Z2141" s="207"/>
      <c r="AA2141" s="284"/>
      <c r="AB2141" s="284"/>
      <c r="AC2141" s="137"/>
      <c r="AD2141" s="284"/>
      <c r="AE2141" s="299"/>
      <c r="AF2141" s="299"/>
      <c r="AG2141" s="284"/>
    </row>
    <row r="2142" spans="2:33">
      <c r="B2142" s="86"/>
      <c r="C2142" s="84"/>
      <c r="D2142" s="86"/>
      <c r="E2142" s="84"/>
      <c r="F2142" s="284"/>
      <c r="G2142" s="49"/>
      <c r="H2142" s="284"/>
      <c r="I2142" s="74"/>
      <c r="J2142" s="371"/>
      <c r="K2142" s="77"/>
      <c r="L2142" s="160"/>
      <c r="M2142" s="388"/>
      <c r="N2142" s="375"/>
      <c r="O2142" s="370"/>
      <c r="T2142" s="340"/>
      <c r="W2142" s="113"/>
      <c r="X2142" s="241"/>
      <c r="Y2142" s="284"/>
      <c r="Z2142" s="207"/>
      <c r="AA2142" s="284"/>
      <c r="AB2142" s="284"/>
      <c r="AC2142" s="137"/>
      <c r="AD2142" s="284"/>
      <c r="AE2142" s="299"/>
      <c r="AF2142" s="299"/>
      <c r="AG2142" s="284"/>
    </row>
    <row r="2143" spans="2:33">
      <c r="B2143" s="86"/>
      <c r="C2143" s="84"/>
      <c r="D2143" s="86"/>
      <c r="E2143" s="84"/>
      <c r="F2143" s="284"/>
      <c r="G2143" s="49"/>
      <c r="H2143" s="284"/>
      <c r="I2143" s="74"/>
      <c r="J2143" s="371"/>
      <c r="K2143" s="77"/>
      <c r="L2143" s="160"/>
      <c r="M2143" s="388"/>
      <c r="N2143" s="375"/>
      <c r="O2143" s="370"/>
      <c r="T2143" s="340"/>
      <c r="W2143" s="113"/>
      <c r="X2143" s="241"/>
      <c r="Y2143" s="284"/>
      <c r="Z2143" s="207"/>
      <c r="AA2143" s="284"/>
      <c r="AB2143" s="284"/>
      <c r="AC2143" s="137"/>
      <c r="AD2143" s="284"/>
      <c r="AE2143" s="299"/>
      <c r="AF2143" s="299"/>
      <c r="AG2143" s="284"/>
    </row>
    <row r="2144" spans="2:33">
      <c r="B2144" s="86"/>
      <c r="C2144" s="84"/>
      <c r="D2144" s="86"/>
      <c r="E2144" s="84"/>
      <c r="F2144" s="284"/>
      <c r="G2144" s="49"/>
      <c r="H2144" s="284"/>
      <c r="I2144" s="74"/>
      <c r="J2144" s="371"/>
      <c r="K2144" s="77"/>
      <c r="L2144" s="160"/>
      <c r="M2144" s="388"/>
      <c r="N2144" s="375"/>
      <c r="O2144" s="370"/>
      <c r="T2144" s="340"/>
      <c r="W2144" s="113"/>
      <c r="X2144" s="241"/>
      <c r="Y2144" s="284"/>
      <c r="Z2144" s="207"/>
      <c r="AA2144" s="284"/>
      <c r="AB2144" s="284"/>
      <c r="AC2144" s="137"/>
      <c r="AD2144" s="284"/>
      <c r="AE2144" s="299"/>
      <c r="AF2144" s="299"/>
      <c r="AG2144" s="284"/>
    </row>
    <row r="2145" spans="2:33">
      <c r="B2145" s="86"/>
      <c r="C2145" s="84"/>
      <c r="D2145" s="86"/>
      <c r="E2145" s="84"/>
      <c r="F2145" s="284"/>
      <c r="G2145" s="49"/>
      <c r="H2145" s="284"/>
      <c r="I2145" s="74"/>
      <c r="J2145" s="371"/>
      <c r="K2145" s="77"/>
      <c r="L2145" s="160"/>
      <c r="M2145" s="388"/>
      <c r="N2145" s="375"/>
      <c r="O2145" s="370"/>
      <c r="T2145" s="340"/>
      <c r="W2145" s="113"/>
      <c r="X2145" s="241"/>
      <c r="Y2145" s="284"/>
      <c r="Z2145" s="207"/>
      <c r="AA2145" s="284"/>
      <c r="AB2145" s="284"/>
      <c r="AC2145" s="137"/>
      <c r="AD2145" s="284"/>
      <c r="AE2145" s="299"/>
      <c r="AF2145" s="299"/>
      <c r="AG2145" s="284"/>
    </row>
    <row r="2146" spans="2:33">
      <c r="B2146" s="86"/>
      <c r="C2146" s="84"/>
      <c r="D2146" s="86"/>
      <c r="E2146" s="84"/>
      <c r="F2146" s="284"/>
      <c r="G2146" s="49"/>
      <c r="H2146" s="284"/>
      <c r="I2146" s="74"/>
      <c r="J2146" s="371"/>
      <c r="K2146" s="77"/>
      <c r="L2146" s="160"/>
      <c r="M2146" s="388"/>
      <c r="N2146" s="375"/>
      <c r="O2146" s="370"/>
      <c r="T2146" s="340"/>
      <c r="W2146" s="113"/>
      <c r="X2146" s="241"/>
      <c r="Y2146" s="284"/>
      <c r="Z2146" s="207"/>
      <c r="AA2146" s="284"/>
      <c r="AB2146" s="284"/>
      <c r="AC2146" s="137"/>
      <c r="AD2146" s="284"/>
      <c r="AE2146" s="299"/>
      <c r="AF2146" s="299"/>
      <c r="AG2146" s="284"/>
    </row>
    <row r="2147" spans="2:33">
      <c r="B2147" s="86"/>
      <c r="C2147" s="84"/>
      <c r="D2147" s="86"/>
      <c r="E2147" s="84"/>
      <c r="F2147" s="284"/>
      <c r="G2147" s="49"/>
      <c r="H2147" s="284"/>
      <c r="I2147" s="74"/>
      <c r="J2147" s="371"/>
      <c r="K2147" s="77"/>
      <c r="L2147" s="160"/>
      <c r="M2147" s="388"/>
      <c r="N2147" s="375"/>
      <c r="O2147" s="370"/>
      <c r="T2147" s="340"/>
      <c r="W2147" s="113"/>
      <c r="X2147" s="241"/>
      <c r="Y2147" s="284"/>
      <c r="Z2147" s="207"/>
      <c r="AA2147" s="284"/>
      <c r="AB2147" s="284"/>
      <c r="AC2147" s="137"/>
      <c r="AD2147" s="284"/>
      <c r="AE2147" s="299"/>
      <c r="AF2147" s="299"/>
      <c r="AG2147" s="284"/>
    </row>
    <row r="2148" spans="2:33">
      <c r="B2148" s="86"/>
      <c r="C2148" s="84"/>
      <c r="D2148" s="86"/>
      <c r="E2148" s="84"/>
      <c r="F2148" s="284"/>
      <c r="G2148" s="49"/>
      <c r="H2148" s="284"/>
      <c r="I2148" s="74"/>
      <c r="J2148" s="371"/>
      <c r="K2148" s="77"/>
      <c r="L2148" s="160"/>
      <c r="M2148" s="388"/>
      <c r="N2148" s="375"/>
      <c r="O2148" s="370"/>
      <c r="T2148" s="340"/>
      <c r="W2148" s="113"/>
      <c r="X2148" s="241"/>
      <c r="Y2148" s="284"/>
      <c r="Z2148" s="207"/>
      <c r="AA2148" s="284"/>
      <c r="AB2148" s="284"/>
      <c r="AC2148" s="137"/>
      <c r="AD2148" s="284"/>
      <c r="AE2148" s="299"/>
      <c r="AF2148" s="299"/>
      <c r="AG2148" s="284"/>
    </row>
    <row r="2149" spans="2:33">
      <c r="B2149" s="86"/>
      <c r="C2149" s="84"/>
      <c r="D2149" s="86"/>
      <c r="E2149" s="84"/>
      <c r="F2149" s="284"/>
      <c r="G2149" s="49"/>
      <c r="H2149" s="284"/>
      <c r="I2149" s="74"/>
      <c r="J2149" s="371"/>
      <c r="K2149" s="77"/>
      <c r="L2149" s="160"/>
      <c r="M2149" s="388"/>
      <c r="N2149" s="375"/>
      <c r="O2149" s="370"/>
      <c r="T2149" s="340"/>
      <c r="W2149" s="113"/>
      <c r="X2149" s="241"/>
      <c r="Y2149" s="284"/>
      <c r="Z2149" s="207"/>
      <c r="AA2149" s="284"/>
      <c r="AB2149" s="284"/>
      <c r="AC2149" s="137"/>
      <c r="AD2149" s="284"/>
      <c r="AE2149" s="299"/>
      <c r="AF2149" s="299"/>
      <c r="AG2149" s="284"/>
    </row>
    <row r="2150" spans="2:33">
      <c r="B2150" s="86"/>
      <c r="C2150" s="84"/>
      <c r="D2150" s="86"/>
      <c r="E2150" s="84"/>
      <c r="F2150" s="284"/>
      <c r="G2150" s="49"/>
      <c r="H2150" s="284"/>
      <c r="I2150" s="74"/>
      <c r="J2150" s="371"/>
      <c r="K2150" s="77"/>
      <c r="L2150" s="160"/>
      <c r="M2150" s="388"/>
      <c r="N2150" s="375"/>
      <c r="O2150" s="370"/>
      <c r="T2150" s="340"/>
      <c r="W2150" s="113"/>
      <c r="X2150" s="241"/>
      <c r="Y2150" s="284"/>
      <c r="Z2150" s="207"/>
      <c r="AA2150" s="284"/>
      <c r="AB2150" s="284"/>
      <c r="AC2150" s="137"/>
      <c r="AD2150" s="284"/>
      <c r="AE2150" s="299"/>
      <c r="AF2150" s="299"/>
      <c r="AG2150" s="284"/>
    </row>
    <row r="2151" spans="2:33">
      <c r="B2151" s="86"/>
      <c r="C2151" s="84"/>
      <c r="D2151" s="86"/>
      <c r="E2151" s="84"/>
      <c r="F2151" s="284"/>
      <c r="G2151" s="49"/>
      <c r="H2151" s="284"/>
      <c r="I2151" s="74"/>
      <c r="J2151" s="371"/>
      <c r="K2151" s="77"/>
      <c r="L2151" s="160"/>
      <c r="M2151" s="388"/>
      <c r="N2151" s="375"/>
      <c r="O2151" s="370"/>
      <c r="T2151" s="340"/>
      <c r="W2151" s="113"/>
      <c r="X2151" s="241"/>
      <c r="Y2151" s="284"/>
      <c r="Z2151" s="207"/>
      <c r="AA2151" s="284"/>
      <c r="AB2151" s="284"/>
      <c r="AC2151" s="137"/>
      <c r="AD2151" s="284"/>
      <c r="AE2151" s="299"/>
      <c r="AF2151" s="299"/>
      <c r="AG2151" s="284"/>
    </row>
    <row r="2152" spans="2:33">
      <c r="B2152" s="86"/>
      <c r="C2152" s="84"/>
      <c r="D2152" s="86"/>
      <c r="E2152" s="84"/>
      <c r="F2152" s="284"/>
      <c r="G2152" s="49"/>
      <c r="H2152" s="284"/>
      <c r="I2152" s="74"/>
      <c r="J2152" s="371"/>
      <c r="K2152" s="77"/>
      <c r="L2152" s="160"/>
      <c r="M2152" s="388"/>
      <c r="N2152" s="375"/>
      <c r="O2152" s="370"/>
      <c r="T2152" s="340"/>
      <c r="W2152" s="113"/>
      <c r="X2152" s="241"/>
      <c r="Y2152" s="284"/>
      <c r="Z2152" s="207"/>
      <c r="AA2152" s="284"/>
      <c r="AB2152" s="284"/>
      <c r="AC2152" s="137"/>
      <c r="AD2152" s="284"/>
      <c r="AE2152" s="299"/>
      <c r="AF2152" s="299"/>
      <c r="AG2152" s="284"/>
    </row>
    <row r="2153" spans="2:33">
      <c r="B2153" s="86"/>
      <c r="C2153" s="84"/>
      <c r="D2153" s="86"/>
      <c r="E2153" s="84"/>
      <c r="F2153" s="284"/>
      <c r="G2153" s="49"/>
      <c r="H2153" s="284"/>
      <c r="I2153" s="74"/>
      <c r="J2153" s="371"/>
      <c r="K2153" s="77"/>
      <c r="L2153" s="160"/>
      <c r="M2153" s="388"/>
      <c r="N2153" s="375"/>
      <c r="O2153" s="370"/>
      <c r="T2153" s="340"/>
      <c r="W2153" s="113"/>
      <c r="X2153" s="241"/>
      <c r="Y2153" s="284"/>
      <c r="Z2153" s="207"/>
      <c r="AA2153" s="284"/>
      <c r="AB2153" s="284"/>
      <c r="AC2153" s="137"/>
      <c r="AD2153" s="284"/>
      <c r="AE2153" s="299"/>
      <c r="AF2153" s="299"/>
      <c r="AG2153" s="284"/>
    </row>
    <row r="2154" spans="2:33">
      <c r="B2154" s="86"/>
      <c r="C2154" s="84"/>
      <c r="D2154" s="86"/>
      <c r="E2154" s="84"/>
      <c r="F2154" s="284"/>
      <c r="G2154" s="49"/>
      <c r="H2154" s="284"/>
      <c r="I2154" s="74"/>
      <c r="J2154" s="371"/>
      <c r="K2154" s="77"/>
      <c r="L2154" s="160"/>
      <c r="M2154" s="388"/>
      <c r="N2154" s="375"/>
      <c r="O2154" s="370"/>
      <c r="T2154" s="340"/>
      <c r="W2154" s="113"/>
      <c r="X2154" s="241"/>
      <c r="Y2154" s="284"/>
      <c r="Z2154" s="207"/>
      <c r="AA2154" s="284"/>
      <c r="AB2154" s="284"/>
      <c r="AC2154" s="137"/>
      <c r="AD2154" s="284"/>
      <c r="AE2154" s="299"/>
      <c r="AF2154" s="299"/>
      <c r="AG2154" s="284"/>
    </row>
    <row r="2155" spans="2:33">
      <c r="B2155" s="86"/>
      <c r="C2155" s="84"/>
      <c r="D2155" s="86"/>
      <c r="E2155" s="84"/>
      <c r="F2155" s="284"/>
      <c r="G2155" s="49"/>
      <c r="H2155" s="284"/>
      <c r="I2155" s="74"/>
      <c r="J2155" s="371"/>
      <c r="K2155" s="77"/>
      <c r="L2155" s="160"/>
      <c r="M2155" s="388"/>
      <c r="N2155" s="375"/>
      <c r="O2155" s="370"/>
      <c r="T2155" s="340"/>
      <c r="W2155" s="113"/>
      <c r="X2155" s="241"/>
      <c r="Y2155" s="284"/>
      <c r="Z2155" s="207"/>
      <c r="AA2155" s="284"/>
      <c r="AB2155" s="284"/>
      <c r="AC2155" s="137"/>
      <c r="AD2155" s="284"/>
      <c r="AE2155" s="299"/>
      <c r="AF2155" s="299"/>
      <c r="AG2155" s="284"/>
    </row>
    <row r="2156" spans="2:33">
      <c r="B2156" s="86"/>
      <c r="C2156" s="84"/>
      <c r="D2156" s="86"/>
      <c r="E2156" s="84"/>
      <c r="F2156" s="284"/>
      <c r="G2156" s="49"/>
      <c r="H2156" s="284"/>
      <c r="I2156" s="74"/>
      <c r="J2156" s="371"/>
      <c r="K2156" s="77"/>
      <c r="L2156" s="160"/>
      <c r="M2156" s="388"/>
      <c r="N2156" s="375"/>
      <c r="O2156" s="370"/>
      <c r="T2156" s="340"/>
      <c r="W2156" s="113"/>
      <c r="X2156" s="241"/>
      <c r="Y2156" s="284"/>
      <c r="Z2156" s="207"/>
      <c r="AA2156" s="284"/>
      <c r="AB2156" s="284"/>
      <c r="AC2156" s="137"/>
      <c r="AD2156" s="284"/>
      <c r="AE2156" s="299"/>
      <c r="AF2156" s="299"/>
      <c r="AG2156" s="284"/>
    </row>
    <row r="2157" spans="2:33">
      <c r="B2157" s="86"/>
      <c r="C2157" s="84"/>
      <c r="D2157" s="86"/>
      <c r="E2157" s="84"/>
      <c r="F2157" s="284"/>
      <c r="G2157" s="49"/>
      <c r="H2157" s="284"/>
      <c r="I2157" s="74"/>
      <c r="J2157" s="371"/>
      <c r="K2157" s="77"/>
      <c r="L2157" s="160"/>
      <c r="M2157" s="388"/>
      <c r="N2157" s="375"/>
      <c r="O2157" s="370"/>
      <c r="T2157" s="340"/>
      <c r="W2157" s="113"/>
      <c r="X2157" s="241"/>
      <c r="Y2157" s="284"/>
      <c r="Z2157" s="207"/>
      <c r="AA2157" s="284"/>
      <c r="AB2157" s="284"/>
      <c r="AC2157" s="137"/>
      <c r="AD2157" s="284"/>
      <c r="AE2157" s="299"/>
      <c r="AF2157" s="299"/>
      <c r="AG2157" s="284"/>
    </row>
    <row r="2158" spans="2:33">
      <c r="B2158" s="86"/>
      <c r="C2158" s="84"/>
      <c r="D2158" s="86"/>
      <c r="E2158" s="84"/>
      <c r="F2158" s="284"/>
      <c r="G2158" s="49"/>
      <c r="H2158" s="284"/>
      <c r="I2158" s="74"/>
      <c r="J2158" s="371"/>
      <c r="K2158" s="77"/>
      <c r="L2158" s="160"/>
      <c r="M2158" s="388"/>
      <c r="N2158" s="375"/>
      <c r="O2158" s="370"/>
      <c r="T2158" s="340"/>
      <c r="W2158" s="113"/>
      <c r="X2158" s="241"/>
      <c r="Y2158" s="284"/>
      <c r="Z2158" s="207"/>
      <c r="AA2158" s="284"/>
      <c r="AB2158" s="284"/>
      <c r="AC2158" s="137"/>
      <c r="AD2158" s="284"/>
      <c r="AE2158" s="299"/>
      <c r="AF2158" s="299"/>
      <c r="AG2158" s="284"/>
    </row>
    <row r="2159" spans="2:33">
      <c r="B2159" s="86"/>
      <c r="C2159" s="84"/>
      <c r="D2159" s="86"/>
      <c r="E2159" s="84"/>
      <c r="F2159" s="284"/>
      <c r="G2159" s="49"/>
      <c r="H2159" s="284"/>
      <c r="I2159" s="74"/>
      <c r="J2159" s="371"/>
      <c r="K2159" s="77"/>
      <c r="L2159" s="160"/>
      <c r="M2159" s="388"/>
      <c r="N2159" s="375"/>
      <c r="O2159" s="370"/>
      <c r="T2159" s="340"/>
      <c r="W2159" s="113"/>
      <c r="X2159" s="241"/>
      <c r="Y2159" s="284"/>
      <c r="Z2159" s="207"/>
      <c r="AA2159" s="284"/>
      <c r="AB2159" s="284"/>
      <c r="AC2159" s="137"/>
      <c r="AD2159" s="284"/>
      <c r="AE2159" s="299"/>
      <c r="AF2159" s="299"/>
      <c r="AG2159" s="284"/>
    </row>
    <row r="2160" spans="2:33">
      <c r="B2160" s="86"/>
      <c r="C2160" s="84"/>
      <c r="D2160" s="86"/>
      <c r="E2160" s="84"/>
      <c r="F2160" s="284"/>
      <c r="G2160" s="49"/>
      <c r="H2160" s="284"/>
      <c r="I2160" s="74"/>
      <c r="J2160" s="371"/>
      <c r="K2160" s="77"/>
      <c r="L2160" s="160"/>
      <c r="M2160" s="388"/>
      <c r="N2160" s="375"/>
      <c r="O2160" s="370"/>
      <c r="T2160" s="340"/>
      <c r="W2160" s="113"/>
      <c r="X2160" s="241"/>
      <c r="Y2160" s="284"/>
      <c r="Z2160" s="207"/>
      <c r="AA2160" s="284"/>
      <c r="AB2160" s="284"/>
      <c r="AC2160" s="137"/>
      <c r="AD2160" s="284"/>
      <c r="AE2160" s="299"/>
      <c r="AF2160" s="299"/>
      <c r="AG2160" s="284"/>
    </row>
    <row r="2161" spans="2:33">
      <c r="B2161" s="86"/>
      <c r="C2161" s="84"/>
      <c r="D2161" s="86"/>
      <c r="E2161" s="84"/>
      <c r="F2161" s="284"/>
      <c r="G2161" s="49"/>
      <c r="H2161" s="284"/>
      <c r="I2161" s="74"/>
      <c r="J2161" s="371"/>
      <c r="K2161" s="77"/>
      <c r="L2161" s="160"/>
      <c r="M2161" s="388"/>
      <c r="N2161" s="375"/>
      <c r="O2161" s="370"/>
      <c r="T2161" s="340"/>
      <c r="W2161" s="113"/>
      <c r="X2161" s="241"/>
      <c r="Y2161" s="284"/>
      <c r="Z2161" s="207"/>
      <c r="AA2161" s="284"/>
      <c r="AB2161" s="284"/>
      <c r="AC2161" s="137"/>
      <c r="AD2161" s="284"/>
      <c r="AE2161" s="299"/>
      <c r="AF2161" s="299"/>
      <c r="AG2161" s="284"/>
    </row>
    <row r="2162" spans="2:33">
      <c r="B2162" s="86"/>
      <c r="C2162" s="84"/>
      <c r="D2162" s="86"/>
      <c r="E2162" s="84"/>
      <c r="F2162" s="284"/>
      <c r="G2162" s="49"/>
      <c r="H2162" s="284"/>
      <c r="I2162" s="74"/>
      <c r="J2162" s="371"/>
      <c r="K2162" s="77"/>
      <c r="L2162" s="160"/>
      <c r="M2162" s="388"/>
      <c r="N2162" s="375"/>
      <c r="O2162" s="370"/>
      <c r="T2162" s="340"/>
      <c r="W2162" s="113"/>
      <c r="X2162" s="241"/>
      <c r="Y2162" s="284"/>
      <c r="Z2162" s="207"/>
      <c r="AA2162" s="284"/>
      <c r="AB2162" s="284"/>
      <c r="AC2162" s="137"/>
      <c r="AD2162" s="284"/>
      <c r="AE2162" s="299"/>
      <c r="AF2162" s="299"/>
      <c r="AG2162" s="284"/>
    </row>
    <row r="2163" spans="2:33">
      <c r="B2163" s="86"/>
      <c r="C2163" s="84"/>
      <c r="D2163" s="86"/>
      <c r="E2163" s="84"/>
      <c r="F2163" s="284"/>
      <c r="G2163" s="49"/>
      <c r="H2163" s="284"/>
      <c r="I2163" s="74"/>
      <c r="J2163" s="371"/>
      <c r="K2163" s="77"/>
      <c r="L2163" s="160"/>
      <c r="M2163" s="388"/>
      <c r="N2163" s="375"/>
      <c r="O2163" s="370"/>
      <c r="T2163" s="340"/>
      <c r="W2163" s="113"/>
      <c r="X2163" s="241"/>
      <c r="Y2163" s="284"/>
      <c r="Z2163" s="207"/>
      <c r="AA2163" s="284"/>
      <c r="AB2163" s="284"/>
      <c r="AC2163" s="137"/>
      <c r="AD2163" s="284"/>
      <c r="AE2163" s="299"/>
      <c r="AF2163" s="299"/>
      <c r="AG2163" s="284"/>
    </row>
    <row r="2164" spans="2:33">
      <c r="B2164" s="86"/>
      <c r="C2164" s="84"/>
      <c r="D2164" s="86"/>
      <c r="E2164" s="84"/>
      <c r="F2164" s="284"/>
      <c r="G2164" s="49"/>
      <c r="H2164" s="284"/>
      <c r="I2164" s="74"/>
      <c r="J2164" s="371"/>
      <c r="K2164" s="77"/>
      <c r="L2164" s="160"/>
      <c r="M2164" s="388"/>
      <c r="N2164" s="375"/>
      <c r="O2164" s="370"/>
      <c r="T2164" s="340"/>
      <c r="W2164" s="113"/>
      <c r="X2164" s="241"/>
      <c r="Y2164" s="284"/>
      <c r="Z2164" s="207"/>
      <c r="AA2164" s="284"/>
      <c r="AB2164" s="284"/>
      <c r="AC2164" s="137"/>
      <c r="AD2164" s="284"/>
      <c r="AE2164" s="299"/>
      <c r="AF2164" s="299"/>
      <c r="AG2164" s="284"/>
    </row>
    <row r="2165" spans="2:33">
      <c r="B2165" s="86"/>
      <c r="C2165" s="84"/>
      <c r="D2165" s="86"/>
      <c r="E2165" s="84"/>
      <c r="F2165" s="284"/>
      <c r="G2165" s="49"/>
      <c r="H2165" s="284"/>
      <c r="I2165" s="74"/>
      <c r="J2165" s="371"/>
      <c r="K2165" s="77"/>
      <c r="L2165" s="160"/>
      <c r="M2165" s="388"/>
      <c r="N2165" s="375"/>
      <c r="O2165" s="370"/>
      <c r="T2165" s="340"/>
      <c r="W2165" s="113"/>
      <c r="X2165" s="241"/>
      <c r="Y2165" s="284"/>
      <c r="Z2165" s="207"/>
      <c r="AA2165" s="284"/>
      <c r="AB2165" s="284"/>
      <c r="AC2165" s="137"/>
      <c r="AD2165" s="284"/>
      <c r="AE2165" s="299"/>
      <c r="AF2165" s="299"/>
      <c r="AG2165" s="284"/>
    </row>
    <row r="2166" spans="2:33">
      <c r="B2166" s="86"/>
      <c r="C2166" s="84"/>
      <c r="D2166" s="86"/>
      <c r="E2166" s="84"/>
      <c r="F2166" s="284"/>
      <c r="G2166" s="49"/>
      <c r="H2166" s="284"/>
      <c r="I2166" s="74"/>
      <c r="J2166" s="371"/>
      <c r="K2166" s="77"/>
      <c r="L2166" s="160"/>
      <c r="M2166" s="388"/>
      <c r="N2166" s="375"/>
      <c r="O2166" s="370"/>
      <c r="T2166" s="340"/>
      <c r="W2166" s="113"/>
      <c r="X2166" s="241"/>
      <c r="Y2166" s="284"/>
      <c r="Z2166" s="207"/>
      <c r="AA2166" s="284"/>
      <c r="AB2166" s="284"/>
      <c r="AC2166" s="137"/>
      <c r="AD2166" s="284"/>
      <c r="AE2166" s="299"/>
      <c r="AF2166" s="299"/>
      <c r="AG2166" s="284"/>
    </row>
    <row r="2167" spans="2:33">
      <c r="B2167" s="86"/>
      <c r="C2167" s="84"/>
      <c r="D2167" s="86"/>
      <c r="E2167" s="84"/>
      <c r="F2167" s="284"/>
      <c r="G2167" s="49"/>
      <c r="H2167" s="284"/>
      <c r="I2167" s="74"/>
      <c r="J2167" s="371"/>
      <c r="K2167" s="77"/>
      <c r="L2167" s="160"/>
      <c r="M2167" s="388"/>
      <c r="N2167" s="375"/>
      <c r="O2167" s="370"/>
      <c r="T2167" s="340"/>
      <c r="W2167" s="113"/>
      <c r="X2167" s="241"/>
      <c r="Y2167" s="284"/>
      <c r="Z2167" s="207"/>
      <c r="AA2167" s="284"/>
      <c r="AB2167" s="284"/>
      <c r="AC2167" s="137"/>
      <c r="AD2167" s="284"/>
      <c r="AE2167" s="299"/>
      <c r="AF2167" s="299"/>
      <c r="AG2167" s="284"/>
    </row>
    <row r="2168" spans="2:33">
      <c r="B2168" s="86"/>
      <c r="C2168" s="84"/>
      <c r="D2168" s="86"/>
      <c r="E2168" s="84"/>
      <c r="F2168" s="284"/>
      <c r="G2168" s="49"/>
      <c r="H2168" s="284"/>
      <c r="I2168" s="74"/>
      <c r="J2168" s="371"/>
      <c r="K2168" s="77"/>
      <c r="L2168" s="160"/>
      <c r="M2168" s="388"/>
      <c r="N2168" s="375"/>
      <c r="O2168" s="370"/>
      <c r="T2168" s="340"/>
      <c r="W2168" s="113"/>
      <c r="X2168" s="241"/>
      <c r="Y2168" s="284"/>
      <c r="Z2168" s="207"/>
      <c r="AA2168" s="284"/>
      <c r="AB2168" s="284"/>
      <c r="AC2168" s="137"/>
      <c r="AD2168" s="284"/>
      <c r="AE2168" s="299"/>
      <c r="AF2168" s="299"/>
      <c r="AG2168" s="284"/>
    </row>
    <row r="2169" spans="2:33">
      <c r="B2169" s="86"/>
      <c r="C2169" s="84"/>
      <c r="D2169" s="86"/>
      <c r="E2169" s="84"/>
      <c r="F2169" s="284"/>
      <c r="G2169" s="49"/>
      <c r="H2169" s="284"/>
      <c r="I2169" s="74"/>
      <c r="J2169" s="371"/>
      <c r="K2169" s="77"/>
      <c r="L2169" s="160"/>
      <c r="M2169" s="388"/>
      <c r="N2169" s="375"/>
      <c r="O2169" s="370"/>
      <c r="T2169" s="340"/>
      <c r="W2169" s="113"/>
      <c r="X2169" s="241"/>
      <c r="Y2169" s="284"/>
      <c r="Z2169" s="207"/>
      <c r="AA2169" s="284"/>
      <c r="AB2169" s="284"/>
      <c r="AC2169" s="137"/>
      <c r="AD2169" s="284"/>
      <c r="AE2169" s="299"/>
      <c r="AF2169" s="299"/>
      <c r="AG2169" s="284"/>
    </row>
    <row r="2170" spans="2:33">
      <c r="B2170" s="86"/>
      <c r="C2170" s="84"/>
      <c r="D2170" s="86"/>
      <c r="E2170" s="84"/>
      <c r="F2170" s="284"/>
      <c r="G2170" s="49"/>
      <c r="H2170" s="284"/>
      <c r="I2170" s="74"/>
      <c r="J2170" s="371"/>
      <c r="K2170" s="77"/>
      <c r="L2170" s="160"/>
      <c r="M2170" s="388"/>
      <c r="N2170" s="375"/>
      <c r="O2170" s="370"/>
      <c r="T2170" s="340"/>
      <c r="W2170" s="113"/>
      <c r="X2170" s="241"/>
      <c r="Y2170" s="284"/>
      <c r="Z2170" s="207"/>
      <c r="AA2170" s="284"/>
      <c r="AB2170" s="284"/>
      <c r="AC2170" s="137"/>
      <c r="AD2170" s="284"/>
      <c r="AE2170" s="299"/>
      <c r="AF2170" s="299"/>
      <c r="AG2170" s="284"/>
    </row>
    <row r="2171" spans="2:33">
      <c r="B2171" s="86"/>
      <c r="C2171" s="84"/>
      <c r="D2171" s="86"/>
      <c r="E2171" s="84"/>
      <c r="F2171" s="284"/>
      <c r="G2171" s="49"/>
      <c r="H2171" s="284"/>
      <c r="I2171" s="74"/>
      <c r="J2171" s="371"/>
      <c r="K2171" s="77"/>
      <c r="L2171" s="160"/>
      <c r="M2171" s="388"/>
      <c r="N2171" s="375"/>
      <c r="O2171" s="370"/>
      <c r="T2171" s="340"/>
      <c r="W2171" s="113"/>
      <c r="X2171" s="241"/>
      <c r="Y2171" s="284"/>
      <c r="Z2171" s="207"/>
      <c r="AA2171" s="284"/>
      <c r="AB2171" s="284"/>
      <c r="AC2171" s="137"/>
      <c r="AD2171" s="284"/>
      <c r="AE2171" s="299"/>
      <c r="AF2171" s="299"/>
      <c r="AG2171" s="284"/>
    </row>
    <row r="2172" spans="2:33">
      <c r="B2172" s="86"/>
      <c r="C2172" s="84"/>
      <c r="D2172" s="86"/>
      <c r="E2172" s="84"/>
      <c r="F2172" s="284"/>
      <c r="G2172" s="49"/>
      <c r="H2172" s="284"/>
      <c r="I2172" s="74"/>
      <c r="J2172" s="371"/>
      <c r="K2172" s="77"/>
      <c r="L2172" s="160"/>
      <c r="M2172" s="388"/>
      <c r="N2172" s="375"/>
      <c r="O2172" s="370"/>
      <c r="T2172" s="340"/>
      <c r="W2172" s="113"/>
      <c r="X2172" s="241"/>
      <c r="Y2172" s="284"/>
      <c r="Z2172" s="207"/>
      <c r="AA2172" s="284"/>
      <c r="AB2172" s="284"/>
      <c r="AC2172" s="137"/>
      <c r="AD2172" s="284"/>
      <c r="AE2172" s="299"/>
      <c r="AF2172" s="299"/>
      <c r="AG2172" s="284"/>
    </row>
    <row r="2173" spans="2:33">
      <c r="B2173" s="86"/>
      <c r="C2173" s="84"/>
      <c r="D2173" s="86"/>
      <c r="E2173" s="84"/>
      <c r="F2173" s="284"/>
      <c r="G2173" s="49"/>
      <c r="H2173" s="284"/>
      <c r="I2173" s="74"/>
      <c r="J2173" s="371"/>
      <c r="K2173" s="77"/>
      <c r="L2173" s="160"/>
      <c r="M2173" s="388"/>
      <c r="N2173" s="375"/>
      <c r="O2173" s="370"/>
      <c r="T2173" s="340"/>
      <c r="W2173" s="113"/>
      <c r="X2173" s="241"/>
      <c r="Y2173" s="284"/>
      <c r="Z2173" s="207"/>
      <c r="AA2173" s="284"/>
      <c r="AB2173" s="284"/>
      <c r="AC2173" s="137"/>
      <c r="AD2173" s="284"/>
      <c r="AE2173" s="299"/>
      <c r="AF2173" s="299"/>
      <c r="AG2173" s="284"/>
    </row>
    <row r="2174" spans="2:33">
      <c r="B2174" s="86"/>
      <c r="C2174" s="84"/>
      <c r="D2174" s="86"/>
      <c r="E2174" s="84"/>
      <c r="F2174" s="284"/>
      <c r="G2174" s="49"/>
      <c r="H2174" s="284"/>
      <c r="I2174" s="74"/>
      <c r="J2174" s="371"/>
      <c r="K2174" s="77"/>
      <c r="L2174" s="160"/>
      <c r="M2174" s="388"/>
      <c r="N2174" s="375"/>
      <c r="O2174" s="370"/>
      <c r="T2174" s="340"/>
      <c r="W2174" s="113"/>
      <c r="X2174" s="241"/>
      <c r="Y2174" s="284"/>
      <c r="Z2174" s="207"/>
      <c r="AA2174" s="284"/>
      <c r="AB2174" s="284"/>
      <c r="AC2174" s="137"/>
      <c r="AD2174" s="284"/>
      <c r="AE2174" s="299"/>
      <c r="AF2174" s="299"/>
      <c r="AG2174" s="284"/>
    </row>
    <row r="2175" spans="2:33">
      <c r="B2175" s="86"/>
      <c r="C2175" s="84"/>
      <c r="D2175" s="86"/>
      <c r="E2175" s="84"/>
      <c r="F2175" s="284"/>
      <c r="G2175" s="49"/>
      <c r="H2175" s="284"/>
      <c r="I2175" s="74"/>
      <c r="J2175" s="371"/>
      <c r="K2175" s="77"/>
      <c r="L2175" s="160"/>
      <c r="M2175" s="388"/>
      <c r="N2175" s="375"/>
      <c r="O2175" s="370"/>
      <c r="T2175" s="340"/>
      <c r="W2175" s="113"/>
      <c r="X2175" s="241"/>
      <c r="Y2175" s="284"/>
      <c r="Z2175" s="207"/>
      <c r="AA2175" s="284"/>
      <c r="AB2175" s="284"/>
      <c r="AC2175" s="137"/>
      <c r="AD2175" s="284"/>
      <c r="AE2175" s="299"/>
      <c r="AF2175" s="299"/>
      <c r="AG2175" s="284"/>
    </row>
    <row r="2176" spans="2:33">
      <c r="B2176" s="86"/>
      <c r="C2176" s="84"/>
      <c r="D2176" s="86"/>
      <c r="E2176" s="84"/>
      <c r="F2176" s="284"/>
      <c r="G2176" s="49"/>
      <c r="H2176" s="284"/>
      <c r="I2176" s="74"/>
      <c r="J2176" s="371"/>
      <c r="K2176" s="77"/>
      <c r="L2176" s="160"/>
      <c r="M2176" s="388"/>
      <c r="N2176" s="375"/>
      <c r="O2176" s="370"/>
      <c r="T2176" s="340"/>
      <c r="W2176" s="113"/>
      <c r="X2176" s="241"/>
      <c r="Y2176" s="284"/>
      <c r="Z2176" s="207"/>
      <c r="AA2176" s="284"/>
      <c r="AB2176" s="284"/>
      <c r="AC2176" s="137"/>
      <c r="AD2176" s="284"/>
      <c r="AE2176" s="299"/>
      <c r="AF2176" s="299"/>
      <c r="AG2176" s="284"/>
    </row>
    <row r="2177" spans="2:33">
      <c r="B2177" s="86"/>
      <c r="C2177" s="84"/>
      <c r="D2177" s="86"/>
      <c r="E2177" s="84"/>
      <c r="F2177" s="284"/>
      <c r="G2177" s="49"/>
      <c r="H2177" s="284"/>
      <c r="I2177" s="74"/>
      <c r="J2177" s="371"/>
      <c r="K2177" s="77"/>
      <c r="L2177" s="160"/>
      <c r="M2177" s="388"/>
      <c r="N2177" s="375"/>
      <c r="O2177" s="370"/>
      <c r="T2177" s="340"/>
      <c r="W2177" s="113"/>
      <c r="X2177" s="241"/>
      <c r="Y2177" s="284"/>
      <c r="Z2177" s="207"/>
      <c r="AA2177" s="284"/>
      <c r="AB2177" s="284"/>
      <c r="AC2177" s="137"/>
      <c r="AD2177" s="284"/>
      <c r="AE2177" s="299"/>
      <c r="AF2177" s="299"/>
      <c r="AG2177" s="284"/>
    </row>
    <row r="2178" spans="2:33">
      <c r="B2178" s="86"/>
      <c r="C2178" s="84"/>
      <c r="D2178" s="86"/>
      <c r="E2178" s="84"/>
      <c r="F2178" s="284"/>
      <c r="G2178" s="49"/>
      <c r="H2178" s="284"/>
      <c r="I2178" s="74"/>
      <c r="J2178" s="371"/>
      <c r="K2178" s="77"/>
      <c r="L2178" s="160"/>
      <c r="M2178" s="388"/>
      <c r="N2178" s="375"/>
      <c r="O2178" s="370"/>
      <c r="T2178" s="340"/>
      <c r="W2178" s="113"/>
      <c r="X2178" s="241"/>
      <c r="Y2178" s="284"/>
      <c r="Z2178" s="207"/>
      <c r="AA2178" s="284"/>
      <c r="AB2178" s="284"/>
      <c r="AC2178" s="137"/>
      <c r="AD2178" s="284"/>
      <c r="AE2178" s="299"/>
      <c r="AF2178" s="299"/>
      <c r="AG2178" s="284"/>
    </row>
    <row r="2179" spans="2:33">
      <c r="B2179" s="86"/>
      <c r="C2179" s="84"/>
      <c r="D2179" s="86"/>
      <c r="E2179" s="84"/>
      <c r="F2179" s="284"/>
      <c r="G2179" s="49"/>
      <c r="H2179" s="284"/>
      <c r="I2179" s="74"/>
      <c r="J2179" s="371"/>
      <c r="K2179" s="77"/>
      <c r="L2179" s="160"/>
      <c r="M2179" s="388"/>
      <c r="N2179" s="375"/>
      <c r="O2179" s="370"/>
      <c r="T2179" s="340"/>
      <c r="W2179" s="113"/>
      <c r="X2179" s="241"/>
      <c r="Y2179" s="284"/>
      <c r="Z2179" s="207"/>
      <c r="AA2179" s="284"/>
      <c r="AB2179" s="284"/>
      <c r="AC2179" s="137"/>
      <c r="AD2179" s="284"/>
      <c r="AE2179" s="299"/>
      <c r="AF2179" s="299"/>
      <c r="AG2179" s="284"/>
    </row>
    <row r="2180" spans="2:33">
      <c r="B2180" s="86"/>
      <c r="C2180" s="84"/>
      <c r="D2180" s="86"/>
      <c r="E2180" s="84"/>
      <c r="F2180" s="284"/>
      <c r="G2180" s="49"/>
      <c r="H2180" s="284"/>
      <c r="I2180" s="74"/>
      <c r="J2180" s="371"/>
      <c r="K2180" s="77"/>
      <c r="L2180" s="160"/>
      <c r="M2180" s="388"/>
      <c r="N2180" s="375"/>
      <c r="O2180" s="370"/>
      <c r="T2180" s="340"/>
      <c r="W2180" s="113"/>
      <c r="X2180" s="241"/>
      <c r="Y2180" s="284"/>
      <c r="Z2180" s="207"/>
      <c r="AA2180" s="284"/>
      <c r="AB2180" s="284"/>
      <c r="AC2180" s="137"/>
      <c r="AD2180" s="284"/>
      <c r="AE2180" s="299"/>
      <c r="AF2180" s="299"/>
      <c r="AG2180" s="284"/>
    </row>
    <row r="2181" spans="2:33">
      <c r="B2181" s="86"/>
      <c r="C2181" s="84"/>
      <c r="D2181" s="86"/>
      <c r="E2181" s="84"/>
      <c r="F2181" s="284"/>
      <c r="G2181" s="49"/>
      <c r="H2181" s="284"/>
      <c r="I2181" s="74"/>
      <c r="J2181" s="371"/>
      <c r="K2181" s="77"/>
      <c r="L2181" s="160"/>
      <c r="M2181" s="388"/>
      <c r="N2181" s="375"/>
      <c r="O2181" s="370"/>
      <c r="T2181" s="340"/>
      <c r="W2181" s="113"/>
      <c r="X2181" s="241"/>
      <c r="Y2181" s="284"/>
      <c r="Z2181" s="207"/>
      <c r="AA2181" s="284"/>
      <c r="AB2181" s="284"/>
      <c r="AC2181" s="137"/>
      <c r="AD2181" s="284"/>
      <c r="AE2181" s="299"/>
      <c r="AF2181" s="299"/>
      <c r="AG2181" s="284"/>
    </row>
    <row r="2182" spans="2:33">
      <c r="B2182" s="86"/>
      <c r="C2182" s="84"/>
      <c r="D2182" s="86"/>
      <c r="E2182" s="84"/>
      <c r="F2182" s="284"/>
      <c r="G2182" s="49"/>
      <c r="H2182" s="284"/>
      <c r="I2182" s="74"/>
      <c r="J2182" s="371"/>
      <c r="K2182" s="77"/>
      <c r="L2182" s="160"/>
      <c r="M2182" s="388"/>
      <c r="N2182" s="375"/>
      <c r="O2182" s="370"/>
      <c r="T2182" s="340"/>
      <c r="W2182" s="113"/>
      <c r="X2182" s="241"/>
      <c r="Y2182" s="284"/>
      <c r="Z2182" s="207"/>
      <c r="AA2182" s="284"/>
      <c r="AB2182" s="284"/>
      <c r="AC2182" s="137"/>
      <c r="AD2182" s="284"/>
      <c r="AE2182" s="299"/>
      <c r="AF2182" s="299"/>
      <c r="AG2182" s="284"/>
    </row>
    <row r="2183" spans="2:33">
      <c r="B2183" s="86"/>
      <c r="C2183" s="84"/>
      <c r="D2183" s="86"/>
      <c r="E2183" s="84"/>
      <c r="F2183" s="284"/>
      <c r="G2183" s="49"/>
      <c r="H2183" s="284"/>
      <c r="I2183" s="74"/>
      <c r="J2183" s="371"/>
      <c r="K2183" s="77"/>
      <c r="L2183" s="160"/>
      <c r="M2183" s="388"/>
      <c r="N2183" s="375"/>
      <c r="O2183" s="370"/>
      <c r="T2183" s="340"/>
      <c r="W2183" s="113"/>
      <c r="X2183" s="241"/>
      <c r="Y2183" s="284"/>
      <c r="Z2183" s="207"/>
      <c r="AA2183" s="284"/>
      <c r="AB2183" s="284"/>
      <c r="AC2183" s="137"/>
      <c r="AD2183" s="284"/>
      <c r="AE2183" s="299"/>
      <c r="AF2183" s="299"/>
      <c r="AG2183" s="284"/>
    </row>
    <row r="2184" spans="2:33">
      <c r="B2184" s="86"/>
      <c r="C2184" s="84"/>
      <c r="D2184" s="86"/>
      <c r="E2184" s="84"/>
      <c r="F2184" s="284"/>
      <c r="G2184" s="49"/>
      <c r="H2184" s="284"/>
      <c r="I2184" s="74"/>
      <c r="J2184" s="371"/>
      <c r="K2184" s="77"/>
      <c r="L2184" s="160"/>
      <c r="M2184" s="388"/>
      <c r="N2184" s="375"/>
      <c r="O2184" s="370"/>
      <c r="T2184" s="340"/>
      <c r="W2184" s="113"/>
      <c r="X2184" s="241"/>
      <c r="Y2184" s="284"/>
      <c r="Z2184" s="207"/>
      <c r="AA2184" s="284"/>
      <c r="AB2184" s="284"/>
      <c r="AC2184" s="137"/>
      <c r="AD2184" s="284"/>
      <c r="AE2184" s="299"/>
      <c r="AF2184" s="299"/>
      <c r="AG2184" s="284"/>
    </row>
    <row r="2185" spans="2:33">
      <c r="B2185" s="86"/>
      <c r="C2185" s="84"/>
      <c r="D2185" s="86"/>
      <c r="E2185" s="84"/>
      <c r="F2185" s="284"/>
      <c r="G2185" s="49"/>
      <c r="H2185" s="284"/>
      <c r="I2185" s="74"/>
      <c r="J2185" s="371"/>
      <c r="K2185" s="77"/>
      <c r="L2185" s="160"/>
      <c r="M2185" s="388"/>
      <c r="N2185" s="375"/>
      <c r="O2185" s="370"/>
      <c r="T2185" s="340"/>
      <c r="W2185" s="113"/>
      <c r="X2185" s="241"/>
      <c r="Y2185" s="284"/>
      <c r="Z2185" s="207"/>
      <c r="AA2185" s="284"/>
      <c r="AB2185" s="284"/>
      <c r="AC2185" s="137"/>
      <c r="AD2185" s="284"/>
      <c r="AE2185" s="299"/>
      <c r="AF2185" s="299"/>
      <c r="AG2185" s="284"/>
    </row>
    <row r="2186" spans="2:33">
      <c r="B2186" s="86"/>
      <c r="C2186" s="84"/>
      <c r="D2186" s="86"/>
      <c r="E2186" s="84"/>
      <c r="F2186" s="284"/>
      <c r="G2186" s="49"/>
      <c r="H2186" s="284"/>
      <c r="I2186" s="74"/>
      <c r="J2186" s="371"/>
      <c r="K2186" s="77"/>
      <c r="L2186" s="160"/>
      <c r="M2186" s="388"/>
      <c r="N2186" s="375"/>
      <c r="O2186" s="370"/>
      <c r="T2186" s="340"/>
      <c r="W2186" s="113"/>
      <c r="X2186" s="241"/>
      <c r="Y2186" s="284"/>
      <c r="Z2186" s="207"/>
      <c r="AA2186" s="284"/>
      <c r="AB2186" s="284"/>
      <c r="AC2186" s="137"/>
      <c r="AD2186" s="284"/>
      <c r="AE2186" s="299"/>
      <c r="AF2186" s="299"/>
      <c r="AG2186" s="284"/>
    </row>
    <row r="2187" spans="2:33">
      <c r="B2187" s="86"/>
      <c r="C2187" s="84"/>
      <c r="D2187" s="86"/>
      <c r="E2187" s="84"/>
      <c r="F2187" s="284"/>
      <c r="G2187" s="49"/>
      <c r="H2187" s="284"/>
      <c r="I2187" s="74"/>
      <c r="J2187" s="371"/>
      <c r="K2187" s="77"/>
      <c r="L2187" s="160"/>
      <c r="M2187" s="388"/>
      <c r="N2187" s="375"/>
      <c r="O2187" s="370"/>
      <c r="T2187" s="340"/>
      <c r="W2187" s="113"/>
      <c r="X2187" s="241"/>
      <c r="Y2187" s="284"/>
      <c r="Z2187" s="207"/>
      <c r="AA2187" s="284"/>
      <c r="AB2187" s="284"/>
      <c r="AC2187" s="137"/>
      <c r="AD2187" s="284"/>
      <c r="AE2187" s="299"/>
      <c r="AF2187" s="299"/>
      <c r="AG2187" s="284"/>
    </row>
    <row r="2188" spans="2:33">
      <c r="B2188" s="86"/>
      <c r="C2188" s="84"/>
      <c r="D2188" s="86"/>
      <c r="E2188" s="84"/>
      <c r="F2188" s="284"/>
      <c r="G2188" s="49"/>
      <c r="H2188" s="284"/>
      <c r="I2188" s="74"/>
      <c r="J2188" s="371"/>
      <c r="K2188" s="77"/>
      <c r="L2188" s="160"/>
      <c r="M2188" s="388"/>
      <c r="N2188" s="375"/>
      <c r="O2188" s="370"/>
      <c r="T2188" s="340"/>
      <c r="W2188" s="113"/>
      <c r="X2188" s="241"/>
      <c r="Y2188" s="284"/>
      <c r="Z2188" s="207"/>
      <c r="AA2188" s="284"/>
      <c r="AB2188" s="284"/>
      <c r="AC2188" s="137"/>
      <c r="AD2188" s="284"/>
      <c r="AE2188" s="299"/>
      <c r="AF2188" s="299"/>
      <c r="AG2188" s="284"/>
    </row>
    <row r="2189" spans="2:33">
      <c r="B2189" s="86"/>
      <c r="C2189" s="84"/>
      <c r="D2189" s="86"/>
      <c r="E2189" s="84"/>
      <c r="F2189" s="284"/>
      <c r="G2189" s="49"/>
      <c r="H2189" s="284"/>
      <c r="I2189" s="74"/>
      <c r="J2189" s="371"/>
      <c r="K2189" s="77"/>
      <c r="L2189" s="160"/>
      <c r="M2189" s="388"/>
      <c r="N2189" s="375"/>
      <c r="O2189" s="370"/>
      <c r="T2189" s="340"/>
      <c r="W2189" s="113"/>
      <c r="X2189" s="241"/>
      <c r="Y2189" s="284"/>
      <c r="Z2189" s="207"/>
      <c r="AA2189" s="284"/>
      <c r="AB2189" s="284"/>
      <c r="AC2189" s="137"/>
      <c r="AD2189" s="284"/>
      <c r="AE2189" s="299"/>
      <c r="AF2189" s="299"/>
      <c r="AG2189" s="284"/>
    </row>
    <row r="2190" spans="2:33">
      <c r="B2190" s="86"/>
      <c r="C2190" s="84"/>
      <c r="D2190" s="86"/>
      <c r="E2190" s="84"/>
      <c r="F2190" s="284"/>
      <c r="G2190" s="49"/>
      <c r="H2190" s="284"/>
      <c r="I2190" s="74"/>
      <c r="J2190" s="371"/>
      <c r="K2190" s="77"/>
      <c r="L2190" s="160"/>
      <c r="M2190" s="388"/>
      <c r="N2190" s="375"/>
      <c r="O2190" s="370"/>
      <c r="T2190" s="340"/>
      <c r="W2190" s="113"/>
      <c r="X2190" s="241"/>
      <c r="Y2190" s="284"/>
      <c r="Z2190" s="207"/>
      <c r="AA2190" s="284"/>
      <c r="AB2190" s="284"/>
      <c r="AC2190" s="137"/>
      <c r="AD2190" s="284"/>
      <c r="AE2190" s="299"/>
      <c r="AF2190" s="299"/>
      <c r="AG2190" s="284"/>
    </row>
    <row r="2191" spans="2:33">
      <c r="B2191" s="86"/>
      <c r="C2191" s="84"/>
      <c r="D2191" s="86"/>
      <c r="E2191" s="84"/>
      <c r="F2191" s="284"/>
      <c r="G2191" s="49"/>
      <c r="H2191" s="284"/>
      <c r="I2191" s="74"/>
      <c r="J2191" s="371"/>
      <c r="K2191" s="77"/>
      <c r="L2191" s="160"/>
      <c r="M2191" s="388"/>
      <c r="N2191" s="375"/>
      <c r="O2191" s="370"/>
      <c r="T2191" s="340"/>
      <c r="W2191" s="113"/>
      <c r="X2191" s="241"/>
      <c r="Y2191" s="284"/>
      <c r="Z2191" s="207"/>
      <c r="AA2191" s="284"/>
      <c r="AB2191" s="284"/>
      <c r="AC2191" s="137"/>
      <c r="AD2191" s="284"/>
      <c r="AE2191" s="299"/>
      <c r="AF2191" s="299"/>
      <c r="AG2191" s="284"/>
    </row>
    <row r="2192" spans="2:33">
      <c r="B2192" s="86"/>
      <c r="C2192" s="84"/>
      <c r="D2192" s="86"/>
      <c r="E2192" s="84"/>
      <c r="F2192" s="284"/>
      <c r="G2192" s="49"/>
      <c r="H2192" s="284"/>
      <c r="I2192" s="74"/>
      <c r="J2192" s="371"/>
      <c r="K2192" s="77"/>
      <c r="L2192" s="160"/>
      <c r="M2192" s="388"/>
      <c r="N2192" s="375"/>
      <c r="O2192" s="370"/>
      <c r="T2192" s="340"/>
      <c r="W2192" s="113"/>
      <c r="X2192" s="241"/>
      <c r="Y2192" s="284"/>
      <c r="Z2192" s="207"/>
      <c r="AA2192" s="284"/>
      <c r="AB2192" s="284"/>
      <c r="AC2192" s="137"/>
      <c r="AD2192" s="284"/>
      <c r="AE2192" s="299"/>
      <c r="AF2192" s="299"/>
      <c r="AG2192" s="284"/>
    </row>
    <row r="2193" spans="2:33">
      <c r="B2193" s="86"/>
      <c r="C2193" s="84"/>
      <c r="D2193" s="86"/>
      <c r="E2193" s="84"/>
      <c r="F2193" s="284"/>
      <c r="G2193" s="49"/>
      <c r="H2193" s="284"/>
      <c r="I2193" s="74"/>
      <c r="J2193" s="371"/>
      <c r="K2193" s="77"/>
      <c r="L2193" s="160"/>
      <c r="M2193" s="388"/>
      <c r="N2193" s="375"/>
      <c r="O2193" s="370"/>
      <c r="T2193" s="340"/>
      <c r="W2193" s="113"/>
      <c r="X2193" s="241"/>
      <c r="Y2193" s="284"/>
      <c r="Z2193" s="207"/>
      <c r="AA2193" s="284"/>
      <c r="AB2193" s="284"/>
      <c r="AC2193" s="137"/>
      <c r="AD2193" s="284"/>
      <c r="AE2193" s="299"/>
      <c r="AF2193" s="299"/>
      <c r="AG2193" s="284"/>
    </row>
    <row r="2194" spans="2:33" ht="25.2">
      <c r="B2194" s="86"/>
      <c r="C2194" s="84"/>
      <c r="D2194" s="86"/>
      <c r="E2194" s="84"/>
      <c r="F2194" s="284"/>
      <c r="G2194" s="49"/>
      <c r="H2194" s="284"/>
      <c r="I2194" s="74"/>
      <c r="J2194" s="371"/>
      <c r="K2194" s="77"/>
      <c r="L2194" s="160"/>
      <c r="M2194" s="388"/>
      <c r="N2194" s="375"/>
      <c r="O2194" s="370"/>
      <c r="T2194" s="340"/>
      <c r="W2194" s="113" ph="1"/>
      <c r="X2194" s="241"/>
      <c r="Y2194" s="284"/>
      <c r="Z2194" s="207"/>
      <c r="AA2194" s="284"/>
      <c r="AB2194" s="284"/>
      <c r="AC2194" s="137"/>
      <c r="AD2194" s="284"/>
      <c r="AE2194" s="299"/>
      <c r="AF2194" s="299"/>
      <c r="AG2194" s="284"/>
    </row>
    <row r="2195" spans="2:33">
      <c r="B2195" s="86"/>
      <c r="C2195" s="84"/>
      <c r="D2195" s="86"/>
      <c r="E2195" s="84"/>
      <c r="F2195" s="284"/>
      <c r="G2195" s="49"/>
      <c r="H2195" s="284"/>
      <c r="I2195" s="74"/>
      <c r="J2195" s="371"/>
      <c r="K2195" s="77"/>
      <c r="L2195" s="160"/>
      <c r="M2195" s="388"/>
      <c r="N2195" s="375"/>
      <c r="O2195" s="370"/>
      <c r="T2195" s="340"/>
      <c r="W2195" s="113"/>
      <c r="X2195" s="241"/>
      <c r="Y2195" s="284"/>
      <c r="Z2195" s="207"/>
      <c r="AA2195" s="284"/>
      <c r="AB2195" s="284"/>
      <c r="AC2195" s="137"/>
      <c r="AD2195" s="284"/>
      <c r="AE2195" s="299"/>
      <c r="AF2195" s="299"/>
      <c r="AG2195" s="284"/>
    </row>
    <row r="2196" spans="2:33">
      <c r="B2196" s="86"/>
      <c r="C2196" s="84"/>
      <c r="D2196" s="86"/>
      <c r="E2196" s="84"/>
      <c r="F2196" s="284"/>
      <c r="G2196" s="49"/>
      <c r="H2196" s="284"/>
      <c r="I2196" s="74"/>
      <c r="J2196" s="371"/>
      <c r="K2196" s="77"/>
      <c r="L2196" s="160"/>
      <c r="M2196" s="388"/>
      <c r="N2196" s="375"/>
      <c r="O2196" s="370"/>
      <c r="T2196" s="340"/>
      <c r="W2196" s="113"/>
      <c r="X2196" s="241"/>
      <c r="Y2196" s="284"/>
      <c r="Z2196" s="207"/>
      <c r="AA2196" s="284"/>
      <c r="AB2196" s="284"/>
      <c r="AC2196" s="137"/>
      <c r="AD2196" s="284"/>
      <c r="AE2196" s="299"/>
      <c r="AF2196" s="299"/>
      <c r="AG2196" s="284"/>
    </row>
    <row r="2197" spans="2:33">
      <c r="B2197" s="86"/>
      <c r="C2197" s="84"/>
      <c r="D2197" s="86"/>
      <c r="E2197" s="84"/>
      <c r="F2197" s="284"/>
      <c r="G2197" s="49"/>
      <c r="H2197" s="284"/>
      <c r="I2197" s="74"/>
      <c r="J2197" s="371"/>
      <c r="K2197" s="77"/>
      <c r="L2197" s="160"/>
      <c r="M2197" s="388"/>
      <c r="N2197" s="375"/>
      <c r="O2197" s="370"/>
      <c r="T2197" s="340"/>
      <c r="W2197" s="113"/>
      <c r="X2197" s="241"/>
      <c r="Y2197" s="284"/>
      <c r="Z2197" s="207"/>
      <c r="AA2197" s="284"/>
      <c r="AB2197" s="284"/>
      <c r="AC2197" s="137"/>
      <c r="AD2197" s="284"/>
      <c r="AE2197" s="299"/>
      <c r="AF2197" s="299"/>
      <c r="AG2197" s="284"/>
    </row>
    <row r="2198" spans="2:33">
      <c r="B2198" s="86"/>
      <c r="C2198" s="84"/>
      <c r="D2198" s="86"/>
      <c r="E2198" s="84"/>
      <c r="F2198" s="284"/>
      <c r="G2198" s="49"/>
      <c r="H2198" s="284"/>
      <c r="I2198" s="74"/>
      <c r="J2198" s="371"/>
      <c r="K2198" s="77"/>
      <c r="L2198" s="160"/>
      <c r="M2198" s="388"/>
      <c r="N2198" s="375"/>
      <c r="O2198" s="370"/>
      <c r="T2198" s="340"/>
      <c r="W2198" s="113"/>
      <c r="X2198" s="241"/>
      <c r="Y2198" s="284"/>
      <c r="Z2198" s="207"/>
      <c r="AA2198" s="284"/>
      <c r="AB2198" s="284"/>
      <c r="AC2198" s="137"/>
      <c r="AD2198" s="284"/>
      <c r="AE2198" s="299"/>
      <c r="AF2198" s="299"/>
      <c r="AG2198" s="284"/>
    </row>
    <row r="2199" spans="2:33">
      <c r="B2199" s="86"/>
      <c r="C2199" s="84"/>
      <c r="D2199" s="86"/>
      <c r="E2199" s="84"/>
      <c r="F2199" s="284"/>
      <c r="G2199" s="49"/>
      <c r="H2199" s="284"/>
      <c r="I2199" s="74"/>
      <c r="J2199" s="371"/>
      <c r="K2199" s="77"/>
      <c r="L2199" s="160"/>
      <c r="M2199" s="388"/>
      <c r="N2199" s="375"/>
      <c r="O2199" s="370"/>
      <c r="T2199" s="340"/>
      <c r="W2199" s="113"/>
      <c r="X2199" s="241"/>
      <c r="Y2199" s="284"/>
      <c r="Z2199" s="207"/>
      <c r="AA2199" s="284"/>
      <c r="AB2199" s="284"/>
      <c r="AC2199" s="137"/>
      <c r="AD2199" s="284"/>
      <c r="AE2199" s="299"/>
      <c r="AF2199" s="299"/>
      <c r="AG2199" s="284"/>
    </row>
    <row r="2200" spans="2:33">
      <c r="B2200" s="86"/>
      <c r="C2200" s="84"/>
      <c r="D2200" s="86"/>
      <c r="E2200" s="84"/>
      <c r="F2200" s="284"/>
      <c r="G2200" s="49"/>
      <c r="H2200" s="284"/>
      <c r="I2200" s="74"/>
      <c r="J2200" s="371"/>
      <c r="K2200" s="77"/>
      <c r="L2200" s="160"/>
      <c r="M2200" s="388"/>
      <c r="N2200" s="375"/>
      <c r="O2200" s="370"/>
      <c r="T2200" s="340"/>
      <c r="W2200" s="113"/>
      <c r="X2200" s="241"/>
      <c r="Y2200" s="284"/>
      <c r="Z2200" s="207"/>
      <c r="AA2200" s="284"/>
      <c r="AB2200" s="284"/>
      <c r="AC2200" s="137"/>
      <c r="AD2200" s="284"/>
      <c r="AE2200" s="299"/>
      <c r="AF2200" s="299"/>
      <c r="AG2200" s="284"/>
    </row>
    <row r="2201" spans="2:33">
      <c r="B2201" s="86"/>
      <c r="C2201" s="84"/>
      <c r="D2201" s="86"/>
      <c r="E2201" s="84"/>
      <c r="F2201" s="284"/>
      <c r="G2201" s="49"/>
      <c r="H2201" s="284"/>
      <c r="I2201" s="74"/>
      <c r="J2201" s="371"/>
      <c r="K2201" s="77"/>
      <c r="L2201" s="160"/>
      <c r="M2201" s="388"/>
      <c r="N2201" s="375"/>
      <c r="O2201" s="370"/>
      <c r="T2201" s="340"/>
      <c r="W2201" s="113"/>
      <c r="X2201" s="241"/>
      <c r="Y2201" s="284"/>
      <c r="Z2201" s="207"/>
      <c r="AA2201" s="284"/>
      <c r="AB2201" s="284"/>
      <c r="AC2201" s="137"/>
      <c r="AD2201" s="284"/>
      <c r="AE2201" s="299"/>
      <c r="AF2201" s="299"/>
      <c r="AG2201" s="284"/>
    </row>
    <row r="2202" spans="2:33">
      <c r="B2202" s="86"/>
      <c r="C2202" s="84"/>
      <c r="D2202" s="86"/>
      <c r="E2202" s="84"/>
      <c r="F2202" s="284"/>
      <c r="G2202" s="49"/>
      <c r="H2202" s="284"/>
      <c r="I2202" s="74"/>
      <c r="J2202" s="371"/>
      <c r="K2202" s="77"/>
      <c r="L2202" s="160"/>
      <c r="M2202" s="388"/>
      <c r="N2202" s="375"/>
      <c r="O2202" s="370"/>
      <c r="T2202" s="340"/>
      <c r="W2202" s="113"/>
      <c r="X2202" s="241"/>
      <c r="Y2202" s="284"/>
      <c r="Z2202" s="207"/>
      <c r="AA2202" s="284"/>
      <c r="AB2202" s="284"/>
      <c r="AC2202" s="137"/>
      <c r="AD2202" s="284"/>
      <c r="AE2202" s="299"/>
      <c r="AF2202" s="299"/>
      <c r="AG2202" s="284"/>
    </row>
    <row r="2203" spans="2:33">
      <c r="B2203" s="86"/>
      <c r="C2203" s="84"/>
      <c r="D2203" s="86"/>
      <c r="E2203" s="84"/>
      <c r="F2203" s="284"/>
      <c r="G2203" s="49"/>
      <c r="H2203" s="284"/>
      <c r="I2203" s="74"/>
      <c r="J2203" s="371"/>
      <c r="K2203" s="77"/>
      <c r="L2203" s="160"/>
      <c r="M2203" s="388"/>
      <c r="N2203" s="375"/>
      <c r="O2203" s="370"/>
      <c r="T2203" s="340"/>
      <c r="W2203" s="113"/>
      <c r="X2203" s="241"/>
      <c r="Y2203" s="284"/>
      <c r="Z2203" s="207"/>
      <c r="AA2203" s="284"/>
      <c r="AB2203" s="284"/>
      <c r="AC2203" s="137"/>
      <c r="AD2203" s="284"/>
      <c r="AE2203" s="299"/>
      <c r="AF2203" s="299"/>
      <c r="AG2203" s="284"/>
    </row>
    <row r="2204" spans="2:33">
      <c r="B2204" s="86"/>
      <c r="C2204" s="84"/>
      <c r="D2204" s="86"/>
      <c r="E2204" s="84"/>
      <c r="F2204" s="284"/>
      <c r="G2204" s="49"/>
      <c r="H2204" s="284"/>
      <c r="I2204" s="74"/>
      <c r="J2204" s="371"/>
      <c r="K2204" s="77"/>
      <c r="L2204" s="160"/>
      <c r="M2204" s="388"/>
      <c r="N2204" s="375"/>
      <c r="O2204" s="370"/>
      <c r="T2204" s="340"/>
      <c r="W2204" s="113"/>
      <c r="X2204" s="241"/>
      <c r="Y2204" s="284"/>
      <c r="Z2204" s="207"/>
      <c r="AA2204" s="284"/>
      <c r="AB2204" s="284"/>
      <c r="AC2204" s="137"/>
      <c r="AD2204" s="284"/>
      <c r="AE2204" s="299"/>
      <c r="AF2204" s="299"/>
      <c r="AG2204" s="284"/>
    </row>
    <row r="2205" spans="2:33">
      <c r="B2205" s="86"/>
      <c r="C2205" s="84"/>
      <c r="D2205" s="86"/>
      <c r="E2205" s="84"/>
      <c r="F2205" s="284"/>
      <c r="G2205" s="49"/>
      <c r="H2205" s="284"/>
      <c r="I2205" s="74"/>
      <c r="J2205" s="371"/>
      <c r="K2205" s="77"/>
      <c r="L2205" s="160"/>
      <c r="M2205" s="388"/>
      <c r="N2205" s="375"/>
      <c r="O2205" s="370"/>
      <c r="T2205" s="340"/>
      <c r="W2205" s="113"/>
      <c r="X2205" s="241"/>
      <c r="Y2205" s="284"/>
      <c r="Z2205" s="207"/>
      <c r="AA2205" s="284"/>
      <c r="AB2205" s="284"/>
      <c r="AC2205" s="137"/>
      <c r="AD2205" s="284"/>
      <c r="AE2205" s="299"/>
      <c r="AF2205" s="299"/>
      <c r="AG2205" s="284"/>
    </row>
    <row r="2206" spans="2:33">
      <c r="B2206" s="86"/>
      <c r="C2206" s="84"/>
      <c r="D2206" s="86"/>
      <c r="E2206" s="84"/>
      <c r="F2206" s="284"/>
      <c r="G2206" s="49"/>
      <c r="H2206" s="284"/>
      <c r="I2206" s="74"/>
      <c r="J2206" s="371"/>
      <c r="K2206" s="77"/>
      <c r="L2206" s="160"/>
      <c r="M2206" s="388"/>
      <c r="N2206" s="375"/>
      <c r="O2206" s="370"/>
      <c r="T2206" s="340"/>
      <c r="W2206" s="113"/>
      <c r="X2206" s="241"/>
      <c r="Y2206" s="284"/>
      <c r="Z2206" s="207"/>
      <c r="AA2206" s="284"/>
      <c r="AB2206" s="284"/>
      <c r="AC2206" s="137"/>
      <c r="AD2206" s="284"/>
      <c r="AE2206" s="299"/>
      <c r="AF2206" s="299"/>
      <c r="AG2206" s="284"/>
    </row>
    <row r="2207" spans="2:33">
      <c r="B2207" s="86"/>
      <c r="C2207" s="84"/>
      <c r="D2207" s="86"/>
      <c r="E2207" s="84"/>
      <c r="F2207" s="284"/>
      <c r="G2207" s="49"/>
      <c r="H2207" s="284"/>
      <c r="I2207" s="74"/>
      <c r="J2207" s="371"/>
      <c r="K2207" s="77"/>
      <c r="L2207" s="160"/>
      <c r="M2207" s="388"/>
      <c r="N2207" s="375"/>
      <c r="O2207" s="370"/>
      <c r="T2207" s="340"/>
      <c r="W2207" s="113"/>
      <c r="X2207" s="241"/>
      <c r="Y2207" s="284"/>
      <c r="Z2207" s="207"/>
      <c r="AA2207" s="284"/>
      <c r="AB2207" s="284"/>
      <c r="AC2207" s="137"/>
      <c r="AD2207" s="284"/>
      <c r="AE2207" s="299"/>
      <c r="AF2207" s="299"/>
      <c r="AG2207" s="284"/>
    </row>
    <row r="2208" spans="2:33">
      <c r="B2208" s="86"/>
      <c r="C2208" s="84"/>
      <c r="D2208" s="86"/>
      <c r="E2208" s="84"/>
      <c r="F2208" s="284"/>
      <c r="G2208" s="49"/>
      <c r="H2208" s="284"/>
      <c r="I2208" s="74"/>
      <c r="J2208" s="371"/>
      <c r="K2208" s="77"/>
      <c r="L2208" s="160"/>
      <c r="M2208" s="388"/>
      <c r="N2208" s="375"/>
      <c r="O2208" s="370"/>
      <c r="T2208" s="340"/>
      <c r="W2208" s="113"/>
      <c r="X2208" s="241"/>
      <c r="Y2208" s="284"/>
      <c r="Z2208" s="207"/>
      <c r="AA2208" s="284"/>
      <c r="AB2208" s="284"/>
      <c r="AC2208" s="137"/>
      <c r="AD2208" s="284"/>
      <c r="AE2208" s="299"/>
      <c r="AF2208" s="299"/>
      <c r="AG2208" s="284"/>
    </row>
    <row r="2209" spans="2:33">
      <c r="B2209" s="86"/>
      <c r="C2209" s="84"/>
      <c r="D2209" s="86"/>
      <c r="E2209" s="84"/>
      <c r="F2209" s="284"/>
      <c r="G2209" s="49"/>
      <c r="H2209" s="284"/>
      <c r="I2209" s="74"/>
      <c r="J2209" s="371"/>
      <c r="K2209" s="77"/>
      <c r="L2209" s="160"/>
      <c r="M2209" s="388"/>
      <c r="N2209" s="375"/>
      <c r="O2209" s="370"/>
      <c r="T2209" s="340"/>
      <c r="W2209" s="113"/>
      <c r="X2209" s="241"/>
      <c r="Y2209" s="284"/>
      <c r="Z2209" s="207"/>
      <c r="AA2209" s="284"/>
      <c r="AB2209" s="284"/>
      <c r="AC2209" s="137"/>
      <c r="AD2209" s="284"/>
      <c r="AE2209" s="299"/>
      <c r="AF2209" s="299"/>
      <c r="AG2209" s="284"/>
    </row>
    <row r="2210" spans="2:33">
      <c r="B2210" s="86"/>
      <c r="C2210" s="84"/>
      <c r="D2210" s="86"/>
      <c r="E2210" s="84"/>
      <c r="F2210" s="284"/>
      <c r="G2210" s="49"/>
      <c r="H2210" s="284"/>
      <c r="I2210" s="74"/>
      <c r="J2210" s="371"/>
      <c r="K2210" s="77"/>
      <c r="L2210" s="160"/>
      <c r="M2210" s="388"/>
      <c r="N2210" s="375"/>
      <c r="O2210" s="370"/>
      <c r="T2210" s="340"/>
      <c r="W2210" s="113"/>
      <c r="X2210" s="241"/>
      <c r="Y2210" s="284"/>
      <c r="Z2210" s="207"/>
      <c r="AA2210" s="284"/>
      <c r="AB2210" s="284"/>
      <c r="AC2210" s="137"/>
      <c r="AD2210" s="284"/>
      <c r="AE2210" s="299"/>
      <c r="AF2210" s="299"/>
      <c r="AG2210" s="284"/>
    </row>
    <row r="2211" spans="2:33">
      <c r="B2211" s="86"/>
      <c r="C2211" s="84"/>
      <c r="D2211" s="86"/>
      <c r="E2211" s="84"/>
      <c r="F2211" s="284"/>
      <c r="G2211" s="49"/>
      <c r="H2211" s="284"/>
      <c r="I2211" s="74"/>
      <c r="J2211" s="371"/>
      <c r="K2211" s="77"/>
      <c r="L2211" s="160"/>
      <c r="M2211" s="388"/>
      <c r="N2211" s="375"/>
      <c r="O2211" s="370"/>
      <c r="T2211" s="340"/>
      <c r="W2211" s="113"/>
      <c r="X2211" s="241"/>
      <c r="Y2211" s="284"/>
      <c r="Z2211" s="207"/>
      <c r="AA2211" s="284"/>
      <c r="AB2211" s="284"/>
      <c r="AC2211" s="137"/>
      <c r="AD2211" s="284"/>
      <c r="AE2211" s="299"/>
      <c r="AF2211" s="299"/>
      <c r="AG2211" s="284"/>
    </row>
    <row r="2212" spans="2:33">
      <c r="B2212" s="86"/>
      <c r="C2212" s="84"/>
      <c r="D2212" s="86"/>
      <c r="E2212" s="84"/>
      <c r="F2212" s="284"/>
      <c r="G2212" s="49"/>
      <c r="H2212" s="284"/>
      <c r="I2212" s="74"/>
      <c r="J2212" s="371"/>
      <c r="K2212" s="77"/>
      <c r="L2212" s="160"/>
      <c r="M2212" s="388"/>
      <c r="N2212" s="375"/>
      <c r="O2212" s="370"/>
      <c r="T2212" s="340"/>
      <c r="W2212" s="113"/>
      <c r="X2212" s="241"/>
      <c r="Y2212" s="284"/>
      <c r="Z2212" s="207"/>
      <c r="AA2212" s="284"/>
      <c r="AB2212" s="284"/>
      <c r="AC2212" s="137"/>
      <c r="AD2212" s="284"/>
      <c r="AE2212" s="299"/>
      <c r="AF2212" s="299"/>
      <c r="AG2212" s="284"/>
    </row>
    <row r="2213" spans="2:33">
      <c r="B2213" s="86"/>
      <c r="C2213" s="84"/>
      <c r="D2213" s="86"/>
      <c r="E2213" s="84"/>
      <c r="F2213" s="284"/>
      <c r="G2213" s="49"/>
      <c r="H2213" s="284"/>
      <c r="I2213" s="74"/>
      <c r="J2213" s="371"/>
      <c r="K2213" s="77"/>
      <c r="L2213" s="160"/>
      <c r="M2213" s="388"/>
      <c r="N2213" s="375"/>
      <c r="O2213" s="370"/>
      <c r="T2213" s="340"/>
      <c r="W2213" s="113"/>
      <c r="X2213" s="241"/>
      <c r="Y2213" s="284"/>
      <c r="Z2213" s="207"/>
      <c r="AA2213" s="284"/>
      <c r="AB2213" s="284"/>
      <c r="AC2213" s="137"/>
      <c r="AD2213" s="284"/>
      <c r="AE2213" s="299"/>
      <c r="AF2213" s="299"/>
      <c r="AG2213" s="284"/>
    </row>
    <row r="2214" spans="2:33">
      <c r="B2214" s="86"/>
      <c r="C2214" s="84"/>
      <c r="D2214" s="86"/>
      <c r="E2214" s="84"/>
      <c r="F2214" s="284"/>
      <c r="G2214" s="49"/>
      <c r="H2214" s="284"/>
      <c r="I2214" s="74"/>
      <c r="J2214" s="371"/>
      <c r="K2214" s="77"/>
      <c r="L2214" s="160"/>
      <c r="M2214" s="388"/>
      <c r="N2214" s="375"/>
      <c r="O2214" s="370"/>
      <c r="T2214" s="340"/>
      <c r="W2214" s="113"/>
      <c r="X2214" s="241"/>
      <c r="Y2214" s="284"/>
      <c r="Z2214" s="207"/>
      <c r="AA2214" s="284"/>
      <c r="AB2214" s="284"/>
      <c r="AC2214" s="137"/>
      <c r="AD2214" s="284"/>
      <c r="AE2214" s="299"/>
      <c r="AF2214" s="299"/>
      <c r="AG2214" s="284"/>
    </row>
    <row r="2215" spans="2:33">
      <c r="B2215" s="86"/>
      <c r="C2215" s="84"/>
      <c r="D2215" s="86"/>
      <c r="E2215" s="84"/>
      <c r="F2215" s="284"/>
      <c r="G2215" s="49"/>
      <c r="H2215" s="284"/>
      <c r="I2215" s="74"/>
      <c r="J2215" s="371"/>
      <c r="K2215" s="77"/>
      <c r="L2215" s="160"/>
      <c r="M2215" s="388"/>
      <c r="N2215" s="375"/>
      <c r="O2215" s="370"/>
      <c r="T2215" s="340"/>
      <c r="W2215" s="113"/>
      <c r="X2215" s="241"/>
      <c r="Y2215" s="284"/>
      <c r="Z2215" s="207"/>
      <c r="AA2215" s="284"/>
      <c r="AB2215" s="284"/>
      <c r="AC2215" s="137"/>
      <c r="AD2215" s="284"/>
      <c r="AE2215" s="299"/>
      <c r="AF2215" s="299"/>
      <c r="AG2215" s="284"/>
    </row>
    <row r="2216" spans="2:33">
      <c r="B2216" s="86"/>
      <c r="C2216" s="84"/>
      <c r="D2216" s="86"/>
      <c r="E2216" s="84"/>
      <c r="F2216" s="284"/>
      <c r="G2216" s="49"/>
      <c r="H2216" s="284"/>
      <c r="I2216" s="74"/>
      <c r="J2216" s="371"/>
      <c r="K2216" s="77"/>
      <c r="L2216" s="160"/>
      <c r="M2216" s="388"/>
      <c r="N2216" s="375"/>
      <c r="O2216" s="370"/>
      <c r="T2216" s="340"/>
      <c r="W2216" s="113"/>
      <c r="X2216" s="241"/>
      <c r="Y2216" s="284"/>
      <c r="Z2216" s="207"/>
      <c r="AA2216" s="284"/>
      <c r="AB2216" s="284"/>
      <c r="AC2216" s="137"/>
      <c r="AD2216" s="284"/>
      <c r="AE2216" s="299"/>
      <c r="AF2216" s="299"/>
      <c r="AG2216" s="284"/>
    </row>
    <row r="2217" spans="2:33">
      <c r="B2217" s="86"/>
      <c r="C2217" s="84"/>
      <c r="D2217" s="86"/>
      <c r="E2217" s="84"/>
      <c r="F2217" s="284"/>
      <c r="G2217" s="49"/>
      <c r="H2217" s="284"/>
      <c r="I2217" s="74"/>
      <c r="J2217" s="371"/>
      <c r="K2217" s="77"/>
      <c r="L2217" s="160"/>
      <c r="M2217" s="388"/>
      <c r="N2217" s="375"/>
      <c r="O2217" s="370"/>
      <c r="T2217" s="340"/>
      <c r="W2217" s="113"/>
      <c r="X2217" s="241"/>
      <c r="Y2217" s="284"/>
      <c r="Z2217" s="207"/>
      <c r="AA2217" s="284"/>
      <c r="AB2217" s="284"/>
      <c r="AC2217" s="137"/>
      <c r="AD2217" s="284"/>
      <c r="AE2217" s="299"/>
      <c r="AF2217" s="299"/>
      <c r="AG2217" s="284"/>
    </row>
    <row r="2218" spans="2:33">
      <c r="B2218" s="86"/>
      <c r="C2218" s="84"/>
      <c r="D2218" s="86"/>
      <c r="E2218" s="84"/>
      <c r="F2218" s="284"/>
      <c r="G2218" s="49"/>
      <c r="H2218" s="284"/>
      <c r="I2218" s="74"/>
      <c r="J2218" s="371"/>
      <c r="K2218" s="77"/>
      <c r="L2218" s="160"/>
      <c r="M2218" s="388"/>
      <c r="N2218" s="375"/>
      <c r="O2218" s="370"/>
      <c r="T2218" s="340"/>
      <c r="W2218" s="113"/>
      <c r="X2218" s="241"/>
      <c r="Y2218" s="284"/>
      <c r="Z2218" s="207"/>
      <c r="AA2218" s="284"/>
      <c r="AB2218" s="284"/>
      <c r="AC2218" s="137"/>
      <c r="AD2218" s="284"/>
      <c r="AE2218" s="299"/>
      <c r="AF2218" s="299"/>
      <c r="AG2218" s="284"/>
    </row>
    <row r="2219" spans="2:33">
      <c r="B2219" s="86"/>
      <c r="C2219" s="84"/>
      <c r="D2219" s="86"/>
      <c r="E2219" s="84"/>
      <c r="F2219" s="284"/>
      <c r="G2219" s="49"/>
      <c r="H2219" s="284"/>
      <c r="I2219" s="74"/>
      <c r="J2219" s="371"/>
      <c r="K2219" s="77"/>
      <c r="L2219" s="160"/>
      <c r="M2219" s="388"/>
      <c r="N2219" s="375"/>
      <c r="O2219" s="370"/>
      <c r="T2219" s="340"/>
      <c r="W2219" s="113"/>
      <c r="X2219" s="241"/>
      <c r="Y2219" s="284"/>
      <c r="Z2219" s="207"/>
      <c r="AA2219" s="284"/>
      <c r="AB2219" s="284"/>
      <c r="AC2219" s="137"/>
      <c r="AD2219" s="284"/>
      <c r="AE2219" s="299"/>
      <c r="AF2219" s="299"/>
      <c r="AG2219" s="284"/>
    </row>
    <row r="2220" spans="2:33">
      <c r="B2220" s="86"/>
      <c r="C2220" s="84"/>
      <c r="D2220" s="86"/>
      <c r="E2220" s="84"/>
      <c r="F2220" s="284"/>
      <c r="G2220" s="49"/>
      <c r="H2220" s="284"/>
      <c r="I2220" s="74"/>
      <c r="J2220" s="371"/>
      <c r="K2220" s="77"/>
      <c r="L2220" s="160"/>
      <c r="M2220" s="388"/>
      <c r="N2220" s="375"/>
      <c r="O2220" s="370"/>
      <c r="T2220" s="340"/>
      <c r="W2220" s="113"/>
      <c r="X2220" s="241"/>
      <c r="Y2220" s="284"/>
      <c r="Z2220" s="207"/>
      <c r="AA2220" s="284"/>
      <c r="AB2220" s="284"/>
      <c r="AC2220" s="137"/>
      <c r="AD2220" s="284"/>
      <c r="AE2220" s="299"/>
      <c r="AF2220" s="299"/>
      <c r="AG2220" s="284"/>
    </row>
    <row r="2221" spans="2:33">
      <c r="B2221" s="86"/>
      <c r="C2221" s="84"/>
      <c r="D2221" s="86"/>
      <c r="E2221" s="84"/>
      <c r="F2221" s="284"/>
      <c r="G2221" s="49"/>
      <c r="H2221" s="284"/>
      <c r="I2221" s="74"/>
      <c r="J2221" s="371"/>
      <c r="K2221" s="77"/>
      <c r="L2221" s="160"/>
      <c r="M2221" s="388"/>
      <c r="N2221" s="375"/>
      <c r="O2221" s="370"/>
      <c r="T2221" s="340"/>
      <c r="W2221" s="113"/>
      <c r="X2221" s="241"/>
      <c r="Y2221" s="284"/>
      <c r="Z2221" s="207"/>
      <c r="AA2221" s="284"/>
      <c r="AB2221" s="284"/>
      <c r="AC2221" s="137"/>
      <c r="AD2221" s="284"/>
      <c r="AE2221" s="299"/>
      <c r="AF2221" s="299"/>
      <c r="AG2221" s="284"/>
    </row>
    <row r="2222" spans="2:33">
      <c r="B2222" s="86"/>
      <c r="C2222" s="84"/>
      <c r="D2222" s="86"/>
      <c r="E2222" s="84"/>
      <c r="F2222" s="284"/>
      <c r="G2222" s="49"/>
      <c r="H2222" s="284"/>
      <c r="I2222" s="74"/>
      <c r="J2222" s="371"/>
      <c r="K2222" s="77"/>
      <c r="L2222" s="160"/>
      <c r="M2222" s="388"/>
      <c r="N2222" s="375"/>
      <c r="O2222" s="370"/>
      <c r="T2222" s="340"/>
      <c r="W2222" s="113"/>
      <c r="X2222" s="241"/>
      <c r="Y2222" s="284"/>
      <c r="Z2222" s="207"/>
      <c r="AA2222" s="284"/>
      <c r="AB2222" s="284"/>
      <c r="AC2222" s="137"/>
      <c r="AD2222" s="284"/>
      <c r="AE2222" s="299"/>
      <c r="AF2222" s="299"/>
      <c r="AG2222" s="284"/>
    </row>
    <row r="2223" spans="2:33">
      <c r="B2223" s="86"/>
      <c r="C2223" s="84"/>
      <c r="D2223" s="86"/>
      <c r="E2223" s="84"/>
      <c r="F2223" s="284"/>
      <c r="G2223" s="49"/>
      <c r="H2223" s="284"/>
      <c r="I2223" s="74"/>
      <c r="J2223" s="371"/>
      <c r="K2223" s="77"/>
      <c r="L2223" s="160"/>
      <c r="M2223" s="388"/>
      <c r="N2223" s="375"/>
      <c r="O2223" s="370"/>
      <c r="T2223" s="340"/>
      <c r="W2223" s="113"/>
      <c r="X2223" s="241"/>
      <c r="Y2223" s="284"/>
      <c r="Z2223" s="207"/>
      <c r="AA2223" s="284"/>
      <c r="AB2223" s="284"/>
      <c r="AC2223" s="137"/>
      <c r="AD2223" s="284"/>
      <c r="AE2223" s="299"/>
      <c r="AF2223" s="299"/>
      <c r="AG2223" s="284"/>
    </row>
    <row r="2224" spans="2:33">
      <c r="B2224" s="86"/>
      <c r="C2224" s="84"/>
      <c r="D2224" s="86"/>
      <c r="E2224" s="84"/>
      <c r="F2224" s="284"/>
      <c r="G2224" s="49"/>
      <c r="H2224" s="284"/>
      <c r="I2224" s="74"/>
      <c r="J2224" s="371"/>
      <c r="K2224" s="77"/>
      <c r="L2224" s="160"/>
      <c r="M2224" s="388"/>
      <c r="N2224" s="375"/>
      <c r="O2224" s="370"/>
      <c r="T2224" s="340"/>
      <c r="W2224" s="113"/>
      <c r="X2224" s="241"/>
      <c r="Y2224" s="284"/>
      <c r="Z2224" s="207"/>
      <c r="AA2224" s="284"/>
      <c r="AB2224" s="284"/>
      <c r="AC2224" s="137"/>
      <c r="AD2224" s="284"/>
      <c r="AE2224" s="299"/>
      <c r="AF2224" s="299"/>
      <c r="AG2224" s="284"/>
    </row>
    <row r="2225" spans="2:33">
      <c r="B2225" s="86"/>
      <c r="C2225" s="84"/>
      <c r="D2225" s="86"/>
      <c r="E2225" s="84"/>
      <c r="F2225" s="284"/>
      <c r="G2225" s="49"/>
      <c r="H2225" s="284"/>
      <c r="I2225" s="74"/>
      <c r="J2225" s="371"/>
      <c r="K2225" s="77"/>
      <c r="L2225" s="160"/>
      <c r="M2225" s="388"/>
      <c r="N2225" s="375"/>
      <c r="O2225" s="370"/>
      <c r="T2225" s="340"/>
      <c r="W2225" s="113"/>
      <c r="X2225" s="241"/>
      <c r="Y2225" s="284"/>
      <c r="Z2225" s="207"/>
      <c r="AA2225" s="284"/>
      <c r="AB2225" s="284"/>
      <c r="AC2225" s="137"/>
      <c r="AD2225" s="284"/>
      <c r="AE2225" s="299"/>
      <c r="AF2225" s="299"/>
      <c r="AG2225" s="284"/>
    </row>
    <row r="2226" spans="2:33">
      <c r="B2226" s="86"/>
      <c r="C2226" s="84"/>
      <c r="D2226" s="86"/>
      <c r="E2226" s="84"/>
      <c r="F2226" s="284"/>
      <c r="G2226" s="49"/>
      <c r="H2226" s="284"/>
      <c r="I2226" s="74"/>
      <c r="J2226" s="371"/>
      <c r="K2226" s="77"/>
      <c r="L2226" s="160"/>
      <c r="M2226" s="388"/>
      <c r="N2226" s="375"/>
      <c r="O2226" s="370"/>
      <c r="T2226" s="340"/>
      <c r="W2226" s="113"/>
      <c r="X2226" s="241"/>
      <c r="Y2226" s="284"/>
      <c r="Z2226" s="207"/>
      <c r="AA2226" s="284"/>
      <c r="AB2226" s="284"/>
      <c r="AC2226" s="137"/>
      <c r="AD2226" s="284"/>
      <c r="AE2226" s="299"/>
      <c r="AF2226" s="299"/>
      <c r="AG2226" s="284"/>
    </row>
    <row r="2227" spans="2:33">
      <c r="B2227" s="86"/>
      <c r="C2227" s="84"/>
      <c r="D2227" s="86"/>
      <c r="E2227" s="84"/>
      <c r="F2227" s="284"/>
      <c r="G2227" s="49"/>
      <c r="H2227" s="284"/>
      <c r="I2227" s="74"/>
      <c r="J2227" s="371"/>
      <c r="K2227" s="77"/>
      <c r="L2227" s="160"/>
      <c r="M2227" s="388"/>
      <c r="N2227" s="375"/>
      <c r="O2227" s="370"/>
      <c r="T2227" s="340"/>
      <c r="W2227" s="113"/>
      <c r="X2227" s="241"/>
      <c r="Y2227" s="284"/>
      <c r="Z2227" s="207"/>
      <c r="AA2227" s="284"/>
      <c r="AB2227" s="284"/>
      <c r="AC2227" s="137"/>
      <c r="AD2227" s="284"/>
      <c r="AE2227" s="299"/>
      <c r="AF2227" s="299"/>
      <c r="AG2227" s="284"/>
    </row>
    <row r="2228" spans="2:33">
      <c r="B2228" s="86"/>
      <c r="C2228" s="84"/>
      <c r="D2228" s="86"/>
      <c r="E2228" s="84"/>
      <c r="F2228" s="284"/>
      <c r="G2228" s="49"/>
      <c r="H2228" s="284"/>
      <c r="I2228" s="74"/>
      <c r="J2228" s="371"/>
      <c r="K2228" s="77"/>
      <c r="L2228" s="160"/>
      <c r="M2228" s="388"/>
      <c r="N2228" s="375"/>
      <c r="O2228" s="370"/>
      <c r="T2228" s="340"/>
      <c r="W2228" s="113"/>
      <c r="X2228" s="241"/>
      <c r="Y2228" s="284"/>
      <c r="Z2228" s="207"/>
      <c r="AA2228" s="284"/>
      <c r="AB2228" s="284"/>
      <c r="AC2228" s="137"/>
      <c r="AD2228" s="284"/>
      <c r="AE2228" s="299"/>
      <c r="AF2228" s="299"/>
      <c r="AG2228" s="284"/>
    </row>
    <row r="2229" spans="2:33">
      <c r="B2229" s="86"/>
      <c r="C2229" s="84"/>
      <c r="D2229" s="86"/>
      <c r="E2229" s="84"/>
      <c r="F2229" s="284"/>
      <c r="G2229" s="49"/>
      <c r="H2229" s="284"/>
      <c r="I2229" s="74"/>
      <c r="J2229" s="371"/>
      <c r="K2229" s="77"/>
      <c r="L2229" s="160"/>
      <c r="M2229" s="388"/>
      <c r="N2229" s="375"/>
      <c r="O2229" s="370"/>
      <c r="T2229" s="340"/>
      <c r="W2229" s="113"/>
      <c r="X2229" s="241"/>
      <c r="Y2229" s="284"/>
      <c r="Z2229" s="207"/>
      <c r="AA2229" s="284"/>
      <c r="AB2229" s="284"/>
      <c r="AC2229" s="137"/>
      <c r="AD2229" s="284"/>
      <c r="AE2229" s="299"/>
      <c r="AF2229" s="299"/>
      <c r="AG2229" s="284"/>
    </row>
    <row r="2230" spans="2:33">
      <c r="B2230" s="86"/>
      <c r="C2230" s="84"/>
      <c r="D2230" s="86"/>
      <c r="E2230" s="84"/>
      <c r="F2230" s="284"/>
      <c r="G2230" s="49"/>
      <c r="H2230" s="284"/>
      <c r="I2230" s="74"/>
      <c r="J2230" s="371"/>
      <c r="K2230" s="77"/>
      <c r="L2230" s="160"/>
      <c r="M2230" s="388"/>
      <c r="N2230" s="375"/>
      <c r="O2230" s="370"/>
      <c r="T2230" s="340"/>
      <c r="W2230" s="113"/>
      <c r="X2230" s="241"/>
      <c r="Y2230" s="284"/>
      <c r="Z2230" s="207"/>
      <c r="AA2230" s="284"/>
      <c r="AB2230" s="284"/>
      <c r="AC2230" s="137"/>
      <c r="AD2230" s="284"/>
      <c r="AE2230" s="299"/>
      <c r="AF2230" s="299"/>
      <c r="AG2230" s="284"/>
    </row>
    <row r="2231" spans="2:33">
      <c r="B2231" s="86"/>
      <c r="C2231" s="84"/>
      <c r="D2231" s="86"/>
      <c r="E2231" s="84"/>
      <c r="F2231" s="284"/>
      <c r="G2231" s="49"/>
      <c r="H2231" s="284"/>
      <c r="I2231" s="74"/>
      <c r="J2231" s="371"/>
      <c r="K2231" s="77"/>
      <c r="L2231" s="160"/>
      <c r="M2231" s="388"/>
      <c r="N2231" s="375"/>
      <c r="O2231" s="370"/>
      <c r="T2231" s="340"/>
      <c r="W2231" s="113"/>
      <c r="X2231" s="241"/>
      <c r="Y2231" s="284"/>
      <c r="Z2231" s="207"/>
      <c r="AA2231" s="284"/>
      <c r="AB2231" s="284"/>
      <c r="AC2231" s="137"/>
      <c r="AD2231" s="284"/>
      <c r="AE2231" s="299"/>
      <c r="AF2231" s="299"/>
      <c r="AG2231" s="284"/>
    </row>
    <row r="2232" spans="2:33">
      <c r="B2232" s="86"/>
      <c r="C2232" s="84"/>
      <c r="D2232" s="86"/>
      <c r="E2232" s="84"/>
      <c r="F2232" s="284"/>
      <c r="G2232" s="49"/>
      <c r="H2232" s="284"/>
      <c r="I2232" s="74"/>
      <c r="J2232" s="371"/>
      <c r="K2232" s="77"/>
      <c r="L2232" s="160"/>
      <c r="M2232" s="388"/>
      <c r="N2232" s="375"/>
      <c r="O2232" s="370"/>
      <c r="T2232" s="340"/>
      <c r="W2232" s="113"/>
      <c r="X2232" s="241"/>
      <c r="Y2232" s="284"/>
      <c r="Z2232" s="207"/>
      <c r="AA2232" s="284"/>
      <c r="AB2232" s="284"/>
      <c r="AC2232" s="137"/>
      <c r="AD2232" s="284"/>
      <c r="AE2232" s="299"/>
      <c r="AF2232" s="299"/>
      <c r="AG2232" s="284"/>
    </row>
    <row r="2233" spans="2:33">
      <c r="B2233" s="86"/>
      <c r="C2233" s="84"/>
      <c r="D2233" s="86"/>
      <c r="E2233" s="84"/>
      <c r="F2233" s="284"/>
      <c r="G2233" s="49"/>
      <c r="H2233" s="284"/>
      <c r="I2233" s="74"/>
      <c r="J2233" s="371"/>
      <c r="K2233" s="77"/>
      <c r="L2233" s="160"/>
      <c r="M2233" s="388"/>
      <c r="N2233" s="375"/>
      <c r="O2233" s="370"/>
      <c r="T2233" s="340"/>
      <c r="W2233" s="113"/>
      <c r="X2233" s="241"/>
      <c r="Y2233" s="284"/>
      <c r="Z2233" s="207"/>
      <c r="AA2233" s="284"/>
      <c r="AB2233" s="284"/>
      <c r="AC2233" s="137"/>
      <c r="AD2233" s="284"/>
      <c r="AE2233" s="299"/>
      <c r="AF2233" s="299"/>
      <c r="AG2233" s="284"/>
    </row>
    <row r="2234" spans="2:33">
      <c r="B2234" s="86"/>
      <c r="C2234" s="84"/>
      <c r="D2234" s="86"/>
      <c r="E2234" s="84"/>
      <c r="F2234" s="284"/>
      <c r="G2234" s="49"/>
      <c r="H2234" s="284"/>
      <c r="I2234" s="74"/>
      <c r="J2234" s="371"/>
      <c r="K2234" s="77"/>
      <c r="L2234" s="160"/>
      <c r="M2234" s="388"/>
      <c r="N2234" s="375"/>
      <c r="O2234" s="370"/>
      <c r="T2234" s="340"/>
      <c r="W2234" s="113"/>
      <c r="X2234" s="241"/>
      <c r="Y2234" s="284"/>
      <c r="Z2234" s="207"/>
      <c r="AA2234" s="284"/>
      <c r="AB2234" s="284"/>
      <c r="AC2234" s="137"/>
      <c r="AD2234" s="284"/>
      <c r="AE2234" s="299"/>
      <c r="AF2234" s="299"/>
      <c r="AG2234" s="284"/>
    </row>
    <row r="2235" spans="2:33">
      <c r="B2235" s="86"/>
      <c r="C2235" s="84"/>
      <c r="D2235" s="86"/>
      <c r="E2235" s="84"/>
      <c r="F2235" s="284"/>
      <c r="G2235" s="49"/>
      <c r="H2235" s="284"/>
      <c r="I2235" s="74"/>
      <c r="J2235" s="371"/>
      <c r="K2235" s="77"/>
      <c r="L2235" s="160"/>
      <c r="M2235" s="388"/>
      <c r="N2235" s="375"/>
      <c r="O2235" s="370"/>
      <c r="T2235" s="340"/>
      <c r="W2235" s="113"/>
      <c r="X2235" s="241"/>
      <c r="Y2235" s="284"/>
      <c r="Z2235" s="207"/>
      <c r="AA2235" s="284"/>
      <c r="AB2235" s="284"/>
      <c r="AC2235" s="137"/>
      <c r="AD2235" s="284"/>
      <c r="AE2235" s="299"/>
      <c r="AF2235" s="299"/>
      <c r="AG2235" s="284"/>
    </row>
    <row r="2236" spans="2:33">
      <c r="B2236" s="86"/>
      <c r="C2236" s="84"/>
      <c r="D2236" s="86"/>
      <c r="E2236" s="84"/>
      <c r="F2236" s="284"/>
      <c r="G2236" s="49"/>
      <c r="H2236" s="284"/>
      <c r="I2236" s="74"/>
      <c r="J2236" s="371"/>
      <c r="K2236" s="77"/>
      <c r="L2236" s="160"/>
      <c r="M2236" s="388"/>
      <c r="N2236" s="375"/>
      <c r="O2236" s="370"/>
      <c r="T2236" s="340"/>
      <c r="W2236" s="113"/>
      <c r="X2236" s="241"/>
      <c r="Y2236" s="284"/>
      <c r="Z2236" s="207"/>
      <c r="AA2236" s="284"/>
      <c r="AB2236" s="284"/>
      <c r="AC2236" s="137"/>
      <c r="AD2236" s="284"/>
      <c r="AE2236" s="299"/>
      <c r="AF2236" s="299"/>
      <c r="AG2236" s="284"/>
    </row>
    <row r="2237" spans="2:33">
      <c r="B2237" s="86"/>
      <c r="C2237" s="84"/>
      <c r="D2237" s="86"/>
      <c r="E2237" s="84"/>
      <c r="F2237" s="284"/>
      <c r="G2237" s="49"/>
      <c r="H2237" s="284"/>
      <c r="I2237" s="74"/>
      <c r="J2237" s="371"/>
      <c r="K2237" s="77"/>
      <c r="L2237" s="160"/>
      <c r="M2237" s="388"/>
      <c r="N2237" s="375"/>
      <c r="O2237" s="370"/>
      <c r="T2237" s="340"/>
      <c r="W2237" s="113"/>
      <c r="X2237" s="241"/>
      <c r="Y2237" s="284"/>
      <c r="Z2237" s="207"/>
      <c r="AA2237" s="284"/>
      <c r="AB2237" s="284"/>
      <c r="AC2237" s="137"/>
      <c r="AD2237" s="284"/>
      <c r="AE2237" s="299"/>
      <c r="AF2237" s="299"/>
      <c r="AG2237" s="284"/>
    </row>
    <row r="2238" spans="2:33">
      <c r="B2238" s="86"/>
      <c r="C2238" s="84"/>
      <c r="D2238" s="86"/>
      <c r="E2238" s="84"/>
      <c r="F2238" s="284"/>
      <c r="G2238" s="49"/>
      <c r="H2238" s="284"/>
      <c r="I2238" s="74"/>
      <c r="J2238" s="371"/>
      <c r="K2238" s="77"/>
      <c r="L2238" s="160"/>
      <c r="M2238" s="388"/>
      <c r="N2238" s="375"/>
      <c r="O2238" s="370"/>
      <c r="T2238" s="340"/>
      <c r="W2238" s="113"/>
      <c r="X2238" s="241"/>
      <c r="Y2238" s="284"/>
      <c r="Z2238" s="207"/>
      <c r="AA2238" s="284"/>
      <c r="AB2238" s="284"/>
      <c r="AC2238" s="137"/>
      <c r="AD2238" s="284"/>
      <c r="AE2238" s="299"/>
      <c r="AF2238" s="299"/>
      <c r="AG2238" s="284"/>
    </row>
    <row r="2239" spans="2:33">
      <c r="B2239" s="86"/>
      <c r="C2239" s="84"/>
      <c r="D2239" s="86"/>
      <c r="E2239" s="84"/>
      <c r="F2239" s="284"/>
      <c r="G2239" s="49"/>
      <c r="H2239" s="284"/>
      <c r="I2239" s="74"/>
      <c r="J2239" s="371"/>
      <c r="K2239" s="77"/>
      <c r="L2239" s="160"/>
      <c r="M2239" s="388"/>
      <c r="N2239" s="375"/>
      <c r="O2239" s="370"/>
      <c r="T2239" s="340"/>
      <c r="W2239" s="113"/>
      <c r="X2239" s="241"/>
      <c r="Y2239" s="284"/>
      <c r="Z2239" s="207"/>
      <c r="AA2239" s="284"/>
      <c r="AB2239" s="284"/>
      <c r="AC2239" s="137"/>
      <c r="AD2239" s="284"/>
      <c r="AE2239" s="299"/>
      <c r="AF2239" s="299"/>
      <c r="AG2239" s="284"/>
    </row>
    <row r="2240" spans="2:33">
      <c r="B2240" s="86"/>
      <c r="C2240" s="84"/>
      <c r="D2240" s="86"/>
      <c r="E2240" s="84"/>
      <c r="F2240" s="284"/>
      <c r="G2240" s="49"/>
      <c r="H2240" s="284"/>
      <c r="I2240" s="74"/>
      <c r="J2240" s="371"/>
      <c r="K2240" s="77"/>
      <c r="L2240" s="160"/>
      <c r="M2240" s="388"/>
      <c r="N2240" s="375"/>
      <c r="O2240" s="370"/>
      <c r="T2240" s="340"/>
      <c r="W2240" s="113"/>
      <c r="X2240" s="241"/>
      <c r="Y2240" s="284"/>
      <c r="Z2240" s="207"/>
      <c r="AA2240" s="284"/>
      <c r="AB2240" s="284"/>
      <c r="AC2240" s="137"/>
      <c r="AD2240" s="284"/>
      <c r="AE2240" s="299"/>
      <c r="AF2240" s="299"/>
      <c r="AG2240" s="284"/>
    </row>
    <row r="2241" spans="2:33">
      <c r="B2241" s="86"/>
      <c r="C2241" s="84"/>
      <c r="D2241" s="86"/>
      <c r="E2241" s="84"/>
      <c r="F2241" s="284"/>
      <c r="G2241" s="49"/>
      <c r="H2241" s="284"/>
      <c r="I2241" s="74"/>
      <c r="J2241" s="371"/>
      <c r="K2241" s="77"/>
      <c r="L2241" s="160"/>
      <c r="M2241" s="388"/>
      <c r="N2241" s="375"/>
      <c r="O2241" s="370"/>
      <c r="T2241" s="340"/>
      <c r="W2241" s="113"/>
      <c r="X2241" s="241"/>
      <c r="Y2241" s="284"/>
      <c r="Z2241" s="207"/>
      <c r="AA2241" s="284"/>
      <c r="AB2241" s="284"/>
      <c r="AC2241" s="137"/>
      <c r="AD2241" s="284"/>
      <c r="AE2241" s="299"/>
      <c r="AF2241" s="299"/>
      <c r="AG2241" s="284"/>
    </row>
    <row r="2242" spans="2:33">
      <c r="B2242" s="86"/>
      <c r="C2242" s="84"/>
      <c r="D2242" s="86"/>
      <c r="E2242" s="84"/>
      <c r="F2242" s="284"/>
      <c r="G2242" s="49"/>
      <c r="H2242" s="284"/>
      <c r="I2242" s="74"/>
      <c r="J2242" s="371"/>
      <c r="K2242" s="77"/>
      <c r="L2242" s="160"/>
      <c r="M2242" s="388"/>
      <c r="N2242" s="375"/>
      <c r="O2242" s="370"/>
      <c r="T2242" s="340"/>
      <c r="W2242" s="113"/>
      <c r="X2242" s="241"/>
      <c r="Y2242" s="284"/>
      <c r="Z2242" s="207"/>
      <c r="AA2242" s="284"/>
      <c r="AB2242" s="284"/>
      <c r="AC2242" s="137"/>
      <c r="AD2242" s="284"/>
      <c r="AE2242" s="299"/>
      <c r="AF2242" s="299"/>
      <c r="AG2242" s="284"/>
    </row>
    <row r="2243" spans="2:33">
      <c r="B2243" s="86"/>
      <c r="C2243" s="84"/>
      <c r="D2243" s="86"/>
      <c r="E2243" s="84"/>
      <c r="F2243" s="284"/>
      <c r="G2243" s="49"/>
      <c r="H2243" s="284"/>
      <c r="I2243" s="74"/>
      <c r="J2243" s="371"/>
      <c r="K2243" s="77"/>
      <c r="L2243" s="160"/>
      <c r="M2243" s="388"/>
      <c r="N2243" s="375"/>
      <c r="O2243" s="370"/>
      <c r="T2243" s="340"/>
      <c r="W2243" s="113"/>
      <c r="X2243" s="241"/>
      <c r="Y2243" s="284"/>
      <c r="Z2243" s="207"/>
      <c r="AA2243" s="284"/>
      <c r="AB2243" s="284"/>
      <c r="AC2243" s="137"/>
      <c r="AD2243" s="284"/>
      <c r="AE2243" s="299"/>
      <c r="AF2243" s="299"/>
      <c r="AG2243" s="284"/>
    </row>
    <row r="2244" spans="2:33">
      <c r="B2244" s="86"/>
      <c r="C2244" s="84"/>
      <c r="D2244" s="86"/>
      <c r="E2244" s="84"/>
      <c r="F2244" s="284"/>
      <c r="G2244" s="49"/>
      <c r="H2244" s="284"/>
      <c r="I2244" s="74"/>
      <c r="J2244" s="371"/>
      <c r="K2244" s="77"/>
      <c r="L2244" s="160"/>
      <c r="M2244" s="388"/>
      <c r="N2244" s="375"/>
      <c r="O2244" s="370"/>
      <c r="T2244" s="340"/>
      <c r="W2244" s="113"/>
      <c r="X2244" s="241"/>
      <c r="Y2244" s="284"/>
      <c r="Z2244" s="207"/>
      <c r="AA2244" s="284"/>
      <c r="AB2244" s="284"/>
      <c r="AC2244" s="137"/>
      <c r="AD2244" s="284"/>
      <c r="AE2244" s="299"/>
      <c r="AF2244" s="299"/>
      <c r="AG2244" s="284"/>
    </row>
    <row r="2245" spans="2:33">
      <c r="B2245" s="86"/>
      <c r="C2245" s="84"/>
      <c r="D2245" s="86"/>
      <c r="E2245" s="84"/>
      <c r="F2245" s="284"/>
      <c r="G2245" s="49"/>
      <c r="H2245" s="284"/>
      <c r="I2245" s="74"/>
      <c r="J2245" s="371"/>
      <c r="K2245" s="77"/>
      <c r="L2245" s="160"/>
      <c r="M2245" s="388"/>
      <c r="N2245" s="375"/>
      <c r="O2245" s="370"/>
      <c r="T2245" s="340"/>
      <c r="W2245" s="113"/>
      <c r="X2245" s="241"/>
      <c r="Y2245" s="284"/>
      <c r="Z2245" s="207"/>
      <c r="AA2245" s="284"/>
      <c r="AB2245" s="284"/>
      <c r="AC2245" s="137"/>
      <c r="AD2245" s="284"/>
      <c r="AE2245" s="299"/>
      <c r="AF2245" s="299"/>
      <c r="AG2245" s="284"/>
    </row>
    <row r="2246" spans="2:33">
      <c r="B2246" s="86"/>
      <c r="C2246" s="84"/>
      <c r="D2246" s="86"/>
      <c r="E2246" s="84"/>
      <c r="F2246" s="284"/>
      <c r="G2246" s="49"/>
      <c r="H2246" s="284"/>
      <c r="I2246" s="74"/>
      <c r="J2246" s="371"/>
      <c r="K2246" s="77"/>
      <c r="L2246" s="160"/>
      <c r="M2246" s="388"/>
      <c r="N2246" s="375"/>
      <c r="O2246" s="370"/>
      <c r="T2246" s="340"/>
      <c r="W2246" s="113"/>
      <c r="X2246" s="241"/>
      <c r="Y2246" s="284"/>
      <c r="Z2246" s="207"/>
      <c r="AA2246" s="284"/>
      <c r="AB2246" s="284"/>
      <c r="AC2246" s="137"/>
      <c r="AD2246" s="284"/>
      <c r="AE2246" s="299"/>
      <c r="AF2246" s="299"/>
      <c r="AG2246" s="284"/>
    </row>
    <row r="2247" spans="2:33">
      <c r="B2247" s="86"/>
      <c r="C2247" s="84"/>
      <c r="D2247" s="86"/>
      <c r="E2247" s="84"/>
      <c r="F2247" s="284"/>
      <c r="G2247" s="49"/>
      <c r="H2247" s="284"/>
      <c r="I2247" s="74"/>
      <c r="J2247" s="371"/>
      <c r="K2247" s="77"/>
      <c r="L2247" s="160"/>
      <c r="M2247" s="388"/>
      <c r="N2247" s="375"/>
      <c r="O2247" s="370"/>
      <c r="T2247" s="340"/>
      <c r="W2247" s="113"/>
      <c r="X2247" s="241"/>
      <c r="Y2247" s="284"/>
      <c r="Z2247" s="207"/>
      <c r="AA2247" s="284"/>
      <c r="AB2247" s="284"/>
      <c r="AC2247" s="137"/>
      <c r="AD2247" s="284"/>
      <c r="AE2247" s="299"/>
      <c r="AF2247" s="299"/>
      <c r="AG2247" s="284"/>
    </row>
    <row r="2248" spans="2:33">
      <c r="B2248" s="86"/>
      <c r="C2248" s="84"/>
      <c r="D2248" s="86"/>
      <c r="E2248" s="84"/>
      <c r="F2248" s="284"/>
      <c r="G2248" s="49"/>
      <c r="H2248" s="284"/>
      <c r="I2248" s="74"/>
      <c r="J2248" s="371"/>
      <c r="K2248" s="77"/>
      <c r="L2248" s="160"/>
      <c r="M2248" s="388"/>
      <c r="N2248" s="375"/>
      <c r="O2248" s="370"/>
      <c r="T2248" s="340"/>
      <c r="W2248" s="113"/>
      <c r="X2248" s="241"/>
      <c r="Y2248" s="284"/>
      <c r="Z2248" s="207"/>
      <c r="AA2248" s="284"/>
      <c r="AB2248" s="284"/>
      <c r="AC2248" s="137"/>
      <c r="AD2248" s="284"/>
      <c r="AE2248" s="299"/>
      <c r="AF2248" s="299"/>
      <c r="AG2248" s="284"/>
    </row>
    <row r="2249" spans="2:33">
      <c r="B2249" s="86"/>
      <c r="C2249" s="84"/>
      <c r="D2249" s="86"/>
      <c r="E2249" s="84"/>
      <c r="F2249" s="284"/>
      <c r="G2249" s="49"/>
      <c r="H2249" s="284"/>
      <c r="I2249" s="74"/>
      <c r="J2249" s="371"/>
      <c r="K2249" s="77"/>
      <c r="L2249" s="160"/>
      <c r="M2249" s="388"/>
      <c r="N2249" s="375"/>
      <c r="O2249" s="370"/>
      <c r="T2249" s="340"/>
      <c r="W2249" s="113"/>
      <c r="X2249" s="241"/>
      <c r="Y2249" s="284"/>
      <c r="Z2249" s="207"/>
      <c r="AA2249" s="284"/>
      <c r="AB2249" s="284"/>
      <c r="AC2249" s="137"/>
      <c r="AD2249" s="284"/>
      <c r="AE2249" s="299"/>
      <c r="AF2249" s="299"/>
      <c r="AG2249" s="284"/>
    </row>
    <row r="2250" spans="2:33">
      <c r="B2250" s="86"/>
      <c r="C2250" s="84"/>
      <c r="D2250" s="86"/>
      <c r="E2250" s="84"/>
      <c r="F2250" s="284"/>
      <c r="G2250" s="49"/>
      <c r="H2250" s="284"/>
      <c r="I2250" s="74"/>
      <c r="J2250" s="371"/>
      <c r="K2250" s="77"/>
      <c r="L2250" s="160"/>
      <c r="M2250" s="388"/>
      <c r="N2250" s="375"/>
      <c r="O2250" s="370"/>
      <c r="T2250" s="340"/>
      <c r="W2250" s="113"/>
      <c r="X2250" s="241"/>
      <c r="Y2250" s="284"/>
      <c r="Z2250" s="207"/>
      <c r="AA2250" s="284"/>
      <c r="AB2250" s="284"/>
      <c r="AC2250" s="137"/>
      <c r="AD2250" s="284"/>
      <c r="AE2250" s="299"/>
      <c r="AF2250" s="299"/>
      <c r="AG2250" s="284"/>
    </row>
    <row r="2251" spans="2:33">
      <c r="B2251" s="86"/>
      <c r="C2251" s="84"/>
      <c r="D2251" s="86"/>
      <c r="E2251" s="84"/>
      <c r="F2251" s="284"/>
      <c r="G2251" s="49"/>
      <c r="H2251" s="284"/>
      <c r="I2251" s="74"/>
      <c r="J2251" s="371"/>
      <c r="K2251" s="77"/>
      <c r="L2251" s="160"/>
      <c r="M2251" s="388"/>
      <c r="N2251" s="375"/>
      <c r="O2251" s="370"/>
      <c r="T2251" s="340"/>
      <c r="W2251" s="113"/>
      <c r="X2251" s="241"/>
      <c r="Y2251" s="284"/>
      <c r="Z2251" s="207"/>
      <c r="AA2251" s="284"/>
      <c r="AB2251" s="284"/>
      <c r="AC2251" s="137"/>
      <c r="AD2251" s="284"/>
      <c r="AE2251" s="299"/>
      <c r="AF2251" s="299"/>
      <c r="AG2251" s="284"/>
    </row>
    <row r="2252" spans="2:33">
      <c r="B2252" s="86"/>
      <c r="C2252" s="84"/>
      <c r="D2252" s="86"/>
      <c r="E2252" s="84"/>
      <c r="F2252" s="284"/>
      <c r="G2252" s="49"/>
      <c r="H2252" s="284"/>
      <c r="I2252" s="74"/>
      <c r="J2252" s="371"/>
      <c r="K2252" s="77"/>
      <c r="L2252" s="160"/>
      <c r="M2252" s="388"/>
      <c r="N2252" s="375"/>
      <c r="O2252" s="370"/>
      <c r="T2252" s="340"/>
      <c r="W2252" s="113"/>
      <c r="X2252" s="241"/>
      <c r="Y2252" s="284"/>
      <c r="Z2252" s="207"/>
      <c r="AA2252" s="284"/>
      <c r="AB2252" s="284"/>
      <c r="AC2252" s="137"/>
      <c r="AD2252" s="284"/>
      <c r="AE2252" s="299"/>
      <c r="AF2252" s="299"/>
      <c r="AG2252" s="284"/>
    </row>
    <row r="2253" spans="2:33">
      <c r="B2253" s="86"/>
      <c r="C2253" s="84"/>
      <c r="D2253" s="86"/>
      <c r="E2253" s="84"/>
      <c r="F2253" s="284"/>
      <c r="G2253" s="49"/>
      <c r="H2253" s="284"/>
      <c r="I2253" s="74"/>
      <c r="J2253" s="371"/>
      <c r="K2253" s="77"/>
      <c r="L2253" s="160"/>
      <c r="M2253" s="388"/>
      <c r="N2253" s="375"/>
      <c r="O2253" s="370"/>
      <c r="T2253" s="340"/>
      <c r="W2253" s="113"/>
      <c r="X2253" s="241"/>
      <c r="Y2253" s="284"/>
      <c r="Z2253" s="207"/>
      <c r="AA2253" s="284"/>
      <c r="AB2253" s="284"/>
      <c r="AC2253" s="137"/>
      <c r="AD2253" s="284"/>
      <c r="AE2253" s="299"/>
      <c r="AF2253" s="299"/>
      <c r="AG2253" s="284"/>
    </row>
    <row r="2254" spans="2:33">
      <c r="B2254" s="86"/>
      <c r="C2254" s="84"/>
      <c r="D2254" s="86"/>
      <c r="E2254" s="84"/>
      <c r="F2254" s="284"/>
      <c r="G2254" s="49"/>
      <c r="H2254" s="284"/>
      <c r="I2254" s="74"/>
      <c r="J2254" s="371"/>
      <c r="K2254" s="77"/>
      <c r="L2254" s="160"/>
      <c r="M2254" s="388"/>
      <c r="N2254" s="375"/>
      <c r="O2254" s="370"/>
      <c r="T2254" s="340"/>
      <c r="W2254" s="113"/>
      <c r="X2254" s="241"/>
      <c r="Y2254" s="284"/>
      <c r="Z2254" s="207"/>
      <c r="AA2254" s="284"/>
      <c r="AB2254" s="284"/>
      <c r="AC2254" s="137"/>
      <c r="AD2254" s="284"/>
      <c r="AE2254" s="299"/>
      <c r="AF2254" s="299"/>
      <c r="AG2254" s="284"/>
    </row>
    <row r="2255" spans="2:33">
      <c r="B2255" s="86"/>
      <c r="C2255" s="84"/>
      <c r="D2255" s="86"/>
      <c r="E2255" s="84"/>
      <c r="F2255" s="284"/>
      <c r="G2255" s="49"/>
      <c r="H2255" s="284"/>
      <c r="I2255" s="74"/>
      <c r="J2255" s="371"/>
      <c r="K2255" s="77"/>
      <c r="L2255" s="160"/>
      <c r="M2255" s="388"/>
      <c r="N2255" s="375"/>
      <c r="O2255" s="370"/>
      <c r="T2255" s="340"/>
      <c r="W2255" s="113"/>
      <c r="X2255" s="241"/>
      <c r="Y2255" s="284"/>
      <c r="Z2255" s="207"/>
      <c r="AA2255" s="284"/>
      <c r="AB2255" s="284"/>
      <c r="AC2255" s="137"/>
      <c r="AD2255" s="284"/>
      <c r="AE2255" s="299"/>
      <c r="AF2255" s="299"/>
      <c r="AG2255" s="284"/>
    </row>
    <row r="2256" spans="2:33">
      <c r="B2256" s="86"/>
      <c r="C2256" s="84"/>
      <c r="D2256" s="86"/>
      <c r="E2256" s="84"/>
      <c r="F2256" s="284"/>
      <c r="G2256" s="49"/>
      <c r="H2256" s="284"/>
      <c r="I2256" s="74"/>
      <c r="J2256" s="371"/>
      <c r="K2256" s="77"/>
      <c r="L2256" s="160"/>
      <c r="M2256" s="388"/>
      <c r="N2256" s="375"/>
      <c r="O2256" s="370"/>
      <c r="T2256" s="340"/>
      <c r="W2256" s="113"/>
      <c r="X2256" s="241"/>
      <c r="Y2256" s="284"/>
      <c r="Z2256" s="207"/>
      <c r="AA2256" s="284"/>
      <c r="AB2256" s="284"/>
      <c r="AC2256" s="137"/>
      <c r="AD2256" s="284"/>
      <c r="AE2256" s="299"/>
      <c r="AF2256" s="299"/>
      <c r="AG2256" s="284"/>
    </row>
    <row r="2257" spans="2:33">
      <c r="B2257" s="86"/>
      <c r="C2257" s="84"/>
      <c r="D2257" s="86"/>
      <c r="E2257" s="84"/>
      <c r="F2257" s="284"/>
      <c r="G2257" s="49"/>
      <c r="H2257" s="284"/>
      <c r="I2257" s="74"/>
      <c r="J2257" s="371"/>
      <c r="K2257" s="77"/>
      <c r="L2257" s="160"/>
      <c r="M2257" s="388"/>
      <c r="N2257" s="375"/>
      <c r="O2257" s="370"/>
      <c r="T2257" s="340"/>
      <c r="W2257" s="113"/>
      <c r="X2257" s="241"/>
      <c r="Y2257" s="284"/>
      <c r="Z2257" s="207"/>
      <c r="AA2257" s="284"/>
      <c r="AB2257" s="284"/>
      <c r="AC2257" s="137"/>
      <c r="AD2257" s="284"/>
      <c r="AE2257" s="299"/>
      <c r="AF2257" s="299"/>
      <c r="AG2257" s="284"/>
    </row>
    <row r="2258" spans="2:33">
      <c r="B2258" s="86"/>
      <c r="C2258" s="84"/>
      <c r="D2258" s="86"/>
      <c r="E2258" s="84"/>
      <c r="F2258" s="284"/>
      <c r="G2258" s="49"/>
      <c r="H2258" s="284"/>
      <c r="I2258" s="74"/>
      <c r="J2258" s="371"/>
      <c r="K2258" s="77"/>
      <c r="L2258" s="160"/>
      <c r="M2258" s="388"/>
      <c r="N2258" s="375"/>
      <c r="O2258" s="370"/>
      <c r="T2258" s="340"/>
      <c r="W2258" s="113"/>
      <c r="X2258" s="241"/>
      <c r="Y2258" s="284"/>
      <c r="Z2258" s="207"/>
      <c r="AA2258" s="284"/>
      <c r="AB2258" s="284"/>
      <c r="AC2258" s="137"/>
      <c r="AD2258" s="284"/>
      <c r="AE2258" s="299"/>
      <c r="AF2258" s="299"/>
      <c r="AG2258" s="284"/>
    </row>
    <row r="2259" spans="2:33">
      <c r="B2259" s="86"/>
      <c r="C2259" s="84"/>
      <c r="D2259" s="86"/>
      <c r="E2259" s="84"/>
      <c r="F2259" s="284"/>
      <c r="G2259" s="49"/>
      <c r="H2259" s="284"/>
      <c r="I2259" s="74"/>
      <c r="J2259" s="371"/>
      <c r="K2259" s="77"/>
      <c r="L2259" s="160"/>
      <c r="M2259" s="388"/>
      <c r="N2259" s="375"/>
      <c r="O2259" s="370"/>
      <c r="T2259" s="340"/>
      <c r="W2259" s="113"/>
      <c r="X2259" s="241"/>
      <c r="Y2259" s="284"/>
      <c r="Z2259" s="207"/>
      <c r="AA2259" s="284"/>
      <c r="AB2259" s="284"/>
      <c r="AC2259" s="137"/>
      <c r="AD2259" s="284"/>
      <c r="AE2259" s="299"/>
      <c r="AF2259" s="299"/>
      <c r="AG2259" s="284"/>
    </row>
    <row r="2260" spans="2:33">
      <c r="B2260" s="86"/>
      <c r="C2260" s="84"/>
      <c r="D2260" s="86"/>
      <c r="E2260" s="84"/>
      <c r="F2260" s="284"/>
      <c r="G2260" s="49"/>
      <c r="H2260" s="284"/>
      <c r="I2260" s="74"/>
      <c r="J2260" s="371"/>
      <c r="K2260" s="77"/>
      <c r="L2260" s="160"/>
      <c r="M2260" s="388"/>
      <c r="N2260" s="375"/>
      <c r="O2260" s="370"/>
      <c r="T2260" s="340"/>
      <c r="W2260" s="113"/>
      <c r="X2260" s="241"/>
      <c r="Y2260" s="284"/>
      <c r="Z2260" s="207"/>
      <c r="AA2260" s="284"/>
      <c r="AB2260" s="284"/>
      <c r="AC2260" s="137"/>
      <c r="AD2260" s="284"/>
      <c r="AE2260" s="299"/>
      <c r="AF2260" s="299"/>
      <c r="AG2260" s="284"/>
    </row>
    <row r="2261" spans="2:33">
      <c r="B2261" s="86"/>
      <c r="C2261" s="84"/>
      <c r="D2261" s="86"/>
      <c r="E2261" s="84"/>
      <c r="F2261" s="284"/>
      <c r="G2261" s="49"/>
      <c r="H2261" s="284"/>
      <c r="I2261" s="74"/>
      <c r="J2261" s="371"/>
      <c r="K2261" s="77"/>
      <c r="L2261" s="160"/>
      <c r="M2261" s="388"/>
      <c r="N2261" s="375"/>
      <c r="O2261" s="370"/>
      <c r="T2261" s="340"/>
      <c r="W2261" s="113"/>
      <c r="X2261" s="241"/>
      <c r="Y2261" s="284"/>
      <c r="Z2261" s="207"/>
      <c r="AA2261" s="284"/>
      <c r="AB2261" s="284"/>
      <c r="AC2261" s="137"/>
      <c r="AD2261" s="284"/>
      <c r="AE2261" s="299"/>
      <c r="AF2261" s="299"/>
      <c r="AG2261" s="284"/>
    </row>
    <row r="2262" spans="2:33">
      <c r="B2262" s="86"/>
      <c r="C2262" s="84"/>
      <c r="D2262" s="86"/>
      <c r="E2262" s="84"/>
      <c r="F2262" s="284"/>
      <c r="G2262" s="49"/>
      <c r="H2262" s="284"/>
      <c r="I2262" s="74"/>
      <c r="J2262" s="371"/>
      <c r="K2262" s="77"/>
      <c r="L2262" s="160"/>
      <c r="M2262" s="388"/>
      <c r="N2262" s="375"/>
      <c r="O2262" s="370"/>
      <c r="T2262" s="340"/>
      <c r="W2262" s="113"/>
      <c r="X2262" s="241"/>
      <c r="Y2262" s="284"/>
      <c r="Z2262" s="207"/>
      <c r="AA2262" s="284"/>
      <c r="AB2262" s="284"/>
      <c r="AC2262" s="137"/>
      <c r="AD2262" s="284"/>
      <c r="AE2262" s="299"/>
      <c r="AF2262" s="299"/>
      <c r="AG2262" s="284"/>
    </row>
    <row r="2263" spans="2:33">
      <c r="B2263" s="86"/>
      <c r="C2263" s="84"/>
      <c r="D2263" s="86"/>
      <c r="E2263" s="84"/>
      <c r="F2263" s="284"/>
      <c r="G2263" s="49"/>
      <c r="H2263" s="284"/>
      <c r="I2263" s="74"/>
      <c r="J2263" s="371"/>
      <c r="K2263" s="77"/>
      <c r="L2263" s="160"/>
      <c r="M2263" s="388"/>
      <c r="N2263" s="375"/>
      <c r="O2263" s="370"/>
      <c r="T2263" s="340"/>
      <c r="W2263" s="113"/>
      <c r="X2263" s="241"/>
      <c r="Y2263" s="284"/>
      <c r="Z2263" s="207"/>
      <c r="AA2263" s="284"/>
      <c r="AB2263" s="284"/>
      <c r="AC2263" s="137"/>
      <c r="AD2263" s="284"/>
      <c r="AE2263" s="299"/>
      <c r="AF2263" s="299"/>
      <c r="AG2263" s="284"/>
    </row>
    <row r="2264" spans="2:33">
      <c r="B2264" s="86"/>
      <c r="C2264" s="84"/>
      <c r="D2264" s="86"/>
      <c r="E2264" s="84"/>
      <c r="F2264" s="284"/>
      <c r="G2264" s="49"/>
      <c r="H2264" s="284"/>
      <c r="I2264" s="74"/>
      <c r="J2264" s="371"/>
      <c r="K2264" s="77"/>
      <c r="L2264" s="160"/>
      <c r="M2264" s="388"/>
      <c r="N2264" s="375"/>
      <c r="O2264" s="370"/>
      <c r="T2264" s="340"/>
      <c r="W2264" s="113"/>
      <c r="X2264" s="241"/>
      <c r="Y2264" s="284"/>
      <c r="Z2264" s="207"/>
      <c r="AA2264" s="284"/>
      <c r="AB2264" s="284"/>
      <c r="AC2264" s="137"/>
      <c r="AD2264" s="284"/>
      <c r="AE2264" s="299"/>
      <c r="AF2264" s="299"/>
      <c r="AG2264" s="284"/>
    </row>
    <row r="2265" spans="2:33">
      <c r="B2265" s="86"/>
      <c r="C2265" s="84"/>
      <c r="D2265" s="86"/>
      <c r="E2265" s="84"/>
      <c r="F2265" s="284"/>
      <c r="G2265" s="49"/>
      <c r="H2265" s="284"/>
      <c r="I2265" s="74"/>
      <c r="J2265" s="371"/>
      <c r="K2265" s="77"/>
      <c r="L2265" s="160"/>
      <c r="M2265" s="388"/>
      <c r="N2265" s="375"/>
      <c r="O2265" s="370"/>
      <c r="T2265" s="340"/>
      <c r="W2265" s="113"/>
      <c r="X2265" s="241"/>
      <c r="Y2265" s="284"/>
      <c r="Z2265" s="207"/>
      <c r="AA2265" s="284"/>
      <c r="AB2265" s="284"/>
      <c r="AC2265" s="137"/>
      <c r="AD2265" s="284"/>
      <c r="AE2265" s="299"/>
      <c r="AF2265" s="299"/>
      <c r="AG2265" s="284"/>
    </row>
    <row r="2266" spans="2:33">
      <c r="B2266" s="86"/>
      <c r="C2266" s="84"/>
      <c r="D2266" s="86"/>
      <c r="E2266" s="84"/>
      <c r="F2266" s="284"/>
      <c r="G2266" s="49"/>
      <c r="H2266" s="284"/>
      <c r="I2266" s="74"/>
      <c r="J2266" s="371"/>
      <c r="K2266" s="77"/>
      <c r="L2266" s="160"/>
      <c r="M2266" s="388"/>
      <c r="N2266" s="375"/>
      <c r="O2266" s="370"/>
      <c r="T2266" s="340"/>
      <c r="W2266" s="113"/>
      <c r="X2266" s="241"/>
      <c r="Y2266" s="284"/>
      <c r="Z2266" s="207"/>
      <c r="AA2266" s="284"/>
      <c r="AB2266" s="284"/>
      <c r="AC2266" s="137"/>
      <c r="AD2266" s="284"/>
      <c r="AE2266" s="299"/>
      <c r="AF2266" s="299"/>
      <c r="AG2266" s="284"/>
    </row>
    <row r="2267" spans="2:33">
      <c r="B2267" s="86"/>
      <c r="C2267" s="84"/>
      <c r="D2267" s="86"/>
      <c r="E2267" s="84"/>
      <c r="F2267" s="284"/>
      <c r="G2267" s="49"/>
      <c r="H2267" s="284"/>
      <c r="I2267" s="74"/>
      <c r="J2267" s="371"/>
      <c r="K2267" s="77"/>
      <c r="L2267" s="160"/>
      <c r="M2267" s="388"/>
      <c r="N2267" s="375"/>
      <c r="O2267" s="370"/>
      <c r="T2267" s="340"/>
      <c r="W2267" s="113"/>
      <c r="X2267" s="241"/>
      <c r="Y2267" s="284"/>
      <c r="Z2267" s="207"/>
      <c r="AA2267" s="284"/>
      <c r="AB2267" s="284"/>
      <c r="AC2267" s="137"/>
      <c r="AD2267" s="284"/>
      <c r="AE2267" s="299"/>
      <c r="AF2267" s="299"/>
      <c r="AG2267" s="284"/>
    </row>
    <row r="2268" spans="2:33">
      <c r="B2268" s="86"/>
      <c r="C2268" s="84"/>
      <c r="D2268" s="86"/>
      <c r="E2268" s="84"/>
      <c r="F2268" s="284"/>
      <c r="G2268" s="49"/>
      <c r="H2268" s="284"/>
      <c r="I2268" s="74"/>
      <c r="J2268" s="371"/>
      <c r="K2268" s="77"/>
      <c r="L2268" s="160"/>
      <c r="M2268" s="388"/>
      <c r="N2268" s="375"/>
      <c r="O2268" s="370"/>
      <c r="T2268" s="340"/>
      <c r="W2268" s="113"/>
      <c r="X2268" s="241"/>
      <c r="Y2268" s="284"/>
      <c r="Z2268" s="207"/>
      <c r="AA2268" s="284"/>
      <c r="AB2268" s="284"/>
      <c r="AC2268" s="137"/>
      <c r="AD2268" s="284"/>
      <c r="AE2268" s="299"/>
      <c r="AF2268" s="299"/>
      <c r="AG2268" s="284"/>
    </row>
    <row r="2269" spans="2:33">
      <c r="B2269" s="86"/>
      <c r="C2269" s="84"/>
      <c r="D2269" s="86"/>
      <c r="E2269" s="84"/>
      <c r="F2269" s="284"/>
      <c r="G2269" s="49"/>
      <c r="H2269" s="284"/>
      <c r="I2269" s="74"/>
      <c r="J2269" s="371"/>
      <c r="K2269" s="77"/>
      <c r="L2269" s="160"/>
      <c r="M2269" s="388"/>
      <c r="N2269" s="375"/>
      <c r="O2269" s="370"/>
      <c r="T2269" s="340"/>
      <c r="W2269" s="113"/>
      <c r="X2269" s="241"/>
      <c r="Y2269" s="284"/>
      <c r="Z2269" s="207"/>
      <c r="AA2269" s="284"/>
      <c r="AB2269" s="284"/>
      <c r="AC2269" s="137"/>
      <c r="AD2269" s="284"/>
      <c r="AE2269" s="299"/>
      <c r="AF2269" s="299"/>
      <c r="AG2269" s="284"/>
    </row>
    <row r="2270" spans="2:33">
      <c r="B2270" s="86"/>
      <c r="C2270" s="84"/>
      <c r="D2270" s="86"/>
      <c r="E2270" s="84"/>
      <c r="F2270" s="284"/>
      <c r="G2270" s="49"/>
      <c r="H2270" s="284"/>
      <c r="I2270" s="74"/>
      <c r="J2270" s="371"/>
      <c r="K2270" s="77"/>
      <c r="L2270" s="160"/>
      <c r="M2270" s="388"/>
      <c r="N2270" s="375"/>
      <c r="O2270" s="370"/>
      <c r="T2270" s="340"/>
      <c r="W2270" s="113"/>
      <c r="X2270" s="241"/>
      <c r="Y2270" s="284"/>
      <c r="Z2270" s="207"/>
      <c r="AA2270" s="284"/>
      <c r="AB2270" s="284"/>
      <c r="AC2270" s="137"/>
      <c r="AD2270" s="284"/>
      <c r="AE2270" s="299"/>
      <c r="AF2270" s="299"/>
      <c r="AG2270" s="284"/>
    </row>
    <row r="2271" spans="2:33">
      <c r="B2271" s="86"/>
      <c r="C2271" s="84"/>
      <c r="D2271" s="86"/>
      <c r="E2271" s="84"/>
      <c r="F2271" s="284"/>
      <c r="G2271" s="49"/>
      <c r="H2271" s="284"/>
      <c r="I2271" s="74"/>
      <c r="J2271" s="371"/>
      <c r="K2271" s="77"/>
      <c r="L2271" s="160"/>
      <c r="M2271" s="388"/>
      <c r="N2271" s="375"/>
      <c r="O2271" s="370"/>
      <c r="T2271" s="340"/>
      <c r="W2271" s="113"/>
      <c r="X2271" s="241"/>
      <c r="Y2271" s="284"/>
      <c r="Z2271" s="207"/>
      <c r="AA2271" s="284"/>
      <c r="AB2271" s="284"/>
      <c r="AC2271" s="137"/>
      <c r="AD2271" s="284"/>
      <c r="AE2271" s="299"/>
      <c r="AF2271" s="299"/>
      <c r="AG2271" s="284"/>
    </row>
    <row r="2272" spans="2:33">
      <c r="B2272" s="86"/>
      <c r="C2272" s="84"/>
      <c r="D2272" s="86"/>
      <c r="E2272" s="84"/>
      <c r="F2272" s="284"/>
      <c r="G2272" s="49"/>
      <c r="H2272" s="284"/>
      <c r="I2272" s="74"/>
      <c r="J2272" s="371"/>
      <c r="K2272" s="77"/>
      <c r="L2272" s="160"/>
      <c r="M2272" s="388"/>
      <c r="N2272" s="375"/>
      <c r="O2272" s="370"/>
      <c r="T2272" s="340"/>
      <c r="W2272" s="113"/>
      <c r="X2272" s="241"/>
      <c r="Y2272" s="284"/>
      <c r="Z2272" s="207"/>
      <c r="AA2272" s="284"/>
      <c r="AB2272" s="284"/>
      <c r="AC2272" s="137"/>
      <c r="AD2272" s="284"/>
      <c r="AE2272" s="299"/>
      <c r="AF2272" s="299"/>
      <c r="AG2272" s="284"/>
    </row>
    <row r="2273" spans="2:33">
      <c r="B2273" s="86"/>
      <c r="C2273" s="84"/>
      <c r="D2273" s="86"/>
      <c r="E2273" s="84"/>
      <c r="F2273" s="284"/>
      <c r="G2273" s="49"/>
      <c r="H2273" s="284"/>
      <c r="I2273" s="74"/>
      <c r="J2273" s="371"/>
      <c r="K2273" s="77"/>
      <c r="L2273" s="160"/>
      <c r="M2273" s="388"/>
      <c r="N2273" s="375"/>
      <c r="O2273" s="370"/>
      <c r="T2273" s="340"/>
      <c r="W2273" s="113"/>
      <c r="X2273" s="241"/>
      <c r="Y2273" s="284"/>
      <c r="Z2273" s="207"/>
      <c r="AA2273" s="284"/>
      <c r="AB2273" s="284"/>
      <c r="AC2273" s="137"/>
      <c r="AD2273" s="284"/>
      <c r="AE2273" s="299"/>
      <c r="AF2273" s="299"/>
      <c r="AG2273" s="284"/>
    </row>
    <row r="2274" spans="2:33">
      <c r="B2274" s="86"/>
      <c r="C2274" s="84"/>
      <c r="D2274" s="86"/>
      <c r="E2274" s="84"/>
      <c r="F2274" s="284"/>
      <c r="G2274" s="49"/>
      <c r="H2274" s="284"/>
      <c r="I2274" s="74"/>
      <c r="J2274" s="371"/>
      <c r="K2274" s="77"/>
      <c r="L2274" s="160"/>
      <c r="M2274" s="388"/>
      <c r="N2274" s="375"/>
      <c r="O2274" s="370"/>
      <c r="T2274" s="340"/>
      <c r="W2274" s="113"/>
      <c r="X2274" s="241"/>
      <c r="Y2274" s="284"/>
      <c r="Z2274" s="207"/>
      <c r="AA2274" s="284"/>
      <c r="AB2274" s="284"/>
      <c r="AC2274" s="137"/>
      <c r="AD2274" s="284"/>
      <c r="AE2274" s="299"/>
      <c r="AF2274" s="299"/>
      <c r="AG2274" s="284"/>
    </row>
    <row r="2275" spans="2:33">
      <c r="B2275" s="86"/>
      <c r="C2275" s="84"/>
      <c r="D2275" s="86"/>
      <c r="E2275" s="84"/>
      <c r="F2275" s="284"/>
      <c r="G2275" s="49"/>
      <c r="H2275" s="284"/>
      <c r="I2275" s="74"/>
      <c r="J2275" s="371"/>
      <c r="K2275" s="77"/>
      <c r="L2275" s="160"/>
      <c r="M2275" s="388"/>
      <c r="N2275" s="375"/>
      <c r="O2275" s="370"/>
      <c r="T2275" s="340"/>
      <c r="W2275" s="113"/>
      <c r="X2275" s="241"/>
      <c r="Y2275" s="284"/>
      <c r="Z2275" s="207"/>
      <c r="AA2275" s="284"/>
      <c r="AB2275" s="284"/>
      <c r="AC2275" s="137"/>
      <c r="AD2275" s="284"/>
      <c r="AE2275" s="299"/>
      <c r="AF2275" s="299"/>
      <c r="AG2275" s="284"/>
    </row>
    <row r="2276" spans="2:33">
      <c r="B2276" s="86"/>
      <c r="C2276" s="84"/>
      <c r="D2276" s="86"/>
      <c r="E2276" s="84"/>
      <c r="F2276" s="284"/>
      <c r="G2276" s="49"/>
      <c r="H2276" s="284"/>
      <c r="I2276" s="74"/>
      <c r="J2276" s="371"/>
      <c r="K2276" s="77"/>
      <c r="L2276" s="160"/>
      <c r="M2276" s="388"/>
      <c r="N2276" s="375"/>
      <c r="O2276" s="370"/>
      <c r="T2276" s="340"/>
      <c r="W2276" s="113"/>
      <c r="X2276" s="241"/>
      <c r="Y2276" s="284"/>
      <c r="Z2276" s="207"/>
      <c r="AA2276" s="284"/>
      <c r="AB2276" s="284"/>
      <c r="AC2276" s="137"/>
      <c r="AD2276" s="284"/>
      <c r="AE2276" s="299"/>
      <c r="AF2276" s="299"/>
      <c r="AG2276" s="284"/>
    </row>
    <row r="2277" spans="2:33">
      <c r="B2277" s="86"/>
      <c r="C2277" s="84"/>
      <c r="D2277" s="86"/>
      <c r="E2277" s="84"/>
      <c r="F2277" s="284"/>
      <c r="G2277" s="49"/>
      <c r="H2277" s="284"/>
      <c r="I2277" s="74"/>
      <c r="J2277" s="371"/>
      <c r="K2277" s="77"/>
      <c r="L2277" s="160"/>
      <c r="M2277" s="388"/>
      <c r="N2277" s="375"/>
      <c r="O2277" s="370"/>
      <c r="T2277" s="340"/>
      <c r="W2277" s="113"/>
      <c r="X2277" s="241"/>
      <c r="Y2277" s="284"/>
      <c r="Z2277" s="207"/>
      <c r="AA2277" s="284"/>
      <c r="AB2277" s="284"/>
      <c r="AC2277" s="137"/>
      <c r="AD2277" s="284"/>
      <c r="AE2277" s="299"/>
      <c r="AF2277" s="299"/>
      <c r="AG2277" s="284"/>
    </row>
    <row r="2278" spans="2:33">
      <c r="B2278" s="86"/>
      <c r="C2278" s="84"/>
      <c r="D2278" s="86"/>
      <c r="E2278" s="84"/>
      <c r="F2278" s="284"/>
      <c r="G2278" s="49"/>
      <c r="H2278" s="284"/>
      <c r="I2278" s="74"/>
      <c r="J2278" s="371"/>
      <c r="K2278" s="77"/>
      <c r="L2278" s="160"/>
      <c r="M2278" s="388"/>
      <c r="N2278" s="375"/>
      <c r="O2278" s="370"/>
      <c r="T2278" s="340"/>
      <c r="W2278" s="113"/>
      <c r="X2278" s="241"/>
      <c r="Y2278" s="284"/>
      <c r="Z2278" s="207"/>
      <c r="AA2278" s="284"/>
      <c r="AB2278" s="284"/>
      <c r="AC2278" s="137"/>
      <c r="AD2278" s="284"/>
      <c r="AE2278" s="299"/>
      <c r="AF2278" s="299"/>
      <c r="AG2278" s="284"/>
    </row>
    <row r="2279" spans="2:33">
      <c r="B2279" s="86"/>
      <c r="C2279" s="84"/>
      <c r="D2279" s="86"/>
      <c r="E2279" s="84"/>
      <c r="F2279" s="284"/>
      <c r="G2279" s="49"/>
      <c r="H2279" s="284"/>
      <c r="I2279" s="74"/>
      <c r="J2279" s="371"/>
      <c r="K2279" s="77"/>
      <c r="L2279" s="160"/>
      <c r="M2279" s="388"/>
      <c r="N2279" s="375"/>
      <c r="O2279" s="370"/>
      <c r="T2279" s="340"/>
      <c r="W2279" s="113"/>
      <c r="X2279" s="241"/>
      <c r="Y2279" s="284"/>
      <c r="Z2279" s="207"/>
      <c r="AA2279" s="284"/>
      <c r="AB2279" s="284"/>
      <c r="AC2279" s="137"/>
      <c r="AD2279" s="284"/>
      <c r="AE2279" s="299"/>
      <c r="AF2279" s="299"/>
      <c r="AG2279" s="284"/>
    </row>
    <row r="2280" spans="2:33">
      <c r="B2280" s="86"/>
      <c r="C2280" s="84"/>
      <c r="D2280" s="86"/>
      <c r="E2280" s="84"/>
      <c r="F2280" s="284"/>
      <c r="G2280" s="49"/>
      <c r="H2280" s="284"/>
      <c r="I2280" s="74"/>
      <c r="J2280" s="371"/>
      <c r="K2280" s="77"/>
      <c r="L2280" s="160"/>
      <c r="M2280" s="388"/>
      <c r="N2280" s="375"/>
      <c r="O2280" s="370"/>
      <c r="T2280" s="340"/>
      <c r="W2280" s="113"/>
      <c r="X2280" s="241"/>
      <c r="Y2280" s="284"/>
      <c r="Z2280" s="207"/>
      <c r="AA2280" s="284"/>
      <c r="AB2280" s="284"/>
      <c r="AC2280" s="137"/>
      <c r="AD2280" s="284"/>
      <c r="AE2280" s="299"/>
      <c r="AF2280" s="299"/>
      <c r="AG2280" s="284"/>
    </row>
    <row r="2281" spans="2:33">
      <c r="B2281" s="86"/>
      <c r="C2281" s="84"/>
      <c r="D2281" s="86"/>
      <c r="E2281" s="84"/>
      <c r="F2281" s="284"/>
      <c r="G2281" s="49"/>
      <c r="H2281" s="284"/>
      <c r="I2281" s="74"/>
      <c r="J2281" s="371"/>
      <c r="K2281" s="77"/>
      <c r="L2281" s="160"/>
      <c r="M2281" s="388"/>
      <c r="N2281" s="375"/>
      <c r="O2281" s="370"/>
      <c r="T2281" s="340"/>
      <c r="W2281" s="113"/>
      <c r="X2281" s="241"/>
      <c r="Y2281" s="284"/>
      <c r="Z2281" s="207"/>
      <c r="AA2281" s="284"/>
      <c r="AB2281" s="284"/>
      <c r="AC2281" s="137"/>
      <c r="AD2281" s="284"/>
      <c r="AE2281" s="299"/>
      <c r="AF2281" s="299"/>
      <c r="AG2281" s="284"/>
    </row>
    <row r="2282" spans="2:33">
      <c r="B2282" s="86"/>
      <c r="C2282" s="84"/>
      <c r="D2282" s="86"/>
      <c r="E2282" s="84"/>
      <c r="F2282" s="284"/>
      <c r="G2282" s="49"/>
      <c r="H2282" s="284"/>
      <c r="I2282" s="74"/>
      <c r="J2282" s="371"/>
      <c r="K2282" s="77"/>
      <c r="L2282" s="160"/>
      <c r="M2282" s="388"/>
      <c r="N2282" s="375"/>
      <c r="O2282" s="370"/>
      <c r="T2282" s="340"/>
      <c r="W2282" s="113"/>
      <c r="X2282" s="241"/>
      <c r="Y2282" s="284"/>
      <c r="Z2282" s="207"/>
      <c r="AA2282" s="284"/>
      <c r="AB2282" s="284"/>
      <c r="AC2282" s="137"/>
      <c r="AD2282" s="284"/>
      <c r="AE2282" s="299"/>
      <c r="AF2282" s="299"/>
      <c r="AG2282" s="284"/>
    </row>
    <row r="2283" spans="2:33">
      <c r="B2283" s="86"/>
      <c r="C2283" s="84"/>
      <c r="D2283" s="86"/>
      <c r="E2283" s="84"/>
      <c r="F2283" s="284"/>
      <c r="G2283" s="49"/>
      <c r="H2283" s="284"/>
      <c r="I2283" s="74"/>
      <c r="J2283" s="371"/>
      <c r="K2283" s="77"/>
      <c r="L2283" s="160"/>
      <c r="M2283" s="388"/>
      <c r="N2283" s="375"/>
      <c r="O2283" s="370"/>
      <c r="T2283" s="340"/>
      <c r="W2283" s="113"/>
      <c r="X2283" s="241"/>
      <c r="Y2283" s="284"/>
      <c r="Z2283" s="207"/>
      <c r="AA2283" s="284"/>
      <c r="AB2283" s="284"/>
      <c r="AC2283" s="137"/>
      <c r="AD2283" s="284"/>
      <c r="AE2283" s="299"/>
      <c r="AF2283" s="299"/>
      <c r="AG2283" s="284"/>
    </row>
    <row r="2284" spans="2:33">
      <c r="B2284" s="86"/>
      <c r="C2284" s="84"/>
      <c r="D2284" s="86"/>
      <c r="E2284" s="84"/>
      <c r="F2284" s="284"/>
      <c r="G2284" s="49"/>
      <c r="H2284" s="284"/>
      <c r="I2284" s="74"/>
      <c r="J2284" s="371"/>
      <c r="K2284" s="77"/>
      <c r="L2284" s="160"/>
      <c r="M2284" s="388"/>
      <c r="N2284" s="375"/>
      <c r="O2284" s="370"/>
      <c r="T2284" s="340"/>
      <c r="W2284" s="113"/>
      <c r="X2284" s="241"/>
      <c r="Y2284" s="284"/>
      <c r="Z2284" s="207"/>
      <c r="AA2284" s="284"/>
      <c r="AB2284" s="284"/>
      <c r="AC2284" s="137"/>
      <c r="AD2284" s="284"/>
      <c r="AE2284" s="299"/>
      <c r="AF2284" s="299"/>
      <c r="AG2284" s="284"/>
    </row>
    <row r="2285" spans="2:33">
      <c r="B2285" s="86"/>
      <c r="C2285" s="84"/>
      <c r="D2285" s="86"/>
      <c r="E2285" s="84"/>
      <c r="F2285" s="284"/>
      <c r="G2285" s="49"/>
      <c r="H2285" s="284"/>
      <c r="I2285" s="74"/>
      <c r="J2285" s="371"/>
      <c r="K2285" s="77"/>
      <c r="L2285" s="160"/>
      <c r="M2285" s="388"/>
      <c r="N2285" s="375"/>
      <c r="O2285" s="370"/>
      <c r="T2285" s="340"/>
      <c r="W2285" s="113"/>
      <c r="X2285" s="241"/>
      <c r="Y2285" s="284"/>
      <c r="Z2285" s="207"/>
      <c r="AA2285" s="284"/>
      <c r="AB2285" s="284"/>
      <c r="AC2285" s="137"/>
      <c r="AD2285" s="284"/>
      <c r="AE2285" s="299"/>
      <c r="AF2285" s="299"/>
      <c r="AG2285" s="284"/>
    </row>
    <row r="2286" spans="2:33">
      <c r="B2286" s="86"/>
      <c r="C2286" s="84"/>
      <c r="D2286" s="86"/>
      <c r="E2286" s="84"/>
      <c r="F2286" s="284"/>
      <c r="G2286" s="49"/>
      <c r="H2286" s="284"/>
      <c r="I2286" s="74"/>
      <c r="J2286" s="371"/>
      <c r="K2286" s="77"/>
      <c r="L2286" s="160"/>
      <c r="M2286" s="388"/>
      <c r="N2286" s="375"/>
      <c r="O2286" s="370"/>
      <c r="T2286" s="340"/>
      <c r="W2286" s="113"/>
      <c r="X2286" s="241"/>
      <c r="Y2286" s="284"/>
      <c r="Z2286" s="207"/>
      <c r="AA2286" s="284"/>
      <c r="AB2286" s="284"/>
      <c r="AC2286" s="137"/>
      <c r="AD2286" s="284"/>
      <c r="AE2286" s="299"/>
      <c r="AF2286" s="299"/>
      <c r="AG2286" s="284"/>
    </row>
    <row r="2287" spans="2:33">
      <c r="B2287" s="86"/>
      <c r="C2287" s="84"/>
      <c r="D2287" s="86"/>
      <c r="E2287" s="84"/>
      <c r="F2287" s="284"/>
      <c r="G2287" s="49"/>
      <c r="H2287" s="284"/>
      <c r="I2287" s="74"/>
      <c r="J2287" s="371"/>
      <c r="K2287" s="77"/>
      <c r="L2287" s="160"/>
      <c r="M2287" s="388"/>
      <c r="N2287" s="375"/>
      <c r="O2287" s="370"/>
      <c r="T2287" s="340"/>
      <c r="W2287" s="113"/>
      <c r="X2287" s="241"/>
      <c r="Y2287" s="284"/>
      <c r="Z2287" s="207"/>
      <c r="AA2287" s="284"/>
      <c r="AB2287" s="284"/>
      <c r="AC2287" s="137"/>
      <c r="AD2287" s="284"/>
      <c r="AE2287" s="299"/>
      <c r="AF2287" s="299"/>
      <c r="AG2287" s="284"/>
    </row>
    <row r="2288" spans="2:33">
      <c r="B2288" s="86"/>
      <c r="C2288" s="84"/>
      <c r="D2288" s="86"/>
      <c r="E2288" s="84"/>
      <c r="F2288" s="284"/>
      <c r="G2288" s="49"/>
      <c r="H2288" s="284"/>
      <c r="I2288" s="74"/>
      <c r="J2288" s="371"/>
      <c r="K2288" s="77"/>
      <c r="L2288" s="160"/>
      <c r="M2288" s="388"/>
      <c r="N2288" s="375"/>
      <c r="O2288" s="370"/>
      <c r="T2288" s="340"/>
      <c r="W2288" s="113"/>
      <c r="X2288" s="241"/>
      <c r="Y2288" s="284"/>
      <c r="Z2288" s="207"/>
      <c r="AA2288" s="284"/>
      <c r="AB2288" s="284"/>
      <c r="AC2288" s="137"/>
      <c r="AD2288" s="284"/>
      <c r="AE2288" s="299"/>
      <c r="AF2288" s="299"/>
      <c r="AG2288" s="284"/>
    </row>
    <row r="2289" spans="2:33">
      <c r="B2289" s="86"/>
      <c r="C2289" s="84"/>
      <c r="D2289" s="86"/>
      <c r="E2289" s="84"/>
      <c r="F2289" s="284"/>
      <c r="G2289" s="49"/>
      <c r="H2289" s="284"/>
      <c r="I2289" s="74"/>
      <c r="J2289" s="371"/>
      <c r="K2289" s="77"/>
      <c r="L2289" s="160"/>
      <c r="M2289" s="388"/>
      <c r="N2289" s="375"/>
      <c r="O2289" s="370"/>
      <c r="T2289" s="340"/>
      <c r="W2289" s="113"/>
      <c r="X2289" s="241"/>
      <c r="Y2289" s="284"/>
      <c r="Z2289" s="207"/>
      <c r="AA2289" s="284"/>
      <c r="AB2289" s="284"/>
      <c r="AC2289" s="137"/>
      <c r="AD2289" s="284"/>
      <c r="AE2289" s="299"/>
      <c r="AF2289" s="299"/>
      <c r="AG2289" s="284"/>
    </row>
    <row r="2290" spans="2:33">
      <c r="B2290" s="86"/>
      <c r="C2290" s="84"/>
      <c r="D2290" s="86"/>
      <c r="E2290" s="84"/>
      <c r="F2290" s="284"/>
      <c r="G2290" s="49"/>
      <c r="H2290" s="284"/>
      <c r="I2290" s="74"/>
      <c r="J2290" s="371"/>
      <c r="K2290" s="77"/>
      <c r="L2290" s="160"/>
      <c r="M2290" s="388"/>
      <c r="N2290" s="375"/>
      <c r="O2290" s="370"/>
      <c r="T2290" s="340"/>
      <c r="W2290" s="113"/>
      <c r="X2290" s="241"/>
      <c r="Y2290" s="284"/>
      <c r="Z2290" s="207"/>
      <c r="AA2290" s="284"/>
      <c r="AB2290" s="284"/>
      <c r="AC2290" s="137"/>
      <c r="AD2290" s="284"/>
      <c r="AE2290" s="299"/>
      <c r="AF2290" s="299"/>
      <c r="AG2290" s="284"/>
    </row>
    <row r="2291" spans="2:33">
      <c r="B2291" s="86"/>
      <c r="C2291" s="84"/>
      <c r="D2291" s="86"/>
      <c r="E2291" s="84"/>
      <c r="F2291" s="284"/>
      <c r="G2291" s="49"/>
      <c r="H2291" s="284"/>
      <c r="I2291" s="74"/>
      <c r="J2291" s="371"/>
      <c r="K2291" s="77"/>
      <c r="L2291" s="160"/>
      <c r="M2291" s="388"/>
      <c r="N2291" s="375"/>
      <c r="O2291" s="370"/>
      <c r="T2291" s="340"/>
      <c r="W2291" s="113"/>
      <c r="X2291" s="241"/>
      <c r="Y2291" s="284"/>
      <c r="Z2291" s="207"/>
      <c r="AA2291" s="284"/>
      <c r="AB2291" s="284"/>
      <c r="AC2291" s="137"/>
      <c r="AD2291" s="284"/>
      <c r="AE2291" s="299"/>
      <c r="AF2291" s="299"/>
      <c r="AG2291" s="284"/>
    </row>
    <row r="2292" spans="2:33">
      <c r="B2292" s="86"/>
      <c r="C2292" s="84"/>
      <c r="D2292" s="86"/>
      <c r="E2292" s="84"/>
      <c r="F2292" s="284"/>
      <c r="G2292" s="49"/>
      <c r="H2292" s="284"/>
      <c r="I2292" s="74"/>
      <c r="J2292" s="371"/>
      <c r="K2292" s="77"/>
      <c r="L2292" s="160"/>
      <c r="M2292" s="388"/>
      <c r="N2292" s="375"/>
      <c r="T2292" s="340"/>
      <c r="W2292" s="113"/>
      <c r="X2292" s="241"/>
      <c r="Y2292" s="284"/>
      <c r="Z2292" s="207"/>
      <c r="AA2292" s="284"/>
      <c r="AB2292" s="284"/>
      <c r="AC2292" s="137"/>
      <c r="AD2292" s="284"/>
      <c r="AE2292" s="299"/>
      <c r="AF2292" s="299"/>
      <c r="AG2292" s="284"/>
    </row>
    <row r="2293" spans="2:33">
      <c r="B2293" s="86"/>
      <c r="C2293" s="84"/>
      <c r="D2293" s="86"/>
      <c r="E2293" s="84"/>
      <c r="F2293" s="284"/>
      <c r="G2293" s="49"/>
      <c r="H2293" s="284"/>
      <c r="I2293" s="74"/>
      <c r="J2293" s="371"/>
      <c r="K2293" s="77"/>
      <c r="L2293" s="160"/>
      <c r="M2293" s="388"/>
      <c r="N2293" s="375"/>
      <c r="T2293" s="340"/>
      <c r="W2293" s="113"/>
      <c r="X2293" s="241"/>
      <c r="Y2293" s="284"/>
      <c r="Z2293" s="207"/>
      <c r="AA2293" s="284"/>
      <c r="AB2293" s="284"/>
      <c r="AC2293" s="137"/>
      <c r="AD2293" s="284"/>
      <c r="AE2293" s="299"/>
      <c r="AF2293" s="299"/>
      <c r="AG2293" s="284"/>
    </row>
    <row r="2294" spans="2:33">
      <c r="B2294" s="86"/>
      <c r="C2294" s="84"/>
      <c r="D2294" s="86"/>
      <c r="E2294" s="84"/>
      <c r="F2294" s="284"/>
      <c r="G2294" s="49"/>
      <c r="H2294" s="284"/>
      <c r="I2294" s="74"/>
      <c r="J2294" s="371"/>
      <c r="K2294" s="77"/>
      <c r="L2294" s="160"/>
      <c r="M2294" s="388"/>
      <c r="N2294" s="375"/>
      <c r="T2294" s="340"/>
      <c r="W2294" s="113"/>
      <c r="X2294" s="241"/>
      <c r="Y2294" s="284"/>
      <c r="Z2294" s="207"/>
      <c r="AA2294" s="284"/>
      <c r="AB2294" s="284"/>
      <c r="AC2294" s="137"/>
      <c r="AD2294" s="284"/>
      <c r="AE2294" s="299"/>
      <c r="AF2294" s="299"/>
      <c r="AG2294" s="284"/>
    </row>
    <row r="2295" spans="2:33">
      <c r="B2295" s="86"/>
      <c r="C2295" s="84"/>
      <c r="D2295" s="86"/>
      <c r="E2295" s="84"/>
      <c r="F2295" s="284"/>
      <c r="G2295" s="49"/>
      <c r="H2295" s="284"/>
      <c r="I2295" s="74"/>
      <c r="J2295" s="371"/>
      <c r="K2295" s="77"/>
      <c r="L2295" s="160"/>
      <c r="M2295" s="388"/>
      <c r="N2295" s="375"/>
      <c r="T2295" s="340"/>
      <c r="W2295" s="113"/>
      <c r="X2295" s="241"/>
      <c r="Y2295" s="284"/>
      <c r="Z2295" s="207"/>
      <c r="AA2295" s="284"/>
      <c r="AB2295" s="284"/>
      <c r="AC2295" s="137"/>
      <c r="AD2295" s="284"/>
      <c r="AE2295" s="299"/>
      <c r="AF2295" s="299"/>
      <c r="AG2295" s="284"/>
    </row>
    <row r="2296" spans="2:33">
      <c r="B2296" s="86"/>
      <c r="C2296" s="84"/>
      <c r="D2296" s="86"/>
      <c r="E2296" s="84"/>
      <c r="F2296" s="284"/>
      <c r="G2296" s="49"/>
      <c r="H2296" s="284"/>
      <c r="I2296" s="74"/>
      <c r="J2296" s="371"/>
      <c r="K2296" s="77"/>
      <c r="L2296" s="160"/>
      <c r="M2296" s="388"/>
      <c r="N2296" s="375"/>
      <c r="T2296" s="340"/>
      <c r="W2296" s="113"/>
      <c r="X2296" s="241"/>
      <c r="Y2296" s="284"/>
      <c r="Z2296" s="207"/>
      <c r="AA2296" s="284"/>
      <c r="AB2296" s="284"/>
      <c r="AC2296" s="137"/>
      <c r="AD2296" s="284"/>
      <c r="AE2296" s="299"/>
      <c r="AF2296" s="299"/>
      <c r="AG2296" s="284"/>
    </row>
    <row r="2297" spans="2:33">
      <c r="B2297" s="86"/>
      <c r="C2297" s="84"/>
      <c r="D2297" s="86"/>
      <c r="E2297" s="84"/>
      <c r="F2297" s="284"/>
      <c r="G2297" s="49"/>
      <c r="H2297" s="284"/>
      <c r="I2297" s="74"/>
      <c r="J2297" s="371"/>
      <c r="K2297" s="77"/>
      <c r="L2297" s="160"/>
      <c r="M2297" s="388"/>
      <c r="N2297" s="375"/>
      <c r="T2297" s="340"/>
      <c r="W2297" s="113"/>
      <c r="X2297" s="241"/>
      <c r="Y2297" s="284"/>
      <c r="Z2297" s="207"/>
      <c r="AA2297" s="284"/>
      <c r="AB2297" s="284"/>
      <c r="AC2297" s="137"/>
      <c r="AD2297" s="284"/>
      <c r="AE2297" s="299"/>
      <c r="AF2297" s="299"/>
      <c r="AG2297" s="284"/>
    </row>
    <row r="2298" spans="2:33">
      <c r="B2298" s="86"/>
      <c r="C2298" s="84"/>
      <c r="D2298" s="86"/>
      <c r="E2298" s="84"/>
      <c r="F2298" s="284"/>
      <c r="G2298" s="49"/>
      <c r="H2298" s="284"/>
      <c r="I2298" s="74"/>
      <c r="J2298" s="371"/>
      <c r="K2298" s="77"/>
      <c r="L2298" s="160"/>
      <c r="M2298" s="388"/>
      <c r="N2298" s="375"/>
      <c r="T2298" s="340"/>
      <c r="W2298" s="113"/>
      <c r="X2298" s="241"/>
      <c r="Y2298" s="284"/>
      <c r="Z2298" s="207"/>
      <c r="AA2298" s="284"/>
      <c r="AB2298" s="284"/>
      <c r="AC2298" s="137"/>
      <c r="AD2298" s="284"/>
      <c r="AE2298" s="299"/>
      <c r="AF2298" s="299"/>
      <c r="AG2298" s="284"/>
    </row>
    <row r="2299" spans="2:33">
      <c r="B2299" s="86"/>
      <c r="C2299" s="84"/>
      <c r="D2299" s="86"/>
      <c r="E2299" s="84"/>
      <c r="F2299" s="284"/>
      <c r="G2299" s="49"/>
      <c r="H2299" s="284"/>
      <c r="I2299" s="74"/>
      <c r="J2299" s="371"/>
      <c r="K2299" s="77"/>
      <c r="L2299" s="160"/>
      <c r="M2299" s="388"/>
      <c r="N2299" s="375"/>
      <c r="T2299" s="340"/>
      <c r="W2299" s="113"/>
      <c r="X2299" s="241"/>
      <c r="Y2299" s="284"/>
      <c r="Z2299" s="207"/>
      <c r="AA2299" s="284"/>
      <c r="AB2299" s="284"/>
      <c r="AC2299" s="137"/>
      <c r="AD2299" s="284"/>
      <c r="AE2299" s="299"/>
      <c r="AF2299" s="299"/>
      <c r="AG2299" s="284"/>
    </row>
    <row r="2300" spans="2:33">
      <c r="B2300" s="86"/>
      <c r="C2300" s="84"/>
      <c r="D2300" s="86"/>
      <c r="E2300" s="84"/>
      <c r="F2300" s="284"/>
      <c r="G2300" s="49"/>
      <c r="H2300" s="284"/>
      <c r="I2300" s="74"/>
      <c r="J2300" s="371"/>
      <c r="K2300" s="77"/>
      <c r="L2300" s="160"/>
      <c r="M2300" s="388"/>
      <c r="N2300" s="375"/>
      <c r="T2300" s="340"/>
      <c r="W2300" s="113"/>
      <c r="X2300" s="241"/>
      <c r="Y2300" s="284"/>
      <c r="Z2300" s="207"/>
      <c r="AA2300" s="284"/>
      <c r="AB2300" s="284"/>
      <c r="AC2300" s="137"/>
      <c r="AD2300" s="284"/>
      <c r="AE2300" s="299"/>
      <c r="AF2300" s="299"/>
      <c r="AG2300" s="284"/>
    </row>
    <row r="2301" spans="2:33">
      <c r="B2301" s="86"/>
      <c r="C2301" s="84"/>
      <c r="D2301" s="86"/>
      <c r="E2301" s="84"/>
      <c r="F2301" s="284"/>
      <c r="G2301" s="49"/>
      <c r="H2301" s="284"/>
      <c r="I2301" s="74"/>
      <c r="J2301" s="371"/>
      <c r="K2301" s="77"/>
      <c r="L2301" s="160"/>
      <c r="M2301" s="388"/>
      <c r="N2301" s="375"/>
      <c r="T2301" s="340"/>
      <c r="W2301" s="113"/>
      <c r="X2301" s="241"/>
      <c r="Y2301" s="284"/>
      <c r="Z2301" s="207"/>
      <c r="AA2301" s="284"/>
      <c r="AB2301" s="284"/>
      <c r="AC2301" s="137"/>
      <c r="AD2301" s="284"/>
      <c r="AE2301" s="299"/>
      <c r="AF2301" s="299"/>
      <c r="AG2301" s="284"/>
    </row>
    <row r="2302" spans="2:33">
      <c r="B2302" s="86"/>
      <c r="C2302" s="84"/>
      <c r="D2302" s="86"/>
      <c r="E2302" s="84"/>
      <c r="F2302" s="284"/>
      <c r="G2302" s="49"/>
      <c r="H2302" s="284"/>
      <c r="I2302" s="74"/>
      <c r="J2302" s="371"/>
      <c r="K2302" s="77"/>
      <c r="L2302" s="160"/>
      <c r="M2302" s="388"/>
      <c r="N2302" s="375"/>
      <c r="T2302" s="340"/>
      <c r="W2302" s="113"/>
      <c r="X2302" s="241"/>
      <c r="Y2302" s="284"/>
      <c r="Z2302" s="207"/>
      <c r="AA2302" s="284"/>
      <c r="AB2302" s="284"/>
      <c r="AC2302" s="137"/>
      <c r="AD2302" s="284"/>
      <c r="AE2302" s="299"/>
      <c r="AF2302" s="299"/>
      <c r="AG2302" s="284"/>
    </row>
    <row r="2303" spans="2:33">
      <c r="B2303" s="86"/>
      <c r="C2303" s="84"/>
      <c r="D2303" s="86"/>
      <c r="E2303" s="84"/>
      <c r="F2303" s="284"/>
      <c r="G2303" s="49"/>
      <c r="H2303" s="284"/>
      <c r="I2303" s="74"/>
      <c r="J2303" s="371"/>
      <c r="K2303" s="77"/>
      <c r="L2303" s="160"/>
      <c r="M2303" s="388"/>
      <c r="N2303" s="375"/>
      <c r="T2303" s="340"/>
      <c r="W2303" s="113"/>
      <c r="X2303" s="241"/>
      <c r="Y2303" s="284"/>
      <c r="Z2303" s="207"/>
      <c r="AA2303" s="284"/>
      <c r="AB2303" s="284"/>
      <c r="AC2303" s="137"/>
      <c r="AD2303" s="284"/>
      <c r="AE2303" s="299"/>
      <c r="AF2303" s="299"/>
      <c r="AG2303" s="284"/>
    </row>
    <row r="2304" spans="2:33">
      <c r="B2304" s="86"/>
      <c r="C2304" s="84"/>
      <c r="D2304" s="86"/>
      <c r="E2304" s="84"/>
      <c r="F2304" s="284"/>
      <c r="G2304" s="49"/>
      <c r="H2304" s="284"/>
      <c r="I2304" s="74"/>
      <c r="J2304" s="371"/>
      <c r="K2304" s="77"/>
      <c r="L2304" s="160"/>
      <c r="M2304" s="388"/>
      <c r="N2304" s="375"/>
      <c r="T2304" s="340"/>
      <c r="W2304" s="113"/>
      <c r="X2304" s="241"/>
      <c r="Y2304" s="284"/>
      <c r="Z2304" s="207"/>
      <c r="AA2304" s="284"/>
      <c r="AB2304" s="284"/>
      <c r="AC2304" s="137"/>
      <c r="AD2304" s="284"/>
      <c r="AE2304" s="299"/>
      <c r="AF2304" s="299"/>
      <c r="AG2304" s="284"/>
    </row>
    <row r="2305" spans="2:33">
      <c r="B2305" s="86"/>
      <c r="C2305" s="84"/>
      <c r="D2305" s="86"/>
      <c r="E2305" s="84"/>
      <c r="F2305" s="284"/>
      <c r="G2305" s="49"/>
      <c r="H2305" s="284"/>
      <c r="I2305" s="74"/>
      <c r="J2305" s="371"/>
      <c r="K2305" s="77"/>
      <c r="L2305" s="160"/>
      <c r="M2305" s="388"/>
      <c r="N2305" s="375"/>
      <c r="T2305" s="340"/>
      <c r="W2305" s="113"/>
      <c r="X2305" s="241"/>
      <c r="Y2305" s="284"/>
      <c r="Z2305" s="207"/>
      <c r="AA2305" s="284"/>
      <c r="AB2305" s="284"/>
      <c r="AC2305" s="137"/>
      <c r="AD2305" s="284"/>
      <c r="AE2305" s="299"/>
      <c r="AF2305" s="299"/>
      <c r="AG2305" s="284"/>
    </row>
    <row r="2306" spans="2:33">
      <c r="B2306" s="86"/>
      <c r="C2306" s="84"/>
      <c r="D2306" s="86"/>
      <c r="E2306" s="84"/>
      <c r="F2306" s="284"/>
      <c r="G2306" s="49"/>
      <c r="H2306" s="284"/>
      <c r="I2306" s="74"/>
      <c r="J2306" s="371"/>
      <c r="K2306" s="77"/>
      <c r="L2306" s="160"/>
      <c r="M2306" s="388"/>
      <c r="N2306" s="375"/>
      <c r="T2306" s="340"/>
      <c r="W2306" s="113"/>
      <c r="X2306" s="241"/>
      <c r="Y2306" s="284"/>
      <c r="Z2306" s="207"/>
      <c r="AA2306" s="284"/>
      <c r="AB2306" s="284"/>
      <c r="AC2306" s="137"/>
      <c r="AD2306" s="284"/>
      <c r="AE2306" s="299"/>
      <c r="AF2306" s="299"/>
      <c r="AG2306" s="284"/>
    </row>
    <row r="2307" spans="2:33">
      <c r="B2307" s="86"/>
      <c r="C2307" s="84"/>
      <c r="D2307" s="86"/>
      <c r="E2307" s="84"/>
      <c r="F2307" s="284"/>
      <c r="G2307" s="49"/>
      <c r="H2307" s="284"/>
      <c r="I2307" s="74"/>
      <c r="J2307" s="371"/>
      <c r="K2307" s="77"/>
      <c r="L2307" s="160"/>
      <c r="M2307" s="388"/>
      <c r="N2307" s="375"/>
      <c r="T2307" s="340"/>
      <c r="W2307" s="113"/>
      <c r="X2307" s="241"/>
      <c r="Y2307" s="284"/>
      <c r="Z2307" s="207"/>
      <c r="AA2307" s="284"/>
      <c r="AB2307" s="284"/>
      <c r="AC2307" s="137"/>
      <c r="AD2307" s="284"/>
      <c r="AE2307" s="299"/>
      <c r="AF2307" s="299"/>
      <c r="AG2307" s="284"/>
    </row>
    <row r="2308" spans="2:33">
      <c r="B2308" s="86"/>
      <c r="C2308" s="84"/>
      <c r="D2308" s="86"/>
      <c r="E2308" s="84"/>
      <c r="F2308" s="284"/>
      <c r="G2308" s="49"/>
      <c r="H2308" s="284"/>
      <c r="I2308" s="74"/>
      <c r="J2308" s="371"/>
      <c r="K2308" s="77"/>
      <c r="L2308" s="160"/>
      <c r="M2308" s="388"/>
      <c r="N2308" s="375"/>
      <c r="T2308" s="340"/>
      <c r="W2308" s="113"/>
      <c r="X2308" s="241"/>
      <c r="Y2308" s="284"/>
      <c r="Z2308" s="207"/>
      <c r="AA2308" s="284"/>
      <c r="AB2308" s="284"/>
      <c r="AC2308" s="137"/>
      <c r="AD2308" s="284"/>
      <c r="AE2308" s="299"/>
      <c r="AF2308" s="299"/>
      <c r="AG2308" s="284"/>
    </row>
    <row r="2309" spans="2:33">
      <c r="B2309" s="86"/>
      <c r="C2309" s="84"/>
      <c r="D2309" s="86"/>
      <c r="E2309" s="84"/>
      <c r="F2309" s="284"/>
      <c r="G2309" s="49"/>
      <c r="H2309" s="284"/>
      <c r="I2309" s="74"/>
      <c r="J2309" s="371"/>
      <c r="K2309" s="77"/>
      <c r="L2309" s="160"/>
      <c r="M2309" s="388"/>
      <c r="N2309" s="375"/>
      <c r="T2309" s="340"/>
      <c r="W2309" s="113"/>
      <c r="X2309" s="241"/>
      <c r="Y2309" s="284"/>
      <c r="Z2309" s="207"/>
      <c r="AA2309" s="284"/>
      <c r="AB2309" s="284"/>
      <c r="AC2309" s="137"/>
      <c r="AD2309" s="284"/>
      <c r="AE2309" s="299"/>
      <c r="AF2309" s="299"/>
      <c r="AG2309" s="284"/>
    </row>
    <row r="2310" spans="2:33">
      <c r="B2310" s="86"/>
      <c r="C2310" s="84"/>
      <c r="D2310" s="86"/>
      <c r="E2310" s="84"/>
      <c r="F2310" s="284"/>
      <c r="G2310" s="49"/>
      <c r="H2310" s="284"/>
      <c r="I2310" s="74"/>
      <c r="J2310" s="371"/>
      <c r="K2310" s="77"/>
      <c r="L2310" s="160"/>
      <c r="M2310" s="388"/>
      <c r="N2310" s="375"/>
      <c r="T2310" s="340"/>
      <c r="W2310" s="113"/>
      <c r="X2310" s="241"/>
      <c r="Y2310" s="284"/>
      <c r="Z2310" s="207"/>
      <c r="AA2310" s="284"/>
      <c r="AB2310" s="284"/>
      <c r="AC2310" s="137"/>
      <c r="AD2310" s="284"/>
      <c r="AE2310" s="299"/>
      <c r="AF2310" s="299"/>
      <c r="AG2310" s="284"/>
    </row>
    <row r="2311" spans="2:33">
      <c r="B2311" s="86"/>
      <c r="C2311" s="84"/>
      <c r="D2311" s="86"/>
      <c r="E2311" s="84"/>
      <c r="F2311" s="284"/>
      <c r="G2311" s="49"/>
      <c r="H2311" s="284"/>
      <c r="I2311" s="74"/>
      <c r="J2311" s="371"/>
      <c r="K2311" s="77"/>
      <c r="L2311" s="160"/>
      <c r="M2311" s="388"/>
      <c r="N2311" s="375"/>
      <c r="T2311" s="340"/>
      <c r="W2311" s="113"/>
      <c r="X2311" s="241"/>
      <c r="Y2311" s="284"/>
      <c r="Z2311" s="207"/>
      <c r="AA2311" s="284"/>
      <c r="AB2311" s="284"/>
      <c r="AC2311" s="137"/>
      <c r="AD2311" s="284"/>
      <c r="AE2311" s="299"/>
      <c r="AF2311" s="299"/>
      <c r="AG2311" s="284"/>
    </row>
    <row r="2312" spans="2:33">
      <c r="B2312" s="86"/>
      <c r="C2312" s="84"/>
      <c r="D2312" s="86"/>
      <c r="E2312" s="84"/>
      <c r="F2312" s="284"/>
      <c r="G2312" s="49"/>
      <c r="H2312" s="284"/>
      <c r="I2312" s="74"/>
      <c r="J2312" s="371"/>
      <c r="K2312" s="77"/>
      <c r="L2312" s="160"/>
      <c r="M2312" s="388"/>
      <c r="N2312" s="375"/>
      <c r="T2312" s="340"/>
      <c r="W2312" s="113"/>
      <c r="X2312" s="241"/>
      <c r="Y2312" s="284"/>
      <c r="Z2312" s="207"/>
      <c r="AA2312" s="284"/>
      <c r="AB2312" s="284"/>
      <c r="AC2312" s="137"/>
      <c r="AD2312" s="284"/>
      <c r="AE2312" s="299"/>
      <c r="AF2312" s="299"/>
      <c r="AG2312" s="284"/>
    </row>
    <row r="2313" spans="2:33">
      <c r="B2313" s="86"/>
      <c r="C2313" s="84"/>
      <c r="D2313" s="86"/>
      <c r="E2313" s="84"/>
      <c r="F2313" s="284"/>
      <c r="G2313" s="49"/>
      <c r="H2313" s="284"/>
      <c r="I2313" s="74"/>
      <c r="J2313" s="371"/>
      <c r="K2313" s="77"/>
      <c r="L2313" s="160"/>
      <c r="M2313" s="388"/>
      <c r="N2313" s="375"/>
      <c r="T2313" s="340"/>
      <c r="W2313" s="113"/>
      <c r="X2313" s="241"/>
      <c r="Y2313" s="284"/>
      <c r="Z2313" s="207"/>
      <c r="AA2313" s="284"/>
      <c r="AB2313" s="284"/>
      <c r="AC2313" s="137"/>
      <c r="AD2313" s="284"/>
      <c r="AE2313" s="299"/>
      <c r="AF2313" s="299"/>
      <c r="AG2313" s="284"/>
    </row>
    <row r="2314" spans="2:33">
      <c r="B2314" s="86"/>
      <c r="C2314" s="84"/>
      <c r="D2314" s="86"/>
      <c r="E2314" s="84"/>
      <c r="F2314" s="284"/>
      <c r="G2314" s="49"/>
      <c r="H2314" s="284"/>
      <c r="I2314" s="74"/>
      <c r="J2314" s="371"/>
      <c r="K2314" s="77"/>
      <c r="L2314" s="160"/>
      <c r="M2314" s="388"/>
      <c r="N2314" s="375"/>
      <c r="T2314" s="340"/>
      <c r="W2314" s="113"/>
      <c r="X2314" s="241"/>
      <c r="Y2314" s="284"/>
      <c r="Z2314" s="207"/>
      <c r="AA2314" s="284"/>
      <c r="AB2314" s="284"/>
      <c r="AC2314" s="137"/>
      <c r="AD2314" s="284"/>
      <c r="AE2314" s="299"/>
      <c r="AF2314" s="299"/>
      <c r="AG2314" s="284"/>
    </row>
    <row r="2315" spans="2:33">
      <c r="B2315" s="86"/>
      <c r="C2315" s="84"/>
      <c r="D2315" s="86"/>
      <c r="E2315" s="84"/>
      <c r="F2315" s="284"/>
      <c r="G2315" s="49"/>
      <c r="H2315" s="284"/>
      <c r="I2315" s="74"/>
      <c r="J2315" s="371"/>
      <c r="K2315" s="77"/>
      <c r="L2315" s="160"/>
      <c r="M2315" s="388"/>
      <c r="N2315" s="375"/>
      <c r="T2315" s="340"/>
      <c r="W2315" s="113"/>
      <c r="X2315" s="241"/>
      <c r="Y2315" s="284"/>
      <c r="Z2315" s="207"/>
      <c r="AA2315" s="284"/>
      <c r="AB2315" s="284"/>
      <c r="AC2315" s="137"/>
      <c r="AD2315" s="284"/>
      <c r="AE2315" s="299"/>
      <c r="AF2315" s="299"/>
      <c r="AG2315" s="284"/>
    </row>
    <row r="2316" spans="2:33">
      <c r="B2316" s="86"/>
      <c r="C2316" s="84"/>
      <c r="D2316" s="86"/>
      <c r="E2316" s="84"/>
      <c r="F2316" s="284"/>
      <c r="G2316" s="49"/>
      <c r="H2316" s="284"/>
      <c r="I2316" s="74"/>
      <c r="J2316" s="371"/>
      <c r="K2316" s="77"/>
      <c r="L2316" s="160"/>
      <c r="M2316" s="388"/>
      <c r="N2316" s="375"/>
      <c r="T2316" s="340"/>
      <c r="W2316" s="113"/>
      <c r="X2316" s="241"/>
      <c r="Y2316" s="284"/>
      <c r="Z2316" s="207"/>
      <c r="AA2316" s="284"/>
      <c r="AB2316" s="284"/>
      <c r="AC2316" s="137"/>
      <c r="AD2316" s="284"/>
      <c r="AE2316" s="299"/>
      <c r="AF2316" s="299"/>
      <c r="AG2316" s="284"/>
    </row>
    <row r="2317" spans="2:33">
      <c r="B2317" s="86"/>
      <c r="C2317" s="84"/>
      <c r="D2317" s="86"/>
      <c r="E2317" s="84"/>
      <c r="F2317" s="284"/>
      <c r="G2317" s="49"/>
      <c r="H2317" s="284"/>
      <c r="I2317" s="74"/>
      <c r="J2317" s="371"/>
      <c r="K2317" s="77"/>
      <c r="L2317" s="160"/>
      <c r="M2317" s="388"/>
      <c r="N2317" s="375"/>
      <c r="T2317" s="340"/>
      <c r="W2317" s="113"/>
      <c r="X2317" s="241"/>
      <c r="Y2317" s="284"/>
      <c r="Z2317" s="207"/>
      <c r="AA2317" s="284"/>
      <c r="AB2317" s="284"/>
      <c r="AC2317" s="137"/>
      <c r="AD2317" s="284"/>
      <c r="AE2317" s="299"/>
      <c r="AF2317" s="299"/>
      <c r="AG2317" s="284"/>
    </row>
    <row r="2318" spans="2:33">
      <c r="B2318" s="86"/>
      <c r="C2318" s="84"/>
      <c r="D2318" s="86"/>
      <c r="E2318" s="84"/>
      <c r="F2318" s="284"/>
      <c r="G2318" s="49"/>
      <c r="H2318" s="284"/>
      <c r="I2318" s="74"/>
      <c r="J2318" s="371"/>
      <c r="K2318" s="77"/>
      <c r="L2318" s="160"/>
      <c r="M2318" s="388"/>
      <c r="N2318" s="375"/>
      <c r="T2318" s="340"/>
      <c r="W2318" s="113"/>
      <c r="X2318" s="241"/>
      <c r="Y2318" s="284"/>
      <c r="Z2318" s="207"/>
      <c r="AA2318" s="284"/>
      <c r="AB2318" s="284"/>
      <c r="AC2318" s="137"/>
      <c r="AD2318" s="284"/>
      <c r="AE2318" s="299"/>
      <c r="AF2318" s="299"/>
      <c r="AG2318" s="284"/>
    </row>
    <row r="2319" spans="2:33">
      <c r="B2319" s="86"/>
      <c r="C2319" s="84"/>
      <c r="D2319" s="86"/>
      <c r="E2319" s="84"/>
      <c r="F2319" s="284"/>
      <c r="G2319" s="49"/>
      <c r="H2319" s="284"/>
      <c r="I2319" s="74"/>
      <c r="J2319" s="371"/>
      <c r="K2319" s="77"/>
      <c r="L2319" s="160"/>
      <c r="M2319" s="388"/>
      <c r="N2319" s="375"/>
      <c r="T2319" s="340"/>
      <c r="W2319" s="113"/>
      <c r="X2319" s="241"/>
      <c r="Y2319" s="284"/>
      <c r="Z2319" s="207"/>
      <c r="AA2319" s="284"/>
      <c r="AB2319" s="284"/>
      <c r="AC2319" s="137"/>
      <c r="AD2319" s="284"/>
      <c r="AE2319" s="299"/>
      <c r="AF2319" s="299"/>
      <c r="AG2319" s="284"/>
    </row>
    <row r="2320" spans="2:33">
      <c r="B2320" s="86"/>
      <c r="C2320" s="84"/>
      <c r="D2320" s="86"/>
      <c r="E2320" s="84"/>
      <c r="F2320" s="284"/>
      <c r="G2320" s="49"/>
      <c r="H2320" s="284"/>
      <c r="I2320" s="74"/>
      <c r="J2320" s="371"/>
      <c r="K2320" s="77"/>
      <c r="L2320" s="160"/>
      <c r="M2320" s="388"/>
      <c r="N2320" s="375"/>
      <c r="T2320" s="340"/>
      <c r="W2320" s="113"/>
      <c r="X2320" s="241"/>
      <c r="Y2320" s="284"/>
      <c r="Z2320" s="207"/>
      <c r="AA2320" s="284"/>
      <c r="AB2320" s="284"/>
      <c r="AC2320" s="137"/>
      <c r="AD2320" s="284"/>
      <c r="AE2320" s="299"/>
      <c r="AF2320" s="299"/>
      <c r="AG2320" s="284"/>
    </row>
    <row r="2321" spans="2:33">
      <c r="B2321" s="86"/>
      <c r="C2321" s="84"/>
      <c r="D2321" s="86"/>
      <c r="E2321" s="84"/>
      <c r="F2321" s="284"/>
      <c r="G2321" s="49"/>
      <c r="H2321" s="284"/>
      <c r="I2321" s="74"/>
      <c r="J2321" s="371"/>
      <c r="K2321" s="77"/>
      <c r="L2321" s="160"/>
      <c r="M2321" s="388"/>
      <c r="N2321" s="375"/>
      <c r="T2321" s="340"/>
      <c r="W2321" s="113"/>
      <c r="X2321" s="241"/>
      <c r="Y2321" s="284"/>
      <c r="Z2321" s="207"/>
      <c r="AA2321" s="284"/>
      <c r="AB2321" s="284"/>
      <c r="AC2321" s="137"/>
      <c r="AD2321" s="284"/>
      <c r="AE2321" s="299"/>
      <c r="AF2321" s="299"/>
      <c r="AG2321" s="284"/>
    </row>
    <row r="2322" spans="2:33">
      <c r="B2322" s="86"/>
      <c r="C2322" s="84"/>
      <c r="D2322" s="86"/>
      <c r="E2322" s="84"/>
      <c r="F2322" s="284"/>
      <c r="G2322" s="49"/>
      <c r="H2322" s="284"/>
      <c r="I2322" s="74"/>
      <c r="J2322" s="371"/>
      <c r="K2322" s="77"/>
      <c r="L2322" s="160"/>
      <c r="M2322" s="388"/>
      <c r="N2322" s="375"/>
      <c r="T2322" s="340"/>
      <c r="W2322" s="113"/>
      <c r="X2322" s="241"/>
      <c r="Y2322" s="284"/>
      <c r="Z2322" s="207"/>
      <c r="AA2322" s="284"/>
      <c r="AB2322" s="284"/>
      <c r="AC2322" s="137"/>
      <c r="AD2322" s="284"/>
      <c r="AE2322" s="299"/>
      <c r="AF2322" s="299"/>
      <c r="AG2322" s="284"/>
    </row>
    <row r="2323" spans="2:33">
      <c r="B2323" s="86"/>
      <c r="C2323" s="84"/>
      <c r="D2323" s="86"/>
      <c r="E2323" s="84"/>
      <c r="F2323" s="284"/>
      <c r="G2323" s="49"/>
      <c r="H2323" s="284"/>
      <c r="I2323" s="74"/>
      <c r="J2323" s="371"/>
      <c r="K2323" s="77"/>
      <c r="L2323" s="160"/>
      <c r="M2323" s="388"/>
      <c r="N2323" s="375"/>
      <c r="T2323" s="340"/>
      <c r="W2323" s="113"/>
      <c r="X2323" s="241"/>
      <c r="Y2323" s="284"/>
      <c r="Z2323" s="207"/>
      <c r="AA2323" s="284"/>
      <c r="AB2323" s="284"/>
      <c r="AC2323" s="137"/>
      <c r="AD2323" s="284"/>
      <c r="AE2323" s="299"/>
      <c r="AF2323" s="299"/>
      <c r="AG2323" s="284"/>
    </row>
    <row r="2324" spans="2:33">
      <c r="B2324" s="86"/>
      <c r="C2324" s="84"/>
      <c r="D2324" s="86"/>
      <c r="E2324" s="84"/>
      <c r="F2324" s="284"/>
      <c r="G2324" s="49"/>
      <c r="H2324" s="284"/>
      <c r="I2324" s="74"/>
      <c r="J2324" s="371"/>
      <c r="K2324" s="77"/>
      <c r="L2324" s="160"/>
      <c r="M2324" s="388"/>
      <c r="N2324" s="375"/>
      <c r="T2324" s="340"/>
      <c r="W2324" s="113"/>
      <c r="X2324" s="241"/>
      <c r="Y2324" s="284"/>
      <c r="Z2324" s="207"/>
      <c r="AA2324" s="284"/>
      <c r="AB2324" s="284"/>
      <c r="AC2324" s="137"/>
      <c r="AD2324" s="284"/>
      <c r="AE2324" s="299"/>
      <c r="AF2324" s="299"/>
      <c r="AG2324" s="284"/>
    </row>
    <row r="2325" spans="2:33">
      <c r="B2325" s="86"/>
      <c r="C2325" s="84"/>
      <c r="D2325" s="86"/>
      <c r="E2325" s="84"/>
      <c r="F2325" s="284"/>
      <c r="G2325" s="49"/>
      <c r="H2325" s="284"/>
      <c r="I2325" s="74"/>
      <c r="J2325" s="371"/>
      <c r="K2325" s="77"/>
      <c r="L2325" s="160"/>
      <c r="M2325" s="388"/>
      <c r="N2325" s="375"/>
      <c r="T2325" s="340"/>
      <c r="W2325" s="113"/>
      <c r="X2325" s="241"/>
      <c r="Y2325" s="284"/>
      <c r="Z2325" s="207"/>
      <c r="AA2325" s="284"/>
      <c r="AB2325" s="284"/>
      <c r="AC2325" s="137"/>
      <c r="AD2325" s="284"/>
      <c r="AE2325" s="299"/>
      <c r="AF2325" s="299"/>
      <c r="AG2325" s="284"/>
    </row>
    <row r="2326" spans="2:33">
      <c r="B2326" s="86"/>
      <c r="C2326" s="84"/>
      <c r="D2326" s="86"/>
      <c r="E2326" s="84"/>
      <c r="F2326" s="284"/>
      <c r="G2326" s="49"/>
      <c r="H2326" s="284"/>
      <c r="I2326" s="74"/>
      <c r="J2326" s="371"/>
      <c r="K2326" s="77"/>
      <c r="L2326" s="160"/>
      <c r="M2326" s="388"/>
      <c r="N2326" s="375"/>
      <c r="T2326" s="340"/>
      <c r="W2326" s="113"/>
      <c r="X2326" s="241"/>
      <c r="Y2326" s="284"/>
      <c r="Z2326" s="207"/>
      <c r="AA2326" s="284"/>
      <c r="AB2326" s="284"/>
      <c r="AC2326" s="137"/>
      <c r="AD2326" s="284"/>
      <c r="AE2326" s="299"/>
      <c r="AF2326" s="299"/>
      <c r="AG2326" s="284"/>
    </row>
    <row r="2327" spans="2:33">
      <c r="B2327" s="86"/>
      <c r="C2327" s="84"/>
      <c r="D2327" s="86"/>
      <c r="E2327" s="84"/>
      <c r="F2327" s="284"/>
      <c r="G2327" s="49"/>
      <c r="H2327" s="284"/>
      <c r="I2327" s="74"/>
      <c r="J2327" s="371"/>
      <c r="K2327" s="77"/>
      <c r="L2327" s="160"/>
      <c r="M2327" s="388"/>
      <c r="N2327" s="375"/>
      <c r="T2327" s="340"/>
      <c r="W2327" s="113"/>
      <c r="X2327" s="241"/>
      <c r="Y2327" s="284"/>
      <c r="Z2327" s="207"/>
      <c r="AA2327" s="284"/>
      <c r="AB2327" s="284"/>
      <c r="AC2327" s="137"/>
      <c r="AD2327" s="284"/>
      <c r="AE2327" s="299"/>
      <c r="AF2327" s="299"/>
      <c r="AG2327" s="284"/>
    </row>
    <row r="2328" spans="2:33">
      <c r="B2328" s="86"/>
      <c r="C2328" s="84"/>
      <c r="D2328" s="86"/>
      <c r="E2328" s="84"/>
      <c r="F2328" s="284"/>
      <c r="G2328" s="49"/>
      <c r="H2328" s="284"/>
      <c r="I2328" s="74"/>
      <c r="J2328" s="371"/>
      <c r="K2328" s="77"/>
      <c r="L2328" s="160"/>
      <c r="M2328" s="388"/>
      <c r="N2328" s="375"/>
      <c r="T2328" s="340"/>
      <c r="W2328" s="113"/>
      <c r="X2328" s="241"/>
      <c r="Y2328" s="284"/>
      <c r="Z2328" s="207"/>
      <c r="AA2328" s="284"/>
      <c r="AB2328" s="284"/>
      <c r="AC2328" s="137"/>
      <c r="AD2328" s="284"/>
      <c r="AE2328" s="299"/>
      <c r="AF2328" s="299"/>
      <c r="AG2328" s="284"/>
    </row>
    <row r="2329" spans="2:33">
      <c r="B2329" s="86"/>
      <c r="C2329" s="84"/>
      <c r="D2329" s="86"/>
      <c r="E2329" s="84"/>
      <c r="F2329" s="284"/>
      <c r="G2329" s="49"/>
      <c r="H2329" s="284"/>
      <c r="I2329" s="74"/>
      <c r="J2329" s="371"/>
      <c r="K2329" s="77"/>
      <c r="L2329" s="160"/>
      <c r="M2329" s="388"/>
      <c r="N2329" s="375"/>
      <c r="T2329" s="340"/>
      <c r="W2329" s="113"/>
      <c r="X2329" s="241"/>
      <c r="Y2329" s="284"/>
      <c r="Z2329" s="207"/>
      <c r="AA2329" s="284"/>
      <c r="AB2329" s="284"/>
      <c r="AC2329" s="137"/>
      <c r="AD2329" s="284"/>
      <c r="AE2329" s="299"/>
      <c r="AF2329" s="299"/>
      <c r="AG2329" s="284"/>
    </row>
    <row r="2330" spans="2:33">
      <c r="B2330" s="86"/>
      <c r="C2330" s="84"/>
      <c r="D2330" s="86"/>
      <c r="E2330" s="84"/>
      <c r="F2330" s="284"/>
      <c r="G2330" s="49"/>
      <c r="H2330" s="284"/>
      <c r="I2330" s="74"/>
      <c r="J2330" s="371"/>
      <c r="K2330" s="77"/>
      <c r="L2330" s="160"/>
      <c r="M2330" s="388"/>
      <c r="N2330" s="375"/>
      <c r="W2330" s="113"/>
      <c r="X2330" s="241"/>
      <c r="Y2330" s="284"/>
      <c r="Z2330" s="207"/>
      <c r="AA2330" s="284"/>
      <c r="AB2330" s="284"/>
      <c r="AC2330" s="137"/>
      <c r="AD2330" s="284"/>
      <c r="AE2330" s="299"/>
      <c r="AF2330" s="299"/>
      <c r="AG2330" s="284"/>
    </row>
    <row r="2331" spans="2:33">
      <c r="B2331" s="86"/>
      <c r="C2331" s="84"/>
      <c r="D2331" s="86"/>
      <c r="E2331" s="84"/>
      <c r="F2331" s="284"/>
      <c r="G2331" s="49"/>
      <c r="H2331" s="284"/>
      <c r="I2331" s="74"/>
      <c r="J2331" s="371"/>
      <c r="K2331" s="77"/>
      <c r="L2331" s="160"/>
      <c r="M2331" s="388"/>
      <c r="N2331" s="375"/>
      <c r="W2331" s="113"/>
      <c r="X2331" s="241"/>
      <c r="Y2331" s="284"/>
      <c r="Z2331" s="207"/>
      <c r="AA2331" s="284"/>
      <c r="AB2331" s="284"/>
      <c r="AC2331" s="137"/>
      <c r="AD2331" s="284"/>
      <c r="AE2331" s="299"/>
      <c r="AF2331" s="299"/>
      <c r="AG2331" s="284"/>
    </row>
    <row r="2332" spans="2:33">
      <c r="B2332" s="86"/>
      <c r="C2332" s="84"/>
      <c r="D2332" s="86"/>
      <c r="E2332" s="84"/>
      <c r="F2332" s="284"/>
      <c r="G2332" s="49"/>
      <c r="H2332" s="284"/>
      <c r="I2332" s="74"/>
      <c r="J2332" s="371"/>
      <c r="K2332" s="77"/>
      <c r="L2332" s="160"/>
      <c r="M2332" s="388"/>
      <c r="N2332" s="375"/>
      <c r="W2332" s="113"/>
      <c r="X2332" s="241"/>
      <c r="Y2332" s="284"/>
      <c r="Z2332" s="207"/>
      <c r="AA2332" s="284"/>
      <c r="AB2332" s="284"/>
      <c r="AC2332" s="137"/>
      <c r="AD2332" s="284"/>
      <c r="AE2332" s="299"/>
      <c r="AF2332" s="299"/>
      <c r="AG2332" s="284"/>
    </row>
    <row r="2333" spans="2:33">
      <c r="B2333" s="86"/>
      <c r="C2333" s="84"/>
      <c r="D2333" s="86"/>
      <c r="E2333" s="84"/>
      <c r="F2333" s="284"/>
      <c r="G2333" s="49"/>
      <c r="H2333" s="284"/>
      <c r="I2333" s="74"/>
      <c r="J2333" s="371"/>
      <c r="K2333" s="77"/>
      <c r="L2333" s="160"/>
      <c r="M2333" s="388"/>
      <c r="N2333" s="375"/>
      <c r="W2333" s="113"/>
      <c r="X2333" s="241"/>
      <c r="Y2333" s="284"/>
      <c r="Z2333" s="207"/>
      <c r="AA2333" s="284"/>
      <c r="AB2333" s="284"/>
      <c r="AC2333" s="137"/>
      <c r="AD2333" s="284"/>
      <c r="AE2333" s="299"/>
      <c r="AF2333" s="299"/>
      <c r="AG2333" s="284"/>
    </row>
    <row r="2334" spans="2:33">
      <c r="B2334" s="86"/>
      <c r="C2334" s="84"/>
      <c r="D2334" s="86"/>
      <c r="E2334" s="84"/>
      <c r="F2334" s="284"/>
      <c r="G2334" s="49"/>
      <c r="H2334" s="284"/>
      <c r="I2334" s="74"/>
      <c r="J2334" s="371"/>
      <c r="K2334" s="77"/>
      <c r="L2334" s="160"/>
      <c r="M2334" s="388"/>
      <c r="N2334" s="375"/>
      <c r="W2334" s="113"/>
      <c r="X2334" s="241"/>
      <c r="Y2334" s="284"/>
      <c r="Z2334" s="207"/>
      <c r="AA2334" s="284"/>
      <c r="AB2334" s="284"/>
      <c r="AC2334" s="137"/>
      <c r="AD2334" s="284"/>
      <c r="AE2334" s="299"/>
      <c r="AF2334" s="299"/>
      <c r="AG2334" s="284"/>
    </row>
    <row r="2335" spans="2:33">
      <c r="B2335" s="86"/>
      <c r="C2335" s="84"/>
      <c r="D2335" s="86"/>
      <c r="E2335" s="84"/>
      <c r="F2335" s="284"/>
      <c r="G2335" s="49"/>
      <c r="H2335" s="284"/>
      <c r="I2335" s="74"/>
      <c r="J2335" s="371"/>
      <c r="K2335" s="77"/>
      <c r="L2335" s="160"/>
      <c r="M2335" s="388"/>
      <c r="N2335" s="375"/>
      <c r="W2335" s="113"/>
      <c r="X2335" s="241"/>
      <c r="Y2335" s="284"/>
      <c r="Z2335" s="207"/>
      <c r="AA2335" s="284"/>
      <c r="AB2335" s="284"/>
      <c r="AC2335" s="137"/>
      <c r="AD2335" s="284"/>
      <c r="AE2335" s="299"/>
      <c r="AF2335" s="299"/>
      <c r="AG2335" s="284"/>
    </row>
    <row r="2336" spans="2:33">
      <c r="B2336" s="86"/>
      <c r="C2336" s="84"/>
      <c r="D2336" s="86"/>
      <c r="E2336" s="84"/>
      <c r="F2336" s="284"/>
      <c r="G2336" s="49"/>
      <c r="H2336" s="284"/>
      <c r="I2336" s="74"/>
      <c r="J2336" s="371"/>
      <c r="K2336" s="77"/>
      <c r="L2336" s="160"/>
      <c r="M2336" s="388"/>
      <c r="N2336" s="375"/>
      <c r="W2336" s="113"/>
      <c r="X2336" s="241"/>
      <c r="Y2336" s="284"/>
      <c r="Z2336" s="207"/>
      <c r="AA2336" s="284"/>
      <c r="AB2336" s="284"/>
      <c r="AC2336" s="137"/>
      <c r="AD2336" s="284"/>
      <c r="AE2336" s="299"/>
      <c r="AF2336" s="299"/>
      <c r="AG2336" s="284"/>
    </row>
    <row r="2337" spans="2:33">
      <c r="B2337" s="86"/>
      <c r="C2337" s="84"/>
      <c r="D2337" s="86"/>
      <c r="E2337" s="84"/>
      <c r="F2337" s="284"/>
      <c r="G2337" s="49"/>
      <c r="H2337" s="284"/>
      <c r="I2337" s="74"/>
      <c r="J2337" s="371"/>
      <c r="K2337" s="77"/>
      <c r="L2337" s="160"/>
      <c r="M2337" s="388"/>
      <c r="N2337" s="375"/>
      <c r="W2337" s="113"/>
      <c r="X2337" s="241"/>
      <c r="Y2337" s="284"/>
      <c r="Z2337" s="207"/>
      <c r="AA2337" s="284"/>
      <c r="AB2337" s="284"/>
      <c r="AC2337" s="137"/>
      <c r="AD2337" s="284"/>
      <c r="AE2337" s="299"/>
      <c r="AF2337" s="299"/>
      <c r="AG2337" s="284"/>
    </row>
    <row r="2338" spans="2:33">
      <c r="B2338" s="86"/>
      <c r="C2338" s="84"/>
      <c r="D2338" s="86"/>
      <c r="E2338" s="84"/>
      <c r="F2338" s="284"/>
      <c r="G2338" s="49"/>
      <c r="H2338" s="284"/>
      <c r="I2338" s="74"/>
      <c r="J2338" s="371"/>
      <c r="K2338" s="77"/>
      <c r="L2338" s="160"/>
      <c r="M2338" s="388"/>
      <c r="N2338" s="375"/>
      <c r="W2338" s="113"/>
      <c r="X2338" s="241"/>
      <c r="Y2338" s="284"/>
      <c r="Z2338" s="207"/>
      <c r="AA2338" s="284"/>
      <c r="AB2338" s="284"/>
      <c r="AC2338" s="137"/>
      <c r="AD2338" s="284"/>
      <c r="AE2338" s="299"/>
      <c r="AF2338" s="299"/>
      <c r="AG2338" s="284"/>
    </row>
    <row r="2339" spans="2:33">
      <c r="B2339" s="86"/>
      <c r="C2339" s="84"/>
      <c r="D2339" s="86"/>
      <c r="E2339" s="84"/>
      <c r="F2339" s="284"/>
      <c r="G2339" s="49"/>
      <c r="H2339" s="284"/>
      <c r="I2339" s="74"/>
      <c r="J2339" s="371"/>
      <c r="K2339" s="77"/>
      <c r="L2339" s="160"/>
      <c r="M2339" s="388"/>
      <c r="N2339" s="375"/>
      <c r="W2339" s="113"/>
      <c r="X2339" s="241"/>
      <c r="Y2339" s="284"/>
      <c r="Z2339" s="207"/>
      <c r="AA2339" s="284"/>
      <c r="AB2339" s="284"/>
      <c r="AC2339" s="137"/>
      <c r="AD2339" s="284"/>
      <c r="AE2339" s="299"/>
      <c r="AF2339" s="299"/>
      <c r="AG2339" s="284"/>
    </row>
    <row r="2340" spans="2:33">
      <c r="B2340" s="86"/>
      <c r="C2340" s="84"/>
      <c r="D2340" s="86"/>
      <c r="E2340" s="84"/>
      <c r="F2340" s="284"/>
      <c r="G2340" s="49"/>
      <c r="H2340" s="284"/>
      <c r="I2340" s="74"/>
      <c r="J2340" s="371"/>
      <c r="K2340" s="77"/>
      <c r="L2340" s="160"/>
      <c r="M2340" s="388"/>
      <c r="N2340" s="375"/>
      <c r="W2340" s="113"/>
      <c r="X2340" s="241"/>
      <c r="Y2340" s="284"/>
      <c r="Z2340" s="207"/>
      <c r="AA2340" s="284"/>
      <c r="AB2340" s="284"/>
      <c r="AC2340" s="137"/>
      <c r="AD2340" s="284"/>
      <c r="AE2340" s="299"/>
      <c r="AF2340" s="299"/>
      <c r="AG2340" s="284"/>
    </row>
    <row r="2341" spans="2:33">
      <c r="B2341" s="86"/>
      <c r="C2341" s="84"/>
      <c r="D2341" s="86"/>
      <c r="E2341" s="84"/>
      <c r="F2341" s="284"/>
      <c r="G2341" s="49"/>
      <c r="H2341" s="284"/>
      <c r="I2341" s="74"/>
      <c r="J2341" s="371"/>
      <c r="K2341" s="77"/>
      <c r="L2341" s="160"/>
      <c r="M2341" s="388"/>
      <c r="N2341" s="375"/>
      <c r="W2341" s="113"/>
      <c r="X2341" s="241"/>
      <c r="Y2341" s="284"/>
      <c r="Z2341" s="207"/>
      <c r="AA2341" s="284"/>
      <c r="AB2341" s="284"/>
      <c r="AC2341" s="137"/>
      <c r="AD2341" s="284"/>
      <c r="AE2341" s="299"/>
      <c r="AF2341" s="299"/>
      <c r="AG2341" s="284"/>
    </row>
    <row r="2342" spans="2:33">
      <c r="B2342" s="86"/>
      <c r="C2342" s="84"/>
      <c r="D2342" s="86"/>
      <c r="E2342" s="84"/>
      <c r="F2342" s="284"/>
      <c r="G2342" s="49"/>
      <c r="H2342" s="284"/>
      <c r="I2342" s="74"/>
      <c r="J2342" s="371"/>
      <c r="K2342" s="77"/>
      <c r="L2342" s="160"/>
      <c r="M2342" s="388"/>
      <c r="N2342" s="375"/>
      <c r="W2342" s="113"/>
      <c r="X2342" s="241"/>
      <c r="Y2342" s="284"/>
      <c r="Z2342" s="207"/>
      <c r="AA2342" s="284"/>
      <c r="AB2342" s="284"/>
      <c r="AC2342" s="137"/>
      <c r="AD2342" s="284"/>
      <c r="AE2342" s="299"/>
      <c r="AF2342" s="299"/>
      <c r="AG2342" s="284"/>
    </row>
    <row r="2343" spans="2:33">
      <c r="B2343" s="86"/>
      <c r="C2343" s="84"/>
      <c r="D2343" s="86"/>
      <c r="E2343" s="84"/>
      <c r="F2343" s="284"/>
      <c r="G2343" s="49"/>
      <c r="H2343" s="284"/>
      <c r="I2343" s="74"/>
      <c r="J2343" s="371"/>
      <c r="K2343" s="77"/>
      <c r="L2343" s="160"/>
      <c r="M2343" s="388"/>
      <c r="N2343" s="375"/>
      <c r="W2343" s="113"/>
      <c r="X2343" s="241"/>
      <c r="Y2343" s="284"/>
      <c r="Z2343" s="207"/>
      <c r="AA2343" s="284"/>
      <c r="AB2343" s="284"/>
      <c r="AC2343" s="137"/>
      <c r="AD2343" s="284"/>
      <c r="AE2343" s="299"/>
      <c r="AF2343" s="299"/>
      <c r="AG2343" s="284"/>
    </row>
    <row r="2344" spans="2:33">
      <c r="B2344" s="86"/>
      <c r="C2344" s="84"/>
      <c r="D2344" s="86"/>
      <c r="E2344" s="84"/>
      <c r="F2344" s="284"/>
      <c r="G2344" s="49"/>
      <c r="H2344" s="284"/>
      <c r="I2344" s="74"/>
      <c r="J2344" s="371"/>
      <c r="K2344" s="77"/>
      <c r="L2344" s="160"/>
      <c r="M2344" s="388"/>
      <c r="N2344" s="375"/>
      <c r="W2344" s="113"/>
      <c r="X2344" s="241"/>
      <c r="Y2344" s="284"/>
      <c r="Z2344" s="207"/>
      <c r="AA2344" s="284"/>
      <c r="AB2344" s="284"/>
      <c r="AC2344" s="137"/>
      <c r="AD2344" s="284"/>
      <c r="AE2344" s="299"/>
      <c r="AF2344" s="299"/>
      <c r="AG2344" s="284"/>
    </row>
    <row r="2345" spans="2:33">
      <c r="B2345" s="86"/>
      <c r="C2345" s="84"/>
      <c r="D2345" s="86"/>
      <c r="E2345" s="84"/>
      <c r="F2345" s="284"/>
      <c r="G2345" s="49"/>
      <c r="H2345" s="284"/>
      <c r="I2345" s="74"/>
      <c r="J2345" s="371"/>
      <c r="K2345" s="77"/>
      <c r="L2345" s="160"/>
      <c r="M2345" s="388"/>
      <c r="N2345" s="375"/>
      <c r="W2345" s="113"/>
      <c r="X2345" s="241"/>
      <c r="Y2345" s="284"/>
      <c r="Z2345" s="207"/>
      <c r="AA2345" s="284"/>
      <c r="AB2345" s="284"/>
      <c r="AC2345" s="137"/>
      <c r="AD2345" s="284"/>
      <c r="AE2345" s="299"/>
      <c r="AF2345" s="299"/>
      <c r="AG2345" s="284"/>
    </row>
    <row r="2346" spans="2:33">
      <c r="B2346" s="86"/>
      <c r="C2346" s="84"/>
      <c r="D2346" s="86"/>
      <c r="E2346" s="84"/>
      <c r="F2346" s="284"/>
      <c r="G2346" s="49"/>
      <c r="H2346" s="284"/>
      <c r="I2346" s="74"/>
      <c r="J2346" s="371"/>
      <c r="K2346" s="77"/>
      <c r="L2346" s="160"/>
      <c r="M2346" s="388"/>
      <c r="N2346" s="375"/>
      <c r="W2346" s="113"/>
      <c r="X2346" s="241"/>
      <c r="Y2346" s="284"/>
      <c r="Z2346" s="207"/>
      <c r="AA2346" s="284"/>
      <c r="AB2346" s="284"/>
      <c r="AC2346" s="137"/>
      <c r="AD2346" s="284"/>
      <c r="AE2346" s="299"/>
      <c r="AF2346" s="299"/>
      <c r="AG2346" s="284"/>
    </row>
    <row r="2347" spans="2:33">
      <c r="B2347" s="86"/>
      <c r="C2347" s="84"/>
      <c r="D2347" s="86"/>
      <c r="E2347" s="84"/>
      <c r="F2347" s="284"/>
      <c r="G2347" s="49"/>
      <c r="H2347" s="284"/>
      <c r="I2347" s="74"/>
      <c r="J2347" s="371"/>
      <c r="K2347" s="77"/>
      <c r="L2347" s="160"/>
      <c r="M2347" s="388"/>
      <c r="N2347" s="375"/>
      <c r="W2347" s="113"/>
      <c r="X2347" s="241"/>
      <c r="Y2347" s="284"/>
      <c r="Z2347" s="207"/>
      <c r="AA2347" s="284"/>
      <c r="AB2347" s="284"/>
      <c r="AC2347" s="137"/>
      <c r="AD2347" s="284"/>
      <c r="AE2347" s="299"/>
      <c r="AF2347" s="299"/>
      <c r="AG2347" s="284"/>
    </row>
    <row r="2348" spans="2:33">
      <c r="B2348" s="86"/>
      <c r="C2348" s="84"/>
      <c r="D2348" s="86"/>
      <c r="E2348" s="84"/>
      <c r="F2348" s="284"/>
      <c r="G2348" s="49"/>
      <c r="H2348" s="284"/>
      <c r="I2348" s="74"/>
      <c r="J2348" s="371"/>
      <c r="K2348" s="77"/>
      <c r="L2348" s="160"/>
      <c r="M2348" s="388"/>
      <c r="N2348" s="375"/>
      <c r="W2348" s="113"/>
      <c r="X2348" s="241"/>
      <c r="Y2348" s="284"/>
      <c r="Z2348" s="207"/>
      <c r="AA2348" s="284"/>
      <c r="AB2348" s="284"/>
      <c r="AC2348" s="137"/>
      <c r="AD2348" s="284"/>
      <c r="AE2348" s="299"/>
      <c r="AF2348" s="299"/>
      <c r="AG2348" s="284"/>
    </row>
    <row r="2349" spans="2:33">
      <c r="B2349" s="86"/>
      <c r="C2349" s="84"/>
      <c r="D2349" s="86"/>
      <c r="E2349" s="84"/>
      <c r="F2349" s="284"/>
      <c r="G2349" s="49"/>
      <c r="H2349" s="284"/>
      <c r="I2349" s="74"/>
      <c r="J2349" s="371"/>
      <c r="K2349" s="77"/>
      <c r="L2349" s="160"/>
      <c r="M2349" s="388"/>
      <c r="N2349" s="375"/>
      <c r="W2349" s="113"/>
      <c r="X2349" s="241"/>
      <c r="Y2349" s="284"/>
      <c r="Z2349" s="207"/>
      <c r="AA2349" s="284"/>
      <c r="AB2349" s="284"/>
      <c r="AC2349" s="137"/>
      <c r="AD2349" s="284"/>
      <c r="AE2349" s="299"/>
      <c r="AF2349" s="299"/>
      <c r="AG2349" s="284"/>
    </row>
    <row r="2350" spans="2:33">
      <c r="B2350" s="86"/>
      <c r="C2350" s="84"/>
      <c r="D2350" s="86"/>
      <c r="E2350" s="84"/>
      <c r="F2350" s="284"/>
      <c r="G2350" s="49"/>
      <c r="H2350" s="284"/>
      <c r="I2350" s="74"/>
      <c r="J2350" s="371"/>
      <c r="K2350" s="77"/>
      <c r="L2350" s="160"/>
      <c r="M2350" s="388"/>
      <c r="N2350" s="375"/>
      <c r="W2350" s="113"/>
      <c r="X2350" s="241"/>
      <c r="Y2350" s="284"/>
      <c r="Z2350" s="207"/>
      <c r="AA2350" s="284"/>
      <c r="AB2350" s="284"/>
      <c r="AC2350" s="137"/>
      <c r="AD2350" s="284"/>
      <c r="AE2350" s="299"/>
      <c r="AF2350" s="299"/>
      <c r="AG2350" s="284"/>
    </row>
    <row r="2351" spans="2:33">
      <c r="B2351" s="86"/>
      <c r="C2351" s="84"/>
      <c r="D2351" s="86"/>
      <c r="E2351" s="84"/>
      <c r="F2351" s="284"/>
      <c r="G2351" s="49"/>
      <c r="H2351" s="284"/>
      <c r="I2351" s="74"/>
      <c r="J2351" s="371"/>
      <c r="K2351" s="77"/>
      <c r="L2351" s="160"/>
      <c r="M2351" s="388"/>
      <c r="N2351" s="375"/>
      <c r="W2351" s="113"/>
      <c r="X2351" s="241"/>
      <c r="Y2351" s="284"/>
      <c r="Z2351" s="207"/>
      <c r="AA2351" s="284"/>
      <c r="AB2351" s="284"/>
      <c r="AC2351" s="137"/>
      <c r="AD2351" s="284"/>
      <c r="AE2351" s="299"/>
      <c r="AF2351" s="299"/>
      <c r="AG2351" s="284"/>
    </row>
    <row r="2352" spans="2:33">
      <c r="B2352" s="86"/>
      <c r="C2352" s="84"/>
      <c r="D2352" s="86"/>
      <c r="E2352" s="84"/>
      <c r="F2352" s="284"/>
      <c r="G2352" s="49"/>
      <c r="H2352" s="284"/>
      <c r="I2352" s="74"/>
      <c r="J2352" s="371"/>
      <c r="K2352" s="77"/>
      <c r="L2352" s="160"/>
      <c r="M2352" s="388"/>
      <c r="N2352" s="375"/>
      <c r="W2352" s="113"/>
      <c r="X2352" s="241"/>
      <c r="Y2352" s="284"/>
      <c r="Z2352" s="207"/>
      <c r="AA2352" s="284"/>
      <c r="AB2352" s="284"/>
      <c r="AC2352" s="137"/>
      <c r="AD2352" s="284"/>
      <c r="AE2352" s="299"/>
      <c r="AF2352" s="299"/>
      <c r="AG2352" s="284"/>
    </row>
    <row r="2353" spans="2:33">
      <c r="B2353" s="86"/>
      <c r="C2353" s="84"/>
      <c r="D2353" s="86"/>
      <c r="E2353" s="84"/>
      <c r="F2353" s="284"/>
      <c r="G2353" s="49"/>
      <c r="H2353" s="284"/>
      <c r="I2353" s="74"/>
      <c r="J2353" s="371"/>
      <c r="K2353" s="77"/>
      <c r="L2353" s="160"/>
      <c r="M2353" s="388"/>
      <c r="N2353" s="375"/>
      <c r="W2353" s="113"/>
      <c r="X2353" s="241"/>
      <c r="Y2353" s="284"/>
      <c r="Z2353" s="207"/>
      <c r="AA2353" s="284"/>
      <c r="AB2353" s="284"/>
      <c r="AC2353" s="137"/>
      <c r="AD2353" s="284"/>
      <c r="AE2353" s="299"/>
      <c r="AF2353" s="299"/>
      <c r="AG2353" s="284"/>
    </row>
    <row r="2354" spans="2:33">
      <c r="B2354" s="86"/>
      <c r="C2354" s="84"/>
      <c r="D2354" s="86"/>
      <c r="E2354" s="84"/>
      <c r="F2354" s="284"/>
      <c r="G2354" s="49"/>
      <c r="H2354" s="284"/>
      <c r="I2354" s="74"/>
      <c r="J2354" s="371"/>
      <c r="K2354" s="77"/>
      <c r="L2354" s="160"/>
      <c r="M2354" s="388"/>
      <c r="N2354" s="375"/>
      <c r="W2354" s="113"/>
      <c r="X2354" s="241"/>
      <c r="Y2354" s="284"/>
      <c r="Z2354" s="207"/>
      <c r="AA2354" s="284"/>
      <c r="AB2354" s="284"/>
      <c r="AC2354" s="137"/>
      <c r="AD2354" s="284"/>
      <c r="AE2354" s="299"/>
      <c r="AF2354" s="299"/>
      <c r="AG2354" s="284"/>
    </row>
    <row r="2355" spans="2:33">
      <c r="B2355" s="86"/>
      <c r="C2355" s="84"/>
      <c r="D2355" s="86"/>
      <c r="E2355" s="84"/>
      <c r="F2355" s="284"/>
      <c r="G2355" s="49"/>
      <c r="H2355" s="284"/>
      <c r="I2355" s="74"/>
      <c r="J2355" s="371"/>
      <c r="K2355" s="77"/>
      <c r="L2355" s="160"/>
      <c r="M2355" s="388"/>
      <c r="N2355" s="375"/>
      <c r="W2355" s="113"/>
      <c r="X2355" s="241"/>
      <c r="Y2355" s="284"/>
      <c r="Z2355" s="207"/>
      <c r="AA2355" s="284"/>
      <c r="AB2355" s="284"/>
      <c r="AC2355" s="137"/>
      <c r="AD2355" s="284"/>
      <c r="AE2355" s="299"/>
      <c r="AF2355" s="299"/>
      <c r="AG2355" s="284"/>
    </row>
    <row r="2356" spans="2:33">
      <c r="B2356" s="86"/>
      <c r="C2356" s="84"/>
      <c r="D2356" s="86"/>
      <c r="E2356" s="84"/>
      <c r="F2356" s="284"/>
      <c r="G2356" s="49"/>
      <c r="H2356" s="284"/>
      <c r="I2356" s="74"/>
      <c r="J2356" s="371"/>
      <c r="K2356" s="77"/>
      <c r="L2356" s="160"/>
      <c r="M2356" s="388"/>
      <c r="N2356" s="375"/>
      <c r="W2356" s="113"/>
      <c r="X2356" s="241"/>
      <c r="Y2356" s="284"/>
      <c r="Z2356" s="207"/>
      <c r="AA2356" s="284"/>
      <c r="AB2356" s="284"/>
      <c r="AC2356" s="137"/>
      <c r="AD2356" s="284"/>
      <c r="AE2356" s="299"/>
      <c r="AF2356" s="299"/>
      <c r="AG2356" s="284"/>
    </row>
    <row r="2357" spans="2:33">
      <c r="B2357" s="86"/>
      <c r="C2357" s="84"/>
      <c r="D2357" s="86"/>
      <c r="E2357" s="84"/>
      <c r="F2357" s="284"/>
      <c r="G2357" s="49"/>
      <c r="H2357" s="284"/>
      <c r="I2357" s="74"/>
      <c r="J2357" s="371"/>
      <c r="K2357" s="77"/>
      <c r="L2357" s="160"/>
      <c r="M2357" s="388"/>
      <c r="N2357" s="375"/>
      <c r="W2357" s="113"/>
      <c r="X2357" s="241"/>
      <c r="Y2357" s="284"/>
      <c r="Z2357" s="207"/>
      <c r="AA2357" s="284"/>
      <c r="AB2357" s="284"/>
      <c r="AC2357" s="137"/>
      <c r="AD2357" s="284"/>
      <c r="AE2357" s="299"/>
      <c r="AF2357" s="299"/>
      <c r="AG2357" s="284"/>
    </row>
    <row r="2358" spans="2:33">
      <c r="B2358" s="86"/>
      <c r="C2358" s="84"/>
      <c r="D2358" s="86"/>
      <c r="E2358" s="84"/>
      <c r="F2358" s="284"/>
      <c r="G2358" s="49"/>
      <c r="H2358" s="284"/>
      <c r="I2358" s="74"/>
      <c r="J2358" s="371"/>
      <c r="K2358" s="77"/>
      <c r="L2358" s="160"/>
      <c r="M2358" s="388"/>
      <c r="N2358" s="375"/>
      <c r="W2358" s="113"/>
      <c r="X2358" s="241"/>
      <c r="Y2358" s="284"/>
      <c r="Z2358" s="207"/>
      <c r="AA2358" s="284"/>
      <c r="AB2358" s="284"/>
      <c r="AC2358" s="137"/>
      <c r="AD2358" s="284"/>
      <c r="AE2358" s="299"/>
      <c r="AF2358" s="299"/>
      <c r="AG2358" s="284"/>
    </row>
    <row r="2359" spans="2:33">
      <c r="B2359" s="86"/>
      <c r="C2359" s="84"/>
      <c r="D2359" s="86"/>
      <c r="E2359" s="84"/>
      <c r="F2359" s="284"/>
      <c r="G2359" s="49"/>
      <c r="H2359" s="284"/>
      <c r="I2359" s="74"/>
      <c r="J2359" s="371"/>
      <c r="K2359" s="77"/>
      <c r="L2359" s="160"/>
      <c r="M2359" s="388"/>
      <c r="N2359" s="375"/>
      <c r="W2359" s="113"/>
      <c r="X2359" s="241"/>
      <c r="Y2359" s="284"/>
      <c r="Z2359" s="207"/>
      <c r="AA2359" s="284"/>
      <c r="AB2359" s="284"/>
      <c r="AC2359" s="137"/>
      <c r="AD2359" s="284"/>
      <c r="AE2359" s="299"/>
      <c r="AF2359" s="299"/>
      <c r="AG2359" s="284"/>
    </row>
    <row r="2360" spans="2:33">
      <c r="B2360" s="86"/>
      <c r="C2360" s="84"/>
      <c r="D2360" s="86"/>
      <c r="E2360" s="84"/>
      <c r="F2360" s="284"/>
      <c r="G2360" s="49"/>
      <c r="H2360" s="284"/>
      <c r="I2360" s="74"/>
      <c r="J2360" s="371"/>
      <c r="K2360" s="77"/>
      <c r="L2360" s="160"/>
      <c r="M2360" s="388"/>
      <c r="N2360" s="375"/>
      <c r="W2360" s="113"/>
      <c r="X2360" s="241"/>
      <c r="Y2360" s="284"/>
      <c r="Z2360" s="207"/>
      <c r="AA2360" s="284"/>
      <c r="AB2360" s="284"/>
      <c r="AC2360" s="137"/>
      <c r="AD2360" s="284"/>
      <c r="AE2360" s="299"/>
      <c r="AF2360" s="299"/>
      <c r="AG2360" s="284"/>
    </row>
    <row r="2361" spans="2:33">
      <c r="B2361" s="86"/>
      <c r="C2361" s="84"/>
      <c r="D2361" s="86"/>
      <c r="E2361" s="84"/>
      <c r="F2361" s="284"/>
      <c r="G2361" s="49"/>
      <c r="H2361" s="284"/>
      <c r="I2361" s="74"/>
      <c r="J2361" s="371"/>
      <c r="K2361" s="77"/>
      <c r="L2361" s="160"/>
      <c r="M2361" s="388"/>
      <c r="N2361" s="375"/>
      <c r="W2361" s="113"/>
      <c r="X2361" s="241"/>
      <c r="Y2361" s="284"/>
      <c r="Z2361" s="207"/>
      <c r="AA2361" s="284"/>
      <c r="AB2361" s="284"/>
      <c r="AC2361" s="137"/>
      <c r="AD2361" s="284"/>
      <c r="AE2361" s="299"/>
      <c r="AF2361" s="299"/>
      <c r="AG2361" s="284"/>
    </row>
    <row r="2362" spans="2:33">
      <c r="B2362" s="86"/>
      <c r="C2362" s="84"/>
      <c r="D2362" s="86"/>
      <c r="E2362" s="84"/>
      <c r="F2362" s="284"/>
      <c r="G2362" s="49"/>
      <c r="H2362" s="284"/>
      <c r="I2362" s="74"/>
      <c r="J2362" s="371"/>
      <c r="K2362" s="77"/>
      <c r="L2362" s="160"/>
      <c r="M2362" s="388"/>
      <c r="N2362" s="375"/>
      <c r="W2362" s="113"/>
      <c r="X2362" s="241"/>
      <c r="Y2362" s="284"/>
      <c r="Z2362" s="207"/>
      <c r="AA2362" s="284"/>
      <c r="AB2362" s="284"/>
      <c r="AC2362" s="137"/>
      <c r="AD2362" s="284"/>
      <c r="AE2362" s="299"/>
      <c r="AF2362" s="299"/>
      <c r="AG2362" s="284"/>
    </row>
    <row r="2363" spans="2:33">
      <c r="B2363" s="86"/>
      <c r="C2363" s="84"/>
      <c r="D2363" s="86"/>
      <c r="E2363" s="84"/>
      <c r="F2363" s="284"/>
      <c r="G2363" s="49"/>
      <c r="H2363" s="284"/>
      <c r="I2363" s="74"/>
      <c r="J2363" s="371"/>
      <c r="K2363" s="77"/>
      <c r="L2363" s="160"/>
      <c r="M2363" s="388"/>
      <c r="N2363" s="375"/>
      <c r="W2363" s="113"/>
      <c r="X2363" s="241"/>
      <c r="Y2363" s="284"/>
      <c r="Z2363" s="207"/>
      <c r="AA2363" s="284"/>
      <c r="AB2363" s="284"/>
      <c r="AC2363" s="137"/>
      <c r="AD2363" s="284"/>
      <c r="AE2363" s="299"/>
      <c r="AF2363" s="299"/>
      <c r="AG2363" s="284"/>
    </row>
    <row r="2364" spans="2:33">
      <c r="B2364" s="86"/>
      <c r="C2364" s="84"/>
      <c r="D2364" s="86"/>
      <c r="E2364" s="84"/>
      <c r="F2364" s="284"/>
      <c r="G2364" s="49"/>
      <c r="H2364" s="284"/>
      <c r="I2364" s="74"/>
      <c r="J2364" s="371"/>
      <c r="K2364" s="77"/>
      <c r="L2364" s="160"/>
      <c r="M2364" s="388"/>
      <c r="N2364" s="375"/>
      <c r="W2364" s="113"/>
      <c r="X2364" s="241"/>
      <c r="Y2364" s="284"/>
      <c r="Z2364" s="207"/>
      <c r="AA2364" s="284"/>
      <c r="AB2364" s="284"/>
      <c r="AC2364" s="137"/>
      <c r="AD2364" s="284"/>
      <c r="AE2364" s="299"/>
      <c r="AF2364" s="299"/>
      <c r="AG2364" s="284"/>
    </row>
    <row r="2365" spans="2:33">
      <c r="B2365" s="86"/>
      <c r="C2365" s="84"/>
      <c r="D2365" s="86"/>
      <c r="E2365" s="84"/>
      <c r="F2365" s="284"/>
      <c r="G2365" s="49"/>
      <c r="H2365" s="284"/>
      <c r="I2365" s="74"/>
      <c r="J2365" s="371"/>
      <c r="K2365" s="77"/>
      <c r="L2365" s="160"/>
      <c r="M2365" s="388"/>
      <c r="N2365" s="375"/>
      <c r="W2365" s="113"/>
      <c r="X2365" s="241"/>
      <c r="Y2365" s="284"/>
      <c r="Z2365" s="207"/>
      <c r="AA2365" s="284"/>
      <c r="AB2365" s="284"/>
      <c r="AC2365" s="137"/>
      <c r="AD2365" s="284"/>
      <c r="AE2365" s="299"/>
      <c r="AF2365" s="299"/>
      <c r="AG2365" s="284"/>
    </row>
    <row r="2366" spans="2:33">
      <c r="B2366" s="86"/>
      <c r="C2366" s="84"/>
      <c r="D2366" s="86"/>
      <c r="E2366" s="84"/>
      <c r="F2366" s="284"/>
      <c r="G2366" s="49"/>
      <c r="H2366" s="284"/>
      <c r="I2366" s="74"/>
      <c r="J2366" s="371"/>
      <c r="K2366" s="77"/>
      <c r="L2366" s="160"/>
      <c r="M2366" s="388"/>
      <c r="N2366" s="375"/>
      <c r="W2366" s="113"/>
      <c r="X2366" s="241"/>
      <c r="Y2366" s="284"/>
      <c r="Z2366" s="207"/>
      <c r="AA2366" s="284"/>
      <c r="AB2366" s="284"/>
      <c r="AC2366" s="137"/>
      <c r="AD2366" s="284"/>
      <c r="AE2366" s="299"/>
      <c r="AF2366" s="299"/>
      <c r="AG2366" s="284"/>
    </row>
    <row r="2367" spans="2:33">
      <c r="B2367" s="86"/>
      <c r="C2367" s="84"/>
      <c r="D2367" s="86"/>
      <c r="E2367" s="84"/>
      <c r="F2367" s="284"/>
      <c r="G2367" s="49"/>
      <c r="H2367" s="284"/>
      <c r="I2367" s="74"/>
      <c r="J2367" s="371"/>
      <c r="K2367" s="77"/>
      <c r="L2367" s="160"/>
      <c r="M2367" s="388"/>
      <c r="N2367" s="375"/>
      <c r="W2367" s="113"/>
      <c r="X2367" s="241"/>
      <c r="Y2367" s="284"/>
      <c r="Z2367" s="207"/>
      <c r="AA2367" s="284"/>
      <c r="AB2367" s="284"/>
      <c r="AC2367" s="137"/>
      <c r="AD2367" s="284"/>
      <c r="AE2367" s="299"/>
      <c r="AF2367" s="299"/>
      <c r="AG2367" s="284"/>
    </row>
    <row r="2368" spans="2:33">
      <c r="B2368" s="86"/>
      <c r="C2368" s="84"/>
      <c r="D2368" s="86"/>
      <c r="E2368" s="84"/>
      <c r="F2368" s="284"/>
      <c r="G2368" s="49"/>
      <c r="H2368" s="284"/>
      <c r="I2368" s="74"/>
      <c r="J2368" s="371"/>
      <c r="K2368" s="77"/>
      <c r="L2368" s="160"/>
      <c r="M2368" s="388"/>
      <c r="N2368" s="375"/>
      <c r="W2368" s="113"/>
      <c r="X2368" s="241"/>
      <c r="Y2368" s="284"/>
      <c r="Z2368" s="207"/>
      <c r="AA2368" s="284"/>
      <c r="AB2368" s="284"/>
      <c r="AC2368" s="137"/>
      <c r="AD2368" s="284"/>
      <c r="AE2368" s="299"/>
      <c r="AF2368" s="299"/>
      <c r="AG2368" s="284"/>
    </row>
    <row r="2369" spans="2:33">
      <c r="B2369" s="86"/>
      <c r="C2369" s="84"/>
      <c r="D2369" s="86"/>
      <c r="E2369" s="84"/>
      <c r="F2369" s="284"/>
      <c r="G2369" s="49"/>
      <c r="H2369" s="284"/>
      <c r="I2369" s="74"/>
      <c r="J2369" s="371"/>
      <c r="K2369" s="77"/>
      <c r="L2369" s="160"/>
      <c r="M2369" s="388"/>
      <c r="N2369" s="375"/>
      <c r="W2369" s="113"/>
      <c r="X2369" s="241"/>
      <c r="Y2369" s="284"/>
      <c r="Z2369" s="207"/>
      <c r="AA2369" s="284"/>
      <c r="AB2369" s="284"/>
      <c r="AC2369" s="137"/>
      <c r="AD2369" s="284"/>
      <c r="AE2369" s="299"/>
      <c r="AF2369" s="299"/>
      <c r="AG2369" s="284"/>
    </row>
    <row r="2370" spans="2:33">
      <c r="B2370" s="86"/>
      <c r="C2370" s="84"/>
      <c r="D2370" s="86"/>
      <c r="E2370" s="84"/>
      <c r="F2370" s="284"/>
      <c r="G2370" s="49"/>
      <c r="H2370" s="284"/>
      <c r="I2370" s="74"/>
      <c r="J2370" s="371"/>
      <c r="K2370" s="77"/>
      <c r="L2370" s="160"/>
      <c r="M2370" s="388"/>
      <c r="N2370" s="375"/>
      <c r="W2370" s="113"/>
      <c r="X2370" s="241"/>
      <c r="Y2370" s="284"/>
      <c r="Z2370" s="207"/>
      <c r="AA2370" s="284"/>
      <c r="AB2370" s="284"/>
      <c r="AC2370" s="137"/>
      <c r="AD2370" s="284"/>
      <c r="AE2370" s="299"/>
      <c r="AF2370" s="299"/>
      <c r="AG2370" s="284"/>
    </row>
    <row r="2371" spans="2:33">
      <c r="B2371" s="86"/>
      <c r="C2371" s="84"/>
      <c r="D2371" s="86"/>
      <c r="E2371" s="84"/>
      <c r="F2371" s="284"/>
      <c r="G2371" s="49"/>
      <c r="H2371" s="284"/>
      <c r="I2371" s="74"/>
      <c r="J2371" s="371"/>
      <c r="K2371" s="77"/>
      <c r="L2371" s="160"/>
      <c r="M2371" s="388"/>
      <c r="N2371" s="375"/>
      <c r="W2371" s="113"/>
      <c r="X2371" s="241"/>
      <c r="Y2371" s="284"/>
      <c r="Z2371" s="207"/>
      <c r="AA2371" s="284"/>
      <c r="AB2371" s="284"/>
      <c r="AC2371" s="137"/>
      <c r="AD2371" s="284"/>
      <c r="AE2371" s="299"/>
      <c r="AF2371" s="299"/>
      <c r="AG2371" s="284"/>
    </row>
    <row r="2372" spans="2:33">
      <c r="B2372" s="86"/>
      <c r="C2372" s="84"/>
      <c r="D2372" s="86"/>
      <c r="E2372" s="84"/>
      <c r="F2372" s="284"/>
      <c r="G2372" s="49"/>
      <c r="H2372" s="284"/>
      <c r="I2372" s="74"/>
      <c r="J2372" s="371"/>
      <c r="K2372" s="77"/>
      <c r="L2372" s="160"/>
      <c r="M2372" s="388"/>
      <c r="N2372" s="375"/>
      <c r="W2372" s="113"/>
      <c r="X2372" s="241"/>
      <c r="Y2372" s="284"/>
      <c r="Z2372" s="207"/>
      <c r="AA2372" s="284"/>
      <c r="AB2372" s="284"/>
      <c r="AC2372" s="137"/>
      <c r="AD2372" s="284"/>
      <c r="AE2372" s="299"/>
      <c r="AF2372" s="299"/>
      <c r="AG2372" s="284"/>
    </row>
    <row r="2373" spans="2:33">
      <c r="B2373" s="86"/>
      <c r="C2373" s="84"/>
      <c r="D2373" s="86"/>
      <c r="E2373" s="84"/>
      <c r="F2373" s="284"/>
      <c r="G2373" s="49"/>
      <c r="H2373" s="284"/>
      <c r="I2373" s="74"/>
      <c r="J2373" s="371"/>
      <c r="K2373" s="77"/>
      <c r="L2373" s="160"/>
      <c r="M2373" s="388"/>
      <c r="N2373" s="375"/>
      <c r="W2373" s="113"/>
      <c r="X2373" s="241"/>
      <c r="Y2373" s="284"/>
      <c r="Z2373" s="207"/>
      <c r="AA2373" s="284"/>
      <c r="AB2373" s="284"/>
      <c r="AC2373" s="137"/>
      <c r="AD2373" s="284"/>
      <c r="AE2373" s="299"/>
      <c r="AF2373" s="299"/>
      <c r="AG2373" s="284"/>
    </row>
    <row r="2374" spans="2:33">
      <c r="B2374" s="86"/>
      <c r="C2374" s="84"/>
      <c r="D2374" s="86"/>
      <c r="E2374" s="84"/>
      <c r="F2374" s="284"/>
      <c r="G2374" s="49"/>
      <c r="H2374" s="284"/>
      <c r="I2374" s="74"/>
      <c r="J2374" s="371"/>
      <c r="K2374" s="77"/>
      <c r="L2374" s="160"/>
      <c r="M2374" s="388"/>
      <c r="N2374" s="375"/>
      <c r="W2374" s="113"/>
      <c r="X2374" s="241"/>
      <c r="Y2374" s="284"/>
      <c r="Z2374" s="207"/>
      <c r="AA2374" s="284"/>
      <c r="AB2374" s="284"/>
      <c r="AC2374" s="137"/>
      <c r="AD2374" s="284"/>
      <c r="AE2374" s="299"/>
      <c r="AF2374" s="299"/>
      <c r="AG2374" s="284"/>
    </row>
    <row r="2375" spans="2:33">
      <c r="B2375" s="86"/>
      <c r="C2375" s="84"/>
      <c r="D2375" s="86"/>
      <c r="E2375" s="84"/>
      <c r="F2375" s="284"/>
      <c r="G2375" s="49"/>
      <c r="H2375" s="284"/>
      <c r="I2375" s="74"/>
      <c r="J2375" s="371"/>
      <c r="K2375" s="77"/>
      <c r="L2375" s="160"/>
      <c r="M2375" s="388"/>
      <c r="N2375" s="375"/>
      <c r="W2375" s="113"/>
      <c r="X2375" s="241"/>
      <c r="Y2375" s="284"/>
      <c r="Z2375" s="207"/>
      <c r="AA2375" s="284"/>
      <c r="AB2375" s="284"/>
      <c r="AC2375" s="137"/>
      <c r="AD2375" s="284"/>
      <c r="AE2375" s="299"/>
      <c r="AF2375" s="299"/>
      <c r="AG2375" s="284"/>
    </row>
    <row r="2376" spans="2:33">
      <c r="B2376" s="86"/>
      <c r="C2376" s="84"/>
      <c r="D2376" s="86"/>
      <c r="E2376" s="84"/>
      <c r="F2376" s="284"/>
      <c r="G2376" s="49"/>
      <c r="H2376" s="284"/>
      <c r="I2376" s="74"/>
      <c r="J2376" s="371"/>
      <c r="K2376" s="77"/>
      <c r="L2376" s="160"/>
      <c r="M2376" s="388"/>
      <c r="N2376" s="375"/>
      <c r="W2376" s="113"/>
      <c r="X2376" s="241"/>
      <c r="Y2376" s="284"/>
      <c r="Z2376" s="207"/>
      <c r="AA2376" s="284"/>
      <c r="AB2376" s="284"/>
      <c r="AC2376" s="137"/>
      <c r="AD2376" s="284"/>
      <c r="AE2376" s="299"/>
      <c r="AF2376" s="299"/>
      <c r="AG2376" s="284"/>
    </row>
    <row r="2377" spans="2:33">
      <c r="B2377" s="86"/>
      <c r="C2377" s="84"/>
      <c r="D2377" s="86"/>
      <c r="E2377" s="84"/>
      <c r="F2377" s="284"/>
      <c r="G2377" s="49"/>
      <c r="H2377" s="284"/>
      <c r="I2377" s="74"/>
      <c r="J2377" s="371"/>
      <c r="K2377" s="77"/>
      <c r="L2377" s="160"/>
      <c r="M2377" s="388"/>
      <c r="N2377" s="375"/>
      <c r="W2377" s="113"/>
      <c r="X2377" s="241"/>
      <c r="Y2377" s="284"/>
      <c r="Z2377" s="207"/>
      <c r="AA2377" s="284"/>
      <c r="AB2377" s="284"/>
      <c r="AC2377" s="137"/>
      <c r="AD2377" s="284"/>
      <c r="AE2377" s="299"/>
      <c r="AF2377" s="299"/>
      <c r="AG2377" s="284"/>
    </row>
    <row r="2378" spans="2:33">
      <c r="B2378" s="86"/>
      <c r="C2378" s="84"/>
      <c r="D2378" s="86"/>
      <c r="E2378" s="84"/>
      <c r="F2378" s="284"/>
      <c r="G2378" s="49"/>
      <c r="H2378" s="284"/>
      <c r="I2378" s="74"/>
      <c r="J2378" s="371"/>
      <c r="K2378" s="77"/>
      <c r="L2378" s="160"/>
      <c r="M2378" s="388"/>
      <c r="N2378" s="375"/>
      <c r="W2378" s="113"/>
      <c r="X2378" s="241"/>
      <c r="Y2378" s="284"/>
      <c r="Z2378" s="207"/>
      <c r="AA2378" s="284"/>
      <c r="AB2378" s="284"/>
      <c r="AC2378" s="137"/>
      <c r="AD2378" s="284"/>
      <c r="AE2378" s="299"/>
      <c r="AF2378" s="299"/>
      <c r="AG2378" s="284"/>
    </row>
    <row r="2379" spans="2:33">
      <c r="B2379" s="86"/>
      <c r="C2379" s="84"/>
      <c r="D2379" s="86"/>
      <c r="E2379" s="84"/>
      <c r="F2379" s="284"/>
      <c r="G2379" s="49"/>
      <c r="H2379" s="284"/>
      <c r="I2379" s="74"/>
      <c r="J2379" s="371"/>
      <c r="K2379" s="77"/>
      <c r="L2379" s="160"/>
      <c r="M2379" s="388"/>
      <c r="N2379" s="375"/>
      <c r="W2379" s="113"/>
      <c r="X2379" s="241"/>
      <c r="Y2379" s="284"/>
      <c r="Z2379" s="207"/>
      <c r="AA2379" s="284"/>
      <c r="AB2379" s="284"/>
      <c r="AC2379" s="137"/>
      <c r="AD2379" s="284"/>
      <c r="AE2379" s="299"/>
      <c r="AF2379" s="299"/>
      <c r="AG2379" s="284"/>
    </row>
    <row r="2380" spans="2:33">
      <c r="B2380" s="86"/>
      <c r="C2380" s="84"/>
      <c r="D2380" s="86"/>
      <c r="E2380" s="84"/>
      <c r="F2380" s="284"/>
      <c r="G2380" s="49"/>
      <c r="H2380" s="284"/>
      <c r="I2380" s="74"/>
      <c r="J2380" s="371"/>
      <c r="K2380" s="77"/>
      <c r="L2380" s="160"/>
      <c r="M2380" s="388"/>
      <c r="N2380" s="375"/>
      <c r="W2380" s="113"/>
      <c r="X2380" s="241"/>
      <c r="Y2380" s="284"/>
      <c r="Z2380" s="207"/>
      <c r="AA2380" s="284"/>
      <c r="AB2380" s="284"/>
      <c r="AC2380" s="137"/>
      <c r="AD2380" s="284"/>
      <c r="AE2380" s="299"/>
      <c r="AF2380" s="299"/>
      <c r="AG2380" s="284"/>
    </row>
    <row r="2381" spans="2:33">
      <c r="B2381" s="86"/>
      <c r="C2381" s="84"/>
      <c r="D2381" s="86"/>
      <c r="E2381" s="84"/>
      <c r="F2381" s="284"/>
      <c r="G2381" s="49"/>
      <c r="H2381" s="284"/>
      <c r="I2381" s="74"/>
      <c r="J2381" s="371"/>
      <c r="K2381" s="77"/>
      <c r="L2381" s="160"/>
      <c r="M2381" s="388"/>
      <c r="N2381" s="375"/>
      <c r="W2381" s="113"/>
      <c r="X2381" s="241"/>
      <c r="Y2381" s="284"/>
      <c r="Z2381" s="207"/>
      <c r="AA2381" s="284"/>
      <c r="AB2381" s="284"/>
      <c r="AC2381" s="137"/>
      <c r="AD2381" s="284"/>
      <c r="AE2381" s="299"/>
      <c r="AF2381" s="299"/>
      <c r="AG2381" s="284"/>
    </row>
    <row r="2382" spans="2:33">
      <c r="B2382" s="86"/>
      <c r="C2382" s="84"/>
      <c r="D2382" s="86"/>
      <c r="E2382" s="84"/>
      <c r="F2382" s="284"/>
      <c r="G2382" s="49"/>
      <c r="H2382" s="284"/>
      <c r="I2382" s="74"/>
      <c r="J2382" s="371"/>
      <c r="K2382" s="77"/>
      <c r="L2382" s="160"/>
      <c r="M2382" s="388"/>
      <c r="N2382" s="375"/>
      <c r="W2382" s="113"/>
      <c r="X2382" s="241"/>
      <c r="Y2382" s="284"/>
      <c r="Z2382" s="207"/>
      <c r="AA2382" s="284"/>
      <c r="AB2382" s="284"/>
      <c r="AC2382" s="137"/>
      <c r="AD2382" s="284"/>
      <c r="AE2382" s="299"/>
      <c r="AF2382" s="299"/>
      <c r="AG2382" s="284"/>
    </row>
    <row r="2383" spans="2:33">
      <c r="B2383" s="86"/>
      <c r="C2383" s="84"/>
      <c r="D2383" s="86"/>
      <c r="E2383" s="84"/>
      <c r="F2383" s="284"/>
      <c r="G2383" s="49"/>
      <c r="H2383" s="284"/>
      <c r="I2383" s="74"/>
      <c r="J2383" s="371"/>
      <c r="K2383" s="77"/>
      <c r="L2383" s="160"/>
      <c r="M2383" s="388"/>
      <c r="N2383" s="375"/>
      <c r="W2383" s="113"/>
      <c r="X2383" s="241"/>
      <c r="Y2383" s="284"/>
      <c r="Z2383" s="207"/>
      <c r="AA2383" s="284"/>
      <c r="AB2383" s="284"/>
      <c r="AC2383" s="137"/>
      <c r="AD2383" s="284"/>
      <c r="AE2383" s="299"/>
      <c r="AF2383" s="299"/>
      <c r="AG2383" s="284"/>
    </row>
    <row r="2384" spans="2:33">
      <c r="B2384" s="86"/>
      <c r="C2384" s="84"/>
      <c r="D2384" s="86"/>
      <c r="E2384" s="84"/>
      <c r="F2384" s="284"/>
      <c r="G2384" s="49"/>
      <c r="H2384" s="284"/>
      <c r="I2384" s="74"/>
      <c r="J2384" s="371"/>
      <c r="K2384" s="77"/>
      <c r="L2384" s="160"/>
      <c r="M2384" s="388"/>
      <c r="N2384" s="375"/>
      <c r="W2384" s="113"/>
      <c r="X2384" s="241"/>
      <c r="Y2384" s="284"/>
      <c r="Z2384" s="207"/>
      <c r="AA2384" s="284"/>
      <c r="AB2384" s="284"/>
      <c r="AC2384" s="137"/>
      <c r="AD2384" s="284"/>
      <c r="AE2384" s="299"/>
      <c r="AF2384" s="299"/>
      <c r="AG2384" s="284"/>
    </row>
    <row r="2385" spans="2:33">
      <c r="B2385" s="86"/>
      <c r="C2385" s="84"/>
      <c r="D2385" s="86"/>
      <c r="E2385" s="84"/>
      <c r="F2385" s="284"/>
      <c r="G2385" s="49"/>
      <c r="H2385" s="284"/>
      <c r="I2385" s="74"/>
      <c r="J2385" s="371"/>
      <c r="K2385" s="77"/>
      <c r="L2385" s="160"/>
      <c r="M2385" s="388"/>
      <c r="N2385" s="375"/>
      <c r="W2385" s="113"/>
      <c r="X2385" s="241"/>
      <c r="Y2385" s="284"/>
      <c r="Z2385" s="207"/>
      <c r="AA2385" s="284"/>
      <c r="AB2385" s="284"/>
      <c r="AC2385" s="137"/>
      <c r="AD2385" s="284"/>
      <c r="AE2385" s="299"/>
      <c r="AF2385" s="299"/>
      <c r="AG2385" s="284"/>
    </row>
    <row r="2386" spans="2:33">
      <c r="B2386" s="86"/>
      <c r="C2386" s="84"/>
      <c r="D2386" s="86"/>
      <c r="E2386" s="84"/>
      <c r="F2386" s="284"/>
      <c r="G2386" s="49"/>
      <c r="H2386" s="284"/>
      <c r="I2386" s="74"/>
      <c r="J2386" s="371"/>
      <c r="K2386" s="77"/>
      <c r="L2386" s="160"/>
      <c r="M2386" s="388"/>
      <c r="N2386" s="375"/>
      <c r="W2386" s="113"/>
      <c r="X2386" s="241"/>
      <c r="Y2386" s="284"/>
      <c r="Z2386" s="207"/>
      <c r="AA2386" s="284"/>
      <c r="AB2386" s="284"/>
      <c r="AC2386" s="137"/>
      <c r="AD2386" s="284"/>
      <c r="AE2386" s="299"/>
      <c r="AF2386" s="299"/>
      <c r="AG2386" s="284"/>
    </row>
    <row r="2387" spans="2:33">
      <c r="B2387" s="86"/>
      <c r="C2387" s="84"/>
      <c r="D2387" s="86"/>
      <c r="E2387" s="84"/>
      <c r="F2387" s="284"/>
      <c r="G2387" s="49"/>
      <c r="H2387" s="284"/>
      <c r="I2387" s="74"/>
      <c r="J2387" s="371"/>
      <c r="K2387" s="77"/>
      <c r="L2387" s="160"/>
      <c r="M2387" s="388"/>
      <c r="N2387" s="375"/>
      <c r="W2387" s="113"/>
      <c r="X2387" s="241"/>
      <c r="Y2387" s="284"/>
      <c r="Z2387" s="207"/>
      <c r="AA2387" s="284"/>
      <c r="AB2387" s="284"/>
      <c r="AC2387" s="137"/>
      <c r="AD2387" s="284"/>
      <c r="AE2387" s="299"/>
      <c r="AF2387" s="299"/>
      <c r="AG2387" s="284"/>
    </row>
    <row r="2388" spans="2:33">
      <c r="B2388" s="86"/>
      <c r="C2388" s="84"/>
      <c r="D2388" s="86"/>
      <c r="E2388" s="84"/>
      <c r="F2388" s="284"/>
      <c r="G2388" s="49"/>
      <c r="H2388" s="284"/>
      <c r="I2388" s="74"/>
      <c r="J2388" s="371"/>
      <c r="K2388" s="77"/>
      <c r="L2388" s="160"/>
      <c r="M2388" s="388"/>
      <c r="N2388" s="375"/>
      <c r="W2388" s="113"/>
      <c r="X2388" s="241"/>
      <c r="Y2388" s="284"/>
      <c r="Z2388" s="207"/>
      <c r="AA2388" s="284"/>
      <c r="AB2388" s="284"/>
      <c r="AC2388" s="137"/>
      <c r="AD2388" s="284"/>
      <c r="AE2388" s="299"/>
      <c r="AF2388" s="299"/>
      <c r="AG2388" s="284"/>
    </row>
    <row r="2389" spans="2:33">
      <c r="B2389" s="86"/>
      <c r="C2389" s="84"/>
      <c r="D2389" s="86"/>
      <c r="E2389" s="84"/>
      <c r="F2389" s="284"/>
      <c r="G2389" s="49"/>
      <c r="H2389" s="284"/>
      <c r="I2389" s="74"/>
      <c r="J2389" s="371"/>
      <c r="K2389" s="77"/>
      <c r="L2389" s="160"/>
      <c r="M2389" s="388"/>
      <c r="N2389" s="375"/>
      <c r="W2389" s="113"/>
      <c r="X2389" s="241"/>
      <c r="Y2389" s="284"/>
      <c r="Z2389" s="207"/>
      <c r="AA2389" s="284"/>
      <c r="AB2389" s="284"/>
      <c r="AC2389" s="137"/>
      <c r="AD2389" s="284"/>
      <c r="AE2389" s="299"/>
      <c r="AF2389" s="299"/>
      <c r="AG2389" s="284"/>
    </row>
    <row r="2390" spans="2:33">
      <c r="B2390" s="86"/>
      <c r="C2390" s="84"/>
      <c r="D2390" s="86"/>
      <c r="E2390" s="84"/>
      <c r="F2390" s="284"/>
      <c r="G2390" s="49"/>
      <c r="H2390" s="284"/>
      <c r="I2390" s="74"/>
      <c r="J2390" s="371"/>
      <c r="K2390" s="77"/>
      <c r="L2390" s="160"/>
      <c r="M2390" s="388"/>
      <c r="N2390" s="375"/>
      <c r="W2390" s="113"/>
      <c r="X2390" s="241"/>
      <c r="Y2390" s="284"/>
      <c r="Z2390" s="207"/>
      <c r="AA2390" s="284"/>
      <c r="AB2390" s="284"/>
      <c r="AC2390" s="137"/>
      <c r="AD2390" s="284"/>
      <c r="AE2390" s="299"/>
      <c r="AF2390" s="299"/>
      <c r="AG2390" s="284"/>
    </row>
    <row r="2391" spans="2:33">
      <c r="B2391" s="86"/>
      <c r="C2391" s="84"/>
      <c r="D2391" s="86"/>
      <c r="E2391" s="84"/>
      <c r="F2391" s="284"/>
      <c r="G2391" s="49"/>
      <c r="H2391" s="284"/>
      <c r="I2391" s="74"/>
      <c r="J2391" s="371"/>
      <c r="K2391" s="77"/>
      <c r="L2391" s="160"/>
      <c r="M2391" s="388"/>
      <c r="N2391" s="375"/>
      <c r="W2391" s="113"/>
      <c r="X2391" s="241"/>
      <c r="Y2391" s="284"/>
      <c r="Z2391" s="207"/>
      <c r="AA2391" s="284"/>
      <c r="AB2391" s="284"/>
      <c r="AC2391" s="137"/>
      <c r="AD2391" s="284"/>
      <c r="AE2391" s="299"/>
      <c r="AF2391" s="299"/>
      <c r="AG2391" s="284"/>
    </row>
    <row r="2392" spans="2:33">
      <c r="B2392" s="86"/>
      <c r="C2392" s="84"/>
      <c r="D2392" s="86"/>
      <c r="E2392" s="84"/>
      <c r="F2392" s="284"/>
      <c r="G2392" s="49"/>
      <c r="H2392" s="284"/>
      <c r="I2392" s="74"/>
      <c r="J2392" s="371"/>
      <c r="K2392" s="77"/>
      <c r="L2392" s="160"/>
      <c r="M2392" s="388"/>
      <c r="N2392" s="375"/>
      <c r="W2392" s="113"/>
      <c r="X2392" s="241"/>
      <c r="Y2392" s="284"/>
      <c r="Z2392" s="207"/>
      <c r="AA2392" s="284"/>
      <c r="AB2392" s="284"/>
      <c r="AC2392" s="137"/>
      <c r="AD2392" s="284"/>
      <c r="AE2392" s="299"/>
      <c r="AF2392" s="299"/>
      <c r="AG2392" s="284"/>
    </row>
    <row r="2393" spans="2:33">
      <c r="B2393" s="86"/>
      <c r="C2393" s="84"/>
      <c r="D2393" s="86"/>
      <c r="E2393" s="84"/>
      <c r="F2393" s="284"/>
      <c r="G2393" s="49"/>
      <c r="H2393" s="284"/>
      <c r="I2393" s="74"/>
      <c r="J2393" s="371"/>
      <c r="K2393" s="77"/>
      <c r="L2393" s="160"/>
      <c r="M2393" s="388"/>
      <c r="N2393" s="375"/>
      <c r="W2393" s="113"/>
      <c r="X2393" s="241"/>
      <c r="Y2393" s="284"/>
      <c r="Z2393" s="207"/>
      <c r="AA2393" s="284"/>
      <c r="AB2393" s="284"/>
      <c r="AC2393" s="137"/>
      <c r="AD2393" s="284"/>
      <c r="AE2393" s="299"/>
      <c r="AF2393" s="299"/>
      <c r="AG2393" s="284"/>
    </row>
    <row r="2394" spans="2:33">
      <c r="B2394" s="86"/>
      <c r="C2394" s="84"/>
      <c r="D2394" s="86"/>
      <c r="E2394" s="84"/>
      <c r="F2394" s="284"/>
      <c r="G2394" s="49"/>
      <c r="H2394" s="284"/>
      <c r="I2394" s="74"/>
      <c r="J2394" s="371"/>
      <c r="K2394" s="77"/>
      <c r="L2394" s="160"/>
      <c r="M2394" s="388"/>
      <c r="N2394" s="375"/>
      <c r="W2394" s="113"/>
      <c r="X2394" s="241"/>
      <c r="Y2394" s="284"/>
      <c r="Z2394" s="207"/>
      <c r="AA2394" s="284"/>
      <c r="AB2394" s="284"/>
      <c r="AC2394" s="137"/>
      <c r="AD2394" s="284"/>
      <c r="AE2394" s="299"/>
      <c r="AF2394" s="299"/>
      <c r="AG2394" s="284"/>
    </row>
    <row r="2395" spans="2:33">
      <c r="B2395" s="86"/>
      <c r="C2395" s="84"/>
      <c r="D2395" s="86"/>
      <c r="E2395" s="84"/>
      <c r="F2395" s="284"/>
      <c r="G2395" s="49"/>
      <c r="H2395" s="284"/>
      <c r="I2395" s="74"/>
      <c r="J2395" s="371"/>
      <c r="K2395" s="77"/>
      <c r="L2395" s="160"/>
      <c r="M2395" s="388"/>
      <c r="N2395" s="375"/>
      <c r="W2395" s="113"/>
      <c r="X2395" s="241"/>
      <c r="Y2395" s="284"/>
      <c r="Z2395" s="207"/>
      <c r="AA2395" s="284"/>
      <c r="AB2395" s="284"/>
      <c r="AC2395" s="137"/>
      <c r="AD2395" s="284"/>
      <c r="AE2395" s="299"/>
      <c r="AF2395" s="299"/>
      <c r="AG2395" s="284"/>
    </row>
    <row r="2396" spans="2:33">
      <c r="B2396" s="86"/>
      <c r="C2396" s="84"/>
      <c r="D2396" s="86"/>
      <c r="E2396" s="84"/>
      <c r="F2396" s="284"/>
      <c r="G2396" s="49"/>
      <c r="H2396" s="284"/>
      <c r="I2396" s="74"/>
      <c r="J2396" s="371"/>
      <c r="K2396" s="77"/>
      <c r="L2396" s="160"/>
      <c r="M2396" s="388"/>
      <c r="N2396" s="375"/>
      <c r="W2396" s="113"/>
      <c r="X2396" s="241"/>
      <c r="Y2396" s="284"/>
      <c r="Z2396" s="207"/>
      <c r="AA2396" s="284"/>
      <c r="AB2396" s="284"/>
      <c r="AC2396" s="137"/>
      <c r="AD2396" s="284"/>
      <c r="AE2396" s="299"/>
      <c r="AF2396" s="299"/>
      <c r="AG2396" s="284"/>
    </row>
    <row r="2397" spans="2:33">
      <c r="B2397" s="86"/>
      <c r="C2397" s="84"/>
      <c r="D2397" s="86"/>
      <c r="E2397" s="84"/>
      <c r="F2397" s="284"/>
      <c r="G2397" s="49"/>
      <c r="H2397" s="284"/>
      <c r="I2397" s="74"/>
      <c r="J2397" s="371"/>
      <c r="K2397" s="77"/>
      <c r="L2397" s="160"/>
      <c r="M2397" s="388"/>
      <c r="N2397" s="375"/>
      <c r="W2397" s="113"/>
      <c r="X2397" s="241"/>
      <c r="Y2397" s="284"/>
      <c r="Z2397" s="207"/>
      <c r="AA2397" s="284"/>
      <c r="AB2397" s="284"/>
      <c r="AC2397" s="137"/>
      <c r="AD2397" s="284"/>
      <c r="AE2397" s="299"/>
      <c r="AF2397" s="299"/>
      <c r="AG2397" s="284"/>
    </row>
    <row r="2398" spans="2:33">
      <c r="B2398" s="86"/>
      <c r="C2398" s="84"/>
      <c r="D2398" s="86"/>
      <c r="E2398" s="84"/>
      <c r="F2398" s="284"/>
      <c r="G2398" s="49"/>
      <c r="H2398" s="284"/>
      <c r="I2398" s="74"/>
      <c r="J2398" s="371"/>
      <c r="K2398" s="77"/>
      <c r="L2398" s="160"/>
      <c r="M2398" s="388"/>
      <c r="N2398" s="375"/>
      <c r="W2398" s="113"/>
      <c r="X2398" s="241"/>
      <c r="Y2398" s="284"/>
      <c r="Z2398" s="207"/>
      <c r="AA2398" s="284"/>
      <c r="AB2398" s="284"/>
      <c r="AC2398" s="137"/>
      <c r="AD2398" s="284"/>
      <c r="AE2398" s="299"/>
      <c r="AF2398" s="299"/>
      <c r="AG2398" s="284"/>
    </row>
    <row r="2399" spans="2:33">
      <c r="B2399" s="86"/>
      <c r="C2399" s="84"/>
      <c r="D2399" s="86"/>
      <c r="E2399" s="84"/>
      <c r="F2399" s="284"/>
      <c r="G2399" s="49"/>
      <c r="H2399" s="284"/>
      <c r="I2399" s="74"/>
      <c r="J2399" s="371"/>
      <c r="K2399" s="77"/>
      <c r="L2399" s="160"/>
      <c r="M2399" s="388"/>
      <c r="N2399" s="375"/>
      <c r="W2399" s="113"/>
      <c r="X2399" s="241"/>
      <c r="Y2399" s="284"/>
      <c r="Z2399" s="207"/>
      <c r="AA2399" s="284"/>
      <c r="AB2399" s="284"/>
      <c r="AC2399" s="137"/>
      <c r="AD2399" s="284"/>
      <c r="AE2399" s="299"/>
      <c r="AF2399" s="299"/>
      <c r="AG2399" s="284"/>
    </row>
    <row r="2400" spans="2:33">
      <c r="B2400" s="86"/>
      <c r="C2400" s="84"/>
      <c r="D2400" s="86"/>
      <c r="E2400" s="84"/>
      <c r="F2400" s="284"/>
      <c r="G2400" s="49"/>
      <c r="H2400" s="284"/>
      <c r="I2400" s="74"/>
      <c r="J2400" s="371"/>
      <c r="K2400" s="77"/>
      <c r="L2400" s="160"/>
      <c r="M2400" s="388"/>
      <c r="N2400" s="375"/>
      <c r="W2400" s="113"/>
      <c r="X2400" s="241"/>
      <c r="Y2400" s="284"/>
      <c r="Z2400" s="207"/>
      <c r="AA2400" s="284"/>
      <c r="AB2400" s="284"/>
      <c r="AC2400" s="137"/>
      <c r="AD2400" s="284"/>
      <c r="AE2400" s="299"/>
      <c r="AF2400" s="299"/>
      <c r="AG2400" s="284"/>
    </row>
    <row r="2401" spans="2:33">
      <c r="B2401" s="86"/>
      <c r="C2401" s="84"/>
      <c r="D2401" s="86"/>
      <c r="E2401" s="84"/>
      <c r="F2401" s="284"/>
      <c r="G2401" s="49"/>
      <c r="H2401" s="284"/>
      <c r="I2401" s="74"/>
      <c r="J2401" s="371"/>
      <c r="K2401" s="77"/>
      <c r="L2401" s="160"/>
      <c r="M2401" s="388"/>
      <c r="N2401" s="375"/>
      <c r="W2401" s="113"/>
      <c r="X2401" s="241"/>
      <c r="Y2401" s="284"/>
      <c r="Z2401" s="207"/>
      <c r="AA2401" s="284"/>
      <c r="AB2401" s="284"/>
      <c r="AC2401" s="137"/>
      <c r="AD2401" s="284"/>
      <c r="AE2401" s="299"/>
      <c r="AF2401" s="299"/>
      <c r="AG2401" s="284"/>
    </row>
    <row r="2402" spans="2:33">
      <c r="B2402" s="86"/>
      <c r="C2402" s="84"/>
      <c r="D2402" s="86"/>
      <c r="E2402" s="84"/>
      <c r="F2402" s="284"/>
      <c r="G2402" s="49"/>
      <c r="H2402" s="284"/>
      <c r="I2402" s="74"/>
      <c r="J2402" s="371"/>
      <c r="K2402" s="77"/>
      <c r="L2402" s="160"/>
      <c r="M2402" s="388"/>
      <c r="N2402" s="375"/>
      <c r="W2402" s="113"/>
      <c r="X2402" s="241"/>
      <c r="Y2402" s="284"/>
      <c r="Z2402" s="207"/>
      <c r="AA2402" s="284"/>
      <c r="AB2402" s="284"/>
      <c r="AC2402" s="137"/>
      <c r="AD2402" s="284"/>
      <c r="AE2402" s="299"/>
      <c r="AF2402" s="299"/>
      <c r="AG2402" s="284"/>
    </row>
    <row r="2403" spans="2:33">
      <c r="B2403" s="86"/>
      <c r="C2403" s="84"/>
      <c r="D2403" s="86"/>
      <c r="E2403" s="84"/>
      <c r="F2403" s="284"/>
      <c r="G2403" s="49"/>
      <c r="H2403" s="284"/>
      <c r="I2403" s="74"/>
      <c r="J2403" s="371"/>
      <c r="K2403" s="77"/>
      <c r="L2403" s="160"/>
      <c r="M2403" s="388"/>
      <c r="N2403" s="375"/>
      <c r="W2403" s="113"/>
      <c r="X2403" s="241"/>
      <c r="Y2403" s="284"/>
      <c r="Z2403" s="207"/>
      <c r="AA2403" s="284"/>
      <c r="AB2403" s="284"/>
      <c r="AC2403" s="137"/>
      <c r="AD2403" s="284"/>
      <c r="AE2403" s="299"/>
      <c r="AF2403" s="299"/>
      <c r="AG2403" s="284"/>
    </row>
    <row r="2404" spans="2:33">
      <c r="B2404" s="86"/>
      <c r="C2404" s="84"/>
      <c r="D2404" s="86"/>
      <c r="E2404" s="84"/>
      <c r="F2404" s="284"/>
      <c r="G2404" s="49"/>
      <c r="H2404" s="284"/>
      <c r="I2404" s="74"/>
      <c r="J2404" s="371"/>
      <c r="K2404" s="77"/>
      <c r="L2404" s="160"/>
      <c r="M2404" s="388"/>
      <c r="N2404" s="375"/>
      <c r="W2404" s="113"/>
      <c r="X2404" s="241"/>
      <c r="Y2404" s="284"/>
      <c r="Z2404" s="207"/>
      <c r="AA2404" s="284"/>
      <c r="AB2404" s="284"/>
      <c r="AC2404" s="137"/>
      <c r="AD2404" s="284"/>
      <c r="AE2404" s="299"/>
      <c r="AF2404" s="299"/>
      <c r="AG2404" s="284"/>
    </row>
    <row r="2405" spans="2:33">
      <c r="B2405" s="86"/>
      <c r="C2405" s="84"/>
      <c r="D2405" s="86"/>
      <c r="E2405" s="84"/>
      <c r="F2405" s="284"/>
      <c r="G2405" s="49"/>
      <c r="H2405" s="284"/>
      <c r="I2405" s="74"/>
      <c r="J2405" s="371"/>
      <c r="K2405" s="77"/>
      <c r="L2405" s="160"/>
      <c r="M2405" s="388"/>
      <c r="N2405" s="375"/>
      <c r="W2405" s="113"/>
      <c r="X2405" s="241"/>
      <c r="Y2405" s="284"/>
      <c r="Z2405" s="207"/>
      <c r="AA2405" s="284"/>
      <c r="AB2405" s="284"/>
      <c r="AC2405" s="137"/>
      <c r="AD2405" s="284"/>
      <c r="AE2405" s="299"/>
      <c r="AF2405" s="299"/>
      <c r="AG2405" s="284"/>
    </row>
    <row r="2406" spans="2:33">
      <c r="B2406" s="86"/>
      <c r="C2406" s="84"/>
      <c r="D2406" s="86"/>
      <c r="E2406" s="84"/>
      <c r="F2406" s="284"/>
      <c r="G2406" s="49"/>
      <c r="H2406" s="284"/>
      <c r="I2406" s="74"/>
      <c r="J2406" s="371"/>
      <c r="K2406" s="77"/>
      <c r="L2406" s="160"/>
      <c r="M2406" s="388"/>
      <c r="N2406" s="375"/>
      <c r="W2406" s="113"/>
      <c r="X2406" s="241"/>
      <c r="Y2406" s="284"/>
      <c r="Z2406" s="207"/>
      <c r="AA2406" s="284"/>
      <c r="AB2406" s="284"/>
      <c r="AC2406" s="137"/>
      <c r="AD2406" s="284"/>
      <c r="AE2406" s="299"/>
      <c r="AF2406" s="299"/>
      <c r="AG2406" s="284"/>
    </row>
    <row r="2407" spans="2:33">
      <c r="B2407" s="86"/>
      <c r="C2407" s="84"/>
      <c r="D2407" s="86"/>
      <c r="E2407" s="84"/>
      <c r="F2407" s="284"/>
      <c r="G2407" s="49"/>
      <c r="H2407" s="284"/>
      <c r="I2407" s="74"/>
      <c r="J2407" s="371"/>
      <c r="K2407" s="77"/>
      <c r="L2407" s="160"/>
      <c r="M2407" s="388"/>
      <c r="N2407" s="375"/>
      <c r="W2407" s="113"/>
      <c r="X2407" s="241"/>
      <c r="Y2407" s="284"/>
      <c r="Z2407" s="207"/>
      <c r="AA2407" s="284"/>
      <c r="AB2407" s="284"/>
      <c r="AC2407" s="137"/>
      <c r="AD2407" s="284"/>
      <c r="AE2407" s="299"/>
      <c r="AF2407" s="299"/>
      <c r="AG2407" s="284"/>
    </row>
    <row r="2408" spans="2:33">
      <c r="B2408" s="86"/>
      <c r="C2408" s="84"/>
      <c r="D2408" s="86"/>
      <c r="E2408" s="84"/>
      <c r="F2408" s="284"/>
      <c r="G2408" s="49"/>
      <c r="H2408" s="284"/>
      <c r="I2408" s="74"/>
      <c r="J2408" s="371"/>
      <c r="K2408" s="77"/>
      <c r="L2408" s="160"/>
      <c r="M2408" s="388"/>
      <c r="N2408" s="375"/>
      <c r="W2408" s="113"/>
      <c r="X2408" s="241"/>
      <c r="Y2408" s="284"/>
      <c r="Z2408" s="207"/>
      <c r="AA2408" s="284"/>
      <c r="AB2408" s="284"/>
      <c r="AC2408" s="137"/>
      <c r="AD2408" s="284"/>
      <c r="AE2408" s="299"/>
      <c r="AF2408" s="299"/>
      <c r="AG2408" s="284"/>
    </row>
    <row r="2409" spans="2:33">
      <c r="B2409" s="86"/>
      <c r="C2409" s="84"/>
      <c r="D2409" s="86"/>
      <c r="E2409" s="84"/>
      <c r="F2409" s="284"/>
      <c r="G2409" s="49"/>
      <c r="H2409" s="284"/>
      <c r="I2409" s="74"/>
      <c r="J2409" s="371"/>
      <c r="K2409" s="77"/>
      <c r="L2409" s="160"/>
      <c r="M2409" s="388"/>
      <c r="N2409" s="375"/>
      <c r="W2409" s="113"/>
      <c r="X2409" s="241"/>
      <c r="Y2409" s="284"/>
      <c r="Z2409" s="207"/>
      <c r="AA2409" s="284"/>
      <c r="AB2409" s="284"/>
      <c r="AC2409" s="137"/>
      <c r="AD2409" s="284"/>
      <c r="AE2409" s="299"/>
      <c r="AF2409" s="299"/>
      <c r="AG2409" s="284"/>
    </row>
    <row r="2410" spans="2:33">
      <c r="B2410" s="86"/>
      <c r="C2410" s="84"/>
      <c r="D2410" s="86"/>
      <c r="E2410" s="84"/>
      <c r="F2410" s="284"/>
      <c r="G2410" s="49"/>
      <c r="H2410" s="284"/>
      <c r="I2410" s="74"/>
      <c r="J2410" s="371"/>
      <c r="K2410" s="77"/>
      <c r="L2410" s="160"/>
      <c r="M2410" s="388"/>
      <c r="N2410" s="375"/>
      <c r="W2410" s="113"/>
      <c r="X2410" s="241"/>
      <c r="Y2410" s="284"/>
      <c r="Z2410" s="207"/>
      <c r="AA2410" s="284"/>
      <c r="AB2410" s="284"/>
      <c r="AC2410" s="137"/>
      <c r="AD2410" s="284"/>
      <c r="AE2410" s="299"/>
      <c r="AF2410" s="299"/>
      <c r="AG2410" s="284"/>
    </row>
    <row r="2411" spans="2:33">
      <c r="B2411" s="86"/>
      <c r="C2411" s="84"/>
      <c r="D2411" s="86"/>
      <c r="E2411" s="84"/>
      <c r="F2411" s="284"/>
      <c r="G2411" s="49"/>
      <c r="H2411" s="284"/>
      <c r="I2411" s="74"/>
      <c r="J2411" s="371"/>
      <c r="K2411" s="77"/>
      <c r="L2411" s="160"/>
      <c r="M2411" s="388"/>
      <c r="N2411" s="375"/>
      <c r="W2411" s="113"/>
      <c r="X2411" s="241"/>
      <c r="Y2411" s="284"/>
      <c r="Z2411" s="207"/>
      <c r="AA2411" s="284"/>
      <c r="AB2411" s="284"/>
      <c r="AC2411" s="137"/>
      <c r="AD2411" s="284"/>
      <c r="AE2411" s="299"/>
      <c r="AF2411" s="299"/>
      <c r="AG2411" s="284"/>
    </row>
    <row r="2412" spans="2:33">
      <c r="B2412" s="86"/>
      <c r="C2412" s="84"/>
      <c r="D2412" s="86"/>
      <c r="E2412" s="84"/>
      <c r="F2412" s="284"/>
      <c r="G2412" s="49"/>
      <c r="H2412" s="284"/>
      <c r="I2412" s="74"/>
      <c r="J2412" s="371"/>
      <c r="K2412" s="77"/>
      <c r="L2412" s="160"/>
      <c r="M2412" s="388"/>
      <c r="N2412" s="375"/>
      <c r="W2412" s="113"/>
      <c r="X2412" s="241"/>
      <c r="Y2412" s="284"/>
      <c r="Z2412" s="207"/>
      <c r="AA2412" s="284"/>
      <c r="AB2412" s="284"/>
      <c r="AC2412" s="137"/>
      <c r="AD2412" s="284"/>
      <c r="AE2412" s="299"/>
      <c r="AF2412" s="299"/>
      <c r="AG2412" s="284"/>
    </row>
    <row r="2413" spans="2:33">
      <c r="B2413" s="86"/>
      <c r="C2413" s="84"/>
      <c r="D2413" s="86"/>
      <c r="E2413" s="84"/>
      <c r="F2413" s="284"/>
      <c r="G2413" s="49"/>
      <c r="H2413" s="284"/>
      <c r="I2413" s="74"/>
      <c r="J2413" s="371"/>
      <c r="K2413" s="77"/>
      <c r="L2413" s="160"/>
      <c r="M2413" s="388"/>
      <c r="N2413" s="375"/>
      <c r="W2413" s="113"/>
      <c r="X2413" s="241"/>
      <c r="Y2413" s="284"/>
      <c r="Z2413" s="207"/>
      <c r="AA2413" s="284"/>
      <c r="AB2413" s="284"/>
      <c r="AC2413" s="137"/>
      <c r="AD2413" s="284"/>
      <c r="AE2413" s="299"/>
      <c r="AF2413" s="299"/>
      <c r="AG2413" s="284"/>
    </row>
    <row r="2414" spans="2:33">
      <c r="B2414" s="86"/>
      <c r="C2414" s="84"/>
      <c r="D2414" s="86"/>
      <c r="E2414" s="84"/>
      <c r="F2414" s="284"/>
      <c r="G2414" s="49"/>
      <c r="H2414" s="284"/>
      <c r="I2414" s="74"/>
      <c r="J2414" s="371"/>
      <c r="K2414" s="77"/>
      <c r="L2414" s="160"/>
      <c r="M2414" s="388"/>
      <c r="N2414" s="375"/>
      <c r="W2414" s="113"/>
      <c r="X2414" s="241"/>
      <c r="Y2414" s="284"/>
      <c r="Z2414" s="207"/>
      <c r="AA2414" s="284"/>
      <c r="AB2414" s="284"/>
      <c r="AC2414" s="137"/>
      <c r="AD2414" s="284"/>
      <c r="AE2414" s="299"/>
      <c r="AF2414" s="299"/>
      <c r="AG2414" s="284"/>
    </row>
    <row r="2415" spans="2:33">
      <c r="B2415" s="86"/>
      <c r="C2415" s="84"/>
      <c r="D2415" s="86"/>
      <c r="E2415" s="84"/>
      <c r="F2415" s="284"/>
      <c r="G2415" s="49"/>
      <c r="H2415" s="284"/>
      <c r="I2415" s="74"/>
      <c r="J2415" s="371"/>
      <c r="K2415" s="77"/>
      <c r="L2415" s="160"/>
      <c r="M2415" s="388"/>
      <c r="N2415" s="375"/>
      <c r="W2415" s="113"/>
      <c r="X2415" s="241"/>
      <c r="Y2415" s="284"/>
      <c r="Z2415" s="207"/>
      <c r="AA2415" s="284"/>
      <c r="AB2415" s="284"/>
      <c r="AC2415" s="137"/>
      <c r="AD2415" s="284"/>
      <c r="AE2415" s="299"/>
      <c r="AF2415" s="299"/>
      <c r="AG2415" s="284"/>
    </row>
    <row r="2416" spans="2:33">
      <c r="B2416" s="86"/>
      <c r="C2416" s="84"/>
      <c r="D2416" s="86"/>
      <c r="E2416" s="84"/>
      <c r="F2416" s="284"/>
      <c r="G2416" s="49"/>
      <c r="H2416" s="284"/>
      <c r="I2416" s="74"/>
      <c r="J2416" s="371"/>
      <c r="K2416" s="77"/>
      <c r="L2416" s="160"/>
      <c r="M2416" s="388"/>
      <c r="N2416" s="375"/>
      <c r="W2416" s="113"/>
      <c r="X2416" s="241"/>
      <c r="Y2416" s="284"/>
      <c r="Z2416" s="207"/>
      <c r="AA2416" s="284"/>
      <c r="AB2416" s="284"/>
      <c r="AC2416" s="137"/>
      <c r="AD2416" s="284"/>
      <c r="AE2416" s="299"/>
      <c r="AF2416" s="299"/>
      <c r="AG2416" s="284"/>
    </row>
    <row r="2417" spans="2:33">
      <c r="B2417" s="86"/>
      <c r="C2417" s="84"/>
      <c r="D2417" s="86"/>
      <c r="E2417" s="84"/>
      <c r="F2417" s="284"/>
      <c r="G2417" s="49"/>
      <c r="H2417" s="284"/>
      <c r="I2417" s="74"/>
      <c r="J2417" s="371"/>
      <c r="K2417" s="77"/>
      <c r="L2417" s="160"/>
      <c r="M2417" s="388"/>
      <c r="N2417" s="375"/>
      <c r="W2417" s="113"/>
      <c r="X2417" s="241"/>
      <c r="Y2417" s="284"/>
      <c r="Z2417" s="207"/>
      <c r="AA2417" s="284"/>
      <c r="AB2417" s="284"/>
      <c r="AC2417" s="137"/>
      <c r="AD2417" s="284"/>
      <c r="AE2417" s="299"/>
      <c r="AF2417" s="299"/>
      <c r="AG2417" s="284"/>
    </row>
    <row r="2432" spans="2:33">
      <c r="B2432" s="284"/>
      <c r="C2432" s="284"/>
      <c r="D2432" s="284"/>
      <c r="E2432" s="284"/>
      <c r="F2432" s="284"/>
      <c r="G2432" s="284"/>
      <c r="H2432" s="284"/>
      <c r="I2432" s="284"/>
      <c r="J2432" s="375"/>
      <c r="K2432" s="375"/>
      <c r="L2432" s="375"/>
      <c r="M2432" s="368"/>
      <c r="N2432" s="375"/>
      <c r="V2432" s="378"/>
      <c r="W2432" s="113"/>
      <c r="X2432" s="241"/>
      <c r="Y2432" s="284"/>
      <c r="Z2432" s="207"/>
      <c r="AA2432" s="284"/>
      <c r="AB2432" s="284"/>
      <c r="AC2432" s="137"/>
      <c r="AD2432" s="284"/>
      <c r="AE2432" s="284"/>
      <c r="AF2432" s="284"/>
      <c r="AG2432" s="284"/>
    </row>
    <row r="2456" spans="2:33">
      <c r="B2456" s="284"/>
      <c r="C2456" s="284"/>
      <c r="D2456" s="284"/>
      <c r="E2456" s="284"/>
      <c r="F2456" s="284"/>
      <c r="G2456" s="284"/>
      <c r="H2456" s="284"/>
      <c r="I2456" s="284"/>
      <c r="J2456" s="375"/>
      <c r="K2456" s="375"/>
      <c r="L2456" s="375"/>
      <c r="M2456" s="368"/>
      <c r="N2456" s="375"/>
      <c r="V2456" s="378"/>
      <c r="W2456" s="113"/>
      <c r="X2456" s="241"/>
      <c r="Y2456" s="284"/>
      <c r="Z2456" s="207"/>
      <c r="AA2456" s="284"/>
      <c r="AB2456" s="284"/>
      <c r="AC2456" s="137"/>
      <c r="AD2456" s="284"/>
      <c r="AE2456" s="284"/>
      <c r="AF2456" s="284"/>
      <c r="AG2456" s="284"/>
    </row>
    <row r="2465" spans="2:33">
      <c r="B2465" s="284"/>
      <c r="C2465" s="284"/>
      <c r="D2465" s="284"/>
      <c r="E2465" s="284"/>
      <c r="F2465" s="284"/>
      <c r="G2465" s="284"/>
      <c r="H2465" s="284"/>
      <c r="I2465" s="284"/>
      <c r="J2465" s="375"/>
      <c r="K2465" s="375"/>
      <c r="L2465" s="375"/>
      <c r="M2465" s="368"/>
      <c r="N2465" s="375"/>
      <c r="V2465" s="378"/>
      <c r="W2465" s="113"/>
      <c r="X2465" s="241"/>
      <c r="Y2465" s="284"/>
      <c r="Z2465" s="207"/>
      <c r="AA2465" s="284"/>
      <c r="AB2465" s="284"/>
      <c r="AC2465" s="137"/>
      <c r="AD2465" s="284"/>
      <c r="AE2465" s="284"/>
      <c r="AF2465" s="284"/>
      <c r="AG2465" s="284"/>
    </row>
    <row r="2471" spans="2:33">
      <c r="B2471" s="284"/>
      <c r="C2471" s="284"/>
      <c r="D2471" s="284"/>
      <c r="E2471" s="284"/>
      <c r="F2471" s="284"/>
      <c r="G2471" s="284"/>
      <c r="H2471" s="284"/>
      <c r="I2471" s="284"/>
      <c r="J2471" s="375"/>
      <c r="K2471" s="375"/>
      <c r="L2471" s="375"/>
      <c r="M2471" s="368"/>
      <c r="N2471" s="375"/>
      <c r="V2471" s="378"/>
      <c r="W2471" s="113"/>
      <c r="X2471" s="241"/>
      <c r="Y2471" s="284"/>
      <c r="Z2471" s="207"/>
      <c r="AA2471" s="284"/>
      <c r="AB2471" s="284"/>
      <c r="AC2471" s="137"/>
      <c r="AD2471" s="284"/>
      <c r="AE2471" s="284"/>
      <c r="AF2471" s="284"/>
      <c r="AG2471" s="284"/>
    </row>
    <row r="2480" spans="2:33">
      <c r="B2480" s="284"/>
      <c r="C2480" s="284"/>
      <c r="D2480" s="284"/>
      <c r="E2480" s="284"/>
      <c r="F2480" s="284"/>
      <c r="G2480" s="284"/>
      <c r="H2480" s="284"/>
      <c r="I2480" s="284"/>
      <c r="J2480" s="375"/>
      <c r="K2480" s="375"/>
      <c r="L2480" s="375"/>
      <c r="M2480" s="368"/>
      <c r="N2480" s="375"/>
      <c r="V2480" s="378"/>
      <c r="W2480" s="113"/>
      <c r="X2480" s="241"/>
      <c r="Y2480" s="284"/>
      <c r="Z2480" s="207"/>
      <c r="AA2480" s="284"/>
      <c r="AB2480" s="284"/>
      <c r="AC2480" s="137"/>
      <c r="AD2480" s="284"/>
      <c r="AE2480" s="284"/>
      <c r="AF2480" s="284"/>
      <c r="AG2480" s="284"/>
    </row>
    <row r="2493" spans="2:33">
      <c r="B2493" s="284"/>
      <c r="C2493" s="284"/>
      <c r="D2493" s="284"/>
      <c r="E2493" s="284"/>
      <c r="F2493" s="284"/>
      <c r="G2493" s="284"/>
      <c r="H2493" s="284"/>
      <c r="I2493" s="284"/>
      <c r="J2493" s="375"/>
      <c r="K2493" s="375"/>
      <c r="L2493" s="375"/>
      <c r="M2493" s="368"/>
      <c r="N2493" s="375"/>
      <c r="V2493" s="378"/>
      <c r="W2493" s="113"/>
      <c r="X2493" s="241"/>
      <c r="Y2493" s="284"/>
      <c r="Z2493" s="207"/>
      <c r="AA2493" s="284"/>
      <c r="AB2493" s="284"/>
      <c r="AC2493" s="137"/>
      <c r="AD2493" s="284"/>
      <c r="AE2493" s="284"/>
      <c r="AF2493" s="284"/>
      <c r="AG2493" s="284"/>
    </row>
    <row r="2517" spans="2:33">
      <c r="B2517" s="284"/>
      <c r="C2517" s="284"/>
      <c r="D2517" s="284"/>
      <c r="E2517" s="284"/>
      <c r="F2517" s="284"/>
      <c r="G2517" s="284"/>
      <c r="H2517" s="284"/>
      <c r="I2517" s="284"/>
      <c r="J2517" s="375"/>
      <c r="K2517" s="375"/>
      <c r="L2517" s="375"/>
      <c r="M2517" s="368"/>
      <c r="N2517" s="375"/>
      <c r="V2517" s="378"/>
      <c r="W2517" s="113"/>
      <c r="X2517" s="241"/>
      <c r="Y2517" s="284"/>
      <c r="Z2517" s="207"/>
      <c r="AA2517" s="284"/>
      <c r="AB2517" s="284"/>
      <c r="AC2517" s="137"/>
      <c r="AD2517" s="284"/>
      <c r="AE2517" s="284"/>
      <c r="AF2517" s="284"/>
      <c r="AG2517" s="284"/>
    </row>
    <row r="2524" spans="2:33">
      <c r="B2524" s="284"/>
      <c r="C2524" s="284"/>
      <c r="D2524" s="284"/>
      <c r="E2524" s="284"/>
      <c r="F2524" s="284"/>
      <c r="G2524" s="284"/>
      <c r="H2524" s="284"/>
      <c r="I2524" s="284"/>
      <c r="J2524" s="375"/>
      <c r="K2524" s="375"/>
      <c r="L2524" s="375"/>
      <c r="M2524" s="368"/>
      <c r="N2524" s="375"/>
      <c r="V2524" s="378"/>
      <c r="W2524" s="113"/>
      <c r="X2524" s="241"/>
      <c r="Y2524" s="284"/>
      <c r="Z2524" s="207"/>
      <c r="AA2524" s="284"/>
      <c r="AB2524" s="284"/>
      <c r="AC2524" s="137"/>
      <c r="AD2524" s="284"/>
      <c r="AE2524" s="284"/>
      <c r="AF2524" s="284"/>
      <c r="AG2524" s="284"/>
    </row>
    <row r="2552" spans="2:33">
      <c r="B2552" s="284"/>
      <c r="C2552" s="284"/>
      <c r="D2552" s="284"/>
      <c r="E2552" s="284"/>
      <c r="F2552" s="284"/>
      <c r="G2552" s="284"/>
      <c r="H2552" s="284"/>
      <c r="I2552" s="284"/>
      <c r="J2552" s="375"/>
      <c r="K2552" s="375"/>
      <c r="L2552" s="375"/>
      <c r="M2552" s="368"/>
      <c r="N2552" s="375"/>
      <c r="V2552" s="378"/>
      <c r="W2552" s="113"/>
      <c r="X2552" s="241"/>
      <c r="Y2552" s="284"/>
      <c r="Z2552" s="207"/>
      <c r="AA2552" s="284"/>
      <c r="AB2552" s="284"/>
      <c r="AC2552" s="137"/>
      <c r="AD2552" s="284"/>
      <c r="AE2552" s="284"/>
      <c r="AF2552" s="284"/>
      <c r="AG2552" s="284"/>
    </row>
    <row r="2559" spans="2:33">
      <c r="B2559" s="284"/>
      <c r="C2559" s="284"/>
      <c r="D2559" s="284"/>
      <c r="E2559" s="284"/>
      <c r="F2559" s="284"/>
      <c r="G2559" s="284"/>
      <c r="H2559" s="284"/>
      <c r="I2559" s="284"/>
      <c r="J2559" s="375"/>
      <c r="K2559" s="375"/>
      <c r="L2559" s="375"/>
      <c r="M2559" s="368"/>
      <c r="N2559" s="375"/>
      <c r="V2559" s="378"/>
      <c r="W2559" s="113"/>
      <c r="X2559" s="241"/>
      <c r="Y2559" s="284"/>
      <c r="Z2559" s="207"/>
      <c r="AA2559" s="284"/>
      <c r="AB2559" s="284"/>
      <c r="AC2559" s="137"/>
      <c r="AD2559" s="284"/>
      <c r="AE2559" s="284"/>
      <c r="AF2559" s="284"/>
      <c r="AG2559" s="284"/>
    </row>
    <row r="2565" spans="2:33">
      <c r="B2565" s="284"/>
      <c r="C2565" s="284"/>
      <c r="D2565" s="284"/>
      <c r="E2565" s="284"/>
      <c r="F2565" s="284"/>
      <c r="G2565" s="284"/>
      <c r="H2565" s="284"/>
      <c r="I2565" s="284"/>
      <c r="J2565" s="375"/>
      <c r="K2565" s="375"/>
      <c r="L2565" s="375"/>
      <c r="M2565" s="368"/>
      <c r="N2565" s="375"/>
      <c r="V2565" s="378"/>
      <c r="W2565" s="113"/>
      <c r="X2565" s="241"/>
      <c r="Y2565" s="284"/>
      <c r="Z2565" s="207"/>
      <c r="AA2565" s="284"/>
      <c r="AB2565" s="284"/>
      <c r="AC2565" s="137"/>
      <c r="AD2565" s="284"/>
      <c r="AE2565" s="284"/>
      <c r="AF2565" s="284"/>
      <c r="AG2565" s="284"/>
    </row>
    <row r="2568" spans="2:33">
      <c r="B2568" s="284"/>
      <c r="C2568" s="284"/>
      <c r="D2568" s="284"/>
      <c r="E2568" s="284"/>
      <c r="F2568" s="284"/>
      <c r="G2568" s="284"/>
      <c r="H2568" s="284"/>
      <c r="I2568" s="284"/>
      <c r="J2568" s="375"/>
      <c r="K2568" s="375"/>
      <c r="L2568" s="375"/>
      <c r="M2568" s="368"/>
      <c r="N2568" s="375"/>
      <c r="V2568" s="378"/>
      <c r="W2568" s="113"/>
      <c r="X2568" s="241"/>
      <c r="Y2568" s="284"/>
      <c r="Z2568" s="207"/>
      <c r="AA2568" s="284"/>
      <c r="AB2568" s="284"/>
      <c r="AC2568" s="137"/>
      <c r="AD2568" s="284"/>
      <c r="AE2568" s="284"/>
      <c r="AF2568" s="284"/>
      <c r="AG2568" s="284"/>
    </row>
    <row r="2604" spans="2:33">
      <c r="B2604" s="284"/>
      <c r="C2604" s="284"/>
      <c r="D2604" s="284"/>
      <c r="E2604" s="284"/>
      <c r="F2604" s="284"/>
      <c r="G2604" s="284"/>
      <c r="H2604" s="284"/>
      <c r="I2604" s="284"/>
      <c r="J2604" s="375"/>
      <c r="K2604" s="375"/>
      <c r="L2604" s="375"/>
      <c r="M2604" s="368"/>
      <c r="N2604" s="375"/>
      <c r="V2604" s="378"/>
      <c r="W2604" s="113"/>
      <c r="X2604" s="241"/>
      <c r="Y2604" s="284"/>
      <c r="Z2604" s="207"/>
      <c r="AA2604" s="284"/>
      <c r="AB2604" s="284"/>
      <c r="AC2604" s="137"/>
      <c r="AD2604" s="284"/>
      <c r="AE2604" s="284"/>
      <c r="AF2604" s="284"/>
      <c r="AG2604" s="284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E1:Z35"/>
  <sheetViews>
    <sheetView workbookViewId="0">
      <selection activeCell="T38" sqref="T38"/>
    </sheetView>
  </sheetViews>
  <sheetFormatPr defaultColWidth="9.125" defaultRowHeight="16.2"/>
  <cols>
    <col min="1" max="4" width="9.125" style="8"/>
    <col min="5" max="5" width="5.75" style="62" customWidth="1"/>
    <col min="6" max="6" width="8.75" style="45" customWidth="1"/>
    <col min="7" max="7" width="9.75" style="8" customWidth="1"/>
    <col min="8" max="8" width="4.75" style="9" customWidth="1"/>
    <col min="9" max="9" width="4.75" style="5" customWidth="1"/>
    <col min="10" max="11" width="4.75" style="31" customWidth="1"/>
    <col min="12" max="12" width="5.75" style="62" customWidth="1"/>
    <col min="13" max="13" width="8.75" style="8" customWidth="1"/>
    <col min="14" max="14" width="9.75" style="8" customWidth="1"/>
    <col min="15" max="15" width="4.75" style="9" customWidth="1"/>
    <col min="16" max="16" width="4.75" style="5" customWidth="1"/>
    <col min="17" max="17" width="4.75" style="31" customWidth="1"/>
    <col min="18" max="19" width="9.125" style="8"/>
    <col min="20" max="20" width="11.125" style="8" bestFit="1" customWidth="1"/>
    <col min="21" max="23" width="9.125" style="8"/>
    <col min="24" max="24" width="26" style="10" customWidth="1"/>
    <col min="25" max="26" width="6.75" style="10" customWidth="1"/>
    <col min="27" max="16384" width="9.125" style="8"/>
  </cols>
  <sheetData>
    <row r="1" spans="5:26">
      <c r="E1" s="224" t="s">
        <v>5514</v>
      </c>
      <c r="F1" s="29" t="s">
        <v>2209</v>
      </c>
      <c r="G1" s="7" t="s">
        <v>2183</v>
      </c>
      <c r="H1" s="9" t="s">
        <v>5367</v>
      </c>
      <c r="I1" s="5" t="s">
        <v>5368</v>
      </c>
      <c r="J1" s="51" t="s">
        <v>5513</v>
      </c>
      <c r="K1" s="51"/>
      <c r="L1" s="224" t="s">
        <v>5514</v>
      </c>
      <c r="M1" s="1" t="s">
        <v>1683</v>
      </c>
      <c r="N1" s="7" t="s">
        <v>2184</v>
      </c>
      <c r="O1" s="9" t="s">
        <v>5367</v>
      </c>
      <c r="P1" s="5" t="s">
        <v>5368</v>
      </c>
      <c r="Q1" s="51" t="s">
        <v>5513</v>
      </c>
      <c r="S1" s="11" t="s">
        <v>2210</v>
      </c>
      <c r="T1" s="29" t="s">
        <v>4926</v>
      </c>
      <c r="X1" s="10" t="s">
        <v>5495</v>
      </c>
      <c r="Y1" s="10">
        <v>385</v>
      </c>
      <c r="Z1" s="10">
        <v>274</v>
      </c>
    </row>
    <row r="2" spans="5:26">
      <c r="E2" s="2">
        <f>H2+I2+J2</f>
        <v>102</v>
      </c>
      <c r="F2" s="166" t="s">
        <v>5280</v>
      </c>
      <c r="G2" s="7"/>
      <c r="H2" s="9">
        <v>58</v>
      </c>
      <c r="I2" s="5">
        <v>34</v>
      </c>
      <c r="J2" s="51">
        <v>10</v>
      </c>
      <c r="K2" s="51"/>
      <c r="L2" s="2">
        <f>O2+P2+Q2</f>
        <v>107</v>
      </c>
      <c r="M2" s="166" t="s">
        <v>5280</v>
      </c>
      <c r="N2" s="7"/>
      <c r="O2" s="9">
        <v>65</v>
      </c>
      <c r="P2" s="5">
        <v>29</v>
      </c>
      <c r="Q2" s="51">
        <v>13</v>
      </c>
      <c r="S2" s="31" t="s">
        <v>2110</v>
      </c>
      <c r="T2" s="40" t="str">
        <f>RTD("money.excel",,"$TWIT","Price")</f>
        <v>無資料</v>
      </c>
      <c r="X2" s="310" t="s">
        <v>5634</v>
      </c>
      <c r="Y2" s="310">
        <v>384</v>
      </c>
      <c r="Z2" s="310">
        <v>250</v>
      </c>
    </row>
    <row r="3" spans="5:26">
      <c r="E3" s="21">
        <f>H3+I3+J3</f>
        <v>114</v>
      </c>
      <c r="F3" s="31" t="s">
        <v>558</v>
      </c>
      <c r="G3" s="40" t="str">
        <f>RTD("money.excel",,"$TWT24","Price")</f>
        <v>無資料</v>
      </c>
      <c r="H3" s="9">
        <v>65</v>
      </c>
      <c r="I3" s="5">
        <v>36</v>
      </c>
      <c r="J3" s="51">
        <v>13</v>
      </c>
      <c r="K3" s="51"/>
      <c r="L3" s="21">
        <f t="shared" ref="L3:L19" si="0">O3+P3+Q3</f>
        <v>85</v>
      </c>
      <c r="M3" s="51" t="s">
        <v>558</v>
      </c>
      <c r="N3" s="100" t="str">
        <f>RTD("money.excel",,"$TWO24","Price")</f>
        <v>無資料</v>
      </c>
      <c r="O3" s="9">
        <v>46</v>
      </c>
      <c r="P3" s="5">
        <v>25</v>
      </c>
      <c r="Q3" s="51">
        <v>14</v>
      </c>
      <c r="S3" s="31" t="s">
        <v>1816</v>
      </c>
      <c r="T3" s="40" t="str">
        <f>RTD("money.excel",,"$TWMC","Price")</f>
        <v>無資料</v>
      </c>
      <c r="X3" s="10" t="s">
        <v>5633</v>
      </c>
      <c r="Y3" s="10">
        <v>340</v>
      </c>
      <c r="Z3" s="10">
        <v>224</v>
      </c>
    </row>
    <row r="4" spans="5:26">
      <c r="E4" s="21">
        <f t="shared" ref="E4:E30" si="1">H4+I4+J4</f>
        <v>42</v>
      </c>
      <c r="F4" s="31" t="s">
        <v>1815</v>
      </c>
      <c r="G4" s="40" t="str">
        <f>RTD("money.excel",,"$TWT25","Price")</f>
        <v>無資料</v>
      </c>
      <c r="H4" s="9">
        <v>23</v>
      </c>
      <c r="I4" s="5">
        <v>16</v>
      </c>
      <c r="J4" s="51">
        <v>3</v>
      </c>
      <c r="K4" s="51"/>
      <c r="L4" s="21">
        <f t="shared" si="0"/>
        <v>63</v>
      </c>
      <c r="M4" s="51" t="s">
        <v>1815</v>
      </c>
      <c r="N4" s="100" t="str">
        <f>RTD("money.excel",,"$TWO25","Price")</f>
        <v>無資料</v>
      </c>
      <c r="O4" s="9">
        <v>19</v>
      </c>
      <c r="P4" s="5">
        <v>37</v>
      </c>
      <c r="Q4" s="51">
        <v>7</v>
      </c>
      <c r="S4" s="31" t="s">
        <v>210</v>
      </c>
      <c r="T4" s="40" t="str">
        <f>RTD("money.excel",,"$TWC100","Price")</f>
        <v>無資料</v>
      </c>
      <c r="X4" s="10" t="s">
        <v>5493</v>
      </c>
      <c r="Y4" s="10">
        <v>400</v>
      </c>
      <c r="Z4" s="10">
        <v>224</v>
      </c>
    </row>
    <row r="5" spans="5:26">
      <c r="E5" s="21">
        <f t="shared" si="1"/>
        <v>95</v>
      </c>
      <c r="F5" s="31" t="s">
        <v>2910</v>
      </c>
      <c r="G5" s="40" t="str">
        <f>RTD("money.excel",,"$TWT26","Price")</f>
        <v>無資料</v>
      </c>
      <c r="H5" s="9">
        <v>47</v>
      </c>
      <c r="I5" s="5">
        <v>37</v>
      </c>
      <c r="J5" s="51">
        <v>11</v>
      </c>
      <c r="K5" s="51"/>
      <c r="L5" s="21">
        <f t="shared" si="0"/>
        <v>48</v>
      </c>
      <c r="M5" s="51" t="s">
        <v>557</v>
      </c>
      <c r="N5" s="100" t="str">
        <f>RTD("money.excel",,"$TWO26","Price")</f>
        <v>無資料</v>
      </c>
      <c r="O5" s="9">
        <v>26</v>
      </c>
      <c r="P5" s="5">
        <v>13</v>
      </c>
      <c r="Q5" s="51">
        <v>9</v>
      </c>
      <c r="S5" s="51" t="s">
        <v>1750</v>
      </c>
      <c r="T5" s="100" t="str">
        <f>RTD("money.excel",,"$TWOI50","Price")</f>
        <v>無資料</v>
      </c>
      <c r="X5" s="23" t="s">
        <v>5630</v>
      </c>
      <c r="Y5" s="23">
        <v>370</v>
      </c>
      <c r="Z5" s="23">
        <v>220</v>
      </c>
    </row>
    <row r="6" spans="5:26">
      <c r="E6" s="21">
        <f t="shared" si="1"/>
        <v>68</v>
      </c>
      <c r="F6" s="31" t="s">
        <v>563</v>
      </c>
      <c r="G6" s="40" t="str">
        <f>RTD("money.excel",,"$TWT27","Price")</f>
        <v>無資料</v>
      </c>
      <c r="H6" s="9">
        <v>27</v>
      </c>
      <c r="I6" s="5">
        <v>30</v>
      </c>
      <c r="J6" s="51">
        <v>11</v>
      </c>
      <c r="K6" s="51"/>
      <c r="L6" s="21">
        <f t="shared" si="0"/>
        <v>83</v>
      </c>
      <c r="M6" s="51" t="s">
        <v>563</v>
      </c>
      <c r="N6" s="100" t="str">
        <f>RTD("money.excel",,"$TWO27","Price")</f>
        <v>無資料</v>
      </c>
      <c r="O6" s="9">
        <v>35</v>
      </c>
      <c r="P6" s="5">
        <v>36</v>
      </c>
      <c r="Q6" s="51">
        <v>12</v>
      </c>
      <c r="S6" s="51" t="s">
        <v>2026</v>
      </c>
      <c r="T6" s="100" t="str">
        <f>RTD("money.excel",,"$TWOIHD","Price")</f>
        <v>無資料</v>
      </c>
      <c r="W6" s="1" t="s">
        <v>5503</v>
      </c>
      <c r="X6" s="2" t="s">
        <v>5629</v>
      </c>
      <c r="Y6" s="2">
        <v>394</v>
      </c>
      <c r="Z6" s="2">
        <v>217</v>
      </c>
    </row>
    <row r="7" spans="5:26">
      <c r="E7" s="21">
        <f t="shared" si="1"/>
        <v>86</v>
      </c>
      <c r="F7" s="31" t="s">
        <v>559</v>
      </c>
      <c r="G7" s="40" t="str">
        <f>RTD("money.excel",,"$TWT28","Price")</f>
        <v>無資料</v>
      </c>
      <c r="H7" s="9">
        <v>30</v>
      </c>
      <c r="I7" s="5">
        <v>46</v>
      </c>
      <c r="J7" s="51">
        <v>10</v>
      </c>
      <c r="K7" s="51"/>
      <c r="L7" s="21">
        <f t="shared" si="0"/>
        <v>80</v>
      </c>
      <c r="M7" s="51" t="s">
        <v>559</v>
      </c>
      <c r="N7" s="100" t="str">
        <f>RTD("money.excel",,"$TWO28","Price")</f>
        <v>無資料</v>
      </c>
      <c r="O7" s="9">
        <v>41</v>
      </c>
      <c r="P7" s="5">
        <v>27</v>
      </c>
      <c r="Q7" s="51">
        <v>12</v>
      </c>
      <c r="S7" s="51" t="s">
        <v>210</v>
      </c>
      <c r="T7" s="100" t="str">
        <f>RTD("money.excel",,"$TWOIGI","Price")</f>
        <v>無資料</v>
      </c>
      <c r="X7" s="10" t="s">
        <v>5631</v>
      </c>
      <c r="Y7" s="10">
        <v>412</v>
      </c>
      <c r="Z7" s="10">
        <v>215</v>
      </c>
    </row>
    <row r="8" spans="5:26">
      <c r="E8" s="21">
        <f t="shared" si="1"/>
        <v>38</v>
      </c>
      <c r="F8" s="27" t="s">
        <v>5144</v>
      </c>
      <c r="G8" s="40" t="str">
        <f>RTD("money.excel",,"$TWT29","Price")</f>
        <v>無資料</v>
      </c>
      <c r="H8" s="9">
        <v>14</v>
      </c>
      <c r="I8" s="5">
        <v>14</v>
      </c>
      <c r="J8" s="51">
        <v>10</v>
      </c>
      <c r="K8" s="51"/>
      <c r="L8" s="21">
        <f t="shared" si="0"/>
        <v>14</v>
      </c>
      <c r="M8" s="51" t="s">
        <v>5144</v>
      </c>
      <c r="N8" s="100" t="str">
        <f>RTD("money.excel",,"$TWO29","Price")</f>
        <v>無資料</v>
      </c>
      <c r="O8" s="9">
        <v>0</v>
      </c>
      <c r="P8" s="5">
        <v>0</v>
      </c>
      <c r="Q8" s="51">
        <v>14</v>
      </c>
      <c r="S8" s="9" t="s">
        <v>2210</v>
      </c>
      <c r="T8" s="29" t="s">
        <v>4926</v>
      </c>
      <c r="X8" s="10" t="s">
        <v>5494</v>
      </c>
      <c r="Y8" s="10">
        <v>385</v>
      </c>
      <c r="Z8" s="10">
        <v>206</v>
      </c>
    </row>
    <row r="9" spans="5:26">
      <c r="E9" s="21">
        <f t="shared" si="1"/>
        <v>26</v>
      </c>
      <c r="F9" s="31" t="s">
        <v>565</v>
      </c>
      <c r="G9" s="40" t="str">
        <f>RTD("money.excel",,"$TWT30","Price")</f>
        <v>無資料</v>
      </c>
      <c r="H9" s="9">
        <v>14</v>
      </c>
      <c r="I9" s="5">
        <v>7</v>
      </c>
      <c r="J9" s="51">
        <v>5</v>
      </c>
      <c r="K9" s="51"/>
      <c r="L9" s="21">
        <f t="shared" si="0"/>
        <v>22</v>
      </c>
      <c r="M9" s="51" t="s">
        <v>565</v>
      </c>
      <c r="N9" s="100" t="str">
        <f>RTD("money.excel",,"$TWO30","Price")</f>
        <v>無資料</v>
      </c>
      <c r="O9" s="9">
        <v>8</v>
      </c>
      <c r="P9" s="5">
        <v>5</v>
      </c>
      <c r="Q9" s="51">
        <v>9</v>
      </c>
      <c r="S9" s="31" t="s">
        <v>1682</v>
      </c>
      <c r="T9" s="40" t="str">
        <f>RTD("money.excel",,"$TWT","Price")</f>
        <v>無資料</v>
      </c>
      <c r="X9" s="10" t="s">
        <v>5635</v>
      </c>
      <c r="Y9" s="10">
        <v>384</v>
      </c>
      <c r="Z9" s="10">
        <v>202</v>
      </c>
    </row>
    <row r="10" spans="5:26">
      <c r="E10" s="21">
        <f t="shared" si="1"/>
        <v>71</v>
      </c>
      <c r="F10" s="31" t="s">
        <v>5322</v>
      </c>
      <c r="G10" s="40" t="str">
        <f>RTD("money.excel",,"$TWT31","Price")</f>
        <v>無資料</v>
      </c>
      <c r="H10" s="9">
        <v>37</v>
      </c>
      <c r="I10" s="5">
        <v>24</v>
      </c>
      <c r="J10" s="51">
        <v>10</v>
      </c>
      <c r="K10" s="51"/>
      <c r="L10" s="21">
        <f t="shared" si="0"/>
        <v>70</v>
      </c>
      <c r="M10" s="51" t="s">
        <v>5322</v>
      </c>
      <c r="N10" s="100" t="str">
        <f>RTD("money.excel",,"$TWO31","Price")</f>
        <v>無資料</v>
      </c>
      <c r="O10" s="9">
        <v>37</v>
      </c>
      <c r="P10" s="5">
        <v>24</v>
      </c>
      <c r="Q10" s="51">
        <v>9</v>
      </c>
      <c r="S10" s="31" t="s">
        <v>5093</v>
      </c>
      <c r="T10" s="41" t="str">
        <f>RTD("money.excel",,"$TWO","Price")</f>
        <v>無資料</v>
      </c>
      <c r="X10" s="310" t="s">
        <v>5504</v>
      </c>
      <c r="Y10" s="310">
        <v>385</v>
      </c>
      <c r="Z10" s="310">
        <v>199</v>
      </c>
    </row>
    <row r="11" spans="5:26">
      <c r="E11" s="2">
        <f t="shared" si="1"/>
        <v>104</v>
      </c>
      <c r="F11" s="9" t="s">
        <v>5542</v>
      </c>
      <c r="G11" s="40"/>
      <c r="H11" s="9">
        <v>49</v>
      </c>
      <c r="I11" s="5">
        <v>42</v>
      </c>
      <c r="J11" s="51">
        <v>13</v>
      </c>
      <c r="K11" s="51"/>
      <c r="L11" s="21">
        <f t="shared" si="0"/>
        <v>13</v>
      </c>
      <c r="M11" s="51" t="s">
        <v>543</v>
      </c>
      <c r="N11" s="100" t="str">
        <f>RTD("money.excel",,"$TWO04","Price")</f>
        <v>無資料</v>
      </c>
      <c r="O11" s="9">
        <v>1</v>
      </c>
      <c r="P11" s="5">
        <v>2</v>
      </c>
      <c r="Q11" s="51">
        <v>10</v>
      </c>
      <c r="W11" s="1" t="s">
        <v>5503</v>
      </c>
      <c r="X11" s="2" t="s">
        <v>5632</v>
      </c>
      <c r="Y11" s="2">
        <v>350</v>
      </c>
      <c r="Z11" s="2">
        <v>198</v>
      </c>
    </row>
    <row r="12" spans="5:26">
      <c r="E12" s="21">
        <f t="shared" si="1"/>
        <v>55</v>
      </c>
      <c r="F12" s="31" t="s">
        <v>540</v>
      </c>
      <c r="G12" s="40" t="str">
        <f>RTD("money.excel",,"$TWT01","Price")</f>
        <v>無資料</v>
      </c>
      <c r="H12" s="9">
        <v>10</v>
      </c>
      <c r="I12" s="5">
        <v>31</v>
      </c>
      <c r="J12" s="51">
        <v>14</v>
      </c>
      <c r="K12" s="51"/>
      <c r="L12" s="21">
        <f t="shared" si="0"/>
        <v>43</v>
      </c>
      <c r="M12" s="51" t="s">
        <v>5324</v>
      </c>
      <c r="N12" s="100" t="str">
        <f>RTD("money.excel",,"$TWO05","Price")</f>
        <v>無資料</v>
      </c>
      <c r="O12" s="9">
        <v>17</v>
      </c>
      <c r="P12" s="5">
        <v>18</v>
      </c>
      <c r="Q12" s="51">
        <v>8</v>
      </c>
      <c r="X12" s="2" t="s">
        <v>5628</v>
      </c>
      <c r="Y12" s="2">
        <v>365</v>
      </c>
      <c r="Z12" s="2">
        <v>180</v>
      </c>
    </row>
    <row r="13" spans="5:26">
      <c r="E13" s="21">
        <f t="shared" si="1"/>
        <v>70</v>
      </c>
      <c r="F13" s="31" t="s">
        <v>541</v>
      </c>
      <c r="G13" s="40" t="str">
        <f>RTD("money.excel",,"$TWT02","Price")</f>
        <v>無資料</v>
      </c>
      <c r="H13" s="9">
        <v>13</v>
      </c>
      <c r="I13" s="5">
        <v>46</v>
      </c>
      <c r="J13" s="51">
        <v>11</v>
      </c>
      <c r="K13" s="51"/>
      <c r="L13" s="21">
        <f t="shared" si="0"/>
        <v>19</v>
      </c>
      <c r="M13" s="51" t="s">
        <v>4989</v>
      </c>
      <c r="N13" s="100" t="str">
        <f>RTD("money.excel",,"$TWO10","Price")</f>
        <v>無資料</v>
      </c>
      <c r="O13" s="9">
        <v>7</v>
      </c>
      <c r="P13" s="5">
        <v>1</v>
      </c>
      <c r="Q13" s="51">
        <v>11</v>
      </c>
      <c r="X13" s="310" t="s">
        <v>5636</v>
      </c>
      <c r="Y13" s="310">
        <v>385</v>
      </c>
      <c r="Z13" s="310">
        <v>173</v>
      </c>
    </row>
    <row r="14" spans="5:26">
      <c r="E14" s="21">
        <f t="shared" si="1"/>
        <v>78</v>
      </c>
      <c r="F14" s="31" t="s">
        <v>542</v>
      </c>
      <c r="G14" s="40" t="str">
        <f>RTD("money.excel",,"$TWT03","Price")</f>
        <v>無資料</v>
      </c>
      <c r="H14" s="9">
        <v>36</v>
      </c>
      <c r="I14" s="5">
        <v>33</v>
      </c>
      <c r="J14" s="51">
        <v>9</v>
      </c>
      <c r="K14" s="51"/>
      <c r="L14" s="21">
        <f t="shared" si="0"/>
        <v>22</v>
      </c>
      <c r="M14" s="51" t="s">
        <v>1485</v>
      </c>
      <c r="N14" s="100" t="str">
        <f>RTD("money.excel",,"$TWO14","Price")</f>
        <v>無資料</v>
      </c>
      <c r="O14" s="9">
        <v>0</v>
      </c>
      <c r="P14" s="5">
        <v>0</v>
      </c>
      <c r="Q14" s="51">
        <v>22</v>
      </c>
    </row>
    <row r="15" spans="5:26">
      <c r="E15" s="21">
        <f t="shared" si="1"/>
        <v>70</v>
      </c>
      <c r="F15" s="31" t="s">
        <v>543</v>
      </c>
      <c r="G15" s="40" t="str">
        <f>RTD("money.excel",,"$TWT04","Price")</f>
        <v>無資料</v>
      </c>
      <c r="H15" s="9">
        <v>28</v>
      </c>
      <c r="I15" s="5">
        <v>33</v>
      </c>
      <c r="J15" s="51">
        <v>9</v>
      </c>
      <c r="K15" s="51"/>
      <c r="L15" s="21">
        <f t="shared" si="0"/>
        <v>19</v>
      </c>
      <c r="M15" s="51" t="s">
        <v>551</v>
      </c>
      <c r="N15" s="100" t="str">
        <f>RTD("money.excel",,"$TWO15","Price")</f>
        <v>無資料</v>
      </c>
      <c r="O15" s="9">
        <v>4</v>
      </c>
      <c r="P15" s="5">
        <v>3</v>
      </c>
      <c r="Q15" s="51">
        <v>12</v>
      </c>
    </row>
    <row r="16" spans="5:26">
      <c r="E16" s="21">
        <f t="shared" si="1"/>
        <v>56</v>
      </c>
      <c r="F16" s="31" t="s">
        <v>5324</v>
      </c>
      <c r="G16" s="40" t="str">
        <f>RTD("money.excel",,"$TWT05","Price")</f>
        <v>無資料</v>
      </c>
      <c r="H16" s="9">
        <v>20</v>
      </c>
      <c r="I16" s="5">
        <v>26</v>
      </c>
      <c r="J16" s="51">
        <v>10</v>
      </c>
      <c r="K16" s="51"/>
      <c r="L16" s="21">
        <f t="shared" si="0"/>
        <v>20</v>
      </c>
      <c r="M16" s="51" t="s">
        <v>552</v>
      </c>
      <c r="N16" s="100" t="str">
        <f>RTD("money.excel",,"$TWO16","Price")</f>
        <v>無資料</v>
      </c>
      <c r="O16" s="9">
        <v>5</v>
      </c>
      <c r="P16" s="5">
        <v>8</v>
      </c>
      <c r="Q16" s="51">
        <v>7</v>
      </c>
    </row>
    <row r="17" spans="5:17">
      <c r="E17" s="21">
        <f t="shared" si="1"/>
        <v>39</v>
      </c>
      <c r="F17" s="31" t="s">
        <v>545</v>
      </c>
      <c r="G17" s="40" t="str">
        <f>RTD("money.excel",,"$TWT06","Price")</f>
        <v>無資料</v>
      </c>
      <c r="H17" s="9">
        <v>12</v>
      </c>
      <c r="I17" s="5">
        <v>14</v>
      </c>
      <c r="J17" s="51">
        <v>13</v>
      </c>
      <c r="K17" s="51"/>
      <c r="L17" s="21">
        <f t="shared" si="0"/>
        <v>22</v>
      </c>
      <c r="M17" s="51" t="s">
        <v>1308</v>
      </c>
      <c r="N17" s="100" t="str">
        <f>RTD("money.excel",,"$TWO21","Price")</f>
        <v>無資料</v>
      </c>
      <c r="O17" s="9">
        <v>0</v>
      </c>
      <c r="P17" s="5">
        <v>9</v>
      </c>
      <c r="Q17" s="51">
        <v>13</v>
      </c>
    </row>
    <row r="18" spans="5:17">
      <c r="E18" s="21">
        <f t="shared" si="1"/>
        <v>40</v>
      </c>
      <c r="F18" s="31" t="s">
        <v>546</v>
      </c>
      <c r="G18" s="40" t="str">
        <f>RTD("money.excel",,"$TWT08","Price")</f>
        <v>無資料</v>
      </c>
      <c r="H18" s="9">
        <v>22</v>
      </c>
      <c r="I18" s="5">
        <v>9</v>
      </c>
      <c r="J18" s="51">
        <v>9</v>
      </c>
      <c r="K18" s="51"/>
      <c r="L18" s="21">
        <f t="shared" si="0"/>
        <v>51</v>
      </c>
      <c r="M18" s="51" t="s">
        <v>1664</v>
      </c>
      <c r="N18" s="100" t="str">
        <f>RTD("money.excel",,"$TWO32","Price")</f>
        <v>無資料</v>
      </c>
      <c r="O18" s="9">
        <v>16</v>
      </c>
      <c r="P18" s="5">
        <v>29</v>
      </c>
      <c r="Q18" s="51">
        <v>6</v>
      </c>
    </row>
    <row r="19" spans="5:17">
      <c r="E19" s="21">
        <f t="shared" si="1"/>
        <v>58</v>
      </c>
      <c r="F19" s="31" t="s">
        <v>5507</v>
      </c>
      <c r="G19" s="40" t="str">
        <f>RTD("money.excel",,"$TWT09","Price")</f>
        <v>無資料</v>
      </c>
      <c r="H19" s="9">
        <v>21</v>
      </c>
      <c r="I19" s="5">
        <v>27</v>
      </c>
      <c r="J19" s="51">
        <v>10</v>
      </c>
      <c r="K19" s="51"/>
      <c r="L19" s="21">
        <f t="shared" si="0"/>
        <v>58</v>
      </c>
      <c r="M19" s="51" t="s">
        <v>3057</v>
      </c>
      <c r="N19" s="100" t="str">
        <f>RTD("money.excel",,"$TWO20","Price")</f>
        <v>無資料</v>
      </c>
      <c r="O19" s="9">
        <v>24</v>
      </c>
      <c r="P19" s="5">
        <v>25</v>
      </c>
      <c r="Q19" s="51">
        <v>9</v>
      </c>
    </row>
    <row r="20" spans="5:17">
      <c r="E20" s="21">
        <f t="shared" si="1"/>
        <v>92</v>
      </c>
      <c r="F20" s="31" t="s">
        <v>4989</v>
      </c>
      <c r="G20" s="40" t="str">
        <f>RTD("money.excel",,"$TWT10","Price")</f>
        <v>無資料</v>
      </c>
      <c r="H20" s="9">
        <v>52</v>
      </c>
      <c r="I20" s="5">
        <v>30</v>
      </c>
      <c r="J20" s="51">
        <v>10</v>
      </c>
      <c r="K20" s="51"/>
      <c r="L20" s="2">
        <f>O20+P20+Q20</f>
        <v>87</v>
      </c>
      <c r="M20" s="9" t="s">
        <v>560</v>
      </c>
      <c r="N20" s="100" t="str">
        <f>RTD("money.excel",,"$TWO22","Price")</f>
        <v>無資料</v>
      </c>
      <c r="O20" s="9">
        <v>26</v>
      </c>
      <c r="P20" s="5">
        <v>48</v>
      </c>
      <c r="Q20" s="51">
        <v>13</v>
      </c>
    </row>
    <row r="21" spans="5:17">
      <c r="E21" s="21">
        <f t="shared" si="1"/>
        <v>54</v>
      </c>
      <c r="F21" s="31" t="s">
        <v>549</v>
      </c>
      <c r="G21" s="40" t="str">
        <f>RTD("money.excel",,"$TWT11","Price")</f>
        <v>無資料</v>
      </c>
      <c r="H21" s="9">
        <v>26</v>
      </c>
      <c r="I21" s="5">
        <v>22</v>
      </c>
      <c r="J21" s="51">
        <v>6</v>
      </c>
      <c r="K21" s="51"/>
      <c r="L21" s="21"/>
      <c r="Q21" s="49"/>
    </row>
    <row r="22" spans="5:17">
      <c r="E22" s="21">
        <f t="shared" si="1"/>
        <v>61</v>
      </c>
      <c r="F22" s="31" t="s">
        <v>2863</v>
      </c>
      <c r="G22" s="40" t="str">
        <f>RTD("money.excel",,"$TWT12","Price")</f>
        <v>無資料</v>
      </c>
      <c r="H22" s="9">
        <v>20</v>
      </c>
      <c r="I22" s="5">
        <v>36</v>
      </c>
      <c r="J22" s="51">
        <v>5</v>
      </c>
      <c r="K22" s="51"/>
      <c r="L22" s="21"/>
      <c r="Q22" s="49"/>
    </row>
    <row r="23" spans="5:17">
      <c r="E23" s="21">
        <f t="shared" si="1"/>
        <v>60</v>
      </c>
      <c r="F23" s="31" t="s">
        <v>1485</v>
      </c>
      <c r="G23" s="40" t="str">
        <f>RTD("money.excel",,"$TWT14","Price")</f>
        <v>無資料</v>
      </c>
      <c r="H23" s="9">
        <v>24</v>
      </c>
      <c r="I23" s="5">
        <v>23</v>
      </c>
      <c r="J23" s="51">
        <v>13</v>
      </c>
      <c r="K23" s="51"/>
      <c r="L23" s="21"/>
      <c r="Q23" s="49"/>
    </row>
    <row r="24" spans="5:17">
      <c r="E24" s="21">
        <f t="shared" si="1"/>
        <v>79</v>
      </c>
      <c r="F24" s="31" t="s">
        <v>551</v>
      </c>
      <c r="G24" s="40" t="str">
        <f>RTD("money.excel",,"$TWT15","Price")</f>
        <v>無資料</v>
      </c>
      <c r="H24" s="9">
        <v>39</v>
      </c>
      <c r="I24" s="5">
        <v>27</v>
      </c>
      <c r="J24" s="51">
        <v>13</v>
      </c>
      <c r="K24" s="51"/>
      <c r="L24" s="21"/>
      <c r="Q24" s="49"/>
    </row>
    <row r="25" spans="5:17">
      <c r="E25" s="21">
        <f t="shared" si="1"/>
        <v>53</v>
      </c>
      <c r="F25" s="31" t="s">
        <v>552</v>
      </c>
      <c r="G25" s="40" t="str">
        <f>RTD("money.excel",,"$TWT16","Price")</f>
        <v>無資料</v>
      </c>
      <c r="H25" s="9">
        <v>22</v>
      </c>
      <c r="I25" s="5">
        <v>25</v>
      </c>
      <c r="J25" s="51">
        <v>6</v>
      </c>
      <c r="K25" s="51"/>
      <c r="L25" s="21"/>
      <c r="Q25" s="49"/>
    </row>
    <row r="26" spans="5:17">
      <c r="E26" s="21">
        <f t="shared" si="1"/>
        <v>58</v>
      </c>
      <c r="F26" s="31" t="s">
        <v>562</v>
      </c>
      <c r="G26" s="40" t="str">
        <f>RTD("money.excel",,"$TWT18","Price")</f>
        <v>無資料</v>
      </c>
      <c r="H26" s="9">
        <v>15</v>
      </c>
      <c r="I26" s="5">
        <v>27</v>
      </c>
      <c r="J26" s="51">
        <v>16</v>
      </c>
      <c r="K26" s="51"/>
      <c r="L26" s="21"/>
      <c r="Q26" s="49"/>
    </row>
    <row r="27" spans="5:17">
      <c r="E27" s="21">
        <f t="shared" si="1"/>
        <v>53</v>
      </c>
      <c r="F27" s="31" t="s">
        <v>429</v>
      </c>
      <c r="G27" s="40" t="str">
        <f>RTD("money.excel",,"$TWT20","Price")</f>
        <v>無資料</v>
      </c>
      <c r="H27" s="9">
        <v>21</v>
      </c>
      <c r="I27" s="5">
        <v>23</v>
      </c>
      <c r="J27" s="51">
        <v>9</v>
      </c>
      <c r="K27" s="51"/>
      <c r="L27" s="21"/>
      <c r="Q27" s="49"/>
    </row>
    <row r="28" spans="5:17">
      <c r="E28" s="21">
        <f t="shared" si="1"/>
        <v>57</v>
      </c>
      <c r="F28" s="31" t="s">
        <v>1308</v>
      </c>
      <c r="G28" s="40" t="str">
        <f>RTD("money.excel",,"$TWT21","Price")</f>
        <v>無資料</v>
      </c>
      <c r="H28" s="9">
        <v>20</v>
      </c>
      <c r="I28" s="5">
        <v>27</v>
      </c>
      <c r="J28" s="51">
        <v>10</v>
      </c>
      <c r="K28" s="51"/>
      <c r="L28" s="21"/>
      <c r="Q28" s="49"/>
    </row>
    <row r="29" spans="5:17">
      <c r="E29" s="21">
        <f t="shared" si="1"/>
        <v>71</v>
      </c>
      <c r="F29" s="31" t="s">
        <v>560</v>
      </c>
      <c r="G29" s="40" t="str">
        <f>RTD("money.excel",,"$TWT22","Price")</f>
        <v>無資料</v>
      </c>
      <c r="H29" s="9">
        <v>26</v>
      </c>
      <c r="I29" s="5">
        <v>33</v>
      </c>
      <c r="J29" s="51">
        <v>12</v>
      </c>
      <c r="K29" s="51"/>
      <c r="L29" s="21"/>
      <c r="Q29" s="49"/>
    </row>
    <row r="30" spans="5:17">
      <c r="E30" s="21">
        <f t="shared" si="1"/>
        <v>52</v>
      </c>
      <c r="F30" s="31" t="s">
        <v>564</v>
      </c>
      <c r="G30" s="40" t="str">
        <f>RTD("money.excel",,"$TWT23","Price")</f>
        <v>無資料</v>
      </c>
      <c r="H30" s="9">
        <v>15</v>
      </c>
      <c r="I30" s="5">
        <v>30</v>
      </c>
      <c r="J30" s="51">
        <v>7</v>
      </c>
      <c r="K30" s="51"/>
      <c r="L30" s="21"/>
      <c r="Q30" s="49"/>
    </row>
    <row r="31" spans="5:17">
      <c r="E31" s="2">
        <f>H31+I31+J31</f>
        <v>61</v>
      </c>
      <c r="F31" s="9" t="s">
        <v>553</v>
      </c>
      <c r="G31" s="40"/>
      <c r="H31" s="9">
        <v>29</v>
      </c>
      <c r="I31" s="5">
        <v>19</v>
      </c>
      <c r="J31" s="51">
        <v>13</v>
      </c>
      <c r="L31" s="21"/>
    </row>
    <row r="34" spans="24:24">
      <c r="X34" s="2" t="s">
        <v>6323</v>
      </c>
    </row>
    <row r="35" spans="24:24">
      <c r="X35" s="310" t="s">
        <v>6324</v>
      </c>
    </row>
  </sheetData>
  <sortState xmlns:xlrd2="http://schemas.microsoft.com/office/spreadsheetml/2017/richdata2" ref="X1:Z29">
    <sortCondition descending="1" ref="Z1:Z29"/>
  </sortState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5"/>
  <dimension ref="A1:CN189"/>
  <sheetViews>
    <sheetView workbookViewId="0">
      <selection activeCell="E38" sqref="E38"/>
    </sheetView>
  </sheetViews>
  <sheetFormatPr defaultColWidth="9.125" defaultRowHeight="16.2"/>
  <cols>
    <col min="1" max="2" width="15.75" style="220" customWidth="1"/>
    <col min="3" max="3" width="16.75" style="220" customWidth="1"/>
    <col min="4" max="5" width="15.75" style="220" customWidth="1"/>
    <col min="6" max="6" width="15.75" style="283" customWidth="1"/>
    <col min="7" max="7" width="5.375" style="283" customWidth="1"/>
    <col min="8" max="8" width="11.75" style="283" customWidth="1"/>
    <col min="9" max="10" width="12.75" style="283" customWidth="1"/>
    <col min="11" max="11" width="10.75" style="283" customWidth="1"/>
    <col min="12" max="14" width="10.75" style="8" customWidth="1"/>
    <col min="15" max="15" width="12.75" style="283" customWidth="1"/>
    <col min="16" max="16" width="12.75" style="25" customWidth="1"/>
    <col min="17" max="17" width="12.75" style="8" customWidth="1"/>
    <col min="18" max="18" width="10.75" style="8" customWidth="1"/>
    <col min="19" max="19" width="9.75" style="8" customWidth="1"/>
    <col min="20" max="20" width="9.75" style="228" customWidth="1"/>
    <col min="21" max="21" width="10.75" style="69" customWidth="1"/>
    <col min="22" max="22" width="9.75" style="8" customWidth="1"/>
    <col min="23" max="24" width="7.75" style="8" customWidth="1"/>
    <col min="25" max="35" width="9.125" style="8"/>
    <col min="36" max="36" width="5.75" style="8" customWidth="1"/>
    <col min="37" max="37" width="20.75" style="8" customWidth="1"/>
    <col min="38" max="38" width="6.75" style="8" customWidth="1"/>
    <col min="39" max="39" width="10.75" style="8" customWidth="1"/>
    <col min="40" max="40" width="9.125" style="8"/>
    <col min="41" max="41" width="12.75" style="8" customWidth="1"/>
    <col min="42" max="43" width="10.75" style="8" customWidth="1"/>
    <col min="44" max="44" width="5.75" style="8" customWidth="1"/>
    <col min="45" max="45" width="35.75" style="8" customWidth="1"/>
    <col min="46" max="46" width="5.75" style="8" customWidth="1"/>
    <col min="47" max="47" width="10.75" style="8" customWidth="1"/>
    <col min="48" max="48" width="35.75" style="8" customWidth="1"/>
    <col min="49" max="50" width="5.75" style="220" customWidth="1"/>
    <col min="51" max="51" width="10.75" style="8" customWidth="1"/>
    <col min="52" max="52" width="35.75" style="8" customWidth="1"/>
    <col min="53" max="54" width="5.75" style="220" customWidth="1"/>
    <col min="55" max="55" width="9.125" style="8"/>
    <col min="56" max="56" width="15.75" style="8" customWidth="1"/>
    <col min="57" max="64" width="9.125" style="8"/>
    <col min="65" max="65" width="15.125" style="8" customWidth="1"/>
    <col min="66" max="66" width="50.75" style="8" customWidth="1"/>
    <col min="67" max="67" width="15.75" style="8" customWidth="1"/>
    <col min="68" max="68" width="30.75" style="8" customWidth="1"/>
    <col min="69" max="69" width="20.75" style="8" customWidth="1"/>
    <col min="70" max="71" width="9.125" style="8"/>
    <col min="72" max="72" width="12.75" style="23" customWidth="1"/>
    <col min="73" max="73" width="5.75" style="10" customWidth="1"/>
    <col min="74" max="74" width="6.75" style="21" customWidth="1"/>
    <col min="75" max="75" width="5.75" style="31" customWidth="1"/>
    <col min="76" max="76" width="5.75" style="51" customWidth="1"/>
    <col min="77" max="78" width="6.75" style="1" customWidth="1"/>
    <col min="79" max="79" width="5.75" style="31" customWidth="1"/>
    <col min="80" max="80" width="5.75" style="51" customWidth="1"/>
    <col min="81" max="82" width="5.75" style="1" customWidth="1"/>
    <col min="83" max="16384" width="9.125" style="284"/>
  </cols>
  <sheetData>
    <row r="1" spans="1:69">
      <c r="A1" s="9" t="s">
        <v>5352</v>
      </c>
      <c r="B1" s="223" t="s">
        <v>1804</v>
      </c>
      <c r="C1" s="116">
        <v>54193806</v>
      </c>
      <c r="D1" s="247">
        <v>54186755</v>
      </c>
      <c r="G1" s="27"/>
      <c r="H1" s="1" t="s">
        <v>2196</v>
      </c>
      <c r="I1" s="31" t="s">
        <v>2197</v>
      </c>
      <c r="J1" s="9" t="s">
        <v>2198</v>
      </c>
      <c r="K1" s="31" t="s">
        <v>2200</v>
      </c>
      <c r="L1" s="9" t="s">
        <v>4</v>
      </c>
      <c r="M1" s="51" t="s">
        <v>4993</v>
      </c>
      <c r="N1" s="18" t="s">
        <v>4994</v>
      </c>
      <c r="O1" s="31" t="s">
        <v>5295</v>
      </c>
      <c r="P1" s="25" t="s">
        <v>5168</v>
      </c>
      <c r="V1" s="9"/>
      <c r="W1" s="130" t="s">
        <v>2814</v>
      </c>
      <c r="X1" s="130"/>
      <c r="Y1" s="130"/>
      <c r="Z1" s="114"/>
      <c r="AA1" s="8" t="s">
        <v>1828</v>
      </c>
      <c r="AK1" s="10" t="s">
        <v>1853</v>
      </c>
      <c r="AL1" s="8" t="s">
        <v>1849</v>
      </c>
      <c r="AM1" s="8" t="s">
        <v>1848</v>
      </c>
      <c r="AN1" s="8" t="s">
        <v>1855</v>
      </c>
      <c r="AO1" s="8" t="s">
        <v>1859</v>
      </c>
      <c r="AP1" s="8" t="s">
        <v>1870</v>
      </c>
      <c r="AQ1" s="8" t="s">
        <v>1873</v>
      </c>
      <c r="AS1" s="10" t="s">
        <v>1892</v>
      </c>
      <c r="AU1" s="220" t="s">
        <v>1925</v>
      </c>
      <c r="AV1" s="220" t="s">
        <v>1928</v>
      </c>
      <c r="AW1" s="220" t="s">
        <v>1929</v>
      </c>
      <c r="AY1" s="220" t="s">
        <v>1925</v>
      </c>
      <c r="AZ1" s="220" t="s">
        <v>1825</v>
      </c>
      <c r="BA1" s="220" t="s">
        <v>1929</v>
      </c>
      <c r="BD1" s="9" t="s">
        <v>1961</v>
      </c>
      <c r="BE1" s="8" t="s">
        <v>1989</v>
      </c>
      <c r="BN1" s="9" t="s">
        <v>2002</v>
      </c>
      <c r="BO1" s="9" t="s">
        <v>2027</v>
      </c>
      <c r="BP1" s="31" t="s">
        <v>2022</v>
      </c>
      <c r="BQ1" s="31" t="s">
        <v>2048</v>
      </c>
    </row>
    <row r="2" spans="1:69">
      <c r="A2" s="51" t="s">
        <v>5353</v>
      </c>
      <c r="B2" s="223" t="s">
        <v>2917</v>
      </c>
      <c r="C2" s="116" t="s">
        <v>5230</v>
      </c>
      <c r="D2" s="247">
        <v>54186755</v>
      </c>
      <c r="G2" s="281"/>
      <c r="H2" s="1"/>
      <c r="I2" s="31"/>
      <c r="J2" s="9"/>
      <c r="K2" s="31"/>
      <c r="L2" s="9"/>
      <c r="M2" s="176"/>
      <c r="N2" s="7"/>
      <c r="O2" s="31"/>
      <c r="P2" s="25" t="s">
        <v>5169</v>
      </c>
      <c r="V2" s="157"/>
      <c r="W2" s="42" t="s">
        <v>2815</v>
      </c>
      <c r="X2" s="28" t="s">
        <v>2816</v>
      </c>
      <c r="Y2" s="130" t="s">
        <v>2817</v>
      </c>
      <c r="Z2" s="58"/>
      <c r="AA2" s="8" t="s">
        <v>1830</v>
      </c>
      <c r="AB2" s="8" t="s">
        <v>1831</v>
      </c>
      <c r="AK2" s="301" t="s">
        <v>1879</v>
      </c>
      <c r="AL2" s="8" t="s">
        <v>1849</v>
      </c>
      <c r="AM2" s="8" t="s">
        <v>1880</v>
      </c>
      <c r="AS2" s="301" t="s">
        <v>1900</v>
      </c>
      <c r="AU2" s="8" t="s">
        <v>1931</v>
      </c>
      <c r="AV2" s="8" t="s">
        <v>1935</v>
      </c>
      <c r="AY2" s="8" t="s">
        <v>1926</v>
      </c>
      <c r="AZ2" s="8" t="s">
        <v>1950</v>
      </c>
      <c r="BA2" s="220">
        <v>5</v>
      </c>
      <c r="BD2" s="8" t="s">
        <v>1960</v>
      </c>
      <c r="BE2" s="8" t="s">
        <v>1968</v>
      </c>
      <c r="BN2" s="8" t="s">
        <v>1992</v>
      </c>
      <c r="BO2" s="8" t="s">
        <v>2028</v>
      </c>
      <c r="BP2" s="8" t="s">
        <v>2029</v>
      </c>
      <c r="BQ2" s="8" t="s">
        <v>2049</v>
      </c>
    </row>
    <row r="3" spans="1:69">
      <c r="E3" s="1" t="s">
        <v>5428</v>
      </c>
      <c r="H3" s="1"/>
      <c r="I3" s="31"/>
      <c r="J3" s="9"/>
      <c r="K3" s="31"/>
      <c r="L3" s="9"/>
      <c r="M3" s="176"/>
      <c r="N3" s="7"/>
      <c r="O3" s="31"/>
      <c r="P3" s="25" t="s">
        <v>5170</v>
      </c>
      <c r="V3" s="157"/>
      <c r="W3" s="42"/>
      <c r="X3" s="28" t="s">
        <v>2818</v>
      </c>
      <c r="Y3" s="130" t="s">
        <v>2819</v>
      </c>
      <c r="Z3" s="58"/>
      <c r="AA3" s="8" t="s">
        <v>1833</v>
      </c>
      <c r="AB3" s="8" t="s">
        <v>1834</v>
      </c>
      <c r="AK3" s="301" t="s">
        <v>1856</v>
      </c>
      <c r="AL3" s="8" t="s">
        <v>1849</v>
      </c>
      <c r="AN3" s="8" t="s">
        <v>1855</v>
      </c>
      <c r="AS3" s="301" t="s">
        <v>1910</v>
      </c>
      <c r="AV3" s="8" t="s">
        <v>1886</v>
      </c>
      <c r="AW3" s="220">
        <v>4</v>
      </c>
      <c r="AZ3" s="8" t="s">
        <v>1927</v>
      </c>
      <c r="BA3" s="220">
        <v>3</v>
      </c>
      <c r="BD3" s="8" t="s">
        <v>1962</v>
      </c>
      <c r="BE3" s="8" t="s">
        <v>1969</v>
      </c>
      <c r="BN3" s="8" t="s">
        <v>1991</v>
      </c>
      <c r="BO3" s="8" t="s">
        <v>2030</v>
      </c>
      <c r="BP3" s="8" t="s">
        <v>2031</v>
      </c>
      <c r="BQ3" s="8" t="s">
        <v>2050</v>
      </c>
    </row>
    <row r="4" spans="1:69">
      <c r="A4" s="9" t="s">
        <v>4986</v>
      </c>
      <c r="B4" s="221" t="s">
        <v>1453</v>
      </c>
      <c r="C4" s="92" t="s">
        <v>1445</v>
      </c>
      <c r="D4" s="92" t="s">
        <v>1446</v>
      </c>
      <c r="E4" s="92" t="s">
        <v>1446</v>
      </c>
      <c r="H4" s="42" t="s">
        <v>6423</v>
      </c>
      <c r="I4" s="175">
        <v>0</v>
      </c>
      <c r="J4" s="165">
        <v>0</v>
      </c>
      <c r="K4" s="112">
        <f t="shared" ref="K4" si="0">I4-J4</f>
        <v>0</v>
      </c>
      <c r="L4" s="161" t="e">
        <f t="shared" ref="L4" si="1">K4/J4</f>
        <v>#DIV/0!</v>
      </c>
      <c r="M4" s="227">
        <f t="shared" ref="M4" si="2">I4*(0.001425*0.5)+J4*(0.001425*0.5)+I4*0.003</f>
        <v>0</v>
      </c>
      <c r="N4" s="165">
        <f t="shared" ref="N4" si="3">K4-M4</f>
        <v>0</v>
      </c>
      <c r="O4" s="31"/>
      <c r="V4" s="9"/>
      <c r="W4" s="42"/>
      <c r="X4" s="28" t="s">
        <v>2821</v>
      </c>
      <c r="Y4" s="47" t="s">
        <v>2820</v>
      </c>
      <c r="Z4" s="58"/>
      <c r="AA4" s="8" t="s">
        <v>1836</v>
      </c>
      <c r="AK4" s="301" t="s">
        <v>1891</v>
      </c>
      <c r="AM4" s="8" t="s">
        <v>1849</v>
      </c>
      <c r="AO4" s="8" t="s">
        <v>1861</v>
      </c>
      <c r="AS4" s="301" t="s">
        <v>1895</v>
      </c>
      <c r="AV4" s="8" t="s">
        <v>1932</v>
      </c>
      <c r="AW4" s="220">
        <v>1</v>
      </c>
      <c r="AZ4" s="8" t="s">
        <v>1930</v>
      </c>
      <c r="BA4" s="220">
        <v>2</v>
      </c>
      <c r="BD4" s="8" t="s">
        <v>1963</v>
      </c>
      <c r="BE4" s="8" t="s">
        <v>1987</v>
      </c>
      <c r="BN4" s="8" t="s">
        <v>1990</v>
      </c>
      <c r="BO4" s="8" t="s">
        <v>2032</v>
      </c>
      <c r="BP4" s="8" t="s">
        <v>2033</v>
      </c>
      <c r="BQ4" s="8" t="s">
        <v>2051</v>
      </c>
    </row>
    <row r="5" spans="1:69">
      <c r="A5" s="31" t="s">
        <v>1444</v>
      </c>
      <c r="B5" s="320">
        <v>54186755</v>
      </c>
      <c r="C5" s="92" t="s">
        <v>1449</v>
      </c>
      <c r="D5" s="92" t="s">
        <v>1449</v>
      </c>
      <c r="E5" s="92" t="s">
        <v>1449</v>
      </c>
      <c r="F5" s="92" t="s">
        <v>2638</v>
      </c>
      <c r="G5" s="92"/>
      <c r="H5" s="42" t="s">
        <v>6342</v>
      </c>
      <c r="I5" s="175">
        <v>49.3</v>
      </c>
      <c r="J5" s="165">
        <v>40</v>
      </c>
      <c r="K5" s="112">
        <f t="shared" ref="K5" si="4">I5-J5</f>
        <v>9.2999999999999972</v>
      </c>
      <c r="L5" s="161">
        <f t="shared" ref="L5" si="5">K5/J5</f>
        <v>0.23249999999999993</v>
      </c>
      <c r="M5" s="227">
        <f t="shared" ref="M5:M10" si="6">I5*(0.001425*0.5)+J5*(0.001425*0.5)+I5*0.003</f>
        <v>0.21152625</v>
      </c>
      <c r="N5" s="165">
        <f t="shared" ref="N5" si="7">K5-M5</f>
        <v>9.0884737499999968</v>
      </c>
      <c r="O5" s="31"/>
      <c r="V5" s="110"/>
      <c r="W5" s="20" t="s">
        <v>2822</v>
      </c>
      <c r="X5" s="27" t="s">
        <v>2823</v>
      </c>
      <c r="Y5" s="122" t="s">
        <v>2828</v>
      </c>
      <c r="Z5" s="58"/>
      <c r="AA5" s="8" t="s">
        <v>1836</v>
      </c>
      <c r="AK5" s="301" t="s">
        <v>1886</v>
      </c>
      <c r="AQ5" s="8" t="s">
        <v>1885</v>
      </c>
      <c r="AS5" s="301" t="s">
        <v>1905</v>
      </c>
      <c r="AV5" s="8" t="s">
        <v>1933</v>
      </c>
      <c r="AW5" s="220">
        <v>1</v>
      </c>
      <c r="BD5" s="8" t="s">
        <v>1964</v>
      </c>
      <c r="BE5" s="8" t="s">
        <v>1988</v>
      </c>
      <c r="BN5" s="8" t="s">
        <v>1993</v>
      </c>
      <c r="BO5" s="8" t="s">
        <v>2034</v>
      </c>
      <c r="BP5" s="8" t="s">
        <v>2035</v>
      </c>
      <c r="BQ5" s="8" t="s">
        <v>2052</v>
      </c>
    </row>
    <row r="6" spans="1:69">
      <c r="A6" s="51" t="s">
        <v>500</v>
      </c>
      <c r="B6" s="151" t="s">
        <v>1453</v>
      </c>
      <c r="C6" s="92" t="s">
        <v>1449</v>
      </c>
      <c r="D6" s="92" t="s">
        <v>1449</v>
      </c>
      <c r="E6" s="92" t="s">
        <v>1449</v>
      </c>
      <c r="H6" s="42" t="s">
        <v>5561</v>
      </c>
      <c r="I6" s="175">
        <v>606.5</v>
      </c>
      <c r="J6" s="165">
        <v>527.6</v>
      </c>
      <c r="K6" s="112">
        <f t="shared" ref="K6" si="8">I6-J6</f>
        <v>78.899999999999977</v>
      </c>
      <c r="L6" s="161">
        <f t="shared" ref="L6" si="9">K6/J6</f>
        <v>0.14954510993176645</v>
      </c>
      <c r="M6" s="227">
        <f t="shared" si="6"/>
        <v>2.62754625</v>
      </c>
      <c r="N6" s="165">
        <f t="shared" ref="N6:N12" si="10">K6-M6</f>
        <v>76.272453749999983</v>
      </c>
      <c r="O6" s="41"/>
      <c r="V6" s="110"/>
      <c r="W6" s="20"/>
      <c r="X6" s="27" t="s">
        <v>2824</v>
      </c>
      <c r="Y6" s="122" t="s">
        <v>2833</v>
      </c>
      <c r="Z6" s="58"/>
      <c r="AA6" s="8" t="s">
        <v>1838</v>
      </c>
      <c r="AK6" s="301" t="s">
        <v>1868</v>
      </c>
      <c r="AL6" s="8" t="s">
        <v>1849</v>
      </c>
      <c r="AN6" s="8" t="s">
        <v>1855</v>
      </c>
      <c r="AO6" s="8" t="s">
        <v>1869</v>
      </c>
      <c r="AP6" s="8" t="s">
        <v>1871</v>
      </c>
      <c r="AQ6" s="8" t="s">
        <v>1872</v>
      </c>
      <c r="AS6" s="8" t="s">
        <v>1902</v>
      </c>
      <c r="AV6" s="8" t="s">
        <v>1878</v>
      </c>
      <c r="AW6" s="220">
        <v>1</v>
      </c>
      <c r="AY6" s="8" t="s">
        <v>1954</v>
      </c>
      <c r="AZ6" s="8" t="s">
        <v>1938</v>
      </c>
      <c r="BA6" s="220">
        <v>12</v>
      </c>
      <c r="BD6" s="8" t="s">
        <v>1966</v>
      </c>
      <c r="BE6" s="8" t="s">
        <v>1998</v>
      </c>
      <c r="BN6" s="8" t="s">
        <v>1994</v>
      </c>
      <c r="BO6" s="8" t="s">
        <v>2036</v>
      </c>
      <c r="BP6" s="8" t="s">
        <v>2037</v>
      </c>
      <c r="BQ6" s="8" t="s">
        <v>2053</v>
      </c>
    </row>
    <row r="7" spans="1:69">
      <c r="A7" s="9" t="s">
        <v>1443</v>
      </c>
      <c r="B7" s="221" t="s">
        <v>1452</v>
      </c>
      <c r="C7" s="92" t="s">
        <v>1449</v>
      </c>
      <c r="D7" s="92" t="s">
        <v>1449</v>
      </c>
      <c r="E7" s="92" t="s">
        <v>1449</v>
      </c>
      <c r="H7" s="42" t="s">
        <v>5435</v>
      </c>
      <c r="I7" s="175">
        <v>0</v>
      </c>
      <c r="J7" s="165">
        <v>0</v>
      </c>
      <c r="K7" s="112">
        <f t="shared" ref="K7" si="11">I7-J7</f>
        <v>0</v>
      </c>
      <c r="L7" s="161">
        <v>0</v>
      </c>
      <c r="M7" s="227">
        <f t="shared" si="6"/>
        <v>0</v>
      </c>
      <c r="N7" s="165">
        <f t="shared" si="10"/>
        <v>0</v>
      </c>
      <c r="O7" s="14"/>
      <c r="V7" s="110"/>
      <c r="W7" s="20"/>
      <c r="X7" s="27" t="s">
        <v>2825</v>
      </c>
      <c r="Y7" s="122" t="s">
        <v>2829</v>
      </c>
      <c r="Z7" s="58"/>
      <c r="AK7" s="301" t="s">
        <v>1851</v>
      </c>
      <c r="AL7" s="8" t="s">
        <v>1849</v>
      </c>
      <c r="AM7" s="8" t="s">
        <v>1848</v>
      </c>
      <c r="AN7" s="8" t="s">
        <v>1855</v>
      </c>
      <c r="AO7" s="8" t="s">
        <v>1861</v>
      </c>
      <c r="AS7" s="8" t="s">
        <v>1907</v>
      </c>
      <c r="AV7" s="8" t="s">
        <v>1951</v>
      </c>
      <c r="AW7" s="220">
        <v>1</v>
      </c>
      <c r="AY7" s="8" t="s">
        <v>1947</v>
      </c>
      <c r="AZ7" s="8" t="s">
        <v>1936</v>
      </c>
      <c r="BA7" s="220">
        <v>1</v>
      </c>
      <c r="BD7" s="8" t="s">
        <v>1967</v>
      </c>
      <c r="BE7" s="8" t="s">
        <v>1999</v>
      </c>
      <c r="BN7" s="8" t="s">
        <v>1995</v>
      </c>
      <c r="BO7" s="8" t="s">
        <v>2024</v>
      </c>
      <c r="BP7" s="8" t="s">
        <v>2038</v>
      </c>
      <c r="BQ7" s="8" t="s">
        <v>2054</v>
      </c>
    </row>
    <row r="8" spans="1:69">
      <c r="A8" s="302"/>
      <c r="B8" s="223" t="s">
        <v>5004</v>
      </c>
      <c r="C8" s="283" t="s">
        <v>2238</v>
      </c>
      <c r="D8" s="283" t="s">
        <v>2311</v>
      </c>
      <c r="E8" s="283" t="s">
        <v>5380</v>
      </c>
      <c r="F8" s="283" t="s">
        <v>1772</v>
      </c>
      <c r="H8" s="42" t="s">
        <v>5345</v>
      </c>
      <c r="I8" s="175">
        <v>528.6</v>
      </c>
      <c r="J8" s="165">
        <v>464.15</v>
      </c>
      <c r="K8" s="112">
        <f t="shared" ref="K8" si="12">I8-J8</f>
        <v>64.450000000000045</v>
      </c>
      <c r="L8" s="161">
        <f t="shared" ref="L8" si="13">K8/J8</f>
        <v>0.13885597328449864</v>
      </c>
      <c r="M8" s="227">
        <f t="shared" si="6"/>
        <v>2.2931343750000002</v>
      </c>
      <c r="N8" s="165">
        <f t="shared" si="10"/>
        <v>62.156865625000044</v>
      </c>
      <c r="O8" s="31"/>
      <c r="V8" s="110"/>
      <c r="W8" s="20"/>
      <c r="X8" s="27" t="s">
        <v>2826</v>
      </c>
      <c r="Y8" s="122" t="s">
        <v>2830</v>
      </c>
      <c r="Z8" s="58"/>
      <c r="AA8" s="303" t="s">
        <v>1841</v>
      </c>
      <c r="AK8" s="301" t="s">
        <v>1852</v>
      </c>
      <c r="AM8" s="8" t="s">
        <v>1848</v>
      </c>
      <c r="AO8" s="8" t="s">
        <v>1876</v>
      </c>
      <c r="AS8" s="8" t="s">
        <v>1906</v>
      </c>
      <c r="AV8" s="8" t="s">
        <v>1934</v>
      </c>
      <c r="AW8" s="220">
        <v>1</v>
      </c>
      <c r="AY8" s="131" t="s">
        <v>1953</v>
      </c>
      <c r="AZ8" s="8" t="s">
        <v>1937</v>
      </c>
      <c r="BA8" s="220">
        <v>1</v>
      </c>
      <c r="BD8" s="8" t="s">
        <v>1970</v>
      </c>
      <c r="BE8" s="8" t="s">
        <v>2000</v>
      </c>
      <c r="BN8" s="8" t="s">
        <v>1996</v>
      </c>
      <c r="BO8" s="8" t="s">
        <v>2039</v>
      </c>
      <c r="BP8" s="8" t="s">
        <v>2040</v>
      </c>
      <c r="BQ8" s="8" t="s">
        <v>2055</v>
      </c>
    </row>
    <row r="9" spans="1:69">
      <c r="A9" s="151" t="s">
        <v>1804</v>
      </c>
      <c r="B9" s="223" t="s">
        <v>2386</v>
      </c>
      <c r="C9" s="283" t="s">
        <v>1777</v>
      </c>
      <c r="D9" s="283" t="s">
        <v>2312</v>
      </c>
      <c r="E9" s="283" t="s">
        <v>5382</v>
      </c>
      <c r="F9" s="283" t="s">
        <v>1774</v>
      </c>
      <c r="H9" s="42" t="s">
        <v>5302</v>
      </c>
      <c r="I9" s="175">
        <v>175.1</v>
      </c>
      <c r="J9" s="165">
        <v>160.30000000000001</v>
      </c>
      <c r="K9" s="112">
        <f t="shared" ref="K9" si="14">I9-J9</f>
        <v>14.799999999999983</v>
      </c>
      <c r="L9" s="161">
        <f t="shared" ref="L9" si="15">K9/J9</f>
        <v>9.23268870867123E-2</v>
      </c>
      <c r="M9" s="227">
        <f t="shared" si="6"/>
        <v>0.76427250000000002</v>
      </c>
      <c r="N9" s="165">
        <f t="shared" si="10"/>
        <v>14.035727499999982</v>
      </c>
      <c r="O9" s="8"/>
      <c r="V9" s="110"/>
      <c r="W9" s="20"/>
      <c r="X9" s="27" t="s">
        <v>2827</v>
      </c>
      <c r="Y9" s="122" t="s">
        <v>2831</v>
      </c>
      <c r="Z9" s="58"/>
      <c r="AA9" s="303" t="s">
        <v>1843</v>
      </c>
      <c r="AK9" s="301" t="s">
        <v>1883</v>
      </c>
      <c r="AL9" s="8" t="s">
        <v>1849</v>
      </c>
      <c r="AO9" s="8" t="s">
        <v>1858</v>
      </c>
      <c r="AS9" s="8" t="s">
        <v>1901</v>
      </c>
      <c r="AV9" s="8" t="s">
        <v>1905</v>
      </c>
      <c r="AW9" s="220">
        <v>1</v>
      </c>
      <c r="AY9" s="8" t="s">
        <v>2025</v>
      </c>
      <c r="AZ9" s="8" t="s">
        <v>1948</v>
      </c>
      <c r="BA9" s="220">
        <v>1</v>
      </c>
      <c r="BD9" s="8" t="s">
        <v>1972</v>
      </c>
      <c r="BE9" s="8" t="s">
        <v>2001</v>
      </c>
      <c r="BN9" s="8" t="s">
        <v>1997</v>
      </c>
      <c r="BO9" s="8" t="s">
        <v>2041</v>
      </c>
      <c r="BP9" s="8" t="s">
        <v>2042</v>
      </c>
      <c r="BQ9" s="8" t="s">
        <v>2056</v>
      </c>
    </row>
    <row r="10" spans="1:69">
      <c r="A10" s="151" t="s">
        <v>2917</v>
      </c>
      <c r="B10" s="223" t="s">
        <v>2387</v>
      </c>
      <c r="C10" s="283" t="s">
        <v>1778</v>
      </c>
      <c r="D10" s="283" t="s">
        <v>2321</v>
      </c>
      <c r="E10" s="283"/>
      <c r="F10" s="283" t="s">
        <v>1775</v>
      </c>
      <c r="H10" s="42" t="s">
        <v>5221</v>
      </c>
      <c r="I10" s="175">
        <v>5598.6</v>
      </c>
      <c r="J10" s="165">
        <v>5343.05</v>
      </c>
      <c r="K10" s="112">
        <f t="shared" ref="K10" si="16">I10-J10</f>
        <v>255.55000000000018</v>
      </c>
      <c r="L10" s="161">
        <f t="shared" ref="L10" si="17">K10/J10</f>
        <v>4.782848747438264E-2</v>
      </c>
      <c r="M10" s="227">
        <f t="shared" si="6"/>
        <v>24.591725625000002</v>
      </c>
      <c r="N10" s="165">
        <f t="shared" si="10"/>
        <v>230.95827437500017</v>
      </c>
      <c r="O10" s="175"/>
      <c r="V10" s="110"/>
      <c r="W10" s="20"/>
      <c r="X10" s="27" t="s">
        <v>2832</v>
      </c>
      <c r="Y10" s="159" t="s">
        <v>2836</v>
      </c>
      <c r="Z10" s="58"/>
      <c r="AA10" s="303" t="s">
        <v>1845</v>
      </c>
      <c r="AK10" s="301" t="s">
        <v>1890</v>
      </c>
      <c r="AL10" s="8" t="s">
        <v>1849</v>
      </c>
      <c r="AO10" s="8" t="s">
        <v>1861</v>
      </c>
      <c r="AQ10" s="8" t="s">
        <v>1885</v>
      </c>
      <c r="AS10" s="8" t="s">
        <v>1924</v>
      </c>
      <c r="BD10" s="8" t="s">
        <v>1973</v>
      </c>
      <c r="BE10" s="8" t="s">
        <v>2003</v>
      </c>
      <c r="BP10" s="8" t="s">
        <v>2043</v>
      </c>
      <c r="BQ10" s="8" t="s">
        <v>2057</v>
      </c>
    </row>
    <row r="11" spans="1:69">
      <c r="A11" s="151" t="s">
        <v>1803</v>
      </c>
      <c r="B11" s="223" t="s">
        <v>2388</v>
      </c>
      <c r="C11" s="283" t="s">
        <v>1818</v>
      </c>
      <c r="D11" s="283" t="s">
        <v>2313</v>
      </c>
      <c r="E11" s="283" t="s">
        <v>5381</v>
      </c>
      <c r="F11" s="283" t="s">
        <v>1817</v>
      </c>
      <c r="H11" s="42" t="s">
        <v>5067</v>
      </c>
      <c r="I11" s="175">
        <v>4124</v>
      </c>
      <c r="J11" s="165">
        <v>3941</v>
      </c>
      <c r="K11" s="112">
        <f t="shared" ref="K11" si="18">I11-J11</f>
        <v>183</v>
      </c>
      <c r="L11" s="161">
        <f t="shared" ref="L11" si="19">K11/J11</f>
        <v>4.6434914996193857E-2</v>
      </c>
      <c r="M11" s="227">
        <f>I11*(0.001425*0.65)+J11*(0.001425*0.65)+I11*0.003</f>
        <v>19.84220625</v>
      </c>
      <c r="N11" s="165">
        <f t="shared" si="10"/>
        <v>163.15779375</v>
      </c>
      <c r="O11" s="175"/>
      <c r="V11" s="110"/>
      <c r="W11" s="20"/>
      <c r="X11" s="27" t="s">
        <v>2834</v>
      </c>
      <c r="Y11" s="122" t="s">
        <v>2837</v>
      </c>
      <c r="Z11" s="58"/>
      <c r="AA11" s="303" t="s">
        <v>1846</v>
      </c>
      <c r="AK11" s="301" t="s">
        <v>1887</v>
      </c>
      <c r="AQ11" s="8" t="s">
        <v>1885</v>
      </c>
      <c r="AS11" s="8" t="s">
        <v>1908</v>
      </c>
      <c r="AV11" s="8" t="s">
        <v>2099</v>
      </c>
      <c r="AW11" s="220">
        <v>1</v>
      </c>
      <c r="AY11" s="8" t="s">
        <v>1942</v>
      </c>
      <c r="AZ11" s="8" t="s">
        <v>1945</v>
      </c>
      <c r="BA11" s="220">
        <v>2</v>
      </c>
      <c r="BD11" s="8" t="s">
        <v>1974</v>
      </c>
      <c r="BE11" s="8" t="s">
        <v>2004</v>
      </c>
      <c r="BO11" s="8" t="s">
        <v>2044</v>
      </c>
      <c r="BP11" s="8" t="s">
        <v>2045</v>
      </c>
      <c r="BQ11" s="31" t="s">
        <v>2058</v>
      </c>
    </row>
    <row r="12" spans="1:69">
      <c r="C12" s="283" t="s">
        <v>1765</v>
      </c>
      <c r="D12" s="283" t="s">
        <v>1765</v>
      </c>
      <c r="E12" s="283" t="s">
        <v>1769</v>
      </c>
      <c r="F12" s="283" t="s">
        <v>1765</v>
      </c>
      <c r="H12" s="42" t="s">
        <v>4955</v>
      </c>
      <c r="I12" s="175">
        <v>1672.55</v>
      </c>
      <c r="J12" s="165">
        <v>1594.82</v>
      </c>
      <c r="K12" s="112">
        <f t="shared" ref="K12" si="20">I12-J12</f>
        <v>77.730000000000018</v>
      </c>
      <c r="L12" s="161">
        <f t="shared" ref="L12" si="21">K12/J12</f>
        <v>4.8739042650581273E-2</v>
      </c>
      <c r="M12" s="227">
        <f>I12*(0.001425*0.65)+J12*(0.001425*0.65)+I12*0.003</f>
        <v>8.0440514625000006</v>
      </c>
      <c r="N12" s="165">
        <f t="shared" si="10"/>
        <v>69.685948537500025</v>
      </c>
      <c r="O12" s="175"/>
      <c r="V12" s="161"/>
      <c r="W12" s="20"/>
      <c r="X12" s="27" t="s">
        <v>2835</v>
      </c>
      <c r="Y12" s="122" t="s">
        <v>2838</v>
      </c>
      <c r="Z12" s="58"/>
      <c r="AA12" s="303" t="s">
        <v>1847</v>
      </c>
      <c r="AK12" s="301" t="s">
        <v>1944</v>
      </c>
      <c r="AM12" s="8" t="s">
        <v>1848</v>
      </c>
      <c r="AS12" s="8" t="s">
        <v>1909</v>
      </c>
      <c r="AV12" s="8" t="s">
        <v>2100</v>
      </c>
      <c r="AW12" s="220">
        <v>1</v>
      </c>
      <c r="AZ12" s="8" t="s">
        <v>1946</v>
      </c>
      <c r="BA12" s="220">
        <v>1</v>
      </c>
      <c r="BD12" s="8" t="s">
        <v>1965</v>
      </c>
      <c r="BE12" s="8" t="s">
        <v>2005</v>
      </c>
      <c r="BO12" s="8" t="s">
        <v>2046</v>
      </c>
      <c r="BP12" s="8" t="s">
        <v>2047</v>
      </c>
      <c r="BQ12" s="8" t="s">
        <v>2059</v>
      </c>
    </row>
    <row r="13" spans="1:69">
      <c r="A13" s="9" t="s">
        <v>4986</v>
      </c>
      <c r="C13" s="92" t="s">
        <v>1805</v>
      </c>
      <c r="D13" s="92" t="s">
        <v>1799</v>
      </c>
      <c r="E13" s="92" t="s">
        <v>1796</v>
      </c>
      <c r="F13" s="92" t="s">
        <v>1796</v>
      </c>
      <c r="G13" s="92"/>
      <c r="H13" s="42" t="s">
        <v>4938</v>
      </c>
      <c r="I13" s="175">
        <v>990.9</v>
      </c>
      <c r="J13" s="165">
        <v>937.75</v>
      </c>
      <c r="K13" s="112">
        <f t="shared" ref="K13" si="22">I13-J13</f>
        <v>53.149999999999977</v>
      </c>
      <c r="L13" s="161">
        <f t="shared" ref="L13" si="23">K13/J13</f>
        <v>5.6678219141562229E-2</v>
      </c>
      <c r="M13" s="227">
        <f t="shared" ref="M13:M15" si="24">I13*(0.001425*0.65)+J13*(0.001425*0.65)+I13*0.003</f>
        <v>4.7591120624999999</v>
      </c>
      <c r="N13" s="165">
        <f t="shared" ref="N13:N15" si="25">K13-M13</f>
        <v>48.390887937499976</v>
      </c>
      <c r="O13" s="175"/>
      <c r="V13" s="181"/>
      <c r="W13" s="42" t="s">
        <v>2839</v>
      </c>
      <c r="X13" s="28" t="s">
        <v>2840</v>
      </c>
      <c r="Y13" s="130" t="s">
        <v>2847</v>
      </c>
      <c r="Z13" s="58"/>
      <c r="AV13" s="8" t="s">
        <v>2101</v>
      </c>
      <c r="AW13" s="220">
        <v>1</v>
      </c>
      <c r="AZ13" s="8" t="s">
        <v>1949</v>
      </c>
      <c r="BA13" s="220">
        <v>1</v>
      </c>
      <c r="BD13" s="8" t="s">
        <v>1959</v>
      </c>
      <c r="BE13" s="8" t="s">
        <v>2007</v>
      </c>
      <c r="BQ13" s="8" t="s">
        <v>2023</v>
      </c>
    </row>
    <row r="14" spans="1:69">
      <c r="A14" s="155" t="s">
        <v>5003</v>
      </c>
      <c r="C14" s="281" t="s">
        <v>2704</v>
      </c>
      <c r="D14" s="300" t="s">
        <v>2703</v>
      </c>
      <c r="H14" s="42" t="s">
        <v>4518</v>
      </c>
      <c r="I14" s="175">
        <v>1351.95</v>
      </c>
      <c r="J14" s="165">
        <v>1318.8</v>
      </c>
      <c r="K14" s="112">
        <f t="shared" ref="K14" si="26">I14-J14</f>
        <v>33.150000000000091</v>
      </c>
      <c r="L14" s="161">
        <f t="shared" ref="L14" si="27">K14/J14</f>
        <v>2.5136487716105622E-2</v>
      </c>
      <c r="M14" s="227">
        <f t="shared" si="24"/>
        <v>6.5296321875000007</v>
      </c>
      <c r="N14" s="165">
        <f t="shared" si="25"/>
        <v>26.620367812500092</v>
      </c>
      <c r="O14" s="175"/>
      <c r="V14" s="181"/>
      <c r="W14" s="42"/>
      <c r="X14" s="28" t="s">
        <v>2841</v>
      </c>
      <c r="Y14" s="130" t="s">
        <v>2848</v>
      </c>
      <c r="Z14" s="58"/>
      <c r="AA14" s="8" t="s">
        <v>1829</v>
      </c>
      <c r="AK14" s="8" t="s">
        <v>1864</v>
      </c>
      <c r="AM14" s="8" t="s">
        <v>1848</v>
      </c>
      <c r="AO14" s="8" t="s">
        <v>1865</v>
      </c>
      <c r="AP14" s="8" t="s">
        <v>1875</v>
      </c>
      <c r="AS14" s="8" t="s">
        <v>1899</v>
      </c>
      <c r="BD14" s="8" t="s">
        <v>1975</v>
      </c>
      <c r="BE14" s="8" t="s">
        <v>2013</v>
      </c>
      <c r="BQ14" s="8" t="s">
        <v>2060</v>
      </c>
    </row>
    <row r="15" spans="1:69">
      <c r="A15" s="155" t="s">
        <v>4988</v>
      </c>
      <c r="C15" s="43" t="s">
        <v>3101</v>
      </c>
      <c r="D15" s="27"/>
      <c r="H15" s="42" t="s">
        <v>3607</v>
      </c>
      <c r="I15" s="175">
        <v>208.2</v>
      </c>
      <c r="J15" s="165">
        <v>174.3</v>
      </c>
      <c r="K15" s="112">
        <f t="shared" ref="K15" si="28">I15-J15</f>
        <v>33.899999999999977</v>
      </c>
      <c r="L15" s="161">
        <f t="shared" ref="L15:L16" si="29">K15/J15</f>
        <v>0.19449225473321843</v>
      </c>
      <c r="M15" s="227">
        <f t="shared" si="24"/>
        <v>0.97889062500000001</v>
      </c>
      <c r="N15" s="165">
        <f t="shared" si="25"/>
        <v>32.921109374999979</v>
      </c>
      <c r="O15" s="175"/>
      <c r="V15" s="181"/>
      <c r="W15" s="42"/>
      <c r="X15" s="28" t="s">
        <v>2842</v>
      </c>
      <c r="Y15" s="130" t="s">
        <v>2849</v>
      </c>
      <c r="Z15" s="58"/>
      <c r="AA15" s="8" t="s">
        <v>1832</v>
      </c>
      <c r="AS15" s="8" t="s">
        <v>1896</v>
      </c>
      <c r="AV15" s="8" t="s">
        <v>2089</v>
      </c>
      <c r="AW15" s="220">
        <v>2</v>
      </c>
      <c r="AX15" s="220">
        <v>1</v>
      </c>
      <c r="AY15" s="8" t="s">
        <v>2088</v>
      </c>
      <c r="AZ15" s="8" t="s">
        <v>1941</v>
      </c>
      <c r="BA15" s="220">
        <v>6</v>
      </c>
      <c r="BD15" s="8" t="s">
        <v>1976</v>
      </c>
      <c r="BE15" s="8" t="s">
        <v>2014</v>
      </c>
      <c r="BQ15" s="8" t="s">
        <v>2061</v>
      </c>
    </row>
    <row r="16" spans="1:69">
      <c r="A16" s="155" t="s">
        <v>4987</v>
      </c>
      <c r="D16" s="283"/>
      <c r="E16" s="9" t="s">
        <v>5068</v>
      </c>
      <c r="H16" s="1" t="s">
        <v>4972</v>
      </c>
      <c r="I16" s="175">
        <f>SUM(I5:I15)</f>
        <v>15305.7</v>
      </c>
      <c r="J16" s="165">
        <f>SUM(J5:J15)</f>
        <v>14501.769999999999</v>
      </c>
      <c r="K16" s="172">
        <f>SUM(K5:K15)</f>
        <v>803.93000000000029</v>
      </c>
      <c r="L16" s="161">
        <f t="shared" si="29"/>
        <v>5.5436681177539041E-2</v>
      </c>
      <c r="M16" s="227">
        <f>SUM(M6:M15)</f>
        <v>70.430571337500012</v>
      </c>
      <c r="N16" s="165">
        <f>SUM(N6:N15)</f>
        <v>724.1994286625004</v>
      </c>
      <c r="O16" s="175">
        <f>I16/10</f>
        <v>1530.5700000000002</v>
      </c>
      <c r="V16" s="181"/>
      <c r="W16" s="42"/>
      <c r="X16" s="28" t="s">
        <v>2843</v>
      </c>
      <c r="Y16" s="130" t="s">
        <v>2850</v>
      </c>
      <c r="Z16" s="58"/>
      <c r="AA16" s="8" t="s">
        <v>1835</v>
      </c>
      <c r="AK16" s="8" t="s">
        <v>1850</v>
      </c>
      <c r="AL16" s="8" t="s">
        <v>1849</v>
      </c>
      <c r="AM16" s="8" t="s">
        <v>1848</v>
      </c>
      <c r="AN16" s="8" t="s">
        <v>1855</v>
      </c>
      <c r="AS16" s="8" t="s">
        <v>1897</v>
      </c>
      <c r="AV16" s="8" t="s">
        <v>2093</v>
      </c>
      <c r="AW16" s="220">
        <v>2</v>
      </c>
      <c r="AZ16" s="8" t="s">
        <v>2087</v>
      </c>
      <c r="BA16" s="220">
        <v>1</v>
      </c>
      <c r="BD16" s="8" t="s">
        <v>1971</v>
      </c>
      <c r="BE16" s="8" t="s">
        <v>2015</v>
      </c>
      <c r="BQ16" s="8" t="s">
        <v>2062</v>
      </c>
    </row>
    <row r="17" spans="1:92">
      <c r="A17" s="155" t="s">
        <v>1448</v>
      </c>
      <c r="C17" s="92"/>
      <c r="D17" s="220" t="s">
        <v>5002</v>
      </c>
      <c r="E17" s="234" t="s">
        <v>5001</v>
      </c>
      <c r="W17" s="42"/>
      <c r="X17" s="28" t="s">
        <v>2844</v>
      </c>
      <c r="Y17" s="130" t="s">
        <v>2851</v>
      </c>
      <c r="Z17" s="58"/>
      <c r="AA17" s="8" t="s">
        <v>1837</v>
      </c>
      <c r="AK17" s="8" t="s">
        <v>1874</v>
      </c>
      <c r="AS17" s="8" t="s">
        <v>1915</v>
      </c>
      <c r="AU17" s="131"/>
      <c r="AV17" s="8" t="s">
        <v>2095</v>
      </c>
      <c r="AW17" s="220">
        <v>2</v>
      </c>
      <c r="AZ17" s="8" t="s">
        <v>1939</v>
      </c>
      <c r="BA17" s="220">
        <v>1</v>
      </c>
      <c r="BD17" s="8" t="s">
        <v>1977</v>
      </c>
      <c r="BE17" s="8" t="s">
        <v>2016</v>
      </c>
      <c r="BQ17" s="8" t="s">
        <v>2063</v>
      </c>
      <c r="CE17" s="8"/>
      <c r="CF17" s="8"/>
      <c r="CG17" s="8"/>
      <c r="CH17" s="8"/>
      <c r="CI17" s="8"/>
      <c r="CJ17" s="8"/>
      <c r="CK17" s="8"/>
      <c r="CL17" s="8"/>
      <c r="CM17" s="8"/>
      <c r="CN17" s="8"/>
    </row>
    <row r="18" spans="1:92">
      <c r="A18" s="304" t="s">
        <v>1444</v>
      </c>
      <c r="B18" s="304" t="s">
        <v>1449</v>
      </c>
      <c r="C18" s="306">
        <v>44901</v>
      </c>
      <c r="D18" s="220" t="s">
        <v>1449</v>
      </c>
      <c r="E18" s="234" t="s">
        <v>4998</v>
      </c>
      <c r="W18" s="42"/>
      <c r="X18" s="28" t="s">
        <v>2845</v>
      </c>
      <c r="Y18" s="130" t="s">
        <v>2852</v>
      </c>
      <c r="Z18" s="58"/>
      <c r="AK18" s="8" t="s">
        <v>1854</v>
      </c>
      <c r="AL18" s="8" t="s">
        <v>1849</v>
      </c>
      <c r="AV18" s="8" t="s">
        <v>2098</v>
      </c>
      <c r="AW18" s="220">
        <v>2</v>
      </c>
      <c r="AZ18" s="8" t="s">
        <v>1940</v>
      </c>
      <c r="BA18" s="220">
        <v>1</v>
      </c>
      <c r="BD18" s="8" t="s">
        <v>1978</v>
      </c>
      <c r="BE18" s="8" t="s">
        <v>2017</v>
      </c>
      <c r="BQ18" s="8" t="s">
        <v>2064</v>
      </c>
    </row>
    <row r="19" spans="1:92">
      <c r="A19" s="304"/>
      <c r="B19" s="304" t="s">
        <v>1450</v>
      </c>
      <c r="C19" s="306">
        <v>44760</v>
      </c>
      <c r="D19" s="220" t="s">
        <v>1450</v>
      </c>
      <c r="E19" s="234" t="s">
        <v>4999</v>
      </c>
      <c r="W19" s="42"/>
      <c r="X19" s="28" t="s">
        <v>2846</v>
      </c>
      <c r="Y19" s="130" t="s">
        <v>2853</v>
      </c>
      <c r="Z19" s="58"/>
      <c r="AA19" s="8" t="s">
        <v>1839</v>
      </c>
      <c r="AK19" s="8" t="s">
        <v>1857</v>
      </c>
      <c r="AO19" s="8" t="s">
        <v>1858</v>
      </c>
      <c r="AS19" s="8" t="s">
        <v>1893</v>
      </c>
      <c r="AV19" s="8" t="s">
        <v>2097</v>
      </c>
      <c r="AW19" s="220">
        <v>2</v>
      </c>
      <c r="AZ19" s="8" t="s">
        <v>1952</v>
      </c>
      <c r="BA19" s="220">
        <v>1</v>
      </c>
      <c r="BD19" s="8" t="s">
        <v>1979</v>
      </c>
      <c r="BE19" s="8" t="s">
        <v>2018</v>
      </c>
      <c r="BQ19" s="8" t="s">
        <v>2065</v>
      </c>
    </row>
    <row r="20" spans="1:92">
      <c r="A20" s="304"/>
      <c r="B20" s="304" t="s">
        <v>1451</v>
      </c>
      <c r="C20" s="306">
        <v>44648</v>
      </c>
      <c r="D20" s="220" t="s">
        <v>1451</v>
      </c>
      <c r="E20" s="234" t="s">
        <v>5000</v>
      </c>
      <c r="W20" s="20" t="s">
        <v>2854</v>
      </c>
      <c r="X20" s="27" t="s">
        <v>2841</v>
      </c>
      <c r="Y20" s="159" t="s">
        <v>2848</v>
      </c>
      <c r="Z20" s="114"/>
      <c r="AA20" s="8" t="s">
        <v>1840</v>
      </c>
      <c r="AK20" s="8" t="s">
        <v>1860</v>
      </c>
      <c r="AL20" s="8" t="s">
        <v>1849</v>
      </c>
      <c r="AO20" s="8" t="s">
        <v>1861</v>
      </c>
      <c r="AS20" s="8" t="s">
        <v>1894</v>
      </c>
      <c r="AV20" s="8" t="s">
        <v>2096</v>
      </c>
      <c r="AW20" s="220">
        <v>1</v>
      </c>
      <c r="AX20" s="220">
        <v>4</v>
      </c>
      <c r="AZ20" s="8" t="s">
        <v>1958</v>
      </c>
      <c r="BA20" s="220">
        <v>1</v>
      </c>
      <c r="BD20" s="8" t="s">
        <v>1980</v>
      </c>
      <c r="BE20" s="8" t="s">
        <v>2019</v>
      </c>
      <c r="BQ20" s="8" t="s">
        <v>2066</v>
      </c>
    </row>
    <row r="21" spans="1:92">
      <c r="A21" s="304"/>
      <c r="B21" s="304"/>
      <c r="C21" s="307"/>
      <c r="W21" s="159"/>
      <c r="X21" s="27" t="s">
        <v>2842</v>
      </c>
      <c r="Y21" s="159" t="s">
        <v>2849</v>
      </c>
      <c r="Z21" s="58"/>
      <c r="AA21" s="8" t="s">
        <v>1842</v>
      </c>
      <c r="AK21" s="8" t="s">
        <v>1862</v>
      </c>
      <c r="AO21" s="8" t="s">
        <v>1858</v>
      </c>
      <c r="AP21" s="8" t="s">
        <v>1863</v>
      </c>
      <c r="AS21" s="8" t="s">
        <v>1898</v>
      </c>
      <c r="AV21" s="8" t="s">
        <v>2109</v>
      </c>
      <c r="AW21" s="220">
        <v>1</v>
      </c>
      <c r="AX21" s="220">
        <v>2</v>
      </c>
      <c r="BD21" s="8" t="s">
        <v>1981</v>
      </c>
      <c r="BE21" s="8" t="s">
        <v>2021</v>
      </c>
      <c r="BQ21" s="31" t="s">
        <v>2067</v>
      </c>
    </row>
    <row r="22" spans="1:92">
      <c r="A22" s="304" t="s">
        <v>1443</v>
      </c>
      <c r="B22" s="304" t="s">
        <v>1449</v>
      </c>
      <c r="C22" s="306">
        <v>44800</v>
      </c>
      <c r="D22" s="43" t="s">
        <v>6651</v>
      </c>
      <c r="W22" s="130"/>
      <c r="X22" s="5"/>
      <c r="Y22" s="12"/>
      <c r="Z22" s="58"/>
      <c r="AA22" s="8" t="s">
        <v>1844</v>
      </c>
      <c r="AK22" s="8" t="s">
        <v>1866</v>
      </c>
      <c r="AM22" s="8" t="s">
        <v>1848</v>
      </c>
      <c r="AO22" s="8" t="s">
        <v>1861</v>
      </c>
      <c r="AS22" s="8" t="s">
        <v>1903</v>
      </c>
      <c r="AV22" s="8" t="s">
        <v>2092</v>
      </c>
      <c r="AW22" s="220">
        <v>1</v>
      </c>
      <c r="AX22" s="220">
        <v>1</v>
      </c>
      <c r="BD22" s="8" t="s">
        <v>1982</v>
      </c>
      <c r="BQ22" s="8" t="s">
        <v>2068</v>
      </c>
    </row>
    <row r="23" spans="1:92">
      <c r="B23" s="304" t="s">
        <v>1450</v>
      </c>
      <c r="C23" s="306">
        <v>44697</v>
      </c>
      <c r="W23" s="130"/>
      <c r="X23" s="5"/>
      <c r="Y23" s="12"/>
      <c r="Z23" s="58"/>
      <c r="AK23" s="8" t="s">
        <v>1867</v>
      </c>
      <c r="AO23" s="8" t="s">
        <v>1858</v>
      </c>
      <c r="AS23" s="8" t="s">
        <v>1904</v>
      </c>
      <c r="AV23" s="8" t="s">
        <v>2117</v>
      </c>
      <c r="AW23" s="220">
        <v>1</v>
      </c>
      <c r="AX23" s="220">
        <v>1</v>
      </c>
      <c r="AZ23" s="8" t="s">
        <v>1957</v>
      </c>
      <c r="BD23" s="8" t="s">
        <v>1983</v>
      </c>
      <c r="BQ23" s="8" t="s">
        <v>2069</v>
      </c>
    </row>
    <row r="24" spans="1:92">
      <c r="C24" s="307"/>
      <c r="AA24" s="220"/>
      <c r="AK24" s="8" t="s">
        <v>1877</v>
      </c>
      <c r="AO24" s="8" t="s">
        <v>1861</v>
      </c>
      <c r="AS24" s="8" t="s">
        <v>1911</v>
      </c>
      <c r="AV24" s="8" t="s">
        <v>2094</v>
      </c>
      <c r="AW24" s="220">
        <v>1</v>
      </c>
      <c r="AX24" s="220">
        <v>1</v>
      </c>
      <c r="BD24" s="8" t="s">
        <v>1984</v>
      </c>
      <c r="BQ24" s="8" t="s">
        <v>2070</v>
      </c>
    </row>
    <row r="25" spans="1:92">
      <c r="A25" s="304" t="s">
        <v>500</v>
      </c>
      <c r="B25" s="304" t="s">
        <v>6298</v>
      </c>
      <c r="C25" s="306">
        <v>44847</v>
      </c>
      <c r="AA25" s="220"/>
      <c r="AK25" s="8" t="s">
        <v>1881</v>
      </c>
      <c r="AO25" s="8" t="s">
        <v>1858</v>
      </c>
      <c r="AQ25" s="8" t="s">
        <v>1882</v>
      </c>
      <c r="AS25" s="8" t="s">
        <v>1923</v>
      </c>
      <c r="AV25" s="8" t="s">
        <v>2107</v>
      </c>
      <c r="AW25" s="220">
        <v>1</v>
      </c>
      <c r="BD25" s="8" t="s">
        <v>1985</v>
      </c>
      <c r="BQ25" s="8" t="s">
        <v>2074</v>
      </c>
    </row>
    <row r="26" spans="1:92">
      <c r="B26" s="304" t="s">
        <v>1450</v>
      </c>
      <c r="C26" s="306">
        <v>44747</v>
      </c>
      <c r="AA26" s="220"/>
      <c r="AK26" s="8" t="s">
        <v>1884</v>
      </c>
      <c r="AQ26" s="8" t="s">
        <v>1885</v>
      </c>
      <c r="AS26" s="8" t="s">
        <v>1912</v>
      </c>
      <c r="AV26" s="8" t="s">
        <v>2102</v>
      </c>
      <c r="AW26" s="220">
        <v>1</v>
      </c>
      <c r="BD26" s="8" t="s">
        <v>1986</v>
      </c>
      <c r="BQ26" s="8" t="s">
        <v>2071</v>
      </c>
    </row>
    <row r="27" spans="1:92">
      <c r="B27" s="304"/>
      <c r="C27" s="306"/>
      <c r="AA27" s="220"/>
    </row>
    <row r="28" spans="1:92">
      <c r="A28" s="300" t="s">
        <v>6372</v>
      </c>
      <c r="B28" s="300" t="s">
        <v>6374</v>
      </c>
      <c r="C28" s="305" t="s">
        <v>6373</v>
      </c>
      <c r="AA28" s="220"/>
    </row>
    <row r="29" spans="1:92">
      <c r="B29" s="304"/>
      <c r="C29" s="306"/>
      <c r="AA29" s="220"/>
    </row>
    <row r="30" spans="1:92">
      <c r="B30" s="304" t="s">
        <v>6328</v>
      </c>
      <c r="C30" s="306" t="s">
        <v>6329</v>
      </c>
      <c r="D30" s="304" t="s">
        <v>6331</v>
      </c>
      <c r="AA30" s="220"/>
    </row>
    <row r="31" spans="1:92">
      <c r="A31" s="304" t="s">
        <v>6332</v>
      </c>
      <c r="B31" s="304">
        <v>29467359</v>
      </c>
      <c r="C31" s="306" t="s">
        <v>6330</v>
      </c>
      <c r="D31" s="304">
        <v>916009079</v>
      </c>
      <c r="AA31" s="220"/>
    </row>
    <row r="32" spans="1:92">
      <c r="C32" s="306"/>
      <c r="D32" s="2"/>
      <c r="AA32" s="220"/>
      <c r="AK32" s="8" t="s">
        <v>1888</v>
      </c>
      <c r="AQ32" s="8" t="s">
        <v>1885</v>
      </c>
      <c r="AS32" s="8" t="s">
        <v>1913</v>
      </c>
      <c r="AV32" s="8" t="s">
        <v>2090</v>
      </c>
      <c r="AW32" s="220">
        <v>1</v>
      </c>
      <c r="BD32" s="8" t="s">
        <v>2006</v>
      </c>
      <c r="BQ32" s="8" t="s">
        <v>2072</v>
      </c>
      <c r="CE32" s="8"/>
      <c r="CF32" s="8"/>
      <c r="CG32" s="8"/>
      <c r="CH32" s="8"/>
      <c r="CI32" s="8"/>
      <c r="CJ32" s="8"/>
      <c r="CK32" s="8"/>
      <c r="CL32" s="8"/>
      <c r="CM32" s="8"/>
      <c r="CN32" s="8"/>
    </row>
    <row r="33" spans="1:82">
      <c r="A33" s="28" t="s">
        <v>4985</v>
      </c>
      <c r="B33" s="92" t="s">
        <v>1799</v>
      </c>
      <c r="C33" s="92" t="s">
        <v>1805</v>
      </c>
      <c r="D33" s="92" t="s">
        <v>1807</v>
      </c>
      <c r="E33" s="92" t="s">
        <v>1796</v>
      </c>
      <c r="AA33" s="220"/>
      <c r="AK33" s="8" t="s">
        <v>1889</v>
      </c>
      <c r="AQ33" s="8" t="s">
        <v>1885</v>
      </c>
      <c r="AS33" s="8" t="s">
        <v>1914</v>
      </c>
      <c r="AV33" s="8" t="s">
        <v>2091</v>
      </c>
      <c r="AW33" s="220">
        <v>1</v>
      </c>
      <c r="BD33" s="8" t="s">
        <v>2008</v>
      </c>
      <c r="BQ33" s="8" t="s">
        <v>2073</v>
      </c>
    </row>
    <row r="34" spans="1:82">
      <c r="B34" s="283" t="s">
        <v>1800</v>
      </c>
      <c r="C34" s="283" t="s">
        <v>1806</v>
      </c>
      <c r="D34" s="283" t="s">
        <v>1808</v>
      </c>
      <c r="E34" s="283" t="s">
        <v>1797</v>
      </c>
      <c r="AA34" s="220"/>
      <c r="AS34" s="8" t="s">
        <v>1916</v>
      </c>
      <c r="AV34" s="8" t="s">
        <v>2118</v>
      </c>
      <c r="AW34" s="220">
        <v>1</v>
      </c>
      <c r="BD34" s="8" t="s">
        <v>2009</v>
      </c>
      <c r="BQ34" s="8" t="s">
        <v>2075</v>
      </c>
    </row>
    <row r="35" spans="1:82">
      <c r="B35" s="281" t="s">
        <v>1801</v>
      </c>
      <c r="C35" s="281" t="s">
        <v>1798</v>
      </c>
      <c r="D35" s="281" t="s">
        <v>1798</v>
      </c>
      <c r="E35" s="281" t="s">
        <v>1798</v>
      </c>
      <c r="AA35" s="220"/>
      <c r="AK35" s="301" t="s">
        <v>1943</v>
      </c>
      <c r="AM35" s="8" t="s">
        <v>1848</v>
      </c>
      <c r="AS35" s="8" t="s">
        <v>1917</v>
      </c>
      <c r="BD35" s="8" t="s">
        <v>2010</v>
      </c>
      <c r="BQ35" s="8" t="s">
        <v>2076</v>
      </c>
    </row>
    <row r="36" spans="1:82">
      <c r="B36" s="281"/>
      <c r="C36" s="281"/>
      <c r="D36" s="281"/>
      <c r="E36" s="281"/>
      <c r="AA36" s="220"/>
      <c r="AK36" s="301"/>
    </row>
    <row r="37" spans="1:82">
      <c r="A37" s="220" t="s">
        <v>6470</v>
      </c>
      <c r="B37" s="315" t="s">
        <v>6471</v>
      </c>
      <c r="C37" s="281"/>
      <c r="D37" s="281" t="s">
        <v>6740</v>
      </c>
      <c r="E37" s="281" t="s">
        <v>6741</v>
      </c>
      <c r="AA37" s="220"/>
      <c r="AK37" s="301"/>
    </row>
    <row r="38" spans="1:82">
      <c r="C38" s="281"/>
      <c r="D38" s="281"/>
      <c r="E38" s="281"/>
      <c r="AA38" s="220"/>
      <c r="AK38" s="301"/>
    </row>
    <row r="39" spans="1:82">
      <c r="B39" s="31" t="s">
        <v>5372</v>
      </c>
      <c r="C39" s="284"/>
      <c r="D39" s="27" t="s">
        <v>5374</v>
      </c>
      <c r="M39" s="284"/>
      <c r="AA39" s="220"/>
      <c r="AS39" s="8" t="s">
        <v>1918</v>
      </c>
      <c r="AV39" s="8" t="s">
        <v>2103</v>
      </c>
      <c r="BD39" s="8" t="s">
        <v>2011</v>
      </c>
      <c r="BQ39" s="31" t="s">
        <v>2077</v>
      </c>
    </row>
    <row r="40" spans="1:82">
      <c r="A40" s="220" t="s">
        <v>6284</v>
      </c>
      <c r="B40" s="316" t="s">
        <v>5373</v>
      </c>
      <c r="C40" s="113"/>
      <c r="D40" s="317" t="s">
        <v>5375</v>
      </c>
      <c r="M40" s="284"/>
      <c r="AA40" s="220"/>
      <c r="BQ40" s="31"/>
    </row>
    <row r="41" spans="1:82">
      <c r="A41" s="220" t="s">
        <v>6285</v>
      </c>
      <c r="B41" s="113" t="s">
        <v>6288</v>
      </c>
      <c r="C41" s="113"/>
      <c r="D41" s="317" t="s">
        <v>6287</v>
      </c>
      <c r="M41" s="284"/>
      <c r="AA41" s="220"/>
      <c r="BQ41" s="31"/>
    </row>
    <row r="42" spans="1:82">
      <c r="A42" s="220" t="s">
        <v>6286</v>
      </c>
      <c r="B42" t="s">
        <v>6289</v>
      </c>
      <c r="C42" s="281"/>
      <c r="D42" s="315" t="s">
        <v>6290</v>
      </c>
      <c r="M42" s="284"/>
      <c r="AA42" s="220"/>
      <c r="BQ42" s="31"/>
    </row>
    <row r="43" spans="1:82">
      <c r="C43" s="283"/>
      <c r="D43" s="283"/>
      <c r="M43" s="284"/>
      <c r="AA43" s="220"/>
      <c r="BQ43" s="31"/>
    </row>
    <row r="44" spans="1:82">
      <c r="A44" s="258" t="s">
        <v>5132</v>
      </c>
      <c r="B44" s="309" t="s">
        <v>1802</v>
      </c>
      <c r="C44" s="9"/>
      <c r="D44" s="138" t="s">
        <v>1453</v>
      </c>
      <c r="E44" s="258" t="s">
        <v>2320</v>
      </c>
      <c r="I44" s="28"/>
      <c r="L44" s="148"/>
      <c r="O44" s="28"/>
      <c r="AS44" s="8" t="s">
        <v>1921</v>
      </c>
      <c r="AV44" s="8" t="s">
        <v>2106</v>
      </c>
      <c r="BQ44" s="8" t="s">
        <v>2080</v>
      </c>
    </row>
    <row r="45" spans="1:82">
      <c r="A45" s="283" t="s">
        <v>1809</v>
      </c>
      <c r="B45" s="283" t="s">
        <v>1810</v>
      </c>
      <c r="C45" s="283" t="s">
        <v>1811</v>
      </c>
      <c r="D45" s="283" t="s">
        <v>1812</v>
      </c>
      <c r="H45" s="148"/>
      <c r="I45" s="28"/>
      <c r="K45" s="10"/>
      <c r="L45" s="284"/>
      <c r="M45" s="284"/>
      <c r="O45" s="28"/>
      <c r="AA45" s="220"/>
      <c r="AK45" s="8" t="s">
        <v>1955</v>
      </c>
      <c r="AL45" s="8" t="s">
        <v>1956</v>
      </c>
      <c r="AS45" s="8" t="s">
        <v>1919</v>
      </c>
      <c r="AV45" s="8" t="s">
        <v>2104</v>
      </c>
      <c r="BD45" s="8" t="s">
        <v>2012</v>
      </c>
      <c r="BQ45" s="8" t="s">
        <v>2078</v>
      </c>
    </row>
    <row r="46" spans="1:82">
      <c r="A46" s="283" t="s">
        <v>1813</v>
      </c>
      <c r="B46" s="283" t="s">
        <v>1810</v>
      </c>
      <c r="C46" s="283" t="s">
        <v>1811</v>
      </c>
      <c r="D46" s="319" t="s">
        <v>1814</v>
      </c>
      <c r="I46" s="52"/>
      <c r="K46" s="10"/>
      <c r="L46" s="284"/>
      <c r="M46" s="284"/>
      <c r="O46" s="52"/>
      <c r="AA46" s="220"/>
      <c r="AS46" s="8" t="s">
        <v>1920</v>
      </c>
      <c r="AV46" s="8" t="s">
        <v>2105</v>
      </c>
      <c r="BD46" s="8" t="s">
        <v>2020</v>
      </c>
      <c r="BQ46" s="8" t="s">
        <v>2079</v>
      </c>
      <c r="BW46" s="9"/>
      <c r="BX46" s="9"/>
      <c r="BY46" s="9"/>
      <c r="BZ46" s="9"/>
      <c r="CA46" s="9"/>
      <c r="CB46" s="9"/>
      <c r="CC46" s="9"/>
      <c r="CD46" s="9"/>
    </row>
    <row r="47" spans="1:82">
      <c r="A47" s="283" t="s">
        <v>2317</v>
      </c>
      <c r="B47" s="283" t="s">
        <v>2318</v>
      </c>
      <c r="C47" s="283" t="s">
        <v>2319</v>
      </c>
      <c r="I47" s="52"/>
      <c r="L47" s="148"/>
      <c r="O47" s="52"/>
      <c r="AS47" s="8" t="s">
        <v>1922</v>
      </c>
      <c r="BQ47" s="8" t="s">
        <v>2081</v>
      </c>
    </row>
    <row r="48" spans="1:82">
      <c r="A48" s="283" t="s">
        <v>2314</v>
      </c>
      <c r="B48" s="308" t="s">
        <v>2315</v>
      </c>
      <c r="D48" s="283" t="s">
        <v>2316</v>
      </c>
      <c r="I48" s="52"/>
      <c r="L48" s="148"/>
      <c r="O48" s="52"/>
      <c r="AV48" s="8" t="s">
        <v>2108</v>
      </c>
      <c r="BQ48" s="8" t="s">
        <v>2082</v>
      </c>
    </row>
    <row r="49" spans="1:90">
      <c r="A49" s="220" t="s">
        <v>5445</v>
      </c>
      <c r="B49" s="220" t="s">
        <v>5446</v>
      </c>
      <c r="C49" s="220" t="s">
        <v>5447</v>
      </c>
      <c r="D49" s="220" t="s">
        <v>5448</v>
      </c>
      <c r="I49" s="52"/>
      <c r="L49" s="148"/>
      <c r="O49" s="52"/>
      <c r="BQ49" s="8" t="s">
        <v>2083</v>
      </c>
    </row>
    <row r="50" spans="1:90">
      <c r="I50" s="52"/>
      <c r="L50" s="148"/>
      <c r="O50" s="52"/>
      <c r="BQ50" s="8" t="s">
        <v>2084</v>
      </c>
    </row>
    <row r="51" spans="1:90">
      <c r="A51" s="27" t="s">
        <v>2237</v>
      </c>
      <c r="B51" s="72" t="s">
        <v>5158</v>
      </c>
      <c r="H51" s="8"/>
      <c r="I51" s="52"/>
      <c r="L51" s="148"/>
      <c r="O51" s="52"/>
      <c r="AU51" s="220"/>
      <c r="AV51" s="220"/>
      <c r="AW51" s="8"/>
      <c r="AX51" s="8"/>
      <c r="AY51" s="220"/>
      <c r="AZ51" s="220"/>
      <c r="BA51" s="8"/>
      <c r="BB51" s="8"/>
      <c r="BO51" s="8" t="s">
        <v>2085</v>
      </c>
      <c r="BR51" s="23"/>
      <c r="BS51" s="10"/>
      <c r="BT51" s="21"/>
      <c r="BU51" s="31"/>
      <c r="BV51" s="51"/>
      <c r="BW51" s="1"/>
      <c r="BX51" s="1"/>
      <c r="BY51" s="31"/>
      <c r="BZ51" s="51"/>
      <c r="CA51" s="1"/>
      <c r="CB51" s="1"/>
      <c r="CC51" s="284"/>
      <c r="CD51" s="284"/>
    </row>
    <row r="52" spans="1:90">
      <c r="B52" s="2" t="s">
        <v>5159</v>
      </c>
      <c r="H52" s="8"/>
      <c r="I52" s="52"/>
      <c r="L52" s="148"/>
      <c r="O52" s="52"/>
      <c r="AU52" s="220"/>
      <c r="AV52" s="220"/>
      <c r="AW52" s="8"/>
      <c r="AX52" s="8"/>
      <c r="AY52" s="220"/>
      <c r="AZ52" s="220"/>
      <c r="BA52" s="8"/>
      <c r="BB52" s="8"/>
      <c r="BO52" s="8" t="s">
        <v>2086</v>
      </c>
      <c r="BR52" s="23"/>
      <c r="BS52" s="10"/>
      <c r="BT52" s="21"/>
      <c r="BU52" s="31"/>
      <c r="BV52" s="51"/>
      <c r="BW52" s="1"/>
      <c r="BX52" s="1"/>
      <c r="BY52" s="31"/>
      <c r="BZ52" s="51"/>
      <c r="CA52" s="1"/>
      <c r="CB52" s="1"/>
      <c r="CC52" s="284"/>
      <c r="CD52" s="284"/>
    </row>
    <row r="53" spans="1:90">
      <c r="B53" s="2" t="s">
        <v>5160</v>
      </c>
      <c r="H53" s="8"/>
      <c r="I53" s="52"/>
      <c r="K53" s="220"/>
      <c r="L53" s="148"/>
      <c r="O53" s="52"/>
      <c r="AU53" s="220"/>
      <c r="AV53" s="220"/>
      <c r="AW53" s="8"/>
      <c r="AX53" s="8"/>
      <c r="AY53" s="220"/>
      <c r="AZ53" s="220"/>
      <c r="BA53" s="8"/>
      <c r="BB53" s="8"/>
      <c r="BR53" s="23"/>
      <c r="BS53" s="10"/>
      <c r="BT53" s="21"/>
      <c r="BU53" s="31"/>
      <c r="BV53" s="51"/>
      <c r="BW53" s="1"/>
      <c r="BX53" s="1"/>
      <c r="BY53" s="31"/>
      <c r="BZ53" s="51"/>
      <c r="CA53" s="1"/>
      <c r="CB53" s="1"/>
      <c r="CC53" s="284"/>
      <c r="CD53" s="284"/>
    </row>
    <row r="54" spans="1:90">
      <c r="B54" s="2" t="s">
        <v>5161</v>
      </c>
      <c r="H54" s="8"/>
      <c r="I54" s="97"/>
      <c r="J54" s="97"/>
      <c r="K54" s="220"/>
      <c r="O54" s="97"/>
      <c r="AU54" s="220"/>
      <c r="AV54" s="220"/>
      <c r="AW54" s="8"/>
      <c r="AX54" s="8"/>
      <c r="AY54" s="220"/>
      <c r="AZ54" s="220"/>
      <c r="BA54" s="8"/>
      <c r="BB54" s="8"/>
      <c r="BR54" s="23"/>
      <c r="BS54" s="10"/>
      <c r="BT54" s="21"/>
      <c r="BU54" s="31"/>
      <c r="BV54" s="51"/>
      <c r="BW54" s="1"/>
      <c r="BX54" s="1"/>
      <c r="BY54" s="31"/>
      <c r="BZ54" s="51"/>
      <c r="CA54" s="1"/>
      <c r="CB54" s="1"/>
      <c r="CC54" s="8"/>
      <c r="CD54" s="8"/>
      <c r="CE54" s="8"/>
      <c r="CF54" s="8"/>
      <c r="CG54" s="8"/>
      <c r="CH54" s="8"/>
      <c r="CI54" s="8"/>
      <c r="CJ54" s="8"/>
      <c r="CK54" s="8"/>
      <c r="CL54" s="8"/>
    </row>
    <row r="55" spans="1:90">
      <c r="B55" s="2" t="s">
        <v>5162</v>
      </c>
      <c r="H55" s="8"/>
      <c r="I55" s="140"/>
      <c r="J55" s="97"/>
      <c r="K55" s="220"/>
      <c r="O55" s="140"/>
      <c r="AU55" s="220"/>
      <c r="AV55" s="220"/>
      <c r="AW55" s="8"/>
      <c r="AX55" s="8"/>
      <c r="AY55" s="220"/>
      <c r="AZ55" s="220"/>
      <c r="BA55" s="8"/>
      <c r="BB55" s="8"/>
      <c r="BR55" s="23"/>
      <c r="BS55" s="10"/>
      <c r="BT55" s="21"/>
      <c r="BU55" s="31"/>
      <c r="BV55" s="51"/>
      <c r="BW55" s="1"/>
      <c r="BX55" s="1"/>
      <c r="BY55" s="31"/>
      <c r="BZ55" s="51"/>
      <c r="CA55" s="1"/>
      <c r="CB55" s="1"/>
      <c r="CC55" s="284"/>
      <c r="CD55" s="284"/>
    </row>
    <row r="56" spans="1:90">
      <c r="H56" s="8"/>
      <c r="I56" s="97"/>
      <c r="J56" s="97"/>
      <c r="K56" s="220"/>
      <c r="O56" s="97"/>
      <c r="AU56" s="220"/>
      <c r="AV56" s="220"/>
      <c r="AW56" s="8"/>
      <c r="AX56" s="8"/>
      <c r="AY56" s="220"/>
      <c r="AZ56" s="220"/>
      <c r="BA56" s="8"/>
      <c r="BB56" s="8"/>
      <c r="BR56" s="23"/>
      <c r="BS56" s="10"/>
      <c r="BT56" s="21"/>
      <c r="BU56" s="31"/>
      <c r="BV56" s="51"/>
      <c r="BW56" s="1"/>
      <c r="BX56" s="1"/>
      <c r="BY56" s="31"/>
      <c r="BZ56" s="51"/>
      <c r="CA56" s="1"/>
      <c r="CB56" s="1"/>
      <c r="CC56" s="284"/>
      <c r="CD56" s="284"/>
    </row>
    <row r="57" spans="1:90">
      <c r="H57" s="130"/>
      <c r="I57" s="97"/>
      <c r="J57" s="97"/>
      <c r="K57" s="220"/>
      <c r="O57" s="97"/>
      <c r="AU57" s="220"/>
      <c r="AV57" s="220"/>
      <c r="AW57" s="8"/>
      <c r="AX57" s="8"/>
      <c r="AY57" s="220"/>
      <c r="AZ57" s="220"/>
      <c r="BA57" s="8"/>
      <c r="BB57" s="8"/>
      <c r="BR57" s="23"/>
      <c r="BS57" s="10"/>
      <c r="BT57" s="21"/>
      <c r="BU57" s="31"/>
      <c r="BV57" s="51"/>
      <c r="BW57" s="1"/>
      <c r="BX57" s="1"/>
      <c r="BY57" s="31"/>
      <c r="BZ57" s="51"/>
      <c r="CA57" s="1"/>
      <c r="CB57" s="1"/>
      <c r="CC57" s="284"/>
      <c r="CD57" s="284"/>
    </row>
    <row r="58" spans="1:90">
      <c r="H58" s="130"/>
      <c r="I58" s="97"/>
      <c r="J58" s="97"/>
      <c r="K58" s="220"/>
      <c r="O58" s="97"/>
      <c r="AU58" s="220"/>
      <c r="AV58" s="220"/>
      <c r="AW58" s="8"/>
      <c r="AX58" s="8"/>
      <c r="AY58" s="220"/>
      <c r="AZ58" s="220"/>
      <c r="BA58" s="8"/>
      <c r="BB58" s="8"/>
      <c r="BR58" s="23"/>
      <c r="BS58" s="10"/>
      <c r="BT58" s="21"/>
      <c r="BU58" s="31"/>
      <c r="BV58" s="51"/>
      <c r="BW58" s="1"/>
      <c r="BX58" s="1"/>
      <c r="BY58" s="31"/>
      <c r="BZ58" s="51"/>
      <c r="CA58" s="1"/>
      <c r="CB58" s="1"/>
      <c r="CC58" s="8"/>
      <c r="CD58" s="8"/>
      <c r="CE58" s="8"/>
      <c r="CF58" s="8"/>
      <c r="CG58" s="8"/>
      <c r="CH58" s="8"/>
      <c r="CI58" s="8"/>
      <c r="CJ58" s="8"/>
      <c r="CK58" s="8"/>
      <c r="CL58" s="8"/>
    </row>
    <row r="59" spans="1:90">
      <c r="H59" s="130"/>
      <c r="AU59" s="220"/>
      <c r="AV59" s="220"/>
      <c r="AW59" s="8"/>
      <c r="AX59" s="8"/>
      <c r="AY59" s="220"/>
      <c r="AZ59" s="220"/>
      <c r="BA59" s="8"/>
      <c r="BB59" s="8"/>
      <c r="BR59" s="23"/>
      <c r="BS59" s="10"/>
      <c r="BT59" s="21"/>
      <c r="BU59" s="31"/>
      <c r="BV59" s="51"/>
      <c r="BW59" s="1"/>
      <c r="BX59" s="1"/>
      <c r="BY59" s="31"/>
      <c r="BZ59" s="51"/>
      <c r="CA59" s="1"/>
      <c r="CB59" s="1"/>
      <c r="CC59" s="284"/>
      <c r="CD59" s="284"/>
    </row>
    <row r="60" spans="1:90">
      <c r="H60" s="130"/>
      <c r="T60" s="176"/>
      <c r="AU60" s="220"/>
      <c r="AV60" s="220"/>
      <c r="AW60" s="8"/>
      <c r="AX60" s="8"/>
      <c r="AY60" s="220"/>
      <c r="AZ60" s="220"/>
      <c r="BA60" s="8"/>
      <c r="BB60" s="8"/>
      <c r="BR60" s="23"/>
      <c r="BS60" s="10"/>
      <c r="BT60" s="21"/>
      <c r="BU60" s="31"/>
      <c r="BV60" s="51"/>
      <c r="BW60" s="1"/>
      <c r="BX60" s="1"/>
      <c r="BY60" s="31"/>
      <c r="BZ60" s="51"/>
      <c r="CA60" s="1"/>
      <c r="CB60" s="1"/>
      <c r="CC60" s="284"/>
      <c r="CD60" s="284"/>
    </row>
    <row r="61" spans="1:90">
      <c r="H61" s="130"/>
      <c r="T61" s="226"/>
      <c r="AU61" s="220"/>
      <c r="AV61" s="220"/>
      <c r="AW61" s="8"/>
      <c r="AX61" s="8"/>
      <c r="AY61" s="220"/>
      <c r="AZ61" s="220"/>
      <c r="BA61" s="8"/>
      <c r="BB61" s="8"/>
      <c r="BR61" s="23"/>
      <c r="BS61" s="10"/>
      <c r="BT61" s="21"/>
      <c r="BU61" s="31"/>
      <c r="BV61" s="51"/>
      <c r="BW61" s="1"/>
      <c r="BX61" s="1"/>
      <c r="BY61" s="31"/>
      <c r="BZ61" s="51"/>
      <c r="CA61" s="1"/>
      <c r="CB61" s="1"/>
      <c r="CC61" s="284"/>
      <c r="CD61" s="284"/>
    </row>
    <row r="62" spans="1:90">
      <c r="H62" s="130"/>
      <c r="T62" s="226"/>
      <c r="AU62" s="220"/>
      <c r="AV62" s="220"/>
      <c r="AW62" s="8"/>
      <c r="AX62" s="8"/>
      <c r="AY62" s="220"/>
      <c r="AZ62" s="220"/>
      <c r="BA62" s="8"/>
      <c r="BB62" s="8"/>
      <c r="BR62" s="23"/>
      <c r="BS62" s="10"/>
      <c r="BT62" s="21"/>
      <c r="BU62" s="31"/>
      <c r="BV62" s="51"/>
      <c r="BW62" s="1"/>
      <c r="BX62" s="1"/>
      <c r="BY62" s="31"/>
      <c r="BZ62" s="51"/>
      <c r="CA62" s="1"/>
      <c r="CB62" s="1"/>
      <c r="CC62" s="8"/>
      <c r="CD62" s="8"/>
      <c r="CE62" s="8"/>
      <c r="CF62" s="8"/>
      <c r="CG62" s="8"/>
      <c r="CH62" s="8"/>
      <c r="CI62" s="8"/>
      <c r="CJ62" s="8"/>
      <c r="CK62" s="8"/>
      <c r="CL62" s="8"/>
    </row>
    <row r="63" spans="1:90">
      <c r="A63" s="43" t="s">
        <v>355</v>
      </c>
      <c r="B63" s="283"/>
      <c r="C63" s="2" t="s">
        <v>2392</v>
      </c>
      <c r="E63" s="283"/>
      <c r="H63" s="131"/>
      <c r="T63" s="176"/>
      <c r="AU63" s="220"/>
      <c r="AV63" s="220"/>
      <c r="AW63" s="8"/>
      <c r="AX63" s="8"/>
      <c r="AY63" s="220"/>
      <c r="AZ63" s="220"/>
      <c r="BA63" s="8"/>
      <c r="BB63" s="8"/>
      <c r="BR63" s="23"/>
      <c r="BS63" s="10"/>
      <c r="BT63" s="21"/>
      <c r="BU63" s="31"/>
      <c r="BV63" s="51"/>
      <c r="BW63" s="1"/>
      <c r="BX63" s="1"/>
      <c r="BY63" s="31"/>
      <c r="BZ63" s="51"/>
      <c r="CA63" s="1"/>
      <c r="CB63" s="1"/>
      <c r="CC63" s="284"/>
      <c r="CD63" s="284"/>
    </row>
    <row r="64" spans="1:90">
      <c r="A64" s="21" t="s">
        <v>356</v>
      </c>
      <c r="B64" s="283"/>
      <c r="C64" s="2" t="s">
        <v>2393</v>
      </c>
      <c r="E64" s="283"/>
      <c r="H64" s="8"/>
      <c r="T64" s="226"/>
      <c r="AU64" s="220"/>
      <c r="AV64" s="220"/>
      <c r="AW64" s="8"/>
      <c r="AX64" s="8"/>
      <c r="AY64" s="220"/>
      <c r="AZ64" s="220"/>
      <c r="BA64" s="8"/>
      <c r="BB64" s="8"/>
      <c r="BR64" s="23"/>
      <c r="BS64" s="10"/>
      <c r="BT64" s="21"/>
      <c r="BU64" s="31"/>
      <c r="BV64" s="51"/>
      <c r="BW64" s="1"/>
      <c r="BX64" s="1"/>
      <c r="BY64" s="31"/>
      <c r="BZ64" s="51"/>
      <c r="CA64" s="1"/>
      <c r="CB64" s="1"/>
      <c r="CC64" s="284"/>
      <c r="CD64" s="284"/>
    </row>
    <row r="65" spans="1:90">
      <c r="A65" s="2" t="s">
        <v>357</v>
      </c>
      <c r="B65" s="283"/>
      <c r="C65" s="2" t="s">
        <v>2394</v>
      </c>
      <c r="E65" s="283"/>
      <c r="H65" s="8"/>
      <c r="T65" s="226"/>
      <c r="W65" s="220"/>
      <c r="X65" s="220"/>
      <c r="Y65" s="220"/>
      <c r="Z65" s="220"/>
      <c r="AU65" s="220"/>
      <c r="AV65" s="220"/>
      <c r="AW65" s="8"/>
      <c r="AX65" s="8"/>
      <c r="AY65" s="220"/>
      <c r="AZ65" s="220"/>
      <c r="BA65" s="8"/>
      <c r="BB65" s="8"/>
      <c r="BR65" s="23"/>
      <c r="BS65" s="10"/>
      <c r="BT65" s="21"/>
      <c r="BU65" s="31"/>
      <c r="BV65" s="51"/>
      <c r="BW65" s="1"/>
      <c r="BX65" s="1"/>
      <c r="BY65" s="31"/>
      <c r="BZ65" s="51"/>
      <c r="CA65" s="1"/>
      <c r="CB65" s="1"/>
      <c r="CC65" s="284"/>
      <c r="CD65" s="284"/>
    </row>
    <row r="66" spans="1:90">
      <c r="A66" s="13" t="s">
        <v>358</v>
      </c>
      <c r="B66" s="283"/>
      <c r="C66" s="2" t="s">
        <v>2395</v>
      </c>
      <c r="E66" s="283"/>
      <c r="T66" s="226"/>
      <c r="AU66" s="220"/>
      <c r="AV66" s="220"/>
      <c r="AW66" s="8"/>
      <c r="AX66" s="8"/>
      <c r="AY66" s="220"/>
      <c r="AZ66" s="220"/>
      <c r="BA66" s="8"/>
      <c r="BB66" s="8"/>
      <c r="BR66" s="23"/>
      <c r="BS66" s="10"/>
      <c r="BT66" s="21"/>
      <c r="BU66" s="31"/>
      <c r="BV66" s="51"/>
      <c r="BW66" s="1"/>
      <c r="BX66" s="1"/>
      <c r="BY66" s="31"/>
      <c r="BZ66" s="51"/>
      <c r="CA66" s="1"/>
      <c r="CB66" s="1"/>
      <c r="CC66" s="284"/>
      <c r="CD66" s="284"/>
    </row>
    <row r="67" spans="1:90">
      <c r="A67" s="2" t="s">
        <v>359</v>
      </c>
      <c r="B67" s="283"/>
      <c r="C67" s="2" t="s">
        <v>2396</v>
      </c>
      <c r="E67" s="283"/>
      <c r="T67" s="226"/>
      <c r="AU67" s="220"/>
      <c r="AV67" s="220"/>
      <c r="AW67" s="8"/>
      <c r="AX67" s="8"/>
      <c r="AY67" s="220"/>
      <c r="AZ67" s="220"/>
      <c r="BA67" s="8"/>
      <c r="BB67" s="8"/>
      <c r="BR67" s="23"/>
      <c r="BS67" s="10"/>
      <c r="BT67" s="21"/>
      <c r="BU67" s="31"/>
      <c r="BV67" s="51"/>
      <c r="BW67" s="1"/>
      <c r="BX67" s="1"/>
      <c r="BY67" s="31"/>
      <c r="BZ67" s="51"/>
      <c r="CA67" s="1"/>
      <c r="CB67" s="1"/>
      <c r="CC67" s="284"/>
      <c r="CD67" s="284"/>
    </row>
    <row r="68" spans="1:90">
      <c r="A68" s="13" t="s">
        <v>360</v>
      </c>
      <c r="B68" s="283"/>
      <c r="C68" s="2" t="s">
        <v>2397</v>
      </c>
      <c r="E68" s="283"/>
      <c r="F68" s="8"/>
      <c r="G68" s="8"/>
      <c r="T68" s="226"/>
      <c r="AU68" s="220"/>
      <c r="AV68" s="220"/>
      <c r="AW68" s="8"/>
      <c r="AX68" s="8"/>
      <c r="AY68" s="220"/>
      <c r="AZ68" s="220"/>
      <c r="BA68" s="8"/>
      <c r="BB68" s="8"/>
      <c r="BR68" s="23"/>
      <c r="BS68" s="10"/>
      <c r="BT68" s="21"/>
      <c r="BU68" s="31"/>
      <c r="BV68" s="51"/>
      <c r="BW68" s="1"/>
      <c r="BX68" s="1"/>
      <c r="BY68" s="31"/>
      <c r="BZ68" s="51"/>
      <c r="CA68" s="1"/>
      <c r="CB68" s="1"/>
      <c r="CC68" s="284"/>
      <c r="CD68" s="284"/>
    </row>
    <row r="69" spans="1:90">
      <c r="A69" s="2" t="s">
        <v>361</v>
      </c>
      <c r="B69" s="283"/>
      <c r="C69" s="23" t="s">
        <v>2398</v>
      </c>
      <c r="E69" s="283"/>
      <c r="F69" s="8"/>
      <c r="G69" s="8"/>
      <c r="T69" s="226"/>
      <c r="AU69" s="220"/>
      <c r="AV69" s="220"/>
      <c r="AW69" s="8"/>
      <c r="AX69" s="8"/>
      <c r="AY69" s="220"/>
      <c r="AZ69" s="220"/>
      <c r="BA69" s="8"/>
      <c r="BB69" s="8"/>
      <c r="BR69" s="23"/>
      <c r="BS69" s="10"/>
      <c r="BT69" s="21"/>
      <c r="BU69" s="31"/>
      <c r="BV69" s="51"/>
      <c r="BW69" s="1"/>
      <c r="BX69" s="1"/>
      <c r="BY69" s="31"/>
      <c r="BZ69" s="51"/>
      <c r="CA69" s="1"/>
      <c r="CB69" s="1"/>
      <c r="CC69" s="284"/>
      <c r="CD69" s="284"/>
    </row>
    <row r="70" spans="1:90">
      <c r="A70" s="13" t="s">
        <v>362</v>
      </c>
      <c r="B70" s="283"/>
      <c r="C70" s="23" t="s">
        <v>2399</v>
      </c>
      <c r="E70" s="283"/>
      <c r="F70" s="8"/>
      <c r="G70" s="8"/>
      <c r="T70" s="226"/>
      <c r="AU70" s="220"/>
      <c r="AV70" s="220"/>
      <c r="AW70" s="8"/>
      <c r="AX70" s="8"/>
      <c r="AY70" s="220"/>
      <c r="AZ70" s="220"/>
      <c r="BA70" s="8"/>
      <c r="BB70" s="8"/>
      <c r="BR70" s="23"/>
      <c r="BS70" s="10"/>
      <c r="BT70" s="21"/>
      <c r="BU70" s="31"/>
      <c r="BV70" s="51"/>
      <c r="BW70" s="1"/>
      <c r="BX70" s="1"/>
      <c r="BY70" s="31"/>
      <c r="BZ70" s="51"/>
      <c r="CA70" s="1"/>
      <c r="CB70" s="1"/>
      <c r="CC70" s="284"/>
      <c r="CD70" s="284"/>
    </row>
    <row r="71" spans="1:90">
      <c r="A71" s="2" t="s">
        <v>363</v>
      </c>
      <c r="B71" s="283"/>
      <c r="C71" s="23" t="s">
        <v>2400</v>
      </c>
      <c r="E71" s="283"/>
      <c r="F71" s="8"/>
      <c r="G71" s="8"/>
      <c r="T71" s="226"/>
      <c r="AU71" s="220"/>
      <c r="AV71" s="220"/>
      <c r="AW71" s="8"/>
      <c r="AX71" s="8"/>
      <c r="AY71" s="220"/>
      <c r="AZ71" s="220"/>
      <c r="BA71" s="8"/>
      <c r="BB71" s="8"/>
      <c r="BR71" s="23"/>
      <c r="BS71" s="10"/>
      <c r="BT71" s="21"/>
      <c r="BU71" s="31"/>
      <c r="BV71" s="51"/>
      <c r="BW71" s="1"/>
      <c r="BX71" s="1"/>
      <c r="BY71" s="31"/>
      <c r="BZ71" s="51"/>
      <c r="CA71" s="1"/>
      <c r="CB71" s="1"/>
      <c r="CC71" s="284"/>
      <c r="CD71" s="284"/>
    </row>
    <row r="72" spans="1:90">
      <c r="A72" s="13" t="s">
        <v>364</v>
      </c>
      <c r="B72" s="283"/>
      <c r="C72" s="23" t="s">
        <v>2401</v>
      </c>
      <c r="E72" s="283"/>
      <c r="F72" s="8"/>
      <c r="G72" s="8"/>
      <c r="AU72" s="220"/>
      <c r="AV72" s="220"/>
      <c r="AW72" s="8"/>
      <c r="AX72" s="8"/>
      <c r="AY72" s="220"/>
      <c r="AZ72" s="220"/>
      <c r="BA72" s="8"/>
      <c r="BB72" s="8"/>
      <c r="BR72" s="23"/>
      <c r="BS72" s="10"/>
      <c r="BT72" s="21"/>
      <c r="BU72" s="31"/>
      <c r="BV72" s="51"/>
      <c r="BW72" s="1"/>
      <c r="BX72" s="1"/>
      <c r="BY72" s="31"/>
      <c r="BZ72" s="51"/>
      <c r="CA72" s="1"/>
      <c r="CB72" s="1"/>
      <c r="CC72" s="284"/>
      <c r="CD72" s="284"/>
    </row>
    <row r="73" spans="1:90">
      <c r="A73" s="2" t="s">
        <v>365</v>
      </c>
      <c r="B73" s="283"/>
      <c r="C73" s="23" t="s">
        <v>2402</v>
      </c>
      <c r="E73" s="283"/>
      <c r="F73" s="8"/>
      <c r="G73" s="8"/>
      <c r="AU73" s="220"/>
      <c r="AV73" s="220"/>
      <c r="AW73" s="8"/>
      <c r="AX73" s="8"/>
      <c r="AY73" s="220"/>
      <c r="AZ73" s="220"/>
      <c r="BA73" s="8"/>
      <c r="BB73" s="8"/>
      <c r="BR73" s="23"/>
      <c r="BS73" s="10"/>
      <c r="BT73" s="21"/>
      <c r="BU73" s="31"/>
      <c r="BV73" s="51"/>
      <c r="BW73" s="1"/>
      <c r="BX73" s="1"/>
      <c r="BY73" s="31"/>
      <c r="BZ73" s="51"/>
      <c r="CA73" s="1"/>
      <c r="CB73" s="1"/>
      <c r="CC73" s="284"/>
      <c r="CD73" s="284"/>
    </row>
    <row r="74" spans="1:90">
      <c r="A74" s="13" t="s">
        <v>366</v>
      </c>
      <c r="B74" s="283"/>
      <c r="C74" s="2" t="s">
        <v>2403</v>
      </c>
      <c r="E74" s="283"/>
      <c r="F74" s="28"/>
      <c r="G74" s="28"/>
      <c r="AU74" s="220"/>
      <c r="AV74" s="220"/>
      <c r="AW74" s="8"/>
      <c r="AX74" s="8"/>
      <c r="AY74" s="220"/>
      <c r="AZ74" s="220"/>
      <c r="BA74" s="8"/>
      <c r="BB74" s="8"/>
      <c r="BR74" s="23"/>
      <c r="BS74" s="10"/>
      <c r="BT74" s="21"/>
      <c r="BU74" s="31"/>
      <c r="BV74" s="51"/>
      <c r="BW74" s="1"/>
      <c r="BX74" s="1"/>
      <c r="BY74" s="31"/>
      <c r="BZ74" s="51"/>
      <c r="CA74" s="1"/>
      <c r="CB74" s="1"/>
      <c r="CC74" s="284"/>
      <c r="CD74" s="284"/>
    </row>
    <row r="75" spans="1:90">
      <c r="A75" s="2" t="s">
        <v>367</v>
      </c>
      <c r="B75" s="283"/>
      <c r="C75" s="283"/>
      <c r="D75" s="28"/>
      <c r="E75" s="283"/>
      <c r="F75" s="28"/>
      <c r="G75" s="28"/>
      <c r="AU75" s="220"/>
      <c r="AV75" s="220"/>
      <c r="AW75" s="8"/>
      <c r="AX75" s="8"/>
      <c r="AY75" s="220"/>
      <c r="AZ75" s="220"/>
      <c r="BA75" s="8"/>
      <c r="BB75" s="8"/>
      <c r="BR75" s="23"/>
      <c r="BS75" s="10"/>
      <c r="BT75" s="21"/>
      <c r="BU75" s="31"/>
      <c r="BV75" s="51"/>
      <c r="BW75" s="1"/>
      <c r="BX75" s="1"/>
      <c r="BY75" s="31"/>
      <c r="BZ75" s="51"/>
      <c r="CA75" s="1"/>
      <c r="CB75" s="1"/>
      <c r="CC75" s="284"/>
      <c r="CD75" s="284"/>
    </row>
    <row r="76" spans="1:90">
      <c r="A76" s="13" t="s">
        <v>368</v>
      </c>
      <c r="B76" s="283"/>
      <c r="C76" s="283"/>
      <c r="D76" s="52"/>
      <c r="E76" s="283"/>
      <c r="F76" s="28"/>
      <c r="G76" s="28"/>
      <c r="AU76" s="220"/>
      <c r="AV76" s="220"/>
      <c r="AW76" s="8"/>
      <c r="AX76" s="8"/>
      <c r="AY76" s="220"/>
      <c r="AZ76" s="220"/>
      <c r="BA76" s="8"/>
      <c r="BB76" s="8"/>
      <c r="BR76" s="23"/>
      <c r="BS76" s="10"/>
      <c r="BT76" s="21"/>
      <c r="BU76" s="31"/>
      <c r="BV76" s="51"/>
      <c r="BW76" s="1"/>
      <c r="BX76" s="1"/>
      <c r="BY76" s="31"/>
      <c r="BZ76" s="51"/>
      <c r="CA76" s="1"/>
      <c r="CB76" s="1"/>
      <c r="CC76" s="8"/>
      <c r="CD76" s="8"/>
      <c r="CE76" s="8"/>
      <c r="CF76" s="8"/>
      <c r="CG76" s="8"/>
      <c r="CH76" s="8"/>
      <c r="CI76" s="8"/>
      <c r="CJ76" s="8"/>
      <c r="CK76" s="8"/>
      <c r="CL76" s="8"/>
    </row>
    <row r="77" spans="1:90">
      <c r="A77" s="43" t="s">
        <v>369</v>
      </c>
      <c r="B77" s="283"/>
      <c r="C77" s="283"/>
      <c r="D77" s="28"/>
      <c r="E77" s="283"/>
      <c r="F77" s="130"/>
      <c r="G77" s="130"/>
      <c r="AU77" s="220"/>
      <c r="AV77" s="220"/>
      <c r="AW77" s="8"/>
      <c r="AX77" s="8"/>
      <c r="AY77" s="220"/>
      <c r="AZ77" s="220"/>
      <c r="BA77" s="8"/>
      <c r="BB77" s="8"/>
      <c r="BR77" s="23"/>
      <c r="BS77" s="10"/>
      <c r="BT77" s="21"/>
      <c r="BU77" s="31"/>
      <c r="BV77" s="51"/>
      <c r="BW77" s="1"/>
      <c r="BX77" s="1"/>
      <c r="BY77" s="31"/>
      <c r="BZ77" s="51"/>
      <c r="CA77" s="1"/>
      <c r="CB77" s="1"/>
      <c r="CC77" s="284"/>
      <c r="CD77" s="284"/>
    </row>
    <row r="78" spans="1:90">
      <c r="F78" s="130"/>
      <c r="G78" s="130"/>
      <c r="I78" s="101"/>
      <c r="O78" s="101"/>
      <c r="W78" s="285"/>
      <c r="X78" s="70"/>
      <c r="Y78" s="61"/>
      <c r="Z78" s="12"/>
      <c r="AA78" s="104"/>
      <c r="AB78" s="10"/>
      <c r="AC78" s="93"/>
      <c r="AD78" s="13"/>
      <c r="AE78" s="89"/>
      <c r="AF78" s="88"/>
      <c r="AG78" s="82"/>
      <c r="AH78" s="124"/>
      <c r="AI78" s="284"/>
      <c r="AJ78" s="284"/>
      <c r="AK78" s="284"/>
      <c r="AL78" s="284"/>
      <c r="AM78" s="284"/>
      <c r="AN78" s="284"/>
      <c r="AO78" s="284"/>
      <c r="AP78" s="284"/>
      <c r="AQ78" s="284"/>
      <c r="AR78" s="284"/>
      <c r="AS78" s="284"/>
      <c r="AT78" s="284"/>
      <c r="AU78" s="284"/>
      <c r="AV78" s="284"/>
      <c r="AW78" s="284"/>
      <c r="AX78" s="284"/>
      <c r="AY78" s="284"/>
      <c r="AZ78" s="284"/>
      <c r="BA78" s="284"/>
      <c r="BB78" s="284"/>
      <c r="BC78" s="284"/>
      <c r="BD78" s="284"/>
      <c r="BE78" s="284"/>
      <c r="BF78" s="284"/>
      <c r="BG78" s="284"/>
      <c r="BH78" s="284"/>
      <c r="BI78" s="284"/>
      <c r="BJ78" s="284"/>
      <c r="BK78" s="284"/>
      <c r="BL78" s="284"/>
      <c r="BM78" s="284"/>
      <c r="BN78" s="284"/>
      <c r="BO78" s="284"/>
      <c r="BP78" s="284"/>
      <c r="BQ78" s="284"/>
      <c r="BR78" s="284"/>
      <c r="BS78" s="284"/>
      <c r="BT78" s="284"/>
      <c r="BU78" s="284"/>
      <c r="BV78" s="284"/>
      <c r="BW78" s="284"/>
      <c r="BX78" s="284"/>
      <c r="BY78" s="284"/>
      <c r="BZ78" s="284"/>
      <c r="CA78" s="284"/>
      <c r="CB78" s="284"/>
      <c r="CC78" s="284"/>
      <c r="CD78" s="284"/>
    </row>
    <row r="79" spans="1:90">
      <c r="A79" s="24" t="s">
        <v>370</v>
      </c>
      <c r="B79" s="148"/>
      <c r="F79" s="130"/>
      <c r="G79" s="130"/>
      <c r="I79" s="101"/>
      <c r="O79" s="101"/>
      <c r="W79" s="285"/>
      <c r="X79" s="70"/>
      <c r="Y79" s="61"/>
      <c r="Z79" s="12"/>
      <c r="AA79" s="104"/>
      <c r="AB79" s="10"/>
      <c r="AC79" s="93"/>
      <c r="AD79" s="13"/>
      <c r="AE79" s="89"/>
      <c r="AF79" s="88"/>
      <c r="AG79" s="82"/>
      <c r="AH79" s="124"/>
      <c r="AI79" s="284"/>
      <c r="AJ79" s="284"/>
      <c r="AK79" s="284"/>
      <c r="AL79" s="284"/>
      <c r="AM79" s="284"/>
      <c r="AN79" s="284"/>
      <c r="AO79" s="284"/>
      <c r="AP79" s="284"/>
      <c r="AQ79" s="284"/>
      <c r="AR79" s="284"/>
      <c r="AS79" s="284"/>
      <c r="AT79" s="284"/>
      <c r="AU79" s="284"/>
      <c r="AV79" s="284"/>
      <c r="AW79" s="284"/>
      <c r="AX79" s="284"/>
      <c r="AY79" s="284"/>
      <c r="AZ79" s="284"/>
      <c r="BA79" s="284"/>
      <c r="BB79" s="284"/>
      <c r="BC79" s="284"/>
      <c r="BD79" s="284"/>
      <c r="BE79" s="284"/>
      <c r="BF79" s="284"/>
      <c r="BG79" s="284"/>
      <c r="BH79" s="284"/>
      <c r="BI79" s="284"/>
      <c r="BJ79" s="284"/>
      <c r="BK79" s="284"/>
      <c r="BL79" s="284"/>
      <c r="BM79" s="284"/>
      <c r="BN79" s="284"/>
      <c r="BO79" s="284"/>
      <c r="BP79" s="284"/>
      <c r="BQ79" s="284"/>
      <c r="BR79" s="284"/>
      <c r="BS79" s="284"/>
      <c r="BT79" s="284"/>
      <c r="BU79" s="284"/>
      <c r="BV79" s="284"/>
      <c r="BW79" s="284"/>
      <c r="BX79" s="284"/>
      <c r="BY79" s="284"/>
      <c r="BZ79" s="284"/>
      <c r="CA79" s="284"/>
      <c r="CB79" s="284"/>
      <c r="CC79" s="284"/>
      <c r="CD79" s="284"/>
    </row>
    <row r="80" spans="1:90">
      <c r="A80" s="24" t="s">
        <v>371</v>
      </c>
      <c r="B80" s="148"/>
      <c r="F80" s="132"/>
      <c r="G80" s="132"/>
      <c r="I80" s="101"/>
      <c r="M80" s="45"/>
      <c r="O80" s="101"/>
      <c r="W80" s="285"/>
      <c r="X80" s="70"/>
      <c r="Y80" s="61"/>
      <c r="Z80" s="12"/>
      <c r="AA80" s="104"/>
      <c r="AB80" s="10"/>
      <c r="AC80" s="93"/>
      <c r="AD80" s="13"/>
      <c r="AE80" s="89"/>
      <c r="AF80" s="88"/>
      <c r="AG80" s="82"/>
      <c r="AH80" s="124"/>
      <c r="AI80" s="284"/>
      <c r="AJ80" s="284"/>
      <c r="AK80" s="284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284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284"/>
      <c r="BV80" s="284"/>
      <c r="BW80" s="284"/>
      <c r="BX80" s="284"/>
      <c r="BY80" s="284"/>
      <c r="BZ80" s="284"/>
      <c r="CA80" s="284"/>
      <c r="CB80" s="284"/>
      <c r="CC80" s="284"/>
      <c r="CD80" s="284"/>
    </row>
    <row r="81" spans="1:82">
      <c r="A81" s="24" t="s">
        <v>372</v>
      </c>
      <c r="B81" s="148"/>
      <c r="F81" s="284"/>
      <c r="G81" s="284"/>
      <c r="I81" s="102"/>
      <c r="M81" s="45"/>
      <c r="O81" s="102"/>
      <c r="W81" s="285"/>
      <c r="X81" s="70"/>
      <c r="Y81" s="61"/>
      <c r="Z81" s="12"/>
      <c r="AA81" s="104"/>
      <c r="AB81" s="10"/>
      <c r="AC81" s="93"/>
      <c r="AD81" s="13"/>
      <c r="AE81" s="89"/>
      <c r="AF81" s="88"/>
      <c r="AG81" s="82"/>
      <c r="AH81" s="124"/>
      <c r="AI81" s="284"/>
      <c r="AJ81" s="284"/>
      <c r="AK81" s="284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284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284"/>
      <c r="BV81" s="284"/>
      <c r="BW81" s="284"/>
      <c r="BX81" s="284"/>
      <c r="BY81" s="284"/>
      <c r="BZ81" s="284"/>
      <c r="CA81" s="284"/>
      <c r="CB81" s="284"/>
      <c r="CC81" s="284"/>
      <c r="CD81" s="284"/>
    </row>
    <row r="82" spans="1:82">
      <c r="A82" s="23" t="s">
        <v>373</v>
      </c>
      <c r="B82" s="148"/>
      <c r="F82" s="284"/>
      <c r="G82" s="284"/>
      <c r="I82" s="102"/>
      <c r="M82" s="45"/>
      <c r="O82" s="102"/>
      <c r="W82" s="285"/>
      <c r="X82" s="70"/>
      <c r="Y82" s="61"/>
      <c r="Z82" s="12"/>
      <c r="AA82" s="104"/>
      <c r="AB82" s="10"/>
      <c r="AC82" s="93"/>
      <c r="AD82" s="13"/>
      <c r="AE82" s="89"/>
      <c r="AF82" s="88"/>
      <c r="AG82" s="82"/>
      <c r="AH82" s="124"/>
      <c r="AI82" s="284"/>
      <c r="AJ82" s="284"/>
      <c r="AK82" s="284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284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284"/>
      <c r="BV82" s="284"/>
      <c r="BW82" s="284"/>
      <c r="BX82" s="284"/>
      <c r="BY82" s="284"/>
      <c r="BZ82" s="284"/>
      <c r="CA82" s="284"/>
      <c r="CB82" s="284"/>
      <c r="CC82" s="284"/>
      <c r="CD82" s="284"/>
    </row>
    <row r="83" spans="1:82">
      <c r="A83" s="23" t="s">
        <v>374</v>
      </c>
      <c r="B83" s="148"/>
      <c r="I83" s="102"/>
      <c r="M83" s="45"/>
      <c r="O83" s="102"/>
      <c r="W83" s="285"/>
      <c r="X83" s="70"/>
      <c r="Y83" s="61"/>
      <c r="Z83" s="12"/>
      <c r="AA83" s="104"/>
      <c r="AB83" s="10"/>
      <c r="AC83" s="93"/>
      <c r="AD83" s="13"/>
      <c r="AE83" s="89"/>
      <c r="AF83" s="88"/>
      <c r="AG83" s="82"/>
      <c r="AH83" s="124"/>
      <c r="AI83" s="284"/>
      <c r="AJ83" s="284"/>
      <c r="AK83" s="284"/>
      <c r="AL83" s="284"/>
      <c r="AM83" s="284"/>
      <c r="AN83" s="284"/>
      <c r="AO83" s="284"/>
      <c r="AP83" s="284"/>
      <c r="AQ83" s="284"/>
      <c r="AR83" s="284"/>
      <c r="AS83" s="284"/>
      <c r="AT83" s="284"/>
      <c r="AU83" s="284"/>
      <c r="AV83" s="284"/>
      <c r="AW83" s="284"/>
      <c r="AX83" s="284"/>
      <c r="AY83" s="284"/>
      <c r="AZ83" s="284"/>
      <c r="BA83" s="284"/>
      <c r="BB83" s="284"/>
      <c r="BC83" s="284"/>
      <c r="BD83" s="284"/>
      <c r="BE83" s="284"/>
      <c r="BF83" s="284"/>
      <c r="BG83" s="284"/>
      <c r="BH83" s="284"/>
      <c r="BI83" s="284"/>
      <c r="BJ83" s="284"/>
      <c r="BK83" s="284"/>
      <c r="BL83" s="284"/>
      <c r="BM83" s="284"/>
      <c r="BN83" s="284"/>
      <c r="BO83" s="284"/>
      <c r="BP83" s="284"/>
      <c r="BQ83" s="284"/>
      <c r="BR83" s="284"/>
      <c r="BS83" s="284"/>
      <c r="BT83" s="284"/>
      <c r="BU83" s="284"/>
      <c r="BV83" s="284"/>
      <c r="BW83" s="284"/>
      <c r="BX83" s="284"/>
      <c r="BY83" s="284"/>
      <c r="BZ83" s="284"/>
      <c r="CA83" s="284"/>
      <c r="CB83" s="284"/>
      <c r="CC83" s="284"/>
      <c r="CD83" s="284"/>
    </row>
    <row r="84" spans="1:82">
      <c r="A84" s="23" t="s">
        <v>375</v>
      </c>
      <c r="B84" s="148"/>
      <c r="I84" s="102"/>
      <c r="M84" s="45"/>
      <c r="O84" s="102"/>
      <c r="W84" s="285"/>
      <c r="X84" s="70"/>
      <c r="Y84" s="61"/>
      <c r="Z84" s="12"/>
      <c r="AA84" s="104"/>
      <c r="AB84" s="10"/>
      <c r="AC84" s="93"/>
      <c r="AD84" s="13"/>
      <c r="AE84" s="89"/>
      <c r="AF84" s="88"/>
      <c r="AG84" s="82"/>
      <c r="AH84" s="124"/>
      <c r="AI84" s="284"/>
      <c r="AJ84" s="284"/>
      <c r="AK84" s="284"/>
      <c r="AL84" s="284"/>
      <c r="AM84" s="284"/>
      <c r="AN84" s="284"/>
      <c r="AO84" s="284"/>
      <c r="AP84" s="284"/>
      <c r="AQ84" s="284"/>
      <c r="AR84" s="284"/>
      <c r="AS84" s="284"/>
      <c r="AT84" s="284"/>
      <c r="AU84" s="284"/>
      <c r="AV84" s="284"/>
      <c r="AW84" s="284"/>
      <c r="AX84" s="284"/>
      <c r="AY84" s="284"/>
      <c r="AZ84" s="284"/>
      <c r="BA84" s="284"/>
      <c r="BB84" s="284"/>
      <c r="BC84" s="284"/>
      <c r="BD84" s="284"/>
      <c r="BE84" s="284"/>
      <c r="BF84" s="284"/>
      <c r="BG84" s="284"/>
      <c r="BH84" s="284"/>
      <c r="BI84" s="284"/>
      <c r="BJ84" s="284"/>
      <c r="BK84" s="284"/>
      <c r="BL84" s="284"/>
      <c r="BM84" s="284"/>
      <c r="BN84" s="284"/>
      <c r="BO84" s="284"/>
      <c r="BP84" s="284"/>
      <c r="BQ84" s="284"/>
      <c r="BR84" s="284"/>
      <c r="BS84" s="284"/>
      <c r="BT84" s="284"/>
      <c r="BU84" s="284"/>
      <c r="BV84" s="284"/>
      <c r="BW84" s="284"/>
      <c r="BX84" s="284"/>
      <c r="BY84" s="284"/>
      <c r="BZ84" s="284"/>
      <c r="CA84" s="284"/>
      <c r="CB84" s="284"/>
      <c r="CC84" s="284"/>
      <c r="CD84" s="284"/>
    </row>
    <row r="85" spans="1:82">
      <c r="I85" s="102"/>
      <c r="O85" s="102"/>
      <c r="W85" s="285"/>
      <c r="X85" s="70"/>
      <c r="Y85" s="61"/>
      <c r="Z85" s="12"/>
      <c r="AA85" s="104"/>
      <c r="AB85" s="10"/>
      <c r="AC85" s="93"/>
      <c r="AD85" s="13"/>
      <c r="AE85" s="89"/>
      <c r="AF85" s="88"/>
      <c r="AG85" s="82"/>
      <c r="AH85" s="124"/>
      <c r="AI85" s="284"/>
      <c r="AJ85" s="284"/>
      <c r="AK85" s="284"/>
      <c r="AL85" s="284"/>
      <c r="AM85" s="284"/>
      <c r="AN85" s="284"/>
      <c r="AO85" s="284"/>
      <c r="AP85" s="284"/>
      <c r="AQ85" s="284"/>
      <c r="AR85" s="284"/>
      <c r="AS85" s="284"/>
      <c r="AT85" s="284"/>
      <c r="AU85" s="284"/>
      <c r="AV85" s="284"/>
      <c r="AW85" s="284"/>
      <c r="AX85" s="284"/>
      <c r="AY85" s="284"/>
      <c r="AZ85" s="284"/>
      <c r="BA85" s="284"/>
      <c r="BB85" s="284"/>
      <c r="BC85" s="284"/>
      <c r="BD85" s="284"/>
      <c r="BE85" s="284"/>
      <c r="BF85" s="284"/>
      <c r="BG85" s="284"/>
      <c r="BH85" s="284"/>
      <c r="BI85" s="284"/>
      <c r="BJ85" s="284"/>
      <c r="BK85" s="284"/>
      <c r="BL85" s="284"/>
      <c r="BM85" s="284"/>
      <c r="BN85" s="284"/>
      <c r="BO85" s="284"/>
      <c r="BP85" s="284"/>
      <c r="BQ85" s="284"/>
      <c r="BR85" s="284"/>
      <c r="BS85" s="284"/>
      <c r="BT85" s="284"/>
      <c r="BU85" s="284"/>
      <c r="BV85" s="284"/>
      <c r="BW85" s="284"/>
      <c r="BX85" s="284"/>
      <c r="BY85" s="284"/>
      <c r="BZ85" s="284"/>
      <c r="CA85" s="284"/>
      <c r="CB85" s="284"/>
      <c r="CC85" s="284"/>
      <c r="CD85" s="284"/>
    </row>
    <row r="86" spans="1:82">
      <c r="A86" s="220" t="s">
        <v>2196</v>
      </c>
      <c r="B86" s="31" t="s">
        <v>2197</v>
      </c>
      <c r="C86" s="9" t="s">
        <v>2198</v>
      </c>
      <c r="D86" s="31" t="s">
        <v>2200</v>
      </c>
      <c r="E86" s="9" t="s">
        <v>4</v>
      </c>
      <c r="I86" s="102"/>
      <c r="M86" s="28"/>
      <c r="O86" s="102"/>
    </row>
    <row r="87" spans="1:82">
      <c r="A87" s="221" t="s">
        <v>2757</v>
      </c>
      <c r="B87" s="41">
        <v>87</v>
      </c>
      <c r="C87" s="7">
        <v>89.6</v>
      </c>
      <c r="D87" s="65">
        <f>B87-C87</f>
        <v>-2.5999999999999943</v>
      </c>
      <c r="E87" s="157">
        <f>D87/C87</f>
        <v>-2.9017857142857081E-2</v>
      </c>
      <c r="I87" s="102"/>
      <c r="M87" s="28"/>
      <c r="O87" s="102"/>
    </row>
    <row r="88" spans="1:82">
      <c r="A88" s="220" t="s">
        <v>2756</v>
      </c>
      <c r="B88" s="14">
        <f>SUM(B87:B87)</f>
        <v>87</v>
      </c>
      <c r="C88" s="46">
        <f>SUM(C87:C87)</f>
        <v>89.6</v>
      </c>
      <c r="D88" s="65">
        <f>B88-C88</f>
        <v>-2.5999999999999943</v>
      </c>
      <c r="E88" s="157">
        <f>D88/C88</f>
        <v>-2.9017857142857081E-2</v>
      </c>
      <c r="I88" s="103"/>
      <c r="M88" s="28"/>
      <c r="O88" s="103"/>
    </row>
    <row r="89" spans="1:82">
      <c r="A89" s="220" t="s">
        <v>2196</v>
      </c>
      <c r="B89" s="31" t="s">
        <v>2197</v>
      </c>
      <c r="C89" s="9" t="s">
        <v>2198</v>
      </c>
      <c r="D89" s="31" t="s">
        <v>2200</v>
      </c>
      <c r="E89" s="9" t="s">
        <v>2199</v>
      </c>
      <c r="I89" s="103"/>
      <c r="M89" s="141"/>
      <c r="O89" s="103"/>
    </row>
    <row r="90" spans="1:82">
      <c r="A90" s="222" t="s">
        <v>2201</v>
      </c>
      <c r="B90" s="8"/>
      <c r="C90" s="8"/>
      <c r="D90" s="16">
        <v>8.8800000000000008</v>
      </c>
      <c r="E90" s="110"/>
      <c r="I90" s="43"/>
      <c r="L90" s="130"/>
      <c r="M90" s="141"/>
      <c r="O90" s="43"/>
    </row>
    <row r="91" spans="1:82">
      <c r="A91" s="221" t="s">
        <v>2223</v>
      </c>
      <c r="B91" s="41">
        <v>294.64999999999998</v>
      </c>
      <c r="C91" s="7">
        <v>277</v>
      </c>
      <c r="D91" s="65">
        <f t="shared" ref="D91:D96" si="30">B91-C91</f>
        <v>17.649999999999977</v>
      </c>
      <c r="E91" s="110">
        <f t="shared" ref="E91:E97" si="31">D91/C91</f>
        <v>6.3718411552346491E-2</v>
      </c>
      <c r="I91" s="103"/>
      <c r="L91" s="130"/>
      <c r="M91" s="141"/>
      <c r="O91" s="103"/>
    </row>
    <row r="92" spans="1:82">
      <c r="A92" s="221" t="s">
        <v>2222</v>
      </c>
      <c r="B92" s="41">
        <v>406.8</v>
      </c>
      <c r="C92" s="7">
        <v>411.67</v>
      </c>
      <c r="D92" s="65">
        <f t="shared" si="30"/>
        <v>-4.8700000000000045</v>
      </c>
      <c r="E92" s="110">
        <f t="shared" si="31"/>
        <v>-1.1829863725799802E-2</v>
      </c>
      <c r="I92" s="103"/>
      <c r="J92" s="8"/>
      <c r="K92" s="8"/>
      <c r="L92" s="130"/>
      <c r="O92" s="103"/>
    </row>
    <row r="93" spans="1:82">
      <c r="A93" s="221" t="s">
        <v>2221</v>
      </c>
      <c r="B93" s="41">
        <v>187.7</v>
      </c>
      <c r="C93" s="7">
        <v>179.88</v>
      </c>
      <c r="D93" s="65">
        <f t="shared" si="30"/>
        <v>7.8199999999999932</v>
      </c>
      <c r="E93" s="110">
        <f t="shared" si="31"/>
        <v>4.3473426728930363E-2</v>
      </c>
      <c r="H93" s="10"/>
      <c r="L93" s="2"/>
    </row>
    <row r="94" spans="1:82">
      <c r="A94" s="221" t="s">
        <v>2220</v>
      </c>
      <c r="B94" s="41">
        <v>696.4</v>
      </c>
      <c r="C94" s="7">
        <v>675.66</v>
      </c>
      <c r="D94" s="65">
        <f t="shared" si="30"/>
        <v>20.740000000000009</v>
      </c>
      <c r="E94" s="110">
        <f t="shared" si="31"/>
        <v>3.0695912145161784E-2</v>
      </c>
      <c r="H94" s="10"/>
      <c r="L94" s="10"/>
    </row>
    <row r="95" spans="1:82">
      <c r="A95" s="221" t="s">
        <v>2219</v>
      </c>
      <c r="B95" s="41">
        <v>80.45</v>
      </c>
      <c r="C95" s="7">
        <v>77.39</v>
      </c>
      <c r="D95" s="65">
        <f t="shared" si="30"/>
        <v>3.0600000000000023</v>
      </c>
      <c r="E95" s="110">
        <f t="shared" si="31"/>
        <v>3.9539992247060375E-2</v>
      </c>
      <c r="H95" s="10"/>
      <c r="L95" s="44"/>
    </row>
    <row r="96" spans="1:82">
      <c r="A96" s="221" t="s">
        <v>2192</v>
      </c>
      <c r="B96" s="41">
        <v>235.25</v>
      </c>
      <c r="C96" s="7">
        <v>187.37</v>
      </c>
      <c r="D96" s="65">
        <f t="shared" si="30"/>
        <v>47.879999999999995</v>
      </c>
      <c r="E96" s="110">
        <f t="shared" si="31"/>
        <v>0.25553717243955804</v>
      </c>
      <c r="H96" s="10"/>
    </row>
    <row r="97" spans="1:92">
      <c r="A97" s="220" t="s">
        <v>2207</v>
      </c>
      <c r="B97" s="14">
        <f>SUM(B91:B96)</f>
        <v>1901.2500000000002</v>
      </c>
      <c r="C97" s="46">
        <f>SUM(C91:C96)</f>
        <v>1808.9700000000003</v>
      </c>
      <c r="D97" s="16">
        <f>SUM(D90:D96)</f>
        <v>101.15999999999997</v>
      </c>
      <c r="E97" s="110">
        <f t="shared" si="31"/>
        <v>5.5921325395114324E-2</v>
      </c>
      <c r="H97" s="10"/>
    </row>
    <row r="98" spans="1:92">
      <c r="H98" s="10"/>
    </row>
    <row r="99" spans="1:92">
      <c r="H99" s="10"/>
    </row>
    <row r="100" spans="1:92">
      <c r="A100" s="92" t="s">
        <v>1447</v>
      </c>
    </row>
    <row r="101" spans="1:92">
      <c r="A101" s="92" t="s">
        <v>2638</v>
      </c>
    </row>
    <row r="102" spans="1:92">
      <c r="A102" s="92" t="s">
        <v>2858</v>
      </c>
    </row>
    <row r="103" spans="1:92">
      <c r="A103" s="92" t="s">
        <v>1449</v>
      </c>
      <c r="CE103" s="8"/>
      <c r="CF103" s="8"/>
      <c r="CG103" s="8"/>
      <c r="CH103" s="8"/>
      <c r="CI103" s="8"/>
      <c r="CJ103" s="8"/>
      <c r="CK103" s="8"/>
      <c r="CL103" s="8"/>
      <c r="CM103" s="8"/>
      <c r="CN103" s="8"/>
    </row>
    <row r="104" spans="1:92">
      <c r="A104" s="283" t="s">
        <v>1702</v>
      </c>
    </row>
    <row r="105" spans="1:92">
      <c r="A105" s="283" t="s">
        <v>1823</v>
      </c>
    </row>
    <row r="106" spans="1:92">
      <c r="A106" s="283" t="s">
        <v>1764</v>
      </c>
    </row>
    <row r="107" spans="1:92">
      <c r="A107" s="283" t="s">
        <v>1824</v>
      </c>
    </row>
    <row r="108" spans="1:92">
      <c r="A108" s="283" t="s">
        <v>1765</v>
      </c>
    </row>
    <row r="109" spans="1:92">
      <c r="A109" s="92" t="s">
        <v>1805</v>
      </c>
    </row>
    <row r="110" spans="1:92">
      <c r="F110" s="30"/>
      <c r="G110" s="30"/>
      <c r="CE110" s="8"/>
      <c r="CF110" s="8"/>
      <c r="CG110" s="8"/>
      <c r="CH110" s="8"/>
      <c r="CI110" s="8"/>
      <c r="CJ110" s="8"/>
      <c r="CK110" s="8"/>
      <c r="CL110" s="8"/>
      <c r="CM110" s="8"/>
      <c r="CN110" s="8"/>
    </row>
    <row r="119" spans="1:5">
      <c r="E119" s="8"/>
    </row>
    <row r="120" spans="1:5">
      <c r="A120" s="43" t="s">
        <v>2421</v>
      </c>
      <c r="D120" s="97"/>
      <c r="E120" s="97"/>
    </row>
    <row r="121" spans="1:5">
      <c r="A121" s="72" t="s">
        <v>2420</v>
      </c>
      <c r="D121" s="97"/>
      <c r="E121" s="97"/>
    </row>
    <row r="122" spans="1:5">
      <c r="A122" s="7"/>
      <c r="D122" s="97"/>
      <c r="E122" s="97"/>
    </row>
    <row r="123" spans="1:5">
      <c r="A123" s="2" t="s">
        <v>2423</v>
      </c>
      <c r="D123" s="97"/>
      <c r="E123" s="97"/>
    </row>
    <row r="124" spans="1:5">
      <c r="A124" s="72" t="s">
        <v>2424</v>
      </c>
      <c r="D124" s="97"/>
      <c r="E124" s="97"/>
    </row>
    <row r="125" spans="1:5">
      <c r="A125" s="72" t="s">
        <v>2425</v>
      </c>
      <c r="D125" s="97"/>
      <c r="E125" s="97"/>
    </row>
    <row r="126" spans="1:5">
      <c r="A126" s="7"/>
      <c r="D126" s="97"/>
      <c r="E126" s="97"/>
    </row>
    <row r="127" spans="1:5">
      <c r="A127" s="2" t="s">
        <v>2746</v>
      </c>
      <c r="D127" s="97"/>
      <c r="E127" s="97"/>
    </row>
    <row r="129" spans="1:1">
      <c r="A129" s="148" t="s">
        <v>2705</v>
      </c>
    </row>
    <row r="130" spans="1:1">
      <c r="A130" s="148" t="s">
        <v>2706</v>
      </c>
    </row>
    <row r="131" spans="1:1">
      <c r="A131" s="148" t="s">
        <v>2719</v>
      </c>
    </row>
    <row r="132" spans="1:1">
      <c r="A132" s="148" t="s">
        <v>2718</v>
      </c>
    </row>
    <row r="133" spans="1:1">
      <c r="A133" s="148" t="s">
        <v>2720</v>
      </c>
    </row>
    <row r="134" spans="1:1">
      <c r="A134" s="148" t="s">
        <v>2721</v>
      </c>
    </row>
    <row r="135" spans="1:1">
      <c r="A135" s="148" t="s">
        <v>2722</v>
      </c>
    </row>
    <row r="136" spans="1:1">
      <c r="A136" s="148" t="s">
        <v>2723</v>
      </c>
    </row>
    <row r="137" spans="1:1">
      <c r="A137" s="148" t="s">
        <v>2724</v>
      </c>
    </row>
    <row r="138" spans="1:1">
      <c r="A138" s="148" t="s">
        <v>2725</v>
      </c>
    </row>
    <row r="139" spans="1:1">
      <c r="A139" s="10"/>
    </row>
    <row r="140" spans="1:1">
      <c r="A140" s="10" t="s">
        <v>2707</v>
      </c>
    </row>
    <row r="141" spans="1:1">
      <c r="A141" s="10" t="s">
        <v>2708</v>
      </c>
    </row>
    <row r="142" spans="1:1">
      <c r="A142" s="10" t="s">
        <v>2709</v>
      </c>
    </row>
    <row r="143" spans="1:1">
      <c r="A143" s="10" t="s">
        <v>2710</v>
      </c>
    </row>
    <row r="144" spans="1:1">
      <c r="A144" s="10" t="s">
        <v>2711</v>
      </c>
    </row>
    <row r="145" spans="1:5">
      <c r="A145" s="10" t="s">
        <v>2712</v>
      </c>
    </row>
    <row r="146" spans="1:5">
      <c r="A146" s="10" t="s">
        <v>2713</v>
      </c>
    </row>
    <row r="147" spans="1:5">
      <c r="A147" s="10" t="s">
        <v>2714</v>
      </c>
    </row>
    <row r="148" spans="1:5">
      <c r="A148" s="10" t="s">
        <v>2715</v>
      </c>
    </row>
    <row r="149" spans="1:5">
      <c r="A149" s="10" t="s">
        <v>2716</v>
      </c>
    </row>
    <row r="150" spans="1:5">
      <c r="A150" s="10" t="s">
        <v>2717</v>
      </c>
    </row>
    <row r="153" spans="1:5">
      <c r="A153" s="283" t="s">
        <v>1773</v>
      </c>
      <c r="B153" s="283" t="s">
        <v>1772</v>
      </c>
      <c r="C153" s="283" t="s">
        <v>1745</v>
      </c>
      <c r="D153" s="283" t="s">
        <v>1703</v>
      </c>
      <c r="E153" s="283" t="s">
        <v>1704</v>
      </c>
    </row>
    <row r="154" spans="1:5">
      <c r="A154" s="283" t="s">
        <v>1774</v>
      </c>
      <c r="B154" s="283" t="s">
        <v>1774</v>
      </c>
      <c r="C154" s="283" t="s">
        <v>1821</v>
      </c>
      <c r="D154" s="283" t="s">
        <v>1767</v>
      </c>
      <c r="E154" s="283" t="s">
        <v>2239</v>
      </c>
    </row>
    <row r="155" spans="1:5">
      <c r="A155" s="283" t="s">
        <v>1775</v>
      </c>
      <c r="B155" s="283" t="s">
        <v>1775</v>
      </c>
      <c r="C155" s="283" t="s">
        <v>1822</v>
      </c>
      <c r="D155" s="283" t="s">
        <v>1766</v>
      </c>
      <c r="E155" s="283" t="s">
        <v>1768</v>
      </c>
    </row>
    <row r="156" spans="1:5">
      <c r="A156" s="283" t="s">
        <v>2127</v>
      </c>
      <c r="B156" s="283" t="s">
        <v>2126</v>
      </c>
      <c r="C156" s="283" t="s">
        <v>1818</v>
      </c>
      <c r="D156" s="283" t="s">
        <v>1819</v>
      </c>
      <c r="E156" s="283" t="s">
        <v>1817</v>
      </c>
    </row>
    <row r="157" spans="1:5">
      <c r="A157" s="283" t="s">
        <v>1765</v>
      </c>
      <c r="B157" s="283" t="s">
        <v>1776</v>
      </c>
      <c r="C157" s="283" t="s">
        <v>1765</v>
      </c>
      <c r="D157" s="283" t="s">
        <v>1765</v>
      </c>
      <c r="E157" s="283" t="s">
        <v>1769</v>
      </c>
    </row>
    <row r="159" spans="1:5">
      <c r="A159" s="2" t="s">
        <v>4979</v>
      </c>
    </row>
    <row r="160" spans="1:5">
      <c r="A160" s="2" t="s">
        <v>4980</v>
      </c>
    </row>
    <row r="161" spans="1:1">
      <c r="A161" s="140" t="s">
        <v>2406</v>
      </c>
    </row>
    <row r="162" spans="1:1">
      <c r="A162" s="2" t="s">
        <v>2621</v>
      </c>
    </row>
    <row r="163" spans="1:1">
      <c r="A163" s="43" t="s">
        <v>2123</v>
      </c>
    </row>
    <row r="164" spans="1:1">
      <c r="A164" s="43" t="s">
        <v>2182</v>
      </c>
    </row>
    <row r="165" spans="1:1">
      <c r="A165" s="47" t="s">
        <v>2322</v>
      </c>
    </row>
    <row r="166" spans="1:1">
      <c r="A166" s="142" t="s">
        <v>2307</v>
      </c>
    </row>
    <row r="167" spans="1:1">
      <c r="A167" s="47" t="s">
        <v>2652</v>
      </c>
    </row>
    <row r="168" spans="1:1">
      <c r="A168" s="142" t="s">
        <v>2653</v>
      </c>
    </row>
    <row r="169" spans="1:1">
      <c r="A169" s="47" t="s">
        <v>2866</v>
      </c>
    </row>
    <row r="170" spans="1:1">
      <c r="A170" s="43" t="s">
        <v>2867</v>
      </c>
    </row>
    <row r="171" spans="1:1">
      <c r="A171" s="47" t="s">
        <v>4981</v>
      </c>
    </row>
    <row r="172" spans="1:1">
      <c r="A172" s="47" t="s">
        <v>4982</v>
      </c>
    </row>
    <row r="173" spans="1:1">
      <c r="A173" s="142" t="s">
        <v>4983</v>
      </c>
    </row>
    <row r="174" spans="1:1">
      <c r="A174" s="142" t="s">
        <v>4984</v>
      </c>
    </row>
    <row r="175" spans="1:1">
      <c r="A175" s="47" t="s">
        <v>2868</v>
      </c>
    </row>
    <row r="178" spans="1:1">
      <c r="A178" s="148" t="s">
        <v>2373</v>
      </c>
    </row>
    <row r="179" spans="1:1">
      <c r="A179" s="148" t="s">
        <v>4975</v>
      </c>
    </row>
    <row r="180" spans="1:1">
      <c r="A180" s="148" t="s">
        <v>4976</v>
      </c>
    </row>
    <row r="181" spans="1:1">
      <c r="A181" s="148" t="s">
        <v>2374</v>
      </c>
    </row>
    <row r="182" spans="1:1">
      <c r="A182" s="148" t="s">
        <v>4977</v>
      </c>
    </row>
    <row r="183" spans="1:1">
      <c r="A183" s="148" t="s">
        <v>4978</v>
      </c>
    </row>
    <row r="184" spans="1:1">
      <c r="A184" s="148" t="s">
        <v>2372</v>
      </c>
    </row>
    <row r="185" spans="1:1">
      <c r="A185" s="148" t="s">
        <v>2375</v>
      </c>
    </row>
    <row r="186" spans="1:1">
      <c r="A186" s="148" t="s">
        <v>4973</v>
      </c>
    </row>
    <row r="187" spans="1:1">
      <c r="A187" s="148" t="s">
        <v>4974</v>
      </c>
    </row>
    <row r="188" spans="1:1">
      <c r="A188" s="148" t="s">
        <v>2376</v>
      </c>
    </row>
    <row r="189" spans="1:1">
      <c r="A189" s="148" t="s">
        <v>2371</v>
      </c>
    </row>
  </sheetData>
  <phoneticPr fontId="1" type="noConversion"/>
  <hyperlinks>
    <hyperlink ref="B44" r:id="rId1" xr:uid="{00000000-0004-0000-0800-000000000000}"/>
    <hyperlink ref="D46" r:id="rId2" xr:uid="{00000000-0004-0000-0800-000001000000}"/>
    <hyperlink ref="B48" r:id="rId3" xr:uid="{00000000-0004-0000-0800-000002000000}"/>
  </hyperlinks>
  <pageMargins left="0.7" right="0.7" top="0.75" bottom="0.75" header="0.3" footer="0.3"/>
  <pageSetup paperSize="9" orientation="portrait" horizontalDpi="300" verticalDpi="300"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2301"/>
  <sheetViews>
    <sheetView workbookViewId="0">
      <selection activeCell="J35" sqref="J35"/>
    </sheetView>
  </sheetViews>
  <sheetFormatPr defaultRowHeight="15"/>
  <sheetData>
    <row r="1" spans="1:7">
      <c r="A1" t="s">
        <v>5637</v>
      </c>
      <c r="B1" t="s">
        <v>5638</v>
      </c>
      <c r="C1" t="s">
        <v>5639</v>
      </c>
      <c r="D1" t="s">
        <v>5640</v>
      </c>
      <c r="E1" t="s">
        <v>5641</v>
      </c>
      <c r="F1" t="s">
        <v>5642</v>
      </c>
      <c r="G1" t="s">
        <v>5643</v>
      </c>
    </row>
    <row r="2" spans="1:7">
      <c r="A2">
        <v>2897</v>
      </c>
      <c r="B2" t="s">
        <v>5644</v>
      </c>
      <c r="C2" t="s">
        <v>5645</v>
      </c>
      <c r="D2">
        <v>44456</v>
      </c>
      <c r="E2">
        <v>5</v>
      </c>
      <c r="F2">
        <v>5</v>
      </c>
      <c r="G2">
        <v>5</v>
      </c>
    </row>
    <row r="3" spans="1:7">
      <c r="A3">
        <v>2601</v>
      </c>
      <c r="B3" t="s">
        <v>5646</v>
      </c>
      <c r="C3" t="s">
        <v>5647</v>
      </c>
      <c r="D3">
        <v>44456</v>
      </c>
      <c r="E3">
        <v>5</v>
      </c>
      <c r="F3">
        <v>5</v>
      </c>
      <c r="G3">
        <v>5</v>
      </c>
    </row>
    <row r="4" spans="1:7">
      <c r="A4">
        <v>2356</v>
      </c>
      <c r="B4" t="s">
        <v>5648</v>
      </c>
      <c r="C4" t="s">
        <v>5649</v>
      </c>
      <c r="D4">
        <v>44456</v>
      </c>
      <c r="E4">
        <v>8</v>
      </c>
      <c r="F4">
        <v>8</v>
      </c>
      <c r="G4">
        <v>8</v>
      </c>
    </row>
    <row r="5" spans="1:7">
      <c r="A5">
        <v>3703</v>
      </c>
      <c r="B5" t="s">
        <v>5650</v>
      </c>
      <c r="C5" t="s">
        <v>5651</v>
      </c>
      <c r="D5">
        <v>44456</v>
      </c>
      <c r="E5">
        <v>6</v>
      </c>
      <c r="F5">
        <v>6</v>
      </c>
      <c r="G5">
        <v>6</v>
      </c>
    </row>
    <row r="6" spans="1:7">
      <c r="A6">
        <v>2412</v>
      </c>
      <c r="B6" t="s">
        <v>5652</v>
      </c>
      <c r="C6" t="s">
        <v>5653</v>
      </c>
      <c r="D6">
        <v>44456</v>
      </c>
      <c r="E6">
        <v>5</v>
      </c>
      <c r="F6">
        <v>5</v>
      </c>
      <c r="G6">
        <v>5</v>
      </c>
    </row>
    <row r="7" spans="1:7">
      <c r="A7">
        <v>4904</v>
      </c>
      <c r="B7" t="s">
        <v>5654</v>
      </c>
      <c r="C7" t="s">
        <v>5653</v>
      </c>
      <c r="D7">
        <v>44456</v>
      </c>
      <c r="E7">
        <v>15</v>
      </c>
      <c r="F7">
        <v>15</v>
      </c>
      <c r="G7">
        <v>15</v>
      </c>
    </row>
    <row r="8" spans="1:7">
      <c r="A8">
        <v>5880</v>
      </c>
      <c r="B8" t="s">
        <v>5655</v>
      </c>
      <c r="C8" t="s">
        <v>5645</v>
      </c>
      <c r="D8">
        <v>44456</v>
      </c>
      <c r="E8">
        <v>6</v>
      </c>
      <c r="F8">
        <v>6</v>
      </c>
      <c r="G8">
        <v>6</v>
      </c>
    </row>
    <row r="9" spans="1:7">
      <c r="A9">
        <v>2108</v>
      </c>
      <c r="B9" t="s">
        <v>5656</v>
      </c>
      <c r="C9" t="s">
        <v>5657</v>
      </c>
      <c r="D9">
        <v>44456</v>
      </c>
      <c r="E9">
        <v>9</v>
      </c>
      <c r="F9">
        <v>9</v>
      </c>
      <c r="G9">
        <v>9</v>
      </c>
    </row>
    <row r="10" spans="1:7">
      <c r="A10">
        <v>2010</v>
      </c>
      <c r="B10" t="s">
        <v>5658</v>
      </c>
      <c r="C10" t="s">
        <v>5659</v>
      </c>
      <c r="D10">
        <v>44456</v>
      </c>
      <c r="E10">
        <v>8</v>
      </c>
      <c r="F10">
        <v>8</v>
      </c>
      <c r="G10">
        <v>8</v>
      </c>
    </row>
    <row r="11" spans="1:7">
      <c r="A11">
        <v>3576</v>
      </c>
      <c r="B11" t="s">
        <v>5660</v>
      </c>
      <c r="C11" t="s">
        <v>5661</v>
      </c>
      <c r="D11">
        <v>44456</v>
      </c>
      <c r="E11">
        <v>9</v>
      </c>
      <c r="F11">
        <v>9</v>
      </c>
      <c r="G11">
        <v>9</v>
      </c>
    </row>
    <row r="12" spans="1:7">
      <c r="A12">
        <v>2801</v>
      </c>
      <c r="B12" t="s">
        <v>5662</v>
      </c>
      <c r="C12" t="s">
        <v>5645</v>
      </c>
      <c r="D12">
        <v>44456</v>
      </c>
      <c r="E12">
        <v>9</v>
      </c>
      <c r="F12">
        <v>9</v>
      </c>
      <c r="G12">
        <v>9</v>
      </c>
    </row>
    <row r="13" spans="1:7">
      <c r="A13">
        <v>9910</v>
      </c>
      <c r="B13" t="s">
        <v>5663</v>
      </c>
      <c r="C13" t="s">
        <v>5664</v>
      </c>
      <c r="D13">
        <v>44456</v>
      </c>
      <c r="E13">
        <v>1</v>
      </c>
      <c r="F13">
        <v>1</v>
      </c>
      <c r="G13">
        <v>1</v>
      </c>
    </row>
    <row r="14" spans="1:7">
      <c r="A14">
        <v>2338</v>
      </c>
      <c r="B14" t="s">
        <v>5665</v>
      </c>
      <c r="C14" t="s">
        <v>5666</v>
      </c>
      <c r="D14">
        <v>44456</v>
      </c>
      <c r="E14">
        <v>5</v>
      </c>
      <c r="F14">
        <v>5</v>
      </c>
      <c r="G14">
        <v>5</v>
      </c>
    </row>
    <row r="15" spans="1:7">
      <c r="A15">
        <v>8150</v>
      </c>
      <c r="B15" t="s">
        <v>5667</v>
      </c>
      <c r="C15" t="s">
        <v>5666</v>
      </c>
      <c r="D15">
        <v>44456</v>
      </c>
      <c r="E15">
        <v>4</v>
      </c>
      <c r="F15">
        <v>4</v>
      </c>
      <c r="G15">
        <v>4</v>
      </c>
    </row>
    <row r="16" spans="1:7">
      <c r="A16">
        <v>2458</v>
      </c>
      <c r="B16" t="s">
        <v>5668</v>
      </c>
      <c r="C16" t="s">
        <v>5666</v>
      </c>
      <c r="D16">
        <v>44456</v>
      </c>
      <c r="E16">
        <v>9</v>
      </c>
      <c r="F16">
        <v>9</v>
      </c>
      <c r="G16">
        <v>9</v>
      </c>
    </row>
    <row r="17" spans="1:7">
      <c r="A17">
        <v>1504</v>
      </c>
      <c r="B17" t="s">
        <v>5669</v>
      </c>
      <c r="C17" t="s">
        <v>5670</v>
      </c>
      <c r="D17">
        <v>44456</v>
      </c>
      <c r="E17">
        <v>8</v>
      </c>
      <c r="F17">
        <v>8</v>
      </c>
      <c r="G17">
        <v>8</v>
      </c>
    </row>
    <row r="18" spans="1:7">
      <c r="A18">
        <v>2105</v>
      </c>
      <c r="B18" t="s">
        <v>5671</v>
      </c>
      <c r="C18" t="s">
        <v>5657</v>
      </c>
      <c r="D18">
        <v>44456</v>
      </c>
      <c r="E18">
        <v>10</v>
      </c>
      <c r="F18">
        <v>10</v>
      </c>
      <c r="G18">
        <v>10</v>
      </c>
    </row>
    <row r="19" spans="1:7">
      <c r="A19">
        <v>2834</v>
      </c>
      <c r="B19" t="s">
        <v>5672</v>
      </c>
      <c r="C19" t="s">
        <v>5645</v>
      </c>
      <c r="D19">
        <v>44456</v>
      </c>
      <c r="E19">
        <v>7</v>
      </c>
      <c r="F19">
        <v>7</v>
      </c>
      <c r="G19">
        <v>7</v>
      </c>
    </row>
    <row r="20" spans="1:7">
      <c r="A20">
        <v>6202</v>
      </c>
      <c r="B20" t="s">
        <v>5673</v>
      </c>
      <c r="C20" t="s">
        <v>5666</v>
      </c>
      <c r="D20">
        <v>44456</v>
      </c>
      <c r="E20">
        <v>6</v>
      </c>
      <c r="F20">
        <v>6</v>
      </c>
      <c r="G20">
        <v>6</v>
      </c>
    </row>
    <row r="21" spans="1:7">
      <c r="A21">
        <v>2327</v>
      </c>
      <c r="B21" t="s">
        <v>5674</v>
      </c>
      <c r="C21" t="s">
        <v>5675</v>
      </c>
      <c r="D21">
        <v>44456</v>
      </c>
      <c r="E21">
        <v>6</v>
      </c>
      <c r="F21">
        <v>6</v>
      </c>
      <c r="G21">
        <v>6</v>
      </c>
    </row>
    <row r="22" spans="1:7">
      <c r="A22">
        <v>1909</v>
      </c>
      <c r="B22" t="s">
        <v>5676</v>
      </c>
      <c r="C22" t="s">
        <v>5677</v>
      </c>
      <c r="D22">
        <v>44456</v>
      </c>
      <c r="E22">
        <v>6</v>
      </c>
      <c r="F22">
        <v>6</v>
      </c>
      <c r="G22">
        <v>6</v>
      </c>
    </row>
    <row r="23" spans="1:7">
      <c r="A23">
        <v>2636</v>
      </c>
      <c r="B23" t="s">
        <v>5678</v>
      </c>
      <c r="C23" t="s">
        <v>5679</v>
      </c>
      <c r="D23">
        <v>44456</v>
      </c>
      <c r="E23">
        <v>7</v>
      </c>
      <c r="F23">
        <v>7</v>
      </c>
      <c r="G23">
        <v>7</v>
      </c>
    </row>
    <row r="24" spans="1:7">
      <c r="A24">
        <v>3045</v>
      </c>
      <c r="B24" t="s">
        <v>5680</v>
      </c>
      <c r="C24" t="s">
        <v>5653</v>
      </c>
      <c r="D24">
        <v>44456</v>
      </c>
      <c r="E24">
        <v>14</v>
      </c>
      <c r="F24">
        <v>14</v>
      </c>
      <c r="G24">
        <v>14</v>
      </c>
    </row>
    <row r="25" spans="1:7">
      <c r="A25">
        <v>2332</v>
      </c>
      <c r="B25" t="s">
        <v>5681</v>
      </c>
      <c r="C25" t="s">
        <v>5653</v>
      </c>
      <c r="D25">
        <v>44456</v>
      </c>
      <c r="E25">
        <v>4</v>
      </c>
      <c r="F25">
        <v>4</v>
      </c>
      <c r="G25">
        <v>4</v>
      </c>
    </row>
    <row r="26" spans="1:7">
      <c r="A26">
        <v>1416</v>
      </c>
      <c r="B26" t="s">
        <v>5682</v>
      </c>
      <c r="C26" t="s">
        <v>5664</v>
      </c>
      <c r="D26">
        <v>44456</v>
      </c>
      <c r="E26">
        <v>1</v>
      </c>
      <c r="F26">
        <v>1</v>
      </c>
      <c r="G26">
        <v>1</v>
      </c>
    </row>
    <row r="27" spans="1:7">
      <c r="A27">
        <v>6163</v>
      </c>
      <c r="B27" t="s">
        <v>5683</v>
      </c>
      <c r="C27" t="s">
        <v>5684</v>
      </c>
      <c r="D27">
        <v>44456</v>
      </c>
      <c r="E27">
        <v>6</v>
      </c>
      <c r="F27">
        <v>6</v>
      </c>
      <c r="G27">
        <v>6</v>
      </c>
    </row>
    <row r="28" spans="1:7">
      <c r="A28">
        <v>8110</v>
      </c>
      <c r="B28" t="s">
        <v>5685</v>
      </c>
      <c r="C28" t="s">
        <v>5666</v>
      </c>
      <c r="D28">
        <v>44456</v>
      </c>
      <c r="E28">
        <v>8</v>
      </c>
      <c r="F28">
        <v>8</v>
      </c>
      <c r="G28">
        <v>8</v>
      </c>
    </row>
    <row r="29" spans="1:7">
      <c r="A29">
        <v>3702</v>
      </c>
      <c r="B29" t="s">
        <v>5686</v>
      </c>
      <c r="C29" t="s">
        <v>5687</v>
      </c>
      <c r="D29">
        <v>44456</v>
      </c>
      <c r="E29">
        <v>16</v>
      </c>
      <c r="F29">
        <v>16</v>
      </c>
      <c r="G29">
        <v>16</v>
      </c>
    </row>
    <row r="30" spans="1:7">
      <c r="A30">
        <v>2377</v>
      </c>
      <c r="B30" t="s">
        <v>5688</v>
      </c>
      <c r="C30" t="s">
        <v>5649</v>
      </c>
      <c r="D30">
        <v>44456</v>
      </c>
      <c r="E30">
        <v>7</v>
      </c>
      <c r="F30">
        <v>7</v>
      </c>
      <c r="G30">
        <v>7</v>
      </c>
    </row>
    <row r="31" spans="1:7">
      <c r="A31">
        <v>6488</v>
      </c>
      <c r="B31" t="s">
        <v>5689</v>
      </c>
      <c r="C31" t="s">
        <v>5690</v>
      </c>
      <c r="D31">
        <v>44456</v>
      </c>
      <c r="E31">
        <v>7</v>
      </c>
      <c r="F31">
        <v>7</v>
      </c>
      <c r="G31">
        <v>7</v>
      </c>
    </row>
    <row r="32" spans="1:7">
      <c r="A32">
        <v>2354</v>
      </c>
      <c r="B32" t="s">
        <v>5691</v>
      </c>
      <c r="C32" t="s">
        <v>5692</v>
      </c>
      <c r="D32">
        <v>44456</v>
      </c>
      <c r="E32">
        <v>4</v>
      </c>
      <c r="F32">
        <v>4</v>
      </c>
      <c r="G32">
        <v>4</v>
      </c>
    </row>
    <row r="33" spans="1:7">
      <c r="A33">
        <v>3232</v>
      </c>
      <c r="B33" t="s">
        <v>5693</v>
      </c>
      <c r="C33" t="s">
        <v>5694</v>
      </c>
      <c r="D33">
        <v>44456</v>
      </c>
      <c r="E33">
        <v>3</v>
      </c>
      <c r="F33">
        <v>3</v>
      </c>
      <c r="G33">
        <v>3</v>
      </c>
    </row>
    <row r="34" spans="1:7">
      <c r="A34">
        <v>2455</v>
      </c>
      <c r="B34" t="s">
        <v>5695</v>
      </c>
      <c r="C34" t="s">
        <v>5653</v>
      </c>
      <c r="D34">
        <v>44456</v>
      </c>
      <c r="E34">
        <v>8</v>
      </c>
      <c r="F34">
        <v>8</v>
      </c>
      <c r="G34">
        <v>8</v>
      </c>
    </row>
    <row r="35" spans="1:7">
      <c r="A35">
        <v>3189</v>
      </c>
      <c r="B35" t="s">
        <v>5696</v>
      </c>
      <c r="C35" t="s">
        <v>5666</v>
      </c>
      <c r="D35">
        <v>44456</v>
      </c>
      <c r="E35">
        <v>4</v>
      </c>
      <c r="F35">
        <v>4</v>
      </c>
      <c r="G35">
        <v>4</v>
      </c>
    </row>
    <row r="36" spans="1:7">
      <c r="A36">
        <v>2049</v>
      </c>
      <c r="B36" t="s">
        <v>5697</v>
      </c>
      <c r="C36" t="s">
        <v>5670</v>
      </c>
      <c r="D36">
        <v>44456</v>
      </c>
      <c r="E36">
        <v>3</v>
      </c>
      <c r="F36">
        <v>3</v>
      </c>
      <c r="G36">
        <v>3</v>
      </c>
    </row>
    <row r="37" spans="1:7">
      <c r="A37">
        <v>4961</v>
      </c>
      <c r="B37" t="s">
        <v>5698</v>
      </c>
      <c r="C37" t="s">
        <v>5666</v>
      </c>
      <c r="D37">
        <v>44456</v>
      </c>
      <c r="E37">
        <v>3</v>
      </c>
      <c r="F37">
        <v>3</v>
      </c>
      <c r="G37">
        <v>3</v>
      </c>
    </row>
    <row r="38" spans="1:7">
      <c r="A38">
        <v>2441</v>
      </c>
      <c r="B38" t="s">
        <v>5699</v>
      </c>
      <c r="C38" t="s">
        <v>5666</v>
      </c>
      <c r="D38">
        <v>44456</v>
      </c>
      <c r="E38">
        <v>6</v>
      </c>
      <c r="F38">
        <v>6</v>
      </c>
      <c r="G38">
        <v>6</v>
      </c>
    </row>
    <row r="39" spans="1:7">
      <c r="A39">
        <v>5871</v>
      </c>
      <c r="B39" t="s">
        <v>5700</v>
      </c>
      <c r="C39" t="s">
        <v>5664</v>
      </c>
      <c r="D39">
        <v>44456</v>
      </c>
      <c r="E39">
        <v>10</v>
      </c>
      <c r="F39">
        <v>10</v>
      </c>
      <c r="G39">
        <v>10</v>
      </c>
    </row>
    <row r="40" spans="1:7">
      <c r="A40">
        <v>6168</v>
      </c>
      <c r="B40" t="s">
        <v>5701</v>
      </c>
      <c r="C40" t="s">
        <v>5661</v>
      </c>
      <c r="D40">
        <v>44456</v>
      </c>
      <c r="E40">
        <v>5</v>
      </c>
      <c r="F40">
        <v>5</v>
      </c>
      <c r="G40">
        <v>5</v>
      </c>
    </row>
    <row r="41" spans="1:7">
      <c r="A41">
        <v>2481</v>
      </c>
      <c r="B41" t="s">
        <v>5702</v>
      </c>
      <c r="C41" t="s">
        <v>5666</v>
      </c>
      <c r="D41">
        <v>44456</v>
      </c>
      <c r="E41">
        <v>4</v>
      </c>
      <c r="F41">
        <v>4</v>
      </c>
      <c r="G41">
        <v>4</v>
      </c>
    </row>
    <row r="42" spans="1:7">
      <c r="A42">
        <v>2345</v>
      </c>
      <c r="B42" t="s">
        <v>5703</v>
      </c>
      <c r="C42" t="s">
        <v>5653</v>
      </c>
      <c r="D42">
        <v>44456</v>
      </c>
      <c r="E42">
        <v>6</v>
      </c>
      <c r="F42">
        <v>6</v>
      </c>
      <c r="G42">
        <v>6</v>
      </c>
    </row>
    <row r="43" spans="1:7">
      <c r="A43">
        <v>5425</v>
      </c>
      <c r="B43" t="s">
        <v>5704</v>
      </c>
      <c r="C43" t="s">
        <v>5690</v>
      </c>
      <c r="D43">
        <v>44456</v>
      </c>
      <c r="E43">
        <v>8</v>
      </c>
      <c r="F43">
        <v>8</v>
      </c>
      <c r="G43">
        <v>8</v>
      </c>
    </row>
    <row r="44" spans="1:7">
      <c r="A44">
        <v>1447</v>
      </c>
      <c r="B44" t="s">
        <v>5705</v>
      </c>
      <c r="C44" t="s">
        <v>5706</v>
      </c>
      <c r="D44">
        <v>44456</v>
      </c>
      <c r="E44">
        <v>8</v>
      </c>
      <c r="F44">
        <v>8</v>
      </c>
      <c r="G44">
        <v>8</v>
      </c>
    </row>
    <row r="45" spans="1:7">
      <c r="A45">
        <v>2314</v>
      </c>
      <c r="B45" t="s">
        <v>5707</v>
      </c>
      <c r="C45" t="s">
        <v>5653</v>
      </c>
      <c r="D45">
        <v>44456</v>
      </c>
      <c r="E45">
        <v>5</v>
      </c>
      <c r="F45">
        <v>5</v>
      </c>
      <c r="G45">
        <v>5</v>
      </c>
    </row>
    <row r="46" spans="1:7">
      <c r="A46">
        <v>2504</v>
      </c>
      <c r="B46" t="s">
        <v>5708</v>
      </c>
      <c r="C46" t="s">
        <v>5651</v>
      </c>
      <c r="D46">
        <v>44456</v>
      </c>
      <c r="E46">
        <v>8</v>
      </c>
      <c r="F46">
        <v>8</v>
      </c>
      <c r="G46">
        <v>8</v>
      </c>
    </row>
    <row r="47" spans="1:7">
      <c r="A47">
        <v>2385</v>
      </c>
      <c r="B47" t="s">
        <v>5709</v>
      </c>
      <c r="C47" t="s">
        <v>5675</v>
      </c>
      <c r="D47">
        <v>44456</v>
      </c>
      <c r="E47">
        <v>7</v>
      </c>
      <c r="F47">
        <v>7</v>
      </c>
      <c r="G47">
        <v>7</v>
      </c>
    </row>
    <row r="48" spans="1:7">
      <c r="A48">
        <v>2484</v>
      </c>
      <c r="B48" t="s">
        <v>5710</v>
      </c>
      <c r="C48" t="s">
        <v>5675</v>
      </c>
      <c r="D48">
        <v>44456</v>
      </c>
      <c r="E48">
        <v>5</v>
      </c>
      <c r="F48">
        <v>5</v>
      </c>
      <c r="G48">
        <v>5</v>
      </c>
    </row>
    <row r="49" spans="1:7">
      <c r="A49">
        <v>8016</v>
      </c>
      <c r="B49" t="s">
        <v>5711</v>
      </c>
      <c r="C49" t="s">
        <v>5666</v>
      </c>
      <c r="D49">
        <v>44456</v>
      </c>
      <c r="E49">
        <v>2</v>
      </c>
      <c r="F49">
        <v>2</v>
      </c>
      <c r="G49">
        <v>2</v>
      </c>
    </row>
    <row r="50" spans="1:7">
      <c r="A50">
        <v>3260</v>
      </c>
      <c r="B50" t="s">
        <v>5712</v>
      </c>
      <c r="C50" t="s">
        <v>5690</v>
      </c>
      <c r="D50">
        <v>44456</v>
      </c>
      <c r="E50">
        <v>4</v>
      </c>
      <c r="F50">
        <v>4</v>
      </c>
      <c r="G50">
        <v>4</v>
      </c>
    </row>
    <row r="51" spans="1:7">
      <c r="A51">
        <v>2379</v>
      </c>
      <c r="B51" t="s">
        <v>5713</v>
      </c>
      <c r="C51" t="s">
        <v>5666</v>
      </c>
      <c r="D51">
        <v>44456</v>
      </c>
      <c r="E51">
        <v>4</v>
      </c>
      <c r="F51">
        <v>4</v>
      </c>
      <c r="G51">
        <v>4</v>
      </c>
    </row>
    <row r="52" spans="1:7">
      <c r="A52">
        <v>3711</v>
      </c>
      <c r="B52" t="s">
        <v>5714</v>
      </c>
      <c r="C52" t="s">
        <v>5666</v>
      </c>
      <c r="D52">
        <v>44456</v>
      </c>
      <c r="E52">
        <v>4</v>
      </c>
      <c r="F52">
        <v>4</v>
      </c>
      <c r="G52">
        <v>4</v>
      </c>
    </row>
    <row r="53" spans="1:7">
      <c r="A53">
        <v>5876</v>
      </c>
      <c r="B53" t="s">
        <v>5715</v>
      </c>
      <c r="C53" t="s">
        <v>5645</v>
      </c>
      <c r="D53">
        <v>44456</v>
      </c>
      <c r="E53">
        <v>14</v>
      </c>
      <c r="F53">
        <v>14</v>
      </c>
      <c r="G53">
        <v>14</v>
      </c>
    </row>
    <row r="54" spans="1:7">
      <c r="A54">
        <v>2208</v>
      </c>
      <c r="B54" t="s">
        <v>5716</v>
      </c>
      <c r="C54" t="s">
        <v>5679</v>
      </c>
      <c r="D54">
        <v>44456</v>
      </c>
      <c r="E54">
        <v>8</v>
      </c>
      <c r="F54">
        <v>8</v>
      </c>
      <c r="G54">
        <v>8</v>
      </c>
    </row>
    <row r="55" spans="1:7">
      <c r="A55">
        <v>6269</v>
      </c>
      <c r="B55" t="s">
        <v>5717</v>
      </c>
      <c r="C55" t="s">
        <v>5675</v>
      </c>
      <c r="D55">
        <v>44456</v>
      </c>
      <c r="E55">
        <v>9</v>
      </c>
      <c r="F55">
        <v>9</v>
      </c>
      <c r="G55">
        <v>9</v>
      </c>
    </row>
    <row r="56" spans="1:7">
      <c r="A56">
        <v>2328</v>
      </c>
      <c r="B56" t="s">
        <v>5718</v>
      </c>
      <c r="C56" t="s">
        <v>5675</v>
      </c>
      <c r="D56">
        <v>44456</v>
      </c>
      <c r="E56">
        <v>3</v>
      </c>
      <c r="F56">
        <v>3</v>
      </c>
      <c r="G56">
        <v>3</v>
      </c>
    </row>
    <row r="57" spans="1:7">
      <c r="A57">
        <v>4967</v>
      </c>
      <c r="B57" t="s">
        <v>5719</v>
      </c>
      <c r="C57" t="s">
        <v>5666</v>
      </c>
      <c r="D57">
        <v>44456</v>
      </c>
      <c r="E57">
        <v>4</v>
      </c>
      <c r="F57">
        <v>4</v>
      </c>
      <c r="G57">
        <v>4</v>
      </c>
    </row>
    <row r="58" spans="1:7">
      <c r="A58">
        <v>3006</v>
      </c>
      <c r="B58" t="s">
        <v>5720</v>
      </c>
      <c r="C58" t="s">
        <v>5666</v>
      </c>
      <c r="D58">
        <v>44456</v>
      </c>
      <c r="E58">
        <v>3</v>
      </c>
      <c r="F58">
        <v>3</v>
      </c>
      <c r="G58">
        <v>3</v>
      </c>
    </row>
    <row r="59" spans="1:7">
      <c r="A59">
        <v>2603</v>
      </c>
      <c r="B59" t="s">
        <v>5721</v>
      </c>
      <c r="C59" t="s">
        <v>5679</v>
      </c>
      <c r="D59">
        <v>44456</v>
      </c>
      <c r="E59">
        <v>6</v>
      </c>
      <c r="F59">
        <v>6</v>
      </c>
      <c r="G59">
        <v>6</v>
      </c>
    </row>
    <row r="60" spans="1:7">
      <c r="A60">
        <v>6271</v>
      </c>
      <c r="B60" t="s">
        <v>5722</v>
      </c>
      <c r="C60" t="s">
        <v>5666</v>
      </c>
      <c r="D60">
        <v>44456</v>
      </c>
      <c r="E60">
        <v>6</v>
      </c>
      <c r="F60">
        <v>6</v>
      </c>
      <c r="G60">
        <v>6</v>
      </c>
    </row>
    <row r="61" spans="1:7">
      <c r="A61">
        <v>2301</v>
      </c>
      <c r="B61" t="s">
        <v>5723</v>
      </c>
      <c r="C61" t="s">
        <v>5649</v>
      </c>
      <c r="D61">
        <v>44456</v>
      </c>
      <c r="E61">
        <v>14</v>
      </c>
      <c r="F61">
        <v>14</v>
      </c>
      <c r="G61">
        <v>14</v>
      </c>
    </row>
    <row r="62" spans="1:7">
      <c r="A62">
        <v>8054</v>
      </c>
      <c r="B62" t="s">
        <v>5724</v>
      </c>
      <c r="C62" t="s">
        <v>5690</v>
      </c>
      <c r="D62">
        <v>44456</v>
      </c>
      <c r="E62">
        <v>3</v>
      </c>
      <c r="F62">
        <v>3</v>
      </c>
      <c r="G62">
        <v>3</v>
      </c>
    </row>
    <row r="63" spans="1:7">
      <c r="A63">
        <v>3016</v>
      </c>
      <c r="B63" t="s">
        <v>5725</v>
      </c>
      <c r="C63" t="s">
        <v>5666</v>
      </c>
      <c r="D63">
        <v>44456</v>
      </c>
      <c r="E63">
        <v>3</v>
      </c>
      <c r="F63">
        <v>3</v>
      </c>
      <c r="G63">
        <v>3</v>
      </c>
    </row>
    <row r="64" spans="1:7">
      <c r="A64">
        <v>3466</v>
      </c>
      <c r="B64" t="s">
        <v>5726</v>
      </c>
      <c r="C64" t="s">
        <v>5684</v>
      </c>
      <c r="D64">
        <v>44456</v>
      </c>
      <c r="E64">
        <v>4</v>
      </c>
      <c r="F64">
        <v>4</v>
      </c>
      <c r="G64">
        <v>4</v>
      </c>
    </row>
    <row r="65" spans="1:7">
      <c r="A65">
        <v>3545</v>
      </c>
      <c r="B65" t="s">
        <v>5727</v>
      </c>
      <c r="C65" t="s">
        <v>5666</v>
      </c>
      <c r="D65">
        <v>44456</v>
      </c>
      <c r="E65">
        <v>2</v>
      </c>
      <c r="F65">
        <v>2</v>
      </c>
      <c r="G65">
        <v>2</v>
      </c>
    </row>
    <row r="66" spans="1:7">
      <c r="A66">
        <v>1795</v>
      </c>
      <c r="B66" t="s">
        <v>5728</v>
      </c>
      <c r="C66" t="s">
        <v>5729</v>
      </c>
      <c r="D66">
        <v>44456</v>
      </c>
      <c r="E66">
        <v>4</v>
      </c>
      <c r="F66">
        <v>4</v>
      </c>
      <c r="G66">
        <v>4</v>
      </c>
    </row>
    <row r="67" spans="1:7">
      <c r="A67">
        <v>2313</v>
      </c>
      <c r="B67" t="s">
        <v>5730</v>
      </c>
      <c r="C67" t="s">
        <v>5675</v>
      </c>
      <c r="D67">
        <v>44456</v>
      </c>
      <c r="E67">
        <v>2</v>
      </c>
      <c r="F67">
        <v>2</v>
      </c>
      <c r="G67">
        <v>2</v>
      </c>
    </row>
    <row r="68" spans="1:7">
      <c r="A68">
        <v>6282</v>
      </c>
      <c r="B68" t="s">
        <v>5731</v>
      </c>
      <c r="C68" t="s">
        <v>5675</v>
      </c>
      <c r="D68">
        <v>44456</v>
      </c>
      <c r="E68">
        <v>6</v>
      </c>
      <c r="F68">
        <v>6</v>
      </c>
      <c r="G68">
        <v>6</v>
      </c>
    </row>
    <row r="69" spans="1:7">
      <c r="A69">
        <v>1727</v>
      </c>
      <c r="B69" t="s">
        <v>5732</v>
      </c>
      <c r="C69" t="s">
        <v>5733</v>
      </c>
      <c r="D69">
        <v>44456</v>
      </c>
      <c r="E69">
        <v>5</v>
      </c>
      <c r="F69">
        <v>5</v>
      </c>
      <c r="G69">
        <v>5</v>
      </c>
    </row>
    <row r="70" spans="1:7">
      <c r="A70">
        <v>2615</v>
      </c>
      <c r="B70" t="s">
        <v>5734</v>
      </c>
      <c r="C70" t="s">
        <v>5679</v>
      </c>
      <c r="D70">
        <v>44456</v>
      </c>
      <c r="E70">
        <v>4</v>
      </c>
      <c r="F70">
        <v>4</v>
      </c>
      <c r="G70">
        <v>4</v>
      </c>
    </row>
    <row r="71" spans="1:7">
      <c r="A71">
        <v>8046</v>
      </c>
      <c r="B71" t="s">
        <v>5735</v>
      </c>
      <c r="C71" t="s">
        <v>5675</v>
      </c>
      <c r="D71">
        <v>44456</v>
      </c>
      <c r="E71">
        <v>5</v>
      </c>
      <c r="F71">
        <v>5</v>
      </c>
      <c r="G71">
        <v>5</v>
      </c>
    </row>
    <row r="72" spans="1:7">
      <c r="A72">
        <v>6756</v>
      </c>
      <c r="B72" t="s">
        <v>5736</v>
      </c>
      <c r="C72" t="s">
        <v>5666</v>
      </c>
      <c r="D72">
        <v>44456</v>
      </c>
      <c r="E72">
        <v>4</v>
      </c>
      <c r="F72">
        <v>4</v>
      </c>
      <c r="G72">
        <v>4</v>
      </c>
    </row>
    <row r="73" spans="1:7">
      <c r="A73">
        <v>6129</v>
      </c>
      <c r="B73" t="s">
        <v>5737</v>
      </c>
      <c r="C73" t="s">
        <v>5690</v>
      </c>
      <c r="D73">
        <v>44456</v>
      </c>
      <c r="E73">
        <v>3</v>
      </c>
      <c r="F73">
        <v>3</v>
      </c>
      <c r="G73">
        <v>3</v>
      </c>
    </row>
    <row r="74" spans="1:7">
      <c r="A74">
        <v>2489</v>
      </c>
      <c r="B74" t="s">
        <v>5738</v>
      </c>
      <c r="C74" t="s">
        <v>5661</v>
      </c>
      <c r="D74">
        <v>44456</v>
      </c>
      <c r="E74">
        <v>9</v>
      </c>
      <c r="F74">
        <v>9</v>
      </c>
      <c r="G74">
        <v>9</v>
      </c>
    </row>
    <row r="75" spans="1:7">
      <c r="A75">
        <v>2312</v>
      </c>
      <c r="B75" t="s">
        <v>5739</v>
      </c>
      <c r="C75" t="s">
        <v>5692</v>
      </c>
      <c r="D75">
        <v>44456</v>
      </c>
      <c r="E75">
        <v>8</v>
      </c>
      <c r="F75">
        <v>8</v>
      </c>
      <c r="G75">
        <v>8</v>
      </c>
    </row>
    <row r="76" spans="1:7">
      <c r="A76">
        <v>3530</v>
      </c>
      <c r="B76" t="s">
        <v>5740</v>
      </c>
      <c r="C76" t="s">
        <v>5666</v>
      </c>
      <c r="D76">
        <v>44456</v>
      </c>
      <c r="E76">
        <v>4</v>
      </c>
      <c r="F76">
        <v>4</v>
      </c>
      <c r="G76">
        <v>4</v>
      </c>
    </row>
    <row r="77" spans="1:7">
      <c r="A77">
        <v>3374</v>
      </c>
      <c r="B77" t="s">
        <v>5741</v>
      </c>
      <c r="C77" t="s">
        <v>5690</v>
      </c>
      <c r="D77">
        <v>44456</v>
      </c>
      <c r="E77">
        <v>6</v>
      </c>
      <c r="F77">
        <v>6</v>
      </c>
      <c r="G77">
        <v>6</v>
      </c>
    </row>
    <row r="78" spans="1:7">
      <c r="A78">
        <v>8081</v>
      </c>
      <c r="B78" t="s">
        <v>5742</v>
      </c>
      <c r="C78" t="s">
        <v>5666</v>
      </c>
      <c r="D78">
        <v>44456</v>
      </c>
      <c r="E78">
        <v>1</v>
      </c>
      <c r="F78">
        <v>1</v>
      </c>
      <c r="G78">
        <v>1</v>
      </c>
    </row>
    <row r="79" spans="1:7">
      <c r="A79">
        <v>8028</v>
      </c>
      <c r="B79" t="s">
        <v>5743</v>
      </c>
      <c r="C79" t="s">
        <v>5666</v>
      </c>
      <c r="D79">
        <v>44456</v>
      </c>
      <c r="E79">
        <v>2</v>
      </c>
      <c r="F79">
        <v>2</v>
      </c>
      <c r="G79">
        <v>2</v>
      </c>
    </row>
    <row r="80" spans="1:7">
      <c r="A80">
        <v>2022</v>
      </c>
      <c r="B80" t="s">
        <v>5744</v>
      </c>
      <c r="C80" t="s">
        <v>5659</v>
      </c>
      <c r="D80">
        <v>44456</v>
      </c>
      <c r="E80">
        <v>2</v>
      </c>
      <c r="F80">
        <v>2</v>
      </c>
      <c r="G80">
        <v>2</v>
      </c>
    </row>
    <row r="81" spans="1:7">
      <c r="A81">
        <v>6411</v>
      </c>
      <c r="B81" t="s">
        <v>5745</v>
      </c>
      <c r="C81" t="s">
        <v>5690</v>
      </c>
      <c r="D81">
        <v>44456</v>
      </c>
      <c r="E81">
        <v>2</v>
      </c>
      <c r="F81">
        <v>2</v>
      </c>
      <c r="G81">
        <v>2</v>
      </c>
    </row>
    <row r="82" spans="1:7">
      <c r="A82">
        <v>2368</v>
      </c>
      <c r="B82" t="s">
        <v>5746</v>
      </c>
      <c r="C82" t="s">
        <v>5675</v>
      </c>
      <c r="D82">
        <v>44456</v>
      </c>
      <c r="E82">
        <v>5</v>
      </c>
      <c r="F82">
        <v>5</v>
      </c>
      <c r="G82">
        <v>5</v>
      </c>
    </row>
    <row r="83" spans="1:7">
      <c r="A83">
        <v>2534</v>
      </c>
      <c r="B83" t="s">
        <v>5747</v>
      </c>
      <c r="C83" t="s">
        <v>5651</v>
      </c>
      <c r="D83">
        <v>44456</v>
      </c>
      <c r="E83">
        <v>4</v>
      </c>
      <c r="F83">
        <v>4</v>
      </c>
      <c r="G83">
        <v>4</v>
      </c>
    </row>
    <row r="84" spans="1:7">
      <c r="A84">
        <v>3014</v>
      </c>
      <c r="B84" t="s">
        <v>5748</v>
      </c>
      <c r="C84" t="s">
        <v>5666</v>
      </c>
      <c r="D84">
        <v>44456</v>
      </c>
      <c r="E84">
        <v>1</v>
      </c>
      <c r="F84">
        <v>1</v>
      </c>
      <c r="G84">
        <v>1</v>
      </c>
    </row>
    <row r="85" spans="1:7">
      <c r="A85">
        <v>2340</v>
      </c>
      <c r="B85" t="s">
        <v>5749</v>
      </c>
      <c r="C85" t="s">
        <v>5661</v>
      </c>
      <c r="D85">
        <v>44456</v>
      </c>
      <c r="E85">
        <v>6</v>
      </c>
      <c r="F85">
        <v>6</v>
      </c>
      <c r="G85">
        <v>6</v>
      </c>
    </row>
    <row r="86" spans="1:7">
      <c r="A86">
        <v>3017</v>
      </c>
      <c r="B86" t="s">
        <v>5750</v>
      </c>
      <c r="C86" t="s">
        <v>5649</v>
      </c>
      <c r="D86">
        <v>44456</v>
      </c>
      <c r="E86">
        <v>8</v>
      </c>
      <c r="F86">
        <v>8</v>
      </c>
      <c r="G86">
        <v>8</v>
      </c>
    </row>
    <row r="87" spans="1:7">
      <c r="A87">
        <v>2401</v>
      </c>
      <c r="B87" t="s">
        <v>5751</v>
      </c>
      <c r="C87" t="s">
        <v>5666</v>
      </c>
      <c r="D87">
        <v>44456</v>
      </c>
      <c r="E87">
        <v>3</v>
      </c>
      <c r="F87">
        <v>3</v>
      </c>
      <c r="G87">
        <v>3</v>
      </c>
    </row>
    <row r="88" spans="1:7">
      <c r="A88">
        <v>2351</v>
      </c>
      <c r="B88" t="s">
        <v>5752</v>
      </c>
      <c r="C88" t="s">
        <v>5666</v>
      </c>
      <c r="D88">
        <v>44456</v>
      </c>
      <c r="E88">
        <v>5</v>
      </c>
      <c r="F88">
        <v>5</v>
      </c>
      <c r="G88">
        <v>5</v>
      </c>
    </row>
    <row r="89" spans="1:7">
      <c r="A89">
        <v>3707</v>
      </c>
      <c r="B89" t="s">
        <v>5753</v>
      </c>
      <c r="C89" t="s">
        <v>5690</v>
      </c>
      <c r="D89">
        <v>44456</v>
      </c>
      <c r="E89">
        <v>2</v>
      </c>
      <c r="F89">
        <v>2</v>
      </c>
      <c r="G89">
        <v>2</v>
      </c>
    </row>
    <row r="90" spans="1:7">
      <c r="A90">
        <v>2642</v>
      </c>
      <c r="B90" t="s">
        <v>5754</v>
      </c>
      <c r="C90" t="s">
        <v>5679</v>
      </c>
      <c r="D90">
        <v>44456</v>
      </c>
      <c r="E90">
        <v>7</v>
      </c>
      <c r="F90">
        <v>7</v>
      </c>
      <c r="G90">
        <v>7</v>
      </c>
    </row>
    <row r="91" spans="1:7">
      <c r="A91">
        <v>3264</v>
      </c>
      <c r="B91" t="s">
        <v>5755</v>
      </c>
      <c r="C91" t="s">
        <v>5690</v>
      </c>
      <c r="D91">
        <v>44456</v>
      </c>
      <c r="E91">
        <v>3</v>
      </c>
      <c r="F91">
        <v>3</v>
      </c>
      <c r="G91">
        <v>3</v>
      </c>
    </row>
    <row r="92" spans="1:7">
      <c r="A92">
        <v>6213</v>
      </c>
      <c r="B92" t="s">
        <v>5756</v>
      </c>
      <c r="C92" t="s">
        <v>5675</v>
      </c>
      <c r="D92">
        <v>44456</v>
      </c>
      <c r="E92">
        <v>7</v>
      </c>
      <c r="F92">
        <v>7</v>
      </c>
      <c r="G92">
        <v>7</v>
      </c>
    </row>
    <row r="93" spans="1:7">
      <c r="A93">
        <v>5483</v>
      </c>
      <c r="B93" t="s">
        <v>5757</v>
      </c>
      <c r="C93" t="s">
        <v>5690</v>
      </c>
      <c r="D93">
        <v>44456</v>
      </c>
      <c r="E93">
        <v>5</v>
      </c>
      <c r="F93">
        <v>5</v>
      </c>
      <c r="G93">
        <v>5</v>
      </c>
    </row>
    <row r="94" spans="1:7">
      <c r="A94">
        <v>1442</v>
      </c>
      <c r="B94" t="s">
        <v>5758</v>
      </c>
      <c r="C94" t="s">
        <v>5651</v>
      </c>
      <c r="D94">
        <v>44456</v>
      </c>
      <c r="E94">
        <v>2</v>
      </c>
      <c r="F94">
        <v>2</v>
      </c>
      <c r="G94">
        <v>2</v>
      </c>
    </row>
    <row r="95" spans="1:7">
      <c r="A95">
        <v>6191</v>
      </c>
      <c r="B95" t="s">
        <v>5759</v>
      </c>
      <c r="C95" t="s">
        <v>5675</v>
      </c>
      <c r="D95">
        <v>44456</v>
      </c>
      <c r="E95">
        <v>2</v>
      </c>
      <c r="F95">
        <v>2</v>
      </c>
      <c r="G95">
        <v>2</v>
      </c>
    </row>
    <row r="96" spans="1:7">
      <c r="A96">
        <v>2349</v>
      </c>
      <c r="B96" t="s">
        <v>5760</v>
      </c>
      <c r="C96" t="s">
        <v>5661</v>
      </c>
      <c r="D96">
        <v>44456</v>
      </c>
      <c r="E96">
        <v>3</v>
      </c>
      <c r="F96">
        <v>3</v>
      </c>
      <c r="G96">
        <v>3</v>
      </c>
    </row>
    <row r="97" spans="1:7">
      <c r="A97">
        <v>3234</v>
      </c>
      <c r="B97" t="s">
        <v>5761</v>
      </c>
      <c r="C97" t="s">
        <v>5684</v>
      </c>
      <c r="D97">
        <v>44456</v>
      </c>
      <c r="E97">
        <v>1</v>
      </c>
      <c r="F97">
        <v>1</v>
      </c>
      <c r="G97">
        <v>1</v>
      </c>
    </row>
    <row r="98" spans="1:7">
      <c r="A98">
        <v>2406</v>
      </c>
      <c r="B98" t="s">
        <v>5762</v>
      </c>
      <c r="C98" t="s">
        <v>5661</v>
      </c>
      <c r="D98">
        <v>44456</v>
      </c>
      <c r="E98">
        <v>6</v>
      </c>
      <c r="F98">
        <v>6</v>
      </c>
      <c r="G98">
        <v>6</v>
      </c>
    </row>
    <row r="99" spans="1:7">
      <c r="A99">
        <v>3661</v>
      </c>
      <c r="B99" t="s">
        <v>5763</v>
      </c>
      <c r="C99" t="s">
        <v>5666</v>
      </c>
      <c r="D99">
        <v>44456</v>
      </c>
      <c r="E99">
        <v>3</v>
      </c>
      <c r="F99">
        <v>3</v>
      </c>
      <c r="G99">
        <v>3</v>
      </c>
    </row>
    <row r="100" spans="1:7">
      <c r="A100">
        <v>6278</v>
      </c>
      <c r="B100" t="s">
        <v>5764</v>
      </c>
      <c r="C100" t="s">
        <v>5661</v>
      </c>
      <c r="D100">
        <v>44456</v>
      </c>
      <c r="E100">
        <v>8</v>
      </c>
      <c r="F100">
        <v>8</v>
      </c>
      <c r="G100">
        <v>8</v>
      </c>
    </row>
    <row r="101" spans="1:7">
      <c r="A101">
        <v>2363</v>
      </c>
      <c r="B101" t="s">
        <v>5765</v>
      </c>
      <c r="C101" t="s">
        <v>5666</v>
      </c>
      <c r="D101">
        <v>44456</v>
      </c>
      <c r="E101">
        <v>3</v>
      </c>
      <c r="F101">
        <v>3</v>
      </c>
      <c r="G101">
        <v>3</v>
      </c>
    </row>
    <row r="102" spans="1:7">
      <c r="A102">
        <v>3043</v>
      </c>
      <c r="B102" t="s">
        <v>5766</v>
      </c>
      <c r="C102" t="s">
        <v>5692</v>
      </c>
      <c r="D102">
        <v>44455</v>
      </c>
      <c r="E102">
        <v>1</v>
      </c>
      <c r="F102">
        <v>1</v>
      </c>
      <c r="G102">
        <v>1</v>
      </c>
    </row>
    <row r="103" spans="1:7">
      <c r="A103">
        <v>2101</v>
      </c>
      <c r="B103" t="s">
        <v>5767</v>
      </c>
      <c r="C103" t="s">
        <v>5657</v>
      </c>
      <c r="D103">
        <v>44455</v>
      </c>
      <c r="E103">
        <v>5</v>
      </c>
      <c r="F103">
        <v>5</v>
      </c>
      <c r="G103">
        <v>5</v>
      </c>
    </row>
    <row r="104" spans="1:7">
      <c r="A104">
        <v>2243</v>
      </c>
      <c r="B104" t="s">
        <v>5768</v>
      </c>
      <c r="C104" t="s">
        <v>5769</v>
      </c>
      <c r="D104">
        <v>44455</v>
      </c>
      <c r="E104">
        <v>2</v>
      </c>
      <c r="F104">
        <v>2</v>
      </c>
      <c r="G104">
        <v>2</v>
      </c>
    </row>
    <row r="105" spans="1:7">
      <c r="A105">
        <v>1305</v>
      </c>
      <c r="B105" t="s">
        <v>5770</v>
      </c>
      <c r="C105" t="s">
        <v>5771</v>
      </c>
      <c r="D105">
        <v>44455</v>
      </c>
      <c r="E105">
        <v>7</v>
      </c>
      <c r="F105">
        <v>7</v>
      </c>
      <c r="G105">
        <v>7</v>
      </c>
    </row>
    <row r="106" spans="1:7">
      <c r="A106">
        <v>5876</v>
      </c>
      <c r="B106" t="s">
        <v>5715</v>
      </c>
      <c r="C106" t="s">
        <v>5645</v>
      </c>
      <c r="D106">
        <v>44455</v>
      </c>
      <c r="E106">
        <v>14</v>
      </c>
      <c r="F106">
        <v>14</v>
      </c>
      <c r="G106">
        <v>14</v>
      </c>
    </row>
    <row r="107" spans="1:7">
      <c r="A107">
        <v>2890</v>
      </c>
      <c r="B107" t="s">
        <v>5772</v>
      </c>
      <c r="C107" t="s">
        <v>5645</v>
      </c>
      <c r="D107">
        <v>44455</v>
      </c>
      <c r="E107">
        <v>8</v>
      </c>
      <c r="F107">
        <v>8</v>
      </c>
      <c r="G107">
        <v>8</v>
      </c>
    </row>
    <row r="108" spans="1:7">
      <c r="A108">
        <v>1312</v>
      </c>
      <c r="B108" t="s">
        <v>5773</v>
      </c>
      <c r="C108" t="s">
        <v>5771</v>
      </c>
      <c r="D108">
        <v>44455</v>
      </c>
      <c r="E108">
        <v>8</v>
      </c>
      <c r="F108">
        <v>8</v>
      </c>
      <c r="G108">
        <v>8</v>
      </c>
    </row>
    <row r="109" spans="1:7">
      <c r="A109">
        <v>2314</v>
      </c>
      <c r="B109" t="s">
        <v>5707</v>
      </c>
      <c r="C109" t="s">
        <v>5653</v>
      </c>
      <c r="D109">
        <v>44455</v>
      </c>
      <c r="E109">
        <v>5</v>
      </c>
      <c r="F109">
        <v>5</v>
      </c>
      <c r="G109">
        <v>5</v>
      </c>
    </row>
    <row r="110" spans="1:7">
      <c r="A110">
        <v>2377</v>
      </c>
      <c r="B110" t="s">
        <v>5688</v>
      </c>
      <c r="C110" t="s">
        <v>5649</v>
      </c>
      <c r="D110">
        <v>44455</v>
      </c>
      <c r="E110">
        <v>7</v>
      </c>
      <c r="F110">
        <v>7</v>
      </c>
      <c r="G110">
        <v>7</v>
      </c>
    </row>
    <row r="111" spans="1:7">
      <c r="A111">
        <v>2376</v>
      </c>
      <c r="B111" t="s">
        <v>5774</v>
      </c>
      <c r="C111" t="s">
        <v>5649</v>
      </c>
      <c r="D111">
        <v>44455</v>
      </c>
      <c r="E111">
        <v>4</v>
      </c>
      <c r="F111">
        <v>4</v>
      </c>
      <c r="G111">
        <v>4</v>
      </c>
    </row>
    <row r="112" spans="1:7">
      <c r="A112">
        <v>1409</v>
      </c>
      <c r="B112" t="s">
        <v>5775</v>
      </c>
      <c r="C112" t="s">
        <v>5706</v>
      </c>
      <c r="D112">
        <v>44455</v>
      </c>
      <c r="E112">
        <v>6</v>
      </c>
      <c r="F112">
        <v>6</v>
      </c>
      <c r="G112">
        <v>6</v>
      </c>
    </row>
    <row r="113" spans="1:7">
      <c r="A113">
        <v>5211</v>
      </c>
      <c r="B113" t="s">
        <v>5776</v>
      </c>
      <c r="C113" t="s">
        <v>5777</v>
      </c>
      <c r="D113">
        <v>44455</v>
      </c>
      <c r="E113">
        <v>4</v>
      </c>
      <c r="F113">
        <v>4</v>
      </c>
      <c r="G113">
        <v>4</v>
      </c>
    </row>
    <row r="114" spans="1:7">
      <c r="A114">
        <v>2369</v>
      </c>
      <c r="B114" t="s">
        <v>5778</v>
      </c>
      <c r="C114" t="s">
        <v>5666</v>
      </c>
      <c r="D114">
        <v>44455</v>
      </c>
      <c r="E114">
        <v>8</v>
      </c>
      <c r="F114">
        <v>8</v>
      </c>
      <c r="G114">
        <v>8</v>
      </c>
    </row>
    <row r="115" spans="1:7">
      <c r="A115">
        <v>6182</v>
      </c>
      <c r="B115" t="s">
        <v>5779</v>
      </c>
      <c r="C115" t="s">
        <v>5690</v>
      </c>
      <c r="D115">
        <v>44455</v>
      </c>
      <c r="E115">
        <v>3</v>
      </c>
      <c r="F115">
        <v>3</v>
      </c>
      <c r="G115">
        <v>3</v>
      </c>
    </row>
    <row r="116" spans="1:7">
      <c r="A116">
        <v>2455</v>
      </c>
      <c r="B116" t="s">
        <v>5695</v>
      </c>
      <c r="C116" t="s">
        <v>5653</v>
      </c>
      <c r="D116">
        <v>44455</v>
      </c>
      <c r="E116">
        <v>8</v>
      </c>
      <c r="F116">
        <v>8</v>
      </c>
      <c r="G116">
        <v>8</v>
      </c>
    </row>
    <row r="117" spans="1:7">
      <c r="A117">
        <v>3466</v>
      </c>
      <c r="B117" t="s">
        <v>5726</v>
      </c>
      <c r="C117" t="s">
        <v>5684</v>
      </c>
      <c r="D117">
        <v>44455</v>
      </c>
      <c r="E117">
        <v>4</v>
      </c>
      <c r="F117">
        <v>4</v>
      </c>
      <c r="G117">
        <v>4</v>
      </c>
    </row>
    <row r="118" spans="1:7">
      <c r="A118">
        <v>2383</v>
      </c>
      <c r="B118" t="s">
        <v>5780</v>
      </c>
      <c r="C118" t="s">
        <v>5675</v>
      </c>
      <c r="D118">
        <v>44455</v>
      </c>
      <c r="E118">
        <v>5</v>
      </c>
      <c r="F118">
        <v>5</v>
      </c>
      <c r="G118">
        <v>5</v>
      </c>
    </row>
    <row r="119" spans="1:7">
      <c r="A119">
        <v>2357</v>
      </c>
      <c r="B119" t="s">
        <v>5781</v>
      </c>
      <c r="C119" t="s">
        <v>5649</v>
      </c>
      <c r="D119">
        <v>44455</v>
      </c>
      <c r="E119">
        <v>6</v>
      </c>
      <c r="F119">
        <v>6</v>
      </c>
      <c r="G119">
        <v>6</v>
      </c>
    </row>
    <row r="120" spans="1:7">
      <c r="A120">
        <v>4938</v>
      </c>
      <c r="B120" t="s">
        <v>5782</v>
      </c>
      <c r="C120" t="s">
        <v>5649</v>
      </c>
      <c r="D120">
        <v>44455</v>
      </c>
      <c r="E120">
        <v>6</v>
      </c>
      <c r="F120">
        <v>6</v>
      </c>
      <c r="G120">
        <v>6</v>
      </c>
    </row>
    <row r="121" spans="1:7">
      <c r="A121">
        <v>9958</v>
      </c>
      <c r="B121" t="s">
        <v>5783</v>
      </c>
      <c r="C121" t="s">
        <v>5659</v>
      </c>
      <c r="D121">
        <v>44455</v>
      </c>
      <c r="E121">
        <v>9</v>
      </c>
      <c r="F121">
        <v>9</v>
      </c>
      <c r="G121">
        <v>9</v>
      </c>
    </row>
    <row r="122" spans="1:7">
      <c r="A122">
        <v>1710</v>
      </c>
      <c r="B122" t="s">
        <v>5784</v>
      </c>
      <c r="C122" t="s">
        <v>5733</v>
      </c>
      <c r="D122">
        <v>44455</v>
      </c>
      <c r="E122">
        <v>7</v>
      </c>
      <c r="F122">
        <v>7</v>
      </c>
      <c r="G122">
        <v>7</v>
      </c>
    </row>
    <row r="123" spans="1:7">
      <c r="A123">
        <v>2498</v>
      </c>
      <c r="B123" t="s">
        <v>5785</v>
      </c>
      <c r="C123" t="s">
        <v>5653</v>
      </c>
      <c r="D123">
        <v>44455</v>
      </c>
      <c r="E123">
        <v>2</v>
      </c>
      <c r="F123">
        <v>2</v>
      </c>
      <c r="G123">
        <v>2</v>
      </c>
    </row>
    <row r="124" spans="1:7">
      <c r="A124">
        <v>9933</v>
      </c>
      <c r="B124" t="s">
        <v>5786</v>
      </c>
      <c r="C124" t="s">
        <v>5664</v>
      </c>
      <c r="D124">
        <v>44455</v>
      </c>
      <c r="E124">
        <v>3</v>
      </c>
      <c r="F124">
        <v>3</v>
      </c>
      <c r="G124">
        <v>3</v>
      </c>
    </row>
    <row r="125" spans="1:7">
      <c r="A125">
        <v>2820</v>
      </c>
      <c r="B125" t="s">
        <v>5787</v>
      </c>
      <c r="C125" t="s">
        <v>5645</v>
      </c>
      <c r="D125">
        <v>44455</v>
      </c>
      <c r="E125">
        <v>4</v>
      </c>
      <c r="F125">
        <v>4</v>
      </c>
      <c r="G125">
        <v>4</v>
      </c>
    </row>
    <row r="126" spans="1:7">
      <c r="A126">
        <v>2103</v>
      </c>
      <c r="B126" t="s">
        <v>5788</v>
      </c>
      <c r="C126" t="s">
        <v>5657</v>
      </c>
      <c r="D126">
        <v>44455</v>
      </c>
      <c r="E126">
        <v>5</v>
      </c>
      <c r="F126">
        <v>5</v>
      </c>
      <c r="G126">
        <v>5</v>
      </c>
    </row>
    <row r="127" spans="1:7">
      <c r="A127">
        <v>6226</v>
      </c>
      <c r="B127" t="s">
        <v>5789</v>
      </c>
      <c r="C127" t="s">
        <v>5661</v>
      </c>
      <c r="D127">
        <v>44455</v>
      </c>
      <c r="E127">
        <v>3</v>
      </c>
      <c r="F127">
        <v>3</v>
      </c>
      <c r="G127">
        <v>3</v>
      </c>
    </row>
    <row r="128" spans="1:7">
      <c r="A128">
        <v>3354</v>
      </c>
      <c r="B128" t="s">
        <v>5790</v>
      </c>
      <c r="C128" t="s">
        <v>5791</v>
      </c>
      <c r="D128">
        <v>44455</v>
      </c>
      <c r="E128">
        <v>2</v>
      </c>
      <c r="F128">
        <v>2</v>
      </c>
      <c r="G128">
        <v>2</v>
      </c>
    </row>
    <row r="129" spans="1:7">
      <c r="A129">
        <v>1303</v>
      </c>
      <c r="B129" t="s">
        <v>5792</v>
      </c>
      <c r="C129" t="s">
        <v>5771</v>
      </c>
      <c r="D129">
        <v>44455</v>
      </c>
      <c r="E129">
        <v>9</v>
      </c>
      <c r="F129">
        <v>9</v>
      </c>
      <c r="G129">
        <v>9</v>
      </c>
    </row>
    <row r="130" spans="1:7">
      <c r="A130">
        <v>2347</v>
      </c>
      <c r="B130" t="s">
        <v>5793</v>
      </c>
      <c r="C130" t="s">
        <v>5687</v>
      </c>
      <c r="D130">
        <v>44455</v>
      </c>
      <c r="E130">
        <v>6</v>
      </c>
      <c r="F130">
        <v>6</v>
      </c>
      <c r="G130">
        <v>6</v>
      </c>
    </row>
    <row r="131" spans="1:7">
      <c r="A131">
        <v>3016</v>
      </c>
      <c r="B131" t="s">
        <v>5725</v>
      </c>
      <c r="C131" t="s">
        <v>5666</v>
      </c>
      <c r="D131">
        <v>44455</v>
      </c>
      <c r="E131">
        <v>3</v>
      </c>
      <c r="F131">
        <v>3</v>
      </c>
      <c r="G131">
        <v>3</v>
      </c>
    </row>
    <row r="132" spans="1:7">
      <c r="A132">
        <v>6278</v>
      </c>
      <c r="B132" t="s">
        <v>5764</v>
      </c>
      <c r="C132" t="s">
        <v>5661</v>
      </c>
      <c r="D132">
        <v>44455</v>
      </c>
      <c r="E132">
        <v>8</v>
      </c>
      <c r="F132">
        <v>8</v>
      </c>
      <c r="G132">
        <v>8</v>
      </c>
    </row>
    <row r="133" spans="1:7">
      <c r="A133">
        <v>2603</v>
      </c>
      <c r="B133" t="s">
        <v>5721</v>
      </c>
      <c r="C133" t="s">
        <v>5679</v>
      </c>
      <c r="D133">
        <v>44455</v>
      </c>
      <c r="E133">
        <v>6</v>
      </c>
      <c r="F133">
        <v>6</v>
      </c>
      <c r="G133">
        <v>6</v>
      </c>
    </row>
    <row r="134" spans="1:7">
      <c r="A134">
        <v>5272</v>
      </c>
      <c r="B134" t="s">
        <v>5794</v>
      </c>
      <c r="C134" t="s">
        <v>5690</v>
      </c>
      <c r="D134">
        <v>44455</v>
      </c>
      <c r="E134">
        <v>4</v>
      </c>
      <c r="F134">
        <v>4</v>
      </c>
      <c r="G134">
        <v>4</v>
      </c>
    </row>
    <row r="135" spans="1:7">
      <c r="A135">
        <v>2486</v>
      </c>
      <c r="B135" t="s">
        <v>5795</v>
      </c>
      <c r="C135" t="s">
        <v>5661</v>
      </c>
      <c r="D135">
        <v>44455</v>
      </c>
      <c r="E135">
        <v>2</v>
      </c>
      <c r="F135">
        <v>2</v>
      </c>
      <c r="G135">
        <v>2</v>
      </c>
    </row>
    <row r="136" spans="1:7">
      <c r="A136">
        <v>3033</v>
      </c>
      <c r="B136" t="s">
        <v>5796</v>
      </c>
      <c r="C136" t="s">
        <v>5687</v>
      </c>
      <c r="D136">
        <v>44455</v>
      </c>
      <c r="E136">
        <v>3</v>
      </c>
      <c r="F136">
        <v>3</v>
      </c>
      <c r="G136">
        <v>3</v>
      </c>
    </row>
    <row r="137" spans="1:7">
      <c r="A137">
        <v>5820</v>
      </c>
      <c r="B137" t="s">
        <v>5797</v>
      </c>
      <c r="C137" t="s">
        <v>5798</v>
      </c>
      <c r="D137">
        <v>44455</v>
      </c>
      <c r="E137">
        <v>8</v>
      </c>
      <c r="F137">
        <v>8</v>
      </c>
      <c r="G137">
        <v>8</v>
      </c>
    </row>
    <row r="138" spans="1:7">
      <c r="A138">
        <v>3702</v>
      </c>
      <c r="B138" t="s">
        <v>5686</v>
      </c>
      <c r="C138" t="s">
        <v>5687</v>
      </c>
      <c r="D138">
        <v>44455</v>
      </c>
      <c r="E138">
        <v>16</v>
      </c>
      <c r="F138">
        <v>16</v>
      </c>
      <c r="G138">
        <v>16</v>
      </c>
    </row>
    <row r="139" spans="1:7">
      <c r="A139">
        <v>5871</v>
      </c>
      <c r="B139" t="s">
        <v>5700</v>
      </c>
      <c r="C139" t="s">
        <v>5664</v>
      </c>
      <c r="D139">
        <v>44455</v>
      </c>
      <c r="E139">
        <v>10</v>
      </c>
      <c r="F139">
        <v>10</v>
      </c>
      <c r="G139">
        <v>10</v>
      </c>
    </row>
    <row r="140" spans="1:7">
      <c r="A140">
        <v>1785</v>
      </c>
      <c r="B140" t="s">
        <v>5799</v>
      </c>
      <c r="C140" t="s">
        <v>5800</v>
      </c>
      <c r="D140">
        <v>44455</v>
      </c>
      <c r="E140">
        <v>7</v>
      </c>
      <c r="F140">
        <v>7</v>
      </c>
      <c r="G140">
        <v>7</v>
      </c>
    </row>
    <row r="141" spans="1:7">
      <c r="A141">
        <v>1310</v>
      </c>
      <c r="B141" t="s">
        <v>5801</v>
      </c>
      <c r="C141" t="s">
        <v>5771</v>
      </c>
      <c r="D141">
        <v>44455</v>
      </c>
      <c r="E141">
        <v>8</v>
      </c>
      <c r="F141">
        <v>8</v>
      </c>
      <c r="G141">
        <v>8</v>
      </c>
    </row>
    <row r="142" spans="1:7">
      <c r="A142">
        <v>3530</v>
      </c>
      <c r="B142" t="s">
        <v>5740</v>
      </c>
      <c r="C142" t="s">
        <v>5666</v>
      </c>
      <c r="D142">
        <v>44455</v>
      </c>
      <c r="E142">
        <v>4</v>
      </c>
      <c r="F142">
        <v>4</v>
      </c>
      <c r="G142">
        <v>4</v>
      </c>
    </row>
    <row r="143" spans="1:7">
      <c r="A143">
        <v>8086</v>
      </c>
      <c r="B143" t="s">
        <v>5802</v>
      </c>
      <c r="C143" t="s">
        <v>5690</v>
      </c>
      <c r="D143">
        <v>44455</v>
      </c>
      <c r="E143">
        <v>5</v>
      </c>
      <c r="F143">
        <v>5</v>
      </c>
      <c r="G143">
        <v>5</v>
      </c>
    </row>
    <row r="144" spans="1:7">
      <c r="A144">
        <v>1517</v>
      </c>
      <c r="B144" t="s">
        <v>5803</v>
      </c>
      <c r="C144" t="s">
        <v>5670</v>
      </c>
      <c r="D144">
        <v>44455</v>
      </c>
      <c r="E144">
        <v>6</v>
      </c>
      <c r="F144">
        <v>6</v>
      </c>
      <c r="G144">
        <v>6</v>
      </c>
    </row>
    <row r="145" spans="1:7">
      <c r="A145">
        <v>1308</v>
      </c>
      <c r="B145" t="s">
        <v>5804</v>
      </c>
      <c r="C145" t="s">
        <v>5771</v>
      </c>
      <c r="D145">
        <v>44455</v>
      </c>
      <c r="E145">
        <v>7</v>
      </c>
      <c r="F145">
        <v>7</v>
      </c>
      <c r="G145">
        <v>7</v>
      </c>
    </row>
    <row r="146" spans="1:7">
      <c r="A146">
        <v>1717</v>
      </c>
      <c r="B146" t="s">
        <v>5805</v>
      </c>
      <c r="C146" t="s">
        <v>5733</v>
      </c>
      <c r="D146">
        <v>44455</v>
      </c>
      <c r="E146">
        <v>8</v>
      </c>
      <c r="F146">
        <v>8</v>
      </c>
      <c r="G146">
        <v>8</v>
      </c>
    </row>
    <row r="147" spans="1:7">
      <c r="A147">
        <v>8069</v>
      </c>
      <c r="B147" t="s">
        <v>5806</v>
      </c>
      <c r="C147" t="s">
        <v>5807</v>
      </c>
      <c r="D147">
        <v>44455</v>
      </c>
      <c r="E147">
        <v>2</v>
      </c>
      <c r="F147">
        <v>2</v>
      </c>
      <c r="G147">
        <v>2</v>
      </c>
    </row>
    <row r="148" spans="1:7">
      <c r="A148">
        <v>8299</v>
      </c>
      <c r="B148" t="s">
        <v>5808</v>
      </c>
      <c r="C148" t="s">
        <v>5690</v>
      </c>
      <c r="D148">
        <v>44455</v>
      </c>
      <c r="E148">
        <v>1</v>
      </c>
      <c r="F148">
        <v>1</v>
      </c>
      <c r="G148">
        <v>1</v>
      </c>
    </row>
    <row r="149" spans="1:7">
      <c r="A149">
        <v>1314</v>
      </c>
      <c r="B149" t="s">
        <v>5809</v>
      </c>
      <c r="C149" t="s">
        <v>5771</v>
      </c>
      <c r="D149">
        <v>44455</v>
      </c>
      <c r="E149">
        <v>8</v>
      </c>
      <c r="F149">
        <v>8</v>
      </c>
      <c r="G149">
        <v>8</v>
      </c>
    </row>
    <row r="150" spans="1:7">
      <c r="A150">
        <v>2809</v>
      </c>
      <c r="B150" t="s">
        <v>5810</v>
      </c>
      <c r="C150" t="s">
        <v>5645</v>
      </c>
      <c r="D150">
        <v>44455</v>
      </c>
      <c r="E150">
        <v>15</v>
      </c>
      <c r="F150">
        <v>15</v>
      </c>
      <c r="G150">
        <v>15</v>
      </c>
    </row>
    <row r="151" spans="1:7">
      <c r="A151">
        <v>6213</v>
      </c>
      <c r="B151" t="s">
        <v>5756</v>
      </c>
      <c r="C151" t="s">
        <v>5675</v>
      </c>
      <c r="D151">
        <v>44455</v>
      </c>
      <c r="E151">
        <v>7</v>
      </c>
      <c r="F151">
        <v>7</v>
      </c>
      <c r="G151">
        <v>7</v>
      </c>
    </row>
    <row r="152" spans="1:7">
      <c r="A152">
        <v>2823</v>
      </c>
      <c r="B152" t="s">
        <v>5811</v>
      </c>
      <c r="C152" t="s">
        <v>5645</v>
      </c>
      <c r="D152">
        <v>44455</v>
      </c>
      <c r="E152">
        <v>17</v>
      </c>
      <c r="F152">
        <v>17</v>
      </c>
      <c r="G152">
        <v>17</v>
      </c>
    </row>
    <row r="153" spans="1:7">
      <c r="A153">
        <v>9907</v>
      </c>
      <c r="B153" t="s">
        <v>5812</v>
      </c>
      <c r="C153" t="s">
        <v>5664</v>
      </c>
      <c r="D153">
        <v>44455</v>
      </c>
      <c r="E153">
        <v>7</v>
      </c>
      <c r="F153">
        <v>7</v>
      </c>
      <c r="G153">
        <v>7</v>
      </c>
    </row>
    <row r="154" spans="1:7">
      <c r="A154">
        <v>8021</v>
      </c>
      <c r="B154" t="s">
        <v>5813</v>
      </c>
      <c r="C154" t="s">
        <v>5692</v>
      </c>
      <c r="D154">
        <v>44455</v>
      </c>
      <c r="E154">
        <v>3</v>
      </c>
      <c r="F154">
        <v>3</v>
      </c>
      <c r="G154">
        <v>3</v>
      </c>
    </row>
    <row r="155" spans="1:7">
      <c r="A155">
        <v>1326</v>
      </c>
      <c r="B155" t="s">
        <v>5814</v>
      </c>
      <c r="C155" t="s">
        <v>5771</v>
      </c>
      <c r="D155">
        <v>44455</v>
      </c>
      <c r="E155">
        <v>14</v>
      </c>
      <c r="F155">
        <v>14</v>
      </c>
      <c r="G155">
        <v>14</v>
      </c>
    </row>
    <row r="156" spans="1:7">
      <c r="A156">
        <v>3276</v>
      </c>
      <c r="B156" t="s">
        <v>5815</v>
      </c>
      <c r="C156" t="s">
        <v>5791</v>
      </c>
      <c r="D156">
        <v>44455</v>
      </c>
      <c r="E156">
        <v>1</v>
      </c>
      <c r="F156">
        <v>1</v>
      </c>
      <c r="G156">
        <v>1</v>
      </c>
    </row>
    <row r="157" spans="1:7">
      <c r="A157">
        <v>3017</v>
      </c>
      <c r="B157" t="s">
        <v>5750</v>
      </c>
      <c r="C157" t="s">
        <v>5649</v>
      </c>
      <c r="D157">
        <v>44455</v>
      </c>
      <c r="E157">
        <v>8</v>
      </c>
      <c r="F157">
        <v>8</v>
      </c>
      <c r="G157">
        <v>8</v>
      </c>
    </row>
    <row r="158" spans="1:7">
      <c r="A158">
        <v>1718</v>
      </c>
      <c r="B158" t="s">
        <v>5816</v>
      </c>
      <c r="C158" t="s">
        <v>5733</v>
      </c>
      <c r="D158">
        <v>44455</v>
      </c>
      <c r="E158">
        <v>13</v>
      </c>
      <c r="F158">
        <v>13</v>
      </c>
      <c r="G158">
        <v>13</v>
      </c>
    </row>
    <row r="159" spans="1:7">
      <c r="A159">
        <v>2208</v>
      </c>
      <c r="B159" t="s">
        <v>5716</v>
      </c>
      <c r="C159" t="s">
        <v>5679</v>
      </c>
      <c r="D159">
        <v>44455</v>
      </c>
      <c r="E159">
        <v>8</v>
      </c>
      <c r="F159">
        <v>8</v>
      </c>
      <c r="G159">
        <v>8</v>
      </c>
    </row>
    <row r="160" spans="1:7">
      <c r="A160">
        <v>2474</v>
      </c>
      <c r="B160" t="s">
        <v>5817</v>
      </c>
      <c r="C160" t="s">
        <v>5692</v>
      </c>
      <c r="D160">
        <v>44455</v>
      </c>
      <c r="E160">
        <v>4</v>
      </c>
      <c r="F160">
        <v>4</v>
      </c>
      <c r="G160">
        <v>4</v>
      </c>
    </row>
    <row r="161" spans="1:7">
      <c r="A161">
        <v>5457</v>
      </c>
      <c r="B161" t="s">
        <v>5818</v>
      </c>
      <c r="C161" t="s">
        <v>5791</v>
      </c>
      <c r="D161">
        <v>44455</v>
      </c>
      <c r="E161">
        <v>8</v>
      </c>
      <c r="F161">
        <v>8</v>
      </c>
      <c r="G161">
        <v>8</v>
      </c>
    </row>
    <row r="162" spans="1:7">
      <c r="A162">
        <v>6143</v>
      </c>
      <c r="B162" t="s">
        <v>5819</v>
      </c>
      <c r="C162" t="s">
        <v>5684</v>
      </c>
      <c r="D162">
        <v>44455</v>
      </c>
      <c r="E162">
        <v>2</v>
      </c>
      <c r="F162">
        <v>2</v>
      </c>
      <c r="G162">
        <v>2</v>
      </c>
    </row>
    <row r="163" spans="1:7">
      <c r="A163">
        <v>1325</v>
      </c>
      <c r="B163" t="s">
        <v>5820</v>
      </c>
      <c r="C163" t="s">
        <v>5771</v>
      </c>
      <c r="D163">
        <v>44455</v>
      </c>
      <c r="E163">
        <v>2</v>
      </c>
      <c r="F163">
        <v>2</v>
      </c>
      <c r="G163">
        <v>2</v>
      </c>
    </row>
    <row r="164" spans="1:7">
      <c r="A164">
        <v>6485</v>
      </c>
      <c r="B164" t="s">
        <v>5821</v>
      </c>
      <c r="C164" t="s">
        <v>5690</v>
      </c>
      <c r="D164">
        <v>44455</v>
      </c>
      <c r="E164">
        <v>2</v>
      </c>
      <c r="F164">
        <v>2</v>
      </c>
      <c r="G164">
        <v>2</v>
      </c>
    </row>
    <row r="165" spans="1:7">
      <c r="A165">
        <v>2385</v>
      </c>
      <c r="B165" t="s">
        <v>5709</v>
      </c>
      <c r="C165" t="s">
        <v>5675</v>
      </c>
      <c r="D165">
        <v>44455</v>
      </c>
      <c r="E165">
        <v>7</v>
      </c>
      <c r="F165">
        <v>7</v>
      </c>
      <c r="G165">
        <v>7</v>
      </c>
    </row>
    <row r="166" spans="1:7">
      <c r="A166">
        <v>1101</v>
      </c>
      <c r="B166" t="s">
        <v>5822</v>
      </c>
      <c r="C166" t="s">
        <v>5823</v>
      </c>
      <c r="D166">
        <v>44455</v>
      </c>
      <c r="E166">
        <v>8</v>
      </c>
      <c r="F166">
        <v>8</v>
      </c>
      <c r="G166">
        <v>8</v>
      </c>
    </row>
    <row r="167" spans="1:7">
      <c r="A167">
        <v>1714</v>
      </c>
      <c r="B167" t="s">
        <v>5824</v>
      </c>
      <c r="C167" t="s">
        <v>5733</v>
      </c>
      <c r="D167">
        <v>44455</v>
      </c>
      <c r="E167">
        <v>8</v>
      </c>
      <c r="F167">
        <v>8</v>
      </c>
      <c r="G167">
        <v>8</v>
      </c>
    </row>
    <row r="168" spans="1:7">
      <c r="A168">
        <v>2458</v>
      </c>
      <c r="B168" t="s">
        <v>5668</v>
      </c>
      <c r="C168" t="s">
        <v>5666</v>
      </c>
      <c r="D168">
        <v>44455</v>
      </c>
      <c r="E168">
        <v>9</v>
      </c>
      <c r="F168">
        <v>9</v>
      </c>
      <c r="G168">
        <v>9</v>
      </c>
    </row>
    <row r="169" spans="1:7">
      <c r="A169">
        <v>2338</v>
      </c>
      <c r="B169" t="s">
        <v>5665</v>
      </c>
      <c r="C169" t="s">
        <v>5666</v>
      </c>
      <c r="D169">
        <v>44455</v>
      </c>
      <c r="E169">
        <v>5</v>
      </c>
      <c r="F169">
        <v>5</v>
      </c>
      <c r="G169">
        <v>5</v>
      </c>
    </row>
    <row r="170" spans="1:7">
      <c r="A170">
        <v>6531</v>
      </c>
      <c r="B170" t="s">
        <v>5825</v>
      </c>
      <c r="C170" t="s">
        <v>5666</v>
      </c>
      <c r="D170">
        <v>44455</v>
      </c>
      <c r="E170">
        <v>6</v>
      </c>
      <c r="F170">
        <v>6</v>
      </c>
      <c r="G170">
        <v>6</v>
      </c>
    </row>
    <row r="171" spans="1:7">
      <c r="A171">
        <v>2610</v>
      </c>
      <c r="B171" t="s">
        <v>5826</v>
      </c>
      <c r="C171" t="s">
        <v>5679</v>
      </c>
      <c r="D171">
        <v>44455</v>
      </c>
      <c r="E171">
        <v>6</v>
      </c>
      <c r="F171">
        <v>6</v>
      </c>
      <c r="G171">
        <v>6</v>
      </c>
    </row>
    <row r="172" spans="1:7">
      <c r="A172">
        <v>4915</v>
      </c>
      <c r="B172" t="s">
        <v>5827</v>
      </c>
      <c r="C172" t="s">
        <v>5675</v>
      </c>
      <c r="D172">
        <v>44455</v>
      </c>
      <c r="E172">
        <v>5</v>
      </c>
      <c r="F172">
        <v>5</v>
      </c>
      <c r="G172">
        <v>5</v>
      </c>
    </row>
    <row r="173" spans="1:7">
      <c r="A173">
        <v>3483</v>
      </c>
      <c r="B173" t="s">
        <v>5828</v>
      </c>
      <c r="C173" t="s">
        <v>5829</v>
      </c>
      <c r="D173">
        <v>44455</v>
      </c>
      <c r="E173">
        <v>1</v>
      </c>
      <c r="F173">
        <v>1</v>
      </c>
      <c r="G173">
        <v>1</v>
      </c>
    </row>
    <row r="174" spans="1:7">
      <c r="A174">
        <v>6237</v>
      </c>
      <c r="B174" t="s">
        <v>5830</v>
      </c>
      <c r="C174" t="s">
        <v>5690</v>
      </c>
      <c r="D174">
        <v>44455</v>
      </c>
      <c r="E174">
        <v>2</v>
      </c>
      <c r="F174">
        <v>2</v>
      </c>
      <c r="G174">
        <v>2</v>
      </c>
    </row>
    <row r="175" spans="1:7">
      <c r="A175">
        <v>3576</v>
      </c>
      <c r="B175" t="s">
        <v>5660</v>
      </c>
      <c r="C175" t="s">
        <v>5661</v>
      </c>
      <c r="D175">
        <v>44455</v>
      </c>
      <c r="E175">
        <v>9</v>
      </c>
      <c r="F175">
        <v>9</v>
      </c>
      <c r="G175">
        <v>9</v>
      </c>
    </row>
    <row r="176" spans="1:7">
      <c r="A176">
        <v>2308</v>
      </c>
      <c r="B176" t="s">
        <v>5831</v>
      </c>
      <c r="C176" t="s">
        <v>5675</v>
      </c>
      <c r="D176">
        <v>44455</v>
      </c>
      <c r="E176">
        <v>7</v>
      </c>
      <c r="F176">
        <v>7</v>
      </c>
      <c r="G176">
        <v>7</v>
      </c>
    </row>
    <row r="177" spans="1:7">
      <c r="A177">
        <v>6219</v>
      </c>
      <c r="B177" t="s">
        <v>5832</v>
      </c>
      <c r="C177" t="s">
        <v>5833</v>
      </c>
      <c r="D177">
        <v>44455</v>
      </c>
      <c r="E177">
        <v>8</v>
      </c>
      <c r="F177">
        <v>8</v>
      </c>
      <c r="G177">
        <v>8</v>
      </c>
    </row>
    <row r="178" spans="1:7">
      <c r="A178">
        <v>2642</v>
      </c>
      <c r="B178" t="s">
        <v>5754</v>
      </c>
      <c r="C178" t="s">
        <v>5679</v>
      </c>
      <c r="D178">
        <v>44455</v>
      </c>
      <c r="E178">
        <v>7</v>
      </c>
      <c r="F178">
        <v>7</v>
      </c>
      <c r="G178">
        <v>7</v>
      </c>
    </row>
    <row r="179" spans="1:7">
      <c r="A179">
        <v>2882</v>
      </c>
      <c r="B179" t="s">
        <v>5834</v>
      </c>
      <c r="C179" t="s">
        <v>5645</v>
      </c>
      <c r="D179">
        <v>44455</v>
      </c>
      <c r="E179">
        <v>9</v>
      </c>
      <c r="F179">
        <v>9</v>
      </c>
      <c r="G179">
        <v>9</v>
      </c>
    </row>
    <row r="180" spans="1:7">
      <c r="A180">
        <v>2634</v>
      </c>
      <c r="B180" t="s">
        <v>5835</v>
      </c>
      <c r="C180" t="s">
        <v>5679</v>
      </c>
      <c r="D180">
        <v>44455</v>
      </c>
      <c r="E180">
        <v>5</v>
      </c>
      <c r="F180">
        <v>5</v>
      </c>
      <c r="G180">
        <v>5</v>
      </c>
    </row>
    <row r="181" spans="1:7">
      <c r="A181">
        <v>1709</v>
      </c>
      <c r="B181" t="s">
        <v>5836</v>
      </c>
      <c r="C181" t="s">
        <v>5733</v>
      </c>
      <c r="D181">
        <v>44455</v>
      </c>
      <c r="E181">
        <v>4</v>
      </c>
      <c r="F181">
        <v>4</v>
      </c>
      <c r="G181">
        <v>4</v>
      </c>
    </row>
    <row r="182" spans="1:7">
      <c r="A182">
        <v>6153</v>
      </c>
      <c r="B182" t="s">
        <v>5837</v>
      </c>
      <c r="C182" t="s">
        <v>5675</v>
      </c>
      <c r="D182">
        <v>44455</v>
      </c>
      <c r="E182">
        <v>7</v>
      </c>
      <c r="F182">
        <v>7</v>
      </c>
      <c r="G182">
        <v>7</v>
      </c>
    </row>
    <row r="183" spans="1:7">
      <c r="A183">
        <v>3034</v>
      </c>
      <c r="B183" t="s">
        <v>5838</v>
      </c>
      <c r="C183" t="s">
        <v>5666</v>
      </c>
      <c r="D183">
        <v>44455</v>
      </c>
      <c r="E183">
        <v>5</v>
      </c>
      <c r="F183">
        <v>5</v>
      </c>
      <c r="G183">
        <v>5</v>
      </c>
    </row>
    <row r="184" spans="1:7">
      <c r="A184">
        <v>3045</v>
      </c>
      <c r="B184" t="s">
        <v>5680</v>
      </c>
      <c r="C184" t="s">
        <v>5653</v>
      </c>
      <c r="D184">
        <v>44455</v>
      </c>
      <c r="E184">
        <v>14</v>
      </c>
      <c r="F184">
        <v>14</v>
      </c>
      <c r="G184">
        <v>14</v>
      </c>
    </row>
    <row r="185" spans="1:7">
      <c r="A185">
        <v>6706</v>
      </c>
      <c r="B185" t="s">
        <v>5839</v>
      </c>
      <c r="C185" t="s">
        <v>5661</v>
      </c>
      <c r="D185">
        <v>44455</v>
      </c>
      <c r="E185">
        <v>5</v>
      </c>
      <c r="F185">
        <v>5</v>
      </c>
      <c r="G185">
        <v>5</v>
      </c>
    </row>
    <row r="186" spans="1:7">
      <c r="A186">
        <v>1316</v>
      </c>
      <c r="B186" t="s">
        <v>5840</v>
      </c>
      <c r="C186" t="s">
        <v>5651</v>
      </c>
      <c r="D186">
        <v>44455</v>
      </c>
      <c r="E186">
        <v>1</v>
      </c>
      <c r="F186">
        <v>1</v>
      </c>
      <c r="G186">
        <v>1</v>
      </c>
    </row>
    <row r="187" spans="1:7">
      <c r="A187">
        <v>2332</v>
      </c>
      <c r="B187" t="s">
        <v>5681</v>
      </c>
      <c r="C187" t="s">
        <v>5653</v>
      </c>
      <c r="D187">
        <v>44455</v>
      </c>
      <c r="E187">
        <v>4</v>
      </c>
      <c r="F187">
        <v>4</v>
      </c>
      <c r="G187">
        <v>4</v>
      </c>
    </row>
    <row r="188" spans="1:7">
      <c r="A188">
        <v>1301</v>
      </c>
      <c r="B188" t="s">
        <v>5841</v>
      </c>
      <c r="C188" t="s">
        <v>5771</v>
      </c>
      <c r="D188">
        <v>44455</v>
      </c>
      <c r="E188">
        <v>11</v>
      </c>
      <c r="F188">
        <v>11</v>
      </c>
      <c r="G188">
        <v>11</v>
      </c>
    </row>
    <row r="189" spans="1:7">
      <c r="A189">
        <v>3188</v>
      </c>
      <c r="B189" t="s">
        <v>5842</v>
      </c>
      <c r="C189" t="s">
        <v>5833</v>
      </c>
      <c r="D189">
        <v>44455</v>
      </c>
      <c r="E189">
        <v>1</v>
      </c>
      <c r="F189">
        <v>1</v>
      </c>
      <c r="G189">
        <v>1</v>
      </c>
    </row>
    <row r="190" spans="1:7">
      <c r="A190">
        <v>6163</v>
      </c>
      <c r="B190" t="s">
        <v>5683</v>
      </c>
      <c r="C190" t="s">
        <v>5684</v>
      </c>
      <c r="D190">
        <v>44455</v>
      </c>
      <c r="E190">
        <v>6</v>
      </c>
      <c r="F190">
        <v>6</v>
      </c>
      <c r="G190">
        <v>6</v>
      </c>
    </row>
    <row r="191" spans="1:7">
      <c r="A191">
        <v>2301</v>
      </c>
      <c r="B191" t="s">
        <v>5723</v>
      </c>
      <c r="C191" t="s">
        <v>5649</v>
      </c>
      <c r="D191">
        <v>44455</v>
      </c>
      <c r="E191">
        <v>14</v>
      </c>
      <c r="F191">
        <v>14</v>
      </c>
      <c r="G191">
        <v>14</v>
      </c>
    </row>
    <row r="192" spans="1:7">
      <c r="A192">
        <v>2636</v>
      </c>
      <c r="B192" t="s">
        <v>5678</v>
      </c>
      <c r="C192" t="s">
        <v>5679</v>
      </c>
      <c r="D192">
        <v>44455</v>
      </c>
      <c r="E192">
        <v>7</v>
      </c>
      <c r="F192">
        <v>7</v>
      </c>
      <c r="G192">
        <v>7</v>
      </c>
    </row>
    <row r="193" spans="1:7">
      <c r="A193">
        <v>2006</v>
      </c>
      <c r="B193" t="s">
        <v>5843</v>
      </c>
      <c r="C193" t="s">
        <v>5659</v>
      </c>
      <c r="D193">
        <v>44455</v>
      </c>
      <c r="E193">
        <v>7</v>
      </c>
      <c r="F193">
        <v>7</v>
      </c>
      <c r="G193">
        <v>7</v>
      </c>
    </row>
    <row r="194" spans="1:7">
      <c r="A194">
        <v>6223</v>
      </c>
      <c r="B194" t="s">
        <v>5844</v>
      </c>
      <c r="C194" t="s">
        <v>5690</v>
      </c>
      <c r="D194">
        <v>44455</v>
      </c>
      <c r="E194">
        <v>6</v>
      </c>
      <c r="F194">
        <v>6</v>
      </c>
      <c r="G194">
        <v>6</v>
      </c>
    </row>
    <row r="195" spans="1:7">
      <c r="A195">
        <v>6488</v>
      </c>
      <c r="B195" t="s">
        <v>5689</v>
      </c>
      <c r="C195" t="s">
        <v>5690</v>
      </c>
      <c r="D195">
        <v>44455</v>
      </c>
      <c r="E195">
        <v>7</v>
      </c>
      <c r="F195">
        <v>7</v>
      </c>
      <c r="G195">
        <v>7</v>
      </c>
    </row>
    <row r="196" spans="1:7">
      <c r="A196">
        <v>2206</v>
      </c>
      <c r="B196" t="s">
        <v>5845</v>
      </c>
      <c r="C196" t="s">
        <v>5769</v>
      </c>
      <c r="D196">
        <v>44455</v>
      </c>
      <c r="E196">
        <v>4</v>
      </c>
      <c r="F196">
        <v>4</v>
      </c>
      <c r="G196">
        <v>4</v>
      </c>
    </row>
    <row r="197" spans="1:7">
      <c r="A197">
        <v>6672</v>
      </c>
      <c r="B197" t="s">
        <v>5846</v>
      </c>
      <c r="C197" t="s">
        <v>5675</v>
      </c>
      <c r="D197">
        <v>44455</v>
      </c>
      <c r="E197">
        <v>3</v>
      </c>
      <c r="F197">
        <v>3</v>
      </c>
      <c r="G197">
        <v>3</v>
      </c>
    </row>
    <row r="198" spans="1:7">
      <c r="A198">
        <v>3652</v>
      </c>
      <c r="B198" t="s">
        <v>5847</v>
      </c>
      <c r="C198" t="s">
        <v>5829</v>
      </c>
      <c r="D198">
        <v>44455</v>
      </c>
      <c r="E198">
        <v>1</v>
      </c>
      <c r="F198">
        <v>1</v>
      </c>
      <c r="G198">
        <v>1</v>
      </c>
    </row>
    <row r="199" spans="1:7">
      <c r="A199">
        <v>2324</v>
      </c>
      <c r="B199" t="s">
        <v>5848</v>
      </c>
      <c r="C199" t="s">
        <v>5649</v>
      </c>
      <c r="D199">
        <v>44455</v>
      </c>
      <c r="E199">
        <v>7</v>
      </c>
      <c r="F199">
        <v>7</v>
      </c>
      <c r="G199">
        <v>7</v>
      </c>
    </row>
    <row r="200" spans="1:7">
      <c r="A200">
        <v>5425</v>
      </c>
      <c r="B200" t="s">
        <v>5704</v>
      </c>
      <c r="C200" t="s">
        <v>5690</v>
      </c>
      <c r="D200">
        <v>44455</v>
      </c>
      <c r="E200">
        <v>8</v>
      </c>
      <c r="F200">
        <v>8</v>
      </c>
      <c r="G200">
        <v>8</v>
      </c>
    </row>
    <row r="201" spans="1:7">
      <c r="A201">
        <v>5258</v>
      </c>
      <c r="B201" t="s">
        <v>5849</v>
      </c>
      <c r="C201" t="s">
        <v>5649</v>
      </c>
      <c r="D201">
        <v>44455</v>
      </c>
      <c r="E201">
        <v>2</v>
      </c>
      <c r="F201">
        <v>2</v>
      </c>
      <c r="G201">
        <v>2</v>
      </c>
    </row>
    <row r="202" spans="1:7">
      <c r="A202">
        <v>4904</v>
      </c>
      <c r="B202" t="s">
        <v>5654</v>
      </c>
      <c r="C202" t="s">
        <v>5653</v>
      </c>
      <c r="D202">
        <v>44454</v>
      </c>
      <c r="E202">
        <v>15</v>
      </c>
      <c r="F202">
        <v>15</v>
      </c>
      <c r="G202">
        <v>15</v>
      </c>
    </row>
    <row r="203" spans="1:7">
      <c r="A203">
        <v>4938</v>
      </c>
      <c r="B203" t="s">
        <v>5782</v>
      </c>
      <c r="C203" t="s">
        <v>5649</v>
      </c>
      <c r="D203">
        <v>44454</v>
      </c>
      <c r="E203">
        <v>6</v>
      </c>
      <c r="F203">
        <v>6</v>
      </c>
      <c r="G203">
        <v>6</v>
      </c>
    </row>
    <row r="204" spans="1:7">
      <c r="A204">
        <v>2409</v>
      </c>
      <c r="B204" t="s">
        <v>5850</v>
      </c>
      <c r="C204" t="s">
        <v>5661</v>
      </c>
      <c r="D204">
        <v>44454</v>
      </c>
      <c r="E204">
        <v>6</v>
      </c>
      <c r="F204">
        <v>6</v>
      </c>
      <c r="G204">
        <v>6</v>
      </c>
    </row>
    <row r="205" spans="1:7">
      <c r="A205">
        <v>1402</v>
      </c>
      <c r="B205" t="s">
        <v>5851</v>
      </c>
      <c r="C205" t="s">
        <v>5706</v>
      </c>
      <c r="D205">
        <v>44454</v>
      </c>
      <c r="E205">
        <v>10</v>
      </c>
      <c r="F205">
        <v>10</v>
      </c>
      <c r="G205">
        <v>10</v>
      </c>
    </row>
    <row r="206" spans="1:7">
      <c r="A206">
        <v>2885</v>
      </c>
      <c r="B206" t="s">
        <v>5852</v>
      </c>
      <c r="C206" t="s">
        <v>5645</v>
      </c>
      <c r="D206">
        <v>44454</v>
      </c>
      <c r="E206">
        <v>6</v>
      </c>
      <c r="F206">
        <v>6</v>
      </c>
      <c r="G206">
        <v>6</v>
      </c>
    </row>
    <row r="207" spans="1:7">
      <c r="A207">
        <v>1326</v>
      </c>
      <c r="B207" t="s">
        <v>5814</v>
      </c>
      <c r="C207" t="s">
        <v>5771</v>
      </c>
      <c r="D207">
        <v>44454</v>
      </c>
      <c r="E207">
        <v>14</v>
      </c>
      <c r="F207">
        <v>14</v>
      </c>
      <c r="G207">
        <v>14</v>
      </c>
    </row>
    <row r="208" spans="1:7">
      <c r="A208">
        <v>2888</v>
      </c>
      <c r="B208" t="s">
        <v>5853</v>
      </c>
      <c r="C208" t="s">
        <v>5645</v>
      </c>
      <c r="D208">
        <v>44454</v>
      </c>
      <c r="E208">
        <v>9</v>
      </c>
      <c r="F208">
        <v>9</v>
      </c>
      <c r="G208">
        <v>9</v>
      </c>
    </row>
    <row r="209" spans="1:7">
      <c r="A209">
        <v>2867</v>
      </c>
      <c r="B209" t="s">
        <v>5854</v>
      </c>
      <c r="C209" t="s">
        <v>5645</v>
      </c>
      <c r="D209">
        <v>44454</v>
      </c>
      <c r="E209">
        <v>8</v>
      </c>
      <c r="F209">
        <v>8</v>
      </c>
      <c r="G209">
        <v>8</v>
      </c>
    </row>
    <row r="210" spans="1:7">
      <c r="A210">
        <v>9904</v>
      </c>
      <c r="B210" t="s">
        <v>5855</v>
      </c>
      <c r="C210" t="s">
        <v>5664</v>
      </c>
      <c r="D210">
        <v>44454</v>
      </c>
      <c r="E210">
        <v>11</v>
      </c>
      <c r="F210">
        <v>11</v>
      </c>
      <c r="G210">
        <v>11</v>
      </c>
    </row>
    <row r="211" spans="1:7">
      <c r="A211">
        <v>2890</v>
      </c>
      <c r="B211" t="s">
        <v>5772</v>
      </c>
      <c r="C211" t="s">
        <v>5645</v>
      </c>
      <c r="D211">
        <v>44454</v>
      </c>
      <c r="E211">
        <v>8</v>
      </c>
      <c r="F211">
        <v>8</v>
      </c>
      <c r="G211">
        <v>8</v>
      </c>
    </row>
    <row r="212" spans="1:7">
      <c r="A212">
        <v>3709</v>
      </c>
      <c r="B212" t="s">
        <v>5856</v>
      </c>
      <c r="C212" t="s">
        <v>5829</v>
      </c>
      <c r="D212">
        <v>44454</v>
      </c>
      <c r="E212">
        <v>1</v>
      </c>
      <c r="F212">
        <v>1</v>
      </c>
      <c r="G212">
        <v>1</v>
      </c>
    </row>
    <row r="213" spans="1:7">
      <c r="A213">
        <v>1605</v>
      </c>
      <c r="B213" t="s">
        <v>5857</v>
      </c>
      <c r="C213" t="s">
        <v>5858</v>
      </c>
      <c r="D213">
        <v>44454</v>
      </c>
      <c r="E213">
        <v>9</v>
      </c>
      <c r="F213">
        <v>9</v>
      </c>
      <c r="G213">
        <v>9</v>
      </c>
    </row>
    <row r="214" spans="1:7">
      <c r="A214">
        <v>1444</v>
      </c>
      <c r="B214" t="s">
        <v>5859</v>
      </c>
      <c r="C214" t="s">
        <v>5706</v>
      </c>
      <c r="D214">
        <v>44454</v>
      </c>
      <c r="E214">
        <v>6</v>
      </c>
      <c r="F214">
        <v>6</v>
      </c>
      <c r="G214">
        <v>6</v>
      </c>
    </row>
    <row r="215" spans="1:7">
      <c r="A215">
        <v>2889</v>
      </c>
      <c r="B215" t="s">
        <v>5860</v>
      </c>
      <c r="C215" t="s">
        <v>5645</v>
      </c>
      <c r="D215">
        <v>44454</v>
      </c>
      <c r="E215">
        <v>3</v>
      </c>
      <c r="F215">
        <v>3</v>
      </c>
      <c r="G215">
        <v>3</v>
      </c>
    </row>
    <row r="216" spans="1:7">
      <c r="A216">
        <v>2034</v>
      </c>
      <c r="B216" t="s">
        <v>5861</v>
      </c>
      <c r="C216" t="s">
        <v>5659</v>
      </c>
      <c r="D216">
        <v>44454</v>
      </c>
      <c r="E216">
        <v>5</v>
      </c>
      <c r="F216">
        <v>5</v>
      </c>
      <c r="G216">
        <v>5</v>
      </c>
    </row>
    <row r="217" spans="1:7">
      <c r="A217">
        <v>3360</v>
      </c>
      <c r="B217" t="s">
        <v>5862</v>
      </c>
      <c r="C217" t="s">
        <v>5694</v>
      </c>
      <c r="D217">
        <v>44454</v>
      </c>
      <c r="E217">
        <v>1</v>
      </c>
      <c r="F217">
        <v>1</v>
      </c>
      <c r="G217">
        <v>1</v>
      </c>
    </row>
    <row r="218" spans="1:7">
      <c r="A218">
        <v>2886</v>
      </c>
      <c r="B218" t="s">
        <v>5863</v>
      </c>
      <c r="C218" t="s">
        <v>5645</v>
      </c>
      <c r="D218">
        <v>44454</v>
      </c>
      <c r="E218">
        <v>10</v>
      </c>
      <c r="F218">
        <v>10</v>
      </c>
      <c r="G218">
        <v>10</v>
      </c>
    </row>
    <row r="219" spans="1:7">
      <c r="A219">
        <v>2489</v>
      </c>
      <c r="B219" t="s">
        <v>5738</v>
      </c>
      <c r="C219" t="s">
        <v>5661</v>
      </c>
      <c r="D219">
        <v>44454</v>
      </c>
      <c r="E219">
        <v>9</v>
      </c>
      <c r="F219">
        <v>9</v>
      </c>
      <c r="G219">
        <v>9</v>
      </c>
    </row>
    <row r="220" spans="1:7">
      <c r="A220">
        <v>6213</v>
      </c>
      <c r="B220" t="s">
        <v>5756</v>
      </c>
      <c r="C220" t="s">
        <v>5675</v>
      </c>
      <c r="D220">
        <v>44454</v>
      </c>
      <c r="E220">
        <v>7</v>
      </c>
      <c r="F220">
        <v>7</v>
      </c>
      <c r="G220">
        <v>7</v>
      </c>
    </row>
    <row r="221" spans="1:7">
      <c r="A221">
        <v>9907</v>
      </c>
      <c r="B221" t="s">
        <v>5812</v>
      </c>
      <c r="C221" t="s">
        <v>5664</v>
      </c>
      <c r="D221">
        <v>44454</v>
      </c>
      <c r="E221">
        <v>7</v>
      </c>
      <c r="F221">
        <v>7</v>
      </c>
      <c r="G221">
        <v>7</v>
      </c>
    </row>
    <row r="222" spans="1:7">
      <c r="A222">
        <v>9103</v>
      </c>
      <c r="B222" t="s">
        <v>5864</v>
      </c>
      <c r="C222" t="s">
        <v>5865</v>
      </c>
      <c r="D222">
        <v>44454</v>
      </c>
      <c r="E222">
        <v>8</v>
      </c>
      <c r="F222">
        <v>8</v>
      </c>
      <c r="G222">
        <v>8</v>
      </c>
    </row>
    <row r="223" spans="1:7">
      <c r="A223">
        <v>4128</v>
      </c>
      <c r="B223" t="s">
        <v>5866</v>
      </c>
      <c r="C223" t="s">
        <v>5867</v>
      </c>
      <c r="D223">
        <v>44454</v>
      </c>
      <c r="E223">
        <v>2</v>
      </c>
      <c r="F223">
        <v>2</v>
      </c>
      <c r="G223">
        <v>2</v>
      </c>
    </row>
    <row r="224" spans="1:7">
      <c r="A224">
        <v>1312</v>
      </c>
      <c r="B224" t="s">
        <v>5773</v>
      </c>
      <c r="C224" t="s">
        <v>5771</v>
      </c>
      <c r="D224">
        <v>44454</v>
      </c>
      <c r="E224">
        <v>8</v>
      </c>
      <c r="F224">
        <v>8</v>
      </c>
      <c r="G224">
        <v>8</v>
      </c>
    </row>
    <row r="225" spans="1:7">
      <c r="A225">
        <v>1718</v>
      </c>
      <c r="B225" t="s">
        <v>5816</v>
      </c>
      <c r="C225" t="s">
        <v>5733</v>
      </c>
      <c r="D225">
        <v>44454</v>
      </c>
      <c r="E225">
        <v>13</v>
      </c>
      <c r="F225">
        <v>13</v>
      </c>
      <c r="G225">
        <v>13</v>
      </c>
    </row>
    <row r="226" spans="1:7">
      <c r="A226">
        <v>1909</v>
      </c>
      <c r="B226" t="s">
        <v>5676</v>
      </c>
      <c r="C226" t="s">
        <v>5677</v>
      </c>
      <c r="D226">
        <v>44454</v>
      </c>
      <c r="E226">
        <v>6</v>
      </c>
      <c r="F226">
        <v>6</v>
      </c>
      <c r="G226">
        <v>6</v>
      </c>
    </row>
    <row r="227" spans="1:7">
      <c r="A227">
        <v>2601</v>
      </c>
      <c r="B227" t="s">
        <v>5646</v>
      </c>
      <c r="C227" t="s">
        <v>5647</v>
      </c>
      <c r="D227">
        <v>44454</v>
      </c>
      <c r="E227">
        <v>5</v>
      </c>
      <c r="F227">
        <v>5</v>
      </c>
      <c r="G227">
        <v>5</v>
      </c>
    </row>
    <row r="228" spans="1:7">
      <c r="A228">
        <v>5009</v>
      </c>
      <c r="B228" t="s">
        <v>5868</v>
      </c>
      <c r="C228" t="s">
        <v>5869</v>
      </c>
      <c r="D228">
        <v>44454</v>
      </c>
      <c r="E228">
        <v>5</v>
      </c>
      <c r="F228">
        <v>5</v>
      </c>
      <c r="G228">
        <v>5</v>
      </c>
    </row>
    <row r="229" spans="1:7">
      <c r="A229">
        <v>5880</v>
      </c>
      <c r="B229" t="s">
        <v>5655</v>
      </c>
      <c r="C229" t="s">
        <v>5645</v>
      </c>
      <c r="D229">
        <v>44454</v>
      </c>
      <c r="E229">
        <v>6</v>
      </c>
      <c r="F229">
        <v>6</v>
      </c>
      <c r="G229">
        <v>6</v>
      </c>
    </row>
    <row r="230" spans="1:7">
      <c r="A230">
        <v>3037</v>
      </c>
      <c r="B230" t="s">
        <v>5870</v>
      </c>
      <c r="C230" t="s">
        <v>5675</v>
      </c>
      <c r="D230">
        <v>44454</v>
      </c>
      <c r="E230">
        <v>2</v>
      </c>
      <c r="F230">
        <v>2</v>
      </c>
      <c r="G230">
        <v>2</v>
      </c>
    </row>
    <row r="231" spans="1:7">
      <c r="A231">
        <v>1301</v>
      </c>
      <c r="B231" t="s">
        <v>5841</v>
      </c>
      <c r="C231" t="s">
        <v>5771</v>
      </c>
      <c r="D231">
        <v>44454</v>
      </c>
      <c r="E231">
        <v>11</v>
      </c>
      <c r="F231">
        <v>11</v>
      </c>
      <c r="G231">
        <v>11</v>
      </c>
    </row>
    <row r="232" spans="1:7">
      <c r="A232">
        <v>3232</v>
      </c>
      <c r="B232" t="s">
        <v>5693</v>
      </c>
      <c r="C232" t="s">
        <v>5694</v>
      </c>
      <c r="D232">
        <v>44454</v>
      </c>
      <c r="E232">
        <v>3</v>
      </c>
      <c r="F232">
        <v>3</v>
      </c>
      <c r="G232">
        <v>3</v>
      </c>
    </row>
    <row r="233" spans="1:7">
      <c r="A233">
        <v>1217</v>
      </c>
      <c r="B233" t="s">
        <v>5871</v>
      </c>
      <c r="C233" t="s">
        <v>5872</v>
      </c>
      <c r="D233">
        <v>44454</v>
      </c>
      <c r="E233">
        <v>7</v>
      </c>
      <c r="F233">
        <v>7</v>
      </c>
      <c r="G233">
        <v>7</v>
      </c>
    </row>
    <row r="234" spans="1:7">
      <c r="A234">
        <v>6233</v>
      </c>
      <c r="B234" t="s">
        <v>5873</v>
      </c>
      <c r="C234" t="s">
        <v>5690</v>
      </c>
      <c r="D234">
        <v>44454</v>
      </c>
      <c r="E234">
        <v>3</v>
      </c>
      <c r="F234">
        <v>3</v>
      </c>
      <c r="G234">
        <v>3</v>
      </c>
    </row>
    <row r="235" spans="1:7">
      <c r="A235">
        <v>8201</v>
      </c>
      <c r="B235" t="s">
        <v>5874</v>
      </c>
      <c r="C235" t="s">
        <v>5692</v>
      </c>
      <c r="D235">
        <v>44454</v>
      </c>
      <c r="E235">
        <v>8</v>
      </c>
      <c r="F235">
        <v>8</v>
      </c>
      <c r="G235">
        <v>8</v>
      </c>
    </row>
    <row r="236" spans="1:7">
      <c r="A236">
        <v>4934</v>
      </c>
      <c r="B236" t="s">
        <v>5875</v>
      </c>
      <c r="C236" t="s">
        <v>5661</v>
      </c>
      <c r="D236">
        <v>44454</v>
      </c>
      <c r="E236">
        <v>3</v>
      </c>
      <c r="F236">
        <v>3</v>
      </c>
      <c r="G236">
        <v>3</v>
      </c>
    </row>
    <row r="237" spans="1:7">
      <c r="A237">
        <v>1229</v>
      </c>
      <c r="B237" t="s">
        <v>5876</v>
      </c>
      <c r="C237" t="s">
        <v>5872</v>
      </c>
      <c r="D237">
        <v>44454</v>
      </c>
      <c r="E237">
        <v>5</v>
      </c>
      <c r="F237">
        <v>5</v>
      </c>
      <c r="G237">
        <v>5</v>
      </c>
    </row>
    <row r="238" spans="1:7">
      <c r="A238">
        <v>5347</v>
      </c>
      <c r="B238" t="s">
        <v>5877</v>
      </c>
      <c r="C238" t="s">
        <v>5690</v>
      </c>
      <c r="D238">
        <v>44454</v>
      </c>
      <c r="E238">
        <v>2</v>
      </c>
      <c r="F238">
        <v>2</v>
      </c>
      <c r="G238">
        <v>2</v>
      </c>
    </row>
    <row r="239" spans="1:7">
      <c r="A239">
        <v>6269</v>
      </c>
      <c r="B239" t="s">
        <v>5717</v>
      </c>
      <c r="C239" t="s">
        <v>5675</v>
      </c>
      <c r="D239">
        <v>44454</v>
      </c>
      <c r="E239">
        <v>9</v>
      </c>
      <c r="F239">
        <v>9</v>
      </c>
      <c r="G239">
        <v>9</v>
      </c>
    </row>
    <row r="240" spans="1:7">
      <c r="A240">
        <v>2880</v>
      </c>
      <c r="B240" t="s">
        <v>5878</v>
      </c>
      <c r="C240" t="s">
        <v>5645</v>
      </c>
      <c r="D240">
        <v>44454</v>
      </c>
      <c r="E240">
        <v>10</v>
      </c>
      <c r="F240">
        <v>10</v>
      </c>
      <c r="G240">
        <v>10</v>
      </c>
    </row>
    <row r="241" spans="1:7">
      <c r="A241">
        <v>2038</v>
      </c>
      <c r="B241" t="s">
        <v>5879</v>
      </c>
      <c r="C241" t="s">
        <v>5659</v>
      </c>
      <c r="D241">
        <v>44454</v>
      </c>
      <c r="E241">
        <v>4</v>
      </c>
      <c r="F241">
        <v>4</v>
      </c>
      <c r="G241">
        <v>4</v>
      </c>
    </row>
    <row r="242" spans="1:7">
      <c r="A242">
        <v>1455</v>
      </c>
      <c r="B242" t="s">
        <v>5880</v>
      </c>
      <c r="C242" t="s">
        <v>5706</v>
      </c>
      <c r="D242">
        <v>44454</v>
      </c>
      <c r="E242">
        <v>7</v>
      </c>
      <c r="F242">
        <v>7</v>
      </c>
      <c r="G242">
        <v>7</v>
      </c>
    </row>
    <row r="243" spans="1:7">
      <c r="A243">
        <v>2618</v>
      </c>
      <c r="B243" t="s">
        <v>5881</v>
      </c>
      <c r="C243" t="s">
        <v>5679</v>
      </c>
      <c r="D243">
        <v>44454</v>
      </c>
      <c r="E243">
        <v>4</v>
      </c>
      <c r="F243">
        <v>4</v>
      </c>
      <c r="G243">
        <v>4</v>
      </c>
    </row>
    <row r="244" spans="1:7">
      <c r="A244">
        <v>1722</v>
      </c>
      <c r="B244" t="s">
        <v>5882</v>
      </c>
      <c r="C244" t="s">
        <v>5733</v>
      </c>
      <c r="D244">
        <v>44454</v>
      </c>
      <c r="E244">
        <v>9</v>
      </c>
      <c r="F244">
        <v>9</v>
      </c>
      <c r="G244">
        <v>9</v>
      </c>
    </row>
    <row r="245" spans="1:7">
      <c r="A245">
        <v>2636</v>
      </c>
      <c r="B245" t="s">
        <v>5678</v>
      </c>
      <c r="C245" t="s">
        <v>5679</v>
      </c>
      <c r="D245">
        <v>44454</v>
      </c>
      <c r="E245">
        <v>7</v>
      </c>
      <c r="F245">
        <v>7</v>
      </c>
      <c r="G245">
        <v>7</v>
      </c>
    </row>
    <row r="246" spans="1:7">
      <c r="A246">
        <v>8110</v>
      </c>
      <c r="B246" t="s">
        <v>5685</v>
      </c>
      <c r="C246" t="s">
        <v>5666</v>
      </c>
      <c r="D246">
        <v>44454</v>
      </c>
      <c r="E246">
        <v>8</v>
      </c>
      <c r="F246">
        <v>8</v>
      </c>
      <c r="G246">
        <v>8</v>
      </c>
    </row>
    <row r="247" spans="1:7">
      <c r="A247">
        <v>1101</v>
      </c>
      <c r="B247" t="s">
        <v>5822</v>
      </c>
      <c r="C247" t="s">
        <v>5823</v>
      </c>
      <c r="D247">
        <v>44454</v>
      </c>
      <c r="E247">
        <v>8</v>
      </c>
      <c r="F247">
        <v>8</v>
      </c>
      <c r="G247">
        <v>8</v>
      </c>
    </row>
    <row r="248" spans="1:7">
      <c r="A248">
        <v>5609</v>
      </c>
      <c r="B248" t="s">
        <v>5883</v>
      </c>
      <c r="C248" t="s">
        <v>5884</v>
      </c>
      <c r="D248">
        <v>44454</v>
      </c>
      <c r="E248">
        <v>6</v>
      </c>
      <c r="F248">
        <v>6</v>
      </c>
      <c r="G248">
        <v>6</v>
      </c>
    </row>
    <row r="249" spans="1:7">
      <c r="A249">
        <v>2017</v>
      </c>
      <c r="B249" t="s">
        <v>5885</v>
      </c>
      <c r="C249" t="s">
        <v>5659</v>
      </c>
      <c r="D249">
        <v>44454</v>
      </c>
      <c r="E249">
        <v>5</v>
      </c>
      <c r="F249">
        <v>5</v>
      </c>
      <c r="G249">
        <v>5</v>
      </c>
    </row>
    <row r="250" spans="1:7">
      <c r="A250">
        <v>8289</v>
      </c>
      <c r="B250" t="s">
        <v>5886</v>
      </c>
      <c r="C250" t="s">
        <v>5791</v>
      </c>
      <c r="D250">
        <v>44454</v>
      </c>
      <c r="E250">
        <v>4</v>
      </c>
      <c r="F250">
        <v>4</v>
      </c>
      <c r="G250">
        <v>4</v>
      </c>
    </row>
    <row r="251" spans="1:7">
      <c r="A251">
        <v>2351</v>
      </c>
      <c r="B251" t="s">
        <v>5752</v>
      </c>
      <c r="C251" t="s">
        <v>5666</v>
      </c>
      <c r="D251">
        <v>44454</v>
      </c>
      <c r="E251">
        <v>5</v>
      </c>
      <c r="F251">
        <v>5</v>
      </c>
      <c r="G251">
        <v>5</v>
      </c>
    </row>
    <row r="252" spans="1:7">
      <c r="A252">
        <v>2023</v>
      </c>
      <c r="B252" t="s">
        <v>5887</v>
      </c>
      <c r="C252" t="s">
        <v>5659</v>
      </c>
      <c r="D252">
        <v>44454</v>
      </c>
      <c r="E252">
        <v>6</v>
      </c>
      <c r="F252">
        <v>6</v>
      </c>
      <c r="G252">
        <v>6</v>
      </c>
    </row>
    <row r="253" spans="1:7">
      <c r="A253">
        <v>1721</v>
      </c>
      <c r="B253" t="s">
        <v>5888</v>
      </c>
      <c r="C253" t="s">
        <v>5733</v>
      </c>
      <c r="D253">
        <v>44454</v>
      </c>
      <c r="E253">
        <v>1</v>
      </c>
      <c r="F253">
        <v>1</v>
      </c>
      <c r="G253">
        <v>1</v>
      </c>
    </row>
    <row r="254" spans="1:7">
      <c r="A254">
        <v>3706</v>
      </c>
      <c r="B254" t="s">
        <v>5889</v>
      </c>
      <c r="C254" t="s">
        <v>5649</v>
      </c>
      <c r="D254">
        <v>44454</v>
      </c>
      <c r="E254">
        <v>12</v>
      </c>
      <c r="F254">
        <v>12</v>
      </c>
      <c r="G254">
        <v>12</v>
      </c>
    </row>
    <row r="255" spans="1:7">
      <c r="A255">
        <v>2376</v>
      </c>
      <c r="B255" t="s">
        <v>5774</v>
      </c>
      <c r="C255" t="s">
        <v>5649</v>
      </c>
      <c r="D255">
        <v>44454</v>
      </c>
      <c r="E255">
        <v>4</v>
      </c>
      <c r="F255">
        <v>4</v>
      </c>
      <c r="G255">
        <v>4</v>
      </c>
    </row>
    <row r="256" spans="1:7">
      <c r="A256">
        <v>2606</v>
      </c>
      <c r="B256" t="s">
        <v>5890</v>
      </c>
      <c r="C256" t="s">
        <v>5679</v>
      </c>
      <c r="D256">
        <v>44454</v>
      </c>
      <c r="E256">
        <v>4</v>
      </c>
      <c r="F256">
        <v>4</v>
      </c>
      <c r="G256">
        <v>4</v>
      </c>
    </row>
    <row r="257" spans="1:7">
      <c r="A257">
        <v>2617</v>
      </c>
      <c r="B257" t="s">
        <v>5891</v>
      </c>
      <c r="C257" t="s">
        <v>5679</v>
      </c>
      <c r="D257">
        <v>44454</v>
      </c>
      <c r="E257">
        <v>6</v>
      </c>
      <c r="F257">
        <v>6</v>
      </c>
      <c r="G257">
        <v>6</v>
      </c>
    </row>
    <row r="258" spans="1:7">
      <c r="A258">
        <v>9938</v>
      </c>
      <c r="B258" t="s">
        <v>5892</v>
      </c>
      <c r="C258" t="s">
        <v>5664</v>
      </c>
      <c r="D258">
        <v>44454</v>
      </c>
      <c r="E258">
        <v>3</v>
      </c>
      <c r="F258">
        <v>3</v>
      </c>
      <c r="G258">
        <v>3</v>
      </c>
    </row>
    <row r="259" spans="1:7">
      <c r="A259">
        <v>2030</v>
      </c>
      <c r="B259" t="s">
        <v>5893</v>
      </c>
      <c r="C259" t="s">
        <v>5659</v>
      </c>
      <c r="D259">
        <v>44454</v>
      </c>
      <c r="E259">
        <v>5</v>
      </c>
      <c r="F259">
        <v>5</v>
      </c>
      <c r="G259">
        <v>5</v>
      </c>
    </row>
    <row r="260" spans="1:7">
      <c r="A260">
        <v>2340</v>
      </c>
      <c r="B260" t="s">
        <v>5749</v>
      </c>
      <c r="C260" t="s">
        <v>5661</v>
      </c>
      <c r="D260">
        <v>44454</v>
      </c>
      <c r="E260">
        <v>6</v>
      </c>
      <c r="F260">
        <v>6</v>
      </c>
      <c r="G260">
        <v>6</v>
      </c>
    </row>
    <row r="261" spans="1:7">
      <c r="A261">
        <v>8044</v>
      </c>
      <c r="B261" t="s">
        <v>5894</v>
      </c>
      <c r="C261" t="s">
        <v>5895</v>
      </c>
      <c r="D261">
        <v>44454</v>
      </c>
      <c r="E261">
        <v>6</v>
      </c>
      <c r="F261">
        <v>6</v>
      </c>
      <c r="G261">
        <v>6</v>
      </c>
    </row>
    <row r="262" spans="1:7">
      <c r="A262">
        <v>2014</v>
      </c>
      <c r="B262" t="s">
        <v>5896</v>
      </c>
      <c r="C262" t="s">
        <v>5659</v>
      </c>
      <c r="D262">
        <v>44454</v>
      </c>
      <c r="E262">
        <v>6</v>
      </c>
      <c r="F262">
        <v>6</v>
      </c>
      <c r="G262">
        <v>6</v>
      </c>
    </row>
    <row r="263" spans="1:7">
      <c r="A263">
        <v>1905</v>
      </c>
      <c r="B263" t="s">
        <v>5897</v>
      </c>
      <c r="C263" t="s">
        <v>5677</v>
      </c>
      <c r="D263">
        <v>44454</v>
      </c>
      <c r="E263">
        <v>6</v>
      </c>
      <c r="F263">
        <v>6</v>
      </c>
      <c r="G263">
        <v>6</v>
      </c>
    </row>
    <row r="264" spans="1:7">
      <c r="A264">
        <v>2108</v>
      </c>
      <c r="B264" t="s">
        <v>5656</v>
      </c>
      <c r="C264" t="s">
        <v>5657</v>
      </c>
      <c r="D264">
        <v>44454</v>
      </c>
      <c r="E264">
        <v>9</v>
      </c>
      <c r="F264">
        <v>9</v>
      </c>
      <c r="G264">
        <v>9</v>
      </c>
    </row>
    <row r="265" spans="1:7">
      <c r="A265">
        <v>6116</v>
      </c>
      <c r="B265" t="s">
        <v>5898</v>
      </c>
      <c r="C265" t="s">
        <v>5661</v>
      </c>
      <c r="D265">
        <v>44454</v>
      </c>
      <c r="E265">
        <v>7</v>
      </c>
      <c r="F265">
        <v>7</v>
      </c>
      <c r="G265">
        <v>7</v>
      </c>
    </row>
    <row r="266" spans="1:7">
      <c r="A266">
        <v>2312</v>
      </c>
      <c r="B266" t="s">
        <v>5739</v>
      </c>
      <c r="C266" t="s">
        <v>5692</v>
      </c>
      <c r="D266">
        <v>44454</v>
      </c>
      <c r="E266">
        <v>8</v>
      </c>
      <c r="F266">
        <v>8</v>
      </c>
      <c r="G266">
        <v>8</v>
      </c>
    </row>
    <row r="267" spans="1:7">
      <c r="A267">
        <v>2010</v>
      </c>
      <c r="B267" t="s">
        <v>5658</v>
      </c>
      <c r="C267" t="s">
        <v>5659</v>
      </c>
      <c r="D267">
        <v>44454</v>
      </c>
      <c r="E267">
        <v>8</v>
      </c>
      <c r="F267">
        <v>8</v>
      </c>
      <c r="G267">
        <v>8</v>
      </c>
    </row>
    <row r="268" spans="1:7">
      <c r="A268">
        <v>3189</v>
      </c>
      <c r="B268" t="s">
        <v>5696</v>
      </c>
      <c r="C268" t="s">
        <v>5666</v>
      </c>
      <c r="D268">
        <v>44454</v>
      </c>
      <c r="E268">
        <v>4</v>
      </c>
      <c r="F268">
        <v>4</v>
      </c>
      <c r="G268">
        <v>4</v>
      </c>
    </row>
    <row r="269" spans="1:7">
      <c r="A269">
        <v>2476</v>
      </c>
      <c r="B269" t="s">
        <v>5899</v>
      </c>
      <c r="C269" t="s">
        <v>5675</v>
      </c>
      <c r="D269">
        <v>44454</v>
      </c>
      <c r="E269">
        <v>4</v>
      </c>
      <c r="F269">
        <v>4</v>
      </c>
      <c r="G269">
        <v>4</v>
      </c>
    </row>
    <row r="270" spans="1:7">
      <c r="A270">
        <v>2371</v>
      </c>
      <c r="B270" t="s">
        <v>5900</v>
      </c>
      <c r="C270" t="s">
        <v>5670</v>
      </c>
      <c r="D270">
        <v>44454</v>
      </c>
      <c r="E270">
        <v>6</v>
      </c>
      <c r="F270">
        <v>6</v>
      </c>
      <c r="G270">
        <v>6</v>
      </c>
    </row>
    <row r="271" spans="1:7">
      <c r="A271">
        <v>3682</v>
      </c>
      <c r="B271" t="s">
        <v>5901</v>
      </c>
      <c r="C271" t="s">
        <v>5653</v>
      </c>
      <c r="D271">
        <v>44454</v>
      </c>
      <c r="E271">
        <v>2</v>
      </c>
      <c r="F271">
        <v>2</v>
      </c>
      <c r="G271">
        <v>2</v>
      </c>
    </row>
    <row r="272" spans="1:7">
      <c r="A272">
        <v>2637</v>
      </c>
      <c r="B272" t="s">
        <v>5902</v>
      </c>
      <c r="C272" t="s">
        <v>5679</v>
      </c>
      <c r="D272">
        <v>44454</v>
      </c>
      <c r="E272">
        <v>6</v>
      </c>
      <c r="F272">
        <v>6</v>
      </c>
      <c r="G272">
        <v>6</v>
      </c>
    </row>
    <row r="273" spans="1:7">
      <c r="A273">
        <v>2031</v>
      </c>
      <c r="B273" t="s">
        <v>5903</v>
      </c>
      <c r="C273" t="s">
        <v>5659</v>
      </c>
      <c r="D273">
        <v>44454</v>
      </c>
      <c r="E273">
        <v>1</v>
      </c>
      <c r="F273">
        <v>1</v>
      </c>
      <c r="G273">
        <v>1</v>
      </c>
    </row>
    <row r="274" spans="1:7">
      <c r="A274">
        <v>1710</v>
      </c>
      <c r="B274" t="s">
        <v>5784</v>
      </c>
      <c r="C274" t="s">
        <v>5733</v>
      </c>
      <c r="D274">
        <v>44454</v>
      </c>
      <c r="E274">
        <v>7</v>
      </c>
      <c r="F274">
        <v>7</v>
      </c>
      <c r="G274">
        <v>7</v>
      </c>
    </row>
    <row r="275" spans="1:7">
      <c r="A275">
        <v>6163</v>
      </c>
      <c r="B275" t="s">
        <v>5683</v>
      </c>
      <c r="C275" t="s">
        <v>5684</v>
      </c>
      <c r="D275">
        <v>44454</v>
      </c>
      <c r="E275">
        <v>6</v>
      </c>
      <c r="F275">
        <v>6</v>
      </c>
      <c r="G275">
        <v>6</v>
      </c>
    </row>
    <row r="276" spans="1:7">
      <c r="A276">
        <v>3701</v>
      </c>
      <c r="B276" t="s">
        <v>5904</v>
      </c>
      <c r="C276" t="s">
        <v>5649</v>
      </c>
      <c r="D276">
        <v>44454</v>
      </c>
      <c r="E276">
        <v>4</v>
      </c>
      <c r="F276">
        <v>4</v>
      </c>
      <c r="G276">
        <v>4</v>
      </c>
    </row>
    <row r="277" spans="1:7">
      <c r="A277">
        <v>2834</v>
      </c>
      <c r="B277" t="s">
        <v>5672</v>
      </c>
      <c r="C277" t="s">
        <v>5645</v>
      </c>
      <c r="D277">
        <v>44454</v>
      </c>
      <c r="E277">
        <v>7</v>
      </c>
      <c r="F277">
        <v>7</v>
      </c>
      <c r="G277">
        <v>7</v>
      </c>
    </row>
    <row r="278" spans="1:7">
      <c r="A278">
        <v>2498</v>
      </c>
      <c r="B278" t="s">
        <v>5785</v>
      </c>
      <c r="C278" t="s">
        <v>5653</v>
      </c>
      <c r="D278">
        <v>44454</v>
      </c>
      <c r="E278">
        <v>2</v>
      </c>
      <c r="F278">
        <v>2</v>
      </c>
      <c r="G278">
        <v>2</v>
      </c>
    </row>
    <row r="279" spans="1:7">
      <c r="A279">
        <v>2029</v>
      </c>
      <c r="B279" t="s">
        <v>5905</v>
      </c>
      <c r="C279" t="s">
        <v>5659</v>
      </c>
      <c r="D279">
        <v>44454</v>
      </c>
      <c r="E279">
        <v>3</v>
      </c>
      <c r="F279">
        <v>3</v>
      </c>
      <c r="G279">
        <v>3</v>
      </c>
    </row>
    <row r="280" spans="1:7">
      <c r="A280">
        <v>6278</v>
      </c>
      <c r="B280" t="s">
        <v>5764</v>
      </c>
      <c r="C280" t="s">
        <v>5661</v>
      </c>
      <c r="D280">
        <v>44454</v>
      </c>
      <c r="E280">
        <v>8</v>
      </c>
      <c r="F280">
        <v>8</v>
      </c>
      <c r="G280">
        <v>8</v>
      </c>
    </row>
    <row r="281" spans="1:7">
      <c r="A281">
        <v>6531</v>
      </c>
      <c r="B281" t="s">
        <v>5825</v>
      </c>
      <c r="C281" t="s">
        <v>5666</v>
      </c>
      <c r="D281">
        <v>44454</v>
      </c>
      <c r="E281">
        <v>6</v>
      </c>
      <c r="F281">
        <v>6</v>
      </c>
      <c r="G281">
        <v>6</v>
      </c>
    </row>
    <row r="282" spans="1:7">
      <c r="A282">
        <v>5328</v>
      </c>
      <c r="B282" t="s">
        <v>5906</v>
      </c>
      <c r="C282" t="s">
        <v>5791</v>
      </c>
      <c r="D282">
        <v>44454</v>
      </c>
      <c r="E282">
        <v>7</v>
      </c>
      <c r="F282">
        <v>7</v>
      </c>
      <c r="G282">
        <v>7</v>
      </c>
    </row>
    <row r="283" spans="1:7">
      <c r="A283">
        <v>8046</v>
      </c>
      <c r="B283" t="s">
        <v>5735</v>
      </c>
      <c r="C283" t="s">
        <v>5675</v>
      </c>
      <c r="D283">
        <v>44454</v>
      </c>
      <c r="E283">
        <v>5</v>
      </c>
      <c r="F283">
        <v>5</v>
      </c>
      <c r="G283">
        <v>5</v>
      </c>
    </row>
    <row r="284" spans="1:7">
      <c r="A284">
        <v>1504</v>
      </c>
      <c r="B284" t="s">
        <v>5669</v>
      </c>
      <c r="C284" t="s">
        <v>5670</v>
      </c>
      <c r="D284">
        <v>44454</v>
      </c>
      <c r="E284">
        <v>8</v>
      </c>
      <c r="F284">
        <v>8</v>
      </c>
      <c r="G284">
        <v>8</v>
      </c>
    </row>
    <row r="285" spans="1:7">
      <c r="A285">
        <v>4961</v>
      </c>
      <c r="B285" t="s">
        <v>5698</v>
      </c>
      <c r="C285" t="s">
        <v>5666</v>
      </c>
      <c r="D285">
        <v>44454</v>
      </c>
      <c r="E285">
        <v>3</v>
      </c>
      <c r="F285">
        <v>3</v>
      </c>
      <c r="G285">
        <v>3</v>
      </c>
    </row>
    <row r="286" spans="1:7">
      <c r="A286">
        <v>1904</v>
      </c>
      <c r="B286" t="s">
        <v>5907</v>
      </c>
      <c r="C286" t="s">
        <v>5677</v>
      </c>
      <c r="D286">
        <v>44454</v>
      </c>
      <c r="E286">
        <v>5</v>
      </c>
      <c r="F286">
        <v>5</v>
      </c>
      <c r="G286">
        <v>5</v>
      </c>
    </row>
    <row r="287" spans="1:7">
      <c r="A287">
        <v>2383</v>
      </c>
      <c r="B287" t="s">
        <v>5780</v>
      </c>
      <c r="C287" t="s">
        <v>5675</v>
      </c>
      <c r="D287">
        <v>44454</v>
      </c>
      <c r="E287">
        <v>5</v>
      </c>
      <c r="F287">
        <v>5</v>
      </c>
      <c r="G287">
        <v>5</v>
      </c>
    </row>
    <row r="288" spans="1:7">
      <c r="A288">
        <v>2012</v>
      </c>
      <c r="B288" t="s">
        <v>5908</v>
      </c>
      <c r="C288" t="s">
        <v>5659</v>
      </c>
      <c r="D288">
        <v>44454</v>
      </c>
      <c r="E288">
        <v>4</v>
      </c>
      <c r="F288">
        <v>4</v>
      </c>
      <c r="G288">
        <v>4</v>
      </c>
    </row>
    <row r="289" spans="1:7">
      <c r="A289">
        <v>4702</v>
      </c>
      <c r="B289" t="s">
        <v>5909</v>
      </c>
      <c r="C289" t="s">
        <v>5910</v>
      </c>
      <c r="D289">
        <v>44454</v>
      </c>
      <c r="E289">
        <v>4</v>
      </c>
      <c r="F289">
        <v>4</v>
      </c>
      <c r="G289">
        <v>4</v>
      </c>
    </row>
    <row r="290" spans="1:7">
      <c r="A290">
        <v>2823</v>
      </c>
      <c r="B290" t="s">
        <v>5811</v>
      </c>
      <c r="C290" t="s">
        <v>5645</v>
      </c>
      <c r="D290">
        <v>44454</v>
      </c>
      <c r="E290">
        <v>17</v>
      </c>
      <c r="F290">
        <v>17</v>
      </c>
      <c r="G290">
        <v>17</v>
      </c>
    </row>
    <row r="291" spans="1:7">
      <c r="A291">
        <v>3221</v>
      </c>
      <c r="B291" t="s">
        <v>5911</v>
      </c>
      <c r="C291" t="s">
        <v>5684</v>
      </c>
      <c r="D291">
        <v>44454</v>
      </c>
      <c r="E291">
        <v>5</v>
      </c>
      <c r="F291">
        <v>5</v>
      </c>
      <c r="G291">
        <v>5</v>
      </c>
    </row>
    <row r="292" spans="1:7">
      <c r="A292">
        <v>2007</v>
      </c>
      <c r="B292" t="s">
        <v>5912</v>
      </c>
      <c r="C292" t="s">
        <v>5659</v>
      </c>
      <c r="D292">
        <v>44454</v>
      </c>
      <c r="E292">
        <v>3</v>
      </c>
      <c r="F292">
        <v>3</v>
      </c>
      <c r="G292">
        <v>3</v>
      </c>
    </row>
    <row r="293" spans="1:7">
      <c r="A293">
        <v>3045</v>
      </c>
      <c r="B293" t="s">
        <v>5680</v>
      </c>
      <c r="C293" t="s">
        <v>5653</v>
      </c>
      <c r="D293">
        <v>44454</v>
      </c>
      <c r="E293">
        <v>14</v>
      </c>
      <c r="F293">
        <v>14</v>
      </c>
      <c r="G293">
        <v>14</v>
      </c>
    </row>
    <row r="294" spans="1:7">
      <c r="A294">
        <v>1447</v>
      </c>
      <c r="B294" t="s">
        <v>5705</v>
      </c>
      <c r="C294" t="s">
        <v>5706</v>
      </c>
      <c r="D294">
        <v>44454</v>
      </c>
      <c r="E294">
        <v>8</v>
      </c>
      <c r="F294">
        <v>8</v>
      </c>
      <c r="G294">
        <v>8</v>
      </c>
    </row>
    <row r="295" spans="1:7">
      <c r="A295">
        <v>6217</v>
      </c>
      <c r="B295" t="s">
        <v>5913</v>
      </c>
      <c r="C295" t="s">
        <v>5791</v>
      </c>
      <c r="D295">
        <v>44454</v>
      </c>
      <c r="E295">
        <v>4</v>
      </c>
      <c r="F295">
        <v>4</v>
      </c>
      <c r="G295">
        <v>4</v>
      </c>
    </row>
    <row r="296" spans="1:7">
      <c r="A296">
        <v>2455</v>
      </c>
      <c r="B296" t="s">
        <v>5695</v>
      </c>
      <c r="C296" t="s">
        <v>5653</v>
      </c>
      <c r="D296">
        <v>44454</v>
      </c>
      <c r="E296">
        <v>8</v>
      </c>
      <c r="F296">
        <v>8</v>
      </c>
      <c r="G296">
        <v>8</v>
      </c>
    </row>
    <row r="297" spans="1:7">
      <c r="A297">
        <v>4711</v>
      </c>
      <c r="B297" t="s">
        <v>5914</v>
      </c>
      <c r="C297" t="s">
        <v>5910</v>
      </c>
      <c r="D297">
        <v>44454</v>
      </c>
      <c r="E297">
        <v>2</v>
      </c>
      <c r="F297">
        <v>2</v>
      </c>
      <c r="G297">
        <v>2</v>
      </c>
    </row>
    <row r="298" spans="1:7">
      <c r="A298">
        <v>5871</v>
      </c>
      <c r="B298" t="s">
        <v>5700</v>
      </c>
      <c r="C298" t="s">
        <v>5664</v>
      </c>
      <c r="D298">
        <v>44454</v>
      </c>
      <c r="E298">
        <v>10</v>
      </c>
      <c r="F298">
        <v>10</v>
      </c>
      <c r="G298">
        <v>10</v>
      </c>
    </row>
    <row r="299" spans="1:7">
      <c r="A299">
        <v>6756</v>
      </c>
      <c r="B299" t="s">
        <v>5736</v>
      </c>
      <c r="C299" t="s">
        <v>5666</v>
      </c>
      <c r="D299">
        <v>44454</v>
      </c>
      <c r="E299">
        <v>4</v>
      </c>
      <c r="F299">
        <v>4</v>
      </c>
      <c r="G299">
        <v>4</v>
      </c>
    </row>
    <row r="300" spans="1:7">
      <c r="A300">
        <v>2883</v>
      </c>
      <c r="B300" t="s">
        <v>5915</v>
      </c>
      <c r="C300" t="s">
        <v>5645</v>
      </c>
      <c r="D300">
        <v>44454</v>
      </c>
      <c r="E300">
        <v>7</v>
      </c>
      <c r="F300">
        <v>7</v>
      </c>
      <c r="G300">
        <v>7</v>
      </c>
    </row>
    <row r="301" spans="1:7">
      <c r="A301">
        <v>1477</v>
      </c>
      <c r="B301" t="s">
        <v>5916</v>
      </c>
      <c r="C301" t="s">
        <v>5706</v>
      </c>
      <c r="D301">
        <v>44454</v>
      </c>
      <c r="E301">
        <v>3</v>
      </c>
      <c r="F301">
        <v>3</v>
      </c>
      <c r="G301">
        <v>3</v>
      </c>
    </row>
    <row r="302" spans="1:7">
      <c r="A302">
        <v>8121</v>
      </c>
      <c r="B302" t="s">
        <v>5917</v>
      </c>
      <c r="C302" t="s">
        <v>5791</v>
      </c>
      <c r="D302">
        <v>44453</v>
      </c>
      <c r="E302">
        <v>5</v>
      </c>
      <c r="F302">
        <v>5</v>
      </c>
      <c r="G302">
        <v>5</v>
      </c>
    </row>
    <row r="303" spans="1:7">
      <c r="A303">
        <v>5820</v>
      </c>
      <c r="B303" t="s">
        <v>5797</v>
      </c>
      <c r="C303" t="s">
        <v>5798</v>
      </c>
      <c r="D303">
        <v>44453</v>
      </c>
      <c r="E303">
        <v>8</v>
      </c>
      <c r="F303">
        <v>8</v>
      </c>
      <c r="G303">
        <v>8</v>
      </c>
    </row>
    <row r="304" spans="1:7">
      <c r="A304">
        <v>8429</v>
      </c>
      <c r="B304" t="s">
        <v>5918</v>
      </c>
      <c r="C304" t="s">
        <v>5647</v>
      </c>
      <c r="D304">
        <v>44453</v>
      </c>
      <c r="E304">
        <v>1</v>
      </c>
      <c r="F304">
        <v>1</v>
      </c>
      <c r="G304">
        <v>1</v>
      </c>
    </row>
    <row r="305" spans="1:7">
      <c r="A305">
        <v>1467</v>
      </c>
      <c r="B305" t="s">
        <v>5919</v>
      </c>
      <c r="C305" t="s">
        <v>5706</v>
      </c>
      <c r="D305">
        <v>44453</v>
      </c>
      <c r="E305">
        <v>5</v>
      </c>
      <c r="F305">
        <v>5</v>
      </c>
      <c r="G305">
        <v>5</v>
      </c>
    </row>
    <row r="306" spans="1:7">
      <c r="A306">
        <v>8086</v>
      </c>
      <c r="B306" t="s">
        <v>5802</v>
      </c>
      <c r="C306" t="s">
        <v>5690</v>
      </c>
      <c r="D306">
        <v>44453</v>
      </c>
      <c r="E306">
        <v>5</v>
      </c>
      <c r="F306">
        <v>5</v>
      </c>
      <c r="G306">
        <v>5</v>
      </c>
    </row>
    <row r="307" spans="1:7">
      <c r="A307">
        <v>2455</v>
      </c>
      <c r="B307" t="s">
        <v>5695</v>
      </c>
      <c r="C307" t="s">
        <v>5653</v>
      </c>
      <c r="D307">
        <v>44453</v>
      </c>
      <c r="E307">
        <v>8</v>
      </c>
      <c r="F307">
        <v>8</v>
      </c>
      <c r="G307">
        <v>8</v>
      </c>
    </row>
    <row r="308" spans="1:7">
      <c r="A308">
        <v>4543</v>
      </c>
      <c r="B308" t="s">
        <v>5920</v>
      </c>
      <c r="C308" t="s">
        <v>5921</v>
      </c>
      <c r="D308">
        <v>44453</v>
      </c>
      <c r="E308">
        <v>1</v>
      </c>
      <c r="F308">
        <v>1</v>
      </c>
      <c r="G308">
        <v>1</v>
      </c>
    </row>
    <row r="309" spans="1:7">
      <c r="A309">
        <v>2324</v>
      </c>
      <c r="B309" t="s">
        <v>5848</v>
      </c>
      <c r="C309" t="s">
        <v>5649</v>
      </c>
      <c r="D309">
        <v>44453</v>
      </c>
      <c r="E309">
        <v>7</v>
      </c>
      <c r="F309">
        <v>7</v>
      </c>
      <c r="G309">
        <v>7</v>
      </c>
    </row>
    <row r="310" spans="1:7">
      <c r="A310">
        <v>6706</v>
      </c>
      <c r="B310" t="s">
        <v>5839</v>
      </c>
      <c r="C310" t="s">
        <v>5661</v>
      </c>
      <c r="D310">
        <v>44453</v>
      </c>
      <c r="E310">
        <v>5</v>
      </c>
      <c r="F310">
        <v>5</v>
      </c>
      <c r="G310">
        <v>5</v>
      </c>
    </row>
    <row r="311" spans="1:7">
      <c r="A311">
        <v>6251</v>
      </c>
      <c r="B311" t="s">
        <v>5922</v>
      </c>
      <c r="C311" t="s">
        <v>5675</v>
      </c>
      <c r="D311">
        <v>44453</v>
      </c>
      <c r="E311">
        <v>5</v>
      </c>
      <c r="F311">
        <v>5</v>
      </c>
      <c r="G311">
        <v>5</v>
      </c>
    </row>
    <row r="312" spans="1:7">
      <c r="A312">
        <v>2399</v>
      </c>
      <c r="B312" t="s">
        <v>5923</v>
      </c>
      <c r="C312" t="s">
        <v>5649</v>
      </c>
      <c r="D312">
        <v>44453</v>
      </c>
      <c r="E312">
        <v>4</v>
      </c>
      <c r="F312">
        <v>4</v>
      </c>
      <c r="G312">
        <v>4</v>
      </c>
    </row>
    <row r="313" spans="1:7">
      <c r="A313">
        <v>6269</v>
      </c>
      <c r="B313" t="s">
        <v>5717</v>
      </c>
      <c r="C313" t="s">
        <v>5675</v>
      </c>
      <c r="D313">
        <v>44453</v>
      </c>
      <c r="E313">
        <v>9</v>
      </c>
      <c r="F313">
        <v>9</v>
      </c>
      <c r="G313">
        <v>9</v>
      </c>
    </row>
    <row r="314" spans="1:7">
      <c r="A314">
        <v>8201</v>
      </c>
      <c r="B314" t="s">
        <v>5874</v>
      </c>
      <c r="C314" t="s">
        <v>5692</v>
      </c>
      <c r="D314">
        <v>44453</v>
      </c>
      <c r="E314">
        <v>8</v>
      </c>
      <c r="F314">
        <v>8</v>
      </c>
      <c r="G314">
        <v>8</v>
      </c>
    </row>
    <row r="315" spans="1:7">
      <c r="A315">
        <v>9904</v>
      </c>
      <c r="B315" t="s">
        <v>5855</v>
      </c>
      <c r="C315" t="s">
        <v>5664</v>
      </c>
      <c r="D315">
        <v>44453</v>
      </c>
      <c r="E315">
        <v>11</v>
      </c>
      <c r="F315">
        <v>11</v>
      </c>
      <c r="G315">
        <v>11</v>
      </c>
    </row>
    <row r="316" spans="1:7">
      <c r="A316">
        <v>3017</v>
      </c>
      <c r="B316" t="s">
        <v>5750</v>
      </c>
      <c r="C316" t="s">
        <v>5649</v>
      </c>
      <c r="D316">
        <v>44453</v>
      </c>
      <c r="E316">
        <v>8</v>
      </c>
      <c r="F316">
        <v>8</v>
      </c>
      <c r="G316">
        <v>8</v>
      </c>
    </row>
    <row r="317" spans="1:7">
      <c r="A317">
        <v>2204</v>
      </c>
      <c r="B317" t="s">
        <v>5924</v>
      </c>
      <c r="C317" t="s">
        <v>5769</v>
      </c>
      <c r="D317">
        <v>44453</v>
      </c>
      <c r="E317">
        <v>1</v>
      </c>
      <c r="F317">
        <v>1</v>
      </c>
      <c r="G317">
        <v>1</v>
      </c>
    </row>
    <row r="318" spans="1:7">
      <c r="A318">
        <v>5309</v>
      </c>
      <c r="B318" t="s">
        <v>5925</v>
      </c>
      <c r="C318" t="s">
        <v>5791</v>
      </c>
      <c r="D318">
        <v>44453</v>
      </c>
      <c r="E318">
        <v>5</v>
      </c>
      <c r="F318">
        <v>5</v>
      </c>
      <c r="G318">
        <v>5</v>
      </c>
    </row>
    <row r="319" spans="1:7">
      <c r="A319">
        <v>1434</v>
      </c>
      <c r="B319" t="s">
        <v>5926</v>
      </c>
      <c r="C319" t="s">
        <v>5706</v>
      </c>
      <c r="D319">
        <v>44453</v>
      </c>
      <c r="E319">
        <v>3</v>
      </c>
      <c r="F319">
        <v>3</v>
      </c>
      <c r="G319">
        <v>3</v>
      </c>
    </row>
    <row r="320" spans="1:7">
      <c r="A320">
        <v>5211</v>
      </c>
      <c r="B320" t="s">
        <v>5776</v>
      </c>
      <c r="C320" t="s">
        <v>5777</v>
      </c>
      <c r="D320">
        <v>44453</v>
      </c>
      <c r="E320">
        <v>4</v>
      </c>
      <c r="F320">
        <v>4</v>
      </c>
      <c r="G320">
        <v>4</v>
      </c>
    </row>
    <row r="321" spans="1:7">
      <c r="A321">
        <v>3050</v>
      </c>
      <c r="B321" t="s">
        <v>5927</v>
      </c>
      <c r="C321" t="s">
        <v>5661</v>
      </c>
      <c r="D321">
        <v>44453</v>
      </c>
      <c r="E321">
        <v>5</v>
      </c>
      <c r="F321">
        <v>5</v>
      </c>
      <c r="G321">
        <v>5</v>
      </c>
    </row>
    <row r="322" spans="1:7">
      <c r="A322">
        <v>1815</v>
      </c>
      <c r="B322" t="s">
        <v>5928</v>
      </c>
      <c r="C322" t="s">
        <v>5791</v>
      </c>
      <c r="D322">
        <v>44453</v>
      </c>
      <c r="E322">
        <v>7</v>
      </c>
      <c r="F322">
        <v>7</v>
      </c>
      <c r="G322">
        <v>7</v>
      </c>
    </row>
    <row r="323" spans="1:7">
      <c r="A323">
        <v>2201</v>
      </c>
      <c r="B323" t="s">
        <v>5929</v>
      </c>
      <c r="C323" t="s">
        <v>5769</v>
      </c>
      <c r="D323">
        <v>44453</v>
      </c>
      <c r="E323">
        <v>9</v>
      </c>
      <c r="F323">
        <v>9</v>
      </c>
      <c r="G323">
        <v>9</v>
      </c>
    </row>
    <row r="324" spans="1:7">
      <c r="A324">
        <v>2892</v>
      </c>
      <c r="B324" t="s">
        <v>5930</v>
      </c>
      <c r="C324" t="s">
        <v>5645</v>
      </c>
      <c r="D324">
        <v>44453</v>
      </c>
      <c r="E324">
        <v>5</v>
      </c>
      <c r="F324">
        <v>5</v>
      </c>
      <c r="G324">
        <v>5</v>
      </c>
    </row>
    <row r="325" spans="1:7">
      <c r="A325">
        <v>1722</v>
      </c>
      <c r="B325" t="s">
        <v>5882</v>
      </c>
      <c r="C325" t="s">
        <v>5733</v>
      </c>
      <c r="D325">
        <v>44453</v>
      </c>
      <c r="E325">
        <v>9</v>
      </c>
      <c r="F325">
        <v>9</v>
      </c>
      <c r="G325">
        <v>9</v>
      </c>
    </row>
    <row r="326" spans="1:7">
      <c r="A326">
        <v>2880</v>
      </c>
      <c r="B326" t="s">
        <v>5878</v>
      </c>
      <c r="C326" t="s">
        <v>5645</v>
      </c>
      <c r="D326">
        <v>44453</v>
      </c>
      <c r="E326">
        <v>10</v>
      </c>
      <c r="F326">
        <v>10</v>
      </c>
      <c r="G326">
        <v>10</v>
      </c>
    </row>
    <row r="327" spans="1:7">
      <c r="A327">
        <v>6213</v>
      </c>
      <c r="B327" t="s">
        <v>5756</v>
      </c>
      <c r="C327" t="s">
        <v>5675</v>
      </c>
      <c r="D327">
        <v>44453</v>
      </c>
      <c r="E327">
        <v>7</v>
      </c>
      <c r="F327">
        <v>7</v>
      </c>
      <c r="G327">
        <v>7</v>
      </c>
    </row>
    <row r="328" spans="1:7">
      <c r="A328">
        <v>2809</v>
      </c>
      <c r="B328" t="s">
        <v>5810</v>
      </c>
      <c r="C328" t="s">
        <v>5645</v>
      </c>
      <c r="D328">
        <v>44453</v>
      </c>
      <c r="E328">
        <v>15</v>
      </c>
      <c r="F328">
        <v>15</v>
      </c>
      <c r="G328">
        <v>15</v>
      </c>
    </row>
    <row r="329" spans="1:7">
      <c r="A329">
        <v>2105</v>
      </c>
      <c r="B329" t="s">
        <v>5671</v>
      </c>
      <c r="C329" t="s">
        <v>5657</v>
      </c>
      <c r="D329">
        <v>44453</v>
      </c>
      <c r="E329">
        <v>10</v>
      </c>
      <c r="F329">
        <v>10</v>
      </c>
      <c r="G329">
        <v>10</v>
      </c>
    </row>
    <row r="330" spans="1:7">
      <c r="A330">
        <v>3372</v>
      </c>
      <c r="B330" t="s">
        <v>5931</v>
      </c>
      <c r="C330" t="s">
        <v>5690</v>
      </c>
      <c r="D330">
        <v>44453</v>
      </c>
      <c r="E330">
        <v>2</v>
      </c>
      <c r="F330">
        <v>2</v>
      </c>
      <c r="G330">
        <v>2</v>
      </c>
    </row>
    <row r="331" spans="1:7">
      <c r="A331">
        <v>1217</v>
      </c>
      <c r="B331" t="s">
        <v>5871</v>
      </c>
      <c r="C331" t="s">
        <v>5872</v>
      </c>
      <c r="D331">
        <v>44453</v>
      </c>
      <c r="E331">
        <v>7</v>
      </c>
      <c r="F331">
        <v>7</v>
      </c>
      <c r="G331">
        <v>7</v>
      </c>
    </row>
    <row r="332" spans="1:7">
      <c r="A332">
        <v>3189</v>
      </c>
      <c r="B332" t="s">
        <v>5696</v>
      </c>
      <c r="C332" t="s">
        <v>5666</v>
      </c>
      <c r="D332">
        <v>44453</v>
      </c>
      <c r="E332">
        <v>4</v>
      </c>
      <c r="F332">
        <v>4</v>
      </c>
      <c r="G332">
        <v>4</v>
      </c>
    </row>
    <row r="333" spans="1:7">
      <c r="A333">
        <v>6223</v>
      </c>
      <c r="B333" t="s">
        <v>5844</v>
      </c>
      <c r="C333" t="s">
        <v>5690</v>
      </c>
      <c r="D333">
        <v>44453</v>
      </c>
      <c r="E333">
        <v>6</v>
      </c>
      <c r="F333">
        <v>6</v>
      </c>
      <c r="G333">
        <v>6</v>
      </c>
    </row>
    <row r="334" spans="1:7">
      <c r="A334">
        <v>3526</v>
      </c>
      <c r="B334" t="s">
        <v>5932</v>
      </c>
      <c r="C334" t="s">
        <v>5791</v>
      </c>
      <c r="D334">
        <v>44453</v>
      </c>
      <c r="E334">
        <v>4</v>
      </c>
      <c r="F334">
        <v>4</v>
      </c>
      <c r="G334">
        <v>4</v>
      </c>
    </row>
    <row r="335" spans="1:7">
      <c r="A335">
        <v>2486</v>
      </c>
      <c r="B335" t="s">
        <v>5795</v>
      </c>
      <c r="C335" t="s">
        <v>5661</v>
      </c>
      <c r="D335">
        <v>44453</v>
      </c>
      <c r="E335">
        <v>2</v>
      </c>
      <c r="F335">
        <v>2</v>
      </c>
      <c r="G335">
        <v>2</v>
      </c>
    </row>
    <row r="336" spans="1:7">
      <c r="A336">
        <v>2454</v>
      </c>
      <c r="B336" t="s">
        <v>5933</v>
      </c>
      <c r="C336" t="s">
        <v>5666</v>
      </c>
      <c r="D336">
        <v>44453</v>
      </c>
      <c r="E336">
        <v>8</v>
      </c>
      <c r="F336">
        <v>8</v>
      </c>
      <c r="G336">
        <v>8</v>
      </c>
    </row>
    <row r="337" spans="1:7">
      <c r="A337">
        <v>3552</v>
      </c>
      <c r="B337" t="s">
        <v>5934</v>
      </c>
      <c r="C337" t="s">
        <v>5800</v>
      </c>
      <c r="D337">
        <v>44453</v>
      </c>
      <c r="E337">
        <v>4</v>
      </c>
      <c r="F337">
        <v>4</v>
      </c>
      <c r="G337">
        <v>4</v>
      </c>
    </row>
    <row r="338" spans="1:7">
      <c r="A338">
        <v>6265</v>
      </c>
      <c r="B338" t="s">
        <v>5935</v>
      </c>
      <c r="C338" t="s">
        <v>5694</v>
      </c>
      <c r="D338">
        <v>44453</v>
      </c>
      <c r="E338">
        <v>4</v>
      </c>
      <c r="F338">
        <v>4</v>
      </c>
      <c r="G338">
        <v>4</v>
      </c>
    </row>
    <row r="339" spans="1:7">
      <c r="A339">
        <v>2383</v>
      </c>
      <c r="B339" t="s">
        <v>5780</v>
      </c>
      <c r="C339" t="s">
        <v>5675</v>
      </c>
      <c r="D339">
        <v>44453</v>
      </c>
      <c r="E339">
        <v>5</v>
      </c>
      <c r="F339">
        <v>5</v>
      </c>
      <c r="G339">
        <v>5</v>
      </c>
    </row>
    <row r="340" spans="1:7">
      <c r="A340">
        <v>4192</v>
      </c>
      <c r="B340" t="s">
        <v>5936</v>
      </c>
      <c r="C340" t="s">
        <v>5867</v>
      </c>
      <c r="D340">
        <v>44453</v>
      </c>
      <c r="E340">
        <v>2</v>
      </c>
      <c r="F340">
        <v>2</v>
      </c>
      <c r="G340">
        <v>2</v>
      </c>
    </row>
    <row r="341" spans="1:7">
      <c r="A341">
        <v>2449</v>
      </c>
      <c r="B341" t="s">
        <v>5937</v>
      </c>
      <c r="C341" t="s">
        <v>5666</v>
      </c>
      <c r="D341">
        <v>44453</v>
      </c>
      <c r="E341">
        <v>5</v>
      </c>
      <c r="F341">
        <v>5</v>
      </c>
      <c r="G341">
        <v>5</v>
      </c>
    </row>
    <row r="342" spans="1:7">
      <c r="A342">
        <v>8213</v>
      </c>
      <c r="B342" t="s">
        <v>5938</v>
      </c>
      <c r="C342" t="s">
        <v>5675</v>
      </c>
      <c r="D342">
        <v>44453</v>
      </c>
      <c r="E342">
        <v>2</v>
      </c>
      <c r="F342">
        <v>2</v>
      </c>
      <c r="G342">
        <v>2</v>
      </c>
    </row>
    <row r="343" spans="1:7">
      <c r="A343">
        <v>2369</v>
      </c>
      <c r="B343" t="s">
        <v>5778</v>
      </c>
      <c r="C343" t="s">
        <v>5666</v>
      </c>
      <c r="D343">
        <v>44453</v>
      </c>
      <c r="E343">
        <v>8</v>
      </c>
      <c r="F343">
        <v>8</v>
      </c>
      <c r="G343">
        <v>8</v>
      </c>
    </row>
    <row r="344" spans="1:7">
      <c r="A344">
        <v>1710</v>
      </c>
      <c r="B344" t="s">
        <v>5784</v>
      </c>
      <c r="C344" t="s">
        <v>5733</v>
      </c>
      <c r="D344">
        <v>44453</v>
      </c>
      <c r="E344">
        <v>7</v>
      </c>
      <c r="F344">
        <v>7</v>
      </c>
      <c r="G344">
        <v>7</v>
      </c>
    </row>
    <row r="345" spans="1:7">
      <c r="A345">
        <v>2376</v>
      </c>
      <c r="B345" t="s">
        <v>5774</v>
      </c>
      <c r="C345" t="s">
        <v>5649</v>
      </c>
      <c r="D345">
        <v>44453</v>
      </c>
      <c r="E345">
        <v>4</v>
      </c>
      <c r="F345">
        <v>4</v>
      </c>
      <c r="G345">
        <v>4</v>
      </c>
    </row>
    <row r="346" spans="1:7">
      <c r="A346">
        <v>9933</v>
      </c>
      <c r="B346" t="s">
        <v>5786</v>
      </c>
      <c r="C346" t="s">
        <v>5664</v>
      </c>
      <c r="D346">
        <v>44453</v>
      </c>
      <c r="E346">
        <v>3</v>
      </c>
      <c r="F346">
        <v>3</v>
      </c>
      <c r="G346">
        <v>3</v>
      </c>
    </row>
    <row r="347" spans="1:7">
      <c r="A347">
        <v>3663</v>
      </c>
      <c r="B347" t="s">
        <v>5939</v>
      </c>
      <c r="C347" t="s">
        <v>5800</v>
      </c>
      <c r="D347">
        <v>44453</v>
      </c>
      <c r="E347">
        <v>1</v>
      </c>
      <c r="F347">
        <v>1</v>
      </c>
      <c r="G347">
        <v>1</v>
      </c>
    </row>
    <row r="348" spans="1:7">
      <c r="A348">
        <v>6164</v>
      </c>
      <c r="B348" t="s">
        <v>5940</v>
      </c>
      <c r="C348" t="s">
        <v>5661</v>
      </c>
      <c r="D348">
        <v>44453</v>
      </c>
      <c r="E348">
        <v>3</v>
      </c>
      <c r="F348">
        <v>3</v>
      </c>
      <c r="G348">
        <v>3</v>
      </c>
    </row>
    <row r="349" spans="1:7">
      <c r="A349">
        <v>2308</v>
      </c>
      <c r="B349" t="s">
        <v>5831</v>
      </c>
      <c r="C349" t="s">
        <v>5675</v>
      </c>
      <c r="D349">
        <v>44453</v>
      </c>
      <c r="E349">
        <v>7</v>
      </c>
      <c r="F349">
        <v>7</v>
      </c>
      <c r="G349">
        <v>7</v>
      </c>
    </row>
    <row r="350" spans="1:7">
      <c r="A350">
        <v>3706</v>
      </c>
      <c r="B350" t="s">
        <v>5889</v>
      </c>
      <c r="C350" t="s">
        <v>5649</v>
      </c>
      <c r="D350">
        <v>44453</v>
      </c>
      <c r="E350">
        <v>12</v>
      </c>
      <c r="F350">
        <v>12</v>
      </c>
      <c r="G350">
        <v>12</v>
      </c>
    </row>
    <row r="351" spans="1:7">
      <c r="A351">
        <v>2441</v>
      </c>
      <c r="B351" t="s">
        <v>5699</v>
      </c>
      <c r="C351" t="s">
        <v>5666</v>
      </c>
      <c r="D351">
        <v>44453</v>
      </c>
      <c r="E351">
        <v>6</v>
      </c>
      <c r="F351">
        <v>6</v>
      </c>
      <c r="G351">
        <v>6</v>
      </c>
    </row>
    <row r="352" spans="1:7">
      <c r="A352">
        <v>6202</v>
      </c>
      <c r="B352" t="s">
        <v>5673</v>
      </c>
      <c r="C352" t="s">
        <v>5666</v>
      </c>
      <c r="D352">
        <v>44453</v>
      </c>
      <c r="E352">
        <v>6</v>
      </c>
      <c r="F352">
        <v>6</v>
      </c>
      <c r="G352">
        <v>6</v>
      </c>
    </row>
    <row r="353" spans="1:7">
      <c r="A353">
        <v>5328</v>
      </c>
      <c r="B353" t="s">
        <v>5906</v>
      </c>
      <c r="C353" t="s">
        <v>5791</v>
      </c>
      <c r="D353">
        <v>44453</v>
      </c>
      <c r="E353">
        <v>7</v>
      </c>
      <c r="F353">
        <v>7</v>
      </c>
      <c r="G353">
        <v>7</v>
      </c>
    </row>
    <row r="354" spans="1:7">
      <c r="A354">
        <v>1517</v>
      </c>
      <c r="B354" t="s">
        <v>5803</v>
      </c>
      <c r="C354" t="s">
        <v>5670</v>
      </c>
      <c r="D354">
        <v>44453</v>
      </c>
      <c r="E354">
        <v>6</v>
      </c>
      <c r="F354">
        <v>6</v>
      </c>
      <c r="G354">
        <v>6</v>
      </c>
    </row>
    <row r="355" spans="1:7">
      <c r="A355">
        <v>2442</v>
      </c>
      <c r="B355" t="s">
        <v>5941</v>
      </c>
      <c r="C355" t="s">
        <v>5649</v>
      </c>
      <c r="D355">
        <v>44453</v>
      </c>
      <c r="E355">
        <v>8</v>
      </c>
      <c r="F355">
        <v>8</v>
      </c>
      <c r="G355">
        <v>8</v>
      </c>
    </row>
    <row r="356" spans="1:7">
      <c r="A356">
        <v>6505</v>
      </c>
      <c r="B356" t="s">
        <v>5942</v>
      </c>
      <c r="C356" t="s">
        <v>5943</v>
      </c>
      <c r="D356">
        <v>44453</v>
      </c>
      <c r="E356">
        <v>10</v>
      </c>
      <c r="F356">
        <v>10</v>
      </c>
      <c r="G356">
        <v>10</v>
      </c>
    </row>
    <row r="357" spans="1:7">
      <c r="A357">
        <v>3443</v>
      </c>
      <c r="B357" t="s">
        <v>5944</v>
      </c>
      <c r="C357" t="s">
        <v>5666</v>
      </c>
      <c r="D357">
        <v>44453</v>
      </c>
      <c r="E357">
        <v>2</v>
      </c>
      <c r="F357">
        <v>2</v>
      </c>
      <c r="G357">
        <v>2</v>
      </c>
    </row>
    <row r="358" spans="1:7">
      <c r="A358">
        <v>2885</v>
      </c>
      <c r="B358" t="s">
        <v>5852</v>
      </c>
      <c r="C358" t="s">
        <v>5645</v>
      </c>
      <c r="D358">
        <v>44453</v>
      </c>
      <c r="E358">
        <v>6</v>
      </c>
      <c r="F358">
        <v>6</v>
      </c>
      <c r="G358">
        <v>6</v>
      </c>
    </row>
    <row r="359" spans="1:7">
      <c r="A359">
        <v>2634</v>
      </c>
      <c r="B359" t="s">
        <v>5835</v>
      </c>
      <c r="C359" t="s">
        <v>5679</v>
      </c>
      <c r="D359">
        <v>44453</v>
      </c>
      <c r="E359">
        <v>5</v>
      </c>
      <c r="F359">
        <v>5</v>
      </c>
      <c r="G359">
        <v>5</v>
      </c>
    </row>
    <row r="360" spans="1:7">
      <c r="A360">
        <v>2823</v>
      </c>
      <c r="B360" t="s">
        <v>5811</v>
      </c>
      <c r="C360" t="s">
        <v>5645</v>
      </c>
      <c r="D360">
        <v>44453</v>
      </c>
      <c r="E360">
        <v>17</v>
      </c>
      <c r="F360">
        <v>17</v>
      </c>
      <c r="G360">
        <v>17</v>
      </c>
    </row>
    <row r="361" spans="1:7">
      <c r="A361">
        <v>6104</v>
      </c>
      <c r="B361" t="s">
        <v>5945</v>
      </c>
      <c r="C361" t="s">
        <v>5690</v>
      </c>
      <c r="D361">
        <v>44453</v>
      </c>
      <c r="E361">
        <v>2</v>
      </c>
      <c r="F361">
        <v>2</v>
      </c>
      <c r="G361">
        <v>2</v>
      </c>
    </row>
    <row r="362" spans="1:7">
      <c r="A362">
        <v>1103</v>
      </c>
      <c r="B362" t="s">
        <v>5946</v>
      </c>
      <c r="C362" t="s">
        <v>5823</v>
      </c>
      <c r="D362">
        <v>44453</v>
      </c>
      <c r="E362">
        <v>1</v>
      </c>
      <c r="F362">
        <v>1</v>
      </c>
      <c r="G362">
        <v>1</v>
      </c>
    </row>
    <row r="363" spans="1:7">
      <c r="A363">
        <v>1604</v>
      </c>
      <c r="B363" t="s">
        <v>5947</v>
      </c>
      <c r="C363" t="s">
        <v>5858</v>
      </c>
      <c r="D363">
        <v>44453</v>
      </c>
      <c r="E363">
        <v>4</v>
      </c>
      <c r="F363">
        <v>4</v>
      </c>
      <c r="G363">
        <v>4</v>
      </c>
    </row>
    <row r="364" spans="1:7">
      <c r="A364">
        <v>2363</v>
      </c>
      <c r="B364" t="s">
        <v>5765</v>
      </c>
      <c r="C364" t="s">
        <v>5666</v>
      </c>
      <c r="D364">
        <v>44453</v>
      </c>
      <c r="E364">
        <v>3</v>
      </c>
      <c r="F364">
        <v>3</v>
      </c>
      <c r="G364">
        <v>3</v>
      </c>
    </row>
    <row r="365" spans="1:7">
      <c r="A365">
        <v>6509</v>
      </c>
      <c r="B365" t="s">
        <v>5948</v>
      </c>
      <c r="C365" t="s">
        <v>5910</v>
      </c>
      <c r="D365">
        <v>44453</v>
      </c>
      <c r="E365">
        <v>2</v>
      </c>
      <c r="F365">
        <v>2</v>
      </c>
      <c r="G365">
        <v>2</v>
      </c>
    </row>
    <row r="366" spans="1:7">
      <c r="A366">
        <v>9914</v>
      </c>
      <c r="B366" t="s">
        <v>5949</v>
      </c>
      <c r="C366" t="s">
        <v>5664</v>
      </c>
      <c r="D366">
        <v>44453</v>
      </c>
      <c r="E366">
        <v>5</v>
      </c>
      <c r="F366">
        <v>5</v>
      </c>
      <c r="G366">
        <v>5</v>
      </c>
    </row>
    <row r="367" spans="1:7">
      <c r="A367">
        <v>3588</v>
      </c>
      <c r="B367" t="s">
        <v>5950</v>
      </c>
      <c r="C367" t="s">
        <v>5666</v>
      </c>
      <c r="D367">
        <v>44453</v>
      </c>
      <c r="E367">
        <v>3</v>
      </c>
      <c r="F367">
        <v>3</v>
      </c>
      <c r="G367">
        <v>3</v>
      </c>
    </row>
    <row r="368" spans="1:7">
      <c r="A368">
        <v>2371</v>
      </c>
      <c r="B368" t="s">
        <v>5900</v>
      </c>
      <c r="C368" t="s">
        <v>5670</v>
      </c>
      <c r="D368">
        <v>44453</v>
      </c>
      <c r="E368">
        <v>6</v>
      </c>
      <c r="F368">
        <v>6</v>
      </c>
      <c r="G368">
        <v>6</v>
      </c>
    </row>
    <row r="369" spans="1:7">
      <c r="A369">
        <v>8046</v>
      </c>
      <c r="B369" t="s">
        <v>5735</v>
      </c>
      <c r="C369" t="s">
        <v>5675</v>
      </c>
      <c r="D369">
        <v>44453</v>
      </c>
      <c r="E369">
        <v>5</v>
      </c>
      <c r="F369">
        <v>5</v>
      </c>
      <c r="G369">
        <v>5</v>
      </c>
    </row>
    <row r="370" spans="1:7">
      <c r="A370">
        <v>2390</v>
      </c>
      <c r="B370" t="s">
        <v>5951</v>
      </c>
      <c r="C370" t="s">
        <v>5692</v>
      </c>
      <c r="D370">
        <v>44453</v>
      </c>
      <c r="E370">
        <v>4</v>
      </c>
      <c r="F370">
        <v>4</v>
      </c>
      <c r="G370">
        <v>4</v>
      </c>
    </row>
    <row r="371" spans="1:7">
      <c r="A371">
        <v>1229</v>
      </c>
      <c r="B371" t="s">
        <v>5876</v>
      </c>
      <c r="C371" t="s">
        <v>5872</v>
      </c>
      <c r="D371">
        <v>44453</v>
      </c>
      <c r="E371">
        <v>5</v>
      </c>
      <c r="F371">
        <v>5</v>
      </c>
      <c r="G371">
        <v>5</v>
      </c>
    </row>
    <row r="372" spans="1:7">
      <c r="A372">
        <v>1785</v>
      </c>
      <c r="B372" t="s">
        <v>5799</v>
      </c>
      <c r="C372" t="s">
        <v>5800</v>
      </c>
      <c r="D372">
        <v>44453</v>
      </c>
      <c r="E372">
        <v>7</v>
      </c>
      <c r="F372">
        <v>7</v>
      </c>
      <c r="G372">
        <v>7</v>
      </c>
    </row>
    <row r="373" spans="1:7">
      <c r="A373">
        <v>4207</v>
      </c>
      <c r="B373" t="s">
        <v>5952</v>
      </c>
      <c r="C373" t="s">
        <v>5953</v>
      </c>
      <c r="D373">
        <v>44453</v>
      </c>
      <c r="E373">
        <v>1</v>
      </c>
      <c r="F373">
        <v>1</v>
      </c>
      <c r="G373">
        <v>1</v>
      </c>
    </row>
    <row r="374" spans="1:7">
      <c r="A374">
        <v>1101</v>
      </c>
      <c r="B374" t="s">
        <v>5822</v>
      </c>
      <c r="C374" t="s">
        <v>5823</v>
      </c>
      <c r="D374">
        <v>44453</v>
      </c>
      <c r="E374">
        <v>8</v>
      </c>
      <c r="F374">
        <v>8</v>
      </c>
      <c r="G374">
        <v>8</v>
      </c>
    </row>
    <row r="375" spans="1:7">
      <c r="A375">
        <v>8406</v>
      </c>
      <c r="B375" t="s">
        <v>5954</v>
      </c>
      <c r="C375" t="s">
        <v>5867</v>
      </c>
      <c r="D375">
        <v>44453</v>
      </c>
      <c r="E375">
        <v>3</v>
      </c>
      <c r="F375">
        <v>3</v>
      </c>
      <c r="G375">
        <v>3</v>
      </c>
    </row>
    <row r="376" spans="1:7">
      <c r="A376">
        <v>1709</v>
      </c>
      <c r="B376" t="s">
        <v>5836</v>
      </c>
      <c r="C376" t="s">
        <v>5733</v>
      </c>
      <c r="D376">
        <v>44453</v>
      </c>
      <c r="E376">
        <v>4</v>
      </c>
      <c r="F376">
        <v>4</v>
      </c>
      <c r="G376">
        <v>4</v>
      </c>
    </row>
    <row r="377" spans="1:7">
      <c r="A377">
        <v>2642</v>
      </c>
      <c r="B377" t="s">
        <v>5754</v>
      </c>
      <c r="C377" t="s">
        <v>5679</v>
      </c>
      <c r="D377">
        <v>44453</v>
      </c>
      <c r="E377">
        <v>7</v>
      </c>
      <c r="F377">
        <v>7</v>
      </c>
      <c r="G377">
        <v>7</v>
      </c>
    </row>
    <row r="378" spans="1:7">
      <c r="A378">
        <v>4904</v>
      </c>
      <c r="B378" t="s">
        <v>5654</v>
      </c>
      <c r="C378" t="s">
        <v>5653</v>
      </c>
      <c r="D378">
        <v>44453</v>
      </c>
      <c r="E378">
        <v>15</v>
      </c>
      <c r="F378">
        <v>15</v>
      </c>
      <c r="G378">
        <v>15</v>
      </c>
    </row>
    <row r="379" spans="1:7">
      <c r="A379">
        <v>8054</v>
      </c>
      <c r="B379" t="s">
        <v>5724</v>
      </c>
      <c r="C379" t="s">
        <v>5690</v>
      </c>
      <c r="D379">
        <v>44453</v>
      </c>
      <c r="E379">
        <v>3</v>
      </c>
      <c r="F379">
        <v>3</v>
      </c>
      <c r="G379">
        <v>3</v>
      </c>
    </row>
    <row r="380" spans="1:7">
      <c r="A380">
        <v>2317</v>
      </c>
      <c r="B380" t="s">
        <v>5955</v>
      </c>
      <c r="C380" t="s">
        <v>5692</v>
      </c>
      <c r="D380">
        <v>44453</v>
      </c>
      <c r="E380">
        <v>8</v>
      </c>
      <c r="F380">
        <v>8</v>
      </c>
      <c r="G380">
        <v>8</v>
      </c>
    </row>
    <row r="381" spans="1:7">
      <c r="A381">
        <v>3305</v>
      </c>
      <c r="B381" t="s">
        <v>5956</v>
      </c>
      <c r="C381" t="s">
        <v>5692</v>
      </c>
      <c r="D381">
        <v>44453</v>
      </c>
      <c r="E381">
        <v>3</v>
      </c>
      <c r="F381">
        <v>3</v>
      </c>
      <c r="G381">
        <v>3</v>
      </c>
    </row>
    <row r="382" spans="1:7">
      <c r="A382">
        <v>2379</v>
      </c>
      <c r="B382" t="s">
        <v>5713</v>
      </c>
      <c r="C382" t="s">
        <v>5666</v>
      </c>
      <c r="D382">
        <v>44453</v>
      </c>
      <c r="E382">
        <v>4</v>
      </c>
      <c r="F382">
        <v>4</v>
      </c>
      <c r="G382">
        <v>4</v>
      </c>
    </row>
    <row r="383" spans="1:7">
      <c r="A383">
        <v>1110</v>
      </c>
      <c r="B383" t="s">
        <v>5957</v>
      </c>
      <c r="C383" t="s">
        <v>5823</v>
      </c>
      <c r="D383">
        <v>44453</v>
      </c>
      <c r="E383">
        <v>1</v>
      </c>
      <c r="F383">
        <v>1</v>
      </c>
      <c r="G383">
        <v>1</v>
      </c>
    </row>
    <row r="384" spans="1:7">
      <c r="A384">
        <v>8454</v>
      </c>
      <c r="B384" t="s">
        <v>5958</v>
      </c>
      <c r="C384" t="s">
        <v>5647</v>
      </c>
      <c r="D384">
        <v>44453</v>
      </c>
      <c r="E384">
        <v>1</v>
      </c>
      <c r="F384">
        <v>1</v>
      </c>
      <c r="G384">
        <v>1</v>
      </c>
    </row>
    <row r="385" spans="1:7">
      <c r="A385">
        <v>6684</v>
      </c>
      <c r="B385" t="s">
        <v>5959</v>
      </c>
      <c r="C385" t="s">
        <v>5690</v>
      </c>
      <c r="D385">
        <v>44453</v>
      </c>
      <c r="E385">
        <v>1</v>
      </c>
      <c r="F385">
        <v>1</v>
      </c>
      <c r="G385">
        <v>1</v>
      </c>
    </row>
    <row r="386" spans="1:7">
      <c r="A386">
        <v>6271</v>
      </c>
      <c r="B386" t="s">
        <v>5722</v>
      </c>
      <c r="C386" t="s">
        <v>5666</v>
      </c>
      <c r="D386">
        <v>44453</v>
      </c>
      <c r="E386">
        <v>6</v>
      </c>
      <c r="F386">
        <v>6</v>
      </c>
      <c r="G386">
        <v>6</v>
      </c>
    </row>
    <row r="387" spans="1:7">
      <c r="A387">
        <v>5876</v>
      </c>
      <c r="B387" t="s">
        <v>5715</v>
      </c>
      <c r="C387" t="s">
        <v>5645</v>
      </c>
      <c r="D387">
        <v>44453</v>
      </c>
      <c r="E387">
        <v>14</v>
      </c>
      <c r="F387">
        <v>14</v>
      </c>
      <c r="G387">
        <v>14</v>
      </c>
    </row>
    <row r="388" spans="1:7">
      <c r="A388">
        <v>3141</v>
      </c>
      <c r="B388" t="s">
        <v>5960</v>
      </c>
      <c r="C388" t="s">
        <v>5690</v>
      </c>
      <c r="D388">
        <v>44453</v>
      </c>
      <c r="E388">
        <v>4</v>
      </c>
      <c r="F388">
        <v>4</v>
      </c>
      <c r="G388">
        <v>4</v>
      </c>
    </row>
    <row r="389" spans="1:7">
      <c r="A389">
        <v>5347</v>
      </c>
      <c r="B389" t="s">
        <v>5877</v>
      </c>
      <c r="C389" t="s">
        <v>5690</v>
      </c>
      <c r="D389">
        <v>44453</v>
      </c>
      <c r="E389">
        <v>2</v>
      </c>
      <c r="F389">
        <v>2</v>
      </c>
      <c r="G389">
        <v>2</v>
      </c>
    </row>
    <row r="390" spans="1:7">
      <c r="A390">
        <v>5425</v>
      </c>
      <c r="B390" t="s">
        <v>5704</v>
      </c>
      <c r="C390" t="s">
        <v>5690</v>
      </c>
      <c r="D390">
        <v>44453</v>
      </c>
      <c r="E390">
        <v>8</v>
      </c>
      <c r="F390">
        <v>8</v>
      </c>
      <c r="G390">
        <v>8</v>
      </c>
    </row>
    <row r="391" spans="1:7">
      <c r="A391">
        <v>5202</v>
      </c>
      <c r="B391" t="s">
        <v>5961</v>
      </c>
      <c r="C391" t="s">
        <v>5777</v>
      </c>
      <c r="D391">
        <v>44453</v>
      </c>
      <c r="E391">
        <v>1</v>
      </c>
      <c r="F391">
        <v>1</v>
      </c>
      <c r="G391">
        <v>1</v>
      </c>
    </row>
    <row r="392" spans="1:7">
      <c r="A392">
        <v>2329</v>
      </c>
      <c r="B392" t="s">
        <v>5962</v>
      </c>
      <c r="C392" t="s">
        <v>5666</v>
      </c>
      <c r="D392">
        <v>44453</v>
      </c>
      <c r="E392">
        <v>3</v>
      </c>
      <c r="F392">
        <v>3</v>
      </c>
      <c r="G392">
        <v>3</v>
      </c>
    </row>
    <row r="393" spans="1:7">
      <c r="A393">
        <v>2889</v>
      </c>
      <c r="B393" t="s">
        <v>5860</v>
      </c>
      <c r="C393" t="s">
        <v>5645</v>
      </c>
      <c r="D393">
        <v>44453</v>
      </c>
      <c r="E393">
        <v>3</v>
      </c>
      <c r="F393">
        <v>3</v>
      </c>
      <c r="G393">
        <v>3</v>
      </c>
    </row>
    <row r="394" spans="1:7">
      <c r="A394">
        <v>3228</v>
      </c>
      <c r="B394" t="s">
        <v>5963</v>
      </c>
      <c r="C394" t="s">
        <v>5690</v>
      </c>
      <c r="D394">
        <v>44453</v>
      </c>
      <c r="E394">
        <v>1</v>
      </c>
      <c r="F394">
        <v>1</v>
      </c>
      <c r="G394">
        <v>1</v>
      </c>
    </row>
    <row r="395" spans="1:7">
      <c r="A395">
        <v>2483</v>
      </c>
      <c r="B395" t="s">
        <v>5964</v>
      </c>
      <c r="C395" t="s">
        <v>5675</v>
      </c>
      <c r="D395">
        <v>44453</v>
      </c>
      <c r="E395">
        <v>1</v>
      </c>
      <c r="F395">
        <v>1</v>
      </c>
      <c r="G395">
        <v>1</v>
      </c>
    </row>
    <row r="396" spans="1:7">
      <c r="A396">
        <v>6531</v>
      </c>
      <c r="B396" t="s">
        <v>5825</v>
      </c>
      <c r="C396" t="s">
        <v>5666</v>
      </c>
      <c r="D396">
        <v>44453</v>
      </c>
      <c r="E396">
        <v>6</v>
      </c>
      <c r="F396">
        <v>6</v>
      </c>
      <c r="G396">
        <v>6</v>
      </c>
    </row>
    <row r="397" spans="1:7">
      <c r="A397">
        <v>4711</v>
      </c>
      <c r="B397" t="s">
        <v>5914</v>
      </c>
      <c r="C397" t="s">
        <v>5910</v>
      </c>
      <c r="D397">
        <v>44453</v>
      </c>
      <c r="E397">
        <v>2</v>
      </c>
      <c r="F397">
        <v>2</v>
      </c>
      <c r="G397">
        <v>2</v>
      </c>
    </row>
    <row r="398" spans="1:7">
      <c r="A398">
        <v>6756</v>
      </c>
      <c r="B398" t="s">
        <v>5736</v>
      </c>
      <c r="C398" t="s">
        <v>5666</v>
      </c>
      <c r="D398">
        <v>44453</v>
      </c>
      <c r="E398">
        <v>4</v>
      </c>
      <c r="F398">
        <v>4</v>
      </c>
      <c r="G398">
        <v>4</v>
      </c>
    </row>
    <row r="399" spans="1:7">
      <c r="A399">
        <v>3707</v>
      </c>
      <c r="B399" t="s">
        <v>5753</v>
      </c>
      <c r="C399" t="s">
        <v>5690</v>
      </c>
      <c r="D399">
        <v>44453</v>
      </c>
      <c r="E399">
        <v>2</v>
      </c>
      <c r="F399">
        <v>2</v>
      </c>
      <c r="G399">
        <v>2</v>
      </c>
    </row>
    <row r="400" spans="1:7">
      <c r="A400">
        <v>2353</v>
      </c>
      <c r="B400" t="s">
        <v>5965</v>
      </c>
      <c r="C400" t="s">
        <v>5649</v>
      </c>
      <c r="D400">
        <v>44453</v>
      </c>
      <c r="E400">
        <v>9</v>
      </c>
      <c r="F400">
        <v>9</v>
      </c>
      <c r="G400">
        <v>9</v>
      </c>
    </row>
    <row r="401" spans="1:7">
      <c r="A401">
        <v>2393</v>
      </c>
      <c r="B401" t="s">
        <v>5966</v>
      </c>
      <c r="C401" t="s">
        <v>5661</v>
      </c>
      <c r="D401">
        <v>44453</v>
      </c>
      <c r="E401">
        <v>6</v>
      </c>
      <c r="F401">
        <v>6</v>
      </c>
      <c r="G401">
        <v>6</v>
      </c>
    </row>
    <row r="402" spans="1:7">
      <c r="A402">
        <v>8121</v>
      </c>
      <c r="B402" t="s">
        <v>5917</v>
      </c>
      <c r="C402" t="s">
        <v>5791</v>
      </c>
      <c r="D402">
        <v>44452</v>
      </c>
      <c r="E402">
        <v>5</v>
      </c>
      <c r="F402">
        <v>5</v>
      </c>
      <c r="G402">
        <v>5</v>
      </c>
    </row>
    <row r="403" spans="1:7">
      <c r="A403">
        <v>2025</v>
      </c>
      <c r="B403" t="s">
        <v>5967</v>
      </c>
      <c r="C403" t="s">
        <v>5659</v>
      </c>
      <c r="D403">
        <v>44452</v>
      </c>
      <c r="E403">
        <v>2</v>
      </c>
      <c r="F403">
        <v>2</v>
      </c>
      <c r="G403">
        <v>2</v>
      </c>
    </row>
    <row r="404" spans="1:7">
      <c r="A404">
        <v>5820</v>
      </c>
      <c r="B404" t="s">
        <v>5797</v>
      </c>
      <c r="C404" t="s">
        <v>5798</v>
      </c>
      <c r="D404">
        <v>44452</v>
      </c>
      <c r="E404">
        <v>8</v>
      </c>
      <c r="F404">
        <v>8</v>
      </c>
      <c r="G404">
        <v>8</v>
      </c>
    </row>
    <row r="405" spans="1:7">
      <c r="A405">
        <v>4414</v>
      </c>
      <c r="B405" t="s">
        <v>5968</v>
      </c>
      <c r="C405" t="s">
        <v>5706</v>
      </c>
      <c r="D405">
        <v>44452</v>
      </c>
      <c r="E405">
        <v>4</v>
      </c>
      <c r="F405">
        <v>4</v>
      </c>
      <c r="G405">
        <v>4</v>
      </c>
    </row>
    <row r="406" spans="1:7">
      <c r="A406">
        <v>2812</v>
      </c>
      <c r="B406" t="s">
        <v>5969</v>
      </c>
      <c r="C406" t="s">
        <v>5645</v>
      </c>
      <c r="D406">
        <v>44452</v>
      </c>
      <c r="E406">
        <v>3</v>
      </c>
      <c r="F406">
        <v>3</v>
      </c>
      <c r="G406">
        <v>3</v>
      </c>
    </row>
    <row r="407" spans="1:7">
      <c r="A407">
        <v>2823</v>
      </c>
      <c r="B407" t="s">
        <v>5811</v>
      </c>
      <c r="C407" t="s">
        <v>5645</v>
      </c>
      <c r="D407">
        <v>44452</v>
      </c>
      <c r="E407">
        <v>17</v>
      </c>
      <c r="F407">
        <v>17</v>
      </c>
      <c r="G407">
        <v>17</v>
      </c>
    </row>
    <row r="408" spans="1:7">
      <c r="A408">
        <v>1455</v>
      </c>
      <c r="B408" t="s">
        <v>5880</v>
      </c>
      <c r="C408" t="s">
        <v>5706</v>
      </c>
      <c r="D408">
        <v>44452</v>
      </c>
      <c r="E408">
        <v>7</v>
      </c>
      <c r="F408">
        <v>7</v>
      </c>
      <c r="G408">
        <v>7</v>
      </c>
    </row>
    <row r="409" spans="1:7">
      <c r="A409">
        <v>5309</v>
      </c>
      <c r="B409" t="s">
        <v>5925</v>
      </c>
      <c r="C409" t="s">
        <v>5791</v>
      </c>
      <c r="D409">
        <v>44452</v>
      </c>
      <c r="E409">
        <v>5</v>
      </c>
      <c r="F409">
        <v>5</v>
      </c>
      <c r="G409">
        <v>5</v>
      </c>
    </row>
    <row r="410" spans="1:7">
      <c r="A410">
        <v>1718</v>
      </c>
      <c r="B410" t="s">
        <v>5816</v>
      </c>
      <c r="C410" t="s">
        <v>5733</v>
      </c>
      <c r="D410">
        <v>44452</v>
      </c>
      <c r="E410">
        <v>13</v>
      </c>
      <c r="F410">
        <v>13</v>
      </c>
      <c r="G410">
        <v>13</v>
      </c>
    </row>
    <row r="411" spans="1:7">
      <c r="A411">
        <v>2105</v>
      </c>
      <c r="B411" t="s">
        <v>5671</v>
      </c>
      <c r="C411" t="s">
        <v>5657</v>
      </c>
      <c r="D411">
        <v>44452</v>
      </c>
      <c r="E411">
        <v>10</v>
      </c>
      <c r="F411">
        <v>10</v>
      </c>
      <c r="G411">
        <v>10</v>
      </c>
    </row>
    <row r="412" spans="1:7">
      <c r="A412">
        <v>2034</v>
      </c>
      <c r="B412" t="s">
        <v>5861</v>
      </c>
      <c r="C412" t="s">
        <v>5659</v>
      </c>
      <c r="D412">
        <v>44452</v>
      </c>
      <c r="E412">
        <v>5</v>
      </c>
      <c r="F412">
        <v>5</v>
      </c>
      <c r="G412">
        <v>5</v>
      </c>
    </row>
    <row r="413" spans="1:7">
      <c r="A413">
        <v>1409</v>
      </c>
      <c r="B413" t="s">
        <v>5775</v>
      </c>
      <c r="C413" t="s">
        <v>5706</v>
      </c>
      <c r="D413">
        <v>44452</v>
      </c>
      <c r="E413">
        <v>6</v>
      </c>
      <c r="F413">
        <v>6</v>
      </c>
      <c r="G413">
        <v>6</v>
      </c>
    </row>
    <row r="414" spans="1:7">
      <c r="A414">
        <v>1809</v>
      </c>
      <c r="B414" t="s">
        <v>5970</v>
      </c>
      <c r="C414" t="s">
        <v>5971</v>
      </c>
      <c r="D414">
        <v>44452</v>
      </c>
      <c r="E414">
        <v>2</v>
      </c>
      <c r="F414">
        <v>2</v>
      </c>
      <c r="G414">
        <v>2</v>
      </c>
    </row>
    <row r="415" spans="1:7">
      <c r="A415">
        <v>2331</v>
      </c>
      <c r="B415" t="s">
        <v>5972</v>
      </c>
      <c r="C415" t="s">
        <v>5649</v>
      </c>
      <c r="D415">
        <v>44452</v>
      </c>
      <c r="E415">
        <v>9</v>
      </c>
      <c r="F415">
        <v>9</v>
      </c>
      <c r="G415">
        <v>9</v>
      </c>
    </row>
    <row r="416" spans="1:7">
      <c r="A416">
        <v>5009</v>
      </c>
      <c r="B416" t="s">
        <v>5868</v>
      </c>
      <c r="C416" t="s">
        <v>5869</v>
      </c>
      <c r="D416">
        <v>44452</v>
      </c>
      <c r="E416">
        <v>5</v>
      </c>
      <c r="F416">
        <v>5</v>
      </c>
      <c r="G416">
        <v>5</v>
      </c>
    </row>
    <row r="417" spans="1:7">
      <c r="A417">
        <v>6015</v>
      </c>
      <c r="B417" t="s">
        <v>5973</v>
      </c>
      <c r="C417" t="s">
        <v>5798</v>
      </c>
      <c r="D417">
        <v>44452</v>
      </c>
      <c r="E417">
        <v>4</v>
      </c>
      <c r="F417">
        <v>4</v>
      </c>
      <c r="G417">
        <v>4</v>
      </c>
    </row>
    <row r="418" spans="1:7">
      <c r="A418">
        <v>2103</v>
      </c>
      <c r="B418" t="s">
        <v>5788</v>
      </c>
      <c r="C418" t="s">
        <v>5657</v>
      </c>
      <c r="D418">
        <v>44452</v>
      </c>
      <c r="E418">
        <v>5</v>
      </c>
      <c r="F418">
        <v>5</v>
      </c>
      <c r="G418">
        <v>5</v>
      </c>
    </row>
    <row r="419" spans="1:7">
      <c r="A419">
        <v>3576</v>
      </c>
      <c r="B419" t="s">
        <v>5660</v>
      </c>
      <c r="C419" t="s">
        <v>5661</v>
      </c>
      <c r="D419">
        <v>44452</v>
      </c>
      <c r="E419">
        <v>9</v>
      </c>
      <c r="F419">
        <v>9</v>
      </c>
      <c r="G419">
        <v>9</v>
      </c>
    </row>
    <row r="420" spans="1:7">
      <c r="A420">
        <v>2855</v>
      </c>
      <c r="B420" t="s">
        <v>5974</v>
      </c>
      <c r="C420" t="s">
        <v>5645</v>
      </c>
      <c r="D420">
        <v>44452</v>
      </c>
      <c r="E420">
        <v>4</v>
      </c>
      <c r="F420">
        <v>4</v>
      </c>
      <c r="G420">
        <v>4</v>
      </c>
    </row>
    <row r="421" spans="1:7">
      <c r="A421">
        <v>1326</v>
      </c>
      <c r="B421" t="s">
        <v>5814</v>
      </c>
      <c r="C421" t="s">
        <v>5771</v>
      </c>
      <c r="D421">
        <v>44452</v>
      </c>
      <c r="E421">
        <v>14</v>
      </c>
      <c r="F421">
        <v>14</v>
      </c>
      <c r="G421">
        <v>14</v>
      </c>
    </row>
    <row r="422" spans="1:7">
      <c r="A422">
        <v>8097</v>
      </c>
      <c r="B422" t="s">
        <v>5975</v>
      </c>
      <c r="C422" t="s">
        <v>5684</v>
      </c>
      <c r="D422">
        <v>44452</v>
      </c>
      <c r="E422">
        <v>1</v>
      </c>
      <c r="F422">
        <v>1</v>
      </c>
      <c r="G422">
        <v>1</v>
      </c>
    </row>
    <row r="423" spans="1:7">
      <c r="A423">
        <v>6227</v>
      </c>
      <c r="B423" t="s">
        <v>5976</v>
      </c>
      <c r="C423" t="s">
        <v>5694</v>
      </c>
      <c r="D423">
        <v>44452</v>
      </c>
      <c r="E423">
        <v>1</v>
      </c>
      <c r="F423">
        <v>1</v>
      </c>
      <c r="G423">
        <v>1</v>
      </c>
    </row>
    <row r="424" spans="1:7">
      <c r="A424">
        <v>2301</v>
      </c>
      <c r="B424" t="s">
        <v>5723</v>
      </c>
      <c r="C424" t="s">
        <v>5649</v>
      </c>
      <c r="D424">
        <v>44452</v>
      </c>
      <c r="E424">
        <v>14</v>
      </c>
      <c r="F424">
        <v>14</v>
      </c>
      <c r="G424">
        <v>14</v>
      </c>
    </row>
    <row r="425" spans="1:7">
      <c r="A425">
        <v>1301</v>
      </c>
      <c r="B425" t="s">
        <v>5841</v>
      </c>
      <c r="C425" t="s">
        <v>5771</v>
      </c>
      <c r="D425">
        <v>44452</v>
      </c>
      <c r="E425">
        <v>11</v>
      </c>
      <c r="F425">
        <v>11</v>
      </c>
      <c r="G425">
        <v>11</v>
      </c>
    </row>
    <row r="426" spans="1:7">
      <c r="A426">
        <v>1303</v>
      </c>
      <c r="B426" t="s">
        <v>5792</v>
      </c>
      <c r="C426" t="s">
        <v>5771</v>
      </c>
      <c r="D426">
        <v>44452</v>
      </c>
      <c r="E426">
        <v>9</v>
      </c>
      <c r="F426">
        <v>9</v>
      </c>
      <c r="G426">
        <v>9</v>
      </c>
    </row>
    <row r="427" spans="1:7">
      <c r="A427">
        <v>9938</v>
      </c>
      <c r="B427" t="s">
        <v>5892</v>
      </c>
      <c r="C427" t="s">
        <v>5664</v>
      </c>
      <c r="D427">
        <v>44452</v>
      </c>
      <c r="E427">
        <v>3</v>
      </c>
      <c r="F427">
        <v>3</v>
      </c>
      <c r="G427">
        <v>3</v>
      </c>
    </row>
    <row r="428" spans="1:7">
      <c r="A428">
        <v>2108</v>
      </c>
      <c r="B428" t="s">
        <v>5656</v>
      </c>
      <c r="C428" t="s">
        <v>5657</v>
      </c>
      <c r="D428">
        <v>44452</v>
      </c>
      <c r="E428">
        <v>9</v>
      </c>
      <c r="F428">
        <v>9</v>
      </c>
      <c r="G428">
        <v>9</v>
      </c>
    </row>
    <row r="429" spans="1:7">
      <c r="A429">
        <v>6005</v>
      </c>
      <c r="B429" t="s">
        <v>5977</v>
      </c>
      <c r="C429" t="s">
        <v>5645</v>
      </c>
      <c r="D429">
        <v>44452</v>
      </c>
      <c r="E429">
        <v>3</v>
      </c>
      <c r="F429">
        <v>3</v>
      </c>
      <c r="G429">
        <v>3</v>
      </c>
    </row>
    <row r="430" spans="1:7">
      <c r="A430">
        <v>2030</v>
      </c>
      <c r="B430" t="s">
        <v>5893</v>
      </c>
      <c r="C430" t="s">
        <v>5659</v>
      </c>
      <c r="D430">
        <v>44452</v>
      </c>
      <c r="E430">
        <v>5</v>
      </c>
      <c r="F430">
        <v>5</v>
      </c>
      <c r="G430">
        <v>5</v>
      </c>
    </row>
    <row r="431" spans="1:7">
      <c r="A431">
        <v>5876</v>
      </c>
      <c r="B431" t="s">
        <v>5715</v>
      </c>
      <c r="C431" t="s">
        <v>5645</v>
      </c>
      <c r="D431">
        <v>44452</v>
      </c>
      <c r="E431">
        <v>14</v>
      </c>
      <c r="F431">
        <v>14</v>
      </c>
      <c r="G431">
        <v>14</v>
      </c>
    </row>
    <row r="432" spans="1:7">
      <c r="A432">
        <v>2312</v>
      </c>
      <c r="B432" t="s">
        <v>5739</v>
      </c>
      <c r="C432" t="s">
        <v>5692</v>
      </c>
      <c r="D432">
        <v>44452</v>
      </c>
      <c r="E432">
        <v>8</v>
      </c>
      <c r="F432">
        <v>8</v>
      </c>
      <c r="G432">
        <v>8</v>
      </c>
    </row>
    <row r="433" spans="1:7">
      <c r="A433">
        <v>1802</v>
      </c>
      <c r="B433" t="s">
        <v>5978</v>
      </c>
      <c r="C433" t="s">
        <v>5971</v>
      </c>
      <c r="D433">
        <v>44452</v>
      </c>
      <c r="E433">
        <v>4</v>
      </c>
      <c r="F433">
        <v>4</v>
      </c>
      <c r="G433">
        <v>4</v>
      </c>
    </row>
    <row r="434" spans="1:7">
      <c r="A434">
        <v>1608</v>
      </c>
      <c r="B434" t="s">
        <v>5979</v>
      </c>
      <c r="C434" t="s">
        <v>5858</v>
      </c>
      <c r="D434">
        <v>44452</v>
      </c>
      <c r="E434">
        <v>7</v>
      </c>
      <c r="F434">
        <v>7</v>
      </c>
      <c r="G434">
        <v>7</v>
      </c>
    </row>
    <row r="435" spans="1:7">
      <c r="A435">
        <v>2809</v>
      </c>
      <c r="B435" t="s">
        <v>5810</v>
      </c>
      <c r="C435" t="s">
        <v>5645</v>
      </c>
      <c r="D435">
        <v>44452</v>
      </c>
      <c r="E435">
        <v>15</v>
      </c>
      <c r="F435">
        <v>15</v>
      </c>
      <c r="G435">
        <v>15</v>
      </c>
    </row>
    <row r="436" spans="1:7">
      <c r="A436">
        <v>1605</v>
      </c>
      <c r="B436" t="s">
        <v>5857</v>
      </c>
      <c r="C436" t="s">
        <v>5858</v>
      </c>
      <c r="D436">
        <v>44452</v>
      </c>
      <c r="E436">
        <v>9</v>
      </c>
      <c r="F436">
        <v>9</v>
      </c>
      <c r="G436">
        <v>9</v>
      </c>
    </row>
    <row r="437" spans="1:7">
      <c r="A437">
        <v>8201</v>
      </c>
      <c r="B437" t="s">
        <v>5874</v>
      </c>
      <c r="C437" t="s">
        <v>5692</v>
      </c>
      <c r="D437">
        <v>44452</v>
      </c>
      <c r="E437">
        <v>8</v>
      </c>
      <c r="F437">
        <v>8</v>
      </c>
      <c r="G437">
        <v>8</v>
      </c>
    </row>
    <row r="438" spans="1:7">
      <c r="A438">
        <v>2023</v>
      </c>
      <c r="B438" t="s">
        <v>5887</v>
      </c>
      <c r="C438" t="s">
        <v>5659</v>
      </c>
      <c r="D438">
        <v>44452</v>
      </c>
      <c r="E438">
        <v>6</v>
      </c>
      <c r="F438">
        <v>6</v>
      </c>
      <c r="G438">
        <v>6</v>
      </c>
    </row>
    <row r="439" spans="1:7">
      <c r="A439">
        <v>4904</v>
      </c>
      <c r="B439" t="s">
        <v>5654</v>
      </c>
      <c r="C439" t="s">
        <v>5653</v>
      </c>
      <c r="D439">
        <v>44452</v>
      </c>
      <c r="E439">
        <v>15</v>
      </c>
      <c r="F439">
        <v>15</v>
      </c>
      <c r="G439">
        <v>15</v>
      </c>
    </row>
    <row r="440" spans="1:7">
      <c r="A440">
        <v>1609</v>
      </c>
      <c r="B440" t="s">
        <v>5980</v>
      </c>
      <c r="C440" t="s">
        <v>5858</v>
      </c>
      <c r="D440">
        <v>44452</v>
      </c>
      <c r="E440">
        <v>9</v>
      </c>
      <c r="F440">
        <v>9</v>
      </c>
      <c r="G440">
        <v>9</v>
      </c>
    </row>
    <row r="441" spans="1:7">
      <c r="A441">
        <v>3706</v>
      </c>
      <c r="B441" t="s">
        <v>5889</v>
      </c>
      <c r="C441" t="s">
        <v>5649</v>
      </c>
      <c r="D441">
        <v>44452</v>
      </c>
      <c r="E441">
        <v>12</v>
      </c>
      <c r="F441">
        <v>12</v>
      </c>
      <c r="G441">
        <v>12</v>
      </c>
    </row>
    <row r="442" spans="1:7">
      <c r="A442">
        <v>1440</v>
      </c>
      <c r="B442" t="s">
        <v>5981</v>
      </c>
      <c r="C442" t="s">
        <v>5706</v>
      </c>
      <c r="D442">
        <v>44452</v>
      </c>
      <c r="E442">
        <v>5</v>
      </c>
      <c r="F442">
        <v>5</v>
      </c>
      <c r="G442">
        <v>5</v>
      </c>
    </row>
    <row r="443" spans="1:7">
      <c r="A443">
        <v>2006</v>
      </c>
      <c r="B443" t="s">
        <v>5843</v>
      </c>
      <c r="C443" t="s">
        <v>5659</v>
      </c>
      <c r="D443">
        <v>44452</v>
      </c>
      <c r="E443">
        <v>7</v>
      </c>
      <c r="F443">
        <v>7</v>
      </c>
      <c r="G443">
        <v>7</v>
      </c>
    </row>
    <row r="444" spans="1:7">
      <c r="A444">
        <v>6505</v>
      </c>
      <c r="B444" t="s">
        <v>5942</v>
      </c>
      <c r="C444" t="s">
        <v>5943</v>
      </c>
      <c r="D444">
        <v>44452</v>
      </c>
      <c r="E444">
        <v>10</v>
      </c>
      <c r="F444">
        <v>10</v>
      </c>
      <c r="G444">
        <v>10</v>
      </c>
    </row>
    <row r="445" spans="1:7">
      <c r="A445">
        <v>2456</v>
      </c>
      <c r="B445" t="s">
        <v>5982</v>
      </c>
      <c r="C445" t="s">
        <v>5675</v>
      </c>
      <c r="D445">
        <v>44452</v>
      </c>
      <c r="E445">
        <v>4</v>
      </c>
      <c r="F445">
        <v>4</v>
      </c>
      <c r="G445">
        <v>4</v>
      </c>
    </row>
    <row r="446" spans="1:7">
      <c r="A446">
        <v>2880</v>
      </c>
      <c r="B446" t="s">
        <v>5878</v>
      </c>
      <c r="C446" t="s">
        <v>5645</v>
      </c>
      <c r="D446">
        <v>44452</v>
      </c>
      <c r="E446">
        <v>10</v>
      </c>
      <c r="F446">
        <v>10</v>
      </c>
      <c r="G446">
        <v>10</v>
      </c>
    </row>
    <row r="447" spans="1:7">
      <c r="A447">
        <v>9907</v>
      </c>
      <c r="B447" t="s">
        <v>5812</v>
      </c>
      <c r="C447" t="s">
        <v>5664</v>
      </c>
      <c r="D447">
        <v>44452</v>
      </c>
      <c r="E447">
        <v>7</v>
      </c>
      <c r="F447">
        <v>7</v>
      </c>
      <c r="G447">
        <v>7</v>
      </c>
    </row>
    <row r="448" spans="1:7">
      <c r="A448">
        <v>1314</v>
      </c>
      <c r="B448" t="s">
        <v>5809</v>
      </c>
      <c r="C448" t="s">
        <v>5771</v>
      </c>
      <c r="D448">
        <v>44452</v>
      </c>
      <c r="E448">
        <v>8</v>
      </c>
      <c r="F448">
        <v>8</v>
      </c>
      <c r="G448">
        <v>8</v>
      </c>
    </row>
    <row r="449" spans="1:7">
      <c r="A449">
        <v>3045</v>
      </c>
      <c r="B449" t="s">
        <v>5680</v>
      </c>
      <c r="C449" t="s">
        <v>5653</v>
      </c>
      <c r="D449">
        <v>44452</v>
      </c>
      <c r="E449">
        <v>14</v>
      </c>
      <c r="F449">
        <v>14</v>
      </c>
      <c r="G449">
        <v>14</v>
      </c>
    </row>
    <row r="450" spans="1:7">
      <c r="A450">
        <v>2243</v>
      </c>
      <c r="B450" t="s">
        <v>5768</v>
      </c>
      <c r="C450" t="s">
        <v>5769</v>
      </c>
      <c r="D450">
        <v>44452</v>
      </c>
      <c r="E450">
        <v>2</v>
      </c>
      <c r="F450">
        <v>2</v>
      </c>
      <c r="G450">
        <v>2</v>
      </c>
    </row>
    <row r="451" spans="1:7">
      <c r="A451">
        <v>2017</v>
      </c>
      <c r="B451" t="s">
        <v>5885</v>
      </c>
      <c r="C451" t="s">
        <v>5659</v>
      </c>
      <c r="D451">
        <v>44452</v>
      </c>
      <c r="E451">
        <v>5</v>
      </c>
      <c r="F451">
        <v>5</v>
      </c>
      <c r="G451">
        <v>5</v>
      </c>
    </row>
    <row r="452" spans="1:7">
      <c r="A452">
        <v>2883</v>
      </c>
      <c r="B452" t="s">
        <v>5915</v>
      </c>
      <c r="C452" t="s">
        <v>5645</v>
      </c>
      <c r="D452">
        <v>44452</v>
      </c>
      <c r="E452">
        <v>7</v>
      </c>
      <c r="F452">
        <v>7</v>
      </c>
      <c r="G452">
        <v>7</v>
      </c>
    </row>
    <row r="453" spans="1:7">
      <c r="A453">
        <v>1734</v>
      </c>
      <c r="B453" t="s">
        <v>5983</v>
      </c>
      <c r="C453" t="s">
        <v>5729</v>
      </c>
      <c r="D453">
        <v>44452</v>
      </c>
      <c r="E453">
        <v>4</v>
      </c>
      <c r="F453">
        <v>4</v>
      </c>
      <c r="G453">
        <v>4</v>
      </c>
    </row>
    <row r="454" spans="1:7">
      <c r="A454">
        <v>8938</v>
      </c>
      <c r="B454" t="s">
        <v>5984</v>
      </c>
      <c r="C454" t="s">
        <v>5985</v>
      </c>
      <c r="D454">
        <v>44452</v>
      </c>
      <c r="E454">
        <v>1</v>
      </c>
      <c r="F454">
        <v>1</v>
      </c>
      <c r="G454">
        <v>1</v>
      </c>
    </row>
    <row r="455" spans="1:7">
      <c r="A455">
        <v>2009</v>
      </c>
      <c r="B455" t="s">
        <v>5986</v>
      </c>
      <c r="C455" t="s">
        <v>5659</v>
      </c>
      <c r="D455">
        <v>44452</v>
      </c>
      <c r="E455">
        <v>9</v>
      </c>
      <c r="F455">
        <v>9</v>
      </c>
      <c r="G455">
        <v>9</v>
      </c>
    </row>
    <row r="456" spans="1:7">
      <c r="A456">
        <v>6138</v>
      </c>
      <c r="B456" t="s">
        <v>5987</v>
      </c>
      <c r="C456" t="s">
        <v>5690</v>
      </c>
      <c r="D456">
        <v>44452</v>
      </c>
      <c r="E456">
        <v>5</v>
      </c>
      <c r="F456">
        <v>5</v>
      </c>
      <c r="G456">
        <v>5</v>
      </c>
    </row>
    <row r="457" spans="1:7">
      <c r="A457">
        <v>2888</v>
      </c>
      <c r="B457" t="s">
        <v>5853</v>
      </c>
      <c r="C457" t="s">
        <v>5645</v>
      </c>
      <c r="D457">
        <v>44452</v>
      </c>
      <c r="E457">
        <v>9</v>
      </c>
      <c r="F457">
        <v>9</v>
      </c>
      <c r="G457">
        <v>9</v>
      </c>
    </row>
    <row r="458" spans="1:7">
      <c r="A458">
        <v>9933</v>
      </c>
      <c r="B458" t="s">
        <v>5786</v>
      </c>
      <c r="C458" t="s">
        <v>5664</v>
      </c>
      <c r="D458">
        <v>44452</v>
      </c>
      <c r="E458">
        <v>3</v>
      </c>
      <c r="F458">
        <v>3</v>
      </c>
      <c r="G458">
        <v>3</v>
      </c>
    </row>
    <row r="459" spans="1:7">
      <c r="A459">
        <v>1444</v>
      </c>
      <c r="B459" t="s">
        <v>5859</v>
      </c>
      <c r="C459" t="s">
        <v>5706</v>
      </c>
      <c r="D459">
        <v>44452</v>
      </c>
      <c r="E459">
        <v>6</v>
      </c>
      <c r="F459">
        <v>6</v>
      </c>
      <c r="G459">
        <v>6</v>
      </c>
    </row>
    <row r="460" spans="1:7">
      <c r="A460">
        <v>2867</v>
      </c>
      <c r="B460" t="s">
        <v>5854</v>
      </c>
      <c r="C460" t="s">
        <v>5645</v>
      </c>
      <c r="D460">
        <v>44452</v>
      </c>
      <c r="E460">
        <v>8</v>
      </c>
      <c r="F460">
        <v>8</v>
      </c>
      <c r="G460">
        <v>8</v>
      </c>
    </row>
    <row r="461" spans="1:7">
      <c r="A461">
        <v>8415</v>
      </c>
      <c r="B461" t="s">
        <v>5988</v>
      </c>
      <c r="C461" t="s">
        <v>5869</v>
      </c>
      <c r="D461">
        <v>44452</v>
      </c>
      <c r="E461">
        <v>5</v>
      </c>
      <c r="F461">
        <v>5</v>
      </c>
      <c r="G461">
        <v>5</v>
      </c>
    </row>
    <row r="462" spans="1:7">
      <c r="A462">
        <v>1312</v>
      </c>
      <c r="B462" t="s">
        <v>5773</v>
      </c>
      <c r="C462" t="s">
        <v>5771</v>
      </c>
      <c r="D462">
        <v>44452</v>
      </c>
      <c r="E462">
        <v>8</v>
      </c>
      <c r="F462">
        <v>8</v>
      </c>
      <c r="G462">
        <v>8</v>
      </c>
    </row>
    <row r="463" spans="1:7">
      <c r="A463">
        <v>2727</v>
      </c>
      <c r="B463" t="s">
        <v>5989</v>
      </c>
      <c r="C463" t="s">
        <v>5990</v>
      </c>
      <c r="D463">
        <v>44452</v>
      </c>
      <c r="E463">
        <v>4</v>
      </c>
      <c r="F463">
        <v>4</v>
      </c>
      <c r="G463">
        <v>4</v>
      </c>
    </row>
    <row r="464" spans="1:7">
      <c r="A464">
        <v>2029</v>
      </c>
      <c r="B464" t="s">
        <v>5905</v>
      </c>
      <c r="C464" t="s">
        <v>5659</v>
      </c>
      <c r="D464">
        <v>44452</v>
      </c>
      <c r="E464">
        <v>3</v>
      </c>
      <c r="F464">
        <v>3</v>
      </c>
      <c r="G464">
        <v>3</v>
      </c>
    </row>
    <row r="465" spans="1:7">
      <c r="A465">
        <v>1313</v>
      </c>
      <c r="B465" t="s">
        <v>5991</v>
      </c>
      <c r="C465" t="s">
        <v>5771</v>
      </c>
      <c r="D465">
        <v>44452</v>
      </c>
      <c r="E465">
        <v>6</v>
      </c>
      <c r="F465">
        <v>6</v>
      </c>
      <c r="G465">
        <v>6</v>
      </c>
    </row>
    <row r="466" spans="1:7">
      <c r="A466">
        <v>1710</v>
      </c>
      <c r="B466" t="s">
        <v>5784</v>
      </c>
      <c r="C466" t="s">
        <v>5733</v>
      </c>
      <c r="D466">
        <v>44452</v>
      </c>
      <c r="E466">
        <v>7</v>
      </c>
      <c r="F466">
        <v>7</v>
      </c>
      <c r="G466">
        <v>7</v>
      </c>
    </row>
    <row r="467" spans="1:7">
      <c r="A467">
        <v>2358</v>
      </c>
      <c r="B467" t="s">
        <v>5992</v>
      </c>
      <c r="C467" t="s">
        <v>5664</v>
      </c>
      <c r="D467">
        <v>44452</v>
      </c>
      <c r="E467">
        <v>1</v>
      </c>
      <c r="F467">
        <v>1</v>
      </c>
      <c r="G467">
        <v>1</v>
      </c>
    </row>
    <row r="468" spans="1:7">
      <c r="A468">
        <v>4702</v>
      </c>
      <c r="B468" t="s">
        <v>5909</v>
      </c>
      <c r="C468" t="s">
        <v>5910</v>
      </c>
      <c r="D468">
        <v>44452</v>
      </c>
      <c r="E468">
        <v>4</v>
      </c>
      <c r="F468">
        <v>4</v>
      </c>
      <c r="G468">
        <v>4</v>
      </c>
    </row>
    <row r="469" spans="1:7">
      <c r="A469">
        <v>6170</v>
      </c>
      <c r="B469" t="s">
        <v>5993</v>
      </c>
      <c r="C469" t="s">
        <v>5684</v>
      </c>
      <c r="D469">
        <v>44452</v>
      </c>
      <c r="E469">
        <v>4</v>
      </c>
      <c r="F469">
        <v>4</v>
      </c>
      <c r="G469">
        <v>4</v>
      </c>
    </row>
    <row r="470" spans="1:7">
      <c r="A470">
        <v>2027</v>
      </c>
      <c r="B470" t="s">
        <v>5994</v>
      </c>
      <c r="C470" t="s">
        <v>5659</v>
      </c>
      <c r="D470">
        <v>44452</v>
      </c>
      <c r="E470">
        <v>4</v>
      </c>
      <c r="F470">
        <v>4</v>
      </c>
      <c r="G470">
        <v>4</v>
      </c>
    </row>
    <row r="471" spans="1:7">
      <c r="A471">
        <v>2201</v>
      </c>
      <c r="B471" t="s">
        <v>5929</v>
      </c>
      <c r="C471" t="s">
        <v>5769</v>
      </c>
      <c r="D471">
        <v>44452</v>
      </c>
      <c r="E471">
        <v>9</v>
      </c>
      <c r="F471">
        <v>9</v>
      </c>
      <c r="G471">
        <v>9</v>
      </c>
    </row>
    <row r="472" spans="1:7">
      <c r="A472">
        <v>2028</v>
      </c>
      <c r="B472" t="s">
        <v>5995</v>
      </c>
      <c r="C472" t="s">
        <v>5659</v>
      </c>
      <c r="D472">
        <v>44452</v>
      </c>
      <c r="E472">
        <v>4</v>
      </c>
      <c r="F472">
        <v>4</v>
      </c>
      <c r="G472">
        <v>4</v>
      </c>
    </row>
    <row r="473" spans="1:7">
      <c r="A473">
        <v>2014</v>
      </c>
      <c r="B473" t="s">
        <v>5896</v>
      </c>
      <c r="C473" t="s">
        <v>5659</v>
      </c>
      <c r="D473">
        <v>44452</v>
      </c>
      <c r="E473">
        <v>6</v>
      </c>
      <c r="F473">
        <v>6</v>
      </c>
      <c r="G473">
        <v>6</v>
      </c>
    </row>
    <row r="474" spans="1:7">
      <c r="A474">
        <v>1711</v>
      </c>
      <c r="B474" t="s">
        <v>5996</v>
      </c>
      <c r="C474" t="s">
        <v>5733</v>
      </c>
      <c r="D474">
        <v>44452</v>
      </c>
      <c r="E474">
        <v>3</v>
      </c>
      <c r="F474">
        <v>3</v>
      </c>
      <c r="G474">
        <v>3</v>
      </c>
    </row>
    <row r="475" spans="1:7">
      <c r="A475">
        <v>1402</v>
      </c>
      <c r="B475" t="s">
        <v>5851</v>
      </c>
      <c r="C475" t="s">
        <v>5706</v>
      </c>
      <c r="D475">
        <v>44452</v>
      </c>
      <c r="E475">
        <v>10</v>
      </c>
      <c r="F475">
        <v>10</v>
      </c>
      <c r="G475">
        <v>10</v>
      </c>
    </row>
    <row r="476" spans="1:7">
      <c r="A476">
        <v>2834</v>
      </c>
      <c r="B476" t="s">
        <v>5672</v>
      </c>
      <c r="C476" t="s">
        <v>5645</v>
      </c>
      <c r="D476">
        <v>44452</v>
      </c>
      <c r="E476">
        <v>7</v>
      </c>
      <c r="F476">
        <v>7</v>
      </c>
      <c r="G476">
        <v>7</v>
      </c>
    </row>
    <row r="477" spans="1:7">
      <c r="A477">
        <v>2038</v>
      </c>
      <c r="B477" t="s">
        <v>5879</v>
      </c>
      <c r="C477" t="s">
        <v>5659</v>
      </c>
      <c r="D477">
        <v>44452</v>
      </c>
      <c r="E477">
        <v>4</v>
      </c>
      <c r="F477">
        <v>4</v>
      </c>
      <c r="G477">
        <v>4</v>
      </c>
    </row>
    <row r="478" spans="1:7">
      <c r="A478">
        <v>9962</v>
      </c>
      <c r="B478" t="s">
        <v>5997</v>
      </c>
      <c r="C478" t="s">
        <v>5869</v>
      </c>
      <c r="D478">
        <v>44452</v>
      </c>
      <c r="E478">
        <v>5</v>
      </c>
      <c r="F478">
        <v>5</v>
      </c>
      <c r="G478">
        <v>5</v>
      </c>
    </row>
    <row r="479" spans="1:7">
      <c r="A479">
        <v>2032</v>
      </c>
      <c r="B479" t="s">
        <v>5998</v>
      </c>
      <c r="C479" t="s">
        <v>5659</v>
      </c>
      <c r="D479">
        <v>44452</v>
      </c>
      <c r="E479">
        <v>2</v>
      </c>
      <c r="F479">
        <v>2</v>
      </c>
      <c r="G479">
        <v>2</v>
      </c>
    </row>
    <row r="480" spans="1:7">
      <c r="A480">
        <v>2345</v>
      </c>
      <c r="B480" t="s">
        <v>5703</v>
      </c>
      <c r="C480" t="s">
        <v>5653</v>
      </c>
      <c r="D480">
        <v>44452</v>
      </c>
      <c r="E480">
        <v>6</v>
      </c>
      <c r="F480">
        <v>6</v>
      </c>
      <c r="G480">
        <v>6</v>
      </c>
    </row>
    <row r="481" spans="1:7">
      <c r="A481">
        <v>1785</v>
      </c>
      <c r="B481" t="s">
        <v>5799</v>
      </c>
      <c r="C481" t="s">
        <v>5800</v>
      </c>
      <c r="D481">
        <v>44452</v>
      </c>
      <c r="E481">
        <v>7</v>
      </c>
      <c r="F481">
        <v>7</v>
      </c>
      <c r="G481">
        <v>7</v>
      </c>
    </row>
    <row r="482" spans="1:7">
      <c r="A482">
        <v>6274</v>
      </c>
      <c r="B482" t="s">
        <v>5999</v>
      </c>
      <c r="C482" t="s">
        <v>5791</v>
      </c>
      <c r="D482">
        <v>44452</v>
      </c>
      <c r="E482">
        <v>7</v>
      </c>
      <c r="F482">
        <v>7</v>
      </c>
      <c r="G482">
        <v>7</v>
      </c>
    </row>
    <row r="483" spans="1:7">
      <c r="A483">
        <v>1722</v>
      </c>
      <c r="B483" t="s">
        <v>5882</v>
      </c>
      <c r="C483" t="s">
        <v>5733</v>
      </c>
      <c r="D483">
        <v>44452</v>
      </c>
      <c r="E483">
        <v>9</v>
      </c>
      <c r="F483">
        <v>9</v>
      </c>
      <c r="G483">
        <v>9</v>
      </c>
    </row>
    <row r="484" spans="1:7">
      <c r="A484">
        <v>2489</v>
      </c>
      <c r="B484" t="s">
        <v>5738</v>
      </c>
      <c r="C484" t="s">
        <v>5661</v>
      </c>
      <c r="D484">
        <v>44452</v>
      </c>
      <c r="E484">
        <v>9</v>
      </c>
      <c r="F484">
        <v>9</v>
      </c>
      <c r="G484">
        <v>9</v>
      </c>
    </row>
    <row r="485" spans="1:7">
      <c r="A485">
        <v>1717</v>
      </c>
      <c r="B485" t="s">
        <v>5805</v>
      </c>
      <c r="C485" t="s">
        <v>5733</v>
      </c>
      <c r="D485">
        <v>44452</v>
      </c>
      <c r="E485">
        <v>8</v>
      </c>
      <c r="F485">
        <v>8</v>
      </c>
      <c r="G485">
        <v>8</v>
      </c>
    </row>
    <row r="486" spans="1:7">
      <c r="A486">
        <v>2013</v>
      </c>
      <c r="B486" t="s">
        <v>6000</v>
      </c>
      <c r="C486" t="s">
        <v>5659</v>
      </c>
      <c r="D486">
        <v>44452</v>
      </c>
      <c r="E486">
        <v>8</v>
      </c>
      <c r="F486">
        <v>8</v>
      </c>
      <c r="G486">
        <v>8</v>
      </c>
    </row>
    <row r="487" spans="1:7">
      <c r="A487">
        <v>2399</v>
      </c>
      <c r="B487" t="s">
        <v>5923</v>
      </c>
      <c r="C487" t="s">
        <v>5649</v>
      </c>
      <c r="D487">
        <v>44452</v>
      </c>
      <c r="E487">
        <v>4</v>
      </c>
      <c r="F487">
        <v>4</v>
      </c>
      <c r="G487">
        <v>4</v>
      </c>
    </row>
    <row r="488" spans="1:7">
      <c r="A488">
        <v>2020</v>
      </c>
      <c r="B488" t="s">
        <v>6001</v>
      </c>
      <c r="C488" t="s">
        <v>5659</v>
      </c>
      <c r="D488">
        <v>44452</v>
      </c>
      <c r="E488">
        <v>2</v>
      </c>
      <c r="F488">
        <v>2</v>
      </c>
      <c r="G488">
        <v>2</v>
      </c>
    </row>
    <row r="489" spans="1:7">
      <c r="A489">
        <v>6269</v>
      </c>
      <c r="B489" t="s">
        <v>5717</v>
      </c>
      <c r="C489" t="s">
        <v>5675</v>
      </c>
      <c r="D489">
        <v>44452</v>
      </c>
      <c r="E489">
        <v>9</v>
      </c>
      <c r="F489">
        <v>9</v>
      </c>
      <c r="G489">
        <v>9</v>
      </c>
    </row>
    <row r="490" spans="1:7">
      <c r="A490">
        <v>4989</v>
      </c>
      <c r="B490" t="s">
        <v>6002</v>
      </c>
      <c r="C490" t="s">
        <v>5675</v>
      </c>
      <c r="D490">
        <v>44452</v>
      </c>
      <c r="E490">
        <v>4</v>
      </c>
      <c r="F490">
        <v>4</v>
      </c>
      <c r="G490">
        <v>4</v>
      </c>
    </row>
    <row r="491" spans="1:7">
      <c r="A491">
        <v>1517</v>
      </c>
      <c r="B491" t="s">
        <v>5803</v>
      </c>
      <c r="C491" t="s">
        <v>5670</v>
      </c>
      <c r="D491">
        <v>44452</v>
      </c>
      <c r="E491">
        <v>6</v>
      </c>
      <c r="F491">
        <v>6</v>
      </c>
      <c r="G491">
        <v>6</v>
      </c>
    </row>
    <row r="492" spans="1:7">
      <c r="A492">
        <v>1305</v>
      </c>
      <c r="B492" t="s">
        <v>5770</v>
      </c>
      <c r="C492" t="s">
        <v>5771</v>
      </c>
      <c r="D492">
        <v>44452</v>
      </c>
      <c r="E492">
        <v>7</v>
      </c>
      <c r="F492">
        <v>7</v>
      </c>
      <c r="G492">
        <v>7</v>
      </c>
    </row>
    <row r="493" spans="1:7">
      <c r="A493">
        <v>1101</v>
      </c>
      <c r="B493" t="s">
        <v>5822</v>
      </c>
      <c r="C493" t="s">
        <v>5823</v>
      </c>
      <c r="D493">
        <v>44452</v>
      </c>
      <c r="E493">
        <v>8</v>
      </c>
      <c r="F493">
        <v>8</v>
      </c>
      <c r="G493">
        <v>8</v>
      </c>
    </row>
    <row r="494" spans="1:7">
      <c r="A494">
        <v>1906</v>
      </c>
      <c r="B494" t="s">
        <v>6003</v>
      </c>
      <c r="C494" t="s">
        <v>5677</v>
      </c>
      <c r="D494">
        <v>44452</v>
      </c>
      <c r="E494">
        <v>4</v>
      </c>
      <c r="F494">
        <v>4</v>
      </c>
      <c r="G494">
        <v>4</v>
      </c>
    </row>
    <row r="495" spans="1:7">
      <c r="A495">
        <v>2897</v>
      </c>
      <c r="B495" t="s">
        <v>5644</v>
      </c>
      <c r="C495" t="s">
        <v>5645</v>
      </c>
      <c r="D495">
        <v>44452</v>
      </c>
      <c r="E495">
        <v>5</v>
      </c>
      <c r="F495">
        <v>5</v>
      </c>
      <c r="G495">
        <v>5</v>
      </c>
    </row>
    <row r="496" spans="1:7">
      <c r="A496">
        <v>2323</v>
      </c>
      <c r="B496" t="s">
        <v>6004</v>
      </c>
      <c r="C496" t="s">
        <v>5661</v>
      </c>
      <c r="D496">
        <v>44452</v>
      </c>
      <c r="E496">
        <v>4</v>
      </c>
      <c r="F496">
        <v>4</v>
      </c>
      <c r="G496">
        <v>4</v>
      </c>
    </row>
    <row r="497" spans="1:7">
      <c r="A497">
        <v>3011</v>
      </c>
      <c r="B497" t="s">
        <v>6005</v>
      </c>
      <c r="C497" t="s">
        <v>5675</v>
      </c>
      <c r="D497">
        <v>44452</v>
      </c>
      <c r="E497">
        <v>5</v>
      </c>
      <c r="F497">
        <v>5</v>
      </c>
      <c r="G497">
        <v>5</v>
      </c>
    </row>
    <row r="498" spans="1:7">
      <c r="A498">
        <v>1907</v>
      </c>
      <c r="B498" t="s">
        <v>6006</v>
      </c>
      <c r="C498" t="s">
        <v>5677</v>
      </c>
      <c r="D498">
        <v>44452</v>
      </c>
      <c r="E498">
        <v>8</v>
      </c>
      <c r="F498">
        <v>8</v>
      </c>
      <c r="G498">
        <v>8</v>
      </c>
    </row>
    <row r="499" spans="1:7">
      <c r="A499">
        <v>3587</v>
      </c>
      <c r="B499" t="s">
        <v>6007</v>
      </c>
      <c r="C499" t="s">
        <v>5800</v>
      </c>
      <c r="D499">
        <v>44452</v>
      </c>
      <c r="E499">
        <v>3</v>
      </c>
      <c r="F499">
        <v>3</v>
      </c>
      <c r="G499">
        <v>3</v>
      </c>
    </row>
    <row r="500" spans="1:7">
      <c r="A500">
        <v>6116</v>
      </c>
      <c r="B500" t="s">
        <v>5898</v>
      </c>
      <c r="C500" t="s">
        <v>5661</v>
      </c>
      <c r="D500">
        <v>44452</v>
      </c>
      <c r="E500">
        <v>7</v>
      </c>
      <c r="F500">
        <v>7</v>
      </c>
      <c r="G500">
        <v>7</v>
      </c>
    </row>
    <row r="501" spans="1:7">
      <c r="A501">
        <v>1905</v>
      </c>
      <c r="B501" t="s">
        <v>5897</v>
      </c>
      <c r="C501" t="s">
        <v>5677</v>
      </c>
      <c r="D501">
        <v>44452</v>
      </c>
      <c r="E501">
        <v>6</v>
      </c>
      <c r="F501">
        <v>6</v>
      </c>
      <c r="G501">
        <v>6</v>
      </c>
    </row>
    <row r="502" spans="1:7">
      <c r="A502">
        <v>5876</v>
      </c>
      <c r="B502" t="s">
        <v>5715</v>
      </c>
      <c r="C502" t="s">
        <v>5645</v>
      </c>
      <c r="D502">
        <v>44449</v>
      </c>
      <c r="E502">
        <v>14</v>
      </c>
      <c r="F502">
        <v>14</v>
      </c>
      <c r="G502">
        <v>14</v>
      </c>
    </row>
    <row r="503" spans="1:7">
      <c r="A503">
        <v>2352</v>
      </c>
      <c r="B503" t="s">
        <v>6008</v>
      </c>
      <c r="C503" t="s">
        <v>5649</v>
      </c>
      <c r="D503">
        <v>44449</v>
      </c>
      <c r="E503">
        <v>4</v>
      </c>
      <c r="F503">
        <v>4</v>
      </c>
      <c r="G503">
        <v>4</v>
      </c>
    </row>
    <row r="504" spans="1:7">
      <c r="A504">
        <v>2886</v>
      </c>
      <c r="B504" t="s">
        <v>5863</v>
      </c>
      <c r="C504" t="s">
        <v>5645</v>
      </c>
      <c r="D504">
        <v>44449</v>
      </c>
      <c r="E504">
        <v>10</v>
      </c>
      <c r="F504">
        <v>10</v>
      </c>
      <c r="G504">
        <v>10</v>
      </c>
    </row>
    <row r="505" spans="1:7">
      <c r="A505">
        <v>1101</v>
      </c>
      <c r="B505" t="s">
        <v>5822</v>
      </c>
      <c r="C505" t="s">
        <v>5823</v>
      </c>
      <c r="D505">
        <v>44449</v>
      </c>
      <c r="E505">
        <v>8</v>
      </c>
      <c r="F505">
        <v>8</v>
      </c>
      <c r="G505">
        <v>8</v>
      </c>
    </row>
    <row r="506" spans="1:7">
      <c r="A506">
        <v>1314</v>
      </c>
      <c r="B506" t="s">
        <v>5809</v>
      </c>
      <c r="C506" t="s">
        <v>5771</v>
      </c>
      <c r="D506">
        <v>44449</v>
      </c>
      <c r="E506">
        <v>8</v>
      </c>
      <c r="F506">
        <v>8</v>
      </c>
      <c r="G506">
        <v>8</v>
      </c>
    </row>
    <row r="507" spans="1:7">
      <c r="A507">
        <v>2301</v>
      </c>
      <c r="B507" t="s">
        <v>5723</v>
      </c>
      <c r="C507" t="s">
        <v>5649</v>
      </c>
      <c r="D507">
        <v>44449</v>
      </c>
      <c r="E507">
        <v>14</v>
      </c>
      <c r="F507">
        <v>14</v>
      </c>
      <c r="G507">
        <v>14</v>
      </c>
    </row>
    <row r="508" spans="1:7">
      <c r="A508">
        <v>1308</v>
      </c>
      <c r="B508" t="s">
        <v>5804</v>
      </c>
      <c r="C508" t="s">
        <v>5771</v>
      </c>
      <c r="D508">
        <v>44449</v>
      </c>
      <c r="E508">
        <v>7</v>
      </c>
      <c r="F508">
        <v>7</v>
      </c>
      <c r="G508">
        <v>7</v>
      </c>
    </row>
    <row r="509" spans="1:7">
      <c r="A509">
        <v>2408</v>
      </c>
      <c r="B509" t="s">
        <v>6009</v>
      </c>
      <c r="C509" t="s">
        <v>5666</v>
      </c>
      <c r="D509">
        <v>44449</v>
      </c>
      <c r="E509">
        <v>8</v>
      </c>
      <c r="F509">
        <v>8</v>
      </c>
      <c r="G509">
        <v>8</v>
      </c>
    </row>
    <row r="510" spans="1:7">
      <c r="A510">
        <v>1463</v>
      </c>
      <c r="B510" t="s">
        <v>6010</v>
      </c>
      <c r="C510" t="s">
        <v>5706</v>
      </c>
      <c r="D510">
        <v>44449</v>
      </c>
      <c r="E510">
        <v>1</v>
      </c>
      <c r="F510">
        <v>1</v>
      </c>
      <c r="G510">
        <v>1</v>
      </c>
    </row>
    <row r="511" spans="1:7">
      <c r="A511">
        <v>2105</v>
      </c>
      <c r="B511" t="s">
        <v>5671</v>
      </c>
      <c r="C511" t="s">
        <v>5657</v>
      </c>
      <c r="D511">
        <v>44449</v>
      </c>
      <c r="E511">
        <v>10</v>
      </c>
      <c r="F511">
        <v>10</v>
      </c>
      <c r="G511">
        <v>10</v>
      </c>
    </row>
    <row r="512" spans="1:7">
      <c r="A512">
        <v>2353</v>
      </c>
      <c r="B512" t="s">
        <v>5965</v>
      </c>
      <c r="C512" t="s">
        <v>5649</v>
      </c>
      <c r="D512">
        <v>44449</v>
      </c>
      <c r="E512">
        <v>9</v>
      </c>
      <c r="F512">
        <v>9</v>
      </c>
      <c r="G512">
        <v>9</v>
      </c>
    </row>
    <row r="513" spans="1:7">
      <c r="A513">
        <v>2344</v>
      </c>
      <c r="B513" t="s">
        <v>6011</v>
      </c>
      <c r="C513" t="s">
        <v>5666</v>
      </c>
      <c r="D513">
        <v>44449</v>
      </c>
      <c r="E513">
        <v>7</v>
      </c>
      <c r="F513">
        <v>7</v>
      </c>
      <c r="G513">
        <v>7</v>
      </c>
    </row>
    <row r="514" spans="1:7">
      <c r="A514">
        <v>9904</v>
      </c>
      <c r="B514" t="s">
        <v>5855</v>
      </c>
      <c r="C514" t="s">
        <v>5664</v>
      </c>
      <c r="D514">
        <v>44449</v>
      </c>
      <c r="E514">
        <v>11</v>
      </c>
      <c r="F514">
        <v>11</v>
      </c>
      <c r="G514">
        <v>11</v>
      </c>
    </row>
    <row r="515" spans="1:7">
      <c r="A515">
        <v>2867</v>
      </c>
      <c r="B515" t="s">
        <v>5854</v>
      </c>
      <c r="C515" t="s">
        <v>5645</v>
      </c>
      <c r="D515">
        <v>44449</v>
      </c>
      <c r="E515">
        <v>8</v>
      </c>
      <c r="F515">
        <v>8</v>
      </c>
      <c r="G515">
        <v>8</v>
      </c>
    </row>
    <row r="516" spans="1:7">
      <c r="A516">
        <v>3661</v>
      </c>
      <c r="B516" t="s">
        <v>5763</v>
      </c>
      <c r="C516" t="s">
        <v>5666</v>
      </c>
      <c r="D516">
        <v>44449</v>
      </c>
      <c r="E516">
        <v>3</v>
      </c>
      <c r="F516">
        <v>3</v>
      </c>
      <c r="G516">
        <v>3</v>
      </c>
    </row>
    <row r="517" spans="1:7">
      <c r="A517">
        <v>1460</v>
      </c>
      <c r="B517" t="s">
        <v>6012</v>
      </c>
      <c r="C517" t="s">
        <v>5706</v>
      </c>
      <c r="D517">
        <v>44449</v>
      </c>
      <c r="E517">
        <v>4</v>
      </c>
      <c r="F517">
        <v>4</v>
      </c>
      <c r="G517">
        <v>4</v>
      </c>
    </row>
    <row r="518" spans="1:7">
      <c r="A518">
        <v>2337</v>
      </c>
      <c r="B518" t="s">
        <v>6013</v>
      </c>
      <c r="C518" t="s">
        <v>5666</v>
      </c>
      <c r="D518">
        <v>44449</v>
      </c>
      <c r="E518">
        <v>6</v>
      </c>
      <c r="F518">
        <v>6</v>
      </c>
      <c r="G518">
        <v>6</v>
      </c>
    </row>
    <row r="519" spans="1:7">
      <c r="A519">
        <v>2484</v>
      </c>
      <c r="B519" t="s">
        <v>5710</v>
      </c>
      <c r="C519" t="s">
        <v>5675</v>
      </c>
      <c r="D519">
        <v>44449</v>
      </c>
      <c r="E519">
        <v>5</v>
      </c>
      <c r="F519">
        <v>5</v>
      </c>
      <c r="G519">
        <v>5</v>
      </c>
    </row>
    <row r="520" spans="1:7">
      <c r="A520">
        <v>2887</v>
      </c>
      <c r="B520" t="s">
        <v>6014</v>
      </c>
      <c r="C520" t="s">
        <v>5645</v>
      </c>
      <c r="D520">
        <v>44449</v>
      </c>
      <c r="E520">
        <v>5</v>
      </c>
      <c r="F520">
        <v>5</v>
      </c>
      <c r="G520">
        <v>5</v>
      </c>
    </row>
    <row r="521" spans="1:7">
      <c r="A521">
        <v>2308</v>
      </c>
      <c r="B521" t="s">
        <v>5831</v>
      </c>
      <c r="C521" t="s">
        <v>5675</v>
      </c>
      <c r="D521">
        <v>44449</v>
      </c>
      <c r="E521">
        <v>7</v>
      </c>
      <c r="F521">
        <v>7</v>
      </c>
      <c r="G521">
        <v>7</v>
      </c>
    </row>
    <row r="522" spans="1:7">
      <c r="A522">
        <v>8044</v>
      </c>
      <c r="B522" t="s">
        <v>5894</v>
      </c>
      <c r="C522" t="s">
        <v>5895</v>
      </c>
      <c r="D522">
        <v>44449</v>
      </c>
      <c r="E522">
        <v>6</v>
      </c>
      <c r="F522">
        <v>6</v>
      </c>
      <c r="G522">
        <v>6</v>
      </c>
    </row>
    <row r="523" spans="1:7">
      <c r="A523">
        <v>6278</v>
      </c>
      <c r="B523" t="s">
        <v>5764</v>
      </c>
      <c r="C523" t="s">
        <v>5661</v>
      </c>
      <c r="D523">
        <v>44449</v>
      </c>
      <c r="E523">
        <v>8</v>
      </c>
      <c r="F523">
        <v>8</v>
      </c>
      <c r="G523">
        <v>8</v>
      </c>
    </row>
    <row r="524" spans="1:7">
      <c r="A524">
        <v>1303</v>
      </c>
      <c r="B524" t="s">
        <v>5792</v>
      </c>
      <c r="C524" t="s">
        <v>5771</v>
      </c>
      <c r="D524">
        <v>44449</v>
      </c>
      <c r="E524">
        <v>9</v>
      </c>
      <c r="F524">
        <v>9</v>
      </c>
      <c r="G524">
        <v>9</v>
      </c>
    </row>
    <row r="525" spans="1:7">
      <c r="A525">
        <v>9105</v>
      </c>
      <c r="B525" t="s">
        <v>6015</v>
      </c>
      <c r="C525" t="s">
        <v>5865</v>
      </c>
      <c r="D525">
        <v>44449</v>
      </c>
      <c r="E525">
        <v>4</v>
      </c>
      <c r="F525">
        <v>4</v>
      </c>
      <c r="G525">
        <v>4</v>
      </c>
    </row>
    <row r="526" spans="1:7">
      <c r="A526">
        <v>2395</v>
      </c>
      <c r="B526" t="s">
        <v>6016</v>
      </c>
      <c r="C526" t="s">
        <v>5649</v>
      </c>
      <c r="D526">
        <v>44449</v>
      </c>
      <c r="E526">
        <v>3</v>
      </c>
      <c r="F526">
        <v>3</v>
      </c>
      <c r="G526">
        <v>3</v>
      </c>
    </row>
    <row r="527" spans="1:7">
      <c r="A527">
        <v>2890</v>
      </c>
      <c r="B527" t="s">
        <v>5772</v>
      </c>
      <c r="C527" t="s">
        <v>5645</v>
      </c>
      <c r="D527">
        <v>44449</v>
      </c>
      <c r="E527">
        <v>8</v>
      </c>
      <c r="F527">
        <v>8</v>
      </c>
      <c r="G527">
        <v>8</v>
      </c>
    </row>
    <row r="528" spans="1:7">
      <c r="A528">
        <v>6265</v>
      </c>
      <c r="B528" t="s">
        <v>5935</v>
      </c>
      <c r="C528" t="s">
        <v>5694</v>
      </c>
      <c r="D528">
        <v>44449</v>
      </c>
      <c r="E528">
        <v>4</v>
      </c>
      <c r="F528">
        <v>4</v>
      </c>
      <c r="G528">
        <v>4</v>
      </c>
    </row>
    <row r="529" spans="1:7">
      <c r="A529">
        <v>6016</v>
      </c>
      <c r="B529" t="s">
        <v>6017</v>
      </c>
      <c r="C529" t="s">
        <v>5798</v>
      </c>
      <c r="D529">
        <v>44449</v>
      </c>
      <c r="E529">
        <v>4</v>
      </c>
      <c r="F529">
        <v>4</v>
      </c>
      <c r="G529">
        <v>4</v>
      </c>
    </row>
    <row r="530" spans="1:7">
      <c r="A530">
        <v>6153</v>
      </c>
      <c r="B530" t="s">
        <v>5837</v>
      </c>
      <c r="C530" t="s">
        <v>5675</v>
      </c>
      <c r="D530">
        <v>44449</v>
      </c>
      <c r="E530">
        <v>7</v>
      </c>
      <c r="F530">
        <v>7</v>
      </c>
      <c r="G530">
        <v>7</v>
      </c>
    </row>
    <row r="531" spans="1:7">
      <c r="A531">
        <v>2603</v>
      </c>
      <c r="B531" t="s">
        <v>5721</v>
      </c>
      <c r="C531" t="s">
        <v>5679</v>
      </c>
      <c r="D531">
        <v>44449</v>
      </c>
      <c r="E531">
        <v>6</v>
      </c>
      <c r="F531">
        <v>6</v>
      </c>
      <c r="G531">
        <v>6</v>
      </c>
    </row>
    <row r="532" spans="1:7">
      <c r="A532">
        <v>5880</v>
      </c>
      <c r="B532" t="s">
        <v>5655</v>
      </c>
      <c r="C532" t="s">
        <v>5645</v>
      </c>
      <c r="D532">
        <v>44449</v>
      </c>
      <c r="E532">
        <v>6</v>
      </c>
      <c r="F532">
        <v>6</v>
      </c>
      <c r="G532">
        <v>6</v>
      </c>
    </row>
    <row r="533" spans="1:7">
      <c r="A533">
        <v>2356</v>
      </c>
      <c r="B533" t="s">
        <v>5648</v>
      </c>
      <c r="C533" t="s">
        <v>5649</v>
      </c>
      <c r="D533">
        <v>44449</v>
      </c>
      <c r="E533">
        <v>8</v>
      </c>
      <c r="F533">
        <v>8</v>
      </c>
      <c r="G533">
        <v>8</v>
      </c>
    </row>
    <row r="534" spans="1:7">
      <c r="A534">
        <v>2454</v>
      </c>
      <c r="B534" t="s">
        <v>5933</v>
      </c>
      <c r="C534" t="s">
        <v>5666</v>
      </c>
      <c r="D534">
        <v>44449</v>
      </c>
      <c r="E534">
        <v>8</v>
      </c>
      <c r="F534">
        <v>8</v>
      </c>
      <c r="G534">
        <v>8</v>
      </c>
    </row>
    <row r="535" spans="1:7">
      <c r="A535">
        <v>2208</v>
      </c>
      <c r="B535" t="s">
        <v>5716</v>
      </c>
      <c r="C535" t="s">
        <v>5679</v>
      </c>
      <c r="D535">
        <v>44449</v>
      </c>
      <c r="E535">
        <v>8</v>
      </c>
      <c r="F535">
        <v>8</v>
      </c>
      <c r="G535">
        <v>8</v>
      </c>
    </row>
    <row r="536" spans="1:7">
      <c r="A536">
        <v>1718</v>
      </c>
      <c r="B536" t="s">
        <v>5816</v>
      </c>
      <c r="C536" t="s">
        <v>5733</v>
      </c>
      <c r="D536">
        <v>44449</v>
      </c>
      <c r="E536">
        <v>13</v>
      </c>
      <c r="F536">
        <v>13</v>
      </c>
      <c r="G536">
        <v>13</v>
      </c>
    </row>
    <row r="537" spans="1:7">
      <c r="A537">
        <v>3711</v>
      </c>
      <c r="B537" t="s">
        <v>5714</v>
      </c>
      <c r="C537" t="s">
        <v>5666</v>
      </c>
      <c r="D537">
        <v>44449</v>
      </c>
      <c r="E537">
        <v>4</v>
      </c>
      <c r="F537">
        <v>4</v>
      </c>
      <c r="G537">
        <v>4</v>
      </c>
    </row>
    <row r="538" spans="1:7">
      <c r="A538">
        <v>6223</v>
      </c>
      <c r="B538" t="s">
        <v>5844</v>
      </c>
      <c r="C538" t="s">
        <v>5690</v>
      </c>
      <c r="D538">
        <v>44449</v>
      </c>
      <c r="E538">
        <v>6</v>
      </c>
      <c r="F538">
        <v>6</v>
      </c>
      <c r="G538">
        <v>6</v>
      </c>
    </row>
    <row r="539" spans="1:7">
      <c r="A539">
        <v>2888</v>
      </c>
      <c r="B539" t="s">
        <v>5853</v>
      </c>
      <c r="C539" t="s">
        <v>5645</v>
      </c>
      <c r="D539">
        <v>44449</v>
      </c>
      <c r="E539">
        <v>9</v>
      </c>
      <c r="F539">
        <v>9</v>
      </c>
      <c r="G539">
        <v>9</v>
      </c>
    </row>
    <row r="540" spans="1:7">
      <c r="A540">
        <v>2330</v>
      </c>
      <c r="B540" t="s">
        <v>6018</v>
      </c>
      <c r="C540" t="s">
        <v>5666</v>
      </c>
      <c r="D540">
        <v>44449</v>
      </c>
      <c r="E540">
        <v>12</v>
      </c>
      <c r="F540">
        <v>12</v>
      </c>
      <c r="G540">
        <v>12</v>
      </c>
    </row>
    <row r="541" spans="1:7">
      <c r="A541">
        <v>1714</v>
      </c>
      <c r="B541" t="s">
        <v>5824</v>
      </c>
      <c r="C541" t="s">
        <v>5733</v>
      </c>
      <c r="D541">
        <v>44449</v>
      </c>
      <c r="E541">
        <v>8</v>
      </c>
      <c r="F541">
        <v>8</v>
      </c>
      <c r="G541">
        <v>8</v>
      </c>
    </row>
    <row r="542" spans="1:7">
      <c r="A542">
        <v>2101</v>
      </c>
      <c r="B542" t="s">
        <v>5767</v>
      </c>
      <c r="C542" t="s">
        <v>5657</v>
      </c>
      <c r="D542">
        <v>44449</v>
      </c>
      <c r="E542">
        <v>5</v>
      </c>
      <c r="F542">
        <v>5</v>
      </c>
      <c r="G542">
        <v>5</v>
      </c>
    </row>
    <row r="543" spans="1:7">
      <c r="A543">
        <v>2317</v>
      </c>
      <c r="B543" t="s">
        <v>5955</v>
      </c>
      <c r="C543" t="s">
        <v>5692</v>
      </c>
      <c r="D543">
        <v>44449</v>
      </c>
      <c r="E543">
        <v>8</v>
      </c>
      <c r="F543">
        <v>8</v>
      </c>
      <c r="G543">
        <v>8</v>
      </c>
    </row>
    <row r="544" spans="1:7">
      <c r="A544">
        <v>6163</v>
      </c>
      <c r="B544" t="s">
        <v>5683</v>
      </c>
      <c r="C544" t="s">
        <v>5684</v>
      </c>
      <c r="D544">
        <v>44449</v>
      </c>
      <c r="E544">
        <v>6</v>
      </c>
      <c r="F544">
        <v>6</v>
      </c>
      <c r="G544">
        <v>6</v>
      </c>
    </row>
    <row r="545" spans="1:7">
      <c r="A545">
        <v>6116</v>
      </c>
      <c r="B545" t="s">
        <v>5898</v>
      </c>
      <c r="C545" t="s">
        <v>5661</v>
      </c>
      <c r="D545">
        <v>44449</v>
      </c>
      <c r="E545">
        <v>7</v>
      </c>
      <c r="F545">
        <v>7</v>
      </c>
      <c r="G545">
        <v>7</v>
      </c>
    </row>
    <row r="546" spans="1:7">
      <c r="A546">
        <v>2538</v>
      </c>
      <c r="B546" t="s">
        <v>6019</v>
      </c>
      <c r="C546" t="s">
        <v>5651</v>
      </c>
      <c r="D546">
        <v>44449</v>
      </c>
      <c r="E546">
        <v>3</v>
      </c>
      <c r="F546">
        <v>3</v>
      </c>
      <c r="G546">
        <v>3</v>
      </c>
    </row>
    <row r="547" spans="1:7">
      <c r="A547">
        <v>2637</v>
      </c>
      <c r="B547" t="s">
        <v>5902</v>
      </c>
      <c r="C547" t="s">
        <v>5679</v>
      </c>
      <c r="D547">
        <v>44449</v>
      </c>
      <c r="E547">
        <v>6</v>
      </c>
      <c r="F547">
        <v>6</v>
      </c>
      <c r="G547">
        <v>6</v>
      </c>
    </row>
    <row r="548" spans="1:7">
      <c r="A548">
        <v>1402</v>
      </c>
      <c r="B548" t="s">
        <v>5851</v>
      </c>
      <c r="C548" t="s">
        <v>5706</v>
      </c>
      <c r="D548">
        <v>44449</v>
      </c>
      <c r="E548">
        <v>10</v>
      </c>
      <c r="F548">
        <v>10</v>
      </c>
      <c r="G548">
        <v>10</v>
      </c>
    </row>
    <row r="549" spans="1:7">
      <c r="A549">
        <v>8046</v>
      </c>
      <c r="B549" t="s">
        <v>5735</v>
      </c>
      <c r="C549" t="s">
        <v>5675</v>
      </c>
      <c r="D549">
        <v>44449</v>
      </c>
      <c r="E549">
        <v>5</v>
      </c>
      <c r="F549">
        <v>5</v>
      </c>
      <c r="G549">
        <v>5</v>
      </c>
    </row>
    <row r="550" spans="1:7">
      <c r="A550">
        <v>4915</v>
      </c>
      <c r="B550" t="s">
        <v>5827</v>
      </c>
      <c r="C550" t="s">
        <v>5675</v>
      </c>
      <c r="D550">
        <v>44449</v>
      </c>
      <c r="E550">
        <v>5</v>
      </c>
      <c r="F550">
        <v>5</v>
      </c>
      <c r="G550">
        <v>5</v>
      </c>
    </row>
    <row r="551" spans="1:7">
      <c r="A551">
        <v>3011</v>
      </c>
      <c r="B551" t="s">
        <v>6005</v>
      </c>
      <c r="C551" t="s">
        <v>5675</v>
      </c>
      <c r="D551">
        <v>44449</v>
      </c>
      <c r="E551">
        <v>5</v>
      </c>
      <c r="F551">
        <v>5</v>
      </c>
      <c r="G551">
        <v>5</v>
      </c>
    </row>
    <row r="552" spans="1:7">
      <c r="A552">
        <v>2312</v>
      </c>
      <c r="B552" t="s">
        <v>5739</v>
      </c>
      <c r="C552" t="s">
        <v>5692</v>
      </c>
      <c r="D552">
        <v>44449</v>
      </c>
      <c r="E552">
        <v>8</v>
      </c>
      <c r="F552">
        <v>8</v>
      </c>
      <c r="G552">
        <v>8</v>
      </c>
    </row>
    <row r="553" spans="1:7">
      <c r="A553">
        <v>2610</v>
      </c>
      <c r="B553" t="s">
        <v>5826</v>
      </c>
      <c r="C553" t="s">
        <v>5679</v>
      </c>
      <c r="D553">
        <v>44449</v>
      </c>
      <c r="E553">
        <v>6</v>
      </c>
      <c r="F553">
        <v>6</v>
      </c>
      <c r="G553">
        <v>6</v>
      </c>
    </row>
    <row r="554" spans="1:7">
      <c r="A554">
        <v>9958</v>
      </c>
      <c r="B554" t="s">
        <v>5783</v>
      </c>
      <c r="C554" t="s">
        <v>5659</v>
      </c>
      <c r="D554">
        <v>44449</v>
      </c>
      <c r="E554">
        <v>9</v>
      </c>
      <c r="F554">
        <v>9</v>
      </c>
      <c r="G554">
        <v>9</v>
      </c>
    </row>
    <row r="555" spans="1:7">
      <c r="A555">
        <v>2534</v>
      </c>
      <c r="B555" t="s">
        <v>5747</v>
      </c>
      <c r="C555" t="s">
        <v>5651</v>
      </c>
      <c r="D555">
        <v>44449</v>
      </c>
      <c r="E555">
        <v>4</v>
      </c>
      <c r="F555">
        <v>4</v>
      </c>
      <c r="G555">
        <v>4</v>
      </c>
    </row>
    <row r="556" spans="1:7">
      <c r="A556">
        <v>2834</v>
      </c>
      <c r="B556" t="s">
        <v>5672</v>
      </c>
      <c r="C556" t="s">
        <v>5645</v>
      </c>
      <c r="D556">
        <v>44449</v>
      </c>
      <c r="E556">
        <v>7</v>
      </c>
      <c r="F556">
        <v>7</v>
      </c>
      <c r="G556">
        <v>7</v>
      </c>
    </row>
    <row r="557" spans="1:7">
      <c r="A557">
        <v>3041</v>
      </c>
      <c r="B557" t="s">
        <v>6020</v>
      </c>
      <c r="C557" t="s">
        <v>5666</v>
      </c>
      <c r="D557">
        <v>44449</v>
      </c>
      <c r="E557">
        <v>7</v>
      </c>
      <c r="F557">
        <v>7</v>
      </c>
      <c r="G557">
        <v>7</v>
      </c>
    </row>
    <row r="558" spans="1:7">
      <c r="A558">
        <v>2338</v>
      </c>
      <c r="B558" t="s">
        <v>5665</v>
      </c>
      <c r="C558" t="s">
        <v>5666</v>
      </c>
      <c r="D558">
        <v>44449</v>
      </c>
      <c r="E558">
        <v>5</v>
      </c>
      <c r="F558">
        <v>5</v>
      </c>
      <c r="G558">
        <v>5</v>
      </c>
    </row>
    <row r="559" spans="1:7">
      <c r="A559">
        <v>1809</v>
      </c>
      <c r="B559" t="s">
        <v>5970</v>
      </c>
      <c r="C559" t="s">
        <v>5971</v>
      </c>
      <c r="D559">
        <v>44449</v>
      </c>
      <c r="E559">
        <v>2</v>
      </c>
      <c r="F559">
        <v>2</v>
      </c>
      <c r="G559">
        <v>2</v>
      </c>
    </row>
    <row r="560" spans="1:7">
      <c r="A560">
        <v>6219</v>
      </c>
      <c r="B560" t="s">
        <v>5832</v>
      </c>
      <c r="C560" t="s">
        <v>5833</v>
      </c>
      <c r="D560">
        <v>44449</v>
      </c>
      <c r="E560">
        <v>8</v>
      </c>
      <c r="F560">
        <v>8</v>
      </c>
      <c r="G560">
        <v>8</v>
      </c>
    </row>
    <row r="561" spans="1:7">
      <c r="A561">
        <v>2492</v>
      </c>
      <c r="B561" t="s">
        <v>6021</v>
      </c>
      <c r="C561" t="s">
        <v>5675</v>
      </c>
      <c r="D561">
        <v>44449</v>
      </c>
      <c r="E561">
        <v>5</v>
      </c>
      <c r="F561">
        <v>5</v>
      </c>
      <c r="G561">
        <v>5</v>
      </c>
    </row>
    <row r="562" spans="1:7">
      <c r="A562">
        <v>2823</v>
      </c>
      <c r="B562" t="s">
        <v>5811</v>
      </c>
      <c r="C562" t="s">
        <v>5645</v>
      </c>
      <c r="D562">
        <v>44449</v>
      </c>
      <c r="E562">
        <v>17</v>
      </c>
      <c r="F562">
        <v>17</v>
      </c>
      <c r="G562">
        <v>17</v>
      </c>
    </row>
    <row r="563" spans="1:7">
      <c r="A563">
        <v>3374</v>
      </c>
      <c r="B563" t="s">
        <v>5741</v>
      </c>
      <c r="C563" t="s">
        <v>5690</v>
      </c>
      <c r="D563">
        <v>44449</v>
      </c>
      <c r="E563">
        <v>6</v>
      </c>
      <c r="F563">
        <v>6</v>
      </c>
      <c r="G563">
        <v>6</v>
      </c>
    </row>
    <row r="564" spans="1:7">
      <c r="A564">
        <v>2489</v>
      </c>
      <c r="B564" t="s">
        <v>5738</v>
      </c>
      <c r="C564" t="s">
        <v>5661</v>
      </c>
      <c r="D564">
        <v>44449</v>
      </c>
      <c r="E564">
        <v>9</v>
      </c>
      <c r="F564">
        <v>9</v>
      </c>
      <c r="G564">
        <v>9</v>
      </c>
    </row>
    <row r="565" spans="1:7">
      <c r="A565">
        <v>8150</v>
      </c>
      <c r="B565" t="s">
        <v>5667</v>
      </c>
      <c r="C565" t="s">
        <v>5666</v>
      </c>
      <c r="D565">
        <v>44449</v>
      </c>
      <c r="E565">
        <v>4</v>
      </c>
      <c r="F565">
        <v>4</v>
      </c>
      <c r="G565">
        <v>4</v>
      </c>
    </row>
    <row r="566" spans="1:7">
      <c r="A566">
        <v>2458</v>
      </c>
      <c r="B566" t="s">
        <v>5668</v>
      </c>
      <c r="C566" t="s">
        <v>5666</v>
      </c>
      <c r="D566">
        <v>44449</v>
      </c>
      <c r="E566">
        <v>9</v>
      </c>
      <c r="F566">
        <v>9</v>
      </c>
      <c r="G566">
        <v>9</v>
      </c>
    </row>
    <row r="567" spans="1:7">
      <c r="A567">
        <v>4967</v>
      </c>
      <c r="B567" t="s">
        <v>5719</v>
      </c>
      <c r="C567" t="s">
        <v>5666</v>
      </c>
      <c r="D567">
        <v>44449</v>
      </c>
      <c r="E567">
        <v>4</v>
      </c>
      <c r="F567">
        <v>4</v>
      </c>
      <c r="G567">
        <v>4</v>
      </c>
    </row>
    <row r="568" spans="1:7">
      <c r="A568">
        <v>6233</v>
      </c>
      <c r="B568" t="s">
        <v>5873</v>
      </c>
      <c r="C568" t="s">
        <v>5690</v>
      </c>
      <c r="D568">
        <v>44449</v>
      </c>
      <c r="E568">
        <v>3</v>
      </c>
      <c r="F568">
        <v>3</v>
      </c>
      <c r="G568">
        <v>3</v>
      </c>
    </row>
    <row r="569" spans="1:7">
      <c r="A569">
        <v>5483</v>
      </c>
      <c r="B569" t="s">
        <v>5757</v>
      </c>
      <c r="C569" t="s">
        <v>5690</v>
      </c>
      <c r="D569">
        <v>44449</v>
      </c>
      <c r="E569">
        <v>5</v>
      </c>
      <c r="F569">
        <v>5</v>
      </c>
      <c r="G569">
        <v>5</v>
      </c>
    </row>
    <row r="570" spans="1:7">
      <c r="A570">
        <v>6525</v>
      </c>
      <c r="B570" t="s">
        <v>6022</v>
      </c>
      <c r="C570" t="s">
        <v>5666</v>
      </c>
      <c r="D570">
        <v>44449</v>
      </c>
      <c r="E570">
        <v>3</v>
      </c>
      <c r="F570">
        <v>3</v>
      </c>
      <c r="G570">
        <v>3</v>
      </c>
    </row>
    <row r="571" spans="1:7">
      <c r="A571">
        <v>6488</v>
      </c>
      <c r="B571" t="s">
        <v>5689</v>
      </c>
      <c r="C571" t="s">
        <v>5690</v>
      </c>
      <c r="D571">
        <v>44449</v>
      </c>
      <c r="E571">
        <v>7</v>
      </c>
      <c r="F571">
        <v>7</v>
      </c>
      <c r="G571">
        <v>7</v>
      </c>
    </row>
    <row r="572" spans="1:7">
      <c r="A572">
        <v>2103</v>
      </c>
      <c r="B572" t="s">
        <v>5788</v>
      </c>
      <c r="C572" t="s">
        <v>5657</v>
      </c>
      <c r="D572">
        <v>44449</v>
      </c>
      <c r="E572">
        <v>5</v>
      </c>
      <c r="F572">
        <v>5</v>
      </c>
      <c r="G572">
        <v>5</v>
      </c>
    </row>
    <row r="573" spans="1:7">
      <c r="A573">
        <v>2449</v>
      </c>
      <c r="B573" t="s">
        <v>5937</v>
      </c>
      <c r="C573" t="s">
        <v>5666</v>
      </c>
      <c r="D573">
        <v>44449</v>
      </c>
      <c r="E573">
        <v>5</v>
      </c>
      <c r="F573">
        <v>5</v>
      </c>
      <c r="G573">
        <v>5</v>
      </c>
    </row>
    <row r="574" spans="1:7">
      <c r="A574">
        <v>1326</v>
      </c>
      <c r="B574" t="s">
        <v>5814</v>
      </c>
      <c r="C574" t="s">
        <v>5771</v>
      </c>
      <c r="D574">
        <v>44449</v>
      </c>
      <c r="E574">
        <v>14</v>
      </c>
      <c r="F574">
        <v>14</v>
      </c>
      <c r="G574">
        <v>14</v>
      </c>
    </row>
    <row r="575" spans="1:7">
      <c r="A575">
        <v>3702</v>
      </c>
      <c r="B575" t="s">
        <v>5686</v>
      </c>
      <c r="C575" t="s">
        <v>5687</v>
      </c>
      <c r="D575">
        <v>44449</v>
      </c>
      <c r="E575">
        <v>16</v>
      </c>
      <c r="F575">
        <v>16</v>
      </c>
      <c r="G575">
        <v>16</v>
      </c>
    </row>
    <row r="576" spans="1:7">
      <c r="A576">
        <v>3706</v>
      </c>
      <c r="B576" t="s">
        <v>5889</v>
      </c>
      <c r="C576" t="s">
        <v>5649</v>
      </c>
      <c r="D576">
        <v>44449</v>
      </c>
      <c r="E576">
        <v>12</v>
      </c>
      <c r="F576">
        <v>12</v>
      </c>
      <c r="G576">
        <v>12</v>
      </c>
    </row>
    <row r="577" spans="1:7">
      <c r="A577">
        <v>1409</v>
      </c>
      <c r="B577" t="s">
        <v>5775</v>
      </c>
      <c r="C577" t="s">
        <v>5706</v>
      </c>
      <c r="D577">
        <v>44449</v>
      </c>
      <c r="E577">
        <v>6</v>
      </c>
      <c r="F577">
        <v>6</v>
      </c>
      <c r="G577">
        <v>6</v>
      </c>
    </row>
    <row r="578" spans="1:7">
      <c r="A578">
        <v>8085</v>
      </c>
      <c r="B578" t="s">
        <v>6023</v>
      </c>
      <c r="C578" t="s">
        <v>5800</v>
      </c>
      <c r="D578">
        <v>44449</v>
      </c>
      <c r="E578">
        <v>8</v>
      </c>
      <c r="F578">
        <v>8</v>
      </c>
      <c r="G578">
        <v>8</v>
      </c>
    </row>
    <row r="579" spans="1:7">
      <c r="A579">
        <v>2390</v>
      </c>
      <c r="B579" t="s">
        <v>5951</v>
      </c>
      <c r="C579" t="s">
        <v>5692</v>
      </c>
      <c r="D579">
        <v>44449</v>
      </c>
      <c r="E579">
        <v>4</v>
      </c>
      <c r="F579">
        <v>4</v>
      </c>
      <c r="G579">
        <v>4</v>
      </c>
    </row>
    <row r="580" spans="1:7">
      <c r="A580">
        <v>5457</v>
      </c>
      <c r="B580" t="s">
        <v>5818</v>
      </c>
      <c r="C580" t="s">
        <v>5791</v>
      </c>
      <c r="D580">
        <v>44449</v>
      </c>
      <c r="E580">
        <v>8</v>
      </c>
      <c r="F580">
        <v>8</v>
      </c>
      <c r="G580">
        <v>8</v>
      </c>
    </row>
    <row r="581" spans="1:7">
      <c r="A581">
        <v>1304</v>
      </c>
      <c r="B581" t="s">
        <v>6024</v>
      </c>
      <c r="C581" t="s">
        <v>5771</v>
      </c>
      <c r="D581">
        <v>44449</v>
      </c>
      <c r="E581">
        <v>8</v>
      </c>
      <c r="F581">
        <v>8</v>
      </c>
      <c r="G581">
        <v>8</v>
      </c>
    </row>
    <row r="582" spans="1:7">
      <c r="A582">
        <v>1504</v>
      </c>
      <c r="B582" t="s">
        <v>5669</v>
      </c>
      <c r="C582" t="s">
        <v>5670</v>
      </c>
      <c r="D582">
        <v>44449</v>
      </c>
      <c r="E582">
        <v>8</v>
      </c>
      <c r="F582">
        <v>8</v>
      </c>
      <c r="G582">
        <v>8</v>
      </c>
    </row>
    <row r="583" spans="1:7">
      <c r="A583">
        <v>1312</v>
      </c>
      <c r="B583" t="s">
        <v>5773</v>
      </c>
      <c r="C583" t="s">
        <v>5771</v>
      </c>
      <c r="D583">
        <v>44449</v>
      </c>
      <c r="E583">
        <v>8</v>
      </c>
      <c r="F583">
        <v>8</v>
      </c>
      <c r="G583">
        <v>8</v>
      </c>
    </row>
    <row r="584" spans="1:7">
      <c r="A584">
        <v>4904</v>
      </c>
      <c r="B584" t="s">
        <v>5654</v>
      </c>
      <c r="C584" t="s">
        <v>5653</v>
      </c>
      <c r="D584">
        <v>44449</v>
      </c>
      <c r="E584">
        <v>15</v>
      </c>
      <c r="F584">
        <v>15</v>
      </c>
      <c r="G584">
        <v>15</v>
      </c>
    </row>
    <row r="585" spans="1:7">
      <c r="A585">
        <v>6138</v>
      </c>
      <c r="B585" t="s">
        <v>5987</v>
      </c>
      <c r="C585" t="s">
        <v>5690</v>
      </c>
      <c r="D585">
        <v>44449</v>
      </c>
      <c r="E585">
        <v>5</v>
      </c>
      <c r="F585">
        <v>5</v>
      </c>
      <c r="G585">
        <v>5</v>
      </c>
    </row>
    <row r="586" spans="1:7">
      <c r="A586">
        <v>6129</v>
      </c>
      <c r="B586" t="s">
        <v>5737</v>
      </c>
      <c r="C586" t="s">
        <v>5690</v>
      </c>
      <c r="D586">
        <v>44449</v>
      </c>
      <c r="E586">
        <v>3</v>
      </c>
      <c r="F586">
        <v>3</v>
      </c>
      <c r="G586">
        <v>3</v>
      </c>
    </row>
    <row r="587" spans="1:7">
      <c r="A587">
        <v>2351</v>
      </c>
      <c r="B587" t="s">
        <v>5752</v>
      </c>
      <c r="C587" t="s">
        <v>5666</v>
      </c>
      <c r="D587">
        <v>44449</v>
      </c>
      <c r="E587">
        <v>5</v>
      </c>
      <c r="F587">
        <v>5</v>
      </c>
      <c r="G587">
        <v>5</v>
      </c>
    </row>
    <row r="588" spans="1:7">
      <c r="A588">
        <v>6269</v>
      </c>
      <c r="B588" t="s">
        <v>5717</v>
      </c>
      <c r="C588" t="s">
        <v>5675</v>
      </c>
      <c r="D588">
        <v>44449</v>
      </c>
      <c r="E588">
        <v>9</v>
      </c>
      <c r="F588">
        <v>9</v>
      </c>
      <c r="G588">
        <v>9</v>
      </c>
    </row>
    <row r="589" spans="1:7">
      <c r="A589">
        <v>2880</v>
      </c>
      <c r="B589" t="s">
        <v>5878</v>
      </c>
      <c r="C589" t="s">
        <v>5645</v>
      </c>
      <c r="D589">
        <v>44449</v>
      </c>
      <c r="E589">
        <v>10</v>
      </c>
      <c r="F589">
        <v>10</v>
      </c>
      <c r="G589">
        <v>10</v>
      </c>
    </row>
    <row r="590" spans="1:7">
      <c r="A590">
        <v>2010</v>
      </c>
      <c r="B590" t="s">
        <v>5658</v>
      </c>
      <c r="C590" t="s">
        <v>5659</v>
      </c>
      <c r="D590">
        <v>44449</v>
      </c>
      <c r="E590">
        <v>8</v>
      </c>
      <c r="F590">
        <v>8</v>
      </c>
      <c r="G590">
        <v>8</v>
      </c>
    </row>
    <row r="591" spans="1:7">
      <c r="A591">
        <v>3588</v>
      </c>
      <c r="B591" t="s">
        <v>5950</v>
      </c>
      <c r="C591" t="s">
        <v>5666</v>
      </c>
      <c r="D591">
        <v>44449</v>
      </c>
      <c r="E591">
        <v>3</v>
      </c>
      <c r="F591">
        <v>3</v>
      </c>
      <c r="G591">
        <v>3</v>
      </c>
    </row>
    <row r="592" spans="1:7">
      <c r="A592">
        <v>6282</v>
      </c>
      <c r="B592" t="s">
        <v>5731</v>
      </c>
      <c r="C592" t="s">
        <v>5675</v>
      </c>
      <c r="D592">
        <v>44449</v>
      </c>
      <c r="E592">
        <v>6</v>
      </c>
      <c r="F592">
        <v>6</v>
      </c>
      <c r="G592">
        <v>6</v>
      </c>
    </row>
    <row r="593" spans="1:7">
      <c r="A593">
        <v>2002</v>
      </c>
      <c r="B593" t="s">
        <v>6025</v>
      </c>
      <c r="C593" t="s">
        <v>5659</v>
      </c>
      <c r="D593">
        <v>44449</v>
      </c>
      <c r="E593">
        <v>8</v>
      </c>
      <c r="F593">
        <v>8</v>
      </c>
      <c r="G593">
        <v>8</v>
      </c>
    </row>
    <row r="594" spans="1:7">
      <c r="A594">
        <v>6174</v>
      </c>
      <c r="B594" t="s">
        <v>6026</v>
      </c>
      <c r="C594" t="s">
        <v>5791</v>
      </c>
      <c r="D594">
        <v>44449</v>
      </c>
      <c r="E594">
        <v>4</v>
      </c>
      <c r="F594">
        <v>4</v>
      </c>
      <c r="G594">
        <v>4</v>
      </c>
    </row>
    <row r="595" spans="1:7">
      <c r="A595">
        <v>6120</v>
      </c>
      <c r="B595" t="s">
        <v>6027</v>
      </c>
      <c r="C595" t="s">
        <v>5661</v>
      </c>
      <c r="D595">
        <v>44449</v>
      </c>
      <c r="E595">
        <v>4</v>
      </c>
      <c r="F595">
        <v>4</v>
      </c>
      <c r="G595">
        <v>4</v>
      </c>
    </row>
    <row r="596" spans="1:7">
      <c r="A596">
        <v>6202</v>
      </c>
      <c r="B596" t="s">
        <v>5673</v>
      </c>
      <c r="C596" t="s">
        <v>5666</v>
      </c>
      <c r="D596">
        <v>44449</v>
      </c>
      <c r="E596">
        <v>6</v>
      </c>
      <c r="F596">
        <v>6</v>
      </c>
      <c r="G596">
        <v>6</v>
      </c>
    </row>
    <row r="597" spans="1:7">
      <c r="A597">
        <v>3034</v>
      </c>
      <c r="B597" t="s">
        <v>5838</v>
      </c>
      <c r="C597" t="s">
        <v>5666</v>
      </c>
      <c r="D597">
        <v>44449</v>
      </c>
      <c r="E597">
        <v>5</v>
      </c>
      <c r="F597">
        <v>5</v>
      </c>
      <c r="G597">
        <v>5</v>
      </c>
    </row>
    <row r="598" spans="1:7">
      <c r="A598">
        <v>2601</v>
      </c>
      <c r="B598" t="s">
        <v>5646</v>
      </c>
      <c r="C598" t="s">
        <v>5647</v>
      </c>
      <c r="D598">
        <v>44449</v>
      </c>
      <c r="E598">
        <v>5</v>
      </c>
      <c r="F598">
        <v>5</v>
      </c>
      <c r="G598">
        <v>5</v>
      </c>
    </row>
    <row r="599" spans="1:7">
      <c r="A599">
        <v>1229</v>
      </c>
      <c r="B599" t="s">
        <v>5876</v>
      </c>
      <c r="C599" t="s">
        <v>5872</v>
      </c>
      <c r="D599">
        <v>44449</v>
      </c>
      <c r="E599">
        <v>5</v>
      </c>
      <c r="F599">
        <v>5</v>
      </c>
      <c r="G599">
        <v>5</v>
      </c>
    </row>
    <row r="600" spans="1:7">
      <c r="A600">
        <v>5521</v>
      </c>
      <c r="B600" t="s">
        <v>6028</v>
      </c>
      <c r="C600" t="s">
        <v>5651</v>
      </c>
      <c r="D600">
        <v>44449</v>
      </c>
      <c r="E600">
        <v>4</v>
      </c>
      <c r="F600">
        <v>4</v>
      </c>
      <c r="G600">
        <v>4</v>
      </c>
    </row>
    <row r="601" spans="1:7">
      <c r="A601">
        <v>8112</v>
      </c>
      <c r="B601" t="s">
        <v>6029</v>
      </c>
      <c r="C601" t="s">
        <v>5687</v>
      </c>
      <c r="D601">
        <v>44449</v>
      </c>
      <c r="E601">
        <v>6</v>
      </c>
      <c r="F601">
        <v>6</v>
      </c>
      <c r="G601">
        <v>6</v>
      </c>
    </row>
    <row r="602" spans="1:7">
      <c r="A602">
        <v>2642</v>
      </c>
      <c r="B602" t="s">
        <v>5754</v>
      </c>
      <c r="C602" t="s">
        <v>5679</v>
      </c>
      <c r="D602">
        <v>44448</v>
      </c>
      <c r="E602">
        <v>7</v>
      </c>
      <c r="F602">
        <v>7</v>
      </c>
      <c r="G602">
        <v>7</v>
      </c>
    </row>
    <row r="603" spans="1:7">
      <c r="A603">
        <v>3702</v>
      </c>
      <c r="B603" t="s">
        <v>5686</v>
      </c>
      <c r="C603" t="s">
        <v>5687</v>
      </c>
      <c r="D603">
        <v>44448</v>
      </c>
      <c r="E603">
        <v>16</v>
      </c>
      <c r="F603">
        <v>16</v>
      </c>
      <c r="G603">
        <v>16</v>
      </c>
    </row>
    <row r="604" spans="1:7">
      <c r="A604">
        <v>1604</v>
      </c>
      <c r="B604" t="s">
        <v>5947</v>
      </c>
      <c r="C604" t="s">
        <v>5858</v>
      </c>
      <c r="D604">
        <v>44448</v>
      </c>
      <c r="E604">
        <v>4</v>
      </c>
      <c r="F604">
        <v>4</v>
      </c>
      <c r="G604">
        <v>4</v>
      </c>
    </row>
    <row r="605" spans="1:7">
      <c r="A605">
        <v>2349</v>
      </c>
      <c r="B605" t="s">
        <v>5760</v>
      </c>
      <c r="C605" t="s">
        <v>5661</v>
      </c>
      <c r="D605">
        <v>44448</v>
      </c>
      <c r="E605">
        <v>3</v>
      </c>
      <c r="F605">
        <v>3</v>
      </c>
      <c r="G605">
        <v>3</v>
      </c>
    </row>
    <row r="606" spans="1:7">
      <c r="A606">
        <v>4743</v>
      </c>
      <c r="B606" t="s">
        <v>6030</v>
      </c>
      <c r="C606" t="s">
        <v>5867</v>
      </c>
      <c r="D606">
        <v>44448</v>
      </c>
      <c r="E606">
        <v>4</v>
      </c>
      <c r="F606">
        <v>4</v>
      </c>
      <c r="G606">
        <v>4</v>
      </c>
    </row>
    <row r="607" spans="1:7">
      <c r="A607">
        <v>4967</v>
      </c>
      <c r="B607" t="s">
        <v>5719</v>
      </c>
      <c r="C607" t="s">
        <v>5666</v>
      </c>
      <c r="D607">
        <v>44448</v>
      </c>
      <c r="E607">
        <v>4</v>
      </c>
      <c r="F607">
        <v>4</v>
      </c>
      <c r="G607">
        <v>4</v>
      </c>
    </row>
    <row r="608" spans="1:7">
      <c r="A608">
        <v>8110</v>
      </c>
      <c r="B608" t="s">
        <v>5685</v>
      </c>
      <c r="C608" t="s">
        <v>5666</v>
      </c>
      <c r="D608">
        <v>44448</v>
      </c>
      <c r="E608">
        <v>8</v>
      </c>
      <c r="F608">
        <v>8</v>
      </c>
      <c r="G608">
        <v>8</v>
      </c>
    </row>
    <row r="609" spans="1:7">
      <c r="A609">
        <v>2393</v>
      </c>
      <c r="B609" t="s">
        <v>5966</v>
      </c>
      <c r="C609" t="s">
        <v>5661</v>
      </c>
      <c r="D609">
        <v>44448</v>
      </c>
      <c r="E609">
        <v>6</v>
      </c>
      <c r="F609">
        <v>6</v>
      </c>
      <c r="G609">
        <v>6</v>
      </c>
    </row>
    <row r="610" spans="1:7">
      <c r="A610">
        <v>2010</v>
      </c>
      <c r="B610" t="s">
        <v>5658</v>
      </c>
      <c r="C610" t="s">
        <v>5659</v>
      </c>
      <c r="D610">
        <v>44448</v>
      </c>
      <c r="E610">
        <v>8</v>
      </c>
      <c r="F610">
        <v>8</v>
      </c>
      <c r="G610">
        <v>8</v>
      </c>
    </row>
    <row r="611" spans="1:7">
      <c r="A611">
        <v>2327</v>
      </c>
      <c r="B611" t="s">
        <v>5674</v>
      </c>
      <c r="C611" t="s">
        <v>5675</v>
      </c>
      <c r="D611">
        <v>44448</v>
      </c>
      <c r="E611">
        <v>6</v>
      </c>
      <c r="F611">
        <v>6</v>
      </c>
      <c r="G611">
        <v>6</v>
      </c>
    </row>
    <row r="612" spans="1:7">
      <c r="A612">
        <v>2371</v>
      </c>
      <c r="B612" t="s">
        <v>5900</v>
      </c>
      <c r="C612" t="s">
        <v>5670</v>
      </c>
      <c r="D612">
        <v>44448</v>
      </c>
      <c r="E612">
        <v>6</v>
      </c>
      <c r="F612">
        <v>6</v>
      </c>
      <c r="G612">
        <v>6</v>
      </c>
    </row>
    <row r="613" spans="1:7">
      <c r="A613">
        <v>3042</v>
      </c>
      <c r="B613" t="s">
        <v>6031</v>
      </c>
      <c r="C613" t="s">
        <v>5675</v>
      </c>
      <c r="D613">
        <v>44448</v>
      </c>
      <c r="E613">
        <v>3</v>
      </c>
      <c r="F613">
        <v>3</v>
      </c>
      <c r="G613">
        <v>3</v>
      </c>
    </row>
    <row r="614" spans="1:7">
      <c r="A614">
        <v>2108</v>
      </c>
      <c r="B614" t="s">
        <v>5656</v>
      </c>
      <c r="C614" t="s">
        <v>5657</v>
      </c>
      <c r="D614">
        <v>44448</v>
      </c>
      <c r="E614">
        <v>9</v>
      </c>
      <c r="F614">
        <v>9</v>
      </c>
      <c r="G614">
        <v>9</v>
      </c>
    </row>
    <row r="615" spans="1:7">
      <c r="A615">
        <v>2449</v>
      </c>
      <c r="B615" t="s">
        <v>5937</v>
      </c>
      <c r="C615" t="s">
        <v>5666</v>
      </c>
      <c r="D615">
        <v>44448</v>
      </c>
      <c r="E615">
        <v>5</v>
      </c>
      <c r="F615">
        <v>5</v>
      </c>
      <c r="G615">
        <v>5</v>
      </c>
    </row>
    <row r="616" spans="1:7">
      <c r="A616">
        <v>6290</v>
      </c>
      <c r="B616" t="s">
        <v>6032</v>
      </c>
      <c r="C616" t="s">
        <v>5791</v>
      </c>
      <c r="D616">
        <v>44448</v>
      </c>
      <c r="E616">
        <v>5</v>
      </c>
      <c r="F616">
        <v>5</v>
      </c>
      <c r="G616">
        <v>5</v>
      </c>
    </row>
    <row r="617" spans="1:7">
      <c r="A617">
        <v>1785</v>
      </c>
      <c r="B617" t="s">
        <v>5799</v>
      </c>
      <c r="C617" t="s">
        <v>5800</v>
      </c>
      <c r="D617">
        <v>44448</v>
      </c>
      <c r="E617">
        <v>7</v>
      </c>
      <c r="F617">
        <v>7</v>
      </c>
      <c r="G617">
        <v>7</v>
      </c>
    </row>
    <row r="618" spans="1:7">
      <c r="A618">
        <v>3227</v>
      </c>
      <c r="B618" t="s">
        <v>6033</v>
      </c>
      <c r="C618" t="s">
        <v>5690</v>
      </c>
      <c r="D618">
        <v>44448</v>
      </c>
      <c r="E618">
        <v>3</v>
      </c>
      <c r="F618">
        <v>3</v>
      </c>
      <c r="G618">
        <v>3</v>
      </c>
    </row>
    <row r="619" spans="1:7">
      <c r="A619">
        <v>1313</v>
      </c>
      <c r="B619" t="s">
        <v>5991</v>
      </c>
      <c r="C619" t="s">
        <v>5771</v>
      </c>
      <c r="D619">
        <v>44448</v>
      </c>
      <c r="E619">
        <v>6</v>
      </c>
      <c r="F619">
        <v>6</v>
      </c>
      <c r="G619">
        <v>6</v>
      </c>
    </row>
    <row r="620" spans="1:7">
      <c r="A620">
        <v>6269</v>
      </c>
      <c r="B620" t="s">
        <v>5717</v>
      </c>
      <c r="C620" t="s">
        <v>5675</v>
      </c>
      <c r="D620">
        <v>44448</v>
      </c>
      <c r="E620">
        <v>9</v>
      </c>
      <c r="F620">
        <v>9</v>
      </c>
      <c r="G620">
        <v>9</v>
      </c>
    </row>
    <row r="621" spans="1:7">
      <c r="A621">
        <v>1517</v>
      </c>
      <c r="B621" t="s">
        <v>5803</v>
      </c>
      <c r="C621" t="s">
        <v>5670</v>
      </c>
      <c r="D621">
        <v>44448</v>
      </c>
      <c r="E621">
        <v>6</v>
      </c>
      <c r="F621">
        <v>6</v>
      </c>
      <c r="G621">
        <v>6</v>
      </c>
    </row>
    <row r="622" spans="1:7">
      <c r="A622">
        <v>2455</v>
      </c>
      <c r="B622" t="s">
        <v>5695</v>
      </c>
      <c r="C622" t="s">
        <v>5653</v>
      </c>
      <c r="D622">
        <v>44448</v>
      </c>
      <c r="E622">
        <v>8</v>
      </c>
      <c r="F622">
        <v>8</v>
      </c>
      <c r="G622">
        <v>8</v>
      </c>
    </row>
    <row r="623" spans="1:7">
      <c r="A623">
        <v>2353</v>
      </c>
      <c r="B623" t="s">
        <v>5965</v>
      </c>
      <c r="C623" t="s">
        <v>5649</v>
      </c>
      <c r="D623">
        <v>44448</v>
      </c>
      <c r="E623">
        <v>9</v>
      </c>
      <c r="F623">
        <v>9</v>
      </c>
      <c r="G623">
        <v>9</v>
      </c>
    </row>
    <row r="624" spans="1:7">
      <c r="A624">
        <v>5014</v>
      </c>
      <c r="B624" t="s">
        <v>6034</v>
      </c>
      <c r="C624" t="s">
        <v>5869</v>
      </c>
      <c r="D624">
        <v>44448</v>
      </c>
      <c r="E624">
        <v>3</v>
      </c>
      <c r="F624">
        <v>3</v>
      </c>
      <c r="G624">
        <v>3</v>
      </c>
    </row>
    <row r="625" spans="1:7">
      <c r="A625">
        <v>6125</v>
      </c>
      <c r="B625" t="s">
        <v>6035</v>
      </c>
      <c r="C625" t="s">
        <v>5807</v>
      </c>
      <c r="D625">
        <v>44448</v>
      </c>
      <c r="E625">
        <v>1</v>
      </c>
      <c r="F625">
        <v>1</v>
      </c>
      <c r="G625">
        <v>1</v>
      </c>
    </row>
    <row r="626" spans="1:7">
      <c r="A626">
        <v>2332</v>
      </c>
      <c r="B626" t="s">
        <v>5681</v>
      </c>
      <c r="C626" t="s">
        <v>5653</v>
      </c>
      <c r="D626">
        <v>44448</v>
      </c>
      <c r="E626">
        <v>4</v>
      </c>
      <c r="F626">
        <v>4</v>
      </c>
      <c r="G626">
        <v>4</v>
      </c>
    </row>
    <row r="627" spans="1:7">
      <c r="A627">
        <v>2023</v>
      </c>
      <c r="B627" t="s">
        <v>5887</v>
      </c>
      <c r="C627" t="s">
        <v>5659</v>
      </c>
      <c r="D627">
        <v>44448</v>
      </c>
      <c r="E627">
        <v>6</v>
      </c>
      <c r="F627">
        <v>6</v>
      </c>
      <c r="G627">
        <v>6</v>
      </c>
    </row>
    <row r="628" spans="1:7">
      <c r="A628">
        <v>2458</v>
      </c>
      <c r="B628" t="s">
        <v>5668</v>
      </c>
      <c r="C628" t="s">
        <v>5666</v>
      </c>
      <c r="D628">
        <v>44448</v>
      </c>
      <c r="E628">
        <v>9</v>
      </c>
      <c r="F628">
        <v>9</v>
      </c>
      <c r="G628">
        <v>9</v>
      </c>
    </row>
    <row r="629" spans="1:7">
      <c r="A629">
        <v>5425</v>
      </c>
      <c r="B629" t="s">
        <v>5704</v>
      </c>
      <c r="C629" t="s">
        <v>5690</v>
      </c>
      <c r="D629">
        <v>44448</v>
      </c>
      <c r="E629">
        <v>8</v>
      </c>
      <c r="F629">
        <v>8</v>
      </c>
      <c r="G629">
        <v>8</v>
      </c>
    </row>
    <row r="630" spans="1:7">
      <c r="A630">
        <v>5210</v>
      </c>
      <c r="B630" t="s">
        <v>6036</v>
      </c>
      <c r="C630" t="s">
        <v>5777</v>
      </c>
      <c r="D630">
        <v>44448</v>
      </c>
      <c r="E630">
        <v>3</v>
      </c>
      <c r="F630">
        <v>3</v>
      </c>
      <c r="G630">
        <v>3</v>
      </c>
    </row>
    <row r="631" spans="1:7">
      <c r="A631">
        <v>1605</v>
      </c>
      <c r="B631" t="s">
        <v>5857</v>
      </c>
      <c r="C631" t="s">
        <v>5858</v>
      </c>
      <c r="D631">
        <v>44448</v>
      </c>
      <c r="E631">
        <v>9</v>
      </c>
      <c r="F631">
        <v>9</v>
      </c>
      <c r="G631">
        <v>9</v>
      </c>
    </row>
    <row r="632" spans="1:7">
      <c r="A632">
        <v>1711</v>
      </c>
      <c r="B632" t="s">
        <v>5996</v>
      </c>
      <c r="C632" t="s">
        <v>5733</v>
      </c>
      <c r="D632">
        <v>44448</v>
      </c>
      <c r="E632">
        <v>3</v>
      </c>
      <c r="F632">
        <v>3</v>
      </c>
      <c r="G632">
        <v>3</v>
      </c>
    </row>
    <row r="633" spans="1:7">
      <c r="A633">
        <v>2344</v>
      </c>
      <c r="B633" t="s">
        <v>6011</v>
      </c>
      <c r="C633" t="s">
        <v>5666</v>
      </c>
      <c r="D633">
        <v>44448</v>
      </c>
      <c r="E633">
        <v>7</v>
      </c>
      <c r="F633">
        <v>7</v>
      </c>
      <c r="G633">
        <v>7</v>
      </c>
    </row>
    <row r="634" spans="1:7">
      <c r="A634">
        <v>3041</v>
      </c>
      <c r="B634" t="s">
        <v>6020</v>
      </c>
      <c r="C634" t="s">
        <v>5666</v>
      </c>
      <c r="D634">
        <v>44448</v>
      </c>
      <c r="E634">
        <v>7</v>
      </c>
      <c r="F634">
        <v>7</v>
      </c>
      <c r="G634">
        <v>7</v>
      </c>
    </row>
    <row r="635" spans="1:7">
      <c r="A635">
        <v>2331</v>
      </c>
      <c r="B635" t="s">
        <v>5972</v>
      </c>
      <c r="C635" t="s">
        <v>5649</v>
      </c>
      <c r="D635">
        <v>44448</v>
      </c>
      <c r="E635">
        <v>9</v>
      </c>
      <c r="F635">
        <v>9</v>
      </c>
      <c r="G635">
        <v>9</v>
      </c>
    </row>
    <row r="636" spans="1:7">
      <c r="A636">
        <v>2492</v>
      </c>
      <c r="B636" t="s">
        <v>6021</v>
      </c>
      <c r="C636" t="s">
        <v>5675</v>
      </c>
      <c r="D636">
        <v>44448</v>
      </c>
      <c r="E636">
        <v>5</v>
      </c>
      <c r="F636">
        <v>5</v>
      </c>
      <c r="G636">
        <v>5</v>
      </c>
    </row>
    <row r="637" spans="1:7">
      <c r="A637">
        <v>8415</v>
      </c>
      <c r="B637" t="s">
        <v>5988</v>
      </c>
      <c r="C637" t="s">
        <v>5869</v>
      </c>
      <c r="D637">
        <v>44448</v>
      </c>
      <c r="E637">
        <v>5</v>
      </c>
      <c r="F637">
        <v>5</v>
      </c>
      <c r="G637">
        <v>5</v>
      </c>
    </row>
    <row r="638" spans="1:7">
      <c r="A638">
        <v>1783</v>
      </c>
      <c r="B638" t="s">
        <v>6037</v>
      </c>
      <c r="C638" t="s">
        <v>5729</v>
      </c>
      <c r="D638">
        <v>44448</v>
      </c>
      <c r="E638">
        <v>3</v>
      </c>
      <c r="F638">
        <v>3</v>
      </c>
      <c r="G638">
        <v>3</v>
      </c>
    </row>
    <row r="639" spans="1:7">
      <c r="A639">
        <v>2014</v>
      </c>
      <c r="B639" t="s">
        <v>5896</v>
      </c>
      <c r="C639" t="s">
        <v>5659</v>
      </c>
      <c r="D639">
        <v>44448</v>
      </c>
      <c r="E639">
        <v>6</v>
      </c>
      <c r="F639">
        <v>6</v>
      </c>
      <c r="G639">
        <v>6</v>
      </c>
    </row>
    <row r="640" spans="1:7">
      <c r="A640">
        <v>6509</v>
      </c>
      <c r="B640" t="s">
        <v>5948</v>
      </c>
      <c r="C640" t="s">
        <v>5910</v>
      </c>
      <c r="D640">
        <v>44448</v>
      </c>
      <c r="E640">
        <v>2</v>
      </c>
      <c r="F640">
        <v>2</v>
      </c>
      <c r="G640">
        <v>2</v>
      </c>
    </row>
    <row r="641" spans="1:7">
      <c r="A641">
        <v>1815</v>
      </c>
      <c r="B641" t="s">
        <v>5928</v>
      </c>
      <c r="C641" t="s">
        <v>5791</v>
      </c>
      <c r="D641">
        <v>44448</v>
      </c>
      <c r="E641">
        <v>7</v>
      </c>
      <c r="F641">
        <v>7</v>
      </c>
      <c r="G641">
        <v>7</v>
      </c>
    </row>
    <row r="642" spans="1:7">
      <c r="A642">
        <v>6274</v>
      </c>
      <c r="B642" t="s">
        <v>5999</v>
      </c>
      <c r="C642" t="s">
        <v>5791</v>
      </c>
      <c r="D642">
        <v>44448</v>
      </c>
      <c r="E642">
        <v>7</v>
      </c>
      <c r="F642">
        <v>7</v>
      </c>
      <c r="G642">
        <v>7</v>
      </c>
    </row>
    <row r="643" spans="1:7">
      <c r="A643">
        <v>3706</v>
      </c>
      <c r="B643" t="s">
        <v>5889</v>
      </c>
      <c r="C643" t="s">
        <v>5649</v>
      </c>
      <c r="D643">
        <v>44448</v>
      </c>
      <c r="E643">
        <v>12</v>
      </c>
      <c r="F643">
        <v>12</v>
      </c>
      <c r="G643">
        <v>12</v>
      </c>
    </row>
    <row r="644" spans="1:7">
      <c r="A644">
        <v>6265</v>
      </c>
      <c r="B644" t="s">
        <v>5935</v>
      </c>
      <c r="C644" t="s">
        <v>5694</v>
      </c>
      <c r="D644">
        <v>44448</v>
      </c>
      <c r="E644">
        <v>4</v>
      </c>
      <c r="F644">
        <v>4</v>
      </c>
      <c r="G644">
        <v>4</v>
      </c>
    </row>
    <row r="645" spans="1:7">
      <c r="A645">
        <v>3221</v>
      </c>
      <c r="B645" t="s">
        <v>5911</v>
      </c>
      <c r="C645" t="s">
        <v>5684</v>
      </c>
      <c r="D645">
        <v>44448</v>
      </c>
      <c r="E645">
        <v>5</v>
      </c>
      <c r="F645">
        <v>5</v>
      </c>
      <c r="G645">
        <v>5</v>
      </c>
    </row>
    <row r="646" spans="1:7">
      <c r="A646">
        <v>2009</v>
      </c>
      <c r="B646" t="s">
        <v>5986</v>
      </c>
      <c r="C646" t="s">
        <v>5659</v>
      </c>
      <c r="D646">
        <v>44448</v>
      </c>
      <c r="E646">
        <v>9</v>
      </c>
      <c r="F646">
        <v>9</v>
      </c>
      <c r="G646">
        <v>9</v>
      </c>
    </row>
    <row r="647" spans="1:7">
      <c r="A647">
        <v>3059</v>
      </c>
      <c r="B647" t="s">
        <v>6038</v>
      </c>
      <c r="C647" t="s">
        <v>5661</v>
      </c>
      <c r="D647">
        <v>44448</v>
      </c>
      <c r="E647">
        <v>3</v>
      </c>
      <c r="F647">
        <v>3</v>
      </c>
      <c r="G647">
        <v>3</v>
      </c>
    </row>
    <row r="648" spans="1:7">
      <c r="A648">
        <v>6237</v>
      </c>
      <c r="B648" t="s">
        <v>5830</v>
      </c>
      <c r="C648" t="s">
        <v>5690</v>
      </c>
      <c r="D648">
        <v>44448</v>
      </c>
      <c r="E648">
        <v>2</v>
      </c>
      <c r="F648">
        <v>2</v>
      </c>
      <c r="G648">
        <v>2</v>
      </c>
    </row>
    <row r="649" spans="1:7">
      <c r="A649">
        <v>6706</v>
      </c>
      <c r="B649" t="s">
        <v>5839</v>
      </c>
      <c r="C649" t="s">
        <v>5661</v>
      </c>
      <c r="D649">
        <v>44448</v>
      </c>
      <c r="E649">
        <v>5</v>
      </c>
      <c r="F649">
        <v>5</v>
      </c>
      <c r="G649">
        <v>5</v>
      </c>
    </row>
    <row r="650" spans="1:7">
      <c r="A650">
        <v>2002</v>
      </c>
      <c r="B650" t="s">
        <v>6025</v>
      </c>
      <c r="C650" t="s">
        <v>5659</v>
      </c>
      <c r="D650">
        <v>44448</v>
      </c>
      <c r="E650">
        <v>8</v>
      </c>
      <c r="F650">
        <v>8</v>
      </c>
      <c r="G650">
        <v>8</v>
      </c>
    </row>
    <row r="651" spans="1:7">
      <c r="A651">
        <v>5434</v>
      </c>
      <c r="B651" t="s">
        <v>6039</v>
      </c>
      <c r="C651" t="s">
        <v>5687</v>
      </c>
      <c r="D651">
        <v>44448</v>
      </c>
      <c r="E651">
        <v>1</v>
      </c>
      <c r="F651">
        <v>1</v>
      </c>
      <c r="G651">
        <v>1</v>
      </c>
    </row>
    <row r="652" spans="1:7">
      <c r="A652">
        <v>8021</v>
      </c>
      <c r="B652" t="s">
        <v>5813</v>
      </c>
      <c r="C652" t="s">
        <v>5692</v>
      </c>
      <c r="D652">
        <v>44448</v>
      </c>
      <c r="E652">
        <v>3</v>
      </c>
      <c r="F652">
        <v>3</v>
      </c>
      <c r="G652">
        <v>3</v>
      </c>
    </row>
    <row r="653" spans="1:7">
      <c r="A653">
        <v>6016</v>
      </c>
      <c r="B653" t="s">
        <v>6017</v>
      </c>
      <c r="C653" t="s">
        <v>5798</v>
      </c>
      <c r="D653">
        <v>44448</v>
      </c>
      <c r="E653">
        <v>4</v>
      </c>
      <c r="F653">
        <v>4</v>
      </c>
      <c r="G653">
        <v>4</v>
      </c>
    </row>
    <row r="654" spans="1:7">
      <c r="A654">
        <v>2408</v>
      </c>
      <c r="B654" t="s">
        <v>6009</v>
      </c>
      <c r="C654" t="s">
        <v>5666</v>
      </c>
      <c r="D654">
        <v>44448</v>
      </c>
      <c r="E654">
        <v>8</v>
      </c>
      <c r="F654">
        <v>8</v>
      </c>
      <c r="G654">
        <v>8</v>
      </c>
    </row>
    <row r="655" spans="1:7">
      <c r="A655">
        <v>8213</v>
      </c>
      <c r="B655" t="s">
        <v>5938</v>
      </c>
      <c r="C655" t="s">
        <v>5675</v>
      </c>
      <c r="D655">
        <v>44448</v>
      </c>
      <c r="E655">
        <v>2</v>
      </c>
      <c r="F655">
        <v>2</v>
      </c>
      <c r="G655">
        <v>2</v>
      </c>
    </row>
    <row r="656" spans="1:7">
      <c r="A656">
        <v>3317</v>
      </c>
      <c r="B656" t="s">
        <v>6040</v>
      </c>
      <c r="C656" t="s">
        <v>5690</v>
      </c>
      <c r="D656">
        <v>44448</v>
      </c>
      <c r="E656">
        <v>1</v>
      </c>
      <c r="F656">
        <v>1</v>
      </c>
      <c r="G656">
        <v>1</v>
      </c>
    </row>
    <row r="657" spans="1:7">
      <c r="A657">
        <v>2511</v>
      </c>
      <c r="B657" t="s">
        <v>6041</v>
      </c>
      <c r="C657" t="s">
        <v>5651</v>
      </c>
      <c r="D657">
        <v>44448</v>
      </c>
      <c r="E657">
        <v>3</v>
      </c>
      <c r="F657">
        <v>3</v>
      </c>
      <c r="G657">
        <v>3</v>
      </c>
    </row>
    <row r="658" spans="1:7">
      <c r="A658">
        <v>2013</v>
      </c>
      <c r="B658" t="s">
        <v>6000</v>
      </c>
      <c r="C658" t="s">
        <v>5659</v>
      </c>
      <c r="D658">
        <v>44448</v>
      </c>
      <c r="E658">
        <v>8</v>
      </c>
      <c r="F658">
        <v>8</v>
      </c>
      <c r="G658">
        <v>8</v>
      </c>
    </row>
    <row r="659" spans="1:7">
      <c r="A659">
        <v>6603</v>
      </c>
      <c r="B659" t="s">
        <v>6042</v>
      </c>
      <c r="C659" t="s">
        <v>5921</v>
      </c>
      <c r="D659">
        <v>44448</v>
      </c>
      <c r="E659">
        <v>1</v>
      </c>
      <c r="F659">
        <v>1</v>
      </c>
      <c r="G659">
        <v>1</v>
      </c>
    </row>
    <row r="660" spans="1:7">
      <c r="A660">
        <v>2030</v>
      </c>
      <c r="B660" t="s">
        <v>5893</v>
      </c>
      <c r="C660" t="s">
        <v>5659</v>
      </c>
      <c r="D660">
        <v>44448</v>
      </c>
      <c r="E660">
        <v>5</v>
      </c>
      <c r="F660">
        <v>5</v>
      </c>
      <c r="G660">
        <v>5</v>
      </c>
    </row>
    <row r="661" spans="1:7">
      <c r="A661">
        <v>2406</v>
      </c>
      <c r="B661" t="s">
        <v>5762</v>
      </c>
      <c r="C661" t="s">
        <v>5661</v>
      </c>
      <c r="D661">
        <v>44448</v>
      </c>
      <c r="E661">
        <v>6</v>
      </c>
      <c r="F661">
        <v>6</v>
      </c>
      <c r="G661">
        <v>6</v>
      </c>
    </row>
    <row r="662" spans="1:7">
      <c r="A662">
        <v>9958</v>
      </c>
      <c r="B662" t="s">
        <v>5783</v>
      </c>
      <c r="C662" t="s">
        <v>5659</v>
      </c>
      <c r="D662">
        <v>44448</v>
      </c>
      <c r="E662">
        <v>9</v>
      </c>
      <c r="F662">
        <v>9</v>
      </c>
      <c r="G662">
        <v>9</v>
      </c>
    </row>
    <row r="663" spans="1:7">
      <c r="A663">
        <v>6456</v>
      </c>
      <c r="B663" t="s">
        <v>6043</v>
      </c>
      <c r="C663" t="s">
        <v>5661</v>
      </c>
      <c r="D663">
        <v>44448</v>
      </c>
      <c r="E663">
        <v>5</v>
      </c>
      <c r="F663">
        <v>5</v>
      </c>
      <c r="G663">
        <v>5</v>
      </c>
    </row>
    <row r="664" spans="1:7">
      <c r="A664">
        <v>6163</v>
      </c>
      <c r="B664" t="s">
        <v>5683</v>
      </c>
      <c r="C664" t="s">
        <v>5684</v>
      </c>
      <c r="D664">
        <v>44448</v>
      </c>
      <c r="E664">
        <v>6</v>
      </c>
      <c r="F664">
        <v>6</v>
      </c>
      <c r="G664">
        <v>6</v>
      </c>
    </row>
    <row r="665" spans="1:7">
      <c r="A665">
        <v>6224</v>
      </c>
      <c r="B665" t="s">
        <v>6044</v>
      </c>
      <c r="C665" t="s">
        <v>5675</v>
      </c>
      <c r="D665">
        <v>44448</v>
      </c>
      <c r="E665">
        <v>4</v>
      </c>
      <c r="F665">
        <v>4</v>
      </c>
      <c r="G665">
        <v>4</v>
      </c>
    </row>
    <row r="666" spans="1:7">
      <c r="A666">
        <v>1609</v>
      </c>
      <c r="B666" t="s">
        <v>5980</v>
      </c>
      <c r="C666" t="s">
        <v>5858</v>
      </c>
      <c r="D666">
        <v>44448</v>
      </c>
      <c r="E666">
        <v>9</v>
      </c>
      <c r="F666">
        <v>9</v>
      </c>
      <c r="G666">
        <v>9</v>
      </c>
    </row>
    <row r="667" spans="1:7">
      <c r="A667">
        <v>4739</v>
      </c>
      <c r="B667" t="s">
        <v>6045</v>
      </c>
      <c r="C667" t="s">
        <v>5733</v>
      </c>
      <c r="D667">
        <v>44448</v>
      </c>
      <c r="E667">
        <v>3</v>
      </c>
      <c r="F667">
        <v>3</v>
      </c>
      <c r="G667">
        <v>3</v>
      </c>
    </row>
    <row r="668" spans="1:7">
      <c r="A668">
        <v>5457</v>
      </c>
      <c r="B668" t="s">
        <v>5818</v>
      </c>
      <c r="C668" t="s">
        <v>5791</v>
      </c>
      <c r="D668">
        <v>44448</v>
      </c>
      <c r="E668">
        <v>8</v>
      </c>
      <c r="F668">
        <v>8</v>
      </c>
      <c r="G668">
        <v>8</v>
      </c>
    </row>
    <row r="669" spans="1:7">
      <c r="A669">
        <v>6168</v>
      </c>
      <c r="B669" t="s">
        <v>5701</v>
      </c>
      <c r="C669" t="s">
        <v>5661</v>
      </c>
      <c r="D669">
        <v>44448</v>
      </c>
      <c r="E669">
        <v>5</v>
      </c>
      <c r="F669">
        <v>5</v>
      </c>
      <c r="G669">
        <v>5</v>
      </c>
    </row>
    <row r="670" spans="1:7">
      <c r="A670">
        <v>3596</v>
      </c>
      <c r="B670" t="s">
        <v>6046</v>
      </c>
      <c r="C670" t="s">
        <v>5653</v>
      </c>
      <c r="D670">
        <v>44448</v>
      </c>
      <c r="E670">
        <v>3</v>
      </c>
      <c r="F670">
        <v>3</v>
      </c>
      <c r="G670">
        <v>3</v>
      </c>
    </row>
    <row r="671" spans="1:7">
      <c r="A671">
        <v>1440</v>
      </c>
      <c r="B671" t="s">
        <v>5981</v>
      </c>
      <c r="C671" t="s">
        <v>5706</v>
      </c>
      <c r="D671">
        <v>44448</v>
      </c>
      <c r="E671">
        <v>5</v>
      </c>
      <c r="F671">
        <v>5</v>
      </c>
      <c r="G671">
        <v>5</v>
      </c>
    </row>
    <row r="672" spans="1:7">
      <c r="A672">
        <v>2069</v>
      </c>
      <c r="B672" t="s">
        <v>6047</v>
      </c>
      <c r="C672" t="s">
        <v>5659</v>
      </c>
      <c r="D672">
        <v>44448</v>
      </c>
      <c r="E672">
        <v>5</v>
      </c>
      <c r="F672">
        <v>5</v>
      </c>
      <c r="G672">
        <v>5</v>
      </c>
    </row>
    <row r="673" spans="1:7">
      <c r="A673">
        <v>2027</v>
      </c>
      <c r="B673" t="s">
        <v>5994</v>
      </c>
      <c r="C673" t="s">
        <v>5659</v>
      </c>
      <c r="D673">
        <v>44448</v>
      </c>
      <c r="E673">
        <v>4</v>
      </c>
      <c r="F673">
        <v>4</v>
      </c>
      <c r="G673">
        <v>4</v>
      </c>
    </row>
    <row r="674" spans="1:7">
      <c r="A674">
        <v>1584</v>
      </c>
      <c r="B674" t="s">
        <v>6048</v>
      </c>
      <c r="C674" t="s">
        <v>5985</v>
      </c>
      <c r="D674">
        <v>44448</v>
      </c>
      <c r="E674">
        <v>2</v>
      </c>
      <c r="F674">
        <v>2</v>
      </c>
      <c r="G674">
        <v>2</v>
      </c>
    </row>
    <row r="675" spans="1:7">
      <c r="A675">
        <v>6229</v>
      </c>
      <c r="B675" t="s">
        <v>6049</v>
      </c>
      <c r="C675" t="s">
        <v>5690</v>
      </c>
      <c r="D675">
        <v>44448</v>
      </c>
      <c r="E675">
        <v>1</v>
      </c>
      <c r="F675">
        <v>1</v>
      </c>
      <c r="G675">
        <v>1</v>
      </c>
    </row>
    <row r="676" spans="1:7">
      <c r="A676">
        <v>4968</v>
      </c>
      <c r="B676" t="s">
        <v>6050</v>
      </c>
      <c r="C676" t="s">
        <v>5666</v>
      </c>
      <c r="D676">
        <v>44448</v>
      </c>
      <c r="E676">
        <v>3</v>
      </c>
      <c r="F676">
        <v>3</v>
      </c>
      <c r="G676">
        <v>3</v>
      </c>
    </row>
    <row r="677" spans="1:7">
      <c r="A677">
        <v>3374</v>
      </c>
      <c r="B677" t="s">
        <v>5741</v>
      </c>
      <c r="C677" t="s">
        <v>5690</v>
      </c>
      <c r="D677">
        <v>44448</v>
      </c>
      <c r="E677">
        <v>6</v>
      </c>
      <c r="F677">
        <v>6</v>
      </c>
      <c r="G677">
        <v>6</v>
      </c>
    </row>
    <row r="678" spans="1:7">
      <c r="A678">
        <v>2028</v>
      </c>
      <c r="B678" t="s">
        <v>5995</v>
      </c>
      <c r="C678" t="s">
        <v>5659</v>
      </c>
      <c r="D678">
        <v>44448</v>
      </c>
      <c r="E678">
        <v>4</v>
      </c>
      <c r="F678">
        <v>4</v>
      </c>
      <c r="G678">
        <v>4</v>
      </c>
    </row>
    <row r="679" spans="1:7">
      <c r="A679">
        <v>5009</v>
      </c>
      <c r="B679" t="s">
        <v>5868</v>
      </c>
      <c r="C679" t="s">
        <v>5869</v>
      </c>
      <c r="D679">
        <v>44448</v>
      </c>
      <c r="E679">
        <v>5</v>
      </c>
      <c r="F679">
        <v>5</v>
      </c>
      <c r="G679">
        <v>5</v>
      </c>
    </row>
    <row r="680" spans="1:7">
      <c r="A680">
        <v>6531</v>
      </c>
      <c r="B680" t="s">
        <v>5825</v>
      </c>
      <c r="C680" t="s">
        <v>5666</v>
      </c>
      <c r="D680">
        <v>44448</v>
      </c>
      <c r="E680">
        <v>6</v>
      </c>
      <c r="F680">
        <v>6</v>
      </c>
      <c r="G680">
        <v>6</v>
      </c>
    </row>
    <row r="681" spans="1:7">
      <c r="A681">
        <v>2038</v>
      </c>
      <c r="B681" t="s">
        <v>5879</v>
      </c>
      <c r="C681" t="s">
        <v>5659</v>
      </c>
      <c r="D681">
        <v>44448</v>
      </c>
      <c r="E681">
        <v>4</v>
      </c>
      <c r="F681">
        <v>4</v>
      </c>
      <c r="G681">
        <v>4</v>
      </c>
    </row>
    <row r="682" spans="1:7">
      <c r="A682">
        <v>9921</v>
      </c>
      <c r="B682" t="s">
        <v>6051</v>
      </c>
      <c r="C682" t="s">
        <v>5664</v>
      </c>
      <c r="D682">
        <v>44448</v>
      </c>
      <c r="E682">
        <v>7</v>
      </c>
      <c r="F682">
        <v>7</v>
      </c>
      <c r="G682">
        <v>7</v>
      </c>
    </row>
    <row r="683" spans="1:7">
      <c r="A683">
        <v>2547</v>
      </c>
      <c r="B683" t="s">
        <v>6052</v>
      </c>
      <c r="C683" t="s">
        <v>5651</v>
      </c>
      <c r="D683">
        <v>44448</v>
      </c>
      <c r="E683">
        <v>5</v>
      </c>
      <c r="F683">
        <v>5</v>
      </c>
      <c r="G683">
        <v>5</v>
      </c>
    </row>
    <row r="684" spans="1:7">
      <c r="A684">
        <v>3209</v>
      </c>
      <c r="B684" t="s">
        <v>6053</v>
      </c>
      <c r="C684" t="s">
        <v>5687</v>
      </c>
      <c r="D684">
        <v>44448</v>
      </c>
      <c r="E684">
        <v>1</v>
      </c>
      <c r="F684">
        <v>1</v>
      </c>
      <c r="G684">
        <v>1</v>
      </c>
    </row>
    <row r="685" spans="1:7">
      <c r="A685">
        <v>5475</v>
      </c>
      <c r="B685" t="s">
        <v>6054</v>
      </c>
      <c r="C685" t="s">
        <v>5791</v>
      </c>
      <c r="D685">
        <v>44448</v>
      </c>
      <c r="E685">
        <v>5</v>
      </c>
      <c r="F685">
        <v>5</v>
      </c>
      <c r="G685">
        <v>5</v>
      </c>
    </row>
    <row r="686" spans="1:7">
      <c r="A686">
        <v>2401</v>
      </c>
      <c r="B686" t="s">
        <v>5751</v>
      </c>
      <c r="C686" t="s">
        <v>5666</v>
      </c>
      <c r="D686">
        <v>44448</v>
      </c>
      <c r="E686">
        <v>3</v>
      </c>
      <c r="F686">
        <v>3</v>
      </c>
      <c r="G686">
        <v>3</v>
      </c>
    </row>
    <row r="687" spans="1:7">
      <c r="A687">
        <v>2369</v>
      </c>
      <c r="B687" t="s">
        <v>5778</v>
      </c>
      <c r="C687" t="s">
        <v>5666</v>
      </c>
      <c r="D687">
        <v>44448</v>
      </c>
      <c r="E687">
        <v>8</v>
      </c>
      <c r="F687">
        <v>8</v>
      </c>
      <c r="G687">
        <v>8</v>
      </c>
    </row>
    <row r="688" spans="1:7">
      <c r="A688">
        <v>6175</v>
      </c>
      <c r="B688" t="s">
        <v>6055</v>
      </c>
      <c r="C688" t="s">
        <v>5791</v>
      </c>
      <c r="D688">
        <v>44448</v>
      </c>
      <c r="E688">
        <v>2</v>
      </c>
      <c r="F688">
        <v>2</v>
      </c>
      <c r="G688">
        <v>2</v>
      </c>
    </row>
    <row r="689" spans="1:7">
      <c r="A689">
        <v>1608</v>
      </c>
      <c r="B689" t="s">
        <v>5979</v>
      </c>
      <c r="C689" t="s">
        <v>5858</v>
      </c>
      <c r="D689">
        <v>44448</v>
      </c>
      <c r="E689">
        <v>7</v>
      </c>
      <c r="F689">
        <v>7</v>
      </c>
      <c r="G689">
        <v>7</v>
      </c>
    </row>
    <row r="690" spans="1:7">
      <c r="A690">
        <v>4927</v>
      </c>
      <c r="B690" t="s">
        <v>6056</v>
      </c>
      <c r="C690" t="s">
        <v>5675</v>
      </c>
      <c r="D690">
        <v>44448</v>
      </c>
      <c r="E690">
        <v>3</v>
      </c>
      <c r="F690">
        <v>3</v>
      </c>
      <c r="G690">
        <v>3</v>
      </c>
    </row>
    <row r="691" spans="1:7">
      <c r="A691">
        <v>4141</v>
      </c>
      <c r="B691" t="s">
        <v>6057</v>
      </c>
      <c r="C691" t="s">
        <v>5729</v>
      </c>
      <c r="D691">
        <v>44448</v>
      </c>
      <c r="E691">
        <v>2</v>
      </c>
      <c r="F691">
        <v>2</v>
      </c>
      <c r="G691">
        <v>2</v>
      </c>
    </row>
    <row r="692" spans="1:7">
      <c r="A692">
        <v>2409</v>
      </c>
      <c r="B692" t="s">
        <v>5850</v>
      </c>
      <c r="C692" t="s">
        <v>5661</v>
      </c>
      <c r="D692">
        <v>44448</v>
      </c>
      <c r="E692">
        <v>6</v>
      </c>
      <c r="F692">
        <v>6</v>
      </c>
      <c r="G692">
        <v>6</v>
      </c>
    </row>
    <row r="693" spans="1:7">
      <c r="A693">
        <v>3323</v>
      </c>
      <c r="B693" t="s">
        <v>6058</v>
      </c>
      <c r="C693" t="s">
        <v>5829</v>
      </c>
      <c r="D693">
        <v>44448</v>
      </c>
      <c r="E693">
        <v>1</v>
      </c>
      <c r="F693">
        <v>1</v>
      </c>
      <c r="G693">
        <v>1</v>
      </c>
    </row>
    <row r="694" spans="1:7">
      <c r="A694">
        <v>6525</v>
      </c>
      <c r="B694" t="s">
        <v>6022</v>
      </c>
      <c r="C694" t="s">
        <v>5666</v>
      </c>
      <c r="D694">
        <v>44448</v>
      </c>
      <c r="E694">
        <v>3</v>
      </c>
      <c r="F694">
        <v>3</v>
      </c>
      <c r="G694">
        <v>3</v>
      </c>
    </row>
    <row r="695" spans="1:7">
      <c r="A695">
        <v>9962</v>
      </c>
      <c r="B695" t="s">
        <v>5997</v>
      </c>
      <c r="C695" t="s">
        <v>5869</v>
      </c>
      <c r="D695">
        <v>44448</v>
      </c>
      <c r="E695">
        <v>5</v>
      </c>
      <c r="F695">
        <v>5</v>
      </c>
      <c r="G695">
        <v>5</v>
      </c>
    </row>
    <row r="696" spans="1:7">
      <c r="A696">
        <v>4960</v>
      </c>
      <c r="B696" t="s">
        <v>6059</v>
      </c>
      <c r="C696" t="s">
        <v>5661</v>
      </c>
      <c r="D696">
        <v>44448</v>
      </c>
      <c r="E696">
        <v>7</v>
      </c>
      <c r="F696">
        <v>7</v>
      </c>
      <c r="G696">
        <v>7</v>
      </c>
    </row>
    <row r="697" spans="1:7">
      <c r="A697">
        <v>3017</v>
      </c>
      <c r="B697" t="s">
        <v>5750</v>
      </c>
      <c r="C697" t="s">
        <v>5649</v>
      </c>
      <c r="D697">
        <v>44448</v>
      </c>
      <c r="E697">
        <v>8</v>
      </c>
      <c r="F697">
        <v>8</v>
      </c>
      <c r="G697">
        <v>8</v>
      </c>
    </row>
    <row r="698" spans="1:7">
      <c r="A698">
        <v>8201</v>
      </c>
      <c r="B698" t="s">
        <v>5874</v>
      </c>
      <c r="C698" t="s">
        <v>5692</v>
      </c>
      <c r="D698">
        <v>44448</v>
      </c>
      <c r="E698">
        <v>8</v>
      </c>
      <c r="F698">
        <v>8</v>
      </c>
      <c r="G698">
        <v>8</v>
      </c>
    </row>
    <row r="699" spans="1:7">
      <c r="A699">
        <v>8255</v>
      </c>
      <c r="B699" t="s">
        <v>6060</v>
      </c>
      <c r="C699" t="s">
        <v>5921</v>
      </c>
      <c r="D699">
        <v>44448</v>
      </c>
      <c r="E699">
        <v>2</v>
      </c>
      <c r="F699">
        <v>2</v>
      </c>
      <c r="G699">
        <v>2</v>
      </c>
    </row>
    <row r="700" spans="1:7">
      <c r="A700">
        <v>1906</v>
      </c>
      <c r="B700" t="s">
        <v>6003</v>
      </c>
      <c r="C700" t="s">
        <v>5677</v>
      </c>
      <c r="D700">
        <v>44448</v>
      </c>
      <c r="E700">
        <v>4</v>
      </c>
      <c r="F700">
        <v>4</v>
      </c>
      <c r="G700">
        <v>4</v>
      </c>
    </row>
    <row r="701" spans="1:7">
      <c r="A701">
        <v>2015</v>
      </c>
      <c r="B701" t="s">
        <v>6061</v>
      </c>
      <c r="C701" t="s">
        <v>5659</v>
      </c>
      <c r="D701">
        <v>44448</v>
      </c>
      <c r="E701">
        <v>4</v>
      </c>
      <c r="F701">
        <v>4</v>
      </c>
      <c r="G701">
        <v>4</v>
      </c>
    </row>
    <row r="702" spans="1:7">
      <c r="A702">
        <v>4904</v>
      </c>
      <c r="B702" t="s">
        <v>5654</v>
      </c>
      <c r="C702" t="s">
        <v>5653</v>
      </c>
      <c r="D702">
        <v>44447</v>
      </c>
      <c r="E702">
        <v>15</v>
      </c>
      <c r="F702">
        <v>15</v>
      </c>
      <c r="G702">
        <v>15</v>
      </c>
    </row>
    <row r="703" spans="1:7">
      <c r="A703">
        <v>5876</v>
      </c>
      <c r="B703" t="s">
        <v>5715</v>
      </c>
      <c r="C703" t="s">
        <v>5645</v>
      </c>
      <c r="D703">
        <v>44447</v>
      </c>
      <c r="E703">
        <v>14</v>
      </c>
      <c r="F703">
        <v>14</v>
      </c>
      <c r="G703">
        <v>14</v>
      </c>
    </row>
    <row r="704" spans="1:7">
      <c r="A704">
        <v>1460</v>
      </c>
      <c r="B704" t="s">
        <v>6012</v>
      </c>
      <c r="C704" t="s">
        <v>5706</v>
      </c>
      <c r="D704">
        <v>44447</v>
      </c>
      <c r="E704">
        <v>4</v>
      </c>
      <c r="F704">
        <v>4</v>
      </c>
      <c r="G704">
        <v>4</v>
      </c>
    </row>
    <row r="705" spans="1:7">
      <c r="A705">
        <v>1303</v>
      </c>
      <c r="B705" t="s">
        <v>5792</v>
      </c>
      <c r="C705" t="s">
        <v>5771</v>
      </c>
      <c r="D705">
        <v>44447</v>
      </c>
      <c r="E705">
        <v>9</v>
      </c>
      <c r="F705">
        <v>9</v>
      </c>
      <c r="G705">
        <v>9</v>
      </c>
    </row>
    <row r="706" spans="1:7">
      <c r="A706">
        <v>6505</v>
      </c>
      <c r="B706" t="s">
        <v>5942</v>
      </c>
      <c r="C706" t="s">
        <v>5943</v>
      </c>
      <c r="D706">
        <v>44447</v>
      </c>
      <c r="E706">
        <v>10</v>
      </c>
      <c r="F706">
        <v>10</v>
      </c>
      <c r="G706">
        <v>10</v>
      </c>
    </row>
    <row r="707" spans="1:7">
      <c r="A707">
        <v>1326</v>
      </c>
      <c r="B707" t="s">
        <v>5814</v>
      </c>
      <c r="C707" t="s">
        <v>5771</v>
      </c>
      <c r="D707">
        <v>44447</v>
      </c>
      <c r="E707">
        <v>14</v>
      </c>
      <c r="F707">
        <v>14</v>
      </c>
      <c r="G707">
        <v>14</v>
      </c>
    </row>
    <row r="708" spans="1:7">
      <c r="A708">
        <v>1784</v>
      </c>
      <c r="B708" t="s">
        <v>6062</v>
      </c>
      <c r="C708" t="s">
        <v>5867</v>
      </c>
      <c r="D708">
        <v>44447</v>
      </c>
      <c r="E708">
        <v>1</v>
      </c>
      <c r="F708">
        <v>1</v>
      </c>
      <c r="G708">
        <v>1</v>
      </c>
    </row>
    <row r="709" spans="1:7">
      <c r="A709">
        <v>5871</v>
      </c>
      <c r="B709" t="s">
        <v>5700</v>
      </c>
      <c r="C709" t="s">
        <v>5664</v>
      </c>
      <c r="D709">
        <v>44447</v>
      </c>
      <c r="E709">
        <v>10</v>
      </c>
      <c r="F709">
        <v>10</v>
      </c>
      <c r="G709">
        <v>10</v>
      </c>
    </row>
    <row r="710" spans="1:7">
      <c r="A710">
        <v>2301</v>
      </c>
      <c r="B710" t="s">
        <v>5723</v>
      </c>
      <c r="C710" t="s">
        <v>5649</v>
      </c>
      <c r="D710">
        <v>44447</v>
      </c>
      <c r="E710">
        <v>14</v>
      </c>
      <c r="F710">
        <v>14</v>
      </c>
      <c r="G710">
        <v>14</v>
      </c>
    </row>
    <row r="711" spans="1:7">
      <c r="A711">
        <v>1402</v>
      </c>
      <c r="B711" t="s">
        <v>5851</v>
      </c>
      <c r="C711" t="s">
        <v>5706</v>
      </c>
      <c r="D711">
        <v>44447</v>
      </c>
      <c r="E711">
        <v>10</v>
      </c>
      <c r="F711">
        <v>10</v>
      </c>
      <c r="G711">
        <v>10</v>
      </c>
    </row>
    <row r="712" spans="1:7">
      <c r="A712">
        <v>1216</v>
      </c>
      <c r="B712" t="s">
        <v>6063</v>
      </c>
      <c r="C712" t="s">
        <v>5872</v>
      </c>
      <c r="D712">
        <v>44447</v>
      </c>
      <c r="E712">
        <v>8</v>
      </c>
      <c r="F712">
        <v>8</v>
      </c>
      <c r="G712">
        <v>8</v>
      </c>
    </row>
    <row r="713" spans="1:7">
      <c r="A713">
        <v>2838</v>
      </c>
      <c r="B713" t="s">
        <v>6064</v>
      </c>
      <c r="C713" t="s">
        <v>5645</v>
      </c>
      <c r="D713">
        <v>44447</v>
      </c>
      <c r="E713">
        <v>6</v>
      </c>
      <c r="F713">
        <v>6</v>
      </c>
      <c r="G713">
        <v>6</v>
      </c>
    </row>
    <row r="714" spans="1:7">
      <c r="A714">
        <v>2347</v>
      </c>
      <c r="B714" t="s">
        <v>5793</v>
      </c>
      <c r="C714" t="s">
        <v>5687</v>
      </c>
      <c r="D714">
        <v>44447</v>
      </c>
      <c r="E714">
        <v>6</v>
      </c>
      <c r="F714">
        <v>6</v>
      </c>
      <c r="G714">
        <v>6</v>
      </c>
    </row>
    <row r="715" spans="1:7">
      <c r="A715">
        <v>2409</v>
      </c>
      <c r="B715" t="s">
        <v>5850</v>
      </c>
      <c r="C715" t="s">
        <v>5661</v>
      </c>
      <c r="D715">
        <v>44447</v>
      </c>
      <c r="E715">
        <v>6</v>
      </c>
      <c r="F715">
        <v>6</v>
      </c>
      <c r="G715">
        <v>6</v>
      </c>
    </row>
    <row r="716" spans="1:7">
      <c r="A716">
        <v>2891</v>
      </c>
      <c r="B716" t="s">
        <v>6065</v>
      </c>
      <c r="C716" t="s">
        <v>5645</v>
      </c>
      <c r="D716">
        <v>44447</v>
      </c>
      <c r="E716">
        <v>4</v>
      </c>
      <c r="F716">
        <v>4</v>
      </c>
      <c r="G716">
        <v>4</v>
      </c>
    </row>
    <row r="717" spans="1:7">
      <c r="A717">
        <v>5880</v>
      </c>
      <c r="B717" t="s">
        <v>5655</v>
      </c>
      <c r="C717" t="s">
        <v>5645</v>
      </c>
      <c r="D717">
        <v>44447</v>
      </c>
      <c r="E717">
        <v>6</v>
      </c>
      <c r="F717">
        <v>6</v>
      </c>
      <c r="G717">
        <v>6</v>
      </c>
    </row>
    <row r="718" spans="1:7">
      <c r="A718">
        <v>2330</v>
      </c>
      <c r="B718" t="s">
        <v>6018</v>
      </c>
      <c r="C718" t="s">
        <v>5666</v>
      </c>
      <c r="D718">
        <v>44447</v>
      </c>
      <c r="E718">
        <v>12</v>
      </c>
      <c r="F718">
        <v>12</v>
      </c>
      <c r="G718">
        <v>12</v>
      </c>
    </row>
    <row r="719" spans="1:7">
      <c r="A719">
        <v>9921</v>
      </c>
      <c r="B719" t="s">
        <v>6051</v>
      </c>
      <c r="C719" t="s">
        <v>5664</v>
      </c>
      <c r="D719">
        <v>44447</v>
      </c>
      <c r="E719">
        <v>7</v>
      </c>
      <c r="F719">
        <v>7</v>
      </c>
      <c r="G719">
        <v>7</v>
      </c>
    </row>
    <row r="720" spans="1:7">
      <c r="A720">
        <v>4702</v>
      </c>
      <c r="B720" t="s">
        <v>5909</v>
      </c>
      <c r="C720" t="s">
        <v>5910</v>
      </c>
      <c r="D720">
        <v>44447</v>
      </c>
      <c r="E720">
        <v>4</v>
      </c>
      <c r="F720">
        <v>4</v>
      </c>
      <c r="G720">
        <v>4</v>
      </c>
    </row>
    <row r="721" spans="1:7">
      <c r="A721">
        <v>1504</v>
      </c>
      <c r="B721" t="s">
        <v>5669</v>
      </c>
      <c r="C721" t="s">
        <v>5670</v>
      </c>
      <c r="D721">
        <v>44447</v>
      </c>
      <c r="E721">
        <v>8</v>
      </c>
      <c r="F721">
        <v>8</v>
      </c>
      <c r="G721">
        <v>8</v>
      </c>
    </row>
    <row r="722" spans="1:7">
      <c r="A722">
        <v>5609</v>
      </c>
      <c r="B722" t="s">
        <v>5883</v>
      </c>
      <c r="C722" t="s">
        <v>5884</v>
      </c>
      <c r="D722">
        <v>44447</v>
      </c>
      <c r="E722">
        <v>6</v>
      </c>
      <c r="F722">
        <v>6</v>
      </c>
      <c r="G722">
        <v>6</v>
      </c>
    </row>
    <row r="723" spans="1:7">
      <c r="A723">
        <v>2601</v>
      </c>
      <c r="B723" t="s">
        <v>5646</v>
      </c>
      <c r="C723" t="s">
        <v>5647</v>
      </c>
      <c r="D723">
        <v>44447</v>
      </c>
      <c r="E723">
        <v>5</v>
      </c>
      <c r="F723">
        <v>5</v>
      </c>
      <c r="G723">
        <v>5</v>
      </c>
    </row>
    <row r="724" spans="1:7">
      <c r="A724">
        <v>2845</v>
      </c>
      <c r="B724" t="s">
        <v>6066</v>
      </c>
      <c r="C724" t="s">
        <v>5645</v>
      </c>
      <c r="D724">
        <v>44447</v>
      </c>
      <c r="E724">
        <v>6</v>
      </c>
      <c r="F724">
        <v>6</v>
      </c>
      <c r="G724">
        <v>6</v>
      </c>
    </row>
    <row r="725" spans="1:7">
      <c r="A725">
        <v>3466</v>
      </c>
      <c r="B725" t="s">
        <v>5726</v>
      </c>
      <c r="C725" t="s">
        <v>5684</v>
      </c>
      <c r="D725">
        <v>44447</v>
      </c>
      <c r="E725">
        <v>4</v>
      </c>
      <c r="F725">
        <v>4</v>
      </c>
      <c r="G725">
        <v>4</v>
      </c>
    </row>
    <row r="726" spans="1:7">
      <c r="A726">
        <v>3045</v>
      </c>
      <c r="B726" t="s">
        <v>5680</v>
      </c>
      <c r="C726" t="s">
        <v>5653</v>
      </c>
      <c r="D726">
        <v>44447</v>
      </c>
      <c r="E726">
        <v>14</v>
      </c>
      <c r="F726">
        <v>14</v>
      </c>
      <c r="G726">
        <v>14</v>
      </c>
    </row>
    <row r="727" spans="1:7">
      <c r="A727">
        <v>2020</v>
      </c>
      <c r="B727" t="s">
        <v>6001</v>
      </c>
      <c r="C727" t="s">
        <v>5659</v>
      </c>
      <c r="D727">
        <v>44447</v>
      </c>
      <c r="E727">
        <v>2</v>
      </c>
      <c r="F727">
        <v>2</v>
      </c>
      <c r="G727">
        <v>2</v>
      </c>
    </row>
    <row r="728" spans="1:7">
      <c r="A728">
        <v>2885</v>
      </c>
      <c r="B728" t="s">
        <v>5852</v>
      </c>
      <c r="C728" t="s">
        <v>5645</v>
      </c>
      <c r="D728">
        <v>44447</v>
      </c>
      <c r="E728">
        <v>6</v>
      </c>
      <c r="F728">
        <v>6</v>
      </c>
      <c r="G728">
        <v>6</v>
      </c>
    </row>
    <row r="729" spans="1:7">
      <c r="A729">
        <v>1301</v>
      </c>
      <c r="B729" t="s">
        <v>5841</v>
      </c>
      <c r="C729" t="s">
        <v>5771</v>
      </c>
      <c r="D729">
        <v>44447</v>
      </c>
      <c r="E729">
        <v>11</v>
      </c>
      <c r="F729">
        <v>11</v>
      </c>
      <c r="G729">
        <v>11</v>
      </c>
    </row>
    <row r="730" spans="1:7">
      <c r="A730">
        <v>2913</v>
      </c>
      <c r="B730" t="s">
        <v>6067</v>
      </c>
      <c r="C730" t="s">
        <v>5647</v>
      </c>
      <c r="D730">
        <v>44447</v>
      </c>
      <c r="E730">
        <v>3</v>
      </c>
      <c r="F730">
        <v>3</v>
      </c>
      <c r="G730">
        <v>3</v>
      </c>
    </row>
    <row r="731" spans="1:7">
      <c r="A731">
        <v>2890</v>
      </c>
      <c r="B731" t="s">
        <v>5772</v>
      </c>
      <c r="C731" t="s">
        <v>5645</v>
      </c>
      <c r="D731">
        <v>44447</v>
      </c>
      <c r="E731">
        <v>8</v>
      </c>
      <c r="F731">
        <v>8</v>
      </c>
      <c r="G731">
        <v>8</v>
      </c>
    </row>
    <row r="732" spans="1:7">
      <c r="A732">
        <v>2888</v>
      </c>
      <c r="B732" t="s">
        <v>5853</v>
      </c>
      <c r="C732" t="s">
        <v>5645</v>
      </c>
      <c r="D732">
        <v>44447</v>
      </c>
      <c r="E732">
        <v>9</v>
      </c>
      <c r="F732">
        <v>9</v>
      </c>
      <c r="G732">
        <v>9</v>
      </c>
    </row>
    <row r="733" spans="1:7">
      <c r="A733">
        <v>2308</v>
      </c>
      <c r="B733" t="s">
        <v>5831</v>
      </c>
      <c r="C733" t="s">
        <v>5675</v>
      </c>
      <c r="D733">
        <v>44447</v>
      </c>
      <c r="E733">
        <v>7</v>
      </c>
      <c r="F733">
        <v>7</v>
      </c>
      <c r="G733">
        <v>7</v>
      </c>
    </row>
    <row r="734" spans="1:7">
      <c r="A734">
        <v>2312</v>
      </c>
      <c r="B734" t="s">
        <v>5739</v>
      </c>
      <c r="C734" t="s">
        <v>5692</v>
      </c>
      <c r="D734">
        <v>44447</v>
      </c>
      <c r="E734">
        <v>8</v>
      </c>
      <c r="F734">
        <v>8</v>
      </c>
      <c r="G734">
        <v>8</v>
      </c>
    </row>
    <row r="735" spans="1:7">
      <c r="A735">
        <v>4938</v>
      </c>
      <c r="B735" t="s">
        <v>5782</v>
      </c>
      <c r="C735" t="s">
        <v>5649</v>
      </c>
      <c r="D735">
        <v>44447</v>
      </c>
      <c r="E735">
        <v>6</v>
      </c>
      <c r="F735">
        <v>6</v>
      </c>
      <c r="G735">
        <v>6</v>
      </c>
    </row>
    <row r="736" spans="1:7">
      <c r="A736">
        <v>2340</v>
      </c>
      <c r="B736" t="s">
        <v>5749</v>
      </c>
      <c r="C736" t="s">
        <v>5661</v>
      </c>
      <c r="D736">
        <v>44447</v>
      </c>
      <c r="E736">
        <v>6</v>
      </c>
      <c r="F736">
        <v>6</v>
      </c>
      <c r="G736">
        <v>6</v>
      </c>
    </row>
    <row r="737" spans="1:7">
      <c r="A737">
        <v>2417</v>
      </c>
      <c r="B737" t="s">
        <v>6068</v>
      </c>
      <c r="C737" t="s">
        <v>5649</v>
      </c>
      <c r="D737">
        <v>44447</v>
      </c>
      <c r="E737">
        <v>2</v>
      </c>
      <c r="F737">
        <v>2</v>
      </c>
      <c r="G737">
        <v>2</v>
      </c>
    </row>
    <row r="738" spans="1:7">
      <c r="A738">
        <v>1776</v>
      </c>
      <c r="B738" t="s">
        <v>6069</v>
      </c>
      <c r="C738" t="s">
        <v>5733</v>
      </c>
      <c r="D738">
        <v>44447</v>
      </c>
      <c r="E738">
        <v>3</v>
      </c>
      <c r="F738">
        <v>3</v>
      </c>
      <c r="G738">
        <v>3</v>
      </c>
    </row>
    <row r="739" spans="1:7">
      <c r="A739">
        <v>2727</v>
      </c>
      <c r="B739" t="s">
        <v>5989</v>
      </c>
      <c r="C739" t="s">
        <v>5990</v>
      </c>
      <c r="D739">
        <v>44447</v>
      </c>
      <c r="E739">
        <v>4</v>
      </c>
      <c r="F739">
        <v>4</v>
      </c>
      <c r="G739">
        <v>4</v>
      </c>
    </row>
    <row r="740" spans="1:7">
      <c r="A740">
        <v>2617</v>
      </c>
      <c r="B740" t="s">
        <v>5891</v>
      </c>
      <c r="C740" t="s">
        <v>5679</v>
      </c>
      <c r="D740">
        <v>44447</v>
      </c>
      <c r="E740">
        <v>6</v>
      </c>
      <c r="F740">
        <v>6</v>
      </c>
      <c r="G740">
        <v>6</v>
      </c>
    </row>
    <row r="741" spans="1:7">
      <c r="A741">
        <v>8086</v>
      </c>
      <c r="B741" t="s">
        <v>5802</v>
      </c>
      <c r="C741" t="s">
        <v>5690</v>
      </c>
      <c r="D741">
        <v>44447</v>
      </c>
      <c r="E741">
        <v>5</v>
      </c>
      <c r="F741">
        <v>5</v>
      </c>
      <c r="G741">
        <v>5</v>
      </c>
    </row>
    <row r="742" spans="1:7">
      <c r="A742">
        <v>4952</v>
      </c>
      <c r="B742" t="s">
        <v>6070</v>
      </c>
      <c r="C742" t="s">
        <v>5666</v>
      </c>
      <c r="D742">
        <v>44447</v>
      </c>
      <c r="E742">
        <v>2</v>
      </c>
      <c r="F742">
        <v>2</v>
      </c>
      <c r="G742">
        <v>2</v>
      </c>
    </row>
    <row r="743" spans="1:7">
      <c r="A743">
        <v>2369</v>
      </c>
      <c r="B743" t="s">
        <v>5778</v>
      </c>
      <c r="C743" t="s">
        <v>5666</v>
      </c>
      <c r="D743">
        <v>44447</v>
      </c>
      <c r="E743">
        <v>8</v>
      </c>
      <c r="F743">
        <v>8</v>
      </c>
      <c r="G743">
        <v>8</v>
      </c>
    </row>
    <row r="744" spans="1:7">
      <c r="A744">
        <v>2430</v>
      </c>
      <c r="B744" t="s">
        <v>6071</v>
      </c>
      <c r="C744" t="s">
        <v>5687</v>
      </c>
      <c r="D744">
        <v>44447</v>
      </c>
      <c r="E744">
        <v>5</v>
      </c>
      <c r="F744">
        <v>5</v>
      </c>
      <c r="G744">
        <v>5</v>
      </c>
    </row>
    <row r="745" spans="1:7">
      <c r="A745">
        <v>2882</v>
      </c>
      <c r="B745" t="s">
        <v>5834</v>
      </c>
      <c r="C745" t="s">
        <v>5645</v>
      </c>
      <c r="D745">
        <v>44447</v>
      </c>
      <c r="E745">
        <v>9</v>
      </c>
      <c r="F745">
        <v>9</v>
      </c>
      <c r="G745">
        <v>9</v>
      </c>
    </row>
    <row r="746" spans="1:7">
      <c r="A746">
        <v>2823</v>
      </c>
      <c r="B746" t="s">
        <v>5811</v>
      </c>
      <c r="C746" t="s">
        <v>5645</v>
      </c>
      <c r="D746">
        <v>44447</v>
      </c>
      <c r="E746">
        <v>17</v>
      </c>
      <c r="F746">
        <v>17</v>
      </c>
      <c r="G746">
        <v>17</v>
      </c>
    </row>
    <row r="747" spans="1:7">
      <c r="A747">
        <v>4128</v>
      </c>
      <c r="B747" t="s">
        <v>5866</v>
      </c>
      <c r="C747" t="s">
        <v>5867</v>
      </c>
      <c r="D747">
        <v>44447</v>
      </c>
      <c r="E747">
        <v>2</v>
      </c>
      <c r="F747">
        <v>2</v>
      </c>
      <c r="G747">
        <v>2</v>
      </c>
    </row>
    <row r="748" spans="1:7">
      <c r="A748">
        <v>2324</v>
      </c>
      <c r="B748" t="s">
        <v>5848</v>
      </c>
      <c r="C748" t="s">
        <v>5649</v>
      </c>
      <c r="D748">
        <v>44447</v>
      </c>
      <c r="E748">
        <v>7</v>
      </c>
      <c r="F748">
        <v>7</v>
      </c>
      <c r="G748">
        <v>7</v>
      </c>
    </row>
    <row r="749" spans="1:7">
      <c r="A749">
        <v>9904</v>
      </c>
      <c r="B749" t="s">
        <v>5855</v>
      </c>
      <c r="C749" t="s">
        <v>5664</v>
      </c>
      <c r="D749">
        <v>44447</v>
      </c>
      <c r="E749">
        <v>11</v>
      </c>
      <c r="F749">
        <v>11</v>
      </c>
      <c r="G749">
        <v>11</v>
      </c>
    </row>
    <row r="750" spans="1:7">
      <c r="A750">
        <v>6290</v>
      </c>
      <c r="B750" t="s">
        <v>6032</v>
      </c>
      <c r="C750" t="s">
        <v>5791</v>
      </c>
      <c r="D750">
        <v>44447</v>
      </c>
      <c r="E750">
        <v>5</v>
      </c>
      <c r="F750">
        <v>5</v>
      </c>
      <c r="G750">
        <v>5</v>
      </c>
    </row>
    <row r="751" spans="1:7">
      <c r="A751">
        <v>3702</v>
      </c>
      <c r="B751" t="s">
        <v>5686</v>
      </c>
      <c r="C751" t="s">
        <v>5687</v>
      </c>
      <c r="D751">
        <v>44447</v>
      </c>
      <c r="E751">
        <v>16</v>
      </c>
      <c r="F751">
        <v>16</v>
      </c>
      <c r="G751">
        <v>16</v>
      </c>
    </row>
    <row r="752" spans="1:7">
      <c r="A752">
        <v>2912</v>
      </c>
      <c r="B752" t="s">
        <v>6072</v>
      </c>
      <c r="C752" t="s">
        <v>5647</v>
      </c>
      <c r="D752">
        <v>44447</v>
      </c>
      <c r="E752">
        <v>4</v>
      </c>
      <c r="F752">
        <v>4</v>
      </c>
      <c r="G752">
        <v>4</v>
      </c>
    </row>
    <row r="753" spans="1:7">
      <c r="A753">
        <v>2383</v>
      </c>
      <c r="B753" t="s">
        <v>5780</v>
      </c>
      <c r="C753" t="s">
        <v>5675</v>
      </c>
      <c r="D753">
        <v>44447</v>
      </c>
      <c r="E753">
        <v>5</v>
      </c>
      <c r="F753">
        <v>5</v>
      </c>
      <c r="G753">
        <v>5</v>
      </c>
    </row>
    <row r="754" spans="1:7">
      <c r="A754">
        <v>3576</v>
      </c>
      <c r="B754" t="s">
        <v>5660</v>
      </c>
      <c r="C754" t="s">
        <v>5661</v>
      </c>
      <c r="D754">
        <v>44447</v>
      </c>
      <c r="E754">
        <v>9</v>
      </c>
      <c r="F754">
        <v>9</v>
      </c>
      <c r="G754">
        <v>9</v>
      </c>
    </row>
    <row r="755" spans="1:7">
      <c r="A755">
        <v>8358</v>
      </c>
      <c r="B755" t="s">
        <v>6073</v>
      </c>
      <c r="C755" t="s">
        <v>5791</v>
      </c>
      <c r="D755">
        <v>44447</v>
      </c>
      <c r="E755">
        <v>2</v>
      </c>
      <c r="F755">
        <v>2</v>
      </c>
      <c r="G755">
        <v>2</v>
      </c>
    </row>
    <row r="756" spans="1:7">
      <c r="A756">
        <v>1907</v>
      </c>
      <c r="B756" t="s">
        <v>6006</v>
      </c>
      <c r="C756" t="s">
        <v>5677</v>
      </c>
      <c r="D756">
        <v>44447</v>
      </c>
      <c r="E756">
        <v>8</v>
      </c>
      <c r="F756">
        <v>8</v>
      </c>
      <c r="G756">
        <v>8</v>
      </c>
    </row>
    <row r="757" spans="1:7">
      <c r="A757">
        <v>9938</v>
      </c>
      <c r="B757" t="s">
        <v>5892</v>
      </c>
      <c r="C757" t="s">
        <v>5664</v>
      </c>
      <c r="D757">
        <v>44447</v>
      </c>
      <c r="E757">
        <v>3</v>
      </c>
      <c r="F757">
        <v>3</v>
      </c>
      <c r="G757">
        <v>3</v>
      </c>
    </row>
    <row r="758" spans="1:7">
      <c r="A758">
        <v>3232</v>
      </c>
      <c r="B758" t="s">
        <v>5693</v>
      </c>
      <c r="C758" t="s">
        <v>5694</v>
      </c>
      <c r="D758">
        <v>44447</v>
      </c>
      <c r="E758">
        <v>3</v>
      </c>
      <c r="F758">
        <v>3</v>
      </c>
      <c r="G758">
        <v>3</v>
      </c>
    </row>
    <row r="759" spans="1:7">
      <c r="A759">
        <v>2636</v>
      </c>
      <c r="B759" t="s">
        <v>5678</v>
      </c>
      <c r="C759" t="s">
        <v>5679</v>
      </c>
      <c r="D759">
        <v>44447</v>
      </c>
      <c r="E759">
        <v>7</v>
      </c>
      <c r="F759">
        <v>7</v>
      </c>
      <c r="G759">
        <v>7</v>
      </c>
    </row>
    <row r="760" spans="1:7">
      <c r="A760">
        <v>5820</v>
      </c>
      <c r="B760" t="s">
        <v>5797</v>
      </c>
      <c r="C760" t="s">
        <v>5798</v>
      </c>
      <c r="D760">
        <v>44447</v>
      </c>
      <c r="E760">
        <v>8</v>
      </c>
      <c r="F760">
        <v>8</v>
      </c>
      <c r="G760">
        <v>8</v>
      </c>
    </row>
    <row r="761" spans="1:7">
      <c r="A761">
        <v>2606</v>
      </c>
      <c r="B761" t="s">
        <v>5890</v>
      </c>
      <c r="C761" t="s">
        <v>5679</v>
      </c>
      <c r="D761">
        <v>44447</v>
      </c>
      <c r="E761">
        <v>4</v>
      </c>
      <c r="F761">
        <v>4</v>
      </c>
      <c r="G761">
        <v>4</v>
      </c>
    </row>
    <row r="762" spans="1:7">
      <c r="A762">
        <v>5289</v>
      </c>
      <c r="B762" t="s">
        <v>6074</v>
      </c>
      <c r="C762" t="s">
        <v>5829</v>
      </c>
      <c r="D762">
        <v>44447</v>
      </c>
      <c r="E762">
        <v>1</v>
      </c>
      <c r="F762">
        <v>1</v>
      </c>
      <c r="G762">
        <v>1</v>
      </c>
    </row>
    <row r="763" spans="1:7">
      <c r="A763">
        <v>1310</v>
      </c>
      <c r="B763" t="s">
        <v>5801</v>
      </c>
      <c r="C763" t="s">
        <v>5771</v>
      </c>
      <c r="D763">
        <v>44447</v>
      </c>
      <c r="E763">
        <v>8</v>
      </c>
      <c r="F763">
        <v>8</v>
      </c>
      <c r="G763">
        <v>8</v>
      </c>
    </row>
    <row r="764" spans="1:7">
      <c r="A764">
        <v>2012</v>
      </c>
      <c r="B764" t="s">
        <v>5908</v>
      </c>
      <c r="C764" t="s">
        <v>5659</v>
      </c>
      <c r="D764">
        <v>44447</v>
      </c>
      <c r="E764">
        <v>4</v>
      </c>
      <c r="F764">
        <v>4</v>
      </c>
      <c r="G764">
        <v>4</v>
      </c>
    </row>
    <row r="765" spans="1:7">
      <c r="A765">
        <v>6672</v>
      </c>
      <c r="B765" t="s">
        <v>5846</v>
      </c>
      <c r="C765" t="s">
        <v>5675</v>
      </c>
      <c r="D765">
        <v>44447</v>
      </c>
      <c r="E765">
        <v>3</v>
      </c>
      <c r="F765">
        <v>3</v>
      </c>
      <c r="G765">
        <v>3</v>
      </c>
    </row>
    <row r="766" spans="1:7">
      <c r="A766">
        <v>6116</v>
      </c>
      <c r="B766" t="s">
        <v>5898</v>
      </c>
      <c r="C766" t="s">
        <v>5661</v>
      </c>
      <c r="D766">
        <v>44447</v>
      </c>
      <c r="E766">
        <v>7</v>
      </c>
      <c r="F766">
        <v>7</v>
      </c>
      <c r="G766">
        <v>7</v>
      </c>
    </row>
    <row r="767" spans="1:7">
      <c r="A767">
        <v>1217</v>
      </c>
      <c r="B767" t="s">
        <v>5871</v>
      </c>
      <c r="C767" t="s">
        <v>5872</v>
      </c>
      <c r="D767">
        <v>44447</v>
      </c>
      <c r="E767">
        <v>7</v>
      </c>
      <c r="F767">
        <v>7</v>
      </c>
      <c r="G767">
        <v>7</v>
      </c>
    </row>
    <row r="768" spans="1:7">
      <c r="A768">
        <v>4721</v>
      </c>
      <c r="B768" t="s">
        <v>6075</v>
      </c>
      <c r="C768" t="s">
        <v>5910</v>
      </c>
      <c r="D768">
        <v>44447</v>
      </c>
      <c r="E768">
        <v>4</v>
      </c>
      <c r="F768">
        <v>4</v>
      </c>
      <c r="G768">
        <v>4</v>
      </c>
    </row>
    <row r="769" spans="1:7">
      <c r="A769">
        <v>3042</v>
      </c>
      <c r="B769" t="s">
        <v>6031</v>
      </c>
      <c r="C769" t="s">
        <v>5675</v>
      </c>
      <c r="D769">
        <v>44447</v>
      </c>
      <c r="E769">
        <v>3</v>
      </c>
      <c r="F769">
        <v>3</v>
      </c>
      <c r="G769">
        <v>3</v>
      </c>
    </row>
    <row r="770" spans="1:7">
      <c r="A770">
        <v>2886</v>
      </c>
      <c r="B770" t="s">
        <v>5863</v>
      </c>
      <c r="C770" t="s">
        <v>5645</v>
      </c>
      <c r="D770">
        <v>44447</v>
      </c>
      <c r="E770">
        <v>10</v>
      </c>
      <c r="F770">
        <v>10</v>
      </c>
      <c r="G770">
        <v>10</v>
      </c>
    </row>
    <row r="771" spans="1:7">
      <c r="A771">
        <v>2317</v>
      </c>
      <c r="B771" t="s">
        <v>5955</v>
      </c>
      <c r="C771" t="s">
        <v>5692</v>
      </c>
      <c r="D771">
        <v>44447</v>
      </c>
      <c r="E771">
        <v>8</v>
      </c>
      <c r="F771">
        <v>8</v>
      </c>
      <c r="G771">
        <v>8</v>
      </c>
    </row>
    <row r="772" spans="1:7">
      <c r="A772">
        <v>1229</v>
      </c>
      <c r="B772" t="s">
        <v>5876</v>
      </c>
      <c r="C772" t="s">
        <v>5872</v>
      </c>
      <c r="D772">
        <v>44447</v>
      </c>
      <c r="E772">
        <v>5</v>
      </c>
      <c r="F772">
        <v>5</v>
      </c>
      <c r="G772">
        <v>5</v>
      </c>
    </row>
    <row r="773" spans="1:7">
      <c r="A773">
        <v>2801</v>
      </c>
      <c r="B773" t="s">
        <v>5662</v>
      </c>
      <c r="C773" t="s">
        <v>5645</v>
      </c>
      <c r="D773">
        <v>44447</v>
      </c>
      <c r="E773">
        <v>9</v>
      </c>
      <c r="F773">
        <v>9</v>
      </c>
      <c r="G773">
        <v>9</v>
      </c>
    </row>
    <row r="774" spans="1:7">
      <c r="A774">
        <v>3006</v>
      </c>
      <c r="B774" t="s">
        <v>5720</v>
      </c>
      <c r="C774" t="s">
        <v>5666</v>
      </c>
      <c r="D774">
        <v>44447</v>
      </c>
      <c r="E774">
        <v>3</v>
      </c>
      <c r="F774">
        <v>3</v>
      </c>
      <c r="G774">
        <v>3</v>
      </c>
    </row>
    <row r="775" spans="1:7">
      <c r="A775">
        <v>2357</v>
      </c>
      <c r="B775" t="s">
        <v>5781</v>
      </c>
      <c r="C775" t="s">
        <v>5649</v>
      </c>
      <c r="D775">
        <v>44447</v>
      </c>
      <c r="E775">
        <v>6</v>
      </c>
      <c r="F775">
        <v>6</v>
      </c>
      <c r="G775">
        <v>6</v>
      </c>
    </row>
    <row r="776" spans="1:7">
      <c r="A776">
        <v>1529</v>
      </c>
      <c r="B776" t="s">
        <v>6076</v>
      </c>
      <c r="C776" t="s">
        <v>5670</v>
      </c>
      <c r="D776">
        <v>44447</v>
      </c>
      <c r="E776">
        <v>2</v>
      </c>
      <c r="F776">
        <v>2</v>
      </c>
      <c r="G776">
        <v>2</v>
      </c>
    </row>
    <row r="777" spans="1:7">
      <c r="A777">
        <v>3530</v>
      </c>
      <c r="B777" t="s">
        <v>5740</v>
      </c>
      <c r="C777" t="s">
        <v>5666</v>
      </c>
      <c r="D777">
        <v>44447</v>
      </c>
      <c r="E777">
        <v>4</v>
      </c>
      <c r="F777">
        <v>4</v>
      </c>
      <c r="G777">
        <v>4</v>
      </c>
    </row>
    <row r="778" spans="1:7">
      <c r="A778">
        <v>8110</v>
      </c>
      <c r="B778" t="s">
        <v>5685</v>
      </c>
      <c r="C778" t="s">
        <v>5666</v>
      </c>
      <c r="D778">
        <v>44447</v>
      </c>
      <c r="E778">
        <v>8</v>
      </c>
      <c r="F778">
        <v>8</v>
      </c>
      <c r="G778">
        <v>8</v>
      </c>
    </row>
    <row r="779" spans="1:7">
      <c r="A779">
        <v>3504</v>
      </c>
      <c r="B779" t="s">
        <v>6077</v>
      </c>
      <c r="C779" t="s">
        <v>5661</v>
      </c>
      <c r="D779">
        <v>44447</v>
      </c>
      <c r="E779">
        <v>6</v>
      </c>
      <c r="F779">
        <v>6</v>
      </c>
      <c r="G779">
        <v>6</v>
      </c>
    </row>
    <row r="780" spans="1:7">
      <c r="A780">
        <v>4133</v>
      </c>
      <c r="B780" t="s">
        <v>6078</v>
      </c>
      <c r="C780" t="s">
        <v>5729</v>
      </c>
      <c r="D780">
        <v>44447</v>
      </c>
      <c r="E780">
        <v>1</v>
      </c>
      <c r="F780">
        <v>1</v>
      </c>
      <c r="G780">
        <v>1</v>
      </c>
    </row>
    <row r="781" spans="1:7">
      <c r="A781">
        <v>3511</v>
      </c>
      <c r="B781" t="s">
        <v>6079</v>
      </c>
      <c r="C781" t="s">
        <v>5791</v>
      </c>
      <c r="D781">
        <v>44447</v>
      </c>
      <c r="E781">
        <v>4</v>
      </c>
      <c r="F781">
        <v>4</v>
      </c>
      <c r="G781">
        <v>4</v>
      </c>
    </row>
    <row r="782" spans="1:7">
      <c r="A782">
        <v>2208</v>
      </c>
      <c r="B782" t="s">
        <v>5716</v>
      </c>
      <c r="C782" t="s">
        <v>5679</v>
      </c>
      <c r="D782">
        <v>44447</v>
      </c>
      <c r="E782">
        <v>8</v>
      </c>
      <c r="F782">
        <v>8</v>
      </c>
      <c r="G782">
        <v>8</v>
      </c>
    </row>
    <row r="783" spans="1:7">
      <c r="A783">
        <v>3152</v>
      </c>
      <c r="B783" t="s">
        <v>6080</v>
      </c>
      <c r="C783" t="s">
        <v>5684</v>
      </c>
      <c r="D783">
        <v>44447</v>
      </c>
      <c r="E783">
        <v>1</v>
      </c>
      <c r="F783">
        <v>1</v>
      </c>
      <c r="G783">
        <v>1</v>
      </c>
    </row>
    <row r="784" spans="1:7">
      <c r="A784">
        <v>2613</v>
      </c>
      <c r="B784" t="s">
        <v>6081</v>
      </c>
      <c r="C784" t="s">
        <v>5679</v>
      </c>
      <c r="D784">
        <v>44447</v>
      </c>
      <c r="E784">
        <v>4</v>
      </c>
      <c r="F784">
        <v>4</v>
      </c>
      <c r="G784">
        <v>4</v>
      </c>
    </row>
    <row r="785" spans="1:7">
      <c r="A785">
        <v>1904</v>
      </c>
      <c r="B785" t="s">
        <v>5907</v>
      </c>
      <c r="C785" t="s">
        <v>5677</v>
      </c>
      <c r="D785">
        <v>44447</v>
      </c>
      <c r="E785">
        <v>5</v>
      </c>
      <c r="F785">
        <v>5</v>
      </c>
      <c r="G785">
        <v>5</v>
      </c>
    </row>
    <row r="786" spans="1:7">
      <c r="A786">
        <v>4414</v>
      </c>
      <c r="B786" t="s">
        <v>5968</v>
      </c>
      <c r="C786" t="s">
        <v>5706</v>
      </c>
      <c r="D786">
        <v>44447</v>
      </c>
      <c r="E786">
        <v>4</v>
      </c>
      <c r="F786">
        <v>4</v>
      </c>
      <c r="G786">
        <v>4</v>
      </c>
    </row>
    <row r="787" spans="1:7">
      <c r="A787">
        <v>2104</v>
      </c>
      <c r="B787" t="s">
        <v>6082</v>
      </c>
      <c r="C787" t="s">
        <v>5657</v>
      </c>
      <c r="D787">
        <v>44447</v>
      </c>
      <c r="E787">
        <v>6</v>
      </c>
      <c r="F787">
        <v>6</v>
      </c>
      <c r="G787">
        <v>6</v>
      </c>
    </row>
    <row r="788" spans="1:7">
      <c r="A788">
        <v>2609</v>
      </c>
      <c r="B788" t="s">
        <v>6083</v>
      </c>
      <c r="C788" t="s">
        <v>5679</v>
      </c>
      <c r="D788">
        <v>44447</v>
      </c>
      <c r="E788">
        <v>2</v>
      </c>
      <c r="F788">
        <v>2</v>
      </c>
      <c r="G788">
        <v>2</v>
      </c>
    </row>
    <row r="789" spans="1:7">
      <c r="A789">
        <v>6278</v>
      </c>
      <c r="B789" t="s">
        <v>5764</v>
      </c>
      <c r="C789" t="s">
        <v>5661</v>
      </c>
      <c r="D789">
        <v>44447</v>
      </c>
      <c r="E789">
        <v>8</v>
      </c>
      <c r="F789">
        <v>8</v>
      </c>
      <c r="G789">
        <v>8</v>
      </c>
    </row>
    <row r="790" spans="1:7">
      <c r="A790">
        <v>3260</v>
      </c>
      <c r="B790" t="s">
        <v>5712</v>
      </c>
      <c r="C790" t="s">
        <v>5690</v>
      </c>
      <c r="D790">
        <v>44447</v>
      </c>
      <c r="E790">
        <v>4</v>
      </c>
      <c r="F790">
        <v>4</v>
      </c>
      <c r="G790">
        <v>4</v>
      </c>
    </row>
    <row r="791" spans="1:7">
      <c r="A791">
        <v>3105</v>
      </c>
      <c r="B791" t="s">
        <v>6084</v>
      </c>
      <c r="C791" t="s">
        <v>5690</v>
      </c>
      <c r="D791">
        <v>44447</v>
      </c>
      <c r="E791">
        <v>4</v>
      </c>
      <c r="F791">
        <v>4</v>
      </c>
      <c r="G791">
        <v>4</v>
      </c>
    </row>
    <row r="792" spans="1:7">
      <c r="A792">
        <v>2867</v>
      </c>
      <c r="B792" t="s">
        <v>5854</v>
      </c>
      <c r="C792" t="s">
        <v>5645</v>
      </c>
      <c r="D792">
        <v>44447</v>
      </c>
      <c r="E792">
        <v>8</v>
      </c>
      <c r="F792">
        <v>8</v>
      </c>
      <c r="G792">
        <v>8</v>
      </c>
    </row>
    <row r="793" spans="1:7">
      <c r="A793">
        <v>4961</v>
      </c>
      <c r="B793" t="s">
        <v>5698</v>
      </c>
      <c r="C793" t="s">
        <v>5666</v>
      </c>
      <c r="D793">
        <v>44447</v>
      </c>
      <c r="E793">
        <v>3</v>
      </c>
      <c r="F793">
        <v>3</v>
      </c>
      <c r="G793">
        <v>3</v>
      </c>
    </row>
    <row r="794" spans="1:7">
      <c r="A794">
        <v>2331</v>
      </c>
      <c r="B794" t="s">
        <v>5972</v>
      </c>
      <c r="C794" t="s">
        <v>5649</v>
      </c>
      <c r="D794">
        <v>44447</v>
      </c>
      <c r="E794">
        <v>9</v>
      </c>
      <c r="F794">
        <v>9</v>
      </c>
      <c r="G794">
        <v>9</v>
      </c>
    </row>
    <row r="795" spans="1:7">
      <c r="A795">
        <v>8249</v>
      </c>
      <c r="B795" t="s">
        <v>6085</v>
      </c>
      <c r="C795" t="s">
        <v>5675</v>
      </c>
      <c r="D795">
        <v>44447</v>
      </c>
      <c r="E795">
        <v>8</v>
      </c>
      <c r="F795">
        <v>8</v>
      </c>
      <c r="G795">
        <v>8</v>
      </c>
    </row>
    <row r="796" spans="1:7">
      <c r="A796">
        <v>1444</v>
      </c>
      <c r="B796" t="s">
        <v>5859</v>
      </c>
      <c r="C796" t="s">
        <v>5706</v>
      </c>
      <c r="D796">
        <v>44447</v>
      </c>
      <c r="E796">
        <v>6</v>
      </c>
      <c r="F796">
        <v>6</v>
      </c>
      <c r="G796">
        <v>6</v>
      </c>
    </row>
    <row r="797" spans="1:7">
      <c r="A797">
        <v>6531</v>
      </c>
      <c r="B797" t="s">
        <v>5825</v>
      </c>
      <c r="C797" t="s">
        <v>5666</v>
      </c>
      <c r="D797">
        <v>44447</v>
      </c>
      <c r="E797">
        <v>6</v>
      </c>
      <c r="F797">
        <v>6</v>
      </c>
      <c r="G797">
        <v>6</v>
      </c>
    </row>
    <row r="798" spans="1:7">
      <c r="A798">
        <v>9103</v>
      </c>
      <c r="B798" t="s">
        <v>5864</v>
      </c>
      <c r="C798" t="s">
        <v>5865</v>
      </c>
      <c r="D798">
        <v>44447</v>
      </c>
      <c r="E798">
        <v>8</v>
      </c>
      <c r="F798">
        <v>8</v>
      </c>
      <c r="G798">
        <v>8</v>
      </c>
    </row>
    <row r="799" spans="1:7">
      <c r="A799">
        <v>2007</v>
      </c>
      <c r="B799" t="s">
        <v>5912</v>
      </c>
      <c r="C799" t="s">
        <v>5659</v>
      </c>
      <c r="D799">
        <v>44447</v>
      </c>
      <c r="E799">
        <v>3</v>
      </c>
      <c r="F799">
        <v>3</v>
      </c>
      <c r="G799">
        <v>3</v>
      </c>
    </row>
    <row r="800" spans="1:7">
      <c r="A800">
        <v>2608</v>
      </c>
      <c r="B800" t="s">
        <v>6086</v>
      </c>
      <c r="C800" t="s">
        <v>5679</v>
      </c>
      <c r="D800">
        <v>44447</v>
      </c>
      <c r="E800">
        <v>2</v>
      </c>
      <c r="F800">
        <v>2</v>
      </c>
      <c r="G800">
        <v>2</v>
      </c>
    </row>
    <row r="801" spans="1:7">
      <c r="A801">
        <v>2338</v>
      </c>
      <c r="B801" t="s">
        <v>5665</v>
      </c>
      <c r="C801" t="s">
        <v>5666</v>
      </c>
      <c r="D801">
        <v>44447</v>
      </c>
      <c r="E801">
        <v>5</v>
      </c>
      <c r="F801">
        <v>5</v>
      </c>
      <c r="G801">
        <v>5</v>
      </c>
    </row>
    <row r="802" spans="1:7">
      <c r="A802">
        <v>5876</v>
      </c>
      <c r="B802" t="s">
        <v>5715</v>
      </c>
      <c r="C802" t="s">
        <v>5645</v>
      </c>
      <c r="D802">
        <v>44446</v>
      </c>
      <c r="E802">
        <v>14</v>
      </c>
      <c r="F802">
        <v>14</v>
      </c>
      <c r="G802">
        <v>14</v>
      </c>
    </row>
    <row r="803" spans="1:7">
      <c r="A803">
        <v>2823</v>
      </c>
      <c r="B803" t="s">
        <v>5811</v>
      </c>
      <c r="C803" t="s">
        <v>5645</v>
      </c>
      <c r="D803">
        <v>44446</v>
      </c>
      <c r="E803">
        <v>17</v>
      </c>
      <c r="F803">
        <v>17</v>
      </c>
      <c r="G803">
        <v>17</v>
      </c>
    </row>
    <row r="804" spans="1:7">
      <c r="A804">
        <v>1718</v>
      </c>
      <c r="B804" t="s">
        <v>5816</v>
      </c>
      <c r="C804" t="s">
        <v>5733</v>
      </c>
      <c r="D804">
        <v>44446</v>
      </c>
      <c r="E804">
        <v>13</v>
      </c>
      <c r="F804">
        <v>13</v>
      </c>
      <c r="G804">
        <v>13</v>
      </c>
    </row>
    <row r="805" spans="1:7">
      <c r="A805">
        <v>1314</v>
      </c>
      <c r="B805" t="s">
        <v>5809</v>
      </c>
      <c r="C805" t="s">
        <v>5771</v>
      </c>
      <c r="D805">
        <v>44446</v>
      </c>
      <c r="E805">
        <v>8</v>
      </c>
      <c r="F805">
        <v>8</v>
      </c>
      <c r="G805">
        <v>8</v>
      </c>
    </row>
    <row r="806" spans="1:7">
      <c r="A806">
        <v>1313</v>
      </c>
      <c r="B806" t="s">
        <v>5991</v>
      </c>
      <c r="C806" t="s">
        <v>5771</v>
      </c>
      <c r="D806">
        <v>44446</v>
      </c>
      <c r="E806">
        <v>6</v>
      </c>
      <c r="F806">
        <v>6</v>
      </c>
      <c r="G806">
        <v>6</v>
      </c>
    </row>
    <row r="807" spans="1:7">
      <c r="A807">
        <v>1529</v>
      </c>
      <c r="B807" t="s">
        <v>6076</v>
      </c>
      <c r="C807" t="s">
        <v>5670</v>
      </c>
      <c r="D807">
        <v>44446</v>
      </c>
      <c r="E807">
        <v>2</v>
      </c>
      <c r="F807">
        <v>2</v>
      </c>
      <c r="G807">
        <v>2</v>
      </c>
    </row>
    <row r="808" spans="1:7">
      <c r="A808">
        <v>3045</v>
      </c>
      <c r="B808" t="s">
        <v>5680</v>
      </c>
      <c r="C808" t="s">
        <v>5653</v>
      </c>
      <c r="D808">
        <v>44446</v>
      </c>
      <c r="E808">
        <v>14</v>
      </c>
      <c r="F808">
        <v>14</v>
      </c>
      <c r="G808">
        <v>14</v>
      </c>
    </row>
    <row r="809" spans="1:7">
      <c r="A809">
        <v>1304</v>
      </c>
      <c r="B809" t="s">
        <v>6024</v>
      </c>
      <c r="C809" t="s">
        <v>5771</v>
      </c>
      <c r="D809">
        <v>44446</v>
      </c>
      <c r="E809">
        <v>8</v>
      </c>
      <c r="F809">
        <v>8</v>
      </c>
      <c r="G809">
        <v>8</v>
      </c>
    </row>
    <row r="810" spans="1:7">
      <c r="A810">
        <v>5328</v>
      </c>
      <c r="B810" t="s">
        <v>5906</v>
      </c>
      <c r="C810" t="s">
        <v>5791</v>
      </c>
      <c r="D810">
        <v>44446</v>
      </c>
      <c r="E810">
        <v>7</v>
      </c>
      <c r="F810">
        <v>7</v>
      </c>
      <c r="G810">
        <v>7</v>
      </c>
    </row>
    <row r="811" spans="1:7">
      <c r="A811">
        <v>4142</v>
      </c>
      <c r="B811" t="s">
        <v>6087</v>
      </c>
      <c r="C811" t="s">
        <v>5729</v>
      </c>
      <c r="D811">
        <v>44446</v>
      </c>
      <c r="E811">
        <v>8</v>
      </c>
      <c r="F811">
        <v>8</v>
      </c>
      <c r="G811">
        <v>8</v>
      </c>
    </row>
    <row r="812" spans="1:7">
      <c r="A812">
        <v>1310</v>
      </c>
      <c r="B812" t="s">
        <v>5801</v>
      </c>
      <c r="C812" t="s">
        <v>5771</v>
      </c>
      <c r="D812">
        <v>44446</v>
      </c>
      <c r="E812">
        <v>8</v>
      </c>
      <c r="F812">
        <v>8</v>
      </c>
      <c r="G812">
        <v>8</v>
      </c>
    </row>
    <row r="813" spans="1:7">
      <c r="A813">
        <v>2104</v>
      </c>
      <c r="B813" t="s">
        <v>6082</v>
      </c>
      <c r="C813" t="s">
        <v>5657</v>
      </c>
      <c r="D813">
        <v>44446</v>
      </c>
      <c r="E813">
        <v>6</v>
      </c>
      <c r="F813">
        <v>6</v>
      </c>
      <c r="G813">
        <v>6</v>
      </c>
    </row>
    <row r="814" spans="1:7">
      <c r="A814">
        <v>4904</v>
      </c>
      <c r="B814" t="s">
        <v>5654</v>
      </c>
      <c r="C814" t="s">
        <v>5653</v>
      </c>
      <c r="D814">
        <v>44446</v>
      </c>
      <c r="E814">
        <v>15</v>
      </c>
      <c r="F814">
        <v>15</v>
      </c>
      <c r="G814">
        <v>15</v>
      </c>
    </row>
    <row r="815" spans="1:7">
      <c r="A815">
        <v>8201</v>
      </c>
      <c r="B815" t="s">
        <v>5874</v>
      </c>
      <c r="C815" t="s">
        <v>5692</v>
      </c>
      <c r="D815">
        <v>44446</v>
      </c>
      <c r="E815">
        <v>8</v>
      </c>
      <c r="F815">
        <v>8</v>
      </c>
      <c r="G815">
        <v>8</v>
      </c>
    </row>
    <row r="816" spans="1:7">
      <c r="A816">
        <v>1303</v>
      </c>
      <c r="B816" t="s">
        <v>5792</v>
      </c>
      <c r="C816" t="s">
        <v>5771</v>
      </c>
      <c r="D816">
        <v>44446</v>
      </c>
      <c r="E816">
        <v>9</v>
      </c>
      <c r="F816">
        <v>9</v>
      </c>
      <c r="G816">
        <v>9</v>
      </c>
    </row>
    <row r="817" spans="1:7">
      <c r="A817">
        <v>1301</v>
      </c>
      <c r="B817" t="s">
        <v>5841</v>
      </c>
      <c r="C817" t="s">
        <v>5771</v>
      </c>
      <c r="D817">
        <v>44446</v>
      </c>
      <c r="E817">
        <v>11</v>
      </c>
      <c r="F817">
        <v>11</v>
      </c>
      <c r="G817">
        <v>11</v>
      </c>
    </row>
    <row r="818" spans="1:7">
      <c r="A818">
        <v>2520</v>
      </c>
      <c r="B818" t="s">
        <v>6088</v>
      </c>
      <c r="C818" t="s">
        <v>5651</v>
      </c>
      <c r="D818">
        <v>44446</v>
      </c>
      <c r="E818">
        <v>3</v>
      </c>
      <c r="F818">
        <v>3</v>
      </c>
      <c r="G818">
        <v>3</v>
      </c>
    </row>
    <row r="819" spans="1:7">
      <c r="A819">
        <v>3058</v>
      </c>
      <c r="B819" t="s">
        <v>6089</v>
      </c>
      <c r="C819" t="s">
        <v>5675</v>
      </c>
      <c r="D819">
        <v>44446</v>
      </c>
      <c r="E819">
        <v>4</v>
      </c>
      <c r="F819">
        <v>4</v>
      </c>
      <c r="G819">
        <v>4</v>
      </c>
    </row>
    <row r="820" spans="1:7">
      <c r="A820">
        <v>4123</v>
      </c>
      <c r="B820" t="s">
        <v>6090</v>
      </c>
      <c r="C820" t="s">
        <v>5867</v>
      </c>
      <c r="D820">
        <v>44446</v>
      </c>
      <c r="E820">
        <v>3</v>
      </c>
      <c r="F820">
        <v>3</v>
      </c>
      <c r="G820">
        <v>3</v>
      </c>
    </row>
    <row r="821" spans="1:7">
      <c r="A821">
        <v>2641</v>
      </c>
      <c r="B821" t="s">
        <v>6091</v>
      </c>
      <c r="C821" t="s">
        <v>5884</v>
      </c>
      <c r="D821">
        <v>44446</v>
      </c>
      <c r="E821">
        <v>3</v>
      </c>
      <c r="F821">
        <v>3</v>
      </c>
      <c r="G821">
        <v>3</v>
      </c>
    </row>
    <row r="822" spans="1:7">
      <c r="A822">
        <v>1709</v>
      </c>
      <c r="B822" t="s">
        <v>5836</v>
      </c>
      <c r="C822" t="s">
        <v>5733</v>
      </c>
      <c r="D822">
        <v>44446</v>
      </c>
      <c r="E822">
        <v>4</v>
      </c>
      <c r="F822">
        <v>4</v>
      </c>
      <c r="G822">
        <v>4</v>
      </c>
    </row>
    <row r="823" spans="1:7">
      <c r="A823">
        <v>2009</v>
      </c>
      <c r="B823" t="s">
        <v>5986</v>
      </c>
      <c r="C823" t="s">
        <v>5659</v>
      </c>
      <c r="D823">
        <v>44446</v>
      </c>
      <c r="E823">
        <v>9</v>
      </c>
      <c r="F823">
        <v>9</v>
      </c>
      <c r="G823">
        <v>9</v>
      </c>
    </row>
    <row r="824" spans="1:7">
      <c r="A824">
        <v>2108</v>
      </c>
      <c r="B824" t="s">
        <v>5656</v>
      </c>
      <c r="C824" t="s">
        <v>5657</v>
      </c>
      <c r="D824">
        <v>44446</v>
      </c>
      <c r="E824">
        <v>9</v>
      </c>
      <c r="F824">
        <v>9</v>
      </c>
      <c r="G824">
        <v>9</v>
      </c>
    </row>
    <row r="825" spans="1:7">
      <c r="A825">
        <v>1440</v>
      </c>
      <c r="B825" t="s">
        <v>5981</v>
      </c>
      <c r="C825" t="s">
        <v>5706</v>
      </c>
      <c r="D825">
        <v>44446</v>
      </c>
      <c r="E825">
        <v>5</v>
      </c>
      <c r="F825">
        <v>5</v>
      </c>
      <c r="G825">
        <v>5</v>
      </c>
    </row>
    <row r="826" spans="1:7">
      <c r="A826">
        <v>2834</v>
      </c>
      <c r="B826" t="s">
        <v>5672</v>
      </c>
      <c r="C826" t="s">
        <v>5645</v>
      </c>
      <c r="D826">
        <v>44446</v>
      </c>
      <c r="E826">
        <v>7</v>
      </c>
      <c r="F826">
        <v>7</v>
      </c>
      <c r="G826">
        <v>7</v>
      </c>
    </row>
    <row r="827" spans="1:7">
      <c r="A827">
        <v>5211</v>
      </c>
      <c r="B827" t="s">
        <v>5776</v>
      </c>
      <c r="C827" t="s">
        <v>5777</v>
      </c>
      <c r="D827">
        <v>44446</v>
      </c>
      <c r="E827">
        <v>4</v>
      </c>
      <c r="F827">
        <v>4</v>
      </c>
      <c r="G827">
        <v>4</v>
      </c>
    </row>
    <row r="828" spans="1:7">
      <c r="A828">
        <v>2006</v>
      </c>
      <c r="B828" t="s">
        <v>5843</v>
      </c>
      <c r="C828" t="s">
        <v>5659</v>
      </c>
      <c r="D828">
        <v>44446</v>
      </c>
      <c r="E828">
        <v>7</v>
      </c>
      <c r="F828">
        <v>7</v>
      </c>
      <c r="G828">
        <v>7</v>
      </c>
    </row>
    <row r="829" spans="1:7">
      <c r="A829">
        <v>1714</v>
      </c>
      <c r="B829" t="s">
        <v>5824</v>
      </c>
      <c r="C829" t="s">
        <v>5733</v>
      </c>
      <c r="D829">
        <v>44446</v>
      </c>
      <c r="E829">
        <v>8</v>
      </c>
      <c r="F829">
        <v>8</v>
      </c>
      <c r="G829">
        <v>8</v>
      </c>
    </row>
    <row r="830" spans="1:7">
      <c r="A830">
        <v>2801</v>
      </c>
      <c r="B830" t="s">
        <v>5662</v>
      </c>
      <c r="C830" t="s">
        <v>5645</v>
      </c>
      <c r="D830">
        <v>44446</v>
      </c>
      <c r="E830">
        <v>9</v>
      </c>
      <c r="F830">
        <v>9</v>
      </c>
      <c r="G830">
        <v>9</v>
      </c>
    </row>
    <row r="831" spans="1:7">
      <c r="A831">
        <v>9904</v>
      </c>
      <c r="B831" t="s">
        <v>5855</v>
      </c>
      <c r="C831" t="s">
        <v>5664</v>
      </c>
      <c r="D831">
        <v>44446</v>
      </c>
      <c r="E831">
        <v>11</v>
      </c>
      <c r="F831">
        <v>11</v>
      </c>
      <c r="G831">
        <v>11</v>
      </c>
    </row>
    <row r="832" spans="1:7">
      <c r="A832">
        <v>3354</v>
      </c>
      <c r="B832" t="s">
        <v>5790</v>
      </c>
      <c r="C832" t="s">
        <v>5791</v>
      </c>
      <c r="D832">
        <v>44446</v>
      </c>
      <c r="E832">
        <v>2</v>
      </c>
      <c r="F832">
        <v>2</v>
      </c>
      <c r="G832">
        <v>2</v>
      </c>
    </row>
    <row r="833" spans="1:7">
      <c r="A833">
        <v>2489</v>
      </c>
      <c r="B833" t="s">
        <v>5738</v>
      </c>
      <c r="C833" t="s">
        <v>5661</v>
      </c>
      <c r="D833">
        <v>44446</v>
      </c>
      <c r="E833">
        <v>9</v>
      </c>
      <c r="F833">
        <v>9</v>
      </c>
      <c r="G833">
        <v>9</v>
      </c>
    </row>
    <row r="834" spans="1:7">
      <c r="A834">
        <v>3050</v>
      </c>
      <c r="B834" t="s">
        <v>5927</v>
      </c>
      <c r="C834" t="s">
        <v>5661</v>
      </c>
      <c r="D834">
        <v>44446</v>
      </c>
      <c r="E834">
        <v>5</v>
      </c>
      <c r="F834">
        <v>5</v>
      </c>
      <c r="G834">
        <v>5</v>
      </c>
    </row>
    <row r="835" spans="1:7">
      <c r="A835">
        <v>1308</v>
      </c>
      <c r="B835" t="s">
        <v>5804</v>
      </c>
      <c r="C835" t="s">
        <v>5771</v>
      </c>
      <c r="D835">
        <v>44446</v>
      </c>
      <c r="E835">
        <v>7</v>
      </c>
      <c r="F835">
        <v>7</v>
      </c>
      <c r="G835">
        <v>7</v>
      </c>
    </row>
    <row r="836" spans="1:7">
      <c r="A836">
        <v>2845</v>
      </c>
      <c r="B836" t="s">
        <v>6066</v>
      </c>
      <c r="C836" t="s">
        <v>5645</v>
      </c>
      <c r="D836">
        <v>44446</v>
      </c>
      <c r="E836">
        <v>6</v>
      </c>
      <c r="F836">
        <v>6</v>
      </c>
      <c r="G836">
        <v>6</v>
      </c>
    </row>
    <row r="837" spans="1:7">
      <c r="A837">
        <v>2897</v>
      </c>
      <c r="B837" t="s">
        <v>5644</v>
      </c>
      <c r="C837" t="s">
        <v>5645</v>
      </c>
      <c r="D837">
        <v>44446</v>
      </c>
      <c r="E837">
        <v>5</v>
      </c>
      <c r="F837">
        <v>5</v>
      </c>
      <c r="G837">
        <v>5</v>
      </c>
    </row>
    <row r="838" spans="1:7">
      <c r="A838">
        <v>9958</v>
      </c>
      <c r="B838" t="s">
        <v>5783</v>
      </c>
      <c r="C838" t="s">
        <v>5659</v>
      </c>
      <c r="D838">
        <v>44446</v>
      </c>
      <c r="E838">
        <v>9</v>
      </c>
      <c r="F838">
        <v>9</v>
      </c>
      <c r="G838">
        <v>9</v>
      </c>
    </row>
    <row r="839" spans="1:7">
      <c r="A839">
        <v>3706</v>
      </c>
      <c r="B839" t="s">
        <v>5889</v>
      </c>
      <c r="C839" t="s">
        <v>5649</v>
      </c>
      <c r="D839">
        <v>44446</v>
      </c>
      <c r="E839">
        <v>12</v>
      </c>
      <c r="F839">
        <v>12</v>
      </c>
      <c r="G839">
        <v>12</v>
      </c>
    </row>
    <row r="840" spans="1:7">
      <c r="A840">
        <v>1229</v>
      </c>
      <c r="B840" t="s">
        <v>5876</v>
      </c>
      <c r="C840" t="s">
        <v>5872</v>
      </c>
      <c r="D840">
        <v>44446</v>
      </c>
      <c r="E840">
        <v>5</v>
      </c>
      <c r="F840">
        <v>5</v>
      </c>
      <c r="G840">
        <v>5</v>
      </c>
    </row>
    <row r="841" spans="1:7">
      <c r="A841">
        <v>1717</v>
      </c>
      <c r="B841" t="s">
        <v>5805</v>
      </c>
      <c r="C841" t="s">
        <v>5733</v>
      </c>
      <c r="D841">
        <v>44446</v>
      </c>
      <c r="E841">
        <v>8</v>
      </c>
      <c r="F841">
        <v>8</v>
      </c>
      <c r="G841">
        <v>8</v>
      </c>
    </row>
    <row r="842" spans="1:7">
      <c r="A842">
        <v>8215</v>
      </c>
      <c r="B842" t="s">
        <v>6092</v>
      </c>
      <c r="C842" t="s">
        <v>5661</v>
      </c>
      <c r="D842">
        <v>44446</v>
      </c>
      <c r="E842">
        <v>3</v>
      </c>
      <c r="F842">
        <v>3</v>
      </c>
      <c r="G842">
        <v>3</v>
      </c>
    </row>
    <row r="843" spans="1:7">
      <c r="A843">
        <v>3711</v>
      </c>
      <c r="B843" t="s">
        <v>5714</v>
      </c>
      <c r="C843" t="s">
        <v>5666</v>
      </c>
      <c r="D843">
        <v>44446</v>
      </c>
      <c r="E843">
        <v>4</v>
      </c>
      <c r="F843">
        <v>4</v>
      </c>
      <c r="G843">
        <v>4</v>
      </c>
    </row>
    <row r="844" spans="1:7">
      <c r="A844">
        <v>1795</v>
      </c>
      <c r="B844" t="s">
        <v>5728</v>
      </c>
      <c r="C844" t="s">
        <v>5729</v>
      </c>
      <c r="D844">
        <v>44446</v>
      </c>
      <c r="E844">
        <v>4</v>
      </c>
      <c r="F844">
        <v>4</v>
      </c>
      <c r="G844">
        <v>4</v>
      </c>
    </row>
    <row r="845" spans="1:7">
      <c r="A845">
        <v>2809</v>
      </c>
      <c r="B845" t="s">
        <v>5810</v>
      </c>
      <c r="C845" t="s">
        <v>5645</v>
      </c>
      <c r="D845">
        <v>44446</v>
      </c>
      <c r="E845">
        <v>15</v>
      </c>
      <c r="F845">
        <v>15</v>
      </c>
      <c r="G845">
        <v>15</v>
      </c>
    </row>
    <row r="846" spans="1:7">
      <c r="A846">
        <v>6213</v>
      </c>
      <c r="B846" t="s">
        <v>5756</v>
      </c>
      <c r="C846" t="s">
        <v>5675</v>
      </c>
      <c r="D846">
        <v>44446</v>
      </c>
      <c r="E846">
        <v>7</v>
      </c>
      <c r="F846">
        <v>7</v>
      </c>
      <c r="G846">
        <v>7</v>
      </c>
    </row>
    <row r="847" spans="1:7">
      <c r="A847">
        <v>4121</v>
      </c>
      <c r="B847" t="s">
        <v>6093</v>
      </c>
      <c r="C847" t="s">
        <v>5867</v>
      </c>
      <c r="D847">
        <v>44446</v>
      </c>
      <c r="E847">
        <v>1</v>
      </c>
      <c r="F847">
        <v>1</v>
      </c>
      <c r="G847">
        <v>1</v>
      </c>
    </row>
    <row r="848" spans="1:7">
      <c r="A848">
        <v>1783</v>
      </c>
      <c r="B848" t="s">
        <v>6037</v>
      </c>
      <c r="C848" t="s">
        <v>5729</v>
      </c>
      <c r="D848">
        <v>44446</v>
      </c>
      <c r="E848">
        <v>3</v>
      </c>
      <c r="F848">
        <v>3</v>
      </c>
      <c r="G848">
        <v>3</v>
      </c>
    </row>
    <row r="849" spans="1:7">
      <c r="A849">
        <v>2324</v>
      </c>
      <c r="B849" t="s">
        <v>5848</v>
      </c>
      <c r="C849" t="s">
        <v>5649</v>
      </c>
      <c r="D849">
        <v>44446</v>
      </c>
      <c r="E849">
        <v>7</v>
      </c>
      <c r="F849">
        <v>7</v>
      </c>
      <c r="G849">
        <v>7</v>
      </c>
    </row>
    <row r="850" spans="1:7">
      <c r="A850">
        <v>1604</v>
      </c>
      <c r="B850" t="s">
        <v>5947</v>
      </c>
      <c r="C850" t="s">
        <v>5858</v>
      </c>
      <c r="D850">
        <v>44446</v>
      </c>
      <c r="E850">
        <v>4</v>
      </c>
      <c r="F850">
        <v>4</v>
      </c>
      <c r="G850">
        <v>4</v>
      </c>
    </row>
    <row r="851" spans="1:7">
      <c r="A851">
        <v>1905</v>
      </c>
      <c r="B851" t="s">
        <v>5897</v>
      </c>
      <c r="C851" t="s">
        <v>5677</v>
      </c>
      <c r="D851">
        <v>44446</v>
      </c>
      <c r="E851">
        <v>6</v>
      </c>
      <c r="F851">
        <v>6</v>
      </c>
      <c r="G851">
        <v>6</v>
      </c>
    </row>
    <row r="852" spans="1:7">
      <c r="A852">
        <v>4927</v>
      </c>
      <c r="B852" t="s">
        <v>6056</v>
      </c>
      <c r="C852" t="s">
        <v>5675</v>
      </c>
      <c r="D852">
        <v>44446</v>
      </c>
      <c r="E852">
        <v>3</v>
      </c>
      <c r="F852">
        <v>3</v>
      </c>
      <c r="G852">
        <v>3</v>
      </c>
    </row>
    <row r="853" spans="1:7">
      <c r="A853">
        <v>2331</v>
      </c>
      <c r="B853" t="s">
        <v>5972</v>
      </c>
      <c r="C853" t="s">
        <v>5649</v>
      </c>
      <c r="D853">
        <v>44446</v>
      </c>
      <c r="E853">
        <v>9</v>
      </c>
      <c r="F853">
        <v>9</v>
      </c>
      <c r="G853">
        <v>9</v>
      </c>
    </row>
    <row r="854" spans="1:7">
      <c r="A854">
        <v>3372</v>
      </c>
      <c r="B854" t="s">
        <v>5931</v>
      </c>
      <c r="C854" t="s">
        <v>5690</v>
      </c>
      <c r="D854">
        <v>44446</v>
      </c>
      <c r="E854">
        <v>2</v>
      </c>
      <c r="F854">
        <v>2</v>
      </c>
      <c r="G854">
        <v>2</v>
      </c>
    </row>
    <row r="855" spans="1:7">
      <c r="A855">
        <v>4726</v>
      </c>
      <c r="B855" t="s">
        <v>6094</v>
      </c>
      <c r="C855" t="s">
        <v>5867</v>
      </c>
      <c r="D855">
        <v>44446</v>
      </c>
      <c r="E855">
        <v>1</v>
      </c>
      <c r="F855">
        <v>1</v>
      </c>
      <c r="G855">
        <v>1</v>
      </c>
    </row>
    <row r="856" spans="1:7">
      <c r="A856">
        <v>1477</v>
      </c>
      <c r="B856" t="s">
        <v>5916</v>
      </c>
      <c r="C856" t="s">
        <v>5706</v>
      </c>
      <c r="D856">
        <v>44446</v>
      </c>
      <c r="E856">
        <v>3</v>
      </c>
      <c r="F856">
        <v>3</v>
      </c>
      <c r="G856">
        <v>3</v>
      </c>
    </row>
    <row r="857" spans="1:7">
      <c r="A857">
        <v>8249</v>
      </c>
      <c r="B857" t="s">
        <v>6085</v>
      </c>
      <c r="C857" t="s">
        <v>5675</v>
      </c>
      <c r="D857">
        <v>44446</v>
      </c>
      <c r="E857">
        <v>8</v>
      </c>
      <c r="F857">
        <v>8</v>
      </c>
      <c r="G857">
        <v>8</v>
      </c>
    </row>
    <row r="858" spans="1:7">
      <c r="A858">
        <v>2547</v>
      </c>
      <c r="B858" t="s">
        <v>6052</v>
      </c>
      <c r="C858" t="s">
        <v>5651</v>
      </c>
      <c r="D858">
        <v>44446</v>
      </c>
      <c r="E858">
        <v>5</v>
      </c>
      <c r="F858">
        <v>5</v>
      </c>
      <c r="G858">
        <v>5</v>
      </c>
    </row>
    <row r="859" spans="1:7">
      <c r="A859">
        <v>8044</v>
      </c>
      <c r="B859" t="s">
        <v>5894</v>
      </c>
      <c r="C859" t="s">
        <v>5895</v>
      </c>
      <c r="D859">
        <v>44446</v>
      </c>
      <c r="E859">
        <v>6</v>
      </c>
      <c r="F859">
        <v>6</v>
      </c>
      <c r="G859">
        <v>6</v>
      </c>
    </row>
    <row r="860" spans="1:7">
      <c r="A860">
        <v>2883</v>
      </c>
      <c r="B860" t="s">
        <v>5915</v>
      </c>
      <c r="C860" t="s">
        <v>5645</v>
      </c>
      <c r="D860">
        <v>44446</v>
      </c>
      <c r="E860">
        <v>7</v>
      </c>
      <c r="F860">
        <v>7</v>
      </c>
      <c r="G860">
        <v>7</v>
      </c>
    </row>
    <row r="861" spans="1:7">
      <c r="A861">
        <v>2515</v>
      </c>
      <c r="B861" t="s">
        <v>6095</v>
      </c>
      <c r="C861" t="s">
        <v>5651</v>
      </c>
      <c r="D861">
        <v>44446</v>
      </c>
      <c r="E861">
        <v>10</v>
      </c>
      <c r="F861">
        <v>10</v>
      </c>
      <c r="G861">
        <v>10</v>
      </c>
    </row>
    <row r="862" spans="1:7">
      <c r="A862">
        <v>1326</v>
      </c>
      <c r="B862" t="s">
        <v>5814</v>
      </c>
      <c r="C862" t="s">
        <v>5771</v>
      </c>
      <c r="D862">
        <v>44446</v>
      </c>
      <c r="E862">
        <v>14</v>
      </c>
      <c r="F862">
        <v>14</v>
      </c>
      <c r="G862">
        <v>14</v>
      </c>
    </row>
    <row r="863" spans="1:7">
      <c r="A863">
        <v>2885</v>
      </c>
      <c r="B863" t="s">
        <v>5852</v>
      </c>
      <c r="C863" t="s">
        <v>5645</v>
      </c>
      <c r="D863">
        <v>44446</v>
      </c>
      <c r="E863">
        <v>6</v>
      </c>
      <c r="F863">
        <v>6</v>
      </c>
      <c r="G863">
        <v>6</v>
      </c>
    </row>
    <row r="864" spans="1:7">
      <c r="A864">
        <v>2455</v>
      </c>
      <c r="B864" t="s">
        <v>5695</v>
      </c>
      <c r="C864" t="s">
        <v>5653</v>
      </c>
      <c r="D864">
        <v>44446</v>
      </c>
      <c r="E864">
        <v>8</v>
      </c>
      <c r="F864">
        <v>8</v>
      </c>
      <c r="G864">
        <v>8</v>
      </c>
    </row>
    <row r="865" spans="1:7">
      <c r="A865">
        <v>4743</v>
      </c>
      <c r="B865" t="s">
        <v>6030</v>
      </c>
      <c r="C865" t="s">
        <v>5867</v>
      </c>
      <c r="D865">
        <v>44446</v>
      </c>
      <c r="E865">
        <v>4</v>
      </c>
      <c r="F865">
        <v>4</v>
      </c>
      <c r="G865">
        <v>4</v>
      </c>
    </row>
    <row r="866" spans="1:7">
      <c r="A866">
        <v>6547</v>
      </c>
      <c r="B866" t="s">
        <v>6096</v>
      </c>
      <c r="C866" t="s">
        <v>5867</v>
      </c>
      <c r="D866">
        <v>44446</v>
      </c>
      <c r="E866">
        <v>1</v>
      </c>
      <c r="F866">
        <v>1</v>
      </c>
      <c r="G866">
        <v>1</v>
      </c>
    </row>
    <row r="867" spans="1:7">
      <c r="A867">
        <v>2344</v>
      </c>
      <c r="B867" t="s">
        <v>6011</v>
      </c>
      <c r="C867" t="s">
        <v>5666</v>
      </c>
      <c r="D867">
        <v>44446</v>
      </c>
      <c r="E867">
        <v>7</v>
      </c>
      <c r="F867">
        <v>7</v>
      </c>
      <c r="G867">
        <v>7</v>
      </c>
    </row>
    <row r="868" spans="1:7">
      <c r="A868">
        <v>5871</v>
      </c>
      <c r="B868" t="s">
        <v>5700</v>
      </c>
      <c r="C868" t="s">
        <v>5664</v>
      </c>
      <c r="D868">
        <v>44446</v>
      </c>
      <c r="E868">
        <v>10</v>
      </c>
      <c r="F868">
        <v>10</v>
      </c>
      <c r="G868">
        <v>10</v>
      </c>
    </row>
    <row r="869" spans="1:7">
      <c r="A869">
        <v>2603</v>
      </c>
      <c r="B869" t="s">
        <v>5721</v>
      </c>
      <c r="C869" t="s">
        <v>5679</v>
      </c>
      <c r="D869">
        <v>44446</v>
      </c>
      <c r="E869">
        <v>6</v>
      </c>
      <c r="F869">
        <v>6</v>
      </c>
      <c r="G869">
        <v>6</v>
      </c>
    </row>
    <row r="870" spans="1:7">
      <c r="A870">
        <v>2481</v>
      </c>
      <c r="B870" t="s">
        <v>5702</v>
      </c>
      <c r="C870" t="s">
        <v>5666</v>
      </c>
      <c r="D870">
        <v>44446</v>
      </c>
      <c r="E870">
        <v>4</v>
      </c>
      <c r="F870">
        <v>4</v>
      </c>
      <c r="G870">
        <v>4</v>
      </c>
    </row>
    <row r="871" spans="1:7">
      <c r="A871">
        <v>1760</v>
      </c>
      <c r="B871" t="s">
        <v>6097</v>
      </c>
      <c r="C871" t="s">
        <v>5729</v>
      </c>
      <c r="D871">
        <v>44446</v>
      </c>
      <c r="E871">
        <v>1</v>
      </c>
      <c r="F871">
        <v>1</v>
      </c>
      <c r="G871">
        <v>1</v>
      </c>
    </row>
    <row r="872" spans="1:7">
      <c r="A872">
        <v>5905</v>
      </c>
      <c r="B872" t="s">
        <v>6098</v>
      </c>
      <c r="C872" t="s">
        <v>6099</v>
      </c>
      <c r="D872">
        <v>44446</v>
      </c>
      <c r="E872">
        <v>5</v>
      </c>
      <c r="F872">
        <v>5</v>
      </c>
      <c r="G872">
        <v>5</v>
      </c>
    </row>
    <row r="873" spans="1:7">
      <c r="A873">
        <v>5481</v>
      </c>
      <c r="B873" t="s">
        <v>6100</v>
      </c>
      <c r="C873" t="s">
        <v>5985</v>
      </c>
      <c r="D873">
        <v>44446</v>
      </c>
      <c r="E873">
        <v>1</v>
      </c>
      <c r="F873">
        <v>1</v>
      </c>
      <c r="G873">
        <v>1</v>
      </c>
    </row>
    <row r="874" spans="1:7">
      <c r="A874">
        <v>1409</v>
      </c>
      <c r="B874" t="s">
        <v>5775</v>
      </c>
      <c r="C874" t="s">
        <v>5706</v>
      </c>
      <c r="D874">
        <v>44446</v>
      </c>
      <c r="E874">
        <v>6</v>
      </c>
      <c r="F874">
        <v>6</v>
      </c>
      <c r="G874">
        <v>6</v>
      </c>
    </row>
    <row r="875" spans="1:7">
      <c r="A875">
        <v>3702</v>
      </c>
      <c r="B875" t="s">
        <v>5686</v>
      </c>
      <c r="C875" t="s">
        <v>5687</v>
      </c>
      <c r="D875">
        <v>44446</v>
      </c>
      <c r="E875">
        <v>16</v>
      </c>
      <c r="F875">
        <v>16</v>
      </c>
      <c r="G875">
        <v>16</v>
      </c>
    </row>
    <row r="876" spans="1:7">
      <c r="A876">
        <v>3264</v>
      </c>
      <c r="B876" t="s">
        <v>5755</v>
      </c>
      <c r="C876" t="s">
        <v>5690</v>
      </c>
      <c r="D876">
        <v>44446</v>
      </c>
      <c r="E876">
        <v>3</v>
      </c>
      <c r="F876">
        <v>3</v>
      </c>
      <c r="G876">
        <v>3</v>
      </c>
    </row>
    <row r="877" spans="1:7">
      <c r="A877">
        <v>1460</v>
      </c>
      <c r="B877" t="s">
        <v>6012</v>
      </c>
      <c r="C877" t="s">
        <v>5706</v>
      </c>
      <c r="D877">
        <v>44446</v>
      </c>
      <c r="E877">
        <v>4</v>
      </c>
      <c r="F877">
        <v>4</v>
      </c>
      <c r="G877">
        <v>4</v>
      </c>
    </row>
    <row r="878" spans="1:7">
      <c r="A878">
        <v>3305</v>
      </c>
      <c r="B878" t="s">
        <v>5956</v>
      </c>
      <c r="C878" t="s">
        <v>5692</v>
      </c>
      <c r="D878">
        <v>44446</v>
      </c>
      <c r="E878">
        <v>3</v>
      </c>
      <c r="F878">
        <v>3</v>
      </c>
      <c r="G878">
        <v>3</v>
      </c>
    </row>
    <row r="879" spans="1:7">
      <c r="A879">
        <v>1312</v>
      </c>
      <c r="B879" t="s">
        <v>5773</v>
      </c>
      <c r="C879" t="s">
        <v>5771</v>
      </c>
      <c r="D879">
        <v>44446</v>
      </c>
      <c r="E879">
        <v>8</v>
      </c>
      <c r="F879">
        <v>8</v>
      </c>
      <c r="G879">
        <v>8</v>
      </c>
    </row>
    <row r="880" spans="1:7">
      <c r="A880">
        <v>5258</v>
      </c>
      <c r="B880" t="s">
        <v>5849</v>
      </c>
      <c r="C880" t="s">
        <v>5649</v>
      </c>
      <c r="D880">
        <v>44446</v>
      </c>
      <c r="E880">
        <v>2</v>
      </c>
      <c r="F880">
        <v>2</v>
      </c>
      <c r="G880">
        <v>2</v>
      </c>
    </row>
    <row r="881" spans="1:7">
      <c r="A881">
        <v>2537</v>
      </c>
      <c r="B881" t="s">
        <v>6101</v>
      </c>
      <c r="C881" t="s">
        <v>5651</v>
      </c>
      <c r="D881">
        <v>44446</v>
      </c>
      <c r="E881">
        <v>1</v>
      </c>
      <c r="F881">
        <v>1</v>
      </c>
      <c r="G881">
        <v>1</v>
      </c>
    </row>
    <row r="882" spans="1:7">
      <c r="A882">
        <v>2615</v>
      </c>
      <c r="B882" t="s">
        <v>5734</v>
      </c>
      <c r="C882" t="s">
        <v>5679</v>
      </c>
      <c r="D882">
        <v>44446</v>
      </c>
      <c r="E882">
        <v>4</v>
      </c>
      <c r="F882">
        <v>4</v>
      </c>
      <c r="G882">
        <v>4</v>
      </c>
    </row>
    <row r="883" spans="1:7">
      <c r="A883">
        <v>5425</v>
      </c>
      <c r="B883" t="s">
        <v>5704</v>
      </c>
      <c r="C883" t="s">
        <v>5690</v>
      </c>
      <c r="D883">
        <v>44446</v>
      </c>
      <c r="E883">
        <v>8</v>
      </c>
      <c r="F883">
        <v>8</v>
      </c>
      <c r="G883">
        <v>8</v>
      </c>
    </row>
    <row r="884" spans="1:7">
      <c r="A884">
        <v>2409</v>
      </c>
      <c r="B884" t="s">
        <v>5850</v>
      </c>
      <c r="C884" t="s">
        <v>5661</v>
      </c>
      <c r="D884">
        <v>44446</v>
      </c>
      <c r="E884">
        <v>6</v>
      </c>
      <c r="F884">
        <v>6</v>
      </c>
      <c r="G884">
        <v>6</v>
      </c>
    </row>
    <row r="885" spans="1:7">
      <c r="A885">
        <v>2327</v>
      </c>
      <c r="B885" t="s">
        <v>5674</v>
      </c>
      <c r="C885" t="s">
        <v>5675</v>
      </c>
      <c r="D885">
        <v>44446</v>
      </c>
      <c r="E885">
        <v>6</v>
      </c>
      <c r="F885">
        <v>6</v>
      </c>
      <c r="G885">
        <v>6</v>
      </c>
    </row>
    <row r="886" spans="1:7">
      <c r="A886">
        <v>8085</v>
      </c>
      <c r="B886" t="s">
        <v>6023</v>
      </c>
      <c r="C886" t="s">
        <v>5800</v>
      </c>
      <c r="D886">
        <v>44446</v>
      </c>
      <c r="E886">
        <v>8</v>
      </c>
      <c r="F886">
        <v>8</v>
      </c>
      <c r="G886">
        <v>8</v>
      </c>
    </row>
    <row r="887" spans="1:7">
      <c r="A887">
        <v>2390</v>
      </c>
      <c r="B887" t="s">
        <v>5951</v>
      </c>
      <c r="C887" t="s">
        <v>5692</v>
      </c>
      <c r="D887">
        <v>44446</v>
      </c>
      <c r="E887">
        <v>4</v>
      </c>
      <c r="F887">
        <v>4</v>
      </c>
      <c r="G887">
        <v>4</v>
      </c>
    </row>
    <row r="888" spans="1:7">
      <c r="A888">
        <v>2642</v>
      </c>
      <c r="B888" t="s">
        <v>5754</v>
      </c>
      <c r="C888" t="s">
        <v>5679</v>
      </c>
      <c r="D888">
        <v>44446</v>
      </c>
      <c r="E888">
        <v>7</v>
      </c>
      <c r="F888">
        <v>7</v>
      </c>
      <c r="G888">
        <v>7</v>
      </c>
    </row>
    <row r="889" spans="1:7">
      <c r="A889">
        <v>6219</v>
      </c>
      <c r="B889" t="s">
        <v>5832</v>
      </c>
      <c r="C889" t="s">
        <v>5833</v>
      </c>
      <c r="D889">
        <v>44446</v>
      </c>
      <c r="E889">
        <v>8</v>
      </c>
      <c r="F889">
        <v>8</v>
      </c>
      <c r="G889">
        <v>8</v>
      </c>
    </row>
    <row r="890" spans="1:7">
      <c r="A890">
        <v>2353</v>
      </c>
      <c r="B890" t="s">
        <v>5965</v>
      </c>
      <c r="C890" t="s">
        <v>5649</v>
      </c>
      <c r="D890">
        <v>44446</v>
      </c>
      <c r="E890">
        <v>9</v>
      </c>
      <c r="F890">
        <v>9</v>
      </c>
      <c r="G890">
        <v>9</v>
      </c>
    </row>
    <row r="891" spans="1:7">
      <c r="A891">
        <v>4746</v>
      </c>
      <c r="B891" t="s">
        <v>6102</v>
      </c>
      <c r="C891" t="s">
        <v>5729</v>
      </c>
      <c r="D891">
        <v>44446</v>
      </c>
      <c r="E891">
        <v>1</v>
      </c>
      <c r="F891">
        <v>1</v>
      </c>
      <c r="G891">
        <v>1</v>
      </c>
    </row>
    <row r="892" spans="1:7">
      <c r="A892">
        <v>1605</v>
      </c>
      <c r="B892" t="s">
        <v>5857</v>
      </c>
      <c r="C892" t="s">
        <v>5858</v>
      </c>
      <c r="D892">
        <v>44446</v>
      </c>
      <c r="E892">
        <v>9</v>
      </c>
      <c r="F892">
        <v>9</v>
      </c>
      <c r="G892">
        <v>9</v>
      </c>
    </row>
    <row r="893" spans="1:7">
      <c r="A893">
        <v>2383</v>
      </c>
      <c r="B893" t="s">
        <v>5780</v>
      </c>
      <c r="C893" t="s">
        <v>5675</v>
      </c>
      <c r="D893">
        <v>44446</v>
      </c>
      <c r="E893">
        <v>5</v>
      </c>
      <c r="F893">
        <v>5</v>
      </c>
      <c r="G893">
        <v>5</v>
      </c>
    </row>
    <row r="894" spans="1:7">
      <c r="A894">
        <v>2354</v>
      </c>
      <c r="B894" t="s">
        <v>5691</v>
      </c>
      <c r="C894" t="s">
        <v>5692</v>
      </c>
      <c r="D894">
        <v>44446</v>
      </c>
      <c r="E894">
        <v>4</v>
      </c>
      <c r="F894">
        <v>4</v>
      </c>
      <c r="G894">
        <v>4</v>
      </c>
    </row>
    <row r="895" spans="1:7">
      <c r="A895">
        <v>2010</v>
      </c>
      <c r="B895" t="s">
        <v>5658</v>
      </c>
      <c r="C895" t="s">
        <v>5659</v>
      </c>
      <c r="D895">
        <v>44446</v>
      </c>
      <c r="E895">
        <v>8</v>
      </c>
      <c r="F895">
        <v>8</v>
      </c>
      <c r="G895">
        <v>8</v>
      </c>
    </row>
    <row r="896" spans="1:7">
      <c r="A896">
        <v>1305</v>
      </c>
      <c r="B896" t="s">
        <v>5770</v>
      </c>
      <c r="C896" t="s">
        <v>5771</v>
      </c>
      <c r="D896">
        <v>44446</v>
      </c>
      <c r="E896">
        <v>7</v>
      </c>
      <c r="F896">
        <v>7</v>
      </c>
      <c r="G896">
        <v>7</v>
      </c>
    </row>
    <row r="897" spans="1:7">
      <c r="A897">
        <v>1608</v>
      </c>
      <c r="B897" t="s">
        <v>5979</v>
      </c>
      <c r="C897" t="s">
        <v>5858</v>
      </c>
      <c r="D897">
        <v>44446</v>
      </c>
      <c r="E897">
        <v>7</v>
      </c>
      <c r="F897">
        <v>7</v>
      </c>
      <c r="G897">
        <v>7</v>
      </c>
    </row>
    <row r="898" spans="1:7">
      <c r="A898">
        <v>9103</v>
      </c>
      <c r="B898" t="s">
        <v>5864</v>
      </c>
      <c r="C898" t="s">
        <v>5865</v>
      </c>
      <c r="D898">
        <v>44446</v>
      </c>
      <c r="E898">
        <v>8</v>
      </c>
      <c r="F898">
        <v>8</v>
      </c>
      <c r="G898">
        <v>8</v>
      </c>
    </row>
    <row r="899" spans="1:7">
      <c r="A899">
        <v>1402</v>
      </c>
      <c r="B899" t="s">
        <v>5851</v>
      </c>
      <c r="C899" t="s">
        <v>5706</v>
      </c>
      <c r="D899">
        <v>44446</v>
      </c>
      <c r="E899">
        <v>10</v>
      </c>
      <c r="F899">
        <v>10</v>
      </c>
      <c r="G899">
        <v>10</v>
      </c>
    </row>
    <row r="900" spans="1:7">
      <c r="A900">
        <v>2617</v>
      </c>
      <c r="B900" t="s">
        <v>5891</v>
      </c>
      <c r="C900" t="s">
        <v>5679</v>
      </c>
      <c r="D900">
        <v>44446</v>
      </c>
      <c r="E900">
        <v>6</v>
      </c>
      <c r="F900">
        <v>6</v>
      </c>
      <c r="G900">
        <v>6</v>
      </c>
    </row>
    <row r="901" spans="1:7">
      <c r="A901">
        <v>5439</v>
      </c>
      <c r="B901" t="s">
        <v>6103</v>
      </c>
      <c r="C901" t="s">
        <v>5791</v>
      </c>
      <c r="D901">
        <v>44446</v>
      </c>
      <c r="E901">
        <v>2</v>
      </c>
      <c r="F901">
        <v>2</v>
      </c>
      <c r="G901">
        <v>2</v>
      </c>
    </row>
    <row r="902" spans="1:7">
      <c r="A902">
        <v>5876</v>
      </c>
      <c r="B902" t="s">
        <v>5715</v>
      </c>
      <c r="C902" t="s">
        <v>5645</v>
      </c>
      <c r="D902">
        <v>44445</v>
      </c>
      <c r="E902">
        <v>14</v>
      </c>
      <c r="F902">
        <v>14</v>
      </c>
      <c r="G902">
        <v>14</v>
      </c>
    </row>
    <row r="903" spans="1:7">
      <c r="A903">
        <v>6116</v>
      </c>
      <c r="B903" t="s">
        <v>5898</v>
      </c>
      <c r="C903" t="s">
        <v>5661</v>
      </c>
      <c r="D903">
        <v>44445</v>
      </c>
      <c r="E903">
        <v>7</v>
      </c>
      <c r="F903">
        <v>7</v>
      </c>
      <c r="G903">
        <v>7</v>
      </c>
    </row>
    <row r="904" spans="1:7">
      <c r="A904">
        <v>2823</v>
      </c>
      <c r="B904" t="s">
        <v>5811</v>
      </c>
      <c r="C904" t="s">
        <v>5645</v>
      </c>
      <c r="D904">
        <v>44445</v>
      </c>
      <c r="E904">
        <v>17</v>
      </c>
      <c r="F904">
        <v>17</v>
      </c>
      <c r="G904">
        <v>17</v>
      </c>
    </row>
    <row r="905" spans="1:7">
      <c r="A905">
        <v>2308</v>
      </c>
      <c r="B905" t="s">
        <v>5831</v>
      </c>
      <c r="C905" t="s">
        <v>5675</v>
      </c>
      <c r="D905">
        <v>44445</v>
      </c>
      <c r="E905">
        <v>7</v>
      </c>
      <c r="F905">
        <v>7</v>
      </c>
      <c r="G905">
        <v>7</v>
      </c>
    </row>
    <row r="906" spans="1:7">
      <c r="A906">
        <v>3466</v>
      </c>
      <c r="B906" t="s">
        <v>5726</v>
      </c>
      <c r="C906" t="s">
        <v>5684</v>
      </c>
      <c r="D906">
        <v>44445</v>
      </c>
      <c r="E906">
        <v>4</v>
      </c>
      <c r="F906">
        <v>4</v>
      </c>
      <c r="G906">
        <v>4</v>
      </c>
    </row>
    <row r="907" spans="1:7">
      <c r="A907">
        <v>9921</v>
      </c>
      <c r="B907" t="s">
        <v>6051</v>
      </c>
      <c r="C907" t="s">
        <v>5664</v>
      </c>
      <c r="D907">
        <v>44445</v>
      </c>
      <c r="E907">
        <v>7</v>
      </c>
      <c r="F907">
        <v>7</v>
      </c>
      <c r="G907">
        <v>7</v>
      </c>
    </row>
    <row r="908" spans="1:7">
      <c r="A908">
        <v>9904</v>
      </c>
      <c r="B908" t="s">
        <v>5855</v>
      </c>
      <c r="C908" t="s">
        <v>5664</v>
      </c>
      <c r="D908">
        <v>44445</v>
      </c>
      <c r="E908">
        <v>11</v>
      </c>
      <c r="F908">
        <v>11</v>
      </c>
      <c r="G908">
        <v>11</v>
      </c>
    </row>
    <row r="909" spans="1:7">
      <c r="A909">
        <v>3045</v>
      </c>
      <c r="B909" t="s">
        <v>5680</v>
      </c>
      <c r="C909" t="s">
        <v>5653</v>
      </c>
      <c r="D909">
        <v>44445</v>
      </c>
      <c r="E909">
        <v>14</v>
      </c>
      <c r="F909">
        <v>14</v>
      </c>
      <c r="G909">
        <v>14</v>
      </c>
    </row>
    <row r="910" spans="1:7">
      <c r="A910">
        <v>2002</v>
      </c>
      <c r="B910" t="s">
        <v>6025</v>
      </c>
      <c r="C910" t="s">
        <v>5659</v>
      </c>
      <c r="D910">
        <v>44445</v>
      </c>
      <c r="E910">
        <v>8</v>
      </c>
      <c r="F910">
        <v>8</v>
      </c>
      <c r="G910">
        <v>8</v>
      </c>
    </row>
    <row r="911" spans="1:7">
      <c r="A911">
        <v>2897</v>
      </c>
      <c r="B911" t="s">
        <v>5644</v>
      </c>
      <c r="C911" t="s">
        <v>5645</v>
      </c>
      <c r="D911">
        <v>44445</v>
      </c>
      <c r="E911">
        <v>5</v>
      </c>
      <c r="F911">
        <v>5</v>
      </c>
      <c r="G911">
        <v>5</v>
      </c>
    </row>
    <row r="912" spans="1:7">
      <c r="A912">
        <v>2314</v>
      </c>
      <c r="B912" t="s">
        <v>5707</v>
      </c>
      <c r="C912" t="s">
        <v>5653</v>
      </c>
      <c r="D912">
        <v>44445</v>
      </c>
      <c r="E912">
        <v>5</v>
      </c>
      <c r="F912">
        <v>5</v>
      </c>
      <c r="G912">
        <v>5</v>
      </c>
    </row>
    <row r="913" spans="1:7">
      <c r="A913">
        <v>3207</v>
      </c>
      <c r="B913" t="s">
        <v>6104</v>
      </c>
      <c r="C913" t="s">
        <v>5791</v>
      </c>
      <c r="D913">
        <v>44445</v>
      </c>
      <c r="E913">
        <v>4</v>
      </c>
      <c r="F913">
        <v>4</v>
      </c>
      <c r="G913">
        <v>4</v>
      </c>
    </row>
    <row r="914" spans="1:7">
      <c r="A914">
        <v>3675</v>
      </c>
      <c r="B914" t="s">
        <v>6105</v>
      </c>
      <c r="C914" t="s">
        <v>5690</v>
      </c>
      <c r="D914">
        <v>44445</v>
      </c>
      <c r="E914">
        <v>6</v>
      </c>
      <c r="F914">
        <v>6</v>
      </c>
      <c r="G914">
        <v>6</v>
      </c>
    </row>
    <row r="915" spans="1:7">
      <c r="A915">
        <v>6643</v>
      </c>
      <c r="B915" t="s">
        <v>6106</v>
      </c>
      <c r="C915" t="s">
        <v>5690</v>
      </c>
      <c r="D915">
        <v>44445</v>
      </c>
      <c r="E915">
        <v>1</v>
      </c>
      <c r="F915">
        <v>1</v>
      </c>
      <c r="G915">
        <v>1</v>
      </c>
    </row>
    <row r="916" spans="1:7">
      <c r="A916">
        <v>2340</v>
      </c>
      <c r="B916" t="s">
        <v>5749</v>
      </c>
      <c r="C916" t="s">
        <v>5661</v>
      </c>
      <c r="D916">
        <v>44445</v>
      </c>
      <c r="E916">
        <v>6</v>
      </c>
      <c r="F916">
        <v>6</v>
      </c>
      <c r="G916">
        <v>6</v>
      </c>
    </row>
    <row r="917" spans="1:7">
      <c r="A917">
        <v>2382</v>
      </c>
      <c r="B917" t="s">
        <v>6107</v>
      </c>
      <c r="C917" t="s">
        <v>5649</v>
      </c>
      <c r="D917">
        <v>44445</v>
      </c>
      <c r="E917">
        <v>6</v>
      </c>
      <c r="F917">
        <v>6</v>
      </c>
      <c r="G917">
        <v>6</v>
      </c>
    </row>
    <row r="918" spans="1:7">
      <c r="A918">
        <v>2108</v>
      </c>
      <c r="B918" t="s">
        <v>5656</v>
      </c>
      <c r="C918" t="s">
        <v>5657</v>
      </c>
      <c r="D918">
        <v>44445</v>
      </c>
      <c r="E918">
        <v>9</v>
      </c>
      <c r="F918">
        <v>9</v>
      </c>
      <c r="G918">
        <v>9</v>
      </c>
    </row>
    <row r="919" spans="1:7">
      <c r="A919">
        <v>9914</v>
      </c>
      <c r="B919" t="s">
        <v>5949</v>
      </c>
      <c r="C919" t="s">
        <v>5664</v>
      </c>
      <c r="D919">
        <v>44445</v>
      </c>
      <c r="E919">
        <v>5</v>
      </c>
      <c r="F919">
        <v>5</v>
      </c>
      <c r="G919">
        <v>5</v>
      </c>
    </row>
    <row r="920" spans="1:7">
      <c r="A920">
        <v>5392</v>
      </c>
      <c r="B920" t="s">
        <v>6108</v>
      </c>
      <c r="C920" t="s">
        <v>5807</v>
      </c>
      <c r="D920">
        <v>44445</v>
      </c>
      <c r="E920">
        <v>1</v>
      </c>
      <c r="F920">
        <v>1</v>
      </c>
      <c r="G920">
        <v>1</v>
      </c>
    </row>
    <row r="921" spans="1:7">
      <c r="A921">
        <v>9103</v>
      </c>
      <c r="B921" t="s">
        <v>5864</v>
      </c>
      <c r="C921" t="s">
        <v>5865</v>
      </c>
      <c r="D921">
        <v>44445</v>
      </c>
      <c r="E921">
        <v>8</v>
      </c>
      <c r="F921">
        <v>8</v>
      </c>
      <c r="G921">
        <v>8</v>
      </c>
    </row>
    <row r="922" spans="1:7">
      <c r="A922">
        <v>2636</v>
      </c>
      <c r="B922" t="s">
        <v>5678</v>
      </c>
      <c r="C922" t="s">
        <v>5679</v>
      </c>
      <c r="D922">
        <v>44445</v>
      </c>
      <c r="E922">
        <v>7</v>
      </c>
      <c r="F922">
        <v>7</v>
      </c>
      <c r="G922">
        <v>7</v>
      </c>
    </row>
    <row r="923" spans="1:7">
      <c r="A923">
        <v>1905</v>
      </c>
      <c r="B923" t="s">
        <v>5897</v>
      </c>
      <c r="C923" t="s">
        <v>5677</v>
      </c>
      <c r="D923">
        <v>44445</v>
      </c>
      <c r="E923">
        <v>6</v>
      </c>
      <c r="F923">
        <v>6</v>
      </c>
      <c r="G923">
        <v>6</v>
      </c>
    </row>
    <row r="924" spans="1:7">
      <c r="A924">
        <v>3587</v>
      </c>
      <c r="B924" t="s">
        <v>6007</v>
      </c>
      <c r="C924" t="s">
        <v>5800</v>
      </c>
      <c r="D924">
        <v>44445</v>
      </c>
      <c r="E924">
        <v>3</v>
      </c>
      <c r="F924">
        <v>3</v>
      </c>
      <c r="G924">
        <v>3</v>
      </c>
    </row>
    <row r="925" spans="1:7">
      <c r="A925">
        <v>2327</v>
      </c>
      <c r="B925" t="s">
        <v>5674</v>
      </c>
      <c r="C925" t="s">
        <v>5675</v>
      </c>
      <c r="D925">
        <v>44445</v>
      </c>
      <c r="E925">
        <v>6</v>
      </c>
      <c r="F925">
        <v>6</v>
      </c>
      <c r="G925">
        <v>6</v>
      </c>
    </row>
    <row r="926" spans="1:7">
      <c r="A926">
        <v>1727</v>
      </c>
      <c r="B926" t="s">
        <v>5732</v>
      </c>
      <c r="C926" t="s">
        <v>5733</v>
      </c>
      <c r="D926">
        <v>44445</v>
      </c>
      <c r="E926">
        <v>5</v>
      </c>
      <c r="F926">
        <v>5</v>
      </c>
      <c r="G926">
        <v>5</v>
      </c>
    </row>
    <row r="927" spans="1:7">
      <c r="A927">
        <v>2547</v>
      </c>
      <c r="B927" t="s">
        <v>6052</v>
      </c>
      <c r="C927" t="s">
        <v>5651</v>
      </c>
      <c r="D927">
        <v>44445</v>
      </c>
      <c r="E927">
        <v>5</v>
      </c>
      <c r="F927">
        <v>5</v>
      </c>
      <c r="G927">
        <v>5</v>
      </c>
    </row>
    <row r="928" spans="1:7">
      <c r="A928">
        <v>2006</v>
      </c>
      <c r="B928" t="s">
        <v>5843</v>
      </c>
      <c r="C928" t="s">
        <v>5659</v>
      </c>
      <c r="D928">
        <v>44445</v>
      </c>
      <c r="E928">
        <v>7</v>
      </c>
      <c r="F928">
        <v>7</v>
      </c>
      <c r="G928">
        <v>7</v>
      </c>
    </row>
    <row r="929" spans="1:7">
      <c r="A929">
        <v>6219</v>
      </c>
      <c r="B929" t="s">
        <v>5832</v>
      </c>
      <c r="C929" t="s">
        <v>5833</v>
      </c>
      <c r="D929">
        <v>44445</v>
      </c>
      <c r="E929">
        <v>8</v>
      </c>
      <c r="F929">
        <v>8</v>
      </c>
      <c r="G929">
        <v>8</v>
      </c>
    </row>
    <row r="930" spans="1:7">
      <c r="A930">
        <v>2330</v>
      </c>
      <c r="B930" t="s">
        <v>6018</v>
      </c>
      <c r="C930" t="s">
        <v>5666</v>
      </c>
      <c r="D930">
        <v>44445</v>
      </c>
      <c r="E930">
        <v>12</v>
      </c>
      <c r="F930">
        <v>12</v>
      </c>
      <c r="G930">
        <v>12</v>
      </c>
    </row>
    <row r="931" spans="1:7">
      <c r="A931">
        <v>2357</v>
      </c>
      <c r="B931" t="s">
        <v>5781</v>
      </c>
      <c r="C931" t="s">
        <v>5649</v>
      </c>
      <c r="D931">
        <v>44445</v>
      </c>
      <c r="E931">
        <v>6</v>
      </c>
      <c r="F931">
        <v>6</v>
      </c>
      <c r="G931">
        <v>6</v>
      </c>
    </row>
    <row r="932" spans="1:7">
      <c r="A932">
        <v>3011</v>
      </c>
      <c r="B932" t="s">
        <v>6005</v>
      </c>
      <c r="C932" t="s">
        <v>5675</v>
      </c>
      <c r="D932">
        <v>44445</v>
      </c>
      <c r="E932">
        <v>5</v>
      </c>
      <c r="F932">
        <v>5</v>
      </c>
      <c r="G932">
        <v>5</v>
      </c>
    </row>
    <row r="933" spans="1:7">
      <c r="A933">
        <v>2013</v>
      </c>
      <c r="B933" t="s">
        <v>6000</v>
      </c>
      <c r="C933" t="s">
        <v>5659</v>
      </c>
      <c r="D933">
        <v>44445</v>
      </c>
      <c r="E933">
        <v>8</v>
      </c>
      <c r="F933">
        <v>8</v>
      </c>
      <c r="G933">
        <v>8</v>
      </c>
    </row>
    <row r="934" spans="1:7">
      <c r="A934">
        <v>2027</v>
      </c>
      <c r="B934" t="s">
        <v>5994</v>
      </c>
      <c r="C934" t="s">
        <v>5659</v>
      </c>
      <c r="D934">
        <v>44445</v>
      </c>
      <c r="E934">
        <v>4</v>
      </c>
      <c r="F934">
        <v>4</v>
      </c>
      <c r="G934">
        <v>4</v>
      </c>
    </row>
    <row r="935" spans="1:7">
      <c r="A935">
        <v>2301</v>
      </c>
      <c r="B935" t="s">
        <v>5723</v>
      </c>
      <c r="C935" t="s">
        <v>5649</v>
      </c>
      <c r="D935">
        <v>44445</v>
      </c>
      <c r="E935">
        <v>14</v>
      </c>
      <c r="F935">
        <v>14</v>
      </c>
      <c r="G935">
        <v>14</v>
      </c>
    </row>
    <row r="936" spans="1:7">
      <c r="A936">
        <v>3017</v>
      </c>
      <c r="B936" t="s">
        <v>5750</v>
      </c>
      <c r="C936" t="s">
        <v>5649</v>
      </c>
      <c r="D936">
        <v>44445</v>
      </c>
      <c r="E936">
        <v>8</v>
      </c>
      <c r="F936">
        <v>8</v>
      </c>
      <c r="G936">
        <v>8</v>
      </c>
    </row>
    <row r="937" spans="1:7">
      <c r="A937">
        <v>1711</v>
      </c>
      <c r="B937" t="s">
        <v>5996</v>
      </c>
      <c r="C937" t="s">
        <v>5733</v>
      </c>
      <c r="D937">
        <v>44445</v>
      </c>
      <c r="E937">
        <v>3</v>
      </c>
      <c r="F937">
        <v>3</v>
      </c>
      <c r="G937">
        <v>3</v>
      </c>
    </row>
    <row r="938" spans="1:7">
      <c r="A938">
        <v>2617</v>
      </c>
      <c r="B938" t="s">
        <v>5891</v>
      </c>
      <c r="C938" t="s">
        <v>5679</v>
      </c>
      <c r="D938">
        <v>44445</v>
      </c>
      <c r="E938">
        <v>6</v>
      </c>
      <c r="F938">
        <v>6</v>
      </c>
      <c r="G938">
        <v>6</v>
      </c>
    </row>
    <row r="939" spans="1:7">
      <c r="A939">
        <v>1776</v>
      </c>
      <c r="B939" t="s">
        <v>6069</v>
      </c>
      <c r="C939" t="s">
        <v>5733</v>
      </c>
      <c r="D939">
        <v>44445</v>
      </c>
      <c r="E939">
        <v>3</v>
      </c>
      <c r="F939">
        <v>3</v>
      </c>
      <c r="G939">
        <v>3</v>
      </c>
    </row>
    <row r="940" spans="1:7">
      <c r="A940">
        <v>3231</v>
      </c>
      <c r="B940" t="s">
        <v>6109</v>
      </c>
      <c r="C940" t="s">
        <v>5649</v>
      </c>
      <c r="D940">
        <v>44445</v>
      </c>
      <c r="E940">
        <v>4</v>
      </c>
      <c r="F940">
        <v>4</v>
      </c>
      <c r="G940">
        <v>4</v>
      </c>
    </row>
    <row r="941" spans="1:7">
      <c r="A941">
        <v>1909</v>
      </c>
      <c r="B941" t="s">
        <v>5676</v>
      </c>
      <c r="C941" t="s">
        <v>5677</v>
      </c>
      <c r="D941">
        <v>44445</v>
      </c>
      <c r="E941">
        <v>6</v>
      </c>
      <c r="F941">
        <v>6</v>
      </c>
      <c r="G941">
        <v>6</v>
      </c>
    </row>
    <row r="942" spans="1:7">
      <c r="A942">
        <v>4141</v>
      </c>
      <c r="B942" t="s">
        <v>6057</v>
      </c>
      <c r="C942" t="s">
        <v>5729</v>
      </c>
      <c r="D942">
        <v>44445</v>
      </c>
      <c r="E942">
        <v>2</v>
      </c>
      <c r="F942">
        <v>2</v>
      </c>
      <c r="G942">
        <v>2</v>
      </c>
    </row>
    <row r="943" spans="1:7">
      <c r="A943">
        <v>5210</v>
      </c>
      <c r="B943" t="s">
        <v>6036</v>
      </c>
      <c r="C943" t="s">
        <v>5777</v>
      </c>
      <c r="D943">
        <v>44445</v>
      </c>
      <c r="E943">
        <v>3</v>
      </c>
      <c r="F943">
        <v>3</v>
      </c>
      <c r="G943">
        <v>3</v>
      </c>
    </row>
    <row r="944" spans="1:7">
      <c r="A944">
        <v>2009</v>
      </c>
      <c r="B944" t="s">
        <v>5986</v>
      </c>
      <c r="C944" t="s">
        <v>5659</v>
      </c>
      <c r="D944">
        <v>44445</v>
      </c>
      <c r="E944">
        <v>9</v>
      </c>
      <c r="F944">
        <v>9</v>
      </c>
      <c r="G944">
        <v>9</v>
      </c>
    </row>
    <row r="945" spans="1:7">
      <c r="A945">
        <v>2855</v>
      </c>
      <c r="B945" t="s">
        <v>5974</v>
      </c>
      <c r="C945" t="s">
        <v>5645</v>
      </c>
      <c r="D945">
        <v>44445</v>
      </c>
      <c r="E945">
        <v>4</v>
      </c>
      <c r="F945">
        <v>4</v>
      </c>
      <c r="G945">
        <v>4</v>
      </c>
    </row>
    <row r="946" spans="1:7">
      <c r="A946">
        <v>3545</v>
      </c>
      <c r="B946" t="s">
        <v>5727</v>
      </c>
      <c r="C946" t="s">
        <v>5666</v>
      </c>
      <c r="D946">
        <v>44445</v>
      </c>
      <c r="E946">
        <v>2</v>
      </c>
      <c r="F946">
        <v>2</v>
      </c>
      <c r="G946">
        <v>2</v>
      </c>
    </row>
    <row r="947" spans="1:7">
      <c r="A947">
        <v>1785</v>
      </c>
      <c r="B947" t="s">
        <v>5799</v>
      </c>
      <c r="C947" t="s">
        <v>5800</v>
      </c>
      <c r="D947">
        <v>44445</v>
      </c>
      <c r="E947">
        <v>7</v>
      </c>
      <c r="F947">
        <v>7</v>
      </c>
      <c r="G947">
        <v>7</v>
      </c>
    </row>
    <row r="948" spans="1:7">
      <c r="A948">
        <v>3362</v>
      </c>
      <c r="B948" t="s">
        <v>6110</v>
      </c>
      <c r="C948" t="s">
        <v>5807</v>
      </c>
      <c r="D948">
        <v>44445</v>
      </c>
      <c r="E948">
        <v>1</v>
      </c>
      <c r="F948">
        <v>1</v>
      </c>
      <c r="G948">
        <v>1</v>
      </c>
    </row>
    <row r="949" spans="1:7">
      <c r="A949">
        <v>6015</v>
      </c>
      <c r="B949" t="s">
        <v>5973</v>
      </c>
      <c r="C949" t="s">
        <v>5798</v>
      </c>
      <c r="D949">
        <v>44445</v>
      </c>
      <c r="E949">
        <v>4</v>
      </c>
      <c r="F949">
        <v>4</v>
      </c>
      <c r="G949">
        <v>4</v>
      </c>
    </row>
    <row r="950" spans="1:7">
      <c r="A950">
        <v>2104</v>
      </c>
      <c r="B950" t="s">
        <v>6082</v>
      </c>
      <c r="C950" t="s">
        <v>5657</v>
      </c>
      <c r="D950">
        <v>44445</v>
      </c>
      <c r="E950">
        <v>6</v>
      </c>
      <c r="F950">
        <v>6</v>
      </c>
      <c r="G950">
        <v>6</v>
      </c>
    </row>
    <row r="951" spans="1:7">
      <c r="A951">
        <v>1326</v>
      </c>
      <c r="B951" t="s">
        <v>5814</v>
      </c>
      <c r="C951" t="s">
        <v>5771</v>
      </c>
      <c r="D951">
        <v>44445</v>
      </c>
      <c r="E951">
        <v>14</v>
      </c>
      <c r="F951">
        <v>14</v>
      </c>
      <c r="G951">
        <v>14</v>
      </c>
    </row>
    <row r="952" spans="1:7">
      <c r="A952">
        <v>2442</v>
      </c>
      <c r="B952" t="s">
        <v>5941</v>
      </c>
      <c r="C952" t="s">
        <v>5649</v>
      </c>
      <c r="D952">
        <v>44445</v>
      </c>
      <c r="E952">
        <v>8</v>
      </c>
      <c r="F952">
        <v>8</v>
      </c>
      <c r="G952">
        <v>8</v>
      </c>
    </row>
    <row r="953" spans="1:7">
      <c r="A953">
        <v>5609</v>
      </c>
      <c r="B953" t="s">
        <v>5883</v>
      </c>
      <c r="C953" t="s">
        <v>5884</v>
      </c>
      <c r="D953">
        <v>44445</v>
      </c>
      <c r="E953">
        <v>6</v>
      </c>
      <c r="F953">
        <v>6</v>
      </c>
      <c r="G953">
        <v>6</v>
      </c>
    </row>
    <row r="954" spans="1:7">
      <c r="A954">
        <v>2012</v>
      </c>
      <c r="B954" t="s">
        <v>5908</v>
      </c>
      <c r="C954" t="s">
        <v>5659</v>
      </c>
      <c r="D954">
        <v>44445</v>
      </c>
      <c r="E954">
        <v>4</v>
      </c>
      <c r="F954">
        <v>4</v>
      </c>
      <c r="G954">
        <v>4</v>
      </c>
    </row>
    <row r="955" spans="1:7">
      <c r="A955">
        <v>2605</v>
      </c>
      <c r="B955" t="s">
        <v>6111</v>
      </c>
      <c r="C955" t="s">
        <v>5679</v>
      </c>
      <c r="D955">
        <v>44445</v>
      </c>
      <c r="E955">
        <v>3</v>
      </c>
      <c r="F955">
        <v>3</v>
      </c>
      <c r="G955">
        <v>3</v>
      </c>
    </row>
    <row r="956" spans="1:7">
      <c r="A956">
        <v>2014</v>
      </c>
      <c r="B956" t="s">
        <v>5896</v>
      </c>
      <c r="C956" t="s">
        <v>5659</v>
      </c>
      <c r="D956">
        <v>44445</v>
      </c>
      <c r="E956">
        <v>6</v>
      </c>
      <c r="F956">
        <v>6</v>
      </c>
      <c r="G956">
        <v>6</v>
      </c>
    </row>
    <row r="957" spans="1:7">
      <c r="A957">
        <v>6271</v>
      </c>
      <c r="B957" t="s">
        <v>5722</v>
      </c>
      <c r="C957" t="s">
        <v>5666</v>
      </c>
      <c r="D957">
        <v>44445</v>
      </c>
      <c r="E957">
        <v>6</v>
      </c>
      <c r="F957">
        <v>6</v>
      </c>
      <c r="G957">
        <v>6</v>
      </c>
    </row>
    <row r="958" spans="1:7">
      <c r="A958">
        <v>4721</v>
      </c>
      <c r="B958" t="s">
        <v>6075</v>
      </c>
      <c r="C958" t="s">
        <v>5910</v>
      </c>
      <c r="D958">
        <v>44445</v>
      </c>
      <c r="E958">
        <v>4</v>
      </c>
      <c r="F958">
        <v>4</v>
      </c>
      <c r="G958">
        <v>4</v>
      </c>
    </row>
    <row r="959" spans="1:7">
      <c r="A959">
        <v>2608</v>
      </c>
      <c r="B959" t="s">
        <v>6086</v>
      </c>
      <c r="C959" t="s">
        <v>5679</v>
      </c>
      <c r="D959">
        <v>44445</v>
      </c>
      <c r="E959">
        <v>2</v>
      </c>
      <c r="F959">
        <v>2</v>
      </c>
      <c r="G959">
        <v>2</v>
      </c>
    </row>
    <row r="960" spans="1:7">
      <c r="A960">
        <v>3059</v>
      </c>
      <c r="B960" t="s">
        <v>6038</v>
      </c>
      <c r="C960" t="s">
        <v>5661</v>
      </c>
      <c r="D960">
        <v>44445</v>
      </c>
      <c r="E960">
        <v>3</v>
      </c>
      <c r="F960">
        <v>3</v>
      </c>
      <c r="G960">
        <v>3</v>
      </c>
    </row>
    <row r="961" spans="1:7">
      <c r="A961">
        <v>3029</v>
      </c>
      <c r="B961" t="s">
        <v>6112</v>
      </c>
      <c r="C961" t="s">
        <v>6113</v>
      </c>
      <c r="D961">
        <v>44445</v>
      </c>
      <c r="E961">
        <v>2</v>
      </c>
      <c r="F961">
        <v>2</v>
      </c>
      <c r="G961">
        <v>2</v>
      </c>
    </row>
    <row r="962" spans="1:7">
      <c r="A962">
        <v>1442</v>
      </c>
      <c r="B962" t="s">
        <v>5758</v>
      </c>
      <c r="C962" t="s">
        <v>5651</v>
      </c>
      <c r="D962">
        <v>44445</v>
      </c>
      <c r="E962">
        <v>2</v>
      </c>
      <c r="F962">
        <v>2</v>
      </c>
      <c r="G962">
        <v>2</v>
      </c>
    </row>
    <row r="963" spans="1:7">
      <c r="A963">
        <v>2886</v>
      </c>
      <c r="B963" t="s">
        <v>5863</v>
      </c>
      <c r="C963" t="s">
        <v>5645</v>
      </c>
      <c r="D963">
        <v>44445</v>
      </c>
      <c r="E963">
        <v>10</v>
      </c>
      <c r="F963">
        <v>10</v>
      </c>
      <c r="G963">
        <v>10</v>
      </c>
    </row>
    <row r="964" spans="1:7">
      <c r="A964">
        <v>3530</v>
      </c>
      <c r="B964" t="s">
        <v>5740</v>
      </c>
      <c r="C964" t="s">
        <v>5666</v>
      </c>
      <c r="D964">
        <v>44445</v>
      </c>
      <c r="E964">
        <v>4</v>
      </c>
      <c r="F964">
        <v>4</v>
      </c>
      <c r="G964">
        <v>4</v>
      </c>
    </row>
    <row r="965" spans="1:7">
      <c r="A965">
        <v>5014</v>
      </c>
      <c r="B965" t="s">
        <v>6034</v>
      </c>
      <c r="C965" t="s">
        <v>5869</v>
      </c>
      <c r="D965">
        <v>44445</v>
      </c>
      <c r="E965">
        <v>3</v>
      </c>
      <c r="F965">
        <v>3</v>
      </c>
      <c r="G965">
        <v>3</v>
      </c>
    </row>
    <row r="966" spans="1:7">
      <c r="A966">
        <v>2409</v>
      </c>
      <c r="B966" t="s">
        <v>5850</v>
      </c>
      <c r="C966" t="s">
        <v>5661</v>
      </c>
      <c r="D966">
        <v>44445</v>
      </c>
      <c r="E966">
        <v>6</v>
      </c>
      <c r="F966">
        <v>6</v>
      </c>
      <c r="G966">
        <v>6</v>
      </c>
    </row>
    <row r="967" spans="1:7">
      <c r="A967">
        <v>3481</v>
      </c>
      <c r="B967" t="s">
        <v>6114</v>
      </c>
      <c r="C967" t="s">
        <v>5661</v>
      </c>
      <c r="D967">
        <v>44445</v>
      </c>
      <c r="E967">
        <v>1</v>
      </c>
      <c r="F967">
        <v>1</v>
      </c>
      <c r="G967">
        <v>1</v>
      </c>
    </row>
    <row r="968" spans="1:7">
      <c r="A968">
        <v>2637</v>
      </c>
      <c r="B968" t="s">
        <v>5902</v>
      </c>
      <c r="C968" t="s">
        <v>5679</v>
      </c>
      <c r="D968">
        <v>44445</v>
      </c>
      <c r="E968">
        <v>6</v>
      </c>
      <c r="F968">
        <v>6</v>
      </c>
      <c r="G968">
        <v>6</v>
      </c>
    </row>
    <row r="969" spans="1:7">
      <c r="A969">
        <v>6411</v>
      </c>
      <c r="B969" t="s">
        <v>5745</v>
      </c>
      <c r="C969" t="s">
        <v>5690</v>
      </c>
      <c r="D969">
        <v>44445</v>
      </c>
      <c r="E969">
        <v>2</v>
      </c>
      <c r="F969">
        <v>2</v>
      </c>
      <c r="G969">
        <v>2</v>
      </c>
    </row>
    <row r="970" spans="1:7">
      <c r="A970">
        <v>5269</v>
      </c>
      <c r="B970" t="s">
        <v>6115</v>
      </c>
      <c r="C970" t="s">
        <v>5666</v>
      </c>
      <c r="D970">
        <v>44445</v>
      </c>
      <c r="E970">
        <v>2</v>
      </c>
      <c r="F970">
        <v>2</v>
      </c>
      <c r="G970">
        <v>2</v>
      </c>
    </row>
    <row r="971" spans="1:7">
      <c r="A971">
        <v>3702</v>
      </c>
      <c r="B971" t="s">
        <v>5686</v>
      </c>
      <c r="C971" t="s">
        <v>5687</v>
      </c>
      <c r="D971">
        <v>44445</v>
      </c>
      <c r="E971">
        <v>16</v>
      </c>
      <c r="F971">
        <v>16</v>
      </c>
      <c r="G971">
        <v>16</v>
      </c>
    </row>
    <row r="972" spans="1:7">
      <c r="A972">
        <v>2345</v>
      </c>
      <c r="B972" t="s">
        <v>5703</v>
      </c>
      <c r="C972" t="s">
        <v>5653</v>
      </c>
      <c r="D972">
        <v>44445</v>
      </c>
      <c r="E972">
        <v>6</v>
      </c>
      <c r="F972">
        <v>6</v>
      </c>
      <c r="G972">
        <v>6</v>
      </c>
    </row>
    <row r="973" spans="1:7">
      <c r="A973">
        <v>8182</v>
      </c>
      <c r="B973" t="s">
        <v>6116</v>
      </c>
      <c r="C973" t="s">
        <v>5791</v>
      </c>
      <c r="D973">
        <v>44445</v>
      </c>
      <c r="E973">
        <v>4</v>
      </c>
      <c r="F973">
        <v>4</v>
      </c>
      <c r="G973">
        <v>4</v>
      </c>
    </row>
    <row r="974" spans="1:7">
      <c r="A974">
        <v>8085</v>
      </c>
      <c r="B974" t="s">
        <v>6023</v>
      </c>
      <c r="C974" t="s">
        <v>5800</v>
      </c>
      <c r="D974">
        <v>44445</v>
      </c>
      <c r="E974">
        <v>8</v>
      </c>
      <c r="F974">
        <v>8</v>
      </c>
      <c r="G974">
        <v>8</v>
      </c>
    </row>
    <row r="975" spans="1:7">
      <c r="A975">
        <v>2458</v>
      </c>
      <c r="B975" t="s">
        <v>5668</v>
      </c>
      <c r="C975" t="s">
        <v>5666</v>
      </c>
      <c r="D975">
        <v>44445</v>
      </c>
      <c r="E975">
        <v>9</v>
      </c>
      <c r="F975">
        <v>9</v>
      </c>
      <c r="G975">
        <v>9</v>
      </c>
    </row>
    <row r="976" spans="1:7">
      <c r="A976">
        <v>4142</v>
      </c>
      <c r="B976" t="s">
        <v>6087</v>
      </c>
      <c r="C976" t="s">
        <v>5729</v>
      </c>
      <c r="D976">
        <v>44445</v>
      </c>
      <c r="E976">
        <v>8</v>
      </c>
      <c r="F976">
        <v>8</v>
      </c>
      <c r="G976">
        <v>8</v>
      </c>
    </row>
    <row r="977" spans="1:7">
      <c r="A977">
        <v>2607</v>
      </c>
      <c r="B977" t="s">
        <v>6117</v>
      </c>
      <c r="C977" t="s">
        <v>5679</v>
      </c>
      <c r="D977">
        <v>44445</v>
      </c>
      <c r="E977">
        <v>2</v>
      </c>
      <c r="F977">
        <v>2</v>
      </c>
      <c r="G977">
        <v>2</v>
      </c>
    </row>
    <row r="978" spans="1:7">
      <c r="A978">
        <v>2201</v>
      </c>
      <c r="B978" t="s">
        <v>5929</v>
      </c>
      <c r="C978" t="s">
        <v>5769</v>
      </c>
      <c r="D978">
        <v>44445</v>
      </c>
      <c r="E978">
        <v>9</v>
      </c>
      <c r="F978">
        <v>9</v>
      </c>
      <c r="G978">
        <v>9</v>
      </c>
    </row>
    <row r="979" spans="1:7">
      <c r="A979">
        <v>2493</v>
      </c>
      <c r="B979" t="s">
        <v>6118</v>
      </c>
      <c r="C979" t="s">
        <v>5675</v>
      </c>
      <c r="D979">
        <v>44445</v>
      </c>
      <c r="E979">
        <v>2</v>
      </c>
      <c r="F979">
        <v>2</v>
      </c>
      <c r="G979">
        <v>2</v>
      </c>
    </row>
    <row r="980" spans="1:7">
      <c r="A980">
        <v>4958</v>
      </c>
      <c r="B980" t="s">
        <v>6119</v>
      </c>
      <c r="C980" t="s">
        <v>5675</v>
      </c>
      <c r="D980">
        <v>44445</v>
      </c>
      <c r="E980">
        <v>4</v>
      </c>
      <c r="F980">
        <v>4</v>
      </c>
      <c r="G980">
        <v>4</v>
      </c>
    </row>
    <row r="981" spans="1:7">
      <c r="A981">
        <v>3504</v>
      </c>
      <c r="B981" t="s">
        <v>6077</v>
      </c>
      <c r="C981" t="s">
        <v>5661</v>
      </c>
      <c r="D981">
        <v>44445</v>
      </c>
      <c r="E981">
        <v>6</v>
      </c>
      <c r="F981">
        <v>6</v>
      </c>
      <c r="G981">
        <v>6</v>
      </c>
    </row>
    <row r="982" spans="1:7">
      <c r="A982">
        <v>9962</v>
      </c>
      <c r="B982" t="s">
        <v>5997</v>
      </c>
      <c r="C982" t="s">
        <v>5869</v>
      </c>
      <c r="D982">
        <v>44445</v>
      </c>
      <c r="E982">
        <v>5</v>
      </c>
      <c r="F982">
        <v>5</v>
      </c>
      <c r="G982">
        <v>5</v>
      </c>
    </row>
    <row r="983" spans="1:7">
      <c r="A983">
        <v>3682</v>
      </c>
      <c r="B983" t="s">
        <v>5901</v>
      </c>
      <c r="C983" t="s">
        <v>5653</v>
      </c>
      <c r="D983">
        <v>44445</v>
      </c>
      <c r="E983">
        <v>2</v>
      </c>
      <c r="F983">
        <v>2</v>
      </c>
      <c r="G983">
        <v>2</v>
      </c>
    </row>
    <row r="984" spans="1:7">
      <c r="A984">
        <v>4739</v>
      </c>
      <c r="B984" t="s">
        <v>6045</v>
      </c>
      <c r="C984" t="s">
        <v>5733</v>
      </c>
      <c r="D984">
        <v>44445</v>
      </c>
      <c r="E984">
        <v>3</v>
      </c>
      <c r="F984">
        <v>3</v>
      </c>
      <c r="G984">
        <v>3</v>
      </c>
    </row>
    <row r="985" spans="1:7">
      <c r="A985">
        <v>5457</v>
      </c>
      <c r="B985" t="s">
        <v>5818</v>
      </c>
      <c r="C985" t="s">
        <v>5791</v>
      </c>
      <c r="D985">
        <v>44445</v>
      </c>
      <c r="E985">
        <v>8</v>
      </c>
      <c r="F985">
        <v>8</v>
      </c>
      <c r="G985">
        <v>8</v>
      </c>
    </row>
    <row r="986" spans="1:7">
      <c r="A986">
        <v>2393</v>
      </c>
      <c r="B986" t="s">
        <v>5966</v>
      </c>
      <c r="C986" t="s">
        <v>5661</v>
      </c>
      <c r="D986">
        <v>44445</v>
      </c>
      <c r="E986">
        <v>6</v>
      </c>
      <c r="F986">
        <v>6</v>
      </c>
      <c r="G986">
        <v>6</v>
      </c>
    </row>
    <row r="987" spans="1:7">
      <c r="A987">
        <v>6278</v>
      </c>
      <c r="B987" t="s">
        <v>5764</v>
      </c>
      <c r="C987" t="s">
        <v>5661</v>
      </c>
      <c r="D987">
        <v>44445</v>
      </c>
      <c r="E987">
        <v>8</v>
      </c>
      <c r="F987">
        <v>8</v>
      </c>
      <c r="G987">
        <v>8</v>
      </c>
    </row>
    <row r="988" spans="1:7">
      <c r="A988">
        <v>2481</v>
      </c>
      <c r="B988" t="s">
        <v>5702</v>
      </c>
      <c r="C988" t="s">
        <v>5666</v>
      </c>
      <c r="D988">
        <v>44445</v>
      </c>
      <c r="E988">
        <v>4</v>
      </c>
      <c r="F988">
        <v>4</v>
      </c>
      <c r="G988">
        <v>4</v>
      </c>
    </row>
    <row r="989" spans="1:7">
      <c r="A989">
        <v>2476</v>
      </c>
      <c r="B989" t="s">
        <v>5899</v>
      </c>
      <c r="C989" t="s">
        <v>5675</v>
      </c>
      <c r="D989">
        <v>44445</v>
      </c>
      <c r="E989">
        <v>4</v>
      </c>
      <c r="F989">
        <v>4</v>
      </c>
      <c r="G989">
        <v>4</v>
      </c>
    </row>
    <row r="990" spans="1:7">
      <c r="A990">
        <v>2515</v>
      </c>
      <c r="B990" t="s">
        <v>6095</v>
      </c>
      <c r="C990" t="s">
        <v>5651</v>
      </c>
      <c r="D990">
        <v>44445</v>
      </c>
      <c r="E990">
        <v>10</v>
      </c>
      <c r="F990">
        <v>10</v>
      </c>
      <c r="G990">
        <v>10</v>
      </c>
    </row>
    <row r="991" spans="1:7">
      <c r="A991">
        <v>6505</v>
      </c>
      <c r="B991" t="s">
        <v>5942</v>
      </c>
      <c r="C991" t="s">
        <v>5943</v>
      </c>
      <c r="D991">
        <v>44445</v>
      </c>
      <c r="E991">
        <v>10</v>
      </c>
      <c r="F991">
        <v>10</v>
      </c>
      <c r="G991">
        <v>10</v>
      </c>
    </row>
    <row r="992" spans="1:7">
      <c r="A992">
        <v>4915</v>
      </c>
      <c r="B992" t="s">
        <v>5827</v>
      </c>
      <c r="C992" t="s">
        <v>5675</v>
      </c>
      <c r="D992">
        <v>44445</v>
      </c>
      <c r="E992">
        <v>5</v>
      </c>
      <c r="F992">
        <v>5</v>
      </c>
      <c r="G992">
        <v>5</v>
      </c>
    </row>
    <row r="993" spans="1:7">
      <c r="A993">
        <v>2069</v>
      </c>
      <c r="B993" t="s">
        <v>6047</v>
      </c>
      <c r="C993" t="s">
        <v>5659</v>
      </c>
      <c r="D993">
        <v>44445</v>
      </c>
      <c r="E993">
        <v>5</v>
      </c>
      <c r="F993">
        <v>5</v>
      </c>
      <c r="G993">
        <v>5</v>
      </c>
    </row>
    <row r="994" spans="1:7">
      <c r="A994">
        <v>6706</v>
      </c>
      <c r="B994" t="s">
        <v>5839</v>
      </c>
      <c r="C994" t="s">
        <v>5661</v>
      </c>
      <c r="D994">
        <v>44445</v>
      </c>
      <c r="E994">
        <v>5</v>
      </c>
      <c r="F994">
        <v>5</v>
      </c>
      <c r="G994">
        <v>5</v>
      </c>
    </row>
    <row r="995" spans="1:7">
      <c r="A995">
        <v>2017</v>
      </c>
      <c r="B995" t="s">
        <v>5885</v>
      </c>
      <c r="C995" t="s">
        <v>5659</v>
      </c>
      <c r="D995">
        <v>44445</v>
      </c>
      <c r="E995">
        <v>5</v>
      </c>
      <c r="F995">
        <v>5</v>
      </c>
      <c r="G995">
        <v>5</v>
      </c>
    </row>
    <row r="996" spans="1:7">
      <c r="A996">
        <v>2882</v>
      </c>
      <c r="B996" t="s">
        <v>5834</v>
      </c>
      <c r="C996" t="s">
        <v>5645</v>
      </c>
      <c r="D996">
        <v>44445</v>
      </c>
      <c r="E996">
        <v>9</v>
      </c>
      <c r="F996">
        <v>9</v>
      </c>
      <c r="G996">
        <v>9</v>
      </c>
    </row>
    <row r="997" spans="1:7">
      <c r="A997">
        <v>3006</v>
      </c>
      <c r="B997" t="s">
        <v>5720</v>
      </c>
      <c r="C997" t="s">
        <v>5666</v>
      </c>
      <c r="D997">
        <v>44445</v>
      </c>
      <c r="E997">
        <v>3</v>
      </c>
      <c r="F997">
        <v>3</v>
      </c>
      <c r="G997">
        <v>3</v>
      </c>
    </row>
    <row r="998" spans="1:7">
      <c r="A998">
        <v>3048</v>
      </c>
      <c r="B998" t="s">
        <v>6120</v>
      </c>
      <c r="C998" t="s">
        <v>5687</v>
      </c>
      <c r="D998">
        <v>44445</v>
      </c>
      <c r="E998">
        <v>4</v>
      </c>
      <c r="F998">
        <v>4</v>
      </c>
      <c r="G998">
        <v>4</v>
      </c>
    </row>
    <row r="999" spans="1:7">
      <c r="A999">
        <v>4743</v>
      </c>
      <c r="B999" t="s">
        <v>6030</v>
      </c>
      <c r="C999" t="s">
        <v>5867</v>
      </c>
      <c r="D999">
        <v>44445</v>
      </c>
      <c r="E999">
        <v>4</v>
      </c>
      <c r="F999">
        <v>4</v>
      </c>
      <c r="G999">
        <v>4</v>
      </c>
    </row>
    <row r="1000" spans="1:7">
      <c r="A1000">
        <v>5272</v>
      </c>
      <c r="B1000" t="s">
        <v>5794</v>
      </c>
      <c r="C1000" t="s">
        <v>5690</v>
      </c>
      <c r="D1000">
        <v>44445</v>
      </c>
      <c r="E1000">
        <v>4</v>
      </c>
      <c r="F1000">
        <v>4</v>
      </c>
      <c r="G1000">
        <v>4</v>
      </c>
    </row>
    <row r="1001" spans="1:7">
      <c r="A1001">
        <v>6274</v>
      </c>
      <c r="B1001" t="s">
        <v>5999</v>
      </c>
      <c r="C1001" t="s">
        <v>5791</v>
      </c>
      <c r="D1001">
        <v>44445</v>
      </c>
      <c r="E1001">
        <v>7</v>
      </c>
      <c r="F1001">
        <v>7</v>
      </c>
      <c r="G1001">
        <v>7</v>
      </c>
    </row>
    <row r="1002" spans="1:7">
      <c r="A1002">
        <v>9904</v>
      </c>
      <c r="B1002" t="s">
        <v>5855</v>
      </c>
      <c r="C1002" t="s">
        <v>5664</v>
      </c>
      <c r="D1002">
        <v>44442</v>
      </c>
      <c r="E1002">
        <v>11</v>
      </c>
      <c r="F1002">
        <v>11</v>
      </c>
      <c r="G1002">
        <v>11</v>
      </c>
    </row>
    <row r="1003" spans="1:7">
      <c r="A1003">
        <v>1815</v>
      </c>
      <c r="B1003" t="s">
        <v>5928</v>
      </c>
      <c r="C1003" t="s">
        <v>5791</v>
      </c>
      <c r="D1003">
        <v>44442</v>
      </c>
      <c r="E1003">
        <v>7</v>
      </c>
      <c r="F1003">
        <v>7</v>
      </c>
      <c r="G1003">
        <v>7</v>
      </c>
    </row>
    <row r="1004" spans="1:7">
      <c r="A1004">
        <v>2823</v>
      </c>
      <c r="B1004" t="s">
        <v>5811</v>
      </c>
      <c r="C1004" t="s">
        <v>5645</v>
      </c>
      <c r="D1004">
        <v>44442</v>
      </c>
      <c r="E1004">
        <v>17</v>
      </c>
      <c r="F1004">
        <v>17</v>
      </c>
      <c r="G1004">
        <v>17</v>
      </c>
    </row>
    <row r="1005" spans="1:7">
      <c r="A1005">
        <v>2301</v>
      </c>
      <c r="B1005" t="s">
        <v>5723</v>
      </c>
      <c r="C1005" t="s">
        <v>5649</v>
      </c>
      <c r="D1005">
        <v>44442</v>
      </c>
      <c r="E1005">
        <v>14</v>
      </c>
      <c r="F1005">
        <v>14</v>
      </c>
      <c r="G1005">
        <v>14</v>
      </c>
    </row>
    <row r="1006" spans="1:7">
      <c r="A1006">
        <v>1584</v>
      </c>
      <c r="B1006" t="s">
        <v>6048</v>
      </c>
      <c r="C1006" t="s">
        <v>5985</v>
      </c>
      <c r="D1006">
        <v>44442</v>
      </c>
      <c r="E1006">
        <v>2</v>
      </c>
      <c r="F1006">
        <v>2</v>
      </c>
      <c r="G1006">
        <v>2</v>
      </c>
    </row>
    <row r="1007" spans="1:7">
      <c r="A1007">
        <v>2882</v>
      </c>
      <c r="B1007" t="s">
        <v>5834</v>
      </c>
      <c r="C1007" t="s">
        <v>5645</v>
      </c>
      <c r="D1007">
        <v>44442</v>
      </c>
      <c r="E1007">
        <v>9</v>
      </c>
      <c r="F1007">
        <v>9</v>
      </c>
      <c r="G1007">
        <v>9</v>
      </c>
    </row>
    <row r="1008" spans="1:7">
      <c r="A1008">
        <v>2101</v>
      </c>
      <c r="B1008" t="s">
        <v>5767</v>
      </c>
      <c r="C1008" t="s">
        <v>5657</v>
      </c>
      <c r="D1008">
        <v>44442</v>
      </c>
      <c r="E1008">
        <v>5</v>
      </c>
      <c r="F1008">
        <v>5</v>
      </c>
      <c r="G1008">
        <v>5</v>
      </c>
    </row>
    <row r="1009" spans="1:7">
      <c r="A1009">
        <v>2412</v>
      </c>
      <c r="B1009" t="s">
        <v>5652</v>
      </c>
      <c r="C1009" t="s">
        <v>5653</v>
      </c>
      <c r="D1009">
        <v>44442</v>
      </c>
      <c r="E1009">
        <v>5</v>
      </c>
      <c r="F1009">
        <v>5</v>
      </c>
      <c r="G1009">
        <v>5</v>
      </c>
    </row>
    <row r="1010" spans="1:7">
      <c r="A1010">
        <v>2353</v>
      </c>
      <c r="B1010" t="s">
        <v>5965</v>
      </c>
      <c r="C1010" t="s">
        <v>5649</v>
      </c>
      <c r="D1010">
        <v>44442</v>
      </c>
      <c r="E1010">
        <v>9</v>
      </c>
      <c r="F1010">
        <v>9</v>
      </c>
      <c r="G1010">
        <v>9</v>
      </c>
    </row>
    <row r="1011" spans="1:7">
      <c r="A1011">
        <v>2449</v>
      </c>
      <c r="B1011" t="s">
        <v>5937</v>
      </c>
      <c r="C1011" t="s">
        <v>5666</v>
      </c>
      <c r="D1011">
        <v>44442</v>
      </c>
      <c r="E1011">
        <v>5</v>
      </c>
      <c r="F1011">
        <v>5</v>
      </c>
      <c r="G1011">
        <v>5</v>
      </c>
    </row>
    <row r="1012" spans="1:7">
      <c r="A1012">
        <v>2330</v>
      </c>
      <c r="B1012" t="s">
        <v>6018</v>
      </c>
      <c r="C1012" t="s">
        <v>5666</v>
      </c>
      <c r="D1012">
        <v>44442</v>
      </c>
      <c r="E1012">
        <v>12</v>
      </c>
      <c r="F1012">
        <v>12</v>
      </c>
      <c r="G1012">
        <v>12</v>
      </c>
    </row>
    <row r="1013" spans="1:7">
      <c r="A1013">
        <v>6153</v>
      </c>
      <c r="B1013" t="s">
        <v>5837</v>
      </c>
      <c r="C1013" t="s">
        <v>5675</v>
      </c>
      <c r="D1013">
        <v>44442</v>
      </c>
      <c r="E1013">
        <v>7</v>
      </c>
      <c r="F1013">
        <v>7</v>
      </c>
      <c r="G1013">
        <v>7</v>
      </c>
    </row>
    <row r="1014" spans="1:7">
      <c r="A1014">
        <v>6282</v>
      </c>
      <c r="B1014" t="s">
        <v>5731</v>
      </c>
      <c r="C1014" t="s">
        <v>5675</v>
      </c>
      <c r="D1014">
        <v>44442</v>
      </c>
      <c r="E1014">
        <v>6</v>
      </c>
      <c r="F1014">
        <v>6</v>
      </c>
      <c r="G1014">
        <v>6</v>
      </c>
    </row>
    <row r="1015" spans="1:7">
      <c r="A1015">
        <v>1605</v>
      </c>
      <c r="B1015" t="s">
        <v>5857</v>
      </c>
      <c r="C1015" t="s">
        <v>5858</v>
      </c>
      <c r="D1015">
        <v>44442</v>
      </c>
      <c r="E1015">
        <v>9</v>
      </c>
      <c r="F1015">
        <v>9</v>
      </c>
      <c r="G1015">
        <v>9</v>
      </c>
    </row>
    <row r="1016" spans="1:7">
      <c r="A1016">
        <v>1301</v>
      </c>
      <c r="B1016" t="s">
        <v>5841</v>
      </c>
      <c r="C1016" t="s">
        <v>5771</v>
      </c>
      <c r="D1016">
        <v>44442</v>
      </c>
      <c r="E1016">
        <v>11</v>
      </c>
      <c r="F1016">
        <v>11</v>
      </c>
      <c r="G1016">
        <v>11</v>
      </c>
    </row>
    <row r="1017" spans="1:7">
      <c r="A1017">
        <v>1718</v>
      </c>
      <c r="B1017" t="s">
        <v>5816</v>
      </c>
      <c r="C1017" t="s">
        <v>5733</v>
      </c>
      <c r="D1017">
        <v>44442</v>
      </c>
      <c r="E1017">
        <v>13</v>
      </c>
      <c r="F1017">
        <v>13</v>
      </c>
      <c r="G1017">
        <v>13</v>
      </c>
    </row>
    <row r="1018" spans="1:7">
      <c r="A1018">
        <v>1313</v>
      </c>
      <c r="B1018" t="s">
        <v>5991</v>
      </c>
      <c r="C1018" t="s">
        <v>5771</v>
      </c>
      <c r="D1018">
        <v>44442</v>
      </c>
      <c r="E1018">
        <v>6</v>
      </c>
      <c r="F1018">
        <v>6</v>
      </c>
      <c r="G1018">
        <v>6</v>
      </c>
    </row>
    <row r="1019" spans="1:7">
      <c r="A1019">
        <v>1304</v>
      </c>
      <c r="B1019" t="s">
        <v>6024</v>
      </c>
      <c r="C1019" t="s">
        <v>5771</v>
      </c>
      <c r="D1019">
        <v>44442</v>
      </c>
      <c r="E1019">
        <v>8</v>
      </c>
      <c r="F1019">
        <v>8</v>
      </c>
      <c r="G1019">
        <v>8</v>
      </c>
    </row>
    <row r="1020" spans="1:7">
      <c r="A1020">
        <v>2515</v>
      </c>
      <c r="B1020" t="s">
        <v>6095</v>
      </c>
      <c r="C1020" t="s">
        <v>5651</v>
      </c>
      <c r="D1020">
        <v>44442</v>
      </c>
      <c r="E1020">
        <v>10</v>
      </c>
      <c r="F1020">
        <v>10</v>
      </c>
      <c r="G1020">
        <v>10</v>
      </c>
    </row>
    <row r="1021" spans="1:7">
      <c r="A1021">
        <v>1717</v>
      </c>
      <c r="B1021" t="s">
        <v>5805</v>
      </c>
      <c r="C1021" t="s">
        <v>5733</v>
      </c>
      <c r="D1021">
        <v>44442</v>
      </c>
      <c r="E1021">
        <v>8</v>
      </c>
      <c r="F1021">
        <v>8</v>
      </c>
      <c r="G1021">
        <v>8</v>
      </c>
    </row>
    <row r="1022" spans="1:7">
      <c r="A1022">
        <v>1402</v>
      </c>
      <c r="B1022" t="s">
        <v>5851</v>
      </c>
      <c r="C1022" t="s">
        <v>5706</v>
      </c>
      <c r="D1022">
        <v>44442</v>
      </c>
      <c r="E1022">
        <v>10</v>
      </c>
      <c r="F1022">
        <v>10</v>
      </c>
      <c r="G1022">
        <v>10</v>
      </c>
    </row>
    <row r="1023" spans="1:7">
      <c r="A1023">
        <v>3576</v>
      </c>
      <c r="B1023" t="s">
        <v>5660</v>
      </c>
      <c r="C1023" t="s">
        <v>5661</v>
      </c>
      <c r="D1023">
        <v>44442</v>
      </c>
      <c r="E1023">
        <v>9</v>
      </c>
      <c r="F1023">
        <v>9</v>
      </c>
      <c r="G1023">
        <v>9</v>
      </c>
    </row>
    <row r="1024" spans="1:7">
      <c r="A1024">
        <v>8150</v>
      </c>
      <c r="B1024" t="s">
        <v>5667</v>
      </c>
      <c r="C1024" t="s">
        <v>5666</v>
      </c>
      <c r="D1024">
        <v>44442</v>
      </c>
      <c r="E1024">
        <v>4</v>
      </c>
      <c r="F1024">
        <v>4</v>
      </c>
      <c r="G1024">
        <v>4</v>
      </c>
    </row>
    <row r="1025" spans="1:7">
      <c r="A1025">
        <v>5483</v>
      </c>
      <c r="B1025" t="s">
        <v>5757</v>
      </c>
      <c r="C1025" t="s">
        <v>5690</v>
      </c>
      <c r="D1025">
        <v>44442</v>
      </c>
      <c r="E1025">
        <v>5</v>
      </c>
      <c r="F1025">
        <v>5</v>
      </c>
      <c r="G1025">
        <v>5</v>
      </c>
    </row>
    <row r="1026" spans="1:7">
      <c r="A1026">
        <v>8182</v>
      </c>
      <c r="B1026" t="s">
        <v>6116</v>
      </c>
      <c r="C1026" t="s">
        <v>5791</v>
      </c>
      <c r="D1026">
        <v>44442</v>
      </c>
      <c r="E1026">
        <v>4</v>
      </c>
      <c r="F1026">
        <v>4</v>
      </c>
      <c r="G1026">
        <v>4</v>
      </c>
    </row>
    <row r="1027" spans="1:7">
      <c r="A1027">
        <v>2887</v>
      </c>
      <c r="B1027" t="s">
        <v>6014</v>
      </c>
      <c r="C1027" t="s">
        <v>5645</v>
      </c>
      <c r="D1027">
        <v>44442</v>
      </c>
      <c r="E1027">
        <v>5</v>
      </c>
      <c r="F1027">
        <v>5</v>
      </c>
      <c r="G1027">
        <v>5</v>
      </c>
    </row>
    <row r="1028" spans="1:7">
      <c r="A1028">
        <v>8028</v>
      </c>
      <c r="B1028" t="s">
        <v>5743</v>
      </c>
      <c r="C1028" t="s">
        <v>5666</v>
      </c>
      <c r="D1028">
        <v>44442</v>
      </c>
      <c r="E1028">
        <v>2</v>
      </c>
      <c r="F1028">
        <v>2</v>
      </c>
      <c r="G1028">
        <v>2</v>
      </c>
    </row>
    <row r="1029" spans="1:7">
      <c r="A1029">
        <v>2201</v>
      </c>
      <c r="B1029" t="s">
        <v>5929</v>
      </c>
      <c r="C1029" t="s">
        <v>5769</v>
      </c>
      <c r="D1029">
        <v>44442</v>
      </c>
      <c r="E1029">
        <v>9</v>
      </c>
      <c r="F1029">
        <v>9</v>
      </c>
      <c r="G1029">
        <v>9</v>
      </c>
    </row>
    <row r="1030" spans="1:7">
      <c r="A1030">
        <v>9921</v>
      </c>
      <c r="B1030" t="s">
        <v>6051</v>
      </c>
      <c r="C1030" t="s">
        <v>5664</v>
      </c>
      <c r="D1030">
        <v>44442</v>
      </c>
      <c r="E1030">
        <v>7</v>
      </c>
      <c r="F1030">
        <v>7</v>
      </c>
      <c r="G1030">
        <v>7</v>
      </c>
    </row>
    <row r="1031" spans="1:7">
      <c r="A1031">
        <v>1455</v>
      </c>
      <c r="B1031" t="s">
        <v>5880</v>
      </c>
      <c r="C1031" t="s">
        <v>5706</v>
      </c>
      <c r="D1031">
        <v>44442</v>
      </c>
      <c r="E1031">
        <v>7</v>
      </c>
      <c r="F1031">
        <v>7</v>
      </c>
      <c r="G1031">
        <v>7</v>
      </c>
    </row>
    <row r="1032" spans="1:7">
      <c r="A1032">
        <v>1326</v>
      </c>
      <c r="B1032" t="s">
        <v>5814</v>
      </c>
      <c r="C1032" t="s">
        <v>5771</v>
      </c>
      <c r="D1032">
        <v>44442</v>
      </c>
      <c r="E1032">
        <v>14</v>
      </c>
      <c r="F1032">
        <v>14</v>
      </c>
      <c r="G1032">
        <v>14</v>
      </c>
    </row>
    <row r="1033" spans="1:7">
      <c r="A1033">
        <v>2809</v>
      </c>
      <c r="B1033" t="s">
        <v>5810</v>
      </c>
      <c r="C1033" t="s">
        <v>5645</v>
      </c>
      <c r="D1033">
        <v>44442</v>
      </c>
      <c r="E1033">
        <v>15</v>
      </c>
      <c r="F1033">
        <v>15</v>
      </c>
      <c r="G1033">
        <v>15</v>
      </c>
    </row>
    <row r="1034" spans="1:7">
      <c r="A1034">
        <v>6251</v>
      </c>
      <c r="B1034" t="s">
        <v>5922</v>
      </c>
      <c r="C1034" t="s">
        <v>5675</v>
      </c>
      <c r="D1034">
        <v>44442</v>
      </c>
      <c r="E1034">
        <v>5</v>
      </c>
      <c r="F1034">
        <v>5</v>
      </c>
      <c r="G1034">
        <v>5</v>
      </c>
    </row>
    <row r="1035" spans="1:7">
      <c r="A1035">
        <v>3596</v>
      </c>
      <c r="B1035" t="s">
        <v>6046</v>
      </c>
      <c r="C1035" t="s">
        <v>5653</v>
      </c>
      <c r="D1035">
        <v>44442</v>
      </c>
      <c r="E1035">
        <v>3</v>
      </c>
      <c r="F1035">
        <v>3</v>
      </c>
      <c r="G1035">
        <v>3</v>
      </c>
    </row>
    <row r="1036" spans="1:7">
      <c r="A1036">
        <v>3207</v>
      </c>
      <c r="B1036" t="s">
        <v>6104</v>
      </c>
      <c r="C1036" t="s">
        <v>5791</v>
      </c>
      <c r="D1036">
        <v>44442</v>
      </c>
      <c r="E1036">
        <v>4</v>
      </c>
      <c r="F1036">
        <v>4</v>
      </c>
      <c r="G1036">
        <v>4</v>
      </c>
    </row>
    <row r="1037" spans="1:7">
      <c r="A1037">
        <v>5452</v>
      </c>
      <c r="B1037" t="s">
        <v>6121</v>
      </c>
      <c r="C1037" t="s">
        <v>5800</v>
      </c>
      <c r="D1037">
        <v>44442</v>
      </c>
      <c r="E1037">
        <v>3</v>
      </c>
      <c r="F1037">
        <v>3</v>
      </c>
      <c r="G1037">
        <v>3</v>
      </c>
    </row>
    <row r="1038" spans="1:7">
      <c r="A1038">
        <v>6269</v>
      </c>
      <c r="B1038" t="s">
        <v>5717</v>
      </c>
      <c r="C1038" t="s">
        <v>5675</v>
      </c>
      <c r="D1038">
        <v>44442</v>
      </c>
      <c r="E1038">
        <v>9</v>
      </c>
      <c r="F1038">
        <v>9</v>
      </c>
      <c r="G1038">
        <v>9</v>
      </c>
    </row>
    <row r="1039" spans="1:7">
      <c r="A1039">
        <v>3673</v>
      </c>
      <c r="B1039" t="s">
        <v>6122</v>
      </c>
      <c r="C1039" t="s">
        <v>5661</v>
      </c>
      <c r="D1039">
        <v>44442</v>
      </c>
      <c r="E1039">
        <v>3</v>
      </c>
      <c r="F1039">
        <v>3</v>
      </c>
      <c r="G1039">
        <v>3</v>
      </c>
    </row>
    <row r="1040" spans="1:7">
      <c r="A1040">
        <v>6182</v>
      </c>
      <c r="B1040" t="s">
        <v>5779</v>
      </c>
      <c r="C1040" t="s">
        <v>5690</v>
      </c>
      <c r="D1040">
        <v>44442</v>
      </c>
      <c r="E1040">
        <v>3</v>
      </c>
      <c r="F1040">
        <v>3</v>
      </c>
      <c r="G1040">
        <v>3</v>
      </c>
    </row>
    <row r="1041" spans="1:7">
      <c r="A1041">
        <v>2393</v>
      </c>
      <c r="B1041" t="s">
        <v>5966</v>
      </c>
      <c r="C1041" t="s">
        <v>5661</v>
      </c>
      <c r="D1041">
        <v>44442</v>
      </c>
      <c r="E1041">
        <v>6</v>
      </c>
      <c r="F1041">
        <v>6</v>
      </c>
      <c r="G1041">
        <v>6</v>
      </c>
    </row>
    <row r="1042" spans="1:7">
      <c r="A1042">
        <v>6217</v>
      </c>
      <c r="B1042" t="s">
        <v>5913</v>
      </c>
      <c r="C1042" t="s">
        <v>5791</v>
      </c>
      <c r="D1042">
        <v>44442</v>
      </c>
      <c r="E1042">
        <v>4</v>
      </c>
      <c r="F1042">
        <v>4</v>
      </c>
      <c r="G1042">
        <v>4</v>
      </c>
    </row>
    <row r="1043" spans="1:7">
      <c r="A1043">
        <v>2406</v>
      </c>
      <c r="B1043" t="s">
        <v>5762</v>
      </c>
      <c r="C1043" t="s">
        <v>5661</v>
      </c>
      <c r="D1043">
        <v>44442</v>
      </c>
      <c r="E1043">
        <v>6</v>
      </c>
      <c r="F1043">
        <v>6</v>
      </c>
      <c r="G1043">
        <v>6</v>
      </c>
    </row>
    <row r="1044" spans="1:7">
      <c r="A1044">
        <v>6257</v>
      </c>
      <c r="B1044" t="s">
        <v>6123</v>
      </c>
      <c r="C1044" t="s">
        <v>5666</v>
      </c>
      <c r="D1044">
        <v>44442</v>
      </c>
      <c r="E1044">
        <v>2</v>
      </c>
      <c r="F1044">
        <v>2</v>
      </c>
      <c r="G1044">
        <v>2</v>
      </c>
    </row>
    <row r="1045" spans="1:7">
      <c r="A1045">
        <v>2313</v>
      </c>
      <c r="B1045" t="s">
        <v>5730</v>
      </c>
      <c r="C1045" t="s">
        <v>5675</v>
      </c>
      <c r="D1045">
        <v>44442</v>
      </c>
      <c r="E1045">
        <v>2</v>
      </c>
      <c r="F1045">
        <v>2</v>
      </c>
      <c r="G1045">
        <v>2</v>
      </c>
    </row>
    <row r="1046" spans="1:7">
      <c r="A1046">
        <v>3701</v>
      </c>
      <c r="B1046" t="s">
        <v>5904</v>
      </c>
      <c r="C1046" t="s">
        <v>5649</v>
      </c>
      <c r="D1046">
        <v>44442</v>
      </c>
      <c r="E1046">
        <v>4</v>
      </c>
      <c r="F1046">
        <v>4</v>
      </c>
      <c r="G1046">
        <v>4</v>
      </c>
    </row>
    <row r="1047" spans="1:7">
      <c r="A1047">
        <v>2105</v>
      </c>
      <c r="B1047" t="s">
        <v>5671</v>
      </c>
      <c r="C1047" t="s">
        <v>5657</v>
      </c>
      <c r="D1047">
        <v>44442</v>
      </c>
      <c r="E1047">
        <v>10</v>
      </c>
      <c r="F1047">
        <v>10</v>
      </c>
      <c r="G1047">
        <v>10</v>
      </c>
    </row>
    <row r="1048" spans="1:7">
      <c r="A1048">
        <v>2303</v>
      </c>
      <c r="B1048" t="s">
        <v>6124</v>
      </c>
      <c r="C1048" t="s">
        <v>5666</v>
      </c>
      <c r="D1048">
        <v>44442</v>
      </c>
      <c r="E1048">
        <v>2</v>
      </c>
      <c r="F1048">
        <v>2</v>
      </c>
      <c r="G1048">
        <v>2</v>
      </c>
    </row>
    <row r="1049" spans="1:7">
      <c r="A1049">
        <v>3021</v>
      </c>
      <c r="B1049" t="s">
        <v>6125</v>
      </c>
      <c r="C1049" t="s">
        <v>5675</v>
      </c>
      <c r="D1049">
        <v>44442</v>
      </c>
      <c r="E1049">
        <v>1</v>
      </c>
      <c r="F1049">
        <v>1</v>
      </c>
      <c r="G1049">
        <v>1</v>
      </c>
    </row>
    <row r="1050" spans="1:7">
      <c r="A1050">
        <v>1440</v>
      </c>
      <c r="B1050" t="s">
        <v>5981</v>
      </c>
      <c r="C1050" t="s">
        <v>5706</v>
      </c>
      <c r="D1050">
        <v>44442</v>
      </c>
      <c r="E1050">
        <v>5</v>
      </c>
      <c r="F1050">
        <v>5</v>
      </c>
      <c r="G1050">
        <v>5</v>
      </c>
    </row>
    <row r="1051" spans="1:7">
      <c r="A1051">
        <v>3703</v>
      </c>
      <c r="B1051" t="s">
        <v>5650</v>
      </c>
      <c r="C1051" t="s">
        <v>5651</v>
      </c>
      <c r="D1051">
        <v>44442</v>
      </c>
      <c r="E1051">
        <v>6</v>
      </c>
      <c r="F1051">
        <v>6</v>
      </c>
      <c r="G1051">
        <v>6</v>
      </c>
    </row>
    <row r="1052" spans="1:7">
      <c r="A1052">
        <v>2103</v>
      </c>
      <c r="B1052" t="s">
        <v>5788</v>
      </c>
      <c r="C1052" t="s">
        <v>5657</v>
      </c>
      <c r="D1052">
        <v>44442</v>
      </c>
      <c r="E1052">
        <v>5</v>
      </c>
      <c r="F1052">
        <v>5</v>
      </c>
      <c r="G1052">
        <v>5</v>
      </c>
    </row>
    <row r="1053" spans="1:7">
      <c r="A1053">
        <v>6120</v>
      </c>
      <c r="B1053" t="s">
        <v>6027</v>
      </c>
      <c r="C1053" t="s">
        <v>5661</v>
      </c>
      <c r="D1053">
        <v>44442</v>
      </c>
      <c r="E1053">
        <v>4</v>
      </c>
      <c r="F1053">
        <v>4</v>
      </c>
      <c r="G1053">
        <v>4</v>
      </c>
    </row>
    <row r="1054" spans="1:7">
      <c r="A1054">
        <v>3045</v>
      </c>
      <c r="B1054" t="s">
        <v>5680</v>
      </c>
      <c r="C1054" t="s">
        <v>5653</v>
      </c>
      <c r="D1054">
        <v>44442</v>
      </c>
      <c r="E1054">
        <v>14</v>
      </c>
      <c r="F1054">
        <v>14</v>
      </c>
      <c r="G1054">
        <v>14</v>
      </c>
    </row>
    <row r="1055" spans="1:7">
      <c r="A1055">
        <v>2337</v>
      </c>
      <c r="B1055" t="s">
        <v>6013</v>
      </c>
      <c r="C1055" t="s">
        <v>5666</v>
      </c>
      <c r="D1055">
        <v>44442</v>
      </c>
      <c r="E1055">
        <v>6</v>
      </c>
      <c r="F1055">
        <v>6</v>
      </c>
      <c r="G1055">
        <v>6</v>
      </c>
    </row>
    <row r="1056" spans="1:7">
      <c r="A1056">
        <v>8121</v>
      </c>
      <c r="B1056" t="s">
        <v>5917</v>
      </c>
      <c r="C1056" t="s">
        <v>5791</v>
      </c>
      <c r="D1056">
        <v>44442</v>
      </c>
      <c r="E1056">
        <v>5</v>
      </c>
      <c r="F1056">
        <v>5</v>
      </c>
      <c r="G1056">
        <v>5</v>
      </c>
    </row>
    <row r="1057" spans="1:7">
      <c r="A1057">
        <v>2913</v>
      </c>
      <c r="B1057" t="s">
        <v>6067</v>
      </c>
      <c r="C1057" t="s">
        <v>5647</v>
      </c>
      <c r="D1057">
        <v>44442</v>
      </c>
      <c r="E1057">
        <v>3</v>
      </c>
      <c r="F1057">
        <v>3</v>
      </c>
      <c r="G1057">
        <v>3</v>
      </c>
    </row>
    <row r="1058" spans="1:7">
      <c r="A1058">
        <v>2363</v>
      </c>
      <c r="B1058" t="s">
        <v>5765</v>
      </c>
      <c r="C1058" t="s">
        <v>5666</v>
      </c>
      <c r="D1058">
        <v>44442</v>
      </c>
      <c r="E1058">
        <v>3</v>
      </c>
      <c r="F1058">
        <v>3</v>
      </c>
      <c r="G1058">
        <v>3</v>
      </c>
    </row>
    <row r="1059" spans="1:7">
      <c r="A1059">
        <v>3010</v>
      </c>
      <c r="B1059" t="s">
        <v>6126</v>
      </c>
      <c r="C1059" t="s">
        <v>5687</v>
      </c>
      <c r="D1059">
        <v>44442</v>
      </c>
      <c r="E1059">
        <v>1</v>
      </c>
      <c r="F1059">
        <v>1</v>
      </c>
      <c r="G1059">
        <v>1</v>
      </c>
    </row>
    <row r="1060" spans="1:7">
      <c r="A1060">
        <v>6147</v>
      </c>
      <c r="B1060" t="s">
        <v>6127</v>
      </c>
      <c r="C1060" t="s">
        <v>5690</v>
      </c>
      <c r="D1060">
        <v>44442</v>
      </c>
      <c r="E1060">
        <v>4</v>
      </c>
      <c r="F1060">
        <v>4</v>
      </c>
      <c r="G1060">
        <v>4</v>
      </c>
    </row>
    <row r="1061" spans="1:7">
      <c r="A1061">
        <v>2369</v>
      </c>
      <c r="B1061" t="s">
        <v>5778</v>
      </c>
      <c r="C1061" t="s">
        <v>5666</v>
      </c>
      <c r="D1061">
        <v>44442</v>
      </c>
      <c r="E1061">
        <v>8</v>
      </c>
      <c r="F1061">
        <v>8</v>
      </c>
      <c r="G1061">
        <v>8</v>
      </c>
    </row>
    <row r="1062" spans="1:7">
      <c r="A1062">
        <v>4968</v>
      </c>
      <c r="B1062" t="s">
        <v>6050</v>
      </c>
      <c r="C1062" t="s">
        <v>5666</v>
      </c>
      <c r="D1062">
        <v>44442</v>
      </c>
      <c r="E1062">
        <v>3</v>
      </c>
      <c r="F1062">
        <v>3</v>
      </c>
      <c r="G1062">
        <v>3</v>
      </c>
    </row>
    <row r="1063" spans="1:7">
      <c r="A1063">
        <v>2834</v>
      </c>
      <c r="B1063" t="s">
        <v>5672</v>
      </c>
      <c r="C1063" t="s">
        <v>5645</v>
      </c>
      <c r="D1063">
        <v>44442</v>
      </c>
      <c r="E1063">
        <v>7</v>
      </c>
      <c r="F1063">
        <v>7</v>
      </c>
      <c r="G1063">
        <v>7</v>
      </c>
    </row>
    <row r="1064" spans="1:7">
      <c r="A1064">
        <v>1795</v>
      </c>
      <c r="B1064" t="s">
        <v>5728</v>
      </c>
      <c r="C1064" t="s">
        <v>5729</v>
      </c>
      <c r="D1064">
        <v>44442</v>
      </c>
      <c r="E1064">
        <v>4</v>
      </c>
      <c r="F1064">
        <v>4</v>
      </c>
      <c r="G1064">
        <v>4</v>
      </c>
    </row>
    <row r="1065" spans="1:7">
      <c r="A1065">
        <v>4938</v>
      </c>
      <c r="B1065" t="s">
        <v>5782</v>
      </c>
      <c r="C1065" t="s">
        <v>5649</v>
      </c>
      <c r="D1065">
        <v>44442</v>
      </c>
      <c r="E1065">
        <v>6</v>
      </c>
      <c r="F1065">
        <v>6</v>
      </c>
      <c r="G1065">
        <v>6</v>
      </c>
    </row>
    <row r="1066" spans="1:7">
      <c r="A1066">
        <v>2890</v>
      </c>
      <c r="B1066" t="s">
        <v>5772</v>
      </c>
      <c r="C1066" t="s">
        <v>5645</v>
      </c>
      <c r="D1066">
        <v>44442</v>
      </c>
      <c r="E1066">
        <v>8</v>
      </c>
      <c r="F1066">
        <v>8</v>
      </c>
      <c r="G1066">
        <v>8</v>
      </c>
    </row>
    <row r="1067" spans="1:7">
      <c r="A1067">
        <v>5469</v>
      </c>
      <c r="B1067" t="s">
        <v>6128</v>
      </c>
      <c r="C1067" t="s">
        <v>5675</v>
      </c>
      <c r="D1067">
        <v>44442</v>
      </c>
      <c r="E1067">
        <v>2</v>
      </c>
      <c r="F1067">
        <v>2</v>
      </c>
      <c r="G1067">
        <v>2</v>
      </c>
    </row>
    <row r="1068" spans="1:7">
      <c r="A1068">
        <v>8110</v>
      </c>
      <c r="B1068" t="s">
        <v>5685</v>
      </c>
      <c r="C1068" t="s">
        <v>5666</v>
      </c>
      <c r="D1068">
        <v>44442</v>
      </c>
      <c r="E1068">
        <v>8</v>
      </c>
      <c r="F1068">
        <v>8</v>
      </c>
      <c r="G1068">
        <v>8</v>
      </c>
    </row>
    <row r="1069" spans="1:7">
      <c r="A1069">
        <v>2442</v>
      </c>
      <c r="B1069" t="s">
        <v>5941</v>
      </c>
      <c r="C1069" t="s">
        <v>5649</v>
      </c>
      <c r="D1069">
        <v>44442</v>
      </c>
      <c r="E1069">
        <v>8</v>
      </c>
      <c r="F1069">
        <v>8</v>
      </c>
      <c r="G1069">
        <v>8</v>
      </c>
    </row>
    <row r="1070" spans="1:7">
      <c r="A1070">
        <v>8215</v>
      </c>
      <c r="B1070" t="s">
        <v>6092</v>
      </c>
      <c r="C1070" t="s">
        <v>5661</v>
      </c>
      <c r="D1070">
        <v>44442</v>
      </c>
      <c r="E1070">
        <v>3</v>
      </c>
      <c r="F1070">
        <v>3</v>
      </c>
      <c r="G1070">
        <v>3</v>
      </c>
    </row>
    <row r="1071" spans="1:7">
      <c r="A1071">
        <v>6219</v>
      </c>
      <c r="B1071" t="s">
        <v>5832</v>
      </c>
      <c r="C1071" t="s">
        <v>5833</v>
      </c>
      <c r="D1071">
        <v>44442</v>
      </c>
      <c r="E1071">
        <v>8</v>
      </c>
      <c r="F1071">
        <v>8</v>
      </c>
      <c r="G1071">
        <v>8</v>
      </c>
    </row>
    <row r="1072" spans="1:7">
      <c r="A1072">
        <v>2888</v>
      </c>
      <c r="B1072" t="s">
        <v>5853</v>
      </c>
      <c r="C1072" t="s">
        <v>5645</v>
      </c>
      <c r="D1072">
        <v>44442</v>
      </c>
      <c r="E1072">
        <v>9</v>
      </c>
      <c r="F1072">
        <v>9</v>
      </c>
      <c r="G1072">
        <v>9</v>
      </c>
    </row>
    <row r="1073" spans="1:7">
      <c r="A1073">
        <v>4960</v>
      </c>
      <c r="B1073" t="s">
        <v>6059</v>
      </c>
      <c r="C1073" t="s">
        <v>5661</v>
      </c>
      <c r="D1073">
        <v>44442</v>
      </c>
      <c r="E1073">
        <v>7</v>
      </c>
      <c r="F1073">
        <v>7</v>
      </c>
      <c r="G1073">
        <v>7</v>
      </c>
    </row>
    <row r="1074" spans="1:7">
      <c r="A1074">
        <v>1102</v>
      </c>
      <c r="B1074" t="s">
        <v>6129</v>
      </c>
      <c r="C1074" t="s">
        <v>5823</v>
      </c>
      <c r="D1074">
        <v>44442</v>
      </c>
      <c r="E1074">
        <v>4</v>
      </c>
      <c r="F1074">
        <v>4</v>
      </c>
      <c r="G1074">
        <v>4</v>
      </c>
    </row>
    <row r="1075" spans="1:7">
      <c r="A1075">
        <v>2104</v>
      </c>
      <c r="B1075" t="s">
        <v>6082</v>
      </c>
      <c r="C1075" t="s">
        <v>5657</v>
      </c>
      <c r="D1075">
        <v>44442</v>
      </c>
      <c r="E1075">
        <v>6</v>
      </c>
      <c r="F1075">
        <v>6</v>
      </c>
      <c r="G1075">
        <v>6</v>
      </c>
    </row>
    <row r="1076" spans="1:7">
      <c r="A1076">
        <v>3034</v>
      </c>
      <c r="B1076" t="s">
        <v>5838</v>
      </c>
      <c r="C1076" t="s">
        <v>5666</v>
      </c>
      <c r="D1076">
        <v>44442</v>
      </c>
      <c r="E1076">
        <v>5</v>
      </c>
      <c r="F1076">
        <v>5</v>
      </c>
      <c r="G1076">
        <v>5</v>
      </c>
    </row>
    <row r="1077" spans="1:7">
      <c r="A1077">
        <v>3526</v>
      </c>
      <c r="B1077" t="s">
        <v>5932</v>
      </c>
      <c r="C1077" t="s">
        <v>5791</v>
      </c>
      <c r="D1077">
        <v>44442</v>
      </c>
      <c r="E1077">
        <v>4</v>
      </c>
      <c r="F1077">
        <v>4</v>
      </c>
      <c r="G1077">
        <v>4</v>
      </c>
    </row>
    <row r="1078" spans="1:7">
      <c r="A1078">
        <v>4952</v>
      </c>
      <c r="B1078" t="s">
        <v>6070</v>
      </c>
      <c r="C1078" t="s">
        <v>5666</v>
      </c>
      <c r="D1078">
        <v>44442</v>
      </c>
      <c r="E1078">
        <v>2</v>
      </c>
      <c r="F1078">
        <v>2</v>
      </c>
      <c r="G1078">
        <v>2</v>
      </c>
    </row>
    <row r="1079" spans="1:7">
      <c r="A1079">
        <v>2633</v>
      </c>
      <c r="B1079" t="s">
        <v>6130</v>
      </c>
      <c r="C1079" t="s">
        <v>5679</v>
      </c>
      <c r="D1079">
        <v>44442</v>
      </c>
      <c r="E1079">
        <v>8</v>
      </c>
      <c r="F1079">
        <v>8</v>
      </c>
      <c r="G1079">
        <v>8</v>
      </c>
    </row>
    <row r="1080" spans="1:7">
      <c r="A1080">
        <v>1604</v>
      </c>
      <c r="B1080" t="s">
        <v>5947</v>
      </c>
      <c r="C1080" t="s">
        <v>5858</v>
      </c>
      <c r="D1080">
        <v>44442</v>
      </c>
      <c r="E1080">
        <v>4</v>
      </c>
      <c r="F1080">
        <v>4</v>
      </c>
      <c r="G1080">
        <v>4</v>
      </c>
    </row>
    <row r="1081" spans="1:7">
      <c r="A1081">
        <v>2368</v>
      </c>
      <c r="B1081" t="s">
        <v>5746</v>
      </c>
      <c r="C1081" t="s">
        <v>5675</v>
      </c>
      <c r="D1081">
        <v>44442</v>
      </c>
      <c r="E1081">
        <v>5</v>
      </c>
      <c r="F1081">
        <v>5</v>
      </c>
      <c r="G1081">
        <v>5</v>
      </c>
    </row>
    <row r="1082" spans="1:7">
      <c r="A1082">
        <v>5309</v>
      </c>
      <c r="B1082" t="s">
        <v>5925</v>
      </c>
      <c r="C1082" t="s">
        <v>5791</v>
      </c>
      <c r="D1082">
        <v>44442</v>
      </c>
      <c r="E1082">
        <v>5</v>
      </c>
      <c r="F1082">
        <v>5</v>
      </c>
      <c r="G1082">
        <v>5</v>
      </c>
    </row>
    <row r="1083" spans="1:7">
      <c r="A1083">
        <v>2883</v>
      </c>
      <c r="B1083" t="s">
        <v>5915</v>
      </c>
      <c r="C1083" t="s">
        <v>5645</v>
      </c>
      <c r="D1083">
        <v>44442</v>
      </c>
      <c r="E1083">
        <v>7</v>
      </c>
      <c r="F1083">
        <v>7</v>
      </c>
      <c r="G1083">
        <v>7</v>
      </c>
    </row>
    <row r="1084" spans="1:7">
      <c r="A1084">
        <v>6243</v>
      </c>
      <c r="B1084" t="s">
        <v>6131</v>
      </c>
      <c r="C1084" t="s">
        <v>5666</v>
      </c>
      <c r="D1084">
        <v>44442</v>
      </c>
      <c r="E1084">
        <v>3</v>
      </c>
      <c r="F1084">
        <v>3</v>
      </c>
      <c r="G1084">
        <v>3</v>
      </c>
    </row>
    <row r="1085" spans="1:7">
      <c r="A1085">
        <v>4966</v>
      </c>
      <c r="B1085" t="s">
        <v>6132</v>
      </c>
      <c r="C1085" t="s">
        <v>5690</v>
      </c>
      <c r="D1085">
        <v>44442</v>
      </c>
      <c r="E1085">
        <v>1</v>
      </c>
      <c r="F1085">
        <v>1</v>
      </c>
      <c r="G1085">
        <v>1</v>
      </c>
    </row>
    <row r="1086" spans="1:7">
      <c r="A1086">
        <v>6226</v>
      </c>
      <c r="B1086" t="s">
        <v>5789</v>
      </c>
      <c r="C1086" t="s">
        <v>5661</v>
      </c>
      <c r="D1086">
        <v>44442</v>
      </c>
      <c r="E1086">
        <v>3</v>
      </c>
      <c r="F1086">
        <v>3</v>
      </c>
      <c r="G1086">
        <v>3</v>
      </c>
    </row>
    <row r="1087" spans="1:7">
      <c r="A1087">
        <v>3552</v>
      </c>
      <c r="B1087" t="s">
        <v>5934</v>
      </c>
      <c r="C1087" t="s">
        <v>5800</v>
      </c>
      <c r="D1087">
        <v>44442</v>
      </c>
      <c r="E1087">
        <v>4</v>
      </c>
      <c r="F1087">
        <v>4</v>
      </c>
      <c r="G1087">
        <v>4</v>
      </c>
    </row>
    <row r="1088" spans="1:7">
      <c r="A1088">
        <v>2305</v>
      </c>
      <c r="B1088" t="s">
        <v>6133</v>
      </c>
      <c r="C1088" t="s">
        <v>5649</v>
      </c>
      <c r="D1088">
        <v>44442</v>
      </c>
      <c r="E1088">
        <v>1</v>
      </c>
      <c r="F1088">
        <v>1</v>
      </c>
      <c r="G1088">
        <v>1</v>
      </c>
    </row>
    <row r="1089" spans="1:7">
      <c r="A1089">
        <v>1101</v>
      </c>
      <c r="B1089" t="s">
        <v>5822</v>
      </c>
      <c r="C1089" t="s">
        <v>5823</v>
      </c>
      <c r="D1089">
        <v>44442</v>
      </c>
      <c r="E1089">
        <v>8</v>
      </c>
      <c r="F1089">
        <v>8</v>
      </c>
      <c r="G1089">
        <v>8</v>
      </c>
    </row>
    <row r="1090" spans="1:7">
      <c r="A1090">
        <v>3702</v>
      </c>
      <c r="B1090" t="s">
        <v>5686</v>
      </c>
      <c r="C1090" t="s">
        <v>5687</v>
      </c>
      <c r="D1090">
        <v>44442</v>
      </c>
      <c r="E1090">
        <v>16</v>
      </c>
      <c r="F1090">
        <v>16</v>
      </c>
      <c r="G1090">
        <v>16</v>
      </c>
    </row>
    <row r="1091" spans="1:7">
      <c r="A1091">
        <v>1210</v>
      </c>
      <c r="B1091" t="s">
        <v>6134</v>
      </c>
      <c r="C1091" t="s">
        <v>5872</v>
      </c>
      <c r="D1091">
        <v>44442</v>
      </c>
      <c r="E1091">
        <v>1</v>
      </c>
      <c r="F1091">
        <v>1</v>
      </c>
      <c r="G1091">
        <v>1</v>
      </c>
    </row>
    <row r="1092" spans="1:7">
      <c r="A1092">
        <v>2493</v>
      </c>
      <c r="B1092" t="s">
        <v>6118</v>
      </c>
      <c r="C1092" t="s">
        <v>5675</v>
      </c>
      <c r="D1092">
        <v>44442</v>
      </c>
      <c r="E1092">
        <v>2</v>
      </c>
      <c r="F1092">
        <v>2</v>
      </c>
      <c r="G1092">
        <v>2</v>
      </c>
    </row>
    <row r="1093" spans="1:7">
      <c r="A1093">
        <v>4175</v>
      </c>
      <c r="B1093" t="s">
        <v>6135</v>
      </c>
      <c r="C1093" t="s">
        <v>5867</v>
      </c>
      <c r="D1093">
        <v>44442</v>
      </c>
      <c r="E1093">
        <v>3</v>
      </c>
      <c r="F1093">
        <v>3</v>
      </c>
      <c r="G1093">
        <v>3</v>
      </c>
    </row>
    <row r="1094" spans="1:7">
      <c r="A1094">
        <v>4904</v>
      </c>
      <c r="B1094" t="s">
        <v>5654</v>
      </c>
      <c r="C1094" t="s">
        <v>5653</v>
      </c>
      <c r="D1094">
        <v>44442</v>
      </c>
      <c r="E1094">
        <v>15</v>
      </c>
      <c r="F1094">
        <v>15</v>
      </c>
      <c r="G1094">
        <v>15</v>
      </c>
    </row>
    <row r="1095" spans="1:7">
      <c r="A1095">
        <v>3141</v>
      </c>
      <c r="B1095" t="s">
        <v>5960</v>
      </c>
      <c r="C1095" t="s">
        <v>5690</v>
      </c>
      <c r="D1095">
        <v>44442</v>
      </c>
      <c r="E1095">
        <v>4</v>
      </c>
      <c r="F1095">
        <v>4</v>
      </c>
      <c r="G1095">
        <v>4</v>
      </c>
    </row>
    <row r="1096" spans="1:7">
      <c r="A1096">
        <v>5471</v>
      </c>
      <c r="B1096" t="s">
        <v>6136</v>
      </c>
      <c r="C1096" t="s">
        <v>5666</v>
      </c>
      <c r="D1096">
        <v>44442</v>
      </c>
      <c r="E1096">
        <v>3</v>
      </c>
      <c r="F1096">
        <v>3</v>
      </c>
      <c r="G1096">
        <v>3</v>
      </c>
    </row>
    <row r="1097" spans="1:7">
      <c r="A1097">
        <v>3058</v>
      </c>
      <c r="B1097" t="s">
        <v>6089</v>
      </c>
      <c r="C1097" t="s">
        <v>5675</v>
      </c>
      <c r="D1097">
        <v>44442</v>
      </c>
      <c r="E1097">
        <v>4</v>
      </c>
      <c r="F1097">
        <v>4</v>
      </c>
      <c r="G1097">
        <v>4</v>
      </c>
    </row>
    <row r="1098" spans="1:7">
      <c r="A1098">
        <v>8024</v>
      </c>
      <c r="B1098" t="s">
        <v>6137</v>
      </c>
      <c r="C1098" t="s">
        <v>5690</v>
      </c>
      <c r="D1098">
        <v>44442</v>
      </c>
      <c r="E1098">
        <v>4</v>
      </c>
      <c r="F1098">
        <v>4</v>
      </c>
      <c r="G1098">
        <v>4</v>
      </c>
    </row>
    <row r="1099" spans="1:7">
      <c r="A1099">
        <v>2867</v>
      </c>
      <c r="B1099" t="s">
        <v>5854</v>
      </c>
      <c r="C1099" t="s">
        <v>5645</v>
      </c>
      <c r="D1099">
        <v>44442</v>
      </c>
      <c r="E1099">
        <v>8</v>
      </c>
      <c r="F1099">
        <v>8</v>
      </c>
      <c r="G1099">
        <v>8</v>
      </c>
    </row>
    <row r="1100" spans="1:7">
      <c r="A1100">
        <v>1409</v>
      </c>
      <c r="B1100" t="s">
        <v>5775</v>
      </c>
      <c r="C1100" t="s">
        <v>5706</v>
      </c>
      <c r="D1100">
        <v>44442</v>
      </c>
      <c r="E1100">
        <v>6</v>
      </c>
      <c r="F1100">
        <v>6</v>
      </c>
      <c r="G1100">
        <v>6</v>
      </c>
    </row>
    <row r="1101" spans="1:7">
      <c r="A1101">
        <v>6531</v>
      </c>
      <c r="B1101" t="s">
        <v>5825</v>
      </c>
      <c r="C1101" t="s">
        <v>5666</v>
      </c>
      <c r="D1101">
        <v>44442</v>
      </c>
      <c r="E1101">
        <v>6</v>
      </c>
      <c r="F1101">
        <v>6</v>
      </c>
      <c r="G1101">
        <v>6</v>
      </c>
    </row>
    <row r="1102" spans="1:7">
      <c r="A1102">
        <v>8121</v>
      </c>
      <c r="B1102" t="s">
        <v>5917</v>
      </c>
      <c r="C1102" t="s">
        <v>5791</v>
      </c>
      <c r="D1102">
        <v>44441</v>
      </c>
      <c r="E1102">
        <v>5</v>
      </c>
      <c r="F1102">
        <v>5</v>
      </c>
      <c r="G1102">
        <v>5</v>
      </c>
    </row>
    <row r="1103" spans="1:7">
      <c r="A1103">
        <v>2301</v>
      </c>
      <c r="B1103" t="s">
        <v>5723</v>
      </c>
      <c r="C1103" t="s">
        <v>5649</v>
      </c>
      <c r="D1103">
        <v>44441</v>
      </c>
      <c r="E1103">
        <v>14</v>
      </c>
      <c r="F1103">
        <v>14</v>
      </c>
      <c r="G1103">
        <v>14</v>
      </c>
    </row>
    <row r="1104" spans="1:7">
      <c r="A1104">
        <v>3045</v>
      </c>
      <c r="B1104" t="s">
        <v>5680</v>
      </c>
      <c r="C1104" t="s">
        <v>5653</v>
      </c>
      <c r="D1104">
        <v>44441</v>
      </c>
      <c r="E1104">
        <v>14</v>
      </c>
      <c r="F1104">
        <v>14</v>
      </c>
      <c r="G1104">
        <v>14</v>
      </c>
    </row>
    <row r="1105" spans="1:7">
      <c r="A1105">
        <v>4904</v>
      </c>
      <c r="B1105" t="s">
        <v>5654</v>
      </c>
      <c r="C1105" t="s">
        <v>5653</v>
      </c>
      <c r="D1105">
        <v>44441</v>
      </c>
      <c r="E1105">
        <v>15</v>
      </c>
      <c r="F1105">
        <v>15</v>
      </c>
      <c r="G1105">
        <v>15</v>
      </c>
    </row>
    <row r="1106" spans="1:7">
      <c r="A1106">
        <v>3029</v>
      </c>
      <c r="B1106" t="s">
        <v>6112</v>
      </c>
      <c r="C1106" t="s">
        <v>6113</v>
      </c>
      <c r="D1106">
        <v>44441</v>
      </c>
      <c r="E1106">
        <v>2</v>
      </c>
      <c r="F1106">
        <v>2</v>
      </c>
      <c r="G1106">
        <v>2</v>
      </c>
    </row>
    <row r="1107" spans="1:7">
      <c r="A1107">
        <v>9921</v>
      </c>
      <c r="B1107" t="s">
        <v>6051</v>
      </c>
      <c r="C1107" t="s">
        <v>5664</v>
      </c>
      <c r="D1107">
        <v>44441</v>
      </c>
      <c r="E1107">
        <v>7</v>
      </c>
      <c r="F1107">
        <v>7</v>
      </c>
      <c r="G1107">
        <v>7</v>
      </c>
    </row>
    <row r="1108" spans="1:7">
      <c r="A1108">
        <v>2412</v>
      </c>
      <c r="B1108" t="s">
        <v>5652</v>
      </c>
      <c r="C1108" t="s">
        <v>5653</v>
      </c>
      <c r="D1108">
        <v>44441</v>
      </c>
      <c r="E1108">
        <v>5</v>
      </c>
      <c r="F1108">
        <v>5</v>
      </c>
      <c r="G1108">
        <v>5</v>
      </c>
    </row>
    <row r="1109" spans="1:7">
      <c r="A1109">
        <v>4702</v>
      </c>
      <c r="B1109" t="s">
        <v>5909</v>
      </c>
      <c r="C1109" t="s">
        <v>5910</v>
      </c>
      <c r="D1109">
        <v>44441</v>
      </c>
      <c r="E1109">
        <v>4</v>
      </c>
      <c r="F1109">
        <v>4</v>
      </c>
      <c r="G1109">
        <v>4</v>
      </c>
    </row>
    <row r="1110" spans="1:7">
      <c r="A1110">
        <v>2838</v>
      </c>
      <c r="B1110" t="s">
        <v>6064</v>
      </c>
      <c r="C1110" t="s">
        <v>5645</v>
      </c>
      <c r="D1110">
        <v>44441</v>
      </c>
      <c r="E1110">
        <v>6</v>
      </c>
      <c r="F1110">
        <v>6</v>
      </c>
      <c r="G1110">
        <v>6</v>
      </c>
    </row>
    <row r="1111" spans="1:7">
      <c r="A1111">
        <v>3706</v>
      </c>
      <c r="B1111" t="s">
        <v>5889</v>
      </c>
      <c r="C1111" t="s">
        <v>5649</v>
      </c>
      <c r="D1111">
        <v>44441</v>
      </c>
      <c r="E1111">
        <v>12</v>
      </c>
      <c r="F1111">
        <v>12</v>
      </c>
      <c r="G1111">
        <v>12</v>
      </c>
    </row>
    <row r="1112" spans="1:7">
      <c r="A1112">
        <v>2809</v>
      </c>
      <c r="B1112" t="s">
        <v>5810</v>
      </c>
      <c r="C1112" t="s">
        <v>5645</v>
      </c>
      <c r="D1112">
        <v>44441</v>
      </c>
      <c r="E1112">
        <v>15</v>
      </c>
      <c r="F1112">
        <v>15</v>
      </c>
      <c r="G1112">
        <v>15</v>
      </c>
    </row>
    <row r="1113" spans="1:7">
      <c r="A1113">
        <v>2601</v>
      </c>
      <c r="B1113" t="s">
        <v>5646</v>
      </c>
      <c r="C1113" t="s">
        <v>5647</v>
      </c>
      <c r="D1113">
        <v>44441</v>
      </c>
      <c r="E1113">
        <v>5</v>
      </c>
      <c r="F1113">
        <v>5</v>
      </c>
      <c r="G1113">
        <v>5</v>
      </c>
    </row>
    <row r="1114" spans="1:7">
      <c r="A1114">
        <v>2637</v>
      </c>
      <c r="B1114" t="s">
        <v>5902</v>
      </c>
      <c r="C1114" t="s">
        <v>5679</v>
      </c>
      <c r="D1114">
        <v>44441</v>
      </c>
      <c r="E1114">
        <v>6</v>
      </c>
      <c r="F1114">
        <v>6</v>
      </c>
      <c r="G1114">
        <v>6</v>
      </c>
    </row>
    <row r="1115" spans="1:7">
      <c r="A1115">
        <v>3036</v>
      </c>
      <c r="B1115" t="s">
        <v>6138</v>
      </c>
      <c r="C1115" t="s">
        <v>5687</v>
      </c>
      <c r="D1115">
        <v>44441</v>
      </c>
      <c r="E1115">
        <v>4</v>
      </c>
      <c r="F1115">
        <v>4</v>
      </c>
      <c r="G1115">
        <v>4</v>
      </c>
    </row>
    <row r="1116" spans="1:7">
      <c r="A1116">
        <v>2201</v>
      </c>
      <c r="B1116" t="s">
        <v>5929</v>
      </c>
      <c r="C1116" t="s">
        <v>5769</v>
      </c>
      <c r="D1116">
        <v>44441</v>
      </c>
      <c r="E1116">
        <v>9</v>
      </c>
      <c r="F1116">
        <v>9</v>
      </c>
      <c r="G1116">
        <v>9</v>
      </c>
    </row>
    <row r="1117" spans="1:7">
      <c r="A1117">
        <v>5328</v>
      </c>
      <c r="B1117" t="s">
        <v>5906</v>
      </c>
      <c r="C1117" t="s">
        <v>5791</v>
      </c>
      <c r="D1117">
        <v>44441</v>
      </c>
      <c r="E1117">
        <v>7</v>
      </c>
      <c r="F1117">
        <v>7</v>
      </c>
      <c r="G1117">
        <v>7</v>
      </c>
    </row>
    <row r="1118" spans="1:7">
      <c r="A1118">
        <v>4175</v>
      </c>
      <c r="B1118" t="s">
        <v>6135</v>
      </c>
      <c r="C1118" t="s">
        <v>5867</v>
      </c>
      <c r="D1118">
        <v>44441</v>
      </c>
      <c r="E1118">
        <v>3</v>
      </c>
      <c r="F1118">
        <v>3</v>
      </c>
      <c r="G1118">
        <v>3</v>
      </c>
    </row>
    <row r="1119" spans="1:7">
      <c r="A1119">
        <v>2308</v>
      </c>
      <c r="B1119" t="s">
        <v>5831</v>
      </c>
      <c r="C1119" t="s">
        <v>5675</v>
      </c>
      <c r="D1119">
        <v>44441</v>
      </c>
      <c r="E1119">
        <v>7</v>
      </c>
      <c r="F1119">
        <v>7</v>
      </c>
      <c r="G1119">
        <v>7</v>
      </c>
    </row>
    <row r="1120" spans="1:7">
      <c r="A1120">
        <v>3665</v>
      </c>
      <c r="B1120" t="s">
        <v>6139</v>
      </c>
      <c r="C1120" t="s">
        <v>5692</v>
      </c>
      <c r="D1120">
        <v>44441</v>
      </c>
      <c r="E1120">
        <v>2</v>
      </c>
      <c r="F1120">
        <v>2</v>
      </c>
      <c r="G1120">
        <v>2</v>
      </c>
    </row>
    <row r="1121" spans="1:7">
      <c r="A1121">
        <v>1717</v>
      </c>
      <c r="B1121" t="s">
        <v>5805</v>
      </c>
      <c r="C1121" t="s">
        <v>5733</v>
      </c>
      <c r="D1121">
        <v>44441</v>
      </c>
      <c r="E1121">
        <v>8</v>
      </c>
      <c r="F1121">
        <v>8</v>
      </c>
      <c r="G1121">
        <v>8</v>
      </c>
    </row>
    <row r="1122" spans="1:7">
      <c r="A1122">
        <v>2642</v>
      </c>
      <c r="B1122" t="s">
        <v>5754</v>
      </c>
      <c r="C1122" t="s">
        <v>5679</v>
      </c>
      <c r="D1122">
        <v>44441</v>
      </c>
      <c r="E1122">
        <v>7</v>
      </c>
      <c r="F1122">
        <v>7</v>
      </c>
      <c r="G1122">
        <v>7</v>
      </c>
    </row>
    <row r="1123" spans="1:7">
      <c r="A1123">
        <v>2009</v>
      </c>
      <c r="B1123" t="s">
        <v>5986</v>
      </c>
      <c r="C1123" t="s">
        <v>5659</v>
      </c>
      <c r="D1123">
        <v>44441</v>
      </c>
      <c r="E1123">
        <v>9</v>
      </c>
      <c r="F1123">
        <v>9</v>
      </c>
      <c r="G1123">
        <v>9</v>
      </c>
    </row>
    <row r="1124" spans="1:7">
      <c r="A1124">
        <v>3556</v>
      </c>
      <c r="B1124" t="s">
        <v>6140</v>
      </c>
      <c r="C1124" t="s">
        <v>5690</v>
      </c>
      <c r="D1124">
        <v>44441</v>
      </c>
      <c r="E1124">
        <v>3</v>
      </c>
      <c r="F1124">
        <v>3</v>
      </c>
      <c r="G1124">
        <v>3</v>
      </c>
    </row>
    <row r="1125" spans="1:7">
      <c r="A1125">
        <v>5609</v>
      </c>
      <c r="B1125" t="s">
        <v>5883</v>
      </c>
      <c r="C1125" t="s">
        <v>5884</v>
      </c>
      <c r="D1125">
        <v>44441</v>
      </c>
      <c r="E1125">
        <v>6</v>
      </c>
      <c r="F1125">
        <v>6</v>
      </c>
      <c r="G1125">
        <v>6</v>
      </c>
    </row>
    <row r="1126" spans="1:7">
      <c r="A1126">
        <v>1727</v>
      </c>
      <c r="B1126" t="s">
        <v>5732</v>
      </c>
      <c r="C1126" t="s">
        <v>5733</v>
      </c>
      <c r="D1126">
        <v>44441</v>
      </c>
      <c r="E1126">
        <v>5</v>
      </c>
      <c r="F1126">
        <v>5</v>
      </c>
      <c r="G1126">
        <v>5</v>
      </c>
    </row>
    <row r="1127" spans="1:7">
      <c r="A1127">
        <v>8924</v>
      </c>
      <c r="B1127" t="s">
        <v>6141</v>
      </c>
      <c r="C1127" t="s">
        <v>5985</v>
      </c>
      <c r="D1127">
        <v>44441</v>
      </c>
      <c r="E1127">
        <v>2</v>
      </c>
      <c r="F1127">
        <v>2</v>
      </c>
      <c r="G1127">
        <v>2</v>
      </c>
    </row>
    <row r="1128" spans="1:7">
      <c r="A1128">
        <v>2880</v>
      </c>
      <c r="B1128" t="s">
        <v>5878</v>
      </c>
      <c r="C1128" t="s">
        <v>5645</v>
      </c>
      <c r="D1128">
        <v>44441</v>
      </c>
      <c r="E1128">
        <v>10</v>
      </c>
      <c r="F1128">
        <v>10</v>
      </c>
      <c r="G1128">
        <v>10</v>
      </c>
    </row>
    <row r="1129" spans="1:7">
      <c r="A1129">
        <v>3017</v>
      </c>
      <c r="B1129" t="s">
        <v>5750</v>
      </c>
      <c r="C1129" t="s">
        <v>5649</v>
      </c>
      <c r="D1129">
        <v>44441</v>
      </c>
      <c r="E1129">
        <v>8</v>
      </c>
      <c r="F1129">
        <v>8</v>
      </c>
      <c r="G1129">
        <v>8</v>
      </c>
    </row>
    <row r="1130" spans="1:7">
      <c r="A1130">
        <v>2368</v>
      </c>
      <c r="B1130" t="s">
        <v>5746</v>
      </c>
      <c r="C1130" t="s">
        <v>5675</v>
      </c>
      <c r="D1130">
        <v>44441</v>
      </c>
      <c r="E1130">
        <v>5</v>
      </c>
      <c r="F1130">
        <v>5</v>
      </c>
      <c r="G1130">
        <v>5</v>
      </c>
    </row>
    <row r="1131" spans="1:7">
      <c r="A1131">
        <v>2356</v>
      </c>
      <c r="B1131" t="s">
        <v>5648</v>
      </c>
      <c r="C1131" t="s">
        <v>5649</v>
      </c>
      <c r="D1131">
        <v>44441</v>
      </c>
      <c r="E1131">
        <v>8</v>
      </c>
      <c r="F1131">
        <v>8</v>
      </c>
      <c r="G1131">
        <v>8</v>
      </c>
    </row>
    <row r="1132" spans="1:7">
      <c r="A1132">
        <v>2884</v>
      </c>
      <c r="B1132" t="s">
        <v>6142</v>
      </c>
      <c r="C1132" t="s">
        <v>5645</v>
      </c>
      <c r="D1132">
        <v>44441</v>
      </c>
      <c r="E1132">
        <v>5</v>
      </c>
      <c r="F1132">
        <v>5</v>
      </c>
      <c r="G1132">
        <v>5</v>
      </c>
    </row>
    <row r="1133" spans="1:7">
      <c r="A1133">
        <v>9907</v>
      </c>
      <c r="B1133" t="s">
        <v>5812</v>
      </c>
      <c r="C1133" t="s">
        <v>5664</v>
      </c>
      <c r="D1133">
        <v>44441</v>
      </c>
      <c r="E1133">
        <v>7</v>
      </c>
      <c r="F1133">
        <v>7</v>
      </c>
      <c r="G1133">
        <v>7</v>
      </c>
    </row>
    <row r="1134" spans="1:7">
      <c r="A1134">
        <v>4123</v>
      </c>
      <c r="B1134" t="s">
        <v>6090</v>
      </c>
      <c r="C1134" t="s">
        <v>5867</v>
      </c>
      <c r="D1134">
        <v>44441</v>
      </c>
      <c r="E1134">
        <v>3</v>
      </c>
      <c r="F1134">
        <v>3</v>
      </c>
      <c r="G1134">
        <v>3</v>
      </c>
    </row>
    <row r="1135" spans="1:7">
      <c r="A1135">
        <v>8054</v>
      </c>
      <c r="B1135" t="s">
        <v>5724</v>
      </c>
      <c r="C1135" t="s">
        <v>5690</v>
      </c>
      <c r="D1135">
        <v>44441</v>
      </c>
      <c r="E1135">
        <v>3</v>
      </c>
      <c r="F1135">
        <v>3</v>
      </c>
      <c r="G1135">
        <v>3</v>
      </c>
    </row>
    <row r="1136" spans="1:7">
      <c r="A1136">
        <v>2890</v>
      </c>
      <c r="B1136" t="s">
        <v>5772</v>
      </c>
      <c r="C1136" t="s">
        <v>5645</v>
      </c>
      <c r="D1136">
        <v>44441</v>
      </c>
      <c r="E1136">
        <v>8</v>
      </c>
      <c r="F1136">
        <v>8</v>
      </c>
      <c r="G1136">
        <v>8</v>
      </c>
    </row>
    <row r="1137" spans="1:7">
      <c r="A1137">
        <v>6568</v>
      </c>
      <c r="B1137" t="s">
        <v>6143</v>
      </c>
      <c r="C1137" t="s">
        <v>5690</v>
      </c>
      <c r="D1137">
        <v>44441</v>
      </c>
      <c r="E1137">
        <v>3</v>
      </c>
      <c r="F1137">
        <v>3</v>
      </c>
      <c r="G1137">
        <v>3</v>
      </c>
    </row>
    <row r="1138" spans="1:7">
      <c r="A1138">
        <v>6147</v>
      </c>
      <c r="B1138" t="s">
        <v>6127</v>
      </c>
      <c r="C1138" t="s">
        <v>5690</v>
      </c>
      <c r="D1138">
        <v>44441</v>
      </c>
      <c r="E1138">
        <v>4</v>
      </c>
      <c r="F1138">
        <v>4</v>
      </c>
      <c r="G1138">
        <v>4</v>
      </c>
    </row>
    <row r="1139" spans="1:7">
      <c r="A1139">
        <v>2609</v>
      </c>
      <c r="B1139" t="s">
        <v>6083</v>
      </c>
      <c r="C1139" t="s">
        <v>5679</v>
      </c>
      <c r="D1139">
        <v>44441</v>
      </c>
      <c r="E1139">
        <v>2</v>
      </c>
      <c r="F1139">
        <v>2</v>
      </c>
      <c r="G1139">
        <v>2</v>
      </c>
    </row>
    <row r="1140" spans="1:7">
      <c r="A1140">
        <v>2317</v>
      </c>
      <c r="B1140" t="s">
        <v>5955</v>
      </c>
      <c r="C1140" t="s">
        <v>5692</v>
      </c>
      <c r="D1140">
        <v>44441</v>
      </c>
      <c r="E1140">
        <v>8</v>
      </c>
      <c r="F1140">
        <v>8</v>
      </c>
      <c r="G1140">
        <v>8</v>
      </c>
    </row>
    <row r="1141" spans="1:7">
      <c r="A1141">
        <v>8032</v>
      </c>
      <c r="B1141" t="s">
        <v>6144</v>
      </c>
      <c r="C1141" t="s">
        <v>5694</v>
      </c>
      <c r="D1141">
        <v>44441</v>
      </c>
      <c r="E1141">
        <v>1</v>
      </c>
      <c r="F1141">
        <v>1</v>
      </c>
      <c r="G1141">
        <v>1</v>
      </c>
    </row>
    <row r="1142" spans="1:7">
      <c r="A1142">
        <v>2606</v>
      </c>
      <c r="B1142" t="s">
        <v>5890</v>
      </c>
      <c r="C1142" t="s">
        <v>5679</v>
      </c>
      <c r="D1142">
        <v>44441</v>
      </c>
      <c r="E1142">
        <v>4</v>
      </c>
      <c r="F1142">
        <v>4</v>
      </c>
      <c r="G1142">
        <v>4</v>
      </c>
    </row>
    <row r="1143" spans="1:7">
      <c r="A1143">
        <v>3041</v>
      </c>
      <c r="B1143" t="s">
        <v>6020</v>
      </c>
      <c r="C1143" t="s">
        <v>5666</v>
      </c>
      <c r="D1143">
        <v>44441</v>
      </c>
      <c r="E1143">
        <v>7</v>
      </c>
      <c r="F1143">
        <v>7</v>
      </c>
      <c r="G1143">
        <v>7</v>
      </c>
    </row>
    <row r="1144" spans="1:7">
      <c r="A1144">
        <v>6138</v>
      </c>
      <c r="B1144" t="s">
        <v>5987</v>
      </c>
      <c r="C1144" t="s">
        <v>5690</v>
      </c>
      <c r="D1144">
        <v>44441</v>
      </c>
      <c r="E1144">
        <v>5</v>
      </c>
      <c r="F1144">
        <v>5</v>
      </c>
      <c r="G1144">
        <v>5</v>
      </c>
    </row>
    <row r="1145" spans="1:7">
      <c r="A1145">
        <v>3504</v>
      </c>
      <c r="B1145" t="s">
        <v>6077</v>
      </c>
      <c r="C1145" t="s">
        <v>5661</v>
      </c>
      <c r="D1145">
        <v>44441</v>
      </c>
      <c r="E1145">
        <v>6</v>
      </c>
      <c r="F1145">
        <v>6</v>
      </c>
      <c r="G1145">
        <v>6</v>
      </c>
    </row>
    <row r="1146" spans="1:7">
      <c r="A1146">
        <v>2345</v>
      </c>
      <c r="B1146" t="s">
        <v>5703</v>
      </c>
      <c r="C1146" t="s">
        <v>5653</v>
      </c>
      <c r="D1146">
        <v>44441</v>
      </c>
      <c r="E1146">
        <v>6</v>
      </c>
      <c r="F1146">
        <v>6</v>
      </c>
      <c r="G1146">
        <v>6</v>
      </c>
    </row>
    <row r="1147" spans="1:7">
      <c r="A1147">
        <v>2454</v>
      </c>
      <c r="B1147" t="s">
        <v>5933</v>
      </c>
      <c r="C1147" t="s">
        <v>5666</v>
      </c>
      <c r="D1147">
        <v>44441</v>
      </c>
      <c r="E1147">
        <v>8</v>
      </c>
      <c r="F1147">
        <v>8</v>
      </c>
      <c r="G1147">
        <v>8</v>
      </c>
    </row>
    <row r="1148" spans="1:7">
      <c r="A1148">
        <v>6706</v>
      </c>
      <c r="B1148" t="s">
        <v>5839</v>
      </c>
      <c r="C1148" t="s">
        <v>5661</v>
      </c>
      <c r="D1148">
        <v>44441</v>
      </c>
      <c r="E1148">
        <v>5</v>
      </c>
      <c r="F1148">
        <v>5</v>
      </c>
      <c r="G1148">
        <v>5</v>
      </c>
    </row>
    <row r="1149" spans="1:7">
      <c r="A1149">
        <v>6174</v>
      </c>
      <c r="B1149" t="s">
        <v>6026</v>
      </c>
      <c r="C1149" t="s">
        <v>5791</v>
      </c>
      <c r="D1149">
        <v>44441</v>
      </c>
      <c r="E1149">
        <v>4</v>
      </c>
      <c r="F1149">
        <v>4</v>
      </c>
      <c r="G1149">
        <v>4</v>
      </c>
    </row>
    <row r="1150" spans="1:7">
      <c r="A1150">
        <v>5439</v>
      </c>
      <c r="B1150" t="s">
        <v>6103</v>
      </c>
      <c r="C1150" t="s">
        <v>5791</v>
      </c>
      <c r="D1150">
        <v>44441</v>
      </c>
      <c r="E1150">
        <v>2</v>
      </c>
      <c r="F1150">
        <v>2</v>
      </c>
      <c r="G1150">
        <v>2</v>
      </c>
    </row>
    <row r="1151" spans="1:7">
      <c r="A1151">
        <v>5211</v>
      </c>
      <c r="B1151" t="s">
        <v>5776</v>
      </c>
      <c r="C1151" t="s">
        <v>5777</v>
      </c>
      <c r="D1151">
        <v>44441</v>
      </c>
      <c r="E1151">
        <v>4</v>
      </c>
      <c r="F1151">
        <v>4</v>
      </c>
      <c r="G1151">
        <v>4</v>
      </c>
    </row>
    <row r="1152" spans="1:7">
      <c r="A1152">
        <v>1609</v>
      </c>
      <c r="B1152" t="s">
        <v>5980</v>
      </c>
      <c r="C1152" t="s">
        <v>5858</v>
      </c>
      <c r="D1152">
        <v>44441</v>
      </c>
      <c r="E1152">
        <v>9</v>
      </c>
      <c r="F1152">
        <v>9</v>
      </c>
      <c r="G1152">
        <v>9</v>
      </c>
    </row>
    <row r="1153" spans="1:7">
      <c r="A1153">
        <v>2611</v>
      </c>
      <c r="B1153" t="s">
        <v>6145</v>
      </c>
      <c r="C1153" t="s">
        <v>5679</v>
      </c>
      <c r="D1153">
        <v>44441</v>
      </c>
      <c r="E1153">
        <v>2</v>
      </c>
      <c r="F1153">
        <v>2</v>
      </c>
      <c r="G1153">
        <v>2</v>
      </c>
    </row>
    <row r="1154" spans="1:7">
      <c r="A1154">
        <v>2548</v>
      </c>
      <c r="B1154" t="s">
        <v>6146</v>
      </c>
      <c r="C1154" t="s">
        <v>5651</v>
      </c>
      <c r="D1154">
        <v>44441</v>
      </c>
      <c r="E1154">
        <v>1</v>
      </c>
      <c r="F1154">
        <v>1</v>
      </c>
      <c r="G1154">
        <v>1</v>
      </c>
    </row>
    <row r="1155" spans="1:7">
      <c r="A1155">
        <v>6170</v>
      </c>
      <c r="B1155" t="s">
        <v>5993</v>
      </c>
      <c r="C1155" t="s">
        <v>5684</v>
      </c>
      <c r="D1155">
        <v>44441</v>
      </c>
      <c r="E1155">
        <v>4</v>
      </c>
      <c r="F1155">
        <v>4</v>
      </c>
      <c r="G1155">
        <v>4</v>
      </c>
    </row>
    <row r="1156" spans="1:7">
      <c r="A1156">
        <v>6269</v>
      </c>
      <c r="B1156" t="s">
        <v>5717</v>
      </c>
      <c r="C1156" t="s">
        <v>5675</v>
      </c>
      <c r="D1156">
        <v>44441</v>
      </c>
      <c r="E1156">
        <v>9</v>
      </c>
      <c r="F1156">
        <v>9</v>
      </c>
      <c r="G1156">
        <v>9</v>
      </c>
    </row>
    <row r="1157" spans="1:7">
      <c r="A1157">
        <v>2534</v>
      </c>
      <c r="B1157" t="s">
        <v>5747</v>
      </c>
      <c r="C1157" t="s">
        <v>5651</v>
      </c>
      <c r="D1157">
        <v>44441</v>
      </c>
      <c r="E1157">
        <v>4</v>
      </c>
      <c r="F1157">
        <v>4</v>
      </c>
      <c r="G1157">
        <v>4</v>
      </c>
    </row>
    <row r="1158" spans="1:7">
      <c r="A1158">
        <v>2605</v>
      </c>
      <c r="B1158" t="s">
        <v>6111</v>
      </c>
      <c r="C1158" t="s">
        <v>5679</v>
      </c>
      <c r="D1158">
        <v>44441</v>
      </c>
      <c r="E1158">
        <v>3</v>
      </c>
      <c r="F1158">
        <v>3</v>
      </c>
      <c r="G1158">
        <v>3</v>
      </c>
    </row>
    <row r="1159" spans="1:7">
      <c r="A1159">
        <v>2617</v>
      </c>
      <c r="B1159" t="s">
        <v>5891</v>
      </c>
      <c r="C1159" t="s">
        <v>5679</v>
      </c>
      <c r="D1159">
        <v>44441</v>
      </c>
      <c r="E1159">
        <v>6</v>
      </c>
      <c r="F1159">
        <v>6</v>
      </c>
      <c r="G1159">
        <v>6</v>
      </c>
    </row>
    <row r="1160" spans="1:7">
      <c r="A1160">
        <v>6290</v>
      </c>
      <c r="B1160" t="s">
        <v>6032</v>
      </c>
      <c r="C1160" t="s">
        <v>5791</v>
      </c>
      <c r="D1160">
        <v>44441</v>
      </c>
      <c r="E1160">
        <v>5</v>
      </c>
      <c r="F1160">
        <v>5</v>
      </c>
      <c r="G1160">
        <v>5</v>
      </c>
    </row>
    <row r="1161" spans="1:7">
      <c r="A1161">
        <v>3033</v>
      </c>
      <c r="B1161" t="s">
        <v>5796</v>
      </c>
      <c r="C1161" t="s">
        <v>5687</v>
      </c>
      <c r="D1161">
        <v>44441</v>
      </c>
      <c r="E1161">
        <v>3</v>
      </c>
      <c r="F1161">
        <v>3</v>
      </c>
      <c r="G1161">
        <v>3</v>
      </c>
    </row>
    <row r="1162" spans="1:7">
      <c r="A1162">
        <v>1216</v>
      </c>
      <c r="B1162" t="s">
        <v>6063</v>
      </c>
      <c r="C1162" t="s">
        <v>5872</v>
      </c>
      <c r="D1162">
        <v>44441</v>
      </c>
      <c r="E1162">
        <v>8</v>
      </c>
      <c r="F1162">
        <v>8</v>
      </c>
      <c r="G1162">
        <v>8</v>
      </c>
    </row>
    <row r="1163" spans="1:7">
      <c r="A1163">
        <v>5905</v>
      </c>
      <c r="B1163" t="s">
        <v>6098</v>
      </c>
      <c r="C1163" t="s">
        <v>6099</v>
      </c>
      <c r="D1163">
        <v>44441</v>
      </c>
      <c r="E1163">
        <v>5</v>
      </c>
      <c r="F1163">
        <v>5</v>
      </c>
      <c r="G1163">
        <v>5</v>
      </c>
    </row>
    <row r="1164" spans="1:7">
      <c r="A1164">
        <v>1560</v>
      </c>
      <c r="B1164" t="s">
        <v>6147</v>
      </c>
      <c r="C1164" t="s">
        <v>5670</v>
      </c>
      <c r="D1164">
        <v>44441</v>
      </c>
      <c r="E1164">
        <v>1</v>
      </c>
      <c r="F1164">
        <v>1</v>
      </c>
      <c r="G1164">
        <v>1</v>
      </c>
    </row>
    <row r="1165" spans="1:7">
      <c r="A1165">
        <v>2613</v>
      </c>
      <c r="B1165" t="s">
        <v>6081</v>
      </c>
      <c r="C1165" t="s">
        <v>5679</v>
      </c>
      <c r="D1165">
        <v>44441</v>
      </c>
      <c r="E1165">
        <v>4</v>
      </c>
      <c r="F1165">
        <v>4</v>
      </c>
      <c r="G1165">
        <v>4</v>
      </c>
    </row>
    <row r="1166" spans="1:7">
      <c r="A1166">
        <v>8085</v>
      </c>
      <c r="B1166" t="s">
        <v>6023</v>
      </c>
      <c r="C1166" t="s">
        <v>5800</v>
      </c>
      <c r="D1166">
        <v>44441</v>
      </c>
      <c r="E1166">
        <v>8</v>
      </c>
      <c r="F1166">
        <v>8</v>
      </c>
      <c r="G1166">
        <v>8</v>
      </c>
    </row>
    <row r="1167" spans="1:7">
      <c r="A1167">
        <v>6271</v>
      </c>
      <c r="B1167" t="s">
        <v>5722</v>
      </c>
      <c r="C1167" t="s">
        <v>5666</v>
      </c>
      <c r="D1167">
        <v>44441</v>
      </c>
      <c r="E1167">
        <v>6</v>
      </c>
      <c r="F1167">
        <v>6</v>
      </c>
      <c r="G1167">
        <v>6</v>
      </c>
    </row>
    <row r="1168" spans="1:7">
      <c r="A1168">
        <v>2208</v>
      </c>
      <c r="B1168" t="s">
        <v>5716</v>
      </c>
      <c r="C1168" t="s">
        <v>5679</v>
      </c>
      <c r="D1168">
        <v>44441</v>
      </c>
      <c r="E1168">
        <v>8</v>
      </c>
      <c r="F1168">
        <v>8</v>
      </c>
      <c r="G1168">
        <v>8</v>
      </c>
    </row>
    <row r="1169" spans="1:7">
      <c r="A1169">
        <v>3324</v>
      </c>
      <c r="B1169" t="s">
        <v>6148</v>
      </c>
      <c r="C1169" t="s">
        <v>5800</v>
      </c>
      <c r="D1169">
        <v>44441</v>
      </c>
      <c r="E1169">
        <v>1</v>
      </c>
      <c r="F1169">
        <v>1</v>
      </c>
      <c r="G1169">
        <v>1</v>
      </c>
    </row>
    <row r="1170" spans="1:7">
      <c r="A1170">
        <v>6488</v>
      </c>
      <c r="B1170" t="s">
        <v>5689</v>
      </c>
      <c r="C1170" t="s">
        <v>5690</v>
      </c>
      <c r="D1170">
        <v>44441</v>
      </c>
      <c r="E1170">
        <v>7</v>
      </c>
      <c r="F1170">
        <v>7</v>
      </c>
      <c r="G1170">
        <v>7</v>
      </c>
    </row>
    <row r="1171" spans="1:7">
      <c r="A1171">
        <v>2392</v>
      </c>
      <c r="B1171" t="s">
        <v>6149</v>
      </c>
      <c r="C1171" t="s">
        <v>5675</v>
      </c>
      <c r="D1171">
        <v>44441</v>
      </c>
      <c r="E1171">
        <v>1</v>
      </c>
      <c r="F1171">
        <v>1</v>
      </c>
      <c r="G1171">
        <v>1</v>
      </c>
    </row>
    <row r="1172" spans="1:7">
      <c r="A1172">
        <v>6219</v>
      </c>
      <c r="B1172" t="s">
        <v>5832</v>
      </c>
      <c r="C1172" t="s">
        <v>5833</v>
      </c>
      <c r="D1172">
        <v>44441</v>
      </c>
      <c r="E1172">
        <v>8</v>
      </c>
      <c r="F1172">
        <v>8</v>
      </c>
      <c r="G1172">
        <v>8</v>
      </c>
    </row>
    <row r="1173" spans="1:7">
      <c r="A1173">
        <v>8064</v>
      </c>
      <c r="B1173" t="s">
        <v>6150</v>
      </c>
      <c r="C1173" t="s">
        <v>5807</v>
      </c>
      <c r="D1173">
        <v>44441</v>
      </c>
      <c r="E1173">
        <v>3</v>
      </c>
      <c r="F1173">
        <v>3</v>
      </c>
      <c r="G1173">
        <v>3</v>
      </c>
    </row>
    <row r="1174" spans="1:7">
      <c r="A1174">
        <v>1608</v>
      </c>
      <c r="B1174" t="s">
        <v>5979</v>
      </c>
      <c r="C1174" t="s">
        <v>5858</v>
      </c>
      <c r="D1174">
        <v>44441</v>
      </c>
      <c r="E1174">
        <v>7</v>
      </c>
      <c r="F1174">
        <v>7</v>
      </c>
      <c r="G1174">
        <v>7</v>
      </c>
    </row>
    <row r="1175" spans="1:7">
      <c r="A1175">
        <v>8289</v>
      </c>
      <c r="B1175" t="s">
        <v>5886</v>
      </c>
      <c r="C1175" t="s">
        <v>5791</v>
      </c>
      <c r="D1175">
        <v>44441</v>
      </c>
      <c r="E1175">
        <v>4</v>
      </c>
      <c r="F1175">
        <v>4</v>
      </c>
      <c r="G1175">
        <v>4</v>
      </c>
    </row>
    <row r="1176" spans="1:7">
      <c r="A1176">
        <v>3092</v>
      </c>
      <c r="B1176" t="s">
        <v>6151</v>
      </c>
      <c r="C1176" t="s">
        <v>5675</v>
      </c>
      <c r="D1176">
        <v>44441</v>
      </c>
      <c r="E1176">
        <v>3</v>
      </c>
      <c r="F1176">
        <v>3</v>
      </c>
      <c r="G1176">
        <v>3</v>
      </c>
    </row>
    <row r="1177" spans="1:7">
      <c r="A1177">
        <v>1802</v>
      </c>
      <c r="B1177" t="s">
        <v>5978</v>
      </c>
      <c r="C1177" t="s">
        <v>5971</v>
      </c>
      <c r="D1177">
        <v>44441</v>
      </c>
      <c r="E1177">
        <v>4</v>
      </c>
      <c r="F1177">
        <v>4</v>
      </c>
      <c r="G1177">
        <v>4</v>
      </c>
    </row>
    <row r="1178" spans="1:7">
      <c r="A1178">
        <v>8086</v>
      </c>
      <c r="B1178" t="s">
        <v>5802</v>
      </c>
      <c r="C1178" t="s">
        <v>5690</v>
      </c>
      <c r="D1178">
        <v>44441</v>
      </c>
      <c r="E1178">
        <v>5</v>
      </c>
      <c r="F1178">
        <v>5</v>
      </c>
      <c r="G1178">
        <v>5</v>
      </c>
    </row>
    <row r="1179" spans="1:7">
      <c r="A1179">
        <v>4721</v>
      </c>
      <c r="B1179" t="s">
        <v>6075</v>
      </c>
      <c r="C1179" t="s">
        <v>5910</v>
      </c>
      <c r="D1179">
        <v>44441</v>
      </c>
      <c r="E1179">
        <v>4</v>
      </c>
      <c r="F1179">
        <v>4</v>
      </c>
      <c r="G1179">
        <v>4</v>
      </c>
    </row>
    <row r="1180" spans="1:7">
      <c r="A1180">
        <v>5475</v>
      </c>
      <c r="B1180" t="s">
        <v>6054</v>
      </c>
      <c r="C1180" t="s">
        <v>5791</v>
      </c>
      <c r="D1180">
        <v>44441</v>
      </c>
      <c r="E1180">
        <v>5</v>
      </c>
      <c r="F1180">
        <v>5</v>
      </c>
      <c r="G1180">
        <v>5</v>
      </c>
    </row>
    <row r="1181" spans="1:7">
      <c r="A1181">
        <v>2314</v>
      </c>
      <c r="B1181" t="s">
        <v>5707</v>
      </c>
      <c r="C1181" t="s">
        <v>5653</v>
      </c>
      <c r="D1181">
        <v>44441</v>
      </c>
      <c r="E1181">
        <v>5</v>
      </c>
      <c r="F1181">
        <v>5</v>
      </c>
      <c r="G1181">
        <v>5</v>
      </c>
    </row>
    <row r="1182" spans="1:7">
      <c r="A1182">
        <v>5607</v>
      </c>
      <c r="B1182" t="s">
        <v>6152</v>
      </c>
      <c r="C1182" t="s">
        <v>5679</v>
      </c>
      <c r="D1182">
        <v>44441</v>
      </c>
      <c r="E1182">
        <v>2</v>
      </c>
      <c r="F1182">
        <v>2</v>
      </c>
      <c r="G1182">
        <v>2</v>
      </c>
    </row>
    <row r="1183" spans="1:7">
      <c r="A1183">
        <v>2636</v>
      </c>
      <c r="B1183" t="s">
        <v>5678</v>
      </c>
      <c r="C1183" t="s">
        <v>5679</v>
      </c>
      <c r="D1183">
        <v>44441</v>
      </c>
      <c r="E1183">
        <v>7</v>
      </c>
      <c r="F1183">
        <v>7</v>
      </c>
      <c r="G1183">
        <v>7</v>
      </c>
    </row>
    <row r="1184" spans="1:7">
      <c r="A1184">
        <v>8201</v>
      </c>
      <c r="B1184" t="s">
        <v>5874</v>
      </c>
      <c r="C1184" t="s">
        <v>5692</v>
      </c>
      <c r="D1184">
        <v>44441</v>
      </c>
      <c r="E1184">
        <v>8</v>
      </c>
      <c r="F1184">
        <v>8</v>
      </c>
      <c r="G1184">
        <v>8</v>
      </c>
    </row>
    <row r="1185" spans="1:7">
      <c r="A1185">
        <v>6505</v>
      </c>
      <c r="B1185" t="s">
        <v>5942</v>
      </c>
      <c r="C1185" t="s">
        <v>5943</v>
      </c>
      <c r="D1185">
        <v>44441</v>
      </c>
      <c r="E1185">
        <v>10</v>
      </c>
      <c r="F1185">
        <v>10</v>
      </c>
      <c r="G1185">
        <v>10</v>
      </c>
    </row>
    <row r="1186" spans="1:7">
      <c r="A1186">
        <v>2010</v>
      </c>
      <c r="B1186" t="s">
        <v>5658</v>
      </c>
      <c r="C1186" t="s">
        <v>5659</v>
      </c>
      <c r="D1186">
        <v>44441</v>
      </c>
      <c r="E1186">
        <v>8</v>
      </c>
      <c r="F1186">
        <v>8</v>
      </c>
      <c r="G1186">
        <v>8</v>
      </c>
    </row>
    <row r="1187" spans="1:7">
      <c r="A1187">
        <v>4915</v>
      </c>
      <c r="B1187" t="s">
        <v>5827</v>
      </c>
      <c r="C1187" t="s">
        <v>5675</v>
      </c>
      <c r="D1187">
        <v>44441</v>
      </c>
      <c r="E1187">
        <v>5</v>
      </c>
      <c r="F1187">
        <v>5</v>
      </c>
      <c r="G1187">
        <v>5</v>
      </c>
    </row>
    <row r="1188" spans="1:7">
      <c r="A1188">
        <v>8249</v>
      </c>
      <c r="B1188" t="s">
        <v>6085</v>
      </c>
      <c r="C1188" t="s">
        <v>5675</v>
      </c>
      <c r="D1188">
        <v>44441</v>
      </c>
      <c r="E1188">
        <v>8</v>
      </c>
      <c r="F1188">
        <v>8</v>
      </c>
      <c r="G1188">
        <v>8</v>
      </c>
    </row>
    <row r="1189" spans="1:7">
      <c r="A1189">
        <v>2461</v>
      </c>
      <c r="B1189" t="s">
        <v>6153</v>
      </c>
      <c r="C1189" t="s">
        <v>5692</v>
      </c>
      <c r="D1189">
        <v>44441</v>
      </c>
      <c r="E1189">
        <v>4</v>
      </c>
      <c r="F1189">
        <v>4</v>
      </c>
      <c r="G1189">
        <v>4</v>
      </c>
    </row>
    <row r="1190" spans="1:7">
      <c r="A1190">
        <v>2641</v>
      </c>
      <c r="B1190" t="s">
        <v>6091</v>
      </c>
      <c r="C1190" t="s">
        <v>5884</v>
      </c>
      <c r="D1190">
        <v>44441</v>
      </c>
      <c r="E1190">
        <v>3</v>
      </c>
      <c r="F1190">
        <v>3</v>
      </c>
      <c r="G1190">
        <v>3</v>
      </c>
    </row>
    <row r="1191" spans="1:7">
      <c r="A1191">
        <v>5009</v>
      </c>
      <c r="B1191" t="s">
        <v>5868</v>
      </c>
      <c r="C1191" t="s">
        <v>5869</v>
      </c>
      <c r="D1191">
        <v>44441</v>
      </c>
      <c r="E1191">
        <v>5</v>
      </c>
      <c r="F1191">
        <v>5</v>
      </c>
      <c r="G1191">
        <v>5</v>
      </c>
    </row>
    <row r="1192" spans="1:7">
      <c r="A1192">
        <v>3511</v>
      </c>
      <c r="B1192" t="s">
        <v>6079</v>
      </c>
      <c r="C1192" t="s">
        <v>5791</v>
      </c>
      <c r="D1192">
        <v>44441</v>
      </c>
      <c r="E1192">
        <v>4</v>
      </c>
      <c r="F1192">
        <v>4</v>
      </c>
      <c r="G1192">
        <v>4</v>
      </c>
    </row>
    <row r="1193" spans="1:7">
      <c r="A1193">
        <v>8099</v>
      </c>
      <c r="B1193" t="s">
        <v>6154</v>
      </c>
      <c r="C1193" t="s">
        <v>5777</v>
      </c>
      <c r="D1193">
        <v>44441</v>
      </c>
      <c r="E1193">
        <v>2</v>
      </c>
      <c r="F1193">
        <v>2</v>
      </c>
      <c r="G1193">
        <v>2</v>
      </c>
    </row>
    <row r="1194" spans="1:7">
      <c r="A1194">
        <v>6491</v>
      </c>
      <c r="B1194" t="s">
        <v>6155</v>
      </c>
      <c r="C1194" t="s">
        <v>5729</v>
      </c>
      <c r="D1194">
        <v>44441</v>
      </c>
      <c r="E1194">
        <v>1</v>
      </c>
      <c r="F1194">
        <v>1</v>
      </c>
      <c r="G1194">
        <v>1</v>
      </c>
    </row>
    <row r="1195" spans="1:7">
      <c r="A1195">
        <v>5457</v>
      </c>
      <c r="B1195" t="s">
        <v>5818</v>
      </c>
      <c r="C1195" t="s">
        <v>5791</v>
      </c>
      <c r="D1195">
        <v>44441</v>
      </c>
      <c r="E1195">
        <v>8</v>
      </c>
      <c r="F1195">
        <v>8</v>
      </c>
      <c r="G1195">
        <v>8</v>
      </c>
    </row>
    <row r="1196" spans="1:7">
      <c r="A1196">
        <v>8070</v>
      </c>
      <c r="B1196" t="s">
        <v>6156</v>
      </c>
      <c r="C1196" t="s">
        <v>5687</v>
      </c>
      <c r="D1196">
        <v>44441</v>
      </c>
      <c r="E1196">
        <v>1</v>
      </c>
      <c r="F1196">
        <v>1</v>
      </c>
      <c r="G1196">
        <v>1</v>
      </c>
    </row>
    <row r="1197" spans="1:7">
      <c r="A1197">
        <v>1102</v>
      </c>
      <c r="B1197" t="s">
        <v>6129</v>
      </c>
      <c r="C1197" t="s">
        <v>5823</v>
      </c>
      <c r="D1197">
        <v>44441</v>
      </c>
      <c r="E1197">
        <v>4</v>
      </c>
      <c r="F1197">
        <v>4</v>
      </c>
      <c r="G1197">
        <v>4</v>
      </c>
    </row>
    <row r="1198" spans="1:7">
      <c r="A1198">
        <v>4142</v>
      </c>
      <c r="B1198" t="s">
        <v>6087</v>
      </c>
      <c r="C1198" t="s">
        <v>5729</v>
      </c>
      <c r="D1198">
        <v>44441</v>
      </c>
      <c r="E1198">
        <v>8</v>
      </c>
      <c r="F1198">
        <v>8</v>
      </c>
      <c r="G1198">
        <v>8</v>
      </c>
    </row>
    <row r="1199" spans="1:7">
      <c r="A1199">
        <v>6104</v>
      </c>
      <c r="B1199" t="s">
        <v>5945</v>
      </c>
      <c r="C1199" t="s">
        <v>5690</v>
      </c>
      <c r="D1199">
        <v>44441</v>
      </c>
      <c r="E1199">
        <v>2</v>
      </c>
      <c r="F1199">
        <v>2</v>
      </c>
      <c r="G1199">
        <v>2</v>
      </c>
    </row>
    <row r="1200" spans="1:7">
      <c r="A1200">
        <v>2330</v>
      </c>
      <c r="B1200" t="s">
        <v>6018</v>
      </c>
      <c r="C1200" t="s">
        <v>5666</v>
      </c>
      <c r="D1200">
        <v>44441</v>
      </c>
      <c r="E1200">
        <v>12</v>
      </c>
      <c r="F1200">
        <v>12</v>
      </c>
      <c r="G1200">
        <v>12</v>
      </c>
    </row>
    <row r="1201" spans="1:7">
      <c r="A1201">
        <v>2472</v>
      </c>
      <c r="B1201" t="s">
        <v>6157</v>
      </c>
      <c r="C1201" t="s">
        <v>5675</v>
      </c>
      <c r="D1201">
        <v>44441</v>
      </c>
      <c r="E1201">
        <v>4</v>
      </c>
      <c r="F1201">
        <v>4</v>
      </c>
      <c r="G1201">
        <v>4</v>
      </c>
    </row>
    <row r="1202" spans="1:7">
      <c r="A1202">
        <v>8121</v>
      </c>
      <c r="B1202" t="s">
        <v>5917</v>
      </c>
      <c r="C1202" t="s">
        <v>5791</v>
      </c>
      <c r="D1202">
        <v>44440</v>
      </c>
      <c r="E1202">
        <v>5</v>
      </c>
      <c r="F1202">
        <v>5</v>
      </c>
      <c r="G1202">
        <v>5</v>
      </c>
    </row>
    <row r="1203" spans="1:7">
      <c r="A1203">
        <v>3011</v>
      </c>
      <c r="B1203" t="s">
        <v>6005</v>
      </c>
      <c r="C1203" t="s">
        <v>5675</v>
      </c>
      <c r="D1203">
        <v>44440</v>
      </c>
      <c r="E1203">
        <v>5</v>
      </c>
      <c r="F1203">
        <v>5</v>
      </c>
      <c r="G1203">
        <v>5</v>
      </c>
    </row>
    <row r="1204" spans="1:7">
      <c r="A1204">
        <v>3042</v>
      </c>
      <c r="B1204" t="s">
        <v>6031</v>
      </c>
      <c r="C1204" t="s">
        <v>5675</v>
      </c>
      <c r="D1204">
        <v>44440</v>
      </c>
      <c r="E1204">
        <v>3</v>
      </c>
      <c r="F1204">
        <v>3</v>
      </c>
      <c r="G1204">
        <v>3</v>
      </c>
    </row>
    <row r="1205" spans="1:7">
      <c r="A1205">
        <v>2492</v>
      </c>
      <c r="B1205" t="s">
        <v>6021</v>
      </c>
      <c r="C1205" t="s">
        <v>5675</v>
      </c>
      <c r="D1205">
        <v>44440</v>
      </c>
      <c r="E1205">
        <v>5</v>
      </c>
      <c r="F1205">
        <v>5</v>
      </c>
      <c r="G1205">
        <v>5</v>
      </c>
    </row>
    <row r="1206" spans="1:7">
      <c r="A1206">
        <v>2801</v>
      </c>
      <c r="B1206" t="s">
        <v>5662</v>
      </c>
      <c r="C1206" t="s">
        <v>5645</v>
      </c>
      <c r="D1206">
        <v>44440</v>
      </c>
      <c r="E1206">
        <v>9</v>
      </c>
      <c r="F1206">
        <v>9</v>
      </c>
      <c r="G1206">
        <v>9</v>
      </c>
    </row>
    <row r="1207" spans="1:7">
      <c r="A1207">
        <v>6219</v>
      </c>
      <c r="B1207" t="s">
        <v>5832</v>
      </c>
      <c r="C1207" t="s">
        <v>5833</v>
      </c>
      <c r="D1207">
        <v>44440</v>
      </c>
      <c r="E1207">
        <v>8</v>
      </c>
      <c r="F1207">
        <v>8</v>
      </c>
      <c r="G1207">
        <v>8</v>
      </c>
    </row>
    <row r="1208" spans="1:7">
      <c r="A1208">
        <v>2353</v>
      </c>
      <c r="B1208" t="s">
        <v>5965</v>
      </c>
      <c r="C1208" t="s">
        <v>5649</v>
      </c>
      <c r="D1208">
        <v>44440</v>
      </c>
      <c r="E1208">
        <v>9</v>
      </c>
      <c r="F1208">
        <v>9</v>
      </c>
      <c r="G1208">
        <v>9</v>
      </c>
    </row>
    <row r="1209" spans="1:7">
      <c r="A1209">
        <v>2105</v>
      </c>
      <c r="B1209" t="s">
        <v>5671</v>
      </c>
      <c r="C1209" t="s">
        <v>5657</v>
      </c>
      <c r="D1209">
        <v>44440</v>
      </c>
      <c r="E1209">
        <v>10</v>
      </c>
      <c r="F1209">
        <v>10</v>
      </c>
      <c r="G1209">
        <v>10</v>
      </c>
    </row>
    <row r="1210" spans="1:7">
      <c r="A1210">
        <v>3701</v>
      </c>
      <c r="B1210" t="s">
        <v>5904</v>
      </c>
      <c r="C1210" t="s">
        <v>5649</v>
      </c>
      <c r="D1210">
        <v>44440</v>
      </c>
      <c r="E1210">
        <v>4</v>
      </c>
      <c r="F1210">
        <v>4</v>
      </c>
      <c r="G1210">
        <v>4</v>
      </c>
    </row>
    <row r="1211" spans="1:7">
      <c r="A1211">
        <v>2408</v>
      </c>
      <c r="B1211" t="s">
        <v>6009</v>
      </c>
      <c r="C1211" t="s">
        <v>5666</v>
      </c>
      <c r="D1211">
        <v>44440</v>
      </c>
      <c r="E1211">
        <v>8</v>
      </c>
      <c r="F1211">
        <v>8</v>
      </c>
      <c r="G1211">
        <v>8</v>
      </c>
    </row>
    <row r="1212" spans="1:7">
      <c r="A1212">
        <v>2838</v>
      </c>
      <c r="B1212" t="s">
        <v>6064</v>
      </c>
      <c r="C1212" t="s">
        <v>5645</v>
      </c>
      <c r="D1212">
        <v>44440</v>
      </c>
      <c r="E1212">
        <v>6</v>
      </c>
      <c r="F1212">
        <v>6</v>
      </c>
      <c r="G1212">
        <v>6</v>
      </c>
    </row>
    <row r="1213" spans="1:7">
      <c r="A1213">
        <v>1217</v>
      </c>
      <c r="B1213" t="s">
        <v>5871</v>
      </c>
      <c r="C1213" t="s">
        <v>5872</v>
      </c>
      <c r="D1213">
        <v>44440</v>
      </c>
      <c r="E1213">
        <v>7</v>
      </c>
      <c r="F1213">
        <v>7</v>
      </c>
      <c r="G1213">
        <v>7</v>
      </c>
    </row>
    <row r="1214" spans="1:7">
      <c r="A1214">
        <v>3673</v>
      </c>
      <c r="B1214" t="s">
        <v>6122</v>
      </c>
      <c r="C1214" t="s">
        <v>5661</v>
      </c>
      <c r="D1214">
        <v>44440</v>
      </c>
      <c r="E1214">
        <v>3</v>
      </c>
      <c r="F1214">
        <v>3</v>
      </c>
      <c r="G1214">
        <v>3</v>
      </c>
    </row>
    <row r="1215" spans="1:7">
      <c r="A1215">
        <v>3576</v>
      </c>
      <c r="B1215" t="s">
        <v>5660</v>
      </c>
      <c r="C1215" t="s">
        <v>5661</v>
      </c>
      <c r="D1215">
        <v>44440</v>
      </c>
      <c r="E1215">
        <v>9</v>
      </c>
      <c r="F1215">
        <v>9</v>
      </c>
      <c r="G1215">
        <v>9</v>
      </c>
    </row>
    <row r="1216" spans="1:7">
      <c r="A1216">
        <v>2375</v>
      </c>
      <c r="B1216" t="s">
        <v>6158</v>
      </c>
      <c r="C1216" t="s">
        <v>5675</v>
      </c>
      <c r="D1216">
        <v>44440</v>
      </c>
      <c r="E1216">
        <v>3</v>
      </c>
      <c r="F1216">
        <v>3</v>
      </c>
      <c r="G1216">
        <v>3</v>
      </c>
    </row>
    <row r="1217" spans="1:7">
      <c r="A1217">
        <v>2456</v>
      </c>
      <c r="B1217" t="s">
        <v>5982</v>
      </c>
      <c r="C1217" t="s">
        <v>5675</v>
      </c>
      <c r="D1217">
        <v>44440</v>
      </c>
      <c r="E1217">
        <v>4</v>
      </c>
      <c r="F1217">
        <v>4</v>
      </c>
      <c r="G1217">
        <v>4</v>
      </c>
    </row>
    <row r="1218" spans="1:7">
      <c r="A1218">
        <v>2889</v>
      </c>
      <c r="B1218" t="s">
        <v>5860</v>
      </c>
      <c r="C1218" t="s">
        <v>5645</v>
      </c>
      <c r="D1218">
        <v>44440</v>
      </c>
      <c r="E1218">
        <v>3</v>
      </c>
      <c r="F1218">
        <v>3</v>
      </c>
      <c r="G1218">
        <v>3</v>
      </c>
    </row>
    <row r="1219" spans="1:7">
      <c r="A1219">
        <v>5521</v>
      </c>
      <c r="B1219" t="s">
        <v>6028</v>
      </c>
      <c r="C1219" t="s">
        <v>5651</v>
      </c>
      <c r="D1219">
        <v>44440</v>
      </c>
      <c r="E1219">
        <v>4</v>
      </c>
      <c r="F1219">
        <v>4</v>
      </c>
      <c r="G1219">
        <v>4</v>
      </c>
    </row>
    <row r="1220" spans="1:7">
      <c r="A1220">
        <v>2377</v>
      </c>
      <c r="B1220" t="s">
        <v>5688</v>
      </c>
      <c r="C1220" t="s">
        <v>5649</v>
      </c>
      <c r="D1220">
        <v>44440</v>
      </c>
      <c r="E1220">
        <v>7</v>
      </c>
      <c r="F1220">
        <v>7</v>
      </c>
      <c r="G1220">
        <v>7</v>
      </c>
    </row>
    <row r="1221" spans="1:7">
      <c r="A1221">
        <v>3034</v>
      </c>
      <c r="B1221" t="s">
        <v>5838</v>
      </c>
      <c r="C1221" t="s">
        <v>5666</v>
      </c>
      <c r="D1221">
        <v>44440</v>
      </c>
      <c r="E1221">
        <v>5</v>
      </c>
      <c r="F1221">
        <v>5</v>
      </c>
      <c r="G1221">
        <v>5</v>
      </c>
    </row>
    <row r="1222" spans="1:7">
      <c r="A1222">
        <v>6251</v>
      </c>
      <c r="B1222" t="s">
        <v>5922</v>
      </c>
      <c r="C1222" t="s">
        <v>5675</v>
      </c>
      <c r="D1222">
        <v>44440</v>
      </c>
      <c r="E1222">
        <v>5</v>
      </c>
      <c r="F1222">
        <v>5</v>
      </c>
      <c r="G1222">
        <v>5</v>
      </c>
    </row>
    <row r="1223" spans="1:7">
      <c r="A1223">
        <v>4960</v>
      </c>
      <c r="B1223" t="s">
        <v>6059</v>
      </c>
      <c r="C1223" t="s">
        <v>5661</v>
      </c>
      <c r="D1223">
        <v>44440</v>
      </c>
      <c r="E1223">
        <v>7</v>
      </c>
      <c r="F1223">
        <v>7</v>
      </c>
      <c r="G1223">
        <v>7</v>
      </c>
    </row>
    <row r="1224" spans="1:7">
      <c r="A1224">
        <v>2465</v>
      </c>
      <c r="B1224" t="s">
        <v>6159</v>
      </c>
      <c r="C1224" t="s">
        <v>5649</v>
      </c>
      <c r="D1224">
        <v>44440</v>
      </c>
      <c r="E1224">
        <v>2</v>
      </c>
      <c r="F1224">
        <v>2</v>
      </c>
      <c r="G1224">
        <v>2</v>
      </c>
    </row>
    <row r="1225" spans="1:7">
      <c r="A1225">
        <v>4915</v>
      </c>
      <c r="B1225" t="s">
        <v>5827</v>
      </c>
      <c r="C1225" t="s">
        <v>5675</v>
      </c>
      <c r="D1225">
        <v>44440</v>
      </c>
      <c r="E1225">
        <v>5</v>
      </c>
      <c r="F1225">
        <v>5</v>
      </c>
      <c r="G1225">
        <v>5</v>
      </c>
    </row>
    <row r="1226" spans="1:7">
      <c r="A1226">
        <v>2454</v>
      </c>
      <c r="B1226" t="s">
        <v>5933</v>
      </c>
      <c r="C1226" t="s">
        <v>5666</v>
      </c>
      <c r="D1226">
        <v>44440</v>
      </c>
      <c r="E1226">
        <v>8</v>
      </c>
      <c r="F1226">
        <v>8</v>
      </c>
      <c r="G1226">
        <v>8</v>
      </c>
    </row>
    <row r="1227" spans="1:7">
      <c r="A1227">
        <v>9907</v>
      </c>
      <c r="B1227" t="s">
        <v>5812</v>
      </c>
      <c r="C1227" t="s">
        <v>5664</v>
      </c>
      <c r="D1227">
        <v>44440</v>
      </c>
      <c r="E1227">
        <v>7</v>
      </c>
      <c r="F1227">
        <v>7</v>
      </c>
      <c r="G1227">
        <v>7</v>
      </c>
    </row>
    <row r="1228" spans="1:7">
      <c r="A1228">
        <v>6282</v>
      </c>
      <c r="B1228" t="s">
        <v>5731</v>
      </c>
      <c r="C1228" t="s">
        <v>5675</v>
      </c>
      <c r="D1228">
        <v>44440</v>
      </c>
      <c r="E1228">
        <v>6</v>
      </c>
      <c r="F1228">
        <v>6</v>
      </c>
      <c r="G1228">
        <v>6</v>
      </c>
    </row>
    <row r="1229" spans="1:7">
      <c r="A1229">
        <v>5820</v>
      </c>
      <c r="B1229" t="s">
        <v>5797</v>
      </c>
      <c r="C1229" t="s">
        <v>5798</v>
      </c>
      <c r="D1229">
        <v>44440</v>
      </c>
      <c r="E1229">
        <v>8</v>
      </c>
      <c r="F1229">
        <v>8</v>
      </c>
      <c r="G1229">
        <v>8</v>
      </c>
    </row>
    <row r="1230" spans="1:7">
      <c r="A1230">
        <v>5876</v>
      </c>
      <c r="B1230" t="s">
        <v>5715</v>
      </c>
      <c r="C1230" t="s">
        <v>5645</v>
      </c>
      <c r="D1230">
        <v>44440</v>
      </c>
      <c r="E1230">
        <v>14</v>
      </c>
      <c r="F1230">
        <v>14</v>
      </c>
      <c r="G1230">
        <v>14</v>
      </c>
    </row>
    <row r="1231" spans="1:7">
      <c r="A1231">
        <v>2449</v>
      </c>
      <c r="B1231" t="s">
        <v>5937</v>
      </c>
      <c r="C1231" t="s">
        <v>5666</v>
      </c>
      <c r="D1231">
        <v>44440</v>
      </c>
      <c r="E1231">
        <v>5</v>
      </c>
      <c r="F1231">
        <v>5</v>
      </c>
      <c r="G1231">
        <v>5</v>
      </c>
    </row>
    <row r="1232" spans="1:7">
      <c r="A1232">
        <v>2062</v>
      </c>
      <c r="B1232" t="s">
        <v>1223</v>
      </c>
      <c r="C1232" t="s">
        <v>5664</v>
      </c>
      <c r="D1232">
        <v>44440</v>
      </c>
      <c r="E1232">
        <v>1</v>
      </c>
      <c r="F1232">
        <v>1</v>
      </c>
      <c r="G1232">
        <v>1</v>
      </c>
    </row>
    <row r="1233" spans="1:7">
      <c r="A1233">
        <v>3702</v>
      </c>
      <c r="B1233" t="s">
        <v>5686</v>
      </c>
      <c r="C1233" t="s">
        <v>5687</v>
      </c>
      <c r="D1233">
        <v>44440</v>
      </c>
      <c r="E1233">
        <v>16</v>
      </c>
      <c r="F1233">
        <v>16</v>
      </c>
      <c r="G1233">
        <v>16</v>
      </c>
    </row>
    <row r="1234" spans="1:7">
      <c r="A1234">
        <v>2393</v>
      </c>
      <c r="B1234" t="s">
        <v>5966</v>
      </c>
      <c r="C1234" t="s">
        <v>5661</v>
      </c>
      <c r="D1234">
        <v>44440</v>
      </c>
      <c r="E1234">
        <v>6</v>
      </c>
      <c r="F1234">
        <v>6</v>
      </c>
      <c r="G1234">
        <v>6</v>
      </c>
    </row>
    <row r="1235" spans="1:7">
      <c r="A1235">
        <v>8201</v>
      </c>
      <c r="B1235" t="s">
        <v>5874</v>
      </c>
      <c r="C1235" t="s">
        <v>5692</v>
      </c>
      <c r="D1235">
        <v>44440</v>
      </c>
      <c r="E1235">
        <v>8</v>
      </c>
      <c r="F1235">
        <v>8</v>
      </c>
      <c r="G1235">
        <v>8</v>
      </c>
    </row>
    <row r="1236" spans="1:7">
      <c r="A1236">
        <v>4927</v>
      </c>
      <c r="B1236" t="s">
        <v>6056</v>
      </c>
      <c r="C1236" t="s">
        <v>5675</v>
      </c>
      <c r="D1236">
        <v>44440</v>
      </c>
      <c r="E1236">
        <v>3</v>
      </c>
      <c r="F1236">
        <v>3</v>
      </c>
      <c r="G1236">
        <v>3</v>
      </c>
    </row>
    <row r="1237" spans="1:7">
      <c r="A1237">
        <v>5471</v>
      </c>
      <c r="B1237" t="s">
        <v>6136</v>
      </c>
      <c r="C1237" t="s">
        <v>5666</v>
      </c>
      <c r="D1237">
        <v>44440</v>
      </c>
      <c r="E1237">
        <v>3</v>
      </c>
      <c r="F1237">
        <v>3</v>
      </c>
      <c r="G1237">
        <v>3</v>
      </c>
    </row>
    <row r="1238" spans="1:7">
      <c r="A1238">
        <v>8044</v>
      </c>
      <c r="B1238" t="s">
        <v>5894</v>
      </c>
      <c r="C1238" t="s">
        <v>5895</v>
      </c>
      <c r="D1238">
        <v>44440</v>
      </c>
      <c r="E1238">
        <v>6</v>
      </c>
      <c r="F1238">
        <v>6</v>
      </c>
      <c r="G1238">
        <v>6</v>
      </c>
    </row>
    <row r="1239" spans="1:7">
      <c r="A1239">
        <v>3036</v>
      </c>
      <c r="B1239" t="s">
        <v>6138</v>
      </c>
      <c r="C1239" t="s">
        <v>5687</v>
      </c>
      <c r="D1239">
        <v>44440</v>
      </c>
      <c r="E1239">
        <v>4</v>
      </c>
      <c r="F1239">
        <v>4</v>
      </c>
      <c r="G1239">
        <v>4</v>
      </c>
    </row>
    <row r="1240" spans="1:7">
      <c r="A1240">
        <v>6213</v>
      </c>
      <c r="B1240" t="s">
        <v>5756</v>
      </c>
      <c r="C1240" t="s">
        <v>5675</v>
      </c>
      <c r="D1240">
        <v>44440</v>
      </c>
      <c r="E1240">
        <v>7</v>
      </c>
      <c r="F1240">
        <v>7</v>
      </c>
      <c r="G1240">
        <v>7</v>
      </c>
    </row>
    <row r="1241" spans="1:7">
      <c r="A1241">
        <v>3092</v>
      </c>
      <c r="B1241" t="s">
        <v>6151</v>
      </c>
      <c r="C1241" t="s">
        <v>5675</v>
      </c>
      <c r="D1241">
        <v>44440</v>
      </c>
      <c r="E1241">
        <v>3</v>
      </c>
      <c r="F1241">
        <v>3</v>
      </c>
      <c r="G1241">
        <v>3</v>
      </c>
    </row>
    <row r="1242" spans="1:7">
      <c r="A1242">
        <v>3526</v>
      </c>
      <c r="B1242" t="s">
        <v>5932</v>
      </c>
      <c r="C1242" t="s">
        <v>5791</v>
      </c>
      <c r="D1242">
        <v>44440</v>
      </c>
      <c r="E1242">
        <v>4</v>
      </c>
      <c r="F1242">
        <v>4</v>
      </c>
      <c r="G1242">
        <v>4</v>
      </c>
    </row>
    <row r="1243" spans="1:7">
      <c r="A1243">
        <v>5425</v>
      </c>
      <c r="B1243" t="s">
        <v>5704</v>
      </c>
      <c r="C1243" t="s">
        <v>5690</v>
      </c>
      <c r="D1243">
        <v>44440</v>
      </c>
      <c r="E1243">
        <v>8</v>
      </c>
      <c r="F1243">
        <v>8</v>
      </c>
      <c r="G1243">
        <v>8</v>
      </c>
    </row>
    <row r="1244" spans="1:7">
      <c r="A1244">
        <v>3041</v>
      </c>
      <c r="B1244" t="s">
        <v>6020</v>
      </c>
      <c r="C1244" t="s">
        <v>5666</v>
      </c>
      <c r="D1244">
        <v>44440</v>
      </c>
      <c r="E1244">
        <v>7</v>
      </c>
      <c r="F1244">
        <v>7</v>
      </c>
      <c r="G1244">
        <v>7</v>
      </c>
    </row>
    <row r="1245" spans="1:7">
      <c r="A1245">
        <v>2308</v>
      </c>
      <c r="B1245" t="s">
        <v>5831</v>
      </c>
      <c r="C1245" t="s">
        <v>5675</v>
      </c>
      <c r="D1245">
        <v>44440</v>
      </c>
      <c r="E1245">
        <v>7</v>
      </c>
      <c r="F1245">
        <v>7</v>
      </c>
      <c r="G1245">
        <v>7</v>
      </c>
    </row>
    <row r="1246" spans="1:7">
      <c r="A1246">
        <v>2312</v>
      </c>
      <c r="B1246" t="s">
        <v>5739</v>
      </c>
      <c r="C1246" t="s">
        <v>5692</v>
      </c>
      <c r="D1246">
        <v>44440</v>
      </c>
      <c r="E1246">
        <v>8</v>
      </c>
      <c r="F1246">
        <v>8</v>
      </c>
      <c r="G1246">
        <v>8</v>
      </c>
    </row>
    <row r="1247" spans="1:7">
      <c r="A1247">
        <v>2809</v>
      </c>
      <c r="B1247" t="s">
        <v>5810</v>
      </c>
      <c r="C1247" t="s">
        <v>5645</v>
      </c>
      <c r="D1247">
        <v>44440</v>
      </c>
      <c r="E1247">
        <v>15</v>
      </c>
      <c r="F1247">
        <v>15</v>
      </c>
      <c r="G1247">
        <v>15</v>
      </c>
    </row>
    <row r="1248" spans="1:7">
      <c r="A1248">
        <v>2301</v>
      </c>
      <c r="B1248" t="s">
        <v>5723</v>
      </c>
      <c r="C1248" t="s">
        <v>5649</v>
      </c>
      <c r="D1248">
        <v>44440</v>
      </c>
      <c r="E1248">
        <v>14</v>
      </c>
      <c r="F1248">
        <v>14</v>
      </c>
      <c r="G1248">
        <v>14</v>
      </c>
    </row>
    <row r="1249" spans="1:7">
      <c r="A1249">
        <v>6153</v>
      </c>
      <c r="B1249" t="s">
        <v>5837</v>
      </c>
      <c r="C1249" t="s">
        <v>5675</v>
      </c>
      <c r="D1249">
        <v>44440</v>
      </c>
      <c r="E1249">
        <v>7</v>
      </c>
      <c r="F1249">
        <v>7</v>
      </c>
      <c r="G1249">
        <v>7</v>
      </c>
    </row>
    <row r="1250" spans="1:7">
      <c r="A1250">
        <v>3293</v>
      </c>
      <c r="B1250" t="s">
        <v>6160</v>
      </c>
      <c r="C1250" t="s">
        <v>6161</v>
      </c>
      <c r="D1250">
        <v>44440</v>
      </c>
      <c r="E1250">
        <v>1</v>
      </c>
      <c r="F1250">
        <v>1</v>
      </c>
      <c r="G1250">
        <v>1</v>
      </c>
    </row>
    <row r="1251" spans="1:7">
      <c r="A1251">
        <v>2332</v>
      </c>
      <c r="B1251" t="s">
        <v>5681</v>
      </c>
      <c r="C1251" t="s">
        <v>5653</v>
      </c>
      <c r="D1251">
        <v>44440</v>
      </c>
      <c r="E1251">
        <v>4</v>
      </c>
      <c r="F1251">
        <v>4</v>
      </c>
      <c r="G1251">
        <v>4</v>
      </c>
    </row>
    <row r="1252" spans="1:7">
      <c r="A1252">
        <v>2352</v>
      </c>
      <c r="B1252" t="s">
        <v>6008</v>
      </c>
      <c r="C1252" t="s">
        <v>5649</v>
      </c>
      <c r="D1252">
        <v>44440</v>
      </c>
      <c r="E1252">
        <v>4</v>
      </c>
      <c r="F1252">
        <v>4</v>
      </c>
      <c r="G1252">
        <v>4</v>
      </c>
    </row>
    <row r="1253" spans="1:7">
      <c r="A1253">
        <v>2882</v>
      </c>
      <c r="B1253" t="s">
        <v>5834</v>
      </c>
      <c r="C1253" t="s">
        <v>5645</v>
      </c>
      <c r="D1253">
        <v>44440</v>
      </c>
      <c r="E1253">
        <v>9</v>
      </c>
      <c r="F1253">
        <v>9</v>
      </c>
      <c r="G1253">
        <v>9</v>
      </c>
    </row>
    <row r="1254" spans="1:7">
      <c r="A1254">
        <v>3016</v>
      </c>
      <c r="B1254" t="s">
        <v>5725</v>
      </c>
      <c r="C1254" t="s">
        <v>5666</v>
      </c>
      <c r="D1254">
        <v>44440</v>
      </c>
      <c r="E1254">
        <v>3</v>
      </c>
      <c r="F1254">
        <v>3</v>
      </c>
      <c r="G1254">
        <v>3</v>
      </c>
    </row>
    <row r="1255" spans="1:7">
      <c r="A1255">
        <v>1717</v>
      </c>
      <c r="B1255" t="s">
        <v>5805</v>
      </c>
      <c r="C1255" t="s">
        <v>5733</v>
      </c>
      <c r="D1255">
        <v>44440</v>
      </c>
      <c r="E1255">
        <v>8</v>
      </c>
      <c r="F1255">
        <v>8</v>
      </c>
      <c r="G1255">
        <v>8</v>
      </c>
    </row>
    <row r="1256" spans="1:7">
      <c r="A1256">
        <v>4123</v>
      </c>
      <c r="B1256" t="s">
        <v>6090</v>
      </c>
      <c r="C1256" t="s">
        <v>5867</v>
      </c>
      <c r="D1256">
        <v>44440</v>
      </c>
      <c r="E1256">
        <v>3</v>
      </c>
      <c r="F1256">
        <v>3</v>
      </c>
      <c r="G1256">
        <v>3</v>
      </c>
    </row>
    <row r="1257" spans="1:7">
      <c r="A1257">
        <v>8085</v>
      </c>
      <c r="B1257" t="s">
        <v>6023</v>
      </c>
      <c r="C1257" t="s">
        <v>5800</v>
      </c>
      <c r="D1257">
        <v>44440</v>
      </c>
      <c r="E1257">
        <v>8</v>
      </c>
      <c r="F1257">
        <v>8</v>
      </c>
      <c r="G1257">
        <v>8</v>
      </c>
    </row>
    <row r="1258" spans="1:7">
      <c r="A1258">
        <v>6290</v>
      </c>
      <c r="B1258" t="s">
        <v>6032</v>
      </c>
      <c r="C1258" t="s">
        <v>5791</v>
      </c>
      <c r="D1258">
        <v>44440</v>
      </c>
      <c r="E1258">
        <v>5</v>
      </c>
      <c r="F1258">
        <v>5</v>
      </c>
      <c r="G1258">
        <v>5</v>
      </c>
    </row>
    <row r="1259" spans="1:7">
      <c r="A1259">
        <v>2354</v>
      </c>
      <c r="B1259" t="s">
        <v>5691</v>
      </c>
      <c r="C1259" t="s">
        <v>5692</v>
      </c>
      <c r="D1259">
        <v>44440</v>
      </c>
      <c r="E1259">
        <v>4</v>
      </c>
      <c r="F1259">
        <v>4</v>
      </c>
      <c r="G1259">
        <v>4</v>
      </c>
    </row>
    <row r="1260" spans="1:7">
      <c r="A1260">
        <v>3706</v>
      </c>
      <c r="B1260" t="s">
        <v>5889</v>
      </c>
      <c r="C1260" t="s">
        <v>5649</v>
      </c>
      <c r="D1260">
        <v>44440</v>
      </c>
      <c r="E1260">
        <v>12</v>
      </c>
      <c r="F1260">
        <v>12</v>
      </c>
      <c r="G1260">
        <v>12</v>
      </c>
    </row>
    <row r="1261" spans="1:7">
      <c r="A1261">
        <v>5457</v>
      </c>
      <c r="B1261" t="s">
        <v>5818</v>
      </c>
      <c r="C1261" t="s">
        <v>5791</v>
      </c>
      <c r="D1261">
        <v>44440</v>
      </c>
      <c r="E1261">
        <v>8</v>
      </c>
      <c r="F1261">
        <v>8</v>
      </c>
      <c r="G1261">
        <v>8</v>
      </c>
    </row>
    <row r="1262" spans="1:7">
      <c r="A1262">
        <v>2426</v>
      </c>
      <c r="B1262" t="s">
        <v>6162</v>
      </c>
      <c r="C1262" t="s">
        <v>5661</v>
      </c>
      <c r="D1262">
        <v>44440</v>
      </c>
      <c r="E1262">
        <v>2</v>
      </c>
      <c r="F1262">
        <v>2</v>
      </c>
      <c r="G1262">
        <v>2</v>
      </c>
    </row>
    <row r="1263" spans="1:7">
      <c r="A1263">
        <v>2472</v>
      </c>
      <c r="B1263" t="s">
        <v>6157</v>
      </c>
      <c r="C1263" t="s">
        <v>5675</v>
      </c>
      <c r="D1263">
        <v>44440</v>
      </c>
      <c r="E1263">
        <v>4</v>
      </c>
      <c r="F1263">
        <v>4</v>
      </c>
      <c r="G1263">
        <v>4</v>
      </c>
    </row>
    <row r="1264" spans="1:7">
      <c r="A1264">
        <v>5522</v>
      </c>
      <c r="B1264" t="s">
        <v>6163</v>
      </c>
      <c r="C1264" t="s">
        <v>5651</v>
      </c>
      <c r="D1264">
        <v>44440</v>
      </c>
      <c r="E1264">
        <v>1</v>
      </c>
      <c r="F1264">
        <v>1</v>
      </c>
      <c r="G1264">
        <v>1</v>
      </c>
    </row>
    <row r="1265" spans="1:7">
      <c r="A1265">
        <v>3227</v>
      </c>
      <c r="B1265" t="s">
        <v>6033</v>
      </c>
      <c r="C1265" t="s">
        <v>5690</v>
      </c>
      <c r="D1265">
        <v>44440</v>
      </c>
      <c r="E1265">
        <v>3</v>
      </c>
      <c r="F1265">
        <v>3</v>
      </c>
      <c r="G1265">
        <v>3</v>
      </c>
    </row>
    <row r="1266" spans="1:7">
      <c r="A1266">
        <v>6271</v>
      </c>
      <c r="B1266" t="s">
        <v>5722</v>
      </c>
      <c r="C1266" t="s">
        <v>5666</v>
      </c>
      <c r="D1266">
        <v>44440</v>
      </c>
      <c r="E1266">
        <v>6</v>
      </c>
      <c r="F1266">
        <v>6</v>
      </c>
      <c r="G1266">
        <v>6</v>
      </c>
    </row>
    <row r="1267" spans="1:7">
      <c r="A1267">
        <v>6568</v>
      </c>
      <c r="B1267" t="s">
        <v>6143</v>
      </c>
      <c r="C1267" t="s">
        <v>5690</v>
      </c>
      <c r="D1267">
        <v>44440</v>
      </c>
      <c r="E1267">
        <v>3</v>
      </c>
      <c r="F1267">
        <v>3</v>
      </c>
      <c r="G1267">
        <v>3</v>
      </c>
    </row>
    <row r="1268" spans="1:7">
      <c r="A1268">
        <v>6127</v>
      </c>
      <c r="B1268" t="s">
        <v>6164</v>
      </c>
      <c r="C1268" t="s">
        <v>5791</v>
      </c>
      <c r="D1268">
        <v>44440</v>
      </c>
      <c r="E1268">
        <v>2</v>
      </c>
      <c r="F1268">
        <v>2</v>
      </c>
      <c r="G1268">
        <v>2</v>
      </c>
    </row>
    <row r="1269" spans="1:7">
      <c r="A1269">
        <v>2489</v>
      </c>
      <c r="B1269" t="s">
        <v>5738</v>
      </c>
      <c r="C1269" t="s">
        <v>5661</v>
      </c>
      <c r="D1269">
        <v>44440</v>
      </c>
      <c r="E1269">
        <v>9</v>
      </c>
      <c r="F1269">
        <v>9</v>
      </c>
      <c r="G1269">
        <v>9</v>
      </c>
    </row>
    <row r="1270" spans="1:7">
      <c r="A1270">
        <v>2351</v>
      </c>
      <c r="B1270" t="s">
        <v>5752</v>
      </c>
      <c r="C1270" t="s">
        <v>5666</v>
      </c>
      <c r="D1270">
        <v>44440</v>
      </c>
      <c r="E1270">
        <v>5</v>
      </c>
      <c r="F1270">
        <v>5</v>
      </c>
      <c r="G1270">
        <v>5</v>
      </c>
    </row>
    <row r="1271" spans="1:7">
      <c r="A1271">
        <v>1524</v>
      </c>
      <c r="B1271" t="s">
        <v>6165</v>
      </c>
      <c r="C1271" t="s">
        <v>5769</v>
      </c>
      <c r="D1271">
        <v>44440</v>
      </c>
      <c r="E1271">
        <v>1</v>
      </c>
      <c r="F1271">
        <v>1</v>
      </c>
      <c r="G1271">
        <v>1</v>
      </c>
    </row>
    <row r="1272" spans="1:7">
      <c r="A1272">
        <v>8215</v>
      </c>
      <c r="B1272" t="s">
        <v>6092</v>
      </c>
      <c r="C1272" t="s">
        <v>5661</v>
      </c>
      <c r="D1272">
        <v>44440</v>
      </c>
      <c r="E1272">
        <v>3</v>
      </c>
      <c r="F1272">
        <v>3</v>
      </c>
      <c r="G1272">
        <v>3</v>
      </c>
    </row>
    <row r="1273" spans="1:7">
      <c r="A1273">
        <v>3556</v>
      </c>
      <c r="B1273" t="s">
        <v>6140</v>
      </c>
      <c r="C1273" t="s">
        <v>5690</v>
      </c>
      <c r="D1273">
        <v>44440</v>
      </c>
      <c r="E1273">
        <v>3</v>
      </c>
      <c r="F1273">
        <v>3</v>
      </c>
      <c r="G1273">
        <v>3</v>
      </c>
    </row>
    <row r="1274" spans="1:7">
      <c r="A1274">
        <v>2337</v>
      </c>
      <c r="B1274" t="s">
        <v>6013</v>
      </c>
      <c r="C1274" t="s">
        <v>5666</v>
      </c>
      <c r="D1274">
        <v>44440</v>
      </c>
      <c r="E1274">
        <v>6</v>
      </c>
      <c r="F1274">
        <v>6</v>
      </c>
      <c r="G1274">
        <v>6</v>
      </c>
    </row>
    <row r="1275" spans="1:7">
      <c r="A1275">
        <v>5469</v>
      </c>
      <c r="B1275" t="s">
        <v>6128</v>
      </c>
      <c r="C1275" t="s">
        <v>5675</v>
      </c>
      <c r="D1275">
        <v>44440</v>
      </c>
      <c r="E1275">
        <v>2</v>
      </c>
      <c r="F1275">
        <v>2</v>
      </c>
      <c r="G1275">
        <v>2</v>
      </c>
    </row>
    <row r="1276" spans="1:7">
      <c r="A1276">
        <v>2013</v>
      </c>
      <c r="B1276" t="s">
        <v>6000</v>
      </c>
      <c r="C1276" t="s">
        <v>5659</v>
      </c>
      <c r="D1276">
        <v>44440</v>
      </c>
      <c r="E1276">
        <v>8</v>
      </c>
      <c r="F1276">
        <v>8</v>
      </c>
      <c r="G1276">
        <v>8</v>
      </c>
    </row>
    <row r="1277" spans="1:7">
      <c r="A1277">
        <v>2442</v>
      </c>
      <c r="B1277" t="s">
        <v>5941</v>
      </c>
      <c r="C1277" t="s">
        <v>5649</v>
      </c>
      <c r="D1277">
        <v>44440</v>
      </c>
      <c r="E1277">
        <v>8</v>
      </c>
      <c r="F1277">
        <v>8</v>
      </c>
      <c r="G1277">
        <v>8</v>
      </c>
    </row>
    <row r="1278" spans="1:7">
      <c r="A1278">
        <v>1907</v>
      </c>
      <c r="B1278" t="s">
        <v>6006</v>
      </c>
      <c r="C1278" t="s">
        <v>5677</v>
      </c>
      <c r="D1278">
        <v>44440</v>
      </c>
      <c r="E1278">
        <v>8</v>
      </c>
      <c r="F1278">
        <v>8</v>
      </c>
      <c r="G1278">
        <v>8</v>
      </c>
    </row>
    <row r="1279" spans="1:7">
      <c r="A1279">
        <v>6191</v>
      </c>
      <c r="B1279" t="s">
        <v>5759</v>
      </c>
      <c r="C1279" t="s">
        <v>5675</v>
      </c>
      <c r="D1279">
        <v>44440</v>
      </c>
      <c r="E1279">
        <v>2</v>
      </c>
      <c r="F1279">
        <v>2</v>
      </c>
      <c r="G1279">
        <v>2</v>
      </c>
    </row>
    <row r="1280" spans="1:7">
      <c r="A1280">
        <v>5531</v>
      </c>
      <c r="B1280" t="s">
        <v>6166</v>
      </c>
      <c r="C1280" t="s">
        <v>5651</v>
      </c>
      <c r="D1280">
        <v>44440</v>
      </c>
      <c r="E1280">
        <v>3</v>
      </c>
      <c r="F1280">
        <v>3</v>
      </c>
      <c r="G1280">
        <v>3</v>
      </c>
    </row>
    <row r="1281" spans="1:7">
      <c r="A1281">
        <v>8110</v>
      </c>
      <c r="B1281" t="s">
        <v>5685</v>
      </c>
      <c r="C1281" t="s">
        <v>5666</v>
      </c>
      <c r="D1281">
        <v>44440</v>
      </c>
      <c r="E1281">
        <v>8</v>
      </c>
      <c r="F1281">
        <v>8</v>
      </c>
      <c r="G1281">
        <v>8</v>
      </c>
    </row>
    <row r="1282" spans="1:7">
      <c r="A1282">
        <v>6505</v>
      </c>
      <c r="B1282" t="s">
        <v>5942</v>
      </c>
      <c r="C1282" t="s">
        <v>5943</v>
      </c>
      <c r="D1282">
        <v>44440</v>
      </c>
      <c r="E1282">
        <v>10</v>
      </c>
      <c r="F1282">
        <v>10</v>
      </c>
      <c r="G1282">
        <v>10</v>
      </c>
    </row>
    <row r="1283" spans="1:7">
      <c r="A1283">
        <v>8024</v>
      </c>
      <c r="B1283" t="s">
        <v>6137</v>
      </c>
      <c r="C1283" t="s">
        <v>5690</v>
      </c>
      <c r="D1283">
        <v>44440</v>
      </c>
      <c r="E1283">
        <v>4</v>
      </c>
      <c r="F1283">
        <v>4</v>
      </c>
      <c r="G1283">
        <v>4</v>
      </c>
    </row>
    <row r="1284" spans="1:7">
      <c r="A1284">
        <v>1447</v>
      </c>
      <c r="B1284" t="s">
        <v>5705</v>
      </c>
      <c r="C1284" t="s">
        <v>5706</v>
      </c>
      <c r="D1284">
        <v>44440</v>
      </c>
      <c r="E1284">
        <v>8</v>
      </c>
      <c r="F1284">
        <v>8</v>
      </c>
      <c r="G1284">
        <v>8</v>
      </c>
    </row>
    <row r="1285" spans="1:7">
      <c r="A1285">
        <v>3017</v>
      </c>
      <c r="B1285" t="s">
        <v>5750</v>
      </c>
      <c r="C1285" t="s">
        <v>5649</v>
      </c>
      <c r="D1285">
        <v>44440</v>
      </c>
      <c r="E1285">
        <v>8</v>
      </c>
      <c r="F1285">
        <v>8</v>
      </c>
      <c r="G1285">
        <v>8</v>
      </c>
    </row>
    <row r="1286" spans="1:7">
      <c r="A1286">
        <v>6278</v>
      </c>
      <c r="B1286" t="s">
        <v>5764</v>
      </c>
      <c r="C1286" t="s">
        <v>5661</v>
      </c>
      <c r="D1286">
        <v>44440</v>
      </c>
      <c r="E1286">
        <v>8</v>
      </c>
      <c r="F1286">
        <v>8</v>
      </c>
      <c r="G1286">
        <v>8</v>
      </c>
    </row>
    <row r="1287" spans="1:7">
      <c r="A1287">
        <v>3049</v>
      </c>
      <c r="B1287" t="s">
        <v>6167</v>
      </c>
      <c r="C1287" t="s">
        <v>5661</v>
      </c>
      <c r="D1287">
        <v>44440</v>
      </c>
      <c r="E1287">
        <v>3</v>
      </c>
      <c r="F1287">
        <v>3</v>
      </c>
      <c r="G1287">
        <v>3</v>
      </c>
    </row>
    <row r="1288" spans="1:7">
      <c r="A1288">
        <v>6129</v>
      </c>
      <c r="B1288" t="s">
        <v>5737</v>
      </c>
      <c r="C1288" t="s">
        <v>5690</v>
      </c>
      <c r="D1288">
        <v>44440</v>
      </c>
      <c r="E1288">
        <v>3</v>
      </c>
      <c r="F1288">
        <v>3</v>
      </c>
      <c r="G1288">
        <v>3</v>
      </c>
    </row>
    <row r="1289" spans="1:7">
      <c r="A1289">
        <v>2395</v>
      </c>
      <c r="B1289" t="s">
        <v>6016</v>
      </c>
      <c r="C1289" t="s">
        <v>5649</v>
      </c>
      <c r="D1289">
        <v>44440</v>
      </c>
      <c r="E1289">
        <v>3</v>
      </c>
      <c r="F1289">
        <v>3</v>
      </c>
      <c r="G1289">
        <v>3</v>
      </c>
    </row>
    <row r="1290" spans="1:7">
      <c r="A1290">
        <v>8249</v>
      </c>
      <c r="B1290" t="s">
        <v>6085</v>
      </c>
      <c r="C1290" t="s">
        <v>5675</v>
      </c>
      <c r="D1290">
        <v>44440</v>
      </c>
      <c r="E1290">
        <v>8</v>
      </c>
      <c r="F1290">
        <v>8</v>
      </c>
      <c r="G1290">
        <v>8</v>
      </c>
    </row>
    <row r="1291" spans="1:7">
      <c r="A1291">
        <v>2855</v>
      </c>
      <c r="B1291" t="s">
        <v>5974</v>
      </c>
      <c r="C1291" t="s">
        <v>5645</v>
      </c>
      <c r="D1291">
        <v>44440</v>
      </c>
      <c r="E1291">
        <v>4</v>
      </c>
      <c r="F1291">
        <v>4</v>
      </c>
      <c r="G1291">
        <v>4</v>
      </c>
    </row>
    <row r="1292" spans="1:7">
      <c r="A1292">
        <v>5210</v>
      </c>
      <c r="B1292" t="s">
        <v>6036</v>
      </c>
      <c r="C1292" t="s">
        <v>5777</v>
      </c>
      <c r="D1292">
        <v>44440</v>
      </c>
      <c r="E1292">
        <v>3</v>
      </c>
      <c r="F1292">
        <v>3</v>
      </c>
      <c r="G1292">
        <v>3</v>
      </c>
    </row>
    <row r="1293" spans="1:7">
      <c r="A1293">
        <v>2504</v>
      </c>
      <c r="B1293" t="s">
        <v>5708</v>
      </c>
      <c r="C1293" t="s">
        <v>5651</v>
      </c>
      <c r="D1293">
        <v>44440</v>
      </c>
      <c r="E1293">
        <v>8</v>
      </c>
      <c r="F1293">
        <v>8</v>
      </c>
      <c r="G1293">
        <v>8</v>
      </c>
    </row>
    <row r="1294" spans="1:7">
      <c r="A1294">
        <v>3105</v>
      </c>
      <c r="B1294" t="s">
        <v>6084</v>
      </c>
      <c r="C1294" t="s">
        <v>5690</v>
      </c>
      <c r="D1294">
        <v>44440</v>
      </c>
      <c r="E1294">
        <v>4</v>
      </c>
      <c r="F1294">
        <v>4</v>
      </c>
      <c r="G1294">
        <v>4</v>
      </c>
    </row>
    <row r="1295" spans="1:7">
      <c r="A1295">
        <v>3260</v>
      </c>
      <c r="B1295" t="s">
        <v>5712</v>
      </c>
      <c r="C1295" t="s">
        <v>5690</v>
      </c>
      <c r="D1295">
        <v>44440</v>
      </c>
      <c r="E1295">
        <v>4</v>
      </c>
      <c r="F1295">
        <v>4</v>
      </c>
      <c r="G1295">
        <v>4</v>
      </c>
    </row>
    <row r="1296" spans="1:7">
      <c r="A1296">
        <v>2327</v>
      </c>
      <c r="B1296" t="s">
        <v>5674</v>
      </c>
      <c r="C1296" t="s">
        <v>5675</v>
      </c>
      <c r="D1296">
        <v>44440</v>
      </c>
      <c r="E1296">
        <v>6</v>
      </c>
      <c r="F1296">
        <v>6</v>
      </c>
      <c r="G1296">
        <v>6</v>
      </c>
    </row>
    <row r="1297" spans="1:7">
      <c r="A1297">
        <v>3059</v>
      </c>
      <c r="B1297" t="s">
        <v>6038</v>
      </c>
      <c r="C1297" t="s">
        <v>5661</v>
      </c>
      <c r="D1297">
        <v>44440</v>
      </c>
      <c r="E1297">
        <v>3</v>
      </c>
      <c r="F1297">
        <v>3</v>
      </c>
      <c r="G1297">
        <v>3</v>
      </c>
    </row>
    <row r="1298" spans="1:7">
      <c r="A1298">
        <v>2888</v>
      </c>
      <c r="B1298" t="s">
        <v>5853</v>
      </c>
      <c r="C1298" t="s">
        <v>5645</v>
      </c>
      <c r="D1298">
        <v>44440</v>
      </c>
      <c r="E1298">
        <v>9</v>
      </c>
      <c r="F1298">
        <v>9</v>
      </c>
      <c r="G1298">
        <v>9</v>
      </c>
    </row>
    <row r="1299" spans="1:7">
      <c r="A1299">
        <v>6224</v>
      </c>
      <c r="B1299" t="s">
        <v>6044</v>
      </c>
      <c r="C1299" t="s">
        <v>5675</v>
      </c>
      <c r="D1299">
        <v>44440</v>
      </c>
      <c r="E1299">
        <v>4</v>
      </c>
      <c r="F1299">
        <v>4</v>
      </c>
      <c r="G1299">
        <v>4</v>
      </c>
    </row>
    <row r="1300" spans="1:7">
      <c r="A1300">
        <v>6435</v>
      </c>
      <c r="B1300" t="s">
        <v>6168</v>
      </c>
      <c r="C1300" t="s">
        <v>5690</v>
      </c>
      <c r="D1300">
        <v>44440</v>
      </c>
      <c r="E1300">
        <v>1</v>
      </c>
      <c r="F1300">
        <v>1</v>
      </c>
      <c r="G1300">
        <v>1</v>
      </c>
    </row>
    <row r="1301" spans="1:7">
      <c r="A1301">
        <v>6223</v>
      </c>
      <c r="B1301" t="s">
        <v>5844</v>
      </c>
      <c r="C1301" t="s">
        <v>5690</v>
      </c>
      <c r="D1301">
        <v>44440</v>
      </c>
      <c r="E1301">
        <v>6</v>
      </c>
      <c r="F1301">
        <v>6</v>
      </c>
      <c r="G1301">
        <v>6</v>
      </c>
    </row>
    <row r="1302" spans="1:7">
      <c r="A1302">
        <v>2886</v>
      </c>
      <c r="B1302" t="s">
        <v>5863</v>
      </c>
      <c r="C1302" t="s">
        <v>5645</v>
      </c>
      <c r="D1302">
        <v>44439</v>
      </c>
      <c r="E1302">
        <v>10</v>
      </c>
      <c r="F1302">
        <v>10</v>
      </c>
      <c r="G1302">
        <v>10</v>
      </c>
    </row>
    <row r="1303" spans="1:7">
      <c r="A1303">
        <v>2301</v>
      </c>
      <c r="B1303" t="s">
        <v>5723</v>
      </c>
      <c r="C1303" t="s">
        <v>5649</v>
      </c>
      <c r="D1303">
        <v>44439</v>
      </c>
      <c r="E1303">
        <v>14</v>
      </c>
      <c r="F1303">
        <v>14</v>
      </c>
      <c r="G1303">
        <v>14</v>
      </c>
    </row>
    <row r="1304" spans="1:7">
      <c r="A1304">
        <v>2356</v>
      </c>
      <c r="B1304" t="s">
        <v>5648</v>
      </c>
      <c r="C1304" t="s">
        <v>5649</v>
      </c>
      <c r="D1304">
        <v>44439</v>
      </c>
      <c r="E1304">
        <v>8</v>
      </c>
      <c r="F1304">
        <v>8</v>
      </c>
      <c r="G1304">
        <v>8</v>
      </c>
    </row>
    <row r="1305" spans="1:7">
      <c r="A1305">
        <v>2891</v>
      </c>
      <c r="B1305" t="s">
        <v>6065</v>
      </c>
      <c r="C1305" t="s">
        <v>5645</v>
      </c>
      <c r="D1305">
        <v>44439</v>
      </c>
      <c r="E1305">
        <v>4</v>
      </c>
      <c r="F1305">
        <v>4</v>
      </c>
      <c r="G1305">
        <v>4</v>
      </c>
    </row>
    <row r="1306" spans="1:7">
      <c r="A1306">
        <v>5876</v>
      </c>
      <c r="B1306" t="s">
        <v>5715</v>
      </c>
      <c r="C1306" t="s">
        <v>5645</v>
      </c>
      <c r="D1306">
        <v>44439</v>
      </c>
      <c r="E1306">
        <v>14</v>
      </c>
      <c r="F1306">
        <v>14</v>
      </c>
      <c r="G1306">
        <v>14</v>
      </c>
    </row>
    <row r="1307" spans="1:7">
      <c r="A1307">
        <v>2633</v>
      </c>
      <c r="B1307" t="s">
        <v>6130</v>
      </c>
      <c r="C1307" t="s">
        <v>5679</v>
      </c>
      <c r="D1307">
        <v>44439</v>
      </c>
      <c r="E1307">
        <v>8</v>
      </c>
      <c r="F1307">
        <v>8</v>
      </c>
      <c r="G1307">
        <v>8</v>
      </c>
    </row>
    <row r="1308" spans="1:7">
      <c r="A1308">
        <v>2330</v>
      </c>
      <c r="B1308" t="s">
        <v>6018</v>
      </c>
      <c r="C1308" t="s">
        <v>5666</v>
      </c>
      <c r="D1308">
        <v>44439</v>
      </c>
      <c r="E1308">
        <v>12</v>
      </c>
      <c r="F1308">
        <v>12</v>
      </c>
      <c r="G1308">
        <v>12</v>
      </c>
    </row>
    <row r="1309" spans="1:7">
      <c r="A1309">
        <v>2892</v>
      </c>
      <c r="B1309" t="s">
        <v>5930</v>
      </c>
      <c r="C1309" t="s">
        <v>5645</v>
      </c>
      <c r="D1309">
        <v>44439</v>
      </c>
      <c r="E1309">
        <v>5</v>
      </c>
      <c r="F1309">
        <v>5</v>
      </c>
      <c r="G1309">
        <v>5</v>
      </c>
    </row>
    <row r="1310" spans="1:7">
      <c r="A1310">
        <v>1907</v>
      </c>
      <c r="B1310" t="s">
        <v>6006</v>
      </c>
      <c r="C1310" t="s">
        <v>5677</v>
      </c>
      <c r="D1310">
        <v>44439</v>
      </c>
      <c r="E1310">
        <v>8</v>
      </c>
      <c r="F1310">
        <v>8</v>
      </c>
      <c r="G1310">
        <v>8</v>
      </c>
    </row>
    <row r="1311" spans="1:7">
      <c r="A1311">
        <v>3231</v>
      </c>
      <c r="B1311" t="s">
        <v>6109</v>
      </c>
      <c r="C1311" t="s">
        <v>5649</v>
      </c>
      <c r="D1311">
        <v>44439</v>
      </c>
      <c r="E1311">
        <v>4</v>
      </c>
      <c r="F1311">
        <v>4</v>
      </c>
      <c r="G1311">
        <v>4</v>
      </c>
    </row>
    <row r="1312" spans="1:7">
      <c r="A1312">
        <v>2385</v>
      </c>
      <c r="B1312" t="s">
        <v>5709</v>
      </c>
      <c r="C1312" t="s">
        <v>5675</v>
      </c>
      <c r="D1312">
        <v>44439</v>
      </c>
      <c r="E1312">
        <v>7</v>
      </c>
      <c r="F1312">
        <v>7</v>
      </c>
      <c r="G1312">
        <v>7</v>
      </c>
    </row>
    <row r="1313" spans="1:7">
      <c r="A1313">
        <v>2801</v>
      </c>
      <c r="B1313" t="s">
        <v>5662</v>
      </c>
      <c r="C1313" t="s">
        <v>5645</v>
      </c>
      <c r="D1313">
        <v>44439</v>
      </c>
      <c r="E1313">
        <v>9</v>
      </c>
      <c r="F1313">
        <v>9</v>
      </c>
      <c r="G1313">
        <v>9</v>
      </c>
    </row>
    <row r="1314" spans="1:7">
      <c r="A1314">
        <v>2317</v>
      </c>
      <c r="B1314" t="s">
        <v>5955</v>
      </c>
      <c r="C1314" t="s">
        <v>5692</v>
      </c>
      <c r="D1314">
        <v>44439</v>
      </c>
      <c r="E1314">
        <v>8</v>
      </c>
      <c r="F1314">
        <v>8</v>
      </c>
      <c r="G1314">
        <v>8</v>
      </c>
    </row>
    <row r="1315" spans="1:7">
      <c r="A1315">
        <v>3045</v>
      </c>
      <c r="B1315" t="s">
        <v>5680</v>
      </c>
      <c r="C1315" t="s">
        <v>5653</v>
      </c>
      <c r="D1315">
        <v>44439</v>
      </c>
      <c r="E1315">
        <v>14</v>
      </c>
      <c r="F1315">
        <v>14</v>
      </c>
      <c r="G1315">
        <v>14</v>
      </c>
    </row>
    <row r="1316" spans="1:7">
      <c r="A1316">
        <v>2395</v>
      </c>
      <c r="B1316" t="s">
        <v>6016</v>
      </c>
      <c r="C1316" t="s">
        <v>5649</v>
      </c>
      <c r="D1316">
        <v>44439</v>
      </c>
      <c r="E1316">
        <v>3</v>
      </c>
      <c r="F1316">
        <v>3</v>
      </c>
      <c r="G1316">
        <v>3</v>
      </c>
    </row>
    <row r="1317" spans="1:7">
      <c r="A1317">
        <v>2357</v>
      </c>
      <c r="B1317" t="s">
        <v>5781</v>
      </c>
      <c r="C1317" t="s">
        <v>5649</v>
      </c>
      <c r="D1317">
        <v>44439</v>
      </c>
      <c r="E1317">
        <v>6</v>
      </c>
      <c r="F1317">
        <v>6</v>
      </c>
      <c r="G1317">
        <v>6</v>
      </c>
    </row>
    <row r="1318" spans="1:7">
      <c r="A1318">
        <v>1326</v>
      </c>
      <c r="B1318" t="s">
        <v>5814</v>
      </c>
      <c r="C1318" t="s">
        <v>5771</v>
      </c>
      <c r="D1318">
        <v>44439</v>
      </c>
      <c r="E1318">
        <v>14</v>
      </c>
      <c r="F1318">
        <v>14</v>
      </c>
      <c r="G1318">
        <v>14</v>
      </c>
    </row>
    <row r="1319" spans="1:7">
      <c r="A1319">
        <v>2885</v>
      </c>
      <c r="B1319" t="s">
        <v>5852</v>
      </c>
      <c r="C1319" t="s">
        <v>5645</v>
      </c>
      <c r="D1319">
        <v>44439</v>
      </c>
      <c r="E1319">
        <v>6</v>
      </c>
      <c r="F1319">
        <v>6</v>
      </c>
      <c r="G1319">
        <v>6</v>
      </c>
    </row>
    <row r="1320" spans="1:7">
      <c r="A1320">
        <v>2324</v>
      </c>
      <c r="B1320" t="s">
        <v>5848</v>
      </c>
      <c r="C1320" t="s">
        <v>5649</v>
      </c>
      <c r="D1320">
        <v>44439</v>
      </c>
      <c r="E1320">
        <v>7</v>
      </c>
      <c r="F1320">
        <v>7</v>
      </c>
      <c r="G1320">
        <v>7</v>
      </c>
    </row>
    <row r="1321" spans="1:7">
      <c r="A1321">
        <v>2382</v>
      </c>
      <c r="B1321" t="s">
        <v>6107</v>
      </c>
      <c r="C1321" t="s">
        <v>5649</v>
      </c>
      <c r="D1321">
        <v>44439</v>
      </c>
      <c r="E1321">
        <v>6</v>
      </c>
      <c r="F1321">
        <v>6</v>
      </c>
      <c r="G1321">
        <v>6</v>
      </c>
    </row>
    <row r="1322" spans="1:7">
      <c r="A1322">
        <v>3702</v>
      </c>
      <c r="B1322" t="s">
        <v>5686</v>
      </c>
      <c r="C1322" t="s">
        <v>5687</v>
      </c>
      <c r="D1322">
        <v>44439</v>
      </c>
      <c r="E1322">
        <v>16</v>
      </c>
      <c r="F1322">
        <v>16</v>
      </c>
      <c r="G1322">
        <v>16</v>
      </c>
    </row>
    <row r="1323" spans="1:7">
      <c r="A1323">
        <v>5871</v>
      </c>
      <c r="B1323" t="s">
        <v>5700</v>
      </c>
      <c r="C1323" t="s">
        <v>5664</v>
      </c>
      <c r="D1323">
        <v>44439</v>
      </c>
      <c r="E1323">
        <v>10</v>
      </c>
      <c r="F1323">
        <v>10</v>
      </c>
      <c r="G1323">
        <v>10</v>
      </c>
    </row>
    <row r="1324" spans="1:7">
      <c r="A1324">
        <v>1718</v>
      </c>
      <c r="B1324" t="s">
        <v>5816</v>
      </c>
      <c r="C1324" t="s">
        <v>5733</v>
      </c>
      <c r="D1324">
        <v>44439</v>
      </c>
      <c r="E1324">
        <v>13</v>
      </c>
      <c r="F1324">
        <v>13</v>
      </c>
      <c r="G1324">
        <v>13</v>
      </c>
    </row>
    <row r="1325" spans="1:7">
      <c r="A1325">
        <v>2002</v>
      </c>
      <c r="B1325" t="s">
        <v>6025</v>
      </c>
      <c r="C1325" t="s">
        <v>5659</v>
      </c>
      <c r="D1325">
        <v>44439</v>
      </c>
      <c r="E1325">
        <v>8</v>
      </c>
      <c r="F1325">
        <v>8</v>
      </c>
      <c r="G1325">
        <v>8</v>
      </c>
    </row>
    <row r="1326" spans="1:7">
      <c r="A1326">
        <v>2610</v>
      </c>
      <c r="B1326" t="s">
        <v>5826</v>
      </c>
      <c r="C1326" t="s">
        <v>5679</v>
      </c>
      <c r="D1326">
        <v>44439</v>
      </c>
      <c r="E1326">
        <v>6</v>
      </c>
      <c r="F1326">
        <v>6</v>
      </c>
      <c r="G1326">
        <v>6</v>
      </c>
    </row>
    <row r="1327" spans="1:7">
      <c r="A1327">
        <v>5425</v>
      </c>
      <c r="B1327" t="s">
        <v>5704</v>
      </c>
      <c r="C1327" t="s">
        <v>5690</v>
      </c>
      <c r="D1327">
        <v>44439</v>
      </c>
      <c r="E1327">
        <v>8</v>
      </c>
      <c r="F1327">
        <v>8</v>
      </c>
      <c r="G1327">
        <v>8</v>
      </c>
    </row>
    <row r="1328" spans="1:7">
      <c r="A1328">
        <v>5880</v>
      </c>
      <c r="B1328" t="s">
        <v>5655</v>
      </c>
      <c r="C1328" t="s">
        <v>5645</v>
      </c>
      <c r="D1328">
        <v>44439</v>
      </c>
      <c r="E1328">
        <v>6</v>
      </c>
      <c r="F1328">
        <v>6</v>
      </c>
      <c r="G1328">
        <v>6</v>
      </c>
    </row>
    <row r="1329" spans="1:7">
      <c r="A1329">
        <v>2105</v>
      </c>
      <c r="B1329" t="s">
        <v>5671</v>
      </c>
      <c r="C1329" t="s">
        <v>5657</v>
      </c>
      <c r="D1329">
        <v>44439</v>
      </c>
      <c r="E1329">
        <v>10</v>
      </c>
      <c r="F1329">
        <v>10</v>
      </c>
      <c r="G1329">
        <v>10</v>
      </c>
    </row>
    <row r="1330" spans="1:7">
      <c r="A1330">
        <v>1304</v>
      </c>
      <c r="B1330" t="s">
        <v>6024</v>
      </c>
      <c r="C1330" t="s">
        <v>5771</v>
      </c>
      <c r="D1330">
        <v>44439</v>
      </c>
      <c r="E1330">
        <v>8</v>
      </c>
      <c r="F1330">
        <v>8</v>
      </c>
      <c r="G1330">
        <v>8</v>
      </c>
    </row>
    <row r="1331" spans="1:7">
      <c r="A1331">
        <v>2337</v>
      </c>
      <c r="B1331" t="s">
        <v>6013</v>
      </c>
      <c r="C1331" t="s">
        <v>5666</v>
      </c>
      <c r="D1331">
        <v>44439</v>
      </c>
      <c r="E1331">
        <v>6</v>
      </c>
      <c r="F1331">
        <v>6</v>
      </c>
      <c r="G1331">
        <v>6</v>
      </c>
    </row>
    <row r="1332" spans="1:7">
      <c r="A1332">
        <v>1308</v>
      </c>
      <c r="B1332" t="s">
        <v>5804</v>
      </c>
      <c r="C1332" t="s">
        <v>5771</v>
      </c>
      <c r="D1332">
        <v>44439</v>
      </c>
      <c r="E1332">
        <v>7</v>
      </c>
      <c r="F1332">
        <v>7</v>
      </c>
      <c r="G1332">
        <v>7</v>
      </c>
    </row>
    <row r="1333" spans="1:7">
      <c r="A1333">
        <v>3675</v>
      </c>
      <c r="B1333" t="s">
        <v>6105</v>
      </c>
      <c r="C1333" t="s">
        <v>5690</v>
      </c>
      <c r="D1333">
        <v>44439</v>
      </c>
      <c r="E1333">
        <v>6</v>
      </c>
      <c r="F1333">
        <v>6</v>
      </c>
      <c r="G1333">
        <v>6</v>
      </c>
    </row>
    <row r="1334" spans="1:7">
      <c r="A1334">
        <v>2376</v>
      </c>
      <c r="B1334" t="s">
        <v>5774</v>
      </c>
      <c r="C1334" t="s">
        <v>5649</v>
      </c>
      <c r="D1334">
        <v>44439</v>
      </c>
      <c r="E1334">
        <v>4</v>
      </c>
      <c r="F1334">
        <v>4</v>
      </c>
      <c r="G1334">
        <v>4</v>
      </c>
    </row>
    <row r="1335" spans="1:7">
      <c r="A1335">
        <v>8064</v>
      </c>
      <c r="B1335" t="s">
        <v>6150</v>
      </c>
      <c r="C1335" t="s">
        <v>5807</v>
      </c>
      <c r="D1335">
        <v>44439</v>
      </c>
      <c r="E1335">
        <v>3</v>
      </c>
      <c r="F1335">
        <v>3</v>
      </c>
      <c r="G1335">
        <v>3</v>
      </c>
    </row>
    <row r="1336" spans="1:7">
      <c r="A1336">
        <v>2379</v>
      </c>
      <c r="B1336" t="s">
        <v>5713</v>
      </c>
      <c r="C1336" t="s">
        <v>5666</v>
      </c>
      <c r="D1336">
        <v>44439</v>
      </c>
      <c r="E1336">
        <v>4</v>
      </c>
      <c r="F1336">
        <v>4</v>
      </c>
      <c r="G1336">
        <v>4</v>
      </c>
    </row>
    <row r="1337" spans="1:7">
      <c r="A1337">
        <v>2880</v>
      </c>
      <c r="B1337" t="s">
        <v>5878</v>
      </c>
      <c r="C1337" t="s">
        <v>5645</v>
      </c>
      <c r="D1337">
        <v>44439</v>
      </c>
      <c r="E1337">
        <v>10</v>
      </c>
      <c r="F1337">
        <v>10</v>
      </c>
      <c r="G1337">
        <v>10</v>
      </c>
    </row>
    <row r="1338" spans="1:7">
      <c r="A1338">
        <v>1301</v>
      </c>
      <c r="B1338" t="s">
        <v>5841</v>
      </c>
      <c r="C1338" t="s">
        <v>5771</v>
      </c>
      <c r="D1338">
        <v>44439</v>
      </c>
      <c r="E1338">
        <v>11</v>
      </c>
      <c r="F1338">
        <v>11</v>
      </c>
      <c r="G1338">
        <v>11</v>
      </c>
    </row>
    <row r="1339" spans="1:7">
      <c r="A1339">
        <v>2887</v>
      </c>
      <c r="B1339" t="s">
        <v>6014</v>
      </c>
      <c r="C1339" t="s">
        <v>5645</v>
      </c>
      <c r="D1339">
        <v>44439</v>
      </c>
      <c r="E1339">
        <v>5</v>
      </c>
      <c r="F1339">
        <v>5</v>
      </c>
      <c r="G1339">
        <v>5</v>
      </c>
    </row>
    <row r="1340" spans="1:7">
      <c r="A1340">
        <v>2458</v>
      </c>
      <c r="B1340" t="s">
        <v>5668</v>
      </c>
      <c r="C1340" t="s">
        <v>5666</v>
      </c>
      <c r="D1340">
        <v>44439</v>
      </c>
      <c r="E1340">
        <v>9</v>
      </c>
      <c r="F1340">
        <v>9</v>
      </c>
      <c r="G1340">
        <v>9</v>
      </c>
    </row>
    <row r="1341" spans="1:7">
      <c r="A1341">
        <v>9958</v>
      </c>
      <c r="B1341" t="s">
        <v>5783</v>
      </c>
      <c r="C1341" t="s">
        <v>5659</v>
      </c>
      <c r="D1341">
        <v>44439</v>
      </c>
      <c r="E1341">
        <v>9</v>
      </c>
      <c r="F1341">
        <v>9</v>
      </c>
      <c r="G1341">
        <v>9</v>
      </c>
    </row>
    <row r="1342" spans="1:7">
      <c r="A1342">
        <v>2534</v>
      </c>
      <c r="B1342" t="s">
        <v>5747</v>
      </c>
      <c r="C1342" t="s">
        <v>5651</v>
      </c>
      <c r="D1342">
        <v>44439</v>
      </c>
      <c r="E1342">
        <v>4</v>
      </c>
      <c r="F1342">
        <v>4</v>
      </c>
      <c r="G1342">
        <v>4</v>
      </c>
    </row>
    <row r="1343" spans="1:7">
      <c r="A1343">
        <v>3701</v>
      </c>
      <c r="B1343" t="s">
        <v>5904</v>
      </c>
      <c r="C1343" t="s">
        <v>5649</v>
      </c>
      <c r="D1343">
        <v>44439</v>
      </c>
      <c r="E1343">
        <v>4</v>
      </c>
      <c r="F1343">
        <v>4</v>
      </c>
      <c r="G1343">
        <v>4</v>
      </c>
    </row>
    <row r="1344" spans="1:7">
      <c r="A1344">
        <v>1305</v>
      </c>
      <c r="B1344" t="s">
        <v>5770</v>
      </c>
      <c r="C1344" t="s">
        <v>5771</v>
      </c>
      <c r="D1344">
        <v>44439</v>
      </c>
      <c r="E1344">
        <v>7</v>
      </c>
      <c r="F1344">
        <v>7</v>
      </c>
      <c r="G1344">
        <v>7</v>
      </c>
    </row>
    <row r="1345" spans="1:7">
      <c r="A1345">
        <v>4938</v>
      </c>
      <c r="B1345" t="s">
        <v>5782</v>
      </c>
      <c r="C1345" t="s">
        <v>5649</v>
      </c>
      <c r="D1345">
        <v>44439</v>
      </c>
      <c r="E1345">
        <v>6</v>
      </c>
      <c r="F1345">
        <v>6</v>
      </c>
      <c r="G1345">
        <v>6</v>
      </c>
    </row>
    <row r="1346" spans="1:7">
      <c r="A1346">
        <v>2515</v>
      </c>
      <c r="B1346" t="s">
        <v>6095</v>
      </c>
      <c r="C1346" t="s">
        <v>5651</v>
      </c>
      <c r="D1346">
        <v>44439</v>
      </c>
      <c r="E1346">
        <v>10</v>
      </c>
      <c r="F1346">
        <v>10</v>
      </c>
      <c r="G1346">
        <v>10</v>
      </c>
    </row>
    <row r="1347" spans="1:7">
      <c r="A1347">
        <v>2597</v>
      </c>
      <c r="B1347" t="s">
        <v>6169</v>
      </c>
      <c r="C1347" t="s">
        <v>5651</v>
      </c>
      <c r="D1347">
        <v>44439</v>
      </c>
      <c r="E1347">
        <v>1</v>
      </c>
      <c r="F1347">
        <v>1</v>
      </c>
      <c r="G1347">
        <v>1</v>
      </c>
    </row>
    <row r="1348" spans="1:7">
      <c r="A1348">
        <v>3011</v>
      </c>
      <c r="B1348" t="s">
        <v>6005</v>
      </c>
      <c r="C1348" t="s">
        <v>5675</v>
      </c>
      <c r="D1348">
        <v>44439</v>
      </c>
      <c r="E1348">
        <v>5</v>
      </c>
      <c r="F1348">
        <v>5</v>
      </c>
      <c r="G1348">
        <v>5</v>
      </c>
    </row>
    <row r="1349" spans="1:7">
      <c r="A1349">
        <v>6239</v>
      </c>
      <c r="B1349" t="s">
        <v>6170</v>
      </c>
      <c r="C1349" t="s">
        <v>5666</v>
      </c>
      <c r="D1349">
        <v>44439</v>
      </c>
      <c r="E1349">
        <v>3</v>
      </c>
      <c r="F1349">
        <v>3</v>
      </c>
      <c r="G1349">
        <v>3</v>
      </c>
    </row>
    <row r="1350" spans="1:7">
      <c r="A1350">
        <v>2006</v>
      </c>
      <c r="B1350" t="s">
        <v>5843</v>
      </c>
      <c r="C1350" t="s">
        <v>5659</v>
      </c>
      <c r="D1350">
        <v>44439</v>
      </c>
      <c r="E1350">
        <v>7</v>
      </c>
      <c r="F1350">
        <v>7</v>
      </c>
      <c r="G1350">
        <v>7</v>
      </c>
    </row>
    <row r="1351" spans="1:7">
      <c r="A1351">
        <v>2049</v>
      </c>
      <c r="B1351" t="s">
        <v>5697</v>
      </c>
      <c r="C1351" t="s">
        <v>5670</v>
      </c>
      <c r="D1351">
        <v>44439</v>
      </c>
      <c r="E1351">
        <v>3</v>
      </c>
      <c r="F1351">
        <v>3</v>
      </c>
      <c r="G1351">
        <v>3</v>
      </c>
    </row>
    <row r="1352" spans="1:7">
      <c r="A1352">
        <v>1402</v>
      </c>
      <c r="B1352" t="s">
        <v>5851</v>
      </c>
      <c r="C1352" t="s">
        <v>5706</v>
      </c>
      <c r="D1352">
        <v>44439</v>
      </c>
      <c r="E1352">
        <v>10</v>
      </c>
      <c r="F1352">
        <v>10</v>
      </c>
      <c r="G1352">
        <v>10</v>
      </c>
    </row>
    <row r="1353" spans="1:7">
      <c r="A1353">
        <v>6226</v>
      </c>
      <c r="B1353" t="s">
        <v>5789</v>
      </c>
      <c r="C1353" t="s">
        <v>5661</v>
      </c>
      <c r="D1353">
        <v>44439</v>
      </c>
      <c r="E1353">
        <v>3</v>
      </c>
      <c r="F1353">
        <v>3</v>
      </c>
      <c r="G1353">
        <v>3</v>
      </c>
    </row>
    <row r="1354" spans="1:7">
      <c r="A1354">
        <v>8249</v>
      </c>
      <c r="B1354" t="s">
        <v>6085</v>
      </c>
      <c r="C1354" t="s">
        <v>5675</v>
      </c>
      <c r="D1354">
        <v>44439</v>
      </c>
      <c r="E1354">
        <v>8</v>
      </c>
      <c r="F1354">
        <v>8</v>
      </c>
      <c r="G1354">
        <v>8</v>
      </c>
    </row>
    <row r="1355" spans="1:7">
      <c r="A1355">
        <v>2461</v>
      </c>
      <c r="B1355" t="s">
        <v>6153</v>
      </c>
      <c r="C1355" t="s">
        <v>5692</v>
      </c>
      <c r="D1355">
        <v>44439</v>
      </c>
      <c r="E1355">
        <v>4</v>
      </c>
      <c r="F1355">
        <v>4</v>
      </c>
      <c r="G1355">
        <v>4</v>
      </c>
    </row>
    <row r="1356" spans="1:7">
      <c r="A1356">
        <v>9945</v>
      </c>
      <c r="B1356" t="s">
        <v>6171</v>
      </c>
      <c r="C1356" t="s">
        <v>5664</v>
      </c>
      <c r="D1356">
        <v>44439</v>
      </c>
      <c r="E1356">
        <v>3</v>
      </c>
      <c r="F1356">
        <v>3</v>
      </c>
      <c r="G1356">
        <v>3</v>
      </c>
    </row>
    <row r="1357" spans="1:7">
      <c r="A1357">
        <v>3588</v>
      </c>
      <c r="B1357" t="s">
        <v>5950</v>
      </c>
      <c r="C1357" t="s">
        <v>5666</v>
      </c>
      <c r="D1357">
        <v>44439</v>
      </c>
      <c r="E1357">
        <v>3</v>
      </c>
      <c r="F1357">
        <v>3</v>
      </c>
      <c r="G1357">
        <v>3</v>
      </c>
    </row>
    <row r="1358" spans="1:7">
      <c r="A1358">
        <v>2354</v>
      </c>
      <c r="B1358" t="s">
        <v>5691</v>
      </c>
      <c r="C1358" t="s">
        <v>5692</v>
      </c>
      <c r="D1358">
        <v>44439</v>
      </c>
      <c r="E1358">
        <v>4</v>
      </c>
      <c r="F1358">
        <v>4</v>
      </c>
      <c r="G1358">
        <v>4</v>
      </c>
    </row>
    <row r="1359" spans="1:7">
      <c r="A1359">
        <v>6505</v>
      </c>
      <c r="B1359" t="s">
        <v>5942</v>
      </c>
      <c r="C1359" t="s">
        <v>5943</v>
      </c>
      <c r="D1359">
        <v>44439</v>
      </c>
      <c r="E1359">
        <v>10</v>
      </c>
      <c r="F1359">
        <v>10</v>
      </c>
      <c r="G1359">
        <v>10</v>
      </c>
    </row>
    <row r="1360" spans="1:7">
      <c r="A1360">
        <v>4904</v>
      </c>
      <c r="B1360" t="s">
        <v>5654</v>
      </c>
      <c r="C1360" t="s">
        <v>5653</v>
      </c>
      <c r="D1360">
        <v>44439</v>
      </c>
      <c r="E1360">
        <v>15</v>
      </c>
      <c r="F1360">
        <v>15</v>
      </c>
      <c r="G1360">
        <v>15</v>
      </c>
    </row>
    <row r="1361" spans="1:7">
      <c r="A1361">
        <v>2009</v>
      </c>
      <c r="B1361" t="s">
        <v>5986</v>
      </c>
      <c r="C1361" t="s">
        <v>5659</v>
      </c>
      <c r="D1361">
        <v>44439</v>
      </c>
      <c r="E1361">
        <v>9</v>
      </c>
      <c r="F1361">
        <v>9</v>
      </c>
      <c r="G1361">
        <v>9</v>
      </c>
    </row>
    <row r="1362" spans="1:7">
      <c r="A1362">
        <v>4950</v>
      </c>
      <c r="B1362" t="s">
        <v>6172</v>
      </c>
      <c r="C1362" t="s">
        <v>5985</v>
      </c>
      <c r="D1362">
        <v>44439</v>
      </c>
      <c r="E1362">
        <v>1</v>
      </c>
      <c r="F1362">
        <v>1</v>
      </c>
      <c r="G1362">
        <v>1</v>
      </c>
    </row>
    <row r="1363" spans="1:7">
      <c r="A1363">
        <v>5383</v>
      </c>
      <c r="B1363" t="s">
        <v>6173</v>
      </c>
      <c r="C1363" t="s">
        <v>5800</v>
      </c>
      <c r="D1363">
        <v>44439</v>
      </c>
      <c r="E1363">
        <v>1</v>
      </c>
      <c r="F1363">
        <v>1</v>
      </c>
      <c r="G1363">
        <v>1</v>
      </c>
    </row>
    <row r="1364" spans="1:7">
      <c r="A1364">
        <v>1785</v>
      </c>
      <c r="B1364" t="s">
        <v>5799</v>
      </c>
      <c r="C1364" t="s">
        <v>5800</v>
      </c>
      <c r="D1364">
        <v>44439</v>
      </c>
      <c r="E1364">
        <v>7</v>
      </c>
      <c r="F1364">
        <v>7</v>
      </c>
      <c r="G1364">
        <v>7</v>
      </c>
    </row>
    <row r="1365" spans="1:7">
      <c r="A1365">
        <v>4743</v>
      </c>
      <c r="B1365" t="s">
        <v>6030</v>
      </c>
      <c r="C1365" t="s">
        <v>5867</v>
      </c>
      <c r="D1365">
        <v>44439</v>
      </c>
      <c r="E1365">
        <v>4</v>
      </c>
      <c r="F1365">
        <v>4</v>
      </c>
      <c r="G1365">
        <v>4</v>
      </c>
    </row>
    <row r="1366" spans="1:7">
      <c r="A1366">
        <v>3141</v>
      </c>
      <c r="B1366" t="s">
        <v>5960</v>
      </c>
      <c r="C1366" t="s">
        <v>5690</v>
      </c>
      <c r="D1366">
        <v>44439</v>
      </c>
      <c r="E1366">
        <v>4</v>
      </c>
      <c r="F1366">
        <v>4</v>
      </c>
      <c r="G1366">
        <v>4</v>
      </c>
    </row>
    <row r="1367" spans="1:7">
      <c r="A1367">
        <v>2882</v>
      </c>
      <c r="B1367" t="s">
        <v>5834</v>
      </c>
      <c r="C1367" t="s">
        <v>5645</v>
      </c>
      <c r="D1367">
        <v>44439</v>
      </c>
      <c r="E1367">
        <v>9</v>
      </c>
      <c r="F1367">
        <v>9</v>
      </c>
      <c r="G1367">
        <v>9</v>
      </c>
    </row>
    <row r="1368" spans="1:7">
      <c r="A1368">
        <v>6177</v>
      </c>
      <c r="B1368" t="s">
        <v>6174</v>
      </c>
      <c r="C1368" t="s">
        <v>5651</v>
      </c>
      <c r="D1368">
        <v>44439</v>
      </c>
      <c r="E1368">
        <v>1</v>
      </c>
      <c r="F1368">
        <v>1</v>
      </c>
      <c r="G1368">
        <v>1</v>
      </c>
    </row>
    <row r="1369" spans="1:7">
      <c r="A1369">
        <v>5471</v>
      </c>
      <c r="B1369" t="s">
        <v>6136</v>
      </c>
      <c r="C1369" t="s">
        <v>5666</v>
      </c>
      <c r="D1369">
        <v>44439</v>
      </c>
      <c r="E1369">
        <v>3</v>
      </c>
      <c r="F1369">
        <v>3</v>
      </c>
      <c r="G1369">
        <v>3</v>
      </c>
    </row>
    <row r="1370" spans="1:7">
      <c r="A1370">
        <v>2069</v>
      </c>
      <c r="B1370" t="s">
        <v>6047</v>
      </c>
      <c r="C1370" t="s">
        <v>5659</v>
      </c>
      <c r="D1370">
        <v>44439</v>
      </c>
      <c r="E1370">
        <v>5</v>
      </c>
      <c r="F1370">
        <v>5</v>
      </c>
      <c r="G1370">
        <v>5</v>
      </c>
    </row>
    <row r="1371" spans="1:7">
      <c r="A1371">
        <v>1310</v>
      </c>
      <c r="B1371" t="s">
        <v>5801</v>
      </c>
      <c r="C1371" t="s">
        <v>5771</v>
      </c>
      <c r="D1371">
        <v>44439</v>
      </c>
      <c r="E1371">
        <v>8</v>
      </c>
      <c r="F1371">
        <v>8</v>
      </c>
      <c r="G1371">
        <v>8</v>
      </c>
    </row>
    <row r="1372" spans="1:7">
      <c r="A1372">
        <v>2369</v>
      </c>
      <c r="B1372" t="s">
        <v>5778</v>
      </c>
      <c r="C1372" t="s">
        <v>5666</v>
      </c>
      <c r="D1372">
        <v>44439</v>
      </c>
      <c r="E1372">
        <v>8</v>
      </c>
      <c r="F1372">
        <v>8</v>
      </c>
      <c r="G1372">
        <v>8</v>
      </c>
    </row>
    <row r="1373" spans="1:7">
      <c r="A1373">
        <v>8112</v>
      </c>
      <c r="B1373" t="s">
        <v>6029</v>
      </c>
      <c r="C1373" t="s">
        <v>5687</v>
      </c>
      <c r="D1373">
        <v>44439</v>
      </c>
      <c r="E1373">
        <v>6</v>
      </c>
      <c r="F1373">
        <v>6</v>
      </c>
      <c r="G1373">
        <v>6</v>
      </c>
    </row>
    <row r="1374" spans="1:7">
      <c r="A1374">
        <v>9904</v>
      </c>
      <c r="B1374" t="s">
        <v>5855</v>
      </c>
      <c r="C1374" t="s">
        <v>5664</v>
      </c>
      <c r="D1374">
        <v>44439</v>
      </c>
      <c r="E1374">
        <v>11</v>
      </c>
      <c r="F1374">
        <v>11</v>
      </c>
      <c r="G1374">
        <v>11</v>
      </c>
    </row>
    <row r="1375" spans="1:7">
      <c r="A1375">
        <v>6202</v>
      </c>
      <c r="B1375" t="s">
        <v>5673</v>
      </c>
      <c r="C1375" t="s">
        <v>5666</v>
      </c>
      <c r="D1375">
        <v>44439</v>
      </c>
      <c r="E1375">
        <v>6</v>
      </c>
      <c r="F1375">
        <v>6</v>
      </c>
      <c r="G1375">
        <v>6</v>
      </c>
    </row>
    <row r="1376" spans="1:7">
      <c r="A1376">
        <v>4306</v>
      </c>
      <c r="B1376" t="s">
        <v>6175</v>
      </c>
      <c r="C1376" t="s">
        <v>5771</v>
      </c>
      <c r="D1376">
        <v>44439</v>
      </c>
      <c r="E1376">
        <v>3</v>
      </c>
      <c r="F1376">
        <v>3</v>
      </c>
      <c r="G1376">
        <v>3</v>
      </c>
    </row>
    <row r="1377" spans="1:7">
      <c r="A1377">
        <v>2103</v>
      </c>
      <c r="B1377" t="s">
        <v>5788</v>
      </c>
      <c r="C1377" t="s">
        <v>5657</v>
      </c>
      <c r="D1377">
        <v>44439</v>
      </c>
      <c r="E1377">
        <v>5</v>
      </c>
      <c r="F1377">
        <v>5</v>
      </c>
      <c r="G1377">
        <v>5</v>
      </c>
    </row>
    <row r="1378" spans="1:7">
      <c r="A1378">
        <v>1722</v>
      </c>
      <c r="B1378" t="s">
        <v>5882</v>
      </c>
      <c r="C1378" t="s">
        <v>5733</v>
      </c>
      <c r="D1378">
        <v>44439</v>
      </c>
      <c r="E1378">
        <v>9</v>
      </c>
      <c r="F1378">
        <v>9</v>
      </c>
      <c r="G1378">
        <v>9</v>
      </c>
    </row>
    <row r="1379" spans="1:7">
      <c r="A1379">
        <v>4564</v>
      </c>
      <c r="B1379" t="s">
        <v>6176</v>
      </c>
      <c r="C1379" t="s">
        <v>5670</v>
      </c>
      <c r="D1379">
        <v>44439</v>
      </c>
      <c r="E1379">
        <v>1</v>
      </c>
      <c r="F1379">
        <v>1</v>
      </c>
      <c r="G1379">
        <v>1</v>
      </c>
    </row>
    <row r="1380" spans="1:7">
      <c r="A1380">
        <v>3711</v>
      </c>
      <c r="B1380" t="s">
        <v>5714</v>
      </c>
      <c r="C1380" t="s">
        <v>5666</v>
      </c>
      <c r="D1380">
        <v>44439</v>
      </c>
      <c r="E1380">
        <v>4</v>
      </c>
      <c r="F1380">
        <v>4</v>
      </c>
      <c r="G1380">
        <v>4</v>
      </c>
    </row>
    <row r="1381" spans="1:7">
      <c r="A1381">
        <v>2472</v>
      </c>
      <c r="B1381" t="s">
        <v>6157</v>
      </c>
      <c r="C1381" t="s">
        <v>5675</v>
      </c>
      <c r="D1381">
        <v>44439</v>
      </c>
      <c r="E1381">
        <v>4</v>
      </c>
      <c r="F1381">
        <v>4</v>
      </c>
      <c r="G1381">
        <v>4</v>
      </c>
    </row>
    <row r="1382" spans="1:7">
      <c r="A1382">
        <v>6269</v>
      </c>
      <c r="B1382" t="s">
        <v>5717</v>
      </c>
      <c r="C1382" t="s">
        <v>5675</v>
      </c>
      <c r="D1382">
        <v>44439</v>
      </c>
      <c r="E1382">
        <v>9</v>
      </c>
      <c r="F1382">
        <v>9</v>
      </c>
      <c r="G1382">
        <v>9</v>
      </c>
    </row>
    <row r="1383" spans="1:7">
      <c r="A1383">
        <v>1608</v>
      </c>
      <c r="B1383" t="s">
        <v>5979</v>
      </c>
      <c r="C1383" t="s">
        <v>5858</v>
      </c>
      <c r="D1383">
        <v>44439</v>
      </c>
      <c r="E1383">
        <v>7</v>
      </c>
      <c r="F1383">
        <v>7</v>
      </c>
      <c r="G1383">
        <v>7</v>
      </c>
    </row>
    <row r="1384" spans="1:7">
      <c r="A1384">
        <v>3706</v>
      </c>
      <c r="B1384" t="s">
        <v>5889</v>
      </c>
      <c r="C1384" t="s">
        <v>5649</v>
      </c>
      <c r="D1384">
        <v>44439</v>
      </c>
      <c r="E1384">
        <v>12</v>
      </c>
      <c r="F1384">
        <v>12</v>
      </c>
      <c r="G1384">
        <v>12</v>
      </c>
    </row>
    <row r="1385" spans="1:7">
      <c r="A1385">
        <v>5607</v>
      </c>
      <c r="B1385" t="s">
        <v>6152</v>
      </c>
      <c r="C1385" t="s">
        <v>5679</v>
      </c>
      <c r="D1385">
        <v>44439</v>
      </c>
      <c r="E1385">
        <v>2</v>
      </c>
      <c r="F1385">
        <v>2</v>
      </c>
      <c r="G1385">
        <v>2</v>
      </c>
    </row>
    <row r="1386" spans="1:7">
      <c r="A1386">
        <v>5820</v>
      </c>
      <c r="B1386" t="s">
        <v>5797</v>
      </c>
      <c r="C1386" t="s">
        <v>5798</v>
      </c>
      <c r="D1386">
        <v>44439</v>
      </c>
      <c r="E1386">
        <v>8</v>
      </c>
      <c r="F1386">
        <v>8</v>
      </c>
      <c r="G1386">
        <v>8</v>
      </c>
    </row>
    <row r="1387" spans="1:7">
      <c r="A1387">
        <v>3207</v>
      </c>
      <c r="B1387" t="s">
        <v>6104</v>
      </c>
      <c r="C1387" t="s">
        <v>5791</v>
      </c>
      <c r="D1387">
        <v>44439</v>
      </c>
      <c r="E1387">
        <v>4</v>
      </c>
      <c r="F1387">
        <v>4</v>
      </c>
      <c r="G1387">
        <v>4</v>
      </c>
    </row>
    <row r="1388" spans="1:7">
      <c r="A1388">
        <v>2208</v>
      </c>
      <c r="B1388" t="s">
        <v>5716</v>
      </c>
      <c r="C1388" t="s">
        <v>5679</v>
      </c>
      <c r="D1388">
        <v>44439</v>
      </c>
      <c r="E1388">
        <v>8</v>
      </c>
      <c r="F1388">
        <v>8</v>
      </c>
      <c r="G1388">
        <v>8</v>
      </c>
    </row>
    <row r="1389" spans="1:7">
      <c r="A1389">
        <v>1710</v>
      </c>
      <c r="B1389" t="s">
        <v>5784</v>
      </c>
      <c r="C1389" t="s">
        <v>5733</v>
      </c>
      <c r="D1389">
        <v>44439</v>
      </c>
      <c r="E1389">
        <v>7</v>
      </c>
      <c r="F1389">
        <v>7</v>
      </c>
      <c r="G1389">
        <v>7</v>
      </c>
    </row>
    <row r="1390" spans="1:7">
      <c r="A1390">
        <v>2010</v>
      </c>
      <c r="B1390" t="s">
        <v>5658</v>
      </c>
      <c r="C1390" t="s">
        <v>5659</v>
      </c>
      <c r="D1390">
        <v>44439</v>
      </c>
      <c r="E1390">
        <v>8</v>
      </c>
      <c r="F1390">
        <v>8</v>
      </c>
      <c r="G1390">
        <v>8</v>
      </c>
    </row>
    <row r="1391" spans="1:7">
      <c r="A1391">
        <v>1609</v>
      </c>
      <c r="B1391" t="s">
        <v>5980</v>
      </c>
      <c r="C1391" t="s">
        <v>5858</v>
      </c>
      <c r="D1391">
        <v>44439</v>
      </c>
      <c r="E1391">
        <v>9</v>
      </c>
      <c r="F1391">
        <v>9</v>
      </c>
      <c r="G1391">
        <v>9</v>
      </c>
    </row>
    <row r="1392" spans="1:7">
      <c r="A1392">
        <v>2408</v>
      </c>
      <c r="B1392" t="s">
        <v>6009</v>
      </c>
      <c r="C1392" t="s">
        <v>5666</v>
      </c>
      <c r="D1392">
        <v>44439</v>
      </c>
      <c r="E1392">
        <v>8</v>
      </c>
      <c r="F1392">
        <v>8</v>
      </c>
      <c r="G1392">
        <v>8</v>
      </c>
    </row>
    <row r="1393" spans="1:7">
      <c r="A1393">
        <v>2329</v>
      </c>
      <c r="B1393" t="s">
        <v>5962</v>
      </c>
      <c r="C1393" t="s">
        <v>5666</v>
      </c>
      <c r="D1393">
        <v>44439</v>
      </c>
      <c r="E1393">
        <v>3</v>
      </c>
      <c r="F1393">
        <v>3</v>
      </c>
      <c r="G1393">
        <v>3</v>
      </c>
    </row>
    <row r="1394" spans="1:7">
      <c r="A1394">
        <v>2377</v>
      </c>
      <c r="B1394" t="s">
        <v>5688</v>
      </c>
      <c r="C1394" t="s">
        <v>5649</v>
      </c>
      <c r="D1394">
        <v>44439</v>
      </c>
      <c r="E1394">
        <v>7</v>
      </c>
      <c r="F1394">
        <v>7</v>
      </c>
      <c r="G1394">
        <v>7</v>
      </c>
    </row>
    <row r="1395" spans="1:7">
      <c r="A1395">
        <v>1717</v>
      </c>
      <c r="B1395" t="s">
        <v>5805</v>
      </c>
      <c r="C1395" t="s">
        <v>5733</v>
      </c>
      <c r="D1395">
        <v>44439</v>
      </c>
      <c r="E1395">
        <v>8</v>
      </c>
      <c r="F1395">
        <v>8</v>
      </c>
      <c r="G1395">
        <v>8</v>
      </c>
    </row>
    <row r="1396" spans="1:7">
      <c r="A1396">
        <v>1309</v>
      </c>
      <c r="B1396" t="s">
        <v>6177</v>
      </c>
      <c r="C1396" t="s">
        <v>5771</v>
      </c>
      <c r="D1396">
        <v>44439</v>
      </c>
      <c r="E1396">
        <v>3</v>
      </c>
      <c r="F1396">
        <v>3</v>
      </c>
      <c r="G1396">
        <v>3</v>
      </c>
    </row>
    <row r="1397" spans="1:7">
      <c r="A1397">
        <v>4142</v>
      </c>
      <c r="B1397" t="s">
        <v>6087</v>
      </c>
      <c r="C1397" t="s">
        <v>5729</v>
      </c>
      <c r="D1397">
        <v>44439</v>
      </c>
      <c r="E1397">
        <v>8</v>
      </c>
      <c r="F1397">
        <v>8</v>
      </c>
      <c r="G1397">
        <v>8</v>
      </c>
    </row>
    <row r="1398" spans="1:7">
      <c r="A1398">
        <v>2401</v>
      </c>
      <c r="B1398" t="s">
        <v>5751</v>
      </c>
      <c r="C1398" t="s">
        <v>5666</v>
      </c>
      <c r="D1398">
        <v>44439</v>
      </c>
      <c r="E1398">
        <v>3</v>
      </c>
      <c r="F1398">
        <v>3</v>
      </c>
      <c r="G1398">
        <v>3</v>
      </c>
    </row>
    <row r="1399" spans="1:7">
      <c r="A1399">
        <v>2034</v>
      </c>
      <c r="B1399" t="s">
        <v>5861</v>
      </c>
      <c r="C1399" t="s">
        <v>5659</v>
      </c>
      <c r="D1399">
        <v>44439</v>
      </c>
      <c r="E1399">
        <v>5</v>
      </c>
      <c r="F1399">
        <v>5</v>
      </c>
      <c r="G1399">
        <v>5</v>
      </c>
    </row>
    <row r="1400" spans="1:7">
      <c r="A1400">
        <v>1513</v>
      </c>
      <c r="B1400" t="s">
        <v>6178</v>
      </c>
      <c r="C1400" t="s">
        <v>5670</v>
      </c>
      <c r="D1400">
        <v>44439</v>
      </c>
      <c r="E1400">
        <v>4</v>
      </c>
      <c r="F1400">
        <v>4</v>
      </c>
      <c r="G1400">
        <v>4</v>
      </c>
    </row>
    <row r="1401" spans="1:7">
      <c r="A1401">
        <v>2511</v>
      </c>
      <c r="B1401" t="s">
        <v>6041</v>
      </c>
      <c r="C1401" t="s">
        <v>5651</v>
      </c>
      <c r="D1401">
        <v>44439</v>
      </c>
      <c r="E1401">
        <v>3</v>
      </c>
      <c r="F1401">
        <v>3</v>
      </c>
      <c r="G1401">
        <v>3</v>
      </c>
    </row>
    <row r="1402" spans="1:7">
      <c r="A1402">
        <v>5820</v>
      </c>
      <c r="B1402" t="s">
        <v>5797</v>
      </c>
      <c r="C1402" t="s">
        <v>5798</v>
      </c>
      <c r="D1402">
        <v>44438</v>
      </c>
      <c r="E1402">
        <v>8</v>
      </c>
      <c r="F1402">
        <v>8</v>
      </c>
      <c r="G1402">
        <v>8</v>
      </c>
    </row>
    <row r="1403" spans="1:7">
      <c r="A1403">
        <v>6469</v>
      </c>
      <c r="B1403" t="s">
        <v>6179</v>
      </c>
      <c r="C1403" t="s">
        <v>5867</v>
      </c>
      <c r="D1403">
        <v>44438</v>
      </c>
      <c r="E1403">
        <v>1</v>
      </c>
      <c r="F1403">
        <v>1</v>
      </c>
      <c r="G1403">
        <v>1</v>
      </c>
    </row>
    <row r="1404" spans="1:7">
      <c r="A1404">
        <v>2337</v>
      </c>
      <c r="B1404" t="s">
        <v>6013</v>
      </c>
      <c r="C1404" t="s">
        <v>5666</v>
      </c>
      <c r="D1404">
        <v>44438</v>
      </c>
      <c r="E1404">
        <v>6</v>
      </c>
      <c r="F1404">
        <v>6</v>
      </c>
      <c r="G1404">
        <v>6</v>
      </c>
    </row>
    <row r="1405" spans="1:7">
      <c r="A1405">
        <v>2412</v>
      </c>
      <c r="B1405" t="s">
        <v>5652</v>
      </c>
      <c r="C1405" t="s">
        <v>5653</v>
      </c>
      <c r="D1405">
        <v>44438</v>
      </c>
      <c r="E1405">
        <v>5</v>
      </c>
      <c r="F1405">
        <v>5</v>
      </c>
      <c r="G1405">
        <v>5</v>
      </c>
    </row>
    <row r="1406" spans="1:7">
      <c r="A1406">
        <v>911616</v>
      </c>
      <c r="B1406" t="s">
        <v>6180</v>
      </c>
      <c r="C1406" t="s">
        <v>5865</v>
      </c>
      <c r="D1406">
        <v>44438</v>
      </c>
      <c r="E1406">
        <v>6</v>
      </c>
      <c r="F1406">
        <v>6</v>
      </c>
      <c r="G1406">
        <v>6</v>
      </c>
    </row>
    <row r="1407" spans="1:7">
      <c r="A1407">
        <v>2809</v>
      </c>
      <c r="B1407" t="s">
        <v>5810</v>
      </c>
      <c r="C1407" t="s">
        <v>5645</v>
      </c>
      <c r="D1407">
        <v>44438</v>
      </c>
      <c r="E1407">
        <v>15</v>
      </c>
      <c r="F1407">
        <v>15</v>
      </c>
      <c r="G1407">
        <v>15</v>
      </c>
    </row>
    <row r="1408" spans="1:7">
      <c r="A1408">
        <v>2408</v>
      </c>
      <c r="B1408" t="s">
        <v>6009</v>
      </c>
      <c r="C1408" t="s">
        <v>5666</v>
      </c>
      <c r="D1408">
        <v>44438</v>
      </c>
      <c r="E1408">
        <v>8</v>
      </c>
      <c r="F1408">
        <v>8</v>
      </c>
      <c r="G1408">
        <v>8</v>
      </c>
    </row>
    <row r="1409" spans="1:7">
      <c r="A1409">
        <v>4503</v>
      </c>
      <c r="B1409" t="s">
        <v>6181</v>
      </c>
      <c r="C1409" t="s">
        <v>5921</v>
      </c>
      <c r="D1409">
        <v>44438</v>
      </c>
      <c r="E1409">
        <v>1</v>
      </c>
      <c r="F1409">
        <v>1</v>
      </c>
      <c r="G1409">
        <v>1</v>
      </c>
    </row>
    <row r="1410" spans="1:7">
      <c r="A1410">
        <v>2515</v>
      </c>
      <c r="B1410" t="s">
        <v>6095</v>
      </c>
      <c r="C1410" t="s">
        <v>5651</v>
      </c>
      <c r="D1410">
        <v>44438</v>
      </c>
      <c r="E1410">
        <v>10</v>
      </c>
      <c r="F1410">
        <v>10</v>
      </c>
      <c r="G1410">
        <v>10</v>
      </c>
    </row>
    <row r="1411" spans="1:7">
      <c r="A1411">
        <v>2504</v>
      </c>
      <c r="B1411" t="s">
        <v>5708</v>
      </c>
      <c r="C1411" t="s">
        <v>5651</v>
      </c>
      <c r="D1411">
        <v>44438</v>
      </c>
      <c r="E1411">
        <v>8</v>
      </c>
      <c r="F1411">
        <v>8</v>
      </c>
      <c r="G1411">
        <v>8</v>
      </c>
    </row>
    <row r="1412" spans="1:7">
      <c r="A1412">
        <v>2458</v>
      </c>
      <c r="B1412" t="s">
        <v>5668</v>
      </c>
      <c r="C1412" t="s">
        <v>5666</v>
      </c>
      <c r="D1412">
        <v>44438</v>
      </c>
      <c r="E1412">
        <v>9</v>
      </c>
      <c r="F1412">
        <v>9</v>
      </c>
      <c r="G1412">
        <v>9</v>
      </c>
    </row>
    <row r="1413" spans="1:7">
      <c r="A1413">
        <v>2836</v>
      </c>
      <c r="B1413" t="s">
        <v>6182</v>
      </c>
      <c r="C1413" t="s">
        <v>5645</v>
      </c>
      <c r="D1413">
        <v>44438</v>
      </c>
      <c r="E1413">
        <v>1</v>
      </c>
      <c r="F1413">
        <v>1</v>
      </c>
      <c r="G1413">
        <v>1</v>
      </c>
    </row>
    <row r="1414" spans="1:7">
      <c r="A1414">
        <v>3706</v>
      </c>
      <c r="B1414" t="s">
        <v>5889</v>
      </c>
      <c r="C1414" t="s">
        <v>5649</v>
      </c>
      <c r="D1414">
        <v>44438</v>
      </c>
      <c r="E1414">
        <v>12</v>
      </c>
      <c r="F1414">
        <v>12</v>
      </c>
      <c r="G1414">
        <v>12</v>
      </c>
    </row>
    <row r="1415" spans="1:7">
      <c r="A1415">
        <v>3702</v>
      </c>
      <c r="B1415" t="s">
        <v>5686</v>
      </c>
      <c r="C1415" t="s">
        <v>5687</v>
      </c>
      <c r="D1415">
        <v>44438</v>
      </c>
      <c r="E1415">
        <v>16</v>
      </c>
      <c r="F1415">
        <v>16</v>
      </c>
      <c r="G1415">
        <v>16</v>
      </c>
    </row>
    <row r="1416" spans="1:7">
      <c r="A1416">
        <v>2007</v>
      </c>
      <c r="B1416" t="s">
        <v>5912</v>
      </c>
      <c r="C1416" t="s">
        <v>5659</v>
      </c>
      <c r="D1416">
        <v>44438</v>
      </c>
      <c r="E1416">
        <v>3</v>
      </c>
      <c r="F1416">
        <v>3</v>
      </c>
      <c r="G1416">
        <v>3</v>
      </c>
    </row>
    <row r="1417" spans="1:7">
      <c r="A1417">
        <v>2820</v>
      </c>
      <c r="B1417" t="s">
        <v>5787</v>
      </c>
      <c r="C1417" t="s">
        <v>5645</v>
      </c>
      <c r="D1417">
        <v>44438</v>
      </c>
      <c r="E1417">
        <v>4</v>
      </c>
      <c r="F1417">
        <v>4</v>
      </c>
      <c r="G1417">
        <v>4</v>
      </c>
    </row>
    <row r="1418" spans="1:7">
      <c r="A1418">
        <v>5521</v>
      </c>
      <c r="B1418" t="s">
        <v>6028</v>
      </c>
      <c r="C1418" t="s">
        <v>5651</v>
      </c>
      <c r="D1418">
        <v>44438</v>
      </c>
      <c r="E1418">
        <v>4</v>
      </c>
      <c r="F1418">
        <v>4</v>
      </c>
      <c r="G1418">
        <v>4</v>
      </c>
    </row>
    <row r="1419" spans="1:7">
      <c r="A1419">
        <v>9105</v>
      </c>
      <c r="B1419" t="s">
        <v>6015</v>
      </c>
      <c r="C1419" t="s">
        <v>5865</v>
      </c>
      <c r="D1419">
        <v>44438</v>
      </c>
      <c r="E1419">
        <v>4</v>
      </c>
      <c r="F1419">
        <v>4</v>
      </c>
      <c r="G1419">
        <v>4</v>
      </c>
    </row>
    <row r="1420" spans="1:7">
      <c r="A1420">
        <v>6505</v>
      </c>
      <c r="B1420" t="s">
        <v>5942</v>
      </c>
      <c r="C1420" t="s">
        <v>5943</v>
      </c>
      <c r="D1420">
        <v>44438</v>
      </c>
      <c r="E1420">
        <v>10</v>
      </c>
      <c r="F1420">
        <v>10</v>
      </c>
      <c r="G1420">
        <v>10</v>
      </c>
    </row>
    <row r="1421" spans="1:7">
      <c r="A1421">
        <v>2344</v>
      </c>
      <c r="B1421" t="s">
        <v>6011</v>
      </c>
      <c r="C1421" t="s">
        <v>5666</v>
      </c>
      <c r="D1421">
        <v>44438</v>
      </c>
      <c r="E1421">
        <v>7</v>
      </c>
      <c r="F1421">
        <v>7</v>
      </c>
      <c r="G1421">
        <v>7</v>
      </c>
    </row>
    <row r="1422" spans="1:7">
      <c r="A1422">
        <v>9904</v>
      </c>
      <c r="B1422" t="s">
        <v>5855</v>
      </c>
      <c r="C1422" t="s">
        <v>5664</v>
      </c>
      <c r="D1422">
        <v>44438</v>
      </c>
      <c r="E1422">
        <v>11</v>
      </c>
      <c r="F1422">
        <v>11</v>
      </c>
      <c r="G1422">
        <v>11</v>
      </c>
    </row>
    <row r="1423" spans="1:7">
      <c r="A1423">
        <v>2823</v>
      </c>
      <c r="B1423" t="s">
        <v>5811</v>
      </c>
      <c r="C1423" t="s">
        <v>5645</v>
      </c>
      <c r="D1423">
        <v>44438</v>
      </c>
      <c r="E1423">
        <v>17</v>
      </c>
      <c r="F1423">
        <v>17</v>
      </c>
      <c r="G1423">
        <v>17</v>
      </c>
    </row>
    <row r="1424" spans="1:7">
      <c r="A1424">
        <v>3041</v>
      </c>
      <c r="B1424" t="s">
        <v>6020</v>
      </c>
      <c r="C1424" t="s">
        <v>5666</v>
      </c>
      <c r="D1424">
        <v>44438</v>
      </c>
      <c r="E1424">
        <v>7</v>
      </c>
      <c r="F1424">
        <v>7</v>
      </c>
      <c r="G1424">
        <v>7</v>
      </c>
    </row>
    <row r="1425" spans="1:7">
      <c r="A1425">
        <v>2481</v>
      </c>
      <c r="B1425" t="s">
        <v>5702</v>
      </c>
      <c r="C1425" t="s">
        <v>5666</v>
      </c>
      <c r="D1425">
        <v>44438</v>
      </c>
      <c r="E1425">
        <v>4</v>
      </c>
      <c r="F1425">
        <v>4</v>
      </c>
      <c r="G1425">
        <v>4</v>
      </c>
    </row>
    <row r="1426" spans="1:7">
      <c r="A1426">
        <v>2883</v>
      </c>
      <c r="B1426" t="s">
        <v>5915</v>
      </c>
      <c r="C1426" t="s">
        <v>5645</v>
      </c>
      <c r="D1426">
        <v>44438</v>
      </c>
      <c r="E1426">
        <v>7</v>
      </c>
      <c r="F1426">
        <v>7</v>
      </c>
      <c r="G1426">
        <v>7</v>
      </c>
    </row>
    <row r="1427" spans="1:7">
      <c r="A1427">
        <v>2382</v>
      </c>
      <c r="B1427" t="s">
        <v>6107</v>
      </c>
      <c r="C1427" t="s">
        <v>5649</v>
      </c>
      <c r="D1427">
        <v>44438</v>
      </c>
      <c r="E1427">
        <v>6</v>
      </c>
      <c r="F1427">
        <v>6</v>
      </c>
      <c r="G1427">
        <v>6</v>
      </c>
    </row>
    <row r="1428" spans="1:7">
      <c r="A1428">
        <v>1474</v>
      </c>
      <c r="B1428" t="s">
        <v>6183</v>
      </c>
      <c r="C1428" t="s">
        <v>5706</v>
      </c>
      <c r="D1428">
        <v>44438</v>
      </c>
      <c r="E1428">
        <v>1</v>
      </c>
      <c r="F1428">
        <v>1</v>
      </c>
      <c r="G1428">
        <v>1</v>
      </c>
    </row>
    <row r="1429" spans="1:7">
      <c r="A1429">
        <v>3675</v>
      </c>
      <c r="B1429" t="s">
        <v>6105</v>
      </c>
      <c r="C1429" t="s">
        <v>5690</v>
      </c>
      <c r="D1429">
        <v>44438</v>
      </c>
      <c r="E1429">
        <v>6</v>
      </c>
      <c r="F1429">
        <v>6</v>
      </c>
      <c r="G1429">
        <v>6</v>
      </c>
    </row>
    <row r="1430" spans="1:7">
      <c r="A1430">
        <v>6282</v>
      </c>
      <c r="B1430" t="s">
        <v>5731</v>
      </c>
      <c r="C1430" t="s">
        <v>5675</v>
      </c>
      <c r="D1430">
        <v>44438</v>
      </c>
      <c r="E1430">
        <v>6</v>
      </c>
      <c r="F1430">
        <v>6</v>
      </c>
      <c r="G1430">
        <v>6</v>
      </c>
    </row>
    <row r="1431" spans="1:7">
      <c r="A1431">
        <v>3034</v>
      </c>
      <c r="B1431" t="s">
        <v>5838</v>
      </c>
      <c r="C1431" t="s">
        <v>5666</v>
      </c>
      <c r="D1431">
        <v>44438</v>
      </c>
      <c r="E1431">
        <v>5</v>
      </c>
      <c r="F1431">
        <v>5</v>
      </c>
      <c r="G1431">
        <v>5</v>
      </c>
    </row>
    <row r="1432" spans="1:7">
      <c r="A1432">
        <v>6265</v>
      </c>
      <c r="B1432" t="s">
        <v>5935</v>
      </c>
      <c r="C1432" t="s">
        <v>5694</v>
      </c>
      <c r="D1432">
        <v>44438</v>
      </c>
      <c r="E1432">
        <v>4</v>
      </c>
      <c r="F1432">
        <v>4</v>
      </c>
      <c r="G1432">
        <v>4</v>
      </c>
    </row>
    <row r="1433" spans="1:7">
      <c r="A1433">
        <v>2323</v>
      </c>
      <c r="B1433" t="s">
        <v>6004</v>
      </c>
      <c r="C1433" t="s">
        <v>5661</v>
      </c>
      <c r="D1433">
        <v>44438</v>
      </c>
      <c r="E1433">
        <v>4</v>
      </c>
      <c r="F1433">
        <v>4</v>
      </c>
      <c r="G1433">
        <v>4</v>
      </c>
    </row>
    <row r="1434" spans="1:7">
      <c r="A1434">
        <v>1301</v>
      </c>
      <c r="B1434" t="s">
        <v>5841</v>
      </c>
      <c r="C1434" t="s">
        <v>5771</v>
      </c>
      <c r="D1434">
        <v>44438</v>
      </c>
      <c r="E1434">
        <v>11</v>
      </c>
      <c r="F1434">
        <v>11</v>
      </c>
      <c r="G1434">
        <v>11</v>
      </c>
    </row>
    <row r="1435" spans="1:7">
      <c r="A1435">
        <v>2430</v>
      </c>
      <c r="B1435" t="s">
        <v>6071</v>
      </c>
      <c r="C1435" t="s">
        <v>5687</v>
      </c>
      <c r="D1435">
        <v>44438</v>
      </c>
      <c r="E1435">
        <v>5</v>
      </c>
      <c r="F1435">
        <v>5</v>
      </c>
      <c r="G1435">
        <v>5</v>
      </c>
    </row>
    <row r="1436" spans="1:7">
      <c r="A1436">
        <v>1513</v>
      </c>
      <c r="B1436" t="s">
        <v>6178</v>
      </c>
      <c r="C1436" t="s">
        <v>5670</v>
      </c>
      <c r="D1436">
        <v>44438</v>
      </c>
      <c r="E1436">
        <v>4</v>
      </c>
      <c r="F1436">
        <v>4</v>
      </c>
      <c r="G1436">
        <v>4</v>
      </c>
    </row>
    <row r="1437" spans="1:7">
      <c r="A1437">
        <v>4175</v>
      </c>
      <c r="B1437" t="s">
        <v>6135</v>
      </c>
      <c r="C1437" t="s">
        <v>5867</v>
      </c>
      <c r="D1437">
        <v>44438</v>
      </c>
      <c r="E1437">
        <v>3</v>
      </c>
      <c r="F1437">
        <v>3</v>
      </c>
      <c r="G1437">
        <v>3</v>
      </c>
    </row>
    <row r="1438" spans="1:7">
      <c r="A1438">
        <v>2888</v>
      </c>
      <c r="B1438" t="s">
        <v>5853</v>
      </c>
      <c r="C1438" t="s">
        <v>5645</v>
      </c>
      <c r="D1438">
        <v>44438</v>
      </c>
      <c r="E1438">
        <v>9</v>
      </c>
      <c r="F1438">
        <v>9</v>
      </c>
      <c r="G1438">
        <v>9</v>
      </c>
    </row>
    <row r="1439" spans="1:7">
      <c r="A1439">
        <v>1326</v>
      </c>
      <c r="B1439" t="s">
        <v>5814</v>
      </c>
      <c r="C1439" t="s">
        <v>5771</v>
      </c>
      <c r="D1439">
        <v>44438</v>
      </c>
      <c r="E1439">
        <v>14</v>
      </c>
      <c r="F1439">
        <v>14</v>
      </c>
      <c r="G1439">
        <v>14</v>
      </c>
    </row>
    <row r="1440" spans="1:7">
      <c r="A1440">
        <v>3058</v>
      </c>
      <c r="B1440" t="s">
        <v>6089</v>
      </c>
      <c r="C1440" t="s">
        <v>5675</v>
      </c>
      <c r="D1440">
        <v>44438</v>
      </c>
      <c r="E1440">
        <v>4</v>
      </c>
      <c r="F1440">
        <v>4</v>
      </c>
      <c r="G1440">
        <v>4</v>
      </c>
    </row>
    <row r="1441" spans="1:7">
      <c r="A1441">
        <v>2002</v>
      </c>
      <c r="B1441" t="s">
        <v>6025</v>
      </c>
      <c r="C1441" t="s">
        <v>5659</v>
      </c>
      <c r="D1441">
        <v>44438</v>
      </c>
      <c r="E1441">
        <v>8</v>
      </c>
      <c r="F1441">
        <v>8</v>
      </c>
      <c r="G1441">
        <v>8</v>
      </c>
    </row>
    <row r="1442" spans="1:7">
      <c r="A1442">
        <v>2233</v>
      </c>
      <c r="B1442" t="s">
        <v>6184</v>
      </c>
      <c r="C1442" t="s">
        <v>5769</v>
      </c>
      <c r="D1442">
        <v>44438</v>
      </c>
      <c r="E1442">
        <v>2</v>
      </c>
      <c r="F1442">
        <v>2</v>
      </c>
      <c r="G1442">
        <v>2</v>
      </c>
    </row>
    <row r="1443" spans="1:7">
      <c r="A1443">
        <v>2013</v>
      </c>
      <c r="B1443" t="s">
        <v>6000</v>
      </c>
      <c r="C1443" t="s">
        <v>5659</v>
      </c>
      <c r="D1443">
        <v>44438</v>
      </c>
      <c r="E1443">
        <v>8</v>
      </c>
      <c r="F1443">
        <v>8</v>
      </c>
      <c r="G1443">
        <v>8</v>
      </c>
    </row>
    <row r="1444" spans="1:7">
      <c r="A1444">
        <v>6026</v>
      </c>
      <c r="B1444" t="s">
        <v>6185</v>
      </c>
      <c r="C1444" t="s">
        <v>5798</v>
      </c>
      <c r="D1444">
        <v>44438</v>
      </c>
      <c r="E1444">
        <v>1</v>
      </c>
      <c r="F1444">
        <v>1</v>
      </c>
      <c r="G1444">
        <v>1</v>
      </c>
    </row>
    <row r="1445" spans="1:7">
      <c r="A1445">
        <v>2441</v>
      </c>
      <c r="B1445" t="s">
        <v>5699</v>
      </c>
      <c r="C1445" t="s">
        <v>5666</v>
      </c>
      <c r="D1445">
        <v>44438</v>
      </c>
      <c r="E1445">
        <v>6</v>
      </c>
      <c r="F1445">
        <v>6</v>
      </c>
      <c r="G1445">
        <v>6</v>
      </c>
    </row>
    <row r="1446" spans="1:7">
      <c r="A1446">
        <v>2454</v>
      </c>
      <c r="B1446" t="s">
        <v>5933</v>
      </c>
      <c r="C1446" t="s">
        <v>5666</v>
      </c>
      <c r="D1446">
        <v>44438</v>
      </c>
      <c r="E1446">
        <v>8</v>
      </c>
      <c r="F1446">
        <v>8</v>
      </c>
      <c r="G1446">
        <v>8</v>
      </c>
    </row>
    <row r="1447" spans="1:7">
      <c r="A1447">
        <v>6108</v>
      </c>
      <c r="B1447" t="s">
        <v>6186</v>
      </c>
      <c r="C1447" t="s">
        <v>5675</v>
      </c>
      <c r="D1447">
        <v>44438</v>
      </c>
      <c r="E1447">
        <v>1</v>
      </c>
      <c r="F1447">
        <v>1</v>
      </c>
      <c r="G1447">
        <v>1</v>
      </c>
    </row>
    <row r="1448" spans="1:7">
      <c r="A1448">
        <v>3703</v>
      </c>
      <c r="B1448" t="s">
        <v>5650</v>
      </c>
      <c r="C1448" t="s">
        <v>5651</v>
      </c>
      <c r="D1448">
        <v>44438</v>
      </c>
      <c r="E1448">
        <v>6</v>
      </c>
      <c r="F1448">
        <v>6</v>
      </c>
      <c r="G1448">
        <v>6</v>
      </c>
    </row>
    <row r="1449" spans="1:7">
      <c r="A1449">
        <v>2317</v>
      </c>
      <c r="B1449" t="s">
        <v>5955</v>
      </c>
      <c r="C1449" t="s">
        <v>5692</v>
      </c>
      <c r="D1449">
        <v>44438</v>
      </c>
      <c r="E1449">
        <v>8</v>
      </c>
      <c r="F1449">
        <v>8</v>
      </c>
      <c r="G1449">
        <v>8</v>
      </c>
    </row>
    <row r="1450" spans="1:7">
      <c r="A1450">
        <v>2356</v>
      </c>
      <c r="B1450" t="s">
        <v>5648</v>
      </c>
      <c r="C1450" t="s">
        <v>5649</v>
      </c>
      <c r="D1450">
        <v>44438</v>
      </c>
      <c r="E1450">
        <v>8</v>
      </c>
      <c r="F1450">
        <v>8</v>
      </c>
      <c r="G1450">
        <v>8</v>
      </c>
    </row>
    <row r="1451" spans="1:7">
      <c r="A1451">
        <v>2915</v>
      </c>
      <c r="B1451" t="s">
        <v>6187</v>
      </c>
      <c r="C1451" t="s">
        <v>5647</v>
      </c>
      <c r="D1451">
        <v>44438</v>
      </c>
      <c r="E1451">
        <v>2</v>
      </c>
      <c r="F1451">
        <v>2</v>
      </c>
      <c r="G1451">
        <v>2</v>
      </c>
    </row>
    <row r="1452" spans="1:7">
      <c r="A1452">
        <v>2538</v>
      </c>
      <c r="B1452" t="s">
        <v>6019</v>
      </c>
      <c r="C1452" t="s">
        <v>5651</v>
      </c>
      <c r="D1452">
        <v>44438</v>
      </c>
      <c r="E1452">
        <v>3</v>
      </c>
      <c r="F1452">
        <v>3</v>
      </c>
      <c r="G1452">
        <v>3</v>
      </c>
    </row>
    <row r="1453" spans="1:7">
      <c r="A1453">
        <v>2457</v>
      </c>
      <c r="B1453" t="s">
        <v>6188</v>
      </c>
      <c r="C1453" t="s">
        <v>5675</v>
      </c>
      <c r="D1453">
        <v>44438</v>
      </c>
      <c r="E1453">
        <v>2</v>
      </c>
      <c r="F1453">
        <v>2</v>
      </c>
      <c r="G1453">
        <v>2</v>
      </c>
    </row>
    <row r="1454" spans="1:7">
      <c r="A1454">
        <v>1718</v>
      </c>
      <c r="B1454" t="s">
        <v>5816</v>
      </c>
      <c r="C1454" t="s">
        <v>5733</v>
      </c>
      <c r="D1454">
        <v>44438</v>
      </c>
      <c r="E1454">
        <v>13</v>
      </c>
      <c r="F1454">
        <v>13</v>
      </c>
      <c r="G1454">
        <v>13</v>
      </c>
    </row>
    <row r="1455" spans="1:7">
      <c r="A1455">
        <v>1216</v>
      </c>
      <c r="B1455" t="s">
        <v>6063</v>
      </c>
      <c r="C1455" t="s">
        <v>5872</v>
      </c>
      <c r="D1455">
        <v>44438</v>
      </c>
      <c r="E1455">
        <v>8</v>
      </c>
      <c r="F1455">
        <v>8</v>
      </c>
      <c r="G1455">
        <v>8</v>
      </c>
    </row>
    <row r="1456" spans="1:7">
      <c r="A1456">
        <v>3689</v>
      </c>
      <c r="B1456" t="s">
        <v>6189</v>
      </c>
      <c r="C1456" t="s">
        <v>5791</v>
      </c>
      <c r="D1456">
        <v>44438</v>
      </c>
      <c r="E1456">
        <v>3</v>
      </c>
      <c r="F1456">
        <v>3</v>
      </c>
      <c r="G1456">
        <v>3</v>
      </c>
    </row>
    <row r="1457" spans="1:7">
      <c r="A1457">
        <v>8110</v>
      </c>
      <c r="B1457" t="s">
        <v>5685</v>
      </c>
      <c r="C1457" t="s">
        <v>5666</v>
      </c>
      <c r="D1457">
        <v>44438</v>
      </c>
      <c r="E1457">
        <v>8</v>
      </c>
      <c r="F1457">
        <v>8</v>
      </c>
      <c r="G1457">
        <v>8</v>
      </c>
    </row>
    <row r="1458" spans="1:7">
      <c r="A1458">
        <v>2867</v>
      </c>
      <c r="B1458" t="s">
        <v>5854</v>
      </c>
      <c r="C1458" t="s">
        <v>5645</v>
      </c>
      <c r="D1458">
        <v>44438</v>
      </c>
      <c r="E1458">
        <v>8</v>
      </c>
      <c r="F1458">
        <v>8</v>
      </c>
      <c r="G1458">
        <v>8</v>
      </c>
    </row>
    <row r="1459" spans="1:7">
      <c r="A1459">
        <v>2368</v>
      </c>
      <c r="B1459" t="s">
        <v>5746</v>
      </c>
      <c r="C1459" t="s">
        <v>5675</v>
      </c>
      <c r="D1459">
        <v>44438</v>
      </c>
      <c r="E1459">
        <v>5</v>
      </c>
      <c r="F1459">
        <v>5</v>
      </c>
      <c r="G1459">
        <v>5</v>
      </c>
    </row>
    <row r="1460" spans="1:7">
      <c r="A1460">
        <v>2324</v>
      </c>
      <c r="B1460" t="s">
        <v>5848</v>
      </c>
      <c r="C1460" t="s">
        <v>5649</v>
      </c>
      <c r="D1460">
        <v>44438</v>
      </c>
      <c r="E1460">
        <v>7</v>
      </c>
      <c r="F1460">
        <v>7</v>
      </c>
      <c r="G1460">
        <v>7</v>
      </c>
    </row>
    <row r="1461" spans="1:7">
      <c r="A1461">
        <v>3092</v>
      </c>
      <c r="B1461" t="s">
        <v>6151</v>
      </c>
      <c r="C1461" t="s">
        <v>5675</v>
      </c>
      <c r="D1461">
        <v>44438</v>
      </c>
      <c r="E1461">
        <v>3</v>
      </c>
      <c r="F1461">
        <v>3</v>
      </c>
      <c r="G1461">
        <v>3</v>
      </c>
    </row>
    <row r="1462" spans="1:7">
      <c r="A1462">
        <v>5351</v>
      </c>
      <c r="B1462" t="s">
        <v>6190</v>
      </c>
      <c r="C1462" t="s">
        <v>5690</v>
      </c>
      <c r="D1462">
        <v>44438</v>
      </c>
      <c r="E1462">
        <v>1</v>
      </c>
      <c r="F1462">
        <v>1</v>
      </c>
      <c r="G1462">
        <v>1</v>
      </c>
    </row>
    <row r="1463" spans="1:7">
      <c r="A1463">
        <v>1517</v>
      </c>
      <c r="B1463" t="s">
        <v>5803</v>
      </c>
      <c r="C1463" t="s">
        <v>5670</v>
      </c>
      <c r="D1463">
        <v>44438</v>
      </c>
      <c r="E1463">
        <v>6</v>
      </c>
      <c r="F1463">
        <v>6</v>
      </c>
      <c r="G1463">
        <v>6</v>
      </c>
    </row>
    <row r="1464" spans="1:7">
      <c r="A1464">
        <v>2355</v>
      </c>
      <c r="B1464" t="s">
        <v>6191</v>
      </c>
      <c r="C1464" t="s">
        <v>5675</v>
      </c>
      <c r="D1464">
        <v>44438</v>
      </c>
      <c r="E1464">
        <v>1</v>
      </c>
      <c r="F1464">
        <v>1</v>
      </c>
      <c r="G1464">
        <v>1</v>
      </c>
    </row>
    <row r="1465" spans="1:7">
      <c r="A1465">
        <v>9103</v>
      </c>
      <c r="B1465" t="s">
        <v>5864</v>
      </c>
      <c r="C1465" t="s">
        <v>5865</v>
      </c>
      <c r="D1465">
        <v>44438</v>
      </c>
      <c r="E1465">
        <v>8</v>
      </c>
      <c r="F1465">
        <v>8</v>
      </c>
      <c r="G1465">
        <v>8</v>
      </c>
    </row>
    <row r="1466" spans="1:7">
      <c r="A1466">
        <v>2347</v>
      </c>
      <c r="B1466" t="s">
        <v>5793</v>
      </c>
      <c r="C1466" t="s">
        <v>5687</v>
      </c>
      <c r="D1466">
        <v>44438</v>
      </c>
      <c r="E1466">
        <v>6</v>
      </c>
      <c r="F1466">
        <v>6</v>
      </c>
      <c r="G1466">
        <v>6</v>
      </c>
    </row>
    <row r="1467" spans="1:7">
      <c r="A1467">
        <v>2208</v>
      </c>
      <c r="B1467" t="s">
        <v>5716</v>
      </c>
      <c r="C1467" t="s">
        <v>5679</v>
      </c>
      <c r="D1467">
        <v>44438</v>
      </c>
      <c r="E1467">
        <v>8</v>
      </c>
      <c r="F1467">
        <v>8</v>
      </c>
      <c r="G1467">
        <v>8</v>
      </c>
    </row>
    <row r="1468" spans="1:7">
      <c r="A1468">
        <v>5876</v>
      </c>
      <c r="B1468" t="s">
        <v>5715</v>
      </c>
      <c r="C1468" t="s">
        <v>5645</v>
      </c>
      <c r="D1468">
        <v>44438</v>
      </c>
      <c r="E1468">
        <v>14</v>
      </c>
      <c r="F1468">
        <v>14</v>
      </c>
      <c r="G1468">
        <v>14</v>
      </c>
    </row>
    <row r="1469" spans="1:7">
      <c r="A1469">
        <v>1313</v>
      </c>
      <c r="B1469" t="s">
        <v>5991</v>
      </c>
      <c r="C1469" t="s">
        <v>5771</v>
      </c>
      <c r="D1469">
        <v>44438</v>
      </c>
      <c r="E1469">
        <v>6</v>
      </c>
      <c r="F1469">
        <v>6</v>
      </c>
      <c r="G1469">
        <v>6</v>
      </c>
    </row>
    <row r="1470" spans="1:7">
      <c r="A1470">
        <v>4906</v>
      </c>
      <c r="B1470" t="s">
        <v>6192</v>
      </c>
      <c r="C1470" t="s">
        <v>5653</v>
      </c>
      <c r="D1470">
        <v>44438</v>
      </c>
      <c r="E1470">
        <v>3</v>
      </c>
      <c r="F1470">
        <v>3</v>
      </c>
      <c r="G1470">
        <v>3</v>
      </c>
    </row>
    <row r="1471" spans="1:7">
      <c r="A1471">
        <v>6592</v>
      </c>
      <c r="B1471" t="s">
        <v>6193</v>
      </c>
      <c r="C1471" t="s">
        <v>5664</v>
      </c>
      <c r="D1471">
        <v>44438</v>
      </c>
      <c r="E1471">
        <v>1</v>
      </c>
      <c r="F1471">
        <v>1</v>
      </c>
      <c r="G1471">
        <v>1</v>
      </c>
    </row>
    <row r="1472" spans="1:7">
      <c r="A1472">
        <v>2329</v>
      </c>
      <c r="B1472" t="s">
        <v>5962</v>
      </c>
      <c r="C1472" t="s">
        <v>5666</v>
      </c>
      <c r="D1472">
        <v>44438</v>
      </c>
      <c r="E1472">
        <v>3</v>
      </c>
      <c r="F1472">
        <v>3</v>
      </c>
      <c r="G1472">
        <v>3</v>
      </c>
    </row>
    <row r="1473" spans="1:7">
      <c r="A1473">
        <v>2882</v>
      </c>
      <c r="B1473" t="s">
        <v>5834</v>
      </c>
      <c r="C1473" t="s">
        <v>5645</v>
      </c>
      <c r="D1473">
        <v>44438</v>
      </c>
      <c r="E1473">
        <v>9</v>
      </c>
      <c r="F1473">
        <v>9</v>
      </c>
      <c r="G1473">
        <v>9</v>
      </c>
    </row>
    <row r="1474" spans="1:7">
      <c r="A1474">
        <v>2426</v>
      </c>
      <c r="B1474" t="s">
        <v>6162</v>
      </c>
      <c r="C1474" t="s">
        <v>5661</v>
      </c>
      <c r="D1474">
        <v>44438</v>
      </c>
      <c r="E1474">
        <v>2</v>
      </c>
      <c r="F1474">
        <v>2</v>
      </c>
      <c r="G1474">
        <v>2</v>
      </c>
    </row>
    <row r="1475" spans="1:7">
      <c r="A1475">
        <v>8021</v>
      </c>
      <c r="B1475" t="s">
        <v>5813</v>
      </c>
      <c r="C1475" t="s">
        <v>5692</v>
      </c>
      <c r="D1475">
        <v>44438</v>
      </c>
      <c r="E1475">
        <v>3</v>
      </c>
      <c r="F1475">
        <v>3</v>
      </c>
      <c r="G1475">
        <v>3</v>
      </c>
    </row>
    <row r="1476" spans="1:7">
      <c r="A1476">
        <v>2330</v>
      </c>
      <c r="B1476" t="s">
        <v>6018</v>
      </c>
      <c r="C1476" t="s">
        <v>5666</v>
      </c>
      <c r="D1476">
        <v>44438</v>
      </c>
      <c r="E1476">
        <v>12</v>
      </c>
      <c r="F1476">
        <v>12</v>
      </c>
      <c r="G1476">
        <v>12</v>
      </c>
    </row>
    <row r="1477" spans="1:7">
      <c r="A1477">
        <v>2476</v>
      </c>
      <c r="B1477" t="s">
        <v>5899</v>
      </c>
      <c r="C1477" t="s">
        <v>5675</v>
      </c>
      <c r="D1477">
        <v>44438</v>
      </c>
      <c r="E1477">
        <v>4</v>
      </c>
      <c r="F1477">
        <v>4</v>
      </c>
      <c r="G1477">
        <v>4</v>
      </c>
    </row>
    <row r="1478" spans="1:7">
      <c r="A1478">
        <v>6494</v>
      </c>
      <c r="B1478" t="s">
        <v>6194</v>
      </c>
      <c r="C1478" t="s">
        <v>5690</v>
      </c>
      <c r="D1478">
        <v>44438</v>
      </c>
      <c r="E1478">
        <v>1</v>
      </c>
      <c r="F1478">
        <v>1</v>
      </c>
      <c r="G1478">
        <v>1</v>
      </c>
    </row>
    <row r="1479" spans="1:7">
      <c r="A1479">
        <v>1217</v>
      </c>
      <c r="B1479" t="s">
        <v>5871</v>
      </c>
      <c r="C1479" t="s">
        <v>5872</v>
      </c>
      <c r="D1479">
        <v>44438</v>
      </c>
      <c r="E1479">
        <v>7</v>
      </c>
      <c r="F1479">
        <v>7</v>
      </c>
      <c r="G1479">
        <v>7</v>
      </c>
    </row>
    <row r="1480" spans="1:7">
      <c r="A1480">
        <v>2489</v>
      </c>
      <c r="B1480" t="s">
        <v>5738</v>
      </c>
      <c r="C1480" t="s">
        <v>5661</v>
      </c>
      <c r="D1480">
        <v>44438</v>
      </c>
      <c r="E1480">
        <v>9</v>
      </c>
      <c r="F1480">
        <v>9</v>
      </c>
      <c r="G1480">
        <v>9</v>
      </c>
    </row>
    <row r="1481" spans="1:7">
      <c r="A1481">
        <v>3511</v>
      </c>
      <c r="B1481" t="s">
        <v>6079</v>
      </c>
      <c r="C1481" t="s">
        <v>5791</v>
      </c>
      <c r="D1481">
        <v>44438</v>
      </c>
      <c r="E1481">
        <v>4</v>
      </c>
      <c r="F1481">
        <v>4</v>
      </c>
      <c r="G1481">
        <v>4</v>
      </c>
    </row>
    <row r="1482" spans="1:7">
      <c r="A1482">
        <v>8099</v>
      </c>
      <c r="B1482" t="s">
        <v>6154</v>
      </c>
      <c r="C1482" t="s">
        <v>5777</v>
      </c>
      <c r="D1482">
        <v>44438</v>
      </c>
      <c r="E1482">
        <v>2</v>
      </c>
      <c r="F1482">
        <v>2</v>
      </c>
      <c r="G1482">
        <v>2</v>
      </c>
    </row>
    <row r="1483" spans="1:7">
      <c r="A1483">
        <v>6168</v>
      </c>
      <c r="B1483" t="s">
        <v>5701</v>
      </c>
      <c r="C1483" t="s">
        <v>5661</v>
      </c>
      <c r="D1483">
        <v>44438</v>
      </c>
      <c r="E1483">
        <v>5</v>
      </c>
      <c r="F1483">
        <v>5</v>
      </c>
      <c r="G1483">
        <v>5</v>
      </c>
    </row>
    <row r="1484" spans="1:7">
      <c r="A1484">
        <v>2301</v>
      </c>
      <c r="B1484" t="s">
        <v>5723</v>
      </c>
      <c r="C1484" t="s">
        <v>5649</v>
      </c>
      <c r="D1484">
        <v>44438</v>
      </c>
      <c r="E1484">
        <v>14</v>
      </c>
      <c r="F1484">
        <v>14</v>
      </c>
      <c r="G1484">
        <v>14</v>
      </c>
    </row>
    <row r="1485" spans="1:7">
      <c r="A1485">
        <v>2028</v>
      </c>
      <c r="B1485" t="s">
        <v>5995</v>
      </c>
      <c r="C1485" t="s">
        <v>5659</v>
      </c>
      <c r="D1485">
        <v>44438</v>
      </c>
      <c r="E1485">
        <v>4</v>
      </c>
      <c r="F1485">
        <v>4</v>
      </c>
      <c r="G1485">
        <v>4</v>
      </c>
    </row>
    <row r="1486" spans="1:7">
      <c r="A1486">
        <v>6443</v>
      </c>
      <c r="B1486" t="s">
        <v>6195</v>
      </c>
      <c r="C1486" t="s">
        <v>5661</v>
      </c>
      <c r="D1486">
        <v>44438</v>
      </c>
      <c r="E1486">
        <v>4</v>
      </c>
      <c r="F1486">
        <v>4</v>
      </c>
      <c r="G1486">
        <v>4</v>
      </c>
    </row>
    <row r="1487" spans="1:7">
      <c r="A1487">
        <v>2352</v>
      </c>
      <c r="B1487" t="s">
        <v>6008</v>
      </c>
      <c r="C1487" t="s">
        <v>5649</v>
      </c>
      <c r="D1487">
        <v>44438</v>
      </c>
      <c r="E1487">
        <v>4</v>
      </c>
      <c r="F1487">
        <v>4</v>
      </c>
      <c r="G1487">
        <v>4</v>
      </c>
    </row>
    <row r="1488" spans="1:7">
      <c r="A1488">
        <v>4904</v>
      </c>
      <c r="B1488" t="s">
        <v>5654</v>
      </c>
      <c r="C1488" t="s">
        <v>5653</v>
      </c>
      <c r="D1488">
        <v>44438</v>
      </c>
      <c r="E1488">
        <v>15</v>
      </c>
      <c r="F1488">
        <v>15</v>
      </c>
      <c r="G1488">
        <v>15</v>
      </c>
    </row>
    <row r="1489" spans="1:7">
      <c r="A1489">
        <v>8085</v>
      </c>
      <c r="B1489" t="s">
        <v>6023</v>
      </c>
      <c r="C1489" t="s">
        <v>5800</v>
      </c>
      <c r="D1489">
        <v>44438</v>
      </c>
      <c r="E1489">
        <v>8</v>
      </c>
      <c r="F1489">
        <v>8</v>
      </c>
      <c r="G1489">
        <v>8</v>
      </c>
    </row>
    <row r="1490" spans="1:7">
      <c r="A1490">
        <v>6217</v>
      </c>
      <c r="B1490" t="s">
        <v>5913</v>
      </c>
      <c r="C1490" t="s">
        <v>5791</v>
      </c>
      <c r="D1490">
        <v>44438</v>
      </c>
      <c r="E1490">
        <v>4</v>
      </c>
      <c r="F1490">
        <v>4</v>
      </c>
      <c r="G1490">
        <v>4</v>
      </c>
    </row>
    <row r="1491" spans="1:7">
      <c r="A1491">
        <v>2885</v>
      </c>
      <c r="B1491" t="s">
        <v>5852</v>
      </c>
      <c r="C1491" t="s">
        <v>5645</v>
      </c>
      <c r="D1491">
        <v>44438</v>
      </c>
      <c r="E1491">
        <v>6</v>
      </c>
      <c r="F1491">
        <v>6</v>
      </c>
      <c r="G1491">
        <v>6</v>
      </c>
    </row>
    <row r="1492" spans="1:7">
      <c r="A1492">
        <v>2015</v>
      </c>
      <c r="B1492" t="s">
        <v>6061</v>
      </c>
      <c r="C1492" t="s">
        <v>5659</v>
      </c>
      <c r="D1492">
        <v>44438</v>
      </c>
      <c r="E1492">
        <v>4</v>
      </c>
      <c r="F1492">
        <v>4</v>
      </c>
      <c r="G1492">
        <v>4</v>
      </c>
    </row>
    <row r="1493" spans="1:7">
      <c r="A1493">
        <v>6175</v>
      </c>
      <c r="B1493" t="s">
        <v>6055</v>
      </c>
      <c r="C1493" t="s">
        <v>5791</v>
      </c>
      <c r="D1493">
        <v>44438</v>
      </c>
      <c r="E1493">
        <v>2</v>
      </c>
      <c r="F1493">
        <v>2</v>
      </c>
      <c r="G1493">
        <v>2</v>
      </c>
    </row>
    <row r="1494" spans="1:7">
      <c r="A1494">
        <v>4142</v>
      </c>
      <c r="B1494" t="s">
        <v>6087</v>
      </c>
      <c r="C1494" t="s">
        <v>5729</v>
      </c>
      <c r="D1494">
        <v>44438</v>
      </c>
      <c r="E1494">
        <v>8</v>
      </c>
      <c r="F1494">
        <v>8</v>
      </c>
      <c r="G1494">
        <v>8</v>
      </c>
    </row>
    <row r="1495" spans="1:7">
      <c r="A1495">
        <v>6756</v>
      </c>
      <c r="B1495" t="s">
        <v>5736</v>
      </c>
      <c r="C1495" t="s">
        <v>5666</v>
      </c>
      <c r="D1495">
        <v>44438</v>
      </c>
      <c r="E1495">
        <v>4</v>
      </c>
      <c r="F1495">
        <v>4</v>
      </c>
      <c r="G1495">
        <v>4</v>
      </c>
    </row>
    <row r="1496" spans="1:7">
      <c r="A1496">
        <v>2634</v>
      </c>
      <c r="B1496" t="s">
        <v>5835</v>
      </c>
      <c r="C1496" t="s">
        <v>5679</v>
      </c>
      <c r="D1496">
        <v>44438</v>
      </c>
      <c r="E1496">
        <v>5</v>
      </c>
      <c r="F1496">
        <v>5</v>
      </c>
      <c r="G1496">
        <v>5</v>
      </c>
    </row>
    <row r="1497" spans="1:7">
      <c r="A1497">
        <v>2303</v>
      </c>
      <c r="B1497" t="s">
        <v>6124</v>
      </c>
      <c r="C1497" t="s">
        <v>5666</v>
      </c>
      <c r="D1497">
        <v>44438</v>
      </c>
      <c r="E1497">
        <v>2</v>
      </c>
      <c r="F1497">
        <v>2</v>
      </c>
      <c r="G1497">
        <v>2</v>
      </c>
    </row>
    <row r="1498" spans="1:7">
      <c r="A1498">
        <v>6548</v>
      </c>
      <c r="B1498" t="s">
        <v>6196</v>
      </c>
      <c r="C1498" t="s">
        <v>5690</v>
      </c>
      <c r="D1498">
        <v>44438</v>
      </c>
      <c r="E1498">
        <v>3</v>
      </c>
      <c r="F1498">
        <v>3</v>
      </c>
      <c r="G1498">
        <v>3</v>
      </c>
    </row>
    <row r="1499" spans="1:7">
      <c r="A1499">
        <v>5285</v>
      </c>
      <c r="B1499" t="s">
        <v>6197</v>
      </c>
      <c r="C1499" t="s">
        <v>5666</v>
      </c>
      <c r="D1499">
        <v>44438</v>
      </c>
      <c r="E1499">
        <v>2</v>
      </c>
      <c r="F1499">
        <v>2</v>
      </c>
      <c r="G1499">
        <v>2</v>
      </c>
    </row>
    <row r="1500" spans="1:7">
      <c r="A1500">
        <v>2633</v>
      </c>
      <c r="B1500" t="s">
        <v>6130</v>
      </c>
      <c r="C1500" t="s">
        <v>5679</v>
      </c>
      <c r="D1500">
        <v>44438</v>
      </c>
      <c r="E1500">
        <v>8</v>
      </c>
      <c r="F1500">
        <v>8</v>
      </c>
      <c r="G1500">
        <v>8</v>
      </c>
    </row>
    <row r="1501" spans="1:7">
      <c r="A1501">
        <v>5243</v>
      </c>
      <c r="B1501" t="s">
        <v>6198</v>
      </c>
      <c r="C1501" t="s">
        <v>5661</v>
      </c>
      <c r="D1501">
        <v>44438</v>
      </c>
      <c r="E1501">
        <v>2</v>
      </c>
      <c r="F1501">
        <v>2</v>
      </c>
      <c r="G1501">
        <v>2</v>
      </c>
    </row>
    <row r="1502" spans="1:7">
      <c r="A1502">
        <v>3207</v>
      </c>
      <c r="B1502" t="s">
        <v>6104</v>
      </c>
      <c r="C1502" t="s">
        <v>5791</v>
      </c>
      <c r="D1502">
        <v>44435</v>
      </c>
      <c r="E1502">
        <v>4</v>
      </c>
      <c r="F1502">
        <v>4</v>
      </c>
      <c r="G1502">
        <v>4</v>
      </c>
    </row>
    <row r="1503" spans="1:7">
      <c r="A1503">
        <v>2504</v>
      </c>
      <c r="B1503" t="s">
        <v>5708</v>
      </c>
      <c r="C1503" t="s">
        <v>5651</v>
      </c>
      <c r="D1503">
        <v>44435</v>
      </c>
      <c r="E1503">
        <v>8</v>
      </c>
      <c r="F1503">
        <v>8</v>
      </c>
      <c r="G1503">
        <v>8</v>
      </c>
    </row>
    <row r="1504" spans="1:7">
      <c r="A1504">
        <v>2888</v>
      </c>
      <c r="B1504" t="s">
        <v>5853</v>
      </c>
      <c r="C1504" t="s">
        <v>5645</v>
      </c>
      <c r="D1504">
        <v>44435</v>
      </c>
      <c r="E1504">
        <v>9</v>
      </c>
      <c r="F1504">
        <v>9</v>
      </c>
      <c r="G1504">
        <v>9</v>
      </c>
    </row>
    <row r="1505" spans="1:7">
      <c r="A1505">
        <v>2809</v>
      </c>
      <c r="B1505" t="s">
        <v>5810</v>
      </c>
      <c r="C1505" t="s">
        <v>5645</v>
      </c>
      <c r="D1505">
        <v>44435</v>
      </c>
      <c r="E1505">
        <v>15</v>
      </c>
      <c r="F1505">
        <v>15</v>
      </c>
      <c r="G1505">
        <v>15</v>
      </c>
    </row>
    <row r="1506" spans="1:7">
      <c r="A1506">
        <v>1303</v>
      </c>
      <c r="B1506" t="s">
        <v>5792</v>
      </c>
      <c r="C1506" t="s">
        <v>5771</v>
      </c>
      <c r="D1506">
        <v>44435</v>
      </c>
      <c r="E1506">
        <v>9</v>
      </c>
      <c r="F1506">
        <v>9</v>
      </c>
      <c r="G1506">
        <v>9</v>
      </c>
    </row>
    <row r="1507" spans="1:7">
      <c r="A1507">
        <v>6573</v>
      </c>
      <c r="B1507" t="s">
        <v>6199</v>
      </c>
      <c r="C1507" t="s">
        <v>5666</v>
      </c>
      <c r="D1507">
        <v>44435</v>
      </c>
      <c r="E1507">
        <v>2</v>
      </c>
      <c r="F1507">
        <v>2</v>
      </c>
      <c r="G1507">
        <v>2</v>
      </c>
    </row>
    <row r="1508" spans="1:7">
      <c r="A1508">
        <v>2312</v>
      </c>
      <c r="B1508" t="s">
        <v>5739</v>
      </c>
      <c r="C1508" t="s">
        <v>5692</v>
      </c>
      <c r="D1508">
        <v>44435</v>
      </c>
      <c r="E1508">
        <v>8</v>
      </c>
      <c r="F1508">
        <v>8</v>
      </c>
      <c r="G1508">
        <v>8</v>
      </c>
    </row>
    <row r="1509" spans="1:7">
      <c r="A1509">
        <v>2823</v>
      </c>
      <c r="B1509" t="s">
        <v>5811</v>
      </c>
      <c r="C1509" t="s">
        <v>5645</v>
      </c>
      <c r="D1509">
        <v>44435</v>
      </c>
      <c r="E1509">
        <v>17</v>
      </c>
      <c r="F1509">
        <v>17</v>
      </c>
      <c r="G1509">
        <v>17</v>
      </c>
    </row>
    <row r="1510" spans="1:7">
      <c r="A1510">
        <v>1718</v>
      </c>
      <c r="B1510" t="s">
        <v>5816</v>
      </c>
      <c r="C1510" t="s">
        <v>5733</v>
      </c>
      <c r="D1510">
        <v>44435</v>
      </c>
      <c r="E1510">
        <v>13</v>
      </c>
      <c r="F1510">
        <v>13</v>
      </c>
      <c r="G1510">
        <v>13</v>
      </c>
    </row>
    <row r="1511" spans="1:7">
      <c r="A1511">
        <v>5876</v>
      </c>
      <c r="B1511" t="s">
        <v>5715</v>
      </c>
      <c r="C1511" t="s">
        <v>5645</v>
      </c>
      <c r="D1511">
        <v>44435</v>
      </c>
      <c r="E1511">
        <v>14</v>
      </c>
      <c r="F1511">
        <v>14</v>
      </c>
      <c r="G1511">
        <v>14</v>
      </c>
    </row>
    <row r="1512" spans="1:7">
      <c r="A1512">
        <v>2610</v>
      </c>
      <c r="B1512" t="s">
        <v>5826</v>
      </c>
      <c r="C1512" t="s">
        <v>5679</v>
      </c>
      <c r="D1512">
        <v>44435</v>
      </c>
      <c r="E1512">
        <v>6</v>
      </c>
      <c r="F1512">
        <v>6</v>
      </c>
      <c r="G1512">
        <v>6</v>
      </c>
    </row>
    <row r="1513" spans="1:7">
      <c r="A1513">
        <v>1402</v>
      </c>
      <c r="B1513" t="s">
        <v>5851</v>
      </c>
      <c r="C1513" t="s">
        <v>5706</v>
      </c>
      <c r="D1513">
        <v>44435</v>
      </c>
      <c r="E1513">
        <v>10</v>
      </c>
      <c r="F1513">
        <v>10</v>
      </c>
      <c r="G1513">
        <v>10</v>
      </c>
    </row>
    <row r="1514" spans="1:7">
      <c r="A1514">
        <v>2867</v>
      </c>
      <c r="B1514" t="s">
        <v>5854</v>
      </c>
      <c r="C1514" t="s">
        <v>5645</v>
      </c>
      <c r="D1514">
        <v>44435</v>
      </c>
      <c r="E1514">
        <v>8</v>
      </c>
      <c r="F1514">
        <v>8</v>
      </c>
      <c r="G1514">
        <v>8</v>
      </c>
    </row>
    <row r="1515" spans="1:7">
      <c r="A1515">
        <v>2330</v>
      </c>
      <c r="B1515" t="s">
        <v>6018</v>
      </c>
      <c r="C1515" t="s">
        <v>5666</v>
      </c>
      <c r="D1515">
        <v>44435</v>
      </c>
      <c r="E1515">
        <v>12</v>
      </c>
      <c r="F1515">
        <v>12</v>
      </c>
      <c r="G1515">
        <v>12</v>
      </c>
    </row>
    <row r="1516" spans="1:7">
      <c r="A1516">
        <v>2101</v>
      </c>
      <c r="B1516" t="s">
        <v>5767</v>
      </c>
      <c r="C1516" t="s">
        <v>5657</v>
      </c>
      <c r="D1516">
        <v>44435</v>
      </c>
      <c r="E1516">
        <v>5</v>
      </c>
      <c r="F1516">
        <v>5</v>
      </c>
      <c r="G1516">
        <v>5</v>
      </c>
    </row>
    <row r="1517" spans="1:7">
      <c r="A1517">
        <v>1608</v>
      </c>
      <c r="B1517" t="s">
        <v>5979</v>
      </c>
      <c r="C1517" t="s">
        <v>5858</v>
      </c>
      <c r="D1517">
        <v>44435</v>
      </c>
      <c r="E1517">
        <v>7</v>
      </c>
      <c r="F1517">
        <v>7</v>
      </c>
      <c r="G1517">
        <v>7</v>
      </c>
    </row>
    <row r="1518" spans="1:7">
      <c r="A1518">
        <v>2845</v>
      </c>
      <c r="B1518" t="s">
        <v>6066</v>
      </c>
      <c r="C1518" t="s">
        <v>5645</v>
      </c>
      <c r="D1518">
        <v>44435</v>
      </c>
      <c r="E1518">
        <v>6</v>
      </c>
      <c r="F1518">
        <v>6</v>
      </c>
      <c r="G1518">
        <v>6</v>
      </c>
    </row>
    <row r="1519" spans="1:7">
      <c r="A1519">
        <v>1314</v>
      </c>
      <c r="B1519" t="s">
        <v>5809</v>
      </c>
      <c r="C1519" t="s">
        <v>5771</v>
      </c>
      <c r="D1519">
        <v>44435</v>
      </c>
      <c r="E1519">
        <v>8</v>
      </c>
      <c r="F1519">
        <v>8</v>
      </c>
      <c r="G1519">
        <v>8</v>
      </c>
    </row>
    <row r="1520" spans="1:7">
      <c r="A1520">
        <v>2105</v>
      </c>
      <c r="B1520" t="s">
        <v>5671</v>
      </c>
      <c r="C1520" t="s">
        <v>5657</v>
      </c>
      <c r="D1520">
        <v>44435</v>
      </c>
      <c r="E1520">
        <v>10</v>
      </c>
      <c r="F1520">
        <v>10</v>
      </c>
      <c r="G1520">
        <v>10</v>
      </c>
    </row>
    <row r="1521" spans="1:7">
      <c r="A1521">
        <v>2634</v>
      </c>
      <c r="B1521" t="s">
        <v>5835</v>
      </c>
      <c r="C1521" t="s">
        <v>5679</v>
      </c>
      <c r="D1521">
        <v>44435</v>
      </c>
      <c r="E1521">
        <v>5</v>
      </c>
      <c r="F1521">
        <v>5</v>
      </c>
      <c r="G1521">
        <v>5</v>
      </c>
    </row>
    <row r="1522" spans="1:7">
      <c r="A1522">
        <v>1609</v>
      </c>
      <c r="B1522" t="s">
        <v>5980</v>
      </c>
      <c r="C1522" t="s">
        <v>5858</v>
      </c>
      <c r="D1522">
        <v>44435</v>
      </c>
      <c r="E1522">
        <v>9</v>
      </c>
      <c r="F1522">
        <v>9</v>
      </c>
      <c r="G1522">
        <v>9</v>
      </c>
    </row>
    <row r="1523" spans="1:7">
      <c r="A1523">
        <v>6196</v>
      </c>
      <c r="B1523" t="s">
        <v>6200</v>
      </c>
      <c r="C1523" t="s">
        <v>5692</v>
      </c>
      <c r="D1523">
        <v>44435</v>
      </c>
      <c r="E1523">
        <v>1</v>
      </c>
      <c r="F1523">
        <v>1</v>
      </c>
      <c r="G1523">
        <v>1</v>
      </c>
    </row>
    <row r="1524" spans="1:7">
      <c r="A1524">
        <v>1725</v>
      </c>
      <c r="B1524" t="s">
        <v>1329</v>
      </c>
      <c r="C1524" t="s">
        <v>5733</v>
      </c>
      <c r="D1524">
        <v>44435</v>
      </c>
      <c r="E1524">
        <v>3</v>
      </c>
      <c r="F1524">
        <v>3</v>
      </c>
      <c r="G1524">
        <v>3</v>
      </c>
    </row>
    <row r="1525" spans="1:7">
      <c r="A1525">
        <v>6163</v>
      </c>
      <c r="B1525" t="s">
        <v>5683</v>
      </c>
      <c r="C1525" t="s">
        <v>5684</v>
      </c>
      <c r="D1525">
        <v>44435</v>
      </c>
      <c r="E1525">
        <v>6</v>
      </c>
      <c r="F1525">
        <v>6</v>
      </c>
      <c r="G1525">
        <v>6</v>
      </c>
    </row>
    <row r="1526" spans="1:7">
      <c r="A1526">
        <v>2002</v>
      </c>
      <c r="B1526" t="s">
        <v>6025</v>
      </c>
      <c r="C1526" t="s">
        <v>5659</v>
      </c>
      <c r="D1526">
        <v>44435</v>
      </c>
      <c r="E1526">
        <v>8</v>
      </c>
      <c r="F1526">
        <v>8</v>
      </c>
      <c r="G1526">
        <v>8</v>
      </c>
    </row>
    <row r="1527" spans="1:7">
      <c r="A1527">
        <v>2886</v>
      </c>
      <c r="B1527" t="s">
        <v>5863</v>
      </c>
      <c r="C1527" t="s">
        <v>5645</v>
      </c>
      <c r="D1527">
        <v>44435</v>
      </c>
      <c r="E1527">
        <v>10</v>
      </c>
      <c r="F1527">
        <v>10</v>
      </c>
      <c r="G1527">
        <v>10</v>
      </c>
    </row>
    <row r="1528" spans="1:7">
      <c r="A1528">
        <v>1216</v>
      </c>
      <c r="B1528" t="s">
        <v>6063</v>
      </c>
      <c r="C1528" t="s">
        <v>5872</v>
      </c>
      <c r="D1528">
        <v>44435</v>
      </c>
      <c r="E1528">
        <v>8</v>
      </c>
      <c r="F1528">
        <v>8</v>
      </c>
      <c r="G1528">
        <v>8</v>
      </c>
    </row>
    <row r="1529" spans="1:7">
      <c r="A1529">
        <v>3702</v>
      </c>
      <c r="B1529" t="s">
        <v>5686</v>
      </c>
      <c r="C1529" t="s">
        <v>5687</v>
      </c>
      <c r="D1529">
        <v>44435</v>
      </c>
      <c r="E1529">
        <v>16</v>
      </c>
      <c r="F1529">
        <v>16</v>
      </c>
      <c r="G1529">
        <v>16</v>
      </c>
    </row>
    <row r="1530" spans="1:7">
      <c r="A1530">
        <v>5309</v>
      </c>
      <c r="B1530" t="s">
        <v>5925</v>
      </c>
      <c r="C1530" t="s">
        <v>5791</v>
      </c>
      <c r="D1530">
        <v>44435</v>
      </c>
      <c r="E1530">
        <v>5</v>
      </c>
      <c r="F1530">
        <v>5</v>
      </c>
      <c r="G1530">
        <v>5</v>
      </c>
    </row>
    <row r="1531" spans="1:7">
      <c r="A1531">
        <v>1102</v>
      </c>
      <c r="B1531" t="s">
        <v>6129</v>
      </c>
      <c r="C1531" t="s">
        <v>5823</v>
      </c>
      <c r="D1531">
        <v>44435</v>
      </c>
      <c r="E1531">
        <v>4</v>
      </c>
      <c r="F1531">
        <v>4</v>
      </c>
      <c r="G1531">
        <v>4</v>
      </c>
    </row>
    <row r="1532" spans="1:7">
      <c r="A1532">
        <v>2515</v>
      </c>
      <c r="B1532" t="s">
        <v>6095</v>
      </c>
      <c r="C1532" t="s">
        <v>5651</v>
      </c>
      <c r="D1532">
        <v>44435</v>
      </c>
      <c r="E1532">
        <v>10</v>
      </c>
      <c r="F1532">
        <v>10</v>
      </c>
      <c r="G1532">
        <v>10</v>
      </c>
    </row>
    <row r="1533" spans="1:7">
      <c r="A1533">
        <v>2801</v>
      </c>
      <c r="B1533" t="s">
        <v>5662</v>
      </c>
      <c r="C1533" t="s">
        <v>5645</v>
      </c>
      <c r="D1533">
        <v>44435</v>
      </c>
      <c r="E1533">
        <v>9</v>
      </c>
      <c r="F1533">
        <v>9</v>
      </c>
      <c r="G1533">
        <v>9</v>
      </c>
    </row>
    <row r="1534" spans="1:7">
      <c r="A1534">
        <v>2880</v>
      </c>
      <c r="B1534" t="s">
        <v>5878</v>
      </c>
      <c r="C1534" t="s">
        <v>5645</v>
      </c>
      <c r="D1534">
        <v>44435</v>
      </c>
      <c r="E1534">
        <v>10</v>
      </c>
      <c r="F1534">
        <v>10</v>
      </c>
      <c r="G1534">
        <v>10</v>
      </c>
    </row>
    <row r="1535" spans="1:7">
      <c r="A1535">
        <v>2882</v>
      </c>
      <c r="B1535" t="s">
        <v>5834</v>
      </c>
      <c r="C1535" t="s">
        <v>5645</v>
      </c>
      <c r="D1535">
        <v>44435</v>
      </c>
      <c r="E1535">
        <v>9</v>
      </c>
      <c r="F1535">
        <v>9</v>
      </c>
      <c r="G1535">
        <v>9</v>
      </c>
    </row>
    <row r="1536" spans="1:7">
      <c r="A1536">
        <v>2009</v>
      </c>
      <c r="B1536" t="s">
        <v>5986</v>
      </c>
      <c r="C1536" t="s">
        <v>5659</v>
      </c>
      <c r="D1536">
        <v>44435</v>
      </c>
      <c r="E1536">
        <v>9</v>
      </c>
      <c r="F1536">
        <v>9</v>
      </c>
      <c r="G1536">
        <v>9</v>
      </c>
    </row>
    <row r="1537" spans="1:7">
      <c r="A1537">
        <v>1217</v>
      </c>
      <c r="B1537" t="s">
        <v>5871</v>
      </c>
      <c r="C1537" t="s">
        <v>5872</v>
      </c>
      <c r="D1537">
        <v>44435</v>
      </c>
      <c r="E1537">
        <v>7</v>
      </c>
      <c r="F1537">
        <v>7</v>
      </c>
      <c r="G1537">
        <v>7</v>
      </c>
    </row>
    <row r="1538" spans="1:7">
      <c r="A1538">
        <v>2915</v>
      </c>
      <c r="B1538" t="s">
        <v>6187</v>
      </c>
      <c r="C1538" t="s">
        <v>5647</v>
      </c>
      <c r="D1538">
        <v>44435</v>
      </c>
      <c r="E1538">
        <v>2</v>
      </c>
      <c r="F1538">
        <v>2</v>
      </c>
      <c r="G1538">
        <v>2</v>
      </c>
    </row>
    <row r="1539" spans="1:7">
      <c r="A1539">
        <v>2881</v>
      </c>
      <c r="B1539" t="s">
        <v>6201</v>
      </c>
      <c r="C1539" t="s">
        <v>5645</v>
      </c>
      <c r="D1539">
        <v>44435</v>
      </c>
      <c r="E1539">
        <v>2</v>
      </c>
      <c r="F1539">
        <v>2</v>
      </c>
      <c r="G1539">
        <v>2</v>
      </c>
    </row>
    <row r="1540" spans="1:7">
      <c r="A1540">
        <v>1717</v>
      </c>
      <c r="B1540" t="s">
        <v>5805</v>
      </c>
      <c r="C1540" t="s">
        <v>5733</v>
      </c>
      <c r="D1540">
        <v>44435</v>
      </c>
      <c r="E1540">
        <v>8</v>
      </c>
      <c r="F1540">
        <v>8</v>
      </c>
      <c r="G1540">
        <v>8</v>
      </c>
    </row>
    <row r="1541" spans="1:7">
      <c r="A1541">
        <v>2454</v>
      </c>
      <c r="B1541" t="s">
        <v>5933</v>
      </c>
      <c r="C1541" t="s">
        <v>5666</v>
      </c>
      <c r="D1541">
        <v>44435</v>
      </c>
      <c r="E1541">
        <v>8</v>
      </c>
      <c r="F1541">
        <v>8</v>
      </c>
      <c r="G1541">
        <v>8</v>
      </c>
    </row>
    <row r="1542" spans="1:7">
      <c r="A1542">
        <v>2430</v>
      </c>
      <c r="B1542" t="s">
        <v>6071</v>
      </c>
      <c r="C1542" t="s">
        <v>5687</v>
      </c>
      <c r="D1542">
        <v>44435</v>
      </c>
      <c r="E1542">
        <v>5</v>
      </c>
      <c r="F1542">
        <v>5</v>
      </c>
      <c r="G1542">
        <v>5</v>
      </c>
    </row>
    <row r="1543" spans="1:7">
      <c r="A1543">
        <v>1326</v>
      </c>
      <c r="B1543" t="s">
        <v>5814</v>
      </c>
      <c r="C1543" t="s">
        <v>5771</v>
      </c>
      <c r="D1543">
        <v>44435</v>
      </c>
      <c r="E1543">
        <v>14</v>
      </c>
      <c r="F1543">
        <v>14</v>
      </c>
      <c r="G1543">
        <v>14</v>
      </c>
    </row>
    <row r="1544" spans="1:7">
      <c r="A1544">
        <v>911616</v>
      </c>
      <c r="B1544" t="s">
        <v>6180</v>
      </c>
      <c r="C1544" t="s">
        <v>5865</v>
      </c>
      <c r="D1544">
        <v>44435</v>
      </c>
      <c r="E1544">
        <v>6</v>
      </c>
      <c r="F1544">
        <v>6</v>
      </c>
      <c r="G1544">
        <v>6</v>
      </c>
    </row>
    <row r="1545" spans="1:7">
      <c r="A1545">
        <v>4958</v>
      </c>
      <c r="B1545" t="s">
        <v>6119</v>
      </c>
      <c r="C1545" t="s">
        <v>5675</v>
      </c>
      <c r="D1545">
        <v>44435</v>
      </c>
      <c r="E1545">
        <v>4</v>
      </c>
      <c r="F1545">
        <v>4</v>
      </c>
      <c r="G1545">
        <v>4</v>
      </c>
    </row>
    <row r="1546" spans="1:7">
      <c r="A1546">
        <v>3706</v>
      </c>
      <c r="B1546" t="s">
        <v>5889</v>
      </c>
      <c r="C1546" t="s">
        <v>5649</v>
      </c>
      <c r="D1546">
        <v>44435</v>
      </c>
      <c r="E1546">
        <v>12</v>
      </c>
      <c r="F1546">
        <v>12</v>
      </c>
      <c r="G1546">
        <v>12</v>
      </c>
    </row>
    <row r="1547" spans="1:7">
      <c r="A1547">
        <v>3051</v>
      </c>
      <c r="B1547" t="s">
        <v>6202</v>
      </c>
      <c r="C1547" t="s">
        <v>5661</v>
      </c>
      <c r="D1547">
        <v>44435</v>
      </c>
      <c r="E1547">
        <v>2</v>
      </c>
      <c r="F1547">
        <v>2</v>
      </c>
      <c r="G1547">
        <v>2</v>
      </c>
    </row>
    <row r="1548" spans="1:7">
      <c r="A1548">
        <v>3049</v>
      </c>
      <c r="B1548" t="s">
        <v>6167</v>
      </c>
      <c r="C1548" t="s">
        <v>5661</v>
      </c>
      <c r="D1548">
        <v>44435</v>
      </c>
      <c r="E1548">
        <v>3</v>
      </c>
      <c r="F1548">
        <v>3</v>
      </c>
      <c r="G1548">
        <v>3</v>
      </c>
    </row>
    <row r="1549" spans="1:7">
      <c r="A1549">
        <v>3703</v>
      </c>
      <c r="B1549" t="s">
        <v>5650</v>
      </c>
      <c r="C1549" t="s">
        <v>5651</v>
      </c>
      <c r="D1549">
        <v>44435</v>
      </c>
      <c r="E1549">
        <v>6</v>
      </c>
      <c r="F1549">
        <v>6</v>
      </c>
      <c r="G1549">
        <v>6</v>
      </c>
    </row>
    <row r="1550" spans="1:7">
      <c r="A1550">
        <v>2838</v>
      </c>
      <c r="B1550" t="s">
        <v>6064</v>
      </c>
      <c r="C1550" t="s">
        <v>5645</v>
      </c>
      <c r="D1550">
        <v>44435</v>
      </c>
      <c r="E1550">
        <v>6</v>
      </c>
      <c r="F1550">
        <v>6</v>
      </c>
      <c r="G1550">
        <v>6</v>
      </c>
    </row>
    <row r="1551" spans="1:7">
      <c r="A1551">
        <v>3114</v>
      </c>
      <c r="B1551" t="s">
        <v>6203</v>
      </c>
      <c r="C1551" t="s">
        <v>5791</v>
      </c>
      <c r="D1551">
        <v>44435</v>
      </c>
      <c r="E1551">
        <v>3</v>
      </c>
      <c r="F1551">
        <v>3</v>
      </c>
      <c r="G1551">
        <v>3</v>
      </c>
    </row>
    <row r="1552" spans="1:7">
      <c r="A1552">
        <v>1802</v>
      </c>
      <c r="B1552" t="s">
        <v>5978</v>
      </c>
      <c r="C1552" t="s">
        <v>5971</v>
      </c>
      <c r="D1552">
        <v>44435</v>
      </c>
      <c r="E1552">
        <v>4</v>
      </c>
      <c r="F1552">
        <v>4</v>
      </c>
      <c r="G1552">
        <v>4</v>
      </c>
    </row>
    <row r="1553" spans="1:7">
      <c r="A1553">
        <v>3264</v>
      </c>
      <c r="B1553" t="s">
        <v>5755</v>
      </c>
      <c r="C1553" t="s">
        <v>5690</v>
      </c>
      <c r="D1553">
        <v>44435</v>
      </c>
      <c r="E1553">
        <v>3</v>
      </c>
      <c r="F1553">
        <v>3</v>
      </c>
      <c r="G1553">
        <v>3</v>
      </c>
    </row>
    <row r="1554" spans="1:7">
      <c r="A1554">
        <v>1447</v>
      </c>
      <c r="B1554" t="s">
        <v>5705</v>
      </c>
      <c r="C1554" t="s">
        <v>5706</v>
      </c>
      <c r="D1554">
        <v>44435</v>
      </c>
      <c r="E1554">
        <v>8</v>
      </c>
      <c r="F1554">
        <v>8</v>
      </c>
      <c r="G1554">
        <v>8</v>
      </c>
    </row>
    <row r="1555" spans="1:7">
      <c r="A1555">
        <v>2027</v>
      </c>
      <c r="B1555" t="s">
        <v>5994</v>
      </c>
      <c r="C1555" t="s">
        <v>5659</v>
      </c>
      <c r="D1555">
        <v>44435</v>
      </c>
      <c r="E1555">
        <v>4</v>
      </c>
      <c r="F1555">
        <v>4</v>
      </c>
      <c r="G1555">
        <v>4</v>
      </c>
    </row>
    <row r="1556" spans="1:7">
      <c r="A1556">
        <v>5905</v>
      </c>
      <c r="B1556" t="s">
        <v>6098</v>
      </c>
      <c r="C1556" t="s">
        <v>6099</v>
      </c>
      <c r="D1556">
        <v>44435</v>
      </c>
      <c r="E1556">
        <v>5</v>
      </c>
      <c r="F1556">
        <v>5</v>
      </c>
      <c r="G1556">
        <v>5</v>
      </c>
    </row>
    <row r="1557" spans="1:7">
      <c r="A1557">
        <v>9105</v>
      </c>
      <c r="B1557" t="s">
        <v>6015</v>
      </c>
      <c r="C1557" t="s">
        <v>5865</v>
      </c>
      <c r="D1557">
        <v>44435</v>
      </c>
      <c r="E1557">
        <v>4</v>
      </c>
      <c r="F1557">
        <v>4</v>
      </c>
      <c r="G1557">
        <v>4</v>
      </c>
    </row>
    <row r="1558" spans="1:7">
      <c r="A1558">
        <v>2104</v>
      </c>
      <c r="B1558" t="s">
        <v>6082</v>
      </c>
      <c r="C1558" t="s">
        <v>5657</v>
      </c>
      <c r="D1558">
        <v>44435</v>
      </c>
      <c r="E1558">
        <v>6</v>
      </c>
      <c r="F1558">
        <v>6</v>
      </c>
      <c r="G1558">
        <v>6</v>
      </c>
    </row>
    <row r="1559" spans="1:7">
      <c r="A1559">
        <v>4142</v>
      </c>
      <c r="B1559" t="s">
        <v>6087</v>
      </c>
      <c r="C1559" t="s">
        <v>5729</v>
      </c>
      <c r="D1559">
        <v>44435</v>
      </c>
      <c r="E1559">
        <v>8</v>
      </c>
      <c r="F1559">
        <v>8</v>
      </c>
      <c r="G1559">
        <v>8</v>
      </c>
    </row>
    <row r="1560" spans="1:7">
      <c r="A1560">
        <v>1714</v>
      </c>
      <c r="B1560" t="s">
        <v>5824</v>
      </c>
      <c r="C1560" t="s">
        <v>5733</v>
      </c>
      <c r="D1560">
        <v>44435</v>
      </c>
      <c r="E1560">
        <v>8</v>
      </c>
      <c r="F1560">
        <v>8</v>
      </c>
      <c r="G1560">
        <v>8</v>
      </c>
    </row>
    <row r="1561" spans="1:7">
      <c r="A1561">
        <v>6174</v>
      </c>
      <c r="B1561" t="s">
        <v>6026</v>
      </c>
      <c r="C1561" t="s">
        <v>5791</v>
      </c>
      <c r="D1561">
        <v>44435</v>
      </c>
      <c r="E1561">
        <v>4</v>
      </c>
      <c r="F1561">
        <v>4</v>
      </c>
      <c r="G1561">
        <v>4</v>
      </c>
    </row>
    <row r="1562" spans="1:7">
      <c r="A1562">
        <v>8085</v>
      </c>
      <c r="B1562" t="s">
        <v>6023</v>
      </c>
      <c r="C1562" t="s">
        <v>5800</v>
      </c>
      <c r="D1562">
        <v>44435</v>
      </c>
      <c r="E1562">
        <v>8</v>
      </c>
      <c r="F1562">
        <v>8</v>
      </c>
      <c r="G1562">
        <v>8</v>
      </c>
    </row>
    <row r="1563" spans="1:7">
      <c r="A1563">
        <v>1440</v>
      </c>
      <c r="B1563" t="s">
        <v>5981</v>
      </c>
      <c r="C1563" t="s">
        <v>5706</v>
      </c>
      <c r="D1563">
        <v>44435</v>
      </c>
      <c r="E1563">
        <v>5</v>
      </c>
      <c r="F1563">
        <v>5</v>
      </c>
      <c r="G1563">
        <v>5</v>
      </c>
    </row>
    <row r="1564" spans="1:7">
      <c r="A1564">
        <v>1301</v>
      </c>
      <c r="B1564" t="s">
        <v>5841</v>
      </c>
      <c r="C1564" t="s">
        <v>5771</v>
      </c>
      <c r="D1564">
        <v>44435</v>
      </c>
      <c r="E1564">
        <v>11</v>
      </c>
      <c r="F1564">
        <v>11</v>
      </c>
      <c r="G1564">
        <v>11</v>
      </c>
    </row>
    <row r="1565" spans="1:7">
      <c r="A1565">
        <v>2356</v>
      </c>
      <c r="B1565" t="s">
        <v>5648</v>
      </c>
      <c r="C1565" t="s">
        <v>5649</v>
      </c>
      <c r="D1565">
        <v>44435</v>
      </c>
      <c r="E1565">
        <v>8</v>
      </c>
      <c r="F1565">
        <v>8</v>
      </c>
      <c r="G1565">
        <v>8</v>
      </c>
    </row>
    <row r="1566" spans="1:7">
      <c r="A1566">
        <v>2883</v>
      </c>
      <c r="B1566" t="s">
        <v>5915</v>
      </c>
      <c r="C1566" t="s">
        <v>5645</v>
      </c>
      <c r="D1566">
        <v>44435</v>
      </c>
      <c r="E1566">
        <v>7</v>
      </c>
      <c r="F1566">
        <v>7</v>
      </c>
      <c r="G1566">
        <v>7</v>
      </c>
    </row>
    <row r="1567" spans="1:7">
      <c r="A1567">
        <v>2492</v>
      </c>
      <c r="B1567" t="s">
        <v>6021</v>
      </c>
      <c r="C1567" t="s">
        <v>5675</v>
      </c>
      <c r="D1567">
        <v>44435</v>
      </c>
      <c r="E1567">
        <v>5</v>
      </c>
      <c r="F1567">
        <v>5</v>
      </c>
      <c r="G1567">
        <v>5</v>
      </c>
    </row>
    <row r="1568" spans="1:7">
      <c r="A1568">
        <v>5009</v>
      </c>
      <c r="B1568" t="s">
        <v>5868</v>
      </c>
      <c r="C1568" t="s">
        <v>5869</v>
      </c>
      <c r="D1568">
        <v>44435</v>
      </c>
      <c r="E1568">
        <v>5</v>
      </c>
      <c r="F1568">
        <v>5</v>
      </c>
      <c r="G1568">
        <v>5</v>
      </c>
    </row>
    <row r="1569" spans="1:7">
      <c r="A1569">
        <v>1605</v>
      </c>
      <c r="B1569" t="s">
        <v>5857</v>
      </c>
      <c r="C1569" t="s">
        <v>5858</v>
      </c>
      <c r="D1569">
        <v>44435</v>
      </c>
      <c r="E1569">
        <v>9</v>
      </c>
      <c r="F1569">
        <v>9</v>
      </c>
      <c r="G1569">
        <v>9</v>
      </c>
    </row>
    <row r="1570" spans="1:7">
      <c r="A1570">
        <v>3441</v>
      </c>
      <c r="B1570" t="s">
        <v>6204</v>
      </c>
      <c r="C1570" t="s">
        <v>5807</v>
      </c>
      <c r="D1570">
        <v>44435</v>
      </c>
      <c r="E1570">
        <v>1</v>
      </c>
      <c r="F1570">
        <v>1</v>
      </c>
      <c r="G1570">
        <v>1</v>
      </c>
    </row>
    <row r="1571" spans="1:7">
      <c r="A1571">
        <v>2201</v>
      </c>
      <c r="B1571" t="s">
        <v>5929</v>
      </c>
      <c r="C1571" t="s">
        <v>5769</v>
      </c>
      <c r="D1571">
        <v>44435</v>
      </c>
      <c r="E1571">
        <v>9</v>
      </c>
      <c r="F1571">
        <v>9</v>
      </c>
      <c r="G1571">
        <v>9</v>
      </c>
    </row>
    <row r="1572" spans="1:7">
      <c r="A1572">
        <v>3050</v>
      </c>
      <c r="B1572" t="s">
        <v>5927</v>
      </c>
      <c r="C1572" t="s">
        <v>5661</v>
      </c>
      <c r="D1572">
        <v>44435</v>
      </c>
      <c r="E1572">
        <v>5</v>
      </c>
      <c r="F1572">
        <v>5</v>
      </c>
      <c r="G1572">
        <v>5</v>
      </c>
    </row>
    <row r="1573" spans="1:7">
      <c r="A1573">
        <v>2820</v>
      </c>
      <c r="B1573" t="s">
        <v>5787</v>
      </c>
      <c r="C1573" t="s">
        <v>5645</v>
      </c>
      <c r="D1573">
        <v>44435</v>
      </c>
      <c r="E1573">
        <v>4</v>
      </c>
      <c r="F1573">
        <v>4</v>
      </c>
      <c r="G1573">
        <v>4</v>
      </c>
    </row>
    <row r="1574" spans="1:7">
      <c r="A1574">
        <v>1590</v>
      </c>
      <c r="B1574" t="s">
        <v>6205</v>
      </c>
      <c r="C1574" t="s">
        <v>5670</v>
      </c>
      <c r="D1574">
        <v>44435</v>
      </c>
      <c r="E1574">
        <v>1</v>
      </c>
      <c r="F1574">
        <v>1</v>
      </c>
      <c r="G1574">
        <v>1</v>
      </c>
    </row>
    <row r="1575" spans="1:7">
      <c r="A1575">
        <v>2633</v>
      </c>
      <c r="B1575" t="s">
        <v>6130</v>
      </c>
      <c r="C1575" t="s">
        <v>5679</v>
      </c>
      <c r="D1575">
        <v>44435</v>
      </c>
      <c r="E1575">
        <v>8</v>
      </c>
      <c r="F1575">
        <v>8</v>
      </c>
      <c r="G1575">
        <v>8</v>
      </c>
    </row>
    <row r="1576" spans="1:7">
      <c r="A1576">
        <v>2371</v>
      </c>
      <c r="B1576" t="s">
        <v>5900</v>
      </c>
      <c r="C1576" t="s">
        <v>5670</v>
      </c>
      <c r="D1576">
        <v>44435</v>
      </c>
      <c r="E1576">
        <v>6</v>
      </c>
      <c r="F1576">
        <v>6</v>
      </c>
      <c r="G1576">
        <v>6</v>
      </c>
    </row>
    <row r="1577" spans="1:7">
      <c r="A1577">
        <v>2441</v>
      </c>
      <c r="B1577" t="s">
        <v>5699</v>
      </c>
      <c r="C1577" t="s">
        <v>5666</v>
      </c>
      <c r="D1577">
        <v>44435</v>
      </c>
      <c r="E1577">
        <v>6</v>
      </c>
      <c r="F1577">
        <v>6</v>
      </c>
      <c r="G1577">
        <v>6</v>
      </c>
    </row>
    <row r="1578" spans="1:7">
      <c r="A1578">
        <v>9945</v>
      </c>
      <c r="B1578" t="s">
        <v>6171</v>
      </c>
      <c r="C1578" t="s">
        <v>5664</v>
      </c>
      <c r="D1578">
        <v>44435</v>
      </c>
      <c r="E1578">
        <v>3</v>
      </c>
      <c r="F1578">
        <v>3</v>
      </c>
      <c r="G1578">
        <v>3</v>
      </c>
    </row>
    <row r="1579" spans="1:7">
      <c r="A1579">
        <v>1904</v>
      </c>
      <c r="B1579" t="s">
        <v>5907</v>
      </c>
      <c r="C1579" t="s">
        <v>5677</v>
      </c>
      <c r="D1579">
        <v>44435</v>
      </c>
      <c r="E1579">
        <v>5</v>
      </c>
      <c r="F1579">
        <v>5</v>
      </c>
      <c r="G1579">
        <v>5</v>
      </c>
    </row>
    <row r="1580" spans="1:7">
      <c r="A1580">
        <v>1308</v>
      </c>
      <c r="B1580" t="s">
        <v>5804</v>
      </c>
      <c r="C1580" t="s">
        <v>5771</v>
      </c>
      <c r="D1580">
        <v>44435</v>
      </c>
      <c r="E1580">
        <v>7</v>
      </c>
      <c r="F1580">
        <v>7</v>
      </c>
      <c r="G1580">
        <v>7</v>
      </c>
    </row>
    <row r="1581" spans="1:7">
      <c r="A1581">
        <v>2382</v>
      </c>
      <c r="B1581" t="s">
        <v>6107</v>
      </c>
      <c r="C1581" t="s">
        <v>5649</v>
      </c>
      <c r="D1581">
        <v>44435</v>
      </c>
      <c r="E1581">
        <v>6</v>
      </c>
      <c r="F1581">
        <v>6</v>
      </c>
      <c r="G1581">
        <v>6</v>
      </c>
    </row>
    <row r="1582" spans="1:7">
      <c r="A1582">
        <v>1312</v>
      </c>
      <c r="B1582" t="s">
        <v>5773</v>
      </c>
      <c r="C1582" t="s">
        <v>5771</v>
      </c>
      <c r="D1582">
        <v>44435</v>
      </c>
      <c r="E1582">
        <v>8</v>
      </c>
      <c r="F1582">
        <v>8</v>
      </c>
      <c r="G1582">
        <v>8</v>
      </c>
    </row>
    <row r="1583" spans="1:7">
      <c r="A1583">
        <v>2006</v>
      </c>
      <c r="B1583" t="s">
        <v>5843</v>
      </c>
      <c r="C1583" t="s">
        <v>5659</v>
      </c>
      <c r="D1583">
        <v>44435</v>
      </c>
      <c r="E1583">
        <v>7</v>
      </c>
      <c r="F1583">
        <v>7</v>
      </c>
      <c r="G1583">
        <v>7</v>
      </c>
    </row>
    <row r="1584" spans="1:7">
      <c r="A1584">
        <v>3661</v>
      </c>
      <c r="B1584" t="s">
        <v>5763</v>
      </c>
      <c r="C1584" t="s">
        <v>5666</v>
      </c>
      <c r="D1584">
        <v>44435</v>
      </c>
      <c r="E1584">
        <v>3</v>
      </c>
      <c r="F1584">
        <v>3</v>
      </c>
      <c r="G1584">
        <v>3</v>
      </c>
    </row>
    <row r="1585" spans="1:7">
      <c r="A1585">
        <v>3048</v>
      </c>
      <c r="B1585" t="s">
        <v>6120</v>
      </c>
      <c r="C1585" t="s">
        <v>5687</v>
      </c>
      <c r="D1585">
        <v>44435</v>
      </c>
      <c r="E1585">
        <v>4</v>
      </c>
      <c r="F1585">
        <v>4</v>
      </c>
      <c r="G1585">
        <v>4</v>
      </c>
    </row>
    <row r="1586" spans="1:7">
      <c r="A1586">
        <v>8936</v>
      </c>
      <c r="B1586" t="s">
        <v>6206</v>
      </c>
      <c r="C1586" t="s">
        <v>5985</v>
      </c>
      <c r="D1586">
        <v>44435</v>
      </c>
      <c r="E1586">
        <v>3</v>
      </c>
      <c r="F1586">
        <v>3</v>
      </c>
      <c r="G1586">
        <v>3</v>
      </c>
    </row>
    <row r="1587" spans="1:7">
      <c r="A1587">
        <v>5531</v>
      </c>
      <c r="B1587" t="s">
        <v>6166</v>
      </c>
      <c r="C1587" t="s">
        <v>5651</v>
      </c>
      <c r="D1587">
        <v>44435</v>
      </c>
      <c r="E1587">
        <v>3</v>
      </c>
      <c r="F1587">
        <v>3</v>
      </c>
      <c r="G1587">
        <v>3</v>
      </c>
    </row>
    <row r="1588" spans="1:7">
      <c r="A1588">
        <v>1795</v>
      </c>
      <c r="B1588" t="s">
        <v>5728</v>
      </c>
      <c r="C1588" t="s">
        <v>5729</v>
      </c>
      <c r="D1588">
        <v>44435</v>
      </c>
      <c r="E1588">
        <v>4</v>
      </c>
      <c r="F1588">
        <v>4</v>
      </c>
      <c r="G1588">
        <v>4</v>
      </c>
    </row>
    <row r="1589" spans="1:7">
      <c r="A1589">
        <v>6505</v>
      </c>
      <c r="B1589" t="s">
        <v>5942</v>
      </c>
      <c r="C1589" t="s">
        <v>5943</v>
      </c>
      <c r="D1589">
        <v>44435</v>
      </c>
      <c r="E1589">
        <v>10</v>
      </c>
      <c r="F1589">
        <v>10</v>
      </c>
      <c r="G1589">
        <v>10</v>
      </c>
    </row>
    <row r="1590" spans="1:7">
      <c r="A1590">
        <v>6274</v>
      </c>
      <c r="B1590" t="s">
        <v>5999</v>
      </c>
      <c r="C1590" t="s">
        <v>5791</v>
      </c>
      <c r="D1590">
        <v>44435</v>
      </c>
      <c r="E1590">
        <v>7</v>
      </c>
      <c r="F1590">
        <v>7</v>
      </c>
      <c r="G1590">
        <v>7</v>
      </c>
    </row>
    <row r="1591" spans="1:7">
      <c r="A1591">
        <v>2379</v>
      </c>
      <c r="B1591" t="s">
        <v>5713</v>
      </c>
      <c r="C1591" t="s">
        <v>5666</v>
      </c>
      <c r="D1591">
        <v>44435</v>
      </c>
      <c r="E1591">
        <v>4</v>
      </c>
      <c r="F1591">
        <v>4</v>
      </c>
      <c r="G1591">
        <v>4</v>
      </c>
    </row>
    <row r="1592" spans="1:7">
      <c r="A1592">
        <v>1612</v>
      </c>
      <c r="B1592" t="s">
        <v>6207</v>
      </c>
      <c r="C1592" t="s">
        <v>5858</v>
      </c>
      <c r="D1592">
        <v>44435</v>
      </c>
      <c r="E1592">
        <v>1</v>
      </c>
      <c r="F1592">
        <v>1</v>
      </c>
      <c r="G1592">
        <v>1</v>
      </c>
    </row>
    <row r="1593" spans="1:7">
      <c r="A1593">
        <v>2618</v>
      </c>
      <c r="B1593" t="s">
        <v>5881</v>
      </c>
      <c r="C1593" t="s">
        <v>5679</v>
      </c>
      <c r="D1593">
        <v>44435</v>
      </c>
      <c r="E1593">
        <v>4</v>
      </c>
      <c r="F1593">
        <v>4</v>
      </c>
      <c r="G1593">
        <v>4</v>
      </c>
    </row>
    <row r="1594" spans="1:7">
      <c r="A1594">
        <v>3675</v>
      </c>
      <c r="B1594" t="s">
        <v>6105</v>
      </c>
      <c r="C1594" t="s">
        <v>5690</v>
      </c>
      <c r="D1594">
        <v>44435</v>
      </c>
      <c r="E1594">
        <v>6</v>
      </c>
      <c r="F1594">
        <v>6</v>
      </c>
      <c r="G1594">
        <v>6</v>
      </c>
    </row>
    <row r="1595" spans="1:7">
      <c r="A1595">
        <v>4960</v>
      </c>
      <c r="B1595" t="s">
        <v>6059</v>
      </c>
      <c r="C1595" t="s">
        <v>5661</v>
      </c>
      <c r="D1595">
        <v>44435</v>
      </c>
      <c r="E1595">
        <v>7</v>
      </c>
      <c r="F1595">
        <v>7</v>
      </c>
      <c r="G1595">
        <v>7</v>
      </c>
    </row>
    <row r="1596" spans="1:7">
      <c r="A1596">
        <v>1101</v>
      </c>
      <c r="B1596" t="s">
        <v>5822</v>
      </c>
      <c r="C1596" t="s">
        <v>5823</v>
      </c>
      <c r="D1596">
        <v>44435</v>
      </c>
      <c r="E1596">
        <v>8</v>
      </c>
      <c r="F1596">
        <v>8</v>
      </c>
      <c r="G1596">
        <v>8</v>
      </c>
    </row>
    <row r="1597" spans="1:7">
      <c r="A1597">
        <v>9907</v>
      </c>
      <c r="B1597" t="s">
        <v>5812</v>
      </c>
      <c r="C1597" t="s">
        <v>5664</v>
      </c>
      <c r="D1597">
        <v>44435</v>
      </c>
      <c r="E1597">
        <v>7</v>
      </c>
      <c r="F1597">
        <v>7</v>
      </c>
      <c r="G1597">
        <v>7</v>
      </c>
    </row>
    <row r="1598" spans="1:7">
      <c r="A1598">
        <v>5014</v>
      </c>
      <c r="B1598" t="s">
        <v>6034</v>
      </c>
      <c r="C1598" t="s">
        <v>5869</v>
      </c>
      <c r="D1598">
        <v>44435</v>
      </c>
      <c r="E1598">
        <v>3</v>
      </c>
      <c r="F1598">
        <v>3</v>
      </c>
      <c r="G1598">
        <v>3</v>
      </c>
    </row>
    <row r="1599" spans="1:7">
      <c r="A1599">
        <v>6015</v>
      </c>
      <c r="B1599" t="s">
        <v>5973</v>
      </c>
      <c r="C1599" t="s">
        <v>5798</v>
      </c>
      <c r="D1599">
        <v>44435</v>
      </c>
      <c r="E1599">
        <v>4</v>
      </c>
      <c r="F1599">
        <v>4</v>
      </c>
      <c r="G1599">
        <v>4</v>
      </c>
    </row>
    <row r="1600" spans="1:7">
      <c r="A1600">
        <v>5475</v>
      </c>
      <c r="B1600" t="s">
        <v>6054</v>
      </c>
      <c r="C1600" t="s">
        <v>5791</v>
      </c>
      <c r="D1600">
        <v>44435</v>
      </c>
      <c r="E1600">
        <v>5</v>
      </c>
      <c r="F1600">
        <v>5</v>
      </c>
      <c r="G1600">
        <v>5</v>
      </c>
    </row>
    <row r="1601" spans="1:7">
      <c r="A1601">
        <v>4306</v>
      </c>
      <c r="B1601" t="s">
        <v>6175</v>
      </c>
      <c r="C1601" t="s">
        <v>5771</v>
      </c>
      <c r="D1601">
        <v>44435</v>
      </c>
      <c r="E1601">
        <v>3</v>
      </c>
      <c r="F1601">
        <v>3</v>
      </c>
      <c r="G1601">
        <v>3</v>
      </c>
    </row>
    <row r="1602" spans="1:7">
      <c r="A1602">
        <v>8112</v>
      </c>
      <c r="B1602" t="s">
        <v>6029</v>
      </c>
      <c r="C1602" t="s">
        <v>5687</v>
      </c>
      <c r="D1602">
        <v>44434</v>
      </c>
      <c r="E1602">
        <v>6</v>
      </c>
      <c r="F1602">
        <v>6</v>
      </c>
      <c r="G1602">
        <v>6</v>
      </c>
    </row>
    <row r="1603" spans="1:7">
      <c r="A1603">
        <v>2347</v>
      </c>
      <c r="B1603" t="s">
        <v>5793</v>
      </c>
      <c r="C1603" t="s">
        <v>5687</v>
      </c>
      <c r="D1603">
        <v>44434</v>
      </c>
      <c r="E1603">
        <v>6</v>
      </c>
      <c r="F1603">
        <v>6</v>
      </c>
      <c r="G1603">
        <v>6</v>
      </c>
    </row>
    <row r="1604" spans="1:7">
      <c r="A1604">
        <v>1722</v>
      </c>
      <c r="B1604" t="s">
        <v>5882</v>
      </c>
      <c r="C1604" t="s">
        <v>5733</v>
      </c>
      <c r="D1604">
        <v>44434</v>
      </c>
      <c r="E1604">
        <v>9</v>
      </c>
      <c r="F1604">
        <v>9</v>
      </c>
      <c r="G1604">
        <v>9</v>
      </c>
    </row>
    <row r="1605" spans="1:7">
      <c r="A1605">
        <v>2838</v>
      </c>
      <c r="B1605" t="s">
        <v>6064</v>
      </c>
      <c r="C1605" t="s">
        <v>5645</v>
      </c>
      <c r="D1605">
        <v>44434</v>
      </c>
      <c r="E1605">
        <v>6</v>
      </c>
      <c r="F1605">
        <v>6</v>
      </c>
      <c r="G1605">
        <v>6</v>
      </c>
    </row>
    <row r="1606" spans="1:7">
      <c r="A1606">
        <v>2515</v>
      </c>
      <c r="B1606" t="s">
        <v>6095</v>
      </c>
      <c r="C1606" t="s">
        <v>5651</v>
      </c>
      <c r="D1606">
        <v>44434</v>
      </c>
      <c r="E1606">
        <v>10</v>
      </c>
      <c r="F1606">
        <v>10</v>
      </c>
      <c r="G1606">
        <v>10</v>
      </c>
    </row>
    <row r="1607" spans="1:7">
      <c r="A1607">
        <v>1305</v>
      </c>
      <c r="B1607" t="s">
        <v>5770</v>
      </c>
      <c r="C1607" t="s">
        <v>5771</v>
      </c>
      <c r="D1607">
        <v>44434</v>
      </c>
      <c r="E1607">
        <v>7</v>
      </c>
      <c r="F1607">
        <v>7</v>
      </c>
      <c r="G1607">
        <v>7</v>
      </c>
    </row>
    <row r="1608" spans="1:7">
      <c r="A1608">
        <v>2367</v>
      </c>
      <c r="B1608" t="s">
        <v>6208</v>
      </c>
      <c r="C1608" t="s">
        <v>5675</v>
      </c>
      <c r="D1608">
        <v>44434</v>
      </c>
      <c r="E1608">
        <v>2</v>
      </c>
      <c r="F1608">
        <v>2</v>
      </c>
      <c r="G1608">
        <v>2</v>
      </c>
    </row>
    <row r="1609" spans="1:7">
      <c r="A1609">
        <v>6573</v>
      </c>
      <c r="B1609" t="s">
        <v>6199</v>
      </c>
      <c r="C1609" t="s">
        <v>5666</v>
      </c>
      <c r="D1609">
        <v>44434</v>
      </c>
      <c r="E1609">
        <v>2</v>
      </c>
      <c r="F1609">
        <v>2</v>
      </c>
      <c r="G1609">
        <v>2</v>
      </c>
    </row>
    <row r="1610" spans="1:7">
      <c r="A1610">
        <v>2823</v>
      </c>
      <c r="B1610" t="s">
        <v>5811</v>
      </c>
      <c r="C1610" t="s">
        <v>5645</v>
      </c>
      <c r="D1610">
        <v>44434</v>
      </c>
      <c r="E1610">
        <v>17</v>
      </c>
      <c r="F1610">
        <v>17</v>
      </c>
      <c r="G1610">
        <v>17</v>
      </c>
    </row>
    <row r="1611" spans="1:7">
      <c r="A1611">
        <v>6251</v>
      </c>
      <c r="B1611" t="s">
        <v>5922</v>
      </c>
      <c r="C1611" t="s">
        <v>5675</v>
      </c>
      <c r="D1611">
        <v>44434</v>
      </c>
      <c r="E1611">
        <v>5</v>
      </c>
      <c r="F1611">
        <v>5</v>
      </c>
      <c r="G1611">
        <v>5</v>
      </c>
    </row>
    <row r="1612" spans="1:7">
      <c r="A1612">
        <v>4904</v>
      </c>
      <c r="B1612" t="s">
        <v>5654</v>
      </c>
      <c r="C1612" t="s">
        <v>5653</v>
      </c>
      <c r="D1612">
        <v>44434</v>
      </c>
      <c r="E1612">
        <v>15</v>
      </c>
      <c r="F1612">
        <v>15</v>
      </c>
      <c r="G1612">
        <v>15</v>
      </c>
    </row>
    <row r="1613" spans="1:7">
      <c r="A1613">
        <v>911616</v>
      </c>
      <c r="B1613" t="s">
        <v>6180</v>
      </c>
      <c r="C1613" t="s">
        <v>5865</v>
      </c>
      <c r="D1613">
        <v>44434</v>
      </c>
      <c r="E1613">
        <v>6</v>
      </c>
      <c r="F1613">
        <v>6</v>
      </c>
      <c r="G1613">
        <v>6</v>
      </c>
    </row>
    <row r="1614" spans="1:7">
      <c r="A1614">
        <v>2201</v>
      </c>
      <c r="B1614" t="s">
        <v>5929</v>
      </c>
      <c r="C1614" t="s">
        <v>5769</v>
      </c>
      <c r="D1614">
        <v>44434</v>
      </c>
      <c r="E1614">
        <v>9</v>
      </c>
      <c r="F1614">
        <v>9</v>
      </c>
      <c r="G1614">
        <v>9</v>
      </c>
    </row>
    <row r="1615" spans="1:7">
      <c r="A1615">
        <v>2442</v>
      </c>
      <c r="B1615" t="s">
        <v>5941</v>
      </c>
      <c r="C1615" t="s">
        <v>5649</v>
      </c>
      <c r="D1615">
        <v>44434</v>
      </c>
      <c r="E1615">
        <v>8</v>
      </c>
      <c r="F1615">
        <v>8</v>
      </c>
      <c r="G1615">
        <v>8</v>
      </c>
    </row>
    <row r="1616" spans="1:7">
      <c r="A1616">
        <v>1725</v>
      </c>
      <c r="B1616" t="s">
        <v>1329</v>
      </c>
      <c r="C1616" t="s">
        <v>5733</v>
      </c>
      <c r="D1616">
        <v>44434</v>
      </c>
      <c r="E1616">
        <v>3</v>
      </c>
      <c r="F1616">
        <v>3</v>
      </c>
      <c r="G1616">
        <v>3</v>
      </c>
    </row>
    <row r="1617" spans="1:7">
      <c r="A1617">
        <v>3033</v>
      </c>
      <c r="B1617" t="s">
        <v>5796</v>
      </c>
      <c r="C1617" t="s">
        <v>5687</v>
      </c>
      <c r="D1617">
        <v>44434</v>
      </c>
      <c r="E1617">
        <v>3</v>
      </c>
      <c r="F1617">
        <v>3</v>
      </c>
      <c r="G1617">
        <v>3</v>
      </c>
    </row>
    <row r="1618" spans="1:7">
      <c r="A1618">
        <v>1314</v>
      </c>
      <c r="B1618" t="s">
        <v>5809</v>
      </c>
      <c r="C1618" t="s">
        <v>5771</v>
      </c>
      <c r="D1618">
        <v>44434</v>
      </c>
      <c r="E1618">
        <v>8</v>
      </c>
      <c r="F1618">
        <v>8</v>
      </c>
      <c r="G1618">
        <v>8</v>
      </c>
    </row>
    <row r="1619" spans="1:7">
      <c r="A1619">
        <v>2032</v>
      </c>
      <c r="B1619" t="s">
        <v>5998</v>
      </c>
      <c r="C1619" t="s">
        <v>5659</v>
      </c>
      <c r="D1619">
        <v>44434</v>
      </c>
      <c r="E1619">
        <v>2</v>
      </c>
      <c r="F1619">
        <v>2</v>
      </c>
      <c r="G1619">
        <v>2</v>
      </c>
    </row>
    <row r="1620" spans="1:7">
      <c r="A1620">
        <v>2504</v>
      </c>
      <c r="B1620" t="s">
        <v>5708</v>
      </c>
      <c r="C1620" t="s">
        <v>5651</v>
      </c>
      <c r="D1620">
        <v>44434</v>
      </c>
      <c r="E1620">
        <v>8</v>
      </c>
      <c r="F1620">
        <v>8</v>
      </c>
      <c r="G1620">
        <v>8</v>
      </c>
    </row>
    <row r="1621" spans="1:7">
      <c r="A1621">
        <v>2809</v>
      </c>
      <c r="B1621" t="s">
        <v>5810</v>
      </c>
      <c r="C1621" t="s">
        <v>5645</v>
      </c>
      <c r="D1621">
        <v>44434</v>
      </c>
      <c r="E1621">
        <v>15</v>
      </c>
      <c r="F1621">
        <v>15</v>
      </c>
      <c r="G1621">
        <v>15</v>
      </c>
    </row>
    <row r="1622" spans="1:7">
      <c r="A1622">
        <v>5521</v>
      </c>
      <c r="B1622" t="s">
        <v>6028</v>
      </c>
      <c r="C1622" t="s">
        <v>5651</v>
      </c>
      <c r="D1622">
        <v>44434</v>
      </c>
      <c r="E1622">
        <v>4</v>
      </c>
      <c r="F1622">
        <v>4</v>
      </c>
      <c r="G1622">
        <v>4</v>
      </c>
    </row>
    <row r="1623" spans="1:7">
      <c r="A1623">
        <v>5876</v>
      </c>
      <c r="B1623" t="s">
        <v>5715</v>
      </c>
      <c r="C1623" t="s">
        <v>5645</v>
      </c>
      <c r="D1623">
        <v>44434</v>
      </c>
      <c r="E1623">
        <v>14</v>
      </c>
      <c r="F1623">
        <v>14</v>
      </c>
      <c r="G1623">
        <v>14</v>
      </c>
    </row>
    <row r="1624" spans="1:7">
      <c r="A1624">
        <v>1504</v>
      </c>
      <c r="B1624" t="s">
        <v>5669</v>
      </c>
      <c r="C1624" t="s">
        <v>5670</v>
      </c>
      <c r="D1624">
        <v>44434</v>
      </c>
      <c r="E1624">
        <v>8</v>
      </c>
      <c r="F1624">
        <v>8</v>
      </c>
      <c r="G1624">
        <v>8</v>
      </c>
    </row>
    <row r="1625" spans="1:7">
      <c r="A1625">
        <v>3058</v>
      </c>
      <c r="B1625" t="s">
        <v>6089</v>
      </c>
      <c r="C1625" t="s">
        <v>5675</v>
      </c>
      <c r="D1625">
        <v>44434</v>
      </c>
      <c r="E1625">
        <v>4</v>
      </c>
      <c r="F1625">
        <v>4</v>
      </c>
      <c r="G1625">
        <v>4</v>
      </c>
    </row>
    <row r="1626" spans="1:7">
      <c r="A1626">
        <v>2892</v>
      </c>
      <c r="B1626" t="s">
        <v>5930</v>
      </c>
      <c r="C1626" t="s">
        <v>5645</v>
      </c>
      <c r="D1626">
        <v>44434</v>
      </c>
      <c r="E1626">
        <v>5</v>
      </c>
      <c r="F1626">
        <v>5</v>
      </c>
      <c r="G1626">
        <v>5</v>
      </c>
    </row>
    <row r="1627" spans="1:7">
      <c r="A1627">
        <v>1304</v>
      </c>
      <c r="B1627" t="s">
        <v>6024</v>
      </c>
      <c r="C1627" t="s">
        <v>5771</v>
      </c>
      <c r="D1627">
        <v>44434</v>
      </c>
      <c r="E1627">
        <v>8</v>
      </c>
      <c r="F1627">
        <v>8</v>
      </c>
      <c r="G1627">
        <v>8</v>
      </c>
    </row>
    <row r="1628" spans="1:7">
      <c r="A1628">
        <v>2028</v>
      </c>
      <c r="B1628" t="s">
        <v>5995</v>
      </c>
      <c r="C1628" t="s">
        <v>5659</v>
      </c>
      <c r="D1628">
        <v>44434</v>
      </c>
      <c r="E1628">
        <v>4</v>
      </c>
      <c r="F1628">
        <v>4</v>
      </c>
      <c r="G1628">
        <v>4</v>
      </c>
    </row>
    <row r="1629" spans="1:7">
      <c r="A1629">
        <v>8069</v>
      </c>
      <c r="B1629" t="s">
        <v>5806</v>
      </c>
      <c r="C1629" t="s">
        <v>5807</v>
      </c>
      <c r="D1629">
        <v>44434</v>
      </c>
      <c r="E1629">
        <v>2</v>
      </c>
      <c r="F1629">
        <v>2</v>
      </c>
      <c r="G1629">
        <v>2</v>
      </c>
    </row>
    <row r="1630" spans="1:7">
      <c r="A1630">
        <v>2891</v>
      </c>
      <c r="B1630" t="s">
        <v>6065</v>
      </c>
      <c r="C1630" t="s">
        <v>5645</v>
      </c>
      <c r="D1630">
        <v>44434</v>
      </c>
      <c r="E1630">
        <v>4</v>
      </c>
      <c r="F1630">
        <v>4</v>
      </c>
      <c r="G1630">
        <v>4</v>
      </c>
    </row>
    <row r="1631" spans="1:7">
      <c r="A1631">
        <v>3587</v>
      </c>
      <c r="B1631" t="s">
        <v>6007</v>
      </c>
      <c r="C1631" t="s">
        <v>5800</v>
      </c>
      <c r="D1631">
        <v>44434</v>
      </c>
      <c r="E1631">
        <v>3</v>
      </c>
      <c r="F1631">
        <v>3</v>
      </c>
      <c r="G1631">
        <v>3</v>
      </c>
    </row>
    <row r="1632" spans="1:7">
      <c r="A1632">
        <v>3703</v>
      </c>
      <c r="B1632" t="s">
        <v>5650</v>
      </c>
      <c r="C1632" t="s">
        <v>5651</v>
      </c>
      <c r="D1632">
        <v>44434</v>
      </c>
      <c r="E1632">
        <v>6</v>
      </c>
      <c r="F1632">
        <v>6</v>
      </c>
      <c r="G1632">
        <v>6</v>
      </c>
    </row>
    <row r="1633" spans="1:7">
      <c r="A1633">
        <v>1217</v>
      </c>
      <c r="B1633" t="s">
        <v>5871</v>
      </c>
      <c r="C1633" t="s">
        <v>5872</v>
      </c>
      <c r="D1633">
        <v>44434</v>
      </c>
      <c r="E1633">
        <v>7</v>
      </c>
      <c r="F1633">
        <v>7</v>
      </c>
      <c r="G1633">
        <v>7</v>
      </c>
    </row>
    <row r="1634" spans="1:7">
      <c r="A1634">
        <v>2023</v>
      </c>
      <c r="B1634" t="s">
        <v>5887</v>
      </c>
      <c r="C1634" t="s">
        <v>5659</v>
      </c>
      <c r="D1634">
        <v>44434</v>
      </c>
      <c r="E1634">
        <v>6</v>
      </c>
      <c r="F1634">
        <v>6</v>
      </c>
      <c r="G1634">
        <v>6</v>
      </c>
    </row>
    <row r="1635" spans="1:7">
      <c r="A1635">
        <v>1904</v>
      </c>
      <c r="B1635" t="s">
        <v>5907</v>
      </c>
      <c r="C1635" t="s">
        <v>5677</v>
      </c>
      <c r="D1635">
        <v>44434</v>
      </c>
      <c r="E1635">
        <v>5</v>
      </c>
      <c r="F1635">
        <v>5</v>
      </c>
      <c r="G1635">
        <v>5</v>
      </c>
    </row>
    <row r="1636" spans="1:7">
      <c r="A1636">
        <v>3050</v>
      </c>
      <c r="B1636" t="s">
        <v>5927</v>
      </c>
      <c r="C1636" t="s">
        <v>5661</v>
      </c>
      <c r="D1636">
        <v>44434</v>
      </c>
      <c r="E1636">
        <v>5</v>
      </c>
      <c r="F1636">
        <v>5</v>
      </c>
      <c r="G1636">
        <v>5</v>
      </c>
    </row>
    <row r="1637" spans="1:7">
      <c r="A1637">
        <v>1467</v>
      </c>
      <c r="B1637" t="s">
        <v>5919</v>
      </c>
      <c r="C1637" t="s">
        <v>5706</v>
      </c>
      <c r="D1637">
        <v>44434</v>
      </c>
      <c r="E1637">
        <v>5</v>
      </c>
      <c r="F1637">
        <v>5</v>
      </c>
      <c r="G1637">
        <v>5</v>
      </c>
    </row>
    <row r="1638" spans="1:7">
      <c r="A1638">
        <v>2369</v>
      </c>
      <c r="B1638" t="s">
        <v>5778</v>
      </c>
      <c r="C1638" t="s">
        <v>5666</v>
      </c>
      <c r="D1638">
        <v>44434</v>
      </c>
      <c r="E1638">
        <v>8</v>
      </c>
      <c r="F1638">
        <v>8</v>
      </c>
      <c r="G1638">
        <v>8</v>
      </c>
    </row>
    <row r="1639" spans="1:7">
      <c r="A1639">
        <v>2030</v>
      </c>
      <c r="B1639" t="s">
        <v>5893</v>
      </c>
      <c r="C1639" t="s">
        <v>5659</v>
      </c>
      <c r="D1639">
        <v>44434</v>
      </c>
      <c r="E1639">
        <v>5</v>
      </c>
      <c r="F1639">
        <v>5</v>
      </c>
      <c r="G1639">
        <v>5</v>
      </c>
    </row>
    <row r="1640" spans="1:7">
      <c r="A1640">
        <v>8249</v>
      </c>
      <c r="B1640" t="s">
        <v>6085</v>
      </c>
      <c r="C1640" t="s">
        <v>5675</v>
      </c>
      <c r="D1640">
        <v>44434</v>
      </c>
      <c r="E1640">
        <v>8</v>
      </c>
      <c r="F1640">
        <v>8</v>
      </c>
      <c r="G1640">
        <v>8</v>
      </c>
    </row>
    <row r="1641" spans="1:7">
      <c r="A1641">
        <v>6217</v>
      </c>
      <c r="B1641" t="s">
        <v>5913</v>
      </c>
      <c r="C1641" t="s">
        <v>5791</v>
      </c>
      <c r="D1641">
        <v>44434</v>
      </c>
      <c r="E1641">
        <v>4</v>
      </c>
      <c r="F1641">
        <v>4</v>
      </c>
      <c r="G1641">
        <v>4</v>
      </c>
    </row>
    <row r="1642" spans="1:7">
      <c r="A1642">
        <v>3526</v>
      </c>
      <c r="B1642" t="s">
        <v>5932</v>
      </c>
      <c r="C1642" t="s">
        <v>5791</v>
      </c>
      <c r="D1642">
        <v>44434</v>
      </c>
      <c r="E1642">
        <v>4</v>
      </c>
      <c r="F1642">
        <v>4</v>
      </c>
      <c r="G1642">
        <v>4</v>
      </c>
    </row>
    <row r="1643" spans="1:7">
      <c r="A1643">
        <v>3689</v>
      </c>
      <c r="B1643" t="s">
        <v>6189</v>
      </c>
      <c r="C1643" t="s">
        <v>5791</v>
      </c>
      <c r="D1643">
        <v>44434</v>
      </c>
      <c r="E1643">
        <v>3</v>
      </c>
      <c r="F1643">
        <v>3</v>
      </c>
      <c r="G1643">
        <v>3</v>
      </c>
    </row>
    <row r="1644" spans="1:7">
      <c r="A1644">
        <v>1909</v>
      </c>
      <c r="B1644" t="s">
        <v>5676</v>
      </c>
      <c r="C1644" t="s">
        <v>5677</v>
      </c>
      <c r="D1644">
        <v>44434</v>
      </c>
      <c r="E1644">
        <v>6</v>
      </c>
      <c r="F1644">
        <v>6</v>
      </c>
      <c r="G1644">
        <v>6</v>
      </c>
    </row>
    <row r="1645" spans="1:7">
      <c r="A1645">
        <v>2399</v>
      </c>
      <c r="B1645" t="s">
        <v>5923</v>
      </c>
      <c r="C1645" t="s">
        <v>5649</v>
      </c>
      <c r="D1645">
        <v>44434</v>
      </c>
      <c r="E1645">
        <v>4</v>
      </c>
      <c r="F1645">
        <v>4</v>
      </c>
      <c r="G1645">
        <v>4</v>
      </c>
    </row>
    <row r="1646" spans="1:7">
      <c r="A1646">
        <v>2323</v>
      </c>
      <c r="B1646" t="s">
        <v>6004</v>
      </c>
      <c r="C1646" t="s">
        <v>5661</v>
      </c>
      <c r="D1646">
        <v>44434</v>
      </c>
      <c r="E1646">
        <v>4</v>
      </c>
      <c r="F1646">
        <v>4</v>
      </c>
      <c r="G1646">
        <v>4</v>
      </c>
    </row>
    <row r="1647" spans="1:7">
      <c r="A1647">
        <v>4306</v>
      </c>
      <c r="B1647" t="s">
        <v>6175</v>
      </c>
      <c r="C1647" t="s">
        <v>5771</v>
      </c>
      <c r="D1647">
        <v>44434</v>
      </c>
      <c r="E1647">
        <v>3</v>
      </c>
      <c r="F1647">
        <v>3</v>
      </c>
      <c r="G1647">
        <v>3</v>
      </c>
    </row>
    <row r="1648" spans="1:7">
      <c r="A1648">
        <v>1718</v>
      </c>
      <c r="B1648" t="s">
        <v>5816</v>
      </c>
      <c r="C1648" t="s">
        <v>5733</v>
      </c>
      <c r="D1648">
        <v>44434</v>
      </c>
      <c r="E1648">
        <v>13</v>
      </c>
      <c r="F1648">
        <v>13</v>
      </c>
      <c r="G1648">
        <v>13</v>
      </c>
    </row>
    <row r="1649" spans="1:7">
      <c r="A1649">
        <v>1402</v>
      </c>
      <c r="B1649" t="s">
        <v>5851</v>
      </c>
      <c r="C1649" t="s">
        <v>5706</v>
      </c>
      <c r="D1649">
        <v>44434</v>
      </c>
      <c r="E1649">
        <v>10</v>
      </c>
      <c r="F1649">
        <v>10</v>
      </c>
      <c r="G1649">
        <v>10</v>
      </c>
    </row>
    <row r="1650" spans="1:7">
      <c r="A1650">
        <v>3048</v>
      </c>
      <c r="B1650" t="s">
        <v>6120</v>
      </c>
      <c r="C1650" t="s">
        <v>5687</v>
      </c>
      <c r="D1650">
        <v>44434</v>
      </c>
      <c r="E1650">
        <v>4</v>
      </c>
      <c r="F1650">
        <v>4</v>
      </c>
      <c r="G1650">
        <v>4</v>
      </c>
    </row>
    <row r="1651" spans="1:7">
      <c r="A1651">
        <v>1301</v>
      </c>
      <c r="B1651" t="s">
        <v>5841</v>
      </c>
      <c r="C1651" t="s">
        <v>5771</v>
      </c>
      <c r="D1651">
        <v>44434</v>
      </c>
      <c r="E1651">
        <v>11</v>
      </c>
      <c r="F1651">
        <v>11</v>
      </c>
      <c r="G1651">
        <v>11</v>
      </c>
    </row>
    <row r="1652" spans="1:7">
      <c r="A1652">
        <v>2345</v>
      </c>
      <c r="B1652" t="s">
        <v>5703</v>
      </c>
      <c r="C1652" t="s">
        <v>5653</v>
      </c>
      <c r="D1652">
        <v>44434</v>
      </c>
      <c r="E1652">
        <v>6</v>
      </c>
      <c r="F1652">
        <v>6</v>
      </c>
      <c r="G1652">
        <v>6</v>
      </c>
    </row>
    <row r="1653" spans="1:7">
      <c r="A1653">
        <v>4960</v>
      </c>
      <c r="B1653" t="s">
        <v>6059</v>
      </c>
      <c r="C1653" t="s">
        <v>5661</v>
      </c>
      <c r="D1653">
        <v>44434</v>
      </c>
      <c r="E1653">
        <v>7</v>
      </c>
      <c r="F1653">
        <v>7</v>
      </c>
      <c r="G1653">
        <v>7</v>
      </c>
    </row>
    <row r="1654" spans="1:7">
      <c r="A1654">
        <v>2352</v>
      </c>
      <c r="B1654" t="s">
        <v>6008</v>
      </c>
      <c r="C1654" t="s">
        <v>5649</v>
      </c>
      <c r="D1654">
        <v>44434</v>
      </c>
      <c r="E1654">
        <v>4</v>
      </c>
      <c r="F1654">
        <v>4</v>
      </c>
      <c r="G1654">
        <v>4</v>
      </c>
    </row>
    <row r="1655" spans="1:7">
      <c r="A1655">
        <v>2221</v>
      </c>
      <c r="B1655" t="s">
        <v>6209</v>
      </c>
      <c r="C1655" t="s">
        <v>5985</v>
      </c>
      <c r="D1655">
        <v>44434</v>
      </c>
      <c r="E1655">
        <v>3</v>
      </c>
      <c r="F1655">
        <v>3</v>
      </c>
      <c r="G1655">
        <v>3</v>
      </c>
    </row>
    <row r="1656" spans="1:7">
      <c r="A1656">
        <v>2013</v>
      </c>
      <c r="B1656" t="s">
        <v>6000</v>
      </c>
      <c r="C1656" t="s">
        <v>5659</v>
      </c>
      <c r="D1656">
        <v>44434</v>
      </c>
      <c r="E1656">
        <v>8</v>
      </c>
      <c r="F1656">
        <v>8</v>
      </c>
      <c r="G1656">
        <v>8</v>
      </c>
    </row>
    <row r="1657" spans="1:7">
      <c r="A1657">
        <v>9962</v>
      </c>
      <c r="B1657" t="s">
        <v>5997</v>
      </c>
      <c r="C1657" t="s">
        <v>5869</v>
      </c>
      <c r="D1657">
        <v>44434</v>
      </c>
      <c r="E1657">
        <v>5</v>
      </c>
      <c r="F1657">
        <v>5</v>
      </c>
      <c r="G1657">
        <v>5</v>
      </c>
    </row>
    <row r="1658" spans="1:7">
      <c r="A1658">
        <v>1310</v>
      </c>
      <c r="B1658" t="s">
        <v>5801</v>
      </c>
      <c r="C1658" t="s">
        <v>5771</v>
      </c>
      <c r="D1658">
        <v>44434</v>
      </c>
      <c r="E1658">
        <v>8</v>
      </c>
      <c r="F1658">
        <v>8</v>
      </c>
      <c r="G1658">
        <v>8</v>
      </c>
    </row>
    <row r="1659" spans="1:7">
      <c r="A1659">
        <v>1905</v>
      </c>
      <c r="B1659" t="s">
        <v>5897</v>
      </c>
      <c r="C1659" t="s">
        <v>5677</v>
      </c>
      <c r="D1659">
        <v>44434</v>
      </c>
      <c r="E1659">
        <v>6</v>
      </c>
      <c r="F1659">
        <v>6</v>
      </c>
      <c r="G1659">
        <v>6</v>
      </c>
    </row>
    <row r="1660" spans="1:7">
      <c r="A1660">
        <v>4934</v>
      </c>
      <c r="B1660" t="s">
        <v>5875</v>
      </c>
      <c r="C1660" t="s">
        <v>5661</v>
      </c>
      <c r="D1660">
        <v>44434</v>
      </c>
      <c r="E1660">
        <v>3</v>
      </c>
      <c r="F1660">
        <v>3</v>
      </c>
      <c r="G1660">
        <v>3</v>
      </c>
    </row>
    <row r="1661" spans="1:7">
      <c r="A1661">
        <v>8110</v>
      </c>
      <c r="B1661" t="s">
        <v>5685</v>
      </c>
      <c r="C1661" t="s">
        <v>5666</v>
      </c>
      <c r="D1661">
        <v>44434</v>
      </c>
      <c r="E1661">
        <v>8</v>
      </c>
      <c r="F1661">
        <v>8</v>
      </c>
      <c r="G1661">
        <v>8</v>
      </c>
    </row>
    <row r="1662" spans="1:7">
      <c r="A1662">
        <v>1734</v>
      </c>
      <c r="B1662" t="s">
        <v>5983</v>
      </c>
      <c r="C1662" t="s">
        <v>5729</v>
      </c>
      <c r="D1662">
        <v>44434</v>
      </c>
      <c r="E1662">
        <v>4</v>
      </c>
      <c r="F1662">
        <v>4</v>
      </c>
      <c r="G1662">
        <v>4</v>
      </c>
    </row>
    <row r="1663" spans="1:7">
      <c r="A1663">
        <v>3019</v>
      </c>
      <c r="B1663" t="s">
        <v>6210</v>
      </c>
      <c r="C1663" t="s">
        <v>5661</v>
      </c>
      <c r="D1663">
        <v>44434</v>
      </c>
      <c r="E1663">
        <v>2</v>
      </c>
      <c r="F1663">
        <v>2</v>
      </c>
      <c r="G1663">
        <v>2</v>
      </c>
    </row>
    <row r="1664" spans="1:7">
      <c r="A1664">
        <v>1907</v>
      </c>
      <c r="B1664" t="s">
        <v>6006</v>
      </c>
      <c r="C1664" t="s">
        <v>5677</v>
      </c>
      <c r="D1664">
        <v>44434</v>
      </c>
      <c r="E1664">
        <v>8</v>
      </c>
      <c r="F1664">
        <v>8</v>
      </c>
      <c r="G1664">
        <v>8</v>
      </c>
    </row>
    <row r="1665" spans="1:7">
      <c r="A1665">
        <v>2377</v>
      </c>
      <c r="B1665" t="s">
        <v>5688</v>
      </c>
      <c r="C1665" t="s">
        <v>5649</v>
      </c>
      <c r="D1665">
        <v>44434</v>
      </c>
      <c r="E1665">
        <v>7</v>
      </c>
      <c r="F1665">
        <v>7</v>
      </c>
      <c r="G1665">
        <v>7</v>
      </c>
    </row>
    <row r="1666" spans="1:7">
      <c r="A1666">
        <v>5328</v>
      </c>
      <c r="B1666" t="s">
        <v>5906</v>
      </c>
      <c r="C1666" t="s">
        <v>5791</v>
      </c>
      <c r="D1666">
        <v>44434</v>
      </c>
      <c r="E1666">
        <v>7</v>
      </c>
      <c r="F1666">
        <v>7</v>
      </c>
      <c r="G1666">
        <v>7</v>
      </c>
    </row>
    <row r="1667" spans="1:7">
      <c r="A1667">
        <v>1312</v>
      </c>
      <c r="B1667" t="s">
        <v>5773</v>
      </c>
      <c r="C1667" t="s">
        <v>5771</v>
      </c>
      <c r="D1667">
        <v>44434</v>
      </c>
      <c r="E1667">
        <v>8</v>
      </c>
      <c r="F1667">
        <v>8</v>
      </c>
      <c r="G1667">
        <v>8</v>
      </c>
    </row>
    <row r="1668" spans="1:7">
      <c r="A1668">
        <v>5388</v>
      </c>
      <c r="B1668" t="s">
        <v>6211</v>
      </c>
      <c r="C1668" t="s">
        <v>5653</v>
      </c>
      <c r="D1668">
        <v>44434</v>
      </c>
      <c r="E1668">
        <v>1</v>
      </c>
      <c r="F1668">
        <v>1</v>
      </c>
      <c r="G1668">
        <v>1</v>
      </c>
    </row>
    <row r="1669" spans="1:7">
      <c r="A1669">
        <v>4906</v>
      </c>
      <c r="B1669" t="s">
        <v>6192</v>
      </c>
      <c r="C1669" t="s">
        <v>5653</v>
      </c>
      <c r="D1669">
        <v>44434</v>
      </c>
      <c r="E1669">
        <v>3</v>
      </c>
      <c r="F1669">
        <v>3</v>
      </c>
      <c r="G1669">
        <v>3</v>
      </c>
    </row>
    <row r="1670" spans="1:7">
      <c r="A1670">
        <v>3596</v>
      </c>
      <c r="B1670" t="s">
        <v>6046</v>
      </c>
      <c r="C1670" t="s">
        <v>5653</v>
      </c>
      <c r="D1670">
        <v>44434</v>
      </c>
      <c r="E1670">
        <v>3</v>
      </c>
      <c r="F1670">
        <v>3</v>
      </c>
      <c r="G1670">
        <v>3</v>
      </c>
    </row>
    <row r="1671" spans="1:7">
      <c r="A1671">
        <v>1714</v>
      </c>
      <c r="B1671" t="s">
        <v>5824</v>
      </c>
      <c r="C1671" t="s">
        <v>5733</v>
      </c>
      <c r="D1671">
        <v>44434</v>
      </c>
      <c r="E1671">
        <v>8</v>
      </c>
      <c r="F1671">
        <v>8</v>
      </c>
      <c r="G1671">
        <v>8</v>
      </c>
    </row>
    <row r="1672" spans="1:7">
      <c r="A1672">
        <v>2069</v>
      </c>
      <c r="B1672" t="s">
        <v>6047</v>
      </c>
      <c r="C1672" t="s">
        <v>5659</v>
      </c>
      <c r="D1672">
        <v>44434</v>
      </c>
      <c r="E1672">
        <v>5</v>
      </c>
      <c r="F1672">
        <v>5</v>
      </c>
      <c r="G1672">
        <v>5</v>
      </c>
    </row>
    <row r="1673" spans="1:7">
      <c r="A1673">
        <v>3036</v>
      </c>
      <c r="B1673" t="s">
        <v>6138</v>
      </c>
      <c r="C1673" t="s">
        <v>5687</v>
      </c>
      <c r="D1673">
        <v>44434</v>
      </c>
      <c r="E1673">
        <v>4</v>
      </c>
      <c r="F1673">
        <v>4</v>
      </c>
      <c r="G1673">
        <v>4</v>
      </c>
    </row>
    <row r="1674" spans="1:7">
      <c r="A1674">
        <v>2880</v>
      </c>
      <c r="B1674" t="s">
        <v>5878</v>
      </c>
      <c r="C1674" t="s">
        <v>5645</v>
      </c>
      <c r="D1674">
        <v>44434</v>
      </c>
      <c r="E1674">
        <v>10</v>
      </c>
      <c r="F1674">
        <v>10</v>
      </c>
      <c r="G1674">
        <v>10</v>
      </c>
    </row>
    <row r="1675" spans="1:7">
      <c r="A1675">
        <v>6443</v>
      </c>
      <c r="B1675" t="s">
        <v>6195</v>
      </c>
      <c r="C1675" t="s">
        <v>5661</v>
      </c>
      <c r="D1675">
        <v>44434</v>
      </c>
      <c r="E1675">
        <v>4</v>
      </c>
      <c r="F1675">
        <v>4</v>
      </c>
      <c r="G1675">
        <v>4</v>
      </c>
    </row>
    <row r="1676" spans="1:7">
      <c r="A1676">
        <v>4739</v>
      </c>
      <c r="B1676" t="s">
        <v>6045</v>
      </c>
      <c r="C1676" t="s">
        <v>5733</v>
      </c>
      <c r="D1676">
        <v>44434</v>
      </c>
      <c r="E1676">
        <v>3</v>
      </c>
      <c r="F1676">
        <v>3</v>
      </c>
      <c r="G1676">
        <v>3</v>
      </c>
    </row>
    <row r="1677" spans="1:7">
      <c r="A1677">
        <v>3504</v>
      </c>
      <c r="B1677" t="s">
        <v>6077</v>
      </c>
      <c r="C1677" t="s">
        <v>5661</v>
      </c>
      <c r="D1677">
        <v>44434</v>
      </c>
      <c r="E1677">
        <v>6</v>
      </c>
      <c r="F1677">
        <v>6</v>
      </c>
      <c r="G1677">
        <v>6</v>
      </c>
    </row>
    <row r="1678" spans="1:7">
      <c r="A1678">
        <v>3035</v>
      </c>
      <c r="B1678" t="s">
        <v>6212</v>
      </c>
      <c r="C1678" t="s">
        <v>5666</v>
      </c>
      <c r="D1678">
        <v>44434</v>
      </c>
      <c r="E1678">
        <v>2</v>
      </c>
      <c r="F1678">
        <v>2</v>
      </c>
      <c r="G1678">
        <v>2</v>
      </c>
    </row>
    <row r="1679" spans="1:7">
      <c r="A1679">
        <v>6219</v>
      </c>
      <c r="B1679" t="s">
        <v>5832</v>
      </c>
      <c r="C1679" t="s">
        <v>5833</v>
      </c>
      <c r="D1679">
        <v>44434</v>
      </c>
      <c r="E1679">
        <v>8</v>
      </c>
      <c r="F1679">
        <v>8</v>
      </c>
      <c r="G1679">
        <v>8</v>
      </c>
    </row>
    <row r="1680" spans="1:7">
      <c r="A1680">
        <v>2331</v>
      </c>
      <c r="B1680" t="s">
        <v>5972</v>
      </c>
      <c r="C1680" t="s">
        <v>5649</v>
      </c>
      <c r="D1680">
        <v>44434</v>
      </c>
      <c r="E1680">
        <v>9</v>
      </c>
      <c r="F1680">
        <v>9</v>
      </c>
      <c r="G1680">
        <v>9</v>
      </c>
    </row>
    <row r="1681" spans="1:7">
      <c r="A1681">
        <v>3114</v>
      </c>
      <c r="B1681" t="s">
        <v>6203</v>
      </c>
      <c r="C1681" t="s">
        <v>5791</v>
      </c>
      <c r="D1681">
        <v>44434</v>
      </c>
      <c r="E1681">
        <v>3</v>
      </c>
      <c r="F1681">
        <v>3</v>
      </c>
      <c r="G1681">
        <v>3</v>
      </c>
    </row>
    <row r="1682" spans="1:7">
      <c r="A1682">
        <v>2385</v>
      </c>
      <c r="B1682" t="s">
        <v>5709</v>
      </c>
      <c r="C1682" t="s">
        <v>5675</v>
      </c>
      <c r="D1682">
        <v>44434</v>
      </c>
      <c r="E1682">
        <v>7</v>
      </c>
      <c r="F1682">
        <v>7</v>
      </c>
      <c r="G1682">
        <v>7</v>
      </c>
    </row>
    <row r="1683" spans="1:7">
      <c r="A1683">
        <v>3312</v>
      </c>
      <c r="B1683" t="s">
        <v>6213</v>
      </c>
      <c r="C1683" t="s">
        <v>5687</v>
      </c>
      <c r="D1683">
        <v>44434</v>
      </c>
      <c r="E1683">
        <v>1</v>
      </c>
      <c r="F1683">
        <v>1</v>
      </c>
      <c r="G1683">
        <v>1</v>
      </c>
    </row>
    <row r="1684" spans="1:7">
      <c r="A1684">
        <v>1309</v>
      </c>
      <c r="B1684" t="s">
        <v>6177</v>
      </c>
      <c r="C1684" t="s">
        <v>5771</v>
      </c>
      <c r="D1684">
        <v>44434</v>
      </c>
      <c r="E1684">
        <v>3</v>
      </c>
      <c r="F1684">
        <v>3</v>
      </c>
      <c r="G1684">
        <v>3</v>
      </c>
    </row>
    <row r="1685" spans="1:7">
      <c r="A1685">
        <v>1815</v>
      </c>
      <c r="B1685" t="s">
        <v>5928</v>
      </c>
      <c r="C1685" t="s">
        <v>5791</v>
      </c>
      <c r="D1685">
        <v>44434</v>
      </c>
      <c r="E1685">
        <v>7</v>
      </c>
      <c r="F1685">
        <v>7</v>
      </c>
      <c r="G1685">
        <v>7</v>
      </c>
    </row>
    <row r="1686" spans="1:7">
      <c r="A1686">
        <v>9941</v>
      </c>
      <c r="B1686" t="s">
        <v>6214</v>
      </c>
      <c r="C1686" t="s">
        <v>5664</v>
      </c>
      <c r="D1686">
        <v>44434</v>
      </c>
      <c r="E1686">
        <v>2</v>
      </c>
      <c r="F1686">
        <v>2</v>
      </c>
      <c r="G1686">
        <v>2</v>
      </c>
    </row>
    <row r="1687" spans="1:7">
      <c r="A1687">
        <v>2812</v>
      </c>
      <c r="B1687" t="s">
        <v>5969</v>
      </c>
      <c r="C1687" t="s">
        <v>5645</v>
      </c>
      <c r="D1687">
        <v>44434</v>
      </c>
      <c r="E1687">
        <v>3</v>
      </c>
      <c r="F1687">
        <v>3</v>
      </c>
      <c r="G1687">
        <v>3</v>
      </c>
    </row>
    <row r="1688" spans="1:7">
      <c r="A1688">
        <v>2002</v>
      </c>
      <c r="B1688" t="s">
        <v>6025</v>
      </c>
      <c r="C1688" t="s">
        <v>5659</v>
      </c>
      <c r="D1688">
        <v>44434</v>
      </c>
      <c r="E1688">
        <v>8</v>
      </c>
      <c r="F1688">
        <v>8</v>
      </c>
      <c r="G1688">
        <v>8</v>
      </c>
    </row>
    <row r="1689" spans="1:7">
      <c r="A1689">
        <v>6182</v>
      </c>
      <c r="B1689" t="s">
        <v>5779</v>
      </c>
      <c r="C1689" t="s">
        <v>5690</v>
      </c>
      <c r="D1689">
        <v>44434</v>
      </c>
      <c r="E1689">
        <v>3</v>
      </c>
      <c r="F1689">
        <v>3</v>
      </c>
      <c r="G1689">
        <v>3</v>
      </c>
    </row>
    <row r="1690" spans="1:7">
      <c r="A1690">
        <v>1455</v>
      </c>
      <c r="B1690" t="s">
        <v>5880</v>
      </c>
      <c r="C1690" t="s">
        <v>5706</v>
      </c>
      <c r="D1690">
        <v>44434</v>
      </c>
      <c r="E1690">
        <v>7</v>
      </c>
      <c r="F1690">
        <v>7</v>
      </c>
      <c r="G1690">
        <v>7</v>
      </c>
    </row>
    <row r="1691" spans="1:7">
      <c r="A1691">
        <v>3062</v>
      </c>
      <c r="B1691" t="s">
        <v>6215</v>
      </c>
      <c r="C1691" t="s">
        <v>5653</v>
      </c>
      <c r="D1691">
        <v>44434</v>
      </c>
      <c r="E1691">
        <v>4</v>
      </c>
      <c r="F1691">
        <v>4</v>
      </c>
      <c r="G1691">
        <v>4</v>
      </c>
    </row>
    <row r="1692" spans="1:7">
      <c r="A1692">
        <v>6147</v>
      </c>
      <c r="B1692" t="s">
        <v>6127</v>
      </c>
      <c r="C1692" t="s">
        <v>5690</v>
      </c>
      <c r="D1692">
        <v>44434</v>
      </c>
      <c r="E1692">
        <v>4</v>
      </c>
      <c r="F1692">
        <v>4</v>
      </c>
      <c r="G1692">
        <v>4</v>
      </c>
    </row>
    <row r="1693" spans="1:7">
      <c r="A1693">
        <v>3221</v>
      </c>
      <c r="B1693" t="s">
        <v>5911</v>
      </c>
      <c r="C1693" t="s">
        <v>5684</v>
      </c>
      <c r="D1693">
        <v>44434</v>
      </c>
      <c r="E1693">
        <v>5</v>
      </c>
      <c r="F1693">
        <v>5</v>
      </c>
      <c r="G1693">
        <v>5</v>
      </c>
    </row>
    <row r="1694" spans="1:7">
      <c r="A1694">
        <v>6116</v>
      </c>
      <c r="B1694" t="s">
        <v>5898</v>
      </c>
      <c r="C1694" t="s">
        <v>5661</v>
      </c>
      <c r="D1694">
        <v>44434</v>
      </c>
      <c r="E1694">
        <v>7</v>
      </c>
      <c r="F1694">
        <v>7</v>
      </c>
      <c r="G1694">
        <v>7</v>
      </c>
    </row>
    <row r="1695" spans="1:7">
      <c r="A1695">
        <v>8150</v>
      </c>
      <c r="B1695" t="s">
        <v>5667</v>
      </c>
      <c r="C1695" t="s">
        <v>5666</v>
      </c>
      <c r="D1695">
        <v>44434</v>
      </c>
      <c r="E1695">
        <v>4</v>
      </c>
      <c r="F1695">
        <v>4</v>
      </c>
      <c r="G1695">
        <v>4</v>
      </c>
    </row>
    <row r="1696" spans="1:7">
      <c r="A1696">
        <v>3051</v>
      </c>
      <c r="B1696" t="s">
        <v>6202</v>
      </c>
      <c r="C1696" t="s">
        <v>5661</v>
      </c>
      <c r="D1696">
        <v>44434</v>
      </c>
      <c r="E1696">
        <v>2</v>
      </c>
      <c r="F1696">
        <v>2</v>
      </c>
      <c r="G1696">
        <v>2</v>
      </c>
    </row>
    <row r="1697" spans="1:7">
      <c r="A1697">
        <v>2430</v>
      </c>
      <c r="B1697" t="s">
        <v>6071</v>
      </c>
      <c r="C1697" t="s">
        <v>5687</v>
      </c>
      <c r="D1697">
        <v>44434</v>
      </c>
      <c r="E1697">
        <v>5</v>
      </c>
      <c r="F1697">
        <v>5</v>
      </c>
      <c r="G1697">
        <v>5</v>
      </c>
    </row>
    <row r="1698" spans="1:7">
      <c r="A1698">
        <v>2883</v>
      </c>
      <c r="B1698" t="s">
        <v>5915</v>
      </c>
      <c r="C1698" t="s">
        <v>5645</v>
      </c>
      <c r="D1698">
        <v>44434</v>
      </c>
      <c r="E1698">
        <v>7</v>
      </c>
      <c r="F1698">
        <v>7</v>
      </c>
      <c r="G1698">
        <v>7</v>
      </c>
    </row>
    <row r="1699" spans="1:7">
      <c r="A1699">
        <v>2406</v>
      </c>
      <c r="B1699" t="s">
        <v>5762</v>
      </c>
      <c r="C1699" t="s">
        <v>5661</v>
      </c>
      <c r="D1699">
        <v>44434</v>
      </c>
      <c r="E1699">
        <v>6</v>
      </c>
      <c r="F1699">
        <v>6</v>
      </c>
      <c r="G1699">
        <v>6</v>
      </c>
    </row>
    <row r="1700" spans="1:7">
      <c r="A1700">
        <v>8086</v>
      </c>
      <c r="B1700" t="s">
        <v>5802</v>
      </c>
      <c r="C1700" t="s">
        <v>5690</v>
      </c>
      <c r="D1700">
        <v>44434</v>
      </c>
      <c r="E1700">
        <v>5</v>
      </c>
      <c r="F1700">
        <v>5</v>
      </c>
      <c r="G1700">
        <v>5</v>
      </c>
    </row>
    <row r="1701" spans="1:7">
      <c r="A1701">
        <v>2106</v>
      </c>
      <c r="B1701" t="s">
        <v>6216</v>
      </c>
      <c r="C1701" t="s">
        <v>5657</v>
      </c>
      <c r="D1701">
        <v>44434</v>
      </c>
      <c r="E1701">
        <v>1</v>
      </c>
      <c r="F1701">
        <v>1</v>
      </c>
      <c r="G1701">
        <v>1</v>
      </c>
    </row>
    <row r="1702" spans="1:7">
      <c r="A1702">
        <v>9103</v>
      </c>
      <c r="B1702" t="s">
        <v>5864</v>
      </c>
      <c r="C1702" t="s">
        <v>5865</v>
      </c>
      <c r="D1702">
        <v>44433</v>
      </c>
      <c r="E1702">
        <v>8</v>
      </c>
      <c r="F1702">
        <v>8</v>
      </c>
      <c r="G1702">
        <v>8</v>
      </c>
    </row>
    <row r="1703" spans="1:7">
      <c r="A1703">
        <v>8249</v>
      </c>
      <c r="B1703" t="s">
        <v>6085</v>
      </c>
      <c r="C1703" t="s">
        <v>5675</v>
      </c>
      <c r="D1703">
        <v>44433</v>
      </c>
      <c r="E1703">
        <v>8</v>
      </c>
      <c r="F1703">
        <v>8</v>
      </c>
      <c r="G1703">
        <v>8</v>
      </c>
    </row>
    <row r="1704" spans="1:7">
      <c r="A1704">
        <v>2823</v>
      </c>
      <c r="B1704" t="s">
        <v>5811</v>
      </c>
      <c r="C1704" t="s">
        <v>5645</v>
      </c>
      <c r="D1704">
        <v>44433</v>
      </c>
      <c r="E1704">
        <v>17</v>
      </c>
      <c r="F1704">
        <v>17</v>
      </c>
      <c r="G1704">
        <v>17</v>
      </c>
    </row>
    <row r="1705" spans="1:7">
      <c r="A1705">
        <v>2474</v>
      </c>
      <c r="B1705" t="s">
        <v>5817</v>
      </c>
      <c r="C1705" t="s">
        <v>5692</v>
      </c>
      <c r="D1705">
        <v>44433</v>
      </c>
      <c r="E1705">
        <v>4</v>
      </c>
      <c r="F1705">
        <v>4</v>
      </c>
      <c r="G1705">
        <v>4</v>
      </c>
    </row>
    <row r="1706" spans="1:7">
      <c r="A1706">
        <v>2809</v>
      </c>
      <c r="B1706" t="s">
        <v>5810</v>
      </c>
      <c r="C1706" t="s">
        <v>5645</v>
      </c>
      <c r="D1706">
        <v>44433</v>
      </c>
      <c r="E1706">
        <v>15</v>
      </c>
      <c r="F1706">
        <v>15</v>
      </c>
      <c r="G1706">
        <v>15</v>
      </c>
    </row>
    <row r="1707" spans="1:7">
      <c r="A1707">
        <v>6153</v>
      </c>
      <c r="B1707" t="s">
        <v>5837</v>
      </c>
      <c r="C1707" t="s">
        <v>5675</v>
      </c>
      <c r="D1707">
        <v>44433</v>
      </c>
      <c r="E1707">
        <v>7</v>
      </c>
      <c r="F1707">
        <v>7</v>
      </c>
      <c r="G1707">
        <v>7</v>
      </c>
    </row>
    <row r="1708" spans="1:7">
      <c r="A1708">
        <v>2492</v>
      </c>
      <c r="B1708" t="s">
        <v>6021</v>
      </c>
      <c r="C1708" t="s">
        <v>5675</v>
      </c>
      <c r="D1708">
        <v>44433</v>
      </c>
      <c r="E1708">
        <v>5</v>
      </c>
      <c r="F1708">
        <v>5</v>
      </c>
      <c r="G1708">
        <v>5</v>
      </c>
    </row>
    <row r="1709" spans="1:7">
      <c r="A1709">
        <v>1722</v>
      </c>
      <c r="B1709" t="s">
        <v>5882</v>
      </c>
      <c r="C1709" t="s">
        <v>5733</v>
      </c>
      <c r="D1709">
        <v>44433</v>
      </c>
      <c r="E1709">
        <v>9</v>
      </c>
      <c r="F1709">
        <v>9</v>
      </c>
      <c r="G1709">
        <v>9</v>
      </c>
    </row>
    <row r="1710" spans="1:7">
      <c r="A1710">
        <v>2353</v>
      </c>
      <c r="B1710" t="s">
        <v>5965</v>
      </c>
      <c r="C1710" t="s">
        <v>5649</v>
      </c>
      <c r="D1710">
        <v>44433</v>
      </c>
      <c r="E1710">
        <v>9</v>
      </c>
      <c r="F1710">
        <v>9</v>
      </c>
      <c r="G1710">
        <v>9</v>
      </c>
    </row>
    <row r="1711" spans="1:7">
      <c r="A1711">
        <v>3045</v>
      </c>
      <c r="B1711" t="s">
        <v>5680</v>
      </c>
      <c r="C1711" t="s">
        <v>5653</v>
      </c>
      <c r="D1711">
        <v>44433</v>
      </c>
      <c r="E1711">
        <v>14</v>
      </c>
      <c r="F1711">
        <v>14</v>
      </c>
      <c r="G1711">
        <v>14</v>
      </c>
    </row>
    <row r="1712" spans="1:7">
      <c r="A1712">
        <v>2888</v>
      </c>
      <c r="B1712" t="s">
        <v>5853</v>
      </c>
      <c r="C1712" t="s">
        <v>5645</v>
      </c>
      <c r="D1712">
        <v>44433</v>
      </c>
      <c r="E1712">
        <v>9</v>
      </c>
      <c r="F1712">
        <v>9</v>
      </c>
      <c r="G1712">
        <v>9</v>
      </c>
    </row>
    <row r="1713" spans="1:7">
      <c r="A1713">
        <v>2375</v>
      </c>
      <c r="B1713" t="s">
        <v>6158</v>
      </c>
      <c r="C1713" t="s">
        <v>5675</v>
      </c>
      <c r="D1713">
        <v>44433</v>
      </c>
      <c r="E1713">
        <v>3</v>
      </c>
      <c r="F1713">
        <v>3</v>
      </c>
      <c r="G1713">
        <v>3</v>
      </c>
    </row>
    <row r="1714" spans="1:7">
      <c r="A1714">
        <v>2504</v>
      </c>
      <c r="B1714" t="s">
        <v>5708</v>
      </c>
      <c r="C1714" t="s">
        <v>5651</v>
      </c>
      <c r="D1714">
        <v>44433</v>
      </c>
      <c r="E1714">
        <v>8</v>
      </c>
      <c r="F1714">
        <v>8</v>
      </c>
      <c r="G1714">
        <v>8</v>
      </c>
    </row>
    <row r="1715" spans="1:7">
      <c r="A1715">
        <v>2337</v>
      </c>
      <c r="B1715" t="s">
        <v>6013</v>
      </c>
      <c r="C1715" t="s">
        <v>5666</v>
      </c>
      <c r="D1715">
        <v>44433</v>
      </c>
      <c r="E1715">
        <v>6</v>
      </c>
      <c r="F1715">
        <v>6</v>
      </c>
      <c r="G1715">
        <v>6</v>
      </c>
    </row>
    <row r="1716" spans="1:7">
      <c r="A1716">
        <v>2515</v>
      </c>
      <c r="B1716" t="s">
        <v>6095</v>
      </c>
      <c r="C1716" t="s">
        <v>5651</v>
      </c>
      <c r="D1716">
        <v>44433</v>
      </c>
      <c r="E1716">
        <v>10</v>
      </c>
      <c r="F1716">
        <v>10</v>
      </c>
      <c r="G1716">
        <v>10</v>
      </c>
    </row>
    <row r="1717" spans="1:7">
      <c r="A1717">
        <v>2344</v>
      </c>
      <c r="B1717" t="s">
        <v>6011</v>
      </c>
      <c r="C1717" t="s">
        <v>5666</v>
      </c>
      <c r="D1717">
        <v>44433</v>
      </c>
      <c r="E1717">
        <v>7</v>
      </c>
      <c r="F1717">
        <v>7</v>
      </c>
      <c r="G1717">
        <v>7</v>
      </c>
    </row>
    <row r="1718" spans="1:7">
      <c r="A1718">
        <v>2208</v>
      </c>
      <c r="B1718" t="s">
        <v>5716</v>
      </c>
      <c r="C1718" t="s">
        <v>5679</v>
      </c>
      <c r="D1718">
        <v>44433</v>
      </c>
      <c r="E1718">
        <v>8</v>
      </c>
      <c r="F1718">
        <v>8</v>
      </c>
      <c r="G1718">
        <v>8</v>
      </c>
    </row>
    <row r="1719" spans="1:7">
      <c r="A1719">
        <v>1815</v>
      </c>
      <c r="B1719" t="s">
        <v>5928</v>
      </c>
      <c r="C1719" t="s">
        <v>5791</v>
      </c>
      <c r="D1719">
        <v>44433</v>
      </c>
      <c r="E1719">
        <v>7</v>
      </c>
      <c r="F1719">
        <v>7</v>
      </c>
      <c r="G1719">
        <v>7</v>
      </c>
    </row>
    <row r="1720" spans="1:7">
      <c r="A1720">
        <v>2610</v>
      </c>
      <c r="B1720" t="s">
        <v>5826</v>
      </c>
      <c r="C1720" t="s">
        <v>5679</v>
      </c>
      <c r="D1720">
        <v>44433</v>
      </c>
      <c r="E1720">
        <v>6</v>
      </c>
      <c r="F1720">
        <v>6</v>
      </c>
      <c r="G1720">
        <v>6</v>
      </c>
    </row>
    <row r="1721" spans="1:7">
      <c r="A1721">
        <v>1455</v>
      </c>
      <c r="B1721" t="s">
        <v>5880</v>
      </c>
      <c r="C1721" t="s">
        <v>5706</v>
      </c>
      <c r="D1721">
        <v>44433</v>
      </c>
      <c r="E1721">
        <v>7</v>
      </c>
      <c r="F1721">
        <v>7</v>
      </c>
      <c r="G1721">
        <v>7</v>
      </c>
    </row>
    <row r="1722" spans="1:7">
      <c r="A1722">
        <v>4904</v>
      </c>
      <c r="B1722" t="s">
        <v>5654</v>
      </c>
      <c r="C1722" t="s">
        <v>5653</v>
      </c>
      <c r="D1722">
        <v>44433</v>
      </c>
      <c r="E1722">
        <v>15</v>
      </c>
      <c r="F1722">
        <v>15</v>
      </c>
      <c r="G1722">
        <v>15</v>
      </c>
    </row>
    <row r="1723" spans="1:7">
      <c r="A1723">
        <v>1447</v>
      </c>
      <c r="B1723" t="s">
        <v>5705</v>
      </c>
      <c r="C1723" t="s">
        <v>5706</v>
      </c>
      <c r="D1723">
        <v>44433</v>
      </c>
      <c r="E1723">
        <v>8</v>
      </c>
      <c r="F1723">
        <v>8</v>
      </c>
      <c r="G1723">
        <v>8</v>
      </c>
    </row>
    <row r="1724" spans="1:7">
      <c r="A1724">
        <v>2357</v>
      </c>
      <c r="B1724" t="s">
        <v>5781</v>
      </c>
      <c r="C1724" t="s">
        <v>5649</v>
      </c>
      <c r="D1724">
        <v>44433</v>
      </c>
      <c r="E1724">
        <v>6</v>
      </c>
      <c r="F1724">
        <v>6</v>
      </c>
      <c r="G1724">
        <v>6</v>
      </c>
    </row>
    <row r="1725" spans="1:7">
      <c r="A1725">
        <v>2441</v>
      </c>
      <c r="B1725" t="s">
        <v>5699</v>
      </c>
      <c r="C1725" t="s">
        <v>5666</v>
      </c>
      <c r="D1725">
        <v>44433</v>
      </c>
      <c r="E1725">
        <v>6</v>
      </c>
      <c r="F1725">
        <v>6</v>
      </c>
      <c r="G1725">
        <v>6</v>
      </c>
    </row>
    <row r="1726" spans="1:7">
      <c r="A1726">
        <v>2528</v>
      </c>
      <c r="B1726" t="s">
        <v>6217</v>
      </c>
      <c r="C1726" t="s">
        <v>5651</v>
      </c>
      <c r="D1726">
        <v>44433</v>
      </c>
      <c r="E1726">
        <v>1</v>
      </c>
      <c r="F1726">
        <v>1</v>
      </c>
      <c r="G1726">
        <v>1</v>
      </c>
    </row>
    <row r="1727" spans="1:7">
      <c r="A1727">
        <v>6143</v>
      </c>
      <c r="B1727" t="s">
        <v>5819</v>
      </c>
      <c r="C1727" t="s">
        <v>5684</v>
      </c>
      <c r="D1727">
        <v>44433</v>
      </c>
      <c r="E1727">
        <v>2</v>
      </c>
      <c r="F1727">
        <v>2</v>
      </c>
      <c r="G1727">
        <v>2</v>
      </c>
    </row>
    <row r="1728" spans="1:7">
      <c r="A1728">
        <v>2301</v>
      </c>
      <c r="B1728" t="s">
        <v>5723</v>
      </c>
      <c r="C1728" t="s">
        <v>5649</v>
      </c>
      <c r="D1728">
        <v>44433</v>
      </c>
      <c r="E1728">
        <v>14</v>
      </c>
      <c r="F1728">
        <v>14</v>
      </c>
      <c r="G1728">
        <v>14</v>
      </c>
    </row>
    <row r="1729" spans="1:7">
      <c r="A1729">
        <v>8085</v>
      </c>
      <c r="B1729" t="s">
        <v>6023</v>
      </c>
      <c r="C1729" t="s">
        <v>5800</v>
      </c>
      <c r="D1729">
        <v>44433</v>
      </c>
      <c r="E1729">
        <v>8</v>
      </c>
      <c r="F1729">
        <v>8</v>
      </c>
      <c r="G1729">
        <v>8</v>
      </c>
    </row>
    <row r="1730" spans="1:7">
      <c r="A1730">
        <v>3060</v>
      </c>
      <c r="B1730" t="s">
        <v>6218</v>
      </c>
      <c r="C1730" t="s">
        <v>5649</v>
      </c>
      <c r="D1730">
        <v>44433</v>
      </c>
      <c r="E1730">
        <v>3</v>
      </c>
      <c r="F1730">
        <v>3</v>
      </c>
      <c r="G1730">
        <v>3</v>
      </c>
    </row>
    <row r="1731" spans="1:7">
      <c r="A1731">
        <v>4960</v>
      </c>
      <c r="B1731" t="s">
        <v>6059</v>
      </c>
      <c r="C1731" t="s">
        <v>5661</v>
      </c>
      <c r="D1731">
        <v>44433</v>
      </c>
      <c r="E1731">
        <v>7</v>
      </c>
      <c r="F1731">
        <v>7</v>
      </c>
      <c r="G1731">
        <v>7</v>
      </c>
    </row>
    <row r="1732" spans="1:7">
      <c r="A1732">
        <v>2347</v>
      </c>
      <c r="B1732" t="s">
        <v>5793</v>
      </c>
      <c r="C1732" t="s">
        <v>5687</v>
      </c>
      <c r="D1732">
        <v>44433</v>
      </c>
      <c r="E1732">
        <v>6</v>
      </c>
      <c r="F1732">
        <v>6</v>
      </c>
      <c r="G1732">
        <v>6</v>
      </c>
    </row>
    <row r="1733" spans="1:7">
      <c r="A1733">
        <v>5609</v>
      </c>
      <c r="B1733" t="s">
        <v>5883</v>
      </c>
      <c r="C1733" t="s">
        <v>5884</v>
      </c>
      <c r="D1733">
        <v>44433</v>
      </c>
      <c r="E1733">
        <v>6</v>
      </c>
      <c r="F1733">
        <v>6</v>
      </c>
      <c r="G1733">
        <v>6</v>
      </c>
    </row>
    <row r="1734" spans="1:7">
      <c r="A1734">
        <v>2538</v>
      </c>
      <c r="B1734" t="s">
        <v>6019</v>
      </c>
      <c r="C1734" t="s">
        <v>5651</v>
      </c>
      <c r="D1734">
        <v>44433</v>
      </c>
      <c r="E1734">
        <v>3</v>
      </c>
      <c r="F1734">
        <v>3</v>
      </c>
      <c r="G1734">
        <v>3</v>
      </c>
    </row>
    <row r="1735" spans="1:7">
      <c r="A1735">
        <v>6243</v>
      </c>
      <c r="B1735" t="s">
        <v>6131</v>
      </c>
      <c r="C1735" t="s">
        <v>5666</v>
      </c>
      <c r="D1735">
        <v>44433</v>
      </c>
      <c r="E1735">
        <v>3</v>
      </c>
      <c r="F1735">
        <v>3</v>
      </c>
      <c r="G1735">
        <v>3</v>
      </c>
    </row>
    <row r="1736" spans="1:7">
      <c r="A1736">
        <v>2458</v>
      </c>
      <c r="B1736" t="s">
        <v>5668</v>
      </c>
      <c r="C1736" t="s">
        <v>5666</v>
      </c>
      <c r="D1736">
        <v>44433</v>
      </c>
      <c r="E1736">
        <v>9</v>
      </c>
      <c r="F1736">
        <v>9</v>
      </c>
      <c r="G1736">
        <v>9</v>
      </c>
    </row>
    <row r="1737" spans="1:7">
      <c r="A1737">
        <v>3163</v>
      </c>
      <c r="B1737" t="s">
        <v>6219</v>
      </c>
      <c r="C1737" t="s">
        <v>5684</v>
      </c>
      <c r="D1737">
        <v>44433</v>
      </c>
      <c r="E1737">
        <v>1</v>
      </c>
      <c r="F1737">
        <v>1</v>
      </c>
      <c r="G1737">
        <v>1</v>
      </c>
    </row>
    <row r="1738" spans="1:7">
      <c r="A1738">
        <v>6164</v>
      </c>
      <c r="B1738" t="s">
        <v>5940</v>
      </c>
      <c r="C1738" t="s">
        <v>5661</v>
      </c>
      <c r="D1738">
        <v>44433</v>
      </c>
      <c r="E1738">
        <v>3</v>
      </c>
      <c r="F1738">
        <v>3</v>
      </c>
      <c r="G1738">
        <v>3</v>
      </c>
    </row>
    <row r="1739" spans="1:7">
      <c r="A1739">
        <v>3041</v>
      </c>
      <c r="B1739" t="s">
        <v>6020</v>
      </c>
      <c r="C1739" t="s">
        <v>5666</v>
      </c>
      <c r="D1739">
        <v>44433</v>
      </c>
      <c r="E1739">
        <v>7</v>
      </c>
      <c r="F1739">
        <v>7</v>
      </c>
      <c r="G1739">
        <v>7</v>
      </c>
    </row>
    <row r="1740" spans="1:7">
      <c r="A1740">
        <v>1444</v>
      </c>
      <c r="B1740" t="s">
        <v>5859</v>
      </c>
      <c r="C1740" t="s">
        <v>5706</v>
      </c>
      <c r="D1740">
        <v>44433</v>
      </c>
      <c r="E1740">
        <v>6</v>
      </c>
      <c r="F1740">
        <v>6</v>
      </c>
      <c r="G1740">
        <v>6</v>
      </c>
    </row>
    <row r="1741" spans="1:7">
      <c r="A1741">
        <v>6443</v>
      </c>
      <c r="B1741" t="s">
        <v>6195</v>
      </c>
      <c r="C1741" t="s">
        <v>5661</v>
      </c>
      <c r="D1741">
        <v>44433</v>
      </c>
      <c r="E1741">
        <v>4</v>
      </c>
      <c r="F1741">
        <v>4</v>
      </c>
      <c r="G1741">
        <v>4</v>
      </c>
    </row>
    <row r="1742" spans="1:7">
      <c r="A1742">
        <v>2886</v>
      </c>
      <c r="B1742" t="s">
        <v>5863</v>
      </c>
      <c r="C1742" t="s">
        <v>5645</v>
      </c>
      <c r="D1742">
        <v>44433</v>
      </c>
      <c r="E1742">
        <v>10</v>
      </c>
      <c r="F1742">
        <v>10</v>
      </c>
      <c r="G1742">
        <v>10</v>
      </c>
    </row>
    <row r="1743" spans="1:7">
      <c r="A1743">
        <v>3050</v>
      </c>
      <c r="B1743" t="s">
        <v>5927</v>
      </c>
      <c r="C1743" t="s">
        <v>5661</v>
      </c>
      <c r="D1743">
        <v>44433</v>
      </c>
      <c r="E1743">
        <v>5</v>
      </c>
      <c r="F1743">
        <v>5</v>
      </c>
      <c r="G1743">
        <v>5</v>
      </c>
    </row>
    <row r="1744" spans="1:7">
      <c r="A1744">
        <v>2330</v>
      </c>
      <c r="B1744" t="s">
        <v>6018</v>
      </c>
      <c r="C1744" t="s">
        <v>5666</v>
      </c>
      <c r="D1744">
        <v>44433</v>
      </c>
      <c r="E1744">
        <v>12</v>
      </c>
      <c r="F1744">
        <v>12</v>
      </c>
      <c r="G1744">
        <v>12</v>
      </c>
    </row>
    <row r="1745" spans="1:7">
      <c r="A1745">
        <v>3221</v>
      </c>
      <c r="B1745" t="s">
        <v>5911</v>
      </c>
      <c r="C1745" t="s">
        <v>5684</v>
      </c>
      <c r="D1745">
        <v>44433</v>
      </c>
      <c r="E1745">
        <v>5</v>
      </c>
      <c r="F1745">
        <v>5</v>
      </c>
      <c r="G1745">
        <v>5</v>
      </c>
    </row>
    <row r="1746" spans="1:7">
      <c r="A1746">
        <v>2105</v>
      </c>
      <c r="B1746" t="s">
        <v>5671</v>
      </c>
      <c r="C1746" t="s">
        <v>5657</v>
      </c>
      <c r="D1746">
        <v>44433</v>
      </c>
      <c r="E1746">
        <v>10</v>
      </c>
      <c r="F1746">
        <v>10</v>
      </c>
      <c r="G1746">
        <v>10</v>
      </c>
    </row>
    <row r="1747" spans="1:7">
      <c r="A1747">
        <v>2408</v>
      </c>
      <c r="B1747" t="s">
        <v>6009</v>
      </c>
      <c r="C1747" t="s">
        <v>5666</v>
      </c>
      <c r="D1747">
        <v>44433</v>
      </c>
      <c r="E1747">
        <v>8</v>
      </c>
      <c r="F1747">
        <v>8</v>
      </c>
      <c r="G1747">
        <v>8</v>
      </c>
    </row>
    <row r="1748" spans="1:7">
      <c r="A1748">
        <v>4934</v>
      </c>
      <c r="B1748" t="s">
        <v>5875</v>
      </c>
      <c r="C1748" t="s">
        <v>5661</v>
      </c>
      <c r="D1748">
        <v>44433</v>
      </c>
      <c r="E1748">
        <v>3</v>
      </c>
      <c r="F1748">
        <v>3</v>
      </c>
      <c r="G1748">
        <v>3</v>
      </c>
    </row>
    <row r="1749" spans="1:7">
      <c r="A1749">
        <v>8040</v>
      </c>
      <c r="B1749" t="s">
        <v>6220</v>
      </c>
      <c r="C1749" t="s">
        <v>5690</v>
      </c>
      <c r="D1749">
        <v>44433</v>
      </c>
      <c r="E1749">
        <v>1</v>
      </c>
      <c r="F1749">
        <v>1</v>
      </c>
      <c r="G1749">
        <v>1</v>
      </c>
    </row>
    <row r="1750" spans="1:7">
      <c r="A1750">
        <v>8112</v>
      </c>
      <c r="B1750" t="s">
        <v>6029</v>
      </c>
      <c r="C1750" t="s">
        <v>5687</v>
      </c>
      <c r="D1750">
        <v>44433</v>
      </c>
      <c r="E1750">
        <v>6</v>
      </c>
      <c r="F1750">
        <v>6</v>
      </c>
      <c r="G1750">
        <v>6</v>
      </c>
    </row>
    <row r="1751" spans="1:7">
      <c r="A1751">
        <v>5871</v>
      </c>
      <c r="B1751" t="s">
        <v>5700</v>
      </c>
      <c r="C1751" t="s">
        <v>5664</v>
      </c>
      <c r="D1751">
        <v>44433</v>
      </c>
      <c r="E1751">
        <v>10</v>
      </c>
      <c r="F1751">
        <v>10</v>
      </c>
      <c r="G1751">
        <v>10</v>
      </c>
    </row>
    <row r="1752" spans="1:7">
      <c r="A1752">
        <v>8406</v>
      </c>
      <c r="B1752" t="s">
        <v>5954</v>
      </c>
      <c r="C1752" t="s">
        <v>5867</v>
      </c>
      <c r="D1752">
        <v>44433</v>
      </c>
      <c r="E1752">
        <v>3</v>
      </c>
      <c r="F1752">
        <v>3</v>
      </c>
      <c r="G1752">
        <v>3</v>
      </c>
    </row>
    <row r="1753" spans="1:7">
      <c r="A1753">
        <v>5328</v>
      </c>
      <c r="B1753" t="s">
        <v>5906</v>
      </c>
      <c r="C1753" t="s">
        <v>5791</v>
      </c>
      <c r="D1753">
        <v>44433</v>
      </c>
      <c r="E1753">
        <v>7</v>
      </c>
      <c r="F1753">
        <v>7</v>
      </c>
      <c r="G1753">
        <v>7</v>
      </c>
    </row>
    <row r="1754" spans="1:7">
      <c r="A1754">
        <v>2614</v>
      </c>
      <c r="B1754" t="s">
        <v>6221</v>
      </c>
      <c r="C1754" t="s">
        <v>5664</v>
      </c>
      <c r="D1754">
        <v>44433</v>
      </c>
      <c r="E1754">
        <v>1</v>
      </c>
      <c r="F1754">
        <v>1</v>
      </c>
      <c r="G1754">
        <v>1</v>
      </c>
    </row>
    <row r="1755" spans="1:7">
      <c r="A1755">
        <v>4989</v>
      </c>
      <c r="B1755" t="s">
        <v>6002</v>
      </c>
      <c r="C1755" t="s">
        <v>5675</v>
      </c>
      <c r="D1755">
        <v>44433</v>
      </c>
      <c r="E1755">
        <v>4</v>
      </c>
      <c r="F1755">
        <v>4</v>
      </c>
      <c r="G1755">
        <v>4</v>
      </c>
    </row>
    <row r="1756" spans="1:7">
      <c r="A1756">
        <v>3576</v>
      </c>
      <c r="B1756" t="s">
        <v>5660</v>
      </c>
      <c r="C1756" t="s">
        <v>5661</v>
      </c>
      <c r="D1756">
        <v>44433</v>
      </c>
      <c r="E1756">
        <v>9</v>
      </c>
      <c r="F1756">
        <v>9</v>
      </c>
      <c r="G1756">
        <v>9</v>
      </c>
    </row>
    <row r="1757" spans="1:7">
      <c r="A1757">
        <v>1725</v>
      </c>
      <c r="B1757" t="s">
        <v>1329</v>
      </c>
      <c r="C1757" t="s">
        <v>5733</v>
      </c>
      <c r="D1757">
        <v>44433</v>
      </c>
      <c r="E1757">
        <v>3</v>
      </c>
      <c r="F1757">
        <v>3</v>
      </c>
      <c r="G1757">
        <v>3</v>
      </c>
    </row>
    <row r="1758" spans="1:7">
      <c r="A1758">
        <v>6138</v>
      </c>
      <c r="B1758" t="s">
        <v>5987</v>
      </c>
      <c r="C1758" t="s">
        <v>5690</v>
      </c>
      <c r="D1758">
        <v>44433</v>
      </c>
      <c r="E1758">
        <v>5</v>
      </c>
      <c r="F1758">
        <v>5</v>
      </c>
      <c r="G1758">
        <v>5</v>
      </c>
    </row>
    <row r="1759" spans="1:7">
      <c r="A1759">
        <v>3062</v>
      </c>
      <c r="B1759" t="s">
        <v>6215</v>
      </c>
      <c r="C1759" t="s">
        <v>5653</v>
      </c>
      <c r="D1759">
        <v>44433</v>
      </c>
      <c r="E1759">
        <v>4</v>
      </c>
      <c r="F1759">
        <v>4</v>
      </c>
      <c r="G1759">
        <v>4</v>
      </c>
    </row>
    <row r="1760" spans="1:7">
      <c r="A1760">
        <v>2356</v>
      </c>
      <c r="B1760" t="s">
        <v>5648</v>
      </c>
      <c r="C1760" t="s">
        <v>5649</v>
      </c>
      <c r="D1760">
        <v>44433</v>
      </c>
      <c r="E1760">
        <v>8</v>
      </c>
      <c r="F1760">
        <v>8</v>
      </c>
      <c r="G1760">
        <v>8</v>
      </c>
    </row>
    <row r="1761" spans="1:7">
      <c r="A1761">
        <v>3260</v>
      </c>
      <c r="B1761" t="s">
        <v>5712</v>
      </c>
      <c r="C1761" t="s">
        <v>5690</v>
      </c>
      <c r="D1761">
        <v>44433</v>
      </c>
      <c r="E1761">
        <v>4</v>
      </c>
      <c r="F1761">
        <v>4</v>
      </c>
      <c r="G1761">
        <v>4</v>
      </c>
    </row>
    <row r="1762" spans="1:7">
      <c r="A1762">
        <v>1519</v>
      </c>
      <c r="B1762" t="s">
        <v>6222</v>
      </c>
      <c r="C1762" t="s">
        <v>5670</v>
      </c>
      <c r="D1762">
        <v>44433</v>
      </c>
      <c r="E1762">
        <v>3</v>
      </c>
      <c r="F1762">
        <v>3</v>
      </c>
      <c r="G1762">
        <v>3</v>
      </c>
    </row>
    <row r="1763" spans="1:7">
      <c r="A1763">
        <v>2388</v>
      </c>
      <c r="B1763" t="s">
        <v>6223</v>
      </c>
      <c r="C1763" t="s">
        <v>5666</v>
      </c>
      <c r="D1763">
        <v>44433</v>
      </c>
      <c r="E1763">
        <v>1</v>
      </c>
      <c r="F1763">
        <v>1</v>
      </c>
      <c r="G1763">
        <v>1</v>
      </c>
    </row>
    <row r="1764" spans="1:7">
      <c r="A1764">
        <v>4958</v>
      </c>
      <c r="B1764" t="s">
        <v>6119</v>
      </c>
      <c r="C1764" t="s">
        <v>5675</v>
      </c>
      <c r="D1764">
        <v>44433</v>
      </c>
      <c r="E1764">
        <v>4</v>
      </c>
      <c r="F1764">
        <v>4</v>
      </c>
      <c r="G1764">
        <v>4</v>
      </c>
    </row>
    <row r="1765" spans="1:7">
      <c r="A1765">
        <v>3305</v>
      </c>
      <c r="B1765" t="s">
        <v>5956</v>
      </c>
      <c r="C1765" t="s">
        <v>5692</v>
      </c>
      <c r="D1765">
        <v>44433</v>
      </c>
      <c r="E1765">
        <v>3</v>
      </c>
      <c r="F1765">
        <v>3</v>
      </c>
      <c r="G1765">
        <v>3</v>
      </c>
    </row>
    <row r="1766" spans="1:7">
      <c r="A1766">
        <v>3049</v>
      </c>
      <c r="B1766" t="s">
        <v>6167</v>
      </c>
      <c r="C1766" t="s">
        <v>5661</v>
      </c>
      <c r="D1766">
        <v>44433</v>
      </c>
      <c r="E1766">
        <v>3</v>
      </c>
      <c r="F1766">
        <v>3</v>
      </c>
      <c r="G1766">
        <v>3</v>
      </c>
    </row>
    <row r="1767" spans="1:7">
      <c r="A1767">
        <v>2457</v>
      </c>
      <c r="B1767" t="s">
        <v>6188</v>
      </c>
      <c r="C1767" t="s">
        <v>5675</v>
      </c>
      <c r="D1767">
        <v>44433</v>
      </c>
      <c r="E1767">
        <v>2</v>
      </c>
      <c r="F1767">
        <v>2</v>
      </c>
      <c r="G1767">
        <v>2</v>
      </c>
    </row>
    <row r="1768" spans="1:7">
      <c r="A1768">
        <v>5483</v>
      </c>
      <c r="B1768" t="s">
        <v>5757</v>
      </c>
      <c r="C1768" t="s">
        <v>5690</v>
      </c>
      <c r="D1768">
        <v>44433</v>
      </c>
      <c r="E1768">
        <v>5</v>
      </c>
      <c r="F1768">
        <v>5</v>
      </c>
      <c r="G1768">
        <v>5</v>
      </c>
    </row>
    <row r="1769" spans="1:7">
      <c r="A1769">
        <v>2820</v>
      </c>
      <c r="B1769" t="s">
        <v>5787</v>
      </c>
      <c r="C1769" t="s">
        <v>5645</v>
      </c>
      <c r="D1769">
        <v>44433</v>
      </c>
      <c r="E1769">
        <v>4</v>
      </c>
      <c r="F1769">
        <v>4</v>
      </c>
      <c r="G1769">
        <v>4</v>
      </c>
    </row>
    <row r="1770" spans="1:7">
      <c r="A1770">
        <v>2484</v>
      </c>
      <c r="B1770" t="s">
        <v>5710</v>
      </c>
      <c r="C1770" t="s">
        <v>5675</v>
      </c>
      <c r="D1770">
        <v>44433</v>
      </c>
      <c r="E1770">
        <v>5</v>
      </c>
      <c r="F1770">
        <v>5</v>
      </c>
      <c r="G1770">
        <v>5</v>
      </c>
    </row>
    <row r="1771" spans="1:7">
      <c r="A1771">
        <v>6485</v>
      </c>
      <c r="B1771" t="s">
        <v>5821</v>
      </c>
      <c r="C1771" t="s">
        <v>5690</v>
      </c>
      <c r="D1771">
        <v>44433</v>
      </c>
      <c r="E1771">
        <v>2</v>
      </c>
      <c r="F1771">
        <v>2</v>
      </c>
      <c r="G1771">
        <v>2</v>
      </c>
    </row>
    <row r="1772" spans="1:7">
      <c r="A1772">
        <v>6224</v>
      </c>
      <c r="B1772" t="s">
        <v>6044</v>
      </c>
      <c r="C1772" t="s">
        <v>5675</v>
      </c>
      <c r="D1772">
        <v>44433</v>
      </c>
      <c r="E1772">
        <v>4</v>
      </c>
      <c r="F1772">
        <v>4</v>
      </c>
      <c r="G1772">
        <v>4</v>
      </c>
    </row>
    <row r="1773" spans="1:7">
      <c r="A1773">
        <v>1718</v>
      </c>
      <c r="B1773" t="s">
        <v>5816</v>
      </c>
      <c r="C1773" t="s">
        <v>5733</v>
      </c>
      <c r="D1773">
        <v>44433</v>
      </c>
      <c r="E1773">
        <v>13</v>
      </c>
      <c r="F1773">
        <v>13</v>
      </c>
      <c r="G1773">
        <v>13</v>
      </c>
    </row>
    <row r="1774" spans="1:7">
      <c r="A1774">
        <v>5227</v>
      </c>
      <c r="B1774" t="s">
        <v>6224</v>
      </c>
      <c r="C1774" t="s">
        <v>5791</v>
      </c>
      <c r="D1774">
        <v>44433</v>
      </c>
      <c r="E1774">
        <v>1</v>
      </c>
      <c r="F1774">
        <v>1</v>
      </c>
      <c r="G1774">
        <v>1</v>
      </c>
    </row>
    <row r="1775" spans="1:7">
      <c r="A1775">
        <v>2201</v>
      </c>
      <c r="B1775" t="s">
        <v>5929</v>
      </c>
      <c r="C1775" t="s">
        <v>5769</v>
      </c>
      <c r="D1775">
        <v>44433</v>
      </c>
      <c r="E1775">
        <v>9</v>
      </c>
      <c r="F1775">
        <v>9</v>
      </c>
      <c r="G1775">
        <v>9</v>
      </c>
    </row>
    <row r="1776" spans="1:7">
      <c r="A1776">
        <v>8201</v>
      </c>
      <c r="B1776" t="s">
        <v>5874</v>
      </c>
      <c r="C1776" t="s">
        <v>5692</v>
      </c>
      <c r="D1776">
        <v>44433</v>
      </c>
      <c r="E1776">
        <v>8</v>
      </c>
      <c r="F1776">
        <v>8</v>
      </c>
      <c r="G1776">
        <v>8</v>
      </c>
    </row>
    <row r="1777" spans="1:7">
      <c r="A1777">
        <v>2727</v>
      </c>
      <c r="B1777" t="s">
        <v>5989</v>
      </c>
      <c r="C1777" t="s">
        <v>5990</v>
      </c>
      <c r="D1777">
        <v>44433</v>
      </c>
      <c r="E1777">
        <v>4</v>
      </c>
      <c r="F1777">
        <v>4</v>
      </c>
      <c r="G1777">
        <v>4</v>
      </c>
    </row>
    <row r="1778" spans="1:7">
      <c r="A1778">
        <v>2636</v>
      </c>
      <c r="B1778" t="s">
        <v>5678</v>
      </c>
      <c r="C1778" t="s">
        <v>5679</v>
      </c>
      <c r="D1778">
        <v>44433</v>
      </c>
      <c r="E1778">
        <v>7</v>
      </c>
      <c r="F1778">
        <v>7</v>
      </c>
      <c r="G1778">
        <v>7</v>
      </c>
    </row>
    <row r="1779" spans="1:7">
      <c r="A1779">
        <v>2312</v>
      </c>
      <c r="B1779" t="s">
        <v>5739</v>
      </c>
      <c r="C1779" t="s">
        <v>5692</v>
      </c>
      <c r="D1779">
        <v>44433</v>
      </c>
      <c r="E1779">
        <v>8</v>
      </c>
      <c r="F1779">
        <v>8</v>
      </c>
      <c r="G1779">
        <v>8</v>
      </c>
    </row>
    <row r="1780" spans="1:7">
      <c r="A1780">
        <v>3552</v>
      </c>
      <c r="B1780" t="s">
        <v>5934</v>
      </c>
      <c r="C1780" t="s">
        <v>5800</v>
      </c>
      <c r="D1780">
        <v>44433</v>
      </c>
      <c r="E1780">
        <v>4</v>
      </c>
      <c r="F1780">
        <v>4</v>
      </c>
      <c r="G1780">
        <v>4</v>
      </c>
    </row>
    <row r="1781" spans="1:7">
      <c r="A1781">
        <v>2327</v>
      </c>
      <c r="B1781" t="s">
        <v>5674</v>
      </c>
      <c r="C1781" t="s">
        <v>5675</v>
      </c>
      <c r="D1781">
        <v>44433</v>
      </c>
      <c r="E1781">
        <v>6</v>
      </c>
      <c r="F1781">
        <v>6</v>
      </c>
      <c r="G1781">
        <v>6</v>
      </c>
    </row>
    <row r="1782" spans="1:7">
      <c r="A1782">
        <v>6174</v>
      </c>
      <c r="B1782" t="s">
        <v>6026</v>
      </c>
      <c r="C1782" t="s">
        <v>5791</v>
      </c>
      <c r="D1782">
        <v>44433</v>
      </c>
      <c r="E1782">
        <v>4</v>
      </c>
      <c r="F1782">
        <v>4</v>
      </c>
      <c r="G1782">
        <v>4</v>
      </c>
    </row>
    <row r="1783" spans="1:7">
      <c r="A1783">
        <v>1434</v>
      </c>
      <c r="B1783" t="s">
        <v>5926</v>
      </c>
      <c r="C1783" t="s">
        <v>5706</v>
      </c>
      <c r="D1783">
        <v>44433</v>
      </c>
      <c r="E1783">
        <v>3</v>
      </c>
      <c r="F1783">
        <v>3</v>
      </c>
      <c r="G1783">
        <v>3</v>
      </c>
    </row>
    <row r="1784" spans="1:7">
      <c r="A1784">
        <v>2637</v>
      </c>
      <c r="B1784" t="s">
        <v>5902</v>
      </c>
      <c r="C1784" t="s">
        <v>5679</v>
      </c>
      <c r="D1784">
        <v>44433</v>
      </c>
      <c r="E1784">
        <v>6</v>
      </c>
      <c r="F1784">
        <v>6</v>
      </c>
      <c r="G1784">
        <v>6</v>
      </c>
    </row>
    <row r="1785" spans="1:7">
      <c r="A1785">
        <v>6488</v>
      </c>
      <c r="B1785" t="s">
        <v>5689</v>
      </c>
      <c r="C1785" t="s">
        <v>5690</v>
      </c>
      <c r="D1785">
        <v>44433</v>
      </c>
      <c r="E1785">
        <v>7</v>
      </c>
      <c r="F1785">
        <v>7</v>
      </c>
      <c r="G1785">
        <v>7</v>
      </c>
    </row>
    <row r="1786" spans="1:7">
      <c r="A1786">
        <v>1513</v>
      </c>
      <c r="B1786" t="s">
        <v>6178</v>
      </c>
      <c r="C1786" t="s">
        <v>5670</v>
      </c>
      <c r="D1786">
        <v>44433</v>
      </c>
      <c r="E1786">
        <v>4</v>
      </c>
      <c r="F1786">
        <v>4</v>
      </c>
      <c r="G1786">
        <v>4</v>
      </c>
    </row>
    <row r="1787" spans="1:7">
      <c r="A1787">
        <v>2884</v>
      </c>
      <c r="B1787" t="s">
        <v>6142</v>
      </c>
      <c r="C1787" t="s">
        <v>5645</v>
      </c>
      <c r="D1787">
        <v>44433</v>
      </c>
      <c r="E1787">
        <v>5</v>
      </c>
      <c r="F1787">
        <v>5</v>
      </c>
      <c r="G1787">
        <v>5</v>
      </c>
    </row>
    <row r="1788" spans="1:7">
      <c r="A1788">
        <v>2399</v>
      </c>
      <c r="B1788" t="s">
        <v>5923</v>
      </c>
      <c r="C1788" t="s">
        <v>5649</v>
      </c>
      <c r="D1788">
        <v>44433</v>
      </c>
      <c r="E1788">
        <v>4</v>
      </c>
      <c r="F1788">
        <v>4</v>
      </c>
      <c r="G1788">
        <v>4</v>
      </c>
    </row>
    <row r="1789" spans="1:7">
      <c r="A1789">
        <v>8024</v>
      </c>
      <c r="B1789" t="s">
        <v>6137</v>
      </c>
      <c r="C1789" t="s">
        <v>5690</v>
      </c>
      <c r="D1789">
        <v>44433</v>
      </c>
      <c r="E1789">
        <v>4</v>
      </c>
      <c r="F1789">
        <v>4</v>
      </c>
      <c r="G1789">
        <v>4</v>
      </c>
    </row>
    <row r="1790" spans="1:7">
      <c r="A1790">
        <v>3556</v>
      </c>
      <c r="B1790" t="s">
        <v>6140</v>
      </c>
      <c r="C1790" t="s">
        <v>5690</v>
      </c>
      <c r="D1790">
        <v>44433</v>
      </c>
      <c r="E1790">
        <v>3</v>
      </c>
      <c r="F1790">
        <v>3</v>
      </c>
      <c r="G1790">
        <v>3</v>
      </c>
    </row>
    <row r="1791" spans="1:7">
      <c r="A1791">
        <v>1727</v>
      </c>
      <c r="B1791" t="s">
        <v>5732</v>
      </c>
      <c r="C1791" t="s">
        <v>5733</v>
      </c>
      <c r="D1791">
        <v>44433</v>
      </c>
      <c r="E1791">
        <v>5</v>
      </c>
      <c r="F1791">
        <v>5</v>
      </c>
      <c r="G1791">
        <v>5</v>
      </c>
    </row>
    <row r="1792" spans="1:7">
      <c r="A1792">
        <v>3706</v>
      </c>
      <c r="B1792" t="s">
        <v>5889</v>
      </c>
      <c r="C1792" t="s">
        <v>5649</v>
      </c>
      <c r="D1792">
        <v>44433</v>
      </c>
      <c r="E1792">
        <v>12</v>
      </c>
      <c r="F1792">
        <v>12</v>
      </c>
      <c r="G1792">
        <v>12</v>
      </c>
    </row>
    <row r="1793" spans="1:7">
      <c r="A1793">
        <v>2912</v>
      </c>
      <c r="B1793" t="s">
        <v>6072</v>
      </c>
      <c r="C1793" t="s">
        <v>5647</v>
      </c>
      <c r="D1793">
        <v>44433</v>
      </c>
      <c r="E1793">
        <v>4</v>
      </c>
      <c r="F1793">
        <v>4</v>
      </c>
      <c r="G1793">
        <v>4</v>
      </c>
    </row>
    <row r="1794" spans="1:7">
      <c r="A1794">
        <v>5475</v>
      </c>
      <c r="B1794" t="s">
        <v>6054</v>
      </c>
      <c r="C1794" t="s">
        <v>5791</v>
      </c>
      <c r="D1794">
        <v>44433</v>
      </c>
      <c r="E1794">
        <v>5</v>
      </c>
      <c r="F1794">
        <v>5</v>
      </c>
      <c r="G1794">
        <v>5</v>
      </c>
    </row>
    <row r="1795" spans="1:7">
      <c r="A1795">
        <v>3374</v>
      </c>
      <c r="B1795" t="s">
        <v>5741</v>
      </c>
      <c r="C1795" t="s">
        <v>5690</v>
      </c>
      <c r="D1795">
        <v>44433</v>
      </c>
      <c r="E1795">
        <v>6</v>
      </c>
      <c r="F1795">
        <v>6</v>
      </c>
      <c r="G1795">
        <v>6</v>
      </c>
    </row>
    <row r="1796" spans="1:7">
      <c r="A1796">
        <v>1504</v>
      </c>
      <c r="B1796" t="s">
        <v>5669</v>
      </c>
      <c r="C1796" t="s">
        <v>5670</v>
      </c>
      <c r="D1796">
        <v>44433</v>
      </c>
      <c r="E1796">
        <v>8</v>
      </c>
      <c r="F1796">
        <v>8</v>
      </c>
      <c r="G1796">
        <v>8</v>
      </c>
    </row>
    <row r="1797" spans="1:7">
      <c r="A1797">
        <v>1326</v>
      </c>
      <c r="B1797" t="s">
        <v>5814</v>
      </c>
      <c r="C1797" t="s">
        <v>5771</v>
      </c>
      <c r="D1797">
        <v>44433</v>
      </c>
      <c r="E1797">
        <v>14</v>
      </c>
      <c r="F1797">
        <v>14</v>
      </c>
      <c r="G1797">
        <v>14</v>
      </c>
    </row>
    <row r="1798" spans="1:7">
      <c r="A1798">
        <v>2461</v>
      </c>
      <c r="B1798" t="s">
        <v>6153</v>
      </c>
      <c r="C1798" t="s">
        <v>5692</v>
      </c>
      <c r="D1798">
        <v>44433</v>
      </c>
      <c r="E1798">
        <v>4</v>
      </c>
      <c r="F1798">
        <v>4</v>
      </c>
      <c r="G1798">
        <v>4</v>
      </c>
    </row>
    <row r="1799" spans="1:7">
      <c r="A1799">
        <v>5272</v>
      </c>
      <c r="B1799" t="s">
        <v>5794</v>
      </c>
      <c r="C1799" t="s">
        <v>5690</v>
      </c>
      <c r="D1799">
        <v>44433</v>
      </c>
      <c r="E1799">
        <v>4</v>
      </c>
      <c r="F1799">
        <v>4</v>
      </c>
      <c r="G1799">
        <v>4</v>
      </c>
    </row>
    <row r="1800" spans="1:7">
      <c r="A1800">
        <v>4967</v>
      </c>
      <c r="B1800" t="s">
        <v>5719</v>
      </c>
      <c r="C1800" t="s">
        <v>5666</v>
      </c>
      <c r="D1800">
        <v>44433</v>
      </c>
      <c r="E1800">
        <v>4</v>
      </c>
      <c r="F1800">
        <v>4</v>
      </c>
      <c r="G1800">
        <v>4</v>
      </c>
    </row>
    <row r="1801" spans="1:7">
      <c r="A1801">
        <v>1802</v>
      </c>
      <c r="B1801" t="s">
        <v>5978</v>
      </c>
      <c r="C1801" t="s">
        <v>5971</v>
      </c>
      <c r="D1801">
        <v>44433</v>
      </c>
      <c r="E1801">
        <v>4</v>
      </c>
      <c r="F1801">
        <v>4</v>
      </c>
      <c r="G1801">
        <v>4</v>
      </c>
    </row>
    <row r="1802" spans="1:7">
      <c r="A1802">
        <v>1326</v>
      </c>
      <c r="B1802" t="s">
        <v>5814</v>
      </c>
      <c r="C1802" t="s">
        <v>5771</v>
      </c>
      <c r="D1802">
        <v>44432</v>
      </c>
      <c r="E1802">
        <v>14</v>
      </c>
      <c r="F1802">
        <v>14</v>
      </c>
      <c r="G1802">
        <v>14</v>
      </c>
    </row>
    <row r="1803" spans="1:7">
      <c r="A1803">
        <v>1216</v>
      </c>
      <c r="B1803" t="s">
        <v>6063</v>
      </c>
      <c r="C1803" t="s">
        <v>5872</v>
      </c>
      <c r="D1803">
        <v>44432</v>
      </c>
      <c r="E1803">
        <v>8</v>
      </c>
      <c r="F1803">
        <v>8</v>
      </c>
      <c r="G1803">
        <v>8</v>
      </c>
    </row>
    <row r="1804" spans="1:7">
      <c r="A1804">
        <v>2809</v>
      </c>
      <c r="B1804" t="s">
        <v>5810</v>
      </c>
      <c r="C1804" t="s">
        <v>5645</v>
      </c>
      <c r="D1804">
        <v>44432</v>
      </c>
      <c r="E1804">
        <v>15</v>
      </c>
      <c r="F1804">
        <v>15</v>
      </c>
      <c r="G1804">
        <v>15</v>
      </c>
    </row>
    <row r="1805" spans="1:7">
      <c r="A1805">
        <v>2884</v>
      </c>
      <c r="B1805" t="s">
        <v>6142</v>
      </c>
      <c r="C1805" t="s">
        <v>5645</v>
      </c>
      <c r="D1805">
        <v>44432</v>
      </c>
      <c r="E1805">
        <v>5</v>
      </c>
      <c r="F1805">
        <v>5</v>
      </c>
      <c r="G1805">
        <v>5</v>
      </c>
    </row>
    <row r="1806" spans="1:7">
      <c r="A1806">
        <v>2324</v>
      </c>
      <c r="B1806" t="s">
        <v>5848</v>
      </c>
      <c r="C1806" t="s">
        <v>5649</v>
      </c>
      <c r="D1806">
        <v>44432</v>
      </c>
      <c r="E1806">
        <v>7</v>
      </c>
      <c r="F1806">
        <v>7</v>
      </c>
      <c r="G1806">
        <v>7</v>
      </c>
    </row>
    <row r="1807" spans="1:7">
      <c r="A1807">
        <v>2823</v>
      </c>
      <c r="B1807" t="s">
        <v>5811</v>
      </c>
      <c r="C1807" t="s">
        <v>5645</v>
      </c>
      <c r="D1807">
        <v>44432</v>
      </c>
      <c r="E1807">
        <v>17</v>
      </c>
      <c r="F1807">
        <v>17</v>
      </c>
      <c r="G1807">
        <v>17</v>
      </c>
    </row>
    <row r="1808" spans="1:7">
      <c r="A1808">
        <v>1722</v>
      </c>
      <c r="B1808" t="s">
        <v>5882</v>
      </c>
      <c r="C1808" t="s">
        <v>5733</v>
      </c>
      <c r="D1808">
        <v>44432</v>
      </c>
      <c r="E1808">
        <v>9</v>
      </c>
      <c r="F1808">
        <v>9</v>
      </c>
      <c r="G1808">
        <v>9</v>
      </c>
    </row>
    <row r="1809" spans="1:7">
      <c r="A1809">
        <v>2881</v>
      </c>
      <c r="B1809" t="s">
        <v>6201</v>
      </c>
      <c r="C1809" t="s">
        <v>5645</v>
      </c>
      <c r="D1809">
        <v>44432</v>
      </c>
      <c r="E1809">
        <v>2</v>
      </c>
      <c r="F1809">
        <v>2</v>
      </c>
      <c r="G1809">
        <v>2</v>
      </c>
    </row>
    <row r="1810" spans="1:7">
      <c r="A1810">
        <v>2633</v>
      </c>
      <c r="B1810" t="s">
        <v>6130</v>
      </c>
      <c r="C1810" t="s">
        <v>5679</v>
      </c>
      <c r="D1810">
        <v>44432</v>
      </c>
      <c r="E1810">
        <v>8</v>
      </c>
      <c r="F1810">
        <v>8</v>
      </c>
      <c r="G1810">
        <v>8</v>
      </c>
    </row>
    <row r="1811" spans="1:7">
      <c r="A1811">
        <v>2474</v>
      </c>
      <c r="B1811" t="s">
        <v>5817</v>
      </c>
      <c r="C1811" t="s">
        <v>5692</v>
      </c>
      <c r="D1811">
        <v>44432</v>
      </c>
      <c r="E1811">
        <v>4</v>
      </c>
      <c r="F1811">
        <v>4</v>
      </c>
      <c r="G1811">
        <v>4</v>
      </c>
    </row>
    <row r="1812" spans="1:7">
      <c r="A1812">
        <v>4904</v>
      </c>
      <c r="B1812" t="s">
        <v>5654</v>
      </c>
      <c r="C1812" t="s">
        <v>5653</v>
      </c>
      <c r="D1812">
        <v>44432</v>
      </c>
      <c r="E1812">
        <v>15</v>
      </c>
      <c r="F1812">
        <v>15</v>
      </c>
      <c r="G1812">
        <v>15</v>
      </c>
    </row>
    <row r="1813" spans="1:7">
      <c r="A1813">
        <v>3045</v>
      </c>
      <c r="B1813" t="s">
        <v>5680</v>
      </c>
      <c r="C1813" t="s">
        <v>5653</v>
      </c>
      <c r="D1813">
        <v>44432</v>
      </c>
      <c r="E1813">
        <v>14</v>
      </c>
      <c r="F1813">
        <v>14</v>
      </c>
      <c r="G1813">
        <v>14</v>
      </c>
    </row>
    <row r="1814" spans="1:7">
      <c r="A1814">
        <v>1714</v>
      </c>
      <c r="B1814" t="s">
        <v>5824</v>
      </c>
      <c r="C1814" t="s">
        <v>5733</v>
      </c>
      <c r="D1814">
        <v>44432</v>
      </c>
      <c r="E1814">
        <v>8</v>
      </c>
      <c r="F1814">
        <v>8</v>
      </c>
      <c r="G1814">
        <v>8</v>
      </c>
    </row>
    <row r="1815" spans="1:7">
      <c r="A1815">
        <v>6456</v>
      </c>
      <c r="B1815" t="s">
        <v>6043</v>
      </c>
      <c r="C1815" t="s">
        <v>5661</v>
      </c>
      <c r="D1815">
        <v>44432</v>
      </c>
      <c r="E1815">
        <v>5</v>
      </c>
      <c r="F1815">
        <v>5</v>
      </c>
      <c r="G1815">
        <v>5</v>
      </c>
    </row>
    <row r="1816" spans="1:7">
      <c r="A1816">
        <v>9904</v>
      </c>
      <c r="B1816" t="s">
        <v>5855</v>
      </c>
      <c r="C1816" t="s">
        <v>5664</v>
      </c>
      <c r="D1816">
        <v>44432</v>
      </c>
      <c r="E1816">
        <v>11</v>
      </c>
      <c r="F1816">
        <v>11</v>
      </c>
      <c r="G1816">
        <v>11</v>
      </c>
    </row>
    <row r="1817" spans="1:7">
      <c r="A1817">
        <v>1710</v>
      </c>
      <c r="B1817" t="s">
        <v>5784</v>
      </c>
      <c r="C1817" t="s">
        <v>5733</v>
      </c>
      <c r="D1817">
        <v>44432</v>
      </c>
      <c r="E1817">
        <v>7</v>
      </c>
      <c r="F1817">
        <v>7</v>
      </c>
      <c r="G1817">
        <v>7</v>
      </c>
    </row>
    <row r="1818" spans="1:7">
      <c r="A1818">
        <v>5880</v>
      </c>
      <c r="B1818" t="s">
        <v>5655</v>
      </c>
      <c r="C1818" t="s">
        <v>5645</v>
      </c>
      <c r="D1818">
        <v>44432</v>
      </c>
      <c r="E1818">
        <v>6</v>
      </c>
      <c r="F1818">
        <v>6</v>
      </c>
      <c r="G1818">
        <v>6</v>
      </c>
    </row>
    <row r="1819" spans="1:7">
      <c r="A1819">
        <v>1305</v>
      </c>
      <c r="B1819" t="s">
        <v>5770</v>
      </c>
      <c r="C1819" t="s">
        <v>5771</v>
      </c>
      <c r="D1819">
        <v>44432</v>
      </c>
      <c r="E1819">
        <v>7</v>
      </c>
      <c r="F1819">
        <v>7</v>
      </c>
      <c r="G1819">
        <v>7</v>
      </c>
    </row>
    <row r="1820" spans="1:7">
      <c r="A1820">
        <v>1718</v>
      </c>
      <c r="B1820" t="s">
        <v>5816</v>
      </c>
      <c r="C1820" t="s">
        <v>5733</v>
      </c>
      <c r="D1820">
        <v>44432</v>
      </c>
      <c r="E1820">
        <v>13</v>
      </c>
      <c r="F1820">
        <v>13</v>
      </c>
      <c r="G1820">
        <v>13</v>
      </c>
    </row>
    <row r="1821" spans="1:7">
      <c r="A1821">
        <v>2430</v>
      </c>
      <c r="B1821" t="s">
        <v>6071</v>
      </c>
      <c r="C1821" t="s">
        <v>5687</v>
      </c>
      <c r="D1821">
        <v>44432</v>
      </c>
      <c r="E1821">
        <v>5</v>
      </c>
      <c r="F1821">
        <v>5</v>
      </c>
      <c r="G1821">
        <v>5</v>
      </c>
    </row>
    <row r="1822" spans="1:7">
      <c r="A1822">
        <v>1907</v>
      </c>
      <c r="B1822" t="s">
        <v>6006</v>
      </c>
      <c r="C1822" t="s">
        <v>5677</v>
      </c>
      <c r="D1822">
        <v>44432</v>
      </c>
      <c r="E1822">
        <v>8</v>
      </c>
      <c r="F1822">
        <v>8</v>
      </c>
      <c r="G1822">
        <v>8</v>
      </c>
    </row>
    <row r="1823" spans="1:7">
      <c r="A1823">
        <v>2892</v>
      </c>
      <c r="B1823" t="s">
        <v>5930</v>
      </c>
      <c r="C1823" t="s">
        <v>5645</v>
      </c>
      <c r="D1823">
        <v>44432</v>
      </c>
      <c r="E1823">
        <v>5</v>
      </c>
      <c r="F1823">
        <v>5</v>
      </c>
      <c r="G1823">
        <v>5</v>
      </c>
    </row>
    <row r="1824" spans="1:7">
      <c r="A1824">
        <v>1301</v>
      </c>
      <c r="B1824" t="s">
        <v>5841</v>
      </c>
      <c r="C1824" t="s">
        <v>5771</v>
      </c>
      <c r="D1824">
        <v>44432</v>
      </c>
      <c r="E1824">
        <v>11</v>
      </c>
      <c r="F1824">
        <v>11</v>
      </c>
      <c r="G1824">
        <v>11</v>
      </c>
    </row>
    <row r="1825" spans="1:7">
      <c r="A1825">
        <v>1321</v>
      </c>
      <c r="B1825" t="s">
        <v>6225</v>
      </c>
      <c r="C1825" t="s">
        <v>5771</v>
      </c>
      <c r="D1825">
        <v>44432</v>
      </c>
      <c r="E1825">
        <v>1</v>
      </c>
      <c r="F1825">
        <v>1</v>
      </c>
      <c r="G1825">
        <v>1</v>
      </c>
    </row>
    <row r="1826" spans="1:7">
      <c r="A1826">
        <v>1303</v>
      </c>
      <c r="B1826" t="s">
        <v>5792</v>
      </c>
      <c r="C1826" t="s">
        <v>5771</v>
      </c>
      <c r="D1826">
        <v>44432</v>
      </c>
      <c r="E1826">
        <v>9</v>
      </c>
      <c r="F1826">
        <v>9</v>
      </c>
      <c r="G1826">
        <v>9</v>
      </c>
    </row>
    <row r="1827" spans="1:7">
      <c r="A1827">
        <v>8936</v>
      </c>
      <c r="B1827" t="s">
        <v>6206</v>
      </c>
      <c r="C1827" t="s">
        <v>5985</v>
      </c>
      <c r="D1827">
        <v>44432</v>
      </c>
      <c r="E1827">
        <v>3</v>
      </c>
      <c r="F1827">
        <v>3</v>
      </c>
      <c r="G1827">
        <v>3</v>
      </c>
    </row>
    <row r="1828" spans="1:7">
      <c r="A1828">
        <v>3527</v>
      </c>
      <c r="B1828" t="s">
        <v>6226</v>
      </c>
      <c r="C1828" t="s">
        <v>5690</v>
      </c>
      <c r="D1828">
        <v>44432</v>
      </c>
      <c r="E1828">
        <v>2</v>
      </c>
      <c r="F1828">
        <v>2</v>
      </c>
      <c r="G1828">
        <v>2</v>
      </c>
    </row>
    <row r="1829" spans="1:7">
      <c r="A1829">
        <v>2347</v>
      </c>
      <c r="B1829" t="s">
        <v>5793</v>
      </c>
      <c r="C1829" t="s">
        <v>5687</v>
      </c>
      <c r="D1829">
        <v>44432</v>
      </c>
      <c r="E1829">
        <v>6</v>
      </c>
      <c r="F1829">
        <v>6</v>
      </c>
      <c r="G1829">
        <v>6</v>
      </c>
    </row>
    <row r="1830" spans="1:7">
      <c r="A1830">
        <v>6548</v>
      </c>
      <c r="B1830" t="s">
        <v>6196</v>
      </c>
      <c r="C1830" t="s">
        <v>5690</v>
      </c>
      <c r="D1830">
        <v>44432</v>
      </c>
      <c r="E1830">
        <v>3</v>
      </c>
      <c r="F1830">
        <v>3</v>
      </c>
      <c r="G1830">
        <v>3</v>
      </c>
    </row>
    <row r="1831" spans="1:7">
      <c r="A1831">
        <v>2855</v>
      </c>
      <c r="B1831" t="s">
        <v>5974</v>
      </c>
      <c r="C1831" t="s">
        <v>5645</v>
      </c>
      <c r="D1831">
        <v>44432</v>
      </c>
      <c r="E1831">
        <v>4</v>
      </c>
      <c r="F1831">
        <v>4</v>
      </c>
      <c r="G1831">
        <v>4</v>
      </c>
    </row>
    <row r="1832" spans="1:7">
      <c r="A1832">
        <v>1609</v>
      </c>
      <c r="B1832" t="s">
        <v>5980</v>
      </c>
      <c r="C1832" t="s">
        <v>5858</v>
      </c>
      <c r="D1832">
        <v>44432</v>
      </c>
      <c r="E1832">
        <v>9</v>
      </c>
      <c r="F1832">
        <v>9</v>
      </c>
      <c r="G1832">
        <v>9</v>
      </c>
    </row>
    <row r="1833" spans="1:7">
      <c r="A1833">
        <v>1447</v>
      </c>
      <c r="B1833" t="s">
        <v>5705</v>
      </c>
      <c r="C1833" t="s">
        <v>5706</v>
      </c>
      <c r="D1833">
        <v>44432</v>
      </c>
      <c r="E1833">
        <v>8</v>
      </c>
      <c r="F1833">
        <v>8</v>
      </c>
      <c r="G1833">
        <v>8</v>
      </c>
    </row>
    <row r="1834" spans="1:7">
      <c r="A1834">
        <v>2221</v>
      </c>
      <c r="B1834" t="s">
        <v>6209</v>
      </c>
      <c r="C1834" t="s">
        <v>5985</v>
      </c>
      <c r="D1834">
        <v>44432</v>
      </c>
      <c r="E1834">
        <v>3</v>
      </c>
      <c r="F1834">
        <v>3</v>
      </c>
      <c r="G1834">
        <v>3</v>
      </c>
    </row>
    <row r="1835" spans="1:7">
      <c r="A1835">
        <v>2382</v>
      </c>
      <c r="B1835" t="s">
        <v>6107</v>
      </c>
      <c r="C1835" t="s">
        <v>5649</v>
      </c>
      <c r="D1835">
        <v>44432</v>
      </c>
      <c r="E1835">
        <v>6</v>
      </c>
      <c r="F1835">
        <v>6</v>
      </c>
      <c r="G1835">
        <v>6</v>
      </c>
    </row>
    <row r="1836" spans="1:7">
      <c r="A1836">
        <v>2002</v>
      </c>
      <c r="B1836" t="s">
        <v>6025</v>
      </c>
      <c r="C1836" t="s">
        <v>5659</v>
      </c>
      <c r="D1836">
        <v>44432</v>
      </c>
      <c r="E1836">
        <v>8</v>
      </c>
      <c r="F1836">
        <v>8</v>
      </c>
      <c r="G1836">
        <v>8</v>
      </c>
    </row>
    <row r="1837" spans="1:7">
      <c r="A1837">
        <v>2314</v>
      </c>
      <c r="B1837" t="s">
        <v>5707</v>
      </c>
      <c r="C1837" t="s">
        <v>5653</v>
      </c>
      <c r="D1837">
        <v>44432</v>
      </c>
      <c r="E1837">
        <v>5</v>
      </c>
      <c r="F1837">
        <v>5</v>
      </c>
      <c r="G1837">
        <v>5</v>
      </c>
    </row>
    <row r="1838" spans="1:7">
      <c r="A1838">
        <v>2013</v>
      </c>
      <c r="B1838" t="s">
        <v>6000</v>
      </c>
      <c r="C1838" t="s">
        <v>5659</v>
      </c>
      <c r="D1838">
        <v>44432</v>
      </c>
      <c r="E1838">
        <v>8</v>
      </c>
      <c r="F1838">
        <v>8</v>
      </c>
      <c r="G1838">
        <v>8</v>
      </c>
    </row>
    <row r="1839" spans="1:7">
      <c r="A1839">
        <v>2049</v>
      </c>
      <c r="B1839" t="s">
        <v>5697</v>
      </c>
      <c r="C1839" t="s">
        <v>5670</v>
      </c>
      <c r="D1839">
        <v>44432</v>
      </c>
      <c r="E1839">
        <v>3</v>
      </c>
      <c r="F1839">
        <v>3</v>
      </c>
      <c r="G1839">
        <v>3</v>
      </c>
    </row>
    <row r="1840" spans="1:7">
      <c r="A1840">
        <v>2317</v>
      </c>
      <c r="B1840" t="s">
        <v>5955</v>
      </c>
      <c r="C1840" t="s">
        <v>5692</v>
      </c>
      <c r="D1840">
        <v>44432</v>
      </c>
      <c r="E1840">
        <v>8</v>
      </c>
      <c r="F1840">
        <v>8</v>
      </c>
      <c r="G1840">
        <v>8</v>
      </c>
    </row>
    <row r="1841" spans="1:7">
      <c r="A1841">
        <v>9958</v>
      </c>
      <c r="B1841" t="s">
        <v>5783</v>
      </c>
      <c r="C1841" t="s">
        <v>5659</v>
      </c>
      <c r="D1841">
        <v>44432</v>
      </c>
      <c r="E1841">
        <v>9</v>
      </c>
      <c r="F1841">
        <v>9</v>
      </c>
      <c r="G1841">
        <v>9</v>
      </c>
    </row>
    <row r="1842" spans="1:7">
      <c r="A1842">
        <v>2023</v>
      </c>
      <c r="B1842" t="s">
        <v>5887</v>
      </c>
      <c r="C1842" t="s">
        <v>5659</v>
      </c>
      <c r="D1842">
        <v>44432</v>
      </c>
      <c r="E1842">
        <v>6</v>
      </c>
      <c r="F1842">
        <v>6</v>
      </c>
      <c r="G1842">
        <v>6</v>
      </c>
    </row>
    <row r="1843" spans="1:7">
      <c r="A1843">
        <v>2330</v>
      </c>
      <c r="B1843" t="s">
        <v>6018</v>
      </c>
      <c r="C1843" t="s">
        <v>5666</v>
      </c>
      <c r="D1843">
        <v>44432</v>
      </c>
      <c r="E1843">
        <v>12</v>
      </c>
      <c r="F1843">
        <v>12</v>
      </c>
      <c r="G1843">
        <v>12</v>
      </c>
    </row>
    <row r="1844" spans="1:7">
      <c r="A1844">
        <v>2442</v>
      </c>
      <c r="B1844" t="s">
        <v>5941</v>
      </c>
      <c r="C1844" t="s">
        <v>5649</v>
      </c>
      <c r="D1844">
        <v>44432</v>
      </c>
      <c r="E1844">
        <v>8</v>
      </c>
      <c r="F1844">
        <v>8</v>
      </c>
      <c r="G1844">
        <v>8</v>
      </c>
    </row>
    <row r="1845" spans="1:7">
      <c r="A1845">
        <v>4938</v>
      </c>
      <c r="B1845" t="s">
        <v>5782</v>
      </c>
      <c r="C1845" t="s">
        <v>5649</v>
      </c>
      <c r="D1845">
        <v>44432</v>
      </c>
      <c r="E1845">
        <v>6</v>
      </c>
      <c r="F1845">
        <v>6</v>
      </c>
      <c r="G1845">
        <v>6</v>
      </c>
    </row>
    <row r="1846" spans="1:7">
      <c r="A1846">
        <v>2034</v>
      </c>
      <c r="B1846" t="s">
        <v>5861</v>
      </c>
      <c r="C1846" t="s">
        <v>5659</v>
      </c>
      <c r="D1846">
        <v>44432</v>
      </c>
      <c r="E1846">
        <v>5</v>
      </c>
      <c r="F1846">
        <v>5</v>
      </c>
      <c r="G1846">
        <v>5</v>
      </c>
    </row>
    <row r="1847" spans="1:7">
      <c r="A1847">
        <v>6274</v>
      </c>
      <c r="B1847" t="s">
        <v>5999</v>
      </c>
      <c r="C1847" t="s">
        <v>5791</v>
      </c>
      <c r="D1847">
        <v>44432</v>
      </c>
      <c r="E1847">
        <v>7</v>
      </c>
      <c r="F1847">
        <v>7</v>
      </c>
      <c r="G1847">
        <v>7</v>
      </c>
    </row>
    <row r="1848" spans="1:7">
      <c r="A1848">
        <v>3703</v>
      </c>
      <c r="B1848" t="s">
        <v>5650</v>
      </c>
      <c r="C1848" t="s">
        <v>5651</v>
      </c>
      <c r="D1848">
        <v>44432</v>
      </c>
      <c r="E1848">
        <v>6</v>
      </c>
      <c r="F1848">
        <v>6</v>
      </c>
      <c r="G1848">
        <v>6</v>
      </c>
    </row>
    <row r="1849" spans="1:7">
      <c r="A1849">
        <v>1762</v>
      </c>
      <c r="B1849" t="s">
        <v>6227</v>
      </c>
      <c r="C1849" t="s">
        <v>5729</v>
      </c>
      <c r="D1849">
        <v>44432</v>
      </c>
      <c r="E1849">
        <v>2</v>
      </c>
      <c r="F1849">
        <v>2</v>
      </c>
      <c r="G1849">
        <v>2</v>
      </c>
    </row>
    <row r="1850" spans="1:7">
      <c r="A1850">
        <v>2009</v>
      </c>
      <c r="B1850" t="s">
        <v>5986</v>
      </c>
      <c r="C1850" t="s">
        <v>5659</v>
      </c>
      <c r="D1850">
        <v>44432</v>
      </c>
      <c r="E1850">
        <v>9</v>
      </c>
      <c r="F1850">
        <v>9</v>
      </c>
      <c r="G1850">
        <v>9</v>
      </c>
    </row>
    <row r="1851" spans="1:7">
      <c r="A1851">
        <v>2356</v>
      </c>
      <c r="B1851" t="s">
        <v>5648</v>
      </c>
      <c r="C1851" t="s">
        <v>5649</v>
      </c>
      <c r="D1851">
        <v>44432</v>
      </c>
      <c r="E1851">
        <v>8</v>
      </c>
      <c r="F1851">
        <v>8</v>
      </c>
      <c r="G1851">
        <v>8</v>
      </c>
    </row>
    <row r="1852" spans="1:7">
      <c r="A1852">
        <v>1304</v>
      </c>
      <c r="B1852" t="s">
        <v>6024</v>
      </c>
      <c r="C1852" t="s">
        <v>5771</v>
      </c>
      <c r="D1852">
        <v>44432</v>
      </c>
      <c r="E1852">
        <v>8</v>
      </c>
      <c r="F1852">
        <v>8</v>
      </c>
      <c r="G1852">
        <v>8</v>
      </c>
    </row>
    <row r="1853" spans="1:7">
      <c r="A1853">
        <v>1308</v>
      </c>
      <c r="B1853" t="s">
        <v>5804</v>
      </c>
      <c r="C1853" t="s">
        <v>5771</v>
      </c>
      <c r="D1853">
        <v>44432</v>
      </c>
      <c r="E1853">
        <v>7</v>
      </c>
      <c r="F1853">
        <v>7</v>
      </c>
      <c r="G1853">
        <v>7</v>
      </c>
    </row>
    <row r="1854" spans="1:7">
      <c r="A1854">
        <v>2006</v>
      </c>
      <c r="B1854" t="s">
        <v>5843</v>
      </c>
      <c r="C1854" t="s">
        <v>5659</v>
      </c>
      <c r="D1854">
        <v>44432</v>
      </c>
      <c r="E1854">
        <v>7</v>
      </c>
      <c r="F1854">
        <v>7</v>
      </c>
      <c r="G1854">
        <v>7</v>
      </c>
    </row>
    <row r="1855" spans="1:7">
      <c r="A1855">
        <v>1460</v>
      </c>
      <c r="B1855" t="s">
        <v>6012</v>
      </c>
      <c r="C1855" t="s">
        <v>5706</v>
      </c>
      <c r="D1855">
        <v>44432</v>
      </c>
      <c r="E1855">
        <v>4</v>
      </c>
      <c r="F1855">
        <v>4</v>
      </c>
      <c r="G1855">
        <v>4</v>
      </c>
    </row>
    <row r="1856" spans="1:7">
      <c r="A1856">
        <v>6251</v>
      </c>
      <c r="B1856" t="s">
        <v>5922</v>
      </c>
      <c r="C1856" t="s">
        <v>5675</v>
      </c>
      <c r="D1856">
        <v>44432</v>
      </c>
      <c r="E1856">
        <v>5</v>
      </c>
      <c r="F1856">
        <v>5</v>
      </c>
      <c r="G1856">
        <v>5</v>
      </c>
    </row>
    <row r="1857" spans="1:7">
      <c r="A1857">
        <v>1409</v>
      </c>
      <c r="B1857" t="s">
        <v>5775</v>
      </c>
      <c r="C1857" t="s">
        <v>5706</v>
      </c>
      <c r="D1857">
        <v>44432</v>
      </c>
      <c r="E1857">
        <v>6</v>
      </c>
      <c r="F1857">
        <v>6</v>
      </c>
      <c r="G1857">
        <v>6</v>
      </c>
    </row>
    <row r="1858" spans="1:7">
      <c r="A1858">
        <v>2331</v>
      </c>
      <c r="B1858" t="s">
        <v>5972</v>
      </c>
      <c r="C1858" t="s">
        <v>5649</v>
      </c>
      <c r="D1858">
        <v>44432</v>
      </c>
      <c r="E1858">
        <v>9</v>
      </c>
      <c r="F1858">
        <v>9</v>
      </c>
      <c r="G1858">
        <v>9</v>
      </c>
    </row>
    <row r="1859" spans="1:7">
      <c r="A1859">
        <v>2108</v>
      </c>
      <c r="B1859" t="s">
        <v>5656</v>
      </c>
      <c r="C1859" t="s">
        <v>5657</v>
      </c>
      <c r="D1859">
        <v>44432</v>
      </c>
      <c r="E1859">
        <v>9</v>
      </c>
      <c r="F1859">
        <v>9</v>
      </c>
      <c r="G1859">
        <v>9</v>
      </c>
    </row>
    <row r="1860" spans="1:7">
      <c r="A1860">
        <v>9914</v>
      </c>
      <c r="B1860" t="s">
        <v>5949</v>
      </c>
      <c r="C1860" t="s">
        <v>5664</v>
      </c>
      <c r="D1860">
        <v>44432</v>
      </c>
      <c r="E1860">
        <v>5</v>
      </c>
      <c r="F1860">
        <v>5</v>
      </c>
      <c r="G1860">
        <v>5</v>
      </c>
    </row>
    <row r="1861" spans="1:7">
      <c r="A1861">
        <v>2912</v>
      </c>
      <c r="B1861" t="s">
        <v>6072</v>
      </c>
      <c r="C1861" t="s">
        <v>5647</v>
      </c>
      <c r="D1861">
        <v>44432</v>
      </c>
      <c r="E1861">
        <v>4</v>
      </c>
      <c r="F1861">
        <v>4</v>
      </c>
      <c r="G1861">
        <v>4</v>
      </c>
    </row>
    <row r="1862" spans="1:7">
      <c r="A1862">
        <v>9103</v>
      </c>
      <c r="B1862" t="s">
        <v>5864</v>
      </c>
      <c r="C1862" t="s">
        <v>5865</v>
      </c>
      <c r="D1862">
        <v>44432</v>
      </c>
      <c r="E1862">
        <v>8</v>
      </c>
      <c r="F1862">
        <v>8</v>
      </c>
      <c r="G1862">
        <v>8</v>
      </c>
    </row>
    <row r="1863" spans="1:7">
      <c r="A1863">
        <v>2801</v>
      </c>
      <c r="B1863" t="s">
        <v>5662</v>
      </c>
      <c r="C1863" t="s">
        <v>5645</v>
      </c>
      <c r="D1863">
        <v>44432</v>
      </c>
      <c r="E1863">
        <v>9</v>
      </c>
      <c r="F1863">
        <v>9</v>
      </c>
      <c r="G1863">
        <v>9</v>
      </c>
    </row>
    <row r="1864" spans="1:7">
      <c r="A1864">
        <v>2634</v>
      </c>
      <c r="B1864" t="s">
        <v>5835</v>
      </c>
      <c r="C1864" t="s">
        <v>5679</v>
      </c>
      <c r="D1864">
        <v>44432</v>
      </c>
      <c r="E1864">
        <v>5</v>
      </c>
      <c r="F1864">
        <v>5</v>
      </c>
      <c r="G1864">
        <v>5</v>
      </c>
    </row>
    <row r="1865" spans="1:7">
      <c r="A1865">
        <v>6239</v>
      </c>
      <c r="B1865" t="s">
        <v>6170</v>
      </c>
      <c r="C1865" t="s">
        <v>5666</v>
      </c>
      <c r="D1865">
        <v>44432</v>
      </c>
      <c r="E1865">
        <v>3</v>
      </c>
      <c r="F1865">
        <v>3</v>
      </c>
      <c r="G1865">
        <v>3</v>
      </c>
    </row>
    <row r="1866" spans="1:7">
      <c r="A1866">
        <v>2867</v>
      </c>
      <c r="B1866" t="s">
        <v>5854</v>
      </c>
      <c r="C1866" t="s">
        <v>5645</v>
      </c>
      <c r="D1866">
        <v>44432</v>
      </c>
      <c r="E1866">
        <v>8</v>
      </c>
      <c r="F1866">
        <v>8</v>
      </c>
      <c r="G1866">
        <v>8</v>
      </c>
    </row>
    <row r="1867" spans="1:7">
      <c r="A1867">
        <v>2723</v>
      </c>
      <c r="B1867" t="s">
        <v>6228</v>
      </c>
      <c r="C1867" t="s">
        <v>5990</v>
      </c>
      <c r="D1867">
        <v>44432</v>
      </c>
      <c r="E1867">
        <v>1</v>
      </c>
      <c r="F1867">
        <v>1</v>
      </c>
      <c r="G1867">
        <v>1</v>
      </c>
    </row>
    <row r="1868" spans="1:7">
      <c r="A1868">
        <v>1909</v>
      </c>
      <c r="B1868" t="s">
        <v>5676</v>
      </c>
      <c r="C1868" t="s">
        <v>5677</v>
      </c>
      <c r="D1868">
        <v>44432</v>
      </c>
      <c r="E1868">
        <v>6</v>
      </c>
      <c r="F1868">
        <v>6</v>
      </c>
      <c r="G1868">
        <v>6</v>
      </c>
    </row>
    <row r="1869" spans="1:7">
      <c r="A1869">
        <v>3504</v>
      </c>
      <c r="B1869" t="s">
        <v>6077</v>
      </c>
      <c r="C1869" t="s">
        <v>5661</v>
      </c>
      <c r="D1869">
        <v>44432</v>
      </c>
      <c r="E1869">
        <v>6</v>
      </c>
      <c r="F1869">
        <v>6</v>
      </c>
      <c r="G1869">
        <v>6</v>
      </c>
    </row>
    <row r="1870" spans="1:7">
      <c r="A1870">
        <v>1906</v>
      </c>
      <c r="B1870" t="s">
        <v>6003</v>
      </c>
      <c r="C1870" t="s">
        <v>5677</v>
      </c>
      <c r="D1870">
        <v>44432</v>
      </c>
      <c r="E1870">
        <v>4</v>
      </c>
      <c r="F1870">
        <v>4</v>
      </c>
      <c r="G1870">
        <v>4</v>
      </c>
    </row>
    <row r="1871" spans="1:7">
      <c r="A1871">
        <v>1504</v>
      </c>
      <c r="B1871" t="s">
        <v>5669</v>
      </c>
      <c r="C1871" t="s">
        <v>5670</v>
      </c>
      <c r="D1871">
        <v>44432</v>
      </c>
      <c r="E1871">
        <v>8</v>
      </c>
      <c r="F1871">
        <v>8</v>
      </c>
      <c r="G1871">
        <v>8</v>
      </c>
    </row>
    <row r="1872" spans="1:7">
      <c r="A1872">
        <v>4142</v>
      </c>
      <c r="B1872" t="s">
        <v>6087</v>
      </c>
      <c r="C1872" t="s">
        <v>5729</v>
      </c>
      <c r="D1872">
        <v>44432</v>
      </c>
      <c r="E1872">
        <v>8</v>
      </c>
      <c r="F1872">
        <v>8</v>
      </c>
      <c r="G1872">
        <v>8</v>
      </c>
    </row>
    <row r="1873" spans="1:7">
      <c r="A1873">
        <v>1310</v>
      </c>
      <c r="B1873" t="s">
        <v>5801</v>
      </c>
      <c r="C1873" t="s">
        <v>5771</v>
      </c>
      <c r="D1873">
        <v>44432</v>
      </c>
      <c r="E1873">
        <v>8</v>
      </c>
      <c r="F1873">
        <v>8</v>
      </c>
      <c r="G1873">
        <v>8</v>
      </c>
    </row>
    <row r="1874" spans="1:7">
      <c r="A1874">
        <v>2891</v>
      </c>
      <c r="B1874" t="s">
        <v>6065</v>
      </c>
      <c r="C1874" t="s">
        <v>5645</v>
      </c>
      <c r="D1874">
        <v>44432</v>
      </c>
      <c r="E1874">
        <v>4</v>
      </c>
      <c r="F1874">
        <v>4</v>
      </c>
      <c r="G1874">
        <v>4</v>
      </c>
    </row>
    <row r="1875" spans="1:7">
      <c r="A1875">
        <v>5438</v>
      </c>
      <c r="B1875" t="s">
        <v>6229</v>
      </c>
      <c r="C1875" t="s">
        <v>5829</v>
      </c>
      <c r="D1875">
        <v>44432</v>
      </c>
      <c r="E1875">
        <v>4</v>
      </c>
      <c r="F1875">
        <v>4</v>
      </c>
      <c r="G1875">
        <v>4</v>
      </c>
    </row>
    <row r="1876" spans="1:7">
      <c r="A1876">
        <v>3702</v>
      </c>
      <c r="B1876" t="s">
        <v>5686</v>
      </c>
      <c r="C1876" t="s">
        <v>5687</v>
      </c>
      <c r="D1876">
        <v>44432</v>
      </c>
      <c r="E1876">
        <v>16</v>
      </c>
      <c r="F1876">
        <v>16</v>
      </c>
      <c r="G1876">
        <v>16</v>
      </c>
    </row>
    <row r="1877" spans="1:7">
      <c r="A1877">
        <v>5531</v>
      </c>
      <c r="B1877" t="s">
        <v>6166</v>
      </c>
      <c r="C1877" t="s">
        <v>5651</v>
      </c>
      <c r="D1877">
        <v>44432</v>
      </c>
      <c r="E1877">
        <v>3</v>
      </c>
      <c r="F1877">
        <v>3</v>
      </c>
      <c r="G1877">
        <v>3</v>
      </c>
    </row>
    <row r="1878" spans="1:7">
      <c r="A1878">
        <v>8289</v>
      </c>
      <c r="B1878" t="s">
        <v>5886</v>
      </c>
      <c r="C1878" t="s">
        <v>5791</v>
      </c>
      <c r="D1878">
        <v>44432</v>
      </c>
      <c r="E1878">
        <v>4</v>
      </c>
      <c r="F1878">
        <v>4</v>
      </c>
      <c r="G1878">
        <v>4</v>
      </c>
    </row>
    <row r="1879" spans="1:7">
      <c r="A1879">
        <v>4414</v>
      </c>
      <c r="B1879" t="s">
        <v>5968</v>
      </c>
      <c r="C1879" t="s">
        <v>5706</v>
      </c>
      <c r="D1879">
        <v>44432</v>
      </c>
      <c r="E1879">
        <v>4</v>
      </c>
      <c r="F1879">
        <v>4</v>
      </c>
      <c r="G1879">
        <v>4</v>
      </c>
    </row>
    <row r="1880" spans="1:7">
      <c r="A1880">
        <v>2014</v>
      </c>
      <c r="B1880" t="s">
        <v>5896</v>
      </c>
      <c r="C1880" t="s">
        <v>5659</v>
      </c>
      <c r="D1880">
        <v>44432</v>
      </c>
      <c r="E1880">
        <v>6</v>
      </c>
      <c r="F1880">
        <v>6</v>
      </c>
      <c r="G1880">
        <v>6</v>
      </c>
    </row>
    <row r="1881" spans="1:7">
      <c r="A1881">
        <v>8436</v>
      </c>
      <c r="B1881" t="s">
        <v>6230</v>
      </c>
      <c r="C1881" t="s">
        <v>5867</v>
      </c>
      <c r="D1881">
        <v>44432</v>
      </c>
      <c r="E1881">
        <v>2</v>
      </c>
      <c r="F1881">
        <v>2</v>
      </c>
      <c r="G1881">
        <v>2</v>
      </c>
    </row>
    <row r="1882" spans="1:7">
      <c r="A1882">
        <v>3231</v>
      </c>
      <c r="B1882" t="s">
        <v>6109</v>
      </c>
      <c r="C1882" t="s">
        <v>5649</v>
      </c>
      <c r="D1882">
        <v>44432</v>
      </c>
      <c r="E1882">
        <v>4</v>
      </c>
      <c r="F1882">
        <v>4</v>
      </c>
      <c r="G1882">
        <v>4</v>
      </c>
    </row>
    <row r="1883" spans="1:7">
      <c r="A1883">
        <v>2025</v>
      </c>
      <c r="B1883" t="s">
        <v>5967</v>
      </c>
      <c r="C1883" t="s">
        <v>5659</v>
      </c>
      <c r="D1883">
        <v>44432</v>
      </c>
      <c r="E1883">
        <v>2</v>
      </c>
      <c r="F1883">
        <v>2</v>
      </c>
      <c r="G1883">
        <v>2</v>
      </c>
    </row>
    <row r="1884" spans="1:7">
      <c r="A1884">
        <v>1309</v>
      </c>
      <c r="B1884" t="s">
        <v>6177</v>
      </c>
      <c r="C1884" t="s">
        <v>5771</v>
      </c>
      <c r="D1884">
        <v>44432</v>
      </c>
      <c r="E1884">
        <v>3</v>
      </c>
      <c r="F1884">
        <v>3</v>
      </c>
      <c r="G1884">
        <v>3</v>
      </c>
    </row>
    <row r="1885" spans="1:7">
      <c r="A1885">
        <v>2017</v>
      </c>
      <c r="B1885" t="s">
        <v>5885</v>
      </c>
      <c r="C1885" t="s">
        <v>5659</v>
      </c>
      <c r="D1885">
        <v>44432</v>
      </c>
      <c r="E1885">
        <v>5</v>
      </c>
      <c r="F1885">
        <v>5</v>
      </c>
      <c r="G1885">
        <v>5</v>
      </c>
    </row>
    <row r="1886" spans="1:7">
      <c r="A1886">
        <v>5328</v>
      </c>
      <c r="B1886" t="s">
        <v>5906</v>
      </c>
      <c r="C1886" t="s">
        <v>5791</v>
      </c>
      <c r="D1886">
        <v>44432</v>
      </c>
      <c r="E1886">
        <v>7</v>
      </c>
      <c r="F1886">
        <v>7</v>
      </c>
      <c r="G1886">
        <v>7</v>
      </c>
    </row>
    <row r="1887" spans="1:7">
      <c r="A1887">
        <v>2515</v>
      </c>
      <c r="B1887" t="s">
        <v>6095</v>
      </c>
      <c r="C1887" t="s">
        <v>5651</v>
      </c>
      <c r="D1887">
        <v>44432</v>
      </c>
      <c r="E1887">
        <v>10</v>
      </c>
      <c r="F1887">
        <v>10</v>
      </c>
      <c r="G1887">
        <v>10</v>
      </c>
    </row>
    <row r="1888" spans="1:7">
      <c r="A1888">
        <v>2882</v>
      </c>
      <c r="B1888" t="s">
        <v>5834</v>
      </c>
      <c r="C1888" t="s">
        <v>5645</v>
      </c>
      <c r="D1888">
        <v>44432</v>
      </c>
      <c r="E1888">
        <v>9</v>
      </c>
      <c r="F1888">
        <v>9</v>
      </c>
      <c r="G1888">
        <v>9</v>
      </c>
    </row>
    <row r="1889" spans="1:7">
      <c r="A1889">
        <v>1517</v>
      </c>
      <c r="B1889" t="s">
        <v>5803</v>
      </c>
      <c r="C1889" t="s">
        <v>5670</v>
      </c>
      <c r="D1889">
        <v>44432</v>
      </c>
      <c r="E1889">
        <v>6</v>
      </c>
      <c r="F1889">
        <v>6</v>
      </c>
      <c r="G1889">
        <v>6</v>
      </c>
    </row>
    <row r="1890" spans="1:7">
      <c r="A1890">
        <v>2887</v>
      </c>
      <c r="B1890" t="s">
        <v>6014</v>
      </c>
      <c r="C1890" t="s">
        <v>5645</v>
      </c>
      <c r="D1890">
        <v>44432</v>
      </c>
      <c r="E1890">
        <v>5</v>
      </c>
      <c r="F1890">
        <v>5</v>
      </c>
      <c r="G1890">
        <v>5</v>
      </c>
    </row>
    <row r="1891" spans="1:7">
      <c r="A1891">
        <v>2511</v>
      </c>
      <c r="B1891" t="s">
        <v>6041</v>
      </c>
      <c r="C1891" t="s">
        <v>5651</v>
      </c>
      <c r="D1891">
        <v>44432</v>
      </c>
      <c r="E1891">
        <v>3</v>
      </c>
      <c r="F1891">
        <v>3</v>
      </c>
      <c r="G1891">
        <v>3</v>
      </c>
    </row>
    <row r="1892" spans="1:7">
      <c r="A1892">
        <v>1709</v>
      </c>
      <c r="B1892" t="s">
        <v>5836</v>
      </c>
      <c r="C1892" t="s">
        <v>5733</v>
      </c>
      <c r="D1892">
        <v>44432</v>
      </c>
      <c r="E1892">
        <v>4</v>
      </c>
      <c r="F1892">
        <v>4</v>
      </c>
      <c r="G1892">
        <v>4</v>
      </c>
    </row>
    <row r="1893" spans="1:7">
      <c r="A1893">
        <v>5871</v>
      </c>
      <c r="B1893" t="s">
        <v>5700</v>
      </c>
      <c r="C1893" t="s">
        <v>5664</v>
      </c>
      <c r="D1893">
        <v>44432</v>
      </c>
      <c r="E1893">
        <v>10</v>
      </c>
      <c r="F1893">
        <v>10</v>
      </c>
      <c r="G1893">
        <v>10</v>
      </c>
    </row>
    <row r="1894" spans="1:7">
      <c r="A1894">
        <v>6005</v>
      </c>
      <c r="B1894" t="s">
        <v>5977</v>
      </c>
      <c r="C1894" t="s">
        <v>5645</v>
      </c>
      <c r="D1894">
        <v>44432</v>
      </c>
      <c r="E1894">
        <v>3</v>
      </c>
      <c r="F1894">
        <v>3</v>
      </c>
      <c r="G1894">
        <v>3</v>
      </c>
    </row>
    <row r="1895" spans="1:7">
      <c r="A1895">
        <v>2385</v>
      </c>
      <c r="B1895" t="s">
        <v>5709</v>
      </c>
      <c r="C1895" t="s">
        <v>5675</v>
      </c>
      <c r="D1895">
        <v>44432</v>
      </c>
      <c r="E1895">
        <v>7</v>
      </c>
      <c r="F1895">
        <v>7</v>
      </c>
      <c r="G1895">
        <v>7</v>
      </c>
    </row>
    <row r="1896" spans="1:7">
      <c r="A1896">
        <v>4958</v>
      </c>
      <c r="B1896" t="s">
        <v>6119</v>
      </c>
      <c r="C1896" t="s">
        <v>5675</v>
      </c>
      <c r="D1896">
        <v>44432</v>
      </c>
      <c r="E1896">
        <v>4</v>
      </c>
      <c r="F1896">
        <v>4</v>
      </c>
      <c r="G1896">
        <v>4</v>
      </c>
    </row>
    <row r="1897" spans="1:7">
      <c r="A1897">
        <v>1806</v>
      </c>
      <c r="B1897" t="s">
        <v>6231</v>
      </c>
      <c r="C1897" t="s">
        <v>5971</v>
      </c>
      <c r="D1897">
        <v>44432</v>
      </c>
      <c r="E1897">
        <v>1</v>
      </c>
      <c r="F1897">
        <v>1</v>
      </c>
      <c r="G1897">
        <v>1</v>
      </c>
    </row>
    <row r="1898" spans="1:7">
      <c r="A1898">
        <v>1314</v>
      </c>
      <c r="B1898" t="s">
        <v>5809</v>
      </c>
      <c r="C1898" t="s">
        <v>5771</v>
      </c>
      <c r="D1898">
        <v>44432</v>
      </c>
      <c r="E1898">
        <v>8</v>
      </c>
      <c r="F1898">
        <v>8</v>
      </c>
      <c r="G1898">
        <v>8</v>
      </c>
    </row>
    <row r="1899" spans="1:7">
      <c r="A1899">
        <v>5876</v>
      </c>
      <c r="B1899" t="s">
        <v>5715</v>
      </c>
      <c r="C1899" t="s">
        <v>5645</v>
      </c>
      <c r="D1899">
        <v>44432</v>
      </c>
      <c r="E1899">
        <v>14</v>
      </c>
      <c r="F1899">
        <v>14</v>
      </c>
      <c r="G1899">
        <v>14</v>
      </c>
    </row>
    <row r="1900" spans="1:7">
      <c r="A1900">
        <v>1605</v>
      </c>
      <c r="B1900" t="s">
        <v>5857</v>
      </c>
      <c r="C1900" t="s">
        <v>5858</v>
      </c>
      <c r="D1900">
        <v>44432</v>
      </c>
      <c r="E1900">
        <v>9</v>
      </c>
      <c r="F1900">
        <v>9</v>
      </c>
      <c r="G1900">
        <v>9</v>
      </c>
    </row>
    <row r="1901" spans="1:7">
      <c r="A1901">
        <v>2353</v>
      </c>
      <c r="B1901" t="s">
        <v>5965</v>
      </c>
      <c r="C1901" t="s">
        <v>5649</v>
      </c>
      <c r="D1901">
        <v>44432</v>
      </c>
      <c r="E1901">
        <v>9</v>
      </c>
      <c r="F1901">
        <v>9</v>
      </c>
      <c r="G1901">
        <v>9</v>
      </c>
    </row>
    <row r="1902" spans="1:7">
      <c r="A1902">
        <v>1444</v>
      </c>
      <c r="B1902" t="s">
        <v>5859</v>
      </c>
      <c r="C1902" t="s">
        <v>5706</v>
      </c>
      <c r="D1902">
        <v>44431</v>
      </c>
      <c r="E1902">
        <v>6</v>
      </c>
      <c r="F1902">
        <v>6</v>
      </c>
      <c r="G1902">
        <v>6</v>
      </c>
    </row>
    <row r="1903" spans="1:7">
      <c r="A1903">
        <v>6239</v>
      </c>
      <c r="B1903" t="s">
        <v>6170</v>
      </c>
      <c r="C1903" t="s">
        <v>5666</v>
      </c>
      <c r="D1903">
        <v>44431</v>
      </c>
      <c r="E1903">
        <v>3</v>
      </c>
      <c r="F1903">
        <v>3</v>
      </c>
      <c r="G1903">
        <v>3</v>
      </c>
    </row>
    <row r="1904" spans="1:7">
      <c r="A1904">
        <v>1304</v>
      </c>
      <c r="B1904" t="s">
        <v>6024</v>
      </c>
      <c r="C1904" t="s">
        <v>5771</v>
      </c>
      <c r="D1904">
        <v>44431</v>
      </c>
      <c r="E1904">
        <v>8</v>
      </c>
      <c r="F1904">
        <v>8</v>
      </c>
      <c r="G1904">
        <v>8</v>
      </c>
    </row>
    <row r="1905" spans="1:7">
      <c r="A1905">
        <v>911616</v>
      </c>
      <c r="B1905" t="s">
        <v>6180</v>
      </c>
      <c r="C1905" t="s">
        <v>5865</v>
      </c>
      <c r="D1905">
        <v>44431</v>
      </c>
      <c r="E1905">
        <v>6</v>
      </c>
      <c r="F1905">
        <v>6</v>
      </c>
      <c r="G1905">
        <v>6</v>
      </c>
    </row>
    <row r="1906" spans="1:7">
      <c r="A1906">
        <v>1906</v>
      </c>
      <c r="B1906" t="s">
        <v>6003</v>
      </c>
      <c r="C1906" t="s">
        <v>5677</v>
      </c>
      <c r="D1906">
        <v>44431</v>
      </c>
      <c r="E1906">
        <v>4</v>
      </c>
      <c r="F1906">
        <v>4</v>
      </c>
      <c r="G1906">
        <v>4</v>
      </c>
    </row>
    <row r="1907" spans="1:7">
      <c r="A1907">
        <v>2408</v>
      </c>
      <c r="B1907" t="s">
        <v>6009</v>
      </c>
      <c r="C1907" t="s">
        <v>5666</v>
      </c>
      <c r="D1907">
        <v>44431</v>
      </c>
      <c r="E1907">
        <v>8</v>
      </c>
      <c r="F1907">
        <v>8</v>
      </c>
      <c r="G1907">
        <v>8</v>
      </c>
    </row>
    <row r="1908" spans="1:7">
      <c r="A1908">
        <v>9958</v>
      </c>
      <c r="B1908" t="s">
        <v>5783</v>
      </c>
      <c r="C1908" t="s">
        <v>5659</v>
      </c>
      <c r="D1908">
        <v>44431</v>
      </c>
      <c r="E1908">
        <v>9</v>
      </c>
      <c r="F1908">
        <v>9</v>
      </c>
      <c r="G1908">
        <v>9</v>
      </c>
    </row>
    <row r="1909" spans="1:7">
      <c r="A1909">
        <v>1722</v>
      </c>
      <c r="B1909" t="s">
        <v>5882</v>
      </c>
      <c r="C1909" t="s">
        <v>5733</v>
      </c>
      <c r="D1909">
        <v>44431</v>
      </c>
      <c r="E1909">
        <v>9</v>
      </c>
      <c r="F1909">
        <v>9</v>
      </c>
      <c r="G1909">
        <v>9</v>
      </c>
    </row>
    <row r="1910" spans="1:7">
      <c r="A1910">
        <v>2301</v>
      </c>
      <c r="B1910" t="s">
        <v>5723</v>
      </c>
      <c r="C1910" t="s">
        <v>5649</v>
      </c>
      <c r="D1910">
        <v>44431</v>
      </c>
      <c r="E1910">
        <v>14</v>
      </c>
      <c r="F1910">
        <v>14</v>
      </c>
      <c r="G1910">
        <v>14</v>
      </c>
    </row>
    <row r="1911" spans="1:7">
      <c r="A1911">
        <v>2484</v>
      </c>
      <c r="B1911" t="s">
        <v>5710</v>
      </c>
      <c r="C1911" t="s">
        <v>5675</v>
      </c>
      <c r="D1911">
        <v>44431</v>
      </c>
      <c r="E1911">
        <v>5</v>
      </c>
      <c r="F1911">
        <v>5</v>
      </c>
      <c r="G1911">
        <v>5</v>
      </c>
    </row>
    <row r="1912" spans="1:7">
      <c r="A1912">
        <v>2845</v>
      </c>
      <c r="B1912" t="s">
        <v>6066</v>
      </c>
      <c r="C1912" t="s">
        <v>5645</v>
      </c>
      <c r="D1912">
        <v>44431</v>
      </c>
      <c r="E1912">
        <v>6</v>
      </c>
      <c r="F1912">
        <v>6</v>
      </c>
      <c r="G1912">
        <v>6</v>
      </c>
    </row>
    <row r="1913" spans="1:7">
      <c r="A1913">
        <v>1519</v>
      </c>
      <c r="B1913" t="s">
        <v>6222</v>
      </c>
      <c r="C1913" t="s">
        <v>5670</v>
      </c>
      <c r="D1913">
        <v>44431</v>
      </c>
      <c r="E1913">
        <v>3</v>
      </c>
      <c r="F1913">
        <v>3</v>
      </c>
      <c r="G1913">
        <v>3</v>
      </c>
    </row>
    <row r="1914" spans="1:7">
      <c r="A1914">
        <v>1907</v>
      </c>
      <c r="B1914" t="s">
        <v>6006</v>
      </c>
      <c r="C1914" t="s">
        <v>5677</v>
      </c>
      <c r="D1914">
        <v>44431</v>
      </c>
      <c r="E1914">
        <v>8</v>
      </c>
      <c r="F1914">
        <v>8</v>
      </c>
      <c r="G1914">
        <v>8</v>
      </c>
    </row>
    <row r="1915" spans="1:7">
      <c r="A1915">
        <v>2344</v>
      </c>
      <c r="B1915" t="s">
        <v>6011</v>
      </c>
      <c r="C1915" t="s">
        <v>5666</v>
      </c>
      <c r="D1915">
        <v>44431</v>
      </c>
      <c r="E1915">
        <v>7</v>
      </c>
      <c r="F1915">
        <v>7</v>
      </c>
      <c r="G1915">
        <v>7</v>
      </c>
    </row>
    <row r="1916" spans="1:7">
      <c r="A1916">
        <v>2610</v>
      </c>
      <c r="B1916" t="s">
        <v>5826</v>
      </c>
      <c r="C1916" t="s">
        <v>5679</v>
      </c>
      <c r="D1916">
        <v>44431</v>
      </c>
      <c r="E1916">
        <v>6</v>
      </c>
      <c r="F1916">
        <v>6</v>
      </c>
      <c r="G1916">
        <v>6</v>
      </c>
    </row>
    <row r="1917" spans="1:7">
      <c r="A1917">
        <v>2206</v>
      </c>
      <c r="B1917" t="s">
        <v>5845</v>
      </c>
      <c r="C1917" t="s">
        <v>5769</v>
      </c>
      <c r="D1917">
        <v>44431</v>
      </c>
      <c r="E1917">
        <v>4</v>
      </c>
      <c r="F1917">
        <v>4</v>
      </c>
      <c r="G1917">
        <v>4</v>
      </c>
    </row>
    <row r="1918" spans="1:7">
      <c r="A1918">
        <v>5475</v>
      </c>
      <c r="B1918" t="s">
        <v>6054</v>
      </c>
      <c r="C1918" t="s">
        <v>5791</v>
      </c>
      <c r="D1918">
        <v>44431</v>
      </c>
      <c r="E1918">
        <v>5</v>
      </c>
      <c r="F1918">
        <v>5</v>
      </c>
      <c r="G1918">
        <v>5</v>
      </c>
    </row>
    <row r="1919" spans="1:7">
      <c r="A1919">
        <v>2618</v>
      </c>
      <c r="B1919" t="s">
        <v>5881</v>
      </c>
      <c r="C1919" t="s">
        <v>5679</v>
      </c>
      <c r="D1919">
        <v>44431</v>
      </c>
      <c r="E1919">
        <v>4</v>
      </c>
      <c r="F1919">
        <v>4</v>
      </c>
      <c r="G1919">
        <v>4</v>
      </c>
    </row>
    <row r="1920" spans="1:7">
      <c r="A1920">
        <v>5438</v>
      </c>
      <c r="B1920" t="s">
        <v>6229</v>
      </c>
      <c r="C1920" t="s">
        <v>5829</v>
      </c>
      <c r="D1920">
        <v>44431</v>
      </c>
      <c r="E1920">
        <v>4</v>
      </c>
      <c r="F1920">
        <v>4</v>
      </c>
      <c r="G1920">
        <v>4</v>
      </c>
    </row>
    <row r="1921" spans="1:7">
      <c r="A1921">
        <v>2105</v>
      </c>
      <c r="B1921" t="s">
        <v>5671</v>
      </c>
      <c r="C1921" t="s">
        <v>5657</v>
      </c>
      <c r="D1921">
        <v>44431</v>
      </c>
      <c r="E1921">
        <v>10</v>
      </c>
      <c r="F1921">
        <v>10</v>
      </c>
      <c r="G1921">
        <v>10</v>
      </c>
    </row>
    <row r="1922" spans="1:7">
      <c r="A1922">
        <v>6016</v>
      </c>
      <c r="B1922" t="s">
        <v>6017</v>
      </c>
      <c r="C1922" t="s">
        <v>5798</v>
      </c>
      <c r="D1922">
        <v>44431</v>
      </c>
      <c r="E1922">
        <v>4</v>
      </c>
      <c r="F1922">
        <v>4</v>
      </c>
      <c r="G1922">
        <v>4</v>
      </c>
    </row>
    <row r="1923" spans="1:7">
      <c r="A1923">
        <v>6505</v>
      </c>
      <c r="B1923" t="s">
        <v>5942</v>
      </c>
      <c r="C1923" t="s">
        <v>5943</v>
      </c>
      <c r="D1923">
        <v>44431</v>
      </c>
      <c r="E1923">
        <v>10</v>
      </c>
      <c r="F1923">
        <v>10</v>
      </c>
      <c r="G1923">
        <v>10</v>
      </c>
    </row>
    <row r="1924" spans="1:7">
      <c r="A1924">
        <v>1718</v>
      </c>
      <c r="B1924" t="s">
        <v>5816</v>
      </c>
      <c r="C1924" t="s">
        <v>5733</v>
      </c>
      <c r="D1924">
        <v>44431</v>
      </c>
      <c r="E1924">
        <v>13</v>
      </c>
      <c r="F1924">
        <v>13</v>
      </c>
      <c r="G1924">
        <v>13</v>
      </c>
    </row>
    <row r="1925" spans="1:7">
      <c r="A1925">
        <v>2633</v>
      </c>
      <c r="B1925" t="s">
        <v>6130</v>
      </c>
      <c r="C1925" t="s">
        <v>5679</v>
      </c>
      <c r="D1925">
        <v>44431</v>
      </c>
      <c r="E1925">
        <v>8</v>
      </c>
      <c r="F1925">
        <v>8</v>
      </c>
      <c r="G1925">
        <v>8</v>
      </c>
    </row>
    <row r="1926" spans="1:7">
      <c r="A1926">
        <v>2489</v>
      </c>
      <c r="B1926" t="s">
        <v>5738</v>
      </c>
      <c r="C1926" t="s">
        <v>5661</v>
      </c>
      <c r="D1926">
        <v>44431</v>
      </c>
      <c r="E1926">
        <v>9</v>
      </c>
      <c r="F1926">
        <v>9</v>
      </c>
      <c r="G1926">
        <v>9</v>
      </c>
    </row>
    <row r="1927" spans="1:7">
      <c r="A1927">
        <v>5608</v>
      </c>
      <c r="B1927" t="s">
        <v>6232</v>
      </c>
      <c r="C1927" t="s">
        <v>5679</v>
      </c>
      <c r="D1927">
        <v>44431</v>
      </c>
      <c r="E1927">
        <v>2</v>
      </c>
      <c r="F1927">
        <v>2</v>
      </c>
      <c r="G1927">
        <v>2</v>
      </c>
    </row>
    <row r="1928" spans="1:7">
      <c r="A1928">
        <v>3060</v>
      </c>
      <c r="B1928" t="s">
        <v>6218</v>
      </c>
      <c r="C1928" t="s">
        <v>5649</v>
      </c>
      <c r="D1928">
        <v>44431</v>
      </c>
      <c r="E1928">
        <v>3</v>
      </c>
      <c r="F1928">
        <v>3</v>
      </c>
      <c r="G1928">
        <v>3</v>
      </c>
    </row>
    <row r="1929" spans="1:7">
      <c r="A1929">
        <v>1303</v>
      </c>
      <c r="B1929" t="s">
        <v>5792</v>
      </c>
      <c r="C1929" t="s">
        <v>5771</v>
      </c>
      <c r="D1929">
        <v>44431</v>
      </c>
      <c r="E1929">
        <v>9</v>
      </c>
      <c r="F1929">
        <v>9</v>
      </c>
      <c r="G1929">
        <v>9</v>
      </c>
    </row>
    <row r="1930" spans="1:7">
      <c r="A1930">
        <v>2823</v>
      </c>
      <c r="B1930" t="s">
        <v>5811</v>
      </c>
      <c r="C1930" t="s">
        <v>5645</v>
      </c>
      <c r="D1930">
        <v>44431</v>
      </c>
      <c r="E1930">
        <v>17</v>
      </c>
      <c r="F1930">
        <v>17</v>
      </c>
      <c r="G1930">
        <v>17</v>
      </c>
    </row>
    <row r="1931" spans="1:7">
      <c r="A1931">
        <v>1710</v>
      </c>
      <c r="B1931" t="s">
        <v>5784</v>
      </c>
      <c r="C1931" t="s">
        <v>5733</v>
      </c>
      <c r="D1931">
        <v>44431</v>
      </c>
      <c r="E1931">
        <v>7</v>
      </c>
      <c r="F1931">
        <v>7</v>
      </c>
      <c r="G1931">
        <v>7</v>
      </c>
    </row>
    <row r="1932" spans="1:7">
      <c r="A1932">
        <v>3062</v>
      </c>
      <c r="B1932" t="s">
        <v>6215</v>
      </c>
      <c r="C1932" t="s">
        <v>5653</v>
      </c>
      <c r="D1932">
        <v>44431</v>
      </c>
      <c r="E1932">
        <v>4</v>
      </c>
      <c r="F1932">
        <v>4</v>
      </c>
      <c r="G1932">
        <v>4</v>
      </c>
    </row>
    <row r="1933" spans="1:7">
      <c r="A1933">
        <v>2454</v>
      </c>
      <c r="B1933" t="s">
        <v>5933</v>
      </c>
      <c r="C1933" t="s">
        <v>5666</v>
      </c>
      <c r="D1933">
        <v>44431</v>
      </c>
      <c r="E1933">
        <v>8</v>
      </c>
      <c r="F1933">
        <v>8</v>
      </c>
      <c r="G1933">
        <v>8</v>
      </c>
    </row>
    <row r="1934" spans="1:7">
      <c r="A1934">
        <v>1216</v>
      </c>
      <c r="B1934" t="s">
        <v>6063</v>
      </c>
      <c r="C1934" t="s">
        <v>5872</v>
      </c>
      <c r="D1934">
        <v>44431</v>
      </c>
      <c r="E1934">
        <v>8</v>
      </c>
      <c r="F1934">
        <v>8</v>
      </c>
      <c r="G1934">
        <v>8</v>
      </c>
    </row>
    <row r="1935" spans="1:7">
      <c r="A1935">
        <v>9962</v>
      </c>
      <c r="B1935" t="s">
        <v>5997</v>
      </c>
      <c r="C1935" t="s">
        <v>5869</v>
      </c>
      <c r="D1935">
        <v>44431</v>
      </c>
      <c r="E1935">
        <v>5</v>
      </c>
      <c r="F1935">
        <v>5</v>
      </c>
      <c r="G1935">
        <v>5</v>
      </c>
    </row>
    <row r="1936" spans="1:7">
      <c r="A1936">
        <v>1314</v>
      </c>
      <c r="B1936" t="s">
        <v>5809</v>
      </c>
      <c r="C1936" t="s">
        <v>5771</v>
      </c>
      <c r="D1936">
        <v>44431</v>
      </c>
      <c r="E1936">
        <v>8</v>
      </c>
      <c r="F1936">
        <v>8</v>
      </c>
      <c r="G1936">
        <v>8</v>
      </c>
    </row>
    <row r="1937" spans="1:7">
      <c r="A1937">
        <v>6285</v>
      </c>
      <c r="B1937" t="s">
        <v>6233</v>
      </c>
      <c r="C1937" t="s">
        <v>5653</v>
      </c>
      <c r="D1937">
        <v>44431</v>
      </c>
      <c r="E1937">
        <v>1</v>
      </c>
      <c r="F1937">
        <v>1</v>
      </c>
      <c r="G1937">
        <v>1</v>
      </c>
    </row>
    <row r="1938" spans="1:7">
      <c r="A1938">
        <v>2458</v>
      </c>
      <c r="B1938" t="s">
        <v>5668</v>
      </c>
      <c r="C1938" t="s">
        <v>5666</v>
      </c>
      <c r="D1938">
        <v>44431</v>
      </c>
      <c r="E1938">
        <v>9</v>
      </c>
      <c r="F1938">
        <v>9</v>
      </c>
      <c r="G1938">
        <v>9</v>
      </c>
    </row>
    <row r="1939" spans="1:7">
      <c r="A1939">
        <v>2331</v>
      </c>
      <c r="B1939" t="s">
        <v>5972</v>
      </c>
      <c r="C1939" t="s">
        <v>5649</v>
      </c>
      <c r="D1939">
        <v>44431</v>
      </c>
      <c r="E1939">
        <v>9</v>
      </c>
      <c r="F1939">
        <v>9</v>
      </c>
      <c r="G1939">
        <v>9</v>
      </c>
    </row>
    <row r="1940" spans="1:7">
      <c r="A1940">
        <v>8182</v>
      </c>
      <c r="B1940" t="s">
        <v>6116</v>
      </c>
      <c r="C1940" t="s">
        <v>5791</v>
      </c>
      <c r="D1940">
        <v>44431</v>
      </c>
      <c r="E1940">
        <v>4</v>
      </c>
      <c r="F1940">
        <v>4</v>
      </c>
      <c r="G1940">
        <v>4</v>
      </c>
    </row>
    <row r="1941" spans="1:7">
      <c r="A1941">
        <v>2357</v>
      </c>
      <c r="B1941" t="s">
        <v>5781</v>
      </c>
      <c r="C1941" t="s">
        <v>5649</v>
      </c>
      <c r="D1941">
        <v>44431</v>
      </c>
      <c r="E1941">
        <v>6</v>
      </c>
      <c r="F1941">
        <v>6</v>
      </c>
      <c r="G1941">
        <v>6</v>
      </c>
    </row>
    <row r="1942" spans="1:7">
      <c r="A1942">
        <v>2323</v>
      </c>
      <c r="B1942" t="s">
        <v>6004</v>
      </c>
      <c r="C1942" t="s">
        <v>5661</v>
      </c>
      <c r="D1942">
        <v>44431</v>
      </c>
      <c r="E1942">
        <v>4</v>
      </c>
      <c r="F1942">
        <v>4</v>
      </c>
      <c r="G1942">
        <v>4</v>
      </c>
    </row>
    <row r="1943" spans="1:7">
      <c r="A1943">
        <v>3227</v>
      </c>
      <c r="B1943" t="s">
        <v>6033</v>
      </c>
      <c r="C1943" t="s">
        <v>5690</v>
      </c>
      <c r="D1943">
        <v>44431</v>
      </c>
      <c r="E1943">
        <v>3</v>
      </c>
      <c r="F1943">
        <v>3</v>
      </c>
      <c r="G1943">
        <v>3</v>
      </c>
    </row>
    <row r="1944" spans="1:7">
      <c r="A1944">
        <v>2406</v>
      </c>
      <c r="B1944" t="s">
        <v>5762</v>
      </c>
      <c r="C1944" t="s">
        <v>5661</v>
      </c>
      <c r="D1944">
        <v>44431</v>
      </c>
      <c r="E1944">
        <v>6</v>
      </c>
      <c r="F1944">
        <v>6</v>
      </c>
      <c r="G1944">
        <v>6</v>
      </c>
    </row>
    <row r="1945" spans="1:7">
      <c r="A1945">
        <v>2838</v>
      </c>
      <c r="B1945" t="s">
        <v>6064</v>
      </c>
      <c r="C1945" t="s">
        <v>5645</v>
      </c>
      <c r="D1945">
        <v>44431</v>
      </c>
      <c r="E1945">
        <v>6</v>
      </c>
      <c r="F1945">
        <v>6</v>
      </c>
      <c r="G1945">
        <v>6</v>
      </c>
    </row>
    <row r="1946" spans="1:7">
      <c r="A1946">
        <v>2108</v>
      </c>
      <c r="B1946" t="s">
        <v>5656</v>
      </c>
      <c r="C1946" t="s">
        <v>5657</v>
      </c>
      <c r="D1946">
        <v>44431</v>
      </c>
      <c r="E1946">
        <v>9</v>
      </c>
      <c r="F1946">
        <v>9</v>
      </c>
      <c r="G1946">
        <v>9</v>
      </c>
    </row>
    <row r="1947" spans="1:7">
      <c r="A1947">
        <v>6015</v>
      </c>
      <c r="B1947" t="s">
        <v>5973</v>
      </c>
      <c r="C1947" t="s">
        <v>5798</v>
      </c>
      <c r="D1947">
        <v>44431</v>
      </c>
      <c r="E1947">
        <v>4</v>
      </c>
      <c r="F1947">
        <v>4</v>
      </c>
      <c r="G1947">
        <v>4</v>
      </c>
    </row>
    <row r="1948" spans="1:7">
      <c r="A1948">
        <v>4989</v>
      </c>
      <c r="B1948" t="s">
        <v>6002</v>
      </c>
      <c r="C1948" t="s">
        <v>5675</v>
      </c>
      <c r="D1948">
        <v>44431</v>
      </c>
      <c r="E1948">
        <v>4</v>
      </c>
      <c r="F1948">
        <v>4</v>
      </c>
      <c r="G1948">
        <v>4</v>
      </c>
    </row>
    <row r="1949" spans="1:7">
      <c r="A1949">
        <v>2456</v>
      </c>
      <c r="B1949" t="s">
        <v>5982</v>
      </c>
      <c r="C1949" t="s">
        <v>5675</v>
      </c>
      <c r="D1949">
        <v>44431</v>
      </c>
      <c r="E1949">
        <v>4</v>
      </c>
      <c r="F1949">
        <v>4</v>
      </c>
      <c r="G1949">
        <v>4</v>
      </c>
    </row>
    <row r="1950" spans="1:7">
      <c r="A1950">
        <v>8096</v>
      </c>
      <c r="B1950" t="s">
        <v>6234</v>
      </c>
      <c r="C1950" t="s">
        <v>5694</v>
      </c>
      <c r="D1950">
        <v>44431</v>
      </c>
      <c r="E1950">
        <v>2</v>
      </c>
      <c r="F1950">
        <v>2</v>
      </c>
      <c r="G1950">
        <v>2</v>
      </c>
    </row>
    <row r="1951" spans="1:7">
      <c r="A1951">
        <v>3704</v>
      </c>
      <c r="B1951" t="s">
        <v>6235</v>
      </c>
      <c r="C1951" t="s">
        <v>5653</v>
      </c>
      <c r="D1951">
        <v>44431</v>
      </c>
      <c r="E1951">
        <v>1</v>
      </c>
      <c r="F1951">
        <v>1</v>
      </c>
      <c r="G1951">
        <v>1</v>
      </c>
    </row>
    <row r="1952" spans="1:7">
      <c r="A1952">
        <v>3048</v>
      </c>
      <c r="B1952" t="s">
        <v>6120</v>
      </c>
      <c r="C1952" t="s">
        <v>5687</v>
      </c>
      <c r="D1952">
        <v>44431</v>
      </c>
      <c r="E1952">
        <v>4</v>
      </c>
      <c r="F1952">
        <v>4</v>
      </c>
      <c r="G1952">
        <v>4</v>
      </c>
    </row>
    <row r="1953" spans="1:7">
      <c r="A1953">
        <v>2615</v>
      </c>
      <c r="B1953" t="s">
        <v>5734</v>
      </c>
      <c r="C1953" t="s">
        <v>5679</v>
      </c>
      <c r="D1953">
        <v>44431</v>
      </c>
      <c r="E1953">
        <v>4</v>
      </c>
      <c r="F1953">
        <v>4</v>
      </c>
      <c r="G1953">
        <v>4</v>
      </c>
    </row>
    <row r="1954" spans="1:7">
      <c r="A1954">
        <v>1434</v>
      </c>
      <c r="B1954" t="s">
        <v>5926</v>
      </c>
      <c r="C1954" t="s">
        <v>5706</v>
      </c>
      <c r="D1954">
        <v>44431</v>
      </c>
      <c r="E1954">
        <v>3</v>
      </c>
      <c r="F1954">
        <v>3</v>
      </c>
      <c r="G1954">
        <v>3</v>
      </c>
    </row>
    <row r="1955" spans="1:7">
      <c r="A1955">
        <v>2515</v>
      </c>
      <c r="B1955" t="s">
        <v>6095</v>
      </c>
      <c r="C1955" t="s">
        <v>5651</v>
      </c>
      <c r="D1955">
        <v>44431</v>
      </c>
      <c r="E1955">
        <v>10</v>
      </c>
      <c r="F1955">
        <v>10</v>
      </c>
      <c r="G1955">
        <v>10</v>
      </c>
    </row>
    <row r="1956" spans="1:7">
      <c r="A1956">
        <v>1609</v>
      </c>
      <c r="B1956" t="s">
        <v>5980</v>
      </c>
      <c r="C1956" t="s">
        <v>5858</v>
      </c>
      <c r="D1956">
        <v>44431</v>
      </c>
      <c r="E1956">
        <v>9</v>
      </c>
      <c r="F1956">
        <v>9</v>
      </c>
      <c r="G1956">
        <v>9</v>
      </c>
    </row>
    <row r="1957" spans="1:7">
      <c r="A1957">
        <v>1605</v>
      </c>
      <c r="B1957" t="s">
        <v>5857</v>
      </c>
      <c r="C1957" t="s">
        <v>5858</v>
      </c>
      <c r="D1957">
        <v>44431</v>
      </c>
      <c r="E1957">
        <v>9</v>
      </c>
      <c r="F1957">
        <v>9</v>
      </c>
      <c r="G1957">
        <v>9</v>
      </c>
    </row>
    <row r="1958" spans="1:7">
      <c r="A1958">
        <v>3041</v>
      </c>
      <c r="B1958" t="s">
        <v>6020</v>
      </c>
      <c r="C1958" t="s">
        <v>5666</v>
      </c>
      <c r="D1958">
        <v>44431</v>
      </c>
      <c r="E1958">
        <v>7</v>
      </c>
      <c r="F1958">
        <v>7</v>
      </c>
      <c r="G1958">
        <v>7</v>
      </c>
    </row>
    <row r="1959" spans="1:7">
      <c r="A1959">
        <v>9945</v>
      </c>
      <c r="B1959" t="s">
        <v>6171</v>
      </c>
      <c r="C1959" t="s">
        <v>5664</v>
      </c>
      <c r="D1959">
        <v>44431</v>
      </c>
      <c r="E1959">
        <v>3</v>
      </c>
      <c r="F1959">
        <v>3</v>
      </c>
      <c r="G1959">
        <v>3</v>
      </c>
    </row>
    <row r="1960" spans="1:7">
      <c r="A1960">
        <v>3221</v>
      </c>
      <c r="B1960" t="s">
        <v>5911</v>
      </c>
      <c r="C1960" t="s">
        <v>5684</v>
      </c>
      <c r="D1960">
        <v>44431</v>
      </c>
      <c r="E1960">
        <v>5</v>
      </c>
      <c r="F1960">
        <v>5</v>
      </c>
      <c r="G1960">
        <v>5</v>
      </c>
    </row>
    <row r="1961" spans="1:7">
      <c r="A1961">
        <v>8112</v>
      </c>
      <c r="B1961" t="s">
        <v>6029</v>
      </c>
      <c r="C1961" t="s">
        <v>5687</v>
      </c>
      <c r="D1961">
        <v>44431</v>
      </c>
      <c r="E1961">
        <v>6</v>
      </c>
      <c r="F1961">
        <v>6</v>
      </c>
      <c r="G1961">
        <v>6</v>
      </c>
    </row>
    <row r="1962" spans="1:7">
      <c r="A1962">
        <v>3019</v>
      </c>
      <c r="B1962" t="s">
        <v>6210</v>
      </c>
      <c r="C1962" t="s">
        <v>5661</v>
      </c>
      <c r="D1962">
        <v>44431</v>
      </c>
      <c r="E1962">
        <v>2</v>
      </c>
      <c r="F1962">
        <v>2</v>
      </c>
      <c r="G1962">
        <v>2</v>
      </c>
    </row>
    <row r="1963" spans="1:7">
      <c r="A1963">
        <v>6456</v>
      </c>
      <c r="B1963" t="s">
        <v>6043</v>
      </c>
      <c r="C1963" t="s">
        <v>5661</v>
      </c>
      <c r="D1963">
        <v>44431</v>
      </c>
      <c r="E1963">
        <v>5</v>
      </c>
      <c r="F1963">
        <v>5</v>
      </c>
      <c r="G1963">
        <v>5</v>
      </c>
    </row>
    <row r="1964" spans="1:7">
      <c r="A1964">
        <v>2029</v>
      </c>
      <c r="B1964" t="s">
        <v>5905</v>
      </c>
      <c r="C1964" t="s">
        <v>5659</v>
      </c>
      <c r="D1964">
        <v>44431</v>
      </c>
      <c r="E1964">
        <v>3</v>
      </c>
      <c r="F1964">
        <v>3</v>
      </c>
      <c r="G1964">
        <v>3</v>
      </c>
    </row>
    <row r="1965" spans="1:7">
      <c r="A1965">
        <v>1815</v>
      </c>
      <c r="B1965" t="s">
        <v>5928</v>
      </c>
      <c r="C1965" t="s">
        <v>5791</v>
      </c>
      <c r="D1965">
        <v>44431</v>
      </c>
      <c r="E1965">
        <v>7</v>
      </c>
      <c r="F1965">
        <v>7</v>
      </c>
      <c r="G1965">
        <v>7</v>
      </c>
    </row>
    <row r="1966" spans="1:7">
      <c r="A1966">
        <v>9907</v>
      </c>
      <c r="B1966" t="s">
        <v>5812</v>
      </c>
      <c r="C1966" t="s">
        <v>5664</v>
      </c>
      <c r="D1966">
        <v>44431</v>
      </c>
      <c r="E1966">
        <v>7</v>
      </c>
      <c r="F1966">
        <v>7</v>
      </c>
      <c r="G1966">
        <v>7</v>
      </c>
    </row>
    <row r="1967" spans="1:7">
      <c r="A1967">
        <v>3552</v>
      </c>
      <c r="B1967" t="s">
        <v>5934</v>
      </c>
      <c r="C1967" t="s">
        <v>5800</v>
      </c>
      <c r="D1967">
        <v>44431</v>
      </c>
      <c r="E1967">
        <v>4</v>
      </c>
      <c r="F1967">
        <v>4</v>
      </c>
      <c r="G1967">
        <v>4</v>
      </c>
    </row>
    <row r="1968" spans="1:7">
      <c r="A1968">
        <v>1447</v>
      </c>
      <c r="B1968" t="s">
        <v>5705</v>
      </c>
      <c r="C1968" t="s">
        <v>5706</v>
      </c>
      <c r="D1968">
        <v>44431</v>
      </c>
      <c r="E1968">
        <v>8</v>
      </c>
      <c r="F1968">
        <v>8</v>
      </c>
      <c r="G1968">
        <v>8</v>
      </c>
    </row>
    <row r="1969" spans="1:7">
      <c r="A1969">
        <v>2809</v>
      </c>
      <c r="B1969" t="s">
        <v>5810</v>
      </c>
      <c r="C1969" t="s">
        <v>5645</v>
      </c>
      <c r="D1969">
        <v>44431</v>
      </c>
      <c r="E1969">
        <v>15</v>
      </c>
      <c r="F1969">
        <v>15</v>
      </c>
      <c r="G1969">
        <v>15</v>
      </c>
    </row>
    <row r="1970" spans="1:7">
      <c r="A1970">
        <v>3504</v>
      </c>
      <c r="B1970" t="s">
        <v>6077</v>
      </c>
      <c r="C1970" t="s">
        <v>5661</v>
      </c>
      <c r="D1970">
        <v>44431</v>
      </c>
      <c r="E1970">
        <v>6</v>
      </c>
      <c r="F1970">
        <v>6</v>
      </c>
      <c r="G1970">
        <v>6</v>
      </c>
    </row>
    <row r="1971" spans="1:7">
      <c r="A1971">
        <v>6743</v>
      </c>
      <c r="B1971" t="s">
        <v>6236</v>
      </c>
      <c r="C1971" t="s">
        <v>5692</v>
      </c>
      <c r="D1971">
        <v>44431</v>
      </c>
      <c r="E1971">
        <v>1</v>
      </c>
      <c r="F1971">
        <v>1</v>
      </c>
      <c r="G1971">
        <v>1</v>
      </c>
    </row>
    <row r="1972" spans="1:7">
      <c r="A1972">
        <v>6278</v>
      </c>
      <c r="B1972" t="s">
        <v>5764</v>
      </c>
      <c r="C1972" t="s">
        <v>5661</v>
      </c>
      <c r="D1972">
        <v>44431</v>
      </c>
      <c r="E1972">
        <v>8</v>
      </c>
      <c r="F1972">
        <v>8</v>
      </c>
      <c r="G1972">
        <v>8</v>
      </c>
    </row>
    <row r="1973" spans="1:7">
      <c r="A1973">
        <v>2340</v>
      </c>
      <c r="B1973" t="s">
        <v>5749</v>
      </c>
      <c r="C1973" t="s">
        <v>5661</v>
      </c>
      <c r="D1973">
        <v>44431</v>
      </c>
      <c r="E1973">
        <v>6</v>
      </c>
      <c r="F1973">
        <v>6</v>
      </c>
      <c r="G1973">
        <v>6</v>
      </c>
    </row>
    <row r="1974" spans="1:7">
      <c r="A1974">
        <v>1513</v>
      </c>
      <c r="B1974" t="s">
        <v>6178</v>
      </c>
      <c r="C1974" t="s">
        <v>5670</v>
      </c>
      <c r="D1974">
        <v>44431</v>
      </c>
      <c r="E1974">
        <v>4</v>
      </c>
      <c r="F1974">
        <v>4</v>
      </c>
      <c r="G1974">
        <v>4</v>
      </c>
    </row>
    <row r="1975" spans="1:7">
      <c r="A1975">
        <v>2892</v>
      </c>
      <c r="B1975" t="s">
        <v>5930</v>
      </c>
      <c r="C1975" t="s">
        <v>5645</v>
      </c>
      <c r="D1975">
        <v>44431</v>
      </c>
      <c r="E1975">
        <v>5</v>
      </c>
      <c r="F1975">
        <v>5</v>
      </c>
      <c r="G1975">
        <v>5</v>
      </c>
    </row>
    <row r="1976" spans="1:7">
      <c r="A1976">
        <v>2607</v>
      </c>
      <c r="B1976" t="s">
        <v>6117</v>
      </c>
      <c r="C1976" t="s">
        <v>5679</v>
      </c>
      <c r="D1976">
        <v>44431</v>
      </c>
      <c r="E1976">
        <v>2</v>
      </c>
      <c r="F1976">
        <v>2</v>
      </c>
      <c r="G1976">
        <v>2</v>
      </c>
    </row>
    <row r="1977" spans="1:7">
      <c r="A1977">
        <v>2801</v>
      </c>
      <c r="B1977" t="s">
        <v>5662</v>
      </c>
      <c r="C1977" t="s">
        <v>5645</v>
      </c>
      <c r="D1977">
        <v>44431</v>
      </c>
      <c r="E1977">
        <v>9</v>
      </c>
      <c r="F1977">
        <v>9</v>
      </c>
      <c r="G1977">
        <v>9</v>
      </c>
    </row>
    <row r="1978" spans="1:7">
      <c r="A1978">
        <v>1101</v>
      </c>
      <c r="B1978" t="s">
        <v>5822</v>
      </c>
      <c r="C1978" t="s">
        <v>5823</v>
      </c>
      <c r="D1978">
        <v>44431</v>
      </c>
      <c r="E1978">
        <v>8</v>
      </c>
      <c r="F1978">
        <v>8</v>
      </c>
      <c r="G1978">
        <v>8</v>
      </c>
    </row>
    <row r="1979" spans="1:7">
      <c r="A1979">
        <v>2353</v>
      </c>
      <c r="B1979" t="s">
        <v>5965</v>
      </c>
      <c r="C1979" t="s">
        <v>5649</v>
      </c>
      <c r="D1979">
        <v>44431</v>
      </c>
      <c r="E1979">
        <v>9</v>
      </c>
      <c r="F1979">
        <v>9</v>
      </c>
      <c r="G1979">
        <v>9</v>
      </c>
    </row>
    <row r="1980" spans="1:7">
      <c r="A1980">
        <v>6443</v>
      </c>
      <c r="B1980" t="s">
        <v>6195</v>
      </c>
      <c r="C1980" t="s">
        <v>5661</v>
      </c>
      <c r="D1980">
        <v>44431</v>
      </c>
      <c r="E1980">
        <v>4</v>
      </c>
      <c r="F1980">
        <v>4</v>
      </c>
      <c r="G1980">
        <v>4</v>
      </c>
    </row>
    <row r="1981" spans="1:7">
      <c r="A1981">
        <v>2338</v>
      </c>
      <c r="B1981" t="s">
        <v>5665</v>
      </c>
      <c r="C1981" t="s">
        <v>5666</v>
      </c>
      <c r="D1981">
        <v>44431</v>
      </c>
      <c r="E1981">
        <v>5</v>
      </c>
      <c r="F1981">
        <v>5</v>
      </c>
      <c r="G1981">
        <v>5</v>
      </c>
    </row>
    <row r="1982" spans="1:7">
      <c r="A1982">
        <v>6488</v>
      </c>
      <c r="B1982" t="s">
        <v>5689</v>
      </c>
      <c r="C1982" t="s">
        <v>5690</v>
      </c>
      <c r="D1982">
        <v>44431</v>
      </c>
      <c r="E1982">
        <v>7</v>
      </c>
      <c r="F1982">
        <v>7</v>
      </c>
      <c r="G1982">
        <v>7</v>
      </c>
    </row>
    <row r="1983" spans="1:7">
      <c r="A1983">
        <v>2727</v>
      </c>
      <c r="B1983" t="s">
        <v>5989</v>
      </c>
      <c r="C1983" t="s">
        <v>5990</v>
      </c>
      <c r="D1983">
        <v>44431</v>
      </c>
      <c r="E1983">
        <v>4</v>
      </c>
      <c r="F1983">
        <v>4</v>
      </c>
      <c r="G1983">
        <v>4</v>
      </c>
    </row>
    <row r="1984" spans="1:7">
      <c r="A1984">
        <v>1608</v>
      </c>
      <c r="B1984" t="s">
        <v>5979</v>
      </c>
      <c r="C1984" t="s">
        <v>5858</v>
      </c>
      <c r="D1984">
        <v>44431</v>
      </c>
      <c r="E1984">
        <v>7</v>
      </c>
      <c r="F1984">
        <v>7</v>
      </c>
      <c r="G1984">
        <v>7</v>
      </c>
    </row>
    <row r="1985" spans="1:7">
      <c r="A1985">
        <v>2349</v>
      </c>
      <c r="B1985" t="s">
        <v>5760</v>
      </c>
      <c r="C1985" t="s">
        <v>5661</v>
      </c>
      <c r="D1985">
        <v>44431</v>
      </c>
      <c r="E1985">
        <v>3</v>
      </c>
      <c r="F1985">
        <v>3</v>
      </c>
      <c r="G1985">
        <v>3</v>
      </c>
    </row>
    <row r="1986" spans="1:7">
      <c r="A1986">
        <v>2913</v>
      </c>
      <c r="B1986" t="s">
        <v>6067</v>
      </c>
      <c r="C1986" t="s">
        <v>5647</v>
      </c>
      <c r="D1986">
        <v>44431</v>
      </c>
      <c r="E1986">
        <v>3</v>
      </c>
      <c r="F1986">
        <v>3</v>
      </c>
      <c r="G1986">
        <v>3</v>
      </c>
    </row>
    <row r="1987" spans="1:7">
      <c r="A1987">
        <v>2330</v>
      </c>
      <c r="B1987" t="s">
        <v>6018</v>
      </c>
      <c r="C1987" t="s">
        <v>5666</v>
      </c>
      <c r="D1987">
        <v>44431</v>
      </c>
      <c r="E1987">
        <v>12</v>
      </c>
      <c r="F1987">
        <v>12</v>
      </c>
      <c r="G1987">
        <v>12</v>
      </c>
    </row>
    <row r="1988" spans="1:7">
      <c r="A1988">
        <v>5243</v>
      </c>
      <c r="B1988" t="s">
        <v>6198</v>
      </c>
      <c r="C1988" t="s">
        <v>5661</v>
      </c>
      <c r="D1988">
        <v>44431</v>
      </c>
      <c r="E1988">
        <v>2</v>
      </c>
      <c r="F1988">
        <v>2</v>
      </c>
      <c r="G1988">
        <v>2</v>
      </c>
    </row>
    <row r="1989" spans="1:7">
      <c r="A1989">
        <v>2038</v>
      </c>
      <c r="B1989" t="s">
        <v>5879</v>
      </c>
      <c r="C1989" t="s">
        <v>5659</v>
      </c>
      <c r="D1989">
        <v>44431</v>
      </c>
      <c r="E1989">
        <v>4</v>
      </c>
      <c r="F1989">
        <v>4</v>
      </c>
      <c r="G1989">
        <v>4</v>
      </c>
    </row>
    <row r="1990" spans="1:7">
      <c r="A1990">
        <v>6120</v>
      </c>
      <c r="B1990" t="s">
        <v>6027</v>
      </c>
      <c r="C1990" t="s">
        <v>5661</v>
      </c>
      <c r="D1990">
        <v>44431</v>
      </c>
      <c r="E1990">
        <v>4</v>
      </c>
      <c r="F1990">
        <v>4</v>
      </c>
      <c r="G1990">
        <v>4</v>
      </c>
    </row>
    <row r="1991" spans="1:7">
      <c r="A1991">
        <v>1452</v>
      </c>
      <c r="B1991" t="s">
        <v>6237</v>
      </c>
      <c r="C1991" t="s">
        <v>5706</v>
      </c>
      <c r="D1991">
        <v>44431</v>
      </c>
      <c r="E1991">
        <v>2</v>
      </c>
      <c r="F1991">
        <v>2</v>
      </c>
      <c r="G1991">
        <v>2</v>
      </c>
    </row>
    <row r="1992" spans="1:7">
      <c r="A1992">
        <v>1326</v>
      </c>
      <c r="B1992" t="s">
        <v>5814</v>
      </c>
      <c r="C1992" t="s">
        <v>5771</v>
      </c>
      <c r="D1992">
        <v>44431</v>
      </c>
      <c r="E1992">
        <v>14</v>
      </c>
      <c r="F1992">
        <v>14</v>
      </c>
      <c r="G1992">
        <v>14</v>
      </c>
    </row>
    <row r="1993" spans="1:7">
      <c r="A1993">
        <v>2328</v>
      </c>
      <c r="B1993" t="s">
        <v>5718</v>
      </c>
      <c r="C1993" t="s">
        <v>5675</v>
      </c>
      <c r="D1993">
        <v>44431</v>
      </c>
      <c r="E1993">
        <v>3</v>
      </c>
      <c r="F1993">
        <v>3</v>
      </c>
      <c r="G1993">
        <v>3</v>
      </c>
    </row>
    <row r="1994" spans="1:7">
      <c r="A1994">
        <v>2613</v>
      </c>
      <c r="B1994" t="s">
        <v>6081</v>
      </c>
      <c r="C1994" t="s">
        <v>5679</v>
      </c>
      <c r="D1994">
        <v>44431</v>
      </c>
      <c r="E1994">
        <v>4</v>
      </c>
      <c r="F1994">
        <v>4</v>
      </c>
      <c r="G1994">
        <v>4</v>
      </c>
    </row>
    <row r="1995" spans="1:7">
      <c r="A1995">
        <v>3045</v>
      </c>
      <c r="B1995" t="s">
        <v>5680</v>
      </c>
      <c r="C1995" t="s">
        <v>5653</v>
      </c>
      <c r="D1995">
        <v>44431</v>
      </c>
      <c r="E1995">
        <v>14</v>
      </c>
      <c r="F1995">
        <v>14</v>
      </c>
      <c r="G1995">
        <v>14</v>
      </c>
    </row>
    <row r="1996" spans="1:7">
      <c r="A1996">
        <v>6290</v>
      </c>
      <c r="B1996" t="s">
        <v>6032</v>
      </c>
      <c r="C1996" t="s">
        <v>5791</v>
      </c>
      <c r="D1996">
        <v>44431</v>
      </c>
      <c r="E1996">
        <v>5</v>
      </c>
      <c r="F1996">
        <v>5</v>
      </c>
      <c r="G1996">
        <v>5</v>
      </c>
    </row>
    <row r="1997" spans="1:7">
      <c r="A1997">
        <v>6462</v>
      </c>
      <c r="B1997" t="s">
        <v>6238</v>
      </c>
      <c r="C1997" t="s">
        <v>5690</v>
      </c>
      <c r="D1997">
        <v>44431</v>
      </c>
      <c r="E1997">
        <v>2</v>
      </c>
      <c r="F1997">
        <v>2</v>
      </c>
      <c r="G1997">
        <v>2</v>
      </c>
    </row>
    <row r="1998" spans="1:7">
      <c r="A1998">
        <v>8415</v>
      </c>
      <c r="B1998" t="s">
        <v>5988</v>
      </c>
      <c r="C1998" t="s">
        <v>5869</v>
      </c>
      <c r="D1998">
        <v>44431</v>
      </c>
      <c r="E1998">
        <v>5</v>
      </c>
      <c r="F1998">
        <v>5</v>
      </c>
      <c r="G1998">
        <v>5</v>
      </c>
    </row>
    <row r="1999" spans="1:7">
      <c r="A1999">
        <v>1305</v>
      </c>
      <c r="B1999" t="s">
        <v>5770</v>
      </c>
      <c r="C1999" t="s">
        <v>5771</v>
      </c>
      <c r="D1999">
        <v>44431</v>
      </c>
      <c r="E1999">
        <v>7</v>
      </c>
      <c r="F1999">
        <v>7</v>
      </c>
      <c r="G1999">
        <v>7</v>
      </c>
    </row>
    <row r="2000" spans="1:7">
      <c r="A2000">
        <v>2345</v>
      </c>
      <c r="B2000" t="s">
        <v>5703</v>
      </c>
      <c r="C2000" t="s">
        <v>5653</v>
      </c>
      <c r="D2000">
        <v>44431</v>
      </c>
      <c r="E2000">
        <v>6</v>
      </c>
      <c r="F2000">
        <v>6</v>
      </c>
      <c r="G2000">
        <v>6</v>
      </c>
    </row>
    <row r="2001" spans="1:7">
      <c r="A2001">
        <v>2603</v>
      </c>
      <c r="B2001" t="s">
        <v>5721</v>
      </c>
      <c r="C2001" t="s">
        <v>5679</v>
      </c>
      <c r="D2001">
        <v>44431</v>
      </c>
      <c r="E2001">
        <v>6</v>
      </c>
      <c r="F2001">
        <v>6</v>
      </c>
      <c r="G2001">
        <v>6</v>
      </c>
    </row>
    <row r="2002" spans="1:7">
      <c r="A2002">
        <v>5820</v>
      </c>
      <c r="B2002" t="s">
        <v>5797</v>
      </c>
      <c r="C2002" t="s">
        <v>5798</v>
      </c>
      <c r="D2002">
        <v>44428</v>
      </c>
      <c r="E2002">
        <v>8</v>
      </c>
      <c r="F2002">
        <v>8</v>
      </c>
      <c r="G2002">
        <v>8</v>
      </c>
    </row>
    <row r="2003" spans="1:7">
      <c r="A2003">
        <v>911616</v>
      </c>
      <c r="B2003" t="s">
        <v>6180</v>
      </c>
      <c r="C2003" t="s">
        <v>5865</v>
      </c>
      <c r="D2003">
        <v>44428</v>
      </c>
      <c r="E2003">
        <v>6</v>
      </c>
      <c r="F2003">
        <v>6</v>
      </c>
      <c r="G2003">
        <v>6</v>
      </c>
    </row>
    <row r="2004" spans="1:7">
      <c r="A2004">
        <v>1734</v>
      </c>
      <c r="B2004" t="s">
        <v>5983</v>
      </c>
      <c r="C2004" t="s">
        <v>5729</v>
      </c>
      <c r="D2004">
        <v>44428</v>
      </c>
      <c r="E2004">
        <v>4</v>
      </c>
      <c r="F2004">
        <v>4</v>
      </c>
      <c r="G2004">
        <v>4</v>
      </c>
    </row>
    <row r="2005" spans="1:7">
      <c r="A2005">
        <v>5371</v>
      </c>
      <c r="B2005" t="s">
        <v>6239</v>
      </c>
      <c r="C2005" t="s">
        <v>5807</v>
      </c>
      <c r="D2005">
        <v>44428</v>
      </c>
      <c r="E2005">
        <v>2</v>
      </c>
      <c r="F2005">
        <v>2</v>
      </c>
      <c r="G2005">
        <v>2</v>
      </c>
    </row>
    <row r="2006" spans="1:7">
      <c r="A2006">
        <v>2367</v>
      </c>
      <c r="B2006" t="s">
        <v>6208</v>
      </c>
      <c r="C2006" t="s">
        <v>5675</v>
      </c>
      <c r="D2006">
        <v>44428</v>
      </c>
      <c r="E2006">
        <v>2</v>
      </c>
      <c r="F2006">
        <v>2</v>
      </c>
      <c r="G2006">
        <v>2</v>
      </c>
    </row>
    <row r="2007" spans="1:7">
      <c r="A2007">
        <v>2101</v>
      </c>
      <c r="B2007" t="s">
        <v>5767</v>
      </c>
      <c r="C2007" t="s">
        <v>5657</v>
      </c>
      <c r="D2007">
        <v>44428</v>
      </c>
      <c r="E2007">
        <v>5</v>
      </c>
      <c r="F2007">
        <v>5</v>
      </c>
      <c r="G2007">
        <v>5</v>
      </c>
    </row>
    <row r="2008" spans="1:7">
      <c r="A2008">
        <v>6127</v>
      </c>
      <c r="B2008" t="s">
        <v>6164</v>
      </c>
      <c r="C2008" t="s">
        <v>5791</v>
      </c>
      <c r="D2008">
        <v>44428</v>
      </c>
      <c r="E2008">
        <v>2</v>
      </c>
      <c r="F2008">
        <v>2</v>
      </c>
      <c r="G2008">
        <v>2</v>
      </c>
    </row>
    <row r="2009" spans="1:7">
      <c r="A2009">
        <v>1467</v>
      </c>
      <c r="B2009" t="s">
        <v>5919</v>
      </c>
      <c r="C2009" t="s">
        <v>5706</v>
      </c>
      <c r="D2009">
        <v>44428</v>
      </c>
      <c r="E2009">
        <v>5</v>
      </c>
      <c r="F2009">
        <v>5</v>
      </c>
      <c r="G2009">
        <v>5</v>
      </c>
    </row>
    <row r="2010" spans="1:7">
      <c r="A2010">
        <v>2886</v>
      </c>
      <c r="B2010" t="s">
        <v>5863</v>
      </c>
      <c r="C2010" t="s">
        <v>5645</v>
      </c>
      <c r="D2010">
        <v>44428</v>
      </c>
      <c r="E2010">
        <v>10</v>
      </c>
      <c r="F2010">
        <v>10</v>
      </c>
      <c r="G2010">
        <v>10</v>
      </c>
    </row>
    <row r="2011" spans="1:7">
      <c r="A2011">
        <v>1904</v>
      </c>
      <c r="B2011" t="s">
        <v>5907</v>
      </c>
      <c r="C2011" t="s">
        <v>5677</v>
      </c>
      <c r="D2011">
        <v>44428</v>
      </c>
      <c r="E2011">
        <v>5</v>
      </c>
      <c r="F2011">
        <v>5</v>
      </c>
      <c r="G2011">
        <v>5</v>
      </c>
    </row>
    <row r="2012" spans="1:7">
      <c r="A2012">
        <v>8163</v>
      </c>
      <c r="B2012" t="s">
        <v>6240</v>
      </c>
      <c r="C2012" t="s">
        <v>5649</v>
      </c>
      <c r="D2012">
        <v>44428</v>
      </c>
      <c r="E2012">
        <v>1</v>
      </c>
      <c r="F2012">
        <v>1</v>
      </c>
      <c r="G2012">
        <v>1</v>
      </c>
    </row>
    <row r="2013" spans="1:7">
      <c r="A2013">
        <v>3702</v>
      </c>
      <c r="B2013" t="s">
        <v>5686</v>
      </c>
      <c r="C2013" t="s">
        <v>5687</v>
      </c>
      <c r="D2013">
        <v>44428</v>
      </c>
      <c r="E2013">
        <v>16</v>
      </c>
      <c r="F2013">
        <v>16</v>
      </c>
      <c r="G2013">
        <v>16</v>
      </c>
    </row>
    <row r="2014" spans="1:7">
      <c r="A2014">
        <v>2393</v>
      </c>
      <c r="B2014" t="s">
        <v>5966</v>
      </c>
      <c r="C2014" t="s">
        <v>5661</v>
      </c>
      <c r="D2014">
        <v>44428</v>
      </c>
      <c r="E2014">
        <v>6</v>
      </c>
      <c r="F2014">
        <v>6</v>
      </c>
      <c r="G2014">
        <v>6</v>
      </c>
    </row>
    <row r="2015" spans="1:7">
      <c r="A2015">
        <v>1519</v>
      </c>
      <c r="B2015" t="s">
        <v>6222</v>
      </c>
      <c r="C2015" t="s">
        <v>5670</v>
      </c>
      <c r="D2015">
        <v>44428</v>
      </c>
      <c r="E2015">
        <v>3</v>
      </c>
      <c r="F2015">
        <v>3</v>
      </c>
      <c r="G2015">
        <v>3</v>
      </c>
    </row>
    <row r="2016" spans="1:7">
      <c r="A2016">
        <v>6213</v>
      </c>
      <c r="B2016" t="s">
        <v>5756</v>
      </c>
      <c r="C2016" t="s">
        <v>5675</v>
      </c>
      <c r="D2016">
        <v>44428</v>
      </c>
      <c r="E2016">
        <v>7</v>
      </c>
      <c r="F2016">
        <v>7</v>
      </c>
      <c r="G2016">
        <v>7</v>
      </c>
    </row>
    <row r="2017" spans="1:7">
      <c r="A2017">
        <v>9105</v>
      </c>
      <c r="B2017" t="s">
        <v>6015</v>
      </c>
      <c r="C2017" t="s">
        <v>5865</v>
      </c>
      <c r="D2017">
        <v>44428</v>
      </c>
      <c r="E2017">
        <v>4</v>
      </c>
      <c r="F2017">
        <v>4</v>
      </c>
      <c r="G2017">
        <v>4</v>
      </c>
    </row>
    <row r="2018" spans="1:7">
      <c r="A2018">
        <v>6120</v>
      </c>
      <c r="B2018" t="s">
        <v>6027</v>
      </c>
      <c r="C2018" t="s">
        <v>5661</v>
      </c>
      <c r="D2018">
        <v>44428</v>
      </c>
      <c r="E2018">
        <v>4</v>
      </c>
      <c r="F2018">
        <v>4</v>
      </c>
      <c r="G2018">
        <v>4</v>
      </c>
    </row>
    <row r="2019" spans="1:7">
      <c r="A2019">
        <v>1455</v>
      </c>
      <c r="B2019" t="s">
        <v>5880</v>
      </c>
      <c r="C2019" t="s">
        <v>5706</v>
      </c>
      <c r="D2019">
        <v>44428</v>
      </c>
      <c r="E2019">
        <v>7</v>
      </c>
      <c r="F2019">
        <v>7</v>
      </c>
      <c r="G2019">
        <v>7</v>
      </c>
    </row>
    <row r="2020" spans="1:7">
      <c r="A2020">
        <v>1909</v>
      </c>
      <c r="B2020" t="s">
        <v>5676</v>
      </c>
      <c r="C2020" t="s">
        <v>5677</v>
      </c>
      <c r="D2020">
        <v>44428</v>
      </c>
      <c r="E2020">
        <v>6</v>
      </c>
      <c r="F2020">
        <v>6</v>
      </c>
      <c r="G2020">
        <v>6</v>
      </c>
    </row>
    <row r="2021" spans="1:7">
      <c r="A2021">
        <v>5905</v>
      </c>
      <c r="B2021" t="s">
        <v>6098</v>
      </c>
      <c r="C2021" t="s">
        <v>6099</v>
      </c>
      <c r="D2021">
        <v>44428</v>
      </c>
      <c r="E2021">
        <v>5</v>
      </c>
      <c r="F2021">
        <v>5</v>
      </c>
      <c r="G2021">
        <v>5</v>
      </c>
    </row>
    <row r="2022" spans="1:7">
      <c r="A2022">
        <v>3374</v>
      </c>
      <c r="B2022" t="s">
        <v>5741</v>
      </c>
      <c r="C2022" t="s">
        <v>5690</v>
      </c>
      <c r="D2022">
        <v>44428</v>
      </c>
      <c r="E2022">
        <v>6</v>
      </c>
      <c r="F2022">
        <v>6</v>
      </c>
      <c r="G2022">
        <v>6</v>
      </c>
    </row>
    <row r="2023" spans="1:7">
      <c r="A2023">
        <v>2010</v>
      </c>
      <c r="B2023" t="s">
        <v>5658</v>
      </c>
      <c r="C2023" t="s">
        <v>5659</v>
      </c>
      <c r="D2023">
        <v>44428</v>
      </c>
      <c r="E2023">
        <v>8</v>
      </c>
      <c r="F2023">
        <v>8</v>
      </c>
      <c r="G2023">
        <v>8</v>
      </c>
    </row>
    <row r="2024" spans="1:7">
      <c r="A2024">
        <v>6456</v>
      </c>
      <c r="B2024" t="s">
        <v>6043</v>
      </c>
      <c r="C2024" t="s">
        <v>5661</v>
      </c>
      <c r="D2024">
        <v>44428</v>
      </c>
      <c r="E2024">
        <v>5</v>
      </c>
      <c r="F2024">
        <v>5</v>
      </c>
      <c r="G2024">
        <v>5</v>
      </c>
    </row>
    <row r="2025" spans="1:7">
      <c r="A2025">
        <v>2377</v>
      </c>
      <c r="B2025" t="s">
        <v>5688</v>
      </c>
      <c r="C2025" t="s">
        <v>5649</v>
      </c>
      <c r="D2025">
        <v>44428</v>
      </c>
      <c r="E2025">
        <v>7</v>
      </c>
      <c r="F2025">
        <v>7</v>
      </c>
      <c r="G2025">
        <v>7</v>
      </c>
    </row>
    <row r="2026" spans="1:7">
      <c r="A2026">
        <v>4989</v>
      </c>
      <c r="B2026" t="s">
        <v>6002</v>
      </c>
      <c r="C2026" t="s">
        <v>5675</v>
      </c>
      <c r="D2026">
        <v>44428</v>
      </c>
      <c r="E2026">
        <v>4</v>
      </c>
      <c r="F2026">
        <v>4</v>
      </c>
      <c r="G2026">
        <v>4</v>
      </c>
    </row>
    <row r="2027" spans="1:7">
      <c r="A2027">
        <v>4142</v>
      </c>
      <c r="B2027" t="s">
        <v>6087</v>
      </c>
      <c r="C2027" t="s">
        <v>5729</v>
      </c>
      <c r="D2027">
        <v>44428</v>
      </c>
      <c r="E2027">
        <v>8</v>
      </c>
      <c r="F2027">
        <v>8</v>
      </c>
      <c r="G2027">
        <v>8</v>
      </c>
    </row>
    <row r="2028" spans="1:7">
      <c r="A2028">
        <v>1815</v>
      </c>
      <c r="B2028" t="s">
        <v>5928</v>
      </c>
      <c r="C2028" t="s">
        <v>5791</v>
      </c>
      <c r="D2028">
        <v>44428</v>
      </c>
      <c r="E2028">
        <v>7</v>
      </c>
      <c r="F2028">
        <v>7</v>
      </c>
      <c r="G2028">
        <v>7</v>
      </c>
    </row>
    <row r="2029" spans="1:7">
      <c r="A2029">
        <v>5438</v>
      </c>
      <c r="B2029" t="s">
        <v>6229</v>
      </c>
      <c r="C2029" t="s">
        <v>5829</v>
      </c>
      <c r="D2029">
        <v>44428</v>
      </c>
      <c r="E2029">
        <v>4</v>
      </c>
      <c r="F2029">
        <v>4</v>
      </c>
      <c r="G2029">
        <v>4</v>
      </c>
    </row>
    <row r="2030" spans="1:7">
      <c r="A2030">
        <v>2606</v>
      </c>
      <c r="B2030" t="s">
        <v>5890</v>
      </c>
      <c r="C2030" t="s">
        <v>5679</v>
      </c>
      <c r="D2030">
        <v>44428</v>
      </c>
      <c r="E2030">
        <v>4</v>
      </c>
      <c r="F2030">
        <v>4</v>
      </c>
      <c r="G2030">
        <v>4</v>
      </c>
    </row>
    <row r="2031" spans="1:7">
      <c r="A2031">
        <v>2371</v>
      </c>
      <c r="B2031" t="s">
        <v>5900</v>
      </c>
      <c r="C2031" t="s">
        <v>5670</v>
      </c>
      <c r="D2031">
        <v>44428</v>
      </c>
      <c r="E2031">
        <v>6</v>
      </c>
      <c r="F2031">
        <v>6</v>
      </c>
      <c r="G2031">
        <v>6</v>
      </c>
    </row>
    <row r="2032" spans="1:7">
      <c r="A2032">
        <v>6282</v>
      </c>
      <c r="B2032" t="s">
        <v>5731</v>
      </c>
      <c r="C2032" t="s">
        <v>5675</v>
      </c>
      <c r="D2032">
        <v>44428</v>
      </c>
      <c r="E2032">
        <v>6</v>
      </c>
      <c r="F2032">
        <v>6</v>
      </c>
      <c r="G2032">
        <v>6</v>
      </c>
    </row>
    <row r="2033" spans="1:7">
      <c r="A2033">
        <v>1905</v>
      </c>
      <c r="B2033" t="s">
        <v>5897</v>
      </c>
      <c r="C2033" t="s">
        <v>5677</v>
      </c>
      <c r="D2033">
        <v>44428</v>
      </c>
      <c r="E2033">
        <v>6</v>
      </c>
      <c r="F2033">
        <v>6</v>
      </c>
      <c r="G2033">
        <v>6</v>
      </c>
    </row>
    <row r="2034" spans="1:7">
      <c r="A2034">
        <v>4906</v>
      </c>
      <c r="B2034" t="s">
        <v>6192</v>
      </c>
      <c r="C2034" t="s">
        <v>5653</v>
      </c>
      <c r="D2034">
        <v>44428</v>
      </c>
      <c r="E2034">
        <v>3</v>
      </c>
      <c r="F2034">
        <v>3</v>
      </c>
      <c r="G2034">
        <v>3</v>
      </c>
    </row>
    <row r="2035" spans="1:7">
      <c r="A2035">
        <v>5285</v>
      </c>
      <c r="B2035" t="s">
        <v>6197</v>
      </c>
      <c r="C2035" t="s">
        <v>5666</v>
      </c>
      <c r="D2035">
        <v>44428</v>
      </c>
      <c r="E2035">
        <v>2</v>
      </c>
      <c r="F2035">
        <v>2</v>
      </c>
      <c r="G2035">
        <v>2</v>
      </c>
    </row>
    <row r="2036" spans="1:7">
      <c r="A2036">
        <v>8096</v>
      </c>
      <c r="B2036" t="s">
        <v>6234</v>
      </c>
      <c r="C2036" t="s">
        <v>5694</v>
      </c>
      <c r="D2036">
        <v>44428</v>
      </c>
      <c r="E2036">
        <v>2</v>
      </c>
      <c r="F2036">
        <v>2</v>
      </c>
      <c r="G2036">
        <v>2</v>
      </c>
    </row>
    <row r="2037" spans="1:7">
      <c r="A2037">
        <v>2368</v>
      </c>
      <c r="B2037" t="s">
        <v>5746</v>
      </c>
      <c r="C2037" t="s">
        <v>5675</v>
      </c>
      <c r="D2037">
        <v>44428</v>
      </c>
      <c r="E2037">
        <v>5</v>
      </c>
      <c r="F2037">
        <v>5</v>
      </c>
      <c r="G2037">
        <v>5</v>
      </c>
    </row>
    <row r="2038" spans="1:7">
      <c r="A2038">
        <v>2022</v>
      </c>
      <c r="B2038" t="s">
        <v>5744</v>
      </c>
      <c r="C2038" t="s">
        <v>5659</v>
      </c>
      <c r="D2038">
        <v>44428</v>
      </c>
      <c r="E2038">
        <v>2</v>
      </c>
      <c r="F2038">
        <v>2</v>
      </c>
      <c r="G2038">
        <v>2</v>
      </c>
    </row>
    <row r="2039" spans="1:7">
      <c r="A2039">
        <v>2375</v>
      </c>
      <c r="B2039" t="s">
        <v>6158</v>
      </c>
      <c r="C2039" t="s">
        <v>5675</v>
      </c>
      <c r="D2039">
        <v>44428</v>
      </c>
      <c r="E2039">
        <v>3</v>
      </c>
      <c r="F2039">
        <v>3</v>
      </c>
      <c r="G2039">
        <v>3</v>
      </c>
    </row>
    <row r="2040" spans="1:7">
      <c r="A2040">
        <v>9958</v>
      </c>
      <c r="B2040" t="s">
        <v>5783</v>
      </c>
      <c r="C2040" t="s">
        <v>5659</v>
      </c>
      <c r="D2040">
        <v>44428</v>
      </c>
      <c r="E2040">
        <v>9</v>
      </c>
      <c r="F2040">
        <v>9</v>
      </c>
      <c r="G2040">
        <v>9</v>
      </c>
    </row>
    <row r="2041" spans="1:7">
      <c r="A2041">
        <v>2504</v>
      </c>
      <c r="B2041" t="s">
        <v>5708</v>
      </c>
      <c r="C2041" t="s">
        <v>5651</v>
      </c>
      <c r="D2041">
        <v>44428</v>
      </c>
      <c r="E2041">
        <v>8</v>
      </c>
      <c r="F2041">
        <v>8</v>
      </c>
      <c r="G2041">
        <v>8</v>
      </c>
    </row>
    <row r="2042" spans="1:7">
      <c r="A2042">
        <v>3003</v>
      </c>
      <c r="B2042" t="s">
        <v>6241</v>
      </c>
      <c r="C2042" t="s">
        <v>5675</v>
      </c>
      <c r="D2042">
        <v>44428</v>
      </c>
      <c r="E2042">
        <v>1</v>
      </c>
      <c r="F2042">
        <v>1</v>
      </c>
      <c r="G2042">
        <v>1</v>
      </c>
    </row>
    <row r="2043" spans="1:7">
      <c r="A2043">
        <v>2017</v>
      </c>
      <c r="B2043" t="s">
        <v>5885</v>
      </c>
      <c r="C2043" t="s">
        <v>5659</v>
      </c>
      <c r="D2043">
        <v>44428</v>
      </c>
      <c r="E2043">
        <v>5</v>
      </c>
      <c r="F2043">
        <v>5</v>
      </c>
      <c r="G2043">
        <v>5</v>
      </c>
    </row>
    <row r="2044" spans="1:7">
      <c r="A2044">
        <v>2611</v>
      </c>
      <c r="B2044" t="s">
        <v>6145</v>
      </c>
      <c r="C2044" t="s">
        <v>5679</v>
      </c>
      <c r="D2044">
        <v>44428</v>
      </c>
      <c r="E2044">
        <v>2</v>
      </c>
      <c r="F2044">
        <v>2</v>
      </c>
      <c r="G2044">
        <v>2</v>
      </c>
    </row>
    <row r="2045" spans="1:7">
      <c r="A2045">
        <v>3017</v>
      </c>
      <c r="B2045" t="s">
        <v>5750</v>
      </c>
      <c r="C2045" t="s">
        <v>5649</v>
      </c>
      <c r="D2045">
        <v>44428</v>
      </c>
      <c r="E2045">
        <v>8</v>
      </c>
      <c r="F2045">
        <v>8</v>
      </c>
      <c r="G2045">
        <v>8</v>
      </c>
    </row>
    <row r="2046" spans="1:7">
      <c r="A2046">
        <v>2369</v>
      </c>
      <c r="B2046" t="s">
        <v>5778</v>
      </c>
      <c r="C2046" t="s">
        <v>5666</v>
      </c>
      <c r="D2046">
        <v>44428</v>
      </c>
      <c r="E2046">
        <v>8</v>
      </c>
      <c r="F2046">
        <v>8</v>
      </c>
      <c r="G2046">
        <v>8</v>
      </c>
    </row>
    <row r="2047" spans="1:7">
      <c r="A2047">
        <v>1907</v>
      </c>
      <c r="B2047" t="s">
        <v>6006</v>
      </c>
      <c r="C2047" t="s">
        <v>5677</v>
      </c>
      <c r="D2047">
        <v>44428</v>
      </c>
      <c r="E2047">
        <v>8</v>
      </c>
      <c r="F2047">
        <v>8</v>
      </c>
      <c r="G2047">
        <v>8</v>
      </c>
    </row>
    <row r="2048" spans="1:7">
      <c r="A2048">
        <v>3673</v>
      </c>
      <c r="B2048" t="s">
        <v>6122</v>
      </c>
      <c r="C2048" t="s">
        <v>5661</v>
      </c>
      <c r="D2048">
        <v>44428</v>
      </c>
      <c r="E2048">
        <v>3</v>
      </c>
      <c r="F2048">
        <v>3</v>
      </c>
      <c r="G2048">
        <v>3</v>
      </c>
    </row>
    <row r="2049" spans="1:7">
      <c r="A2049">
        <v>2642</v>
      </c>
      <c r="B2049" t="s">
        <v>5754</v>
      </c>
      <c r="C2049" t="s">
        <v>5679</v>
      </c>
      <c r="D2049">
        <v>44428</v>
      </c>
      <c r="E2049">
        <v>7</v>
      </c>
      <c r="F2049">
        <v>7</v>
      </c>
      <c r="G2049">
        <v>7</v>
      </c>
    </row>
    <row r="2050" spans="1:7">
      <c r="A2050">
        <v>6683</v>
      </c>
      <c r="B2050" t="s">
        <v>6242</v>
      </c>
      <c r="C2050" t="s">
        <v>5690</v>
      </c>
      <c r="D2050">
        <v>44428</v>
      </c>
      <c r="E2050">
        <v>1</v>
      </c>
      <c r="F2050">
        <v>1</v>
      </c>
      <c r="G2050">
        <v>1</v>
      </c>
    </row>
    <row r="2051" spans="1:7">
      <c r="A2051">
        <v>6202</v>
      </c>
      <c r="B2051" t="s">
        <v>5673</v>
      </c>
      <c r="C2051" t="s">
        <v>5666</v>
      </c>
      <c r="D2051">
        <v>44428</v>
      </c>
      <c r="E2051">
        <v>6</v>
      </c>
      <c r="F2051">
        <v>6</v>
      </c>
      <c r="G2051">
        <v>6</v>
      </c>
    </row>
    <row r="2052" spans="1:7">
      <c r="A2052">
        <v>8044</v>
      </c>
      <c r="B2052" t="s">
        <v>5894</v>
      </c>
      <c r="C2052" t="s">
        <v>5895</v>
      </c>
      <c r="D2052">
        <v>44428</v>
      </c>
      <c r="E2052">
        <v>6</v>
      </c>
      <c r="F2052">
        <v>6</v>
      </c>
      <c r="G2052">
        <v>6</v>
      </c>
    </row>
    <row r="2053" spans="1:7">
      <c r="A2053">
        <v>8924</v>
      </c>
      <c r="B2053" t="s">
        <v>6141</v>
      </c>
      <c r="C2053" t="s">
        <v>5985</v>
      </c>
      <c r="D2053">
        <v>44428</v>
      </c>
      <c r="E2053">
        <v>2</v>
      </c>
      <c r="F2053">
        <v>2</v>
      </c>
      <c r="G2053">
        <v>2</v>
      </c>
    </row>
    <row r="2054" spans="1:7">
      <c r="A2054">
        <v>2436</v>
      </c>
      <c r="B2054" t="s">
        <v>6243</v>
      </c>
      <c r="C2054" t="s">
        <v>5666</v>
      </c>
      <c r="D2054">
        <v>44428</v>
      </c>
      <c r="E2054">
        <v>1</v>
      </c>
      <c r="F2054">
        <v>1</v>
      </c>
      <c r="G2054">
        <v>1</v>
      </c>
    </row>
    <row r="2055" spans="1:7">
      <c r="A2055">
        <v>6548</v>
      </c>
      <c r="B2055" t="s">
        <v>6196</v>
      </c>
      <c r="C2055" t="s">
        <v>5690</v>
      </c>
      <c r="D2055">
        <v>44428</v>
      </c>
      <c r="E2055">
        <v>3</v>
      </c>
      <c r="F2055">
        <v>3</v>
      </c>
      <c r="G2055">
        <v>3</v>
      </c>
    </row>
    <row r="2056" spans="1:7">
      <c r="A2056">
        <v>2465</v>
      </c>
      <c r="B2056" t="s">
        <v>6159</v>
      </c>
      <c r="C2056" t="s">
        <v>5649</v>
      </c>
      <c r="D2056">
        <v>44428</v>
      </c>
      <c r="E2056">
        <v>2</v>
      </c>
      <c r="F2056">
        <v>2</v>
      </c>
      <c r="G2056">
        <v>2</v>
      </c>
    </row>
    <row r="2057" spans="1:7">
      <c r="A2057">
        <v>5425</v>
      </c>
      <c r="B2057" t="s">
        <v>5704</v>
      </c>
      <c r="C2057" t="s">
        <v>5690</v>
      </c>
      <c r="D2057">
        <v>44428</v>
      </c>
      <c r="E2057">
        <v>8</v>
      </c>
      <c r="F2057">
        <v>8</v>
      </c>
      <c r="G2057">
        <v>8</v>
      </c>
    </row>
    <row r="2058" spans="1:7">
      <c r="A2058">
        <v>2455</v>
      </c>
      <c r="B2058" t="s">
        <v>5695</v>
      </c>
      <c r="C2058" t="s">
        <v>5653</v>
      </c>
      <c r="D2058">
        <v>44428</v>
      </c>
      <c r="E2058">
        <v>8</v>
      </c>
      <c r="F2058">
        <v>8</v>
      </c>
      <c r="G2058">
        <v>8</v>
      </c>
    </row>
    <row r="2059" spans="1:7">
      <c r="A2059">
        <v>9914</v>
      </c>
      <c r="B2059" t="s">
        <v>5949</v>
      </c>
      <c r="C2059" t="s">
        <v>5664</v>
      </c>
      <c r="D2059">
        <v>44428</v>
      </c>
      <c r="E2059">
        <v>5</v>
      </c>
      <c r="F2059">
        <v>5</v>
      </c>
      <c r="G2059">
        <v>5</v>
      </c>
    </row>
    <row r="2060" spans="1:7">
      <c r="A2060">
        <v>2009</v>
      </c>
      <c r="B2060" t="s">
        <v>5986</v>
      </c>
      <c r="C2060" t="s">
        <v>5659</v>
      </c>
      <c r="D2060">
        <v>44428</v>
      </c>
      <c r="E2060">
        <v>9</v>
      </c>
      <c r="F2060">
        <v>9</v>
      </c>
      <c r="G2060">
        <v>9</v>
      </c>
    </row>
    <row r="2061" spans="1:7">
      <c r="A2061">
        <v>2331</v>
      </c>
      <c r="B2061" t="s">
        <v>5972</v>
      </c>
      <c r="C2061" t="s">
        <v>5649</v>
      </c>
      <c r="D2061">
        <v>44428</v>
      </c>
      <c r="E2061">
        <v>9</v>
      </c>
      <c r="F2061">
        <v>9</v>
      </c>
      <c r="G2061">
        <v>9</v>
      </c>
    </row>
    <row r="2062" spans="1:7">
      <c r="A2062">
        <v>3675</v>
      </c>
      <c r="B2062" t="s">
        <v>6105</v>
      </c>
      <c r="C2062" t="s">
        <v>5690</v>
      </c>
      <c r="D2062">
        <v>44428</v>
      </c>
      <c r="E2062">
        <v>6</v>
      </c>
      <c r="F2062">
        <v>6</v>
      </c>
      <c r="G2062">
        <v>6</v>
      </c>
    </row>
    <row r="2063" spans="1:7">
      <c r="A2063">
        <v>5457</v>
      </c>
      <c r="B2063" t="s">
        <v>5818</v>
      </c>
      <c r="C2063" t="s">
        <v>5791</v>
      </c>
      <c r="D2063">
        <v>44428</v>
      </c>
      <c r="E2063">
        <v>8</v>
      </c>
      <c r="F2063">
        <v>8</v>
      </c>
      <c r="G2063">
        <v>8</v>
      </c>
    </row>
    <row r="2064" spans="1:7">
      <c r="A2064">
        <v>6170</v>
      </c>
      <c r="B2064" t="s">
        <v>5993</v>
      </c>
      <c r="C2064" t="s">
        <v>5684</v>
      </c>
      <c r="D2064">
        <v>44428</v>
      </c>
      <c r="E2064">
        <v>4</v>
      </c>
      <c r="F2064">
        <v>4</v>
      </c>
      <c r="G2064">
        <v>4</v>
      </c>
    </row>
    <row r="2065" spans="1:7">
      <c r="A2065">
        <v>2845</v>
      </c>
      <c r="B2065" t="s">
        <v>6066</v>
      </c>
      <c r="C2065" t="s">
        <v>5645</v>
      </c>
      <c r="D2065">
        <v>44428</v>
      </c>
      <c r="E2065">
        <v>6</v>
      </c>
      <c r="F2065">
        <v>6</v>
      </c>
      <c r="G2065">
        <v>6</v>
      </c>
    </row>
    <row r="2066" spans="1:7">
      <c r="A2066">
        <v>2233</v>
      </c>
      <c r="B2066" t="s">
        <v>6184</v>
      </c>
      <c r="C2066" t="s">
        <v>5769</v>
      </c>
      <c r="D2066">
        <v>44428</v>
      </c>
      <c r="E2066">
        <v>2</v>
      </c>
      <c r="F2066">
        <v>2</v>
      </c>
      <c r="G2066">
        <v>2</v>
      </c>
    </row>
    <row r="2067" spans="1:7">
      <c r="A2067">
        <v>2231</v>
      </c>
      <c r="B2067" t="s">
        <v>6244</v>
      </c>
      <c r="C2067" t="s">
        <v>5769</v>
      </c>
      <c r="D2067">
        <v>44428</v>
      </c>
      <c r="E2067">
        <v>3</v>
      </c>
      <c r="F2067">
        <v>3</v>
      </c>
      <c r="G2067">
        <v>3</v>
      </c>
    </row>
    <row r="2068" spans="1:7">
      <c r="A2068">
        <v>1609</v>
      </c>
      <c r="B2068" t="s">
        <v>5980</v>
      </c>
      <c r="C2068" t="s">
        <v>5858</v>
      </c>
      <c r="D2068">
        <v>44428</v>
      </c>
      <c r="E2068">
        <v>9</v>
      </c>
      <c r="F2068">
        <v>9</v>
      </c>
      <c r="G2068">
        <v>9</v>
      </c>
    </row>
    <row r="2069" spans="1:7">
      <c r="A2069">
        <v>8255</v>
      </c>
      <c r="B2069" t="s">
        <v>6060</v>
      </c>
      <c r="C2069" t="s">
        <v>5921</v>
      </c>
      <c r="D2069">
        <v>44428</v>
      </c>
      <c r="E2069">
        <v>2</v>
      </c>
      <c r="F2069">
        <v>2</v>
      </c>
      <c r="G2069">
        <v>2</v>
      </c>
    </row>
    <row r="2070" spans="1:7">
      <c r="A2070">
        <v>8016</v>
      </c>
      <c r="B2070" t="s">
        <v>5711</v>
      </c>
      <c r="C2070" t="s">
        <v>5666</v>
      </c>
      <c r="D2070">
        <v>44428</v>
      </c>
      <c r="E2070">
        <v>2</v>
      </c>
      <c r="F2070">
        <v>2</v>
      </c>
      <c r="G2070">
        <v>2</v>
      </c>
    </row>
    <row r="2071" spans="1:7">
      <c r="A2071">
        <v>2382</v>
      </c>
      <c r="B2071" t="s">
        <v>6107</v>
      </c>
      <c r="C2071" t="s">
        <v>5649</v>
      </c>
      <c r="D2071">
        <v>44428</v>
      </c>
      <c r="E2071">
        <v>6</v>
      </c>
      <c r="F2071">
        <v>6</v>
      </c>
      <c r="G2071">
        <v>6</v>
      </c>
    </row>
    <row r="2072" spans="1:7">
      <c r="A2072">
        <v>2317</v>
      </c>
      <c r="B2072" t="s">
        <v>5955</v>
      </c>
      <c r="C2072" t="s">
        <v>5692</v>
      </c>
      <c r="D2072">
        <v>44428</v>
      </c>
      <c r="E2072">
        <v>8</v>
      </c>
      <c r="F2072">
        <v>8</v>
      </c>
      <c r="G2072">
        <v>8</v>
      </c>
    </row>
    <row r="2073" spans="1:7">
      <c r="A2073">
        <v>2641</v>
      </c>
      <c r="B2073" t="s">
        <v>6091</v>
      </c>
      <c r="C2073" t="s">
        <v>5884</v>
      </c>
      <c r="D2073">
        <v>44428</v>
      </c>
      <c r="E2073">
        <v>3</v>
      </c>
      <c r="F2073">
        <v>3</v>
      </c>
      <c r="G2073">
        <v>3</v>
      </c>
    </row>
    <row r="2074" spans="1:7">
      <c r="A2074">
        <v>3576</v>
      </c>
      <c r="B2074" t="s">
        <v>5660</v>
      </c>
      <c r="C2074" t="s">
        <v>5661</v>
      </c>
      <c r="D2074">
        <v>44428</v>
      </c>
      <c r="E2074">
        <v>9</v>
      </c>
      <c r="F2074">
        <v>9</v>
      </c>
      <c r="G2074">
        <v>9</v>
      </c>
    </row>
    <row r="2075" spans="1:7">
      <c r="A2075">
        <v>2030</v>
      </c>
      <c r="B2075" t="s">
        <v>5893</v>
      </c>
      <c r="C2075" t="s">
        <v>5659</v>
      </c>
      <c r="D2075">
        <v>44428</v>
      </c>
      <c r="E2075">
        <v>5</v>
      </c>
      <c r="F2075">
        <v>5</v>
      </c>
      <c r="G2075">
        <v>5</v>
      </c>
    </row>
    <row r="2076" spans="1:7">
      <c r="A2076">
        <v>3551</v>
      </c>
      <c r="B2076" t="s">
        <v>6245</v>
      </c>
      <c r="C2076" t="s">
        <v>5800</v>
      </c>
      <c r="D2076">
        <v>44428</v>
      </c>
      <c r="E2076">
        <v>1</v>
      </c>
      <c r="F2076">
        <v>1</v>
      </c>
      <c r="G2076">
        <v>1</v>
      </c>
    </row>
    <row r="2077" spans="1:7">
      <c r="A2077">
        <v>2023</v>
      </c>
      <c r="B2077" t="s">
        <v>5887</v>
      </c>
      <c r="C2077" t="s">
        <v>5659</v>
      </c>
      <c r="D2077">
        <v>44428</v>
      </c>
      <c r="E2077">
        <v>6</v>
      </c>
      <c r="F2077">
        <v>6</v>
      </c>
      <c r="G2077">
        <v>6</v>
      </c>
    </row>
    <row r="2078" spans="1:7">
      <c r="A2078">
        <v>6271</v>
      </c>
      <c r="B2078" t="s">
        <v>5722</v>
      </c>
      <c r="C2078" t="s">
        <v>5666</v>
      </c>
      <c r="D2078">
        <v>44428</v>
      </c>
      <c r="E2078">
        <v>6</v>
      </c>
      <c r="F2078">
        <v>6</v>
      </c>
      <c r="G2078">
        <v>6</v>
      </c>
    </row>
    <row r="2079" spans="1:7">
      <c r="A2079">
        <v>6257</v>
      </c>
      <c r="B2079" t="s">
        <v>6123</v>
      </c>
      <c r="C2079" t="s">
        <v>5666</v>
      </c>
      <c r="D2079">
        <v>44428</v>
      </c>
      <c r="E2079">
        <v>2</v>
      </c>
      <c r="F2079">
        <v>2</v>
      </c>
      <c r="G2079">
        <v>2</v>
      </c>
    </row>
    <row r="2080" spans="1:7">
      <c r="A2080">
        <v>2034</v>
      </c>
      <c r="B2080" t="s">
        <v>5861</v>
      </c>
      <c r="C2080" t="s">
        <v>5659</v>
      </c>
      <c r="D2080">
        <v>44428</v>
      </c>
      <c r="E2080">
        <v>5</v>
      </c>
      <c r="F2080">
        <v>5</v>
      </c>
      <c r="G2080">
        <v>5</v>
      </c>
    </row>
    <row r="2081" spans="1:7">
      <c r="A2081">
        <v>6168</v>
      </c>
      <c r="B2081" t="s">
        <v>5701</v>
      </c>
      <c r="C2081" t="s">
        <v>5661</v>
      </c>
      <c r="D2081">
        <v>44428</v>
      </c>
      <c r="E2081">
        <v>5</v>
      </c>
      <c r="F2081">
        <v>5</v>
      </c>
      <c r="G2081">
        <v>5</v>
      </c>
    </row>
    <row r="2082" spans="1:7">
      <c r="A2082">
        <v>8406</v>
      </c>
      <c r="B2082" t="s">
        <v>5954</v>
      </c>
      <c r="C2082" t="s">
        <v>5867</v>
      </c>
      <c r="D2082">
        <v>44428</v>
      </c>
      <c r="E2082">
        <v>3</v>
      </c>
      <c r="F2082">
        <v>3</v>
      </c>
      <c r="G2082">
        <v>3</v>
      </c>
    </row>
    <row r="2083" spans="1:7">
      <c r="A2083">
        <v>2014</v>
      </c>
      <c r="B2083" t="s">
        <v>5896</v>
      </c>
      <c r="C2083" t="s">
        <v>5659</v>
      </c>
      <c r="D2083">
        <v>44428</v>
      </c>
      <c r="E2083">
        <v>6</v>
      </c>
      <c r="F2083">
        <v>6</v>
      </c>
      <c r="G2083">
        <v>6</v>
      </c>
    </row>
    <row r="2084" spans="1:7">
      <c r="A2084">
        <v>2417</v>
      </c>
      <c r="B2084" t="s">
        <v>6068</v>
      </c>
      <c r="C2084" t="s">
        <v>5649</v>
      </c>
      <c r="D2084">
        <v>44428</v>
      </c>
      <c r="E2084">
        <v>2</v>
      </c>
      <c r="F2084">
        <v>2</v>
      </c>
      <c r="G2084">
        <v>2</v>
      </c>
    </row>
    <row r="2085" spans="1:7">
      <c r="A2085">
        <v>3026</v>
      </c>
      <c r="B2085" t="s">
        <v>6246</v>
      </c>
      <c r="C2085" t="s">
        <v>5675</v>
      </c>
      <c r="D2085">
        <v>44428</v>
      </c>
      <c r="E2085">
        <v>1</v>
      </c>
      <c r="F2085">
        <v>1</v>
      </c>
      <c r="G2085">
        <v>1</v>
      </c>
    </row>
    <row r="2086" spans="1:7">
      <c r="A2086">
        <v>2206</v>
      </c>
      <c r="B2086" t="s">
        <v>5845</v>
      </c>
      <c r="C2086" t="s">
        <v>5769</v>
      </c>
      <c r="D2086">
        <v>44428</v>
      </c>
      <c r="E2086">
        <v>4</v>
      </c>
      <c r="F2086">
        <v>4</v>
      </c>
      <c r="G2086">
        <v>4</v>
      </c>
    </row>
    <row r="2087" spans="1:7">
      <c r="A2087">
        <v>8182</v>
      </c>
      <c r="B2087" t="s">
        <v>6116</v>
      </c>
      <c r="C2087" t="s">
        <v>5791</v>
      </c>
      <c r="D2087">
        <v>44428</v>
      </c>
      <c r="E2087">
        <v>4</v>
      </c>
      <c r="F2087">
        <v>4</v>
      </c>
      <c r="G2087">
        <v>4</v>
      </c>
    </row>
    <row r="2088" spans="1:7">
      <c r="A2088">
        <v>3624</v>
      </c>
      <c r="B2088" t="s">
        <v>6247</v>
      </c>
      <c r="C2088" t="s">
        <v>5791</v>
      </c>
      <c r="D2088">
        <v>44428</v>
      </c>
      <c r="E2088">
        <v>1</v>
      </c>
      <c r="F2088">
        <v>1</v>
      </c>
      <c r="G2088">
        <v>1</v>
      </c>
    </row>
    <row r="2089" spans="1:7">
      <c r="A2089">
        <v>4968</v>
      </c>
      <c r="B2089" t="s">
        <v>6050</v>
      </c>
      <c r="C2089" t="s">
        <v>5666</v>
      </c>
      <c r="D2089">
        <v>44428</v>
      </c>
      <c r="E2089">
        <v>3</v>
      </c>
      <c r="F2089">
        <v>3</v>
      </c>
      <c r="G2089">
        <v>3</v>
      </c>
    </row>
    <row r="2090" spans="1:7">
      <c r="A2090">
        <v>3062</v>
      </c>
      <c r="B2090" t="s">
        <v>6215</v>
      </c>
      <c r="C2090" t="s">
        <v>5653</v>
      </c>
      <c r="D2090">
        <v>44428</v>
      </c>
      <c r="E2090">
        <v>4</v>
      </c>
      <c r="F2090">
        <v>4</v>
      </c>
      <c r="G2090">
        <v>4</v>
      </c>
    </row>
    <row r="2091" spans="1:7">
      <c r="A2091">
        <v>2342</v>
      </c>
      <c r="B2091" t="s">
        <v>6248</v>
      </c>
      <c r="C2091" t="s">
        <v>5666</v>
      </c>
      <c r="D2091">
        <v>44428</v>
      </c>
      <c r="E2091">
        <v>1</v>
      </c>
      <c r="F2091">
        <v>1</v>
      </c>
      <c r="G2091">
        <v>1</v>
      </c>
    </row>
    <row r="2092" spans="1:7">
      <c r="A2092">
        <v>8024</v>
      </c>
      <c r="B2092" t="s">
        <v>6137</v>
      </c>
      <c r="C2092" t="s">
        <v>5690</v>
      </c>
      <c r="D2092">
        <v>44428</v>
      </c>
      <c r="E2092">
        <v>4</v>
      </c>
      <c r="F2092">
        <v>4</v>
      </c>
      <c r="G2092">
        <v>4</v>
      </c>
    </row>
    <row r="2093" spans="1:7">
      <c r="A2093">
        <v>2069</v>
      </c>
      <c r="B2093" t="s">
        <v>6047</v>
      </c>
      <c r="C2093" t="s">
        <v>5659</v>
      </c>
      <c r="D2093">
        <v>44428</v>
      </c>
      <c r="E2093">
        <v>5</v>
      </c>
      <c r="F2093">
        <v>5</v>
      </c>
      <c r="G2093">
        <v>5</v>
      </c>
    </row>
    <row r="2094" spans="1:7">
      <c r="A2094">
        <v>2441</v>
      </c>
      <c r="B2094" t="s">
        <v>5699</v>
      </c>
      <c r="C2094" t="s">
        <v>5666</v>
      </c>
      <c r="D2094">
        <v>44428</v>
      </c>
      <c r="E2094">
        <v>6</v>
      </c>
      <c r="F2094">
        <v>6</v>
      </c>
      <c r="G2094">
        <v>6</v>
      </c>
    </row>
    <row r="2095" spans="1:7">
      <c r="A2095">
        <v>6187</v>
      </c>
      <c r="B2095" t="s">
        <v>6249</v>
      </c>
      <c r="C2095" t="s">
        <v>5800</v>
      </c>
      <c r="D2095">
        <v>44428</v>
      </c>
      <c r="E2095">
        <v>2</v>
      </c>
      <c r="F2095">
        <v>2</v>
      </c>
      <c r="G2095">
        <v>2</v>
      </c>
    </row>
    <row r="2096" spans="1:7">
      <c r="A2096">
        <v>1714</v>
      </c>
      <c r="B2096" t="s">
        <v>5824</v>
      </c>
      <c r="C2096" t="s">
        <v>5733</v>
      </c>
      <c r="D2096">
        <v>44428</v>
      </c>
      <c r="E2096">
        <v>8</v>
      </c>
      <c r="F2096">
        <v>8</v>
      </c>
      <c r="G2096">
        <v>8</v>
      </c>
    </row>
    <row r="2097" spans="1:7">
      <c r="A2097">
        <v>2476</v>
      </c>
      <c r="B2097" t="s">
        <v>5899</v>
      </c>
      <c r="C2097" t="s">
        <v>5675</v>
      </c>
      <c r="D2097">
        <v>44428</v>
      </c>
      <c r="E2097">
        <v>4</v>
      </c>
      <c r="F2097">
        <v>4</v>
      </c>
      <c r="G2097">
        <v>4</v>
      </c>
    </row>
    <row r="2098" spans="1:7">
      <c r="A2098">
        <v>3094</v>
      </c>
      <c r="B2098" t="s">
        <v>6250</v>
      </c>
      <c r="C2098" t="s">
        <v>5666</v>
      </c>
      <c r="D2098">
        <v>44428</v>
      </c>
      <c r="E2098">
        <v>1</v>
      </c>
      <c r="F2098">
        <v>1</v>
      </c>
      <c r="G2098">
        <v>1</v>
      </c>
    </row>
    <row r="2099" spans="1:7">
      <c r="A2099">
        <v>3141</v>
      </c>
      <c r="B2099" t="s">
        <v>5960</v>
      </c>
      <c r="C2099" t="s">
        <v>5690</v>
      </c>
      <c r="D2099">
        <v>44428</v>
      </c>
      <c r="E2099">
        <v>4</v>
      </c>
      <c r="F2099">
        <v>4</v>
      </c>
      <c r="G2099">
        <v>4</v>
      </c>
    </row>
    <row r="2100" spans="1:7">
      <c r="A2100">
        <v>5871</v>
      </c>
      <c r="B2100" t="s">
        <v>5700</v>
      </c>
      <c r="C2100" t="s">
        <v>5664</v>
      </c>
      <c r="D2100">
        <v>44428</v>
      </c>
      <c r="E2100">
        <v>10</v>
      </c>
      <c r="F2100">
        <v>10</v>
      </c>
      <c r="G2100">
        <v>10</v>
      </c>
    </row>
    <row r="2101" spans="1:7">
      <c r="A2101">
        <v>1447</v>
      </c>
      <c r="B2101" t="s">
        <v>5705</v>
      </c>
      <c r="C2101" t="s">
        <v>5706</v>
      </c>
      <c r="D2101">
        <v>44428</v>
      </c>
      <c r="E2101">
        <v>8</v>
      </c>
      <c r="F2101">
        <v>8</v>
      </c>
      <c r="G2101">
        <v>8</v>
      </c>
    </row>
    <row r="2102" spans="1:7">
      <c r="A2102">
        <v>2524</v>
      </c>
      <c r="B2102" t="s">
        <v>6251</v>
      </c>
      <c r="C2102" t="s">
        <v>5651</v>
      </c>
      <c r="D2102">
        <v>44427</v>
      </c>
      <c r="E2102">
        <v>1</v>
      </c>
      <c r="F2102">
        <v>1</v>
      </c>
      <c r="G2102">
        <v>1</v>
      </c>
    </row>
    <row r="2103" spans="1:7">
      <c r="A2103">
        <v>1310</v>
      </c>
      <c r="B2103" t="s">
        <v>5801</v>
      </c>
      <c r="C2103" t="s">
        <v>5771</v>
      </c>
      <c r="D2103">
        <v>44427</v>
      </c>
      <c r="E2103">
        <v>8</v>
      </c>
      <c r="F2103">
        <v>8</v>
      </c>
      <c r="G2103">
        <v>8</v>
      </c>
    </row>
    <row r="2104" spans="1:7">
      <c r="A2104">
        <v>2890</v>
      </c>
      <c r="B2104" t="s">
        <v>5772</v>
      </c>
      <c r="C2104" t="s">
        <v>5645</v>
      </c>
      <c r="D2104">
        <v>44427</v>
      </c>
      <c r="E2104">
        <v>8</v>
      </c>
      <c r="F2104">
        <v>8</v>
      </c>
      <c r="G2104">
        <v>8</v>
      </c>
    </row>
    <row r="2105" spans="1:7">
      <c r="A2105">
        <v>2886</v>
      </c>
      <c r="B2105" t="s">
        <v>5863</v>
      </c>
      <c r="C2105" t="s">
        <v>5645</v>
      </c>
      <c r="D2105">
        <v>44427</v>
      </c>
      <c r="E2105">
        <v>10</v>
      </c>
      <c r="F2105">
        <v>10</v>
      </c>
      <c r="G2105">
        <v>10</v>
      </c>
    </row>
    <row r="2106" spans="1:7">
      <c r="A2106">
        <v>8249</v>
      </c>
      <c r="B2106" t="s">
        <v>6085</v>
      </c>
      <c r="C2106" t="s">
        <v>5675</v>
      </c>
      <c r="D2106">
        <v>44427</v>
      </c>
      <c r="E2106">
        <v>8</v>
      </c>
      <c r="F2106">
        <v>8</v>
      </c>
      <c r="G2106">
        <v>8</v>
      </c>
    </row>
    <row r="2107" spans="1:7">
      <c r="A2107">
        <v>1783</v>
      </c>
      <c r="B2107" t="s">
        <v>6037</v>
      </c>
      <c r="C2107" t="s">
        <v>5729</v>
      </c>
      <c r="D2107">
        <v>44427</v>
      </c>
      <c r="E2107">
        <v>3</v>
      </c>
      <c r="F2107">
        <v>3</v>
      </c>
      <c r="G2107">
        <v>3</v>
      </c>
    </row>
    <row r="2108" spans="1:7">
      <c r="A2108">
        <v>3045</v>
      </c>
      <c r="B2108" t="s">
        <v>5680</v>
      </c>
      <c r="C2108" t="s">
        <v>5653</v>
      </c>
      <c r="D2108">
        <v>44427</v>
      </c>
      <c r="E2108">
        <v>14</v>
      </c>
      <c r="F2108">
        <v>14</v>
      </c>
      <c r="G2108">
        <v>14</v>
      </c>
    </row>
    <row r="2109" spans="1:7">
      <c r="A2109">
        <v>2884</v>
      </c>
      <c r="B2109" t="s">
        <v>6142</v>
      </c>
      <c r="C2109" t="s">
        <v>5645</v>
      </c>
      <c r="D2109">
        <v>44427</v>
      </c>
      <c r="E2109">
        <v>5</v>
      </c>
      <c r="F2109">
        <v>5</v>
      </c>
      <c r="G2109">
        <v>5</v>
      </c>
    </row>
    <row r="2110" spans="1:7">
      <c r="A2110">
        <v>2331</v>
      </c>
      <c r="B2110" t="s">
        <v>5972</v>
      </c>
      <c r="C2110" t="s">
        <v>5649</v>
      </c>
      <c r="D2110">
        <v>44427</v>
      </c>
      <c r="E2110">
        <v>9</v>
      </c>
      <c r="F2110">
        <v>9</v>
      </c>
      <c r="G2110">
        <v>9</v>
      </c>
    </row>
    <row r="2111" spans="1:7">
      <c r="A2111">
        <v>1734</v>
      </c>
      <c r="B2111" t="s">
        <v>5983</v>
      </c>
      <c r="C2111" t="s">
        <v>5729</v>
      </c>
      <c r="D2111">
        <v>44427</v>
      </c>
      <c r="E2111">
        <v>4</v>
      </c>
      <c r="F2111">
        <v>4</v>
      </c>
      <c r="G2111">
        <v>4</v>
      </c>
    </row>
    <row r="2112" spans="1:7">
      <c r="A2112">
        <v>2809</v>
      </c>
      <c r="B2112" t="s">
        <v>5810</v>
      </c>
      <c r="C2112" t="s">
        <v>5645</v>
      </c>
      <c r="D2112">
        <v>44427</v>
      </c>
      <c r="E2112">
        <v>15</v>
      </c>
      <c r="F2112">
        <v>15</v>
      </c>
      <c r="G2112">
        <v>15</v>
      </c>
    </row>
    <row r="2113" spans="1:7">
      <c r="A2113">
        <v>1467</v>
      </c>
      <c r="B2113" t="s">
        <v>5919</v>
      </c>
      <c r="C2113" t="s">
        <v>5706</v>
      </c>
      <c r="D2113">
        <v>44427</v>
      </c>
      <c r="E2113">
        <v>5</v>
      </c>
      <c r="F2113">
        <v>5</v>
      </c>
      <c r="G2113">
        <v>5</v>
      </c>
    </row>
    <row r="2114" spans="1:7">
      <c r="A2114">
        <v>2301</v>
      </c>
      <c r="B2114" t="s">
        <v>5723</v>
      </c>
      <c r="C2114" t="s">
        <v>5649</v>
      </c>
      <c r="D2114">
        <v>44427</v>
      </c>
      <c r="E2114">
        <v>14</v>
      </c>
      <c r="F2114">
        <v>14</v>
      </c>
      <c r="G2114">
        <v>14</v>
      </c>
    </row>
    <row r="2115" spans="1:7">
      <c r="A2115">
        <v>2504</v>
      </c>
      <c r="B2115" t="s">
        <v>5708</v>
      </c>
      <c r="C2115" t="s">
        <v>5651</v>
      </c>
      <c r="D2115">
        <v>44427</v>
      </c>
      <c r="E2115">
        <v>8</v>
      </c>
      <c r="F2115">
        <v>8</v>
      </c>
      <c r="G2115">
        <v>8</v>
      </c>
    </row>
    <row r="2116" spans="1:7">
      <c r="A2116">
        <v>2801</v>
      </c>
      <c r="B2116" t="s">
        <v>5662</v>
      </c>
      <c r="C2116" t="s">
        <v>5645</v>
      </c>
      <c r="D2116">
        <v>44427</v>
      </c>
      <c r="E2116">
        <v>9</v>
      </c>
      <c r="F2116">
        <v>9</v>
      </c>
      <c r="G2116">
        <v>9</v>
      </c>
    </row>
    <row r="2117" spans="1:7">
      <c r="A2117">
        <v>5452</v>
      </c>
      <c r="B2117" t="s">
        <v>6121</v>
      </c>
      <c r="C2117" t="s">
        <v>5800</v>
      </c>
      <c r="D2117">
        <v>44427</v>
      </c>
      <c r="E2117">
        <v>3</v>
      </c>
      <c r="F2117">
        <v>3</v>
      </c>
      <c r="G2117">
        <v>3</v>
      </c>
    </row>
    <row r="2118" spans="1:7">
      <c r="A2118">
        <v>911616</v>
      </c>
      <c r="B2118" t="s">
        <v>6180</v>
      </c>
      <c r="C2118" t="s">
        <v>5865</v>
      </c>
      <c r="D2118">
        <v>44427</v>
      </c>
      <c r="E2118">
        <v>6</v>
      </c>
      <c r="F2118">
        <v>6</v>
      </c>
      <c r="G2118">
        <v>6</v>
      </c>
    </row>
    <row r="2119" spans="1:7">
      <c r="A2119">
        <v>2547</v>
      </c>
      <c r="B2119" t="s">
        <v>6052</v>
      </c>
      <c r="C2119" t="s">
        <v>5651</v>
      </c>
      <c r="D2119">
        <v>44427</v>
      </c>
      <c r="E2119">
        <v>5</v>
      </c>
      <c r="F2119">
        <v>5</v>
      </c>
      <c r="G2119">
        <v>5</v>
      </c>
    </row>
    <row r="2120" spans="1:7">
      <c r="A2120">
        <v>1776</v>
      </c>
      <c r="B2120" t="s">
        <v>6069</v>
      </c>
      <c r="C2120" t="s">
        <v>5733</v>
      </c>
      <c r="D2120">
        <v>44427</v>
      </c>
      <c r="E2120">
        <v>3</v>
      </c>
      <c r="F2120">
        <v>3</v>
      </c>
      <c r="G2120">
        <v>3</v>
      </c>
    </row>
    <row r="2121" spans="1:7">
      <c r="A2121">
        <v>6244</v>
      </c>
      <c r="B2121" t="s">
        <v>6252</v>
      </c>
      <c r="C2121" t="s">
        <v>5807</v>
      </c>
      <c r="D2121">
        <v>44427</v>
      </c>
      <c r="E2121">
        <v>2</v>
      </c>
      <c r="F2121">
        <v>2</v>
      </c>
      <c r="G2121">
        <v>2</v>
      </c>
    </row>
    <row r="2122" spans="1:7">
      <c r="A2122">
        <v>9921</v>
      </c>
      <c r="B2122" t="s">
        <v>6051</v>
      </c>
      <c r="C2122" t="s">
        <v>5664</v>
      </c>
      <c r="D2122">
        <v>44427</v>
      </c>
      <c r="E2122">
        <v>7</v>
      </c>
      <c r="F2122">
        <v>7</v>
      </c>
      <c r="G2122">
        <v>7</v>
      </c>
    </row>
    <row r="2123" spans="1:7">
      <c r="A2123">
        <v>2841</v>
      </c>
      <c r="B2123" t="s">
        <v>6253</v>
      </c>
      <c r="C2123" t="s">
        <v>5651</v>
      </c>
      <c r="D2123">
        <v>44427</v>
      </c>
      <c r="E2123">
        <v>1</v>
      </c>
      <c r="F2123">
        <v>1</v>
      </c>
      <c r="G2123">
        <v>1</v>
      </c>
    </row>
    <row r="2124" spans="1:7">
      <c r="A2124">
        <v>2520</v>
      </c>
      <c r="B2124" t="s">
        <v>6088</v>
      </c>
      <c r="C2124" t="s">
        <v>5651</v>
      </c>
      <c r="D2124">
        <v>44427</v>
      </c>
      <c r="E2124">
        <v>3</v>
      </c>
      <c r="F2124">
        <v>3</v>
      </c>
      <c r="G2124">
        <v>3</v>
      </c>
    </row>
    <row r="2125" spans="1:7">
      <c r="A2125">
        <v>4192</v>
      </c>
      <c r="B2125" t="s">
        <v>5936</v>
      </c>
      <c r="C2125" t="s">
        <v>5867</v>
      </c>
      <c r="D2125">
        <v>44427</v>
      </c>
      <c r="E2125">
        <v>2</v>
      </c>
      <c r="F2125">
        <v>2</v>
      </c>
      <c r="G2125">
        <v>2</v>
      </c>
    </row>
    <row r="2126" spans="1:7">
      <c r="A2126">
        <v>8415</v>
      </c>
      <c r="B2126" t="s">
        <v>5988</v>
      </c>
      <c r="C2126" t="s">
        <v>5869</v>
      </c>
      <c r="D2126">
        <v>44427</v>
      </c>
      <c r="E2126">
        <v>5</v>
      </c>
      <c r="F2126">
        <v>5</v>
      </c>
      <c r="G2126">
        <v>5</v>
      </c>
    </row>
    <row r="2127" spans="1:7">
      <c r="A2127">
        <v>2823</v>
      </c>
      <c r="B2127" t="s">
        <v>5811</v>
      </c>
      <c r="C2127" t="s">
        <v>5645</v>
      </c>
      <c r="D2127">
        <v>44427</v>
      </c>
      <c r="E2127">
        <v>17</v>
      </c>
      <c r="F2127">
        <v>17</v>
      </c>
      <c r="G2127">
        <v>17</v>
      </c>
    </row>
    <row r="2128" spans="1:7">
      <c r="A2128">
        <v>5371</v>
      </c>
      <c r="B2128" t="s">
        <v>6239</v>
      </c>
      <c r="C2128" t="s">
        <v>5807</v>
      </c>
      <c r="D2128">
        <v>44427</v>
      </c>
      <c r="E2128">
        <v>2</v>
      </c>
      <c r="F2128">
        <v>2</v>
      </c>
      <c r="G2128">
        <v>2</v>
      </c>
    </row>
    <row r="2129" spans="1:7">
      <c r="A2129">
        <v>2371</v>
      </c>
      <c r="B2129" t="s">
        <v>5900</v>
      </c>
      <c r="C2129" t="s">
        <v>5670</v>
      </c>
      <c r="D2129">
        <v>44427</v>
      </c>
      <c r="E2129">
        <v>6</v>
      </c>
      <c r="F2129">
        <v>6</v>
      </c>
      <c r="G2129">
        <v>6</v>
      </c>
    </row>
    <row r="2130" spans="1:7">
      <c r="A2130">
        <v>6233</v>
      </c>
      <c r="B2130" t="s">
        <v>5873</v>
      </c>
      <c r="C2130" t="s">
        <v>5690</v>
      </c>
      <c r="D2130">
        <v>44427</v>
      </c>
      <c r="E2130">
        <v>3</v>
      </c>
      <c r="F2130">
        <v>3</v>
      </c>
      <c r="G2130">
        <v>3</v>
      </c>
    </row>
    <row r="2131" spans="1:7">
      <c r="A2131">
        <v>3406</v>
      </c>
      <c r="B2131" t="s">
        <v>6254</v>
      </c>
      <c r="C2131" t="s">
        <v>5661</v>
      </c>
      <c r="D2131">
        <v>44427</v>
      </c>
      <c r="E2131">
        <v>1</v>
      </c>
      <c r="F2131">
        <v>1</v>
      </c>
      <c r="G2131">
        <v>1</v>
      </c>
    </row>
    <row r="2132" spans="1:7">
      <c r="A2132">
        <v>4414</v>
      </c>
      <c r="B2132" t="s">
        <v>5968</v>
      </c>
      <c r="C2132" t="s">
        <v>5706</v>
      </c>
      <c r="D2132">
        <v>44427</v>
      </c>
      <c r="E2132">
        <v>4</v>
      </c>
      <c r="F2132">
        <v>4</v>
      </c>
      <c r="G2132">
        <v>4</v>
      </c>
    </row>
    <row r="2133" spans="1:7">
      <c r="A2133">
        <v>6224</v>
      </c>
      <c r="B2133" t="s">
        <v>6044</v>
      </c>
      <c r="C2133" t="s">
        <v>5675</v>
      </c>
      <c r="D2133">
        <v>44427</v>
      </c>
      <c r="E2133">
        <v>4</v>
      </c>
      <c r="F2133">
        <v>4</v>
      </c>
      <c r="G2133">
        <v>4</v>
      </c>
    </row>
    <row r="2134" spans="1:7">
      <c r="A2134">
        <v>5871</v>
      </c>
      <c r="B2134" t="s">
        <v>5700</v>
      </c>
      <c r="C2134" t="s">
        <v>5664</v>
      </c>
      <c r="D2134">
        <v>44427</v>
      </c>
      <c r="E2134">
        <v>10</v>
      </c>
      <c r="F2134">
        <v>10</v>
      </c>
      <c r="G2134">
        <v>10</v>
      </c>
    </row>
    <row r="2135" spans="1:7">
      <c r="A2135">
        <v>5609</v>
      </c>
      <c r="B2135" t="s">
        <v>5883</v>
      </c>
      <c r="C2135" t="s">
        <v>5884</v>
      </c>
      <c r="D2135">
        <v>44427</v>
      </c>
      <c r="E2135">
        <v>6</v>
      </c>
      <c r="F2135">
        <v>6</v>
      </c>
      <c r="G2135">
        <v>6</v>
      </c>
    </row>
    <row r="2136" spans="1:7">
      <c r="A2136">
        <v>2013</v>
      </c>
      <c r="B2136" t="s">
        <v>6000</v>
      </c>
      <c r="C2136" t="s">
        <v>5659</v>
      </c>
      <c r="D2136">
        <v>44427</v>
      </c>
      <c r="E2136">
        <v>8</v>
      </c>
      <c r="F2136">
        <v>8</v>
      </c>
      <c r="G2136">
        <v>8</v>
      </c>
    </row>
    <row r="2137" spans="1:7">
      <c r="A2137">
        <v>6533</v>
      </c>
      <c r="B2137" t="s">
        <v>6255</v>
      </c>
      <c r="C2137" t="s">
        <v>5666</v>
      </c>
      <c r="D2137">
        <v>44427</v>
      </c>
      <c r="E2137">
        <v>1</v>
      </c>
      <c r="F2137">
        <v>1</v>
      </c>
      <c r="G2137">
        <v>1</v>
      </c>
    </row>
    <row r="2138" spans="1:7">
      <c r="A2138">
        <v>2834</v>
      </c>
      <c r="B2138" t="s">
        <v>5672</v>
      </c>
      <c r="C2138" t="s">
        <v>5645</v>
      </c>
      <c r="D2138">
        <v>44427</v>
      </c>
      <c r="E2138">
        <v>7</v>
      </c>
      <c r="F2138">
        <v>7</v>
      </c>
      <c r="G2138">
        <v>7</v>
      </c>
    </row>
    <row r="2139" spans="1:7">
      <c r="A2139">
        <v>2880</v>
      </c>
      <c r="B2139" t="s">
        <v>5878</v>
      </c>
      <c r="C2139" t="s">
        <v>5645</v>
      </c>
      <c r="D2139">
        <v>44427</v>
      </c>
      <c r="E2139">
        <v>10</v>
      </c>
      <c r="F2139">
        <v>10</v>
      </c>
      <c r="G2139">
        <v>10</v>
      </c>
    </row>
    <row r="2140" spans="1:7">
      <c r="A2140">
        <v>3527</v>
      </c>
      <c r="B2140" t="s">
        <v>6226</v>
      </c>
      <c r="C2140" t="s">
        <v>5690</v>
      </c>
      <c r="D2140">
        <v>44427</v>
      </c>
      <c r="E2140">
        <v>2</v>
      </c>
      <c r="F2140">
        <v>2</v>
      </c>
      <c r="G2140">
        <v>2</v>
      </c>
    </row>
    <row r="2141" spans="1:7">
      <c r="A2141">
        <v>2845</v>
      </c>
      <c r="B2141" t="s">
        <v>6066</v>
      </c>
      <c r="C2141" t="s">
        <v>5645</v>
      </c>
      <c r="D2141">
        <v>44427</v>
      </c>
      <c r="E2141">
        <v>6</v>
      </c>
      <c r="F2141">
        <v>6</v>
      </c>
      <c r="G2141">
        <v>6</v>
      </c>
    </row>
    <row r="2142" spans="1:7">
      <c r="A2142">
        <v>3443</v>
      </c>
      <c r="B2142" t="s">
        <v>5944</v>
      </c>
      <c r="C2142" t="s">
        <v>5666</v>
      </c>
      <c r="D2142">
        <v>44427</v>
      </c>
      <c r="E2142">
        <v>2</v>
      </c>
      <c r="F2142">
        <v>2</v>
      </c>
      <c r="G2142">
        <v>2</v>
      </c>
    </row>
    <row r="2143" spans="1:7">
      <c r="A2143">
        <v>3231</v>
      </c>
      <c r="B2143" t="s">
        <v>6109</v>
      </c>
      <c r="C2143" t="s">
        <v>5649</v>
      </c>
      <c r="D2143">
        <v>44427</v>
      </c>
      <c r="E2143">
        <v>4</v>
      </c>
      <c r="F2143">
        <v>4</v>
      </c>
      <c r="G2143">
        <v>4</v>
      </c>
    </row>
    <row r="2144" spans="1:7">
      <c r="A2144">
        <v>9914</v>
      </c>
      <c r="B2144" t="s">
        <v>5949</v>
      </c>
      <c r="C2144" t="s">
        <v>5664</v>
      </c>
      <c r="D2144">
        <v>44427</v>
      </c>
      <c r="E2144">
        <v>5</v>
      </c>
      <c r="F2144">
        <v>5</v>
      </c>
      <c r="G2144">
        <v>5</v>
      </c>
    </row>
    <row r="2145" spans="1:7">
      <c r="A2145">
        <v>6223</v>
      </c>
      <c r="B2145" t="s">
        <v>5844</v>
      </c>
      <c r="C2145" t="s">
        <v>5690</v>
      </c>
      <c r="D2145">
        <v>44427</v>
      </c>
      <c r="E2145">
        <v>6</v>
      </c>
      <c r="F2145">
        <v>6</v>
      </c>
      <c r="G2145">
        <v>6</v>
      </c>
    </row>
    <row r="2146" spans="1:7">
      <c r="A2146">
        <v>1727</v>
      </c>
      <c r="B2146" t="s">
        <v>5732</v>
      </c>
      <c r="C2146" t="s">
        <v>5733</v>
      </c>
      <c r="D2146">
        <v>44427</v>
      </c>
      <c r="E2146">
        <v>5</v>
      </c>
      <c r="F2146">
        <v>5</v>
      </c>
      <c r="G2146">
        <v>5</v>
      </c>
    </row>
    <row r="2147" spans="1:7">
      <c r="A2147">
        <v>2612</v>
      </c>
      <c r="B2147" t="s">
        <v>6256</v>
      </c>
      <c r="C2147" t="s">
        <v>5679</v>
      </c>
      <c r="D2147">
        <v>44427</v>
      </c>
      <c r="E2147">
        <v>2</v>
      </c>
      <c r="F2147">
        <v>2</v>
      </c>
      <c r="G2147">
        <v>2</v>
      </c>
    </row>
    <row r="2148" spans="1:7">
      <c r="A2148">
        <v>2618</v>
      </c>
      <c r="B2148" t="s">
        <v>5881</v>
      </c>
      <c r="C2148" t="s">
        <v>5679</v>
      </c>
      <c r="D2148">
        <v>44427</v>
      </c>
      <c r="E2148">
        <v>4</v>
      </c>
      <c r="F2148">
        <v>4</v>
      </c>
      <c r="G2148">
        <v>4</v>
      </c>
    </row>
    <row r="2149" spans="1:7">
      <c r="A2149">
        <v>2442</v>
      </c>
      <c r="B2149" t="s">
        <v>5941</v>
      </c>
      <c r="C2149" t="s">
        <v>5649</v>
      </c>
      <c r="D2149">
        <v>44427</v>
      </c>
      <c r="E2149">
        <v>8</v>
      </c>
      <c r="F2149">
        <v>8</v>
      </c>
      <c r="G2149">
        <v>8</v>
      </c>
    </row>
    <row r="2150" spans="1:7">
      <c r="A2150">
        <v>3105</v>
      </c>
      <c r="B2150" t="s">
        <v>6084</v>
      </c>
      <c r="C2150" t="s">
        <v>5690</v>
      </c>
      <c r="D2150">
        <v>44427</v>
      </c>
      <c r="E2150">
        <v>4</v>
      </c>
      <c r="F2150">
        <v>4</v>
      </c>
      <c r="G2150">
        <v>4</v>
      </c>
    </row>
    <row r="2151" spans="1:7">
      <c r="A2151">
        <v>1402</v>
      </c>
      <c r="B2151" t="s">
        <v>5851</v>
      </c>
      <c r="C2151" t="s">
        <v>5706</v>
      </c>
      <c r="D2151">
        <v>44427</v>
      </c>
      <c r="E2151">
        <v>10</v>
      </c>
      <c r="F2151">
        <v>10</v>
      </c>
      <c r="G2151">
        <v>10</v>
      </c>
    </row>
    <row r="2152" spans="1:7">
      <c r="A2152">
        <v>3576</v>
      </c>
      <c r="B2152" t="s">
        <v>5660</v>
      </c>
      <c r="C2152" t="s">
        <v>5661</v>
      </c>
      <c r="D2152">
        <v>44427</v>
      </c>
      <c r="E2152">
        <v>9</v>
      </c>
      <c r="F2152">
        <v>9</v>
      </c>
      <c r="G2152">
        <v>9</v>
      </c>
    </row>
    <row r="2153" spans="1:7">
      <c r="A2153">
        <v>3114</v>
      </c>
      <c r="B2153" t="s">
        <v>6203</v>
      </c>
      <c r="C2153" t="s">
        <v>5791</v>
      </c>
      <c r="D2153">
        <v>44427</v>
      </c>
      <c r="E2153">
        <v>3</v>
      </c>
      <c r="F2153">
        <v>3</v>
      </c>
      <c r="G2153">
        <v>3</v>
      </c>
    </row>
    <row r="2154" spans="1:7">
      <c r="A2154">
        <v>6732</v>
      </c>
      <c r="B2154" t="s">
        <v>6257</v>
      </c>
      <c r="C2154" t="s">
        <v>5690</v>
      </c>
      <c r="D2154">
        <v>44427</v>
      </c>
      <c r="E2154">
        <v>1</v>
      </c>
      <c r="F2154">
        <v>1</v>
      </c>
      <c r="G2154">
        <v>1</v>
      </c>
    </row>
    <row r="2155" spans="1:7">
      <c r="A2155">
        <v>3702</v>
      </c>
      <c r="B2155" t="s">
        <v>5686</v>
      </c>
      <c r="C2155" t="s">
        <v>5687</v>
      </c>
      <c r="D2155">
        <v>44427</v>
      </c>
      <c r="E2155">
        <v>16</v>
      </c>
      <c r="F2155">
        <v>16</v>
      </c>
      <c r="G2155">
        <v>16</v>
      </c>
    </row>
    <row r="2156" spans="1:7">
      <c r="A2156">
        <v>1504</v>
      </c>
      <c r="B2156" t="s">
        <v>5669</v>
      </c>
      <c r="C2156" t="s">
        <v>5670</v>
      </c>
      <c r="D2156">
        <v>44427</v>
      </c>
      <c r="E2156">
        <v>8</v>
      </c>
      <c r="F2156">
        <v>8</v>
      </c>
      <c r="G2156">
        <v>8</v>
      </c>
    </row>
    <row r="2157" spans="1:7">
      <c r="A2157">
        <v>2231</v>
      </c>
      <c r="B2157" t="s">
        <v>6244</v>
      </c>
      <c r="C2157" t="s">
        <v>5769</v>
      </c>
      <c r="D2157">
        <v>44427</v>
      </c>
      <c r="E2157">
        <v>3</v>
      </c>
      <c r="F2157">
        <v>3</v>
      </c>
      <c r="G2157">
        <v>3</v>
      </c>
    </row>
    <row r="2158" spans="1:7">
      <c r="A2158">
        <v>6488</v>
      </c>
      <c r="B2158" t="s">
        <v>5689</v>
      </c>
      <c r="C2158" t="s">
        <v>5690</v>
      </c>
      <c r="D2158">
        <v>44427</v>
      </c>
      <c r="E2158">
        <v>7</v>
      </c>
      <c r="F2158">
        <v>7</v>
      </c>
      <c r="G2158">
        <v>7</v>
      </c>
    </row>
    <row r="2159" spans="1:7">
      <c r="A2159">
        <v>2474</v>
      </c>
      <c r="B2159" t="s">
        <v>5817</v>
      </c>
      <c r="C2159" t="s">
        <v>5692</v>
      </c>
      <c r="D2159">
        <v>44427</v>
      </c>
      <c r="E2159">
        <v>4</v>
      </c>
      <c r="F2159">
        <v>4</v>
      </c>
      <c r="G2159">
        <v>4</v>
      </c>
    </row>
    <row r="2160" spans="1:7">
      <c r="A2160">
        <v>2385</v>
      </c>
      <c r="B2160" t="s">
        <v>5709</v>
      </c>
      <c r="C2160" t="s">
        <v>5675</v>
      </c>
      <c r="D2160">
        <v>44427</v>
      </c>
      <c r="E2160">
        <v>7</v>
      </c>
      <c r="F2160">
        <v>7</v>
      </c>
      <c r="G2160">
        <v>7</v>
      </c>
    </row>
    <row r="2161" spans="1:7">
      <c r="A2161">
        <v>2633</v>
      </c>
      <c r="B2161" t="s">
        <v>6130</v>
      </c>
      <c r="C2161" t="s">
        <v>5679</v>
      </c>
      <c r="D2161">
        <v>44427</v>
      </c>
      <c r="E2161">
        <v>8</v>
      </c>
      <c r="F2161">
        <v>8</v>
      </c>
      <c r="G2161">
        <v>8</v>
      </c>
    </row>
    <row r="2162" spans="1:7">
      <c r="A2162">
        <v>2201</v>
      </c>
      <c r="B2162" t="s">
        <v>5929</v>
      </c>
      <c r="C2162" t="s">
        <v>5769</v>
      </c>
      <c r="D2162">
        <v>44427</v>
      </c>
      <c r="E2162">
        <v>9</v>
      </c>
      <c r="F2162">
        <v>9</v>
      </c>
      <c r="G2162">
        <v>9</v>
      </c>
    </row>
    <row r="2163" spans="1:7">
      <c r="A2163">
        <v>3005</v>
      </c>
      <c r="B2163" t="s">
        <v>6258</v>
      </c>
      <c r="C2163" t="s">
        <v>5649</v>
      </c>
      <c r="D2163">
        <v>44427</v>
      </c>
      <c r="E2163">
        <v>1</v>
      </c>
      <c r="F2163">
        <v>1</v>
      </c>
      <c r="G2163">
        <v>1</v>
      </c>
    </row>
    <row r="2164" spans="1:7">
      <c r="A2164">
        <v>6187</v>
      </c>
      <c r="B2164" t="s">
        <v>6249</v>
      </c>
      <c r="C2164" t="s">
        <v>5800</v>
      </c>
      <c r="D2164">
        <v>44427</v>
      </c>
      <c r="E2164">
        <v>2</v>
      </c>
      <c r="F2164">
        <v>2</v>
      </c>
      <c r="G2164">
        <v>2</v>
      </c>
    </row>
    <row r="2165" spans="1:7">
      <c r="A2165">
        <v>1476</v>
      </c>
      <c r="B2165" t="s">
        <v>6259</v>
      </c>
      <c r="C2165" t="s">
        <v>5706</v>
      </c>
      <c r="D2165">
        <v>44427</v>
      </c>
      <c r="E2165">
        <v>1</v>
      </c>
      <c r="F2165">
        <v>1</v>
      </c>
      <c r="G2165">
        <v>1</v>
      </c>
    </row>
    <row r="2166" spans="1:7">
      <c r="A2166">
        <v>2328</v>
      </c>
      <c r="B2166" t="s">
        <v>5718</v>
      </c>
      <c r="C2166" t="s">
        <v>5675</v>
      </c>
      <c r="D2166">
        <v>44427</v>
      </c>
      <c r="E2166">
        <v>3</v>
      </c>
      <c r="F2166">
        <v>3</v>
      </c>
      <c r="G2166">
        <v>3</v>
      </c>
    </row>
    <row r="2167" spans="1:7">
      <c r="A2167">
        <v>5269</v>
      </c>
      <c r="B2167" t="s">
        <v>6115</v>
      </c>
      <c r="C2167" t="s">
        <v>5666</v>
      </c>
      <c r="D2167">
        <v>44427</v>
      </c>
      <c r="E2167">
        <v>2</v>
      </c>
      <c r="F2167">
        <v>2</v>
      </c>
      <c r="G2167">
        <v>2</v>
      </c>
    </row>
    <row r="2168" spans="1:7">
      <c r="A2168">
        <v>3346</v>
      </c>
      <c r="B2168" t="s">
        <v>6260</v>
      </c>
      <c r="C2168" t="s">
        <v>5769</v>
      </c>
      <c r="D2168">
        <v>44427</v>
      </c>
      <c r="E2168">
        <v>1</v>
      </c>
      <c r="F2168">
        <v>1</v>
      </c>
      <c r="G2168">
        <v>1</v>
      </c>
    </row>
    <row r="2169" spans="1:7">
      <c r="A2169">
        <v>6274</v>
      </c>
      <c r="B2169" t="s">
        <v>5999</v>
      </c>
      <c r="C2169" t="s">
        <v>5791</v>
      </c>
      <c r="D2169">
        <v>44427</v>
      </c>
      <c r="E2169">
        <v>7</v>
      </c>
      <c r="F2169">
        <v>7</v>
      </c>
      <c r="G2169">
        <v>7</v>
      </c>
    </row>
    <row r="2170" spans="1:7">
      <c r="A2170">
        <v>6147</v>
      </c>
      <c r="B2170" t="s">
        <v>6127</v>
      </c>
      <c r="C2170" t="s">
        <v>5690</v>
      </c>
      <c r="D2170">
        <v>44427</v>
      </c>
      <c r="E2170">
        <v>4</v>
      </c>
      <c r="F2170">
        <v>4</v>
      </c>
      <c r="G2170">
        <v>4</v>
      </c>
    </row>
    <row r="2171" spans="1:7">
      <c r="A2171">
        <v>2221</v>
      </c>
      <c r="B2171" t="s">
        <v>6209</v>
      </c>
      <c r="C2171" t="s">
        <v>5985</v>
      </c>
      <c r="D2171">
        <v>44427</v>
      </c>
      <c r="E2171">
        <v>3</v>
      </c>
      <c r="F2171">
        <v>3</v>
      </c>
      <c r="G2171">
        <v>3</v>
      </c>
    </row>
    <row r="2172" spans="1:7">
      <c r="A2172">
        <v>2015</v>
      </c>
      <c r="B2172" t="s">
        <v>6061</v>
      </c>
      <c r="C2172" t="s">
        <v>5659</v>
      </c>
      <c r="D2172">
        <v>44427</v>
      </c>
      <c r="E2172">
        <v>4</v>
      </c>
      <c r="F2172">
        <v>4</v>
      </c>
      <c r="G2172">
        <v>4</v>
      </c>
    </row>
    <row r="2173" spans="1:7">
      <c r="A2173">
        <v>6153</v>
      </c>
      <c r="B2173" t="s">
        <v>5837</v>
      </c>
      <c r="C2173" t="s">
        <v>5675</v>
      </c>
      <c r="D2173">
        <v>44427</v>
      </c>
      <c r="E2173">
        <v>7</v>
      </c>
      <c r="F2173">
        <v>7</v>
      </c>
      <c r="G2173">
        <v>7</v>
      </c>
    </row>
    <row r="2174" spans="1:7">
      <c r="A2174">
        <v>8436</v>
      </c>
      <c r="B2174" t="s">
        <v>6230</v>
      </c>
      <c r="C2174" t="s">
        <v>5867</v>
      </c>
      <c r="D2174">
        <v>44427</v>
      </c>
      <c r="E2174">
        <v>2</v>
      </c>
      <c r="F2174">
        <v>2</v>
      </c>
      <c r="G2174">
        <v>2</v>
      </c>
    </row>
    <row r="2175" spans="1:7">
      <c r="A2175">
        <v>8936</v>
      </c>
      <c r="B2175" t="s">
        <v>6206</v>
      </c>
      <c r="C2175" t="s">
        <v>5985</v>
      </c>
      <c r="D2175">
        <v>44427</v>
      </c>
      <c r="E2175">
        <v>3</v>
      </c>
      <c r="F2175">
        <v>3</v>
      </c>
      <c r="G2175">
        <v>3</v>
      </c>
    </row>
    <row r="2176" spans="1:7">
      <c r="A2176">
        <v>1216</v>
      </c>
      <c r="B2176" t="s">
        <v>6063</v>
      </c>
      <c r="C2176" t="s">
        <v>5872</v>
      </c>
      <c r="D2176">
        <v>44427</v>
      </c>
      <c r="E2176">
        <v>8</v>
      </c>
      <c r="F2176">
        <v>8</v>
      </c>
      <c r="G2176">
        <v>8</v>
      </c>
    </row>
    <row r="2177" spans="1:7">
      <c r="A2177">
        <v>8046</v>
      </c>
      <c r="B2177" t="s">
        <v>5735</v>
      </c>
      <c r="C2177" t="s">
        <v>5675</v>
      </c>
      <c r="D2177">
        <v>44427</v>
      </c>
      <c r="E2177">
        <v>5</v>
      </c>
      <c r="F2177">
        <v>5</v>
      </c>
      <c r="G2177">
        <v>5</v>
      </c>
    </row>
    <row r="2178" spans="1:7">
      <c r="A2178">
        <v>2903</v>
      </c>
      <c r="B2178" t="s">
        <v>6261</v>
      </c>
      <c r="C2178" t="s">
        <v>5647</v>
      </c>
      <c r="D2178">
        <v>44427</v>
      </c>
      <c r="E2178">
        <v>1</v>
      </c>
      <c r="F2178">
        <v>1</v>
      </c>
      <c r="G2178">
        <v>1</v>
      </c>
    </row>
    <row r="2179" spans="1:7">
      <c r="A2179">
        <v>2912</v>
      </c>
      <c r="B2179" t="s">
        <v>6072</v>
      </c>
      <c r="C2179" t="s">
        <v>5647</v>
      </c>
      <c r="D2179">
        <v>44427</v>
      </c>
      <c r="E2179">
        <v>4</v>
      </c>
      <c r="F2179">
        <v>4</v>
      </c>
      <c r="G2179">
        <v>4</v>
      </c>
    </row>
    <row r="2180" spans="1:7">
      <c r="A2180">
        <v>8358</v>
      </c>
      <c r="B2180" t="s">
        <v>6073</v>
      </c>
      <c r="C2180" t="s">
        <v>5791</v>
      </c>
      <c r="D2180">
        <v>44427</v>
      </c>
      <c r="E2180">
        <v>2</v>
      </c>
      <c r="F2180">
        <v>2</v>
      </c>
      <c r="G2180">
        <v>2</v>
      </c>
    </row>
    <row r="2181" spans="1:7">
      <c r="A2181">
        <v>2206</v>
      </c>
      <c r="B2181" t="s">
        <v>5845</v>
      </c>
      <c r="C2181" t="s">
        <v>5769</v>
      </c>
      <c r="D2181">
        <v>44427</v>
      </c>
      <c r="E2181">
        <v>4</v>
      </c>
      <c r="F2181">
        <v>4</v>
      </c>
      <c r="G2181">
        <v>4</v>
      </c>
    </row>
    <row r="2182" spans="1:7">
      <c r="A2182">
        <v>2617</v>
      </c>
      <c r="B2182" t="s">
        <v>5891</v>
      </c>
      <c r="C2182" t="s">
        <v>5679</v>
      </c>
      <c r="D2182">
        <v>44427</v>
      </c>
      <c r="E2182">
        <v>6</v>
      </c>
      <c r="F2182">
        <v>6</v>
      </c>
      <c r="G2182">
        <v>6</v>
      </c>
    </row>
    <row r="2183" spans="1:7">
      <c r="A2183">
        <v>2330</v>
      </c>
      <c r="B2183" t="s">
        <v>6018</v>
      </c>
      <c r="C2183" t="s">
        <v>5666</v>
      </c>
      <c r="D2183">
        <v>44427</v>
      </c>
      <c r="E2183">
        <v>12</v>
      </c>
      <c r="F2183">
        <v>12</v>
      </c>
      <c r="G2183">
        <v>12</v>
      </c>
    </row>
    <row r="2184" spans="1:7">
      <c r="A2184">
        <v>1785</v>
      </c>
      <c r="B2184" t="s">
        <v>5799</v>
      </c>
      <c r="C2184" t="s">
        <v>5800</v>
      </c>
      <c r="D2184">
        <v>44427</v>
      </c>
      <c r="E2184">
        <v>7</v>
      </c>
      <c r="F2184">
        <v>7</v>
      </c>
      <c r="G2184">
        <v>7</v>
      </c>
    </row>
    <row r="2185" spans="1:7">
      <c r="A2185">
        <v>6170</v>
      </c>
      <c r="B2185" t="s">
        <v>5993</v>
      </c>
      <c r="C2185" t="s">
        <v>5684</v>
      </c>
      <c r="D2185">
        <v>44427</v>
      </c>
      <c r="E2185">
        <v>4</v>
      </c>
      <c r="F2185">
        <v>4</v>
      </c>
      <c r="G2185">
        <v>4</v>
      </c>
    </row>
    <row r="2186" spans="1:7">
      <c r="A2186">
        <v>2351</v>
      </c>
      <c r="B2186" t="s">
        <v>5752</v>
      </c>
      <c r="C2186" t="s">
        <v>5666</v>
      </c>
      <c r="D2186">
        <v>44427</v>
      </c>
      <c r="E2186">
        <v>5</v>
      </c>
      <c r="F2186">
        <v>5</v>
      </c>
      <c r="G2186">
        <v>5</v>
      </c>
    </row>
    <row r="2187" spans="1:7">
      <c r="A2187">
        <v>9103</v>
      </c>
      <c r="B2187" t="s">
        <v>5864</v>
      </c>
      <c r="C2187" t="s">
        <v>5865</v>
      </c>
      <c r="D2187">
        <v>44427</v>
      </c>
      <c r="E2187">
        <v>8</v>
      </c>
      <c r="F2187">
        <v>8</v>
      </c>
      <c r="G2187">
        <v>8</v>
      </c>
    </row>
    <row r="2188" spans="1:7">
      <c r="A2188">
        <v>3665</v>
      </c>
      <c r="B2188" t="s">
        <v>6139</v>
      </c>
      <c r="C2188" t="s">
        <v>5692</v>
      </c>
      <c r="D2188">
        <v>44427</v>
      </c>
      <c r="E2188">
        <v>2</v>
      </c>
      <c r="F2188">
        <v>2</v>
      </c>
      <c r="G2188">
        <v>2</v>
      </c>
    </row>
    <row r="2189" spans="1:7">
      <c r="A2189">
        <v>6138</v>
      </c>
      <c r="B2189" t="s">
        <v>5987</v>
      </c>
      <c r="C2189" t="s">
        <v>5690</v>
      </c>
      <c r="D2189">
        <v>44427</v>
      </c>
      <c r="E2189">
        <v>5</v>
      </c>
      <c r="F2189">
        <v>5</v>
      </c>
      <c r="G2189">
        <v>5</v>
      </c>
    </row>
    <row r="2190" spans="1:7">
      <c r="A2190">
        <v>4721</v>
      </c>
      <c r="B2190" t="s">
        <v>6075</v>
      </c>
      <c r="C2190" t="s">
        <v>5910</v>
      </c>
      <c r="D2190">
        <v>44427</v>
      </c>
      <c r="E2190">
        <v>4</v>
      </c>
      <c r="F2190">
        <v>4</v>
      </c>
      <c r="G2190">
        <v>4</v>
      </c>
    </row>
    <row r="2191" spans="1:7">
      <c r="A2191">
        <v>2461</v>
      </c>
      <c r="B2191" t="s">
        <v>6153</v>
      </c>
      <c r="C2191" t="s">
        <v>5692</v>
      </c>
      <c r="D2191">
        <v>44427</v>
      </c>
      <c r="E2191">
        <v>4</v>
      </c>
      <c r="F2191">
        <v>4</v>
      </c>
      <c r="G2191">
        <v>4</v>
      </c>
    </row>
    <row r="2192" spans="1:7">
      <c r="A2192">
        <v>3037</v>
      </c>
      <c r="B2192" t="s">
        <v>5870</v>
      </c>
      <c r="C2192" t="s">
        <v>5675</v>
      </c>
      <c r="D2192">
        <v>44427</v>
      </c>
      <c r="E2192">
        <v>2</v>
      </c>
      <c r="F2192">
        <v>2</v>
      </c>
      <c r="G2192">
        <v>2</v>
      </c>
    </row>
    <row r="2193" spans="1:7">
      <c r="A2193">
        <v>1477</v>
      </c>
      <c r="B2193" t="s">
        <v>5916</v>
      </c>
      <c r="C2193" t="s">
        <v>5706</v>
      </c>
      <c r="D2193">
        <v>44427</v>
      </c>
      <c r="E2193">
        <v>3</v>
      </c>
      <c r="F2193">
        <v>3</v>
      </c>
      <c r="G2193">
        <v>3</v>
      </c>
    </row>
    <row r="2194" spans="1:7">
      <c r="A2194">
        <v>5272</v>
      </c>
      <c r="B2194" t="s">
        <v>5794</v>
      </c>
      <c r="C2194" t="s">
        <v>5690</v>
      </c>
      <c r="D2194">
        <v>44427</v>
      </c>
      <c r="E2194">
        <v>4</v>
      </c>
      <c r="F2194">
        <v>4</v>
      </c>
      <c r="G2194">
        <v>4</v>
      </c>
    </row>
    <row r="2195" spans="1:7">
      <c r="A2195">
        <v>3689</v>
      </c>
      <c r="B2195" t="s">
        <v>6189</v>
      </c>
      <c r="C2195" t="s">
        <v>5791</v>
      </c>
      <c r="D2195">
        <v>44427</v>
      </c>
      <c r="E2195">
        <v>3</v>
      </c>
      <c r="F2195">
        <v>3</v>
      </c>
      <c r="G2195">
        <v>3</v>
      </c>
    </row>
    <row r="2196" spans="1:7">
      <c r="A2196">
        <v>3325</v>
      </c>
      <c r="B2196" t="s">
        <v>6262</v>
      </c>
      <c r="C2196" t="s">
        <v>5829</v>
      </c>
      <c r="D2196">
        <v>44427</v>
      </c>
      <c r="E2196">
        <v>1</v>
      </c>
      <c r="F2196">
        <v>1</v>
      </c>
      <c r="G2196">
        <v>1</v>
      </c>
    </row>
    <row r="2197" spans="1:7">
      <c r="A2197">
        <v>8942</v>
      </c>
      <c r="B2197" t="s">
        <v>6263</v>
      </c>
      <c r="C2197" t="s">
        <v>5985</v>
      </c>
      <c r="D2197">
        <v>44427</v>
      </c>
      <c r="E2197">
        <v>1</v>
      </c>
      <c r="F2197">
        <v>1</v>
      </c>
      <c r="G2197">
        <v>1</v>
      </c>
    </row>
    <row r="2198" spans="1:7">
      <c r="A2198">
        <v>3675</v>
      </c>
      <c r="B2198" t="s">
        <v>6105</v>
      </c>
      <c r="C2198" t="s">
        <v>5690</v>
      </c>
      <c r="D2198">
        <v>44427</v>
      </c>
      <c r="E2198">
        <v>6</v>
      </c>
      <c r="F2198">
        <v>6</v>
      </c>
      <c r="G2198">
        <v>6</v>
      </c>
    </row>
    <row r="2199" spans="1:7">
      <c r="A2199">
        <v>2104</v>
      </c>
      <c r="B2199" t="s">
        <v>6082</v>
      </c>
      <c r="C2199" t="s">
        <v>5657</v>
      </c>
      <c r="D2199">
        <v>44427</v>
      </c>
      <c r="E2199">
        <v>6</v>
      </c>
      <c r="F2199">
        <v>6</v>
      </c>
      <c r="G2199">
        <v>6</v>
      </c>
    </row>
    <row r="2200" spans="1:7">
      <c r="A2200">
        <v>2605</v>
      </c>
      <c r="B2200" t="s">
        <v>6111</v>
      </c>
      <c r="C2200" t="s">
        <v>5679</v>
      </c>
      <c r="D2200">
        <v>44427</v>
      </c>
      <c r="E2200">
        <v>3</v>
      </c>
      <c r="F2200">
        <v>3</v>
      </c>
      <c r="G2200">
        <v>3</v>
      </c>
    </row>
    <row r="2201" spans="1:7">
      <c r="A2201">
        <v>5483</v>
      </c>
      <c r="B2201" t="s">
        <v>5757</v>
      </c>
      <c r="C2201" t="s">
        <v>5690</v>
      </c>
      <c r="D2201">
        <v>44427</v>
      </c>
      <c r="E2201">
        <v>5</v>
      </c>
      <c r="F2201">
        <v>5</v>
      </c>
      <c r="G2201">
        <v>5</v>
      </c>
    </row>
    <row r="2202" spans="1:7">
      <c r="A2202">
        <v>2823</v>
      </c>
      <c r="B2202" t="s">
        <v>5811</v>
      </c>
      <c r="C2202" t="s">
        <v>5645</v>
      </c>
      <c r="D2202">
        <v>44426</v>
      </c>
      <c r="E2202">
        <v>17</v>
      </c>
      <c r="F2202">
        <v>17</v>
      </c>
      <c r="G2202">
        <v>17</v>
      </c>
    </row>
    <row r="2203" spans="1:7">
      <c r="A2203">
        <v>1303</v>
      </c>
      <c r="B2203" t="s">
        <v>5792</v>
      </c>
      <c r="C2203" t="s">
        <v>5771</v>
      </c>
      <c r="D2203">
        <v>44426</v>
      </c>
      <c r="E2203">
        <v>9</v>
      </c>
      <c r="F2203">
        <v>9</v>
      </c>
      <c r="G2203">
        <v>9</v>
      </c>
    </row>
    <row r="2204" spans="1:7">
      <c r="A2204">
        <v>2412</v>
      </c>
      <c r="B2204" t="s">
        <v>5652</v>
      </c>
      <c r="C2204" t="s">
        <v>5653</v>
      </c>
      <c r="D2204">
        <v>44426</v>
      </c>
      <c r="E2204">
        <v>5</v>
      </c>
      <c r="F2204">
        <v>5</v>
      </c>
      <c r="G2204">
        <v>5</v>
      </c>
    </row>
    <row r="2205" spans="1:7">
      <c r="A2205">
        <v>1102</v>
      </c>
      <c r="B2205" t="s">
        <v>6129</v>
      </c>
      <c r="C2205" t="s">
        <v>5823</v>
      </c>
      <c r="D2205">
        <v>44426</v>
      </c>
      <c r="E2205">
        <v>4</v>
      </c>
      <c r="F2205">
        <v>4</v>
      </c>
      <c r="G2205">
        <v>4</v>
      </c>
    </row>
    <row r="2206" spans="1:7">
      <c r="A2206">
        <v>2015</v>
      </c>
      <c r="B2206" t="s">
        <v>6061</v>
      </c>
      <c r="C2206" t="s">
        <v>5659</v>
      </c>
      <c r="D2206">
        <v>44426</v>
      </c>
      <c r="E2206">
        <v>4</v>
      </c>
      <c r="F2206">
        <v>4</v>
      </c>
      <c r="G2206">
        <v>4</v>
      </c>
    </row>
    <row r="2207" spans="1:7">
      <c r="A2207">
        <v>1216</v>
      </c>
      <c r="B2207" t="s">
        <v>6063</v>
      </c>
      <c r="C2207" t="s">
        <v>5872</v>
      </c>
      <c r="D2207">
        <v>44426</v>
      </c>
      <c r="E2207">
        <v>8</v>
      </c>
      <c r="F2207">
        <v>8</v>
      </c>
      <c r="G2207">
        <v>8</v>
      </c>
    </row>
    <row r="2208" spans="1:7">
      <c r="A2208">
        <v>2340</v>
      </c>
      <c r="B2208" t="s">
        <v>5749</v>
      </c>
      <c r="C2208" t="s">
        <v>5661</v>
      </c>
      <c r="D2208">
        <v>44426</v>
      </c>
      <c r="E2208">
        <v>6</v>
      </c>
      <c r="F2208">
        <v>6</v>
      </c>
      <c r="G2208">
        <v>6</v>
      </c>
    </row>
    <row r="2209" spans="1:7">
      <c r="A2209">
        <v>2633</v>
      </c>
      <c r="B2209" t="s">
        <v>6130</v>
      </c>
      <c r="C2209" t="s">
        <v>5679</v>
      </c>
      <c r="D2209">
        <v>44426</v>
      </c>
      <c r="E2209">
        <v>8</v>
      </c>
      <c r="F2209">
        <v>8</v>
      </c>
      <c r="G2209">
        <v>8</v>
      </c>
    </row>
    <row r="2210" spans="1:7">
      <c r="A2210">
        <v>3189</v>
      </c>
      <c r="B2210" t="s">
        <v>5696</v>
      </c>
      <c r="C2210" t="s">
        <v>5666</v>
      </c>
      <c r="D2210">
        <v>44426</v>
      </c>
      <c r="E2210">
        <v>4</v>
      </c>
      <c r="F2210">
        <v>4</v>
      </c>
      <c r="G2210">
        <v>4</v>
      </c>
    </row>
    <row r="2211" spans="1:7">
      <c r="A2211">
        <v>2886</v>
      </c>
      <c r="B2211" t="s">
        <v>5863</v>
      </c>
      <c r="C2211" t="s">
        <v>5645</v>
      </c>
      <c r="D2211">
        <v>44426</v>
      </c>
      <c r="E2211">
        <v>10</v>
      </c>
      <c r="F2211">
        <v>10</v>
      </c>
      <c r="G2211">
        <v>10</v>
      </c>
    </row>
    <row r="2212" spans="1:7">
      <c r="A2212">
        <v>3060</v>
      </c>
      <c r="B2212" t="s">
        <v>6218</v>
      </c>
      <c r="C2212" t="s">
        <v>5649</v>
      </c>
      <c r="D2212">
        <v>44426</v>
      </c>
      <c r="E2212">
        <v>3</v>
      </c>
      <c r="F2212">
        <v>3</v>
      </c>
      <c r="G2212">
        <v>3</v>
      </c>
    </row>
    <row r="2213" spans="1:7">
      <c r="A2213">
        <v>1762</v>
      </c>
      <c r="B2213" t="s">
        <v>6227</v>
      </c>
      <c r="C2213" t="s">
        <v>5729</v>
      </c>
      <c r="D2213">
        <v>44426</v>
      </c>
      <c r="E2213">
        <v>2</v>
      </c>
      <c r="F2213">
        <v>2</v>
      </c>
      <c r="G2213">
        <v>2</v>
      </c>
    </row>
    <row r="2214" spans="1:7">
      <c r="A2214">
        <v>2409</v>
      </c>
      <c r="B2214" t="s">
        <v>5850</v>
      </c>
      <c r="C2214" t="s">
        <v>5661</v>
      </c>
      <c r="D2214">
        <v>44426</v>
      </c>
      <c r="E2214">
        <v>6</v>
      </c>
      <c r="F2214">
        <v>6</v>
      </c>
      <c r="G2214">
        <v>6</v>
      </c>
    </row>
    <row r="2215" spans="1:7">
      <c r="A2215">
        <v>2547</v>
      </c>
      <c r="B2215" t="s">
        <v>6052</v>
      </c>
      <c r="C2215" t="s">
        <v>5651</v>
      </c>
      <c r="D2215">
        <v>44426</v>
      </c>
      <c r="E2215">
        <v>5</v>
      </c>
      <c r="F2215">
        <v>5</v>
      </c>
      <c r="G2215">
        <v>5</v>
      </c>
    </row>
    <row r="2216" spans="1:7">
      <c r="A2216">
        <v>4168</v>
      </c>
      <c r="B2216" t="s">
        <v>6264</v>
      </c>
      <c r="C2216" t="s">
        <v>5867</v>
      </c>
      <c r="D2216">
        <v>44426</v>
      </c>
      <c r="E2216">
        <v>1</v>
      </c>
      <c r="F2216">
        <v>1</v>
      </c>
      <c r="G2216">
        <v>1</v>
      </c>
    </row>
    <row r="2217" spans="1:7">
      <c r="A2217">
        <v>3036</v>
      </c>
      <c r="B2217" t="s">
        <v>6138</v>
      </c>
      <c r="C2217" t="s">
        <v>5687</v>
      </c>
      <c r="D2217">
        <v>44426</v>
      </c>
      <c r="E2217">
        <v>4</v>
      </c>
      <c r="F2217">
        <v>4</v>
      </c>
      <c r="G2217">
        <v>4</v>
      </c>
    </row>
    <row r="2218" spans="1:7">
      <c r="A2218">
        <v>2377</v>
      </c>
      <c r="B2218" t="s">
        <v>5688</v>
      </c>
      <c r="C2218" t="s">
        <v>5649</v>
      </c>
      <c r="D2218">
        <v>44426</v>
      </c>
      <c r="E2218">
        <v>7</v>
      </c>
      <c r="F2218">
        <v>7</v>
      </c>
      <c r="G2218">
        <v>7</v>
      </c>
    </row>
    <row r="2219" spans="1:7">
      <c r="A2219">
        <v>6005</v>
      </c>
      <c r="B2219" t="s">
        <v>5977</v>
      </c>
      <c r="C2219" t="s">
        <v>5645</v>
      </c>
      <c r="D2219">
        <v>44426</v>
      </c>
      <c r="E2219">
        <v>3</v>
      </c>
      <c r="F2219">
        <v>3</v>
      </c>
      <c r="G2219">
        <v>3</v>
      </c>
    </row>
    <row r="2220" spans="1:7">
      <c r="A2220">
        <v>2887</v>
      </c>
      <c r="B2220" t="s">
        <v>6014</v>
      </c>
      <c r="C2220" t="s">
        <v>5645</v>
      </c>
      <c r="D2220">
        <v>44426</v>
      </c>
      <c r="E2220">
        <v>5</v>
      </c>
      <c r="F2220">
        <v>5</v>
      </c>
      <c r="G2220">
        <v>5</v>
      </c>
    </row>
    <row r="2221" spans="1:7">
      <c r="A2221">
        <v>6153</v>
      </c>
      <c r="B2221" t="s">
        <v>5837</v>
      </c>
      <c r="C2221" t="s">
        <v>5675</v>
      </c>
      <c r="D2221">
        <v>44426</v>
      </c>
      <c r="E2221">
        <v>7</v>
      </c>
      <c r="F2221">
        <v>7</v>
      </c>
      <c r="G2221">
        <v>7</v>
      </c>
    </row>
    <row r="2222" spans="1:7">
      <c r="A2222">
        <v>2884</v>
      </c>
      <c r="B2222" t="s">
        <v>6142</v>
      </c>
      <c r="C2222" t="s">
        <v>5645</v>
      </c>
      <c r="D2222">
        <v>44426</v>
      </c>
      <c r="E2222">
        <v>5</v>
      </c>
      <c r="F2222">
        <v>5</v>
      </c>
      <c r="G2222">
        <v>5</v>
      </c>
    </row>
    <row r="2223" spans="1:7">
      <c r="A2223">
        <v>6223</v>
      </c>
      <c r="B2223" t="s">
        <v>5844</v>
      </c>
      <c r="C2223" t="s">
        <v>5690</v>
      </c>
      <c r="D2223">
        <v>44426</v>
      </c>
      <c r="E2223">
        <v>6</v>
      </c>
      <c r="F2223">
        <v>6</v>
      </c>
      <c r="G2223">
        <v>6</v>
      </c>
    </row>
    <row r="2224" spans="1:7">
      <c r="A2224">
        <v>1722</v>
      </c>
      <c r="B2224" t="s">
        <v>5882</v>
      </c>
      <c r="C2224" t="s">
        <v>5733</v>
      </c>
      <c r="D2224">
        <v>44426</v>
      </c>
      <c r="E2224">
        <v>9</v>
      </c>
      <c r="F2224">
        <v>9</v>
      </c>
      <c r="G2224">
        <v>9</v>
      </c>
    </row>
    <row r="2225" spans="1:7">
      <c r="A2225">
        <v>5905</v>
      </c>
      <c r="B2225" t="s">
        <v>6098</v>
      </c>
      <c r="C2225" t="s">
        <v>6099</v>
      </c>
      <c r="D2225">
        <v>44426</v>
      </c>
      <c r="E2225">
        <v>5</v>
      </c>
      <c r="F2225">
        <v>5</v>
      </c>
      <c r="G2225">
        <v>5</v>
      </c>
    </row>
    <row r="2226" spans="1:7">
      <c r="A2226">
        <v>1310</v>
      </c>
      <c r="B2226" t="s">
        <v>5801</v>
      </c>
      <c r="C2226" t="s">
        <v>5771</v>
      </c>
      <c r="D2226">
        <v>44426</v>
      </c>
      <c r="E2226">
        <v>8</v>
      </c>
      <c r="F2226">
        <v>8</v>
      </c>
      <c r="G2226">
        <v>8</v>
      </c>
    </row>
    <row r="2227" spans="1:7">
      <c r="A2227">
        <v>2390</v>
      </c>
      <c r="B2227" t="s">
        <v>5951</v>
      </c>
      <c r="C2227" t="s">
        <v>5692</v>
      </c>
      <c r="D2227">
        <v>44426</v>
      </c>
      <c r="E2227">
        <v>4</v>
      </c>
      <c r="F2227">
        <v>4</v>
      </c>
      <c r="G2227">
        <v>4</v>
      </c>
    </row>
    <row r="2228" spans="1:7">
      <c r="A2228">
        <v>1605</v>
      </c>
      <c r="B2228" t="s">
        <v>5857</v>
      </c>
      <c r="C2228" t="s">
        <v>5858</v>
      </c>
      <c r="D2228">
        <v>44426</v>
      </c>
      <c r="E2228">
        <v>9</v>
      </c>
      <c r="F2228">
        <v>9</v>
      </c>
      <c r="G2228">
        <v>9</v>
      </c>
    </row>
    <row r="2229" spans="1:7">
      <c r="A2229">
        <v>1312</v>
      </c>
      <c r="B2229" t="s">
        <v>5773</v>
      </c>
      <c r="C2229" t="s">
        <v>5771</v>
      </c>
      <c r="D2229">
        <v>44426</v>
      </c>
      <c r="E2229">
        <v>8</v>
      </c>
      <c r="F2229">
        <v>8</v>
      </c>
      <c r="G2229">
        <v>8</v>
      </c>
    </row>
    <row r="2230" spans="1:7">
      <c r="A2230">
        <v>2890</v>
      </c>
      <c r="B2230" t="s">
        <v>5772</v>
      </c>
      <c r="C2230" t="s">
        <v>5645</v>
      </c>
      <c r="D2230">
        <v>44426</v>
      </c>
      <c r="E2230">
        <v>8</v>
      </c>
      <c r="F2230">
        <v>8</v>
      </c>
      <c r="G2230">
        <v>8</v>
      </c>
    </row>
    <row r="2231" spans="1:7">
      <c r="A2231">
        <v>8415</v>
      </c>
      <c r="B2231" t="s">
        <v>5988</v>
      </c>
      <c r="C2231" t="s">
        <v>5869</v>
      </c>
      <c r="D2231">
        <v>44426</v>
      </c>
      <c r="E2231">
        <v>5</v>
      </c>
      <c r="F2231">
        <v>5</v>
      </c>
      <c r="G2231">
        <v>5</v>
      </c>
    </row>
    <row r="2232" spans="1:7">
      <c r="A2232">
        <v>1455</v>
      </c>
      <c r="B2232" t="s">
        <v>5880</v>
      </c>
      <c r="C2232" t="s">
        <v>5706</v>
      </c>
      <c r="D2232">
        <v>44426</v>
      </c>
      <c r="E2232">
        <v>7</v>
      </c>
      <c r="F2232">
        <v>7</v>
      </c>
      <c r="G2232">
        <v>7</v>
      </c>
    </row>
    <row r="2233" spans="1:7">
      <c r="A2233">
        <v>2472</v>
      </c>
      <c r="B2233" t="s">
        <v>6157</v>
      </c>
      <c r="C2233" t="s">
        <v>5675</v>
      </c>
      <c r="D2233">
        <v>44426</v>
      </c>
      <c r="E2233">
        <v>4</v>
      </c>
      <c r="F2233">
        <v>4</v>
      </c>
      <c r="G2233">
        <v>4</v>
      </c>
    </row>
    <row r="2234" spans="1:7">
      <c r="A2234">
        <v>5452</v>
      </c>
      <c r="B2234" t="s">
        <v>6121</v>
      </c>
      <c r="C2234" t="s">
        <v>5800</v>
      </c>
      <c r="D2234">
        <v>44426</v>
      </c>
      <c r="E2234">
        <v>3</v>
      </c>
      <c r="F2234">
        <v>3</v>
      </c>
      <c r="G2234">
        <v>3</v>
      </c>
    </row>
    <row r="2235" spans="1:7">
      <c r="A2235">
        <v>2344</v>
      </c>
      <c r="B2235" t="s">
        <v>6011</v>
      </c>
      <c r="C2235" t="s">
        <v>5666</v>
      </c>
      <c r="D2235">
        <v>44426</v>
      </c>
      <c r="E2235">
        <v>7</v>
      </c>
      <c r="F2235">
        <v>7</v>
      </c>
      <c r="G2235">
        <v>7</v>
      </c>
    </row>
    <row r="2236" spans="1:7">
      <c r="A2236">
        <v>2108</v>
      </c>
      <c r="B2236" t="s">
        <v>5656</v>
      </c>
      <c r="C2236" t="s">
        <v>5657</v>
      </c>
      <c r="D2236">
        <v>44426</v>
      </c>
      <c r="E2236">
        <v>9</v>
      </c>
      <c r="F2236">
        <v>9</v>
      </c>
      <c r="G2236">
        <v>9</v>
      </c>
    </row>
    <row r="2237" spans="1:7">
      <c r="A2237">
        <v>2520</v>
      </c>
      <c r="B2237" t="s">
        <v>6088</v>
      </c>
      <c r="C2237" t="s">
        <v>5651</v>
      </c>
      <c r="D2237">
        <v>44426</v>
      </c>
      <c r="E2237">
        <v>3</v>
      </c>
      <c r="F2237">
        <v>3</v>
      </c>
      <c r="G2237">
        <v>3</v>
      </c>
    </row>
    <row r="2238" spans="1:7">
      <c r="A2238">
        <v>1325</v>
      </c>
      <c r="B2238" t="s">
        <v>5820</v>
      </c>
      <c r="C2238" t="s">
        <v>5771</v>
      </c>
      <c r="D2238">
        <v>44426</v>
      </c>
      <c r="E2238">
        <v>2</v>
      </c>
      <c r="F2238">
        <v>2</v>
      </c>
      <c r="G2238">
        <v>2</v>
      </c>
    </row>
    <row r="2239" spans="1:7">
      <c r="A2239">
        <v>2455</v>
      </c>
      <c r="B2239" t="s">
        <v>5695</v>
      </c>
      <c r="C2239" t="s">
        <v>5653</v>
      </c>
      <c r="D2239">
        <v>44426</v>
      </c>
      <c r="E2239">
        <v>8</v>
      </c>
      <c r="F2239">
        <v>8</v>
      </c>
      <c r="G2239">
        <v>8</v>
      </c>
    </row>
    <row r="2240" spans="1:7">
      <c r="A2240">
        <v>6202</v>
      </c>
      <c r="B2240" t="s">
        <v>5673</v>
      </c>
      <c r="C2240" t="s">
        <v>5666</v>
      </c>
      <c r="D2240">
        <v>44426</v>
      </c>
      <c r="E2240">
        <v>6</v>
      </c>
      <c r="F2240">
        <v>6</v>
      </c>
      <c r="G2240">
        <v>6</v>
      </c>
    </row>
    <row r="2241" spans="1:7">
      <c r="A2241">
        <v>1304</v>
      </c>
      <c r="B2241" t="s">
        <v>6024</v>
      </c>
      <c r="C2241" t="s">
        <v>5771</v>
      </c>
      <c r="D2241">
        <v>44426</v>
      </c>
      <c r="E2241">
        <v>8</v>
      </c>
      <c r="F2241">
        <v>8</v>
      </c>
      <c r="G2241">
        <v>8</v>
      </c>
    </row>
    <row r="2242" spans="1:7">
      <c r="A2242">
        <v>2812</v>
      </c>
      <c r="B2242" t="s">
        <v>5969</v>
      </c>
      <c r="C2242" t="s">
        <v>5645</v>
      </c>
      <c r="D2242">
        <v>44426</v>
      </c>
      <c r="E2242">
        <v>3</v>
      </c>
      <c r="F2242">
        <v>3</v>
      </c>
      <c r="G2242">
        <v>3</v>
      </c>
    </row>
    <row r="2243" spans="1:7">
      <c r="A2243">
        <v>6462</v>
      </c>
      <c r="B2243" t="s">
        <v>6238</v>
      </c>
      <c r="C2243" t="s">
        <v>5690</v>
      </c>
      <c r="D2243">
        <v>44426</v>
      </c>
      <c r="E2243">
        <v>2</v>
      </c>
      <c r="F2243">
        <v>2</v>
      </c>
      <c r="G2243">
        <v>2</v>
      </c>
    </row>
    <row r="2244" spans="1:7">
      <c r="A2244">
        <v>2637</v>
      </c>
      <c r="B2244" t="s">
        <v>5902</v>
      </c>
      <c r="C2244" t="s">
        <v>5679</v>
      </c>
      <c r="D2244">
        <v>44426</v>
      </c>
      <c r="E2244">
        <v>6</v>
      </c>
      <c r="F2244">
        <v>6</v>
      </c>
      <c r="G2244">
        <v>6</v>
      </c>
    </row>
    <row r="2245" spans="1:7">
      <c r="A2245">
        <v>5438</v>
      </c>
      <c r="B2245" t="s">
        <v>6229</v>
      </c>
      <c r="C2245" t="s">
        <v>5829</v>
      </c>
      <c r="D2245">
        <v>44426</v>
      </c>
      <c r="E2245">
        <v>4</v>
      </c>
      <c r="F2245">
        <v>4</v>
      </c>
      <c r="G2245">
        <v>4</v>
      </c>
    </row>
    <row r="2246" spans="1:7">
      <c r="A2246">
        <v>2385</v>
      </c>
      <c r="B2246" t="s">
        <v>5709</v>
      </c>
      <c r="C2246" t="s">
        <v>5675</v>
      </c>
      <c r="D2246">
        <v>44426</v>
      </c>
      <c r="E2246">
        <v>7</v>
      </c>
      <c r="F2246">
        <v>7</v>
      </c>
      <c r="G2246">
        <v>7</v>
      </c>
    </row>
    <row r="2247" spans="1:7">
      <c r="A2247">
        <v>8044</v>
      </c>
      <c r="B2247" t="s">
        <v>5894</v>
      </c>
      <c r="C2247" t="s">
        <v>5895</v>
      </c>
      <c r="D2247">
        <v>44426</v>
      </c>
      <c r="E2247">
        <v>6</v>
      </c>
      <c r="F2247">
        <v>6</v>
      </c>
      <c r="G2247">
        <v>6</v>
      </c>
    </row>
    <row r="2248" spans="1:7">
      <c r="A2248">
        <v>2231</v>
      </c>
      <c r="B2248" t="s">
        <v>6244</v>
      </c>
      <c r="C2248" t="s">
        <v>5769</v>
      </c>
      <c r="D2248">
        <v>44426</v>
      </c>
      <c r="E2248">
        <v>3</v>
      </c>
      <c r="F2248">
        <v>3</v>
      </c>
      <c r="G2248">
        <v>3</v>
      </c>
    </row>
    <row r="2249" spans="1:7">
      <c r="A2249">
        <v>6168</v>
      </c>
      <c r="B2249" t="s">
        <v>5701</v>
      </c>
      <c r="C2249" t="s">
        <v>5661</v>
      </c>
      <c r="D2249">
        <v>44426</v>
      </c>
      <c r="E2249">
        <v>5</v>
      </c>
      <c r="F2249">
        <v>5</v>
      </c>
      <c r="G2249">
        <v>5</v>
      </c>
    </row>
    <row r="2250" spans="1:7">
      <c r="A2250">
        <v>4904</v>
      </c>
      <c r="B2250" t="s">
        <v>5654</v>
      </c>
      <c r="C2250" t="s">
        <v>5653</v>
      </c>
      <c r="D2250">
        <v>44426</v>
      </c>
      <c r="E2250">
        <v>15</v>
      </c>
      <c r="F2250">
        <v>15</v>
      </c>
      <c r="G2250">
        <v>15</v>
      </c>
    </row>
    <row r="2251" spans="1:7">
      <c r="A2251">
        <v>2880</v>
      </c>
      <c r="B2251" t="s">
        <v>5878</v>
      </c>
      <c r="C2251" t="s">
        <v>5645</v>
      </c>
      <c r="D2251">
        <v>44426</v>
      </c>
      <c r="E2251">
        <v>10</v>
      </c>
      <c r="F2251">
        <v>10</v>
      </c>
      <c r="G2251">
        <v>10</v>
      </c>
    </row>
    <row r="2252" spans="1:7">
      <c r="A2252">
        <v>2408</v>
      </c>
      <c r="B2252" t="s">
        <v>6009</v>
      </c>
      <c r="C2252" t="s">
        <v>5666</v>
      </c>
      <c r="D2252">
        <v>44426</v>
      </c>
      <c r="E2252">
        <v>8</v>
      </c>
      <c r="F2252">
        <v>8</v>
      </c>
      <c r="G2252">
        <v>8</v>
      </c>
    </row>
    <row r="2253" spans="1:7">
      <c r="A2253">
        <v>1452</v>
      </c>
      <c r="B2253" t="s">
        <v>6237</v>
      </c>
      <c r="C2253" t="s">
        <v>5706</v>
      </c>
      <c r="D2253">
        <v>44426</v>
      </c>
      <c r="E2253">
        <v>2</v>
      </c>
      <c r="F2253">
        <v>2</v>
      </c>
      <c r="G2253">
        <v>2</v>
      </c>
    </row>
    <row r="2254" spans="1:7">
      <c r="A2254">
        <v>1467</v>
      </c>
      <c r="B2254" t="s">
        <v>5919</v>
      </c>
      <c r="C2254" t="s">
        <v>5706</v>
      </c>
      <c r="D2254">
        <v>44426</v>
      </c>
      <c r="E2254">
        <v>5</v>
      </c>
      <c r="F2254">
        <v>5</v>
      </c>
      <c r="G2254">
        <v>5</v>
      </c>
    </row>
    <row r="2255" spans="1:7">
      <c r="A2255">
        <v>2603</v>
      </c>
      <c r="B2255" t="s">
        <v>5721</v>
      </c>
      <c r="C2255" t="s">
        <v>5679</v>
      </c>
      <c r="D2255">
        <v>44426</v>
      </c>
      <c r="E2255">
        <v>6</v>
      </c>
      <c r="F2255">
        <v>6</v>
      </c>
      <c r="G2255">
        <v>6</v>
      </c>
    </row>
    <row r="2256" spans="1:7">
      <c r="A2256">
        <v>2442</v>
      </c>
      <c r="B2256" t="s">
        <v>5941</v>
      </c>
      <c r="C2256" t="s">
        <v>5649</v>
      </c>
      <c r="D2256">
        <v>44426</v>
      </c>
      <c r="E2256">
        <v>8</v>
      </c>
      <c r="F2256">
        <v>8</v>
      </c>
      <c r="G2256">
        <v>8</v>
      </c>
    </row>
    <row r="2257" spans="1:7">
      <c r="A2257">
        <v>8064</v>
      </c>
      <c r="B2257" t="s">
        <v>6150</v>
      </c>
      <c r="C2257" t="s">
        <v>5807</v>
      </c>
      <c r="D2257">
        <v>44426</v>
      </c>
      <c r="E2257">
        <v>3</v>
      </c>
      <c r="F2257">
        <v>3</v>
      </c>
      <c r="G2257">
        <v>3</v>
      </c>
    </row>
    <row r="2258" spans="1:7">
      <c r="A2258">
        <v>3374</v>
      </c>
      <c r="B2258" t="s">
        <v>5741</v>
      </c>
      <c r="C2258" t="s">
        <v>5690</v>
      </c>
      <c r="D2258">
        <v>44426</v>
      </c>
      <c r="E2258">
        <v>6</v>
      </c>
      <c r="F2258">
        <v>6</v>
      </c>
      <c r="G2258">
        <v>6</v>
      </c>
    </row>
    <row r="2259" spans="1:7">
      <c r="A2259">
        <v>1308</v>
      </c>
      <c r="B2259" t="s">
        <v>5804</v>
      </c>
      <c r="C2259" t="s">
        <v>5771</v>
      </c>
      <c r="D2259">
        <v>44426</v>
      </c>
      <c r="E2259">
        <v>7</v>
      </c>
      <c r="F2259">
        <v>7</v>
      </c>
      <c r="G2259">
        <v>7</v>
      </c>
    </row>
    <row r="2260" spans="1:7">
      <c r="A2260">
        <v>6016</v>
      </c>
      <c r="B2260" t="s">
        <v>6017</v>
      </c>
      <c r="C2260" t="s">
        <v>5798</v>
      </c>
      <c r="D2260">
        <v>44426</v>
      </c>
      <c r="E2260">
        <v>4</v>
      </c>
      <c r="F2260">
        <v>4</v>
      </c>
      <c r="G2260">
        <v>4</v>
      </c>
    </row>
    <row r="2261" spans="1:7">
      <c r="A2261">
        <v>6456</v>
      </c>
      <c r="B2261" t="s">
        <v>6043</v>
      </c>
      <c r="C2261" t="s">
        <v>5661</v>
      </c>
      <c r="D2261">
        <v>44426</v>
      </c>
      <c r="E2261">
        <v>5</v>
      </c>
      <c r="F2261">
        <v>5</v>
      </c>
      <c r="G2261">
        <v>5</v>
      </c>
    </row>
    <row r="2262" spans="1:7">
      <c r="A2262">
        <v>2897</v>
      </c>
      <c r="B2262" t="s">
        <v>5644</v>
      </c>
      <c r="C2262" t="s">
        <v>5645</v>
      </c>
      <c r="D2262">
        <v>44426</v>
      </c>
      <c r="E2262">
        <v>5</v>
      </c>
      <c r="F2262">
        <v>5</v>
      </c>
      <c r="G2262">
        <v>5</v>
      </c>
    </row>
    <row r="2263" spans="1:7">
      <c r="A2263">
        <v>2456</v>
      </c>
      <c r="B2263" t="s">
        <v>5982</v>
      </c>
      <c r="C2263" t="s">
        <v>5675</v>
      </c>
      <c r="D2263">
        <v>44426</v>
      </c>
      <c r="E2263">
        <v>4</v>
      </c>
      <c r="F2263">
        <v>4</v>
      </c>
      <c r="G2263">
        <v>4</v>
      </c>
    </row>
    <row r="2264" spans="1:7">
      <c r="A2264">
        <v>2613</v>
      </c>
      <c r="B2264" t="s">
        <v>6081</v>
      </c>
      <c r="C2264" t="s">
        <v>5679</v>
      </c>
      <c r="D2264">
        <v>44426</v>
      </c>
      <c r="E2264">
        <v>4</v>
      </c>
      <c r="F2264">
        <v>4</v>
      </c>
      <c r="G2264">
        <v>4</v>
      </c>
    </row>
    <row r="2265" spans="1:7">
      <c r="A2265">
        <v>6164</v>
      </c>
      <c r="B2265" t="s">
        <v>5940</v>
      </c>
      <c r="C2265" t="s">
        <v>5661</v>
      </c>
      <c r="D2265">
        <v>44426</v>
      </c>
      <c r="E2265">
        <v>3</v>
      </c>
      <c r="F2265">
        <v>3</v>
      </c>
      <c r="G2265">
        <v>3</v>
      </c>
    </row>
    <row r="2266" spans="1:7">
      <c r="A2266">
        <v>9958</v>
      </c>
      <c r="B2266" t="s">
        <v>5783</v>
      </c>
      <c r="C2266" t="s">
        <v>5659</v>
      </c>
      <c r="D2266">
        <v>44426</v>
      </c>
      <c r="E2266">
        <v>9</v>
      </c>
      <c r="F2266">
        <v>9</v>
      </c>
      <c r="G2266">
        <v>9</v>
      </c>
    </row>
    <row r="2267" spans="1:7">
      <c r="A2267">
        <v>3511</v>
      </c>
      <c r="B2267" t="s">
        <v>6079</v>
      </c>
      <c r="C2267" t="s">
        <v>5791</v>
      </c>
      <c r="D2267">
        <v>44426</v>
      </c>
      <c r="E2267">
        <v>4</v>
      </c>
      <c r="F2267">
        <v>4</v>
      </c>
      <c r="G2267">
        <v>4</v>
      </c>
    </row>
    <row r="2268" spans="1:7">
      <c r="A2268">
        <v>2615</v>
      </c>
      <c r="B2268" t="s">
        <v>5734</v>
      </c>
      <c r="C2268" t="s">
        <v>5679</v>
      </c>
      <c r="D2268">
        <v>44426</v>
      </c>
      <c r="E2268">
        <v>4</v>
      </c>
      <c r="F2268">
        <v>4</v>
      </c>
      <c r="G2268">
        <v>4</v>
      </c>
    </row>
    <row r="2269" spans="1:7">
      <c r="A2269">
        <v>1313</v>
      </c>
      <c r="B2269" t="s">
        <v>5991</v>
      </c>
      <c r="C2269" t="s">
        <v>5771</v>
      </c>
      <c r="D2269">
        <v>44426</v>
      </c>
      <c r="E2269">
        <v>6</v>
      </c>
      <c r="F2269">
        <v>6</v>
      </c>
      <c r="G2269">
        <v>6</v>
      </c>
    </row>
    <row r="2270" spans="1:7">
      <c r="A2270">
        <v>5608</v>
      </c>
      <c r="B2270" t="s">
        <v>6232</v>
      </c>
      <c r="C2270" t="s">
        <v>5679</v>
      </c>
      <c r="D2270">
        <v>44426</v>
      </c>
      <c r="E2270">
        <v>2</v>
      </c>
      <c r="F2270">
        <v>2</v>
      </c>
      <c r="G2270">
        <v>2</v>
      </c>
    </row>
    <row r="2271" spans="1:7">
      <c r="A2271">
        <v>6274</v>
      </c>
      <c r="B2271" t="s">
        <v>5999</v>
      </c>
      <c r="C2271" t="s">
        <v>5791</v>
      </c>
      <c r="D2271">
        <v>44426</v>
      </c>
      <c r="E2271">
        <v>7</v>
      </c>
      <c r="F2271">
        <v>7</v>
      </c>
      <c r="G2271">
        <v>7</v>
      </c>
    </row>
    <row r="2272" spans="1:7">
      <c r="A2272">
        <v>9921</v>
      </c>
      <c r="B2272" t="s">
        <v>6051</v>
      </c>
      <c r="C2272" t="s">
        <v>5664</v>
      </c>
      <c r="D2272">
        <v>44426</v>
      </c>
      <c r="E2272">
        <v>7</v>
      </c>
      <c r="F2272">
        <v>7</v>
      </c>
      <c r="G2272">
        <v>7</v>
      </c>
    </row>
    <row r="2273" spans="1:7">
      <c r="A2273">
        <v>4960</v>
      </c>
      <c r="B2273" t="s">
        <v>6059</v>
      </c>
      <c r="C2273" t="s">
        <v>5661</v>
      </c>
      <c r="D2273">
        <v>44426</v>
      </c>
      <c r="E2273">
        <v>7</v>
      </c>
      <c r="F2273">
        <v>7</v>
      </c>
      <c r="G2273">
        <v>7</v>
      </c>
    </row>
    <row r="2274" spans="1:7">
      <c r="A2274">
        <v>6568</v>
      </c>
      <c r="B2274" t="s">
        <v>6143</v>
      </c>
      <c r="C2274" t="s">
        <v>5690</v>
      </c>
      <c r="D2274">
        <v>44426</v>
      </c>
      <c r="E2274">
        <v>3</v>
      </c>
      <c r="F2274">
        <v>3</v>
      </c>
      <c r="G2274">
        <v>3</v>
      </c>
    </row>
    <row r="2275" spans="1:7">
      <c r="A2275">
        <v>2809</v>
      </c>
      <c r="B2275" t="s">
        <v>5810</v>
      </c>
      <c r="C2275" t="s">
        <v>5645</v>
      </c>
      <c r="D2275">
        <v>44426</v>
      </c>
      <c r="E2275">
        <v>15</v>
      </c>
      <c r="F2275">
        <v>15</v>
      </c>
      <c r="G2275">
        <v>15</v>
      </c>
    </row>
    <row r="2276" spans="1:7">
      <c r="A2276">
        <v>2489</v>
      </c>
      <c r="B2276" t="s">
        <v>5738</v>
      </c>
      <c r="C2276" t="s">
        <v>5661</v>
      </c>
      <c r="D2276">
        <v>44426</v>
      </c>
      <c r="E2276">
        <v>9</v>
      </c>
      <c r="F2276">
        <v>9</v>
      </c>
      <c r="G2276">
        <v>9</v>
      </c>
    </row>
    <row r="2277" spans="1:7">
      <c r="A2277">
        <v>2012</v>
      </c>
      <c r="B2277" t="s">
        <v>5908</v>
      </c>
      <c r="C2277" t="s">
        <v>5659</v>
      </c>
      <c r="D2277">
        <v>44426</v>
      </c>
      <c r="E2277">
        <v>4</v>
      </c>
      <c r="F2277">
        <v>4</v>
      </c>
      <c r="G2277">
        <v>4</v>
      </c>
    </row>
    <row r="2278" spans="1:7">
      <c r="A2278">
        <v>6244</v>
      </c>
      <c r="B2278" t="s">
        <v>6252</v>
      </c>
      <c r="C2278" t="s">
        <v>5807</v>
      </c>
      <c r="D2278">
        <v>44426</v>
      </c>
      <c r="E2278">
        <v>2</v>
      </c>
      <c r="F2278">
        <v>2</v>
      </c>
      <c r="G2278">
        <v>2</v>
      </c>
    </row>
    <row r="2279" spans="1:7">
      <c r="A2279">
        <v>2406</v>
      </c>
      <c r="B2279" t="s">
        <v>5762</v>
      </c>
      <c r="C2279" t="s">
        <v>5661</v>
      </c>
      <c r="D2279">
        <v>44426</v>
      </c>
      <c r="E2279">
        <v>6</v>
      </c>
      <c r="F2279">
        <v>6</v>
      </c>
      <c r="G2279">
        <v>6</v>
      </c>
    </row>
    <row r="2280" spans="1:7">
      <c r="A2280">
        <v>9904</v>
      </c>
      <c r="B2280" t="s">
        <v>5855</v>
      </c>
      <c r="C2280" t="s">
        <v>5664</v>
      </c>
      <c r="D2280">
        <v>44426</v>
      </c>
      <c r="E2280">
        <v>11</v>
      </c>
      <c r="F2280">
        <v>11</v>
      </c>
      <c r="G2280">
        <v>11</v>
      </c>
    </row>
    <row r="2281" spans="1:7">
      <c r="A2281">
        <v>2612</v>
      </c>
      <c r="B2281" t="s">
        <v>6256</v>
      </c>
      <c r="C2281" t="s">
        <v>5679</v>
      </c>
      <c r="D2281">
        <v>44426</v>
      </c>
      <c r="E2281">
        <v>2</v>
      </c>
      <c r="F2281">
        <v>2</v>
      </c>
      <c r="G2281">
        <v>2</v>
      </c>
    </row>
    <row r="2282" spans="1:7">
      <c r="A2282">
        <v>6525</v>
      </c>
      <c r="B2282" t="s">
        <v>6022</v>
      </c>
      <c r="C2282" t="s">
        <v>5666</v>
      </c>
      <c r="D2282">
        <v>44426</v>
      </c>
      <c r="E2282">
        <v>3</v>
      </c>
      <c r="F2282">
        <v>3</v>
      </c>
      <c r="G2282">
        <v>3</v>
      </c>
    </row>
    <row r="2283" spans="1:7">
      <c r="A2283">
        <v>6243</v>
      </c>
      <c r="B2283" t="s">
        <v>6131</v>
      </c>
      <c r="C2283" t="s">
        <v>5666</v>
      </c>
      <c r="D2283">
        <v>44426</v>
      </c>
      <c r="E2283">
        <v>3</v>
      </c>
      <c r="F2283">
        <v>3</v>
      </c>
      <c r="G2283">
        <v>3</v>
      </c>
    </row>
    <row r="2284" spans="1:7">
      <c r="A2284">
        <v>1714</v>
      </c>
      <c r="B2284" t="s">
        <v>5824</v>
      </c>
      <c r="C2284" t="s">
        <v>5733</v>
      </c>
      <c r="D2284">
        <v>44426</v>
      </c>
      <c r="E2284">
        <v>8</v>
      </c>
      <c r="F2284">
        <v>8</v>
      </c>
      <c r="G2284">
        <v>8</v>
      </c>
    </row>
    <row r="2285" spans="1:7">
      <c r="A2285">
        <v>6116</v>
      </c>
      <c r="B2285" t="s">
        <v>5898</v>
      </c>
      <c r="C2285" t="s">
        <v>5661</v>
      </c>
      <c r="D2285">
        <v>44426</v>
      </c>
      <c r="E2285">
        <v>7</v>
      </c>
      <c r="F2285">
        <v>7</v>
      </c>
      <c r="G2285">
        <v>7</v>
      </c>
    </row>
    <row r="2286" spans="1:7">
      <c r="A2286">
        <v>2454</v>
      </c>
      <c r="B2286" t="s">
        <v>5933</v>
      </c>
      <c r="C2286" t="s">
        <v>5666</v>
      </c>
      <c r="D2286">
        <v>44426</v>
      </c>
      <c r="E2286">
        <v>8</v>
      </c>
      <c r="F2286">
        <v>8</v>
      </c>
      <c r="G2286">
        <v>8</v>
      </c>
    </row>
    <row r="2287" spans="1:7">
      <c r="A2287">
        <v>9941</v>
      </c>
      <c r="B2287" t="s">
        <v>6214</v>
      </c>
      <c r="C2287" t="s">
        <v>5664</v>
      </c>
      <c r="D2287">
        <v>44426</v>
      </c>
      <c r="E2287">
        <v>2</v>
      </c>
      <c r="F2287">
        <v>2</v>
      </c>
      <c r="G2287">
        <v>2</v>
      </c>
    </row>
    <row r="2288" spans="1:7">
      <c r="A2288">
        <v>5309</v>
      </c>
      <c r="B2288" t="s">
        <v>5925</v>
      </c>
      <c r="C2288" t="s">
        <v>5791</v>
      </c>
      <c r="D2288">
        <v>44426</v>
      </c>
      <c r="E2288">
        <v>5</v>
      </c>
      <c r="F2288">
        <v>5</v>
      </c>
      <c r="G2288">
        <v>5</v>
      </c>
    </row>
    <row r="2289" spans="1:7">
      <c r="A2289">
        <v>3035</v>
      </c>
      <c r="B2289" t="s">
        <v>6212</v>
      </c>
      <c r="C2289" t="s">
        <v>5666</v>
      </c>
      <c r="D2289">
        <v>44426</v>
      </c>
      <c r="E2289">
        <v>2</v>
      </c>
      <c r="F2289">
        <v>2</v>
      </c>
      <c r="G2289">
        <v>2</v>
      </c>
    </row>
    <row r="2290" spans="1:7">
      <c r="A2290">
        <v>4956</v>
      </c>
      <c r="B2290" t="s">
        <v>6265</v>
      </c>
      <c r="C2290" t="s">
        <v>5661</v>
      </c>
      <c r="D2290">
        <v>44426</v>
      </c>
      <c r="E2290">
        <v>1</v>
      </c>
      <c r="F2290">
        <v>1</v>
      </c>
      <c r="G2290">
        <v>1</v>
      </c>
    </row>
    <row r="2291" spans="1:7">
      <c r="A2291">
        <v>1609</v>
      </c>
      <c r="B2291" t="s">
        <v>5980</v>
      </c>
      <c r="C2291" t="s">
        <v>5858</v>
      </c>
      <c r="D2291">
        <v>44426</v>
      </c>
      <c r="E2291">
        <v>9</v>
      </c>
      <c r="F2291">
        <v>9</v>
      </c>
      <c r="G2291">
        <v>9</v>
      </c>
    </row>
    <row r="2292" spans="1:7">
      <c r="A2292">
        <v>8289</v>
      </c>
      <c r="B2292" t="s">
        <v>5886</v>
      </c>
      <c r="C2292" t="s">
        <v>5791</v>
      </c>
      <c r="D2292">
        <v>44426</v>
      </c>
      <c r="E2292">
        <v>4</v>
      </c>
      <c r="F2292">
        <v>4</v>
      </c>
      <c r="G2292">
        <v>4</v>
      </c>
    </row>
    <row r="2293" spans="1:7">
      <c r="A2293">
        <v>5457</v>
      </c>
      <c r="B2293" t="s">
        <v>5818</v>
      </c>
      <c r="C2293" t="s">
        <v>5791</v>
      </c>
      <c r="D2293">
        <v>44426</v>
      </c>
      <c r="E2293">
        <v>8</v>
      </c>
      <c r="F2293">
        <v>8</v>
      </c>
      <c r="G2293">
        <v>8</v>
      </c>
    </row>
    <row r="2294" spans="1:7">
      <c r="A2294">
        <v>1444</v>
      </c>
      <c r="B2294" t="s">
        <v>5859</v>
      </c>
      <c r="C2294" t="s">
        <v>5706</v>
      </c>
      <c r="D2294">
        <v>44426</v>
      </c>
      <c r="E2294">
        <v>6</v>
      </c>
      <c r="F2294">
        <v>6</v>
      </c>
      <c r="G2294">
        <v>6</v>
      </c>
    </row>
    <row r="2295" spans="1:7">
      <c r="A2295">
        <v>6672</v>
      </c>
      <c r="B2295" t="s">
        <v>5846</v>
      </c>
      <c r="C2295" t="s">
        <v>5675</v>
      </c>
      <c r="D2295">
        <v>44426</v>
      </c>
      <c r="E2295">
        <v>3</v>
      </c>
      <c r="F2295">
        <v>3</v>
      </c>
      <c r="G2295">
        <v>3</v>
      </c>
    </row>
    <row r="2296" spans="1:7">
      <c r="A2296">
        <v>3044</v>
      </c>
      <c r="B2296" t="s">
        <v>6266</v>
      </c>
      <c r="C2296" t="s">
        <v>5675</v>
      </c>
      <c r="D2296">
        <v>44426</v>
      </c>
      <c r="E2296">
        <v>1</v>
      </c>
      <c r="F2296">
        <v>1</v>
      </c>
      <c r="G2296">
        <v>1</v>
      </c>
    </row>
    <row r="2297" spans="1:7">
      <c r="A2297">
        <v>3702</v>
      </c>
      <c r="B2297" t="s">
        <v>5686</v>
      </c>
      <c r="C2297" t="s">
        <v>5687</v>
      </c>
      <c r="D2297">
        <v>44426</v>
      </c>
      <c r="E2297">
        <v>16</v>
      </c>
      <c r="F2297">
        <v>16</v>
      </c>
      <c r="G2297">
        <v>16</v>
      </c>
    </row>
    <row r="2298" spans="1:7">
      <c r="A2298">
        <v>2484</v>
      </c>
      <c r="B2298" t="s">
        <v>5710</v>
      </c>
      <c r="C2298" t="s">
        <v>5675</v>
      </c>
      <c r="D2298">
        <v>44426</v>
      </c>
      <c r="E2298">
        <v>5</v>
      </c>
      <c r="F2298">
        <v>5</v>
      </c>
      <c r="G2298">
        <v>5</v>
      </c>
    </row>
    <row r="2299" spans="1:7">
      <c r="A2299">
        <v>8112</v>
      </c>
      <c r="B2299" t="s">
        <v>6029</v>
      </c>
      <c r="C2299" t="s">
        <v>5687</v>
      </c>
      <c r="D2299">
        <v>44426</v>
      </c>
      <c r="E2299">
        <v>6</v>
      </c>
      <c r="F2299">
        <v>6</v>
      </c>
      <c r="G2299">
        <v>6</v>
      </c>
    </row>
    <row r="2300" spans="1:7">
      <c r="A2300">
        <v>3105</v>
      </c>
      <c r="B2300" t="s">
        <v>6084</v>
      </c>
      <c r="C2300" t="s">
        <v>5690</v>
      </c>
      <c r="D2300">
        <v>44426</v>
      </c>
      <c r="E2300">
        <v>4</v>
      </c>
      <c r="F2300">
        <v>4</v>
      </c>
      <c r="G2300">
        <v>4</v>
      </c>
    </row>
    <row r="2301" spans="1:7">
      <c r="A2301">
        <v>6215</v>
      </c>
      <c r="B2301" t="s">
        <v>6267</v>
      </c>
      <c r="C2301" t="s">
        <v>5692</v>
      </c>
      <c r="D2301">
        <v>44426</v>
      </c>
      <c r="E2301">
        <v>1</v>
      </c>
      <c r="F2301">
        <v>1</v>
      </c>
      <c r="G2301">
        <v>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1"/>
  <sheetViews>
    <sheetView workbookViewId="0">
      <selection activeCell="L25" sqref="L25"/>
    </sheetView>
  </sheetViews>
  <sheetFormatPr defaultColWidth="9.125" defaultRowHeight="16.2"/>
  <cols>
    <col min="1" max="1" width="14.75" style="363" customWidth="1"/>
    <col min="2" max="2" width="35.75" style="300" customWidth="1"/>
    <col min="3" max="3" width="8.75" style="304" customWidth="1"/>
    <col min="4" max="16384" width="9.125" style="362"/>
  </cols>
  <sheetData>
    <row r="1" spans="1:3" s="301" customFormat="1">
      <c r="A1" s="304" t="s">
        <v>6790</v>
      </c>
      <c r="B1" s="304" t="s">
        <v>6779</v>
      </c>
      <c r="C1" s="304" t="s">
        <v>6789</v>
      </c>
    </row>
    <row r="2" spans="1:3">
      <c r="A2" s="363">
        <v>101</v>
      </c>
      <c r="B2" s="300" t="s">
        <v>6778</v>
      </c>
      <c r="C2" s="304">
        <v>72</v>
      </c>
    </row>
    <row r="3" spans="1:3">
      <c r="A3" s="363">
        <v>102</v>
      </c>
      <c r="B3" s="300" t="s">
        <v>6780</v>
      </c>
      <c r="C3" s="304">
        <v>183</v>
      </c>
    </row>
    <row r="4" spans="1:3">
      <c r="A4" s="363">
        <v>103</v>
      </c>
      <c r="B4" s="300" t="s">
        <v>6781</v>
      </c>
      <c r="C4" s="304">
        <v>499</v>
      </c>
    </row>
    <row r="5" spans="1:3">
      <c r="A5" s="363">
        <v>104</v>
      </c>
      <c r="B5" s="300" t="s">
        <v>6782</v>
      </c>
      <c r="C5" s="304">
        <v>567</v>
      </c>
    </row>
    <row r="6" spans="1:3">
      <c r="A6" s="363">
        <v>105</v>
      </c>
      <c r="B6" s="300" t="s">
        <v>6783</v>
      </c>
      <c r="C6" s="304">
        <v>494</v>
      </c>
    </row>
    <row r="7" spans="1:3">
      <c r="A7" s="363">
        <v>106</v>
      </c>
      <c r="B7" s="300" t="s">
        <v>6784</v>
      </c>
      <c r="C7" s="304">
        <v>178</v>
      </c>
    </row>
    <row r="8" spans="1:3">
      <c r="A8" s="363">
        <v>107</v>
      </c>
      <c r="B8" s="300" t="s">
        <v>6785</v>
      </c>
      <c r="C8" s="304">
        <v>44</v>
      </c>
    </row>
    <row r="9" spans="1:3">
      <c r="A9" s="363">
        <v>108</v>
      </c>
      <c r="B9" s="300" t="s">
        <v>6786</v>
      </c>
      <c r="C9" s="304">
        <v>0</v>
      </c>
    </row>
    <row r="10" spans="1:3">
      <c r="A10" s="363">
        <v>109</v>
      </c>
      <c r="B10" s="300" t="s">
        <v>6787</v>
      </c>
      <c r="C10" s="304">
        <v>44</v>
      </c>
    </row>
    <row r="11" spans="1:3">
      <c r="A11" s="363">
        <v>110</v>
      </c>
      <c r="B11" s="300" t="s">
        <v>6788</v>
      </c>
      <c r="C11" s="304">
        <v>176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/>
  </sheetViews>
  <sheetFormatPr defaultRowHeight="15"/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X4818"/>
  <sheetViews>
    <sheetView workbookViewId="0">
      <selection activeCell="V3" sqref="V3"/>
    </sheetView>
  </sheetViews>
  <sheetFormatPr defaultColWidth="9.125" defaultRowHeight="16.2"/>
  <cols>
    <col min="1" max="1" width="5.75" style="135" customWidth="1"/>
    <col min="2" max="5" width="5.75" style="97" customWidth="1"/>
    <col min="6" max="6" width="8.75" style="66" customWidth="1"/>
    <col min="7" max="7" width="7.75" style="20" customWidth="1"/>
    <col min="8" max="8" width="5.75" style="13" customWidth="1"/>
    <col min="9" max="9" width="9.75" style="10" customWidth="1"/>
    <col min="10" max="10" width="6.75" style="32" customWidth="1"/>
    <col min="11" max="11" width="6.75" style="367" customWidth="1"/>
    <col min="12" max="12" width="6.75" style="77" customWidth="1"/>
    <col min="13" max="13" width="6.75" style="365" customWidth="1"/>
    <col min="14" max="14" width="7.75" style="367" customWidth="1"/>
    <col min="15" max="15" width="7.75" style="343" customWidth="1"/>
    <col min="16" max="16" width="5.75" style="166" customWidth="1"/>
    <col min="17" max="17" width="4.75" style="109" customWidth="1"/>
    <col min="18" max="18" width="4.75" style="31" customWidth="1"/>
    <col min="19" max="19" width="4.75" style="51" customWidth="1"/>
    <col min="20" max="20" width="5.75" style="339" customWidth="1"/>
    <col min="21" max="21" width="2.75" style="329" customWidth="1"/>
    <col min="22" max="22" width="6.75" style="371" customWidth="1"/>
    <col min="23" max="23" width="7.75" style="64" customWidth="1"/>
    <col min="24" max="24" width="7.75" style="240" customWidth="1"/>
    <col min="25" max="25" width="9.75" style="285" customWidth="1"/>
    <col min="26" max="26" width="9.75" style="72" customWidth="1"/>
    <col min="27" max="27" width="9.75" style="61" customWidth="1"/>
    <col min="28" max="28" width="8.75" style="12" customWidth="1"/>
    <col min="29" max="29" width="6.75" style="104" customWidth="1"/>
    <col min="30" max="30" width="8.75" style="10" customWidth="1"/>
    <col min="31" max="31" width="11.75" style="89" customWidth="1"/>
    <col min="32" max="32" width="11.75" style="88" customWidth="1"/>
    <col min="33" max="33" width="3.75" style="82" customWidth="1"/>
    <col min="34" max="34" width="3.75" style="284" customWidth="1"/>
    <col min="35" max="35" width="2.75" style="129" customWidth="1"/>
    <col min="36" max="36" width="2.75" style="264" customWidth="1"/>
    <col min="37" max="37" width="7.75" style="252" customWidth="1"/>
    <col min="38" max="38" width="7.75" style="266" customWidth="1"/>
    <col min="39" max="40" width="7.75" style="284" customWidth="1"/>
    <col min="41" max="41" width="12.75" style="252" customWidth="1"/>
    <col min="42" max="42" width="5.75" style="266" customWidth="1"/>
    <col min="43" max="16384" width="9.125" style="284"/>
  </cols>
  <sheetData>
    <row r="1" spans="1:50">
      <c r="A1" s="135" t="s">
        <v>2552</v>
      </c>
      <c r="B1" s="96" t="s">
        <v>2331</v>
      </c>
      <c r="C1" s="96" t="s">
        <v>2332</v>
      </c>
      <c r="D1" s="96" t="s">
        <v>2333</v>
      </c>
      <c r="E1" s="96" t="s">
        <v>2334</v>
      </c>
      <c r="F1" s="9" t="s">
        <v>1709</v>
      </c>
      <c r="G1" s="27" t="s">
        <v>5626</v>
      </c>
      <c r="H1" s="56" t="s">
        <v>578</v>
      </c>
      <c r="I1" s="24" t="s">
        <v>6792</v>
      </c>
      <c r="J1" s="364" t="s">
        <v>2189</v>
      </c>
      <c r="K1" s="364" t="s">
        <v>1820</v>
      </c>
      <c r="L1" s="364" t="s">
        <v>515</v>
      </c>
      <c r="M1" s="364" t="s">
        <v>1699</v>
      </c>
      <c r="N1" s="364" t="s">
        <v>6633</v>
      </c>
      <c r="O1" s="343" t="s">
        <v>6634</v>
      </c>
      <c r="P1" s="83" t="s">
        <v>5279</v>
      </c>
      <c r="Q1" s="326" t="s">
        <v>5514</v>
      </c>
      <c r="R1" s="31" t="s">
        <v>6596</v>
      </c>
      <c r="S1" s="51" t="s">
        <v>6597</v>
      </c>
      <c r="T1" s="338" t="s">
        <v>5627</v>
      </c>
      <c r="U1" s="330" t="s">
        <v>6537</v>
      </c>
      <c r="V1" s="377" t="s">
        <v>6616</v>
      </c>
      <c r="W1" s="11" t="s">
        <v>127</v>
      </c>
      <c r="X1" s="71" t="s">
        <v>6626</v>
      </c>
      <c r="Y1" s="29" t="s">
        <v>6688</v>
      </c>
      <c r="Z1" s="18" t="s">
        <v>2113</v>
      </c>
      <c r="AA1" s="15" t="s">
        <v>8</v>
      </c>
      <c r="AB1" s="22" t="s">
        <v>4</v>
      </c>
      <c r="AC1" s="26" t="s">
        <v>211</v>
      </c>
      <c r="AD1" s="24" t="s">
        <v>6792</v>
      </c>
      <c r="AE1" s="56" t="s">
        <v>5568</v>
      </c>
      <c r="AF1" s="114" t="s">
        <v>5575</v>
      </c>
      <c r="AG1" s="33" t="s">
        <v>1827</v>
      </c>
      <c r="AH1" s="262" t="s">
        <v>6753</v>
      </c>
      <c r="AI1" s="284"/>
      <c r="AK1" s="9" t="s">
        <v>6666</v>
      </c>
      <c r="AL1" s="5" t="s">
        <v>6667</v>
      </c>
      <c r="AM1" s="51" t="s">
        <v>5339</v>
      </c>
      <c r="AN1" s="276" t="s">
        <v>6665</v>
      </c>
      <c r="AO1" s="131"/>
      <c r="AP1" s="264"/>
    </row>
    <row r="2" spans="1:50">
      <c r="A2" s="135" t="s">
        <v>3107</v>
      </c>
      <c r="B2" s="85">
        <v>-66</v>
      </c>
      <c r="C2" s="85">
        <v>-67</v>
      </c>
      <c r="D2" s="84">
        <v>33</v>
      </c>
      <c r="E2" s="85">
        <v>-17</v>
      </c>
      <c r="F2" s="59">
        <v>16.88</v>
      </c>
      <c r="G2" s="84">
        <v>6538</v>
      </c>
      <c r="H2" s="9" t="s">
        <v>559</v>
      </c>
      <c r="I2" s="17" t="s">
        <v>794</v>
      </c>
      <c r="J2" s="77">
        <v>10.039999999999999</v>
      </c>
      <c r="K2" s="371">
        <v>4.68</v>
      </c>
      <c r="L2" s="77">
        <v>28.76</v>
      </c>
      <c r="M2" s="77">
        <v>13.45</v>
      </c>
      <c r="N2" s="365">
        <f t="shared" ref="N2:N3" si="0">J2+K2+L2+M2</f>
        <v>56.930000000000007</v>
      </c>
      <c r="O2" s="343">
        <f t="shared" ref="O2:O3" si="1">J2+M2</f>
        <v>23.49</v>
      </c>
      <c r="P2" s="195">
        <v>1</v>
      </c>
      <c r="Q2" s="326">
        <v>2</v>
      </c>
      <c r="R2" s="111">
        <v>11</v>
      </c>
      <c r="S2" s="51">
        <v>11</v>
      </c>
      <c r="T2" s="339">
        <f t="shared" ref="T2:T3" si="2">SUM(P2:S2)</f>
        <v>25</v>
      </c>
      <c r="U2" s="329" t="s">
        <v>6539</v>
      </c>
      <c r="V2" s="77">
        <v>3.33</v>
      </c>
      <c r="W2" s="69">
        <v>7</v>
      </c>
      <c r="X2" s="100">
        <v>5.16</v>
      </c>
      <c r="Y2" s="37" t="str">
        <f>RTD("money.excel",,"6538","Price")</f>
        <v>無資料</v>
      </c>
      <c r="Z2" s="69"/>
      <c r="AA2" s="16" t="e">
        <f t="shared" ref="AA2:AA3" si="3">Y2-Z2</f>
        <v>#VALUE!</v>
      </c>
      <c r="AB2" s="3" t="e">
        <f t="shared" ref="AB2:AB3" si="4">AA2/Z2</f>
        <v>#VALUE!</v>
      </c>
      <c r="AC2" s="177" t="s">
        <v>6915</v>
      </c>
      <c r="AD2" s="17" t="s">
        <v>794</v>
      </c>
      <c r="AE2" s="89">
        <v>44559</v>
      </c>
      <c r="AG2" s="34">
        <f t="shared" ref="AG2:AG3" si="5">AF2-AE2</f>
        <v>-44559</v>
      </c>
      <c r="AH2" s="63" t="s">
        <v>2640</v>
      </c>
      <c r="AI2" s="131"/>
      <c r="AK2" s="66">
        <f t="shared" ref="AK2:AK3" si="6">AM2/(A2*10000)</f>
        <v>0</v>
      </c>
      <c r="AL2" s="174">
        <f t="shared" ref="AL2:AL3" si="7">AN2/(A2*10000)</f>
        <v>0</v>
      </c>
      <c r="AM2" s="346">
        <f>RTD("money.excel",,$G2,"PredictVolume")</f>
        <v>0</v>
      </c>
      <c r="AN2" s="272">
        <f>RTD("money.excel",,$G2,"CumulativeVolume")</f>
        <v>0</v>
      </c>
      <c r="AO2" s="284"/>
      <c r="AP2" s="284"/>
    </row>
    <row r="3" spans="1:50">
      <c r="A3" s="135" t="s">
        <v>2726</v>
      </c>
      <c r="B3" s="84">
        <v>5</v>
      </c>
      <c r="C3" s="85">
        <v>-8</v>
      </c>
      <c r="D3" s="85">
        <v>-5</v>
      </c>
      <c r="E3" s="85">
        <v>-44</v>
      </c>
      <c r="F3" s="59">
        <v>20.440000000000001</v>
      </c>
      <c r="G3" s="84">
        <v>3669</v>
      </c>
      <c r="H3" s="9" t="s">
        <v>557</v>
      </c>
      <c r="I3" s="23" t="s">
        <v>1723</v>
      </c>
      <c r="J3" s="371">
        <v>54.51</v>
      </c>
      <c r="K3" s="77">
        <v>1.63</v>
      </c>
      <c r="L3" s="371">
        <v>14.45</v>
      </c>
      <c r="M3" s="371">
        <v>36.6</v>
      </c>
      <c r="N3" s="365">
        <f t="shared" si="0"/>
        <v>107.19</v>
      </c>
      <c r="O3" s="369">
        <f t="shared" si="1"/>
        <v>91.11</v>
      </c>
      <c r="P3" s="195">
        <v>9</v>
      </c>
      <c r="Q3" s="326">
        <v>9</v>
      </c>
      <c r="R3" s="111">
        <v>27</v>
      </c>
      <c r="S3" s="51">
        <v>16</v>
      </c>
      <c r="T3" s="339">
        <f t="shared" si="2"/>
        <v>61</v>
      </c>
      <c r="U3" s="329" t="s">
        <v>6539</v>
      </c>
      <c r="V3" s="77">
        <v>2.4700000000000002</v>
      </c>
      <c r="W3" s="69">
        <v>5</v>
      </c>
      <c r="X3" s="59">
        <v>8.8000000000000007</v>
      </c>
      <c r="Y3" s="37" t="str">
        <f>RTD("money.excel",,"3669","Price")</f>
        <v>無資料</v>
      </c>
      <c r="Z3" s="69"/>
      <c r="AA3" s="16" t="e">
        <f t="shared" si="3"/>
        <v>#VALUE!</v>
      </c>
      <c r="AB3" s="3" t="e">
        <f t="shared" si="4"/>
        <v>#VALUE!</v>
      </c>
      <c r="AC3" s="177" t="s">
        <v>6916</v>
      </c>
      <c r="AD3" s="23" t="s">
        <v>1723</v>
      </c>
      <c r="AE3" s="89">
        <v>44559</v>
      </c>
      <c r="AG3" s="34">
        <f t="shared" si="5"/>
        <v>-44559</v>
      </c>
      <c r="AH3" s="126" t="s">
        <v>3012</v>
      </c>
      <c r="AI3" s="131"/>
      <c r="AK3" s="66">
        <f t="shared" si="6"/>
        <v>0</v>
      </c>
      <c r="AL3" s="174">
        <f t="shared" si="7"/>
        <v>0</v>
      </c>
      <c r="AM3" s="346">
        <f>RTD("money.excel",,$G3,"PredictVolume")</f>
        <v>0</v>
      </c>
      <c r="AN3" s="272">
        <f>RTD("money.excel",,$G3,"CumulativeVolume")</f>
        <v>0</v>
      </c>
      <c r="AO3" s="284"/>
      <c r="AP3" s="284"/>
    </row>
    <row r="4" spans="1:50">
      <c r="B4" s="96"/>
      <c r="C4" s="96"/>
      <c r="D4" s="96"/>
      <c r="E4" s="96"/>
      <c r="F4" s="9"/>
      <c r="G4" s="27"/>
      <c r="H4" s="56"/>
      <c r="I4" s="24"/>
      <c r="J4" s="364"/>
      <c r="K4" s="364"/>
      <c r="L4" s="364"/>
      <c r="M4" s="364"/>
      <c r="N4" s="364"/>
      <c r="P4" s="83"/>
      <c r="Q4" s="326"/>
      <c r="T4" s="338"/>
      <c r="U4" s="330"/>
      <c r="V4" s="377"/>
      <c r="W4" s="11"/>
      <c r="X4" s="71"/>
      <c r="Y4" s="29"/>
      <c r="Z4" s="18"/>
      <c r="AA4" s="15"/>
      <c r="AB4" s="22"/>
      <c r="AC4" s="26"/>
      <c r="AD4" s="24"/>
      <c r="AE4" s="56"/>
      <c r="AF4" s="114"/>
      <c r="AG4" s="33"/>
      <c r="AH4" s="262"/>
      <c r="AI4" s="284"/>
      <c r="AK4" s="9"/>
      <c r="AL4" s="5"/>
      <c r="AM4" s="51"/>
      <c r="AN4" s="276"/>
      <c r="AO4" s="131"/>
      <c r="AP4" s="264"/>
    </row>
    <row r="5" spans="1:50">
      <c r="A5" s="135" t="s">
        <v>2726</v>
      </c>
      <c r="B5" s="84">
        <v>5</v>
      </c>
      <c r="C5" s="85">
        <v>-8</v>
      </c>
      <c r="D5" s="85">
        <v>-5</v>
      </c>
      <c r="E5" s="85">
        <v>-44</v>
      </c>
      <c r="F5" s="59">
        <v>20.440000000000001</v>
      </c>
      <c r="G5" s="84">
        <v>3669</v>
      </c>
      <c r="H5" s="9" t="s">
        <v>557</v>
      </c>
      <c r="I5" s="23" t="s">
        <v>1723</v>
      </c>
      <c r="J5" s="371">
        <v>54.51</v>
      </c>
      <c r="K5" s="77">
        <v>1.73</v>
      </c>
      <c r="L5" s="371">
        <v>13.95</v>
      </c>
      <c r="M5" s="371">
        <v>36.6</v>
      </c>
      <c r="N5" s="365">
        <f t="shared" ref="N5:N6" si="8">J5+K5+L5+M5</f>
        <v>106.78999999999999</v>
      </c>
      <c r="O5" s="369">
        <f t="shared" ref="O5:O6" si="9">J5+M5</f>
        <v>91.11</v>
      </c>
      <c r="P5" s="195">
        <v>9</v>
      </c>
      <c r="Q5" s="326">
        <v>9</v>
      </c>
      <c r="R5" s="111">
        <v>27</v>
      </c>
      <c r="S5" s="51">
        <v>16</v>
      </c>
      <c r="T5" s="339">
        <f t="shared" ref="T5:T6" si="10">SUM(P5:S5)</f>
        <v>61</v>
      </c>
      <c r="U5" s="329" t="s">
        <v>6539</v>
      </c>
      <c r="V5" s="77">
        <v>2.4300000000000002</v>
      </c>
      <c r="W5" s="69">
        <v>5</v>
      </c>
      <c r="X5" s="59">
        <v>8.8000000000000007</v>
      </c>
      <c r="Y5" s="37" t="str">
        <f>RTD("money.excel",,"3669","Price")</f>
        <v>無資料</v>
      </c>
      <c r="Z5" s="69">
        <v>65.599999999999994</v>
      </c>
      <c r="AA5" s="16" t="e">
        <f t="shared" ref="AA5:AA6" si="11">Y5-Z5</f>
        <v>#VALUE!</v>
      </c>
      <c r="AB5" s="3" t="e">
        <f t="shared" ref="AB5:AB6" si="12">AA5/Z5</f>
        <v>#VALUE!</v>
      </c>
      <c r="AC5" s="177" t="s">
        <v>6897</v>
      </c>
      <c r="AD5" s="23" t="s">
        <v>1723</v>
      </c>
      <c r="AE5" s="89">
        <v>44558</v>
      </c>
      <c r="AG5" s="34">
        <f t="shared" ref="AG5:AG6" si="13">AF5-AE5</f>
        <v>-44558</v>
      </c>
      <c r="AH5" s="126" t="s">
        <v>3012</v>
      </c>
      <c r="AI5" s="131"/>
      <c r="AK5" s="66">
        <f t="shared" ref="AK5:AK6" si="14">AM5/(A5*10000)</f>
        <v>0</v>
      </c>
      <c r="AL5" s="174">
        <f t="shared" ref="AL5:AL6" si="15">AN5/(A5*10000)</f>
        <v>0</v>
      </c>
      <c r="AM5" s="346">
        <f>RTD("money.excel",,$G5,"PredictVolume")</f>
        <v>0</v>
      </c>
      <c r="AN5" s="272">
        <f>RTD("money.excel",,$G5,"CumulativeVolume")</f>
        <v>0</v>
      </c>
      <c r="AO5" s="284"/>
      <c r="AP5" s="284"/>
    </row>
    <row r="6" spans="1:50">
      <c r="A6" s="135" t="s">
        <v>6420</v>
      </c>
      <c r="B6" s="84">
        <v>509</v>
      </c>
      <c r="C6" s="84">
        <v>556</v>
      </c>
      <c r="D6" s="85">
        <v>-4</v>
      </c>
      <c r="E6" s="84">
        <v>73</v>
      </c>
      <c r="F6" s="59">
        <v>35.78</v>
      </c>
      <c r="G6" s="85">
        <v>6531</v>
      </c>
      <c r="H6" s="5" t="s">
        <v>558</v>
      </c>
      <c r="I6" s="23" t="s">
        <v>639</v>
      </c>
      <c r="J6" s="371">
        <v>52.01</v>
      </c>
      <c r="K6" s="77">
        <v>20.55</v>
      </c>
      <c r="L6" s="371">
        <v>44.63</v>
      </c>
      <c r="M6" s="371">
        <v>18.64</v>
      </c>
      <c r="N6" s="77">
        <f t="shared" si="8"/>
        <v>135.82999999999998</v>
      </c>
      <c r="O6" s="343">
        <f t="shared" si="9"/>
        <v>70.650000000000006</v>
      </c>
      <c r="P6" s="195">
        <v>12</v>
      </c>
      <c r="Q6" s="326">
        <v>32</v>
      </c>
      <c r="R6" s="111">
        <v>25</v>
      </c>
      <c r="S6" s="51">
        <v>51</v>
      </c>
      <c r="T6" s="339">
        <f t="shared" si="10"/>
        <v>120</v>
      </c>
      <c r="U6" s="329" t="s">
        <v>6540</v>
      </c>
      <c r="V6" s="77">
        <v>14.02</v>
      </c>
      <c r="W6" s="69">
        <v>5</v>
      </c>
      <c r="X6" s="59">
        <v>22.25</v>
      </c>
      <c r="Y6" s="37" t="str">
        <f>RTD("money.excel",,"6531","Price")</f>
        <v>無資料</v>
      </c>
      <c r="Z6" s="69">
        <v>501</v>
      </c>
      <c r="AA6" s="16" t="e">
        <f t="shared" si="11"/>
        <v>#VALUE!</v>
      </c>
      <c r="AB6" s="3" t="e">
        <f t="shared" si="12"/>
        <v>#VALUE!</v>
      </c>
      <c r="AC6" s="177" t="s">
        <v>6886</v>
      </c>
      <c r="AD6" s="23" t="s">
        <v>639</v>
      </c>
      <c r="AE6" s="89">
        <v>44558</v>
      </c>
      <c r="AG6" s="34">
        <f t="shared" si="13"/>
        <v>-44558</v>
      </c>
      <c r="AH6" s="63" t="s">
        <v>3400</v>
      </c>
      <c r="AI6" s="131"/>
      <c r="AK6" s="66">
        <f t="shared" si="14"/>
        <v>0</v>
      </c>
      <c r="AL6" s="174">
        <f t="shared" si="15"/>
        <v>0</v>
      </c>
      <c r="AM6" s="346">
        <f>RTD("money.excel",,$G6,"PredictVolume")</f>
        <v>0</v>
      </c>
      <c r="AN6" s="272">
        <f>RTD("money.excel",,$G6,"CumulativeVolume")</f>
        <v>0</v>
      </c>
      <c r="AO6" s="284"/>
      <c r="AP6" s="284"/>
    </row>
    <row r="7" spans="1:50">
      <c r="A7" s="135" t="s">
        <v>3107</v>
      </c>
      <c r="B7" s="85">
        <v>-66</v>
      </c>
      <c r="C7" s="85">
        <v>-67</v>
      </c>
      <c r="D7" s="84">
        <v>33</v>
      </c>
      <c r="E7" s="85">
        <v>-17</v>
      </c>
      <c r="F7" s="59">
        <v>16.88</v>
      </c>
      <c r="G7" s="84">
        <v>6538</v>
      </c>
      <c r="H7" s="9" t="s">
        <v>559</v>
      </c>
      <c r="I7" s="17" t="s">
        <v>794</v>
      </c>
      <c r="J7" s="77">
        <v>10.039999999999999</v>
      </c>
      <c r="K7" s="77">
        <v>4.54</v>
      </c>
      <c r="L7" s="77">
        <v>28.43</v>
      </c>
      <c r="M7" s="77">
        <v>13.45</v>
      </c>
      <c r="N7" s="365">
        <f t="shared" ref="N7" si="16">J7+K7+L7+M7</f>
        <v>56.459999999999994</v>
      </c>
      <c r="O7" s="343">
        <f t="shared" ref="O7" si="17">J7+M7</f>
        <v>23.49</v>
      </c>
      <c r="P7" s="195">
        <v>1</v>
      </c>
      <c r="Q7" s="326">
        <v>2</v>
      </c>
      <c r="R7" s="111">
        <v>11</v>
      </c>
      <c r="S7" s="51">
        <v>10</v>
      </c>
      <c r="T7" s="339">
        <f t="shared" ref="T7" si="18">SUM(P7:S7)</f>
        <v>24</v>
      </c>
      <c r="U7" s="329" t="s">
        <v>6539</v>
      </c>
      <c r="V7" s="77">
        <v>3.12</v>
      </c>
      <c r="W7" s="69">
        <v>7</v>
      </c>
      <c r="X7" s="100">
        <v>5.16</v>
      </c>
      <c r="Y7" s="37" t="str">
        <f>RTD("money.excel",,"6538","Price")</f>
        <v>無資料</v>
      </c>
      <c r="Z7" s="69">
        <v>94.6</v>
      </c>
      <c r="AA7" s="16" t="e">
        <f t="shared" ref="AA7" si="19">Y7-Z7</f>
        <v>#VALUE!</v>
      </c>
      <c r="AB7" s="3" t="e">
        <f t="shared" ref="AB7" si="20">AA7/Z7</f>
        <v>#VALUE!</v>
      </c>
      <c r="AC7" s="177" t="s">
        <v>6822</v>
      </c>
      <c r="AD7" s="17" t="s">
        <v>794</v>
      </c>
      <c r="AE7" s="89">
        <v>44557</v>
      </c>
      <c r="AG7" s="34">
        <f t="shared" ref="AG7" si="21">AF7-AE7</f>
        <v>-44557</v>
      </c>
      <c r="AH7" s="63" t="s">
        <v>2640</v>
      </c>
      <c r="AI7" s="131"/>
      <c r="AK7" s="66">
        <f t="shared" ref="AK7" si="22">AM7/(A7*10000)</f>
        <v>0</v>
      </c>
      <c r="AL7" s="174">
        <f t="shared" ref="AL7" si="23">AN7/(A7*10000)</f>
        <v>0</v>
      </c>
      <c r="AM7" s="346">
        <f>RTD("money.excel",,$G7,"PredictVolume")</f>
        <v>0</v>
      </c>
      <c r="AN7" s="272">
        <f>RTD("money.excel",,$G7,"CumulativeVolume")</f>
        <v>0</v>
      </c>
      <c r="AO7" s="284"/>
      <c r="AP7" s="284"/>
    </row>
    <row r="8" spans="1:50">
      <c r="A8" s="135" t="s">
        <v>3107</v>
      </c>
      <c r="B8" s="85">
        <v>-66</v>
      </c>
      <c r="C8" s="85">
        <v>-67</v>
      </c>
      <c r="D8" s="84">
        <v>33</v>
      </c>
      <c r="E8" s="85">
        <v>-17</v>
      </c>
      <c r="F8" s="59">
        <v>16.88</v>
      </c>
      <c r="G8" s="84">
        <v>6538</v>
      </c>
      <c r="H8" s="9" t="s">
        <v>559</v>
      </c>
      <c r="I8" s="17" t="s">
        <v>794</v>
      </c>
      <c r="J8" s="77">
        <v>10.4</v>
      </c>
      <c r="K8" s="77">
        <v>4.54</v>
      </c>
      <c r="L8" s="77">
        <v>28.43</v>
      </c>
      <c r="M8" s="77">
        <v>13.45</v>
      </c>
      <c r="N8" s="365">
        <f t="shared" ref="N8:N9" si="24">J8+K8+L8+M8</f>
        <v>56.820000000000007</v>
      </c>
      <c r="O8" s="343">
        <f t="shared" ref="O8:O9" si="25">J8+M8</f>
        <v>23.85</v>
      </c>
      <c r="P8" s="195">
        <v>1</v>
      </c>
      <c r="Q8" s="326">
        <v>2</v>
      </c>
      <c r="R8" s="111">
        <v>11</v>
      </c>
      <c r="S8" s="51">
        <v>10</v>
      </c>
      <c r="T8" s="339">
        <f t="shared" ref="T8:T9" si="26">SUM(P8:S8)</f>
        <v>24</v>
      </c>
      <c r="U8" s="329" t="s">
        <v>6539</v>
      </c>
      <c r="V8" s="77">
        <v>3.12</v>
      </c>
      <c r="W8" s="69">
        <v>7</v>
      </c>
      <c r="X8" s="100">
        <v>5.16</v>
      </c>
      <c r="Y8" s="37" t="str">
        <f>RTD("money.excel",,"6538","Price")</f>
        <v>無資料</v>
      </c>
      <c r="Z8" s="69">
        <v>96</v>
      </c>
      <c r="AA8" s="16" t="e">
        <f t="shared" ref="AA8:AA9" si="27">Y8-Z8</f>
        <v>#VALUE!</v>
      </c>
      <c r="AB8" s="3" t="e">
        <f t="shared" ref="AB8:AB9" si="28">AA8/Z8</f>
        <v>#VALUE!</v>
      </c>
      <c r="AC8" s="177" t="s">
        <v>6822</v>
      </c>
      <c r="AD8" s="17" t="s">
        <v>794</v>
      </c>
      <c r="AE8" s="89">
        <v>44554</v>
      </c>
      <c r="AG8" s="34">
        <f t="shared" ref="AG8:AG9" si="29">AF8-AE8</f>
        <v>-44554</v>
      </c>
      <c r="AH8" s="63" t="s">
        <v>2640</v>
      </c>
      <c r="AI8" s="131"/>
      <c r="AK8" s="66">
        <f t="shared" ref="AK8:AK9" si="30">AM8/(A8*10000)</f>
        <v>0</v>
      </c>
      <c r="AL8" s="174">
        <f t="shared" ref="AL8:AL9" si="31">AN8/(A8*10000)</f>
        <v>0</v>
      </c>
      <c r="AM8" s="346">
        <f>RTD("money.excel",,$G8,"PredictVolume")</f>
        <v>0</v>
      </c>
      <c r="AN8" s="272">
        <f>RTD("money.excel",,$G8,"CumulativeVolume")</f>
        <v>0</v>
      </c>
      <c r="AO8" s="284"/>
      <c r="AP8" s="284"/>
    </row>
    <row r="9" spans="1:50">
      <c r="A9" s="135" t="s">
        <v>2726</v>
      </c>
      <c r="B9" s="84">
        <v>5</v>
      </c>
      <c r="C9" s="85">
        <v>-8</v>
      </c>
      <c r="D9" s="85">
        <v>-5</v>
      </c>
      <c r="E9" s="85">
        <v>-44</v>
      </c>
      <c r="F9" s="59">
        <v>20.440000000000001</v>
      </c>
      <c r="G9" s="84">
        <v>3669</v>
      </c>
      <c r="H9" s="9" t="s">
        <v>557</v>
      </c>
      <c r="I9" s="23" t="s">
        <v>1723</v>
      </c>
      <c r="J9" s="371">
        <v>54.51</v>
      </c>
      <c r="K9" s="77">
        <v>1.55</v>
      </c>
      <c r="L9" s="77">
        <v>15.31</v>
      </c>
      <c r="M9" s="371">
        <v>36.6</v>
      </c>
      <c r="N9" s="365">
        <f t="shared" si="24"/>
        <v>107.97</v>
      </c>
      <c r="O9" s="369">
        <f t="shared" si="25"/>
        <v>91.11</v>
      </c>
      <c r="P9" s="195">
        <v>9</v>
      </c>
      <c r="Q9" s="326">
        <v>9</v>
      </c>
      <c r="R9" s="111">
        <v>26</v>
      </c>
      <c r="S9" s="51">
        <v>15</v>
      </c>
      <c r="T9" s="339">
        <f t="shared" si="26"/>
        <v>59</v>
      </c>
      <c r="U9" s="329" t="s">
        <v>6539</v>
      </c>
      <c r="V9" s="77">
        <v>2.4300000000000002</v>
      </c>
      <c r="W9" s="69">
        <v>5</v>
      </c>
      <c r="X9" s="59">
        <v>8.8000000000000007</v>
      </c>
      <c r="Y9" s="37" t="str">
        <f>RTD("money.excel",,"3669","Price")</f>
        <v>無資料</v>
      </c>
      <c r="Z9" s="69">
        <v>60.8</v>
      </c>
      <c r="AA9" s="16" t="e">
        <f t="shared" si="27"/>
        <v>#VALUE!</v>
      </c>
      <c r="AB9" s="3" t="e">
        <f t="shared" si="28"/>
        <v>#VALUE!</v>
      </c>
      <c r="AC9" s="177" t="s">
        <v>6823</v>
      </c>
      <c r="AD9" s="23" t="s">
        <v>1723</v>
      </c>
      <c r="AE9" s="89">
        <v>44554</v>
      </c>
      <c r="AG9" s="34">
        <f t="shared" si="29"/>
        <v>-44554</v>
      </c>
      <c r="AH9" s="126" t="s">
        <v>3012</v>
      </c>
      <c r="AI9" s="131"/>
      <c r="AK9" s="66">
        <f t="shared" si="30"/>
        <v>0</v>
      </c>
      <c r="AL9" s="174">
        <f t="shared" si="31"/>
        <v>0</v>
      </c>
      <c r="AM9" s="346">
        <f>RTD("money.excel",,$G9,"PredictVolume")</f>
        <v>0</v>
      </c>
      <c r="AN9" s="272">
        <f>RTD("money.excel",,$G9,"CumulativeVolume")</f>
        <v>0</v>
      </c>
      <c r="AO9" s="284"/>
      <c r="AP9" s="284"/>
    </row>
    <row r="10" spans="1:50">
      <c r="A10" s="135" t="s">
        <v>6420</v>
      </c>
      <c r="B10" s="84">
        <v>509</v>
      </c>
      <c r="C10" s="84">
        <v>556</v>
      </c>
      <c r="D10" s="85">
        <v>-4</v>
      </c>
      <c r="E10" s="84">
        <v>73</v>
      </c>
      <c r="F10" s="59">
        <v>35.78</v>
      </c>
      <c r="G10" s="85">
        <v>6531</v>
      </c>
      <c r="H10" s="5" t="s">
        <v>558</v>
      </c>
      <c r="I10" s="23" t="s">
        <v>639</v>
      </c>
      <c r="J10" s="77">
        <v>52.21</v>
      </c>
      <c r="K10" s="77">
        <v>20.66</v>
      </c>
      <c r="L10" s="77">
        <v>44.6</v>
      </c>
      <c r="M10" s="371">
        <v>18.64</v>
      </c>
      <c r="N10" s="77">
        <f t="shared" ref="N10:N11" si="32">J10+K10+L10+M10</f>
        <v>136.11000000000001</v>
      </c>
      <c r="O10" s="343">
        <f t="shared" ref="O10:O11" si="33">J10+M10</f>
        <v>70.849999999999994</v>
      </c>
      <c r="P10" s="195">
        <v>12</v>
      </c>
      <c r="Q10" s="326">
        <v>31</v>
      </c>
      <c r="R10" s="111">
        <v>24</v>
      </c>
      <c r="S10" s="51">
        <v>51</v>
      </c>
      <c r="T10" s="339">
        <f t="shared" ref="T10:T11" si="34">SUM(P10:S10)</f>
        <v>118</v>
      </c>
      <c r="U10" s="329" t="s">
        <v>6540</v>
      </c>
      <c r="V10" s="77">
        <v>13.57</v>
      </c>
      <c r="W10" s="69">
        <v>5</v>
      </c>
      <c r="X10" s="59">
        <v>22.25</v>
      </c>
      <c r="Y10" s="37" t="str">
        <f>RTD("money.excel",,"6531","Price")</f>
        <v>無資料</v>
      </c>
      <c r="Z10" s="69">
        <v>496</v>
      </c>
      <c r="AA10" s="16" t="e">
        <f t="shared" ref="AA10:AA11" si="35">Y10-Z10</f>
        <v>#VALUE!</v>
      </c>
      <c r="AB10" s="3" t="e">
        <f t="shared" ref="AB10:AB11" si="36">AA10/Z10</f>
        <v>#VALUE!</v>
      </c>
      <c r="AC10" s="177" t="s">
        <v>6709</v>
      </c>
      <c r="AD10" s="23" t="s">
        <v>639</v>
      </c>
      <c r="AE10" s="89">
        <v>44553</v>
      </c>
      <c r="AG10" s="34">
        <f t="shared" ref="AG10:AG11" si="37">AF10-AE10</f>
        <v>-44553</v>
      </c>
      <c r="AH10" s="63" t="s">
        <v>3400</v>
      </c>
      <c r="AI10" s="131"/>
      <c r="AK10" s="66">
        <f t="shared" ref="AK10:AK11" si="38">AM10/(A10*10000)</f>
        <v>0</v>
      </c>
      <c r="AL10" s="174">
        <f t="shared" ref="AL10:AL11" si="39">AN10/(A10*10000)</f>
        <v>0</v>
      </c>
      <c r="AM10" s="346">
        <f>RTD("money.excel",,$G10,"PredictVolume")</f>
        <v>0</v>
      </c>
      <c r="AN10" s="272">
        <f>RTD("money.excel",,$G10,"CumulativeVolume")</f>
        <v>0</v>
      </c>
      <c r="AO10" s="284"/>
      <c r="AP10" s="284"/>
    </row>
    <row r="11" spans="1:50">
      <c r="A11" s="135" t="s">
        <v>2726</v>
      </c>
      <c r="B11" s="84">
        <v>5</v>
      </c>
      <c r="C11" s="85">
        <v>-8</v>
      </c>
      <c r="D11" s="85">
        <v>-5</v>
      </c>
      <c r="E11" s="85">
        <v>-44</v>
      </c>
      <c r="F11" s="59">
        <v>20.440000000000001</v>
      </c>
      <c r="G11" s="84">
        <v>3669</v>
      </c>
      <c r="H11" s="9" t="s">
        <v>557</v>
      </c>
      <c r="I11" s="23" t="s">
        <v>1723</v>
      </c>
      <c r="J11" s="371">
        <v>54.51</v>
      </c>
      <c r="K11" s="77">
        <v>1.41</v>
      </c>
      <c r="L11" s="77">
        <v>16.97</v>
      </c>
      <c r="M11" s="371">
        <v>36.6</v>
      </c>
      <c r="N11" s="365">
        <f t="shared" si="32"/>
        <v>109.48999999999998</v>
      </c>
      <c r="O11" s="369">
        <f t="shared" si="33"/>
        <v>91.11</v>
      </c>
      <c r="P11" s="195">
        <v>8</v>
      </c>
      <c r="Q11" s="326">
        <v>9</v>
      </c>
      <c r="R11" s="111">
        <v>25</v>
      </c>
      <c r="S11" s="51">
        <v>14</v>
      </c>
      <c r="T11" s="339">
        <f t="shared" si="34"/>
        <v>56</v>
      </c>
      <c r="U11" s="329" t="s">
        <v>6539</v>
      </c>
      <c r="V11" s="371">
        <v>2.34</v>
      </c>
      <c r="W11" s="69">
        <v>5</v>
      </c>
      <c r="X11" s="59">
        <v>8.8000000000000007</v>
      </c>
      <c r="Y11" s="37" t="str">
        <f>RTD("money.excel",,"3669","Price")</f>
        <v>無資料</v>
      </c>
      <c r="Z11" s="69">
        <v>61.2</v>
      </c>
      <c r="AA11" s="16" t="e">
        <f t="shared" si="35"/>
        <v>#VALUE!</v>
      </c>
      <c r="AB11" s="3" t="e">
        <f t="shared" si="36"/>
        <v>#VALUE!</v>
      </c>
      <c r="AC11" s="177" t="s">
        <v>6795</v>
      </c>
      <c r="AD11" s="23" t="s">
        <v>1723</v>
      </c>
      <c r="AE11" s="89">
        <v>44553</v>
      </c>
      <c r="AG11" s="34">
        <f t="shared" si="37"/>
        <v>-44553</v>
      </c>
      <c r="AH11" s="126" t="s">
        <v>3012</v>
      </c>
      <c r="AI11" s="131"/>
      <c r="AK11" s="66">
        <f t="shared" si="38"/>
        <v>0</v>
      </c>
      <c r="AL11" s="174">
        <f t="shared" si="39"/>
        <v>0</v>
      </c>
      <c r="AM11" s="346">
        <f>RTD("money.excel",,$G11,"PredictVolume")</f>
        <v>0</v>
      </c>
      <c r="AN11" s="272">
        <f>RTD("money.excel",,$G11,"CumulativeVolume")</f>
        <v>0</v>
      </c>
      <c r="AO11" s="284"/>
      <c r="AP11" s="284"/>
    </row>
    <row r="12" spans="1:50">
      <c r="A12" s="135" t="s">
        <v>6420</v>
      </c>
      <c r="B12" s="84">
        <v>509</v>
      </c>
      <c r="C12" s="84">
        <v>556</v>
      </c>
      <c r="D12" s="85">
        <v>-4</v>
      </c>
      <c r="E12" s="84">
        <v>73</v>
      </c>
      <c r="F12" s="59">
        <v>35.78</v>
      </c>
      <c r="G12" s="85">
        <v>6531</v>
      </c>
      <c r="H12" s="5" t="s">
        <v>558</v>
      </c>
      <c r="I12" s="23" t="s">
        <v>639</v>
      </c>
      <c r="J12" s="77">
        <v>52.21</v>
      </c>
      <c r="K12" s="371">
        <v>20.47</v>
      </c>
      <c r="L12" s="77">
        <v>43.79</v>
      </c>
      <c r="M12" s="371">
        <v>18.64</v>
      </c>
      <c r="N12" s="77">
        <f t="shared" ref="N12" si="40">J12+K12+L12+M12</f>
        <v>135.11000000000001</v>
      </c>
      <c r="O12" s="343">
        <f t="shared" ref="O12" si="41">J12+M12</f>
        <v>70.849999999999994</v>
      </c>
      <c r="P12" s="195">
        <v>12</v>
      </c>
      <c r="Q12" s="326">
        <v>31</v>
      </c>
      <c r="R12" s="111">
        <v>24</v>
      </c>
      <c r="S12" s="51">
        <v>50</v>
      </c>
      <c r="T12" s="339">
        <f t="shared" ref="T12" si="42">SUM(P12:S12)</f>
        <v>117</v>
      </c>
      <c r="U12" s="329" t="s">
        <v>6540</v>
      </c>
      <c r="V12" s="77">
        <v>13.57</v>
      </c>
      <c r="W12" s="69">
        <v>5</v>
      </c>
      <c r="X12" s="59">
        <v>11.12</v>
      </c>
      <c r="Y12" s="37" t="str">
        <f>RTD("money.excel",,"6531","Price")</f>
        <v>無資料</v>
      </c>
      <c r="Z12" s="69">
        <v>487</v>
      </c>
      <c r="AA12" s="16" t="e">
        <f t="shared" ref="AA12" si="43">Y12-Z12</f>
        <v>#VALUE!</v>
      </c>
      <c r="AB12" s="3" t="e">
        <f t="shared" ref="AB12" si="44">AA12/Z12</f>
        <v>#VALUE!</v>
      </c>
      <c r="AC12" s="177" t="s">
        <v>6754</v>
      </c>
      <c r="AD12" s="23" t="s">
        <v>639</v>
      </c>
      <c r="AE12" s="89">
        <v>44551</v>
      </c>
      <c r="AG12" s="34">
        <f t="shared" ref="AG12" si="45">AF12-AE12</f>
        <v>-44551</v>
      </c>
      <c r="AH12" s="63" t="s">
        <v>3400</v>
      </c>
      <c r="AI12" s="284"/>
      <c r="AK12" s="66"/>
      <c r="AL12" s="174"/>
      <c r="AM12" s="346"/>
      <c r="AN12" s="272"/>
      <c r="AO12" s="131"/>
      <c r="AP12" s="264"/>
    </row>
    <row r="13" spans="1:50">
      <c r="A13" s="151" t="s">
        <v>2499</v>
      </c>
      <c r="B13" s="85">
        <v>-82</v>
      </c>
      <c r="C13" s="85">
        <v>-86</v>
      </c>
      <c r="D13" s="85">
        <v>-32</v>
      </c>
      <c r="E13" s="85">
        <v>-39</v>
      </c>
      <c r="F13" s="7">
        <v>1.01</v>
      </c>
      <c r="G13" s="85">
        <v>3708</v>
      </c>
      <c r="H13" s="5" t="s">
        <v>1308</v>
      </c>
      <c r="I13" s="23" t="s">
        <v>528</v>
      </c>
      <c r="J13" s="77">
        <v>38.159999999999997</v>
      </c>
      <c r="K13" s="371">
        <v>8.4499999999999993</v>
      </c>
      <c r="L13" s="77">
        <v>29.47</v>
      </c>
      <c r="M13" s="371">
        <v>10.039999999999999</v>
      </c>
      <c r="N13" s="365">
        <f t="shared" ref="N13" si="46">J13+K13+L13+M13</f>
        <v>86.12</v>
      </c>
      <c r="O13" s="343">
        <f t="shared" ref="O13" si="47">J13+M13</f>
        <v>48.199999999999996</v>
      </c>
      <c r="P13" s="195">
        <v>12</v>
      </c>
      <c r="Q13" s="326">
        <v>21</v>
      </c>
      <c r="R13" s="111">
        <v>24</v>
      </c>
      <c r="S13" s="51">
        <v>22</v>
      </c>
      <c r="T13" s="339">
        <f t="shared" ref="T13" si="48">SUM(P13:S13)</f>
        <v>79</v>
      </c>
      <c r="U13" s="329" t="s">
        <v>6539</v>
      </c>
      <c r="V13" s="77">
        <v>6.25</v>
      </c>
      <c r="W13" s="69">
        <v>3.5</v>
      </c>
      <c r="X13" s="100">
        <v>2.09</v>
      </c>
      <c r="Y13" s="37" t="str">
        <f>RTD("money.excel",,"3708","Price")</f>
        <v>無資料</v>
      </c>
      <c r="Z13" s="69">
        <v>93.6</v>
      </c>
      <c r="AA13" s="16" t="e">
        <f>Y13-Z13</f>
        <v>#VALUE!</v>
      </c>
      <c r="AB13" s="3" t="e">
        <f>AA13/Z13</f>
        <v>#VALUE!</v>
      </c>
      <c r="AC13" s="177" t="s">
        <v>6751</v>
      </c>
      <c r="AD13" s="23" t="s">
        <v>528</v>
      </c>
      <c r="AE13" s="89">
        <v>44551</v>
      </c>
      <c r="AG13" s="34">
        <f>AF13-AE13</f>
        <v>-44551</v>
      </c>
      <c r="AH13" s="44" t="s">
        <v>4388</v>
      </c>
      <c r="AI13" s="131"/>
      <c r="AK13" s="131"/>
      <c r="AL13" s="264"/>
      <c r="AO13" s="131"/>
      <c r="AP13" s="264"/>
    </row>
    <row r="14" spans="1:50">
      <c r="B14" s="96"/>
      <c r="C14" s="96"/>
      <c r="D14" s="96"/>
      <c r="E14" s="96"/>
      <c r="F14" s="9"/>
      <c r="G14" s="27"/>
      <c r="H14" s="56"/>
      <c r="I14" s="31"/>
      <c r="J14" s="369"/>
      <c r="K14" s="369"/>
      <c r="L14" s="369"/>
      <c r="M14" s="364"/>
      <c r="N14" s="364"/>
      <c r="P14" s="83"/>
      <c r="Q14" s="326"/>
      <c r="R14" s="111"/>
      <c r="T14" s="338"/>
      <c r="V14" s="377"/>
      <c r="W14" s="11"/>
      <c r="X14" s="71"/>
      <c r="Y14" s="29"/>
      <c r="Z14" s="18"/>
      <c r="AA14" s="15"/>
      <c r="AB14" s="22"/>
      <c r="AC14" s="26"/>
      <c r="AD14" s="31"/>
      <c r="AE14" s="56"/>
      <c r="AF14" s="114"/>
      <c r="AG14" s="33"/>
      <c r="AH14" s="262"/>
      <c r="AI14" s="131"/>
      <c r="AK14" s="131"/>
      <c r="AL14" s="264"/>
      <c r="AO14" s="131"/>
      <c r="AP14" s="264"/>
    </row>
    <row r="15" spans="1:50">
      <c r="A15" s="263"/>
      <c r="B15" s="182"/>
      <c r="C15" s="182"/>
      <c r="D15" s="182"/>
      <c r="E15" s="182"/>
      <c r="F15" s="183"/>
      <c r="G15" s="184"/>
      <c r="H15" s="186"/>
      <c r="I15" s="185"/>
      <c r="J15" s="366"/>
      <c r="K15" s="366"/>
      <c r="L15" s="372"/>
      <c r="M15" s="373"/>
      <c r="N15" s="366">
        <v>130</v>
      </c>
      <c r="O15" s="369">
        <v>80</v>
      </c>
      <c r="V15" s="371" t="s">
        <v>6622</v>
      </c>
      <c r="W15" s="183"/>
      <c r="X15" s="4" t="s">
        <v>2189</v>
      </c>
      <c r="Y15" s="4" t="s">
        <v>1820</v>
      </c>
      <c r="Z15" s="11" t="s">
        <v>515</v>
      </c>
      <c r="AA15" s="189"/>
      <c r="AB15" s="190"/>
      <c r="AD15" s="185"/>
      <c r="AE15" s="263" t="s">
        <v>6635</v>
      </c>
      <c r="AF15" s="194"/>
      <c r="AG15" s="192"/>
      <c r="AI15" s="131"/>
      <c r="AK15" s="262" t="s">
        <v>6753</v>
      </c>
      <c r="AL15" s="264"/>
      <c r="AP15" s="265"/>
      <c r="AQ15" s="287"/>
      <c r="AR15" s="287"/>
      <c r="AS15" s="287"/>
      <c r="AU15" s="287"/>
      <c r="AV15" s="287"/>
      <c r="AW15" s="287"/>
      <c r="AX15" s="287"/>
    </row>
    <row r="16" spans="1:50">
      <c r="A16" s="135" t="s">
        <v>2552</v>
      </c>
      <c r="B16" s="96" t="s">
        <v>2331</v>
      </c>
      <c r="C16" s="96" t="s">
        <v>2332</v>
      </c>
      <c r="D16" s="96" t="s">
        <v>2333</v>
      </c>
      <c r="E16" s="96" t="s">
        <v>2334</v>
      </c>
      <c r="F16" s="9" t="s">
        <v>1709</v>
      </c>
      <c r="G16" s="27" t="s">
        <v>5626</v>
      </c>
      <c r="H16" s="56" t="s">
        <v>578</v>
      </c>
      <c r="I16" s="24" t="s">
        <v>6792</v>
      </c>
      <c r="J16" s="364" t="s">
        <v>2189</v>
      </c>
      <c r="K16" s="364" t="s">
        <v>1820</v>
      </c>
      <c r="L16" s="364" t="s">
        <v>515</v>
      </c>
      <c r="M16" s="364" t="s">
        <v>1699</v>
      </c>
      <c r="N16" s="364" t="s">
        <v>6633</v>
      </c>
      <c r="O16" s="343" t="s">
        <v>6634</v>
      </c>
      <c r="P16" s="83" t="s">
        <v>5279</v>
      </c>
      <c r="Q16" s="326" t="s">
        <v>5514</v>
      </c>
      <c r="R16" s="31" t="s">
        <v>6596</v>
      </c>
      <c r="S16" s="51" t="s">
        <v>6597</v>
      </c>
      <c r="T16" s="338" t="s">
        <v>5627</v>
      </c>
      <c r="U16" s="330" t="s">
        <v>6537</v>
      </c>
      <c r="V16" s="377" t="s">
        <v>6616</v>
      </c>
      <c r="W16" s="11" t="s">
        <v>127</v>
      </c>
      <c r="X16" s="71" t="s">
        <v>6626</v>
      </c>
      <c r="Y16" s="29" t="s">
        <v>6688</v>
      </c>
      <c r="Z16" s="18" t="s">
        <v>2113</v>
      </c>
      <c r="AA16" s="15" t="s">
        <v>8</v>
      </c>
      <c r="AB16" s="22" t="s">
        <v>4</v>
      </c>
      <c r="AC16" s="26" t="s">
        <v>211</v>
      </c>
      <c r="AD16" s="24" t="s">
        <v>6792</v>
      </c>
      <c r="AE16" s="56" t="s">
        <v>5568</v>
      </c>
      <c r="AF16" s="114" t="s">
        <v>5575</v>
      </c>
      <c r="AG16" s="33" t="s">
        <v>1827</v>
      </c>
      <c r="AH16" s="262" t="s">
        <v>6753</v>
      </c>
      <c r="AI16" s="131"/>
      <c r="AK16" s="9" t="s">
        <v>6666</v>
      </c>
      <c r="AL16" s="5" t="s">
        <v>6667</v>
      </c>
      <c r="AM16" s="51" t="s">
        <v>5339</v>
      </c>
      <c r="AN16" s="276" t="s">
        <v>6665</v>
      </c>
      <c r="AO16" s="131"/>
      <c r="AP16" s="264"/>
    </row>
    <row r="17" spans="1:42">
      <c r="B17" s="96"/>
      <c r="C17" s="96"/>
      <c r="D17" s="96"/>
      <c r="E17" s="96"/>
      <c r="F17" s="9"/>
      <c r="G17" s="27"/>
      <c r="H17" s="56"/>
      <c r="I17" s="31"/>
      <c r="J17" s="364"/>
      <c r="K17" s="364"/>
      <c r="L17" s="364"/>
      <c r="M17" s="364"/>
      <c r="N17" s="364"/>
      <c r="P17" s="83"/>
      <c r="Q17" s="326"/>
      <c r="T17" s="338"/>
      <c r="U17" s="330"/>
      <c r="V17" s="377"/>
      <c r="W17" s="11"/>
      <c r="X17" s="71"/>
      <c r="Y17" s="29"/>
      <c r="Z17" s="18"/>
      <c r="AA17" s="15"/>
      <c r="AB17" s="22"/>
      <c r="AC17" s="26"/>
      <c r="AD17" s="31"/>
      <c r="AE17" s="56"/>
      <c r="AF17" s="114"/>
      <c r="AG17" s="33"/>
      <c r="AH17" s="262"/>
      <c r="AI17" s="284"/>
      <c r="AK17" s="131"/>
      <c r="AL17" s="264"/>
      <c r="AO17" s="131"/>
      <c r="AP17" s="264"/>
    </row>
    <row r="18" spans="1:42">
      <c r="A18" s="151" t="s">
        <v>2744</v>
      </c>
      <c r="B18" s="85">
        <v>-129</v>
      </c>
      <c r="C18" s="85">
        <v>-125</v>
      </c>
      <c r="D18" s="84">
        <v>16</v>
      </c>
      <c r="E18" s="85">
        <v>-42</v>
      </c>
      <c r="F18" s="7">
        <v>-8.08</v>
      </c>
      <c r="G18" s="84">
        <v>6462</v>
      </c>
      <c r="H18" s="203" t="s">
        <v>558</v>
      </c>
      <c r="I18" s="17" t="s">
        <v>403</v>
      </c>
      <c r="J18" s="371">
        <v>16.05</v>
      </c>
      <c r="K18" s="371">
        <v>20.89</v>
      </c>
      <c r="L18" s="77">
        <v>27.8</v>
      </c>
      <c r="M18" s="77">
        <v>9.7100000000000009</v>
      </c>
      <c r="N18" s="365">
        <f t="shared" ref="N18" si="49">J18+K18+L18+M18</f>
        <v>74.449999999999989</v>
      </c>
      <c r="O18" s="343">
        <f t="shared" ref="O18" si="50">J18+M18</f>
        <v>25.76</v>
      </c>
      <c r="P18" s="195">
        <v>23</v>
      </c>
      <c r="Q18" s="326">
        <v>3</v>
      </c>
      <c r="R18" s="111">
        <v>18</v>
      </c>
      <c r="S18" s="51">
        <v>10</v>
      </c>
      <c r="T18" s="339">
        <f t="shared" ref="T18" si="51">SUM(P18:S18)</f>
        <v>54</v>
      </c>
      <c r="U18" s="329" t="s">
        <v>6540</v>
      </c>
      <c r="V18" s="371">
        <v>5.73</v>
      </c>
      <c r="W18" s="69">
        <v>15</v>
      </c>
      <c r="X18" s="100">
        <v>-2.48</v>
      </c>
      <c r="Y18" s="37">
        <v>115.5</v>
      </c>
      <c r="Z18" s="69">
        <v>118</v>
      </c>
      <c r="AA18" s="16">
        <f t="shared" ref="AA18" si="52">Y18-Z18</f>
        <v>-2.5</v>
      </c>
      <c r="AB18" s="80">
        <f t="shared" ref="AB18" si="53">AA18/Z18</f>
        <v>-2.1186440677966101E-2</v>
      </c>
      <c r="AC18" s="177" t="s">
        <v>6770</v>
      </c>
      <c r="AD18" s="17" t="s">
        <v>403</v>
      </c>
      <c r="AE18" s="89">
        <v>44552</v>
      </c>
      <c r="AF18" s="88">
        <v>44557</v>
      </c>
      <c r="AG18" s="34">
        <f t="shared" ref="AG18" si="54">AF18-AE18</f>
        <v>5</v>
      </c>
      <c r="AH18" s="125" t="s">
        <v>2165</v>
      </c>
      <c r="AI18" s="131"/>
      <c r="AK18" s="66"/>
      <c r="AL18" s="174"/>
      <c r="AM18" s="346"/>
      <c r="AN18" s="272"/>
      <c r="AO18" s="131"/>
      <c r="AP18" s="264"/>
    </row>
    <row r="19" spans="1:42">
      <c r="AI19" s="131"/>
      <c r="AL19" s="265"/>
      <c r="AM19" s="287"/>
      <c r="AN19" s="287"/>
    </row>
    <row r="20" spans="1:42">
      <c r="AI20" s="131"/>
    </row>
    <row r="21" spans="1:42">
      <c r="AI21" s="131"/>
      <c r="AK21" s="131"/>
      <c r="AL21" s="264"/>
    </row>
    <row r="22" spans="1:42">
      <c r="AI22" s="131"/>
    </row>
    <row r="23" spans="1:42">
      <c r="AI23" s="131"/>
    </row>
    <row r="24" spans="1:42">
      <c r="AI24" s="131"/>
    </row>
    <row r="25" spans="1:42">
      <c r="AI25" s="128"/>
    </row>
    <row r="26" spans="1:42">
      <c r="AI26" s="131"/>
    </row>
    <row r="27" spans="1:42">
      <c r="AI27" s="284"/>
    </row>
    <row r="28" spans="1:42">
      <c r="AI28" s="131"/>
    </row>
    <row r="29" spans="1:42">
      <c r="AI29" s="131"/>
    </row>
    <row r="30" spans="1:42">
      <c r="AI30" s="284"/>
    </row>
    <row r="31" spans="1:42">
      <c r="AI31" s="131"/>
    </row>
    <row r="32" spans="1:42">
      <c r="AI32" s="131"/>
    </row>
    <row r="33" spans="35:35">
      <c r="AI33" s="131"/>
    </row>
    <row r="34" spans="35:35">
      <c r="AI34" s="131"/>
    </row>
    <row r="35" spans="35:35">
      <c r="AI35" s="131"/>
    </row>
    <row r="36" spans="35:35">
      <c r="AI36" s="284"/>
    </row>
    <row r="39" spans="35:35">
      <c r="AI39" s="284"/>
    </row>
    <row r="40" spans="35:35">
      <c r="AI40" s="131"/>
    </row>
    <row r="41" spans="35:35">
      <c r="AI41" s="131"/>
    </row>
    <row r="42" spans="35:35">
      <c r="AI42" s="131"/>
    </row>
    <row r="43" spans="35:35">
      <c r="AI43" s="131"/>
    </row>
    <row r="44" spans="35:35">
      <c r="AI44" s="131"/>
    </row>
    <row r="45" spans="35:35">
      <c r="AI45" s="284"/>
    </row>
    <row r="46" spans="35:35">
      <c r="AI46" s="131"/>
    </row>
    <row r="47" spans="35:35">
      <c r="AI47" s="131"/>
    </row>
    <row r="48" spans="35:35">
      <c r="AI48" s="131"/>
    </row>
    <row r="49" spans="35:35">
      <c r="AI49" s="131"/>
    </row>
    <row r="50" spans="35:35">
      <c r="AI50" s="284"/>
    </row>
    <row r="51" spans="35:35">
      <c r="AI51" s="131"/>
    </row>
    <row r="52" spans="35:35">
      <c r="AI52" s="131"/>
    </row>
    <row r="53" spans="35:35">
      <c r="AI53" s="131"/>
    </row>
    <row r="54" spans="35:35">
      <c r="AI54" s="284"/>
    </row>
    <row r="55" spans="35:35">
      <c r="AI55" s="131"/>
    </row>
    <row r="56" spans="35:35">
      <c r="AI56" s="131"/>
    </row>
    <row r="57" spans="35:35">
      <c r="AI57" s="131"/>
    </row>
    <row r="58" spans="35:35">
      <c r="AI58" s="131"/>
    </row>
    <row r="59" spans="35:35">
      <c r="AI59" s="131"/>
    </row>
    <row r="60" spans="35:35">
      <c r="AI60" s="284"/>
    </row>
    <row r="61" spans="35:35">
      <c r="AI61" s="284"/>
    </row>
    <row r="62" spans="35:35">
      <c r="AI62" s="131"/>
    </row>
    <row r="63" spans="35:35">
      <c r="AI63" s="131"/>
    </row>
    <row r="64" spans="35:35">
      <c r="AI64" s="131"/>
    </row>
    <row r="65" spans="35:35">
      <c r="AI65" s="131"/>
    </row>
    <row r="66" spans="35:35">
      <c r="AI66" s="131"/>
    </row>
    <row r="67" spans="35:35">
      <c r="AI67" s="131"/>
    </row>
    <row r="68" spans="35:35">
      <c r="AI68" s="131"/>
    </row>
    <row r="69" spans="35:35">
      <c r="AI69" s="131"/>
    </row>
    <row r="70" spans="35:35">
      <c r="AI70" s="131"/>
    </row>
    <row r="72" spans="35:35">
      <c r="AI72" s="131"/>
    </row>
    <row r="73" spans="35:35">
      <c r="AI73" s="131"/>
    </row>
    <row r="74" spans="35:35">
      <c r="AI74" s="131"/>
    </row>
    <row r="75" spans="35:35">
      <c r="AI75" s="284"/>
    </row>
    <row r="76" spans="35:35">
      <c r="AI76" s="131"/>
    </row>
    <row r="77" spans="35:35">
      <c r="AI77" s="284"/>
    </row>
    <row r="78" spans="35:35">
      <c r="AI78" s="131"/>
    </row>
    <row r="79" spans="35:35">
      <c r="AI79" s="284"/>
    </row>
    <row r="80" spans="35:35">
      <c r="AI80" s="131"/>
    </row>
    <row r="81" spans="35:35">
      <c r="AI81" s="131"/>
    </row>
    <row r="82" spans="35:35">
      <c r="AI82" s="131"/>
    </row>
    <row r="83" spans="35:35">
      <c r="AI83" s="131"/>
    </row>
    <row r="84" spans="35:35">
      <c r="AI84" s="131"/>
    </row>
    <row r="85" spans="35:35">
      <c r="AI85" s="131"/>
    </row>
    <row r="86" spans="35:35">
      <c r="AI86" s="131"/>
    </row>
    <row r="87" spans="35:35">
      <c r="AI87" s="131"/>
    </row>
    <row r="88" spans="35:35">
      <c r="AI88" s="131"/>
    </row>
    <row r="89" spans="35:35">
      <c r="AI89" s="284"/>
    </row>
    <row r="90" spans="35:35">
      <c r="AI90" s="131"/>
    </row>
    <row r="91" spans="35:35">
      <c r="AI91" s="131"/>
    </row>
    <row r="92" spans="35:35">
      <c r="AI92" s="131"/>
    </row>
    <row r="93" spans="35:35">
      <c r="AI93" s="131"/>
    </row>
    <row r="94" spans="35:35">
      <c r="AI94" s="131"/>
    </row>
    <row r="95" spans="35:35">
      <c r="AI95" s="284"/>
    </row>
    <row r="96" spans="35:35">
      <c r="AI96" s="131"/>
    </row>
    <row r="97" spans="35:35">
      <c r="AI97" s="131"/>
    </row>
    <row r="98" spans="35:35">
      <c r="AI98" s="284"/>
    </row>
    <row r="99" spans="35:35">
      <c r="AI99" s="131"/>
    </row>
    <row r="100" spans="35:35">
      <c r="AI100" s="131"/>
    </row>
    <row r="101" spans="35:35">
      <c r="AI101" s="131"/>
    </row>
    <row r="102" spans="35:35">
      <c r="AI102" s="131"/>
    </row>
    <row r="103" spans="35:35">
      <c r="AI103" s="131"/>
    </row>
    <row r="104" spans="35:35">
      <c r="AI104" s="131"/>
    </row>
    <row r="105" spans="35:35">
      <c r="AI105" s="131"/>
    </row>
    <row r="106" spans="35:35">
      <c r="AI106" s="131"/>
    </row>
    <row r="107" spans="35:35">
      <c r="AI107" s="131"/>
    </row>
    <row r="108" spans="35:35">
      <c r="AI108" s="131"/>
    </row>
    <row r="109" spans="35:35">
      <c r="AI109" s="131"/>
    </row>
    <row r="110" spans="35:35">
      <c r="AI110" s="131"/>
    </row>
    <row r="111" spans="35:35">
      <c r="AI111" s="131"/>
    </row>
    <row r="112" spans="35:35">
      <c r="AI112" s="131"/>
    </row>
    <row r="113" spans="35:35">
      <c r="AI113" s="131"/>
    </row>
    <row r="114" spans="35:35">
      <c r="AI114" s="131"/>
    </row>
    <row r="115" spans="35:35">
      <c r="AI115" s="131"/>
    </row>
    <row r="116" spans="35:35">
      <c r="AI116" s="131"/>
    </row>
    <row r="117" spans="35:35">
      <c r="AI117" s="131"/>
    </row>
    <row r="118" spans="35:35">
      <c r="AI118" s="131"/>
    </row>
    <row r="119" spans="35:35">
      <c r="AI119" s="131"/>
    </row>
    <row r="120" spans="35:35">
      <c r="AI120" s="131"/>
    </row>
    <row r="121" spans="35:35">
      <c r="AI121" s="131"/>
    </row>
    <row r="122" spans="35:35">
      <c r="AI122" s="131"/>
    </row>
    <row r="123" spans="35:35">
      <c r="AI123" s="131"/>
    </row>
    <row r="124" spans="35:35">
      <c r="AI124" s="131"/>
    </row>
    <row r="125" spans="35:35">
      <c r="AI125" s="131"/>
    </row>
    <row r="126" spans="35:35">
      <c r="AI126" s="131"/>
    </row>
    <row r="127" spans="35:35">
      <c r="AI127" s="131"/>
    </row>
    <row r="128" spans="35:35">
      <c r="AI128" s="131"/>
    </row>
    <row r="129" spans="35:35">
      <c r="AI129" s="131"/>
    </row>
    <row r="130" spans="35:35">
      <c r="AI130" s="131"/>
    </row>
    <row r="131" spans="35:35">
      <c r="AI131" s="131"/>
    </row>
    <row r="132" spans="35:35">
      <c r="AI132" s="131"/>
    </row>
    <row r="133" spans="35:35">
      <c r="AI133" s="131"/>
    </row>
    <row r="134" spans="35:35">
      <c r="AI134" s="131"/>
    </row>
    <row r="135" spans="35:35">
      <c r="AI135" s="284"/>
    </row>
    <row r="136" spans="35:35">
      <c r="AI136" s="131"/>
    </row>
    <row r="137" spans="35:35">
      <c r="AI137" s="131"/>
    </row>
    <row r="138" spans="35:35">
      <c r="AI138" s="131"/>
    </row>
    <row r="139" spans="35:35">
      <c r="AI139" s="131"/>
    </row>
    <row r="140" spans="35:35">
      <c r="AI140" s="131"/>
    </row>
    <row r="141" spans="35:35">
      <c r="AI141" s="131"/>
    </row>
    <row r="142" spans="35:35">
      <c r="AI142" s="131"/>
    </row>
    <row r="143" spans="35:35">
      <c r="AI143" s="131"/>
    </row>
    <row r="144" spans="35:35">
      <c r="AI144" s="131"/>
    </row>
    <row r="145" spans="35:35">
      <c r="AI145" s="131"/>
    </row>
    <row r="146" spans="35:35">
      <c r="AI146" s="131"/>
    </row>
    <row r="147" spans="35:35">
      <c r="AI147" s="131"/>
    </row>
    <row r="148" spans="35:35">
      <c r="AI148" s="131"/>
    </row>
    <row r="149" spans="35:35">
      <c r="AI149" s="131"/>
    </row>
    <row r="150" spans="35:35">
      <c r="AI150" s="131"/>
    </row>
    <row r="151" spans="35:35">
      <c r="AI151" s="131"/>
    </row>
    <row r="152" spans="35:35">
      <c r="AI152" s="131"/>
    </row>
    <row r="153" spans="35:35">
      <c r="AI153" s="131"/>
    </row>
    <row r="154" spans="35:35">
      <c r="AI154" s="131"/>
    </row>
    <row r="155" spans="35:35">
      <c r="AI155" s="131"/>
    </row>
    <row r="156" spans="35:35">
      <c r="AI156" s="131"/>
    </row>
    <row r="157" spans="35:35">
      <c r="AI157" s="131"/>
    </row>
    <row r="158" spans="35:35">
      <c r="AI158" s="131"/>
    </row>
    <row r="159" spans="35:35">
      <c r="AI159" s="131"/>
    </row>
    <row r="160" spans="35:35">
      <c r="AI160" s="131"/>
    </row>
    <row r="161" spans="35:35">
      <c r="AI161" s="131"/>
    </row>
    <row r="162" spans="35:35">
      <c r="AI162" s="131"/>
    </row>
    <row r="163" spans="35:35">
      <c r="AI163" s="131"/>
    </row>
    <row r="165" spans="35:35">
      <c r="AI165" s="131"/>
    </row>
    <row r="166" spans="35:35">
      <c r="AI166" s="131"/>
    </row>
    <row r="167" spans="35:35">
      <c r="AI167" s="131"/>
    </row>
    <row r="168" spans="35:35">
      <c r="AI168" s="131"/>
    </row>
    <row r="169" spans="35:35">
      <c r="AI169" s="131"/>
    </row>
    <row r="171" spans="35:35">
      <c r="AI171" s="131"/>
    </row>
    <row r="172" spans="35:35">
      <c r="AI172" s="131"/>
    </row>
    <row r="173" spans="35:35">
      <c r="AI173" s="131"/>
    </row>
    <row r="174" spans="35:35">
      <c r="AI174" s="131"/>
    </row>
    <row r="175" spans="35:35">
      <c r="AI175" s="131"/>
    </row>
    <row r="176" spans="35:35">
      <c r="AI176" s="131"/>
    </row>
    <row r="177" spans="35:35">
      <c r="AI177" s="131"/>
    </row>
    <row r="178" spans="35:35">
      <c r="AI178" s="131"/>
    </row>
    <row r="179" spans="35:35">
      <c r="AI179" s="131"/>
    </row>
    <row r="180" spans="35:35">
      <c r="AI180" s="131"/>
    </row>
    <row r="181" spans="35:35">
      <c r="AI181" s="131"/>
    </row>
    <row r="182" spans="35:35">
      <c r="AI182" s="284"/>
    </row>
    <row r="183" spans="35:35">
      <c r="AI183" s="131"/>
    </row>
    <row r="185" spans="35:35">
      <c r="AI185" s="131"/>
    </row>
    <row r="186" spans="35:35">
      <c r="AI186" s="131"/>
    </row>
    <row r="187" spans="35:35">
      <c r="AI187" s="131"/>
    </row>
    <row r="188" spans="35:35">
      <c r="AI188" s="131"/>
    </row>
    <row r="189" spans="35:35">
      <c r="AI189" s="131"/>
    </row>
    <row r="190" spans="35:35">
      <c r="AI190" s="131"/>
    </row>
    <row r="191" spans="35:35">
      <c r="AI191" s="131"/>
    </row>
    <row r="192" spans="35:35">
      <c r="AI192" s="131"/>
    </row>
    <row r="193" spans="35:35">
      <c r="AI193" s="131"/>
    </row>
    <row r="194" spans="35:35">
      <c r="AI194" s="131"/>
    </row>
    <row r="195" spans="35:35">
      <c r="AI195" s="131"/>
    </row>
    <row r="197" spans="35:35">
      <c r="AI197" s="131"/>
    </row>
    <row r="198" spans="35:35">
      <c r="AI198" s="131"/>
    </row>
    <row r="199" spans="35:35">
      <c r="AI199" s="131"/>
    </row>
    <row r="200" spans="35:35">
      <c r="AI200" s="131"/>
    </row>
    <row r="201" spans="35:35">
      <c r="AI201" s="131"/>
    </row>
    <row r="202" spans="35:35">
      <c r="AI202" s="131"/>
    </row>
    <row r="203" spans="35:35">
      <c r="AI203" s="131"/>
    </row>
    <row r="204" spans="35:35">
      <c r="AI204" s="131"/>
    </row>
    <row r="205" spans="35:35">
      <c r="AI205" s="131"/>
    </row>
    <row r="206" spans="35:35">
      <c r="AI206" s="131"/>
    </row>
    <row r="207" spans="35:35">
      <c r="AI207" s="131"/>
    </row>
    <row r="208" spans="35:35">
      <c r="AI208" s="131"/>
    </row>
    <row r="209" spans="35:35">
      <c r="AI209" s="131"/>
    </row>
    <row r="210" spans="35:35">
      <c r="AI210" s="131"/>
    </row>
    <row r="211" spans="35:35">
      <c r="AI211" s="131"/>
    </row>
    <row r="212" spans="35:35">
      <c r="AI212" s="131"/>
    </row>
    <row r="213" spans="35:35">
      <c r="AI213" s="131"/>
    </row>
    <row r="214" spans="35:35">
      <c r="AI214" s="131"/>
    </row>
    <row r="215" spans="35:35">
      <c r="AI215" s="131"/>
    </row>
    <row r="216" spans="35:35">
      <c r="AI216" s="131"/>
    </row>
    <row r="217" spans="35:35">
      <c r="AI217" s="131"/>
    </row>
    <row r="218" spans="35:35">
      <c r="AI218" s="131"/>
    </row>
    <row r="219" spans="35:35">
      <c r="AI219" s="131"/>
    </row>
    <row r="220" spans="35:35">
      <c r="AI220" s="131"/>
    </row>
    <row r="221" spans="35:35">
      <c r="AI221" s="131"/>
    </row>
    <row r="222" spans="35:35">
      <c r="AI222" s="131"/>
    </row>
    <row r="223" spans="35:35">
      <c r="AI223" s="131"/>
    </row>
    <row r="224" spans="35:35">
      <c r="AI224" s="131"/>
    </row>
    <row r="225" spans="35:35">
      <c r="AI225" s="131"/>
    </row>
    <row r="226" spans="35:35">
      <c r="AI226" s="131"/>
    </row>
    <row r="227" spans="35:35">
      <c r="AI227" s="131"/>
    </row>
    <row r="228" spans="35:35">
      <c r="AI228" s="131"/>
    </row>
    <row r="229" spans="35:35">
      <c r="AI229" s="131"/>
    </row>
    <row r="230" spans="35:35">
      <c r="AI230" s="131"/>
    </row>
    <row r="231" spans="35:35">
      <c r="AI231" s="131"/>
    </row>
    <row r="232" spans="35:35">
      <c r="AI232" s="131"/>
    </row>
    <row r="233" spans="35:35">
      <c r="AI233" s="131"/>
    </row>
    <row r="234" spans="35:35">
      <c r="AI234" s="131"/>
    </row>
    <row r="235" spans="35:35">
      <c r="AI235" s="131"/>
    </row>
    <row r="236" spans="35:35">
      <c r="AI236" s="131"/>
    </row>
    <row r="237" spans="35:35">
      <c r="AI237" s="131"/>
    </row>
    <row r="238" spans="35:35">
      <c r="AI238" s="131"/>
    </row>
    <row r="239" spans="35:35">
      <c r="AI239" s="131"/>
    </row>
    <row r="240" spans="35:35">
      <c r="AI240" s="131"/>
    </row>
    <row r="241" spans="35:35">
      <c r="AI241" s="131"/>
    </row>
    <row r="242" spans="35:35">
      <c r="AI242" s="131"/>
    </row>
    <row r="243" spans="35:35">
      <c r="AI243" s="131"/>
    </row>
    <row r="244" spans="35:35">
      <c r="AI244" s="131"/>
    </row>
    <row r="245" spans="35:35">
      <c r="AI245" s="131"/>
    </row>
    <row r="246" spans="35:35">
      <c r="AI246" s="131"/>
    </row>
    <row r="247" spans="35:35">
      <c r="AI247" s="131"/>
    </row>
    <row r="248" spans="35:35">
      <c r="AI248" s="131"/>
    </row>
    <row r="249" spans="35:35">
      <c r="AI249" s="131"/>
    </row>
    <row r="250" spans="35:35">
      <c r="AI250" s="131"/>
    </row>
    <row r="251" spans="35:35">
      <c r="AI251" s="131"/>
    </row>
    <row r="252" spans="35:35">
      <c r="AI252" s="131"/>
    </row>
    <row r="253" spans="35:35">
      <c r="AI253" s="131"/>
    </row>
    <row r="254" spans="35:35">
      <c r="AI254" s="131"/>
    </row>
    <row r="255" spans="35:35">
      <c r="AI255" s="131"/>
    </row>
    <row r="256" spans="35:35">
      <c r="AI256" s="131"/>
    </row>
    <row r="257" spans="35:35">
      <c r="AI257" s="131"/>
    </row>
    <row r="258" spans="35:35">
      <c r="AI258" s="284"/>
    </row>
    <row r="259" spans="35:35">
      <c r="AI259" s="131"/>
    </row>
    <row r="260" spans="35:35">
      <c r="AI260" s="131"/>
    </row>
    <row r="261" spans="35:35">
      <c r="AI261" s="131"/>
    </row>
    <row r="262" spans="35:35">
      <c r="AI262" s="131"/>
    </row>
    <row r="263" spans="35:35">
      <c r="AI263" s="131"/>
    </row>
    <row r="264" spans="35:35">
      <c r="AI264" s="131"/>
    </row>
    <row r="265" spans="35:35">
      <c r="AI265" s="131"/>
    </row>
    <row r="266" spans="35:35">
      <c r="AI266" s="52"/>
    </row>
    <row r="267" spans="35:35">
      <c r="AI267" s="131"/>
    </row>
    <row r="268" spans="35:35">
      <c r="AI268" s="131"/>
    </row>
    <row r="269" spans="35:35">
      <c r="AI269" s="131"/>
    </row>
    <row r="270" spans="35:35">
      <c r="AI270" s="131"/>
    </row>
    <row r="271" spans="35:35">
      <c r="AI271" s="131"/>
    </row>
    <row r="272" spans="35:35">
      <c r="AI272" s="131"/>
    </row>
    <row r="273" spans="35:35">
      <c r="AI273" s="131"/>
    </row>
    <row r="274" spans="35:35">
      <c r="AI274" s="131"/>
    </row>
    <row r="275" spans="35:35">
      <c r="AI275" s="131"/>
    </row>
    <row r="276" spans="35:35">
      <c r="AI276" s="131"/>
    </row>
    <row r="277" spans="35:35">
      <c r="AI277" s="131"/>
    </row>
    <row r="278" spans="35:35">
      <c r="AI278" s="131"/>
    </row>
    <row r="279" spans="35:35">
      <c r="AI279" s="131"/>
    </row>
    <row r="280" spans="35:35">
      <c r="AI280" s="131"/>
    </row>
    <row r="281" spans="35:35">
      <c r="AI281" s="131"/>
    </row>
    <row r="282" spans="35:35">
      <c r="AI282" s="131"/>
    </row>
    <row r="283" spans="35:35">
      <c r="AI283" s="131"/>
    </row>
    <row r="284" spans="35:35">
      <c r="AI284" s="131"/>
    </row>
    <row r="285" spans="35:35">
      <c r="AI285" s="131"/>
    </row>
    <row r="286" spans="35:35">
      <c r="AI286" s="131"/>
    </row>
    <row r="287" spans="35:35">
      <c r="AI287" s="131"/>
    </row>
    <row r="288" spans="35:35">
      <c r="AI288" s="131"/>
    </row>
    <row r="289" spans="35:35">
      <c r="AI289" s="131"/>
    </row>
    <row r="290" spans="35:35">
      <c r="AI290" s="131"/>
    </row>
    <row r="291" spans="35:35">
      <c r="AI291" s="131"/>
    </row>
    <row r="292" spans="35:35">
      <c r="AI292" s="131"/>
    </row>
    <row r="293" spans="35:35">
      <c r="AI293" s="131"/>
    </row>
    <row r="294" spans="35:35">
      <c r="AI294" s="131"/>
    </row>
    <row r="295" spans="35:35">
      <c r="AI295" s="131"/>
    </row>
    <row r="296" spans="35:35">
      <c r="AI296" s="284"/>
    </row>
    <row r="297" spans="35:35">
      <c r="AI297" s="131"/>
    </row>
    <row r="299" spans="35:35">
      <c r="AI299" s="131"/>
    </row>
    <row r="300" spans="35:35">
      <c r="AI300" s="131"/>
    </row>
    <row r="301" spans="35:35">
      <c r="AI301" s="131"/>
    </row>
    <row r="302" spans="35:35">
      <c r="AI302" s="131"/>
    </row>
    <row r="303" spans="35:35">
      <c r="AI303" s="131"/>
    </row>
    <row r="304" spans="35:35">
      <c r="AI304" s="131"/>
    </row>
    <row r="305" spans="35:35">
      <c r="AI305" s="131"/>
    </row>
    <row r="306" spans="35:35">
      <c r="AI306" s="131"/>
    </row>
    <row r="307" spans="35:35">
      <c r="AI307" s="131"/>
    </row>
    <row r="308" spans="35:35">
      <c r="AI308" s="131"/>
    </row>
    <row r="309" spans="35:35">
      <c r="AI309" s="131"/>
    </row>
    <row r="310" spans="35:35">
      <c r="AI310" s="131"/>
    </row>
    <row r="311" spans="35:35">
      <c r="AI311" s="131"/>
    </row>
    <row r="312" spans="35:35">
      <c r="AI312" s="131"/>
    </row>
    <row r="313" spans="35:35">
      <c r="AI313" s="131"/>
    </row>
    <row r="314" spans="35:35">
      <c r="AI314" s="284"/>
    </row>
    <row r="315" spans="35:35">
      <c r="AI315" s="131"/>
    </row>
    <row r="316" spans="35:35">
      <c r="AI316" s="131"/>
    </row>
    <row r="317" spans="35:35">
      <c r="AI317" s="131"/>
    </row>
    <row r="318" spans="35:35">
      <c r="AI318" s="131"/>
    </row>
    <row r="319" spans="35:35">
      <c r="AI319" s="131"/>
    </row>
    <row r="320" spans="35:35">
      <c r="AI320" s="131"/>
    </row>
    <row r="321" spans="35:35">
      <c r="AI321" s="131"/>
    </row>
    <row r="322" spans="35:35">
      <c r="AI322" s="131"/>
    </row>
    <row r="323" spans="35:35">
      <c r="AI323" s="131"/>
    </row>
    <row r="324" spans="35:35">
      <c r="AI324" s="131"/>
    </row>
    <row r="325" spans="35:35">
      <c r="AI325" s="131"/>
    </row>
    <row r="326" spans="35:35">
      <c r="AI326" s="131"/>
    </row>
    <row r="327" spans="35:35">
      <c r="AI327" s="131"/>
    </row>
    <row r="328" spans="35:35">
      <c r="AI328" s="131"/>
    </row>
    <row r="329" spans="35:35">
      <c r="AI329" s="131"/>
    </row>
    <row r="330" spans="35:35">
      <c r="AI330" s="131"/>
    </row>
    <row r="331" spans="35:35">
      <c r="AI331" s="131"/>
    </row>
    <row r="332" spans="35:35">
      <c r="AI332" s="131"/>
    </row>
    <row r="333" spans="35:35">
      <c r="AI333" s="131"/>
    </row>
    <row r="334" spans="35:35">
      <c r="AI334" s="131"/>
    </row>
    <row r="335" spans="35:35">
      <c r="AI335" s="131"/>
    </row>
    <row r="336" spans="35:35">
      <c r="AI336" s="131"/>
    </row>
    <row r="337" spans="35:35">
      <c r="AI337" s="131"/>
    </row>
    <row r="338" spans="35:35">
      <c r="AI338" s="131"/>
    </row>
    <row r="339" spans="35:35">
      <c r="AI339" s="131"/>
    </row>
    <row r="340" spans="35:35">
      <c r="AI340" s="131"/>
    </row>
    <row r="341" spans="35:35">
      <c r="AI341" s="131"/>
    </row>
    <row r="342" spans="35:35">
      <c r="AI342" s="284"/>
    </row>
    <row r="343" spans="35:35">
      <c r="AI343" s="131"/>
    </row>
    <row r="344" spans="35:35">
      <c r="AI344" s="131"/>
    </row>
    <row r="345" spans="35:35">
      <c r="AI345" s="131"/>
    </row>
    <row r="346" spans="35:35">
      <c r="AI346" s="131"/>
    </row>
    <row r="347" spans="35:35">
      <c r="AI347" s="131"/>
    </row>
    <row r="348" spans="35:35">
      <c r="AI348" s="131"/>
    </row>
    <row r="349" spans="35:35">
      <c r="AI349" s="131"/>
    </row>
    <row r="350" spans="35:35">
      <c r="AI350" s="131"/>
    </row>
    <row r="351" spans="35:35">
      <c r="AI351" s="131"/>
    </row>
    <row r="352" spans="35:35">
      <c r="AI352" s="131"/>
    </row>
    <row r="353" spans="35:35">
      <c r="AI353" s="131"/>
    </row>
    <row r="354" spans="35:35">
      <c r="AI354" s="131"/>
    </row>
    <row r="355" spans="35:35">
      <c r="AI355" s="131"/>
    </row>
    <row r="356" spans="35:35">
      <c r="AI356" s="131"/>
    </row>
    <row r="357" spans="35:35">
      <c r="AI357" s="131"/>
    </row>
    <row r="358" spans="35:35">
      <c r="AI358" s="131"/>
    </row>
    <row r="359" spans="35:35">
      <c r="AI359" s="131"/>
    </row>
    <row r="360" spans="35:35">
      <c r="AI360" s="284"/>
    </row>
    <row r="361" spans="35:35">
      <c r="AI361" s="131"/>
    </row>
    <row r="362" spans="35:35">
      <c r="AI362" s="284"/>
    </row>
    <row r="363" spans="35:35">
      <c r="AI363" s="131"/>
    </row>
    <row r="364" spans="35:35">
      <c r="AI364" s="131"/>
    </row>
    <row r="365" spans="35:35">
      <c r="AI365" s="131"/>
    </row>
    <row r="366" spans="35:35">
      <c r="AI366" s="131"/>
    </row>
    <row r="367" spans="35:35">
      <c r="AI367" s="131"/>
    </row>
    <row r="368" spans="35:35">
      <c r="AI368" s="131"/>
    </row>
    <row r="369" spans="35:35">
      <c r="AI369" s="131"/>
    </row>
    <row r="370" spans="35:35">
      <c r="AI370" s="131"/>
    </row>
    <row r="371" spans="35:35">
      <c r="AI371" s="131"/>
    </row>
    <row r="372" spans="35:35">
      <c r="AI372" s="131"/>
    </row>
    <row r="373" spans="35:35">
      <c r="AI373" s="131"/>
    </row>
    <row r="374" spans="35:35">
      <c r="AI374" s="131"/>
    </row>
    <row r="375" spans="35:35">
      <c r="AI375" s="131"/>
    </row>
    <row r="376" spans="35:35">
      <c r="AI376" s="131"/>
    </row>
    <row r="377" spans="35:35">
      <c r="AI377" s="131"/>
    </row>
    <row r="378" spans="35:35">
      <c r="AI378" s="131"/>
    </row>
    <row r="379" spans="35:35">
      <c r="AI379" s="131"/>
    </row>
    <row r="380" spans="35:35">
      <c r="AI380" s="131"/>
    </row>
    <row r="381" spans="35:35">
      <c r="AI381" s="131"/>
    </row>
    <row r="382" spans="35:35">
      <c r="AI382" s="131"/>
    </row>
    <row r="383" spans="35:35">
      <c r="AI383" s="131"/>
    </row>
    <row r="384" spans="35:35">
      <c r="AI384" s="131"/>
    </row>
    <row r="385" spans="35:35">
      <c r="AI385" s="131"/>
    </row>
    <row r="386" spans="35:35">
      <c r="AI386" s="131"/>
    </row>
    <row r="387" spans="35:35">
      <c r="AI387" s="131"/>
    </row>
    <row r="388" spans="35:35">
      <c r="AI388" s="131"/>
    </row>
    <row r="389" spans="35:35">
      <c r="AI389" s="131"/>
    </row>
    <row r="390" spans="35:35">
      <c r="AI390" s="131"/>
    </row>
    <row r="391" spans="35:35">
      <c r="AI391" s="131"/>
    </row>
    <row r="392" spans="35:35">
      <c r="AI392" s="131"/>
    </row>
    <row r="393" spans="35:35">
      <c r="AI393" s="131"/>
    </row>
    <row r="394" spans="35:35">
      <c r="AI394" s="131"/>
    </row>
    <row r="395" spans="35:35">
      <c r="AI395" s="131"/>
    </row>
    <row r="396" spans="35:35">
      <c r="AI396" s="131"/>
    </row>
    <row r="397" spans="35:35">
      <c r="AI397" s="284"/>
    </row>
    <row r="398" spans="35:35">
      <c r="AI398" s="131"/>
    </row>
    <row r="399" spans="35:35">
      <c r="AI399" s="131"/>
    </row>
    <row r="400" spans="35:35">
      <c r="AI400" s="131"/>
    </row>
    <row r="401" spans="35:35">
      <c r="AI401" s="131"/>
    </row>
    <row r="402" spans="35:35">
      <c r="AI402" s="131"/>
    </row>
    <row r="403" spans="35:35">
      <c r="AI403" s="131"/>
    </row>
    <row r="404" spans="35:35">
      <c r="AI404" s="131"/>
    </row>
    <row r="405" spans="35:35">
      <c r="AI405" s="131"/>
    </row>
    <row r="406" spans="35:35">
      <c r="AI406" s="131"/>
    </row>
    <row r="407" spans="35:35">
      <c r="AI407" s="131"/>
    </row>
    <row r="408" spans="35:35">
      <c r="AI408" s="131"/>
    </row>
    <row r="409" spans="35:35">
      <c r="AI409" s="131"/>
    </row>
    <row r="410" spans="35:35">
      <c r="AI410" s="131"/>
    </row>
    <row r="411" spans="35:35">
      <c r="AI411" s="131"/>
    </row>
    <row r="412" spans="35:35">
      <c r="AI412" s="131"/>
    </row>
    <row r="413" spans="35:35">
      <c r="AI413" s="131"/>
    </row>
    <row r="414" spans="35:35">
      <c r="AI414" s="131"/>
    </row>
    <row r="415" spans="35:35">
      <c r="AI415" s="131"/>
    </row>
    <row r="416" spans="35:35">
      <c r="AI416" s="131"/>
    </row>
    <row r="417" spans="35:35">
      <c r="AI417" s="131"/>
    </row>
    <row r="418" spans="35:35">
      <c r="AI418" s="131"/>
    </row>
    <row r="419" spans="35:35">
      <c r="AI419" s="131"/>
    </row>
    <row r="420" spans="35:35">
      <c r="AI420" s="131"/>
    </row>
    <row r="421" spans="35:35">
      <c r="AI421" s="131"/>
    </row>
    <row r="422" spans="35:35">
      <c r="AI422" s="131"/>
    </row>
    <row r="423" spans="35:35">
      <c r="AI423" s="131"/>
    </row>
    <row r="424" spans="35:35">
      <c r="AI424" s="131"/>
    </row>
    <row r="425" spans="35:35">
      <c r="AI425" s="131"/>
    </row>
    <row r="426" spans="35:35">
      <c r="AI426" s="131"/>
    </row>
    <row r="427" spans="35:35">
      <c r="AI427" s="131"/>
    </row>
    <row r="428" spans="35:35">
      <c r="AI428" s="131"/>
    </row>
    <row r="429" spans="35:35">
      <c r="AI429" s="131"/>
    </row>
    <row r="430" spans="35:35">
      <c r="AI430" s="131"/>
    </row>
    <row r="431" spans="35:35">
      <c r="AI431" s="131"/>
    </row>
    <row r="432" spans="35:35">
      <c r="AI432" s="131"/>
    </row>
    <row r="433" spans="35:35">
      <c r="AI433" s="131"/>
    </row>
    <row r="434" spans="35:35">
      <c r="AI434" s="131"/>
    </row>
    <row r="435" spans="35:35">
      <c r="AI435" s="131"/>
    </row>
    <row r="436" spans="35:35">
      <c r="AI436" s="131"/>
    </row>
    <row r="437" spans="35:35">
      <c r="AI437" s="131"/>
    </row>
    <row r="438" spans="35:35">
      <c r="AI438" s="131"/>
    </row>
    <row r="439" spans="35:35">
      <c r="AI439" s="131"/>
    </row>
    <row r="440" spans="35:35">
      <c r="AI440" s="131"/>
    </row>
    <row r="441" spans="35:35">
      <c r="AI441" s="131"/>
    </row>
    <row r="442" spans="35:35">
      <c r="AI442" s="286"/>
    </row>
    <row r="443" spans="35:35">
      <c r="AI443" s="131"/>
    </row>
    <row r="444" spans="35:35">
      <c r="AI444" s="131"/>
    </row>
    <row r="445" spans="35:35">
      <c r="AI445" s="131"/>
    </row>
    <row r="446" spans="35:35">
      <c r="AI446" s="131"/>
    </row>
    <row r="447" spans="35:35">
      <c r="AI447" s="131"/>
    </row>
    <row r="448" spans="35:35">
      <c r="AI448" s="131"/>
    </row>
    <row r="449" spans="35:35">
      <c r="AI449" s="131"/>
    </row>
    <row r="450" spans="35:35">
      <c r="AI450" s="131"/>
    </row>
    <row r="451" spans="35:35">
      <c r="AI451" s="131"/>
    </row>
    <row r="452" spans="35:35">
      <c r="AI452" s="131"/>
    </row>
    <row r="453" spans="35:35">
      <c r="AI453" s="131"/>
    </row>
    <row r="454" spans="35:35">
      <c r="AI454" s="131"/>
    </row>
    <row r="455" spans="35:35">
      <c r="AI455" s="131"/>
    </row>
    <row r="456" spans="35:35">
      <c r="AI456" s="131"/>
    </row>
    <row r="457" spans="35:35">
      <c r="AI457" s="131"/>
    </row>
    <row r="458" spans="35:35">
      <c r="AI458" s="131"/>
    </row>
    <row r="459" spans="35:35">
      <c r="AI459" s="131"/>
    </row>
    <row r="460" spans="35:35">
      <c r="AI460" s="131"/>
    </row>
    <row r="461" spans="35:35">
      <c r="AI461" s="131"/>
    </row>
    <row r="462" spans="35:35">
      <c r="AI462" s="131"/>
    </row>
    <row r="463" spans="35:35">
      <c r="AI463" s="131"/>
    </row>
    <row r="464" spans="35:35">
      <c r="AI464" s="131"/>
    </row>
    <row r="465" spans="35:35">
      <c r="AI465" s="131"/>
    </row>
    <row r="466" spans="35:35">
      <c r="AI466" s="131"/>
    </row>
    <row r="467" spans="35:35">
      <c r="AI467" s="131"/>
    </row>
    <row r="468" spans="35:35">
      <c r="AI468" s="131"/>
    </row>
    <row r="469" spans="35:35">
      <c r="AI469" s="131"/>
    </row>
    <row r="470" spans="35:35">
      <c r="AI470" s="131"/>
    </row>
    <row r="471" spans="35:35">
      <c r="AI471" s="131"/>
    </row>
    <row r="472" spans="35:35">
      <c r="AI472" s="131"/>
    </row>
    <row r="473" spans="35:35">
      <c r="AI473" s="131"/>
    </row>
    <row r="474" spans="35:35">
      <c r="AI474" s="131"/>
    </row>
    <row r="475" spans="35:35">
      <c r="AI475" s="131"/>
    </row>
    <row r="476" spans="35:35">
      <c r="AI476" s="131"/>
    </row>
    <row r="477" spans="35:35">
      <c r="AI477" s="131"/>
    </row>
    <row r="478" spans="35:35">
      <c r="AI478" s="131"/>
    </row>
    <row r="479" spans="35:35">
      <c r="AI479" s="131"/>
    </row>
    <row r="480" spans="35:35">
      <c r="AI480" s="131"/>
    </row>
    <row r="481" spans="35:35">
      <c r="AI481" s="131"/>
    </row>
    <row r="482" spans="35:35">
      <c r="AI482" s="131"/>
    </row>
    <row r="483" spans="35:35">
      <c r="AI483" s="34"/>
    </row>
    <row r="484" spans="35:35">
      <c r="AI484" s="131"/>
    </row>
    <row r="485" spans="35:35">
      <c r="AI485" s="131"/>
    </row>
    <row r="486" spans="35:35">
      <c r="AI486" s="284"/>
    </row>
    <row r="487" spans="35:35">
      <c r="AI487" s="131"/>
    </row>
    <row r="488" spans="35:35">
      <c r="AI488" s="131"/>
    </row>
    <row r="489" spans="35:35">
      <c r="AI489" s="131"/>
    </row>
    <row r="490" spans="35:35">
      <c r="AI490" s="131"/>
    </row>
    <row r="491" spans="35:35">
      <c r="AI491" s="131"/>
    </row>
    <row r="492" spans="35:35">
      <c r="AI492" s="284"/>
    </row>
    <row r="493" spans="35:35">
      <c r="AI493" s="131"/>
    </row>
    <row r="494" spans="35:35">
      <c r="AI494" s="131"/>
    </row>
    <row r="495" spans="35:35">
      <c r="AI495" s="131"/>
    </row>
    <row r="496" spans="35:35">
      <c r="AI496" s="131"/>
    </row>
    <row r="497" spans="35:35">
      <c r="AI497" s="131"/>
    </row>
    <row r="498" spans="35:35">
      <c r="AI498" s="131"/>
    </row>
    <row r="499" spans="35:35">
      <c r="AI499" s="131"/>
    </row>
    <row r="500" spans="35:35">
      <c r="AI500" s="131"/>
    </row>
    <row r="501" spans="35:35">
      <c r="AI501" s="131"/>
    </row>
    <row r="502" spans="35:35">
      <c r="AI502" s="131"/>
    </row>
    <row r="503" spans="35:35">
      <c r="AI503" s="284"/>
    </row>
    <row r="504" spans="35:35">
      <c r="AI504" s="131"/>
    </row>
    <row r="505" spans="35:35">
      <c r="AI505" s="131"/>
    </row>
    <row r="506" spans="35:35">
      <c r="AI506" s="131"/>
    </row>
    <row r="507" spans="35:35">
      <c r="AI507" s="131"/>
    </row>
    <row r="508" spans="35:35">
      <c r="AI508" s="131"/>
    </row>
    <row r="509" spans="35:35">
      <c r="AI509" s="131"/>
    </row>
    <row r="510" spans="35:35">
      <c r="AI510" s="131"/>
    </row>
    <row r="511" spans="35:35">
      <c r="AI511" s="131"/>
    </row>
    <row r="512" spans="35:35">
      <c r="AI512" s="131"/>
    </row>
    <row r="513" spans="35:35">
      <c r="AI513" s="284"/>
    </row>
    <row r="514" spans="35:35">
      <c r="AI514" s="131"/>
    </row>
    <row r="515" spans="35:35">
      <c r="AI515" s="131"/>
    </row>
    <row r="516" spans="35:35">
      <c r="AI516" s="131"/>
    </row>
    <row r="517" spans="35:35">
      <c r="AI517" s="131"/>
    </row>
    <row r="518" spans="35:35">
      <c r="AI518" s="131"/>
    </row>
    <row r="519" spans="35:35">
      <c r="AI519" s="131"/>
    </row>
    <row r="520" spans="35:35">
      <c r="AI520" s="131"/>
    </row>
    <row r="521" spans="35:35">
      <c r="AI521" s="284"/>
    </row>
    <row r="522" spans="35:35">
      <c r="AI522" s="131"/>
    </row>
    <row r="523" spans="35:35">
      <c r="AI523" s="131"/>
    </row>
    <row r="524" spans="35:35">
      <c r="AI524" s="131"/>
    </row>
    <row r="525" spans="35:35">
      <c r="AI525" s="131"/>
    </row>
    <row r="526" spans="35:35">
      <c r="AI526" s="131"/>
    </row>
    <row r="527" spans="35:35">
      <c r="AI527" s="131"/>
    </row>
    <row r="528" spans="35:35">
      <c r="AI528" s="131"/>
    </row>
    <row r="529" spans="35:35">
      <c r="AI529" s="131"/>
    </row>
    <row r="530" spans="35:35">
      <c r="AI530" s="131"/>
    </row>
    <row r="531" spans="35:35">
      <c r="AI531" s="284"/>
    </row>
    <row r="532" spans="35:35">
      <c r="AI532" s="131"/>
    </row>
    <row r="533" spans="35:35">
      <c r="AI533" s="131"/>
    </row>
    <row r="534" spans="35:35">
      <c r="AI534" s="131"/>
    </row>
    <row r="535" spans="35:35">
      <c r="AI535" s="131"/>
    </row>
    <row r="536" spans="35:35">
      <c r="AI536" s="131"/>
    </row>
    <row r="537" spans="35:35">
      <c r="AI537" s="131"/>
    </row>
    <row r="538" spans="35:35">
      <c r="AI538" s="131"/>
    </row>
    <row r="539" spans="35:35">
      <c r="AI539" s="131"/>
    </row>
    <row r="540" spans="35:35">
      <c r="AI540" s="131"/>
    </row>
    <row r="541" spans="35:35">
      <c r="AI541" s="131"/>
    </row>
    <row r="542" spans="35:35">
      <c r="AI542" s="131"/>
    </row>
    <row r="543" spans="35:35">
      <c r="AI543" s="131"/>
    </row>
    <row r="544" spans="35:35">
      <c r="AI544" s="131"/>
    </row>
    <row r="545" spans="35:35">
      <c r="AI545" s="131"/>
    </row>
    <row r="546" spans="35:35">
      <c r="AI546" s="131"/>
    </row>
    <row r="547" spans="35:35">
      <c r="AI547" s="131"/>
    </row>
    <row r="548" spans="35:35">
      <c r="AI548" s="131"/>
    </row>
    <row r="549" spans="35:35">
      <c r="AI549" s="131"/>
    </row>
    <row r="550" spans="35:35">
      <c r="AI550" s="131"/>
    </row>
    <row r="551" spans="35:35">
      <c r="AI551" s="131"/>
    </row>
    <row r="552" spans="35:35">
      <c r="AI552" s="284"/>
    </row>
    <row r="553" spans="35:35">
      <c r="AI553" s="131"/>
    </row>
    <row r="554" spans="35:35">
      <c r="AI554" s="131"/>
    </row>
    <row r="555" spans="35:35">
      <c r="AI555" s="131"/>
    </row>
    <row r="557" spans="35:35">
      <c r="AI557" s="131"/>
    </row>
    <row r="558" spans="35:35">
      <c r="AI558" s="131"/>
    </row>
    <row r="559" spans="35:35">
      <c r="AI559" s="131"/>
    </row>
    <row r="560" spans="35:35">
      <c r="AI560" s="131"/>
    </row>
    <row r="561" spans="35:35">
      <c r="AI561" s="131"/>
    </row>
    <row r="562" spans="35:35">
      <c r="AI562" s="131"/>
    </row>
    <row r="563" spans="35:35">
      <c r="AI563" s="131"/>
    </row>
    <row r="564" spans="35:35">
      <c r="AI564" s="131"/>
    </row>
    <row r="565" spans="35:35">
      <c r="AI565" s="284"/>
    </row>
    <row r="566" spans="35:35">
      <c r="AI566" s="131"/>
    </row>
    <row r="567" spans="35:35">
      <c r="AI567" s="131"/>
    </row>
    <row r="568" spans="35:35">
      <c r="AI568" s="131"/>
    </row>
    <row r="569" spans="35:35">
      <c r="AI569" s="284"/>
    </row>
    <row r="570" spans="35:35">
      <c r="AI570" s="131"/>
    </row>
    <row r="571" spans="35:35">
      <c r="AI571" s="131"/>
    </row>
    <row r="572" spans="35:35">
      <c r="AI572" s="131"/>
    </row>
    <row r="573" spans="35:35">
      <c r="AI573" s="131"/>
    </row>
    <row r="574" spans="35:35">
      <c r="AI574" s="131"/>
    </row>
    <row r="575" spans="35:35">
      <c r="AI575" s="131"/>
    </row>
    <row r="576" spans="35:35">
      <c r="AI576" s="131"/>
    </row>
    <row r="577" spans="35:35">
      <c r="AI577" s="131"/>
    </row>
    <row r="578" spans="35:35">
      <c r="AI578" s="131"/>
    </row>
    <row r="579" spans="35:35">
      <c r="AI579" s="131"/>
    </row>
    <row r="580" spans="35:35">
      <c r="AI580" s="131"/>
    </row>
    <row r="581" spans="35:35">
      <c r="AI581" s="131"/>
    </row>
    <row r="582" spans="35:35">
      <c r="AI582" s="131"/>
    </row>
    <row r="583" spans="35:35">
      <c r="AI583" s="131"/>
    </row>
    <row r="584" spans="35:35">
      <c r="AI584" s="131"/>
    </row>
    <row r="585" spans="35:35">
      <c r="AI585" s="131"/>
    </row>
    <row r="586" spans="35:35">
      <c r="AI586" s="131"/>
    </row>
    <row r="587" spans="35:35">
      <c r="AI587" s="131"/>
    </row>
    <row r="588" spans="35:35">
      <c r="AI588" s="131"/>
    </row>
    <row r="589" spans="35:35">
      <c r="AI589" s="131"/>
    </row>
    <row r="590" spans="35:35">
      <c r="AI590" s="131"/>
    </row>
    <row r="591" spans="35:35">
      <c r="AI591" s="131"/>
    </row>
    <row r="592" spans="35:35">
      <c r="AI592" s="131"/>
    </row>
    <row r="593" spans="35:35">
      <c r="AI593" s="131"/>
    </row>
    <row r="594" spans="35:35">
      <c r="AI594" s="131"/>
    </row>
    <row r="595" spans="35:35">
      <c r="AI595" s="131"/>
    </row>
    <row r="596" spans="35:35">
      <c r="AI596" s="131"/>
    </row>
    <row r="597" spans="35:35">
      <c r="AI597" s="131"/>
    </row>
    <row r="598" spans="35:35">
      <c r="AI598" s="131"/>
    </row>
    <row r="599" spans="35:35">
      <c r="AI599" s="131"/>
    </row>
    <row r="600" spans="35:35">
      <c r="AI600" s="131"/>
    </row>
    <row r="601" spans="35:35">
      <c r="AI601" s="131"/>
    </row>
    <row r="602" spans="35:35">
      <c r="AI602" s="131"/>
    </row>
    <row r="603" spans="35:35">
      <c r="AI603" s="131"/>
    </row>
    <row r="604" spans="35:35">
      <c r="AI604" s="131"/>
    </row>
    <row r="605" spans="35:35">
      <c r="AI605" s="131"/>
    </row>
    <row r="606" spans="35:35">
      <c r="AI606" s="131"/>
    </row>
    <row r="607" spans="35:35">
      <c r="AI607" s="131"/>
    </row>
    <row r="608" spans="35:35">
      <c r="AI608" s="131"/>
    </row>
    <row r="609" spans="35:35">
      <c r="AI609" s="131"/>
    </row>
    <row r="610" spans="35:35">
      <c r="AI610" s="131"/>
    </row>
    <row r="611" spans="35:35">
      <c r="AI611" s="131"/>
    </row>
    <row r="612" spans="35:35">
      <c r="AI612" s="131"/>
    </row>
    <row r="613" spans="35:35">
      <c r="AI613" s="131"/>
    </row>
    <row r="614" spans="35:35">
      <c r="AI614" s="28"/>
    </row>
    <row r="615" spans="35:35">
      <c r="AI615" s="131"/>
    </row>
    <row r="616" spans="35:35">
      <c r="AI616" s="131"/>
    </row>
    <row r="617" spans="35:35">
      <c r="AI617" s="131"/>
    </row>
    <row r="618" spans="35:35">
      <c r="AI618" s="131"/>
    </row>
    <row r="619" spans="35:35">
      <c r="AI619" s="131"/>
    </row>
    <row r="620" spans="35:35">
      <c r="AI620" s="131"/>
    </row>
    <row r="621" spans="35:35">
      <c r="AI621" s="131"/>
    </row>
    <row r="622" spans="35:35">
      <c r="AI622" s="131"/>
    </row>
    <row r="623" spans="35:35">
      <c r="AI623" s="131"/>
    </row>
    <row r="624" spans="35:35">
      <c r="AI624" s="131"/>
    </row>
    <row r="625" spans="35:35">
      <c r="AI625" s="131"/>
    </row>
    <row r="626" spans="35:35">
      <c r="AI626" s="131"/>
    </row>
    <row r="627" spans="35:35">
      <c r="AI627" s="131"/>
    </row>
    <row r="628" spans="35:35">
      <c r="AI628" s="131"/>
    </row>
    <row r="629" spans="35:35">
      <c r="AI629" s="131"/>
    </row>
    <row r="630" spans="35:35">
      <c r="AI630" s="131"/>
    </row>
    <row r="631" spans="35:35">
      <c r="AI631" s="131"/>
    </row>
    <row r="632" spans="35:35">
      <c r="AI632" s="131"/>
    </row>
    <row r="633" spans="35:35">
      <c r="AI633" s="131"/>
    </row>
    <row r="634" spans="35:35">
      <c r="AI634" s="131"/>
    </row>
    <row r="635" spans="35:35">
      <c r="AI635" s="131"/>
    </row>
    <row r="636" spans="35:35">
      <c r="AI636" s="131"/>
    </row>
    <row r="637" spans="35:35">
      <c r="AI637" s="131"/>
    </row>
    <row r="638" spans="35:35">
      <c r="AI638" s="131"/>
    </row>
    <row r="639" spans="35:35">
      <c r="AI639" s="131"/>
    </row>
    <row r="640" spans="35:35">
      <c r="AI640" s="131"/>
    </row>
    <row r="641" spans="35:35">
      <c r="AI641" s="131"/>
    </row>
    <row r="642" spans="35:35">
      <c r="AI642" s="131"/>
    </row>
    <row r="643" spans="35:35">
      <c r="AI643" s="131"/>
    </row>
    <row r="644" spans="35:35">
      <c r="AI644" s="131"/>
    </row>
    <row r="645" spans="35:35">
      <c r="AI645" s="131"/>
    </row>
    <row r="646" spans="35:35">
      <c r="AI646" s="131"/>
    </row>
    <row r="647" spans="35:35">
      <c r="AI647" s="284"/>
    </row>
    <row r="648" spans="35:35">
      <c r="AI648" s="284"/>
    </row>
    <row r="649" spans="35:35">
      <c r="AI649" s="131"/>
    </row>
    <row r="650" spans="35:35">
      <c r="AI650" s="131"/>
    </row>
    <row r="651" spans="35:35">
      <c r="AI651" s="131"/>
    </row>
    <row r="652" spans="35:35">
      <c r="AI652" s="131"/>
    </row>
    <row r="653" spans="35:35">
      <c r="AI653" s="131"/>
    </row>
    <row r="654" spans="35:35">
      <c r="AI654" s="131"/>
    </row>
    <row r="655" spans="35:35">
      <c r="AI655" s="131"/>
    </row>
    <row r="656" spans="35:35">
      <c r="AI656" s="131"/>
    </row>
    <row r="657" spans="35:35">
      <c r="AI657" s="131"/>
    </row>
    <row r="658" spans="35:35">
      <c r="AI658" s="131"/>
    </row>
    <row r="659" spans="35:35">
      <c r="AI659" s="131"/>
    </row>
    <row r="660" spans="35:35">
      <c r="AI660" s="131"/>
    </row>
    <row r="661" spans="35:35">
      <c r="AI661" s="131"/>
    </row>
    <row r="662" spans="35:35">
      <c r="AI662" s="131"/>
    </row>
    <row r="663" spans="35:35">
      <c r="AI663" s="131"/>
    </row>
    <row r="664" spans="35:35">
      <c r="AI664" s="131"/>
    </row>
    <row r="665" spans="35:35">
      <c r="AI665" s="131"/>
    </row>
    <row r="666" spans="35:35">
      <c r="AI666" s="131"/>
    </row>
    <row r="667" spans="35:35">
      <c r="AI667" s="131"/>
    </row>
    <row r="668" spans="35:35">
      <c r="AI668" s="131"/>
    </row>
    <row r="669" spans="35:35">
      <c r="AI669" s="131"/>
    </row>
    <row r="670" spans="35:35">
      <c r="AI670" s="131"/>
    </row>
    <row r="671" spans="35:35">
      <c r="AI671" s="131"/>
    </row>
    <row r="672" spans="35:35">
      <c r="AI672" s="131"/>
    </row>
    <row r="673" spans="35:35">
      <c r="AI673" s="131"/>
    </row>
    <row r="674" spans="35:35">
      <c r="AI674" s="131"/>
    </row>
    <row r="675" spans="35:35">
      <c r="AI675" s="131"/>
    </row>
    <row r="676" spans="35:35">
      <c r="AI676" s="131"/>
    </row>
    <row r="677" spans="35:35">
      <c r="AI677" s="131"/>
    </row>
    <row r="678" spans="35:35">
      <c r="AI678" s="131"/>
    </row>
    <row r="679" spans="35:35">
      <c r="AI679" s="131"/>
    </row>
    <row r="680" spans="35:35">
      <c r="AI680" s="131"/>
    </row>
    <row r="681" spans="35:35">
      <c r="AI681" s="131"/>
    </row>
    <row r="682" spans="35:35">
      <c r="AI682" s="131"/>
    </row>
    <row r="683" spans="35:35">
      <c r="AI683" s="131"/>
    </row>
    <row r="684" spans="35:35">
      <c r="AI684" s="131"/>
    </row>
    <row r="685" spans="35:35">
      <c r="AI685" s="131"/>
    </row>
    <row r="686" spans="35:35">
      <c r="AI686" s="131"/>
    </row>
    <row r="687" spans="35:35">
      <c r="AI687" s="284"/>
    </row>
    <row r="688" spans="35:35">
      <c r="AI688" s="131"/>
    </row>
    <row r="689" spans="35:35">
      <c r="AI689" s="131"/>
    </row>
    <row r="690" spans="35:35">
      <c r="AI690" s="131"/>
    </row>
    <row r="691" spans="35:35">
      <c r="AI691" s="131"/>
    </row>
    <row r="692" spans="35:35">
      <c r="AI692" s="131"/>
    </row>
    <row r="693" spans="35:35">
      <c r="AI693" s="131"/>
    </row>
    <row r="694" spans="35:35">
      <c r="AI694" s="131"/>
    </row>
    <row r="695" spans="35:35">
      <c r="AI695" s="131"/>
    </row>
    <row r="696" spans="35:35">
      <c r="AI696" s="131"/>
    </row>
    <row r="697" spans="35:35">
      <c r="AI697" s="131"/>
    </row>
    <row r="698" spans="35:35">
      <c r="AI698" s="131"/>
    </row>
    <row r="699" spans="35:35">
      <c r="AI699" s="131"/>
    </row>
    <row r="700" spans="35:35">
      <c r="AI700" s="131"/>
    </row>
    <row r="701" spans="35:35">
      <c r="AI701" s="131"/>
    </row>
    <row r="702" spans="35:35">
      <c r="AI702" s="131"/>
    </row>
    <row r="703" spans="35:35">
      <c r="AI703" s="131"/>
    </row>
    <row r="704" spans="35:35">
      <c r="AI704" s="131"/>
    </row>
    <row r="705" spans="35:35">
      <c r="AI705" s="131"/>
    </row>
    <row r="706" spans="35:35">
      <c r="AI706" s="131"/>
    </row>
    <row r="707" spans="35:35">
      <c r="AI707" s="131"/>
    </row>
    <row r="708" spans="35:35">
      <c r="AI708" s="131"/>
    </row>
    <row r="709" spans="35:35">
      <c r="AI709" s="131"/>
    </row>
    <row r="710" spans="35:35">
      <c r="AI710" s="131"/>
    </row>
    <row r="711" spans="35:35">
      <c r="AI711" s="131"/>
    </row>
    <row r="712" spans="35:35">
      <c r="AI712" s="131"/>
    </row>
    <row r="713" spans="35:35">
      <c r="AI713" s="131"/>
    </row>
    <row r="714" spans="35:35">
      <c r="AI714" s="131"/>
    </row>
    <row r="715" spans="35:35">
      <c r="AI715" s="131"/>
    </row>
    <row r="716" spans="35:35">
      <c r="AI716" s="131"/>
    </row>
    <row r="717" spans="35:35">
      <c r="AI717" s="131"/>
    </row>
    <row r="718" spans="35:35">
      <c r="AI718" s="131"/>
    </row>
    <row r="719" spans="35:35">
      <c r="AI719" s="131"/>
    </row>
    <row r="720" spans="35:35">
      <c r="AI720" s="131"/>
    </row>
    <row r="721" spans="35:35">
      <c r="AI721" s="131"/>
    </row>
    <row r="722" spans="35:35">
      <c r="AI722" s="131"/>
    </row>
    <row r="723" spans="35:35">
      <c r="AI723" s="131"/>
    </row>
    <row r="724" spans="35:35">
      <c r="AI724" s="131"/>
    </row>
    <row r="725" spans="35:35">
      <c r="AI725" s="131"/>
    </row>
    <row r="726" spans="35:35">
      <c r="AI726" s="131"/>
    </row>
    <row r="727" spans="35:35">
      <c r="AI727" s="131"/>
    </row>
    <row r="728" spans="35:35">
      <c r="AI728" s="131"/>
    </row>
    <row r="729" spans="35:35">
      <c r="AI729" s="131"/>
    </row>
    <row r="730" spans="35:35">
      <c r="AI730" s="131"/>
    </row>
    <row r="731" spans="35:35">
      <c r="AI731" s="131"/>
    </row>
    <row r="732" spans="35:35">
      <c r="AI732" s="131"/>
    </row>
    <row r="733" spans="35:35">
      <c r="AI733" s="131"/>
    </row>
    <row r="734" spans="35:35">
      <c r="AI734" s="131"/>
    </row>
    <row r="735" spans="35:35">
      <c r="AI735" s="131"/>
    </row>
    <row r="736" spans="35:35">
      <c r="AI736" s="131"/>
    </row>
    <row r="737" spans="35:35">
      <c r="AI737" s="131"/>
    </row>
    <row r="738" spans="35:35">
      <c r="AI738" s="131"/>
    </row>
    <row r="739" spans="35:35">
      <c r="AI739" s="131"/>
    </row>
    <row r="740" spans="35:35">
      <c r="AI740" s="131"/>
    </row>
    <row r="741" spans="35:35">
      <c r="AI741" s="131"/>
    </row>
    <row r="742" spans="35:35">
      <c r="AI742" s="131"/>
    </row>
    <row r="743" spans="35:35">
      <c r="AI743" s="131"/>
    </row>
    <row r="744" spans="35:35">
      <c r="AI744" s="131"/>
    </row>
    <row r="745" spans="35:35">
      <c r="AI745" s="284"/>
    </row>
    <row r="746" spans="35:35">
      <c r="AI746" s="131"/>
    </row>
    <row r="747" spans="35:35">
      <c r="AI747" s="131"/>
    </row>
    <row r="748" spans="35:35">
      <c r="AI748" s="131"/>
    </row>
    <row r="749" spans="35:35">
      <c r="AI749" s="131"/>
    </row>
    <row r="750" spans="35:35">
      <c r="AI750" s="131"/>
    </row>
    <row r="751" spans="35:35">
      <c r="AI751" s="131"/>
    </row>
    <row r="752" spans="35:35">
      <c r="AI752" s="131"/>
    </row>
    <row r="753" spans="35:35">
      <c r="AI753" s="131"/>
    </row>
    <row r="754" spans="35:35">
      <c r="AI754" s="131"/>
    </row>
    <row r="755" spans="35:35">
      <c r="AI755" s="131"/>
    </row>
    <row r="756" spans="35:35">
      <c r="AI756" s="131"/>
    </row>
    <row r="757" spans="35:35">
      <c r="AI757" s="131"/>
    </row>
    <row r="758" spans="35:35">
      <c r="AI758" s="131"/>
    </row>
    <row r="759" spans="35:35">
      <c r="AI759" s="131"/>
    </row>
    <row r="760" spans="35:35">
      <c r="AI760" s="131"/>
    </row>
    <row r="761" spans="35:35">
      <c r="AI761" s="131"/>
    </row>
    <row r="762" spans="35:35">
      <c r="AI762" s="131"/>
    </row>
    <row r="763" spans="35:35">
      <c r="AI763" s="131"/>
    </row>
    <row r="764" spans="35:35">
      <c r="AI764" s="131"/>
    </row>
    <row r="765" spans="35:35">
      <c r="AI765" s="131"/>
    </row>
    <row r="766" spans="35:35">
      <c r="AI766" s="131"/>
    </row>
    <row r="767" spans="35:35">
      <c r="AI767" s="131"/>
    </row>
    <row r="768" spans="35:35">
      <c r="AI768" s="131"/>
    </row>
    <row r="769" spans="35:35">
      <c r="AI769" s="131"/>
    </row>
    <row r="770" spans="35:35">
      <c r="AI770" s="131"/>
    </row>
    <row r="771" spans="35:35">
      <c r="AI771" s="131"/>
    </row>
    <row r="772" spans="35:35">
      <c r="AI772" s="131"/>
    </row>
    <row r="773" spans="35:35">
      <c r="AI773" s="131"/>
    </row>
    <row r="774" spans="35:35">
      <c r="AI774" s="131"/>
    </row>
    <row r="775" spans="35:35">
      <c r="AI775" s="131"/>
    </row>
    <row r="776" spans="35:35">
      <c r="AI776" s="131"/>
    </row>
    <row r="777" spans="35:35">
      <c r="AI777" s="131"/>
    </row>
    <row r="778" spans="35:35">
      <c r="AI778" s="131"/>
    </row>
    <row r="779" spans="35:35">
      <c r="AI779" s="131"/>
    </row>
    <row r="780" spans="35:35">
      <c r="AI780" s="131"/>
    </row>
    <row r="781" spans="35:35">
      <c r="AI781" s="131"/>
    </row>
    <row r="782" spans="35:35">
      <c r="AI782" s="131"/>
    </row>
    <row r="783" spans="35:35">
      <c r="AI783" s="131"/>
    </row>
    <row r="784" spans="35:35">
      <c r="AI784" s="131"/>
    </row>
    <row r="785" spans="35:35">
      <c r="AI785" s="131"/>
    </row>
    <row r="786" spans="35:35">
      <c r="AI786" s="131"/>
    </row>
    <row r="787" spans="35:35">
      <c r="AI787" s="131"/>
    </row>
    <row r="788" spans="35:35">
      <c r="AI788" s="131"/>
    </row>
    <row r="789" spans="35:35">
      <c r="AI789" s="131"/>
    </row>
    <row r="790" spans="35:35">
      <c r="AI790" s="131"/>
    </row>
    <row r="791" spans="35:35">
      <c r="AI791" s="131"/>
    </row>
    <row r="792" spans="35:35">
      <c r="AI792" s="131"/>
    </row>
    <row r="793" spans="35:35">
      <c r="AI793" s="131"/>
    </row>
    <row r="794" spans="35:35">
      <c r="AI794" s="131"/>
    </row>
    <row r="795" spans="35:35">
      <c r="AI795" s="131"/>
    </row>
    <row r="796" spans="35:35">
      <c r="AI796" s="131"/>
    </row>
    <row r="797" spans="35:35">
      <c r="AI797" s="131"/>
    </row>
    <row r="798" spans="35:35">
      <c r="AI798" s="131"/>
    </row>
    <row r="799" spans="35:35">
      <c r="AI799" s="131"/>
    </row>
    <row r="800" spans="35:35">
      <c r="AI800" s="131"/>
    </row>
    <row r="801" spans="35:35">
      <c r="AI801" s="131"/>
    </row>
    <row r="802" spans="35:35">
      <c r="AI802" s="284"/>
    </row>
    <row r="803" spans="35:35">
      <c r="AI803" s="131"/>
    </row>
    <row r="804" spans="35:35">
      <c r="AI804" s="131"/>
    </row>
    <row r="805" spans="35:35">
      <c r="AI805" s="131"/>
    </row>
    <row r="806" spans="35:35">
      <c r="AI806" s="131"/>
    </row>
    <row r="807" spans="35:35">
      <c r="AI807" s="131"/>
    </row>
    <row r="808" spans="35:35">
      <c r="AI808" s="131"/>
    </row>
    <row r="809" spans="35:35">
      <c r="AI809" s="131"/>
    </row>
    <row r="810" spans="35:35">
      <c r="AI810" s="131"/>
    </row>
    <row r="811" spans="35:35">
      <c r="AI811" s="131"/>
    </row>
    <row r="812" spans="35:35">
      <c r="AI812" s="131"/>
    </row>
    <row r="813" spans="35:35">
      <c r="AI813" s="131"/>
    </row>
    <row r="814" spans="35:35">
      <c r="AI814" s="131"/>
    </row>
    <row r="815" spans="35:35">
      <c r="AI815" s="131"/>
    </row>
    <row r="816" spans="35:35">
      <c r="AI816" s="131"/>
    </row>
    <row r="817" spans="35:35">
      <c r="AI817" s="131"/>
    </row>
    <row r="818" spans="35:35">
      <c r="AI818" s="131"/>
    </row>
    <row r="819" spans="35:35">
      <c r="AI819" s="131"/>
    </row>
    <row r="820" spans="35:35">
      <c r="AI820" s="131"/>
    </row>
    <row r="821" spans="35:35">
      <c r="AI821" s="131"/>
    </row>
    <row r="822" spans="35:35">
      <c r="AI822" s="131"/>
    </row>
    <row r="823" spans="35:35">
      <c r="AI823" s="131"/>
    </row>
    <row r="824" spans="35:35">
      <c r="AI824" s="131"/>
    </row>
    <row r="825" spans="35:35">
      <c r="AI825" s="131"/>
    </row>
    <row r="826" spans="35:35">
      <c r="AI826" s="131"/>
    </row>
    <row r="827" spans="35:35">
      <c r="AI827" s="131"/>
    </row>
    <row r="828" spans="35:35">
      <c r="AI828" s="131"/>
    </row>
    <row r="829" spans="35:35">
      <c r="AI829" s="131"/>
    </row>
    <row r="830" spans="35:35">
      <c r="AI830" s="253"/>
    </row>
    <row r="831" spans="35:35">
      <c r="AI831" s="131"/>
    </row>
    <row r="832" spans="35:35">
      <c r="AI832" s="131"/>
    </row>
    <row r="833" spans="35:35">
      <c r="AI833" s="131"/>
    </row>
    <row r="834" spans="35:35">
      <c r="AI834" s="131"/>
    </row>
    <row r="835" spans="35:35">
      <c r="AI835" s="131"/>
    </row>
    <row r="836" spans="35:35">
      <c r="AI836" s="131"/>
    </row>
    <row r="837" spans="35:35">
      <c r="AI837" s="131"/>
    </row>
    <row r="838" spans="35:35">
      <c r="AI838" s="131"/>
    </row>
    <row r="839" spans="35:35">
      <c r="AI839" s="131"/>
    </row>
    <row r="840" spans="35:35">
      <c r="AI840" s="131"/>
    </row>
    <row r="841" spans="35:35">
      <c r="AI841" s="131"/>
    </row>
    <row r="842" spans="35:35">
      <c r="AI842" s="131"/>
    </row>
    <row r="843" spans="35:35">
      <c r="AI843" s="131"/>
    </row>
    <row r="844" spans="35:35">
      <c r="AI844" s="284"/>
    </row>
    <row r="845" spans="35:35">
      <c r="AI845" s="131"/>
    </row>
    <row r="846" spans="35:35">
      <c r="AI846" s="131"/>
    </row>
    <row r="847" spans="35:35">
      <c r="AI847" s="131"/>
    </row>
    <row r="848" spans="35:35">
      <c r="AI848" s="131"/>
    </row>
    <row r="849" spans="35:35">
      <c r="AI849" s="131"/>
    </row>
    <row r="850" spans="35:35">
      <c r="AI850" s="131"/>
    </row>
    <row r="851" spans="35:35">
      <c r="AI851" s="131"/>
    </row>
    <row r="852" spans="35:35">
      <c r="AI852" s="131"/>
    </row>
    <row r="854" spans="35:35">
      <c r="AI854" s="131"/>
    </row>
    <row r="855" spans="35:35">
      <c r="AI855" s="131"/>
    </row>
    <row r="856" spans="35:35">
      <c r="AI856" s="284"/>
    </row>
    <row r="857" spans="35:35">
      <c r="AI857" s="131"/>
    </row>
    <row r="858" spans="35:35">
      <c r="AI858" s="284"/>
    </row>
    <row r="859" spans="35:35">
      <c r="AI859" s="131"/>
    </row>
    <row r="860" spans="35:35">
      <c r="AI860" s="131"/>
    </row>
    <row r="861" spans="35:35">
      <c r="AI861" s="131"/>
    </row>
    <row r="862" spans="35:35">
      <c r="AI862" s="284"/>
    </row>
    <row r="863" spans="35:35">
      <c r="AI863" s="128"/>
    </row>
    <row r="865" spans="35:35">
      <c r="AI865" s="131"/>
    </row>
    <row r="866" spans="35:35">
      <c r="AI866" s="284"/>
    </row>
    <row r="867" spans="35:35">
      <c r="AI867" s="131"/>
    </row>
    <row r="868" spans="35:35">
      <c r="AI868" s="131"/>
    </row>
    <row r="869" spans="35:35">
      <c r="AI869" s="284"/>
    </row>
    <row r="870" spans="35:35">
      <c r="AI870" s="131"/>
    </row>
    <row r="871" spans="35:35">
      <c r="AI871" s="131"/>
    </row>
    <row r="872" spans="35:35">
      <c r="AI872" s="131"/>
    </row>
    <row r="873" spans="35:35">
      <c r="AI873" s="131"/>
    </row>
    <row r="874" spans="35:35">
      <c r="AI874" s="131"/>
    </row>
    <row r="875" spans="35:35">
      <c r="AI875" s="284"/>
    </row>
    <row r="876" spans="35:35">
      <c r="AI876" s="131"/>
    </row>
    <row r="877" spans="35:35">
      <c r="AI877" s="131"/>
    </row>
    <row r="878" spans="35:35">
      <c r="AI878" s="131"/>
    </row>
    <row r="879" spans="35:35">
      <c r="AI879" s="131"/>
    </row>
    <row r="881" spans="35:35">
      <c r="AI881" s="284"/>
    </row>
    <row r="882" spans="35:35">
      <c r="AI882" s="131"/>
    </row>
    <row r="883" spans="35:35">
      <c r="AI883" s="131"/>
    </row>
    <row r="884" spans="35:35">
      <c r="AI884" s="131"/>
    </row>
    <row r="885" spans="35:35">
      <c r="AI885" s="131"/>
    </row>
    <row r="886" spans="35:35">
      <c r="AI886" s="131"/>
    </row>
    <row r="887" spans="35:35">
      <c r="AI887" s="131"/>
    </row>
    <row r="888" spans="35:35">
      <c r="AI888" s="131"/>
    </row>
    <row r="889" spans="35:35">
      <c r="AI889" s="131"/>
    </row>
    <row r="890" spans="35:35">
      <c r="AI890" s="27"/>
    </row>
    <row r="891" spans="35:35">
      <c r="AI891" s="131"/>
    </row>
    <row r="892" spans="35:35">
      <c r="AI892" s="131"/>
    </row>
    <row r="893" spans="35:35">
      <c r="AI893" s="131"/>
    </row>
    <row r="894" spans="35:35">
      <c r="AI894" s="131"/>
    </row>
    <row r="895" spans="35:35">
      <c r="AI895" s="131"/>
    </row>
    <row r="896" spans="35:35">
      <c r="AI896" s="131"/>
    </row>
    <row r="897" spans="35:35">
      <c r="AI897" s="131"/>
    </row>
    <row r="898" spans="35:35">
      <c r="AI898" s="284"/>
    </row>
    <row r="899" spans="35:35">
      <c r="AI899" s="131"/>
    </row>
    <row r="900" spans="35:35">
      <c r="AI900" s="131"/>
    </row>
    <row r="901" spans="35:35">
      <c r="AI901" s="131"/>
    </row>
    <row r="902" spans="35:35">
      <c r="AI902" s="131"/>
    </row>
    <row r="903" spans="35:35">
      <c r="AI903" s="131"/>
    </row>
    <row r="904" spans="35:35">
      <c r="AI904" s="131"/>
    </row>
    <row r="905" spans="35:35">
      <c r="AI905" s="284"/>
    </row>
    <row r="906" spans="35:35">
      <c r="AI906" s="131"/>
    </row>
    <row r="907" spans="35:35">
      <c r="AI907" s="131"/>
    </row>
    <row r="908" spans="35:35">
      <c r="AI908" s="131"/>
    </row>
    <row r="909" spans="35:35">
      <c r="AI909" s="131"/>
    </row>
    <row r="910" spans="35:35">
      <c r="AI910" s="131"/>
    </row>
    <row r="911" spans="35:35">
      <c r="AI911" s="131"/>
    </row>
    <row r="912" spans="35:35">
      <c r="AI912" s="131"/>
    </row>
    <row r="913" spans="35:35">
      <c r="AI913" s="284"/>
    </row>
    <row r="914" spans="35:35">
      <c r="AI914" s="131"/>
    </row>
    <row r="915" spans="35:35">
      <c r="AI915" s="131"/>
    </row>
    <row r="916" spans="35:35">
      <c r="AI916" s="131"/>
    </row>
    <row r="917" spans="35:35">
      <c r="AI917" s="131"/>
    </row>
    <row r="918" spans="35:35">
      <c r="AI918" s="131"/>
    </row>
    <row r="919" spans="35:35">
      <c r="AI919" s="131"/>
    </row>
    <row r="920" spans="35:35">
      <c r="AI920" s="131"/>
    </row>
    <row r="921" spans="35:35">
      <c r="AI921" s="131"/>
    </row>
    <row r="922" spans="35:35">
      <c r="AI922" s="131"/>
    </row>
    <row r="923" spans="35:35">
      <c r="AI923" s="128"/>
    </row>
    <row r="924" spans="35:35">
      <c r="AI924" s="128"/>
    </row>
    <row r="925" spans="35:35">
      <c r="AI925" s="131"/>
    </row>
    <row r="926" spans="35:35">
      <c r="AI926" s="131"/>
    </row>
    <row r="927" spans="35:35">
      <c r="AI927" s="131"/>
    </row>
    <row r="928" spans="35:35">
      <c r="AI928" s="131"/>
    </row>
    <row r="929" spans="35:35">
      <c r="AI929" s="131"/>
    </row>
    <row r="930" spans="35:35">
      <c r="AI930" s="131"/>
    </row>
    <row r="931" spans="35:35">
      <c r="AI931" s="131"/>
    </row>
    <row r="932" spans="35:35">
      <c r="AI932" s="131"/>
    </row>
    <row r="933" spans="35:35">
      <c r="AI933" s="131"/>
    </row>
    <row r="934" spans="35:35">
      <c r="AI934" s="131"/>
    </row>
    <row r="935" spans="35:35">
      <c r="AI935" s="131"/>
    </row>
    <row r="936" spans="35:35">
      <c r="AI936" s="284"/>
    </row>
    <row r="937" spans="35:35">
      <c r="AI937" s="131"/>
    </row>
    <row r="938" spans="35:35">
      <c r="AI938" s="131"/>
    </row>
    <row r="939" spans="35:35">
      <c r="AI939" s="284"/>
    </row>
    <row r="940" spans="35:35">
      <c r="AI940" s="131"/>
    </row>
    <row r="941" spans="35:35">
      <c r="AI941" s="131"/>
    </row>
    <row r="942" spans="35:35">
      <c r="AI942" s="131"/>
    </row>
    <row r="943" spans="35:35">
      <c r="AI943" s="44"/>
    </row>
    <row r="945" spans="35:35">
      <c r="AI945" s="131"/>
    </row>
    <row r="946" spans="35:35">
      <c r="AI946" s="131"/>
    </row>
    <row r="947" spans="35:35">
      <c r="AI947" s="131"/>
    </row>
    <row r="948" spans="35:35">
      <c r="AI948" s="131"/>
    </row>
    <row r="949" spans="35:35">
      <c r="AI949" s="131"/>
    </row>
    <row r="950" spans="35:35">
      <c r="AI950" s="131"/>
    </row>
    <row r="951" spans="35:35">
      <c r="AI951" s="131"/>
    </row>
    <row r="952" spans="35:35">
      <c r="AI952" s="131"/>
    </row>
    <row r="953" spans="35:35">
      <c r="AI953" s="128"/>
    </row>
    <row r="954" spans="35:35">
      <c r="AI954" s="131"/>
    </row>
    <row r="955" spans="35:35">
      <c r="AI955" s="131"/>
    </row>
    <row r="956" spans="35:35">
      <c r="AI956" s="131"/>
    </row>
    <row r="957" spans="35:35">
      <c r="AI957" s="131"/>
    </row>
    <row r="958" spans="35:35">
      <c r="AI958" s="131"/>
    </row>
    <row r="959" spans="35:35">
      <c r="AI959" s="131"/>
    </row>
    <row r="960" spans="35:35">
      <c r="AI960" s="131"/>
    </row>
    <row r="961" spans="35:35">
      <c r="AI961" s="131"/>
    </row>
    <row r="963" spans="35:35">
      <c r="AI963" s="131"/>
    </row>
    <row r="964" spans="35:35">
      <c r="AI964" s="131"/>
    </row>
    <row r="965" spans="35:35">
      <c r="AI965" s="131"/>
    </row>
    <row r="966" spans="35:35">
      <c r="AI966" s="131"/>
    </row>
    <row r="967" spans="35:35">
      <c r="AI967" s="284"/>
    </row>
    <row r="968" spans="35:35">
      <c r="AI968" s="131"/>
    </row>
    <row r="969" spans="35:35">
      <c r="AI969" s="131"/>
    </row>
    <row r="970" spans="35:35">
      <c r="AI970" s="131"/>
    </row>
    <row r="971" spans="35:35">
      <c r="AI971" s="131"/>
    </row>
    <row r="972" spans="35:35">
      <c r="AI972" s="131"/>
    </row>
    <row r="973" spans="35:35">
      <c r="AI973" s="131"/>
    </row>
    <row r="974" spans="35:35">
      <c r="AI974" s="128"/>
    </row>
    <row r="975" spans="35:35">
      <c r="AI975" s="131"/>
    </row>
    <row r="976" spans="35:35">
      <c r="AI976" s="284"/>
    </row>
    <row r="977" spans="35:35">
      <c r="AI977" s="131"/>
    </row>
    <row r="978" spans="35:35">
      <c r="AI978" s="131"/>
    </row>
    <row r="979" spans="35:35">
      <c r="AI979" s="131"/>
    </row>
    <row r="980" spans="35:35">
      <c r="AI980" s="131"/>
    </row>
    <row r="981" spans="35:35">
      <c r="AI981" s="131"/>
    </row>
    <row r="982" spans="35:35">
      <c r="AI982" s="131"/>
    </row>
    <row r="983" spans="35:35">
      <c r="AI983" s="131"/>
    </row>
    <row r="984" spans="35:35">
      <c r="AI984" s="131"/>
    </row>
    <row r="985" spans="35:35">
      <c r="AI985" s="131"/>
    </row>
    <row r="986" spans="35:35">
      <c r="AI986" s="131"/>
    </row>
    <row r="987" spans="35:35">
      <c r="AI987" s="131"/>
    </row>
    <row r="988" spans="35:35">
      <c r="AI988" s="131"/>
    </row>
    <row r="989" spans="35:35">
      <c r="AI989" s="131"/>
    </row>
    <row r="990" spans="35:35">
      <c r="AI990" s="131"/>
    </row>
    <row r="991" spans="35:35">
      <c r="AI991" s="131"/>
    </row>
    <row r="992" spans="35:35">
      <c r="AI992" s="131"/>
    </row>
    <row r="993" spans="35:35">
      <c r="AI993" s="131"/>
    </row>
    <row r="994" spans="35:35">
      <c r="AI994" s="131"/>
    </row>
    <row r="995" spans="35:35">
      <c r="AI995" s="128"/>
    </row>
    <row r="996" spans="35:35">
      <c r="AI996" s="131"/>
    </row>
    <row r="997" spans="35:35">
      <c r="AI997" s="131"/>
    </row>
    <row r="998" spans="35:35">
      <c r="AI998" s="131"/>
    </row>
    <row r="999" spans="35:35">
      <c r="AI999" s="131"/>
    </row>
    <row r="1000" spans="35:35">
      <c r="AI1000" s="131"/>
    </row>
    <row r="1001" spans="35:35">
      <c r="AI1001" s="28"/>
    </row>
    <row r="1002" spans="35:35">
      <c r="AI1002" s="128"/>
    </row>
    <row r="1003" spans="35:35">
      <c r="AI1003" s="284"/>
    </row>
    <row r="1004" spans="35:35">
      <c r="AI1004" s="284"/>
    </row>
    <row r="1005" spans="35:35">
      <c r="AI1005" s="131"/>
    </row>
    <row r="1006" spans="35:35">
      <c r="AI1006" s="128"/>
    </row>
    <row r="1007" spans="35:35">
      <c r="AI1007" s="131"/>
    </row>
    <row r="1008" spans="35:35">
      <c r="AI1008" s="131"/>
    </row>
    <row r="1009" spans="35:35">
      <c r="AI1009" s="131"/>
    </row>
    <row r="1010" spans="35:35">
      <c r="AI1010" s="44"/>
    </row>
    <row r="1011" spans="35:35">
      <c r="AI1011" s="131"/>
    </row>
    <row r="1013" spans="35:35">
      <c r="AI1013" s="131"/>
    </row>
    <row r="1014" spans="35:35">
      <c r="AI1014" s="128"/>
    </row>
    <row r="1015" spans="35:35">
      <c r="AI1015" s="131"/>
    </row>
    <row r="1016" spans="35:35">
      <c r="AI1016" s="131"/>
    </row>
    <row r="1017" spans="35:35">
      <c r="AI1017" s="128"/>
    </row>
    <row r="1018" spans="35:35">
      <c r="AI1018" s="131"/>
    </row>
    <row r="1019" spans="35:35">
      <c r="AI1019" s="131"/>
    </row>
    <row r="1020" spans="35:35">
      <c r="AI1020" s="131"/>
    </row>
    <row r="1021" spans="35:35">
      <c r="AI1021" s="131"/>
    </row>
    <row r="1022" spans="35:35">
      <c r="AI1022" s="131"/>
    </row>
    <row r="1023" spans="35:35">
      <c r="AI1023" s="131"/>
    </row>
    <row r="1024" spans="35:35">
      <c r="AI1024" s="131"/>
    </row>
    <row r="1025" spans="35:36">
      <c r="AI1025" s="131"/>
    </row>
    <row r="1026" spans="35:36">
      <c r="AI1026" s="131"/>
    </row>
    <row r="1027" spans="35:36">
      <c r="AI1027" s="131"/>
    </row>
    <row r="1028" spans="35:36">
      <c r="AI1028" s="284"/>
    </row>
    <row r="1029" spans="35:36">
      <c r="AI1029" s="131"/>
    </row>
    <row r="1030" spans="35:36">
      <c r="AI1030" s="131"/>
    </row>
    <row r="1031" spans="35:36">
      <c r="AI1031" s="131"/>
    </row>
    <row r="1032" spans="35:36">
      <c r="AI1032" s="131"/>
    </row>
    <row r="1033" spans="35:36">
      <c r="AI1033" s="131"/>
      <c r="AJ1033" s="264" t="s">
        <v>5277</v>
      </c>
    </row>
    <row r="1034" spans="35:36">
      <c r="AI1034" s="131"/>
    </row>
    <row r="1035" spans="35:36">
      <c r="AI1035" s="128"/>
    </row>
    <row r="1036" spans="35:36">
      <c r="AI1036" s="131"/>
    </row>
    <row r="1037" spans="35:36">
      <c r="AI1037" s="131"/>
    </row>
    <row r="1038" spans="35:36">
      <c r="AI1038" s="131"/>
    </row>
    <row r="1039" spans="35:36">
      <c r="AI1039" s="131"/>
    </row>
    <row r="1040" spans="35:36">
      <c r="AI1040" s="284"/>
    </row>
    <row r="1042" spans="35:35">
      <c r="AI1042" s="131"/>
    </row>
    <row r="1043" spans="35:35">
      <c r="AI1043" s="131"/>
    </row>
    <row r="1044" spans="35:35">
      <c r="AI1044" s="131"/>
    </row>
    <row r="1045" spans="35:35">
      <c r="AI1045" s="28"/>
    </row>
    <row r="1046" spans="35:35">
      <c r="AI1046" s="131"/>
    </row>
    <row r="1047" spans="35:35">
      <c r="AI1047" s="284"/>
    </row>
    <row r="1048" spans="35:35">
      <c r="AI1048" s="128"/>
    </row>
    <row r="1049" spans="35:35">
      <c r="AI1049" s="131"/>
    </row>
    <row r="1050" spans="35:35">
      <c r="AI1050" s="131"/>
    </row>
    <row r="1051" spans="35:35">
      <c r="AI1051" s="131"/>
    </row>
    <row r="1052" spans="35:35">
      <c r="AI1052" s="131"/>
    </row>
    <row r="1053" spans="35:35">
      <c r="AI1053" s="131"/>
    </row>
    <row r="1054" spans="35:35">
      <c r="AI1054" s="131"/>
    </row>
    <row r="1055" spans="35:35">
      <c r="AI1055" s="131"/>
    </row>
    <row r="1056" spans="35:35">
      <c r="AI1056" s="131"/>
    </row>
    <row r="1057" spans="35:35">
      <c r="AI1057" s="131"/>
    </row>
    <row r="1058" spans="35:35">
      <c r="AI1058" s="131"/>
    </row>
    <row r="1059" spans="35:35">
      <c r="AI1059" s="131"/>
    </row>
    <row r="1060" spans="35:35">
      <c r="AI1060" s="131"/>
    </row>
    <row r="1061" spans="35:35">
      <c r="AI1061" s="131"/>
    </row>
    <row r="1062" spans="35:35">
      <c r="AI1062" s="284"/>
    </row>
    <row r="1064" spans="35:35">
      <c r="AI1064" s="131"/>
    </row>
    <row r="1065" spans="35:35">
      <c r="AI1065" s="131"/>
    </row>
    <row r="1066" spans="35:35">
      <c r="AI1066" s="131"/>
    </row>
    <row r="1067" spans="35:35">
      <c r="AI1067" s="131"/>
    </row>
    <row r="1068" spans="35:35">
      <c r="AI1068" s="131"/>
    </row>
    <row r="1069" spans="35:35">
      <c r="AI1069" s="131"/>
    </row>
    <row r="1070" spans="35:35">
      <c r="AI1070" s="131"/>
    </row>
    <row r="1071" spans="35:35">
      <c r="AI1071" s="131"/>
    </row>
    <row r="1072" spans="35:35">
      <c r="AI1072" s="131"/>
    </row>
    <row r="1073" spans="35:35">
      <c r="AI1073" s="131"/>
    </row>
    <row r="1074" spans="35:35">
      <c r="AI1074" s="131"/>
    </row>
    <row r="1075" spans="35:35">
      <c r="AI1075" s="131"/>
    </row>
    <row r="1076" spans="35:35">
      <c r="AI1076" s="131"/>
    </row>
    <row r="1077" spans="35:35">
      <c r="AI1077" s="131"/>
    </row>
    <row r="1079" spans="35:35">
      <c r="AI1079" s="131"/>
    </row>
    <row r="1080" spans="35:35">
      <c r="AI1080" s="128"/>
    </row>
    <row r="1081" spans="35:35">
      <c r="AI1081" s="131"/>
    </row>
    <row r="1082" spans="35:35">
      <c r="AI1082" s="131"/>
    </row>
    <row r="1083" spans="35:35">
      <c r="AI1083" s="131"/>
    </row>
    <row r="1084" spans="35:35">
      <c r="AI1084" s="131"/>
    </row>
    <row r="1085" spans="35:35">
      <c r="AI1085" s="131"/>
    </row>
    <row r="1086" spans="35:35">
      <c r="AI1086" s="131"/>
    </row>
    <row r="1088" spans="35:35">
      <c r="AI1088" s="131"/>
    </row>
    <row r="1089" spans="35:35">
      <c r="AI1089" s="131"/>
    </row>
    <row r="1090" spans="35:35">
      <c r="AI1090" s="131"/>
    </row>
    <row r="1091" spans="35:35">
      <c r="AI1091" s="131"/>
    </row>
    <row r="1092" spans="35:35">
      <c r="AI1092" s="131"/>
    </row>
    <row r="1093" spans="35:35">
      <c r="AI1093" s="131"/>
    </row>
    <row r="1094" spans="35:35">
      <c r="AI1094" s="131"/>
    </row>
    <row r="1095" spans="35:35">
      <c r="AI1095" s="131"/>
    </row>
    <row r="1096" spans="35:35">
      <c r="AI1096" s="131"/>
    </row>
    <row r="1097" spans="35:35">
      <c r="AI1097" s="128"/>
    </row>
    <row r="1098" spans="35:35">
      <c r="AI1098" s="131"/>
    </row>
    <row r="1099" spans="35:35">
      <c r="AI1099" s="131"/>
    </row>
    <row r="1100" spans="35:35">
      <c r="AI1100" s="131"/>
    </row>
    <row r="1102" spans="35:35">
      <c r="AI1102" s="131"/>
    </row>
    <row r="1103" spans="35:35">
      <c r="AI1103" s="131"/>
    </row>
    <row r="1104" spans="35:35">
      <c r="AI1104" s="284"/>
    </row>
    <row r="1105" spans="35:35">
      <c r="AI1105" s="131"/>
    </row>
    <row r="1106" spans="35:35">
      <c r="AI1106" s="284"/>
    </row>
    <row r="1107" spans="35:35">
      <c r="AI1107" s="131"/>
    </row>
    <row r="1108" spans="35:35">
      <c r="AI1108" s="131"/>
    </row>
    <row r="1109" spans="35:35">
      <c r="AI1109" s="131"/>
    </row>
    <row r="1110" spans="35:35">
      <c r="AI1110" s="284"/>
    </row>
    <row r="1111" spans="35:35">
      <c r="AI1111" s="284"/>
    </row>
    <row r="1112" spans="35:35">
      <c r="AI1112" s="131"/>
    </row>
    <row r="1113" spans="35:35">
      <c r="AI1113" s="131"/>
    </row>
    <row r="1114" spans="35:35">
      <c r="AI1114" s="131"/>
    </row>
    <row r="1115" spans="35:35">
      <c r="AI1115" s="131"/>
    </row>
    <row r="1116" spans="35:35">
      <c r="AI1116" s="284"/>
    </row>
    <row r="1117" spans="35:35">
      <c r="AI1117" s="131"/>
    </row>
    <row r="1118" spans="35:35">
      <c r="AI1118" s="284"/>
    </row>
    <row r="1119" spans="35:35">
      <c r="AI1119" s="131"/>
    </row>
    <row r="1120" spans="35:35">
      <c r="AI1120" s="284"/>
    </row>
    <row r="1121" spans="35:35">
      <c r="AI1121" s="131"/>
    </row>
    <row r="1122" spans="35:35">
      <c r="AI1122" s="131"/>
    </row>
    <row r="1123" spans="35:35">
      <c r="AI1123" s="131"/>
    </row>
    <row r="1124" spans="35:35">
      <c r="AI1124" s="131"/>
    </row>
    <row r="1125" spans="35:35">
      <c r="AI1125" s="131"/>
    </row>
    <row r="1126" spans="35:35">
      <c r="AI1126" s="131"/>
    </row>
    <row r="1127" spans="35:35">
      <c r="AI1127" s="131"/>
    </row>
    <row r="1128" spans="35:35">
      <c r="AI1128" s="131"/>
    </row>
    <row r="1129" spans="35:35">
      <c r="AI1129" s="131"/>
    </row>
    <row r="1130" spans="35:35">
      <c r="AI1130" s="131"/>
    </row>
    <row r="1131" spans="35:35">
      <c r="AI1131" s="131"/>
    </row>
    <row r="1132" spans="35:35">
      <c r="AI1132" s="131"/>
    </row>
    <row r="1133" spans="35:35">
      <c r="AI1133" s="131"/>
    </row>
    <row r="1134" spans="35:35">
      <c r="AI1134" s="131"/>
    </row>
    <row r="1135" spans="35:35">
      <c r="AI1135" s="131"/>
    </row>
    <row r="1136" spans="35:35">
      <c r="AI1136" s="131"/>
    </row>
    <row r="1137" spans="35:35">
      <c r="AI1137" s="284"/>
    </row>
    <row r="1138" spans="35:35">
      <c r="AI1138" s="131"/>
    </row>
    <row r="1139" spans="35:35">
      <c r="AI1139" s="131"/>
    </row>
    <row r="1140" spans="35:35">
      <c r="AI1140" s="131"/>
    </row>
    <row r="1141" spans="35:35">
      <c r="AI1141" s="131"/>
    </row>
    <row r="1142" spans="35:35">
      <c r="AI1142" s="131"/>
    </row>
    <row r="1143" spans="35:35">
      <c r="AI1143" s="131"/>
    </row>
    <row r="1144" spans="35:35">
      <c r="AI1144" s="131"/>
    </row>
    <row r="1145" spans="35:35">
      <c r="AI1145" s="284"/>
    </row>
    <row r="1146" spans="35:35">
      <c r="AI1146" s="131"/>
    </row>
    <row r="1147" spans="35:35">
      <c r="AI1147" s="131"/>
    </row>
    <row r="1148" spans="35:35">
      <c r="AI1148" s="131"/>
    </row>
    <row r="1149" spans="35:35">
      <c r="AI1149" s="131"/>
    </row>
    <row r="1150" spans="35:35">
      <c r="AI1150" s="131"/>
    </row>
    <row r="1151" spans="35:35">
      <c r="AI1151" s="131"/>
    </row>
    <row r="1152" spans="35:35">
      <c r="AI1152" s="131"/>
    </row>
    <row r="1153" spans="35:35">
      <c r="AI1153" s="131"/>
    </row>
    <row r="1154" spans="35:35">
      <c r="AI1154" s="131"/>
    </row>
    <row r="1155" spans="35:35">
      <c r="AI1155" s="131"/>
    </row>
    <row r="1156" spans="35:35">
      <c r="AI1156" s="128"/>
    </row>
    <row r="1157" spans="35:35">
      <c r="AI1157" s="131"/>
    </row>
    <row r="1158" spans="35:35">
      <c r="AI1158" s="131"/>
    </row>
    <row r="1159" spans="35:35">
      <c r="AI1159" s="284"/>
    </row>
    <row r="1160" spans="35:35">
      <c r="AI1160" s="131"/>
    </row>
    <row r="1161" spans="35:35">
      <c r="AI1161" s="131"/>
    </row>
    <row r="1162" spans="35:35">
      <c r="AI1162" s="131"/>
    </row>
    <row r="1163" spans="35:35">
      <c r="AI1163" s="131"/>
    </row>
    <row r="1164" spans="35:35">
      <c r="AI1164" s="131"/>
    </row>
    <row r="1165" spans="35:35">
      <c r="AI1165" s="131"/>
    </row>
    <row r="1166" spans="35:35">
      <c r="AI1166" s="131"/>
    </row>
    <row r="1167" spans="35:35">
      <c r="AI1167" s="284"/>
    </row>
    <row r="1168" spans="35:35">
      <c r="AI1168" s="284"/>
    </row>
    <row r="1169" spans="35:35">
      <c r="AI1169" s="131"/>
    </row>
    <row r="1170" spans="35:35">
      <c r="AI1170" s="284"/>
    </row>
    <row r="1171" spans="35:35">
      <c r="AI1171" s="131"/>
    </row>
    <row r="1172" spans="35:35">
      <c r="AI1172" s="131"/>
    </row>
    <row r="1173" spans="35:35">
      <c r="AI1173" s="131"/>
    </row>
    <row r="1174" spans="35:35">
      <c r="AI1174" s="131"/>
    </row>
    <row r="1175" spans="35:35">
      <c r="AI1175" s="131"/>
    </row>
    <row r="1176" spans="35:35">
      <c r="AI1176" s="131"/>
    </row>
    <row r="1177" spans="35:35">
      <c r="AI1177" s="131"/>
    </row>
    <row r="1178" spans="35:35">
      <c r="AI1178" s="284"/>
    </row>
    <row r="1179" spans="35:35">
      <c r="AI1179" s="131"/>
    </row>
    <row r="1180" spans="35:35">
      <c r="AI1180" s="131"/>
    </row>
    <row r="1181" spans="35:35">
      <c r="AI1181" s="131"/>
    </row>
    <row r="1182" spans="35:35">
      <c r="AI1182" s="131"/>
    </row>
    <row r="1183" spans="35:35">
      <c r="AI1183" s="131"/>
    </row>
    <row r="1184" spans="35:35">
      <c r="AI1184" s="131"/>
    </row>
    <row r="1185" spans="35:35">
      <c r="AI1185" s="131"/>
    </row>
    <row r="1186" spans="35:35">
      <c r="AI1186" s="131"/>
    </row>
    <row r="1187" spans="35:35">
      <c r="AI1187" s="131"/>
    </row>
    <row r="1188" spans="35:35">
      <c r="AI1188" s="131"/>
    </row>
    <row r="1189" spans="35:35">
      <c r="AI1189" s="131"/>
    </row>
    <row r="1190" spans="35:35">
      <c r="AI1190" s="132"/>
    </row>
    <row r="1191" spans="35:35">
      <c r="AI1191" s="131"/>
    </row>
    <row r="1192" spans="35:35">
      <c r="AI1192" s="131"/>
    </row>
    <row r="1193" spans="35:35">
      <c r="AI1193" s="131"/>
    </row>
    <row r="1194" spans="35:35">
      <c r="AI1194" s="131"/>
    </row>
    <row r="1195" spans="35:35">
      <c r="AI1195" s="131"/>
    </row>
    <row r="1196" spans="35:35">
      <c r="AI1196" s="131"/>
    </row>
    <row r="1197" spans="35:35">
      <c r="AI1197" s="131"/>
    </row>
    <row r="1198" spans="35:35">
      <c r="AI1198" s="284"/>
    </row>
    <row r="1199" spans="35:35">
      <c r="AI1199" s="131"/>
    </row>
    <row r="1200" spans="35:35">
      <c r="AI1200" s="131"/>
    </row>
    <row r="1201" spans="35:35">
      <c r="AI1201" s="131"/>
    </row>
    <row r="1202" spans="35:35">
      <c r="AI1202" s="131"/>
    </row>
    <row r="1203" spans="35:35">
      <c r="AI1203" s="131"/>
    </row>
    <row r="1204" spans="35:35">
      <c r="AI1204" s="131"/>
    </row>
    <row r="1205" spans="35:35">
      <c r="AI1205" s="131"/>
    </row>
    <row r="1206" spans="35:35">
      <c r="AI1206" s="131"/>
    </row>
    <row r="1207" spans="35:35">
      <c r="AI1207" s="131"/>
    </row>
    <row r="1208" spans="35:35">
      <c r="AI1208" s="131"/>
    </row>
    <row r="1209" spans="35:35">
      <c r="AI1209" s="131"/>
    </row>
    <row r="1210" spans="35:35">
      <c r="AI1210" s="131"/>
    </row>
    <row r="1211" spans="35:35">
      <c r="AI1211" s="131"/>
    </row>
    <row r="1212" spans="35:35">
      <c r="AI1212" s="131"/>
    </row>
    <row r="1213" spans="35:35">
      <c r="AI1213" s="284"/>
    </row>
    <row r="1214" spans="35:35">
      <c r="AI1214" s="284"/>
    </row>
    <row r="1215" spans="35:35">
      <c r="AI1215" s="131"/>
    </row>
    <row r="1216" spans="35:35">
      <c r="AI1216" s="131"/>
    </row>
    <row r="1217" spans="35:35">
      <c r="AI1217" s="131"/>
    </row>
    <row r="1218" spans="35:35">
      <c r="AI1218" s="131"/>
    </row>
    <row r="1219" spans="35:35">
      <c r="AI1219" s="131"/>
    </row>
    <row r="1220" spans="35:35">
      <c r="AI1220" s="131"/>
    </row>
    <row r="1221" spans="35:35">
      <c r="AI1221" s="131"/>
    </row>
    <row r="1222" spans="35:35">
      <c r="AI1222" s="131"/>
    </row>
    <row r="1223" spans="35:35">
      <c r="AI1223" s="131"/>
    </row>
    <row r="1224" spans="35:35">
      <c r="AI1224" s="284"/>
    </row>
    <row r="1225" spans="35:35">
      <c r="AI1225" s="131"/>
    </row>
    <row r="1226" spans="35:35">
      <c r="AI1226" s="131"/>
    </row>
    <row r="1227" spans="35:35">
      <c r="AI1227" s="131"/>
    </row>
    <row r="1228" spans="35:35">
      <c r="AI1228" s="131"/>
    </row>
    <row r="1229" spans="35:35">
      <c r="AI1229" s="131"/>
    </row>
    <row r="1230" spans="35:35">
      <c r="AI1230" s="131"/>
    </row>
    <row r="1231" spans="35:35">
      <c r="AI1231" s="128"/>
    </row>
    <row r="1232" spans="35:35">
      <c r="AI1232" s="131"/>
    </row>
    <row r="1234" spans="35:35">
      <c r="AI1234" s="131"/>
    </row>
    <row r="1235" spans="35:35">
      <c r="AI1235" s="284"/>
    </row>
    <row r="1236" spans="35:35">
      <c r="AI1236" s="131"/>
    </row>
    <row r="1237" spans="35:35">
      <c r="AI1237" s="131"/>
    </row>
    <row r="1238" spans="35:35">
      <c r="AI1238" s="131"/>
    </row>
    <row r="1239" spans="35:35">
      <c r="AI1239" s="131"/>
    </row>
    <row r="1240" spans="35:35">
      <c r="AI1240" s="131"/>
    </row>
    <row r="1241" spans="35:35">
      <c r="AI1241" s="131"/>
    </row>
    <row r="1242" spans="35:35">
      <c r="AI1242" s="131"/>
    </row>
    <row r="1243" spans="35:35">
      <c r="AI1243" s="131"/>
    </row>
    <row r="1244" spans="35:35">
      <c r="AI1244" s="131"/>
    </row>
    <row r="1245" spans="35:35">
      <c r="AI1245" s="131"/>
    </row>
    <row r="1246" spans="35:35">
      <c r="AI1246" s="131"/>
    </row>
    <row r="1247" spans="35:35">
      <c r="AI1247" s="131"/>
    </row>
    <row r="1248" spans="35:35">
      <c r="AI1248" s="131"/>
    </row>
    <row r="1249" spans="1:35">
      <c r="AI1249" s="131"/>
    </row>
    <row r="1250" spans="1:35">
      <c r="AI1250" s="131"/>
    </row>
    <row r="1251" spans="1:35">
      <c r="AI1251" s="131"/>
    </row>
    <row r="1252" spans="1:35">
      <c r="AI1252" s="131"/>
    </row>
    <row r="1253" spans="1:35">
      <c r="AI1253" s="131"/>
    </row>
    <row r="1254" spans="1:35">
      <c r="AI1254" s="131"/>
    </row>
    <row r="1255" spans="1:35" ht="26.4">
      <c r="A1255" s="284"/>
      <c r="B1255" s="284"/>
      <c r="C1255" s="284"/>
      <c r="D1255" s="284"/>
      <c r="E1255" s="284"/>
      <c r="F1255" s="284"/>
      <c r="H1255" s="284"/>
      <c r="I1255" s="284"/>
      <c r="J1255" s="375"/>
      <c r="K1255" s="375"/>
      <c r="L1255" s="375"/>
      <c r="M1255" s="368"/>
      <c r="N1255" s="368"/>
      <c r="T1255" s="349"/>
      <c r="V1255" s="378"/>
      <c r="W1255" s="64" ph="1"/>
      <c r="X1255" s="241"/>
      <c r="AA1255" s="284"/>
      <c r="AB1255" s="284"/>
      <c r="AC1255" s="284"/>
      <c r="AD1255" s="284"/>
      <c r="AE1255" s="284"/>
      <c r="AF1255" s="284"/>
      <c r="AG1255" s="8"/>
      <c r="AI1255" s="131"/>
    </row>
    <row r="1256" spans="1:35">
      <c r="A1256" s="284"/>
      <c r="Y1256" s="284"/>
      <c r="Z1256" s="207"/>
      <c r="AI1256" s="131"/>
    </row>
    <row r="1257" spans="1:35">
      <c r="AI1257" s="131"/>
    </row>
    <row r="1258" spans="1:35">
      <c r="AI1258" s="131"/>
    </row>
    <row r="1260" spans="1:35">
      <c r="AI1260" s="131"/>
    </row>
    <row r="1261" spans="1:35">
      <c r="AI1261" s="131"/>
    </row>
    <row r="1262" spans="1:35">
      <c r="A1262" s="284"/>
      <c r="G1262" s="284"/>
      <c r="AI1262" s="131"/>
    </row>
    <row r="1263" spans="1:35">
      <c r="AI1263" s="131"/>
    </row>
    <row r="1264" spans="1:35">
      <c r="AI1264" s="131"/>
    </row>
    <row r="1265" spans="1:35" ht="26.4">
      <c r="A1265" s="284"/>
      <c r="B1265" s="284"/>
      <c r="C1265" s="284"/>
      <c r="D1265" s="284"/>
      <c r="E1265" s="284"/>
      <c r="F1265" s="284"/>
      <c r="H1265" s="284"/>
      <c r="I1265" s="284"/>
      <c r="J1265" s="375"/>
      <c r="K1265" s="375"/>
      <c r="L1265" s="375"/>
      <c r="M1265" s="368"/>
      <c r="N1265" s="368"/>
      <c r="T1265" s="349"/>
      <c r="V1265" s="378"/>
      <c r="W1265" s="64" ph="1"/>
      <c r="X1265" s="241"/>
      <c r="AA1265" s="284"/>
      <c r="AB1265" s="284"/>
      <c r="AC1265" s="284"/>
      <c r="AD1265" s="284"/>
      <c r="AE1265" s="284"/>
      <c r="AF1265" s="284"/>
      <c r="AG1265" s="8"/>
      <c r="AI1265" s="131"/>
    </row>
    <row r="1266" spans="1:35">
      <c r="A1266" s="284"/>
      <c r="Y1266" s="284"/>
      <c r="Z1266" s="207"/>
      <c r="AI1266" s="131"/>
    </row>
    <row r="1267" spans="1:35">
      <c r="O1267" s="370"/>
      <c r="AI1267" s="131"/>
    </row>
    <row r="1268" spans="1:35">
      <c r="AI1268" s="52"/>
    </row>
    <row r="1269" spans="1:35" ht="26.4">
      <c r="A1269" s="284"/>
      <c r="B1269" s="284"/>
      <c r="C1269" s="284"/>
      <c r="D1269" s="284"/>
      <c r="E1269" s="284"/>
      <c r="F1269" s="284"/>
      <c r="H1269" s="284"/>
      <c r="I1269" s="284"/>
      <c r="J1269" s="375"/>
      <c r="K1269" s="375"/>
      <c r="L1269" s="375"/>
      <c r="M1269" s="368"/>
      <c r="N1269" s="368"/>
      <c r="T1269" s="349"/>
      <c r="V1269" s="378"/>
      <c r="W1269" s="64" ph="1"/>
      <c r="X1269" s="241"/>
      <c r="AA1269" s="284"/>
      <c r="AB1269" s="284"/>
      <c r="AC1269" s="284"/>
      <c r="AD1269" s="284"/>
      <c r="AE1269" s="284"/>
      <c r="AF1269" s="284"/>
      <c r="AG1269" s="8"/>
      <c r="AI1269" s="131"/>
    </row>
    <row r="1270" spans="1:35">
      <c r="A1270" s="284"/>
      <c r="Y1270" s="284"/>
      <c r="Z1270" s="207"/>
      <c r="AI1270" s="131"/>
    </row>
    <row r="1271" spans="1:35">
      <c r="AI1271" s="131"/>
    </row>
    <row r="1272" spans="1:35">
      <c r="A1272" s="284"/>
      <c r="G1272" s="284"/>
      <c r="AI1272" s="131"/>
    </row>
    <row r="1273" spans="1:35">
      <c r="AI1273" s="131"/>
    </row>
    <row r="1274" spans="1:35" ht="26.4">
      <c r="A1274" s="284"/>
      <c r="B1274" s="284"/>
      <c r="C1274" s="284"/>
      <c r="D1274" s="284"/>
      <c r="E1274" s="284"/>
      <c r="F1274" s="284"/>
      <c r="H1274" s="284"/>
      <c r="I1274" s="284"/>
      <c r="J1274" s="375"/>
      <c r="K1274" s="375"/>
      <c r="L1274" s="375"/>
      <c r="M1274" s="368"/>
      <c r="N1274" s="368"/>
      <c r="T1274" s="349"/>
      <c r="V1274" s="378"/>
      <c r="W1274" s="64" ph="1"/>
      <c r="X1274" s="241"/>
      <c r="AA1274" s="284"/>
      <c r="AB1274" s="284"/>
      <c r="AC1274" s="284"/>
      <c r="AD1274" s="284"/>
      <c r="AE1274" s="284"/>
      <c r="AF1274" s="284"/>
      <c r="AG1274" s="8"/>
      <c r="AI1274" s="131"/>
    </row>
    <row r="1275" spans="1:35" ht="26.4">
      <c r="A1275" s="284"/>
      <c r="B1275" s="284"/>
      <c r="C1275" s="284"/>
      <c r="D1275" s="284"/>
      <c r="E1275" s="284"/>
      <c r="F1275" s="284"/>
      <c r="H1275" s="284"/>
      <c r="I1275" s="284"/>
      <c r="J1275" s="375"/>
      <c r="K1275" s="375"/>
      <c r="L1275" s="375"/>
      <c r="M1275" s="368"/>
      <c r="N1275" s="368"/>
      <c r="T1275" s="349"/>
      <c r="V1275" s="378"/>
      <c r="W1275" s="64" ph="1"/>
      <c r="X1275" s="241"/>
      <c r="Y1275" s="284"/>
      <c r="Z1275" s="207"/>
      <c r="AA1275" s="284"/>
      <c r="AB1275" s="284"/>
      <c r="AC1275" s="284"/>
      <c r="AD1275" s="284"/>
      <c r="AE1275" s="284"/>
      <c r="AF1275" s="284"/>
      <c r="AG1275" s="8"/>
      <c r="AI1275" s="131"/>
    </row>
    <row r="1276" spans="1:35" ht="26.4">
      <c r="A1276" s="284"/>
      <c r="B1276" s="284"/>
      <c r="C1276" s="284"/>
      <c r="D1276" s="284"/>
      <c r="E1276" s="284"/>
      <c r="F1276" s="284"/>
      <c r="G1276" s="284"/>
      <c r="H1276" s="284"/>
      <c r="I1276" s="284"/>
      <c r="J1276" s="375"/>
      <c r="K1276" s="375"/>
      <c r="L1276" s="375"/>
      <c r="M1276" s="368"/>
      <c r="N1276" s="368"/>
      <c r="T1276" s="349"/>
      <c r="V1276" s="378"/>
      <c r="W1276" s="64" ph="1"/>
      <c r="X1276" s="241"/>
      <c r="Y1276" s="284"/>
      <c r="Z1276" s="207"/>
      <c r="AA1276" s="284"/>
      <c r="AB1276" s="284"/>
      <c r="AC1276" s="284"/>
      <c r="AD1276" s="284"/>
      <c r="AE1276" s="284"/>
      <c r="AF1276" s="284"/>
      <c r="AG1276" s="8"/>
      <c r="AI1276" s="131"/>
    </row>
    <row r="1277" spans="1:35">
      <c r="A1277" s="284"/>
      <c r="O1277" s="370"/>
      <c r="Y1277" s="284"/>
      <c r="Z1277" s="207"/>
      <c r="AI1277" s="131"/>
    </row>
    <row r="1278" spans="1:35" ht="26.4">
      <c r="A1278" s="284"/>
      <c r="B1278" s="284"/>
      <c r="C1278" s="284"/>
      <c r="D1278" s="284"/>
      <c r="E1278" s="284"/>
      <c r="F1278" s="284"/>
      <c r="H1278" s="284"/>
      <c r="I1278" s="284"/>
      <c r="J1278" s="375"/>
      <c r="K1278" s="375"/>
      <c r="L1278" s="375"/>
      <c r="M1278" s="368"/>
      <c r="N1278" s="368"/>
      <c r="T1278" s="349"/>
      <c r="V1278" s="378"/>
      <c r="W1278" s="64" ph="1"/>
      <c r="X1278" s="241"/>
      <c r="AA1278" s="284"/>
      <c r="AB1278" s="284"/>
      <c r="AC1278" s="284"/>
      <c r="AD1278" s="284"/>
      <c r="AE1278" s="284"/>
      <c r="AF1278" s="284"/>
      <c r="AG1278" s="8"/>
      <c r="AI1278" s="131"/>
    </row>
    <row r="1279" spans="1:35" ht="26.4">
      <c r="A1279" s="284"/>
      <c r="B1279" s="284"/>
      <c r="C1279" s="284"/>
      <c r="D1279" s="284"/>
      <c r="E1279" s="284"/>
      <c r="F1279" s="284"/>
      <c r="H1279" s="284"/>
      <c r="I1279" s="284"/>
      <c r="J1279" s="375"/>
      <c r="K1279" s="375"/>
      <c r="L1279" s="375"/>
      <c r="M1279" s="368"/>
      <c r="N1279" s="368"/>
      <c r="T1279" s="349"/>
      <c r="V1279" s="378"/>
      <c r="W1279" s="64" ph="1"/>
      <c r="X1279" s="241"/>
      <c r="Y1279" s="284"/>
      <c r="Z1279" s="207"/>
      <c r="AA1279" s="284"/>
      <c r="AB1279" s="284"/>
      <c r="AC1279" s="284"/>
      <c r="AD1279" s="284"/>
      <c r="AE1279" s="284"/>
      <c r="AF1279" s="284"/>
      <c r="AG1279" s="8"/>
      <c r="AI1279" s="284"/>
    </row>
    <row r="1280" spans="1:35">
      <c r="A1280" s="284"/>
      <c r="Y1280" s="284"/>
      <c r="Z1280" s="207"/>
      <c r="AI1280" s="27"/>
    </row>
    <row r="1281" spans="1:35" ht="26.4">
      <c r="A1281" s="284"/>
      <c r="B1281" s="284"/>
      <c r="C1281" s="284"/>
      <c r="D1281" s="284"/>
      <c r="E1281" s="284"/>
      <c r="F1281" s="284"/>
      <c r="G1281" s="284"/>
      <c r="H1281" s="284"/>
      <c r="I1281" s="284"/>
      <c r="J1281" s="375"/>
      <c r="K1281" s="375"/>
      <c r="L1281" s="375"/>
      <c r="M1281" s="368"/>
      <c r="N1281" s="368"/>
      <c r="O1281" s="370"/>
      <c r="T1281" s="349"/>
      <c r="V1281" s="378"/>
      <c r="W1281" s="64" ph="1"/>
      <c r="X1281" s="241"/>
      <c r="AA1281" s="284"/>
      <c r="AB1281" s="284"/>
      <c r="AC1281" s="284"/>
      <c r="AD1281" s="284"/>
      <c r="AE1281" s="284"/>
      <c r="AF1281" s="284"/>
      <c r="AG1281" s="8"/>
      <c r="AI1281" s="284"/>
    </row>
    <row r="1282" spans="1:35">
      <c r="A1282" s="284"/>
      <c r="G1282" s="284"/>
      <c r="Y1282" s="284"/>
      <c r="Z1282" s="207"/>
      <c r="AI1282" s="131"/>
    </row>
    <row r="1283" spans="1:35" ht="26.4">
      <c r="A1283" s="284"/>
      <c r="B1283" s="284"/>
      <c r="C1283" s="284"/>
      <c r="D1283" s="284"/>
      <c r="E1283" s="284"/>
      <c r="F1283" s="284"/>
      <c r="G1283" s="284"/>
      <c r="H1283" s="284"/>
      <c r="I1283" s="284"/>
      <c r="J1283" s="375"/>
      <c r="K1283" s="375"/>
      <c r="L1283" s="375"/>
      <c r="M1283" s="368"/>
      <c r="N1283" s="368"/>
      <c r="T1283" s="349"/>
      <c r="V1283" s="378"/>
      <c r="W1283" s="64" ph="1"/>
      <c r="X1283" s="241"/>
      <c r="AA1283" s="284"/>
      <c r="AB1283" s="284"/>
      <c r="AC1283" s="284"/>
      <c r="AD1283" s="284"/>
      <c r="AE1283" s="284"/>
      <c r="AF1283" s="284"/>
      <c r="AG1283" s="8"/>
      <c r="AI1283" s="131"/>
    </row>
    <row r="1284" spans="1:35" ht="26.4">
      <c r="A1284" s="284"/>
      <c r="B1284" s="284"/>
      <c r="C1284" s="284"/>
      <c r="D1284" s="284"/>
      <c r="E1284" s="284"/>
      <c r="F1284" s="284"/>
      <c r="H1284" s="284"/>
      <c r="I1284" s="284"/>
      <c r="J1284" s="375"/>
      <c r="K1284" s="375"/>
      <c r="L1284" s="375"/>
      <c r="M1284" s="368"/>
      <c r="N1284" s="368"/>
      <c r="T1284" s="349"/>
      <c r="V1284" s="378"/>
      <c r="W1284" s="64" ph="1"/>
      <c r="X1284" s="241"/>
      <c r="Y1284" s="284"/>
      <c r="Z1284" s="207"/>
      <c r="AA1284" s="284"/>
      <c r="AB1284" s="284"/>
      <c r="AC1284" s="284"/>
      <c r="AD1284" s="284"/>
      <c r="AE1284" s="284"/>
      <c r="AF1284" s="284"/>
      <c r="AG1284" s="8"/>
      <c r="AI1284" s="131"/>
    </row>
    <row r="1285" spans="1:35" ht="26.4">
      <c r="A1285" s="284"/>
      <c r="B1285" s="284"/>
      <c r="C1285" s="284"/>
      <c r="D1285" s="284"/>
      <c r="E1285" s="284"/>
      <c r="F1285" s="284"/>
      <c r="G1285" s="284"/>
      <c r="H1285" s="284"/>
      <c r="I1285" s="284"/>
      <c r="J1285" s="375"/>
      <c r="K1285" s="375"/>
      <c r="L1285" s="375"/>
      <c r="M1285" s="368"/>
      <c r="N1285" s="368"/>
      <c r="T1285" s="349"/>
      <c r="V1285" s="378"/>
      <c r="W1285" s="64" ph="1"/>
      <c r="X1285" s="241"/>
      <c r="Y1285" s="284"/>
      <c r="Z1285" s="207"/>
      <c r="AA1285" s="284"/>
      <c r="AB1285" s="284"/>
      <c r="AC1285" s="284"/>
      <c r="AD1285" s="284"/>
      <c r="AE1285" s="284"/>
      <c r="AF1285" s="284"/>
      <c r="AG1285" s="8"/>
      <c r="AI1285" s="131"/>
    </row>
    <row r="1286" spans="1:35" ht="26.4">
      <c r="A1286" s="284"/>
      <c r="B1286" s="284"/>
      <c r="C1286" s="284"/>
      <c r="D1286" s="284"/>
      <c r="E1286" s="284"/>
      <c r="F1286" s="284"/>
      <c r="G1286" s="284"/>
      <c r="H1286" s="284"/>
      <c r="I1286" s="284"/>
      <c r="J1286" s="375"/>
      <c r="K1286" s="375"/>
      <c r="L1286" s="375"/>
      <c r="M1286" s="368"/>
      <c r="N1286" s="368"/>
      <c r="O1286" s="370"/>
      <c r="T1286" s="349"/>
      <c r="V1286" s="378"/>
      <c r="W1286" s="64" ph="1"/>
      <c r="X1286" s="241"/>
      <c r="Y1286" s="284"/>
      <c r="Z1286" s="207"/>
      <c r="AA1286" s="284"/>
      <c r="AB1286" s="284"/>
      <c r="AC1286" s="284"/>
      <c r="AD1286" s="284"/>
      <c r="AE1286" s="284"/>
      <c r="AF1286" s="284"/>
      <c r="AG1286" s="8"/>
      <c r="AI1286" s="131"/>
    </row>
    <row r="1287" spans="1:35" ht="26.4">
      <c r="A1287" s="284"/>
      <c r="B1287" s="284"/>
      <c r="C1287" s="284"/>
      <c r="D1287" s="284"/>
      <c r="E1287" s="284"/>
      <c r="F1287" s="284"/>
      <c r="H1287" s="284"/>
      <c r="I1287" s="284"/>
      <c r="J1287" s="375"/>
      <c r="K1287" s="375"/>
      <c r="L1287" s="375"/>
      <c r="M1287" s="368"/>
      <c r="N1287" s="368"/>
      <c r="O1287" s="370"/>
      <c r="T1287" s="349"/>
      <c r="V1287" s="378"/>
      <c r="W1287" s="64" ph="1"/>
      <c r="X1287" s="241"/>
      <c r="Y1287" s="284"/>
      <c r="Z1287" s="207"/>
      <c r="AA1287" s="284"/>
      <c r="AB1287" s="284"/>
      <c r="AC1287" s="284"/>
      <c r="AD1287" s="284"/>
      <c r="AE1287" s="284"/>
      <c r="AF1287" s="284"/>
      <c r="AG1287" s="8"/>
      <c r="AI1287" s="131"/>
    </row>
    <row r="1288" spans="1:35" ht="26.4">
      <c r="A1288" s="284"/>
      <c r="B1288" s="284"/>
      <c r="C1288" s="284"/>
      <c r="D1288" s="284"/>
      <c r="E1288" s="284"/>
      <c r="F1288" s="284"/>
      <c r="G1288" s="284"/>
      <c r="H1288" s="284"/>
      <c r="I1288" s="284"/>
      <c r="J1288" s="375"/>
      <c r="K1288" s="375"/>
      <c r="L1288" s="375"/>
      <c r="M1288" s="368"/>
      <c r="N1288" s="368"/>
      <c r="O1288" s="370"/>
      <c r="T1288" s="349"/>
      <c r="V1288" s="378"/>
      <c r="W1288" s="64" ph="1"/>
      <c r="X1288" s="241"/>
      <c r="Y1288" s="284"/>
      <c r="Z1288" s="207"/>
      <c r="AA1288" s="284"/>
      <c r="AB1288" s="284"/>
      <c r="AC1288" s="284"/>
      <c r="AD1288" s="284"/>
      <c r="AE1288" s="284"/>
      <c r="AF1288" s="284"/>
      <c r="AG1288" s="8"/>
      <c r="AI1288" s="131"/>
    </row>
    <row r="1289" spans="1:35" ht="26.4">
      <c r="A1289" s="284"/>
      <c r="B1289" s="284"/>
      <c r="C1289" s="284"/>
      <c r="D1289" s="284"/>
      <c r="E1289" s="284"/>
      <c r="F1289" s="284"/>
      <c r="H1289" s="284"/>
      <c r="I1289" s="284"/>
      <c r="J1289" s="375"/>
      <c r="K1289" s="375"/>
      <c r="L1289" s="375"/>
      <c r="M1289" s="368"/>
      <c r="N1289" s="368"/>
      <c r="T1289" s="349"/>
      <c r="V1289" s="378"/>
      <c r="W1289" s="64" ph="1"/>
      <c r="X1289" s="241"/>
      <c r="Y1289" s="284"/>
      <c r="Z1289" s="207"/>
      <c r="AA1289" s="284"/>
      <c r="AB1289" s="284"/>
      <c r="AC1289" s="284"/>
      <c r="AD1289" s="284"/>
      <c r="AE1289" s="284"/>
      <c r="AF1289" s="284"/>
      <c r="AG1289" s="8"/>
      <c r="AI1289" s="131"/>
    </row>
    <row r="1290" spans="1:35" ht="26.4">
      <c r="A1290" s="284"/>
      <c r="B1290" s="284"/>
      <c r="C1290" s="284"/>
      <c r="D1290" s="284"/>
      <c r="E1290" s="284"/>
      <c r="F1290" s="284"/>
      <c r="G1290" s="284"/>
      <c r="H1290" s="284"/>
      <c r="I1290" s="284"/>
      <c r="J1290" s="375"/>
      <c r="K1290" s="375"/>
      <c r="L1290" s="375"/>
      <c r="M1290" s="368"/>
      <c r="N1290" s="368"/>
      <c r="O1290" s="370"/>
      <c r="T1290" s="349"/>
      <c r="V1290" s="378"/>
      <c r="W1290" s="64" ph="1"/>
      <c r="X1290" s="241"/>
      <c r="Y1290" s="284"/>
      <c r="Z1290" s="207"/>
      <c r="AA1290" s="284"/>
      <c r="AB1290" s="284"/>
      <c r="AC1290" s="284"/>
      <c r="AD1290" s="284"/>
      <c r="AE1290" s="284"/>
      <c r="AF1290" s="284"/>
      <c r="AG1290" s="8"/>
      <c r="AI1290" s="131"/>
    </row>
    <row r="1291" spans="1:35" ht="26.4">
      <c r="A1291" s="284"/>
      <c r="G1291" s="284"/>
      <c r="O1291" s="370"/>
      <c r="W1291" s="64" ph="1"/>
      <c r="Y1291" s="284"/>
      <c r="Z1291" s="207"/>
      <c r="AI1291" s="131"/>
    </row>
    <row r="1292" spans="1:35" ht="26.4">
      <c r="A1292" s="284"/>
      <c r="G1292" s="284"/>
      <c r="W1292" s="64" ph="1"/>
      <c r="AI1292" s="131"/>
    </row>
    <row r="1293" spans="1:35">
      <c r="A1293" s="284"/>
      <c r="G1293" s="284"/>
      <c r="O1293" s="370"/>
      <c r="AI1293" s="131"/>
    </row>
    <row r="1294" spans="1:35" ht="26.4">
      <c r="A1294" s="284"/>
      <c r="G1294" s="284"/>
      <c r="W1294" s="64" ph="1"/>
      <c r="AI1294" s="131"/>
    </row>
    <row r="1295" spans="1:35" ht="26.4">
      <c r="A1295" s="284"/>
      <c r="G1295" s="284"/>
      <c r="O1295" s="370"/>
      <c r="W1295" s="64" ph="1"/>
      <c r="AI1295" s="131"/>
    </row>
    <row r="1296" spans="1:35" ht="26.4">
      <c r="A1296" s="284"/>
      <c r="G1296" s="284"/>
      <c r="O1296" s="370"/>
      <c r="W1296" s="64" ph="1"/>
      <c r="AI1296" s="131"/>
    </row>
    <row r="1297" spans="1:35" ht="26.4">
      <c r="A1297" s="284"/>
      <c r="G1297" s="284"/>
      <c r="O1297" s="370"/>
      <c r="W1297" s="64" ph="1"/>
      <c r="AI1297" s="131"/>
    </row>
    <row r="1298" spans="1:35" ht="26.4">
      <c r="A1298" s="284"/>
      <c r="O1298" s="370"/>
      <c r="W1298" s="64" ph="1"/>
      <c r="AI1298" s="131"/>
    </row>
    <row r="1299" spans="1:35" ht="26.4">
      <c r="A1299" s="284"/>
      <c r="B1299" s="284"/>
      <c r="C1299" s="284"/>
      <c r="D1299" s="284"/>
      <c r="E1299" s="284"/>
      <c r="F1299" s="284"/>
      <c r="G1299" s="284"/>
      <c r="H1299" s="284"/>
      <c r="I1299" s="284"/>
      <c r="J1299" s="375"/>
      <c r="K1299" s="375"/>
      <c r="L1299" s="375"/>
      <c r="M1299" s="368"/>
      <c r="N1299" s="368"/>
      <c r="O1299" s="370"/>
      <c r="T1299" s="349"/>
      <c r="V1299" s="378"/>
      <c r="W1299" s="64" ph="1"/>
      <c r="X1299" s="241"/>
      <c r="Y1299" s="284"/>
      <c r="Z1299" s="207"/>
      <c r="AA1299" s="284"/>
      <c r="AB1299" s="284"/>
      <c r="AC1299" s="284"/>
      <c r="AD1299" s="284"/>
      <c r="AE1299" s="284"/>
      <c r="AF1299" s="284"/>
      <c r="AG1299" s="284"/>
      <c r="AI1299" s="131"/>
    </row>
    <row r="1300" spans="1:35" ht="26.4">
      <c r="A1300" s="284"/>
      <c r="B1300" s="284"/>
      <c r="C1300" s="284"/>
      <c r="D1300" s="284"/>
      <c r="E1300" s="284"/>
      <c r="F1300" s="284"/>
      <c r="G1300" s="284"/>
      <c r="H1300" s="284"/>
      <c r="I1300" s="284"/>
      <c r="J1300" s="375"/>
      <c r="K1300" s="375"/>
      <c r="L1300" s="375"/>
      <c r="M1300" s="368"/>
      <c r="N1300" s="368"/>
      <c r="O1300" s="370"/>
      <c r="T1300" s="349"/>
      <c r="V1300" s="378"/>
      <c r="W1300" s="64" ph="1"/>
      <c r="X1300" s="241"/>
      <c r="Y1300" s="284"/>
      <c r="Z1300" s="207"/>
      <c r="AA1300" s="284"/>
      <c r="AB1300" s="284"/>
      <c r="AC1300" s="284"/>
      <c r="AD1300" s="284"/>
      <c r="AE1300" s="284"/>
      <c r="AF1300" s="284"/>
      <c r="AG1300" s="284"/>
      <c r="AI1300" s="131"/>
    </row>
    <row r="1301" spans="1:35" ht="26.4">
      <c r="A1301" s="284"/>
      <c r="B1301" s="284"/>
      <c r="C1301" s="284"/>
      <c r="D1301" s="284"/>
      <c r="E1301" s="284"/>
      <c r="F1301" s="284"/>
      <c r="G1301" s="284"/>
      <c r="H1301" s="284"/>
      <c r="I1301" s="284"/>
      <c r="J1301" s="375"/>
      <c r="K1301" s="375"/>
      <c r="L1301" s="375"/>
      <c r="M1301" s="368"/>
      <c r="N1301" s="368"/>
      <c r="O1301" s="370"/>
      <c r="T1301" s="349"/>
      <c r="V1301" s="378"/>
      <c r="W1301" s="64" ph="1"/>
      <c r="X1301" s="241"/>
      <c r="Y1301" s="284"/>
      <c r="Z1301" s="207"/>
      <c r="AA1301" s="284"/>
      <c r="AB1301" s="284"/>
      <c r="AC1301" s="284"/>
      <c r="AD1301" s="284"/>
      <c r="AE1301" s="284"/>
      <c r="AF1301" s="284"/>
      <c r="AG1301" s="284"/>
      <c r="AI1301" s="131"/>
    </row>
    <row r="1302" spans="1:35">
      <c r="O1302" s="370"/>
      <c r="AI1302" s="131"/>
    </row>
    <row r="1303" spans="1:35" ht="26.4">
      <c r="A1303" s="284"/>
      <c r="B1303" s="284"/>
      <c r="C1303" s="284"/>
      <c r="D1303" s="284"/>
      <c r="E1303" s="284"/>
      <c r="F1303" s="284"/>
      <c r="G1303" s="284"/>
      <c r="H1303" s="284"/>
      <c r="I1303" s="284"/>
      <c r="J1303" s="375"/>
      <c r="K1303" s="375"/>
      <c r="L1303" s="375"/>
      <c r="M1303" s="368"/>
      <c r="N1303" s="368"/>
      <c r="T1303" s="349"/>
      <c r="V1303" s="378"/>
      <c r="W1303" s="64" ph="1"/>
      <c r="X1303" s="241"/>
      <c r="Y1303" s="284"/>
      <c r="Z1303" s="207"/>
      <c r="AA1303" s="284"/>
      <c r="AB1303" s="284"/>
      <c r="AC1303" s="284"/>
      <c r="AD1303" s="284"/>
      <c r="AE1303" s="284"/>
      <c r="AF1303" s="284"/>
      <c r="AG1303" s="284"/>
      <c r="AI1303" s="284"/>
    </row>
    <row r="1304" spans="1:35" ht="26.4">
      <c r="A1304" s="284"/>
      <c r="B1304" s="284"/>
      <c r="C1304" s="284"/>
      <c r="D1304" s="284"/>
      <c r="E1304" s="284"/>
      <c r="F1304" s="284"/>
      <c r="G1304" s="284"/>
      <c r="H1304" s="284"/>
      <c r="I1304" s="284"/>
      <c r="J1304" s="375"/>
      <c r="K1304" s="375"/>
      <c r="L1304" s="375"/>
      <c r="M1304" s="368"/>
      <c r="N1304" s="368"/>
      <c r="T1304" s="349"/>
      <c r="V1304" s="378"/>
      <c r="W1304" s="64" ph="1"/>
      <c r="X1304" s="241"/>
      <c r="Y1304" s="284"/>
      <c r="Z1304" s="207"/>
      <c r="AA1304" s="284"/>
      <c r="AB1304" s="284"/>
      <c r="AC1304" s="284"/>
      <c r="AD1304" s="284"/>
      <c r="AE1304" s="284"/>
      <c r="AF1304" s="284"/>
      <c r="AG1304" s="284"/>
      <c r="AI1304" s="284"/>
    </row>
    <row r="1305" spans="1:35" ht="26.4">
      <c r="A1305" s="284"/>
      <c r="B1305" s="284"/>
      <c r="C1305" s="284"/>
      <c r="D1305" s="284"/>
      <c r="E1305" s="284"/>
      <c r="F1305" s="284"/>
      <c r="G1305" s="284"/>
      <c r="H1305" s="284"/>
      <c r="I1305" s="284"/>
      <c r="J1305" s="375"/>
      <c r="K1305" s="375"/>
      <c r="L1305" s="375"/>
      <c r="M1305" s="368"/>
      <c r="N1305" s="368"/>
      <c r="T1305" s="349"/>
      <c r="V1305" s="378"/>
      <c r="W1305" s="64" ph="1"/>
      <c r="X1305" s="241"/>
      <c r="Y1305" s="284"/>
      <c r="Z1305" s="207"/>
      <c r="AA1305" s="284"/>
      <c r="AB1305" s="284"/>
      <c r="AC1305" s="284"/>
      <c r="AD1305" s="284"/>
      <c r="AE1305" s="284"/>
      <c r="AF1305" s="284"/>
      <c r="AG1305" s="284"/>
      <c r="AI1305" s="28"/>
    </row>
    <row r="1306" spans="1:35" ht="26.4">
      <c r="A1306" s="284"/>
      <c r="B1306" s="284"/>
      <c r="C1306" s="284"/>
      <c r="D1306" s="284"/>
      <c r="E1306" s="284"/>
      <c r="F1306" s="284"/>
      <c r="G1306" s="284"/>
      <c r="H1306" s="284"/>
      <c r="I1306" s="284"/>
      <c r="J1306" s="375"/>
      <c r="K1306" s="375"/>
      <c r="L1306" s="375"/>
      <c r="M1306" s="368"/>
      <c r="N1306" s="368"/>
      <c r="T1306" s="349"/>
      <c r="V1306" s="378"/>
      <c r="W1306" s="64" ph="1"/>
      <c r="X1306" s="241"/>
      <c r="Y1306" s="284"/>
      <c r="Z1306" s="207"/>
      <c r="AA1306" s="284"/>
      <c r="AB1306" s="284"/>
      <c r="AC1306" s="284"/>
      <c r="AD1306" s="284"/>
      <c r="AE1306" s="284"/>
      <c r="AF1306" s="284"/>
      <c r="AG1306" s="284"/>
      <c r="AI1306" s="131"/>
    </row>
    <row r="1307" spans="1:35">
      <c r="AI1307" s="131"/>
    </row>
    <row r="1308" spans="1:35">
      <c r="AI1308" s="131"/>
    </row>
    <row r="1309" spans="1:35">
      <c r="AI1309" s="131"/>
    </row>
    <row r="1310" spans="1:35">
      <c r="AI1310" s="131"/>
    </row>
    <row r="1311" spans="1:35">
      <c r="O1311" s="370"/>
      <c r="AI1311" s="131"/>
    </row>
    <row r="1312" spans="1:35">
      <c r="O1312" s="370"/>
      <c r="AI1312" s="131"/>
    </row>
    <row r="1313" spans="15:35">
      <c r="O1313" s="370"/>
      <c r="AI1313" s="131"/>
    </row>
    <row r="1314" spans="15:35">
      <c r="AI1314" s="131"/>
    </row>
    <row r="1315" spans="15:35">
      <c r="O1315" s="370"/>
      <c r="AI1315" s="131"/>
    </row>
    <row r="1316" spans="15:35">
      <c r="O1316" s="370"/>
      <c r="AI1316" s="131"/>
    </row>
    <row r="1317" spans="15:35">
      <c r="O1317" s="370"/>
      <c r="AI1317" s="131"/>
    </row>
    <row r="1318" spans="15:35">
      <c r="O1318" s="370"/>
      <c r="AI1318" s="131"/>
    </row>
    <row r="1319" spans="15:35">
      <c r="AI1319" s="284"/>
    </row>
    <row r="1320" spans="15:35">
      <c r="AI1320" s="131"/>
    </row>
    <row r="1321" spans="15:35">
      <c r="AI1321" s="131"/>
    </row>
    <row r="1322" spans="15:35">
      <c r="AI1322" s="131"/>
    </row>
    <row r="1323" spans="15:35">
      <c r="AI1323" s="131"/>
    </row>
    <row r="1324" spans="15:35">
      <c r="AI1324" s="131"/>
    </row>
    <row r="1325" spans="15:35">
      <c r="AI1325" s="131"/>
    </row>
    <row r="1326" spans="15:35">
      <c r="AI1326" s="131"/>
    </row>
    <row r="1327" spans="15:35">
      <c r="AI1327" s="131"/>
    </row>
    <row r="1328" spans="15:35">
      <c r="AI1328" s="131"/>
    </row>
    <row r="1329" spans="35:35">
      <c r="AI1329" s="131"/>
    </row>
    <row r="1330" spans="35:35">
      <c r="AI1330" s="131"/>
    </row>
    <row r="1331" spans="35:35">
      <c r="AI1331" s="28"/>
    </row>
    <row r="1332" spans="35:35">
      <c r="AI1332" s="131"/>
    </row>
    <row r="1333" spans="35:35">
      <c r="AI1333" s="131"/>
    </row>
    <row r="1334" spans="35:35">
      <c r="AI1334" s="131"/>
    </row>
    <row r="1335" spans="35:35">
      <c r="AI1335" s="131"/>
    </row>
    <row r="1336" spans="35:35">
      <c r="AI1336" s="131"/>
    </row>
    <row r="1337" spans="35:35">
      <c r="AI1337" s="131"/>
    </row>
    <row r="1338" spans="35:35">
      <c r="AI1338" s="128"/>
    </row>
    <row r="1339" spans="35:35">
      <c r="AI1339" s="131"/>
    </row>
    <row r="1340" spans="35:35">
      <c r="AI1340" s="131"/>
    </row>
    <row r="1341" spans="35:35">
      <c r="AI1341" s="131"/>
    </row>
    <row r="1342" spans="35:35">
      <c r="AI1342" s="131"/>
    </row>
    <row r="1343" spans="35:35">
      <c r="AI1343" s="131"/>
    </row>
    <row r="1344" spans="35:35">
      <c r="AI1344" s="131"/>
    </row>
    <row r="1345" spans="35:35">
      <c r="AI1345" s="131"/>
    </row>
    <row r="1346" spans="35:35">
      <c r="AI1346" s="131"/>
    </row>
    <row r="1347" spans="35:35">
      <c r="AI1347" s="131"/>
    </row>
    <row r="1348" spans="35:35">
      <c r="AI1348" s="131"/>
    </row>
    <row r="1349" spans="35:35">
      <c r="AI1349" s="131"/>
    </row>
    <row r="1350" spans="35:35">
      <c r="AI1350" s="131"/>
    </row>
    <row r="1351" spans="35:35">
      <c r="AI1351" s="131"/>
    </row>
    <row r="1352" spans="35:35">
      <c r="AI1352" s="131"/>
    </row>
    <row r="1353" spans="35:35">
      <c r="AI1353" s="131"/>
    </row>
    <row r="1354" spans="35:35">
      <c r="AI1354" s="131"/>
    </row>
    <row r="1355" spans="35:35">
      <c r="AI1355" s="131"/>
    </row>
    <row r="1356" spans="35:35">
      <c r="AI1356" s="131"/>
    </row>
    <row r="1357" spans="35:35">
      <c r="AI1357" s="131"/>
    </row>
    <row r="1358" spans="35:35">
      <c r="AI1358" s="131"/>
    </row>
    <row r="1359" spans="35:35">
      <c r="AI1359" s="131"/>
    </row>
    <row r="1360" spans="35:35">
      <c r="AI1360" s="131"/>
    </row>
    <row r="1361" spans="35:35">
      <c r="AI1361" s="131"/>
    </row>
    <row r="1362" spans="35:35">
      <c r="AI1362" s="131"/>
    </row>
    <row r="1363" spans="35:35">
      <c r="AI1363" s="131"/>
    </row>
    <row r="1364" spans="35:35">
      <c r="AI1364" s="131"/>
    </row>
    <row r="1365" spans="35:35">
      <c r="AI1365" s="131"/>
    </row>
    <row r="1366" spans="35:35">
      <c r="AI1366" s="131"/>
    </row>
    <row r="1367" spans="35:35">
      <c r="AI1367" s="131"/>
    </row>
    <row r="1368" spans="35:35">
      <c r="AI1368" s="131"/>
    </row>
    <row r="1369" spans="35:35">
      <c r="AI1369" s="131"/>
    </row>
    <row r="1370" spans="35:35">
      <c r="AI1370" s="131"/>
    </row>
    <row r="1371" spans="35:35">
      <c r="AI1371" s="131"/>
    </row>
    <row r="1372" spans="35:35">
      <c r="AI1372" s="131"/>
    </row>
    <row r="1373" spans="35:35">
      <c r="AI1373" s="131"/>
    </row>
    <row r="1374" spans="35:35">
      <c r="AI1374" s="131"/>
    </row>
    <row r="1375" spans="35:35">
      <c r="AI1375" s="131"/>
    </row>
    <row r="1376" spans="35:35">
      <c r="AI1376" s="131"/>
    </row>
    <row r="1377" spans="35:35">
      <c r="AI1377" s="131"/>
    </row>
    <row r="1378" spans="35:35">
      <c r="AI1378" s="284"/>
    </row>
    <row r="1379" spans="35:35">
      <c r="AI1379" s="131"/>
    </row>
    <row r="1380" spans="35:35">
      <c r="AI1380" s="131"/>
    </row>
    <row r="1381" spans="35:35">
      <c r="AI1381" s="131"/>
    </row>
    <row r="1382" spans="35:35">
      <c r="AI1382" s="131"/>
    </row>
    <row r="1383" spans="35:35">
      <c r="AI1383" s="286"/>
    </row>
    <row r="1384" spans="35:35">
      <c r="AI1384" s="131"/>
    </row>
    <row r="1385" spans="35:35">
      <c r="AI1385" s="131"/>
    </row>
    <row r="1386" spans="35:35">
      <c r="AI1386" s="131"/>
    </row>
    <row r="1387" spans="35:35">
      <c r="AI1387" s="131"/>
    </row>
    <row r="1388" spans="35:35">
      <c r="AI1388" s="131"/>
    </row>
    <row r="1389" spans="35:35">
      <c r="AI1389" s="131"/>
    </row>
    <row r="1390" spans="35:35">
      <c r="AI1390" s="236"/>
    </row>
    <row r="1391" spans="35:35">
      <c r="AI1391" s="131"/>
    </row>
    <row r="1392" spans="35:35">
      <c r="AI1392" s="131"/>
    </row>
    <row r="1393" spans="35:35">
      <c r="AI1393" s="131"/>
    </row>
    <row r="1394" spans="35:35">
      <c r="AI1394" s="131"/>
    </row>
    <row r="1395" spans="35:35">
      <c r="AI1395" s="131"/>
    </row>
    <row r="1396" spans="35:35">
      <c r="AI1396" s="131"/>
    </row>
    <row r="1397" spans="35:35">
      <c r="AI1397" s="131"/>
    </row>
    <row r="1398" spans="35:35">
      <c r="AI1398" s="131"/>
    </row>
    <row r="1399" spans="35:35">
      <c r="AI1399" s="131"/>
    </row>
    <row r="1400" spans="35:35">
      <c r="AI1400" s="131"/>
    </row>
    <row r="1401" spans="35:35">
      <c r="AI1401" s="284"/>
    </row>
    <row r="1402" spans="35:35">
      <c r="AI1402" s="131"/>
    </row>
    <row r="1403" spans="35:35">
      <c r="AI1403" s="131"/>
    </row>
    <row r="1404" spans="35:35">
      <c r="AI1404" s="131"/>
    </row>
    <row r="1405" spans="35:35">
      <c r="AI1405" s="131"/>
    </row>
    <row r="1406" spans="35:35">
      <c r="AI1406" s="131"/>
    </row>
    <row r="1407" spans="35:35">
      <c r="AI1407" s="131"/>
    </row>
    <row r="1408" spans="35:35">
      <c r="AI1408" s="131"/>
    </row>
    <row r="1409" spans="35:35">
      <c r="AI1409" s="131"/>
    </row>
    <row r="1410" spans="35:35">
      <c r="AI1410" s="131"/>
    </row>
    <row r="1411" spans="35:35">
      <c r="AI1411" s="131"/>
    </row>
    <row r="1412" spans="35:35">
      <c r="AI1412" s="131"/>
    </row>
    <row r="1413" spans="35:35">
      <c r="AI1413" s="284"/>
    </row>
    <row r="1414" spans="35:35">
      <c r="AI1414" s="131"/>
    </row>
    <row r="1415" spans="35:35">
      <c r="AI1415" s="28"/>
    </row>
    <row r="1416" spans="35:35">
      <c r="AI1416" s="284"/>
    </row>
    <row r="1417" spans="35:35">
      <c r="AI1417" s="131"/>
    </row>
    <row r="1418" spans="35:35">
      <c r="AI1418" s="131"/>
    </row>
    <row r="1419" spans="35:35">
      <c r="AI1419" s="131"/>
    </row>
    <row r="1420" spans="35:35">
      <c r="AI1420" s="131"/>
    </row>
    <row r="1421" spans="35:35">
      <c r="AI1421" s="284"/>
    </row>
    <row r="1422" spans="35:35">
      <c r="AI1422" s="131"/>
    </row>
    <row r="1423" spans="35:35">
      <c r="AI1423" s="131"/>
    </row>
    <row r="1424" spans="35:35">
      <c r="AI1424" s="131"/>
    </row>
    <row r="1425" spans="1:35">
      <c r="AI1425" s="131"/>
    </row>
    <row r="1426" spans="1:35">
      <c r="AI1426" s="131"/>
    </row>
    <row r="1427" spans="1:35">
      <c r="AI1427" s="131"/>
    </row>
    <row r="1428" spans="1:35">
      <c r="AI1428" s="131"/>
    </row>
    <row r="1429" spans="1:35">
      <c r="AI1429" s="131"/>
    </row>
    <row r="1430" spans="1:35">
      <c r="AI1430" s="131"/>
    </row>
    <row r="1431" spans="1:35">
      <c r="AI1431" s="131"/>
    </row>
    <row r="1432" spans="1:35" ht="26.4">
      <c r="A1432" s="284"/>
      <c r="B1432" s="284"/>
      <c r="C1432" s="284"/>
      <c r="D1432" s="284"/>
      <c r="E1432" s="284"/>
      <c r="F1432" s="284"/>
      <c r="G1432" s="284"/>
      <c r="H1432" s="284"/>
      <c r="I1432" s="284"/>
      <c r="J1432" s="375"/>
      <c r="K1432" s="375"/>
      <c r="L1432" s="375"/>
      <c r="M1432" s="368"/>
      <c r="N1432" s="368"/>
      <c r="T1432" s="349"/>
      <c r="V1432" s="378"/>
      <c r="W1432" s="64" ph="1"/>
      <c r="X1432" s="241"/>
      <c r="Y1432" s="284"/>
      <c r="Z1432" s="207"/>
      <c r="AA1432" s="284"/>
      <c r="AB1432" s="284"/>
      <c r="AC1432" s="284"/>
      <c r="AD1432" s="284"/>
      <c r="AE1432" s="284"/>
      <c r="AF1432" s="284"/>
      <c r="AG1432" s="284"/>
      <c r="AI1432" s="131"/>
    </row>
    <row r="1433" spans="1:35">
      <c r="AI1433" s="131"/>
    </row>
    <row r="1434" spans="1:35">
      <c r="AI1434" s="131"/>
    </row>
    <row r="1435" spans="1:35">
      <c r="AI1435" s="131"/>
    </row>
    <row r="1436" spans="1:35">
      <c r="AI1436" s="131"/>
    </row>
    <row r="1437" spans="1:35">
      <c r="AI1437" s="131"/>
    </row>
    <row r="1438" spans="1:35">
      <c r="AI1438" s="131"/>
    </row>
    <row r="1439" spans="1:35">
      <c r="AI1439" s="131"/>
    </row>
    <row r="1440" spans="1:35">
      <c r="AI1440" s="131"/>
    </row>
    <row r="1441" spans="1:35">
      <c r="AI1441" s="284"/>
    </row>
    <row r="1442" spans="1:35" ht="26.4">
      <c r="A1442" s="284"/>
      <c r="B1442" s="284"/>
      <c r="C1442" s="284"/>
      <c r="D1442" s="284"/>
      <c r="E1442" s="284"/>
      <c r="F1442" s="284"/>
      <c r="G1442" s="284"/>
      <c r="H1442" s="284"/>
      <c r="I1442" s="284"/>
      <c r="J1442" s="375"/>
      <c r="K1442" s="375"/>
      <c r="L1442" s="375"/>
      <c r="M1442" s="368"/>
      <c r="N1442" s="368"/>
      <c r="T1442" s="349"/>
      <c r="V1442" s="378"/>
      <c r="W1442" s="64" ph="1"/>
      <c r="X1442" s="241"/>
      <c r="Y1442" s="284"/>
      <c r="Z1442" s="207"/>
      <c r="AA1442" s="284"/>
      <c r="AB1442" s="284"/>
      <c r="AC1442" s="284"/>
      <c r="AD1442" s="284"/>
      <c r="AE1442" s="284"/>
      <c r="AF1442" s="284"/>
      <c r="AG1442" s="284"/>
      <c r="AI1442" s="131"/>
    </row>
    <row r="1443" spans="1:35">
      <c r="AI1443" s="131"/>
    </row>
    <row r="1444" spans="1:35">
      <c r="O1444" s="370"/>
      <c r="AI1444" s="131"/>
    </row>
    <row r="1445" spans="1:35">
      <c r="AI1445" s="131"/>
    </row>
    <row r="1446" spans="1:35" ht="26.4">
      <c r="A1446" s="284"/>
      <c r="B1446" s="284"/>
      <c r="C1446" s="284"/>
      <c r="D1446" s="284"/>
      <c r="E1446" s="284"/>
      <c r="F1446" s="284"/>
      <c r="G1446" s="284"/>
      <c r="H1446" s="284"/>
      <c r="I1446" s="284"/>
      <c r="J1446" s="375"/>
      <c r="K1446" s="375"/>
      <c r="L1446" s="375"/>
      <c r="M1446" s="368"/>
      <c r="N1446" s="368"/>
      <c r="T1446" s="349"/>
      <c r="V1446" s="378"/>
      <c r="W1446" s="64" ph="1"/>
      <c r="X1446" s="241"/>
      <c r="Y1446" s="284"/>
      <c r="Z1446" s="207"/>
      <c r="AA1446" s="284"/>
      <c r="AB1446" s="284"/>
      <c r="AC1446" s="284"/>
      <c r="AD1446" s="284"/>
      <c r="AE1446" s="284"/>
      <c r="AF1446" s="284"/>
      <c r="AG1446" s="284"/>
      <c r="AI1446" s="131"/>
    </row>
    <row r="1447" spans="1:35">
      <c r="AI1447" s="131"/>
    </row>
    <row r="1448" spans="1:35">
      <c r="AI1448" s="131"/>
    </row>
    <row r="1449" spans="1:35">
      <c r="AI1449" s="131"/>
    </row>
    <row r="1450" spans="1:35">
      <c r="AI1450" s="131"/>
    </row>
    <row r="1451" spans="1:35" ht="26.4">
      <c r="A1451" s="284"/>
      <c r="B1451" s="284"/>
      <c r="C1451" s="284"/>
      <c r="D1451" s="284"/>
      <c r="E1451" s="284"/>
      <c r="F1451" s="284"/>
      <c r="G1451" s="284"/>
      <c r="H1451" s="284"/>
      <c r="I1451" s="284"/>
      <c r="J1451" s="375"/>
      <c r="K1451" s="375"/>
      <c r="L1451" s="375"/>
      <c r="M1451" s="368"/>
      <c r="N1451" s="368"/>
      <c r="T1451" s="349"/>
      <c r="V1451" s="378"/>
      <c r="W1451" s="64" ph="1"/>
      <c r="X1451" s="241"/>
      <c r="Y1451" s="284"/>
      <c r="Z1451" s="207"/>
      <c r="AA1451" s="284"/>
      <c r="AB1451" s="284"/>
      <c r="AC1451" s="284"/>
      <c r="AD1451" s="284"/>
      <c r="AE1451" s="284"/>
      <c r="AF1451" s="284"/>
      <c r="AG1451" s="284"/>
      <c r="AI1451" s="131"/>
    </row>
    <row r="1452" spans="1:35" ht="26.4">
      <c r="A1452" s="284"/>
      <c r="B1452" s="284"/>
      <c r="C1452" s="284"/>
      <c r="D1452" s="284"/>
      <c r="E1452" s="284"/>
      <c r="F1452" s="284"/>
      <c r="G1452" s="284"/>
      <c r="H1452" s="284"/>
      <c r="I1452" s="284"/>
      <c r="J1452" s="375"/>
      <c r="K1452" s="375"/>
      <c r="L1452" s="375"/>
      <c r="M1452" s="368"/>
      <c r="N1452" s="368"/>
      <c r="T1452" s="349"/>
      <c r="V1452" s="378"/>
      <c r="W1452" s="64" ph="1"/>
      <c r="X1452" s="241"/>
      <c r="Y1452" s="284"/>
      <c r="Z1452" s="207"/>
      <c r="AA1452" s="284"/>
      <c r="AB1452" s="284"/>
      <c r="AC1452" s="284"/>
      <c r="AD1452" s="284"/>
      <c r="AE1452" s="284"/>
      <c r="AF1452" s="284"/>
      <c r="AG1452" s="284"/>
      <c r="AI1452" s="131"/>
    </row>
    <row r="1453" spans="1:35" ht="26.4">
      <c r="A1453" s="284"/>
      <c r="B1453" s="284"/>
      <c r="C1453" s="284"/>
      <c r="D1453" s="284"/>
      <c r="E1453" s="284"/>
      <c r="F1453" s="284"/>
      <c r="G1453" s="284"/>
      <c r="H1453" s="284"/>
      <c r="I1453" s="284"/>
      <c r="J1453" s="375"/>
      <c r="K1453" s="375"/>
      <c r="L1453" s="375"/>
      <c r="M1453" s="368"/>
      <c r="N1453" s="368"/>
      <c r="T1453" s="349"/>
      <c r="V1453" s="378"/>
      <c r="W1453" s="64" ph="1"/>
      <c r="X1453" s="241"/>
      <c r="Y1453" s="284"/>
      <c r="Z1453" s="207"/>
      <c r="AA1453" s="284"/>
      <c r="AB1453" s="284"/>
      <c r="AC1453" s="284"/>
      <c r="AD1453" s="284"/>
      <c r="AE1453" s="284"/>
      <c r="AF1453" s="284"/>
      <c r="AG1453" s="284"/>
      <c r="AI1453" s="131"/>
    </row>
    <row r="1454" spans="1:35">
      <c r="O1454" s="370"/>
      <c r="AI1454" s="131"/>
    </row>
    <row r="1455" spans="1:35" ht="26.4">
      <c r="A1455" s="284"/>
      <c r="B1455" s="284"/>
      <c r="C1455" s="284"/>
      <c r="D1455" s="284"/>
      <c r="E1455" s="284"/>
      <c r="F1455" s="284"/>
      <c r="G1455" s="284"/>
      <c r="H1455" s="284"/>
      <c r="I1455" s="284"/>
      <c r="J1455" s="375"/>
      <c r="K1455" s="375"/>
      <c r="L1455" s="375"/>
      <c r="M1455" s="368"/>
      <c r="N1455" s="368"/>
      <c r="T1455" s="349"/>
      <c r="V1455" s="378"/>
      <c r="W1455" s="64" ph="1"/>
      <c r="X1455" s="241"/>
      <c r="Y1455" s="284"/>
      <c r="Z1455" s="207"/>
      <c r="AA1455" s="284"/>
      <c r="AB1455" s="284"/>
      <c r="AC1455" s="284"/>
      <c r="AD1455" s="284"/>
      <c r="AE1455" s="284"/>
      <c r="AF1455" s="284"/>
      <c r="AG1455" s="284"/>
      <c r="AI1455" s="131"/>
    </row>
    <row r="1456" spans="1:35" ht="26.4">
      <c r="A1456" s="284"/>
      <c r="B1456" s="284"/>
      <c r="C1456" s="284"/>
      <c r="D1456" s="284"/>
      <c r="E1456" s="284"/>
      <c r="F1456" s="284"/>
      <c r="G1456" s="284"/>
      <c r="H1456" s="284"/>
      <c r="I1456" s="284"/>
      <c r="J1456" s="375"/>
      <c r="K1456" s="375"/>
      <c r="L1456" s="375"/>
      <c r="M1456" s="368"/>
      <c r="N1456" s="368"/>
      <c r="T1456" s="349"/>
      <c r="V1456" s="378"/>
      <c r="W1456" s="64" ph="1"/>
      <c r="X1456" s="241"/>
      <c r="Y1456" s="284"/>
      <c r="Z1456" s="207"/>
      <c r="AA1456" s="284"/>
      <c r="AB1456" s="284"/>
      <c r="AC1456" s="284"/>
      <c r="AD1456" s="284"/>
      <c r="AE1456" s="284"/>
      <c r="AF1456" s="284"/>
      <c r="AG1456" s="284"/>
      <c r="AI1456" s="131"/>
    </row>
    <row r="1457" spans="1:35">
      <c r="AI1457" s="131"/>
    </row>
    <row r="1458" spans="1:35" ht="26.4">
      <c r="A1458" s="284"/>
      <c r="B1458" s="284"/>
      <c r="C1458" s="284"/>
      <c r="D1458" s="284"/>
      <c r="E1458" s="284"/>
      <c r="F1458" s="284"/>
      <c r="G1458" s="284"/>
      <c r="H1458" s="284"/>
      <c r="I1458" s="284"/>
      <c r="J1458" s="375"/>
      <c r="K1458" s="375"/>
      <c r="L1458" s="375"/>
      <c r="M1458" s="368"/>
      <c r="N1458" s="368"/>
      <c r="O1458" s="370"/>
      <c r="T1458" s="349"/>
      <c r="V1458" s="378"/>
      <c r="W1458" s="64" ph="1"/>
      <c r="X1458" s="241"/>
      <c r="Y1458" s="284"/>
      <c r="Z1458" s="207"/>
      <c r="AA1458" s="284"/>
      <c r="AB1458" s="284"/>
      <c r="AC1458" s="284"/>
      <c r="AD1458" s="284"/>
      <c r="AE1458" s="284"/>
      <c r="AF1458" s="284"/>
      <c r="AG1458" s="284"/>
      <c r="AI1458" s="131"/>
    </row>
    <row r="1459" spans="1:35">
      <c r="AI1459" s="131"/>
    </row>
    <row r="1460" spans="1:35" ht="26.4">
      <c r="A1460" s="284"/>
      <c r="B1460" s="284"/>
      <c r="C1460" s="284"/>
      <c r="D1460" s="284"/>
      <c r="E1460" s="284"/>
      <c r="F1460" s="284"/>
      <c r="G1460" s="284"/>
      <c r="H1460" s="284"/>
      <c r="I1460" s="284"/>
      <c r="J1460" s="375"/>
      <c r="K1460" s="375"/>
      <c r="L1460" s="375"/>
      <c r="M1460" s="368"/>
      <c r="N1460" s="368"/>
      <c r="T1460" s="349"/>
      <c r="V1460" s="378"/>
      <c r="W1460" s="64" ph="1"/>
      <c r="X1460" s="241"/>
      <c r="Y1460" s="284"/>
      <c r="Z1460" s="207"/>
      <c r="AA1460" s="284"/>
      <c r="AB1460" s="284"/>
      <c r="AC1460" s="284"/>
      <c r="AD1460" s="284"/>
      <c r="AE1460" s="284"/>
      <c r="AF1460" s="284"/>
      <c r="AG1460" s="284"/>
      <c r="AI1460" s="131"/>
    </row>
    <row r="1461" spans="1:35" ht="26.4">
      <c r="A1461" s="284"/>
      <c r="B1461" s="284"/>
      <c r="C1461" s="284"/>
      <c r="D1461" s="284"/>
      <c r="E1461" s="284"/>
      <c r="F1461" s="284"/>
      <c r="G1461" s="284"/>
      <c r="H1461" s="284"/>
      <c r="I1461" s="284"/>
      <c r="J1461" s="375"/>
      <c r="K1461" s="375"/>
      <c r="L1461" s="375"/>
      <c r="M1461" s="368"/>
      <c r="N1461" s="368"/>
      <c r="T1461" s="349"/>
      <c r="V1461" s="378"/>
      <c r="W1461" s="64" ph="1"/>
      <c r="X1461" s="241"/>
      <c r="Y1461" s="284"/>
      <c r="Z1461" s="207"/>
      <c r="AA1461" s="284"/>
      <c r="AB1461" s="284"/>
      <c r="AC1461" s="284"/>
      <c r="AD1461" s="284"/>
      <c r="AE1461" s="284"/>
      <c r="AF1461" s="284"/>
      <c r="AG1461" s="284"/>
      <c r="AI1461" s="131"/>
    </row>
    <row r="1462" spans="1:35" ht="26.4">
      <c r="A1462" s="284"/>
      <c r="B1462" s="284"/>
      <c r="C1462" s="284"/>
      <c r="D1462" s="284"/>
      <c r="E1462" s="284"/>
      <c r="F1462" s="284"/>
      <c r="G1462" s="284"/>
      <c r="H1462" s="284"/>
      <c r="I1462" s="284"/>
      <c r="J1462" s="375"/>
      <c r="K1462" s="375"/>
      <c r="L1462" s="375"/>
      <c r="M1462" s="368"/>
      <c r="N1462" s="368"/>
      <c r="T1462" s="349"/>
      <c r="V1462" s="378"/>
      <c r="W1462" s="64" ph="1"/>
      <c r="X1462" s="241"/>
      <c r="Y1462" s="284"/>
      <c r="Z1462" s="207"/>
      <c r="AA1462" s="284"/>
      <c r="AB1462" s="284"/>
      <c r="AC1462" s="284"/>
      <c r="AD1462" s="284"/>
      <c r="AE1462" s="284"/>
      <c r="AF1462" s="284"/>
      <c r="AG1462" s="284"/>
      <c r="AI1462" s="131"/>
    </row>
    <row r="1463" spans="1:35" ht="26.4">
      <c r="A1463" s="284"/>
      <c r="B1463" s="284"/>
      <c r="C1463" s="284"/>
      <c r="D1463" s="284"/>
      <c r="E1463" s="284"/>
      <c r="F1463" s="284"/>
      <c r="G1463" s="284"/>
      <c r="H1463" s="284"/>
      <c r="I1463" s="284"/>
      <c r="J1463" s="375"/>
      <c r="K1463" s="375"/>
      <c r="L1463" s="375"/>
      <c r="M1463" s="368"/>
      <c r="N1463" s="368"/>
      <c r="O1463" s="370"/>
      <c r="T1463" s="349"/>
      <c r="V1463" s="378"/>
      <c r="W1463" s="64" ph="1"/>
      <c r="X1463" s="241"/>
      <c r="Y1463" s="284"/>
      <c r="Z1463" s="207"/>
      <c r="AA1463" s="284"/>
      <c r="AB1463" s="284"/>
      <c r="AC1463" s="284"/>
      <c r="AD1463" s="284"/>
      <c r="AE1463" s="284"/>
      <c r="AF1463" s="284"/>
      <c r="AG1463" s="284"/>
      <c r="AI1463" s="131"/>
    </row>
    <row r="1464" spans="1:35" ht="26.4">
      <c r="A1464" s="284"/>
      <c r="B1464" s="284"/>
      <c r="C1464" s="284"/>
      <c r="D1464" s="284"/>
      <c r="E1464" s="284"/>
      <c r="F1464" s="284"/>
      <c r="G1464" s="284"/>
      <c r="H1464" s="284"/>
      <c r="I1464" s="284"/>
      <c r="J1464" s="375"/>
      <c r="K1464" s="375"/>
      <c r="L1464" s="375"/>
      <c r="M1464" s="368"/>
      <c r="N1464" s="368"/>
      <c r="O1464" s="370"/>
      <c r="T1464" s="349"/>
      <c r="V1464" s="378"/>
      <c r="W1464" s="64" ph="1"/>
      <c r="X1464" s="241"/>
      <c r="Y1464" s="284"/>
      <c r="Z1464" s="207"/>
      <c r="AA1464" s="284"/>
      <c r="AB1464" s="284"/>
      <c r="AC1464" s="284"/>
      <c r="AD1464" s="284"/>
      <c r="AE1464" s="284"/>
      <c r="AF1464" s="284"/>
      <c r="AG1464" s="284"/>
      <c r="AI1464" s="131"/>
    </row>
    <row r="1465" spans="1:35" ht="26.4">
      <c r="A1465" s="284"/>
      <c r="B1465" s="284"/>
      <c r="C1465" s="284"/>
      <c r="D1465" s="284"/>
      <c r="E1465" s="284"/>
      <c r="F1465" s="284"/>
      <c r="G1465" s="284"/>
      <c r="H1465" s="284"/>
      <c r="I1465" s="284"/>
      <c r="J1465" s="375"/>
      <c r="K1465" s="375"/>
      <c r="L1465" s="375"/>
      <c r="M1465" s="368"/>
      <c r="N1465" s="368"/>
      <c r="O1465" s="370"/>
      <c r="T1465" s="349"/>
      <c r="V1465" s="378"/>
      <c r="W1465" s="64" ph="1"/>
      <c r="X1465" s="241"/>
      <c r="Y1465" s="284"/>
      <c r="Z1465" s="207"/>
      <c r="AA1465" s="284"/>
      <c r="AB1465" s="284"/>
      <c r="AC1465" s="284"/>
      <c r="AD1465" s="284"/>
      <c r="AE1465" s="284"/>
      <c r="AF1465" s="284"/>
      <c r="AG1465" s="284"/>
      <c r="AI1465" s="131"/>
    </row>
    <row r="1466" spans="1:35" ht="26.4">
      <c r="A1466" s="284"/>
      <c r="B1466" s="284"/>
      <c r="C1466" s="284"/>
      <c r="D1466" s="284"/>
      <c r="E1466" s="284"/>
      <c r="F1466" s="284"/>
      <c r="G1466" s="284"/>
      <c r="H1466" s="284"/>
      <c r="I1466" s="284"/>
      <c r="J1466" s="375"/>
      <c r="K1466" s="375"/>
      <c r="L1466" s="375"/>
      <c r="M1466" s="368"/>
      <c r="N1466" s="368"/>
      <c r="T1466" s="349"/>
      <c r="V1466" s="378"/>
      <c r="W1466" s="64" ph="1"/>
      <c r="X1466" s="241"/>
      <c r="Y1466" s="284"/>
      <c r="Z1466" s="207"/>
      <c r="AA1466" s="284"/>
      <c r="AB1466" s="284"/>
      <c r="AC1466" s="284"/>
      <c r="AD1466" s="284"/>
      <c r="AE1466" s="284"/>
      <c r="AF1466" s="284"/>
      <c r="AG1466" s="284"/>
      <c r="AI1466" s="131"/>
    </row>
    <row r="1467" spans="1:35" ht="26.4">
      <c r="A1467" s="284"/>
      <c r="B1467" s="284"/>
      <c r="C1467" s="284"/>
      <c r="D1467" s="284"/>
      <c r="E1467" s="284"/>
      <c r="F1467" s="284"/>
      <c r="G1467" s="284"/>
      <c r="H1467" s="284"/>
      <c r="I1467" s="284"/>
      <c r="J1467" s="375"/>
      <c r="K1467" s="375"/>
      <c r="L1467" s="375"/>
      <c r="M1467" s="368"/>
      <c r="N1467" s="368"/>
      <c r="O1467" s="370"/>
      <c r="T1467" s="349"/>
      <c r="V1467" s="378"/>
      <c r="W1467" s="64" ph="1"/>
      <c r="X1467" s="241"/>
      <c r="Y1467" s="284"/>
      <c r="Z1467" s="207"/>
      <c r="AA1467" s="284"/>
      <c r="AB1467" s="284"/>
      <c r="AC1467" s="284"/>
      <c r="AD1467" s="284"/>
      <c r="AE1467" s="284"/>
      <c r="AF1467" s="284"/>
      <c r="AG1467" s="284"/>
      <c r="AI1467" s="131"/>
    </row>
    <row r="1468" spans="1:35" ht="26.4">
      <c r="A1468" s="284"/>
      <c r="B1468" s="284"/>
      <c r="C1468" s="284"/>
      <c r="D1468" s="284"/>
      <c r="E1468" s="284"/>
      <c r="F1468" s="284"/>
      <c r="G1468" s="284"/>
      <c r="H1468" s="284"/>
      <c r="I1468" s="284"/>
      <c r="J1468" s="375"/>
      <c r="K1468" s="375"/>
      <c r="L1468" s="375"/>
      <c r="M1468" s="368"/>
      <c r="N1468" s="368"/>
      <c r="O1468" s="370"/>
      <c r="T1468" s="349"/>
      <c r="V1468" s="378"/>
      <c r="W1468" s="64" ph="1"/>
      <c r="X1468" s="241"/>
      <c r="Y1468" s="284"/>
      <c r="Z1468" s="207"/>
      <c r="AA1468" s="284"/>
      <c r="AB1468" s="284"/>
      <c r="AC1468" s="284"/>
      <c r="AD1468" s="284"/>
      <c r="AE1468" s="284"/>
      <c r="AF1468" s="284"/>
      <c r="AG1468" s="284"/>
      <c r="AI1468" s="131"/>
    </row>
    <row r="1469" spans="1:35" ht="26.4">
      <c r="A1469" s="284"/>
      <c r="B1469" s="284"/>
      <c r="C1469" s="284"/>
      <c r="D1469" s="284"/>
      <c r="E1469" s="284"/>
      <c r="F1469" s="284"/>
      <c r="G1469" s="284"/>
      <c r="H1469" s="284"/>
      <c r="I1469" s="284"/>
      <c r="J1469" s="375"/>
      <c r="K1469" s="375"/>
      <c r="L1469" s="375"/>
      <c r="M1469" s="368"/>
      <c r="N1469" s="368"/>
      <c r="T1469" s="349"/>
      <c r="V1469" s="378"/>
      <c r="W1469" s="64" ph="1"/>
      <c r="X1469" s="241"/>
      <c r="Y1469" s="284"/>
      <c r="Z1469" s="207"/>
      <c r="AA1469" s="284"/>
      <c r="AB1469" s="284"/>
      <c r="AC1469" s="284"/>
      <c r="AD1469" s="284"/>
      <c r="AE1469" s="284"/>
      <c r="AF1469" s="284"/>
      <c r="AG1469" s="284"/>
      <c r="AI1469" s="131"/>
    </row>
    <row r="1470" spans="1:35">
      <c r="O1470" s="370"/>
      <c r="AI1470" s="131"/>
    </row>
    <row r="1471" spans="1:35" ht="26.4">
      <c r="A1471" s="284"/>
      <c r="B1471" s="284"/>
      <c r="C1471" s="284"/>
      <c r="D1471" s="284"/>
      <c r="E1471" s="284"/>
      <c r="F1471" s="284"/>
      <c r="G1471" s="284"/>
      <c r="H1471" s="284"/>
      <c r="I1471" s="284"/>
      <c r="J1471" s="375"/>
      <c r="K1471" s="375"/>
      <c r="L1471" s="375"/>
      <c r="M1471" s="368"/>
      <c r="N1471" s="368"/>
      <c r="T1471" s="349"/>
      <c r="V1471" s="378"/>
      <c r="W1471" s="64" ph="1"/>
      <c r="X1471" s="241"/>
      <c r="Y1471" s="284"/>
      <c r="Z1471" s="207"/>
      <c r="AA1471" s="284"/>
      <c r="AB1471" s="284"/>
      <c r="AC1471" s="284"/>
      <c r="AD1471" s="284"/>
      <c r="AE1471" s="284"/>
      <c r="AF1471" s="284"/>
      <c r="AG1471" s="284"/>
      <c r="AI1471" s="131"/>
    </row>
    <row r="1472" spans="1:35" ht="26.4">
      <c r="A1472" s="284"/>
      <c r="B1472" s="284"/>
      <c r="C1472" s="284"/>
      <c r="D1472" s="284"/>
      <c r="E1472" s="284"/>
      <c r="F1472" s="284"/>
      <c r="G1472" s="284"/>
      <c r="H1472" s="284"/>
      <c r="I1472" s="284"/>
      <c r="J1472" s="375"/>
      <c r="K1472" s="375"/>
      <c r="L1472" s="375"/>
      <c r="M1472" s="368"/>
      <c r="N1472" s="368"/>
      <c r="O1472" s="370"/>
      <c r="T1472" s="349"/>
      <c r="V1472" s="378"/>
      <c r="W1472" s="64" ph="1"/>
      <c r="X1472" s="241"/>
      <c r="Y1472" s="284"/>
      <c r="Z1472" s="207"/>
      <c r="AA1472" s="284"/>
      <c r="AB1472" s="284"/>
      <c r="AC1472" s="284"/>
      <c r="AD1472" s="284"/>
      <c r="AE1472" s="284"/>
      <c r="AF1472" s="284"/>
      <c r="AG1472" s="284"/>
      <c r="AI1472" s="131"/>
    </row>
    <row r="1473" spans="1:35" ht="26.4">
      <c r="A1473" s="284"/>
      <c r="B1473" s="284"/>
      <c r="C1473" s="284"/>
      <c r="D1473" s="284"/>
      <c r="E1473" s="284"/>
      <c r="F1473" s="284"/>
      <c r="G1473" s="284"/>
      <c r="H1473" s="284"/>
      <c r="I1473" s="284"/>
      <c r="J1473" s="375"/>
      <c r="K1473" s="375"/>
      <c r="L1473" s="375"/>
      <c r="M1473" s="368"/>
      <c r="N1473" s="368"/>
      <c r="O1473" s="370"/>
      <c r="T1473" s="349"/>
      <c r="V1473" s="378"/>
      <c r="W1473" s="64" ph="1"/>
      <c r="X1473" s="241"/>
      <c r="Y1473" s="284"/>
      <c r="Z1473" s="207"/>
      <c r="AA1473" s="284"/>
      <c r="AB1473" s="284"/>
      <c r="AC1473" s="284"/>
      <c r="AD1473" s="284"/>
      <c r="AE1473" s="284"/>
      <c r="AF1473" s="284"/>
      <c r="AG1473" s="284"/>
      <c r="AI1473" s="131"/>
    </row>
    <row r="1474" spans="1:35" ht="26.4">
      <c r="A1474" s="284"/>
      <c r="B1474" s="284"/>
      <c r="C1474" s="284"/>
      <c r="D1474" s="284"/>
      <c r="E1474" s="284"/>
      <c r="F1474" s="284"/>
      <c r="G1474" s="284"/>
      <c r="H1474" s="284"/>
      <c r="I1474" s="284"/>
      <c r="J1474" s="375"/>
      <c r="K1474" s="375"/>
      <c r="L1474" s="375"/>
      <c r="M1474" s="368"/>
      <c r="N1474" s="368"/>
      <c r="O1474" s="370"/>
      <c r="T1474" s="349"/>
      <c r="V1474" s="378"/>
      <c r="W1474" s="64" ph="1"/>
      <c r="X1474" s="241"/>
      <c r="Y1474" s="284"/>
      <c r="Z1474" s="207"/>
      <c r="AA1474" s="284"/>
      <c r="AB1474" s="284"/>
      <c r="AC1474" s="284"/>
      <c r="AD1474" s="284"/>
      <c r="AE1474" s="284"/>
      <c r="AF1474" s="284"/>
      <c r="AG1474" s="284"/>
      <c r="AI1474" s="131"/>
    </row>
    <row r="1475" spans="1:35" ht="26.4">
      <c r="A1475" s="284"/>
      <c r="B1475" s="284"/>
      <c r="C1475" s="284"/>
      <c r="D1475" s="284"/>
      <c r="E1475" s="284"/>
      <c r="F1475" s="284"/>
      <c r="G1475" s="284"/>
      <c r="H1475" s="284"/>
      <c r="I1475" s="284"/>
      <c r="J1475" s="375"/>
      <c r="K1475" s="375"/>
      <c r="L1475" s="375"/>
      <c r="M1475" s="368"/>
      <c r="N1475" s="368"/>
      <c r="O1475" s="370"/>
      <c r="T1475" s="349"/>
      <c r="V1475" s="378"/>
      <c r="W1475" s="64" ph="1"/>
      <c r="X1475" s="241"/>
      <c r="Y1475" s="284"/>
      <c r="Z1475" s="207"/>
      <c r="AA1475" s="284"/>
      <c r="AB1475" s="284"/>
      <c r="AC1475" s="284"/>
      <c r="AD1475" s="284"/>
      <c r="AE1475" s="284"/>
      <c r="AF1475" s="284"/>
      <c r="AG1475" s="284"/>
      <c r="AI1475" s="131"/>
    </row>
    <row r="1476" spans="1:35" ht="26.4">
      <c r="A1476" s="284"/>
      <c r="B1476" s="284"/>
      <c r="C1476" s="284"/>
      <c r="D1476" s="284"/>
      <c r="E1476" s="284"/>
      <c r="F1476" s="284"/>
      <c r="G1476" s="284"/>
      <c r="H1476" s="284"/>
      <c r="I1476" s="284"/>
      <c r="J1476" s="375"/>
      <c r="K1476" s="375"/>
      <c r="L1476" s="375"/>
      <c r="M1476" s="368"/>
      <c r="N1476" s="368"/>
      <c r="O1476" s="370"/>
      <c r="T1476" s="349"/>
      <c r="V1476" s="378"/>
      <c r="W1476" s="64" ph="1"/>
      <c r="X1476" s="241"/>
      <c r="Y1476" s="284"/>
      <c r="Z1476" s="207"/>
      <c r="AA1476" s="284"/>
      <c r="AB1476" s="284"/>
      <c r="AC1476" s="284"/>
      <c r="AD1476" s="284"/>
      <c r="AE1476" s="284"/>
      <c r="AF1476" s="284"/>
      <c r="AG1476" s="284"/>
      <c r="AI1476" s="131"/>
    </row>
    <row r="1477" spans="1:35" ht="26.4">
      <c r="A1477" s="284"/>
      <c r="B1477" s="284"/>
      <c r="C1477" s="284"/>
      <c r="D1477" s="284"/>
      <c r="E1477" s="284"/>
      <c r="F1477" s="284"/>
      <c r="G1477" s="284"/>
      <c r="H1477" s="284"/>
      <c r="I1477" s="284"/>
      <c r="J1477" s="375"/>
      <c r="K1477" s="375"/>
      <c r="L1477" s="375"/>
      <c r="M1477" s="368"/>
      <c r="N1477" s="368"/>
      <c r="O1477" s="370"/>
      <c r="T1477" s="349"/>
      <c r="V1477" s="378"/>
      <c r="W1477" s="64" ph="1"/>
      <c r="X1477" s="241"/>
      <c r="Y1477" s="284"/>
      <c r="Z1477" s="207"/>
      <c r="AA1477" s="284"/>
      <c r="AB1477" s="284"/>
      <c r="AC1477" s="284"/>
      <c r="AD1477" s="284"/>
      <c r="AE1477" s="284"/>
      <c r="AF1477" s="284"/>
      <c r="AG1477" s="284"/>
      <c r="AI1477" s="131"/>
    </row>
    <row r="1478" spans="1:35" ht="26.4">
      <c r="A1478" s="284"/>
      <c r="B1478" s="284"/>
      <c r="C1478" s="284"/>
      <c r="D1478" s="284"/>
      <c r="E1478" s="284"/>
      <c r="F1478" s="284"/>
      <c r="G1478" s="284"/>
      <c r="H1478" s="284"/>
      <c r="I1478" s="284"/>
      <c r="J1478" s="375"/>
      <c r="K1478" s="375"/>
      <c r="L1478" s="375"/>
      <c r="M1478" s="368"/>
      <c r="N1478" s="368"/>
      <c r="O1478" s="370"/>
      <c r="T1478" s="349"/>
      <c r="V1478" s="378"/>
      <c r="W1478" s="64" ph="1"/>
      <c r="X1478" s="241"/>
      <c r="Y1478" s="284"/>
      <c r="Z1478" s="207"/>
      <c r="AA1478" s="284"/>
      <c r="AB1478" s="284"/>
      <c r="AC1478" s="284"/>
      <c r="AD1478" s="284"/>
      <c r="AE1478" s="284"/>
      <c r="AF1478" s="284"/>
      <c r="AG1478" s="284"/>
      <c r="AI1478" s="131"/>
    </row>
    <row r="1479" spans="1:35">
      <c r="O1479" s="370"/>
      <c r="AI1479" s="131"/>
    </row>
    <row r="1480" spans="1:35" ht="26.4">
      <c r="A1480" s="284"/>
      <c r="B1480" s="284"/>
      <c r="C1480" s="284"/>
      <c r="D1480" s="284"/>
      <c r="E1480" s="284"/>
      <c r="F1480" s="284"/>
      <c r="G1480" s="284"/>
      <c r="H1480" s="284"/>
      <c r="I1480" s="284"/>
      <c r="J1480" s="375"/>
      <c r="K1480" s="375"/>
      <c r="L1480" s="375"/>
      <c r="M1480" s="368"/>
      <c r="N1480" s="368"/>
      <c r="O1480" s="370"/>
      <c r="T1480" s="349"/>
      <c r="V1480" s="378"/>
      <c r="W1480" s="64" ph="1"/>
      <c r="X1480" s="241"/>
      <c r="Y1480" s="284"/>
      <c r="Z1480" s="207"/>
      <c r="AA1480" s="284"/>
      <c r="AB1480" s="284"/>
      <c r="AC1480" s="284"/>
      <c r="AD1480" s="284"/>
      <c r="AE1480" s="284"/>
      <c r="AF1480" s="284"/>
      <c r="AG1480" s="284"/>
      <c r="AI1480" s="284"/>
    </row>
    <row r="1481" spans="1:35" ht="26.4">
      <c r="A1481" s="284"/>
      <c r="B1481" s="284"/>
      <c r="C1481" s="284"/>
      <c r="D1481" s="284"/>
      <c r="E1481" s="284"/>
      <c r="F1481" s="284"/>
      <c r="G1481" s="284"/>
      <c r="H1481" s="284"/>
      <c r="I1481" s="284"/>
      <c r="J1481" s="375"/>
      <c r="K1481" s="375"/>
      <c r="L1481" s="375"/>
      <c r="M1481" s="368"/>
      <c r="N1481" s="368"/>
      <c r="O1481" s="370"/>
      <c r="T1481" s="349"/>
      <c r="V1481" s="378"/>
      <c r="W1481" s="64" ph="1"/>
      <c r="X1481" s="241"/>
      <c r="Y1481" s="284"/>
      <c r="Z1481" s="207"/>
      <c r="AA1481" s="284"/>
      <c r="AB1481" s="284"/>
      <c r="AC1481" s="284"/>
      <c r="AD1481" s="284"/>
      <c r="AE1481" s="284"/>
      <c r="AF1481" s="284"/>
      <c r="AG1481" s="284"/>
      <c r="AI1481" s="131"/>
    </row>
    <row r="1482" spans="1:35" ht="26.4">
      <c r="A1482" s="284"/>
      <c r="B1482" s="284"/>
      <c r="C1482" s="284"/>
      <c r="D1482" s="284"/>
      <c r="E1482" s="284"/>
      <c r="F1482" s="284"/>
      <c r="G1482" s="284"/>
      <c r="H1482" s="284"/>
      <c r="I1482" s="284"/>
      <c r="J1482" s="375"/>
      <c r="K1482" s="375"/>
      <c r="L1482" s="375"/>
      <c r="M1482" s="368"/>
      <c r="N1482" s="368"/>
      <c r="T1482" s="349"/>
      <c r="V1482" s="378"/>
      <c r="W1482" s="64" ph="1"/>
      <c r="X1482" s="241"/>
      <c r="Y1482" s="284"/>
      <c r="Z1482" s="207"/>
      <c r="AA1482" s="284"/>
      <c r="AB1482" s="284"/>
      <c r="AC1482" s="284"/>
      <c r="AD1482" s="284"/>
      <c r="AE1482" s="284"/>
      <c r="AF1482" s="284"/>
      <c r="AG1482" s="284"/>
      <c r="AI1482" s="131"/>
    </row>
    <row r="1483" spans="1:35" ht="26.4">
      <c r="A1483" s="284"/>
      <c r="B1483" s="284"/>
      <c r="C1483" s="284"/>
      <c r="D1483" s="284"/>
      <c r="E1483" s="284"/>
      <c r="F1483" s="284"/>
      <c r="G1483" s="284"/>
      <c r="H1483" s="284"/>
      <c r="I1483" s="284"/>
      <c r="J1483" s="375"/>
      <c r="K1483" s="375"/>
      <c r="L1483" s="375"/>
      <c r="M1483" s="368"/>
      <c r="N1483" s="368"/>
      <c r="O1483" s="370"/>
      <c r="T1483" s="349"/>
      <c r="V1483" s="378"/>
      <c r="W1483" s="64" ph="1"/>
      <c r="X1483" s="241"/>
      <c r="Y1483" s="284"/>
      <c r="Z1483" s="207"/>
      <c r="AA1483" s="284"/>
      <c r="AB1483" s="284"/>
      <c r="AC1483" s="284"/>
      <c r="AD1483" s="284"/>
      <c r="AE1483" s="284"/>
      <c r="AF1483" s="284"/>
      <c r="AG1483" s="284"/>
      <c r="AI1483" s="131"/>
    </row>
    <row r="1484" spans="1:35" ht="26.4">
      <c r="A1484" s="284"/>
      <c r="B1484" s="284"/>
      <c r="C1484" s="284"/>
      <c r="D1484" s="284"/>
      <c r="E1484" s="284"/>
      <c r="F1484" s="284"/>
      <c r="G1484" s="284"/>
      <c r="H1484" s="284"/>
      <c r="I1484" s="284"/>
      <c r="J1484" s="375"/>
      <c r="K1484" s="375"/>
      <c r="L1484" s="375"/>
      <c r="M1484" s="368"/>
      <c r="N1484" s="368"/>
      <c r="O1484" s="370"/>
      <c r="T1484" s="349"/>
      <c r="V1484" s="378"/>
      <c r="W1484" s="64" ph="1"/>
      <c r="X1484" s="241"/>
      <c r="Y1484" s="284"/>
      <c r="Z1484" s="207"/>
      <c r="AA1484" s="284"/>
      <c r="AB1484" s="284"/>
      <c r="AC1484" s="284"/>
      <c r="AD1484" s="284"/>
      <c r="AE1484" s="284"/>
      <c r="AF1484" s="284"/>
      <c r="AG1484" s="284"/>
      <c r="AI1484" s="131"/>
    </row>
    <row r="1485" spans="1:35" ht="26.4">
      <c r="A1485" s="284"/>
      <c r="B1485" s="284"/>
      <c r="C1485" s="284"/>
      <c r="D1485" s="284"/>
      <c r="E1485" s="284"/>
      <c r="F1485" s="284"/>
      <c r="G1485" s="284"/>
      <c r="H1485" s="284"/>
      <c r="I1485" s="284"/>
      <c r="J1485" s="375"/>
      <c r="K1485" s="375"/>
      <c r="L1485" s="375"/>
      <c r="M1485" s="368"/>
      <c r="N1485" s="368"/>
      <c r="O1485" s="370"/>
      <c r="T1485" s="349"/>
      <c r="V1485" s="378"/>
      <c r="W1485" s="64" ph="1"/>
      <c r="X1485" s="241"/>
      <c r="Y1485" s="284"/>
      <c r="Z1485" s="207"/>
      <c r="AA1485" s="284"/>
      <c r="AB1485" s="284"/>
      <c r="AC1485" s="284"/>
      <c r="AD1485" s="284"/>
      <c r="AE1485" s="284"/>
      <c r="AF1485" s="284"/>
      <c r="AG1485" s="284"/>
      <c r="AI1485" s="131"/>
    </row>
    <row r="1486" spans="1:35" ht="26.4">
      <c r="A1486" s="284"/>
      <c r="B1486" s="284"/>
      <c r="C1486" s="284"/>
      <c r="D1486" s="284"/>
      <c r="E1486" s="284"/>
      <c r="F1486" s="284"/>
      <c r="G1486" s="284"/>
      <c r="H1486" s="284"/>
      <c r="I1486" s="284"/>
      <c r="J1486" s="375"/>
      <c r="K1486" s="375"/>
      <c r="L1486" s="375"/>
      <c r="M1486" s="368"/>
      <c r="N1486" s="368"/>
      <c r="O1486" s="370"/>
      <c r="T1486" s="349"/>
      <c r="V1486" s="378"/>
      <c r="W1486" s="64" ph="1"/>
      <c r="X1486" s="241"/>
      <c r="Y1486" s="284"/>
      <c r="Z1486" s="207"/>
      <c r="AA1486" s="284"/>
      <c r="AB1486" s="284"/>
      <c r="AC1486" s="284"/>
      <c r="AD1486" s="284"/>
      <c r="AE1486" s="284"/>
      <c r="AF1486" s="284"/>
      <c r="AG1486" s="284"/>
      <c r="AI1486" s="131"/>
    </row>
    <row r="1487" spans="1:35" ht="26.4">
      <c r="A1487" s="284"/>
      <c r="B1487" s="284"/>
      <c r="C1487" s="284"/>
      <c r="D1487" s="284"/>
      <c r="E1487" s="284"/>
      <c r="F1487" s="284"/>
      <c r="G1487" s="284"/>
      <c r="H1487" s="284"/>
      <c r="I1487" s="284"/>
      <c r="J1487" s="375"/>
      <c r="K1487" s="375"/>
      <c r="L1487" s="375"/>
      <c r="M1487" s="368"/>
      <c r="N1487" s="368"/>
      <c r="O1487" s="370"/>
      <c r="T1487" s="349"/>
      <c r="V1487" s="378"/>
      <c r="W1487" s="64" ph="1"/>
      <c r="X1487" s="241"/>
      <c r="Y1487" s="284"/>
      <c r="Z1487" s="207"/>
      <c r="AA1487" s="284"/>
      <c r="AB1487" s="284"/>
      <c r="AC1487" s="284"/>
      <c r="AD1487" s="284"/>
      <c r="AE1487" s="284"/>
      <c r="AF1487" s="284"/>
      <c r="AG1487" s="284"/>
      <c r="AI1487" s="131"/>
    </row>
    <row r="1488" spans="1:35" ht="26.4">
      <c r="A1488" s="284"/>
      <c r="B1488" s="284"/>
      <c r="C1488" s="284"/>
      <c r="D1488" s="284"/>
      <c r="E1488" s="284"/>
      <c r="F1488" s="284"/>
      <c r="G1488" s="284"/>
      <c r="H1488" s="284"/>
      <c r="I1488" s="284"/>
      <c r="J1488" s="375"/>
      <c r="K1488" s="375"/>
      <c r="L1488" s="375"/>
      <c r="M1488" s="368"/>
      <c r="N1488" s="368"/>
      <c r="O1488" s="370"/>
      <c r="T1488" s="349"/>
      <c r="V1488" s="378"/>
      <c r="W1488" s="64" ph="1"/>
      <c r="X1488" s="241"/>
      <c r="Y1488" s="284"/>
      <c r="Z1488" s="207"/>
      <c r="AA1488" s="284"/>
      <c r="AB1488" s="284"/>
      <c r="AC1488" s="284"/>
      <c r="AD1488" s="284"/>
      <c r="AE1488" s="284"/>
      <c r="AF1488" s="284"/>
      <c r="AG1488" s="284"/>
      <c r="AI1488" s="131"/>
    </row>
    <row r="1489" spans="1:35" ht="26.4">
      <c r="A1489" s="284"/>
      <c r="B1489" s="284"/>
      <c r="C1489" s="284"/>
      <c r="D1489" s="284"/>
      <c r="E1489" s="284"/>
      <c r="F1489" s="284"/>
      <c r="G1489" s="284"/>
      <c r="H1489" s="284"/>
      <c r="I1489" s="284"/>
      <c r="J1489" s="375"/>
      <c r="K1489" s="375"/>
      <c r="L1489" s="375"/>
      <c r="M1489" s="368"/>
      <c r="N1489" s="368"/>
      <c r="O1489" s="370"/>
      <c r="T1489" s="349"/>
      <c r="V1489" s="378"/>
      <c r="W1489" s="64" ph="1"/>
      <c r="X1489" s="241"/>
      <c r="Y1489" s="284"/>
      <c r="Z1489" s="207"/>
      <c r="AA1489" s="284"/>
      <c r="AB1489" s="284"/>
      <c r="AC1489" s="284"/>
      <c r="AD1489" s="284"/>
      <c r="AE1489" s="284"/>
      <c r="AF1489" s="284"/>
      <c r="AG1489" s="284"/>
      <c r="AI1489" s="131"/>
    </row>
    <row r="1490" spans="1:35" ht="26.4">
      <c r="A1490" s="284"/>
      <c r="B1490" s="284"/>
      <c r="C1490" s="284"/>
      <c r="D1490" s="284"/>
      <c r="E1490" s="284"/>
      <c r="F1490" s="284"/>
      <c r="G1490" s="284"/>
      <c r="H1490" s="284"/>
      <c r="I1490" s="284"/>
      <c r="J1490" s="375"/>
      <c r="K1490" s="375"/>
      <c r="L1490" s="375"/>
      <c r="M1490" s="368"/>
      <c r="N1490" s="368"/>
      <c r="O1490" s="370"/>
      <c r="T1490" s="349"/>
      <c r="V1490" s="378"/>
      <c r="W1490" s="64" ph="1"/>
      <c r="X1490" s="241"/>
      <c r="Y1490" s="284"/>
      <c r="Z1490" s="207"/>
      <c r="AA1490" s="284"/>
      <c r="AB1490" s="284"/>
      <c r="AC1490" s="284"/>
      <c r="AD1490" s="284"/>
      <c r="AE1490" s="284"/>
      <c r="AF1490" s="284"/>
      <c r="AG1490" s="284"/>
      <c r="AI1490" s="131"/>
    </row>
    <row r="1491" spans="1:35">
      <c r="AI1491" s="131"/>
    </row>
    <row r="1492" spans="1:35" ht="26.4">
      <c r="A1492" s="284"/>
      <c r="B1492" s="284"/>
      <c r="C1492" s="284"/>
      <c r="D1492" s="284"/>
      <c r="E1492" s="284"/>
      <c r="F1492" s="284"/>
      <c r="G1492" s="284"/>
      <c r="H1492" s="284"/>
      <c r="I1492" s="284"/>
      <c r="J1492" s="375"/>
      <c r="K1492" s="375"/>
      <c r="L1492" s="375"/>
      <c r="M1492" s="368"/>
      <c r="N1492" s="368"/>
      <c r="O1492" s="370"/>
      <c r="T1492" s="349"/>
      <c r="V1492" s="378"/>
      <c r="W1492" s="64" ph="1"/>
      <c r="X1492" s="241"/>
      <c r="Y1492" s="284"/>
      <c r="Z1492" s="207"/>
      <c r="AA1492" s="284"/>
      <c r="AB1492" s="284"/>
      <c r="AC1492" s="284"/>
      <c r="AD1492" s="284"/>
      <c r="AE1492" s="284"/>
      <c r="AF1492" s="284"/>
      <c r="AG1492" s="284"/>
      <c r="AI1492" s="131"/>
    </row>
    <row r="1493" spans="1:35" ht="26.4">
      <c r="A1493" s="284"/>
      <c r="B1493" s="284"/>
      <c r="C1493" s="284"/>
      <c r="D1493" s="284"/>
      <c r="E1493" s="284"/>
      <c r="F1493" s="284"/>
      <c r="G1493" s="284"/>
      <c r="H1493" s="284"/>
      <c r="I1493" s="284"/>
      <c r="J1493" s="375"/>
      <c r="K1493" s="375"/>
      <c r="L1493" s="375"/>
      <c r="M1493" s="368"/>
      <c r="N1493" s="368"/>
      <c r="O1493" s="370"/>
      <c r="T1493" s="349"/>
      <c r="V1493" s="378"/>
      <c r="W1493" s="64" ph="1"/>
      <c r="X1493" s="241"/>
      <c r="Y1493" s="284"/>
      <c r="Z1493" s="207"/>
      <c r="AA1493" s="284"/>
      <c r="AB1493" s="284"/>
      <c r="AC1493" s="284"/>
      <c r="AD1493" s="284"/>
      <c r="AE1493" s="284"/>
      <c r="AF1493" s="284"/>
      <c r="AG1493" s="284"/>
      <c r="AI1493" s="131"/>
    </row>
    <row r="1494" spans="1:35" ht="26.4">
      <c r="A1494" s="284"/>
      <c r="B1494" s="284"/>
      <c r="C1494" s="284"/>
      <c r="D1494" s="284"/>
      <c r="E1494" s="284"/>
      <c r="F1494" s="284"/>
      <c r="G1494" s="284"/>
      <c r="H1494" s="284"/>
      <c r="I1494" s="284"/>
      <c r="J1494" s="375"/>
      <c r="K1494" s="375"/>
      <c r="L1494" s="375"/>
      <c r="M1494" s="368"/>
      <c r="N1494" s="368"/>
      <c r="O1494" s="370"/>
      <c r="T1494" s="349"/>
      <c r="V1494" s="378"/>
      <c r="W1494" s="64" ph="1"/>
      <c r="X1494" s="241"/>
      <c r="Y1494" s="284"/>
      <c r="Z1494" s="207"/>
      <c r="AA1494" s="284"/>
      <c r="AB1494" s="284"/>
      <c r="AC1494" s="284"/>
      <c r="AD1494" s="284"/>
      <c r="AE1494" s="284"/>
      <c r="AF1494" s="284"/>
      <c r="AG1494" s="284"/>
      <c r="AI1494" s="131"/>
    </row>
    <row r="1495" spans="1:35" ht="26.4">
      <c r="A1495" s="284"/>
      <c r="B1495" s="284"/>
      <c r="C1495" s="284"/>
      <c r="D1495" s="284"/>
      <c r="E1495" s="284"/>
      <c r="F1495" s="284"/>
      <c r="G1495" s="284"/>
      <c r="H1495" s="284"/>
      <c r="I1495" s="284"/>
      <c r="J1495" s="375"/>
      <c r="K1495" s="375"/>
      <c r="L1495" s="375"/>
      <c r="M1495" s="368"/>
      <c r="N1495" s="368"/>
      <c r="O1495" s="370"/>
      <c r="T1495" s="349"/>
      <c r="V1495" s="378"/>
      <c r="W1495" s="64" ph="1"/>
      <c r="X1495" s="241"/>
      <c r="Y1495" s="284"/>
      <c r="Z1495" s="207"/>
      <c r="AA1495" s="284"/>
      <c r="AB1495" s="284"/>
      <c r="AC1495" s="284"/>
      <c r="AD1495" s="284"/>
      <c r="AE1495" s="284"/>
      <c r="AF1495" s="284"/>
      <c r="AG1495" s="284"/>
      <c r="AI1495" s="131"/>
    </row>
    <row r="1496" spans="1:35" ht="26.4">
      <c r="A1496" s="284"/>
      <c r="B1496" s="284"/>
      <c r="C1496" s="284"/>
      <c r="D1496" s="284"/>
      <c r="E1496" s="284"/>
      <c r="F1496" s="284"/>
      <c r="G1496" s="284"/>
      <c r="H1496" s="284"/>
      <c r="I1496" s="284"/>
      <c r="J1496" s="375"/>
      <c r="K1496" s="375"/>
      <c r="L1496" s="375"/>
      <c r="M1496" s="368"/>
      <c r="N1496" s="368"/>
      <c r="O1496" s="370"/>
      <c r="T1496" s="349"/>
      <c r="V1496" s="378"/>
      <c r="W1496" s="64" ph="1"/>
      <c r="X1496" s="241"/>
      <c r="Y1496" s="284"/>
      <c r="Z1496" s="207"/>
      <c r="AA1496" s="284"/>
      <c r="AB1496" s="284"/>
      <c r="AC1496" s="284"/>
      <c r="AD1496" s="284"/>
      <c r="AE1496" s="284"/>
      <c r="AF1496" s="284"/>
      <c r="AG1496" s="284"/>
      <c r="AI1496" s="131"/>
    </row>
    <row r="1497" spans="1:35" ht="26.4">
      <c r="A1497" s="284"/>
      <c r="B1497" s="284"/>
      <c r="C1497" s="284"/>
      <c r="D1497" s="284"/>
      <c r="E1497" s="284"/>
      <c r="F1497" s="284"/>
      <c r="G1497" s="284"/>
      <c r="H1497" s="284"/>
      <c r="I1497" s="284"/>
      <c r="J1497" s="375"/>
      <c r="K1497" s="375"/>
      <c r="L1497" s="375"/>
      <c r="M1497" s="368"/>
      <c r="N1497" s="368"/>
      <c r="O1497" s="370"/>
      <c r="T1497" s="349"/>
      <c r="V1497" s="378"/>
      <c r="W1497" s="64" ph="1"/>
      <c r="X1497" s="241"/>
      <c r="Y1497" s="284"/>
      <c r="Z1497" s="207"/>
      <c r="AA1497" s="284"/>
      <c r="AB1497" s="284"/>
      <c r="AC1497" s="284"/>
      <c r="AD1497" s="284"/>
      <c r="AE1497" s="284"/>
      <c r="AF1497" s="284"/>
      <c r="AG1497" s="284"/>
      <c r="AI1497" s="131"/>
    </row>
    <row r="1498" spans="1:35" ht="26.4">
      <c r="A1498" s="284"/>
      <c r="B1498" s="284"/>
      <c r="C1498" s="284"/>
      <c r="D1498" s="284"/>
      <c r="E1498" s="284"/>
      <c r="F1498" s="284"/>
      <c r="G1498" s="284"/>
      <c r="H1498" s="284"/>
      <c r="I1498" s="284"/>
      <c r="J1498" s="375"/>
      <c r="K1498" s="375"/>
      <c r="L1498" s="375"/>
      <c r="M1498" s="368"/>
      <c r="N1498" s="368"/>
      <c r="O1498" s="370"/>
      <c r="T1498" s="349"/>
      <c r="V1498" s="378"/>
      <c r="W1498" s="64" ph="1"/>
      <c r="X1498" s="241"/>
      <c r="Y1498" s="284"/>
      <c r="Z1498" s="207"/>
      <c r="AA1498" s="284"/>
      <c r="AB1498" s="284"/>
      <c r="AC1498" s="284"/>
      <c r="AD1498" s="284"/>
      <c r="AE1498" s="284"/>
      <c r="AF1498" s="284"/>
      <c r="AG1498" s="284"/>
      <c r="AI1498" s="131"/>
    </row>
    <row r="1499" spans="1:35" ht="26.4">
      <c r="A1499" s="284"/>
      <c r="B1499" s="284"/>
      <c r="C1499" s="284"/>
      <c r="D1499" s="284"/>
      <c r="E1499" s="284"/>
      <c r="F1499" s="284"/>
      <c r="G1499" s="284"/>
      <c r="H1499" s="284"/>
      <c r="I1499" s="284"/>
      <c r="J1499" s="375"/>
      <c r="K1499" s="375"/>
      <c r="L1499" s="375"/>
      <c r="M1499" s="368"/>
      <c r="N1499" s="368"/>
      <c r="O1499" s="370"/>
      <c r="T1499" s="349"/>
      <c r="V1499" s="378"/>
      <c r="W1499" s="64" ph="1"/>
      <c r="X1499" s="241"/>
      <c r="Y1499" s="284"/>
      <c r="Z1499" s="207"/>
      <c r="AA1499" s="284"/>
      <c r="AB1499" s="284"/>
      <c r="AC1499" s="284"/>
      <c r="AD1499" s="284"/>
      <c r="AE1499" s="284"/>
      <c r="AF1499" s="284"/>
      <c r="AG1499" s="284"/>
      <c r="AI1499" s="131"/>
    </row>
    <row r="1500" spans="1:35">
      <c r="O1500" s="370"/>
      <c r="AI1500" s="131"/>
    </row>
    <row r="1501" spans="1:35" ht="26.4">
      <c r="A1501" s="284"/>
      <c r="B1501" s="284"/>
      <c r="C1501" s="284"/>
      <c r="D1501" s="284"/>
      <c r="E1501" s="284"/>
      <c r="F1501" s="284"/>
      <c r="G1501" s="284"/>
      <c r="H1501" s="284"/>
      <c r="I1501" s="284"/>
      <c r="J1501" s="375"/>
      <c r="K1501" s="375"/>
      <c r="L1501" s="375"/>
      <c r="M1501" s="368"/>
      <c r="N1501" s="368"/>
      <c r="O1501" s="370"/>
      <c r="T1501" s="349"/>
      <c r="V1501" s="378"/>
      <c r="W1501" s="64" ph="1"/>
      <c r="X1501" s="241"/>
      <c r="Y1501" s="284"/>
      <c r="Z1501" s="207"/>
      <c r="AA1501" s="284"/>
      <c r="AB1501" s="284"/>
      <c r="AC1501" s="284"/>
      <c r="AD1501" s="284"/>
      <c r="AE1501" s="284"/>
      <c r="AF1501" s="284"/>
      <c r="AG1501" s="284"/>
      <c r="AI1501" s="131"/>
    </row>
    <row r="1502" spans="1:35" ht="26.4">
      <c r="A1502" s="284"/>
      <c r="B1502" s="284"/>
      <c r="C1502" s="284"/>
      <c r="D1502" s="284"/>
      <c r="E1502" s="284"/>
      <c r="F1502" s="284"/>
      <c r="G1502" s="284"/>
      <c r="H1502" s="284"/>
      <c r="I1502" s="284"/>
      <c r="J1502" s="375"/>
      <c r="K1502" s="375"/>
      <c r="L1502" s="375"/>
      <c r="M1502" s="368"/>
      <c r="N1502" s="368"/>
      <c r="O1502" s="370"/>
      <c r="T1502" s="349"/>
      <c r="V1502" s="378"/>
      <c r="W1502" s="64" ph="1"/>
      <c r="X1502" s="241"/>
      <c r="Y1502" s="284"/>
      <c r="Z1502" s="207"/>
      <c r="AA1502" s="284"/>
      <c r="AB1502" s="284"/>
      <c r="AC1502" s="284"/>
      <c r="AD1502" s="284"/>
      <c r="AE1502" s="284"/>
      <c r="AF1502" s="284"/>
      <c r="AG1502" s="284"/>
      <c r="AI1502" s="131"/>
    </row>
    <row r="1503" spans="1:35" ht="26.4">
      <c r="A1503" s="284"/>
      <c r="B1503" s="284"/>
      <c r="C1503" s="284"/>
      <c r="D1503" s="284"/>
      <c r="E1503" s="284"/>
      <c r="F1503" s="284"/>
      <c r="G1503" s="284"/>
      <c r="H1503" s="284"/>
      <c r="I1503" s="284"/>
      <c r="J1503" s="375"/>
      <c r="K1503" s="375"/>
      <c r="L1503" s="375"/>
      <c r="M1503" s="368"/>
      <c r="N1503" s="368"/>
      <c r="T1503" s="349"/>
      <c r="V1503" s="378"/>
      <c r="W1503" s="64" ph="1"/>
      <c r="X1503" s="241"/>
      <c r="Y1503" s="284"/>
      <c r="Z1503" s="207"/>
      <c r="AA1503" s="284"/>
      <c r="AB1503" s="284"/>
      <c r="AC1503" s="284"/>
      <c r="AD1503" s="284"/>
      <c r="AE1503" s="284"/>
      <c r="AF1503" s="284"/>
      <c r="AG1503" s="284"/>
      <c r="AI1503" s="131"/>
    </row>
    <row r="1504" spans="1:35" ht="26.4">
      <c r="A1504" s="284"/>
      <c r="B1504" s="284"/>
      <c r="C1504" s="284"/>
      <c r="D1504" s="284"/>
      <c r="E1504" s="284"/>
      <c r="F1504" s="284"/>
      <c r="G1504" s="284"/>
      <c r="H1504" s="284"/>
      <c r="I1504" s="284"/>
      <c r="J1504" s="375"/>
      <c r="K1504" s="375"/>
      <c r="L1504" s="375"/>
      <c r="M1504" s="368"/>
      <c r="N1504" s="368"/>
      <c r="O1504" s="370"/>
      <c r="T1504" s="349"/>
      <c r="V1504" s="378"/>
      <c r="W1504" s="64" ph="1"/>
      <c r="X1504" s="241"/>
      <c r="Y1504" s="284"/>
      <c r="Z1504" s="207"/>
      <c r="AA1504" s="284"/>
      <c r="AB1504" s="284"/>
      <c r="AC1504" s="284"/>
      <c r="AD1504" s="284"/>
      <c r="AE1504" s="284"/>
      <c r="AF1504" s="284"/>
      <c r="AG1504" s="284"/>
      <c r="AI1504" s="131"/>
    </row>
    <row r="1505" spans="1:35" ht="26.4">
      <c r="A1505" s="284"/>
      <c r="B1505" s="284"/>
      <c r="C1505" s="284"/>
      <c r="D1505" s="284"/>
      <c r="E1505" s="284"/>
      <c r="F1505" s="284"/>
      <c r="G1505" s="284"/>
      <c r="H1505" s="284"/>
      <c r="I1505" s="284"/>
      <c r="J1505" s="375"/>
      <c r="K1505" s="375"/>
      <c r="L1505" s="375"/>
      <c r="M1505" s="368"/>
      <c r="N1505" s="368"/>
      <c r="O1505" s="370"/>
      <c r="T1505" s="349"/>
      <c r="V1505" s="378"/>
      <c r="W1505" s="64" ph="1"/>
      <c r="X1505" s="241"/>
      <c r="Y1505" s="284"/>
      <c r="Z1505" s="207"/>
      <c r="AA1505" s="284"/>
      <c r="AB1505" s="284"/>
      <c r="AC1505" s="284"/>
      <c r="AD1505" s="284"/>
      <c r="AE1505" s="284"/>
      <c r="AF1505" s="284"/>
      <c r="AG1505" s="284"/>
      <c r="AI1505" s="131"/>
    </row>
    <row r="1506" spans="1:35" ht="26.4">
      <c r="A1506" s="284"/>
      <c r="B1506" s="284"/>
      <c r="C1506" s="284"/>
      <c r="D1506" s="284"/>
      <c r="E1506" s="284"/>
      <c r="F1506" s="284"/>
      <c r="G1506" s="284"/>
      <c r="H1506" s="284"/>
      <c r="I1506" s="284"/>
      <c r="J1506" s="375"/>
      <c r="K1506" s="375"/>
      <c r="L1506" s="375"/>
      <c r="M1506" s="368"/>
      <c r="N1506" s="368"/>
      <c r="O1506" s="370"/>
      <c r="T1506" s="349"/>
      <c r="V1506" s="378"/>
      <c r="W1506" s="64" ph="1"/>
      <c r="X1506" s="241"/>
      <c r="Y1506" s="284"/>
      <c r="Z1506" s="207"/>
      <c r="AA1506" s="284"/>
      <c r="AB1506" s="284"/>
      <c r="AC1506" s="284"/>
      <c r="AD1506" s="284"/>
      <c r="AE1506" s="284"/>
      <c r="AF1506" s="284"/>
      <c r="AG1506" s="284"/>
      <c r="AI1506" s="131"/>
    </row>
    <row r="1507" spans="1:35" ht="26.4">
      <c r="A1507" s="284"/>
      <c r="B1507" s="284"/>
      <c r="C1507" s="284"/>
      <c r="D1507" s="284"/>
      <c r="E1507" s="284"/>
      <c r="F1507" s="284"/>
      <c r="G1507" s="284"/>
      <c r="H1507" s="284"/>
      <c r="I1507" s="284"/>
      <c r="J1507" s="375"/>
      <c r="K1507" s="375"/>
      <c r="L1507" s="375"/>
      <c r="M1507" s="368"/>
      <c r="N1507" s="368"/>
      <c r="O1507" s="370"/>
      <c r="T1507" s="349"/>
      <c r="V1507" s="378"/>
      <c r="W1507" s="64" ph="1"/>
      <c r="X1507" s="241"/>
      <c r="Y1507" s="284"/>
      <c r="Z1507" s="207"/>
      <c r="AA1507" s="284"/>
      <c r="AB1507" s="284"/>
      <c r="AC1507" s="284"/>
      <c r="AD1507" s="284"/>
      <c r="AE1507" s="284"/>
      <c r="AF1507" s="284"/>
      <c r="AG1507" s="284"/>
      <c r="AI1507" s="131"/>
    </row>
    <row r="1508" spans="1:35" ht="26.4">
      <c r="A1508" s="284"/>
      <c r="B1508" s="284"/>
      <c r="C1508" s="284"/>
      <c r="D1508" s="284"/>
      <c r="E1508" s="284"/>
      <c r="F1508" s="284"/>
      <c r="G1508" s="284"/>
      <c r="H1508" s="284"/>
      <c r="I1508" s="284"/>
      <c r="J1508" s="375"/>
      <c r="K1508" s="375"/>
      <c r="L1508" s="375"/>
      <c r="M1508" s="368"/>
      <c r="N1508" s="368"/>
      <c r="O1508" s="370"/>
      <c r="T1508" s="349"/>
      <c r="V1508" s="378"/>
      <c r="W1508" s="64" ph="1"/>
      <c r="X1508" s="241"/>
      <c r="Y1508" s="284"/>
      <c r="Z1508" s="207"/>
      <c r="AA1508" s="284"/>
      <c r="AB1508" s="284"/>
      <c r="AC1508" s="284"/>
      <c r="AD1508" s="284"/>
      <c r="AE1508" s="284"/>
      <c r="AF1508" s="284"/>
      <c r="AG1508" s="284"/>
      <c r="AI1508" s="131"/>
    </row>
    <row r="1509" spans="1:35" ht="26.4">
      <c r="A1509" s="284"/>
      <c r="B1509" s="284"/>
      <c r="C1509" s="284"/>
      <c r="D1509" s="284"/>
      <c r="E1509" s="284"/>
      <c r="F1509" s="284"/>
      <c r="G1509" s="284"/>
      <c r="H1509" s="284"/>
      <c r="I1509" s="284"/>
      <c r="J1509" s="375"/>
      <c r="K1509" s="375"/>
      <c r="L1509" s="375"/>
      <c r="M1509" s="368"/>
      <c r="N1509" s="368"/>
      <c r="O1509" s="370"/>
      <c r="T1509" s="349"/>
      <c r="V1509" s="378"/>
      <c r="W1509" s="64" ph="1"/>
      <c r="X1509" s="241"/>
      <c r="Y1509" s="284"/>
      <c r="Z1509" s="207"/>
      <c r="AA1509" s="284"/>
      <c r="AB1509" s="284"/>
      <c r="AC1509" s="284"/>
      <c r="AD1509" s="284"/>
      <c r="AE1509" s="284"/>
      <c r="AF1509" s="284"/>
      <c r="AG1509" s="284"/>
      <c r="AI1509" s="131"/>
    </row>
    <row r="1510" spans="1:35" ht="26.4">
      <c r="A1510" s="284"/>
      <c r="B1510" s="284"/>
      <c r="C1510" s="284"/>
      <c r="D1510" s="284"/>
      <c r="E1510" s="284"/>
      <c r="F1510" s="284"/>
      <c r="G1510" s="284"/>
      <c r="H1510" s="284"/>
      <c r="I1510" s="284"/>
      <c r="J1510" s="375"/>
      <c r="K1510" s="375"/>
      <c r="L1510" s="375"/>
      <c r="M1510" s="368"/>
      <c r="N1510" s="368"/>
      <c r="O1510" s="370"/>
      <c r="T1510" s="349"/>
      <c r="V1510" s="378"/>
      <c r="W1510" s="64" ph="1"/>
      <c r="X1510" s="241"/>
      <c r="Y1510" s="284"/>
      <c r="Z1510" s="207"/>
      <c r="AA1510" s="284"/>
      <c r="AB1510" s="284"/>
      <c r="AC1510" s="284"/>
      <c r="AD1510" s="284"/>
      <c r="AE1510" s="284"/>
      <c r="AF1510" s="284"/>
      <c r="AG1510" s="284"/>
      <c r="AI1510" s="131"/>
    </row>
    <row r="1511" spans="1:35" ht="26.4">
      <c r="A1511" s="284"/>
      <c r="B1511" s="284"/>
      <c r="C1511" s="284"/>
      <c r="D1511" s="284"/>
      <c r="E1511" s="284"/>
      <c r="F1511" s="284"/>
      <c r="G1511" s="284"/>
      <c r="H1511" s="284"/>
      <c r="I1511" s="284"/>
      <c r="J1511" s="375"/>
      <c r="K1511" s="375"/>
      <c r="L1511" s="375"/>
      <c r="M1511" s="368"/>
      <c r="N1511" s="368"/>
      <c r="O1511" s="370"/>
      <c r="T1511" s="349"/>
      <c r="V1511" s="378"/>
      <c r="W1511" s="64" ph="1"/>
      <c r="X1511" s="241"/>
      <c r="Y1511" s="284"/>
      <c r="Z1511" s="207"/>
      <c r="AA1511" s="284"/>
      <c r="AB1511" s="284"/>
      <c r="AC1511" s="284"/>
      <c r="AD1511" s="284"/>
      <c r="AE1511" s="284"/>
      <c r="AF1511" s="284"/>
      <c r="AG1511" s="284"/>
      <c r="AI1511" s="131"/>
    </row>
    <row r="1512" spans="1:35" ht="26.4">
      <c r="A1512" s="284"/>
      <c r="B1512" s="284"/>
      <c r="C1512" s="284"/>
      <c r="D1512" s="284"/>
      <c r="E1512" s="284"/>
      <c r="F1512" s="284"/>
      <c r="G1512" s="284"/>
      <c r="H1512" s="284"/>
      <c r="I1512" s="284"/>
      <c r="J1512" s="375"/>
      <c r="K1512" s="375"/>
      <c r="L1512" s="375"/>
      <c r="M1512" s="368"/>
      <c r="N1512" s="368"/>
      <c r="T1512" s="349"/>
      <c r="V1512" s="378"/>
      <c r="W1512" s="64" ph="1"/>
      <c r="X1512" s="241"/>
      <c r="Y1512" s="284"/>
      <c r="Z1512" s="207"/>
      <c r="AA1512" s="284"/>
      <c r="AB1512" s="284"/>
      <c r="AC1512" s="284"/>
      <c r="AD1512" s="284"/>
      <c r="AE1512" s="284"/>
      <c r="AF1512" s="284"/>
      <c r="AG1512" s="284"/>
      <c r="AI1512" s="131"/>
    </row>
    <row r="1513" spans="1:35" ht="26.4">
      <c r="A1513" s="284"/>
      <c r="B1513" s="284"/>
      <c r="C1513" s="284"/>
      <c r="D1513" s="284"/>
      <c r="E1513" s="284"/>
      <c r="F1513" s="284"/>
      <c r="G1513" s="284"/>
      <c r="H1513" s="284"/>
      <c r="I1513" s="284"/>
      <c r="J1513" s="375"/>
      <c r="K1513" s="375"/>
      <c r="L1513" s="375"/>
      <c r="M1513" s="368"/>
      <c r="N1513" s="368"/>
      <c r="O1513" s="370"/>
      <c r="T1513" s="349"/>
      <c r="V1513" s="378"/>
      <c r="W1513" s="64" ph="1"/>
      <c r="X1513" s="241"/>
      <c r="Y1513" s="284"/>
      <c r="Z1513" s="207"/>
      <c r="AA1513" s="284"/>
      <c r="AB1513" s="284"/>
      <c r="AC1513" s="284"/>
      <c r="AD1513" s="284"/>
      <c r="AE1513" s="284"/>
      <c r="AF1513" s="284"/>
      <c r="AG1513" s="284"/>
      <c r="AI1513" s="128"/>
    </row>
    <row r="1514" spans="1:35" ht="26.4">
      <c r="A1514" s="284"/>
      <c r="B1514" s="284"/>
      <c r="C1514" s="284"/>
      <c r="D1514" s="284"/>
      <c r="E1514" s="284"/>
      <c r="F1514" s="284"/>
      <c r="G1514" s="284"/>
      <c r="H1514" s="284"/>
      <c r="I1514" s="284"/>
      <c r="J1514" s="375"/>
      <c r="K1514" s="375"/>
      <c r="L1514" s="375"/>
      <c r="M1514" s="368"/>
      <c r="N1514" s="368"/>
      <c r="O1514" s="370"/>
      <c r="T1514" s="349"/>
      <c r="V1514" s="378"/>
      <c r="W1514" s="64" ph="1"/>
      <c r="X1514" s="241"/>
      <c r="Y1514" s="284"/>
      <c r="Z1514" s="207"/>
      <c r="AA1514" s="284"/>
      <c r="AB1514" s="284"/>
      <c r="AC1514" s="284"/>
      <c r="AD1514" s="284"/>
      <c r="AE1514" s="284"/>
      <c r="AF1514" s="284"/>
      <c r="AG1514" s="284"/>
      <c r="AI1514" s="131"/>
    </row>
    <row r="1515" spans="1:35" ht="26.4">
      <c r="A1515" s="284"/>
      <c r="B1515" s="284"/>
      <c r="C1515" s="284"/>
      <c r="D1515" s="284"/>
      <c r="E1515" s="284"/>
      <c r="F1515" s="284"/>
      <c r="G1515" s="284"/>
      <c r="H1515" s="284"/>
      <c r="I1515" s="284"/>
      <c r="J1515" s="375"/>
      <c r="K1515" s="375"/>
      <c r="L1515" s="375"/>
      <c r="M1515" s="368"/>
      <c r="N1515" s="368"/>
      <c r="O1515" s="370"/>
      <c r="T1515" s="349"/>
      <c r="V1515" s="378"/>
      <c r="W1515" s="64" ph="1"/>
      <c r="X1515" s="241"/>
      <c r="Y1515" s="284"/>
      <c r="Z1515" s="207"/>
      <c r="AA1515" s="284"/>
      <c r="AB1515" s="284"/>
      <c r="AC1515" s="284"/>
      <c r="AD1515" s="284"/>
      <c r="AE1515" s="284"/>
      <c r="AF1515" s="284"/>
      <c r="AG1515" s="284"/>
      <c r="AI1515" s="131"/>
    </row>
    <row r="1516" spans="1:35" ht="26.4">
      <c r="A1516" s="284"/>
      <c r="B1516" s="284"/>
      <c r="C1516" s="284"/>
      <c r="D1516" s="284"/>
      <c r="E1516" s="284"/>
      <c r="F1516" s="284"/>
      <c r="G1516" s="284"/>
      <c r="H1516" s="284"/>
      <c r="I1516" s="284"/>
      <c r="J1516" s="375"/>
      <c r="K1516" s="375"/>
      <c r="L1516" s="375"/>
      <c r="M1516" s="368"/>
      <c r="N1516" s="368"/>
      <c r="O1516" s="370"/>
      <c r="T1516" s="349"/>
      <c r="V1516" s="378"/>
      <c r="W1516" s="64" ph="1"/>
      <c r="X1516" s="241"/>
      <c r="Y1516" s="284"/>
      <c r="Z1516" s="207"/>
      <c r="AA1516" s="284"/>
      <c r="AB1516" s="284"/>
      <c r="AC1516" s="284"/>
      <c r="AD1516" s="284"/>
      <c r="AE1516" s="284"/>
      <c r="AF1516" s="284"/>
      <c r="AG1516" s="284"/>
      <c r="AI1516" s="131"/>
    </row>
    <row r="1517" spans="1:35" ht="26.4">
      <c r="A1517" s="284"/>
      <c r="B1517" s="284"/>
      <c r="C1517" s="284"/>
      <c r="D1517" s="284"/>
      <c r="E1517" s="284"/>
      <c r="F1517" s="284"/>
      <c r="G1517" s="284"/>
      <c r="H1517" s="284"/>
      <c r="I1517" s="284"/>
      <c r="J1517" s="375"/>
      <c r="K1517" s="375"/>
      <c r="L1517" s="375"/>
      <c r="M1517" s="368"/>
      <c r="N1517" s="368"/>
      <c r="O1517" s="370"/>
      <c r="T1517" s="349"/>
      <c r="V1517" s="378"/>
      <c r="W1517" s="64" ph="1"/>
      <c r="X1517" s="241"/>
      <c r="Y1517" s="284"/>
      <c r="Z1517" s="207"/>
      <c r="AA1517" s="284"/>
      <c r="AB1517" s="284"/>
      <c r="AC1517" s="284"/>
      <c r="AD1517" s="284"/>
      <c r="AE1517" s="284"/>
      <c r="AF1517" s="284"/>
      <c r="AG1517" s="284"/>
      <c r="AI1517" s="131"/>
    </row>
    <row r="1518" spans="1:35" ht="26.4">
      <c r="A1518" s="284"/>
      <c r="B1518" s="284"/>
      <c r="C1518" s="284"/>
      <c r="D1518" s="284"/>
      <c r="E1518" s="284"/>
      <c r="F1518" s="284"/>
      <c r="G1518" s="284"/>
      <c r="H1518" s="284"/>
      <c r="I1518" s="284"/>
      <c r="J1518" s="375"/>
      <c r="K1518" s="375"/>
      <c r="L1518" s="375"/>
      <c r="M1518" s="368"/>
      <c r="N1518" s="368"/>
      <c r="O1518" s="370"/>
      <c r="T1518" s="349"/>
      <c r="V1518" s="378"/>
      <c r="W1518" s="64" ph="1"/>
      <c r="X1518" s="241"/>
      <c r="Y1518" s="284"/>
      <c r="Z1518" s="207"/>
      <c r="AA1518" s="284"/>
      <c r="AB1518" s="284"/>
      <c r="AC1518" s="284"/>
      <c r="AD1518" s="284"/>
      <c r="AE1518" s="284"/>
      <c r="AF1518" s="284"/>
      <c r="AG1518" s="284"/>
      <c r="AI1518" s="131"/>
    </row>
    <row r="1519" spans="1:35" ht="26.4">
      <c r="A1519" s="284"/>
      <c r="B1519" s="284"/>
      <c r="C1519" s="284"/>
      <c r="D1519" s="284"/>
      <c r="E1519" s="284"/>
      <c r="F1519" s="284"/>
      <c r="G1519" s="284"/>
      <c r="H1519" s="284"/>
      <c r="I1519" s="284"/>
      <c r="J1519" s="375"/>
      <c r="K1519" s="375"/>
      <c r="L1519" s="375"/>
      <c r="M1519" s="368"/>
      <c r="N1519" s="368"/>
      <c r="O1519" s="370"/>
      <c r="T1519" s="349"/>
      <c r="V1519" s="378"/>
      <c r="W1519" s="64" ph="1"/>
      <c r="X1519" s="241"/>
      <c r="Y1519" s="284"/>
      <c r="Z1519" s="207"/>
      <c r="AA1519" s="284"/>
      <c r="AB1519" s="284"/>
      <c r="AC1519" s="284"/>
      <c r="AD1519" s="284"/>
      <c r="AE1519" s="284"/>
      <c r="AF1519" s="284"/>
      <c r="AG1519" s="284"/>
      <c r="AI1519" s="131"/>
    </row>
    <row r="1520" spans="1:35" ht="26.4">
      <c r="A1520" s="284"/>
      <c r="B1520" s="284"/>
      <c r="C1520" s="284"/>
      <c r="D1520" s="284"/>
      <c r="E1520" s="284"/>
      <c r="F1520" s="284"/>
      <c r="G1520" s="284"/>
      <c r="H1520" s="284"/>
      <c r="I1520" s="284"/>
      <c r="J1520" s="375"/>
      <c r="K1520" s="375"/>
      <c r="L1520" s="375"/>
      <c r="M1520" s="368"/>
      <c r="N1520" s="368"/>
      <c r="O1520" s="370"/>
      <c r="T1520" s="349"/>
      <c r="V1520" s="378"/>
      <c r="W1520" s="64" ph="1"/>
      <c r="X1520" s="241"/>
      <c r="Y1520" s="284"/>
      <c r="Z1520" s="207"/>
      <c r="AA1520" s="284"/>
      <c r="AB1520" s="284"/>
      <c r="AC1520" s="284"/>
      <c r="AD1520" s="284"/>
      <c r="AE1520" s="284"/>
      <c r="AF1520" s="284"/>
      <c r="AG1520" s="284"/>
      <c r="AI1520" s="131"/>
    </row>
    <row r="1521" spans="1:35" ht="26.4">
      <c r="A1521" s="284"/>
      <c r="B1521" s="284"/>
      <c r="C1521" s="284"/>
      <c r="D1521" s="284"/>
      <c r="E1521" s="284"/>
      <c r="F1521" s="284"/>
      <c r="G1521" s="284"/>
      <c r="H1521" s="284"/>
      <c r="I1521" s="284"/>
      <c r="J1521" s="375"/>
      <c r="K1521" s="375"/>
      <c r="L1521" s="375"/>
      <c r="M1521" s="368"/>
      <c r="N1521" s="368"/>
      <c r="O1521" s="370"/>
      <c r="T1521" s="349"/>
      <c r="V1521" s="378"/>
      <c r="W1521" s="64" ph="1"/>
      <c r="X1521" s="241"/>
      <c r="Y1521" s="284"/>
      <c r="Z1521" s="207"/>
      <c r="AA1521" s="284"/>
      <c r="AB1521" s="284"/>
      <c r="AC1521" s="284"/>
      <c r="AD1521" s="284"/>
      <c r="AE1521" s="284"/>
      <c r="AF1521" s="284"/>
      <c r="AG1521" s="284"/>
      <c r="AI1521" s="131"/>
    </row>
    <row r="1522" spans="1:35" ht="26.4">
      <c r="A1522" s="284"/>
      <c r="B1522" s="284"/>
      <c r="C1522" s="284"/>
      <c r="D1522" s="284"/>
      <c r="E1522" s="284"/>
      <c r="F1522" s="284"/>
      <c r="G1522" s="284"/>
      <c r="H1522" s="284"/>
      <c r="I1522" s="284"/>
      <c r="J1522" s="375"/>
      <c r="K1522" s="375"/>
      <c r="L1522" s="375"/>
      <c r="M1522" s="368"/>
      <c r="N1522" s="368"/>
      <c r="O1522" s="370"/>
      <c r="T1522" s="349"/>
      <c r="V1522" s="378"/>
      <c r="W1522" s="64" ph="1"/>
      <c r="X1522" s="241"/>
      <c r="Y1522" s="284"/>
      <c r="Z1522" s="207"/>
      <c r="AA1522" s="284"/>
      <c r="AB1522" s="284"/>
      <c r="AC1522" s="284"/>
      <c r="AD1522" s="284"/>
      <c r="AE1522" s="284"/>
      <c r="AF1522" s="284"/>
      <c r="AG1522" s="284"/>
      <c r="AI1522" s="131"/>
    </row>
    <row r="1523" spans="1:35" ht="26.4">
      <c r="A1523" s="284"/>
      <c r="B1523" s="284"/>
      <c r="C1523" s="284"/>
      <c r="D1523" s="284"/>
      <c r="E1523" s="284"/>
      <c r="F1523" s="284"/>
      <c r="G1523" s="284"/>
      <c r="H1523" s="284"/>
      <c r="I1523" s="284"/>
      <c r="J1523" s="375"/>
      <c r="K1523" s="375"/>
      <c r="L1523" s="375"/>
      <c r="M1523" s="368"/>
      <c r="N1523" s="368"/>
      <c r="O1523" s="370"/>
      <c r="T1523" s="349"/>
      <c r="V1523" s="378"/>
      <c r="W1523" s="64" ph="1"/>
      <c r="X1523" s="241"/>
      <c r="Y1523" s="284"/>
      <c r="Z1523" s="207"/>
      <c r="AA1523" s="284"/>
      <c r="AB1523" s="284"/>
      <c r="AC1523" s="284"/>
      <c r="AD1523" s="284"/>
      <c r="AE1523" s="284"/>
      <c r="AF1523" s="284"/>
      <c r="AG1523" s="284"/>
      <c r="AI1523" s="131"/>
    </row>
    <row r="1524" spans="1:35" ht="26.4">
      <c r="A1524" s="284"/>
      <c r="B1524" s="284"/>
      <c r="C1524" s="284"/>
      <c r="D1524" s="284"/>
      <c r="E1524" s="284"/>
      <c r="F1524" s="284"/>
      <c r="G1524" s="284"/>
      <c r="H1524" s="284"/>
      <c r="I1524" s="284"/>
      <c r="J1524" s="375"/>
      <c r="K1524" s="375"/>
      <c r="L1524" s="375"/>
      <c r="M1524" s="368"/>
      <c r="N1524" s="368"/>
      <c r="O1524" s="370"/>
      <c r="T1524" s="349"/>
      <c r="V1524" s="378"/>
      <c r="W1524" s="64" ph="1"/>
      <c r="X1524" s="241"/>
      <c r="Y1524" s="284"/>
      <c r="Z1524" s="207"/>
      <c r="AA1524" s="284"/>
      <c r="AB1524" s="284"/>
      <c r="AC1524" s="284"/>
      <c r="AD1524" s="284"/>
      <c r="AE1524" s="284"/>
      <c r="AF1524" s="284"/>
      <c r="AG1524" s="284"/>
      <c r="AI1524" s="131"/>
    </row>
    <row r="1525" spans="1:35" ht="26.4">
      <c r="A1525" s="284"/>
      <c r="B1525" s="284"/>
      <c r="C1525" s="284"/>
      <c r="D1525" s="284"/>
      <c r="E1525" s="284"/>
      <c r="F1525" s="284"/>
      <c r="G1525" s="284"/>
      <c r="H1525" s="284"/>
      <c r="I1525" s="284"/>
      <c r="J1525" s="375"/>
      <c r="K1525" s="375"/>
      <c r="L1525" s="375"/>
      <c r="M1525" s="368"/>
      <c r="N1525" s="368"/>
      <c r="O1525" s="370"/>
      <c r="T1525" s="349"/>
      <c r="V1525" s="378"/>
      <c r="W1525" s="64" ph="1"/>
      <c r="X1525" s="241"/>
      <c r="Y1525" s="284"/>
      <c r="Z1525" s="207"/>
      <c r="AA1525" s="284"/>
      <c r="AB1525" s="284"/>
      <c r="AC1525" s="284"/>
      <c r="AD1525" s="284"/>
      <c r="AE1525" s="284"/>
      <c r="AF1525" s="284"/>
      <c r="AG1525" s="284"/>
      <c r="AI1525" s="131"/>
    </row>
    <row r="1526" spans="1:35" ht="26.4">
      <c r="A1526" s="284"/>
      <c r="B1526" s="284"/>
      <c r="C1526" s="284"/>
      <c r="D1526" s="284"/>
      <c r="E1526" s="284"/>
      <c r="F1526" s="284"/>
      <c r="G1526" s="284"/>
      <c r="H1526" s="284"/>
      <c r="I1526" s="284"/>
      <c r="J1526" s="375"/>
      <c r="K1526" s="375"/>
      <c r="L1526" s="375"/>
      <c r="M1526" s="368"/>
      <c r="N1526" s="368"/>
      <c r="O1526" s="370"/>
      <c r="T1526" s="349"/>
      <c r="V1526" s="378"/>
      <c r="W1526" s="64" ph="1"/>
      <c r="X1526" s="241"/>
      <c r="Y1526" s="284"/>
      <c r="Z1526" s="207"/>
      <c r="AA1526" s="284"/>
      <c r="AB1526" s="284"/>
      <c r="AC1526" s="284"/>
      <c r="AD1526" s="284"/>
      <c r="AE1526" s="284"/>
      <c r="AF1526" s="284"/>
      <c r="AG1526" s="284"/>
      <c r="AI1526" s="131"/>
    </row>
    <row r="1527" spans="1:35" ht="26.4">
      <c r="A1527" s="284"/>
      <c r="B1527" s="284"/>
      <c r="C1527" s="284"/>
      <c r="D1527" s="284"/>
      <c r="E1527" s="284"/>
      <c r="F1527" s="284"/>
      <c r="G1527" s="284"/>
      <c r="H1527" s="284"/>
      <c r="I1527" s="284"/>
      <c r="J1527" s="375"/>
      <c r="K1527" s="375"/>
      <c r="L1527" s="375"/>
      <c r="M1527" s="368"/>
      <c r="N1527" s="368"/>
      <c r="O1527" s="370"/>
      <c r="T1527" s="349"/>
      <c r="V1527" s="378"/>
      <c r="W1527" s="64" ph="1"/>
      <c r="X1527" s="241"/>
      <c r="Y1527" s="284"/>
      <c r="Z1527" s="207"/>
      <c r="AA1527" s="284"/>
      <c r="AB1527" s="284"/>
      <c r="AC1527" s="284"/>
      <c r="AD1527" s="284"/>
      <c r="AE1527" s="284"/>
      <c r="AF1527" s="284"/>
      <c r="AG1527" s="284"/>
      <c r="AI1527" s="284"/>
    </row>
    <row r="1528" spans="1:35" ht="26.4">
      <c r="A1528" s="284"/>
      <c r="B1528" s="284"/>
      <c r="C1528" s="284"/>
      <c r="D1528" s="284"/>
      <c r="E1528" s="284"/>
      <c r="F1528" s="284"/>
      <c r="G1528" s="284"/>
      <c r="H1528" s="284"/>
      <c r="I1528" s="284"/>
      <c r="J1528" s="375"/>
      <c r="K1528" s="375"/>
      <c r="L1528" s="375"/>
      <c r="M1528" s="368"/>
      <c r="N1528" s="368"/>
      <c r="O1528" s="370"/>
      <c r="T1528" s="349"/>
      <c r="V1528" s="378"/>
      <c r="W1528" s="64" ph="1"/>
      <c r="X1528" s="241"/>
      <c r="Y1528" s="284"/>
      <c r="Z1528" s="207"/>
      <c r="AA1528" s="284"/>
      <c r="AB1528" s="284"/>
      <c r="AC1528" s="284"/>
      <c r="AD1528" s="284"/>
      <c r="AE1528" s="284"/>
      <c r="AF1528" s="284"/>
      <c r="AG1528" s="284"/>
      <c r="AI1528" s="131"/>
    </row>
    <row r="1529" spans="1:35" ht="26.4">
      <c r="A1529" s="284"/>
      <c r="B1529" s="284"/>
      <c r="C1529" s="284"/>
      <c r="D1529" s="284"/>
      <c r="E1529" s="284"/>
      <c r="F1529" s="284"/>
      <c r="G1529" s="284"/>
      <c r="H1529" s="284"/>
      <c r="I1529" s="284"/>
      <c r="J1529" s="375"/>
      <c r="K1529" s="375"/>
      <c r="L1529" s="375"/>
      <c r="M1529" s="368"/>
      <c r="N1529" s="368"/>
      <c r="O1529" s="370"/>
      <c r="T1529" s="349"/>
      <c r="V1529" s="378"/>
      <c r="W1529" s="64" ph="1"/>
      <c r="X1529" s="241"/>
      <c r="Y1529" s="284"/>
      <c r="Z1529" s="207"/>
      <c r="AA1529" s="284"/>
      <c r="AB1529" s="284"/>
      <c r="AC1529" s="284"/>
      <c r="AD1529" s="284"/>
      <c r="AE1529" s="284"/>
      <c r="AF1529" s="284"/>
      <c r="AG1529" s="284"/>
      <c r="AI1529" s="131"/>
    </row>
    <row r="1530" spans="1:35" ht="26.4">
      <c r="A1530" s="284"/>
      <c r="B1530" s="284"/>
      <c r="C1530" s="284"/>
      <c r="D1530" s="284"/>
      <c r="E1530" s="284"/>
      <c r="F1530" s="284"/>
      <c r="G1530" s="284"/>
      <c r="H1530" s="284"/>
      <c r="I1530" s="284"/>
      <c r="J1530" s="375"/>
      <c r="K1530" s="375"/>
      <c r="L1530" s="375"/>
      <c r="M1530" s="368"/>
      <c r="N1530" s="368"/>
      <c r="O1530" s="370"/>
      <c r="T1530" s="349"/>
      <c r="V1530" s="378"/>
      <c r="W1530" s="64" ph="1"/>
      <c r="X1530" s="241"/>
      <c r="Y1530" s="284"/>
      <c r="Z1530" s="207"/>
      <c r="AA1530" s="284"/>
      <c r="AB1530" s="284"/>
      <c r="AC1530" s="284"/>
      <c r="AD1530" s="284"/>
      <c r="AE1530" s="284"/>
      <c r="AF1530" s="284"/>
      <c r="AG1530" s="284"/>
      <c r="AI1530" s="131"/>
    </row>
    <row r="1531" spans="1:35" ht="26.4">
      <c r="A1531" s="284"/>
      <c r="B1531" s="284"/>
      <c r="C1531" s="284"/>
      <c r="D1531" s="284"/>
      <c r="E1531" s="284"/>
      <c r="F1531" s="284"/>
      <c r="G1531" s="284"/>
      <c r="H1531" s="284"/>
      <c r="I1531" s="284"/>
      <c r="J1531" s="375"/>
      <c r="K1531" s="375"/>
      <c r="L1531" s="375"/>
      <c r="M1531" s="368"/>
      <c r="N1531" s="368"/>
      <c r="O1531" s="370"/>
      <c r="T1531" s="349"/>
      <c r="V1531" s="378"/>
      <c r="W1531" s="64" ph="1"/>
      <c r="X1531" s="241"/>
      <c r="Y1531" s="284"/>
      <c r="Z1531" s="207"/>
      <c r="AA1531" s="284"/>
      <c r="AB1531" s="284"/>
      <c r="AC1531" s="284"/>
      <c r="AD1531" s="284"/>
      <c r="AE1531" s="284"/>
      <c r="AF1531" s="284"/>
      <c r="AG1531" s="284"/>
      <c r="AI1531" s="131"/>
    </row>
    <row r="1532" spans="1:35" ht="26.4">
      <c r="A1532" s="284"/>
      <c r="B1532" s="284"/>
      <c r="C1532" s="284"/>
      <c r="D1532" s="284"/>
      <c r="E1532" s="284"/>
      <c r="F1532" s="284"/>
      <c r="G1532" s="284"/>
      <c r="H1532" s="284"/>
      <c r="I1532" s="284"/>
      <c r="J1532" s="375"/>
      <c r="K1532" s="375"/>
      <c r="L1532" s="375"/>
      <c r="M1532" s="368"/>
      <c r="N1532" s="368"/>
      <c r="O1532" s="370"/>
      <c r="T1532" s="349"/>
      <c r="V1532" s="378"/>
      <c r="W1532" s="64" ph="1"/>
      <c r="X1532" s="241"/>
      <c r="Y1532" s="284"/>
      <c r="Z1532" s="207"/>
      <c r="AA1532" s="284"/>
      <c r="AB1532" s="284"/>
      <c r="AC1532" s="284"/>
      <c r="AD1532" s="284"/>
      <c r="AE1532" s="284"/>
      <c r="AF1532" s="284"/>
      <c r="AG1532" s="284"/>
      <c r="AI1532" s="131"/>
    </row>
    <row r="1533" spans="1:35" ht="26.4">
      <c r="A1533" s="284"/>
      <c r="B1533" s="284"/>
      <c r="C1533" s="284"/>
      <c r="D1533" s="284"/>
      <c r="E1533" s="284"/>
      <c r="F1533" s="284"/>
      <c r="G1533" s="284"/>
      <c r="H1533" s="284"/>
      <c r="I1533" s="284"/>
      <c r="J1533" s="375"/>
      <c r="K1533" s="375"/>
      <c r="L1533" s="375"/>
      <c r="M1533" s="368"/>
      <c r="N1533" s="368"/>
      <c r="O1533" s="370"/>
      <c r="T1533" s="349"/>
      <c r="V1533" s="378"/>
      <c r="W1533" s="64" ph="1"/>
      <c r="X1533" s="241"/>
      <c r="Y1533" s="284"/>
      <c r="Z1533" s="207"/>
      <c r="AA1533" s="284"/>
      <c r="AB1533" s="284"/>
      <c r="AC1533" s="284"/>
      <c r="AD1533" s="284"/>
      <c r="AE1533" s="284"/>
      <c r="AF1533" s="284"/>
      <c r="AG1533" s="284"/>
      <c r="AI1533" s="131"/>
    </row>
    <row r="1534" spans="1:35" ht="26.4">
      <c r="A1534" s="284"/>
      <c r="B1534" s="284"/>
      <c r="C1534" s="284"/>
      <c r="D1534" s="284"/>
      <c r="E1534" s="284"/>
      <c r="F1534" s="284"/>
      <c r="G1534" s="284"/>
      <c r="H1534" s="284"/>
      <c r="I1534" s="284"/>
      <c r="J1534" s="375"/>
      <c r="K1534" s="375"/>
      <c r="L1534" s="375"/>
      <c r="M1534" s="368"/>
      <c r="N1534" s="368"/>
      <c r="O1534" s="370"/>
      <c r="T1534" s="349"/>
      <c r="V1534" s="378"/>
      <c r="W1534" s="64" ph="1"/>
      <c r="X1534" s="241"/>
      <c r="Y1534" s="284"/>
      <c r="Z1534" s="207"/>
      <c r="AA1534" s="284"/>
      <c r="AB1534" s="284"/>
      <c r="AC1534" s="284"/>
      <c r="AD1534" s="284"/>
      <c r="AE1534" s="284"/>
      <c r="AF1534" s="284"/>
      <c r="AG1534" s="284"/>
      <c r="AI1534" s="131"/>
    </row>
    <row r="1535" spans="1:35" ht="26.4">
      <c r="A1535" s="284"/>
      <c r="B1535" s="284"/>
      <c r="C1535" s="284"/>
      <c r="D1535" s="284"/>
      <c r="E1535" s="284"/>
      <c r="F1535" s="284"/>
      <c r="G1535" s="284"/>
      <c r="H1535" s="284"/>
      <c r="I1535" s="284"/>
      <c r="J1535" s="375"/>
      <c r="K1535" s="375"/>
      <c r="L1535" s="375"/>
      <c r="M1535" s="368"/>
      <c r="N1535" s="368"/>
      <c r="O1535" s="370"/>
      <c r="T1535" s="349"/>
      <c r="V1535" s="378"/>
      <c r="W1535" s="64" ph="1"/>
      <c r="X1535" s="241"/>
      <c r="Y1535" s="284"/>
      <c r="Z1535" s="207"/>
      <c r="AA1535" s="284"/>
      <c r="AB1535" s="284"/>
      <c r="AC1535" s="284"/>
      <c r="AD1535" s="284"/>
      <c r="AE1535" s="284"/>
      <c r="AF1535" s="284"/>
      <c r="AG1535" s="284"/>
      <c r="AI1535" s="131"/>
    </row>
    <row r="1536" spans="1:35" ht="26.4">
      <c r="A1536" s="284"/>
      <c r="B1536" s="284"/>
      <c r="C1536" s="284"/>
      <c r="D1536" s="284"/>
      <c r="E1536" s="284"/>
      <c r="F1536" s="284"/>
      <c r="G1536" s="284"/>
      <c r="H1536" s="284"/>
      <c r="I1536" s="284"/>
      <c r="J1536" s="375"/>
      <c r="K1536" s="375"/>
      <c r="L1536" s="375"/>
      <c r="M1536" s="368"/>
      <c r="N1536" s="368"/>
      <c r="O1536" s="370"/>
      <c r="T1536" s="349"/>
      <c r="V1536" s="378"/>
      <c r="W1536" s="64" ph="1"/>
      <c r="X1536" s="241"/>
      <c r="Y1536" s="284"/>
      <c r="Z1536" s="207"/>
      <c r="AA1536" s="284"/>
      <c r="AB1536" s="284"/>
      <c r="AC1536" s="284"/>
      <c r="AD1536" s="284"/>
      <c r="AE1536" s="284"/>
      <c r="AF1536" s="284"/>
      <c r="AG1536" s="284"/>
      <c r="AI1536" s="131"/>
    </row>
    <row r="1537" spans="1:35" ht="26.4">
      <c r="A1537" s="284"/>
      <c r="B1537" s="284"/>
      <c r="C1537" s="284"/>
      <c r="D1537" s="284"/>
      <c r="E1537" s="284"/>
      <c r="F1537" s="284"/>
      <c r="G1537" s="284"/>
      <c r="H1537" s="284"/>
      <c r="I1537" s="284"/>
      <c r="J1537" s="375"/>
      <c r="K1537" s="375"/>
      <c r="L1537" s="375"/>
      <c r="M1537" s="368"/>
      <c r="N1537" s="368"/>
      <c r="O1537" s="370"/>
      <c r="T1537" s="349"/>
      <c r="V1537" s="378"/>
      <c r="W1537" s="64" ph="1"/>
      <c r="X1537" s="241"/>
      <c r="Y1537" s="284"/>
      <c r="Z1537" s="207"/>
      <c r="AA1537" s="284"/>
      <c r="AB1537" s="284"/>
      <c r="AC1537" s="284"/>
      <c r="AD1537" s="284"/>
      <c r="AE1537" s="284"/>
      <c r="AF1537" s="284"/>
      <c r="AG1537" s="284"/>
      <c r="AI1537" s="131"/>
    </row>
    <row r="1538" spans="1:35" ht="26.4">
      <c r="A1538" s="284"/>
      <c r="B1538" s="284"/>
      <c r="C1538" s="284"/>
      <c r="D1538" s="284"/>
      <c r="E1538" s="284"/>
      <c r="F1538" s="284"/>
      <c r="G1538" s="284"/>
      <c r="H1538" s="284"/>
      <c r="I1538" s="284"/>
      <c r="J1538" s="375"/>
      <c r="K1538" s="375"/>
      <c r="L1538" s="375"/>
      <c r="M1538" s="368"/>
      <c r="N1538" s="368"/>
      <c r="O1538" s="370"/>
      <c r="T1538" s="349"/>
      <c r="V1538" s="378"/>
      <c r="W1538" s="64" ph="1"/>
      <c r="X1538" s="241"/>
      <c r="Y1538" s="284"/>
      <c r="Z1538" s="207"/>
      <c r="AA1538" s="284"/>
      <c r="AB1538" s="284"/>
      <c r="AC1538" s="284"/>
      <c r="AD1538" s="284"/>
      <c r="AE1538" s="284"/>
      <c r="AF1538" s="284"/>
      <c r="AG1538" s="284"/>
      <c r="AI1538" s="131"/>
    </row>
    <row r="1539" spans="1:35" ht="26.4">
      <c r="A1539" s="284"/>
      <c r="B1539" s="284"/>
      <c r="C1539" s="284"/>
      <c r="D1539" s="284"/>
      <c r="E1539" s="284"/>
      <c r="F1539" s="284"/>
      <c r="G1539" s="284"/>
      <c r="H1539" s="284"/>
      <c r="I1539" s="284"/>
      <c r="J1539" s="375"/>
      <c r="K1539" s="375"/>
      <c r="L1539" s="375"/>
      <c r="M1539" s="368"/>
      <c r="N1539" s="368"/>
      <c r="O1539" s="370"/>
      <c r="T1539" s="349"/>
      <c r="V1539" s="378"/>
      <c r="W1539" s="64" ph="1"/>
      <c r="X1539" s="241"/>
      <c r="Y1539" s="284"/>
      <c r="Z1539" s="207"/>
      <c r="AA1539" s="284"/>
      <c r="AB1539" s="284"/>
      <c r="AC1539" s="284"/>
      <c r="AD1539" s="284"/>
      <c r="AE1539" s="284"/>
      <c r="AF1539" s="284"/>
      <c r="AG1539" s="284"/>
      <c r="AI1539" s="131"/>
    </row>
    <row r="1540" spans="1:35" ht="26.4">
      <c r="A1540" s="284"/>
      <c r="B1540" s="284"/>
      <c r="C1540" s="284"/>
      <c r="D1540" s="284"/>
      <c r="E1540" s="284"/>
      <c r="F1540" s="284"/>
      <c r="G1540" s="284"/>
      <c r="H1540" s="284"/>
      <c r="I1540" s="284"/>
      <c r="J1540" s="375"/>
      <c r="K1540" s="375"/>
      <c r="L1540" s="375"/>
      <c r="M1540" s="368"/>
      <c r="N1540" s="368"/>
      <c r="O1540" s="370"/>
      <c r="T1540" s="349"/>
      <c r="V1540" s="378"/>
      <c r="W1540" s="64" ph="1"/>
      <c r="X1540" s="241"/>
      <c r="Y1540" s="284"/>
      <c r="Z1540" s="207"/>
      <c r="AA1540" s="284"/>
      <c r="AB1540" s="284"/>
      <c r="AC1540" s="284"/>
      <c r="AD1540" s="284"/>
      <c r="AE1540" s="284"/>
      <c r="AF1540" s="284"/>
      <c r="AG1540" s="284"/>
      <c r="AI1540" s="131"/>
    </row>
    <row r="1541" spans="1:35" ht="26.4">
      <c r="A1541" s="284"/>
      <c r="B1541" s="284"/>
      <c r="C1541" s="284"/>
      <c r="D1541" s="284"/>
      <c r="E1541" s="284"/>
      <c r="F1541" s="284"/>
      <c r="G1541" s="284"/>
      <c r="H1541" s="284"/>
      <c r="I1541" s="284"/>
      <c r="J1541" s="375"/>
      <c r="K1541" s="375"/>
      <c r="L1541" s="375"/>
      <c r="M1541" s="368"/>
      <c r="N1541" s="368"/>
      <c r="O1541" s="370"/>
      <c r="T1541" s="349"/>
      <c r="V1541" s="378"/>
      <c r="W1541" s="64" ph="1"/>
      <c r="X1541" s="241"/>
      <c r="Y1541" s="284"/>
      <c r="Z1541" s="207"/>
      <c r="AA1541" s="284"/>
      <c r="AB1541" s="284"/>
      <c r="AC1541" s="284"/>
      <c r="AD1541" s="284"/>
      <c r="AE1541" s="284"/>
      <c r="AF1541" s="284"/>
      <c r="AG1541" s="284"/>
      <c r="AI1541" s="131"/>
    </row>
    <row r="1542" spans="1:35" ht="26.4">
      <c r="A1542" s="284"/>
      <c r="B1542" s="284"/>
      <c r="C1542" s="284"/>
      <c r="D1542" s="284"/>
      <c r="E1542" s="284"/>
      <c r="F1542" s="284"/>
      <c r="G1542" s="284"/>
      <c r="H1542" s="284"/>
      <c r="I1542" s="284"/>
      <c r="J1542" s="375"/>
      <c r="K1542" s="375"/>
      <c r="L1542" s="375"/>
      <c r="M1542" s="368"/>
      <c r="N1542" s="368"/>
      <c r="O1542" s="370"/>
      <c r="T1542" s="349"/>
      <c r="V1542" s="378"/>
      <c r="W1542" s="64" ph="1"/>
      <c r="X1542" s="241"/>
      <c r="Y1542" s="284"/>
      <c r="Z1542" s="207"/>
      <c r="AA1542" s="284"/>
      <c r="AB1542" s="284"/>
      <c r="AC1542" s="284"/>
      <c r="AD1542" s="284"/>
      <c r="AE1542" s="284"/>
      <c r="AF1542" s="284"/>
      <c r="AG1542" s="284"/>
      <c r="AI1542" s="28"/>
    </row>
    <row r="1543" spans="1:35" ht="26.4">
      <c r="A1543" s="284"/>
      <c r="B1543" s="284"/>
      <c r="C1543" s="284"/>
      <c r="D1543" s="284"/>
      <c r="E1543" s="284"/>
      <c r="F1543" s="284"/>
      <c r="G1543" s="284"/>
      <c r="H1543" s="284"/>
      <c r="I1543" s="284"/>
      <c r="J1543" s="375"/>
      <c r="K1543" s="375"/>
      <c r="L1543" s="375"/>
      <c r="M1543" s="368"/>
      <c r="N1543" s="368"/>
      <c r="O1543" s="370"/>
      <c r="T1543" s="349"/>
      <c r="V1543" s="378"/>
      <c r="W1543" s="64" ph="1"/>
      <c r="X1543" s="241"/>
      <c r="Y1543" s="284"/>
      <c r="Z1543" s="207"/>
      <c r="AA1543" s="284"/>
      <c r="AB1543" s="284"/>
      <c r="AC1543" s="284"/>
      <c r="AD1543" s="284"/>
      <c r="AE1543" s="284"/>
      <c r="AF1543" s="284"/>
      <c r="AG1543" s="284"/>
      <c r="AI1543" s="131"/>
    </row>
    <row r="1544" spans="1:35" ht="26.4">
      <c r="A1544" s="284"/>
      <c r="B1544" s="284"/>
      <c r="C1544" s="284"/>
      <c r="D1544" s="284"/>
      <c r="E1544" s="284"/>
      <c r="F1544" s="284"/>
      <c r="G1544" s="284"/>
      <c r="H1544" s="284"/>
      <c r="I1544" s="284"/>
      <c r="J1544" s="375"/>
      <c r="K1544" s="375"/>
      <c r="L1544" s="375"/>
      <c r="M1544" s="368"/>
      <c r="N1544" s="368"/>
      <c r="O1544" s="370"/>
      <c r="T1544" s="349"/>
      <c r="V1544" s="378"/>
      <c r="W1544" s="64" ph="1"/>
      <c r="X1544" s="241"/>
      <c r="Y1544" s="284"/>
      <c r="Z1544" s="207"/>
      <c r="AA1544" s="284"/>
      <c r="AB1544" s="284"/>
      <c r="AC1544" s="284"/>
      <c r="AD1544" s="284"/>
      <c r="AE1544" s="284"/>
      <c r="AF1544" s="284"/>
      <c r="AG1544" s="284"/>
      <c r="AI1544" s="131"/>
    </row>
    <row r="1545" spans="1:35" ht="26.4">
      <c r="A1545" s="284"/>
      <c r="B1545" s="284"/>
      <c r="C1545" s="284"/>
      <c r="D1545" s="284"/>
      <c r="E1545" s="284"/>
      <c r="F1545" s="284"/>
      <c r="G1545" s="284"/>
      <c r="H1545" s="284"/>
      <c r="I1545" s="284"/>
      <c r="J1545" s="375"/>
      <c r="K1545" s="375"/>
      <c r="L1545" s="375"/>
      <c r="M1545" s="368"/>
      <c r="N1545" s="368"/>
      <c r="O1545" s="370"/>
      <c r="T1545" s="349"/>
      <c r="V1545" s="378"/>
      <c r="W1545" s="64" ph="1"/>
      <c r="X1545" s="241"/>
      <c r="Y1545" s="284"/>
      <c r="Z1545" s="207"/>
      <c r="AA1545" s="284"/>
      <c r="AB1545" s="284"/>
      <c r="AC1545" s="284"/>
      <c r="AD1545" s="284"/>
      <c r="AE1545" s="284"/>
      <c r="AF1545" s="284"/>
      <c r="AG1545" s="284"/>
      <c r="AI1545" s="131"/>
    </row>
    <row r="1546" spans="1:35" ht="26.4">
      <c r="A1546" s="284"/>
      <c r="B1546" s="284"/>
      <c r="C1546" s="284"/>
      <c r="D1546" s="284"/>
      <c r="E1546" s="284"/>
      <c r="F1546" s="284"/>
      <c r="G1546" s="284"/>
      <c r="H1546" s="284"/>
      <c r="I1546" s="284"/>
      <c r="J1546" s="375"/>
      <c r="K1546" s="375"/>
      <c r="L1546" s="375"/>
      <c r="M1546" s="368"/>
      <c r="N1546" s="368"/>
      <c r="O1546" s="370"/>
      <c r="T1546" s="349"/>
      <c r="V1546" s="378"/>
      <c r="W1546" s="64" ph="1"/>
      <c r="X1546" s="241"/>
      <c r="Y1546" s="284"/>
      <c r="Z1546" s="207"/>
      <c r="AA1546" s="284"/>
      <c r="AB1546" s="284"/>
      <c r="AC1546" s="284"/>
      <c r="AD1546" s="284"/>
      <c r="AE1546" s="284"/>
      <c r="AF1546" s="284"/>
      <c r="AG1546" s="284"/>
      <c r="AI1546" s="131"/>
    </row>
    <row r="1547" spans="1:35" ht="26.4">
      <c r="A1547" s="284"/>
      <c r="B1547" s="284"/>
      <c r="C1547" s="284"/>
      <c r="D1547" s="284"/>
      <c r="E1547" s="284"/>
      <c r="F1547" s="284"/>
      <c r="G1547" s="284"/>
      <c r="H1547" s="284"/>
      <c r="I1547" s="284"/>
      <c r="J1547" s="375"/>
      <c r="K1547" s="375"/>
      <c r="L1547" s="375"/>
      <c r="M1547" s="368"/>
      <c r="N1547" s="368"/>
      <c r="O1547" s="370"/>
      <c r="T1547" s="349"/>
      <c r="V1547" s="378"/>
      <c r="W1547" s="64" ph="1"/>
      <c r="X1547" s="241"/>
      <c r="Y1547" s="284"/>
      <c r="Z1547" s="207"/>
      <c r="AA1547" s="284"/>
      <c r="AB1547" s="284"/>
      <c r="AC1547" s="284"/>
      <c r="AD1547" s="284"/>
      <c r="AE1547" s="284"/>
      <c r="AF1547" s="284"/>
      <c r="AG1547" s="284"/>
      <c r="AI1547" s="131"/>
    </row>
    <row r="1548" spans="1:35" ht="26.4">
      <c r="A1548" s="284"/>
      <c r="B1548" s="284"/>
      <c r="C1548" s="284"/>
      <c r="D1548" s="284"/>
      <c r="E1548" s="284"/>
      <c r="F1548" s="284"/>
      <c r="G1548" s="284"/>
      <c r="H1548" s="284"/>
      <c r="I1548" s="284"/>
      <c r="J1548" s="375"/>
      <c r="K1548" s="375"/>
      <c r="L1548" s="375"/>
      <c r="M1548" s="368"/>
      <c r="N1548" s="368"/>
      <c r="O1548" s="370"/>
      <c r="T1548" s="349"/>
      <c r="V1548" s="378"/>
      <c r="W1548" s="64" ph="1"/>
      <c r="X1548" s="241"/>
      <c r="Y1548" s="284"/>
      <c r="Z1548" s="207"/>
      <c r="AA1548" s="284"/>
      <c r="AB1548" s="284"/>
      <c r="AC1548" s="284"/>
      <c r="AD1548" s="284"/>
      <c r="AE1548" s="284"/>
      <c r="AF1548" s="284"/>
      <c r="AG1548" s="284"/>
      <c r="AI1548" s="131"/>
    </row>
    <row r="1549" spans="1:35" ht="26.4">
      <c r="A1549" s="284"/>
      <c r="B1549" s="284"/>
      <c r="C1549" s="284"/>
      <c r="D1549" s="284"/>
      <c r="E1549" s="284"/>
      <c r="F1549" s="284"/>
      <c r="G1549" s="284"/>
      <c r="H1549" s="284"/>
      <c r="I1549" s="284"/>
      <c r="J1549" s="375"/>
      <c r="K1549" s="375"/>
      <c r="L1549" s="375"/>
      <c r="M1549" s="368"/>
      <c r="N1549" s="368"/>
      <c r="O1549" s="370"/>
      <c r="T1549" s="349"/>
      <c r="V1549" s="378"/>
      <c r="W1549" s="64" ph="1"/>
      <c r="X1549" s="241"/>
      <c r="Y1549" s="284"/>
      <c r="Z1549" s="207"/>
      <c r="AA1549" s="284"/>
      <c r="AB1549" s="284"/>
      <c r="AC1549" s="284"/>
      <c r="AD1549" s="284"/>
      <c r="AE1549" s="284"/>
      <c r="AF1549" s="284"/>
      <c r="AG1549" s="284"/>
      <c r="AI1549" s="131"/>
    </row>
    <row r="1550" spans="1:35" ht="26.4">
      <c r="A1550" s="284"/>
      <c r="B1550" s="284"/>
      <c r="C1550" s="284"/>
      <c r="D1550" s="284"/>
      <c r="E1550" s="284"/>
      <c r="F1550" s="284"/>
      <c r="G1550" s="284"/>
      <c r="H1550" s="284"/>
      <c r="I1550" s="284"/>
      <c r="J1550" s="375"/>
      <c r="K1550" s="375"/>
      <c r="L1550" s="375"/>
      <c r="M1550" s="368"/>
      <c r="N1550" s="368"/>
      <c r="O1550" s="370"/>
      <c r="T1550" s="349"/>
      <c r="V1550" s="378"/>
      <c r="W1550" s="64" ph="1"/>
      <c r="X1550" s="241"/>
      <c r="Y1550" s="284"/>
      <c r="Z1550" s="207"/>
      <c r="AA1550" s="284"/>
      <c r="AB1550" s="284"/>
      <c r="AC1550" s="284"/>
      <c r="AD1550" s="284"/>
      <c r="AE1550" s="284"/>
      <c r="AF1550" s="284"/>
      <c r="AG1550" s="284"/>
      <c r="AI1550" s="131"/>
    </row>
    <row r="1551" spans="1:35" ht="26.4">
      <c r="A1551" s="284"/>
      <c r="B1551" s="284"/>
      <c r="C1551" s="284"/>
      <c r="D1551" s="284"/>
      <c r="E1551" s="284"/>
      <c r="F1551" s="284"/>
      <c r="G1551" s="284"/>
      <c r="H1551" s="284"/>
      <c r="I1551" s="284"/>
      <c r="J1551" s="375"/>
      <c r="K1551" s="375"/>
      <c r="L1551" s="375"/>
      <c r="M1551" s="368"/>
      <c r="N1551" s="368"/>
      <c r="O1551" s="370"/>
      <c r="T1551" s="349"/>
      <c r="V1551" s="378"/>
      <c r="W1551" s="64" ph="1"/>
      <c r="X1551" s="241"/>
      <c r="Y1551" s="284"/>
      <c r="Z1551" s="207"/>
      <c r="AA1551" s="284"/>
      <c r="AB1551" s="284"/>
      <c r="AC1551" s="284"/>
      <c r="AD1551" s="284"/>
      <c r="AE1551" s="284"/>
      <c r="AF1551" s="284"/>
      <c r="AG1551" s="284"/>
      <c r="AI1551" s="131"/>
    </row>
    <row r="1552" spans="1:35" ht="26.4">
      <c r="A1552" s="284"/>
      <c r="B1552" s="284"/>
      <c r="C1552" s="284"/>
      <c r="D1552" s="284"/>
      <c r="E1552" s="284"/>
      <c r="F1552" s="284"/>
      <c r="G1552" s="284"/>
      <c r="H1552" s="284"/>
      <c r="I1552" s="284"/>
      <c r="J1552" s="375"/>
      <c r="K1552" s="375"/>
      <c r="L1552" s="375"/>
      <c r="M1552" s="368"/>
      <c r="N1552" s="368"/>
      <c r="O1552" s="370"/>
      <c r="T1552" s="349"/>
      <c r="V1552" s="378"/>
      <c r="W1552" s="64" ph="1"/>
      <c r="X1552" s="241"/>
      <c r="Y1552" s="284"/>
      <c r="Z1552" s="207"/>
      <c r="AA1552" s="284"/>
      <c r="AB1552" s="284"/>
      <c r="AC1552" s="284"/>
      <c r="AD1552" s="284"/>
      <c r="AE1552" s="284"/>
      <c r="AF1552" s="284"/>
      <c r="AG1552" s="284"/>
      <c r="AI1552" s="131"/>
    </row>
    <row r="1553" spans="1:35" ht="26.4">
      <c r="A1553" s="284"/>
      <c r="B1553" s="284"/>
      <c r="C1553" s="284"/>
      <c r="D1553" s="284"/>
      <c r="E1553" s="284"/>
      <c r="F1553" s="284"/>
      <c r="G1553" s="284"/>
      <c r="H1553" s="284"/>
      <c r="I1553" s="284"/>
      <c r="J1553" s="375"/>
      <c r="K1553" s="375"/>
      <c r="L1553" s="375"/>
      <c r="M1553" s="368"/>
      <c r="N1553" s="368"/>
      <c r="O1553" s="370"/>
      <c r="T1553" s="349"/>
      <c r="V1553" s="378"/>
      <c r="W1553" s="64" ph="1"/>
      <c r="X1553" s="241"/>
      <c r="Y1553" s="284"/>
      <c r="Z1553" s="207"/>
      <c r="AA1553" s="284"/>
      <c r="AB1553" s="284"/>
      <c r="AC1553" s="284"/>
      <c r="AD1553" s="284"/>
      <c r="AE1553" s="284"/>
      <c r="AF1553" s="284"/>
      <c r="AG1553" s="284"/>
      <c r="AI1553" s="131"/>
    </row>
    <row r="1554" spans="1:35" ht="26.4">
      <c r="A1554" s="284"/>
      <c r="B1554" s="284"/>
      <c r="C1554" s="284"/>
      <c r="D1554" s="284"/>
      <c r="E1554" s="284"/>
      <c r="F1554" s="284"/>
      <c r="G1554" s="284"/>
      <c r="H1554" s="284"/>
      <c r="I1554" s="284"/>
      <c r="J1554" s="375"/>
      <c r="K1554" s="375"/>
      <c r="L1554" s="375"/>
      <c r="M1554" s="368"/>
      <c r="N1554" s="368"/>
      <c r="O1554" s="370"/>
      <c r="T1554" s="349"/>
      <c r="V1554" s="378"/>
      <c r="W1554" s="64" ph="1"/>
      <c r="X1554" s="241"/>
      <c r="Y1554" s="284"/>
      <c r="Z1554" s="207"/>
      <c r="AA1554" s="284"/>
      <c r="AB1554" s="284"/>
      <c r="AC1554" s="284"/>
      <c r="AD1554" s="284"/>
      <c r="AE1554" s="284"/>
      <c r="AF1554" s="284"/>
      <c r="AG1554" s="284"/>
      <c r="AI1554" s="131"/>
    </row>
    <row r="1555" spans="1:35" ht="26.4">
      <c r="A1555" s="284"/>
      <c r="B1555" s="284"/>
      <c r="C1555" s="284"/>
      <c r="D1555" s="284"/>
      <c r="E1555" s="284"/>
      <c r="F1555" s="284"/>
      <c r="G1555" s="284"/>
      <c r="H1555" s="284"/>
      <c r="I1555" s="284"/>
      <c r="J1555" s="375"/>
      <c r="K1555" s="375"/>
      <c r="L1555" s="375"/>
      <c r="M1555" s="368"/>
      <c r="N1555" s="368"/>
      <c r="O1555" s="370"/>
      <c r="T1555" s="349"/>
      <c r="V1555" s="378"/>
      <c r="W1555" s="64" ph="1"/>
      <c r="X1555" s="241"/>
      <c r="Y1555" s="284"/>
      <c r="Z1555" s="207"/>
      <c r="AA1555" s="284"/>
      <c r="AB1555" s="284"/>
      <c r="AC1555" s="284"/>
      <c r="AD1555" s="284"/>
      <c r="AE1555" s="284"/>
      <c r="AF1555" s="284"/>
      <c r="AG1555" s="284"/>
      <c r="AI1555" s="131"/>
    </row>
    <row r="1556" spans="1:35" ht="26.4">
      <c r="A1556" s="284"/>
      <c r="B1556" s="284"/>
      <c r="C1556" s="284"/>
      <c r="D1556" s="284"/>
      <c r="E1556" s="284"/>
      <c r="F1556" s="284"/>
      <c r="G1556" s="284"/>
      <c r="H1556" s="284"/>
      <c r="I1556" s="284"/>
      <c r="J1556" s="375"/>
      <c r="K1556" s="375"/>
      <c r="L1556" s="375"/>
      <c r="M1556" s="368"/>
      <c r="N1556" s="368"/>
      <c r="O1556" s="370"/>
      <c r="T1556" s="349"/>
      <c r="V1556" s="378"/>
      <c r="W1556" s="64" ph="1"/>
      <c r="X1556" s="241"/>
      <c r="Y1556" s="284"/>
      <c r="Z1556" s="207"/>
      <c r="AA1556" s="284"/>
      <c r="AB1556" s="284"/>
      <c r="AC1556" s="284"/>
      <c r="AD1556" s="284"/>
      <c r="AE1556" s="284"/>
      <c r="AF1556" s="284"/>
      <c r="AG1556" s="284"/>
      <c r="AI1556" s="284"/>
    </row>
    <row r="1557" spans="1:35" ht="26.4">
      <c r="A1557" s="284"/>
      <c r="B1557" s="284"/>
      <c r="C1557" s="284"/>
      <c r="D1557" s="284"/>
      <c r="E1557" s="284"/>
      <c r="F1557" s="284"/>
      <c r="G1557" s="284"/>
      <c r="H1557" s="284"/>
      <c r="I1557" s="284"/>
      <c r="J1557" s="375"/>
      <c r="K1557" s="375"/>
      <c r="L1557" s="375"/>
      <c r="M1557" s="368"/>
      <c r="N1557" s="368"/>
      <c r="O1557" s="370"/>
      <c r="T1557" s="349"/>
      <c r="V1557" s="378"/>
      <c r="W1557" s="64" ph="1"/>
      <c r="X1557" s="241"/>
      <c r="Y1557" s="284"/>
      <c r="Z1557" s="207"/>
      <c r="AA1557" s="284"/>
      <c r="AB1557" s="284"/>
      <c r="AC1557" s="284"/>
      <c r="AD1557" s="284"/>
      <c r="AE1557" s="284"/>
      <c r="AF1557" s="284"/>
      <c r="AG1557" s="284"/>
      <c r="AI1557" s="131"/>
    </row>
    <row r="1558" spans="1:35" ht="26.4">
      <c r="A1558" s="284"/>
      <c r="B1558" s="284"/>
      <c r="C1558" s="284"/>
      <c r="D1558" s="284"/>
      <c r="E1558" s="284"/>
      <c r="F1558" s="284"/>
      <c r="G1558" s="284"/>
      <c r="H1558" s="284"/>
      <c r="I1558" s="284"/>
      <c r="J1558" s="375"/>
      <c r="K1558" s="375"/>
      <c r="L1558" s="375"/>
      <c r="M1558" s="368"/>
      <c r="N1558" s="368"/>
      <c r="O1558" s="370"/>
      <c r="T1558" s="349"/>
      <c r="V1558" s="378"/>
      <c r="W1558" s="64" ph="1"/>
      <c r="X1558" s="241"/>
      <c r="Y1558" s="284"/>
      <c r="Z1558" s="207"/>
      <c r="AA1558" s="284"/>
      <c r="AB1558" s="284"/>
      <c r="AC1558" s="284"/>
      <c r="AD1558" s="284"/>
      <c r="AE1558" s="284"/>
      <c r="AF1558" s="284"/>
      <c r="AG1558" s="284"/>
      <c r="AI1558" s="131"/>
    </row>
    <row r="1559" spans="1:35" ht="26.4">
      <c r="A1559" s="284"/>
      <c r="B1559" s="284"/>
      <c r="C1559" s="284"/>
      <c r="D1559" s="284"/>
      <c r="E1559" s="284"/>
      <c r="F1559" s="284"/>
      <c r="G1559" s="284"/>
      <c r="H1559" s="284"/>
      <c r="I1559" s="284"/>
      <c r="J1559" s="375"/>
      <c r="K1559" s="375"/>
      <c r="L1559" s="375"/>
      <c r="M1559" s="368"/>
      <c r="N1559" s="368"/>
      <c r="O1559" s="370"/>
      <c r="T1559" s="349"/>
      <c r="V1559" s="378"/>
      <c r="W1559" s="64" ph="1"/>
      <c r="X1559" s="241"/>
      <c r="Y1559" s="284"/>
      <c r="Z1559" s="207"/>
      <c r="AA1559" s="284"/>
      <c r="AB1559" s="284"/>
      <c r="AC1559" s="284"/>
      <c r="AD1559" s="284"/>
      <c r="AE1559" s="284"/>
      <c r="AF1559" s="284"/>
      <c r="AG1559" s="284"/>
      <c r="AI1559" s="131"/>
    </row>
    <row r="1560" spans="1:35" ht="26.4">
      <c r="A1560" s="284"/>
      <c r="B1560" s="284"/>
      <c r="C1560" s="284"/>
      <c r="D1560" s="284"/>
      <c r="E1560" s="284"/>
      <c r="F1560" s="284"/>
      <c r="G1560" s="284"/>
      <c r="H1560" s="284"/>
      <c r="I1560" s="284"/>
      <c r="J1560" s="375"/>
      <c r="K1560" s="375"/>
      <c r="L1560" s="375"/>
      <c r="M1560" s="368"/>
      <c r="N1560" s="368"/>
      <c r="O1560" s="370"/>
      <c r="T1560" s="349"/>
      <c r="V1560" s="378"/>
      <c r="W1560" s="64" ph="1"/>
      <c r="X1560" s="241"/>
      <c r="Y1560" s="284"/>
      <c r="Z1560" s="207"/>
      <c r="AA1560" s="284"/>
      <c r="AB1560" s="284"/>
      <c r="AC1560" s="284"/>
      <c r="AD1560" s="284"/>
      <c r="AE1560" s="284"/>
      <c r="AF1560" s="284"/>
      <c r="AG1560" s="284"/>
      <c r="AI1560" s="131"/>
    </row>
    <row r="1561" spans="1:35" ht="26.4">
      <c r="A1561" s="284"/>
      <c r="B1561" s="284"/>
      <c r="C1561" s="284"/>
      <c r="D1561" s="284"/>
      <c r="E1561" s="284"/>
      <c r="F1561" s="284"/>
      <c r="G1561" s="284"/>
      <c r="H1561" s="284"/>
      <c r="I1561" s="284"/>
      <c r="J1561" s="375"/>
      <c r="K1561" s="375"/>
      <c r="L1561" s="375"/>
      <c r="M1561" s="368"/>
      <c r="N1561" s="368"/>
      <c r="O1561" s="370"/>
      <c r="T1561" s="349"/>
      <c r="V1561" s="378"/>
      <c r="W1561" s="64" ph="1"/>
      <c r="X1561" s="241"/>
      <c r="Y1561" s="284"/>
      <c r="Z1561" s="207"/>
      <c r="AA1561" s="284"/>
      <c r="AB1561" s="284"/>
      <c r="AC1561" s="284"/>
      <c r="AD1561" s="284"/>
      <c r="AE1561" s="284"/>
      <c r="AF1561" s="284"/>
      <c r="AG1561" s="284"/>
      <c r="AI1561" s="131"/>
    </row>
    <row r="1562" spans="1:35" ht="26.4">
      <c r="A1562" s="284"/>
      <c r="B1562" s="284"/>
      <c r="C1562" s="284"/>
      <c r="D1562" s="284"/>
      <c r="E1562" s="284"/>
      <c r="F1562" s="284"/>
      <c r="G1562" s="284"/>
      <c r="H1562" s="284"/>
      <c r="I1562" s="284"/>
      <c r="J1562" s="375"/>
      <c r="K1562" s="375"/>
      <c r="L1562" s="375"/>
      <c r="M1562" s="368"/>
      <c r="N1562" s="368"/>
      <c r="O1562" s="370"/>
      <c r="T1562" s="349"/>
      <c r="V1562" s="378"/>
      <c r="W1562" s="64" ph="1"/>
      <c r="X1562" s="241"/>
      <c r="Y1562" s="284"/>
      <c r="Z1562" s="207"/>
      <c r="AA1562" s="284"/>
      <c r="AB1562" s="284"/>
      <c r="AC1562" s="284"/>
      <c r="AD1562" s="284"/>
      <c r="AE1562" s="284"/>
      <c r="AF1562" s="284"/>
      <c r="AG1562" s="284"/>
      <c r="AI1562" s="131"/>
    </row>
    <row r="1563" spans="1:35" ht="26.4">
      <c r="A1563" s="284"/>
      <c r="B1563" s="284"/>
      <c r="C1563" s="284"/>
      <c r="D1563" s="284"/>
      <c r="E1563" s="284"/>
      <c r="F1563" s="284"/>
      <c r="G1563" s="284"/>
      <c r="H1563" s="284"/>
      <c r="I1563" s="284"/>
      <c r="J1563" s="375"/>
      <c r="K1563" s="375"/>
      <c r="L1563" s="375"/>
      <c r="M1563" s="368"/>
      <c r="N1563" s="368"/>
      <c r="O1563" s="370"/>
      <c r="T1563" s="349"/>
      <c r="V1563" s="378"/>
      <c r="W1563" s="64" ph="1"/>
      <c r="X1563" s="241"/>
      <c r="Y1563" s="284"/>
      <c r="Z1563" s="207"/>
      <c r="AA1563" s="284"/>
      <c r="AB1563" s="284"/>
      <c r="AC1563" s="284"/>
      <c r="AD1563" s="284"/>
      <c r="AE1563" s="284"/>
      <c r="AF1563" s="284"/>
      <c r="AG1563" s="284"/>
      <c r="AI1563" s="131"/>
    </row>
    <row r="1564" spans="1:35" ht="26.4">
      <c r="A1564" s="284"/>
      <c r="B1564" s="284"/>
      <c r="C1564" s="284"/>
      <c r="D1564" s="284"/>
      <c r="E1564" s="284"/>
      <c r="F1564" s="284"/>
      <c r="G1564" s="284"/>
      <c r="H1564" s="284"/>
      <c r="I1564" s="284"/>
      <c r="J1564" s="375"/>
      <c r="K1564" s="375"/>
      <c r="L1564" s="375"/>
      <c r="M1564" s="368"/>
      <c r="N1564" s="368"/>
      <c r="O1564" s="370"/>
      <c r="T1564" s="349"/>
      <c r="V1564" s="378"/>
      <c r="W1564" s="64" ph="1"/>
      <c r="X1564" s="241"/>
      <c r="Y1564" s="284"/>
      <c r="Z1564" s="207"/>
      <c r="AA1564" s="284"/>
      <c r="AB1564" s="284"/>
      <c r="AC1564" s="284"/>
      <c r="AD1564" s="284"/>
      <c r="AE1564" s="284"/>
      <c r="AF1564" s="284"/>
      <c r="AG1564" s="284"/>
      <c r="AI1564" s="131"/>
    </row>
    <row r="1565" spans="1:35" ht="26.4">
      <c r="A1565" s="284"/>
      <c r="B1565" s="284"/>
      <c r="C1565" s="284"/>
      <c r="D1565" s="284"/>
      <c r="E1565" s="284"/>
      <c r="F1565" s="284"/>
      <c r="G1565" s="284"/>
      <c r="H1565" s="284"/>
      <c r="I1565" s="284"/>
      <c r="J1565" s="375"/>
      <c r="K1565" s="375"/>
      <c r="L1565" s="375"/>
      <c r="M1565" s="368"/>
      <c r="N1565" s="368"/>
      <c r="O1565" s="370"/>
      <c r="T1565" s="349"/>
      <c r="V1565" s="378"/>
      <c r="W1565" s="64" ph="1"/>
      <c r="X1565" s="241"/>
      <c r="Y1565" s="284"/>
      <c r="Z1565" s="207"/>
      <c r="AA1565" s="284"/>
      <c r="AB1565" s="284"/>
      <c r="AC1565" s="284"/>
      <c r="AD1565" s="284"/>
      <c r="AE1565" s="284"/>
      <c r="AF1565" s="284"/>
      <c r="AG1565" s="284"/>
      <c r="AI1565" s="131"/>
    </row>
    <row r="1566" spans="1:35" ht="26.4">
      <c r="A1566" s="284"/>
      <c r="B1566" s="284"/>
      <c r="C1566" s="284"/>
      <c r="D1566" s="284"/>
      <c r="E1566" s="284"/>
      <c r="F1566" s="284"/>
      <c r="G1566" s="284"/>
      <c r="H1566" s="284"/>
      <c r="I1566" s="284"/>
      <c r="J1566" s="375"/>
      <c r="K1566" s="375"/>
      <c r="L1566" s="375"/>
      <c r="M1566" s="368"/>
      <c r="N1566" s="368"/>
      <c r="O1566" s="370"/>
      <c r="T1566" s="349"/>
      <c r="V1566" s="378"/>
      <c r="W1566" s="64" ph="1"/>
      <c r="X1566" s="241"/>
      <c r="Y1566" s="284"/>
      <c r="Z1566" s="207"/>
      <c r="AA1566" s="284"/>
      <c r="AB1566" s="284"/>
      <c r="AC1566" s="284"/>
      <c r="AD1566" s="284"/>
      <c r="AE1566" s="284"/>
      <c r="AF1566" s="284"/>
      <c r="AG1566" s="284"/>
      <c r="AI1566" s="131"/>
    </row>
    <row r="1567" spans="1:35" ht="26.4">
      <c r="A1567" s="284"/>
      <c r="B1567" s="284"/>
      <c r="C1567" s="284"/>
      <c r="D1567" s="284"/>
      <c r="E1567" s="284"/>
      <c r="F1567" s="284"/>
      <c r="G1567" s="284"/>
      <c r="H1567" s="284"/>
      <c r="I1567" s="284"/>
      <c r="J1567" s="375"/>
      <c r="K1567" s="375"/>
      <c r="L1567" s="375"/>
      <c r="M1567" s="368"/>
      <c r="N1567" s="368"/>
      <c r="O1567" s="370"/>
      <c r="T1567" s="349"/>
      <c r="V1567" s="378"/>
      <c r="W1567" s="64" ph="1"/>
      <c r="X1567" s="241"/>
      <c r="Y1567" s="284"/>
      <c r="Z1567" s="207"/>
      <c r="AA1567" s="284"/>
      <c r="AB1567" s="284"/>
      <c r="AC1567" s="284"/>
      <c r="AD1567" s="284"/>
      <c r="AE1567" s="284"/>
      <c r="AF1567" s="284"/>
      <c r="AG1567" s="284"/>
      <c r="AI1567" s="284"/>
    </row>
    <row r="1568" spans="1:35" ht="26.4">
      <c r="A1568" s="284"/>
      <c r="B1568" s="284"/>
      <c r="C1568" s="284"/>
      <c r="D1568" s="284"/>
      <c r="E1568" s="284"/>
      <c r="F1568" s="284"/>
      <c r="G1568" s="284"/>
      <c r="H1568" s="284"/>
      <c r="I1568" s="284"/>
      <c r="J1568" s="375"/>
      <c r="K1568" s="375"/>
      <c r="L1568" s="375"/>
      <c r="M1568" s="368"/>
      <c r="N1568" s="368"/>
      <c r="O1568" s="370"/>
      <c r="T1568" s="349"/>
      <c r="V1568" s="378"/>
      <c r="W1568" s="64" ph="1"/>
      <c r="X1568" s="241"/>
      <c r="Y1568" s="284"/>
      <c r="Z1568" s="207"/>
      <c r="AA1568" s="284"/>
      <c r="AB1568" s="284"/>
      <c r="AC1568" s="284"/>
      <c r="AD1568" s="284"/>
      <c r="AE1568" s="284"/>
      <c r="AF1568" s="284"/>
      <c r="AG1568" s="284"/>
      <c r="AI1568" s="131"/>
    </row>
    <row r="1569" spans="1:35" ht="26.4">
      <c r="A1569" s="284"/>
      <c r="B1569" s="284"/>
      <c r="C1569" s="284"/>
      <c r="D1569" s="284"/>
      <c r="E1569" s="284"/>
      <c r="F1569" s="284"/>
      <c r="G1569" s="284"/>
      <c r="H1569" s="284"/>
      <c r="I1569" s="284"/>
      <c r="J1569" s="375"/>
      <c r="K1569" s="375"/>
      <c r="L1569" s="375"/>
      <c r="M1569" s="368"/>
      <c r="N1569" s="368"/>
      <c r="O1569" s="370"/>
      <c r="T1569" s="349"/>
      <c r="V1569" s="378"/>
      <c r="W1569" s="64" ph="1"/>
      <c r="X1569" s="241"/>
      <c r="Y1569" s="284"/>
      <c r="Z1569" s="207"/>
      <c r="AA1569" s="284"/>
      <c r="AB1569" s="284"/>
      <c r="AC1569" s="284"/>
      <c r="AD1569" s="284"/>
      <c r="AE1569" s="284"/>
      <c r="AF1569" s="284"/>
      <c r="AG1569" s="284"/>
      <c r="AI1569" s="131"/>
    </row>
    <row r="1570" spans="1:35" ht="26.4">
      <c r="A1570" s="284"/>
      <c r="B1570" s="284"/>
      <c r="C1570" s="284"/>
      <c r="D1570" s="284"/>
      <c r="E1570" s="284"/>
      <c r="F1570" s="284"/>
      <c r="G1570" s="284"/>
      <c r="H1570" s="284"/>
      <c r="I1570" s="284"/>
      <c r="J1570" s="375"/>
      <c r="K1570" s="375"/>
      <c r="L1570" s="375"/>
      <c r="M1570" s="368"/>
      <c r="N1570" s="368"/>
      <c r="O1570" s="370"/>
      <c r="T1570" s="349"/>
      <c r="V1570" s="378"/>
      <c r="W1570" s="64" ph="1"/>
      <c r="X1570" s="241"/>
      <c r="Y1570" s="284"/>
      <c r="Z1570" s="207"/>
      <c r="AA1570" s="284"/>
      <c r="AB1570" s="284"/>
      <c r="AC1570" s="284"/>
      <c r="AD1570" s="284"/>
      <c r="AE1570" s="284"/>
      <c r="AF1570" s="284"/>
      <c r="AG1570" s="284"/>
      <c r="AI1570" s="284"/>
    </row>
    <row r="1571" spans="1:35" ht="26.4">
      <c r="A1571" s="284"/>
      <c r="B1571" s="284"/>
      <c r="C1571" s="284"/>
      <c r="D1571" s="284"/>
      <c r="E1571" s="284"/>
      <c r="F1571" s="284"/>
      <c r="G1571" s="284"/>
      <c r="H1571" s="284"/>
      <c r="I1571" s="284"/>
      <c r="J1571" s="375"/>
      <c r="K1571" s="375"/>
      <c r="L1571" s="375"/>
      <c r="M1571" s="368"/>
      <c r="N1571" s="368"/>
      <c r="O1571" s="370"/>
      <c r="T1571" s="349"/>
      <c r="V1571" s="378"/>
      <c r="W1571" s="64" ph="1"/>
      <c r="X1571" s="241"/>
      <c r="Y1571" s="284"/>
      <c r="Z1571" s="207"/>
      <c r="AA1571" s="284"/>
      <c r="AB1571" s="284"/>
      <c r="AC1571" s="284"/>
      <c r="AD1571" s="284"/>
      <c r="AE1571" s="284"/>
      <c r="AF1571" s="284"/>
      <c r="AG1571" s="284"/>
      <c r="AI1571" s="131"/>
    </row>
    <row r="1572" spans="1:35" ht="26.4">
      <c r="A1572" s="284"/>
      <c r="B1572" s="284"/>
      <c r="C1572" s="284"/>
      <c r="D1572" s="284"/>
      <c r="E1572" s="284"/>
      <c r="F1572" s="284"/>
      <c r="G1572" s="284"/>
      <c r="H1572" s="284"/>
      <c r="I1572" s="284"/>
      <c r="J1572" s="375"/>
      <c r="K1572" s="375"/>
      <c r="L1572" s="375"/>
      <c r="M1572" s="368"/>
      <c r="N1572" s="368"/>
      <c r="O1572" s="370"/>
      <c r="T1572" s="349"/>
      <c r="V1572" s="378"/>
      <c r="W1572" s="64" ph="1"/>
      <c r="X1572" s="241"/>
      <c r="Y1572" s="284"/>
      <c r="Z1572" s="207"/>
      <c r="AA1572" s="284"/>
      <c r="AB1572" s="284"/>
      <c r="AC1572" s="284"/>
      <c r="AD1572" s="284"/>
      <c r="AE1572" s="284"/>
      <c r="AF1572" s="284"/>
      <c r="AG1572" s="284"/>
      <c r="AI1572" s="131"/>
    </row>
    <row r="1573" spans="1:35" ht="26.4">
      <c r="A1573" s="284"/>
      <c r="B1573" s="284"/>
      <c r="C1573" s="284"/>
      <c r="D1573" s="284"/>
      <c r="E1573" s="284"/>
      <c r="F1573" s="284"/>
      <c r="G1573" s="284"/>
      <c r="H1573" s="284"/>
      <c r="I1573" s="284"/>
      <c r="J1573" s="375"/>
      <c r="K1573" s="375"/>
      <c r="L1573" s="375"/>
      <c r="M1573" s="368"/>
      <c r="N1573" s="368"/>
      <c r="O1573" s="370"/>
      <c r="T1573" s="349"/>
      <c r="V1573" s="378"/>
      <c r="W1573" s="64" ph="1"/>
      <c r="X1573" s="241"/>
      <c r="Y1573" s="284"/>
      <c r="Z1573" s="207"/>
      <c r="AA1573" s="284"/>
      <c r="AB1573" s="284"/>
      <c r="AC1573" s="284"/>
      <c r="AD1573" s="284"/>
      <c r="AE1573" s="284"/>
      <c r="AF1573" s="284"/>
      <c r="AG1573" s="284"/>
      <c r="AI1573" s="131"/>
    </row>
    <row r="1574" spans="1:35" ht="26.4">
      <c r="A1574" s="284"/>
      <c r="B1574" s="284"/>
      <c r="C1574" s="284"/>
      <c r="D1574" s="284"/>
      <c r="E1574" s="284"/>
      <c r="F1574" s="284"/>
      <c r="G1574" s="284"/>
      <c r="H1574" s="284"/>
      <c r="I1574" s="284"/>
      <c r="J1574" s="375"/>
      <c r="K1574" s="375"/>
      <c r="L1574" s="375"/>
      <c r="M1574" s="368"/>
      <c r="N1574" s="368"/>
      <c r="O1574" s="370"/>
      <c r="T1574" s="349"/>
      <c r="V1574" s="378"/>
      <c r="W1574" s="64" ph="1"/>
      <c r="X1574" s="241"/>
      <c r="Y1574" s="284"/>
      <c r="Z1574" s="207"/>
      <c r="AA1574" s="284"/>
      <c r="AB1574" s="284"/>
      <c r="AC1574" s="284"/>
      <c r="AD1574" s="284"/>
      <c r="AE1574" s="284"/>
      <c r="AF1574" s="284"/>
      <c r="AG1574" s="284"/>
      <c r="AI1574" s="131"/>
    </row>
    <row r="1575" spans="1:35" ht="26.4">
      <c r="A1575" s="284"/>
      <c r="B1575" s="284"/>
      <c r="C1575" s="284"/>
      <c r="D1575" s="284"/>
      <c r="E1575" s="284"/>
      <c r="F1575" s="284"/>
      <c r="G1575" s="284"/>
      <c r="H1575" s="284"/>
      <c r="I1575" s="284"/>
      <c r="J1575" s="375"/>
      <c r="K1575" s="375"/>
      <c r="L1575" s="375"/>
      <c r="M1575" s="368"/>
      <c r="N1575" s="368"/>
      <c r="O1575" s="370"/>
      <c r="T1575" s="349"/>
      <c r="V1575" s="378"/>
      <c r="W1575" s="64" ph="1"/>
      <c r="X1575" s="241"/>
      <c r="Y1575" s="284"/>
      <c r="Z1575" s="207"/>
      <c r="AA1575" s="284"/>
      <c r="AB1575" s="284"/>
      <c r="AC1575" s="284"/>
      <c r="AD1575" s="284"/>
      <c r="AE1575" s="284"/>
      <c r="AF1575" s="284"/>
      <c r="AG1575" s="284"/>
      <c r="AI1575" s="131"/>
    </row>
    <row r="1576" spans="1:35" ht="26.4">
      <c r="A1576" s="284"/>
      <c r="B1576" s="284"/>
      <c r="C1576" s="284"/>
      <c r="D1576" s="284"/>
      <c r="E1576" s="284"/>
      <c r="F1576" s="284"/>
      <c r="G1576" s="284"/>
      <c r="H1576" s="284"/>
      <c r="I1576" s="284"/>
      <c r="J1576" s="375"/>
      <c r="K1576" s="375"/>
      <c r="L1576" s="375"/>
      <c r="M1576" s="368"/>
      <c r="N1576" s="368"/>
      <c r="O1576" s="370"/>
      <c r="T1576" s="349"/>
      <c r="V1576" s="378"/>
      <c r="W1576" s="64" ph="1"/>
      <c r="X1576" s="241"/>
      <c r="Y1576" s="284"/>
      <c r="Z1576" s="207"/>
      <c r="AA1576" s="284"/>
      <c r="AB1576" s="284"/>
      <c r="AC1576" s="284"/>
      <c r="AD1576" s="284"/>
      <c r="AE1576" s="284"/>
      <c r="AF1576" s="284"/>
      <c r="AG1576" s="284"/>
      <c r="AI1576" s="131"/>
    </row>
    <row r="1577" spans="1:35" ht="26.4">
      <c r="A1577" s="284"/>
      <c r="B1577" s="284"/>
      <c r="C1577" s="284"/>
      <c r="D1577" s="284"/>
      <c r="E1577" s="284"/>
      <c r="F1577" s="284"/>
      <c r="G1577" s="284"/>
      <c r="H1577" s="284"/>
      <c r="I1577" s="284"/>
      <c r="J1577" s="375"/>
      <c r="K1577" s="375"/>
      <c r="L1577" s="375"/>
      <c r="M1577" s="368"/>
      <c r="N1577" s="368"/>
      <c r="O1577" s="370"/>
      <c r="T1577" s="349"/>
      <c r="V1577" s="378"/>
      <c r="W1577" s="64" ph="1"/>
      <c r="X1577" s="241"/>
      <c r="Y1577" s="284"/>
      <c r="Z1577" s="207"/>
      <c r="AA1577" s="284"/>
      <c r="AB1577" s="284"/>
      <c r="AC1577" s="284"/>
      <c r="AD1577" s="284"/>
      <c r="AE1577" s="284"/>
      <c r="AF1577" s="284"/>
      <c r="AG1577" s="284"/>
      <c r="AI1577" s="131"/>
    </row>
    <row r="1578" spans="1:35" ht="26.4">
      <c r="A1578" s="284"/>
      <c r="B1578" s="284"/>
      <c r="C1578" s="284"/>
      <c r="D1578" s="284"/>
      <c r="E1578" s="284"/>
      <c r="F1578" s="284"/>
      <c r="G1578" s="284"/>
      <c r="H1578" s="284"/>
      <c r="I1578" s="284"/>
      <c r="J1578" s="375"/>
      <c r="K1578" s="375"/>
      <c r="L1578" s="375"/>
      <c r="M1578" s="368"/>
      <c r="N1578" s="368"/>
      <c r="O1578" s="370"/>
      <c r="T1578" s="349"/>
      <c r="V1578" s="378"/>
      <c r="W1578" s="64" ph="1"/>
      <c r="X1578" s="241"/>
      <c r="Y1578" s="284"/>
      <c r="Z1578" s="207"/>
      <c r="AA1578" s="284"/>
      <c r="AB1578" s="284"/>
      <c r="AC1578" s="284"/>
      <c r="AD1578" s="284"/>
      <c r="AE1578" s="284"/>
      <c r="AF1578" s="284"/>
      <c r="AG1578" s="284"/>
      <c r="AI1578" s="131"/>
    </row>
    <row r="1579" spans="1:35" ht="26.4">
      <c r="A1579" s="284"/>
      <c r="B1579" s="284"/>
      <c r="C1579" s="284"/>
      <c r="D1579" s="284"/>
      <c r="E1579" s="284"/>
      <c r="F1579" s="284"/>
      <c r="G1579" s="284"/>
      <c r="H1579" s="284"/>
      <c r="I1579" s="284"/>
      <c r="J1579" s="375"/>
      <c r="K1579" s="375"/>
      <c r="L1579" s="375"/>
      <c r="M1579" s="368"/>
      <c r="N1579" s="368"/>
      <c r="O1579" s="370"/>
      <c r="T1579" s="349"/>
      <c r="V1579" s="378"/>
      <c r="W1579" s="64" ph="1"/>
      <c r="X1579" s="241"/>
      <c r="Y1579" s="284"/>
      <c r="Z1579" s="207"/>
      <c r="AA1579" s="284"/>
      <c r="AB1579" s="284"/>
      <c r="AC1579" s="284"/>
      <c r="AD1579" s="284"/>
      <c r="AE1579" s="284"/>
      <c r="AF1579" s="284"/>
      <c r="AG1579" s="284"/>
      <c r="AI1579" s="131"/>
    </row>
    <row r="1580" spans="1:35" ht="26.4">
      <c r="A1580" s="284"/>
      <c r="B1580" s="284"/>
      <c r="C1580" s="284"/>
      <c r="D1580" s="284"/>
      <c r="E1580" s="284"/>
      <c r="F1580" s="284"/>
      <c r="G1580" s="284"/>
      <c r="H1580" s="284"/>
      <c r="I1580" s="284"/>
      <c r="J1580" s="375"/>
      <c r="K1580" s="375"/>
      <c r="L1580" s="375"/>
      <c r="M1580" s="368"/>
      <c r="N1580" s="368"/>
      <c r="O1580" s="370"/>
      <c r="T1580" s="349"/>
      <c r="V1580" s="378"/>
      <c r="W1580" s="64" ph="1"/>
      <c r="X1580" s="241"/>
      <c r="Y1580" s="284"/>
      <c r="Z1580" s="207"/>
      <c r="AA1580" s="284"/>
      <c r="AB1580" s="284"/>
      <c r="AC1580" s="284"/>
      <c r="AD1580" s="284"/>
      <c r="AE1580" s="284"/>
      <c r="AF1580" s="284"/>
      <c r="AG1580" s="284"/>
      <c r="AI1580" s="131"/>
    </row>
    <row r="1581" spans="1:35" ht="26.4">
      <c r="A1581" s="284"/>
      <c r="B1581" s="284"/>
      <c r="C1581" s="284"/>
      <c r="D1581" s="284"/>
      <c r="E1581" s="284"/>
      <c r="F1581" s="284"/>
      <c r="G1581" s="284"/>
      <c r="H1581" s="284"/>
      <c r="I1581" s="284"/>
      <c r="J1581" s="375"/>
      <c r="K1581" s="375"/>
      <c r="L1581" s="375"/>
      <c r="M1581" s="368"/>
      <c r="N1581" s="368"/>
      <c r="O1581" s="370"/>
      <c r="T1581" s="349"/>
      <c r="V1581" s="378"/>
      <c r="W1581" s="64" ph="1"/>
      <c r="X1581" s="241"/>
      <c r="Y1581" s="284"/>
      <c r="Z1581" s="207"/>
      <c r="AA1581" s="284"/>
      <c r="AB1581" s="284"/>
      <c r="AC1581" s="284"/>
      <c r="AD1581" s="284"/>
      <c r="AE1581" s="284"/>
      <c r="AF1581" s="284"/>
      <c r="AG1581" s="284"/>
      <c r="AI1581" s="131"/>
    </row>
    <row r="1582" spans="1:35" ht="26.4">
      <c r="A1582" s="284"/>
      <c r="B1582" s="284"/>
      <c r="C1582" s="284"/>
      <c r="D1582" s="284"/>
      <c r="E1582" s="284"/>
      <c r="F1582" s="284"/>
      <c r="G1582" s="284"/>
      <c r="H1582" s="284"/>
      <c r="I1582" s="284"/>
      <c r="J1582" s="375"/>
      <c r="K1582" s="375"/>
      <c r="L1582" s="375"/>
      <c r="M1582" s="368"/>
      <c r="N1582" s="368"/>
      <c r="O1582" s="370"/>
      <c r="T1582" s="349"/>
      <c r="V1582" s="378"/>
      <c r="W1582" s="64" ph="1"/>
      <c r="X1582" s="241"/>
      <c r="Y1582" s="284"/>
      <c r="Z1582" s="207"/>
      <c r="AA1582" s="284"/>
      <c r="AB1582" s="284"/>
      <c r="AC1582" s="284"/>
      <c r="AD1582" s="284"/>
      <c r="AE1582" s="284"/>
      <c r="AF1582" s="284"/>
      <c r="AG1582" s="284"/>
      <c r="AI1582" s="131"/>
    </row>
    <row r="1583" spans="1:35" ht="26.4">
      <c r="A1583" s="284"/>
      <c r="B1583" s="284"/>
      <c r="C1583" s="284"/>
      <c r="D1583" s="284"/>
      <c r="E1583" s="284"/>
      <c r="F1583" s="284"/>
      <c r="G1583" s="284"/>
      <c r="H1583" s="284"/>
      <c r="I1583" s="284"/>
      <c r="J1583" s="375"/>
      <c r="K1583" s="375"/>
      <c r="L1583" s="375"/>
      <c r="M1583" s="368"/>
      <c r="N1583" s="368"/>
      <c r="O1583" s="370"/>
      <c r="T1583" s="349"/>
      <c r="V1583" s="378"/>
      <c r="W1583" s="64" ph="1"/>
      <c r="X1583" s="241"/>
      <c r="Y1583" s="284"/>
      <c r="Z1583" s="207"/>
      <c r="AA1583" s="284"/>
      <c r="AB1583" s="284"/>
      <c r="AC1583" s="284"/>
      <c r="AD1583" s="284"/>
      <c r="AE1583" s="284"/>
      <c r="AF1583" s="284"/>
      <c r="AG1583" s="284"/>
      <c r="AI1583" s="131"/>
    </row>
    <row r="1584" spans="1:35" ht="26.4">
      <c r="A1584" s="284"/>
      <c r="B1584" s="284"/>
      <c r="C1584" s="284"/>
      <c r="D1584" s="284"/>
      <c r="E1584" s="284"/>
      <c r="F1584" s="284"/>
      <c r="G1584" s="284"/>
      <c r="H1584" s="284"/>
      <c r="I1584" s="284"/>
      <c r="J1584" s="375"/>
      <c r="K1584" s="375"/>
      <c r="L1584" s="375"/>
      <c r="M1584" s="368"/>
      <c r="N1584" s="368"/>
      <c r="O1584" s="370"/>
      <c r="T1584" s="349"/>
      <c r="V1584" s="378"/>
      <c r="W1584" s="64" ph="1"/>
      <c r="X1584" s="241"/>
      <c r="Y1584" s="284"/>
      <c r="Z1584" s="207"/>
      <c r="AA1584" s="284"/>
      <c r="AB1584" s="284"/>
      <c r="AC1584" s="284"/>
      <c r="AD1584" s="284"/>
      <c r="AE1584" s="284"/>
      <c r="AF1584" s="284"/>
      <c r="AG1584" s="284"/>
      <c r="AI1584" s="131"/>
    </row>
    <row r="1585" spans="1:35" ht="26.4">
      <c r="A1585" s="284"/>
      <c r="B1585" s="284"/>
      <c r="C1585" s="284"/>
      <c r="D1585" s="284"/>
      <c r="E1585" s="284"/>
      <c r="F1585" s="284"/>
      <c r="G1585" s="284"/>
      <c r="H1585" s="284"/>
      <c r="I1585" s="284"/>
      <c r="J1585" s="375"/>
      <c r="K1585" s="375"/>
      <c r="L1585" s="375"/>
      <c r="M1585" s="368"/>
      <c r="N1585" s="368"/>
      <c r="O1585" s="370"/>
      <c r="T1585" s="349"/>
      <c r="V1585" s="378"/>
      <c r="W1585" s="64" ph="1"/>
      <c r="X1585" s="241"/>
      <c r="Y1585" s="284"/>
      <c r="Z1585" s="207"/>
      <c r="AA1585" s="284"/>
      <c r="AB1585" s="284"/>
      <c r="AC1585" s="284"/>
      <c r="AD1585" s="284"/>
      <c r="AE1585" s="284"/>
      <c r="AF1585" s="284"/>
      <c r="AG1585" s="284"/>
      <c r="AI1585" s="131"/>
    </row>
    <row r="1586" spans="1:35" ht="26.4">
      <c r="A1586" s="284"/>
      <c r="B1586" s="284"/>
      <c r="C1586" s="284"/>
      <c r="D1586" s="284"/>
      <c r="E1586" s="284"/>
      <c r="F1586" s="284"/>
      <c r="G1586" s="284"/>
      <c r="H1586" s="284"/>
      <c r="I1586" s="284"/>
      <c r="J1586" s="375"/>
      <c r="K1586" s="375"/>
      <c r="L1586" s="375"/>
      <c r="M1586" s="368"/>
      <c r="N1586" s="368"/>
      <c r="O1586" s="370"/>
      <c r="T1586" s="349"/>
      <c r="V1586" s="378"/>
      <c r="W1586" s="64" ph="1"/>
      <c r="X1586" s="241"/>
      <c r="Y1586" s="284"/>
      <c r="Z1586" s="207"/>
      <c r="AA1586" s="284"/>
      <c r="AB1586" s="284"/>
      <c r="AC1586" s="284"/>
      <c r="AD1586" s="284"/>
      <c r="AE1586" s="284"/>
      <c r="AF1586" s="284"/>
      <c r="AG1586" s="284"/>
      <c r="AI1586" s="131"/>
    </row>
    <row r="1587" spans="1:35" ht="26.4">
      <c r="A1587" s="284"/>
      <c r="B1587" s="284"/>
      <c r="C1587" s="284"/>
      <c r="D1587" s="284"/>
      <c r="E1587" s="284"/>
      <c r="F1587" s="284"/>
      <c r="G1587" s="284"/>
      <c r="H1587" s="284"/>
      <c r="I1587" s="284"/>
      <c r="J1587" s="375"/>
      <c r="K1587" s="375"/>
      <c r="L1587" s="375"/>
      <c r="M1587" s="368"/>
      <c r="N1587" s="368"/>
      <c r="O1587" s="370"/>
      <c r="T1587" s="349"/>
      <c r="V1587" s="378"/>
      <c r="W1587" s="64" ph="1"/>
      <c r="X1587" s="241"/>
      <c r="Y1587" s="284"/>
      <c r="Z1587" s="207"/>
      <c r="AA1587" s="284"/>
      <c r="AB1587" s="284"/>
      <c r="AC1587" s="284"/>
      <c r="AD1587" s="284"/>
      <c r="AE1587" s="284"/>
      <c r="AF1587" s="284"/>
      <c r="AG1587" s="284"/>
      <c r="AI1587" s="131"/>
    </row>
    <row r="1588" spans="1:35" ht="26.4">
      <c r="A1588" s="284"/>
      <c r="B1588" s="284"/>
      <c r="C1588" s="284"/>
      <c r="D1588" s="284"/>
      <c r="E1588" s="284"/>
      <c r="F1588" s="284"/>
      <c r="G1588" s="284"/>
      <c r="H1588" s="284"/>
      <c r="I1588" s="284"/>
      <c r="J1588" s="375"/>
      <c r="K1588" s="375"/>
      <c r="L1588" s="375"/>
      <c r="M1588" s="368"/>
      <c r="N1588" s="368"/>
      <c r="O1588" s="370"/>
      <c r="T1588" s="349"/>
      <c r="V1588" s="378"/>
      <c r="W1588" s="64" ph="1"/>
      <c r="X1588" s="241"/>
      <c r="Y1588" s="284"/>
      <c r="Z1588" s="207"/>
      <c r="AA1588" s="284"/>
      <c r="AB1588" s="284"/>
      <c r="AC1588" s="284"/>
      <c r="AD1588" s="284"/>
      <c r="AE1588" s="284"/>
      <c r="AF1588" s="284"/>
      <c r="AG1588" s="284"/>
      <c r="AI1588" s="131"/>
    </row>
    <row r="1589" spans="1:35" ht="26.4">
      <c r="A1589" s="284"/>
      <c r="B1589" s="284"/>
      <c r="C1589" s="284"/>
      <c r="D1589" s="284"/>
      <c r="E1589" s="284"/>
      <c r="F1589" s="284"/>
      <c r="G1589" s="284"/>
      <c r="H1589" s="284"/>
      <c r="I1589" s="284"/>
      <c r="J1589" s="375"/>
      <c r="K1589" s="375"/>
      <c r="L1589" s="375"/>
      <c r="M1589" s="368"/>
      <c r="N1589" s="368"/>
      <c r="O1589" s="370"/>
      <c r="T1589" s="349"/>
      <c r="V1589" s="378"/>
      <c r="W1589" s="64" ph="1"/>
      <c r="X1589" s="241"/>
      <c r="Y1589" s="284"/>
      <c r="Z1589" s="207"/>
      <c r="AA1589" s="284"/>
      <c r="AB1589" s="284"/>
      <c r="AC1589" s="284"/>
      <c r="AD1589" s="284"/>
      <c r="AE1589" s="284"/>
      <c r="AF1589" s="284"/>
      <c r="AG1589" s="284"/>
      <c r="AI1589" s="131"/>
    </row>
    <row r="1590" spans="1:35" ht="26.4">
      <c r="A1590" s="284"/>
      <c r="B1590" s="284"/>
      <c r="C1590" s="284"/>
      <c r="D1590" s="284"/>
      <c r="E1590" s="284"/>
      <c r="F1590" s="284"/>
      <c r="G1590" s="284"/>
      <c r="H1590" s="284"/>
      <c r="I1590" s="284"/>
      <c r="J1590" s="375"/>
      <c r="K1590" s="375"/>
      <c r="L1590" s="375"/>
      <c r="M1590" s="368"/>
      <c r="N1590" s="368"/>
      <c r="O1590" s="370"/>
      <c r="T1590" s="349"/>
      <c r="V1590" s="378"/>
      <c r="W1590" s="64" ph="1"/>
      <c r="X1590" s="241"/>
      <c r="Y1590" s="284"/>
      <c r="Z1590" s="207"/>
      <c r="AA1590" s="284"/>
      <c r="AB1590" s="284"/>
      <c r="AC1590" s="284"/>
      <c r="AD1590" s="284"/>
      <c r="AE1590" s="284"/>
      <c r="AF1590" s="284"/>
      <c r="AG1590" s="284"/>
      <c r="AI1590" s="131"/>
    </row>
    <row r="1591" spans="1:35" ht="26.4">
      <c r="A1591" s="284"/>
      <c r="B1591" s="284"/>
      <c r="C1591" s="284"/>
      <c r="D1591" s="284"/>
      <c r="E1591" s="284"/>
      <c r="F1591" s="284"/>
      <c r="G1591" s="284"/>
      <c r="H1591" s="284"/>
      <c r="I1591" s="284"/>
      <c r="J1591" s="375"/>
      <c r="K1591" s="375"/>
      <c r="L1591" s="375"/>
      <c r="M1591" s="368"/>
      <c r="N1591" s="368"/>
      <c r="O1591" s="370"/>
      <c r="T1591" s="349"/>
      <c r="V1591" s="378"/>
      <c r="W1591" s="64" ph="1"/>
      <c r="X1591" s="241"/>
      <c r="Y1591" s="284"/>
      <c r="Z1591" s="207"/>
      <c r="AA1591" s="284"/>
      <c r="AB1591" s="284"/>
      <c r="AC1591" s="284"/>
      <c r="AD1591" s="284"/>
      <c r="AE1591" s="284"/>
      <c r="AF1591" s="284"/>
      <c r="AG1591" s="284"/>
      <c r="AI1591" s="131"/>
    </row>
    <row r="1592" spans="1:35" ht="26.4">
      <c r="A1592" s="284"/>
      <c r="B1592" s="284"/>
      <c r="C1592" s="284"/>
      <c r="D1592" s="284"/>
      <c r="E1592" s="284"/>
      <c r="F1592" s="284"/>
      <c r="G1592" s="284"/>
      <c r="H1592" s="284"/>
      <c r="I1592" s="284"/>
      <c r="J1592" s="375"/>
      <c r="K1592" s="375"/>
      <c r="L1592" s="375"/>
      <c r="M1592" s="368"/>
      <c r="N1592" s="368"/>
      <c r="O1592" s="370"/>
      <c r="T1592" s="349"/>
      <c r="V1592" s="378"/>
      <c r="W1592" s="64" ph="1"/>
      <c r="X1592" s="241"/>
      <c r="Y1592" s="284"/>
      <c r="Z1592" s="207"/>
      <c r="AA1592" s="284"/>
      <c r="AB1592" s="284"/>
      <c r="AC1592" s="284"/>
      <c r="AD1592" s="284"/>
      <c r="AE1592" s="284"/>
      <c r="AF1592" s="284"/>
      <c r="AG1592" s="284"/>
      <c r="AI1592" s="131"/>
    </row>
    <row r="1593" spans="1:35" ht="26.4">
      <c r="A1593" s="284"/>
      <c r="B1593" s="284"/>
      <c r="C1593" s="284"/>
      <c r="D1593" s="284"/>
      <c r="E1593" s="284"/>
      <c r="F1593" s="284"/>
      <c r="G1593" s="284"/>
      <c r="H1593" s="284"/>
      <c r="I1593" s="284"/>
      <c r="J1593" s="375"/>
      <c r="K1593" s="375"/>
      <c r="L1593" s="375"/>
      <c r="M1593" s="368"/>
      <c r="N1593" s="368"/>
      <c r="O1593" s="370"/>
      <c r="T1593" s="349"/>
      <c r="V1593" s="378"/>
      <c r="W1593" s="64" ph="1"/>
      <c r="X1593" s="241"/>
      <c r="Y1593" s="284"/>
      <c r="Z1593" s="207"/>
      <c r="AA1593" s="284"/>
      <c r="AB1593" s="284"/>
      <c r="AC1593" s="284"/>
      <c r="AD1593" s="284"/>
      <c r="AE1593" s="284"/>
      <c r="AF1593" s="284"/>
      <c r="AG1593" s="284"/>
      <c r="AI1593" s="284"/>
    </row>
    <row r="1594" spans="1:35" ht="26.4">
      <c r="A1594" s="284"/>
      <c r="B1594" s="284"/>
      <c r="C1594" s="284"/>
      <c r="D1594" s="284"/>
      <c r="E1594" s="284"/>
      <c r="F1594" s="284"/>
      <c r="G1594" s="284"/>
      <c r="H1594" s="284"/>
      <c r="I1594" s="284"/>
      <c r="J1594" s="375"/>
      <c r="K1594" s="375"/>
      <c r="L1594" s="375"/>
      <c r="M1594" s="368"/>
      <c r="N1594" s="368"/>
      <c r="O1594" s="370"/>
      <c r="T1594" s="349"/>
      <c r="V1594" s="378"/>
      <c r="W1594" s="64" ph="1"/>
      <c r="X1594" s="241"/>
      <c r="Y1594" s="284"/>
      <c r="Z1594" s="207"/>
      <c r="AA1594" s="284"/>
      <c r="AB1594" s="284"/>
      <c r="AC1594" s="284"/>
      <c r="AD1594" s="284"/>
      <c r="AE1594" s="284"/>
      <c r="AF1594" s="284"/>
      <c r="AG1594" s="284"/>
      <c r="AI1594" s="131"/>
    </row>
    <row r="1595" spans="1:35" ht="26.4">
      <c r="A1595" s="284"/>
      <c r="B1595" s="284"/>
      <c r="C1595" s="284"/>
      <c r="D1595" s="284"/>
      <c r="E1595" s="284"/>
      <c r="F1595" s="284"/>
      <c r="G1595" s="284"/>
      <c r="H1595" s="284"/>
      <c r="I1595" s="284"/>
      <c r="J1595" s="375"/>
      <c r="K1595" s="375"/>
      <c r="L1595" s="375"/>
      <c r="M1595" s="368"/>
      <c r="N1595" s="368"/>
      <c r="O1595" s="370"/>
      <c r="T1595" s="349"/>
      <c r="V1595" s="378"/>
      <c r="W1595" s="64" ph="1"/>
      <c r="X1595" s="241"/>
      <c r="Y1595" s="284"/>
      <c r="Z1595" s="207"/>
      <c r="AA1595" s="284"/>
      <c r="AB1595" s="284"/>
      <c r="AC1595" s="284"/>
      <c r="AD1595" s="284"/>
      <c r="AE1595" s="284"/>
      <c r="AF1595" s="284"/>
      <c r="AG1595" s="284"/>
      <c r="AI1595" s="131"/>
    </row>
    <row r="1596" spans="1:35" ht="26.4">
      <c r="A1596" s="284"/>
      <c r="B1596" s="284"/>
      <c r="C1596" s="284"/>
      <c r="D1596" s="284"/>
      <c r="E1596" s="284"/>
      <c r="F1596" s="284"/>
      <c r="G1596" s="284"/>
      <c r="H1596" s="284"/>
      <c r="I1596" s="284"/>
      <c r="J1596" s="375"/>
      <c r="K1596" s="375"/>
      <c r="L1596" s="375"/>
      <c r="M1596" s="368"/>
      <c r="N1596" s="368"/>
      <c r="O1596" s="370"/>
      <c r="T1596" s="349"/>
      <c r="V1596" s="378"/>
      <c r="W1596" s="64" ph="1"/>
      <c r="X1596" s="241"/>
      <c r="Y1596" s="284"/>
      <c r="Z1596" s="207"/>
      <c r="AA1596" s="284"/>
      <c r="AB1596" s="284"/>
      <c r="AC1596" s="284"/>
      <c r="AD1596" s="284"/>
      <c r="AE1596" s="284"/>
      <c r="AF1596" s="284"/>
      <c r="AG1596" s="284"/>
      <c r="AI1596" s="131"/>
    </row>
    <row r="1597" spans="1:35" ht="26.4">
      <c r="A1597" s="284"/>
      <c r="B1597" s="284"/>
      <c r="C1597" s="284"/>
      <c r="D1597" s="284"/>
      <c r="E1597" s="284"/>
      <c r="F1597" s="284"/>
      <c r="G1597" s="284"/>
      <c r="H1597" s="284"/>
      <c r="I1597" s="284"/>
      <c r="J1597" s="375"/>
      <c r="K1597" s="375"/>
      <c r="L1597" s="375"/>
      <c r="M1597" s="368"/>
      <c r="N1597" s="368"/>
      <c r="O1597" s="370"/>
      <c r="T1597" s="349"/>
      <c r="V1597" s="378"/>
      <c r="W1597" s="64" ph="1"/>
      <c r="X1597" s="241"/>
      <c r="Y1597" s="284"/>
      <c r="Z1597" s="207"/>
      <c r="AA1597" s="284"/>
      <c r="AB1597" s="284"/>
      <c r="AC1597" s="284"/>
      <c r="AD1597" s="284"/>
      <c r="AE1597" s="284"/>
      <c r="AF1597" s="284"/>
      <c r="AG1597" s="284"/>
      <c r="AI1597" s="131"/>
    </row>
    <row r="1598" spans="1:35" ht="26.4">
      <c r="A1598" s="284"/>
      <c r="B1598" s="284"/>
      <c r="C1598" s="284"/>
      <c r="D1598" s="284"/>
      <c r="E1598" s="284"/>
      <c r="F1598" s="284"/>
      <c r="G1598" s="284"/>
      <c r="H1598" s="284"/>
      <c r="I1598" s="284"/>
      <c r="J1598" s="375"/>
      <c r="K1598" s="375"/>
      <c r="L1598" s="375"/>
      <c r="M1598" s="368"/>
      <c r="N1598" s="368"/>
      <c r="O1598" s="370"/>
      <c r="T1598" s="349"/>
      <c r="V1598" s="378"/>
      <c r="W1598" s="64" ph="1"/>
      <c r="X1598" s="241"/>
      <c r="Y1598" s="284"/>
      <c r="Z1598" s="207"/>
      <c r="AA1598" s="284"/>
      <c r="AB1598" s="284"/>
      <c r="AC1598" s="284"/>
      <c r="AD1598" s="284"/>
      <c r="AE1598" s="284"/>
      <c r="AF1598" s="284"/>
      <c r="AG1598" s="284"/>
      <c r="AI1598" s="131"/>
    </row>
    <row r="1599" spans="1:35" ht="26.4">
      <c r="A1599" s="284"/>
      <c r="B1599" s="284"/>
      <c r="C1599" s="284"/>
      <c r="D1599" s="284"/>
      <c r="E1599" s="284"/>
      <c r="F1599" s="284"/>
      <c r="G1599" s="284"/>
      <c r="H1599" s="284"/>
      <c r="I1599" s="284"/>
      <c r="J1599" s="375"/>
      <c r="K1599" s="375"/>
      <c r="L1599" s="375"/>
      <c r="M1599" s="368"/>
      <c r="N1599" s="368"/>
      <c r="O1599" s="370"/>
      <c r="T1599" s="349"/>
      <c r="V1599" s="378"/>
      <c r="W1599" s="64" ph="1"/>
      <c r="X1599" s="241"/>
      <c r="Y1599" s="284"/>
      <c r="Z1599" s="207"/>
      <c r="AA1599" s="284"/>
      <c r="AB1599" s="284"/>
      <c r="AC1599" s="284"/>
      <c r="AD1599" s="284"/>
      <c r="AE1599" s="284"/>
      <c r="AF1599" s="284"/>
      <c r="AG1599" s="284"/>
      <c r="AI1599" s="131"/>
    </row>
    <row r="1600" spans="1:35" ht="26.4">
      <c r="A1600" s="284"/>
      <c r="B1600" s="284"/>
      <c r="C1600" s="284"/>
      <c r="D1600" s="284"/>
      <c r="E1600" s="284"/>
      <c r="F1600" s="284"/>
      <c r="G1600" s="284"/>
      <c r="H1600" s="284"/>
      <c r="I1600" s="284"/>
      <c r="J1600" s="375"/>
      <c r="K1600" s="375"/>
      <c r="L1600" s="375"/>
      <c r="M1600" s="368"/>
      <c r="N1600" s="368"/>
      <c r="O1600" s="370"/>
      <c r="T1600" s="349"/>
      <c r="V1600" s="378"/>
      <c r="W1600" s="64" ph="1"/>
      <c r="X1600" s="241"/>
      <c r="Y1600" s="284"/>
      <c r="Z1600" s="207"/>
      <c r="AA1600" s="284"/>
      <c r="AB1600" s="284"/>
      <c r="AC1600" s="284"/>
      <c r="AD1600" s="284"/>
      <c r="AE1600" s="284"/>
      <c r="AF1600" s="284"/>
      <c r="AG1600" s="284"/>
      <c r="AI1600" s="131"/>
    </row>
    <row r="1601" spans="1:35" ht="26.4">
      <c r="A1601" s="284"/>
      <c r="B1601" s="284"/>
      <c r="C1601" s="284"/>
      <c r="D1601" s="284"/>
      <c r="E1601" s="284"/>
      <c r="F1601" s="284"/>
      <c r="G1601" s="284"/>
      <c r="H1601" s="284"/>
      <c r="I1601" s="284"/>
      <c r="J1601" s="375"/>
      <c r="K1601" s="375"/>
      <c r="L1601" s="375"/>
      <c r="M1601" s="368"/>
      <c r="N1601" s="368"/>
      <c r="O1601" s="370"/>
      <c r="T1601" s="349"/>
      <c r="V1601" s="378"/>
      <c r="W1601" s="64" ph="1"/>
      <c r="X1601" s="241"/>
      <c r="Y1601" s="284"/>
      <c r="Z1601" s="207"/>
      <c r="AA1601" s="284"/>
      <c r="AB1601" s="284"/>
      <c r="AC1601" s="284"/>
      <c r="AD1601" s="284"/>
      <c r="AE1601" s="284"/>
      <c r="AF1601" s="284"/>
      <c r="AG1601" s="284"/>
      <c r="AI1601" s="131"/>
    </row>
    <row r="1602" spans="1:35" ht="26.4">
      <c r="A1602" s="284"/>
      <c r="B1602" s="284"/>
      <c r="C1602" s="284"/>
      <c r="D1602" s="284"/>
      <c r="E1602" s="284"/>
      <c r="F1602" s="284"/>
      <c r="G1602" s="284"/>
      <c r="H1602" s="284"/>
      <c r="I1602" s="284"/>
      <c r="J1602" s="375"/>
      <c r="K1602" s="375"/>
      <c r="L1602" s="375"/>
      <c r="M1602" s="368"/>
      <c r="N1602" s="368"/>
      <c r="O1602" s="370"/>
      <c r="T1602" s="349"/>
      <c r="V1602" s="378"/>
      <c r="W1602" s="64" ph="1"/>
      <c r="X1602" s="241"/>
      <c r="Y1602" s="284"/>
      <c r="Z1602" s="207"/>
      <c r="AA1602" s="284"/>
      <c r="AB1602" s="284"/>
      <c r="AC1602" s="284"/>
      <c r="AD1602" s="284"/>
      <c r="AE1602" s="284"/>
      <c r="AF1602" s="284"/>
      <c r="AG1602" s="284"/>
      <c r="AI1602" s="131"/>
    </row>
    <row r="1603" spans="1:35" ht="26.4">
      <c r="A1603" s="284"/>
      <c r="B1603" s="284"/>
      <c r="C1603" s="284"/>
      <c r="D1603" s="284"/>
      <c r="E1603" s="284"/>
      <c r="F1603" s="284"/>
      <c r="G1603" s="284"/>
      <c r="H1603" s="284"/>
      <c r="I1603" s="284"/>
      <c r="J1603" s="375"/>
      <c r="K1603" s="375"/>
      <c r="L1603" s="375"/>
      <c r="M1603" s="368"/>
      <c r="N1603" s="368"/>
      <c r="O1603" s="370"/>
      <c r="T1603" s="349"/>
      <c r="V1603" s="378"/>
      <c r="W1603" s="64" ph="1"/>
      <c r="X1603" s="241"/>
      <c r="Y1603" s="284"/>
      <c r="Z1603" s="207"/>
      <c r="AA1603" s="284"/>
      <c r="AB1603" s="284"/>
      <c r="AC1603" s="284"/>
      <c r="AD1603" s="284"/>
      <c r="AE1603" s="284"/>
      <c r="AF1603" s="284"/>
      <c r="AG1603" s="284"/>
      <c r="AI1603" s="131"/>
    </row>
    <row r="1604" spans="1:35" ht="26.4">
      <c r="A1604" s="284"/>
      <c r="B1604" s="284"/>
      <c r="C1604" s="284"/>
      <c r="D1604" s="284"/>
      <c r="E1604" s="284"/>
      <c r="F1604" s="284"/>
      <c r="G1604" s="284"/>
      <c r="H1604" s="284"/>
      <c r="I1604" s="284"/>
      <c r="J1604" s="375"/>
      <c r="K1604" s="375"/>
      <c r="L1604" s="375"/>
      <c r="M1604" s="368"/>
      <c r="N1604" s="368"/>
      <c r="O1604" s="370"/>
      <c r="T1604" s="349"/>
      <c r="V1604" s="378"/>
      <c r="W1604" s="64" ph="1"/>
      <c r="X1604" s="241"/>
      <c r="Y1604" s="284"/>
      <c r="Z1604" s="207"/>
      <c r="AA1604" s="284"/>
      <c r="AB1604" s="284"/>
      <c r="AC1604" s="284"/>
      <c r="AD1604" s="284"/>
      <c r="AE1604" s="284"/>
      <c r="AF1604" s="284"/>
      <c r="AG1604" s="284"/>
      <c r="AI1604" s="131"/>
    </row>
    <row r="1605" spans="1:35" ht="26.4">
      <c r="A1605" s="284"/>
      <c r="B1605" s="284"/>
      <c r="C1605" s="284"/>
      <c r="D1605" s="284"/>
      <c r="E1605" s="284"/>
      <c r="F1605" s="284"/>
      <c r="G1605" s="284"/>
      <c r="H1605" s="284"/>
      <c r="I1605" s="284"/>
      <c r="J1605" s="375"/>
      <c r="K1605" s="375"/>
      <c r="L1605" s="375"/>
      <c r="M1605" s="368"/>
      <c r="N1605" s="368"/>
      <c r="O1605" s="370"/>
      <c r="T1605" s="349"/>
      <c r="V1605" s="378"/>
      <c r="W1605" s="64" ph="1"/>
      <c r="X1605" s="241"/>
      <c r="Y1605" s="284"/>
      <c r="Z1605" s="207"/>
      <c r="AA1605" s="284"/>
      <c r="AB1605" s="284"/>
      <c r="AC1605" s="284"/>
      <c r="AD1605" s="284"/>
      <c r="AE1605" s="284"/>
      <c r="AF1605" s="284"/>
      <c r="AG1605" s="284"/>
      <c r="AI1605" s="131"/>
    </row>
    <row r="1606" spans="1:35" ht="26.4">
      <c r="A1606" s="284"/>
      <c r="B1606" s="284"/>
      <c r="C1606" s="284"/>
      <c r="D1606" s="284"/>
      <c r="E1606" s="284"/>
      <c r="F1606" s="284"/>
      <c r="G1606" s="284"/>
      <c r="H1606" s="284"/>
      <c r="I1606" s="284"/>
      <c r="J1606" s="375"/>
      <c r="K1606" s="375"/>
      <c r="L1606" s="375"/>
      <c r="M1606" s="368"/>
      <c r="N1606" s="368"/>
      <c r="O1606" s="370"/>
      <c r="T1606" s="349"/>
      <c r="V1606" s="378"/>
      <c r="W1606" s="64" ph="1"/>
      <c r="X1606" s="241"/>
      <c r="Y1606" s="284"/>
      <c r="Z1606" s="207"/>
      <c r="AA1606" s="284"/>
      <c r="AB1606" s="284"/>
      <c r="AC1606" s="284"/>
      <c r="AD1606" s="284"/>
      <c r="AE1606" s="284"/>
      <c r="AF1606" s="284"/>
      <c r="AG1606" s="284"/>
      <c r="AI1606" s="131"/>
    </row>
    <row r="1607" spans="1:35" ht="26.4">
      <c r="A1607" s="284"/>
      <c r="B1607" s="284"/>
      <c r="C1607" s="284"/>
      <c r="D1607" s="284"/>
      <c r="E1607" s="284"/>
      <c r="F1607" s="284"/>
      <c r="G1607" s="284"/>
      <c r="H1607" s="284"/>
      <c r="I1607" s="284"/>
      <c r="J1607" s="375"/>
      <c r="K1607" s="375"/>
      <c r="L1607" s="375"/>
      <c r="M1607" s="368"/>
      <c r="N1607" s="368"/>
      <c r="O1607" s="370"/>
      <c r="T1607" s="349"/>
      <c r="V1607" s="378"/>
      <c r="W1607" s="64" ph="1"/>
      <c r="X1607" s="241"/>
      <c r="Y1607" s="284"/>
      <c r="Z1607" s="207"/>
      <c r="AA1607" s="284"/>
      <c r="AB1607" s="284"/>
      <c r="AC1607" s="284"/>
      <c r="AD1607" s="284"/>
      <c r="AE1607" s="284"/>
      <c r="AF1607" s="284"/>
      <c r="AG1607" s="284"/>
      <c r="AI1607" s="131"/>
    </row>
    <row r="1608" spans="1:35" ht="26.4">
      <c r="A1608" s="284"/>
      <c r="B1608" s="284"/>
      <c r="C1608" s="284"/>
      <c r="D1608" s="284"/>
      <c r="E1608" s="284"/>
      <c r="F1608" s="284"/>
      <c r="G1608" s="284"/>
      <c r="H1608" s="284"/>
      <c r="I1608" s="284"/>
      <c r="J1608" s="375"/>
      <c r="K1608" s="375"/>
      <c r="L1608" s="375"/>
      <c r="M1608" s="368"/>
      <c r="N1608" s="368"/>
      <c r="O1608" s="370"/>
      <c r="T1608" s="349"/>
      <c r="V1608" s="378"/>
      <c r="W1608" s="64" ph="1"/>
      <c r="X1608" s="241"/>
      <c r="Y1608" s="284"/>
      <c r="Z1608" s="207"/>
      <c r="AA1608" s="284"/>
      <c r="AB1608" s="284"/>
      <c r="AC1608" s="284"/>
      <c r="AD1608" s="284"/>
      <c r="AE1608" s="284"/>
      <c r="AF1608" s="284"/>
      <c r="AG1608" s="284"/>
      <c r="AI1608" s="131"/>
    </row>
    <row r="1609" spans="1:35" ht="26.4">
      <c r="A1609" s="284"/>
      <c r="B1609" s="284"/>
      <c r="C1609" s="284"/>
      <c r="D1609" s="284"/>
      <c r="E1609" s="284"/>
      <c r="F1609" s="284"/>
      <c r="G1609" s="284"/>
      <c r="H1609" s="284"/>
      <c r="I1609" s="284"/>
      <c r="J1609" s="375"/>
      <c r="K1609" s="375"/>
      <c r="L1609" s="375"/>
      <c r="M1609" s="368"/>
      <c r="N1609" s="368"/>
      <c r="O1609" s="370"/>
      <c r="T1609" s="349"/>
      <c r="V1609" s="378"/>
      <c r="W1609" s="64" ph="1"/>
      <c r="X1609" s="241"/>
      <c r="Y1609" s="284"/>
      <c r="Z1609" s="207"/>
      <c r="AA1609" s="284"/>
      <c r="AB1609" s="284"/>
      <c r="AC1609" s="284"/>
      <c r="AD1609" s="284"/>
      <c r="AE1609" s="284"/>
      <c r="AF1609" s="284"/>
      <c r="AG1609" s="284"/>
      <c r="AI1609" s="131"/>
    </row>
    <row r="1610" spans="1:35" ht="26.4">
      <c r="A1610" s="284"/>
      <c r="B1610" s="284"/>
      <c r="C1610" s="284"/>
      <c r="D1610" s="284"/>
      <c r="E1610" s="284"/>
      <c r="F1610" s="284"/>
      <c r="G1610" s="284"/>
      <c r="H1610" s="284"/>
      <c r="I1610" s="284"/>
      <c r="J1610" s="375"/>
      <c r="K1610" s="375"/>
      <c r="L1610" s="375"/>
      <c r="M1610" s="368"/>
      <c r="N1610" s="368"/>
      <c r="O1610" s="370"/>
      <c r="T1610" s="349"/>
      <c r="V1610" s="378"/>
      <c r="W1610" s="64" ph="1"/>
      <c r="X1610" s="241"/>
      <c r="Y1610" s="284"/>
      <c r="Z1610" s="207"/>
      <c r="AA1610" s="284"/>
      <c r="AB1610" s="284"/>
      <c r="AC1610" s="284"/>
      <c r="AD1610" s="284"/>
      <c r="AE1610" s="284"/>
      <c r="AF1610" s="284"/>
      <c r="AG1610" s="284"/>
      <c r="AI1610" s="131"/>
    </row>
    <row r="1611" spans="1:35" ht="26.4">
      <c r="A1611" s="284"/>
      <c r="B1611" s="284"/>
      <c r="C1611" s="284"/>
      <c r="D1611" s="284"/>
      <c r="E1611" s="284"/>
      <c r="F1611" s="284"/>
      <c r="G1611" s="284"/>
      <c r="H1611" s="284"/>
      <c r="I1611" s="284"/>
      <c r="J1611" s="375"/>
      <c r="K1611" s="375"/>
      <c r="L1611" s="375"/>
      <c r="M1611" s="368"/>
      <c r="N1611" s="368"/>
      <c r="O1611" s="370"/>
      <c r="T1611" s="349"/>
      <c r="V1611" s="378"/>
      <c r="W1611" s="64" ph="1"/>
      <c r="X1611" s="241"/>
      <c r="Y1611" s="284"/>
      <c r="Z1611" s="207"/>
      <c r="AA1611" s="284"/>
      <c r="AB1611" s="284"/>
      <c r="AC1611" s="284"/>
      <c r="AD1611" s="284"/>
      <c r="AE1611" s="284"/>
      <c r="AF1611" s="284"/>
      <c r="AG1611" s="284"/>
      <c r="AI1611" s="131"/>
    </row>
    <row r="1612" spans="1:35" ht="26.4">
      <c r="A1612" s="284"/>
      <c r="B1612" s="284"/>
      <c r="C1612" s="284"/>
      <c r="D1612" s="284"/>
      <c r="E1612" s="284"/>
      <c r="F1612" s="284"/>
      <c r="G1612" s="284"/>
      <c r="H1612" s="284"/>
      <c r="I1612" s="284"/>
      <c r="J1612" s="375"/>
      <c r="K1612" s="375"/>
      <c r="L1612" s="375"/>
      <c r="M1612" s="368"/>
      <c r="N1612" s="368"/>
      <c r="O1612" s="370"/>
      <c r="T1612" s="349"/>
      <c r="V1612" s="378"/>
      <c r="W1612" s="64" ph="1"/>
      <c r="X1612" s="241"/>
      <c r="Y1612" s="284"/>
      <c r="Z1612" s="207"/>
      <c r="AA1612" s="284"/>
      <c r="AB1612" s="284"/>
      <c r="AC1612" s="284"/>
      <c r="AD1612" s="284"/>
      <c r="AE1612" s="284"/>
      <c r="AF1612" s="284"/>
      <c r="AG1612" s="284"/>
      <c r="AI1612" s="131"/>
    </row>
    <row r="1613" spans="1:35" ht="26.4">
      <c r="A1613" s="284"/>
      <c r="B1613" s="284"/>
      <c r="C1613" s="284"/>
      <c r="D1613" s="284"/>
      <c r="E1613" s="284"/>
      <c r="F1613" s="284"/>
      <c r="G1613" s="284"/>
      <c r="H1613" s="284"/>
      <c r="I1613" s="284"/>
      <c r="J1613" s="375"/>
      <c r="K1613" s="375"/>
      <c r="L1613" s="375"/>
      <c r="M1613" s="368"/>
      <c r="N1613" s="368"/>
      <c r="O1613" s="370"/>
      <c r="T1613" s="349"/>
      <c r="V1613" s="378"/>
      <c r="W1613" s="64" ph="1"/>
      <c r="X1613" s="241"/>
      <c r="Y1613" s="284"/>
      <c r="Z1613" s="207"/>
      <c r="AA1613" s="284"/>
      <c r="AB1613" s="284"/>
      <c r="AC1613" s="284"/>
      <c r="AD1613" s="284"/>
      <c r="AE1613" s="284"/>
      <c r="AF1613" s="284"/>
      <c r="AG1613" s="284"/>
      <c r="AI1613" s="131"/>
    </row>
    <row r="1614" spans="1:35" ht="26.4">
      <c r="A1614" s="284"/>
      <c r="B1614" s="284"/>
      <c r="C1614" s="284"/>
      <c r="D1614" s="284"/>
      <c r="E1614" s="284"/>
      <c r="F1614" s="284"/>
      <c r="G1614" s="284"/>
      <c r="H1614" s="284"/>
      <c r="I1614" s="284"/>
      <c r="J1614" s="375"/>
      <c r="K1614" s="375"/>
      <c r="L1614" s="375"/>
      <c r="M1614" s="368"/>
      <c r="N1614" s="368"/>
      <c r="O1614" s="370"/>
      <c r="T1614" s="349"/>
      <c r="V1614" s="378"/>
      <c r="W1614" s="64" ph="1"/>
      <c r="X1614" s="241"/>
      <c r="Y1614" s="284"/>
      <c r="Z1614" s="207"/>
      <c r="AA1614" s="284"/>
      <c r="AB1614" s="284"/>
      <c r="AC1614" s="284"/>
      <c r="AD1614" s="284"/>
      <c r="AE1614" s="284"/>
      <c r="AF1614" s="284"/>
      <c r="AG1614" s="284"/>
      <c r="AI1614" s="131"/>
    </row>
    <row r="1615" spans="1:35" ht="26.4">
      <c r="A1615" s="284"/>
      <c r="B1615" s="284"/>
      <c r="C1615" s="284"/>
      <c r="D1615" s="284"/>
      <c r="E1615" s="284"/>
      <c r="F1615" s="284"/>
      <c r="G1615" s="284"/>
      <c r="H1615" s="284"/>
      <c r="I1615" s="284"/>
      <c r="J1615" s="375"/>
      <c r="K1615" s="375"/>
      <c r="L1615" s="375"/>
      <c r="M1615" s="368"/>
      <c r="N1615" s="368"/>
      <c r="O1615" s="370"/>
      <c r="T1615" s="349"/>
      <c r="V1615" s="378"/>
      <c r="W1615" s="64" ph="1"/>
      <c r="X1615" s="241"/>
      <c r="Y1615" s="284"/>
      <c r="Z1615" s="207"/>
      <c r="AA1615" s="284"/>
      <c r="AB1615" s="284"/>
      <c r="AC1615" s="284"/>
      <c r="AD1615" s="284"/>
      <c r="AE1615" s="284"/>
      <c r="AF1615" s="284"/>
      <c r="AG1615" s="284"/>
      <c r="AI1615" s="131"/>
    </row>
    <row r="1616" spans="1:35" ht="26.4">
      <c r="A1616" s="284"/>
      <c r="B1616" s="284"/>
      <c r="C1616" s="284"/>
      <c r="D1616" s="284"/>
      <c r="E1616" s="284"/>
      <c r="F1616" s="284"/>
      <c r="G1616" s="284"/>
      <c r="H1616" s="284"/>
      <c r="I1616" s="284"/>
      <c r="J1616" s="375"/>
      <c r="K1616" s="375"/>
      <c r="L1616" s="375"/>
      <c r="M1616" s="368"/>
      <c r="N1616" s="368"/>
      <c r="O1616" s="370"/>
      <c r="T1616" s="349"/>
      <c r="V1616" s="378"/>
      <c r="W1616" s="64" ph="1"/>
      <c r="X1616" s="241"/>
      <c r="Y1616" s="284"/>
      <c r="Z1616" s="207"/>
      <c r="AA1616" s="284"/>
      <c r="AB1616" s="284"/>
      <c r="AC1616" s="284"/>
      <c r="AD1616" s="284"/>
      <c r="AE1616" s="284"/>
      <c r="AF1616" s="284"/>
      <c r="AG1616" s="284"/>
      <c r="AI1616" s="131"/>
    </row>
    <row r="1617" spans="1:35" ht="26.4">
      <c r="A1617" s="284"/>
      <c r="B1617" s="284"/>
      <c r="C1617" s="284"/>
      <c r="D1617" s="284"/>
      <c r="E1617" s="284"/>
      <c r="F1617" s="284"/>
      <c r="G1617" s="284"/>
      <c r="H1617" s="284"/>
      <c r="I1617" s="284"/>
      <c r="J1617" s="375"/>
      <c r="K1617" s="375"/>
      <c r="L1617" s="375"/>
      <c r="M1617" s="368"/>
      <c r="N1617" s="368"/>
      <c r="O1617" s="370"/>
      <c r="T1617" s="349"/>
      <c r="V1617" s="378"/>
      <c r="W1617" s="64" ph="1"/>
      <c r="X1617" s="241"/>
      <c r="Y1617" s="284"/>
      <c r="Z1617" s="207"/>
      <c r="AA1617" s="284"/>
      <c r="AB1617" s="284"/>
      <c r="AC1617" s="284"/>
      <c r="AD1617" s="284"/>
      <c r="AE1617" s="284"/>
      <c r="AF1617" s="284"/>
      <c r="AG1617" s="284"/>
      <c r="AI1617" s="131"/>
    </row>
    <row r="1618" spans="1:35" ht="26.4">
      <c r="A1618" s="284"/>
      <c r="B1618" s="284"/>
      <c r="C1618" s="284"/>
      <c r="D1618" s="284"/>
      <c r="E1618" s="284"/>
      <c r="F1618" s="284"/>
      <c r="G1618" s="284"/>
      <c r="H1618" s="284"/>
      <c r="I1618" s="284"/>
      <c r="J1618" s="375"/>
      <c r="K1618" s="375"/>
      <c r="L1618" s="375"/>
      <c r="M1618" s="368"/>
      <c r="N1618" s="368"/>
      <c r="O1618" s="370"/>
      <c r="T1618" s="349"/>
      <c r="V1618" s="378"/>
      <c r="W1618" s="64" ph="1"/>
      <c r="X1618" s="241"/>
      <c r="Y1618" s="284"/>
      <c r="Z1618" s="207"/>
      <c r="AA1618" s="284"/>
      <c r="AB1618" s="284"/>
      <c r="AC1618" s="284"/>
      <c r="AD1618" s="284"/>
      <c r="AE1618" s="284"/>
      <c r="AF1618" s="284"/>
      <c r="AG1618" s="284"/>
      <c r="AI1618" s="131"/>
    </row>
    <row r="1619" spans="1:35" ht="26.4">
      <c r="A1619" s="284"/>
      <c r="B1619" s="284"/>
      <c r="C1619" s="284"/>
      <c r="D1619" s="284"/>
      <c r="E1619" s="284"/>
      <c r="F1619" s="284"/>
      <c r="G1619" s="284"/>
      <c r="H1619" s="284"/>
      <c r="I1619" s="284"/>
      <c r="J1619" s="375"/>
      <c r="K1619" s="375"/>
      <c r="L1619" s="375"/>
      <c r="M1619" s="368"/>
      <c r="N1619" s="368"/>
      <c r="O1619" s="370"/>
      <c r="T1619" s="349"/>
      <c r="V1619" s="378"/>
      <c r="W1619" s="64" ph="1"/>
      <c r="X1619" s="241"/>
      <c r="Y1619" s="284"/>
      <c r="Z1619" s="207"/>
      <c r="AA1619" s="284"/>
      <c r="AB1619" s="284"/>
      <c r="AC1619" s="284"/>
      <c r="AD1619" s="284"/>
      <c r="AE1619" s="284"/>
      <c r="AF1619" s="284"/>
      <c r="AG1619" s="284"/>
      <c r="AI1619" s="131"/>
    </row>
    <row r="1620" spans="1:35" ht="26.4">
      <c r="A1620" s="284"/>
      <c r="B1620" s="284"/>
      <c r="C1620" s="284"/>
      <c r="D1620" s="284"/>
      <c r="E1620" s="284"/>
      <c r="F1620" s="284"/>
      <c r="G1620" s="284"/>
      <c r="H1620" s="284"/>
      <c r="I1620" s="284"/>
      <c r="J1620" s="375"/>
      <c r="K1620" s="375"/>
      <c r="L1620" s="375"/>
      <c r="M1620" s="368"/>
      <c r="N1620" s="368"/>
      <c r="O1620" s="370"/>
      <c r="T1620" s="349"/>
      <c r="V1620" s="378"/>
      <c r="W1620" s="64" ph="1"/>
      <c r="X1620" s="241"/>
      <c r="Y1620" s="284"/>
      <c r="Z1620" s="207"/>
      <c r="AA1620" s="284"/>
      <c r="AB1620" s="284"/>
      <c r="AC1620" s="284"/>
      <c r="AD1620" s="284"/>
      <c r="AE1620" s="284"/>
      <c r="AF1620" s="284"/>
      <c r="AG1620" s="284"/>
      <c r="AI1620" s="131"/>
    </row>
    <row r="1621" spans="1:35" ht="26.4">
      <c r="A1621" s="284"/>
      <c r="B1621" s="284"/>
      <c r="C1621" s="284"/>
      <c r="D1621" s="284"/>
      <c r="E1621" s="284"/>
      <c r="F1621" s="284"/>
      <c r="G1621" s="284"/>
      <c r="H1621" s="284"/>
      <c r="I1621" s="284"/>
      <c r="J1621" s="375"/>
      <c r="K1621" s="375"/>
      <c r="L1621" s="375"/>
      <c r="M1621" s="368"/>
      <c r="N1621" s="368"/>
      <c r="O1621" s="370"/>
      <c r="T1621" s="349"/>
      <c r="V1621" s="378"/>
      <c r="W1621" s="64" ph="1"/>
      <c r="X1621" s="241"/>
      <c r="Y1621" s="284"/>
      <c r="Z1621" s="207"/>
      <c r="AA1621" s="284"/>
      <c r="AB1621" s="284"/>
      <c r="AC1621" s="284"/>
      <c r="AD1621" s="284"/>
      <c r="AE1621" s="284"/>
      <c r="AF1621" s="284"/>
      <c r="AG1621" s="284"/>
      <c r="AI1621" s="131"/>
    </row>
    <row r="1622" spans="1:35" ht="26.4">
      <c r="A1622" s="284"/>
      <c r="B1622" s="284"/>
      <c r="C1622" s="284"/>
      <c r="D1622" s="284"/>
      <c r="E1622" s="284"/>
      <c r="F1622" s="284"/>
      <c r="G1622" s="284"/>
      <c r="H1622" s="284"/>
      <c r="I1622" s="284"/>
      <c r="J1622" s="375"/>
      <c r="K1622" s="375"/>
      <c r="L1622" s="375"/>
      <c r="M1622" s="368"/>
      <c r="N1622" s="368"/>
      <c r="O1622" s="370"/>
      <c r="T1622" s="349"/>
      <c r="V1622" s="378"/>
      <c r="W1622" s="64" ph="1"/>
      <c r="X1622" s="241"/>
      <c r="Y1622" s="284"/>
      <c r="Z1622" s="207"/>
      <c r="AA1622" s="284"/>
      <c r="AB1622" s="284"/>
      <c r="AC1622" s="284"/>
      <c r="AD1622" s="284"/>
      <c r="AE1622" s="284"/>
      <c r="AF1622" s="284"/>
      <c r="AG1622" s="284"/>
      <c r="AI1622" s="131"/>
    </row>
    <row r="1623" spans="1:35" ht="26.4">
      <c r="A1623" s="284"/>
      <c r="B1623" s="284"/>
      <c r="C1623" s="284"/>
      <c r="D1623" s="284"/>
      <c r="E1623" s="284"/>
      <c r="F1623" s="284"/>
      <c r="G1623" s="284"/>
      <c r="H1623" s="284"/>
      <c r="I1623" s="284"/>
      <c r="J1623" s="375"/>
      <c r="K1623" s="375"/>
      <c r="L1623" s="375"/>
      <c r="M1623" s="368"/>
      <c r="N1623" s="368"/>
      <c r="O1623" s="370"/>
      <c r="T1623" s="349"/>
      <c r="V1623" s="378"/>
      <c r="W1623" s="64" ph="1"/>
      <c r="X1623" s="241"/>
      <c r="Y1623" s="284"/>
      <c r="Z1623" s="207"/>
      <c r="AA1623" s="284"/>
      <c r="AB1623" s="284"/>
      <c r="AC1623" s="284"/>
      <c r="AD1623" s="284"/>
      <c r="AE1623" s="284"/>
      <c r="AF1623" s="284"/>
      <c r="AG1623" s="284"/>
      <c r="AI1623" s="131"/>
    </row>
    <row r="1624" spans="1:35" ht="26.4">
      <c r="A1624" s="284"/>
      <c r="B1624" s="284"/>
      <c r="C1624" s="284"/>
      <c r="D1624" s="284"/>
      <c r="E1624" s="284"/>
      <c r="F1624" s="284"/>
      <c r="G1624" s="284"/>
      <c r="H1624" s="284"/>
      <c r="I1624" s="284"/>
      <c r="J1624" s="375"/>
      <c r="K1624" s="375"/>
      <c r="L1624" s="375"/>
      <c r="M1624" s="368"/>
      <c r="N1624" s="368"/>
      <c r="O1624" s="370"/>
      <c r="T1624" s="349"/>
      <c r="V1624" s="378"/>
      <c r="W1624" s="64" ph="1"/>
      <c r="X1624" s="241"/>
      <c r="Y1624" s="284"/>
      <c r="Z1624" s="207"/>
      <c r="AA1624" s="284"/>
      <c r="AB1624" s="284"/>
      <c r="AC1624" s="284"/>
      <c r="AD1624" s="284"/>
      <c r="AE1624" s="284"/>
      <c r="AF1624" s="284"/>
      <c r="AG1624" s="284"/>
      <c r="AI1624" s="131"/>
    </row>
    <row r="1625" spans="1:35" ht="26.4">
      <c r="A1625" s="284"/>
      <c r="B1625" s="284"/>
      <c r="C1625" s="284"/>
      <c r="D1625" s="284"/>
      <c r="E1625" s="284"/>
      <c r="F1625" s="284"/>
      <c r="G1625" s="284"/>
      <c r="H1625" s="284"/>
      <c r="I1625" s="284"/>
      <c r="J1625" s="375"/>
      <c r="K1625" s="375"/>
      <c r="L1625" s="375"/>
      <c r="M1625" s="368"/>
      <c r="N1625" s="368"/>
      <c r="O1625" s="370"/>
      <c r="T1625" s="349"/>
      <c r="V1625" s="378"/>
      <c r="W1625" s="64" ph="1"/>
      <c r="X1625" s="241"/>
      <c r="Y1625" s="284"/>
      <c r="Z1625" s="207"/>
      <c r="AA1625" s="284"/>
      <c r="AB1625" s="284"/>
      <c r="AC1625" s="284"/>
      <c r="AD1625" s="284"/>
      <c r="AE1625" s="284"/>
      <c r="AF1625" s="284"/>
      <c r="AG1625" s="284"/>
      <c r="AI1625" s="131"/>
    </row>
    <row r="1626" spans="1:35" ht="26.4">
      <c r="A1626" s="284"/>
      <c r="B1626" s="284"/>
      <c r="C1626" s="284"/>
      <c r="D1626" s="284"/>
      <c r="E1626" s="284"/>
      <c r="F1626" s="284"/>
      <c r="G1626" s="284"/>
      <c r="H1626" s="284"/>
      <c r="I1626" s="284"/>
      <c r="J1626" s="375"/>
      <c r="K1626" s="375"/>
      <c r="L1626" s="375"/>
      <c r="M1626" s="368"/>
      <c r="N1626" s="368"/>
      <c r="O1626" s="370"/>
      <c r="T1626" s="349"/>
      <c r="V1626" s="378"/>
      <c r="W1626" s="64" ph="1"/>
      <c r="X1626" s="241"/>
      <c r="Y1626" s="284"/>
      <c r="Z1626" s="207"/>
      <c r="AA1626" s="284"/>
      <c r="AB1626" s="284"/>
      <c r="AC1626" s="284"/>
      <c r="AD1626" s="284"/>
      <c r="AE1626" s="284"/>
      <c r="AF1626" s="284"/>
      <c r="AG1626" s="284"/>
      <c r="AI1626" s="284"/>
    </row>
    <row r="1627" spans="1:35" ht="26.4">
      <c r="A1627" s="284"/>
      <c r="B1627" s="284"/>
      <c r="C1627" s="284"/>
      <c r="D1627" s="284"/>
      <c r="E1627" s="284"/>
      <c r="F1627" s="284"/>
      <c r="G1627" s="284"/>
      <c r="H1627" s="284"/>
      <c r="I1627" s="284"/>
      <c r="J1627" s="375"/>
      <c r="K1627" s="375"/>
      <c r="L1627" s="375"/>
      <c r="M1627" s="368"/>
      <c r="N1627" s="368"/>
      <c r="O1627" s="370"/>
      <c r="T1627" s="349"/>
      <c r="V1627" s="378"/>
      <c r="W1627" s="64" ph="1"/>
      <c r="X1627" s="241"/>
      <c r="Y1627" s="284"/>
      <c r="Z1627" s="207"/>
      <c r="AA1627" s="284"/>
      <c r="AB1627" s="284"/>
      <c r="AC1627" s="284"/>
      <c r="AD1627" s="284"/>
      <c r="AE1627" s="284"/>
      <c r="AF1627" s="284"/>
      <c r="AG1627" s="284"/>
      <c r="AI1627" s="284"/>
    </row>
    <row r="1628" spans="1:35" ht="26.4">
      <c r="A1628" s="284"/>
      <c r="B1628" s="284"/>
      <c r="C1628" s="284"/>
      <c r="D1628" s="284"/>
      <c r="E1628" s="284"/>
      <c r="F1628" s="284"/>
      <c r="G1628" s="284"/>
      <c r="H1628" s="284"/>
      <c r="I1628" s="284"/>
      <c r="J1628" s="375"/>
      <c r="K1628" s="375"/>
      <c r="L1628" s="375"/>
      <c r="M1628" s="368"/>
      <c r="N1628" s="368"/>
      <c r="O1628" s="370"/>
      <c r="T1628" s="349"/>
      <c r="V1628" s="378"/>
      <c r="W1628" s="64" ph="1"/>
      <c r="X1628" s="241"/>
      <c r="Y1628" s="284"/>
      <c r="Z1628" s="207"/>
      <c r="AA1628" s="284"/>
      <c r="AB1628" s="284"/>
      <c r="AC1628" s="284"/>
      <c r="AD1628" s="284"/>
      <c r="AE1628" s="284"/>
      <c r="AF1628" s="284"/>
      <c r="AG1628" s="284"/>
      <c r="AI1628" s="131"/>
    </row>
    <row r="1629" spans="1:35" ht="26.4">
      <c r="A1629" s="284"/>
      <c r="B1629" s="284"/>
      <c r="C1629" s="284"/>
      <c r="D1629" s="284"/>
      <c r="E1629" s="284"/>
      <c r="F1629" s="284"/>
      <c r="G1629" s="284"/>
      <c r="H1629" s="284"/>
      <c r="I1629" s="284"/>
      <c r="J1629" s="375"/>
      <c r="K1629" s="375"/>
      <c r="L1629" s="375"/>
      <c r="M1629" s="368"/>
      <c r="N1629" s="368"/>
      <c r="O1629" s="370"/>
      <c r="T1629" s="349"/>
      <c r="V1629" s="378"/>
      <c r="W1629" s="64" ph="1"/>
      <c r="X1629" s="241"/>
      <c r="Y1629" s="284"/>
      <c r="Z1629" s="207"/>
      <c r="AA1629" s="284"/>
      <c r="AB1629" s="284"/>
      <c r="AC1629" s="284"/>
      <c r="AD1629" s="284"/>
      <c r="AE1629" s="284"/>
      <c r="AF1629" s="284"/>
      <c r="AG1629" s="284"/>
      <c r="AI1629" s="131"/>
    </row>
    <row r="1630" spans="1:35" ht="26.4">
      <c r="A1630" s="284"/>
      <c r="B1630" s="284"/>
      <c r="C1630" s="284"/>
      <c r="D1630" s="284"/>
      <c r="E1630" s="284"/>
      <c r="F1630" s="284"/>
      <c r="G1630" s="284"/>
      <c r="H1630" s="284"/>
      <c r="I1630" s="284"/>
      <c r="J1630" s="375"/>
      <c r="K1630" s="375"/>
      <c r="L1630" s="375"/>
      <c r="M1630" s="368"/>
      <c r="N1630" s="368"/>
      <c r="O1630" s="370"/>
      <c r="T1630" s="349"/>
      <c r="V1630" s="378"/>
      <c r="W1630" s="64" ph="1"/>
      <c r="X1630" s="241"/>
      <c r="Y1630" s="284"/>
      <c r="Z1630" s="207"/>
      <c r="AA1630" s="284"/>
      <c r="AB1630" s="284"/>
      <c r="AC1630" s="284"/>
      <c r="AD1630" s="284"/>
      <c r="AE1630" s="284"/>
      <c r="AF1630" s="284"/>
      <c r="AG1630" s="284"/>
      <c r="AI1630" s="131"/>
    </row>
    <row r="1631" spans="1:35" ht="26.4">
      <c r="A1631" s="284"/>
      <c r="B1631" s="284"/>
      <c r="C1631" s="284"/>
      <c r="D1631" s="284"/>
      <c r="E1631" s="284"/>
      <c r="F1631" s="284"/>
      <c r="G1631" s="284"/>
      <c r="H1631" s="284"/>
      <c r="I1631" s="284"/>
      <c r="J1631" s="375"/>
      <c r="K1631" s="375"/>
      <c r="L1631" s="375"/>
      <c r="M1631" s="368"/>
      <c r="N1631" s="368"/>
      <c r="O1631" s="370"/>
      <c r="T1631" s="349"/>
      <c r="V1631" s="378"/>
      <c r="W1631" s="64" ph="1"/>
      <c r="X1631" s="241"/>
      <c r="Y1631" s="284"/>
      <c r="Z1631" s="207"/>
      <c r="AA1631" s="284"/>
      <c r="AB1631" s="284"/>
      <c r="AC1631" s="284"/>
      <c r="AD1631" s="284"/>
      <c r="AE1631" s="284"/>
      <c r="AF1631" s="284"/>
      <c r="AG1631" s="284"/>
      <c r="AI1631" s="131"/>
    </row>
    <row r="1632" spans="1:35" ht="26.4">
      <c r="A1632" s="284"/>
      <c r="B1632" s="284"/>
      <c r="C1632" s="284"/>
      <c r="D1632" s="284"/>
      <c r="E1632" s="284"/>
      <c r="F1632" s="284"/>
      <c r="G1632" s="284"/>
      <c r="H1632" s="284"/>
      <c r="I1632" s="284"/>
      <c r="J1632" s="375"/>
      <c r="K1632" s="375"/>
      <c r="L1632" s="375"/>
      <c r="M1632" s="368"/>
      <c r="N1632" s="368"/>
      <c r="O1632" s="370"/>
      <c r="T1632" s="349"/>
      <c r="V1632" s="378"/>
      <c r="W1632" s="64" ph="1"/>
      <c r="X1632" s="241"/>
      <c r="Y1632" s="284"/>
      <c r="Z1632" s="207"/>
      <c r="AA1632" s="284"/>
      <c r="AB1632" s="284"/>
      <c r="AC1632" s="284"/>
      <c r="AD1632" s="284"/>
      <c r="AE1632" s="284"/>
      <c r="AF1632" s="284"/>
      <c r="AG1632" s="284"/>
      <c r="AI1632" s="131"/>
    </row>
    <row r="1633" spans="1:35" ht="26.4">
      <c r="A1633" s="284"/>
      <c r="B1633" s="284"/>
      <c r="C1633" s="284"/>
      <c r="D1633" s="284"/>
      <c r="E1633" s="284"/>
      <c r="F1633" s="284"/>
      <c r="G1633" s="284"/>
      <c r="H1633" s="284"/>
      <c r="I1633" s="284"/>
      <c r="J1633" s="375"/>
      <c r="K1633" s="375"/>
      <c r="L1633" s="375"/>
      <c r="M1633" s="368"/>
      <c r="N1633" s="368"/>
      <c r="O1633" s="370"/>
      <c r="T1633" s="349"/>
      <c r="V1633" s="378"/>
      <c r="W1633" s="64" ph="1"/>
      <c r="X1633" s="241"/>
      <c r="Y1633" s="284"/>
      <c r="Z1633" s="207"/>
      <c r="AA1633" s="284"/>
      <c r="AB1633" s="284"/>
      <c r="AC1633" s="284"/>
      <c r="AD1633" s="284"/>
      <c r="AE1633" s="284"/>
      <c r="AF1633" s="284"/>
      <c r="AG1633" s="284"/>
      <c r="AI1633" s="131"/>
    </row>
    <row r="1634" spans="1:35" ht="26.4">
      <c r="A1634" s="284"/>
      <c r="B1634" s="284"/>
      <c r="C1634" s="284"/>
      <c r="D1634" s="284"/>
      <c r="E1634" s="284"/>
      <c r="F1634" s="284"/>
      <c r="G1634" s="284"/>
      <c r="H1634" s="284"/>
      <c r="I1634" s="284"/>
      <c r="J1634" s="375"/>
      <c r="K1634" s="375"/>
      <c r="L1634" s="375"/>
      <c r="M1634" s="368"/>
      <c r="N1634" s="368"/>
      <c r="O1634" s="370"/>
      <c r="T1634" s="349"/>
      <c r="V1634" s="378"/>
      <c r="W1634" s="64" ph="1"/>
      <c r="X1634" s="241"/>
      <c r="Y1634" s="284"/>
      <c r="Z1634" s="207"/>
      <c r="AA1634" s="284"/>
      <c r="AB1634" s="284"/>
      <c r="AC1634" s="284"/>
      <c r="AD1634" s="284"/>
      <c r="AE1634" s="284"/>
      <c r="AF1634" s="284"/>
      <c r="AG1634" s="284"/>
      <c r="AI1634" s="131"/>
    </row>
    <row r="1635" spans="1:35" ht="26.4">
      <c r="A1635" s="284"/>
      <c r="B1635" s="284"/>
      <c r="C1635" s="284"/>
      <c r="D1635" s="284"/>
      <c r="E1635" s="284"/>
      <c r="F1635" s="284"/>
      <c r="G1635" s="284"/>
      <c r="H1635" s="284"/>
      <c r="I1635" s="284"/>
      <c r="J1635" s="375"/>
      <c r="K1635" s="375"/>
      <c r="L1635" s="375"/>
      <c r="M1635" s="368"/>
      <c r="N1635" s="368"/>
      <c r="O1635" s="370"/>
      <c r="T1635" s="349"/>
      <c r="V1635" s="378"/>
      <c r="W1635" s="64" ph="1"/>
      <c r="X1635" s="241"/>
      <c r="Y1635" s="284"/>
      <c r="Z1635" s="207"/>
      <c r="AA1635" s="284"/>
      <c r="AB1635" s="284"/>
      <c r="AC1635" s="284"/>
      <c r="AD1635" s="284"/>
      <c r="AE1635" s="284"/>
      <c r="AF1635" s="284"/>
      <c r="AG1635" s="284"/>
      <c r="AI1635" s="131"/>
    </row>
    <row r="1636" spans="1:35" ht="26.4">
      <c r="A1636" s="284"/>
      <c r="B1636" s="284"/>
      <c r="C1636" s="284"/>
      <c r="D1636" s="284"/>
      <c r="E1636" s="284"/>
      <c r="F1636" s="284"/>
      <c r="G1636" s="284"/>
      <c r="H1636" s="284"/>
      <c r="I1636" s="284"/>
      <c r="J1636" s="375"/>
      <c r="K1636" s="375"/>
      <c r="L1636" s="375"/>
      <c r="M1636" s="368"/>
      <c r="N1636" s="368"/>
      <c r="O1636" s="370"/>
      <c r="T1636" s="349"/>
      <c r="V1636" s="378"/>
      <c r="W1636" s="64" ph="1"/>
      <c r="X1636" s="241"/>
      <c r="Y1636" s="284"/>
      <c r="Z1636" s="207"/>
      <c r="AA1636" s="284"/>
      <c r="AB1636" s="284"/>
      <c r="AC1636" s="284"/>
      <c r="AD1636" s="284"/>
      <c r="AE1636" s="284"/>
      <c r="AF1636" s="284"/>
      <c r="AG1636" s="284"/>
      <c r="AI1636" s="284"/>
    </row>
    <row r="1637" spans="1:35" ht="26.4">
      <c r="A1637" s="284"/>
      <c r="B1637" s="284"/>
      <c r="C1637" s="284"/>
      <c r="D1637" s="284"/>
      <c r="E1637" s="284"/>
      <c r="F1637" s="284"/>
      <c r="G1637" s="284"/>
      <c r="H1637" s="284"/>
      <c r="I1637" s="284"/>
      <c r="J1637" s="375"/>
      <c r="K1637" s="375"/>
      <c r="L1637" s="375"/>
      <c r="M1637" s="368"/>
      <c r="N1637" s="368"/>
      <c r="O1637" s="370"/>
      <c r="T1637" s="349"/>
      <c r="V1637" s="378"/>
      <c r="W1637" s="64" ph="1"/>
      <c r="X1637" s="241"/>
      <c r="Y1637" s="284"/>
      <c r="Z1637" s="207"/>
      <c r="AA1637" s="284"/>
      <c r="AB1637" s="284"/>
      <c r="AC1637" s="284"/>
      <c r="AD1637" s="284"/>
      <c r="AE1637" s="284"/>
      <c r="AF1637" s="284"/>
      <c r="AG1637" s="284"/>
      <c r="AI1637" s="131"/>
    </row>
    <row r="1638" spans="1:35" ht="26.4">
      <c r="A1638" s="284"/>
      <c r="B1638" s="284"/>
      <c r="C1638" s="284"/>
      <c r="D1638" s="284"/>
      <c r="E1638" s="284"/>
      <c r="F1638" s="284"/>
      <c r="G1638" s="284"/>
      <c r="H1638" s="284"/>
      <c r="I1638" s="284"/>
      <c r="J1638" s="375"/>
      <c r="K1638" s="375"/>
      <c r="L1638" s="375"/>
      <c r="M1638" s="368"/>
      <c r="N1638" s="368"/>
      <c r="O1638" s="370"/>
      <c r="T1638" s="349"/>
      <c r="V1638" s="378"/>
      <c r="W1638" s="64" ph="1"/>
      <c r="X1638" s="241"/>
      <c r="Y1638" s="284"/>
      <c r="Z1638" s="207"/>
      <c r="AA1638" s="284"/>
      <c r="AB1638" s="284"/>
      <c r="AC1638" s="284"/>
      <c r="AD1638" s="284"/>
      <c r="AE1638" s="284"/>
      <c r="AF1638" s="284"/>
      <c r="AG1638" s="284"/>
      <c r="AI1638" s="131"/>
    </row>
    <row r="1639" spans="1:35" ht="26.4">
      <c r="A1639" s="284"/>
      <c r="B1639" s="284"/>
      <c r="C1639" s="284"/>
      <c r="D1639" s="284"/>
      <c r="E1639" s="284"/>
      <c r="F1639" s="284"/>
      <c r="G1639" s="284"/>
      <c r="H1639" s="284"/>
      <c r="I1639" s="284"/>
      <c r="J1639" s="375"/>
      <c r="K1639" s="375"/>
      <c r="L1639" s="375"/>
      <c r="M1639" s="368"/>
      <c r="N1639" s="368"/>
      <c r="O1639" s="370"/>
      <c r="T1639" s="349"/>
      <c r="V1639" s="378"/>
      <c r="W1639" s="64" ph="1"/>
      <c r="X1639" s="241"/>
      <c r="Y1639" s="284"/>
      <c r="Z1639" s="207"/>
      <c r="AA1639" s="284"/>
      <c r="AB1639" s="284"/>
      <c r="AC1639" s="284"/>
      <c r="AD1639" s="284"/>
      <c r="AE1639" s="284"/>
      <c r="AF1639" s="284"/>
      <c r="AG1639" s="284"/>
      <c r="AI1639" s="131"/>
    </row>
    <row r="1640" spans="1:35" ht="26.4">
      <c r="A1640" s="284"/>
      <c r="B1640" s="284"/>
      <c r="C1640" s="284"/>
      <c r="D1640" s="284"/>
      <c r="E1640" s="284"/>
      <c r="F1640" s="284"/>
      <c r="G1640" s="284"/>
      <c r="H1640" s="284"/>
      <c r="I1640" s="284"/>
      <c r="J1640" s="375"/>
      <c r="K1640" s="375"/>
      <c r="L1640" s="375"/>
      <c r="M1640" s="368"/>
      <c r="N1640" s="368"/>
      <c r="O1640" s="370"/>
      <c r="T1640" s="349"/>
      <c r="V1640" s="378"/>
      <c r="W1640" s="64" ph="1"/>
      <c r="X1640" s="241"/>
      <c r="Y1640" s="284"/>
      <c r="Z1640" s="207"/>
      <c r="AA1640" s="284"/>
      <c r="AB1640" s="284"/>
      <c r="AC1640" s="284"/>
      <c r="AD1640" s="284"/>
      <c r="AE1640" s="284"/>
      <c r="AF1640" s="284"/>
      <c r="AG1640" s="284"/>
      <c r="AI1640" s="131"/>
    </row>
    <row r="1641" spans="1:35" ht="26.4">
      <c r="A1641" s="284"/>
      <c r="B1641" s="284"/>
      <c r="C1641" s="284"/>
      <c r="D1641" s="284"/>
      <c r="E1641" s="284"/>
      <c r="F1641" s="284"/>
      <c r="G1641" s="284"/>
      <c r="H1641" s="284"/>
      <c r="I1641" s="284"/>
      <c r="J1641" s="375"/>
      <c r="K1641" s="375"/>
      <c r="L1641" s="375"/>
      <c r="M1641" s="368"/>
      <c r="N1641" s="368"/>
      <c r="O1641" s="370"/>
      <c r="T1641" s="349"/>
      <c r="V1641" s="378"/>
      <c r="W1641" s="64" ph="1"/>
      <c r="X1641" s="241"/>
      <c r="Y1641" s="284"/>
      <c r="Z1641" s="207"/>
      <c r="AA1641" s="284"/>
      <c r="AB1641" s="284"/>
      <c r="AC1641" s="284"/>
      <c r="AD1641" s="284"/>
      <c r="AE1641" s="284"/>
      <c r="AF1641" s="284"/>
      <c r="AG1641" s="284"/>
      <c r="AI1641" s="131"/>
    </row>
    <row r="1642" spans="1:35" ht="26.4">
      <c r="A1642" s="284"/>
      <c r="B1642" s="284"/>
      <c r="C1642" s="284"/>
      <c r="D1642" s="284"/>
      <c r="E1642" s="284"/>
      <c r="F1642" s="284"/>
      <c r="G1642" s="284"/>
      <c r="H1642" s="284"/>
      <c r="I1642" s="284"/>
      <c r="J1642" s="375"/>
      <c r="K1642" s="375"/>
      <c r="L1642" s="375"/>
      <c r="M1642" s="368"/>
      <c r="N1642" s="368"/>
      <c r="O1642" s="370"/>
      <c r="T1642" s="349"/>
      <c r="V1642" s="378"/>
      <c r="W1642" s="64" ph="1"/>
      <c r="X1642" s="241"/>
      <c r="Y1642" s="284"/>
      <c r="Z1642" s="207"/>
      <c r="AA1642" s="284"/>
      <c r="AB1642" s="284"/>
      <c r="AC1642" s="284"/>
      <c r="AD1642" s="284"/>
      <c r="AE1642" s="284"/>
      <c r="AF1642" s="284"/>
      <c r="AG1642" s="284"/>
      <c r="AI1642" s="131"/>
    </row>
    <row r="1643" spans="1:35" ht="26.4">
      <c r="A1643" s="284"/>
      <c r="B1643" s="284"/>
      <c r="C1643" s="284"/>
      <c r="D1643" s="284"/>
      <c r="E1643" s="284"/>
      <c r="F1643" s="284"/>
      <c r="G1643" s="284"/>
      <c r="H1643" s="284"/>
      <c r="I1643" s="284"/>
      <c r="J1643" s="375"/>
      <c r="K1643" s="375"/>
      <c r="L1643" s="375"/>
      <c r="M1643" s="368"/>
      <c r="N1643" s="368"/>
      <c r="O1643" s="370"/>
      <c r="T1643" s="349"/>
      <c r="V1643" s="378"/>
      <c r="W1643" s="64" ph="1"/>
      <c r="X1643" s="241"/>
      <c r="Y1643" s="284"/>
      <c r="Z1643" s="207"/>
      <c r="AA1643" s="284"/>
      <c r="AB1643" s="284"/>
      <c r="AC1643" s="284"/>
      <c r="AD1643" s="284"/>
      <c r="AE1643" s="284"/>
      <c r="AF1643" s="284"/>
      <c r="AG1643" s="284"/>
      <c r="AI1643" s="131"/>
    </row>
    <row r="1644" spans="1:35" ht="26.4">
      <c r="A1644" s="284"/>
      <c r="B1644" s="284"/>
      <c r="C1644" s="284"/>
      <c r="D1644" s="284"/>
      <c r="E1644" s="284"/>
      <c r="F1644" s="284"/>
      <c r="G1644" s="284"/>
      <c r="H1644" s="284"/>
      <c r="I1644" s="284"/>
      <c r="J1644" s="375"/>
      <c r="K1644" s="375"/>
      <c r="L1644" s="375"/>
      <c r="M1644" s="368"/>
      <c r="N1644" s="368"/>
      <c r="O1644" s="370"/>
      <c r="T1644" s="349"/>
      <c r="V1644" s="378"/>
      <c r="W1644" s="64" ph="1"/>
      <c r="X1644" s="241"/>
      <c r="Y1644" s="284"/>
      <c r="Z1644" s="207"/>
      <c r="AA1644" s="284"/>
      <c r="AB1644" s="284"/>
      <c r="AC1644" s="284"/>
      <c r="AD1644" s="284"/>
      <c r="AE1644" s="284"/>
      <c r="AF1644" s="284"/>
      <c r="AG1644" s="284"/>
      <c r="AI1644" s="131"/>
    </row>
    <row r="1645" spans="1:35" ht="26.4">
      <c r="A1645" s="284"/>
      <c r="B1645" s="284"/>
      <c r="C1645" s="284"/>
      <c r="D1645" s="284"/>
      <c r="E1645" s="284"/>
      <c r="F1645" s="284"/>
      <c r="G1645" s="284"/>
      <c r="H1645" s="284"/>
      <c r="I1645" s="284"/>
      <c r="J1645" s="375"/>
      <c r="K1645" s="375"/>
      <c r="L1645" s="375"/>
      <c r="M1645" s="368"/>
      <c r="N1645" s="368"/>
      <c r="O1645" s="370"/>
      <c r="T1645" s="349"/>
      <c r="V1645" s="378"/>
      <c r="W1645" s="64" ph="1"/>
      <c r="X1645" s="241"/>
      <c r="Y1645" s="284"/>
      <c r="Z1645" s="207"/>
      <c r="AA1645" s="284"/>
      <c r="AB1645" s="284"/>
      <c r="AC1645" s="284"/>
      <c r="AD1645" s="284"/>
      <c r="AE1645" s="284"/>
      <c r="AF1645" s="284"/>
      <c r="AG1645" s="284"/>
      <c r="AI1645" s="131"/>
    </row>
    <row r="1646" spans="1:35" ht="26.4">
      <c r="A1646" s="284"/>
      <c r="B1646" s="284"/>
      <c r="C1646" s="284"/>
      <c r="D1646" s="284"/>
      <c r="E1646" s="284"/>
      <c r="F1646" s="284"/>
      <c r="G1646" s="284"/>
      <c r="H1646" s="284"/>
      <c r="I1646" s="284"/>
      <c r="J1646" s="375"/>
      <c r="K1646" s="375"/>
      <c r="L1646" s="375"/>
      <c r="M1646" s="368"/>
      <c r="N1646" s="368"/>
      <c r="O1646" s="370"/>
      <c r="T1646" s="349"/>
      <c r="V1646" s="378"/>
      <c r="W1646" s="64" ph="1"/>
      <c r="X1646" s="241"/>
      <c r="Y1646" s="284"/>
      <c r="Z1646" s="207"/>
      <c r="AA1646" s="284"/>
      <c r="AB1646" s="284"/>
      <c r="AC1646" s="284"/>
      <c r="AD1646" s="284"/>
      <c r="AE1646" s="284"/>
      <c r="AF1646" s="284"/>
      <c r="AG1646" s="284"/>
      <c r="AI1646" s="284"/>
    </row>
    <row r="1647" spans="1:35" ht="26.4">
      <c r="A1647" s="284"/>
      <c r="B1647" s="284"/>
      <c r="C1647" s="284"/>
      <c r="D1647" s="284"/>
      <c r="E1647" s="284"/>
      <c r="F1647" s="284"/>
      <c r="G1647" s="284"/>
      <c r="H1647" s="284"/>
      <c r="I1647" s="284"/>
      <c r="J1647" s="375"/>
      <c r="K1647" s="375"/>
      <c r="L1647" s="375"/>
      <c r="M1647" s="368"/>
      <c r="N1647" s="368"/>
      <c r="O1647" s="370"/>
      <c r="T1647" s="349"/>
      <c r="V1647" s="378"/>
      <c r="W1647" s="64" ph="1"/>
      <c r="X1647" s="241"/>
      <c r="Y1647" s="284"/>
      <c r="Z1647" s="207"/>
      <c r="AA1647" s="284"/>
      <c r="AB1647" s="284"/>
      <c r="AC1647" s="284"/>
      <c r="AD1647" s="284"/>
      <c r="AE1647" s="284"/>
      <c r="AF1647" s="284"/>
      <c r="AG1647" s="284"/>
      <c r="AI1647" s="131"/>
    </row>
    <row r="1648" spans="1:35" ht="26.4">
      <c r="A1648" s="284"/>
      <c r="B1648" s="284"/>
      <c r="C1648" s="284"/>
      <c r="D1648" s="284"/>
      <c r="E1648" s="284"/>
      <c r="F1648" s="284"/>
      <c r="G1648" s="284"/>
      <c r="H1648" s="284"/>
      <c r="I1648" s="284"/>
      <c r="J1648" s="375"/>
      <c r="K1648" s="375"/>
      <c r="L1648" s="375"/>
      <c r="M1648" s="368"/>
      <c r="N1648" s="368"/>
      <c r="O1648" s="370"/>
      <c r="T1648" s="349"/>
      <c r="V1648" s="378"/>
      <c r="W1648" s="64" ph="1"/>
      <c r="X1648" s="241"/>
      <c r="Y1648" s="284"/>
      <c r="Z1648" s="207"/>
      <c r="AA1648" s="284"/>
      <c r="AB1648" s="284"/>
      <c r="AC1648" s="284"/>
      <c r="AD1648" s="284"/>
      <c r="AE1648" s="284"/>
      <c r="AF1648" s="284"/>
      <c r="AG1648" s="284"/>
      <c r="AI1648" s="131"/>
    </row>
    <row r="1649" spans="1:35" ht="26.4">
      <c r="A1649" s="284"/>
      <c r="B1649" s="284"/>
      <c r="C1649" s="284"/>
      <c r="D1649" s="284"/>
      <c r="E1649" s="284"/>
      <c r="F1649" s="284"/>
      <c r="G1649" s="284"/>
      <c r="H1649" s="284"/>
      <c r="I1649" s="284"/>
      <c r="J1649" s="375"/>
      <c r="K1649" s="375"/>
      <c r="L1649" s="375"/>
      <c r="M1649" s="368"/>
      <c r="N1649" s="368"/>
      <c r="O1649" s="370"/>
      <c r="T1649" s="349"/>
      <c r="V1649" s="378"/>
      <c r="W1649" s="64" ph="1"/>
      <c r="X1649" s="241"/>
      <c r="Y1649" s="284"/>
      <c r="Z1649" s="207"/>
      <c r="AA1649" s="284"/>
      <c r="AB1649" s="284"/>
      <c r="AC1649" s="284"/>
      <c r="AD1649" s="284"/>
      <c r="AE1649" s="284"/>
      <c r="AF1649" s="284"/>
      <c r="AG1649" s="284"/>
      <c r="AI1649" s="131"/>
    </row>
    <row r="1650" spans="1:35" ht="26.4">
      <c r="A1650" s="284"/>
      <c r="B1650" s="284"/>
      <c r="C1650" s="284"/>
      <c r="D1650" s="284"/>
      <c r="E1650" s="284"/>
      <c r="F1650" s="284"/>
      <c r="G1650" s="284"/>
      <c r="H1650" s="284"/>
      <c r="I1650" s="284"/>
      <c r="J1650" s="375"/>
      <c r="K1650" s="375"/>
      <c r="L1650" s="375"/>
      <c r="M1650" s="368"/>
      <c r="N1650" s="368"/>
      <c r="O1650" s="370"/>
      <c r="T1650" s="349"/>
      <c r="V1650" s="378"/>
      <c r="W1650" s="64" ph="1"/>
      <c r="X1650" s="241"/>
      <c r="Y1650" s="284"/>
      <c r="Z1650" s="207"/>
      <c r="AA1650" s="284"/>
      <c r="AB1650" s="284"/>
      <c r="AC1650" s="284"/>
      <c r="AD1650" s="284"/>
      <c r="AE1650" s="284"/>
      <c r="AF1650" s="284"/>
      <c r="AG1650" s="284"/>
      <c r="AI1650" s="284"/>
    </row>
    <row r="1651" spans="1:35" ht="26.4">
      <c r="A1651" s="284"/>
      <c r="B1651" s="284"/>
      <c r="C1651" s="284"/>
      <c r="D1651" s="284"/>
      <c r="E1651" s="284"/>
      <c r="F1651" s="284"/>
      <c r="G1651" s="284"/>
      <c r="H1651" s="284"/>
      <c r="I1651" s="284"/>
      <c r="J1651" s="375"/>
      <c r="K1651" s="375"/>
      <c r="L1651" s="375"/>
      <c r="M1651" s="368"/>
      <c r="N1651" s="368"/>
      <c r="O1651" s="370"/>
      <c r="T1651" s="349"/>
      <c r="V1651" s="378"/>
      <c r="W1651" s="64" ph="1"/>
      <c r="X1651" s="241"/>
      <c r="Y1651" s="284"/>
      <c r="Z1651" s="207"/>
      <c r="AA1651" s="284"/>
      <c r="AB1651" s="284"/>
      <c r="AC1651" s="284"/>
      <c r="AD1651" s="284"/>
      <c r="AE1651" s="284"/>
      <c r="AF1651" s="284"/>
      <c r="AG1651" s="284"/>
      <c r="AI1651" s="131"/>
    </row>
    <row r="1652" spans="1:35" ht="26.4">
      <c r="A1652" s="284"/>
      <c r="B1652" s="284"/>
      <c r="C1652" s="284"/>
      <c r="D1652" s="284"/>
      <c r="E1652" s="284"/>
      <c r="F1652" s="284"/>
      <c r="G1652" s="284"/>
      <c r="H1652" s="284"/>
      <c r="I1652" s="284"/>
      <c r="J1652" s="375"/>
      <c r="K1652" s="375"/>
      <c r="L1652" s="375"/>
      <c r="M1652" s="368"/>
      <c r="N1652" s="368"/>
      <c r="O1652" s="370"/>
      <c r="T1652" s="349"/>
      <c r="V1652" s="378"/>
      <c r="W1652" s="64" ph="1"/>
      <c r="X1652" s="241"/>
      <c r="Y1652" s="284"/>
      <c r="Z1652" s="207"/>
      <c r="AA1652" s="284"/>
      <c r="AB1652" s="284"/>
      <c r="AC1652" s="284"/>
      <c r="AD1652" s="284"/>
      <c r="AE1652" s="284"/>
      <c r="AF1652" s="284"/>
      <c r="AG1652" s="284"/>
      <c r="AI1652" s="131"/>
    </row>
    <row r="1653" spans="1:35" ht="26.4">
      <c r="A1653" s="284"/>
      <c r="B1653" s="284"/>
      <c r="C1653" s="284"/>
      <c r="D1653" s="284"/>
      <c r="E1653" s="284"/>
      <c r="F1653" s="284"/>
      <c r="G1653" s="284"/>
      <c r="H1653" s="284"/>
      <c r="I1653" s="284"/>
      <c r="J1653" s="375"/>
      <c r="K1653" s="375"/>
      <c r="L1653" s="375"/>
      <c r="M1653" s="368"/>
      <c r="N1653" s="368"/>
      <c r="O1653" s="370"/>
      <c r="T1653" s="349"/>
      <c r="V1653" s="378"/>
      <c r="W1653" s="64" ph="1"/>
      <c r="X1653" s="241"/>
      <c r="Y1653" s="284"/>
      <c r="Z1653" s="207"/>
      <c r="AA1653" s="284"/>
      <c r="AB1653" s="284"/>
      <c r="AC1653" s="284"/>
      <c r="AD1653" s="284"/>
      <c r="AE1653" s="284"/>
      <c r="AF1653" s="284"/>
      <c r="AG1653" s="284"/>
      <c r="AI1653" s="131"/>
    </row>
    <row r="1654" spans="1:35" ht="26.4">
      <c r="A1654" s="284"/>
      <c r="B1654" s="284"/>
      <c r="C1654" s="284"/>
      <c r="D1654" s="284"/>
      <c r="E1654" s="284"/>
      <c r="F1654" s="284"/>
      <c r="G1654" s="284"/>
      <c r="H1654" s="284"/>
      <c r="I1654" s="284"/>
      <c r="J1654" s="375"/>
      <c r="K1654" s="375"/>
      <c r="L1654" s="375"/>
      <c r="M1654" s="368"/>
      <c r="N1654" s="368"/>
      <c r="O1654" s="370"/>
      <c r="T1654" s="349"/>
      <c r="V1654" s="378"/>
      <c r="W1654" s="64" ph="1"/>
      <c r="X1654" s="241"/>
      <c r="Y1654" s="284"/>
      <c r="Z1654" s="207"/>
      <c r="AA1654" s="284"/>
      <c r="AB1654" s="284"/>
      <c r="AC1654" s="284"/>
      <c r="AD1654" s="284"/>
      <c r="AE1654" s="284"/>
      <c r="AF1654" s="284"/>
      <c r="AG1654" s="284"/>
      <c r="AI1654" s="131"/>
    </row>
    <row r="1655" spans="1:35" ht="26.4">
      <c r="A1655" s="284"/>
      <c r="B1655" s="284"/>
      <c r="C1655" s="284"/>
      <c r="D1655" s="284"/>
      <c r="E1655" s="284"/>
      <c r="F1655" s="284"/>
      <c r="G1655" s="284"/>
      <c r="H1655" s="284"/>
      <c r="I1655" s="284"/>
      <c r="J1655" s="375"/>
      <c r="K1655" s="375"/>
      <c r="L1655" s="375"/>
      <c r="M1655" s="368"/>
      <c r="N1655" s="368"/>
      <c r="O1655" s="370"/>
      <c r="T1655" s="349"/>
      <c r="V1655" s="378"/>
      <c r="W1655" s="64" ph="1"/>
      <c r="X1655" s="241"/>
      <c r="Y1655" s="284"/>
      <c r="Z1655" s="207"/>
      <c r="AA1655" s="284"/>
      <c r="AB1655" s="284"/>
      <c r="AC1655" s="284"/>
      <c r="AD1655" s="284"/>
      <c r="AE1655" s="284"/>
      <c r="AF1655" s="284"/>
      <c r="AG1655" s="284"/>
      <c r="AI1655" s="131"/>
    </row>
    <row r="1656" spans="1:35" ht="26.4">
      <c r="A1656" s="284"/>
      <c r="B1656" s="284"/>
      <c r="C1656" s="284"/>
      <c r="D1656" s="284"/>
      <c r="E1656" s="284"/>
      <c r="F1656" s="284"/>
      <c r="G1656" s="284"/>
      <c r="H1656" s="284"/>
      <c r="I1656" s="284"/>
      <c r="J1656" s="375"/>
      <c r="K1656" s="375"/>
      <c r="L1656" s="375"/>
      <c r="M1656" s="368"/>
      <c r="N1656" s="368"/>
      <c r="O1656" s="370"/>
      <c r="T1656" s="349"/>
      <c r="V1656" s="378"/>
      <c r="W1656" s="64" ph="1"/>
      <c r="X1656" s="241"/>
      <c r="Y1656" s="284"/>
      <c r="Z1656" s="207"/>
      <c r="AA1656" s="284"/>
      <c r="AB1656" s="284"/>
      <c r="AC1656" s="284"/>
      <c r="AD1656" s="284"/>
      <c r="AE1656" s="284"/>
      <c r="AF1656" s="284"/>
      <c r="AG1656" s="284"/>
      <c r="AI1656" s="131"/>
    </row>
    <row r="1657" spans="1:35" ht="26.4">
      <c r="A1657" s="284"/>
      <c r="B1657" s="284"/>
      <c r="C1657" s="284"/>
      <c r="D1657" s="284"/>
      <c r="E1657" s="284"/>
      <c r="F1657" s="284"/>
      <c r="G1657" s="284"/>
      <c r="H1657" s="284"/>
      <c r="I1657" s="284"/>
      <c r="J1657" s="375"/>
      <c r="K1657" s="375"/>
      <c r="L1657" s="375"/>
      <c r="M1657" s="368"/>
      <c r="N1657" s="368"/>
      <c r="O1657" s="370"/>
      <c r="T1657" s="349"/>
      <c r="V1657" s="378"/>
      <c r="W1657" s="64" ph="1"/>
      <c r="X1657" s="241"/>
      <c r="Y1657" s="284"/>
      <c r="Z1657" s="207"/>
      <c r="AA1657" s="284"/>
      <c r="AB1657" s="284"/>
      <c r="AC1657" s="284"/>
      <c r="AD1657" s="284"/>
      <c r="AE1657" s="284"/>
      <c r="AF1657" s="284"/>
      <c r="AG1657" s="284"/>
      <c r="AI1657" s="131"/>
    </row>
    <row r="1658" spans="1:35" ht="26.4">
      <c r="A1658" s="284"/>
      <c r="B1658" s="284"/>
      <c r="C1658" s="284"/>
      <c r="D1658" s="284"/>
      <c r="E1658" s="284"/>
      <c r="F1658" s="284"/>
      <c r="G1658" s="284"/>
      <c r="H1658" s="284"/>
      <c r="I1658" s="284"/>
      <c r="J1658" s="375"/>
      <c r="K1658" s="375"/>
      <c r="L1658" s="375"/>
      <c r="M1658" s="368"/>
      <c r="N1658" s="368"/>
      <c r="O1658" s="370"/>
      <c r="T1658" s="349"/>
      <c r="V1658" s="378"/>
      <c r="W1658" s="64" ph="1"/>
      <c r="X1658" s="241"/>
      <c r="Y1658" s="284"/>
      <c r="Z1658" s="207"/>
      <c r="AA1658" s="284"/>
      <c r="AB1658" s="284"/>
      <c r="AC1658" s="284"/>
      <c r="AD1658" s="284"/>
      <c r="AE1658" s="284"/>
      <c r="AF1658" s="284"/>
      <c r="AG1658" s="284"/>
      <c r="AI1658" s="131"/>
    </row>
    <row r="1659" spans="1:35" ht="26.4">
      <c r="A1659" s="284"/>
      <c r="B1659" s="284"/>
      <c r="C1659" s="284"/>
      <c r="D1659" s="284"/>
      <c r="E1659" s="284"/>
      <c r="F1659" s="284"/>
      <c r="G1659" s="284"/>
      <c r="H1659" s="284"/>
      <c r="I1659" s="284"/>
      <c r="J1659" s="375"/>
      <c r="K1659" s="375"/>
      <c r="L1659" s="375"/>
      <c r="M1659" s="368"/>
      <c r="N1659" s="368"/>
      <c r="O1659" s="370"/>
      <c r="T1659" s="349"/>
      <c r="V1659" s="378"/>
      <c r="W1659" s="64" ph="1"/>
      <c r="X1659" s="241"/>
      <c r="Y1659" s="284"/>
      <c r="Z1659" s="207"/>
      <c r="AA1659" s="284"/>
      <c r="AB1659" s="284"/>
      <c r="AC1659" s="284"/>
      <c r="AD1659" s="284"/>
      <c r="AE1659" s="284"/>
      <c r="AF1659" s="284"/>
      <c r="AG1659" s="284"/>
      <c r="AI1659" s="131"/>
    </row>
    <row r="1660" spans="1:35" ht="26.4">
      <c r="A1660" s="284"/>
      <c r="B1660" s="284"/>
      <c r="C1660" s="284"/>
      <c r="D1660" s="284"/>
      <c r="E1660" s="284"/>
      <c r="F1660" s="284"/>
      <c r="G1660" s="284"/>
      <c r="H1660" s="284"/>
      <c r="I1660" s="284"/>
      <c r="J1660" s="375"/>
      <c r="K1660" s="375"/>
      <c r="L1660" s="375"/>
      <c r="M1660" s="368"/>
      <c r="N1660" s="368"/>
      <c r="O1660" s="370"/>
      <c r="T1660" s="349"/>
      <c r="V1660" s="378"/>
      <c r="W1660" s="64" ph="1"/>
      <c r="X1660" s="241"/>
      <c r="Y1660" s="284"/>
      <c r="Z1660" s="207"/>
      <c r="AA1660" s="284"/>
      <c r="AB1660" s="284"/>
      <c r="AC1660" s="284"/>
      <c r="AD1660" s="284"/>
      <c r="AE1660" s="284"/>
      <c r="AF1660" s="284"/>
      <c r="AG1660" s="284"/>
      <c r="AI1660" s="131"/>
    </row>
    <row r="1661" spans="1:35" ht="26.4">
      <c r="A1661" s="284"/>
      <c r="B1661" s="284"/>
      <c r="C1661" s="284"/>
      <c r="D1661" s="284"/>
      <c r="E1661" s="284"/>
      <c r="F1661" s="284"/>
      <c r="G1661" s="284"/>
      <c r="H1661" s="284"/>
      <c r="I1661" s="284"/>
      <c r="J1661" s="375"/>
      <c r="K1661" s="375"/>
      <c r="L1661" s="375"/>
      <c r="M1661" s="368"/>
      <c r="N1661" s="368"/>
      <c r="O1661" s="370"/>
      <c r="T1661" s="349"/>
      <c r="V1661" s="378"/>
      <c r="W1661" s="64" ph="1"/>
      <c r="X1661" s="241"/>
      <c r="Y1661" s="284"/>
      <c r="Z1661" s="207"/>
      <c r="AA1661" s="284"/>
      <c r="AB1661" s="284"/>
      <c r="AC1661" s="284"/>
      <c r="AD1661" s="284"/>
      <c r="AE1661" s="284"/>
      <c r="AF1661" s="284"/>
      <c r="AG1661" s="284"/>
      <c r="AI1661" s="131"/>
    </row>
    <row r="1662" spans="1:35" ht="26.4">
      <c r="A1662" s="284"/>
      <c r="B1662" s="284"/>
      <c r="C1662" s="284"/>
      <c r="D1662" s="284"/>
      <c r="E1662" s="284"/>
      <c r="F1662" s="284"/>
      <c r="G1662" s="284"/>
      <c r="H1662" s="284"/>
      <c r="I1662" s="284"/>
      <c r="J1662" s="375"/>
      <c r="K1662" s="375"/>
      <c r="L1662" s="375"/>
      <c r="M1662" s="368"/>
      <c r="N1662" s="368"/>
      <c r="O1662" s="370"/>
      <c r="T1662" s="349"/>
      <c r="V1662" s="378"/>
      <c r="W1662" s="64" ph="1"/>
      <c r="X1662" s="241"/>
      <c r="Y1662" s="284"/>
      <c r="Z1662" s="207"/>
      <c r="AA1662" s="284"/>
      <c r="AB1662" s="284"/>
      <c r="AC1662" s="284"/>
      <c r="AD1662" s="284"/>
      <c r="AE1662" s="284"/>
      <c r="AF1662" s="284"/>
      <c r="AG1662" s="284"/>
      <c r="AI1662" s="131"/>
    </row>
    <row r="1663" spans="1:35" ht="26.4">
      <c r="A1663" s="284"/>
      <c r="B1663" s="284"/>
      <c r="C1663" s="284"/>
      <c r="D1663" s="284"/>
      <c r="E1663" s="284"/>
      <c r="F1663" s="284"/>
      <c r="G1663" s="284"/>
      <c r="H1663" s="284"/>
      <c r="I1663" s="284"/>
      <c r="J1663" s="375"/>
      <c r="K1663" s="375"/>
      <c r="L1663" s="375"/>
      <c r="M1663" s="368"/>
      <c r="N1663" s="368"/>
      <c r="O1663" s="370"/>
      <c r="T1663" s="349"/>
      <c r="V1663" s="378"/>
      <c r="W1663" s="64" ph="1"/>
      <c r="X1663" s="241"/>
      <c r="Y1663" s="284"/>
      <c r="Z1663" s="207"/>
      <c r="AA1663" s="284"/>
      <c r="AB1663" s="284"/>
      <c r="AC1663" s="284"/>
      <c r="AD1663" s="284"/>
      <c r="AE1663" s="284"/>
      <c r="AF1663" s="284"/>
      <c r="AG1663" s="284"/>
      <c r="AI1663" s="131"/>
    </row>
    <row r="1664" spans="1:35" ht="26.4">
      <c r="A1664" s="284"/>
      <c r="B1664" s="284"/>
      <c r="C1664" s="284"/>
      <c r="D1664" s="284"/>
      <c r="E1664" s="284"/>
      <c r="F1664" s="284"/>
      <c r="G1664" s="284"/>
      <c r="H1664" s="284"/>
      <c r="I1664" s="284"/>
      <c r="J1664" s="375"/>
      <c r="K1664" s="375"/>
      <c r="L1664" s="375"/>
      <c r="M1664" s="368"/>
      <c r="N1664" s="368"/>
      <c r="O1664" s="370"/>
      <c r="T1664" s="349"/>
      <c r="V1664" s="378"/>
      <c r="W1664" s="64" ph="1"/>
      <c r="X1664" s="241"/>
      <c r="Y1664" s="284"/>
      <c r="Z1664" s="207"/>
      <c r="AA1664" s="284"/>
      <c r="AB1664" s="284"/>
      <c r="AC1664" s="284"/>
      <c r="AD1664" s="284"/>
      <c r="AE1664" s="284"/>
      <c r="AF1664" s="284"/>
      <c r="AG1664" s="284"/>
      <c r="AI1664" s="131"/>
    </row>
    <row r="1665" spans="1:35" ht="26.4">
      <c r="A1665" s="284"/>
      <c r="B1665" s="284"/>
      <c r="C1665" s="284"/>
      <c r="D1665" s="284"/>
      <c r="E1665" s="284"/>
      <c r="F1665" s="284"/>
      <c r="G1665" s="284"/>
      <c r="H1665" s="284"/>
      <c r="I1665" s="284"/>
      <c r="J1665" s="375"/>
      <c r="K1665" s="375"/>
      <c r="L1665" s="375"/>
      <c r="M1665" s="368"/>
      <c r="N1665" s="368"/>
      <c r="O1665" s="370"/>
      <c r="T1665" s="349"/>
      <c r="V1665" s="378"/>
      <c r="W1665" s="64" ph="1"/>
      <c r="X1665" s="241"/>
      <c r="Y1665" s="284"/>
      <c r="Z1665" s="207"/>
      <c r="AA1665" s="284"/>
      <c r="AB1665" s="284"/>
      <c r="AC1665" s="284"/>
      <c r="AD1665" s="284"/>
      <c r="AE1665" s="284"/>
      <c r="AF1665" s="284"/>
      <c r="AG1665" s="284"/>
      <c r="AI1665" s="131"/>
    </row>
    <row r="1666" spans="1:35" ht="26.4">
      <c r="A1666" s="284"/>
      <c r="B1666" s="284"/>
      <c r="C1666" s="284"/>
      <c r="D1666" s="284"/>
      <c r="E1666" s="284"/>
      <c r="F1666" s="284"/>
      <c r="G1666" s="284"/>
      <c r="H1666" s="284"/>
      <c r="I1666" s="284"/>
      <c r="J1666" s="375"/>
      <c r="K1666" s="375"/>
      <c r="L1666" s="375"/>
      <c r="M1666" s="368"/>
      <c r="N1666" s="368"/>
      <c r="O1666" s="370"/>
      <c r="T1666" s="349"/>
      <c r="V1666" s="378"/>
      <c r="W1666" s="64" ph="1"/>
      <c r="X1666" s="241"/>
      <c r="Y1666" s="284"/>
      <c r="Z1666" s="207"/>
      <c r="AA1666" s="284"/>
      <c r="AB1666" s="284"/>
      <c r="AC1666" s="284"/>
      <c r="AD1666" s="284"/>
      <c r="AE1666" s="284"/>
      <c r="AF1666" s="284"/>
      <c r="AG1666" s="284"/>
      <c r="AI1666" s="131"/>
    </row>
    <row r="1667" spans="1:35" ht="26.4">
      <c r="A1667" s="284"/>
      <c r="B1667" s="284"/>
      <c r="C1667" s="284"/>
      <c r="D1667" s="284"/>
      <c r="E1667" s="284"/>
      <c r="F1667" s="284"/>
      <c r="G1667" s="284"/>
      <c r="H1667" s="284"/>
      <c r="I1667" s="284"/>
      <c r="J1667" s="375"/>
      <c r="K1667" s="375"/>
      <c r="L1667" s="375"/>
      <c r="M1667" s="368"/>
      <c r="N1667" s="368"/>
      <c r="O1667" s="370"/>
      <c r="T1667" s="349"/>
      <c r="V1667" s="378"/>
      <c r="W1667" s="64" ph="1"/>
      <c r="X1667" s="241"/>
      <c r="Y1667" s="284"/>
      <c r="Z1667" s="207"/>
      <c r="AA1667" s="284"/>
      <c r="AB1667" s="284"/>
      <c r="AC1667" s="284"/>
      <c r="AD1667" s="284"/>
      <c r="AE1667" s="284"/>
      <c r="AF1667" s="284"/>
      <c r="AG1667" s="284"/>
      <c r="AI1667" s="131"/>
    </row>
    <row r="1668" spans="1:35" ht="26.4">
      <c r="A1668" s="284"/>
      <c r="B1668" s="284"/>
      <c r="C1668" s="284"/>
      <c r="D1668" s="284"/>
      <c r="E1668" s="284"/>
      <c r="F1668" s="284"/>
      <c r="G1668" s="284"/>
      <c r="H1668" s="284"/>
      <c r="I1668" s="284"/>
      <c r="J1668" s="375"/>
      <c r="K1668" s="375"/>
      <c r="L1668" s="375"/>
      <c r="M1668" s="368"/>
      <c r="N1668" s="368"/>
      <c r="O1668" s="370"/>
      <c r="T1668" s="349"/>
      <c r="V1668" s="378"/>
      <c r="W1668" s="64" ph="1"/>
      <c r="X1668" s="241"/>
      <c r="Y1668" s="284"/>
      <c r="Z1668" s="207"/>
      <c r="AA1668" s="284"/>
      <c r="AB1668" s="284"/>
      <c r="AC1668" s="284"/>
      <c r="AD1668" s="284"/>
      <c r="AE1668" s="284"/>
      <c r="AF1668" s="284"/>
      <c r="AG1668" s="284"/>
      <c r="AI1668" s="131"/>
    </row>
    <row r="1669" spans="1:35" ht="26.4">
      <c r="A1669" s="284"/>
      <c r="B1669" s="284"/>
      <c r="C1669" s="284"/>
      <c r="D1669" s="284"/>
      <c r="E1669" s="284"/>
      <c r="F1669" s="284"/>
      <c r="G1669" s="284"/>
      <c r="H1669" s="284"/>
      <c r="I1669" s="284"/>
      <c r="J1669" s="375"/>
      <c r="K1669" s="375"/>
      <c r="L1669" s="375"/>
      <c r="M1669" s="368"/>
      <c r="N1669" s="368"/>
      <c r="O1669" s="370"/>
      <c r="T1669" s="349"/>
      <c r="V1669" s="378"/>
      <c r="W1669" s="64" ph="1"/>
      <c r="X1669" s="241"/>
      <c r="Y1669" s="284"/>
      <c r="Z1669" s="207"/>
      <c r="AA1669" s="284"/>
      <c r="AB1669" s="284"/>
      <c r="AC1669" s="284"/>
      <c r="AD1669" s="284"/>
      <c r="AE1669" s="284"/>
      <c r="AF1669" s="284"/>
      <c r="AG1669" s="284"/>
      <c r="AI1669" s="131"/>
    </row>
    <row r="1670" spans="1:35" ht="26.4">
      <c r="A1670" s="284"/>
      <c r="B1670" s="284"/>
      <c r="C1670" s="284"/>
      <c r="D1670" s="284"/>
      <c r="E1670" s="284"/>
      <c r="F1670" s="284"/>
      <c r="G1670" s="284"/>
      <c r="H1670" s="284"/>
      <c r="I1670" s="284"/>
      <c r="J1670" s="375"/>
      <c r="K1670" s="375"/>
      <c r="L1670" s="375"/>
      <c r="M1670" s="368"/>
      <c r="N1670" s="368"/>
      <c r="O1670" s="370"/>
      <c r="T1670" s="349"/>
      <c r="V1670" s="378"/>
      <c r="W1670" s="64" ph="1"/>
      <c r="X1670" s="241"/>
      <c r="Y1670" s="284"/>
      <c r="Z1670" s="207"/>
      <c r="AA1670" s="284"/>
      <c r="AB1670" s="284"/>
      <c r="AC1670" s="284"/>
      <c r="AD1670" s="284"/>
      <c r="AE1670" s="284"/>
      <c r="AF1670" s="284"/>
      <c r="AG1670" s="284"/>
      <c r="AI1670" s="131"/>
    </row>
    <row r="1671" spans="1:35" ht="26.4">
      <c r="A1671" s="284"/>
      <c r="B1671" s="284"/>
      <c r="C1671" s="284"/>
      <c r="D1671" s="284"/>
      <c r="E1671" s="284"/>
      <c r="F1671" s="284"/>
      <c r="G1671" s="284"/>
      <c r="H1671" s="284"/>
      <c r="I1671" s="284"/>
      <c r="J1671" s="375"/>
      <c r="K1671" s="375"/>
      <c r="L1671" s="375"/>
      <c r="M1671" s="368"/>
      <c r="N1671" s="368"/>
      <c r="O1671" s="370"/>
      <c r="T1671" s="349"/>
      <c r="V1671" s="378"/>
      <c r="W1671" s="64" ph="1"/>
      <c r="X1671" s="241"/>
      <c r="Y1671" s="284"/>
      <c r="Z1671" s="207"/>
      <c r="AA1671" s="284"/>
      <c r="AB1671" s="284"/>
      <c r="AC1671" s="284"/>
      <c r="AD1671" s="284"/>
      <c r="AE1671" s="284"/>
      <c r="AF1671" s="284"/>
      <c r="AG1671" s="284"/>
      <c r="AI1671" s="131"/>
    </row>
    <row r="1672" spans="1:35" ht="26.4">
      <c r="A1672" s="284"/>
      <c r="B1672" s="284"/>
      <c r="C1672" s="284"/>
      <c r="D1672" s="284"/>
      <c r="E1672" s="284"/>
      <c r="F1672" s="284"/>
      <c r="G1672" s="284"/>
      <c r="H1672" s="284"/>
      <c r="I1672" s="284"/>
      <c r="J1672" s="375"/>
      <c r="K1672" s="375"/>
      <c r="L1672" s="375"/>
      <c r="M1672" s="368"/>
      <c r="N1672" s="368"/>
      <c r="O1672" s="370"/>
      <c r="T1672" s="349"/>
      <c r="V1672" s="378"/>
      <c r="W1672" s="64" ph="1"/>
      <c r="X1672" s="241"/>
      <c r="Y1672" s="284"/>
      <c r="Z1672" s="207"/>
      <c r="AA1672" s="284"/>
      <c r="AB1672" s="284"/>
      <c r="AC1672" s="284"/>
      <c r="AD1672" s="284"/>
      <c r="AE1672" s="284"/>
      <c r="AF1672" s="284"/>
      <c r="AG1672" s="284"/>
    </row>
    <row r="1673" spans="1:35" ht="26.4">
      <c r="A1673" s="284"/>
      <c r="B1673" s="284"/>
      <c r="C1673" s="284"/>
      <c r="D1673" s="284"/>
      <c r="E1673" s="284"/>
      <c r="F1673" s="284"/>
      <c r="G1673" s="284"/>
      <c r="H1673" s="284"/>
      <c r="I1673" s="284"/>
      <c r="J1673" s="375"/>
      <c r="K1673" s="375"/>
      <c r="L1673" s="375"/>
      <c r="M1673" s="368"/>
      <c r="N1673" s="368"/>
      <c r="O1673" s="370"/>
      <c r="T1673" s="349"/>
      <c r="V1673" s="378"/>
      <c r="W1673" s="64" ph="1"/>
      <c r="X1673" s="241"/>
      <c r="Y1673" s="284"/>
      <c r="Z1673" s="207"/>
      <c r="AA1673" s="284"/>
      <c r="AB1673" s="284"/>
      <c r="AC1673" s="284"/>
      <c r="AD1673" s="284"/>
      <c r="AE1673" s="284"/>
      <c r="AF1673" s="284"/>
      <c r="AG1673" s="284"/>
      <c r="AI1673" s="131"/>
    </row>
    <row r="1674" spans="1:35" ht="26.4">
      <c r="A1674" s="284"/>
      <c r="B1674" s="284"/>
      <c r="C1674" s="284"/>
      <c r="D1674" s="284"/>
      <c r="E1674" s="284"/>
      <c r="F1674" s="284"/>
      <c r="G1674" s="284"/>
      <c r="H1674" s="284"/>
      <c r="I1674" s="284"/>
      <c r="J1674" s="375"/>
      <c r="K1674" s="375"/>
      <c r="L1674" s="375"/>
      <c r="M1674" s="368"/>
      <c r="N1674" s="368"/>
      <c r="O1674" s="370"/>
      <c r="T1674" s="349"/>
      <c r="V1674" s="378"/>
      <c r="W1674" s="64" ph="1"/>
      <c r="X1674" s="241"/>
      <c r="Y1674" s="284"/>
      <c r="Z1674" s="207"/>
      <c r="AA1674" s="284"/>
      <c r="AB1674" s="284"/>
      <c r="AC1674" s="284"/>
      <c r="AD1674" s="284"/>
      <c r="AE1674" s="284"/>
      <c r="AF1674" s="284"/>
      <c r="AG1674" s="284"/>
      <c r="AI1674" s="131"/>
    </row>
    <row r="1675" spans="1:35" ht="26.4">
      <c r="A1675" s="284"/>
      <c r="B1675" s="284"/>
      <c r="C1675" s="284"/>
      <c r="D1675" s="284"/>
      <c r="E1675" s="284"/>
      <c r="F1675" s="284"/>
      <c r="G1675" s="284"/>
      <c r="H1675" s="284"/>
      <c r="I1675" s="284"/>
      <c r="J1675" s="375"/>
      <c r="K1675" s="375"/>
      <c r="L1675" s="375"/>
      <c r="M1675" s="368"/>
      <c r="N1675" s="368"/>
      <c r="O1675" s="370"/>
      <c r="T1675" s="349"/>
      <c r="V1675" s="378"/>
      <c r="W1675" s="64" ph="1"/>
      <c r="X1675" s="241"/>
      <c r="Y1675" s="284"/>
      <c r="Z1675" s="207"/>
      <c r="AA1675" s="284"/>
      <c r="AB1675" s="284"/>
      <c r="AC1675" s="284"/>
      <c r="AD1675" s="284"/>
      <c r="AE1675" s="284"/>
      <c r="AF1675" s="284"/>
      <c r="AG1675" s="284"/>
      <c r="AI1675" s="131"/>
    </row>
    <row r="1676" spans="1:35" ht="26.4">
      <c r="A1676" s="284"/>
      <c r="B1676" s="284"/>
      <c r="C1676" s="284"/>
      <c r="D1676" s="284"/>
      <c r="E1676" s="284"/>
      <c r="F1676" s="284"/>
      <c r="G1676" s="284"/>
      <c r="H1676" s="284"/>
      <c r="I1676" s="284"/>
      <c r="J1676" s="375"/>
      <c r="K1676" s="375"/>
      <c r="L1676" s="375"/>
      <c r="M1676" s="368"/>
      <c r="N1676" s="368"/>
      <c r="O1676" s="370"/>
      <c r="T1676" s="349"/>
      <c r="V1676" s="378"/>
      <c r="W1676" s="64" ph="1"/>
      <c r="X1676" s="241"/>
      <c r="Y1676" s="284"/>
      <c r="Z1676" s="207"/>
      <c r="AA1676" s="284"/>
      <c r="AB1676" s="284"/>
      <c r="AC1676" s="284"/>
      <c r="AD1676" s="284"/>
      <c r="AE1676" s="284"/>
      <c r="AF1676" s="284"/>
      <c r="AG1676" s="284"/>
      <c r="AI1676" s="131"/>
    </row>
    <row r="1677" spans="1:35" ht="26.4">
      <c r="A1677" s="284"/>
      <c r="B1677" s="284"/>
      <c r="C1677" s="284"/>
      <c r="D1677" s="284"/>
      <c r="E1677" s="284"/>
      <c r="F1677" s="284"/>
      <c r="G1677" s="284"/>
      <c r="H1677" s="284"/>
      <c r="I1677" s="284"/>
      <c r="J1677" s="375"/>
      <c r="K1677" s="375"/>
      <c r="L1677" s="375"/>
      <c r="M1677" s="368"/>
      <c r="N1677" s="368"/>
      <c r="O1677" s="370"/>
      <c r="T1677" s="349"/>
      <c r="V1677" s="378"/>
      <c r="W1677" s="64" ph="1"/>
      <c r="X1677" s="241"/>
      <c r="Y1677" s="284"/>
      <c r="Z1677" s="207"/>
      <c r="AA1677" s="284"/>
      <c r="AB1677" s="284"/>
      <c r="AC1677" s="284"/>
      <c r="AD1677" s="284"/>
      <c r="AE1677" s="284"/>
      <c r="AF1677" s="284"/>
      <c r="AG1677" s="284"/>
      <c r="AI1677" s="131"/>
    </row>
    <row r="1678" spans="1:35" ht="26.4">
      <c r="A1678" s="284"/>
      <c r="B1678" s="284"/>
      <c r="C1678" s="284"/>
      <c r="D1678" s="284"/>
      <c r="E1678" s="284"/>
      <c r="F1678" s="284"/>
      <c r="G1678" s="284"/>
      <c r="H1678" s="284"/>
      <c r="I1678" s="284"/>
      <c r="J1678" s="375"/>
      <c r="K1678" s="375"/>
      <c r="L1678" s="375"/>
      <c r="M1678" s="368"/>
      <c r="N1678" s="368"/>
      <c r="O1678" s="370"/>
      <c r="T1678" s="349"/>
      <c r="V1678" s="378"/>
      <c r="W1678" s="64" ph="1"/>
      <c r="X1678" s="241"/>
      <c r="Y1678" s="284"/>
      <c r="Z1678" s="207"/>
      <c r="AA1678" s="284"/>
      <c r="AB1678" s="284"/>
      <c r="AC1678" s="284"/>
      <c r="AD1678" s="284"/>
      <c r="AE1678" s="284"/>
      <c r="AF1678" s="284"/>
      <c r="AG1678" s="284"/>
      <c r="AI1678" s="131"/>
    </row>
    <row r="1679" spans="1:35" ht="26.4">
      <c r="A1679" s="284"/>
      <c r="B1679" s="284"/>
      <c r="C1679" s="284"/>
      <c r="D1679" s="284"/>
      <c r="E1679" s="284"/>
      <c r="F1679" s="284"/>
      <c r="G1679" s="284"/>
      <c r="H1679" s="284"/>
      <c r="I1679" s="284"/>
      <c r="J1679" s="375"/>
      <c r="K1679" s="375"/>
      <c r="L1679" s="375"/>
      <c r="M1679" s="368"/>
      <c r="N1679" s="368"/>
      <c r="O1679" s="370"/>
      <c r="T1679" s="349"/>
      <c r="V1679" s="378"/>
      <c r="W1679" s="64" ph="1"/>
      <c r="X1679" s="241"/>
      <c r="Y1679" s="284"/>
      <c r="Z1679" s="207"/>
      <c r="AA1679" s="284"/>
      <c r="AB1679" s="284"/>
      <c r="AC1679" s="284"/>
      <c r="AD1679" s="284"/>
      <c r="AE1679" s="284"/>
      <c r="AF1679" s="284"/>
      <c r="AG1679" s="284"/>
      <c r="AI1679" s="131"/>
    </row>
    <row r="1680" spans="1:35" ht="26.4">
      <c r="A1680" s="284"/>
      <c r="B1680" s="284"/>
      <c r="C1680" s="284"/>
      <c r="D1680" s="284"/>
      <c r="E1680" s="284"/>
      <c r="F1680" s="284"/>
      <c r="G1680" s="284"/>
      <c r="H1680" s="284"/>
      <c r="I1680" s="284"/>
      <c r="J1680" s="375"/>
      <c r="K1680" s="375"/>
      <c r="L1680" s="375"/>
      <c r="M1680" s="368"/>
      <c r="N1680" s="368"/>
      <c r="O1680" s="370"/>
      <c r="T1680" s="349"/>
      <c r="V1680" s="378"/>
      <c r="W1680" s="64" ph="1"/>
      <c r="X1680" s="241"/>
      <c r="Y1680" s="284"/>
      <c r="Z1680" s="207"/>
      <c r="AA1680" s="284"/>
      <c r="AB1680" s="284"/>
      <c r="AC1680" s="284"/>
      <c r="AD1680" s="284"/>
      <c r="AE1680" s="284"/>
      <c r="AF1680" s="284"/>
      <c r="AG1680" s="284"/>
      <c r="AI1680" s="131"/>
    </row>
    <row r="1681" spans="1:35" ht="26.4">
      <c r="A1681" s="284"/>
      <c r="B1681" s="284"/>
      <c r="C1681" s="284"/>
      <c r="D1681" s="284"/>
      <c r="E1681" s="284"/>
      <c r="F1681" s="284"/>
      <c r="G1681" s="284"/>
      <c r="H1681" s="284"/>
      <c r="I1681" s="284"/>
      <c r="J1681" s="375"/>
      <c r="K1681" s="375"/>
      <c r="L1681" s="375"/>
      <c r="M1681" s="368"/>
      <c r="N1681" s="368"/>
      <c r="O1681" s="370"/>
      <c r="T1681" s="349"/>
      <c r="V1681" s="378"/>
      <c r="W1681" s="64" ph="1"/>
      <c r="X1681" s="241"/>
      <c r="Y1681" s="284"/>
      <c r="Z1681" s="207"/>
      <c r="AA1681" s="284"/>
      <c r="AB1681" s="284"/>
      <c r="AC1681" s="284"/>
      <c r="AD1681" s="284"/>
      <c r="AE1681" s="284"/>
      <c r="AF1681" s="284"/>
      <c r="AG1681" s="284"/>
      <c r="AI1681" s="131"/>
    </row>
    <row r="1682" spans="1:35" ht="26.4">
      <c r="A1682" s="284"/>
      <c r="B1682" s="284"/>
      <c r="C1682" s="284"/>
      <c r="D1682" s="284"/>
      <c r="E1682" s="284"/>
      <c r="F1682" s="284"/>
      <c r="G1682" s="284"/>
      <c r="H1682" s="284"/>
      <c r="I1682" s="284"/>
      <c r="J1682" s="375"/>
      <c r="K1682" s="375"/>
      <c r="L1682" s="375"/>
      <c r="M1682" s="368"/>
      <c r="N1682" s="368"/>
      <c r="O1682" s="370"/>
      <c r="T1682" s="349"/>
      <c r="V1682" s="378"/>
      <c r="W1682" s="64" ph="1"/>
      <c r="X1682" s="241"/>
      <c r="Y1682" s="284"/>
      <c r="Z1682" s="207"/>
      <c r="AA1682" s="284"/>
      <c r="AB1682" s="284"/>
      <c r="AC1682" s="284"/>
      <c r="AD1682" s="284"/>
      <c r="AE1682" s="284"/>
      <c r="AF1682" s="284"/>
      <c r="AG1682" s="284"/>
      <c r="AI1682" s="131"/>
    </row>
    <row r="1683" spans="1:35" ht="26.4">
      <c r="A1683" s="284"/>
      <c r="B1683" s="284"/>
      <c r="C1683" s="284"/>
      <c r="D1683" s="284"/>
      <c r="E1683" s="284"/>
      <c r="F1683" s="284"/>
      <c r="G1683" s="284"/>
      <c r="H1683" s="284"/>
      <c r="I1683" s="284"/>
      <c r="J1683" s="375"/>
      <c r="K1683" s="375"/>
      <c r="L1683" s="375"/>
      <c r="M1683" s="368"/>
      <c r="N1683" s="368"/>
      <c r="O1683" s="370"/>
      <c r="T1683" s="349"/>
      <c r="V1683" s="378"/>
      <c r="W1683" s="64" ph="1"/>
      <c r="X1683" s="241"/>
      <c r="Y1683" s="284"/>
      <c r="Z1683" s="207"/>
      <c r="AA1683" s="284"/>
      <c r="AB1683" s="284"/>
      <c r="AC1683" s="284"/>
      <c r="AD1683" s="284"/>
      <c r="AE1683" s="284"/>
      <c r="AF1683" s="284"/>
      <c r="AG1683" s="284"/>
      <c r="AI1683" s="131"/>
    </row>
    <row r="1684" spans="1:35" ht="26.4">
      <c r="A1684" s="284"/>
      <c r="B1684" s="284"/>
      <c r="C1684" s="284"/>
      <c r="D1684" s="284"/>
      <c r="E1684" s="284"/>
      <c r="F1684" s="284"/>
      <c r="G1684" s="284"/>
      <c r="H1684" s="284"/>
      <c r="I1684" s="284"/>
      <c r="J1684" s="375"/>
      <c r="K1684" s="375"/>
      <c r="L1684" s="375"/>
      <c r="M1684" s="368"/>
      <c r="N1684" s="368"/>
      <c r="O1684" s="370"/>
      <c r="T1684" s="349"/>
      <c r="V1684" s="378"/>
      <c r="W1684" s="64" ph="1"/>
      <c r="X1684" s="241"/>
      <c r="Y1684" s="284"/>
      <c r="Z1684" s="207"/>
      <c r="AA1684" s="284"/>
      <c r="AB1684" s="284"/>
      <c r="AC1684" s="284"/>
      <c r="AD1684" s="284"/>
      <c r="AE1684" s="284"/>
      <c r="AF1684" s="284"/>
      <c r="AG1684" s="284"/>
      <c r="AI1684" s="131"/>
    </row>
    <row r="1685" spans="1:35" ht="26.4">
      <c r="A1685" s="284"/>
      <c r="B1685" s="284"/>
      <c r="C1685" s="284"/>
      <c r="D1685" s="284"/>
      <c r="E1685" s="284"/>
      <c r="F1685" s="284"/>
      <c r="G1685" s="284"/>
      <c r="H1685" s="284"/>
      <c r="I1685" s="284"/>
      <c r="J1685" s="375"/>
      <c r="K1685" s="375"/>
      <c r="L1685" s="375"/>
      <c r="M1685" s="368"/>
      <c r="N1685" s="368"/>
      <c r="O1685" s="370"/>
      <c r="T1685" s="349"/>
      <c r="V1685" s="378"/>
      <c r="W1685" s="64" ph="1"/>
      <c r="X1685" s="241"/>
      <c r="Y1685" s="284"/>
      <c r="Z1685" s="207"/>
      <c r="AA1685" s="284"/>
      <c r="AB1685" s="284"/>
      <c r="AC1685" s="284"/>
      <c r="AD1685" s="284"/>
      <c r="AE1685" s="284"/>
      <c r="AF1685" s="284"/>
      <c r="AG1685" s="284"/>
      <c r="AI1685" s="131"/>
    </row>
    <row r="1686" spans="1:35" ht="26.4">
      <c r="A1686" s="284"/>
      <c r="B1686" s="284"/>
      <c r="C1686" s="284"/>
      <c r="D1686" s="284"/>
      <c r="E1686" s="284"/>
      <c r="F1686" s="284"/>
      <c r="G1686" s="284"/>
      <c r="H1686" s="284"/>
      <c r="I1686" s="284"/>
      <c r="J1686" s="375"/>
      <c r="K1686" s="375"/>
      <c r="L1686" s="375"/>
      <c r="M1686" s="368"/>
      <c r="N1686" s="368"/>
      <c r="O1686" s="370"/>
      <c r="T1686" s="349"/>
      <c r="V1686" s="378"/>
      <c r="W1686" s="64" ph="1"/>
      <c r="X1686" s="241"/>
      <c r="Y1686" s="284"/>
      <c r="Z1686" s="207"/>
      <c r="AA1686" s="284"/>
      <c r="AB1686" s="284"/>
      <c r="AC1686" s="284"/>
      <c r="AD1686" s="284"/>
      <c r="AE1686" s="284"/>
      <c r="AF1686" s="284"/>
      <c r="AG1686" s="284"/>
      <c r="AI1686" s="131"/>
    </row>
    <row r="1687" spans="1:35" ht="26.4">
      <c r="A1687" s="284"/>
      <c r="B1687" s="284"/>
      <c r="C1687" s="284"/>
      <c r="D1687" s="284"/>
      <c r="E1687" s="284"/>
      <c r="F1687" s="284"/>
      <c r="G1687" s="284"/>
      <c r="H1687" s="284"/>
      <c r="I1687" s="284"/>
      <c r="J1687" s="375"/>
      <c r="K1687" s="375"/>
      <c r="L1687" s="375"/>
      <c r="M1687" s="368"/>
      <c r="N1687" s="368"/>
      <c r="O1687" s="370"/>
      <c r="T1687" s="349"/>
      <c r="V1687" s="378"/>
      <c r="W1687" s="64" ph="1"/>
      <c r="X1687" s="241"/>
      <c r="Y1687" s="284"/>
      <c r="Z1687" s="207"/>
      <c r="AA1687" s="284"/>
      <c r="AB1687" s="284"/>
      <c r="AC1687" s="284"/>
      <c r="AD1687" s="284"/>
      <c r="AE1687" s="284"/>
      <c r="AF1687" s="284"/>
      <c r="AG1687" s="284"/>
      <c r="AI1687" s="131"/>
    </row>
    <row r="1688" spans="1:35" ht="26.4">
      <c r="A1688" s="284"/>
      <c r="B1688" s="284"/>
      <c r="C1688" s="284"/>
      <c r="D1688" s="284"/>
      <c r="E1688" s="284"/>
      <c r="F1688" s="284"/>
      <c r="G1688" s="284"/>
      <c r="H1688" s="284"/>
      <c r="I1688" s="284"/>
      <c r="J1688" s="375"/>
      <c r="K1688" s="375"/>
      <c r="L1688" s="375"/>
      <c r="M1688" s="368"/>
      <c r="N1688" s="368"/>
      <c r="O1688" s="370"/>
      <c r="T1688" s="349"/>
      <c r="V1688" s="378"/>
      <c r="W1688" s="64" ph="1"/>
      <c r="X1688" s="241"/>
      <c r="Y1688" s="284"/>
      <c r="Z1688" s="207"/>
      <c r="AA1688" s="284"/>
      <c r="AB1688" s="284"/>
      <c r="AC1688" s="284"/>
      <c r="AD1688" s="284"/>
      <c r="AE1688" s="284"/>
      <c r="AF1688" s="284"/>
      <c r="AG1688" s="284"/>
      <c r="AI1688" s="131"/>
    </row>
    <row r="1689" spans="1:35" ht="26.4">
      <c r="A1689" s="284"/>
      <c r="B1689" s="284"/>
      <c r="C1689" s="284"/>
      <c r="D1689" s="284"/>
      <c r="E1689" s="284"/>
      <c r="F1689" s="284"/>
      <c r="G1689" s="284"/>
      <c r="H1689" s="284"/>
      <c r="I1689" s="284"/>
      <c r="J1689" s="375"/>
      <c r="K1689" s="375"/>
      <c r="L1689" s="375"/>
      <c r="M1689" s="368"/>
      <c r="N1689" s="368"/>
      <c r="O1689" s="370"/>
      <c r="T1689" s="349"/>
      <c r="V1689" s="378"/>
      <c r="W1689" s="64" ph="1"/>
      <c r="X1689" s="241"/>
      <c r="Y1689" s="284"/>
      <c r="Z1689" s="207"/>
      <c r="AA1689" s="284"/>
      <c r="AB1689" s="284"/>
      <c r="AC1689" s="284"/>
      <c r="AD1689" s="284"/>
      <c r="AE1689" s="284"/>
      <c r="AF1689" s="284"/>
      <c r="AG1689" s="284"/>
      <c r="AI1689" s="131"/>
    </row>
    <row r="1690" spans="1:35" ht="26.4">
      <c r="A1690" s="284"/>
      <c r="B1690" s="284"/>
      <c r="C1690" s="284"/>
      <c r="D1690" s="284"/>
      <c r="E1690" s="284"/>
      <c r="F1690" s="284"/>
      <c r="G1690" s="284"/>
      <c r="H1690" s="284"/>
      <c r="I1690" s="284"/>
      <c r="J1690" s="375"/>
      <c r="K1690" s="375"/>
      <c r="L1690" s="375"/>
      <c r="M1690" s="368"/>
      <c r="N1690" s="368"/>
      <c r="O1690" s="370"/>
      <c r="T1690" s="349"/>
      <c r="V1690" s="378"/>
      <c r="W1690" s="64" ph="1"/>
      <c r="X1690" s="241"/>
      <c r="Y1690" s="284"/>
      <c r="Z1690" s="207"/>
      <c r="AA1690" s="284"/>
      <c r="AB1690" s="284"/>
      <c r="AC1690" s="284"/>
      <c r="AD1690" s="284"/>
      <c r="AE1690" s="284"/>
      <c r="AF1690" s="284"/>
      <c r="AG1690" s="284"/>
      <c r="AI1690" s="131"/>
    </row>
    <row r="1691" spans="1:35" ht="26.4">
      <c r="A1691" s="284"/>
      <c r="B1691" s="284"/>
      <c r="C1691" s="284"/>
      <c r="D1691" s="284"/>
      <c r="E1691" s="284"/>
      <c r="F1691" s="284"/>
      <c r="G1691" s="284"/>
      <c r="H1691" s="284"/>
      <c r="I1691" s="284"/>
      <c r="J1691" s="375"/>
      <c r="K1691" s="375"/>
      <c r="L1691" s="375"/>
      <c r="M1691" s="368"/>
      <c r="N1691" s="368"/>
      <c r="O1691" s="370"/>
      <c r="T1691" s="349"/>
      <c r="V1691" s="378"/>
      <c r="W1691" s="64" ph="1"/>
      <c r="X1691" s="241"/>
      <c r="Y1691" s="284"/>
      <c r="Z1691" s="207"/>
      <c r="AA1691" s="284"/>
      <c r="AB1691" s="284"/>
      <c r="AC1691" s="284"/>
      <c r="AD1691" s="284"/>
      <c r="AE1691" s="284"/>
      <c r="AF1691" s="284"/>
      <c r="AG1691" s="284"/>
      <c r="AI1691" s="131"/>
    </row>
    <row r="1692" spans="1:35" ht="26.4">
      <c r="A1692" s="284"/>
      <c r="B1692" s="284"/>
      <c r="C1692" s="284"/>
      <c r="D1692" s="284"/>
      <c r="E1692" s="284"/>
      <c r="F1692" s="284"/>
      <c r="G1692" s="284"/>
      <c r="H1692" s="284"/>
      <c r="I1692" s="284"/>
      <c r="J1692" s="375"/>
      <c r="K1692" s="375"/>
      <c r="L1692" s="375"/>
      <c r="M1692" s="368"/>
      <c r="N1692" s="368"/>
      <c r="O1692" s="370"/>
      <c r="T1692" s="349"/>
      <c r="V1692" s="378"/>
      <c r="W1692" s="64" ph="1"/>
      <c r="X1692" s="241"/>
      <c r="Y1692" s="284"/>
      <c r="Z1692" s="207"/>
      <c r="AA1692" s="284"/>
      <c r="AB1692" s="284"/>
      <c r="AC1692" s="284"/>
      <c r="AD1692" s="284"/>
      <c r="AE1692" s="284"/>
      <c r="AF1692" s="284"/>
      <c r="AG1692" s="284"/>
      <c r="AI1692" s="131"/>
    </row>
    <row r="1693" spans="1:35" ht="26.4">
      <c r="A1693" s="284"/>
      <c r="B1693" s="284"/>
      <c r="C1693" s="284"/>
      <c r="D1693" s="284"/>
      <c r="E1693" s="284"/>
      <c r="F1693" s="284"/>
      <c r="G1693" s="284"/>
      <c r="H1693" s="284"/>
      <c r="I1693" s="284"/>
      <c r="J1693" s="375"/>
      <c r="K1693" s="375"/>
      <c r="L1693" s="375"/>
      <c r="M1693" s="368"/>
      <c r="N1693" s="368"/>
      <c r="O1693" s="370"/>
      <c r="T1693" s="349"/>
      <c r="V1693" s="378"/>
      <c r="W1693" s="64" ph="1"/>
      <c r="X1693" s="241"/>
      <c r="Y1693" s="284"/>
      <c r="Z1693" s="207"/>
      <c r="AA1693" s="284"/>
      <c r="AB1693" s="284"/>
      <c r="AC1693" s="284"/>
      <c r="AD1693" s="284"/>
      <c r="AE1693" s="284"/>
      <c r="AF1693" s="284"/>
      <c r="AG1693" s="284"/>
      <c r="AI1693" s="131"/>
    </row>
    <row r="1694" spans="1:35" ht="26.4">
      <c r="A1694" s="284"/>
      <c r="B1694" s="284"/>
      <c r="C1694" s="284"/>
      <c r="D1694" s="284"/>
      <c r="E1694" s="284"/>
      <c r="F1694" s="284"/>
      <c r="G1694" s="284"/>
      <c r="H1694" s="284"/>
      <c r="I1694" s="284"/>
      <c r="J1694" s="375"/>
      <c r="K1694" s="375"/>
      <c r="L1694" s="375"/>
      <c r="M1694" s="368"/>
      <c r="N1694" s="368"/>
      <c r="O1694" s="370"/>
      <c r="T1694" s="349"/>
      <c r="V1694" s="378"/>
      <c r="W1694" s="64" ph="1"/>
      <c r="X1694" s="241"/>
      <c r="Y1694" s="284"/>
      <c r="Z1694" s="207"/>
      <c r="AA1694" s="284"/>
      <c r="AB1694" s="284"/>
      <c r="AC1694" s="284"/>
      <c r="AD1694" s="284"/>
      <c r="AE1694" s="284"/>
      <c r="AF1694" s="284"/>
      <c r="AG1694" s="284"/>
      <c r="AI1694" s="131"/>
    </row>
    <row r="1695" spans="1:35" ht="26.4">
      <c r="A1695" s="284"/>
      <c r="B1695" s="284"/>
      <c r="C1695" s="284"/>
      <c r="D1695" s="284"/>
      <c r="E1695" s="284"/>
      <c r="F1695" s="284"/>
      <c r="G1695" s="284"/>
      <c r="H1695" s="284"/>
      <c r="I1695" s="284"/>
      <c r="J1695" s="375"/>
      <c r="K1695" s="375"/>
      <c r="L1695" s="375"/>
      <c r="M1695" s="368"/>
      <c r="N1695" s="368"/>
      <c r="O1695" s="370"/>
      <c r="T1695" s="349"/>
      <c r="V1695" s="378"/>
      <c r="W1695" s="64" ph="1"/>
      <c r="X1695" s="241"/>
      <c r="Y1695" s="284"/>
      <c r="Z1695" s="207"/>
      <c r="AA1695" s="284"/>
      <c r="AB1695" s="284"/>
      <c r="AC1695" s="284"/>
      <c r="AD1695" s="284"/>
      <c r="AE1695" s="284"/>
      <c r="AF1695" s="284"/>
      <c r="AG1695" s="284"/>
      <c r="AI1695" s="131"/>
    </row>
    <row r="1696" spans="1:35" ht="26.4">
      <c r="A1696" s="284"/>
      <c r="B1696" s="284"/>
      <c r="C1696" s="284"/>
      <c r="D1696" s="284"/>
      <c r="E1696" s="284"/>
      <c r="F1696" s="284"/>
      <c r="G1696" s="284"/>
      <c r="H1696" s="284"/>
      <c r="I1696" s="284"/>
      <c r="J1696" s="375"/>
      <c r="K1696" s="375"/>
      <c r="L1696" s="375"/>
      <c r="M1696" s="368"/>
      <c r="N1696" s="368"/>
      <c r="O1696" s="370"/>
      <c r="T1696" s="349"/>
      <c r="V1696" s="378"/>
      <c r="W1696" s="64" ph="1"/>
      <c r="X1696" s="241"/>
      <c r="Y1696" s="284"/>
      <c r="Z1696" s="207"/>
      <c r="AA1696" s="284"/>
      <c r="AB1696" s="284"/>
      <c r="AC1696" s="284"/>
      <c r="AD1696" s="284"/>
      <c r="AE1696" s="284"/>
      <c r="AF1696" s="284"/>
      <c r="AG1696" s="284"/>
      <c r="AI1696" s="131"/>
    </row>
    <row r="1697" spans="1:35" ht="26.4">
      <c r="A1697" s="284"/>
      <c r="B1697" s="284"/>
      <c r="C1697" s="284"/>
      <c r="D1697" s="284"/>
      <c r="E1697" s="284"/>
      <c r="F1697" s="284"/>
      <c r="G1697" s="284"/>
      <c r="H1697" s="284"/>
      <c r="I1697" s="284"/>
      <c r="J1697" s="375"/>
      <c r="K1697" s="375"/>
      <c r="L1697" s="375"/>
      <c r="M1697" s="368"/>
      <c r="N1697" s="368"/>
      <c r="O1697" s="370"/>
      <c r="T1697" s="349"/>
      <c r="V1697" s="378"/>
      <c r="W1697" s="64" ph="1"/>
      <c r="X1697" s="241"/>
      <c r="Y1697" s="284"/>
      <c r="Z1697" s="207"/>
      <c r="AA1697" s="284"/>
      <c r="AB1697" s="284"/>
      <c r="AC1697" s="284"/>
      <c r="AD1697" s="284"/>
      <c r="AE1697" s="284"/>
      <c r="AF1697" s="284"/>
      <c r="AG1697" s="284"/>
      <c r="AI1697" s="131"/>
    </row>
    <row r="1698" spans="1:35" ht="26.4">
      <c r="A1698" s="284"/>
      <c r="B1698" s="284"/>
      <c r="C1698" s="284"/>
      <c r="D1698" s="284"/>
      <c r="E1698" s="284"/>
      <c r="F1698" s="284"/>
      <c r="G1698" s="284"/>
      <c r="H1698" s="284"/>
      <c r="I1698" s="284"/>
      <c r="J1698" s="375"/>
      <c r="K1698" s="375"/>
      <c r="L1698" s="375"/>
      <c r="M1698" s="368"/>
      <c r="N1698" s="368"/>
      <c r="O1698" s="370"/>
      <c r="T1698" s="349"/>
      <c r="V1698" s="378"/>
      <c r="W1698" s="64" ph="1"/>
      <c r="X1698" s="241"/>
      <c r="Y1698" s="284"/>
      <c r="Z1698" s="207"/>
      <c r="AA1698" s="284"/>
      <c r="AB1698" s="284"/>
      <c r="AC1698" s="284"/>
      <c r="AD1698" s="284"/>
      <c r="AE1698" s="284"/>
      <c r="AF1698" s="284"/>
      <c r="AG1698" s="284"/>
      <c r="AI1698" s="131"/>
    </row>
    <row r="1699" spans="1:35" ht="26.4">
      <c r="A1699" s="284"/>
      <c r="B1699" s="284"/>
      <c r="C1699" s="284"/>
      <c r="D1699" s="284"/>
      <c r="E1699" s="284"/>
      <c r="F1699" s="284"/>
      <c r="G1699" s="284"/>
      <c r="H1699" s="284"/>
      <c r="I1699" s="284"/>
      <c r="J1699" s="375"/>
      <c r="K1699" s="375"/>
      <c r="L1699" s="375"/>
      <c r="M1699" s="368"/>
      <c r="N1699" s="368"/>
      <c r="O1699" s="370"/>
      <c r="T1699" s="349"/>
      <c r="V1699" s="378"/>
      <c r="W1699" s="64" ph="1"/>
      <c r="X1699" s="241"/>
      <c r="Y1699" s="284"/>
      <c r="Z1699" s="207"/>
      <c r="AA1699" s="284"/>
      <c r="AB1699" s="284"/>
      <c r="AC1699" s="284"/>
      <c r="AD1699" s="284"/>
      <c r="AE1699" s="284"/>
      <c r="AF1699" s="284"/>
      <c r="AG1699" s="284"/>
      <c r="AI1699" s="131"/>
    </row>
    <row r="1700" spans="1:35" ht="26.4">
      <c r="A1700" s="284"/>
      <c r="B1700" s="284"/>
      <c r="C1700" s="284"/>
      <c r="D1700" s="284"/>
      <c r="E1700" s="284"/>
      <c r="F1700" s="284"/>
      <c r="G1700" s="284"/>
      <c r="H1700" s="284"/>
      <c r="I1700" s="284"/>
      <c r="J1700" s="375"/>
      <c r="K1700" s="375"/>
      <c r="L1700" s="375"/>
      <c r="M1700" s="368"/>
      <c r="N1700" s="368"/>
      <c r="O1700" s="370"/>
      <c r="T1700" s="349"/>
      <c r="V1700" s="378"/>
      <c r="W1700" s="64" ph="1"/>
      <c r="X1700" s="241"/>
      <c r="Y1700" s="284"/>
      <c r="Z1700" s="207"/>
      <c r="AA1700" s="284"/>
      <c r="AB1700" s="284"/>
      <c r="AC1700" s="284"/>
      <c r="AD1700" s="284"/>
      <c r="AE1700" s="284"/>
      <c r="AF1700" s="284"/>
      <c r="AG1700" s="284"/>
      <c r="AI1700" s="131"/>
    </row>
    <row r="1701" spans="1:35" ht="26.4">
      <c r="A1701" s="284"/>
      <c r="B1701" s="284"/>
      <c r="C1701" s="284"/>
      <c r="D1701" s="284"/>
      <c r="E1701" s="284"/>
      <c r="F1701" s="284"/>
      <c r="G1701" s="284"/>
      <c r="H1701" s="284"/>
      <c r="I1701" s="284"/>
      <c r="J1701" s="375"/>
      <c r="K1701" s="375"/>
      <c r="L1701" s="375"/>
      <c r="M1701" s="368"/>
      <c r="N1701" s="368"/>
      <c r="O1701" s="370"/>
      <c r="T1701" s="349"/>
      <c r="V1701" s="378"/>
      <c r="W1701" s="64" ph="1"/>
      <c r="X1701" s="241"/>
      <c r="Y1701" s="284"/>
      <c r="Z1701" s="207"/>
      <c r="AA1701" s="284"/>
      <c r="AB1701" s="284"/>
      <c r="AC1701" s="284"/>
      <c r="AD1701" s="284"/>
      <c r="AE1701" s="284"/>
      <c r="AF1701" s="284"/>
      <c r="AG1701" s="284"/>
      <c r="AI1701" s="131"/>
    </row>
    <row r="1702" spans="1:35" ht="26.4">
      <c r="A1702" s="284"/>
      <c r="B1702" s="284"/>
      <c r="C1702" s="284"/>
      <c r="D1702" s="284"/>
      <c r="E1702" s="284"/>
      <c r="F1702" s="284"/>
      <c r="G1702" s="284"/>
      <c r="H1702" s="284"/>
      <c r="I1702" s="284"/>
      <c r="J1702" s="375"/>
      <c r="K1702" s="375"/>
      <c r="L1702" s="375"/>
      <c r="M1702" s="368"/>
      <c r="N1702" s="368"/>
      <c r="O1702" s="370"/>
      <c r="T1702" s="349"/>
      <c r="V1702" s="378"/>
      <c r="W1702" s="64" ph="1"/>
      <c r="X1702" s="241"/>
      <c r="Y1702" s="284"/>
      <c r="Z1702" s="207"/>
      <c r="AA1702" s="284"/>
      <c r="AB1702" s="284"/>
      <c r="AC1702" s="284"/>
      <c r="AD1702" s="284"/>
      <c r="AE1702" s="284"/>
      <c r="AF1702" s="284"/>
      <c r="AG1702" s="284"/>
      <c r="AI1702" s="131"/>
    </row>
    <row r="1703" spans="1:35" ht="26.4">
      <c r="A1703" s="284"/>
      <c r="B1703" s="284"/>
      <c r="C1703" s="284"/>
      <c r="D1703" s="284"/>
      <c r="E1703" s="284"/>
      <c r="F1703" s="284"/>
      <c r="G1703" s="284"/>
      <c r="H1703" s="284"/>
      <c r="I1703" s="284"/>
      <c r="J1703" s="375"/>
      <c r="K1703" s="375"/>
      <c r="L1703" s="375"/>
      <c r="M1703" s="368"/>
      <c r="N1703" s="368"/>
      <c r="O1703" s="370"/>
      <c r="T1703" s="349"/>
      <c r="V1703" s="378"/>
      <c r="W1703" s="64" ph="1"/>
      <c r="X1703" s="241"/>
      <c r="Y1703" s="284"/>
      <c r="Z1703" s="207"/>
      <c r="AA1703" s="284"/>
      <c r="AB1703" s="284"/>
      <c r="AC1703" s="284"/>
      <c r="AD1703" s="284"/>
      <c r="AE1703" s="284"/>
      <c r="AF1703" s="284"/>
      <c r="AG1703" s="284"/>
      <c r="AI1703" s="131"/>
    </row>
    <row r="1704" spans="1:35" ht="26.4">
      <c r="A1704" s="284"/>
      <c r="B1704" s="284"/>
      <c r="C1704" s="284"/>
      <c r="D1704" s="284"/>
      <c r="E1704" s="284"/>
      <c r="F1704" s="284"/>
      <c r="G1704" s="284"/>
      <c r="H1704" s="284"/>
      <c r="I1704" s="284"/>
      <c r="J1704" s="375"/>
      <c r="K1704" s="375"/>
      <c r="L1704" s="375"/>
      <c r="M1704" s="368"/>
      <c r="N1704" s="368"/>
      <c r="O1704" s="370"/>
      <c r="T1704" s="349"/>
      <c r="V1704" s="378"/>
      <c r="W1704" s="64" ph="1"/>
      <c r="X1704" s="241"/>
      <c r="Y1704" s="284"/>
      <c r="Z1704" s="207"/>
      <c r="AA1704" s="284"/>
      <c r="AB1704" s="284"/>
      <c r="AC1704" s="284"/>
      <c r="AD1704" s="284"/>
      <c r="AE1704" s="284"/>
      <c r="AF1704" s="284"/>
      <c r="AG1704" s="284"/>
      <c r="AI1704" s="131"/>
    </row>
    <row r="1705" spans="1:35" ht="26.4">
      <c r="A1705" s="284"/>
      <c r="B1705" s="284"/>
      <c r="C1705" s="284"/>
      <c r="D1705" s="284"/>
      <c r="E1705" s="284"/>
      <c r="F1705" s="284"/>
      <c r="G1705" s="284"/>
      <c r="H1705" s="284"/>
      <c r="I1705" s="284"/>
      <c r="J1705" s="375"/>
      <c r="K1705" s="375"/>
      <c r="L1705" s="375"/>
      <c r="M1705" s="368"/>
      <c r="N1705" s="368"/>
      <c r="O1705" s="370"/>
      <c r="T1705" s="349"/>
      <c r="V1705" s="378"/>
      <c r="W1705" s="64" ph="1"/>
      <c r="X1705" s="241"/>
      <c r="Y1705" s="284"/>
      <c r="Z1705" s="207"/>
      <c r="AA1705" s="284"/>
      <c r="AB1705" s="284"/>
      <c r="AC1705" s="284"/>
      <c r="AD1705" s="284"/>
      <c r="AE1705" s="284"/>
      <c r="AF1705" s="284"/>
      <c r="AG1705" s="284"/>
      <c r="AI1705" s="131"/>
    </row>
    <row r="1706" spans="1:35" ht="26.4">
      <c r="A1706" s="284"/>
      <c r="B1706" s="284"/>
      <c r="C1706" s="284"/>
      <c r="D1706" s="284"/>
      <c r="E1706" s="284"/>
      <c r="F1706" s="284"/>
      <c r="G1706" s="284"/>
      <c r="H1706" s="284"/>
      <c r="I1706" s="284"/>
      <c r="J1706" s="375"/>
      <c r="K1706" s="375"/>
      <c r="L1706" s="375"/>
      <c r="M1706" s="368"/>
      <c r="N1706" s="368"/>
      <c r="O1706" s="370"/>
      <c r="T1706" s="349"/>
      <c r="V1706" s="378"/>
      <c r="W1706" s="64" ph="1"/>
      <c r="X1706" s="241"/>
      <c r="Y1706" s="284"/>
      <c r="Z1706" s="207"/>
      <c r="AA1706" s="284"/>
      <c r="AB1706" s="284"/>
      <c r="AC1706" s="284"/>
      <c r="AD1706" s="284"/>
      <c r="AE1706" s="284"/>
      <c r="AF1706" s="284"/>
      <c r="AG1706" s="284"/>
      <c r="AI1706" s="131"/>
    </row>
    <row r="1707" spans="1:35" ht="26.4">
      <c r="A1707" s="284"/>
      <c r="B1707" s="284"/>
      <c r="C1707" s="284"/>
      <c r="D1707" s="284"/>
      <c r="E1707" s="284"/>
      <c r="F1707" s="284"/>
      <c r="G1707" s="284"/>
      <c r="H1707" s="284"/>
      <c r="I1707" s="284"/>
      <c r="J1707" s="375"/>
      <c r="K1707" s="375"/>
      <c r="L1707" s="375"/>
      <c r="M1707" s="368"/>
      <c r="N1707" s="368"/>
      <c r="O1707" s="370"/>
      <c r="T1707" s="349"/>
      <c r="V1707" s="378"/>
      <c r="W1707" s="64" ph="1"/>
      <c r="X1707" s="241"/>
      <c r="Y1707" s="284"/>
      <c r="Z1707" s="207"/>
      <c r="AA1707" s="284"/>
      <c r="AB1707" s="284"/>
      <c r="AC1707" s="284"/>
      <c r="AD1707" s="284"/>
      <c r="AE1707" s="284"/>
      <c r="AF1707" s="284"/>
      <c r="AG1707" s="284"/>
      <c r="AI1707" s="131"/>
    </row>
    <row r="1708" spans="1:35" ht="26.4">
      <c r="A1708" s="284"/>
      <c r="B1708" s="284"/>
      <c r="C1708" s="284"/>
      <c r="D1708" s="284"/>
      <c r="E1708" s="284"/>
      <c r="F1708" s="284"/>
      <c r="G1708" s="284"/>
      <c r="H1708" s="284"/>
      <c r="I1708" s="284"/>
      <c r="J1708" s="375"/>
      <c r="K1708" s="375"/>
      <c r="L1708" s="375"/>
      <c r="M1708" s="368"/>
      <c r="N1708" s="368"/>
      <c r="O1708" s="370"/>
      <c r="T1708" s="349"/>
      <c r="V1708" s="378"/>
      <c r="W1708" s="64" ph="1"/>
      <c r="X1708" s="241"/>
      <c r="Y1708" s="284"/>
      <c r="Z1708" s="207"/>
      <c r="AA1708" s="284"/>
      <c r="AB1708" s="284"/>
      <c r="AC1708" s="284"/>
      <c r="AD1708" s="284"/>
      <c r="AE1708" s="284"/>
      <c r="AF1708" s="284"/>
      <c r="AG1708" s="284"/>
      <c r="AI1708" s="131"/>
    </row>
    <row r="1709" spans="1:35" ht="26.4">
      <c r="A1709" s="284"/>
      <c r="B1709" s="284"/>
      <c r="C1709" s="284"/>
      <c r="D1709" s="284"/>
      <c r="E1709" s="284"/>
      <c r="F1709" s="284"/>
      <c r="G1709" s="284"/>
      <c r="H1709" s="284"/>
      <c r="I1709" s="284"/>
      <c r="J1709" s="375"/>
      <c r="K1709" s="375"/>
      <c r="L1709" s="375"/>
      <c r="M1709" s="368"/>
      <c r="N1709" s="368"/>
      <c r="O1709" s="370"/>
      <c r="T1709" s="349"/>
      <c r="V1709" s="378"/>
      <c r="W1709" s="64" ph="1"/>
      <c r="X1709" s="241"/>
      <c r="Y1709" s="284"/>
      <c r="Z1709" s="207"/>
      <c r="AA1709" s="284"/>
      <c r="AB1709" s="284"/>
      <c r="AC1709" s="284"/>
      <c r="AD1709" s="284"/>
      <c r="AE1709" s="284"/>
      <c r="AF1709" s="284"/>
      <c r="AG1709" s="284"/>
      <c r="AI1709" s="131"/>
    </row>
    <row r="1710" spans="1:35" ht="26.4">
      <c r="A1710" s="284"/>
      <c r="B1710" s="284"/>
      <c r="C1710" s="284"/>
      <c r="D1710" s="284"/>
      <c r="E1710" s="284"/>
      <c r="F1710" s="284"/>
      <c r="G1710" s="284"/>
      <c r="H1710" s="284"/>
      <c r="I1710" s="284"/>
      <c r="J1710" s="375"/>
      <c r="K1710" s="375"/>
      <c r="L1710" s="375"/>
      <c r="M1710" s="368"/>
      <c r="N1710" s="368"/>
      <c r="O1710" s="370"/>
      <c r="T1710" s="349"/>
      <c r="V1710" s="378"/>
      <c r="W1710" s="64" ph="1"/>
      <c r="X1710" s="241"/>
      <c r="Y1710" s="284"/>
      <c r="Z1710" s="207"/>
      <c r="AA1710" s="284"/>
      <c r="AB1710" s="284"/>
      <c r="AC1710" s="284"/>
      <c r="AD1710" s="284"/>
      <c r="AE1710" s="284"/>
      <c r="AF1710" s="284"/>
      <c r="AG1710" s="284"/>
      <c r="AI1710" s="131"/>
    </row>
    <row r="1711" spans="1:35" ht="26.4">
      <c r="A1711" s="284"/>
      <c r="B1711" s="284"/>
      <c r="C1711" s="284"/>
      <c r="D1711" s="284"/>
      <c r="E1711" s="284"/>
      <c r="F1711" s="284"/>
      <c r="G1711" s="284"/>
      <c r="H1711" s="284"/>
      <c r="I1711" s="284"/>
      <c r="J1711" s="375"/>
      <c r="K1711" s="375"/>
      <c r="L1711" s="375"/>
      <c r="M1711" s="368"/>
      <c r="N1711" s="368"/>
      <c r="O1711" s="370"/>
      <c r="T1711" s="349"/>
      <c r="V1711" s="378"/>
      <c r="W1711" s="64" ph="1"/>
      <c r="X1711" s="241"/>
      <c r="Y1711" s="284"/>
      <c r="Z1711" s="207"/>
      <c r="AA1711" s="284"/>
      <c r="AB1711" s="284"/>
      <c r="AC1711" s="284"/>
      <c r="AD1711" s="284"/>
      <c r="AE1711" s="284"/>
      <c r="AF1711" s="284"/>
      <c r="AG1711" s="284"/>
      <c r="AI1711" s="131"/>
    </row>
    <row r="1712" spans="1:35" ht="26.4">
      <c r="A1712" s="284"/>
      <c r="B1712" s="284"/>
      <c r="C1712" s="284"/>
      <c r="D1712" s="284"/>
      <c r="E1712" s="284"/>
      <c r="F1712" s="284"/>
      <c r="G1712" s="284"/>
      <c r="H1712" s="284"/>
      <c r="I1712" s="284"/>
      <c r="J1712" s="375"/>
      <c r="K1712" s="375"/>
      <c r="L1712" s="375"/>
      <c r="M1712" s="368"/>
      <c r="N1712" s="368"/>
      <c r="O1712" s="370"/>
      <c r="T1712" s="349"/>
      <c r="V1712" s="378"/>
      <c r="W1712" s="64" ph="1"/>
      <c r="X1712" s="241"/>
      <c r="Y1712" s="284"/>
      <c r="Z1712" s="207"/>
      <c r="AA1712" s="284"/>
      <c r="AB1712" s="284"/>
      <c r="AC1712" s="284"/>
      <c r="AD1712" s="284"/>
      <c r="AE1712" s="284"/>
      <c r="AF1712" s="284"/>
      <c r="AG1712" s="284"/>
      <c r="AI1712" s="131"/>
    </row>
    <row r="1713" spans="1:35" ht="26.4">
      <c r="A1713" s="284"/>
      <c r="B1713" s="284"/>
      <c r="C1713" s="284"/>
      <c r="D1713" s="284"/>
      <c r="E1713" s="284"/>
      <c r="F1713" s="284"/>
      <c r="G1713" s="284"/>
      <c r="H1713" s="284"/>
      <c r="I1713" s="284"/>
      <c r="J1713" s="375"/>
      <c r="K1713" s="375"/>
      <c r="L1713" s="375"/>
      <c r="M1713" s="368"/>
      <c r="N1713" s="368"/>
      <c r="O1713" s="370"/>
      <c r="T1713" s="349"/>
      <c r="V1713" s="378"/>
      <c r="W1713" s="64" ph="1"/>
      <c r="X1713" s="241"/>
      <c r="Y1713" s="284"/>
      <c r="Z1713" s="207"/>
      <c r="AA1713" s="284"/>
      <c r="AB1713" s="284"/>
      <c r="AC1713" s="284"/>
      <c r="AD1713" s="284"/>
      <c r="AE1713" s="284"/>
      <c r="AF1713" s="284"/>
      <c r="AG1713" s="284"/>
      <c r="AI1713" s="131"/>
    </row>
    <row r="1714" spans="1:35" ht="26.4">
      <c r="A1714" s="284"/>
      <c r="B1714" s="284"/>
      <c r="C1714" s="284"/>
      <c r="D1714" s="284"/>
      <c r="E1714" s="284"/>
      <c r="F1714" s="284"/>
      <c r="G1714" s="284"/>
      <c r="H1714" s="284"/>
      <c r="I1714" s="284"/>
      <c r="J1714" s="375"/>
      <c r="K1714" s="375"/>
      <c r="L1714" s="375"/>
      <c r="M1714" s="368"/>
      <c r="N1714" s="368"/>
      <c r="O1714" s="370"/>
      <c r="T1714" s="349"/>
      <c r="V1714" s="378"/>
      <c r="W1714" s="64" ph="1"/>
      <c r="X1714" s="241"/>
      <c r="Y1714" s="284"/>
      <c r="Z1714" s="207"/>
      <c r="AA1714" s="284"/>
      <c r="AB1714" s="284"/>
      <c r="AC1714" s="284"/>
      <c r="AD1714" s="284"/>
      <c r="AE1714" s="284"/>
      <c r="AF1714" s="284"/>
      <c r="AG1714" s="284"/>
      <c r="AI1714" s="131"/>
    </row>
    <row r="1715" spans="1:35" ht="26.4">
      <c r="A1715" s="284"/>
      <c r="B1715" s="284"/>
      <c r="C1715" s="284"/>
      <c r="D1715" s="284"/>
      <c r="E1715" s="284"/>
      <c r="F1715" s="284"/>
      <c r="G1715" s="284"/>
      <c r="H1715" s="284"/>
      <c r="I1715" s="284"/>
      <c r="J1715" s="375"/>
      <c r="K1715" s="375"/>
      <c r="L1715" s="375"/>
      <c r="M1715" s="368"/>
      <c r="N1715" s="368"/>
      <c r="O1715" s="370"/>
      <c r="T1715" s="349"/>
      <c r="V1715" s="378"/>
      <c r="W1715" s="64" ph="1"/>
      <c r="X1715" s="241"/>
      <c r="Y1715" s="284"/>
      <c r="Z1715" s="207"/>
      <c r="AA1715" s="284"/>
      <c r="AB1715" s="284"/>
      <c r="AC1715" s="284"/>
      <c r="AD1715" s="284"/>
      <c r="AE1715" s="284"/>
      <c r="AF1715" s="284"/>
      <c r="AG1715" s="284"/>
      <c r="AI1715" s="131"/>
    </row>
    <row r="1716" spans="1:35" ht="26.4">
      <c r="A1716" s="284"/>
      <c r="B1716" s="284"/>
      <c r="C1716" s="284"/>
      <c r="D1716" s="284"/>
      <c r="E1716" s="284"/>
      <c r="F1716" s="284"/>
      <c r="G1716" s="284"/>
      <c r="H1716" s="284"/>
      <c r="I1716" s="284"/>
      <c r="J1716" s="375"/>
      <c r="K1716" s="375"/>
      <c r="L1716" s="375"/>
      <c r="M1716" s="368"/>
      <c r="N1716" s="368"/>
      <c r="O1716" s="370"/>
      <c r="T1716" s="349"/>
      <c r="V1716" s="378"/>
      <c r="W1716" s="64" ph="1"/>
      <c r="X1716" s="241"/>
      <c r="Y1716" s="284"/>
      <c r="Z1716" s="207"/>
      <c r="AA1716" s="284"/>
      <c r="AB1716" s="284"/>
      <c r="AC1716" s="284"/>
      <c r="AD1716" s="284"/>
      <c r="AE1716" s="284"/>
      <c r="AF1716" s="284"/>
      <c r="AG1716" s="284"/>
      <c r="AI1716" s="131"/>
    </row>
    <row r="1717" spans="1:35" ht="26.4">
      <c r="A1717" s="284"/>
      <c r="B1717" s="284"/>
      <c r="C1717" s="284"/>
      <c r="D1717" s="284"/>
      <c r="E1717" s="284"/>
      <c r="F1717" s="284"/>
      <c r="G1717" s="284"/>
      <c r="H1717" s="284"/>
      <c r="I1717" s="284"/>
      <c r="J1717" s="375"/>
      <c r="K1717" s="375"/>
      <c r="L1717" s="375"/>
      <c r="M1717" s="368"/>
      <c r="N1717" s="368"/>
      <c r="O1717" s="370"/>
      <c r="T1717" s="349"/>
      <c r="V1717" s="378"/>
      <c r="W1717" s="64" ph="1"/>
      <c r="X1717" s="241"/>
      <c r="Y1717" s="284"/>
      <c r="Z1717" s="207"/>
      <c r="AA1717" s="284"/>
      <c r="AB1717" s="284"/>
      <c r="AC1717" s="284"/>
      <c r="AD1717" s="284"/>
      <c r="AE1717" s="284"/>
      <c r="AF1717" s="284"/>
      <c r="AG1717" s="284"/>
      <c r="AI1717" s="284"/>
    </row>
    <row r="1718" spans="1:35" ht="26.4">
      <c r="A1718" s="284"/>
      <c r="B1718" s="284"/>
      <c r="C1718" s="284"/>
      <c r="D1718" s="284"/>
      <c r="E1718" s="284"/>
      <c r="F1718" s="284"/>
      <c r="G1718" s="284"/>
      <c r="H1718" s="284"/>
      <c r="I1718" s="284"/>
      <c r="J1718" s="375"/>
      <c r="K1718" s="375"/>
      <c r="L1718" s="375"/>
      <c r="M1718" s="368"/>
      <c r="N1718" s="368"/>
      <c r="O1718" s="370"/>
      <c r="T1718" s="349"/>
      <c r="V1718" s="378"/>
      <c r="W1718" s="64" ph="1"/>
      <c r="X1718" s="241"/>
      <c r="Y1718" s="284"/>
      <c r="Z1718" s="207"/>
      <c r="AA1718" s="284"/>
      <c r="AB1718" s="284"/>
      <c r="AC1718" s="284"/>
      <c r="AD1718" s="284"/>
      <c r="AE1718" s="284"/>
      <c r="AF1718" s="284"/>
      <c r="AG1718" s="284"/>
      <c r="AI1718" s="131"/>
    </row>
    <row r="1719" spans="1:35" ht="26.4">
      <c r="A1719" s="284"/>
      <c r="B1719" s="284"/>
      <c r="C1719" s="284"/>
      <c r="D1719" s="284"/>
      <c r="E1719" s="284"/>
      <c r="F1719" s="284"/>
      <c r="G1719" s="284"/>
      <c r="H1719" s="284"/>
      <c r="I1719" s="284"/>
      <c r="J1719" s="375"/>
      <c r="K1719" s="375"/>
      <c r="L1719" s="375"/>
      <c r="M1719" s="368"/>
      <c r="N1719" s="368"/>
      <c r="O1719" s="370"/>
      <c r="T1719" s="349"/>
      <c r="V1719" s="378"/>
      <c r="W1719" s="64" ph="1"/>
      <c r="X1719" s="241"/>
      <c r="Y1719" s="284"/>
      <c r="Z1719" s="207"/>
      <c r="AA1719" s="284"/>
      <c r="AB1719" s="284"/>
      <c r="AC1719" s="284"/>
      <c r="AD1719" s="284"/>
      <c r="AE1719" s="284"/>
      <c r="AF1719" s="284"/>
      <c r="AG1719" s="284"/>
      <c r="AI1719" s="131"/>
    </row>
    <row r="1720" spans="1:35" ht="26.4">
      <c r="A1720" s="284"/>
      <c r="B1720" s="284"/>
      <c r="C1720" s="284"/>
      <c r="D1720" s="284"/>
      <c r="E1720" s="284"/>
      <c r="F1720" s="284"/>
      <c r="G1720" s="284"/>
      <c r="H1720" s="284"/>
      <c r="I1720" s="284"/>
      <c r="J1720" s="375"/>
      <c r="K1720" s="375"/>
      <c r="L1720" s="375"/>
      <c r="M1720" s="368"/>
      <c r="N1720" s="368"/>
      <c r="O1720" s="370"/>
      <c r="T1720" s="349"/>
      <c r="V1720" s="378"/>
      <c r="W1720" s="64" ph="1"/>
      <c r="X1720" s="241"/>
      <c r="Y1720" s="284"/>
      <c r="Z1720" s="207"/>
      <c r="AA1720" s="284"/>
      <c r="AB1720" s="284"/>
      <c r="AC1720" s="284"/>
      <c r="AD1720" s="284"/>
      <c r="AE1720" s="284"/>
      <c r="AF1720" s="284"/>
      <c r="AG1720" s="284"/>
      <c r="AI1720" s="131"/>
    </row>
    <row r="1721" spans="1:35" ht="26.4">
      <c r="A1721" s="284"/>
      <c r="B1721" s="284"/>
      <c r="C1721" s="284"/>
      <c r="D1721" s="284"/>
      <c r="E1721" s="284"/>
      <c r="F1721" s="284"/>
      <c r="G1721" s="284"/>
      <c r="H1721" s="284"/>
      <c r="I1721" s="284"/>
      <c r="J1721" s="375"/>
      <c r="K1721" s="375"/>
      <c r="L1721" s="375"/>
      <c r="M1721" s="368"/>
      <c r="N1721" s="368"/>
      <c r="O1721" s="370"/>
      <c r="T1721" s="349"/>
      <c r="V1721" s="378"/>
      <c r="W1721" s="64" ph="1"/>
      <c r="X1721" s="241"/>
      <c r="Y1721" s="284"/>
      <c r="Z1721" s="207"/>
      <c r="AA1721" s="284"/>
      <c r="AB1721" s="284"/>
      <c r="AC1721" s="284"/>
      <c r="AD1721" s="284"/>
      <c r="AE1721" s="284"/>
      <c r="AF1721" s="284"/>
      <c r="AG1721" s="284"/>
      <c r="AI1721" s="131"/>
    </row>
    <row r="1722" spans="1:35" ht="26.4">
      <c r="A1722" s="284"/>
      <c r="B1722" s="284"/>
      <c r="C1722" s="284"/>
      <c r="D1722" s="284"/>
      <c r="E1722" s="284"/>
      <c r="F1722" s="284"/>
      <c r="G1722" s="284"/>
      <c r="H1722" s="284"/>
      <c r="I1722" s="284"/>
      <c r="J1722" s="375"/>
      <c r="K1722" s="375"/>
      <c r="L1722" s="375"/>
      <c r="M1722" s="368"/>
      <c r="N1722" s="368"/>
      <c r="O1722" s="370"/>
      <c r="T1722" s="349"/>
      <c r="V1722" s="378"/>
      <c r="W1722" s="64" ph="1"/>
      <c r="X1722" s="241"/>
      <c r="Y1722" s="284"/>
      <c r="Z1722" s="207"/>
      <c r="AA1722" s="284"/>
      <c r="AB1722" s="284"/>
      <c r="AC1722" s="284"/>
      <c r="AD1722" s="284"/>
      <c r="AE1722" s="284"/>
      <c r="AF1722" s="284"/>
      <c r="AG1722" s="284"/>
      <c r="AI1722" s="131"/>
    </row>
    <row r="1723" spans="1:35" ht="26.4">
      <c r="A1723" s="284"/>
      <c r="B1723" s="284"/>
      <c r="C1723" s="284"/>
      <c r="D1723" s="284"/>
      <c r="E1723" s="284"/>
      <c r="F1723" s="284"/>
      <c r="G1723" s="284"/>
      <c r="H1723" s="284"/>
      <c r="I1723" s="284"/>
      <c r="J1723" s="375"/>
      <c r="K1723" s="375"/>
      <c r="L1723" s="375"/>
      <c r="M1723" s="368"/>
      <c r="N1723" s="368"/>
      <c r="O1723" s="370"/>
      <c r="T1723" s="349"/>
      <c r="V1723" s="378"/>
      <c r="W1723" s="64" ph="1"/>
      <c r="X1723" s="241"/>
      <c r="Y1723" s="284"/>
      <c r="Z1723" s="207"/>
      <c r="AA1723" s="284"/>
      <c r="AB1723" s="284"/>
      <c r="AC1723" s="284"/>
      <c r="AD1723" s="284"/>
      <c r="AE1723" s="284"/>
      <c r="AF1723" s="284"/>
      <c r="AG1723" s="284"/>
      <c r="AI1723" s="131"/>
    </row>
    <row r="1724" spans="1:35" ht="26.4">
      <c r="A1724" s="284"/>
      <c r="B1724" s="284"/>
      <c r="C1724" s="284"/>
      <c r="D1724" s="284"/>
      <c r="E1724" s="284"/>
      <c r="F1724" s="284"/>
      <c r="G1724" s="284"/>
      <c r="H1724" s="284"/>
      <c r="I1724" s="284"/>
      <c r="J1724" s="375"/>
      <c r="K1724" s="375"/>
      <c r="L1724" s="375"/>
      <c r="M1724" s="368"/>
      <c r="N1724" s="368"/>
      <c r="O1724" s="370"/>
      <c r="T1724" s="349"/>
      <c r="V1724" s="378"/>
      <c r="W1724" s="64" ph="1"/>
      <c r="X1724" s="241"/>
      <c r="Y1724" s="284"/>
      <c r="Z1724" s="207"/>
      <c r="AA1724" s="284"/>
      <c r="AB1724" s="284"/>
      <c r="AC1724" s="284"/>
      <c r="AD1724" s="284"/>
      <c r="AE1724" s="284"/>
      <c r="AF1724" s="284"/>
      <c r="AG1724" s="284"/>
      <c r="AI1724" s="131"/>
    </row>
    <row r="1725" spans="1:35" ht="26.4">
      <c r="A1725" s="284"/>
      <c r="B1725" s="284"/>
      <c r="C1725" s="284"/>
      <c r="D1725" s="284"/>
      <c r="E1725" s="284"/>
      <c r="F1725" s="284"/>
      <c r="G1725" s="284"/>
      <c r="H1725" s="284"/>
      <c r="I1725" s="284"/>
      <c r="J1725" s="375"/>
      <c r="K1725" s="375"/>
      <c r="L1725" s="375"/>
      <c r="M1725" s="368"/>
      <c r="N1725" s="368"/>
      <c r="O1725" s="370"/>
      <c r="T1725" s="349"/>
      <c r="V1725" s="378"/>
      <c r="W1725" s="64" ph="1"/>
      <c r="X1725" s="241"/>
      <c r="Y1725" s="284"/>
      <c r="Z1725" s="207"/>
      <c r="AA1725" s="284"/>
      <c r="AB1725" s="284"/>
      <c r="AC1725" s="284"/>
      <c r="AD1725" s="284"/>
      <c r="AE1725" s="284"/>
      <c r="AF1725" s="284"/>
      <c r="AG1725" s="284"/>
      <c r="AI1725" s="131"/>
    </row>
    <row r="1726" spans="1:35" ht="26.4">
      <c r="A1726" s="284"/>
      <c r="B1726" s="284"/>
      <c r="C1726" s="284"/>
      <c r="D1726" s="284"/>
      <c r="E1726" s="284"/>
      <c r="F1726" s="284"/>
      <c r="G1726" s="284"/>
      <c r="H1726" s="284"/>
      <c r="I1726" s="284"/>
      <c r="J1726" s="375"/>
      <c r="K1726" s="375"/>
      <c r="L1726" s="375"/>
      <c r="M1726" s="368"/>
      <c r="N1726" s="368"/>
      <c r="O1726" s="370"/>
      <c r="T1726" s="349"/>
      <c r="V1726" s="378"/>
      <c r="W1726" s="64" ph="1"/>
      <c r="X1726" s="241"/>
      <c r="Y1726" s="284"/>
      <c r="Z1726" s="207"/>
      <c r="AA1726" s="284"/>
      <c r="AB1726" s="284"/>
      <c r="AC1726" s="284"/>
      <c r="AD1726" s="284"/>
      <c r="AE1726" s="284"/>
      <c r="AF1726" s="284"/>
      <c r="AG1726" s="284"/>
      <c r="AI1726" s="131"/>
    </row>
    <row r="1727" spans="1:35" ht="26.4">
      <c r="A1727" s="284"/>
      <c r="B1727" s="284"/>
      <c r="C1727" s="284"/>
      <c r="D1727" s="284"/>
      <c r="E1727" s="284"/>
      <c r="F1727" s="284"/>
      <c r="G1727" s="284"/>
      <c r="H1727" s="284"/>
      <c r="I1727" s="284"/>
      <c r="J1727" s="375"/>
      <c r="K1727" s="375"/>
      <c r="L1727" s="375"/>
      <c r="M1727" s="368"/>
      <c r="N1727" s="368"/>
      <c r="O1727" s="370"/>
      <c r="T1727" s="349"/>
      <c r="V1727" s="378"/>
      <c r="W1727" s="64" ph="1"/>
      <c r="X1727" s="241"/>
      <c r="Y1727" s="284"/>
      <c r="Z1727" s="207"/>
      <c r="AA1727" s="284"/>
      <c r="AB1727" s="284"/>
      <c r="AC1727" s="284"/>
      <c r="AD1727" s="284"/>
      <c r="AE1727" s="284"/>
      <c r="AF1727" s="284"/>
      <c r="AG1727" s="284"/>
      <c r="AI1727" s="131"/>
    </row>
    <row r="1728" spans="1:35" ht="26.4">
      <c r="A1728" s="284"/>
      <c r="B1728" s="284"/>
      <c r="C1728" s="284"/>
      <c r="D1728" s="284"/>
      <c r="E1728" s="284"/>
      <c r="F1728" s="284"/>
      <c r="G1728" s="284"/>
      <c r="H1728" s="284"/>
      <c r="I1728" s="284"/>
      <c r="J1728" s="375"/>
      <c r="K1728" s="375"/>
      <c r="L1728" s="375"/>
      <c r="M1728" s="368"/>
      <c r="N1728" s="368"/>
      <c r="O1728" s="370"/>
      <c r="T1728" s="349"/>
      <c r="V1728" s="378"/>
      <c r="W1728" s="64" ph="1"/>
      <c r="X1728" s="241"/>
      <c r="Y1728" s="284"/>
      <c r="Z1728" s="207"/>
      <c r="AA1728" s="284"/>
      <c r="AB1728" s="284"/>
      <c r="AC1728" s="284"/>
      <c r="AD1728" s="284"/>
      <c r="AE1728" s="284"/>
      <c r="AF1728" s="284"/>
      <c r="AG1728" s="284"/>
      <c r="AI1728" s="131"/>
    </row>
    <row r="1729" spans="1:35" ht="26.4">
      <c r="A1729" s="284"/>
      <c r="B1729" s="284"/>
      <c r="C1729" s="284"/>
      <c r="D1729" s="284"/>
      <c r="E1729" s="284"/>
      <c r="F1729" s="284"/>
      <c r="G1729" s="284"/>
      <c r="H1729" s="284"/>
      <c r="I1729" s="284"/>
      <c r="J1729" s="375"/>
      <c r="K1729" s="375"/>
      <c r="L1729" s="375"/>
      <c r="M1729" s="368"/>
      <c r="N1729" s="368"/>
      <c r="O1729" s="370"/>
      <c r="T1729" s="349"/>
      <c r="V1729" s="378"/>
      <c r="W1729" s="64" ph="1"/>
      <c r="X1729" s="241"/>
      <c r="Y1729" s="284"/>
      <c r="Z1729" s="207"/>
      <c r="AA1729" s="284"/>
      <c r="AB1729" s="284"/>
      <c r="AC1729" s="284"/>
      <c r="AD1729" s="284"/>
      <c r="AE1729" s="284"/>
      <c r="AF1729" s="284"/>
      <c r="AG1729" s="284"/>
      <c r="AI1729" s="131"/>
    </row>
    <row r="1730" spans="1:35" ht="26.4">
      <c r="A1730" s="284"/>
      <c r="B1730" s="284"/>
      <c r="C1730" s="284"/>
      <c r="D1730" s="284"/>
      <c r="E1730" s="284"/>
      <c r="F1730" s="284"/>
      <c r="G1730" s="284"/>
      <c r="H1730" s="284"/>
      <c r="I1730" s="284"/>
      <c r="J1730" s="375"/>
      <c r="K1730" s="375"/>
      <c r="L1730" s="375"/>
      <c r="M1730" s="368"/>
      <c r="N1730" s="368"/>
      <c r="O1730" s="370"/>
      <c r="T1730" s="349"/>
      <c r="V1730" s="378"/>
      <c r="W1730" s="64" ph="1"/>
      <c r="X1730" s="241"/>
      <c r="Y1730" s="284"/>
      <c r="Z1730" s="207"/>
      <c r="AA1730" s="284"/>
      <c r="AB1730" s="284"/>
      <c r="AC1730" s="284"/>
      <c r="AD1730" s="284"/>
      <c r="AE1730" s="284"/>
      <c r="AF1730" s="284"/>
      <c r="AG1730" s="284"/>
      <c r="AI1730" s="131"/>
    </row>
    <row r="1731" spans="1:35" ht="26.4">
      <c r="A1731" s="284"/>
      <c r="B1731" s="284"/>
      <c r="C1731" s="284"/>
      <c r="D1731" s="284"/>
      <c r="E1731" s="284"/>
      <c r="F1731" s="284"/>
      <c r="G1731" s="284"/>
      <c r="H1731" s="284"/>
      <c r="I1731" s="284"/>
      <c r="J1731" s="375"/>
      <c r="K1731" s="375"/>
      <c r="L1731" s="375"/>
      <c r="M1731" s="368"/>
      <c r="N1731" s="368"/>
      <c r="O1731" s="370"/>
      <c r="T1731" s="349"/>
      <c r="V1731" s="378"/>
      <c r="W1731" s="64" ph="1"/>
      <c r="X1731" s="241"/>
      <c r="Y1731" s="284"/>
      <c r="Z1731" s="207"/>
      <c r="AA1731" s="284"/>
      <c r="AB1731" s="284"/>
      <c r="AC1731" s="284"/>
      <c r="AD1731" s="284"/>
      <c r="AE1731" s="284"/>
      <c r="AF1731" s="284"/>
      <c r="AG1731" s="284"/>
      <c r="AI1731" s="131"/>
    </row>
    <row r="1732" spans="1:35" ht="26.4">
      <c r="A1732" s="284"/>
      <c r="B1732" s="284"/>
      <c r="C1732" s="284"/>
      <c r="D1732" s="284"/>
      <c r="E1732" s="284"/>
      <c r="F1732" s="284"/>
      <c r="G1732" s="284"/>
      <c r="H1732" s="284"/>
      <c r="I1732" s="284"/>
      <c r="J1732" s="375"/>
      <c r="K1732" s="375"/>
      <c r="L1732" s="375"/>
      <c r="M1732" s="368"/>
      <c r="N1732" s="368"/>
      <c r="O1732" s="370"/>
      <c r="T1732" s="349"/>
      <c r="V1732" s="378"/>
      <c r="W1732" s="64" ph="1"/>
      <c r="X1732" s="241"/>
      <c r="Y1732" s="284"/>
      <c r="Z1732" s="207"/>
      <c r="AA1732" s="284"/>
      <c r="AB1732" s="284"/>
      <c r="AC1732" s="284"/>
      <c r="AD1732" s="284"/>
      <c r="AE1732" s="284"/>
      <c r="AF1732" s="284"/>
      <c r="AG1732" s="284"/>
      <c r="AI1732" s="131"/>
    </row>
    <row r="1733" spans="1:35" ht="26.4">
      <c r="A1733" s="284"/>
      <c r="B1733" s="284"/>
      <c r="C1733" s="284"/>
      <c r="D1733" s="284"/>
      <c r="E1733" s="284"/>
      <c r="F1733" s="284"/>
      <c r="G1733" s="284"/>
      <c r="H1733" s="284"/>
      <c r="I1733" s="284"/>
      <c r="J1733" s="375"/>
      <c r="K1733" s="375"/>
      <c r="L1733" s="375"/>
      <c r="M1733" s="368"/>
      <c r="N1733" s="368"/>
      <c r="O1733" s="370"/>
      <c r="T1733" s="349"/>
      <c r="V1733" s="378"/>
      <c r="W1733" s="64" ph="1"/>
      <c r="X1733" s="241"/>
      <c r="Y1733" s="284"/>
      <c r="Z1733" s="207"/>
      <c r="AA1733" s="284"/>
      <c r="AB1733" s="284"/>
      <c r="AC1733" s="284"/>
      <c r="AD1733" s="284"/>
      <c r="AE1733" s="284"/>
      <c r="AF1733" s="284"/>
      <c r="AG1733" s="284"/>
      <c r="AI1733" s="131"/>
    </row>
    <row r="1734" spans="1:35" ht="26.4">
      <c r="A1734" s="284"/>
      <c r="B1734" s="284"/>
      <c r="C1734" s="284"/>
      <c r="D1734" s="284"/>
      <c r="E1734" s="284"/>
      <c r="F1734" s="284"/>
      <c r="G1734" s="284"/>
      <c r="H1734" s="284"/>
      <c r="I1734" s="284"/>
      <c r="J1734" s="375"/>
      <c r="K1734" s="375"/>
      <c r="L1734" s="375"/>
      <c r="M1734" s="368"/>
      <c r="N1734" s="368"/>
      <c r="O1734" s="370"/>
      <c r="T1734" s="349"/>
      <c r="V1734" s="378"/>
      <c r="W1734" s="64" ph="1"/>
      <c r="X1734" s="241"/>
      <c r="Y1734" s="284"/>
      <c r="Z1734" s="207"/>
      <c r="AA1734" s="284"/>
      <c r="AB1734" s="284"/>
      <c r="AC1734" s="284"/>
      <c r="AD1734" s="284"/>
      <c r="AE1734" s="284"/>
      <c r="AF1734" s="284"/>
      <c r="AG1734" s="284"/>
      <c r="AI1734" s="131"/>
    </row>
    <row r="1735" spans="1:35" ht="26.4">
      <c r="A1735" s="284"/>
      <c r="B1735" s="284"/>
      <c r="C1735" s="284"/>
      <c r="D1735" s="284"/>
      <c r="E1735" s="284"/>
      <c r="F1735" s="284"/>
      <c r="G1735" s="284"/>
      <c r="H1735" s="284"/>
      <c r="I1735" s="284"/>
      <c r="J1735" s="375"/>
      <c r="K1735" s="375"/>
      <c r="L1735" s="375"/>
      <c r="M1735" s="368"/>
      <c r="N1735" s="368"/>
      <c r="O1735" s="370"/>
      <c r="T1735" s="349"/>
      <c r="V1735" s="378"/>
      <c r="W1735" s="64" ph="1"/>
      <c r="X1735" s="241"/>
      <c r="Y1735" s="284"/>
      <c r="Z1735" s="207"/>
      <c r="AA1735" s="284"/>
      <c r="AB1735" s="284"/>
      <c r="AC1735" s="284"/>
      <c r="AD1735" s="284"/>
      <c r="AE1735" s="284"/>
      <c r="AF1735" s="284"/>
      <c r="AG1735" s="284"/>
      <c r="AI1735" s="131"/>
    </row>
    <row r="1736" spans="1:35" ht="26.4">
      <c r="A1736" s="284"/>
      <c r="B1736" s="284"/>
      <c r="C1736" s="284"/>
      <c r="D1736" s="284"/>
      <c r="E1736" s="284"/>
      <c r="F1736" s="284"/>
      <c r="G1736" s="284"/>
      <c r="H1736" s="284"/>
      <c r="I1736" s="284"/>
      <c r="J1736" s="375"/>
      <c r="K1736" s="375"/>
      <c r="L1736" s="375"/>
      <c r="M1736" s="368"/>
      <c r="N1736" s="368"/>
      <c r="O1736" s="370"/>
      <c r="T1736" s="349"/>
      <c r="V1736" s="378"/>
      <c r="W1736" s="64" ph="1"/>
      <c r="X1736" s="241"/>
      <c r="Y1736" s="284"/>
      <c r="Z1736" s="207"/>
      <c r="AA1736" s="284"/>
      <c r="AB1736" s="284"/>
      <c r="AC1736" s="284"/>
      <c r="AD1736" s="284"/>
      <c r="AE1736" s="284"/>
      <c r="AF1736" s="284"/>
      <c r="AG1736" s="284"/>
      <c r="AI1736" s="131"/>
    </row>
    <row r="1737" spans="1:35" ht="26.4">
      <c r="A1737" s="284"/>
      <c r="B1737" s="284"/>
      <c r="C1737" s="284"/>
      <c r="D1737" s="284"/>
      <c r="E1737" s="284"/>
      <c r="F1737" s="284"/>
      <c r="G1737" s="284"/>
      <c r="H1737" s="284"/>
      <c r="I1737" s="284"/>
      <c r="J1737" s="375"/>
      <c r="K1737" s="375"/>
      <c r="L1737" s="375"/>
      <c r="M1737" s="368"/>
      <c r="N1737" s="368"/>
      <c r="O1737" s="370"/>
      <c r="T1737" s="349"/>
      <c r="V1737" s="378"/>
      <c r="W1737" s="64" ph="1"/>
      <c r="X1737" s="241"/>
      <c r="Y1737" s="284"/>
      <c r="Z1737" s="207"/>
      <c r="AA1737" s="284"/>
      <c r="AB1737" s="284"/>
      <c r="AC1737" s="284"/>
      <c r="AD1737" s="284"/>
      <c r="AE1737" s="284"/>
      <c r="AF1737" s="284"/>
      <c r="AG1737" s="284"/>
      <c r="AI1737" s="131"/>
    </row>
    <row r="1738" spans="1:35" ht="26.4">
      <c r="A1738" s="284"/>
      <c r="B1738" s="284"/>
      <c r="C1738" s="284"/>
      <c r="D1738" s="284"/>
      <c r="E1738" s="284"/>
      <c r="F1738" s="284"/>
      <c r="G1738" s="284"/>
      <c r="H1738" s="284"/>
      <c r="I1738" s="284"/>
      <c r="J1738" s="375"/>
      <c r="K1738" s="375"/>
      <c r="L1738" s="375"/>
      <c r="M1738" s="368"/>
      <c r="N1738" s="368"/>
      <c r="O1738" s="370"/>
      <c r="T1738" s="349"/>
      <c r="V1738" s="378"/>
      <c r="W1738" s="64" ph="1"/>
      <c r="X1738" s="241"/>
      <c r="Y1738" s="284"/>
      <c r="Z1738" s="207"/>
      <c r="AA1738" s="284"/>
      <c r="AB1738" s="284"/>
      <c r="AC1738" s="284"/>
      <c r="AD1738" s="284"/>
      <c r="AE1738" s="284"/>
      <c r="AF1738" s="284"/>
      <c r="AG1738" s="284"/>
      <c r="AI1738" s="131"/>
    </row>
    <row r="1739" spans="1:35" ht="26.4">
      <c r="A1739" s="284"/>
      <c r="B1739" s="284"/>
      <c r="C1739" s="284"/>
      <c r="D1739" s="284"/>
      <c r="E1739" s="284"/>
      <c r="F1739" s="284"/>
      <c r="G1739" s="284"/>
      <c r="H1739" s="284"/>
      <c r="I1739" s="284"/>
      <c r="J1739" s="375"/>
      <c r="K1739" s="375"/>
      <c r="L1739" s="375"/>
      <c r="M1739" s="368"/>
      <c r="N1739" s="368"/>
      <c r="O1739" s="370"/>
      <c r="T1739" s="349"/>
      <c r="V1739" s="378"/>
      <c r="W1739" s="64" ph="1"/>
      <c r="X1739" s="241"/>
      <c r="Y1739" s="284"/>
      <c r="Z1739" s="207"/>
      <c r="AA1739" s="284"/>
      <c r="AB1739" s="284"/>
      <c r="AC1739" s="284"/>
      <c r="AD1739" s="284"/>
      <c r="AE1739" s="284"/>
      <c r="AF1739" s="284"/>
      <c r="AG1739" s="284"/>
      <c r="AI1739" s="131"/>
    </row>
    <row r="1740" spans="1:35" ht="26.4">
      <c r="A1740" s="284"/>
      <c r="B1740" s="284"/>
      <c r="C1740" s="284"/>
      <c r="D1740" s="284"/>
      <c r="E1740" s="284"/>
      <c r="F1740" s="284"/>
      <c r="G1740" s="284"/>
      <c r="H1740" s="284"/>
      <c r="I1740" s="284"/>
      <c r="J1740" s="375"/>
      <c r="K1740" s="375"/>
      <c r="L1740" s="375"/>
      <c r="M1740" s="368"/>
      <c r="N1740" s="368"/>
      <c r="O1740" s="370"/>
      <c r="T1740" s="349"/>
      <c r="V1740" s="378"/>
      <c r="W1740" s="64" ph="1"/>
      <c r="X1740" s="241"/>
      <c r="Y1740" s="284"/>
      <c r="Z1740" s="207"/>
      <c r="AA1740" s="284"/>
      <c r="AB1740" s="284"/>
      <c r="AC1740" s="284"/>
      <c r="AD1740" s="284"/>
      <c r="AE1740" s="284"/>
      <c r="AF1740" s="284"/>
      <c r="AG1740" s="284"/>
      <c r="AI1740" s="131"/>
    </row>
    <row r="1741" spans="1:35" ht="26.4">
      <c r="A1741" s="284"/>
      <c r="B1741" s="284"/>
      <c r="C1741" s="284"/>
      <c r="D1741" s="284"/>
      <c r="E1741" s="284"/>
      <c r="F1741" s="284"/>
      <c r="G1741" s="284"/>
      <c r="H1741" s="284"/>
      <c r="I1741" s="284"/>
      <c r="J1741" s="375"/>
      <c r="K1741" s="375"/>
      <c r="L1741" s="375"/>
      <c r="M1741" s="368"/>
      <c r="N1741" s="368"/>
      <c r="O1741" s="370"/>
      <c r="T1741" s="349"/>
      <c r="V1741" s="378"/>
      <c r="W1741" s="64" ph="1"/>
      <c r="X1741" s="241"/>
      <c r="Y1741" s="284"/>
      <c r="Z1741" s="207"/>
      <c r="AA1741" s="284"/>
      <c r="AB1741" s="284"/>
      <c r="AC1741" s="284"/>
      <c r="AD1741" s="284"/>
      <c r="AE1741" s="284"/>
      <c r="AF1741" s="284"/>
      <c r="AG1741" s="284"/>
      <c r="AI1741" s="131"/>
    </row>
    <row r="1742" spans="1:35" ht="26.4">
      <c r="A1742" s="284"/>
      <c r="B1742" s="284"/>
      <c r="C1742" s="284"/>
      <c r="D1742" s="284"/>
      <c r="E1742" s="284"/>
      <c r="F1742" s="284"/>
      <c r="G1742" s="284"/>
      <c r="H1742" s="284"/>
      <c r="I1742" s="284"/>
      <c r="J1742" s="375"/>
      <c r="K1742" s="375"/>
      <c r="L1742" s="375"/>
      <c r="M1742" s="368"/>
      <c r="N1742" s="368"/>
      <c r="O1742" s="370"/>
      <c r="T1742" s="349"/>
      <c r="V1742" s="378"/>
      <c r="W1742" s="64" ph="1"/>
      <c r="X1742" s="241"/>
      <c r="Y1742" s="284"/>
      <c r="Z1742" s="207"/>
      <c r="AA1742" s="284"/>
      <c r="AB1742" s="284"/>
      <c r="AC1742" s="284"/>
      <c r="AD1742" s="284"/>
      <c r="AE1742" s="284"/>
      <c r="AF1742" s="284"/>
      <c r="AG1742" s="284"/>
      <c r="AI1742" s="131"/>
    </row>
    <row r="1743" spans="1:35" ht="26.4">
      <c r="A1743" s="284"/>
      <c r="B1743" s="284"/>
      <c r="C1743" s="284"/>
      <c r="D1743" s="284"/>
      <c r="E1743" s="284"/>
      <c r="F1743" s="284"/>
      <c r="G1743" s="284"/>
      <c r="H1743" s="284"/>
      <c r="I1743" s="284"/>
      <c r="J1743" s="375"/>
      <c r="K1743" s="375"/>
      <c r="L1743" s="375"/>
      <c r="M1743" s="368"/>
      <c r="N1743" s="368"/>
      <c r="O1743" s="370"/>
      <c r="T1743" s="349"/>
      <c r="V1743" s="378"/>
      <c r="W1743" s="64" ph="1"/>
      <c r="X1743" s="241"/>
      <c r="Y1743" s="284"/>
      <c r="Z1743" s="207"/>
      <c r="AA1743" s="284"/>
      <c r="AB1743" s="284"/>
      <c r="AC1743" s="284"/>
      <c r="AD1743" s="284"/>
      <c r="AE1743" s="284"/>
      <c r="AF1743" s="284"/>
      <c r="AG1743" s="284"/>
      <c r="AI1743" s="131"/>
    </row>
    <row r="1744" spans="1:35" ht="26.4">
      <c r="A1744" s="284"/>
      <c r="B1744" s="284"/>
      <c r="C1744" s="284"/>
      <c r="D1744" s="284"/>
      <c r="E1744" s="284"/>
      <c r="F1744" s="284"/>
      <c r="G1744" s="284"/>
      <c r="H1744" s="284"/>
      <c r="I1744" s="284"/>
      <c r="J1744" s="375"/>
      <c r="K1744" s="375"/>
      <c r="L1744" s="375"/>
      <c r="M1744" s="368"/>
      <c r="N1744" s="368"/>
      <c r="O1744" s="370"/>
      <c r="T1744" s="349"/>
      <c r="V1744" s="378"/>
      <c r="W1744" s="64" ph="1"/>
      <c r="X1744" s="241"/>
      <c r="Y1744" s="284"/>
      <c r="Z1744" s="207"/>
      <c r="AA1744" s="284"/>
      <c r="AB1744" s="284"/>
      <c r="AC1744" s="284"/>
      <c r="AD1744" s="284"/>
      <c r="AE1744" s="284"/>
      <c r="AF1744" s="284"/>
      <c r="AG1744" s="284"/>
      <c r="AI1744" s="131"/>
    </row>
    <row r="1745" spans="1:35" ht="26.4">
      <c r="A1745" s="284"/>
      <c r="B1745" s="284"/>
      <c r="C1745" s="284"/>
      <c r="D1745" s="284"/>
      <c r="E1745" s="284"/>
      <c r="F1745" s="284"/>
      <c r="G1745" s="284"/>
      <c r="H1745" s="284"/>
      <c r="I1745" s="284"/>
      <c r="J1745" s="375"/>
      <c r="K1745" s="375"/>
      <c r="L1745" s="375"/>
      <c r="M1745" s="368"/>
      <c r="N1745" s="368"/>
      <c r="O1745" s="370"/>
      <c r="T1745" s="349"/>
      <c r="V1745" s="378"/>
      <c r="W1745" s="64" ph="1"/>
      <c r="X1745" s="241"/>
      <c r="Y1745" s="284"/>
      <c r="Z1745" s="207"/>
      <c r="AA1745" s="284"/>
      <c r="AB1745" s="284"/>
      <c r="AC1745" s="284"/>
      <c r="AD1745" s="284"/>
      <c r="AE1745" s="284"/>
      <c r="AF1745" s="284"/>
      <c r="AG1745" s="284"/>
      <c r="AI1745" s="131"/>
    </row>
    <row r="1746" spans="1:35" ht="26.4">
      <c r="A1746" s="284"/>
      <c r="B1746" s="284"/>
      <c r="C1746" s="284"/>
      <c r="D1746" s="284"/>
      <c r="E1746" s="284"/>
      <c r="F1746" s="284"/>
      <c r="G1746" s="284"/>
      <c r="H1746" s="284"/>
      <c r="I1746" s="284"/>
      <c r="J1746" s="375"/>
      <c r="K1746" s="375"/>
      <c r="L1746" s="375"/>
      <c r="M1746" s="368"/>
      <c r="N1746" s="368"/>
      <c r="O1746" s="370"/>
      <c r="T1746" s="349"/>
      <c r="V1746" s="378"/>
      <c r="W1746" s="64" ph="1"/>
      <c r="X1746" s="241"/>
      <c r="Y1746" s="284"/>
      <c r="Z1746" s="207"/>
      <c r="AA1746" s="284"/>
      <c r="AB1746" s="284"/>
      <c r="AC1746" s="284"/>
      <c r="AD1746" s="284"/>
      <c r="AE1746" s="284"/>
      <c r="AF1746" s="284"/>
      <c r="AG1746" s="284"/>
      <c r="AI1746" s="131"/>
    </row>
    <row r="1747" spans="1:35" ht="26.4">
      <c r="A1747" s="284"/>
      <c r="B1747" s="284"/>
      <c r="C1747" s="284"/>
      <c r="D1747" s="284"/>
      <c r="E1747" s="284"/>
      <c r="F1747" s="284"/>
      <c r="G1747" s="284"/>
      <c r="H1747" s="284"/>
      <c r="I1747" s="284"/>
      <c r="J1747" s="375"/>
      <c r="K1747" s="375"/>
      <c r="L1747" s="375"/>
      <c r="M1747" s="368"/>
      <c r="N1747" s="368"/>
      <c r="O1747" s="370"/>
      <c r="T1747" s="349"/>
      <c r="V1747" s="378"/>
      <c r="W1747" s="64" ph="1"/>
      <c r="X1747" s="241"/>
      <c r="Y1747" s="284"/>
      <c r="Z1747" s="207"/>
      <c r="AA1747" s="284"/>
      <c r="AB1747" s="284"/>
      <c r="AC1747" s="284"/>
      <c r="AD1747" s="284"/>
      <c r="AE1747" s="284"/>
      <c r="AF1747" s="284"/>
      <c r="AG1747" s="284"/>
      <c r="AI1747" s="131"/>
    </row>
    <row r="1748" spans="1:35" ht="26.4">
      <c r="A1748" s="284"/>
      <c r="B1748" s="284"/>
      <c r="C1748" s="284"/>
      <c r="D1748" s="284"/>
      <c r="E1748" s="284"/>
      <c r="F1748" s="284"/>
      <c r="G1748" s="284"/>
      <c r="H1748" s="284"/>
      <c r="I1748" s="284"/>
      <c r="J1748" s="375"/>
      <c r="K1748" s="375"/>
      <c r="L1748" s="375"/>
      <c r="M1748" s="368"/>
      <c r="N1748" s="368"/>
      <c r="O1748" s="370"/>
      <c r="T1748" s="349"/>
      <c r="V1748" s="378"/>
      <c r="W1748" s="64" ph="1"/>
      <c r="X1748" s="241"/>
      <c r="Y1748" s="284"/>
      <c r="Z1748" s="207"/>
      <c r="AA1748" s="284"/>
      <c r="AB1748" s="284"/>
      <c r="AC1748" s="284"/>
      <c r="AD1748" s="284"/>
      <c r="AE1748" s="284"/>
      <c r="AF1748" s="284"/>
      <c r="AG1748" s="284"/>
      <c r="AI1748" s="131"/>
    </row>
    <row r="1749" spans="1:35" ht="26.4">
      <c r="A1749" s="284"/>
      <c r="B1749" s="284"/>
      <c r="C1749" s="284"/>
      <c r="D1749" s="284"/>
      <c r="E1749" s="284"/>
      <c r="F1749" s="284"/>
      <c r="G1749" s="284"/>
      <c r="H1749" s="284"/>
      <c r="I1749" s="284"/>
      <c r="J1749" s="375"/>
      <c r="K1749" s="375"/>
      <c r="L1749" s="375"/>
      <c r="M1749" s="368"/>
      <c r="N1749" s="368"/>
      <c r="O1749" s="370"/>
      <c r="T1749" s="349"/>
      <c r="V1749" s="378"/>
      <c r="W1749" s="64" ph="1"/>
      <c r="X1749" s="241"/>
      <c r="Y1749" s="284"/>
      <c r="Z1749" s="207"/>
      <c r="AA1749" s="284"/>
      <c r="AB1749" s="284"/>
      <c r="AC1749" s="284"/>
      <c r="AD1749" s="284"/>
      <c r="AE1749" s="284"/>
      <c r="AF1749" s="284"/>
      <c r="AG1749" s="284"/>
      <c r="AI1749" s="131"/>
    </row>
    <row r="1750" spans="1:35" ht="26.4">
      <c r="A1750" s="284"/>
      <c r="B1750" s="284"/>
      <c r="C1750" s="284"/>
      <c r="D1750" s="284"/>
      <c r="E1750" s="284"/>
      <c r="F1750" s="284"/>
      <c r="G1750" s="284"/>
      <c r="H1750" s="284"/>
      <c r="I1750" s="284"/>
      <c r="J1750" s="375"/>
      <c r="K1750" s="375"/>
      <c r="L1750" s="375"/>
      <c r="M1750" s="368"/>
      <c r="N1750" s="368"/>
      <c r="O1750" s="370"/>
      <c r="T1750" s="349"/>
      <c r="V1750" s="378"/>
      <c r="W1750" s="64" ph="1"/>
      <c r="X1750" s="241"/>
      <c r="Y1750" s="284"/>
      <c r="Z1750" s="207"/>
      <c r="AA1750" s="284"/>
      <c r="AB1750" s="284"/>
      <c r="AC1750" s="284"/>
      <c r="AD1750" s="284"/>
      <c r="AE1750" s="284"/>
      <c r="AF1750" s="284"/>
      <c r="AG1750" s="284"/>
      <c r="AI1750" s="131"/>
    </row>
    <row r="1751" spans="1:35" ht="26.4">
      <c r="A1751" s="284"/>
      <c r="B1751" s="284"/>
      <c r="C1751" s="284"/>
      <c r="D1751" s="284"/>
      <c r="E1751" s="284"/>
      <c r="F1751" s="284"/>
      <c r="G1751" s="284"/>
      <c r="H1751" s="284"/>
      <c r="I1751" s="284"/>
      <c r="J1751" s="375"/>
      <c r="K1751" s="375"/>
      <c r="L1751" s="375"/>
      <c r="M1751" s="368"/>
      <c r="N1751" s="368"/>
      <c r="O1751" s="370"/>
      <c r="T1751" s="349"/>
      <c r="V1751" s="378"/>
      <c r="W1751" s="64" ph="1"/>
      <c r="X1751" s="241"/>
      <c r="Y1751" s="284"/>
      <c r="Z1751" s="207"/>
      <c r="AA1751" s="284"/>
      <c r="AB1751" s="284"/>
      <c r="AC1751" s="284"/>
      <c r="AD1751" s="284"/>
      <c r="AE1751" s="284"/>
      <c r="AF1751" s="284"/>
      <c r="AG1751" s="284"/>
      <c r="AI1751" s="131"/>
    </row>
    <row r="1752" spans="1:35" ht="26.4">
      <c r="A1752" s="284"/>
      <c r="B1752" s="284"/>
      <c r="C1752" s="284"/>
      <c r="D1752" s="284"/>
      <c r="E1752" s="284"/>
      <c r="F1752" s="284"/>
      <c r="G1752" s="284"/>
      <c r="H1752" s="284"/>
      <c r="I1752" s="284"/>
      <c r="J1752" s="375"/>
      <c r="K1752" s="375"/>
      <c r="L1752" s="375"/>
      <c r="M1752" s="368"/>
      <c r="N1752" s="368"/>
      <c r="O1752" s="370"/>
      <c r="T1752" s="349"/>
      <c r="V1752" s="378"/>
      <c r="W1752" s="64" ph="1"/>
      <c r="X1752" s="241"/>
      <c r="Y1752" s="284"/>
      <c r="Z1752" s="207"/>
      <c r="AA1752" s="284"/>
      <c r="AB1752" s="284"/>
      <c r="AC1752" s="284"/>
      <c r="AD1752" s="284"/>
      <c r="AE1752" s="284"/>
      <c r="AF1752" s="284"/>
      <c r="AG1752" s="284"/>
      <c r="AI1752" s="131"/>
    </row>
    <row r="1753" spans="1:35" ht="26.4">
      <c r="A1753" s="284"/>
      <c r="B1753" s="284"/>
      <c r="C1753" s="284"/>
      <c r="D1753" s="284"/>
      <c r="E1753" s="284"/>
      <c r="F1753" s="284"/>
      <c r="G1753" s="284"/>
      <c r="H1753" s="284"/>
      <c r="I1753" s="284"/>
      <c r="J1753" s="375"/>
      <c r="K1753" s="375"/>
      <c r="L1753" s="375"/>
      <c r="M1753" s="368"/>
      <c r="N1753" s="368"/>
      <c r="O1753" s="370"/>
      <c r="T1753" s="349"/>
      <c r="V1753" s="378"/>
      <c r="W1753" s="64" ph="1"/>
      <c r="X1753" s="241"/>
      <c r="Y1753" s="284"/>
      <c r="Z1753" s="207"/>
      <c r="AA1753" s="284"/>
      <c r="AB1753" s="284"/>
      <c r="AC1753" s="284"/>
      <c r="AD1753" s="284"/>
      <c r="AE1753" s="284"/>
      <c r="AF1753" s="284"/>
      <c r="AG1753" s="284"/>
      <c r="AI1753" s="131"/>
    </row>
    <row r="1754" spans="1:35" ht="26.4">
      <c r="A1754" s="284"/>
      <c r="B1754" s="284"/>
      <c r="C1754" s="284"/>
      <c r="D1754" s="284"/>
      <c r="E1754" s="284"/>
      <c r="F1754" s="284"/>
      <c r="G1754" s="284"/>
      <c r="H1754" s="284"/>
      <c r="I1754" s="284"/>
      <c r="J1754" s="375"/>
      <c r="K1754" s="375"/>
      <c r="L1754" s="375"/>
      <c r="M1754" s="368"/>
      <c r="N1754" s="368"/>
      <c r="O1754" s="370"/>
      <c r="T1754" s="349"/>
      <c r="V1754" s="378"/>
      <c r="W1754" s="64" ph="1"/>
      <c r="X1754" s="241"/>
      <c r="Y1754" s="284"/>
      <c r="Z1754" s="207"/>
      <c r="AA1754" s="284"/>
      <c r="AB1754" s="284"/>
      <c r="AC1754" s="284"/>
      <c r="AD1754" s="284"/>
      <c r="AE1754" s="284"/>
      <c r="AF1754" s="284"/>
      <c r="AG1754" s="284"/>
      <c r="AI1754" s="131"/>
    </row>
    <row r="1755" spans="1:35" ht="26.4">
      <c r="A1755" s="284"/>
      <c r="B1755" s="284"/>
      <c r="C1755" s="284"/>
      <c r="D1755" s="284"/>
      <c r="E1755" s="284"/>
      <c r="F1755" s="284"/>
      <c r="G1755" s="284"/>
      <c r="H1755" s="284"/>
      <c r="I1755" s="284"/>
      <c r="J1755" s="375"/>
      <c r="K1755" s="375"/>
      <c r="L1755" s="375"/>
      <c r="M1755" s="368"/>
      <c r="N1755" s="368"/>
      <c r="O1755" s="370"/>
      <c r="T1755" s="349"/>
      <c r="V1755" s="378"/>
      <c r="W1755" s="64" ph="1"/>
      <c r="X1755" s="241"/>
      <c r="Y1755" s="284"/>
      <c r="Z1755" s="207"/>
      <c r="AA1755" s="284"/>
      <c r="AB1755" s="284"/>
      <c r="AC1755" s="284"/>
      <c r="AD1755" s="284"/>
      <c r="AE1755" s="284"/>
      <c r="AF1755" s="284"/>
      <c r="AG1755" s="284"/>
      <c r="AI1755" s="131"/>
    </row>
    <row r="1756" spans="1:35" ht="26.4">
      <c r="A1756" s="284"/>
      <c r="B1756" s="284"/>
      <c r="C1756" s="284"/>
      <c r="D1756" s="284"/>
      <c r="E1756" s="284"/>
      <c r="F1756" s="284"/>
      <c r="G1756" s="284"/>
      <c r="H1756" s="284"/>
      <c r="I1756" s="284"/>
      <c r="J1756" s="375"/>
      <c r="K1756" s="375"/>
      <c r="L1756" s="375"/>
      <c r="M1756" s="368"/>
      <c r="N1756" s="368"/>
      <c r="O1756" s="370"/>
      <c r="T1756" s="349"/>
      <c r="V1756" s="378"/>
      <c r="W1756" s="64" ph="1"/>
      <c r="X1756" s="241"/>
      <c r="Y1756" s="284"/>
      <c r="Z1756" s="207"/>
      <c r="AA1756" s="284"/>
      <c r="AB1756" s="284"/>
      <c r="AC1756" s="284"/>
      <c r="AD1756" s="284"/>
      <c r="AE1756" s="284"/>
      <c r="AF1756" s="284"/>
      <c r="AG1756" s="284"/>
      <c r="AI1756" s="131"/>
    </row>
    <row r="1757" spans="1:35" ht="26.4">
      <c r="A1757" s="284"/>
      <c r="B1757" s="284"/>
      <c r="C1757" s="284"/>
      <c r="D1757" s="284"/>
      <c r="E1757" s="284"/>
      <c r="F1757" s="284"/>
      <c r="G1757" s="284"/>
      <c r="H1757" s="284"/>
      <c r="I1757" s="284"/>
      <c r="J1757" s="375"/>
      <c r="K1757" s="375"/>
      <c r="L1757" s="375"/>
      <c r="M1757" s="368"/>
      <c r="N1757" s="368"/>
      <c r="O1757" s="370"/>
      <c r="T1757" s="349"/>
      <c r="V1757" s="378"/>
      <c r="W1757" s="64" ph="1"/>
      <c r="X1757" s="241"/>
      <c r="Y1757" s="284"/>
      <c r="Z1757" s="207"/>
      <c r="AA1757" s="284"/>
      <c r="AB1757" s="284"/>
      <c r="AC1757" s="284"/>
      <c r="AD1757" s="284"/>
      <c r="AE1757" s="284"/>
      <c r="AF1757" s="284"/>
      <c r="AG1757" s="284"/>
      <c r="AI1757" s="131"/>
    </row>
    <row r="1758" spans="1:35" ht="26.4">
      <c r="A1758" s="284"/>
      <c r="B1758" s="284"/>
      <c r="C1758" s="284"/>
      <c r="D1758" s="284"/>
      <c r="E1758" s="284"/>
      <c r="F1758" s="284"/>
      <c r="G1758" s="284"/>
      <c r="H1758" s="284"/>
      <c r="I1758" s="284"/>
      <c r="J1758" s="375"/>
      <c r="K1758" s="375"/>
      <c r="L1758" s="375"/>
      <c r="M1758" s="368"/>
      <c r="N1758" s="368"/>
      <c r="O1758" s="370"/>
      <c r="T1758" s="349"/>
      <c r="V1758" s="378"/>
      <c r="W1758" s="64" ph="1"/>
      <c r="X1758" s="241"/>
      <c r="Y1758" s="284"/>
      <c r="Z1758" s="207"/>
      <c r="AA1758" s="284"/>
      <c r="AB1758" s="284"/>
      <c r="AC1758" s="284"/>
      <c r="AD1758" s="284"/>
      <c r="AE1758" s="284"/>
      <c r="AF1758" s="284"/>
      <c r="AG1758" s="284"/>
      <c r="AI1758" s="131"/>
    </row>
    <row r="1759" spans="1:35" ht="26.4">
      <c r="A1759" s="284"/>
      <c r="B1759" s="284"/>
      <c r="C1759" s="284"/>
      <c r="D1759" s="284"/>
      <c r="E1759" s="284"/>
      <c r="F1759" s="284"/>
      <c r="G1759" s="284"/>
      <c r="H1759" s="284"/>
      <c r="I1759" s="284"/>
      <c r="J1759" s="375"/>
      <c r="K1759" s="375"/>
      <c r="L1759" s="375"/>
      <c r="M1759" s="368"/>
      <c r="N1759" s="368"/>
      <c r="O1759" s="370"/>
      <c r="T1759" s="349"/>
      <c r="V1759" s="378"/>
      <c r="W1759" s="64" ph="1"/>
      <c r="X1759" s="241"/>
      <c r="Y1759" s="284"/>
      <c r="Z1759" s="207"/>
      <c r="AA1759" s="284"/>
      <c r="AB1759" s="284"/>
      <c r="AC1759" s="284"/>
      <c r="AD1759" s="284"/>
      <c r="AE1759" s="284"/>
      <c r="AF1759" s="284"/>
      <c r="AG1759" s="284"/>
      <c r="AI1759" s="131"/>
    </row>
    <row r="1760" spans="1:35" ht="26.4">
      <c r="A1760" s="284"/>
      <c r="B1760" s="284"/>
      <c r="C1760" s="284"/>
      <c r="D1760" s="284"/>
      <c r="E1760" s="284"/>
      <c r="F1760" s="284"/>
      <c r="G1760" s="284"/>
      <c r="H1760" s="284"/>
      <c r="I1760" s="284"/>
      <c r="J1760" s="375"/>
      <c r="K1760" s="375"/>
      <c r="L1760" s="375"/>
      <c r="M1760" s="368"/>
      <c r="N1760" s="368"/>
      <c r="O1760" s="370"/>
      <c r="T1760" s="349"/>
      <c r="V1760" s="378"/>
      <c r="W1760" s="64" ph="1"/>
      <c r="X1760" s="241"/>
      <c r="Y1760" s="284"/>
      <c r="Z1760" s="207"/>
      <c r="AA1760" s="284"/>
      <c r="AB1760" s="284"/>
      <c r="AC1760" s="284"/>
      <c r="AD1760" s="284"/>
      <c r="AE1760" s="284"/>
      <c r="AF1760" s="284"/>
      <c r="AG1760" s="284"/>
      <c r="AI1760" s="284"/>
    </row>
    <row r="1761" spans="1:35" ht="26.4">
      <c r="A1761" s="284"/>
      <c r="B1761" s="284"/>
      <c r="C1761" s="284"/>
      <c r="D1761" s="284"/>
      <c r="E1761" s="284"/>
      <c r="F1761" s="284"/>
      <c r="G1761" s="284"/>
      <c r="H1761" s="284"/>
      <c r="I1761" s="284"/>
      <c r="J1761" s="375"/>
      <c r="K1761" s="375"/>
      <c r="L1761" s="375"/>
      <c r="M1761" s="368"/>
      <c r="N1761" s="368"/>
      <c r="O1761" s="370"/>
      <c r="T1761" s="349"/>
      <c r="V1761" s="378"/>
      <c r="W1761" s="64" ph="1"/>
      <c r="X1761" s="241"/>
      <c r="Y1761" s="284"/>
      <c r="Z1761" s="207"/>
      <c r="AA1761" s="284"/>
      <c r="AB1761" s="284"/>
      <c r="AC1761" s="284"/>
      <c r="AD1761" s="284"/>
      <c r="AE1761" s="284"/>
      <c r="AF1761" s="284"/>
      <c r="AG1761" s="284"/>
      <c r="AI1761" s="284"/>
    </row>
    <row r="1762" spans="1:35" ht="26.4">
      <c r="A1762" s="284"/>
      <c r="B1762" s="284"/>
      <c r="C1762" s="284"/>
      <c r="D1762" s="284"/>
      <c r="E1762" s="284"/>
      <c r="F1762" s="284"/>
      <c r="G1762" s="284"/>
      <c r="H1762" s="284"/>
      <c r="I1762" s="284"/>
      <c r="J1762" s="375"/>
      <c r="K1762" s="375"/>
      <c r="L1762" s="375"/>
      <c r="M1762" s="368"/>
      <c r="N1762" s="368"/>
      <c r="O1762" s="370"/>
      <c r="T1762" s="349"/>
      <c r="V1762" s="378"/>
      <c r="W1762" s="64" ph="1"/>
      <c r="X1762" s="241"/>
      <c r="Y1762" s="284"/>
      <c r="Z1762" s="207"/>
      <c r="AA1762" s="284"/>
      <c r="AB1762" s="284"/>
      <c r="AC1762" s="284"/>
      <c r="AD1762" s="284"/>
      <c r="AE1762" s="284"/>
      <c r="AF1762" s="284"/>
      <c r="AG1762" s="284"/>
      <c r="AI1762" s="131"/>
    </row>
    <row r="1763" spans="1:35" ht="26.4">
      <c r="A1763" s="284"/>
      <c r="B1763" s="284"/>
      <c r="C1763" s="284"/>
      <c r="D1763" s="284"/>
      <c r="E1763" s="284"/>
      <c r="F1763" s="284"/>
      <c r="G1763" s="284"/>
      <c r="H1763" s="284"/>
      <c r="I1763" s="284"/>
      <c r="J1763" s="375"/>
      <c r="K1763" s="375"/>
      <c r="L1763" s="375"/>
      <c r="M1763" s="368"/>
      <c r="N1763" s="368"/>
      <c r="O1763" s="370"/>
      <c r="T1763" s="349"/>
      <c r="V1763" s="378"/>
      <c r="W1763" s="64" ph="1"/>
      <c r="X1763" s="241"/>
      <c r="Y1763" s="284"/>
      <c r="Z1763" s="207"/>
      <c r="AA1763" s="284"/>
      <c r="AB1763" s="284"/>
      <c r="AC1763" s="284"/>
      <c r="AD1763" s="284"/>
      <c r="AE1763" s="284"/>
      <c r="AF1763" s="284"/>
      <c r="AG1763" s="284"/>
      <c r="AI1763" s="131"/>
    </row>
    <row r="1764" spans="1:35" ht="26.4">
      <c r="A1764" s="284"/>
      <c r="B1764" s="284"/>
      <c r="C1764" s="284"/>
      <c r="D1764" s="284"/>
      <c r="E1764" s="284"/>
      <c r="F1764" s="284"/>
      <c r="G1764" s="284"/>
      <c r="H1764" s="284"/>
      <c r="I1764" s="284"/>
      <c r="J1764" s="375"/>
      <c r="K1764" s="375"/>
      <c r="L1764" s="375"/>
      <c r="M1764" s="368"/>
      <c r="N1764" s="368"/>
      <c r="O1764" s="370"/>
      <c r="T1764" s="349"/>
      <c r="V1764" s="378"/>
      <c r="W1764" s="64" ph="1"/>
      <c r="X1764" s="241"/>
      <c r="Y1764" s="284"/>
      <c r="Z1764" s="207"/>
      <c r="AA1764" s="284"/>
      <c r="AB1764" s="284"/>
      <c r="AC1764" s="284"/>
      <c r="AD1764" s="284"/>
      <c r="AE1764" s="284"/>
      <c r="AF1764" s="284"/>
      <c r="AG1764" s="284"/>
      <c r="AI1764" s="131"/>
    </row>
    <row r="1765" spans="1:35" ht="26.4">
      <c r="A1765" s="284"/>
      <c r="B1765" s="284"/>
      <c r="C1765" s="284"/>
      <c r="D1765" s="284"/>
      <c r="E1765" s="284"/>
      <c r="F1765" s="284"/>
      <c r="G1765" s="284"/>
      <c r="H1765" s="284"/>
      <c r="I1765" s="284"/>
      <c r="J1765" s="375"/>
      <c r="K1765" s="375"/>
      <c r="L1765" s="375"/>
      <c r="M1765" s="368"/>
      <c r="N1765" s="368"/>
      <c r="O1765" s="370"/>
      <c r="T1765" s="349"/>
      <c r="V1765" s="378"/>
      <c r="W1765" s="64" ph="1"/>
      <c r="X1765" s="241"/>
      <c r="Y1765" s="284"/>
      <c r="Z1765" s="207"/>
      <c r="AA1765" s="284"/>
      <c r="AB1765" s="284"/>
      <c r="AC1765" s="284"/>
      <c r="AD1765" s="284"/>
      <c r="AE1765" s="284"/>
      <c r="AF1765" s="284"/>
      <c r="AG1765" s="284"/>
      <c r="AI1765" s="131"/>
    </row>
    <row r="1766" spans="1:35" ht="26.4">
      <c r="A1766" s="284"/>
      <c r="B1766" s="284"/>
      <c r="C1766" s="284"/>
      <c r="D1766" s="284"/>
      <c r="E1766" s="284"/>
      <c r="F1766" s="284"/>
      <c r="G1766" s="284"/>
      <c r="H1766" s="284"/>
      <c r="I1766" s="284"/>
      <c r="J1766" s="375"/>
      <c r="K1766" s="375"/>
      <c r="L1766" s="375"/>
      <c r="M1766" s="368"/>
      <c r="N1766" s="368"/>
      <c r="O1766" s="370"/>
      <c r="T1766" s="349"/>
      <c r="V1766" s="378"/>
      <c r="W1766" s="64" ph="1"/>
      <c r="X1766" s="241"/>
      <c r="Y1766" s="284"/>
      <c r="Z1766" s="207"/>
      <c r="AA1766" s="284"/>
      <c r="AB1766" s="284"/>
      <c r="AC1766" s="284"/>
      <c r="AD1766" s="284"/>
      <c r="AE1766" s="284"/>
      <c r="AF1766" s="284"/>
      <c r="AG1766" s="284"/>
      <c r="AI1766" s="131"/>
    </row>
    <row r="1767" spans="1:35" ht="26.4">
      <c r="A1767" s="284"/>
      <c r="B1767" s="284"/>
      <c r="C1767" s="284"/>
      <c r="D1767" s="284"/>
      <c r="E1767" s="284"/>
      <c r="F1767" s="284"/>
      <c r="G1767" s="284"/>
      <c r="H1767" s="284"/>
      <c r="I1767" s="284"/>
      <c r="J1767" s="375"/>
      <c r="K1767" s="375"/>
      <c r="L1767" s="375"/>
      <c r="M1767" s="368"/>
      <c r="N1767" s="368"/>
      <c r="O1767" s="370"/>
      <c r="T1767" s="349"/>
      <c r="V1767" s="378"/>
      <c r="W1767" s="64" ph="1"/>
      <c r="X1767" s="241"/>
      <c r="Y1767" s="284"/>
      <c r="Z1767" s="207"/>
      <c r="AA1767" s="284"/>
      <c r="AB1767" s="284"/>
      <c r="AC1767" s="284"/>
      <c r="AD1767" s="284"/>
      <c r="AE1767" s="284"/>
      <c r="AF1767" s="284"/>
      <c r="AG1767" s="284"/>
      <c r="AI1767" s="131"/>
    </row>
    <row r="1768" spans="1:35" ht="26.4">
      <c r="A1768" s="284"/>
      <c r="B1768" s="284"/>
      <c r="C1768" s="284"/>
      <c r="D1768" s="284"/>
      <c r="E1768" s="284"/>
      <c r="F1768" s="284"/>
      <c r="G1768" s="284"/>
      <c r="H1768" s="284"/>
      <c r="I1768" s="284"/>
      <c r="J1768" s="375"/>
      <c r="K1768" s="375"/>
      <c r="L1768" s="375"/>
      <c r="M1768" s="368"/>
      <c r="N1768" s="368"/>
      <c r="O1768" s="370"/>
      <c r="T1768" s="349"/>
      <c r="V1768" s="378"/>
      <c r="W1768" s="64" ph="1"/>
      <c r="X1768" s="241"/>
      <c r="Y1768" s="284"/>
      <c r="Z1768" s="207"/>
      <c r="AA1768" s="284"/>
      <c r="AB1768" s="284"/>
      <c r="AC1768" s="284"/>
      <c r="AD1768" s="284"/>
      <c r="AE1768" s="284"/>
      <c r="AF1768" s="284"/>
      <c r="AG1768" s="284"/>
      <c r="AI1768" s="131"/>
    </row>
    <row r="1769" spans="1:35" ht="26.4">
      <c r="A1769" s="284"/>
      <c r="B1769" s="284"/>
      <c r="C1769" s="284"/>
      <c r="D1769" s="284"/>
      <c r="E1769" s="284"/>
      <c r="F1769" s="284"/>
      <c r="G1769" s="284"/>
      <c r="H1769" s="284"/>
      <c r="I1769" s="284"/>
      <c r="J1769" s="375"/>
      <c r="K1769" s="375"/>
      <c r="L1769" s="375"/>
      <c r="M1769" s="368"/>
      <c r="N1769" s="368"/>
      <c r="O1769" s="370"/>
      <c r="T1769" s="349"/>
      <c r="V1769" s="378"/>
      <c r="W1769" s="64" ph="1"/>
      <c r="X1769" s="241"/>
      <c r="Y1769" s="284"/>
      <c r="Z1769" s="207"/>
      <c r="AA1769" s="284"/>
      <c r="AB1769" s="284"/>
      <c r="AC1769" s="284"/>
      <c r="AD1769" s="284"/>
      <c r="AE1769" s="284"/>
      <c r="AF1769" s="284"/>
      <c r="AG1769" s="284"/>
      <c r="AI1769" s="131"/>
    </row>
    <row r="1770" spans="1:35" ht="26.4">
      <c r="A1770" s="284"/>
      <c r="B1770" s="284"/>
      <c r="C1770" s="284"/>
      <c r="D1770" s="284"/>
      <c r="E1770" s="284"/>
      <c r="F1770" s="284"/>
      <c r="G1770" s="284"/>
      <c r="H1770" s="284"/>
      <c r="I1770" s="284"/>
      <c r="J1770" s="375"/>
      <c r="K1770" s="375"/>
      <c r="L1770" s="375"/>
      <c r="M1770" s="368"/>
      <c r="N1770" s="368"/>
      <c r="O1770" s="370"/>
      <c r="T1770" s="349"/>
      <c r="V1770" s="378"/>
      <c r="W1770" s="64" ph="1"/>
      <c r="X1770" s="241"/>
      <c r="Y1770" s="284"/>
      <c r="Z1770" s="207"/>
      <c r="AA1770" s="284"/>
      <c r="AB1770" s="284"/>
      <c r="AC1770" s="284"/>
      <c r="AD1770" s="284"/>
      <c r="AE1770" s="284"/>
      <c r="AF1770" s="284"/>
      <c r="AG1770" s="284"/>
      <c r="AI1770" s="131"/>
    </row>
    <row r="1771" spans="1:35" ht="26.4">
      <c r="A1771" s="284"/>
      <c r="B1771" s="284"/>
      <c r="C1771" s="284"/>
      <c r="D1771" s="284"/>
      <c r="E1771" s="284"/>
      <c r="F1771" s="284"/>
      <c r="G1771" s="284"/>
      <c r="H1771" s="284"/>
      <c r="I1771" s="284"/>
      <c r="J1771" s="375"/>
      <c r="K1771" s="375"/>
      <c r="L1771" s="375"/>
      <c r="M1771" s="368"/>
      <c r="N1771" s="368"/>
      <c r="O1771" s="370"/>
      <c r="T1771" s="349"/>
      <c r="V1771" s="378"/>
      <c r="W1771" s="64" ph="1"/>
      <c r="X1771" s="241"/>
      <c r="Y1771" s="284"/>
      <c r="Z1771" s="207"/>
      <c r="AA1771" s="284"/>
      <c r="AB1771" s="284"/>
      <c r="AC1771" s="284"/>
      <c r="AD1771" s="284"/>
      <c r="AE1771" s="284"/>
      <c r="AF1771" s="284"/>
      <c r="AG1771" s="284"/>
      <c r="AI1771" s="131"/>
    </row>
    <row r="1772" spans="1:35" ht="26.4">
      <c r="A1772" s="284"/>
      <c r="B1772" s="284"/>
      <c r="C1772" s="284"/>
      <c r="D1772" s="284"/>
      <c r="E1772" s="284"/>
      <c r="F1772" s="284"/>
      <c r="G1772" s="284"/>
      <c r="H1772" s="284"/>
      <c r="I1772" s="284"/>
      <c r="J1772" s="375"/>
      <c r="K1772" s="375"/>
      <c r="L1772" s="375"/>
      <c r="M1772" s="368"/>
      <c r="N1772" s="368"/>
      <c r="O1772" s="370"/>
      <c r="T1772" s="349"/>
      <c r="V1772" s="378"/>
      <c r="W1772" s="64" ph="1"/>
      <c r="X1772" s="241"/>
      <c r="Y1772" s="284"/>
      <c r="Z1772" s="207"/>
      <c r="AA1772" s="284"/>
      <c r="AB1772" s="284"/>
      <c r="AC1772" s="284"/>
      <c r="AD1772" s="284"/>
      <c r="AE1772" s="284"/>
      <c r="AF1772" s="284"/>
      <c r="AG1772" s="284"/>
      <c r="AI1772" s="131"/>
    </row>
    <row r="1773" spans="1:35" ht="26.4">
      <c r="A1773" s="284"/>
      <c r="B1773" s="284"/>
      <c r="C1773" s="284"/>
      <c r="D1773" s="284"/>
      <c r="E1773" s="284"/>
      <c r="F1773" s="284"/>
      <c r="G1773" s="284"/>
      <c r="H1773" s="284"/>
      <c r="I1773" s="284"/>
      <c r="J1773" s="375"/>
      <c r="K1773" s="375"/>
      <c r="L1773" s="375"/>
      <c r="M1773" s="368"/>
      <c r="N1773" s="368"/>
      <c r="O1773" s="370"/>
      <c r="T1773" s="349"/>
      <c r="V1773" s="378"/>
      <c r="W1773" s="64" ph="1"/>
      <c r="X1773" s="241"/>
      <c r="Y1773" s="284"/>
      <c r="Z1773" s="207"/>
      <c r="AA1773" s="284"/>
      <c r="AB1773" s="284"/>
      <c r="AC1773" s="284"/>
      <c r="AD1773" s="284"/>
      <c r="AE1773" s="284"/>
      <c r="AF1773" s="284"/>
      <c r="AG1773" s="284"/>
      <c r="AI1773" s="131"/>
    </row>
    <row r="1774" spans="1:35" ht="26.4">
      <c r="A1774" s="284"/>
      <c r="B1774" s="284"/>
      <c r="C1774" s="284"/>
      <c r="D1774" s="284"/>
      <c r="E1774" s="284"/>
      <c r="F1774" s="284"/>
      <c r="G1774" s="284"/>
      <c r="H1774" s="284"/>
      <c r="I1774" s="284"/>
      <c r="J1774" s="375"/>
      <c r="K1774" s="375"/>
      <c r="L1774" s="375"/>
      <c r="M1774" s="368"/>
      <c r="N1774" s="368"/>
      <c r="O1774" s="370"/>
      <c r="T1774" s="349"/>
      <c r="V1774" s="378"/>
      <c r="W1774" s="64" ph="1"/>
      <c r="X1774" s="241"/>
      <c r="Y1774" s="284"/>
      <c r="Z1774" s="207"/>
      <c r="AA1774" s="284"/>
      <c r="AB1774" s="284"/>
      <c r="AC1774" s="284"/>
      <c r="AD1774" s="284"/>
      <c r="AE1774" s="284"/>
      <c r="AF1774" s="284"/>
      <c r="AG1774" s="284"/>
      <c r="AI1774" s="284"/>
    </row>
    <row r="1775" spans="1:35" ht="26.4">
      <c r="A1775" s="284"/>
      <c r="B1775" s="284"/>
      <c r="C1775" s="284"/>
      <c r="D1775" s="284"/>
      <c r="E1775" s="284"/>
      <c r="F1775" s="284"/>
      <c r="G1775" s="284"/>
      <c r="H1775" s="284"/>
      <c r="I1775" s="284"/>
      <c r="J1775" s="375"/>
      <c r="K1775" s="375"/>
      <c r="L1775" s="375"/>
      <c r="M1775" s="368"/>
      <c r="N1775" s="368"/>
      <c r="O1775" s="370"/>
      <c r="T1775" s="349"/>
      <c r="V1775" s="378"/>
      <c r="W1775" s="64" ph="1"/>
      <c r="X1775" s="241"/>
      <c r="Y1775" s="284"/>
      <c r="Z1775" s="207"/>
      <c r="AA1775" s="284"/>
      <c r="AB1775" s="284"/>
      <c r="AC1775" s="284"/>
      <c r="AD1775" s="284"/>
      <c r="AE1775" s="284"/>
      <c r="AF1775" s="284"/>
      <c r="AG1775" s="284"/>
      <c r="AI1775" s="131"/>
    </row>
    <row r="1776" spans="1:35" ht="26.4">
      <c r="A1776" s="284"/>
      <c r="B1776" s="284"/>
      <c r="C1776" s="284"/>
      <c r="D1776" s="284"/>
      <c r="E1776" s="284"/>
      <c r="F1776" s="284"/>
      <c r="G1776" s="284"/>
      <c r="H1776" s="284"/>
      <c r="I1776" s="284"/>
      <c r="J1776" s="375"/>
      <c r="K1776" s="375"/>
      <c r="L1776" s="375"/>
      <c r="M1776" s="368"/>
      <c r="N1776" s="368"/>
      <c r="O1776" s="370"/>
      <c r="T1776" s="349"/>
      <c r="V1776" s="378"/>
      <c r="W1776" s="64" ph="1"/>
      <c r="X1776" s="241"/>
      <c r="Y1776" s="284"/>
      <c r="Z1776" s="207"/>
      <c r="AA1776" s="284"/>
      <c r="AB1776" s="284"/>
      <c r="AC1776" s="284"/>
      <c r="AD1776" s="284"/>
      <c r="AE1776" s="284"/>
      <c r="AF1776" s="284"/>
      <c r="AG1776" s="284"/>
      <c r="AI1776" s="131"/>
    </row>
    <row r="1777" spans="1:35" ht="26.4">
      <c r="A1777" s="284"/>
      <c r="B1777" s="284"/>
      <c r="C1777" s="284"/>
      <c r="D1777" s="284"/>
      <c r="E1777" s="284"/>
      <c r="F1777" s="284"/>
      <c r="G1777" s="284"/>
      <c r="H1777" s="284"/>
      <c r="I1777" s="284"/>
      <c r="J1777" s="375"/>
      <c r="K1777" s="375"/>
      <c r="L1777" s="375"/>
      <c r="M1777" s="368"/>
      <c r="N1777" s="368"/>
      <c r="O1777" s="370"/>
      <c r="T1777" s="349"/>
      <c r="V1777" s="378"/>
      <c r="W1777" s="64" ph="1"/>
      <c r="X1777" s="241"/>
      <c r="Y1777" s="284"/>
      <c r="Z1777" s="207"/>
      <c r="AA1777" s="284"/>
      <c r="AB1777" s="284"/>
      <c r="AC1777" s="284"/>
      <c r="AD1777" s="284"/>
      <c r="AE1777" s="284"/>
      <c r="AF1777" s="284"/>
      <c r="AG1777" s="284"/>
      <c r="AI1777" s="131"/>
    </row>
    <row r="1778" spans="1:35" ht="26.4">
      <c r="A1778" s="284"/>
      <c r="B1778" s="284"/>
      <c r="C1778" s="284"/>
      <c r="D1778" s="284"/>
      <c r="E1778" s="284"/>
      <c r="F1778" s="284"/>
      <c r="G1778" s="284"/>
      <c r="H1778" s="284"/>
      <c r="I1778" s="284"/>
      <c r="J1778" s="375"/>
      <c r="K1778" s="375"/>
      <c r="L1778" s="375"/>
      <c r="M1778" s="368"/>
      <c r="N1778" s="368"/>
      <c r="O1778" s="370"/>
      <c r="T1778" s="349"/>
      <c r="V1778" s="378"/>
      <c r="W1778" s="64" ph="1"/>
      <c r="X1778" s="241"/>
      <c r="Y1778" s="284"/>
      <c r="Z1778" s="207"/>
      <c r="AA1778" s="284"/>
      <c r="AB1778" s="284"/>
      <c r="AC1778" s="284"/>
      <c r="AD1778" s="284"/>
      <c r="AE1778" s="284"/>
      <c r="AF1778" s="284"/>
      <c r="AG1778" s="284"/>
      <c r="AI1778" s="131"/>
    </row>
    <row r="1779" spans="1:35" ht="26.4">
      <c r="A1779" s="284"/>
      <c r="B1779" s="284"/>
      <c r="C1779" s="284"/>
      <c r="D1779" s="284"/>
      <c r="E1779" s="284"/>
      <c r="F1779" s="284"/>
      <c r="G1779" s="284"/>
      <c r="H1779" s="284"/>
      <c r="I1779" s="284"/>
      <c r="J1779" s="375"/>
      <c r="K1779" s="375"/>
      <c r="L1779" s="375"/>
      <c r="M1779" s="368"/>
      <c r="N1779" s="368"/>
      <c r="O1779" s="370"/>
      <c r="T1779" s="349"/>
      <c r="V1779" s="378"/>
      <c r="W1779" s="64" ph="1"/>
      <c r="X1779" s="241"/>
      <c r="Y1779" s="284"/>
      <c r="Z1779" s="207"/>
      <c r="AA1779" s="284"/>
      <c r="AB1779" s="284"/>
      <c r="AC1779" s="284"/>
      <c r="AD1779" s="284"/>
      <c r="AE1779" s="284"/>
      <c r="AF1779" s="284"/>
      <c r="AG1779" s="284"/>
      <c r="AI1779" s="131"/>
    </row>
    <row r="1780" spans="1:35" ht="26.4">
      <c r="A1780" s="284"/>
      <c r="B1780" s="284"/>
      <c r="C1780" s="284"/>
      <c r="D1780" s="284"/>
      <c r="E1780" s="284"/>
      <c r="F1780" s="284"/>
      <c r="G1780" s="284"/>
      <c r="H1780" s="284"/>
      <c r="I1780" s="284"/>
      <c r="J1780" s="375"/>
      <c r="K1780" s="375"/>
      <c r="L1780" s="375"/>
      <c r="M1780" s="368"/>
      <c r="N1780" s="368"/>
      <c r="O1780" s="370"/>
      <c r="T1780" s="349"/>
      <c r="V1780" s="378"/>
      <c r="W1780" s="64" ph="1"/>
      <c r="X1780" s="241"/>
      <c r="Y1780" s="284"/>
      <c r="Z1780" s="207"/>
      <c r="AA1780" s="284"/>
      <c r="AB1780" s="284"/>
      <c r="AC1780" s="284"/>
      <c r="AD1780" s="284"/>
      <c r="AE1780" s="284"/>
      <c r="AF1780" s="284"/>
      <c r="AG1780" s="284"/>
      <c r="AI1780" s="131"/>
    </row>
    <row r="1781" spans="1:35" ht="26.4">
      <c r="A1781" s="284"/>
      <c r="B1781" s="284"/>
      <c r="C1781" s="284"/>
      <c r="D1781" s="284"/>
      <c r="E1781" s="284"/>
      <c r="F1781" s="284"/>
      <c r="G1781" s="284"/>
      <c r="H1781" s="284"/>
      <c r="I1781" s="284"/>
      <c r="J1781" s="375"/>
      <c r="K1781" s="375"/>
      <c r="L1781" s="375"/>
      <c r="M1781" s="368"/>
      <c r="N1781" s="368"/>
      <c r="O1781" s="370"/>
      <c r="T1781" s="349"/>
      <c r="V1781" s="378"/>
      <c r="W1781" s="64" ph="1"/>
      <c r="X1781" s="241"/>
      <c r="Y1781" s="284"/>
      <c r="Z1781" s="207"/>
      <c r="AA1781" s="284"/>
      <c r="AB1781" s="284"/>
      <c r="AC1781" s="284"/>
      <c r="AD1781" s="284"/>
      <c r="AE1781" s="284"/>
      <c r="AF1781" s="284"/>
      <c r="AG1781" s="284"/>
      <c r="AI1781" s="52"/>
    </row>
    <row r="1782" spans="1:35" ht="26.4">
      <c r="A1782" s="284"/>
      <c r="B1782" s="284"/>
      <c r="C1782" s="284"/>
      <c r="D1782" s="284"/>
      <c r="E1782" s="284"/>
      <c r="F1782" s="284"/>
      <c r="G1782" s="284"/>
      <c r="H1782" s="284"/>
      <c r="I1782" s="284"/>
      <c r="J1782" s="375"/>
      <c r="K1782" s="375"/>
      <c r="L1782" s="375"/>
      <c r="M1782" s="368"/>
      <c r="N1782" s="368"/>
      <c r="O1782" s="370"/>
      <c r="T1782" s="349"/>
      <c r="V1782" s="378"/>
      <c r="W1782" s="64" ph="1"/>
      <c r="X1782" s="241"/>
      <c r="Y1782" s="284"/>
      <c r="Z1782" s="207"/>
      <c r="AA1782" s="284"/>
      <c r="AB1782" s="284"/>
      <c r="AC1782" s="284"/>
      <c r="AD1782" s="284"/>
      <c r="AE1782" s="284"/>
      <c r="AF1782" s="284"/>
      <c r="AG1782" s="284"/>
      <c r="AI1782" s="131"/>
    </row>
    <row r="1783" spans="1:35" ht="26.4">
      <c r="A1783" s="284"/>
      <c r="B1783" s="284"/>
      <c r="C1783" s="284"/>
      <c r="D1783" s="284"/>
      <c r="E1783" s="284"/>
      <c r="F1783" s="284"/>
      <c r="G1783" s="284"/>
      <c r="H1783" s="284"/>
      <c r="I1783" s="284"/>
      <c r="J1783" s="375"/>
      <c r="K1783" s="375"/>
      <c r="L1783" s="375"/>
      <c r="M1783" s="368"/>
      <c r="N1783" s="368"/>
      <c r="O1783" s="370"/>
      <c r="T1783" s="349"/>
      <c r="V1783" s="378"/>
      <c r="W1783" s="64" ph="1"/>
      <c r="X1783" s="241"/>
      <c r="Y1783" s="284"/>
      <c r="Z1783" s="207"/>
      <c r="AA1783" s="284"/>
      <c r="AB1783" s="284"/>
      <c r="AC1783" s="284"/>
      <c r="AD1783" s="284"/>
      <c r="AE1783" s="284"/>
      <c r="AF1783" s="284"/>
      <c r="AG1783" s="284"/>
      <c r="AI1783" s="131"/>
    </row>
    <row r="1784" spans="1:35" ht="26.4">
      <c r="A1784" s="284"/>
      <c r="B1784" s="284"/>
      <c r="C1784" s="284"/>
      <c r="D1784" s="284"/>
      <c r="E1784" s="284"/>
      <c r="F1784" s="284"/>
      <c r="G1784" s="284"/>
      <c r="H1784" s="284"/>
      <c r="I1784" s="284"/>
      <c r="J1784" s="375"/>
      <c r="K1784" s="375"/>
      <c r="L1784" s="375"/>
      <c r="M1784" s="368"/>
      <c r="N1784" s="368"/>
      <c r="O1784" s="370"/>
      <c r="T1784" s="349"/>
      <c r="V1784" s="378"/>
      <c r="W1784" s="64" ph="1"/>
      <c r="X1784" s="241"/>
      <c r="Y1784" s="284"/>
      <c r="Z1784" s="207"/>
      <c r="AA1784" s="284"/>
      <c r="AB1784" s="284"/>
      <c r="AC1784" s="284"/>
      <c r="AD1784" s="284"/>
      <c r="AE1784" s="284"/>
      <c r="AF1784" s="284"/>
      <c r="AG1784" s="284"/>
      <c r="AI1784" s="131"/>
    </row>
    <row r="1785" spans="1:35" ht="26.4">
      <c r="A1785" s="284"/>
      <c r="B1785" s="284"/>
      <c r="C1785" s="284"/>
      <c r="D1785" s="284"/>
      <c r="E1785" s="284"/>
      <c r="F1785" s="284"/>
      <c r="G1785" s="284"/>
      <c r="H1785" s="284"/>
      <c r="I1785" s="284"/>
      <c r="J1785" s="375"/>
      <c r="K1785" s="375"/>
      <c r="L1785" s="375"/>
      <c r="M1785" s="368"/>
      <c r="N1785" s="368"/>
      <c r="O1785" s="370"/>
      <c r="T1785" s="349"/>
      <c r="V1785" s="378"/>
      <c r="W1785" s="64" ph="1"/>
      <c r="X1785" s="241"/>
      <c r="Y1785" s="284"/>
      <c r="Z1785" s="207"/>
      <c r="AA1785" s="284"/>
      <c r="AB1785" s="284"/>
      <c r="AC1785" s="284"/>
      <c r="AD1785" s="284"/>
      <c r="AE1785" s="284"/>
      <c r="AF1785" s="284"/>
      <c r="AG1785" s="284"/>
      <c r="AI1785" s="131"/>
    </row>
    <row r="1786" spans="1:35" ht="26.4">
      <c r="A1786" s="284"/>
      <c r="B1786" s="284"/>
      <c r="C1786" s="284"/>
      <c r="D1786" s="284"/>
      <c r="E1786" s="284"/>
      <c r="F1786" s="284"/>
      <c r="G1786" s="284"/>
      <c r="H1786" s="284"/>
      <c r="I1786" s="284"/>
      <c r="J1786" s="375"/>
      <c r="K1786" s="375"/>
      <c r="L1786" s="375"/>
      <c r="M1786" s="368"/>
      <c r="N1786" s="368"/>
      <c r="O1786" s="370"/>
      <c r="T1786" s="349"/>
      <c r="V1786" s="378"/>
      <c r="W1786" s="64" ph="1"/>
      <c r="X1786" s="241"/>
      <c r="Y1786" s="284"/>
      <c r="Z1786" s="207"/>
      <c r="AA1786" s="284"/>
      <c r="AB1786" s="284"/>
      <c r="AC1786" s="284"/>
      <c r="AD1786" s="284"/>
      <c r="AE1786" s="284"/>
      <c r="AF1786" s="284"/>
      <c r="AG1786" s="284"/>
      <c r="AI1786" s="131"/>
    </row>
    <row r="1787" spans="1:35" ht="26.4">
      <c r="A1787" s="284"/>
      <c r="B1787" s="284"/>
      <c r="C1787" s="284"/>
      <c r="D1787" s="284"/>
      <c r="E1787" s="284"/>
      <c r="F1787" s="284"/>
      <c r="G1787" s="284"/>
      <c r="H1787" s="284"/>
      <c r="I1787" s="284"/>
      <c r="J1787" s="375"/>
      <c r="K1787" s="375"/>
      <c r="L1787" s="375"/>
      <c r="M1787" s="368"/>
      <c r="N1787" s="368"/>
      <c r="O1787" s="370"/>
      <c r="T1787" s="349"/>
      <c r="V1787" s="378"/>
      <c r="W1787" s="64" ph="1"/>
      <c r="X1787" s="241"/>
      <c r="Y1787" s="284"/>
      <c r="Z1787" s="207"/>
      <c r="AA1787" s="284"/>
      <c r="AB1787" s="284"/>
      <c r="AC1787" s="284"/>
      <c r="AD1787" s="284"/>
      <c r="AE1787" s="284"/>
      <c r="AF1787" s="284"/>
      <c r="AG1787" s="284"/>
      <c r="AI1787" s="131"/>
    </row>
    <row r="1788" spans="1:35" ht="26.4">
      <c r="A1788" s="284"/>
      <c r="B1788" s="284"/>
      <c r="C1788" s="284"/>
      <c r="D1788" s="284"/>
      <c r="E1788" s="284"/>
      <c r="F1788" s="284"/>
      <c r="G1788" s="284"/>
      <c r="H1788" s="284"/>
      <c r="I1788" s="284"/>
      <c r="J1788" s="375"/>
      <c r="K1788" s="375"/>
      <c r="L1788" s="375"/>
      <c r="M1788" s="368"/>
      <c r="N1788" s="368"/>
      <c r="O1788" s="370"/>
      <c r="T1788" s="349"/>
      <c r="V1788" s="378"/>
      <c r="W1788" s="64" ph="1"/>
      <c r="X1788" s="241"/>
      <c r="Y1788" s="284"/>
      <c r="Z1788" s="207"/>
      <c r="AA1788" s="284"/>
      <c r="AB1788" s="284"/>
      <c r="AC1788" s="284"/>
      <c r="AD1788" s="284"/>
      <c r="AE1788" s="284"/>
      <c r="AF1788" s="284"/>
      <c r="AG1788" s="284"/>
      <c r="AI1788" s="131"/>
    </row>
    <row r="1789" spans="1:35" ht="26.4">
      <c r="A1789" s="284"/>
      <c r="B1789" s="284"/>
      <c r="C1789" s="284"/>
      <c r="D1789" s="284"/>
      <c r="E1789" s="284"/>
      <c r="F1789" s="284"/>
      <c r="G1789" s="284"/>
      <c r="H1789" s="284"/>
      <c r="I1789" s="284"/>
      <c r="J1789" s="375"/>
      <c r="K1789" s="375"/>
      <c r="L1789" s="375"/>
      <c r="M1789" s="368"/>
      <c r="N1789" s="368"/>
      <c r="O1789" s="370"/>
      <c r="T1789" s="349"/>
      <c r="V1789" s="378"/>
      <c r="W1789" s="64" ph="1"/>
      <c r="X1789" s="241"/>
      <c r="Y1789" s="284"/>
      <c r="Z1789" s="207"/>
      <c r="AA1789" s="284"/>
      <c r="AB1789" s="284"/>
      <c r="AC1789" s="284"/>
      <c r="AD1789" s="284"/>
      <c r="AE1789" s="284"/>
      <c r="AF1789" s="284"/>
      <c r="AG1789" s="284"/>
      <c r="AI1789" s="131"/>
    </row>
    <row r="1790" spans="1:35" ht="26.4">
      <c r="A1790" s="284"/>
      <c r="B1790" s="284"/>
      <c r="C1790" s="284"/>
      <c r="D1790" s="284"/>
      <c r="E1790" s="284"/>
      <c r="F1790" s="284"/>
      <c r="G1790" s="284"/>
      <c r="H1790" s="284"/>
      <c r="I1790" s="284"/>
      <c r="J1790" s="375"/>
      <c r="K1790" s="375"/>
      <c r="L1790" s="375"/>
      <c r="M1790" s="368"/>
      <c r="N1790" s="368"/>
      <c r="O1790" s="370"/>
      <c r="T1790" s="349"/>
      <c r="V1790" s="378"/>
      <c r="W1790" s="64" ph="1"/>
      <c r="X1790" s="241"/>
      <c r="Y1790" s="284"/>
      <c r="Z1790" s="207"/>
      <c r="AA1790" s="284"/>
      <c r="AB1790" s="284"/>
      <c r="AC1790" s="284"/>
      <c r="AD1790" s="284"/>
      <c r="AE1790" s="284"/>
      <c r="AF1790" s="284"/>
      <c r="AG1790" s="284"/>
      <c r="AI1790" s="131"/>
    </row>
    <row r="1791" spans="1:35" ht="26.4">
      <c r="A1791" s="284"/>
      <c r="B1791" s="284"/>
      <c r="C1791" s="284"/>
      <c r="D1791" s="284"/>
      <c r="E1791" s="284"/>
      <c r="F1791" s="284"/>
      <c r="G1791" s="284"/>
      <c r="H1791" s="284"/>
      <c r="I1791" s="284"/>
      <c r="J1791" s="375"/>
      <c r="K1791" s="375"/>
      <c r="L1791" s="375"/>
      <c r="M1791" s="368"/>
      <c r="N1791" s="368"/>
      <c r="O1791" s="370"/>
      <c r="T1791" s="349"/>
      <c r="V1791" s="378"/>
      <c r="W1791" s="64" ph="1"/>
      <c r="X1791" s="241"/>
      <c r="Y1791" s="284"/>
      <c r="Z1791" s="207"/>
      <c r="AA1791" s="284"/>
      <c r="AB1791" s="284"/>
      <c r="AC1791" s="284"/>
      <c r="AD1791" s="284"/>
      <c r="AE1791" s="284"/>
      <c r="AF1791" s="284"/>
      <c r="AG1791" s="284"/>
      <c r="AI1791" s="131"/>
    </row>
    <row r="1792" spans="1:35" ht="26.4">
      <c r="A1792" s="284"/>
      <c r="B1792" s="284"/>
      <c r="C1792" s="284"/>
      <c r="D1792" s="284"/>
      <c r="E1792" s="284"/>
      <c r="F1792" s="284"/>
      <c r="G1792" s="284"/>
      <c r="H1792" s="284"/>
      <c r="I1792" s="284"/>
      <c r="J1792" s="375"/>
      <c r="K1792" s="375"/>
      <c r="L1792" s="375"/>
      <c r="M1792" s="368"/>
      <c r="N1792" s="368"/>
      <c r="O1792" s="370"/>
      <c r="T1792" s="349"/>
      <c r="V1792" s="378"/>
      <c r="W1792" s="64" ph="1"/>
      <c r="X1792" s="241"/>
      <c r="Y1792" s="284"/>
      <c r="Z1792" s="207"/>
      <c r="AA1792" s="284"/>
      <c r="AB1792" s="284"/>
      <c r="AC1792" s="284"/>
      <c r="AD1792" s="284"/>
      <c r="AE1792" s="284"/>
      <c r="AF1792" s="284"/>
      <c r="AG1792" s="284"/>
      <c r="AI1792" s="131"/>
    </row>
    <row r="1793" spans="1:35" ht="26.4">
      <c r="A1793" s="284"/>
      <c r="B1793" s="284"/>
      <c r="C1793" s="284"/>
      <c r="D1793" s="284"/>
      <c r="E1793" s="284"/>
      <c r="F1793" s="284"/>
      <c r="G1793" s="284"/>
      <c r="H1793" s="284"/>
      <c r="I1793" s="284"/>
      <c r="J1793" s="375"/>
      <c r="K1793" s="375"/>
      <c r="L1793" s="375"/>
      <c r="M1793" s="368"/>
      <c r="N1793" s="368"/>
      <c r="O1793" s="370"/>
      <c r="T1793" s="349"/>
      <c r="V1793" s="378"/>
      <c r="W1793" s="64" ph="1"/>
      <c r="X1793" s="241"/>
      <c r="Y1793" s="284"/>
      <c r="Z1793" s="207"/>
      <c r="AA1793" s="284"/>
      <c r="AB1793" s="284"/>
      <c r="AC1793" s="284"/>
      <c r="AD1793" s="284"/>
      <c r="AE1793" s="284"/>
      <c r="AF1793" s="284"/>
      <c r="AG1793" s="284"/>
      <c r="AI1793" s="131"/>
    </row>
    <row r="1794" spans="1:35" ht="26.4">
      <c r="A1794" s="284"/>
      <c r="B1794" s="284"/>
      <c r="C1794" s="284"/>
      <c r="D1794" s="284"/>
      <c r="E1794" s="284"/>
      <c r="F1794" s="284"/>
      <c r="G1794" s="284"/>
      <c r="H1794" s="284"/>
      <c r="I1794" s="284"/>
      <c r="J1794" s="375"/>
      <c r="K1794" s="375"/>
      <c r="L1794" s="375"/>
      <c r="M1794" s="368"/>
      <c r="N1794" s="368"/>
      <c r="O1794" s="370"/>
      <c r="T1794" s="349"/>
      <c r="V1794" s="378"/>
      <c r="W1794" s="64" ph="1"/>
      <c r="X1794" s="241"/>
      <c r="Y1794" s="284"/>
      <c r="Z1794" s="207"/>
      <c r="AA1794" s="284"/>
      <c r="AB1794" s="284"/>
      <c r="AC1794" s="284"/>
      <c r="AD1794" s="284"/>
      <c r="AE1794" s="284"/>
      <c r="AF1794" s="284"/>
      <c r="AG1794" s="284"/>
      <c r="AI1794" s="131"/>
    </row>
    <row r="1795" spans="1:35" ht="26.4">
      <c r="A1795" s="284"/>
      <c r="B1795" s="284"/>
      <c r="C1795" s="284"/>
      <c r="D1795" s="284"/>
      <c r="E1795" s="284"/>
      <c r="F1795" s="284"/>
      <c r="G1795" s="284"/>
      <c r="H1795" s="284"/>
      <c r="I1795" s="284"/>
      <c r="J1795" s="375"/>
      <c r="K1795" s="375"/>
      <c r="L1795" s="375"/>
      <c r="M1795" s="368"/>
      <c r="N1795" s="368"/>
      <c r="O1795" s="370"/>
      <c r="T1795" s="349"/>
      <c r="V1795" s="378"/>
      <c r="W1795" s="64" ph="1"/>
      <c r="X1795" s="241"/>
      <c r="Y1795" s="284"/>
      <c r="Z1795" s="207"/>
      <c r="AA1795" s="284"/>
      <c r="AB1795" s="284"/>
      <c r="AC1795" s="284"/>
      <c r="AD1795" s="284"/>
      <c r="AE1795" s="284"/>
      <c r="AF1795" s="284"/>
      <c r="AG1795" s="284"/>
      <c r="AI1795" s="131"/>
    </row>
    <row r="1796" spans="1:35" ht="26.4">
      <c r="A1796" s="284"/>
      <c r="B1796" s="284"/>
      <c r="C1796" s="284"/>
      <c r="D1796" s="284"/>
      <c r="E1796" s="284"/>
      <c r="F1796" s="284"/>
      <c r="G1796" s="284"/>
      <c r="H1796" s="284"/>
      <c r="I1796" s="284"/>
      <c r="J1796" s="375"/>
      <c r="K1796" s="375"/>
      <c r="L1796" s="375"/>
      <c r="M1796" s="368"/>
      <c r="N1796" s="368"/>
      <c r="O1796" s="370"/>
      <c r="T1796" s="349"/>
      <c r="V1796" s="378"/>
      <c r="W1796" s="64" ph="1"/>
      <c r="X1796" s="241"/>
      <c r="Y1796" s="284"/>
      <c r="Z1796" s="207"/>
      <c r="AA1796" s="284"/>
      <c r="AB1796" s="284"/>
      <c r="AC1796" s="284"/>
      <c r="AD1796" s="284"/>
      <c r="AE1796" s="284"/>
      <c r="AF1796" s="284"/>
      <c r="AG1796" s="284"/>
      <c r="AI1796" s="131"/>
    </row>
    <row r="1797" spans="1:35" ht="26.4">
      <c r="A1797" s="284"/>
      <c r="B1797" s="284"/>
      <c r="C1797" s="284"/>
      <c r="D1797" s="284"/>
      <c r="E1797" s="284"/>
      <c r="F1797" s="284"/>
      <c r="G1797" s="284"/>
      <c r="H1797" s="284"/>
      <c r="I1797" s="284"/>
      <c r="J1797" s="375"/>
      <c r="K1797" s="375"/>
      <c r="L1797" s="375"/>
      <c r="M1797" s="368"/>
      <c r="N1797" s="368"/>
      <c r="O1797" s="370"/>
      <c r="T1797" s="349"/>
      <c r="V1797" s="378"/>
      <c r="W1797" s="64" ph="1"/>
      <c r="X1797" s="241"/>
      <c r="Y1797" s="284"/>
      <c r="Z1797" s="207"/>
      <c r="AA1797" s="284"/>
      <c r="AB1797" s="284"/>
      <c r="AC1797" s="284"/>
      <c r="AD1797" s="284"/>
      <c r="AE1797" s="284"/>
      <c r="AF1797" s="284"/>
      <c r="AG1797" s="284"/>
      <c r="AI1797" s="131"/>
    </row>
    <row r="1798" spans="1:35" ht="26.4">
      <c r="A1798" s="284"/>
      <c r="B1798" s="284"/>
      <c r="C1798" s="284"/>
      <c r="D1798" s="284"/>
      <c r="E1798" s="284"/>
      <c r="F1798" s="284"/>
      <c r="G1798" s="284"/>
      <c r="H1798" s="284"/>
      <c r="I1798" s="284"/>
      <c r="J1798" s="375"/>
      <c r="K1798" s="375"/>
      <c r="L1798" s="375"/>
      <c r="M1798" s="368"/>
      <c r="N1798" s="368"/>
      <c r="O1798" s="370"/>
      <c r="T1798" s="349"/>
      <c r="V1798" s="378"/>
      <c r="W1798" s="64" ph="1"/>
      <c r="X1798" s="241"/>
      <c r="Y1798" s="284"/>
      <c r="Z1798" s="207"/>
      <c r="AA1798" s="284"/>
      <c r="AB1798" s="284"/>
      <c r="AC1798" s="284"/>
      <c r="AD1798" s="284"/>
      <c r="AE1798" s="284"/>
      <c r="AF1798" s="284"/>
      <c r="AG1798" s="284"/>
      <c r="AI1798" s="131"/>
    </row>
    <row r="1799" spans="1:35" ht="26.4">
      <c r="A1799" s="284"/>
      <c r="B1799" s="284"/>
      <c r="C1799" s="284"/>
      <c r="D1799" s="284"/>
      <c r="E1799" s="284"/>
      <c r="F1799" s="284"/>
      <c r="G1799" s="284"/>
      <c r="H1799" s="284"/>
      <c r="I1799" s="284"/>
      <c r="J1799" s="375"/>
      <c r="K1799" s="375"/>
      <c r="L1799" s="375"/>
      <c r="M1799" s="368"/>
      <c r="N1799" s="368"/>
      <c r="O1799" s="370"/>
      <c r="T1799" s="349"/>
      <c r="V1799" s="378"/>
      <c r="W1799" s="64" ph="1"/>
      <c r="X1799" s="241"/>
      <c r="Y1799" s="284"/>
      <c r="Z1799" s="207"/>
      <c r="AA1799" s="284"/>
      <c r="AB1799" s="284"/>
      <c r="AC1799" s="284"/>
      <c r="AD1799" s="284"/>
      <c r="AE1799" s="284"/>
      <c r="AF1799" s="284"/>
      <c r="AG1799" s="284"/>
      <c r="AI1799" s="131"/>
    </row>
    <row r="1800" spans="1:35" ht="26.4">
      <c r="A1800" s="284"/>
      <c r="B1800" s="284"/>
      <c r="C1800" s="284"/>
      <c r="D1800" s="284"/>
      <c r="E1800" s="284"/>
      <c r="F1800" s="284"/>
      <c r="G1800" s="284"/>
      <c r="H1800" s="284"/>
      <c r="I1800" s="284"/>
      <c r="J1800" s="375"/>
      <c r="K1800" s="375"/>
      <c r="L1800" s="375"/>
      <c r="M1800" s="368"/>
      <c r="N1800" s="368"/>
      <c r="O1800" s="370"/>
      <c r="T1800" s="349"/>
      <c r="V1800" s="378"/>
      <c r="W1800" s="64" ph="1"/>
      <c r="X1800" s="241"/>
      <c r="Y1800" s="284"/>
      <c r="Z1800" s="207"/>
      <c r="AA1800" s="284"/>
      <c r="AB1800" s="284"/>
      <c r="AC1800" s="284"/>
      <c r="AD1800" s="284"/>
      <c r="AE1800" s="284"/>
      <c r="AF1800" s="284"/>
      <c r="AG1800" s="284"/>
      <c r="AI1800" s="131"/>
    </row>
    <row r="1801" spans="1:35" ht="26.4">
      <c r="A1801" s="284"/>
      <c r="B1801" s="284"/>
      <c r="C1801" s="284"/>
      <c r="D1801" s="284"/>
      <c r="E1801" s="284"/>
      <c r="F1801" s="284"/>
      <c r="G1801" s="284"/>
      <c r="H1801" s="284"/>
      <c r="I1801" s="284"/>
      <c r="J1801" s="375"/>
      <c r="K1801" s="375"/>
      <c r="L1801" s="375"/>
      <c r="M1801" s="368"/>
      <c r="N1801" s="368"/>
      <c r="O1801" s="370"/>
      <c r="T1801" s="349"/>
      <c r="V1801" s="378"/>
      <c r="W1801" s="64" ph="1"/>
      <c r="X1801" s="241"/>
      <c r="Y1801" s="284"/>
      <c r="Z1801" s="207"/>
      <c r="AA1801" s="284"/>
      <c r="AB1801" s="284"/>
      <c r="AC1801" s="284"/>
      <c r="AD1801" s="284"/>
      <c r="AE1801" s="284"/>
      <c r="AF1801" s="284"/>
      <c r="AG1801" s="284"/>
      <c r="AI1801" s="131"/>
    </row>
    <row r="1802" spans="1:35" ht="26.4">
      <c r="A1802" s="284"/>
      <c r="B1802" s="284"/>
      <c r="C1802" s="284"/>
      <c r="D1802" s="284"/>
      <c r="E1802" s="284"/>
      <c r="F1802" s="284"/>
      <c r="G1802" s="284"/>
      <c r="H1802" s="284"/>
      <c r="I1802" s="284"/>
      <c r="J1802" s="375"/>
      <c r="K1802" s="375"/>
      <c r="L1802" s="375"/>
      <c r="M1802" s="368"/>
      <c r="N1802" s="368"/>
      <c r="O1802" s="370"/>
      <c r="T1802" s="349"/>
      <c r="V1802" s="378"/>
      <c r="W1802" s="64" ph="1"/>
      <c r="X1802" s="241"/>
      <c r="Y1802" s="284"/>
      <c r="Z1802" s="207"/>
      <c r="AA1802" s="284"/>
      <c r="AB1802" s="284"/>
      <c r="AC1802" s="284"/>
      <c r="AD1802" s="284"/>
      <c r="AE1802" s="284"/>
      <c r="AF1802" s="284"/>
      <c r="AG1802" s="284"/>
      <c r="AI1802" s="131"/>
    </row>
    <row r="1803" spans="1:35" ht="26.4">
      <c r="A1803" s="284"/>
      <c r="B1803" s="284"/>
      <c r="C1803" s="284"/>
      <c r="D1803" s="284"/>
      <c r="E1803" s="284"/>
      <c r="F1803" s="284"/>
      <c r="G1803" s="284"/>
      <c r="H1803" s="284"/>
      <c r="I1803" s="284"/>
      <c r="J1803" s="375"/>
      <c r="K1803" s="375"/>
      <c r="L1803" s="375"/>
      <c r="M1803" s="368"/>
      <c r="N1803" s="368"/>
      <c r="O1803" s="370"/>
      <c r="T1803" s="349"/>
      <c r="V1803" s="378"/>
      <c r="W1803" s="64" ph="1"/>
      <c r="X1803" s="241"/>
      <c r="Y1803" s="284"/>
      <c r="Z1803" s="207"/>
      <c r="AA1803" s="284"/>
      <c r="AB1803" s="284"/>
      <c r="AC1803" s="284"/>
      <c r="AD1803" s="284"/>
      <c r="AE1803" s="284"/>
      <c r="AF1803" s="284"/>
      <c r="AG1803" s="284"/>
      <c r="AI1803" s="131"/>
    </row>
    <row r="1804" spans="1:35" ht="26.4">
      <c r="A1804" s="284"/>
      <c r="B1804" s="284"/>
      <c r="C1804" s="284"/>
      <c r="D1804" s="284"/>
      <c r="E1804" s="284"/>
      <c r="F1804" s="284"/>
      <c r="G1804" s="284"/>
      <c r="H1804" s="284"/>
      <c r="I1804" s="284"/>
      <c r="J1804" s="375"/>
      <c r="K1804" s="375"/>
      <c r="L1804" s="375"/>
      <c r="M1804" s="368"/>
      <c r="N1804" s="368"/>
      <c r="O1804" s="370"/>
      <c r="T1804" s="349"/>
      <c r="V1804" s="378"/>
      <c r="W1804" s="64" ph="1"/>
      <c r="X1804" s="241"/>
      <c r="Y1804" s="284"/>
      <c r="Z1804" s="207"/>
      <c r="AA1804" s="284"/>
      <c r="AB1804" s="284"/>
      <c r="AC1804" s="284"/>
      <c r="AD1804" s="284"/>
      <c r="AE1804" s="284"/>
      <c r="AF1804" s="284"/>
      <c r="AG1804" s="284"/>
      <c r="AI1804" s="131"/>
    </row>
    <row r="1805" spans="1:35" ht="26.4">
      <c r="A1805" s="284"/>
      <c r="B1805" s="284"/>
      <c r="C1805" s="284"/>
      <c r="D1805" s="284"/>
      <c r="E1805" s="284"/>
      <c r="F1805" s="284"/>
      <c r="G1805" s="284"/>
      <c r="H1805" s="284"/>
      <c r="I1805" s="284"/>
      <c r="J1805" s="375"/>
      <c r="K1805" s="375"/>
      <c r="L1805" s="375"/>
      <c r="M1805" s="368"/>
      <c r="N1805" s="368"/>
      <c r="O1805" s="370"/>
      <c r="T1805" s="349"/>
      <c r="V1805" s="378"/>
      <c r="W1805" s="64" ph="1"/>
      <c r="X1805" s="241"/>
      <c r="Y1805" s="284"/>
      <c r="Z1805" s="207"/>
      <c r="AA1805" s="284"/>
      <c r="AB1805" s="284"/>
      <c r="AC1805" s="284"/>
      <c r="AD1805" s="284"/>
      <c r="AE1805" s="284"/>
      <c r="AF1805" s="284"/>
      <c r="AG1805" s="284"/>
      <c r="AI1805" s="131"/>
    </row>
    <row r="1806" spans="1:35" ht="26.4">
      <c r="A1806" s="284"/>
      <c r="B1806" s="284"/>
      <c r="C1806" s="284"/>
      <c r="D1806" s="284"/>
      <c r="E1806" s="284"/>
      <c r="F1806" s="284"/>
      <c r="G1806" s="284"/>
      <c r="H1806" s="284"/>
      <c r="I1806" s="284"/>
      <c r="J1806" s="375"/>
      <c r="K1806" s="375"/>
      <c r="L1806" s="375"/>
      <c r="M1806" s="368"/>
      <c r="N1806" s="368"/>
      <c r="O1806" s="370"/>
      <c r="T1806" s="349"/>
      <c r="V1806" s="378"/>
      <c r="W1806" s="64" ph="1"/>
      <c r="X1806" s="241"/>
      <c r="Y1806" s="284"/>
      <c r="Z1806" s="207"/>
      <c r="AA1806" s="284"/>
      <c r="AB1806" s="284"/>
      <c r="AC1806" s="284"/>
      <c r="AD1806" s="284"/>
      <c r="AE1806" s="284"/>
      <c r="AF1806" s="284"/>
      <c r="AG1806" s="284"/>
      <c r="AI1806" s="131"/>
    </row>
    <row r="1807" spans="1:35" ht="26.4">
      <c r="A1807" s="284"/>
      <c r="B1807" s="284"/>
      <c r="C1807" s="284"/>
      <c r="D1807" s="284"/>
      <c r="E1807" s="284"/>
      <c r="F1807" s="284"/>
      <c r="G1807" s="284"/>
      <c r="H1807" s="284"/>
      <c r="I1807" s="284"/>
      <c r="J1807" s="375"/>
      <c r="K1807" s="375"/>
      <c r="L1807" s="375"/>
      <c r="M1807" s="368"/>
      <c r="N1807" s="368"/>
      <c r="O1807" s="370"/>
      <c r="T1807" s="349"/>
      <c r="V1807" s="378"/>
      <c r="W1807" s="64" ph="1"/>
      <c r="X1807" s="241"/>
      <c r="Y1807" s="284"/>
      <c r="Z1807" s="207"/>
      <c r="AA1807" s="284"/>
      <c r="AB1807" s="284"/>
      <c r="AC1807" s="284"/>
      <c r="AD1807" s="284"/>
      <c r="AE1807" s="284"/>
      <c r="AF1807" s="284"/>
      <c r="AG1807" s="284"/>
      <c r="AI1807" s="131"/>
    </row>
    <row r="1808" spans="1:35" ht="26.4">
      <c r="A1808" s="284"/>
      <c r="B1808" s="284"/>
      <c r="C1808" s="284"/>
      <c r="D1808" s="284"/>
      <c r="E1808" s="284"/>
      <c r="F1808" s="284"/>
      <c r="G1808" s="284"/>
      <c r="H1808" s="284"/>
      <c r="I1808" s="284"/>
      <c r="J1808" s="375"/>
      <c r="K1808" s="375"/>
      <c r="L1808" s="375"/>
      <c r="M1808" s="368"/>
      <c r="N1808" s="368"/>
      <c r="O1808" s="370"/>
      <c r="T1808" s="349"/>
      <c r="V1808" s="378"/>
      <c r="W1808" s="64" ph="1"/>
      <c r="X1808" s="241"/>
      <c r="Y1808" s="284"/>
      <c r="Z1808" s="207"/>
      <c r="AA1808" s="284"/>
      <c r="AB1808" s="284"/>
      <c r="AC1808" s="284"/>
      <c r="AD1808" s="284"/>
      <c r="AE1808" s="284"/>
      <c r="AF1808" s="284"/>
      <c r="AG1808" s="284"/>
      <c r="AI1808" s="131"/>
    </row>
    <row r="1809" spans="1:35" ht="26.4">
      <c r="A1809" s="284"/>
      <c r="B1809" s="284"/>
      <c r="C1809" s="284"/>
      <c r="D1809" s="284"/>
      <c r="E1809" s="284"/>
      <c r="F1809" s="284"/>
      <c r="G1809" s="284"/>
      <c r="H1809" s="284"/>
      <c r="I1809" s="284"/>
      <c r="J1809" s="375"/>
      <c r="K1809" s="375"/>
      <c r="L1809" s="375"/>
      <c r="M1809" s="368"/>
      <c r="N1809" s="368"/>
      <c r="O1809" s="370"/>
      <c r="T1809" s="349"/>
      <c r="V1809" s="378"/>
      <c r="W1809" s="64" ph="1"/>
      <c r="X1809" s="241"/>
      <c r="Y1809" s="284"/>
      <c r="Z1809" s="207"/>
      <c r="AA1809" s="284"/>
      <c r="AB1809" s="284"/>
      <c r="AC1809" s="284"/>
      <c r="AD1809" s="284"/>
      <c r="AE1809" s="284"/>
      <c r="AF1809" s="284"/>
      <c r="AG1809" s="284"/>
      <c r="AI1809" s="131"/>
    </row>
    <row r="1810" spans="1:35" ht="26.4">
      <c r="A1810" s="284"/>
      <c r="B1810" s="284"/>
      <c r="C1810" s="284"/>
      <c r="D1810" s="284"/>
      <c r="E1810" s="284"/>
      <c r="F1810" s="284"/>
      <c r="G1810" s="284"/>
      <c r="H1810" s="284"/>
      <c r="I1810" s="284"/>
      <c r="J1810" s="375"/>
      <c r="K1810" s="375"/>
      <c r="L1810" s="375"/>
      <c r="M1810" s="368"/>
      <c r="N1810" s="368"/>
      <c r="O1810" s="370"/>
      <c r="T1810" s="349"/>
      <c r="V1810" s="378"/>
      <c r="W1810" s="64" ph="1"/>
      <c r="X1810" s="241"/>
      <c r="Y1810" s="284"/>
      <c r="Z1810" s="207"/>
      <c r="AA1810" s="284"/>
      <c r="AB1810" s="284"/>
      <c r="AC1810" s="284"/>
      <c r="AD1810" s="284"/>
      <c r="AE1810" s="284"/>
      <c r="AF1810" s="284"/>
      <c r="AG1810" s="284"/>
      <c r="AI1810" s="131"/>
    </row>
    <row r="1811" spans="1:35" ht="26.4">
      <c r="A1811" s="284"/>
      <c r="B1811" s="284"/>
      <c r="C1811" s="284"/>
      <c r="D1811" s="284"/>
      <c r="E1811" s="284"/>
      <c r="F1811" s="284"/>
      <c r="G1811" s="284"/>
      <c r="H1811" s="284"/>
      <c r="I1811" s="284"/>
      <c r="J1811" s="375"/>
      <c r="K1811" s="375"/>
      <c r="L1811" s="375"/>
      <c r="M1811" s="368"/>
      <c r="N1811" s="368"/>
      <c r="O1811" s="370"/>
      <c r="T1811" s="349"/>
      <c r="V1811" s="378"/>
      <c r="W1811" s="64" ph="1"/>
      <c r="X1811" s="241"/>
      <c r="Y1811" s="284"/>
      <c r="Z1811" s="207"/>
      <c r="AA1811" s="284"/>
      <c r="AB1811" s="284"/>
      <c r="AC1811" s="284"/>
      <c r="AD1811" s="284"/>
      <c r="AE1811" s="284"/>
      <c r="AF1811" s="284"/>
      <c r="AG1811" s="284"/>
      <c r="AI1811" s="131"/>
    </row>
    <row r="1812" spans="1:35" ht="26.4">
      <c r="A1812" s="284"/>
      <c r="B1812" s="284"/>
      <c r="C1812" s="284"/>
      <c r="D1812" s="284"/>
      <c r="E1812" s="284"/>
      <c r="F1812" s="284"/>
      <c r="G1812" s="284"/>
      <c r="H1812" s="284"/>
      <c r="I1812" s="284"/>
      <c r="J1812" s="375"/>
      <c r="K1812" s="375"/>
      <c r="L1812" s="375"/>
      <c r="M1812" s="368"/>
      <c r="N1812" s="368"/>
      <c r="O1812" s="370"/>
      <c r="T1812" s="349"/>
      <c r="V1812" s="378"/>
      <c r="W1812" s="64" ph="1"/>
      <c r="X1812" s="241"/>
      <c r="Y1812" s="284"/>
      <c r="Z1812" s="207"/>
      <c r="AA1812" s="284"/>
      <c r="AB1812" s="284"/>
      <c r="AC1812" s="284"/>
      <c r="AD1812" s="284"/>
      <c r="AE1812" s="284"/>
      <c r="AF1812" s="284"/>
      <c r="AG1812" s="284"/>
      <c r="AI1812" s="131"/>
    </row>
    <row r="1813" spans="1:35" ht="26.4">
      <c r="A1813" s="284"/>
      <c r="B1813" s="284"/>
      <c r="C1813" s="284"/>
      <c r="D1813" s="284"/>
      <c r="E1813" s="284"/>
      <c r="F1813" s="284"/>
      <c r="G1813" s="284"/>
      <c r="H1813" s="284"/>
      <c r="I1813" s="284"/>
      <c r="J1813" s="375"/>
      <c r="K1813" s="375"/>
      <c r="L1813" s="375"/>
      <c r="M1813" s="368"/>
      <c r="N1813" s="368"/>
      <c r="O1813" s="370"/>
      <c r="T1813" s="349"/>
      <c r="V1813" s="378"/>
      <c r="W1813" s="64" ph="1"/>
      <c r="X1813" s="241"/>
      <c r="Y1813" s="284"/>
      <c r="Z1813" s="207"/>
      <c r="AA1813" s="284"/>
      <c r="AB1813" s="284"/>
      <c r="AC1813" s="284"/>
      <c r="AD1813" s="284"/>
      <c r="AE1813" s="284"/>
      <c r="AF1813" s="284"/>
      <c r="AG1813" s="284"/>
      <c r="AI1813" s="131"/>
    </row>
    <row r="1814" spans="1:35" ht="26.4">
      <c r="A1814" s="284"/>
      <c r="B1814" s="284"/>
      <c r="C1814" s="284"/>
      <c r="D1814" s="284"/>
      <c r="E1814" s="284"/>
      <c r="F1814" s="284"/>
      <c r="G1814" s="284"/>
      <c r="H1814" s="284"/>
      <c r="I1814" s="284"/>
      <c r="J1814" s="375"/>
      <c r="K1814" s="375"/>
      <c r="L1814" s="375"/>
      <c r="M1814" s="368"/>
      <c r="N1814" s="368"/>
      <c r="O1814" s="370"/>
      <c r="T1814" s="349"/>
      <c r="V1814" s="378"/>
      <c r="W1814" s="64" ph="1"/>
      <c r="X1814" s="241"/>
      <c r="Y1814" s="284"/>
      <c r="Z1814" s="207"/>
      <c r="AA1814" s="284"/>
      <c r="AB1814" s="284"/>
      <c r="AC1814" s="284"/>
      <c r="AD1814" s="284"/>
      <c r="AE1814" s="284"/>
      <c r="AF1814" s="284"/>
      <c r="AG1814" s="284"/>
      <c r="AI1814" s="128"/>
    </row>
    <row r="1815" spans="1:35" ht="26.4">
      <c r="A1815" s="284"/>
      <c r="B1815" s="284"/>
      <c r="C1815" s="284"/>
      <c r="D1815" s="284"/>
      <c r="E1815" s="284"/>
      <c r="F1815" s="284"/>
      <c r="G1815" s="284"/>
      <c r="H1815" s="284"/>
      <c r="I1815" s="284"/>
      <c r="J1815" s="375"/>
      <c r="K1815" s="375"/>
      <c r="L1815" s="375"/>
      <c r="M1815" s="368"/>
      <c r="N1815" s="368"/>
      <c r="O1815" s="370"/>
      <c r="T1815" s="349"/>
      <c r="V1815" s="378"/>
      <c r="W1815" s="64" ph="1"/>
      <c r="X1815" s="241"/>
      <c r="Y1815" s="284"/>
      <c r="Z1815" s="207"/>
      <c r="AA1815" s="284"/>
      <c r="AB1815" s="284"/>
      <c r="AC1815" s="284"/>
      <c r="AD1815" s="284"/>
      <c r="AE1815" s="284"/>
      <c r="AF1815" s="284"/>
      <c r="AG1815" s="284"/>
      <c r="AI1815" s="131"/>
    </row>
    <row r="1816" spans="1:35" ht="26.4">
      <c r="A1816" s="284"/>
      <c r="B1816" s="284"/>
      <c r="C1816" s="284"/>
      <c r="D1816" s="284"/>
      <c r="E1816" s="284"/>
      <c r="F1816" s="284"/>
      <c r="G1816" s="284"/>
      <c r="H1816" s="284"/>
      <c r="I1816" s="284"/>
      <c r="J1816" s="375"/>
      <c r="K1816" s="375"/>
      <c r="L1816" s="375"/>
      <c r="M1816" s="368"/>
      <c r="N1816" s="368"/>
      <c r="O1816" s="370"/>
      <c r="T1816" s="349"/>
      <c r="V1816" s="378"/>
      <c r="W1816" s="64" ph="1"/>
      <c r="X1816" s="241"/>
      <c r="Y1816" s="284"/>
      <c r="Z1816" s="207"/>
      <c r="AA1816" s="284"/>
      <c r="AB1816" s="284"/>
      <c r="AC1816" s="284"/>
      <c r="AD1816" s="284"/>
      <c r="AE1816" s="284"/>
      <c r="AF1816" s="284"/>
      <c r="AG1816" s="284"/>
      <c r="AI1816" s="131"/>
    </row>
    <row r="1817" spans="1:35" ht="26.4">
      <c r="A1817" s="284"/>
      <c r="B1817" s="284"/>
      <c r="C1817" s="284"/>
      <c r="D1817" s="284"/>
      <c r="E1817" s="284"/>
      <c r="F1817" s="284"/>
      <c r="G1817" s="284"/>
      <c r="H1817" s="284"/>
      <c r="I1817" s="284"/>
      <c r="J1817" s="375"/>
      <c r="K1817" s="375"/>
      <c r="L1817" s="375"/>
      <c r="M1817" s="368"/>
      <c r="N1817" s="368"/>
      <c r="O1817" s="370"/>
      <c r="T1817" s="349"/>
      <c r="V1817" s="378"/>
      <c r="W1817" s="64" ph="1"/>
      <c r="X1817" s="241"/>
      <c r="Y1817" s="284"/>
      <c r="Z1817" s="207"/>
      <c r="AA1817" s="284"/>
      <c r="AB1817" s="284"/>
      <c r="AC1817" s="284"/>
      <c r="AD1817" s="284"/>
      <c r="AE1817" s="284"/>
      <c r="AF1817" s="284"/>
      <c r="AG1817" s="284"/>
      <c r="AI1817" s="131"/>
    </row>
    <row r="1818" spans="1:35" ht="26.4">
      <c r="A1818" s="284"/>
      <c r="B1818" s="284"/>
      <c r="C1818" s="284"/>
      <c r="D1818" s="284"/>
      <c r="E1818" s="284"/>
      <c r="F1818" s="284"/>
      <c r="G1818" s="284"/>
      <c r="H1818" s="284"/>
      <c r="I1818" s="284"/>
      <c r="J1818" s="375"/>
      <c r="K1818" s="375"/>
      <c r="L1818" s="375"/>
      <c r="M1818" s="368"/>
      <c r="N1818" s="368"/>
      <c r="O1818" s="370"/>
      <c r="T1818" s="349"/>
      <c r="V1818" s="378"/>
      <c r="W1818" s="64" ph="1"/>
      <c r="X1818" s="241"/>
      <c r="Y1818" s="284"/>
      <c r="Z1818" s="207"/>
      <c r="AA1818" s="284"/>
      <c r="AB1818" s="284"/>
      <c r="AC1818" s="284"/>
      <c r="AD1818" s="284"/>
      <c r="AE1818" s="284"/>
      <c r="AF1818" s="284"/>
      <c r="AG1818" s="284"/>
      <c r="AI1818" s="131"/>
    </row>
    <row r="1819" spans="1:35" ht="26.4">
      <c r="A1819" s="284"/>
      <c r="B1819" s="284"/>
      <c r="C1819" s="284"/>
      <c r="D1819" s="284"/>
      <c r="E1819" s="284"/>
      <c r="F1819" s="284"/>
      <c r="G1819" s="284"/>
      <c r="H1819" s="284"/>
      <c r="I1819" s="284"/>
      <c r="J1819" s="375"/>
      <c r="K1819" s="375"/>
      <c r="L1819" s="375"/>
      <c r="M1819" s="368"/>
      <c r="N1819" s="368"/>
      <c r="O1819" s="370"/>
      <c r="T1819" s="349"/>
      <c r="V1819" s="378"/>
      <c r="W1819" s="64" ph="1"/>
      <c r="X1819" s="241"/>
      <c r="Y1819" s="284"/>
      <c r="Z1819" s="207"/>
      <c r="AA1819" s="284"/>
      <c r="AB1819" s="284"/>
      <c r="AC1819" s="284"/>
      <c r="AD1819" s="284"/>
      <c r="AE1819" s="284"/>
      <c r="AF1819" s="284"/>
      <c r="AG1819" s="284"/>
      <c r="AI1819" s="131"/>
    </row>
    <row r="1820" spans="1:35" ht="26.4">
      <c r="A1820" s="284"/>
      <c r="B1820" s="284"/>
      <c r="C1820" s="284"/>
      <c r="D1820" s="284"/>
      <c r="E1820" s="284"/>
      <c r="F1820" s="284"/>
      <c r="G1820" s="284"/>
      <c r="H1820" s="284"/>
      <c r="I1820" s="284"/>
      <c r="J1820" s="375"/>
      <c r="K1820" s="375"/>
      <c r="L1820" s="375"/>
      <c r="M1820" s="368"/>
      <c r="N1820" s="368"/>
      <c r="O1820" s="370"/>
      <c r="T1820" s="349"/>
      <c r="V1820" s="378"/>
      <c r="W1820" s="64" ph="1"/>
      <c r="X1820" s="241"/>
      <c r="Y1820" s="284"/>
      <c r="Z1820" s="207"/>
      <c r="AA1820" s="284"/>
      <c r="AB1820" s="284"/>
      <c r="AC1820" s="284"/>
      <c r="AD1820" s="284"/>
      <c r="AE1820" s="284"/>
      <c r="AF1820" s="284"/>
      <c r="AG1820" s="284"/>
      <c r="AI1820" s="131"/>
    </row>
    <row r="1821" spans="1:35" ht="26.4">
      <c r="A1821" s="284"/>
      <c r="B1821" s="284"/>
      <c r="C1821" s="284"/>
      <c r="D1821" s="284"/>
      <c r="E1821" s="284"/>
      <c r="F1821" s="284"/>
      <c r="G1821" s="284"/>
      <c r="H1821" s="284"/>
      <c r="I1821" s="284"/>
      <c r="J1821" s="375"/>
      <c r="K1821" s="375"/>
      <c r="L1821" s="375"/>
      <c r="M1821" s="368"/>
      <c r="N1821" s="368"/>
      <c r="O1821" s="370"/>
      <c r="T1821" s="349"/>
      <c r="V1821" s="378"/>
      <c r="W1821" s="64" ph="1"/>
      <c r="X1821" s="241"/>
      <c r="Y1821" s="284"/>
      <c r="Z1821" s="207"/>
      <c r="AA1821" s="284"/>
      <c r="AB1821" s="284"/>
      <c r="AC1821" s="284"/>
      <c r="AD1821" s="284"/>
      <c r="AE1821" s="284"/>
      <c r="AF1821" s="284"/>
      <c r="AG1821" s="284"/>
      <c r="AI1821" s="131"/>
    </row>
    <row r="1822" spans="1:35" ht="26.4">
      <c r="A1822" s="284"/>
      <c r="B1822" s="284"/>
      <c r="C1822" s="284"/>
      <c r="D1822" s="284"/>
      <c r="E1822" s="284"/>
      <c r="F1822" s="284"/>
      <c r="G1822" s="284"/>
      <c r="H1822" s="284"/>
      <c r="I1822" s="284"/>
      <c r="J1822" s="375"/>
      <c r="K1822" s="375"/>
      <c r="L1822" s="375"/>
      <c r="M1822" s="368"/>
      <c r="N1822" s="368"/>
      <c r="O1822" s="370"/>
      <c r="T1822" s="349"/>
      <c r="V1822" s="378"/>
      <c r="W1822" s="64" ph="1"/>
      <c r="X1822" s="241"/>
      <c r="Y1822" s="284"/>
      <c r="Z1822" s="207"/>
      <c r="AA1822" s="284"/>
      <c r="AB1822" s="284"/>
      <c r="AC1822" s="284"/>
      <c r="AD1822" s="284"/>
      <c r="AE1822" s="284"/>
      <c r="AF1822" s="284"/>
      <c r="AG1822" s="284"/>
      <c r="AI1822" s="131"/>
    </row>
    <row r="1823" spans="1:35" ht="26.4">
      <c r="A1823" s="284"/>
      <c r="B1823" s="284"/>
      <c r="C1823" s="284"/>
      <c r="D1823" s="284"/>
      <c r="E1823" s="284"/>
      <c r="F1823" s="284"/>
      <c r="G1823" s="284"/>
      <c r="H1823" s="284"/>
      <c r="I1823" s="284"/>
      <c r="J1823" s="375"/>
      <c r="K1823" s="375"/>
      <c r="L1823" s="375"/>
      <c r="M1823" s="368"/>
      <c r="N1823" s="368"/>
      <c r="O1823" s="370"/>
      <c r="T1823" s="349"/>
      <c r="V1823" s="378"/>
      <c r="W1823" s="64" ph="1"/>
      <c r="X1823" s="241"/>
      <c r="Y1823" s="284"/>
      <c r="Z1823" s="207"/>
      <c r="AA1823" s="284"/>
      <c r="AB1823" s="284"/>
      <c r="AC1823" s="284"/>
      <c r="AD1823" s="284"/>
      <c r="AE1823" s="284"/>
      <c r="AF1823" s="284"/>
      <c r="AG1823" s="284"/>
      <c r="AI1823" s="131"/>
    </row>
    <row r="1824" spans="1:35" ht="26.4">
      <c r="A1824" s="284"/>
      <c r="B1824" s="284"/>
      <c r="C1824" s="284"/>
      <c r="D1824" s="284"/>
      <c r="E1824" s="284"/>
      <c r="F1824" s="284"/>
      <c r="G1824" s="284"/>
      <c r="H1824" s="284"/>
      <c r="I1824" s="284"/>
      <c r="J1824" s="375"/>
      <c r="K1824" s="375"/>
      <c r="L1824" s="375"/>
      <c r="M1824" s="368"/>
      <c r="N1824" s="368"/>
      <c r="O1824" s="370"/>
      <c r="T1824" s="349"/>
      <c r="V1824" s="378"/>
      <c r="W1824" s="64" ph="1"/>
      <c r="X1824" s="241"/>
      <c r="Y1824" s="284"/>
      <c r="Z1824" s="207"/>
      <c r="AA1824" s="284"/>
      <c r="AB1824" s="284"/>
      <c r="AC1824" s="284"/>
      <c r="AD1824" s="284"/>
      <c r="AE1824" s="284"/>
      <c r="AF1824" s="284"/>
      <c r="AG1824" s="284"/>
      <c r="AI1824" s="131"/>
    </row>
    <row r="1825" spans="1:35" ht="26.4">
      <c r="A1825" s="284"/>
      <c r="B1825" s="284"/>
      <c r="C1825" s="284"/>
      <c r="D1825" s="284"/>
      <c r="E1825" s="284"/>
      <c r="F1825" s="284"/>
      <c r="G1825" s="284"/>
      <c r="H1825" s="284"/>
      <c r="I1825" s="284"/>
      <c r="J1825" s="375"/>
      <c r="K1825" s="375"/>
      <c r="L1825" s="375"/>
      <c r="M1825" s="368"/>
      <c r="N1825" s="368"/>
      <c r="O1825" s="370"/>
      <c r="T1825" s="349"/>
      <c r="V1825" s="378"/>
      <c r="W1825" s="64" ph="1"/>
      <c r="X1825" s="241"/>
      <c r="Y1825" s="284"/>
      <c r="Z1825" s="207"/>
      <c r="AA1825" s="284"/>
      <c r="AB1825" s="284"/>
      <c r="AC1825" s="284"/>
      <c r="AD1825" s="284"/>
      <c r="AE1825" s="284"/>
      <c r="AF1825" s="284"/>
      <c r="AG1825" s="284"/>
      <c r="AI1825" s="131"/>
    </row>
    <row r="1826" spans="1:35" ht="26.4">
      <c r="A1826" s="284"/>
      <c r="B1826" s="284"/>
      <c r="C1826" s="284"/>
      <c r="D1826" s="284"/>
      <c r="E1826" s="284"/>
      <c r="F1826" s="284"/>
      <c r="G1826" s="284"/>
      <c r="H1826" s="284"/>
      <c r="I1826" s="284"/>
      <c r="J1826" s="375"/>
      <c r="K1826" s="375"/>
      <c r="L1826" s="375"/>
      <c r="M1826" s="368"/>
      <c r="N1826" s="368"/>
      <c r="O1826" s="370"/>
      <c r="T1826" s="349"/>
      <c r="V1826" s="378"/>
      <c r="W1826" s="64" ph="1"/>
      <c r="X1826" s="241"/>
      <c r="Y1826" s="284"/>
      <c r="Z1826" s="207"/>
      <c r="AA1826" s="284"/>
      <c r="AB1826" s="284"/>
      <c r="AC1826" s="284"/>
      <c r="AD1826" s="284"/>
      <c r="AE1826" s="284"/>
      <c r="AF1826" s="284"/>
      <c r="AG1826" s="284"/>
      <c r="AI1826" s="131"/>
    </row>
    <row r="1827" spans="1:35" ht="26.4">
      <c r="A1827" s="284"/>
      <c r="B1827" s="284"/>
      <c r="C1827" s="284"/>
      <c r="D1827" s="284"/>
      <c r="E1827" s="284"/>
      <c r="F1827" s="284"/>
      <c r="G1827" s="284"/>
      <c r="H1827" s="284"/>
      <c r="I1827" s="284"/>
      <c r="J1827" s="375"/>
      <c r="K1827" s="375"/>
      <c r="L1827" s="375"/>
      <c r="M1827" s="368"/>
      <c r="N1827" s="368"/>
      <c r="O1827" s="370"/>
      <c r="T1827" s="349"/>
      <c r="V1827" s="378"/>
      <c r="W1827" s="64" ph="1"/>
      <c r="X1827" s="241"/>
      <c r="Y1827" s="284"/>
      <c r="Z1827" s="207"/>
      <c r="AA1827" s="284"/>
      <c r="AB1827" s="284"/>
      <c r="AC1827" s="284"/>
      <c r="AD1827" s="284"/>
      <c r="AE1827" s="284"/>
      <c r="AF1827" s="284"/>
      <c r="AG1827" s="284"/>
      <c r="AI1827" s="131"/>
    </row>
    <row r="1828" spans="1:35" ht="26.4">
      <c r="A1828" s="284"/>
      <c r="B1828" s="284"/>
      <c r="C1828" s="284"/>
      <c r="D1828" s="284"/>
      <c r="E1828" s="284"/>
      <c r="F1828" s="284"/>
      <c r="G1828" s="284"/>
      <c r="H1828" s="284"/>
      <c r="I1828" s="284"/>
      <c r="J1828" s="375"/>
      <c r="K1828" s="375"/>
      <c r="L1828" s="375"/>
      <c r="M1828" s="368"/>
      <c r="N1828" s="368"/>
      <c r="O1828" s="370"/>
      <c r="T1828" s="349"/>
      <c r="V1828" s="378"/>
      <c r="W1828" s="64" ph="1"/>
      <c r="X1828" s="241"/>
      <c r="Y1828" s="284"/>
      <c r="Z1828" s="207"/>
      <c r="AA1828" s="284"/>
      <c r="AB1828" s="284"/>
      <c r="AC1828" s="284"/>
      <c r="AD1828" s="284"/>
      <c r="AE1828" s="284"/>
      <c r="AF1828" s="284"/>
      <c r="AG1828" s="284"/>
      <c r="AI1828" s="131"/>
    </row>
    <row r="1829" spans="1:35" ht="26.4">
      <c r="A1829" s="284"/>
      <c r="B1829" s="284"/>
      <c r="C1829" s="284"/>
      <c r="D1829" s="284"/>
      <c r="E1829" s="284"/>
      <c r="F1829" s="284"/>
      <c r="G1829" s="284"/>
      <c r="H1829" s="284"/>
      <c r="I1829" s="284"/>
      <c r="J1829" s="375"/>
      <c r="K1829" s="375"/>
      <c r="L1829" s="375"/>
      <c r="M1829" s="368"/>
      <c r="N1829" s="368"/>
      <c r="O1829" s="370"/>
      <c r="T1829" s="349"/>
      <c r="V1829" s="378"/>
      <c r="W1829" s="64" ph="1"/>
      <c r="X1829" s="241"/>
      <c r="Y1829" s="284"/>
      <c r="Z1829" s="207"/>
      <c r="AA1829" s="284"/>
      <c r="AB1829" s="284"/>
      <c r="AC1829" s="284"/>
      <c r="AD1829" s="284"/>
      <c r="AE1829" s="284"/>
      <c r="AF1829" s="284"/>
      <c r="AG1829" s="284"/>
      <c r="AI1829" s="131"/>
    </row>
    <row r="1830" spans="1:35" ht="26.4">
      <c r="A1830" s="284"/>
      <c r="B1830" s="284"/>
      <c r="C1830" s="284"/>
      <c r="D1830" s="284"/>
      <c r="E1830" s="284"/>
      <c r="F1830" s="284"/>
      <c r="G1830" s="284"/>
      <c r="H1830" s="284"/>
      <c r="I1830" s="284"/>
      <c r="J1830" s="375"/>
      <c r="K1830" s="375"/>
      <c r="L1830" s="375"/>
      <c r="M1830" s="368"/>
      <c r="N1830" s="368"/>
      <c r="O1830" s="370"/>
      <c r="T1830" s="349"/>
      <c r="V1830" s="378"/>
      <c r="W1830" s="64" ph="1"/>
      <c r="X1830" s="241"/>
      <c r="Y1830" s="284"/>
      <c r="Z1830" s="207"/>
      <c r="AA1830" s="284"/>
      <c r="AB1830" s="284"/>
      <c r="AC1830" s="284"/>
      <c r="AD1830" s="284"/>
      <c r="AE1830" s="284"/>
      <c r="AF1830" s="284"/>
      <c r="AG1830" s="284"/>
      <c r="AI1830" s="131"/>
    </row>
    <row r="1831" spans="1:35" ht="26.4">
      <c r="A1831" s="284"/>
      <c r="B1831" s="284"/>
      <c r="C1831" s="284"/>
      <c r="D1831" s="284"/>
      <c r="E1831" s="284"/>
      <c r="F1831" s="284"/>
      <c r="G1831" s="284"/>
      <c r="H1831" s="284"/>
      <c r="I1831" s="284"/>
      <c r="J1831" s="375"/>
      <c r="K1831" s="375"/>
      <c r="L1831" s="375"/>
      <c r="M1831" s="368"/>
      <c r="N1831" s="368"/>
      <c r="O1831" s="370"/>
      <c r="T1831" s="349"/>
      <c r="V1831" s="378"/>
      <c r="W1831" s="64" ph="1"/>
      <c r="X1831" s="241"/>
      <c r="Y1831" s="284"/>
      <c r="Z1831" s="207"/>
      <c r="AA1831" s="284"/>
      <c r="AB1831" s="284"/>
      <c r="AC1831" s="284"/>
      <c r="AD1831" s="284"/>
      <c r="AE1831" s="284"/>
      <c r="AF1831" s="284"/>
      <c r="AG1831" s="284"/>
      <c r="AI1831" s="131"/>
    </row>
    <row r="1832" spans="1:35" ht="26.4">
      <c r="A1832" s="284"/>
      <c r="B1832" s="284"/>
      <c r="C1832" s="284"/>
      <c r="D1832" s="284"/>
      <c r="E1832" s="284"/>
      <c r="F1832" s="284"/>
      <c r="G1832" s="284"/>
      <c r="H1832" s="284"/>
      <c r="I1832" s="284"/>
      <c r="J1832" s="375"/>
      <c r="K1832" s="375"/>
      <c r="L1832" s="375"/>
      <c r="M1832" s="368"/>
      <c r="N1832" s="368"/>
      <c r="O1832" s="370"/>
      <c r="T1832" s="349"/>
      <c r="V1832" s="378"/>
      <c r="W1832" s="64" ph="1"/>
      <c r="X1832" s="241"/>
      <c r="Y1832" s="284"/>
      <c r="Z1832" s="207"/>
      <c r="AA1832" s="284"/>
      <c r="AB1832" s="284"/>
      <c r="AC1832" s="284"/>
      <c r="AD1832" s="284"/>
      <c r="AE1832" s="284"/>
      <c r="AF1832" s="284"/>
      <c r="AG1832" s="284"/>
      <c r="AI1832" s="131"/>
    </row>
    <row r="1833" spans="1:35" ht="26.4">
      <c r="A1833" s="284"/>
      <c r="B1833" s="284"/>
      <c r="C1833" s="284"/>
      <c r="D1833" s="284"/>
      <c r="E1833" s="284"/>
      <c r="F1833" s="284"/>
      <c r="G1833" s="284"/>
      <c r="H1833" s="284"/>
      <c r="I1833" s="284"/>
      <c r="J1833" s="375"/>
      <c r="K1833" s="375"/>
      <c r="L1833" s="375"/>
      <c r="M1833" s="368"/>
      <c r="N1833" s="368"/>
      <c r="O1833" s="370"/>
      <c r="T1833" s="349"/>
      <c r="V1833" s="378"/>
      <c r="W1833" s="64" ph="1"/>
      <c r="X1833" s="241"/>
      <c r="Y1833" s="284"/>
      <c r="Z1833" s="207"/>
      <c r="AA1833" s="284"/>
      <c r="AB1833" s="284"/>
      <c r="AC1833" s="284"/>
      <c r="AD1833" s="284"/>
      <c r="AE1833" s="284"/>
      <c r="AF1833" s="284"/>
      <c r="AG1833" s="284"/>
      <c r="AI1833" s="131"/>
    </row>
    <row r="1834" spans="1:35" ht="26.4">
      <c r="A1834" s="284"/>
      <c r="B1834" s="284"/>
      <c r="C1834" s="284"/>
      <c r="D1834" s="284"/>
      <c r="E1834" s="284"/>
      <c r="F1834" s="284"/>
      <c r="G1834" s="284"/>
      <c r="H1834" s="284"/>
      <c r="I1834" s="284"/>
      <c r="J1834" s="375"/>
      <c r="K1834" s="375"/>
      <c r="L1834" s="375"/>
      <c r="M1834" s="368"/>
      <c r="N1834" s="368"/>
      <c r="O1834" s="370"/>
      <c r="T1834" s="349"/>
      <c r="V1834" s="378"/>
      <c r="W1834" s="64" ph="1"/>
      <c r="X1834" s="241"/>
      <c r="Y1834" s="284"/>
      <c r="Z1834" s="207"/>
      <c r="AA1834" s="284"/>
      <c r="AB1834" s="284"/>
      <c r="AC1834" s="284"/>
      <c r="AD1834" s="284"/>
      <c r="AE1834" s="284"/>
      <c r="AF1834" s="284"/>
      <c r="AG1834" s="284"/>
      <c r="AI1834" s="131"/>
    </row>
    <row r="1835" spans="1:35" ht="26.4">
      <c r="A1835" s="284"/>
      <c r="B1835" s="284"/>
      <c r="C1835" s="284"/>
      <c r="D1835" s="284"/>
      <c r="E1835" s="284"/>
      <c r="F1835" s="284"/>
      <c r="G1835" s="284"/>
      <c r="H1835" s="284"/>
      <c r="I1835" s="284"/>
      <c r="J1835" s="375"/>
      <c r="K1835" s="375"/>
      <c r="L1835" s="375"/>
      <c r="M1835" s="368"/>
      <c r="N1835" s="368"/>
      <c r="O1835" s="370"/>
      <c r="T1835" s="349"/>
      <c r="V1835" s="378"/>
      <c r="W1835" s="64" ph="1"/>
      <c r="X1835" s="241"/>
      <c r="Y1835" s="284"/>
      <c r="Z1835" s="207"/>
      <c r="AA1835" s="284"/>
      <c r="AB1835" s="284"/>
      <c r="AC1835" s="284"/>
      <c r="AD1835" s="284"/>
      <c r="AE1835" s="284"/>
      <c r="AF1835" s="284"/>
      <c r="AG1835" s="284"/>
      <c r="AI1835" s="131"/>
    </row>
    <row r="1836" spans="1:35" ht="26.4">
      <c r="A1836" s="284"/>
      <c r="B1836" s="284"/>
      <c r="C1836" s="284"/>
      <c r="D1836" s="284"/>
      <c r="E1836" s="284"/>
      <c r="F1836" s="284"/>
      <c r="G1836" s="284"/>
      <c r="H1836" s="284"/>
      <c r="I1836" s="284"/>
      <c r="J1836" s="375"/>
      <c r="K1836" s="375"/>
      <c r="L1836" s="375"/>
      <c r="M1836" s="368"/>
      <c r="N1836" s="368"/>
      <c r="O1836" s="370"/>
      <c r="T1836" s="349"/>
      <c r="V1836" s="378"/>
      <c r="W1836" s="64" ph="1"/>
      <c r="X1836" s="241"/>
      <c r="Y1836" s="284"/>
      <c r="Z1836" s="207"/>
      <c r="AA1836" s="284"/>
      <c r="AB1836" s="284"/>
      <c r="AC1836" s="284"/>
      <c r="AD1836" s="284"/>
      <c r="AE1836" s="284"/>
      <c r="AF1836" s="284"/>
      <c r="AG1836" s="284"/>
      <c r="AI1836" s="131"/>
    </row>
    <row r="1837" spans="1:35" ht="26.4">
      <c r="A1837" s="284"/>
      <c r="B1837" s="284"/>
      <c r="C1837" s="284"/>
      <c r="D1837" s="284"/>
      <c r="E1837" s="284"/>
      <c r="F1837" s="284"/>
      <c r="G1837" s="284"/>
      <c r="H1837" s="284"/>
      <c r="I1837" s="284"/>
      <c r="J1837" s="375"/>
      <c r="K1837" s="375"/>
      <c r="L1837" s="375"/>
      <c r="M1837" s="368"/>
      <c r="N1837" s="368"/>
      <c r="O1837" s="370"/>
      <c r="T1837" s="349"/>
      <c r="V1837" s="378"/>
      <c r="W1837" s="64" ph="1"/>
      <c r="X1837" s="241"/>
      <c r="Y1837" s="284"/>
      <c r="Z1837" s="207"/>
      <c r="AA1837" s="284"/>
      <c r="AB1837" s="284"/>
      <c r="AC1837" s="284"/>
      <c r="AD1837" s="284"/>
      <c r="AE1837" s="284"/>
      <c r="AF1837" s="284"/>
      <c r="AG1837" s="284"/>
      <c r="AI1837" s="131"/>
    </row>
    <row r="1838" spans="1:35" ht="26.4">
      <c r="A1838" s="284"/>
      <c r="B1838" s="284"/>
      <c r="C1838" s="284"/>
      <c r="D1838" s="284"/>
      <c r="E1838" s="284"/>
      <c r="F1838" s="284"/>
      <c r="G1838" s="284"/>
      <c r="H1838" s="284"/>
      <c r="I1838" s="284"/>
      <c r="J1838" s="375"/>
      <c r="K1838" s="375"/>
      <c r="L1838" s="375"/>
      <c r="M1838" s="368"/>
      <c r="N1838" s="368"/>
      <c r="O1838" s="370"/>
      <c r="T1838" s="349"/>
      <c r="V1838" s="378"/>
      <c r="W1838" s="64" ph="1"/>
      <c r="X1838" s="241"/>
      <c r="Y1838" s="284"/>
      <c r="Z1838" s="207"/>
      <c r="AA1838" s="284"/>
      <c r="AB1838" s="284"/>
      <c r="AC1838" s="284"/>
      <c r="AD1838" s="284"/>
      <c r="AE1838" s="284"/>
      <c r="AF1838" s="284"/>
      <c r="AG1838" s="284"/>
      <c r="AI1838" s="284"/>
    </row>
    <row r="1839" spans="1:35" ht="26.4">
      <c r="A1839" s="284"/>
      <c r="B1839" s="284"/>
      <c r="C1839" s="284"/>
      <c r="D1839" s="284"/>
      <c r="E1839" s="284"/>
      <c r="F1839" s="284"/>
      <c r="G1839" s="284"/>
      <c r="H1839" s="284"/>
      <c r="I1839" s="284"/>
      <c r="J1839" s="375"/>
      <c r="K1839" s="375"/>
      <c r="L1839" s="375"/>
      <c r="M1839" s="368"/>
      <c r="N1839" s="368"/>
      <c r="O1839" s="370"/>
      <c r="T1839" s="349"/>
      <c r="V1839" s="378"/>
      <c r="W1839" s="64" ph="1"/>
      <c r="X1839" s="241"/>
      <c r="Y1839" s="284"/>
      <c r="Z1839" s="207"/>
      <c r="AA1839" s="284"/>
      <c r="AB1839" s="284"/>
      <c r="AC1839" s="284"/>
      <c r="AD1839" s="284"/>
      <c r="AE1839" s="284"/>
      <c r="AF1839" s="284"/>
      <c r="AG1839" s="284"/>
      <c r="AI1839" s="131"/>
    </row>
    <row r="1840" spans="1:35" ht="26.4">
      <c r="A1840" s="284"/>
      <c r="B1840" s="284"/>
      <c r="C1840" s="284"/>
      <c r="D1840" s="284"/>
      <c r="E1840" s="284"/>
      <c r="F1840" s="284"/>
      <c r="G1840" s="284"/>
      <c r="H1840" s="284"/>
      <c r="I1840" s="284"/>
      <c r="J1840" s="375"/>
      <c r="K1840" s="375"/>
      <c r="L1840" s="375"/>
      <c r="M1840" s="368"/>
      <c r="N1840" s="368"/>
      <c r="O1840" s="370"/>
      <c r="T1840" s="349"/>
      <c r="V1840" s="378"/>
      <c r="W1840" s="64" ph="1"/>
      <c r="X1840" s="241"/>
      <c r="Y1840" s="284"/>
      <c r="Z1840" s="207"/>
      <c r="AA1840" s="284"/>
      <c r="AB1840" s="284"/>
      <c r="AC1840" s="284"/>
      <c r="AD1840" s="284"/>
      <c r="AE1840" s="284"/>
      <c r="AF1840" s="284"/>
      <c r="AG1840" s="284"/>
      <c r="AI1840" s="131"/>
    </row>
    <row r="1841" spans="1:35" ht="26.4">
      <c r="A1841" s="284"/>
      <c r="B1841" s="284"/>
      <c r="C1841" s="284"/>
      <c r="D1841" s="284"/>
      <c r="E1841" s="284"/>
      <c r="F1841" s="284"/>
      <c r="G1841" s="284"/>
      <c r="H1841" s="284"/>
      <c r="I1841" s="284"/>
      <c r="J1841" s="375"/>
      <c r="K1841" s="375"/>
      <c r="L1841" s="375"/>
      <c r="M1841" s="368"/>
      <c r="N1841" s="368"/>
      <c r="O1841" s="370"/>
      <c r="T1841" s="349"/>
      <c r="V1841" s="378"/>
      <c r="W1841" s="64" ph="1"/>
      <c r="X1841" s="241"/>
      <c r="Y1841" s="284"/>
      <c r="Z1841" s="207"/>
      <c r="AA1841" s="284"/>
      <c r="AB1841" s="284"/>
      <c r="AC1841" s="284"/>
      <c r="AD1841" s="284"/>
      <c r="AE1841" s="284"/>
      <c r="AF1841" s="284"/>
      <c r="AG1841" s="284"/>
      <c r="AI1841" s="131"/>
    </row>
    <row r="1842" spans="1:35" ht="26.4">
      <c r="A1842" s="284"/>
      <c r="B1842" s="284"/>
      <c r="C1842" s="284"/>
      <c r="D1842" s="284"/>
      <c r="E1842" s="284"/>
      <c r="F1842" s="284"/>
      <c r="G1842" s="284"/>
      <c r="H1842" s="284"/>
      <c r="I1842" s="284"/>
      <c r="J1842" s="375"/>
      <c r="K1842" s="375"/>
      <c r="L1842" s="375"/>
      <c r="M1842" s="368"/>
      <c r="N1842" s="368"/>
      <c r="O1842" s="370"/>
      <c r="T1842" s="349"/>
      <c r="V1842" s="378"/>
      <c r="W1842" s="64" ph="1"/>
      <c r="X1842" s="241"/>
      <c r="Y1842" s="284"/>
      <c r="Z1842" s="207"/>
      <c r="AA1842" s="284"/>
      <c r="AB1842" s="284"/>
      <c r="AC1842" s="284"/>
      <c r="AD1842" s="284"/>
      <c r="AE1842" s="284"/>
      <c r="AF1842" s="284"/>
      <c r="AG1842" s="284"/>
      <c r="AI1842" s="131"/>
    </row>
    <row r="1843" spans="1:35" ht="26.4">
      <c r="A1843" s="284"/>
      <c r="B1843" s="284"/>
      <c r="C1843" s="284"/>
      <c r="D1843" s="284"/>
      <c r="E1843" s="284"/>
      <c r="F1843" s="284"/>
      <c r="G1843" s="284"/>
      <c r="H1843" s="284"/>
      <c r="I1843" s="284"/>
      <c r="J1843" s="375"/>
      <c r="K1843" s="375"/>
      <c r="L1843" s="375"/>
      <c r="M1843" s="368"/>
      <c r="N1843" s="368"/>
      <c r="O1843" s="370"/>
      <c r="T1843" s="349"/>
      <c r="V1843" s="378"/>
      <c r="W1843" s="64" ph="1"/>
      <c r="X1843" s="241"/>
      <c r="Y1843" s="284"/>
      <c r="Z1843" s="207"/>
      <c r="AA1843" s="284"/>
      <c r="AB1843" s="284"/>
      <c r="AC1843" s="284"/>
      <c r="AD1843" s="284"/>
      <c r="AE1843" s="284"/>
      <c r="AF1843" s="284"/>
      <c r="AG1843" s="284"/>
      <c r="AI1843" s="284"/>
    </row>
    <row r="1844" spans="1:35" ht="26.4">
      <c r="A1844" s="284"/>
      <c r="B1844" s="284"/>
      <c r="C1844" s="284"/>
      <c r="D1844" s="284"/>
      <c r="E1844" s="284"/>
      <c r="F1844" s="284"/>
      <c r="G1844" s="284"/>
      <c r="H1844" s="284"/>
      <c r="I1844" s="284"/>
      <c r="J1844" s="375"/>
      <c r="K1844" s="375"/>
      <c r="L1844" s="375"/>
      <c r="M1844" s="368"/>
      <c r="N1844" s="368"/>
      <c r="O1844" s="370"/>
      <c r="T1844" s="349"/>
      <c r="V1844" s="378"/>
      <c r="W1844" s="64" ph="1"/>
      <c r="X1844" s="241"/>
      <c r="Y1844" s="284"/>
      <c r="Z1844" s="207"/>
      <c r="AA1844" s="284"/>
      <c r="AB1844" s="284"/>
      <c r="AC1844" s="284"/>
      <c r="AD1844" s="284"/>
      <c r="AE1844" s="284"/>
      <c r="AF1844" s="284"/>
      <c r="AG1844" s="284"/>
      <c r="AI1844" s="131"/>
    </row>
    <row r="1845" spans="1:35" ht="26.4">
      <c r="A1845" s="284"/>
      <c r="B1845" s="284"/>
      <c r="C1845" s="284"/>
      <c r="D1845" s="284"/>
      <c r="E1845" s="284"/>
      <c r="F1845" s="284"/>
      <c r="G1845" s="284"/>
      <c r="H1845" s="284"/>
      <c r="I1845" s="284"/>
      <c r="J1845" s="375"/>
      <c r="K1845" s="375"/>
      <c r="L1845" s="375"/>
      <c r="M1845" s="368"/>
      <c r="N1845" s="368"/>
      <c r="O1845" s="370"/>
      <c r="T1845" s="349"/>
      <c r="V1845" s="378"/>
      <c r="W1845" s="64" ph="1"/>
      <c r="X1845" s="241"/>
      <c r="Y1845" s="284"/>
      <c r="Z1845" s="207"/>
      <c r="AA1845" s="284"/>
      <c r="AB1845" s="284"/>
      <c r="AC1845" s="284"/>
      <c r="AD1845" s="284"/>
      <c r="AE1845" s="284"/>
      <c r="AF1845" s="284"/>
      <c r="AG1845" s="284"/>
      <c r="AI1845" s="131"/>
    </row>
    <row r="1846" spans="1:35" ht="26.4">
      <c r="A1846" s="284"/>
      <c r="B1846" s="284"/>
      <c r="C1846" s="284"/>
      <c r="D1846" s="284"/>
      <c r="E1846" s="284"/>
      <c r="F1846" s="284"/>
      <c r="G1846" s="284"/>
      <c r="H1846" s="284"/>
      <c r="I1846" s="284"/>
      <c r="J1846" s="375"/>
      <c r="K1846" s="375"/>
      <c r="L1846" s="375"/>
      <c r="M1846" s="368"/>
      <c r="N1846" s="368"/>
      <c r="O1846" s="370"/>
      <c r="T1846" s="349"/>
      <c r="V1846" s="378"/>
      <c r="W1846" s="64" ph="1"/>
      <c r="X1846" s="241"/>
      <c r="Y1846" s="284"/>
      <c r="Z1846" s="207"/>
      <c r="AA1846" s="284"/>
      <c r="AB1846" s="284"/>
      <c r="AC1846" s="284"/>
      <c r="AD1846" s="284"/>
      <c r="AE1846" s="284"/>
      <c r="AF1846" s="284"/>
      <c r="AG1846" s="284"/>
      <c r="AI1846" s="131"/>
    </row>
    <row r="1847" spans="1:35" ht="26.4">
      <c r="A1847" s="284"/>
      <c r="B1847" s="284"/>
      <c r="C1847" s="284"/>
      <c r="D1847" s="284"/>
      <c r="E1847" s="284"/>
      <c r="F1847" s="284"/>
      <c r="G1847" s="284"/>
      <c r="H1847" s="284"/>
      <c r="I1847" s="284"/>
      <c r="J1847" s="375"/>
      <c r="K1847" s="375"/>
      <c r="L1847" s="375"/>
      <c r="M1847" s="368"/>
      <c r="N1847" s="368"/>
      <c r="O1847" s="370"/>
      <c r="T1847" s="349"/>
      <c r="V1847" s="378"/>
      <c r="W1847" s="64" ph="1"/>
      <c r="X1847" s="241"/>
      <c r="Y1847" s="284"/>
      <c r="Z1847" s="207"/>
      <c r="AA1847" s="284"/>
      <c r="AB1847" s="284"/>
      <c r="AC1847" s="284"/>
      <c r="AD1847" s="284"/>
      <c r="AE1847" s="284"/>
      <c r="AF1847" s="284"/>
      <c r="AG1847" s="284"/>
      <c r="AI1847" s="131"/>
    </row>
    <row r="1848" spans="1:35" ht="26.4">
      <c r="A1848" s="284"/>
      <c r="B1848" s="284"/>
      <c r="C1848" s="284"/>
      <c r="D1848" s="284"/>
      <c r="E1848" s="284"/>
      <c r="F1848" s="284"/>
      <c r="G1848" s="284"/>
      <c r="H1848" s="284"/>
      <c r="I1848" s="284"/>
      <c r="J1848" s="375"/>
      <c r="K1848" s="375"/>
      <c r="L1848" s="375"/>
      <c r="M1848" s="368"/>
      <c r="N1848" s="368"/>
      <c r="O1848" s="370"/>
      <c r="T1848" s="349"/>
      <c r="V1848" s="378"/>
      <c r="W1848" s="64" ph="1"/>
      <c r="X1848" s="241"/>
      <c r="Y1848" s="284"/>
      <c r="Z1848" s="207"/>
      <c r="AA1848" s="284"/>
      <c r="AB1848" s="284"/>
      <c r="AC1848" s="284"/>
      <c r="AD1848" s="284"/>
      <c r="AE1848" s="284"/>
      <c r="AF1848" s="284"/>
      <c r="AG1848" s="284"/>
      <c r="AI1848" s="131"/>
    </row>
    <row r="1849" spans="1:35" ht="26.4">
      <c r="A1849" s="284"/>
      <c r="B1849" s="284"/>
      <c r="C1849" s="284"/>
      <c r="D1849" s="284"/>
      <c r="E1849" s="284"/>
      <c r="F1849" s="284"/>
      <c r="G1849" s="284"/>
      <c r="H1849" s="284"/>
      <c r="I1849" s="284"/>
      <c r="J1849" s="375"/>
      <c r="K1849" s="375"/>
      <c r="L1849" s="375"/>
      <c r="M1849" s="368"/>
      <c r="N1849" s="368"/>
      <c r="O1849" s="370"/>
      <c r="T1849" s="349"/>
      <c r="V1849" s="378"/>
      <c r="W1849" s="64" ph="1"/>
      <c r="X1849" s="241"/>
      <c r="Y1849" s="284"/>
      <c r="Z1849" s="207"/>
      <c r="AA1849" s="284"/>
      <c r="AB1849" s="284"/>
      <c r="AC1849" s="284"/>
      <c r="AD1849" s="284"/>
      <c r="AE1849" s="284"/>
      <c r="AF1849" s="284"/>
      <c r="AG1849" s="284"/>
      <c r="AI1849" s="131"/>
    </row>
    <row r="1850" spans="1:35" ht="26.4">
      <c r="A1850" s="284"/>
      <c r="B1850" s="284"/>
      <c r="C1850" s="284"/>
      <c r="D1850" s="284"/>
      <c r="E1850" s="284"/>
      <c r="F1850" s="284"/>
      <c r="G1850" s="284"/>
      <c r="H1850" s="284"/>
      <c r="I1850" s="284"/>
      <c r="J1850" s="375"/>
      <c r="K1850" s="375"/>
      <c r="L1850" s="375"/>
      <c r="M1850" s="368"/>
      <c r="N1850" s="368"/>
      <c r="O1850" s="370"/>
      <c r="T1850" s="349"/>
      <c r="V1850" s="378"/>
      <c r="W1850" s="64" ph="1"/>
      <c r="X1850" s="241"/>
      <c r="Y1850" s="284"/>
      <c r="Z1850" s="207"/>
      <c r="AA1850" s="284"/>
      <c r="AB1850" s="284"/>
      <c r="AC1850" s="284"/>
      <c r="AD1850" s="284"/>
      <c r="AE1850" s="284"/>
      <c r="AF1850" s="284"/>
      <c r="AG1850" s="284"/>
      <c r="AI1850" s="131"/>
    </row>
    <row r="1851" spans="1:35" ht="26.4">
      <c r="A1851" s="284"/>
      <c r="B1851" s="284"/>
      <c r="C1851" s="284"/>
      <c r="D1851" s="284"/>
      <c r="E1851" s="284"/>
      <c r="F1851" s="284"/>
      <c r="G1851" s="284"/>
      <c r="H1851" s="284"/>
      <c r="I1851" s="284"/>
      <c r="J1851" s="375"/>
      <c r="K1851" s="375"/>
      <c r="L1851" s="375"/>
      <c r="M1851" s="368"/>
      <c r="N1851" s="368"/>
      <c r="O1851" s="370"/>
      <c r="T1851" s="349"/>
      <c r="V1851" s="378"/>
      <c r="W1851" s="64" ph="1"/>
      <c r="X1851" s="241"/>
      <c r="Y1851" s="284"/>
      <c r="Z1851" s="207"/>
      <c r="AA1851" s="284"/>
      <c r="AB1851" s="284"/>
      <c r="AC1851" s="284"/>
      <c r="AD1851" s="284"/>
      <c r="AE1851" s="284"/>
      <c r="AF1851" s="284"/>
      <c r="AG1851" s="284"/>
      <c r="AI1851" s="131"/>
    </row>
    <row r="1852" spans="1:35" ht="26.4">
      <c r="A1852" s="284"/>
      <c r="B1852" s="284"/>
      <c r="C1852" s="284"/>
      <c r="D1852" s="284"/>
      <c r="E1852" s="284"/>
      <c r="F1852" s="284"/>
      <c r="G1852" s="284"/>
      <c r="H1852" s="284"/>
      <c r="I1852" s="284"/>
      <c r="J1852" s="375"/>
      <c r="K1852" s="375"/>
      <c r="L1852" s="375"/>
      <c r="M1852" s="368"/>
      <c r="N1852" s="368"/>
      <c r="O1852" s="370"/>
      <c r="T1852" s="349"/>
      <c r="V1852" s="378"/>
      <c r="W1852" s="64" ph="1"/>
      <c r="X1852" s="241"/>
      <c r="Y1852" s="284"/>
      <c r="Z1852" s="207"/>
      <c r="AA1852" s="284"/>
      <c r="AB1852" s="284"/>
      <c r="AC1852" s="284"/>
      <c r="AD1852" s="284"/>
      <c r="AE1852" s="284"/>
      <c r="AF1852" s="284"/>
      <c r="AG1852" s="284"/>
      <c r="AI1852" s="131"/>
    </row>
    <row r="1853" spans="1:35" ht="26.4">
      <c r="A1853" s="284"/>
      <c r="B1853" s="284"/>
      <c r="C1853" s="284"/>
      <c r="D1853" s="284"/>
      <c r="E1853" s="284"/>
      <c r="F1853" s="284"/>
      <c r="G1853" s="284"/>
      <c r="H1853" s="284"/>
      <c r="I1853" s="284"/>
      <c r="J1853" s="375"/>
      <c r="K1853" s="375"/>
      <c r="L1853" s="375"/>
      <c r="M1853" s="368"/>
      <c r="N1853" s="368"/>
      <c r="O1853" s="370"/>
      <c r="T1853" s="349"/>
      <c r="V1853" s="378"/>
      <c r="W1853" s="64" ph="1"/>
      <c r="X1853" s="241"/>
      <c r="Y1853" s="284"/>
      <c r="Z1853" s="207"/>
      <c r="AA1853" s="284"/>
      <c r="AB1853" s="284"/>
      <c r="AC1853" s="284"/>
      <c r="AD1853" s="284"/>
      <c r="AE1853" s="284"/>
      <c r="AF1853" s="284"/>
      <c r="AG1853" s="284"/>
      <c r="AI1853" s="131"/>
    </row>
    <row r="1854" spans="1:35" ht="26.4">
      <c r="A1854" s="284"/>
      <c r="B1854" s="284"/>
      <c r="C1854" s="284"/>
      <c r="D1854" s="284"/>
      <c r="E1854" s="284"/>
      <c r="F1854" s="284"/>
      <c r="G1854" s="284"/>
      <c r="H1854" s="284"/>
      <c r="I1854" s="284"/>
      <c r="J1854" s="375"/>
      <c r="K1854" s="375"/>
      <c r="L1854" s="375"/>
      <c r="M1854" s="368"/>
      <c r="N1854" s="368"/>
      <c r="O1854" s="370"/>
      <c r="T1854" s="349"/>
      <c r="V1854" s="378"/>
      <c r="W1854" s="64" ph="1"/>
      <c r="X1854" s="241"/>
      <c r="Y1854" s="284"/>
      <c r="Z1854" s="207"/>
      <c r="AA1854" s="284"/>
      <c r="AB1854" s="284"/>
      <c r="AC1854" s="284"/>
      <c r="AD1854" s="284"/>
      <c r="AE1854" s="284"/>
      <c r="AF1854" s="284"/>
      <c r="AG1854" s="284"/>
      <c r="AI1854" s="131"/>
    </row>
    <row r="1855" spans="1:35" ht="26.4">
      <c r="A1855" s="284"/>
      <c r="B1855" s="284"/>
      <c r="C1855" s="284"/>
      <c r="D1855" s="284"/>
      <c r="E1855" s="284"/>
      <c r="F1855" s="284"/>
      <c r="G1855" s="284"/>
      <c r="H1855" s="284"/>
      <c r="I1855" s="284"/>
      <c r="J1855" s="375"/>
      <c r="K1855" s="375"/>
      <c r="L1855" s="375"/>
      <c r="M1855" s="368"/>
      <c r="N1855" s="368"/>
      <c r="O1855" s="370"/>
      <c r="T1855" s="349"/>
      <c r="V1855" s="378"/>
      <c r="W1855" s="64" ph="1"/>
      <c r="X1855" s="241"/>
      <c r="Y1855" s="284"/>
      <c r="Z1855" s="207"/>
      <c r="AA1855" s="284"/>
      <c r="AB1855" s="284"/>
      <c r="AC1855" s="284"/>
      <c r="AD1855" s="284"/>
      <c r="AE1855" s="284"/>
      <c r="AF1855" s="284"/>
      <c r="AG1855" s="284"/>
      <c r="AI1855" s="284"/>
    </row>
    <row r="1856" spans="1:35" ht="26.4">
      <c r="A1856" s="284"/>
      <c r="B1856" s="284"/>
      <c r="C1856" s="284"/>
      <c r="D1856" s="284"/>
      <c r="E1856" s="284"/>
      <c r="F1856" s="284"/>
      <c r="G1856" s="284"/>
      <c r="H1856" s="284"/>
      <c r="I1856" s="284"/>
      <c r="J1856" s="375"/>
      <c r="K1856" s="375"/>
      <c r="L1856" s="375"/>
      <c r="M1856" s="368"/>
      <c r="N1856" s="368"/>
      <c r="O1856" s="370"/>
      <c r="T1856" s="349"/>
      <c r="V1856" s="378"/>
      <c r="W1856" s="64" ph="1"/>
      <c r="X1856" s="241"/>
      <c r="Y1856" s="284"/>
      <c r="Z1856" s="207"/>
      <c r="AA1856" s="284"/>
      <c r="AB1856" s="284"/>
      <c r="AC1856" s="284"/>
      <c r="AD1856" s="284"/>
      <c r="AE1856" s="284"/>
      <c r="AF1856" s="284"/>
      <c r="AG1856" s="284"/>
      <c r="AI1856" s="284"/>
    </row>
    <row r="1857" spans="1:35" ht="26.4">
      <c r="A1857" s="284"/>
      <c r="B1857" s="284"/>
      <c r="C1857" s="284"/>
      <c r="D1857" s="284"/>
      <c r="E1857" s="284"/>
      <c r="F1857" s="284"/>
      <c r="G1857" s="284"/>
      <c r="H1857" s="284"/>
      <c r="I1857" s="284"/>
      <c r="J1857" s="375"/>
      <c r="K1857" s="375"/>
      <c r="L1857" s="375"/>
      <c r="M1857" s="368"/>
      <c r="N1857" s="368"/>
      <c r="O1857" s="370"/>
      <c r="T1857" s="349"/>
      <c r="V1857" s="378"/>
      <c r="W1857" s="64" ph="1"/>
      <c r="X1857" s="241"/>
      <c r="Y1857" s="284"/>
      <c r="Z1857" s="207"/>
      <c r="AA1857" s="284"/>
      <c r="AB1857" s="284"/>
      <c r="AC1857" s="284"/>
      <c r="AD1857" s="284"/>
      <c r="AE1857" s="284"/>
      <c r="AF1857" s="284"/>
      <c r="AG1857" s="284"/>
      <c r="AI1857" s="284"/>
    </row>
    <row r="1858" spans="1:35" ht="26.4">
      <c r="A1858" s="284"/>
      <c r="B1858" s="284"/>
      <c r="C1858" s="284"/>
      <c r="D1858" s="284"/>
      <c r="E1858" s="284"/>
      <c r="F1858" s="284"/>
      <c r="G1858" s="284"/>
      <c r="H1858" s="284"/>
      <c r="I1858" s="284"/>
      <c r="J1858" s="375"/>
      <c r="K1858" s="375"/>
      <c r="L1858" s="375"/>
      <c r="M1858" s="368"/>
      <c r="N1858" s="368"/>
      <c r="O1858" s="370"/>
      <c r="T1858" s="349"/>
      <c r="V1858" s="378"/>
      <c r="W1858" s="64" ph="1"/>
      <c r="X1858" s="241"/>
      <c r="Y1858" s="284"/>
      <c r="Z1858" s="207"/>
      <c r="AA1858" s="284"/>
      <c r="AB1858" s="284"/>
      <c r="AC1858" s="284"/>
      <c r="AD1858" s="284"/>
      <c r="AE1858" s="284"/>
      <c r="AF1858" s="284"/>
      <c r="AG1858" s="284"/>
      <c r="AI1858" s="284"/>
    </row>
    <row r="1859" spans="1:35" ht="26.4">
      <c r="A1859" s="284"/>
      <c r="B1859" s="284"/>
      <c r="C1859" s="284"/>
      <c r="D1859" s="284"/>
      <c r="E1859" s="284"/>
      <c r="F1859" s="284"/>
      <c r="G1859" s="284"/>
      <c r="H1859" s="284"/>
      <c r="I1859" s="284"/>
      <c r="J1859" s="375"/>
      <c r="K1859" s="375"/>
      <c r="L1859" s="375"/>
      <c r="M1859" s="368"/>
      <c r="N1859" s="368"/>
      <c r="O1859" s="370"/>
      <c r="T1859" s="349"/>
      <c r="V1859" s="378"/>
      <c r="W1859" s="64" ph="1"/>
      <c r="X1859" s="241"/>
      <c r="Y1859" s="284"/>
      <c r="Z1859" s="207"/>
      <c r="AA1859" s="284"/>
      <c r="AB1859" s="284"/>
      <c r="AC1859" s="284"/>
      <c r="AD1859" s="284"/>
      <c r="AE1859" s="284"/>
      <c r="AF1859" s="284"/>
      <c r="AG1859" s="284"/>
      <c r="AI1859" s="284"/>
    </row>
    <row r="1860" spans="1:35" ht="26.4">
      <c r="A1860" s="284"/>
      <c r="B1860" s="284"/>
      <c r="C1860" s="284"/>
      <c r="D1860" s="284"/>
      <c r="E1860" s="284"/>
      <c r="F1860" s="284"/>
      <c r="G1860" s="284"/>
      <c r="H1860" s="284"/>
      <c r="I1860" s="284"/>
      <c r="J1860" s="375"/>
      <c r="K1860" s="375"/>
      <c r="L1860" s="375"/>
      <c r="M1860" s="368"/>
      <c r="N1860" s="368"/>
      <c r="O1860" s="370"/>
      <c r="T1860" s="349"/>
      <c r="V1860" s="378"/>
      <c r="W1860" s="64" ph="1"/>
      <c r="X1860" s="241"/>
      <c r="Y1860" s="284"/>
      <c r="Z1860" s="207"/>
      <c r="AA1860" s="284"/>
      <c r="AB1860" s="284"/>
      <c r="AC1860" s="284"/>
      <c r="AD1860" s="284"/>
      <c r="AE1860" s="284"/>
      <c r="AF1860" s="284"/>
      <c r="AG1860" s="284"/>
      <c r="AI1860" s="284"/>
    </row>
    <row r="1861" spans="1:35" ht="26.4">
      <c r="A1861" s="284"/>
      <c r="B1861" s="284"/>
      <c r="C1861" s="284"/>
      <c r="D1861" s="284"/>
      <c r="E1861" s="284"/>
      <c r="F1861" s="284"/>
      <c r="G1861" s="284"/>
      <c r="H1861" s="284"/>
      <c r="I1861" s="284"/>
      <c r="J1861" s="375"/>
      <c r="K1861" s="375"/>
      <c r="L1861" s="375"/>
      <c r="M1861" s="368"/>
      <c r="N1861" s="368"/>
      <c r="O1861" s="370"/>
      <c r="T1861" s="349"/>
      <c r="V1861" s="378"/>
      <c r="W1861" s="64" ph="1"/>
      <c r="X1861" s="241"/>
      <c r="Y1861" s="284"/>
      <c r="Z1861" s="207"/>
      <c r="AA1861" s="284"/>
      <c r="AB1861" s="284"/>
      <c r="AC1861" s="284"/>
      <c r="AD1861" s="284"/>
      <c r="AE1861" s="284"/>
      <c r="AF1861" s="284"/>
      <c r="AG1861" s="284"/>
      <c r="AI1861" s="284"/>
    </row>
    <row r="1862" spans="1:35" ht="26.4">
      <c r="A1862" s="284"/>
      <c r="B1862" s="284"/>
      <c r="C1862" s="284"/>
      <c r="D1862" s="284"/>
      <c r="E1862" s="284"/>
      <c r="F1862" s="284"/>
      <c r="G1862" s="284"/>
      <c r="H1862" s="284"/>
      <c r="I1862" s="284"/>
      <c r="J1862" s="375"/>
      <c r="K1862" s="375"/>
      <c r="L1862" s="375"/>
      <c r="M1862" s="368"/>
      <c r="N1862" s="368"/>
      <c r="O1862" s="370"/>
      <c r="T1862" s="349"/>
      <c r="V1862" s="378"/>
      <c r="W1862" s="64" ph="1"/>
      <c r="X1862" s="241"/>
      <c r="Y1862" s="284"/>
      <c r="Z1862" s="207"/>
      <c r="AA1862" s="284"/>
      <c r="AB1862" s="284"/>
      <c r="AC1862" s="284"/>
      <c r="AD1862" s="284"/>
      <c r="AE1862" s="284"/>
      <c r="AF1862" s="284"/>
      <c r="AG1862" s="284"/>
      <c r="AI1862" s="284"/>
    </row>
    <row r="1863" spans="1:35" ht="26.4">
      <c r="A1863" s="284"/>
      <c r="B1863" s="284"/>
      <c r="C1863" s="284"/>
      <c r="D1863" s="284"/>
      <c r="E1863" s="284"/>
      <c r="F1863" s="284"/>
      <c r="G1863" s="284"/>
      <c r="H1863" s="284"/>
      <c r="I1863" s="284"/>
      <c r="J1863" s="375"/>
      <c r="K1863" s="375"/>
      <c r="L1863" s="375"/>
      <c r="M1863" s="368"/>
      <c r="N1863" s="368"/>
      <c r="O1863" s="370"/>
      <c r="T1863" s="349"/>
      <c r="V1863" s="378"/>
      <c r="W1863" s="64" ph="1"/>
      <c r="X1863" s="241"/>
      <c r="Y1863" s="284"/>
      <c r="Z1863" s="207"/>
      <c r="AA1863" s="284"/>
      <c r="AB1863" s="284"/>
      <c r="AC1863" s="284"/>
      <c r="AD1863" s="284"/>
      <c r="AE1863" s="284"/>
      <c r="AF1863" s="284"/>
      <c r="AG1863" s="284"/>
      <c r="AI1863" s="284"/>
    </row>
    <row r="1864" spans="1:35" ht="26.4">
      <c r="A1864" s="284"/>
      <c r="B1864" s="284"/>
      <c r="C1864" s="284"/>
      <c r="D1864" s="284"/>
      <c r="E1864" s="284"/>
      <c r="F1864" s="284"/>
      <c r="G1864" s="284"/>
      <c r="H1864" s="284"/>
      <c r="I1864" s="284"/>
      <c r="J1864" s="375"/>
      <c r="K1864" s="375"/>
      <c r="L1864" s="375"/>
      <c r="M1864" s="368"/>
      <c r="N1864" s="368"/>
      <c r="O1864" s="370"/>
      <c r="T1864" s="349"/>
      <c r="V1864" s="378"/>
      <c r="W1864" s="64" ph="1"/>
      <c r="X1864" s="241"/>
      <c r="Y1864" s="284"/>
      <c r="Z1864" s="207"/>
      <c r="AA1864" s="284"/>
      <c r="AB1864" s="284"/>
      <c r="AC1864" s="284"/>
      <c r="AD1864" s="284"/>
      <c r="AE1864" s="284"/>
      <c r="AF1864" s="284"/>
      <c r="AG1864" s="284"/>
      <c r="AI1864" s="131"/>
    </row>
    <row r="1865" spans="1:35" ht="26.4">
      <c r="A1865" s="284"/>
      <c r="B1865" s="284"/>
      <c r="C1865" s="284"/>
      <c r="D1865" s="284"/>
      <c r="E1865" s="284"/>
      <c r="F1865" s="284"/>
      <c r="G1865" s="284"/>
      <c r="H1865" s="284"/>
      <c r="I1865" s="284"/>
      <c r="J1865" s="375"/>
      <c r="K1865" s="375"/>
      <c r="L1865" s="375"/>
      <c r="M1865" s="368"/>
      <c r="N1865" s="368"/>
      <c r="O1865" s="370"/>
      <c r="T1865" s="349"/>
      <c r="V1865" s="378"/>
      <c r="W1865" s="64" ph="1"/>
      <c r="X1865" s="241"/>
      <c r="Y1865" s="284"/>
      <c r="Z1865" s="207"/>
      <c r="AA1865" s="284"/>
      <c r="AB1865" s="284"/>
      <c r="AC1865" s="284"/>
      <c r="AD1865" s="284"/>
      <c r="AE1865" s="284"/>
      <c r="AF1865" s="284"/>
      <c r="AG1865" s="284"/>
      <c r="AI1865" s="284"/>
    </row>
    <row r="1866" spans="1:35" ht="26.4">
      <c r="A1866" s="284"/>
      <c r="B1866" s="284"/>
      <c r="C1866" s="284"/>
      <c r="D1866" s="284"/>
      <c r="E1866" s="284"/>
      <c r="F1866" s="284"/>
      <c r="G1866" s="284"/>
      <c r="H1866" s="284"/>
      <c r="I1866" s="284"/>
      <c r="J1866" s="375"/>
      <c r="K1866" s="375"/>
      <c r="L1866" s="375"/>
      <c r="M1866" s="368"/>
      <c r="N1866" s="368"/>
      <c r="O1866" s="370"/>
      <c r="T1866" s="349"/>
      <c r="V1866" s="378"/>
      <c r="W1866" s="64" ph="1"/>
      <c r="X1866" s="241"/>
      <c r="Y1866" s="284"/>
      <c r="Z1866" s="207"/>
      <c r="AA1866" s="284"/>
      <c r="AB1866" s="284"/>
      <c r="AC1866" s="284"/>
      <c r="AD1866" s="284"/>
      <c r="AE1866" s="284"/>
      <c r="AF1866" s="284"/>
      <c r="AG1866" s="284"/>
      <c r="AI1866" s="284"/>
    </row>
    <row r="1867" spans="1:35" ht="26.4">
      <c r="A1867" s="284"/>
      <c r="B1867" s="284"/>
      <c r="C1867" s="284"/>
      <c r="D1867" s="284"/>
      <c r="E1867" s="284"/>
      <c r="F1867" s="284"/>
      <c r="G1867" s="284"/>
      <c r="H1867" s="284"/>
      <c r="I1867" s="284"/>
      <c r="J1867" s="375"/>
      <c r="K1867" s="375"/>
      <c r="L1867" s="375"/>
      <c r="M1867" s="368"/>
      <c r="N1867" s="368"/>
      <c r="O1867" s="370"/>
      <c r="T1867" s="349"/>
      <c r="V1867" s="378"/>
      <c r="W1867" s="64" ph="1"/>
      <c r="X1867" s="241"/>
      <c r="Y1867" s="284"/>
      <c r="Z1867" s="207"/>
      <c r="AA1867" s="284"/>
      <c r="AB1867" s="284"/>
      <c r="AC1867" s="284"/>
      <c r="AD1867" s="284"/>
      <c r="AE1867" s="284"/>
      <c r="AF1867" s="284"/>
      <c r="AG1867" s="284"/>
      <c r="AI1867" s="284"/>
    </row>
    <row r="1868" spans="1:35" ht="26.4">
      <c r="A1868" s="284"/>
      <c r="B1868" s="284"/>
      <c r="C1868" s="284"/>
      <c r="D1868" s="284"/>
      <c r="E1868" s="284"/>
      <c r="F1868" s="284"/>
      <c r="G1868" s="284"/>
      <c r="H1868" s="284"/>
      <c r="I1868" s="284"/>
      <c r="J1868" s="375"/>
      <c r="K1868" s="375"/>
      <c r="L1868" s="375"/>
      <c r="M1868" s="368"/>
      <c r="N1868" s="368"/>
      <c r="O1868" s="370"/>
      <c r="T1868" s="349"/>
      <c r="V1868" s="378"/>
      <c r="W1868" s="64" ph="1"/>
      <c r="X1868" s="241"/>
      <c r="Y1868" s="284"/>
      <c r="Z1868" s="207"/>
      <c r="AA1868" s="284"/>
      <c r="AB1868" s="284"/>
      <c r="AC1868" s="284"/>
      <c r="AD1868" s="284"/>
      <c r="AE1868" s="284"/>
      <c r="AF1868" s="284"/>
      <c r="AG1868" s="284"/>
      <c r="AI1868" s="131"/>
    </row>
    <row r="1869" spans="1:35" ht="26.4">
      <c r="A1869" s="284"/>
      <c r="B1869" s="284"/>
      <c r="C1869" s="284"/>
      <c r="D1869" s="284"/>
      <c r="E1869" s="284"/>
      <c r="F1869" s="284"/>
      <c r="G1869" s="284"/>
      <c r="H1869" s="284"/>
      <c r="I1869" s="284"/>
      <c r="J1869" s="375"/>
      <c r="K1869" s="375"/>
      <c r="L1869" s="375"/>
      <c r="M1869" s="368"/>
      <c r="N1869" s="368"/>
      <c r="O1869" s="370"/>
      <c r="T1869" s="349"/>
      <c r="V1869" s="378"/>
      <c r="W1869" s="64" ph="1"/>
      <c r="X1869" s="241"/>
      <c r="Y1869" s="284"/>
      <c r="Z1869" s="207"/>
      <c r="AA1869" s="284"/>
      <c r="AB1869" s="284"/>
      <c r="AC1869" s="284"/>
      <c r="AD1869" s="284"/>
      <c r="AE1869" s="284"/>
      <c r="AF1869" s="284"/>
      <c r="AG1869" s="284"/>
      <c r="AI1869" s="284"/>
    </row>
    <row r="1870" spans="1:35" ht="26.4">
      <c r="A1870" s="284"/>
      <c r="B1870" s="284"/>
      <c r="C1870" s="284"/>
      <c r="D1870" s="284"/>
      <c r="E1870" s="284"/>
      <c r="F1870" s="284"/>
      <c r="G1870" s="284"/>
      <c r="H1870" s="284"/>
      <c r="I1870" s="284"/>
      <c r="J1870" s="375"/>
      <c r="K1870" s="375"/>
      <c r="L1870" s="375"/>
      <c r="M1870" s="368"/>
      <c r="N1870" s="368"/>
      <c r="O1870" s="370"/>
      <c r="T1870" s="349"/>
      <c r="V1870" s="378"/>
      <c r="W1870" s="64" ph="1"/>
      <c r="X1870" s="241"/>
      <c r="Y1870" s="284"/>
      <c r="Z1870" s="207"/>
      <c r="AA1870" s="284"/>
      <c r="AB1870" s="284"/>
      <c r="AC1870" s="284"/>
      <c r="AD1870" s="284"/>
      <c r="AE1870" s="284"/>
      <c r="AF1870" s="284"/>
      <c r="AG1870" s="284"/>
      <c r="AI1870" s="284"/>
    </row>
    <row r="1871" spans="1:35" ht="26.4">
      <c r="A1871" s="284"/>
      <c r="B1871" s="284"/>
      <c r="C1871" s="284"/>
      <c r="D1871" s="284"/>
      <c r="E1871" s="284"/>
      <c r="F1871" s="284"/>
      <c r="G1871" s="284"/>
      <c r="H1871" s="284"/>
      <c r="I1871" s="284"/>
      <c r="J1871" s="375"/>
      <c r="K1871" s="375"/>
      <c r="L1871" s="375"/>
      <c r="M1871" s="368"/>
      <c r="N1871" s="368"/>
      <c r="O1871" s="370"/>
      <c r="T1871" s="349"/>
      <c r="V1871" s="378"/>
      <c r="W1871" s="64" ph="1"/>
      <c r="X1871" s="241"/>
      <c r="Y1871" s="284"/>
      <c r="Z1871" s="207"/>
      <c r="AA1871" s="284"/>
      <c r="AB1871" s="284"/>
      <c r="AC1871" s="284"/>
      <c r="AD1871" s="284"/>
      <c r="AE1871" s="284"/>
      <c r="AF1871" s="284"/>
      <c r="AG1871" s="284"/>
      <c r="AI1871" s="131"/>
    </row>
    <row r="1872" spans="1:35" ht="26.4">
      <c r="A1872" s="284"/>
      <c r="B1872" s="284"/>
      <c r="C1872" s="284"/>
      <c r="D1872" s="284"/>
      <c r="E1872" s="284"/>
      <c r="F1872" s="284"/>
      <c r="G1872" s="284"/>
      <c r="H1872" s="284"/>
      <c r="I1872" s="284"/>
      <c r="J1872" s="375"/>
      <c r="K1872" s="375"/>
      <c r="L1872" s="375"/>
      <c r="M1872" s="368"/>
      <c r="N1872" s="368"/>
      <c r="O1872" s="370"/>
      <c r="T1872" s="349"/>
      <c r="V1872" s="378"/>
      <c r="W1872" s="64" ph="1"/>
      <c r="X1872" s="241"/>
      <c r="Y1872" s="284"/>
      <c r="Z1872" s="207"/>
      <c r="AA1872" s="284"/>
      <c r="AB1872" s="284"/>
      <c r="AC1872" s="284"/>
      <c r="AD1872" s="284"/>
      <c r="AE1872" s="284"/>
      <c r="AF1872" s="284"/>
      <c r="AG1872" s="284"/>
      <c r="AI1872" s="131"/>
    </row>
    <row r="1873" spans="1:33" ht="26.4">
      <c r="A1873" s="284"/>
      <c r="B1873" s="284"/>
      <c r="C1873" s="284"/>
      <c r="D1873" s="284"/>
      <c r="E1873" s="284"/>
      <c r="F1873" s="284"/>
      <c r="G1873" s="284"/>
      <c r="H1873" s="284"/>
      <c r="I1873" s="284"/>
      <c r="J1873" s="375"/>
      <c r="K1873" s="375"/>
      <c r="L1873" s="375"/>
      <c r="M1873" s="368"/>
      <c r="N1873" s="368"/>
      <c r="O1873" s="370"/>
      <c r="T1873" s="349"/>
      <c r="V1873" s="378"/>
      <c r="W1873" s="64" ph="1"/>
      <c r="X1873" s="241"/>
      <c r="Y1873" s="284"/>
      <c r="Z1873" s="207"/>
      <c r="AA1873" s="284"/>
      <c r="AB1873" s="284"/>
      <c r="AC1873" s="284"/>
      <c r="AD1873" s="284"/>
      <c r="AE1873" s="284"/>
      <c r="AF1873" s="284"/>
      <c r="AG1873" s="284"/>
    </row>
    <row r="1874" spans="1:33" ht="26.4">
      <c r="A1874" s="284"/>
      <c r="B1874" s="284"/>
      <c r="C1874" s="284"/>
      <c r="D1874" s="284"/>
      <c r="E1874" s="284"/>
      <c r="F1874" s="284"/>
      <c r="G1874" s="284"/>
      <c r="H1874" s="284"/>
      <c r="I1874" s="284"/>
      <c r="J1874" s="375"/>
      <c r="K1874" s="375"/>
      <c r="L1874" s="375"/>
      <c r="M1874" s="368"/>
      <c r="N1874" s="368"/>
      <c r="O1874" s="370"/>
      <c r="T1874" s="349"/>
      <c r="V1874" s="378"/>
      <c r="W1874" s="64" ph="1"/>
      <c r="X1874" s="241"/>
      <c r="Y1874" s="284"/>
      <c r="Z1874" s="207"/>
      <c r="AA1874" s="284"/>
      <c r="AB1874" s="284"/>
      <c r="AC1874" s="284"/>
      <c r="AD1874" s="284"/>
      <c r="AE1874" s="284"/>
      <c r="AF1874" s="284"/>
      <c r="AG1874" s="284"/>
    </row>
    <row r="1875" spans="1:33" ht="26.4">
      <c r="A1875" s="284"/>
      <c r="B1875" s="284"/>
      <c r="C1875" s="284"/>
      <c r="D1875" s="284"/>
      <c r="E1875" s="284"/>
      <c r="F1875" s="284"/>
      <c r="G1875" s="284"/>
      <c r="H1875" s="284"/>
      <c r="I1875" s="284"/>
      <c r="J1875" s="375"/>
      <c r="K1875" s="375"/>
      <c r="L1875" s="375"/>
      <c r="M1875" s="368"/>
      <c r="N1875" s="368"/>
      <c r="O1875" s="370"/>
      <c r="T1875" s="349"/>
      <c r="V1875" s="378"/>
      <c r="W1875" s="64" ph="1"/>
      <c r="X1875" s="241"/>
      <c r="Y1875" s="284"/>
      <c r="Z1875" s="207"/>
      <c r="AA1875" s="284"/>
      <c r="AB1875" s="284"/>
      <c r="AC1875" s="284"/>
      <c r="AD1875" s="284"/>
      <c r="AE1875" s="284"/>
      <c r="AF1875" s="284"/>
      <c r="AG1875" s="284"/>
    </row>
    <row r="1876" spans="1:33" ht="26.4">
      <c r="A1876" s="284"/>
      <c r="B1876" s="284"/>
      <c r="C1876" s="284"/>
      <c r="D1876" s="284"/>
      <c r="E1876" s="284"/>
      <c r="F1876" s="284"/>
      <c r="G1876" s="284"/>
      <c r="H1876" s="284"/>
      <c r="I1876" s="284"/>
      <c r="J1876" s="375"/>
      <c r="K1876" s="375"/>
      <c r="L1876" s="375"/>
      <c r="M1876" s="368"/>
      <c r="N1876" s="368"/>
      <c r="O1876" s="370"/>
      <c r="T1876" s="349"/>
      <c r="V1876" s="378"/>
      <c r="W1876" s="64" ph="1"/>
      <c r="X1876" s="241"/>
      <c r="Y1876" s="284"/>
      <c r="Z1876" s="207"/>
      <c r="AA1876" s="284"/>
      <c r="AB1876" s="284"/>
      <c r="AC1876" s="284"/>
      <c r="AD1876" s="284"/>
      <c r="AE1876" s="284"/>
      <c r="AF1876" s="284"/>
      <c r="AG1876" s="284"/>
    </row>
    <row r="1877" spans="1:33" ht="26.4">
      <c r="A1877" s="284"/>
      <c r="B1877" s="284"/>
      <c r="C1877" s="284"/>
      <c r="D1877" s="284"/>
      <c r="E1877" s="284"/>
      <c r="F1877" s="284"/>
      <c r="G1877" s="284"/>
      <c r="H1877" s="284"/>
      <c r="I1877" s="284"/>
      <c r="J1877" s="375"/>
      <c r="K1877" s="375"/>
      <c r="L1877" s="375"/>
      <c r="M1877" s="368"/>
      <c r="N1877" s="368"/>
      <c r="O1877" s="370"/>
      <c r="T1877" s="349"/>
      <c r="V1877" s="378"/>
      <c r="W1877" s="64" ph="1"/>
      <c r="X1877" s="241"/>
      <c r="Y1877" s="284"/>
      <c r="Z1877" s="207"/>
      <c r="AA1877" s="284"/>
      <c r="AB1877" s="284"/>
      <c r="AC1877" s="284"/>
      <c r="AD1877" s="284"/>
      <c r="AE1877" s="284"/>
      <c r="AF1877" s="284"/>
      <c r="AG1877" s="284"/>
    </row>
    <row r="1878" spans="1:33" ht="26.4">
      <c r="A1878" s="284"/>
      <c r="B1878" s="284"/>
      <c r="C1878" s="284"/>
      <c r="D1878" s="284"/>
      <c r="E1878" s="284"/>
      <c r="F1878" s="284"/>
      <c r="G1878" s="284"/>
      <c r="H1878" s="284"/>
      <c r="I1878" s="284"/>
      <c r="J1878" s="375"/>
      <c r="K1878" s="375"/>
      <c r="L1878" s="375"/>
      <c r="M1878" s="368"/>
      <c r="N1878" s="368"/>
      <c r="O1878" s="370"/>
      <c r="T1878" s="349"/>
      <c r="V1878" s="378"/>
      <c r="W1878" s="64" ph="1"/>
      <c r="X1878" s="241"/>
      <c r="Y1878" s="284"/>
      <c r="Z1878" s="207"/>
      <c r="AA1878" s="284"/>
      <c r="AB1878" s="284"/>
      <c r="AC1878" s="284"/>
      <c r="AD1878" s="284"/>
      <c r="AE1878" s="284"/>
      <c r="AF1878" s="284"/>
      <c r="AG1878" s="284"/>
    </row>
    <row r="1879" spans="1:33" ht="26.4">
      <c r="A1879" s="284"/>
      <c r="B1879" s="284"/>
      <c r="C1879" s="284"/>
      <c r="D1879" s="284"/>
      <c r="E1879" s="284"/>
      <c r="F1879" s="284"/>
      <c r="G1879" s="284"/>
      <c r="H1879" s="284"/>
      <c r="I1879" s="284"/>
      <c r="J1879" s="375"/>
      <c r="K1879" s="375"/>
      <c r="L1879" s="375"/>
      <c r="M1879" s="368"/>
      <c r="N1879" s="368"/>
      <c r="O1879" s="370"/>
      <c r="T1879" s="349"/>
      <c r="V1879" s="378"/>
      <c r="W1879" s="64" ph="1"/>
      <c r="X1879" s="241"/>
      <c r="Y1879" s="284"/>
      <c r="Z1879" s="207"/>
      <c r="AA1879" s="284"/>
      <c r="AB1879" s="284"/>
      <c r="AC1879" s="284"/>
      <c r="AD1879" s="284"/>
      <c r="AE1879" s="284"/>
      <c r="AF1879" s="284"/>
      <c r="AG1879" s="284"/>
    </row>
    <row r="1880" spans="1:33" ht="26.4">
      <c r="A1880" s="284"/>
      <c r="B1880" s="284"/>
      <c r="C1880" s="284"/>
      <c r="D1880" s="284"/>
      <c r="E1880" s="284"/>
      <c r="F1880" s="284"/>
      <c r="G1880" s="284"/>
      <c r="H1880" s="284"/>
      <c r="I1880" s="284"/>
      <c r="J1880" s="375"/>
      <c r="K1880" s="375"/>
      <c r="L1880" s="375"/>
      <c r="M1880" s="368"/>
      <c r="N1880" s="368"/>
      <c r="O1880" s="370"/>
      <c r="T1880" s="349"/>
      <c r="V1880" s="378"/>
      <c r="W1880" s="64" ph="1"/>
      <c r="X1880" s="241"/>
      <c r="Y1880" s="284"/>
      <c r="Z1880" s="207"/>
      <c r="AA1880" s="284"/>
      <c r="AB1880" s="284"/>
      <c r="AC1880" s="284"/>
      <c r="AD1880" s="284"/>
      <c r="AE1880" s="284"/>
      <c r="AF1880" s="284"/>
      <c r="AG1880" s="284"/>
    </row>
    <row r="1881" spans="1:33" ht="26.4">
      <c r="A1881" s="284"/>
      <c r="B1881" s="284"/>
      <c r="C1881" s="284"/>
      <c r="D1881" s="284"/>
      <c r="E1881" s="284"/>
      <c r="F1881" s="284"/>
      <c r="G1881" s="284"/>
      <c r="H1881" s="284"/>
      <c r="I1881" s="284"/>
      <c r="J1881" s="375"/>
      <c r="K1881" s="375"/>
      <c r="L1881" s="375"/>
      <c r="M1881" s="368"/>
      <c r="N1881" s="368"/>
      <c r="O1881" s="370"/>
      <c r="T1881" s="349"/>
      <c r="V1881" s="378"/>
      <c r="W1881" s="64" ph="1"/>
      <c r="X1881" s="241"/>
      <c r="Y1881" s="284"/>
      <c r="Z1881" s="207"/>
      <c r="AA1881" s="284"/>
      <c r="AB1881" s="284"/>
      <c r="AC1881" s="284"/>
      <c r="AD1881" s="284"/>
      <c r="AE1881" s="284"/>
      <c r="AF1881" s="284"/>
      <c r="AG1881" s="284"/>
    </row>
    <row r="1882" spans="1:33" ht="26.4">
      <c r="A1882" s="284"/>
      <c r="B1882" s="284"/>
      <c r="C1882" s="284"/>
      <c r="D1882" s="284"/>
      <c r="E1882" s="284"/>
      <c r="F1882" s="284"/>
      <c r="G1882" s="284"/>
      <c r="H1882" s="284"/>
      <c r="I1882" s="284"/>
      <c r="J1882" s="375"/>
      <c r="K1882" s="375"/>
      <c r="L1882" s="375"/>
      <c r="M1882" s="368"/>
      <c r="N1882" s="368"/>
      <c r="O1882" s="370"/>
      <c r="T1882" s="349"/>
      <c r="V1882" s="378"/>
      <c r="W1882" s="64" ph="1"/>
      <c r="X1882" s="241"/>
      <c r="Y1882" s="284"/>
      <c r="Z1882" s="207"/>
      <c r="AA1882" s="284"/>
      <c r="AB1882" s="284"/>
      <c r="AC1882" s="284"/>
      <c r="AD1882" s="284"/>
      <c r="AE1882" s="284"/>
      <c r="AF1882" s="284"/>
      <c r="AG1882" s="284"/>
    </row>
    <row r="1883" spans="1:33" ht="26.4">
      <c r="A1883" s="284"/>
      <c r="B1883" s="284"/>
      <c r="C1883" s="284"/>
      <c r="D1883" s="284"/>
      <c r="E1883" s="284"/>
      <c r="F1883" s="284"/>
      <c r="G1883" s="284"/>
      <c r="H1883" s="284"/>
      <c r="I1883" s="284"/>
      <c r="J1883" s="375"/>
      <c r="K1883" s="375"/>
      <c r="L1883" s="375"/>
      <c r="M1883" s="368"/>
      <c r="N1883" s="368"/>
      <c r="O1883" s="370"/>
      <c r="T1883" s="349"/>
      <c r="V1883" s="378"/>
      <c r="W1883" s="64" ph="1"/>
      <c r="X1883" s="241"/>
      <c r="Y1883" s="284"/>
      <c r="Z1883" s="207"/>
      <c r="AA1883" s="284"/>
      <c r="AB1883" s="284"/>
      <c r="AC1883" s="284"/>
      <c r="AD1883" s="284"/>
      <c r="AE1883" s="284"/>
      <c r="AF1883" s="284"/>
      <c r="AG1883" s="284"/>
    </row>
    <row r="1884" spans="1:33" ht="26.4">
      <c r="A1884" s="284"/>
      <c r="B1884" s="284"/>
      <c r="C1884" s="284"/>
      <c r="D1884" s="284"/>
      <c r="E1884" s="284"/>
      <c r="F1884" s="284"/>
      <c r="G1884" s="284"/>
      <c r="H1884" s="284"/>
      <c r="I1884" s="284"/>
      <c r="J1884" s="375"/>
      <c r="K1884" s="375"/>
      <c r="L1884" s="375"/>
      <c r="M1884" s="368"/>
      <c r="N1884" s="368"/>
      <c r="O1884" s="370"/>
      <c r="T1884" s="349"/>
      <c r="V1884" s="378"/>
      <c r="W1884" s="64" ph="1"/>
      <c r="X1884" s="241"/>
      <c r="Y1884" s="284"/>
      <c r="Z1884" s="207"/>
      <c r="AA1884" s="284"/>
      <c r="AB1884" s="284"/>
      <c r="AC1884" s="284"/>
      <c r="AD1884" s="284"/>
      <c r="AE1884" s="284"/>
      <c r="AF1884" s="284"/>
      <c r="AG1884" s="284"/>
    </row>
    <row r="1885" spans="1:33" ht="26.4">
      <c r="A1885" s="284"/>
      <c r="B1885" s="284"/>
      <c r="C1885" s="284"/>
      <c r="D1885" s="284"/>
      <c r="E1885" s="284"/>
      <c r="F1885" s="284"/>
      <c r="G1885" s="284"/>
      <c r="H1885" s="284"/>
      <c r="I1885" s="284"/>
      <c r="J1885" s="375"/>
      <c r="K1885" s="375"/>
      <c r="L1885" s="375"/>
      <c r="M1885" s="368"/>
      <c r="N1885" s="368"/>
      <c r="O1885" s="370"/>
      <c r="T1885" s="349"/>
      <c r="V1885" s="378"/>
      <c r="W1885" s="64" ph="1"/>
      <c r="X1885" s="241"/>
      <c r="Y1885" s="284"/>
      <c r="Z1885" s="207"/>
      <c r="AA1885" s="284"/>
      <c r="AB1885" s="284"/>
      <c r="AC1885" s="284"/>
      <c r="AD1885" s="284"/>
      <c r="AE1885" s="284"/>
      <c r="AF1885" s="284"/>
      <c r="AG1885" s="284"/>
    </row>
    <row r="1886" spans="1:33" ht="26.4">
      <c r="A1886" s="284"/>
      <c r="B1886" s="284"/>
      <c r="C1886" s="284"/>
      <c r="D1886" s="284"/>
      <c r="E1886" s="284"/>
      <c r="F1886" s="284"/>
      <c r="G1886" s="284"/>
      <c r="H1886" s="284"/>
      <c r="I1886" s="284"/>
      <c r="J1886" s="375"/>
      <c r="K1886" s="375"/>
      <c r="L1886" s="375"/>
      <c r="M1886" s="368"/>
      <c r="N1886" s="368"/>
      <c r="O1886" s="370"/>
      <c r="T1886" s="349"/>
      <c r="V1886" s="378"/>
      <c r="W1886" s="64" ph="1"/>
      <c r="X1886" s="241"/>
      <c r="Y1886" s="284"/>
      <c r="Z1886" s="207"/>
      <c r="AA1886" s="284"/>
      <c r="AB1886" s="284"/>
      <c r="AC1886" s="284"/>
      <c r="AD1886" s="284"/>
      <c r="AE1886" s="284"/>
      <c r="AF1886" s="284"/>
      <c r="AG1886" s="284"/>
    </row>
    <row r="1887" spans="1:33" ht="26.4">
      <c r="A1887" s="284"/>
      <c r="B1887" s="284"/>
      <c r="C1887" s="284"/>
      <c r="D1887" s="284"/>
      <c r="E1887" s="284"/>
      <c r="F1887" s="284"/>
      <c r="G1887" s="284"/>
      <c r="H1887" s="284"/>
      <c r="I1887" s="284"/>
      <c r="J1887" s="375"/>
      <c r="K1887" s="375"/>
      <c r="L1887" s="375"/>
      <c r="M1887" s="368"/>
      <c r="N1887" s="368"/>
      <c r="O1887" s="370"/>
      <c r="T1887" s="349"/>
      <c r="V1887" s="378"/>
      <c r="W1887" s="64" ph="1"/>
      <c r="X1887" s="241"/>
      <c r="Y1887" s="284"/>
      <c r="Z1887" s="207"/>
      <c r="AA1887" s="284"/>
      <c r="AB1887" s="284"/>
      <c r="AC1887" s="284"/>
      <c r="AD1887" s="284"/>
      <c r="AE1887" s="284"/>
      <c r="AF1887" s="284"/>
      <c r="AG1887" s="284"/>
    </row>
    <row r="1888" spans="1:33" ht="26.4">
      <c r="A1888" s="284"/>
      <c r="B1888" s="284"/>
      <c r="C1888" s="284"/>
      <c r="D1888" s="284"/>
      <c r="E1888" s="284"/>
      <c r="F1888" s="284"/>
      <c r="G1888" s="284"/>
      <c r="H1888" s="284"/>
      <c r="I1888" s="284"/>
      <c r="J1888" s="375"/>
      <c r="K1888" s="375"/>
      <c r="L1888" s="375"/>
      <c r="M1888" s="368"/>
      <c r="N1888" s="368"/>
      <c r="O1888" s="370"/>
      <c r="T1888" s="349"/>
      <c r="V1888" s="378"/>
      <c r="W1888" s="64" ph="1"/>
      <c r="X1888" s="241"/>
      <c r="Y1888" s="284"/>
      <c r="Z1888" s="207"/>
      <c r="AA1888" s="284"/>
      <c r="AB1888" s="284"/>
      <c r="AC1888" s="284"/>
      <c r="AD1888" s="284"/>
      <c r="AE1888" s="284"/>
      <c r="AF1888" s="284"/>
      <c r="AG1888" s="284"/>
    </row>
    <row r="1889" spans="1:33" ht="26.4">
      <c r="A1889" s="284"/>
      <c r="B1889" s="284"/>
      <c r="C1889" s="284"/>
      <c r="D1889" s="284"/>
      <c r="E1889" s="284"/>
      <c r="F1889" s="284"/>
      <c r="G1889" s="284"/>
      <c r="H1889" s="284"/>
      <c r="I1889" s="284"/>
      <c r="J1889" s="375"/>
      <c r="K1889" s="375"/>
      <c r="L1889" s="375"/>
      <c r="M1889" s="368"/>
      <c r="N1889" s="368"/>
      <c r="O1889" s="370"/>
      <c r="T1889" s="349"/>
      <c r="V1889" s="378"/>
      <c r="W1889" s="64" ph="1"/>
      <c r="X1889" s="241"/>
      <c r="Y1889" s="284"/>
      <c r="Z1889" s="207"/>
      <c r="AA1889" s="284"/>
      <c r="AB1889" s="284"/>
      <c r="AC1889" s="284"/>
      <c r="AD1889" s="284"/>
      <c r="AE1889" s="284"/>
      <c r="AF1889" s="284"/>
      <c r="AG1889" s="284"/>
    </row>
    <row r="1890" spans="1:33" ht="26.4">
      <c r="A1890" s="284"/>
      <c r="B1890" s="284"/>
      <c r="C1890" s="284"/>
      <c r="D1890" s="284"/>
      <c r="E1890" s="284"/>
      <c r="F1890" s="284"/>
      <c r="G1890" s="284"/>
      <c r="H1890" s="284"/>
      <c r="I1890" s="284"/>
      <c r="J1890" s="375"/>
      <c r="K1890" s="375"/>
      <c r="L1890" s="375"/>
      <c r="M1890" s="368"/>
      <c r="N1890" s="368"/>
      <c r="O1890" s="370"/>
      <c r="T1890" s="349"/>
      <c r="V1890" s="378"/>
      <c r="W1890" s="64" ph="1"/>
      <c r="X1890" s="241"/>
      <c r="Y1890" s="284"/>
      <c r="Z1890" s="207"/>
      <c r="AA1890" s="284"/>
      <c r="AB1890" s="284"/>
      <c r="AC1890" s="284"/>
      <c r="AD1890" s="284"/>
      <c r="AE1890" s="284"/>
      <c r="AF1890" s="284"/>
      <c r="AG1890" s="284"/>
    </row>
    <row r="1891" spans="1:33" ht="26.4">
      <c r="A1891" s="284"/>
      <c r="B1891" s="284"/>
      <c r="C1891" s="284"/>
      <c r="D1891" s="284"/>
      <c r="E1891" s="284"/>
      <c r="F1891" s="284"/>
      <c r="G1891" s="284"/>
      <c r="H1891" s="284"/>
      <c r="I1891" s="284"/>
      <c r="J1891" s="375"/>
      <c r="K1891" s="375"/>
      <c r="L1891" s="375"/>
      <c r="M1891" s="368"/>
      <c r="N1891" s="368"/>
      <c r="O1891" s="370"/>
      <c r="T1891" s="349"/>
      <c r="V1891" s="378"/>
      <c r="W1891" s="64" ph="1"/>
      <c r="X1891" s="241"/>
      <c r="Y1891" s="284"/>
      <c r="Z1891" s="207"/>
      <c r="AA1891" s="284"/>
      <c r="AB1891" s="284"/>
      <c r="AC1891" s="284"/>
      <c r="AD1891" s="284"/>
      <c r="AE1891" s="284"/>
      <c r="AF1891" s="284"/>
      <c r="AG1891" s="284"/>
    </row>
    <row r="1892" spans="1:33" ht="26.4">
      <c r="A1892" s="284"/>
      <c r="B1892" s="284"/>
      <c r="C1892" s="284"/>
      <c r="D1892" s="284"/>
      <c r="E1892" s="284"/>
      <c r="F1892" s="284"/>
      <c r="G1892" s="284"/>
      <c r="H1892" s="284"/>
      <c r="I1892" s="284"/>
      <c r="J1892" s="375"/>
      <c r="K1892" s="375"/>
      <c r="L1892" s="375"/>
      <c r="M1892" s="368"/>
      <c r="N1892" s="368"/>
      <c r="O1892" s="370"/>
      <c r="T1892" s="349"/>
      <c r="V1892" s="378"/>
      <c r="W1892" s="64" ph="1"/>
      <c r="X1892" s="241"/>
      <c r="Y1892" s="284"/>
      <c r="Z1892" s="207"/>
      <c r="AA1892" s="284"/>
      <c r="AB1892" s="284"/>
      <c r="AC1892" s="284"/>
      <c r="AD1892" s="284"/>
      <c r="AE1892" s="284"/>
      <c r="AF1892" s="284"/>
      <c r="AG1892" s="284"/>
    </row>
    <row r="1893" spans="1:33" ht="26.4">
      <c r="A1893" s="284"/>
      <c r="B1893" s="284"/>
      <c r="C1893" s="284"/>
      <c r="D1893" s="284"/>
      <c r="E1893" s="284"/>
      <c r="F1893" s="284"/>
      <c r="G1893" s="284"/>
      <c r="H1893" s="284"/>
      <c r="I1893" s="284"/>
      <c r="J1893" s="375"/>
      <c r="K1893" s="375"/>
      <c r="L1893" s="375"/>
      <c r="M1893" s="368"/>
      <c r="N1893" s="368"/>
      <c r="O1893" s="370"/>
      <c r="T1893" s="349"/>
      <c r="V1893" s="378"/>
      <c r="W1893" s="64" ph="1"/>
      <c r="X1893" s="241"/>
      <c r="Y1893" s="284"/>
      <c r="Z1893" s="207"/>
      <c r="AA1893" s="284"/>
      <c r="AB1893" s="284"/>
      <c r="AC1893" s="284"/>
      <c r="AD1893" s="284"/>
      <c r="AE1893" s="284"/>
      <c r="AF1893" s="284"/>
      <c r="AG1893" s="284"/>
    </row>
    <row r="1894" spans="1:33" ht="26.4">
      <c r="A1894" s="284"/>
      <c r="B1894" s="284"/>
      <c r="C1894" s="284"/>
      <c r="D1894" s="284"/>
      <c r="E1894" s="284"/>
      <c r="F1894" s="284"/>
      <c r="G1894" s="284"/>
      <c r="H1894" s="284"/>
      <c r="I1894" s="284"/>
      <c r="J1894" s="375"/>
      <c r="K1894" s="375"/>
      <c r="L1894" s="375"/>
      <c r="M1894" s="368"/>
      <c r="N1894" s="368"/>
      <c r="O1894" s="370"/>
      <c r="T1894" s="349"/>
      <c r="V1894" s="378"/>
      <c r="W1894" s="64" ph="1"/>
      <c r="X1894" s="241"/>
      <c r="Y1894" s="284"/>
      <c r="Z1894" s="207"/>
      <c r="AA1894" s="284"/>
      <c r="AB1894" s="284"/>
      <c r="AC1894" s="284"/>
      <c r="AD1894" s="284"/>
      <c r="AE1894" s="284"/>
      <c r="AF1894" s="284"/>
      <c r="AG1894" s="284"/>
    </row>
    <row r="1895" spans="1:33" ht="26.4">
      <c r="A1895" s="284"/>
      <c r="B1895" s="284"/>
      <c r="C1895" s="284"/>
      <c r="D1895" s="284"/>
      <c r="E1895" s="284"/>
      <c r="F1895" s="284"/>
      <c r="G1895" s="284"/>
      <c r="H1895" s="284"/>
      <c r="I1895" s="284"/>
      <c r="J1895" s="375"/>
      <c r="K1895" s="375"/>
      <c r="L1895" s="375"/>
      <c r="M1895" s="368"/>
      <c r="N1895" s="368"/>
      <c r="O1895" s="370"/>
      <c r="T1895" s="349"/>
      <c r="V1895" s="378"/>
      <c r="W1895" s="64" ph="1"/>
      <c r="X1895" s="241"/>
      <c r="Y1895" s="284"/>
      <c r="Z1895" s="207"/>
      <c r="AA1895" s="284"/>
      <c r="AB1895" s="284"/>
      <c r="AC1895" s="284"/>
      <c r="AD1895" s="284"/>
      <c r="AE1895" s="284"/>
      <c r="AF1895" s="284"/>
      <c r="AG1895" s="284"/>
    </row>
    <row r="1896" spans="1:33" ht="26.4">
      <c r="A1896" s="284"/>
      <c r="B1896" s="284"/>
      <c r="C1896" s="284"/>
      <c r="D1896" s="284"/>
      <c r="E1896" s="284"/>
      <c r="F1896" s="284"/>
      <c r="G1896" s="284"/>
      <c r="H1896" s="284"/>
      <c r="I1896" s="284"/>
      <c r="J1896" s="375"/>
      <c r="K1896" s="375"/>
      <c r="L1896" s="375"/>
      <c r="M1896" s="368"/>
      <c r="N1896" s="368"/>
      <c r="O1896" s="370"/>
      <c r="T1896" s="349"/>
      <c r="V1896" s="378"/>
      <c r="W1896" s="64" ph="1"/>
      <c r="X1896" s="241"/>
      <c r="Y1896" s="284"/>
      <c r="Z1896" s="207"/>
      <c r="AA1896" s="284"/>
      <c r="AB1896" s="284"/>
      <c r="AC1896" s="284"/>
      <c r="AD1896" s="284"/>
      <c r="AE1896" s="284"/>
      <c r="AF1896" s="284"/>
      <c r="AG1896" s="284"/>
    </row>
    <row r="1897" spans="1:33" ht="26.4">
      <c r="A1897" s="284"/>
      <c r="B1897" s="284"/>
      <c r="C1897" s="284"/>
      <c r="D1897" s="284"/>
      <c r="E1897" s="284"/>
      <c r="F1897" s="284"/>
      <c r="G1897" s="284"/>
      <c r="H1897" s="284"/>
      <c r="I1897" s="284"/>
      <c r="J1897" s="375"/>
      <c r="K1897" s="375"/>
      <c r="L1897" s="375"/>
      <c r="M1897" s="368"/>
      <c r="N1897" s="368"/>
      <c r="O1897" s="370"/>
      <c r="T1897" s="349"/>
      <c r="V1897" s="378"/>
      <c r="W1897" s="64" ph="1"/>
      <c r="X1897" s="241"/>
      <c r="Y1897" s="284"/>
      <c r="Z1897" s="207"/>
      <c r="AA1897" s="284"/>
      <c r="AB1897" s="284"/>
      <c r="AC1897" s="284"/>
      <c r="AD1897" s="284"/>
      <c r="AE1897" s="284"/>
      <c r="AF1897" s="284"/>
      <c r="AG1897" s="284"/>
    </row>
    <row r="1898" spans="1:33" ht="26.4">
      <c r="A1898" s="284"/>
      <c r="B1898" s="284"/>
      <c r="C1898" s="284"/>
      <c r="D1898" s="284"/>
      <c r="E1898" s="284"/>
      <c r="F1898" s="284"/>
      <c r="G1898" s="284"/>
      <c r="H1898" s="284"/>
      <c r="I1898" s="284"/>
      <c r="J1898" s="375"/>
      <c r="K1898" s="375"/>
      <c r="L1898" s="375"/>
      <c r="M1898" s="368"/>
      <c r="N1898" s="368"/>
      <c r="O1898" s="370"/>
      <c r="T1898" s="349"/>
      <c r="V1898" s="378"/>
      <c r="W1898" s="64" ph="1"/>
      <c r="X1898" s="241"/>
      <c r="Y1898" s="284"/>
      <c r="Z1898" s="207"/>
      <c r="AA1898" s="284"/>
      <c r="AB1898" s="284"/>
      <c r="AC1898" s="284"/>
      <c r="AD1898" s="284"/>
      <c r="AE1898" s="284"/>
      <c r="AF1898" s="284"/>
      <c r="AG1898" s="284"/>
    </row>
    <row r="1899" spans="1:33" ht="26.4">
      <c r="A1899" s="284"/>
      <c r="B1899" s="284"/>
      <c r="C1899" s="284"/>
      <c r="D1899" s="284"/>
      <c r="E1899" s="284"/>
      <c r="F1899" s="284"/>
      <c r="G1899" s="284"/>
      <c r="H1899" s="284"/>
      <c r="I1899" s="284"/>
      <c r="J1899" s="375"/>
      <c r="K1899" s="375"/>
      <c r="L1899" s="375"/>
      <c r="M1899" s="368"/>
      <c r="N1899" s="368"/>
      <c r="O1899" s="370"/>
      <c r="T1899" s="349"/>
      <c r="V1899" s="378"/>
      <c r="W1899" s="64" ph="1"/>
      <c r="X1899" s="241"/>
      <c r="Y1899" s="284"/>
      <c r="Z1899" s="207"/>
      <c r="AA1899" s="284"/>
      <c r="AB1899" s="284"/>
      <c r="AC1899" s="284"/>
      <c r="AD1899" s="284"/>
      <c r="AE1899" s="284"/>
      <c r="AF1899" s="284"/>
      <c r="AG1899" s="284"/>
    </row>
    <row r="1900" spans="1:33" ht="26.4">
      <c r="A1900" s="284"/>
      <c r="B1900" s="284"/>
      <c r="C1900" s="284"/>
      <c r="D1900" s="284"/>
      <c r="E1900" s="284"/>
      <c r="F1900" s="284"/>
      <c r="G1900" s="284"/>
      <c r="H1900" s="284"/>
      <c r="I1900" s="284"/>
      <c r="J1900" s="375"/>
      <c r="K1900" s="375"/>
      <c r="L1900" s="375"/>
      <c r="M1900" s="368"/>
      <c r="N1900" s="368"/>
      <c r="O1900" s="370"/>
      <c r="T1900" s="349"/>
      <c r="V1900" s="378"/>
      <c r="W1900" s="64" ph="1"/>
      <c r="X1900" s="241"/>
      <c r="Y1900" s="284"/>
      <c r="Z1900" s="207"/>
      <c r="AA1900" s="284"/>
      <c r="AB1900" s="284"/>
      <c r="AC1900" s="284"/>
      <c r="AD1900" s="284"/>
      <c r="AE1900" s="284"/>
      <c r="AF1900" s="284"/>
      <c r="AG1900" s="284"/>
    </row>
    <row r="1901" spans="1:33" ht="26.4">
      <c r="A1901" s="284"/>
      <c r="B1901" s="284"/>
      <c r="C1901" s="284"/>
      <c r="D1901" s="284"/>
      <c r="E1901" s="284"/>
      <c r="F1901" s="284"/>
      <c r="G1901" s="284"/>
      <c r="H1901" s="284"/>
      <c r="I1901" s="284"/>
      <c r="J1901" s="375"/>
      <c r="K1901" s="375"/>
      <c r="L1901" s="375"/>
      <c r="M1901" s="368"/>
      <c r="N1901" s="368"/>
      <c r="O1901" s="370"/>
      <c r="T1901" s="349"/>
      <c r="V1901" s="378"/>
      <c r="W1901" s="64" ph="1"/>
      <c r="X1901" s="241"/>
      <c r="Y1901" s="284"/>
      <c r="Z1901" s="207"/>
      <c r="AA1901" s="284"/>
      <c r="AB1901" s="284"/>
      <c r="AC1901" s="284"/>
      <c r="AD1901" s="284"/>
      <c r="AE1901" s="284"/>
      <c r="AF1901" s="284"/>
      <c r="AG1901" s="284"/>
    </row>
    <row r="1902" spans="1:33" ht="26.4">
      <c r="A1902" s="284"/>
      <c r="B1902" s="284"/>
      <c r="C1902" s="284"/>
      <c r="D1902" s="284"/>
      <c r="E1902" s="284"/>
      <c r="F1902" s="284"/>
      <c r="G1902" s="284"/>
      <c r="H1902" s="284"/>
      <c r="I1902" s="284"/>
      <c r="J1902" s="375"/>
      <c r="K1902" s="375"/>
      <c r="L1902" s="375"/>
      <c r="M1902" s="368"/>
      <c r="N1902" s="368"/>
      <c r="O1902" s="370"/>
      <c r="T1902" s="349"/>
      <c r="V1902" s="378"/>
      <c r="W1902" s="64" ph="1"/>
      <c r="X1902" s="241"/>
      <c r="Y1902" s="284"/>
      <c r="Z1902" s="207"/>
      <c r="AA1902" s="284"/>
      <c r="AB1902" s="284"/>
      <c r="AC1902" s="284"/>
      <c r="AD1902" s="284"/>
      <c r="AE1902" s="284"/>
      <c r="AF1902" s="284"/>
      <c r="AG1902" s="284"/>
    </row>
    <row r="1903" spans="1:33" ht="26.4">
      <c r="A1903" s="284"/>
      <c r="B1903" s="284"/>
      <c r="C1903" s="284"/>
      <c r="D1903" s="284"/>
      <c r="E1903" s="284"/>
      <c r="F1903" s="284"/>
      <c r="G1903" s="284"/>
      <c r="H1903" s="284"/>
      <c r="I1903" s="284"/>
      <c r="J1903" s="375"/>
      <c r="K1903" s="375"/>
      <c r="L1903" s="375"/>
      <c r="M1903" s="368"/>
      <c r="N1903" s="368"/>
      <c r="O1903" s="370"/>
      <c r="T1903" s="349"/>
      <c r="V1903" s="378"/>
      <c r="W1903" s="64" ph="1"/>
      <c r="X1903" s="241"/>
      <c r="Y1903" s="284"/>
      <c r="Z1903" s="207"/>
      <c r="AA1903" s="284"/>
      <c r="AB1903" s="284"/>
      <c r="AC1903" s="284"/>
      <c r="AD1903" s="284"/>
      <c r="AE1903" s="284"/>
      <c r="AF1903" s="284"/>
      <c r="AG1903" s="284"/>
    </row>
    <row r="1904" spans="1:33" ht="26.4">
      <c r="A1904" s="284"/>
      <c r="B1904" s="284"/>
      <c r="C1904" s="284"/>
      <c r="D1904" s="284"/>
      <c r="E1904" s="284"/>
      <c r="F1904" s="284"/>
      <c r="G1904" s="284"/>
      <c r="H1904" s="284"/>
      <c r="I1904" s="284"/>
      <c r="J1904" s="375"/>
      <c r="K1904" s="375"/>
      <c r="L1904" s="375"/>
      <c r="M1904" s="368"/>
      <c r="N1904" s="368"/>
      <c r="O1904" s="370"/>
      <c r="T1904" s="349"/>
      <c r="V1904" s="378"/>
      <c r="W1904" s="64" ph="1"/>
      <c r="X1904" s="241"/>
      <c r="Y1904" s="284"/>
      <c r="Z1904" s="207"/>
      <c r="AA1904" s="284"/>
      <c r="AB1904" s="284"/>
      <c r="AC1904" s="284"/>
      <c r="AD1904" s="284"/>
      <c r="AE1904" s="284"/>
      <c r="AF1904" s="284"/>
      <c r="AG1904" s="284"/>
    </row>
    <row r="1905" spans="1:33" ht="26.4">
      <c r="A1905" s="284"/>
      <c r="B1905" s="284"/>
      <c r="C1905" s="284"/>
      <c r="D1905" s="284"/>
      <c r="E1905" s="284"/>
      <c r="F1905" s="284"/>
      <c r="G1905" s="284"/>
      <c r="H1905" s="284"/>
      <c r="I1905" s="284"/>
      <c r="J1905" s="375"/>
      <c r="K1905" s="375"/>
      <c r="L1905" s="375"/>
      <c r="M1905" s="368"/>
      <c r="N1905" s="368"/>
      <c r="O1905" s="370"/>
      <c r="T1905" s="349"/>
      <c r="V1905" s="378"/>
      <c r="W1905" s="64" ph="1"/>
      <c r="X1905" s="241"/>
      <c r="Y1905" s="284"/>
      <c r="Z1905" s="207"/>
      <c r="AA1905" s="284"/>
      <c r="AB1905" s="284"/>
      <c r="AC1905" s="284"/>
      <c r="AD1905" s="284"/>
      <c r="AE1905" s="284"/>
      <c r="AF1905" s="284"/>
      <c r="AG1905" s="284"/>
    </row>
    <row r="1906" spans="1:33" ht="26.4">
      <c r="A1906" s="284"/>
      <c r="B1906" s="284"/>
      <c r="C1906" s="284"/>
      <c r="D1906" s="284"/>
      <c r="E1906" s="284"/>
      <c r="F1906" s="284"/>
      <c r="G1906" s="284"/>
      <c r="H1906" s="284"/>
      <c r="I1906" s="284"/>
      <c r="J1906" s="375"/>
      <c r="K1906" s="375"/>
      <c r="L1906" s="375"/>
      <c r="M1906" s="368"/>
      <c r="N1906" s="368"/>
      <c r="O1906" s="370"/>
      <c r="T1906" s="349"/>
      <c r="V1906" s="378"/>
      <c r="W1906" s="64" ph="1"/>
      <c r="X1906" s="241"/>
      <c r="Y1906" s="284"/>
      <c r="Z1906" s="207"/>
      <c r="AA1906" s="284"/>
      <c r="AB1906" s="284"/>
      <c r="AC1906" s="284"/>
      <c r="AD1906" s="284"/>
      <c r="AE1906" s="284"/>
      <c r="AF1906" s="284"/>
      <c r="AG1906" s="284"/>
    </row>
    <row r="1907" spans="1:33" ht="26.4">
      <c r="A1907" s="284"/>
      <c r="B1907" s="284"/>
      <c r="C1907" s="284"/>
      <c r="D1907" s="284"/>
      <c r="E1907" s="284"/>
      <c r="F1907" s="284"/>
      <c r="G1907" s="284"/>
      <c r="H1907" s="284"/>
      <c r="I1907" s="284"/>
      <c r="J1907" s="375"/>
      <c r="K1907" s="375"/>
      <c r="L1907" s="375"/>
      <c r="M1907" s="368"/>
      <c r="N1907" s="368"/>
      <c r="O1907" s="370"/>
      <c r="T1907" s="349"/>
      <c r="V1907" s="378"/>
      <c r="W1907" s="64" ph="1"/>
      <c r="X1907" s="241"/>
      <c r="Y1907" s="284"/>
      <c r="Z1907" s="207"/>
      <c r="AA1907" s="284"/>
      <c r="AB1907" s="284"/>
      <c r="AC1907" s="284"/>
      <c r="AD1907" s="284"/>
      <c r="AE1907" s="284"/>
      <c r="AF1907" s="284"/>
      <c r="AG1907" s="284"/>
    </row>
    <row r="1908" spans="1:33" ht="26.4">
      <c r="A1908" s="284"/>
      <c r="B1908" s="284"/>
      <c r="C1908" s="284"/>
      <c r="D1908" s="284"/>
      <c r="E1908" s="284"/>
      <c r="F1908" s="284"/>
      <c r="G1908" s="284"/>
      <c r="H1908" s="284"/>
      <c r="I1908" s="284"/>
      <c r="J1908" s="375"/>
      <c r="K1908" s="375"/>
      <c r="L1908" s="375"/>
      <c r="M1908" s="368"/>
      <c r="N1908" s="368"/>
      <c r="O1908" s="370"/>
      <c r="T1908" s="349"/>
      <c r="V1908" s="378"/>
      <c r="W1908" s="64" ph="1"/>
      <c r="X1908" s="241"/>
      <c r="Y1908" s="284"/>
      <c r="Z1908" s="207"/>
      <c r="AA1908" s="284"/>
      <c r="AB1908" s="284"/>
      <c r="AC1908" s="284"/>
      <c r="AD1908" s="284"/>
      <c r="AE1908" s="284"/>
      <c r="AF1908" s="284"/>
      <c r="AG1908" s="284"/>
    </row>
    <row r="1909" spans="1:33" ht="26.4">
      <c r="A1909" s="284"/>
      <c r="B1909" s="284"/>
      <c r="C1909" s="284"/>
      <c r="D1909" s="284"/>
      <c r="E1909" s="284"/>
      <c r="F1909" s="284"/>
      <c r="G1909" s="284"/>
      <c r="H1909" s="284"/>
      <c r="I1909" s="284"/>
      <c r="J1909" s="375"/>
      <c r="K1909" s="375"/>
      <c r="L1909" s="375"/>
      <c r="M1909" s="368"/>
      <c r="N1909" s="368"/>
      <c r="O1909" s="370"/>
      <c r="T1909" s="349"/>
      <c r="V1909" s="378"/>
      <c r="W1909" s="64" ph="1"/>
      <c r="X1909" s="241"/>
      <c r="Y1909" s="284"/>
      <c r="Z1909" s="207"/>
      <c r="AA1909" s="284"/>
      <c r="AB1909" s="284"/>
      <c r="AC1909" s="284"/>
      <c r="AD1909" s="284"/>
      <c r="AE1909" s="284"/>
      <c r="AF1909" s="284"/>
      <c r="AG1909" s="284"/>
    </row>
    <row r="1910" spans="1:33" ht="26.4">
      <c r="A1910" s="284"/>
      <c r="B1910" s="284"/>
      <c r="C1910" s="284"/>
      <c r="D1910" s="284"/>
      <c r="E1910" s="284"/>
      <c r="F1910" s="284"/>
      <c r="G1910" s="284"/>
      <c r="H1910" s="284"/>
      <c r="I1910" s="284"/>
      <c r="J1910" s="375"/>
      <c r="K1910" s="375"/>
      <c r="L1910" s="375"/>
      <c r="M1910" s="368"/>
      <c r="N1910" s="368"/>
      <c r="O1910" s="370"/>
      <c r="T1910" s="349"/>
      <c r="V1910" s="378"/>
      <c r="W1910" s="64" ph="1"/>
      <c r="X1910" s="241"/>
      <c r="Y1910" s="284"/>
      <c r="Z1910" s="207"/>
      <c r="AA1910" s="284"/>
      <c r="AB1910" s="284"/>
      <c r="AC1910" s="284"/>
      <c r="AD1910" s="284"/>
      <c r="AE1910" s="284"/>
      <c r="AF1910" s="284"/>
      <c r="AG1910" s="284"/>
    </row>
    <row r="1911" spans="1:33" ht="26.4">
      <c r="A1911" s="284"/>
      <c r="B1911" s="284"/>
      <c r="C1911" s="284"/>
      <c r="D1911" s="284"/>
      <c r="E1911" s="284"/>
      <c r="F1911" s="284"/>
      <c r="G1911" s="284"/>
      <c r="H1911" s="284"/>
      <c r="I1911" s="284"/>
      <c r="J1911" s="375"/>
      <c r="K1911" s="375"/>
      <c r="L1911" s="375"/>
      <c r="M1911" s="368"/>
      <c r="N1911" s="368"/>
      <c r="O1911" s="370"/>
      <c r="T1911" s="349"/>
      <c r="V1911" s="378"/>
      <c r="W1911" s="64" ph="1"/>
      <c r="X1911" s="241"/>
      <c r="Y1911" s="284"/>
      <c r="Z1911" s="207"/>
      <c r="AA1911" s="284"/>
      <c r="AB1911" s="284"/>
      <c r="AC1911" s="284"/>
      <c r="AD1911" s="284"/>
      <c r="AE1911" s="284"/>
      <c r="AF1911" s="284"/>
      <c r="AG1911" s="284"/>
    </row>
    <row r="1912" spans="1:33" ht="26.4">
      <c r="A1912" s="284"/>
      <c r="B1912" s="284"/>
      <c r="C1912" s="284"/>
      <c r="D1912" s="284"/>
      <c r="E1912" s="284"/>
      <c r="F1912" s="284"/>
      <c r="G1912" s="284"/>
      <c r="H1912" s="284"/>
      <c r="I1912" s="284"/>
      <c r="J1912" s="375"/>
      <c r="K1912" s="375"/>
      <c r="L1912" s="375"/>
      <c r="M1912" s="368"/>
      <c r="N1912" s="368"/>
      <c r="O1912" s="370"/>
      <c r="T1912" s="349"/>
      <c r="V1912" s="378"/>
      <c r="W1912" s="64" ph="1"/>
      <c r="X1912" s="241"/>
      <c r="Y1912" s="284"/>
      <c r="Z1912" s="207"/>
      <c r="AA1912" s="284"/>
      <c r="AB1912" s="284"/>
      <c r="AC1912" s="284"/>
      <c r="AD1912" s="284"/>
      <c r="AE1912" s="284"/>
      <c r="AF1912" s="284"/>
      <c r="AG1912" s="284"/>
    </row>
    <row r="1913" spans="1:33" ht="26.4">
      <c r="A1913" s="284"/>
      <c r="B1913" s="284"/>
      <c r="C1913" s="284"/>
      <c r="D1913" s="284"/>
      <c r="E1913" s="284"/>
      <c r="F1913" s="284"/>
      <c r="G1913" s="284"/>
      <c r="H1913" s="284"/>
      <c r="I1913" s="284"/>
      <c r="J1913" s="375"/>
      <c r="K1913" s="375"/>
      <c r="L1913" s="375"/>
      <c r="M1913" s="368"/>
      <c r="N1913" s="368"/>
      <c r="O1913" s="370"/>
      <c r="T1913" s="349"/>
      <c r="V1913" s="378"/>
      <c r="W1913" s="64" ph="1"/>
      <c r="X1913" s="241"/>
      <c r="Y1913" s="284"/>
      <c r="Z1913" s="207"/>
      <c r="AA1913" s="284"/>
      <c r="AB1913" s="284"/>
      <c r="AC1913" s="284"/>
      <c r="AD1913" s="284"/>
      <c r="AE1913" s="284"/>
      <c r="AF1913" s="284"/>
      <c r="AG1913" s="284"/>
    </row>
    <row r="1914" spans="1:33" ht="26.4">
      <c r="A1914" s="284"/>
      <c r="B1914" s="284"/>
      <c r="C1914" s="284"/>
      <c r="D1914" s="284"/>
      <c r="E1914" s="284"/>
      <c r="F1914" s="284"/>
      <c r="G1914" s="284"/>
      <c r="H1914" s="284"/>
      <c r="I1914" s="284"/>
      <c r="J1914" s="375"/>
      <c r="K1914" s="375"/>
      <c r="L1914" s="375"/>
      <c r="M1914" s="368"/>
      <c r="N1914" s="368"/>
      <c r="O1914" s="370"/>
      <c r="T1914" s="349"/>
      <c r="V1914" s="378"/>
      <c r="W1914" s="64" ph="1"/>
      <c r="X1914" s="241"/>
      <c r="Y1914" s="284"/>
      <c r="Z1914" s="207"/>
      <c r="AA1914" s="284"/>
      <c r="AB1914" s="284"/>
      <c r="AC1914" s="284"/>
      <c r="AD1914" s="284"/>
      <c r="AE1914" s="284"/>
      <c r="AF1914" s="284"/>
      <c r="AG1914" s="284"/>
    </row>
    <row r="1915" spans="1:33" ht="26.4">
      <c r="A1915" s="284"/>
      <c r="B1915" s="284"/>
      <c r="C1915" s="284"/>
      <c r="D1915" s="284"/>
      <c r="E1915" s="284"/>
      <c r="F1915" s="284"/>
      <c r="G1915" s="284"/>
      <c r="H1915" s="284"/>
      <c r="I1915" s="284"/>
      <c r="J1915" s="375"/>
      <c r="K1915" s="375"/>
      <c r="L1915" s="375"/>
      <c r="M1915" s="368"/>
      <c r="N1915" s="368"/>
      <c r="O1915" s="370"/>
      <c r="T1915" s="349"/>
      <c r="V1915" s="378"/>
      <c r="W1915" s="64" ph="1"/>
      <c r="X1915" s="241"/>
      <c r="Y1915" s="284"/>
      <c r="Z1915" s="207"/>
      <c r="AA1915" s="284"/>
      <c r="AB1915" s="284"/>
      <c r="AC1915" s="284"/>
      <c r="AD1915" s="284"/>
      <c r="AE1915" s="284"/>
      <c r="AF1915" s="284"/>
      <c r="AG1915" s="284"/>
    </row>
    <row r="1916" spans="1:33" ht="26.4">
      <c r="A1916" s="284"/>
      <c r="B1916" s="284"/>
      <c r="C1916" s="284"/>
      <c r="D1916" s="284"/>
      <c r="E1916" s="284"/>
      <c r="F1916" s="284"/>
      <c r="G1916" s="284"/>
      <c r="H1916" s="284"/>
      <c r="I1916" s="284"/>
      <c r="J1916" s="375"/>
      <c r="K1916" s="375"/>
      <c r="L1916" s="375"/>
      <c r="M1916" s="368"/>
      <c r="N1916" s="368"/>
      <c r="O1916" s="370"/>
      <c r="T1916" s="349"/>
      <c r="V1916" s="378"/>
      <c r="W1916" s="64" ph="1"/>
      <c r="X1916" s="241"/>
      <c r="Y1916" s="284"/>
      <c r="Z1916" s="207"/>
      <c r="AA1916" s="284"/>
      <c r="AB1916" s="284"/>
      <c r="AC1916" s="284"/>
      <c r="AD1916" s="284"/>
      <c r="AE1916" s="284"/>
      <c r="AF1916" s="284"/>
      <c r="AG1916" s="284"/>
    </row>
    <row r="1917" spans="1:33" ht="26.4">
      <c r="A1917" s="284"/>
      <c r="B1917" s="284"/>
      <c r="C1917" s="284"/>
      <c r="D1917" s="284"/>
      <c r="E1917" s="284"/>
      <c r="F1917" s="284"/>
      <c r="G1917" s="284"/>
      <c r="H1917" s="284"/>
      <c r="I1917" s="284"/>
      <c r="J1917" s="375"/>
      <c r="K1917" s="375"/>
      <c r="L1917" s="375"/>
      <c r="M1917" s="368"/>
      <c r="N1917" s="368"/>
      <c r="O1917" s="370"/>
      <c r="T1917" s="349"/>
      <c r="V1917" s="378"/>
      <c r="W1917" s="64" ph="1"/>
      <c r="X1917" s="241"/>
      <c r="Y1917" s="284"/>
      <c r="Z1917" s="207"/>
      <c r="AA1917" s="284"/>
      <c r="AB1917" s="284"/>
      <c r="AC1917" s="284"/>
      <c r="AD1917" s="284"/>
      <c r="AE1917" s="284"/>
      <c r="AF1917" s="284"/>
      <c r="AG1917" s="284"/>
    </row>
    <row r="1918" spans="1:33" ht="26.4">
      <c r="A1918" s="284"/>
      <c r="B1918" s="284"/>
      <c r="C1918" s="284"/>
      <c r="D1918" s="284"/>
      <c r="E1918" s="284"/>
      <c r="F1918" s="284"/>
      <c r="G1918" s="284"/>
      <c r="H1918" s="284"/>
      <c r="I1918" s="284"/>
      <c r="J1918" s="375"/>
      <c r="K1918" s="375"/>
      <c r="L1918" s="375"/>
      <c r="M1918" s="368"/>
      <c r="N1918" s="368"/>
      <c r="O1918" s="370"/>
      <c r="T1918" s="349"/>
      <c r="V1918" s="378"/>
      <c r="W1918" s="64" ph="1"/>
      <c r="X1918" s="241"/>
      <c r="Y1918" s="284"/>
      <c r="Z1918" s="207"/>
      <c r="AA1918" s="284"/>
      <c r="AB1918" s="284"/>
      <c r="AC1918" s="284"/>
      <c r="AD1918" s="284"/>
      <c r="AE1918" s="284"/>
      <c r="AF1918" s="284"/>
      <c r="AG1918" s="284"/>
    </row>
    <row r="1919" spans="1:33" ht="26.4">
      <c r="A1919" s="284"/>
      <c r="B1919" s="284"/>
      <c r="C1919" s="284"/>
      <c r="D1919" s="284"/>
      <c r="E1919" s="284"/>
      <c r="F1919" s="284"/>
      <c r="G1919" s="284"/>
      <c r="H1919" s="284"/>
      <c r="I1919" s="284"/>
      <c r="J1919" s="375"/>
      <c r="K1919" s="375"/>
      <c r="L1919" s="375"/>
      <c r="M1919" s="368"/>
      <c r="N1919" s="368"/>
      <c r="O1919" s="370"/>
      <c r="T1919" s="349"/>
      <c r="V1919" s="378"/>
      <c r="W1919" s="64" ph="1"/>
      <c r="X1919" s="241"/>
      <c r="Y1919" s="284"/>
      <c r="Z1919" s="207"/>
      <c r="AA1919" s="284"/>
      <c r="AB1919" s="284"/>
      <c r="AC1919" s="284"/>
      <c r="AD1919" s="284"/>
      <c r="AE1919" s="284"/>
      <c r="AF1919" s="284"/>
      <c r="AG1919" s="284"/>
    </row>
    <row r="1920" spans="1:33" ht="26.4">
      <c r="A1920" s="284"/>
      <c r="B1920" s="284"/>
      <c r="C1920" s="284"/>
      <c r="D1920" s="284"/>
      <c r="E1920" s="284"/>
      <c r="F1920" s="284"/>
      <c r="G1920" s="284"/>
      <c r="H1920" s="284"/>
      <c r="I1920" s="284"/>
      <c r="J1920" s="375"/>
      <c r="K1920" s="375"/>
      <c r="L1920" s="375"/>
      <c r="M1920" s="368"/>
      <c r="N1920" s="368"/>
      <c r="O1920" s="370"/>
      <c r="T1920" s="349"/>
      <c r="V1920" s="378"/>
      <c r="W1920" s="64" ph="1"/>
      <c r="X1920" s="241"/>
      <c r="Y1920" s="284"/>
      <c r="Z1920" s="207"/>
      <c r="AA1920" s="284"/>
      <c r="AB1920" s="284"/>
      <c r="AC1920" s="284"/>
      <c r="AD1920" s="284"/>
      <c r="AE1920" s="284"/>
      <c r="AF1920" s="284"/>
      <c r="AG1920" s="284"/>
    </row>
    <row r="1921" spans="1:33" ht="26.4">
      <c r="A1921" s="284"/>
      <c r="B1921" s="284"/>
      <c r="C1921" s="284"/>
      <c r="D1921" s="284"/>
      <c r="E1921" s="284"/>
      <c r="F1921" s="284"/>
      <c r="G1921" s="284"/>
      <c r="H1921" s="284"/>
      <c r="I1921" s="284"/>
      <c r="J1921" s="375"/>
      <c r="K1921" s="375"/>
      <c r="L1921" s="375"/>
      <c r="M1921" s="368"/>
      <c r="N1921" s="368"/>
      <c r="O1921" s="370"/>
      <c r="T1921" s="349"/>
      <c r="V1921" s="378"/>
      <c r="W1921" s="64" ph="1"/>
      <c r="X1921" s="241"/>
      <c r="Y1921" s="284"/>
      <c r="Z1921" s="207"/>
      <c r="AA1921" s="284"/>
      <c r="AB1921" s="284"/>
      <c r="AC1921" s="284"/>
      <c r="AD1921" s="284"/>
      <c r="AE1921" s="284"/>
      <c r="AF1921" s="284"/>
      <c r="AG1921" s="284"/>
    </row>
    <row r="1922" spans="1:33" ht="26.4">
      <c r="A1922" s="284"/>
      <c r="B1922" s="284"/>
      <c r="C1922" s="284"/>
      <c r="D1922" s="284"/>
      <c r="E1922" s="284"/>
      <c r="F1922" s="284"/>
      <c r="G1922" s="284"/>
      <c r="H1922" s="284"/>
      <c r="I1922" s="284"/>
      <c r="J1922" s="375"/>
      <c r="K1922" s="375"/>
      <c r="L1922" s="375"/>
      <c r="M1922" s="368"/>
      <c r="N1922" s="368"/>
      <c r="O1922" s="370"/>
      <c r="T1922" s="349"/>
      <c r="V1922" s="378"/>
      <c r="W1922" s="64" ph="1"/>
      <c r="X1922" s="241"/>
      <c r="Y1922" s="284"/>
      <c r="Z1922" s="207"/>
      <c r="AA1922" s="284"/>
      <c r="AB1922" s="284"/>
      <c r="AC1922" s="284"/>
      <c r="AD1922" s="284"/>
      <c r="AE1922" s="284"/>
      <c r="AF1922" s="284"/>
      <c r="AG1922" s="284"/>
    </row>
    <row r="1923" spans="1:33" ht="26.4">
      <c r="A1923" s="284"/>
      <c r="B1923" s="284"/>
      <c r="C1923" s="284"/>
      <c r="D1923" s="284"/>
      <c r="E1923" s="284"/>
      <c r="F1923" s="284"/>
      <c r="G1923" s="284"/>
      <c r="H1923" s="284"/>
      <c r="I1923" s="284"/>
      <c r="J1923" s="375"/>
      <c r="K1923" s="375"/>
      <c r="L1923" s="375"/>
      <c r="M1923" s="368"/>
      <c r="N1923" s="368"/>
      <c r="O1923" s="370"/>
      <c r="T1923" s="349"/>
      <c r="V1923" s="378"/>
      <c r="W1923" s="64" ph="1"/>
      <c r="X1923" s="241"/>
      <c r="Y1923" s="284"/>
      <c r="Z1923" s="207"/>
      <c r="AA1923" s="284"/>
      <c r="AB1923" s="284"/>
      <c r="AC1923" s="284"/>
      <c r="AD1923" s="284"/>
      <c r="AE1923" s="284"/>
      <c r="AF1923" s="284"/>
      <c r="AG1923" s="284"/>
    </row>
    <row r="1924" spans="1:33" ht="26.4">
      <c r="A1924" s="284"/>
      <c r="B1924" s="284"/>
      <c r="C1924" s="284"/>
      <c r="D1924" s="284"/>
      <c r="E1924" s="284"/>
      <c r="F1924" s="284"/>
      <c r="G1924" s="284"/>
      <c r="H1924" s="284"/>
      <c r="I1924" s="284"/>
      <c r="J1924" s="375"/>
      <c r="K1924" s="375"/>
      <c r="L1924" s="375"/>
      <c r="M1924" s="368"/>
      <c r="N1924" s="368"/>
      <c r="O1924" s="370"/>
      <c r="T1924" s="349"/>
      <c r="V1924" s="378"/>
      <c r="W1924" s="64" ph="1"/>
      <c r="X1924" s="241"/>
      <c r="Y1924" s="284"/>
      <c r="Z1924" s="207"/>
      <c r="AA1924" s="284"/>
      <c r="AB1924" s="284"/>
      <c r="AC1924" s="284"/>
      <c r="AD1924" s="284"/>
      <c r="AE1924" s="284"/>
      <c r="AF1924" s="284"/>
      <c r="AG1924" s="284"/>
    </row>
    <row r="1925" spans="1:33" ht="26.4">
      <c r="A1925" s="284"/>
      <c r="B1925" s="284"/>
      <c r="C1925" s="284"/>
      <c r="D1925" s="284"/>
      <c r="E1925" s="284"/>
      <c r="F1925" s="284"/>
      <c r="G1925" s="284"/>
      <c r="H1925" s="284"/>
      <c r="I1925" s="284"/>
      <c r="J1925" s="375"/>
      <c r="K1925" s="375"/>
      <c r="L1925" s="375"/>
      <c r="M1925" s="368"/>
      <c r="N1925" s="368"/>
      <c r="O1925" s="370"/>
      <c r="T1925" s="349"/>
      <c r="V1925" s="378"/>
      <c r="W1925" s="64" ph="1"/>
      <c r="X1925" s="241"/>
      <c r="Y1925" s="284"/>
      <c r="Z1925" s="207"/>
      <c r="AA1925" s="284"/>
      <c r="AB1925" s="284"/>
      <c r="AC1925" s="284"/>
      <c r="AD1925" s="284"/>
      <c r="AE1925" s="284"/>
      <c r="AF1925" s="284"/>
      <c r="AG1925" s="284"/>
    </row>
    <row r="1926" spans="1:33" ht="26.4">
      <c r="A1926" s="284"/>
      <c r="B1926" s="284"/>
      <c r="C1926" s="284"/>
      <c r="D1926" s="284"/>
      <c r="E1926" s="284"/>
      <c r="F1926" s="284"/>
      <c r="G1926" s="284"/>
      <c r="H1926" s="284"/>
      <c r="I1926" s="284"/>
      <c r="J1926" s="375"/>
      <c r="K1926" s="375"/>
      <c r="L1926" s="375"/>
      <c r="M1926" s="368"/>
      <c r="N1926" s="368"/>
      <c r="O1926" s="370"/>
      <c r="T1926" s="349"/>
      <c r="V1926" s="378"/>
      <c r="W1926" s="64" ph="1"/>
      <c r="X1926" s="241"/>
      <c r="Y1926" s="284"/>
      <c r="Z1926" s="207"/>
      <c r="AA1926" s="284"/>
      <c r="AB1926" s="284"/>
      <c r="AC1926" s="284"/>
      <c r="AD1926" s="284"/>
      <c r="AE1926" s="284"/>
      <c r="AF1926" s="284"/>
      <c r="AG1926" s="284"/>
    </row>
    <row r="1927" spans="1:33" ht="26.4">
      <c r="A1927" s="284"/>
      <c r="B1927" s="284"/>
      <c r="C1927" s="284"/>
      <c r="D1927" s="284"/>
      <c r="E1927" s="284"/>
      <c r="F1927" s="284"/>
      <c r="G1927" s="284"/>
      <c r="H1927" s="284"/>
      <c r="I1927" s="284"/>
      <c r="J1927" s="375"/>
      <c r="K1927" s="375"/>
      <c r="L1927" s="375"/>
      <c r="M1927" s="368"/>
      <c r="N1927" s="368"/>
      <c r="O1927" s="370"/>
      <c r="T1927" s="349"/>
      <c r="V1927" s="378"/>
      <c r="W1927" s="64" ph="1"/>
      <c r="X1927" s="241"/>
      <c r="Y1927" s="284"/>
      <c r="Z1927" s="207"/>
      <c r="AA1927" s="284"/>
      <c r="AB1927" s="284"/>
      <c r="AC1927" s="284"/>
      <c r="AD1927" s="284"/>
      <c r="AE1927" s="284"/>
      <c r="AF1927" s="284"/>
      <c r="AG1927" s="284"/>
    </row>
    <row r="1928" spans="1:33" ht="26.4">
      <c r="A1928" s="284"/>
      <c r="B1928" s="284"/>
      <c r="C1928" s="284"/>
      <c r="D1928" s="284"/>
      <c r="E1928" s="284"/>
      <c r="F1928" s="284"/>
      <c r="G1928" s="284"/>
      <c r="H1928" s="284"/>
      <c r="I1928" s="284"/>
      <c r="J1928" s="375"/>
      <c r="K1928" s="375"/>
      <c r="L1928" s="375"/>
      <c r="M1928" s="368"/>
      <c r="N1928" s="368"/>
      <c r="O1928" s="370"/>
      <c r="T1928" s="349"/>
      <c r="V1928" s="378"/>
      <c r="W1928" s="64" ph="1"/>
      <c r="X1928" s="241"/>
      <c r="Y1928" s="284"/>
      <c r="Z1928" s="207"/>
      <c r="AA1928" s="284"/>
      <c r="AB1928" s="284"/>
      <c r="AC1928" s="284"/>
      <c r="AD1928" s="284"/>
      <c r="AE1928" s="284"/>
      <c r="AF1928" s="284"/>
      <c r="AG1928" s="284"/>
    </row>
    <row r="1929" spans="1:33" ht="26.4">
      <c r="A1929" s="284"/>
      <c r="B1929" s="284"/>
      <c r="C1929" s="284"/>
      <c r="D1929" s="284"/>
      <c r="E1929" s="284"/>
      <c r="F1929" s="284"/>
      <c r="G1929" s="284"/>
      <c r="H1929" s="284"/>
      <c r="I1929" s="284"/>
      <c r="J1929" s="375"/>
      <c r="K1929" s="375"/>
      <c r="L1929" s="375"/>
      <c r="M1929" s="368"/>
      <c r="N1929" s="368"/>
      <c r="O1929" s="370"/>
      <c r="T1929" s="349"/>
      <c r="V1929" s="378"/>
      <c r="W1929" s="64" ph="1"/>
      <c r="X1929" s="241"/>
      <c r="Y1929" s="284"/>
      <c r="Z1929" s="207"/>
      <c r="AA1929" s="284"/>
      <c r="AB1929" s="284"/>
      <c r="AC1929" s="284"/>
      <c r="AD1929" s="284"/>
      <c r="AE1929" s="284"/>
      <c r="AF1929" s="284"/>
      <c r="AG1929" s="284"/>
    </row>
    <row r="1930" spans="1:33" ht="26.4">
      <c r="A1930" s="284"/>
      <c r="B1930" s="284"/>
      <c r="C1930" s="284"/>
      <c r="D1930" s="284"/>
      <c r="E1930" s="284"/>
      <c r="F1930" s="284"/>
      <c r="G1930" s="284"/>
      <c r="H1930" s="284"/>
      <c r="I1930" s="284"/>
      <c r="J1930" s="375"/>
      <c r="K1930" s="375"/>
      <c r="L1930" s="375"/>
      <c r="M1930" s="368"/>
      <c r="N1930" s="368"/>
      <c r="O1930" s="370"/>
      <c r="T1930" s="349"/>
      <c r="V1930" s="378"/>
      <c r="W1930" s="64" ph="1"/>
      <c r="X1930" s="241"/>
      <c r="Y1930" s="284"/>
      <c r="Z1930" s="207"/>
      <c r="AA1930" s="284"/>
      <c r="AB1930" s="284"/>
      <c r="AC1930" s="284"/>
      <c r="AD1930" s="284"/>
      <c r="AE1930" s="284"/>
      <c r="AF1930" s="284"/>
      <c r="AG1930" s="284"/>
    </row>
    <row r="1931" spans="1:33" ht="26.4">
      <c r="A1931" s="284"/>
      <c r="B1931" s="284"/>
      <c r="C1931" s="284"/>
      <c r="D1931" s="284"/>
      <c r="E1931" s="284"/>
      <c r="F1931" s="284"/>
      <c r="G1931" s="284"/>
      <c r="H1931" s="284"/>
      <c r="I1931" s="284"/>
      <c r="J1931" s="375"/>
      <c r="K1931" s="375"/>
      <c r="L1931" s="375"/>
      <c r="M1931" s="368"/>
      <c r="N1931" s="368"/>
      <c r="O1931" s="370"/>
      <c r="T1931" s="349"/>
      <c r="V1931" s="378"/>
      <c r="W1931" s="64" ph="1"/>
      <c r="X1931" s="241"/>
      <c r="Y1931" s="284"/>
      <c r="Z1931" s="207"/>
      <c r="AA1931" s="284"/>
      <c r="AB1931" s="284"/>
      <c r="AC1931" s="284"/>
      <c r="AD1931" s="284"/>
      <c r="AE1931" s="284"/>
      <c r="AF1931" s="284"/>
      <c r="AG1931" s="284"/>
    </row>
    <row r="1932" spans="1:33" ht="26.4">
      <c r="A1932" s="284"/>
      <c r="B1932" s="284"/>
      <c r="C1932" s="284"/>
      <c r="D1932" s="284"/>
      <c r="E1932" s="284"/>
      <c r="F1932" s="284"/>
      <c r="G1932" s="284"/>
      <c r="H1932" s="284"/>
      <c r="I1932" s="284"/>
      <c r="J1932" s="375"/>
      <c r="K1932" s="375"/>
      <c r="L1932" s="375"/>
      <c r="M1932" s="368"/>
      <c r="N1932" s="368"/>
      <c r="O1932" s="370"/>
      <c r="T1932" s="349"/>
      <c r="V1932" s="378"/>
      <c r="W1932" s="64" ph="1"/>
      <c r="X1932" s="241"/>
      <c r="Y1932" s="284"/>
      <c r="Z1932" s="207"/>
      <c r="AA1932" s="284"/>
      <c r="AB1932" s="284"/>
      <c r="AC1932" s="284"/>
      <c r="AD1932" s="284"/>
      <c r="AE1932" s="284"/>
      <c r="AF1932" s="284"/>
      <c r="AG1932" s="284"/>
    </row>
    <row r="1933" spans="1:33" ht="26.4">
      <c r="A1933" s="284"/>
      <c r="B1933" s="284"/>
      <c r="C1933" s="284"/>
      <c r="D1933" s="284"/>
      <c r="E1933" s="284"/>
      <c r="F1933" s="284"/>
      <c r="G1933" s="284"/>
      <c r="H1933" s="284"/>
      <c r="I1933" s="284"/>
      <c r="J1933" s="375"/>
      <c r="K1933" s="375"/>
      <c r="L1933" s="375"/>
      <c r="M1933" s="368"/>
      <c r="N1933" s="368"/>
      <c r="O1933" s="370"/>
      <c r="T1933" s="349"/>
      <c r="V1933" s="378"/>
      <c r="W1933" s="64" ph="1"/>
      <c r="X1933" s="241"/>
      <c r="Y1933" s="284"/>
      <c r="Z1933" s="207"/>
      <c r="AA1933" s="284"/>
      <c r="AB1933" s="284"/>
      <c r="AC1933" s="284"/>
      <c r="AD1933" s="284"/>
      <c r="AE1933" s="284"/>
      <c r="AF1933" s="284"/>
      <c r="AG1933" s="284"/>
    </row>
    <row r="1934" spans="1:33" ht="26.4">
      <c r="A1934" s="284"/>
      <c r="B1934" s="284"/>
      <c r="C1934" s="284"/>
      <c r="D1934" s="284"/>
      <c r="E1934" s="284"/>
      <c r="F1934" s="284"/>
      <c r="G1934" s="284"/>
      <c r="H1934" s="284"/>
      <c r="I1934" s="284"/>
      <c r="J1934" s="375"/>
      <c r="K1934" s="375"/>
      <c r="L1934" s="375"/>
      <c r="M1934" s="368"/>
      <c r="N1934" s="368"/>
      <c r="O1934" s="370"/>
      <c r="T1934" s="349"/>
      <c r="V1934" s="378"/>
      <c r="W1934" s="64" ph="1"/>
      <c r="X1934" s="241"/>
      <c r="Y1934" s="284"/>
      <c r="Z1934" s="207"/>
      <c r="AA1934" s="284"/>
      <c r="AB1934" s="284"/>
      <c r="AC1934" s="284"/>
      <c r="AD1934" s="284"/>
      <c r="AE1934" s="284"/>
      <c r="AF1934" s="284"/>
      <c r="AG1934" s="284"/>
    </row>
    <row r="1935" spans="1:33" ht="26.4">
      <c r="A1935" s="284"/>
      <c r="B1935" s="284"/>
      <c r="C1935" s="284"/>
      <c r="D1935" s="284"/>
      <c r="E1935" s="284"/>
      <c r="F1935" s="284"/>
      <c r="G1935" s="284"/>
      <c r="H1935" s="284"/>
      <c r="I1935" s="284"/>
      <c r="J1935" s="375"/>
      <c r="K1935" s="375"/>
      <c r="L1935" s="375"/>
      <c r="M1935" s="368"/>
      <c r="N1935" s="368"/>
      <c r="O1935" s="370"/>
      <c r="T1935" s="349"/>
      <c r="V1935" s="378"/>
      <c r="W1935" s="64" ph="1"/>
      <c r="X1935" s="241"/>
      <c r="Y1935" s="284"/>
      <c r="Z1935" s="207"/>
      <c r="AA1935" s="284"/>
      <c r="AB1935" s="284"/>
      <c r="AC1935" s="284"/>
      <c r="AD1935" s="284"/>
      <c r="AE1935" s="284"/>
      <c r="AF1935" s="284"/>
      <c r="AG1935" s="284"/>
    </row>
    <row r="1936" spans="1:33" ht="26.4">
      <c r="A1936" s="284"/>
      <c r="B1936" s="284"/>
      <c r="C1936" s="284"/>
      <c r="D1936" s="284"/>
      <c r="E1936" s="284"/>
      <c r="F1936" s="284"/>
      <c r="G1936" s="284"/>
      <c r="H1936" s="284"/>
      <c r="I1936" s="284"/>
      <c r="J1936" s="375"/>
      <c r="K1936" s="375"/>
      <c r="L1936" s="375"/>
      <c r="M1936" s="368"/>
      <c r="N1936" s="368"/>
      <c r="O1936" s="370"/>
      <c r="T1936" s="349"/>
      <c r="V1936" s="378"/>
      <c r="W1936" s="64" ph="1"/>
      <c r="X1936" s="241"/>
      <c r="Y1936" s="284"/>
      <c r="Z1936" s="207"/>
      <c r="AA1936" s="284"/>
      <c r="AB1936" s="284"/>
      <c r="AC1936" s="284"/>
      <c r="AD1936" s="284"/>
      <c r="AE1936" s="284"/>
      <c r="AF1936" s="284"/>
      <c r="AG1936" s="284"/>
    </row>
    <row r="1937" spans="1:33" ht="26.4">
      <c r="A1937" s="284"/>
      <c r="B1937" s="284"/>
      <c r="C1937" s="284"/>
      <c r="D1937" s="284"/>
      <c r="E1937" s="284"/>
      <c r="F1937" s="284"/>
      <c r="G1937" s="284"/>
      <c r="H1937" s="284"/>
      <c r="I1937" s="284"/>
      <c r="J1937" s="375"/>
      <c r="K1937" s="375"/>
      <c r="L1937" s="375"/>
      <c r="M1937" s="368"/>
      <c r="N1937" s="368"/>
      <c r="O1937" s="370"/>
      <c r="T1937" s="349"/>
      <c r="V1937" s="378"/>
      <c r="W1937" s="64" ph="1"/>
      <c r="X1937" s="241"/>
      <c r="Y1937" s="284"/>
      <c r="Z1937" s="207"/>
      <c r="AA1937" s="284"/>
      <c r="AB1937" s="284"/>
      <c r="AC1937" s="284"/>
      <c r="AD1937" s="284"/>
      <c r="AE1937" s="284"/>
      <c r="AF1937" s="284"/>
      <c r="AG1937" s="284"/>
    </row>
    <row r="1938" spans="1:33" ht="26.4">
      <c r="A1938" s="284"/>
      <c r="B1938" s="284"/>
      <c r="C1938" s="284"/>
      <c r="D1938" s="284"/>
      <c r="E1938" s="284"/>
      <c r="F1938" s="284"/>
      <c r="G1938" s="284"/>
      <c r="H1938" s="284"/>
      <c r="I1938" s="284"/>
      <c r="J1938" s="375"/>
      <c r="K1938" s="375"/>
      <c r="L1938" s="375"/>
      <c r="M1938" s="368"/>
      <c r="N1938" s="368"/>
      <c r="O1938" s="370"/>
      <c r="T1938" s="349"/>
      <c r="V1938" s="378"/>
      <c r="W1938" s="64" ph="1"/>
      <c r="X1938" s="241"/>
      <c r="Y1938" s="284"/>
      <c r="Z1938" s="207"/>
      <c r="AA1938" s="284"/>
      <c r="AB1938" s="284"/>
      <c r="AC1938" s="284"/>
      <c r="AD1938" s="284"/>
      <c r="AE1938" s="284"/>
      <c r="AF1938" s="284"/>
      <c r="AG1938" s="284"/>
    </row>
    <row r="1939" spans="1:33" ht="26.4">
      <c r="A1939" s="284"/>
      <c r="B1939" s="284"/>
      <c r="C1939" s="284"/>
      <c r="D1939" s="284"/>
      <c r="E1939" s="284"/>
      <c r="F1939" s="284"/>
      <c r="G1939" s="284"/>
      <c r="H1939" s="284"/>
      <c r="I1939" s="284"/>
      <c r="J1939" s="375"/>
      <c r="K1939" s="375"/>
      <c r="L1939" s="375"/>
      <c r="M1939" s="368"/>
      <c r="N1939" s="368"/>
      <c r="O1939" s="370"/>
      <c r="T1939" s="349"/>
      <c r="V1939" s="378"/>
      <c r="W1939" s="64" ph="1"/>
      <c r="X1939" s="241"/>
      <c r="Y1939" s="284"/>
      <c r="Z1939" s="207"/>
      <c r="AA1939" s="284"/>
      <c r="AB1939" s="284"/>
      <c r="AC1939" s="284"/>
      <c r="AD1939" s="284"/>
      <c r="AE1939" s="284"/>
      <c r="AF1939" s="284"/>
      <c r="AG1939" s="284"/>
    </row>
    <row r="1940" spans="1:33" ht="26.4">
      <c r="A1940" s="284"/>
      <c r="B1940" s="284"/>
      <c r="C1940" s="284"/>
      <c r="D1940" s="284"/>
      <c r="E1940" s="284"/>
      <c r="F1940" s="284"/>
      <c r="G1940" s="284"/>
      <c r="H1940" s="284"/>
      <c r="I1940" s="284"/>
      <c r="J1940" s="375"/>
      <c r="K1940" s="375"/>
      <c r="L1940" s="375"/>
      <c r="M1940" s="368"/>
      <c r="N1940" s="368"/>
      <c r="O1940" s="370"/>
      <c r="T1940" s="349"/>
      <c r="V1940" s="378"/>
      <c r="W1940" s="64" ph="1"/>
      <c r="X1940" s="241"/>
      <c r="Y1940" s="284"/>
      <c r="Z1940" s="207"/>
      <c r="AA1940" s="284"/>
      <c r="AB1940" s="284"/>
      <c r="AC1940" s="284"/>
      <c r="AD1940" s="284"/>
      <c r="AE1940" s="284"/>
      <c r="AF1940" s="284"/>
      <c r="AG1940" s="284"/>
    </row>
    <row r="1941" spans="1:33" ht="26.4">
      <c r="A1941" s="284"/>
      <c r="B1941" s="284"/>
      <c r="C1941" s="284"/>
      <c r="D1941" s="284"/>
      <c r="E1941" s="284"/>
      <c r="F1941" s="284"/>
      <c r="G1941" s="284"/>
      <c r="H1941" s="284"/>
      <c r="I1941" s="284"/>
      <c r="J1941" s="375"/>
      <c r="K1941" s="375"/>
      <c r="L1941" s="375"/>
      <c r="M1941" s="368"/>
      <c r="N1941" s="368"/>
      <c r="O1941" s="370"/>
      <c r="T1941" s="349"/>
      <c r="V1941" s="378"/>
      <c r="W1941" s="64" ph="1"/>
      <c r="X1941" s="241"/>
      <c r="Y1941" s="284"/>
      <c r="Z1941" s="207"/>
      <c r="AA1941" s="284"/>
      <c r="AB1941" s="284"/>
      <c r="AC1941" s="284"/>
      <c r="AD1941" s="284"/>
      <c r="AE1941" s="284"/>
      <c r="AF1941" s="284"/>
      <c r="AG1941" s="284"/>
    </row>
    <row r="1942" spans="1:33" ht="26.4">
      <c r="A1942" s="284"/>
      <c r="B1942" s="284"/>
      <c r="C1942" s="284"/>
      <c r="D1942" s="284"/>
      <c r="E1942" s="284"/>
      <c r="F1942" s="284"/>
      <c r="G1942" s="284"/>
      <c r="H1942" s="284"/>
      <c r="I1942" s="284"/>
      <c r="J1942" s="375"/>
      <c r="K1942" s="375"/>
      <c r="L1942" s="375"/>
      <c r="M1942" s="368"/>
      <c r="N1942" s="368"/>
      <c r="O1942" s="370"/>
      <c r="T1942" s="349"/>
      <c r="V1942" s="378"/>
      <c r="W1942" s="64" ph="1"/>
      <c r="X1942" s="241"/>
      <c r="Y1942" s="284"/>
      <c r="Z1942" s="207"/>
      <c r="AA1942" s="284"/>
      <c r="AB1942" s="284"/>
      <c r="AC1942" s="284"/>
      <c r="AD1942" s="284"/>
      <c r="AE1942" s="284"/>
      <c r="AF1942" s="284"/>
      <c r="AG1942" s="284"/>
    </row>
    <row r="1943" spans="1:33" ht="26.4">
      <c r="A1943" s="284"/>
      <c r="B1943" s="284"/>
      <c r="C1943" s="284"/>
      <c r="D1943" s="284"/>
      <c r="E1943" s="284"/>
      <c r="F1943" s="284"/>
      <c r="G1943" s="284"/>
      <c r="H1943" s="284"/>
      <c r="I1943" s="284"/>
      <c r="J1943" s="375"/>
      <c r="K1943" s="375"/>
      <c r="L1943" s="375"/>
      <c r="M1943" s="368"/>
      <c r="N1943" s="368"/>
      <c r="O1943" s="370"/>
      <c r="T1943" s="349"/>
      <c r="V1943" s="378"/>
      <c r="W1943" s="64" ph="1"/>
      <c r="X1943" s="241"/>
      <c r="Y1943" s="284"/>
      <c r="Z1943" s="207"/>
      <c r="AA1943" s="284"/>
      <c r="AB1943" s="284"/>
      <c r="AC1943" s="284"/>
      <c r="AD1943" s="284"/>
      <c r="AE1943" s="284"/>
      <c r="AF1943" s="284"/>
      <c r="AG1943" s="284"/>
    </row>
    <row r="1944" spans="1:33" ht="26.4">
      <c r="A1944" s="284"/>
      <c r="B1944" s="284"/>
      <c r="C1944" s="284"/>
      <c r="D1944" s="284"/>
      <c r="E1944" s="284"/>
      <c r="F1944" s="284"/>
      <c r="G1944" s="284"/>
      <c r="H1944" s="284"/>
      <c r="I1944" s="284"/>
      <c r="J1944" s="375"/>
      <c r="K1944" s="375"/>
      <c r="L1944" s="375"/>
      <c r="M1944" s="368"/>
      <c r="N1944" s="368"/>
      <c r="O1944" s="370"/>
      <c r="T1944" s="349"/>
      <c r="V1944" s="378"/>
      <c r="W1944" s="64" ph="1"/>
      <c r="X1944" s="241"/>
      <c r="Y1944" s="284"/>
      <c r="Z1944" s="207"/>
      <c r="AA1944" s="284"/>
      <c r="AB1944" s="284"/>
      <c r="AC1944" s="284"/>
      <c r="AD1944" s="284"/>
      <c r="AE1944" s="284"/>
      <c r="AF1944" s="284"/>
      <c r="AG1944" s="284"/>
    </row>
    <row r="1945" spans="1:33" ht="26.4">
      <c r="A1945" s="284"/>
      <c r="B1945" s="284"/>
      <c r="C1945" s="284"/>
      <c r="D1945" s="284"/>
      <c r="E1945" s="284"/>
      <c r="F1945" s="284"/>
      <c r="G1945" s="284"/>
      <c r="H1945" s="284"/>
      <c r="I1945" s="284"/>
      <c r="J1945" s="375"/>
      <c r="K1945" s="375"/>
      <c r="L1945" s="375"/>
      <c r="M1945" s="368"/>
      <c r="N1945" s="368"/>
      <c r="O1945" s="370"/>
      <c r="T1945" s="349"/>
      <c r="V1945" s="378"/>
      <c r="W1945" s="64" ph="1"/>
      <c r="X1945" s="241"/>
      <c r="Y1945" s="284"/>
      <c r="Z1945" s="207"/>
      <c r="AA1945" s="284"/>
      <c r="AB1945" s="284"/>
      <c r="AC1945" s="284"/>
      <c r="AD1945" s="284"/>
      <c r="AE1945" s="284"/>
      <c r="AF1945" s="284"/>
      <c r="AG1945" s="284"/>
    </row>
    <row r="1946" spans="1:33" ht="26.4">
      <c r="A1946" s="284"/>
      <c r="B1946" s="284"/>
      <c r="C1946" s="284"/>
      <c r="D1946" s="284"/>
      <c r="E1946" s="284"/>
      <c r="F1946" s="284"/>
      <c r="G1946" s="284"/>
      <c r="H1946" s="284"/>
      <c r="I1946" s="284"/>
      <c r="J1946" s="375"/>
      <c r="K1946" s="375"/>
      <c r="L1946" s="375"/>
      <c r="M1946" s="368"/>
      <c r="N1946" s="368"/>
      <c r="O1946" s="370"/>
      <c r="T1946" s="349"/>
      <c r="V1946" s="378"/>
      <c r="W1946" s="64" ph="1"/>
      <c r="X1946" s="241"/>
      <c r="Y1946" s="284"/>
      <c r="Z1946" s="207"/>
      <c r="AA1946" s="284"/>
      <c r="AB1946" s="284"/>
      <c r="AC1946" s="284"/>
      <c r="AD1946" s="284"/>
      <c r="AE1946" s="284"/>
      <c r="AF1946" s="284"/>
      <c r="AG1946" s="284"/>
    </row>
    <row r="1947" spans="1:33" ht="26.4">
      <c r="A1947" s="284"/>
      <c r="B1947" s="284"/>
      <c r="C1947" s="284"/>
      <c r="D1947" s="284"/>
      <c r="E1947" s="284"/>
      <c r="F1947" s="284"/>
      <c r="G1947" s="284"/>
      <c r="H1947" s="284"/>
      <c r="I1947" s="284"/>
      <c r="J1947" s="375"/>
      <c r="K1947" s="375"/>
      <c r="L1947" s="375"/>
      <c r="M1947" s="368"/>
      <c r="N1947" s="368"/>
      <c r="O1947" s="370"/>
      <c r="T1947" s="349"/>
      <c r="V1947" s="378"/>
      <c r="W1947" s="64" ph="1"/>
      <c r="X1947" s="241"/>
      <c r="Y1947" s="284"/>
      <c r="Z1947" s="207"/>
      <c r="AA1947" s="284"/>
      <c r="AB1947" s="284"/>
      <c r="AC1947" s="284"/>
      <c r="AD1947" s="284"/>
      <c r="AE1947" s="284"/>
      <c r="AF1947" s="284"/>
      <c r="AG1947" s="284"/>
    </row>
    <row r="1948" spans="1:33" ht="26.4">
      <c r="A1948" s="284"/>
      <c r="B1948" s="284"/>
      <c r="C1948" s="284"/>
      <c r="D1948" s="284"/>
      <c r="E1948" s="284"/>
      <c r="F1948" s="284"/>
      <c r="G1948" s="284"/>
      <c r="H1948" s="284"/>
      <c r="I1948" s="284"/>
      <c r="J1948" s="375"/>
      <c r="K1948" s="375"/>
      <c r="L1948" s="375"/>
      <c r="M1948" s="368"/>
      <c r="N1948" s="368"/>
      <c r="O1948" s="370"/>
      <c r="T1948" s="349"/>
      <c r="V1948" s="378"/>
      <c r="W1948" s="64" ph="1"/>
      <c r="X1948" s="241"/>
      <c r="Y1948" s="284"/>
      <c r="Z1948" s="207"/>
      <c r="AA1948" s="284"/>
      <c r="AB1948" s="284"/>
      <c r="AC1948" s="284"/>
      <c r="AD1948" s="284"/>
      <c r="AE1948" s="284"/>
      <c r="AF1948" s="284"/>
      <c r="AG1948" s="284"/>
    </row>
    <row r="1949" spans="1:33" ht="26.4">
      <c r="A1949" s="284"/>
      <c r="B1949" s="284"/>
      <c r="C1949" s="284"/>
      <c r="D1949" s="284"/>
      <c r="E1949" s="284"/>
      <c r="F1949" s="284"/>
      <c r="G1949" s="284"/>
      <c r="H1949" s="284"/>
      <c r="I1949" s="284"/>
      <c r="J1949" s="375"/>
      <c r="K1949" s="375"/>
      <c r="L1949" s="375"/>
      <c r="M1949" s="368"/>
      <c r="N1949" s="368"/>
      <c r="O1949" s="370"/>
      <c r="T1949" s="349"/>
      <c r="V1949" s="378"/>
      <c r="W1949" s="64" ph="1"/>
      <c r="X1949" s="241"/>
      <c r="Y1949" s="284"/>
      <c r="Z1949" s="207"/>
      <c r="AA1949" s="284"/>
      <c r="AB1949" s="284"/>
      <c r="AC1949" s="284"/>
      <c r="AD1949" s="284"/>
      <c r="AE1949" s="284"/>
      <c r="AF1949" s="284"/>
      <c r="AG1949" s="284"/>
    </row>
    <row r="1950" spans="1:33" ht="26.4">
      <c r="A1950" s="284"/>
      <c r="B1950" s="284"/>
      <c r="C1950" s="284"/>
      <c r="D1950" s="284"/>
      <c r="E1950" s="284"/>
      <c r="F1950" s="284"/>
      <c r="G1950" s="284"/>
      <c r="H1950" s="284"/>
      <c r="I1950" s="284"/>
      <c r="J1950" s="375"/>
      <c r="K1950" s="375"/>
      <c r="L1950" s="375"/>
      <c r="M1950" s="368"/>
      <c r="N1950" s="368"/>
      <c r="O1950" s="370"/>
      <c r="T1950" s="349"/>
      <c r="V1950" s="378"/>
      <c r="W1950" s="64" ph="1"/>
      <c r="X1950" s="241"/>
      <c r="Y1950" s="284"/>
      <c r="Z1950" s="207"/>
      <c r="AA1950" s="284"/>
      <c r="AB1950" s="284"/>
      <c r="AC1950" s="284"/>
      <c r="AD1950" s="284"/>
      <c r="AE1950" s="284"/>
      <c r="AF1950" s="284"/>
      <c r="AG1950" s="284"/>
    </row>
    <row r="1951" spans="1:33" ht="26.4">
      <c r="A1951" s="284"/>
      <c r="B1951" s="284"/>
      <c r="C1951" s="284"/>
      <c r="D1951" s="284"/>
      <c r="E1951" s="284"/>
      <c r="F1951" s="284"/>
      <c r="G1951" s="284"/>
      <c r="H1951" s="284"/>
      <c r="I1951" s="284"/>
      <c r="J1951" s="375"/>
      <c r="K1951" s="375"/>
      <c r="L1951" s="375"/>
      <c r="M1951" s="368"/>
      <c r="N1951" s="368"/>
      <c r="O1951" s="370"/>
      <c r="T1951" s="349"/>
      <c r="V1951" s="378"/>
      <c r="W1951" s="64" ph="1"/>
      <c r="X1951" s="241"/>
      <c r="Y1951" s="284"/>
      <c r="Z1951" s="207"/>
      <c r="AA1951" s="284"/>
      <c r="AB1951" s="284"/>
      <c r="AC1951" s="284"/>
      <c r="AD1951" s="284"/>
      <c r="AE1951" s="284"/>
      <c r="AF1951" s="284"/>
      <c r="AG1951" s="284"/>
    </row>
    <row r="1952" spans="1:33" ht="26.4">
      <c r="A1952" s="284"/>
      <c r="B1952" s="284"/>
      <c r="C1952" s="284"/>
      <c r="D1952" s="284"/>
      <c r="E1952" s="284"/>
      <c r="F1952" s="284"/>
      <c r="G1952" s="284"/>
      <c r="H1952" s="284"/>
      <c r="I1952" s="284"/>
      <c r="J1952" s="375"/>
      <c r="K1952" s="375"/>
      <c r="L1952" s="375"/>
      <c r="M1952" s="368"/>
      <c r="N1952" s="368"/>
      <c r="O1952" s="370"/>
      <c r="T1952" s="349"/>
      <c r="V1952" s="378"/>
      <c r="W1952" s="64" ph="1"/>
      <c r="X1952" s="241"/>
      <c r="Y1952" s="284"/>
      <c r="Z1952" s="207"/>
      <c r="AA1952" s="284"/>
      <c r="AB1952" s="284"/>
      <c r="AC1952" s="284"/>
      <c r="AD1952" s="284"/>
      <c r="AE1952" s="284"/>
      <c r="AF1952" s="284"/>
      <c r="AG1952" s="284"/>
    </row>
    <row r="1953" spans="1:33" ht="26.4">
      <c r="A1953" s="284"/>
      <c r="B1953" s="284"/>
      <c r="C1953" s="284"/>
      <c r="D1953" s="284"/>
      <c r="E1953" s="284"/>
      <c r="F1953" s="284"/>
      <c r="G1953" s="284"/>
      <c r="H1953" s="284"/>
      <c r="I1953" s="284"/>
      <c r="J1953" s="375"/>
      <c r="K1953" s="375"/>
      <c r="L1953" s="375"/>
      <c r="M1953" s="368"/>
      <c r="N1953" s="368"/>
      <c r="O1953" s="370"/>
      <c r="T1953" s="349"/>
      <c r="V1953" s="378"/>
      <c r="W1953" s="64" ph="1"/>
      <c r="X1953" s="241"/>
      <c r="Y1953" s="284"/>
      <c r="Z1953" s="207"/>
      <c r="AA1953" s="284"/>
      <c r="AB1953" s="284"/>
      <c r="AC1953" s="284"/>
      <c r="AD1953" s="284"/>
      <c r="AE1953" s="284"/>
      <c r="AF1953" s="284"/>
      <c r="AG1953" s="284"/>
    </row>
    <row r="1954" spans="1:33" ht="26.4">
      <c r="A1954" s="284"/>
      <c r="B1954" s="284"/>
      <c r="C1954" s="284"/>
      <c r="D1954" s="284"/>
      <c r="E1954" s="284"/>
      <c r="F1954" s="284"/>
      <c r="G1954" s="284"/>
      <c r="H1954" s="284"/>
      <c r="I1954" s="284"/>
      <c r="J1954" s="375"/>
      <c r="K1954" s="375"/>
      <c r="L1954" s="375"/>
      <c r="M1954" s="368"/>
      <c r="N1954" s="368"/>
      <c r="O1954" s="370"/>
      <c r="T1954" s="349"/>
      <c r="V1954" s="378"/>
      <c r="W1954" s="64" ph="1"/>
      <c r="X1954" s="241"/>
      <c r="Y1954" s="284"/>
      <c r="Z1954" s="207"/>
      <c r="AA1954" s="284"/>
      <c r="AB1954" s="284"/>
      <c r="AC1954" s="284"/>
      <c r="AD1954" s="284"/>
      <c r="AE1954" s="284"/>
      <c r="AF1954" s="284"/>
      <c r="AG1954" s="284"/>
    </row>
    <row r="1955" spans="1:33" ht="26.4">
      <c r="A1955" s="284"/>
      <c r="B1955" s="284"/>
      <c r="C1955" s="284"/>
      <c r="D1955" s="284"/>
      <c r="E1955" s="284"/>
      <c r="F1955" s="284"/>
      <c r="G1955" s="284"/>
      <c r="H1955" s="284"/>
      <c r="I1955" s="284"/>
      <c r="J1955" s="375"/>
      <c r="K1955" s="375"/>
      <c r="L1955" s="375"/>
      <c r="M1955" s="368"/>
      <c r="N1955" s="368"/>
      <c r="O1955" s="370"/>
      <c r="T1955" s="349"/>
      <c r="V1955" s="378"/>
      <c r="W1955" s="64" ph="1"/>
      <c r="X1955" s="241"/>
      <c r="Y1955" s="284"/>
      <c r="Z1955" s="207"/>
      <c r="AA1955" s="284"/>
      <c r="AB1955" s="284"/>
      <c r="AC1955" s="284"/>
      <c r="AD1955" s="284"/>
      <c r="AE1955" s="284"/>
      <c r="AF1955" s="284"/>
      <c r="AG1955" s="284"/>
    </row>
    <row r="1956" spans="1:33" ht="26.4">
      <c r="A1956" s="284"/>
      <c r="B1956" s="284"/>
      <c r="C1956" s="284"/>
      <c r="D1956" s="284"/>
      <c r="E1956" s="284"/>
      <c r="F1956" s="284"/>
      <c r="G1956" s="284"/>
      <c r="H1956" s="284"/>
      <c r="I1956" s="284"/>
      <c r="J1956" s="375"/>
      <c r="K1956" s="375"/>
      <c r="L1956" s="375"/>
      <c r="M1956" s="368"/>
      <c r="N1956" s="368"/>
      <c r="O1956" s="370"/>
      <c r="T1956" s="349"/>
      <c r="V1956" s="378"/>
      <c r="W1956" s="64" ph="1"/>
      <c r="X1956" s="241"/>
      <c r="Y1956" s="284"/>
      <c r="Z1956" s="207"/>
      <c r="AA1956" s="284"/>
      <c r="AB1956" s="284"/>
      <c r="AC1956" s="284"/>
      <c r="AD1956" s="284"/>
      <c r="AE1956" s="284"/>
      <c r="AF1956" s="284"/>
      <c r="AG1956" s="284"/>
    </row>
    <row r="1957" spans="1:33" ht="26.4">
      <c r="A1957" s="284"/>
      <c r="B1957" s="284"/>
      <c r="C1957" s="284"/>
      <c r="D1957" s="284"/>
      <c r="E1957" s="284"/>
      <c r="F1957" s="284"/>
      <c r="G1957" s="284"/>
      <c r="H1957" s="284"/>
      <c r="I1957" s="284"/>
      <c r="J1957" s="375"/>
      <c r="K1957" s="375"/>
      <c r="L1957" s="375"/>
      <c r="M1957" s="368"/>
      <c r="N1957" s="368"/>
      <c r="O1957" s="370"/>
      <c r="T1957" s="349"/>
      <c r="V1957" s="378"/>
      <c r="W1957" s="64" ph="1"/>
      <c r="X1957" s="241"/>
      <c r="Y1957" s="284"/>
      <c r="Z1957" s="207"/>
      <c r="AA1957" s="284"/>
      <c r="AB1957" s="284"/>
      <c r="AC1957" s="284"/>
      <c r="AD1957" s="284"/>
      <c r="AE1957" s="284"/>
      <c r="AF1957" s="284"/>
      <c r="AG1957" s="284"/>
    </row>
    <row r="1958" spans="1:33" ht="26.4">
      <c r="A1958" s="284"/>
      <c r="B1958" s="284"/>
      <c r="C1958" s="284"/>
      <c r="D1958" s="284"/>
      <c r="E1958" s="284"/>
      <c r="F1958" s="284"/>
      <c r="G1958" s="284"/>
      <c r="H1958" s="284"/>
      <c r="I1958" s="284"/>
      <c r="J1958" s="375"/>
      <c r="K1958" s="375"/>
      <c r="L1958" s="375"/>
      <c r="M1958" s="368"/>
      <c r="N1958" s="368"/>
      <c r="O1958" s="370"/>
      <c r="T1958" s="349"/>
      <c r="V1958" s="378"/>
      <c r="W1958" s="64" ph="1"/>
      <c r="X1958" s="241"/>
      <c r="Y1958" s="284"/>
      <c r="Z1958" s="207"/>
      <c r="AA1958" s="284"/>
      <c r="AB1958" s="284"/>
      <c r="AC1958" s="284"/>
      <c r="AD1958" s="284"/>
      <c r="AE1958" s="284"/>
      <c r="AF1958" s="284"/>
      <c r="AG1958" s="284"/>
    </row>
    <row r="1959" spans="1:33" ht="26.4">
      <c r="A1959" s="284"/>
      <c r="B1959" s="284"/>
      <c r="C1959" s="284"/>
      <c r="D1959" s="284"/>
      <c r="E1959" s="284"/>
      <c r="F1959" s="284"/>
      <c r="G1959" s="284"/>
      <c r="H1959" s="284"/>
      <c r="I1959" s="284"/>
      <c r="J1959" s="375"/>
      <c r="K1959" s="375"/>
      <c r="L1959" s="375"/>
      <c r="M1959" s="368"/>
      <c r="N1959" s="368"/>
      <c r="O1959" s="370"/>
      <c r="T1959" s="349"/>
      <c r="V1959" s="378"/>
      <c r="W1959" s="64" ph="1"/>
      <c r="X1959" s="241"/>
      <c r="Y1959" s="284"/>
      <c r="Z1959" s="207"/>
      <c r="AA1959" s="284"/>
      <c r="AB1959" s="284"/>
      <c r="AC1959" s="284"/>
      <c r="AD1959" s="284"/>
      <c r="AE1959" s="284"/>
      <c r="AF1959" s="284"/>
      <c r="AG1959" s="284"/>
    </row>
    <row r="1960" spans="1:33" ht="26.4">
      <c r="A1960" s="284"/>
      <c r="B1960" s="284"/>
      <c r="C1960" s="284"/>
      <c r="D1960" s="284"/>
      <c r="E1960" s="284"/>
      <c r="F1960" s="284"/>
      <c r="G1960" s="284"/>
      <c r="H1960" s="284"/>
      <c r="I1960" s="284"/>
      <c r="J1960" s="375"/>
      <c r="K1960" s="375"/>
      <c r="L1960" s="375"/>
      <c r="M1960" s="368"/>
      <c r="N1960" s="368"/>
      <c r="O1960" s="370"/>
      <c r="T1960" s="349"/>
      <c r="V1960" s="378"/>
      <c r="W1960" s="64" ph="1"/>
      <c r="X1960" s="241"/>
      <c r="Y1960" s="284"/>
      <c r="Z1960" s="207"/>
      <c r="AA1960" s="284"/>
      <c r="AB1960" s="284"/>
      <c r="AC1960" s="284"/>
      <c r="AD1960" s="284"/>
      <c r="AE1960" s="284"/>
      <c r="AF1960" s="284"/>
      <c r="AG1960" s="284"/>
    </row>
    <row r="1961" spans="1:33" ht="26.4">
      <c r="A1961" s="284"/>
      <c r="B1961" s="284"/>
      <c r="C1961" s="284"/>
      <c r="D1961" s="284"/>
      <c r="E1961" s="284"/>
      <c r="F1961" s="284"/>
      <c r="G1961" s="284"/>
      <c r="H1961" s="284"/>
      <c r="I1961" s="284"/>
      <c r="J1961" s="375"/>
      <c r="K1961" s="375"/>
      <c r="L1961" s="375"/>
      <c r="M1961" s="368"/>
      <c r="N1961" s="368"/>
      <c r="O1961" s="370"/>
      <c r="T1961" s="349"/>
      <c r="V1961" s="378"/>
      <c r="W1961" s="64" ph="1"/>
      <c r="X1961" s="241"/>
      <c r="Y1961" s="284"/>
      <c r="Z1961" s="207"/>
      <c r="AA1961" s="284"/>
      <c r="AB1961" s="284"/>
      <c r="AC1961" s="284"/>
      <c r="AD1961" s="284"/>
      <c r="AE1961" s="284"/>
      <c r="AF1961" s="284"/>
      <c r="AG1961" s="284"/>
    </row>
    <row r="1962" spans="1:33" ht="26.4">
      <c r="A1962" s="284"/>
      <c r="B1962" s="284"/>
      <c r="C1962" s="284"/>
      <c r="D1962" s="284"/>
      <c r="E1962" s="284"/>
      <c r="F1962" s="284"/>
      <c r="G1962" s="284"/>
      <c r="H1962" s="284"/>
      <c r="I1962" s="284"/>
      <c r="J1962" s="375"/>
      <c r="K1962" s="375"/>
      <c r="L1962" s="375"/>
      <c r="M1962" s="368"/>
      <c r="N1962" s="368"/>
      <c r="O1962" s="370"/>
      <c r="T1962" s="349"/>
      <c r="V1962" s="378"/>
      <c r="W1962" s="64" ph="1"/>
      <c r="X1962" s="241"/>
      <c r="Y1962" s="284"/>
      <c r="Z1962" s="207"/>
      <c r="AA1962" s="284"/>
      <c r="AB1962" s="284"/>
      <c r="AC1962" s="284"/>
      <c r="AD1962" s="284"/>
      <c r="AE1962" s="284"/>
      <c r="AF1962" s="284"/>
      <c r="AG1962" s="284"/>
    </row>
    <row r="1963" spans="1:33" ht="26.4">
      <c r="A1963" s="284"/>
      <c r="B1963" s="284"/>
      <c r="C1963" s="284"/>
      <c r="D1963" s="284"/>
      <c r="E1963" s="284"/>
      <c r="F1963" s="284"/>
      <c r="G1963" s="284"/>
      <c r="H1963" s="284"/>
      <c r="I1963" s="284"/>
      <c r="J1963" s="375"/>
      <c r="K1963" s="375"/>
      <c r="L1963" s="375"/>
      <c r="M1963" s="368"/>
      <c r="N1963" s="368"/>
      <c r="O1963" s="370"/>
      <c r="T1963" s="349"/>
      <c r="V1963" s="378"/>
      <c r="W1963" s="64" ph="1"/>
      <c r="X1963" s="241"/>
      <c r="Y1963" s="284"/>
      <c r="Z1963" s="207"/>
      <c r="AA1963" s="284"/>
      <c r="AB1963" s="284"/>
      <c r="AC1963" s="284"/>
      <c r="AD1963" s="284"/>
      <c r="AE1963" s="284"/>
      <c r="AF1963" s="284"/>
      <c r="AG1963" s="284"/>
    </row>
    <row r="1964" spans="1:33" ht="26.4">
      <c r="A1964" s="284"/>
      <c r="B1964" s="284"/>
      <c r="C1964" s="284"/>
      <c r="D1964" s="284"/>
      <c r="E1964" s="284"/>
      <c r="F1964" s="284"/>
      <c r="G1964" s="284"/>
      <c r="H1964" s="284"/>
      <c r="I1964" s="284"/>
      <c r="J1964" s="375"/>
      <c r="K1964" s="375"/>
      <c r="L1964" s="375"/>
      <c r="M1964" s="368"/>
      <c r="N1964" s="368"/>
      <c r="O1964" s="370"/>
      <c r="T1964" s="349"/>
      <c r="V1964" s="378"/>
      <c r="W1964" s="64" ph="1"/>
      <c r="X1964" s="241"/>
      <c r="Y1964" s="284"/>
      <c r="Z1964" s="207"/>
      <c r="AA1964" s="284"/>
      <c r="AB1964" s="284"/>
      <c r="AC1964" s="284"/>
      <c r="AD1964" s="284"/>
      <c r="AE1964" s="284"/>
      <c r="AF1964" s="284"/>
      <c r="AG1964" s="284"/>
    </row>
    <row r="1965" spans="1:33" ht="26.4">
      <c r="A1965" s="284"/>
      <c r="B1965" s="284"/>
      <c r="C1965" s="284"/>
      <c r="D1965" s="284"/>
      <c r="E1965" s="284"/>
      <c r="F1965" s="284"/>
      <c r="G1965" s="284"/>
      <c r="H1965" s="284"/>
      <c r="I1965" s="284"/>
      <c r="J1965" s="375"/>
      <c r="K1965" s="375"/>
      <c r="L1965" s="375"/>
      <c r="M1965" s="368"/>
      <c r="N1965" s="368"/>
      <c r="O1965" s="370"/>
      <c r="T1965" s="349"/>
      <c r="V1965" s="378"/>
      <c r="W1965" s="64" ph="1"/>
      <c r="X1965" s="241"/>
      <c r="Y1965" s="284"/>
      <c r="Z1965" s="207"/>
      <c r="AA1965" s="284"/>
      <c r="AB1965" s="284"/>
      <c r="AC1965" s="284"/>
      <c r="AD1965" s="284"/>
      <c r="AE1965" s="284"/>
      <c r="AF1965" s="284"/>
      <c r="AG1965" s="284"/>
    </row>
    <row r="1966" spans="1:33" ht="26.4">
      <c r="A1966" s="284"/>
      <c r="B1966" s="284"/>
      <c r="C1966" s="284"/>
      <c r="D1966" s="284"/>
      <c r="E1966" s="284"/>
      <c r="F1966" s="284"/>
      <c r="G1966" s="284"/>
      <c r="H1966" s="284"/>
      <c r="I1966" s="284"/>
      <c r="J1966" s="375"/>
      <c r="K1966" s="375"/>
      <c r="L1966" s="375"/>
      <c r="M1966" s="368"/>
      <c r="N1966" s="368"/>
      <c r="O1966" s="370"/>
      <c r="T1966" s="349"/>
      <c r="V1966" s="378"/>
      <c r="W1966" s="64" ph="1"/>
      <c r="X1966" s="241"/>
      <c r="Y1966" s="284"/>
      <c r="Z1966" s="207"/>
      <c r="AA1966" s="284"/>
      <c r="AB1966" s="284"/>
      <c r="AC1966" s="284"/>
      <c r="AD1966" s="284"/>
      <c r="AE1966" s="284"/>
      <c r="AF1966" s="284"/>
      <c r="AG1966" s="284"/>
    </row>
    <row r="1967" spans="1:33" ht="26.4">
      <c r="A1967" s="284"/>
      <c r="B1967" s="284"/>
      <c r="C1967" s="284"/>
      <c r="D1967" s="284"/>
      <c r="E1967" s="284"/>
      <c r="F1967" s="284"/>
      <c r="G1967" s="284"/>
      <c r="H1967" s="284"/>
      <c r="I1967" s="284"/>
      <c r="J1967" s="375"/>
      <c r="K1967" s="375"/>
      <c r="L1967" s="375"/>
      <c r="M1967" s="368"/>
      <c r="N1967" s="368"/>
      <c r="O1967" s="370"/>
      <c r="T1967" s="349"/>
      <c r="V1967" s="378"/>
      <c r="W1967" s="64" ph="1"/>
      <c r="X1967" s="241"/>
      <c r="Y1967" s="284"/>
      <c r="Z1967" s="207"/>
      <c r="AA1967" s="284"/>
      <c r="AB1967" s="284"/>
      <c r="AC1967" s="284"/>
      <c r="AD1967" s="284"/>
      <c r="AE1967" s="284"/>
      <c r="AF1967" s="284"/>
      <c r="AG1967" s="284"/>
    </row>
    <row r="1968" spans="1:33" ht="26.4">
      <c r="A1968" s="284"/>
      <c r="B1968" s="284"/>
      <c r="C1968" s="284"/>
      <c r="D1968" s="284"/>
      <c r="E1968" s="284"/>
      <c r="F1968" s="284"/>
      <c r="G1968" s="284"/>
      <c r="H1968" s="284"/>
      <c r="I1968" s="284"/>
      <c r="J1968" s="375"/>
      <c r="K1968" s="375"/>
      <c r="L1968" s="375"/>
      <c r="M1968" s="368"/>
      <c r="N1968" s="368"/>
      <c r="O1968" s="370"/>
      <c r="T1968" s="349"/>
      <c r="V1968" s="378"/>
      <c r="W1968" s="64" ph="1"/>
      <c r="X1968" s="241"/>
      <c r="Y1968" s="284"/>
      <c r="Z1968" s="207"/>
      <c r="AA1968" s="284"/>
      <c r="AB1968" s="284"/>
      <c r="AC1968" s="284"/>
      <c r="AD1968" s="284"/>
      <c r="AE1968" s="284"/>
      <c r="AF1968" s="284"/>
      <c r="AG1968" s="284"/>
    </row>
    <row r="1969" spans="1:33" ht="26.4">
      <c r="A1969" s="284"/>
      <c r="B1969" s="284"/>
      <c r="C1969" s="284"/>
      <c r="D1969" s="284"/>
      <c r="E1969" s="284"/>
      <c r="F1969" s="284"/>
      <c r="G1969" s="284"/>
      <c r="H1969" s="284"/>
      <c r="I1969" s="284"/>
      <c r="J1969" s="375"/>
      <c r="K1969" s="375"/>
      <c r="L1969" s="375"/>
      <c r="M1969" s="368"/>
      <c r="N1969" s="368"/>
      <c r="O1969" s="370"/>
      <c r="T1969" s="349"/>
      <c r="V1969" s="378"/>
      <c r="W1969" s="64" ph="1"/>
      <c r="X1969" s="241"/>
      <c r="Y1969" s="284"/>
      <c r="Z1969" s="207"/>
      <c r="AA1969" s="284"/>
      <c r="AB1969" s="284"/>
      <c r="AC1969" s="284"/>
      <c r="AD1969" s="284"/>
      <c r="AE1969" s="284"/>
      <c r="AF1969" s="284"/>
      <c r="AG1969" s="284"/>
    </row>
    <row r="1970" spans="1:33" ht="26.4">
      <c r="A1970" s="284"/>
      <c r="B1970" s="284"/>
      <c r="C1970" s="284"/>
      <c r="D1970" s="284"/>
      <c r="E1970" s="284"/>
      <c r="F1970" s="284"/>
      <c r="G1970" s="284"/>
      <c r="H1970" s="284"/>
      <c r="I1970" s="284"/>
      <c r="J1970" s="375"/>
      <c r="K1970" s="375"/>
      <c r="L1970" s="375"/>
      <c r="M1970" s="368"/>
      <c r="N1970" s="368"/>
      <c r="O1970" s="370"/>
      <c r="T1970" s="349"/>
      <c r="V1970" s="378"/>
      <c r="W1970" s="64" ph="1"/>
      <c r="X1970" s="241"/>
      <c r="Y1970" s="284"/>
      <c r="Z1970" s="207"/>
      <c r="AA1970" s="284"/>
      <c r="AB1970" s="284"/>
      <c r="AC1970" s="284"/>
      <c r="AD1970" s="284"/>
      <c r="AE1970" s="284"/>
      <c r="AF1970" s="284"/>
      <c r="AG1970" s="284"/>
    </row>
    <row r="1971" spans="1:33" ht="26.4">
      <c r="A1971" s="284"/>
      <c r="B1971" s="284"/>
      <c r="C1971" s="284"/>
      <c r="D1971" s="284"/>
      <c r="E1971" s="284"/>
      <c r="F1971" s="284"/>
      <c r="G1971" s="284"/>
      <c r="H1971" s="284"/>
      <c r="I1971" s="284"/>
      <c r="J1971" s="375"/>
      <c r="K1971" s="375"/>
      <c r="L1971" s="375"/>
      <c r="M1971" s="368"/>
      <c r="N1971" s="368"/>
      <c r="O1971" s="370"/>
      <c r="T1971" s="349"/>
      <c r="V1971" s="378"/>
      <c r="W1971" s="64" ph="1"/>
      <c r="X1971" s="241"/>
      <c r="Y1971" s="284"/>
      <c r="Z1971" s="207"/>
      <c r="AA1971" s="284"/>
      <c r="AB1971" s="284"/>
      <c r="AC1971" s="284"/>
      <c r="AD1971" s="284"/>
      <c r="AE1971" s="284"/>
      <c r="AF1971" s="284"/>
      <c r="AG1971" s="284"/>
    </row>
    <row r="1972" spans="1:33" ht="26.4">
      <c r="A1972" s="284"/>
      <c r="B1972" s="284"/>
      <c r="C1972" s="284"/>
      <c r="D1972" s="284"/>
      <c r="E1972" s="284"/>
      <c r="F1972" s="284"/>
      <c r="G1972" s="284"/>
      <c r="H1972" s="284"/>
      <c r="I1972" s="284"/>
      <c r="J1972" s="375"/>
      <c r="K1972" s="375"/>
      <c r="L1972" s="375"/>
      <c r="M1972" s="368"/>
      <c r="N1972" s="368"/>
      <c r="O1972" s="370"/>
      <c r="T1972" s="349"/>
      <c r="V1972" s="378"/>
      <c r="W1972" s="64" ph="1"/>
      <c r="X1972" s="241"/>
      <c r="Y1972" s="284"/>
      <c r="Z1972" s="207"/>
      <c r="AA1972" s="284"/>
      <c r="AB1972" s="284"/>
      <c r="AC1972" s="284"/>
      <c r="AD1972" s="284"/>
      <c r="AE1972" s="284"/>
      <c r="AF1972" s="284"/>
      <c r="AG1972" s="284"/>
    </row>
    <row r="1973" spans="1:33" ht="26.4">
      <c r="A1973" s="284"/>
      <c r="B1973" s="284"/>
      <c r="C1973" s="284"/>
      <c r="D1973" s="284"/>
      <c r="E1973" s="284"/>
      <c r="F1973" s="284"/>
      <c r="G1973" s="284"/>
      <c r="H1973" s="284"/>
      <c r="I1973" s="284"/>
      <c r="J1973" s="375"/>
      <c r="K1973" s="375"/>
      <c r="L1973" s="375"/>
      <c r="M1973" s="368"/>
      <c r="N1973" s="368"/>
      <c r="O1973" s="370"/>
      <c r="T1973" s="349"/>
      <c r="V1973" s="378"/>
      <c r="W1973" s="64" ph="1"/>
      <c r="X1973" s="241"/>
      <c r="Y1973" s="284"/>
      <c r="Z1973" s="207"/>
      <c r="AA1973" s="284"/>
      <c r="AB1973" s="284"/>
      <c r="AC1973" s="284"/>
      <c r="AD1973" s="284"/>
      <c r="AE1973" s="284"/>
      <c r="AF1973" s="284"/>
      <c r="AG1973" s="284"/>
    </row>
    <row r="1974" spans="1:33" ht="26.4">
      <c r="A1974" s="284"/>
      <c r="B1974" s="284"/>
      <c r="C1974" s="284"/>
      <c r="D1974" s="284"/>
      <c r="E1974" s="284"/>
      <c r="F1974" s="284"/>
      <c r="G1974" s="284"/>
      <c r="H1974" s="284"/>
      <c r="I1974" s="284"/>
      <c r="J1974" s="375"/>
      <c r="K1974" s="375"/>
      <c r="L1974" s="375"/>
      <c r="M1974" s="368"/>
      <c r="N1974" s="368"/>
      <c r="O1974" s="370"/>
      <c r="T1974" s="349"/>
      <c r="V1974" s="378"/>
      <c r="W1974" s="64" ph="1"/>
      <c r="X1974" s="241"/>
      <c r="Y1974" s="284"/>
      <c r="Z1974" s="207"/>
      <c r="AA1974" s="284"/>
      <c r="AB1974" s="284"/>
      <c r="AC1974" s="284"/>
      <c r="AD1974" s="284"/>
      <c r="AE1974" s="284"/>
      <c r="AF1974" s="284"/>
      <c r="AG1974" s="284"/>
    </row>
    <row r="1975" spans="1:33" ht="26.4">
      <c r="A1975" s="284"/>
      <c r="B1975" s="284"/>
      <c r="C1975" s="284"/>
      <c r="D1975" s="284"/>
      <c r="E1975" s="284"/>
      <c r="F1975" s="284"/>
      <c r="G1975" s="284"/>
      <c r="H1975" s="284"/>
      <c r="I1975" s="284"/>
      <c r="J1975" s="375"/>
      <c r="K1975" s="375"/>
      <c r="L1975" s="375"/>
      <c r="M1975" s="368"/>
      <c r="N1975" s="368"/>
      <c r="O1975" s="370"/>
      <c r="T1975" s="349"/>
      <c r="V1975" s="378"/>
      <c r="W1975" s="64" ph="1"/>
      <c r="X1975" s="241"/>
      <c r="Y1975" s="284"/>
      <c r="Z1975" s="207"/>
      <c r="AA1975" s="284"/>
      <c r="AB1975" s="284"/>
      <c r="AC1975" s="284"/>
      <c r="AD1975" s="284"/>
      <c r="AE1975" s="284"/>
      <c r="AF1975" s="284"/>
      <c r="AG1975" s="284"/>
    </row>
    <row r="1976" spans="1:33" ht="26.4">
      <c r="A1976" s="284"/>
      <c r="B1976" s="284"/>
      <c r="C1976" s="284"/>
      <c r="D1976" s="284"/>
      <c r="E1976" s="284"/>
      <c r="F1976" s="284"/>
      <c r="G1976" s="284"/>
      <c r="H1976" s="284"/>
      <c r="I1976" s="284"/>
      <c r="J1976" s="375"/>
      <c r="K1976" s="375"/>
      <c r="L1976" s="375"/>
      <c r="M1976" s="368"/>
      <c r="N1976" s="368"/>
      <c r="O1976" s="370"/>
      <c r="T1976" s="349"/>
      <c r="V1976" s="378"/>
      <c r="W1976" s="64" ph="1"/>
      <c r="X1976" s="241"/>
      <c r="Y1976" s="284"/>
      <c r="Z1976" s="207"/>
      <c r="AA1976" s="284"/>
      <c r="AB1976" s="284"/>
      <c r="AC1976" s="284"/>
      <c r="AD1976" s="284"/>
      <c r="AE1976" s="284"/>
      <c r="AF1976" s="284"/>
      <c r="AG1976" s="284"/>
    </row>
    <row r="1977" spans="1:33" ht="26.4">
      <c r="A1977" s="284"/>
      <c r="B1977" s="284"/>
      <c r="C1977" s="284"/>
      <c r="D1977" s="284"/>
      <c r="E1977" s="284"/>
      <c r="F1977" s="284"/>
      <c r="G1977" s="284"/>
      <c r="H1977" s="284"/>
      <c r="I1977" s="284"/>
      <c r="J1977" s="375"/>
      <c r="K1977" s="375"/>
      <c r="L1977" s="375"/>
      <c r="M1977" s="368"/>
      <c r="N1977" s="368"/>
      <c r="O1977" s="370"/>
      <c r="T1977" s="349"/>
      <c r="V1977" s="378"/>
      <c r="W1977" s="64" ph="1"/>
      <c r="X1977" s="241"/>
      <c r="Y1977" s="284"/>
      <c r="Z1977" s="207"/>
      <c r="AA1977" s="284"/>
      <c r="AB1977" s="284"/>
      <c r="AC1977" s="284"/>
      <c r="AD1977" s="284"/>
      <c r="AE1977" s="284"/>
      <c r="AF1977" s="284"/>
      <c r="AG1977" s="284"/>
    </row>
    <row r="1978" spans="1:33" ht="26.4">
      <c r="A1978" s="284"/>
      <c r="B1978" s="284"/>
      <c r="C1978" s="284"/>
      <c r="D1978" s="284"/>
      <c r="E1978" s="284"/>
      <c r="F1978" s="284"/>
      <c r="G1978" s="284"/>
      <c r="H1978" s="284"/>
      <c r="I1978" s="284"/>
      <c r="J1978" s="375"/>
      <c r="K1978" s="375"/>
      <c r="L1978" s="375"/>
      <c r="M1978" s="368"/>
      <c r="N1978" s="368"/>
      <c r="O1978" s="370"/>
      <c r="T1978" s="349"/>
      <c r="V1978" s="378"/>
      <c r="W1978" s="64" ph="1"/>
      <c r="X1978" s="241"/>
      <c r="Y1978" s="284"/>
      <c r="Z1978" s="207"/>
      <c r="AA1978" s="284"/>
      <c r="AB1978" s="284"/>
      <c r="AC1978" s="284"/>
      <c r="AD1978" s="284"/>
      <c r="AE1978" s="284"/>
      <c r="AF1978" s="284"/>
      <c r="AG1978" s="284"/>
    </row>
    <row r="1979" spans="1:33" ht="26.4">
      <c r="A1979" s="284"/>
      <c r="B1979" s="284"/>
      <c r="C1979" s="284"/>
      <c r="D1979" s="284"/>
      <c r="E1979" s="284"/>
      <c r="F1979" s="284"/>
      <c r="G1979" s="284"/>
      <c r="H1979" s="284"/>
      <c r="I1979" s="284"/>
      <c r="J1979" s="375"/>
      <c r="K1979" s="375"/>
      <c r="L1979" s="375"/>
      <c r="M1979" s="368"/>
      <c r="N1979" s="368"/>
      <c r="O1979" s="370"/>
      <c r="T1979" s="349"/>
      <c r="V1979" s="378"/>
      <c r="W1979" s="64" ph="1"/>
      <c r="X1979" s="241"/>
      <c r="Y1979" s="284"/>
      <c r="Z1979" s="207"/>
      <c r="AA1979" s="284"/>
      <c r="AB1979" s="284"/>
      <c r="AC1979" s="284"/>
      <c r="AD1979" s="284"/>
      <c r="AE1979" s="284"/>
      <c r="AF1979" s="284"/>
      <c r="AG1979" s="284"/>
    </row>
    <row r="1980" spans="1:33" ht="26.4">
      <c r="A1980" s="284"/>
      <c r="B1980" s="284"/>
      <c r="C1980" s="284"/>
      <c r="D1980" s="284"/>
      <c r="E1980" s="284"/>
      <c r="F1980" s="284"/>
      <c r="G1980" s="284"/>
      <c r="H1980" s="284"/>
      <c r="I1980" s="284"/>
      <c r="J1980" s="375"/>
      <c r="K1980" s="375"/>
      <c r="L1980" s="375"/>
      <c r="M1980" s="368"/>
      <c r="N1980" s="368"/>
      <c r="O1980" s="370"/>
      <c r="T1980" s="349"/>
      <c r="V1980" s="378"/>
      <c r="W1980" s="64" ph="1"/>
      <c r="X1980" s="241"/>
      <c r="Y1980" s="284"/>
      <c r="Z1980" s="207"/>
      <c r="AA1980" s="284"/>
      <c r="AB1980" s="284"/>
      <c r="AC1980" s="284"/>
      <c r="AD1980" s="284"/>
      <c r="AE1980" s="284"/>
      <c r="AF1980" s="284"/>
      <c r="AG1980" s="284"/>
    </row>
    <row r="1981" spans="1:33" ht="26.4">
      <c r="A1981" s="284"/>
      <c r="B1981" s="284"/>
      <c r="C1981" s="284"/>
      <c r="D1981" s="284"/>
      <c r="E1981" s="284"/>
      <c r="F1981" s="284"/>
      <c r="G1981" s="284"/>
      <c r="H1981" s="284"/>
      <c r="I1981" s="284"/>
      <c r="J1981" s="375"/>
      <c r="K1981" s="375"/>
      <c r="L1981" s="375"/>
      <c r="M1981" s="368"/>
      <c r="N1981" s="368"/>
      <c r="O1981" s="370"/>
      <c r="T1981" s="349"/>
      <c r="V1981" s="378"/>
      <c r="W1981" s="64" ph="1"/>
      <c r="X1981" s="241"/>
      <c r="Y1981" s="284"/>
      <c r="Z1981" s="207"/>
      <c r="AA1981" s="284"/>
      <c r="AB1981" s="284"/>
      <c r="AC1981" s="284"/>
      <c r="AD1981" s="284"/>
      <c r="AE1981" s="284"/>
      <c r="AF1981" s="284"/>
      <c r="AG1981" s="284"/>
    </row>
    <row r="1982" spans="1:33" ht="26.4">
      <c r="A1982" s="284"/>
      <c r="B1982" s="284"/>
      <c r="C1982" s="284"/>
      <c r="D1982" s="284"/>
      <c r="E1982" s="284"/>
      <c r="F1982" s="284"/>
      <c r="G1982" s="284"/>
      <c r="H1982" s="284"/>
      <c r="I1982" s="284"/>
      <c r="J1982" s="375"/>
      <c r="K1982" s="375"/>
      <c r="L1982" s="375"/>
      <c r="M1982" s="368"/>
      <c r="N1982" s="368"/>
      <c r="O1982" s="370"/>
      <c r="T1982" s="349"/>
      <c r="V1982" s="378"/>
      <c r="W1982" s="64" ph="1"/>
      <c r="X1982" s="241"/>
      <c r="Y1982" s="284"/>
      <c r="Z1982" s="207"/>
      <c r="AA1982" s="284"/>
      <c r="AB1982" s="284"/>
      <c r="AC1982" s="284"/>
      <c r="AD1982" s="284"/>
      <c r="AE1982" s="284"/>
      <c r="AF1982" s="284"/>
      <c r="AG1982" s="284"/>
    </row>
    <row r="1983" spans="1:33" ht="26.4">
      <c r="A1983" s="284"/>
      <c r="B1983" s="284"/>
      <c r="C1983" s="284"/>
      <c r="D1983" s="284"/>
      <c r="E1983" s="284"/>
      <c r="F1983" s="284"/>
      <c r="G1983" s="284"/>
      <c r="H1983" s="284"/>
      <c r="I1983" s="284"/>
      <c r="J1983" s="375"/>
      <c r="K1983" s="375"/>
      <c r="L1983" s="375"/>
      <c r="M1983" s="368"/>
      <c r="N1983" s="368"/>
      <c r="O1983" s="370"/>
      <c r="T1983" s="349"/>
      <c r="V1983" s="378"/>
      <c r="W1983" s="64" ph="1"/>
      <c r="X1983" s="241"/>
      <c r="Y1983" s="284"/>
      <c r="Z1983" s="207"/>
      <c r="AA1983" s="284"/>
      <c r="AB1983" s="284"/>
      <c r="AC1983" s="284"/>
      <c r="AD1983" s="284"/>
      <c r="AE1983" s="284"/>
      <c r="AF1983" s="284"/>
      <c r="AG1983" s="284"/>
    </row>
    <row r="1984" spans="1:33" ht="26.4">
      <c r="A1984" s="284"/>
      <c r="B1984" s="284"/>
      <c r="C1984" s="284"/>
      <c r="D1984" s="284"/>
      <c r="E1984" s="284"/>
      <c r="F1984" s="284"/>
      <c r="G1984" s="284"/>
      <c r="H1984" s="284"/>
      <c r="I1984" s="284"/>
      <c r="J1984" s="375"/>
      <c r="K1984" s="375"/>
      <c r="L1984" s="375"/>
      <c r="M1984" s="368"/>
      <c r="N1984" s="368"/>
      <c r="O1984" s="370"/>
      <c r="T1984" s="349"/>
      <c r="V1984" s="378"/>
      <c r="W1984" s="64" ph="1"/>
      <c r="X1984" s="241"/>
      <c r="Y1984" s="284"/>
      <c r="Z1984" s="207"/>
      <c r="AA1984" s="284"/>
      <c r="AB1984" s="284"/>
      <c r="AC1984" s="284"/>
      <c r="AD1984" s="284"/>
      <c r="AE1984" s="284"/>
      <c r="AF1984" s="284"/>
      <c r="AG1984" s="284"/>
    </row>
    <row r="1985" spans="1:33" ht="26.4">
      <c r="A1985" s="284"/>
      <c r="B1985" s="284"/>
      <c r="C1985" s="284"/>
      <c r="D1985" s="284"/>
      <c r="E1985" s="284"/>
      <c r="F1985" s="284"/>
      <c r="G1985" s="284"/>
      <c r="H1985" s="284"/>
      <c r="I1985" s="284"/>
      <c r="J1985" s="375"/>
      <c r="K1985" s="375"/>
      <c r="L1985" s="375"/>
      <c r="M1985" s="368"/>
      <c r="N1985" s="368"/>
      <c r="O1985" s="370"/>
      <c r="T1985" s="349"/>
      <c r="V1985" s="378"/>
      <c r="W1985" s="64" ph="1"/>
      <c r="X1985" s="241"/>
      <c r="Y1985" s="284"/>
      <c r="Z1985" s="207"/>
      <c r="AA1985" s="284"/>
      <c r="AB1985" s="284"/>
      <c r="AC1985" s="284"/>
      <c r="AD1985" s="284"/>
      <c r="AE1985" s="284"/>
      <c r="AF1985" s="284"/>
      <c r="AG1985" s="284"/>
    </row>
    <row r="1986" spans="1:33" ht="26.4">
      <c r="A1986" s="284"/>
      <c r="B1986" s="284"/>
      <c r="C1986" s="284"/>
      <c r="D1986" s="284"/>
      <c r="E1986" s="284"/>
      <c r="F1986" s="284"/>
      <c r="G1986" s="284"/>
      <c r="H1986" s="284"/>
      <c r="I1986" s="284"/>
      <c r="J1986" s="375"/>
      <c r="K1986" s="375"/>
      <c r="L1986" s="375"/>
      <c r="M1986" s="368"/>
      <c r="N1986" s="368"/>
      <c r="O1986" s="370"/>
      <c r="T1986" s="349"/>
      <c r="V1986" s="378"/>
      <c r="W1986" s="64" ph="1"/>
      <c r="X1986" s="241"/>
      <c r="Y1986" s="284"/>
      <c r="Z1986" s="207"/>
      <c r="AA1986" s="284"/>
      <c r="AB1986" s="284"/>
      <c r="AC1986" s="284"/>
      <c r="AD1986" s="284"/>
      <c r="AE1986" s="284"/>
      <c r="AF1986" s="284"/>
      <c r="AG1986" s="284"/>
    </row>
    <row r="1987" spans="1:33" ht="26.4">
      <c r="A1987" s="284"/>
      <c r="B1987" s="284"/>
      <c r="C1987" s="284"/>
      <c r="D1987" s="284"/>
      <c r="E1987" s="284"/>
      <c r="F1987" s="284"/>
      <c r="G1987" s="284"/>
      <c r="H1987" s="284"/>
      <c r="I1987" s="284"/>
      <c r="J1987" s="375"/>
      <c r="K1987" s="375"/>
      <c r="L1987" s="375"/>
      <c r="M1987" s="368"/>
      <c r="N1987" s="368"/>
      <c r="O1987" s="370"/>
      <c r="T1987" s="349"/>
      <c r="V1987" s="378"/>
      <c r="W1987" s="64" ph="1"/>
      <c r="X1987" s="241"/>
      <c r="Y1987" s="284"/>
      <c r="Z1987" s="207"/>
      <c r="AA1987" s="284"/>
      <c r="AB1987" s="284"/>
      <c r="AC1987" s="284"/>
      <c r="AD1987" s="284"/>
      <c r="AE1987" s="284"/>
      <c r="AF1987" s="284"/>
      <c r="AG1987" s="284"/>
    </row>
    <row r="1988" spans="1:33" ht="26.4">
      <c r="A1988" s="284"/>
      <c r="B1988" s="284"/>
      <c r="C1988" s="284"/>
      <c r="D1988" s="284"/>
      <c r="E1988" s="284"/>
      <c r="F1988" s="284"/>
      <c r="G1988" s="284"/>
      <c r="H1988" s="284"/>
      <c r="I1988" s="284"/>
      <c r="J1988" s="375"/>
      <c r="K1988" s="375"/>
      <c r="L1988" s="375"/>
      <c r="M1988" s="368"/>
      <c r="N1988" s="368"/>
      <c r="O1988" s="370"/>
      <c r="T1988" s="349"/>
      <c r="V1988" s="378"/>
      <c r="W1988" s="64" ph="1"/>
      <c r="X1988" s="241"/>
      <c r="Y1988" s="284"/>
      <c r="Z1988" s="207"/>
      <c r="AA1988" s="284"/>
      <c r="AB1988" s="284"/>
      <c r="AC1988" s="284"/>
      <c r="AD1988" s="284"/>
      <c r="AE1988" s="284"/>
      <c r="AF1988" s="284"/>
      <c r="AG1988" s="284"/>
    </row>
    <row r="1989" spans="1:33" ht="26.4">
      <c r="A1989" s="284"/>
      <c r="B1989" s="284"/>
      <c r="C1989" s="284"/>
      <c r="D1989" s="284"/>
      <c r="E1989" s="284"/>
      <c r="F1989" s="284"/>
      <c r="G1989" s="284"/>
      <c r="H1989" s="284"/>
      <c r="I1989" s="284"/>
      <c r="J1989" s="375"/>
      <c r="K1989" s="375"/>
      <c r="L1989" s="375"/>
      <c r="M1989" s="368"/>
      <c r="N1989" s="368"/>
      <c r="O1989" s="370"/>
      <c r="T1989" s="349"/>
      <c r="V1989" s="378"/>
      <c r="W1989" s="64" ph="1"/>
      <c r="X1989" s="241"/>
      <c r="Y1989" s="284"/>
      <c r="Z1989" s="207"/>
      <c r="AA1989" s="284"/>
      <c r="AB1989" s="284"/>
      <c r="AC1989" s="284"/>
      <c r="AD1989" s="284"/>
      <c r="AE1989" s="284"/>
      <c r="AF1989" s="284"/>
      <c r="AG1989" s="284"/>
    </row>
    <row r="1990" spans="1:33" ht="26.4">
      <c r="A1990" s="284"/>
      <c r="B1990" s="284"/>
      <c r="C1990" s="284"/>
      <c r="D1990" s="284"/>
      <c r="E1990" s="284"/>
      <c r="F1990" s="284"/>
      <c r="G1990" s="284"/>
      <c r="H1990" s="284"/>
      <c r="I1990" s="284"/>
      <c r="J1990" s="375"/>
      <c r="K1990" s="375"/>
      <c r="L1990" s="375"/>
      <c r="M1990" s="368"/>
      <c r="N1990" s="368"/>
      <c r="O1990" s="370"/>
      <c r="T1990" s="349"/>
      <c r="V1990" s="378"/>
      <c r="W1990" s="64" ph="1"/>
      <c r="X1990" s="241"/>
      <c r="Y1990" s="284"/>
      <c r="Z1990" s="207"/>
      <c r="AA1990" s="284"/>
      <c r="AB1990" s="284"/>
      <c r="AC1990" s="284"/>
      <c r="AD1990" s="284"/>
      <c r="AE1990" s="284"/>
      <c r="AF1990" s="284"/>
      <c r="AG1990" s="284"/>
    </row>
    <row r="1991" spans="1:33" ht="26.4">
      <c r="A1991" s="284"/>
      <c r="B1991" s="284"/>
      <c r="C1991" s="284"/>
      <c r="D1991" s="284"/>
      <c r="E1991" s="284"/>
      <c r="F1991" s="284"/>
      <c r="G1991" s="284"/>
      <c r="H1991" s="284"/>
      <c r="I1991" s="284"/>
      <c r="J1991" s="375"/>
      <c r="K1991" s="375"/>
      <c r="L1991" s="375"/>
      <c r="M1991" s="368"/>
      <c r="N1991" s="368"/>
      <c r="O1991" s="370"/>
      <c r="T1991" s="349"/>
      <c r="V1991" s="378"/>
      <c r="W1991" s="64" ph="1"/>
      <c r="X1991" s="241"/>
      <c r="Y1991" s="284"/>
      <c r="Z1991" s="207"/>
      <c r="AA1991" s="284"/>
      <c r="AB1991" s="284"/>
      <c r="AC1991" s="284"/>
      <c r="AD1991" s="284"/>
      <c r="AE1991" s="284"/>
      <c r="AF1991" s="284"/>
      <c r="AG1991" s="284"/>
    </row>
    <row r="1992" spans="1:33" ht="26.4">
      <c r="A1992" s="284"/>
      <c r="B1992" s="284"/>
      <c r="C1992" s="284"/>
      <c r="D1992" s="284"/>
      <c r="E1992" s="284"/>
      <c r="F1992" s="284"/>
      <c r="G1992" s="284"/>
      <c r="H1992" s="284"/>
      <c r="I1992" s="284"/>
      <c r="J1992" s="375"/>
      <c r="K1992" s="375"/>
      <c r="L1992" s="375"/>
      <c r="M1992" s="368"/>
      <c r="N1992" s="368"/>
      <c r="O1992" s="370"/>
      <c r="T1992" s="349"/>
      <c r="V1992" s="378"/>
      <c r="W1992" s="64" ph="1"/>
      <c r="X1992" s="241"/>
      <c r="Y1992" s="284"/>
      <c r="Z1992" s="207"/>
      <c r="AA1992" s="284"/>
      <c r="AB1992" s="284"/>
      <c r="AC1992" s="284"/>
      <c r="AD1992" s="284"/>
      <c r="AE1992" s="284"/>
      <c r="AF1992" s="284"/>
      <c r="AG1992" s="284"/>
    </row>
    <row r="1993" spans="1:33" ht="26.4">
      <c r="A1993" s="284"/>
      <c r="B1993" s="284"/>
      <c r="C1993" s="284"/>
      <c r="D1993" s="284"/>
      <c r="E1993" s="284"/>
      <c r="F1993" s="284"/>
      <c r="G1993" s="284"/>
      <c r="H1993" s="284"/>
      <c r="I1993" s="284"/>
      <c r="J1993" s="375"/>
      <c r="K1993" s="375"/>
      <c r="L1993" s="375"/>
      <c r="M1993" s="368"/>
      <c r="N1993" s="368"/>
      <c r="O1993" s="370"/>
      <c r="T1993" s="349"/>
      <c r="V1993" s="378"/>
      <c r="W1993" s="64" ph="1"/>
      <c r="X1993" s="241"/>
      <c r="Y1993" s="284"/>
      <c r="Z1993" s="207"/>
      <c r="AA1993" s="284"/>
      <c r="AB1993" s="284"/>
      <c r="AC1993" s="284"/>
      <c r="AD1993" s="284"/>
      <c r="AE1993" s="284"/>
      <c r="AF1993" s="284"/>
      <c r="AG1993" s="284"/>
    </row>
    <row r="1994" spans="1:33" ht="26.4">
      <c r="A1994" s="284"/>
      <c r="B1994" s="284"/>
      <c r="C1994" s="284"/>
      <c r="D1994" s="284"/>
      <c r="E1994" s="284"/>
      <c r="F1994" s="284"/>
      <c r="G1994" s="284"/>
      <c r="H1994" s="284"/>
      <c r="I1994" s="284"/>
      <c r="J1994" s="375"/>
      <c r="K1994" s="375"/>
      <c r="L1994" s="375"/>
      <c r="M1994" s="368"/>
      <c r="N1994" s="368"/>
      <c r="O1994" s="370"/>
      <c r="T1994" s="349"/>
      <c r="V1994" s="378"/>
      <c r="W1994" s="64" ph="1"/>
      <c r="X1994" s="241"/>
      <c r="Y1994" s="284"/>
      <c r="Z1994" s="207"/>
      <c r="AA1994" s="284"/>
      <c r="AB1994" s="284"/>
      <c r="AC1994" s="284"/>
      <c r="AD1994" s="284"/>
      <c r="AE1994" s="284"/>
      <c r="AF1994" s="284"/>
      <c r="AG1994" s="284"/>
    </row>
    <row r="1995" spans="1:33" ht="26.4">
      <c r="A1995" s="284"/>
      <c r="B1995" s="284"/>
      <c r="C1995" s="284"/>
      <c r="D1995" s="284"/>
      <c r="E1995" s="284"/>
      <c r="F1995" s="284"/>
      <c r="G1995" s="284"/>
      <c r="H1995" s="284"/>
      <c r="I1995" s="284"/>
      <c r="J1995" s="375"/>
      <c r="K1995" s="375"/>
      <c r="L1995" s="375"/>
      <c r="M1995" s="368"/>
      <c r="N1995" s="368"/>
      <c r="O1995" s="370"/>
      <c r="T1995" s="349"/>
      <c r="V1995" s="378"/>
      <c r="W1995" s="64" ph="1"/>
      <c r="X1995" s="241"/>
      <c r="Y1995" s="284"/>
      <c r="Z1995" s="207"/>
      <c r="AA1995" s="284"/>
      <c r="AB1995" s="284"/>
      <c r="AC1995" s="284"/>
      <c r="AD1995" s="284"/>
      <c r="AE1995" s="284"/>
      <c r="AF1995" s="284"/>
      <c r="AG1995" s="284"/>
    </row>
    <row r="1996" spans="1:33" ht="26.4">
      <c r="A1996" s="284"/>
      <c r="B1996" s="284"/>
      <c r="C1996" s="284"/>
      <c r="D1996" s="284"/>
      <c r="E1996" s="284"/>
      <c r="F1996" s="284"/>
      <c r="G1996" s="284"/>
      <c r="H1996" s="284"/>
      <c r="I1996" s="284"/>
      <c r="J1996" s="375"/>
      <c r="K1996" s="375"/>
      <c r="L1996" s="375"/>
      <c r="M1996" s="368"/>
      <c r="N1996" s="368"/>
      <c r="O1996" s="370"/>
      <c r="T1996" s="349"/>
      <c r="V1996" s="378"/>
      <c r="W1996" s="64" ph="1"/>
      <c r="X1996" s="241"/>
      <c r="Y1996" s="284"/>
      <c r="Z1996" s="207"/>
      <c r="AA1996" s="284"/>
      <c r="AB1996" s="284"/>
      <c r="AC1996" s="284"/>
      <c r="AD1996" s="284"/>
      <c r="AE1996" s="284"/>
      <c r="AF1996" s="284"/>
      <c r="AG1996" s="284"/>
    </row>
    <row r="1997" spans="1:33" ht="26.4">
      <c r="A1997" s="284"/>
      <c r="B1997" s="284"/>
      <c r="C1997" s="284"/>
      <c r="D1997" s="284"/>
      <c r="E1997" s="284"/>
      <c r="F1997" s="284"/>
      <c r="G1997" s="284"/>
      <c r="H1997" s="284"/>
      <c r="I1997" s="284"/>
      <c r="J1997" s="375"/>
      <c r="K1997" s="375"/>
      <c r="L1997" s="375"/>
      <c r="M1997" s="368"/>
      <c r="N1997" s="368"/>
      <c r="O1997" s="370"/>
      <c r="T1997" s="349"/>
      <c r="V1997" s="378"/>
      <c r="W1997" s="64" ph="1"/>
      <c r="X1997" s="241"/>
      <c r="Y1997" s="284"/>
      <c r="Z1997" s="207"/>
      <c r="AA1997" s="284"/>
      <c r="AB1997" s="284"/>
      <c r="AC1997" s="284"/>
      <c r="AD1997" s="284"/>
      <c r="AE1997" s="284"/>
      <c r="AF1997" s="284"/>
      <c r="AG1997" s="284"/>
    </row>
    <row r="1998" spans="1:33" ht="26.4">
      <c r="A1998" s="284"/>
      <c r="B1998" s="284"/>
      <c r="C1998" s="284"/>
      <c r="D1998" s="284"/>
      <c r="E1998" s="284"/>
      <c r="F1998" s="284"/>
      <c r="G1998" s="284"/>
      <c r="H1998" s="284"/>
      <c r="I1998" s="284"/>
      <c r="J1998" s="375"/>
      <c r="K1998" s="375"/>
      <c r="L1998" s="375"/>
      <c r="M1998" s="368"/>
      <c r="N1998" s="368"/>
      <c r="O1998" s="370"/>
      <c r="T1998" s="349"/>
      <c r="V1998" s="378"/>
      <c r="W1998" s="64" ph="1"/>
      <c r="X1998" s="241"/>
      <c r="Y1998" s="284"/>
      <c r="Z1998" s="207"/>
      <c r="AA1998" s="284"/>
      <c r="AB1998" s="284"/>
      <c r="AC1998" s="284"/>
      <c r="AD1998" s="284"/>
      <c r="AE1998" s="284"/>
      <c r="AF1998" s="284"/>
      <c r="AG1998" s="284"/>
    </row>
    <row r="1999" spans="1:33" ht="26.4">
      <c r="A1999" s="284"/>
      <c r="B1999" s="284"/>
      <c r="C1999" s="284"/>
      <c r="D1999" s="284"/>
      <c r="E1999" s="284"/>
      <c r="F1999" s="284"/>
      <c r="G1999" s="284"/>
      <c r="H1999" s="284"/>
      <c r="I1999" s="284"/>
      <c r="J1999" s="375"/>
      <c r="K1999" s="375"/>
      <c r="L1999" s="375"/>
      <c r="M1999" s="368"/>
      <c r="N1999" s="368"/>
      <c r="O1999" s="370"/>
      <c r="T1999" s="349"/>
      <c r="V1999" s="378"/>
      <c r="W1999" s="64" ph="1"/>
      <c r="X1999" s="241"/>
      <c r="Y1999" s="284"/>
      <c r="Z1999" s="207"/>
      <c r="AA1999" s="284"/>
      <c r="AB1999" s="284"/>
      <c r="AC1999" s="284"/>
      <c r="AD1999" s="284"/>
      <c r="AE1999" s="284"/>
      <c r="AF1999" s="284"/>
      <c r="AG1999" s="284"/>
    </row>
    <row r="2000" spans="1:33" ht="26.4">
      <c r="A2000" s="284"/>
      <c r="B2000" s="284"/>
      <c r="C2000" s="284"/>
      <c r="D2000" s="284"/>
      <c r="E2000" s="284"/>
      <c r="F2000" s="284"/>
      <c r="G2000" s="284"/>
      <c r="H2000" s="284"/>
      <c r="I2000" s="284"/>
      <c r="J2000" s="375"/>
      <c r="K2000" s="375"/>
      <c r="L2000" s="375"/>
      <c r="M2000" s="368"/>
      <c r="N2000" s="368"/>
      <c r="O2000" s="370"/>
      <c r="T2000" s="349"/>
      <c r="V2000" s="378"/>
      <c r="W2000" s="64" ph="1"/>
      <c r="X2000" s="241"/>
      <c r="Y2000" s="284"/>
      <c r="Z2000" s="207"/>
      <c r="AA2000" s="284"/>
      <c r="AB2000" s="284"/>
      <c r="AC2000" s="284"/>
      <c r="AD2000" s="284"/>
      <c r="AE2000" s="284"/>
      <c r="AF2000" s="284"/>
      <c r="AG2000" s="284"/>
    </row>
    <row r="2001" spans="1:33" ht="26.4">
      <c r="A2001" s="284"/>
      <c r="B2001" s="284"/>
      <c r="C2001" s="284"/>
      <c r="D2001" s="284"/>
      <c r="E2001" s="284"/>
      <c r="F2001" s="284"/>
      <c r="G2001" s="284"/>
      <c r="H2001" s="284"/>
      <c r="I2001" s="284"/>
      <c r="J2001" s="375"/>
      <c r="K2001" s="375"/>
      <c r="L2001" s="375"/>
      <c r="M2001" s="368"/>
      <c r="N2001" s="368"/>
      <c r="O2001" s="370"/>
      <c r="T2001" s="349"/>
      <c r="V2001" s="378"/>
      <c r="W2001" s="64" ph="1"/>
      <c r="X2001" s="241"/>
      <c r="Y2001" s="284"/>
      <c r="Z2001" s="207"/>
      <c r="AA2001" s="284"/>
      <c r="AB2001" s="284"/>
      <c r="AC2001" s="284"/>
      <c r="AD2001" s="284"/>
      <c r="AE2001" s="284"/>
      <c r="AF2001" s="284"/>
      <c r="AG2001" s="284"/>
    </row>
    <row r="2002" spans="1:33" ht="26.4">
      <c r="A2002" s="284"/>
      <c r="B2002" s="284"/>
      <c r="C2002" s="284"/>
      <c r="D2002" s="284"/>
      <c r="E2002" s="284"/>
      <c r="F2002" s="284"/>
      <c r="G2002" s="284"/>
      <c r="H2002" s="284"/>
      <c r="I2002" s="284"/>
      <c r="J2002" s="375"/>
      <c r="K2002" s="375"/>
      <c r="L2002" s="375"/>
      <c r="M2002" s="368"/>
      <c r="N2002" s="368"/>
      <c r="O2002" s="370"/>
      <c r="T2002" s="349"/>
      <c r="V2002" s="378"/>
      <c r="W2002" s="64" ph="1"/>
      <c r="X2002" s="241"/>
      <c r="Y2002" s="284"/>
      <c r="Z2002" s="207"/>
      <c r="AA2002" s="284"/>
      <c r="AB2002" s="284"/>
      <c r="AC2002" s="284"/>
      <c r="AD2002" s="284"/>
      <c r="AE2002" s="284"/>
      <c r="AF2002" s="284"/>
      <c r="AG2002" s="284"/>
    </row>
    <row r="2003" spans="1:33" ht="26.4">
      <c r="A2003" s="284"/>
      <c r="B2003" s="284"/>
      <c r="C2003" s="284"/>
      <c r="D2003" s="284"/>
      <c r="E2003" s="284"/>
      <c r="F2003" s="284"/>
      <c r="G2003" s="284"/>
      <c r="H2003" s="284"/>
      <c r="I2003" s="284"/>
      <c r="J2003" s="375"/>
      <c r="K2003" s="375"/>
      <c r="L2003" s="375"/>
      <c r="M2003" s="368"/>
      <c r="N2003" s="368"/>
      <c r="O2003" s="370"/>
      <c r="T2003" s="349"/>
      <c r="V2003" s="378"/>
      <c r="W2003" s="64" ph="1"/>
      <c r="X2003" s="241"/>
      <c r="Y2003" s="284"/>
      <c r="Z2003" s="207"/>
      <c r="AA2003" s="284"/>
      <c r="AB2003" s="284"/>
      <c r="AC2003" s="284"/>
      <c r="AD2003" s="284"/>
      <c r="AE2003" s="284"/>
      <c r="AF2003" s="284"/>
      <c r="AG2003" s="284"/>
    </row>
    <row r="2004" spans="1:33" ht="26.4">
      <c r="A2004" s="284"/>
      <c r="B2004" s="284"/>
      <c r="C2004" s="284"/>
      <c r="D2004" s="284"/>
      <c r="E2004" s="284"/>
      <c r="F2004" s="284"/>
      <c r="G2004" s="284"/>
      <c r="H2004" s="284"/>
      <c r="I2004" s="284"/>
      <c r="J2004" s="375"/>
      <c r="K2004" s="375"/>
      <c r="L2004" s="375"/>
      <c r="M2004" s="368"/>
      <c r="N2004" s="368"/>
      <c r="O2004" s="370"/>
      <c r="T2004" s="349"/>
      <c r="V2004" s="378"/>
      <c r="W2004" s="64" ph="1"/>
      <c r="X2004" s="241"/>
      <c r="Y2004" s="284"/>
      <c r="Z2004" s="207"/>
      <c r="AA2004" s="284"/>
      <c r="AB2004" s="284"/>
      <c r="AC2004" s="284"/>
      <c r="AD2004" s="284"/>
      <c r="AE2004" s="284"/>
      <c r="AF2004" s="284"/>
      <c r="AG2004" s="284"/>
    </row>
    <row r="2005" spans="1:33" ht="26.4">
      <c r="A2005" s="284"/>
      <c r="B2005" s="284"/>
      <c r="C2005" s="284"/>
      <c r="D2005" s="284"/>
      <c r="E2005" s="284"/>
      <c r="F2005" s="284"/>
      <c r="G2005" s="284"/>
      <c r="H2005" s="284"/>
      <c r="I2005" s="284"/>
      <c r="J2005" s="375"/>
      <c r="K2005" s="375"/>
      <c r="L2005" s="375"/>
      <c r="M2005" s="368"/>
      <c r="N2005" s="368"/>
      <c r="O2005" s="370"/>
      <c r="T2005" s="349"/>
      <c r="V2005" s="378"/>
      <c r="W2005" s="64" ph="1"/>
      <c r="X2005" s="241"/>
      <c r="Y2005" s="284"/>
      <c r="Z2005" s="207"/>
      <c r="AA2005" s="284"/>
      <c r="AB2005" s="284"/>
      <c r="AC2005" s="284"/>
      <c r="AD2005" s="284"/>
      <c r="AE2005" s="284"/>
      <c r="AF2005" s="284"/>
      <c r="AG2005" s="284"/>
    </row>
    <row r="2006" spans="1:33" ht="26.4">
      <c r="A2006" s="284"/>
      <c r="B2006" s="284"/>
      <c r="C2006" s="284"/>
      <c r="D2006" s="284"/>
      <c r="E2006" s="284"/>
      <c r="F2006" s="284"/>
      <c r="G2006" s="284"/>
      <c r="H2006" s="284"/>
      <c r="I2006" s="284"/>
      <c r="J2006" s="375"/>
      <c r="K2006" s="375"/>
      <c r="L2006" s="375"/>
      <c r="M2006" s="368"/>
      <c r="N2006" s="368"/>
      <c r="O2006" s="370"/>
      <c r="T2006" s="349"/>
      <c r="V2006" s="378"/>
      <c r="W2006" s="64" ph="1"/>
      <c r="X2006" s="241"/>
      <c r="Y2006" s="284"/>
      <c r="Z2006" s="207"/>
      <c r="AA2006" s="284"/>
      <c r="AB2006" s="284"/>
      <c r="AC2006" s="284"/>
      <c r="AD2006" s="284"/>
      <c r="AE2006" s="284"/>
      <c r="AF2006" s="284"/>
      <c r="AG2006" s="284"/>
    </row>
    <row r="2007" spans="1:33" ht="26.4">
      <c r="A2007" s="284"/>
      <c r="B2007" s="284"/>
      <c r="C2007" s="284"/>
      <c r="D2007" s="284"/>
      <c r="E2007" s="284"/>
      <c r="F2007" s="284"/>
      <c r="G2007" s="284"/>
      <c r="H2007" s="284"/>
      <c r="I2007" s="284"/>
      <c r="J2007" s="375"/>
      <c r="K2007" s="375"/>
      <c r="L2007" s="375"/>
      <c r="M2007" s="368"/>
      <c r="N2007" s="368"/>
      <c r="O2007" s="370"/>
      <c r="T2007" s="349"/>
      <c r="V2007" s="378"/>
      <c r="W2007" s="64" ph="1"/>
      <c r="X2007" s="241"/>
      <c r="Y2007" s="284"/>
      <c r="Z2007" s="207"/>
      <c r="AA2007" s="284"/>
      <c r="AB2007" s="284"/>
      <c r="AC2007" s="284"/>
      <c r="AD2007" s="284"/>
      <c r="AE2007" s="284"/>
      <c r="AF2007" s="284"/>
      <c r="AG2007" s="284"/>
    </row>
    <row r="2008" spans="1:33" ht="26.4">
      <c r="A2008" s="284"/>
      <c r="B2008" s="284"/>
      <c r="C2008" s="284"/>
      <c r="D2008" s="284"/>
      <c r="E2008" s="284"/>
      <c r="F2008" s="284"/>
      <c r="G2008" s="284"/>
      <c r="H2008" s="284"/>
      <c r="I2008" s="284"/>
      <c r="J2008" s="375"/>
      <c r="K2008" s="375"/>
      <c r="L2008" s="375"/>
      <c r="M2008" s="368"/>
      <c r="N2008" s="368"/>
      <c r="O2008" s="370"/>
      <c r="T2008" s="349"/>
      <c r="V2008" s="378"/>
      <c r="W2008" s="64" ph="1"/>
      <c r="X2008" s="241"/>
      <c r="Y2008" s="284"/>
      <c r="Z2008" s="207"/>
      <c r="AA2008" s="284"/>
      <c r="AB2008" s="284"/>
      <c r="AC2008" s="284"/>
      <c r="AD2008" s="284"/>
      <c r="AE2008" s="284"/>
      <c r="AF2008" s="284"/>
      <c r="AG2008" s="284"/>
    </row>
    <row r="2009" spans="1:33" ht="26.4">
      <c r="A2009" s="284"/>
      <c r="B2009" s="284"/>
      <c r="C2009" s="284"/>
      <c r="D2009" s="284"/>
      <c r="E2009" s="284"/>
      <c r="F2009" s="284"/>
      <c r="G2009" s="284"/>
      <c r="H2009" s="284"/>
      <c r="I2009" s="284"/>
      <c r="J2009" s="375"/>
      <c r="K2009" s="375"/>
      <c r="L2009" s="375"/>
      <c r="M2009" s="368"/>
      <c r="N2009" s="368"/>
      <c r="O2009" s="370"/>
      <c r="T2009" s="349"/>
      <c r="V2009" s="378"/>
      <c r="W2009" s="64" ph="1"/>
      <c r="X2009" s="241"/>
      <c r="Y2009" s="284"/>
      <c r="Z2009" s="207"/>
      <c r="AA2009" s="284"/>
      <c r="AB2009" s="284"/>
      <c r="AC2009" s="284"/>
      <c r="AD2009" s="284"/>
      <c r="AE2009" s="284"/>
      <c r="AF2009" s="284"/>
      <c r="AG2009" s="284"/>
    </row>
    <row r="2010" spans="1:33" ht="26.4">
      <c r="A2010" s="284"/>
      <c r="B2010" s="284"/>
      <c r="C2010" s="284"/>
      <c r="D2010" s="284"/>
      <c r="E2010" s="284"/>
      <c r="F2010" s="284"/>
      <c r="G2010" s="284"/>
      <c r="H2010" s="284"/>
      <c r="I2010" s="284"/>
      <c r="J2010" s="375"/>
      <c r="K2010" s="375"/>
      <c r="L2010" s="375"/>
      <c r="M2010" s="368"/>
      <c r="N2010" s="368"/>
      <c r="O2010" s="370"/>
      <c r="T2010" s="349"/>
      <c r="V2010" s="378"/>
      <c r="W2010" s="64" ph="1"/>
      <c r="X2010" s="241"/>
      <c r="Y2010" s="284"/>
      <c r="Z2010" s="207"/>
      <c r="AA2010" s="284"/>
      <c r="AB2010" s="284"/>
      <c r="AC2010" s="284"/>
      <c r="AD2010" s="284"/>
      <c r="AE2010" s="284"/>
      <c r="AF2010" s="284"/>
      <c r="AG2010" s="284"/>
    </row>
    <row r="2011" spans="1:33" ht="26.4">
      <c r="A2011" s="284"/>
      <c r="B2011" s="284"/>
      <c r="C2011" s="284"/>
      <c r="D2011" s="284"/>
      <c r="E2011" s="284"/>
      <c r="F2011" s="284"/>
      <c r="G2011" s="284"/>
      <c r="H2011" s="284"/>
      <c r="I2011" s="284"/>
      <c r="J2011" s="375"/>
      <c r="K2011" s="375"/>
      <c r="L2011" s="375"/>
      <c r="M2011" s="368"/>
      <c r="N2011" s="368"/>
      <c r="O2011" s="370"/>
      <c r="T2011" s="349"/>
      <c r="V2011" s="378"/>
      <c r="W2011" s="64" ph="1"/>
      <c r="X2011" s="241"/>
      <c r="Y2011" s="284"/>
      <c r="Z2011" s="207"/>
      <c r="AA2011" s="284"/>
      <c r="AB2011" s="284"/>
      <c r="AC2011" s="284"/>
      <c r="AD2011" s="284"/>
      <c r="AE2011" s="284"/>
      <c r="AF2011" s="284"/>
      <c r="AG2011" s="284"/>
    </row>
    <row r="2012" spans="1:33" ht="26.4">
      <c r="A2012" s="284"/>
      <c r="B2012" s="284"/>
      <c r="C2012" s="284"/>
      <c r="D2012" s="284"/>
      <c r="E2012" s="284"/>
      <c r="F2012" s="284"/>
      <c r="G2012" s="284"/>
      <c r="H2012" s="284"/>
      <c r="I2012" s="284"/>
      <c r="J2012" s="375"/>
      <c r="K2012" s="375"/>
      <c r="L2012" s="375"/>
      <c r="M2012" s="368"/>
      <c r="N2012" s="368"/>
      <c r="O2012" s="370"/>
      <c r="T2012" s="349"/>
      <c r="V2012" s="378"/>
      <c r="W2012" s="64" ph="1"/>
      <c r="X2012" s="241"/>
      <c r="Y2012" s="284"/>
      <c r="Z2012" s="207"/>
      <c r="AA2012" s="284"/>
      <c r="AB2012" s="284"/>
      <c r="AC2012" s="284"/>
      <c r="AD2012" s="284"/>
      <c r="AE2012" s="284"/>
      <c r="AF2012" s="284"/>
      <c r="AG2012" s="284"/>
    </row>
    <row r="2013" spans="1:33" ht="26.4">
      <c r="A2013" s="284"/>
      <c r="B2013" s="284"/>
      <c r="C2013" s="284"/>
      <c r="D2013" s="284"/>
      <c r="E2013" s="284"/>
      <c r="F2013" s="284"/>
      <c r="G2013" s="284"/>
      <c r="H2013" s="284"/>
      <c r="I2013" s="284"/>
      <c r="J2013" s="375"/>
      <c r="K2013" s="375"/>
      <c r="L2013" s="375"/>
      <c r="M2013" s="368"/>
      <c r="N2013" s="368"/>
      <c r="O2013" s="370"/>
      <c r="T2013" s="349"/>
      <c r="V2013" s="378"/>
      <c r="W2013" s="64" ph="1"/>
      <c r="X2013" s="241"/>
      <c r="Y2013" s="284"/>
      <c r="Z2013" s="207"/>
      <c r="AA2013" s="284"/>
      <c r="AB2013" s="284"/>
      <c r="AC2013" s="284"/>
      <c r="AD2013" s="284"/>
      <c r="AE2013" s="284"/>
      <c r="AF2013" s="284"/>
      <c r="AG2013" s="284"/>
    </row>
    <row r="2014" spans="1:33" ht="26.4">
      <c r="A2014" s="284"/>
      <c r="B2014" s="284"/>
      <c r="C2014" s="284"/>
      <c r="D2014" s="284"/>
      <c r="E2014" s="284"/>
      <c r="F2014" s="284"/>
      <c r="G2014" s="284"/>
      <c r="H2014" s="284"/>
      <c r="I2014" s="284"/>
      <c r="J2014" s="375"/>
      <c r="K2014" s="375"/>
      <c r="L2014" s="375"/>
      <c r="M2014" s="368"/>
      <c r="N2014" s="368"/>
      <c r="O2014" s="370"/>
      <c r="T2014" s="349"/>
      <c r="V2014" s="378"/>
      <c r="W2014" s="64" ph="1"/>
      <c r="X2014" s="241"/>
      <c r="Y2014" s="284"/>
      <c r="Z2014" s="207"/>
      <c r="AA2014" s="284"/>
      <c r="AB2014" s="284"/>
      <c r="AC2014" s="284"/>
      <c r="AD2014" s="284"/>
      <c r="AE2014" s="284"/>
      <c r="AF2014" s="284"/>
      <c r="AG2014" s="284"/>
    </row>
    <row r="2015" spans="1:33" ht="26.4">
      <c r="A2015" s="284"/>
      <c r="B2015" s="284"/>
      <c r="C2015" s="284"/>
      <c r="D2015" s="284"/>
      <c r="E2015" s="284"/>
      <c r="F2015" s="284"/>
      <c r="G2015" s="284"/>
      <c r="H2015" s="284"/>
      <c r="I2015" s="284"/>
      <c r="J2015" s="375"/>
      <c r="K2015" s="375"/>
      <c r="L2015" s="375"/>
      <c r="M2015" s="368"/>
      <c r="N2015" s="368"/>
      <c r="O2015" s="370"/>
      <c r="T2015" s="349"/>
      <c r="V2015" s="378"/>
      <c r="W2015" s="64" ph="1"/>
      <c r="X2015" s="241"/>
      <c r="Y2015" s="284"/>
      <c r="Z2015" s="207"/>
      <c r="AA2015" s="284"/>
      <c r="AB2015" s="284"/>
      <c r="AC2015" s="284"/>
      <c r="AD2015" s="284"/>
      <c r="AE2015" s="284"/>
      <c r="AF2015" s="284"/>
      <c r="AG2015" s="284"/>
    </row>
    <row r="2016" spans="1:33" ht="26.4">
      <c r="A2016" s="284"/>
      <c r="B2016" s="284"/>
      <c r="C2016" s="284"/>
      <c r="D2016" s="284"/>
      <c r="E2016" s="284"/>
      <c r="F2016" s="284"/>
      <c r="G2016" s="284"/>
      <c r="H2016" s="284"/>
      <c r="I2016" s="284"/>
      <c r="J2016" s="375"/>
      <c r="K2016" s="375"/>
      <c r="L2016" s="375"/>
      <c r="M2016" s="368"/>
      <c r="N2016" s="368"/>
      <c r="O2016" s="370"/>
      <c r="T2016" s="349"/>
      <c r="V2016" s="378"/>
      <c r="W2016" s="64" ph="1"/>
      <c r="X2016" s="241"/>
      <c r="Y2016" s="284"/>
      <c r="Z2016" s="207"/>
      <c r="AA2016" s="284"/>
      <c r="AB2016" s="284"/>
      <c r="AC2016" s="284"/>
      <c r="AD2016" s="284"/>
      <c r="AE2016" s="284"/>
      <c r="AF2016" s="284"/>
      <c r="AG2016" s="284"/>
    </row>
    <row r="2017" spans="1:33" ht="26.4">
      <c r="A2017" s="284"/>
      <c r="B2017" s="284"/>
      <c r="C2017" s="284"/>
      <c r="D2017" s="284"/>
      <c r="E2017" s="284"/>
      <c r="F2017" s="284"/>
      <c r="G2017" s="284"/>
      <c r="H2017" s="284"/>
      <c r="I2017" s="284"/>
      <c r="J2017" s="375"/>
      <c r="K2017" s="375"/>
      <c r="L2017" s="375"/>
      <c r="M2017" s="368"/>
      <c r="N2017" s="368"/>
      <c r="O2017" s="370"/>
      <c r="T2017" s="349"/>
      <c r="V2017" s="378"/>
      <c r="W2017" s="64" ph="1"/>
      <c r="X2017" s="241"/>
      <c r="Y2017" s="284"/>
      <c r="Z2017" s="207"/>
      <c r="AA2017" s="284"/>
      <c r="AB2017" s="284"/>
      <c r="AC2017" s="284"/>
      <c r="AD2017" s="284"/>
      <c r="AE2017" s="284"/>
      <c r="AF2017" s="284"/>
      <c r="AG2017" s="284"/>
    </row>
    <row r="2018" spans="1:33" ht="26.4">
      <c r="A2018" s="284"/>
      <c r="B2018" s="284"/>
      <c r="C2018" s="284"/>
      <c r="D2018" s="284"/>
      <c r="E2018" s="284"/>
      <c r="F2018" s="284"/>
      <c r="G2018" s="284"/>
      <c r="H2018" s="284"/>
      <c r="I2018" s="284"/>
      <c r="J2018" s="375"/>
      <c r="K2018" s="375"/>
      <c r="L2018" s="375"/>
      <c r="M2018" s="368"/>
      <c r="N2018" s="368"/>
      <c r="O2018" s="370"/>
      <c r="T2018" s="349"/>
      <c r="V2018" s="378"/>
      <c r="W2018" s="64" ph="1"/>
      <c r="X2018" s="241"/>
      <c r="Y2018" s="284"/>
      <c r="Z2018" s="207"/>
      <c r="AA2018" s="284"/>
      <c r="AB2018" s="284"/>
      <c r="AC2018" s="284"/>
      <c r="AD2018" s="284"/>
      <c r="AE2018" s="284"/>
      <c r="AF2018" s="284"/>
      <c r="AG2018" s="284"/>
    </row>
    <row r="2019" spans="1:33" ht="26.4">
      <c r="A2019" s="284"/>
      <c r="B2019" s="284"/>
      <c r="C2019" s="284"/>
      <c r="D2019" s="284"/>
      <c r="E2019" s="284"/>
      <c r="F2019" s="284"/>
      <c r="G2019" s="284"/>
      <c r="H2019" s="284"/>
      <c r="I2019" s="284"/>
      <c r="J2019" s="375"/>
      <c r="K2019" s="375"/>
      <c r="L2019" s="375"/>
      <c r="M2019" s="368"/>
      <c r="N2019" s="368"/>
      <c r="O2019" s="370"/>
      <c r="T2019" s="349"/>
      <c r="V2019" s="378"/>
      <c r="W2019" s="64" ph="1"/>
      <c r="X2019" s="241"/>
      <c r="Y2019" s="284"/>
      <c r="Z2019" s="207"/>
      <c r="AA2019" s="284"/>
      <c r="AB2019" s="284"/>
      <c r="AC2019" s="284"/>
      <c r="AD2019" s="284"/>
      <c r="AE2019" s="284"/>
      <c r="AF2019" s="284"/>
      <c r="AG2019" s="284"/>
    </row>
    <row r="2020" spans="1:33" ht="26.4">
      <c r="A2020" s="284"/>
      <c r="B2020" s="284"/>
      <c r="C2020" s="284"/>
      <c r="D2020" s="284"/>
      <c r="E2020" s="284"/>
      <c r="F2020" s="284"/>
      <c r="G2020" s="284"/>
      <c r="H2020" s="284"/>
      <c r="I2020" s="284"/>
      <c r="J2020" s="375"/>
      <c r="K2020" s="375"/>
      <c r="L2020" s="375"/>
      <c r="M2020" s="368"/>
      <c r="N2020" s="368"/>
      <c r="O2020" s="370"/>
      <c r="T2020" s="349"/>
      <c r="V2020" s="378"/>
      <c r="W2020" s="64" ph="1"/>
      <c r="X2020" s="241"/>
      <c r="Y2020" s="284"/>
      <c r="Z2020" s="207"/>
      <c r="AA2020" s="284"/>
      <c r="AB2020" s="284"/>
      <c r="AC2020" s="284"/>
      <c r="AD2020" s="284"/>
      <c r="AE2020" s="284"/>
      <c r="AF2020" s="284"/>
      <c r="AG2020" s="284"/>
    </row>
    <row r="2021" spans="1:33" ht="26.4">
      <c r="A2021" s="284"/>
      <c r="B2021" s="284"/>
      <c r="C2021" s="284"/>
      <c r="D2021" s="284"/>
      <c r="E2021" s="284"/>
      <c r="F2021" s="284"/>
      <c r="G2021" s="284"/>
      <c r="H2021" s="284"/>
      <c r="I2021" s="284"/>
      <c r="J2021" s="375"/>
      <c r="K2021" s="375"/>
      <c r="L2021" s="375"/>
      <c r="M2021" s="368"/>
      <c r="N2021" s="368"/>
      <c r="O2021" s="370"/>
      <c r="T2021" s="349"/>
      <c r="V2021" s="378"/>
      <c r="W2021" s="64" ph="1"/>
      <c r="X2021" s="241"/>
      <c r="Y2021" s="284"/>
      <c r="Z2021" s="207"/>
      <c r="AA2021" s="284"/>
      <c r="AB2021" s="284"/>
      <c r="AC2021" s="284"/>
      <c r="AD2021" s="284"/>
      <c r="AE2021" s="284"/>
      <c r="AF2021" s="284"/>
      <c r="AG2021" s="284"/>
    </row>
    <row r="2022" spans="1:33" ht="26.4">
      <c r="A2022" s="284"/>
      <c r="B2022" s="284"/>
      <c r="C2022" s="284"/>
      <c r="D2022" s="284"/>
      <c r="E2022" s="284"/>
      <c r="F2022" s="284"/>
      <c r="G2022" s="284"/>
      <c r="H2022" s="284"/>
      <c r="I2022" s="284"/>
      <c r="J2022" s="375"/>
      <c r="K2022" s="375"/>
      <c r="L2022" s="375"/>
      <c r="M2022" s="368"/>
      <c r="N2022" s="368"/>
      <c r="O2022" s="370"/>
      <c r="T2022" s="349"/>
      <c r="V2022" s="378"/>
      <c r="W2022" s="64" ph="1"/>
      <c r="X2022" s="241"/>
      <c r="Y2022" s="284"/>
      <c r="Z2022" s="207"/>
      <c r="AA2022" s="284"/>
      <c r="AB2022" s="284"/>
      <c r="AC2022" s="284"/>
      <c r="AD2022" s="284"/>
      <c r="AE2022" s="284"/>
      <c r="AF2022" s="284"/>
      <c r="AG2022" s="284"/>
    </row>
    <row r="2023" spans="1:33" ht="26.4">
      <c r="A2023" s="284"/>
      <c r="B2023" s="284"/>
      <c r="C2023" s="284"/>
      <c r="D2023" s="284"/>
      <c r="E2023" s="284"/>
      <c r="F2023" s="284"/>
      <c r="G2023" s="284"/>
      <c r="H2023" s="284"/>
      <c r="I2023" s="284"/>
      <c r="J2023" s="375"/>
      <c r="K2023" s="375"/>
      <c r="L2023" s="375"/>
      <c r="M2023" s="368"/>
      <c r="N2023" s="368"/>
      <c r="O2023" s="370"/>
      <c r="T2023" s="349"/>
      <c r="V2023" s="378"/>
      <c r="W2023" s="64" ph="1"/>
      <c r="X2023" s="241"/>
      <c r="Y2023" s="284"/>
      <c r="Z2023" s="207"/>
      <c r="AA2023" s="284"/>
      <c r="AB2023" s="284"/>
      <c r="AC2023" s="284"/>
      <c r="AD2023" s="284"/>
      <c r="AE2023" s="284"/>
      <c r="AF2023" s="284"/>
      <c r="AG2023" s="284"/>
    </row>
    <row r="2024" spans="1:33" ht="26.4">
      <c r="A2024" s="284"/>
      <c r="B2024" s="284"/>
      <c r="C2024" s="284"/>
      <c r="D2024" s="284"/>
      <c r="E2024" s="284"/>
      <c r="F2024" s="284"/>
      <c r="G2024" s="284"/>
      <c r="H2024" s="284"/>
      <c r="I2024" s="284"/>
      <c r="J2024" s="375"/>
      <c r="K2024" s="375"/>
      <c r="L2024" s="375"/>
      <c r="M2024" s="368"/>
      <c r="N2024" s="368"/>
      <c r="O2024" s="370"/>
      <c r="T2024" s="349"/>
      <c r="V2024" s="378"/>
      <c r="W2024" s="64" ph="1"/>
      <c r="X2024" s="241"/>
      <c r="Y2024" s="284"/>
      <c r="Z2024" s="207"/>
      <c r="AA2024" s="284"/>
      <c r="AB2024" s="284"/>
      <c r="AC2024" s="284"/>
      <c r="AD2024" s="284"/>
      <c r="AE2024" s="284"/>
      <c r="AF2024" s="284"/>
      <c r="AG2024" s="284"/>
    </row>
    <row r="2025" spans="1:33" ht="26.4">
      <c r="A2025" s="284"/>
      <c r="B2025" s="284"/>
      <c r="C2025" s="284"/>
      <c r="D2025" s="284"/>
      <c r="E2025" s="284"/>
      <c r="F2025" s="284"/>
      <c r="G2025" s="284"/>
      <c r="H2025" s="284"/>
      <c r="I2025" s="284"/>
      <c r="J2025" s="375"/>
      <c r="K2025" s="375"/>
      <c r="L2025" s="375"/>
      <c r="M2025" s="368"/>
      <c r="N2025" s="368"/>
      <c r="O2025" s="370"/>
      <c r="T2025" s="349"/>
      <c r="V2025" s="378"/>
      <c r="W2025" s="64" ph="1"/>
      <c r="X2025" s="241"/>
      <c r="Y2025" s="284"/>
      <c r="Z2025" s="207"/>
      <c r="AA2025" s="284"/>
      <c r="AB2025" s="284"/>
      <c r="AC2025" s="284"/>
      <c r="AD2025" s="284"/>
      <c r="AE2025" s="284"/>
      <c r="AF2025" s="284"/>
      <c r="AG2025" s="284"/>
    </row>
    <row r="2026" spans="1:33" ht="26.4">
      <c r="A2026" s="284"/>
      <c r="B2026" s="284"/>
      <c r="C2026" s="284"/>
      <c r="D2026" s="284"/>
      <c r="E2026" s="284"/>
      <c r="F2026" s="284"/>
      <c r="G2026" s="284"/>
      <c r="H2026" s="284"/>
      <c r="I2026" s="284"/>
      <c r="J2026" s="375"/>
      <c r="K2026" s="375"/>
      <c r="L2026" s="375"/>
      <c r="M2026" s="368"/>
      <c r="N2026" s="368"/>
      <c r="O2026" s="370"/>
      <c r="T2026" s="349"/>
      <c r="V2026" s="378"/>
      <c r="W2026" s="64" ph="1"/>
      <c r="X2026" s="241"/>
      <c r="Y2026" s="284"/>
      <c r="Z2026" s="207"/>
      <c r="AA2026" s="284"/>
      <c r="AB2026" s="284"/>
      <c r="AC2026" s="284"/>
      <c r="AD2026" s="284"/>
      <c r="AE2026" s="284"/>
      <c r="AF2026" s="284"/>
      <c r="AG2026" s="284"/>
    </row>
    <row r="2027" spans="1:33" ht="26.4">
      <c r="A2027" s="284"/>
      <c r="B2027" s="284"/>
      <c r="C2027" s="284"/>
      <c r="D2027" s="284"/>
      <c r="E2027" s="284"/>
      <c r="F2027" s="284"/>
      <c r="G2027" s="284"/>
      <c r="H2027" s="284"/>
      <c r="I2027" s="284"/>
      <c r="J2027" s="375"/>
      <c r="K2027" s="375"/>
      <c r="L2027" s="375"/>
      <c r="M2027" s="368"/>
      <c r="N2027" s="368"/>
      <c r="O2027" s="370"/>
      <c r="T2027" s="349"/>
      <c r="V2027" s="378"/>
      <c r="W2027" s="64" ph="1"/>
      <c r="X2027" s="241"/>
      <c r="Y2027" s="284"/>
      <c r="Z2027" s="207"/>
      <c r="AA2027" s="284"/>
      <c r="AB2027" s="284"/>
      <c r="AC2027" s="284"/>
      <c r="AD2027" s="284"/>
      <c r="AE2027" s="284"/>
      <c r="AF2027" s="284"/>
      <c r="AG2027" s="284"/>
    </row>
    <row r="2028" spans="1:33" ht="26.4">
      <c r="A2028" s="284"/>
      <c r="B2028" s="284"/>
      <c r="C2028" s="284"/>
      <c r="D2028" s="284"/>
      <c r="E2028" s="284"/>
      <c r="F2028" s="284"/>
      <c r="G2028" s="284"/>
      <c r="H2028" s="284"/>
      <c r="I2028" s="284"/>
      <c r="J2028" s="375"/>
      <c r="K2028" s="375"/>
      <c r="L2028" s="375"/>
      <c r="M2028" s="368"/>
      <c r="N2028" s="368"/>
      <c r="O2028" s="370"/>
      <c r="T2028" s="349"/>
      <c r="V2028" s="378"/>
      <c r="W2028" s="64" ph="1"/>
      <c r="X2028" s="241"/>
      <c r="Y2028" s="284"/>
      <c r="Z2028" s="207"/>
      <c r="AA2028" s="284"/>
      <c r="AB2028" s="284"/>
      <c r="AC2028" s="284"/>
      <c r="AD2028" s="284"/>
      <c r="AE2028" s="284"/>
      <c r="AF2028" s="284"/>
      <c r="AG2028" s="284"/>
    </row>
    <row r="2029" spans="1:33" ht="26.4">
      <c r="A2029" s="284"/>
      <c r="B2029" s="284"/>
      <c r="C2029" s="284"/>
      <c r="D2029" s="284"/>
      <c r="E2029" s="284"/>
      <c r="F2029" s="284"/>
      <c r="G2029" s="284"/>
      <c r="H2029" s="284"/>
      <c r="I2029" s="284"/>
      <c r="J2029" s="375"/>
      <c r="K2029" s="375"/>
      <c r="L2029" s="375"/>
      <c r="M2029" s="368"/>
      <c r="N2029" s="368"/>
      <c r="O2029" s="370"/>
      <c r="T2029" s="349"/>
      <c r="V2029" s="378"/>
      <c r="W2029" s="64" ph="1"/>
      <c r="X2029" s="241"/>
      <c r="Y2029" s="284"/>
      <c r="Z2029" s="207"/>
      <c r="AA2029" s="284"/>
      <c r="AB2029" s="284"/>
      <c r="AC2029" s="284"/>
      <c r="AD2029" s="284"/>
      <c r="AE2029" s="284"/>
      <c r="AF2029" s="284"/>
      <c r="AG2029" s="284"/>
    </row>
    <row r="2030" spans="1:33" ht="26.4">
      <c r="A2030" s="284"/>
      <c r="B2030" s="284"/>
      <c r="C2030" s="284"/>
      <c r="D2030" s="284"/>
      <c r="E2030" s="284"/>
      <c r="F2030" s="284"/>
      <c r="G2030" s="284"/>
      <c r="H2030" s="284"/>
      <c r="I2030" s="284"/>
      <c r="J2030" s="375"/>
      <c r="K2030" s="375"/>
      <c r="L2030" s="375"/>
      <c r="M2030" s="368"/>
      <c r="N2030" s="368"/>
      <c r="O2030" s="370"/>
      <c r="T2030" s="349"/>
      <c r="V2030" s="378"/>
      <c r="W2030" s="64" ph="1"/>
      <c r="X2030" s="241"/>
      <c r="Y2030" s="284"/>
      <c r="Z2030" s="207"/>
      <c r="AA2030" s="284"/>
      <c r="AB2030" s="284"/>
      <c r="AC2030" s="284"/>
      <c r="AD2030" s="284"/>
      <c r="AE2030" s="284"/>
      <c r="AF2030" s="284"/>
      <c r="AG2030" s="284"/>
    </row>
    <row r="2031" spans="1:33" ht="26.4">
      <c r="A2031" s="284"/>
      <c r="B2031" s="284"/>
      <c r="C2031" s="284"/>
      <c r="D2031" s="284"/>
      <c r="E2031" s="284"/>
      <c r="F2031" s="284"/>
      <c r="G2031" s="284"/>
      <c r="H2031" s="284"/>
      <c r="I2031" s="284"/>
      <c r="J2031" s="375"/>
      <c r="K2031" s="375"/>
      <c r="L2031" s="375"/>
      <c r="M2031" s="368"/>
      <c r="N2031" s="368"/>
      <c r="O2031" s="370"/>
      <c r="T2031" s="349"/>
      <c r="V2031" s="378"/>
      <c r="W2031" s="64" ph="1"/>
      <c r="X2031" s="241"/>
      <c r="Y2031" s="284"/>
      <c r="Z2031" s="207"/>
      <c r="AA2031" s="284"/>
      <c r="AB2031" s="284"/>
      <c r="AC2031" s="284"/>
      <c r="AD2031" s="284"/>
      <c r="AE2031" s="284"/>
      <c r="AF2031" s="284"/>
      <c r="AG2031" s="284"/>
    </row>
    <row r="2032" spans="1:33" ht="26.4">
      <c r="A2032" s="284"/>
      <c r="B2032" s="284"/>
      <c r="C2032" s="284"/>
      <c r="D2032" s="284"/>
      <c r="E2032" s="284"/>
      <c r="F2032" s="284"/>
      <c r="G2032" s="284"/>
      <c r="H2032" s="284"/>
      <c r="I2032" s="284"/>
      <c r="J2032" s="375"/>
      <c r="K2032" s="375"/>
      <c r="L2032" s="375"/>
      <c r="M2032" s="368"/>
      <c r="N2032" s="368"/>
      <c r="O2032" s="370"/>
      <c r="T2032" s="349"/>
      <c r="V2032" s="378"/>
      <c r="W2032" s="64" ph="1"/>
      <c r="X2032" s="241"/>
      <c r="Y2032" s="284"/>
      <c r="Z2032" s="207"/>
      <c r="AA2032" s="284"/>
      <c r="AB2032" s="284"/>
      <c r="AC2032" s="284"/>
      <c r="AD2032" s="284"/>
      <c r="AE2032" s="284"/>
      <c r="AF2032" s="284"/>
      <c r="AG2032" s="284"/>
    </row>
    <row r="2033" spans="1:33" ht="26.4">
      <c r="A2033" s="284"/>
      <c r="B2033" s="284"/>
      <c r="C2033" s="284"/>
      <c r="D2033" s="284"/>
      <c r="E2033" s="284"/>
      <c r="F2033" s="284"/>
      <c r="G2033" s="284"/>
      <c r="H2033" s="284"/>
      <c r="I2033" s="284"/>
      <c r="J2033" s="375"/>
      <c r="K2033" s="375"/>
      <c r="L2033" s="375"/>
      <c r="M2033" s="368"/>
      <c r="N2033" s="368"/>
      <c r="O2033" s="370"/>
      <c r="T2033" s="349"/>
      <c r="V2033" s="378"/>
      <c r="W2033" s="64" ph="1"/>
      <c r="X2033" s="241"/>
      <c r="Y2033" s="284"/>
      <c r="Z2033" s="207"/>
      <c r="AA2033" s="284"/>
      <c r="AB2033" s="284"/>
      <c r="AC2033" s="284"/>
      <c r="AD2033" s="284"/>
      <c r="AE2033" s="284"/>
      <c r="AF2033" s="284"/>
      <c r="AG2033" s="284"/>
    </row>
    <row r="2034" spans="1:33" ht="26.4">
      <c r="A2034" s="284"/>
      <c r="B2034" s="284"/>
      <c r="C2034" s="284"/>
      <c r="D2034" s="284"/>
      <c r="E2034" s="284"/>
      <c r="F2034" s="284"/>
      <c r="G2034" s="284"/>
      <c r="H2034" s="284"/>
      <c r="I2034" s="284"/>
      <c r="J2034" s="375"/>
      <c r="K2034" s="375"/>
      <c r="L2034" s="375"/>
      <c r="M2034" s="368"/>
      <c r="N2034" s="368"/>
      <c r="O2034" s="370"/>
      <c r="T2034" s="349"/>
      <c r="V2034" s="378"/>
      <c r="W2034" s="64" ph="1"/>
      <c r="X2034" s="241"/>
      <c r="Y2034" s="284"/>
      <c r="Z2034" s="207"/>
      <c r="AA2034" s="284"/>
      <c r="AB2034" s="284"/>
      <c r="AC2034" s="284"/>
      <c r="AD2034" s="284"/>
      <c r="AE2034" s="284"/>
      <c r="AF2034" s="284"/>
      <c r="AG2034" s="284"/>
    </row>
    <row r="2035" spans="1:33" ht="26.4">
      <c r="A2035" s="284"/>
      <c r="B2035" s="284"/>
      <c r="C2035" s="284"/>
      <c r="D2035" s="284"/>
      <c r="E2035" s="284"/>
      <c r="F2035" s="284"/>
      <c r="G2035" s="284"/>
      <c r="H2035" s="284"/>
      <c r="I2035" s="284"/>
      <c r="J2035" s="375"/>
      <c r="K2035" s="375"/>
      <c r="L2035" s="375"/>
      <c r="M2035" s="368"/>
      <c r="N2035" s="368"/>
      <c r="O2035" s="370"/>
      <c r="T2035" s="349"/>
      <c r="V2035" s="378"/>
      <c r="W2035" s="64" ph="1"/>
      <c r="X2035" s="241"/>
      <c r="Y2035" s="284"/>
      <c r="Z2035" s="207"/>
      <c r="AA2035" s="284"/>
      <c r="AB2035" s="284"/>
      <c r="AC2035" s="284"/>
      <c r="AD2035" s="284"/>
      <c r="AE2035" s="284"/>
      <c r="AF2035" s="284"/>
      <c r="AG2035" s="284"/>
    </row>
    <row r="2036" spans="1:33" ht="26.4">
      <c r="A2036" s="284"/>
      <c r="B2036" s="284"/>
      <c r="C2036" s="284"/>
      <c r="D2036" s="284"/>
      <c r="E2036" s="284"/>
      <c r="F2036" s="284"/>
      <c r="G2036" s="284"/>
      <c r="H2036" s="284"/>
      <c r="I2036" s="284"/>
      <c r="J2036" s="375"/>
      <c r="K2036" s="375"/>
      <c r="L2036" s="375"/>
      <c r="M2036" s="368"/>
      <c r="N2036" s="368"/>
      <c r="O2036" s="370"/>
      <c r="T2036" s="349"/>
      <c r="V2036" s="378"/>
      <c r="W2036" s="64" ph="1"/>
      <c r="X2036" s="241"/>
      <c r="Y2036" s="284"/>
      <c r="Z2036" s="207"/>
      <c r="AA2036" s="284"/>
      <c r="AB2036" s="284"/>
      <c r="AC2036" s="284"/>
      <c r="AD2036" s="284"/>
      <c r="AE2036" s="284"/>
      <c r="AF2036" s="284"/>
      <c r="AG2036" s="284"/>
    </row>
    <row r="2037" spans="1:33" ht="26.4">
      <c r="A2037" s="284"/>
      <c r="B2037" s="284"/>
      <c r="C2037" s="284"/>
      <c r="D2037" s="284"/>
      <c r="E2037" s="284"/>
      <c r="F2037" s="284"/>
      <c r="G2037" s="284"/>
      <c r="H2037" s="284"/>
      <c r="I2037" s="284"/>
      <c r="J2037" s="375"/>
      <c r="K2037" s="375"/>
      <c r="L2037" s="375"/>
      <c r="M2037" s="368"/>
      <c r="N2037" s="368"/>
      <c r="O2037" s="370"/>
      <c r="T2037" s="349"/>
      <c r="V2037" s="378"/>
      <c r="W2037" s="64" ph="1"/>
      <c r="X2037" s="241"/>
      <c r="Y2037" s="284"/>
      <c r="Z2037" s="207"/>
      <c r="AA2037" s="284"/>
      <c r="AB2037" s="284"/>
      <c r="AC2037" s="284"/>
      <c r="AD2037" s="284"/>
      <c r="AE2037" s="284"/>
      <c r="AF2037" s="284"/>
      <c r="AG2037" s="284"/>
    </row>
    <row r="2038" spans="1:33" ht="26.4">
      <c r="A2038" s="284"/>
      <c r="B2038" s="284"/>
      <c r="C2038" s="284"/>
      <c r="D2038" s="284"/>
      <c r="E2038" s="284"/>
      <c r="F2038" s="284"/>
      <c r="G2038" s="284"/>
      <c r="H2038" s="284"/>
      <c r="I2038" s="284"/>
      <c r="J2038" s="375"/>
      <c r="K2038" s="375"/>
      <c r="L2038" s="375"/>
      <c r="M2038" s="368"/>
      <c r="N2038" s="368"/>
      <c r="O2038" s="370"/>
      <c r="T2038" s="349"/>
      <c r="V2038" s="378"/>
      <c r="W2038" s="64" ph="1"/>
      <c r="X2038" s="241"/>
      <c r="Y2038" s="284"/>
      <c r="Z2038" s="207"/>
      <c r="AA2038" s="284"/>
      <c r="AB2038" s="284"/>
      <c r="AC2038" s="284"/>
      <c r="AD2038" s="284"/>
      <c r="AE2038" s="284"/>
      <c r="AF2038" s="284"/>
      <c r="AG2038" s="284"/>
    </row>
    <row r="2039" spans="1:33" ht="26.4">
      <c r="A2039" s="284"/>
      <c r="B2039" s="284"/>
      <c r="C2039" s="284"/>
      <c r="D2039" s="284"/>
      <c r="E2039" s="284"/>
      <c r="F2039" s="284"/>
      <c r="G2039" s="284"/>
      <c r="H2039" s="284"/>
      <c r="I2039" s="284"/>
      <c r="J2039" s="375"/>
      <c r="K2039" s="375"/>
      <c r="L2039" s="375"/>
      <c r="M2039" s="368"/>
      <c r="N2039" s="368"/>
      <c r="O2039" s="370"/>
      <c r="T2039" s="349"/>
      <c r="V2039" s="378"/>
      <c r="W2039" s="64" ph="1"/>
      <c r="X2039" s="241"/>
      <c r="Y2039" s="284"/>
      <c r="Z2039" s="207"/>
      <c r="AA2039" s="284"/>
      <c r="AB2039" s="284"/>
      <c r="AC2039" s="284"/>
      <c r="AD2039" s="284"/>
      <c r="AE2039" s="284"/>
      <c r="AF2039" s="284"/>
      <c r="AG2039" s="284"/>
    </row>
    <row r="2040" spans="1:33" ht="26.4">
      <c r="A2040" s="284"/>
      <c r="B2040" s="284"/>
      <c r="C2040" s="284"/>
      <c r="D2040" s="284"/>
      <c r="E2040" s="284"/>
      <c r="F2040" s="284"/>
      <c r="G2040" s="284"/>
      <c r="H2040" s="284"/>
      <c r="I2040" s="284"/>
      <c r="J2040" s="375"/>
      <c r="K2040" s="375"/>
      <c r="L2040" s="375"/>
      <c r="M2040" s="368"/>
      <c r="N2040" s="368"/>
      <c r="O2040" s="370"/>
      <c r="T2040" s="349"/>
      <c r="V2040" s="378"/>
      <c r="W2040" s="64" ph="1"/>
      <c r="X2040" s="241"/>
      <c r="Y2040" s="284"/>
      <c r="Z2040" s="207"/>
      <c r="AA2040" s="284"/>
      <c r="AB2040" s="284"/>
      <c r="AC2040" s="284"/>
      <c r="AD2040" s="284"/>
      <c r="AE2040" s="284"/>
      <c r="AF2040" s="284"/>
      <c r="AG2040" s="284"/>
    </row>
    <row r="2041" spans="1:33" ht="26.4">
      <c r="A2041" s="284"/>
      <c r="B2041" s="284"/>
      <c r="C2041" s="284"/>
      <c r="D2041" s="284"/>
      <c r="E2041" s="284"/>
      <c r="F2041" s="284"/>
      <c r="G2041" s="284"/>
      <c r="H2041" s="284"/>
      <c r="I2041" s="284"/>
      <c r="J2041" s="375"/>
      <c r="K2041" s="375"/>
      <c r="L2041" s="375"/>
      <c r="M2041" s="368"/>
      <c r="N2041" s="368"/>
      <c r="O2041" s="370"/>
      <c r="T2041" s="349"/>
      <c r="V2041" s="378"/>
      <c r="W2041" s="64" ph="1"/>
      <c r="X2041" s="241"/>
      <c r="Y2041" s="284"/>
      <c r="Z2041" s="207"/>
      <c r="AA2041" s="284"/>
      <c r="AB2041" s="284"/>
      <c r="AC2041" s="284"/>
      <c r="AD2041" s="284"/>
      <c r="AE2041" s="284"/>
      <c r="AF2041" s="284"/>
      <c r="AG2041" s="284"/>
    </row>
    <row r="2042" spans="1:33" ht="26.4">
      <c r="A2042" s="284"/>
      <c r="B2042" s="284"/>
      <c r="C2042" s="284"/>
      <c r="D2042" s="284"/>
      <c r="E2042" s="284"/>
      <c r="F2042" s="284"/>
      <c r="G2042" s="284"/>
      <c r="H2042" s="284"/>
      <c r="I2042" s="284"/>
      <c r="J2042" s="375"/>
      <c r="K2042" s="375"/>
      <c r="L2042" s="375"/>
      <c r="M2042" s="368"/>
      <c r="N2042" s="368"/>
      <c r="O2042" s="370"/>
      <c r="T2042" s="349"/>
      <c r="V2042" s="378"/>
      <c r="W2042" s="64" ph="1"/>
      <c r="X2042" s="241"/>
      <c r="Y2042" s="284"/>
      <c r="Z2042" s="207"/>
      <c r="AA2042" s="284"/>
      <c r="AB2042" s="284"/>
      <c r="AC2042" s="284"/>
      <c r="AD2042" s="284"/>
      <c r="AE2042" s="284"/>
      <c r="AF2042" s="284"/>
      <c r="AG2042" s="284"/>
    </row>
    <row r="2043" spans="1:33" ht="26.4">
      <c r="A2043" s="284"/>
      <c r="B2043" s="284"/>
      <c r="C2043" s="284"/>
      <c r="D2043" s="284"/>
      <c r="E2043" s="284"/>
      <c r="F2043" s="284"/>
      <c r="G2043" s="284"/>
      <c r="H2043" s="284"/>
      <c r="I2043" s="284"/>
      <c r="J2043" s="375"/>
      <c r="K2043" s="375"/>
      <c r="L2043" s="375"/>
      <c r="M2043" s="368"/>
      <c r="N2043" s="368"/>
      <c r="O2043" s="370"/>
      <c r="T2043" s="349"/>
      <c r="V2043" s="378"/>
      <c r="W2043" s="64" ph="1"/>
      <c r="X2043" s="241"/>
      <c r="Y2043" s="284"/>
      <c r="Z2043" s="207"/>
      <c r="AA2043" s="284"/>
      <c r="AB2043" s="284"/>
      <c r="AC2043" s="284"/>
      <c r="AD2043" s="284"/>
      <c r="AE2043" s="284"/>
      <c r="AF2043" s="284"/>
      <c r="AG2043" s="284"/>
    </row>
    <row r="2044" spans="1:33" ht="26.4">
      <c r="A2044" s="284"/>
      <c r="B2044" s="284"/>
      <c r="C2044" s="284"/>
      <c r="D2044" s="284"/>
      <c r="E2044" s="284"/>
      <c r="F2044" s="284"/>
      <c r="G2044" s="284"/>
      <c r="H2044" s="284"/>
      <c r="I2044" s="284"/>
      <c r="J2044" s="375"/>
      <c r="K2044" s="375"/>
      <c r="L2044" s="375"/>
      <c r="M2044" s="368"/>
      <c r="N2044" s="368"/>
      <c r="O2044" s="370"/>
      <c r="T2044" s="349"/>
      <c r="V2044" s="378"/>
      <c r="W2044" s="64" ph="1"/>
      <c r="X2044" s="241"/>
      <c r="Y2044" s="284"/>
      <c r="Z2044" s="207"/>
      <c r="AA2044" s="284"/>
      <c r="AB2044" s="284"/>
      <c r="AC2044" s="284"/>
      <c r="AD2044" s="284"/>
      <c r="AE2044" s="284"/>
      <c r="AF2044" s="284"/>
      <c r="AG2044" s="284"/>
    </row>
    <row r="2045" spans="1:33" ht="26.4">
      <c r="A2045" s="284"/>
      <c r="B2045" s="284"/>
      <c r="C2045" s="284"/>
      <c r="D2045" s="284"/>
      <c r="E2045" s="284"/>
      <c r="F2045" s="284"/>
      <c r="G2045" s="284"/>
      <c r="H2045" s="284"/>
      <c r="I2045" s="284"/>
      <c r="J2045" s="375"/>
      <c r="K2045" s="375"/>
      <c r="L2045" s="375"/>
      <c r="M2045" s="368"/>
      <c r="N2045" s="368"/>
      <c r="O2045" s="370"/>
      <c r="T2045" s="349"/>
      <c r="V2045" s="378"/>
      <c r="W2045" s="64" ph="1"/>
      <c r="X2045" s="241"/>
      <c r="Y2045" s="284"/>
      <c r="Z2045" s="207"/>
      <c r="AA2045" s="284"/>
      <c r="AB2045" s="284"/>
      <c r="AC2045" s="284"/>
      <c r="AD2045" s="284"/>
      <c r="AE2045" s="284"/>
      <c r="AF2045" s="284"/>
      <c r="AG2045" s="284"/>
    </row>
    <row r="2046" spans="1:33" ht="26.4">
      <c r="A2046" s="284"/>
      <c r="B2046" s="284"/>
      <c r="C2046" s="284"/>
      <c r="D2046" s="284"/>
      <c r="E2046" s="284"/>
      <c r="F2046" s="284"/>
      <c r="G2046" s="284"/>
      <c r="H2046" s="284"/>
      <c r="I2046" s="284"/>
      <c r="J2046" s="375"/>
      <c r="K2046" s="375"/>
      <c r="L2046" s="375"/>
      <c r="M2046" s="368"/>
      <c r="N2046" s="368"/>
      <c r="O2046" s="370"/>
      <c r="T2046" s="349"/>
      <c r="V2046" s="378"/>
      <c r="W2046" s="64" ph="1"/>
      <c r="X2046" s="241"/>
      <c r="Y2046" s="284"/>
      <c r="Z2046" s="207"/>
      <c r="AA2046" s="284"/>
      <c r="AB2046" s="284"/>
      <c r="AC2046" s="284"/>
      <c r="AD2046" s="284"/>
      <c r="AE2046" s="284"/>
      <c r="AF2046" s="284"/>
      <c r="AG2046" s="284"/>
    </row>
    <row r="2047" spans="1:33" ht="26.4">
      <c r="A2047" s="284"/>
      <c r="B2047" s="284"/>
      <c r="C2047" s="284"/>
      <c r="D2047" s="284"/>
      <c r="E2047" s="284"/>
      <c r="F2047" s="284"/>
      <c r="G2047" s="284"/>
      <c r="H2047" s="284"/>
      <c r="I2047" s="284"/>
      <c r="J2047" s="375"/>
      <c r="K2047" s="375"/>
      <c r="L2047" s="375"/>
      <c r="M2047" s="368"/>
      <c r="N2047" s="368"/>
      <c r="O2047" s="370"/>
      <c r="T2047" s="349"/>
      <c r="V2047" s="378"/>
      <c r="W2047" s="64" ph="1"/>
      <c r="X2047" s="241"/>
      <c r="Y2047" s="284"/>
      <c r="Z2047" s="207"/>
      <c r="AA2047" s="284"/>
      <c r="AB2047" s="284"/>
      <c r="AC2047" s="284"/>
      <c r="AD2047" s="284"/>
      <c r="AE2047" s="284"/>
      <c r="AF2047" s="284"/>
      <c r="AG2047" s="284"/>
    </row>
    <row r="2048" spans="1:33" ht="26.4">
      <c r="A2048" s="284"/>
      <c r="B2048" s="284"/>
      <c r="C2048" s="284"/>
      <c r="D2048" s="284"/>
      <c r="E2048" s="284"/>
      <c r="F2048" s="284"/>
      <c r="G2048" s="284"/>
      <c r="H2048" s="284"/>
      <c r="I2048" s="284"/>
      <c r="J2048" s="375"/>
      <c r="K2048" s="375"/>
      <c r="L2048" s="375"/>
      <c r="M2048" s="368"/>
      <c r="N2048" s="368"/>
      <c r="O2048" s="370"/>
      <c r="T2048" s="349"/>
      <c r="V2048" s="378"/>
      <c r="W2048" s="64" ph="1"/>
      <c r="X2048" s="241"/>
      <c r="Y2048" s="284"/>
      <c r="Z2048" s="207"/>
      <c r="AA2048" s="284"/>
      <c r="AB2048" s="284"/>
      <c r="AC2048" s="284"/>
      <c r="AD2048" s="284"/>
      <c r="AE2048" s="284"/>
      <c r="AF2048" s="284"/>
      <c r="AG2048" s="284"/>
    </row>
    <row r="2049" spans="1:33" ht="26.4">
      <c r="A2049" s="284"/>
      <c r="B2049" s="284"/>
      <c r="C2049" s="284"/>
      <c r="D2049" s="284"/>
      <c r="E2049" s="284"/>
      <c r="F2049" s="284"/>
      <c r="G2049" s="284"/>
      <c r="H2049" s="284"/>
      <c r="I2049" s="284"/>
      <c r="J2049" s="375"/>
      <c r="K2049" s="375"/>
      <c r="L2049" s="375"/>
      <c r="M2049" s="368"/>
      <c r="N2049" s="368"/>
      <c r="O2049" s="370"/>
      <c r="T2049" s="349"/>
      <c r="V2049" s="378"/>
      <c r="W2049" s="64" ph="1"/>
      <c r="X2049" s="241"/>
      <c r="Y2049" s="284"/>
      <c r="Z2049" s="207"/>
      <c r="AA2049" s="284"/>
      <c r="AB2049" s="284"/>
      <c r="AC2049" s="284"/>
      <c r="AD2049" s="284"/>
      <c r="AE2049" s="284"/>
      <c r="AF2049" s="284"/>
      <c r="AG2049" s="284"/>
    </row>
    <row r="2050" spans="1:33" ht="26.4">
      <c r="A2050" s="284"/>
      <c r="B2050" s="284"/>
      <c r="C2050" s="284"/>
      <c r="D2050" s="284"/>
      <c r="E2050" s="284"/>
      <c r="F2050" s="284"/>
      <c r="G2050" s="284"/>
      <c r="H2050" s="284"/>
      <c r="I2050" s="284"/>
      <c r="J2050" s="375"/>
      <c r="K2050" s="375"/>
      <c r="L2050" s="375"/>
      <c r="M2050" s="368"/>
      <c r="N2050" s="368"/>
      <c r="O2050" s="370"/>
      <c r="T2050" s="349"/>
      <c r="V2050" s="378"/>
      <c r="W2050" s="64" ph="1"/>
      <c r="X2050" s="241"/>
      <c r="Y2050" s="284"/>
      <c r="Z2050" s="207"/>
      <c r="AA2050" s="284"/>
      <c r="AB2050" s="284"/>
      <c r="AC2050" s="284"/>
      <c r="AD2050" s="284"/>
      <c r="AE2050" s="284"/>
      <c r="AF2050" s="284"/>
      <c r="AG2050" s="284"/>
    </row>
    <row r="2051" spans="1:33" ht="26.4">
      <c r="A2051" s="284"/>
      <c r="B2051" s="284"/>
      <c r="C2051" s="284"/>
      <c r="D2051" s="284"/>
      <c r="E2051" s="284"/>
      <c r="F2051" s="284"/>
      <c r="G2051" s="284"/>
      <c r="H2051" s="284"/>
      <c r="I2051" s="284"/>
      <c r="J2051" s="375"/>
      <c r="K2051" s="375"/>
      <c r="L2051" s="375"/>
      <c r="M2051" s="368"/>
      <c r="N2051" s="368"/>
      <c r="O2051" s="370"/>
      <c r="T2051" s="349"/>
      <c r="V2051" s="378"/>
      <c r="W2051" s="64" ph="1"/>
      <c r="X2051" s="241"/>
      <c r="Y2051" s="284"/>
      <c r="Z2051" s="207"/>
      <c r="AA2051" s="284"/>
      <c r="AB2051" s="284"/>
      <c r="AC2051" s="284"/>
      <c r="AD2051" s="284"/>
      <c r="AE2051" s="284"/>
      <c r="AF2051" s="284"/>
      <c r="AG2051" s="284"/>
    </row>
    <row r="2052" spans="1:33" ht="26.4">
      <c r="A2052" s="284"/>
      <c r="B2052" s="284"/>
      <c r="C2052" s="284"/>
      <c r="D2052" s="284"/>
      <c r="E2052" s="284"/>
      <c r="F2052" s="284"/>
      <c r="G2052" s="284"/>
      <c r="H2052" s="284"/>
      <c r="I2052" s="284"/>
      <c r="J2052" s="375"/>
      <c r="K2052" s="375"/>
      <c r="L2052" s="375"/>
      <c r="M2052" s="368"/>
      <c r="N2052" s="368"/>
      <c r="O2052" s="370"/>
      <c r="T2052" s="349"/>
      <c r="V2052" s="378"/>
      <c r="W2052" s="64" ph="1"/>
      <c r="X2052" s="241"/>
      <c r="Y2052" s="284"/>
      <c r="Z2052" s="207"/>
      <c r="AA2052" s="284"/>
      <c r="AB2052" s="284"/>
      <c r="AC2052" s="284"/>
      <c r="AD2052" s="284"/>
      <c r="AE2052" s="284"/>
      <c r="AF2052" s="284"/>
      <c r="AG2052" s="284"/>
    </row>
    <row r="2053" spans="1:33" ht="26.4">
      <c r="A2053" s="284"/>
      <c r="B2053" s="284"/>
      <c r="C2053" s="284"/>
      <c r="D2053" s="284"/>
      <c r="E2053" s="284"/>
      <c r="F2053" s="284"/>
      <c r="G2053" s="284"/>
      <c r="H2053" s="284"/>
      <c r="I2053" s="284"/>
      <c r="J2053" s="375"/>
      <c r="K2053" s="375"/>
      <c r="L2053" s="375"/>
      <c r="M2053" s="368"/>
      <c r="N2053" s="368"/>
      <c r="O2053" s="370"/>
      <c r="T2053" s="349"/>
      <c r="V2053" s="378"/>
      <c r="W2053" s="64" ph="1"/>
      <c r="X2053" s="241"/>
      <c r="Y2053" s="284"/>
      <c r="Z2053" s="207"/>
      <c r="AA2053" s="284"/>
      <c r="AB2053" s="284"/>
      <c r="AC2053" s="284"/>
      <c r="AD2053" s="284"/>
      <c r="AE2053" s="284"/>
      <c r="AF2053" s="284"/>
      <c r="AG2053" s="284"/>
    </row>
    <row r="2054" spans="1:33" ht="26.4">
      <c r="A2054" s="284"/>
      <c r="B2054" s="284"/>
      <c r="C2054" s="284"/>
      <c r="D2054" s="284"/>
      <c r="E2054" s="284"/>
      <c r="F2054" s="284"/>
      <c r="G2054" s="284"/>
      <c r="H2054" s="284"/>
      <c r="I2054" s="284"/>
      <c r="J2054" s="375"/>
      <c r="K2054" s="375"/>
      <c r="L2054" s="375"/>
      <c r="M2054" s="368"/>
      <c r="N2054" s="368"/>
      <c r="O2054" s="370"/>
      <c r="T2054" s="349"/>
      <c r="V2054" s="378"/>
      <c r="W2054" s="64" ph="1"/>
      <c r="X2054" s="241"/>
      <c r="Y2054" s="284"/>
      <c r="Z2054" s="207"/>
      <c r="AA2054" s="284"/>
      <c r="AB2054" s="284"/>
      <c r="AC2054" s="284"/>
      <c r="AD2054" s="284"/>
      <c r="AE2054" s="284"/>
      <c r="AF2054" s="284"/>
      <c r="AG2054" s="284"/>
    </row>
    <row r="2055" spans="1:33" ht="26.4">
      <c r="A2055" s="284"/>
      <c r="B2055" s="284"/>
      <c r="C2055" s="284"/>
      <c r="D2055" s="284"/>
      <c r="E2055" s="284"/>
      <c r="F2055" s="284"/>
      <c r="G2055" s="284"/>
      <c r="H2055" s="284"/>
      <c r="I2055" s="284"/>
      <c r="J2055" s="375"/>
      <c r="K2055" s="375"/>
      <c r="L2055" s="375"/>
      <c r="M2055" s="368"/>
      <c r="N2055" s="368"/>
      <c r="O2055" s="370"/>
      <c r="T2055" s="349"/>
      <c r="V2055" s="378"/>
      <c r="W2055" s="64" ph="1"/>
      <c r="X2055" s="241"/>
      <c r="Y2055" s="284"/>
      <c r="Z2055" s="207"/>
      <c r="AA2055" s="284"/>
      <c r="AB2055" s="284"/>
      <c r="AC2055" s="284"/>
      <c r="AD2055" s="284"/>
      <c r="AE2055" s="284"/>
      <c r="AF2055" s="284"/>
      <c r="AG2055" s="284"/>
    </row>
    <row r="2056" spans="1:33" ht="26.4">
      <c r="A2056" s="284"/>
      <c r="B2056" s="284"/>
      <c r="C2056" s="284"/>
      <c r="D2056" s="284"/>
      <c r="E2056" s="284"/>
      <c r="F2056" s="284"/>
      <c r="G2056" s="284"/>
      <c r="H2056" s="284"/>
      <c r="I2056" s="284"/>
      <c r="J2056" s="375"/>
      <c r="K2056" s="375"/>
      <c r="L2056" s="375"/>
      <c r="M2056" s="368"/>
      <c r="N2056" s="368"/>
      <c r="O2056" s="370"/>
      <c r="T2056" s="349"/>
      <c r="V2056" s="378"/>
      <c r="W2056" s="64" ph="1"/>
      <c r="X2056" s="241"/>
      <c r="Y2056" s="284"/>
      <c r="Z2056" s="207"/>
      <c r="AA2056" s="284"/>
      <c r="AB2056" s="284"/>
      <c r="AC2056" s="284"/>
      <c r="AD2056" s="284"/>
      <c r="AE2056" s="284"/>
      <c r="AF2056" s="284"/>
      <c r="AG2056" s="284"/>
    </row>
    <row r="2057" spans="1:33" ht="26.4">
      <c r="A2057" s="284"/>
      <c r="B2057" s="284"/>
      <c r="C2057" s="284"/>
      <c r="D2057" s="284"/>
      <c r="E2057" s="284"/>
      <c r="F2057" s="284"/>
      <c r="G2057" s="284"/>
      <c r="H2057" s="284"/>
      <c r="I2057" s="284"/>
      <c r="J2057" s="375"/>
      <c r="K2057" s="375"/>
      <c r="L2057" s="375"/>
      <c r="M2057" s="368"/>
      <c r="N2057" s="368"/>
      <c r="O2057" s="370"/>
      <c r="T2057" s="349"/>
      <c r="V2057" s="378"/>
      <c r="W2057" s="64" ph="1"/>
      <c r="X2057" s="241"/>
      <c r="Y2057" s="284"/>
      <c r="Z2057" s="207"/>
      <c r="AA2057" s="284"/>
      <c r="AB2057" s="284"/>
      <c r="AC2057" s="284"/>
      <c r="AD2057" s="284"/>
      <c r="AE2057" s="284"/>
      <c r="AF2057" s="284"/>
      <c r="AG2057" s="284"/>
    </row>
    <row r="2058" spans="1:33" ht="26.4">
      <c r="A2058" s="284"/>
      <c r="B2058" s="284"/>
      <c r="C2058" s="284"/>
      <c r="D2058" s="284"/>
      <c r="E2058" s="284"/>
      <c r="F2058" s="284"/>
      <c r="G2058" s="284"/>
      <c r="H2058" s="284"/>
      <c r="I2058" s="284"/>
      <c r="J2058" s="375"/>
      <c r="K2058" s="375"/>
      <c r="L2058" s="375"/>
      <c r="M2058" s="368"/>
      <c r="N2058" s="368"/>
      <c r="O2058" s="370"/>
      <c r="T2058" s="349"/>
      <c r="V2058" s="378"/>
      <c r="W2058" s="64" ph="1"/>
      <c r="X2058" s="241"/>
      <c r="Y2058" s="284"/>
      <c r="Z2058" s="207"/>
      <c r="AA2058" s="284"/>
      <c r="AB2058" s="284"/>
      <c r="AC2058" s="284"/>
      <c r="AD2058" s="284"/>
      <c r="AE2058" s="284"/>
      <c r="AF2058" s="284"/>
      <c r="AG2058" s="284"/>
    </row>
    <row r="2059" spans="1:33" ht="26.4">
      <c r="A2059" s="284"/>
      <c r="B2059" s="284"/>
      <c r="C2059" s="284"/>
      <c r="D2059" s="284"/>
      <c r="E2059" s="284"/>
      <c r="F2059" s="284"/>
      <c r="G2059" s="284"/>
      <c r="H2059" s="284"/>
      <c r="I2059" s="284"/>
      <c r="J2059" s="375"/>
      <c r="K2059" s="375"/>
      <c r="L2059" s="375"/>
      <c r="M2059" s="368"/>
      <c r="N2059" s="368"/>
      <c r="O2059" s="370"/>
      <c r="T2059" s="349"/>
      <c r="V2059" s="378"/>
      <c r="W2059" s="64" ph="1"/>
      <c r="X2059" s="241"/>
      <c r="Y2059" s="284"/>
      <c r="Z2059" s="207"/>
      <c r="AA2059" s="284"/>
      <c r="AB2059" s="284"/>
      <c r="AC2059" s="284"/>
      <c r="AD2059" s="284"/>
      <c r="AE2059" s="284"/>
      <c r="AF2059" s="284"/>
      <c r="AG2059" s="284"/>
    </row>
    <row r="2060" spans="1:33" ht="26.4">
      <c r="A2060" s="284"/>
      <c r="B2060" s="284"/>
      <c r="C2060" s="284"/>
      <c r="D2060" s="284"/>
      <c r="E2060" s="284"/>
      <c r="F2060" s="284"/>
      <c r="G2060" s="284"/>
      <c r="H2060" s="284"/>
      <c r="I2060" s="284"/>
      <c r="J2060" s="375"/>
      <c r="K2060" s="375"/>
      <c r="L2060" s="375"/>
      <c r="M2060" s="368"/>
      <c r="N2060" s="368"/>
      <c r="O2060" s="370"/>
      <c r="T2060" s="349"/>
      <c r="V2060" s="378"/>
      <c r="W2060" s="64" ph="1"/>
      <c r="X2060" s="241"/>
      <c r="Y2060" s="284"/>
      <c r="Z2060" s="207"/>
      <c r="AA2060" s="284"/>
      <c r="AB2060" s="284"/>
      <c r="AC2060" s="284"/>
      <c r="AD2060" s="284"/>
      <c r="AE2060" s="284"/>
      <c r="AF2060" s="284"/>
      <c r="AG2060" s="284"/>
    </row>
    <row r="2061" spans="1:33" ht="26.4">
      <c r="A2061" s="284"/>
      <c r="B2061" s="284"/>
      <c r="C2061" s="284"/>
      <c r="D2061" s="284"/>
      <c r="E2061" s="284"/>
      <c r="F2061" s="284"/>
      <c r="G2061" s="284"/>
      <c r="H2061" s="284"/>
      <c r="I2061" s="284"/>
      <c r="J2061" s="375"/>
      <c r="K2061" s="375"/>
      <c r="L2061" s="375"/>
      <c r="M2061" s="368"/>
      <c r="N2061" s="368"/>
      <c r="O2061" s="370"/>
      <c r="T2061" s="349"/>
      <c r="V2061" s="378"/>
      <c r="W2061" s="64" ph="1"/>
      <c r="X2061" s="241"/>
      <c r="Y2061" s="284"/>
      <c r="Z2061" s="207"/>
      <c r="AA2061" s="284"/>
      <c r="AB2061" s="284"/>
      <c r="AC2061" s="284"/>
      <c r="AD2061" s="284"/>
      <c r="AE2061" s="284"/>
      <c r="AF2061" s="284"/>
      <c r="AG2061" s="284"/>
    </row>
    <row r="2062" spans="1:33" ht="26.4">
      <c r="A2062" s="284"/>
      <c r="B2062" s="284"/>
      <c r="C2062" s="284"/>
      <c r="D2062" s="284"/>
      <c r="E2062" s="284"/>
      <c r="F2062" s="284"/>
      <c r="G2062" s="284"/>
      <c r="H2062" s="284"/>
      <c r="I2062" s="284"/>
      <c r="J2062" s="375"/>
      <c r="K2062" s="375"/>
      <c r="L2062" s="375"/>
      <c r="M2062" s="368"/>
      <c r="N2062" s="368"/>
      <c r="O2062" s="370"/>
      <c r="T2062" s="349"/>
      <c r="V2062" s="378"/>
      <c r="W2062" s="64" ph="1"/>
      <c r="X2062" s="241"/>
      <c r="Y2062" s="284"/>
      <c r="Z2062" s="207"/>
      <c r="AA2062" s="284"/>
      <c r="AB2062" s="284"/>
      <c r="AC2062" s="284"/>
      <c r="AD2062" s="284"/>
      <c r="AE2062" s="284"/>
      <c r="AF2062" s="284"/>
      <c r="AG2062" s="284"/>
    </row>
    <row r="2063" spans="1:33" ht="26.4">
      <c r="A2063" s="284"/>
      <c r="B2063" s="284"/>
      <c r="C2063" s="284"/>
      <c r="D2063" s="284"/>
      <c r="E2063" s="284"/>
      <c r="F2063" s="284"/>
      <c r="G2063" s="284"/>
      <c r="H2063" s="284"/>
      <c r="I2063" s="284"/>
      <c r="J2063" s="375"/>
      <c r="K2063" s="375"/>
      <c r="L2063" s="375"/>
      <c r="M2063" s="368"/>
      <c r="N2063" s="368"/>
      <c r="O2063" s="370"/>
      <c r="T2063" s="349"/>
      <c r="V2063" s="378"/>
      <c r="W2063" s="64" ph="1"/>
      <c r="X2063" s="241"/>
      <c r="Y2063" s="284"/>
      <c r="Z2063" s="207"/>
      <c r="AA2063" s="284"/>
      <c r="AB2063" s="284"/>
      <c r="AC2063" s="284"/>
      <c r="AD2063" s="284"/>
      <c r="AE2063" s="284"/>
      <c r="AF2063" s="284"/>
      <c r="AG2063" s="284"/>
    </row>
    <row r="2064" spans="1:33" ht="26.4">
      <c r="A2064" s="284"/>
      <c r="B2064" s="284"/>
      <c r="C2064" s="284"/>
      <c r="D2064" s="284"/>
      <c r="E2064" s="284"/>
      <c r="F2064" s="284"/>
      <c r="G2064" s="284"/>
      <c r="H2064" s="284"/>
      <c r="I2064" s="284"/>
      <c r="J2064" s="375"/>
      <c r="K2064" s="375"/>
      <c r="L2064" s="375"/>
      <c r="M2064" s="368"/>
      <c r="N2064" s="368"/>
      <c r="O2064" s="370"/>
      <c r="T2064" s="349"/>
      <c r="V2064" s="378"/>
      <c r="W2064" s="64" ph="1"/>
      <c r="X2064" s="241"/>
      <c r="Y2064" s="284"/>
      <c r="Z2064" s="207"/>
      <c r="AA2064" s="284"/>
      <c r="AB2064" s="284"/>
      <c r="AC2064" s="284"/>
      <c r="AD2064" s="284"/>
      <c r="AE2064" s="284"/>
      <c r="AF2064" s="284"/>
      <c r="AG2064" s="284"/>
    </row>
    <row r="2065" spans="1:33" ht="26.4">
      <c r="A2065" s="284"/>
      <c r="B2065" s="284"/>
      <c r="C2065" s="284"/>
      <c r="D2065" s="284"/>
      <c r="E2065" s="284"/>
      <c r="F2065" s="284"/>
      <c r="G2065" s="284"/>
      <c r="H2065" s="284"/>
      <c r="I2065" s="284"/>
      <c r="J2065" s="375"/>
      <c r="K2065" s="375"/>
      <c r="L2065" s="375"/>
      <c r="M2065" s="368"/>
      <c r="N2065" s="368"/>
      <c r="O2065" s="370"/>
      <c r="T2065" s="349"/>
      <c r="V2065" s="378"/>
      <c r="W2065" s="64" ph="1"/>
      <c r="X2065" s="241"/>
      <c r="Y2065" s="284"/>
      <c r="Z2065" s="207"/>
      <c r="AA2065" s="284"/>
      <c r="AB2065" s="284"/>
      <c r="AC2065" s="284"/>
      <c r="AD2065" s="284"/>
      <c r="AE2065" s="284"/>
      <c r="AF2065" s="284"/>
      <c r="AG2065" s="284"/>
    </row>
    <row r="2066" spans="1:33" ht="26.4">
      <c r="A2066" s="284"/>
      <c r="B2066" s="284"/>
      <c r="C2066" s="284"/>
      <c r="D2066" s="284"/>
      <c r="E2066" s="284"/>
      <c r="F2066" s="284"/>
      <c r="G2066" s="284"/>
      <c r="H2066" s="284"/>
      <c r="I2066" s="284"/>
      <c r="J2066" s="375"/>
      <c r="K2066" s="375"/>
      <c r="L2066" s="375"/>
      <c r="M2066" s="368"/>
      <c r="N2066" s="368"/>
      <c r="O2066" s="370"/>
      <c r="T2066" s="349"/>
      <c r="V2066" s="378"/>
      <c r="W2066" s="64" ph="1"/>
      <c r="X2066" s="241"/>
      <c r="Y2066" s="284"/>
      <c r="Z2066" s="207"/>
      <c r="AA2066" s="284"/>
      <c r="AB2066" s="284"/>
      <c r="AC2066" s="284"/>
      <c r="AD2066" s="284"/>
      <c r="AE2066" s="284"/>
      <c r="AF2066" s="284"/>
      <c r="AG2066" s="284"/>
    </row>
    <row r="2067" spans="1:33" ht="26.4">
      <c r="A2067" s="284"/>
      <c r="B2067" s="284"/>
      <c r="C2067" s="284"/>
      <c r="D2067" s="284"/>
      <c r="E2067" s="284"/>
      <c r="F2067" s="284"/>
      <c r="G2067" s="284"/>
      <c r="H2067" s="284"/>
      <c r="I2067" s="284"/>
      <c r="J2067" s="375"/>
      <c r="K2067" s="375"/>
      <c r="L2067" s="375"/>
      <c r="M2067" s="368"/>
      <c r="N2067" s="368"/>
      <c r="O2067" s="370"/>
      <c r="T2067" s="349"/>
      <c r="V2067" s="378"/>
      <c r="W2067" s="64" ph="1"/>
      <c r="X2067" s="241"/>
      <c r="Y2067" s="284"/>
      <c r="Z2067" s="207"/>
      <c r="AA2067" s="284"/>
      <c r="AB2067" s="284"/>
      <c r="AC2067" s="284"/>
      <c r="AD2067" s="284"/>
      <c r="AE2067" s="284"/>
      <c r="AF2067" s="284"/>
      <c r="AG2067" s="284"/>
    </row>
    <row r="2068" spans="1:33" ht="26.4">
      <c r="A2068" s="284"/>
      <c r="B2068" s="284"/>
      <c r="C2068" s="284"/>
      <c r="D2068" s="284"/>
      <c r="E2068" s="284"/>
      <c r="F2068" s="284"/>
      <c r="G2068" s="284"/>
      <c r="H2068" s="284"/>
      <c r="I2068" s="284"/>
      <c r="J2068" s="375"/>
      <c r="K2068" s="375"/>
      <c r="L2068" s="375"/>
      <c r="M2068" s="368"/>
      <c r="N2068" s="368"/>
      <c r="O2068" s="370"/>
      <c r="T2068" s="349"/>
      <c r="V2068" s="378"/>
      <c r="W2068" s="64" ph="1"/>
      <c r="X2068" s="241"/>
      <c r="Y2068" s="284"/>
      <c r="Z2068" s="207"/>
      <c r="AA2068" s="284"/>
      <c r="AB2068" s="284"/>
      <c r="AC2068" s="284"/>
      <c r="AD2068" s="284"/>
      <c r="AE2068" s="284"/>
      <c r="AF2068" s="284"/>
      <c r="AG2068" s="284"/>
    </row>
    <row r="2069" spans="1:33" ht="26.4">
      <c r="A2069" s="284"/>
      <c r="B2069" s="284"/>
      <c r="C2069" s="284"/>
      <c r="D2069" s="284"/>
      <c r="E2069" s="284"/>
      <c r="F2069" s="284"/>
      <c r="G2069" s="284"/>
      <c r="H2069" s="284"/>
      <c r="I2069" s="284"/>
      <c r="J2069" s="375"/>
      <c r="K2069" s="375"/>
      <c r="L2069" s="375"/>
      <c r="M2069" s="368"/>
      <c r="N2069" s="368"/>
      <c r="O2069" s="370"/>
      <c r="T2069" s="349"/>
      <c r="V2069" s="378"/>
      <c r="W2069" s="64" ph="1"/>
      <c r="X2069" s="241"/>
      <c r="Y2069" s="284"/>
      <c r="Z2069" s="207"/>
      <c r="AA2069" s="284"/>
      <c r="AB2069" s="284"/>
      <c r="AC2069" s="284"/>
      <c r="AD2069" s="284"/>
      <c r="AE2069" s="284"/>
      <c r="AF2069" s="284"/>
      <c r="AG2069" s="284"/>
    </row>
    <row r="2070" spans="1:33" ht="26.4">
      <c r="A2070" s="284"/>
      <c r="B2070" s="284"/>
      <c r="C2070" s="284"/>
      <c r="D2070" s="284"/>
      <c r="E2070" s="284"/>
      <c r="F2070" s="284"/>
      <c r="G2070" s="284"/>
      <c r="H2070" s="284"/>
      <c r="I2070" s="284"/>
      <c r="J2070" s="375"/>
      <c r="K2070" s="375"/>
      <c r="L2070" s="375"/>
      <c r="M2070" s="368"/>
      <c r="N2070" s="368"/>
      <c r="O2070" s="370"/>
      <c r="T2070" s="349"/>
      <c r="V2070" s="378"/>
      <c r="W2070" s="64" ph="1"/>
      <c r="X2070" s="241"/>
      <c r="Y2070" s="284"/>
      <c r="Z2070" s="207"/>
      <c r="AA2070" s="284"/>
      <c r="AB2070" s="284"/>
      <c r="AC2070" s="284"/>
      <c r="AD2070" s="284"/>
      <c r="AE2070" s="284"/>
      <c r="AF2070" s="284"/>
      <c r="AG2070" s="284"/>
    </row>
    <row r="2071" spans="1:33" ht="26.4">
      <c r="A2071" s="284"/>
      <c r="B2071" s="284"/>
      <c r="C2071" s="284"/>
      <c r="D2071" s="284"/>
      <c r="E2071" s="284"/>
      <c r="F2071" s="284"/>
      <c r="G2071" s="284"/>
      <c r="H2071" s="284"/>
      <c r="I2071" s="284"/>
      <c r="J2071" s="375"/>
      <c r="K2071" s="375"/>
      <c r="L2071" s="375"/>
      <c r="M2071" s="368"/>
      <c r="N2071" s="368"/>
      <c r="O2071" s="370"/>
      <c r="T2071" s="349"/>
      <c r="V2071" s="378"/>
      <c r="W2071" s="64" ph="1"/>
      <c r="X2071" s="241"/>
      <c r="Y2071" s="284"/>
      <c r="Z2071" s="207"/>
      <c r="AA2071" s="284"/>
      <c r="AB2071" s="284"/>
      <c r="AC2071" s="284"/>
      <c r="AD2071" s="284"/>
      <c r="AE2071" s="284"/>
      <c r="AF2071" s="284"/>
      <c r="AG2071" s="284"/>
    </row>
    <row r="2072" spans="1:33" ht="26.4">
      <c r="A2072" s="284"/>
      <c r="B2072" s="284"/>
      <c r="C2072" s="284"/>
      <c r="D2072" s="284"/>
      <c r="E2072" s="284"/>
      <c r="F2072" s="284"/>
      <c r="G2072" s="284"/>
      <c r="H2072" s="284"/>
      <c r="I2072" s="284"/>
      <c r="J2072" s="375"/>
      <c r="K2072" s="375"/>
      <c r="L2072" s="375"/>
      <c r="M2072" s="368"/>
      <c r="N2072" s="368"/>
      <c r="O2072" s="370"/>
      <c r="T2072" s="349"/>
      <c r="V2072" s="378"/>
      <c r="W2072" s="64" ph="1"/>
      <c r="X2072" s="241"/>
      <c r="Y2072" s="284"/>
      <c r="Z2072" s="207"/>
      <c r="AA2072" s="284"/>
      <c r="AB2072" s="284"/>
      <c r="AC2072" s="284"/>
      <c r="AD2072" s="284"/>
      <c r="AE2072" s="284"/>
      <c r="AF2072" s="284"/>
      <c r="AG2072" s="284"/>
    </row>
    <row r="2073" spans="1:33" ht="26.4">
      <c r="A2073" s="284"/>
      <c r="B2073" s="284"/>
      <c r="C2073" s="284"/>
      <c r="D2073" s="284"/>
      <c r="E2073" s="284"/>
      <c r="F2073" s="284"/>
      <c r="G2073" s="284"/>
      <c r="H2073" s="284"/>
      <c r="I2073" s="284"/>
      <c r="J2073" s="375"/>
      <c r="K2073" s="375"/>
      <c r="L2073" s="375"/>
      <c r="M2073" s="368"/>
      <c r="N2073" s="368"/>
      <c r="O2073" s="370"/>
      <c r="T2073" s="349"/>
      <c r="V2073" s="378"/>
      <c r="W2073" s="64" ph="1"/>
      <c r="X2073" s="241"/>
      <c r="Y2073" s="284"/>
      <c r="Z2073" s="207"/>
      <c r="AA2073" s="284"/>
      <c r="AB2073" s="284"/>
      <c r="AC2073" s="284"/>
      <c r="AD2073" s="284"/>
      <c r="AE2073" s="284"/>
      <c r="AF2073" s="284"/>
      <c r="AG2073" s="284"/>
    </row>
    <row r="2074" spans="1:33" ht="26.4">
      <c r="A2074" s="284"/>
      <c r="B2074" s="284"/>
      <c r="C2074" s="284"/>
      <c r="D2074" s="284"/>
      <c r="E2074" s="284"/>
      <c r="F2074" s="284"/>
      <c r="G2074" s="284"/>
      <c r="H2074" s="284"/>
      <c r="I2074" s="284"/>
      <c r="J2074" s="375"/>
      <c r="K2074" s="375"/>
      <c r="L2074" s="375"/>
      <c r="M2074" s="368"/>
      <c r="N2074" s="368"/>
      <c r="O2074" s="370"/>
      <c r="T2074" s="349"/>
      <c r="V2074" s="378"/>
      <c r="W2074" s="64" ph="1"/>
      <c r="X2074" s="241"/>
      <c r="Y2074" s="284"/>
      <c r="Z2074" s="207"/>
      <c r="AA2074" s="284"/>
      <c r="AB2074" s="284"/>
      <c r="AC2074" s="284"/>
      <c r="AD2074" s="284"/>
      <c r="AE2074" s="284"/>
      <c r="AF2074" s="284"/>
      <c r="AG2074" s="284"/>
    </row>
    <row r="2075" spans="1:33" ht="26.4">
      <c r="A2075" s="284"/>
      <c r="B2075" s="284"/>
      <c r="C2075" s="284"/>
      <c r="D2075" s="284"/>
      <c r="E2075" s="284"/>
      <c r="F2075" s="284"/>
      <c r="G2075" s="284"/>
      <c r="H2075" s="284"/>
      <c r="I2075" s="284"/>
      <c r="J2075" s="375"/>
      <c r="K2075" s="375"/>
      <c r="L2075" s="375"/>
      <c r="M2075" s="368"/>
      <c r="N2075" s="368"/>
      <c r="O2075" s="370"/>
      <c r="T2075" s="349"/>
      <c r="V2075" s="378"/>
      <c r="W2075" s="64" ph="1"/>
      <c r="X2075" s="241"/>
      <c r="Y2075" s="284"/>
      <c r="Z2075" s="207"/>
      <c r="AA2075" s="284"/>
      <c r="AB2075" s="284"/>
      <c r="AC2075" s="284"/>
      <c r="AD2075" s="284"/>
      <c r="AE2075" s="284"/>
      <c r="AF2075" s="284"/>
      <c r="AG2075" s="284"/>
    </row>
    <row r="2076" spans="1:33" ht="26.4">
      <c r="A2076" s="284"/>
      <c r="B2076" s="284"/>
      <c r="C2076" s="284"/>
      <c r="D2076" s="284"/>
      <c r="E2076" s="284"/>
      <c r="F2076" s="284"/>
      <c r="G2076" s="284"/>
      <c r="H2076" s="284"/>
      <c r="I2076" s="284"/>
      <c r="J2076" s="375"/>
      <c r="K2076" s="375"/>
      <c r="L2076" s="375"/>
      <c r="M2076" s="368"/>
      <c r="N2076" s="368"/>
      <c r="O2076" s="370"/>
      <c r="T2076" s="349"/>
      <c r="V2076" s="378"/>
      <c r="W2076" s="64" ph="1"/>
      <c r="X2076" s="241"/>
      <c r="Y2076" s="284"/>
      <c r="Z2076" s="207"/>
      <c r="AA2076" s="284"/>
      <c r="AB2076" s="284"/>
      <c r="AC2076" s="284"/>
      <c r="AD2076" s="284"/>
      <c r="AE2076" s="284"/>
      <c r="AF2076" s="284"/>
      <c r="AG2076" s="284"/>
    </row>
    <row r="2077" spans="1:33" ht="26.4">
      <c r="A2077" s="284"/>
      <c r="B2077" s="284"/>
      <c r="C2077" s="284"/>
      <c r="D2077" s="284"/>
      <c r="E2077" s="284"/>
      <c r="F2077" s="284"/>
      <c r="G2077" s="284"/>
      <c r="H2077" s="284"/>
      <c r="I2077" s="284"/>
      <c r="J2077" s="375"/>
      <c r="K2077" s="375"/>
      <c r="L2077" s="375"/>
      <c r="M2077" s="368"/>
      <c r="N2077" s="368"/>
      <c r="O2077" s="370"/>
      <c r="T2077" s="349"/>
      <c r="V2077" s="378"/>
      <c r="W2077" s="64" ph="1"/>
      <c r="X2077" s="241"/>
      <c r="Y2077" s="284"/>
      <c r="Z2077" s="207"/>
      <c r="AA2077" s="284"/>
      <c r="AB2077" s="284"/>
      <c r="AC2077" s="284"/>
      <c r="AD2077" s="284"/>
      <c r="AE2077" s="284"/>
      <c r="AF2077" s="284"/>
      <c r="AG2077" s="284"/>
    </row>
    <row r="2078" spans="1:33" ht="26.4">
      <c r="A2078" s="284"/>
      <c r="B2078" s="284"/>
      <c r="C2078" s="284"/>
      <c r="D2078" s="284"/>
      <c r="E2078" s="284"/>
      <c r="F2078" s="284"/>
      <c r="G2078" s="284"/>
      <c r="H2078" s="284"/>
      <c r="I2078" s="284"/>
      <c r="J2078" s="375"/>
      <c r="K2078" s="375"/>
      <c r="L2078" s="375"/>
      <c r="M2078" s="368"/>
      <c r="N2078" s="368"/>
      <c r="O2078" s="370"/>
      <c r="T2078" s="349"/>
      <c r="V2078" s="378"/>
      <c r="W2078" s="64" ph="1"/>
      <c r="X2078" s="241"/>
      <c r="Y2078" s="284"/>
      <c r="Z2078" s="207"/>
      <c r="AA2078" s="284"/>
      <c r="AB2078" s="284"/>
      <c r="AC2078" s="284"/>
      <c r="AD2078" s="284"/>
      <c r="AE2078" s="284"/>
      <c r="AF2078" s="284"/>
      <c r="AG2078" s="284"/>
    </row>
    <row r="2079" spans="1:33" ht="26.4">
      <c r="A2079" s="284"/>
      <c r="B2079" s="284"/>
      <c r="C2079" s="284"/>
      <c r="D2079" s="284"/>
      <c r="E2079" s="284"/>
      <c r="F2079" s="284"/>
      <c r="G2079" s="284"/>
      <c r="H2079" s="284"/>
      <c r="I2079" s="284"/>
      <c r="J2079" s="375"/>
      <c r="K2079" s="375"/>
      <c r="L2079" s="375"/>
      <c r="M2079" s="368"/>
      <c r="N2079" s="368"/>
      <c r="O2079" s="370"/>
      <c r="T2079" s="349"/>
      <c r="V2079" s="378"/>
      <c r="W2079" s="64" ph="1"/>
      <c r="X2079" s="241"/>
      <c r="Y2079" s="284"/>
      <c r="Z2079" s="207"/>
      <c r="AA2079" s="284"/>
      <c r="AB2079" s="284"/>
      <c r="AC2079" s="284"/>
      <c r="AD2079" s="284"/>
      <c r="AE2079" s="284"/>
      <c r="AF2079" s="284"/>
      <c r="AG2079" s="284"/>
    </row>
    <row r="2080" spans="1:33" ht="26.4">
      <c r="A2080" s="284"/>
      <c r="B2080" s="284"/>
      <c r="C2080" s="284"/>
      <c r="D2080" s="284"/>
      <c r="E2080" s="284"/>
      <c r="F2080" s="284"/>
      <c r="G2080" s="284"/>
      <c r="H2080" s="284"/>
      <c r="I2080" s="284"/>
      <c r="J2080" s="375"/>
      <c r="K2080" s="375"/>
      <c r="L2080" s="375"/>
      <c r="M2080" s="368"/>
      <c r="N2080" s="368"/>
      <c r="O2080" s="370"/>
      <c r="T2080" s="349"/>
      <c r="V2080" s="378"/>
      <c r="W2080" s="64" ph="1"/>
      <c r="X2080" s="241"/>
      <c r="Y2080" s="284"/>
      <c r="Z2080" s="207"/>
      <c r="AA2080" s="284"/>
      <c r="AB2080" s="284"/>
      <c r="AC2080" s="284"/>
      <c r="AD2080" s="284"/>
      <c r="AE2080" s="284"/>
      <c r="AF2080" s="284"/>
      <c r="AG2080" s="284"/>
    </row>
    <row r="2081" spans="1:33" ht="26.4">
      <c r="A2081" s="284"/>
      <c r="B2081" s="284"/>
      <c r="C2081" s="284"/>
      <c r="D2081" s="284"/>
      <c r="E2081" s="284"/>
      <c r="F2081" s="284"/>
      <c r="G2081" s="284"/>
      <c r="H2081" s="284"/>
      <c r="I2081" s="284"/>
      <c r="J2081" s="375"/>
      <c r="K2081" s="375"/>
      <c r="L2081" s="375"/>
      <c r="M2081" s="368"/>
      <c r="N2081" s="368"/>
      <c r="O2081" s="370"/>
      <c r="T2081" s="349"/>
      <c r="V2081" s="378"/>
      <c r="W2081" s="64" ph="1"/>
      <c r="X2081" s="241"/>
      <c r="Y2081" s="284"/>
      <c r="Z2081" s="207"/>
      <c r="AA2081" s="284"/>
      <c r="AB2081" s="284"/>
      <c r="AC2081" s="284"/>
      <c r="AD2081" s="284"/>
      <c r="AE2081" s="284"/>
      <c r="AF2081" s="284"/>
      <c r="AG2081" s="284"/>
    </row>
    <row r="2082" spans="1:33" ht="26.4">
      <c r="A2082" s="284"/>
      <c r="B2082" s="284"/>
      <c r="C2082" s="284"/>
      <c r="D2082" s="284"/>
      <c r="E2082" s="284"/>
      <c r="F2082" s="284"/>
      <c r="G2082" s="284"/>
      <c r="H2082" s="284"/>
      <c r="I2082" s="284"/>
      <c r="J2082" s="375"/>
      <c r="K2082" s="375"/>
      <c r="L2082" s="375"/>
      <c r="M2082" s="368"/>
      <c r="N2082" s="368"/>
      <c r="O2082" s="370"/>
      <c r="T2082" s="349"/>
      <c r="V2082" s="378"/>
      <c r="W2082" s="64" ph="1"/>
      <c r="X2082" s="241"/>
      <c r="Y2082" s="284"/>
      <c r="Z2082" s="207"/>
      <c r="AA2082" s="284"/>
      <c r="AB2082" s="284"/>
      <c r="AC2082" s="284"/>
      <c r="AD2082" s="284"/>
      <c r="AE2082" s="284"/>
      <c r="AF2082" s="284"/>
      <c r="AG2082" s="284"/>
    </row>
    <row r="2083" spans="1:33" ht="26.4">
      <c r="A2083" s="284"/>
      <c r="B2083" s="284"/>
      <c r="C2083" s="284"/>
      <c r="D2083" s="284"/>
      <c r="E2083" s="284"/>
      <c r="F2083" s="284"/>
      <c r="G2083" s="284"/>
      <c r="H2083" s="284"/>
      <c r="I2083" s="284"/>
      <c r="J2083" s="375"/>
      <c r="K2083" s="375"/>
      <c r="L2083" s="375"/>
      <c r="M2083" s="368"/>
      <c r="N2083" s="368"/>
      <c r="O2083" s="370"/>
      <c r="T2083" s="349"/>
      <c r="V2083" s="378"/>
      <c r="W2083" s="64" ph="1"/>
      <c r="X2083" s="241"/>
      <c r="Y2083" s="284"/>
      <c r="Z2083" s="207"/>
      <c r="AA2083" s="284"/>
      <c r="AB2083" s="284"/>
      <c r="AC2083" s="284"/>
      <c r="AD2083" s="284"/>
      <c r="AE2083" s="284"/>
      <c r="AF2083" s="284"/>
      <c r="AG2083" s="284"/>
    </row>
    <row r="2084" spans="1:33" ht="26.4">
      <c r="A2084" s="284"/>
      <c r="B2084" s="284"/>
      <c r="C2084" s="284"/>
      <c r="D2084" s="284"/>
      <c r="E2084" s="284"/>
      <c r="F2084" s="284"/>
      <c r="G2084" s="284"/>
      <c r="H2084" s="284"/>
      <c r="I2084" s="284"/>
      <c r="J2084" s="375"/>
      <c r="K2084" s="375"/>
      <c r="L2084" s="375"/>
      <c r="M2084" s="368"/>
      <c r="N2084" s="368"/>
      <c r="O2084" s="370"/>
      <c r="T2084" s="349"/>
      <c r="V2084" s="378"/>
      <c r="W2084" s="64" ph="1"/>
      <c r="X2084" s="241"/>
      <c r="Y2084" s="284"/>
      <c r="Z2084" s="207"/>
      <c r="AA2084" s="284"/>
      <c r="AB2084" s="284"/>
      <c r="AC2084" s="284"/>
      <c r="AD2084" s="284"/>
      <c r="AE2084" s="284"/>
      <c r="AF2084" s="284"/>
      <c r="AG2084" s="284"/>
    </row>
    <row r="2085" spans="1:33" ht="26.4">
      <c r="A2085" s="284"/>
      <c r="B2085" s="284"/>
      <c r="C2085" s="284"/>
      <c r="D2085" s="284"/>
      <c r="E2085" s="284"/>
      <c r="F2085" s="284"/>
      <c r="G2085" s="284"/>
      <c r="H2085" s="284"/>
      <c r="I2085" s="284"/>
      <c r="J2085" s="375"/>
      <c r="K2085" s="375"/>
      <c r="L2085" s="375"/>
      <c r="M2085" s="368"/>
      <c r="N2085" s="368"/>
      <c r="O2085" s="370"/>
      <c r="T2085" s="349"/>
      <c r="V2085" s="378"/>
      <c r="W2085" s="64" ph="1"/>
      <c r="X2085" s="241"/>
      <c r="Y2085" s="284"/>
      <c r="Z2085" s="207"/>
      <c r="AA2085" s="284"/>
      <c r="AB2085" s="284"/>
      <c r="AC2085" s="284"/>
      <c r="AD2085" s="284"/>
      <c r="AE2085" s="284"/>
      <c r="AF2085" s="284"/>
      <c r="AG2085" s="284"/>
    </row>
    <row r="2086" spans="1:33" ht="26.4">
      <c r="A2086" s="284"/>
      <c r="B2086" s="284"/>
      <c r="C2086" s="284"/>
      <c r="D2086" s="284"/>
      <c r="E2086" s="284"/>
      <c r="F2086" s="284"/>
      <c r="G2086" s="284"/>
      <c r="H2086" s="284"/>
      <c r="I2086" s="284"/>
      <c r="J2086" s="375"/>
      <c r="K2086" s="375"/>
      <c r="L2086" s="375"/>
      <c r="M2086" s="368"/>
      <c r="N2086" s="368"/>
      <c r="O2086" s="370"/>
      <c r="T2086" s="349"/>
      <c r="V2086" s="378"/>
      <c r="W2086" s="64" ph="1"/>
      <c r="X2086" s="241"/>
      <c r="Y2086" s="284"/>
      <c r="Z2086" s="207"/>
      <c r="AA2086" s="284"/>
      <c r="AB2086" s="284"/>
      <c r="AC2086" s="284"/>
      <c r="AD2086" s="284"/>
      <c r="AE2086" s="284"/>
      <c r="AF2086" s="284"/>
      <c r="AG2086" s="284"/>
    </row>
    <row r="2087" spans="1:33" ht="26.4">
      <c r="A2087" s="284"/>
      <c r="B2087" s="284"/>
      <c r="C2087" s="284"/>
      <c r="D2087" s="284"/>
      <c r="E2087" s="284"/>
      <c r="F2087" s="284"/>
      <c r="G2087" s="284"/>
      <c r="H2087" s="284"/>
      <c r="I2087" s="284"/>
      <c r="J2087" s="375"/>
      <c r="K2087" s="375"/>
      <c r="L2087" s="375"/>
      <c r="M2087" s="368"/>
      <c r="N2087" s="368"/>
      <c r="O2087" s="370"/>
      <c r="T2087" s="349"/>
      <c r="V2087" s="378"/>
      <c r="W2087" s="64" ph="1"/>
      <c r="X2087" s="241"/>
      <c r="Y2087" s="284"/>
      <c r="Z2087" s="207"/>
      <c r="AA2087" s="284"/>
      <c r="AB2087" s="284"/>
      <c r="AC2087" s="284"/>
      <c r="AD2087" s="284"/>
      <c r="AE2087" s="284"/>
      <c r="AF2087" s="284"/>
      <c r="AG2087" s="284"/>
    </row>
    <row r="2088" spans="1:33" ht="26.4">
      <c r="A2088" s="284"/>
      <c r="B2088" s="284"/>
      <c r="C2088" s="284"/>
      <c r="D2088" s="284"/>
      <c r="E2088" s="284"/>
      <c r="F2088" s="284"/>
      <c r="G2088" s="284"/>
      <c r="H2088" s="284"/>
      <c r="I2088" s="284"/>
      <c r="J2088" s="375"/>
      <c r="K2088" s="375"/>
      <c r="L2088" s="375"/>
      <c r="M2088" s="368"/>
      <c r="N2088" s="368"/>
      <c r="O2088" s="370"/>
      <c r="T2088" s="349"/>
      <c r="V2088" s="378"/>
      <c r="W2088" s="64" ph="1"/>
      <c r="X2088" s="241"/>
      <c r="Y2088" s="284"/>
      <c r="Z2088" s="207"/>
      <c r="AA2088" s="284"/>
      <c r="AB2088" s="284"/>
      <c r="AC2088" s="284"/>
      <c r="AD2088" s="284"/>
      <c r="AE2088" s="284"/>
      <c r="AF2088" s="284"/>
      <c r="AG2088" s="284"/>
    </row>
    <row r="2089" spans="1:33" ht="26.4">
      <c r="A2089" s="284"/>
      <c r="B2089" s="284"/>
      <c r="C2089" s="284"/>
      <c r="D2089" s="284"/>
      <c r="E2089" s="284"/>
      <c r="F2089" s="284"/>
      <c r="G2089" s="284"/>
      <c r="H2089" s="284"/>
      <c r="I2089" s="284"/>
      <c r="J2089" s="375"/>
      <c r="K2089" s="375"/>
      <c r="L2089" s="375"/>
      <c r="M2089" s="368"/>
      <c r="N2089" s="368"/>
      <c r="O2089" s="370"/>
      <c r="T2089" s="349"/>
      <c r="V2089" s="378"/>
      <c r="W2089" s="64" ph="1"/>
      <c r="X2089" s="241"/>
      <c r="Y2089" s="284"/>
      <c r="Z2089" s="207"/>
      <c r="AA2089" s="284"/>
      <c r="AB2089" s="284"/>
      <c r="AC2089" s="284"/>
      <c r="AD2089" s="284"/>
      <c r="AE2089" s="284"/>
      <c r="AF2089" s="284"/>
      <c r="AG2089" s="284"/>
    </row>
    <row r="2090" spans="1:33" ht="26.4">
      <c r="A2090" s="284"/>
      <c r="B2090" s="284"/>
      <c r="C2090" s="284"/>
      <c r="D2090" s="284"/>
      <c r="E2090" s="284"/>
      <c r="F2090" s="284"/>
      <c r="G2090" s="284"/>
      <c r="H2090" s="284"/>
      <c r="I2090" s="284"/>
      <c r="J2090" s="375"/>
      <c r="K2090" s="375"/>
      <c r="L2090" s="375"/>
      <c r="M2090" s="368"/>
      <c r="N2090" s="368"/>
      <c r="O2090" s="370"/>
      <c r="T2090" s="349"/>
      <c r="V2090" s="378"/>
      <c r="W2090" s="64" ph="1"/>
      <c r="X2090" s="241"/>
      <c r="Y2090" s="284"/>
      <c r="Z2090" s="207"/>
      <c r="AA2090" s="284"/>
      <c r="AB2090" s="284"/>
      <c r="AC2090" s="284"/>
      <c r="AD2090" s="284"/>
      <c r="AE2090" s="284"/>
      <c r="AF2090" s="284"/>
      <c r="AG2090" s="284"/>
    </row>
    <row r="2091" spans="1:33" ht="26.4">
      <c r="A2091" s="284"/>
      <c r="B2091" s="284"/>
      <c r="C2091" s="284"/>
      <c r="D2091" s="284"/>
      <c r="E2091" s="284"/>
      <c r="F2091" s="284"/>
      <c r="G2091" s="284"/>
      <c r="H2091" s="284"/>
      <c r="I2091" s="284"/>
      <c r="J2091" s="375"/>
      <c r="K2091" s="375"/>
      <c r="L2091" s="375"/>
      <c r="M2091" s="368"/>
      <c r="N2091" s="368"/>
      <c r="O2091" s="370"/>
      <c r="T2091" s="349"/>
      <c r="V2091" s="378"/>
      <c r="W2091" s="64" ph="1"/>
      <c r="X2091" s="241"/>
      <c r="Y2091" s="284"/>
      <c r="Z2091" s="207"/>
      <c r="AA2091" s="284"/>
      <c r="AB2091" s="284"/>
      <c r="AC2091" s="284"/>
      <c r="AD2091" s="284"/>
      <c r="AE2091" s="284"/>
      <c r="AF2091" s="284"/>
      <c r="AG2091" s="284"/>
    </row>
    <row r="2092" spans="1:33" ht="26.4">
      <c r="A2092" s="284"/>
      <c r="B2092" s="284"/>
      <c r="C2092" s="284"/>
      <c r="D2092" s="284"/>
      <c r="E2092" s="284"/>
      <c r="F2092" s="284"/>
      <c r="G2092" s="284"/>
      <c r="H2092" s="284"/>
      <c r="I2092" s="284"/>
      <c r="J2092" s="375"/>
      <c r="K2092" s="375"/>
      <c r="L2092" s="375"/>
      <c r="M2092" s="368"/>
      <c r="N2092" s="368"/>
      <c r="O2092" s="370"/>
      <c r="T2092" s="349"/>
      <c r="V2092" s="378"/>
      <c r="W2092" s="64" ph="1"/>
      <c r="X2092" s="241"/>
      <c r="Y2092" s="284"/>
      <c r="Z2092" s="207"/>
      <c r="AA2092" s="284"/>
      <c r="AB2092" s="284"/>
      <c r="AC2092" s="284"/>
      <c r="AD2092" s="284"/>
      <c r="AE2092" s="284"/>
      <c r="AF2092" s="284"/>
      <c r="AG2092" s="284"/>
    </row>
    <row r="2093" spans="1:33" ht="26.4">
      <c r="A2093" s="284"/>
      <c r="B2093" s="284"/>
      <c r="C2093" s="284"/>
      <c r="D2093" s="284"/>
      <c r="E2093" s="284"/>
      <c r="F2093" s="284"/>
      <c r="G2093" s="284"/>
      <c r="H2093" s="284"/>
      <c r="I2093" s="284"/>
      <c r="J2093" s="375"/>
      <c r="K2093" s="375"/>
      <c r="L2093" s="375"/>
      <c r="M2093" s="368"/>
      <c r="N2093" s="368"/>
      <c r="O2093" s="370"/>
      <c r="T2093" s="349"/>
      <c r="V2093" s="378"/>
      <c r="W2093" s="64" ph="1"/>
      <c r="X2093" s="241"/>
      <c r="Y2093" s="284"/>
      <c r="Z2093" s="207"/>
      <c r="AA2093" s="284"/>
      <c r="AB2093" s="284"/>
      <c r="AC2093" s="284"/>
      <c r="AD2093" s="284"/>
      <c r="AE2093" s="284"/>
      <c r="AF2093" s="284"/>
      <c r="AG2093" s="284"/>
    </row>
    <row r="2094" spans="1:33" ht="26.4">
      <c r="A2094" s="284"/>
      <c r="B2094" s="284"/>
      <c r="C2094" s="284"/>
      <c r="D2094" s="284"/>
      <c r="E2094" s="284"/>
      <c r="F2094" s="284"/>
      <c r="G2094" s="284"/>
      <c r="H2094" s="284"/>
      <c r="I2094" s="284"/>
      <c r="J2094" s="375"/>
      <c r="K2094" s="375"/>
      <c r="L2094" s="375"/>
      <c r="M2094" s="368"/>
      <c r="N2094" s="368"/>
      <c r="O2094" s="370"/>
      <c r="T2094" s="349"/>
      <c r="V2094" s="378"/>
      <c r="W2094" s="64" ph="1"/>
      <c r="X2094" s="241"/>
      <c r="Y2094" s="284"/>
      <c r="Z2094" s="207"/>
      <c r="AA2094" s="284"/>
      <c r="AB2094" s="284"/>
      <c r="AC2094" s="284"/>
      <c r="AD2094" s="284"/>
      <c r="AE2094" s="284"/>
      <c r="AF2094" s="284"/>
      <c r="AG2094" s="284"/>
    </row>
    <row r="2095" spans="1:33" ht="26.4">
      <c r="A2095" s="284"/>
      <c r="B2095" s="284"/>
      <c r="C2095" s="284"/>
      <c r="D2095" s="284"/>
      <c r="E2095" s="284"/>
      <c r="F2095" s="284"/>
      <c r="G2095" s="284"/>
      <c r="H2095" s="284"/>
      <c r="I2095" s="284"/>
      <c r="J2095" s="375"/>
      <c r="K2095" s="375"/>
      <c r="L2095" s="375"/>
      <c r="M2095" s="368"/>
      <c r="N2095" s="368"/>
      <c r="O2095" s="370"/>
      <c r="T2095" s="349"/>
      <c r="V2095" s="378"/>
      <c r="W2095" s="64" ph="1"/>
      <c r="X2095" s="241"/>
      <c r="Y2095" s="284"/>
      <c r="Z2095" s="207"/>
      <c r="AA2095" s="284"/>
      <c r="AB2095" s="284"/>
      <c r="AC2095" s="284"/>
      <c r="AD2095" s="284"/>
      <c r="AE2095" s="284"/>
      <c r="AF2095" s="284"/>
      <c r="AG2095" s="284"/>
    </row>
    <row r="2096" spans="1:33" ht="26.4">
      <c r="A2096" s="284"/>
      <c r="B2096" s="284"/>
      <c r="C2096" s="284"/>
      <c r="D2096" s="284"/>
      <c r="E2096" s="284"/>
      <c r="F2096" s="284"/>
      <c r="G2096" s="284"/>
      <c r="H2096" s="284"/>
      <c r="I2096" s="284"/>
      <c r="J2096" s="375"/>
      <c r="K2096" s="375"/>
      <c r="L2096" s="375"/>
      <c r="M2096" s="368"/>
      <c r="N2096" s="368"/>
      <c r="O2096" s="370"/>
      <c r="T2096" s="349"/>
      <c r="V2096" s="378"/>
      <c r="W2096" s="64" ph="1"/>
      <c r="X2096" s="241"/>
      <c r="Y2096" s="284"/>
      <c r="Z2096" s="207"/>
      <c r="AA2096" s="284"/>
      <c r="AB2096" s="284"/>
      <c r="AC2096" s="284"/>
      <c r="AD2096" s="284"/>
      <c r="AE2096" s="284"/>
      <c r="AF2096" s="284"/>
      <c r="AG2096" s="284"/>
    </row>
    <row r="2097" spans="1:33" ht="26.4">
      <c r="A2097" s="284"/>
      <c r="B2097" s="284"/>
      <c r="C2097" s="284"/>
      <c r="D2097" s="284"/>
      <c r="E2097" s="284"/>
      <c r="F2097" s="284"/>
      <c r="G2097" s="284"/>
      <c r="H2097" s="284"/>
      <c r="I2097" s="284"/>
      <c r="J2097" s="375"/>
      <c r="K2097" s="375"/>
      <c r="L2097" s="375"/>
      <c r="M2097" s="368"/>
      <c r="N2097" s="368"/>
      <c r="O2097" s="370"/>
      <c r="T2097" s="349"/>
      <c r="V2097" s="378"/>
      <c r="W2097" s="64" ph="1"/>
      <c r="X2097" s="241"/>
      <c r="Y2097" s="284"/>
      <c r="Z2097" s="207"/>
      <c r="AA2097" s="284"/>
      <c r="AB2097" s="284"/>
      <c r="AC2097" s="284"/>
      <c r="AD2097" s="284"/>
      <c r="AE2097" s="284"/>
      <c r="AF2097" s="284"/>
      <c r="AG2097" s="284"/>
    </row>
    <row r="2098" spans="1:33" ht="26.4">
      <c r="A2098" s="284"/>
      <c r="B2098" s="284"/>
      <c r="C2098" s="284"/>
      <c r="D2098" s="284"/>
      <c r="E2098" s="284"/>
      <c r="F2098" s="284"/>
      <c r="G2098" s="284"/>
      <c r="H2098" s="284"/>
      <c r="I2098" s="284"/>
      <c r="J2098" s="375"/>
      <c r="K2098" s="375"/>
      <c r="L2098" s="375"/>
      <c r="M2098" s="368"/>
      <c r="N2098" s="368"/>
      <c r="O2098" s="370"/>
      <c r="T2098" s="349"/>
      <c r="V2098" s="378"/>
      <c r="W2098" s="64" ph="1"/>
      <c r="X2098" s="241"/>
      <c r="Y2098" s="284"/>
      <c r="Z2098" s="207"/>
      <c r="AA2098" s="284"/>
      <c r="AB2098" s="284"/>
      <c r="AC2098" s="284"/>
      <c r="AD2098" s="284"/>
      <c r="AE2098" s="284"/>
      <c r="AF2098" s="284"/>
      <c r="AG2098" s="284"/>
    </row>
    <row r="2099" spans="1:33" ht="26.4">
      <c r="A2099" s="284"/>
      <c r="B2099" s="284"/>
      <c r="C2099" s="284"/>
      <c r="D2099" s="284"/>
      <c r="E2099" s="284"/>
      <c r="F2099" s="284"/>
      <c r="G2099" s="284"/>
      <c r="H2099" s="284"/>
      <c r="I2099" s="284"/>
      <c r="J2099" s="375"/>
      <c r="K2099" s="375"/>
      <c r="L2099" s="375"/>
      <c r="M2099" s="368"/>
      <c r="N2099" s="368"/>
      <c r="O2099" s="370"/>
      <c r="T2099" s="349"/>
      <c r="V2099" s="378"/>
      <c r="W2099" s="64" ph="1"/>
      <c r="X2099" s="241"/>
      <c r="Y2099" s="284"/>
      <c r="Z2099" s="207"/>
      <c r="AA2099" s="284"/>
      <c r="AB2099" s="284"/>
      <c r="AC2099" s="284"/>
      <c r="AD2099" s="284"/>
      <c r="AE2099" s="284"/>
      <c r="AF2099" s="284"/>
      <c r="AG2099" s="284"/>
    </row>
    <row r="2100" spans="1:33" ht="26.4">
      <c r="A2100" s="284"/>
      <c r="B2100" s="284"/>
      <c r="C2100" s="284"/>
      <c r="D2100" s="284"/>
      <c r="E2100" s="284"/>
      <c r="F2100" s="284"/>
      <c r="G2100" s="284"/>
      <c r="H2100" s="284"/>
      <c r="I2100" s="284"/>
      <c r="J2100" s="375"/>
      <c r="K2100" s="375"/>
      <c r="L2100" s="375"/>
      <c r="M2100" s="368"/>
      <c r="N2100" s="368"/>
      <c r="O2100" s="370"/>
      <c r="T2100" s="349"/>
      <c r="V2100" s="378"/>
      <c r="W2100" s="64" ph="1"/>
      <c r="X2100" s="241"/>
      <c r="Y2100" s="284"/>
      <c r="Z2100" s="207"/>
      <c r="AA2100" s="284"/>
      <c r="AB2100" s="284"/>
      <c r="AC2100" s="284"/>
      <c r="AD2100" s="284"/>
      <c r="AE2100" s="284"/>
      <c r="AF2100" s="284"/>
      <c r="AG2100" s="284"/>
    </row>
    <row r="2101" spans="1:33" ht="26.4">
      <c r="A2101" s="284"/>
      <c r="B2101" s="284"/>
      <c r="C2101" s="284"/>
      <c r="D2101" s="284"/>
      <c r="E2101" s="284"/>
      <c r="F2101" s="284"/>
      <c r="G2101" s="284"/>
      <c r="H2101" s="284"/>
      <c r="I2101" s="284"/>
      <c r="J2101" s="375"/>
      <c r="K2101" s="375"/>
      <c r="L2101" s="375"/>
      <c r="M2101" s="368"/>
      <c r="N2101" s="368"/>
      <c r="O2101" s="370"/>
      <c r="T2101" s="349"/>
      <c r="V2101" s="378"/>
      <c r="W2101" s="64" ph="1"/>
      <c r="X2101" s="241"/>
      <c r="Y2101" s="284"/>
      <c r="Z2101" s="207"/>
      <c r="AA2101" s="284"/>
      <c r="AB2101" s="284"/>
      <c r="AC2101" s="284"/>
      <c r="AD2101" s="284"/>
      <c r="AE2101" s="284"/>
      <c r="AF2101" s="284"/>
      <c r="AG2101" s="284"/>
    </row>
    <row r="2102" spans="1:33" ht="26.4">
      <c r="A2102" s="284"/>
      <c r="B2102" s="284"/>
      <c r="C2102" s="284"/>
      <c r="D2102" s="284"/>
      <c r="E2102" s="284"/>
      <c r="F2102" s="284"/>
      <c r="G2102" s="284"/>
      <c r="H2102" s="284"/>
      <c r="I2102" s="284"/>
      <c r="J2102" s="375"/>
      <c r="K2102" s="375"/>
      <c r="L2102" s="375"/>
      <c r="M2102" s="368"/>
      <c r="N2102" s="368"/>
      <c r="O2102" s="370"/>
      <c r="T2102" s="349"/>
      <c r="V2102" s="378"/>
      <c r="W2102" s="64" ph="1"/>
      <c r="X2102" s="241"/>
      <c r="Y2102" s="284"/>
      <c r="Z2102" s="207"/>
      <c r="AA2102" s="284"/>
      <c r="AB2102" s="284"/>
      <c r="AC2102" s="284"/>
      <c r="AD2102" s="284"/>
      <c r="AE2102" s="284"/>
      <c r="AF2102" s="284"/>
      <c r="AG2102" s="284"/>
    </row>
    <row r="2103" spans="1:33" ht="26.4">
      <c r="A2103" s="284"/>
      <c r="B2103" s="284"/>
      <c r="C2103" s="284"/>
      <c r="D2103" s="284"/>
      <c r="E2103" s="284"/>
      <c r="F2103" s="284"/>
      <c r="G2103" s="284"/>
      <c r="H2103" s="284"/>
      <c r="I2103" s="284"/>
      <c r="J2103" s="375"/>
      <c r="K2103" s="375"/>
      <c r="L2103" s="375"/>
      <c r="M2103" s="368"/>
      <c r="N2103" s="368"/>
      <c r="O2103" s="370"/>
      <c r="T2103" s="349"/>
      <c r="V2103" s="378"/>
      <c r="W2103" s="64" ph="1"/>
      <c r="X2103" s="241"/>
      <c r="Y2103" s="284"/>
      <c r="Z2103" s="207"/>
      <c r="AA2103" s="284"/>
      <c r="AB2103" s="284"/>
      <c r="AC2103" s="284"/>
      <c r="AD2103" s="284"/>
      <c r="AE2103" s="284"/>
      <c r="AF2103" s="284"/>
      <c r="AG2103" s="284"/>
    </row>
    <row r="2104" spans="1:33" ht="26.4">
      <c r="A2104" s="284"/>
      <c r="B2104" s="284"/>
      <c r="C2104" s="284"/>
      <c r="D2104" s="284"/>
      <c r="E2104" s="284"/>
      <c r="F2104" s="284"/>
      <c r="G2104" s="284"/>
      <c r="H2104" s="284"/>
      <c r="I2104" s="284"/>
      <c r="J2104" s="375"/>
      <c r="K2104" s="375"/>
      <c r="L2104" s="375"/>
      <c r="M2104" s="368"/>
      <c r="N2104" s="368"/>
      <c r="O2104" s="370"/>
      <c r="T2104" s="349"/>
      <c r="V2104" s="378"/>
      <c r="W2104" s="64" ph="1"/>
      <c r="X2104" s="241"/>
      <c r="Y2104" s="284"/>
      <c r="Z2104" s="207"/>
      <c r="AA2104" s="284"/>
      <c r="AB2104" s="284"/>
      <c r="AC2104" s="284"/>
      <c r="AD2104" s="284"/>
      <c r="AE2104" s="284"/>
      <c r="AF2104" s="284"/>
      <c r="AG2104" s="284"/>
    </row>
    <row r="2105" spans="1:33" ht="26.4">
      <c r="A2105" s="284"/>
      <c r="B2105" s="284"/>
      <c r="C2105" s="284"/>
      <c r="D2105" s="284"/>
      <c r="E2105" s="284"/>
      <c r="F2105" s="284"/>
      <c r="G2105" s="284"/>
      <c r="H2105" s="284"/>
      <c r="I2105" s="284"/>
      <c r="J2105" s="375"/>
      <c r="K2105" s="375"/>
      <c r="L2105" s="375"/>
      <c r="M2105" s="368"/>
      <c r="N2105" s="368"/>
      <c r="O2105" s="370"/>
      <c r="T2105" s="349"/>
      <c r="V2105" s="378"/>
      <c r="W2105" s="64" ph="1"/>
      <c r="X2105" s="241"/>
      <c r="Y2105" s="284"/>
      <c r="Z2105" s="207"/>
      <c r="AA2105" s="284"/>
      <c r="AB2105" s="284"/>
      <c r="AC2105" s="284"/>
      <c r="AD2105" s="284"/>
      <c r="AE2105" s="284"/>
      <c r="AF2105" s="284"/>
      <c r="AG2105" s="284"/>
    </row>
    <row r="2106" spans="1:33" ht="26.4">
      <c r="A2106" s="284"/>
      <c r="B2106" s="284"/>
      <c r="C2106" s="284"/>
      <c r="D2106" s="284"/>
      <c r="E2106" s="284"/>
      <c r="F2106" s="284"/>
      <c r="G2106" s="284"/>
      <c r="H2106" s="284"/>
      <c r="I2106" s="284"/>
      <c r="J2106" s="375"/>
      <c r="K2106" s="375"/>
      <c r="L2106" s="375"/>
      <c r="M2106" s="368"/>
      <c r="N2106" s="368"/>
      <c r="O2106" s="370"/>
      <c r="T2106" s="349"/>
      <c r="V2106" s="378"/>
      <c r="W2106" s="64" ph="1"/>
      <c r="X2106" s="241"/>
      <c r="Y2106" s="284"/>
      <c r="Z2106" s="207"/>
      <c r="AA2106" s="284"/>
      <c r="AB2106" s="284"/>
      <c r="AC2106" s="284"/>
      <c r="AD2106" s="284"/>
      <c r="AE2106" s="284"/>
      <c r="AF2106" s="284"/>
      <c r="AG2106" s="284"/>
    </row>
    <row r="2107" spans="1:33" ht="26.4">
      <c r="A2107" s="284"/>
      <c r="B2107" s="284"/>
      <c r="C2107" s="284"/>
      <c r="D2107" s="284"/>
      <c r="E2107" s="284"/>
      <c r="F2107" s="284"/>
      <c r="G2107" s="284"/>
      <c r="H2107" s="284"/>
      <c r="I2107" s="284"/>
      <c r="J2107" s="375"/>
      <c r="K2107" s="375"/>
      <c r="L2107" s="375"/>
      <c r="M2107" s="368"/>
      <c r="N2107" s="368"/>
      <c r="O2107" s="370"/>
      <c r="T2107" s="349"/>
      <c r="V2107" s="378"/>
      <c r="W2107" s="64" ph="1"/>
      <c r="X2107" s="241"/>
      <c r="Y2107" s="284"/>
      <c r="Z2107" s="207"/>
      <c r="AA2107" s="284"/>
      <c r="AB2107" s="284"/>
      <c r="AC2107" s="284"/>
      <c r="AD2107" s="284"/>
      <c r="AE2107" s="284"/>
      <c r="AF2107" s="284"/>
      <c r="AG2107" s="284"/>
    </row>
    <row r="2108" spans="1:33" ht="26.4">
      <c r="A2108" s="284"/>
      <c r="B2108" s="284"/>
      <c r="C2108" s="284"/>
      <c r="D2108" s="284"/>
      <c r="E2108" s="284"/>
      <c r="F2108" s="284"/>
      <c r="G2108" s="284"/>
      <c r="H2108" s="284"/>
      <c r="I2108" s="284"/>
      <c r="J2108" s="375"/>
      <c r="K2108" s="375"/>
      <c r="L2108" s="375"/>
      <c r="M2108" s="368"/>
      <c r="N2108" s="368"/>
      <c r="O2108" s="370"/>
      <c r="T2108" s="349"/>
      <c r="V2108" s="378"/>
      <c r="W2108" s="64" ph="1"/>
      <c r="X2108" s="241"/>
      <c r="Y2108" s="284"/>
      <c r="Z2108" s="207"/>
      <c r="AA2108" s="284"/>
      <c r="AB2108" s="284"/>
      <c r="AC2108" s="284"/>
      <c r="AD2108" s="284"/>
      <c r="AE2108" s="284"/>
      <c r="AF2108" s="284"/>
      <c r="AG2108" s="284"/>
    </row>
    <row r="2109" spans="1:33" ht="26.4">
      <c r="A2109" s="284"/>
      <c r="B2109" s="284"/>
      <c r="C2109" s="284"/>
      <c r="D2109" s="284"/>
      <c r="E2109" s="284"/>
      <c r="F2109" s="284"/>
      <c r="G2109" s="284"/>
      <c r="H2109" s="284"/>
      <c r="I2109" s="284"/>
      <c r="J2109" s="375"/>
      <c r="K2109" s="375"/>
      <c r="L2109" s="375"/>
      <c r="M2109" s="368"/>
      <c r="N2109" s="368"/>
      <c r="O2109" s="370"/>
      <c r="T2109" s="349"/>
      <c r="V2109" s="378"/>
      <c r="W2109" s="64" ph="1"/>
      <c r="X2109" s="241"/>
      <c r="Y2109" s="284"/>
      <c r="Z2109" s="207"/>
      <c r="AA2109" s="284"/>
      <c r="AB2109" s="284"/>
      <c r="AC2109" s="284"/>
      <c r="AD2109" s="284"/>
      <c r="AE2109" s="284"/>
      <c r="AF2109" s="284"/>
      <c r="AG2109" s="284"/>
    </row>
    <row r="2110" spans="1:33" ht="26.4">
      <c r="A2110" s="284"/>
      <c r="B2110" s="284"/>
      <c r="C2110" s="284"/>
      <c r="D2110" s="284"/>
      <c r="E2110" s="284"/>
      <c r="F2110" s="284"/>
      <c r="G2110" s="284"/>
      <c r="H2110" s="284"/>
      <c r="I2110" s="284"/>
      <c r="J2110" s="375"/>
      <c r="K2110" s="375"/>
      <c r="L2110" s="375"/>
      <c r="M2110" s="368"/>
      <c r="N2110" s="368"/>
      <c r="O2110" s="370"/>
      <c r="T2110" s="349"/>
      <c r="V2110" s="378"/>
      <c r="W2110" s="64" ph="1"/>
      <c r="X2110" s="241"/>
      <c r="Y2110" s="284"/>
      <c r="Z2110" s="207"/>
      <c r="AA2110" s="284"/>
      <c r="AB2110" s="284"/>
      <c r="AC2110" s="284"/>
      <c r="AD2110" s="284"/>
      <c r="AE2110" s="284"/>
      <c r="AF2110" s="284"/>
      <c r="AG2110" s="284"/>
    </row>
    <row r="2111" spans="1:33" ht="26.4">
      <c r="A2111" s="284"/>
      <c r="B2111" s="284"/>
      <c r="C2111" s="284"/>
      <c r="D2111" s="284"/>
      <c r="E2111" s="284"/>
      <c r="F2111" s="284"/>
      <c r="G2111" s="284"/>
      <c r="H2111" s="284"/>
      <c r="I2111" s="284"/>
      <c r="J2111" s="375"/>
      <c r="K2111" s="375"/>
      <c r="L2111" s="375"/>
      <c r="M2111" s="368"/>
      <c r="N2111" s="368"/>
      <c r="O2111" s="370"/>
      <c r="T2111" s="349"/>
      <c r="V2111" s="378"/>
      <c r="W2111" s="64" ph="1"/>
      <c r="X2111" s="241"/>
      <c r="Y2111" s="284"/>
      <c r="Z2111" s="207"/>
      <c r="AA2111" s="284"/>
      <c r="AB2111" s="284"/>
      <c r="AC2111" s="284"/>
      <c r="AD2111" s="284"/>
      <c r="AE2111" s="284"/>
      <c r="AF2111" s="284"/>
      <c r="AG2111" s="284"/>
    </row>
    <row r="2112" spans="1:33" ht="26.4">
      <c r="A2112" s="284"/>
      <c r="B2112" s="284"/>
      <c r="C2112" s="284"/>
      <c r="D2112" s="284"/>
      <c r="E2112" s="284"/>
      <c r="F2112" s="284"/>
      <c r="G2112" s="284"/>
      <c r="H2112" s="284"/>
      <c r="I2112" s="284"/>
      <c r="J2112" s="375"/>
      <c r="K2112" s="375"/>
      <c r="L2112" s="375"/>
      <c r="M2112" s="368"/>
      <c r="N2112" s="368"/>
      <c r="O2112" s="370"/>
      <c r="T2112" s="349"/>
      <c r="V2112" s="378"/>
      <c r="W2112" s="64" ph="1"/>
      <c r="X2112" s="241"/>
      <c r="Y2112" s="284"/>
      <c r="Z2112" s="207"/>
      <c r="AA2112" s="284"/>
      <c r="AB2112" s="284"/>
      <c r="AC2112" s="284"/>
      <c r="AD2112" s="284"/>
      <c r="AE2112" s="284"/>
      <c r="AF2112" s="284"/>
      <c r="AG2112" s="284"/>
    </row>
    <row r="2113" spans="1:33" ht="26.4">
      <c r="A2113" s="284"/>
      <c r="B2113" s="284"/>
      <c r="C2113" s="284"/>
      <c r="D2113" s="284"/>
      <c r="E2113" s="284"/>
      <c r="F2113" s="284"/>
      <c r="G2113" s="284"/>
      <c r="H2113" s="284"/>
      <c r="I2113" s="284"/>
      <c r="J2113" s="375"/>
      <c r="K2113" s="375"/>
      <c r="L2113" s="375"/>
      <c r="M2113" s="368"/>
      <c r="N2113" s="368"/>
      <c r="O2113" s="370"/>
      <c r="T2113" s="349"/>
      <c r="V2113" s="378"/>
      <c r="W2113" s="64" ph="1"/>
      <c r="X2113" s="241"/>
      <c r="Y2113" s="284"/>
      <c r="Z2113" s="207"/>
      <c r="AA2113" s="284"/>
      <c r="AB2113" s="284"/>
      <c r="AC2113" s="284"/>
      <c r="AD2113" s="284"/>
      <c r="AE2113" s="284"/>
      <c r="AF2113" s="284"/>
      <c r="AG2113" s="284"/>
    </row>
    <row r="2114" spans="1:33" ht="26.4">
      <c r="A2114" s="284"/>
      <c r="B2114" s="284"/>
      <c r="C2114" s="284"/>
      <c r="D2114" s="284"/>
      <c r="E2114" s="284"/>
      <c r="F2114" s="284"/>
      <c r="G2114" s="284"/>
      <c r="H2114" s="284"/>
      <c r="I2114" s="284"/>
      <c r="J2114" s="375"/>
      <c r="K2114" s="375"/>
      <c r="L2114" s="375"/>
      <c r="M2114" s="368"/>
      <c r="N2114" s="368"/>
      <c r="O2114" s="370"/>
      <c r="T2114" s="349"/>
      <c r="V2114" s="378"/>
      <c r="W2114" s="64" ph="1"/>
      <c r="X2114" s="241"/>
      <c r="Y2114" s="284"/>
      <c r="Z2114" s="207"/>
      <c r="AA2114" s="284"/>
      <c r="AB2114" s="284"/>
      <c r="AC2114" s="284"/>
      <c r="AD2114" s="284"/>
      <c r="AE2114" s="284"/>
      <c r="AF2114" s="284"/>
      <c r="AG2114" s="284"/>
    </row>
    <row r="2115" spans="1:33" ht="26.4">
      <c r="A2115" s="284"/>
      <c r="B2115" s="284"/>
      <c r="C2115" s="284"/>
      <c r="D2115" s="284"/>
      <c r="E2115" s="284"/>
      <c r="F2115" s="284"/>
      <c r="G2115" s="284"/>
      <c r="H2115" s="284"/>
      <c r="I2115" s="284"/>
      <c r="J2115" s="375"/>
      <c r="K2115" s="375"/>
      <c r="L2115" s="375"/>
      <c r="M2115" s="368"/>
      <c r="N2115" s="368"/>
      <c r="O2115" s="370"/>
      <c r="T2115" s="349"/>
      <c r="V2115" s="378"/>
      <c r="W2115" s="64" ph="1"/>
      <c r="X2115" s="241"/>
      <c r="Y2115" s="284"/>
      <c r="Z2115" s="207"/>
      <c r="AA2115" s="284"/>
      <c r="AB2115" s="284"/>
      <c r="AC2115" s="284"/>
      <c r="AD2115" s="284"/>
      <c r="AE2115" s="284"/>
      <c r="AF2115" s="284"/>
      <c r="AG2115" s="284"/>
    </row>
    <row r="2116" spans="1:33" ht="26.4">
      <c r="A2116" s="284"/>
      <c r="B2116" s="284"/>
      <c r="C2116" s="284"/>
      <c r="D2116" s="284"/>
      <c r="E2116" s="284"/>
      <c r="F2116" s="284"/>
      <c r="G2116" s="284"/>
      <c r="H2116" s="284"/>
      <c r="I2116" s="284"/>
      <c r="J2116" s="375"/>
      <c r="K2116" s="375"/>
      <c r="L2116" s="375"/>
      <c r="M2116" s="368"/>
      <c r="N2116" s="368"/>
      <c r="O2116" s="370"/>
      <c r="T2116" s="349"/>
      <c r="V2116" s="378"/>
      <c r="W2116" s="64" ph="1"/>
      <c r="X2116" s="241"/>
      <c r="Y2116" s="284"/>
      <c r="Z2116" s="207"/>
      <c r="AA2116" s="284"/>
      <c r="AB2116" s="284"/>
      <c r="AC2116" s="284"/>
      <c r="AD2116" s="284"/>
      <c r="AE2116" s="284"/>
      <c r="AF2116" s="284"/>
      <c r="AG2116" s="284"/>
    </row>
    <row r="2117" spans="1:33" ht="26.4">
      <c r="A2117" s="284"/>
      <c r="B2117" s="284"/>
      <c r="C2117" s="284"/>
      <c r="D2117" s="284"/>
      <c r="E2117" s="284"/>
      <c r="F2117" s="284"/>
      <c r="G2117" s="284"/>
      <c r="H2117" s="284"/>
      <c r="I2117" s="284"/>
      <c r="J2117" s="375"/>
      <c r="K2117" s="375"/>
      <c r="L2117" s="375"/>
      <c r="M2117" s="368"/>
      <c r="N2117" s="368"/>
      <c r="O2117" s="370"/>
      <c r="T2117" s="349"/>
      <c r="V2117" s="378"/>
      <c r="W2117" s="64" ph="1"/>
      <c r="X2117" s="241"/>
      <c r="Y2117" s="284"/>
      <c r="Z2117" s="207"/>
      <c r="AA2117" s="284"/>
      <c r="AB2117" s="284"/>
      <c r="AC2117" s="284"/>
      <c r="AD2117" s="284"/>
      <c r="AE2117" s="284"/>
      <c r="AF2117" s="284"/>
      <c r="AG2117" s="284"/>
    </row>
    <row r="2118" spans="1:33" ht="26.4">
      <c r="A2118" s="284"/>
      <c r="B2118" s="284"/>
      <c r="C2118" s="284"/>
      <c r="D2118" s="284"/>
      <c r="E2118" s="284"/>
      <c r="F2118" s="284"/>
      <c r="G2118" s="284"/>
      <c r="H2118" s="284"/>
      <c r="I2118" s="284"/>
      <c r="J2118" s="375"/>
      <c r="K2118" s="375"/>
      <c r="L2118" s="375"/>
      <c r="M2118" s="368"/>
      <c r="N2118" s="368"/>
      <c r="O2118" s="370"/>
      <c r="T2118" s="349"/>
      <c r="V2118" s="378"/>
      <c r="W2118" s="64" ph="1"/>
      <c r="X2118" s="241"/>
      <c r="Y2118" s="284"/>
      <c r="Z2118" s="207"/>
      <c r="AA2118" s="284"/>
      <c r="AB2118" s="284"/>
      <c r="AC2118" s="284"/>
      <c r="AD2118" s="284"/>
      <c r="AE2118" s="284"/>
      <c r="AF2118" s="284"/>
      <c r="AG2118" s="284"/>
    </row>
    <row r="2119" spans="1:33" ht="26.4">
      <c r="A2119" s="284"/>
      <c r="B2119" s="284"/>
      <c r="C2119" s="284"/>
      <c r="D2119" s="284"/>
      <c r="E2119" s="284"/>
      <c r="F2119" s="284"/>
      <c r="G2119" s="284"/>
      <c r="H2119" s="284"/>
      <c r="I2119" s="284"/>
      <c r="J2119" s="375"/>
      <c r="K2119" s="375"/>
      <c r="L2119" s="375"/>
      <c r="M2119" s="368"/>
      <c r="N2119" s="368"/>
      <c r="O2119" s="370"/>
      <c r="T2119" s="349"/>
      <c r="V2119" s="378"/>
      <c r="W2119" s="64" ph="1"/>
      <c r="X2119" s="241"/>
      <c r="Y2119" s="284"/>
      <c r="Z2119" s="207"/>
      <c r="AA2119" s="284"/>
      <c r="AB2119" s="284"/>
      <c r="AC2119" s="284"/>
      <c r="AD2119" s="284"/>
      <c r="AE2119" s="284"/>
      <c r="AF2119" s="284"/>
      <c r="AG2119" s="284"/>
    </row>
    <row r="2120" spans="1:33" ht="26.4">
      <c r="A2120" s="284"/>
      <c r="B2120" s="284"/>
      <c r="C2120" s="284"/>
      <c r="D2120" s="284"/>
      <c r="E2120" s="284"/>
      <c r="F2120" s="284"/>
      <c r="G2120" s="284"/>
      <c r="H2120" s="284"/>
      <c r="I2120" s="284"/>
      <c r="J2120" s="375"/>
      <c r="K2120" s="375"/>
      <c r="L2120" s="375"/>
      <c r="M2120" s="368"/>
      <c r="N2120" s="368"/>
      <c r="O2120" s="370"/>
      <c r="T2120" s="349"/>
      <c r="V2120" s="378"/>
      <c r="W2120" s="64" ph="1"/>
      <c r="X2120" s="241"/>
      <c r="Y2120" s="284"/>
      <c r="Z2120" s="207"/>
      <c r="AA2120" s="284"/>
      <c r="AB2120" s="284"/>
      <c r="AC2120" s="284"/>
      <c r="AD2120" s="284"/>
      <c r="AE2120" s="284"/>
      <c r="AF2120" s="284"/>
      <c r="AG2120" s="284"/>
    </row>
    <row r="2121" spans="1:33" ht="26.4">
      <c r="A2121" s="284"/>
      <c r="B2121" s="284"/>
      <c r="C2121" s="284"/>
      <c r="D2121" s="284"/>
      <c r="E2121" s="284"/>
      <c r="F2121" s="284"/>
      <c r="G2121" s="284"/>
      <c r="H2121" s="284"/>
      <c r="I2121" s="284"/>
      <c r="J2121" s="375"/>
      <c r="K2121" s="375"/>
      <c r="L2121" s="375"/>
      <c r="M2121" s="368"/>
      <c r="N2121" s="368"/>
      <c r="O2121" s="370"/>
      <c r="T2121" s="349"/>
      <c r="V2121" s="378"/>
      <c r="W2121" s="64" ph="1"/>
      <c r="X2121" s="241"/>
      <c r="Y2121" s="284"/>
      <c r="Z2121" s="207"/>
      <c r="AA2121" s="284"/>
      <c r="AB2121" s="284"/>
      <c r="AC2121" s="284"/>
      <c r="AD2121" s="284"/>
      <c r="AE2121" s="284"/>
      <c r="AF2121" s="284"/>
      <c r="AG2121" s="284"/>
    </row>
    <row r="2122" spans="1:33" ht="26.4">
      <c r="A2122" s="284"/>
      <c r="B2122" s="284"/>
      <c r="C2122" s="284"/>
      <c r="D2122" s="284"/>
      <c r="E2122" s="284"/>
      <c r="F2122" s="284"/>
      <c r="G2122" s="284"/>
      <c r="H2122" s="284"/>
      <c r="I2122" s="284"/>
      <c r="J2122" s="375"/>
      <c r="K2122" s="375"/>
      <c r="L2122" s="375"/>
      <c r="M2122" s="368"/>
      <c r="N2122" s="368"/>
      <c r="O2122" s="370"/>
      <c r="T2122" s="349"/>
      <c r="V2122" s="378"/>
      <c r="W2122" s="64" ph="1"/>
      <c r="X2122" s="241"/>
      <c r="Y2122" s="284"/>
      <c r="Z2122" s="207"/>
      <c r="AA2122" s="284"/>
      <c r="AB2122" s="284"/>
      <c r="AC2122" s="284"/>
      <c r="AD2122" s="284"/>
      <c r="AE2122" s="284"/>
      <c r="AF2122" s="284"/>
      <c r="AG2122" s="284"/>
    </row>
    <row r="2123" spans="1:33" ht="26.4">
      <c r="A2123" s="284"/>
      <c r="B2123" s="284"/>
      <c r="C2123" s="284"/>
      <c r="D2123" s="284"/>
      <c r="E2123" s="284"/>
      <c r="F2123" s="284"/>
      <c r="G2123" s="284"/>
      <c r="H2123" s="284"/>
      <c r="I2123" s="284"/>
      <c r="J2123" s="375"/>
      <c r="K2123" s="375"/>
      <c r="L2123" s="375"/>
      <c r="M2123" s="368"/>
      <c r="N2123" s="368"/>
      <c r="O2123" s="370"/>
      <c r="T2123" s="349"/>
      <c r="V2123" s="378"/>
      <c r="W2123" s="64" ph="1"/>
      <c r="X2123" s="241"/>
      <c r="Y2123" s="284"/>
      <c r="Z2123" s="207"/>
      <c r="AA2123" s="284"/>
      <c r="AB2123" s="284"/>
      <c r="AC2123" s="284"/>
      <c r="AD2123" s="284"/>
      <c r="AE2123" s="284"/>
      <c r="AF2123" s="284"/>
      <c r="AG2123" s="284"/>
    </row>
    <row r="2124" spans="1:33" ht="26.4">
      <c r="A2124" s="284"/>
      <c r="B2124" s="284"/>
      <c r="C2124" s="284"/>
      <c r="D2124" s="284"/>
      <c r="E2124" s="284"/>
      <c r="F2124" s="284"/>
      <c r="G2124" s="284"/>
      <c r="H2124" s="284"/>
      <c r="I2124" s="284"/>
      <c r="J2124" s="375"/>
      <c r="K2124" s="375"/>
      <c r="L2124" s="375"/>
      <c r="M2124" s="368"/>
      <c r="N2124" s="368"/>
      <c r="O2124" s="370"/>
      <c r="T2124" s="349"/>
      <c r="V2124" s="378"/>
      <c r="W2124" s="64" ph="1"/>
      <c r="X2124" s="241"/>
      <c r="Y2124" s="284"/>
      <c r="Z2124" s="207"/>
      <c r="AA2124" s="284"/>
      <c r="AB2124" s="284"/>
      <c r="AC2124" s="284"/>
      <c r="AD2124" s="284"/>
      <c r="AE2124" s="284"/>
      <c r="AF2124" s="284"/>
      <c r="AG2124" s="284"/>
    </row>
    <row r="2125" spans="1:33" ht="26.4">
      <c r="A2125" s="284"/>
      <c r="B2125" s="284"/>
      <c r="C2125" s="284"/>
      <c r="D2125" s="284"/>
      <c r="E2125" s="284"/>
      <c r="F2125" s="284"/>
      <c r="G2125" s="284"/>
      <c r="H2125" s="284"/>
      <c r="I2125" s="284"/>
      <c r="J2125" s="375"/>
      <c r="K2125" s="375"/>
      <c r="L2125" s="375"/>
      <c r="M2125" s="368"/>
      <c r="N2125" s="368"/>
      <c r="O2125" s="370"/>
      <c r="T2125" s="349"/>
      <c r="V2125" s="378"/>
      <c r="W2125" s="64" ph="1"/>
      <c r="X2125" s="241"/>
      <c r="Y2125" s="284"/>
      <c r="Z2125" s="207"/>
      <c r="AA2125" s="284"/>
      <c r="AB2125" s="284"/>
      <c r="AC2125" s="284"/>
      <c r="AD2125" s="284"/>
      <c r="AE2125" s="284"/>
      <c r="AF2125" s="284"/>
      <c r="AG2125" s="284"/>
    </row>
    <row r="2126" spans="1:33" ht="26.4">
      <c r="A2126" s="284"/>
      <c r="B2126" s="284"/>
      <c r="C2126" s="284"/>
      <c r="D2126" s="284"/>
      <c r="E2126" s="284"/>
      <c r="F2126" s="284"/>
      <c r="G2126" s="284"/>
      <c r="H2126" s="284"/>
      <c r="I2126" s="284"/>
      <c r="J2126" s="375"/>
      <c r="K2126" s="375"/>
      <c r="L2126" s="375"/>
      <c r="M2126" s="368"/>
      <c r="N2126" s="368"/>
      <c r="O2126" s="370"/>
      <c r="T2126" s="349"/>
      <c r="V2126" s="378"/>
      <c r="W2126" s="64" ph="1"/>
      <c r="X2126" s="241"/>
      <c r="Y2126" s="284"/>
      <c r="Z2126" s="207"/>
      <c r="AA2126" s="284"/>
      <c r="AB2126" s="284"/>
      <c r="AC2126" s="284"/>
      <c r="AD2126" s="284"/>
      <c r="AE2126" s="284"/>
      <c r="AF2126" s="284"/>
      <c r="AG2126" s="284"/>
    </row>
    <row r="2127" spans="1:33" ht="26.4">
      <c r="A2127" s="284"/>
      <c r="B2127" s="284"/>
      <c r="C2127" s="284"/>
      <c r="D2127" s="284"/>
      <c r="E2127" s="284"/>
      <c r="F2127" s="284"/>
      <c r="G2127" s="284"/>
      <c r="H2127" s="284"/>
      <c r="I2127" s="284"/>
      <c r="J2127" s="375"/>
      <c r="K2127" s="375"/>
      <c r="L2127" s="375"/>
      <c r="M2127" s="368"/>
      <c r="N2127" s="368"/>
      <c r="O2127" s="370"/>
      <c r="T2127" s="349"/>
      <c r="V2127" s="378"/>
      <c r="W2127" s="64" ph="1"/>
      <c r="X2127" s="241"/>
      <c r="Y2127" s="284"/>
      <c r="Z2127" s="207"/>
      <c r="AA2127" s="284"/>
      <c r="AB2127" s="284"/>
      <c r="AC2127" s="284"/>
      <c r="AD2127" s="284"/>
      <c r="AE2127" s="284"/>
      <c r="AF2127" s="284"/>
      <c r="AG2127" s="284"/>
    </row>
    <row r="2128" spans="1:33" ht="26.4">
      <c r="A2128" s="284"/>
      <c r="B2128" s="284"/>
      <c r="C2128" s="284"/>
      <c r="D2128" s="284"/>
      <c r="E2128" s="284"/>
      <c r="F2128" s="284"/>
      <c r="G2128" s="284"/>
      <c r="H2128" s="284"/>
      <c r="I2128" s="284"/>
      <c r="J2128" s="375"/>
      <c r="K2128" s="375"/>
      <c r="L2128" s="375"/>
      <c r="M2128" s="368"/>
      <c r="N2128" s="368"/>
      <c r="O2128" s="370"/>
      <c r="T2128" s="349"/>
      <c r="V2128" s="378"/>
      <c r="W2128" s="64" ph="1"/>
      <c r="X2128" s="241"/>
      <c r="Y2128" s="284"/>
      <c r="Z2128" s="207"/>
      <c r="AA2128" s="284"/>
      <c r="AB2128" s="284"/>
      <c r="AC2128" s="284"/>
      <c r="AD2128" s="284"/>
      <c r="AE2128" s="284"/>
      <c r="AF2128" s="284"/>
      <c r="AG2128" s="284"/>
    </row>
    <row r="2129" spans="1:33" ht="26.4">
      <c r="A2129" s="284"/>
      <c r="B2129" s="284"/>
      <c r="C2129" s="284"/>
      <c r="D2129" s="284"/>
      <c r="E2129" s="284"/>
      <c r="F2129" s="284"/>
      <c r="G2129" s="284"/>
      <c r="H2129" s="284"/>
      <c r="I2129" s="284"/>
      <c r="J2129" s="375"/>
      <c r="K2129" s="375"/>
      <c r="L2129" s="375"/>
      <c r="M2129" s="368"/>
      <c r="N2129" s="368"/>
      <c r="O2129" s="370"/>
      <c r="T2129" s="349"/>
      <c r="V2129" s="378"/>
      <c r="W2129" s="64" ph="1"/>
      <c r="X2129" s="241"/>
      <c r="Y2129" s="284"/>
      <c r="Z2129" s="207"/>
      <c r="AA2129" s="284"/>
      <c r="AB2129" s="284"/>
      <c r="AC2129" s="284"/>
      <c r="AD2129" s="284"/>
      <c r="AE2129" s="284"/>
      <c r="AF2129" s="284"/>
      <c r="AG2129" s="284"/>
    </row>
    <row r="2130" spans="1:33" ht="26.4">
      <c r="A2130" s="284"/>
      <c r="B2130" s="284"/>
      <c r="C2130" s="284"/>
      <c r="D2130" s="284"/>
      <c r="E2130" s="284"/>
      <c r="F2130" s="284"/>
      <c r="G2130" s="284"/>
      <c r="H2130" s="284"/>
      <c r="I2130" s="284"/>
      <c r="J2130" s="375"/>
      <c r="K2130" s="375"/>
      <c r="L2130" s="375"/>
      <c r="M2130" s="368"/>
      <c r="N2130" s="368"/>
      <c r="O2130" s="370"/>
      <c r="T2130" s="349"/>
      <c r="V2130" s="378"/>
      <c r="W2130" s="64" ph="1"/>
      <c r="X2130" s="241"/>
      <c r="Y2130" s="284"/>
      <c r="Z2130" s="207"/>
      <c r="AA2130" s="284"/>
      <c r="AB2130" s="284"/>
      <c r="AC2130" s="284"/>
      <c r="AD2130" s="284"/>
      <c r="AE2130" s="284"/>
      <c r="AF2130" s="284"/>
      <c r="AG2130" s="284"/>
    </row>
    <row r="2131" spans="1:33" ht="26.4">
      <c r="A2131" s="284"/>
      <c r="B2131" s="284"/>
      <c r="C2131" s="284"/>
      <c r="D2131" s="284"/>
      <c r="E2131" s="284"/>
      <c r="F2131" s="284"/>
      <c r="G2131" s="284"/>
      <c r="H2131" s="284"/>
      <c r="I2131" s="284"/>
      <c r="J2131" s="375"/>
      <c r="K2131" s="375"/>
      <c r="L2131" s="375"/>
      <c r="M2131" s="368"/>
      <c r="N2131" s="368"/>
      <c r="O2131" s="370"/>
      <c r="T2131" s="349"/>
      <c r="V2131" s="378"/>
      <c r="W2131" s="64" ph="1"/>
      <c r="X2131" s="241"/>
      <c r="Y2131" s="284"/>
      <c r="Z2131" s="207"/>
      <c r="AA2131" s="284"/>
      <c r="AB2131" s="284"/>
      <c r="AC2131" s="284"/>
      <c r="AD2131" s="284"/>
      <c r="AE2131" s="284"/>
      <c r="AF2131" s="284"/>
      <c r="AG2131" s="284"/>
    </row>
    <row r="2132" spans="1:33" ht="26.4">
      <c r="A2132" s="284"/>
      <c r="B2132" s="284"/>
      <c r="C2132" s="284"/>
      <c r="D2132" s="284"/>
      <c r="E2132" s="284"/>
      <c r="F2132" s="284"/>
      <c r="G2132" s="284"/>
      <c r="H2132" s="284"/>
      <c r="I2132" s="284"/>
      <c r="J2132" s="375"/>
      <c r="K2132" s="375"/>
      <c r="L2132" s="375"/>
      <c r="M2132" s="368"/>
      <c r="N2132" s="368"/>
      <c r="O2132" s="370"/>
      <c r="T2132" s="349"/>
      <c r="V2132" s="378"/>
      <c r="W2132" s="64" ph="1"/>
      <c r="X2132" s="241"/>
      <c r="Y2132" s="284"/>
      <c r="Z2132" s="207"/>
      <c r="AA2132" s="284"/>
      <c r="AB2132" s="284"/>
      <c r="AC2132" s="284"/>
      <c r="AD2132" s="284"/>
      <c r="AE2132" s="284"/>
      <c r="AF2132" s="284"/>
      <c r="AG2132" s="284"/>
    </row>
    <row r="2133" spans="1:33" ht="26.4">
      <c r="A2133" s="284"/>
      <c r="B2133" s="284"/>
      <c r="C2133" s="284"/>
      <c r="D2133" s="284"/>
      <c r="E2133" s="284"/>
      <c r="F2133" s="284"/>
      <c r="G2133" s="284"/>
      <c r="H2133" s="284"/>
      <c r="I2133" s="284"/>
      <c r="J2133" s="375"/>
      <c r="K2133" s="375"/>
      <c r="L2133" s="375"/>
      <c r="M2133" s="368"/>
      <c r="N2133" s="368"/>
      <c r="O2133" s="370"/>
      <c r="T2133" s="349"/>
      <c r="V2133" s="378"/>
      <c r="W2133" s="64" ph="1"/>
      <c r="X2133" s="241"/>
      <c r="Y2133" s="284"/>
      <c r="Z2133" s="207"/>
      <c r="AA2133" s="284"/>
      <c r="AB2133" s="284"/>
      <c r="AC2133" s="284"/>
      <c r="AD2133" s="284"/>
      <c r="AE2133" s="284"/>
      <c r="AF2133" s="284"/>
      <c r="AG2133" s="284"/>
    </row>
    <row r="2134" spans="1:33" ht="26.4">
      <c r="A2134" s="284"/>
      <c r="B2134" s="284"/>
      <c r="C2134" s="284"/>
      <c r="D2134" s="284"/>
      <c r="E2134" s="284"/>
      <c r="F2134" s="284"/>
      <c r="G2134" s="284"/>
      <c r="H2134" s="284"/>
      <c r="I2134" s="284"/>
      <c r="J2134" s="375"/>
      <c r="K2134" s="375"/>
      <c r="L2134" s="375"/>
      <c r="M2134" s="368"/>
      <c r="N2134" s="368"/>
      <c r="O2134" s="370"/>
      <c r="T2134" s="349"/>
      <c r="V2134" s="378"/>
      <c r="W2134" s="64" ph="1"/>
      <c r="X2134" s="241"/>
      <c r="Y2134" s="284"/>
      <c r="Z2134" s="207"/>
      <c r="AA2134" s="284"/>
      <c r="AB2134" s="284"/>
      <c r="AC2134" s="284"/>
      <c r="AD2134" s="284"/>
      <c r="AE2134" s="284"/>
      <c r="AF2134" s="284"/>
      <c r="AG2134" s="284"/>
    </row>
    <row r="2135" spans="1:33" ht="26.4">
      <c r="A2135" s="284"/>
      <c r="B2135" s="284"/>
      <c r="C2135" s="284"/>
      <c r="D2135" s="284"/>
      <c r="E2135" s="284"/>
      <c r="F2135" s="284"/>
      <c r="G2135" s="284"/>
      <c r="H2135" s="284"/>
      <c r="I2135" s="284"/>
      <c r="J2135" s="375"/>
      <c r="K2135" s="375"/>
      <c r="L2135" s="375"/>
      <c r="M2135" s="368"/>
      <c r="N2135" s="368"/>
      <c r="O2135" s="370"/>
      <c r="T2135" s="349"/>
      <c r="V2135" s="378"/>
      <c r="W2135" s="64" ph="1"/>
      <c r="X2135" s="241"/>
      <c r="Y2135" s="284"/>
      <c r="Z2135" s="207"/>
      <c r="AA2135" s="284"/>
      <c r="AB2135" s="284"/>
      <c r="AC2135" s="284"/>
      <c r="AD2135" s="284"/>
      <c r="AE2135" s="284"/>
      <c r="AF2135" s="284"/>
      <c r="AG2135" s="284"/>
    </row>
    <row r="2136" spans="1:33" ht="26.4">
      <c r="A2136" s="284"/>
      <c r="B2136" s="284"/>
      <c r="C2136" s="284"/>
      <c r="D2136" s="284"/>
      <c r="E2136" s="284"/>
      <c r="F2136" s="284"/>
      <c r="G2136" s="284"/>
      <c r="H2136" s="284"/>
      <c r="I2136" s="284"/>
      <c r="J2136" s="375"/>
      <c r="K2136" s="375"/>
      <c r="L2136" s="375"/>
      <c r="M2136" s="368"/>
      <c r="N2136" s="368"/>
      <c r="O2136" s="370"/>
      <c r="T2136" s="349"/>
      <c r="V2136" s="378"/>
      <c r="W2136" s="64" ph="1"/>
      <c r="X2136" s="241"/>
      <c r="Y2136" s="284"/>
      <c r="Z2136" s="207"/>
      <c r="AA2136" s="284"/>
      <c r="AB2136" s="284"/>
      <c r="AC2136" s="284"/>
      <c r="AD2136" s="284"/>
      <c r="AE2136" s="284"/>
      <c r="AF2136" s="284"/>
      <c r="AG2136" s="284"/>
    </row>
    <row r="2137" spans="1:33" ht="26.4">
      <c r="A2137" s="284"/>
      <c r="B2137" s="284"/>
      <c r="C2137" s="284"/>
      <c r="D2137" s="284"/>
      <c r="E2137" s="284"/>
      <c r="F2137" s="284"/>
      <c r="G2137" s="284"/>
      <c r="H2137" s="284"/>
      <c r="I2137" s="284"/>
      <c r="J2137" s="375"/>
      <c r="K2137" s="375"/>
      <c r="L2137" s="375"/>
      <c r="M2137" s="368"/>
      <c r="N2137" s="368"/>
      <c r="O2137" s="370"/>
      <c r="T2137" s="349"/>
      <c r="V2137" s="378"/>
      <c r="W2137" s="64" ph="1"/>
      <c r="X2137" s="241"/>
      <c r="Y2137" s="284"/>
      <c r="Z2137" s="207"/>
      <c r="AA2137" s="284"/>
      <c r="AB2137" s="284"/>
      <c r="AC2137" s="284"/>
      <c r="AD2137" s="284"/>
      <c r="AE2137" s="284"/>
      <c r="AF2137" s="284"/>
      <c r="AG2137" s="284"/>
    </row>
    <row r="2138" spans="1:33" ht="26.4">
      <c r="A2138" s="284"/>
      <c r="B2138" s="284"/>
      <c r="C2138" s="284"/>
      <c r="D2138" s="284"/>
      <c r="E2138" s="284"/>
      <c r="F2138" s="284"/>
      <c r="G2138" s="284"/>
      <c r="H2138" s="284"/>
      <c r="I2138" s="284"/>
      <c r="J2138" s="375"/>
      <c r="K2138" s="375"/>
      <c r="L2138" s="375"/>
      <c r="M2138" s="368"/>
      <c r="N2138" s="368"/>
      <c r="O2138" s="370"/>
      <c r="T2138" s="349"/>
      <c r="V2138" s="378"/>
      <c r="W2138" s="64" ph="1"/>
      <c r="X2138" s="241"/>
      <c r="Y2138" s="284"/>
      <c r="Z2138" s="207"/>
      <c r="AA2138" s="284"/>
      <c r="AB2138" s="284"/>
      <c r="AC2138" s="284"/>
      <c r="AD2138" s="284"/>
      <c r="AE2138" s="284"/>
      <c r="AF2138" s="284"/>
      <c r="AG2138" s="284"/>
    </row>
    <row r="2139" spans="1:33" ht="26.4">
      <c r="A2139" s="284"/>
      <c r="B2139" s="284"/>
      <c r="C2139" s="284"/>
      <c r="D2139" s="284"/>
      <c r="E2139" s="284"/>
      <c r="F2139" s="284"/>
      <c r="G2139" s="284"/>
      <c r="H2139" s="284"/>
      <c r="I2139" s="284"/>
      <c r="J2139" s="375"/>
      <c r="K2139" s="375"/>
      <c r="L2139" s="375"/>
      <c r="M2139" s="368"/>
      <c r="N2139" s="368"/>
      <c r="O2139" s="370"/>
      <c r="T2139" s="349"/>
      <c r="V2139" s="378"/>
      <c r="W2139" s="64" ph="1"/>
      <c r="X2139" s="241"/>
      <c r="Y2139" s="284"/>
      <c r="Z2139" s="207"/>
      <c r="AA2139" s="284"/>
      <c r="AB2139" s="284"/>
      <c r="AC2139" s="284"/>
      <c r="AD2139" s="284"/>
      <c r="AE2139" s="284"/>
      <c r="AF2139" s="284"/>
      <c r="AG2139" s="284"/>
    </row>
    <row r="2140" spans="1:33" ht="26.4">
      <c r="A2140" s="284"/>
      <c r="B2140" s="284"/>
      <c r="C2140" s="284"/>
      <c r="D2140" s="284"/>
      <c r="E2140" s="284"/>
      <c r="F2140" s="284"/>
      <c r="G2140" s="284"/>
      <c r="H2140" s="284"/>
      <c r="I2140" s="284"/>
      <c r="J2140" s="375"/>
      <c r="K2140" s="375"/>
      <c r="L2140" s="375"/>
      <c r="M2140" s="368"/>
      <c r="N2140" s="368"/>
      <c r="O2140" s="370"/>
      <c r="T2140" s="349"/>
      <c r="V2140" s="378"/>
      <c r="W2140" s="64" ph="1"/>
      <c r="X2140" s="241"/>
      <c r="Y2140" s="284"/>
      <c r="Z2140" s="207"/>
      <c r="AA2140" s="284"/>
      <c r="AB2140" s="284"/>
      <c r="AC2140" s="284"/>
      <c r="AD2140" s="284"/>
      <c r="AE2140" s="284"/>
      <c r="AF2140" s="284"/>
      <c r="AG2140" s="284"/>
    </row>
    <row r="2141" spans="1:33" ht="26.4">
      <c r="A2141" s="284"/>
      <c r="B2141" s="284"/>
      <c r="C2141" s="284"/>
      <c r="D2141" s="284"/>
      <c r="E2141" s="284"/>
      <c r="F2141" s="284"/>
      <c r="G2141" s="284"/>
      <c r="H2141" s="284"/>
      <c r="I2141" s="284"/>
      <c r="J2141" s="375"/>
      <c r="K2141" s="375"/>
      <c r="L2141" s="375"/>
      <c r="M2141" s="368"/>
      <c r="N2141" s="368"/>
      <c r="O2141" s="370"/>
      <c r="T2141" s="349"/>
      <c r="V2141" s="378"/>
      <c r="W2141" s="64" ph="1"/>
      <c r="X2141" s="241"/>
      <c r="Y2141" s="284"/>
      <c r="Z2141" s="207"/>
      <c r="AA2141" s="284"/>
      <c r="AB2141" s="284"/>
      <c r="AC2141" s="284"/>
      <c r="AD2141" s="284"/>
      <c r="AE2141" s="284"/>
      <c r="AF2141" s="284"/>
      <c r="AG2141" s="284"/>
    </row>
    <row r="2142" spans="1:33" ht="26.4">
      <c r="A2142" s="284"/>
      <c r="B2142" s="284"/>
      <c r="C2142" s="284"/>
      <c r="D2142" s="284"/>
      <c r="E2142" s="284"/>
      <c r="F2142" s="284"/>
      <c r="G2142" s="284"/>
      <c r="H2142" s="284"/>
      <c r="I2142" s="284"/>
      <c r="J2142" s="375"/>
      <c r="K2142" s="375"/>
      <c r="L2142" s="375"/>
      <c r="M2142" s="368"/>
      <c r="N2142" s="368"/>
      <c r="O2142" s="370"/>
      <c r="T2142" s="349"/>
      <c r="V2142" s="378"/>
      <c r="W2142" s="64" ph="1"/>
      <c r="X2142" s="241"/>
      <c r="Y2142" s="284"/>
      <c r="Z2142" s="207"/>
      <c r="AA2142" s="284"/>
      <c r="AB2142" s="284"/>
      <c r="AC2142" s="284"/>
      <c r="AD2142" s="284"/>
      <c r="AE2142" s="284"/>
      <c r="AF2142" s="284"/>
      <c r="AG2142" s="284"/>
    </row>
    <row r="2143" spans="1:33" ht="26.4">
      <c r="A2143" s="284"/>
      <c r="B2143" s="284"/>
      <c r="C2143" s="284"/>
      <c r="D2143" s="284"/>
      <c r="E2143" s="284"/>
      <c r="F2143" s="284"/>
      <c r="G2143" s="284"/>
      <c r="H2143" s="284"/>
      <c r="I2143" s="284"/>
      <c r="J2143" s="375"/>
      <c r="K2143" s="375"/>
      <c r="L2143" s="375"/>
      <c r="M2143" s="368"/>
      <c r="N2143" s="368"/>
      <c r="O2143" s="370"/>
      <c r="T2143" s="349"/>
      <c r="V2143" s="378"/>
      <c r="W2143" s="64" ph="1"/>
      <c r="X2143" s="241"/>
      <c r="Y2143" s="284"/>
      <c r="Z2143" s="207"/>
      <c r="AA2143" s="284"/>
      <c r="AB2143" s="284"/>
      <c r="AC2143" s="284"/>
      <c r="AD2143" s="284"/>
      <c r="AE2143" s="284"/>
      <c r="AF2143" s="284"/>
      <c r="AG2143" s="284"/>
    </row>
    <row r="2144" spans="1:33" ht="26.4">
      <c r="A2144" s="284"/>
      <c r="B2144" s="284"/>
      <c r="C2144" s="284"/>
      <c r="D2144" s="284"/>
      <c r="E2144" s="284"/>
      <c r="F2144" s="284"/>
      <c r="G2144" s="284"/>
      <c r="H2144" s="284"/>
      <c r="I2144" s="284"/>
      <c r="J2144" s="375"/>
      <c r="K2144" s="375"/>
      <c r="L2144" s="375"/>
      <c r="M2144" s="368"/>
      <c r="N2144" s="368"/>
      <c r="O2144" s="370"/>
      <c r="T2144" s="349"/>
      <c r="V2144" s="378"/>
      <c r="W2144" s="64" ph="1"/>
      <c r="X2144" s="241"/>
      <c r="Y2144" s="284"/>
      <c r="Z2144" s="207"/>
      <c r="AA2144" s="284"/>
      <c r="AB2144" s="284"/>
      <c r="AC2144" s="284"/>
      <c r="AD2144" s="284"/>
      <c r="AE2144" s="284"/>
      <c r="AF2144" s="284"/>
      <c r="AG2144" s="284"/>
    </row>
    <row r="2145" spans="1:33" ht="26.4">
      <c r="A2145" s="284"/>
      <c r="B2145" s="284"/>
      <c r="C2145" s="284"/>
      <c r="D2145" s="284"/>
      <c r="E2145" s="284"/>
      <c r="F2145" s="284"/>
      <c r="G2145" s="284"/>
      <c r="H2145" s="284"/>
      <c r="I2145" s="284"/>
      <c r="J2145" s="375"/>
      <c r="K2145" s="375"/>
      <c r="L2145" s="375"/>
      <c r="M2145" s="368"/>
      <c r="N2145" s="368"/>
      <c r="O2145" s="370"/>
      <c r="T2145" s="349"/>
      <c r="V2145" s="378"/>
      <c r="W2145" s="64" ph="1"/>
      <c r="X2145" s="241"/>
      <c r="Y2145" s="284"/>
      <c r="Z2145" s="207"/>
      <c r="AA2145" s="284"/>
      <c r="AB2145" s="284"/>
      <c r="AC2145" s="284"/>
      <c r="AD2145" s="284"/>
      <c r="AE2145" s="284"/>
      <c r="AF2145" s="284"/>
      <c r="AG2145" s="284"/>
    </row>
    <row r="2146" spans="1:33" ht="26.4">
      <c r="A2146" s="284"/>
      <c r="B2146" s="284"/>
      <c r="C2146" s="284"/>
      <c r="D2146" s="284"/>
      <c r="E2146" s="284"/>
      <c r="F2146" s="284"/>
      <c r="G2146" s="284"/>
      <c r="H2146" s="284"/>
      <c r="I2146" s="284"/>
      <c r="J2146" s="375"/>
      <c r="K2146" s="375"/>
      <c r="L2146" s="375"/>
      <c r="M2146" s="368"/>
      <c r="N2146" s="368"/>
      <c r="O2146" s="370"/>
      <c r="T2146" s="349"/>
      <c r="V2146" s="378"/>
      <c r="W2146" s="64" ph="1"/>
      <c r="X2146" s="241"/>
      <c r="Y2146" s="284"/>
      <c r="Z2146" s="207"/>
      <c r="AA2146" s="284"/>
      <c r="AB2146" s="284"/>
      <c r="AC2146" s="284"/>
      <c r="AD2146" s="284"/>
      <c r="AE2146" s="284"/>
      <c r="AF2146" s="284"/>
      <c r="AG2146" s="284"/>
    </row>
    <row r="2147" spans="1:33" ht="26.4">
      <c r="A2147" s="284"/>
      <c r="B2147" s="284"/>
      <c r="C2147" s="284"/>
      <c r="D2147" s="284"/>
      <c r="E2147" s="284"/>
      <c r="F2147" s="284"/>
      <c r="G2147" s="284"/>
      <c r="H2147" s="284"/>
      <c r="I2147" s="284"/>
      <c r="J2147" s="375"/>
      <c r="K2147" s="375"/>
      <c r="L2147" s="375"/>
      <c r="M2147" s="368"/>
      <c r="N2147" s="368"/>
      <c r="O2147" s="370"/>
      <c r="T2147" s="349"/>
      <c r="V2147" s="378"/>
      <c r="W2147" s="64" ph="1"/>
      <c r="X2147" s="241"/>
      <c r="Y2147" s="284"/>
      <c r="Z2147" s="207"/>
      <c r="AA2147" s="284"/>
      <c r="AB2147" s="284"/>
      <c r="AC2147" s="284"/>
      <c r="AD2147" s="284"/>
      <c r="AE2147" s="284"/>
      <c r="AF2147" s="284"/>
      <c r="AG2147" s="284"/>
    </row>
    <row r="2148" spans="1:33" ht="26.4">
      <c r="A2148" s="284"/>
      <c r="B2148" s="284"/>
      <c r="C2148" s="284"/>
      <c r="D2148" s="284"/>
      <c r="E2148" s="284"/>
      <c r="F2148" s="284"/>
      <c r="G2148" s="284"/>
      <c r="H2148" s="284"/>
      <c r="I2148" s="284"/>
      <c r="J2148" s="375"/>
      <c r="K2148" s="375"/>
      <c r="L2148" s="375"/>
      <c r="M2148" s="368"/>
      <c r="N2148" s="368"/>
      <c r="O2148" s="370"/>
      <c r="T2148" s="349"/>
      <c r="V2148" s="378"/>
      <c r="W2148" s="64" ph="1"/>
      <c r="X2148" s="241"/>
      <c r="Y2148" s="284"/>
      <c r="Z2148" s="207"/>
      <c r="AA2148" s="284"/>
      <c r="AB2148" s="284"/>
      <c r="AC2148" s="284"/>
      <c r="AD2148" s="284"/>
      <c r="AE2148" s="284"/>
      <c r="AF2148" s="284"/>
      <c r="AG2148" s="284"/>
    </row>
    <row r="2149" spans="1:33" ht="26.4">
      <c r="A2149" s="284"/>
      <c r="B2149" s="284"/>
      <c r="C2149" s="284"/>
      <c r="D2149" s="284"/>
      <c r="E2149" s="284"/>
      <c r="F2149" s="284"/>
      <c r="G2149" s="284"/>
      <c r="H2149" s="284"/>
      <c r="I2149" s="284"/>
      <c r="J2149" s="375"/>
      <c r="K2149" s="375"/>
      <c r="L2149" s="375"/>
      <c r="M2149" s="368"/>
      <c r="N2149" s="368"/>
      <c r="O2149" s="370"/>
      <c r="T2149" s="349"/>
      <c r="V2149" s="378"/>
      <c r="W2149" s="64" ph="1"/>
      <c r="X2149" s="241"/>
      <c r="Y2149" s="284"/>
      <c r="Z2149" s="207"/>
      <c r="AA2149" s="284"/>
      <c r="AB2149" s="284"/>
      <c r="AC2149" s="284"/>
      <c r="AD2149" s="284"/>
      <c r="AE2149" s="284"/>
      <c r="AF2149" s="284"/>
      <c r="AG2149" s="284"/>
    </row>
    <row r="2150" spans="1:33" ht="26.4">
      <c r="A2150" s="284"/>
      <c r="B2150" s="284"/>
      <c r="C2150" s="284"/>
      <c r="D2150" s="284"/>
      <c r="E2150" s="284"/>
      <c r="F2150" s="284"/>
      <c r="G2150" s="284"/>
      <c r="H2150" s="284"/>
      <c r="I2150" s="284"/>
      <c r="J2150" s="375"/>
      <c r="K2150" s="375"/>
      <c r="L2150" s="375"/>
      <c r="M2150" s="368"/>
      <c r="N2150" s="368"/>
      <c r="O2150" s="370"/>
      <c r="T2150" s="349"/>
      <c r="V2150" s="378"/>
      <c r="W2150" s="64" ph="1"/>
      <c r="X2150" s="241"/>
      <c r="Y2150" s="284"/>
      <c r="Z2150" s="207"/>
      <c r="AA2150" s="284"/>
      <c r="AB2150" s="284"/>
      <c r="AC2150" s="284"/>
      <c r="AD2150" s="284"/>
      <c r="AE2150" s="284"/>
      <c r="AF2150" s="284"/>
      <c r="AG2150" s="284"/>
    </row>
    <row r="2151" spans="1:33" ht="26.4">
      <c r="A2151" s="284"/>
      <c r="B2151" s="284"/>
      <c r="C2151" s="284"/>
      <c r="D2151" s="284"/>
      <c r="E2151" s="284"/>
      <c r="F2151" s="284"/>
      <c r="G2151" s="284"/>
      <c r="H2151" s="284"/>
      <c r="I2151" s="284"/>
      <c r="J2151" s="375"/>
      <c r="K2151" s="375"/>
      <c r="L2151" s="375"/>
      <c r="M2151" s="368"/>
      <c r="N2151" s="368"/>
      <c r="O2151" s="370"/>
      <c r="T2151" s="349"/>
      <c r="V2151" s="378"/>
      <c r="W2151" s="64" ph="1"/>
      <c r="X2151" s="241"/>
      <c r="Y2151" s="284"/>
      <c r="Z2151" s="207"/>
      <c r="AA2151" s="284"/>
      <c r="AB2151" s="284"/>
      <c r="AC2151" s="284"/>
      <c r="AD2151" s="284"/>
      <c r="AE2151" s="284"/>
      <c r="AF2151" s="284"/>
      <c r="AG2151" s="284"/>
    </row>
    <row r="2152" spans="1:33" ht="26.4">
      <c r="A2152" s="284"/>
      <c r="B2152" s="284"/>
      <c r="C2152" s="284"/>
      <c r="D2152" s="284"/>
      <c r="E2152" s="284"/>
      <c r="F2152" s="284"/>
      <c r="G2152" s="284"/>
      <c r="H2152" s="284"/>
      <c r="I2152" s="284"/>
      <c r="J2152" s="375"/>
      <c r="K2152" s="375"/>
      <c r="L2152" s="375"/>
      <c r="M2152" s="368"/>
      <c r="N2152" s="368"/>
      <c r="O2152" s="370"/>
      <c r="T2152" s="349"/>
      <c r="V2152" s="378"/>
      <c r="W2152" s="64" ph="1"/>
      <c r="X2152" s="241"/>
      <c r="Y2152" s="284"/>
      <c r="Z2152" s="207"/>
      <c r="AA2152" s="284"/>
      <c r="AB2152" s="284"/>
      <c r="AC2152" s="284"/>
      <c r="AD2152" s="284"/>
      <c r="AE2152" s="284"/>
      <c r="AF2152" s="284"/>
      <c r="AG2152" s="284"/>
    </row>
    <row r="2153" spans="1:33" ht="26.4">
      <c r="A2153" s="284"/>
      <c r="B2153" s="284"/>
      <c r="C2153" s="284"/>
      <c r="D2153" s="284"/>
      <c r="E2153" s="284"/>
      <c r="F2153" s="284"/>
      <c r="G2153" s="284"/>
      <c r="H2153" s="284"/>
      <c r="I2153" s="284"/>
      <c r="J2153" s="375"/>
      <c r="K2153" s="375"/>
      <c r="L2153" s="375"/>
      <c r="M2153" s="368"/>
      <c r="N2153" s="368"/>
      <c r="O2153" s="370"/>
      <c r="T2153" s="349"/>
      <c r="V2153" s="378"/>
      <c r="W2153" s="64" ph="1"/>
      <c r="X2153" s="241"/>
      <c r="Y2153" s="284"/>
      <c r="Z2153" s="207"/>
      <c r="AA2153" s="284"/>
      <c r="AB2153" s="284"/>
      <c r="AC2153" s="284"/>
      <c r="AD2153" s="284"/>
      <c r="AE2153" s="284"/>
      <c r="AF2153" s="284"/>
      <c r="AG2153" s="284"/>
    </row>
    <row r="2154" spans="1:33" ht="26.4">
      <c r="A2154" s="284"/>
      <c r="B2154" s="284"/>
      <c r="C2154" s="284"/>
      <c r="D2154" s="284"/>
      <c r="E2154" s="284"/>
      <c r="F2154" s="284"/>
      <c r="G2154" s="284"/>
      <c r="H2154" s="284"/>
      <c r="I2154" s="284"/>
      <c r="J2154" s="375"/>
      <c r="K2154" s="375"/>
      <c r="L2154" s="375"/>
      <c r="M2154" s="368"/>
      <c r="N2154" s="368"/>
      <c r="O2154" s="370"/>
      <c r="T2154" s="349"/>
      <c r="V2154" s="378"/>
      <c r="W2154" s="64" ph="1"/>
      <c r="X2154" s="241"/>
      <c r="Y2154" s="284"/>
      <c r="Z2154" s="207"/>
      <c r="AA2154" s="284"/>
      <c r="AB2154" s="284"/>
      <c r="AC2154" s="284"/>
      <c r="AD2154" s="284"/>
      <c r="AE2154" s="284"/>
      <c r="AF2154" s="284"/>
      <c r="AG2154" s="284"/>
    </row>
    <row r="2155" spans="1:33" ht="26.4">
      <c r="A2155" s="284"/>
      <c r="B2155" s="284"/>
      <c r="C2155" s="284"/>
      <c r="D2155" s="284"/>
      <c r="E2155" s="284"/>
      <c r="F2155" s="284"/>
      <c r="G2155" s="284"/>
      <c r="H2155" s="284"/>
      <c r="I2155" s="284"/>
      <c r="J2155" s="375"/>
      <c r="K2155" s="375"/>
      <c r="L2155" s="375"/>
      <c r="M2155" s="368"/>
      <c r="N2155" s="368"/>
      <c r="O2155" s="370"/>
      <c r="T2155" s="349"/>
      <c r="V2155" s="378"/>
      <c r="W2155" s="64" ph="1"/>
      <c r="X2155" s="241"/>
      <c r="Y2155" s="284"/>
      <c r="Z2155" s="207"/>
      <c r="AA2155" s="284"/>
      <c r="AB2155" s="284"/>
      <c r="AC2155" s="284"/>
      <c r="AD2155" s="284"/>
      <c r="AE2155" s="284"/>
      <c r="AF2155" s="284"/>
      <c r="AG2155" s="284"/>
    </row>
    <row r="2156" spans="1:33" ht="26.4">
      <c r="A2156" s="284"/>
      <c r="B2156" s="284"/>
      <c r="C2156" s="284"/>
      <c r="D2156" s="284"/>
      <c r="E2156" s="284"/>
      <c r="F2156" s="284"/>
      <c r="G2156" s="284"/>
      <c r="H2156" s="284"/>
      <c r="I2156" s="284"/>
      <c r="J2156" s="375"/>
      <c r="K2156" s="375"/>
      <c r="L2156" s="375"/>
      <c r="M2156" s="368"/>
      <c r="N2156" s="368"/>
      <c r="O2156" s="370"/>
      <c r="T2156" s="349"/>
      <c r="V2156" s="378"/>
      <c r="W2156" s="64" ph="1"/>
      <c r="X2156" s="241"/>
      <c r="Y2156" s="284"/>
      <c r="Z2156" s="207"/>
      <c r="AA2156" s="284"/>
      <c r="AB2156" s="284"/>
      <c r="AC2156" s="284"/>
      <c r="AD2156" s="284"/>
      <c r="AE2156" s="284"/>
      <c r="AF2156" s="284"/>
      <c r="AG2156" s="284"/>
    </row>
    <row r="2157" spans="1:33" ht="26.4">
      <c r="A2157" s="284"/>
      <c r="B2157" s="284"/>
      <c r="C2157" s="284"/>
      <c r="D2157" s="284"/>
      <c r="E2157" s="284"/>
      <c r="F2157" s="284"/>
      <c r="G2157" s="284"/>
      <c r="H2157" s="284"/>
      <c r="I2157" s="284"/>
      <c r="J2157" s="375"/>
      <c r="K2157" s="375"/>
      <c r="L2157" s="375"/>
      <c r="M2157" s="368"/>
      <c r="N2157" s="368"/>
      <c r="O2157" s="370"/>
      <c r="T2157" s="349"/>
      <c r="V2157" s="378"/>
      <c r="W2157" s="64" ph="1"/>
      <c r="X2157" s="241"/>
      <c r="Y2157" s="284"/>
      <c r="Z2157" s="207"/>
      <c r="AA2157" s="284"/>
      <c r="AB2157" s="284"/>
      <c r="AC2157" s="284"/>
      <c r="AD2157" s="284"/>
      <c r="AE2157" s="284"/>
      <c r="AF2157" s="284"/>
      <c r="AG2157" s="284"/>
    </row>
    <row r="2158" spans="1:33" ht="26.4">
      <c r="A2158" s="284"/>
      <c r="B2158" s="284"/>
      <c r="C2158" s="284"/>
      <c r="D2158" s="284"/>
      <c r="E2158" s="284"/>
      <c r="F2158" s="284"/>
      <c r="G2158" s="284"/>
      <c r="H2158" s="284"/>
      <c r="I2158" s="284"/>
      <c r="J2158" s="375"/>
      <c r="K2158" s="375"/>
      <c r="L2158" s="375"/>
      <c r="M2158" s="368"/>
      <c r="N2158" s="368"/>
      <c r="O2158" s="370"/>
      <c r="T2158" s="349"/>
      <c r="V2158" s="378"/>
      <c r="W2158" s="64" ph="1"/>
      <c r="X2158" s="241"/>
      <c r="Y2158" s="284"/>
      <c r="Z2158" s="207"/>
      <c r="AA2158" s="284"/>
      <c r="AB2158" s="284"/>
      <c r="AC2158" s="284"/>
      <c r="AD2158" s="284"/>
      <c r="AE2158" s="284"/>
      <c r="AF2158" s="284"/>
      <c r="AG2158" s="284"/>
    </row>
    <row r="2159" spans="1:33" ht="26.4">
      <c r="A2159" s="284"/>
      <c r="B2159" s="284"/>
      <c r="C2159" s="284"/>
      <c r="D2159" s="284"/>
      <c r="E2159" s="284"/>
      <c r="F2159" s="284"/>
      <c r="G2159" s="284"/>
      <c r="H2159" s="284"/>
      <c r="I2159" s="284"/>
      <c r="J2159" s="375"/>
      <c r="K2159" s="375"/>
      <c r="L2159" s="375"/>
      <c r="M2159" s="368"/>
      <c r="N2159" s="368"/>
      <c r="O2159" s="370"/>
      <c r="T2159" s="349"/>
      <c r="V2159" s="378"/>
      <c r="W2159" s="64" ph="1"/>
      <c r="X2159" s="241"/>
      <c r="Y2159" s="284"/>
      <c r="Z2159" s="207"/>
      <c r="AA2159" s="284"/>
      <c r="AB2159" s="284"/>
      <c r="AC2159" s="284"/>
      <c r="AD2159" s="284"/>
      <c r="AE2159" s="284"/>
      <c r="AF2159" s="284"/>
      <c r="AG2159" s="284"/>
    </row>
    <row r="2160" spans="1:33" ht="26.4">
      <c r="A2160" s="284"/>
      <c r="B2160" s="284"/>
      <c r="C2160" s="284"/>
      <c r="D2160" s="284"/>
      <c r="E2160" s="284"/>
      <c r="F2160" s="284"/>
      <c r="G2160" s="284"/>
      <c r="H2160" s="284"/>
      <c r="I2160" s="284"/>
      <c r="J2160" s="375"/>
      <c r="K2160" s="375"/>
      <c r="L2160" s="375"/>
      <c r="M2160" s="368"/>
      <c r="N2160" s="368"/>
      <c r="O2160" s="370"/>
      <c r="T2160" s="349"/>
      <c r="V2160" s="378"/>
      <c r="W2160" s="64" ph="1"/>
      <c r="X2160" s="241"/>
      <c r="Y2160" s="284"/>
      <c r="Z2160" s="207"/>
      <c r="AA2160" s="284"/>
      <c r="AB2160" s="284"/>
      <c r="AC2160" s="284"/>
      <c r="AD2160" s="284"/>
      <c r="AE2160" s="284"/>
      <c r="AF2160" s="284"/>
      <c r="AG2160" s="284"/>
    </row>
    <row r="2161" spans="1:33" ht="26.4">
      <c r="A2161" s="284"/>
      <c r="B2161" s="284"/>
      <c r="C2161" s="284"/>
      <c r="D2161" s="284"/>
      <c r="E2161" s="284"/>
      <c r="F2161" s="284"/>
      <c r="G2161" s="284"/>
      <c r="H2161" s="284"/>
      <c r="I2161" s="284"/>
      <c r="J2161" s="375"/>
      <c r="K2161" s="375"/>
      <c r="L2161" s="375"/>
      <c r="M2161" s="368"/>
      <c r="N2161" s="368"/>
      <c r="O2161" s="370"/>
      <c r="T2161" s="349"/>
      <c r="V2161" s="378"/>
      <c r="W2161" s="64" ph="1"/>
      <c r="X2161" s="241"/>
      <c r="Y2161" s="284"/>
      <c r="Z2161" s="207"/>
      <c r="AA2161" s="284"/>
      <c r="AB2161" s="284"/>
      <c r="AC2161" s="284"/>
      <c r="AD2161" s="284"/>
      <c r="AE2161" s="284"/>
      <c r="AF2161" s="284"/>
      <c r="AG2161" s="284"/>
    </row>
    <row r="2162" spans="1:33" ht="26.4">
      <c r="A2162" s="284"/>
      <c r="B2162" s="284"/>
      <c r="C2162" s="284"/>
      <c r="D2162" s="284"/>
      <c r="E2162" s="284"/>
      <c r="F2162" s="284"/>
      <c r="G2162" s="284"/>
      <c r="H2162" s="284"/>
      <c r="I2162" s="284"/>
      <c r="J2162" s="375"/>
      <c r="K2162" s="375"/>
      <c r="L2162" s="375"/>
      <c r="M2162" s="368"/>
      <c r="N2162" s="368"/>
      <c r="O2162" s="370"/>
      <c r="T2162" s="349"/>
      <c r="V2162" s="378"/>
      <c r="W2162" s="64" ph="1"/>
      <c r="X2162" s="241"/>
      <c r="Y2162" s="284"/>
      <c r="Z2162" s="207"/>
      <c r="AA2162" s="284"/>
      <c r="AB2162" s="284"/>
      <c r="AC2162" s="284"/>
      <c r="AD2162" s="284"/>
      <c r="AE2162" s="284"/>
      <c r="AF2162" s="284"/>
      <c r="AG2162" s="284"/>
    </row>
    <row r="2163" spans="1:33" ht="26.4">
      <c r="A2163" s="284"/>
      <c r="B2163" s="284"/>
      <c r="C2163" s="284"/>
      <c r="D2163" s="284"/>
      <c r="E2163" s="284"/>
      <c r="F2163" s="284"/>
      <c r="G2163" s="284"/>
      <c r="H2163" s="284"/>
      <c r="I2163" s="284"/>
      <c r="J2163" s="375"/>
      <c r="K2163" s="375"/>
      <c r="L2163" s="375"/>
      <c r="M2163" s="368"/>
      <c r="N2163" s="368"/>
      <c r="O2163" s="370"/>
      <c r="T2163" s="349"/>
      <c r="V2163" s="378"/>
      <c r="W2163" s="64" ph="1"/>
      <c r="X2163" s="241"/>
      <c r="Y2163" s="284"/>
      <c r="Z2163" s="207"/>
      <c r="AA2163" s="284"/>
      <c r="AB2163" s="284"/>
      <c r="AC2163" s="284"/>
      <c r="AD2163" s="284"/>
      <c r="AE2163" s="284"/>
      <c r="AF2163" s="284"/>
      <c r="AG2163" s="284"/>
    </row>
    <row r="2164" spans="1:33" ht="26.4">
      <c r="A2164" s="284"/>
      <c r="B2164" s="284"/>
      <c r="C2164" s="284"/>
      <c r="D2164" s="284"/>
      <c r="E2164" s="284"/>
      <c r="F2164" s="284"/>
      <c r="G2164" s="284"/>
      <c r="H2164" s="284"/>
      <c r="I2164" s="284"/>
      <c r="J2164" s="375"/>
      <c r="K2164" s="375"/>
      <c r="L2164" s="375"/>
      <c r="M2164" s="368"/>
      <c r="N2164" s="368"/>
      <c r="O2164" s="370"/>
      <c r="T2164" s="349"/>
      <c r="V2164" s="378"/>
      <c r="W2164" s="64" ph="1"/>
      <c r="X2164" s="241"/>
      <c r="Y2164" s="284"/>
      <c r="Z2164" s="207"/>
      <c r="AA2164" s="284"/>
      <c r="AB2164" s="284"/>
      <c r="AC2164" s="284"/>
      <c r="AD2164" s="284"/>
      <c r="AE2164" s="284"/>
      <c r="AF2164" s="284"/>
      <c r="AG2164" s="284"/>
    </row>
    <row r="2165" spans="1:33" ht="26.4">
      <c r="A2165" s="284"/>
      <c r="B2165" s="284"/>
      <c r="C2165" s="284"/>
      <c r="D2165" s="284"/>
      <c r="E2165" s="284"/>
      <c r="F2165" s="284"/>
      <c r="G2165" s="284"/>
      <c r="H2165" s="284"/>
      <c r="I2165" s="284"/>
      <c r="J2165" s="375"/>
      <c r="K2165" s="375"/>
      <c r="L2165" s="375"/>
      <c r="M2165" s="368"/>
      <c r="N2165" s="368"/>
      <c r="O2165" s="370"/>
      <c r="T2165" s="349"/>
      <c r="V2165" s="378"/>
      <c r="W2165" s="64" ph="1"/>
      <c r="X2165" s="241"/>
      <c r="Y2165" s="284"/>
      <c r="Z2165" s="207"/>
      <c r="AA2165" s="284"/>
      <c r="AB2165" s="284"/>
      <c r="AC2165" s="284"/>
      <c r="AD2165" s="284"/>
      <c r="AE2165" s="284"/>
      <c r="AF2165" s="284"/>
      <c r="AG2165" s="284"/>
    </row>
    <row r="2166" spans="1:33" ht="26.4">
      <c r="A2166" s="284"/>
      <c r="B2166" s="284"/>
      <c r="C2166" s="284"/>
      <c r="D2166" s="284"/>
      <c r="E2166" s="284"/>
      <c r="F2166" s="284"/>
      <c r="G2166" s="284"/>
      <c r="H2166" s="284"/>
      <c r="I2166" s="284"/>
      <c r="J2166" s="375"/>
      <c r="K2166" s="375"/>
      <c r="L2166" s="375"/>
      <c r="M2166" s="368"/>
      <c r="N2166" s="368"/>
      <c r="O2166" s="370"/>
      <c r="T2166" s="349"/>
      <c r="V2166" s="378"/>
      <c r="W2166" s="64" ph="1"/>
      <c r="X2166" s="241"/>
      <c r="Y2166" s="284"/>
      <c r="Z2166" s="207"/>
      <c r="AA2166" s="284"/>
      <c r="AB2166" s="284"/>
      <c r="AC2166" s="284"/>
      <c r="AD2166" s="284"/>
      <c r="AE2166" s="284"/>
      <c r="AF2166" s="284"/>
      <c r="AG2166" s="284"/>
    </row>
    <row r="2167" spans="1:33" ht="26.4">
      <c r="A2167" s="284"/>
      <c r="B2167" s="284"/>
      <c r="C2167" s="284"/>
      <c r="D2167" s="284"/>
      <c r="E2167" s="284"/>
      <c r="F2167" s="284"/>
      <c r="G2167" s="284"/>
      <c r="H2167" s="284"/>
      <c r="I2167" s="284"/>
      <c r="J2167" s="375"/>
      <c r="K2167" s="375"/>
      <c r="L2167" s="375"/>
      <c r="M2167" s="368"/>
      <c r="N2167" s="368"/>
      <c r="O2167" s="370"/>
      <c r="T2167" s="349"/>
      <c r="V2167" s="378"/>
      <c r="W2167" s="64" ph="1"/>
      <c r="X2167" s="241"/>
      <c r="Y2167" s="284"/>
      <c r="Z2167" s="207"/>
      <c r="AA2167" s="284"/>
      <c r="AB2167" s="284"/>
      <c r="AC2167" s="284"/>
      <c r="AD2167" s="284"/>
      <c r="AE2167" s="284"/>
      <c r="AF2167" s="284"/>
      <c r="AG2167" s="284"/>
    </row>
    <row r="2168" spans="1:33" ht="26.4">
      <c r="A2168" s="284"/>
      <c r="B2168" s="284"/>
      <c r="C2168" s="284"/>
      <c r="D2168" s="284"/>
      <c r="E2168" s="284"/>
      <c r="F2168" s="284"/>
      <c r="G2168" s="284"/>
      <c r="H2168" s="284"/>
      <c r="I2168" s="284"/>
      <c r="J2168" s="375"/>
      <c r="K2168" s="375"/>
      <c r="L2168" s="375"/>
      <c r="M2168" s="368"/>
      <c r="N2168" s="368"/>
      <c r="O2168" s="370"/>
      <c r="T2168" s="349"/>
      <c r="V2168" s="378"/>
      <c r="W2168" s="64" ph="1"/>
      <c r="X2168" s="241"/>
      <c r="Y2168" s="284"/>
      <c r="Z2168" s="207"/>
      <c r="AA2168" s="284"/>
      <c r="AB2168" s="284"/>
      <c r="AC2168" s="284"/>
      <c r="AD2168" s="284"/>
      <c r="AE2168" s="284"/>
      <c r="AF2168" s="284"/>
      <c r="AG2168" s="284"/>
    </row>
    <row r="2169" spans="1:33" ht="26.4">
      <c r="A2169" s="284"/>
      <c r="B2169" s="284"/>
      <c r="C2169" s="284"/>
      <c r="D2169" s="284"/>
      <c r="E2169" s="284"/>
      <c r="F2169" s="284"/>
      <c r="G2169" s="284"/>
      <c r="H2169" s="284"/>
      <c r="I2169" s="284"/>
      <c r="J2169" s="375"/>
      <c r="K2169" s="375"/>
      <c r="L2169" s="375"/>
      <c r="M2169" s="368"/>
      <c r="N2169" s="368"/>
      <c r="O2169" s="370"/>
      <c r="T2169" s="349"/>
      <c r="V2169" s="378"/>
      <c r="W2169" s="64" ph="1"/>
      <c r="X2169" s="241"/>
      <c r="Y2169" s="284"/>
      <c r="Z2169" s="207"/>
      <c r="AA2169" s="284"/>
      <c r="AB2169" s="284"/>
      <c r="AC2169" s="284"/>
      <c r="AD2169" s="284"/>
      <c r="AE2169" s="284"/>
      <c r="AF2169" s="284"/>
      <c r="AG2169" s="284"/>
    </row>
    <row r="2170" spans="1:33" ht="26.4">
      <c r="A2170" s="284"/>
      <c r="B2170" s="284"/>
      <c r="C2170" s="284"/>
      <c r="D2170" s="284"/>
      <c r="E2170" s="284"/>
      <c r="F2170" s="284"/>
      <c r="G2170" s="284"/>
      <c r="H2170" s="284"/>
      <c r="I2170" s="284"/>
      <c r="J2170" s="375"/>
      <c r="K2170" s="375"/>
      <c r="L2170" s="375"/>
      <c r="M2170" s="368"/>
      <c r="N2170" s="368"/>
      <c r="O2170" s="370"/>
      <c r="T2170" s="349"/>
      <c r="V2170" s="378"/>
      <c r="W2170" s="64" ph="1"/>
      <c r="X2170" s="241"/>
      <c r="Y2170" s="284"/>
      <c r="Z2170" s="207"/>
      <c r="AA2170" s="284"/>
      <c r="AB2170" s="284"/>
      <c r="AC2170" s="284"/>
      <c r="AD2170" s="284"/>
      <c r="AE2170" s="284"/>
      <c r="AF2170" s="284"/>
      <c r="AG2170" s="284"/>
    </row>
    <row r="2171" spans="1:33" ht="26.4">
      <c r="A2171" s="284"/>
      <c r="B2171" s="284"/>
      <c r="C2171" s="284"/>
      <c r="D2171" s="284"/>
      <c r="E2171" s="284"/>
      <c r="F2171" s="284"/>
      <c r="G2171" s="284"/>
      <c r="H2171" s="284"/>
      <c r="I2171" s="284"/>
      <c r="J2171" s="375"/>
      <c r="K2171" s="375"/>
      <c r="L2171" s="375"/>
      <c r="M2171" s="368"/>
      <c r="N2171" s="368"/>
      <c r="O2171" s="370"/>
      <c r="T2171" s="349"/>
      <c r="V2171" s="378"/>
      <c r="W2171" s="64" ph="1"/>
      <c r="X2171" s="241"/>
      <c r="Y2171" s="284"/>
      <c r="Z2171" s="207"/>
      <c r="AA2171" s="284"/>
      <c r="AB2171" s="284"/>
      <c r="AC2171" s="284"/>
      <c r="AD2171" s="284"/>
      <c r="AE2171" s="284"/>
      <c r="AF2171" s="284"/>
      <c r="AG2171" s="284"/>
    </row>
    <row r="2172" spans="1:33" ht="26.4">
      <c r="A2172" s="284"/>
      <c r="B2172" s="284"/>
      <c r="C2172" s="284"/>
      <c r="D2172" s="284"/>
      <c r="E2172" s="284"/>
      <c r="F2172" s="284"/>
      <c r="G2172" s="284"/>
      <c r="H2172" s="284"/>
      <c r="I2172" s="284"/>
      <c r="J2172" s="375"/>
      <c r="K2172" s="375"/>
      <c r="L2172" s="375"/>
      <c r="M2172" s="368"/>
      <c r="N2172" s="368"/>
      <c r="O2172" s="370"/>
      <c r="T2172" s="349"/>
      <c r="V2172" s="378"/>
      <c r="W2172" s="64" ph="1"/>
      <c r="X2172" s="241"/>
      <c r="Y2172" s="284"/>
      <c r="Z2172" s="207"/>
      <c r="AA2172" s="284"/>
      <c r="AB2172" s="284"/>
      <c r="AC2172" s="284"/>
      <c r="AD2172" s="284"/>
      <c r="AE2172" s="284"/>
      <c r="AF2172" s="284"/>
      <c r="AG2172" s="284"/>
    </row>
    <row r="2173" spans="1:33" ht="26.4">
      <c r="A2173" s="284"/>
      <c r="B2173" s="284"/>
      <c r="C2173" s="284"/>
      <c r="D2173" s="284"/>
      <c r="E2173" s="284"/>
      <c r="F2173" s="284"/>
      <c r="G2173" s="284"/>
      <c r="H2173" s="284"/>
      <c r="I2173" s="284"/>
      <c r="J2173" s="375"/>
      <c r="K2173" s="375"/>
      <c r="L2173" s="375"/>
      <c r="M2173" s="368"/>
      <c r="N2173" s="368"/>
      <c r="O2173" s="370"/>
      <c r="T2173" s="349"/>
      <c r="V2173" s="378"/>
      <c r="W2173" s="64" ph="1"/>
      <c r="X2173" s="241"/>
      <c r="Y2173" s="284"/>
      <c r="Z2173" s="207"/>
      <c r="AA2173" s="284"/>
      <c r="AB2173" s="284"/>
      <c r="AC2173" s="284"/>
      <c r="AD2173" s="284"/>
      <c r="AE2173" s="284"/>
      <c r="AF2173" s="284"/>
      <c r="AG2173" s="284"/>
    </row>
    <row r="2174" spans="1:33" ht="26.4">
      <c r="A2174" s="284"/>
      <c r="B2174" s="284"/>
      <c r="C2174" s="284"/>
      <c r="D2174" s="284"/>
      <c r="E2174" s="284"/>
      <c r="F2174" s="284"/>
      <c r="G2174" s="284"/>
      <c r="H2174" s="284"/>
      <c r="I2174" s="284"/>
      <c r="J2174" s="375"/>
      <c r="K2174" s="375"/>
      <c r="L2174" s="375"/>
      <c r="M2174" s="368"/>
      <c r="N2174" s="368"/>
      <c r="O2174" s="370"/>
      <c r="T2174" s="349"/>
      <c r="V2174" s="378"/>
      <c r="W2174" s="64" ph="1"/>
      <c r="X2174" s="241"/>
      <c r="Y2174" s="284"/>
      <c r="Z2174" s="207"/>
      <c r="AA2174" s="284"/>
      <c r="AB2174" s="284"/>
      <c r="AC2174" s="284"/>
      <c r="AD2174" s="284"/>
      <c r="AE2174" s="284"/>
      <c r="AF2174" s="284"/>
      <c r="AG2174" s="284"/>
    </row>
    <row r="2175" spans="1:33" ht="26.4">
      <c r="A2175" s="284"/>
      <c r="B2175" s="284"/>
      <c r="C2175" s="284"/>
      <c r="D2175" s="284"/>
      <c r="E2175" s="284"/>
      <c r="F2175" s="284"/>
      <c r="G2175" s="284"/>
      <c r="H2175" s="284"/>
      <c r="I2175" s="284"/>
      <c r="J2175" s="375"/>
      <c r="K2175" s="375"/>
      <c r="L2175" s="375"/>
      <c r="M2175" s="368"/>
      <c r="N2175" s="368"/>
      <c r="O2175" s="370"/>
      <c r="T2175" s="349"/>
      <c r="V2175" s="378"/>
      <c r="W2175" s="64" ph="1"/>
      <c r="X2175" s="241"/>
      <c r="Y2175" s="284"/>
      <c r="Z2175" s="207"/>
      <c r="AA2175" s="284"/>
      <c r="AB2175" s="284"/>
      <c r="AC2175" s="284"/>
      <c r="AD2175" s="284"/>
      <c r="AE2175" s="284"/>
      <c r="AF2175" s="284"/>
      <c r="AG2175" s="284"/>
    </row>
    <row r="2176" spans="1:33" ht="26.4">
      <c r="A2176" s="284"/>
      <c r="B2176" s="284"/>
      <c r="C2176" s="284"/>
      <c r="D2176" s="284"/>
      <c r="E2176" s="284"/>
      <c r="F2176" s="284"/>
      <c r="G2176" s="284"/>
      <c r="H2176" s="284"/>
      <c r="I2176" s="284"/>
      <c r="J2176" s="375"/>
      <c r="K2176" s="375"/>
      <c r="L2176" s="375"/>
      <c r="M2176" s="368"/>
      <c r="N2176" s="368"/>
      <c r="O2176" s="370"/>
      <c r="T2176" s="349"/>
      <c r="V2176" s="378"/>
      <c r="W2176" s="64" ph="1"/>
      <c r="X2176" s="241"/>
      <c r="Y2176" s="284"/>
      <c r="Z2176" s="207"/>
      <c r="AA2176" s="284"/>
      <c r="AB2176" s="284"/>
      <c r="AC2176" s="284"/>
      <c r="AD2176" s="284"/>
      <c r="AE2176" s="284"/>
      <c r="AF2176" s="284"/>
      <c r="AG2176" s="284"/>
    </row>
    <row r="2177" spans="1:33" ht="26.4">
      <c r="A2177" s="284"/>
      <c r="B2177" s="284"/>
      <c r="C2177" s="284"/>
      <c r="D2177" s="284"/>
      <c r="E2177" s="284"/>
      <c r="F2177" s="284"/>
      <c r="G2177" s="284"/>
      <c r="H2177" s="284"/>
      <c r="I2177" s="284"/>
      <c r="J2177" s="375"/>
      <c r="K2177" s="375"/>
      <c r="L2177" s="375"/>
      <c r="M2177" s="368"/>
      <c r="N2177" s="368"/>
      <c r="O2177" s="370"/>
      <c r="T2177" s="349"/>
      <c r="V2177" s="378"/>
      <c r="W2177" s="64" ph="1"/>
      <c r="X2177" s="241"/>
      <c r="Y2177" s="284"/>
      <c r="Z2177" s="207"/>
      <c r="AA2177" s="284"/>
      <c r="AB2177" s="284"/>
      <c r="AC2177" s="284"/>
      <c r="AD2177" s="284"/>
      <c r="AE2177" s="284"/>
      <c r="AF2177" s="284"/>
      <c r="AG2177" s="284"/>
    </row>
    <row r="2178" spans="1:33" ht="26.4">
      <c r="A2178" s="284"/>
      <c r="B2178" s="284"/>
      <c r="C2178" s="284"/>
      <c r="D2178" s="284"/>
      <c r="E2178" s="284"/>
      <c r="F2178" s="284"/>
      <c r="G2178" s="284"/>
      <c r="H2178" s="284"/>
      <c r="I2178" s="284"/>
      <c r="J2178" s="375"/>
      <c r="K2178" s="375"/>
      <c r="L2178" s="375"/>
      <c r="M2178" s="368"/>
      <c r="N2178" s="368"/>
      <c r="O2178" s="370"/>
      <c r="T2178" s="349"/>
      <c r="V2178" s="378"/>
      <c r="W2178" s="64" ph="1"/>
      <c r="X2178" s="241"/>
      <c r="Y2178" s="284"/>
      <c r="Z2178" s="207"/>
      <c r="AA2178" s="284"/>
      <c r="AB2178" s="284"/>
      <c r="AC2178" s="284"/>
      <c r="AD2178" s="284"/>
      <c r="AE2178" s="284"/>
      <c r="AF2178" s="284"/>
      <c r="AG2178" s="284"/>
    </row>
    <row r="2179" spans="1:33" ht="26.4">
      <c r="A2179" s="284"/>
      <c r="B2179" s="284"/>
      <c r="C2179" s="284"/>
      <c r="D2179" s="284"/>
      <c r="E2179" s="284"/>
      <c r="F2179" s="284"/>
      <c r="G2179" s="284"/>
      <c r="H2179" s="284"/>
      <c r="I2179" s="284"/>
      <c r="J2179" s="375"/>
      <c r="K2179" s="375"/>
      <c r="L2179" s="375"/>
      <c r="M2179" s="368"/>
      <c r="N2179" s="368"/>
      <c r="O2179" s="370"/>
      <c r="T2179" s="349"/>
      <c r="V2179" s="378"/>
      <c r="W2179" s="64" ph="1"/>
      <c r="X2179" s="241"/>
      <c r="Y2179" s="284"/>
      <c r="Z2179" s="207"/>
      <c r="AA2179" s="284"/>
      <c r="AB2179" s="284"/>
      <c r="AC2179" s="284"/>
      <c r="AD2179" s="284"/>
      <c r="AE2179" s="284"/>
      <c r="AF2179" s="284"/>
      <c r="AG2179" s="284"/>
    </row>
    <row r="2180" spans="1:33" ht="26.4">
      <c r="A2180" s="284"/>
      <c r="B2180" s="284"/>
      <c r="C2180" s="284"/>
      <c r="D2180" s="284"/>
      <c r="E2180" s="284"/>
      <c r="F2180" s="284"/>
      <c r="G2180" s="284"/>
      <c r="H2180" s="284"/>
      <c r="I2180" s="284"/>
      <c r="J2180" s="375"/>
      <c r="K2180" s="375"/>
      <c r="L2180" s="375"/>
      <c r="M2180" s="368"/>
      <c r="N2180" s="368"/>
      <c r="O2180" s="370"/>
      <c r="T2180" s="349"/>
      <c r="V2180" s="378"/>
      <c r="W2180" s="64" ph="1"/>
      <c r="X2180" s="241"/>
      <c r="Y2180" s="284"/>
      <c r="Z2180" s="207"/>
      <c r="AA2180" s="284"/>
      <c r="AB2180" s="284"/>
      <c r="AC2180" s="284"/>
      <c r="AD2180" s="284"/>
      <c r="AE2180" s="284"/>
      <c r="AF2180" s="284"/>
      <c r="AG2180" s="284"/>
    </row>
    <row r="2181" spans="1:33" ht="26.4">
      <c r="A2181" s="284"/>
      <c r="B2181" s="284"/>
      <c r="C2181" s="284"/>
      <c r="D2181" s="284"/>
      <c r="E2181" s="284"/>
      <c r="F2181" s="284"/>
      <c r="G2181" s="284"/>
      <c r="H2181" s="284"/>
      <c r="I2181" s="284"/>
      <c r="J2181" s="375"/>
      <c r="K2181" s="375"/>
      <c r="L2181" s="375"/>
      <c r="M2181" s="368"/>
      <c r="N2181" s="368"/>
      <c r="O2181" s="370"/>
      <c r="T2181" s="349"/>
      <c r="V2181" s="378"/>
      <c r="W2181" s="64" ph="1"/>
      <c r="X2181" s="241"/>
      <c r="Y2181" s="284"/>
      <c r="Z2181" s="207"/>
      <c r="AA2181" s="284"/>
      <c r="AB2181" s="284"/>
      <c r="AC2181" s="284"/>
      <c r="AD2181" s="284"/>
      <c r="AE2181" s="284"/>
      <c r="AF2181" s="284"/>
      <c r="AG2181" s="284"/>
    </row>
    <row r="2182" spans="1:33" ht="26.4">
      <c r="A2182" s="284"/>
      <c r="B2182" s="284"/>
      <c r="C2182" s="284"/>
      <c r="D2182" s="284"/>
      <c r="E2182" s="284"/>
      <c r="F2182" s="284"/>
      <c r="G2182" s="284"/>
      <c r="H2182" s="284"/>
      <c r="I2182" s="284"/>
      <c r="J2182" s="375"/>
      <c r="K2182" s="375"/>
      <c r="L2182" s="375"/>
      <c r="M2182" s="368"/>
      <c r="N2182" s="368"/>
      <c r="O2182" s="370"/>
      <c r="T2182" s="349"/>
      <c r="V2182" s="378"/>
      <c r="W2182" s="64" ph="1"/>
      <c r="X2182" s="241"/>
      <c r="Y2182" s="284"/>
      <c r="Z2182" s="207"/>
      <c r="AA2182" s="284"/>
      <c r="AB2182" s="284"/>
      <c r="AC2182" s="284"/>
      <c r="AD2182" s="284"/>
      <c r="AE2182" s="284"/>
      <c r="AF2182" s="284"/>
      <c r="AG2182" s="284"/>
    </row>
    <row r="2183" spans="1:33" ht="26.4">
      <c r="A2183" s="284"/>
      <c r="B2183" s="284"/>
      <c r="C2183" s="284"/>
      <c r="D2183" s="284"/>
      <c r="E2183" s="284"/>
      <c r="F2183" s="284"/>
      <c r="G2183" s="284"/>
      <c r="H2183" s="284"/>
      <c r="I2183" s="284"/>
      <c r="J2183" s="375"/>
      <c r="K2183" s="375"/>
      <c r="L2183" s="375"/>
      <c r="M2183" s="368"/>
      <c r="N2183" s="368"/>
      <c r="O2183" s="370"/>
      <c r="T2183" s="349"/>
      <c r="V2183" s="378"/>
      <c r="W2183" s="64" ph="1"/>
      <c r="X2183" s="241"/>
      <c r="Y2183" s="284"/>
      <c r="Z2183" s="207"/>
      <c r="AA2183" s="284"/>
      <c r="AB2183" s="284"/>
      <c r="AC2183" s="284"/>
      <c r="AD2183" s="284"/>
      <c r="AE2183" s="284"/>
      <c r="AF2183" s="284"/>
      <c r="AG2183" s="284"/>
    </row>
    <row r="2184" spans="1:33" ht="26.4">
      <c r="A2184" s="284"/>
      <c r="B2184" s="284"/>
      <c r="C2184" s="284"/>
      <c r="D2184" s="284"/>
      <c r="E2184" s="284"/>
      <c r="F2184" s="284"/>
      <c r="G2184" s="284"/>
      <c r="H2184" s="284"/>
      <c r="I2184" s="284"/>
      <c r="J2184" s="375"/>
      <c r="K2184" s="375"/>
      <c r="L2184" s="375"/>
      <c r="M2184" s="368"/>
      <c r="N2184" s="368"/>
      <c r="O2184" s="370"/>
      <c r="T2184" s="349"/>
      <c r="V2184" s="378"/>
      <c r="W2184" s="64" ph="1"/>
      <c r="X2184" s="241"/>
      <c r="Y2184" s="284"/>
      <c r="Z2184" s="207"/>
      <c r="AA2184" s="284"/>
      <c r="AB2184" s="284"/>
      <c r="AC2184" s="284"/>
      <c r="AD2184" s="284"/>
      <c r="AE2184" s="284"/>
      <c r="AF2184" s="284"/>
      <c r="AG2184" s="284"/>
    </row>
    <row r="2185" spans="1:33" ht="26.4">
      <c r="A2185" s="284"/>
      <c r="B2185" s="284"/>
      <c r="C2185" s="284"/>
      <c r="D2185" s="284"/>
      <c r="E2185" s="284"/>
      <c r="F2185" s="284"/>
      <c r="G2185" s="284"/>
      <c r="H2185" s="284"/>
      <c r="I2185" s="284"/>
      <c r="J2185" s="375"/>
      <c r="K2185" s="375"/>
      <c r="L2185" s="375"/>
      <c r="M2185" s="368"/>
      <c r="N2185" s="368"/>
      <c r="O2185" s="370"/>
      <c r="T2185" s="349"/>
      <c r="V2185" s="378"/>
      <c r="W2185" s="64" ph="1"/>
      <c r="X2185" s="241"/>
      <c r="Y2185" s="284"/>
      <c r="Z2185" s="207"/>
      <c r="AA2185" s="284"/>
      <c r="AB2185" s="284"/>
      <c r="AC2185" s="284"/>
      <c r="AD2185" s="284"/>
      <c r="AE2185" s="284"/>
      <c r="AF2185" s="284"/>
      <c r="AG2185" s="284"/>
    </row>
    <row r="2186" spans="1:33" ht="26.4">
      <c r="A2186" s="284"/>
      <c r="B2186" s="284"/>
      <c r="C2186" s="284"/>
      <c r="D2186" s="284"/>
      <c r="E2186" s="284"/>
      <c r="F2186" s="284"/>
      <c r="G2186" s="284"/>
      <c r="H2186" s="284"/>
      <c r="I2186" s="284"/>
      <c r="J2186" s="375"/>
      <c r="K2186" s="375"/>
      <c r="L2186" s="375"/>
      <c r="M2186" s="368"/>
      <c r="N2186" s="368"/>
      <c r="O2186" s="370"/>
      <c r="T2186" s="349"/>
      <c r="V2186" s="378"/>
      <c r="W2186" s="64" ph="1"/>
      <c r="X2186" s="241"/>
      <c r="Y2186" s="284"/>
      <c r="Z2186" s="207"/>
      <c r="AA2186" s="284"/>
      <c r="AB2186" s="284"/>
      <c r="AC2186" s="284"/>
      <c r="AD2186" s="284"/>
      <c r="AE2186" s="284"/>
      <c r="AF2186" s="284"/>
      <c r="AG2186" s="284"/>
    </row>
    <row r="2187" spans="1:33" ht="26.4">
      <c r="A2187" s="284"/>
      <c r="B2187" s="284"/>
      <c r="C2187" s="284"/>
      <c r="D2187" s="284"/>
      <c r="E2187" s="284"/>
      <c r="F2187" s="284"/>
      <c r="G2187" s="284"/>
      <c r="H2187" s="284"/>
      <c r="I2187" s="284"/>
      <c r="J2187" s="375"/>
      <c r="K2187" s="375"/>
      <c r="L2187" s="375"/>
      <c r="M2187" s="368"/>
      <c r="N2187" s="368"/>
      <c r="O2187" s="370"/>
      <c r="T2187" s="349"/>
      <c r="V2187" s="378"/>
      <c r="W2187" s="64" ph="1"/>
      <c r="X2187" s="241"/>
      <c r="Y2187" s="284"/>
      <c r="Z2187" s="207"/>
      <c r="AA2187" s="284"/>
      <c r="AB2187" s="284"/>
      <c r="AC2187" s="284"/>
      <c r="AD2187" s="284"/>
      <c r="AE2187" s="284"/>
      <c r="AF2187" s="284"/>
      <c r="AG2187" s="284"/>
    </row>
    <row r="2188" spans="1:33" ht="26.4">
      <c r="A2188" s="284"/>
      <c r="B2188" s="284"/>
      <c r="C2188" s="284"/>
      <c r="D2188" s="284"/>
      <c r="E2188" s="284"/>
      <c r="F2188" s="284"/>
      <c r="G2188" s="284"/>
      <c r="H2188" s="284"/>
      <c r="I2188" s="284"/>
      <c r="J2188" s="375"/>
      <c r="K2188" s="375"/>
      <c r="L2188" s="375"/>
      <c r="M2188" s="368"/>
      <c r="N2188" s="368"/>
      <c r="O2188" s="370"/>
      <c r="T2188" s="349"/>
      <c r="V2188" s="378"/>
      <c r="W2188" s="64" ph="1"/>
      <c r="X2188" s="241"/>
      <c r="Y2188" s="284"/>
      <c r="Z2188" s="207"/>
      <c r="AA2188" s="284"/>
      <c r="AB2188" s="284"/>
      <c r="AC2188" s="284"/>
      <c r="AD2188" s="284"/>
      <c r="AE2188" s="284"/>
      <c r="AF2188" s="284"/>
      <c r="AG2188" s="284"/>
    </row>
    <row r="2189" spans="1:33" ht="26.4">
      <c r="A2189" s="284"/>
      <c r="B2189" s="284"/>
      <c r="C2189" s="284"/>
      <c r="D2189" s="284"/>
      <c r="E2189" s="284"/>
      <c r="F2189" s="284"/>
      <c r="G2189" s="284"/>
      <c r="H2189" s="284"/>
      <c r="I2189" s="284"/>
      <c r="J2189" s="375"/>
      <c r="K2189" s="375"/>
      <c r="L2189" s="375"/>
      <c r="M2189" s="368"/>
      <c r="N2189" s="368"/>
      <c r="O2189" s="370"/>
      <c r="T2189" s="349"/>
      <c r="V2189" s="378"/>
      <c r="W2189" s="64" ph="1"/>
      <c r="X2189" s="241"/>
      <c r="Y2189" s="284"/>
      <c r="Z2189" s="207"/>
      <c r="AA2189" s="284"/>
      <c r="AB2189" s="284"/>
      <c r="AC2189" s="284"/>
      <c r="AD2189" s="284"/>
      <c r="AE2189" s="284"/>
      <c r="AF2189" s="284"/>
      <c r="AG2189" s="284"/>
    </row>
    <row r="2190" spans="1:33" ht="26.4">
      <c r="A2190" s="284"/>
      <c r="B2190" s="284"/>
      <c r="C2190" s="284"/>
      <c r="D2190" s="284"/>
      <c r="E2190" s="284"/>
      <c r="F2190" s="284"/>
      <c r="G2190" s="284"/>
      <c r="H2190" s="284"/>
      <c r="I2190" s="284"/>
      <c r="J2190" s="375"/>
      <c r="K2190" s="375"/>
      <c r="L2190" s="375"/>
      <c r="M2190" s="368"/>
      <c r="N2190" s="368"/>
      <c r="O2190" s="370"/>
      <c r="T2190" s="349"/>
      <c r="V2190" s="378"/>
      <c r="W2190" s="64" ph="1"/>
      <c r="X2190" s="241"/>
      <c r="Y2190" s="284"/>
      <c r="Z2190" s="207"/>
      <c r="AA2190" s="284"/>
      <c r="AB2190" s="284"/>
      <c r="AC2190" s="284"/>
      <c r="AD2190" s="284"/>
      <c r="AE2190" s="284"/>
      <c r="AF2190" s="284"/>
      <c r="AG2190" s="284"/>
    </row>
    <row r="2191" spans="1:33" ht="26.4">
      <c r="A2191" s="284"/>
      <c r="B2191" s="284"/>
      <c r="C2191" s="284"/>
      <c r="D2191" s="284"/>
      <c r="E2191" s="284"/>
      <c r="F2191" s="284"/>
      <c r="G2191" s="284"/>
      <c r="H2191" s="284"/>
      <c r="I2191" s="284"/>
      <c r="J2191" s="375"/>
      <c r="K2191" s="375"/>
      <c r="L2191" s="375"/>
      <c r="M2191" s="368"/>
      <c r="N2191" s="368"/>
      <c r="O2191" s="370"/>
      <c r="T2191" s="349"/>
      <c r="V2191" s="378"/>
      <c r="W2191" s="64" ph="1"/>
      <c r="X2191" s="241"/>
      <c r="Y2191" s="284"/>
      <c r="Z2191" s="207"/>
      <c r="AA2191" s="284"/>
      <c r="AB2191" s="284"/>
      <c r="AC2191" s="284"/>
      <c r="AD2191" s="284"/>
      <c r="AE2191" s="284"/>
      <c r="AF2191" s="284"/>
      <c r="AG2191" s="284"/>
    </row>
    <row r="2192" spans="1:33" ht="26.4">
      <c r="A2192" s="284"/>
      <c r="B2192" s="284"/>
      <c r="C2192" s="284"/>
      <c r="D2192" s="284"/>
      <c r="E2192" s="284"/>
      <c r="F2192" s="284"/>
      <c r="G2192" s="284"/>
      <c r="H2192" s="284"/>
      <c r="I2192" s="284"/>
      <c r="J2192" s="375"/>
      <c r="K2192" s="375"/>
      <c r="L2192" s="375"/>
      <c r="M2192" s="368"/>
      <c r="N2192" s="368"/>
      <c r="O2192" s="370"/>
      <c r="T2192" s="349"/>
      <c r="V2192" s="378"/>
      <c r="W2192" s="64" ph="1"/>
      <c r="X2192" s="241"/>
      <c r="Y2192" s="284"/>
      <c r="Z2192" s="207"/>
      <c r="AA2192" s="284"/>
      <c r="AB2192" s="284"/>
      <c r="AC2192" s="284"/>
      <c r="AD2192" s="284"/>
      <c r="AE2192" s="284"/>
      <c r="AF2192" s="284"/>
      <c r="AG2192" s="284"/>
    </row>
    <row r="2193" spans="1:33" ht="26.4">
      <c r="A2193" s="284"/>
      <c r="B2193" s="284"/>
      <c r="C2193" s="284"/>
      <c r="D2193" s="284"/>
      <c r="E2193" s="284"/>
      <c r="F2193" s="284"/>
      <c r="G2193" s="284"/>
      <c r="H2193" s="284"/>
      <c r="I2193" s="284"/>
      <c r="J2193" s="375"/>
      <c r="K2193" s="375"/>
      <c r="L2193" s="375"/>
      <c r="M2193" s="368"/>
      <c r="N2193" s="368"/>
      <c r="O2193" s="370"/>
      <c r="T2193" s="349"/>
      <c r="V2193" s="378"/>
      <c r="W2193" s="64" ph="1"/>
      <c r="X2193" s="241"/>
      <c r="Y2193" s="284"/>
      <c r="Z2193" s="207"/>
      <c r="AA2193" s="284"/>
      <c r="AB2193" s="284"/>
      <c r="AC2193" s="284"/>
      <c r="AD2193" s="284"/>
      <c r="AE2193" s="284"/>
      <c r="AF2193" s="284"/>
      <c r="AG2193" s="284"/>
    </row>
    <row r="2194" spans="1:33" ht="26.4">
      <c r="A2194" s="284"/>
      <c r="B2194" s="284"/>
      <c r="C2194" s="284"/>
      <c r="D2194" s="284"/>
      <c r="E2194" s="284"/>
      <c r="F2194" s="284"/>
      <c r="G2194" s="284"/>
      <c r="H2194" s="284"/>
      <c r="I2194" s="284"/>
      <c r="J2194" s="375"/>
      <c r="K2194" s="375"/>
      <c r="L2194" s="375"/>
      <c r="M2194" s="368"/>
      <c r="N2194" s="368"/>
      <c r="O2194" s="370"/>
      <c r="T2194" s="349"/>
      <c r="V2194" s="378"/>
      <c r="W2194" s="64" ph="1"/>
      <c r="X2194" s="241"/>
      <c r="Y2194" s="284"/>
      <c r="Z2194" s="207"/>
      <c r="AA2194" s="284"/>
      <c r="AB2194" s="284"/>
      <c r="AC2194" s="284"/>
      <c r="AD2194" s="284"/>
      <c r="AE2194" s="284"/>
      <c r="AF2194" s="284"/>
      <c r="AG2194" s="284"/>
    </row>
    <row r="2195" spans="1:33" ht="26.4">
      <c r="A2195" s="284"/>
      <c r="B2195" s="284"/>
      <c r="C2195" s="284"/>
      <c r="D2195" s="284"/>
      <c r="E2195" s="284"/>
      <c r="F2195" s="284"/>
      <c r="G2195" s="284"/>
      <c r="H2195" s="284"/>
      <c r="I2195" s="284"/>
      <c r="J2195" s="375"/>
      <c r="K2195" s="375"/>
      <c r="L2195" s="375"/>
      <c r="M2195" s="368"/>
      <c r="N2195" s="368"/>
      <c r="O2195" s="370"/>
      <c r="T2195" s="349"/>
      <c r="V2195" s="378"/>
      <c r="W2195" s="64" ph="1"/>
      <c r="X2195" s="241"/>
      <c r="Y2195" s="284"/>
      <c r="Z2195" s="207"/>
      <c r="AA2195" s="284"/>
      <c r="AB2195" s="284"/>
      <c r="AC2195" s="284"/>
      <c r="AD2195" s="284"/>
      <c r="AE2195" s="284"/>
      <c r="AF2195" s="284"/>
      <c r="AG2195" s="284"/>
    </row>
    <row r="2196" spans="1:33" ht="26.4">
      <c r="A2196" s="284"/>
      <c r="B2196" s="284"/>
      <c r="C2196" s="284"/>
      <c r="D2196" s="284"/>
      <c r="E2196" s="284"/>
      <c r="F2196" s="284"/>
      <c r="G2196" s="284"/>
      <c r="H2196" s="284"/>
      <c r="I2196" s="284"/>
      <c r="J2196" s="375"/>
      <c r="K2196" s="375"/>
      <c r="L2196" s="375"/>
      <c r="M2196" s="368"/>
      <c r="N2196" s="368"/>
      <c r="O2196" s="370"/>
      <c r="T2196" s="349"/>
      <c r="V2196" s="378"/>
      <c r="W2196" s="64" ph="1"/>
      <c r="X2196" s="241"/>
      <c r="Y2196" s="284"/>
      <c r="Z2196" s="207"/>
      <c r="AA2196" s="284"/>
      <c r="AB2196" s="284"/>
      <c r="AC2196" s="284"/>
      <c r="AD2196" s="284"/>
      <c r="AE2196" s="284"/>
      <c r="AF2196" s="284"/>
      <c r="AG2196" s="284"/>
    </row>
    <row r="2197" spans="1:33" ht="26.4">
      <c r="A2197" s="284"/>
      <c r="B2197" s="284"/>
      <c r="C2197" s="284"/>
      <c r="D2197" s="284"/>
      <c r="E2197" s="284"/>
      <c r="F2197" s="284"/>
      <c r="G2197" s="284"/>
      <c r="H2197" s="284"/>
      <c r="I2197" s="284"/>
      <c r="J2197" s="375"/>
      <c r="K2197" s="375"/>
      <c r="L2197" s="375"/>
      <c r="M2197" s="368"/>
      <c r="N2197" s="368"/>
      <c r="O2197" s="370"/>
      <c r="T2197" s="349"/>
      <c r="V2197" s="378"/>
      <c r="W2197" s="64" ph="1"/>
      <c r="X2197" s="241"/>
      <c r="Y2197" s="284"/>
      <c r="Z2197" s="207"/>
      <c r="AA2197" s="284"/>
      <c r="AB2197" s="284"/>
      <c r="AC2197" s="284"/>
      <c r="AD2197" s="284"/>
      <c r="AE2197" s="284"/>
      <c r="AF2197" s="284"/>
      <c r="AG2197" s="284"/>
    </row>
    <row r="2198" spans="1:33" ht="26.4">
      <c r="A2198" s="284"/>
      <c r="B2198" s="284"/>
      <c r="C2198" s="284"/>
      <c r="D2198" s="284"/>
      <c r="E2198" s="284"/>
      <c r="F2198" s="284"/>
      <c r="G2198" s="284"/>
      <c r="H2198" s="284"/>
      <c r="I2198" s="284"/>
      <c r="J2198" s="375"/>
      <c r="K2198" s="375"/>
      <c r="L2198" s="375"/>
      <c r="M2198" s="368"/>
      <c r="N2198" s="368"/>
      <c r="O2198" s="370"/>
      <c r="T2198" s="349"/>
      <c r="V2198" s="378"/>
      <c r="W2198" s="64" ph="1"/>
      <c r="X2198" s="241"/>
      <c r="Y2198" s="284"/>
      <c r="Z2198" s="207"/>
      <c r="AA2198" s="284"/>
      <c r="AB2198" s="284"/>
      <c r="AC2198" s="284"/>
      <c r="AD2198" s="284"/>
      <c r="AE2198" s="284"/>
      <c r="AF2198" s="284"/>
      <c r="AG2198" s="284"/>
    </row>
    <row r="2199" spans="1:33" ht="26.4">
      <c r="A2199" s="284"/>
      <c r="B2199" s="284"/>
      <c r="C2199" s="284"/>
      <c r="D2199" s="284"/>
      <c r="E2199" s="284"/>
      <c r="F2199" s="284"/>
      <c r="G2199" s="284"/>
      <c r="H2199" s="284"/>
      <c r="I2199" s="284"/>
      <c r="J2199" s="375"/>
      <c r="K2199" s="375"/>
      <c r="L2199" s="375"/>
      <c r="M2199" s="368"/>
      <c r="N2199" s="368"/>
      <c r="O2199" s="370"/>
      <c r="T2199" s="349"/>
      <c r="V2199" s="378"/>
      <c r="W2199" s="64" ph="1"/>
      <c r="X2199" s="241"/>
      <c r="Y2199" s="284"/>
      <c r="Z2199" s="207"/>
      <c r="AA2199" s="284"/>
      <c r="AB2199" s="284"/>
      <c r="AC2199" s="284"/>
      <c r="AD2199" s="284"/>
      <c r="AE2199" s="284"/>
      <c r="AF2199" s="284"/>
      <c r="AG2199" s="284"/>
    </row>
    <row r="2200" spans="1:33" ht="26.4">
      <c r="A2200" s="284"/>
      <c r="B2200" s="284"/>
      <c r="C2200" s="284"/>
      <c r="D2200" s="284"/>
      <c r="E2200" s="284"/>
      <c r="F2200" s="284"/>
      <c r="G2200" s="284"/>
      <c r="H2200" s="284"/>
      <c r="I2200" s="284"/>
      <c r="J2200" s="375"/>
      <c r="K2200" s="375"/>
      <c r="L2200" s="375"/>
      <c r="M2200" s="368"/>
      <c r="N2200" s="368"/>
      <c r="O2200" s="370"/>
      <c r="T2200" s="349"/>
      <c r="V2200" s="378"/>
      <c r="W2200" s="64" ph="1"/>
      <c r="X2200" s="241"/>
      <c r="Y2200" s="284"/>
      <c r="Z2200" s="207"/>
      <c r="AA2200" s="284"/>
      <c r="AB2200" s="284"/>
      <c r="AC2200" s="284"/>
      <c r="AD2200" s="284"/>
      <c r="AE2200" s="284"/>
      <c r="AF2200" s="284"/>
      <c r="AG2200" s="284"/>
    </row>
    <row r="2201" spans="1:33" ht="26.4">
      <c r="A2201" s="284"/>
      <c r="B2201" s="284"/>
      <c r="C2201" s="284"/>
      <c r="D2201" s="284"/>
      <c r="E2201" s="284"/>
      <c r="F2201" s="284"/>
      <c r="G2201" s="284"/>
      <c r="H2201" s="284"/>
      <c r="I2201" s="284"/>
      <c r="J2201" s="375"/>
      <c r="K2201" s="375"/>
      <c r="L2201" s="375"/>
      <c r="M2201" s="368"/>
      <c r="N2201" s="368"/>
      <c r="O2201" s="370"/>
      <c r="T2201" s="349"/>
      <c r="V2201" s="378"/>
      <c r="W2201" s="64" ph="1"/>
      <c r="X2201" s="241"/>
      <c r="Y2201" s="284"/>
      <c r="Z2201" s="207"/>
      <c r="AA2201" s="284"/>
      <c r="AB2201" s="284"/>
      <c r="AC2201" s="284"/>
      <c r="AD2201" s="284"/>
      <c r="AE2201" s="284"/>
      <c r="AF2201" s="284"/>
      <c r="AG2201" s="284"/>
    </row>
    <row r="2202" spans="1:33" ht="26.4">
      <c r="A2202" s="284"/>
      <c r="B2202" s="284"/>
      <c r="C2202" s="284"/>
      <c r="D2202" s="284"/>
      <c r="E2202" s="284"/>
      <c r="F2202" s="284"/>
      <c r="G2202" s="284"/>
      <c r="H2202" s="284"/>
      <c r="I2202" s="284"/>
      <c r="J2202" s="375"/>
      <c r="K2202" s="375"/>
      <c r="L2202" s="375"/>
      <c r="M2202" s="368"/>
      <c r="N2202" s="368"/>
      <c r="O2202" s="370"/>
      <c r="T2202" s="349"/>
      <c r="V2202" s="378"/>
      <c r="W2202" s="64" ph="1"/>
      <c r="X2202" s="241"/>
      <c r="Y2202" s="284"/>
      <c r="Z2202" s="207"/>
      <c r="AA2202" s="284"/>
      <c r="AB2202" s="284"/>
      <c r="AC2202" s="284"/>
      <c r="AD2202" s="284"/>
      <c r="AE2202" s="284"/>
      <c r="AF2202" s="284"/>
      <c r="AG2202" s="284"/>
    </row>
    <row r="2203" spans="1:33" ht="26.4">
      <c r="A2203" s="284"/>
      <c r="B2203" s="284"/>
      <c r="C2203" s="284"/>
      <c r="D2203" s="284"/>
      <c r="E2203" s="284"/>
      <c r="F2203" s="284"/>
      <c r="G2203" s="284"/>
      <c r="H2203" s="284"/>
      <c r="I2203" s="284"/>
      <c r="J2203" s="375"/>
      <c r="K2203" s="375"/>
      <c r="L2203" s="375"/>
      <c r="M2203" s="368"/>
      <c r="N2203" s="368"/>
      <c r="O2203" s="370"/>
      <c r="T2203" s="349"/>
      <c r="V2203" s="378"/>
      <c r="W2203" s="64" ph="1"/>
      <c r="X2203" s="241"/>
      <c r="Y2203" s="284"/>
      <c r="Z2203" s="207"/>
      <c r="AA2203" s="284"/>
      <c r="AB2203" s="284"/>
      <c r="AC2203" s="284"/>
      <c r="AD2203" s="284"/>
      <c r="AE2203" s="284"/>
      <c r="AF2203" s="284"/>
      <c r="AG2203" s="284"/>
    </row>
    <row r="2204" spans="1:33" ht="26.4">
      <c r="A2204" s="284"/>
      <c r="B2204" s="284"/>
      <c r="C2204" s="284"/>
      <c r="D2204" s="284"/>
      <c r="E2204" s="284"/>
      <c r="F2204" s="284"/>
      <c r="G2204" s="284"/>
      <c r="H2204" s="284"/>
      <c r="I2204" s="284"/>
      <c r="J2204" s="375"/>
      <c r="K2204" s="375"/>
      <c r="L2204" s="375"/>
      <c r="M2204" s="368"/>
      <c r="N2204" s="368"/>
      <c r="O2204" s="370"/>
      <c r="T2204" s="349"/>
      <c r="V2204" s="378"/>
      <c r="W2204" s="64" ph="1"/>
      <c r="X2204" s="241"/>
      <c r="Y2204" s="284"/>
      <c r="Z2204" s="207"/>
      <c r="AA2204" s="284"/>
      <c r="AB2204" s="284"/>
      <c r="AC2204" s="284"/>
      <c r="AD2204" s="284"/>
      <c r="AE2204" s="284"/>
      <c r="AF2204" s="284"/>
      <c r="AG2204" s="284"/>
    </row>
    <row r="2205" spans="1:33" ht="26.4">
      <c r="A2205" s="284"/>
      <c r="B2205" s="284"/>
      <c r="C2205" s="284"/>
      <c r="D2205" s="284"/>
      <c r="E2205" s="284"/>
      <c r="F2205" s="284"/>
      <c r="G2205" s="284"/>
      <c r="H2205" s="284"/>
      <c r="I2205" s="284"/>
      <c r="J2205" s="375"/>
      <c r="K2205" s="375"/>
      <c r="L2205" s="375"/>
      <c r="M2205" s="368"/>
      <c r="N2205" s="368"/>
      <c r="O2205" s="370"/>
      <c r="T2205" s="349"/>
      <c r="V2205" s="378"/>
      <c r="W2205" s="64" ph="1"/>
      <c r="X2205" s="241"/>
      <c r="Y2205" s="284"/>
      <c r="Z2205" s="207"/>
      <c r="AA2205" s="284"/>
      <c r="AB2205" s="284"/>
      <c r="AC2205" s="284"/>
      <c r="AD2205" s="284"/>
      <c r="AE2205" s="284"/>
      <c r="AF2205" s="284"/>
      <c r="AG2205" s="284"/>
    </row>
    <row r="2206" spans="1:33" ht="26.4">
      <c r="A2206" s="284"/>
      <c r="B2206" s="284"/>
      <c r="C2206" s="284"/>
      <c r="D2206" s="284"/>
      <c r="E2206" s="284"/>
      <c r="F2206" s="284"/>
      <c r="G2206" s="284"/>
      <c r="H2206" s="284"/>
      <c r="I2206" s="284"/>
      <c r="J2206" s="375"/>
      <c r="K2206" s="375"/>
      <c r="L2206" s="375"/>
      <c r="M2206" s="368"/>
      <c r="N2206" s="368"/>
      <c r="O2206" s="370"/>
      <c r="T2206" s="349"/>
      <c r="V2206" s="378"/>
      <c r="W2206" s="64" ph="1"/>
      <c r="X2206" s="241"/>
      <c r="Y2206" s="284"/>
      <c r="Z2206" s="207"/>
      <c r="AA2206" s="284"/>
      <c r="AB2206" s="284"/>
      <c r="AC2206" s="284"/>
      <c r="AD2206" s="284"/>
      <c r="AE2206" s="284"/>
      <c r="AF2206" s="284"/>
      <c r="AG2206" s="284"/>
    </row>
    <row r="2207" spans="1:33" ht="26.4">
      <c r="A2207" s="284"/>
      <c r="B2207" s="284"/>
      <c r="C2207" s="284"/>
      <c r="D2207" s="284"/>
      <c r="E2207" s="284"/>
      <c r="F2207" s="284"/>
      <c r="G2207" s="284"/>
      <c r="H2207" s="284"/>
      <c r="I2207" s="284"/>
      <c r="J2207" s="375"/>
      <c r="K2207" s="375"/>
      <c r="L2207" s="375"/>
      <c r="M2207" s="368"/>
      <c r="N2207" s="368"/>
      <c r="O2207" s="370"/>
      <c r="T2207" s="349"/>
      <c r="V2207" s="378"/>
      <c r="W2207" s="64" ph="1"/>
      <c r="X2207" s="241"/>
      <c r="Y2207" s="284"/>
      <c r="Z2207" s="207"/>
      <c r="AA2207" s="284"/>
      <c r="AB2207" s="284"/>
      <c r="AC2207" s="284"/>
      <c r="AD2207" s="284"/>
      <c r="AE2207" s="284"/>
      <c r="AF2207" s="284"/>
      <c r="AG2207" s="284"/>
    </row>
    <row r="2208" spans="1:33" ht="26.4">
      <c r="A2208" s="284"/>
      <c r="B2208" s="284"/>
      <c r="C2208" s="284"/>
      <c r="D2208" s="284"/>
      <c r="E2208" s="284"/>
      <c r="F2208" s="284"/>
      <c r="G2208" s="284"/>
      <c r="H2208" s="284"/>
      <c r="I2208" s="284"/>
      <c r="J2208" s="375"/>
      <c r="K2208" s="375"/>
      <c r="L2208" s="375"/>
      <c r="M2208" s="368"/>
      <c r="N2208" s="368"/>
      <c r="O2208" s="370"/>
      <c r="T2208" s="349"/>
      <c r="V2208" s="378"/>
      <c r="W2208" s="64" ph="1"/>
      <c r="X2208" s="241"/>
      <c r="Y2208" s="284"/>
      <c r="Z2208" s="207"/>
      <c r="AA2208" s="284"/>
      <c r="AB2208" s="284"/>
      <c r="AC2208" s="284"/>
      <c r="AD2208" s="284"/>
      <c r="AE2208" s="284"/>
      <c r="AF2208" s="284"/>
      <c r="AG2208" s="284"/>
    </row>
    <row r="2209" spans="1:33" ht="26.4">
      <c r="A2209" s="284"/>
      <c r="B2209" s="284"/>
      <c r="C2209" s="284"/>
      <c r="D2209" s="284"/>
      <c r="E2209" s="284"/>
      <c r="F2209" s="284"/>
      <c r="G2209" s="284"/>
      <c r="H2209" s="284"/>
      <c r="I2209" s="284"/>
      <c r="J2209" s="375"/>
      <c r="K2209" s="375"/>
      <c r="L2209" s="375"/>
      <c r="M2209" s="368"/>
      <c r="N2209" s="368"/>
      <c r="O2209" s="370"/>
      <c r="T2209" s="349"/>
      <c r="V2209" s="378"/>
      <c r="W2209" s="64" ph="1"/>
      <c r="X2209" s="241"/>
      <c r="Y2209" s="284"/>
      <c r="Z2209" s="207"/>
      <c r="AA2209" s="284"/>
      <c r="AB2209" s="284"/>
      <c r="AC2209" s="284"/>
      <c r="AD2209" s="284"/>
      <c r="AE2209" s="284"/>
      <c r="AF2209" s="284"/>
      <c r="AG2209" s="284"/>
    </row>
    <row r="2210" spans="1:33" ht="26.4">
      <c r="A2210" s="284"/>
      <c r="B2210" s="284"/>
      <c r="C2210" s="284"/>
      <c r="D2210" s="284"/>
      <c r="E2210" s="284"/>
      <c r="F2210" s="284"/>
      <c r="G2210" s="284"/>
      <c r="H2210" s="284"/>
      <c r="I2210" s="284"/>
      <c r="J2210" s="375"/>
      <c r="K2210" s="375"/>
      <c r="L2210" s="375"/>
      <c r="M2210" s="368"/>
      <c r="N2210" s="368"/>
      <c r="O2210" s="370"/>
      <c r="T2210" s="349"/>
      <c r="V2210" s="378"/>
      <c r="W2210" s="64" ph="1"/>
      <c r="X2210" s="241"/>
      <c r="Y2210" s="284"/>
      <c r="Z2210" s="207"/>
      <c r="AA2210" s="284"/>
      <c r="AB2210" s="284"/>
      <c r="AC2210" s="284"/>
      <c r="AD2210" s="284"/>
      <c r="AE2210" s="284"/>
      <c r="AF2210" s="284"/>
      <c r="AG2210" s="284"/>
    </row>
    <row r="2211" spans="1:33" ht="26.4">
      <c r="A2211" s="284"/>
      <c r="B2211" s="284"/>
      <c r="C2211" s="284"/>
      <c r="D2211" s="284"/>
      <c r="E2211" s="284"/>
      <c r="F2211" s="284"/>
      <c r="G2211" s="284"/>
      <c r="H2211" s="284"/>
      <c r="I2211" s="284"/>
      <c r="J2211" s="375"/>
      <c r="K2211" s="375"/>
      <c r="L2211" s="375"/>
      <c r="M2211" s="368"/>
      <c r="N2211" s="368"/>
      <c r="O2211" s="370"/>
      <c r="T2211" s="349"/>
      <c r="V2211" s="378"/>
      <c r="W2211" s="64" ph="1"/>
      <c r="X2211" s="241"/>
      <c r="Y2211" s="284"/>
      <c r="Z2211" s="207"/>
      <c r="AA2211" s="284"/>
      <c r="AB2211" s="284"/>
      <c r="AC2211" s="284"/>
      <c r="AD2211" s="284"/>
      <c r="AE2211" s="284"/>
      <c r="AF2211" s="284"/>
      <c r="AG2211" s="284"/>
    </row>
    <row r="2212" spans="1:33" ht="26.4">
      <c r="A2212" s="284"/>
      <c r="B2212" s="284"/>
      <c r="C2212" s="284"/>
      <c r="D2212" s="284"/>
      <c r="E2212" s="284"/>
      <c r="F2212" s="284"/>
      <c r="G2212" s="284"/>
      <c r="H2212" s="284"/>
      <c r="I2212" s="284"/>
      <c r="J2212" s="375"/>
      <c r="K2212" s="375"/>
      <c r="L2212" s="375"/>
      <c r="M2212" s="368"/>
      <c r="N2212" s="368"/>
      <c r="O2212" s="370"/>
      <c r="T2212" s="349"/>
      <c r="V2212" s="378"/>
      <c r="W2212" s="64" ph="1"/>
      <c r="X2212" s="241"/>
      <c r="Y2212" s="284"/>
      <c r="Z2212" s="207"/>
      <c r="AA2212" s="284"/>
      <c r="AB2212" s="284"/>
      <c r="AC2212" s="284"/>
      <c r="AD2212" s="284"/>
      <c r="AE2212" s="284"/>
      <c r="AF2212" s="284"/>
      <c r="AG2212" s="284"/>
    </row>
    <row r="2213" spans="1:33" ht="26.4">
      <c r="A2213" s="284"/>
      <c r="B2213" s="284"/>
      <c r="C2213" s="284"/>
      <c r="D2213" s="284"/>
      <c r="E2213" s="284"/>
      <c r="F2213" s="284"/>
      <c r="G2213" s="284"/>
      <c r="H2213" s="284"/>
      <c r="I2213" s="284"/>
      <c r="J2213" s="375"/>
      <c r="K2213" s="375"/>
      <c r="L2213" s="375"/>
      <c r="M2213" s="368"/>
      <c r="N2213" s="368"/>
      <c r="O2213" s="370"/>
      <c r="T2213" s="349"/>
      <c r="V2213" s="378"/>
      <c r="W2213" s="64" ph="1"/>
      <c r="X2213" s="241"/>
      <c r="Y2213" s="284"/>
      <c r="Z2213" s="207"/>
      <c r="AA2213" s="284"/>
      <c r="AB2213" s="284"/>
      <c r="AC2213" s="284"/>
      <c r="AD2213" s="284"/>
      <c r="AE2213" s="284"/>
      <c r="AF2213" s="284"/>
      <c r="AG2213" s="284"/>
    </row>
    <row r="2214" spans="1:33" ht="26.4">
      <c r="A2214" s="284"/>
      <c r="B2214" s="284"/>
      <c r="C2214" s="284"/>
      <c r="D2214" s="284"/>
      <c r="E2214" s="284"/>
      <c r="F2214" s="284"/>
      <c r="G2214" s="284"/>
      <c r="H2214" s="284"/>
      <c r="I2214" s="284"/>
      <c r="J2214" s="375"/>
      <c r="K2214" s="375"/>
      <c r="L2214" s="375"/>
      <c r="M2214" s="368"/>
      <c r="N2214" s="368"/>
      <c r="O2214" s="370"/>
      <c r="T2214" s="349"/>
      <c r="V2214" s="378"/>
      <c r="W2214" s="64" ph="1"/>
      <c r="X2214" s="241"/>
      <c r="Y2214" s="284"/>
      <c r="Z2214" s="207"/>
      <c r="AA2214" s="284"/>
      <c r="AB2214" s="284"/>
      <c r="AC2214" s="284"/>
      <c r="AD2214" s="284"/>
      <c r="AE2214" s="284"/>
      <c r="AF2214" s="284"/>
      <c r="AG2214" s="284"/>
    </row>
    <row r="2215" spans="1:33" ht="26.4">
      <c r="A2215" s="284"/>
      <c r="B2215" s="284"/>
      <c r="C2215" s="284"/>
      <c r="D2215" s="284"/>
      <c r="E2215" s="284"/>
      <c r="F2215" s="284"/>
      <c r="G2215" s="284"/>
      <c r="H2215" s="284"/>
      <c r="I2215" s="284"/>
      <c r="J2215" s="375"/>
      <c r="K2215" s="375"/>
      <c r="L2215" s="375"/>
      <c r="M2215" s="368"/>
      <c r="N2215" s="368"/>
      <c r="O2215" s="370"/>
      <c r="T2215" s="349"/>
      <c r="V2215" s="378"/>
      <c r="W2215" s="64" ph="1"/>
      <c r="X2215" s="241"/>
      <c r="Y2215" s="284"/>
      <c r="Z2215" s="207"/>
      <c r="AA2215" s="284"/>
      <c r="AB2215" s="284"/>
      <c r="AC2215" s="284"/>
      <c r="AD2215" s="284"/>
      <c r="AE2215" s="284"/>
      <c r="AF2215" s="284"/>
      <c r="AG2215" s="284"/>
    </row>
    <row r="2216" spans="1:33" ht="26.4">
      <c r="A2216" s="284"/>
      <c r="B2216" s="284"/>
      <c r="C2216" s="284"/>
      <c r="D2216" s="284"/>
      <c r="E2216" s="284"/>
      <c r="F2216" s="284"/>
      <c r="G2216" s="284"/>
      <c r="H2216" s="284"/>
      <c r="I2216" s="284"/>
      <c r="J2216" s="375"/>
      <c r="K2216" s="375"/>
      <c r="L2216" s="375"/>
      <c r="M2216" s="368"/>
      <c r="N2216" s="368"/>
      <c r="O2216" s="370"/>
      <c r="T2216" s="349"/>
      <c r="V2216" s="378"/>
      <c r="W2216" s="64" ph="1"/>
      <c r="X2216" s="241"/>
      <c r="Y2216" s="284"/>
      <c r="Z2216" s="207"/>
      <c r="AA2216" s="284"/>
      <c r="AB2216" s="284"/>
      <c r="AC2216" s="284"/>
      <c r="AD2216" s="284"/>
      <c r="AE2216" s="284"/>
      <c r="AF2216" s="284"/>
      <c r="AG2216" s="284"/>
    </row>
    <row r="2217" spans="1:33" ht="26.4">
      <c r="A2217" s="284"/>
      <c r="B2217" s="284"/>
      <c r="C2217" s="284"/>
      <c r="D2217" s="284"/>
      <c r="E2217" s="284"/>
      <c r="F2217" s="284"/>
      <c r="G2217" s="284"/>
      <c r="H2217" s="284"/>
      <c r="I2217" s="284"/>
      <c r="J2217" s="375"/>
      <c r="K2217" s="375"/>
      <c r="L2217" s="375"/>
      <c r="M2217" s="368"/>
      <c r="N2217" s="368"/>
      <c r="O2217" s="370"/>
      <c r="T2217" s="349"/>
      <c r="V2217" s="378"/>
      <c r="W2217" s="64" ph="1"/>
      <c r="X2217" s="241"/>
      <c r="Y2217" s="284"/>
      <c r="Z2217" s="207"/>
      <c r="AA2217" s="284"/>
      <c r="AB2217" s="284"/>
      <c r="AC2217" s="284"/>
      <c r="AD2217" s="284"/>
      <c r="AE2217" s="284"/>
      <c r="AF2217" s="284"/>
      <c r="AG2217" s="284"/>
    </row>
    <row r="2218" spans="1:33" ht="26.4">
      <c r="A2218" s="284"/>
      <c r="B2218" s="284"/>
      <c r="C2218" s="284"/>
      <c r="D2218" s="284"/>
      <c r="E2218" s="284"/>
      <c r="F2218" s="284"/>
      <c r="G2218" s="284"/>
      <c r="H2218" s="284"/>
      <c r="I2218" s="284"/>
      <c r="J2218" s="375"/>
      <c r="K2218" s="375"/>
      <c r="L2218" s="375"/>
      <c r="M2218" s="368"/>
      <c r="N2218" s="368"/>
      <c r="O2218" s="370"/>
      <c r="T2218" s="349"/>
      <c r="V2218" s="378"/>
      <c r="W2218" s="64" ph="1"/>
      <c r="X2218" s="241"/>
      <c r="Y2218" s="284"/>
      <c r="Z2218" s="207"/>
      <c r="AA2218" s="284"/>
      <c r="AB2218" s="284"/>
      <c r="AC2218" s="284"/>
      <c r="AD2218" s="284"/>
      <c r="AE2218" s="284"/>
      <c r="AF2218" s="284"/>
      <c r="AG2218" s="284"/>
    </row>
    <row r="2219" spans="1:33" ht="26.4">
      <c r="A2219" s="284"/>
      <c r="B2219" s="284"/>
      <c r="C2219" s="284"/>
      <c r="D2219" s="284"/>
      <c r="E2219" s="284"/>
      <c r="F2219" s="284"/>
      <c r="G2219" s="284"/>
      <c r="H2219" s="284"/>
      <c r="I2219" s="284"/>
      <c r="J2219" s="375"/>
      <c r="K2219" s="375"/>
      <c r="L2219" s="375"/>
      <c r="M2219" s="368"/>
      <c r="N2219" s="368"/>
      <c r="O2219" s="370"/>
      <c r="T2219" s="349"/>
      <c r="V2219" s="378"/>
      <c r="W2219" s="64" ph="1"/>
      <c r="X2219" s="241"/>
      <c r="Y2219" s="284"/>
      <c r="Z2219" s="207"/>
      <c r="AA2219" s="284"/>
      <c r="AB2219" s="284"/>
      <c r="AC2219" s="284"/>
      <c r="AD2219" s="284"/>
      <c r="AE2219" s="284"/>
      <c r="AF2219" s="284"/>
      <c r="AG2219" s="284"/>
    </row>
    <row r="2220" spans="1:33" ht="26.4">
      <c r="A2220" s="284"/>
      <c r="B2220" s="284"/>
      <c r="C2220" s="284"/>
      <c r="D2220" s="284"/>
      <c r="E2220" s="284"/>
      <c r="F2220" s="284"/>
      <c r="G2220" s="284"/>
      <c r="H2220" s="284"/>
      <c r="I2220" s="284"/>
      <c r="J2220" s="375"/>
      <c r="K2220" s="375"/>
      <c r="L2220" s="375"/>
      <c r="M2220" s="368"/>
      <c r="N2220" s="368"/>
      <c r="O2220" s="370"/>
      <c r="T2220" s="349"/>
      <c r="V2220" s="378"/>
      <c r="W2220" s="64" ph="1"/>
      <c r="X2220" s="241"/>
      <c r="Y2220" s="284"/>
      <c r="Z2220" s="207"/>
      <c r="AA2220" s="284"/>
      <c r="AB2220" s="284"/>
      <c r="AC2220" s="284"/>
      <c r="AD2220" s="284"/>
      <c r="AE2220" s="284"/>
      <c r="AF2220" s="284"/>
      <c r="AG2220" s="284"/>
    </row>
    <row r="2221" spans="1:33" ht="26.4">
      <c r="A2221" s="284"/>
      <c r="B2221" s="284"/>
      <c r="C2221" s="284"/>
      <c r="D2221" s="284"/>
      <c r="E2221" s="284"/>
      <c r="F2221" s="284"/>
      <c r="G2221" s="284"/>
      <c r="H2221" s="284"/>
      <c r="I2221" s="284"/>
      <c r="J2221" s="375"/>
      <c r="K2221" s="375"/>
      <c r="L2221" s="375"/>
      <c r="M2221" s="368"/>
      <c r="N2221" s="368"/>
      <c r="O2221" s="370"/>
      <c r="T2221" s="349"/>
      <c r="V2221" s="378"/>
      <c r="W2221" s="64" ph="1"/>
      <c r="X2221" s="241"/>
      <c r="Y2221" s="284"/>
      <c r="Z2221" s="207"/>
      <c r="AA2221" s="284"/>
      <c r="AB2221" s="284"/>
      <c r="AC2221" s="284"/>
      <c r="AD2221" s="284"/>
      <c r="AE2221" s="284"/>
      <c r="AF2221" s="284"/>
      <c r="AG2221" s="284"/>
    </row>
    <row r="2222" spans="1:33" ht="26.4">
      <c r="A2222" s="284"/>
      <c r="B2222" s="284"/>
      <c r="C2222" s="284"/>
      <c r="D2222" s="284"/>
      <c r="E2222" s="284"/>
      <c r="F2222" s="284"/>
      <c r="G2222" s="284"/>
      <c r="H2222" s="284"/>
      <c r="I2222" s="284"/>
      <c r="J2222" s="375"/>
      <c r="K2222" s="375"/>
      <c r="L2222" s="375"/>
      <c r="M2222" s="368"/>
      <c r="N2222" s="368"/>
      <c r="O2222" s="370"/>
      <c r="T2222" s="349"/>
      <c r="V2222" s="378"/>
      <c r="W2222" s="64" ph="1"/>
      <c r="X2222" s="241"/>
      <c r="Y2222" s="284"/>
      <c r="Z2222" s="207"/>
      <c r="AA2222" s="284"/>
      <c r="AB2222" s="284"/>
      <c r="AC2222" s="284"/>
      <c r="AD2222" s="284"/>
      <c r="AE2222" s="284"/>
      <c r="AF2222" s="284"/>
      <c r="AG2222" s="284"/>
    </row>
    <row r="2223" spans="1:33" ht="26.4">
      <c r="A2223" s="284"/>
      <c r="B2223" s="284"/>
      <c r="C2223" s="284"/>
      <c r="D2223" s="284"/>
      <c r="E2223" s="284"/>
      <c r="F2223" s="284"/>
      <c r="G2223" s="284"/>
      <c r="H2223" s="284"/>
      <c r="I2223" s="284"/>
      <c r="J2223" s="375"/>
      <c r="K2223" s="375"/>
      <c r="L2223" s="375"/>
      <c r="M2223" s="368"/>
      <c r="N2223" s="368"/>
      <c r="O2223" s="370"/>
      <c r="T2223" s="349"/>
      <c r="V2223" s="378"/>
      <c r="W2223" s="64" ph="1"/>
      <c r="X2223" s="241"/>
      <c r="Y2223" s="284"/>
      <c r="Z2223" s="207"/>
      <c r="AA2223" s="284"/>
      <c r="AB2223" s="284"/>
      <c r="AC2223" s="284"/>
      <c r="AD2223" s="284"/>
      <c r="AE2223" s="284"/>
      <c r="AF2223" s="284"/>
      <c r="AG2223" s="284"/>
    </row>
    <row r="2224" spans="1:33" ht="26.4">
      <c r="A2224" s="284"/>
      <c r="B2224" s="284"/>
      <c r="C2224" s="284"/>
      <c r="D2224" s="284"/>
      <c r="E2224" s="284"/>
      <c r="F2224" s="284"/>
      <c r="G2224" s="284"/>
      <c r="H2224" s="284"/>
      <c r="I2224" s="284"/>
      <c r="J2224" s="375"/>
      <c r="K2224" s="375"/>
      <c r="L2224" s="375"/>
      <c r="M2224" s="368"/>
      <c r="N2224" s="368"/>
      <c r="O2224" s="370"/>
      <c r="T2224" s="349"/>
      <c r="V2224" s="378"/>
      <c r="W2224" s="64" ph="1"/>
      <c r="X2224" s="241"/>
      <c r="Y2224" s="284"/>
      <c r="Z2224" s="207"/>
      <c r="AA2224" s="284"/>
      <c r="AB2224" s="284"/>
      <c r="AC2224" s="284"/>
      <c r="AD2224" s="284"/>
      <c r="AE2224" s="284"/>
      <c r="AF2224" s="284"/>
      <c r="AG2224" s="284"/>
    </row>
    <row r="2225" spans="1:33" ht="26.4">
      <c r="A2225" s="284"/>
      <c r="B2225" s="284"/>
      <c r="C2225" s="284"/>
      <c r="D2225" s="284"/>
      <c r="E2225" s="284"/>
      <c r="F2225" s="284"/>
      <c r="G2225" s="284"/>
      <c r="H2225" s="284"/>
      <c r="I2225" s="284"/>
      <c r="J2225" s="375"/>
      <c r="K2225" s="375"/>
      <c r="L2225" s="375"/>
      <c r="M2225" s="368"/>
      <c r="N2225" s="368"/>
      <c r="O2225" s="370"/>
      <c r="T2225" s="349"/>
      <c r="V2225" s="378"/>
      <c r="W2225" s="64" ph="1"/>
      <c r="X2225" s="241"/>
      <c r="Y2225" s="284"/>
      <c r="Z2225" s="207"/>
      <c r="AA2225" s="284"/>
      <c r="AB2225" s="284"/>
      <c r="AC2225" s="284"/>
      <c r="AD2225" s="284"/>
      <c r="AE2225" s="284"/>
      <c r="AF2225" s="284"/>
      <c r="AG2225" s="284"/>
    </row>
    <row r="2226" spans="1:33" ht="26.4">
      <c r="A2226" s="284"/>
      <c r="B2226" s="284"/>
      <c r="C2226" s="284"/>
      <c r="D2226" s="284"/>
      <c r="E2226" s="284"/>
      <c r="F2226" s="284"/>
      <c r="G2226" s="284"/>
      <c r="H2226" s="284"/>
      <c r="I2226" s="284"/>
      <c r="J2226" s="375"/>
      <c r="K2226" s="375"/>
      <c r="L2226" s="375"/>
      <c r="M2226" s="368"/>
      <c r="N2226" s="368"/>
      <c r="O2226" s="370"/>
      <c r="T2226" s="349"/>
      <c r="V2226" s="378"/>
      <c r="W2226" s="64" ph="1"/>
      <c r="X2226" s="241"/>
      <c r="Y2226" s="284"/>
      <c r="Z2226" s="207"/>
      <c r="AA2226" s="284"/>
      <c r="AB2226" s="284"/>
      <c r="AC2226" s="284"/>
      <c r="AD2226" s="284"/>
      <c r="AE2226" s="284"/>
      <c r="AF2226" s="284"/>
      <c r="AG2226" s="284"/>
    </row>
    <row r="2227" spans="1:33" ht="26.4">
      <c r="A2227" s="284"/>
      <c r="B2227" s="284"/>
      <c r="C2227" s="284"/>
      <c r="D2227" s="284"/>
      <c r="E2227" s="284"/>
      <c r="F2227" s="284"/>
      <c r="G2227" s="284"/>
      <c r="H2227" s="284"/>
      <c r="I2227" s="284"/>
      <c r="J2227" s="375"/>
      <c r="K2227" s="375"/>
      <c r="L2227" s="375"/>
      <c r="M2227" s="368"/>
      <c r="N2227" s="368"/>
      <c r="O2227" s="370"/>
      <c r="T2227" s="349"/>
      <c r="V2227" s="378"/>
      <c r="W2227" s="64" ph="1"/>
      <c r="X2227" s="241"/>
      <c r="Y2227" s="284"/>
      <c r="Z2227" s="207"/>
      <c r="AA2227" s="284"/>
      <c r="AB2227" s="284"/>
      <c r="AC2227" s="284"/>
      <c r="AD2227" s="284"/>
      <c r="AE2227" s="284"/>
      <c r="AF2227" s="284"/>
      <c r="AG2227" s="284"/>
    </row>
    <row r="2228" spans="1:33" ht="26.4">
      <c r="A2228" s="284"/>
      <c r="B2228" s="284"/>
      <c r="C2228" s="284"/>
      <c r="D2228" s="284"/>
      <c r="E2228" s="284"/>
      <c r="F2228" s="284"/>
      <c r="G2228" s="284"/>
      <c r="H2228" s="284"/>
      <c r="I2228" s="284"/>
      <c r="J2228" s="375"/>
      <c r="K2228" s="375"/>
      <c r="L2228" s="375"/>
      <c r="M2228" s="368"/>
      <c r="N2228" s="368"/>
      <c r="O2228" s="370"/>
      <c r="T2228" s="349"/>
      <c r="V2228" s="378"/>
      <c r="W2228" s="64" ph="1"/>
      <c r="X2228" s="241"/>
      <c r="Y2228" s="284"/>
      <c r="Z2228" s="207"/>
      <c r="AA2228" s="284"/>
      <c r="AB2228" s="284"/>
      <c r="AC2228" s="284"/>
      <c r="AD2228" s="284"/>
      <c r="AE2228" s="284"/>
      <c r="AF2228" s="284"/>
      <c r="AG2228" s="284"/>
    </row>
    <row r="2229" spans="1:33" ht="26.4">
      <c r="A2229" s="284"/>
      <c r="B2229" s="284"/>
      <c r="C2229" s="284"/>
      <c r="D2229" s="284"/>
      <c r="E2229" s="284"/>
      <c r="F2229" s="284"/>
      <c r="G2229" s="284"/>
      <c r="H2229" s="284"/>
      <c r="I2229" s="284"/>
      <c r="J2229" s="375"/>
      <c r="K2229" s="375"/>
      <c r="L2229" s="375"/>
      <c r="M2229" s="368"/>
      <c r="N2229" s="368"/>
      <c r="O2229" s="370"/>
      <c r="T2229" s="349"/>
      <c r="V2229" s="378"/>
      <c r="W2229" s="64" ph="1"/>
      <c r="X2229" s="241"/>
      <c r="Y2229" s="284"/>
      <c r="Z2229" s="207"/>
      <c r="AA2229" s="284"/>
      <c r="AB2229" s="284"/>
      <c r="AC2229" s="284"/>
      <c r="AD2229" s="284"/>
      <c r="AE2229" s="284"/>
      <c r="AF2229" s="284"/>
      <c r="AG2229" s="284"/>
    </row>
    <row r="2230" spans="1:33" ht="26.4">
      <c r="A2230" s="284"/>
      <c r="B2230" s="284"/>
      <c r="C2230" s="284"/>
      <c r="D2230" s="284"/>
      <c r="E2230" s="284"/>
      <c r="F2230" s="284"/>
      <c r="G2230" s="284"/>
      <c r="H2230" s="284"/>
      <c r="I2230" s="284"/>
      <c r="J2230" s="375"/>
      <c r="K2230" s="375"/>
      <c r="L2230" s="375"/>
      <c r="M2230" s="368"/>
      <c r="N2230" s="368"/>
      <c r="O2230" s="370"/>
      <c r="T2230" s="349"/>
      <c r="V2230" s="378"/>
      <c r="W2230" s="64" ph="1"/>
      <c r="X2230" s="241"/>
      <c r="Y2230" s="284"/>
      <c r="Z2230" s="207"/>
      <c r="AA2230" s="284"/>
      <c r="AB2230" s="284"/>
      <c r="AC2230" s="284"/>
      <c r="AD2230" s="284"/>
      <c r="AE2230" s="284"/>
      <c r="AF2230" s="284"/>
      <c r="AG2230" s="284"/>
    </row>
    <row r="2231" spans="1:33" ht="26.4">
      <c r="A2231" s="284"/>
      <c r="B2231" s="284"/>
      <c r="C2231" s="284"/>
      <c r="D2231" s="284"/>
      <c r="E2231" s="284"/>
      <c r="F2231" s="284"/>
      <c r="G2231" s="284"/>
      <c r="H2231" s="284"/>
      <c r="I2231" s="284"/>
      <c r="J2231" s="375"/>
      <c r="K2231" s="375"/>
      <c r="L2231" s="375"/>
      <c r="M2231" s="368"/>
      <c r="N2231" s="368"/>
      <c r="O2231" s="370"/>
      <c r="T2231" s="349"/>
      <c r="V2231" s="378"/>
      <c r="W2231" s="64" ph="1"/>
      <c r="X2231" s="241"/>
      <c r="Y2231" s="284"/>
      <c r="Z2231" s="207"/>
      <c r="AA2231" s="284"/>
      <c r="AB2231" s="284"/>
      <c r="AC2231" s="284"/>
      <c r="AD2231" s="284"/>
      <c r="AE2231" s="284"/>
      <c r="AF2231" s="284"/>
      <c r="AG2231" s="284"/>
    </row>
    <row r="2232" spans="1:33" ht="26.4">
      <c r="A2232" s="284"/>
      <c r="B2232" s="284"/>
      <c r="C2232" s="284"/>
      <c r="D2232" s="284"/>
      <c r="E2232" s="284"/>
      <c r="F2232" s="284"/>
      <c r="G2232" s="284"/>
      <c r="H2232" s="284"/>
      <c r="I2232" s="284"/>
      <c r="J2232" s="375"/>
      <c r="K2232" s="375"/>
      <c r="L2232" s="375"/>
      <c r="M2232" s="368"/>
      <c r="N2232" s="368"/>
      <c r="O2232" s="370"/>
      <c r="T2232" s="349"/>
      <c r="V2232" s="378"/>
      <c r="W2232" s="64" ph="1"/>
      <c r="X2232" s="241"/>
      <c r="Y2232" s="284"/>
      <c r="Z2232" s="207"/>
      <c r="AA2232" s="284"/>
      <c r="AB2232" s="284"/>
      <c r="AC2232" s="284"/>
      <c r="AD2232" s="284"/>
      <c r="AE2232" s="284"/>
      <c r="AF2232" s="284"/>
      <c r="AG2232" s="284"/>
    </row>
    <row r="2233" spans="1:33" ht="26.4">
      <c r="A2233" s="284"/>
      <c r="B2233" s="284"/>
      <c r="C2233" s="284"/>
      <c r="D2233" s="284"/>
      <c r="E2233" s="284"/>
      <c r="F2233" s="284"/>
      <c r="G2233" s="284"/>
      <c r="H2233" s="284"/>
      <c r="I2233" s="284"/>
      <c r="J2233" s="375"/>
      <c r="K2233" s="375"/>
      <c r="L2233" s="375"/>
      <c r="M2233" s="368"/>
      <c r="N2233" s="368"/>
      <c r="O2233" s="370"/>
      <c r="T2233" s="349"/>
      <c r="V2233" s="378"/>
      <c r="W2233" s="64" ph="1"/>
      <c r="X2233" s="241"/>
      <c r="Y2233" s="284"/>
      <c r="Z2233" s="207"/>
      <c r="AA2233" s="284"/>
      <c r="AB2233" s="284"/>
      <c r="AC2233" s="284"/>
      <c r="AD2233" s="284"/>
      <c r="AE2233" s="284"/>
      <c r="AF2233" s="284"/>
      <c r="AG2233" s="284"/>
    </row>
    <row r="2234" spans="1:33" ht="26.4">
      <c r="A2234" s="284"/>
      <c r="B2234" s="284"/>
      <c r="C2234" s="284"/>
      <c r="D2234" s="284"/>
      <c r="E2234" s="284"/>
      <c r="F2234" s="284"/>
      <c r="G2234" s="284"/>
      <c r="H2234" s="284"/>
      <c r="I2234" s="284"/>
      <c r="J2234" s="375"/>
      <c r="K2234" s="375"/>
      <c r="L2234" s="375"/>
      <c r="M2234" s="368"/>
      <c r="N2234" s="368"/>
      <c r="O2234" s="370"/>
      <c r="T2234" s="349"/>
      <c r="V2234" s="378"/>
      <c r="W2234" s="64" ph="1"/>
      <c r="X2234" s="241"/>
      <c r="Y2234" s="284"/>
      <c r="Z2234" s="207"/>
      <c r="AA2234" s="284"/>
      <c r="AB2234" s="284"/>
      <c r="AC2234" s="284"/>
      <c r="AD2234" s="284"/>
      <c r="AE2234" s="284"/>
      <c r="AF2234" s="284"/>
      <c r="AG2234" s="284"/>
    </row>
    <row r="2235" spans="1:33" ht="26.4">
      <c r="A2235" s="284"/>
      <c r="B2235" s="284"/>
      <c r="C2235" s="284"/>
      <c r="D2235" s="284"/>
      <c r="E2235" s="284"/>
      <c r="F2235" s="284"/>
      <c r="G2235" s="284"/>
      <c r="H2235" s="284"/>
      <c r="I2235" s="284"/>
      <c r="J2235" s="375"/>
      <c r="K2235" s="375"/>
      <c r="L2235" s="375"/>
      <c r="M2235" s="368"/>
      <c r="N2235" s="368"/>
      <c r="O2235" s="370"/>
      <c r="T2235" s="349"/>
      <c r="V2235" s="378"/>
      <c r="W2235" s="64" ph="1"/>
      <c r="X2235" s="241"/>
      <c r="Y2235" s="284"/>
      <c r="Z2235" s="207"/>
      <c r="AA2235" s="284"/>
      <c r="AB2235" s="284"/>
      <c r="AC2235" s="284"/>
      <c r="AD2235" s="284"/>
      <c r="AE2235" s="284"/>
      <c r="AF2235" s="284"/>
      <c r="AG2235" s="284"/>
    </row>
    <row r="2236" spans="1:33" ht="26.4">
      <c r="A2236" s="284"/>
      <c r="B2236" s="284"/>
      <c r="C2236" s="284"/>
      <c r="D2236" s="284"/>
      <c r="E2236" s="284"/>
      <c r="F2236" s="284"/>
      <c r="G2236" s="284"/>
      <c r="H2236" s="284"/>
      <c r="I2236" s="284"/>
      <c r="J2236" s="375"/>
      <c r="K2236" s="375"/>
      <c r="L2236" s="375"/>
      <c r="M2236" s="368"/>
      <c r="N2236" s="368"/>
      <c r="O2236" s="370"/>
      <c r="T2236" s="349"/>
      <c r="V2236" s="378"/>
      <c r="W2236" s="64" ph="1"/>
      <c r="X2236" s="241"/>
      <c r="Y2236" s="284"/>
      <c r="Z2236" s="207"/>
      <c r="AA2236" s="284"/>
      <c r="AB2236" s="284"/>
      <c r="AC2236" s="284"/>
      <c r="AD2236" s="284"/>
      <c r="AE2236" s="284"/>
      <c r="AF2236" s="284"/>
      <c r="AG2236" s="284"/>
    </row>
    <row r="2237" spans="1:33" ht="26.4">
      <c r="A2237" s="284"/>
      <c r="B2237" s="284"/>
      <c r="C2237" s="284"/>
      <c r="D2237" s="284"/>
      <c r="E2237" s="284"/>
      <c r="F2237" s="284"/>
      <c r="G2237" s="284"/>
      <c r="H2237" s="284"/>
      <c r="I2237" s="284"/>
      <c r="J2237" s="375"/>
      <c r="K2237" s="375"/>
      <c r="L2237" s="375"/>
      <c r="M2237" s="368"/>
      <c r="N2237" s="368"/>
      <c r="O2237" s="370"/>
      <c r="T2237" s="349"/>
      <c r="V2237" s="378"/>
      <c r="W2237" s="64" ph="1"/>
      <c r="X2237" s="241"/>
      <c r="Y2237" s="284"/>
      <c r="Z2237" s="207"/>
      <c r="AA2237" s="284"/>
      <c r="AB2237" s="284"/>
      <c r="AC2237" s="284"/>
      <c r="AD2237" s="284"/>
      <c r="AE2237" s="284"/>
      <c r="AF2237" s="284"/>
      <c r="AG2237" s="284"/>
    </row>
    <row r="2238" spans="1:33" ht="26.4">
      <c r="A2238" s="284"/>
      <c r="B2238" s="284"/>
      <c r="C2238" s="284"/>
      <c r="D2238" s="284"/>
      <c r="E2238" s="284"/>
      <c r="F2238" s="284"/>
      <c r="G2238" s="284"/>
      <c r="H2238" s="284"/>
      <c r="I2238" s="284"/>
      <c r="J2238" s="375"/>
      <c r="K2238" s="375"/>
      <c r="L2238" s="375"/>
      <c r="M2238" s="368"/>
      <c r="N2238" s="368"/>
      <c r="O2238" s="370"/>
      <c r="T2238" s="349"/>
      <c r="V2238" s="378"/>
      <c r="W2238" s="64" ph="1"/>
      <c r="X2238" s="241"/>
      <c r="Y2238" s="284"/>
      <c r="Z2238" s="207"/>
      <c r="AA2238" s="284"/>
      <c r="AB2238" s="284"/>
      <c r="AC2238" s="284"/>
      <c r="AD2238" s="284"/>
      <c r="AE2238" s="284"/>
      <c r="AF2238" s="284"/>
      <c r="AG2238" s="284"/>
    </row>
    <row r="2239" spans="1:33" ht="26.4">
      <c r="A2239" s="284"/>
      <c r="B2239" s="284"/>
      <c r="C2239" s="284"/>
      <c r="D2239" s="284"/>
      <c r="E2239" s="284"/>
      <c r="F2239" s="284"/>
      <c r="G2239" s="284"/>
      <c r="H2239" s="284"/>
      <c r="I2239" s="284"/>
      <c r="J2239" s="375"/>
      <c r="K2239" s="375"/>
      <c r="L2239" s="375"/>
      <c r="M2239" s="368"/>
      <c r="N2239" s="368"/>
      <c r="O2239" s="370"/>
      <c r="T2239" s="349"/>
      <c r="V2239" s="378"/>
      <c r="W2239" s="64" ph="1"/>
      <c r="X2239" s="241"/>
      <c r="Y2239" s="284"/>
      <c r="Z2239" s="207"/>
      <c r="AA2239" s="284"/>
      <c r="AB2239" s="284"/>
      <c r="AC2239" s="284"/>
      <c r="AD2239" s="284"/>
      <c r="AE2239" s="284"/>
      <c r="AF2239" s="284"/>
      <c r="AG2239" s="284"/>
    </row>
    <row r="2240" spans="1:33" ht="26.4">
      <c r="A2240" s="284"/>
      <c r="B2240" s="284"/>
      <c r="C2240" s="284"/>
      <c r="D2240" s="284"/>
      <c r="E2240" s="284"/>
      <c r="F2240" s="284"/>
      <c r="G2240" s="284"/>
      <c r="H2240" s="284"/>
      <c r="I2240" s="284"/>
      <c r="J2240" s="375"/>
      <c r="K2240" s="375"/>
      <c r="L2240" s="375"/>
      <c r="M2240" s="368"/>
      <c r="N2240" s="368"/>
      <c r="O2240" s="370"/>
      <c r="T2240" s="349"/>
      <c r="V2240" s="378"/>
      <c r="W2240" s="64" ph="1"/>
      <c r="X2240" s="241"/>
      <c r="Y2240" s="284"/>
      <c r="Z2240" s="207"/>
      <c r="AA2240" s="284"/>
      <c r="AB2240" s="284"/>
      <c r="AC2240" s="284"/>
      <c r="AD2240" s="284"/>
      <c r="AE2240" s="284"/>
      <c r="AF2240" s="284"/>
      <c r="AG2240" s="284"/>
    </row>
    <row r="2241" spans="1:33" ht="26.4">
      <c r="A2241" s="284"/>
      <c r="B2241" s="284"/>
      <c r="C2241" s="284"/>
      <c r="D2241" s="284"/>
      <c r="E2241" s="284"/>
      <c r="F2241" s="284"/>
      <c r="G2241" s="284"/>
      <c r="H2241" s="284"/>
      <c r="I2241" s="284"/>
      <c r="J2241" s="375"/>
      <c r="K2241" s="375"/>
      <c r="L2241" s="375"/>
      <c r="M2241" s="368"/>
      <c r="N2241" s="368"/>
      <c r="O2241" s="370"/>
      <c r="T2241" s="349"/>
      <c r="V2241" s="378"/>
      <c r="W2241" s="64" ph="1"/>
      <c r="X2241" s="241"/>
      <c r="Y2241" s="284"/>
      <c r="Z2241" s="207"/>
      <c r="AA2241" s="284"/>
      <c r="AB2241" s="284"/>
      <c r="AC2241" s="284"/>
      <c r="AD2241" s="284"/>
      <c r="AE2241" s="284"/>
      <c r="AF2241" s="284"/>
      <c r="AG2241" s="284"/>
    </row>
    <row r="2242" spans="1:33" ht="26.4">
      <c r="A2242" s="284"/>
      <c r="B2242" s="284"/>
      <c r="C2242" s="284"/>
      <c r="D2242" s="284"/>
      <c r="E2242" s="284"/>
      <c r="F2242" s="284"/>
      <c r="G2242" s="284"/>
      <c r="H2242" s="284"/>
      <c r="I2242" s="284"/>
      <c r="J2242" s="375"/>
      <c r="K2242" s="375"/>
      <c r="L2242" s="375"/>
      <c r="M2242" s="368"/>
      <c r="N2242" s="368"/>
      <c r="O2242" s="370"/>
      <c r="T2242" s="349"/>
      <c r="V2242" s="378"/>
      <c r="W2242" s="64" ph="1"/>
      <c r="X2242" s="241"/>
      <c r="Y2242" s="284"/>
      <c r="Z2242" s="207"/>
      <c r="AA2242" s="284"/>
      <c r="AB2242" s="284"/>
      <c r="AC2242" s="284"/>
      <c r="AD2242" s="284"/>
      <c r="AE2242" s="284"/>
      <c r="AF2242" s="284"/>
      <c r="AG2242" s="284"/>
    </row>
    <row r="2243" spans="1:33" ht="26.4">
      <c r="A2243" s="284"/>
      <c r="B2243" s="284"/>
      <c r="C2243" s="284"/>
      <c r="D2243" s="284"/>
      <c r="E2243" s="284"/>
      <c r="F2243" s="284"/>
      <c r="G2243" s="284"/>
      <c r="H2243" s="284"/>
      <c r="I2243" s="284"/>
      <c r="J2243" s="375"/>
      <c r="K2243" s="375"/>
      <c r="L2243" s="375"/>
      <c r="M2243" s="368"/>
      <c r="N2243" s="368"/>
      <c r="O2243" s="370"/>
      <c r="T2243" s="349"/>
      <c r="V2243" s="378"/>
      <c r="W2243" s="64" ph="1"/>
      <c r="X2243" s="241"/>
      <c r="Y2243" s="284"/>
      <c r="Z2243" s="207"/>
      <c r="AA2243" s="284"/>
      <c r="AB2243" s="284"/>
      <c r="AC2243" s="284"/>
      <c r="AD2243" s="284"/>
      <c r="AE2243" s="284"/>
      <c r="AF2243" s="284"/>
      <c r="AG2243" s="284"/>
    </row>
    <row r="2244" spans="1:33" ht="26.4">
      <c r="A2244" s="284"/>
      <c r="B2244" s="284"/>
      <c r="C2244" s="284"/>
      <c r="D2244" s="284"/>
      <c r="E2244" s="284"/>
      <c r="F2244" s="284"/>
      <c r="G2244" s="284"/>
      <c r="H2244" s="284"/>
      <c r="I2244" s="284"/>
      <c r="J2244" s="375"/>
      <c r="K2244" s="375"/>
      <c r="L2244" s="375"/>
      <c r="M2244" s="368"/>
      <c r="N2244" s="368"/>
      <c r="O2244" s="370"/>
      <c r="T2244" s="349"/>
      <c r="V2244" s="378"/>
      <c r="W2244" s="64" ph="1"/>
      <c r="X2244" s="241"/>
      <c r="Y2244" s="284"/>
      <c r="Z2244" s="207"/>
      <c r="AA2244" s="284"/>
      <c r="AB2244" s="284"/>
      <c r="AC2244" s="284"/>
      <c r="AD2244" s="284"/>
      <c r="AE2244" s="284"/>
      <c r="AF2244" s="284"/>
      <c r="AG2244" s="284"/>
    </row>
    <row r="2245" spans="1:33" ht="26.4">
      <c r="A2245" s="284"/>
      <c r="B2245" s="284"/>
      <c r="C2245" s="284"/>
      <c r="D2245" s="284"/>
      <c r="E2245" s="284"/>
      <c r="F2245" s="284"/>
      <c r="G2245" s="284"/>
      <c r="H2245" s="284"/>
      <c r="I2245" s="284"/>
      <c r="J2245" s="375"/>
      <c r="K2245" s="375"/>
      <c r="L2245" s="375"/>
      <c r="M2245" s="368"/>
      <c r="N2245" s="368"/>
      <c r="O2245" s="370"/>
      <c r="T2245" s="349"/>
      <c r="V2245" s="378"/>
      <c r="W2245" s="64" ph="1"/>
      <c r="X2245" s="241"/>
      <c r="Y2245" s="284"/>
      <c r="Z2245" s="207"/>
      <c r="AA2245" s="284"/>
      <c r="AB2245" s="284"/>
      <c r="AC2245" s="284"/>
      <c r="AD2245" s="284"/>
      <c r="AE2245" s="284"/>
      <c r="AF2245" s="284"/>
      <c r="AG2245" s="284"/>
    </row>
    <row r="2246" spans="1:33" ht="26.4">
      <c r="A2246" s="284"/>
      <c r="B2246" s="284"/>
      <c r="C2246" s="284"/>
      <c r="D2246" s="284"/>
      <c r="E2246" s="284"/>
      <c r="F2246" s="284"/>
      <c r="G2246" s="284"/>
      <c r="H2246" s="284"/>
      <c r="I2246" s="284"/>
      <c r="J2246" s="375"/>
      <c r="K2246" s="375"/>
      <c r="L2246" s="375"/>
      <c r="M2246" s="368"/>
      <c r="N2246" s="368"/>
      <c r="O2246" s="370"/>
      <c r="T2246" s="349"/>
      <c r="V2246" s="378"/>
      <c r="W2246" s="64" ph="1"/>
      <c r="X2246" s="241"/>
      <c r="Y2246" s="284"/>
      <c r="Z2246" s="207"/>
      <c r="AA2246" s="284"/>
      <c r="AB2246" s="284"/>
      <c r="AC2246" s="284"/>
      <c r="AD2246" s="284"/>
      <c r="AE2246" s="284"/>
      <c r="AF2246" s="284"/>
      <c r="AG2246" s="284"/>
    </row>
    <row r="2247" spans="1:33" ht="26.4">
      <c r="A2247" s="284"/>
      <c r="B2247" s="284"/>
      <c r="C2247" s="284"/>
      <c r="D2247" s="284"/>
      <c r="E2247" s="284"/>
      <c r="F2247" s="284"/>
      <c r="G2247" s="284"/>
      <c r="H2247" s="284"/>
      <c r="I2247" s="284"/>
      <c r="J2247" s="375"/>
      <c r="K2247" s="375"/>
      <c r="L2247" s="375"/>
      <c r="M2247" s="368"/>
      <c r="N2247" s="368"/>
      <c r="O2247" s="370"/>
      <c r="T2247" s="349"/>
      <c r="V2247" s="378"/>
      <c r="W2247" s="64" ph="1"/>
      <c r="X2247" s="241"/>
      <c r="Y2247" s="284"/>
      <c r="Z2247" s="207"/>
      <c r="AA2247" s="284"/>
      <c r="AB2247" s="284"/>
      <c r="AC2247" s="284"/>
      <c r="AD2247" s="284"/>
      <c r="AE2247" s="284"/>
      <c r="AF2247" s="284"/>
      <c r="AG2247" s="284"/>
    </row>
    <row r="2248" spans="1:33" ht="26.4">
      <c r="A2248" s="284"/>
      <c r="B2248" s="284"/>
      <c r="C2248" s="284"/>
      <c r="D2248" s="284"/>
      <c r="E2248" s="284"/>
      <c r="F2248" s="284"/>
      <c r="G2248" s="284"/>
      <c r="H2248" s="284"/>
      <c r="I2248" s="284"/>
      <c r="J2248" s="375"/>
      <c r="K2248" s="375"/>
      <c r="L2248" s="375"/>
      <c r="M2248" s="368"/>
      <c r="N2248" s="368"/>
      <c r="O2248" s="370"/>
      <c r="T2248" s="349"/>
      <c r="V2248" s="378"/>
      <c r="W2248" s="64" ph="1"/>
      <c r="X2248" s="241"/>
      <c r="Y2248" s="284"/>
      <c r="Z2248" s="207"/>
      <c r="AA2248" s="284"/>
      <c r="AB2248" s="284"/>
      <c r="AC2248" s="284"/>
      <c r="AD2248" s="284"/>
      <c r="AE2248" s="284"/>
      <c r="AF2248" s="284"/>
      <c r="AG2248" s="284"/>
    </row>
    <row r="2249" spans="1:33" ht="26.4">
      <c r="A2249" s="284"/>
      <c r="B2249" s="284"/>
      <c r="C2249" s="284"/>
      <c r="D2249" s="284"/>
      <c r="E2249" s="284"/>
      <c r="F2249" s="284"/>
      <c r="G2249" s="284"/>
      <c r="H2249" s="284"/>
      <c r="I2249" s="284"/>
      <c r="J2249" s="375"/>
      <c r="K2249" s="375"/>
      <c r="L2249" s="375"/>
      <c r="M2249" s="368"/>
      <c r="N2249" s="368"/>
      <c r="O2249" s="370"/>
      <c r="T2249" s="349"/>
      <c r="V2249" s="378"/>
      <c r="W2249" s="64" ph="1"/>
      <c r="X2249" s="241"/>
      <c r="Y2249" s="284"/>
      <c r="Z2249" s="207"/>
      <c r="AA2249" s="284"/>
      <c r="AB2249" s="284"/>
      <c r="AC2249" s="284"/>
      <c r="AD2249" s="284"/>
      <c r="AE2249" s="284"/>
      <c r="AF2249" s="284"/>
      <c r="AG2249" s="284"/>
    </row>
    <row r="2250" spans="1:33" ht="26.4">
      <c r="A2250" s="284"/>
      <c r="B2250" s="284"/>
      <c r="C2250" s="284"/>
      <c r="D2250" s="284"/>
      <c r="E2250" s="284"/>
      <c r="F2250" s="284"/>
      <c r="G2250" s="284"/>
      <c r="H2250" s="284"/>
      <c r="I2250" s="284"/>
      <c r="J2250" s="375"/>
      <c r="K2250" s="375"/>
      <c r="L2250" s="375"/>
      <c r="M2250" s="368"/>
      <c r="N2250" s="368"/>
      <c r="O2250" s="370"/>
      <c r="T2250" s="349"/>
      <c r="V2250" s="378"/>
      <c r="W2250" s="64" ph="1"/>
      <c r="X2250" s="241"/>
      <c r="Y2250" s="284"/>
      <c r="Z2250" s="207"/>
      <c r="AA2250" s="284"/>
      <c r="AB2250" s="284"/>
      <c r="AC2250" s="284"/>
      <c r="AD2250" s="284"/>
      <c r="AE2250" s="284"/>
      <c r="AF2250" s="284"/>
      <c r="AG2250" s="284"/>
    </row>
    <row r="2251" spans="1:33" ht="26.4">
      <c r="A2251" s="284"/>
      <c r="B2251" s="284"/>
      <c r="C2251" s="284"/>
      <c r="D2251" s="284"/>
      <c r="E2251" s="284"/>
      <c r="F2251" s="284"/>
      <c r="G2251" s="284"/>
      <c r="H2251" s="284"/>
      <c r="I2251" s="284"/>
      <c r="J2251" s="375"/>
      <c r="K2251" s="375"/>
      <c r="L2251" s="375"/>
      <c r="M2251" s="368"/>
      <c r="N2251" s="368"/>
      <c r="O2251" s="370"/>
      <c r="T2251" s="349"/>
      <c r="V2251" s="378"/>
      <c r="W2251" s="64" ph="1"/>
      <c r="X2251" s="241"/>
      <c r="Y2251" s="284"/>
      <c r="Z2251" s="207"/>
      <c r="AA2251" s="284"/>
      <c r="AB2251" s="284"/>
      <c r="AC2251" s="284"/>
      <c r="AD2251" s="284"/>
      <c r="AE2251" s="284"/>
      <c r="AF2251" s="284"/>
      <c r="AG2251" s="284"/>
    </row>
    <row r="2252" spans="1:33" ht="26.4">
      <c r="A2252" s="284"/>
      <c r="B2252" s="284"/>
      <c r="C2252" s="284"/>
      <c r="D2252" s="284"/>
      <c r="E2252" s="284"/>
      <c r="F2252" s="284"/>
      <c r="G2252" s="284"/>
      <c r="H2252" s="284"/>
      <c r="I2252" s="284"/>
      <c r="J2252" s="375"/>
      <c r="K2252" s="375"/>
      <c r="L2252" s="375"/>
      <c r="M2252" s="368"/>
      <c r="N2252" s="368"/>
      <c r="O2252" s="370"/>
      <c r="T2252" s="349"/>
      <c r="V2252" s="378"/>
      <c r="W2252" s="64" ph="1"/>
      <c r="X2252" s="241"/>
      <c r="Y2252" s="284"/>
      <c r="Z2252" s="207"/>
      <c r="AA2252" s="284"/>
      <c r="AB2252" s="284"/>
      <c r="AC2252" s="284"/>
      <c r="AD2252" s="284"/>
      <c r="AE2252" s="284"/>
      <c r="AF2252" s="284"/>
      <c r="AG2252" s="284"/>
    </row>
    <row r="2253" spans="1:33" ht="26.4">
      <c r="A2253" s="284"/>
      <c r="B2253" s="284"/>
      <c r="C2253" s="284"/>
      <c r="D2253" s="284"/>
      <c r="E2253" s="284"/>
      <c r="F2253" s="284"/>
      <c r="G2253" s="284"/>
      <c r="H2253" s="284"/>
      <c r="I2253" s="284"/>
      <c r="J2253" s="375"/>
      <c r="K2253" s="375"/>
      <c r="L2253" s="375"/>
      <c r="M2253" s="368"/>
      <c r="N2253" s="368"/>
      <c r="O2253" s="370"/>
      <c r="T2253" s="349"/>
      <c r="V2253" s="378"/>
      <c r="W2253" s="64" ph="1"/>
      <c r="X2253" s="241"/>
      <c r="Y2253" s="284"/>
      <c r="Z2253" s="207"/>
      <c r="AA2253" s="284"/>
      <c r="AB2253" s="284"/>
      <c r="AC2253" s="284"/>
      <c r="AD2253" s="284"/>
      <c r="AE2253" s="284"/>
      <c r="AF2253" s="284"/>
      <c r="AG2253" s="284"/>
    </row>
    <row r="2254" spans="1:33" ht="26.4">
      <c r="A2254" s="284"/>
      <c r="B2254" s="284"/>
      <c r="C2254" s="284"/>
      <c r="D2254" s="284"/>
      <c r="E2254" s="284"/>
      <c r="F2254" s="284"/>
      <c r="G2254" s="284"/>
      <c r="H2254" s="284"/>
      <c r="I2254" s="284"/>
      <c r="J2254" s="375"/>
      <c r="K2254" s="375"/>
      <c r="L2254" s="375"/>
      <c r="M2254" s="368"/>
      <c r="N2254" s="368"/>
      <c r="O2254" s="370"/>
      <c r="T2254" s="349"/>
      <c r="V2254" s="378"/>
      <c r="W2254" s="64" ph="1"/>
      <c r="X2254" s="241"/>
      <c r="Y2254" s="284"/>
      <c r="Z2254" s="207"/>
      <c r="AA2254" s="284"/>
      <c r="AB2254" s="284"/>
      <c r="AC2254" s="284"/>
      <c r="AD2254" s="284"/>
      <c r="AE2254" s="284"/>
      <c r="AF2254" s="284"/>
      <c r="AG2254" s="284"/>
    </row>
    <row r="2255" spans="1:33" ht="26.4">
      <c r="A2255" s="284"/>
      <c r="B2255" s="284"/>
      <c r="C2255" s="284"/>
      <c r="D2255" s="284"/>
      <c r="E2255" s="284"/>
      <c r="F2255" s="284"/>
      <c r="G2255" s="284"/>
      <c r="H2255" s="284"/>
      <c r="I2255" s="284"/>
      <c r="J2255" s="375"/>
      <c r="K2255" s="375"/>
      <c r="L2255" s="375"/>
      <c r="M2255" s="368"/>
      <c r="N2255" s="368"/>
      <c r="O2255" s="370"/>
      <c r="T2255" s="349"/>
      <c r="V2255" s="378"/>
      <c r="W2255" s="64" ph="1"/>
      <c r="X2255" s="241"/>
      <c r="Y2255" s="284"/>
      <c r="Z2255" s="207"/>
      <c r="AA2255" s="284"/>
      <c r="AB2255" s="284"/>
      <c r="AC2255" s="284"/>
      <c r="AD2255" s="284"/>
      <c r="AE2255" s="284"/>
      <c r="AF2255" s="284"/>
      <c r="AG2255" s="284"/>
    </row>
    <row r="2256" spans="1:33" ht="26.4">
      <c r="A2256" s="284"/>
      <c r="B2256" s="284"/>
      <c r="C2256" s="284"/>
      <c r="D2256" s="284"/>
      <c r="E2256" s="284"/>
      <c r="F2256" s="284"/>
      <c r="G2256" s="284"/>
      <c r="H2256" s="284"/>
      <c r="I2256" s="284"/>
      <c r="J2256" s="375"/>
      <c r="K2256" s="375"/>
      <c r="L2256" s="375"/>
      <c r="M2256" s="368"/>
      <c r="N2256" s="368"/>
      <c r="O2256" s="370"/>
      <c r="T2256" s="349"/>
      <c r="V2256" s="378"/>
      <c r="W2256" s="64" ph="1"/>
      <c r="X2256" s="241"/>
      <c r="Y2256" s="284"/>
      <c r="Z2256" s="207"/>
      <c r="AA2256" s="284"/>
      <c r="AB2256" s="284"/>
      <c r="AC2256" s="284"/>
      <c r="AD2256" s="284"/>
      <c r="AE2256" s="284"/>
      <c r="AF2256" s="284"/>
      <c r="AG2256" s="284"/>
    </row>
    <row r="2257" spans="1:33" ht="26.4">
      <c r="A2257" s="284"/>
      <c r="B2257" s="284"/>
      <c r="C2257" s="284"/>
      <c r="D2257" s="284"/>
      <c r="E2257" s="284"/>
      <c r="F2257" s="284"/>
      <c r="G2257" s="284"/>
      <c r="H2257" s="284"/>
      <c r="I2257" s="284"/>
      <c r="J2257" s="375"/>
      <c r="K2257" s="375"/>
      <c r="L2257" s="375"/>
      <c r="M2257" s="368"/>
      <c r="N2257" s="368"/>
      <c r="O2257" s="370"/>
      <c r="T2257" s="349"/>
      <c r="V2257" s="378"/>
      <c r="W2257" s="64" ph="1"/>
      <c r="X2257" s="241"/>
      <c r="Y2257" s="284"/>
      <c r="Z2257" s="207"/>
      <c r="AA2257" s="284"/>
      <c r="AB2257" s="284"/>
      <c r="AC2257" s="284"/>
      <c r="AD2257" s="284"/>
      <c r="AE2257" s="284"/>
      <c r="AF2257" s="284"/>
      <c r="AG2257" s="284"/>
    </row>
    <row r="2258" spans="1:33" ht="26.4">
      <c r="A2258" s="284"/>
      <c r="B2258" s="284"/>
      <c r="C2258" s="284"/>
      <c r="D2258" s="284"/>
      <c r="E2258" s="284"/>
      <c r="F2258" s="284"/>
      <c r="G2258" s="284"/>
      <c r="H2258" s="284"/>
      <c r="I2258" s="284"/>
      <c r="J2258" s="375"/>
      <c r="K2258" s="375"/>
      <c r="L2258" s="375"/>
      <c r="M2258" s="368"/>
      <c r="N2258" s="368"/>
      <c r="O2258" s="370"/>
      <c r="T2258" s="349"/>
      <c r="V2258" s="378"/>
      <c r="W2258" s="64" ph="1"/>
      <c r="X2258" s="241"/>
      <c r="Y2258" s="284"/>
      <c r="Z2258" s="207"/>
      <c r="AA2258" s="284"/>
      <c r="AB2258" s="284"/>
      <c r="AC2258" s="284"/>
      <c r="AD2258" s="284"/>
      <c r="AE2258" s="284"/>
      <c r="AF2258" s="284"/>
      <c r="AG2258" s="284"/>
    </row>
    <row r="2259" spans="1:33" ht="26.4">
      <c r="A2259" s="284"/>
      <c r="B2259" s="284"/>
      <c r="C2259" s="284"/>
      <c r="D2259" s="284"/>
      <c r="E2259" s="284"/>
      <c r="F2259" s="284"/>
      <c r="G2259" s="284"/>
      <c r="H2259" s="284"/>
      <c r="I2259" s="284"/>
      <c r="J2259" s="375"/>
      <c r="K2259" s="375"/>
      <c r="L2259" s="375"/>
      <c r="M2259" s="368"/>
      <c r="N2259" s="368"/>
      <c r="O2259" s="370"/>
      <c r="T2259" s="349"/>
      <c r="V2259" s="378"/>
      <c r="W2259" s="64" ph="1"/>
      <c r="X2259" s="241"/>
      <c r="Y2259" s="284"/>
      <c r="Z2259" s="207"/>
      <c r="AA2259" s="284"/>
      <c r="AB2259" s="284"/>
      <c r="AC2259" s="284"/>
      <c r="AD2259" s="284"/>
      <c r="AE2259" s="284"/>
      <c r="AF2259" s="284"/>
      <c r="AG2259" s="284"/>
    </row>
    <row r="2260" spans="1:33" ht="26.4">
      <c r="A2260" s="284"/>
      <c r="B2260" s="284"/>
      <c r="C2260" s="284"/>
      <c r="D2260" s="284"/>
      <c r="E2260" s="284"/>
      <c r="F2260" s="284"/>
      <c r="G2260" s="284"/>
      <c r="H2260" s="284"/>
      <c r="I2260" s="284"/>
      <c r="J2260" s="375"/>
      <c r="K2260" s="375"/>
      <c r="L2260" s="375"/>
      <c r="M2260" s="368"/>
      <c r="N2260" s="368"/>
      <c r="O2260" s="370"/>
      <c r="T2260" s="349"/>
      <c r="V2260" s="378"/>
      <c r="W2260" s="64" ph="1"/>
      <c r="X2260" s="241"/>
      <c r="Y2260" s="284"/>
      <c r="Z2260" s="207"/>
      <c r="AA2260" s="284"/>
      <c r="AB2260" s="284"/>
      <c r="AC2260" s="284"/>
      <c r="AD2260" s="284"/>
      <c r="AE2260" s="284"/>
      <c r="AF2260" s="284"/>
      <c r="AG2260" s="284"/>
    </row>
    <row r="2261" spans="1:33" ht="26.4">
      <c r="A2261" s="284"/>
      <c r="B2261" s="284"/>
      <c r="C2261" s="284"/>
      <c r="D2261" s="284"/>
      <c r="E2261" s="284"/>
      <c r="F2261" s="284"/>
      <c r="G2261" s="284"/>
      <c r="H2261" s="284"/>
      <c r="I2261" s="284"/>
      <c r="J2261" s="375"/>
      <c r="K2261" s="375"/>
      <c r="L2261" s="375"/>
      <c r="M2261" s="368"/>
      <c r="N2261" s="368"/>
      <c r="O2261" s="370"/>
      <c r="T2261" s="349"/>
      <c r="V2261" s="378"/>
      <c r="W2261" s="64" ph="1"/>
      <c r="X2261" s="241"/>
      <c r="Y2261" s="284"/>
      <c r="Z2261" s="207"/>
      <c r="AA2261" s="284"/>
      <c r="AB2261" s="284"/>
      <c r="AC2261" s="284"/>
      <c r="AD2261" s="284"/>
      <c r="AE2261" s="284"/>
      <c r="AF2261" s="284"/>
      <c r="AG2261" s="284"/>
    </row>
    <row r="2262" spans="1:33" ht="26.4">
      <c r="A2262" s="284"/>
      <c r="B2262" s="284"/>
      <c r="C2262" s="284"/>
      <c r="D2262" s="284"/>
      <c r="E2262" s="284"/>
      <c r="F2262" s="284"/>
      <c r="G2262" s="284"/>
      <c r="H2262" s="284"/>
      <c r="I2262" s="284"/>
      <c r="J2262" s="375"/>
      <c r="K2262" s="375"/>
      <c r="L2262" s="375"/>
      <c r="M2262" s="368"/>
      <c r="N2262" s="368"/>
      <c r="O2262" s="370"/>
      <c r="T2262" s="349"/>
      <c r="V2262" s="378"/>
      <c r="W2262" s="64" ph="1"/>
      <c r="X2262" s="241"/>
      <c r="Y2262" s="284"/>
      <c r="Z2262" s="207"/>
      <c r="AA2262" s="284"/>
      <c r="AB2262" s="284"/>
      <c r="AC2262" s="284"/>
      <c r="AD2262" s="284"/>
      <c r="AE2262" s="284"/>
      <c r="AF2262" s="284"/>
      <c r="AG2262" s="284"/>
    </row>
    <row r="2263" spans="1:33" ht="26.4">
      <c r="A2263" s="284"/>
      <c r="B2263" s="284"/>
      <c r="C2263" s="284"/>
      <c r="D2263" s="284"/>
      <c r="E2263" s="284"/>
      <c r="F2263" s="284"/>
      <c r="G2263" s="284"/>
      <c r="H2263" s="284"/>
      <c r="I2263" s="284"/>
      <c r="J2263" s="375"/>
      <c r="K2263" s="375"/>
      <c r="L2263" s="375"/>
      <c r="M2263" s="368"/>
      <c r="N2263" s="368"/>
      <c r="O2263" s="370"/>
      <c r="T2263" s="349"/>
      <c r="V2263" s="378"/>
      <c r="W2263" s="64" ph="1"/>
      <c r="X2263" s="241"/>
      <c r="Y2263" s="284"/>
      <c r="Z2263" s="207"/>
      <c r="AA2263" s="284"/>
      <c r="AB2263" s="284"/>
      <c r="AC2263" s="284"/>
      <c r="AD2263" s="284"/>
      <c r="AE2263" s="284"/>
      <c r="AF2263" s="284"/>
      <c r="AG2263" s="284"/>
    </row>
    <row r="2264" spans="1:33" ht="26.4">
      <c r="A2264" s="284"/>
      <c r="B2264" s="284"/>
      <c r="C2264" s="284"/>
      <c r="D2264" s="284"/>
      <c r="E2264" s="284"/>
      <c r="F2264" s="284"/>
      <c r="G2264" s="284"/>
      <c r="H2264" s="284"/>
      <c r="I2264" s="284"/>
      <c r="J2264" s="375"/>
      <c r="K2264" s="375"/>
      <c r="L2264" s="375"/>
      <c r="M2264" s="368"/>
      <c r="N2264" s="368"/>
      <c r="O2264" s="370"/>
      <c r="T2264" s="349"/>
      <c r="V2264" s="378"/>
      <c r="W2264" s="64" ph="1"/>
      <c r="X2264" s="241"/>
      <c r="Y2264" s="284"/>
      <c r="Z2264" s="207"/>
      <c r="AA2264" s="284"/>
      <c r="AB2264" s="284"/>
      <c r="AC2264" s="284"/>
      <c r="AD2264" s="284"/>
      <c r="AE2264" s="284"/>
      <c r="AF2264" s="284"/>
      <c r="AG2264" s="284"/>
    </row>
    <row r="2265" spans="1:33" ht="26.4">
      <c r="A2265" s="284"/>
      <c r="B2265" s="284"/>
      <c r="C2265" s="284"/>
      <c r="D2265" s="284"/>
      <c r="E2265" s="284"/>
      <c r="F2265" s="284"/>
      <c r="G2265" s="284"/>
      <c r="H2265" s="284"/>
      <c r="I2265" s="284"/>
      <c r="J2265" s="375"/>
      <c r="K2265" s="375"/>
      <c r="L2265" s="375"/>
      <c r="M2265" s="368"/>
      <c r="N2265" s="368"/>
      <c r="O2265" s="370"/>
      <c r="T2265" s="349"/>
      <c r="V2265" s="378"/>
      <c r="W2265" s="64" ph="1"/>
      <c r="X2265" s="241"/>
      <c r="Y2265" s="284"/>
      <c r="Z2265" s="207"/>
      <c r="AA2265" s="284"/>
      <c r="AB2265" s="284"/>
      <c r="AC2265" s="284"/>
      <c r="AD2265" s="284"/>
      <c r="AE2265" s="284"/>
      <c r="AF2265" s="284"/>
      <c r="AG2265" s="284"/>
    </row>
    <row r="2266" spans="1:33" ht="26.4">
      <c r="A2266" s="284"/>
      <c r="B2266" s="284"/>
      <c r="C2266" s="284"/>
      <c r="D2266" s="284"/>
      <c r="E2266" s="284"/>
      <c r="F2266" s="284"/>
      <c r="G2266" s="284"/>
      <c r="H2266" s="284"/>
      <c r="I2266" s="284"/>
      <c r="J2266" s="375"/>
      <c r="K2266" s="375"/>
      <c r="L2266" s="375"/>
      <c r="M2266" s="368"/>
      <c r="N2266" s="368"/>
      <c r="O2266" s="370"/>
      <c r="T2266" s="349"/>
      <c r="V2266" s="378"/>
      <c r="W2266" s="64" ph="1"/>
      <c r="X2266" s="241"/>
      <c r="Y2266" s="284"/>
      <c r="Z2266" s="207"/>
      <c r="AA2266" s="284"/>
      <c r="AB2266" s="284"/>
      <c r="AC2266" s="284"/>
      <c r="AD2266" s="284"/>
      <c r="AE2266" s="284"/>
      <c r="AF2266" s="284"/>
      <c r="AG2266" s="284"/>
    </row>
    <row r="2267" spans="1:33" ht="26.4">
      <c r="A2267" s="284"/>
      <c r="B2267" s="284"/>
      <c r="C2267" s="284"/>
      <c r="D2267" s="284"/>
      <c r="E2267" s="284"/>
      <c r="F2267" s="284"/>
      <c r="G2267" s="284"/>
      <c r="H2267" s="284"/>
      <c r="I2267" s="284"/>
      <c r="J2267" s="375"/>
      <c r="K2267" s="375"/>
      <c r="L2267" s="375"/>
      <c r="M2267" s="368"/>
      <c r="N2267" s="368"/>
      <c r="O2267" s="370"/>
      <c r="T2267" s="349"/>
      <c r="V2267" s="378"/>
      <c r="W2267" s="64" ph="1"/>
      <c r="X2267" s="241"/>
      <c r="Y2267" s="284"/>
      <c r="Z2267" s="207"/>
      <c r="AA2267" s="284"/>
      <c r="AB2267" s="284"/>
      <c r="AC2267" s="284"/>
      <c r="AD2267" s="284"/>
      <c r="AE2267" s="284"/>
      <c r="AF2267" s="284"/>
      <c r="AG2267" s="284"/>
    </row>
    <row r="2268" spans="1:33" ht="26.4">
      <c r="O2268" s="370"/>
      <c r="W2268" s="64" ph="1"/>
    </row>
    <row r="2269" spans="1:33" ht="26.4">
      <c r="O2269" s="370"/>
      <c r="W2269" s="64" ph="1"/>
    </row>
    <row r="2270" spans="1:33" ht="26.4">
      <c r="O2270" s="370"/>
      <c r="W2270" s="64" ph="1"/>
    </row>
    <row r="2271" spans="1:33" ht="26.4">
      <c r="O2271" s="370"/>
      <c r="W2271" s="64" ph="1"/>
    </row>
    <row r="2272" spans="1:33" ht="26.4">
      <c r="O2272" s="370"/>
      <c r="W2272" s="64" ph="1"/>
    </row>
    <row r="2273" spans="15:23" ht="26.4">
      <c r="O2273" s="370"/>
      <c r="W2273" s="64" ph="1"/>
    </row>
    <row r="2274" spans="15:23" ht="26.4">
      <c r="O2274" s="370"/>
      <c r="W2274" s="64" ph="1"/>
    </row>
    <row r="2275" spans="15:23" ht="26.4">
      <c r="O2275" s="370"/>
      <c r="W2275" s="64" ph="1"/>
    </row>
    <row r="2276" spans="15:23" ht="26.4">
      <c r="O2276" s="370"/>
      <c r="W2276" s="64" ph="1"/>
    </row>
    <row r="2277" spans="15:23" ht="26.4">
      <c r="O2277" s="370"/>
      <c r="W2277" s="64" ph="1"/>
    </row>
    <row r="2278" spans="15:23" ht="26.4">
      <c r="O2278" s="370"/>
      <c r="W2278" s="64" ph="1"/>
    </row>
    <row r="2279" spans="15:23" ht="26.4">
      <c r="O2279" s="370"/>
      <c r="W2279" s="64" ph="1"/>
    </row>
    <row r="2280" spans="15:23" ht="26.4">
      <c r="W2280" s="64" ph="1"/>
    </row>
    <row r="2281" spans="15:23" ht="26.4">
      <c r="W2281" s="64" ph="1"/>
    </row>
    <row r="2282" spans="15:23" ht="26.4">
      <c r="W2282" s="64" ph="1"/>
    </row>
    <row r="2283" spans="15:23" ht="26.4">
      <c r="W2283" s="64" ph="1"/>
    </row>
    <row r="2284" spans="15:23" ht="26.4">
      <c r="W2284" s="64" ph="1"/>
    </row>
    <row r="2285" spans="15:23" ht="26.4">
      <c r="W2285" s="64" ph="1"/>
    </row>
    <row r="2286" spans="15:23" ht="26.4">
      <c r="W2286" s="64" ph="1"/>
    </row>
    <row r="2287" spans="15:23" ht="26.4">
      <c r="W2287" s="64" ph="1"/>
    </row>
    <row r="2288" spans="15:23" ht="26.4">
      <c r="W2288" s="64" ph="1"/>
    </row>
    <row r="2289" spans="23:23" ht="26.4">
      <c r="W2289" s="64" ph="1"/>
    </row>
    <row r="2290" spans="23:23" ht="26.4">
      <c r="W2290" s="64" ph="1"/>
    </row>
    <row r="2291" spans="23:23" ht="26.4">
      <c r="W2291" s="64" ph="1"/>
    </row>
    <row r="2292" spans="23:23" ht="26.4">
      <c r="W2292" s="64" ph="1"/>
    </row>
    <row r="2293" spans="23:23" ht="26.4">
      <c r="W2293" s="64" ph="1"/>
    </row>
    <row r="2294" spans="23:23" ht="26.4">
      <c r="W2294" s="64" ph="1"/>
    </row>
    <row r="2295" spans="23:23" ht="26.4">
      <c r="W2295" s="64" ph="1"/>
    </row>
    <row r="2296" spans="23:23" ht="26.4">
      <c r="W2296" s="64" ph="1"/>
    </row>
    <row r="2297" spans="23:23" ht="26.4">
      <c r="W2297" s="64" ph="1"/>
    </row>
    <row r="2298" spans="23:23" ht="26.4">
      <c r="W2298" s="64" ph="1"/>
    </row>
    <row r="2299" spans="23:23" ht="26.4">
      <c r="W2299" s="64" ph="1"/>
    </row>
    <row r="2300" spans="23:23" ht="26.4">
      <c r="W2300" s="64" ph="1"/>
    </row>
    <row r="2301" spans="23:23" ht="26.4">
      <c r="W2301" s="64" ph="1"/>
    </row>
    <row r="2302" spans="23:23" ht="26.4">
      <c r="W2302" s="64" ph="1"/>
    </row>
    <row r="2303" spans="23:23" ht="26.4">
      <c r="W2303" s="64" ph="1"/>
    </row>
    <row r="2304" spans="23:23" ht="26.4">
      <c r="W2304" s="64" ph="1"/>
    </row>
    <row r="2305" spans="23:23" ht="26.4">
      <c r="W2305" s="64" ph="1"/>
    </row>
    <row r="2306" spans="23:23" ht="26.4">
      <c r="W2306" s="64" ph="1"/>
    </row>
    <row r="2307" spans="23:23" ht="26.4">
      <c r="W2307" s="64" ph="1"/>
    </row>
    <row r="2308" spans="23:23" ht="26.4">
      <c r="W2308" s="64" ph="1"/>
    </row>
    <row r="2309" spans="23:23" ht="26.4">
      <c r="W2309" s="64" ph="1"/>
    </row>
    <row r="2310" spans="23:23" ht="26.4">
      <c r="W2310" s="64" ph="1"/>
    </row>
    <row r="2311" spans="23:23" ht="26.4">
      <c r="W2311" s="64" ph="1"/>
    </row>
    <row r="2312" spans="23:23" ht="26.4">
      <c r="W2312" s="64" ph="1"/>
    </row>
    <row r="2313" spans="23:23" ht="26.4">
      <c r="W2313" s="64" ph="1"/>
    </row>
    <row r="2314" spans="23:23" ht="26.4">
      <c r="W2314" s="64" ph="1"/>
    </row>
    <row r="2315" spans="23:23" ht="26.4">
      <c r="W2315" s="64" ph="1"/>
    </row>
    <row r="2316" spans="23:23" ht="26.4">
      <c r="W2316" s="64" ph="1"/>
    </row>
    <row r="2317" spans="23:23" ht="26.4">
      <c r="W2317" s="64" ph="1"/>
    </row>
    <row r="2318" spans="23:23" ht="26.4">
      <c r="W2318" s="64" ph="1"/>
    </row>
    <row r="2319" spans="23:23" ht="26.4">
      <c r="W2319" s="64" ph="1"/>
    </row>
    <row r="2320" spans="23:23" ht="26.4">
      <c r="W2320" s="64" ph="1"/>
    </row>
    <row r="2321" spans="23:23" ht="26.4">
      <c r="W2321" s="64" ph="1"/>
    </row>
    <row r="2322" spans="23:23" ht="26.4">
      <c r="W2322" s="64" ph="1"/>
    </row>
    <row r="2323" spans="23:23" ht="26.4">
      <c r="W2323" s="64" ph="1"/>
    </row>
    <row r="2324" spans="23:23" ht="26.4">
      <c r="W2324" s="64" ph="1"/>
    </row>
    <row r="2325" spans="23:23" ht="26.4">
      <c r="W2325" s="64" ph="1"/>
    </row>
    <row r="2326" spans="23:23" ht="26.4">
      <c r="W2326" s="64" ph="1"/>
    </row>
    <row r="2327" spans="23:23" ht="26.4">
      <c r="W2327" s="64" ph="1"/>
    </row>
    <row r="2328" spans="23:23" ht="26.4">
      <c r="W2328" s="64" ph="1"/>
    </row>
    <row r="2329" spans="23:23" ht="26.4">
      <c r="W2329" s="64" ph="1"/>
    </row>
    <row r="2330" spans="23:23" ht="26.4">
      <c r="W2330" s="64" ph="1"/>
    </row>
    <row r="2331" spans="23:23" ht="26.4">
      <c r="W2331" s="64" ph="1"/>
    </row>
    <row r="2332" spans="23:23" ht="26.4">
      <c r="W2332" s="64" ph="1"/>
    </row>
    <row r="2333" spans="23:23" ht="26.4">
      <c r="W2333" s="64" ph="1"/>
    </row>
    <row r="2334" spans="23:23" ht="26.4">
      <c r="W2334" s="64" ph="1"/>
    </row>
    <row r="2335" spans="23:23" ht="26.4">
      <c r="W2335" s="64" ph="1"/>
    </row>
    <row r="2336" spans="23:23" ht="26.4">
      <c r="W2336" s="64" ph="1"/>
    </row>
    <row r="2337" spans="23:23" ht="26.4">
      <c r="W2337" s="64" ph="1"/>
    </row>
    <row r="2338" spans="23:23" ht="26.4">
      <c r="W2338" s="64" ph="1"/>
    </row>
    <row r="2339" spans="23:23" ht="26.4">
      <c r="W2339" s="64" ph="1"/>
    </row>
    <row r="2340" spans="23:23" ht="26.4">
      <c r="W2340" s="64" ph="1"/>
    </row>
    <row r="2341" spans="23:23" ht="26.4">
      <c r="W2341" s="64" ph="1"/>
    </row>
    <row r="2342" spans="23:23" ht="26.4">
      <c r="W2342" s="64" ph="1"/>
    </row>
    <row r="2343" spans="23:23" ht="26.4">
      <c r="W2343" s="64" ph="1"/>
    </row>
    <row r="2344" spans="23:23" ht="26.4">
      <c r="W2344" s="64" ph="1"/>
    </row>
    <row r="2345" spans="23:23" ht="26.4">
      <c r="W2345" s="64" ph="1"/>
    </row>
    <row r="2346" spans="23:23" ht="26.4">
      <c r="W2346" s="64" ph="1"/>
    </row>
    <row r="2347" spans="23:23" ht="26.4">
      <c r="W2347" s="64" ph="1"/>
    </row>
    <row r="2348" spans="23:23" ht="26.4">
      <c r="W2348" s="64" ph="1"/>
    </row>
    <row r="2349" spans="23:23" ht="26.4">
      <c r="W2349" s="64" ph="1"/>
    </row>
    <row r="2350" spans="23:23" ht="26.4">
      <c r="W2350" s="64" ph="1"/>
    </row>
    <row r="2351" spans="23:23" ht="26.4">
      <c r="W2351" s="64" ph="1"/>
    </row>
    <row r="2352" spans="23:23" ht="26.4">
      <c r="W2352" s="64" ph="1"/>
    </row>
    <row r="2353" spans="23:23" ht="26.4">
      <c r="W2353" s="64" ph="1"/>
    </row>
    <row r="2354" spans="23:23" ht="26.4">
      <c r="W2354" s="64" ph="1"/>
    </row>
    <row r="2355" spans="23:23" ht="26.4">
      <c r="W2355" s="64" ph="1"/>
    </row>
    <row r="2356" spans="23:23" ht="26.4">
      <c r="W2356" s="64" ph="1"/>
    </row>
    <row r="2357" spans="23:23" ht="26.4">
      <c r="W2357" s="64" ph="1"/>
    </row>
    <row r="2358" spans="23:23" ht="26.4">
      <c r="W2358" s="64" ph="1"/>
    </row>
    <row r="2359" spans="23:23" ht="26.4">
      <c r="W2359" s="64" ph="1"/>
    </row>
    <row r="2360" spans="23:23" ht="26.4">
      <c r="W2360" s="64" ph="1"/>
    </row>
    <row r="2361" spans="23:23" ht="26.4">
      <c r="W2361" s="64" ph="1"/>
    </row>
    <row r="2362" spans="23:23" ht="26.4">
      <c r="W2362" s="64" ph="1"/>
    </row>
    <row r="2363" spans="23:23" ht="26.4">
      <c r="W2363" s="64" ph="1"/>
    </row>
    <row r="2364" spans="23:23" ht="26.4">
      <c r="W2364" s="64" ph="1"/>
    </row>
    <row r="2365" spans="23:23" ht="26.4">
      <c r="W2365" s="64" ph="1"/>
    </row>
    <row r="2366" spans="23:23" ht="26.4">
      <c r="W2366" s="64" ph="1"/>
    </row>
    <row r="2367" spans="23:23" ht="26.4">
      <c r="W2367" s="64" ph="1"/>
    </row>
    <row r="2368" spans="23:23" ht="26.4">
      <c r="W2368" s="64" ph="1"/>
    </row>
    <row r="2369" spans="23:23" ht="26.4">
      <c r="W2369" s="64" ph="1"/>
    </row>
    <row r="2370" spans="23:23" ht="26.4">
      <c r="W2370" s="64" ph="1"/>
    </row>
    <row r="2371" spans="23:23" ht="26.4">
      <c r="W2371" s="64" ph="1"/>
    </row>
    <row r="2372" spans="23:23" ht="26.4">
      <c r="W2372" s="64" ph="1"/>
    </row>
    <row r="2373" spans="23:23" ht="26.4">
      <c r="W2373" s="64" ph="1"/>
    </row>
    <row r="2374" spans="23:23" ht="26.4">
      <c r="W2374" s="64" ph="1"/>
    </row>
    <row r="2375" spans="23:23" ht="26.4">
      <c r="W2375" s="64" ph="1"/>
    </row>
    <row r="2376" spans="23:23" ht="26.4">
      <c r="W2376" s="64" ph="1"/>
    </row>
    <row r="2377" spans="23:23" ht="26.4">
      <c r="W2377" s="64" ph="1"/>
    </row>
    <row r="2378" spans="23:23" ht="26.4">
      <c r="W2378" s="64" ph="1"/>
    </row>
    <row r="2379" spans="23:23" ht="26.4">
      <c r="W2379" s="64" ph="1"/>
    </row>
    <row r="2380" spans="23:23" ht="26.4">
      <c r="W2380" s="64" ph="1"/>
    </row>
    <row r="2381" spans="23:23" ht="26.4">
      <c r="W2381" s="64" ph="1"/>
    </row>
    <row r="2382" spans="23:23" ht="26.4">
      <c r="W2382" s="64" ph="1"/>
    </row>
    <row r="2383" spans="23:23" ht="26.4">
      <c r="W2383" s="64" ph="1"/>
    </row>
    <row r="2384" spans="23:23" ht="26.4">
      <c r="W2384" s="64" ph="1"/>
    </row>
    <row r="2385" spans="23:23" ht="26.4">
      <c r="W2385" s="64" ph="1"/>
    </row>
    <row r="2386" spans="23:23" ht="26.4">
      <c r="W2386" s="64" ph="1"/>
    </row>
    <row r="2387" spans="23:23" ht="26.4">
      <c r="W2387" s="64" ph="1"/>
    </row>
    <row r="2388" spans="23:23" ht="26.4">
      <c r="W2388" s="64" ph="1"/>
    </row>
    <row r="2389" spans="23:23" ht="26.4">
      <c r="W2389" s="64" ph="1"/>
    </row>
    <row r="2390" spans="23:23" ht="26.4">
      <c r="W2390" s="64" ph="1"/>
    </row>
    <row r="2391" spans="23:23" ht="26.4">
      <c r="W2391" s="64" ph="1"/>
    </row>
    <row r="2392" spans="23:23" ht="26.4">
      <c r="W2392" s="64" ph="1"/>
    </row>
    <row r="2393" spans="23:23" ht="26.4">
      <c r="W2393" s="64" ph="1"/>
    </row>
    <row r="2394" spans="23:23" ht="26.4">
      <c r="W2394" s="64" ph="1"/>
    </row>
    <row r="2395" spans="23:23" ht="26.4">
      <c r="W2395" s="64" ph="1"/>
    </row>
    <row r="2396" spans="23:23" ht="26.4">
      <c r="W2396" s="64" ph="1"/>
    </row>
    <row r="2397" spans="23:23" ht="26.4">
      <c r="W2397" s="64" ph="1"/>
    </row>
    <row r="2398" spans="23:23" ht="26.4">
      <c r="W2398" s="64" ph="1"/>
    </row>
    <row r="2399" spans="23:23" ht="26.4">
      <c r="W2399" s="64" ph="1"/>
    </row>
    <row r="2400" spans="23:23" ht="26.4">
      <c r="W2400" s="64" ph="1"/>
    </row>
    <row r="2401" spans="23:23" ht="26.4">
      <c r="W2401" s="64" ph="1"/>
    </row>
    <row r="2402" spans="23:23" ht="26.4">
      <c r="W2402" s="64" ph="1"/>
    </row>
    <row r="2403" spans="23:23" ht="26.4">
      <c r="W2403" s="64" ph="1"/>
    </row>
    <row r="2404" spans="23:23" ht="26.4">
      <c r="W2404" s="64" ph="1"/>
    </row>
    <row r="2405" spans="23:23" ht="26.4">
      <c r="W2405" s="64" ph="1"/>
    </row>
    <row r="2406" spans="23:23" ht="26.4">
      <c r="W2406" s="64" ph="1"/>
    </row>
    <row r="2407" spans="23:23" ht="26.4">
      <c r="W2407" s="64" ph="1"/>
    </row>
    <row r="2408" spans="23:23" ht="26.4">
      <c r="W2408" s="64" ph="1"/>
    </row>
    <row r="2409" spans="23:23" ht="26.4">
      <c r="W2409" s="64" ph="1"/>
    </row>
    <row r="2410" spans="23:23" ht="26.4">
      <c r="W2410" s="64" ph="1"/>
    </row>
    <row r="2411" spans="23:23" ht="26.4">
      <c r="W2411" s="64" ph="1"/>
    </row>
    <row r="2412" spans="23:23" ht="26.4">
      <c r="W2412" s="64" ph="1"/>
    </row>
    <row r="2413" spans="23:23" ht="26.4">
      <c r="W2413" s="64" ph="1"/>
    </row>
    <row r="2414" spans="23:23" ht="26.4">
      <c r="W2414" s="64" ph="1"/>
    </row>
    <row r="2415" spans="23:23" ht="26.4">
      <c r="W2415" s="64" ph="1"/>
    </row>
    <row r="2416" spans="23:23" ht="26.4">
      <c r="W2416" s="64" ph="1"/>
    </row>
    <row r="2417" spans="23:23" ht="26.4">
      <c r="W2417" s="64" ph="1"/>
    </row>
    <row r="2418" spans="23:23" ht="26.4">
      <c r="W2418" s="64" ph="1"/>
    </row>
    <row r="2419" spans="23:23" ht="26.4">
      <c r="W2419" s="64" ph="1"/>
    </row>
    <row r="2420" spans="23:23" ht="26.4">
      <c r="W2420" s="64" ph="1"/>
    </row>
    <row r="2421" spans="23:23" ht="26.4">
      <c r="W2421" s="64" ph="1"/>
    </row>
    <row r="2422" spans="23:23" ht="26.4">
      <c r="W2422" s="64" ph="1"/>
    </row>
    <row r="2423" spans="23:23" ht="26.4">
      <c r="W2423" s="64" ph="1"/>
    </row>
    <row r="2424" spans="23:23" ht="26.4">
      <c r="W2424" s="64" ph="1"/>
    </row>
    <row r="2425" spans="23:23" ht="26.4">
      <c r="W2425" s="64" ph="1"/>
    </row>
    <row r="2426" spans="23:23" ht="26.4">
      <c r="W2426" s="64" ph="1"/>
    </row>
    <row r="2427" spans="23:23" ht="26.4">
      <c r="W2427" s="64" ph="1"/>
    </row>
    <row r="2428" spans="23:23" ht="26.4">
      <c r="W2428" s="64" ph="1"/>
    </row>
    <row r="2429" spans="23:23" ht="26.4">
      <c r="W2429" s="64" ph="1"/>
    </row>
    <row r="2430" spans="23:23" ht="26.4">
      <c r="W2430" s="64" ph="1"/>
    </row>
    <row r="2431" spans="23:23" ht="26.4">
      <c r="W2431" s="64" ph="1"/>
    </row>
    <row r="2432" spans="23:23" ht="26.4">
      <c r="W2432" s="64" ph="1"/>
    </row>
    <row r="2433" spans="23:23" ht="26.4">
      <c r="W2433" s="64" ph="1"/>
    </row>
    <row r="2434" spans="23:23" ht="26.4">
      <c r="W2434" s="64" ph="1"/>
    </row>
    <row r="2435" spans="23:23" ht="26.4">
      <c r="W2435" s="64" ph="1"/>
    </row>
    <row r="2436" spans="23:23" ht="26.4">
      <c r="W2436" s="64" ph="1"/>
    </row>
    <row r="2437" spans="23:23" ht="26.4">
      <c r="W2437" s="64" ph="1"/>
    </row>
    <row r="2438" spans="23:23" ht="26.4">
      <c r="W2438" s="64" ph="1"/>
    </row>
    <row r="2439" spans="23:23" ht="26.4">
      <c r="W2439" s="64" ph="1"/>
    </row>
    <row r="2440" spans="23:23" ht="26.4">
      <c r="W2440" s="64" ph="1"/>
    </row>
    <row r="2441" spans="23:23" ht="26.4">
      <c r="W2441" s="64" ph="1"/>
    </row>
    <row r="2442" spans="23:23" ht="26.4">
      <c r="W2442" s="64" ph="1"/>
    </row>
    <row r="2443" spans="23:23" ht="26.4">
      <c r="W2443" s="64" ph="1"/>
    </row>
    <row r="2444" spans="23:23" ht="26.4">
      <c r="W2444" s="64" ph="1"/>
    </row>
    <row r="2445" spans="23:23" ht="26.4">
      <c r="W2445" s="64" ph="1"/>
    </row>
    <row r="2446" spans="23:23" ht="26.4">
      <c r="W2446" s="64" ph="1"/>
    </row>
    <row r="2447" spans="23:23" ht="26.4">
      <c r="W2447" s="64" ph="1"/>
    </row>
    <row r="2448" spans="23:23" ht="26.4">
      <c r="W2448" s="64" ph="1"/>
    </row>
    <row r="2449" spans="23:23" ht="26.4">
      <c r="W2449" s="64" ph="1"/>
    </row>
    <row r="2450" spans="23:23" ht="26.4">
      <c r="W2450" s="64" ph="1"/>
    </row>
    <row r="2451" spans="23:23" ht="26.4">
      <c r="W2451" s="64" ph="1"/>
    </row>
    <row r="2452" spans="23:23" ht="26.4">
      <c r="W2452" s="64" ph="1"/>
    </row>
    <row r="2453" spans="23:23" ht="26.4">
      <c r="W2453" s="64" ph="1"/>
    </row>
    <row r="2454" spans="23:23" ht="26.4">
      <c r="W2454" s="64" ph="1"/>
    </row>
    <row r="2455" spans="23:23" ht="26.4">
      <c r="W2455" s="64" ph="1"/>
    </row>
    <row r="2456" spans="23:23" ht="26.4">
      <c r="W2456" s="64" ph="1"/>
    </row>
    <row r="2457" spans="23:23" ht="26.4">
      <c r="W2457" s="64" ph="1"/>
    </row>
    <row r="2458" spans="23:23" ht="26.4">
      <c r="W2458" s="64" ph="1"/>
    </row>
    <row r="2459" spans="23:23" ht="26.4">
      <c r="W2459" s="64" ph="1"/>
    </row>
    <row r="2460" spans="23:23" ht="26.4">
      <c r="W2460" s="64" ph="1"/>
    </row>
    <row r="2461" spans="23:23" ht="26.4">
      <c r="W2461" s="64" ph="1"/>
    </row>
    <row r="2462" spans="23:23" ht="26.4">
      <c r="W2462" s="64" ph="1"/>
    </row>
    <row r="2463" spans="23:23" ht="26.4">
      <c r="W2463" s="64" ph="1"/>
    </row>
    <row r="2464" spans="23:23" ht="26.4">
      <c r="W2464" s="64" ph="1"/>
    </row>
    <row r="2465" spans="23:23" ht="26.4">
      <c r="W2465" s="64" ph="1"/>
    </row>
    <row r="2466" spans="23:23" ht="26.4">
      <c r="W2466" s="64" ph="1"/>
    </row>
    <row r="2467" spans="23:23" ht="26.4">
      <c r="W2467" s="64" ph="1"/>
    </row>
    <row r="2468" spans="23:23" ht="26.4">
      <c r="W2468" s="64" ph="1"/>
    </row>
    <row r="2469" spans="23:23" ht="26.4">
      <c r="W2469" s="64" ph="1"/>
    </row>
    <row r="2470" spans="23:23" ht="26.4">
      <c r="W2470" s="64" ph="1"/>
    </row>
    <row r="2471" spans="23:23" ht="26.4">
      <c r="W2471" s="64" ph="1"/>
    </row>
    <row r="2472" spans="23:23" ht="26.4">
      <c r="W2472" s="64" ph="1"/>
    </row>
    <row r="2473" spans="23:23" ht="26.4">
      <c r="W2473" s="64" ph="1"/>
    </row>
    <row r="2474" spans="23:23" ht="26.4">
      <c r="W2474" s="64" ph="1"/>
    </row>
    <row r="2475" spans="23:23" ht="26.4">
      <c r="W2475" s="64" ph="1"/>
    </row>
    <row r="2476" spans="23:23" ht="26.4">
      <c r="W2476" s="64" ph="1"/>
    </row>
    <row r="2477" spans="23:23" ht="26.4">
      <c r="W2477" s="64" ph="1"/>
    </row>
    <row r="2478" spans="23:23" ht="26.4">
      <c r="W2478" s="64" ph="1"/>
    </row>
    <row r="2479" spans="23:23" ht="26.4">
      <c r="W2479" s="64" ph="1"/>
    </row>
    <row r="2480" spans="23:23" ht="26.4">
      <c r="W2480" s="64" ph="1"/>
    </row>
    <row r="2481" spans="23:23" ht="26.4">
      <c r="W2481" s="64" ph="1"/>
    </row>
    <row r="2482" spans="23:23" ht="26.4">
      <c r="W2482" s="64" ph="1"/>
    </row>
    <row r="2483" spans="23:23" ht="26.4">
      <c r="W2483" s="64" ph="1"/>
    </row>
    <row r="2484" spans="23:23" ht="26.4">
      <c r="W2484" s="64" ph="1"/>
    </row>
    <row r="2485" spans="23:23" ht="26.4">
      <c r="W2485" s="64" ph="1"/>
    </row>
    <row r="2486" spans="23:23" ht="26.4">
      <c r="W2486" s="64" ph="1"/>
    </row>
    <row r="2487" spans="23:23" ht="26.4">
      <c r="W2487" s="64" ph="1"/>
    </row>
    <row r="2488" spans="23:23" ht="26.4">
      <c r="W2488" s="64" ph="1"/>
    </row>
    <row r="2489" spans="23:23" ht="26.4">
      <c r="W2489" s="64" ph="1"/>
    </row>
    <row r="2490" spans="23:23" ht="26.4">
      <c r="W2490" s="64" ph="1"/>
    </row>
    <row r="2491" spans="23:23" ht="26.4">
      <c r="W2491" s="64" ph="1"/>
    </row>
    <row r="2492" spans="23:23" ht="26.4">
      <c r="W2492" s="64" ph="1"/>
    </row>
    <row r="2493" spans="23:23" ht="26.4">
      <c r="W2493" s="64" ph="1"/>
    </row>
    <row r="2494" spans="23:23" ht="26.4">
      <c r="W2494" s="64" ph="1"/>
    </row>
    <row r="2495" spans="23:23" ht="26.4">
      <c r="W2495" s="64" ph="1"/>
    </row>
    <row r="2496" spans="23:23" ht="26.4">
      <c r="W2496" s="64" ph="1"/>
    </row>
    <row r="2497" spans="23:23" ht="26.4">
      <c r="W2497" s="64" ph="1"/>
    </row>
    <row r="2498" spans="23:23" ht="26.4">
      <c r="W2498" s="64" ph="1"/>
    </row>
    <row r="2499" spans="23:23" ht="26.4">
      <c r="W2499" s="64" ph="1"/>
    </row>
    <row r="2500" spans="23:23" ht="26.4">
      <c r="W2500" s="64" ph="1"/>
    </row>
    <row r="2501" spans="23:23" ht="26.4">
      <c r="W2501" s="64" ph="1"/>
    </row>
    <row r="2502" spans="23:23" ht="26.4">
      <c r="W2502" s="64" ph="1"/>
    </row>
    <row r="2503" spans="23:23" ht="26.4">
      <c r="W2503" s="64" ph="1"/>
    </row>
    <row r="2504" spans="23:23" ht="26.4">
      <c r="W2504" s="64" ph="1"/>
    </row>
    <row r="2505" spans="23:23" ht="26.4">
      <c r="W2505" s="64" ph="1"/>
    </row>
    <row r="2506" spans="23:23" ht="26.4">
      <c r="W2506" s="64" ph="1"/>
    </row>
    <row r="2507" spans="23:23" ht="26.4">
      <c r="W2507" s="64" ph="1"/>
    </row>
    <row r="2508" spans="23:23" ht="26.4">
      <c r="W2508" s="64" ph="1"/>
    </row>
    <row r="2509" spans="23:23" ht="26.4">
      <c r="W2509" s="64" ph="1"/>
    </row>
    <row r="2510" spans="23:23" ht="26.4">
      <c r="W2510" s="64" ph="1"/>
    </row>
    <row r="2511" spans="23:23" ht="26.4">
      <c r="W2511" s="64" ph="1"/>
    </row>
    <row r="2512" spans="23:23" ht="26.4">
      <c r="W2512" s="64" ph="1"/>
    </row>
    <row r="2513" spans="23:23" ht="26.4">
      <c r="W2513" s="64" ph="1"/>
    </row>
    <row r="2514" spans="23:23" ht="26.4">
      <c r="W2514" s="64" ph="1"/>
    </row>
    <row r="2515" spans="23:23" ht="26.4">
      <c r="W2515" s="64" ph="1"/>
    </row>
    <row r="2516" spans="23:23" ht="26.4">
      <c r="W2516" s="64" ph="1"/>
    </row>
    <row r="2517" spans="23:23" ht="26.4">
      <c r="W2517" s="64" ph="1"/>
    </row>
    <row r="2518" spans="23:23" ht="26.4">
      <c r="W2518" s="64" ph="1"/>
    </row>
    <row r="2519" spans="23:23" ht="26.4">
      <c r="W2519" s="64" ph="1"/>
    </row>
    <row r="2520" spans="23:23" ht="26.4">
      <c r="W2520" s="64" ph="1"/>
    </row>
    <row r="2521" spans="23:23" ht="26.4">
      <c r="W2521" s="64" ph="1"/>
    </row>
    <row r="2522" spans="23:23" ht="26.4">
      <c r="W2522" s="64" ph="1"/>
    </row>
    <row r="2523" spans="23:23" ht="26.4">
      <c r="W2523" s="64" ph="1"/>
    </row>
    <row r="2524" spans="23:23" ht="26.4">
      <c r="W2524" s="64" ph="1"/>
    </row>
    <row r="2525" spans="23:23" ht="26.4">
      <c r="W2525" s="64" ph="1"/>
    </row>
    <row r="2526" spans="23:23" ht="26.4">
      <c r="W2526" s="64" ph="1"/>
    </row>
    <row r="2527" spans="23:23" ht="26.4">
      <c r="W2527" s="64" ph="1"/>
    </row>
    <row r="2528" spans="23:23" ht="26.4">
      <c r="W2528" s="64" ph="1"/>
    </row>
    <row r="2529" spans="23:23" ht="26.4">
      <c r="W2529" s="64" ph="1"/>
    </row>
    <row r="2530" spans="23:23" ht="26.4">
      <c r="W2530" s="64" ph="1"/>
    </row>
    <row r="2531" spans="23:23" ht="26.4">
      <c r="W2531" s="64" ph="1"/>
    </row>
    <row r="2532" spans="23:23" ht="26.4">
      <c r="W2532" s="64" ph="1"/>
    </row>
    <row r="2533" spans="23:23" ht="26.4">
      <c r="W2533" s="64" ph="1"/>
    </row>
    <row r="2534" spans="23:23" ht="26.4">
      <c r="W2534" s="64" ph="1"/>
    </row>
    <row r="2535" spans="23:23" ht="26.4">
      <c r="W2535" s="64" ph="1"/>
    </row>
    <row r="2536" spans="23:23" ht="26.4">
      <c r="W2536" s="64" ph="1"/>
    </row>
    <row r="2537" spans="23:23" ht="26.4">
      <c r="W2537" s="64" ph="1"/>
    </row>
    <row r="2538" spans="23:23" ht="26.4">
      <c r="W2538" s="64" ph="1"/>
    </row>
    <row r="2539" spans="23:23" ht="26.4">
      <c r="W2539" s="64" ph="1"/>
    </row>
    <row r="2540" spans="23:23" ht="26.4">
      <c r="W2540" s="64" ph="1"/>
    </row>
    <row r="2541" spans="23:23" ht="26.4">
      <c r="W2541" s="64" ph="1"/>
    </row>
    <row r="2542" spans="23:23" ht="26.4">
      <c r="W2542" s="64" ph="1"/>
    </row>
    <row r="2543" spans="23:23" ht="26.4">
      <c r="W2543" s="64" ph="1"/>
    </row>
    <row r="2544" spans="23:23" ht="26.4">
      <c r="W2544" s="64" ph="1"/>
    </row>
    <row r="2545" spans="23:23" ht="26.4">
      <c r="W2545" s="64" ph="1"/>
    </row>
    <row r="2546" spans="23:23" ht="26.4">
      <c r="W2546" s="64" ph="1"/>
    </row>
    <row r="2547" spans="23:23" ht="26.4">
      <c r="W2547" s="64" ph="1"/>
    </row>
    <row r="2548" spans="23:23" ht="26.4">
      <c r="W2548" s="64" ph="1"/>
    </row>
    <row r="2549" spans="23:23" ht="26.4">
      <c r="W2549" s="64" ph="1"/>
    </row>
    <row r="2550" spans="23:23" ht="26.4">
      <c r="W2550" s="64" ph="1"/>
    </row>
    <row r="2551" spans="23:23" ht="26.4">
      <c r="W2551" s="64" ph="1"/>
    </row>
    <row r="2552" spans="23:23" ht="26.4">
      <c r="W2552" s="64" ph="1"/>
    </row>
    <row r="2553" spans="23:23" ht="26.4">
      <c r="W2553" s="64" ph="1"/>
    </row>
    <row r="2554" spans="23:23" ht="26.4">
      <c r="W2554" s="64" ph="1"/>
    </row>
    <row r="2555" spans="23:23" ht="26.4">
      <c r="W2555" s="64" ph="1"/>
    </row>
    <row r="2556" spans="23:23" ht="26.4">
      <c r="W2556" s="64" ph="1"/>
    </row>
    <row r="2557" spans="23:23" ht="26.4">
      <c r="W2557" s="64" ph="1"/>
    </row>
    <row r="2558" spans="23:23" ht="26.4">
      <c r="W2558" s="64" ph="1"/>
    </row>
    <row r="2559" spans="23:23" ht="26.4">
      <c r="W2559" s="64" ph="1"/>
    </row>
    <row r="2560" spans="23:23" ht="26.4">
      <c r="W2560" s="64" ph="1"/>
    </row>
    <row r="2561" spans="23:23" ht="26.4">
      <c r="W2561" s="64" ph="1"/>
    </row>
    <row r="2562" spans="23:23" ht="26.4">
      <c r="W2562" s="64" ph="1"/>
    </row>
    <row r="2563" spans="23:23" ht="26.4">
      <c r="W2563" s="64" ph="1"/>
    </row>
    <row r="2564" spans="23:23" ht="26.4">
      <c r="W2564" s="64" ph="1"/>
    </row>
    <row r="2565" spans="23:23" ht="26.4">
      <c r="W2565" s="64" ph="1"/>
    </row>
    <row r="2566" spans="23:23" ht="26.4">
      <c r="W2566" s="64" ph="1"/>
    </row>
    <row r="2567" spans="23:23" ht="26.4">
      <c r="W2567" s="64" ph="1"/>
    </row>
    <row r="2568" spans="23:23" ht="26.4">
      <c r="W2568" s="64" ph="1"/>
    </row>
    <row r="2569" spans="23:23" ht="26.4">
      <c r="W2569" s="64" ph="1"/>
    </row>
    <row r="2570" spans="23:23" ht="26.4">
      <c r="W2570" s="64" ph="1"/>
    </row>
    <row r="2571" spans="23:23" ht="26.4">
      <c r="W2571" s="64" ph="1"/>
    </row>
    <row r="2572" spans="23:23" ht="26.4">
      <c r="W2572" s="64" ph="1"/>
    </row>
    <row r="2573" spans="23:23" ht="26.4">
      <c r="W2573" s="64" ph="1"/>
    </row>
    <row r="2574" spans="23:23" ht="26.4">
      <c r="W2574" s="64" ph="1"/>
    </row>
    <row r="2575" spans="23:23" ht="26.4">
      <c r="W2575" s="64" ph="1"/>
    </row>
    <row r="2576" spans="23:23" ht="26.4">
      <c r="W2576" s="64" ph="1"/>
    </row>
    <row r="2577" spans="23:23" ht="26.4">
      <c r="W2577" s="64" ph="1"/>
    </row>
    <row r="2578" spans="23:23" ht="26.4">
      <c r="W2578" s="64" ph="1"/>
    </row>
    <row r="2579" spans="23:23" ht="26.4">
      <c r="W2579" s="64" ph="1"/>
    </row>
    <row r="2580" spans="23:23" ht="26.4">
      <c r="W2580" s="64" ph="1"/>
    </row>
    <row r="2581" spans="23:23" ht="26.4">
      <c r="W2581" s="64" ph="1"/>
    </row>
    <row r="2582" spans="23:23" ht="26.4">
      <c r="W2582" s="64" ph="1"/>
    </row>
    <row r="2583" spans="23:23" ht="26.4">
      <c r="W2583" s="64" ph="1"/>
    </row>
    <row r="2584" spans="23:23" ht="26.4">
      <c r="W2584" s="64" ph="1"/>
    </row>
    <row r="2585" spans="23:23" ht="26.4">
      <c r="W2585" s="64" ph="1"/>
    </row>
    <row r="2586" spans="23:23" ht="26.4">
      <c r="W2586" s="64" ph="1"/>
    </row>
    <row r="2587" spans="23:23" ht="26.4">
      <c r="W2587" s="64" ph="1"/>
    </row>
    <row r="2588" spans="23:23" ht="26.4">
      <c r="W2588" s="64" ph="1"/>
    </row>
    <row r="2589" spans="23:23" ht="26.4">
      <c r="W2589" s="64" ph="1"/>
    </row>
    <row r="2590" spans="23:23" ht="26.4">
      <c r="W2590" s="64" ph="1"/>
    </row>
    <row r="2591" spans="23:23" ht="26.4">
      <c r="W2591" s="64" ph="1"/>
    </row>
    <row r="2592" spans="23:23" ht="26.4">
      <c r="W2592" s="64" ph="1"/>
    </row>
    <row r="2593" spans="23:23" ht="26.4">
      <c r="W2593" s="64" ph="1"/>
    </row>
    <row r="2594" spans="23:23" ht="26.4">
      <c r="W2594" s="64" ph="1"/>
    </row>
    <row r="2595" spans="23:23" ht="26.4">
      <c r="W2595" s="64" ph="1"/>
    </row>
    <row r="2596" spans="23:23" ht="26.4">
      <c r="W2596" s="64" ph="1"/>
    </row>
    <row r="2597" spans="23:23" ht="26.4">
      <c r="W2597" s="64" ph="1"/>
    </row>
    <row r="2598" spans="23:23" ht="26.4">
      <c r="W2598" s="64" ph="1"/>
    </row>
    <row r="2599" spans="23:23" ht="26.4">
      <c r="W2599" s="64" ph="1"/>
    </row>
    <row r="2600" spans="23:23" ht="26.4">
      <c r="W2600" s="64" ph="1"/>
    </row>
    <row r="2601" spans="23:23" ht="26.4">
      <c r="W2601" s="64" ph="1"/>
    </row>
    <row r="2602" spans="23:23" ht="26.4">
      <c r="W2602" s="64" ph="1"/>
    </row>
    <row r="2603" spans="23:23" ht="26.4">
      <c r="W2603" s="64" ph="1"/>
    </row>
    <row r="2604" spans="23:23" ht="26.4">
      <c r="W2604" s="64" ph="1"/>
    </row>
    <row r="2605" spans="23:23" ht="26.4">
      <c r="W2605" s="64" ph="1"/>
    </row>
    <row r="2606" spans="23:23" ht="26.4">
      <c r="W2606" s="64" ph="1"/>
    </row>
    <row r="2607" spans="23:23" ht="26.4">
      <c r="W2607" s="64" ph="1"/>
    </row>
    <row r="2608" spans="23:23" ht="26.4">
      <c r="W2608" s="64" ph="1"/>
    </row>
    <row r="2609" spans="23:23" ht="26.4">
      <c r="W2609" s="64" ph="1"/>
    </row>
    <row r="2610" spans="23:23" ht="26.4">
      <c r="W2610" s="64" ph="1"/>
    </row>
    <row r="2611" spans="23:23" ht="26.4">
      <c r="W2611" s="64" ph="1"/>
    </row>
    <row r="2612" spans="23:23" ht="26.4">
      <c r="W2612" s="64" ph="1"/>
    </row>
    <row r="2613" spans="23:23" ht="26.4">
      <c r="W2613" s="64" ph="1"/>
    </row>
    <row r="2614" spans="23:23" ht="26.4">
      <c r="W2614" s="64" ph="1"/>
    </row>
    <row r="2615" spans="23:23" ht="26.4">
      <c r="W2615" s="64" ph="1"/>
    </row>
    <row r="2616" spans="23:23" ht="26.4">
      <c r="W2616" s="64" ph="1"/>
    </row>
    <row r="2617" spans="23:23" ht="26.4">
      <c r="W2617" s="64" ph="1"/>
    </row>
    <row r="2618" spans="23:23" ht="26.4">
      <c r="W2618" s="64" ph="1"/>
    </row>
    <row r="2619" spans="23:23" ht="26.4">
      <c r="W2619" s="64" ph="1"/>
    </row>
    <row r="2620" spans="23:23" ht="26.4">
      <c r="W2620" s="64" ph="1"/>
    </row>
    <row r="2621" spans="23:23" ht="26.4">
      <c r="W2621" s="64" ph="1"/>
    </row>
    <row r="2622" spans="23:23" ht="26.4">
      <c r="W2622" s="64" ph="1"/>
    </row>
    <row r="2623" spans="23:23" ht="26.4">
      <c r="W2623" s="64" ph="1"/>
    </row>
    <row r="2624" spans="23:23" ht="26.4">
      <c r="W2624" s="64" ph="1"/>
    </row>
    <row r="2625" spans="23:23" ht="26.4">
      <c r="W2625" s="64" ph="1"/>
    </row>
    <row r="2626" spans="23:23" ht="26.4">
      <c r="W2626" s="64" ph="1"/>
    </row>
    <row r="2627" spans="23:23" ht="26.4">
      <c r="W2627" s="64" ph="1"/>
    </row>
    <row r="2628" spans="23:23" ht="26.4">
      <c r="W2628" s="64" ph="1"/>
    </row>
    <row r="2629" spans="23:23" ht="26.4">
      <c r="W2629" s="64" ph="1"/>
    </row>
    <row r="2630" spans="23:23" ht="26.4">
      <c r="W2630" s="64" ph="1"/>
    </row>
    <row r="2631" spans="23:23" ht="26.4">
      <c r="W2631" s="64" ph="1"/>
    </row>
    <row r="2632" spans="23:23" ht="26.4">
      <c r="W2632" s="64" ph="1"/>
    </row>
    <row r="2633" spans="23:23" ht="26.4">
      <c r="W2633" s="64" ph="1"/>
    </row>
    <row r="2634" spans="23:23" ht="26.4">
      <c r="W2634" s="64" ph="1"/>
    </row>
    <row r="2635" spans="23:23" ht="26.4">
      <c r="W2635" s="64" ph="1"/>
    </row>
    <row r="2636" spans="23:23" ht="26.4">
      <c r="W2636" s="64" ph="1"/>
    </row>
    <row r="2637" spans="23:23" ht="26.4">
      <c r="W2637" s="64" ph="1"/>
    </row>
    <row r="2638" spans="23:23" ht="26.4">
      <c r="W2638" s="64" ph="1"/>
    </row>
    <row r="2639" spans="23:23" ht="26.4">
      <c r="W2639" s="64" ph="1"/>
    </row>
    <row r="2640" spans="23:23" ht="26.4">
      <c r="W2640" s="64" ph="1"/>
    </row>
    <row r="2641" spans="23:23" ht="26.4">
      <c r="W2641" s="64" ph="1"/>
    </row>
    <row r="2642" spans="23:23" ht="26.4">
      <c r="W2642" s="64" ph="1"/>
    </row>
    <row r="2643" spans="23:23" ht="26.4">
      <c r="W2643" s="64" ph="1"/>
    </row>
    <row r="2644" spans="23:23" ht="26.4">
      <c r="W2644" s="64" ph="1"/>
    </row>
    <row r="2645" spans="23:23" ht="26.4">
      <c r="W2645" s="64" ph="1"/>
    </row>
    <row r="2646" spans="23:23" ht="26.4">
      <c r="W2646" s="64" ph="1"/>
    </row>
    <row r="2647" spans="23:23" ht="26.4">
      <c r="W2647" s="64" ph="1"/>
    </row>
    <row r="2648" spans="23:23" ht="26.4">
      <c r="W2648" s="64" ph="1"/>
    </row>
    <row r="2649" spans="23:23" ht="26.4">
      <c r="W2649" s="64" ph="1"/>
    </row>
    <row r="2650" spans="23:23" ht="26.4">
      <c r="W2650" s="64" ph="1"/>
    </row>
    <row r="2651" spans="23:23" ht="26.4">
      <c r="W2651" s="64" ph="1"/>
    </row>
    <row r="2652" spans="23:23" ht="26.4">
      <c r="W2652" s="64" ph="1"/>
    </row>
    <row r="2653" spans="23:23" ht="26.4">
      <c r="W2653" s="64" ph="1"/>
    </row>
    <row r="2654" spans="23:23" ht="26.4">
      <c r="W2654" s="64" ph="1"/>
    </row>
    <row r="2655" spans="23:23" ht="26.4">
      <c r="W2655" s="64" ph="1"/>
    </row>
    <row r="2656" spans="23:23" ht="26.4">
      <c r="W2656" s="64" ph="1"/>
    </row>
    <row r="2657" spans="23:23" ht="26.4">
      <c r="W2657" s="64" ph="1"/>
    </row>
    <row r="2658" spans="23:23" ht="26.4">
      <c r="W2658" s="64" ph="1"/>
    </row>
    <row r="2659" spans="23:23" ht="26.4">
      <c r="W2659" s="64" ph="1"/>
    </row>
    <row r="2660" spans="23:23" ht="26.4">
      <c r="W2660" s="64" ph="1"/>
    </row>
    <row r="2661" spans="23:23" ht="26.4">
      <c r="W2661" s="64" ph="1"/>
    </row>
    <row r="2662" spans="23:23" ht="26.4">
      <c r="W2662" s="64" ph="1"/>
    </row>
    <row r="2663" spans="23:23" ht="26.4">
      <c r="W2663" s="64" ph="1"/>
    </row>
    <row r="2664" spans="23:23" ht="26.4">
      <c r="W2664" s="64" ph="1"/>
    </row>
    <row r="2665" spans="23:23" ht="26.4">
      <c r="W2665" s="64" ph="1"/>
    </row>
    <row r="2666" spans="23:23" ht="26.4">
      <c r="W2666" s="64" ph="1"/>
    </row>
    <row r="2667" spans="23:23" ht="26.4">
      <c r="W2667" s="64" ph="1"/>
    </row>
    <row r="2668" spans="23:23" ht="26.4">
      <c r="W2668" s="64" ph="1"/>
    </row>
    <row r="2669" spans="23:23" ht="26.4">
      <c r="W2669" s="64" ph="1"/>
    </row>
    <row r="2670" spans="23:23" ht="26.4">
      <c r="W2670" s="64" ph="1"/>
    </row>
    <row r="2671" spans="23:23" ht="26.4">
      <c r="W2671" s="64" ph="1"/>
    </row>
    <row r="2672" spans="23:23" ht="26.4">
      <c r="W2672" s="64" ph="1"/>
    </row>
    <row r="2673" spans="23:23" ht="26.4">
      <c r="W2673" s="64" ph="1"/>
    </row>
    <row r="2674" spans="23:23" ht="26.4">
      <c r="W2674" s="64" ph="1"/>
    </row>
    <row r="2675" spans="23:23" ht="26.4">
      <c r="W2675" s="64" ph="1"/>
    </row>
    <row r="2676" spans="23:23" ht="26.4">
      <c r="W2676" s="64" ph="1"/>
    </row>
    <row r="2677" spans="23:23" ht="26.4">
      <c r="W2677" s="64" ph="1"/>
    </row>
    <row r="2678" spans="23:23" ht="26.4">
      <c r="W2678" s="64" ph="1"/>
    </row>
    <row r="2679" spans="23:23" ht="26.4">
      <c r="W2679" s="64" ph="1"/>
    </row>
    <row r="2680" spans="23:23" ht="26.4">
      <c r="W2680" s="64" ph="1"/>
    </row>
    <row r="2681" spans="23:23" ht="26.4">
      <c r="W2681" s="64" ph="1"/>
    </row>
    <row r="2682" spans="23:23" ht="26.4">
      <c r="W2682" s="64" ph="1"/>
    </row>
    <row r="2683" spans="23:23" ht="26.4">
      <c r="W2683" s="64" ph="1"/>
    </row>
    <row r="2684" spans="23:23" ht="26.4">
      <c r="W2684" s="64" ph="1"/>
    </row>
    <row r="2685" spans="23:23" ht="26.4">
      <c r="W2685" s="64" ph="1"/>
    </row>
    <row r="2686" spans="23:23" ht="26.4">
      <c r="W2686" s="64" ph="1"/>
    </row>
    <row r="2687" spans="23:23" ht="26.4">
      <c r="W2687" s="64" ph="1"/>
    </row>
    <row r="2688" spans="23:23" ht="26.4">
      <c r="W2688" s="64" ph="1"/>
    </row>
    <row r="2689" spans="23:23" ht="26.4">
      <c r="W2689" s="64" ph="1"/>
    </row>
    <row r="2690" spans="23:23" ht="26.4">
      <c r="W2690" s="64" ph="1"/>
    </row>
    <row r="2691" spans="23:23" ht="26.4">
      <c r="W2691" s="64" ph="1"/>
    </row>
    <row r="2692" spans="23:23" ht="26.4">
      <c r="W2692" s="64" ph="1"/>
    </row>
    <row r="2693" spans="23:23" ht="26.4">
      <c r="W2693" s="64" ph="1"/>
    </row>
    <row r="2694" spans="23:23" ht="26.4">
      <c r="W2694" s="64" ph="1"/>
    </row>
    <row r="2695" spans="23:23" ht="26.4">
      <c r="W2695" s="64" ph="1"/>
    </row>
    <row r="2696" spans="23:23" ht="26.4">
      <c r="W2696" s="64" ph="1"/>
    </row>
    <row r="2697" spans="23:23" ht="26.4">
      <c r="W2697" s="64" ph="1"/>
    </row>
    <row r="2698" spans="23:23" ht="26.4">
      <c r="W2698" s="64" ph="1"/>
    </row>
    <row r="2699" spans="23:23" ht="26.4">
      <c r="W2699" s="64" ph="1"/>
    </row>
    <row r="2700" spans="23:23" ht="26.4">
      <c r="W2700" s="64" ph="1"/>
    </row>
    <row r="2701" spans="23:23" ht="26.4">
      <c r="W2701" s="64" ph="1"/>
    </row>
    <row r="2702" spans="23:23" ht="26.4">
      <c r="W2702" s="64" ph="1"/>
    </row>
    <row r="2703" spans="23:23" ht="26.4">
      <c r="W2703" s="64" ph="1"/>
    </row>
    <row r="2704" spans="23:23" ht="26.4">
      <c r="W2704" s="64" ph="1"/>
    </row>
    <row r="2705" spans="23:23" ht="26.4">
      <c r="W2705" s="64" ph="1"/>
    </row>
    <row r="2706" spans="23:23" ht="26.4">
      <c r="W2706" s="64" ph="1"/>
    </row>
    <row r="2707" spans="23:23" ht="26.4">
      <c r="W2707" s="64" ph="1"/>
    </row>
    <row r="2708" spans="23:23" ht="26.4">
      <c r="W2708" s="64" ph="1"/>
    </row>
    <row r="2709" spans="23:23" ht="26.4">
      <c r="W2709" s="64" ph="1"/>
    </row>
    <row r="2710" spans="23:23" ht="26.4">
      <c r="W2710" s="64" ph="1"/>
    </row>
    <row r="2711" spans="23:23" ht="26.4">
      <c r="W2711" s="64" ph="1"/>
    </row>
    <row r="2712" spans="23:23" ht="26.4">
      <c r="W2712" s="64" ph="1"/>
    </row>
    <row r="2713" spans="23:23" ht="26.4">
      <c r="W2713" s="64" ph="1"/>
    </row>
    <row r="2714" spans="23:23" ht="26.4">
      <c r="W2714" s="64" ph="1"/>
    </row>
    <row r="2715" spans="23:23" ht="26.4">
      <c r="W2715" s="64" ph="1"/>
    </row>
    <row r="2716" spans="23:23" ht="26.4">
      <c r="W2716" s="64" ph="1"/>
    </row>
    <row r="2717" spans="23:23" ht="26.4">
      <c r="W2717" s="64" ph="1"/>
    </row>
    <row r="2718" spans="23:23" ht="26.4">
      <c r="W2718" s="64" ph="1"/>
    </row>
    <row r="2719" spans="23:23" ht="26.4">
      <c r="W2719" s="64" ph="1"/>
    </row>
    <row r="2720" spans="23:23" ht="26.4">
      <c r="W2720" s="64" ph="1"/>
    </row>
    <row r="2721" spans="23:23" ht="26.4">
      <c r="W2721" s="64" ph="1"/>
    </row>
    <row r="2722" spans="23:23" ht="26.4">
      <c r="W2722" s="64" ph="1"/>
    </row>
    <row r="2723" spans="23:23" ht="26.4">
      <c r="W2723" s="64" ph="1"/>
    </row>
    <row r="2724" spans="23:23" ht="26.4">
      <c r="W2724" s="64" ph="1"/>
    </row>
    <row r="2725" spans="23:23" ht="26.4">
      <c r="W2725" s="64" ph="1"/>
    </row>
    <row r="2726" spans="23:23" ht="26.4">
      <c r="W2726" s="64" ph="1"/>
    </row>
    <row r="2727" spans="23:23" ht="26.4">
      <c r="W2727" s="64" ph="1"/>
    </row>
    <row r="2728" spans="23:23" ht="26.4">
      <c r="W2728" s="64" ph="1"/>
    </row>
    <row r="2729" spans="23:23" ht="26.4">
      <c r="W2729" s="64" ph="1"/>
    </row>
    <row r="2730" spans="23:23" ht="26.4">
      <c r="W2730" s="64" ph="1"/>
    </row>
    <row r="2731" spans="23:23" ht="26.4">
      <c r="W2731" s="64" ph="1"/>
    </row>
    <row r="2732" spans="23:23" ht="26.4">
      <c r="W2732" s="64" ph="1"/>
    </row>
    <row r="2733" spans="23:23" ht="26.4">
      <c r="W2733" s="64" ph="1"/>
    </row>
    <row r="2734" spans="23:23" ht="26.4">
      <c r="W2734" s="64" ph="1"/>
    </row>
    <row r="2735" spans="23:23" ht="26.4">
      <c r="W2735" s="64" ph="1"/>
    </row>
    <row r="2736" spans="23:23" ht="26.4">
      <c r="W2736" s="64" ph="1"/>
    </row>
    <row r="2737" spans="23:23" ht="26.4">
      <c r="W2737" s="64" ph="1"/>
    </row>
    <row r="2738" spans="23:23" ht="26.4">
      <c r="W2738" s="64" ph="1"/>
    </row>
    <row r="2739" spans="23:23" ht="26.4">
      <c r="W2739" s="64" ph="1"/>
    </row>
    <row r="2740" spans="23:23" ht="26.4">
      <c r="W2740" s="64" ph="1"/>
    </row>
    <row r="2741" spans="23:23" ht="26.4">
      <c r="W2741" s="64" ph="1"/>
    </row>
    <row r="2742" spans="23:23" ht="26.4">
      <c r="W2742" s="64" ph="1"/>
    </row>
    <row r="2743" spans="23:23" ht="26.4">
      <c r="W2743" s="64" ph="1"/>
    </row>
    <row r="2744" spans="23:23" ht="26.4">
      <c r="W2744" s="64" ph="1"/>
    </row>
    <row r="2745" spans="23:23" ht="26.4">
      <c r="W2745" s="64" ph="1"/>
    </row>
    <row r="2746" spans="23:23" ht="26.4">
      <c r="W2746" s="64" ph="1"/>
    </row>
    <row r="2747" spans="23:23" ht="26.4">
      <c r="W2747" s="64" ph="1"/>
    </row>
    <row r="2748" spans="23:23" ht="26.4">
      <c r="W2748" s="64" ph="1"/>
    </row>
    <row r="2749" spans="23:23" ht="26.4">
      <c r="W2749" s="64" ph="1"/>
    </row>
    <row r="2750" spans="23:23" ht="26.4">
      <c r="W2750" s="64" ph="1"/>
    </row>
    <row r="2751" spans="23:23" ht="26.4">
      <c r="W2751" s="64" ph="1"/>
    </row>
    <row r="2752" spans="23:23" ht="26.4">
      <c r="W2752" s="64" ph="1"/>
    </row>
    <row r="2753" spans="23:23" ht="26.4">
      <c r="W2753" s="64" ph="1"/>
    </row>
    <row r="2754" spans="23:23" ht="26.4">
      <c r="W2754" s="64" ph="1"/>
    </row>
    <row r="2755" spans="23:23" ht="26.4">
      <c r="W2755" s="64" ph="1"/>
    </row>
    <row r="2756" spans="23:23" ht="26.4">
      <c r="W2756" s="64" ph="1"/>
    </row>
    <row r="2757" spans="23:23" ht="26.4">
      <c r="W2757" s="64" ph="1"/>
    </row>
    <row r="2758" spans="23:23" ht="26.4">
      <c r="W2758" s="64" ph="1"/>
    </row>
    <row r="2759" spans="23:23" ht="26.4">
      <c r="W2759" s="64" ph="1"/>
    </row>
    <row r="2760" spans="23:23" ht="26.4">
      <c r="W2760" s="64" ph="1"/>
    </row>
    <row r="2761" spans="23:23" ht="26.4">
      <c r="W2761" s="64" ph="1"/>
    </row>
    <row r="2762" spans="23:23" ht="26.4">
      <c r="W2762" s="64" ph="1"/>
    </row>
    <row r="2763" spans="23:23" ht="26.4">
      <c r="W2763" s="64" ph="1"/>
    </row>
    <row r="2764" spans="23:23" ht="26.4">
      <c r="W2764" s="64" ph="1"/>
    </row>
    <row r="2765" spans="23:23" ht="26.4">
      <c r="W2765" s="64" ph="1"/>
    </row>
    <row r="2766" spans="23:23" ht="26.4">
      <c r="W2766" s="64" ph="1"/>
    </row>
    <row r="2767" spans="23:23" ht="26.4">
      <c r="W2767" s="64" ph="1"/>
    </row>
    <row r="2768" spans="23:23" ht="26.4">
      <c r="W2768" s="64" ph="1"/>
    </row>
    <row r="2769" spans="23:23" ht="26.4">
      <c r="W2769" s="64" ph="1"/>
    </row>
    <row r="2770" spans="23:23" ht="26.4">
      <c r="W2770" s="64" ph="1"/>
    </row>
    <row r="2771" spans="23:23" ht="26.4">
      <c r="W2771" s="64" ph="1"/>
    </row>
    <row r="2772" spans="23:23" ht="26.4">
      <c r="W2772" s="64" ph="1"/>
    </row>
    <row r="2773" spans="23:23" ht="26.4">
      <c r="W2773" s="64" ph="1"/>
    </row>
    <row r="2774" spans="23:23" ht="26.4">
      <c r="W2774" s="64" ph="1"/>
    </row>
    <row r="2775" spans="23:23" ht="26.4">
      <c r="W2775" s="64" ph="1"/>
    </row>
    <row r="2776" spans="23:23" ht="26.4">
      <c r="W2776" s="64" ph="1"/>
    </row>
    <row r="2777" spans="23:23" ht="26.4">
      <c r="W2777" s="64" ph="1"/>
    </row>
    <row r="2778" spans="23:23" ht="26.4">
      <c r="W2778" s="64" ph="1"/>
    </row>
    <row r="2779" spans="23:23" ht="26.4">
      <c r="W2779" s="64" ph="1"/>
    </row>
    <row r="2780" spans="23:23" ht="26.4">
      <c r="W2780" s="64" ph="1"/>
    </row>
    <row r="2781" spans="23:23" ht="26.4">
      <c r="W2781" s="64" ph="1"/>
    </row>
    <row r="2782" spans="23:23" ht="26.4">
      <c r="W2782" s="64" ph="1"/>
    </row>
    <row r="2783" spans="23:23" ht="26.4">
      <c r="W2783" s="64" ph="1"/>
    </row>
    <row r="2784" spans="23:23" ht="26.4">
      <c r="W2784" s="64" ph="1"/>
    </row>
    <row r="2785" spans="23:23" ht="26.4">
      <c r="W2785" s="64" ph="1"/>
    </row>
    <row r="2786" spans="23:23" ht="26.4">
      <c r="W2786" s="64" ph="1"/>
    </row>
    <row r="2787" spans="23:23" ht="26.4">
      <c r="W2787" s="64" ph="1"/>
    </row>
    <row r="2788" spans="23:23" ht="26.4">
      <c r="W2788" s="64" ph="1"/>
    </row>
    <row r="2789" spans="23:23" ht="26.4">
      <c r="W2789" s="64" ph="1"/>
    </row>
    <row r="2790" spans="23:23" ht="26.4">
      <c r="W2790" s="64" ph="1"/>
    </row>
    <row r="2791" spans="23:23" ht="26.4">
      <c r="W2791" s="64" ph="1"/>
    </row>
    <row r="2792" spans="23:23" ht="26.4">
      <c r="W2792" s="64" ph="1"/>
    </row>
    <row r="2793" spans="23:23" ht="26.4">
      <c r="W2793" s="64" ph="1"/>
    </row>
    <row r="2794" spans="23:23" ht="26.4">
      <c r="W2794" s="64" ph="1"/>
    </row>
    <row r="2795" spans="23:23" ht="26.4">
      <c r="W2795" s="64" ph="1"/>
    </row>
    <row r="2796" spans="23:23" ht="26.4">
      <c r="W2796" s="64" ph="1"/>
    </row>
    <row r="2797" spans="23:23" ht="26.4">
      <c r="W2797" s="64" ph="1"/>
    </row>
    <row r="2798" spans="23:23" ht="26.4">
      <c r="W2798" s="64" ph="1"/>
    </row>
    <row r="2799" spans="23:23" ht="26.4">
      <c r="W2799" s="64" ph="1"/>
    </row>
    <row r="2800" spans="23:23" ht="26.4">
      <c r="W2800" s="64" ph="1"/>
    </row>
    <row r="2801" spans="23:23" ht="26.4">
      <c r="W2801" s="64" ph="1"/>
    </row>
    <row r="2802" spans="23:23" ht="26.4">
      <c r="W2802" s="64" ph="1"/>
    </row>
    <row r="2803" spans="23:23" ht="26.4">
      <c r="W2803" s="64" ph="1"/>
    </row>
    <row r="2804" spans="23:23" ht="26.4">
      <c r="W2804" s="64" ph="1"/>
    </row>
    <row r="2805" spans="23:23" ht="26.4">
      <c r="W2805" s="64" ph="1"/>
    </row>
    <row r="2806" spans="23:23" ht="26.4">
      <c r="W2806" s="64" ph="1"/>
    </row>
    <row r="2807" spans="23:23" ht="26.4">
      <c r="W2807" s="64" ph="1"/>
    </row>
    <row r="2808" spans="23:23" ht="26.4">
      <c r="W2808" s="64" ph="1"/>
    </row>
    <row r="2809" spans="23:23" ht="26.4">
      <c r="W2809" s="64" ph="1"/>
    </row>
    <row r="2810" spans="23:23" ht="26.4">
      <c r="W2810" s="64" ph="1"/>
    </row>
    <row r="2811" spans="23:23" ht="26.4">
      <c r="W2811" s="64" ph="1"/>
    </row>
    <row r="2812" spans="23:23" ht="26.4">
      <c r="W2812" s="64" ph="1"/>
    </row>
    <row r="2813" spans="23:23" ht="26.4">
      <c r="W2813" s="64" ph="1"/>
    </row>
    <row r="2814" spans="23:23" ht="26.4">
      <c r="W2814" s="64" ph="1"/>
    </row>
    <row r="2815" spans="23:23" ht="26.4">
      <c r="W2815" s="64" ph="1"/>
    </row>
    <row r="2816" spans="23:23" ht="26.4">
      <c r="W2816" s="64" ph="1"/>
    </row>
    <row r="2817" spans="23:23" ht="26.4">
      <c r="W2817" s="64" ph="1"/>
    </row>
    <row r="2818" spans="23:23" ht="26.4">
      <c r="W2818" s="64" ph="1"/>
    </row>
    <row r="2819" spans="23:23" ht="26.4">
      <c r="W2819" s="64" ph="1"/>
    </row>
    <row r="2820" spans="23:23" ht="26.4">
      <c r="W2820" s="64" ph="1"/>
    </row>
    <row r="2821" spans="23:23" ht="26.4">
      <c r="W2821" s="64" ph="1"/>
    </row>
    <row r="2822" spans="23:23" ht="26.4">
      <c r="W2822" s="64" ph="1"/>
    </row>
    <row r="2823" spans="23:23" ht="26.4">
      <c r="W2823" s="64" ph="1"/>
    </row>
    <row r="2824" spans="23:23" ht="26.4">
      <c r="W2824" s="64" ph="1"/>
    </row>
    <row r="2825" spans="23:23" ht="26.4">
      <c r="W2825" s="64" ph="1"/>
    </row>
    <row r="2826" spans="23:23" ht="26.4">
      <c r="W2826" s="64" ph="1"/>
    </row>
    <row r="2827" spans="23:23" ht="26.4">
      <c r="W2827" s="64" ph="1"/>
    </row>
    <row r="2828" spans="23:23" ht="26.4">
      <c r="W2828" s="64" ph="1"/>
    </row>
    <row r="2829" spans="23:23" ht="26.4">
      <c r="W2829" s="64" ph="1"/>
    </row>
    <row r="2830" spans="23:23" ht="26.4">
      <c r="W2830" s="64" ph="1"/>
    </row>
    <row r="2831" spans="23:23" ht="26.4">
      <c r="W2831" s="64" ph="1"/>
    </row>
    <row r="2832" spans="23:23" ht="26.4">
      <c r="W2832" s="64" ph="1"/>
    </row>
    <row r="2833" spans="23:23" ht="26.4">
      <c r="W2833" s="64" ph="1"/>
    </row>
    <row r="2834" spans="23:23" ht="26.4">
      <c r="W2834" s="64" ph="1"/>
    </row>
    <row r="2835" spans="23:23" ht="26.4">
      <c r="W2835" s="64" ph="1"/>
    </row>
    <row r="2836" spans="23:23" ht="26.4">
      <c r="W2836" s="64" ph="1"/>
    </row>
    <row r="2837" spans="23:23" ht="26.4">
      <c r="W2837" s="64" ph="1"/>
    </row>
    <row r="2838" spans="23:23" ht="26.4">
      <c r="W2838" s="64" ph="1"/>
    </row>
    <row r="2839" spans="23:23" ht="26.4">
      <c r="W2839" s="64" ph="1"/>
    </row>
    <row r="2840" spans="23:23" ht="26.4">
      <c r="W2840" s="64" ph="1"/>
    </row>
    <row r="2841" spans="23:23" ht="26.4">
      <c r="W2841" s="64" ph="1"/>
    </row>
    <row r="2842" spans="23:23" ht="26.4">
      <c r="W2842" s="64" ph="1"/>
    </row>
    <row r="2843" spans="23:23" ht="26.4">
      <c r="W2843" s="64" ph="1"/>
    </row>
    <row r="2844" spans="23:23" ht="26.4">
      <c r="W2844" s="64" ph="1"/>
    </row>
    <row r="2845" spans="23:23" ht="26.4">
      <c r="W2845" s="64" ph="1"/>
    </row>
    <row r="2846" spans="23:23" ht="26.4">
      <c r="W2846" s="64" ph="1"/>
    </row>
    <row r="2847" spans="23:23" ht="26.4">
      <c r="W2847" s="64" ph="1"/>
    </row>
    <row r="2848" spans="23:23" ht="26.4">
      <c r="W2848" s="64" ph="1"/>
    </row>
    <row r="2849" spans="23:23" ht="26.4">
      <c r="W2849" s="64" ph="1"/>
    </row>
    <row r="2850" spans="23:23" ht="26.4">
      <c r="W2850" s="64" ph="1"/>
    </row>
    <row r="2851" spans="23:23" ht="26.4">
      <c r="W2851" s="64" ph="1"/>
    </row>
    <row r="2852" spans="23:23" ht="26.4">
      <c r="W2852" s="64" ph="1"/>
    </row>
    <row r="2853" spans="23:23" ht="26.4">
      <c r="W2853" s="64" ph="1"/>
    </row>
    <row r="2854" spans="23:23" ht="26.4">
      <c r="W2854" s="64" ph="1"/>
    </row>
    <row r="2855" spans="23:23" ht="26.4">
      <c r="W2855" s="64" ph="1"/>
    </row>
    <row r="2856" spans="23:23" ht="26.4">
      <c r="W2856" s="64" ph="1"/>
    </row>
    <row r="2857" spans="23:23" ht="26.4">
      <c r="W2857" s="64" ph="1"/>
    </row>
    <row r="2858" spans="23:23" ht="26.4">
      <c r="W2858" s="64" ph="1"/>
    </row>
    <row r="2859" spans="23:23" ht="26.4">
      <c r="W2859" s="64" ph="1"/>
    </row>
    <row r="2860" spans="23:23" ht="26.4">
      <c r="W2860" s="64" ph="1"/>
    </row>
    <row r="2861" spans="23:23" ht="26.4">
      <c r="W2861" s="64" ph="1"/>
    </row>
    <row r="2862" spans="23:23" ht="26.4">
      <c r="W2862" s="64" ph="1"/>
    </row>
    <row r="2863" spans="23:23" ht="26.4">
      <c r="W2863" s="64" ph="1"/>
    </row>
    <row r="2864" spans="23:23" ht="26.4">
      <c r="W2864" s="64" ph="1"/>
    </row>
    <row r="2865" spans="23:23" ht="26.4">
      <c r="W2865" s="64" ph="1"/>
    </row>
    <row r="2866" spans="23:23" ht="26.4">
      <c r="W2866" s="64" ph="1"/>
    </row>
    <row r="2867" spans="23:23" ht="26.4">
      <c r="W2867" s="64" ph="1"/>
    </row>
    <row r="2868" spans="23:23" ht="26.4">
      <c r="W2868" s="64" ph="1"/>
    </row>
    <row r="2869" spans="23:23" ht="26.4">
      <c r="W2869" s="64" ph="1"/>
    </row>
    <row r="2870" spans="23:23" ht="26.4">
      <c r="W2870" s="64" ph="1"/>
    </row>
    <row r="2871" spans="23:23" ht="26.4">
      <c r="W2871" s="64" ph="1"/>
    </row>
    <row r="2872" spans="23:23" ht="26.4">
      <c r="W2872" s="64" ph="1"/>
    </row>
    <row r="2873" spans="23:23" ht="26.4">
      <c r="W2873" s="64" ph="1"/>
    </row>
    <row r="2874" spans="23:23" ht="26.4">
      <c r="W2874" s="64" ph="1"/>
    </row>
    <row r="2875" spans="23:23" ht="26.4">
      <c r="W2875" s="64" ph="1"/>
    </row>
    <row r="2876" spans="23:23" ht="26.4">
      <c r="W2876" s="64" ph="1"/>
    </row>
    <row r="2877" spans="23:23" ht="26.4">
      <c r="W2877" s="64" ph="1"/>
    </row>
    <row r="2878" spans="23:23" ht="26.4">
      <c r="W2878" s="64" ph="1"/>
    </row>
    <row r="2879" spans="23:23" ht="26.4">
      <c r="W2879" s="64" ph="1"/>
    </row>
    <row r="2880" spans="23:23" ht="26.4">
      <c r="W2880" s="64" ph="1"/>
    </row>
    <row r="2881" spans="23:23" ht="26.4">
      <c r="W2881" s="64" ph="1"/>
    </row>
    <row r="2882" spans="23:23" ht="26.4">
      <c r="W2882" s="64" ph="1"/>
    </row>
    <row r="2883" spans="23:23" ht="26.4">
      <c r="W2883" s="64" ph="1"/>
    </row>
    <row r="2884" spans="23:23" ht="26.4">
      <c r="W2884" s="64" ph="1"/>
    </row>
    <row r="2885" spans="23:23" ht="26.4">
      <c r="W2885" s="64" ph="1"/>
    </row>
    <row r="2886" spans="23:23" ht="26.4">
      <c r="W2886" s="64" ph="1"/>
    </row>
    <row r="2887" spans="23:23" ht="26.4">
      <c r="W2887" s="64" ph="1"/>
    </row>
    <row r="2888" spans="23:23" ht="26.4">
      <c r="W2888" s="64" ph="1"/>
    </row>
    <row r="2889" spans="23:23" ht="26.4">
      <c r="W2889" s="64" ph="1"/>
    </row>
    <row r="2890" spans="23:23" ht="26.4">
      <c r="W2890" s="64" ph="1"/>
    </row>
    <row r="2891" spans="23:23" ht="26.4">
      <c r="W2891" s="64" ph="1"/>
    </row>
    <row r="2892" spans="23:23" ht="26.4">
      <c r="W2892" s="64" ph="1"/>
    </row>
    <row r="2893" spans="23:23" ht="26.4">
      <c r="W2893" s="64" ph="1"/>
    </row>
    <row r="2894" spans="23:23" ht="26.4">
      <c r="W2894" s="64" ph="1"/>
    </row>
    <row r="2895" spans="23:23" ht="26.4">
      <c r="W2895" s="64" ph="1"/>
    </row>
    <row r="2896" spans="23:23" ht="26.4">
      <c r="W2896" s="64" ph="1"/>
    </row>
    <row r="2897" spans="23:23" ht="26.4">
      <c r="W2897" s="64" ph="1"/>
    </row>
    <row r="2898" spans="23:23" ht="26.4">
      <c r="W2898" s="64" ph="1"/>
    </row>
    <row r="2899" spans="23:23" ht="26.4">
      <c r="W2899" s="64" ph="1"/>
    </row>
    <row r="2900" spans="23:23" ht="26.4">
      <c r="W2900" s="64" ph="1"/>
    </row>
    <row r="2901" spans="23:23" ht="26.4">
      <c r="W2901" s="64" ph="1"/>
    </row>
    <row r="2902" spans="23:23" ht="26.4">
      <c r="W2902" s="64" ph="1"/>
    </row>
    <row r="2903" spans="23:23" ht="26.4">
      <c r="W2903" s="64" ph="1"/>
    </row>
    <row r="2904" spans="23:23" ht="26.4">
      <c r="W2904" s="64" ph="1"/>
    </row>
    <row r="2905" spans="23:23" ht="26.4">
      <c r="W2905" s="64" ph="1"/>
    </row>
    <row r="2906" spans="23:23" ht="26.4">
      <c r="W2906" s="64" ph="1"/>
    </row>
    <row r="2907" spans="23:23" ht="26.4">
      <c r="W2907" s="64" ph="1"/>
    </row>
    <row r="2908" spans="23:23" ht="26.4">
      <c r="W2908" s="64" ph="1"/>
    </row>
    <row r="2909" spans="23:23" ht="26.4">
      <c r="W2909" s="64" ph="1"/>
    </row>
    <row r="2910" spans="23:23" ht="26.4">
      <c r="W2910" s="64" ph="1"/>
    </row>
    <row r="2911" spans="23:23" ht="26.4">
      <c r="W2911" s="64" ph="1"/>
    </row>
    <row r="2912" spans="23:23" ht="26.4">
      <c r="W2912" s="64" ph="1"/>
    </row>
    <row r="2913" spans="23:23" ht="26.4">
      <c r="W2913" s="64" ph="1"/>
    </row>
    <row r="2914" spans="23:23" ht="26.4">
      <c r="W2914" s="64" ph="1"/>
    </row>
    <row r="2915" spans="23:23" ht="26.4">
      <c r="W2915" s="64" ph="1"/>
    </row>
    <row r="2916" spans="23:23" ht="26.4">
      <c r="W2916" s="64" ph="1"/>
    </row>
    <row r="2917" spans="23:23" ht="26.4">
      <c r="W2917" s="64" ph="1"/>
    </row>
    <row r="2918" spans="23:23" ht="26.4">
      <c r="W2918" s="64" ph="1"/>
    </row>
    <row r="2919" spans="23:23" ht="26.4">
      <c r="W2919" s="64" ph="1"/>
    </row>
    <row r="2920" spans="23:23" ht="26.4">
      <c r="W2920" s="64" ph="1"/>
    </row>
    <row r="2921" spans="23:23" ht="26.4">
      <c r="W2921" s="64" ph="1"/>
    </row>
    <row r="2922" spans="23:23" ht="26.4">
      <c r="W2922" s="64" ph="1"/>
    </row>
    <row r="2923" spans="23:23" ht="26.4">
      <c r="W2923" s="64" ph="1"/>
    </row>
    <row r="2924" spans="23:23" ht="26.4">
      <c r="W2924" s="64" ph="1"/>
    </row>
    <row r="2925" spans="23:23" ht="26.4">
      <c r="W2925" s="64" ph="1"/>
    </row>
    <row r="2926" spans="23:23" ht="26.4">
      <c r="W2926" s="64" ph="1"/>
    </row>
    <row r="2927" spans="23:23" ht="26.4">
      <c r="W2927" s="64" ph="1"/>
    </row>
    <row r="2928" spans="23:23" ht="26.4">
      <c r="W2928" s="64" ph="1"/>
    </row>
    <row r="2929" spans="23:23" ht="26.4">
      <c r="W2929" s="64" ph="1"/>
    </row>
    <row r="2930" spans="23:23" ht="26.4">
      <c r="W2930" s="64" ph="1"/>
    </row>
    <row r="2931" spans="23:23" ht="26.4">
      <c r="W2931" s="64" ph="1"/>
    </row>
    <row r="2932" spans="23:23" ht="26.4">
      <c r="W2932" s="64" ph="1"/>
    </row>
    <row r="2933" spans="23:23" ht="26.4">
      <c r="W2933" s="64" ph="1"/>
    </row>
    <row r="2934" spans="23:23" ht="26.4">
      <c r="W2934" s="64" ph="1"/>
    </row>
    <row r="2935" spans="23:23" ht="26.4">
      <c r="W2935" s="64" ph="1"/>
    </row>
    <row r="2936" spans="23:23" ht="26.4">
      <c r="W2936" s="64" ph="1"/>
    </row>
    <row r="2937" spans="23:23" ht="26.4">
      <c r="W2937" s="64" ph="1"/>
    </row>
    <row r="2938" spans="23:23" ht="26.4">
      <c r="W2938" s="64" ph="1"/>
    </row>
    <row r="2939" spans="23:23" ht="26.4">
      <c r="W2939" s="64" ph="1"/>
    </row>
    <row r="2940" spans="23:23" ht="26.4">
      <c r="W2940" s="64" ph="1"/>
    </row>
    <row r="2941" spans="23:23" ht="26.4">
      <c r="W2941" s="64" ph="1"/>
    </row>
    <row r="2942" spans="23:23" ht="26.4">
      <c r="W2942" s="64" ph="1"/>
    </row>
    <row r="2943" spans="23:23" ht="26.4">
      <c r="W2943" s="64" ph="1"/>
    </row>
    <row r="2944" spans="23:23" ht="26.4">
      <c r="W2944" s="64" ph="1"/>
    </row>
    <row r="2945" spans="23:23" ht="26.4">
      <c r="W2945" s="64" ph="1"/>
    </row>
    <row r="2946" spans="23:23" ht="26.4">
      <c r="W2946" s="64" ph="1"/>
    </row>
    <row r="2947" spans="23:23" ht="26.4">
      <c r="W2947" s="64" ph="1"/>
    </row>
    <row r="2948" spans="23:23" ht="26.4">
      <c r="W2948" s="64" ph="1"/>
    </row>
    <row r="2949" spans="23:23" ht="26.4">
      <c r="W2949" s="64" ph="1"/>
    </row>
    <row r="2950" spans="23:23" ht="26.4">
      <c r="W2950" s="64" ph="1"/>
    </row>
    <row r="2951" spans="23:23" ht="26.4">
      <c r="W2951" s="64" ph="1"/>
    </row>
    <row r="2952" spans="23:23" ht="26.4">
      <c r="W2952" s="64" ph="1"/>
    </row>
    <row r="2953" spans="23:23" ht="26.4">
      <c r="W2953" s="64" ph="1"/>
    </row>
    <row r="2954" spans="23:23" ht="26.4">
      <c r="W2954" s="64" ph="1"/>
    </row>
    <row r="2955" spans="23:23" ht="26.4">
      <c r="W2955" s="64" ph="1"/>
    </row>
    <row r="2956" spans="23:23" ht="26.4">
      <c r="W2956" s="64" ph="1"/>
    </row>
    <row r="2957" spans="23:23" ht="26.4">
      <c r="W2957" s="64" ph="1"/>
    </row>
    <row r="2958" spans="23:23" ht="26.4">
      <c r="W2958" s="64" ph="1"/>
    </row>
    <row r="2959" spans="23:23" ht="26.4">
      <c r="W2959" s="64" ph="1"/>
    </row>
    <row r="2960" spans="23:23" ht="26.4">
      <c r="W2960" s="64" ph="1"/>
    </row>
    <row r="2961" spans="23:23" ht="26.4">
      <c r="W2961" s="64" ph="1"/>
    </row>
    <row r="2962" spans="23:23" ht="26.4">
      <c r="W2962" s="64" ph="1"/>
    </row>
    <row r="2963" spans="23:23" ht="26.4">
      <c r="W2963" s="64" ph="1"/>
    </row>
    <row r="2964" spans="23:23" ht="26.4">
      <c r="W2964" s="64" ph="1"/>
    </row>
    <row r="2965" spans="23:23" ht="26.4">
      <c r="W2965" s="64" ph="1"/>
    </row>
    <row r="2966" spans="23:23" ht="26.4">
      <c r="W2966" s="64" ph="1"/>
    </row>
    <row r="2967" spans="23:23" ht="26.4">
      <c r="W2967" s="64" ph="1"/>
    </row>
    <row r="2968" spans="23:23" ht="26.4">
      <c r="W2968" s="64" ph="1"/>
    </row>
    <row r="2969" spans="23:23" ht="26.4">
      <c r="W2969" s="64" ph="1"/>
    </row>
    <row r="2970" spans="23:23" ht="26.4">
      <c r="W2970" s="64" ph="1"/>
    </row>
    <row r="2971" spans="23:23" ht="26.4">
      <c r="W2971" s="64" ph="1"/>
    </row>
    <row r="2972" spans="23:23" ht="26.4">
      <c r="W2972" s="64" ph="1"/>
    </row>
    <row r="2973" spans="23:23" ht="26.4">
      <c r="W2973" s="64" ph="1"/>
    </row>
    <row r="2974" spans="23:23" ht="26.4">
      <c r="W2974" s="64" ph="1"/>
    </row>
    <row r="2975" spans="23:23" ht="26.4">
      <c r="W2975" s="64" ph="1"/>
    </row>
    <row r="2976" spans="23:23" ht="26.4">
      <c r="W2976" s="64" ph="1"/>
    </row>
    <row r="2977" spans="23:23" ht="26.4">
      <c r="W2977" s="64" ph="1"/>
    </row>
    <row r="2978" spans="23:23" ht="26.4">
      <c r="W2978" s="64" ph="1"/>
    </row>
    <row r="2979" spans="23:23" ht="26.4">
      <c r="W2979" s="64" ph="1"/>
    </row>
    <row r="2980" spans="23:23" ht="26.4">
      <c r="W2980" s="64" ph="1"/>
    </row>
    <row r="2981" spans="23:23" ht="26.4">
      <c r="W2981" s="64" ph="1"/>
    </row>
    <row r="2982" spans="23:23" ht="26.4">
      <c r="W2982" s="64" ph="1"/>
    </row>
    <row r="2983" spans="23:23" ht="26.4">
      <c r="W2983" s="64" ph="1"/>
    </row>
    <row r="2984" spans="23:23" ht="26.4">
      <c r="W2984" s="64" ph="1"/>
    </row>
    <row r="2985" spans="23:23" ht="26.4">
      <c r="W2985" s="64" ph="1"/>
    </row>
    <row r="2986" spans="23:23" ht="26.4">
      <c r="W2986" s="64" ph="1"/>
    </row>
    <row r="2987" spans="23:23" ht="26.4">
      <c r="W2987" s="64" ph="1"/>
    </row>
    <row r="2988" spans="23:23" ht="26.4">
      <c r="W2988" s="64" ph="1"/>
    </row>
    <row r="2989" spans="23:23" ht="26.4">
      <c r="W2989" s="64" ph="1"/>
    </row>
    <row r="2990" spans="23:23" ht="26.4">
      <c r="W2990" s="64" ph="1"/>
    </row>
    <row r="2991" spans="23:23" ht="26.4">
      <c r="W2991" s="64" ph="1"/>
    </row>
    <row r="2992" spans="23:23" ht="26.4">
      <c r="W2992" s="64" ph="1"/>
    </row>
    <row r="2993" spans="23:23" ht="26.4">
      <c r="W2993" s="64" ph="1"/>
    </row>
    <row r="2994" spans="23:23" ht="26.4">
      <c r="W2994" s="64" ph="1"/>
    </row>
    <row r="2995" spans="23:23" ht="26.4">
      <c r="W2995" s="64" ph="1"/>
    </row>
    <row r="2996" spans="23:23" ht="26.4">
      <c r="W2996" s="64" ph="1"/>
    </row>
    <row r="2997" spans="23:23" ht="26.4">
      <c r="W2997" s="64" ph="1"/>
    </row>
    <row r="2998" spans="23:23" ht="26.4">
      <c r="W2998" s="64" ph="1"/>
    </row>
    <row r="2999" spans="23:23" ht="26.4">
      <c r="W2999" s="64" ph="1"/>
    </row>
    <row r="3000" spans="23:23" ht="26.4">
      <c r="W3000" s="64" ph="1"/>
    </row>
    <row r="3001" spans="23:23" ht="26.4">
      <c r="W3001" s="64" ph="1"/>
    </row>
    <row r="3002" spans="23:23" ht="26.4">
      <c r="W3002" s="64" ph="1"/>
    </row>
    <row r="3003" spans="23:23" ht="26.4">
      <c r="W3003" s="64" ph="1"/>
    </row>
    <row r="3004" spans="23:23" ht="26.4">
      <c r="W3004" s="64" ph="1"/>
    </row>
    <row r="3005" spans="23:23" ht="26.4">
      <c r="W3005" s="64" ph="1"/>
    </row>
    <row r="3006" spans="23:23" ht="26.4">
      <c r="W3006" s="64" ph="1"/>
    </row>
    <row r="3007" spans="23:23" ht="26.4">
      <c r="W3007" s="64" ph="1"/>
    </row>
    <row r="3008" spans="23:23" ht="26.4">
      <c r="W3008" s="64" ph="1"/>
    </row>
    <row r="3009" spans="23:23" ht="26.4">
      <c r="W3009" s="64" ph="1"/>
    </row>
    <row r="3010" spans="23:23" ht="26.4">
      <c r="W3010" s="64" ph="1"/>
    </row>
    <row r="3011" spans="23:23" ht="26.4">
      <c r="W3011" s="64" ph="1"/>
    </row>
    <row r="3012" spans="23:23" ht="26.4">
      <c r="W3012" s="64" ph="1"/>
    </row>
    <row r="3013" spans="23:23" ht="26.4">
      <c r="W3013" s="64" ph="1"/>
    </row>
    <row r="3014" spans="23:23" ht="26.4">
      <c r="W3014" s="64" ph="1"/>
    </row>
    <row r="3015" spans="23:23" ht="26.4">
      <c r="W3015" s="64" ph="1"/>
    </row>
    <row r="3016" spans="23:23" ht="26.4">
      <c r="W3016" s="64" ph="1"/>
    </row>
    <row r="3017" spans="23:23" ht="26.4">
      <c r="W3017" s="64" ph="1"/>
    </row>
    <row r="3018" spans="23:23" ht="26.4">
      <c r="W3018" s="64" ph="1"/>
    </row>
    <row r="3019" spans="23:23" ht="26.4">
      <c r="W3019" s="64" ph="1"/>
    </row>
    <row r="3020" spans="23:23" ht="26.4">
      <c r="W3020" s="64" ph="1"/>
    </row>
    <row r="3021" spans="23:23" ht="26.4">
      <c r="W3021" s="64" ph="1"/>
    </row>
    <row r="3022" spans="23:23" ht="26.4">
      <c r="W3022" s="64" ph="1"/>
    </row>
    <row r="3023" spans="23:23" ht="26.4">
      <c r="W3023" s="64" ph="1"/>
    </row>
    <row r="3024" spans="23:23" ht="26.4">
      <c r="W3024" s="64" ph="1"/>
    </row>
    <row r="3025" spans="23:23" ht="26.4">
      <c r="W3025" s="64" ph="1"/>
    </row>
    <row r="3026" spans="23:23" ht="26.4">
      <c r="W3026" s="64" ph="1"/>
    </row>
    <row r="3027" spans="23:23" ht="26.4">
      <c r="W3027" s="64" ph="1"/>
    </row>
    <row r="3028" spans="23:23" ht="26.4">
      <c r="W3028" s="64" ph="1"/>
    </row>
    <row r="3029" spans="23:23" ht="26.4">
      <c r="W3029" s="64" ph="1"/>
    </row>
    <row r="3030" spans="23:23" ht="26.4">
      <c r="W3030" s="64" ph="1"/>
    </row>
    <row r="3031" spans="23:23" ht="26.4">
      <c r="W3031" s="64" ph="1"/>
    </row>
    <row r="3032" spans="23:23" ht="26.4">
      <c r="W3032" s="64" ph="1"/>
    </row>
    <row r="3033" spans="23:23" ht="26.4">
      <c r="W3033" s="64" ph="1"/>
    </row>
    <row r="3034" spans="23:23" ht="26.4">
      <c r="W3034" s="64" ph="1"/>
    </row>
    <row r="3035" spans="23:23" ht="26.4">
      <c r="W3035" s="64" ph="1"/>
    </row>
    <row r="3036" spans="23:23" ht="26.4">
      <c r="W3036" s="64" ph="1"/>
    </row>
    <row r="3037" spans="23:23" ht="26.4">
      <c r="W3037" s="64" ph="1"/>
    </row>
    <row r="3038" spans="23:23" ht="26.4">
      <c r="W3038" s="64" ph="1"/>
    </row>
    <row r="3039" spans="23:23" ht="26.4">
      <c r="W3039" s="64" ph="1"/>
    </row>
    <row r="3040" spans="23:23" ht="26.4">
      <c r="W3040" s="64" ph="1"/>
    </row>
    <row r="3041" spans="23:23" ht="26.4">
      <c r="W3041" s="64" ph="1"/>
    </row>
    <row r="3042" spans="23:23" ht="26.4">
      <c r="W3042" s="64" ph="1"/>
    </row>
    <row r="3043" spans="23:23" ht="26.4">
      <c r="W3043" s="64" ph="1"/>
    </row>
    <row r="3044" spans="23:23" ht="26.4">
      <c r="W3044" s="64" ph="1"/>
    </row>
    <row r="3045" spans="23:23" ht="26.4">
      <c r="W3045" s="64" ph="1"/>
    </row>
    <row r="3046" spans="23:23" ht="26.4">
      <c r="W3046" s="64" ph="1"/>
    </row>
    <row r="3047" spans="23:23" ht="26.4">
      <c r="W3047" s="64" ph="1"/>
    </row>
    <row r="3048" spans="23:23" ht="26.4">
      <c r="W3048" s="64" ph="1"/>
    </row>
    <row r="3049" spans="23:23" ht="26.4">
      <c r="W3049" s="64" ph="1"/>
    </row>
    <row r="3050" spans="23:23" ht="26.4">
      <c r="W3050" s="64" ph="1"/>
    </row>
    <row r="3051" spans="23:23" ht="26.4">
      <c r="W3051" s="64" ph="1"/>
    </row>
    <row r="3052" spans="23:23" ht="26.4">
      <c r="W3052" s="64" ph="1"/>
    </row>
    <row r="3053" spans="23:23" ht="26.4">
      <c r="W3053" s="64" ph="1"/>
    </row>
    <row r="3054" spans="23:23" ht="26.4">
      <c r="W3054" s="64" ph="1"/>
    </row>
    <row r="3055" spans="23:23" ht="26.4">
      <c r="W3055" s="64" ph="1"/>
    </row>
    <row r="3056" spans="23:23" ht="26.4">
      <c r="W3056" s="64" ph="1"/>
    </row>
    <row r="3057" spans="23:23" ht="26.4">
      <c r="W3057" s="64" ph="1"/>
    </row>
    <row r="3058" spans="23:23" ht="26.4">
      <c r="W3058" s="64" ph="1"/>
    </row>
    <row r="3059" spans="23:23" ht="26.4">
      <c r="W3059" s="64" ph="1"/>
    </row>
    <row r="3060" spans="23:23" ht="26.4">
      <c r="W3060" s="64" ph="1"/>
    </row>
    <row r="3061" spans="23:23" ht="26.4">
      <c r="W3061" s="64" ph="1"/>
    </row>
    <row r="3062" spans="23:23" ht="26.4">
      <c r="W3062" s="64" ph="1"/>
    </row>
    <row r="3063" spans="23:23" ht="26.4">
      <c r="W3063" s="64" ph="1"/>
    </row>
    <row r="3064" spans="23:23" ht="26.4">
      <c r="W3064" s="64" ph="1"/>
    </row>
    <row r="3065" spans="23:23" ht="26.4">
      <c r="W3065" s="64" ph="1"/>
    </row>
    <row r="3066" spans="23:23" ht="26.4">
      <c r="W3066" s="64" ph="1"/>
    </row>
    <row r="3067" spans="23:23" ht="26.4">
      <c r="W3067" s="64" ph="1"/>
    </row>
    <row r="3068" spans="23:23" ht="26.4">
      <c r="W3068" s="64" ph="1"/>
    </row>
    <row r="3069" spans="23:23" ht="26.4">
      <c r="W3069" s="64" ph="1"/>
    </row>
    <row r="3070" spans="23:23" ht="26.4">
      <c r="W3070" s="64" ph="1"/>
    </row>
    <row r="3071" spans="23:23" ht="26.4">
      <c r="W3071" s="64" ph="1"/>
    </row>
    <row r="3072" spans="23:23" ht="26.4">
      <c r="W3072" s="64" ph="1"/>
    </row>
    <row r="3073" spans="23:23" ht="26.4">
      <c r="W3073" s="64" ph="1"/>
    </row>
    <row r="3074" spans="23:23" ht="26.4">
      <c r="W3074" s="64" ph="1"/>
    </row>
    <row r="3075" spans="23:23" ht="26.4">
      <c r="W3075" s="64" ph="1"/>
    </row>
    <row r="3076" spans="23:23" ht="26.4">
      <c r="W3076" s="64" ph="1"/>
    </row>
    <row r="3077" spans="23:23" ht="26.4">
      <c r="W3077" s="64" ph="1"/>
    </row>
    <row r="3078" spans="23:23" ht="26.4">
      <c r="W3078" s="64" ph="1"/>
    </row>
    <row r="3079" spans="23:23" ht="26.4">
      <c r="W3079" s="64" ph="1"/>
    </row>
    <row r="3080" spans="23:23" ht="26.4">
      <c r="W3080" s="64" ph="1"/>
    </row>
    <row r="3081" spans="23:23" ht="26.4">
      <c r="W3081" s="64" ph="1"/>
    </row>
    <row r="3082" spans="23:23" ht="26.4">
      <c r="W3082" s="64" ph="1"/>
    </row>
    <row r="3083" spans="23:23" ht="26.4">
      <c r="W3083" s="64" ph="1"/>
    </row>
    <row r="3084" spans="23:23" ht="26.4">
      <c r="W3084" s="64" ph="1"/>
    </row>
    <row r="3085" spans="23:23" ht="26.4">
      <c r="W3085" s="64" ph="1"/>
    </row>
    <row r="3086" spans="23:23" ht="26.4">
      <c r="W3086" s="64" ph="1"/>
    </row>
    <row r="3087" spans="23:23" ht="26.4">
      <c r="W3087" s="64" ph="1"/>
    </row>
    <row r="3088" spans="23:23" ht="26.4">
      <c r="W3088" s="64" ph="1"/>
    </row>
    <row r="3089" spans="23:23" ht="26.4">
      <c r="W3089" s="64" ph="1"/>
    </row>
    <row r="3090" spans="23:23" ht="26.4">
      <c r="W3090" s="64" ph="1"/>
    </row>
    <row r="3091" spans="23:23" ht="26.4">
      <c r="W3091" s="64" ph="1"/>
    </row>
    <row r="3092" spans="23:23" ht="26.4">
      <c r="W3092" s="64" ph="1"/>
    </row>
    <row r="3093" spans="23:23" ht="26.4">
      <c r="W3093" s="64" ph="1"/>
    </row>
    <row r="3094" spans="23:23" ht="26.4">
      <c r="W3094" s="64" ph="1"/>
    </row>
    <row r="3095" spans="23:23" ht="26.4">
      <c r="W3095" s="64" ph="1"/>
    </row>
    <row r="3096" spans="23:23" ht="26.4">
      <c r="W3096" s="64" ph="1"/>
    </row>
    <row r="3097" spans="23:23" ht="26.4">
      <c r="W3097" s="64" ph="1"/>
    </row>
    <row r="3098" spans="23:23" ht="26.4">
      <c r="W3098" s="64" ph="1"/>
    </row>
    <row r="3099" spans="23:23" ht="26.4">
      <c r="W3099" s="64" ph="1"/>
    </row>
    <row r="3100" spans="23:23" ht="26.4">
      <c r="W3100" s="64" ph="1"/>
    </row>
    <row r="3101" spans="23:23" ht="26.4">
      <c r="W3101" s="64" ph="1"/>
    </row>
    <row r="3102" spans="23:23" ht="26.4">
      <c r="W3102" s="64" ph="1"/>
    </row>
    <row r="3103" spans="23:23" ht="26.4">
      <c r="W3103" s="64" ph="1"/>
    </row>
    <row r="3104" spans="23:23" ht="26.4">
      <c r="W3104" s="64" ph="1"/>
    </row>
    <row r="3105" spans="23:23" ht="26.4">
      <c r="W3105" s="64" ph="1"/>
    </row>
    <row r="3106" spans="23:23" ht="26.4">
      <c r="W3106" s="64" ph="1"/>
    </row>
    <row r="3107" spans="23:23" ht="26.4">
      <c r="W3107" s="64" ph="1"/>
    </row>
    <row r="3108" spans="23:23" ht="26.4">
      <c r="W3108" s="64" ph="1"/>
    </row>
    <row r="3109" spans="23:23" ht="26.4">
      <c r="W3109" s="64" ph="1"/>
    </row>
    <row r="3110" spans="23:23" ht="26.4">
      <c r="W3110" s="64" ph="1"/>
    </row>
    <row r="3111" spans="23:23" ht="26.4">
      <c r="W3111" s="64" ph="1"/>
    </row>
    <row r="3112" spans="23:23" ht="26.4">
      <c r="W3112" s="64" ph="1"/>
    </row>
    <row r="3113" spans="23:23" ht="26.4">
      <c r="W3113" s="64" ph="1"/>
    </row>
    <row r="3114" spans="23:23" ht="26.4">
      <c r="W3114" s="64" ph="1"/>
    </row>
    <row r="3115" spans="23:23" ht="26.4">
      <c r="W3115" s="64" ph="1"/>
    </row>
    <row r="3116" spans="23:23" ht="26.4">
      <c r="W3116" s="64" ph="1"/>
    </row>
    <row r="3117" spans="23:23" ht="26.4">
      <c r="W3117" s="64" ph="1"/>
    </row>
    <row r="3118" spans="23:23" ht="26.4">
      <c r="W3118" s="64" ph="1"/>
    </row>
    <row r="3119" spans="23:23" ht="26.4">
      <c r="W3119" s="64" ph="1"/>
    </row>
    <row r="3120" spans="23:23" ht="26.4">
      <c r="W3120" s="64" ph="1"/>
    </row>
    <row r="3121" spans="23:23" ht="26.4">
      <c r="W3121" s="64" ph="1"/>
    </row>
    <row r="3122" spans="23:23" ht="26.4">
      <c r="W3122" s="64" ph="1"/>
    </row>
    <row r="3123" spans="23:23" ht="26.4">
      <c r="W3123" s="64" ph="1"/>
    </row>
    <row r="3124" spans="23:23" ht="26.4">
      <c r="W3124" s="64" ph="1"/>
    </row>
    <row r="3125" spans="23:23" ht="26.4">
      <c r="W3125" s="64" ph="1"/>
    </row>
    <row r="3126" spans="23:23" ht="26.4">
      <c r="W3126" s="64" ph="1"/>
    </row>
    <row r="3127" spans="23:23" ht="26.4">
      <c r="W3127" s="64" ph="1"/>
    </row>
    <row r="3128" spans="23:23" ht="26.4">
      <c r="W3128" s="64" ph="1"/>
    </row>
    <row r="3129" spans="23:23" ht="26.4">
      <c r="W3129" s="64" ph="1"/>
    </row>
    <row r="3130" spans="23:23" ht="26.4">
      <c r="W3130" s="64" ph="1"/>
    </row>
    <row r="3131" spans="23:23" ht="26.4">
      <c r="W3131" s="64" ph="1"/>
    </row>
    <row r="3132" spans="23:23" ht="26.4">
      <c r="W3132" s="64" ph="1"/>
    </row>
    <row r="3133" spans="23:23" ht="26.4">
      <c r="W3133" s="64" ph="1"/>
    </row>
    <row r="3134" spans="23:23" ht="26.4">
      <c r="W3134" s="64" ph="1"/>
    </row>
    <row r="3135" spans="23:23" ht="26.4">
      <c r="W3135" s="64" ph="1"/>
    </row>
    <row r="3136" spans="23:23" ht="26.4">
      <c r="W3136" s="64" ph="1"/>
    </row>
    <row r="3137" spans="23:23" ht="26.4">
      <c r="W3137" s="64" ph="1"/>
    </row>
    <row r="3138" spans="23:23" ht="26.4">
      <c r="W3138" s="64" ph="1"/>
    </row>
    <row r="3139" spans="23:23" ht="26.4">
      <c r="W3139" s="64" ph="1"/>
    </row>
    <row r="3140" spans="23:23" ht="26.4">
      <c r="W3140" s="64" ph="1"/>
    </row>
    <row r="3141" spans="23:23" ht="26.4">
      <c r="W3141" s="64" ph="1"/>
    </row>
    <row r="3142" spans="23:23" ht="26.4">
      <c r="W3142" s="64" ph="1"/>
    </row>
    <row r="3143" spans="23:23" ht="26.4">
      <c r="W3143" s="64" ph="1"/>
    </row>
    <row r="3144" spans="23:23" ht="26.4">
      <c r="W3144" s="64" ph="1"/>
    </row>
    <row r="3145" spans="23:23" ht="26.4">
      <c r="W3145" s="64" ph="1"/>
    </row>
    <row r="3146" spans="23:23" ht="26.4">
      <c r="W3146" s="64" ph="1"/>
    </row>
    <row r="3147" spans="23:23" ht="26.4">
      <c r="W3147" s="64" ph="1"/>
    </row>
    <row r="3148" spans="23:23" ht="26.4">
      <c r="W3148" s="64" ph="1"/>
    </row>
    <row r="3149" spans="23:23" ht="26.4">
      <c r="W3149" s="64" ph="1"/>
    </row>
    <row r="3150" spans="23:23" ht="26.4">
      <c r="W3150" s="64" ph="1"/>
    </row>
    <row r="3151" spans="23:23" ht="26.4">
      <c r="W3151" s="64" ph="1"/>
    </row>
    <row r="3152" spans="23:23" ht="26.4">
      <c r="W3152" s="64" ph="1"/>
    </row>
    <row r="3153" spans="23:23" ht="26.4">
      <c r="W3153" s="64" ph="1"/>
    </row>
    <row r="3154" spans="23:23" ht="26.4">
      <c r="W3154" s="64" ph="1"/>
    </row>
    <row r="3155" spans="23:23" ht="26.4">
      <c r="W3155" s="64" ph="1"/>
    </row>
    <row r="3156" spans="23:23" ht="26.4">
      <c r="W3156" s="64" ph="1"/>
    </row>
    <row r="3157" spans="23:23" ht="26.4">
      <c r="W3157" s="64" ph="1"/>
    </row>
    <row r="3158" spans="23:23" ht="26.4">
      <c r="W3158" s="64" ph="1"/>
    </row>
    <row r="3159" spans="23:23" ht="26.4">
      <c r="W3159" s="64" ph="1"/>
    </row>
    <row r="3160" spans="23:23" ht="26.4">
      <c r="W3160" s="64" ph="1"/>
    </row>
    <row r="3161" spans="23:23" ht="26.4">
      <c r="W3161" s="64" ph="1"/>
    </row>
    <row r="3162" spans="23:23" ht="26.4">
      <c r="W3162" s="64" ph="1"/>
    </row>
    <row r="3163" spans="23:23" ht="26.4">
      <c r="W3163" s="64" ph="1"/>
    </row>
    <row r="3164" spans="23:23" ht="26.4">
      <c r="W3164" s="64" ph="1"/>
    </row>
    <row r="3165" spans="23:23" ht="26.4">
      <c r="W3165" s="64" ph="1"/>
    </row>
    <row r="3166" spans="23:23" ht="26.4">
      <c r="W3166" s="64" ph="1"/>
    </row>
    <row r="3167" spans="23:23" ht="26.4">
      <c r="W3167" s="64" ph="1"/>
    </row>
    <row r="3168" spans="23:23" ht="26.4">
      <c r="W3168" s="64" ph="1"/>
    </row>
    <row r="3169" spans="23:23" ht="26.4">
      <c r="W3169" s="64" ph="1"/>
    </row>
    <row r="3170" spans="23:23" ht="26.4">
      <c r="W3170" s="64" ph="1"/>
    </row>
    <row r="3171" spans="23:23" ht="26.4">
      <c r="W3171" s="64" ph="1"/>
    </row>
    <row r="3172" spans="23:23" ht="26.4">
      <c r="W3172" s="64" ph="1"/>
    </row>
    <row r="3173" spans="23:23" ht="26.4">
      <c r="W3173" s="64" ph="1"/>
    </row>
    <row r="3174" spans="23:23" ht="26.4">
      <c r="W3174" s="64" ph="1"/>
    </row>
    <row r="3175" spans="23:23" ht="26.4">
      <c r="W3175" s="64" ph="1"/>
    </row>
    <row r="3176" spans="23:23" ht="26.4">
      <c r="W3176" s="64" ph="1"/>
    </row>
    <row r="3177" spans="23:23" ht="26.4">
      <c r="W3177" s="64" ph="1"/>
    </row>
    <row r="3178" spans="23:23" ht="26.4">
      <c r="W3178" s="64" ph="1"/>
    </row>
    <row r="3179" spans="23:23" ht="26.4">
      <c r="W3179" s="64" ph="1"/>
    </row>
    <row r="3180" spans="23:23" ht="26.4">
      <c r="W3180" s="64" ph="1"/>
    </row>
    <row r="3181" spans="23:23" ht="26.4">
      <c r="W3181" s="64" ph="1"/>
    </row>
    <row r="3182" spans="23:23" ht="26.4">
      <c r="W3182" s="64" ph="1"/>
    </row>
    <row r="3183" spans="23:23" ht="26.4">
      <c r="W3183" s="64" ph="1"/>
    </row>
    <row r="3184" spans="23:23" ht="26.4">
      <c r="W3184" s="64" ph="1"/>
    </row>
    <row r="3185" spans="23:23" ht="26.4">
      <c r="W3185" s="64" ph="1"/>
    </row>
    <row r="3186" spans="23:23" ht="26.4">
      <c r="W3186" s="64" ph="1"/>
    </row>
    <row r="3187" spans="23:23" ht="26.4">
      <c r="W3187" s="64" ph="1"/>
    </row>
    <row r="3188" spans="23:23" ht="26.4">
      <c r="W3188" s="64" ph="1"/>
    </row>
    <row r="3189" spans="23:23" ht="26.4">
      <c r="W3189" s="64" ph="1"/>
    </row>
    <row r="3190" spans="23:23" ht="26.4">
      <c r="W3190" s="64" ph="1"/>
    </row>
    <row r="3191" spans="23:23" ht="26.4">
      <c r="W3191" s="64" ph="1"/>
    </row>
    <row r="3192" spans="23:23" ht="26.4">
      <c r="W3192" s="64" ph="1"/>
    </row>
    <row r="3193" spans="23:23" ht="26.4">
      <c r="W3193" s="64" ph="1"/>
    </row>
    <row r="3194" spans="23:23" ht="26.4">
      <c r="W3194" s="64" ph="1"/>
    </row>
    <row r="3195" spans="23:23" ht="26.4">
      <c r="W3195" s="64" ph="1"/>
    </row>
    <row r="3196" spans="23:23" ht="26.4">
      <c r="W3196" s="64" ph="1"/>
    </row>
    <row r="3197" spans="23:23" ht="26.4">
      <c r="W3197" s="64" ph="1"/>
    </row>
    <row r="3198" spans="23:23" ht="26.4">
      <c r="W3198" s="64" ph="1"/>
    </row>
    <row r="3199" spans="23:23" ht="26.4">
      <c r="W3199" s="64" ph="1"/>
    </row>
    <row r="3200" spans="23:23" ht="26.4">
      <c r="W3200" s="64" ph="1"/>
    </row>
    <row r="3201" spans="23:23" ht="26.4">
      <c r="W3201" s="64" ph="1"/>
    </row>
    <row r="3202" spans="23:23" ht="26.4">
      <c r="W3202" s="64" ph="1"/>
    </row>
    <row r="3203" spans="23:23" ht="26.4">
      <c r="W3203" s="64" ph="1"/>
    </row>
    <row r="3204" spans="23:23" ht="26.4">
      <c r="W3204" s="64" ph="1"/>
    </row>
    <row r="3205" spans="23:23" ht="26.4">
      <c r="W3205" s="64" ph="1"/>
    </row>
    <row r="3206" spans="23:23" ht="26.4">
      <c r="W3206" s="64" ph="1"/>
    </row>
    <row r="3207" spans="23:23" ht="26.4">
      <c r="W3207" s="64" ph="1"/>
    </row>
    <row r="3208" spans="23:23" ht="26.4">
      <c r="W3208" s="64" ph="1"/>
    </row>
    <row r="3209" spans="23:23" ht="26.4">
      <c r="W3209" s="64" ph="1"/>
    </row>
    <row r="3210" spans="23:23" ht="26.4">
      <c r="W3210" s="64" ph="1"/>
    </row>
    <row r="3211" spans="23:23" ht="26.4">
      <c r="W3211" s="64" ph="1"/>
    </row>
    <row r="3212" spans="23:23" ht="26.4">
      <c r="W3212" s="64" ph="1"/>
    </row>
    <row r="3213" spans="23:23" ht="26.4">
      <c r="W3213" s="64" ph="1"/>
    </row>
    <row r="3214" spans="23:23" ht="26.4">
      <c r="W3214" s="64" ph="1"/>
    </row>
    <row r="3215" spans="23:23" ht="26.4">
      <c r="W3215" s="64" ph="1"/>
    </row>
    <row r="3216" spans="23:23" ht="26.4">
      <c r="W3216" s="64" ph="1"/>
    </row>
    <row r="3217" spans="23:23" ht="26.4">
      <c r="W3217" s="64" ph="1"/>
    </row>
    <row r="3218" spans="23:23" ht="26.4">
      <c r="W3218" s="64" ph="1"/>
    </row>
    <row r="3219" spans="23:23" ht="26.4">
      <c r="W3219" s="64" ph="1"/>
    </row>
    <row r="3220" spans="23:23" ht="26.4">
      <c r="W3220" s="64" ph="1"/>
    </row>
    <row r="3221" spans="23:23" ht="26.4">
      <c r="W3221" s="64" ph="1"/>
    </row>
    <row r="3222" spans="23:23" ht="26.4">
      <c r="W3222" s="64" ph="1"/>
    </row>
    <row r="3223" spans="23:23" ht="26.4">
      <c r="W3223" s="64" ph="1"/>
    </row>
    <row r="3224" spans="23:23" ht="26.4">
      <c r="W3224" s="64" ph="1"/>
    </row>
    <row r="3225" spans="23:23" ht="26.4">
      <c r="W3225" s="64" ph="1"/>
    </row>
    <row r="3226" spans="23:23" ht="26.4">
      <c r="W3226" s="64" ph="1"/>
    </row>
    <row r="3227" spans="23:23" ht="26.4">
      <c r="W3227" s="64" ph="1"/>
    </row>
    <row r="3228" spans="23:23" ht="26.4">
      <c r="W3228" s="64" ph="1"/>
    </row>
    <row r="3229" spans="23:23" ht="26.4">
      <c r="W3229" s="64" ph="1"/>
    </row>
    <row r="3230" spans="23:23" ht="26.4">
      <c r="W3230" s="64" ph="1"/>
    </row>
    <row r="3231" spans="23:23" ht="26.4">
      <c r="W3231" s="64" ph="1"/>
    </row>
    <row r="3232" spans="23:23" ht="26.4">
      <c r="W3232" s="64" ph="1"/>
    </row>
    <row r="3233" spans="23:23" ht="26.4">
      <c r="W3233" s="64" ph="1"/>
    </row>
    <row r="3234" spans="23:23" ht="26.4">
      <c r="W3234" s="64" ph="1"/>
    </row>
    <row r="3235" spans="23:23" ht="26.4">
      <c r="W3235" s="64" ph="1"/>
    </row>
    <row r="3236" spans="23:23" ht="26.4">
      <c r="W3236" s="64" ph="1"/>
    </row>
    <row r="3237" spans="23:23" ht="26.4">
      <c r="W3237" s="64" ph="1"/>
    </row>
    <row r="3238" spans="23:23" ht="26.4">
      <c r="W3238" s="64" ph="1"/>
    </row>
    <row r="3239" spans="23:23" ht="26.4">
      <c r="W3239" s="64" ph="1"/>
    </row>
    <row r="3240" spans="23:23" ht="26.4">
      <c r="W3240" s="64" ph="1"/>
    </row>
    <row r="3241" spans="23:23" ht="26.4">
      <c r="W3241" s="64" ph="1"/>
    </row>
    <row r="3242" spans="23:23" ht="26.4">
      <c r="W3242" s="64" ph="1"/>
    </row>
    <row r="3243" spans="23:23" ht="26.4">
      <c r="W3243" s="64" ph="1"/>
    </row>
    <row r="3244" spans="23:23" ht="26.4">
      <c r="W3244" s="64" ph="1"/>
    </row>
    <row r="3245" spans="23:23" ht="26.4">
      <c r="W3245" s="64" ph="1"/>
    </row>
    <row r="3246" spans="23:23" ht="26.4">
      <c r="W3246" s="64" ph="1"/>
    </row>
    <row r="3247" spans="23:23" ht="26.4">
      <c r="W3247" s="64" ph="1"/>
    </row>
    <row r="3248" spans="23:23" ht="26.4">
      <c r="W3248" s="64" ph="1"/>
    </row>
    <row r="3249" spans="23:23" ht="26.4">
      <c r="W3249" s="64" ph="1"/>
    </row>
    <row r="3250" spans="23:23" ht="26.4">
      <c r="W3250" s="64" ph="1"/>
    </row>
    <row r="3251" spans="23:23" ht="26.4">
      <c r="W3251" s="64" ph="1"/>
    </row>
    <row r="3252" spans="23:23" ht="26.4">
      <c r="W3252" s="64" ph="1"/>
    </row>
    <row r="3253" spans="23:23" ht="26.4">
      <c r="W3253" s="64" ph="1"/>
    </row>
    <row r="3254" spans="23:23" ht="26.4">
      <c r="W3254" s="64" ph="1"/>
    </row>
    <row r="3255" spans="23:23" ht="26.4">
      <c r="W3255" s="64" ph="1"/>
    </row>
    <row r="3256" spans="23:23" ht="26.4">
      <c r="W3256" s="64" ph="1"/>
    </row>
    <row r="3257" spans="23:23" ht="26.4">
      <c r="W3257" s="64" ph="1"/>
    </row>
    <row r="3258" spans="23:23" ht="26.4">
      <c r="W3258" s="64" ph="1"/>
    </row>
    <row r="3259" spans="23:23" ht="26.4">
      <c r="W3259" s="64" ph="1"/>
    </row>
    <row r="3260" spans="23:23" ht="26.4">
      <c r="W3260" s="64" ph="1"/>
    </row>
    <row r="3261" spans="23:23" ht="26.4">
      <c r="W3261" s="64" ph="1"/>
    </row>
    <row r="3262" spans="23:23" ht="26.4">
      <c r="W3262" s="64" ph="1"/>
    </row>
    <row r="3263" spans="23:23" ht="26.4">
      <c r="W3263" s="64" ph="1"/>
    </row>
    <row r="3264" spans="23:23" ht="26.4">
      <c r="W3264" s="64" ph="1"/>
    </row>
    <row r="3265" spans="23:23" ht="26.4">
      <c r="W3265" s="64" ph="1"/>
    </row>
    <row r="3266" spans="23:23" ht="26.4">
      <c r="W3266" s="64" ph="1"/>
    </row>
    <row r="3267" spans="23:23" ht="26.4">
      <c r="W3267" s="64" ph="1"/>
    </row>
    <row r="3268" spans="23:23" ht="26.4">
      <c r="W3268" s="64" ph="1"/>
    </row>
    <row r="3269" spans="23:23" ht="26.4">
      <c r="W3269" s="64" ph="1"/>
    </row>
    <row r="3270" spans="23:23" ht="26.4">
      <c r="W3270" s="64" ph="1"/>
    </row>
    <row r="3271" spans="23:23" ht="26.4">
      <c r="W3271" s="64" ph="1"/>
    </row>
    <row r="3272" spans="23:23" ht="26.4">
      <c r="W3272" s="64" ph="1"/>
    </row>
    <row r="3273" spans="23:23" ht="26.4">
      <c r="W3273" s="64" ph="1"/>
    </row>
    <row r="3274" spans="23:23" ht="26.4">
      <c r="W3274" s="64" ph="1"/>
    </row>
    <row r="3275" spans="23:23" ht="26.4">
      <c r="W3275" s="64" ph="1"/>
    </row>
    <row r="3276" spans="23:23" ht="26.4">
      <c r="W3276" s="64" ph="1"/>
    </row>
    <row r="3277" spans="23:23" ht="26.4">
      <c r="W3277" s="64" ph="1"/>
    </row>
    <row r="3278" spans="23:23" ht="26.4">
      <c r="W3278" s="64" ph="1"/>
    </row>
    <row r="3279" spans="23:23" ht="26.4">
      <c r="W3279" s="64" ph="1"/>
    </row>
    <row r="3280" spans="23:23" ht="26.4">
      <c r="W3280" s="64" ph="1"/>
    </row>
    <row r="3281" spans="23:23" ht="26.4">
      <c r="W3281" s="64" ph="1"/>
    </row>
    <row r="3282" spans="23:23" ht="26.4">
      <c r="W3282" s="64" ph="1"/>
    </row>
    <row r="3283" spans="23:23" ht="26.4">
      <c r="W3283" s="64" ph="1"/>
    </row>
    <row r="3284" spans="23:23" ht="26.4">
      <c r="W3284" s="64" ph="1"/>
    </row>
    <row r="3285" spans="23:23" ht="26.4">
      <c r="W3285" s="64" ph="1"/>
    </row>
    <row r="3286" spans="23:23" ht="26.4">
      <c r="W3286" s="64" ph="1"/>
    </row>
    <row r="3287" spans="23:23" ht="26.4">
      <c r="W3287" s="64" ph="1"/>
    </row>
    <row r="3288" spans="23:23" ht="26.4">
      <c r="W3288" s="64" ph="1"/>
    </row>
    <row r="3289" spans="23:23" ht="26.4">
      <c r="W3289" s="64" ph="1"/>
    </row>
    <row r="3290" spans="23:23" ht="26.4">
      <c r="W3290" s="64" ph="1"/>
    </row>
    <row r="3291" spans="23:23" ht="26.4">
      <c r="W3291" s="64" ph="1"/>
    </row>
    <row r="3292" spans="23:23" ht="26.4">
      <c r="W3292" s="64" ph="1"/>
    </row>
    <row r="3293" spans="23:23" ht="26.4">
      <c r="W3293" s="64" ph="1"/>
    </row>
    <row r="3294" spans="23:23" ht="26.4">
      <c r="W3294" s="64" ph="1"/>
    </row>
    <row r="3295" spans="23:23" ht="26.4">
      <c r="W3295" s="64" ph="1"/>
    </row>
    <row r="3296" spans="23:23" ht="26.4">
      <c r="W3296" s="64" ph="1"/>
    </row>
    <row r="3297" spans="23:23" ht="26.4">
      <c r="W3297" s="64" ph="1"/>
    </row>
    <row r="3298" spans="23:23" ht="26.4">
      <c r="W3298" s="64" ph="1"/>
    </row>
    <row r="3299" spans="23:23" ht="26.4">
      <c r="W3299" s="64" ph="1"/>
    </row>
    <row r="3300" spans="23:23" ht="26.4">
      <c r="W3300" s="64" ph="1"/>
    </row>
    <row r="3301" spans="23:23" ht="26.4">
      <c r="W3301" s="64" ph="1"/>
    </row>
    <row r="3302" spans="23:23" ht="26.4">
      <c r="W3302" s="64" ph="1"/>
    </row>
    <row r="3303" spans="23:23" ht="26.4">
      <c r="W3303" s="64" ph="1"/>
    </row>
    <row r="3304" spans="23:23" ht="26.4">
      <c r="W3304" s="64" ph="1"/>
    </row>
    <row r="3305" spans="23:23" ht="26.4">
      <c r="W3305" s="64" ph="1"/>
    </row>
    <row r="3306" spans="23:23" ht="26.4">
      <c r="W3306" s="64" ph="1"/>
    </row>
    <row r="3307" spans="23:23" ht="26.4">
      <c r="W3307" s="64" ph="1"/>
    </row>
    <row r="3308" spans="23:23" ht="26.4">
      <c r="W3308" s="64" ph="1"/>
    </row>
    <row r="3309" spans="23:23" ht="26.4">
      <c r="W3309" s="64" ph="1"/>
    </row>
    <row r="3310" spans="23:23" ht="26.4">
      <c r="W3310" s="64" ph="1"/>
    </row>
    <row r="3311" spans="23:23" ht="26.4">
      <c r="W3311" s="64" ph="1"/>
    </row>
    <row r="3312" spans="23:23" ht="26.4">
      <c r="W3312" s="64" ph="1"/>
    </row>
    <row r="3313" spans="23:23" ht="26.4">
      <c r="W3313" s="64" ph="1"/>
    </row>
    <row r="3314" spans="23:23" ht="26.4">
      <c r="W3314" s="64" ph="1"/>
    </row>
    <row r="3315" spans="23:23" ht="26.4">
      <c r="W3315" s="64" ph="1"/>
    </row>
    <row r="3316" spans="23:23" ht="26.4">
      <c r="W3316" s="64" ph="1"/>
    </row>
    <row r="3317" spans="23:23" ht="26.4">
      <c r="W3317" s="64" ph="1"/>
    </row>
    <row r="3318" spans="23:23" ht="26.4">
      <c r="W3318" s="64" ph="1"/>
    </row>
    <row r="3319" spans="23:23" ht="26.4">
      <c r="W3319" s="64" ph="1"/>
    </row>
    <row r="3320" spans="23:23" ht="26.4">
      <c r="W3320" s="64" ph="1"/>
    </row>
    <row r="3321" spans="23:23" ht="26.4">
      <c r="W3321" s="64" ph="1"/>
    </row>
    <row r="3322" spans="23:23" ht="26.4">
      <c r="W3322" s="64" ph="1"/>
    </row>
    <row r="3323" spans="23:23" ht="26.4">
      <c r="W3323" s="64" ph="1"/>
    </row>
    <row r="3324" spans="23:23" ht="26.4">
      <c r="W3324" s="64" ph="1"/>
    </row>
    <row r="3325" spans="23:23" ht="26.4">
      <c r="W3325" s="64" ph="1"/>
    </row>
    <row r="3326" spans="23:23" ht="26.4">
      <c r="W3326" s="64" ph="1"/>
    </row>
    <row r="3327" spans="23:23" ht="26.4">
      <c r="W3327" s="64" ph="1"/>
    </row>
    <row r="3328" spans="23:23" ht="26.4">
      <c r="W3328" s="64" ph="1"/>
    </row>
    <row r="3329" spans="23:23" ht="26.4">
      <c r="W3329" s="64" ph="1"/>
    </row>
    <row r="3330" spans="23:23" ht="26.4">
      <c r="W3330" s="64" ph="1"/>
    </row>
    <row r="3331" spans="23:23" ht="26.4">
      <c r="W3331" s="64" ph="1"/>
    </row>
    <row r="3332" spans="23:23" ht="26.4">
      <c r="W3332" s="64" ph="1"/>
    </row>
    <row r="3333" spans="23:23" ht="26.4">
      <c r="W3333" s="64" ph="1"/>
    </row>
    <row r="3334" spans="23:23" ht="26.4">
      <c r="W3334" s="64" ph="1"/>
    </row>
    <row r="3335" spans="23:23" ht="26.4">
      <c r="W3335" s="64" ph="1"/>
    </row>
    <row r="3336" spans="23:23" ht="26.4">
      <c r="W3336" s="64" ph="1"/>
    </row>
    <row r="3337" spans="23:23" ht="26.4">
      <c r="W3337" s="64" ph="1"/>
    </row>
    <row r="3338" spans="23:23" ht="26.4">
      <c r="W3338" s="64" ph="1"/>
    </row>
    <row r="3339" spans="23:23" ht="26.4">
      <c r="W3339" s="64" ph="1"/>
    </row>
    <row r="3340" spans="23:23" ht="26.4">
      <c r="W3340" s="64" ph="1"/>
    </row>
    <row r="3341" spans="23:23" ht="26.4">
      <c r="W3341" s="64" ph="1"/>
    </row>
    <row r="3342" spans="23:23" ht="26.4">
      <c r="W3342" s="64" ph="1"/>
    </row>
    <row r="3343" spans="23:23" ht="26.4">
      <c r="W3343" s="64" ph="1"/>
    </row>
    <row r="3344" spans="23:23" ht="26.4">
      <c r="W3344" s="64" ph="1"/>
    </row>
    <row r="3345" spans="23:23" ht="26.4">
      <c r="W3345" s="64" ph="1"/>
    </row>
    <row r="3346" spans="23:23" ht="26.4">
      <c r="W3346" s="64" ph="1"/>
    </row>
    <row r="3347" spans="23:23" ht="26.4">
      <c r="W3347" s="64" ph="1"/>
    </row>
    <row r="3348" spans="23:23" ht="26.4">
      <c r="W3348" s="64" ph="1"/>
    </row>
    <row r="3349" spans="23:23" ht="26.4">
      <c r="W3349" s="64" ph="1"/>
    </row>
    <row r="3350" spans="23:23" ht="26.4">
      <c r="W3350" s="64" ph="1"/>
    </row>
    <row r="3351" spans="23:23" ht="26.4">
      <c r="W3351" s="64" ph="1"/>
    </row>
    <row r="3352" spans="23:23" ht="26.4">
      <c r="W3352" s="64" ph="1"/>
    </row>
    <row r="3353" spans="23:23" ht="26.4">
      <c r="W3353" s="64" ph="1"/>
    </row>
    <row r="3354" spans="23:23" ht="26.4">
      <c r="W3354" s="64" ph="1"/>
    </row>
    <row r="3355" spans="23:23" ht="26.4">
      <c r="W3355" s="64" ph="1"/>
    </row>
    <row r="3356" spans="23:23" ht="26.4">
      <c r="W3356" s="64" ph="1"/>
    </row>
    <row r="3357" spans="23:23" ht="26.4">
      <c r="W3357" s="64" ph="1"/>
    </row>
    <row r="3358" spans="23:23" ht="26.4">
      <c r="W3358" s="64" ph="1"/>
    </row>
    <row r="3359" spans="23:23" ht="26.4">
      <c r="W3359" s="64" ph="1"/>
    </row>
    <row r="3360" spans="23:23" ht="26.4">
      <c r="W3360" s="64" ph="1"/>
    </row>
    <row r="3361" spans="23:23" ht="26.4">
      <c r="W3361" s="64" ph="1"/>
    </row>
    <row r="3362" spans="23:23" ht="26.4">
      <c r="W3362" s="64" ph="1"/>
    </row>
    <row r="3363" spans="23:23" ht="26.4">
      <c r="W3363" s="64" ph="1"/>
    </row>
    <row r="3364" spans="23:23" ht="26.4">
      <c r="W3364" s="64" ph="1"/>
    </row>
    <row r="3365" spans="23:23" ht="26.4">
      <c r="W3365" s="64" ph="1"/>
    </row>
    <row r="3366" spans="23:23" ht="26.4">
      <c r="W3366" s="64" ph="1"/>
    </row>
    <row r="3367" spans="23:23" ht="26.4">
      <c r="W3367" s="64" ph="1"/>
    </row>
    <row r="3368" spans="23:23" ht="26.4">
      <c r="W3368" s="64" ph="1"/>
    </row>
    <row r="3369" spans="23:23" ht="26.4">
      <c r="W3369" s="64" ph="1"/>
    </row>
    <row r="3370" spans="23:23" ht="26.4">
      <c r="W3370" s="64" ph="1"/>
    </row>
    <row r="3371" spans="23:23" ht="26.4">
      <c r="W3371" s="64" ph="1"/>
    </row>
    <row r="3372" spans="23:23" ht="26.4">
      <c r="W3372" s="64" ph="1"/>
    </row>
    <row r="3373" spans="23:23" ht="26.4">
      <c r="W3373" s="64" ph="1"/>
    </row>
    <row r="3374" spans="23:23" ht="26.4">
      <c r="W3374" s="64" ph="1"/>
    </row>
    <row r="3375" spans="23:23" ht="26.4">
      <c r="W3375" s="64" ph="1"/>
    </row>
    <row r="3376" spans="23:23" ht="26.4">
      <c r="W3376" s="64" ph="1"/>
    </row>
    <row r="3377" spans="23:23" ht="26.4">
      <c r="W3377" s="64" ph="1"/>
    </row>
    <row r="3378" spans="23:23" ht="26.4">
      <c r="W3378" s="64" ph="1"/>
    </row>
    <row r="3379" spans="23:23" ht="26.4">
      <c r="W3379" s="64" ph="1"/>
    </row>
    <row r="3380" spans="23:23" ht="26.4">
      <c r="W3380" s="64" ph="1"/>
    </row>
    <row r="3381" spans="23:23" ht="26.4">
      <c r="W3381" s="64" ph="1"/>
    </row>
    <row r="3382" spans="23:23" ht="26.4">
      <c r="W3382" s="64" ph="1"/>
    </row>
    <row r="3383" spans="23:23" ht="26.4">
      <c r="W3383" s="64" ph="1"/>
    </row>
    <row r="3384" spans="23:23" ht="26.4">
      <c r="W3384" s="64" ph="1"/>
    </row>
    <row r="3385" spans="23:23" ht="26.4">
      <c r="W3385" s="64" ph="1"/>
    </row>
    <row r="3386" spans="23:23" ht="26.4">
      <c r="W3386" s="64" ph="1"/>
    </row>
    <row r="3387" spans="23:23" ht="26.4">
      <c r="W3387" s="64" ph="1"/>
    </row>
    <row r="3388" spans="23:23" ht="26.4">
      <c r="W3388" s="64" ph="1"/>
    </row>
    <row r="3389" spans="23:23" ht="26.4">
      <c r="W3389" s="64" ph="1"/>
    </row>
    <row r="3390" spans="23:23" ht="26.4">
      <c r="W3390" s="64" ph="1"/>
    </row>
    <row r="3391" spans="23:23" ht="26.4">
      <c r="W3391" s="64" ph="1"/>
    </row>
    <row r="3392" spans="23:23" ht="26.4">
      <c r="W3392" s="64" ph="1"/>
    </row>
    <row r="3393" spans="23:23" ht="26.4">
      <c r="W3393" s="64" ph="1"/>
    </row>
    <row r="3394" spans="23:23" ht="26.4">
      <c r="W3394" s="64" ph="1"/>
    </row>
    <row r="3395" spans="23:23" ht="26.4">
      <c r="W3395" s="64" ph="1"/>
    </row>
    <row r="3396" spans="23:23" ht="26.4">
      <c r="W3396" s="64" ph="1"/>
    </row>
    <row r="3397" spans="23:23" ht="26.4">
      <c r="W3397" s="64" ph="1"/>
    </row>
    <row r="3398" spans="23:23" ht="26.4">
      <c r="W3398" s="64" ph="1"/>
    </row>
    <row r="3399" spans="23:23" ht="26.4">
      <c r="W3399" s="64" ph="1"/>
    </row>
    <row r="3400" spans="23:23" ht="26.4">
      <c r="W3400" s="64" ph="1"/>
    </row>
    <row r="3401" spans="23:23" ht="26.4">
      <c r="W3401" s="64" ph="1"/>
    </row>
    <row r="3402" spans="23:23" ht="26.4">
      <c r="W3402" s="64" ph="1"/>
    </row>
    <row r="3403" spans="23:23" ht="26.4">
      <c r="W3403" s="64" ph="1"/>
    </row>
    <row r="3404" spans="23:23" ht="26.4">
      <c r="W3404" s="64" ph="1"/>
    </row>
    <row r="3405" spans="23:23" ht="26.4">
      <c r="W3405" s="64" ph="1"/>
    </row>
    <row r="3406" spans="23:23" ht="26.4">
      <c r="W3406" s="64" ph="1"/>
    </row>
    <row r="3407" spans="23:23" ht="26.4">
      <c r="W3407" s="64" ph="1"/>
    </row>
    <row r="3408" spans="23:23" ht="26.4">
      <c r="W3408" s="64" ph="1"/>
    </row>
    <row r="3409" spans="23:23" ht="26.4">
      <c r="W3409" s="64" ph="1"/>
    </row>
    <row r="3410" spans="23:23" ht="26.4">
      <c r="W3410" s="64" ph="1"/>
    </row>
    <row r="3411" spans="23:23" ht="26.4">
      <c r="W3411" s="64" ph="1"/>
    </row>
    <row r="3412" spans="23:23" ht="26.4">
      <c r="W3412" s="64" ph="1"/>
    </row>
    <row r="3413" spans="23:23" ht="26.4">
      <c r="W3413" s="64" ph="1"/>
    </row>
    <row r="3414" spans="23:23" ht="26.4">
      <c r="W3414" s="64" ph="1"/>
    </row>
    <row r="3415" spans="23:23" ht="26.4">
      <c r="W3415" s="64" ph="1"/>
    </row>
    <row r="3416" spans="23:23" ht="26.4">
      <c r="W3416" s="64" ph="1"/>
    </row>
    <row r="3417" spans="23:23" ht="26.4">
      <c r="W3417" s="64" ph="1"/>
    </row>
    <row r="3418" spans="23:23" ht="26.4">
      <c r="W3418" s="64" ph="1"/>
    </row>
    <row r="3419" spans="23:23" ht="26.4">
      <c r="W3419" s="64" ph="1"/>
    </row>
    <row r="3420" spans="23:23" ht="26.4">
      <c r="W3420" s="64" ph="1"/>
    </row>
    <row r="3421" spans="23:23" ht="26.4">
      <c r="W3421" s="64" ph="1"/>
    </row>
    <row r="3422" spans="23:23" ht="26.4">
      <c r="W3422" s="64" ph="1"/>
    </row>
    <row r="3423" spans="23:23" ht="26.4">
      <c r="W3423" s="64" ph="1"/>
    </row>
    <row r="3424" spans="23:23" ht="26.4">
      <c r="W3424" s="64" ph="1"/>
    </row>
    <row r="3425" spans="23:23" ht="26.4">
      <c r="W3425" s="64" ph="1"/>
    </row>
    <row r="3426" spans="23:23" ht="26.4">
      <c r="W3426" s="64" ph="1"/>
    </row>
    <row r="3427" spans="23:23" ht="26.4">
      <c r="W3427" s="64" ph="1"/>
    </row>
    <row r="3428" spans="23:23" ht="26.4">
      <c r="W3428" s="64" ph="1"/>
    </row>
    <row r="3429" spans="23:23" ht="26.4">
      <c r="W3429" s="64" ph="1"/>
    </row>
    <row r="3430" spans="23:23" ht="26.4">
      <c r="W3430" s="64" ph="1"/>
    </row>
    <row r="3431" spans="23:23" ht="26.4">
      <c r="W3431" s="64" ph="1"/>
    </row>
    <row r="3432" spans="23:23" ht="26.4">
      <c r="W3432" s="64" ph="1"/>
    </row>
    <row r="3433" spans="23:23" ht="26.4">
      <c r="W3433" s="64" ph="1"/>
    </row>
    <row r="3434" spans="23:23" ht="26.4">
      <c r="W3434" s="64" ph="1"/>
    </row>
    <row r="3435" spans="23:23" ht="26.4">
      <c r="W3435" s="64" ph="1"/>
    </row>
    <row r="3436" spans="23:23" ht="26.4">
      <c r="W3436" s="64" ph="1"/>
    </row>
    <row r="3437" spans="23:23" ht="26.4">
      <c r="W3437" s="64" ph="1"/>
    </row>
    <row r="3438" spans="23:23" ht="26.4">
      <c r="W3438" s="64" ph="1"/>
    </row>
    <row r="3439" spans="23:23" ht="26.4">
      <c r="W3439" s="64" ph="1"/>
    </row>
    <row r="3440" spans="23:23" ht="26.4">
      <c r="W3440" s="64" ph="1"/>
    </row>
    <row r="3441" spans="23:23" ht="26.4">
      <c r="W3441" s="64" ph="1"/>
    </row>
    <row r="3442" spans="23:23" ht="26.4">
      <c r="W3442" s="64" ph="1"/>
    </row>
    <row r="3443" spans="23:23" ht="26.4">
      <c r="W3443" s="64" ph="1"/>
    </row>
    <row r="3444" spans="23:23" ht="26.4">
      <c r="W3444" s="64" ph="1"/>
    </row>
    <row r="3445" spans="23:23" ht="26.4">
      <c r="W3445" s="64" ph="1"/>
    </row>
    <row r="3446" spans="23:23" ht="26.4">
      <c r="W3446" s="64" ph="1"/>
    </row>
    <row r="3447" spans="23:23" ht="26.4">
      <c r="W3447" s="64" ph="1"/>
    </row>
    <row r="3448" spans="23:23" ht="26.4">
      <c r="W3448" s="64" ph="1"/>
    </row>
    <row r="3449" spans="23:23" ht="26.4">
      <c r="W3449" s="64" ph="1"/>
    </row>
    <row r="3450" spans="23:23" ht="26.4">
      <c r="W3450" s="64" ph="1"/>
    </row>
    <row r="3451" spans="23:23" ht="26.4">
      <c r="W3451" s="64" ph="1"/>
    </row>
    <row r="3452" spans="23:23" ht="26.4">
      <c r="W3452" s="64" ph="1"/>
    </row>
    <row r="3453" spans="23:23" ht="26.4">
      <c r="W3453" s="64" ph="1"/>
    </row>
    <row r="3454" spans="23:23" ht="26.4">
      <c r="W3454" s="64" ph="1"/>
    </row>
    <row r="3455" spans="23:23" ht="26.4">
      <c r="W3455" s="64" ph="1"/>
    </row>
    <row r="3456" spans="23:23" ht="26.4">
      <c r="W3456" s="64" ph="1"/>
    </row>
    <row r="3457" spans="23:23" ht="26.4">
      <c r="W3457" s="64" ph="1"/>
    </row>
    <row r="3458" spans="23:23" ht="26.4">
      <c r="W3458" s="64" ph="1"/>
    </row>
    <row r="3459" spans="23:23" ht="26.4">
      <c r="W3459" s="64" ph="1"/>
    </row>
    <row r="3460" spans="23:23" ht="26.4">
      <c r="W3460" s="64" ph="1"/>
    </row>
    <row r="3461" spans="23:23" ht="26.4">
      <c r="W3461" s="64" ph="1"/>
    </row>
    <row r="3462" spans="23:23" ht="26.4">
      <c r="W3462" s="64" ph="1"/>
    </row>
    <row r="3463" spans="23:23" ht="26.4">
      <c r="W3463" s="64" ph="1"/>
    </row>
    <row r="3464" spans="23:23" ht="26.4">
      <c r="W3464" s="64" ph="1"/>
    </row>
    <row r="3465" spans="23:23" ht="26.4">
      <c r="W3465" s="64" ph="1"/>
    </row>
    <row r="3466" spans="23:23" ht="26.4">
      <c r="W3466" s="64" ph="1"/>
    </row>
    <row r="3467" spans="23:23" ht="26.4">
      <c r="W3467" s="64" ph="1"/>
    </row>
    <row r="3468" spans="23:23" ht="26.4">
      <c r="W3468" s="64" ph="1"/>
    </row>
    <row r="3469" spans="23:23" ht="26.4">
      <c r="W3469" s="64" ph="1"/>
    </row>
    <row r="3470" spans="23:23" ht="26.4">
      <c r="W3470" s="64" ph="1"/>
    </row>
    <row r="3471" spans="23:23" ht="26.4">
      <c r="W3471" s="64" ph="1"/>
    </row>
    <row r="3472" spans="23:23" ht="26.4">
      <c r="W3472" s="64" ph="1"/>
    </row>
    <row r="3473" spans="23:23" ht="26.4">
      <c r="W3473" s="64" ph="1"/>
    </row>
    <row r="3474" spans="23:23" ht="26.4">
      <c r="W3474" s="64" ph="1"/>
    </row>
    <row r="3475" spans="23:23" ht="26.4">
      <c r="W3475" s="64" ph="1"/>
    </row>
    <row r="3476" spans="23:23" ht="26.4">
      <c r="W3476" s="64" ph="1"/>
    </row>
    <row r="3477" spans="23:23" ht="26.4">
      <c r="W3477" s="64" ph="1"/>
    </row>
    <row r="3478" spans="23:23" ht="26.4">
      <c r="W3478" s="64" ph="1"/>
    </row>
    <row r="3479" spans="23:23" ht="26.4">
      <c r="W3479" s="64" ph="1"/>
    </row>
    <row r="3480" spans="23:23" ht="26.4">
      <c r="W3480" s="64" ph="1"/>
    </row>
    <row r="3481" spans="23:23" ht="26.4">
      <c r="W3481" s="64" ph="1"/>
    </row>
    <row r="3482" spans="23:23" ht="26.4">
      <c r="W3482" s="64" ph="1"/>
    </row>
    <row r="3483" spans="23:23" ht="26.4">
      <c r="W3483" s="64" ph="1"/>
    </row>
    <row r="3484" spans="23:23" ht="26.4">
      <c r="W3484" s="64" ph="1"/>
    </row>
    <row r="3485" spans="23:23" ht="26.4">
      <c r="W3485" s="64" ph="1"/>
    </row>
    <row r="3486" spans="23:23" ht="26.4">
      <c r="W3486" s="64" ph="1"/>
    </row>
    <row r="3487" spans="23:23" ht="26.4">
      <c r="W3487" s="64" ph="1"/>
    </row>
    <row r="3488" spans="23:23" ht="26.4">
      <c r="W3488" s="64" ph="1"/>
    </row>
    <row r="3489" spans="23:23" ht="26.4">
      <c r="W3489" s="64" ph="1"/>
    </row>
    <row r="3490" spans="23:23" ht="26.4">
      <c r="W3490" s="64" ph="1"/>
    </row>
    <row r="3491" spans="23:23" ht="26.4">
      <c r="W3491" s="64" ph="1"/>
    </row>
    <row r="3492" spans="23:23" ht="26.4">
      <c r="W3492" s="64" ph="1"/>
    </row>
    <row r="3493" spans="23:23" ht="26.4">
      <c r="W3493" s="64" ph="1"/>
    </row>
    <row r="3494" spans="23:23" ht="26.4">
      <c r="W3494" s="64" ph="1"/>
    </row>
    <row r="3495" spans="23:23" ht="26.4">
      <c r="W3495" s="64" ph="1"/>
    </row>
    <row r="3496" spans="23:23" ht="26.4">
      <c r="W3496" s="64" ph="1"/>
    </row>
    <row r="3497" spans="23:23" ht="26.4">
      <c r="W3497" s="64" ph="1"/>
    </row>
    <row r="3498" spans="23:23" ht="26.4">
      <c r="W3498" s="64" ph="1"/>
    </row>
    <row r="3499" spans="23:23" ht="26.4">
      <c r="W3499" s="64" ph="1"/>
    </row>
    <row r="3500" spans="23:23" ht="26.4">
      <c r="W3500" s="64" ph="1"/>
    </row>
    <row r="3501" spans="23:23" ht="26.4">
      <c r="W3501" s="64" ph="1"/>
    </row>
    <row r="3502" spans="23:23" ht="26.4">
      <c r="W3502" s="64" ph="1"/>
    </row>
    <row r="3503" spans="23:23" ht="26.4">
      <c r="W3503" s="64" ph="1"/>
    </row>
    <row r="3504" spans="23:23" ht="26.4">
      <c r="W3504" s="64" ph="1"/>
    </row>
    <row r="3505" spans="23:23" ht="26.4">
      <c r="W3505" s="64" ph="1"/>
    </row>
    <row r="3506" spans="23:23" ht="26.4">
      <c r="W3506" s="64" ph="1"/>
    </row>
    <row r="3507" spans="23:23" ht="26.4">
      <c r="W3507" s="64" ph="1"/>
    </row>
    <row r="3508" spans="23:23" ht="26.4">
      <c r="W3508" s="64" ph="1"/>
    </row>
    <row r="3509" spans="23:23" ht="26.4">
      <c r="W3509" s="64" ph="1"/>
    </row>
    <row r="3510" spans="23:23" ht="26.4">
      <c r="W3510" s="64" ph="1"/>
    </row>
    <row r="3511" spans="23:23" ht="26.4">
      <c r="W3511" s="64" ph="1"/>
    </row>
    <row r="3512" spans="23:23" ht="26.4">
      <c r="W3512" s="64" ph="1"/>
    </row>
    <row r="3513" spans="23:23" ht="26.4">
      <c r="W3513" s="64" ph="1"/>
    </row>
    <row r="3514" spans="23:23" ht="26.4">
      <c r="W3514" s="64" ph="1"/>
    </row>
    <row r="3515" spans="23:23" ht="26.4">
      <c r="W3515" s="64" ph="1"/>
    </row>
    <row r="3516" spans="23:23" ht="26.4">
      <c r="W3516" s="64" ph="1"/>
    </row>
    <row r="3517" spans="23:23" ht="26.4">
      <c r="W3517" s="64" ph="1"/>
    </row>
    <row r="3518" spans="23:23" ht="26.4">
      <c r="W3518" s="64" ph="1"/>
    </row>
    <row r="3519" spans="23:23" ht="26.4">
      <c r="W3519" s="64" ph="1"/>
    </row>
    <row r="3520" spans="23:23" ht="26.4">
      <c r="W3520" s="64" ph="1"/>
    </row>
    <row r="3521" spans="23:23" ht="26.4">
      <c r="W3521" s="64" ph="1"/>
    </row>
    <row r="3522" spans="23:23" ht="26.4">
      <c r="W3522" s="64" ph="1"/>
    </row>
    <row r="3523" spans="23:23" ht="26.4">
      <c r="W3523" s="64" ph="1"/>
    </row>
    <row r="3524" spans="23:23" ht="26.4">
      <c r="W3524" s="64" ph="1"/>
    </row>
    <row r="3525" spans="23:23" ht="26.4">
      <c r="W3525" s="64" ph="1"/>
    </row>
    <row r="3526" spans="23:23" ht="26.4">
      <c r="W3526" s="64" ph="1"/>
    </row>
    <row r="3527" spans="23:23" ht="26.4">
      <c r="W3527" s="64" ph="1"/>
    </row>
    <row r="3528" spans="23:23" ht="26.4">
      <c r="W3528" s="64" ph="1"/>
    </row>
    <row r="3529" spans="23:23" ht="26.4">
      <c r="W3529" s="64" ph="1"/>
    </row>
    <row r="3530" spans="23:23" ht="26.4">
      <c r="W3530" s="64" ph="1"/>
    </row>
    <row r="3531" spans="23:23" ht="26.4">
      <c r="W3531" s="64" ph="1"/>
    </row>
    <row r="3532" spans="23:23" ht="26.4">
      <c r="W3532" s="64" ph="1"/>
    </row>
    <row r="3533" spans="23:23" ht="26.4">
      <c r="W3533" s="64" ph="1"/>
    </row>
    <row r="3534" spans="23:23" ht="26.4">
      <c r="W3534" s="64" ph="1"/>
    </row>
    <row r="3535" spans="23:23" ht="26.4">
      <c r="W3535" s="64" ph="1"/>
    </row>
    <row r="3536" spans="23:23" ht="26.4">
      <c r="W3536" s="64" ph="1"/>
    </row>
    <row r="3537" spans="23:23" ht="26.4">
      <c r="W3537" s="64" ph="1"/>
    </row>
    <row r="3538" spans="23:23" ht="26.4">
      <c r="W3538" s="64" ph="1"/>
    </row>
    <row r="3539" spans="23:23" ht="26.4">
      <c r="W3539" s="64" ph="1"/>
    </row>
    <row r="3540" spans="23:23" ht="26.4">
      <c r="W3540" s="64" ph="1"/>
    </row>
    <row r="3541" spans="23:23" ht="26.4">
      <c r="W3541" s="64" ph="1"/>
    </row>
    <row r="3542" spans="23:23" ht="26.4">
      <c r="W3542" s="64" ph="1"/>
    </row>
    <row r="3543" spans="23:23" ht="26.4">
      <c r="W3543" s="64" ph="1"/>
    </row>
    <row r="3544" spans="23:23" ht="26.4">
      <c r="W3544" s="64" ph="1"/>
    </row>
    <row r="3545" spans="23:23" ht="26.4">
      <c r="W3545" s="64" ph="1"/>
    </row>
    <row r="3546" spans="23:23" ht="26.4">
      <c r="W3546" s="64" ph="1"/>
    </row>
    <row r="3547" spans="23:23" ht="26.4">
      <c r="W3547" s="64" ph="1"/>
    </row>
    <row r="3548" spans="23:23" ht="26.4">
      <c r="W3548" s="64" ph="1"/>
    </row>
    <row r="3549" spans="23:23" ht="26.4">
      <c r="W3549" s="64" ph="1"/>
    </row>
    <row r="3550" spans="23:23" ht="26.4">
      <c r="W3550" s="64" ph="1"/>
    </row>
    <row r="3551" spans="23:23" ht="26.4">
      <c r="W3551" s="64" ph="1"/>
    </row>
    <row r="3552" spans="23:23" ht="26.4">
      <c r="W3552" s="64" ph="1"/>
    </row>
    <row r="3553" spans="23:23" ht="26.4">
      <c r="W3553" s="64" ph="1"/>
    </row>
    <row r="3554" spans="23:23" ht="26.4">
      <c r="W3554" s="64" ph="1"/>
    </row>
    <row r="3555" spans="23:23" ht="26.4">
      <c r="W3555" s="64" ph="1"/>
    </row>
    <row r="3556" spans="23:23" ht="26.4">
      <c r="W3556" s="64" ph="1"/>
    </row>
    <row r="3557" spans="23:23" ht="26.4">
      <c r="W3557" s="64" ph="1"/>
    </row>
    <row r="3558" spans="23:23" ht="26.4">
      <c r="W3558" s="64" ph="1"/>
    </row>
    <row r="3559" spans="23:23" ht="26.4">
      <c r="W3559" s="64" ph="1"/>
    </row>
    <row r="3560" spans="23:23" ht="26.4">
      <c r="W3560" s="64" ph="1"/>
    </row>
    <row r="3561" spans="23:23" ht="26.4">
      <c r="W3561" s="64" ph="1"/>
    </row>
    <row r="3562" spans="23:23" ht="26.4">
      <c r="W3562" s="64" ph="1"/>
    </row>
    <row r="3563" spans="23:23" ht="26.4">
      <c r="W3563" s="64" ph="1"/>
    </row>
    <row r="3564" spans="23:23" ht="26.4">
      <c r="W3564" s="64" ph="1"/>
    </row>
    <row r="3565" spans="23:23" ht="26.4">
      <c r="W3565" s="64" ph="1"/>
    </row>
    <row r="3566" spans="23:23" ht="26.4">
      <c r="W3566" s="64" ph="1"/>
    </row>
    <row r="3567" spans="23:23" ht="26.4">
      <c r="W3567" s="64" ph="1"/>
    </row>
    <row r="3568" spans="23:23" ht="26.4">
      <c r="W3568" s="64" ph="1"/>
    </row>
    <row r="3569" spans="23:23" ht="26.4">
      <c r="W3569" s="64" ph="1"/>
    </row>
    <row r="3570" spans="23:23" ht="26.4">
      <c r="W3570" s="64" ph="1"/>
    </row>
    <row r="3571" spans="23:23" ht="26.4">
      <c r="W3571" s="64" ph="1"/>
    </row>
    <row r="3572" spans="23:23" ht="26.4">
      <c r="W3572" s="64" ph="1"/>
    </row>
    <row r="3573" spans="23:23" ht="26.4">
      <c r="W3573" s="64" ph="1"/>
    </row>
    <row r="3574" spans="23:23" ht="26.4">
      <c r="W3574" s="64" ph="1"/>
    </row>
    <row r="3575" spans="23:23" ht="26.4">
      <c r="W3575" s="64" ph="1"/>
    </row>
    <row r="3576" spans="23:23" ht="26.4">
      <c r="W3576" s="64" ph="1"/>
    </row>
    <row r="3577" spans="23:23" ht="26.4">
      <c r="W3577" s="64" ph="1"/>
    </row>
    <row r="3578" spans="23:23" ht="26.4">
      <c r="W3578" s="64" ph="1"/>
    </row>
    <row r="3579" spans="23:23" ht="26.4">
      <c r="W3579" s="64" ph="1"/>
    </row>
    <row r="3580" spans="23:23" ht="26.4">
      <c r="W3580" s="64" ph="1"/>
    </row>
    <row r="3581" spans="23:23" ht="26.4">
      <c r="W3581" s="64" ph="1"/>
    </row>
    <row r="3582" spans="23:23" ht="26.4">
      <c r="W3582" s="64" ph="1"/>
    </row>
    <row r="3583" spans="23:23" ht="26.4">
      <c r="W3583" s="64" ph="1"/>
    </row>
    <row r="3584" spans="23:23" ht="26.4">
      <c r="W3584" s="64" ph="1"/>
    </row>
    <row r="3585" spans="23:23" ht="26.4">
      <c r="W3585" s="64" ph="1"/>
    </row>
    <row r="3586" spans="23:23" ht="26.4">
      <c r="W3586" s="64" ph="1"/>
    </row>
    <row r="3587" spans="23:23" ht="26.4">
      <c r="W3587" s="64" ph="1"/>
    </row>
    <row r="3588" spans="23:23" ht="26.4">
      <c r="W3588" s="64" ph="1"/>
    </row>
    <row r="3589" spans="23:23" ht="26.4">
      <c r="W3589" s="64" ph="1"/>
    </row>
    <row r="3590" spans="23:23" ht="26.4">
      <c r="W3590" s="64" ph="1"/>
    </row>
    <row r="3591" spans="23:23" ht="26.4">
      <c r="W3591" s="64" ph="1"/>
    </row>
    <row r="3592" spans="23:23" ht="26.4">
      <c r="W3592" s="64" ph="1"/>
    </row>
    <row r="3593" spans="23:23" ht="26.4">
      <c r="W3593" s="64" ph="1"/>
    </row>
    <row r="3594" spans="23:23" ht="26.4">
      <c r="W3594" s="64" ph="1"/>
    </row>
    <row r="3595" spans="23:23" ht="26.4">
      <c r="W3595" s="64" ph="1"/>
    </row>
    <row r="3596" spans="23:23" ht="26.4">
      <c r="W3596" s="64" ph="1"/>
    </row>
    <row r="3597" spans="23:23" ht="26.4">
      <c r="W3597" s="64" ph="1"/>
    </row>
    <row r="3598" spans="23:23" ht="26.4">
      <c r="W3598" s="64" ph="1"/>
    </row>
    <row r="3599" spans="23:23" ht="26.4">
      <c r="W3599" s="64" ph="1"/>
    </row>
    <row r="3600" spans="23:23" ht="26.4">
      <c r="W3600" s="64" ph="1"/>
    </row>
    <row r="3601" spans="23:23" ht="26.4">
      <c r="W3601" s="64" ph="1"/>
    </row>
    <row r="3602" spans="23:23" ht="26.4">
      <c r="W3602" s="64" ph="1"/>
    </row>
    <row r="3603" spans="23:23" ht="26.4">
      <c r="W3603" s="64" ph="1"/>
    </row>
    <row r="3604" spans="23:23" ht="26.4">
      <c r="W3604" s="64" ph="1"/>
    </row>
    <row r="3605" spans="23:23" ht="26.4">
      <c r="W3605" s="64" ph="1"/>
    </row>
    <row r="3606" spans="23:23" ht="26.4">
      <c r="W3606" s="64" ph="1"/>
    </row>
    <row r="3607" spans="23:23" ht="26.4">
      <c r="W3607" s="64" ph="1"/>
    </row>
    <row r="3608" spans="23:23" ht="26.4">
      <c r="W3608" s="64" ph="1"/>
    </row>
    <row r="3609" spans="23:23" ht="26.4">
      <c r="W3609" s="64" ph="1"/>
    </row>
    <row r="3610" spans="23:23" ht="26.4">
      <c r="W3610" s="64" ph="1"/>
    </row>
    <row r="3611" spans="23:23" ht="26.4">
      <c r="W3611" s="64" ph="1"/>
    </row>
    <row r="3612" spans="23:23" ht="26.4">
      <c r="W3612" s="64" ph="1"/>
    </row>
    <row r="3613" spans="23:23" ht="26.4">
      <c r="W3613" s="64" ph="1"/>
    </row>
    <row r="3614" spans="23:23" ht="26.4">
      <c r="W3614" s="64" ph="1"/>
    </row>
    <row r="3615" spans="23:23" ht="26.4">
      <c r="W3615" s="64" ph="1"/>
    </row>
    <row r="3616" spans="23:23" ht="26.4">
      <c r="W3616" s="64" ph="1"/>
    </row>
    <row r="3617" spans="23:23" ht="26.4">
      <c r="W3617" s="64" ph="1"/>
    </row>
    <row r="3618" spans="23:23" ht="26.4">
      <c r="W3618" s="64" ph="1"/>
    </row>
    <row r="3619" spans="23:23" ht="26.4">
      <c r="W3619" s="64" ph="1"/>
    </row>
    <row r="3620" spans="23:23" ht="26.4">
      <c r="W3620" s="64" ph="1"/>
    </row>
    <row r="3621" spans="23:23" ht="26.4">
      <c r="W3621" s="64" ph="1"/>
    </row>
    <row r="3622" spans="23:23" ht="26.4">
      <c r="W3622" s="64" ph="1"/>
    </row>
    <row r="3623" spans="23:23" ht="26.4">
      <c r="W3623" s="64" ph="1"/>
    </row>
    <row r="3624" spans="23:23" ht="26.4">
      <c r="W3624" s="64" ph="1"/>
    </row>
    <row r="3625" spans="23:23" ht="26.4">
      <c r="W3625" s="64" ph="1"/>
    </row>
    <row r="3626" spans="23:23" ht="26.4">
      <c r="W3626" s="64" ph="1"/>
    </row>
    <row r="3627" spans="23:23" ht="26.4">
      <c r="W3627" s="64" ph="1"/>
    </row>
    <row r="3628" spans="23:23" ht="26.4">
      <c r="W3628" s="64" ph="1"/>
    </row>
    <row r="3629" spans="23:23" ht="26.4">
      <c r="W3629" s="64" ph="1"/>
    </row>
    <row r="3630" spans="23:23" ht="26.4">
      <c r="W3630" s="64" ph="1"/>
    </row>
    <row r="3631" spans="23:23" ht="26.4">
      <c r="W3631" s="64" ph="1"/>
    </row>
    <row r="3632" spans="23:23" ht="26.4">
      <c r="W3632" s="64" ph="1"/>
    </row>
    <row r="3633" spans="23:23" ht="26.4">
      <c r="W3633" s="64" ph="1"/>
    </row>
    <row r="3634" spans="23:23" ht="26.4">
      <c r="W3634" s="64" ph="1"/>
    </row>
    <row r="3635" spans="23:23" ht="26.4">
      <c r="W3635" s="64" ph="1"/>
    </row>
    <row r="3636" spans="23:23" ht="26.4">
      <c r="W3636" s="64" ph="1"/>
    </row>
    <row r="3637" spans="23:23" ht="26.4">
      <c r="W3637" s="64" ph="1"/>
    </row>
    <row r="3638" spans="23:23" ht="26.4">
      <c r="W3638" s="64" ph="1"/>
    </row>
    <row r="3639" spans="23:23" ht="26.4">
      <c r="W3639" s="64" ph="1"/>
    </row>
    <row r="3640" spans="23:23" ht="26.4">
      <c r="W3640" s="64" ph="1"/>
    </row>
    <row r="3641" spans="23:23" ht="26.4">
      <c r="W3641" s="64" ph="1"/>
    </row>
    <row r="3642" spans="23:23" ht="26.4">
      <c r="W3642" s="64" ph="1"/>
    </row>
    <row r="3643" spans="23:23" ht="26.4">
      <c r="W3643" s="64" ph="1"/>
    </row>
    <row r="3644" spans="23:23" ht="26.4">
      <c r="W3644" s="64" ph="1"/>
    </row>
    <row r="3645" spans="23:23" ht="26.4">
      <c r="W3645" s="64" ph="1"/>
    </row>
    <row r="3646" spans="23:23" ht="26.4">
      <c r="W3646" s="64" ph="1"/>
    </row>
    <row r="3647" spans="23:23" ht="26.4">
      <c r="W3647" s="64" ph="1"/>
    </row>
    <row r="3648" spans="23:23" ht="26.4">
      <c r="W3648" s="64" ph="1"/>
    </row>
    <row r="3649" spans="23:23" ht="26.4">
      <c r="W3649" s="64" ph="1"/>
    </row>
    <row r="3650" spans="23:23" ht="26.4">
      <c r="W3650" s="64" ph="1"/>
    </row>
    <row r="3651" spans="23:23" ht="26.4">
      <c r="W3651" s="64" ph="1"/>
    </row>
    <row r="3652" spans="23:23" ht="26.4">
      <c r="W3652" s="64" ph="1"/>
    </row>
    <row r="3653" spans="23:23" ht="26.4">
      <c r="W3653" s="64" ph="1"/>
    </row>
    <row r="3654" spans="23:23" ht="26.4">
      <c r="W3654" s="64" ph="1"/>
    </row>
    <row r="3655" spans="23:23" ht="26.4">
      <c r="W3655" s="64" ph="1"/>
    </row>
    <row r="3656" spans="23:23" ht="26.4">
      <c r="W3656" s="64" ph="1"/>
    </row>
    <row r="3657" spans="23:23" ht="26.4">
      <c r="W3657" s="64" ph="1"/>
    </row>
    <row r="3658" spans="23:23" ht="26.4">
      <c r="W3658" s="64" ph="1"/>
    </row>
    <row r="3659" spans="23:23" ht="26.4">
      <c r="W3659" s="64" ph="1"/>
    </row>
    <row r="3660" spans="23:23" ht="26.4">
      <c r="W3660" s="64" ph="1"/>
    </row>
    <row r="3661" spans="23:23" ht="26.4">
      <c r="W3661" s="64" ph="1"/>
    </row>
    <row r="3662" spans="23:23" ht="26.4">
      <c r="W3662" s="64" ph="1"/>
    </row>
    <row r="3663" spans="23:23" ht="26.4">
      <c r="W3663" s="64" ph="1"/>
    </row>
    <row r="3664" spans="23:23" ht="26.4">
      <c r="W3664" s="64" ph="1"/>
    </row>
    <row r="3665" spans="23:23" ht="26.4">
      <c r="W3665" s="64" ph="1"/>
    </row>
    <row r="3666" spans="23:23" ht="26.4">
      <c r="W3666" s="64" ph="1"/>
    </row>
    <row r="3667" spans="23:23" ht="26.4">
      <c r="W3667" s="64" ph="1"/>
    </row>
    <row r="3668" spans="23:23" ht="26.4">
      <c r="W3668" s="64" ph="1"/>
    </row>
    <row r="3669" spans="23:23" ht="26.4">
      <c r="W3669" s="64" ph="1"/>
    </row>
    <row r="3670" spans="23:23" ht="26.4">
      <c r="W3670" s="64" ph="1"/>
    </row>
    <row r="3671" spans="23:23" ht="26.4">
      <c r="W3671" s="64" ph="1"/>
    </row>
    <row r="3672" spans="23:23" ht="26.4">
      <c r="W3672" s="64" ph="1"/>
    </row>
    <row r="3673" spans="23:23" ht="26.4">
      <c r="W3673" s="64" ph="1"/>
    </row>
    <row r="3674" spans="23:23" ht="26.4">
      <c r="W3674" s="64" ph="1"/>
    </row>
    <row r="3675" spans="23:23" ht="26.4">
      <c r="W3675" s="64" ph="1"/>
    </row>
    <row r="3676" spans="23:23" ht="26.4">
      <c r="W3676" s="64" ph="1"/>
    </row>
    <row r="3677" spans="23:23" ht="26.4">
      <c r="W3677" s="64" ph="1"/>
    </row>
    <row r="3678" spans="23:23" ht="26.4">
      <c r="W3678" s="64" ph="1"/>
    </row>
    <row r="3679" spans="23:23" ht="26.4">
      <c r="W3679" s="64" ph="1"/>
    </row>
    <row r="3680" spans="23:23" ht="26.4">
      <c r="W3680" s="64" ph="1"/>
    </row>
    <row r="3681" spans="23:23" ht="26.4">
      <c r="W3681" s="64" ph="1"/>
    </row>
    <row r="3682" spans="23:23" ht="26.4">
      <c r="W3682" s="64" ph="1"/>
    </row>
    <row r="3683" spans="23:23" ht="26.4">
      <c r="W3683" s="64" ph="1"/>
    </row>
    <row r="3684" spans="23:23" ht="26.4">
      <c r="W3684" s="64" ph="1"/>
    </row>
    <row r="3685" spans="23:23" ht="26.4">
      <c r="W3685" s="64" ph="1"/>
    </row>
    <row r="3686" spans="23:23" ht="26.4">
      <c r="W3686" s="64" ph="1"/>
    </row>
    <row r="3687" spans="23:23" ht="26.4">
      <c r="W3687" s="64" ph="1"/>
    </row>
    <row r="3688" spans="23:23" ht="26.4">
      <c r="W3688" s="64" ph="1"/>
    </row>
    <row r="3689" spans="23:23" ht="26.4">
      <c r="W3689" s="64" ph="1"/>
    </row>
    <row r="3690" spans="23:23" ht="26.4">
      <c r="W3690" s="64" ph="1"/>
    </row>
    <row r="3691" spans="23:23" ht="26.4">
      <c r="W3691" s="64" ph="1"/>
    </row>
    <row r="3692" spans="23:23" ht="26.4">
      <c r="W3692" s="64" ph="1"/>
    </row>
    <row r="3693" spans="23:23" ht="26.4">
      <c r="W3693" s="64" ph="1"/>
    </row>
    <row r="3694" spans="23:23" ht="26.4">
      <c r="W3694" s="64" ph="1"/>
    </row>
    <row r="3695" spans="23:23" ht="26.4">
      <c r="W3695" s="64" ph="1"/>
    </row>
    <row r="3696" spans="23:23" ht="26.4">
      <c r="W3696" s="64" ph="1"/>
    </row>
    <row r="3697" spans="23:23" ht="26.4">
      <c r="W3697" s="64" ph="1"/>
    </row>
    <row r="3698" spans="23:23" ht="26.4">
      <c r="W3698" s="64" ph="1"/>
    </row>
    <row r="3699" spans="23:23" ht="26.4">
      <c r="W3699" s="64" ph="1"/>
    </row>
    <row r="3700" spans="23:23" ht="26.4">
      <c r="W3700" s="64" ph="1"/>
    </row>
    <row r="3701" spans="23:23" ht="26.4">
      <c r="W3701" s="64" ph="1"/>
    </row>
    <row r="3702" spans="23:23" ht="26.4">
      <c r="W3702" s="64" ph="1"/>
    </row>
    <row r="3703" spans="23:23" ht="26.4">
      <c r="W3703" s="64" ph="1"/>
    </row>
    <row r="3704" spans="23:23" ht="26.4">
      <c r="W3704" s="64" ph="1"/>
    </row>
    <row r="3705" spans="23:23" ht="26.4">
      <c r="W3705" s="64" ph="1"/>
    </row>
    <row r="3706" spans="23:23" ht="26.4">
      <c r="W3706" s="64" ph="1"/>
    </row>
    <row r="3707" spans="23:23" ht="26.4">
      <c r="W3707" s="64" ph="1"/>
    </row>
    <row r="3708" spans="23:23" ht="26.4">
      <c r="W3708" s="64" ph="1"/>
    </row>
    <row r="3709" spans="23:23" ht="26.4">
      <c r="W3709" s="64" ph="1"/>
    </row>
    <row r="3710" spans="23:23" ht="26.4">
      <c r="W3710" s="64" ph="1"/>
    </row>
    <row r="3711" spans="23:23" ht="26.4">
      <c r="W3711" s="64" ph="1"/>
    </row>
    <row r="3712" spans="23:23" ht="26.4">
      <c r="W3712" s="64" ph="1"/>
    </row>
    <row r="3713" spans="23:23" ht="26.4">
      <c r="W3713" s="64" ph="1"/>
    </row>
    <row r="3714" spans="23:23" ht="26.4">
      <c r="W3714" s="64" ph="1"/>
    </row>
    <row r="3715" spans="23:23" ht="26.4">
      <c r="W3715" s="64" ph="1"/>
    </row>
    <row r="3716" spans="23:23" ht="26.4">
      <c r="W3716" s="64" ph="1"/>
    </row>
    <row r="3717" spans="23:23" ht="26.4">
      <c r="W3717" s="64" ph="1"/>
    </row>
    <row r="3718" spans="23:23" ht="26.4">
      <c r="W3718" s="64" ph="1"/>
    </row>
    <row r="3719" spans="23:23" ht="26.4">
      <c r="W3719" s="64" ph="1"/>
    </row>
    <row r="3720" spans="23:23" ht="26.4">
      <c r="W3720" s="64" ph="1"/>
    </row>
    <row r="3721" spans="23:23" ht="26.4">
      <c r="W3721" s="64" ph="1"/>
    </row>
    <row r="3722" spans="23:23" ht="26.4">
      <c r="W3722" s="64" ph="1"/>
    </row>
    <row r="3723" spans="23:23" ht="26.4">
      <c r="W3723" s="64" ph="1"/>
    </row>
    <row r="3724" spans="23:23" ht="26.4">
      <c r="W3724" s="64" ph="1"/>
    </row>
    <row r="3725" spans="23:23" ht="26.4">
      <c r="W3725" s="64" ph="1"/>
    </row>
    <row r="3726" spans="23:23" ht="26.4">
      <c r="W3726" s="64" ph="1"/>
    </row>
    <row r="3727" spans="23:23" ht="26.4">
      <c r="W3727" s="64" ph="1"/>
    </row>
    <row r="3728" spans="23:23" ht="26.4">
      <c r="W3728" s="64" ph="1"/>
    </row>
    <row r="3729" spans="23:23" ht="26.4">
      <c r="W3729" s="64" ph="1"/>
    </row>
    <row r="3730" spans="23:23" ht="26.4">
      <c r="W3730" s="64" ph="1"/>
    </row>
    <row r="3731" spans="23:23" ht="26.4">
      <c r="W3731" s="64" ph="1"/>
    </row>
    <row r="3732" spans="23:23" ht="26.4">
      <c r="W3732" s="64" ph="1"/>
    </row>
    <row r="3733" spans="23:23" ht="26.4">
      <c r="W3733" s="64" ph="1"/>
    </row>
    <row r="3734" spans="23:23" ht="26.4">
      <c r="W3734" s="64" ph="1"/>
    </row>
    <row r="3735" spans="23:23" ht="26.4">
      <c r="W3735" s="64" ph="1"/>
    </row>
    <row r="3736" spans="23:23" ht="26.4">
      <c r="W3736" s="64" ph="1"/>
    </row>
    <row r="3737" spans="23:23" ht="26.4">
      <c r="W3737" s="64" ph="1"/>
    </row>
    <row r="3738" spans="23:23" ht="26.4">
      <c r="W3738" s="64" ph="1"/>
    </row>
    <row r="3739" spans="23:23" ht="26.4">
      <c r="W3739" s="64" ph="1"/>
    </row>
    <row r="3740" spans="23:23" ht="26.4">
      <c r="W3740" s="64" ph="1"/>
    </row>
    <row r="3741" spans="23:23" ht="26.4">
      <c r="W3741" s="64" ph="1"/>
    </row>
    <row r="3742" spans="23:23" ht="26.4">
      <c r="W3742" s="64" ph="1"/>
    </row>
    <row r="3743" spans="23:23" ht="26.4">
      <c r="W3743" s="64" ph="1"/>
    </row>
    <row r="3744" spans="23:23" ht="26.4">
      <c r="W3744" s="64" ph="1"/>
    </row>
    <row r="3745" spans="23:23" ht="26.4">
      <c r="W3745" s="64" ph="1"/>
    </row>
    <row r="3746" spans="23:23" ht="26.4">
      <c r="W3746" s="64" ph="1"/>
    </row>
    <row r="3747" spans="23:23" ht="26.4">
      <c r="W3747" s="64" ph="1"/>
    </row>
    <row r="3748" spans="23:23" ht="26.4">
      <c r="W3748" s="64" ph="1"/>
    </row>
    <row r="3749" spans="23:23" ht="26.4">
      <c r="W3749" s="64" ph="1"/>
    </row>
    <row r="3750" spans="23:23" ht="26.4">
      <c r="W3750" s="64" ph="1"/>
    </row>
    <row r="3751" spans="23:23" ht="26.4">
      <c r="W3751" s="64" ph="1"/>
    </row>
    <row r="3752" spans="23:23" ht="26.4">
      <c r="W3752" s="64" ph="1"/>
    </row>
    <row r="3753" spans="23:23" ht="26.4">
      <c r="W3753" s="64" ph="1"/>
    </row>
    <row r="3754" spans="23:23" ht="26.4">
      <c r="W3754" s="64" ph="1"/>
    </row>
    <row r="3755" spans="23:23" ht="26.4">
      <c r="W3755" s="64" ph="1"/>
    </row>
    <row r="3756" spans="23:23" ht="26.4">
      <c r="W3756" s="64" ph="1"/>
    </row>
    <row r="3757" spans="23:23" ht="26.4">
      <c r="W3757" s="64" ph="1"/>
    </row>
    <row r="3758" spans="23:23" ht="26.4">
      <c r="W3758" s="64" ph="1"/>
    </row>
    <row r="3759" spans="23:23" ht="26.4">
      <c r="W3759" s="64" ph="1"/>
    </row>
    <row r="3760" spans="23:23" ht="26.4">
      <c r="W3760" s="64" ph="1"/>
    </row>
    <row r="3761" spans="23:23" ht="26.4">
      <c r="W3761" s="64" ph="1"/>
    </row>
    <row r="3762" spans="23:23" ht="26.4">
      <c r="W3762" s="64" ph="1"/>
    </row>
    <row r="3763" spans="23:23" ht="26.4">
      <c r="W3763" s="64" ph="1"/>
    </row>
    <row r="3764" spans="23:23" ht="26.4">
      <c r="W3764" s="64" ph="1"/>
    </row>
    <row r="3765" spans="23:23" ht="26.4">
      <c r="W3765" s="64" ph="1"/>
    </row>
    <row r="3766" spans="23:23" ht="26.4">
      <c r="W3766" s="64" ph="1"/>
    </row>
    <row r="3767" spans="23:23" ht="26.4">
      <c r="W3767" s="64" ph="1"/>
    </row>
    <row r="3768" spans="23:23" ht="26.4">
      <c r="W3768" s="64" ph="1"/>
    </row>
    <row r="3769" spans="23:23" ht="26.4">
      <c r="W3769" s="64" ph="1"/>
    </row>
    <row r="3770" spans="23:23" ht="26.4">
      <c r="W3770" s="64" ph="1"/>
    </row>
    <row r="3771" spans="23:23" ht="26.4">
      <c r="W3771" s="64" ph="1"/>
    </row>
    <row r="3772" spans="23:23" ht="26.4">
      <c r="W3772" s="64" ph="1"/>
    </row>
    <row r="3773" spans="23:23" ht="26.4">
      <c r="W3773" s="64" ph="1"/>
    </row>
    <row r="3774" spans="23:23" ht="26.4">
      <c r="W3774" s="64" ph="1"/>
    </row>
    <row r="3775" spans="23:23" ht="26.4">
      <c r="W3775" s="64" ph="1"/>
    </row>
    <row r="3776" spans="23:23" ht="26.4">
      <c r="W3776" s="64" ph="1"/>
    </row>
    <row r="3777" spans="23:23" ht="26.4">
      <c r="W3777" s="64" ph="1"/>
    </row>
    <row r="3778" spans="23:23" ht="26.4">
      <c r="W3778" s="64" ph="1"/>
    </row>
    <row r="3779" spans="23:23" ht="26.4">
      <c r="W3779" s="64" ph="1"/>
    </row>
    <row r="3780" spans="23:23" ht="26.4">
      <c r="W3780" s="64" ph="1"/>
    </row>
    <row r="3781" spans="23:23" ht="26.4">
      <c r="W3781" s="64" ph="1"/>
    </row>
    <row r="3782" spans="23:23" ht="26.4">
      <c r="W3782" s="64" ph="1"/>
    </row>
    <row r="3783" spans="23:23" ht="26.4">
      <c r="W3783" s="64" ph="1"/>
    </row>
    <row r="3784" spans="23:23" ht="26.4">
      <c r="W3784" s="64" ph="1"/>
    </row>
    <row r="3785" spans="23:23" ht="26.4">
      <c r="W3785" s="64" ph="1"/>
    </row>
    <row r="3786" spans="23:23" ht="26.4">
      <c r="W3786" s="64" ph="1"/>
    </row>
    <row r="3787" spans="23:23" ht="26.4">
      <c r="W3787" s="64" ph="1"/>
    </row>
    <row r="3788" spans="23:23" ht="26.4">
      <c r="W3788" s="64" ph="1"/>
    </row>
    <row r="3789" spans="23:23" ht="26.4">
      <c r="W3789" s="64" ph="1"/>
    </row>
    <row r="3790" spans="23:23" ht="26.4">
      <c r="W3790" s="64" ph="1"/>
    </row>
    <row r="3791" spans="23:23" ht="26.4">
      <c r="W3791" s="64" ph="1"/>
    </row>
    <row r="3792" spans="23:23" ht="26.4">
      <c r="W3792" s="64" ph="1"/>
    </row>
    <row r="3793" spans="23:23" ht="26.4">
      <c r="W3793" s="64" ph="1"/>
    </row>
    <row r="3794" spans="23:23" ht="26.4">
      <c r="W3794" s="64" ph="1"/>
    </row>
    <row r="3795" spans="23:23" ht="26.4">
      <c r="W3795" s="64" ph="1"/>
    </row>
    <row r="3796" spans="23:23" ht="26.4">
      <c r="W3796" s="64" ph="1"/>
    </row>
    <row r="3797" spans="23:23" ht="26.4">
      <c r="W3797" s="64" ph="1"/>
    </row>
    <row r="3798" spans="23:23" ht="26.4">
      <c r="W3798" s="64" ph="1"/>
    </row>
    <row r="3799" spans="23:23" ht="26.4">
      <c r="W3799" s="64" ph="1"/>
    </row>
    <row r="3800" spans="23:23" ht="26.4">
      <c r="W3800" s="64" ph="1"/>
    </row>
    <row r="3801" spans="23:23" ht="26.4">
      <c r="W3801" s="64" ph="1"/>
    </row>
    <row r="3802" spans="23:23" ht="26.4">
      <c r="W3802" s="64" ph="1"/>
    </row>
    <row r="3803" spans="23:23" ht="26.4">
      <c r="W3803" s="64" ph="1"/>
    </row>
    <row r="3804" spans="23:23" ht="26.4">
      <c r="W3804" s="64" ph="1"/>
    </row>
    <row r="3805" spans="23:23" ht="26.4">
      <c r="W3805" s="64" ph="1"/>
    </row>
    <row r="3806" spans="23:23" ht="26.4">
      <c r="W3806" s="64" ph="1"/>
    </row>
    <row r="3807" spans="23:23" ht="26.4">
      <c r="W3807" s="64" ph="1"/>
    </row>
    <row r="3808" spans="23:23" ht="26.4">
      <c r="W3808" s="64" ph="1"/>
    </row>
    <row r="3809" spans="23:23" ht="26.4">
      <c r="W3809" s="64" ph="1"/>
    </row>
    <row r="3810" spans="23:23" ht="26.4">
      <c r="W3810" s="64" ph="1"/>
    </row>
    <row r="3811" spans="23:23" ht="26.4">
      <c r="W3811" s="64" ph="1"/>
    </row>
    <row r="3812" spans="23:23" ht="26.4">
      <c r="W3812" s="64" ph="1"/>
    </row>
    <row r="3813" spans="23:23" ht="26.4">
      <c r="W3813" s="64" ph="1"/>
    </row>
    <row r="3814" spans="23:23" ht="26.4">
      <c r="W3814" s="64" ph="1"/>
    </row>
    <row r="3815" spans="23:23" ht="26.4">
      <c r="W3815" s="64" ph="1"/>
    </row>
    <row r="3816" spans="23:23" ht="26.4">
      <c r="W3816" s="64" ph="1"/>
    </row>
    <row r="3817" spans="23:23" ht="26.4">
      <c r="W3817" s="64" ph="1"/>
    </row>
    <row r="3818" spans="23:23" ht="26.4">
      <c r="W3818" s="64" ph="1"/>
    </row>
    <row r="3819" spans="23:23" ht="26.4">
      <c r="W3819" s="64" ph="1"/>
    </row>
    <row r="3820" spans="23:23" ht="26.4">
      <c r="W3820" s="64" ph="1"/>
    </row>
    <row r="3821" spans="23:23" ht="26.4">
      <c r="W3821" s="64" ph="1"/>
    </row>
    <row r="3822" spans="23:23" ht="26.4">
      <c r="W3822" s="64" ph="1"/>
    </row>
    <row r="3823" spans="23:23" ht="26.4">
      <c r="W3823" s="64" ph="1"/>
    </row>
    <row r="3824" spans="23:23" ht="26.4">
      <c r="W3824" s="64" ph="1"/>
    </row>
    <row r="3825" spans="23:23" ht="26.4">
      <c r="W3825" s="64" ph="1"/>
    </row>
    <row r="3826" spans="23:23" ht="26.4">
      <c r="W3826" s="64" ph="1"/>
    </row>
    <row r="3827" spans="23:23" ht="26.4">
      <c r="W3827" s="64" ph="1"/>
    </row>
    <row r="3828" spans="23:23" ht="26.4">
      <c r="W3828" s="64" ph="1"/>
    </row>
    <row r="3829" spans="23:23" ht="26.4">
      <c r="W3829" s="64" ph="1"/>
    </row>
    <row r="3830" spans="23:23" ht="26.4">
      <c r="W3830" s="64" ph="1"/>
    </row>
    <row r="3831" spans="23:23" ht="26.4">
      <c r="W3831" s="64" ph="1"/>
    </row>
    <row r="3832" spans="23:23" ht="26.4">
      <c r="W3832" s="64" ph="1"/>
    </row>
    <row r="3833" spans="23:23" ht="26.4">
      <c r="W3833" s="64" ph="1"/>
    </row>
    <row r="3834" spans="23:23" ht="26.4">
      <c r="W3834" s="64" ph="1"/>
    </row>
    <row r="3835" spans="23:23" ht="26.4">
      <c r="W3835" s="64" ph="1"/>
    </row>
    <row r="3836" spans="23:23" ht="26.4">
      <c r="W3836" s="64" ph="1"/>
    </row>
    <row r="3837" spans="23:23" ht="26.4">
      <c r="W3837" s="64" ph="1"/>
    </row>
    <row r="3838" spans="23:23" ht="26.4">
      <c r="W3838" s="64" ph="1"/>
    </row>
    <row r="3839" spans="23:23" ht="26.4">
      <c r="W3839" s="64" ph="1"/>
    </row>
    <row r="3840" spans="23:23" ht="26.4">
      <c r="W3840" s="64" ph="1"/>
    </row>
    <row r="3841" spans="23:23" ht="26.4">
      <c r="W3841" s="64" ph="1"/>
    </row>
    <row r="3842" spans="23:23" ht="26.4">
      <c r="W3842" s="64" ph="1"/>
    </row>
    <row r="3843" spans="23:23" ht="26.4">
      <c r="W3843" s="64" ph="1"/>
    </row>
    <row r="3844" spans="23:23" ht="26.4">
      <c r="W3844" s="64" ph="1"/>
    </row>
    <row r="3845" spans="23:23" ht="26.4">
      <c r="W3845" s="64" ph="1"/>
    </row>
    <row r="3846" spans="23:23" ht="26.4">
      <c r="W3846" s="64" ph="1"/>
    </row>
    <row r="3847" spans="23:23" ht="26.4">
      <c r="W3847" s="64" ph="1"/>
    </row>
    <row r="3848" spans="23:23" ht="26.4">
      <c r="W3848" s="64" ph="1"/>
    </row>
    <row r="3849" spans="23:23" ht="26.4">
      <c r="W3849" s="64" ph="1"/>
    </row>
    <row r="3850" spans="23:23" ht="26.4">
      <c r="W3850" s="64" ph="1"/>
    </row>
    <row r="3851" spans="23:23" ht="26.4">
      <c r="W3851" s="64" ph="1"/>
    </row>
    <row r="3852" spans="23:23" ht="26.4">
      <c r="W3852" s="64" ph="1"/>
    </row>
    <row r="3853" spans="23:23" ht="26.4">
      <c r="W3853" s="64" ph="1"/>
    </row>
    <row r="3854" spans="23:23" ht="26.4">
      <c r="W3854" s="64" ph="1"/>
    </row>
    <row r="3855" spans="23:23" ht="26.4">
      <c r="W3855" s="64" ph="1"/>
    </row>
    <row r="3856" spans="23:23" ht="26.4">
      <c r="W3856" s="64" ph="1"/>
    </row>
    <row r="3857" spans="23:23" ht="26.4">
      <c r="W3857" s="64" ph="1"/>
    </row>
    <row r="3858" spans="23:23" ht="26.4">
      <c r="W3858" s="64" ph="1"/>
    </row>
    <row r="3859" spans="23:23" ht="26.4">
      <c r="W3859" s="64" ph="1"/>
    </row>
    <row r="3860" spans="23:23" ht="26.4">
      <c r="W3860" s="64" ph="1"/>
    </row>
    <row r="3861" spans="23:23" ht="26.4">
      <c r="W3861" s="64" ph="1"/>
    </row>
    <row r="3862" spans="23:23" ht="26.4">
      <c r="W3862" s="64" ph="1"/>
    </row>
    <row r="3863" spans="23:23" ht="26.4">
      <c r="W3863" s="64" ph="1"/>
    </row>
    <row r="3864" spans="23:23" ht="26.4">
      <c r="W3864" s="64" ph="1"/>
    </row>
    <row r="3865" spans="23:23" ht="26.4">
      <c r="W3865" s="64" ph="1"/>
    </row>
    <row r="3866" spans="23:23" ht="26.4">
      <c r="W3866" s="64" ph="1"/>
    </row>
    <row r="3867" spans="23:23" ht="26.4">
      <c r="W3867" s="64" ph="1"/>
    </row>
    <row r="3868" spans="23:23" ht="26.4">
      <c r="W3868" s="64" ph="1"/>
    </row>
    <row r="3869" spans="23:23" ht="26.4">
      <c r="W3869" s="64" ph="1"/>
    </row>
    <row r="3870" spans="23:23" ht="26.4">
      <c r="W3870" s="64" ph="1"/>
    </row>
    <row r="3871" spans="23:23" ht="26.4">
      <c r="W3871" s="64" ph="1"/>
    </row>
    <row r="3872" spans="23:23" ht="26.4">
      <c r="W3872" s="64" ph="1"/>
    </row>
    <row r="3873" spans="23:23" ht="26.4">
      <c r="W3873" s="64" ph="1"/>
    </row>
    <row r="3874" spans="23:23" ht="26.4">
      <c r="W3874" s="64" ph="1"/>
    </row>
    <row r="3875" spans="23:23" ht="26.4">
      <c r="W3875" s="64" ph="1"/>
    </row>
    <row r="3876" spans="23:23" ht="26.4">
      <c r="W3876" s="64" ph="1"/>
    </row>
    <row r="3877" spans="23:23" ht="26.4">
      <c r="W3877" s="64" ph="1"/>
    </row>
    <row r="3878" spans="23:23" ht="26.4">
      <c r="W3878" s="64" ph="1"/>
    </row>
    <row r="3879" spans="23:23" ht="26.4">
      <c r="W3879" s="64" ph="1"/>
    </row>
    <row r="3880" spans="23:23" ht="26.4">
      <c r="W3880" s="64" ph="1"/>
    </row>
    <row r="3881" spans="23:23" ht="26.4">
      <c r="W3881" s="64" ph="1"/>
    </row>
    <row r="3882" spans="23:23" ht="26.4">
      <c r="W3882" s="64" ph="1"/>
    </row>
    <row r="3883" spans="23:23" ht="26.4">
      <c r="W3883" s="64" ph="1"/>
    </row>
    <row r="3884" spans="23:23" ht="26.4">
      <c r="W3884" s="64" ph="1"/>
    </row>
    <row r="3885" spans="23:23" ht="26.4">
      <c r="W3885" s="64" ph="1"/>
    </row>
    <row r="3886" spans="23:23" ht="26.4">
      <c r="W3886" s="64" ph="1"/>
    </row>
    <row r="3887" spans="23:23" ht="26.4">
      <c r="W3887" s="64" ph="1"/>
    </row>
    <row r="3888" spans="23:23" ht="26.4">
      <c r="W3888" s="64" ph="1"/>
    </row>
    <row r="3889" spans="23:23" ht="26.4">
      <c r="W3889" s="64" ph="1"/>
    </row>
    <row r="3890" spans="23:23" ht="26.4">
      <c r="W3890" s="64" ph="1"/>
    </row>
    <row r="3891" spans="23:23" ht="26.4">
      <c r="W3891" s="64" ph="1"/>
    </row>
    <row r="3892" spans="23:23" ht="26.4">
      <c r="W3892" s="64" ph="1"/>
    </row>
    <row r="3893" spans="23:23" ht="26.4">
      <c r="W3893" s="64" ph="1"/>
    </row>
    <row r="3894" spans="23:23" ht="26.4">
      <c r="W3894" s="64" ph="1"/>
    </row>
    <row r="3895" spans="23:23" ht="26.4">
      <c r="W3895" s="64" ph="1"/>
    </row>
    <row r="3896" spans="23:23" ht="26.4">
      <c r="W3896" s="64" ph="1"/>
    </row>
    <row r="3897" spans="23:23" ht="26.4">
      <c r="W3897" s="64" ph="1"/>
    </row>
    <row r="3898" spans="23:23" ht="26.4">
      <c r="W3898" s="64" ph="1"/>
    </row>
    <row r="3899" spans="23:23" ht="26.4">
      <c r="W3899" s="64" ph="1"/>
    </row>
    <row r="3900" spans="23:23" ht="26.4">
      <c r="W3900" s="64" ph="1"/>
    </row>
    <row r="3901" spans="23:23" ht="26.4">
      <c r="W3901" s="64" ph="1"/>
    </row>
    <row r="3902" spans="23:23" ht="26.4">
      <c r="W3902" s="64" ph="1"/>
    </row>
    <row r="3903" spans="23:23" ht="26.4">
      <c r="W3903" s="64" ph="1"/>
    </row>
    <row r="3904" spans="23:23" ht="26.4">
      <c r="W3904" s="64" ph="1"/>
    </row>
    <row r="3905" spans="23:23" ht="26.4">
      <c r="W3905" s="64" ph="1"/>
    </row>
    <row r="3906" spans="23:23" ht="26.4">
      <c r="W3906" s="64" ph="1"/>
    </row>
    <row r="3907" spans="23:23" ht="26.4">
      <c r="W3907" s="64" ph="1"/>
    </row>
    <row r="3908" spans="23:23" ht="26.4">
      <c r="W3908" s="64" ph="1"/>
    </row>
    <row r="3909" spans="23:23" ht="26.4">
      <c r="W3909" s="64" ph="1"/>
    </row>
    <row r="3910" spans="23:23" ht="26.4">
      <c r="W3910" s="64" ph="1"/>
    </row>
    <row r="3911" spans="23:23" ht="26.4">
      <c r="W3911" s="64" ph="1"/>
    </row>
    <row r="3912" spans="23:23" ht="26.4">
      <c r="W3912" s="64" ph="1"/>
    </row>
    <row r="3913" spans="23:23" ht="26.4">
      <c r="W3913" s="64" ph="1"/>
    </row>
    <row r="3914" spans="23:23" ht="26.4">
      <c r="W3914" s="64" ph="1"/>
    </row>
    <row r="3915" spans="23:23" ht="26.4">
      <c r="W3915" s="64" ph="1"/>
    </row>
    <row r="3916" spans="23:23" ht="26.4">
      <c r="W3916" s="64" ph="1"/>
    </row>
    <row r="3917" spans="23:23" ht="26.4">
      <c r="W3917" s="64" ph="1"/>
    </row>
    <row r="3918" spans="23:23" ht="26.4">
      <c r="W3918" s="64" ph="1"/>
    </row>
    <row r="3919" spans="23:23" ht="26.4">
      <c r="W3919" s="64" ph="1"/>
    </row>
    <row r="3920" spans="23:23" ht="26.4">
      <c r="W3920" s="64" ph="1"/>
    </row>
    <row r="3921" spans="23:23" ht="26.4">
      <c r="W3921" s="64" ph="1"/>
    </row>
    <row r="3922" spans="23:23" ht="26.4">
      <c r="W3922" s="64" ph="1"/>
    </row>
    <row r="3923" spans="23:23" ht="26.4">
      <c r="W3923" s="64" ph="1"/>
    </row>
    <row r="3924" spans="23:23" ht="26.4">
      <c r="W3924" s="64" ph="1"/>
    </row>
    <row r="3925" spans="23:23" ht="26.4">
      <c r="W3925" s="64" ph="1"/>
    </row>
    <row r="3926" spans="23:23" ht="26.4">
      <c r="W3926" s="64" ph="1"/>
    </row>
    <row r="3927" spans="23:23" ht="26.4">
      <c r="W3927" s="64" ph="1"/>
    </row>
    <row r="3928" spans="23:23" ht="26.4">
      <c r="W3928" s="64" ph="1"/>
    </row>
    <row r="3929" spans="23:23" ht="26.4">
      <c r="W3929" s="64" ph="1"/>
    </row>
    <row r="3930" spans="23:23" ht="26.4">
      <c r="W3930" s="64" ph="1"/>
    </row>
    <row r="3931" spans="23:23" ht="26.4">
      <c r="W3931" s="64" ph="1"/>
    </row>
    <row r="3932" spans="23:23" ht="26.4">
      <c r="W3932" s="64" ph="1"/>
    </row>
    <row r="3933" spans="23:23" ht="26.4">
      <c r="W3933" s="64" ph="1"/>
    </row>
    <row r="3934" spans="23:23" ht="26.4">
      <c r="W3934" s="64" ph="1"/>
    </row>
    <row r="3935" spans="23:23" ht="26.4">
      <c r="W3935" s="64" ph="1"/>
    </row>
    <row r="3936" spans="23:23" ht="26.4">
      <c r="W3936" s="64" ph="1"/>
    </row>
    <row r="3937" spans="23:23" ht="26.4">
      <c r="W3937" s="64" ph="1"/>
    </row>
    <row r="3938" spans="23:23" ht="26.4">
      <c r="W3938" s="64" ph="1"/>
    </row>
    <row r="3939" spans="23:23" ht="26.4">
      <c r="W3939" s="64" ph="1"/>
    </row>
    <row r="3940" spans="23:23" ht="26.4">
      <c r="W3940" s="64" ph="1"/>
    </row>
    <row r="3941" spans="23:23" ht="26.4">
      <c r="W3941" s="64" ph="1"/>
    </row>
    <row r="3942" spans="23:23" ht="26.4">
      <c r="W3942" s="64" ph="1"/>
    </row>
    <row r="3943" spans="23:23" ht="26.4">
      <c r="W3943" s="64" ph="1"/>
    </row>
    <row r="3944" spans="23:23" ht="26.4">
      <c r="W3944" s="64" ph="1"/>
    </row>
    <row r="3945" spans="23:23" ht="26.4">
      <c r="W3945" s="64" ph="1"/>
    </row>
    <row r="3946" spans="23:23" ht="26.4">
      <c r="W3946" s="64" ph="1"/>
    </row>
    <row r="3947" spans="23:23" ht="26.4">
      <c r="W3947" s="64" ph="1"/>
    </row>
    <row r="3948" spans="23:23" ht="26.4">
      <c r="W3948" s="64" ph="1"/>
    </row>
    <row r="3949" spans="23:23" ht="26.4">
      <c r="W3949" s="64" ph="1"/>
    </row>
    <row r="3950" spans="23:23" ht="26.4">
      <c r="W3950" s="64" ph="1"/>
    </row>
    <row r="3951" spans="23:23" ht="26.4">
      <c r="W3951" s="64" ph="1"/>
    </row>
    <row r="3952" spans="23:23" ht="26.4">
      <c r="W3952" s="64" ph="1"/>
    </row>
    <row r="3953" spans="23:23" ht="26.4">
      <c r="W3953" s="64" ph="1"/>
    </row>
    <row r="3954" spans="23:23" ht="26.4">
      <c r="W3954" s="64" ph="1"/>
    </row>
    <row r="3955" spans="23:23" ht="26.4">
      <c r="W3955" s="64" ph="1"/>
    </row>
    <row r="3956" spans="23:23" ht="26.4">
      <c r="W3956" s="64" ph="1"/>
    </row>
    <row r="3957" spans="23:23" ht="26.4">
      <c r="W3957" s="64" ph="1"/>
    </row>
    <row r="3958" spans="23:23" ht="26.4">
      <c r="W3958" s="64" ph="1"/>
    </row>
    <row r="3959" spans="23:23" ht="26.4">
      <c r="W3959" s="64" ph="1"/>
    </row>
    <row r="3960" spans="23:23" ht="26.4">
      <c r="W3960" s="64" ph="1"/>
    </row>
    <row r="3961" spans="23:23" ht="26.4">
      <c r="W3961" s="64" ph="1"/>
    </row>
    <row r="3962" spans="23:23" ht="26.4">
      <c r="W3962" s="64" ph="1"/>
    </row>
    <row r="3963" spans="23:23" ht="26.4">
      <c r="W3963" s="64" ph="1"/>
    </row>
    <row r="3964" spans="23:23" ht="26.4">
      <c r="W3964" s="64" ph="1"/>
    </row>
    <row r="3965" spans="23:23" ht="26.4">
      <c r="W3965" s="64" ph="1"/>
    </row>
    <row r="3966" spans="23:23" ht="26.4">
      <c r="W3966" s="64" ph="1"/>
    </row>
    <row r="3967" spans="23:23" ht="26.4">
      <c r="W3967" s="64" ph="1"/>
    </row>
    <row r="3968" spans="23:23" ht="26.4">
      <c r="W3968" s="64" ph="1"/>
    </row>
    <row r="3969" spans="23:23" ht="26.4">
      <c r="W3969" s="64" ph="1"/>
    </row>
    <row r="3970" spans="23:23" ht="26.4">
      <c r="W3970" s="64" ph="1"/>
    </row>
    <row r="3971" spans="23:23" ht="26.4">
      <c r="W3971" s="64" ph="1"/>
    </row>
    <row r="3972" spans="23:23" ht="26.4">
      <c r="W3972" s="64" ph="1"/>
    </row>
    <row r="3973" spans="23:23" ht="26.4">
      <c r="W3973" s="64" ph="1"/>
    </row>
    <row r="3974" spans="23:23" ht="26.4">
      <c r="W3974" s="64" ph="1"/>
    </row>
    <row r="3975" spans="23:23" ht="26.4">
      <c r="W3975" s="64" ph="1"/>
    </row>
    <row r="3976" spans="23:23" ht="26.4">
      <c r="W3976" s="64" ph="1"/>
    </row>
    <row r="3977" spans="23:23" ht="26.4">
      <c r="W3977" s="64" ph="1"/>
    </row>
    <row r="3978" spans="23:23" ht="26.4">
      <c r="W3978" s="64" ph="1"/>
    </row>
    <row r="3979" spans="23:23" ht="26.4">
      <c r="W3979" s="64" ph="1"/>
    </row>
    <row r="3980" spans="23:23" ht="26.4">
      <c r="W3980" s="64" ph="1"/>
    </row>
    <row r="3981" spans="23:23" ht="26.4">
      <c r="W3981" s="64" ph="1"/>
    </row>
    <row r="3982" spans="23:23" ht="26.4">
      <c r="W3982" s="64" ph="1"/>
    </row>
    <row r="3983" spans="23:23" ht="26.4">
      <c r="W3983" s="64" ph="1"/>
    </row>
    <row r="3984" spans="23:23" ht="26.4">
      <c r="W3984" s="64" ph="1"/>
    </row>
    <row r="3985" spans="23:23" ht="26.4">
      <c r="W3985" s="64" ph="1"/>
    </row>
    <row r="3986" spans="23:23" ht="26.4">
      <c r="W3986" s="64" ph="1"/>
    </row>
    <row r="3987" spans="23:23" ht="26.4">
      <c r="W3987" s="64" ph="1"/>
    </row>
    <row r="3988" spans="23:23" ht="26.4">
      <c r="W3988" s="64" ph="1"/>
    </row>
    <row r="3989" spans="23:23" ht="26.4">
      <c r="W3989" s="64" ph="1"/>
    </row>
    <row r="3990" spans="23:23" ht="26.4">
      <c r="W3990" s="64" ph="1"/>
    </row>
    <row r="3991" spans="23:23" ht="26.4">
      <c r="W3991" s="64" ph="1"/>
    </row>
    <row r="3992" spans="23:23" ht="26.4">
      <c r="W3992" s="64" ph="1"/>
    </row>
    <row r="3993" spans="23:23" ht="26.4">
      <c r="W3993" s="64" ph="1"/>
    </row>
    <row r="3994" spans="23:23" ht="26.4">
      <c r="W3994" s="64" ph="1"/>
    </row>
    <row r="3995" spans="23:23" ht="26.4">
      <c r="W3995" s="64" ph="1"/>
    </row>
    <row r="3996" spans="23:23" ht="26.4">
      <c r="W3996" s="64" ph="1"/>
    </row>
    <row r="3997" spans="23:23" ht="26.4">
      <c r="W3997" s="64" ph="1"/>
    </row>
    <row r="3998" spans="23:23" ht="26.4">
      <c r="W3998" s="64" ph="1"/>
    </row>
    <row r="3999" spans="23:23" ht="26.4">
      <c r="W3999" s="64" ph="1"/>
    </row>
    <row r="4000" spans="23:23" ht="26.4">
      <c r="W4000" s="64" ph="1"/>
    </row>
    <row r="4001" spans="23:23" ht="26.4">
      <c r="W4001" s="64" ph="1"/>
    </row>
    <row r="4002" spans="23:23" ht="26.4">
      <c r="W4002" s="64" ph="1"/>
    </row>
    <row r="4003" spans="23:23" ht="26.4">
      <c r="W4003" s="64" ph="1"/>
    </row>
    <row r="4004" spans="23:23" ht="26.4">
      <c r="W4004" s="64" ph="1"/>
    </row>
    <row r="4005" spans="23:23" ht="26.4">
      <c r="W4005" s="64" ph="1"/>
    </row>
    <row r="4006" spans="23:23" ht="26.4">
      <c r="W4006" s="64" ph="1"/>
    </row>
    <row r="4007" spans="23:23" ht="26.4">
      <c r="W4007" s="64" ph="1"/>
    </row>
    <row r="4008" spans="23:23" ht="26.4">
      <c r="W4008" s="64" ph="1"/>
    </row>
    <row r="4009" spans="23:23" ht="26.4">
      <c r="W4009" s="64" ph="1"/>
    </row>
    <row r="4010" spans="23:23" ht="26.4">
      <c r="W4010" s="64" ph="1"/>
    </row>
    <row r="4011" spans="23:23" ht="26.4">
      <c r="W4011" s="64" ph="1"/>
    </row>
    <row r="4012" spans="23:23" ht="26.4">
      <c r="W4012" s="64" ph="1"/>
    </row>
    <row r="4013" spans="23:23" ht="26.4">
      <c r="W4013" s="64" ph="1"/>
    </row>
    <row r="4014" spans="23:23" ht="26.4">
      <c r="W4014" s="64" ph="1"/>
    </row>
    <row r="4015" spans="23:23" ht="26.4">
      <c r="W4015" s="64" ph="1"/>
    </row>
    <row r="4016" spans="23:23" ht="26.4">
      <c r="W4016" s="64" ph="1"/>
    </row>
    <row r="4017" spans="23:23" ht="26.4">
      <c r="W4017" s="64" ph="1"/>
    </row>
    <row r="4018" spans="23:23" ht="26.4">
      <c r="W4018" s="64" ph="1"/>
    </row>
    <row r="4019" spans="23:23" ht="26.4">
      <c r="W4019" s="64" ph="1"/>
    </row>
    <row r="4020" spans="23:23" ht="26.4">
      <c r="W4020" s="64" ph="1"/>
    </row>
    <row r="4021" spans="23:23" ht="26.4">
      <c r="W4021" s="64" ph="1"/>
    </row>
    <row r="4022" spans="23:23" ht="26.4">
      <c r="W4022" s="64" ph="1"/>
    </row>
    <row r="4023" spans="23:23" ht="26.4">
      <c r="W4023" s="64" ph="1"/>
    </row>
    <row r="4024" spans="23:23" ht="26.4">
      <c r="W4024" s="64" ph="1"/>
    </row>
    <row r="4025" spans="23:23" ht="26.4">
      <c r="W4025" s="64" ph="1"/>
    </row>
    <row r="4026" spans="23:23" ht="26.4">
      <c r="W4026" s="64" ph="1"/>
    </row>
    <row r="4027" spans="23:23" ht="26.4">
      <c r="W4027" s="64" ph="1"/>
    </row>
    <row r="4028" spans="23:23" ht="26.4">
      <c r="W4028" s="64" ph="1"/>
    </row>
    <row r="4029" spans="23:23" ht="26.4">
      <c r="W4029" s="64" ph="1"/>
    </row>
    <row r="4030" spans="23:23" ht="26.4">
      <c r="W4030" s="64" ph="1"/>
    </row>
    <row r="4031" spans="23:23" ht="26.4">
      <c r="W4031" s="64" ph="1"/>
    </row>
    <row r="4032" spans="23:23" ht="26.4">
      <c r="W4032" s="64" ph="1"/>
    </row>
    <row r="4033" spans="23:23" ht="26.4">
      <c r="W4033" s="64" ph="1"/>
    </row>
    <row r="4034" spans="23:23" ht="26.4">
      <c r="W4034" s="64" ph="1"/>
    </row>
    <row r="4035" spans="23:23" ht="26.4">
      <c r="W4035" s="64" ph="1"/>
    </row>
    <row r="4036" spans="23:23" ht="26.4">
      <c r="W4036" s="64" ph="1"/>
    </row>
    <row r="4037" spans="23:23" ht="26.4">
      <c r="W4037" s="64" ph="1"/>
    </row>
    <row r="4038" spans="23:23" ht="26.4">
      <c r="W4038" s="64" ph="1"/>
    </row>
    <row r="4039" spans="23:23" ht="26.4">
      <c r="W4039" s="64" ph="1"/>
    </row>
    <row r="4040" spans="23:23" ht="26.4">
      <c r="W4040" s="64" ph="1"/>
    </row>
    <row r="4041" spans="23:23" ht="26.4">
      <c r="W4041" s="64" ph="1"/>
    </row>
    <row r="4042" spans="23:23" ht="26.4">
      <c r="W4042" s="64" ph="1"/>
    </row>
    <row r="4043" spans="23:23" ht="26.4">
      <c r="W4043" s="64" ph="1"/>
    </row>
    <row r="4044" spans="23:23" ht="26.4">
      <c r="W4044" s="64" ph="1"/>
    </row>
    <row r="4045" spans="23:23" ht="26.4">
      <c r="W4045" s="64" ph="1"/>
    </row>
    <row r="4046" spans="23:23" ht="26.4">
      <c r="W4046" s="64" ph="1"/>
    </row>
    <row r="4047" spans="23:23" ht="26.4">
      <c r="W4047" s="64" ph="1"/>
    </row>
    <row r="4048" spans="23:23" ht="26.4">
      <c r="W4048" s="64" ph="1"/>
    </row>
    <row r="4049" spans="23:23" ht="26.4">
      <c r="W4049" s="64" ph="1"/>
    </row>
    <row r="4050" spans="23:23" ht="26.4">
      <c r="W4050" s="64" ph="1"/>
    </row>
    <row r="4051" spans="23:23" ht="26.4">
      <c r="W4051" s="64" ph="1"/>
    </row>
    <row r="4052" spans="23:23" ht="26.4">
      <c r="W4052" s="64" ph="1"/>
    </row>
    <row r="4053" spans="23:23" ht="26.4">
      <c r="W4053" s="64" ph="1"/>
    </row>
    <row r="4054" spans="23:23" ht="26.4">
      <c r="W4054" s="64" ph="1"/>
    </row>
    <row r="4055" spans="23:23" ht="26.4">
      <c r="W4055" s="64" ph="1"/>
    </row>
    <row r="4056" spans="23:23" ht="26.4">
      <c r="W4056" s="64" ph="1"/>
    </row>
    <row r="4057" spans="23:23" ht="26.4">
      <c r="W4057" s="64" ph="1"/>
    </row>
    <row r="4058" spans="23:23" ht="26.4">
      <c r="W4058" s="64" ph="1"/>
    </row>
    <row r="4059" spans="23:23" ht="26.4">
      <c r="W4059" s="64" ph="1"/>
    </row>
    <row r="4060" spans="23:23" ht="26.4">
      <c r="W4060" s="64" ph="1"/>
    </row>
    <row r="4061" spans="23:23" ht="26.4">
      <c r="W4061" s="64" ph="1"/>
    </row>
    <row r="4062" spans="23:23" ht="26.4">
      <c r="W4062" s="64" ph="1"/>
    </row>
    <row r="4063" spans="23:23" ht="26.4">
      <c r="W4063" s="64" ph="1"/>
    </row>
    <row r="4064" spans="23:23" ht="26.4">
      <c r="W4064" s="64" ph="1"/>
    </row>
    <row r="4065" spans="23:23" ht="26.4">
      <c r="W4065" s="64" ph="1"/>
    </row>
    <row r="4066" spans="23:23" ht="26.4">
      <c r="W4066" s="64" ph="1"/>
    </row>
    <row r="4067" spans="23:23" ht="26.4">
      <c r="W4067" s="64" ph="1"/>
    </row>
    <row r="4068" spans="23:23" ht="26.4">
      <c r="W4068" s="64" ph="1"/>
    </row>
    <row r="4069" spans="23:23" ht="26.4">
      <c r="W4069" s="64" ph="1"/>
    </row>
    <row r="4070" spans="23:23" ht="26.4">
      <c r="W4070" s="64" ph="1"/>
    </row>
    <row r="4071" spans="23:23" ht="26.4">
      <c r="W4071" s="64" ph="1"/>
    </row>
    <row r="4072" spans="23:23" ht="26.4">
      <c r="W4072" s="64" ph="1"/>
    </row>
    <row r="4073" spans="23:23" ht="26.4">
      <c r="W4073" s="64" ph="1"/>
    </row>
    <row r="4074" spans="23:23" ht="26.4">
      <c r="W4074" s="64" ph="1"/>
    </row>
    <row r="4075" spans="23:23" ht="26.4">
      <c r="W4075" s="64" ph="1"/>
    </row>
    <row r="4076" spans="23:23" ht="26.4">
      <c r="W4076" s="64" ph="1"/>
    </row>
    <row r="4077" spans="23:23" ht="26.4">
      <c r="W4077" s="64" ph="1"/>
    </row>
    <row r="4078" spans="23:23" ht="26.4">
      <c r="W4078" s="64" ph="1"/>
    </row>
    <row r="4079" spans="23:23" ht="26.4">
      <c r="W4079" s="64" ph="1"/>
    </row>
    <row r="4080" spans="23:23" ht="26.4">
      <c r="W4080" s="64" ph="1"/>
    </row>
    <row r="4081" spans="23:23" ht="26.4">
      <c r="W4081" s="64" ph="1"/>
    </row>
    <row r="4082" spans="23:23" ht="26.4">
      <c r="W4082" s="64" ph="1"/>
    </row>
    <row r="4083" spans="23:23" ht="26.4">
      <c r="W4083" s="64" ph="1"/>
    </row>
    <row r="4084" spans="23:23" ht="26.4">
      <c r="W4084" s="64" ph="1"/>
    </row>
    <row r="4085" spans="23:23" ht="26.4">
      <c r="W4085" s="64" ph="1"/>
    </row>
    <row r="4086" spans="23:23" ht="26.4">
      <c r="W4086" s="64" ph="1"/>
    </row>
    <row r="4087" spans="23:23" ht="26.4">
      <c r="W4087" s="64" ph="1"/>
    </row>
    <row r="4088" spans="23:23" ht="26.4">
      <c r="W4088" s="64" ph="1"/>
    </row>
    <row r="4089" spans="23:23" ht="26.4">
      <c r="W4089" s="64" ph="1"/>
    </row>
    <row r="4090" spans="23:23" ht="26.4">
      <c r="W4090" s="64" ph="1"/>
    </row>
    <row r="4091" spans="23:23" ht="26.4">
      <c r="W4091" s="64" ph="1"/>
    </row>
    <row r="4092" spans="23:23" ht="26.4">
      <c r="W4092" s="64" ph="1"/>
    </row>
    <row r="4093" spans="23:23" ht="26.4">
      <c r="W4093" s="64" ph="1"/>
    </row>
    <row r="4094" spans="23:23" ht="26.4">
      <c r="W4094" s="64" ph="1"/>
    </row>
    <row r="4095" spans="23:23" ht="26.4">
      <c r="W4095" s="64" ph="1"/>
    </row>
    <row r="4096" spans="23:23" ht="26.4">
      <c r="W4096" s="64" ph="1"/>
    </row>
    <row r="4097" spans="23:23" ht="26.4">
      <c r="W4097" s="64" ph="1"/>
    </row>
    <row r="4098" spans="23:23" ht="26.4">
      <c r="W4098" s="64" ph="1"/>
    </row>
    <row r="4099" spans="23:23" ht="26.4">
      <c r="W4099" s="64" ph="1"/>
    </row>
    <row r="4100" spans="23:23" ht="26.4">
      <c r="W4100" s="64" ph="1"/>
    </row>
    <row r="4101" spans="23:23" ht="26.4">
      <c r="W4101" s="64" ph="1"/>
    </row>
    <row r="4102" spans="23:23" ht="26.4">
      <c r="W4102" s="64" ph="1"/>
    </row>
    <row r="4103" spans="23:23" ht="26.4">
      <c r="W4103" s="64" ph="1"/>
    </row>
    <row r="4104" spans="23:23" ht="26.4">
      <c r="W4104" s="64" ph="1"/>
    </row>
    <row r="4105" spans="23:23" ht="26.4">
      <c r="W4105" s="64" ph="1"/>
    </row>
    <row r="4106" spans="23:23" ht="26.4">
      <c r="W4106" s="64" ph="1"/>
    </row>
    <row r="4107" spans="23:23" ht="26.4">
      <c r="W4107" s="64" ph="1"/>
    </row>
    <row r="4108" spans="23:23" ht="26.4">
      <c r="W4108" s="64" ph="1"/>
    </row>
    <row r="4109" spans="23:23" ht="26.4">
      <c r="W4109" s="64" ph="1"/>
    </row>
    <row r="4110" spans="23:23" ht="26.4">
      <c r="W4110" s="64" ph="1"/>
    </row>
    <row r="4111" spans="23:23" ht="26.4">
      <c r="W4111" s="64" ph="1"/>
    </row>
    <row r="4112" spans="23:23" ht="26.4">
      <c r="W4112" s="64" ph="1"/>
    </row>
    <row r="4113" spans="23:23" ht="26.4">
      <c r="W4113" s="64" ph="1"/>
    </row>
    <row r="4114" spans="23:23" ht="26.4">
      <c r="W4114" s="64" ph="1"/>
    </row>
    <row r="4115" spans="23:23" ht="26.4">
      <c r="W4115" s="64" ph="1"/>
    </row>
    <row r="4116" spans="23:23" ht="26.4">
      <c r="W4116" s="64" ph="1"/>
    </row>
    <row r="4117" spans="23:23" ht="26.4">
      <c r="W4117" s="64" ph="1"/>
    </row>
    <row r="4118" spans="23:23" ht="26.4">
      <c r="W4118" s="64" ph="1"/>
    </row>
    <row r="4119" spans="23:23" ht="26.4">
      <c r="W4119" s="64" ph="1"/>
    </row>
    <row r="4120" spans="23:23" ht="26.4">
      <c r="W4120" s="64" ph="1"/>
    </row>
    <row r="4121" spans="23:23" ht="26.4">
      <c r="W4121" s="64" ph="1"/>
    </row>
    <row r="4122" spans="23:23" ht="26.4">
      <c r="W4122" s="64" ph="1"/>
    </row>
    <row r="4123" spans="23:23" ht="26.4">
      <c r="W4123" s="64" ph="1"/>
    </row>
    <row r="4124" spans="23:23" ht="26.4">
      <c r="W4124" s="64" ph="1"/>
    </row>
    <row r="4125" spans="23:23" ht="26.4">
      <c r="W4125" s="64" ph="1"/>
    </row>
    <row r="4126" spans="23:23" ht="26.4">
      <c r="W4126" s="64" ph="1"/>
    </row>
    <row r="4127" spans="23:23" ht="26.4">
      <c r="W4127" s="64" ph="1"/>
    </row>
    <row r="4128" spans="23:23" ht="26.4">
      <c r="W4128" s="64" ph="1"/>
    </row>
    <row r="4129" spans="23:23" ht="26.4">
      <c r="W4129" s="64" ph="1"/>
    </row>
    <row r="4130" spans="23:23" ht="26.4">
      <c r="W4130" s="64" ph="1"/>
    </row>
    <row r="4131" spans="23:23" ht="26.4">
      <c r="W4131" s="64" ph="1"/>
    </row>
    <row r="4132" spans="23:23" ht="26.4">
      <c r="W4132" s="64" ph="1"/>
    </row>
    <row r="4133" spans="23:23" ht="26.4">
      <c r="W4133" s="64" ph="1"/>
    </row>
    <row r="4134" spans="23:23" ht="26.4">
      <c r="W4134" s="64" ph="1"/>
    </row>
    <row r="4135" spans="23:23" ht="26.4">
      <c r="W4135" s="64" ph="1"/>
    </row>
    <row r="4136" spans="23:23" ht="26.4">
      <c r="W4136" s="64" ph="1"/>
    </row>
    <row r="4137" spans="23:23" ht="26.4">
      <c r="W4137" s="64" ph="1"/>
    </row>
    <row r="4138" spans="23:23" ht="26.4">
      <c r="W4138" s="64" ph="1"/>
    </row>
    <row r="4139" spans="23:23" ht="26.4">
      <c r="W4139" s="64" ph="1"/>
    </row>
    <row r="4140" spans="23:23" ht="26.4">
      <c r="W4140" s="64" ph="1"/>
    </row>
    <row r="4141" spans="23:23" ht="26.4">
      <c r="W4141" s="64" ph="1"/>
    </row>
    <row r="4142" spans="23:23" ht="26.4">
      <c r="W4142" s="64" ph="1"/>
    </row>
    <row r="4143" spans="23:23" ht="26.4">
      <c r="W4143" s="64" ph="1"/>
    </row>
    <row r="4144" spans="23:23" ht="26.4">
      <c r="W4144" s="64" ph="1"/>
    </row>
    <row r="4145" spans="23:23" ht="26.4">
      <c r="W4145" s="64" ph="1"/>
    </row>
    <row r="4146" spans="23:23" ht="26.4">
      <c r="W4146" s="64" ph="1"/>
    </row>
    <row r="4147" spans="23:23" ht="26.4">
      <c r="W4147" s="64" ph="1"/>
    </row>
    <row r="4148" spans="23:23" ht="26.4">
      <c r="W4148" s="64" ph="1"/>
    </row>
    <row r="4149" spans="23:23" ht="26.4">
      <c r="W4149" s="64" ph="1"/>
    </row>
    <row r="4150" spans="23:23" ht="26.4">
      <c r="W4150" s="64" ph="1"/>
    </row>
    <row r="4151" spans="23:23" ht="26.4">
      <c r="W4151" s="64" ph="1"/>
    </row>
    <row r="4152" spans="23:23" ht="26.4">
      <c r="W4152" s="64" ph="1"/>
    </row>
    <row r="4153" spans="23:23" ht="26.4">
      <c r="W4153" s="64" ph="1"/>
    </row>
    <row r="4154" spans="23:23" ht="26.4">
      <c r="W4154" s="64" ph="1"/>
    </row>
    <row r="4155" spans="23:23" ht="26.4">
      <c r="W4155" s="64" ph="1"/>
    </row>
    <row r="4156" spans="23:23" ht="26.4">
      <c r="W4156" s="64" ph="1"/>
    </row>
    <row r="4157" spans="23:23" ht="26.4">
      <c r="W4157" s="64" ph="1"/>
    </row>
    <row r="4158" spans="23:23" ht="26.4">
      <c r="W4158" s="64" ph="1"/>
    </row>
    <row r="4159" spans="23:23" ht="26.4">
      <c r="W4159" s="64" ph="1"/>
    </row>
    <row r="4160" spans="23:23" ht="26.4">
      <c r="W4160" s="64" ph="1"/>
    </row>
    <row r="4161" spans="23:23" ht="26.4">
      <c r="W4161" s="64" ph="1"/>
    </row>
    <row r="4162" spans="23:23" ht="26.4">
      <c r="W4162" s="64" ph="1"/>
    </row>
    <row r="4163" spans="23:23" ht="26.4">
      <c r="W4163" s="64" ph="1"/>
    </row>
    <row r="4164" spans="23:23" ht="26.4">
      <c r="W4164" s="64" ph="1"/>
    </row>
    <row r="4165" spans="23:23" ht="26.4">
      <c r="W4165" s="64" ph="1"/>
    </row>
    <row r="4166" spans="23:23" ht="26.4">
      <c r="W4166" s="64" ph="1"/>
    </row>
    <row r="4167" spans="23:23" ht="26.4">
      <c r="W4167" s="64" ph="1"/>
    </row>
    <row r="4168" spans="23:23" ht="26.4">
      <c r="W4168" s="64" ph="1"/>
    </row>
    <row r="4169" spans="23:23" ht="26.4">
      <c r="W4169" s="64" ph="1"/>
    </row>
    <row r="4170" spans="23:23" ht="26.4">
      <c r="W4170" s="64" ph="1"/>
    </row>
    <row r="4171" spans="23:23" ht="26.4">
      <c r="W4171" s="64" ph="1"/>
    </row>
    <row r="4172" spans="23:23" ht="26.4">
      <c r="W4172" s="64" ph="1"/>
    </row>
    <row r="4173" spans="23:23" ht="26.4">
      <c r="W4173" s="64" ph="1"/>
    </row>
    <row r="4174" spans="23:23" ht="26.4">
      <c r="W4174" s="64" ph="1"/>
    </row>
    <row r="4175" spans="23:23" ht="26.4">
      <c r="W4175" s="64" ph="1"/>
    </row>
    <row r="4176" spans="23:23" ht="26.4">
      <c r="W4176" s="64" ph="1"/>
    </row>
    <row r="4177" spans="23:23" ht="26.4">
      <c r="W4177" s="64" ph="1"/>
    </row>
    <row r="4178" spans="23:23" ht="26.4">
      <c r="W4178" s="64" ph="1"/>
    </row>
    <row r="4179" spans="23:23" ht="26.4">
      <c r="W4179" s="64" ph="1"/>
    </row>
    <row r="4180" spans="23:23" ht="26.4">
      <c r="W4180" s="64" ph="1"/>
    </row>
    <row r="4181" spans="23:23" ht="26.4">
      <c r="W4181" s="64" ph="1"/>
    </row>
    <row r="4182" spans="23:23" ht="26.4">
      <c r="W4182" s="64" ph="1"/>
    </row>
    <row r="4183" spans="23:23" ht="26.4">
      <c r="W4183" s="64" ph="1"/>
    </row>
    <row r="4184" spans="23:23" ht="26.4">
      <c r="W4184" s="64" ph="1"/>
    </row>
    <row r="4185" spans="23:23" ht="26.4">
      <c r="W4185" s="64" ph="1"/>
    </row>
    <row r="4186" spans="23:23" ht="26.4">
      <c r="W4186" s="64" ph="1"/>
    </row>
    <row r="4187" spans="23:23" ht="26.4">
      <c r="W4187" s="64" ph="1"/>
    </row>
    <row r="4188" spans="23:23" ht="26.4">
      <c r="W4188" s="64" ph="1"/>
    </row>
    <row r="4189" spans="23:23" ht="26.4">
      <c r="W4189" s="64" ph="1"/>
    </row>
    <row r="4190" spans="23:23" ht="26.4">
      <c r="W4190" s="64" ph="1"/>
    </row>
    <row r="4191" spans="23:23" ht="26.4">
      <c r="W4191" s="64" ph="1"/>
    </row>
    <row r="4192" spans="23:23" ht="26.4">
      <c r="W4192" s="64" ph="1"/>
    </row>
    <row r="4193" spans="23:23" ht="26.4">
      <c r="W4193" s="64" ph="1"/>
    </row>
    <row r="4194" spans="23:23" ht="26.4">
      <c r="W4194" s="64" ph="1"/>
    </row>
    <row r="4195" spans="23:23" ht="26.4">
      <c r="W4195" s="64" ph="1"/>
    </row>
    <row r="4196" spans="23:23" ht="26.4">
      <c r="W4196" s="64" ph="1"/>
    </row>
    <row r="4197" spans="23:23" ht="26.4">
      <c r="W4197" s="64" ph="1"/>
    </row>
    <row r="4198" spans="23:23" ht="26.4">
      <c r="W4198" s="64" ph="1"/>
    </row>
    <row r="4199" spans="23:23" ht="26.4">
      <c r="W4199" s="64" ph="1"/>
    </row>
    <row r="4200" spans="23:23" ht="26.4">
      <c r="W4200" s="64" ph="1"/>
    </row>
    <row r="4201" spans="23:23" ht="26.4">
      <c r="W4201" s="64" ph="1"/>
    </row>
    <row r="4202" spans="23:23" ht="26.4">
      <c r="W4202" s="64" ph="1"/>
    </row>
    <row r="4203" spans="23:23" ht="26.4">
      <c r="W4203" s="64" ph="1"/>
    </row>
    <row r="4204" spans="23:23" ht="26.4">
      <c r="W4204" s="64" ph="1"/>
    </row>
    <row r="4205" spans="23:23" ht="26.4">
      <c r="W4205" s="64" ph="1"/>
    </row>
    <row r="4206" spans="23:23" ht="26.4">
      <c r="W4206" s="64" ph="1"/>
    </row>
    <row r="4207" spans="23:23" ht="26.4">
      <c r="W4207" s="64" ph="1"/>
    </row>
    <row r="4208" spans="23:23" ht="26.4">
      <c r="W4208" s="64" ph="1"/>
    </row>
    <row r="4209" spans="23:23" ht="26.4">
      <c r="W4209" s="64" ph="1"/>
    </row>
    <row r="4210" spans="23:23" ht="26.4">
      <c r="W4210" s="64" ph="1"/>
    </row>
    <row r="4211" spans="23:23" ht="26.4">
      <c r="W4211" s="64" ph="1"/>
    </row>
    <row r="4212" spans="23:23" ht="26.4">
      <c r="W4212" s="64" ph="1"/>
    </row>
    <row r="4213" spans="23:23" ht="26.4">
      <c r="W4213" s="64" ph="1"/>
    </row>
    <row r="4214" spans="23:23" ht="26.4">
      <c r="W4214" s="64" ph="1"/>
    </row>
    <row r="4215" spans="23:23" ht="26.4">
      <c r="W4215" s="64" ph="1"/>
    </row>
    <row r="4216" spans="23:23" ht="26.4">
      <c r="W4216" s="64" ph="1"/>
    </row>
    <row r="4217" spans="23:23" ht="26.4">
      <c r="W4217" s="64" ph="1"/>
    </row>
    <row r="4218" spans="23:23" ht="26.4">
      <c r="W4218" s="64" ph="1"/>
    </row>
    <row r="4219" spans="23:23" ht="26.4">
      <c r="W4219" s="64" ph="1"/>
    </row>
    <row r="4220" spans="23:23" ht="26.4">
      <c r="W4220" s="64" ph="1"/>
    </row>
    <row r="4221" spans="23:23" ht="26.4">
      <c r="W4221" s="64" ph="1"/>
    </row>
    <row r="4222" spans="23:23" ht="26.4">
      <c r="W4222" s="64" ph="1"/>
    </row>
    <row r="4223" spans="23:23" ht="26.4">
      <c r="W4223" s="64" ph="1"/>
    </row>
    <row r="4224" spans="23:23" ht="26.4">
      <c r="W4224" s="64" ph="1"/>
    </row>
    <row r="4225" spans="23:23" ht="26.4">
      <c r="W4225" s="64" ph="1"/>
    </row>
    <row r="4226" spans="23:23" ht="26.4">
      <c r="W4226" s="64" ph="1"/>
    </row>
    <row r="4227" spans="23:23" ht="26.4">
      <c r="W4227" s="64" ph="1"/>
    </row>
    <row r="4228" spans="23:23" ht="26.4">
      <c r="W4228" s="64" ph="1"/>
    </row>
    <row r="4229" spans="23:23" ht="26.4">
      <c r="W4229" s="64" ph="1"/>
    </row>
    <row r="4230" spans="23:23" ht="26.4">
      <c r="W4230" s="64" ph="1"/>
    </row>
    <row r="4231" spans="23:23" ht="26.4">
      <c r="W4231" s="64" ph="1"/>
    </row>
    <row r="4232" spans="23:23" ht="26.4">
      <c r="W4232" s="64" ph="1"/>
    </row>
    <row r="4233" spans="23:23" ht="26.4">
      <c r="W4233" s="64" ph="1"/>
    </row>
    <row r="4234" spans="23:23" ht="26.4">
      <c r="W4234" s="64" ph="1"/>
    </row>
    <row r="4235" spans="23:23" ht="26.4">
      <c r="W4235" s="64" ph="1"/>
    </row>
    <row r="4236" spans="23:23" ht="26.4">
      <c r="W4236" s="64" ph="1"/>
    </row>
    <row r="4237" spans="23:23" ht="26.4">
      <c r="W4237" s="64" ph="1"/>
    </row>
    <row r="4238" spans="23:23" ht="26.4">
      <c r="W4238" s="64" ph="1"/>
    </row>
    <row r="4239" spans="23:23" ht="26.4">
      <c r="W4239" s="64" ph="1"/>
    </row>
    <row r="4240" spans="23:23" ht="26.4">
      <c r="W4240" s="64" ph="1"/>
    </row>
    <row r="4241" spans="23:23" ht="26.4">
      <c r="W4241" s="64" ph="1"/>
    </row>
    <row r="4242" spans="23:23" ht="26.4">
      <c r="W4242" s="64" ph="1"/>
    </row>
    <row r="4243" spans="23:23" ht="26.4">
      <c r="W4243" s="64" ph="1"/>
    </row>
    <row r="4244" spans="23:23" ht="26.4">
      <c r="W4244" s="64" ph="1"/>
    </row>
    <row r="4245" spans="23:23" ht="26.4">
      <c r="W4245" s="64" ph="1"/>
    </row>
    <row r="4246" spans="23:23" ht="26.4">
      <c r="W4246" s="64" ph="1"/>
    </row>
    <row r="4247" spans="23:23" ht="26.4">
      <c r="W4247" s="64" ph="1"/>
    </row>
    <row r="4248" spans="23:23" ht="26.4">
      <c r="W4248" s="64" ph="1"/>
    </row>
    <row r="4249" spans="23:23" ht="26.4">
      <c r="W4249" s="64" ph="1"/>
    </row>
    <row r="4250" spans="23:23" ht="26.4">
      <c r="W4250" s="64" ph="1"/>
    </row>
    <row r="4251" spans="23:23" ht="26.4">
      <c r="W4251" s="64" ph="1"/>
    </row>
    <row r="4252" spans="23:23" ht="26.4">
      <c r="W4252" s="64" ph="1"/>
    </row>
    <row r="4253" spans="23:23" ht="26.4">
      <c r="W4253" s="64" ph="1"/>
    </row>
    <row r="4254" spans="23:23" ht="26.4">
      <c r="W4254" s="64" ph="1"/>
    </row>
    <row r="4255" spans="23:23" ht="26.4">
      <c r="W4255" s="64" ph="1"/>
    </row>
    <row r="4256" spans="23:23" ht="26.4">
      <c r="W4256" s="64" ph="1"/>
    </row>
    <row r="4257" spans="23:23" ht="26.4">
      <c r="W4257" s="64" ph="1"/>
    </row>
    <row r="4258" spans="23:23" ht="26.4">
      <c r="W4258" s="64" ph="1"/>
    </row>
    <row r="4259" spans="23:23" ht="26.4">
      <c r="W4259" s="64" ph="1"/>
    </row>
    <row r="4260" spans="23:23" ht="26.4">
      <c r="W4260" s="64" ph="1"/>
    </row>
    <row r="4261" spans="23:23" ht="26.4">
      <c r="W4261" s="64" ph="1"/>
    </row>
    <row r="4262" spans="23:23" ht="26.4">
      <c r="W4262" s="64" ph="1"/>
    </row>
    <row r="4263" spans="23:23" ht="26.4">
      <c r="W4263" s="64" ph="1"/>
    </row>
    <row r="4264" spans="23:23" ht="26.4">
      <c r="W4264" s="64" ph="1"/>
    </row>
    <row r="4265" spans="23:23" ht="26.4">
      <c r="W4265" s="64" ph="1"/>
    </row>
    <row r="4266" spans="23:23" ht="26.4">
      <c r="W4266" s="64" ph="1"/>
    </row>
    <row r="4267" spans="23:23" ht="26.4">
      <c r="W4267" s="64" ph="1"/>
    </row>
    <row r="4268" spans="23:23" ht="26.4">
      <c r="W4268" s="64" ph="1"/>
    </row>
    <row r="4269" spans="23:23" ht="26.4">
      <c r="W4269" s="64" ph="1"/>
    </row>
    <row r="4270" spans="23:23" ht="26.4">
      <c r="W4270" s="64" ph="1"/>
    </row>
    <row r="4271" spans="23:23" ht="26.4">
      <c r="W4271" s="64" ph="1"/>
    </row>
    <row r="4272" spans="23:23" ht="26.4">
      <c r="W4272" s="64" ph="1"/>
    </row>
    <row r="4273" spans="23:23" ht="26.4">
      <c r="W4273" s="64" ph="1"/>
    </row>
    <row r="4274" spans="23:23" ht="26.4">
      <c r="W4274" s="64" ph="1"/>
    </row>
    <row r="4275" spans="23:23" ht="26.4">
      <c r="W4275" s="64" ph="1"/>
    </row>
    <row r="4276" spans="23:23" ht="26.4">
      <c r="W4276" s="64" ph="1"/>
    </row>
    <row r="4277" spans="23:23" ht="26.4">
      <c r="W4277" s="64" ph="1"/>
    </row>
    <row r="4278" spans="23:23" ht="26.4">
      <c r="W4278" s="64" ph="1"/>
    </row>
    <row r="4279" spans="23:23" ht="26.4">
      <c r="W4279" s="64" ph="1"/>
    </row>
    <row r="4280" spans="23:23" ht="26.4">
      <c r="W4280" s="64" ph="1"/>
    </row>
    <row r="4281" spans="23:23" ht="26.4">
      <c r="W4281" s="64" ph="1"/>
    </row>
    <row r="4282" spans="23:23" ht="26.4">
      <c r="W4282" s="64" ph="1"/>
    </row>
    <row r="4283" spans="23:23" ht="26.4">
      <c r="W4283" s="64" ph="1"/>
    </row>
    <row r="4284" spans="23:23" ht="26.4">
      <c r="W4284" s="64" ph="1"/>
    </row>
    <row r="4285" spans="23:23" ht="26.4">
      <c r="W4285" s="64" ph="1"/>
    </row>
    <row r="4286" spans="23:23" ht="26.4">
      <c r="W4286" s="64" ph="1"/>
    </row>
    <row r="4287" spans="23:23" ht="26.4">
      <c r="W4287" s="64" ph="1"/>
    </row>
    <row r="4288" spans="23:23" ht="26.4">
      <c r="W4288" s="64" ph="1"/>
    </row>
    <row r="4289" spans="23:23" ht="26.4">
      <c r="W4289" s="64" ph="1"/>
    </row>
    <row r="4290" spans="23:23" ht="26.4">
      <c r="W4290" s="64" ph="1"/>
    </row>
    <row r="4291" spans="23:23" ht="26.4">
      <c r="W4291" s="64" ph="1"/>
    </row>
    <row r="4292" spans="23:23" ht="26.4">
      <c r="W4292" s="64" ph="1"/>
    </row>
    <row r="4293" spans="23:23" ht="26.4">
      <c r="W4293" s="64" ph="1"/>
    </row>
    <row r="4294" spans="23:23" ht="26.4">
      <c r="W4294" s="64" ph="1"/>
    </row>
    <row r="4295" spans="23:23" ht="26.4">
      <c r="W4295" s="64" ph="1"/>
    </row>
    <row r="4296" spans="23:23" ht="26.4">
      <c r="W4296" s="64" ph="1"/>
    </row>
    <row r="4297" spans="23:23" ht="26.4">
      <c r="W4297" s="64" ph="1"/>
    </row>
    <row r="4298" spans="23:23" ht="26.4">
      <c r="W4298" s="64" ph="1"/>
    </row>
    <row r="4299" spans="23:23" ht="26.4">
      <c r="W4299" s="64" ph="1"/>
    </row>
    <row r="4300" spans="23:23" ht="26.4">
      <c r="W4300" s="64" ph="1"/>
    </row>
    <row r="4301" spans="23:23" ht="26.4">
      <c r="W4301" s="64" ph="1"/>
    </row>
    <row r="4302" spans="23:23" ht="26.4">
      <c r="W4302" s="64" ph="1"/>
    </row>
    <row r="4303" spans="23:23" ht="26.4">
      <c r="W4303" s="64" ph="1"/>
    </row>
    <row r="4304" spans="23:23" ht="26.4">
      <c r="W4304" s="64" ph="1"/>
    </row>
    <row r="4305" spans="23:23" ht="26.4">
      <c r="W4305" s="64" ph="1"/>
    </row>
    <row r="4306" spans="23:23" ht="26.4">
      <c r="W4306" s="64" ph="1"/>
    </row>
    <row r="4307" spans="23:23" ht="26.4">
      <c r="W4307" s="64" ph="1"/>
    </row>
    <row r="4308" spans="23:23" ht="26.4">
      <c r="W4308" s="64" ph="1"/>
    </row>
    <row r="4309" spans="23:23" ht="26.4">
      <c r="W4309" s="64" ph="1"/>
    </row>
    <row r="4310" spans="23:23" ht="26.4">
      <c r="W4310" s="64" ph="1"/>
    </row>
    <row r="4311" spans="23:23" ht="26.4">
      <c r="W4311" s="64" ph="1"/>
    </row>
    <row r="4312" spans="23:23" ht="26.4">
      <c r="W4312" s="64" ph="1"/>
    </row>
    <row r="4313" spans="23:23" ht="26.4">
      <c r="W4313" s="64" ph="1"/>
    </row>
    <row r="4314" spans="23:23" ht="26.4">
      <c r="W4314" s="64" ph="1"/>
    </row>
    <row r="4315" spans="23:23" ht="26.4">
      <c r="W4315" s="64" ph="1"/>
    </row>
    <row r="4316" spans="23:23" ht="26.4">
      <c r="W4316" s="64" ph="1"/>
    </row>
    <row r="4317" spans="23:23" ht="26.4">
      <c r="W4317" s="64" ph="1"/>
    </row>
    <row r="4318" spans="23:23" ht="26.4">
      <c r="W4318" s="64" ph="1"/>
    </row>
    <row r="4319" spans="23:23" ht="26.4">
      <c r="W4319" s="64" ph="1"/>
    </row>
    <row r="4320" spans="23:23" ht="26.4">
      <c r="W4320" s="64" ph="1"/>
    </row>
    <row r="4321" spans="23:23" ht="26.4">
      <c r="W4321" s="64" ph="1"/>
    </row>
    <row r="4322" spans="23:23" ht="26.4">
      <c r="W4322" s="64" ph="1"/>
    </row>
    <row r="4323" spans="23:23" ht="26.4">
      <c r="W4323" s="64" ph="1"/>
    </row>
    <row r="4324" spans="23:23" ht="26.4">
      <c r="W4324" s="64" ph="1"/>
    </row>
    <row r="4325" spans="23:23" ht="26.4">
      <c r="W4325" s="64" ph="1"/>
    </row>
    <row r="4326" spans="23:23" ht="26.4">
      <c r="W4326" s="64" ph="1"/>
    </row>
    <row r="4327" spans="23:23" ht="26.4">
      <c r="W4327" s="64" ph="1"/>
    </row>
    <row r="4328" spans="23:23" ht="26.4">
      <c r="W4328" s="64" ph="1"/>
    </row>
    <row r="4329" spans="23:23" ht="26.4">
      <c r="W4329" s="64" ph="1"/>
    </row>
    <row r="4330" spans="23:23" ht="26.4">
      <c r="W4330" s="64" ph="1"/>
    </row>
    <row r="4331" spans="23:23" ht="26.4">
      <c r="W4331" s="64" ph="1"/>
    </row>
    <row r="4332" spans="23:23" ht="26.4">
      <c r="W4332" s="64" ph="1"/>
    </row>
    <row r="4333" spans="23:23" ht="26.4">
      <c r="W4333" s="64" ph="1"/>
    </row>
    <row r="4334" spans="23:23" ht="26.4">
      <c r="W4334" s="64" ph="1"/>
    </row>
    <row r="4335" spans="23:23" ht="26.4">
      <c r="W4335" s="64" ph="1"/>
    </row>
    <row r="4336" spans="23:23" ht="26.4">
      <c r="W4336" s="64" ph="1"/>
    </row>
    <row r="4337" spans="23:23" ht="26.4">
      <c r="W4337" s="64" ph="1"/>
    </row>
    <row r="4338" spans="23:23" ht="26.4">
      <c r="W4338" s="64" ph="1"/>
    </row>
    <row r="4339" spans="23:23" ht="26.4">
      <c r="W4339" s="64" ph="1"/>
    </row>
    <row r="4340" spans="23:23" ht="26.4">
      <c r="W4340" s="64" ph="1"/>
    </row>
    <row r="4341" spans="23:23" ht="26.4">
      <c r="W4341" s="64" ph="1"/>
    </row>
    <row r="4342" spans="23:23" ht="26.4">
      <c r="W4342" s="64" ph="1"/>
    </row>
    <row r="4343" spans="23:23" ht="26.4">
      <c r="W4343" s="64" ph="1"/>
    </row>
    <row r="4344" spans="23:23" ht="26.4">
      <c r="W4344" s="64" ph="1"/>
    </row>
    <row r="4345" spans="23:23" ht="26.4">
      <c r="W4345" s="64" ph="1"/>
    </row>
    <row r="4346" spans="23:23" ht="26.4">
      <c r="W4346" s="64" ph="1"/>
    </row>
    <row r="4347" spans="23:23" ht="26.4">
      <c r="W4347" s="64" ph="1"/>
    </row>
    <row r="4348" spans="23:23" ht="26.4">
      <c r="W4348" s="64" ph="1"/>
    </row>
    <row r="4349" spans="23:23" ht="26.4">
      <c r="W4349" s="64" ph="1"/>
    </row>
    <row r="4350" spans="23:23" ht="26.4">
      <c r="W4350" s="64" ph="1"/>
    </row>
    <row r="4351" spans="23:23" ht="26.4">
      <c r="W4351" s="64" ph="1"/>
    </row>
    <row r="4352" spans="23:23" ht="26.4">
      <c r="W4352" s="64" ph="1"/>
    </row>
    <row r="4353" spans="23:23" ht="26.4">
      <c r="W4353" s="64" ph="1"/>
    </row>
    <row r="4354" spans="23:23" ht="26.4">
      <c r="W4354" s="64" ph="1"/>
    </row>
    <row r="4355" spans="23:23" ht="26.4">
      <c r="W4355" s="64" ph="1"/>
    </row>
    <row r="4356" spans="23:23" ht="26.4">
      <c r="W4356" s="64" ph="1"/>
    </row>
    <row r="4357" spans="23:23" ht="26.4">
      <c r="W4357" s="64" ph="1"/>
    </row>
    <row r="4358" spans="23:23" ht="26.4">
      <c r="W4358" s="64" ph="1"/>
    </row>
    <row r="4359" spans="23:23" ht="26.4">
      <c r="W4359" s="64" ph="1"/>
    </row>
    <row r="4360" spans="23:23" ht="26.4">
      <c r="W4360" s="64" ph="1"/>
    </row>
    <row r="4361" spans="23:23" ht="26.4">
      <c r="W4361" s="64" ph="1"/>
    </row>
    <row r="4362" spans="23:23" ht="26.4">
      <c r="W4362" s="64" ph="1"/>
    </row>
    <row r="4363" spans="23:23" ht="26.4">
      <c r="W4363" s="64" ph="1"/>
    </row>
    <row r="4364" spans="23:23" ht="26.4">
      <c r="W4364" s="64" ph="1"/>
    </row>
    <row r="4365" spans="23:23" ht="26.4">
      <c r="W4365" s="64" ph="1"/>
    </row>
    <row r="4366" spans="23:23" ht="26.4">
      <c r="W4366" s="64" ph="1"/>
    </row>
    <row r="4367" spans="23:23" ht="26.4">
      <c r="W4367" s="64" ph="1"/>
    </row>
    <row r="4368" spans="23:23" ht="26.4">
      <c r="W4368" s="64" ph="1"/>
    </row>
    <row r="4369" spans="23:23" ht="26.4">
      <c r="W4369" s="64" ph="1"/>
    </row>
    <row r="4370" spans="23:23" ht="26.4">
      <c r="W4370" s="64" ph="1"/>
    </row>
    <row r="4371" spans="23:23" ht="26.4">
      <c r="W4371" s="64" ph="1"/>
    </row>
    <row r="4372" spans="23:23" ht="26.4">
      <c r="W4372" s="64" ph="1"/>
    </row>
    <row r="4373" spans="23:23" ht="26.4">
      <c r="W4373" s="64" ph="1"/>
    </row>
    <row r="4374" spans="23:23" ht="26.4">
      <c r="W4374" s="64" ph="1"/>
    </row>
    <row r="4375" spans="23:23" ht="26.4">
      <c r="W4375" s="64" ph="1"/>
    </row>
    <row r="4376" spans="23:23" ht="26.4">
      <c r="W4376" s="64" ph="1"/>
    </row>
    <row r="4377" spans="23:23" ht="26.4">
      <c r="W4377" s="64" ph="1"/>
    </row>
    <row r="4378" spans="23:23" ht="26.4">
      <c r="W4378" s="64" ph="1"/>
    </row>
    <row r="4379" spans="23:23" ht="26.4">
      <c r="W4379" s="64" ph="1"/>
    </row>
    <row r="4380" spans="23:23" ht="26.4">
      <c r="W4380" s="64" ph="1"/>
    </row>
    <row r="4381" spans="23:23" ht="26.4">
      <c r="W4381" s="64" ph="1"/>
    </row>
    <row r="4382" spans="23:23" ht="26.4">
      <c r="W4382" s="64" ph="1"/>
    </row>
    <row r="4383" spans="23:23" ht="26.4">
      <c r="W4383" s="64" ph="1"/>
    </row>
    <row r="4384" spans="23:23" ht="26.4">
      <c r="W4384" s="64" ph="1"/>
    </row>
    <row r="4385" spans="23:23" ht="26.4">
      <c r="W4385" s="64" ph="1"/>
    </row>
    <row r="4386" spans="23:23" ht="26.4">
      <c r="W4386" s="64" ph="1"/>
    </row>
    <row r="4387" spans="23:23" ht="26.4">
      <c r="W4387" s="64" ph="1"/>
    </row>
    <row r="4388" spans="23:23" ht="26.4">
      <c r="W4388" s="64" ph="1"/>
    </row>
    <row r="4389" spans="23:23" ht="26.4">
      <c r="W4389" s="64" ph="1"/>
    </row>
    <row r="4390" spans="23:23" ht="26.4">
      <c r="W4390" s="64" ph="1"/>
    </row>
    <row r="4391" spans="23:23" ht="26.4">
      <c r="W4391" s="64" ph="1"/>
    </row>
    <row r="4392" spans="23:23" ht="26.4">
      <c r="W4392" s="64" ph="1"/>
    </row>
    <row r="4393" spans="23:23" ht="26.4">
      <c r="W4393" s="64" ph="1"/>
    </row>
    <row r="4394" spans="23:23" ht="26.4">
      <c r="W4394" s="64" ph="1"/>
    </row>
    <row r="4395" spans="23:23" ht="26.4">
      <c r="W4395" s="64" ph="1"/>
    </row>
    <row r="4396" spans="23:23" ht="26.4">
      <c r="W4396" s="64" ph="1"/>
    </row>
    <row r="4397" spans="23:23" ht="26.4">
      <c r="W4397" s="64" ph="1"/>
    </row>
    <row r="4398" spans="23:23" ht="26.4">
      <c r="W4398" s="64" ph="1"/>
    </row>
    <row r="4399" spans="23:23" ht="26.4">
      <c r="W4399" s="64" ph="1"/>
    </row>
    <row r="4400" spans="23:23" ht="26.4">
      <c r="W4400" s="64" ph="1"/>
    </row>
    <row r="4401" spans="23:23" ht="26.4">
      <c r="W4401" s="64" ph="1"/>
    </row>
    <row r="4402" spans="23:23" ht="26.4">
      <c r="W4402" s="64" ph="1"/>
    </row>
    <row r="4403" spans="23:23" ht="26.4">
      <c r="W4403" s="64" ph="1"/>
    </row>
    <row r="4404" spans="23:23" ht="26.4">
      <c r="W4404" s="64" ph="1"/>
    </row>
    <row r="4405" spans="23:23" ht="26.4">
      <c r="W4405" s="64" ph="1"/>
    </row>
    <row r="4406" spans="23:23" ht="26.4">
      <c r="W4406" s="64" ph="1"/>
    </row>
    <row r="4407" spans="23:23" ht="26.4">
      <c r="W4407" s="64" ph="1"/>
    </row>
    <row r="4408" spans="23:23" ht="26.4">
      <c r="W4408" s="64" ph="1"/>
    </row>
    <row r="4409" spans="23:23" ht="26.4">
      <c r="W4409" s="64" ph="1"/>
    </row>
    <row r="4410" spans="23:23" ht="26.4">
      <c r="W4410" s="64" ph="1"/>
    </row>
    <row r="4411" spans="23:23" ht="26.4">
      <c r="W4411" s="64" ph="1"/>
    </row>
    <row r="4412" spans="23:23" ht="26.4">
      <c r="W4412" s="64" ph="1"/>
    </row>
    <row r="4413" spans="23:23" ht="26.4">
      <c r="W4413" s="64" ph="1"/>
    </row>
    <row r="4414" spans="23:23" ht="26.4">
      <c r="W4414" s="64" ph="1"/>
    </row>
    <row r="4415" spans="23:23" ht="26.4">
      <c r="W4415" s="64" ph="1"/>
    </row>
    <row r="4416" spans="23:23" ht="26.4">
      <c r="W4416" s="64" ph="1"/>
    </row>
    <row r="4417" spans="23:23" ht="26.4">
      <c r="W4417" s="64" ph="1"/>
    </row>
    <row r="4418" spans="23:23" ht="26.4">
      <c r="W4418" s="64" ph="1"/>
    </row>
    <row r="4419" spans="23:23" ht="26.4">
      <c r="W4419" s="64" ph="1"/>
    </row>
    <row r="4420" spans="23:23" ht="26.4">
      <c r="W4420" s="64" ph="1"/>
    </row>
    <row r="4421" spans="23:23" ht="26.4">
      <c r="W4421" s="64" ph="1"/>
    </row>
    <row r="4422" spans="23:23" ht="26.4">
      <c r="W4422" s="64" ph="1"/>
    </row>
    <row r="4423" spans="23:23" ht="26.4">
      <c r="W4423" s="64" ph="1"/>
    </row>
    <row r="4424" spans="23:23" ht="26.4">
      <c r="W4424" s="64" ph="1"/>
    </row>
    <row r="4425" spans="23:23" ht="26.4">
      <c r="W4425" s="64" ph="1"/>
    </row>
    <row r="4426" spans="23:23" ht="26.4">
      <c r="W4426" s="64" ph="1"/>
    </row>
    <row r="4427" spans="23:23" ht="26.4">
      <c r="W4427" s="64" ph="1"/>
    </row>
    <row r="4428" spans="23:23" ht="26.4">
      <c r="W4428" s="64" ph="1"/>
    </row>
    <row r="4429" spans="23:23" ht="26.4">
      <c r="W4429" s="64" ph="1"/>
    </row>
    <row r="4430" spans="23:23" ht="26.4">
      <c r="W4430" s="64" ph="1"/>
    </row>
    <row r="4431" spans="23:23" ht="26.4">
      <c r="W4431" s="64" ph="1"/>
    </row>
    <row r="4432" spans="23:23" ht="26.4">
      <c r="W4432" s="64" ph="1"/>
    </row>
    <row r="4433" spans="23:23" ht="26.4">
      <c r="W4433" s="64" ph="1"/>
    </row>
    <row r="4434" spans="23:23" ht="26.4">
      <c r="W4434" s="64" ph="1"/>
    </row>
    <row r="4435" spans="23:23" ht="26.4">
      <c r="W4435" s="64" ph="1"/>
    </row>
    <row r="4436" spans="23:23" ht="26.4">
      <c r="W4436" s="64" ph="1"/>
    </row>
    <row r="4437" spans="23:23" ht="26.4">
      <c r="W4437" s="64" ph="1"/>
    </row>
    <row r="4438" spans="23:23" ht="26.4">
      <c r="W4438" s="64" ph="1"/>
    </row>
    <row r="4439" spans="23:23" ht="26.4">
      <c r="W4439" s="64" ph="1"/>
    </row>
    <row r="4440" spans="23:23" ht="26.4">
      <c r="W4440" s="64" ph="1"/>
    </row>
    <row r="4441" spans="23:23" ht="26.4">
      <c r="W4441" s="64" ph="1"/>
    </row>
    <row r="4442" spans="23:23" ht="26.4">
      <c r="W4442" s="64" ph="1"/>
    </row>
    <row r="4443" spans="23:23" ht="26.4">
      <c r="W4443" s="64" ph="1"/>
    </row>
    <row r="4444" spans="23:23" ht="26.4">
      <c r="W4444" s="64" ph="1"/>
    </row>
    <row r="4445" spans="23:23" ht="26.4">
      <c r="W4445" s="64" ph="1"/>
    </row>
    <row r="4446" spans="23:23" ht="26.4">
      <c r="W4446" s="64" ph="1"/>
    </row>
    <row r="4447" spans="23:23" ht="26.4">
      <c r="W4447" s="64" ph="1"/>
    </row>
    <row r="4448" spans="23:23" ht="26.4">
      <c r="W4448" s="64" ph="1"/>
    </row>
    <row r="4449" spans="23:23" ht="26.4">
      <c r="W4449" s="64" ph="1"/>
    </row>
    <row r="4450" spans="23:23" ht="26.4">
      <c r="W4450" s="64" ph="1"/>
    </row>
    <row r="4451" spans="23:23" ht="26.4">
      <c r="W4451" s="64" ph="1"/>
    </row>
    <row r="4452" spans="23:23" ht="26.4">
      <c r="W4452" s="64" ph="1"/>
    </row>
    <row r="4453" spans="23:23" ht="26.4">
      <c r="W4453" s="64" ph="1"/>
    </row>
    <row r="4454" spans="23:23" ht="26.4">
      <c r="W4454" s="64" ph="1"/>
    </row>
    <row r="4455" spans="23:23" ht="26.4">
      <c r="W4455" s="64" ph="1"/>
    </row>
    <row r="4456" spans="23:23" ht="26.4">
      <c r="W4456" s="64" ph="1"/>
    </row>
    <row r="4457" spans="23:23" ht="26.4">
      <c r="W4457" s="64" ph="1"/>
    </row>
    <row r="4458" spans="23:23" ht="26.4">
      <c r="W4458" s="64" ph="1"/>
    </row>
    <row r="4459" spans="23:23" ht="26.4">
      <c r="W4459" s="64" ph="1"/>
    </row>
    <row r="4460" spans="23:23" ht="26.4">
      <c r="W4460" s="64" ph="1"/>
    </row>
    <row r="4461" spans="23:23" ht="26.4">
      <c r="W4461" s="64" ph="1"/>
    </row>
    <row r="4462" spans="23:23" ht="26.4">
      <c r="W4462" s="64" ph="1"/>
    </row>
    <row r="4463" spans="23:23" ht="26.4">
      <c r="W4463" s="64" ph="1"/>
    </row>
    <row r="4464" spans="23:23" ht="26.4">
      <c r="W4464" s="64" ph="1"/>
    </row>
    <row r="4465" spans="23:23" ht="26.4">
      <c r="W4465" s="64" ph="1"/>
    </row>
    <row r="4466" spans="23:23" ht="26.4">
      <c r="W4466" s="64" ph="1"/>
    </row>
    <row r="4467" spans="23:23" ht="26.4">
      <c r="W4467" s="64" ph="1"/>
    </row>
    <row r="4468" spans="23:23" ht="26.4">
      <c r="W4468" s="64" ph="1"/>
    </row>
    <row r="4469" spans="23:23" ht="26.4">
      <c r="W4469" s="64" ph="1"/>
    </row>
    <row r="4470" spans="23:23" ht="26.4">
      <c r="W4470" s="64" ph="1"/>
    </row>
    <row r="4471" spans="23:23" ht="26.4">
      <c r="W4471" s="64" ph="1"/>
    </row>
    <row r="4472" spans="23:23" ht="26.4">
      <c r="W4472" s="64" ph="1"/>
    </row>
    <row r="4473" spans="23:23" ht="26.4">
      <c r="W4473" s="64" ph="1"/>
    </row>
    <row r="4474" spans="23:23" ht="26.4">
      <c r="W4474" s="64" ph="1"/>
    </row>
    <row r="4475" spans="23:23" ht="26.4">
      <c r="W4475" s="64" ph="1"/>
    </row>
    <row r="4476" spans="23:23" ht="26.4">
      <c r="W4476" s="64" ph="1"/>
    </row>
    <row r="4477" spans="23:23" ht="26.4">
      <c r="W4477" s="64" ph="1"/>
    </row>
    <row r="4478" spans="23:23" ht="26.4">
      <c r="W4478" s="64" ph="1"/>
    </row>
    <row r="4479" spans="23:23" ht="26.4">
      <c r="W4479" s="64" ph="1"/>
    </row>
    <row r="4480" spans="23:23" ht="26.4">
      <c r="W4480" s="64" ph="1"/>
    </row>
    <row r="4481" spans="23:23" ht="26.4">
      <c r="W4481" s="64" ph="1"/>
    </row>
    <row r="4482" spans="23:23" ht="26.4">
      <c r="W4482" s="64" ph="1"/>
    </row>
    <row r="4483" spans="23:23" ht="26.4">
      <c r="W4483" s="64" ph="1"/>
    </row>
    <row r="4484" spans="23:23" ht="26.4">
      <c r="W4484" s="64" ph="1"/>
    </row>
    <row r="4485" spans="23:23" ht="26.4">
      <c r="W4485" s="64" ph="1"/>
    </row>
    <row r="4486" spans="23:23" ht="26.4">
      <c r="W4486" s="64" ph="1"/>
    </row>
    <row r="4487" spans="23:23" ht="26.4">
      <c r="W4487" s="64" ph="1"/>
    </row>
    <row r="4488" spans="23:23" ht="26.4">
      <c r="W4488" s="64" ph="1"/>
    </row>
    <row r="4489" spans="23:23" ht="26.4">
      <c r="W4489" s="64" ph="1"/>
    </row>
    <row r="4490" spans="23:23" ht="26.4">
      <c r="W4490" s="64" ph="1"/>
    </row>
    <row r="4491" spans="23:23" ht="26.4">
      <c r="W4491" s="64" ph="1"/>
    </row>
    <row r="4492" spans="23:23" ht="26.4">
      <c r="W4492" s="64" ph="1"/>
    </row>
    <row r="4493" spans="23:23" ht="26.4">
      <c r="W4493" s="64" ph="1"/>
    </row>
    <row r="4494" spans="23:23" ht="26.4">
      <c r="W4494" s="64" ph="1"/>
    </row>
    <row r="4495" spans="23:23" ht="26.4">
      <c r="W4495" s="64" ph="1"/>
    </row>
    <row r="4496" spans="23:23" ht="26.4">
      <c r="W4496" s="64" ph="1"/>
    </row>
    <row r="4497" spans="23:23" ht="26.4">
      <c r="W4497" s="64" ph="1"/>
    </row>
    <row r="4498" spans="23:23" ht="26.4">
      <c r="W4498" s="64" ph="1"/>
    </row>
    <row r="4499" spans="23:23" ht="26.4">
      <c r="W4499" s="64" ph="1"/>
    </row>
    <row r="4500" spans="23:23" ht="26.4">
      <c r="W4500" s="64" ph="1"/>
    </row>
    <row r="4501" spans="23:23" ht="26.4">
      <c r="W4501" s="64" ph="1"/>
    </row>
    <row r="4502" spans="23:23" ht="26.4">
      <c r="W4502" s="64" ph="1"/>
    </row>
    <row r="4503" spans="23:23" ht="26.4">
      <c r="W4503" s="64" ph="1"/>
    </row>
    <row r="4504" spans="23:23" ht="26.4">
      <c r="W4504" s="64" ph="1"/>
    </row>
    <row r="4505" spans="23:23" ht="26.4">
      <c r="W4505" s="64" ph="1"/>
    </row>
    <row r="4506" spans="23:23" ht="26.4">
      <c r="W4506" s="64" ph="1"/>
    </row>
    <row r="4507" spans="23:23" ht="26.4">
      <c r="W4507" s="64" ph="1"/>
    </row>
    <row r="4508" spans="23:23" ht="26.4">
      <c r="W4508" s="64" ph="1"/>
    </row>
    <row r="4509" spans="23:23" ht="26.4">
      <c r="W4509" s="64" ph="1"/>
    </row>
    <row r="4510" spans="23:23" ht="26.4">
      <c r="W4510" s="64" ph="1"/>
    </row>
    <row r="4511" spans="23:23" ht="26.4">
      <c r="W4511" s="64" ph="1"/>
    </row>
    <row r="4512" spans="23:23" ht="26.4">
      <c r="W4512" s="64" ph="1"/>
    </row>
    <row r="4513" spans="23:23" ht="26.4">
      <c r="W4513" s="64" ph="1"/>
    </row>
    <row r="4514" spans="23:23" ht="26.4">
      <c r="W4514" s="64" ph="1"/>
    </row>
    <row r="4515" spans="23:23" ht="26.4">
      <c r="W4515" s="64" ph="1"/>
    </row>
    <row r="4516" spans="23:23" ht="26.4">
      <c r="W4516" s="64" ph="1"/>
    </row>
    <row r="4517" spans="23:23" ht="26.4">
      <c r="W4517" s="64" ph="1"/>
    </row>
    <row r="4518" spans="23:23" ht="26.4">
      <c r="W4518" s="64" ph="1"/>
    </row>
    <row r="4519" spans="23:23" ht="26.4">
      <c r="W4519" s="64" ph="1"/>
    </row>
    <row r="4520" spans="23:23" ht="26.4">
      <c r="W4520" s="64" ph="1"/>
    </row>
    <row r="4521" spans="23:23" ht="26.4">
      <c r="W4521" s="64" ph="1"/>
    </row>
    <row r="4522" spans="23:23" ht="26.4">
      <c r="W4522" s="64" ph="1"/>
    </row>
    <row r="4523" spans="23:23" ht="26.4">
      <c r="W4523" s="64" ph="1"/>
    </row>
    <row r="4524" spans="23:23" ht="26.4">
      <c r="W4524" s="64" ph="1"/>
    </row>
    <row r="4525" spans="23:23" ht="26.4">
      <c r="W4525" s="64" ph="1"/>
    </row>
    <row r="4526" spans="23:23" ht="26.4">
      <c r="W4526" s="64" ph="1"/>
    </row>
    <row r="4527" spans="23:23" ht="26.4">
      <c r="W4527" s="64" ph="1"/>
    </row>
    <row r="4528" spans="23:23" ht="26.4">
      <c r="W4528" s="64" ph="1"/>
    </row>
    <row r="4529" spans="23:23" ht="26.4">
      <c r="W4529" s="64" ph="1"/>
    </row>
    <row r="4530" spans="23:23" ht="26.4">
      <c r="W4530" s="64" ph="1"/>
    </row>
    <row r="4531" spans="23:23" ht="26.4">
      <c r="W4531" s="64" ph="1"/>
    </row>
    <row r="4532" spans="23:23" ht="26.4">
      <c r="W4532" s="64" ph="1"/>
    </row>
    <row r="4533" spans="23:23" ht="26.4">
      <c r="W4533" s="64" ph="1"/>
    </row>
    <row r="4534" spans="23:23" ht="26.4">
      <c r="W4534" s="64" ph="1"/>
    </row>
    <row r="4535" spans="23:23" ht="26.4">
      <c r="W4535" s="64" ph="1"/>
    </row>
    <row r="4536" spans="23:23" ht="26.4">
      <c r="W4536" s="64" ph="1"/>
    </row>
    <row r="4537" spans="23:23" ht="26.4">
      <c r="W4537" s="64" ph="1"/>
    </row>
    <row r="4538" spans="23:23" ht="26.4">
      <c r="W4538" s="64" ph="1"/>
    </row>
    <row r="4539" spans="23:23" ht="26.4">
      <c r="W4539" s="64" ph="1"/>
    </row>
    <row r="4540" spans="23:23" ht="26.4">
      <c r="W4540" s="64" ph="1"/>
    </row>
    <row r="4541" spans="23:23" ht="26.4">
      <c r="W4541" s="64" ph="1"/>
    </row>
    <row r="4542" spans="23:23" ht="26.4">
      <c r="W4542" s="64" ph="1"/>
    </row>
    <row r="4543" spans="23:23" ht="26.4">
      <c r="W4543" s="64" ph="1"/>
    </row>
    <row r="4544" spans="23:23" ht="26.4">
      <c r="W4544" s="64" ph="1"/>
    </row>
    <row r="4545" spans="23:23" ht="26.4">
      <c r="W4545" s="64" ph="1"/>
    </row>
    <row r="4546" spans="23:23" ht="26.4">
      <c r="W4546" s="64" ph="1"/>
    </row>
    <row r="4547" spans="23:23" ht="26.4">
      <c r="W4547" s="64" ph="1"/>
    </row>
    <row r="4548" spans="23:23" ht="26.4">
      <c r="W4548" s="64" ph="1"/>
    </row>
    <row r="4549" spans="23:23" ht="26.4">
      <c r="W4549" s="64" ph="1"/>
    </row>
    <row r="4550" spans="23:23" ht="26.4">
      <c r="W4550" s="64" ph="1"/>
    </row>
    <row r="4551" spans="23:23" ht="26.4">
      <c r="W4551" s="64" ph="1"/>
    </row>
    <row r="4552" spans="23:23" ht="26.4">
      <c r="W4552" s="64" ph="1"/>
    </row>
    <row r="4553" spans="23:23" ht="26.4">
      <c r="W4553" s="64" ph="1"/>
    </row>
    <row r="4554" spans="23:23" ht="26.4">
      <c r="W4554" s="64" ph="1"/>
    </row>
    <row r="4555" spans="23:23" ht="26.4">
      <c r="W4555" s="64" ph="1"/>
    </row>
    <row r="4556" spans="23:23" ht="26.4">
      <c r="W4556" s="64" ph="1"/>
    </row>
    <row r="4557" spans="23:23" ht="26.4">
      <c r="W4557" s="64" ph="1"/>
    </row>
    <row r="4558" spans="23:23" ht="26.4">
      <c r="W4558" s="64" ph="1"/>
    </row>
    <row r="4559" spans="23:23" ht="26.4">
      <c r="W4559" s="64" ph="1"/>
    </row>
    <row r="4560" spans="23:23" ht="26.4">
      <c r="W4560" s="64" ph="1"/>
    </row>
    <row r="4561" spans="23:23" ht="26.4">
      <c r="W4561" s="64" ph="1"/>
    </row>
    <row r="4562" spans="23:23" ht="26.4">
      <c r="W4562" s="64" ph="1"/>
    </row>
    <row r="4563" spans="23:23" ht="26.4">
      <c r="W4563" s="64" ph="1"/>
    </row>
    <row r="4564" spans="23:23" ht="26.4">
      <c r="W4564" s="64" ph="1"/>
    </row>
    <row r="4565" spans="23:23" ht="26.4">
      <c r="W4565" s="64" ph="1"/>
    </row>
    <row r="4566" spans="23:23" ht="26.4">
      <c r="W4566" s="64" ph="1"/>
    </row>
    <row r="4567" spans="23:23" ht="26.4">
      <c r="W4567" s="64" ph="1"/>
    </row>
    <row r="4568" spans="23:23" ht="26.4">
      <c r="W4568" s="64" ph="1"/>
    </row>
    <row r="4569" spans="23:23" ht="26.4">
      <c r="W4569" s="64" ph="1"/>
    </row>
    <row r="4570" spans="23:23" ht="26.4">
      <c r="W4570" s="64" ph="1"/>
    </row>
    <row r="4571" spans="23:23" ht="26.4">
      <c r="W4571" s="64" ph="1"/>
    </row>
    <row r="4572" spans="23:23" ht="26.4">
      <c r="W4572" s="64" ph="1"/>
    </row>
    <row r="4573" spans="23:23" ht="26.4">
      <c r="W4573" s="64" ph="1"/>
    </row>
    <row r="4574" spans="23:23" ht="26.4">
      <c r="W4574" s="64" ph="1"/>
    </row>
    <row r="4575" spans="23:23" ht="26.4">
      <c r="W4575" s="64" ph="1"/>
    </row>
    <row r="4576" spans="23:23" ht="26.4">
      <c r="W4576" s="64" ph="1"/>
    </row>
    <row r="4577" spans="23:23" ht="26.4">
      <c r="W4577" s="64" ph="1"/>
    </row>
    <row r="4578" spans="23:23" ht="26.4">
      <c r="W4578" s="64" ph="1"/>
    </row>
    <row r="4579" spans="23:23" ht="26.4">
      <c r="W4579" s="64" ph="1"/>
    </row>
    <row r="4580" spans="23:23" ht="26.4">
      <c r="W4580" s="64" ph="1"/>
    </row>
    <row r="4581" spans="23:23" ht="26.4">
      <c r="W4581" s="64" ph="1"/>
    </row>
    <row r="4582" spans="23:23" ht="26.4">
      <c r="W4582" s="64" ph="1"/>
    </row>
    <row r="4583" spans="23:23" ht="26.4">
      <c r="W4583" s="64" ph="1"/>
    </row>
    <row r="4584" spans="23:23" ht="26.4">
      <c r="W4584" s="64" ph="1"/>
    </row>
    <row r="4585" spans="23:23" ht="26.4">
      <c r="W4585" s="64" ph="1"/>
    </row>
    <row r="4586" spans="23:23" ht="26.4">
      <c r="W4586" s="64" ph="1"/>
    </row>
    <row r="4587" spans="23:23" ht="26.4">
      <c r="W4587" s="64" ph="1"/>
    </row>
    <row r="4588" spans="23:23" ht="26.4">
      <c r="W4588" s="64" ph="1"/>
    </row>
    <row r="4589" spans="23:23" ht="26.4">
      <c r="W4589" s="64" ph="1"/>
    </row>
    <row r="4590" spans="23:23" ht="26.4">
      <c r="W4590" s="64" ph="1"/>
    </row>
    <row r="4591" spans="23:23" ht="26.4">
      <c r="W4591" s="64" ph="1"/>
    </row>
    <row r="4592" spans="23:23" ht="26.4">
      <c r="W4592" s="64" ph="1"/>
    </row>
    <row r="4593" spans="23:23" ht="26.4">
      <c r="W4593" s="64" ph="1"/>
    </row>
    <row r="4594" spans="23:23" ht="26.4">
      <c r="W4594" s="64" ph="1"/>
    </row>
    <row r="4595" spans="23:23" ht="26.4">
      <c r="W4595" s="64" ph="1"/>
    </row>
    <row r="4596" spans="23:23" ht="26.4">
      <c r="W4596" s="64" ph="1"/>
    </row>
    <row r="4597" spans="23:23" ht="26.4">
      <c r="W4597" s="64" ph="1"/>
    </row>
    <row r="4598" spans="23:23" ht="26.4">
      <c r="W4598" s="64" ph="1"/>
    </row>
    <row r="4599" spans="23:23" ht="26.4">
      <c r="W4599" s="64" ph="1"/>
    </row>
    <row r="4600" spans="23:23" ht="26.4">
      <c r="W4600" s="64" ph="1"/>
    </row>
    <row r="4601" spans="23:23" ht="26.4">
      <c r="W4601" s="64" ph="1"/>
    </row>
    <row r="4602" spans="23:23" ht="26.4">
      <c r="W4602" s="64" ph="1"/>
    </row>
    <row r="4603" spans="23:23" ht="26.4">
      <c r="W4603" s="64" ph="1"/>
    </row>
    <row r="4604" spans="23:23" ht="26.4">
      <c r="W4604" s="64" ph="1"/>
    </row>
    <row r="4605" spans="23:23" ht="26.4">
      <c r="W4605" s="64" ph="1"/>
    </row>
    <row r="4606" spans="23:23" ht="26.4">
      <c r="W4606" s="64" ph="1"/>
    </row>
    <row r="4607" spans="23:23" ht="26.4">
      <c r="W4607" s="64" ph="1"/>
    </row>
    <row r="4608" spans="23:23" ht="26.4">
      <c r="W4608" s="64" ph="1"/>
    </row>
    <row r="4609" spans="23:23" ht="26.4">
      <c r="W4609" s="64" ph="1"/>
    </row>
    <row r="4610" spans="23:23" ht="26.4">
      <c r="W4610" s="64" ph="1"/>
    </row>
    <row r="4611" spans="23:23" ht="26.4">
      <c r="W4611" s="64" ph="1"/>
    </row>
    <row r="4612" spans="23:23" ht="26.4">
      <c r="W4612" s="64" ph="1"/>
    </row>
    <row r="4613" spans="23:23" ht="26.4">
      <c r="W4613" s="64" ph="1"/>
    </row>
    <row r="4614" spans="23:23" ht="26.4">
      <c r="W4614" s="64" ph="1"/>
    </row>
    <row r="4615" spans="23:23" ht="26.4">
      <c r="W4615" s="64" ph="1"/>
    </row>
    <row r="4616" spans="23:23" ht="26.4">
      <c r="W4616" s="64" ph="1"/>
    </row>
    <row r="4617" spans="23:23" ht="26.4">
      <c r="W4617" s="64" ph="1"/>
    </row>
    <row r="4618" spans="23:23" ht="26.4">
      <c r="W4618" s="64" ph="1"/>
    </row>
    <row r="4619" spans="23:23" ht="26.4">
      <c r="W4619" s="64" ph="1"/>
    </row>
    <row r="4620" spans="23:23" ht="26.4">
      <c r="W4620" s="64" ph="1"/>
    </row>
    <row r="4621" spans="23:23" ht="26.4">
      <c r="W4621" s="64" ph="1"/>
    </row>
    <row r="4622" spans="23:23" ht="26.4">
      <c r="W4622" s="64" ph="1"/>
    </row>
    <row r="4623" spans="23:23" ht="26.4">
      <c r="W4623" s="64" ph="1"/>
    </row>
    <row r="4624" spans="23:23" ht="26.4">
      <c r="W4624" s="64" ph="1"/>
    </row>
    <row r="4625" spans="23:23" ht="26.4">
      <c r="W4625" s="64" ph="1"/>
    </row>
    <row r="4626" spans="23:23" ht="26.4">
      <c r="W4626" s="64" ph="1"/>
    </row>
    <row r="4627" spans="23:23" ht="26.4">
      <c r="W4627" s="64" ph="1"/>
    </row>
    <row r="4628" spans="23:23" ht="26.4">
      <c r="W4628" s="64" ph="1"/>
    </row>
    <row r="4629" spans="23:23" ht="26.4">
      <c r="W4629" s="64" ph="1"/>
    </row>
    <row r="4630" spans="23:23" ht="26.4">
      <c r="W4630" s="64" ph="1"/>
    </row>
    <row r="4631" spans="23:23" ht="26.4">
      <c r="W4631" s="64" ph="1"/>
    </row>
    <row r="4632" spans="23:23" ht="26.4">
      <c r="W4632" s="64" ph="1"/>
    </row>
    <row r="4633" spans="23:23" ht="26.4">
      <c r="W4633" s="64" ph="1"/>
    </row>
    <row r="4634" spans="23:23" ht="26.4">
      <c r="W4634" s="64" ph="1"/>
    </row>
    <row r="4635" spans="23:23" ht="26.4">
      <c r="W4635" s="64" ph="1"/>
    </row>
    <row r="4636" spans="23:23" ht="26.4">
      <c r="W4636" s="64" ph="1"/>
    </row>
    <row r="4637" spans="23:23" ht="26.4">
      <c r="W4637" s="64" ph="1"/>
    </row>
    <row r="4638" spans="23:23" ht="26.4">
      <c r="W4638" s="64" ph="1"/>
    </row>
    <row r="4639" spans="23:23" ht="26.4">
      <c r="W4639" s="64" ph="1"/>
    </row>
    <row r="4640" spans="23:23" ht="26.4">
      <c r="W4640" s="64" ph="1"/>
    </row>
    <row r="4641" spans="23:23" ht="26.4">
      <c r="W4641" s="64" ph="1"/>
    </row>
    <row r="4642" spans="23:23" ht="26.4">
      <c r="W4642" s="64" ph="1"/>
    </row>
    <row r="4643" spans="23:23" ht="26.4">
      <c r="W4643" s="64" ph="1"/>
    </row>
    <row r="4644" spans="23:23" ht="26.4">
      <c r="W4644" s="64" ph="1"/>
    </row>
    <row r="4645" spans="23:23" ht="26.4">
      <c r="W4645" s="64" ph="1"/>
    </row>
    <row r="4646" spans="23:23" ht="26.4">
      <c r="W4646" s="64" ph="1"/>
    </row>
    <row r="4647" spans="23:23" ht="26.4">
      <c r="W4647" s="64" ph="1"/>
    </row>
    <row r="4648" spans="23:23" ht="26.4">
      <c r="W4648" s="64" ph="1"/>
    </row>
    <row r="4649" spans="23:23" ht="26.4">
      <c r="W4649" s="64" ph="1"/>
    </row>
    <row r="4650" spans="23:23" ht="26.4">
      <c r="W4650" s="64" ph="1"/>
    </row>
    <row r="4651" spans="23:23" ht="26.4">
      <c r="W4651" s="64" ph="1"/>
    </row>
    <row r="4652" spans="23:23" ht="26.4">
      <c r="W4652" s="64" ph="1"/>
    </row>
    <row r="4653" spans="23:23" ht="26.4">
      <c r="W4653" s="64" ph="1"/>
    </row>
    <row r="4654" spans="23:23" ht="26.4">
      <c r="W4654" s="64" ph="1"/>
    </row>
    <row r="4655" spans="23:23" ht="26.4">
      <c r="W4655" s="64" ph="1"/>
    </row>
    <row r="4656" spans="23:23" ht="26.4">
      <c r="W4656" s="64" ph="1"/>
    </row>
    <row r="4657" spans="23:23" ht="26.4">
      <c r="W4657" s="64" ph="1"/>
    </row>
    <row r="4658" spans="23:23" ht="26.4">
      <c r="W4658" s="64" ph="1"/>
    </row>
    <row r="4659" spans="23:23" ht="26.4">
      <c r="W4659" s="64" ph="1"/>
    </row>
    <row r="4660" spans="23:23" ht="26.4">
      <c r="W4660" s="64" ph="1"/>
    </row>
    <row r="4661" spans="23:23" ht="26.4">
      <c r="W4661" s="64" ph="1"/>
    </row>
    <row r="4662" spans="23:23" ht="26.4">
      <c r="W4662" s="64" ph="1"/>
    </row>
    <row r="4663" spans="23:23" ht="26.4">
      <c r="W4663" s="64" ph="1"/>
    </row>
    <row r="4664" spans="23:23" ht="26.4">
      <c r="W4664" s="64" ph="1"/>
    </row>
    <row r="4665" spans="23:23" ht="26.4">
      <c r="W4665" s="64" ph="1"/>
    </row>
    <row r="4666" spans="23:23" ht="26.4">
      <c r="W4666" s="64" ph="1"/>
    </row>
    <row r="4667" spans="23:23" ht="26.4">
      <c r="W4667" s="64" ph="1"/>
    </row>
    <row r="4668" spans="23:23" ht="26.4">
      <c r="W4668" s="64" ph="1"/>
    </row>
    <row r="4669" spans="23:23" ht="26.4">
      <c r="W4669" s="64" ph="1"/>
    </row>
    <row r="4670" spans="23:23" ht="26.4">
      <c r="W4670" s="64" ph="1"/>
    </row>
    <row r="4671" spans="23:23" ht="26.4">
      <c r="W4671" s="64" ph="1"/>
    </row>
    <row r="4672" spans="23:23" ht="26.4">
      <c r="W4672" s="64" ph="1"/>
    </row>
    <row r="4673" spans="23:23" ht="26.4">
      <c r="W4673" s="64" ph="1"/>
    </row>
    <row r="4674" spans="23:23" ht="26.4">
      <c r="W4674" s="64" ph="1"/>
    </row>
    <row r="4675" spans="23:23" ht="26.4">
      <c r="W4675" s="64" ph="1"/>
    </row>
    <row r="4676" spans="23:23" ht="26.4">
      <c r="W4676" s="64" ph="1"/>
    </row>
    <row r="4677" spans="23:23" ht="26.4">
      <c r="W4677" s="64" ph="1"/>
    </row>
    <row r="4678" spans="23:23" ht="26.4">
      <c r="W4678" s="64" ph="1"/>
    </row>
    <row r="4679" spans="23:23" ht="26.4">
      <c r="W4679" s="64" ph="1"/>
    </row>
    <row r="4680" spans="23:23" ht="26.4">
      <c r="W4680" s="64" ph="1"/>
    </row>
    <row r="4681" spans="23:23" ht="26.4">
      <c r="W4681" s="64" ph="1"/>
    </row>
    <row r="4682" spans="23:23" ht="26.4">
      <c r="W4682" s="64" ph="1"/>
    </row>
    <row r="4683" spans="23:23" ht="26.4">
      <c r="W4683" s="64" ph="1"/>
    </row>
    <row r="4684" spans="23:23" ht="26.4">
      <c r="W4684" s="64" ph="1"/>
    </row>
    <row r="4685" spans="23:23" ht="26.4">
      <c r="W4685" s="64" ph="1"/>
    </row>
    <row r="4686" spans="23:23" ht="26.4">
      <c r="W4686" s="64" ph="1"/>
    </row>
    <row r="4687" spans="23:23" ht="26.4">
      <c r="W4687" s="64" ph="1"/>
    </row>
    <row r="4688" spans="23:23" ht="26.4">
      <c r="W4688" s="64" ph="1"/>
    </row>
    <row r="4689" spans="23:23" ht="26.4">
      <c r="W4689" s="64" ph="1"/>
    </row>
    <row r="4690" spans="23:23" ht="26.4">
      <c r="W4690" s="64" ph="1"/>
    </row>
    <row r="4691" spans="23:23" ht="26.4">
      <c r="W4691" s="64" ph="1"/>
    </row>
    <row r="4692" spans="23:23" ht="26.4">
      <c r="W4692" s="64" ph="1"/>
    </row>
    <row r="4693" spans="23:23" ht="26.4">
      <c r="W4693" s="64" ph="1"/>
    </row>
    <row r="4694" spans="23:23" ht="26.4">
      <c r="W4694" s="64" ph="1"/>
    </row>
    <row r="4695" spans="23:23" ht="26.4">
      <c r="W4695" s="64" ph="1"/>
    </row>
    <row r="4696" spans="23:23" ht="26.4">
      <c r="W4696" s="64" ph="1"/>
    </row>
    <row r="4697" spans="23:23" ht="26.4">
      <c r="W4697" s="64" ph="1"/>
    </row>
    <row r="4698" spans="23:23" ht="26.4">
      <c r="W4698" s="64" ph="1"/>
    </row>
    <row r="4699" spans="23:23" ht="26.4">
      <c r="W4699" s="64" ph="1"/>
    </row>
    <row r="4700" spans="23:23" ht="26.4">
      <c r="W4700" s="64" ph="1"/>
    </row>
    <row r="4701" spans="23:23" ht="26.4">
      <c r="W4701" s="64" ph="1"/>
    </row>
    <row r="4702" spans="23:23" ht="26.4">
      <c r="W4702" s="64" ph="1"/>
    </row>
    <row r="4703" spans="23:23" ht="26.4">
      <c r="W4703" s="64" ph="1"/>
    </row>
    <row r="4704" spans="23:23" ht="26.4">
      <c r="W4704" s="64" ph="1"/>
    </row>
    <row r="4705" spans="23:23" ht="26.4">
      <c r="W4705" s="64" ph="1"/>
    </row>
    <row r="4706" spans="23:23" ht="26.4">
      <c r="W4706" s="64" ph="1"/>
    </row>
    <row r="4707" spans="23:23" ht="26.4">
      <c r="W4707" s="64" ph="1"/>
    </row>
    <row r="4708" spans="23:23" ht="26.4">
      <c r="W4708" s="64" ph="1"/>
    </row>
    <row r="4709" spans="23:23" ht="26.4">
      <c r="W4709" s="64" ph="1"/>
    </row>
    <row r="4710" spans="23:23" ht="26.4">
      <c r="W4710" s="64" ph="1"/>
    </row>
    <row r="4711" spans="23:23" ht="26.4">
      <c r="W4711" s="64" ph="1"/>
    </row>
    <row r="4712" spans="23:23" ht="26.4">
      <c r="W4712" s="64" ph="1"/>
    </row>
    <row r="4713" spans="23:23" ht="26.4">
      <c r="W4713" s="64" ph="1"/>
    </row>
    <row r="4714" spans="23:23" ht="26.4">
      <c r="W4714" s="64" ph="1"/>
    </row>
    <row r="4715" spans="23:23" ht="26.4">
      <c r="W4715" s="64" ph="1"/>
    </row>
    <row r="4716" spans="23:23" ht="26.4">
      <c r="W4716" s="64" ph="1"/>
    </row>
    <row r="4717" spans="23:23" ht="26.4">
      <c r="W4717" s="64" ph="1"/>
    </row>
    <row r="4718" spans="23:23" ht="26.4">
      <c r="W4718" s="64" ph="1"/>
    </row>
    <row r="4719" spans="23:23" ht="26.4">
      <c r="W4719" s="64" ph="1"/>
    </row>
    <row r="4720" spans="23:23" ht="26.4">
      <c r="W4720" s="64" ph="1"/>
    </row>
    <row r="4721" spans="23:23" ht="26.4">
      <c r="W4721" s="64" ph="1"/>
    </row>
    <row r="4722" spans="23:23" ht="26.4">
      <c r="W4722" s="64" ph="1"/>
    </row>
    <row r="4723" spans="23:23" ht="26.4">
      <c r="W4723" s="64" ph="1"/>
    </row>
    <row r="4724" spans="23:23" ht="26.4">
      <c r="W4724" s="64" ph="1"/>
    </row>
    <row r="4725" spans="23:23" ht="26.4">
      <c r="W4725" s="64" ph="1"/>
    </row>
    <row r="4726" spans="23:23" ht="26.4">
      <c r="W4726" s="64" ph="1"/>
    </row>
    <row r="4727" spans="23:23" ht="26.4">
      <c r="W4727" s="64" ph="1"/>
    </row>
    <row r="4728" spans="23:23" ht="26.4">
      <c r="W4728" s="64" ph="1"/>
    </row>
    <row r="4729" spans="23:23" ht="26.4">
      <c r="W4729" s="64" ph="1"/>
    </row>
    <row r="4730" spans="23:23" ht="26.4">
      <c r="W4730" s="64" ph="1"/>
    </row>
    <row r="4731" spans="23:23" ht="26.4">
      <c r="W4731" s="64" ph="1"/>
    </row>
    <row r="4732" spans="23:23" ht="26.4">
      <c r="W4732" s="64" ph="1"/>
    </row>
    <row r="4733" spans="23:23" ht="26.4">
      <c r="W4733" s="64" ph="1"/>
    </row>
    <row r="4734" spans="23:23" ht="26.4">
      <c r="W4734" s="64" ph="1"/>
    </row>
    <row r="4735" spans="23:23" ht="26.4">
      <c r="W4735" s="64" ph="1"/>
    </row>
    <row r="4736" spans="23:23" ht="26.4">
      <c r="W4736" s="64" ph="1"/>
    </row>
    <row r="4737" spans="23:23" ht="26.4">
      <c r="W4737" s="64" ph="1"/>
    </row>
    <row r="4738" spans="23:23" ht="26.4">
      <c r="W4738" s="64" ph="1"/>
    </row>
    <row r="4739" spans="23:23" ht="26.4">
      <c r="W4739" s="64" ph="1"/>
    </row>
    <row r="4740" spans="23:23" ht="26.4">
      <c r="W4740" s="64" ph="1"/>
    </row>
    <row r="4741" spans="23:23" ht="26.4">
      <c r="W4741" s="64" ph="1"/>
    </row>
    <row r="4742" spans="23:23" ht="26.4">
      <c r="W4742" s="64" ph="1"/>
    </row>
    <row r="4743" spans="23:23" ht="26.4">
      <c r="W4743" s="64" ph="1"/>
    </row>
    <row r="4744" spans="23:23" ht="26.4">
      <c r="W4744" s="64" ph="1"/>
    </row>
    <row r="4745" spans="23:23" ht="26.4">
      <c r="W4745" s="64" ph="1"/>
    </row>
    <row r="4746" spans="23:23" ht="26.4">
      <c r="W4746" s="64" ph="1"/>
    </row>
    <row r="4747" spans="23:23" ht="26.4">
      <c r="W4747" s="64" ph="1"/>
    </row>
    <row r="4748" spans="23:23" ht="26.4">
      <c r="W4748" s="64" ph="1"/>
    </row>
    <row r="4749" spans="23:23" ht="26.4">
      <c r="W4749" s="64" ph="1"/>
    </row>
    <row r="4750" spans="23:23" ht="26.4">
      <c r="W4750" s="64" ph="1"/>
    </row>
    <row r="4751" spans="23:23" ht="26.4">
      <c r="W4751" s="64" ph="1"/>
    </row>
    <row r="4752" spans="23:23" ht="26.4">
      <c r="W4752" s="64" ph="1"/>
    </row>
    <row r="4753" spans="23:23" ht="26.4">
      <c r="W4753" s="64" ph="1"/>
    </row>
    <row r="4754" spans="23:23" ht="26.4">
      <c r="W4754" s="64" ph="1"/>
    </row>
    <row r="4755" spans="23:23" ht="26.4">
      <c r="W4755" s="64" ph="1"/>
    </row>
    <row r="4756" spans="23:23" ht="26.4">
      <c r="W4756" s="64" ph="1"/>
    </row>
    <row r="4757" spans="23:23" ht="26.4">
      <c r="W4757" s="64" ph="1"/>
    </row>
    <row r="4758" spans="23:23" ht="26.4">
      <c r="W4758" s="64" ph="1"/>
    </row>
    <row r="4759" spans="23:23" ht="26.4">
      <c r="W4759" s="64" ph="1"/>
    </row>
    <row r="4760" spans="23:23" ht="26.4">
      <c r="W4760" s="64" ph="1"/>
    </row>
    <row r="4761" spans="23:23" ht="26.4">
      <c r="W4761" s="64" ph="1"/>
    </row>
    <row r="4762" spans="23:23" ht="26.4">
      <c r="W4762" s="64" ph="1"/>
    </row>
    <row r="4763" spans="23:23" ht="26.4">
      <c r="W4763" s="64" ph="1"/>
    </row>
    <row r="4764" spans="23:23" ht="26.4">
      <c r="W4764" s="64" ph="1"/>
    </row>
    <row r="4765" spans="23:23" ht="26.4">
      <c r="W4765" s="64" ph="1"/>
    </row>
    <row r="4766" spans="23:23" ht="26.4">
      <c r="W4766" s="64" ph="1"/>
    </row>
    <row r="4767" spans="23:23" ht="26.4">
      <c r="W4767" s="64" ph="1"/>
    </row>
    <row r="4768" spans="23:23" ht="26.4">
      <c r="W4768" s="64" ph="1"/>
    </row>
    <row r="4769" spans="23:23" ht="26.4">
      <c r="W4769" s="64" ph="1"/>
    </row>
    <row r="4770" spans="23:23" ht="26.4">
      <c r="W4770" s="64" ph="1"/>
    </row>
    <row r="4771" spans="23:23" ht="26.4">
      <c r="W4771" s="64" ph="1"/>
    </row>
    <row r="4772" spans="23:23" ht="26.4">
      <c r="W4772" s="64" ph="1"/>
    </row>
    <row r="4773" spans="23:23" ht="26.4">
      <c r="W4773" s="64" ph="1"/>
    </row>
    <row r="4774" spans="23:23" ht="26.4">
      <c r="W4774" s="64" ph="1"/>
    </row>
    <row r="4775" spans="23:23" ht="26.4">
      <c r="W4775" s="64" ph="1"/>
    </row>
    <row r="4776" spans="23:23" ht="26.4">
      <c r="W4776" s="64" ph="1"/>
    </row>
    <row r="4777" spans="23:23" ht="26.4">
      <c r="W4777" s="64" ph="1"/>
    </row>
    <row r="4778" spans="23:23" ht="26.4">
      <c r="W4778" s="64" ph="1"/>
    </row>
    <row r="4779" spans="23:23" ht="26.4">
      <c r="W4779" s="64" ph="1"/>
    </row>
    <row r="4780" spans="23:23" ht="26.4">
      <c r="W4780" s="64" ph="1"/>
    </row>
    <row r="4781" spans="23:23" ht="26.4">
      <c r="W4781" s="64" ph="1"/>
    </row>
    <row r="4782" spans="23:23" ht="26.4">
      <c r="W4782" s="64" ph="1"/>
    </row>
    <row r="4783" spans="23:23" ht="26.4">
      <c r="W4783" s="64" ph="1"/>
    </row>
    <row r="4784" spans="23:23" ht="26.4">
      <c r="W4784" s="64" ph="1"/>
    </row>
    <row r="4785" spans="23:23" ht="26.4">
      <c r="W4785" s="64" ph="1"/>
    </row>
    <row r="4786" spans="23:23" ht="26.4">
      <c r="W4786" s="64" ph="1"/>
    </row>
    <row r="4787" spans="23:23" ht="26.4">
      <c r="W4787" s="64" ph="1"/>
    </row>
    <row r="4788" spans="23:23" ht="26.4">
      <c r="W4788" s="64" ph="1"/>
    </row>
    <row r="4789" spans="23:23" ht="26.4">
      <c r="W4789" s="64" ph="1"/>
    </row>
    <row r="4790" spans="23:23" ht="26.4">
      <c r="W4790" s="64" ph="1"/>
    </row>
    <row r="4791" spans="23:23" ht="26.4">
      <c r="W4791" s="64" ph="1"/>
    </row>
    <row r="4792" spans="23:23" ht="26.4">
      <c r="W4792" s="64" ph="1"/>
    </row>
    <row r="4793" spans="23:23" ht="26.4">
      <c r="W4793" s="64" ph="1"/>
    </row>
    <row r="4794" spans="23:23" ht="26.4">
      <c r="W4794" s="64" ph="1"/>
    </row>
    <row r="4795" spans="23:23" ht="26.4">
      <c r="W4795" s="64" ph="1"/>
    </row>
    <row r="4796" spans="23:23" ht="26.4">
      <c r="W4796" s="64" ph="1"/>
    </row>
    <row r="4797" spans="23:23" ht="26.4">
      <c r="W4797" s="64" ph="1"/>
    </row>
    <row r="4798" spans="23:23" ht="26.4">
      <c r="W4798" s="64" ph="1"/>
    </row>
    <row r="4799" spans="23:23" ht="26.4">
      <c r="W4799" s="64" ph="1"/>
    </row>
    <row r="4800" spans="23:23" ht="26.4">
      <c r="W4800" s="64" ph="1"/>
    </row>
    <row r="4801" spans="23:23" ht="26.4">
      <c r="W4801" s="64" ph="1"/>
    </row>
    <row r="4802" spans="23:23" ht="26.4">
      <c r="W4802" s="64" ph="1"/>
    </row>
    <row r="4803" spans="23:23" ht="26.4">
      <c r="W4803" s="64" ph="1"/>
    </row>
    <row r="4804" spans="23:23" ht="26.4">
      <c r="W4804" s="64" ph="1"/>
    </row>
    <row r="4805" spans="23:23" ht="26.4">
      <c r="W4805" s="64" ph="1"/>
    </row>
    <row r="4806" spans="23:23" ht="26.4">
      <c r="W4806" s="64" ph="1"/>
    </row>
    <row r="4807" spans="23:23" ht="26.4">
      <c r="W4807" s="64" ph="1"/>
    </row>
    <row r="4808" spans="23:23" ht="26.4">
      <c r="W4808" s="64" ph="1"/>
    </row>
    <row r="4809" spans="23:23" ht="26.4">
      <c r="W4809" s="64" ph="1"/>
    </row>
    <row r="4810" spans="23:23" ht="26.4">
      <c r="W4810" s="64" ph="1"/>
    </row>
    <row r="4811" spans="23:23" ht="26.4">
      <c r="W4811" s="64" ph="1"/>
    </row>
    <row r="4812" spans="23:23" ht="26.4">
      <c r="W4812" s="64" ph="1"/>
    </row>
    <row r="4813" spans="23:23" ht="26.4">
      <c r="W4813" s="64" ph="1"/>
    </row>
    <row r="4814" spans="23:23" ht="26.4">
      <c r="W4814" s="64" ph="1"/>
    </row>
    <row r="4815" spans="23:23" ht="26.4">
      <c r="W4815" s="64" ph="1"/>
    </row>
    <row r="4816" spans="23:23" ht="26.4">
      <c r="W4816" s="64" ph="1"/>
    </row>
    <row r="4817" spans="23:23" ht="26.4">
      <c r="W4817" s="64" ph="1"/>
    </row>
    <row r="4818" spans="23:23" ht="26.4">
      <c r="W4818" s="64" ph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X4849"/>
  <sheetViews>
    <sheetView workbookViewId="0">
      <selection activeCell="V2" sqref="V2"/>
    </sheetView>
  </sheetViews>
  <sheetFormatPr defaultColWidth="9.125" defaultRowHeight="16.2"/>
  <cols>
    <col min="1" max="1" width="5.75" style="135" customWidth="1"/>
    <col min="2" max="5" width="5.75" style="97" customWidth="1"/>
    <col min="6" max="6" width="8.75" style="66" customWidth="1"/>
    <col min="7" max="7" width="7.75" style="20" customWidth="1"/>
    <col min="8" max="8" width="5.75" style="13" customWidth="1"/>
    <col min="9" max="9" width="9.75" style="10" customWidth="1"/>
    <col min="10" max="10" width="6.75" style="32" customWidth="1"/>
    <col min="11" max="11" width="6.75" style="367" customWidth="1"/>
    <col min="12" max="12" width="6.75" style="77" customWidth="1"/>
    <col min="13" max="13" width="6.75" style="365" customWidth="1"/>
    <col min="14" max="14" width="7.75" style="367" customWidth="1"/>
    <col min="15" max="15" width="7.75" style="343" customWidth="1"/>
    <col min="16" max="16" width="5.75" style="166" customWidth="1"/>
    <col min="17" max="17" width="4.75" style="109" customWidth="1"/>
    <col min="18" max="18" width="4.75" style="31" customWidth="1"/>
    <col min="19" max="19" width="4.75" style="51" customWidth="1"/>
    <col min="20" max="20" width="5.75" style="339" customWidth="1"/>
    <col min="21" max="21" width="2.75" style="329" customWidth="1"/>
    <col min="22" max="22" width="6.75" style="371" customWidth="1"/>
    <col min="23" max="23" width="7.75" style="64" customWidth="1"/>
    <col min="24" max="24" width="7.75" style="240" customWidth="1"/>
    <col min="25" max="25" width="9.75" style="285" customWidth="1"/>
    <col min="26" max="26" width="9.75" style="72" customWidth="1"/>
    <col min="27" max="27" width="9.75" style="61" customWidth="1"/>
    <col min="28" max="28" width="8.75" style="12" customWidth="1"/>
    <col min="29" max="29" width="6.75" style="104" customWidth="1"/>
    <col min="30" max="30" width="8.75" style="10" customWidth="1"/>
    <col min="31" max="31" width="11.75" style="89" customWidth="1"/>
    <col min="32" max="32" width="11.75" style="88" customWidth="1"/>
    <col min="33" max="33" width="3.75" style="82" customWidth="1"/>
    <col min="34" max="34" width="3.75" style="284" customWidth="1"/>
    <col min="35" max="35" width="2.75" style="129" customWidth="1"/>
    <col min="36" max="36" width="2.75" style="264" customWidth="1"/>
    <col min="37" max="37" width="7.75" style="252" customWidth="1"/>
    <col min="38" max="38" width="7.75" style="266" customWidth="1"/>
    <col min="39" max="40" width="7.75" style="284" customWidth="1"/>
    <col min="41" max="41" width="12.75" style="252" customWidth="1"/>
    <col min="42" max="42" width="5.75" style="266" customWidth="1"/>
    <col min="43" max="16384" width="9.125" style="284"/>
  </cols>
  <sheetData>
    <row r="1" spans="1:44">
      <c r="A1" s="135" t="s">
        <v>2552</v>
      </c>
      <c r="B1" s="96" t="s">
        <v>2331</v>
      </c>
      <c r="C1" s="96" t="s">
        <v>2332</v>
      </c>
      <c r="D1" s="96" t="s">
        <v>2333</v>
      </c>
      <c r="E1" s="96" t="s">
        <v>2334</v>
      </c>
      <c r="F1" s="9" t="s">
        <v>1709</v>
      </c>
      <c r="G1" s="27" t="s">
        <v>5626</v>
      </c>
      <c r="H1" s="56" t="s">
        <v>578</v>
      </c>
      <c r="I1" s="51" t="s">
        <v>6827</v>
      </c>
      <c r="J1" s="364" t="s">
        <v>2189</v>
      </c>
      <c r="K1" s="364" t="s">
        <v>1820</v>
      </c>
      <c r="L1" s="364" t="s">
        <v>515</v>
      </c>
      <c r="M1" s="364" t="s">
        <v>1699</v>
      </c>
      <c r="N1" s="364" t="s">
        <v>6633</v>
      </c>
      <c r="O1" s="343" t="s">
        <v>6634</v>
      </c>
      <c r="P1" s="83" t="s">
        <v>5279</v>
      </c>
      <c r="Q1" s="326" t="s">
        <v>5514</v>
      </c>
      <c r="R1" s="31" t="s">
        <v>6596</v>
      </c>
      <c r="S1" s="51" t="s">
        <v>6597</v>
      </c>
      <c r="T1" s="338" t="s">
        <v>5627</v>
      </c>
      <c r="U1" s="330" t="s">
        <v>6537</v>
      </c>
      <c r="V1" s="377" t="s">
        <v>6616</v>
      </c>
      <c r="W1" s="11" t="s">
        <v>4585</v>
      </c>
      <c r="X1" s="71" t="s">
        <v>6626</v>
      </c>
      <c r="Y1" s="29" t="s">
        <v>6688</v>
      </c>
      <c r="Z1" s="18" t="s">
        <v>2113</v>
      </c>
      <c r="AA1" s="15" t="s">
        <v>3598</v>
      </c>
      <c r="AB1" s="22" t="s">
        <v>2199</v>
      </c>
      <c r="AC1" s="26" t="s">
        <v>211</v>
      </c>
      <c r="AD1" s="51" t="s">
        <v>6827</v>
      </c>
      <c r="AE1" s="56" t="s">
        <v>5568</v>
      </c>
      <c r="AF1" s="114" t="s">
        <v>5575</v>
      </c>
      <c r="AG1" s="33" t="s">
        <v>1827</v>
      </c>
      <c r="AH1" s="262" t="s">
        <v>6777</v>
      </c>
      <c r="AI1" s="284"/>
      <c r="AK1" s="9" t="s">
        <v>6666</v>
      </c>
      <c r="AL1" s="5" t="s">
        <v>6667</v>
      </c>
      <c r="AM1" s="51" t="s">
        <v>5339</v>
      </c>
      <c r="AN1" s="276" t="s">
        <v>6665</v>
      </c>
      <c r="AO1" s="131"/>
      <c r="AP1" s="264"/>
    </row>
    <row r="2" spans="1:44">
      <c r="A2" s="135" t="s">
        <v>3107</v>
      </c>
      <c r="B2" s="85">
        <v>-66</v>
      </c>
      <c r="C2" s="85">
        <v>-67</v>
      </c>
      <c r="D2" s="84">
        <v>33</v>
      </c>
      <c r="E2" s="85">
        <v>-17</v>
      </c>
      <c r="F2" s="59">
        <v>16.88</v>
      </c>
      <c r="G2" s="84">
        <v>6538</v>
      </c>
      <c r="H2" s="9" t="s">
        <v>559</v>
      </c>
      <c r="I2" s="17" t="s">
        <v>794</v>
      </c>
      <c r="J2" s="77">
        <v>10.039999999999999</v>
      </c>
      <c r="K2" s="371">
        <v>4.68</v>
      </c>
      <c r="L2" s="77">
        <v>28.76</v>
      </c>
      <c r="M2" s="77">
        <v>13.45</v>
      </c>
      <c r="N2" s="365">
        <f t="shared" ref="N2" si="0">J2+K2+L2+M2</f>
        <v>56.930000000000007</v>
      </c>
      <c r="O2" s="343">
        <f t="shared" ref="O2" si="1">J2+M2</f>
        <v>23.49</v>
      </c>
      <c r="P2" s="195">
        <v>1</v>
      </c>
      <c r="Q2" s="326">
        <v>2</v>
      </c>
      <c r="R2" s="111">
        <v>11</v>
      </c>
      <c r="S2" s="51">
        <v>11</v>
      </c>
      <c r="T2" s="339">
        <f t="shared" ref="T2" si="2">SUM(P2:S2)</f>
        <v>25</v>
      </c>
      <c r="U2" s="329" t="s">
        <v>6539</v>
      </c>
      <c r="V2" s="77">
        <v>3.33</v>
      </c>
      <c r="W2" s="69">
        <v>7</v>
      </c>
      <c r="X2" s="100">
        <v>5.16</v>
      </c>
      <c r="Y2" s="37" t="str">
        <f>RTD("money.excel",,"6538","Price")</f>
        <v>無資料</v>
      </c>
      <c r="Z2" s="69"/>
      <c r="AA2" s="16" t="e">
        <f t="shared" ref="AA2" si="3">Y2-Z2</f>
        <v>#VALUE!</v>
      </c>
      <c r="AB2" s="3" t="e">
        <f t="shared" ref="AB2" si="4">AA2/Z2</f>
        <v>#VALUE!</v>
      </c>
      <c r="AC2" s="177" t="s">
        <v>6915</v>
      </c>
      <c r="AD2" s="17" t="s">
        <v>794</v>
      </c>
      <c r="AE2" s="89">
        <v>44559</v>
      </c>
      <c r="AG2" s="34">
        <f t="shared" ref="AG2" si="5">AF2-AE2</f>
        <v>-44559</v>
      </c>
      <c r="AH2" s="63" t="s">
        <v>2640</v>
      </c>
      <c r="AI2" s="131"/>
      <c r="AK2" s="66">
        <f t="shared" ref="AK2" si="6">AM2/(A2*10000)</f>
        <v>0</v>
      </c>
      <c r="AL2" s="174">
        <f t="shared" ref="AL2" si="7">AN2/(A2*10000)</f>
        <v>0</v>
      </c>
      <c r="AM2" s="346">
        <f>RTD("money.excel",,$G2,"PredictVolume")</f>
        <v>0</v>
      </c>
      <c r="AN2" s="272">
        <f>RTD("money.excel",,$G2,"CumulativeVolume")</f>
        <v>0</v>
      </c>
      <c r="AO2" s="284"/>
      <c r="AP2" s="284"/>
    </row>
    <row r="3" spans="1:44">
      <c r="B3" s="96"/>
      <c r="C3" s="96"/>
      <c r="D3" s="96"/>
      <c r="E3" s="96"/>
      <c r="F3" s="9"/>
      <c r="G3" s="27"/>
      <c r="H3" s="56"/>
      <c r="I3" s="51"/>
      <c r="J3" s="364"/>
      <c r="K3" s="364"/>
      <c r="L3" s="364"/>
      <c r="M3" s="364"/>
      <c r="N3" s="364"/>
      <c r="P3" s="83"/>
      <c r="Q3" s="326"/>
      <c r="T3" s="338"/>
      <c r="U3" s="330"/>
      <c r="V3" s="377"/>
      <c r="W3" s="11"/>
      <c r="X3" s="71"/>
      <c r="Y3" s="29"/>
      <c r="Z3" s="18"/>
      <c r="AA3" s="15"/>
      <c r="AB3" s="22"/>
      <c r="AC3" s="26"/>
      <c r="AD3" s="51"/>
      <c r="AE3" s="56"/>
      <c r="AF3" s="114"/>
      <c r="AG3" s="33"/>
      <c r="AH3" s="262"/>
      <c r="AI3" s="284"/>
      <c r="AK3" s="9"/>
      <c r="AL3" s="5"/>
      <c r="AM3" s="51"/>
      <c r="AN3" s="276"/>
      <c r="AO3" s="131"/>
      <c r="AP3" s="264"/>
    </row>
    <row r="4" spans="1:44">
      <c r="A4" s="151" t="s">
        <v>6771</v>
      </c>
      <c r="B4" s="84">
        <v>122</v>
      </c>
      <c r="C4" s="84">
        <v>81</v>
      </c>
      <c r="D4" s="84">
        <v>53</v>
      </c>
      <c r="E4" s="84">
        <v>124</v>
      </c>
      <c r="F4" s="7">
        <v>2.57</v>
      </c>
      <c r="G4" s="84">
        <v>5386</v>
      </c>
      <c r="H4" s="154" t="s">
        <v>561</v>
      </c>
      <c r="I4" s="17" t="s">
        <v>3544</v>
      </c>
      <c r="J4" s="371">
        <v>27.48</v>
      </c>
      <c r="K4" s="371">
        <v>5.84</v>
      </c>
      <c r="L4" s="371">
        <v>25.51</v>
      </c>
      <c r="M4" s="371">
        <v>31.19</v>
      </c>
      <c r="N4" s="365">
        <f t="shared" ref="N4:N8" si="8">J4+K4+L4+M4</f>
        <v>90.02</v>
      </c>
      <c r="O4" s="343">
        <f t="shared" ref="O4:O8" si="9">J4+M4</f>
        <v>58.67</v>
      </c>
      <c r="P4" s="195">
        <v>1</v>
      </c>
      <c r="Q4" s="326">
        <v>9</v>
      </c>
      <c r="R4" s="111">
        <v>24</v>
      </c>
      <c r="S4" s="51">
        <v>26</v>
      </c>
      <c r="T4" s="339">
        <f t="shared" ref="T4:T8" si="10">SUM(P4:S4)</f>
        <v>60</v>
      </c>
      <c r="U4" s="329" t="s">
        <v>6538</v>
      </c>
      <c r="V4" s="77">
        <v>1.34</v>
      </c>
      <c r="W4" s="35">
        <v>0.8</v>
      </c>
      <c r="X4" s="100">
        <v>2.06</v>
      </c>
      <c r="Y4" s="37" t="str">
        <f>RTD("money.excel",,"5386","Price")</f>
        <v>無資料</v>
      </c>
      <c r="Z4" s="69">
        <v>50.7</v>
      </c>
      <c r="AA4" s="16" t="e">
        <f t="shared" ref="AA4:AA8" si="11">Y4-Z4</f>
        <v>#VALUE!</v>
      </c>
      <c r="AB4" s="3" t="e">
        <f t="shared" ref="AB4:AB8" si="12">AA4/Z4</f>
        <v>#VALUE!</v>
      </c>
      <c r="AC4" s="177" t="s">
        <v>6899</v>
      </c>
      <c r="AD4" s="17" t="s">
        <v>3544</v>
      </c>
      <c r="AE4" s="89">
        <v>44558</v>
      </c>
      <c r="AG4" s="34">
        <f t="shared" ref="AG4:AG8" si="13">AF4-AE4</f>
        <v>-44558</v>
      </c>
      <c r="AH4" s="44" t="s">
        <v>4264</v>
      </c>
      <c r="AK4" s="66">
        <f t="shared" ref="AK4:AK8" si="14">AM4/(A4*10000)</f>
        <v>0</v>
      </c>
      <c r="AL4" s="174">
        <f t="shared" ref="AL4:AL8" si="15">AN4/(A4*10000)</f>
        <v>0</v>
      </c>
      <c r="AM4" s="346">
        <f>RTD("money.excel",,$G4,"PredictVolume")</f>
        <v>0</v>
      </c>
      <c r="AN4" s="272">
        <f>RTD("money.excel",,$G4,"CumulativeVolume")</f>
        <v>0</v>
      </c>
      <c r="AO4" s="12"/>
      <c r="AP4" s="12"/>
      <c r="AQ4" s="12"/>
      <c r="AR4" s="12"/>
    </row>
    <row r="5" spans="1:44">
      <c r="A5" s="151" t="s">
        <v>4630</v>
      </c>
      <c r="B5" s="85">
        <v>-225</v>
      </c>
      <c r="C5" s="85">
        <v>-186</v>
      </c>
      <c r="D5" s="84">
        <v>19</v>
      </c>
      <c r="E5" s="84">
        <v>43</v>
      </c>
      <c r="F5" s="7">
        <v>-2.15</v>
      </c>
      <c r="G5" s="85">
        <v>6418</v>
      </c>
      <c r="H5" s="5" t="s">
        <v>559</v>
      </c>
      <c r="I5" s="17" t="s">
        <v>4629</v>
      </c>
      <c r="J5" s="371">
        <v>41.44</v>
      </c>
      <c r="K5" s="77">
        <v>0.93</v>
      </c>
      <c r="L5" s="371">
        <v>13.26</v>
      </c>
      <c r="M5" s="371">
        <v>24.12</v>
      </c>
      <c r="N5" s="365">
        <f t="shared" si="8"/>
        <v>79.75</v>
      </c>
      <c r="O5" s="343">
        <f t="shared" si="9"/>
        <v>65.56</v>
      </c>
      <c r="P5" s="195">
        <v>0</v>
      </c>
      <c r="Q5" s="326">
        <v>5</v>
      </c>
      <c r="R5" s="111">
        <v>9</v>
      </c>
      <c r="S5" s="51">
        <v>15</v>
      </c>
      <c r="T5" s="339">
        <f t="shared" si="10"/>
        <v>29</v>
      </c>
      <c r="U5" s="329" t="s">
        <v>6898</v>
      </c>
      <c r="V5" s="77">
        <v>0.32</v>
      </c>
      <c r="W5" s="35">
        <v>0.2</v>
      </c>
      <c r="X5" s="100">
        <v>-0.73</v>
      </c>
      <c r="Y5" s="37" t="str">
        <f>RTD("money.excel",,"6418","Price")</f>
        <v>無資料</v>
      </c>
      <c r="Z5" s="69">
        <v>20.55</v>
      </c>
      <c r="AA5" s="16" t="e">
        <f t="shared" si="11"/>
        <v>#VALUE!</v>
      </c>
      <c r="AB5" s="3" t="e">
        <f t="shared" si="12"/>
        <v>#VALUE!</v>
      </c>
      <c r="AC5" s="177" t="s">
        <v>6900</v>
      </c>
      <c r="AD5" s="17" t="s">
        <v>4629</v>
      </c>
      <c r="AE5" s="89">
        <v>44558</v>
      </c>
      <c r="AG5" s="34">
        <f t="shared" si="13"/>
        <v>-44558</v>
      </c>
      <c r="AH5" s="44" t="s">
        <v>2961</v>
      </c>
      <c r="AI5" s="131"/>
      <c r="AK5" s="66">
        <f t="shared" si="14"/>
        <v>0</v>
      </c>
      <c r="AL5" s="174">
        <f t="shared" si="15"/>
        <v>0</v>
      </c>
      <c r="AM5" s="346">
        <f>RTD("money.excel",,$G5,"PredictVolume")</f>
        <v>0</v>
      </c>
      <c r="AN5" s="272">
        <f>RTD("money.excel",,$G5,"CumulativeVolume")</f>
        <v>0</v>
      </c>
      <c r="AO5" s="284"/>
      <c r="AP5" s="284"/>
    </row>
    <row r="6" spans="1:44">
      <c r="A6" s="151" t="s">
        <v>6378</v>
      </c>
      <c r="B6" s="85">
        <v>-96</v>
      </c>
      <c r="C6" s="85">
        <v>-85</v>
      </c>
      <c r="D6" s="84">
        <v>0</v>
      </c>
      <c r="E6" s="84">
        <v>36</v>
      </c>
      <c r="F6" s="7">
        <v>1.17</v>
      </c>
      <c r="G6" s="84">
        <v>3092</v>
      </c>
      <c r="H6" s="5" t="s">
        <v>559</v>
      </c>
      <c r="I6" s="23" t="s">
        <v>424</v>
      </c>
      <c r="J6" s="77">
        <v>32.520000000000003</v>
      </c>
      <c r="K6" s="371">
        <v>1.07</v>
      </c>
      <c r="L6" s="77">
        <v>34.61</v>
      </c>
      <c r="M6" s="371">
        <v>8.6300000000000008</v>
      </c>
      <c r="N6" s="365">
        <f t="shared" si="8"/>
        <v>76.83</v>
      </c>
      <c r="O6" s="343">
        <f t="shared" si="9"/>
        <v>41.150000000000006</v>
      </c>
      <c r="P6" s="195">
        <v>3</v>
      </c>
      <c r="Q6" s="326">
        <v>17</v>
      </c>
      <c r="R6" s="111">
        <v>36</v>
      </c>
      <c r="S6" s="51">
        <v>33</v>
      </c>
      <c r="T6" s="339">
        <f t="shared" si="10"/>
        <v>89</v>
      </c>
      <c r="U6" s="329" t="s">
        <v>6898</v>
      </c>
      <c r="V6" s="77">
        <v>3.5</v>
      </c>
      <c r="W6" s="35">
        <v>1.38</v>
      </c>
      <c r="X6" s="100">
        <v>-7.0000000000000007E-2</v>
      </c>
      <c r="Y6" s="37" t="str">
        <f>RTD("money.excel",,"3092","Price")</f>
        <v>無資料</v>
      </c>
      <c r="Z6" s="69">
        <v>56.6</v>
      </c>
      <c r="AA6" s="16" t="e">
        <f t="shared" si="11"/>
        <v>#VALUE!</v>
      </c>
      <c r="AB6" s="3" t="e">
        <f t="shared" si="12"/>
        <v>#VALUE!</v>
      </c>
      <c r="AC6" s="177" t="s">
        <v>5512</v>
      </c>
      <c r="AD6" s="23" t="s">
        <v>424</v>
      </c>
      <c r="AE6" s="89">
        <v>44558</v>
      </c>
      <c r="AG6" s="34">
        <f t="shared" si="13"/>
        <v>-44558</v>
      </c>
      <c r="AH6" s="125" t="s">
        <v>3804</v>
      </c>
      <c r="AI6" s="131"/>
      <c r="AK6" s="66">
        <f t="shared" si="14"/>
        <v>0</v>
      </c>
      <c r="AL6" s="174">
        <f t="shared" si="15"/>
        <v>0</v>
      </c>
      <c r="AM6" s="346">
        <f>RTD("money.excel",,$G6,"PredictVolume")</f>
        <v>0</v>
      </c>
      <c r="AN6" s="272">
        <f>RTD("money.excel",,$G6,"CumulativeVolume")</f>
        <v>0</v>
      </c>
      <c r="AO6" s="284"/>
      <c r="AP6" s="284"/>
    </row>
    <row r="7" spans="1:44">
      <c r="A7" s="135" t="s">
        <v>2726</v>
      </c>
      <c r="B7" s="84">
        <v>5</v>
      </c>
      <c r="C7" s="85">
        <v>-8</v>
      </c>
      <c r="D7" s="85">
        <v>-5</v>
      </c>
      <c r="E7" s="85">
        <v>-44</v>
      </c>
      <c r="F7" s="59">
        <v>20.440000000000001</v>
      </c>
      <c r="G7" s="84">
        <v>3669</v>
      </c>
      <c r="H7" s="9" t="s">
        <v>557</v>
      </c>
      <c r="I7" s="23" t="s">
        <v>1723</v>
      </c>
      <c r="J7" s="371">
        <v>54.51</v>
      </c>
      <c r="K7" s="77">
        <v>1.73</v>
      </c>
      <c r="L7" s="371">
        <v>13.95</v>
      </c>
      <c r="M7" s="371">
        <v>36.6</v>
      </c>
      <c r="N7" s="365">
        <f t="shared" si="8"/>
        <v>106.78999999999999</v>
      </c>
      <c r="O7" s="369">
        <f t="shared" si="9"/>
        <v>91.11</v>
      </c>
      <c r="P7" s="195">
        <v>9</v>
      </c>
      <c r="Q7" s="326">
        <v>9</v>
      </c>
      <c r="R7" s="111">
        <v>27</v>
      </c>
      <c r="S7" s="51">
        <v>16</v>
      </c>
      <c r="T7" s="339">
        <f t="shared" si="10"/>
        <v>61</v>
      </c>
      <c r="U7" s="329" t="s">
        <v>6539</v>
      </c>
      <c r="V7" s="77">
        <v>2.4300000000000002</v>
      </c>
      <c r="W7" s="69">
        <v>5</v>
      </c>
      <c r="X7" s="59">
        <v>8.8000000000000007</v>
      </c>
      <c r="Y7" s="37" t="str">
        <f>RTD("money.excel",,"3669","Price")</f>
        <v>無資料</v>
      </c>
      <c r="Z7" s="69">
        <v>65.599999999999994</v>
      </c>
      <c r="AA7" s="16" t="e">
        <f t="shared" si="11"/>
        <v>#VALUE!</v>
      </c>
      <c r="AB7" s="3" t="e">
        <f t="shared" si="12"/>
        <v>#VALUE!</v>
      </c>
      <c r="AC7" s="177" t="s">
        <v>6897</v>
      </c>
      <c r="AD7" s="23" t="s">
        <v>1723</v>
      </c>
      <c r="AE7" s="89">
        <v>44558</v>
      </c>
      <c r="AG7" s="34">
        <f t="shared" si="13"/>
        <v>-44558</v>
      </c>
      <c r="AH7" s="126" t="s">
        <v>3012</v>
      </c>
      <c r="AI7" s="131"/>
      <c r="AK7" s="66">
        <f t="shared" si="14"/>
        <v>0</v>
      </c>
      <c r="AL7" s="174">
        <f t="shared" si="15"/>
        <v>0</v>
      </c>
      <c r="AM7" s="346">
        <f>RTD("money.excel",,$G7,"PredictVolume")</f>
        <v>0</v>
      </c>
      <c r="AN7" s="272">
        <f>RTD("money.excel",,$G7,"CumulativeVolume")</f>
        <v>0</v>
      </c>
      <c r="AO7" s="284"/>
      <c r="AP7" s="284"/>
    </row>
    <row r="8" spans="1:44">
      <c r="A8" s="135" t="s">
        <v>2855</v>
      </c>
      <c r="B8" s="85">
        <v>-70</v>
      </c>
      <c r="C8" s="85">
        <v>-66</v>
      </c>
      <c r="D8" s="84">
        <v>3</v>
      </c>
      <c r="E8" s="85">
        <v>-51</v>
      </c>
      <c r="F8" s="59">
        <v>12.06</v>
      </c>
      <c r="G8" s="84">
        <v>2417</v>
      </c>
      <c r="H8" s="212" t="s">
        <v>561</v>
      </c>
      <c r="I8" s="23" t="s">
        <v>876</v>
      </c>
      <c r="J8" s="77">
        <v>32.18</v>
      </c>
      <c r="K8" s="77">
        <v>3.36</v>
      </c>
      <c r="L8" s="77">
        <v>22.06</v>
      </c>
      <c r="M8" s="371">
        <v>22.72</v>
      </c>
      <c r="N8" s="365">
        <f t="shared" si="8"/>
        <v>80.319999999999993</v>
      </c>
      <c r="O8" s="343">
        <f t="shared" si="9"/>
        <v>54.9</v>
      </c>
      <c r="P8" s="195">
        <v>5</v>
      </c>
      <c r="Q8" s="326">
        <v>31</v>
      </c>
      <c r="R8" s="111">
        <v>28</v>
      </c>
      <c r="S8" s="51">
        <v>18</v>
      </c>
      <c r="T8" s="339">
        <f t="shared" si="10"/>
        <v>82</v>
      </c>
      <c r="U8" s="329" t="s">
        <v>6540</v>
      </c>
      <c r="V8" s="77">
        <v>2.78</v>
      </c>
      <c r="W8" s="35">
        <v>2</v>
      </c>
      <c r="X8" s="100">
        <v>2.09</v>
      </c>
      <c r="Y8" s="37" t="str">
        <f>RTD("money.excel",,"2417","Price")</f>
        <v>無資料</v>
      </c>
      <c r="Z8" s="69">
        <v>32.799999999999997</v>
      </c>
      <c r="AA8" s="16" t="e">
        <f t="shared" si="11"/>
        <v>#VALUE!</v>
      </c>
      <c r="AB8" s="3" t="e">
        <f t="shared" si="12"/>
        <v>#VALUE!</v>
      </c>
      <c r="AC8" s="177" t="s">
        <v>6904</v>
      </c>
      <c r="AD8" s="23" t="s">
        <v>876</v>
      </c>
      <c r="AE8" s="89">
        <v>44558</v>
      </c>
      <c r="AG8" s="34">
        <f t="shared" si="13"/>
        <v>-44558</v>
      </c>
      <c r="AH8" s="63" t="s">
        <v>3857</v>
      </c>
      <c r="AI8" s="131"/>
      <c r="AK8" s="66">
        <f t="shared" si="14"/>
        <v>0</v>
      </c>
      <c r="AL8" s="174">
        <f t="shared" si="15"/>
        <v>0</v>
      </c>
      <c r="AM8" s="346">
        <f>RTD("money.excel",,$G8,"PredictVolume")</f>
        <v>0</v>
      </c>
      <c r="AN8" s="272">
        <f>RTD("money.excel",,$G8,"CumulativeVolume")</f>
        <v>0</v>
      </c>
      <c r="AO8" s="284"/>
      <c r="AP8" s="284"/>
    </row>
    <row r="9" spans="1:44">
      <c r="A9" s="135" t="s">
        <v>3026</v>
      </c>
      <c r="B9" s="85">
        <v>-56</v>
      </c>
      <c r="C9" s="85">
        <v>-46</v>
      </c>
      <c r="D9" s="84">
        <v>23</v>
      </c>
      <c r="E9" s="84">
        <v>124</v>
      </c>
      <c r="F9" s="59">
        <v>17.64</v>
      </c>
      <c r="G9" s="84">
        <v>6477</v>
      </c>
      <c r="H9" s="9" t="s">
        <v>557</v>
      </c>
      <c r="I9" s="23" t="s">
        <v>833</v>
      </c>
      <c r="J9" s="371">
        <v>38.96</v>
      </c>
      <c r="K9" s="77">
        <v>4.45</v>
      </c>
      <c r="L9" s="77">
        <v>34.619999999999997</v>
      </c>
      <c r="M9" s="77">
        <v>19.07</v>
      </c>
      <c r="N9" s="365">
        <f t="shared" ref="N9" si="16">J9+K9+L9+M9</f>
        <v>97.1</v>
      </c>
      <c r="O9" s="343">
        <f t="shared" ref="O9" si="17">J9+M9</f>
        <v>58.03</v>
      </c>
      <c r="P9" s="195">
        <v>9</v>
      </c>
      <c r="Q9" s="326">
        <v>25</v>
      </c>
      <c r="R9" s="111">
        <v>47</v>
      </c>
      <c r="S9" s="51">
        <v>30</v>
      </c>
      <c r="T9" s="339">
        <f t="shared" ref="T9" si="18">SUM(P9:S9)</f>
        <v>111</v>
      </c>
      <c r="U9" s="329" t="s">
        <v>6538</v>
      </c>
      <c r="V9" s="371">
        <v>5.15</v>
      </c>
      <c r="W9" s="35">
        <v>1.1399999999999999</v>
      </c>
      <c r="X9" s="100">
        <v>1.23</v>
      </c>
      <c r="Y9" s="37" t="str">
        <f>RTD("money.excel",,"6477","Price")</f>
        <v>無資料</v>
      </c>
      <c r="Z9" s="69">
        <v>48.85</v>
      </c>
      <c r="AA9" s="16" t="e">
        <f>Y9-Z9</f>
        <v>#VALUE!</v>
      </c>
      <c r="AB9" s="3" t="e">
        <f>AA9/Z9</f>
        <v>#VALUE!</v>
      </c>
      <c r="AC9" s="177" t="s">
        <v>6804</v>
      </c>
      <c r="AD9" s="23" t="s">
        <v>833</v>
      </c>
      <c r="AE9" s="89">
        <v>44553</v>
      </c>
      <c r="AG9" s="34">
        <f>AF9-AE9</f>
        <v>-44553</v>
      </c>
      <c r="AH9" s="44" t="s">
        <v>6417</v>
      </c>
      <c r="AI9" s="131"/>
      <c r="AK9" s="66">
        <f t="shared" ref="AK9" si="19">AM9/(A9*10000)</f>
        <v>0</v>
      </c>
      <c r="AL9" s="174">
        <f t="shared" ref="AL9" si="20">AN9/(A9*10000)</f>
        <v>0</v>
      </c>
      <c r="AM9" s="346">
        <f>RTD("money.excel",,$G9,"PredictVolume")</f>
        <v>0</v>
      </c>
      <c r="AN9" s="272">
        <f>RTD("money.excel",,$G9,"CumulativeVolume")</f>
        <v>0</v>
      </c>
      <c r="AO9" s="284"/>
      <c r="AP9" s="284"/>
    </row>
    <row r="10" spans="1:44">
      <c r="A10" s="151" t="s">
        <v>6772</v>
      </c>
      <c r="B10" s="85">
        <v>-6</v>
      </c>
      <c r="C10" s="85">
        <v>-35</v>
      </c>
      <c r="D10" s="84">
        <v>9</v>
      </c>
      <c r="E10" s="84">
        <v>59</v>
      </c>
      <c r="F10" s="7">
        <v>4.67</v>
      </c>
      <c r="G10" s="84">
        <v>3483</v>
      </c>
      <c r="H10" s="154" t="s">
        <v>1815</v>
      </c>
      <c r="I10" s="17" t="s">
        <v>902</v>
      </c>
      <c r="J10" s="77">
        <v>6.45</v>
      </c>
      <c r="K10" s="371">
        <v>5.23</v>
      </c>
      <c r="L10" s="77">
        <v>66.2</v>
      </c>
      <c r="M10" s="371">
        <v>5.68</v>
      </c>
      <c r="N10" s="365">
        <f t="shared" ref="N10:N12" si="21">J10+K10+L10+M10</f>
        <v>83.56</v>
      </c>
      <c r="O10" s="343">
        <f t="shared" ref="O10:O12" si="22">J10+M10</f>
        <v>12.129999999999999</v>
      </c>
      <c r="P10" s="195">
        <v>3</v>
      </c>
      <c r="Q10" s="326">
        <v>27</v>
      </c>
      <c r="R10" s="111">
        <v>41</v>
      </c>
      <c r="S10" s="51">
        <v>43</v>
      </c>
      <c r="T10" s="339">
        <f t="shared" ref="T10:T11" si="23">SUM(P10:S10)</f>
        <v>114</v>
      </c>
      <c r="U10" s="329" t="s">
        <v>6774</v>
      </c>
      <c r="V10" s="371">
        <v>3.95</v>
      </c>
      <c r="W10" s="35">
        <v>2.5</v>
      </c>
      <c r="X10" s="100">
        <v>3.93</v>
      </c>
      <c r="Y10" s="37" t="str">
        <f>RTD("money.excel",,"3483","Price")</f>
        <v>無資料</v>
      </c>
      <c r="Z10" s="69">
        <v>92.6</v>
      </c>
      <c r="AA10" s="16" t="e">
        <f t="shared" ref="AA10:AA11" si="24">Y10-Z10</f>
        <v>#VALUE!</v>
      </c>
      <c r="AB10" s="3" t="e">
        <f t="shared" ref="AB10:AB11" si="25">AA10/Z10</f>
        <v>#VALUE!</v>
      </c>
      <c r="AC10" s="177" t="s">
        <v>5452</v>
      </c>
      <c r="AD10" s="17" t="s">
        <v>902</v>
      </c>
      <c r="AE10" s="89">
        <v>44552</v>
      </c>
      <c r="AG10" s="34">
        <f t="shared" ref="AG10:AG11" si="26">AF10-AE10</f>
        <v>-44552</v>
      </c>
      <c r="AH10" s="44" t="s">
        <v>4552</v>
      </c>
      <c r="AI10" s="131"/>
      <c r="AK10" s="66"/>
      <c r="AL10" s="174"/>
      <c r="AM10" s="346"/>
      <c r="AN10" s="272"/>
      <c r="AO10" s="131"/>
      <c r="AP10" s="264"/>
    </row>
    <row r="11" spans="1:44">
      <c r="A11" s="135" t="s">
        <v>2489</v>
      </c>
      <c r="B11" s="84">
        <v>382</v>
      </c>
      <c r="C11" s="84">
        <v>870</v>
      </c>
      <c r="D11" s="85">
        <v>-12</v>
      </c>
      <c r="E11" s="85">
        <v>-33</v>
      </c>
      <c r="F11" s="59">
        <v>35.18</v>
      </c>
      <c r="G11" s="84">
        <v>6237</v>
      </c>
      <c r="H11" s="154" t="s">
        <v>558</v>
      </c>
      <c r="I11" s="17" t="s">
        <v>669</v>
      </c>
      <c r="J11" s="77">
        <v>15.46</v>
      </c>
      <c r="K11" s="77">
        <v>2.59</v>
      </c>
      <c r="L11" s="77">
        <v>49.47</v>
      </c>
      <c r="M11" s="371">
        <v>12.4</v>
      </c>
      <c r="N11" s="365">
        <f t="shared" si="21"/>
        <v>79.92</v>
      </c>
      <c r="O11" s="343">
        <f t="shared" si="22"/>
        <v>27.86</v>
      </c>
      <c r="P11" s="195">
        <v>6</v>
      </c>
      <c r="Q11" s="326">
        <v>32</v>
      </c>
      <c r="R11" s="111">
        <v>33</v>
      </c>
      <c r="S11" s="51">
        <v>55</v>
      </c>
      <c r="T11" s="339">
        <f t="shared" si="23"/>
        <v>126</v>
      </c>
      <c r="U11" s="329" t="s">
        <v>6538</v>
      </c>
      <c r="V11" s="371">
        <v>7.62</v>
      </c>
      <c r="W11" s="35">
        <v>1</v>
      </c>
      <c r="X11" s="100">
        <v>7.21</v>
      </c>
      <c r="Y11" s="37" t="str">
        <f>RTD("money.excel",,"6237","Price")</f>
        <v>無資料</v>
      </c>
      <c r="Z11" s="69">
        <v>103</v>
      </c>
      <c r="AA11" s="16" t="e">
        <f t="shared" si="24"/>
        <v>#VALUE!</v>
      </c>
      <c r="AB11" s="3" t="e">
        <f t="shared" si="25"/>
        <v>#VALUE!</v>
      </c>
      <c r="AC11" s="177" t="s">
        <v>6775</v>
      </c>
      <c r="AD11" s="17" t="s">
        <v>669</v>
      </c>
      <c r="AE11" s="89">
        <v>44552</v>
      </c>
      <c r="AG11" s="34">
        <f t="shared" si="26"/>
        <v>-44552</v>
      </c>
      <c r="AH11" s="63" t="s">
        <v>4951</v>
      </c>
      <c r="AI11" s="284"/>
      <c r="AK11" s="66"/>
      <c r="AL11" s="174"/>
      <c r="AM11" s="346"/>
      <c r="AN11" s="272"/>
      <c r="AO11" s="131"/>
      <c r="AP11" s="264"/>
    </row>
    <row r="12" spans="1:44">
      <c r="A12" s="151" t="s">
        <v>2499</v>
      </c>
      <c r="B12" s="85">
        <v>-82</v>
      </c>
      <c r="C12" s="85">
        <v>-86</v>
      </c>
      <c r="D12" s="85">
        <v>-32</v>
      </c>
      <c r="E12" s="85">
        <v>-39</v>
      </c>
      <c r="F12" s="7">
        <v>1.01</v>
      </c>
      <c r="G12" s="85">
        <v>3708</v>
      </c>
      <c r="H12" s="5" t="s">
        <v>1308</v>
      </c>
      <c r="I12" s="23" t="s">
        <v>528</v>
      </c>
      <c r="J12" s="77">
        <v>38.159999999999997</v>
      </c>
      <c r="K12" s="371">
        <v>8.3699999999999992</v>
      </c>
      <c r="L12" s="77">
        <v>29.63</v>
      </c>
      <c r="M12" s="371">
        <v>10.039999999999999</v>
      </c>
      <c r="N12" s="365">
        <f t="shared" si="21"/>
        <v>86.199999999999989</v>
      </c>
      <c r="O12" s="343">
        <f t="shared" si="22"/>
        <v>48.199999999999996</v>
      </c>
      <c r="P12" s="195">
        <v>12</v>
      </c>
      <c r="Q12" s="326">
        <v>21</v>
      </c>
      <c r="R12" s="111">
        <v>24</v>
      </c>
      <c r="S12" s="51">
        <v>22</v>
      </c>
      <c r="T12" s="339">
        <f t="shared" ref="T12" si="27">SUM(P12:S12)</f>
        <v>79</v>
      </c>
      <c r="U12" s="329" t="s">
        <v>6539</v>
      </c>
      <c r="V12" s="371">
        <v>6.23</v>
      </c>
      <c r="W12" s="69">
        <v>3.5</v>
      </c>
      <c r="X12" s="100">
        <v>2.09</v>
      </c>
      <c r="Y12" s="37" t="str">
        <f>RTD("money.excel",,"3708","Price")</f>
        <v>無資料</v>
      </c>
      <c r="Z12" s="69">
        <v>93</v>
      </c>
      <c r="AA12" s="16" t="e">
        <f>Y12-Z12</f>
        <v>#VALUE!</v>
      </c>
      <c r="AB12" s="3" t="e">
        <f>AA12/Z12</f>
        <v>#VALUE!</v>
      </c>
      <c r="AC12" s="177" t="s">
        <v>6776</v>
      </c>
      <c r="AD12" s="23" t="s">
        <v>528</v>
      </c>
      <c r="AE12" s="89">
        <v>44552</v>
      </c>
      <c r="AG12" s="34">
        <f>AF12-AE12</f>
        <v>-44552</v>
      </c>
      <c r="AH12" s="44" t="s">
        <v>4388</v>
      </c>
      <c r="AI12" s="131"/>
      <c r="AK12" s="131"/>
      <c r="AL12" s="264"/>
      <c r="AO12" s="131"/>
      <c r="AP12" s="264"/>
    </row>
    <row r="13" spans="1:44">
      <c r="A13" s="151" t="s">
        <v>2499</v>
      </c>
      <c r="B13" s="85">
        <v>-82</v>
      </c>
      <c r="C13" s="85">
        <v>-86</v>
      </c>
      <c r="D13" s="85">
        <v>-32</v>
      </c>
      <c r="E13" s="85">
        <v>-39</v>
      </c>
      <c r="F13" s="7">
        <v>1.01</v>
      </c>
      <c r="G13" s="85">
        <v>3708</v>
      </c>
      <c r="H13" s="5" t="s">
        <v>1308</v>
      </c>
      <c r="I13" s="23" t="s">
        <v>528</v>
      </c>
      <c r="J13" s="77">
        <v>38.159999999999997</v>
      </c>
      <c r="K13" s="371">
        <v>8.4499999999999993</v>
      </c>
      <c r="L13" s="77">
        <v>29.47</v>
      </c>
      <c r="M13" s="371">
        <v>10.039999999999999</v>
      </c>
      <c r="N13" s="365">
        <f t="shared" ref="N13" si="28">J13+K13+L13+M13</f>
        <v>86.12</v>
      </c>
      <c r="O13" s="343">
        <f t="shared" ref="O13" si="29">J13+M13</f>
        <v>48.199999999999996</v>
      </c>
      <c r="P13" s="195">
        <v>12</v>
      </c>
      <c r="Q13" s="326">
        <v>21</v>
      </c>
      <c r="R13" s="111">
        <v>24</v>
      </c>
      <c r="S13" s="51">
        <v>22</v>
      </c>
      <c r="T13" s="339">
        <f t="shared" ref="T13" si="30">SUM(P13:S13)</f>
        <v>79</v>
      </c>
      <c r="U13" s="329" t="s">
        <v>6539</v>
      </c>
      <c r="V13" s="77">
        <v>6.25</v>
      </c>
      <c r="W13" s="69">
        <v>3.5</v>
      </c>
      <c r="X13" s="100">
        <v>2.09</v>
      </c>
      <c r="Y13" s="37" t="str">
        <f>RTD("money.excel",,"3708","Price")</f>
        <v>無資料</v>
      </c>
      <c r="Z13" s="69">
        <v>93.6</v>
      </c>
      <c r="AA13" s="16" t="e">
        <f>Y13-Z13</f>
        <v>#VALUE!</v>
      </c>
      <c r="AB13" s="3" t="e">
        <f>AA13/Z13</f>
        <v>#VALUE!</v>
      </c>
      <c r="AC13" s="177" t="s">
        <v>6751</v>
      </c>
      <c r="AD13" s="23" t="s">
        <v>528</v>
      </c>
      <c r="AE13" s="89">
        <v>44551</v>
      </c>
      <c r="AG13" s="34">
        <f>AF13-AE13</f>
        <v>-44551</v>
      </c>
      <c r="AH13" s="44" t="s">
        <v>4388</v>
      </c>
      <c r="AI13" s="131"/>
      <c r="AK13" s="131"/>
      <c r="AL13" s="264"/>
      <c r="AO13" s="131"/>
      <c r="AP13" s="264"/>
    </row>
    <row r="14" spans="1:44">
      <c r="A14" s="151" t="s">
        <v>2499</v>
      </c>
      <c r="B14" s="85">
        <v>-82</v>
      </c>
      <c r="C14" s="85">
        <v>-86</v>
      </c>
      <c r="D14" s="85">
        <v>-32</v>
      </c>
      <c r="E14" s="85">
        <v>-39</v>
      </c>
      <c r="F14" s="7">
        <v>1.01</v>
      </c>
      <c r="G14" s="84">
        <v>3708</v>
      </c>
      <c r="H14" s="5" t="s">
        <v>1308</v>
      </c>
      <c r="I14" s="23" t="s">
        <v>528</v>
      </c>
      <c r="J14" s="77">
        <v>38.159999999999997</v>
      </c>
      <c r="K14" s="371">
        <v>8.48</v>
      </c>
      <c r="L14" s="77">
        <v>29.64</v>
      </c>
      <c r="M14" s="371">
        <v>10.039999999999999</v>
      </c>
      <c r="N14" s="365">
        <f t="shared" ref="N14" si="31">J14+K14+L14+M14</f>
        <v>86.32</v>
      </c>
      <c r="O14" s="343">
        <f t="shared" ref="O14" si="32">J14+M14</f>
        <v>48.199999999999996</v>
      </c>
      <c r="P14" s="195">
        <v>12</v>
      </c>
      <c r="Q14" s="326">
        <v>21</v>
      </c>
      <c r="R14" s="111">
        <v>24</v>
      </c>
      <c r="S14" s="51">
        <v>22</v>
      </c>
      <c r="T14" s="339">
        <f t="shared" ref="T14" si="33">SUM(P14:S14)</f>
        <v>79</v>
      </c>
      <c r="U14" s="329" t="s">
        <v>6538</v>
      </c>
      <c r="V14" s="77">
        <v>6.05</v>
      </c>
      <c r="W14" s="69">
        <v>3.5</v>
      </c>
      <c r="X14" s="100">
        <v>2.09</v>
      </c>
      <c r="Y14" s="37" t="str">
        <f>RTD("money.excel",,"3708","Price")</f>
        <v>無資料</v>
      </c>
      <c r="Z14" s="69">
        <v>96</v>
      </c>
      <c r="AA14" s="16" t="e">
        <f>Y14-Z14</f>
        <v>#VALUE!</v>
      </c>
      <c r="AB14" s="3" t="e">
        <f>AA14/Z14</f>
        <v>#VALUE!</v>
      </c>
      <c r="AC14" s="177" t="s">
        <v>6742</v>
      </c>
      <c r="AD14" s="23" t="s">
        <v>528</v>
      </c>
      <c r="AE14" s="89">
        <v>44550</v>
      </c>
      <c r="AG14" s="34">
        <f>AF14-AE14</f>
        <v>-44550</v>
      </c>
      <c r="AH14" s="44" t="s">
        <v>4388</v>
      </c>
      <c r="AI14" s="131"/>
      <c r="AO14" s="131"/>
      <c r="AP14" s="264"/>
    </row>
    <row r="15" spans="1:44">
      <c r="A15" s="151" t="s">
        <v>4604</v>
      </c>
      <c r="B15" s="84">
        <v>59</v>
      </c>
      <c r="C15" s="84">
        <v>54</v>
      </c>
      <c r="D15" s="84">
        <v>7</v>
      </c>
      <c r="E15" s="85">
        <v>-16</v>
      </c>
      <c r="F15" s="7">
        <v>5.72</v>
      </c>
      <c r="G15" s="84">
        <v>2250</v>
      </c>
      <c r="H15" s="9" t="s">
        <v>550</v>
      </c>
      <c r="I15" s="23" t="s">
        <v>5308</v>
      </c>
      <c r="J15" s="77">
        <v>60.04</v>
      </c>
      <c r="K15" s="371">
        <v>5.72</v>
      </c>
      <c r="L15" s="77">
        <v>4.6100000000000003</v>
      </c>
      <c r="M15" s="77">
        <v>15.5</v>
      </c>
      <c r="N15" s="365">
        <f t="shared" ref="N15:N18" si="34">J15+K15+L15+M15</f>
        <v>85.87</v>
      </c>
      <c r="O15" s="343">
        <f t="shared" ref="O15:O18" si="35">J15+M15</f>
        <v>75.539999999999992</v>
      </c>
      <c r="P15" s="195">
        <v>0</v>
      </c>
      <c r="Q15" s="326">
        <v>2</v>
      </c>
      <c r="R15" s="31">
        <v>0</v>
      </c>
      <c r="S15" s="51">
        <v>10</v>
      </c>
      <c r="T15" s="339">
        <f t="shared" ref="T15:T16" si="36">SUM(P15:S15)</f>
        <v>12</v>
      </c>
      <c r="U15" s="329" t="s">
        <v>6539</v>
      </c>
      <c r="V15" s="77">
        <v>0.1</v>
      </c>
      <c r="W15" s="69">
        <v>3</v>
      </c>
      <c r="X15" s="59">
        <v>6.57</v>
      </c>
      <c r="Y15" s="37" t="str">
        <f>RTD("money.excel",,"2250","Price")</f>
        <v>無資料</v>
      </c>
      <c r="Z15" s="69">
        <v>119</v>
      </c>
      <c r="AA15" s="16" t="e">
        <f t="shared" ref="AA15:AA18" si="37">Y15-Z15</f>
        <v>#VALUE!</v>
      </c>
      <c r="AB15" s="164" t="e">
        <f t="shared" ref="AB15:AB18" si="38">AA15/Z15</f>
        <v>#VALUE!</v>
      </c>
      <c r="AC15" s="177" t="s">
        <v>6702</v>
      </c>
      <c r="AD15" s="23" t="s">
        <v>5308</v>
      </c>
      <c r="AE15" s="89">
        <v>44547</v>
      </c>
      <c r="AG15" s="34">
        <f t="shared" ref="AG15:AG18" si="39">AF15-AE15</f>
        <v>-44547</v>
      </c>
      <c r="AH15" s="44" t="s">
        <v>5305</v>
      </c>
      <c r="AI15" s="284"/>
      <c r="AK15" s="131"/>
      <c r="AL15" s="264"/>
      <c r="AO15" s="131"/>
      <c r="AP15" s="264"/>
    </row>
    <row r="16" spans="1:44">
      <c r="A16" s="135" t="s">
        <v>2908</v>
      </c>
      <c r="B16" s="84">
        <v>142</v>
      </c>
      <c r="C16" s="84">
        <v>201</v>
      </c>
      <c r="D16" s="85">
        <v>-8</v>
      </c>
      <c r="E16" s="84">
        <v>25</v>
      </c>
      <c r="F16" s="59">
        <v>13.96</v>
      </c>
      <c r="G16" s="84">
        <v>5291</v>
      </c>
      <c r="H16" s="9" t="s">
        <v>559</v>
      </c>
      <c r="I16" s="17" t="s">
        <v>758</v>
      </c>
      <c r="J16" s="371">
        <v>19.61</v>
      </c>
      <c r="K16" s="371">
        <v>5.01</v>
      </c>
      <c r="L16" s="77">
        <v>45.11</v>
      </c>
      <c r="M16" s="77">
        <v>15.63</v>
      </c>
      <c r="N16" s="365">
        <f t="shared" si="34"/>
        <v>85.359999999999985</v>
      </c>
      <c r="O16" s="343">
        <f t="shared" si="35"/>
        <v>35.24</v>
      </c>
      <c r="P16" s="195">
        <v>4</v>
      </c>
      <c r="Q16" s="326">
        <v>4</v>
      </c>
      <c r="R16" s="111">
        <v>12</v>
      </c>
      <c r="S16" s="51">
        <v>15</v>
      </c>
      <c r="T16" s="339">
        <f t="shared" si="36"/>
        <v>35</v>
      </c>
      <c r="U16" s="329" t="s">
        <v>6701</v>
      </c>
      <c r="V16" s="371">
        <v>0.28000000000000003</v>
      </c>
      <c r="W16" s="35">
        <v>1.07</v>
      </c>
      <c r="X16" s="100">
        <v>3.74</v>
      </c>
      <c r="Y16" s="37" t="str">
        <f>RTD("money.excel",,"5291","Price")</f>
        <v>無資料</v>
      </c>
      <c r="Z16" s="69">
        <v>35.6</v>
      </c>
      <c r="AA16" s="16" t="e">
        <f t="shared" si="37"/>
        <v>#VALUE!</v>
      </c>
      <c r="AB16" s="3" t="e">
        <f t="shared" si="38"/>
        <v>#VALUE!</v>
      </c>
      <c r="AC16" s="177" t="s">
        <v>6703</v>
      </c>
      <c r="AD16" s="17" t="s">
        <v>758</v>
      </c>
      <c r="AE16" s="89">
        <v>44547</v>
      </c>
      <c r="AG16" s="34">
        <f t="shared" si="39"/>
        <v>-44547</v>
      </c>
      <c r="AH16" s="359" t="s">
        <v>3641</v>
      </c>
      <c r="AI16" s="131"/>
      <c r="AL16" s="265"/>
      <c r="AM16" s="287"/>
      <c r="AN16" s="287"/>
      <c r="AO16" s="131"/>
      <c r="AP16" s="264"/>
    </row>
    <row r="17" spans="1:50">
      <c r="A17" s="151" t="s">
        <v>2591</v>
      </c>
      <c r="B17" s="85">
        <v>-113</v>
      </c>
      <c r="C17" s="85">
        <v>-110</v>
      </c>
      <c r="D17" s="85">
        <v>-16</v>
      </c>
      <c r="E17" s="85">
        <v>-26</v>
      </c>
      <c r="F17" s="7">
        <v>-1.9</v>
      </c>
      <c r="G17" s="84">
        <v>3025</v>
      </c>
      <c r="H17" s="9" t="s">
        <v>563</v>
      </c>
      <c r="I17" s="23" t="s">
        <v>994</v>
      </c>
      <c r="J17" s="77">
        <v>18.989999999999998</v>
      </c>
      <c r="K17" s="371">
        <v>1.94</v>
      </c>
      <c r="L17" s="77">
        <v>28.76</v>
      </c>
      <c r="M17" s="371">
        <v>13.57</v>
      </c>
      <c r="N17" s="365">
        <f t="shared" si="34"/>
        <v>63.26</v>
      </c>
      <c r="O17" s="343">
        <f t="shared" si="35"/>
        <v>32.56</v>
      </c>
      <c r="P17" s="195">
        <v>2</v>
      </c>
      <c r="Q17" s="326">
        <v>4</v>
      </c>
      <c r="R17" s="111">
        <v>23</v>
      </c>
      <c r="S17" s="51">
        <v>27</v>
      </c>
      <c r="T17" s="339">
        <f t="shared" ref="T17:T18" si="40">SUM(P17:S17)</f>
        <v>56</v>
      </c>
      <c r="U17" s="329" t="s">
        <v>6701</v>
      </c>
      <c r="V17" s="77">
        <v>2.14</v>
      </c>
      <c r="W17" s="35">
        <v>1</v>
      </c>
      <c r="X17" s="100">
        <v>0.23</v>
      </c>
      <c r="Y17" s="37" t="str">
        <f>RTD("money.excel",,"3025","Price")</f>
        <v>無資料</v>
      </c>
      <c r="Z17" s="69">
        <v>23.75</v>
      </c>
      <c r="AA17" s="16" t="e">
        <f t="shared" si="37"/>
        <v>#VALUE!</v>
      </c>
      <c r="AB17" s="3" t="e">
        <f t="shared" si="38"/>
        <v>#VALUE!</v>
      </c>
      <c r="AC17" s="177" t="s">
        <v>6705</v>
      </c>
      <c r="AD17" s="23" t="s">
        <v>994</v>
      </c>
      <c r="AE17" s="89">
        <v>44547</v>
      </c>
      <c r="AG17" s="34">
        <f t="shared" si="39"/>
        <v>-44547</v>
      </c>
      <c r="AH17" s="44" t="s">
        <v>3367</v>
      </c>
      <c r="AI17" s="131"/>
      <c r="AO17" s="131"/>
      <c r="AP17" s="264"/>
    </row>
    <row r="18" spans="1:50">
      <c r="A18" s="151" t="s">
        <v>3425</v>
      </c>
      <c r="B18" s="84">
        <v>56</v>
      </c>
      <c r="C18" s="84">
        <v>89</v>
      </c>
      <c r="D18" s="84">
        <v>11</v>
      </c>
      <c r="E18" s="84">
        <v>192</v>
      </c>
      <c r="F18" s="7">
        <v>5.95</v>
      </c>
      <c r="G18" s="84">
        <v>3511</v>
      </c>
      <c r="H18" s="9" t="s">
        <v>559</v>
      </c>
      <c r="I18" s="17" t="s">
        <v>749</v>
      </c>
      <c r="J18" s="371">
        <v>53.52</v>
      </c>
      <c r="K18" s="371">
        <v>0.85</v>
      </c>
      <c r="L18" s="77">
        <v>47.31</v>
      </c>
      <c r="M18" s="77">
        <v>37.51</v>
      </c>
      <c r="N18" s="77">
        <f t="shared" si="34"/>
        <v>139.19</v>
      </c>
      <c r="O18" s="369">
        <f t="shared" si="35"/>
        <v>91.03</v>
      </c>
      <c r="P18" s="195">
        <v>0</v>
      </c>
      <c r="Q18" s="326">
        <v>21</v>
      </c>
      <c r="R18" s="111">
        <v>30</v>
      </c>
      <c r="S18" s="51">
        <v>28</v>
      </c>
      <c r="T18" s="339">
        <f t="shared" si="40"/>
        <v>79</v>
      </c>
      <c r="U18" s="329" t="s">
        <v>6701</v>
      </c>
      <c r="V18" s="77">
        <v>1.62</v>
      </c>
      <c r="W18" s="35">
        <v>0.5</v>
      </c>
      <c r="X18" s="59">
        <v>1.25</v>
      </c>
      <c r="Y18" s="37" t="str">
        <f>RTD("money.excel",,"3511","Price")</f>
        <v>無資料</v>
      </c>
      <c r="Z18" s="69">
        <v>42</v>
      </c>
      <c r="AA18" s="16" t="e">
        <f t="shared" si="37"/>
        <v>#VALUE!</v>
      </c>
      <c r="AB18" s="3" t="e">
        <f t="shared" si="38"/>
        <v>#VALUE!</v>
      </c>
      <c r="AC18" s="177" t="s">
        <v>6706</v>
      </c>
      <c r="AD18" s="17" t="s">
        <v>749</v>
      </c>
      <c r="AE18" s="89">
        <v>44547</v>
      </c>
      <c r="AG18" s="34">
        <f t="shared" si="39"/>
        <v>-44547</v>
      </c>
      <c r="AH18" s="44" t="s">
        <v>2961</v>
      </c>
      <c r="AI18" s="131"/>
      <c r="AK18" s="131"/>
      <c r="AL18" s="264"/>
      <c r="AO18" s="131"/>
      <c r="AP18" s="264"/>
    </row>
    <row r="19" spans="1:50">
      <c r="A19" s="135" t="s">
        <v>4670</v>
      </c>
      <c r="B19" s="84">
        <v>127</v>
      </c>
      <c r="C19" s="84">
        <v>132</v>
      </c>
      <c r="D19" s="84">
        <v>11</v>
      </c>
      <c r="E19" s="84">
        <v>4</v>
      </c>
      <c r="F19" s="59">
        <v>20.47</v>
      </c>
      <c r="G19" s="84">
        <v>8431</v>
      </c>
      <c r="H19" s="9" t="s">
        <v>5322</v>
      </c>
      <c r="I19" s="17" t="s">
        <v>416</v>
      </c>
      <c r="J19" s="77">
        <v>22.49</v>
      </c>
      <c r="K19" s="371">
        <v>1</v>
      </c>
      <c r="L19" s="77">
        <v>47.79</v>
      </c>
      <c r="M19" s="77">
        <v>15.96</v>
      </c>
      <c r="N19" s="365">
        <f t="shared" ref="N19:N21" si="41">J19+K19+L19+M19</f>
        <v>87.240000000000009</v>
      </c>
      <c r="O19" s="343">
        <f t="shared" ref="O19:O21" si="42">J19+M19</f>
        <v>38.450000000000003</v>
      </c>
      <c r="P19" s="195">
        <v>1</v>
      </c>
      <c r="Q19" s="326" t="str">
        <f>IFERROR(VLOOKUP($G19,主力整理!$A$2:$G$2301,6,0),"0")</f>
        <v>0</v>
      </c>
      <c r="R19" s="111">
        <v>3</v>
      </c>
      <c r="S19" s="51">
        <v>0</v>
      </c>
      <c r="T19" s="339">
        <f t="shared" ref="T19" si="43">SUM(P19:S19)</f>
        <v>4</v>
      </c>
      <c r="U19" s="329" t="s">
        <v>6538</v>
      </c>
      <c r="V19" s="371">
        <v>2.16</v>
      </c>
      <c r="W19" s="35">
        <v>0.8</v>
      </c>
      <c r="X19" s="100">
        <v>3.93</v>
      </c>
      <c r="Y19" s="37" t="str">
        <f>RTD("money.excel",,"8431","Price")</f>
        <v>無資料</v>
      </c>
      <c r="Z19" s="69">
        <v>70.400000000000006</v>
      </c>
      <c r="AA19" s="16" t="e">
        <f t="shared" ref="AA19" si="44">Y19-Z19</f>
        <v>#VALUE!</v>
      </c>
      <c r="AB19" s="3" t="e">
        <f t="shared" ref="AB19" si="45">AA19/Z19</f>
        <v>#VALUE!</v>
      </c>
      <c r="AC19" s="177" t="s">
        <v>6695</v>
      </c>
      <c r="AD19" s="17" t="s">
        <v>416</v>
      </c>
      <c r="AE19" s="89">
        <v>44546</v>
      </c>
      <c r="AG19" s="34">
        <f t="shared" ref="AG19" si="46">AF19-AE19</f>
        <v>-44546</v>
      </c>
      <c r="AH19" s="63" t="s">
        <v>3989</v>
      </c>
      <c r="AI19" s="131"/>
      <c r="AO19" s="131"/>
      <c r="AP19" s="264"/>
    </row>
    <row r="20" spans="1:50">
      <c r="A20" s="135" t="s">
        <v>3401</v>
      </c>
      <c r="B20" s="84">
        <v>60</v>
      </c>
      <c r="C20" s="84">
        <v>61</v>
      </c>
      <c r="D20" s="85">
        <v>-4</v>
      </c>
      <c r="E20" s="84">
        <v>36</v>
      </c>
      <c r="F20" s="59">
        <v>35.53</v>
      </c>
      <c r="G20" s="85">
        <v>6523</v>
      </c>
      <c r="H20" s="5" t="s">
        <v>560</v>
      </c>
      <c r="I20" s="17" t="s">
        <v>1152</v>
      </c>
      <c r="J20" s="77">
        <v>64.75</v>
      </c>
      <c r="K20" s="371">
        <v>5.47</v>
      </c>
      <c r="L20" s="77">
        <v>14.23</v>
      </c>
      <c r="M20" s="371">
        <v>33.82</v>
      </c>
      <c r="N20" s="365">
        <f t="shared" si="41"/>
        <v>118.27000000000001</v>
      </c>
      <c r="O20" s="369">
        <f t="shared" si="42"/>
        <v>98.57</v>
      </c>
      <c r="P20" s="195">
        <v>1</v>
      </c>
      <c r="Q20" s="326">
        <v>2</v>
      </c>
      <c r="R20" s="111">
        <v>1</v>
      </c>
      <c r="S20" s="51">
        <v>5</v>
      </c>
      <c r="T20" s="339">
        <f t="shared" ref="T20:T21" si="47">SUM(P20:S20)</f>
        <v>9</v>
      </c>
      <c r="U20" s="329" t="s">
        <v>6538</v>
      </c>
      <c r="V20" s="77">
        <v>0.24</v>
      </c>
      <c r="W20" s="69">
        <v>5.22</v>
      </c>
      <c r="X20" s="59">
        <v>16.46</v>
      </c>
      <c r="Y20" s="37" t="str">
        <f>RTD("money.excel",,"6523","Price")</f>
        <v>無資料</v>
      </c>
      <c r="Z20" s="69">
        <v>98.5</v>
      </c>
      <c r="AA20" s="16" t="e">
        <f>Y20-Z20</f>
        <v>#VALUE!</v>
      </c>
      <c r="AB20" s="3" t="e">
        <f>AA20/Z20</f>
        <v>#VALUE!</v>
      </c>
      <c r="AC20" s="177" t="s">
        <v>6697</v>
      </c>
      <c r="AD20" s="17" t="s">
        <v>1152</v>
      </c>
      <c r="AE20" s="89">
        <v>44546</v>
      </c>
      <c r="AG20" s="34">
        <f>AF20-AE20</f>
        <v>-44546</v>
      </c>
      <c r="AH20" s="63" t="s">
        <v>3902</v>
      </c>
      <c r="AI20" s="131"/>
      <c r="AO20" s="131"/>
      <c r="AP20" s="264"/>
    </row>
    <row r="21" spans="1:50">
      <c r="A21" s="151" t="s">
        <v>4604</v>
      </c>
      <c r="B21" s="84">
        <v>59</v>
      </c>
      <c r="C21" s="84">
        <v>54</v>
      </c>
      <c r="D21" s="84">
        <v>7</v>
      </c>
      <c r="E21" s="85">
        <v>-16</v>
      </c>
      <c r="F21" s="7">
        <v>5.72</v>
      </c>
      <c r="G21" s="84">
        <v>2250</v>
      </c>
      <c r="H21" s="9" t="s">
        <v>550</v>
      </c>
      <c r="I21" s="23" t="s">
        <v>5308</v>
      </c>
      <c r="J21" s="77">
        <v>60.04</v>
      </c>
      <c r="K21" s="371">
        <v>5.79</v>
      </c>
      <c r="L21" s="77">
        <v>3.11</v>
      </c>
      <c r="M21" s="77">
        <v>15.5</v>
      </c>
      <c r="N21" s="365">
        <f t="shared" si="41"/>
        <v>84.44</v>
      </c>
      <c r="O21" s="343">
        <f t="shared" si="42"/>
        <v>75.539999999999992</v>
      </c>
      <c r="P21" s="195">
        <v>0</v>
      </c>
      <c r="Q21" s="326" t="str">
        <f>IFERROR(VLOOKUP($G21,主力整理!$A$2:$G$2301,6,0),"0")</f>
        <v>0</v>
      </c>
      <c r="R21" s="31">
        <v>0</v>
      </c>
      <c r="S21" s="51">
        <v>0</v>
      </c>
      <c r="T21" s="339">
        <f t="shared" si="47"/>
        <v>0</v>
      </c>
      <c r="U21" s="329" t="s">
        <v>6694</v>
      </c>
      <c r="V21" s="77">
        <v>0.11</v>
      </c>
      <c r="W21" s="35">
        <v>3</v>
      </c>
      <c r="X21" s="59">
        <v>6.57</v>
      </c>
      <c r="Y21" s="37" t="str">
        <f>RTD("money.excel",,"2250","Price")</f>
        <v>無資料</v>
      </c>
      <c r="Z21" s="69">
        <v>115.5</v>
      </c>
      <c r="AA21" s="16" t="e">
        <f t="shared" ref="AA21" si="48">Y21-Z21</f>
        <v>#VALUE!</v>
      </c>
      <c r="AB21" s="164" t="e">
        <f t="shared" ref="AB21" si="49">AA21/Z21</f>
        <v>#VALUE!</v>
      </c>
      <c r="AC21" s="177" t="s">
        <v>6698</v>
      </c>
      <c r="AD21" s="23" t="s">
        <v>5308</v>
      </c>
      <c r="AE21" s="89">
        <v>44546</v>
      </c>
      <c r="AG21" s="34">
        <f t="shared" ref="AG21" si="50">AF21-AE21</f>
        <v>-44546</v>
      </c>
      <c r="AH21" s="44" t="s">
        <v>5305</v>
      </c>
      <c r="AI21" s="131"/>
      <c r="AO21" s="131"/>
      <c r="AP21" s="264"/>
    </row>
    <row r="22" spans="1:50">
      <c r="A22" s="135" t="s">
        <v>3401</v>
      </c>
      <c r="B22" s="84">
        <v>60</v>
      </c>
      <c r="C22" s="84">
        <v>61</v>
      </c>
      <c r="D22" s="85">
        <v>-4</v>
      </c>
      <c r="E22" s="84">
        <v>36</v>
      </c>
      <c r="F22" s="59">
        <v>35.53</v>
      </c>
      <c r="G22" s="85">
        <v>6523</v>
      </c>
      <c r="H22" s="5" t="s">
        <v>560</v>
      </c>
      <c r="I22" s="17" t="s">
        <v>1152</v>
      </c>
      <c r="J22" s="77">
        <v>64.75</v>
      </c>
      <c r="K22" s="371">
        <v>5.56</v>
      </c>
      <c r="L22" s="77">
        <v>14.69</v>
      </c>
      <c r="M22" s="371">
        <v>33.82</v>
      </c>
      <c r="N22" s="365">
        <f t="shared" ref="N22" si="51">J22+K22+L22+M22</f>
        <v>118.82</v>
      </c>
      <c r="O22" s="369">
        <f t="shared" ref="O22" si="52">J22+M22</f>
        <v>98.57</v>
      </c>
      <c r="P22" s="195">
        <v>1</v>
      </c>
      <c r="Q22" s="326">
        <v>2</v>
      </c>
      <c r="R22" s="111">
        <v>1</v>
      </c>
      <c r="S22" s="51">
        <v>5</v>
      </c>
      <c r="T22" s="339">
        <f t="shared" ref="T22" si="53">SUM(P22:S22)</f>
        <v>9</v>
      </c>
      <c r="U22" s="329" t="s">
        <v>6671</v>
      </c>
      <c r="V22" s="77">
        <v>0.24</v>
      </c>
      <c r="W22" s="69">
        <v>5.22</v>
      </c>
      <c r="X22" s="59">
        <v>16.46</v>
      </c>
      <c r="Y22" s="37" t="str">
        <f>RTD("money.excel",,"6523","Price")</f>
        <v>無資料</v>
      </c>
      <c r="Z22" s="69">
        <v>102</v>
      </c>
      <c r="AA22" s="16" t="e">
        <f>Y22-Z22</f>
        <v>#VALUE!</v>
      </c>
      <c r="AB22" s="3" t="e">
        <f>AA22/Z22</f>
        <v>#VALUE!</v>
      </c>
      <c r="AC22" s="107" t="s">
        <v>6673</v>
      </c>
      <c r="AD22" s="17" t="s">
        <v>1152</v>
      </c>
      <c r="AE22" s="89">
        <v>44545</v>
      </c>
      <c r="AG22" s="34">
        <f>AF22-AE22</f>
        <v>-44545</v>
      </c>
      <c r="AH22" s="63" t="s">
        <v>3902</v>
      </c>
      <c r="AI22" s="131"/>
      <c r="AO22" s="131"/>
      <c r="AP22" s="264"/>
    </row>
    <row r="23" spans="1:50">
      <c r="A23" s="151" t="s">
        <v>3393</v>
      </c>
      <c r="B23" s="85">
        <v>-121</v>
      </c>
      <c r="C23" s="85">
        <v>-113</v>
      </c>
      <c r="D23" s="84">
        <v>9</v>
      </c>
      <c r="E23" s="84">
        <v>13</v>
      </c>
      <c r="F23" s="7">
        <v>-2.85</v>
      </c>
      <c r="G23" s="84">
        <v>3325</v>
      </c>
      <c r="H23" s="154" t="s">
        <v>1815</v>
      </c>
      <c r="I23" s="17" t="s">
        <v>901</v>
      </c>
      <c r="J23" s="77">
        <v>13.93</v>
      </c>
      <c r="K23" s="371">
        <v>0.88</v>
      </c>
      <c r="L23" s="77">
        <v>23.85</v>
      </c>
      <c r="M23" s="371">
        <v>12.2</v>
      </c>
      <c r="N23" s="365">
        <f t="shared" ref="N23" si="54">J23+K23+L23+M23</f>
        <v>50.86</v>
      </c>
      <c r="O23" s="343">
        <f t="shared" ref="O23" si="55">J23+M23</f>
        <v>26.13</v>
      </c>
      <c r="P23" s="195">
        <v>0</v>
      </c>
      <c r="Q23" s="326">
        <v>2</v>
      </c>
      <c r="R23" s="111">
        <v>2</v>
      </c>
      <c r="S23" s="51">
        <v>1</v>
      </c>
      <c r="T23" s="339">
        <f t="shared" ref="T23" si="56">SUM(P23:S23)</f>
        <v>5</v>
      </c>
      <c r="U23" s="329" t="s">
        <v>6538</v>
      </c>
      <c r="V23" s="371">
        <v>1.42</v>
      </c>
      <c r="W23" s="35">
        <v>2.5</v>
      </c>
      <c r="X23" s="100">
        <v>-0.44</v>
      </c>
      <c r="Y23" s="37" t="str">
        <f>RTD("money.excel",,"3325","Price")</f>
        <v>無資料</v>
      </c>
      <c r="Z23" s="69">
        <v>18.2</v>
      </c>
      <c r="AA23" s="16" t="e">
        <f t="shared" ref="AA23" si="57">Y23-Z23</f>
        <v>#VALUE!</v>
      </c>
      <c r="AB23" s="3" t="e">
        <f t="shared" ref="AB23" si="58">AA23/Z23</f>
        <v>#VALUE!</v>
      </c>
      <c r="AC23" s="107" t="s">
        <v>6300</v>
      </c>
      <c r="AD23" s="17" t="s">
        <v>901</v>
      </c>
      <c r="AE23" s="89">
        <v>44544</v>
      </c>
      <c r="AG23" s="34">
        <f t="shared" ref="AG23" si="59">AF23-AE23</f>
        <v>-44544</v>
      </c>
      <c r="AH23" s="44" t="s">
        <v>3858</v>
      </c>
      <c r="AI23" s="131"/>
      <c r="AO23" s="131"/>
      <c r="AP23" s="264"/>
    </row>
    <row r="24" spans="1:50">
      <c r="A24" s="151" t="s">
        <v>3331</v>
      </c>
      <c r="B24" s="84">
        <v>127</v>
      </c>
      <c r="C24" s="84">
        <v>457</v>
      </c>
      <c r="D24" s="84">
        <v>24</v>
      </c>
      <c r="E24" s="84">
        <v>63</v>
      </c>
      <c r="F24" s="7">
        <v>4.51</v>
      </c>
      <c r="G24" s="85">
        <v>3232</v>
      </c>
      <c r="H24" s="5" t="s">
        <v>596</v>
      </c>
      <c r="I24" s="17" t="s">
        <v>1394</v>
      </c>
      <c r="J24" s="371">
        <v>30.56</v>
      </c>
      <c r="K24" s="77">
        <v>5.61</v>
      </c>
      <c r="L24" s="77">
        <v>55.78</v>
      </c>
      <c r="M24" s="371">
        <v>24.43</v>
      </c>
      <c r="N24" s="365">
        <f t="shared" ref="N24" si="60">J24+K24+L24+M24</f>
        <v>116.38</v>
      </c>
      <c r="O24" s="343">
        <f t="shared" ref="O24" si="61">J24+M24</f>
        <v>54.989999999999995</v>
      </c>
      <c r="P24" s="195">
        <v>0</v>
      </c>
      <c r="Q24" s="326">
        <v>7</v>
      </c>
      <c r="R24" s="111">
        <v>1</v>
      </c>
      <c r="S24" s="51">
        <v>1</v>
      </c>
      <c r="T24" s="339">
        <f t="shared" ref="T24" si="62">SUM(P24:S24)</f>
        <v>9</v>
      </c>
      <c r="U24" s="329" t="s">
        <v>6630</v>
      </c>
      <c r="V24" s="77">
        <v>1.03</v>
      </c>
      <c r="W24" s="35">
        <v>0.3</v>
      </c>
      <c r="X24" s="100">
        <v>0.79</v>
      </c>
      <c r="Y24" s="37" t="str">
        <f>RTD("money.excel",,"3232","Price")</f>
        <v>無資料</v>
      </c>
      <c r="Z24" s="69">
        <v>27.7</v>
      </c>
      <c r="AA24" s="16" t="e">
        <f t="shared" ref="AA24" si="63">Y24-Z24</f>
        <v>#VALUE!</v>
      </c>
      <c r="AB24" s="3" t="e">
        <f t="shared" ref="AB24" si="64">AA24/Z24</f>
        <v>#VALUE!</v>
      </c>
      <c r="AC24" s="107" t="s">
        <v>6631</v>
      </c>
      <c r="AD24" s="17" t="s">
        <v>1394</v>
      </c>
      <c r="AE24" s="89">
        <v>44543</v>
      </c>
      <c r="AG24" s="34">
        <f t="shared" ref="AG24" si="65">AF24-AE24</f>
        <v>-44543</v>
      </c>
      <c r="AH24" s="44" t="s">
        <v>4180</v>
      </c>
      <c r="AI24" s="131"/>
      <c r="AO24" s="131"/>
      <c r="AP24" s="264"/>
    </row>
    <row r="25" spans="1:50">
      <c r="A25" s="151" t="s">
        <v>2590</v>
      </c>
      <c r="B25" s="84">
        <v>150</v>
      </c>
      <c r="C25" s="84">
        <v>482</v>
      </c>
      <c r="D25" s="84">
        <v>50</v>
      </c>
      <c r="E25" s="84">
        <v>77</v>
      </c>
      <c r="F25" s="7">
        <v>6.96</v>
      </c>
      <c r="G25" s="84">
        <v>2399</v>
      </c>
      <c r="H25" s="212" t="s">
        <v>1815</v>
      </c>
      <c r="I25" s="23" t="s">
        <v>875</v>
      </c>
      <c r="J25" s="77">
        <v>25.88</v>
      </c>
      <c r="K25" s="371">
        <v>9.85</v>
      </c>
      <c r="L25" s="77">
        <v>28.95</v>
      </c>
      <c r="M25" s="371">
        <v>7.53</v>
      </c>
      <c r="N25" s="365">
        <f t="shared" ref="N25" si="66">J25+K25+L25+M25</f>
        <v>72.209999999999994</v>
      </c>
      <c r="O25" s="343">
        <f t="shared" ref="O25" si="67">J25+M25</f>
        <v>33.409999999999997</v>
      </c>
      <c r="P25" s="195">
        <v>8</v>
      </c>
      <c r="Q25" s="326">
        <v>17</v>
      </c>
      <c r="R25" s="111">
        <v>6</v>
      </c>
      <c r="S25" s="51">
        <v>7</v>
      </c>
      <c r="T25" s="339">
        <f t="shared" ref="T25" si="68">SUM(P25:S25)</f>
        <v>38</v>
      </c>
      <c r="U25" s="329" t="s">
        <v>6629</v>
      </c>
      <c r="V25" s="371">
        <v>4.24</v>
      </c>
      <c r="W25" s="35">
        <v>0.4</v>
      </c>
      <c r="X25" s="100">
        <v>1.75</v>
      </c>
      <c r="Y25" s="37" t="str">
        <f>RTD("money.excel",,"2399","Price")</f>
        <v>無資料</v>
      </c>
      <c r="Z25" s="69">
        <v>22.4</v>
      </c>
      <c r="AA25" s="16" t="e">
        <f t="shared" ref="AA25" si="69">Y25-Z25</f>
        <v>#VALUE!</v>
      </c>
      <c r="AB25" s="3" t="e">
        <f t="shared" ref="AB25" si="70">AA25/Z25</f>
        <v>#VALUE!</v>
      </c>
      <c r="AC25" s="107" t="s">
        <v>6632</v>
      </c>
      <c r="AD25" s="23" t="s">
        <v>875</v>
      </c>
      <c r="AE25" s="89">
        <v>44543</v>
      </c>
      <c r="AG25" s="34">
        <f t="shared" ref="AG25" si="71">AF25-AE25</f>
        <v>-44543</v>
      </c>
      <c r="AH25" s="44" t="s">
        <v>4264</v>
      </c>
      <c r="AI25" s="284"/>
      <c r="AO25" s="131"/>
      <c r="AP25" s="264"/>
    </row>
    <row r="26" spans="1:50">
      <c r="A26" s="151" t="s">
        <v>4803</v>
      </c>
      <c r="B26" s="84">
        <v>24</v>
      </c>
      <c r="C26" s="85">
        <v>-19</v>
      </c>
      <c r="D26" s="84">
        <v>14</v>
      </c>
      <c r="E26" s="85">
        <v>-11</v>
      </c>
      <c r="F26" s="7">
        <v>5.91</v>
      </c>
      <c r="G26" s="84">
        <v>6179</v>
      </c>
      <c r="H26" s="9" t="s">
        <v>429</v>
      </c>
      <c r="I26" s="17" t="s">
        <v>1194</v>
      </c>
      <c r="J26" s="371">
        <v>43.95</v>
      </c>
      <c r="K26" s="371">
        <v>0.53</v>
      </c>
      <c r="L26" s="77">
        <v>23.53</v>
      </c>
      <c r="M26" s="371">
        <v>15.65</v>
      </c>
      <c r="N26" s="365">
        <f t="shared" ref="N26:N30" si="72">K26+J26+L26+M26</f>
        <v>83.660000000000011</v>
      </c>
      <c r="O26" s="343">
        <f t="shared" ref="O26:O30" si="73">J26+M26</f>
        <v>59.6</v>
      </c>
      <c r="P26" s="195">
        <v>1</v>
      </c>
      <c r="Q26" s="326">
        <v>0</v>
      </c>
      <c r="R26" s="111">
        <v>0</v>
      </c>
      <c r="S26" s="51">
        <v>0</v>
      </c>
      <c r="T26" s="339">
        <f t="shared" ref="T26:T30" si="74">SUM(P26:S26)</f>
        <v>1</v>
      </c>
      <c r="U26" s="329" t="s">
        <v>6588</v>
      </c>
      <c r="V26" s="77">
        <v>0.53</v>
      </c>
      <c r="W26" s="35">
        <v>1.88</v>
      </c>
      <c r="X26" s="100">
        <v>2.72</v>
      </c>
      <c r="Y26" s="37" t="str">
        <f>RTD("money.excel",,"6179","Price")</f>
        <v>無資料</v>
      </c>
      <c r="Z26" s="69">
        <v>31.65</v>
      </c>
      <c r="AA26" s="16" t="e">
        <f t="shared" ref="AA26" si="75">Y26-Z26</f>
        <v>#VALUE!</v>
      </c>
      <c r="AB26" s="3" t="e">
        <f t="shared" ref="AB26" si="76">AA26/Z26</f>
        <v>#VALUE!</v>
      </c>
      <c r="AC26" s="107" t="s">
        <v>6590</v>
      </c>
      <c r="AD26" s="17" t="s">
        <v>1194</v>
      </c>
      <c r="AE26" s="89">
        <v>44539</v>
      </c>
      <c r="AG26" s="34">
        <f t="shared" ref="AG26" si="77">AF26-AE26</f>
        <v>-44539</v>
      </c>
      <c r="AH26" s="44" t="s">
        <v>3924</v>
      </c>
      <c r="AI26" s="131"/>
      <c r="AO26" s="131"/>
      <c r="AP26" s="264"/>
    </row>
    <row r="27" spans="1:50">
      <c r="A27" s="151" t="s">
        <v>2555</v>
      </c>
      <c r="B27" s="85">
        <v>-103</v>
      </c>
      <c r="C27" s="85">
        <v>-226</v>
      </c>
      <c r="D27" s="85">
        <v>-12</v>
      </c>
      <c r="E27" s="84">
        <v>26</v>
      </c>
      <c r="F27" s="7">
        <v>2.89</v>
      </c>
      <c r="G27" s="84">
        <v>5356</v>
      </c>
      <c r="H27" s="154" t="s">
        <v>1815</v>
      </c>
      <c r="I27" s="17" t="s">
        <v>3542</v>
      </c>
      <c r="J27" s="77">
        <v>28.23</v>
      </c>
      <c r="K27" s="77">
        <v>3.59</v>
      </c>
      <c r="L27" s="77">
        <v>19.77</v>
      </c>
      <c r="M27" s="77">
        <v>8.23</v>
      </c>
      <c r="N27" s="365">
        <f t="shared" si="72"/>
        <v>59.820000000000007</v>
      </c>
      <c r="O27" s="343">
        <f t="shared" si="73"/>
        <v>36.46</v>
      </c>
      <c r="P27" s="195">
        <v>0</v>
      </c>
      <c r="Q27" s="326">
        <v>1</v>
      </c>
      <c r="R27" s="111">
        <v>2</v>
      </c>
      <c r="S27" s="51">
        <v>0</v>
      </c>
      <c r="T27" s="339">
        <f t="shared" si="74"/>
        <v>3</v>
      </c>
      <c r="U27" s="329" t="s">
        <v>6579</v>
      </c>
      <c r="V27" s="77">
        <v>0.36</v>
      </c>
      <c r="W27" s="35">
        <v>2.2000000000000002</v>
      </c>
      <c r="X27" s="100">
        <v>0.77</v>
      </c>
      <c r="Y27" s="37" t="str">
        <f>RTD("money.excel",,"5356","Price")</f>
        <v>無資料</v>
      </c>
      <c r="Z27" s="69">
        <v>32.049999999999997</v>
      </c>
      <c r="AA27" s="16" t="e">
        <f t="shared" ref="AA27" si="78">Y27-Z27</f>
        <v>#VALUE!</v>
      </c>
      <c r="AB27" s="3" t="e">
        <f t="shared" ref="AB27" si="79">AA27/Z27</f>
        <v>#VALUE!</v>
      </c>
      <c r="AC27" s="107" t="s">
        <v>2241</v>
      </c>
      <c r="AD27" s="17" t="s">
        <v>3542</v>
      </c>
      <c r="AE27" s="89">
        <v>44538</v>
      </c>
      <c r="AG27" s="34">
        <f t="shared" ref="AG27" si="80">AF27-AE27</f>
        <v>-44538</v>
      </c>
      <c r="AH27" s="125" t="s">
        <v>3543</v>
      </c>
      <c r="AI27" s="131"/>
      <c r="AO27" s="131"/>
      <c r="AP27" s="264"/>
    </row>
    <row r="28" spans="1:50">
      <c r="A28" s="151" t="s">
        <v>3153</v>
      </c>
      <c r="B28" s="84">
        <v>8</v>
      </c>
      <c r="C28" s="84">
        <v>21</v>
      </c>
      <c r="D28" s="85">
        <v>-3</v>
      </c>
      <c r="E28" s="85">
        <v>-6</v>
      </c>
      <c r="F28" s="7">
        <v>6</v>
      </c>
      <c r="G28" s="84">
        <v>5410</v>
      </c>
      <c r="H28" s="9" t="s">
        <v>565</v>
      </c>
      <c r="I28" s="17" t="s">
        <v>1639</v>
      </c>
      <c r="J28" s="371">
        <v>22.94</v>
      </c>
      <c r="K28" s="371">
        <v>1.35</v>
      </c>
      <c r="L28" s="77">
        <v>6.45</v>
      </c>
      <c r="M28" s="371">
        <v>9.85</v>
      </c>
      <c r="N28" s="365">
        <f t="shared" si="72"/>
        <v>40.590000000000003</v>
      </c>
      <c r="O28" s="343">
        <f t="shared" si="73"/>
        <v>32.79</v>
      </c>
      <c r="P28" s="195">
        <v>0</v>
      </c>
      <c r="Q28" s="326" t="str">
        <f>IFERROR(VLOOKUP($G28,主力整理!$A$2:$G$2301,6,0),"0")</f>
        <v>0</v>
      </c>
      <c r="R28" s="111">
        <v>0</v>
      </c>
      <c r="S28" s="51">
        <v>0</v>
      </c>
      <c r="T28" s="339">
        <f t="shared" si="74"/>
        <v>0</v>
      </c>
      <c r="U28" s="329" t="s">
        <v>6539</v>
      </c>
      <c r="V28" s="371">
        <v>0.6</v>
      </c>
      <c r="W28" s="35">
        <v>1.69</v>
      </c>
      <c r="X28" s="100">
        <v>2.13</v>
      </c>
      <c r="Y28" s="37" t="str">
        <f>RTD("money.excel",,"5410","Price")</f>
        <v>無資料</v>
      </c>
      <c r="Z28" s="69">
        <v>25.5</v>
      </c>
      <c r="AA28" s="16" t="e">
        <f t="shared" ref="AA28" si="81">Y28-Z28</f>
        <v>#VALUE!</v>
      </c>
      <c r="AB28" s="3" t="e">
        <f t="shared" ref="AB28" si="82">AA28/Z28</f>
        <v>#VALUE!</v>
      </c>
      <c r="AC28" s="107" t="s">
        <v>6534</v>
      </c>
      <c r="AD28" s="17" t="s">
        <v>1639</v>
      </c>
      <c r="AE28" s="89">
        <v>44532</v>
      </c>
      <c r="AG28" s="34">
        <f t="shared" ref="AG28" si="83">AF28-AE28</f>
        <v>-44532</v>
      </c>
      <c r="AH28" s="44" t="s">
        <v>4231</v>
      </c>
      <c r="AI28" s="131"/>
      <c r="AO28" s="131"/>
      <c r="AP28" s="264"/>
    </row>
    <row r="29" spans="1:50">
      <c r="A29" s="151" t="s">
        <v>3153</v>
      </c>
      <c r="B29" s="84">
        <v>8</v>
      </c>
      <c r="C29" s="84">
        <v>21</v>
      </c>
      <c r="D29" s="85">
        <v>-3</v>
      </c>
      <c r="E29" s="85">
        <v>-6</v>
      </c>
      <c r="F29" s="7">
        <v>6</v>
      </c>
      <c r="G29" s="84">
        <v>5410</v>
      </c>
      <c r="H29" s="9" t="s">
        <v>565</v>
      </c>
      <c r="I29" s="17" t="s">
        <v>1639</v>
      </c>
      <c r="J29" s="371">
        <v>22.94</v>
      </c>
      <c r="K29" s="77">
        <v>1.54</v>
      </c>
      <c r="L29" s="77">
        <v>8.25</v>
      </c>
      <c r="M29" s="371">
        <v>9.85</v>
      </c>
      <c r="N29" s="365">
        <f t="shared" si="72"/>
        <v>42.580000000000005</v>
      </c>
      <c r="O29" s="343">
        <f t="shared" si="73"/>
        <v>32.79</v>
      </c>
      <c r="P29" s="195">
        <v>0</v>
      </c>
      <c r="Q29" s="326" t="str">
        <f>IFERROR(VLOOKUP($G29,主力整理!$A$2:$G$2301,6,0),"0")</f>
        <v>0</v>
      </c>
      <c r="R29" s="111">
        <v>0</v>
      </c>
      <c r="S29" s="51">
        <v>0</v>
      </c>
      <c r="T29" s="339">
        <f t="shared" si="74"/>
        <v>0</v>
      </c>
      <c r="V29" s="371">
        <v>0.6</v>
      </c>
      <c r="W29" s="35">
        <v>1.69</v>
      </c>
      <c r="X29" s="100">
        <v>2.13</v>
      </c>
      <c r="Y29" s="37" t="str">
        <f>RTD("money.excel",,"5410","Price")</f>
        <v>無資料</v>
      </c>
      <c r="Z29" s="69">
        <v>26.8</v>
      </c>
      <c r="AA29" s="16" t="e">
        <f t="shared" ref="AA29" si="84">Y29-Z29</f>
        <v>#VALUE!</v>
      </c>
      <c r="AB29" s="3" t="e">
        <f t="shared" ref="AB29" si="85">AA29/Z29</f>
        <v>#VALUE!</v>
      </c>
      <c r="AC29" s="107" t="s">
        <v>6517</v>
      </c>
      <c r="AD29" s="17" t="s">
        <v>1639</v>
      </c>
      <c r="AE29" s="89">
        <v>44530</v>
      </c>
      <c r="AG29" s="34">
        <f t="shared" ref="AG29" si="86">AF29-AE29</f>
        <v>-44530</v>
      </c>
      <c r="AH29" s="44" t="s">
        <v>4231</v>
      </c>
      <c r="AI29" s="131"/>
      <c r="AO29" s="131"/>
      <c r="AP29" s="264"/>
    </row>
    <row r="30" spans="1:50">
      <c r="A30" s="135" t="s">
        <v>3240</v>
      </c>
      <c r="B30" s="85">
        <v>-84</v>
      </c>
      <c r="C30" s="85">
        <v>-83</v>
      </c>
      <c r="D30" s="84">
        <v>5</v>
      </c>
      <c r="E30" s="85">
        <v>-79</v>
      </c>
      <c r="F30" s="59">
        <v>16.57</v>
      </c>
      <c r="G30" s="84">
        <v>3373</v>
      </c>
      <c r="H30" s="9" t="s">
        <v>5322</v>
      </c>
      <c r="I30" s="17" t="s">
        <v>911</v>
      </c>
      <c r="J30" s="77">
        <v>24.24</v>
      </c>
      <c r="K30" s="77">
        <v>5.83</v>
      </c>
      <c r="L30" s="77">
        <v>19.260000000000002</v>
      </c>
      <c r="M30" s="371">
        <v>25.74</v>
      </c>
      <c r="N30" s="365">
        <f t="shared" si="72"/>
        <v>75.069999999999993</v>
      </c>
      <c r="O30" s="343">
        <f t="shared" si="73"/>
        <v>49.98</v>
      </c>
      <c r="P30" s="195">
        <v>0</v>
      </c>
      <c r="Q30" s="326" t="str">
        <f>IFERROR(VLOOKUP($G30,主力整理!$A$2:$G$2301,6,0),"0")</f>
        <v>0</v>
      </c>
      <c r="R30" s="111">
        <v>3</v>
      </c>
      <c r="S30" s="51">
        <v>0</v>
      </c>
      <c r="T30" s="339">
        <f t="shared" si="74"/>
        <v>3</v>
      </c>
      <c r="V30" s="371">
        <v>3.87</v>
      </c>
      <c r="W30" s="46">
        <v>10</v>
      </c>
      <c r="X30" s="100">
        <v>4.6500000000000004</v>
      </c>
      <c r="Y30" s="37" t="str">
        <f>RTD("money.excel",,"3373","Price")</f>
        <v>無資料</v>
      </c>
      <c r="Z30" s="69">
        <v>37.950000000000003</v>
      </c>
      <c r="AA30" s="16" t="e">
        <f t="shared" ref="AA30" si="87">Y30-Z30</f>
        <v>#VALUE!</v>
      </c>
      <c r="AB30" s="3" t="e">
        <f t="shared" ref="AB30" si="88">AA30/Z30</f>
        <v>#VALUE!</v>
      </c>
      <c r="AC30" s="107" t="s">
        <v>6499</v>
      </c>
      <c r="AD30" s="17" t="s">
        <v>911</v>
      </c>
      <c r="AE30" s="89">
        <v>44529</v>
      </c>
      <c r="AG30" s="34">
        <f t="shared" ref="AG30" si="89">AF30-AE30</f>
        <v>-44529</v>
      </c>
      <c r="AH30" s="63" t="s">
        <v>4956</v>
      </c>
      <c r="AI30" s="131"/>
      <c r="AO30" s="131"/>
      <c r="AP30" s="264"/>
    </row>
    <row r="31" spans="1:50">
      <c r="A31" s="151"/>
      <c r="B31" s="96"/>
      <c r="C31" s="96"/>
      <c r="D31" s="96"/>
      <c r="E31" s="96"/>
      <c r="F31" s="7"/>
      <c r="G31" s="84"/>
      <c r="H31" s="4"/>
      <c r="I31" s="23"/>
      <c r="J31" s="77"/>
      <c r="K31" s="77"/>
      <c r="N31" s="365"/>
      <c r="P31" s="195"/>
      <c r="Q31" s="326"/>
      <c r="R31" s="111"/>
      <c r="W31" s="69"/>
      <c r="X31" s="100"/>
      <c r="Y31" s="14"/>
      <c r="Z31" s="69"/>
      <c r="AA31" s="16"/>
      <c r="AB31" s="3"/>
      <c r="AC31" s="105"/>
      <c r="AD31" s="23"/>
      <c r="AG31" s="34"/>
      <c r="AH31" s="44"/>
      <c r="AI31" s="284"/>
      <c r="AO31" s="131"/>
      <c r="AP31" s="264"/>
    </row>
    <row r="32" spans="1:50">
      <c r="B32" s="182"/>
      <c r="C32" s="182"/>
      <c r="D32" s="182"/>
      <c r="E32" s="182"/>
      <c r="F32" s="183"/>
      <c r="G32" s="184"/>
      <c r="H32" s="186"/>
      <c r="I32" s="185"/>
      <c r="J32" s="366"/>
      <c r="K32" s="366"/>
      <c r="L32" s="372"/>
      <c r="M32" s="373"/>
      <c r="N32" s="366">
        <v>130</v>
      </c>
      <c r="O32" s="369">
        <v>80</v>
      </c>
      <c r="V32" s="371" t="s">
        <v>6623</v>
      </c>
      <c r="W32" s="183"/>
      <c r="X32" s="4" t="s">
        <v>2189</v>
      </c>
      <c r="Y32" s="4" t="s">
        <v>1820</v>
      </c>
      <c r="Z32" s="11" t="s">
        <v>515</v>
      </c>
      <c r="AA32" s="189"/>
      <c r="AB32" s="190"/>
      <c r="AC32" s="263" t="s">
        <v>5311</v>
      </c>
      <c r="AD32" s="185"/>
      <c r="AF32" s="194"/>
      <c r="AG32" s="192">
        <f t="shared" ref="AG32" si="90">AF32-AE32</f>
        <v>0</v>
      </c>
      <c r="AH32" s="263" t="s">
        <v>6635</v>
      </c>
      <c r="AP32" s="265"/>
      <c r="AQ32" s="287"/>
      <c r="AR32" s="287"/>
      <c r="AS32" s="287"/>
      <c r="AU32" s="287"/>
      <c r="AV32" s="287"/>
      <c r="AW32" s="287"/>
      <c r="AX32" s="287"/>
    </row>
    <row r="33" spans="1:42">
      <c r="A33" s="135" t="s">
        <v>2552</v>
      </c>
      <c r="B33" s="96" t="s">
        <v>2331</v>
      </c>
      <c r="C33" s="96" t="s">
        <v>2332</v>
      </c>
      <c r="D33" s="96" t="s">
        <v>2333</v>
      </c>
      <c r="E33" s="96" t="s">
        <v>2334</v>
      </c>
      <c r="F33" s="9" t="s">
        <v>1709</v>
      </c>
      <c r="G33" s="27" t="s">
        <v>5626</v>
      </c>
      <c r="H33" s="56" t="s">
        <v>578</v>
      </c>
      <c r="I33" s="51" t="s">
        <v>6827</v>
      </c>
      <c r="J33" s="364" t="s">
        <v>2189</v>
      </c>
      <c r="K33" s="364" t="s">
        <v>1820</v>
      </c>
      <c r="L33" s="364" t="s">
        <v>515</v>
      </c>
      <c r="M33" s="364" t="s">
        <v>1699</v>
      </c>
      <c r="N33" s="364" t="s">
        <v>6633</v>
      </c>
      <c r="O33" s="343" t="s">
        <v>6634</v>
      </c>
      <c r="P33" s="83" t="s">
        <v>5279</v>
      </c>
      <c r="Q33" s="326" t="s">
        <v>5514</v>
      </c>
      <c r="R33" s="31" t="s">
        <v>6596</v>
      </c>
      <c r="S33" s="51" t="s">
        <v>6597</v>
      </c>
      <c r="T33" s="338" t="s">
        <v>5627</v>
      </c>
      <c r="U33" s="330" t="s">
        <v>6537</v>
      </c>
      <c r="V33" s="377" t="s">
        <v>6616</v>
      </c>
      <c r="W33" s="11" t="s">
        <v>4585</v>
      </c>
      <c r="X33" s="71" t="s">
        <v>6626</v>
      </c>
      <c r="Y33" s="29" t="s">
        <v>6688</v>
      </c>
      <c r="Z33" s="18" t="s">
        <v>2113</v>
      </c>
      <c r="AA33" s="15" t="s">
        <v>3598</v>
      </c>
      <c r="AB33" s="22" t="s">
        <v>2199</v>
      </c>
      <c r="AC33" s="26" t="s">
        <v>211</v>
      </c>
      <c r="AD33" s="51" t="s">
        <v>6827</v>
      </c>
      <c r="AE33" s="56" t="s">
        <v>5568</v>
      </c>
      <c r="AF33" s="114" t="s">
        <v>5575</v>
      </c>
      <c r="AG33" s="33" t="s">
        <v>1827</v>
      </c>
      <c r="AH33" s="262" t="s">
        <v>6777</v>
      </c>
      <c r="AK33" s="9" t="s">
        <v>6666</v>
      </c>
      <c r="AL33" s="5" t="s">
        <v>6667</v>
      </c>
      <c r="AM33" s="51" t="s">
        <v>5339</v>
      </c>
      <c r="AN33" s="276" t="s">
        <v>6665</v>
      </c>
      <c r="AO33" s="131"/>
      <c r="AP33" s="264"/>
    </row>
    <row r="34" spans="1:42">
      <c r="B34" s="96"/>
      <c r="C34" s="96"/>
      <c r="D34" s="96"/>
      <c r="E34" s="96"/>
      <c r="F34" s="9"/>
      <c r="G34" s="27"/>
      <c r="H34" s="56"/>
      <c r="I34" s="51"/>
      <c r="J34" s="364"/>
      <c r="K34" s="364"/>
      <c r="L34" s="364"/>
      <c r="M34" s="364"/>
      <c r="N34" s="364"/>
      <c r="P34" s="83"/>
      <c r="Q34" s="326"/>
      <c r="T34" s="338"/>
      <c r="U34" s="330"/>
      <c r="V34" s="377"/>
      <c r="W34" s="11"/>
      <c r="X34" s="71"/>
      <c r="Y34" s="29"/>
      <c r="Z34" s="18"/>
      <c r="AA34" s="15"/>
      <c r="AB34" s="22"/>
      <c r="AC34" s="26"/>
      <c r="AD34" s="51"/>
      <c r="AE34" s="56"/>
      <c r="AF34" s="114"/>
      <c r="AG34" s="33"/>
      <c r="AH34" s="262"/>
      <c r="AK34" s="9"/>
      <c r="AL34" s="5"/>
      <c r="AM34" s="51"/>
      <c r="AN34" s="276"/>
      <c r="AO34" s="131"/>
      <c r="AP34" s="264"/>
    </row>
    <row r="35" spans="1:42">
      <c r="A35" s="151" t="s">
        <v>2590</v>
      </c>
      <c r="B35" s="84">
        <v>150</v>
      </c>
      <c r="C35" s="84">
        <v>482</v>
      </c>
      <c r="D35" s="84">
        <v>50</v>
      </c>
      <c r="E35" s="84">
        <v>77</v>
      </c>
      <c r="F35" s="7">
        <v>6.96</v>
      </c>
      <c r="G35" s="84">
        <v>2399</v>
      </c>
      <c r="H35" s="212" t="s">
        <v>561</v>
      </c>
      <c r="I35" s="23" t="s">
        <v>875</v>
      </c>
      <c r="J35" s="371">
        <v>24.11</v>
      </c>
      <c r="K35" s="77">
        <v>10.119999999999999</v>
      </c>
      <c r="L35" s="77">
        <v>30.34</v>
      </c>
      <c r="M35" s="371">
        <v>7.53</v>
      </c>
      <c r="N35" s="365">
        <f>J35+K35+L35+M35</f>
        <v>72.099999999999994</v>
      </c>
      <c r="O35" s="343">
        <f>J35+M35</f>
        <v>31.64</v>
      </c>
      <c r="P35" s="195">
        <v>8</v>
      </c>
      <c r="Q35" s="326">
        <v>52</v>
      </c>
      <c r="R35" s="111">
        <v>40</v>
      </c>
      <c r="S35" s="51">
        <v>44</v>
      </c>
      <c r="T35" s="339">
        <f>SUM(P35:S35)</f>
        <v>144</v>
      </c>
      <c r="U35" s="329" t="s">
        <v>6538</v>
      </c>
      <c r="V35" s="77">
        <v>4.41</v>
      </c>
      <c r="W35" s="35">
        <v>0.4</v>
      </c>
      <c r="X35" s="100">
        <v>1.75</v>
      </c>
      <c r="Y35" s="37">
        <v>25.35</v>
      </c>
      <c r="Z35" s="69">
        <v>26.55</v>
      </c>
      <c r="AA35" s="16">
        <f t="shared" ref="AA35" si="91">Y35-Z35</f>
        <v>-1.1999999999999993</v>
      </c>
      <c r="AB35" s="80">
        <f t="shared" ref="AB35" si="92">AA35/Z35</f>
        <v>-4.5197740112994322E-2</v>
      </c>
      <c r="AC35" s="177" t="s">
        <v>5560</v>
      </c>
      <c r="AD35" s="23" t="s">
        <v>875</v>
      </c>
      <c r="AE35" s="89">
        <v>44553</v>
      </c>
      <c r="AF35" s="88">
        <v>44559</v>
      </c>
      <c r="AG35" s="34">
        <f t="shared" ref="AG35" si="93">AF35-AE35</f>
        <v>6</v>
      </c>
      <c r="AH35" s="44" t="s">
        <v>4264</v>
      </c>
      <c r="AI35" s="131"/>
      <c r="AK35" s="66">
        <f>AM35/(A35*10000)</f>
        <v>0</v>
      </c>
      <c r="AL35" s="174">
        <f>AN35/(A35*10000)</f>
        <v>0</v>
      </c>
      <c r="AM35" s="346">
        <f>RTD("money.excel",,$G35,"PredictVolume")</f>
        <v>0</v>
      </c>
      <c r="AN35" s="272">
        <f>RTD("money.excel",,$G35,"CumulativeVolume")</f>
        <v>0</v>
      </c>
      <c r="AO35" s="284"/>
      <c r="AP35" s="284"/>
    </row>
    <row r="36" spans="1:42">
      <c r="A36" s="151" t="s">
        <v>6771</v>
      </c>
      <c r="B36" s="84">
        <v>122</v>
      </c>
      <c r="C36" s="84">
        <v>81</v>
      </c>
      <c r="D36" s="84">
        <v>53</v>
      </c>
      <c r="E36" s="84">
        <v>124</v>
      </c>
      <c r="F36" s="7">
        <v>2.57</v>
      </c>
      <c r="G36" s="84">
        <v>5386</v>
      </c>
      <c r="H36" s="154" t="s">
        <v>561</v>
      </c>
      <c r="I36" s="17" t="s">
        <v>3544</v>
      </c>
      <c r="J36" s="371">
        <v>27.48</v>
      </c>
      <c r="K36" s="77">
        <v>6.84</v>
      </c>
      <c r="L36" s="77">
        <v>29.93</v>
      </c>
      <c r="M36" s="371">
        <v>31.19</v>
      </c>
      <c r="N36" s="365">
        <f>J36+K36+L36+M36</f>
        <v>95.44</v>
      </c>
      <c r="O36" s="343">
        <f>J36+M36</f>
        <v>58.67</v>
      </c>
      <c r="P36" s="195">
        <v>1</v>
      </c>
      <c r="Q36" s="326">
        <v>9</v>
      </c>
      <c r="R36" s="111">
        <v>24</v>
      </c>
      <c r="S36" s="51">
        <v>26</v>
      </c>
      <c r="T36" s="339">
        <f>SUM(P36:S36)</f>
        <v>60</v>
      </c>
      <c r="U36" s="329" t="s">
        <v>6538</v>
      </c>
      <c r="V36" s="77">
        <v>1.66</v>
      </c>
      <c r="W36" s="35">
        <v>0.8</v>
      </c>
      <c r="X36" s="100">
        <v>2.06</v>
      </c>
      <c r="Y36" s="37">
        <v>51</v>
      </c>
      <c r="Z36" s="69">
        <v>53.6</v>
      </c>
      <c r="AA36" s="16">
        <f>Y36-Z36</f>
        <v>-2.6000000000000014</v>
      </c>
      <c r="AB36" s="80">
        <f>AA36/Z36</f>
        <v>-4.8507462686567186E-2</v>
      </c>
      <c r="AC36" s="177" t="s">
        <v>6805</v>
      </c>
      <c r="AD36" s="17" t="s">
        <v>3544</v>
      </c>
      <c r="AE36" s="89">
        <v>44553</v>
      </c>
      <c r="AF36" s="88">
        <v>44557</v>
      </c>
      <c r="AG36" s="34">
        <f>AF36-AE36</f>
        <v>4</v>
      </c>
      <c r="AH36" s="44" t="s">
        <v>4264</v>
      </c>
      <c r="AI36" s="131"/>
      <c r="AK36" s="66"/>
      <c r="AL36" s="174"/>
      <c r="AM36" s="346"/>
      <c r="AN36" s="272"/>
      <c r="AO36" s="284"/>
      <c r="AP36" s="284"/>
    </row>
    <row r="37" spans="1:42">
      <c r="A37" s="151" t="s">
        <v>6771</v>
      </c>
      <c r="B37" s="84">
        <v>122</v>
      </c>
      <c r="C37" s="84">
        <v>81</v>
      </c>
      <c r="D37" s="84">
        <v>53</v>
      </c>
      <c r="E37" s="84">
        <v>124</v>
      </c>
      <c r="F37" s="7">
        <v>2.57</v>
      </c>
      <c r="G37" s="84">
        <v>5386</v>
      </c>
      <c r="H37" s="154" t="s">
        <v>1815</v>
      </c>
      <c r="I37" s="17" t="s">
        <v>3544</v>
      </c>
      <c r="J37" s="371">
        <v>27.48</v>
      </c>
      <c r="K37" s="77">
        <v>7.13</v>
      </c>
      <c r="L37" s="77">
        <v>21.25</v>
      </c>
      <c r="M37" s="371">
        <v>31.19</v>
      </c>
      <c r="N37" s="365">
        <f>J37+K37+L37+M37</f>
        <v>87.05</v>
      </c>
      <c r="O37" s="343">
        <f>J37+M37</f>
        <v>58.67</v>
      </c>
      <c r="P37" s="195">
        <v>1</v>
      </c>
      <c r="Q37" s="326">
        <v>9</v>
      </c>
      <c r="R37" s="111">
        <v>24</v>
      </c>
      <c r="S37" s="51">
        <v>25</v>
      </c>
      <c r="T37" s="339">
        <f>SUM(P37:S37)</f>
        <v>59</v>
      </c>
      <c r="U37" s="329" t="s">
        <v>6773</v>
      </c>
      <c r="V37" s="371">
        <v>1.41</v>
      </c>
      <c r="W37" s="35">
        <v>0.8</v>
      </c>
      <c r="X37" s="100">
        <v>2.06</v>
      </c>
      <c r="Y37" s="37">
        <v>51</v>
      </c>
      <c r="Z37" s="69">
        <v>58.4</v>
      </c>
      <c r="AA37" s="16">
        <f>Y37-Z37</f>
        <v>-7.3999999999999986</v>
      </c>
      <c r="AB37" s="80">
        <f>AA37/Z37</f>
        <v>-0.12671232876712327</v>
      </c>
      <c r="AC37" s="177" t="s">
        <v>5458</v>
      </c>
      <c r="AD37" s="17" t="s">
        <v>3544</v>
      </c>
      <c r="AE37" s="89">
        <v>44552</v>
      </c>
      <c r="AF37" s="88">
        <v>44557</v>
      </c>
      <c r="AG37" s="34">
        <f>AF37-AE37</f>
        <v>5</v>
      </c>
      <c r="AH37" s="44" t="s">
        <v>4264</v>
      </c>
      <c r="AI37" s="131"/>
      <c r="AK37" s="66"/>
      <c r="AL37" s="174"/>
      <c r="AM37" s="346"/>
      <c r="AN37" s="272"/>
      <c r="AO37" s="131"/>
      <c r="AP37" s="264"/>
    </row>
    <row r="38" spans="1:42">
      <c r="A38" s="135" t="s">
        <v>4670</v>
      </c>
      <c r="B38" s="84">
        <v>127</v>
      </c>
      <c r="C38" s="84">
        <v>132</v>
      </c>
      <c r="D38" s="84">
        <v>11</v>
      </c>
      <c r="E38" s="84">
        <v>4</v>
      </c>
      <c r="F38" s="59">
        <v>20.47</v>
      </c>
      <c r="G38" s="84">
        <v>8431</v>
      </c>
      <c r="H38" s="9" t="s">
        <v>5322</v>
      </c>
      <c r="I38" s="17" t="s">
        <v>416</v>
      </c>
      <c r="J38" s="77">
        <v>22.49</v>
      </c>
      <c r="K38" s="371">
        <v>0.75</v>
      </c>
      <c r="L38" s="77">
        <v>45.58</v>
      </c>
      <c r="M38" s="77">
        <v>15.96</v>
      </c>
      <c r="N38" s="365">
        <f>J38+K38+L38+M38</f>
        <v>84.78</v>
      </c>
      <c r="O38" s="343">
        <f>J38+M38</f>
        <v>38.450000000000003</v>
      </c>
      <c r="P38" s="195">
        <v>1</v>
      </c>
      <c r="Q38" s="326" t="str">
        <f>IFERROR(VLOOKUP($G38,主力整理!$A$2:$G$2301,6,0),"0")</f>
        <v>0</v>
      </c>
      <c r="R38" s="111">
        <v>2</v>
      </c>
      <c r="S38" s="51">
        <v>0</v>
      </c>
      <c r="T38" s="339">
        <f t="shared" ref="T38" si="94">SUM(P38:S38)</f>
        <v>3</v>
      </c>
      <c r="U38" s="329" t="s">
        <v>6538</v>
      </c>
      <c r="V38" s="371">
        <v>2.0499999999999998</v>
      </c>
      <c r="W38" s="35">
        <v>0.8</v>
      </c>
      <c r="X38" s="100">
        <v>3.93</v>
      </c>
      <c r="Y38" s="37">
        <v>68.7</v>
      </c>
      <c r="Z38" s="69">
        <v>68</v>
      </c>
      <c r="AA38" s="16">
        <f t="shared" ref="AA38" si="95">Y38-Z38</f>
        <v>0.70000000000000284</v>
      </c>
      <c r="AB38" s="66">
        <f t="shared" ref="AB38" si="96">AA38/Z38</f>
        <v>1.0294117647058865E-2</v>
      </c>
      <c r="AC38" s="107" t="s">
        <v>6654</v>
      </c>
      <c r="AD38" s="17" t="s">
        <v>416</v>
      </c>
      <c r="AE38" s="89">
        <v>44545</v>
      </c>
      <c r="AF38" s="88">
        <v>44554</v>
      </c>
      <c r="AG38" s="34">
        <f t="shared" ref="AG38" si="97">AF38-AE38</f>
        <v>9</v>
      </c>
      <c r="AH38" s="63" t="s">
        <v>3989</v>
      </c>
      <c r="AI38" s="128"/>
      <c r="AO38" s="131"/>
      <c r="AP38" s="264"/>
    </row>
    <row r="39" spans="1:42">
      <c r="A39" s="135" t="s">
        <v>4670</v>
      </c>
      <c r="B39" s="84">
        <v>127</v>
      </c>
      <c r="C39" s="84">
        <v>132</v>
      </c>
      <c r="D39" s="84">
        <v>11</v>
      </c>
      <c r="E39" s="84">
        <v>4</v>
      </c>
      <c r="F39" s="59">
        <v>20.47</v>
      </c>
      <c r="G39" s="84">
        <v>8431</v>
      </c>
      <c r="H39" s="9" t="s">
        <v>5322</v>
      </c>
      <c r="I39" s="17" t="s">
        <v>416</v>
      </c>
      <c r="J39" s="77">
        <v>22.49</v>
      </c>
      <c r="K39" s="371">
        <v>0.83</v>
      </c>
      <c r="L39" s="77">
        <v>45.52</v>
      </c>
      <c r="M39" s="77">
        <v>15.96</v>
      </c>
      <c r="N39" s="365">
        <f t="shared" ref="N39" si="98">J39+K39+L39+M39</f>
        <v>84.800000000000011</v>
      </c>
      <c r="O39" s="343">
        <f t="shared" ref="O39" si="99">J39+M39</f>
        <v>38.450000000000003</v>
      </c>
      <c r="P39" s="195">
        <v>1</v>
      </c>
      <c r="Q39" s="326" t="str">
        <f>IFERROR(VLOOKUP($G39,主力整理!$A$2:$G$2301,6,0),"0")</f>
        <v>0</v>
      </c>
      <c r="R39" s="111">
        <v>0</v>
      </c>
      <c r="S39" s="51">
        <v>0</v>
      </c>
      <c r="T39" s="339">
        <f t="shared" ref="T39" si="100">SUM(P39:S39)</f>
        <v>1</v>
      </c>
      <c r="U39" s="329" t="s">
        <v>6653</v>
      </c>
      <c r="V39" s="371">
        <v>2.04</v>
      </c>
      <c r="W39" s="35">
        <v>0.8</v>
      </c>
      <c r="X39" s="100">
        <v>3.93</v>
      </c>
      <c r="Y39" s="37">
        <v>68.7</v>
      </c>
      <c r="Z39" s="69">
        <v>64</v>
      </c>
      <c r="AA39" s="16">
        <f t="shared" ref="AA39" si="101">Y39-Z39</f>
        <v>4.7000000000000028</v>
      </c>
      <c r="AB39" s="66">
        <f t="shared" ref="AB39" si="102">AA39/Z39</f>
        <v>7.3437500000000044E-2</v>
      </c>
      <c r="AC39" s="107" t="s">
        <v>6654</v>
      </c>
      <c r="AD39" s="17" t="s">
        <v>416</v>
      </c>
      <c r="AE39" s="89">
        <v>44544</v>
      </c>
      <c r="AF39" s="88">
        <v>44554</v>
      </c>
      <c r="AG39" s="34">
        <f t="shared" ref="AG39" si="103">AF39-AE39</f>
        <v>10</v>
      </c>
      <c r="AH39" s="63" t="s">
        <v>3989</v>
      </c>
      <c r="AI39" s="284"/>
      <c r="AO39" s="131"/>
      <c r="AP39" s="264"/>
    </row>
    <row r="40" spans="1:42">
      <c r="A40" s="151" t="s">
        <v>2496</v>
      </c>
      <c r="B40" s="85">
        <v>-35</v>
      </c>
      <c r="C40" s="85">
        <v>-58</v>
      </c>
      <c r="D40" s="85">
        <v>-4</v>
      </c>
      <c r="E40" s="84">
        <v>10</v>
      </c>
      <c r="F40" s="7">
        <v>3.26</v>
      </c>
      <c r="G40" s="84">
        <v>1732</v>
      </c>
      <c r="H40" s="9" t="s">
        <v>1308</v>
      </c>
      <c r="I40" s="23" t="s">
        <v>1333</v>
      </c>
      <c r="J40" s="371">
        <v>44.33</v>
      </c>
      <c r="K40" s="371">
        <v>3.65</v>
      </c>
      <c r="L40" s="77">
        <v>28.28</v>
      </c>
      <c r="M40" s="371">
        <v>28.64</v>
      </c>
      <c r="N40" s="365">
        <f>J40+K40+L40+M40</f>
        <v>104.89999999999999</v>
      </c>
      <c r="O40" s="343">
        <f>J40+M40</f>
        <v>72.97</v>
      </c>
      <c r="P40" s="195">
        <v>2</v>
      </c>
      <c r="Q40" s="326">
        <v>25</v>
      </c>
      <c r="R40" s="111">
        <v>30</v>
      </c>
      <c r="S40" s="51">
        <v>33</v>
      </c>
      <c r="T40" s="339">
        <f>SUM(P40:S40)</f>
        <v>90</v>
      </c>
      <c r="U40" s="329" t="s">
        <v>6538</v>
      </c>
      <c r="V40" s="77">
        <v>3.02</v>
      </c>
      <c r="W40" s="35">
        <v>0.5</v>
      </c>
      <c r="X40" s="100">
        <v>0.7</v>
      </c>
      <c r="Y40" s="37">
        <v>32.1</v>
      </c>
      <c r="Z40" s="69">
        <v>32.5</v>
      </c>
      <c r="AA40" s="16">
        <f>Y40-Z40</f>
        <v>-0.39999999999999858</v>
      </c>
      <c r="AB40" s="80">
        <f>AA40/Z40</f>
        <v>-1.2307692307692264E-2</v>
      </c>
      <c r="AC40" s="177" t="s">
        <v>6699</v>
      </c>
      <c r="AD40" s="23" t="s">
        <v>1333</v>
      </c>
      <c r="AE40" s="89">
        <v>44547</v>
      </c>
      <c r="AF40" s="88">
        <v>44552</v>
      </c>
      <c r="AG40" s="34">
        <f>AF40-AE40</f>
        <v>5</v>
      </c>
      <c r="AH40" s="44" t="s">
        <v>2277</v>
      </c>
      <c r="AI40" s="131"/>
      <c r="AO40" s="131"/>
      <c r="AP40" s="264"/>
    </row>
    <row r="41" spans="1:42">
      <c r="A41" s="151" t="s">
        <v>2496</v>
      </c>
      <c r="B41" s="85">
        <v>-35</v>
      </c>
      <c r="C41" s="85">
        <v>-58</v>
      </c>
      <c r="D41" s="85">
        <v>-4</v>
      </c>
      <c r="E41" s="84">
        <v>10</v>
      </c>
      <c r="F41" s="7">
        <v>3.26</v>
      </c>
      <c r="G41" s="84">
        <v>1732</v>
      </c>
      <c r="H41" s="9" t="s">
        <v>1308</v>
      </c>
      <c r="I41" s="23" t="s">
        <v>1333</v>
      </c>
      <c r="J41" s="371">
        <v>44.33</v>
      </c>
      <c r="K41" s="371">
        <v>3.76</v>
      </c>
      <c r="L41" s="77">
        <v>21.42</v>
      </c>
      <c r="M41" s="371">
        <v>28.64</v>
      </c>
      <c r="N41" s="365">
        <f>J41+K41+L41+M41</f>
        <v>98.149999999999991</v>
      </c>
      <c r="O41" s="343">
        <f>J41+M41</f>
        <v>72.97</v>
      </c>
      <c r="P41" s="195">
        <v>2</v>
      </c>
      <c r="Q41" s="326">
        <v>6</v>
      </c>
      <c r="R41" s="111">
        <v>6</v>
      </c>
      <c r="S41" s="51">
        <v>4</v>
      </c>
      <c r="T41" s="339">
        <f>SUM(P41:S41)</f>
        <v>18</v>
      </c>
      <c r="U41" s="329" t="s">
        <v>6538</v>
      </c>
      <c r="V41" s="77">
        <v>2.4700000000000002</v>
      </c>
      <c r="W41" s="35">
        <v>0.5</v>
      </c>
      <c r="X41" s="100">
        <v>0.7</v>
      </c>
      <c r="Y41" s="37">
        <v>32.1</v>
      </c>
      <c r="Z41" s="69">
        <v>35.200000000000003</v>
      </c>
      <c r="AA41" s="16">
        <f>Y41-Z41</f>
        <v>-3.1000000000000014</v>
      </c>
      <c r="AB41" s="80">
        <f>AA41/Z41</f>
        <v>-8.8068181818181851E-2</v>
      </c>
      <c r="AC41" s="177" t="s">
        <v>6696</v>
      </c>
      <c r="AD41" s="23" t="s">
        <v>1333</v>
      </c>
      <c r="AE41" s="89">
        <v>44546</v>
      </c>
      <c r="AF41" s="88">
        <v>44552</v>
      </c>
      <c r="AG41" s="34">
        <f>AF41-AE41</f>
        <v>6</v>
      </c>
      <c r="AH41" s="44" t="s">
        <v>2277</v>
      </c>
      <c r="AI41" s="131"/>
      <c r="AO41" s="131"/>
      <c r="AP41" s="264"/>
    </row>
    <row r="42" spans="1:42">
      <c r="A42" s="151" t="s">
        <v>2496</v>
      </c>
      <c r="B42" s="85">
        <v>-35</v>
      </c>
      <c r="C42" s="85">
        <v>-58</v>
      </c>
      <c r="D42" s="85">
        <v>-4</v>
      </c>
      <c r="E42" s="84">
        <v>10</v>
      </c>
      <c r="F42" s="7">
        <v>3.26</v>
      </c>
      <c r="G42" s="84">
        <v>1732</v>
      </c>
      <c r="H42" s="9" t="s">
        <v>1308</v>
      </c>
      <c r="I42" s="23" t="s">
        <v>1333</v>
      </c>
      <c r="J42" s="371">
        <v>44.33</v>
      </c>
      <c r="K42" s="371">
        <v>2.8</v>
      </c>
      <c r="L42" s="77">
        <v>20.18</v>
      </c>
      <c r="M42" s="371">
        <v>28.64</v>
      </c>
      <c r="N42" s="365">
        <f>J42+K42+L42+M42</f>
        <v>95.95</v>
      </c>
      <c r="O42" s="343">
        <f>J42+M42</f>
        <v>72.97</v>
      </c>
      <c r="P42" s="195">
        <v>2</v>
      </c>
      <c r="Q42" s="326">
        <v>5</v>
      </c>
      <c r="R42" s="111">
        <v>6</v>
      </c>
      <c r="S42" s="51">
        <v>4</v>
      </c>
      <c r="T42" s="339">
        <f>SUM(P42:S42)</f>
        <v>17</v>
      </c>
      <c r="U42" s="329" t="s">
        <v>6538</v>
      </c>
      <c r="V42" s="77">
        <v>2.09</v>
      </c>
      <c r="W42" s="35">
        <v>0.5</v>
      </c>
      <c r="X42" s="100">
        <v>0.7</v>
      </c>
      <c r="Y42" s="37">
        <v>32.1</v>
      </c>
      <c r="Z42" s="69">
        <v>32</v>
      </c>
      <c r="AA42" s="16">
        <f>Y42-Z42</f>
        <v>0.10000000000000142</v>
      </c>
      <c r="AB42" s="66">
        <f>AA42/Z42</f>
        <v>3.1250000000000444E-3</v>
      </c>
      <c r="AC42" s="107" t="s">
        <v>6672</v>
      </c>
      <c r="AD42" s="23" t="s">
        <v>1333</v>
      </c>
      <c r="AE42" s="89">
        <v>44545</v>
      </c>
      <c r="AF42" s="88">
        <v>44552</v>
      </c>
      <c r="AG42" s="34">
        <f>AF42-AE42</f>
        <v>7</v>
      </c>
      <c r="AH42" s="44" t="s">
        <v>2277</v>
      </c>
      <c r="AI42" s="131"/>
      <c r="AO42" s="131"/>
      <c r="AP42" s="264"/>
    </row>
    <row r="43" spans="1:42">
      <c r="A43" s="151" t="s">
        <v>2496</v>
      </c>
      <c r="B43" s="85">
        <v>-35</v>
      </c>
      <c r="C43" s="85">
        <v>-58</v>
      </c>
      <c r="D43" s="85">
        <v>-4</v>
      </c>
      <c r="E43" s="84">
        <v>10</v>
      </c>
      <c r="F43" s="7">
        <v>3.26</v>
      </c>
      <c r="G43" s="84">
        <v>1732</v>
      </c>
      <c r="H43" s="9" t="s">
        <v>1308</v>
      </c>
      <c r="I43" s="23" t="s">
        <v>1333</v>
      </c>
      <c r="J43" s="371">
        <v>44.33</v>
      </c>
      <c r="K43" s="371">
        <v>3.03</v>
      </c>
      <c r="L43" s="77">
        <v>20.399999999999999</v>
      </c>
      <c r="M43" s="371">
        <v>28.64</v>
      </c>
      <c r="N43" s="365">
        <f t="shared" ref="N43" si="104">J43+K43+L43+M43</f>
        <v>96.399999999999991</v>
      </c>
      <c r="O43" s="343">
        <f t="shared" ref="O43" si="105">J43+M43</f>
        <v>72.97</v>
      </c>
      <c r="P43" s="195">
        <v>2</v>
      </c>
      <c r="Q43" s="326">
        <v>5</v>
      </c>
      <c r="R43" s="111">
        <v>0</v>
      </c>
      <c r="S43" s="51">
        <v>4</v>
      </c>
      <c r="T43" s="339">
        <f>SUM(P43:S43)</f>
        <v>11</v>
      </c>
      <c r="U43" s="329" t="s">
        <v>6538</v>
      </c>
      <c r="V43" s="77">
        <v>1.98</v>
      </c>
      <c r="W43" s="35">
        <v>0.5</v>
      </c>
      <c r="X43" s="100">
        <v>0.7</v>
      </c>
      <c r="Y43" s="37">
        <v>32.1</v>
      </c>
      <c r="Z43" s="69">
        <v>31.25</v>
      </c>
      <c r="AA43" s="16">
        <f t="shared" ref="AA43" si="106">Y43-Z43</f>
        <v>0.85000000000000142</v>
      </c>
      <c r="AB43" s="66">
        <f t="shared" ref="AB43" si="107">AA43/Z43</f>
        <v>2.7200000000000047E-2</v>
      </c>
      <c r="AC43" s="107" t="s">
        <v>6656</v>
      </c>
      <c r="AD43" s="23" t="s">
        <v>1333</v>
      </c>
      <c r="AE43" s="89">
        <v>44544</v>
      </c>
      <c r="AF43" s="88">
        <v>44552</v>
      </c>
      <c r="AG43" s="34">
        <f t="shared" ref="AG43" si="108">AF43-AE43</f>
        <v>8</v>
      </c>
      <c r="AH43" s="44" t="s">
        <v>2277</v>
      </c>
      <c r="AI43" s="131"/>
      <c r="AO43" s="131"/>
      <c r="AP43" s="264"/>
    </row>
    <row r="44" spans="1:42">
      <c r="A44" s="151" t="s">
        <v>2383</v>
      </c>
      <c r="B44" s="85">
        <v>-103</v>
      </c>
      <c r="C44" s="85">
        <v>-101</v>
      </c>
      <c r="D44" s="84">
        <v>56</v>
      </c>
      <c r="E44" s="84">
        <v>37</v>
      </c>
      <c r="F44" s="7">
        <v>-0.3</v>
      </c>
      <c r="G44" s="84">
        <v>8089</v>
      </c>
      <c r="H44" s="9" t="s">
        <v>563</v>
      </c>
      <c r="I44" s="17" t="s">
        <v>3167</v>
      </c>
      <c r="J44" s="371">
        <v>45.47</v>
      </c>
      <c r="K44" s="371">
        <v>5.03</v>
      </c>
      <c r="L44" s="77">
        <v>8.0399999999999991</v>
      </c>
      <c r="M44" s="77">
        <v>40.840000000000003</v>
      </c>
      <c r="N44" s="365">
        <f>J44+K44+L44+M44</f>
        <v>99.38</v>
      </c>
      <c r="O44" s="369">
        <f t="shared" ref="O44:O50" si="109">J44+M44</f>
        <v>86.31</v>
      </c>
      <c r="P44" s="195">
        <v>2</v>
      </c>
      <c r="Q44" s="326">
        <v>1</v>
      </c>
      <c r="R44" s="111">
        <v>4</v>
      </c>
      <c r="S44" s="51">
        <v>10</v>
      </c>
      <c r="T44" s="339">
        <f>SUM(P44:S44)</f>
        <v>17</v>
      </c>
      <c r="U44" s="329" t="s">
        <v>6538</v>
      </c>
      <c r="V44" s="77">
        <v>0.16</v>
      </c>
      <c r="W44" s="35">
        <v>1.99</v>
      </c>
      <c r="X44" s="100">
        <v>0.32</v>
      </c>
      <c r="Y44" s="37">
        <v>33.4</v>
      </c>
      <c r="Z44" s="69">
        <v>35.299999999999997</v>
      </c>
      <c r="AA44" s="16">
        <f>Y44-Z44</f>
        <v>-1.8999999999999986</v>
      </c>
      <c r="AB44" s="361">
        <f>AA44/Z44</f>
        <v>-5.3824362606232259E-2</v>
      </c>
      <c r="AC44" s="177" t="s">
        <v>6704</v>
      </c>
      <c r="AD44" s="17" t="s">
        <v>3167</v>
      </c>
      <c r="AE44" s="89">
        <v>44547</v>
      </c>
      <c r="AF44" s="88">
        <v>44551</v>
      </c>
      <c r="AG44" s="34">
        <f>AF44-AE44</f>
        <v>4</v>
      </c>
      <c r="AH44" s="44" t="s">
        <v>3168</v>
      </c>
      <c r="AI44" s="131"/>
      <c r="AO44" s="131"/>
      <c r="AP44" s="264"/>
    </row>
    <row r="45" spans="1:42">
      <c r="A45" s="151" t="s">
        <v>2383</v>
      </c>
      <c r="B45" s="85">
        <v>-103</v>
      </c>
      <c r="C45" s="85">
        <v>-101</v>
      </c>
      <c r="D45" s="84">
        <v>56</v>
      </c>
      <c r="E45" s="84">
        <v>37</v>
      </c>
      <c r="F45" s="7">
        <v>-0.3</v>
      </c>
      <c r="G45" s="84">
        <v>8089</v>
      </c>
      <c r="H45" s="9" t="s">
        <v>563</v>
      </c>
      <c r="I45" s="17" t="s">
        <v>3167</v>
      </c>
      <c r="J45" s="371">
        <v>45.48</v>
      </c>
      <c r="K45" s="371">
        <v>5.03</v>
      </c>
      <c r="L45" s="77">
        <v>6.62</v>
      </c>
      <c r="M45" s="77">
        <v>40.840000000000003</v>
      </c>
      <c r="N45" s="365">
        <f t="shared" ref="N45" si="110">J45+K45+L45+M45</f>
        <v>97.97</v>
      </c>
      <c r="O45" s="369">
        <f t="shared" ref="O45" si="111">J45+M45</f>
        <v>86.32</v>
      </c>
      <c r="P45" s="195">
        <v>0</v>
      </c>
      <c r="Q45" s="326" t="str">
        <f>IFERROR(VLOOKUP($G45,主力整理!$A$2:$G$2301,6,0),"0")</f>
        <v>0</v>
      </c>
      <c r="R45" s="111">
        <v>3</v>
      </c>
      <c r="S45" s="51">
        <v>3</v>
      </c>
      <c r="T45" s="339">
        <f t="shared" ref="T45" si="112">SUM(P45:S45)</f>
        <v>6</v>
      </c>
      <c r="U45" s="329" t="s">
        <v>6538</v>
      </c>
      <c r="V45" s="77">
        <v>0.16</v>
      </c>
      <c r="W45" s="35">
        <v>1.99</v>
      </c>
      <c r="X45" s="100">
        <v>0.32</v>
      </c>
      <c r="Y45" s="37">
        <v>33.4</v>
      </c>
      <c r="Z45" s="69">
        <v>34.25</v>
      </c>
      <c r="AA45" s="16">
        <f t="shared" ref="AA45" si="113">Y45-Z45</f>
        <v>-0.85000000000000142</v>
      </c>
      <c r="AB45" s="169">
        <f t="shared" ref="AB45" si="114">AA45/Z45</f>
        <v>-2.4817518248175224E-2</v>
      </c>
      <c r="AC45" s="107" t="s">
        <v>6670</v>
      </c>
      <c r="AD45" s="17" t="s">
        <v>3167</v>
      </c>
      <c r="AE45" s="89">
        <v>44545</v>
      </c>
      <c r="AF45" s="88">
        <v>44551</v>
      </c>
      <c r="AG45" s="34">
        <f t="shared" ref="AG45" si="115">AF45-AE45</f>
        <v>6</v>
      </c>
      <c r="AH45" s="44" t="s">
        <v>3168</v>
      </c>
      <c r="AI45" s="284"/>
      <c r="AO45" s="131"/>
      <c r="AP45" s="264"/>
    </row>
    <row r="46" spans="1:42">
      <c r="A46" s="135" t="s">
        <v>3026</v>
      </c>
      <c r="B46" s="85">
        <v>-56</v>
      </c>
      <c r="C46" s="85">
        <v>-46</v>
      </c>
      <c r="D46" s="84">
        <v>23</v>
      </c>
      <c r="E46" s="84">
        <v>124</v>
      </c>
      <c r="F46" s="59">
        <v>17.64</v>
      </c>
      <c r="G46" s="84">
        <v>6477</v>
      </c>
      <c r="H46" s="9" t="s">
        <v>2910</v>
      </c>
      <c r="I46" s="23" t="s">
        <v>833</v>
      </c>
      <c r="J46" s="77">
        <v>40.76</v>
      </c>
      <c r="K46" s="371">
        <v>2.5299999999999998</v>
      </c>
      <c r="L46" s="77">
        <v>35.68</v>
      </c>
      <c r="M46" s="77">
        <v>19.07</v>
      </c>
      <c r="N46" s="365">
        <f>J46+K46+L46+M46</f>
        <v>98.039999999999992</v>
      </c>
      <c r="O46" s="343">
        <f t="shared" si="109"/>
        <v>59.83</v>
      </c>
      <c r="P46" s="195">
        <v>9</v>
      </c>
      <c r="Q46" s="326">
        <v>10</v>
      </c>
      <c r="R46" s="111">
        <v>7</v>
      </c>
      <c r="S46" s="51">
        <v>8</v>
      </c>
      <c r="T46" s="339">
        <f>SUM(P46:S46)</f>
        <v>34</v>
      </c>
      <c r="U46" s="329" t="s">
        <v>6653</v>
      </c>
      <c r="V46" s="156">
        <v>4.67</v>
      </c>
      <c r="W46" s="35">
        <v>1.1399999999999999</v>
      </c>
      <c r="X46" s="100">
        <v>1.23</v>
      </c>
      <c r="Y46" s="37">
        <v>48</v>
      </c>
      <c r="Z46" s="69">
        <v>47.5</v>
      </c>
      <c r="AA46" s="16">
        <f>Y46-Z46</f>
        <v>0.5</v>
      </c>
      <c r="AB46" s="66">
        <f>AA46/Z46</f>
        <v>1.0526315789473684E-2</v>
      </c>
      <c r="AC46" s="107" t="s">
        <v>6655</v>
      </c>
      <c r="AD46" s="23" t="s">
        <v>833</v>
      </c>
      <c r="AE46" s="89">
        <v>44544</v>
      </c>
      <c r="AF46" s="88">
        <v>44547</v>
      </c>
      <c r="AG46" s="34">
        <f>AF46-AE46</f>
        <v>3</v>
      </c>
      <c r="AH46" s="44" t="s">
        <v>6417</v>
      </c>
      <c r="AI46" s="131"/>
      <c r="AO46" s="131"/>
      <c r="AP46" s="264"/>
    </row>
    <row r="47" spans="1:42">
      <c r="A47" s="151" t="s">
        <v>3233</v>
      </c>
      <c r="B47" s="85">
        <v>-68</v>
      </c>
      <c r="C47" s="85">
        <v>-4</v>
      </c>
      <c r="D47" s="84">
        <v>5</v>
      </c>
      <c r="E47" s="84">
        <v>12</v>
      </c>
      <c r="F47" s="7">
        <v>2.09</v>
      </c>
      <c r="G47" s="84">
        <v>4906</v>
      </c>
      <c r="H47" s="9" t="s">
        <v>563</v>
      </c>
      <c r="I47" s="23" t="s">
        <v>351</v>
      </c>
      <c r="J47" s="371">
        <v>15.62</v>
      </c>
      <c r="K47" s="77">
        <v>6.13</v>
      </c>
      <c r="L47" s="77">
        <v>17.45</v>
      </c>
      <c r="M47" s="371">
        <v>4.4800000000000004</v>
      </c>
      <c r="N47" s="365">
        <f>K47+J47+L47+M47</f>
        <v>43.680000000000007</v>
      </c>
      <c r="O47" s="343">
        <f t="shared" si="109"/>
        <v>20.100000000000001</v>
      </c>
      <c r="P47" s="195">
        <v>9</v>
      </c>
      <c r="Q47" s="326">
        <v>10</v>
      </c>
      <c r="R47" s="111">
        <v>1</v>
      </c>
      <c r="S47" s="51">
        <v>0</v>
      </c>
      <c r="T47" s="339">
        <f>SUM(P47:S47)</f>
        <v>20</v>
      </c>
      <c r="U47" s="329" t="s">
        <v>6540</v>
      </c>
      <c r="V47" s="156">
        <v>7.18</v>
      </c>
      <c r="W47" s="35">
        <v>1.96</v>
      </c>
      <c r="X47" s="100">
        <v>1.45</v>
      </c>
      <c r="Y47" s="37">
        <v>29.95</v>
      </c>
      <c r="Z47" s="69">
        <v>29.2</v>
      </c>
      <c r="AA47" s="16">
        <f>Y47-Z47</f>
        <v>0.75</v>
      </c>
      <c r="AB47" s="66">
        <f>AA47/Z47</f>
        <v>2.5684931506849317E-2</v>
      </c>
      <c r="AC47" s="107" t="s">
        <v>6589</v>
      </c>
      <c r="AD47" s="23" t="s">
        <v>351</v>
      </c>
      <c r="AE47" s="89">
        <v>44539</v>
      </c>
      <c r="AF47" s="88">
        <v>44547</v>
      </c>
      <c r="AG47" s="34">
        <f>AF47-AE47</f>
        <v>8</v>
      </c>
      <c r="AH47" s="127" t="s">
        <v>3299</v>
      </c>
      <c r="AI47" s="131"/>
      <c r="AO47" s="131"/>
      <c r="AP47" s="264"/>
    </row>
    <row r="48" spans="1:42">
      <c r="A48" s="151" t="s">
        <v>2533</v>
      </c>
      <c r="B48" s="85">
        <v>-27</v>
      </c>
      <c r="C48" s="85">
        <v>-23</v>
      </c>
      <c r="D48" s="84">
        <v>12</v>
      </c>
      <c r="E48" s="85">
        <v>-46</v>
      </c>
      <c r="F48" s="7">
        <v>2.65</v>
      </c>
      <c r="G48" s="85">
        <v>8066</v>
      </c>
      <c r="H48" s="5" t="s">
        <v>562</v>
      </c>
      <c r="I48" s="17" t="s">
        <v>1374</v>
      </c>
      <c r="J48" s="371">
        <v>0</v>
      </c>
      <c r="K48" s="371">
        <v>9.35</v>
      </c>
      <c r="L48" s="77">
        <v>6.96</v>
      </c>
      <c r="M48" s="77">
        <v>10.42</v>
      </c>
      <c r="N48" s="365">
        <f>K48+J48+L48+M48</f>
        <v>26.729999999999997</v>
      </c>
      <c r="O48" s="343">
        <f t="shared" si="109"/>
        <v>10.42</v>
      </c>
      <c r="P48" s="195">
        <v>0</v>
      </c>
      <c r="Q48" s="326" t="str">
        <f>IFERROR(VLOOKUP($G48,主力整理!$A$2:$G$2301,6,0),"0")</f>
        <v>0</v>
      </c>
      <c r="R48" s="111">
        <v>0</v>
      </c>
      <c r="S48" s="51">
        <v>0</v>
      </c>
      <c r="T48" s="339">
        <f>SUM(P48:S48)</f>
        <v>0</v>
      </c>
      <c r="V48" s="371">
        <v>0.52</v>
      </c>
      <c r="W48" s="69">
        <v>3</v>
      </c>
      <c r="X48" s="100">
        <v>1.4</v>
      </c>
      <c r="Y48" s="37">
        <v>33.799999999999997</v>
      </c>
      <c r="Z48" s="69">
        <v>33.65</v>
      </c>
      <c r="AA48" s="16">
        <f t="shared" ref="AA48" si="116">Y48-Z48</f>
        <v>0.14999999999999858</v>
      </c>
      <c r="AB48" s="66">
        <f t="shared" ref="AB48" si="117">AA48/Z48</f>
        <v>4.4576523031203148E-3</v>
      </c>
      <c r="AC48" s="107" t="s">
        <v>6460</v>
      </c>
      <c r="AD48" s="17" t="s">
        <v>1374</v>
      </c>
      <c r="AE48" s="89">
        <v>44519</v>
      </c>
      <c r="AF48" s="88">
        <v>44546</v>
      </c>
      <c r="AG48" s="34">
        <f t="shared" ref="AG48" si="118">AF48-AE48</f>
        <v>27</v>
      </c>
      <c r="AH48" s="44" t="s">
        <v>4176</v>
      </c>
      <c r="AI48" s="131"/>
      <c r="AO48" s="131"/>
      <c r="AP48" s="264"/>
    </row>
    <row r="49" spans="1:46">
      <c r="A49" s="135" t="s">
        <v>2560</v>
      </c>
      <c r="B49" s="84">
        <v>53</v>
      </c>
      <c r="C49" s="84">
        <v>69</v>
      </c>
      <c r="D49" s="85">
        <v>-17</v>
      </c>
      <c r="E49" s="85">
        <v>-11</v>
      </c>
      <c r="F49" s="59">
        <v>32.22</v>
      </c>
      <c r="G49" s="84">
        <v>5471</v>
      </c>
      <c r="H49" s="5" t="s">
        <v>558</v>
      </c>
      <c r="I49" s="23" t="s">
        <v>637</v>
      </c>
      <c r="J49" s="371">
        <v>25.94</v>
      </c>
      <c r="K49" s="77">
        <v>16.329999999999998</v>
      </c>
      <c r="L49" s="77">
        <v>21.84</v>
      </c>
      <c r="M49" s="371">
        <v>11.2</v>
      </c>
      <c r="N49" s="365">
        <f>K49+J49+L49+M49</f>
        <v>75.31</v>
      </c>
      <c r="O49" s="343">
        <f t="shared" si="109"/>
        <v>37.14</v>
      </c>
      <c r="P49" s="232">
        <v>26</v>
      </c>
      <c r="Q49" s="326">
        <v>13</v>
      </c>
      <c r="R49" s="111">
        <v>4</v>
      </c>
      <c r="S49" s="51">
        <v>5</v>
      </c>
      <c r="T49" s="339">
        <f t="shared" ref="T49:T54" si="119">SUM(P49:S49)</f>
        <v>48</v>
      </c>
      <c r="V49" s="156">
        <v>3.99</v>
      </c>
      <c r="W49" s="69">
        <v>5.7</v>
      </c>
      <c r="X49" s="100">
        <v>8.57</v>
      </c>
      <c r="Y49" s="37">
        <v>93.6</v>
      </c>
      <c r="Z49" s="46">
        <v>94.6</v>
      </c>
      <c r="AA49" s="16">
        <f t="shared" ref="AA49" si="120">Y49-Z49</f>
        <v>-1</v>
      </c>
      <c r="AB49" s="80">
        <f t="shared" ref="AB49" si="121">AA49/Z49</f>
        <v>-1.0570824524312896E-2</v>
      </c>
      <c r="AC49" s="105" t="s">
        <v>6529</v>
      </c>
      <c r="AD49" s="23" t="s">
        <v>637</v>
      </c>
      <c r="AE49" s="89">
        <v>44531</v>
      </c>
      <c r="AF49" s="88">
        <v>44537</v>
      </c>
      <c r="AG49" s="34">
        <f t="shared" ref="AG49" si="122">AF49-AE49</f>
        <v>6</v>
      </c>
      <c r="AH49" s="63" t="s">
        <v>6530</v>
      </c>
      <c r="AI49" s="131"/>
      <c r="AO49" s="131"/>
      <c r="AP49" s="264"/>
    </row>
    <row r="50" spans="1:46">
      <c r="A50" s="135" t="s">
        <v>2930</v>
      </c>
      <c r="B50" s="85">
        <v>-81</v>
      </c>
      <c r="C50" s="85">
        <v>-79</v>
      </c>
      <c r="D50" s="85">
        <v>-4</v>
      </c>
      <c r="E50" s="85">
        <v>-89</v>
      </c>
      <c r="F50" s="59">
        <v>35.44</v>
      </c>
      <c r="G50" s="84">
        <v>1325</v>
      </c>
      <c r="H50" s="9" t="s">
        <v>5284</v>
      </c>
      <c r="I50" s="23" t="s">
        <v>1089</v>
      </c>
      <c r="J50" s="371">
        <v>41.39</v>
      </c>
      <c r="K50" s="77">
        <v>9.69</v>
      </c>
      <c r="L50" s="77">
        <v>20.11</v>
      </c>
      <c r="M50" s="371">
        <v>32.81</v>
      </c>
      <c r="N50" s="365">
        <f>K50+J50+L50+M50</f>
        <v>104</v>
      </c>
      <c r="O50" s="343">
        <f t="shared" si="109"/>
        <v>74.2</v>
      </c>
      <c r="P50" s="195">
        <v>11</v>
      </c>
      <c r="Q50" s="326">
        <v>5</v>
      </c>
      <c r="R50" s="111">
        <v>13</v>
      </c>
      <c r="S50" s="51">
        <v>1</v>
      </c>
      <c r="T50" s="339">
        <f t="shared" si="119"/>
        <v>30</v>
      </c>
      <c r="V50" s="156">
        <v>4.7699999999999996</v>
      </c>
      <c r="W50" s="46">
        <v>12</v>
      </c>
      <c r="X50" s="100">
        <v>9.64</v>
      </c>
      <c r="Y50" s="37">
        <v>46.8</v>
      </c>
      <c r="Z50" s="46">
        <v>44.05</v>
      </c>
      <c r="AA50" s="16">
        <f>Y50-Z50</f>
        <v>2.75</v>
      </c>
      <c r="AB50" s="66">
        <f>AA50/Z50</f>
        <v>6.2429057888762775E-2</v>
      </c>
      <c r="AC50" s="105" t="s">
        <v>6510</v>
      </c>
      <c r="AD50" s="23" t="s">
        <v>1089</v>
      </c>
      <c r="AE50" s="89">
        <v>44529</v>
      </c>
      <c r="AF50" s="88">
        <v>44536</v>
      </c>
      <c r="AG50" s="34">
        <f>AF50-AE50</f>
        <v>7</v>
      </c>
      <c r="AH50" s="63" t="s">
        <v>3994</v>
      </c>
      <c r="AI50" s="284"/>
      <c r="AO50" s="131"/>
      <c r="AP50" s="264"/>
    </row>
    <row r="51" spans="1:46">
      <c r="A51" s="135" t="s">
        <v>3993</v>
      </c>
      <c r="B51" s="84">
        <v>40</v>
      </c>
      <c r="C51" s="84">
        <v>10</v>
      </c>
      <c r="D51" s="84">
        <v>3</v>
      </c>
      <c r="E51" s="84">
        <v>13</v>
      </c>
      <c r="F51" s="59">
        <v>13</v>
      </c>
      <c r="G51" s="84">
        <v>6514</v>
      </c>
      <c r="H51" s="9" t="s">
        <v>563</v>
      </c>
      <c r="I51" s="17" t="s">
        <v>981</v>
      </c>
      <c r="J51" s="371">
        <v>57.08</v>
      </c>
      <c r="K51" s="77">
        <v>54.46</v>
      </c>
      <c r="L51" s="77">
        <v>10.84</v>
      </c>
      <c r="N51" s="365">
        <f>K51+J51+L51</f>
        <v>122.38</v>
      </c>
      <c r="P51" s="195">
        <v>1</v>
      </c>
      <c r="Q51" s="326" t="str">
        <f>IFERROR(VLOOKUP($G51,主力整理!$A$2:$G$2301,6,0),"0")</f>
        <v>0</v>
      </c>
      <c r="R51" s="111">
        <v>2</v>
      </c>
      <c r="S51" s="51">
        <v>0</v>
      </c>
      <c r="T51" s="339">
        <f t="shared" si="119"/>
        <v>3</v>
      </c>
      <c r="U51" s="329" t="s">
        <v>6539</v>
      </c>
      <c r="V51" s="371">
        <v>0.49</v>
      </c>
      <c r="W51" s="69">
        <v>3.5</v>
      </c>
      <c r="X51" s="59">
        <v>2.75</v>
      </c>
      <c r="Y51" s="14">
        <v>68.7</v>
      </c>
      <c r="Z51" s="69">
        <v>55.4</v>
      </c>
      <c r="AA51" s="16">
        <f>Y51-Z51</f>
        <v>13.300000000000004</v>
      </c>
      <c r="AB51" s="66">
        <f>AA51/Z51</f>
        <v>0.24007220216606506</v>
      </c>
      <c r="AC51" s="107" t="s">
        <v>6535</v>
      </c>
      <c r="AD51" s="17" t="s">
        <v>981</v>
      </c>
      <c r="AE51" s="89">
        <v>44532</v>
      </c>
      <c r="AF51" s="88">
        <v>44539</v>
      </c>
      <c r="AG51" s="34">
        <f>AF51-AE51</f>
        <v>7</v>
      </c>
      <c r="AH51" s="63" t="s">
        <v>3992</v>
      </c>
      <c r="AI51" s="131"/>
      <c r="AO51" s="131"/>
      <c r="AP51" s="264"/>
    </row>
    <row r="52" spans="1:46">
      <c r="A52" s="135" t="s">
        <v>3993</v>
      </c>
      <c r="B52" s="84">
        <v>40</v>
      </c>
      <c r="C52" s="84">
        <v>10</v>
      </c>
      <c r="D52" s="84">
        <v>3</v>
      </c>
      <c r="E52" s="84">
        <v>13</v>
      </c>
      <c r="F52" s="59">
        <v>13</v>
      </c>
      <c r="G52" s="84">
        <v>6514</v>
      </c>
      <c r="H52" s="9" t="s">
        <v>563</v>
      </c>
      <c r="I52" s="17" t="s">
        <v>981</v>
      </c>
      <c r="J52" s="371">
        <v>57.08</v>
      </c>
      <c r="K52" s="371">
        <v>53.81</v>
      </c>
      <c r="L52" s="77">
        <v>12</v>
      </c>
      <c r="N52" s="365">
        <f>K52+J52+L52+M52</f>
        <v>122.89</v>
      </c>
      <c r="P52" s="195">
        <v>1</v>
      </c>
      <c r="Q52" s="326" t="str">
        <f>IFERROR(VLOOKUP($G52,主力整理!$A$2:$G$2301,6,0),"0")</f>
        <v>0</v>
      </c>
      <c r="R52" s="111">
        <v>2</v>
      </c>
      <c r="S52" s="51">
        <v>0</v>
      </c>
      <c r="T52" s="339">
        <f t="shared" si="119"/>
        <v>3</v>
      </c>
      <c r="V52" s="371">
        <v>0.67</v>
      </c>
      <c r="W52" s="69">
        <v>3.5</v>
      </c>
      <c r="X52" s="59">
        <v>2.75</v>
      </c>
      <c r="Y52" s="14">
        <v>68.7</v>
      </c>
      <c r="Z52" s="69">
        <v>56</v>
      </c>
      <c r="AA52" s="16">
        <f>Y52-Z52</f>
        <v>12.700000000000003</v>
      </c>
      <c r="AB52" s="66">
        <f>AA52/Z52</f>
        <v>0.22678571428571434</v>
      </c>
      <c r="AC52" s="107" t="s">
        <v>6518</v>
      </c>
      <c r="AD52" s="17" t="s">
        <v>981</v>
      </c>
      <c r="AE52" s="89">
        <v>44530</v>
      </c>
      <c r="AF52" s="88">
        <v>44539</v>
      </c>
      <c r="AG52" s="34">
        <f>AF52-AE52</f>
        <v>9</v>
      </c>
      <c r="AH52" s="63" t="s">
        <v>3992</v>
      </c>
      <c r="AI52" s="131"/>
      <c r="AO52" s="131"/>
      <c r="AP52" s="264"/>
    </row>
    <row r="53" spans="1:46">
      <c r="A53" s="151" t="s">
        <v>2555</v>
      </c>
      <c r="B53" s="85">
        <v>-103</v>
      </c>
      <c r="C53" s="85">
        <v>-226</v>
      </c>
      <c r="D53" s="85">
        <v>-12</v>
      </c>
      <c r="E53" s="84">
        <v>26</v>
      </c>
      <c r="F53" s="7">
        <v>2.88</v>
      </c>
      <c r="G53" s="84">
        <v>5356</v>
      </c>
      <c r="H53" s="154" t="s">
        <v>1815</v>
      </c>
      <c r="I53" s="17" t="s">
        <v>3542</v>
      </c>
      <c r="J53" s="77">
        <v>28.23</v>
      </c>
      <c r="K53" s="77">
        <v>3.42</v>
      </c>
      <c r="L53" s="77">
        <v>10.53</v>
      </c>
      <c r="N53" s="365">
        <f>K53+J53+L53</f>
        <v>42.18</v>
      </c>
      <c r="P53" s="195">
        <v>0</v>
      </c>
      <c r="Q53" s="326" t="str">
        <f>IFERROR(VLOOKUP($G53,主力整理!$A$2:$G$2301,6,0),"0")</f>
        <v>0</v>
      </c>
      <c r="R53" s="111">
        <v>0</v>
      </c>
      <c r="S53" s="51">
        <v>0</v>
      </c>
      <c r="T53" s="339">
        <f t="shared" si="119"/>
        <v>0</v>
      </c>
      <c r="U53" s="329" t="s">
        <v>6540</v>
      </c>
      <c r="V53" s="371">
        <v>0.55000000000000004</v>
      </c>
      <c r="W53" s="35">
        <v>2.2000000000000002</v>
      </c>
      <c r="X53" s="100">
        <v>0.77</v>
      </c>
      <c r="Y53" s="37">
        <v>30.25</v>
      </c>
      <c r="Z53" s="69">
        <v>30.85</v>
      </c>
      <c r="AA53" s="16">
        <f>Y53-Z53</f>
        <v>-0.60000000000000142</v>
      </c>
      <c r="AB53" s="80">
        <f>AA53/Z53</f>
        <v>-1.9448946515397129E-2</v>
      </c>
      <c r="AC53" s="107" t="s">
        <v>6533</v>
      </c>
      <c r="AD53" s="17" t="s">
        <v>3542</v>
      </c>
      <c r="AE53" s="89">
        <v>44532</v>
      </c>
      <c r="AF53" s="88">
        <v>44536</v>
      </c>
      <c r="AG53" s="34">
        <f>AF53-AE53</f>
        <v>4</v>
      </c>
      <c r="AH53" s="125" t="s">
        <v>3543</v>
      </c>
      <c r="AI53" s="131"/>
      <c r="AO53" s="131"/>
      <c r="AP53" s="264"/>
    </row>
    <row r="54" spans="1:46">
      <c r="A54" s="135" t="s">
        <v>3240</v>
      </c>
      <c r="B54" s="85">
        <v>-84</v>
      </c>
      <c r="C54" s="85">
        <v>-83</v>
      </c>
      <c r="D54" s="84">
        <v>5</v>
      </c>
      <c r="E54" s="85">
        <v>-79</v>
      </c>
      <c r="F54" s="59">
        <v>16.57</v>
      </c>
      <c r="G54" s="84">
        <v>3373</v>
      </c>
      <c r="H54" s="5" t="s">
        <v>5322</v>
      </c>
      <c r="I54" s="17" t="s">
        <v>911</v>
      </c>
      <c r="J54" s="77">
        <v>24.24</v>
      </c>
      <c r="K54" s="77">
        <v>6.74</v>
      </c>
      <c r="L54" s="77">
        <v>16.809999999999999</v>
      </c>
      <c r="N54" s="365">
        <f t="shared" ref="N54" si="123">K54+J54+L54</f>
        <v>47.789999999999992</v>
      </c>
      <c r="P54" s="195">
        <v>0</v>
      </c>
      <c r="Q54" s="326" t="str">
        <f>IFERROR(VLOOKUP($G54,主力整理!$A$2:$G$2301,6,0),"0")</f>
        <v>0</v>
      </c>
      <c r="R54" s="111">
        <v>3</v>
      </c>
      <c r="S54" s="51">
        <v>0</v>
      </c>
      <c r="T54" s="339">
        <f t="shared" si="119"/>
        <v>3</v>
      </c>
      <c r="V54" s="371">
        <v>19.52</v>
      </c>
      <c r="W54" s="46">
        <v>10</v>
      </c>
      <c r="X54" s="100">
        <v>4.6500000000000004</v>
      </c>
      <c r="Y54" s="37">
        <v>37.950000000000003</v>
      </c>
      <c r="Z54" s="69">
        <v>42</v>
      </c>
      <c r="AA54" s="16">
        <f t="shared" ref="AA54" si="124">Y54-Z54</f>
        <v>-4.0499999999999972</v>
      </c>
      <c r="AB54" s="80">
        <f t="shared" ref="AB54" si="125">AA54/Z54</f>
        <v>-9.6428571428571364E-2</v>
      </c>
      <c r="AC54" s="107" t="s">
        <v>6499</v>
      </c>
      <c r="AD54" s="17" t="s">
        <v>911</v>
      </c>
      <c r="AE54" s="89">
        <v>44526</v>
      </c>
      <c r="AF54" s="88">
        <v>44530</v>
      </c>
      <c r="AG54" s="34">
        <f t="shared" ref="AG54" si="126">AF54-AE54</f>
        <v>4</v>
      </c>
      <c r="AH54" s="63" t="s">
        <v>4956</v>
      </c>
      <c r="AI54" s="284"/>
      <c r="AO54" s="131"/>
      <c r="AP54" s="264"/>
    </row>
    <row r="55" spans="1:46">
      <c r="B55" s="96"/>
      <c r="C55" s="96"/>
      <c r="D55" s="96"/>
      <c r="E55" s="96"/>
      <c r="F55" s="9"/>
      <c r="G55" s="27"/>
      <c r="H55" s="56"/>
      <c r="I55" s="5"/>
      <c r="J55" s="364"/>
      <c r="K55" s="364"/>
      <c r="L55" s="364"/>
      <c r="M55" s="364"/>
      <c r="N55" s="364"/>
      <c r="P55" s="83"/>
      <c r="Q55" s="326"/>
      <c r="R55" s="111"/>
      <c r="T55" s="338"/>
      <c r="V55" s="377"/>
      <c r="W55" s="11"/>
      <c r="X55" s="71"/>
      <c r="Y55" s="29"/>
      <c r="Z55" s="18"/>
      <c r="AA55" s="15"/>
      <c r="AB55" s="22"/>
      <c r="AC55" s="26"/>
      <c r="AD55" s="5"/>
      <c r="AE55" s="56"/>
      <c r="AF55" s="114"/>
      <c r="AG55" s="33"/>
      <c r="AH55" s="44"/>
      <c r="AI55" s="131"/>
      <c r="AO55" s="131"/>
      <c r="AP55" s="264"/>
    </row>
    <row r="56" spans="1:46">
      <c r="A56" s="151"/>
      <c r="B56" s="85"/>
      <c r="C56" s="84"/>
      <c r="D56" s="85"/>
      <c r="E56" s="85"/>
      <c r="F56" s="7"/>
      <c r="G56" s="85"/>
      <c r="H56" s="5"/>
      <c r="I56" s="23"/>
      <c r="J56" s="371"/>
      <c r="K56" s="371"/>
      <c r="L56" s="371"/>
      <c r="N56" s="365"/>
      <c r="O56" s="376"/>
      <c r="P56" s="195"/>
      <c r="Q56" s="326"/>
      <c r="R56" s="111"/>
      <c r="W56" s="69"/>
      <c r="X56" s="59"/>
      <c r="Y56" s="37"/>
      <c r="Z56" s="69"/>
      <c r="AA56" s="16"/>
      <c r="AB56" s="66"/>
      <c r="AC56" s="105"/>
      <c r="AD56" s="23"/>
      <c r="AG56" s="34"/>
      <c r="AH56" s="44"/>
      <c r="AI56" s="131"/>
      <c r="AO56" s="131"/>
      <c r="AP56" s="264"/>
    </row>
    <row r="57" spans="1:46">
      <c r="B57" s="84"/>
      <c r="C57" s="84"/>
      <c r="D57" s="84"/>
      <c r="E57" s="84"/>
      <c r="F57" s="59"/>
      <c r="G57" s="84"/>
      <c r="H57" s="9"/>
      <c r="I57" s="23"/>
      <c r="J57" s="371"/>
      <c r="K57" s="371"/>
      <c r="L57" s="371"/>
      <c r="N57" s="365"/>
      <c r="P57" s="195"/>
      <c r="Q57" s="326"/>
      <c r="R57" s="111"/>
      <c r="W57" s="69"/>
      <c r="X57" s="100"/>
      <c r="Y57" s="37"/>
      <c r="Z57" s="69"/>
      <c r="AA57" s="16"/>
      <c r="AB57" s="66"/>
      <c r="AC57" s="105"/>
      <c r="AD57" s="23"/>
      <c r="AG57" s="34"/>
      <c r="AH57" s="63"/>
      <c r="AI57" s="131"/>
      <c r="AO57" s="131"/>
      <c r="AP57" s="264"/>
    </row>
    <row r="58" spans="1:46">
      <c r="A58" s="151"/>
      <c r="B58" s="84"/>
      <c r="C58" s="84"/>
      <c r="D58" s="85"/>
      <c r="E58" s="84"/>
      <c r="F58" s="7"/>
      <c r="G58" s="85"/>
      <c r="H58" s="19"/>
      <c r="I58" s="23"/>
      <c r="J58" s="371"/>
      <c r="K58" s="371"/>
      <c r="L58" s="371"/>
      <c r="N58" s="365"/>
      <c r="P58" s="195"/>
      <c r="Q58" s="326"/>
      <c r="R58" s="111"/>
      <c r="W58" s="35"/>
      <c r="X58" s="59"/>
      <c r="Y58" s="37"/>
      <c r="Z58" s="69"/>
      <c r="AA58" s="16"/>
      <c r="AB58" s="66"/>
      <c r="AC58" s="107"/>
      <c r="AD58" s="23"/>
      <c r="AG58" s="34"/>
      <c r="AH58" s="125"/>
      <c r="AI58" s="131"/>
      <c r="AO58" s="131"/>
      <c r="AP58" s="264"/>
    </row>
    <row r="59" spans="1:46">
      <c r="B59" s="84"/>
      <c r="C59" s="84"/>
      <c r="D59" s="85"/>
      <c r="E59" s="84"/>
      <c r="F59" s="59"/>
      <c r="G59" s="85"/>
      <c r="H59" s="5"/>
      <c r="I59" s="23"/>
      <c r="J59" s="371"/>
      <c r="K59" s="371"/>
      <c r="L59" s="371"/>
      <c r="N59" s="365"/>
      <c r="P59" s="195"/>
      <c r="Q59" s="326"/>
      <c r="R59" s="111"/>
      <c r="W59" s="46"/>
      <c r="X59" s="59"/>
      <c r="Y59" s="37"/>
      <c r="Z59" s="69"/>
      <c r="AA59" s="16"/>
      <c r="AB59" s="66"/>
      <c r="AC59" s="105"/>
      <c r="AD59" s="23"/>
      <c r="AG59" s="34"/>
      <c r="AH59" s="126"/>
      <c r="AI59" s="131"/>
      <c r="AO59" s="131"/>
      <c r="AP59" s="264"/>
    </row>
    <row r="60" spans="1:46">
      <c r="B60" s="84"/>
      <c r="C60" s="84"/>
      <c r="D60" s="84"/>
      <c r="E60" s="84"/>
      <c r="F60" s="59"/>
      <c r="G60" s="85"/>
      <c r="H60" s="5"/>
      <c r="I60" s="17"/>
      <c r="J60" s="371"/>
      <c r="K60" s="371"/>
      <c r="L60" s="371"/>
      <c r="N60" s="365"/>
      <c r="P60" s="195"/>
      <c r="Q60" s="326"/>
      <c r="R60" s="111"/>
      <c r="W60" s="69"/>
      <c r="X60" s="100"/>
      <c r="Y60" s="37"/>
      <c r="Z60" s="69"/>
      <c r="AA60" s="16"/>
      <c r="AB60" s="66"/>
      <c r="AC60" s="105"/>
      <c r="AD60" s="17"/>
      <c r="AG60" s="34"/>
      <c r="AH60" s="126"/>
      <c r="AI60" s="284"/>
      <c r="AO60" s="131"/>
      <c r="AP60" s="264"/>
    </row>
    <row r="61" spans="1:46">
      <c r="A61" s="151"/>
      <c r="B61" s="84"/>
      <c r="C61" s="84"/>
      <c r="D61" s="84"/>
      <c r="E61" s="84"/>
      <c r="F61" s="7"/>
      <c r="G61" s="85"/>
      <c r="H61" s="216"/>
      <c r="I61" s="23"/>
      <c r="J61" s="371"/>
      <c r="K61" s="371"/>
      <c r="L61" s="371"/>
      <c r="N61" s="365"/>
      <c r="P61" s="195"/>
      <c r="Q61" s="326"/>
      <c r="R61" s="111"/>
      <c r="W61" s="69"/>
      <c r="X61" s="59"/>
      <c r="Y61" s="37"/>
      <c r="Z61" s="69"/>
      <c r="AA61" s="16"/>
      <c r="AB61" s="66"/>
      <c r="AC61" s="105"/>
      <c r="AD61" s="23"/>
      <c r="AG61" s="34"/>
      <c r="AH61" s="125"/>
      <c r="AI61" s="284"/>
      <c r="AO61" s="131"/>
      <c r="AP61" s="264"/>
    </row>
    <row r="62" spans="1:46">
      <c r="A62" s="151"/>
      <c r="B62" s="84"/>
      <c r="C62" s="84"/>
      <c r="D62" s="84"/>
      <c r="E62" s="84"/>
      <c r="F62" s="7"/>
      <c r="G62" s="85"/>
      <c r="H62" s="5"/>
      <c r="I62" s="23"/>
      <c r="J62" s="371"/>
      <c r="K62" s="371"/>
      <c r="L62" s="371"/>
      <c r="N62" s="365"/>
      <c r="P62" s="195"/>
      <c r="Q62" s="326"/>
      <c r="R62" s="111"/>
      <c r="W62" s="69"/>
      <c r="X62" s="100"/>
      <c r="Y62" s="37"/>
      <c r="Z62" s="69"/>
      <c r="AA62" s="16"/>
      <c r="AB62" s="66"/>
      <c r="AC62" s="105"/>
      <c r="AD62" s="23"/>
      <c r="AG62" s="34"/>
      <c r="AH62" s="125"/>
      <c r="AI62" s="131"/>
      <c r="AO62" s="131"/>
      <c r="AP62" s="264"/>
    </row>
    <row r="63" spans="1:46">
      <c r="A63" s="151"/>
      <c r="B63" s="84"/>
      <c r="C63" s="84"/>
      <c r="D63" s="84"/>
      <c r="E63" s="84"/>
      <c r="F63" s="7"/>
      <c r="G63" s="85"/>
      <c r="H63" s="268"/>
      <c r="I63" s="23"/>
      <c r="J63" s="371"/>
      <c r="K63" s="371"/>
      <c r="L63" s="371"/>
      <c r="N63" s="365"/>
      <c r="P63" s="195"/>
      <c r="Q63" s="326"/>
      <c r="R63" s="111"/>
      <c r="W63" s="46"/>
      <c r="X63" s="100"/>
      <c r="Y63" s="37"/>
      <c r="Z63" s="69"/>
      <c r="AA63" s="16"/>
      <c r="AB63" s="66"/>
      <c r="AC63" s="105"/>
      <c r="AD63" s="23"/>
      <c r="AG63" s="34"/>
      <c r="AH63" s="125"/>
      <c r="AI63" s="131"/>
      <c r="AO63" s="128"/>
      <c r="AP63" s="264"/>
      <c r="AQ63" s="34"/>
      <c r="AR63" s="34"/>
      <c r="AS63" s="34"/>
      <c r="AT63" s="34"/>
    </row>
    <row r="64" spans="1:46">
      <c r="B64" s="96"/>
      <c r="C64" s="96"/>
      <c r="D64" s="96"/>
      <c r="E64" s="96"/>
      <c r="F64" s="9"/>
      <c r="G64" s="27"/>
      <c r="H64" s="56"/>
      <c r="I64" s="9"/>
      <c r="J64" s="364"/>
      <c r="K64" s="364"/>
      <c r="L64" s="364"/>
      <c r="M64" s="364"/>
      <c r="N64" s="364"/>
      <c r="P64" s="83"/>
      <c r="Q64" s="326"/>
      <c r="R64" s="111"/>
      <c r="T64" s="338"/>
      <c r="V64" s="377"/>
      <c r="W64" s="11"/>
      <c r="X64" s="71"/>
      <c r="Y64" s="29"/>
      <c r="Z64" s="18"/>
      <c r="AA64" s="15"/>
      <c r="AB64" s="22"/>
      <c r="AC64" s="26"/>
      <c r="AD64" s="9"/>
      <c r="AE64" s="56"/>
      <c r="AF64" s="114"/>
      <c r="AG64" s="33"/>
      <c r="AH64" s="44"/>
      <c r="AI64" s="131"/>
      <c r="AO64" s="131"/>
      <c r="AP64" s="264"/>
    </row>
    <row r="65" spans="2:42">
      <c r="B65" s="84"/>
      <c r="C65" s="84"/>
      <c r="D65" s="85"/>
      <c r="E65" s="84"/>
      <c r="F65" s="59"/>
      <c r="G65" s="85"/>
      <c r="H65" s="212"/>
      <c r="I65" s="23"/>
      <c r="J65" s="77"/>
      <c r="K65" s="77"/>
      <c r="L65" s="371"/>
      <c r="N65" s="365"/>
      <c r="P65" s="195"/>
      <c r="Q65" s="326"/>
      <c r="R65" s="111"/>
      <c r="W65" s="69"/>
      <c r="X65" s="59"/>
      <c r="Y65" s="14"/>
      <c r="Z65" s="69"/>
      <c r="AA65" s="16"/>
      <c r="AB65" s="66"/>
      <c r="AC65" s="105"/>
      <c r="AD65" s="23"/>
      <c r="AG65" s="34"/>
      <c r="AH65" s="63"/>
      <c r="AI65" s="131"/>
      <c r="AO65" s="284"/>
      <c r="AP65" s="264"/>
    </row>
    <row r="66" spans="2:42">
      <c r="B66" s="84"/>
      <c r="C66" s="84"/>
      <c r="D66" s="84"/>
      <c r="E66" s="85"/>
      <c r="F66" s="59"/>
      <c r="G66" s="58"/>
      <c r="H66" s="9"/>
      <c r="I66" s="17"/>
      <c r="J66" s="371"/>
      <c r="K66" s="371"/>
      <c r="N66" s="365"/>
      <c r="P66" s="232"/>
      <c r="W66" s="46"/>
      <c r="X66" s="100"/>
      <c r="Y66" s="37"/>
      <c r="Z66" s="69"/>
      <c r="AA66" s="16"/>
      <c r="AB66" s="66"/>
      <c r="AC66" s="107"/>
      <c r="AD66" s="17"/>
      <c r="AG66" s="34"/>
      <c r="AH66" s="63"/>
      <c r="AI66" s="131"/>
      <c r="AO66" s="131"/>
      <c r="AP66" s="264"/>
    </row>
    <row r="67" spans="2:42">
      <c r="AI67" s="131"/>
    </row>
    <row r="68" spans="2:42">
      <c r="AI68" s="131"/>
    </row>
    <row r="69" spans="2:42">
      <c r="AI69" s="131"/>
    </row>
    <row r="70" spans="2:42">
      <c r="AI70" s="131"/>
    </row>
    <row r="72" spans="2:42">
      <c r="AI72" s="131"/>
    </row>
    <row r="73" spans="2:42">
      <c r="AI73" s="131"/>
    </row>
    <row r="74" spans="2:42">
      <c r="AI74" s="131"/>
    </row>
    <row r="75" spans="2:42">
      <c r="AI75" s="284"/>
    </row>
    <row r="76" spans="2:42">
      <c r="AI76" s="131"/>
    </row>
    <row r="77" spans="2:42">
      <c r="AI77" s="284"/>
    </row>
    <row r="78" spans="2:42">
      <c r="AI78" s="131"/>
    </row>
    <row r="79" spans="2:42">
      <c r="AI79" s="284"/>
    </row>
    <row r="80" spans="2:42">
      <c r="AI80" s="131"/>
    </row>
    <row r="81" spans="35:35">
      <c r="AI81" s="131"/>
    </row>
    <row r="82" spans="35:35">
      <c r="AI82" s="131"/>
    </row>
    <row r="83" spans="35:35">
      <c r="AI83" s="131"/>
    </row>
    <row r="84" spans="35:35">
      <c r="AI84" s="131"/>
    </row>
    <row r="85" spans="35:35">
      <c r="AI85" s="131"/>
    </row>
    <row r="86" spans="35:35">
      <c r="AI86" s="131"/>
    </row>
    <row r="87" spans="35:35">
      <c r="AI87" s="131"/>
    </row>
    <row r="88" spans="35:35">
      <c r="AI88" s="131"/>
    </row>
    <row r="89" spans="35:35">
      <c r="AI89" s="284"/>
    </row>
    <row r="90" spans="35:35">
      <c r="AI90" s="131"/>
    </row>
    <row r="91" spans="35:35">
      <c r="AI91" s="131"/>
    </row>
    <row r="92" spans="35:35">
      <c r="AI92" s="131"/>
    </row>
    <row r="93" spans="35:35">
      <c r="AI93" s="131"/>
    </row>
    <row r="94" spans="35:35">
      <c r="AI94" s="131"/>
    </row>
    <row r="95" spans="35:35">
      <c r="AI95" s="284"/>
    </row>
    <row r="96" spans="35:35">
      <c r="AI96" s="131"/>
    </row>
    <row r="97" spans="35:35">
      <c r="AI97" s="131"/>
    </row>
    <row r="98" spans="35:35">
      <c r="AI98" s="284"/>
    </row>
    <row r="99" spans="35:35">
      <c r="AI99" s="131"/>
    </row>
    <row r="100" spans="35:35">
      <c r="AI100" s="131"/>
    </row>
    <row r="101" spans="35:35">
      <c r="AI101" s="131"/>
    </row>
    <row r="102" spans="35:35">
      <c r="AI102" s="131"/>
    </row>
    <row r="103" spans="35:35">
      <c r="AI103" s="131"/>
    </row>
    <row r="104" spans="35:35">
      <c r="AI104" s="131"/>
    </row>
    <row r="105" spans="35:35">
      <c r="AI105" s="131"/>
    </row>
    <row r="106" spans="35:35">
      <c r="AI106" s="131"/>
    </row>
    <row r="107" spans="35:35">
      <c r="AI107" s="131"/>
    </row>
    <row r="108" spans="35:35">
      <c r="AI108" s="131"/>
    </row>
    <row r="109" spans="35:35">
      <c r="AI109" s="131"/>
    </row>
    <row r="110" spans="35:35">
      <c r="AI110" s="131"/>
    </row>
    <row r="111" spans="35:35">
      <c r="AI111" s="131"/>
    </row>
    <row r="112" spans="35:35">
      <c r="AI112" s="131"/>
    </row>
    <row r="113" spans="35:35">
      <c r="AI113" s="131"/>
    </row>
    <row r="114" spans="35:35">
      <c r="AI114" s="131"/>
    </row>
    <row r="115" spans="35:35">
      <c r="AI115" s="131"/>
    </row>
    <row r="116" spans="35:35">
      <c r="AI116" s="131"/>
    </row>
    <row r="117" spans="35:35">
      <c r="AI117" s="131"/>
    </row>
    <row r="118" spans="35:35">
      <c r="AI118" s="131"/>
    </row>
    <row r="119" spans="35:35">
      <c r="AI119" s="131"/>
    </row>
    <row r="120" spans="35:35">
      <c r="AI120" s="131"/>
    </row>
    <row r="121" spans="35:35">
      <c r="AI121" s="131"/>
    </row>
    <row r="122" spans="35:35">
      <c r="AI122" s="131"/>
    </row>
    <row r="123" spans="35:35">
      <c r="AI123" s="131"/>
    </row>
    <row r="124" spans="35:35">
      <c r="AI124" s="131"/>
    </row>
    <row r="125" spans="35:35">
      <c r="AI125" s="131"/>
    </row>
    <row r="126" spans="35:35">
      <c r="AI126" s="131"/>
    </row>
    <row r="127" spans="35:35">
      <c r="AI127" s="131"/>
    </row>
    <row r="128" spans="35:35">
      <c r="AI128" s="131"/>
    </row>
    <row r="129" spans="35:35">
      <c r="AI129" s="131"/>
    </row>
    <row r="130" spans="35:35">
      <c r="AI130" s="131"/>
    </row>
    <row r="131" spans="35:35">
      <c r="AI131" s="131"/>
    </row>
    <row r="132" spans="35:35">
      <c r="AI132" s="131"/>
    </row>
    <row r="133" spans="35:35">
      <c r="AI133" s="131"/>
    </row>
    <row r="134" spans="35:35">
      <c r="AI134" s="131"/>
    </row>
    <row r="135" spans="35:35">
      <c r="AI135" s="284"/>
    </row>
    <row r="136" spans="35:35">
      <c r="AI136" s="131"/>
    </row>
    <row r="137" spans="35:35">
      <c r="AI137" s="131"/>
    </row>
    <row r="138" spans="35:35">
      <c r="AI138" s="131"/>
    </row>
    <row r="139" spans="35:35">
      <c r="AI139" s="131"/>
    </row>
    <row r="140" spans="35:35">
      <c r="AI140" s="131"/>
    </row>
    <row r="141" spans="35:35">
      <c r="AI141" s="131"/>
    </row>
    <row r="142" spans="35:35">
      <c r="AI142" s="131"/>
    </row>
    <row r="143" spans="35:35">
      <c r="AI143" s="131"/>
    </row>
    <row r="144" spans="35:35">
      <c r="AI144" s="131"/>
    </row>
    <row r="145" spans="35:35">
      <c r="AI145" s="131"/>
    </row>
    <row r="146" spans="35:35">
      <c r="AI146" s="131"/>
    </row>
    <row r="147" spans="35:35">
      <c r="AI147" s="131"/>
    </row>
    <row r="148" spans="35:35">
      <c r="AI148" s="131"/>
    </row>
    <row r="149" spans="35:35">
      <c r="AI149" s="131"/>
    </row>
    <row r="150" spans="35:35">
      <c r="AI150" s="131"/>
    </row>
    <row r="151" spans="35:35">
      <c r="AI151" s="131"/>
    </row>
    <row r="152" spans="35:35">
      <c r="AI152" s="131"/>
    </row>
    <row r="153" spans="35:35">
      <c r="AI153" s="131"/>
    </row>
    <row r="154" spans="35:35">
      <c r="AI154" s="131"/>
    </row>
    <row r="155" spans="35:35">
      <c r="AI155" s="131"/>
    </row>
    <row r="156" spans="35:35">
      <c r="AI156" s="131"/>
    </row>
    <row r="157" spans="35:35">
      <c r="AI157" s="131"/>
    </row>
    <row r="158" spans="35:35">
      <c r="AI158" s="131"/>
    </row>
    <row r="159" spans="35:35">
      <c r="AI159" s="131"/>
    </row>
    <row r="160" spans="35:35">
      <c r="AI160" s="131"/>
    </row>
    <row r="161" spans="35:35">
      <c r="AI161" s="131"/>
    </row>
    <row r="162" spans="35:35">
      <c r="AI162" s="131"/>
    </row>
    <row r="163" spans="35:35">
      <c r="AI163" s="131"/>
    </row>
    <row r="165" spans="35:35">
      <c r="AI165" s="131"/>
    </row>
    <row r="166" spans="35:35">
      <c r="AI166" s="131"/>
    </row>
    <row r="167" spans="35:35">
      <c r="AI167" s="131"/>
    </row>
    <row r="168" spans="35:35">
      <c r="AI168" s="131"/>
    </row>
    <row r="169" spans="35:35">
      <c r="AI169" s="131"/>
    </row>
    <row r="171" spans="35:35">
      <c r="AI171" s="131"/>
    </row>
    <row r="172" spans="35:35">
      <c r="AI172" s="131"/>
    </row>
    <row r="173" spans="35:35">
      <c r="AI173" s="131"/>
    </row>
    <row r="174" spans="35:35">
      <c r="AI174" s="131"/>
    </row>
    <row r="175" spans="35:35">
      <c r="AI175" s="131"/>
    </row>
    <row r="176" spans="35:35">
      <c r="AI176" s="131"/>
    </row>
    <row r="177" spans="35:35">
      <c r="AI177" s="131"/>
    </row>
    <row r="178" spans="35:35">
      <c r="AI178" s="131"/>
    </row>
    <row r="179" spans="35:35">
      <c r="AI179" s="131"/>
    </row>
    <row r="180" spans="35:35">
      <c r="AI180" s="131"/>
    </row>
    <row r="181" spans="35:35">
      <c r="AI181" s="131"/>
    </row>
    <row r="182" spans="35:35">
      <c r="AI182" s="284"/>
    </row>
    <row r="183" spans="35:35">
      <c r="AI183" s="131"/>
    </row>
    <row r="185" spans="35:35">
      <c r="AI185" s="131"/>
    </row>
    <row r="186" spans="35:35">
      <c r="AI186" s="131"/>
    </row>
    <row r="187" spans="35:35">
      <c r="AI187" s="131"/>
    </row>
    <row r="188" spans="35:35">
      <c r="AI188" s="131"/>
    </row>
    <row r="189" spans="35:35">
      <c r="AI189" s="131"/>
    </row>
    <row r="190" spans="35:35">
      <c r="AI190" s="131"/>
    </row>
    <row r="191" spans="35:35">
      <c r="AI191" s="131"/>
    </row>
    <row r="192" spans="35:35">
      <c r="AI192" s="131"/>
    </row>
    <row r="193" spans="35:35">
      <c r="AI193" s="131"/>
    </row>
    <row r="194" spans="35:35">
      <c r="AI194" s="131"/>
    </row>
    <row r="195" spans="35:35">
      <c r="AI195" s="131"/>
    </row>
    <row r="197" spans="35:35">
      <c r="AI197" s="131"/>
    </row>
    <row r="198" spans="35:35">
      <c r="AI198" s="131"/>
    </row>
    <row r="199" spans="35:35">
      <c r="AI199" s="131"/>
    </row>
    <row r="200" spans="35:35">
      <c r="AI200" s="131"/>
    </row>
    <row r="201" spans="35:35">
      <c r="AI201" s="131"/>
    </row>
    <row r="202" spans="35:35">
      <c r="AI202" s="131"/>
    </row>
    <row r="203" spans="35:35">
      <c r="AI203" s="131"/>
    </row>
    <row r="204" spans="35:35">
      <c r="AI204" s="131"/>
    </row>
    <row r="205" spans="35:35">
      <c r="AI205" s="131"/>
    </row>
    <row r="206" spans="35:35">
      <c r="AI206" s="131"/>
    </row>
    <row r="207" spans="35:35">
      <c r="AI207" s="131"/>
    </row>
    <row r="208" spans="35:35">
      <c r="AI208" s="131"/>
    </row>
    <row r="209" spans="35:35">
      <c r="AI209" s="131"/>
    </row>
    <row r="210" spans="35:35">
      <c r="AI210" s="131"/>
    </row>
    <row r="211" spans="35:35">
      <c r="AI211" s="131"/>
    </row>
    <row r="212" spans="35:35">
      <c r="AI212" s="131"/>
    </row>
    <row r="213" spans="35:35">
      <c r="AI213" s="131"/>
    </row>
    <row r="214" spans="35:35">
      <c r="AI214" s="131"/>
    </row>
    <row r="215" spans="35:35">
      <c r="AI215" s="131"/>
    </row>
    <row r="216" spans="35:35">
      <c r="AI216" s="131"/>
    </row>
    <row r="217" spans="35:35">
      <c r="AI217" s="131"/>
    </row>
    <row r="218" spans="35:35">
      <c r="AI218" s="131"/>
    </row>
    <row r="219" spans="35:35">
      <c r="AI219" s="131"/>
    </row>
    <row r="220" spans="35:35">
      <c r="AI220" s="131"/>
    </row>
    <row r="221" spans="35:35">
      <c r="AI221" s="131"/>
    </row>
    <row r="222" spans="35:35">
      <c r="AI222" s="131"/>
    </row>
    <row r="223" spans="35:35">
      <c r="AI223" s="131"/>
    </row>
    <row r="224" spans="35:35">
      <c r="AI224" s="131"/>
    </row>
    <row r="225" spans="35:35">
      <c r="AI225" s="131"/>
    </row>
    <row r="226" spans="35:35">
      <c r="AI226" s="131"/>
    </row>
    <row r="227" spans="35:35">
      <c r="AI227" s="131"/>
    </row>
    <row r="228" spans="35:35">
      <c r="AI228" s="131"/>
    </row>
    <row r="229" spans="35:35">
      <c r="AI229" s="131"/>
    </row>
    <row r="230" spans="35:35">
      <c r="AI230" s="131"/>
    </row>
    <row r="231" spans="35:35">
      <c r="AI231" s="131"/>
    </row>
    <row r="232" spans="35:35">
      <c r="AI232" s="131"/>
    </row>
    <row r="233" spans="35:35">
      <c r="AI233" s="131"/>
    </row>
    <row r="234" spans="35:35">
      <c r="AI234" s="131"/>
    </row>
    <row r="235" spans="35:35">
      <c r="AI235" s="131"/>
    </row>
    <row r="236" spans="35:35">
      <c r="AI236" s="131"/>
    </row>
    <row r="237" spans="35:35">
      <c r="AI237" s="131"/>
    </row>
    <row r="238" spans="35:35">
      <c r="AI238" s="131"/>
    </row>
    <row r="239" spans="35:35">
      <c r="AI239" s="131"/>
    </row>
    <row r="240" spans="35:35">
      <c r="AI240" s="131"/>
    </row>
    <row r="241" spans="35:35">
      <c r="AI241" s="131"/>
    </row>
    <row r="242" spans="35:35">
      <c r="AI242" s="131"/>
    </row>
    <row r="243" spans="35:35">
      <c r="AI243" s="131"/>
    </row>
    <row r="244" spans="35:35">
      <c r="AI244" s="131"/>
    </row>
    <row r="245" spans="35:35">
      <c r="AI245" s="131"/>
    </row>
    <row r="246" spans="35:35">
      <c r="AI246" s="131"/>
    </row>
    <row r="247" spans="35:35">
      <c r="AI247" s="131"/>
    </row>
    <row r="248" spans="35:35">
      <c r="AI248" s="131"/>
    </row>
    <row r="249" spans="35:35">
      <c r="AI249" s="131"/>
    </row>
    <row r="250" spans="35:35">
      <c r="AI250" s="131"/>
    </row>
    <row r="251" spans="35:35">
      <c r="AI251" s="131"/>
    </row>
    <row r="252" spans="35:35">
      <c r="AI252" s="131"/>
    </row>
    <row r="253" spans="35:35">
      <c r="AI253" s="131"/>
    </row>
    <row r="254" spans="35:35">
      <c r="AI254" s="131"/>
    </row>
    <row r="255" spans="35:35">
      <c r="AI255" s="131"/>
    </row>
    <row r="256" spans="35:35">
      <c r="AI256" s="131"/>
    </row>
    <row r="257" spans="35:35">
      <c r="AI257" s="131"/>
    </row>
    <row r="258" spans="35:35">
      <c r="AI258" s="284"/>
    </row>
    <row r="259" spans="35:35">
      <c r="AI259" s="131"/>
    </row>
    <row r="260" spans="35:35">
      <c r="AI260" s="131"/>
    </row>
    <row r="261" spans="35:35">
      <c r="AI261" s="131"/>
    </row>
    <row r="262" spans="35:35">
      <c r="AI262" s="131"/>
    </row>
    <row r="263" spans="35:35">
      <c r="AI263" s="131"/>
    </row>
    <row r="264" spans="35:35">
      <c r="AI264" s="131"/>
    </row>
    <row r="265" spans="35:35">
      <c r="AI265" s="131"/>
    </row>
    <row r="266" spans="35:35">
      <c r="AI266" s="52"/>
    </row>
    <row r="267" spans="35:35">
      <c r="AI267" s="131"/>
    </row>
    <row r="268" spans="35:35">
      <c r="AI268" s="131"/>
    </row>
    <row r="269" spans="35:35">
      <c r="AI269" s="131"/>
    </row>
    <row r="270" spans="35:35">
      <c r="AI270" s="131"/>
    </row>
    <row r="271" spans="35:35">
      <c r="AI271" s="131"/>
    </row>
    <row r="272" spans="35:35">
      <c r="AI272" s="131"/>
    </row>
    <row r="273" spans="35:35">
      <c r="AI273" s="131"/>
    </row>
    <row r="274" spans="35:35">
      <c r="AI274" s="131"/>
    </row>
    <row r="275" spans="35:35">
      <c r="AI275" s="131"/>
    </row>
    <row r="276" spans="35:35">
      <c r="AI276" s="131"/>
    </row>
    <row r="277" spans="35:35">
      <c r="AI277" s="131"/>
    </row>
    <row r="278" spans="35:35">
      <c r="AI278" s="131"/>
    </row>
    <row r="279" spans="35:35">
      <c r="AI279" s="131"/>
    </row>
    <row r="280" spans="35:35">
      <c r="AI280" s="131"/>
    </row>
    <row r="281" spans="35:35">
      <c r="AI281" s="131"/>
    </row>
    <row r="282" spans="35:35">
      <c r="AI282" s="131"/>
    </row>
    <row r="283" spans="35:35">
      <c r="AI283" s="131"/>
    </row>
    <row r="284" spans="35:35">
      <c r="AI284" s="131"/>
    </row>
    <row r="285" spans="35:35">
      <c r="AI285" s="131"/>
    </row>
    <row r="286" spans="35:35">
      <c r="AI286" s="131"/>
    </row>
    <row r="287" spans="35:35">
      <c r="AI287" s="131"/>
    </row>
    <row r="288" spans="35:35">
      <c r="AI288" s="131"/>
    </row>
    <row r="289" spans="35:35">
      <c r="AI289" s="131"/>
    </row>
    <row r="290" spans="35:35">
      <c r="AI290" s="131"/>
    </row>
    <row r="291" spans="35:35">
      <c r="AI291" s="131"/>
    </row>
    <row r="292" spans="35:35">
      <c r="AI292" s="131"/>
    </row>
    <row r="293" spans="35:35">
      <c r="AI293" s="131"/>
    </row>
    <row r="294" spans="35:35">
      <c r="AI294" s="131"/>
    </row>
    <row r="295" spans="35:35">
      <c r="AI295" s="131"/>
    </row>
    <row r="296" spans="35:35">
      <c r="AI296" s="284"/>
    </row>
    <row r="297" spans="35:35">
      <c r="AI297" s="131"/>
    </row>
    <row r="299" spans="35:35">
      <c r="AI299" s="131"/>
    </row>
    <row r="300" spans="35:35">
      <c r="AI300" s="131"/>
    </row>
    <row r="301" spans="35:35">
      <c r="AI301" s="131"/>
    </row>
    <row r="302" spans="35:35">
      <c r="AI302" s="131"/>
    </row>
    <row r="303" spans="35:35">
      <c r="AI303" s="131"/>
    </row>
    <row r="304" spans="35:35">
      <c r="AI304" s="131"/>
    </row>
    <row r="305" spans="35:35">
      <c r="AI305" s="131"/>
    </row>
    <row r="306" spans="35:35">
      <c r="AI306" s="131"/>
    </row>
    <row r="307" spans="35:35">
      <c r="AI307" s="131"/>
    </row>
    <row r="308" spans="35:35">
      <c r="AI308" s="131"/>
    </row>
    <row r="309" spans="35:35">
      <c r="AI309" s="131"/>
    </row>
    <row r="310" spans="35:35">
      <c r="AI310" s="131"/>
    </row>
    <row r="311" spans="35:35">
      <c r="AI311" s="131"/>
    </row>
    <row r="312" spans="35:35">
      <c r="AI312" s="131"/>
    </row>
    <row r="313" spans="35:35">
      <c r="AI313" s="131"/>
    </row>
    <row r="314" spans="35:35">
      <c r="AI314" s="284"/>
    </row>
    <row r="315" spans="35:35">
      <c r="AI315" s="131"/>
    </row>
    <row r="316" spans="35:35">
      <c r="AI316" s="131"/>
    </row>
    <row r="317" spans="35:35">
      <c r="AI317" s="131"/>
    </row>
    <row r="318" spans="35:35">
      <c r="AI318" s="131"/>
    </row>
    <row r="319" spans="35:35">
      <c r="AI319" s="131"/>
    </row>
    <row r="320" spans="35:35">
      <c r="AI320" s="131"/>
    </row>
    <row r="321" spans="35:35">
      <c r="AI321" s="131"/>
    </row>
    <row r="322" spans="35:35">
      <c r="AI322" s="131"/>
    </row>
    <row r="323" spans="35:35">
      <c r="AI323" s="131"/>
    </row>
    <row r="324" spans="35:35">
      <c r="AI324" s="131"/>
    </row>
    <row r="325" spans="35:35">
      <c r="AI325" s="131"/>
    </row>
    <row r="326" spans="35:35">
      <c r="AI326" s="131"/>
    </row>
    <row r="327" spans="35:35">
      <c r="AI327" s="131"/>
    </row>
    <row r="328" spans="35:35">
      <c r="AI328" s="131"/>
    </row>
    <row r="329" spans="35:35">
      <c r="AI329" s="131"/>
    </row>
    <row r="330" spans="35:35">
      <c r="AI330" s="131"/>
    </row>
    <row r="331" spans="35:35">
      <c r="AI331" s="131"/>
    </row>
    <row r="332" spans="35:35">
      <c r="AI332" s="131"/>
    </row>
    <row r="333" spans="35:35">
      <c r="AI333" s="131"/>
    </row>
    <row r="334" spans="35:35">
      <c r="AI334" s="131"/>
    </row>
    <row r="335" spans="35:35">
      <c r="AI335" s="131"/>
    </row>
    <row r="336" spans="35:35">
      <c r="AI336" s="131"/>
    </row>
    <row r="337" spans="35:35">
      <c r="AI337" s="131"/>
    </row>
    <row r="338" spans="35:35">
      <c r="AI338" s="131"/>
    </row>
    <row r="339" spans="35:35">
      <c r="AI339" s="131"/>
    </row>
    <row r="340" spans="35:35">
      <c r="AI340" s="131"/>
    </row>
    <row r="341" spans="35:35">
      <c r="AI341" s="131"/>
    </row>
    <row r="342" spans="35:35">
      <c r="AI342" s="284"/>
    </row>
    <row r="343" spans="35:35">
      <c r="AI343" s="131"/>
    </row>
    <row r="344" spans="35:35">
      <c r="AI344" s="131"/>
    </row>
    <row r="345" spans="35:35">
      <c r="AI345" s="131"/>
    </row>
    <row r="346" spans="35:35">
      <c r="AI346" s="131"/>
    </row>
    <row r="347" spans="35:35">
      <c r="AI347" s="131"/>
    </row>
    <row r="348" spans="35:35">
      <c r="AI348" s="131"/>
    </row>
    <row r="349" spans="35:35">
      <c r="AI349" s="131"/>
    </row>
    <row r="350" spans="35:35">
      <c r="AI350" s="131"/>
    </row>
    <row r="351" spans="35:35">
      <c r="AI351" s="131"/>
    </row>
    <row r="352" spans="35:35">
      <c r="AI352" s="131"/>
    </row>
    <row r="353" spans="35:35">
      <c r="AI353" s="131"/>
    </row>
    <row r="354" spans="35:35">
      <c r="AI354" s="131"/>
    </row>
    <row r="355" spans="35:35">
      <c r="AI355" s="131"/>
    </row>
    <row r="356" spans="35:35">
      <c r="AI356" s="131"/>
    </row>
    <row r="357" spans="35:35">
      <c r="AI357" s="131"/>
    </row>
    <row r="358" spans="35:35">
      <c r="AI358" s="131"/>
    </row>
    <row r="359" spans="35:35">
      <c r="AI359" s="131"/>
    </row>
    <row r="360" spans="35:35">
      <c r="AI360" s="284"/>
    </row>
    <row r="361" spans="35:35">
      <c r="AI361" s="131"/>
    </row>
    <row r="362" spans="35:35">
      <c r="AI362" s="284"/>
    </row>
    <row r="363" spans="35:35">
      <c r="AI363" s="131"/>
    </row>
    <row r="364" spans="35:35">
      <c r="AI364" s="131"/>
    </row>
    <row r="365" spans="35:35">
      <c r="AI365" s="131"/>
    </row>
    <row r="366" spans="35:35">
      <c r="AI366" s="131"/>
    </row>
    <row r="367" spans="35:35">
      <c r="AI367" s="131"/>
    </row>
    <row r="368" spans="35:35">
      <c r="AI368" s="131"/>
    </row>
    <row r="369" spans="35:35">
      <c r="AI369" s="131"/>
    </row>
    <row r="370" spans="35:35">
      <c r="AI370" s="131"/>
    </row>
    <row r="371" spans="35:35">
      <c r="AI371" s="131"/>
    </row>
    <row r="372" spans="35:35">
      <c r="AI372" s="131"/>
    </row>
    <row r="373" spans="35:35">
      <c r="AI373" s="131"/>
    </row>
    <row r="374" spans="35:35">
      <c r="AI374" s="131"/>
    </row>
    <row r="375" spans="35:35">
      <c r="AI375" s="131"/>
    </row>
    <row r="376" spans="35:35">
      <c r="AI376" s="131"/>
    </row>
    <row r="377" spans="35:35">
      <c r="AI377" s="131"/>
    </row>
    <row r="378" spans="35:35">
      <c r="AI378" s="131"/>
    </row>
    <row r="379" spans="35:35">
      <c r="AI379" s="131"/>
    </row>
    <row r="380" spans="35:35">
      <c r="AI380" s="131"/>
    </row>
    <row r="381" spans="35:35">
      <c r="AI381" s="131"/>
    </row>
    <row r="382" spans="35:35">
      <c r="AI382" s="131"/>
    </row>
    <row r="383" spans="35:35">
      <c r="AI383" s="131"/>
    </row>
    <row r="384" spans="35:35">
      <c r="AI384" s="131"/>
    </row>
    <row r="385" spans="35:35">
      <c r="AI385" s="131"/>
    </row>
    <row r="386" spans="35:35">
      <c r="AI386" s="131"/>
    </row>
    <row r="387" spans="35:35">
      <c r="AI387" s="131"/>
    </row>
    <row r="388" spans="35:35">
      <c r="AI388" s="131"/>
    </row>
    <row r="389" spans="35:35">
      <c r="AI389" s="131"/>
    </row>
    <row r="390" spans="35:35">
      <c r="AI390" s="131"/>
    </row>
    <row r="391" spans="35:35">
      <c r="AI391" s="131"/>
    </row>
    <row r="392" spans="35:35">
      <c r="AI392" s="131"/>
    </row>
    <row r="393" spans="35:35">
      <c r="AI393" s="131"/>
    </row>
    <row r="394" spans="35:35">
      <c r="AI394" s="131"/>
    </row>
    <row r="395" spans="35:35">
      <c r="AI395" s="131"/>
    </row>
    <row r="396" spans="35:35">
      <c r="AI396" s="131"/>
    </row>
    <row r="397" spans="35:35">
      <c r="AI397" s="284"/>
    </row>
    <row r="398" spans="35:35">
      <c r="AI398" s="131"/>
    </row>
    <row r="399" spans="35:35">
      <c r="AI399" s="131"/>
    </row>
    <row r="400" spans="35:35">
      <c r="AI400" s="131"/>
    </row>
    <row r="401" spans="35:35">
      <c r="AI401" s="131"/>
    </row>
    <row r="402" spans="35:35">
      <c r="AI402" s="131"/>
    </row>
    <row r="403" spans="35:35">
      <c r="AI403" s="131"/>
    </row>
    <row r="404" spans="35:35">
      <c r="AI404" s="131"/>
    </row>
    <row r="405" spans="35:35">
      <c r="AI405" s="131"/>
    </row>
    <row r="406" spans="35:35">
      <c r="AI406" s="131"/>
    </row>
    <row r="407" spans="35:35">
      <c r="AI407" s="131"/>
    </row>
    <row r="408" spans="35:35">
      <c r="AI408" s="131"/>
    </row>
    <row r="409" spans="35:35">
      <c r="AI409" s="131"/>
    </row>
    <row r="410" spans="35:35">
      <c r="AI410" s="131"/>
    </row>
    <row r="411" spans="35:35">
      <c r="AI411" s="131"/>
    </row>
    <row r="412" spans="35:35">
      <c r="AI412" s="131"/>
    </row>
    <row r="413" spans="35:35">
      <c r="AI413" s="131"/>
    </row>
    <row r="414" spans="35:35">
      <c r="AI414" s="131"/>
    </row>
    <row r="415" spans="35:35">
      <c r="AI415" s="131"/>
    </row>
    <row r="416" spans="35:35">
      <c r="AI416" s="131"/>
    </row>
    <row r="417" spans="35:35">
      <c r="AI417" s="131"/>
    </row>
    <row r="418" spans="35:35">
      <c r="AI418" s="131"/>
    </row>
    <row r="419" spans="35:35">
      <c r="AI419" s="131"/>
    </row>
    <row r="420" spans="35:35">
      <c r="AI420" s="131"/>
    </row>
    <row r="421" spans="35:35">
      <c r="AI421" s="131"/>
    </row>
    <row r="422" spans="35:35">
      <c r="AI422" s="131"/>
    </row>
    <row r="423" spans="35:35">
      <c r="AI423" s="131"/>
    </row>
    <row r="424" spans="35:35">
      <c r="AI424" s="131"/>
    </row>
    <row r="425" spans="35:35">
      <c r="AI425" s="131"/>
    </row>
    <row r="426" spans="35:35">
      <c r="AI426" s="131"/>
    </row>
    <row r="427" spans="35:35">
      <c r="AI427" s="131"/>
    </row>
    <row r="428" spans="35:35">
      <c r="AI428" s="131"/>
    </row>
    <row r="429" spans="35:35">
      <c r="AI429" s="131"/>
    </row>
    <row r="430" spans="35:35">
      <c r="AI430" s="131"/>
    </row>
    <row r="431" spans="35:35">
      <c r="AI431" s="131"/>
    </row>
    <row r="432" spans="35:35">
      <c r="AI432" s="131"/>
    </row>
    <row r="433" spans="35:35">
      <c r="AI433" s="131"/>
    </row>
    <row r="434" spans="35:35">
      <c r="AI434" s="131"/>
    </row>
    <row r="435" spans="35:35">
      <c r="AI435" s="131"/>
    </row>
    <row r="436" spans="35:35">
      <c r="AI436" s="131"/>
    </row>
    <row r="437" spans="35:35">
      <c r="AI437" s="131"/>
    </row>
    <row r="438" spans="35:35">
      <c r="AI438" s="131"/>
    </row>
    <row r="439" spans="35:35">
      <c r="AI439" s="131"/>
    </row>
    <row r="440" spans="35:35">
      <c r="AI440" s="131"/>
    </row>
    <row r="441" spans="35:35">
      <c r="AI441" s="131"/>
    </row>
    <row r="442" spans="35:35">
      <c r="AI442" s="286"/>
    </row>
    <row r="443" spans="35:35">
      <c r="AI443" s="131"/>
    </row>
    <row r="444" spans="35:35">
      <c r="AI444" s="131"/>
    </row>
    <row r="445" spans="35:35">
      <c r="AI445" s="131"/>
    </row>
    <row r="446" spans="35:35">
      <c r="AI446" s="131"/>
    </row>
    <row r="447" spans="35:35">
      <c r="AI447" s="131"/>
    </row>
    <row r="448" spans="35:35">
      <c r="AI448" s="131"/>
    </row>
    <row r="449" spans="35:35">
      <c r="AI449" s="131"/>
    </row>
    <row r="450" spans="35:35">
      <c r="AI450" s="131"/>
    </row>
    <row r="451" spans="35:35">
      <c r="AI451" s="131"/>
    </row>
    <row r="452" spans="35:35">
      <c r="AI452" s="131"/>
    </row>
    <row r="453" spans="35:35">
      <c r="AI453" s="131"/>
    </row>
    <row r="454" spans="35:35">
      <c r="AI454" s="131"/>
    </row>
    <row r="455" spans="35:35">
      <c r="AI455" s="131"/>
    </row>
    <row r="456" spans="35:35">
      <c r="AI456" s="131"/>
    </row>
    <row r="457" spans="35:35">
      <c r="AI457" s="131"/>
    </row>
    <row r="458" spans="35:35">
      <c r="AI458" s="131"/>
    </row>
    <row r="459" spans="35:35">
      <c r="AI459" s="131"/>
    </row>
    <row r="460" spans="35:35">
      <c r="AI460" s="131"/>
    </row>
    <row r="461" spans="35:35">
      <c r="AI461" s="131"/>
    </row>
    <row r="462" spans="35:35">
      <c r="AI462" s="131"/>
    </row>
    <row r="463" spans="35:35">
      <c r="AI463" s="131"/>
    </row>
    <row r="464" spans="35:35">
      <c r="AI464" s="131"/>
    </row>
    <row r="465" spans="35:35">
      <c r="AI465" s="131"/>
    </row>
    <row r="466" spans="35:35">
      <c r="AI466" s="131"/>
    </row>
    <row r="467" spans="35:35">
      <c r="AI467" s="131"/>
    </row>
    <row r="468" spans="35:35">
      <c r="AI468" s="131"/>
    </row>
    <row r="469" spans="35:35">
      <c r="AI469" s="131"/>
    </row>
    <row r="470" spans="35:35">
      <c r="AI470" s="131"/>
    </row>
    <row r="471" spans="35:35">
      <c r="AI471" s="131"/>
    </row>
    <row r="472" spans="35:35">
      <c r="AI472" s="131"/>
    </row>
    <row r="473" spans="35:35">
      <c r="AI473" s="131"/>
    </row>
    <row r="474" spans="35:35">
      <c r="AI474" s="131"/>
    </row>
    <row r="475" spans="35:35">
      <c r="AI475" s="131"/>
    </row>
    <row r="476" spans="35:35">
      <c r="AI476" s="131"/>
    </row>
    <row r="477" spans="35:35">
      <c r="AI477" s="131"/>
    </row>
    <row r="478" spans="35:35">
      <c r="AI478" s="131"/>
    </row>
    <row r="479" spans="35:35">
      <c r="AI479" s="131"/>
    </row>
    <row r="480" spans="35:35">
      <c r="AI480" s="131"/>
    </row>
    <row r="481" spans="35:35">
      <c r="AI481" s="131"/>
    </row>
    <row r="482" spans="35:35">
      <c r="AI482" s="131"/>
    </row>
    <row r="483" spans="35:35">
      <c r="AI483" s="34"/>
    </row>
    <row r="484" spans="35:35">
      <c r="AI484" s="131"/>
    </row>
    <row r="485" spans="35:35">
      <c r="AI485" s="131"/>
    </row>
    <row r="486" spans="35:35">
      <c r="AI486" s="284"/>
    </row>
    <row r="487" spans="35:35">
      <c r="AI487" s="131"/>
    </row>
    <row r="488" spans="35:35">
      <c r="AI488" s="131"/>
    </row>
    <row r="489" spans="35:35">
      <c r="AI489" s="131"/>
    </row>
    <row r="490" spans="35:35">
      <c r="AI490" s="131"/>
    </row>
    <row r="491" spans="35:35">
      <c r="AI491" s="131"/>
    </row>
    <row r="492" spans="35:35">
      <c r="AI492" s="284"/>
    </row>
    <row r="493" spans="35:35">
      <c r="AI493" s="131"/>
    </row>
    <row r="494" spans="35:35">
      <c r="AI494" s="131"/>
    </row>
    <row r="495" spans="35:35">
      <c r="AI495" s="131"/>
    </row>
    <row r="496" spans="35:35">
      <c r="AI496" s="131"/>
    </row>
    <row r="497" spans="35:35">
      <c r="AI497" s="131"/>
    </row>
    <row r="498" spans="35:35">
      <c r="AI498" s="131"/>
    </row>
    <row r="499" spans="35:35">
      <c r="AI499" s="131"/>
    </row>
    <row r="500" spans="35:35">
      <c r="AI500" s="131"/>
    </row>
    <row r="501" spans="35:35">
      <c r="AI501" s="131"/>
    </row>
    <row r="502" spans="35:35">
      <c r="AI502" s="131"/>
    </row>
    <row r="503" spans="35:35">
      <c r="AI503" s="284"/>
    </row>
    <row r="504" spans="35:35">
      <c r="AI504" s="131"/>
    </row>
    <row r="505" spans="35:35">
      <c r="AI505" s="131"/>
    </row>
    <row r="506" spans="35:35">
      <c r="AI506" s="131"/>
    </row>
    <row r="507" spans="35:35">
      <c r="AI507" s="131"/>
    </row>
    <row r="508" spans="35:35">
      <c r="AI508" s="131"/>
    </row>
    <row r="509" spans="35:35">
      <c r="AI509" s="131"/>
    </row>
    <row r="510" spans="35:35">
      <c r="AI510" s="131"/>
    </row>
    <row r="511" spans="35:35">
      <c r="AI511" s="131"/>
    </row>
    <row r="512" spans="35:35">
      <c r="AI512" s="131"/>
    </row>
    <row r="513" spans="35:35">
      <c r="AI513" s="284"/>
    </row>
    <row r="514" spans="35:35">
      <c r="AI514" s="131"/>
    </row>
    <row r="515" spans="35:35">
      <c r="AI515" s="131"/>
    </row>
    <row r="516" spans="35:35">
      <c r="AI516" s="131"/>
    </row>
    <row r="517" spans="35:35">
      <c r="AI517" s="131"/>
    </row>
    <row r="518" spans="35:35">
      <c r="AI518" s="131"/>
    </row>
    <row r="519" spans="35:35">
      <c r="AI519" s="131"/>
    </row>
    <row r="520" spans="35:35">
      <c r="AI520" s="131"/>
    </row>
    <row r="521" spans="35:35">
      <c r="AI521" s="284"/>
    </row>
    <row r="522" spans="35:35">
      <c r="AI522" s="131"/>
    </row>
    <row r="523" spans="35:35">
      <c r="AI523" s="131"/>
    </row>
    <row r="524" spans="35:35">
      <c r="AI524" s="131"/>
    </row>
    <row r="525" spans="35:35">
      <c r="AI525" s="131"/>
    </row>
    <row r="526" spans="35:35">
      <c r="AI526" s="131"/>
    </row>
    <row r="527" spans="35:35">
      <c r="AI527" s="131"/>
    </row>
    <row r="528" spans="35:35">
      <c r="AI528" s="131"/>
    </row>
    <row r="529" spans="35:35">
      <c r="AI529" s="131"/>
    </row>
    <row r="530" spans="35:35">
      <c r="AI530" s="131"/>
    </row>
    <row r="531" spans="35:35">
      <c r="AI531" s="284"/>
    </row>
    <row r="532" spans="35:35">
      <c r="AI532" s="131"/>
    </row>
    <row r="533" spans="35:35">
      <c r="AI533" s="131"/>
    </row>
    <row r="534" spans="35:35">
      <c r="AI534" s="131"/>
    </row>
    <row r="535" spans="35:35">
      <c r="AI535" s="131"/>
    </row>
    <row r="536" spans="35:35">
      <c r="AI536" s="131"/>
    </row>
    <row r="537" spans="35:35">
      <c r="AI537" s="131"/>
    </row>
    <row r="538" spans="35:35">
      <c r="AI538" s="131"/>
    </row>
    <row r="539" spans="35:35">
      <c r="AI539" s="131"/>
    </row>
    <row r="540" spans="35:35">
      <c r="AI540" s="131"/>
    </row>
    <row r="541" spans="35:35">
      <c r="AI541" s="131"/>
    </row>
    <row r="542" spans="35:35">
      <c r="AI542" s="131"/>
    </row>
    <row r="543" spans="35:35">
      <c r="AI543" s="131"/>
    </row>
    <row r="544" spans="35:35">
      <c r="AI544" s="131"/>
    </row>
    <row r="545" spans="35:35">
      <c r="AI545" s="131"/>
    </row>
    <row r="546" spans="35:35">
      <c r="AI546" s="131"/>
    </row>
    <row r="547" spans="35:35">
      <c r="AI547" s="131"/>
    </row>
    <row r="548" spans="35:35">
      <c r="AI548" s="131"/>
    </row>
    <row r="549" spans="35:35">
      <c r="AI549" s="131"/>
    </row>
    <row r="550" spans="35:35">
      <c r="AI550" s="131"/>
    </row>
    <row r="551" spans="35:35">
      <c r="AI551" s="131"/>
    </row>
    <row r="552" spans="35:35">
      <c r="AI552" s="284"/>
    </row>
    <row r="553" spans="35:35">
      <c r="AI553" s="131"/>
    </row>
    <row r="554" spans="35:35">
      <c r="AI554" s="131"/>
    </row>
    <row r="555" spans="35:35">
      <c r="AI555" s="131"/>
    </row>
    <row r="557" spans="35:35">
      <c r="AI557" s="131"/>
    </row>
    <row r="558" spans="35:35">
      <c r="AI558" s="131"/>
    </row>
    <row r="559" spans="35:35">
      <c r="AI559" s="131"/>
    </row>
    <row r="560" spans="35:35">
      <c r="AI560" s="131"/>
    </row>
    <row r="561" spans="35:35">
      <c r="AI561" s="131"/>
    </row>
    <row r="562" spans="35:35">
      <c r="AI562" s="131"/>
    </row>
    <row r="563" spans="35:35">
      <c r="AI563" s="131"/>
    </row>
    <row r="564" spans="35:35">
      <c r="AI564" s="131"/>
    </row>
    <row r="565" spans="35:35">
      <c r="AI565" s="284"/>
    </row>
    <row r="566" spans="35:35">
      <c r="AI566" s="131"/>
    </row>
    <row r="567" spans="35:35">
      <c r="AI567" s="131"/>
    </row>
    <row r="568" spans="35:35">
      <c r="AI568" s="131"/>
    </row>
    <row r="569" spans="35:35">
      <c r="AI569" s="284"/>
    </row>
    <row r="570" spans="35:35">
      <c r="AI570" s="131"/>
    </row>
    <row r="571" spans="35:35">
      <c r="AI571" s="131"/>
    </row>
    <row r="572" spans="35:35">
      <c r="AI572" s="131"/>
    </row>
    <row r="573" spans="35:35">
      <c r="AI573" s="131"/>
    </row>
    <row r="574" spans="35:35">
      <c r="AI574" s="131"/>
    </row>
    <row r="575" spans="35:35">
      <c r="AI575" s="131"/>
    </row>
    <row r="576" spans="35:35">
      <c r="AI576" s="131"/>
    </row>
    <row r="577" spans="35:35">
      <c r="AI577" s="131"/>
    </row>
    <row r="578" spans="35:35">
      <c r="AI578" s="131"/>
    </row>
    <row r="579" spans="35:35">
      <c r="AI579" s="131"/>
    </row>
    <row r="580" spans="35:35">
      <c r="AI580" s="131"/>
    </row>
    <row r="581" spans="35:35">
      <c r="AI581" s="131"/>
    </row>
    <row r="582" spans="35:35">
      <c r="AI582" s="131"/>
    </row>
    <row r="583" spans="35:35">
      <c r="AI583" s="131"/>
    </row>
    <row r="584" spans="35:35">
      <c r="AI584" s="131"/>
    </row>
    <row r="585" spans="35:35">
      <c r="AI585" s="131"/>
    </row>
    <row r="586" spans="35:35">
      <c r="AI586" s="131"/>
    </row>
    <row r="587" spans="35:35">
      <c r="AI587" s="131"/>
    </row>
    <row r="588" spans="35:35">
      <c r="AI588" s="131"/>
    </row>
    <row r="589" spans="35:35">
      <c r="AI589" s="131"/>
    </row>
    <row r="590" spans="35:35">
      <c r="AI590" s="131"/>
    </row>
    <row r="591" spans="35:35">
      <c r="AI591" s="131"/>
    </row>
    <row r="592" spans="35:35">
      <c r="AI592" s="131"/>
    </row>
    <row r="593" spans="35:35">
      <c r="AI593" s="131"/>
    </row>
    <row r="594" spans="35:35">
      <c r="AI594" s="131"/>
    </row>
    <row r="595" spans="35:35">
      <c r="AI595" s="131"/>
    </row>
    <row r="596" spans="35:35">
      <c r="AI596" s="131"/>
    </row>
    <row r="597" spans="35:35">
      <c r="AI597" s="131"/>
    </row>
    <row r="598" spans="35:35">
      <c r="AI598" s="131"/>
    </row>
    <row r="599" spans="35:35">
      <c r="AI599" s="131"/>
    </row>
    <row r="600" spans="35:35">
      <c r="AI600" s="131"/>
    </row>
    <row r="601" spans="35:35">
      <c r="AI601" s="131"/>
    </row>
    <row r="602" spans="35:35">
      <c r="AI602" s="131"/>
    </row>
    <row r="603" spans="35:35">
      <c r="AI603" s="131"/>
    </row>
    <row r="604" spans="35:35">
      <c r="AI604" s="131"/>
    </row>
    <row r="605" spans="35:35">
      <c r="AI605" s="131"/>
    </row>
    <row r="606" spans="35:35">
      <c r="AI606" s="131"/>
    </row>
    <row r="607" spans="35:35">
      <c r="AI607" s="131"/>
    </row>
    <row r="608" spans="35:35">
      <c r="AI608" s="131"/>
    </row>
    <row r="609" spans="35:35">
      <c r="AI609" s="131"/>
    </row>
    <row r="610" spans="35:35">
      <c r="AI610" s="131"/>
    </row>
    <row r="611" spans="35:35">
      <c r="AI611" s="131"/>
    </row>
    <row r="612" spans="35:35">
      <c r="AI612" s="131"/>
    </row>
    <row r="613" spans="35:35">
      <c r="AI613" s="131"/>
    </row>
    <row r="614" spans="35:35">
      <c r="AI614" s="28"/>
    </row>
    <row r="615" spans="35:35">
      <c r="AI615" s="131"/>
    </row>
    <row r="616" spans="35:35">
      <c r="AI616" s="131"/>
    </row>
    <row r="617" spans="35:35">
      <c r="AI617" s="131"/>
    </row>
    <row r="618" spans="35:35">
      <c r="AI618" s="131"/>
    </row>
    <row r="619" spans="35:35">
      <c r="AI619" s="131"/>
    </row>
    <row r="620" spans="35:35">
      <c r="AI620" s="131"/>
    </row>
    <row r="621" spans="35:35">
      <c r="AI621" s="131"/>
    </row>
    <row r="622" spans="35:35">
      <c r="AI622" s="131"/>
    </row>
    <row r="623" spans="35:35">
      <c r="AI623" s="131"/>
    </row>
    <row r="624" spans="35:35">
      <c r="AI624" s="131"/>
    </row>
    <row r="625" spans="35:35">
      <c r="AI625" s="131"/>
    </row>
    <row r="626" spans="35:35">
      <c r="AI626" s="131"/>
    </row>
    <row r="627" spans="35:35">
      <c r="AI627" s="131"/>
    </row>
    <row r="628" spans="35:35">
      <c r="AI628" s="131"/>
    </row>
    <row r="629" spans="35:35">
      <c r="AI629" s="131"/>
    </row>
    <row r="630" spans="35:35">
      <c r="AI630" s="131"/>
    </row>
    <row r="631" spans="35:35">
      <c r="AI631" s="131"/>
    </row>
    <row r="632" spans="35:35">
      <c r="AI632" s="131"/>
    </row>
    <row r="633" spans="35:35">
      <c r="AI633" s="131"/>
    </row>
    <row r="634" spans="35:35">
      <c r="AI634" s="131"/>
    </row>
    <row r="635" spans="35:35">
      <c r="AI635" s="131"/>
    </row>
    <row r="636" spans="35:35">
      <c r="AI636" s="131"/>
    </row>
    <row r="637" spans="35:35">
      <c r="AI637" s="131"/>
    </row>
    <row r="638" spans="35:35">
      <c r="AI638" s="131"/>
    </row>
    <row r="639" spans="35:35">
      <c r="AI639" s="131"/>
    </row>
    <row r="640" spans="35:35">
      <c r="AI640" s="131"/>
    </row>
    <row r="641" spans="35:35">
      <c r="AI641" s="131"/>
    </row>
    <row r="642" spans="35:35">
      <c r="AI642" s="131"/>
    </row>
    <row r="643" spans="35:35">
      <c r="AI643" s="131"/>
    </row>
    <row r="644" spans="35:35">
      <c r="AI644" s="131"/>
    </row>
    <row r="645" spans="35:35">
      <c r="AI645" s="131"/>
    </row>
    <row r="646" spans="35:35">
      <c r="AI646" s="131"/>
    </row>
    <row r="647" spans="35:35">
      <c r="AI647" s="284"/>
    </row>
    <row r="648" spans="35:35">
      <c r="AI648" s="284"/>
    </row>
    <row r="649" spans="35:35">
      <c r="AI649" s="131"/>
    </row>
    <row r="650" spans="35:35">
      <c r="AI650" s="131"/>
    </row>
    <row r="651" spans="35:35">
      <c r="AI651" s="131"/>
    </row>
    <row r="652" spans="35:35">
      <c r="AI652" s="131"/>
    </row>
    <row r="653" spans="35:35">
      <c r="AI653" s="131"/>
    </row>
    <row r="654" spans="35:35">
      <c r="AI654" s="131"/>
    </row>
    <row r="655" spans="35:35">
      <c r="AI655" s="131"/>
    </row>
    <row r="656" spans="35:35">
      <c r="AI656" s="131"/>
    </row>
    <row r="657" spans="35:35">
      <c r="AI657" s="131"/>
    </row>
    <row r="658" spans="35:35">
      <c r="AI658" s="131"/>
    </row>
    <row r="659" spans="35:35">
      <c r="AI659" s="131"/>
    </row>
    <row r="660" spans="35:35">
      <c r="AI660" s="131"/>
    </row>
    <row r="661" spans="35:35">
      <c r="AI661" s="131"/>
    </row>
    <row r="662" spans="35:35">
      <c r="AI662" s="131"/>
    </row>
    <row r="663" spans="35:35">
      <c r="AI663" s="131"/>
    </row>
    <row r="664" spans="35:35">
      <c r="AI664" s="131"/>
    </row>
    <row r="665" spans="35:35">
      <c r="AI665" s="131"/>
    </row>
    <row r="666" spans="35:35">
      <c r="AI666" s="131"/>
    </row>
    <row r="667" spans="35:35">
      <c r="AI667" s="131"/>
    </row>
    <row r="668" spans="35:35">
      <c r="AI668" s="131"/>
    </row>
    <row r="669" spans="35:35">
      <c r="AI669" s="131"/>
    </row>
    <row r="670" spans="35:35">
      <c r="AI670" s="131"/>
    </row>
    <row r="671" spans="35:35">
      <c r="AI671" s="131"/>
    </row>
    <row r="672" spans="35:35">
      <c r="AI672" s="131"/>
    </row>
    <row r="673" spans="35:35">
      <c r="AI673" s="131"/>
    </row>
    <row r="674" spans="35:35">
      <c r="AI674" s="131"/>
    </row>
    <row r="675" spans="35:35">
      <c r="AI675" s="131"/>
    </row>
    <row r="676" spans="35:35">
      <c r="AI676" s="131"/>
    </row>
    <row r="677" spans="35:35">
      <c r="AI677" s="131"/>
    </row>
    <row r="678" spans="35:35">
      <c r="AI678" s="131"/>
    </row>
    <row r="679" spans="35:35">
      <c r="AI679" s="131"/>
    </row>
    <row r="680" spans="35:35">
      <c r="AI680" s="131"/>
    </row>
    <row r="681" spans="35:35">
      <c r="AI681" s="131"/>
    </row>
    <row r="682" spans="35:35">
      <c r="AI682" s="131"/>
    </row>
    <row r="683" spans="35:35">
      <c r="AI683" s="131"/>
    </row>
    <row r="684" spans="35:35">
      <c r="AI684" s="131"/>
    </row>
    <row r="685" spans="35:35">
      <c r="AI685" s="131"/>
    </row>
    <row r="686" spans="35:35">
      <c r="AI686" s="131"/>
    </row>
    <row r="687" spans="35:35">
      <c r="AI687" s="284"/>
    </row>
    <row r="688" spans="35:35">
      <c r="AI688" s="131"/>
    </row>
    <row r="689" spans="35:35">
      <c r="AI689" s="131"/>
    </row>
    <row r="690" spans="35:35">
      <c r="AI690" s="131"/>
    </row>
    <row r="691" spans="35:35">
      <c r="AI691" s="131"/>
    </row>
    <row r="692" spans="35:35">
      <c r="AI692" s="131"/>
    </row>
    <row r="693" spans="35:35">
      <c r="AI693" s="131"/>
    </row>
    <row r="694" spans="35:35">
      <c r="AI694" s="131"/>
    </row>
    <row r="695" spans="35:35">
      <c r="AI695" s="131"/>
    </row>
    <row r="696" spans="35:35">
      <c r="AI696" s="131"/>
    </row>
    <row r="697" spans="35:35">
      <c r="AI697" s="131"/>
    </row>
    <row r="698" spans="35:35">
      <c r="AI698" s="131"/>
    </row>
    <row r="699" spans="35:35">
      <c r="AI699" s="131"/>
    </row>
    <row r="700" spans="35:35">
      <c r="AI700" s="131"/>
    </row>
    <row r="701" spans="35:35">
      <c r="AI701" s="131"/>
    </row>
    <row r="702" spans="35:35">
      <c r="AI702" s="131"/>
    </row>
    <row r="703" spans="35:35">
      <c r="AI703" s="131"/>
    </row>
    <row r="704" spans="35:35">
      <c r="AI704" s="131"/>
    </row>
    <row r="705" spans="35:35">
      <c r="AI705" s="131"/>
    </row>
    <row r="706" spans="35:35">
      <c r="AI706" s="131"/>
    </row>
    <row r="707" spans="35:35">
      <c r="AI707" s="131"/>
    </row>
    <row r="708" spans="35:35">
      <c r="AI708" s="131"/>
    </row>
    <row r="709" spans="35:35">
      <c r="AI709" s="131"/>
    </row>
    <row r="710" spans="35:35">
      <c r="AI710" s="131"/>
    </row>
    <row r="711" spans="35:35">
      <c r="AI711" s="131"/>
    </row>
    <row r="712" spans="35:35">
      <c r="AI712" s="131"/>
    </row>
    <row r="713" spans="35:35">
      <c r="AI713" s="131"/>
    </row>
    <row r="714" spans="35:35">
      <c r="AI714" s="131"/>
    </row>
    <row r="715" spans="35:35">
      <c r="AI715" s="131"/>
    </row>
    <row r="716" spans="35:35">
      <c r="AI716" s="131"/>
    </row>
    <row r="717" spans="35:35">
      <c r="AI717" s="131"/>
    </row>
    <row r="718" spans="35:35">
      <c r="AI718" s="131"/>
    </row>
    <row r="719" spans="35:35">
      <c r="AI719" s="131"/>
    </row>
    <row r="720" spans="35:35">
      <c r="AI720" s="131"/>
    </row>
    <row r="721" spans="35:35">
      <c r="AI721" s="131"/>
    </row>
    <row r="722" spans="35:35">
      <c r="AI722" s="131"/>
    </row>
    <row r="723" spans="35:35">
      <c r="AI723" s="131"/>
    </row>
    <row r="724" spans="35:35">
      <c r="AI724" s="131"/>
    </row>
    <row r="725" spans="35:35">
      <c r="AI725" s="131"/>
    </row>
    <row r="726" spans="35:35">
      <c r="AI726" s="131"/>
    </row>
    <row r="727" spans="35:35">
      <c r="AI727" s="131"/>
    </row>
    <row r="728" spans="35:35">
      <c r="AI728" s="131"/>
    </row>
    <row r="729" spans="35:35">
      <c r="AI729" s="131"/>
    </row>
    <row r="730" spans="35:35">
      <c r="AI730" s="131"/>
    </row>
    <row r="731" spans="35:35">
      <c r="AI731" s="131"/>
    </row>
    <row r="732" spans="35:35">
      <c r="AI732" s="131"/>
    </row>
    <row r="733" spans="35:35">
      <c r="AI733" s="131"/>
    </row>
    <row r="734" spans="35:35">
      <c r="AI734" s="131"/>
    </row>
    <row r="735" spans="35:35">
      <c r="AI735" s="131"/>
    </row>
    <row r="736" spans="35:35">
      <c r="AI736" s="131"/>
    </row>
    <row r="737" spans="35:35">
      <c r="AI737" s="131"/>
    </row>
    <row r="738" spans="35:35">
      <c r="AI738" s="131"/>
    </row>
    <row r="739" spans="35:35">
      <c r="AI739" s="131"/>
    </row>
    <row r="740" spans="35:35">
      <c r="AI740" s="131"/>
    </row>
    <row r="741" spans="35:35">
      <c r="AI741" s="131"/>
    </row>
    <row r="742" spans="35:35">
      <c r="AI742" s="131"/>
    </row>
    <row r="743" spans="35:35">
      <c r="AI743" s="131"/>
    </row>
    <row r="744" spans="35:35">
      <c r="AI744" s="131"/>
    </row>
    <row r="745" spans="35:35">
      <c r="AI745" s="284"/>
    </row>
    <row r="746" spans="35:35">
      <c r="AI746" s="131"/>
    </row>
    <row r="747" spans="35:35">
      <c r="AI747" s="131"/>
    </row>
    <row r="748" spans="35:35">
      <c r="AI748" s="131"/>
    </row>
    <row r="749" spans="35:35">
      <c r="AI749" s="131"/>
    </row>
    <row r="750" spans="35:35">
      <c r="AI750" s="131"/>
    </row>
    <row r="751" spans="35:35">
      <c r="AI751" s="131"/>
    </row>
    <row r="752" spans="35:35">
      <c r="AI752" s="131"/>
    </row>
    <row r="753" spans="35:35">
      <c r="AI753" s="131"/>
    </row>
    <row r="754" spans="35:35">
      <c r="AI754" s="131"/>
    </row>
    <row r="755" spans="35:35">
      <c r="AI755" s="131"/>
    </row>
    <row r="756" spans="35:35">
      <c r="AI756" s="131"/>
    </row>
    <row r="757" spans="35:35">
      <c r="AI757" s="131"/>
    </row>
    <row r="758" spans="35:35">
      <c r="AI758" s="131"/>
    </row>
    <row r="759" spans="35:35">
      <c r="AI759" s="131"/>
    </row>
    <row r="760" spans="35:35">
      <c r="AI760" s="131"/>
    </row>
    <row r="761" spans="35:35">
      <c r="AI761" s="131"/>
    </row>
    <row r="762" spans="35:35">
      <c r="AI762" s="131"/>
    </row>
    <row r="763" spans="35:35">
      <c r="AI763" s="131"/>
    </row>
    <row r="764" spans="35:35">
      <c r="AI764" s="131"/>
    </row>
    <row r="765" spans="35:35">
      <c r="AI765" s="131"/>
    </row>
    <row r="766" spans="35:35">
      <c r="AI766" s="131"/>
    </row>
    <row r="767" spans="35:35">
      <c r="AI767" s="131"/>
    </row>
    <row r="768" spans="35:35">
      <c r="AI768" s="131"/>
    </row>
    <row r="769" spans="35:35">
      <c r="AI769" s="131"/>
    </row>
    <row r="770" spans="35:35">
      <c r="AI770" s="131"/>
    </row>
    <row r="771" spans="35:35">
      <c r="AI771" s="131"/>
    </row>
    <row r="772" spans="35:35">
      <c r="AI772" s="131"/>
    </row>
    <row r="773" spans="35:35">
      <c r="AI773" s="131"/>
    </row>
    <row r="774" spans="35:35">
      <c r="AI774" s="131"/>
    </row>
    <row r="775" spans="35:35">
      <c r="AI775" s="131"/>
    </row>
    <row r="776" spans="35:35">
      <c r="AI776" s="131"/>
    </row>
    <row r="777" spans="35:35">
      <c r="AI777" s="131"/>
    </row>
    <row r="778" spans="35:35">
      <c r="AI778" s="131"/>
    </row>
    <row r="779" spans="35:35">
      <c r="AI779" s="131"/>
    </row>
    <row r="780" spans="35:35">
      <c r="AI780" s="131"/>
    </row>
    <row r="781" spans="35:35">
      <c r="AI781" s="131"/>
    </row>
    <row r="782" spans="35:35">
      <c r="AI782" s="131"/>
    </row>
    <row r="783" spans="35:35">
      <c r="AI783" s="131"/>
    </row>
    <row r="784" spans="35:35">
      <c r="AI784" s="131"/>
    </row>
    <row r="785" spans="35:35">
      <c r="AI785" s="131"/>
    </row>
    <row r="786" spans="35:35">
      <c r="AI786" s="131"/>
    </row>
    <row r="787" spans="35:35">
      <c r="AI787" s="131"/>
    </row>
    <row r="788" spans="35:35">
      <c r="AI788" s="131"/>
    </row>
    <row r="789" spans="35:35">
      <c r="AI789" s="131"/>
    </row>
    <row r="790" spans="35:35">
      <c r="AI790" s="131"/>
    </row>
    <row r="791" spans="35:35">
      <c r="AI791" s="131"/>
    </row>
    <row r="792" spans="35:35">
      <c r="AI792" s="131"/>
    </row>
    <row r="793" spans="35:35">
      <c r="AI793" s="131"/>
    </row>
    <row r="794" spans="35:35">
      <c r="AI794" s="131"/>
    </row>
    <row r="795" spans="35:35">
      <c r="AI795" s="131"/>
    </row>
    <row r="796" spans="35:35">
      <c r="AI796" s="131"/>
    </row>
    <row r="797" spans="35:35">
      <c r="AI797" s="131"/>
    </row>
    <row r="798" spans="35:35">
      <c r="AI798" s="131"/>
    </row>
    <row r="799" spans="35:35">
      <c r="AI799" s="131"/>
    </row>
    <row r="800" spans="35:35">
      <c r="AI800" s="131"/>
    </row>
    <row r="801" spans="35:35">
      <c r="AI801" s="131"/>
    </row>
    <row r="802" spans="35:35">
      <c r="AI802" s="284"/>
    </row>
    <row r="803" spans="35:35">
      <c r="AI803" s="131"/>
    </row>
    <row r="804" spans="35:35">
      <c r="AI804" s="131"/>
    </row>
    <row r="805" spans="35:35">
      <c r="AI805" s="131"/>
    </row>
    <row r="806" spans="35:35">
      <c r="AI806" s="131"/>
    </row>
    <row r="807" spans="35:35">
      <c r="AI807" s="131"/>
    </row>
    <row r="808" spans="35:35">
      <c r="AI808" s="131"/>
    </row>
    <row r="809" spans="35:35">
      <c r="AI809" s="131"/>
    </row>
    <row r="810" spans="35:35">
      <c r="AI810" s="131"/>
    </row>
    <row r="811" spans="35:35">
      <c r="AI811" s="131"/>
    </row>
    <row r="812" spans="35:35">
      <c r="AI812" s="131"/>
    </row>
    <row r="813" spans="35:35">
      <c r="AI813" s="131"/>
    </row>
    <row r="814" spans="35:35">
      <c r="AI814" s="131"/>
    </row>
    <row r="815" spans="35:35">
      <c r="AI815" s="131"/>
    </row>
    <row r="816" spans="35:35">
      <c r="AI816" s="131"/>
    </row>
    <row r="817" spans="35:35">
      <c r="AI817" s="131"/>
    </row>
    <row r="818" spans="35:35">
      <c r="AI818" s="131"/>
    </row>
    <row r="819" spans="35:35">
      <c r="AI819" s="131"/>
    </row>
    <row r="820" spans="35:35">
      <c r="AI820" s="131"/>
    </row>
    <row r="821" spans="35:35">
      <c r="AI821" s="131"/>
    </row>
    <row r="822" spans="35:35">
      <c r="AI822" s="131"/>
    </row>
    <row r="823" spans="35:35">
      <c r="AI823" s="131"/>
    </row>
    <row r="824" spans="35:35">
      <c r="AI824" s="131"/>
    </row>
    <row r="825" spans="35:35">
      <c r="AI825" s="131"/>
    </row>
    <row r="826" spans="35:35">
      <c r="AI826" s="131"/>
    </row>
    <row r="827" spans="35:35">
      <c r="AI827" s="131"/>
    </row>
    <row r="828" spans="35:35">
      <c r="AI828" s="131"/>
    </row>
    <row r="829" spans="35:35">
      <c r="AI829" s="131"/>
    </row>
    <row r="830" spans="35:35">
      <c r="AI830" s="253"/>
    </row>
    <row r="831" spans="35:35">
      <c r="AI831" s="131"/>
    </row>
    <row r="832" spans="35:35">
      <c r="AI832" s="131"/>
    </row>
    <row r="833" spans="35:35">
      <c r="AI833" s="131"/>
    </row>
    <row r="834" spans="35:35">
      <c r="AI834" s="131"/>
    </row>
    <row r="835" spans="35:35">
      <c r="AI835" s="131"/>
    </row>
    <row r="836" spans="35:35">
      <c r="AI836" s="131"/>
    </row>
    <row r="837" spans="35:35">
      <c r="AI837" s="131"/>
    </row>
    <row r="838" spans="35:35">
      <c r="AI838" s="131"/>
    </row>
    <row r="839" spans="35:35">
      <c r="AI839" s="131"/>
    </row>
    <row r="840" spans="35:35">
      <c r="AI840" s="131"/>
    </row>
    <row r="841" spans="35:35">
      <c r="AI841" s="131"/>
    </row>
    <row r="842" spans="35:35">
      <c r="AI842" s="131"/>
    </row>
    <row r="843" spans="35:35">
      <c r="AI843" s="131"/>
    </row>
    <row r="844" spans="35:35">
      <c r="AI844" s="284"/>
    </row>
    <row r="845" spans="35:35">
      <c r="AI845" s="131"/>
    </row>
    <row r="846" spans="35:35">
      <c r="AI846" s="131"/>
    </row>
    <row r="847" spans="35:35">
      <c r="AI847" s="131"/>
    </row>
    <row r="848" spans="35:35">
      <c r="AI848" s="131"/>
    </row>
    <row r="849" spans="35:35">
      <c r="AI849" s="131"/>
    </row>
    <row r="850" spans="35:35">
      <c r="AI850" s="131"/>
    </row>
    <row r="851" spans="35:35">
      <c r="AI851" s="131"/>
    </row>
    <row r="852" spans="35:35">
      <c r="AI852" s="131"/>
    </row>
    <row r="854" spans="35:35">
      <c r="AI854" s="131"/>
    </row>
    <row r="855" spans="35:35">
      <c r="AI855" s="131"/>
    </row>
    <row r="856" spans="35:35">
      <c r="AI856" s="284"/>
    </row>
    <row r="857" spans="35:35">
      <c r="AI857" s="131"/>
    </row>
    <row r="858" spans="35:35">
      <c r="AI858" s="284"/>
    </row>
    <row r="859" spans="35:35">
      <c r="AI859" s="131"/>
    </row>
    <row r="860" spans="35:35">
      <c r="AI860" s="131"/>
    </row>
    <row r="861" spans="35:35">
      <c r="AI861" s="131"/>
    </row>
    <row r="862" spans="35:35">
      <c r="AI862" s="284"/>
    </row>
    <row r="863" spans="35:35">
      <c r="AI863" s="128"/>
    </row>
    <row r="865" spans="35:35">
      <c r="AI865" s="131"/>
    </row>
    <row r="866" spans="35:35">
      <c r="AI866" s="284"/>
    </row>
    <row r="867" spans="35:35">
      <c r="AI867" s="131"/>
    </row>
    <row r="868" spans="35:35">
      <c r="AI868" s="131"/>
    </row>
    <row r="869" spans="35:35">
      <c r="AI869" s="284"/>
    </row>
    <row r="870" spans="35:35">
      <c r="AI870" s="131"/>
    </row>
    <row r="871" spans="35:35">
      <c r="AI871" s="131"/>
    </row>
    <row r="872" spans="35:35">
      <c r="AI872" s="131"/>
    </row>
    <row r="873" spans="35:35">
      <c r="AI873" s="131"/>
    </row>
    <row r="874" spans="35:35">
      <c r="AI874" s="131"/>
    </row>
    <row r="875" spans="35:35">
      <c r="AI875" s="284"/>
    </row>
    <row r="876" spans="35:35">
      <c r="AI876" s="131"/>
    </row>
    <row r="877" spans="35:35">
      <c r="AI877" s="131"/>
    </row>
    <row r="878" spans="35:35">
      <c r="AI878" s="131"/>
    </row>
    <row r="879" spans="35:35">
      <c r="AI879" s="131"/>
    </row>
    <row r="881" spans="35:35">
      <c r="AI881" s="284"/>
    </row>
    <row r="882" spans="35:35">
      <c r="AI882" s="131"/>
    </row>
    <row r="883" spans="35:35">
      <c r="AI883" s="131"/>
    </row>
    <row r="884" spans="35:35">
      <c r="AI884" s="131"/>
    </row>
    <row r="885" spans="35:35">
      <c r="AI885" s="131"/>
    </row>
    <row r="886" spans="35:35">
      <c r="AI886" s="131"/>
    </row>
    <row r="887" spans="35:35">
      <c r="AI887" s="131"/>
    </row>
    <row r="888" spans="35:35">
      <c r="AI888" s="131"/>
    </row>
    <row r="889" spans="35:35">
      <c r="AI889" s="131"/>
    </row>
    <row r="890" spans="35:35">
      <c r="AI890" s="27"/>
    </row>
    <row r="891" spans="35:35">
      <c r="AI891" s="131"/>
    </row>
    <row r="892" spans="35:35">
      <c r="AI892" s="131"/>
    </row>
    <row r="893" spans="35:35">
      <c r="AI893" s="131"/>
    </row>
    <row r="894" spans="35:35">
      <c r="AI894" s="131"/>
    </row>
    <row r="895" spans="35:35">
      <c r="AI895" s="131"/>
    </row>
    <row r="896" spans="35:35">
      <c r="AI896" s="131"/>
    </row>
    <row r="897" spans="35:35">
      <c r="AI897" s="131"/>
    </row>
    <row r="898" spans="35:35">
      <c r="AI898" s="284"/>
    </row>
    <row r="899" spans="35:35">
      <c r="AI899" s="131"/>
    </row>
    <row r="900" spans="35:35">
      <c r="AI900" s="131"/>
    </row>
    <row r="901" spans="35:35">
      <c r="AI901" s="131"/>
    </row>
    <row r="902" spans="35:35">
      <c r="AI902" s="131"/>
    </row>
    <row r="903" spans="35:35">
      <c r="AI903" s="131"/>
    </row>
    <row r="904" spans="35:35">
      <c r="AI904" s="131"/>
    </row>
    <row r="905" spans="35:35">
      <c r="AI905" s="284"/>
    </row>
    <row r="906" spans="35:35">
      <c r="AI906" s="131"/>
    </row>
    <row r="907" spans="35:35">
      <c r="AI907" s="131"/>
    </row>
    <row r="908" spans="35:35">
      <c r="AI908" s="131"/>
    </row>
    <row r="909" spans="35:35">
      <c r="AI909" s="131"/>
    </row>
    <row r="910" spans="35:35">
      <c r="AI910" s="131"/>
    </row>
    <row r="911" spans="35:35">
      <c r="AI911" s="131"/>
    </row>
    <row r="912" spans="35:35">
      <c r="AI912" s="131"/>
    </row>
    <row r="913" spans="35:35">
      <c r="AI913" s="284"/>
    </row>
    <row r="914" spans="35:35">
      <c r="AI914" s="131"/>
    </row>
    <row r="915" spans="35:35">
      <c r="AI915" s="131"/>
    </row>
    <row r="916" spans="35:35">
      <c r="AI916" s="131"/>
    </row>
    <row r="917" spans="35:35">
      <c r="AI917" s="131"/>
    </row>
    <row r="918" spans="35:35">
      <c r="AI918" s="131"/>
    </row>
    <row r="919" spans="35:35">
      <c r="AI919" s="131"/>
    </row>
    <row r="920" spans="35:35">
      <c r="AI920" s="131"/>
    </row>
    <row r="921" spans="35:35">
      <c r="AI921" s="131"/>
    </row>
    <row r="922" spans="35:35">
      <c r="AI922" s="131"/>
    </row>
    <row r="923" spans="35:35">
      <c r="AI923" s="128"/>
    </row>
    <row r="924" spans="35:35">
      <c r="AI924" s="128"/>
    </row>
    <row r="925" spans="35:35">
      <c r="AI925" s="131"/>
    </row>
    <row r="926" spans="35:35">
      <c r="AI926" s="131"/>
    </row>
    <row r="927" spans="35:35">
      <c r="AI927" s="131"/>
    </row>
    <row r="928" spans="35:35">
      <c r="AI928" s="131"/>
    </row>
    <row r="929" spans="35:35">
      <c r="AI929" s="131"/>
    </row>
    <row r="930" spans="35:35">
      <c r="AI930" s="131"/>
    </row>
    <row r="931" spans="35:35">
      <c r="AI931" s="131"/>
    </row>
    <row r="932" spans="35:35">
      <c r="AI932" s="131"/>
    </row>
    <row r="933" spans="35:35">
      <c r="AI933" s="131"/>
    </row>
    <row r="934" spans="35:35">
      <c r="AI934" s="131"/>
    </row>
    <row r="935" spans="35:35">
      <c r="AI935" s="131"/>
    </row>
    <row r="936" spans="35:35">
      <c r="AI936" s="284"/>
    </row>
    <row r="937" spans="35:35">
      <c r="AI937" s="131"/>
    </row>
    <row r="938" spans="35:35">
      <c r="AI938" s="131"/>
    </row>
    <row r="939" spans="35:35">
      <c r="AI939" s="284"/>
    </row>
    <row r="940" spans="35:35">
      <c r="AI940" s="131"/>
    </row>
    <row r="941" spans="35:35">
      <c r="AI941" s="131"/>
    </row>
    <row r="942" spans="35:35">
      <c r="AI942" s="131"/>
    </row>
    <row r="943" spans="35:35">
      <c r="AI943" s="44"/>
    </row>
    <row r="945" spans="35:35">
      <c r="AI945" s="131"/>
    </row>
    <row r="946" spans="35:35">
      <c r="AI946" s="131"/>
    </row>
    <row r="947" spans="35:35">
      <c r="AI947" s="131"/>
    </row>
    <row r="948" spans="35:35">
      <c r="AI948" s="131"/>
    </row>
    <row r="949" spans="35:35">
      <c r="AI949" s="131"/>
    </row>
    <row r="950" spans="35:35">
      <c r="AI950" s="131"/>
    </row>
    <row r="951" spans="35:35">
      <c r="AI951" s="131"/>
    </row>
    <row r="952" spans="35:35">
      <c r="AI952" s="131"/>
    </row>
    <row r="953" spans="35:35">
      <c r="AI953" s="128"/>
    </row>
    <row r="954" spans="35:35">
      <c r="AI954" s="131"/>
    </row>
    <row r="955" spans="35:35">
      <c r="AI955" s="131"/>
    </row>
    <row r="956" spans="35:35">
      <c r="AI956" s="131"/>
    </row>
    <row r="957" spans="35:35">
      <c r="AI957" s="131"/>
    </row>
    <row r="958" spans="35:35">
      <c r="AI958" s="131"/>
    </row>
    <row r="959" spans="35:35">
      <c r="AI959" s="131"/>
    </row>
    <row r="960" spans="35:35">
      <c r="AI960" s="131"/>
    </row>
    <row r="961" spans="35:35">
      <c r="AI961" s="131"/>
    </row>
    <row r="963" spans="35:35">
      <c r="AI963" s="131"/>
    </row>
    <row r="964" spans="35:35">
      <c r="AI964" s="131"/>
    </row>
    <row r="965" spans="35:35">
      <c r="AI965" s="131"/>
    </row>
    <row r="966" spans="35:35">
      <c r="AI966" s="131"/>
    </row>
    <row r="967" spans="35:35">
      <c r="AI967" s="284"/>
    </row>
    <row r="968" spans="35:35">
      <c r="AI968" s="131"/>
    </row>
    <row r="969" spans="35:35">
      <c r="AI969" s="131"/>
    </row>
    <row r="970" spans="35:35">
      <c r="AI970" s="131"/>
    </row>
    <row r="971" spans="35:35">
      <c r="AI971" s="131"/>
    </row>
    <row r="972" spans="35:35">
      <c r="AI972" s="131"/>
    </row>
    <row r="973" spans="35:35">
      <c r="AI973" s="131"/>
    </row>
    <row r="974" spans="35:35">
      <c r="AI974" s="128"/>
    </row>
    <row r="975" spans="35:35">
      <c r="AI975" s="131"/>
    </row>
    <row r="976" spans="35:35">
      <c r="AI976" s="284"/>
    </row>
    <row r="977" spans="35:35">
      <c r="AI977" s="131"/>
    </row>
    <row r="978" spans="35:35">
      <c r="AI978" s="131"/>
    </row>
    <row r="979" spans="35:35">
      <c r="AI979" s="131"/>
    </row>
    <row r="980" spans="35:35">
      <c r="AI980" s="131"/>
    </row>
    <row r="981" spans="35:35">
      <c r="AI981" s="131"/>
    </row>
    <row r="982" spans="35:35">
      <c r="AI982" s="131"/>
    </row>
    <row r="983" spans="35:35">
      <c r="AI983" s="131"/>
    </row>
    <row r="984" spans="35:35">
      <c r="AI984" s="131"/>
    </row>
    <row r="985" spans="35:35">
      <c r="AI985" s="131"/>
    </row>
    <row r="986" spans="35:35">
      <c r="AI986" s="131"/>
    </row>
    <row r="987" spans="35:35">
      <c r="AI987" s="131"/>
    </row>
    <row r="988" spans="35:35">
      <c r="AI988" s="131"/>
    </row>
    <row r="989" spans="35:35">
      <c r="AI989" s="131"/>
    </row>
    <row r="990" spans="35:35">
      <c r="AI990" s="131"/>
    </row>
    <row r="991" spans="35:35">
      <c r="AI991" s="131"/>
    </row>
    <row r="992" spans="35:35">
      <c r="AI992" s="131"/>
    </row>
    <row r="993" spans="35:35">
      <c r="AI993" s="131"/>
    </row>
    <row r="994" spans="35:35">
      <c r="AI994" s="131"/>
    </row>
    <row r="995" spans="35:35">
      <c r="AI995" s="128"/>
    </row>
    <row r="996" spans="35:35">
      <c r="AI996" s="131"/>
    </row>
    <row r="997" spans="35:35">
      <c r="AI997" s="131"/>
    </row>
    <row r="998" spans="35:35">
      <c r="AI998" s="131"/>
    </row>
    <row r="999" spans="35:35">
      <c r="AI999" s="131"/>
    </row>
    <row r="1000" spans="35:35">
      <c r="AI1000" s="131"/>
    </row>
    <row r="1001" spans="35:35">
      <c r="AI1001" s="28"/>
    </row>
    <row r="1002" spans="35:35">
      <c r="AI1002" s="128"/>
    </row>
    <row r="1003" spans="35:35">
      <c r="AI1003" s="284"/>
    </row>
    <row r="1004" spans="35:35">
      <c r="AI1004" s="284"/>
    </row>
    <row r="1005" spans="35:35">
      <c r="AI1005" s="131"/>
    </row>
    <row r="1006" spans="35:35">
      <c r="AI1006" s="128"/>
    </row>
    <row r="1007" spans="35:35">
      <c r="AI1007" s="131"/>
    </row>
    <row r="1008" spans="35:35">
      <c r="AI1008" s="131"/>
    </row>
    <row r="1009" spans="35:35">
      <c r="AI1009" s="131"/>
    </row>
    <row r="1010" spans="35:35">
      <c r="AI1010" s="44"/>
    </row>
    <row r="1011" spans="35:35">
      <c r="AI1011" s="131"/>
    </row>
    <row r="1013" spans="35:35">
      <c r="AI1013" s="131"/>
    </row>
    <row r="1014" spans="35:35">
      <c r="AI1014" s="128"/>
    </row>
    <row r="1015" spans="35:35">
      <c r="AI1015" s="131"/>
    </row>
    <row r="1016" spans="35:35">
      <c r="AI1016" s="131"/>
    </row>
    <row r="1017" spans="35:35">
      <c r="AI1017" s="128"/>
    </row>
    <row r="1018" spans="35:35">
      <c r="AI1018" s="131"/>
    </row>
    <row r="1019" spans="35:35">
      <c r="AI1019" s="131"/>
    </row>
    <row r="1020" spans="35:35">
      <c r="AI1020" s="131"/>
    </row>
    <row r="1021" spans="35:35">
      <c r="AI1021" s="131"/>
    </row>
    <row r="1022" spans="35:35">
      <c r="AI1022" s="131"/>
    </row>
    <row r="1023" spans="35:35">
      <c r="AI1023" s="131"/>
    </row>
    <row r="1024" spans="35:35">
      <c r="AI1024" s="131"/>
    </row>
    <row r="1025" spans="35:36">
      <c r="AI1025" s="131"/>
    </row>
    <row r="1026" spans="35:36">
      <c r="AI1026" s="131"/>
    </row>
    <row r="1027" spans="35:36">
      <c r="AI1027" s="131"/>
    </row>
    <row r="1028" spans="35:36">
      <c r="AI1028" s="284"/>
    </row>
    <row r="1029" spans="35:36">
      <c r="AI1029" s="131"/>
    </row>
    <row r="1030" spans="35:36">
      <c r="AI1030" s="131"/>
    </row>
    <row r="1031" spans="35:36">
      <c r="AI1031" s="131"/>
    </row>
    <row r="1032" spans="35:36">
      <c r="AI1032" s="131"/>
    </row>
    <row r="1033" spans="35:36">
      <c r="AI1033" s="131"/>
      <c r="AJ1033" s="264" t="s">
        <v>5277</v>
      </c>
    </row>
    <row r="1034" spans="35:36">
      <c r="AI1034" s="131"/>
    </row>
    <row r="1035" spans="35:36">
      <c r="AI1035" s="128"/>
    </row>
    <row r="1036" spans="35:36">
      <c r="AI1036" s="131"/>
    </row>
    <row r="1037" spans="35:36">
      <c r="AI1037" s="131"/>
    </row>
    <row r="1038" spans="35:36">
      <c r="AI1038" s="131"/>
    </row>
    <row r="1039" spans="35:36">
      <c r="AI1039" s="131"/>
    </row>
    <row r="1040" spans="35:36">
      <c r="AI1040" s="284"/>
    </row>
    <row r="1042" spans="35:35">
      <c r="AI1042" s="131"/>
    </row>
    <row r="1043" spans="35:35">
      <c r="AI1043" s="131"/>
    </row>
    <row r="1044" spans="35:35">
      <c r="AI1044" s="131"/>
    </row>
    <row r="1045" spans="35:35">
      <c r="AI1045" s="28"/>
    </row>
    <row r="1046" spans="35:35">
      <c r="AI1046" s="131"/>
    </row>
    <row r="1047" spans="35:35">
      <c r="AI1047" s="284"/>
    </row>
    <row r="1048" spans="35:35">
      <c r="AI1048" s="128"/>
    </row>
    <row r="1049" spans="35:35">
      <c r="AI1049" s="131"/>
    </row>
    <row r="1050" spans="35:35">
      <c r="AI1050" s="131"/>
    </row>
    <row r="1051" spans="35:35">
      <c r="AI1051" s="131"/>
    </row>
    <row r="1052" spans="35:35">
      <c r="AI1052" s="131"/>
    </row>
    <row r="1053" spans="35:35">
      <c r="AI1053" s="131"/>
    </row>
    <row r="1054" spans="35:35">
      <c r="AI1054" s="131"/>
    </row>
    <row r="1055" spans="35:35">
      <c r="AI1055" s="131"/>
    </row>
    <row r="1056" spans="35:35">
      <c r="AI1056" s="131"/>
    </row>
    <row r="1057" spans="35:35">
      <c r="AI1057" s="131"/>
    </row>
    <row r="1058" spans="35:35">
      <c r="AI1058" s="131"/>
    </row>
    <row r="1059" spans="35:35">
      <c r="AI1059" s="131"/>
    </row>
    <row r="1060" spans="35:35">
      <c r="AI1060" s="131"/>
    </row>
    <row r="1061" spans="35:35">
      <c r="AI1061" s="131"/>
    </row>
    <row r="1062" spans="35:35">
      <c r="AI1062" s="284"/>
    </row>
    <row r="1064" spans="35:35">
      <c r="AI1064" s="131"/>
    </row>
    <row r="1065" spans="35:35">
      <c r="AI1065" s="131"/>
    </row>
    <row r="1066" spans="35:35">
      <c r="AI1066" s="131"/>
    </row>
    <row r="1067" spans="35:35">
      <c r="AI1067" s="131"/>
    </row>
    <row r="1068" spans="35:35">
      <c r="AI1068" s="131"/>
    </row>
    <row r="1069" spans="35:35">
      <c r="AI1069" s="131"/>
    </row>
    <row r="1070" spans="35:35">
      <c r="AI1070" s="131"/>
    </row>
    <row r="1071" spans="35:35">
      <c r="AI1071" s="131"/>
    </row>
    <row r="1072" spans="35:35">
      <c r="AI1072" s="131"/>
    </row>
    <row r="1073" spans="35:35">
      <c r="AI1073" s="131"/>
    </row>
    <row r="1074" spans="35:35">
      <c r="AI1074" s="131"/>
    </row>
    <row r="1075" spans="35:35">
      <c r="AI1075" s="131"/>
    </row>
    <row r="1076" spans="35:35">
      <c r="AI1076" s="131"/>
    </row>
    <row r="1077" spans="35:35">
      <c r="AI1077" s="131"/>
    </row>
    <row r="1079" spans="35:35">
      <c r="AI1079" s="131"/>
    </row>
    <row r="1080" spans="35:35">
      <c r="AI1080" s="128"/>
    </row>
    <row r="1081" spans="35:35">
      <c r="AI1081" s="131"/>
    </row>
    <row r="1082" spans="35:35">
      <c r="AI1082" s="131"/>
    </row>
    <row r="1083" spans="35:35">
      <c r="AI1083" s="131"/>
    </row>
    <row r="1084" spans="35:35">
      <c r="AI1084" s="131"/>
    </row>
    <row r="1085" spans="35:35">
      <c r="AI1085" s="131"/>
    </row>
    <row r="1086" spans="35:35">
      <c r="AI1086" s="131"/>
    </row>
    <row r="1088" spans="35:35">
      <c r="AI1088" s="131"/>
    </row>
    <row r="1089" spans="35:35">
      <c r="AI1089" s="131"/>
    </row>
    <row r="1090" spans="35:35">
      <c r="AI1090" s="131"/>
    </row>
    <row r="1091" spans="35:35">
      <c r="AI1091" s="131"/>
    </row>
    <row r="1092" spans="35:35">
      <c r="AI1092" s="131"/>
    </row>
    <row r="1093" spans="35:35">
      <c r="AI1093" s="131"/>
    </row>
    <row r="1094" spans="35:35">
      <c r="AI1094" s="131"/>
    </row>
    <row r="1095" spans="35:35">
      <c r="AI1095" s="131"/>
    </row>
    <row r="1096" spans="35:35">
      <c r="AI1096" s="131"/>
    </row>
    <row r="1097" spans="35:35">
      <c r="AI1097" s="128"/>
    </row>
    <row r="1098" spans="35:35">
      <c r="AI1098" s="131"/>
    </row>
    <row r="1099" spans="35:35">
      <c r="AI1099" s="131"/>
    </row>
    <row r="1100" spans="35:35">
      <c r="AI1100" s="131"/>
    </row>
    <row r="1102" spans="35:35">
      <c r="AI1102" s="131"/>
    </row>
    <row r="1103" spans="35:35">
      <c r="AI1103" s="131"/>
    </row>
    <row r="1104" spans="35:35">
      <c r="AI1104" s="284"/>
    </row>
    <row r="1105" spans="35:35">
      <c r="AI1105" s="131"/>
    </row>
    <row r="1106" spans="35:35">
      <c r="AI1106" s="284"/>
    </row>
    <row r="1107" spans="35:35">
      <c r="AI1107" s="131"/>
    </row>
    <row r="1108" spans="35:35">
      <c r="AI1108" s="131"/>
    </row>
    <row r="1109" spans="35:35">
      <c r="AI1109" s="131"/>
    </row>
    <row r="1110" spans="35:35">
      <c r="AI1110" s="284"/>
    </row>
    <row r="1111" spans="35:35">
      <c r="AI1111" s="284"/>
    </row>
    <row r="1112" spans="35:35">
      <c r="AI1112" s="131"/>
    </row>
    <row r="1113" spans="35:35">
      <c r="AI1113" s="131"/>
    </row>
    <row r="1114" spans="35:35">
      <c r="AI1114" s="131"/>
    </row>
    <row r="1115" spans="35:35">
      <c r="AI1115" s="131"/>
    </row>
    <row r="1116" spans="35:35">
      <c r="AI1116" s="284"/>
    </row>
    <row r="1117" spans="35:35">
      <c r="AI1117" s="131"/>
    </row>
    <row r="1118" spans="35:35">
      <c r="AI1118" s="284"/>
    </row>
    <row r="1119" spans="35:35">
      <c r="AI1119" s="131"/>
    </row>
    <row r="1120" spans="35:35">
      <c r="AI1120" s="284"/>
    </row>
    <row r="1121" spans="35:35">
      <c r="AI1121" s="131"/>
    </row>
    <row r="1122" spans="35:35">
      <c r="AI1122" s="131"/>
    </row>
    <row r="1123" spans="35:35">
      <c r="AI1123" s="131"/>
    </row>
    <row r="1124" spans="35:35">
      <c r="AI1124" s="131"/>
    </row>
    <row r="1125" spans="35:35">
      <c r="AI1125" s="131"/>
    </row>
    <row r="1126" spans="35:35">
      <c r="AI1126" s="131"/>
    </row>
    <row r="1127" spans="35:35">
      <c r="AI1127" s="131"/>
    </row>
    <row r="1128" spans="35:35">
      <c r="AI1128" s="131"/>
    </row>
    <row r="1129" spans="35:35">
      <c r="AI1129" s="131"/>
    </row>
    <row r="1130" spans="35:35">
      <c r="AI1130" s="131"/>
    </row>
    <row r="1131" spans="35:35">
      <c r="AI1131" s="131"/>
    </row>
    <row r="1132" spans="35:35">
      <c r="AI1132" s="131"/>
    </row>
    <row r="1133" spans="35:35">
      <c r="AI1133" s="131"/>
    </row>
    <row r="1134" spans="35:35">
      <c r="AI1134" s="131"/>
    </row>
    <row r="1135" spans="35:35">
      <c r="AI1135" s="131"/>
    </row>
    <row r="1136" spans="35:35">
      <c r="AI1136" s="131"/>
    </row>
    <row r="1137" spans="35:35">
      <c r="AI1137" s="284"/>
    </row>
    <row r="1138" spans="35:35">
      <c r="AI1138" s="131"/>
    </row>
    <row r="1139" spans="35:35">
      <c r="AI1139" s="131"/>
    </row>
    <row r="1140" spans="35:35">
      <c r="AI1140" s="131"/>
    </row>
    <row r="1141" spans="35:35">
      <c r="AI1141" s="131"/>
    </row>
    <row r="1142" spans="35:35">
      <c r="AI1142" s="131"/>
    </row>
    <row r="1143" spans="35:35">
      <c r="AI1143" s="131"/>
    </row>
    <row r="1144" spans="35:35">
      <c r="AI1144" s="131"/>
    </row>
    <row r="1145" spans="35:35">
      <c r="AI1145" s="284"/>
    </row>
    <row r="1146" spans="35:35">
      <c r="AI1146" s="131"/>
    </row>
    <row r="1147" spans="35:35">
      <c r="AI1147" s="131"/>
    </row>
    <row r="1148" spans="35:35">
      <c r="AI1148" s="131"/>
    </row>
    <row r="1149" spans="35:35">
      <c r="AI1149" s="131"/>
    </row>
    <row r="1150" spans="35:35">
      <c r="AI1150" s="131"/>
    </row>
    <row r="1151" spans="35:35">
      <c r="AI1151" s="131"/>
    </row>
    <row r="1152" spans="35:35">
      <c r="AI1152" s="131"/>
    </row>
    <row r="1153" spans="35:35">
      <c r="AI1153" s="131"/>
    </row>
    <row r="1154" spans="35:35">
      <c r="AI1154" s="131"/>
    </row>
    <row r="1155" spans="35:35">
      <c r="AI1155" s="131"/>
    </row>
    <row r="1156" spans="35:35">
      <c r="AI1156" s="128"/>
    </row>
    <row r="1157" spans="35:35">
      <c r="AI1157" s="131"/>
    </row>
    <row r="1158" spans="35:35">
      <c r="AI1158" s="131"/>
    </row>
    <row r="1159" spans="35:35">
      <c r="AI1159" s="284"/>
    </row>
    <row r="1160" spans="35:35">
      <c r="AI1160" s="131"/>
    </row>
    <row r="1161" spans="35:35">
      <c r="AI1161" s="131"/>
    </row>
    <row r="1162" spans="35:35">
      <c r="AI1162" s="131"/>
    </row>
    <row r="1163" spans="35:35">
      <c r="AI1163" s="131"/>
    </row>
    <row r="1164" spans="35:35">
      <c r="AI1164" s="131"/>
    </row>
    <row r="1165" spans="35:35">
      <c r="AI1165" s="131"/>
    </row>
    <row r="1166" spans="35:35">
      <c r="AI1166" s="131"/>
    </row>
    <row r="1167" spans="35:35">
      <c r="AI1167" s="284"/>
    </row>
    <row r="1168" spans="35:35">
      <c r="AI1168" s="284"/>
    </row>
    <row r="1169" spans="35:35">
      <c r="AI1169" s="131"/>
    </row>
    <row r="1170" spans="35:35">
      <c r="AI1170" s="284"/>
    </row>
    <row r="1171" spans="35:35">
      <c r="AI1171" s="131"/>
    </row>
    <row r="1172" spans="35:35">
      <c r="AI1172" s="131"/>
    </row>
    <row r="1173" spans="35:35">
      <c r="AI1173" s="131"/>
    </row>
    <row r="1174" spans="35:35">
      <c r="AI1174" s="131"/>
    </row>
    <row r="1175" spans="35:35">
      <c r="AI1175" s="131"/>
    </row>
    <row r="1176" spans="35:35">
      <c r="AI1176" s="131"/>
    </row>
    <row r="1177" spans="35:35">
      <c r="AI1177" s="131"/>
    </row>
    <row r="1178" spans="35:35">
      <c r="AI1178" s="284"/>
    </row>
    <row r="1179" spans="35:35">
      <c r="AI1179" s="131"/>
    </row>
    <row r="1180" spans="35:35">
      <c r="AI1180" s="131"/>
    </row>
    <row r="1181" spans="35:35">
      <c r="AI1181" s="131"/>
    </row>
    <row r="1182" spans="35:35">
      <c r="AI1182" s="131"/>
    </row>
    <row r="1183" spans="35:35">
      <c r="AI1183" s="131"/>
    </row>
    <row r="1184" spans="35:35">
      <c r="AI1184" s="131"/>
    </row>
    <row r="1185" spans="35:35">
      <c r="AI1185" s="131"/>
    </row>
    <row r="1186" spans="35:35">
      <c r="AI1186" s="131"/>
    </row>
    <row r="1187" spans="35:35">
      <c r="AI1187" s="131"/>
    </row>
    <row r="1188" spans="35:35">
      <c r="AI1188" s="131"/>
    </row>
    <row r="1189" spans="35:35">
      <c r="AI1189" s="131"/>
    </row>
    <row r="1190" spans="35:35">
      <c r="AI1190" s="132"/>
    </row>
    <row r="1191" spans="35:35">
      <c r="AI1191" s="131"/>
    </row>
    <row r="1192" spans="35:35">
      <c r="AI1192" s="131"/>
    </row>
    <row r="1193" spans="35:35">
      <c r="AI1193" s="131"/>
    </row>
    <row r="1194" spans="35:35">
      <c r="AI1194" s="131"/>
    </row>
    <row r="1195" spans="35:35">
      <c r="AI1195" s="131"/>
    </row>
    <row r="1196" spans="35:35">
      <c r="AI1196" s="131"/>
    </row>
    <row r="1197" spans="35:35">
      <c r="AI1197" s="131"/>
    </row>
    <row r="1198" spans="35:35">
      <c r="AI1198" s="284"/>
    </row>
    <row r="1199" spans="35:35">
      <c r="AI1199" s="131"/>
    </row>
    <row r="1200" spans="35:35">
      <c r="AI1200" s="131"/>
    </row>
    <row r="1201" spans="35:35">
      <c r="AI1201" s="131"/>
    </row>
    <row r="1202" spans="35:35">
      <c r="AI1202" s="131"/>
    </row>
    <row r="1203" spans="35:35">
      <c r="AI1203" s="131"/>
    </row>
    <row r="1204" spans="35:35">
      <c r="AI1204" s="131"/>
    </row>
    <row r="1205" spans="35:35">
      <c r="AI1205" s="131"/>
    </row>
    <row r="1206" spans="35:35">
      <c r="AI1206" s="131"/>
    </row>
    <row r="1207" spans="35:35">
      <c r="AI1207" s="131"/>
    </row>
    <row r="1208" spans="35:35">
      <c r="AI1208" s="131"/>
    </row>
    <row r="1209" spans="35:35">
      <c r="AI1209" s="131"/>
    </row>
    <row r="1210" spans="35:35">
      <c r="AI1210" s="131"/>
    </row>
    <row r="1211" spans="35:35">
      <c r="AI1211" s="131"/>
    </row>
    <row r="1212" spans="35:35">
      <c r="AI1212" s="131"/>
    </row>
    <row r="1213" spans="35:35">
      <c r="AI1213" s="284"/>
    </row>
    <row r="1214" spans="35:35">
      <c r="AI1214" s="284"/>
    </row>
    <row r="1215" spans="35:35">
      <c r="AI1215" s="131"/>
    </row>
    <row r="1216" spans="35:35">
      <c r="AI1216" s="131"/>
    </row>
    <row r="1217" spans="35:35">
      <c r="AI1217" s="131"/>
    </row>
    <row r="1218" spans="35:35">
      <c r="AI1218" s="131"/>
    </row>
    <row r="1219" spans="35:35">
      <c r="AI1219" s="131"/>
    </row>
    <row r="1220" spans="35:35">
      <c r="AI1220" s="131"/>
    </row>
    <row r="1221" spans="35:35">
      <c r="AI1221" s="131"/>
    </row>
    <row r="1222" spans="35:35">
      <c r="AI1222" s="131"/>
    </row>
    <row r="1223" spans="35:35">
      <c r="AI1223" s="131"/>
    </row>
    <row r="1224" spans="35:35">
      <c r="AI1224" s="284"/>
    </row>
    <row r="1225" spans="35:35">
      <c r="AI1225" s="131"/>
    </row>
    <row r="1226" spans="35:35">
      <c r="AI1226" s="131"/>
    </row>
    <row r="1227" spans="35:35">
      <c r="AI1227" s="131"/>
    </row>
    <row r="1228" spans="35:35">
      <c r="AI1228" s="131"/>
    </row>
    <row r="1229" spans="35:35">
      <c r="AI1229" s="131"/>
    </row>
    <row r="1230" spans="35:35">
      <c r="AI1230" s="131"/>
    </row>
    <row r="1231" spans="35:35">
      <c r="AI1231" s="128"/>
    </row>
    <row r="1232" spans="35:35">
      <c r="AI1232" s="131"/>
    </row>
    <row r="1234" spans="35:35">
      <c r="AI1234" s="131"/>
    </row>
    <row r="1235" spans="35:35">
      <c r="AI1235" s="284"/>
    </row>
    <row r="1236" spans="35:35">
      <c r="AI1236" s="131"/>
    </row>
    <row r="1237" spans="35:35">
      <c r="AI1237" s="131"/>
    </row>
    <row r="1238" spans="35:35">
      <c r="AI1238" s="131"/>
    </row>
    <row r="1239" spans="35:35">
      <c r="AI1239" s="131"/>
    </row>
    <row r="1240" spans="35:35">
      <c r="AI1240" s="131"/>
    </row>
    <row r="1241" spans="35:35">
      <c r="AI1241" s="131"/>
    </row>
    <row r="1242" spans="35:35">
      <c r="AI1242" s="131"/>
    </row>
    <row r="1243" spans="35:35">
      <c r="AI1243" s="131"/>
    </row>
    <row r="1244" spans="35:35">
      <c r="AI1244" s="131"/>
    </row>
    <row r="1245" spans="35:35">
      <c r="AI1245" s="131"/>
    </row>
    <row r="1246" spans="35:35">
      <c r="AI1246" s="131"/>
    </row>
    <row r="1247" spans="35:35">
      <c r="AI1247" s="131"/>
    </row>
    <row r="1248" spans="35:35">
      <c r="AI1248" s="131"/>
    </row>
    <row r="1249" spans="35:35">
      <c r="AI1249" s="131"/>
    </row>
    <row r="1250" spans="35:35">
      <c r="AI1250" s="131"/>
    </row>
    <row r="1251" spans="35:35">
      <c r="AI1251" s="131"/>
    </row>
    <row r="1252" spans="35:35">
      <c r="AI1252" s="131"/>
    </row>
    <row r="1253" spans="35:35">
      <c r="AI1253" s="131"/>
    </row>
    <row r="1254" spans="35:35">
      <c r="AI1254" s="131"/>
    </row>
    <row r="1255" spans="35:35">
      <c r="AI1255" s="131"/>
    </row>
    <row r="1256" spans="35:35">
      <c r="AI1256" s="131"/>
    </row>
    <row r="1257" spans="35:35">
      <c r="AI1257" s="131"/>
    </row>
    <row r="1258" spans="35:35">
      <c r="AI1258" s="131"/>
    </row>
    <row r="1260" spans="35:35">
      <c r="AI1260" s="131"/>
    </row>
    <row r="1261" spans="35:35">
      <c r="AI1261" s="131"/>
    </row>
    <row r="1262" spans="35:35">
      <c r="AI1262" s="131"/>
    </row>
    <row r="1263" spans="35:35">
      <c r="AI1263" s="131"/>
    </row>
    <row r="1264" spans="35:35">
      <c r="AI1264" s="131"/>
    </row>
    <row r="1265" spans="35:35">
      <c r="AI1265" s="131"/>
    </row>
    <row r="1266" spans="35:35">
      <c r="AI1266" s="131"/>
    </row>
    <row r="1267" spans="35:35">
      <c r="AI1267" s="131"/>
    </row>
    <row r="1268" spans="35:35">
      <c r="AI1268" s="52"/>
    </row>
    <row r="1269" spans="35:35">
      <c r="AI1269" s="131"/>
    </row>
    <row r="1270" spans="35:35">
      <c r="AI1270" s="131"/>
    </row>
    <row r="1271" spans="35:35">
      <c r="AI1271" s="131"/>
    </row>
    <row r="1272" spans="35:35">
      <c r="AI1272" s="131"/>
    </row>
    <row r="1273" spans="35:35">
      <c r="AI1273" s="131"/>
    </row>
    <row r="1274" spans="35:35">
      <c r="AI1274" s="131"/>
    </row>
    <row r="1275" spans="35:35">
      <c r="AI1275" s="131"/>
    </row>
    <row r="1276" spans="35:35">
      <c r="AI1276" s="131"/>
    </row>
    <row r="1277" spans="35:35">
      <c r="AI1277" s="131"/>
    </row>
    <row r="1278" spans="35:35">
      <c r="AI1278" s="131"/>
    </row>
    <row r="1279" spans="35:35">
      <c r="AI1279" s="284"/>
    </row>
    <row r="1280" spans="35:35">
      <c r="AI1280" s="27"/>
    </row>
    <row r="1281" spans="35:35">
      <c r="AI1281" s="284"/>
    </row>
    <row r="1282" spans="35:35">
      <c r="AI1282" s="131"/>
    </row>
    <row r="1283" spans="35:35">
      <c r="AI1283" s="131"/>
    </row>
    <row r="1284" spans="35:35">
      <c r="AI1284" s="131"/>
    </row>
    <row r="1285" spans="35:35">
      <c r="AI1285" s="131"/>
    </row>
    <row r="1286" spans="35:35">
      <c r="AI1286" s="131"/>
    </row>
    <row r="1287" spans="35:35">
      <c r="AI1287" s="131"/>
    </row>
    <row r="1288" spans="35:35">
      <c r="AI1288" s="131"/>
    </row>
    <row r="1289" spans="35:35">
      <c r="AI1289" s="131"/>
    </row>
    <row r="1290" spans="35:35">
      <c r="AI1290" s="131"/>
    </row>
    <row r="1291" spans="35:35">
      <c r="AI1291" s="131"/>
    </row>
    <row r="1292" spans="35:35">
      <c r="AI1292" s="131"/>
    </row>
    <row r="1293" spans="35:35">
      <c r="AI1293" s="131"/>
    </row>
    <row r="1294" spans="35:35">
      <c r="AI1294" s="131"/>
    </row>
    <row r="1295" spans="35:35">
      <c r="AI1295" s="131"/>
    </row>
    <row r="1296" spans="35:35">
      <c r="AI1296" s="131"/>
    </row>
    <row r="1297" spans="1:35">
      <c r="AI1297" s="131"/>
    </row>
    <row r="1298" spans="1:35">
      <c r="AI1298" s="131"/>
    </row>
    <row r="1299" spans="1:35">
      <c r="AI1299" s="131"/>
    </row>
    <row r="1300" spans="1:35">
      <c r="AI1300" s="131"/>
    </row>
    <row r="1301" spans="1:35">
      <c r="AI1301" s="131"/>
    </row>
    <row r="1302" spans="1:35">
      <c r="AI1302" s="131"/>
    </row>
    <row r="1303" spans="1:35">
      <c r="AI1303" s="284"/>
    </row>
    <row r="1304" spans="1:35" ht="26.4">
      <c r="A1304" s="284"/>
      <c r="B1304" s="284"/>
      <c r="C1304" s="284"/>
      <c r="D1304" s="284"/>
      <c r="E1304" s="284"/>
      <c r="F1304" s="284"/>
      <c r="H1304" s="284"/>
      <c r="I1304" s="284"/>
      <c r="J1304" s="375"/>
      <c r="K1304" s="375"/>
      <c r="L1304" s="375"/>
      <c r="M1304" s="368"/>
      <c r="N1304" s="368"/>
      <c r="T1304" s="340"/>
      <c r="V1304" s="378"/>
      <c r="W1304" s="64" ph="1"/>
      <c r="X1304" s="241"/>
      <c r="AA1304" s="284"/>
      <c r="AB1304" s="284"/>
      <c r="AC1304" s="284"/>
      <c r="AD1304" s="284"/>
      <c r="AE1304" s="284"/>
      <c r="AF1304" s="284"/>
      <c r="AG1304" s="8"/>
      <c r="AI1304" s="284"/>
    </row>
    <row r="1305" spans="1:35">
      <c r="A1305" s="284"/>
      <c r="Y1305" s="284"/>
      <c r="Z1305" s="207"/>
      <c r="AI1305" s="28"/>
    </row>
    <row r="1306" spans="1:35">
      <c r="AI1306" s="131"/>
    </row>
    <row r="1307" spans="1:35">
      <c r="AI1307" s="131"/>
    </row>
    <row r="1308" spans="1:35">
      <c r="AI1308" s="131"/>
    </row>
    <row r="1309" spans="1:35">
      <c r="AI1309" s="131"/>
    </row>
    <row r="1310" spans="1:35">
      <c r="AI1310" s="131"/>
    </row>
    <row r="1311" spans="1:35">
      <c r="A1311" s="284"/>
      <c r="G1311" s="284"/>
      <c r="AI1311" s="131"/>
    </row>
    <row r="1312" spans="1:35">
      <c r="AI1312" s="131"/>
    </row>
    <row r="1313" spans="1:35">
      <c r="AI1313" s="131"/>
    </row>
    <row r="1314" spans="1:35" ht="26.4">
      <c r="A1314" s="284"/>
      <c r="B1314" s="284"/>
      <c r="C1314" s="284"/>
      <c r="D1314" s="284"/>
      <c r="E1314" s="284"/>
      <c r="F1314" s="284"/>
      <c r="H1314" s="284"/>
      <c r="I1314" s="284"/>
      <c r="J1314" s="375"/>
      <c r="K1314" s="375"/>
      <c r="L1314" s="375"/>
      <c r="M1314" s="368"/>
      <c r="N1314" s="368"/>
      <c r="O1314" s="370"/>
      <c r="T1314" s="340"/>
      <c r="V1314" s="378"/>
      <c r="W1314" s="64" ph="1"/>
      <c r="X1314" s="241"/>
      <c r="AA1314" s="284"/>
      <c r="AB1314" s="284"/>
      <c r="AC1314" s="284"/>
      <c r="AD1314" s="284"/>
      <c r="AE1314" s="284"/>
      <c r="AF1314" s="284"/>
      <c r="AG1314" s="8"/>
      <c r="AI1314" s="131"/>
    </row>
    <row r="1315" spans="1:35">
      <c r="A1315" s="284"/>
      <c r="Y1315" s="284"/>
      <c r="Z1315" s="207"/>
      <c r="AI1315" s="131"/>
    </row>
    <row r="1316" spans="1:35">
      <c r="AI1316" s="131"/>
    </row>
    <row r="1317" spans="1:35">
      <c r="AI1317" s="131"/>
    </row>
    <row r="1318" spans="1:35" ht="26.4">
      <c r="A1318" s="284"/>
      <c r="B1318" s="284"/>
      <c r="C1318" s="284"/>
      <c r="D1318" s="284"/>
      <c r="E1318" s="284"/>
      <c r="F1318" s="284"/>
      <c r="H1318" s="284"/>
      <c r="I1318" s="284"/>
      <c r="J1318" s="375"/>
      <c r="K1318" s="375"/>
      <c r="L1318" s="375"/>
      <c r="M1318" s="368"/>
      <c r="N1318" s="368"/>
      <c r="T1318" s="340"/>
      <c r="V1318" s="378"/>
      <c r="W1318" s="64" ph="1"/>
      <c r="X1318" s="241"/>
      <c r="AA1318" s="284"/>
      <c r="AB1318" s="284"/>
      <c r="AC1318" s="284"/>
      <c r="AD1318" s="284"/>
      <c r="AE1318" s="284"/>
      <c r="AF1318" s="284"/>
      <c r="AG1318" s="8"/>
      <c r="AI1318" s="131"/>
    </row>
    <row r="1319" spans="1:35">
      <c r="A1319" s="284"/>
      <c r="Y1319" s="284"/>
      <c r="Z1319" s="207"/>
      <c r="AI1319" s="284"/>
    </row>
    <row r="1320" spans="1:35">
      <c r="AI1320" s="131"/>
    </row>
    <row r="1321" spans="1:35">
      <c r="A1321" s="284"/>
      <c r="G1321" s="284"/>
      <c r="AI1321" s="131"/>
    </row>
    <row r="1322" spans="1:35">
      <c r="AI1322" s="131"/>
    </row>
    <row r="1323" spans="1:35" ht="26.4">
      <c r="A1323" s="284"/>
      <c r="B1323" s="284"/>
      <c r="C1323" s="284"/>
      <c r="D1323" s="284"/>
      <c r="E1323" s="284"/>
      <c r="F1323" s="284"/>
      <c r="H1323" s="284"/>
      <c r="I1323" s="284"/>
      <c r="J1323" s="375"/>
      <c r="K1323" s="375"/>
      <c r="L1323" s="375"/>
      <c r="M1323" s="368"/>
      <c r="N1323" s="368"/>
      <c r="T1323" s="340"/>
      <c r="V1323" s="378"/>
      <c r="W1323" s="64" ph="1"/>
      <c r="X1323" s="241"/>
      <c r="AA1323" s="284"/>
      <c r="AB1323" s="284"/>
      <c r="AC1323" s="284"/>
      <c r="AD1323" s="284"/>
      <c r="AE1323" s="284"/>
      <c r="AF1323" s="284"/>
      <c r="AG1323" s="8"/>
      <c r="AI1323" s="131"/>
    </row>
    <row r="1324" spans="1:35" ht="26.4">
      <c r="A1324" s="284"/>
      <c r="B1324" s="284"/>
      <c r="C1324" s="284"/>
      <c r="D1324" s="284"/>
      <c r="E1324" s="284"/>
      <c r="F1324" s="284"/>
      <c r="H1324" s="284"/>
      <c r="I1324" s="284"/>
      <c r="J1324" s="375"/>
      <c r="K1324" s="375"/>
      <c r="L1324" s="375"/>
      <c r="M1324" s="368"/>
      <c r="N1324" s="368"/>
      <c r="O1324" s="370"/>
      <c r="T1324" s="340"/>
      <c r="V1324" s="378"/>
      <c r="W1324" s="64" ph="1"/>
      <c r="X1324" s="241"/>
      <c r="Y1324" s="284"/>
      <c r="Z1324" s="207"/>
      <c r="AA1324" s="284"/>
      <c r="AB1324" s="284"/>
      <c r="AC1324" s="284"/>
      <c r="AD1324" s="284"/>
      <c r="AE1324" s="284"/>
      <c r="AF1324" s="284"/>
      <c r="AG1324" s="8"/>
      <c r="AI1324" s="131"/>
    </row>
    <row r="1325" spans="1:35" ht="26.4">
      <c r="A1325" s="284"/>
      <c r="B1325" s="284"/>
      <c r="C1325" s="284"/>
      <c r="D1325" s="284"/>
      <c r="E1325" s="284"/>
      <c r="F1325" s="284"/>
      <c r="G1325" s="284"/>
      <c r="H1325" s="284"/>
      <c r="I1325" s="284"/>
      <c r="J1325" s="375"/>
      <c r="K1325" s="375"/>
      <c r="L1325" s="375"/>
      <c r="M1325" s="368"/>
      <c r="N1325" s="368"/>
      <c r="T1325" s="340"/>
      <c r="V1325" s="378"/>
      <c r="W1325" s="64" ph="1"/>
      <c r="X1325" s="241"/>
      <c r="Y1325" s="284"/>
      <c r="Z1325" s="207"/>
      <c r="AA1325" s="284"/>
      <c r="AB1325" s="284"/>
      <c r="AC1325" s="284"/>
      <c r="AD1325" s="284"/>
      <c r="AE1325" s="284"/>
      <c r="AF1325" s="284"/>
      <c r="AG1325" s="8"/>
      <c r="AI1325" s="131"/>
    </row>
    <row r="1326" spans="1:35">
      <c r="A1326" s="284"/>
      <c r="Y1326" s="284"/>
      <c r="Z1326" s="207"/>
      <c r="AI1326" s="131"/>
    </row>
    <row r="1327" spans="1:35" ht="26.4">
      <c r="A1327" s="284"/>
      <c r="B1327" s="284"/>
      <c r="C1327" s="284"/>
      <c r="D1327" s="284"/>
      <c r="E1327" s="284"/>
      <c r="F1327" s="284"/>
      <c r="H1327" s="284"/>
      <c r="I1327" s="284"/>
      <c r="J1327" s="375"/>
      <c r="K1327" s="375"/>
      <c r="L1327" s="375"/>
      <c r="M1327" s="368"/>
      <c r="N1327" s="368"/>
      <c r="T1327" s="340"/>
      <c r="V1327" s="378"/>
      <c r="W1327" s="64" ph="1"/>
      <c r="X1327" s="241"/>
      <c r="AA1327" s="284"/>
      <c r="AB1327" s="284"/>
      <c r="AC1327" s="284"/>
      <c r="AD1327" s="284"/>
      <c r="AE1327" s="284"/>
      <c r="AF1327" s="284"/>
      <c r="AG1327" s="8"/>
      <c r="AI1327" s="131"/>
    </row>
    <row r="1328" spans="1:35" ht="26.4">
      <c r="A1328" s="284"/>
      <c r="B1328" s="284"/>
      <c r="C1328" s="284"/>
      <c r="D1328" s="284"/>
      <c r="E1328" s="284"/>
      <c r="F1328" s="284"/>
      <c r="H1328" s="284"/>
      <c r="I1328" s="284"/>
      <c r="J1328" s="375"/>
      <c r="K1328" s="375"/>
      <c r="L1328" s="375"/>
      <c r="M1328" s="368"/>
      <c r="N1328" s="368"/>
      <c r="O1328" s="370"/>
      <c r="T1328" s="340"/>
      <c r="V1328" s="378"/>
      <c r="W1328" s="64" ph="1"/>
      <c r="X1328" s="241"/>
      <c r="Y1328" s="284"/>
      <c r="Z1328" s="207"/>
      <c r="AA1328" s="284"/>
      <c r="AB1328" s="284"/>
      <c r="AC1328" s="284"/>
      <c r="AD1328" s="284"/>
      <c r="AE1328" s="284"/>
      <c r="AF1328" s="284"/>
      <c r="AG1328" s="8"/>
      <c r="AI1328" s="131"/>
    </row>
    <row r="1329" spans="1:35">
      <c r="A1329" s="284"/>
      <c r="Y1329" s="284"/>
      <c r="Z1329" s="207"/>
      <c r="AI1329" s="131"/>
    </row>
    <row r="1330" spans="1:35" ht="26.4">
      <c r="A1330" s="284"/>
      <c r="B1330" s="284"/>
      <c r="C1330" s="284"/>
      <c r="D1330" s="284"/>
      <c r="E1330" s="284"/>
      <c r="F1330" s="284"/>
      <c r="G1330" s="284"/>
      <c r="H1330" s="284"/>
      <c r="I1330" s="284"/>
      <c r="J1330" s="375"/>
      <c r="K1330" s="375"/>
      <c r="L1330" s="375"/>
      <c r="M1330" s="368"/>
      <c r="N1330" s="368"/>
      <c r="T1330" s="340"/>
      <c r="V1330" s="378"/>
      <c r="W1330" s="64" ph="1"/>
      <c r="X1330" s="241"/>
      <c r="AA1330" s="284"/>
      <c r="AB1330" s="284"/>
      <c r="AC1330" s="284"/>
      <c r="AD1330" s="284"/>
      <c r="AE1330" s="284"/>
      <c r="AF1330" s="284"/>
      <c r="AG1330" s="8"/>
      <c r="AI1330" s="131"/>
    </row>
    <row r="1331" spans="1:35">
      <c r="A1331" s="284"/>
      <c r="G1331" s="284"/>
      <c r="Y1331" s="284"/>
      <c r="Z1331" s="207"/>
      <c r="AI1331" s="28"/>
    </row>
    <row r="1332" spans="1:35" ht="26.4">
      <c r="A1332" s="284"/>
      <c r="B1332" s="284"/>
      <c r="C1332" s="284"/>
      <c r="D1332" s="284"/>
      <c r="E1332" s="284"/>
      <c r="F1332" s="284"/>
      <c r="G1332" s="284"/>
      <c r="H1332" s="284"/>
      <c r="I1332" s="284"/>
      <c r="J1332" s="375"/>
      <c r="K1332" s="375"/>
      <c r="L1332" s="375"/>
      <c r="M1332" s="368"/>
      <c r="N1332" s="368"/>
      <c r="T1332" s="340"/>
      <c r="V1332" s="378"/>
      <c r="W1332" s="64" ph="1"/>
      <c r="X1332" s="241"/>
      <c r="AA1332" s="284"/>
      <c r="AB1332" s="284"/>
      <c r="AC1332" s="284"/>
      <c r="AD1332" s="284"/>
      <c r="AE1332" s="284"/>
      <c r="AF1332" s="284"/>
      <c r="AG1332" s="8"/>
      <c r="AI1332" s="131"/>
    </row>
    <row r="1333" spans="1:35" ht="26.4">
      <c r="A1333" s="284"/>
      <c r="B1333" s="284"/>
      <c r="C1333" s="284"/>
      <c r="D1333" s="284"/>
      <c r="E1333" s="284"/>
      <c r="F1333" s="284"/>
      <c r="H1333" s="284"/>
      <c r="I1333" s="284"/>
      <c r="J1333" s="375"/>
      <c r="K1333" s="375"/>
      <c r="L1333" s="375"/>
      <c r="M1333" s="368"/>
      <c r="N1333" s="368"/>
      <c r="O1333" s="370"/>
      <c r="T1333" s="340"/>
      <c r="V1333" s="378"/>
      <c r="W1333" s="64" ph="1"/>
      <c r="X1333" s="241"/>
      <c r="Y1333" s="284"/>
      <c r="Z1333" s="207"/>
      <c r="AA1333" s="284"/>
      <c r="AB1333" s="284"/>
      <c r="AC1333" s="284"/>
      <c r="AD1333" s="284"/>
      <c r="AE1333" s="284"/>
      <c r="AF1333" s="284"/>
      <c r="AG1333" s="8"/>
      <c r="AI1333" s="131"/>
    </row>
    <row r="1334" spans="1:35" ht="26.4">
      <c r="A1334" s="284"/>
      <c r="B1334" s="284"/>
      <c r="C1334" s="284"/>
      <c r="D1334" s="284"/>
      <c r="E1334" s="284"/>
      <c r="F1334" s="284"/>
      <c r="G1334" s="284"/>
      <c r="H1334" s="284"/>
      <c r="I1334" s="284"/>
      <c r="J1334" s="375"/>
      <c r="K1334" s="375"/>
      <c r="L1334" s="375"/>
      <c r="M1334" s="368"/>
      <c r="N1334" s="368"/>
      <c r="O1334" s="370"/>
      <c r="T1334" s="340"/>
      <c r="V1334" s="378"/>
      <c r="W1334" s="64" ph="1"/>
      <c r="X1334" s="241"/>
      <c r="Y1334" s="284"/>
      <c r="Z1334" s="207"/>
      <c r="AA1334" s="284"/>
      <c r="AB1334" s="284"/>
      <c r="AC1334" s="284"/>
      <c r="AD1334" s="284"/>
      <c r="AE1334" s="284"/>
      <c r="AF1334" s="284"/>
      <c r="AG1334" s="8"/>
      <c r="AI1334" s="131"/>
    </row>
    <row r="1335" spans="1:35" ht="26.4">
      <c r="A1335" s="284"/>
      <c r="B1335" s="284"/>
      <c r="C1335" s="284"/>
      <c r="D1335" s="284"/>
      <c r="E1335" s="284"/>
      <c r="F1335" s="284"/>
      <c r="G1335" s="284"/>
      <c r="H1335" s="284"/>
      <c r="I1335" s="284"/>
      <c r="J1335" s="375"/>
      <c r="K1335" s="375"/>
      <c r="L1335" s="375"/>
      <c r="M1335" s="368"/>
      <c r="N1335" s="368"/>
      <c r="O1335" s="370"/>
      <c r="T1335" s="340"/>
      <c r="V1335" s="378"/>
      <c r="W1335" s="64" ph="1"/>
      <c r="X1335" s="241"/>
      <c r="Y1335" s="284"/>
      <c r="Z1335" s="207"/>
      <c r="AA1335" s="284"/>
      <c r="AB1335" s="284"/>
      <c r="AC1335" s="284"/>
      <c r="AD1335" s="284"/>
      <c r="AE1335" s="284"/>
      <c r="AF1335" s="284"/>
      <c r="AG1335" s="8"/>
      <c r="AI1335" s="131"/>
    </row>
    <row r="1336" spans="1:35" ht="26.4">
      <c r="A1336" s="284"/>
      <c r="B1336" s="284"/>
      <c r="C1336" s="284"/>
      <c r="D1336" s="284"/>
      <c r="E1336" s="284"/>
      <c r="F1336" s="284"/>
      <c r="H1336" s="284"/>
      <c r="I1336" s="284"/>
      <c r="J1336" s="375"/>
      <c r="K1336" s="375"/>
      <c r="L1336" s="375"/>
      <c r="M1336" s="368"/>
      <c r="N1336" s="368"/>
      <c r="T1336" s="340"/>
      <c r="V1336" s="378"/>
      <c r="W1336" s="64" ph="1"/>
      <c r="X1336" s="241"/>
      <c r="Y1336" s="284"/>
      <c r="Z1336" s="207"/>
      <c r="AA1336" s="284"/>
      <c r="AB1336" s="284"/>
      <c r="AC1336" s="284"/>
      <c r="AD1336" s="284"/>
      <c r="AE1336" s="284"/>
      <c r="AF1336" s="284"/>
      <c r="AG1336" s="8"/>
      <c r="AI1336" s="131"/>
    </row>
    <row r="1337" spans="1:35" ht="26.4">
      <c r="A1337" s="284"/>
      <c r="B1337" s="284"/>
      <c r="C1337" s="284"/>
      <c r="D1337" s="284"/>
      <c r="E1337" s="284"/>
      <c r="F1337" s="284"/>
      <c r="G1337" s="284"/>
      <c r="H1337" s="284"/>
      <c r="I1337" s="284"/>
      <c r="J1337" s="375"/>
      <c r="K1337" s="375"/>
      <c r="L1337" s="375"/>
      <c r="M1337" s="368"/>
      <c r="N1337" s="368"/>
      <c r="O1337" s="370"/>
      <c r="T1337" s="340"/>
      <c r="V1337" s="378"/>
      <c r="W1337" s="64" ph="1"/>
      <c r="X1337" s="241"/>
      <c r="Y1337" s="284"/>
      <c r="Z1337" s="207"/>
      <c r="AA1337" s="284"/>
      <c r="AB1337" s="284"/>
      <c r="AC1337" s="284"/>
      <c r="AD1337" s="284"/>
      <c r="AE1337" s="284"/>
      <c r="AF1337" s="284"/>
      <c r="AG1337" s="8"/>
      <c r="AI1337" s="131"/>
    </row>
    <row r="1338" spans="1:35" ht="26.4">
      <c r="A1338" s="284"/>
      <c r="B1338" s="284"/>
      <c r="C1338" s="284"/>
      <c r="D1338" s="284"/>
      <c r="E1338" s="284"/>
      <c r="F1338" s="284"/>
      <c r="H1338" s="284"/>
      <c r="I1338" s="284"/>
      <c r="J1338" s="375"/>
      <c r="K1338" s="375"/>
      <c r="L1338" s="375"/>
      <c r="M1338" s="368"/>
      <c r="N1338" s="368"/>
      <c r="O1338" s="370"/>
      <c r="T1338" s="340"/>
      <c r="V1338" s="378"/>
      <c r="W1338" s="64" ph="1"/>
      <c r="X1338" s="241"/>
      <c r="Y1338" s="284"/>
      <c r="Z1338" s="207"/>
      <c r="AA1338" s="284"/>
      <c r="AB1338" s="284"/>
      <c r="AC1338" s="284"/>
      <c r="AD1338" s="284"/>
      <c r="AE1338" s="284"/>
      <c r="AF1338" s="284"/>
      <c r="AG1338" s="8"/>
      <c r="AI1338" s="128"/>
    </row>
    <row r="1339" spans="1:35" ht="26.4">
      <c r="A1339" s="284"/>
      <c r="B1339" s="284"/>
      <c r="C1339" s="284"/>
      <c r="D1339" s="284"/>
      <c r="E1339" s="284"/>
      <c r="F1339" s="284"/>
      <c r="G1339" s="284"/>
      <c r="H1339" s="284"/>
      <c r="I1339" s="284"/>
      <c r="J1339" s="375"/>
      <c r="K1339" s="375"/>
      <c r="L1339" s="375"/>
      <c r="M1339" s="368"/>
      <c r="N1339" s="368"/>
      <c r="T1339" s="340"/>
      <c r="V1339" s="378"/>
      <c r="W1339" s="64" ph="1"/>
      <c r="X1339" s="241"/>
      <c r="Y1339" s="284"/>
      <c r="Z1339" s="207"/>
      <c r="AA1339" s="284"/>
      <c r="AB1339" s="284"/>
      <c r="AC1339" s="284"/>
      <c r="AD1339" s="284"/>
      <c r="AE1339" s="284"/>
      <c r="AF1339" s="284"/>
      <c r="AG1339" s="8"/>
      <c r="AI1339" s="131"/>
    </row>
    <row r="1340" spans="1:35" ht="26.4">
      <c r="A1340" s="284"/>
      <c r="G1340" s="284"/>
      <c r="O1340" s="370"/>
      <c r="W1340" s="64" ph="1"/>
      <c r="Y1340" s="284"/>
      <c r="Z1340" s="207"/>
      <c r="AI1340" s="131"/>
    </row>
    <row r="1341" spans="1:35" ht="26.4">
      <c r="A1341" s="284"/>
      <c r="G1341" s="284"/>
      <c r="W1341" s="64" ph="1"/>
      <c r="AI1341" s="131"/>
    </row>
    <row r="1342" spans="1:35">
      <c r="A1342" s="284"/>
      <c r="G1342" s="284"/>
      <c r="O1342" s="370"/>
      <c r="AI1342" s="131"/>
    </row>
    <row r="1343" spans="1:35" ht="26.4">
      <c r="A1343" s="284"/>
      <c r="G1343" s="284"/>
      <c r="O1343" s="370"/>
      <c r="W1343" s="64" ph="1"/>
      <c r="AI1343" s="131"/>
    </row>
    <row r="1344" spans="1:35" ht="26.4">
      <c r="A1344" s="284"/>
      <c r="G1344" s="284"/>
      <c r="O1344" s="370"/>
      <c r="W1344" s="64" ph="1"/>
      <c r="AI1344" s="131"/>
    </row>
    <row r="1345" spans="1:35" ht="26.4">
      <c r="A1345" s="284"/>
      <c r="G1345" s="284"/>
      <c r="O1345" s="370"/>
      <c r="W1345" s="64" ph="1"/>
      <c r="AI1345" s="131"/>
    </row>
    <row r="1346" spans="1:35" ht="26.4">
      <c r="A1346" s="284"/>
      <c r="G1346" s="284"/>
      <c r="O1346" s="370"/>
      <c r="W1346" s="64" ph="1"/>
      <c r="AI1346" s="131"/>
    </row>
    <row r="1347" spans="1:35" ht="26.4">
      <c r="A1347" s="284"/>
      <c r="O1347" s="370"/>
      <c r="W1347" s="64" ph="1"/>
      <c r="AI1347" s="131"/>
    </row>
    <row r="1348" spans="1:35" ht="26.4">
      <c r="A1348" s="284"/>
      <c r="B1348" s="284"/>
      <c r="C1348" s="284"/>
      <c r="D1348" s="284"/>
      <c r="E1348" s="284"/>
      <c r="F1348" s="284"/>
      <c r="G1348" s="284"/>
      <c r="H1348" s="284"/>
      <c r="I1348" s="284"/>
      <c r="J1348" s="375"/>
      <c r="K1348" s="375"/>
      <c r="L1348" s="375"/>
      <c r="M1348" s="368"/>
      <c r="N1348" s="368"/>
      <c r="O1348" s="370"/>
      <c r="T1348" s="340"/>
      <c r="V1348" s="378"/>
      <c r="W1348" s="64" ph="1"/>
      <c r="X1348" s="241"/>
      <c r="Y1348" s="284"/>
      <c r="Z1348" s="207"/>
      <c r="AA1348" s="284"/>
      <c r="AB1348" s="284"/>
      <c r="AC1348" s="284"/>
      <c r="AD1348" s="284"/>
      <c r="AE1348" s="284"/>
      <c r="AF1348" s="284"/>
      <c r="AG1348" s="284"/>
      <c r="AI1348" s="131"/>
    </row>
    <row r="1349" spans="1:35" ht="26.4">
      <c r="A1349" s="284"/>
      <c r="B1349" s="284"/>
      <c r="C1349" s="284"/>
      <c r="D1349" s="284"/>
      <c r="E1349" s="284"/>
      <c r="F1349" s="284"/>
      <c r="G1349" s="284"/>
      <c r="H1349" s="284"/>
      <c r="I1349" s="284"/>
      <c r="J1349" s="375"/>
      <c r="K1349" s="375"/>
      <c r="L1349" s="375"/>
      <c r="M1349" s="368"/>
      <c r="N1349" s="368"/>
      <c r="O1349" s="370"/>
      <c r="T1349" s="340"/>
      <c r="V1349" s="378"/>
      <c r="W1349" s="64" ph="1"/>
      <c r="X1349" s="241"/>
      <c r="Y1349" s="284"/>
      <c r="Z1349" s="207"/>
      <c r="AA1349" s="284"/>
      <c r="AB1349" s="284"/>
      <c r="AC1349" s="284"/>
      <c r="AD1349" s="284"/>
      <c r="AE1349" s="284"/>
      <c r="AF1349" s="284"/>
      <c r="AG1349" s="284"/>
      <c r="AI1349" s="131"/>
    </row>
    <row r="1350" spans="1:35" ht="26.4">
      <c r="A1350" s="284"/>
      <c r="B1350" s="284"/>
      <c r="C1350" s="284"/>
      <c r="D1350" s="284"/>
      <c r="E1350" s="284"/>
      <c r="F1350" s="284"/>
      <c r="G1350" s="284"/>
      <c r="H1350" s="284"/>
      <c r="I1350" s="284"/>
      <c r="J1350" s="375"/>
      <c r="K1350" s="375"/>
      <c r="L1350" s="375"/>
      <c r="M1350" s="368"/>
      <c r="N1350" s="368"/>
      <c r="T1350" s="340"/>
      <c r="V1350" s="378"/>
      <c r="W1350" s="64" ph="1"/>
      <c r="X1350" s="241"/>
      <c r="Y1350" s="284"/>
      <c r="Z1350" s="207"/>
      <c r="AA1350" s="284"/>
      <c r="AB1350" s="284"/>
      <c r="AC1350" s="284"/>
      <c r="AD1350" s="284"/>
      <c r="AE1350" s="284"/>
      <c r="AF1350" s="284"/>
      <c r="AG1350" s="284"/>
      <c r="AI1350" s="131"/>
    </row>
    <row r="1351" spans="1:35">
      <c r="AI1351" s="131"/>
    </row>
    <row r="1352" spans="1:35" ht="26.4">
      <c r="A1352" s="284"/>
      <c r="B1352" s="284"/>
      <c r="C1352" s="284"/>
      <c r="D1352" s="284"/>
      <c r="E1352" s="284"/>
      <c r="F1352" s="284"/>
      <c r="G1352" s="284"/>
      <c r="H1352" s="284"/>
      <c r="I1352" s="284"/>
      <c r="J1352" s="375"/>
      <c r="K1352" s="375"/>
      <c r="L1352" s="375"/>
      <c r="M1352" s="368"/>
      <c r="N1352" s="368"/>
      <c r="T1352" s="340"/>
      <c r="V1352" s="378"/>
      <c r="W1352" s="64" ph="1"/>
      <c r="X1352" s="241"/>
      <c r="Y1352" s="284"/>
      <c r="Z1352" s="207"/>
      <c r="AA1352" s="284"/>
      <c r="AB1352" s="284"/>
      <c r="AC1352" s="284"/>
      <c r="AD1352" s="284"/>
      <c r="AE1352" s="284"/>
      <c r="AF1352" s="284"/>
      <c r="AG1352" s="284"/>
      <c r="AI1352" s="131"/>
    </row>
    <row r="1353" spans="1:35" ht="26.4">
      <c r="A1353" s="284"/>
      <c r="B1353" s="284"/>
      <c r="C1353" s="284"/>
      <c r="D1353" s="284"/>
      <c r="E1353" s="284"/>
      <c r="F1353" s="284"/>
      <c r="G1353" s="284"/>
      <c r="H1353" s="284"/>
      <c r="I1353" s="284"/>
      <c r="J1353" s="375"/>
      <c r="K1353" s="375"/>
      <c r="L1353" s="375"/>
      <c r="M1353" s="368"/>
      <c r="N1353" s="368"/>
      <c r="T1353" s="340"/>
      <c r="V1353" s="378"/>
      <c r="W1353" s="64" ph="1"/>
      <c r="X1353" s="241"/>
      <c r="Y1353" s="284"/>
      <c r="Z1353" s="207"/>
      <c r="AA1353" s="284"/>
      <c r="AB1353" s="284"/>
      <c r="AC1353" s="284"/>
      <c r="AD1353" s="284"/>
      <c r="AE1353" s="284"/>
      <c r="AF1353" s="284"/>
      <c r="AG1353" s="284"/>
      <c r="AI1353" s="131"/>
    </row>
    <row r="1354" spans="1:35" ht="26.4">
      <c r="A1354" s="284"/>
      <c r="B1354" s="284"/>
      <c r="C1354" s="284"/>
      <c r="D1354" s="284"/>
      <c r="E1354" s="284"/>
      <c r="F1354" s="284"/>
      <c r="G1354" s="284"/>
      <c r="H1354" s="284"/>
      <c r="I1354" s="284"/>
      <c r="J1354" s="375"/>
      <c r="K1354" s="375"/>
      <c r="L1354" s="375"/>
      <c r="M1354" s="368"/>
      <c r="N1354" s="368"/>
      <c r="T1354" s="340"/>
      <c r="V1354" s="378"/>
      <c r="W1354" s="64" ph="1"/>
      <c r="X1354" s="241"/>
      <c r="Y1354" s="284"/>
      <c r="Z1354" s="207"/>
      <c r="AA1354" s="284"/>
      <c r="AB1354" s="284"/>
      <c r="AC1354" s="284"/>
      <c r="AD1354" s="284"/>
      <c r="AE1354" s="284"/>
      <c r="AF1354" s="284"/>
      <c r="AG1354" s="284"/>
      <c r="AI1354" s="131"/>
    </row>
    <row r="1355" spans="1:35" ht="26.4">
      <c r="A1355" s="284"/>
      <c r="B1355" s="284"/>
      <c r="C1355" s="284"/>
      <c r="D1355" s="284"/>
      <c r="E1355" s="284"/>
      <c r="F1355" s="284"/>
      <c r="G1355" s="284"/>
      <c r="H1355" s="284"/>
      <c r="I1355" s="284"/>
      <c r="J1355" s="375"/>
      <c r="K1355" s="375"/>
      <c r="L1355" s="375"/>
      <c r="M1355" s="368"/>
      <c r="N1355" s="368"/>
      <c r="T1355" s="340"/>
      <c r="V1355" s="378"/>
      <c r="W1355" s="64" ph="1"/>
      <c r="X1355" s="241"/>
      <c r="Y1355" s="284"/>
      <c r="Z1355" s="207"/>
      <c r="AA1355" s="284"/>
      <c r="AB1355" s="284"/>
      <c r="AC1355" s="284"/>
      <c r="AD1355" s="284"/>
      <c r="AE1355" s="284"/>
      <c r="AF1355" s="284"/>
      <c r="AG1355" s="284"/>
      <c r="AI1355" s="131"/>
    </row>
    <row r="1356" spans="1:35">
      <c r="AI1356" s="131"/>
    </row>
    <row r="1357" spans="1:35">
      <c r="AI1357" s="131"/>
    </row>
    <row r="1358" spans="1:35">
      <c r="O1358" s="370"/>
      <c r="AI1358" s="131"/>
    </row>
    <row r="1359" spans="1:35">
      <c r="O1359" s="370"/>
      <c r="AI1359" s="131"/>
    </row>
    <row r="1360" spans="1:35">
      <c r="O1360" s="370"/>
      <c r="AI1360" s="131"/>
    </row>
    <row r="1361" spans="15:35">
      <c r="AI1361" s="131"/>
    </row>
    <row r="1362" spans="15:35">
      <c r="O1362" s="370"/>
      <c r="AI1362" s="131"/>
    </row>
    <row r="1363" spans="15:35">
      <c r="O1363" s="370"/>
      <c r="AI1363" s="131"/>
    </row>
    <row r="1364" spans="15:35">
      <c r="O1364" s="370"/>
      <c r="AI1364" s="131"/>
    </row>
    <row r="1365" spans="15:35">
      <c r="O1365" s="370"/>
      <c r="AI1365" s="131"/>
    </row>
    <row r="1366" spans="15:35">
      <c r="AI1366" s="131"/>
    </row>
    <row r="1367" spans="15:35">
      <c r="AI1367" s="131"/>
    </row>
    <row r="1368" spans="15:35">
      <c r="AI1368" s="131"/>
    </row>
    <row r="1369" spans="15:35">
      <c r="AI1369" s="131"/>
    </row>
    <row r="1370" spans="15:35">
      <c r="AI1370" s="131"/>
    </row>
    <row r="1371" spans="15:35">
      <c r="AI1371" s="131"/>
    </row>
    <row r="1372" spans="15:35">
      <c r="AI1372" s="131"/>
    </row>
    <row r="1373" spans="15:35">
      <c r="AI1373" s="131"/>
    </row>
    <row r="1374" spans="15:35">
      <c r="AI1374" s="131"/>
    </row>
    <row r="1375" spans="15:35">
      <c r="AI1375" s="131"/>
    </row>
    <row r="1376" spans="15:35">
      <c r="AI1376" s="131"/>
    </row>
    <row r="1377" spans="35:35">
      <c r="AI1377" s="131"/>
    </row>
    <row r="1378" spans="35:35">
      <c r="AI1378" s="284"/>
    </row>
    <row r="1379" spans="35:35">
      <c r="AI1379" s="131"/>
    </row>
    <row r="1380" spans="35:35">
      <c r="AI1380" s="131"/>
    </row>
    <row r="1381" spans="35:35">
      <c r="AI1381" s="131"/>
    </row>
    <row r="1382" spans="35:35">
      <c r="AI1382" s="131"/>
    </row>
    <row r="1383" spans="35:35">
      <c r="AI1383" s="286"/>
    </row>
    <row r="1384" spans="35:35">
      <c r="AI1384" s="131"/>
    </row>
    <row r="1385" spans="35:35">
      <c r="AI1385" s="131"/>
    </row>
    <row r="1386" spans="35:35">
      <c r="AI1386" s="131"/>
    </row>
    <row r="1387" spans="35:35">
      <c r="AI1387" s="131"/>
    </row>
    <row r="1388" spans="35:35">
      <c r="AI1388" s="131"/>
    </row>
    <row r="1389" spans="35:35">
      <c r="AI1389" s="131"/>
    </row>
    <row r="1390" spans="35:35">
      <c r="AI1390" s="236"/>
    </row>
    <row r="1391" spans="35:35">
      <c r="AI1391" s="131"/>
    </row>
    <row r="1392" spans="35:35">
      <c r="AI1392" s="131"/>
    </row>
    <row r="1393" spans="35:35">
      <c r="AI1393" s="131"/>
    </row>
    <row r="1394" spans="35:35">
      <c r="AI1394" s="131"/>
    </row>
    <row r="1395" spans="35:35">
      <c r="AI1395" s="131"/>
    </row>
    <row r="1396" spans="35:35">
      <c r="AI1396" s="131"/>
    </row>
    <row r="1397" spans="35:35">
      <c r="AI1397" s="131"/>
    </row>
    <row r="1398" spans="35:35">
      <c r="AI1398" s="131"/>
    </row>
    <row r="1399" spans="35:35">
      <c r="AI1399" s="131"/>
    </row>
    <row r="1400" spans="35:35">
      <c r="AI1400" s="131"/>
    </row>
    <row r="1401" spans="35:35">
      <c r="AI1401" s="284"/>
    </row>
    <row r="1402" spans="35:35">
      <c r="AI1402" s="131"/>
    </row>
    <row r="1403" spans="35:35">
      <c r="AI1403" s="131"/>
    </row>
    <row r="1404" spans="35:35">
      <c r="AI1404" s="131"/>
    </row>
    <row r="1405" spans="35:35">
      <c r="AI1405" s="131"/>
    </row>
    <row r="1406" spans="35:35">
      <c r="AI1406" s="131"/>
    </row>
    <row r="1407" spans="35:35">
      <c r="AI1407" s="131"/>
    </row>
    <row r="1408" spans="35:35">
      <c r="AI1408" s="131"/>
    </row>
    <row r="1409" spans="35:35">
      <c r="AI1409" s="131"/>
    </row>
    <row r="1410" spans="35:35">
      <c r="AI1410" s="131"/>
    </row>
    <row r="1411" spans="35:35">
      <c r="AI1411" s="131"/>
    </row>
    <row r="1412" spans="35:35">
      <c r="AI1412" s="131"/>
    </row>
    <row r="1413" spans="35:35">
      <c r="AI1413" s="284"/>
    </row>
    <row r="1414" spans="35:35">
      <c r="AI1414" s="131"/>
    </row>
    <row r="1415" spans="35:35">
      <c r="AI1415" s="28"/>
    </row>
    <row r="1416" spans="35:35">
      <c r="AI1416" s="284"/>
    </row>
    <row r="1417" spans="35:35">
      <c r="AI1417" s="131"/>
    </row>
    <row r="1418" spans="35:35">
      <c r="AI1418" s="131"/>
    </row>
    <row r="1419" spans="35:35">
      <c r="AI1419" s="131"/>
    </row>
    <row r="1420" spans="35:35">
      <c r="AI1420" s="131"/>
    </row>
    <row r="1421" spans="35:35">
      <c r="AI1421" s="284"/>
    </row>
    <row r="1422" spans="35:35">
      <c r="AI1422" s="131"/>
    </row>
    <row r="1423" spans="35:35">
      <c r="AI1423" s="131"/>
    </row>
    <row r="1424" spans="35:35">
      <c r="AI1424" s="131"/>
    </row>
    <row r="1425" spans="35:35">
      <c r="AI1425" s="131"/>
    </row>
    <row r="1426" spans="35:35">
      <c r="AI1426" s="131"/>
    </row>
    <row r="1427" spans="35:35">
      <c r="AI1427" s="131"/>
    </row>
    <row r="1428" spans="35:35">
      <c r="AI1428" s="131"/>
    </row>
    <row r="1429" spans="35:35">
      <c r="AI1429" s="131"/>
    </row>
    <row r="1430" spans="35:35">
      <c r="AI1430" s="131"/>
    </row>
    <row r="1431" spans="35:35">
      <c r="AI1431" s="131"/>
    </row>
    <row r="1432" spans="35:35">
      <c r="AI1432" s="131"/>
    </row>
    <row r="1433" spans="35:35">
      <c r="AI1433" s="131"/>
    </row>
    <row r="1434" spans="35:35">
      <c r="AI1434" s="131"/>
    </row>
    <row r="1435" spans="35:35">
      <c r="AI1435" s="131"/>
    </row>
    <row r="1436" spans="35:35">
      <c r="AI1436" s="131"/>
    </row>
    <row r="1437" spans="35:35">
      <c r="AI1437" s="131"/>
    </row>
    <row r="1438" spans="35:35">
      <c r="AI1438" s="131"/>
    </row>
    <row r="1439" spans="35:35">
      <c r="AI1439" s="131"/>
    </row>
    <row r="1440" spans="35:35">
      <c r="AI1440" s="131"/>
    </row>
    <row r="1441" spans="35:35">
      <c r="AI1441" s="284"/>
    </row>
    <row r="1442" spans="35:35">
      <c r="AI1442" s="131"/>
    </row>
    <row r="1443" spans="35:35">
      <c r="AI1443" s="131"/>
    </row>
    <row r="1444" spans="35:35">
      <c r="AI1444" s="131"/>
    </row>
    <row r="1445" spans="35:35">
      <c r="AI1445" s="131"/>
    </row>
    <row r="1446" spans="35:35">
      <c r="AI1446" s="131"/>
    </row>
    <row r="1447" spans="35:35">
      <c r="AI1447" s="131"/>
    </row>
    <row r="1448" spans="35:35">
      <c r="AI1448" s="131"/>
    </row>
    <row r="1449" spans="35:35">
      <c r="AI1449" s="131"/>
    </row>
    <row r="1450" spans="35:35">
      <c r="AI1450" s="131"/>
    </row>
    <row r="1451" spans="35:35">
      <c r="AI1451" s="131"/>
    </row>
    <row r="1452" spans="35:35">
      <c r="AI1452" s="131"/>
    </row>
    <row r="1453" spans="35:35">
      <c r="AI1453" s="131"/>
    </row>
    <row r="1454" spans="35:35">
      <c r="AI1454" s="131"/>
    </row>
    <row r="1455" spans="35:35">
      <c r="AI1455" s="131"/>
    </row>
    <row r="1456" spans="35:35">
      <c r="AI1456" s="131"/>
    </row>
    <row r="1457" spans="35:35">
      <c r="AI1457" s="131"/>
    </row>
    <row r="1458" spans="35:35">
      <c r="AI1458" s="131"/>
    </row>
    <row r="1459" spans="35:35">
      <c r="AI1459" s="131"/>
    </row>
    <row r="1460" spans="35:35">
      <c r="AI1460" s="131"/>
    </row>
    <row r="1461" spans="35:35">
      <c r="AI1461" s="131"/>
    </row>
    <row r="1462" spans="35:35">
      <c r="AI1462" s="131"/>
    </row>
    <row r="1463" spans="35:35">
      <c r="AI1463" s="131"/>
    </row>
    <row r="1464" spans="35:35">
      <c r="AI1464" s="131"/>
    </row>
    <row r="1465" spans="35:35">
      <c r="AI1465" s="131"/>
    </row>
    <row r="1466" spans="35:35">
      <c r="AI1466" s="131"/>
    </row>
    <row r="1467" spans="35:35">
      <c r="AI1467" s="131"/>
    </row>
    <row r="1468" spans="35:35">
      <c r="AI1468" s="131"/>
    </row>
    <row r="1469" spans="35:35">
      <c r="AI1469" s="131"/>
    </row>
    <row r="1470" spans="35:35">
      <c r="AI1470" s="131"/>
    </row>
    <row r="1471" spans="35:35">
      <c r="AI1471" s="131"/>
    </row>
    <row r="1472" spans="35:35">
      <c r="AI1472" s="131"/>
    </row>
    <row r="1473" spans="1:35">
      <c r="AI1473" s="131"/>
    </row>
    <row r="1474" spans="1:35">
      <c r="AI1474" s="131"/>
    </row>
    <row r="1475" spans="1:35">
      <c r="AI1475" s="131"/>
    </row>
    <row r="1476" spans="1:35">
      <c r="AI1476" s="131"/>
    </row>
    <row r="1477" spans="1:35">
      <c r="AI1477" s="131"/>
    </row>
    <row r="1478" spans="1:35">
      <c r="AI1478" s="131"/>
    </row>
    <row r="1479" spans="1:35">
      <c r="AI1479" s="131"/>
    </row>
    <row r="1480" spans="1:35">
      <c r="AI1480" s="284"/>
    </row>
    <row r="1481" spans="1:35" ht="26.4">
      <c r="A1481" s="284"/>
      <c r="B1481" s="284"/>
      <c r="C1481" s="284"/>
      <c r="D1481" s="284"/>
      <c r="E1481" s="284"/>
      <c r="F1481" s="284"/>
      <c r="G1481" s="284"/>
      <c r="H1481" s="284"/>
      <c r="I1481" s="284"/>
      <c r="J1481" s="375"/>
      <c r="K1481" s="375"/>
      <c r="L1481" s="375"/>
      <c r="M1481" s="368"/>
      <c r="N1481" s="368"/>
      <c r="T1481" s="340"/>
      <c r="V1481" s="378"/>
      <c r="W1481" s="64" ph="1"/>
      <c r="X1481" s="241"/>
      <c r="Y1481" s="284"/>
      <c r="Z1481" s="207"/>
      <c r="AA1481" s="284"/>
      <c r="AB1481" s="284"/>
      <c r="AC1481" s="284"/>
      <c r="AD1481" s="284"/>
      <c r="AE1481" s="284"/>
      <c r="AF1481" s="284"/>
      <c r="AG1481" s="284"/>
      <c r="AI1481" s="131"/>
    </row>
    <row r="1482" spans="1:35">
      <c r="AI1482" s="131"/>
    </row>
    <row r="1483" spans="1:35">
      <c r="AI1483" s="131"/>
    </row>
    <row r="1484" spans="1:35">
      <c r="AI1484" s="131"/>
    </row>
    <row r="1485" spans="1:35">
      <c r="AI1485" s="131"/>
    </row>
    <row r="1486" spans="1:35">
      <c r="AI1486" s="131"/>
    </row>
    <row r="1487" spans="1:35">
      <c r="AI1487" s="131"/>
    </row>
    <row r="1488" spans="1:35">
      <c r="AI1488" s="131"/>
    </row>
    <row r="1489" spans="1:35">
      <c r="AI1489" s="131"/>
    </row>
    <row r="1490" spans="1:35">
      <c r="AI1490" s="131"/>
    </row>
    <row r="1491" spans="1:35" ht="26.4">
      <c r="A1491" s="284"/>
      <c r="B1491" s="284"/>
      <c r="C1491" s="284"/>
      <c r="D1491" s="284"/>
      <c r="E1491" s="284"/>
      <c r="F1491" s="284"/>
      <c r="G1491" s="284"/>
      <c r="H1491" s="284"/>
      <c r="I1491" s="284"/>
      <c r="J1491" s="375"/>
      <c r="K1491" s="375"/>
      <c r="L1491" s="375"/>
      <c r="M1491" s="368"/>
      <c r="N1491" s="368"/>
      <c r="O1491" s="370"/>
      <c r="T1491" s="340"/>
      <c r="V1491" s="378"/>
      <c r="W1491" s="64" ph="1"/>
      <c r="X1491" s="241"/>
      <c r="Y1491" s="284"/>
      <c r="Z1491" s="207"/>
      <c r="AA1491" s="284"/>
      <c r="AB1491" s="284"/>
      <c r="AC1491" s="284"/>
      <c r="AD1491" s="284"/>
      <c r="AE1491" s="284"/>
      <c r="AF1491" s="284"/>
      <c r="AG1491" s="284"/>
      <c r="AI1491" s="131"/>
    </row>
    <row r="1492" spans="1:35">
      <c r="AI1492" s="131"/>
    </row>
    <row r="1493" spans="1:35">
      <c r="AI1493" s="131"/>
    </row>
    <row r="1494" spans="1:35">
      <c r="AI1494" s="131"/>
    </row>
    <row r="1495" spans="1:35" ht="26.4">
      <c r="A1495" s="284"/>
      <c r="B1495" s="284"/>
      <c r="C1495" s="284"/>
      <c r="D1495" s="284"/>
      <c r="E1495" s="284"/>
      <c r="F1495" s="284"/>
      <c r="G1495" s="284"/>
      <c r="H1495" s="284"/>
      <c r="I1495" s="284"/>
      <c r="J1495" s="375"/>
      <c r="K1495" s="375"/>
      <c r="L1495" s="375"/>
      <c r="M1495" s="368"/>
      <c r="N1495" s="368"/>
      <c r="T1495" s="340"/>
      <c r="V1495" s="378"/>
      <c r="W1495" s="64" ph="1"/>
      <c r="X1495" s="241"/>
      <c r="Y1495" s="284"/>
      <c r="Z1495" s="207"/>
      <c r="AA1495" s="284"/>
      <c r="AB1495" s="284"/>
      <c r="AC1495" s="284"/>
      <c r="AD1495" s="284"/>
      <c r="AE1495" s="284"/>
      <c r="AF1495" s="284"/>
      <c r="AG1495" s="284"/>
      <c r="AI1495" s="131"/>
    </row>
    <row r="1496" spans="1:35">
      <c r="AI1496" s="131"/>
    </row>
    <row r="1497" spans="1:35">
      <c r="AI1497" s="131"/>
    </row>
    <row r="1498" spans="1:35">
      <c r="AI1498" s="131"/>
    </row>
    <row r="1499" spans="1:35">
      <c r="AI1499" s="131"/>
    </row>
    <row r="1500" spans="1:35" ht="26.4">
      <c r="A1500" s="284"/>
      <c r="B1500" s="284"/>
      <c r="C1500" s="284"/>
      <c r="D1500" s="284"/>
      <c r="E1500" s="284"/>
      <c r="F1500" s="284"/>
      <c r="G1500" s="284"/>
      <c r="H1500" s="284"/>
      <c r="I1500" s="284"/>
      <c r="J1500" s="375"/>
      <c r="K1500" s="375"/>
      <c r="L1500" s="375"/>
      <c r="M1500" s="368"/>
      <c r="N1500" s="368"/>
      <c r="T1500" s="340"/>
      <c r="V1500" s="378"/>
      <c r="W1500" s="64" ph="1"/>
      <c r="X1500" s="241"/>
      <c r="Y1500" s="284"/>
      <c r="Z1500" s="207"/>
      <c r="AA1500" s="284"/>
      <c r="AB1500" s="284"/>
      <c r="AC1500" s="284"/>
      <c r="AD1500" s="284"/>
      <c r="AE1500" s="284"/>
      <c r="AF1500" s="284"/>
      <c r="AG1500" s="284"/>
      <c r="AI1500" s="131"/>
    </row>
    <row r="1501" spans="1:35" ht="26.4">
      <c r="A1501" s="284"/>
      <c r="B1501" s="284"/>
      <c r="C1501" s="284"/>
      <c r="D1501" s="284"/>
      <c r="E1501" s="284"/>
      <c r="F1501" s="284"/>
      <c r="G1501" s="284"/>
      <c r="H1501" s="284"/>
      <c r="I1501" s="284"/>
      <c r="J1501" s="375"/>
      <c r="K1501" s="375"/>
      <c r="L1501" s="375"/>
      <c r="M1501" s="368"/>
      <c r="N1501" s="368"/>
      <c r="O1501" s="370"/>
      <c r="T1501" s="340"/>
      <c r="V1501" s="378"/>
      <c r="W1501" s="64" ph="1"/>
      <c r="X1501" s="241"/>
      <c r="Y1501" s="284"/>
      <c r="Z1501" s="207"/>
      <c r="AA1501" s="284"/>
      <c r="AB1501" s="284"/>
      <c r="AC1501" s="284"/>
      <c r="AD1501" s="284"/>
      <c r="AE1501" s="284"/>
      <c r="AF1501" s="284"/>
      <c r="AG1501" s="284"/>
      <c r="AI1501" s="131"/>
    </row>
    <row r="1502" spans="1:35" ht="26.4">
      <c r="A1502" s="284"/>
      <c r="B1502" s="284"/>
      <c r="C1502" s="284"/>
      <c r="D1502" s="284"/>
      <c r="E1502" s="284"/>
      <c r="F1502" s="284"/>
      <c r="G1502" s="284"/>
      <c r="H1502" s="284"/>
      <c r="I1502" s="284"/>
      <c r="J1502" s="375"/>
      <c r="K1502" s="375"/>
      <c r="L1502" s="375"/>
      <c r="M1502" s="368"/>
      <c r="N1502" s="368"/>
      <c r="T1502" s="340"/>
      <c r="V1502" s="378"/>
      <c r="W1502" s="64" ph="1"/>
      <c r="X1502" s="241"/>
      <c r="Y1502" s="284"/>
      <c r="Z1502" s="207"/>
      <c r="AA1502" s="284"/>
      <c r="AB1502" s="284"/>
      <c r="AC1502" s="284"/>
      <c r="AD1502" s="284"/>
      <c r="AE1502" s="284"/>
      <c r="AF1502" s="284"/>
      <c r="AG1502" s="284"/>
      <c r="AI1502" s="131"/>
    </row>
    <row r="1503" spans="1:35">
      <c r="AI1503" s="131"/>
    </row>
    <row r="1504" spans="1:35" ht="26.4">
      <c r="A1504" s="284"/>
      <c r="B1504" s="284"/>
      <c r="C1504" s="284"/>
      <c r="D1504" s="284"/>
      <c r="E1504" s="284"/>
      <c r="F1504" s="284"/>
      <c r="G1504" s="284"/>
      <c r="H1504" s="284"/>
      <c r="I1504" s="284"/>
      <c r="J1504" s="375"/>
      <c r="K1504" s="375"/>
      <c r="L1504" s="375"/>
      <c r="M1504" s="368"/>
      <c r="N1504" s="368"/>
      <c r="T1504" s="340"/>
      <c r="V1504" s="378"/>
      <c r="W1504" s="64" ph="1"/>
      <c r="X1504" s="241"/>
      <c r="Y1504" s="284"/>
      <c r="Z1504" s="207"/>
      <c r="AA1504" s="284"/>
      <c r="AB1504" s="284"/>
      <c r="AC1504" s="284"/>
      <c r="AD1504" s="284"/>
      <c r="AE1504" s="284"/>
      <c r="AF1504" s="284"/>
      <c r="AG1504" s="284"/>
      <c r="AI1504" s="131"/>
    </row>
    <row r="1505" spans="1:35" ht="26.4">
      <c r="A1505" s="284"/>
      <c r="B1505" s="284"/>
      <c r="C1505" s="284"/>
      <c r="D1505" s="284"/>
      <c r="E1505" s="284"/>
      <c r="F1505" s="284"/>
      <c r="G1505" s="284"/>
      <c r="H1505" s="284"/>
      <c r="I1505" s="284"/>
      <c r="J1505" s="375"/>
      <c r="K1505" s="375"/>
      <c r="L1505" s="375"/>
      <c r="M1505" s="368"/>
      <c r="N1505" s="368"/>
      <c r="O1505" s="370"/>
      <c r="T1505" s="340"/>
      <c r="V1505" s="378"/>
      <c r="W1505" s="64" ph="1"/>
      <c r="X1505" s="241"/>
      <c r="Y1505" s="284"/>
      <c r="Z1505" s="207"/>
      <c r="AA1505" s="284"/>
      <c r="AB1505" s="284"/>
      <c r="AC1505" s="284"/>
      <c r="AD1505" s="284"/>
      <c r="AE1505" s="284"/>
      <c r="AF1505" s="284"/>
      <c r="AG1505" s="284"/>
      <c r="AI1505" s="131"/>
    </row>
    <row r="1506" spans="1:35">
      <c r="AI1506" s="131"/>
    </row>
    <row r="1507" spans="1:35" ht="26.4">
      <c r="A1507" s="284"/>
      <c r="B1507" s="284"/>
      <c r="C1507" s="284"/>
      <c r="D1507" s="284"/>
      <c r="E1507" s="284"/>
      <c r="F1507" s="284"/>
      <c r="G1507" s="284"/>
      <c r="H1507" s="284"/>
      <c r="I1507" s="284"/>
      <c r="J1507" s="375"/>
      <c r="K1507" s="375"/>
      <c r="L1507" s="375"/>
      <c r="M1507" s="368"/>
      <c r="N1507" s="368"/>
      <c r="T1507" s="340"/>
      <c r="V1507" s="378"/>
      <c r="W1507" s="64" ph="1"/>
      <c r="X1507" s="241"/>
      <c r="Y1507" s="284"/>
      <c r="Z1507" s="207"/>
      <c r="AA1507" s="284"/>
      <c r="AB1507" s="284"/>
      <c r="AC1507" s="284"/>
      <c r="AD1507" s="284"/>
      <c r="AE1507" s="284"/>
      <c r="AF1507" s="284"/>
      <c r="AG1507" s="284"/>
      <c r="AI1507" s="131"/>
    </row>
    <row r="1508" spans="1:35">
      <c r="AI1508" s="131"/>
    </row>
    <row r="1509" spans="1:35" ht="26.4">
      <c r="A1509" s="284"/>
      <c r="B1509" s="284"/>
      <c r="C1509" s="284"/>
      <c r="D1509" s="284"/>
      <c r="E1509" s="284"/>
      <c r="F1509" s="284"/>
      <c r="G1509" s="284"/>
      <c r="H1509" s="284"/>
      <c r="I1509" s="284"/>
      <c r="J1509" s="375"/>
      <c r="K1509" s="375"/>
      <c r="L1509" s="375"/>
      <c r="M1509" s="368"/>
      <c r="N1509" s="368"/>
      <c r="T1509" s="340"/>
      <c r="V1509" s="378"/>
      <c r="W1509" s="64" ph="1"/>
      <c r="X1509" s="241"/>
      <c r="Y1509" s="284"/>
      <c r="Z1509" s="207"/>
      <c r="AA1509" s="284"/>
      <c r="AB1509" s="284"/>
      <c r="AC1509" s="284"/>
      <c r="AD1509" s="284"/>
      <c r="AE1509" s="284"/>
      <c r="AF1509" s="284"/>
      <c r="AG1509" s="284"/>
      <c r="AI1509" s="131"/>
    </row>
    <row r="1510" spans="1:35" ht="26.4">
      <c r="A1510" s="284"/>
      <c r="B1510" s="284"/>
      <c r="C1510" s="284"/>
      <c r="D1510" s="284"/>
      <c r="E1510" s="284"/>
      <c r="F1510" s="284"/>
      <c r="G1510" s="284"/>
      <c r="H1510" s="284"/>
      <c r="I1510" s="284"/>
      <c r="J1510" s="375"/>
      <c r="K1510" s="375"/>
      <c r="L1510" s="375"/>
      <c r="M1510" s="368"/>
      <c r="N1510" s="368"/>
      <c r="O1510" s="370"/>
      <c r="T1510" s="340"/>
      <c r="V1510" s="378"/>
      <c r="W1510" s="64" ph="1"/>
      <c r="X1510" s="241"/>
      <c r="Y1510" s="284"/>
      <c r="Z1510" s="207"/>
      <c r="AA1510" s="284"/>
      <c r="AB1510" s="284"/>
      <c r="AC1510" s="284"/>
      <c r="AD1510" s="284"/>
      <c r="AE1510" s="284"/>
      <c r="AF1510" s="284"/>
      <c r="AG1510" s="284"/>
      <c r="AI1510" s="131"/>
    </row>
    <row r="1511" spans="1:35" ht="26.4">
      <c r="A1511" s="284"/>
      <c r="B1511" s="284"/>
      <c r="C1511" s="284"/>
      <c r="D1511" s="284"/>
      <c r="E1511" s="284"/>
      <c r="F1511" s="284"/>
      <c r="G1511" s="284"/>
      <c r="H1511" s="284"/>
      <c r="I1511" s="284"/>
      <c r="J1511" s="375"/>
      <c r="K1511" s="375"/>
      <c r="L1511" s="375"/>
      <c r="M1511" s="368"/>
      <c r="N1511" s="368"/>
      <c r="O1511" s="370"/>
      <c r="T1511" s="340"/>
      <c r="V1511" s="378"/>
      <c r="W1511" s="64" ph="1"/>
      <c r="X1511" s="241"/>
      <c r="Y1511" s="284"/>
      <c r="Z1511" s="207"/>
      <c r="AA1511" s="284"/>
      <c r="AB1511" s="284"/>
      <c r="AC1511" s="284"/>
      <c r="AD1511" s="284"/>
      <c r="AE1511" s="284"/>
      <c r="AF1511" s="284"/>
      <c r="AG1511" s="284"/>
      <c r="AI1511" s="131"/>
    </row>
    <row r="1512" spans="1:35" ht="26.4">
      <c r="A1512" s="284"/>
      <c r="B1512" s="284"/>
      <c r="C1512" s="284"/>
      <c r="D1512" s="284"/>
      <c r="E1512" s="284"/>
      <c r="F1512" s="284"/>
      <c r="G1512" s="284"/>
      <c r="H1512" s="284"/>
      <c r="I1512" s="284"/>
      <c r="J1512" s="375"/>
      <c r="K1512" s="375"/>
      <c r="L1512" s="375"/>
      <c r="M1512" s="368"/>
      <c r="N1512" s="368"/>
      <c r="O1512" s="370"/>
      <c r="T1512" s="340"/>
      <c r="V1512" s="378"/>
      <c r="W1512" s="64" ph="1"/>
      <c r="X1512" s="241"/>
      <c r="Y1512" s="284"/>
      <c r="Z1512" s="207"/>
      <c r="AA1512" s="284"/>
      <c r="AB1512" s="284"/>
      <c r="AC1512" s="284"/>
      <c r="AD1512" s="284"/>
      <c r="AE1512" s="284"/>
      <c r="AF1512" s="284"/>
      <c r="AG1512" s="284"/>
      <c r="AI1512" s="131"/>
    </row>
    <row r="1513" spans="1:35" ht="26.4">
      <c r="A1513" s="284"/>
      <c r="B1513" s="284"/>
      <c r="C1513" s="284"/>
      <c r="D1513" s="284"/>
      <c r="E1513" s="284"/>
      <c r="F1513" s="284"/>
      <c r="G1513" s="284"/>
      <c r="H1513" s="284"/>
      <c r="I1513" s="284"/>
      <c r="J1513" s="375"/>
      <c r="K1513" s="375"/>
      <c r="L1513" s="375"/>
      <c r="M1513" s="368"/>
      <c r="N1513" s="368"/>
      <c r="T1513" s="340"/>
      <c r="V1513" s="378"/>
      <c r="W1513" s="64" ph="1"/>
      <c r="X1513" s="241"/>
      <c r="Y1513" s="284"/>
      <c r="Z1513" s="207"/>
      <c r="AA1513" s="284"/>
      <c r="AB1513" s="284"/>
      <c r="AC1513" s="284"/>
      <c r="AD1513" s="284"/>
      <c r="AE1513" s="284"/>
      <c r="AF1513" s="284"/>
      <c r="AG1513" s="284"/>
      <c r="AI1513" s="128"/>
    </row>
    <row r="1514" spans="1:35" ht="26.4">
      <c r="A1514" s="284"/>
      <c r="B1514" s="284"/>
      <c r="C1514" s="284"/>
      <c r="D1514" s="284"/>
      <c r="E1514" s="284"/>
      <c r="F1514" s="284"/>
      <c r="G1514" s="284"/>
      <c r="H1514" s="284"/>
      <c r="I1514" s="284"/>
      <c r="J1514" s="375"/>
      <c r="K1514" s="375"/>
      <c r="L1514" s="375"/>
      <c r="M1514" s="368"/>
      <c r="N1514" s="368"/>
      <c r="O1514" s="370"/>
      <c r="T1514" s="340"/>
      <c r="V1514" s="378"/>
      <c r="W1514" s="64" ph="1"/>
      <c r="X1514" s="241"/>
      <c r="Y1514" s="284"/>
      <c r="Z1514" s="207"/>
      <c r="AA1514" s="284"/>
      <c r="AB1514" s="284"/>
      <c r="AC1514" s="284"/>
      <c r="AD1514" s="284"/>
      <c r="AE1514" s="284"/>
      <c r="AF1514" s="284"/>
      <c r="AG1514" s="284"/>
      <c r="AI1514" s="131"/>
    </row>
    <row r="1515" spans="1:35" ht="26.4">
      <c r="A1515" s="284"/>
      <c r="B1515" s="284"/>
      <c r="C1515" s="284"/>
      <c r="D1515" s="284"/>
      <c r="E1515" s="284"/>
      <c r="F1515" s="284"/>
      <c r="G1515" s="284"/>
      <c r="H1515" s="284"/>
      <c r="I1515" s="284"/>
      <c r="J1515" s="375"/>
      <c r="K1515" s="375"/>
      <c r="L1515" s="375"/>
      <c r="M1515" s="368"/>
      <c r="N1515" s="368"/>
      <c r="O1515" s="370"/>
      <c r="T1515" s="340"/>
      <c r="V1515" s="378"/>
      <c r="W1515" s="64" ph="1"/>
      <c r="X1515" s="241"/>
      <c r="Y1515" s="284"/>
      <c r="Z1515" s="207"/>
      <c r="AA1515" s="284"/>
      <c r="AB1515" s="284"/>
      <c r="AC1515" s="284"/>
      <c r="AD1515" s="284"/>
      <c r="AE1515" s="284"/>
      <c r="AF1515" s="284"/>
      <c r="AG1515" s="284"/>
      <c r="AI1515" s="131"/>
    </row>
    <row r="1516" spans="1:35" ht="26.4">
      <c r="A1516" s="284"/>
      <c r="B1516" s="284"/>
      <c r="C1516" s="284"/>
      <c r="D1516" s="284"/>
      <c r="E1516" s="284"/>
      <c r="F1516" s="284"/>
      <c r="G1516" s="284"/>
      <c r="H1516" s="284"/>
      <c r="I1516" s="284"/>
      <c r="J1516" s="375"/>
      <c r="K1516" s="375"/>
      <c r="L1516" s="375"/>
      <c r="M1516" s="368"/>
      <c r="N1516" s="368"/>
      <c r="T1516" s="340"/>
      <c r="V1516" s="378"/>
      <c r="W1516" s="64" ph="1"/>
      <c r="X1516" s="241"/>
      <c r="Y1516" s="284"/>
      <c r="Z1516" s="207"/>
      <c r="AA1516" s="284"/>
      <c r="AB1516" s="284"/>
      <c r="AC1516" s="284"/>
      <c r="AD1516" s="284"/>
      <c r="AE1516" s="284"/>
      <c r="AF1516" s="284"/>
      <c r="AG1516" s="284"/>
      <c r="AI1516" s="131"/>
    </row>
    <row r="1517" spans="1:35" ht="26.4">
      <c r="A1517" s="284"/>
      <c r="B1517" s="284"/>
      <c r="C1517" s="284"/>
      <c r="D1517" s="284"/>
      <c r="E1517" s="284"/>
      <c r="F1517" s="284"/>
      <c r="G1517" s="284"/>
      <c r="H1517" s="284"/>
      <c r="I1517" s="284"/>
      <c r="J1517" s="375"/>
      <c r="K1517" s="375"/>
      <c r="L1517" s="375"/>
      <c r="M1517" s="368"/>
      <c r="N1517" s="368"/>
      <c r="O1517" s="370"/>
      <c r="T1517" s="340"/>
      <c r="V1517" s="378"/>
      <c r="W1517" s="64" ph="1"/>
      <c r="X1517" s="241"/>
      <c r="Y1517" s="284"/>
      <c r="Z1517" s="207"/>
      <c r="AA1517" s="284"/>
      <c r="AB1517" s="284"/>
      <c r="AC1517" s="284"/>
      <c r="AD1517" s="284"/>
      <c r="AE1517" s="284"/>
      <c r="AF1517" s="284"/>
      <c r="AG1517" s="284"/>
      <c r="AI1517" s="131"/>
    </row>
    <row r="1518" spans="1:35" ht="26.4">
      <c r="A1518" s="284"/>
      <c r="B1518" s="284"/>
      <c r="C1518" s="284"/>
      <c r="D1518" s="284"/>
      <c r="E1518" s="284"/>
      <c r="F1518" s="284"/>
      <c r="G1518" s="284"/>
      <c r="H1518" s="284"/>
      <c r="I1518" s="284"/>
      <c r="J1518" s="375"/>
      <c r="K1518" s="375"/>
      <c r="L1518" s="375"/>
      <c r="M1518" s="368"/>
      <c r="N1518" s="368"/>
      <c r="T1518" s="340"/>
      <c r="V1518" s="378"/>
      <c r="W1518" s="64" ph="1"/>
      <c r="X1518" s="241"/>
      <c r="Y1518" s="284"/>
      <c r="Z1518" s="207"/>
      <c r="AA1518" s="284"/>
      <c r="AB1518" s="284"/>
      <c r="AC1518" s="284"/>
      <c r="AD1518" s="284"/>
      <c r="AE1518" s="284"/>
      <c r="AF1518" s="284"/>
      <c r="AG1518" s="284"/>
      <c r="AI1518" s="131"/>
    </row>
    <row r="1519" spans="1:35">
      <c r="O1519" s="370"/>
      <c r="AI1519" s="131"/>
    </row>
    <row r="1520" spans="1:35" ht="26.4">
      <c r="A1520" s="284"/>
      <c r="B1520" s="284"/>
      <c r="C1520" s="284"/>
      <c r="D1520" s="284"/>
      <c r="E1520" s="284"/>
      <c r="F1520" s="284"/>
      <c r="G1520" s="284"/>
      <c r="H1520" s="284"/>
      <c r="I1520" s="284"/>
      <c r="J1520" s="375"/>
      <c r="K1520" s="375"/>
      <c r="L1520" s="375"/>
      <c r="M1520" s="368"/>
      <c r="N1520" s="368"/>
      <c r="O1520" s="370"/>
      <c r="T1520" s="340"/>
      <c r="V1520" s="378"/>
      <c r="W1520" s="64" ph="1"/>
      <c r="X1520" s="241"/>
      <c r="Y1520" s="284"/>
      <c r="Z1520" s="207"/>
      <c r="AA1520" s="284"/>
      <c r="AB1520" s="284"/>
      <c r="AC1520" s="284"/>
      <c r="AD1520" s="284"/>
      <c r="AE1520" s="284"/>
      <c r="AF1520" s="284"/>
      <c r="AG1520" s="284"/>
      <c r="AI1520" s="131"/>
    </row>
    <row r="1521" spans="1:35" ht="26.4">
      <c r="A1521" s="284"/>
      <c r="B1521" s="284"/>
      <c r="C1521" s="284"/>
      <c r="D1521" s="284"/>
      <c r="E1521" s="284"/>
      <c r="F1521" s="284"/>
      <c r="G1521" s="284"/>
      <c r="H1521" s="284"/>
      <c r="I1521" s="284"/>
      <c r="J1521" s="375"/>
      <c r="K1521" s="375"/>
      <c r="L1521" s="375"/>
      <c r="M1521" s="368"/>
      <c r="N1521" s="368"/>
      <c r="O1521" s="370"/>
      <c r="T1521" s="340"/>
      <c r="V1521" s="378"/>
      <c r="W1521" s="64" ph="1"/>
      <c r="X1521" s="241"/>
      <c r="Y1521" s="284"/>
      <c r="Z1521" s="207"/>
      <c r="AA1521" s="284"/>
      <c r="AB1521" s="284"/>
      <c r="AC1521" s="284"/>
      <c r="AD1521" s="284"/>
      <c r="AE1521" s="284"/>
      <c r="AF1521" s="284"/>
      <c r="AG1521" s="284"/>
      <c r="AI1521" s="131"/>
    </row>
    <row r="1522" spans="1:35" ht="26.4">
      <c r="A1522" s="284"/>
      <c r="B1522" s="284"/>
      <c r="C1522" s="284"/>
      <c r="D1522" s="284"/>
      <c r="E1522" s="284"/>
      <c r="F1522" s="284"/>
      <c r="G1522" s="284"/>
      <c r="H1522" s="284"/>
      <c r="I1522" s="284"/>
      <c r="J1522" s="375"/>
      <c r="K1522" s="375"/>
      <c r="L1522" s="375"/>
      <c r="M1522" s="368"/>
      <c r="N1522" s="368"/>
      <c r="O1522" s="370"/>
      <c r="T1522" s="340"/>
      <c r="V1522" s="378"/>
      <c r="W1522" s="64" ph="1"/>
      <c r="X1522" s="241"/>
      <c r="Y1522" s="284"/>
      <c r="Z1522" s="207"/>
      <c r="AA1522" s="284"/>
      <c r="AB1522" s="284"/>
      <c r="AC1522" s="284"/>
      <c r="AD1522" s="284"/>
      <c r="AE1522" s="284"/>
      <c r="AF1522" s="284"/>
      <c r="AG1522" s="284"/>
      <c r="AI1522" s="131"/>
    </row>
    <row r="1523" spans="1:35" ht="26.4">
      <c r="A1523" s="284"/>
      <c r="B1523" s="284"/>
      <c r="C1523" s="284"/>
      <c r="D1523" s="284"/>
      <c r="E1523" s="284"/>
      <c r="F1523" s="284"/>
      <c r="G1523" s="284"/>
      <c r="H1523" s="284"/>
      <c r="I1523" s="284"/>
      <c r="J1523" s="375"/>
      <c r="K1523" s="375"/>
      <c r="L1523" s="375"/>
      <c r="M1523" s="368"/>
      <c r="N1523" s="368"/>
      <c r="O1523" s="370"/>
      <c r="T1523" s="340"/>
      <c r="V1523" s="378"/>
      <c r="W1523" s="64" ph="1"/>
      <c r="X1523" s="241"/>
      <c r="Y1523" s="284"/>
      <c r="Z1523" s="207"/>
      <c r="AA1523" s="284"/>
      <c r="AB1523" s="284"/>
      <c r="AC1523" s="284"/>
      <c r="AD1523" s="284"/>
      <c r="AE1523" s="284"/>
      <c r="AF1523" s="284"/>
      <c r="AG1523" s="284"/>
      <c r="AI1523" s="131"/>
    </row>
    <row r="1524" spans="1:35" ht="26.4">
      <c r="A1524" s="284"/>
      <c r="B1524" s="284"/>
      <c r="C1524" s="284"/>
      <c r="D1524" s="284"/>
      <c r="E1524" s="284"/>
      <c r="F1524" s="284"/>
      <c r="G1524" s="284"/>
      <c r="H1524" s="284"/>
      <c r="I1524" s="284"/>
      <c r="J1524" s="375"/>
      <c r="K1524" s="375"/>
      <c r="L1524" s="375"/>
      <c r="M1524" s="368"/>
      <c r="N1524" s="368"/>
      <c r="O1524" s="370"/>
      <c r="T1524" s="340"/>
      <c r="V1524" s="378"/>
      <c r="W1524" s="64" ph="1"/>
      <c r="X1524" s="241"/>
      <c r="Y1524" s="284"/>
      <c r="Z1524" s="207"/>
      <c r="AA1524" s="284"/>
      <c r="AB1524" s="284"/>
      <c r="AC1524" s="284"/>
      <c r="AD1524" s="284"/>
      <c r="AE1524" s="284"/>
      <c r="AF1524" s="284"/>
      <c r="AG1524" s="284"/>
      <c r="AI1524" s="131"/>
    </row>
    <row r="1525" spans="1:35" ht="26.4">
      <c r="A1525" s="284"/>
      <c r="B1525" s="284"/>
      <c r="C1525" s="284"/>
      <c r="D1525" s="284"/>
      <c r="E1525" s="284"/>
      <c r="F1525" s="284"/>
      <c r="G1525" s="284"/>
      <c r="H1525" s="284"/>
      <c r="I1525" s="284"/>
      <c r="J1525" s="375"/>
      <c r="K1525" s="375"/>
      <c r="L1525" s="375"/>
      <c r="M1525" s="368"/>
      <c r="N1525" s="368"/>
      <c r="O1525" s="370"/>
      <c r="T1525" s="340"/>
      <c r="V1525" s="378"/>
      <c r="W1525" s="64" ph="1"/>
      <c r="X1525" s="241"/>
      <c r="Y1525" s="284"/>
      <c r="Z1525" s="207"/>
      <c r="AA1525" s="284"/>
      <c r="AB1525" s="284"/>
      <c r="AC1525" s="284"/>
      <c r="AD1525" s="284"/>
      <c r="AE1525" s="284"/>
      <c r="AF1525" s="284"/>
      <c r="AG1525" s="284"/>
      <c r="AI1525" s="131"/>
    </row>
    <row r="1526" spans="1:35" ht="26.4">
      <c r="A1526" s="284"/>
      <c r="B1526" s="284"/>
      <c r="C1526" s="284"/>
      <c r="D1526" s="284"/>
      <c r="E1526" s="284"/>
      <c r="F1526" s="284"/>
      <c r="G1526" s="284"/>
      <c r="H1526" s="284"/>
      <c r="I1526" s="284"/>
      <c r="J1526" s="375"/>
      <c r="K1526" s="375"/>
      <c r="L1526" s="375"/>
      <c r="M1526" s="368"/>
      <c r="N1526" s="368"/>
      <c r="O1526" s="370"/>
      <c r="T1526" s="340"/>
      <c r="V1526" s="378"/>
      <c r="W1526" s="64" ph="1"/>
      <c r="X1526" s="241"/>
      <c r="Y1526" s="284"/>
      <c r="Z1526" s="207"/>
      <c r="AA1526" s="284"/>
      <c r="AB1526" s="284"/>
      <c r="AC1526" s="284"/>
      <c r="AD1526" s="284"/>
      <c r="AE1526" s="284"/>
      <c r="AF1526" s="284"/>
      <c r="AG1526" s="284"/>
      <c r="AI1526" s="131"/>
    </row>
    <row r="1527" spans="1:35" ht="26.4">
      <c r="A1527" s="284"/>
      <c r="B1527" s="284"/>
      <c r="C1527" s="284"/>
      <c r="D1527" s="284"/>
      <c r="E1527" s="284"/>
      <c r="F1527" s="284"/>
      <c r="G1527" s="284"/>
      <c r="H1527" s="284"/>
      <c r="I1527" s="284"/>
      <c r="J1527" s="375"/>
      <c r="K1527" s="375"/>
      <c r="L1527" s="375"/>
      <c r="M1527" s="368"/>
      <c r="N1527" s="368"/>
      <c r="O1527" s="370"/>
      <c r="T1527" s="340"/>
      <c r="V1527" s="378"/>
      <c r="W1527" s="64" ph="1"/>
      <c r="X1527" s="241"/>
      <c r="Y1527" s="284"/>
      <c r="Z1527" s="207"/>
      <c r="AA1527" s="284"/>
      <c r="AB1527" s="284"/>
      <c r="AC1527" s="284"/>
      <c r="AD1527" s="284"/>
      <c r="AE1527" s="284"/>
      <c r="AF1527" s="284"/>
      <c r="AG1527" s="284"/>
      <c r="AI1527" s="284"/>
    </row>
    <row r="1528" spans="1:35">
      <c r="O1528" s="370"/>
      <c r="AI1528" s="131"/>
    </row>
    <row r="1529" spans="1:35" ht="26.4">
      <c r="A1529" s="284"/>
      <c r="B1529" s="284"/>
      <c r="C1529" s="284"/>
      <c r="D1529" s="284"/>
      <c r="E1529" s="284"/>
      <c r="F1529" s="284"/>
      <c r="G1529" s="284"/>
      <c r="H1529" s="284"/>
      <c r="I1529" s="284"/>
      <c r="J1529" s="375"/>
      <c r="K1529" s="375"/>
      <c r="L1529" s="375"/>
      <c r="M1529" s="368"/>
      <c r="N1529" s="368"/>
      <c r="T1529" s="340"/>
      <c r="V1529" s="378"/>
      <c r="W1529" s="64" ph="1"/>
      <c r="X1529" s="241"/>
      <c r="Y1529" s="284"/>
      <c r="Z1529" s="207"/>
      <c r="AA1529" s="284"/>
      <c r="AB1529" s="284"/>
      <c r="AC1529" s="284"/>
      <c r="AD1529" s="284"/>
      <c r="AE1529" s="284"/>
      <c r="AF1529" s="284"/>
      <c r="AG1529" s="284"/>
      <c r="AI1529" s="131"/>
    </row>
    <row r="1530" spans="1:35" ht="26.4">
      <c r="A1530" s="284"/>
      <c r="B1530" s="284"/>
      <c r="C1530" s="284"/>
      <c r="D1530" s="284"/>
      <c r="E1530" s="284"/>
      <c r="F1530" s="284"/>
      <c r="G1530" s="284"/>
      <c r="H1530" s="284"/>
      <c r="I1530" s="284"/>
      <c r="J1530" s="375"/>
      <c r="K1530" s="375"/>
      <c r="L1530" s="375"/>
      <c r="M1530" s="368"/>
      <c r="N1530" s="368"/>
      <c r="O1530" s="370"/>
      <c r="T1530" s="340"/>
      <c r="V1530" s="378"/>
      <c r="W1530" s="64" ph="1"/>
      <c r="X1530" s="241"/>
      <c r="Y1530" s="284"/>
      <c r="Z1530" s="207"/>
      <c r="AA1530" s="284"/>
      <c r="AB1530" s="284"/>
      <c r="AC1530" s="284"/>
      <c r="AD1530" s="284"/>
      <c r="AE1530" s="284"/>
      <c r="AF1530" s="284"/>
      <c r="AG1530" s="284"/>
      <c r="AI1530" s="131"/>
    </row>
    <row r="1531" spans="1:35" ht="26.4">
      <c r="A1531" s="284"/>
      <c r="B1531" s="284"/>
      <c r="C1531" s="284"/>
      <c r="D1531" s="284"/>
      <c r="E1531" s="284"/>
      <c r="F1531" s="284"/>
      <c r="G1531" s="284"/>
      <c r="H1531" s="284"/>
      <c r="I1531" s="284"/>
      <c r="J1531" s="375"/>
      <c r="K1531" s="375"/>
      <c r="L1531" s="375"/>
      <c r="M1531" s="368"/>
      <c r="N1531" s="368"/>
      <c r="O1531" s="370"/>
      <c r="T1531" s="340"/>
      <c r="V1531" s="378"/>
      <c r="W1531" s="64" ph="1"/>
      <c r="X1531" s="241"/>
      <c r="Y1531" s="284"/>
      <c r="Z1531" s="207"/>
      <c r="AA1531" s="284"/>
      <c r="AB1531" s="284"/>
      <c r="AC1531" s="284"/>
      <c r="AD1531" s="284"/>
      <c r="AE1531" s="284"/>
      <c r="AF1531" s="284"/>
      <c r="AG1531" s="284"/>
      <c r="AI1531" s="131"/>
    </row>
    <row r="1532" spans="1:35" ht="26.4">
      <c r="A1532" s="284"/>
      <c r="B1532" s="284"/>
      <c r="C1532" s="284"/>
      <c r="D1532" s="284"/>
      <c r="E1532" s="284"/>
      <c r="F1532" s="284"/>
      <c r="G1532" s="284"/>
      <c r="H1532" s="284"/>
      <c r="I1532" s="284"/>
      <c r="J1532" s="375"/>
      <c r="K1532" s="375"/>
      <c r="L1532" s="375"/>
      <c r="M1532" s="368"/>
      <c r="N1532" s="368"/>
      <c r="O1532" s="370"/>
      <c r="T1532" s="340"/>
      <c r="V1532" s="378"/>
      <c r="W1532" s="64" ph="1"/>
      <c r="X1532" s="241"/>
      <c r="Y1532" s="284"/>
      <c r="Z1532" s="207"/>
      <c r="AA1532" s="284"/>
      <c r="AB1532" s="284"/>
      <c r="AC1532" s="284"/>
      <c r="AD1532" s="284"/>
      <c r="AE1532" s="284"/>
      <c r="AF1532" s="284"/>
      <c r="AG1532" s="284"/>
      <c r="AI1532" s="131"/>
    </row>
    <row r="1533" spans="1:35" ht="26.4">
      <c r="A1533" s="284"/>
      <c r="B1533" s="284"/>
      <c r="C1533" s="284"/>
      <c r="D1533" s="284"/>
      <c r="E1533" s="284"/>
      <c r="F1533" s="284"/>
      <c r="G1533" s="284"/>
      <c r="H1533" s="284"/>
      <c r="I1533" s="284"/>
      <c r="J1533" s="375"/>
      <c r="K1533" s="375"/>
      <c r="L1533" s="375"/>
      <c r="M1533" s="368"/>
      <c r="N1533" s="368"/>
      <c r="O1533" s="370"/>
      <c r="T1533" s="340"/>
      <c r="V1533" s="378"/>
      <c r="W1533" s="64" ph="1"/>
      <c r="X1533" s="241"/>
      <c r="Y1533" s="284"/>
      <c r="Z1533" s="207"/>
      <c r="AA1533" s="284"/>
      <c r="AB1533" s="284"/>
      <c r="AC1533" s="284"/>
      <c r="AD1533" s="284"/>
      <c r="AE1533" s="284"/>
      <c r="AF1533" s="284"/>
      <c r="AG1533" s="284"/>
      <c r="AI1533" s="131"/>
    </row>
    <row r="1534" spans="1:35" ht="26.4">
      <c r="A1534" s="284"/>
      <c r="B1534" s="284"/>
      <c r="C1534" s="284"/>
      <c r="D1534" s="284"/>
      <c r="E1534" s="284"/>
      <c r="F1534" s="284"/>
      <c r="G1534" s="284"/>
      <c r="H1534" s="284"/>
      <c r="I1534" s="284"/>
      <c r="J1534" s="375"/>
      <c r="K1534" s="375"/>
      <c r="L1534" s="375"/>
      <c r="M1534" s="368"/>
      <c r="N1534" s="368"/>
      <c r="O1534" s="370"/>
      <c r="T1534" s="340"/>
      <c r="V1534" s="378"/>
      <c r="W1534" s="64" ph="1"/>
      <c r="X1534" s="241"/>
      <c r="Y1534" s="284"/>
      <c r="Z1534" s="207"/>
      <c r="AA1534" s="284"/>
      <c r="AB1534" s="284"/>
      <c r="AC1534" s="284"/>
      <c r="AD1534" s="284"/>
      <c r="AE1534" s="284"/>
      <c r="AF1534" s="284"/>
      <c r="AG1534" s="284"/>
      <c r="AI1534" s="131"/>
    </row>
    <row r="1535" spans="1:35" ht="26.4">
      <c r="A1535" s="284"/>
      <c r="B1535" s="284"/>
      <c r="C1535" s="284"/>
      <c r="D1535" s="284"/>
      <c r="E1535" s="284"/>
      <c r="F1535" s="284"/>
      <c r="G1535" s="284"/>
      <c r="H1535" s="284"/>
      <c r="I1535" s="284"/>
      <c r="J1535" s="375"/>
      <c r="K1535" s="375"/>
      <c r="L1535" s="375"/>
      <c r="M1535" s="368"/>
      <c r="N1535" s="368"/>
      <c r="O1535" s="370"/>
      <c r="T1535" s="340"/>
      <c r="V1535" s="378"/>
      <c r="W1535" s="64" ph="1"/>
      <c r="X1535" s="241"/>
      <c r="Y1535" s="284"/>
      <c r="Z1535" s="207"/>
      <c r="AA1535" s="284"/>
      <c r="AB1535" s="284"/>
      <c r="AC1535" s="284"/>
      <c r="AD1535" s="284"/>
      <c r="AE1535" s="284"/>
      <c r="AF1535" s="284"/>
      <c r="AG1535" s="284"/>
      <c r="AI1535" s="131"/>
    </row>
    <row r="1536" spans="1:35" ht="26.4">
      <c r="A1536" s="284"/>
      <c r="B1536" s="284"/>
      <c r="C1536" s="284"/>
      <c r="D1536" s="284"/>
      <c r="E1536" s="284"/>
      <c r="F1536" s="284"/>
      <c r="G1536" s="284"/>
      <c r="H1536" s="284"/>
      <c r="I1536" s="284"/>
      <c r="J1536" s="375"/>
      <c r="K1536" s="375"/>
      <c r="L1536" s="375"/>
      <c r="M1536" s="368"/>
      <c r="N1536" s="368"/>
      <c r="O1536" s="370"/>
      <c r="T1536" s="340"/>
      <c r="V1536" s="378"/>
      <c r="W1536" s="64" ph="1"/>
      <c r="X1536" s="241"/>
      <c r="Y1536" s="284"/>
      <c r="Z1536" s="207"/>
      <c r="AA1536" s="284"/>
      <c r="AB1536" s="284"/>
      <c r="AC1536" s="284"/>
      <c r="AD1536" s="284"/>
      <c r="AE1536" s="284"/>
      <c r="AF1536" s="284"/>
      <c r="AG1536" s="284"/>
      <c r="AI1536" s="131"/>
    </row>
    <row r="1537" spans="1:35" ht="26.4">
      <c r="A1537" s="284"/>
      <c r="B1537" s="284"/>
      <c r="C1537" s="284"/>
      <c r="D1537" s="284"/>
      <c r="E1537" s="284"/>
      <c r="F1537" s="284"/>
      <c r="G1537" s="284"/>
      <c r="H1537" s="284"/>
      <c r="I1537" s="284"/>
      <c r="J1537" s="375"/>
      <c r="K1537" s="375"/>
      <c r="L1537" s="375"/>
      <c r="M1537" s="368"/>
      <c r="N1537" s="368"/>
      <c r="O1537" s="370"/>
      <c r="T1537" s="340"/>
      <c r="V1537" s="378"/>
      <c r="W1537" s="64" ph="1"/>
      <c r="X1537" s="241"/>
      <c r="Y1537" s="284"/>
      <c r="Z1537" s="207"/>
      <c r="AA1537" s="284"/>
      <c r="AB1537" s="284"/>
      <c r="AC1537" s="284"/>
      <c r="AD1537" s="284"/>
      <c r="AE1537" s="284"/>
      <c r="AF1537" s="284"/>
      <c r="AG1537" s="284"/>
      <c r="AI1537" s="131"/>
    </row>
    <row r="1538" spans="1:35" ht="26.4">
      <c r="A1538" s="284"/>
      <c r="B1538" s="284"/>
      <c r="C1538" s="284"/>
      <c r="D1538" s="284"/>
      <c r="E1538" s="284"/>
      <c r="F1538" s="284"/>
      <c r="G1538" s="284"/>
      <c r="H1538" s="284"/>
      <c r="I1538" s="284"/>
      <c r="J1538" s="375"/>
      <c r="K1538" s="375"/>
      <c r="L1538" s="375"/>
      <c r="M1538" s="368"/>
      <c r="N1538" s="368"/>
      <c r="T1538" s="340"/>
      <c r="V1538" s="378"/>
      <c r="W1538" s="64" ph="1"/>
      <c r="X1538" s="241"/>
      <c r="Y1538" s="284"/>
      <c r="Z1538" s="207"/>
      <c r="AA1538" s="284"/>
      <c r="AB1538" s="284"/>
      <c r="AC1538" s="284"/>
      <c r="AD1538" s="284"/>
      <c r="AE1538" s="284"/>
      <c r="AF1538" s="284"/>
      <c r="AG1538" s="284"/>
      <c r="AI1538" s="131"/>
    </row>
    <row r="1539" spans="1:35" ht="26.4">
      <c r="A1539" s="284"/>
      <c r="B1539" s="284"/>
      <c r="C1539" s="284"/>
      <c r="D1539" s="284"/>
      <c r="E1539" s="284"/>
      <c r="F1539" s="284"/>
      <c r="G1539" s="284"/>
      <c r="H1539" s="284"/>
      <c r="I1539" s="284"/>
      <c r="J1539" s="375"/>
      <c r="K1539" s="375"/>
      <c r="L1539" s="375"/>
      <c r="M1539" s="368"/>
      <c r="N1539" s="368"/>
      <c r="O1539" s="370"/>
      <c r="T1539" s="340"/>
      <c r="V1539" s="378"/>
      <c r="W1539" s="64" ph="1"/>
      <c r="X1539" s="241"/>
      <c r="Y1539" s="284"/>
      <c r="Z1539" s="207"/>
      <c r="AA1539" s="284"/>
      <c r="AB1539" s="284"/>
      <c r="AC1539" s="284"/>
      <c r="AD1539" s="284"/>
      <c r="AE1539" s="284"/>
      <c r="AF1539" s="284"/>
      <c r="AG1539" s="284"/>
      <c r="AI1539" s="131"/>
    </row>
    <row r="1540" spans="1:35">
      <c r="O1540" s="370"/>
      <c r="AI1540" s="131"/>
    </row>
    <row r="1541" spans="1:35" ht="26.4">
      <c r="A1541" s="284"/>
      <c r="B1541" s="284"/>
      <c r="C1541" s="284"/>
      <c r="D1541" s="284"/>
      <c r="E1541" s="284"/>
      <c r="F1541" s="284"/>
      <c r="G1541" s="284"/>
      <c r="H1541" s="284"/>
      <c r="I1541" s="284"/>
      <c r="J1541" s="375"/>
      <c r="K1541" s="375"/>
      <c r="L1541" s="375"/>
      <c r="M1541" s="368"/>
      <c r="N1541" s="368"/>
      <c r="O1541" s="370"/>
      <c r="T1541" s="340"/>
      <c r="V1541" s="378"/>
      <c r="W1541" s="64" ph="1"/>
      <c r="X1541" s="241"/>
      <c r="Y1541" s="284"/>
      <c r="Z1541" s="207"/>
      <c r="AA1541" s="284"/>
      <c r="AB1541" s="284"/>
      <c r="AC1541" s="284"/>
      <c r="AD1541" s="284"/>
      <c r="AE1541" s="284"/>
      <c r="AF1541" s="284"/>
      <c r="AG1541" s="284"/>
      <c r="AI1541" s="131"/>
    </row>
    <row r="1542" spans="1:35" ht="26.4">
      <c r="A1542" s="284"/>
      <c r="B1542" s="284"/>
      <c r="C1542" s="284"/>
      <c r="D1542" s="284"/>
      <c r="E1542" s="284"/>
      <c r="F1542" s="284"/>
      <c r="G1542" s="284"/>
      <c r="H1542" s="284"/>
      <c r="I1542" s="284"/>
      <c r="J1542" s="375"/>
      <c r="K1542" s="375"/>
      <c r="L1542" s="375"/>
      <c r="M1542" s="368"/>
      <c r="N1542" s="368"/>
      <c r="O1542" s="370"/>
      <c r="T1542" s="340"/>
      <c r="V1542" s="378"/>
      <c r="W1542" s="64" ph="1"/>
      <c r="X1542" s="241"/>
      <c r="Y1542" s="284"/>
      <c r="Z1542" s="207"/>
      <c r="AA1542" s="284"/>
      <c r="AB1542" s="284"/>
      <c r="AC1542" s="284"/>
      <c r="AD1542" s="284"/>
      <c r="AE1542" s="284"/>
      <c r="AF1542" s="284"/>
      <c r="AG1542" s="284"/>
      <c r="AI1542" s="28"/>
    </row>
    <row r="1543" spans="1:35" ht="26.4">
      <c r="A1543" s="284"/>
      <c r="B1543" s="284"/>
      <c r="C1543" s="284"/>
      <c r="D1543" s="284"/>
      <c r="E1543" s="284"/>
      <c r="F1543" s="284"/>
      <c r="G1543" s="284"/>
      <c r="H1543" s="284"/>
      <c r="I1543" s="284"/>
      <c r="J1543" s="375"/>
      <c r="K1543" s="375"/>
      <c r="L1543" s="375"/>
      <c r="M1543" s="368"/>
      <c r="N1543" s="368"/>
      <c r="O1543" s="370"/>
      <c r="T1543" s="340"/>
      <c r="V1543" s="378"/>
      <c r="W1543" s="64" ph="1"/>
      <c r="X1543" s="241"/>
      <c r="Y1543" s="284"/>
      <c r="Z1543" s="207"/>
      <c r="AA1543" s="284"/>
      <c r="AB1543" s="284"/>
      <c r="AC1543" s="284"/>
      <c r="AD1543" s="284"/>
      <c r="AE1543" s="284"/>
      <c r="AF1543" s="284"/>
      <c r="AG1543" s="284"/>
      <c r="AI1543" s="131"/>
    </row>
    <row r="1544" spans="1:35" ht="26.4">
      <c r="A1544" s="284"/>
      <c r="B1544" s="284"/>
      <c r="C1544" s="284"/>
      <c r="D1544" s="284"/>
      <c r="E1544" s="284"/>
      <c r="F1544" s="284"/>
      <c r="G1544" s="284"/>
      <c r="H1544" s="284"/>
      <c r="I1544" s="284"/>
      <c r="J1544" s="375"/>
      <c r="K1544" s="375"/>
      <c r="L1544" s="375"/>
      <c r="M1544" s="368"/>
      <c r="N1544" s="368"/>
      <c r="O1544" s="370"/>
      <c r="T1544" s="340"/>
      <c r="V1544" s="378"/>
      <c r="W1544" s="64" ph="1"/>
      <c r="X1544" s="241"/>
      <c r="Y1544" s="284"/>
      <c r="Z1544" s="207"/>
      <c r="AA1544" s="284"/>
      <c r="AB1544" s="284"/>
      <c r="AC1544" s="284"/>
      <c r="AD1544" s="284"/>
      <c r="AE1544" s="284"/>
      <c r="AF1544" s="284"/>
      <c r="AG1544" s="284"/>
      <c r="AI1544" s="131"/>
    </row>
    <row r="1545" spans="1:35" ht="26.4">
      <c r="A1545" s="284"/>
      <c r="B1545" s="284"/>
      <c r="C1545" s="284"/>
      <c r="D1545" s="284"/>
      <c r="E1545" s="284"/>
      <c r="F1545" s="284"/>
      <c r="G1545" s="284"/>
      <c r="H1545" s="284"/>
      <c r="I1545" s="284"/>
      <c r="J1545" s="375"/>
      <c r="K1545" s="375"/>
      <c r="L1545" s="375"/>
      <c r="M1545" s="368"/>
      <c r="N1545" s="368"/>
      <c r="O1545" s="370"/>
      <c r="T1545" s="340"/>
      <c r="V1545" s="378"/>
      <c r="W1545" s="64" ph="1"/>
      <c r="X1545" s="241"/>
      <c r="Y1545" s="284"/>
      <c r="Z1545" s="207"/>
      <c r="AA1545" s="284"/>
      <c r="AB1545" s="284"/>
      <c r="AC1545" s="284"/>
      <c r="AD1545" s="284"/>
      <c r="AE1545" s="284"/>
      <c r="AF1545" s="284"/>
      <c r="AG1545" s="284"/>
      <c r="AI1545" s="131"/>
    </row>
    <row r="1546" spans="1:35" ht="26.4">
      <c r="A1546" s="284"/>
      <c r="B1546" s="284"/>
      <c r="C1546" s="284"/>
      <c r="D1546" s="284"/>
      <c r="E1546" s="284"/>
      <c r="F1546" s="284"/>
      <c r="G1546" s="284"/>
      <c r="H1546" s="284"/>
      <c r="I1546" s="284"/>
      <c r="J1546" s="375"/>
      <c r="K1546" s="375"/>
      <c r="L1546" s="375"/>
      <c r="M1546" s="368"/>
      <c r="N1546" s="368"/>
      <c r="O1546" s="370"/>
      <c r="T1546" s="340"/>
      <c r="V1546" s="378"/>
      <c r="W1546" s="64" ph="1"/>
      <c r="X1546" s="241"/>
      <c r="Y1546" s="284"/>
      <c r="Z1546" s="207"/>
      <c r="AA1546" s="284"/>
      <c r="AB1546" s="284"/>
      <c r="AC1546" s="284"/>
      <c r="AD1546" s="284"/>
      <c r="AE1546" s="284"/>
      <c r="AF1546" s="284"/>
      <c r="AG1546" s="284"/>
      <c r="AI1546" s="131"/>
    </row>
    <row r="1547" spans="1:35" ht="26.4">
      <c r="A1547" s="284"/>
      <c r="B1547" s="284"/>
      <c r="C1547" s="284"/>
      <c r="D1547" s="284"/>
      <c r="E1547" s="284"/>
      <c r="F1547" s="284"/>
      <c r="G1547" s="284"/>
      <c r="H1547" s="284"/>
      <c r="I1547" s="284"/>
      <c r="J1547" s="375"/>
      <c r="K1547" s="375"/>
      <c r="L1547" s="375"/>
      <c r="M1547" s="368"/>
      <c r="N1547" s="368"/>
      <c r="O1547" s="370"/>
      <c r="T1547" s="340"/>
      <c r="V1547" s="378"/>
      <c r="W1547" s="64" ph="1"/>
      <c r="X1547" s="241"/>
      <c r="Y1547" s="284"/>
      <c r="Z1547" s="207"/>
      <c r="AA1547" s="284"/>
      <c r="AB1547" s="284"/>
      <c r="AC1547" s="284"/>
      <c r="AD1547" s="284"/>
      <c r="AE1547" s="284"/>
      <c r="AF1547" s="284"/>
      <c r="AG1547" s="284"/>
      <c r="AI1547" s="131"/>
    </row>
    <row r="1548" spans="1:35" ht="26.4">
      <c r="A1548" s="284"/>
      <c r="B1548" s="284"/>
      <c r="C1548" s="284"/>
      <c r="D1548" s="284"/>
      <c r="E1548" s="284"/>
      <c r="F1548" s="284"/>
      <c r="G1548" s="284"/>
      <c r="H1548" s="284"/>
      <c r="I1548" s="284"/>
      <c r="J1548" s="375"/>
      <c r="K1548" s="375"/>
      <c r="L1548" s="375"/>
      <c r="M1548" s="368"/>
      <c r="N1548" s="368"/>
      <c r="O1548" s="370"/>
      <c r="T1548" s="340"/>
      <c r="V1548" s="378"/>
      <c r="W1548" s="64" ph="1"/>
      <c r="X1548" s="241"/>
      <c r="Y1548" s="284"/>
      <c r="Z1548" s="207"/>
      <c r="AA1548" s="284"/>
      <c r="AB1548" s="284"/>
      <c r="AC1548" s="284"/>
      <c r="AD1548" s="284"/>
      <c r="AE1548" s="284"/>
      <c r="AF1548" s="284"/>
      <c r="AG1548" s="284"/>
      <c r="AI1548" s="131"/>
    </row>
    <row r="1549" spans="1:35">
      <c r="O1549" s="370"/>
      <c r="AI1549" s="131"/>
    </row>
    <row r="1550" spans="1:35" ht="26.4">
      <c r="A1550" s="284"/>
      <c r="B1550" s="284"/>
      <c r="C1550" s="284"/>
      <c r="D1550" s="284"/>
      <c r="E1550" s="284"/>
      <c r="F1550" s="284"/>
      <c r="G1550" s="284"/>
      <c r="H1550" s="284"/>
      <c r="I1550" s="284"/>
      <c r="J1550" s="375"/>
      <c r="K1550" s="375"/>
      <c r="L1550" s="375"/>
      <c r="M1550" s="368"/>
      <c r="N1550" s="368"/>
      <c r="T1550" s="340"/>
      <c r="V1550" s="378"/>
      <c r="W1550" s="64" ph="1"/>
      <c r="X1550" s="241"/>
      <c r="Y1550" s="284"/>
      <c r="Z1550" s="207"/>
      <c r="AA1550" s="284"/>
      <c r="AB1550" s="284"/>
      <c r="AC1550" s="284"/>
      <c r="AD1550" s="284"/>
      <c r="AE1550" s="284"/>
      <c r="AF1550" s="284"/>
      <c r="AG1550" s="284"/>
      <c r="AI1550" s="131"/>
    </row>
    <row r="1551" spans="1:35" ht="26.4">
      <c r="A1551" s="284"/>
      <c r="B1551" s="284"/>
      <c r="C1551" s="284"/>
      <c r="D1551" s="284"/>
      <c r="E1551" s="284"/>
      <c r="F1551" s="284"/>
      <c r="G1551" s="284"/>
      <c r="H1551" s="284"/>
      <c r="I1551" s="284"/>
      <c r="J1551" s="375"/>
      <c r="K1551" s="375"/>
      <c r="L1551" s="375"/>
      <c r="M1551" s="368"/>
      <c r="N1551" s="368"/>
      <c r="O1551" s="370"/>
      <c r="T1551" s="340"/>
      <c r="V1551" s="378"/>
      <c r="W1551" s="64" ph="1"/>
      <c r="X1551" s="241"/>
      <c r="Y1551" s="284"/>
      <c r="Z1551" s="207"/>
      <c r="AA1551" s="284"/>
      <c r="AB1551" s="284"/>
      <c r="AC1551" s="284"/>
      <c r="AD1551" s="284"/>
      <c r="AE1551" s="284"/>
      <c r="AF1551" s="284"/>
      <c r="AG1551" s="284"/>
      <c r="AI1551" s="131"/>
    </row>
    <row r="1552" spans="1:35" ht="26.4">
      <c r="A1552" s="284"/>
      <c r="B1552" s="284"/>
      <c r="C1552" s="284"/>
      <c r="D1552" s="284"/>
      <c r="E1552" s="284"/>
      <c r="F1552" s="284"/>
      <c r="G1552" s="284"/>
      <c r="H1552" s="284"/>
      <c r="I1552" s="284"/>
      <c r="J1552" s="375"/>
      <c r="K1552" s="375"/>
      <c r="L1552" s="375"/>
      <c r="M1552" s="368"/>
      <c r="N1552" s="368"/>
      <c r="O1552" s="370"/>
      <c r="T1552" s="340"/>
      <c r="V1552" s="378"/>
      <c r="W1552" s="64" ph="1"/>
      <c r="X1552" s="241"/>
      <c r="Y1552" s="284"/>
      <c r="Z1552" s="207"/>
      <c r="AA1552" s="284"/>
      <c r="AB1552" s="284"/>
      <c r="AC1552" s="284"/>
      <c r="AD1552" s="284"/>
      <c r="AE1552" s="284"/>
      <c r="AF1552" s="284"/>
      <c r="AG1552" s="284"/>
      <c r="AI1552" s="131"/>
    </row>
    <row r="1553" spans="1:35" ht="26.4">
      <c r="A1553" s="284"/>
      <c r="B1553" s="284"/>
      <c r="C1553" s="284"/>
      <c r="D1553" s="284"/>
      <c r="E1553" s="284"/>
      <c r="F1553" s="284"/>
      <c r="G1553" s="284"/>
      <c r="H1553" s="284"/>
      <c r="I1553" s="284"/>
      <c r="J1553" s="375"/>
      <c r="K1553" s="375"/>
      <c r="L1553" s="375"/>
      <c r="M1553" s="368"/>
      <c r="N1553" s="368"/>
      <c r="O1553" s="370"/>
      <c r="T1553" s="340"/>
      <c r="V1553" s="378"/>
      <c r="W1553" s="64" ph="1"/>
      <c r="X1553" s="241"/>
      <c r="Y1553" s="284"/>
      <c r="Z1553" s="207"/>
      <c r="AA1553" s="284"/>
      <c r="AB1553" s="284"/>
      <c r="AC1553" s="284"/>
      <c r="AD1553" s="284"/>
      <c r="AE1553" s="284"/>
      <c r="AF1553" s="284"/>
      <c r="AG1553" s="284"/>
      <c r="AI1553" s="131"/>
    </row>
    <row r="1554" spans="1:35" ht="26.4">
      <c r="A1554" s="284"/>
      <c r="B1554" s="284"/>
      <c r="C1554" s="284"/>
      <c r="D1554" s="284"/>
      <c r="E1554" s="284"/>
      <c r="F1554" s="284"/>
      <c r="G1554" s="284"/>
      <c r="H1554" s="284"/>
      <c r="I1554" s="284"/>
      <c r="J1554" s="375"/>
      <c r="K1554" s="375"/>
      <c r="L1554" s="375"/>
      <c r="M1554" s="368"/>
      <c r="N1554" s="368"/>
      <c r="O1554" s="370"/>
      <c r="T1554" s="340"/>
      <c r="V1554" s="378"/>
      <c r="W1554" s="64" ph="1"/>
      <c r="X1554" s="241"/>
      <c r="Y1554" s="284"/>
      <c r="Z1554" s="207"/>
      <c r="AA1554" s="284"/>
      <c r="AB1554" s="284"/>
      <c r="AC1554" s="284"/>
      <c r="AD1554" s="284"/>
      <c r="AE1554" s="284"/>
      <c r="AF1554" s="284"/>
      <c r="AG1554" s="284"/>
      <c r="AI1554" s="131"/>
    </row>
    <row r="1555" spans="1:35" ht="26.4">
      <c r="A1555" s="284"/>
      <c r="B1555" s="284"/>
      <c r="C1555" s="284"/>
      <c r="D1555" s="284"/>
      <c r="E1555" s="284"/>
      <c r="F1555" s="284"/>
      <c r="G1555" s="284"/>
      <c r="H1555" s="284"/>
      <c r="I1555" s="284"/>
      <c r="J1555" s="375"/>
      <c r="K1555" s="375"/>
      <c r="L1555" s="375"/>
      <c r="M1555" s="368"/>
      <c r="N1555" s="368"/>
      <c r="O1555" s="370"/>
      <c r="T1555" s="340"/>
      <c r="V1555" s="378"/>
      <c r="W1555" s="64" ph="1"/>
      <c r="X1555" s="241"/>
      <c r="Y1555" s="284"/>
      <c r="Z1555" s="207"/>
      <c r="AA1555" s="284"/>
      <c r="AB1555" s="284"/>
      <c r="AC1555" s="284"/>
      <c r="AD1555" s="284"/>
      <c r="AE1555" s="284"/>
      <c r="AF1555" s="284"/>
      <c r="AG1555" s="284"/>
      <c r="AI1555" s="131"/>
    </row>
    <row r="1556" spans="1:35" ht="26.4">
      <c r="A1556" s="284"/>
      <c r="B1556" s="284"/>
      <c r="C1556" s="284"/>
      <c r="D1556" s="284"/>
      <c r="E1556" s="284"/>
      <c r="F1556" s="284"/>
      <c r="G1556" s="284"/>
      <c r="H1556" s="284"/>
      <c r="I1556" s="284"/>
      <c r="J1556" s="375"/>
      <c r="K1556" s="375"/>
      <c r="L1556" s="375"/>
      <c r="M1556" s="368"/>
      <c r="N1556" s="368"/>
      <c r="O1556" s="370"/>
      <c r="T1556" s="340"/>
      <c r="V1556" s="378"/>
      <c r="W1556" s="64" ph="1"/>
      <c r="X1556" s="241"/>
      <c r="Y1556" s="284"/>
      <c r="Z1556" s="207"/>
      <c r="AA1556" s="284"/>
      <c r="AB1556" s="284"/>
      <c r="AC1556" s="284"/>
      <c r="AD1556" s="284"/>
      <c r="AE1556" s="284"/>
      <c r="AF1556" s="284"/>
      <c r="AG1556" s="284"/>
      <c r="AI1556" s="284"/>
    </row>
    <row r="1557" spans="1:35" ht="26.4">
      <c r="A1557" s="284"/>
      <c r="B1557" s="284"/>
      <c r="C1557" s="284"/>
      <c r="D1557" s="284"/>
      <c r="E1557" s="284"/>
      <c r="F1557" s="284"/>
      <c r="G1557" s="284"/>
      <c r="H1557" s="284"/>
      <c r="I1557" s="284"/>
      <c r="J1557" s="375"/>
      <c r="K1557" s="375"/>
      <c r="L1557" s="375"/>
      <c r="M1557" s="368"/>
      <c r="N1557" s="368"/>
      <c r="O1557" s="370"/>
      <c r="T1557" s="340"/>
      <c r="V1557" s="378"/>
      <c r="W1557" s="64" ph="1"/>
      <c r="X1557" s="241"/>
      <c r="Y1557" s="284"/>
      <c r="Z1557" s="207"/>
      <c r="AA1557" s="284"/>
      <c r="AB1557" s="284"/>
      <c r="AC1557" s="284"/>
      <c r="AD1557" s="284"/>
      <c r="AE1557" s="284"/>
      <c r="AF1557" s="284"/>
      <c r="AG1557" s="284"/>
      <c r="AI1557" s="131"/>
    </row>
    <row r="1558" spans="1:35" ht="26.4">
      <c r="A1558" s="284"/>
      <c r="B1558" s="284"/>
      <c r="C1558" s="284"/>
      <c r="D1558" s="284"/>
      <c r="E1558" s="284"/>
      <c r="F1558" s="284"/>
      <c r="G1558" s="284"/>
      <c r="H1558" s="284"/>
      <c r="I1558" s="284"/>
      <c r="J1558" s="375"/>
      <c r="K1558" s="375"/>
      <c r="L1558" s="375"/>
      <c r="M1558" s="368"/>
      <c r="N1558" s="368"/>
      <c r="O1558" s="370"/>
      <c r="T1558" s="340"/>
      <c r="V1558" s="378"/>
      <c r="W1558" s="64" ph="1"/>
      <c r="X1558" s="241"/>
      <c r="Y1558" s="284"/>
      <c r="Z1558" s="207"/>
      <c r="AA1558" s="284"/>
      <c r="AB1558" s="284"/>
      <c r="AC1558" s="284"/>
      <c r="AD1558" s="284"/>
      <c r="AE1558" s="284"/>
      <c r="AF1558" s="284"/>
      <c r="AG1558" s="284"/>
      <c r="AI1558" s="131"/>
    </row>
    <row r="1559" spans="1:35" ht="26.4">
      <c r="A1559" s="284"/>
      <c r="B1559" s="284"/>
      <c r="C1559" s="284"/>
      <c r="D1559" s="284"/>
      <c r="E1559" s="284"/>
      <c r="F1559" s="284"/>
      <c r="G1559" s="284"/>
      <c r="H1559" s="284"/>
      <c r="I1559" s="284"/>
      <c r="J1559" s="375"/>
      <c r="K1559" s="375"/>
      <c r="L1559" s="375"/>
      <c r="M1559" s="368"/>
      <c r="N1559" s="368"/>
      <c r="T1559" s="340"/>
      <c r="V1559" s="378"/>
      <c r="W1559" s="64" ph="1"/>
      <c r="X1559" s="241"/>
      <c r="Y1559" s="284"/>
      <c r="Z1559" s="207"/>
      <c r="AA1559" s="284"/>
      <c r="AB1559" s="284"/>
      <c r="AC1559" s="284"/>
      <c r="AD1559" s="284"/>
      <c r="AE1559" s="284"/>
      <c r="AF1559" s="284"/>
      <c r="AG1559" s="284"/>
      <c r="AI1559" s="131"/>
    </row>
    <row r="1560" spans="1:35" ht="26.4">
      <c r="A1560" s="284"/>
      <c r="B1560" s="284"/>
      <c r="C1560" s="284"/>
      <c r="D1560" s="284"/>
      <c r="E1560" s="284"/>
      <c r="F1560" s="284"/>
      <c r="G1560" s="284"/>
      <c r="H1560" s="284"/>
      <c r="I1560" s="284"/>
      <c r="J1560" s="375"/>
      <c r="K1560" s="375"/>
      <c r="L1560" s="375"/>
      <c r="M1560" s="368"/>
      <c r="N1560" s="368"/>
      <c r="O1560" s="370"/>
      <c r="T1560" s="340"/>
      <c r="V1560" s="378"/>
      <c r="W1560" s="64" ph="1"/>
      <c r="X1560" s="241"/>
      <c r="Y1560" s="284"/>
      <c r="Z1560" s="207"/>
      <c r="AA1560" s="284"/>
      <c r="AB1560" s="284"/>
      <c r="AC1560" s="284"/>
      <c r="AD1560" s="284"/>
      <c r="AE1560" s="284"/>
      <c r="AF1560" s="284"/>
      <c r="AG1560" s="284"/>
      <c r="AI1560" s="131"/>
    </row>
    <row r="1561" spans="1:35" ht="26.4">
      <c r="A1561" s="284"/>
      <c r="B1561" s="284"/>
      <c r="C1561" s="284"/>
      <c r="D1561" s="284"/>
      <c r="E1561" s="284"/>
      <c r="F1561" s="284"/>
      <c r="G1561" s="284"/>
      <c r="H1561" s="284"/>
      <c r="I1561" s="284"/>
      <c r="J1561" s="375"/>
      <c r="K1561" s="375"/>
      <c r="L1561" s="375"/>
      <c r="M1561" s="368"/>
      <c r="N1561" s="368"/>
      <c r="O1561" s="370"/>
      <c r="T1561" s="340"/>
      <c r="V1561" s="378"/>
      <c r="W1561" s="64" ph="1"/>
      <c r="X1561" s="241"/>
      <c r="Y1561" s="284"/>
      <c r="Z1561" s="207"/>
      <c r="AA1561" s="284"/>
      <c r="AB1561" s="284"/>
      <c r="AC1561" s="284"/>
      <c r="AD1561" s="284"/>
      <c r="AE1561" s="284"/>
      <c r="AF1561" s="284"/>
      <c r="AG1561" s="284"/>
      <c r="AI1561" s="131"/>
    </row>
    <row r="1562" spans="1:35" ht="26.4">
      <c r="A1562" s="284"/>
      <c r="B1562" s="284"/>
      <c r="C1562" s="284"/>
      <c r="D1562" s="284"/>
      <c r="E1562" s="284"/>
      <c r="F1562" s="284"/>
      <c r="G1562" s="284"/>
      <c r="H1562" s="284"/>
      <c r="I1562" s="284"/>
      <c r="J1562" s="375"/>
      <c r="K1562" s="375"/>
      <c r="L1562" s="375"/>
      <c r="M1562" s="368"/>
      <c r="N1562" s="368"/>
      <c r="O1562" s="370"/>
      <c r="T1562" s="340"/>
      <c r="V1562" s="378"/>
      <c r="W1562" s="64" ph="1"/>
      <c r="X1562" s="241"/>
      <c r="Y1562" s="284"/>
      <c r="Z1562" s="207"/>
      <c r="AA1562" s="284"/>
      <c r="AB1562" s="284"/>
      <c r="AC1562" s="284"/>
      <c r="AD1562" s="284"/>
      <c r="AE1562" s="284"/>
      <c r="AF1562" s="284"/>
      <c r="AG1562" s="284"/>
      <c r="AI1562" s="131"/>
    </row>
    <row r="1563" spans="1:35" ht="26.4">
      <c r="A1563" s="284"/>
      <c r="B1563" s="284"/>
      <c r="C1563" s="284"/>
      <c r="D1563" s="284"/>
      <c r="E1563" s="284"/>
      <c r="F1563" s="284"/>
      <c r="G1563" s="284"/>
      <c r="H1563" s="284"/>
      <c r="I1563" s="284"/>
      <c r="J1563" s="375"/>
      <c r="K1563" s="375"/>
      <c r="L1563" s="375"/>
      <c r="M1563" s="368"/>
      <c r="N1563" s="368"/>
      <c r="O1563" s="370"/>
      <c r="T1563" s="340"/>
      <c r="V1563" s="378"/>
      <c r="W1563" s="64" ph="1"/>
      <c r="X1563" s="241"/>
      <c r="Y1563" s="284"/>
      <c r="Z1563" s="207"/>
      <c r="AA1563" s="284"/>
      <c r="AB1563" s="284"/>
      <c r="AC1563" s="284"/>
      <c r="AD1563" s="284"/>
      <c r="AE1563" s="284"/>
      <c r="AF1563" s="284"/>
      <c r="AG1563" s="284"/>
      <c r="AI1563" s="131"/>
    </row>
    <row r="1564" spans="1:35" ht="26.4">
      <c r="A1564" s="284"/>
      <c r="B1564" s="284"/>
      <c r="C1564" s="284"/>
      <c r="D1564" s="284"/>
      <c r="E1564" s="284"/>
      <c r="F1564" s="284"/>
      <c r="G1564" s="284"/>
      <c r="H1564" s="284"/>
      <c r="I1564" s="284"/>
      <c r="J1564" s="375"/>
      <c r="K1564" s="375"/>
      <c r="L1564" s="375"/>
      <c r="M1564" s="368"/>
      <c r="N1564" s="368"/>
      <c r="O1564" s="370"/>
      <c r="T1564" s="340"/>
      <c r="V1564" s="378"/>
      <c r="W1564" s="64" ph="1"/>
      <c r="X1564" s="241"/>
      <c r="Y1564" s="284"/>
      <c r="Z1564" s="207"/>
      <c r="AA1564" s="284"/>
      <c r="AB1564" s="284"/>
      <c r="AC1564" s="284"/>
      <c r="AD1564" s="284"/>
      <c r="AE1564" s="284"/>
      <c r="AF1564" s="284"/>
      <c r="AG1564" s="284"/>
      <c r="AI1564" s="131"/>
    </row>
    <row r="1565" spans="1:35" ht="26.4">
      <c r="A1565" s="284"/>
      <c r="B1565" s="284"/>
      <c r="C1565" s="284"/>
      <c r="D1565" s="284"/>
      <c r="E1565" s="284"/>
      <c r="F1565" s="284"/>
      <c r="G1565" s="284"/>
      <c r="H1565" s="284"/>
      <c r="I1565" s="284"/>
      <c r="J1565" s="375"/>
      <c r="K1565" s="375"/>
      <c r="L1565" s="375"/>
      <c r="M1565" s="368"/>
      <c r="N1565" s="368"/>
      <c r="O1565" s="370"/>
      <c r="T1565" s="340"/>
      <c r="V1565" s="378"/>
      <c r="W1565" s="64" ph="1"/>
      <c r="X1565" s="241"/>
      <c r="Y1565" s="284"/>
      <c r="Z1565" s="207"/>
      <c r="AA1565" s="284"/>
      <c r="AB1565" s="284"/>
      <c r="AC1565" s="284"/>
      <c r="AD1565" s="284"/>
      <c r="AE1565" s="284"/>
      <c r="AF1565" s="284"/>
      <c r="AG1565" s="284"/>
      <c r="AI1565" s="131"/>
    </row>
    <row r="1566" spans="1:35" ht="26.4">
      <c r="A1566" s="284"/>
      <c r="B1566" s="284"/>
      <c r="C1566" s="284"/>
      <c r="D1566" s="284"/>
      <c r="E1566" s="284"/>
      <c r="F1566" s="284"/>
      <c r="G1566" s="284"/>
      <c r="H1566" s="284"/>
      <c r="I1566" s="284"/>
      <c r="J1566" s="375"/>
      <c r="K1566" s="375"/>
      <c r="L1566" s="375"/>
      <c r="M1566" s="368"/>
      <c r="N1566" s="368"/>
      <c r="O1566" s="370"/>
      <c r="T1566" s="340"/>
      <c r="V1566" s="378"/>
      <c r="W1566" s="64" ph="1"/>
      <c r="X1566" s="241"/>
      <c r="Y1566" s="284"/>
      <c r="Z1566" s="207"/>
      <c r="AA1566" s="284"/>
      <c r="AB1566" s="284"/>
      <c r="AC1566" s="284"/>
      <c r="AD1566" s="284"/>
      <c r="AE1566" s="284"/>
      <c r="AF1566" s="284"/>
      <c r="AG1566" s="284"/>
      <c r="AI1566" s="131"/>
    </row>
    <row r="1567" spans="1:35" ht="26.4">
      <c r="A1567" s="284"/>
      <c r="B1567" s="284"/>
      <c r="C1567" s="284"/>
      <c r="D1567" s="284"/>
      <c r="E1567" s="284"/>
      <c r="F1567" s="284"/>
      <c r="G1567" s="284"/>
      <c r="H1567" s="284"/>
      <c r="I1567" s="284"/>
      <c r="J1567" s="375"/>
      <c r="K1567" s="375"/>
      <c r="L1567" s="375"/>
      <c r="M1567" s="368"/>
      <c r="N1567" s="368"/>
      <c r="O1567" s="370"/>
      <c r="T1567" s="340"/>
      <c r="V1567" s="378"/>
      <c r="W1567" s="64" ph="1"/>
      <c r="X1567" s="241"/>
      <c r="Y1567" s="284"/>
      <c r="Z1567" s="207"/>
      <c r="AA1567" s="284"/>
      <c r="AB1567" s="284"/>
      <c r="AC1567" s="284"/>
      <c r="AD1567" s="284"/>
      <c r="AE1567" s="284"/>
      <c r="AF1567" s="284"/>
      <c r="AG1567" s="284"/>
      <c r="AI1567" s="284"/>
    </row>
    <row r="1568" spans="1:35" ht="26.4">
      <c r="A1568" s="284"/>
      <c r="B1568" s="284"/>
      <c r="C1568" s="284"/>
      <c r="D1568" s="284"/>
      <c r="E1568" s="284"/>
      <c r="F1568" s="284"/>
      <c r="G1568" s="284"/>
      <c r="H1568" s="284"/>
      <c r="I1568" s="284"/>
      <c r="J1568" s="375"/>
      <c r="K1568" s="375"/>
      <c r="L1568" s="375"/>
      <c r="M1568" s="368"/>
      <c r="N1568" s="368"/>
      <c r="O1568" s="370"/>
      <c r="T1568" s="340"/>
      <c r="V1568" s="378"/>
      <c r="W1568" s="64" ph="1"/>
      <c r="X1568" s="241"/>
      <c r="Y1568" s="284"/>
      <c r="Z1568" s="207"/>
      <c r="AA1568" s="284"/>
      <c r="AB1568" s="284"/>
      <c r="AC1568" s="284"/>
      <c r="AD1568" s="284"/>
      <c r="AE1568" s="284"/>
      <c r="AF1568" s="284"/>
      <c r="AG1568" s="284"/>
      <c r="AI1568" s="131"/>
    </row>
    <row r="1569" spans="1:35" ht="26.4">
      <c r="A1569" s="284"/>
      <c r="B1569" s="284"/>
      <c r="C1569" s="284"/>
      <c r="D1569" s="284"/>
      <c r="E1569" s="284"/>
      <c r="F1569" s="284"/>
      <c r="G1569" s="284"/>
      <c r="H1569" s="284"/>
      <c r="I1569" s="284"/>
      <c r="J1569" s="375"/>
      <c r="K1569" s="375"/>
      <c r="L1569" s="375"/>
      <c r="M1569" s="368"/>
      <c r="N1569" s="368"/>
      <c r="O1569" s="370"/>
      <c r="T1569" s="340"/>
      <c r="V1569" s="378"/>
      <c r="W1569" s="64" ph="1"/>
      <c r="X1569" s="241"/>
      <c r="Y1569" s="284"/>
      <c r="Z1569" s="207"/>
      <c r="AA1569" s="284"/>
      <c r="AB1569" s="284"/>
      <c r="AC1569" s="284"/>
      <c r="AD1569" s="284"/>
      <c r="AE1569" s="284"/>
      <c r="AF1569" s="284"/>
      <c r="AG1569" s="284"/>
      <c r="AI1569" s="131"/>
    </row>
    <row r="1570" spans="1:35" ht="26.4">
      <c r="A1570" s="284"/>
      <c r="B1570" s="284"/>
      <c r="C1570" s="284"/>
      <c r="D1570" s="284"/>
      <c r="E1570" s="284"/>
      <c r="F1570" s="284"/>
      <c r="G1570" s="284"/>
      <c r="H1570" s="284"/>
      <c r="I1570" s="284"/>
      <c r="J1570" s="375"/>
      <c r="K1570" s="375"/>
      <c r="L1570" s="375"/>
      <c r="M1570" s="368"/>
      <c r="N1570" s="368"/>
      <c r="O1570" s="370"/>
      <c r="T1570" s="340"/>
      <c r="V1570" s="378"/>
      <c r="W1570" s="64" ph="1"/>
      <c r="X1570" s="241"/>
      <c r="Y1570" s="284"/>
      <c r="Z1570" s="207"/>
      <c r="AA1570" s="284"/>
      <c r="AB1570" s="284"/>
      <c r="AC1570" s="284"/>
      <c r="AD1570" s="284"/>
      <c r="AE1570" s="284"/>
      <c r="AF1570" s="284"/>
      <c r="AG1570" s="284"/>
      <c r="AI1570" s="284"/>
    </row>
    <row r="1571" spans="1:35" ht="26.4">
      <c r="A1571" s="284"/>
      <c r="B1571" s="284"/>
      <c r="C1571" s="284"/>
      <c r="D1571" s="284"/>
      <c r="E1571" s="284"/>
      <c r="F1571" s="284"/>
      <c r="G1571" s="284"/>
      <c r="H1571" s="284"/>
      <c r="I1571" s="284"/>
      <c r="J1571" s="375"/>
      <c r="K1571" s="375"/>
      <c r="L1571" s="375"/>
      <c r="M1571" s="368"/>
      <c r="N1571" s="368"/>
      <c r="O1571" s="370"/>
      <c r="T1571" s="340"/>
      <c r="V1571" s="378"/>
      <c r="W1571" s="64" ph="1"/>
      <c r="X1571" s="241"/>
      <c r="Y1571" s="284"/>
      <c r="Z1571" s="207"/>
      <c r="AA1571" s="284"/>
      <c r="AB1571" s="284"/>
      <c r="AC1571" s="284"/>
      <c r="AD1571" s="284"/>
      <c r="AE1571" s="284"/>
      <c r="AF1571" s="284"/>
      <c r="AG1571" s="284"/>
      <c r="AI1571" s="131"/>
    </row>
    <row r="1572" spans="1:35" ht="26.4">
      <c r="A1572" s="284"/>
      <c r="B1572" s="284"/>
      <c r="C1572" s="284"/>
      <c r="D1572" s="284"/>
      <c r="E1572" s="284"/>
      <c r="F1572" s="284"/>
      <c r="G1572" s="284"/>
      <c r="H1572" s="284"/>
      <c r="I1572" s="284"/>
      <c r="J1572" s="375"/>
      <c r="K1572" s="375"/>
      <c r="L1572" s="375"/>
      <c r="M1572" s="368"/>
      <c r="N1572" s="368"/>
      <c r="O1572" s="370"/>
      <c r="T1572" s="340"/>
      <c r="V1572" s="378"/>
      <c r="W1572" s="64" ph="1"/>
      <c r="X1572" s="241"/>
      <c r="Y1572" s="284"/>
      <c r="Z1572" s="207"/>
      <c r="AA1572" s="284"/>
      <c r="AB1572" s="284"/>
      <c r="AC1572" s="284"/>
      <c r="AD1572" s="284"/>
      <c r="AE1572" s="284"/>
      <c r="AF1572" s="284"/>
      <c r="AG1572" s="284"/>
      <c r="AI1572" s="131"/>
    </row>
    <row r="1573" spans="1:35" ht="26.4">
      <c r="A1573" s="284"/>
      <c r="B1573" s="284"/>
      <c r="C1573" s="284"/>
      <c r="D1573" s="284"/>
      <c r="E1573" s="284"/>
      <c r="F1573" s="284"/>
      <c r="G1573" s="284"/>
      <c r="H1573" s="284"/>
      <c r="I1573" s="284"/>
      <c r="J1573" s="375"/>
      <c r="K1573" s="375"/>
      <c r="L1573" s="375"/>
      <c r="M1573" s="368"/>
      <c r="N1573" s="368"/>
      <c r="O1573" s="370"/>
      <c r="T1573" s="340"/>
      <c r="V1573" s="378"/>
      <c r="W1573" s="64" ph="1"/>
      <c r="X1573" s="241"/>
      <c r="Y1573" s="284"/>
      <c r="Z1573" s="207"/>
      <c r="AA1573" s="284"/>
      <c r="AB1573" s="284"/>
      <c r="AC1573" s="284"/>
      <c r="AD1573" s="284"/>
      <c r="AE1573" s="284"/>
      <c r="AF1573" s="284"/>
      <c r="AG1573" s="284"/>
      <c r="AI1573" s="131"/>
    </row>
    <row r="1574" spans="1:35" ht="26.4">
      <c r="A1574" s="284"/>
      <c r="B1574" s="284"/>
      <c r="C1574" s="284"/>
      <c r="D1574" s="284"/>
      <c r="E1574" s="284"/>
      <c r="F1574" s="284"/>
      <c r="G1574" s="284"/>
      <c r="H1574" s="284"/>
      <c r="I1574" s="284"/>
      <c r="J1574" s="375"/>
      <c r="K1574" s="375"/>
      <c r="L1574" s="375"/>
      <c r="M1574" s="368"/>
      <c r="N1574" s="368"/>
      <c r="O1574" s="370"/>
      <c r="T1574" s="340"/>
      <c r="V1574" s="378"/>
      <c r="W1574" s="64" ph="1"/>
      <c r="X1574" s="241"/>
      <c r="Y1574" s="284"/>
      <c r="Z1574" s="207"/>
      <c r="AA1574" s="284"/>
      <c r="AB1574" s="284"/>
      <c r="AC1574" s="284"/>
      <c r="AD1574" s="284"/>
      <c r="AE1574" s="284"/>
      <c r="AF1574" s="284"/>
      <c r="AG1574" s="284"/>
      <c r="AI1574" s="131"/>
    </row>
    <row r="1575" spans="1:35" ht="26.4">
      <c r="A1575" s="284"/>
      <c r="B1575" s="284"/>
      <c r="C1575" s="284"/>
      <c r="D1575" s="284"/>
      <c r="E1575" s="284"/>
      <c r="F1575" s="284"/>
      <c r="G1575" s="284"/>
      <c r="H1575" s="284"/>
      <c r="I1575" s="284"/>
      <c r="J1575" s="375"/>
      <c r="K1575" s="375"/>
      <c r="L1575" s="375"/>
      <c r="M1575" s="368"/>
      <c r="N1575" s="368"/>
      <c r="O1575" s="370"/>
      <c r="T1575" s="340"/>
      <c r="V1575" s="378"/>
      <c r="W1575" s="64" ph="1"/>
      <c r="X1575" s="241"/>
      <c r="Y1575" s="284"/>
      <c r="Z1575" s="207"/>
      <c r="AA1575" s="284"/>
      <c r="AB1575" s="284"/>
      <c r="AC1575" s="284"/>
      <c r="AD1575" s="284"/>
      <c r="AE1575" s="284"/>
      <c r="AF1575" s="284"/>
      <c r="AG1575" s="284"/>
      <c r="AI1575" s="131"/>
    </row>
    <row r="1576" spans="1:35" ht="26.4">
      <c r="A1576" s="284"/>
      <c r="B1576" s="284"/>
      <c r="C1576" s="284"/>
      <c r="D1576" s="284"/>
      <c r="E1576" s="284"/>
      <c r="F1576" s="284"/>
      <c r="G1576" s="284"/>
      <c r="H1576" s="284"/>
      <c r="I1576" s="284"/>
      <c r="J1576" s="375"/>
      <c r="K1576" s="375"/>
      <c r="L1576" s="375"/>
      <c r="M1576" s="368"/>
      <c r="N1576" s="368"/>
      <c r="O1576" s="370"/>
      <c r="T1576" s="340"/>
      <c r="V1576" s="378"/>
      <c r="W1576" s="64" ph="1"/>
      <c r="X1576" s="241"/>
      <c r="Y1576" s="284"/>
      <c r="Z1576" s="207"/>
      <c r="AA1576" s="284"/>
      <c r="AB1576" s="284"/>
      <c r="AC1576" s="284"/>
      <c r="AD1576" s="284"/>
      <c r="AE1576" s="284"/>
      <c r="AF1576" s="284"/>
      <c r="AG1576" s="284"/>
      <c r="AI1576" s="131"/>
    </row>
    <row r="1577" spans="1:35" ht="26.4">
      <c r="A1577" s="284"/>
      <c r="B1577" s="284"/>
      <c r="C1577" s="284"/>
      <c r="D1577" s="284"/>
      <c r="E1577" s="284"/>
      <c r="F1577" s="284"/>
      <c r="G1577" s="284"/>
      <c r="H1577" s="284"/>
      <c r="I1577" s="284"/>
      <c r="J1577" s="375"/>
      <c r="K1577" s="375"/>
      <c r="L1577" s="375"/>
      <c r="M1577" s="368"/>
      <c r="N1577" s="368"/>
      <c r="O1577" s="370"/>
      <c r="T1577" s="340"/>
      <c r="V1577" s="378"/>
      <c r="W1577" s="64" ph="1"/>
      <c r="X1577" s="241"/>
      <c r="Y1577" s="284"/>
      <c r="Z1577" s="207"/>
      <c r="AA1577" s="284"/>
      <c r="AB1577" s="284"/>
      <c r="AC1577" s="284"/>
      <c r="AD1577" s="284"/>
      <c r="AE1577" s="284"/>
      <c r="AF1577" s="284"/>
      <c r="AG1577" s="284"/>
      <c r="AI1577" s="131"/>
    </row>
    <row r="1578" spans="1:35" ht="26.4">
      <c r="A1578" s="284"/>
      <c r="B1578" s="284"/>
      <c r="C1578" s="284"/>
      <c r="D1578" s="284"/>
      <c r="E1578" s="284"/>
      <c r="F1578" s="284"/>
      <c r="G1578" s="284"/>
      <c r="H1578" s="284"/>
      <c r="I1578" s="284"/>
      <c r="J1578" s="375"/>
      <c r="K1578" s="375"/>
      <c r="L1578" s="375"/>
      <c r="M1578" s="368"/>
      <c r="N1578" s="368"/>
      <c r="O1578" s="370"/>
      <c r="T1578" s="340"/>
      <c r="V1578" s="378"/>
      <c r="W1578" s="64" ph="1"/>
      <c r="X1578" s="241"/>
      <c r="Y1578" s="284"/>
      <c r="Z1578" s="207"/>
      <c r="AA1578" s="284"/>
      <c r="AB1578" s="284"/>
      <c r="AC1578" s="284"/>
      <c r="AD1578" s="284"/>
      <c r="AE1578" s="284"/>
      <c r="AF1578" s="284"/>
      <c r="AG1578" s="284"/>
      <c r="AI1578" s="131"/>
    </row>
    <row r="1579" spans="1:35" ht="26.4">
      <c r="A1579" s="284"/>
      <c r="B1579" s="284"/>
      <c r="C1579" s="284"/>
      <c r="D1579" s="284"/>
      <c r="E1579" s="284"/>
      <c r="F1579" s="284"/>
      <c r="G1579" s="284"/>
      <c r="H1579" s="284"/>
      <c r="I1579" s="284"/>
      <c r="J1579" s="375"/>
      <c r="K1579" s="375"/>
      <c r="L1579" s="375"/>
      <c r="M1579" s="368"/>
      <c r="N1579" s="368"/>
      <c r="O1579" s="370"/>
      <c r="T1579" s="340"/>
      <c r="V1579" s="378"/>
      <c r="W1579" s="64" ph="1"/>
      <c r="X1579" s="241"/>
      <c r="Y1579" s="284"/>
      <c r="Z1579" s="207"/>
      <c r="AA1579" s="284"/>
      <c r="AB1579" s="284"/>
      <c r="AC1579" s="284"/>
      <c r="AD1579" s="284"/>
      <c r="AE1579" s="284"/>
      <c r="AF1579" s="284"/>
      <c r="AG1579" s="284"/>
      <c r="AI1579" s="131"/>
    </row>
    <row r="1580" spans="1:35" ht="26.4">
      <c r="A1580" s="284"/>
      <c r="B1580" s="284"/>
      <c r="C1580" s="284"/>
      <c r="D1580" s="284"/>
      <c r="E1580" s="284"/>
      <c r="F1580" s="284"/>
      <c r="G1580" s="284"/>
      <c r="H1580" s="284"/>
      <c r="I1580" s="284"/>
      <c r="J1580" s="375"/>
      <c r="K1580" s="375"/>
      <c r="L1580" s="375"/>
      <c r="M1580" s="368"/>
      <c r="N1580" s="368"/>
      <c r="O1580" s="370"/>
      <c r="T1580" s="340"/>
      <c r="V1580" s="378"/>
      <c r="W1580" s="64" ph="1"/>
      <c r="X1580" s="241"/>
      <c r="Y1580" s="284"/>
      <c r="Z1580" s="207"/>
      <c r="AA1580" s="284"/>
      <c r="AB1580" s="284"/>
      <c r="AC1580" s="284"/>
      <c r="AD1580" s="284"/>
      <c r="AE1580" s="284"/>
      <c r="AF1580" s="284"/>
      <c r="AG1580" s="284"/>
      <c r="AI1580" s="131"/>
    </row>
    <row r="1581" spans="1:35" ht="26.4">
      <c r="A1581" s="284"/>
      <c r="B1581" s="284"/>
      <c r="C1581" s="284"/>
      <c r="D1581" s="284"/>
      <c r="E1581" s="284"/>
      <c r="F1581" s="284"/>
      <c r="G1581" s="284"/>
      <c r="H1581" s="284"/>
      <c r="I1581" s="284"/>
      <c r="J1581" s="375"/>
      <c r="K1581" s="375"/>
      <c r="L1581" s="375"/>
      <c r="M1581" s="368"/>
      <c r="N1581" s="368"/>
      <c r="O1581" s="370"/>
      <c r="T1581" s="340"/>
      <c r="V1581" s="378"/>
      <c r="W1581" s="64" ph="1"/>
      <c r="X1581" s="241"/>
      <c r="Y1581" s="284"/>
      <c r="Z1581" s="207"/>
      <c r="AA1581" s="284"/>
      <c r="AB1581" s="284"/>
      <c r="AC1581" s="284"/>
      <c r="AD1581" s="284"/>
      <c r="AE1581" s="284"/>
      <c r="AF1581" s="284"/>
      <c r="AG1581" s="284"/>
      <c r="AI1581" s="131"/>
    </row>
    <row r="1582" spans="1:35" ht="26.4">
      <c r="A1582" s="284"/>
      <c r="B1582" s="284"/>
      <c r="C1582" s="284"/>
      <c r="D1582" s="284"/>
      <c r="E1582" s="284"/>
      <c r="F1582" s="284"/>
      <c r="G1582" s="284"/>
      <c r="H1582" s="284"/>
      <c r="I1582" s="284"/>
      <c r="J1582" s="375"/>
      <c r="K1582" s="375"/>
      <c r="L1582" s="375"/>
      <c r="M1582" s="368"/>
      <c r="N1582" s="368"/>
      <c r="O1582" s="370"/>
      <c r="T1582" s="340"/>
      <c r="V1582" s="378"/>
      <c r="W1582" s="64" ph="1"/>
      <c r="X1582" s="241"/>
      <c r="Y1582" s="284"/>
      <c r="Z1582" s="207"/>
      <c r="AA1582" s="284"/>
      <c r="AB1582" s="284"/>
      <c r="AC1582" s="284"/>
      <c r="AD1582" s="284"/>
      <c r="AE1582" s="284"/>
      <c r="AF1582" s="284"/>
      <c r="AG1582" s="284"/>
      <c r="AI1582" s="131"/>
    </row>
    <row r="1583" spans="1:35" ht="26.4">
      <c r="A1583" s="284"/>
      <c r="B1583" s="284"/>
      <c r="C1583" s="284"/>
      <c r="D1583" s="284"/>
      <c r="E1583" s="284"/>
      <c r="F1583" s="284"/>
      <c r="G1583" s="284"/>
      <c r="H1583" s="284"/>
      <c r="I1583" s="284"/>
      <c r="J1583" s="375"/>
      <c r="K1583" s="375"/>
      <c r="L1583" s="375"/>
      <c r="M1583" s="368"/>
      <c r="N1583" s="368"/>
      <c r="O1583" s="370"/>
      <c r="T1583" s="340"/>
      <c r="V1583" s="378"/>
      <c r="W1583" s="64" ph="1"/>
      <c r="X1583" s="241"/>
      <c r="Y1583" s="284"/>
      <c r="Z1583" s="207"/>
      <c r="AA1583" s="284"/>
      <c r="AB1583" s="284"/>
      <c r="AC1583" s="284"/>
      <c r="AD1583" s="284"/>
      <c r="AE1583" s="284"/>
      <c r="AF1583" s="284"/>
      <c r="AG1583" s="284"/>
      <c r="AI1583" s="131"/>
    </row>
    <row r="1584" spans="1:35" ht="26.4">
      <c r="A1584" s="284"/>
      <c r="B1584" s="284"/>
      <c r="C1584" s="284"/>
      <c r="D1584" s="284"/>
      <c r="E1584" s="284"/>
      <c r="F1584" s="284"/>
      <c r="G1584" s="284"/>
      <c r="H1584" s="284"/>
      <c r="I1584" s="284"/>
      <c r="J1584" s="375"/>
      <c r="K1584" s="375"/>
      <c r="L1584" s="375"/>
      <c r="M1584" s="368"/>
      <c r="N1584" s="368"/>
      <c r="O1584" s="370"/>
      <c r="T1584" s="340"/>
      <c r="V1584" s="378"/>
      <c r="W1584" s="64" ph="1"/>
      <c r="X1584" s="241"/>
      <c r="Y1584" s="284"/>
      <c r="Z1584" s="207"/>
      <c r="AA1584" s="284"/>
      <c r="AB1584" s="284"/>
      <c r="AC1584" s="284"/>
      <c r="AD1584" s="284"/>
      <c r="AE1584" s="284"/>
      <c r="AF1584" s="284"/>
      <c r="AG1584" s="284"/>
      <c r="AI1584" s="131"/>
    </row>
    <row r="1585" spans="1:35" ht="26.4">
      <c r="A1585" s="284"/>
      <c r="B1585" s="284"/>
      <c r="C1585" s="284"/>
      <c r="D1585" s="284"/>
      <c r="E1585" s="284"/>
      <c r="F1585" s="284"/>
      <c r="G1585" s="284"/>
      <c r="H1585" s="284"/>
      <c r="I1585" s="284"/>
      <c r="J1585" s="375"/>
      <c r="K1585" s="375"/>
      <c r="L1585" s="375"/>
      <c r="M1585" s="368"/>
      <c r="N1585" s="368"/>
      <c r="O1585" s="370"/>
      <c r="T1585" s="340"/>
      <c r="V1585" s="378"/>
      <c r="W1585" s="64" ph="1"/>
      <c r="X1585" s="241"/>
      <c r="Y1585" s="284"/>
      <c r="Z1585" s="207"/>
      <c r="AA1585" s="284"/>
      <c r="AB1585" s="284"/>
      <c r="AC1585" s="284"/>
      <c r="AD1585" s="284"/>
      <c r="AE1585" s="284"/>
      <c r="AF1585" s="284"/>
      <c r="AG1585" s="284"/>
      <c r="AI1585" s="131"/>
    </row>
    <row r="1586" spans="1:35" ht="26.4">
      <c r="A1586" s="284"/>
      <c r="B1586" s="284"/>
      <c r="C1586" s="284"/>
      <c r="D1586" s="284"/>
      <c r="E1586" s="284"/>
      <c r="F1586" s="284"/>
      <c r="G1586" s="284"/>
      <c r="H1586" s="284"/>
      <c r="I1586" s="284"/>
      <c r="J1586" s="375"/>
      <c r="K1586" s="375"/>
      <c r="L1586" s="375"/>
      <c r="M1586" s="368"/>
      <c r="N1586" s="368"/>
      <c r="O1586" s="370"/>
      <c r="T1586" s="340"/>
      <c r="V1586" s="378"/>
      <c r="W1586" s="64" ph="1"/>
      <c r="X1586" s="241"/>
      <c r="Y1586" s="284"/>
      <c r="Z1586" s="207"/>
      <c r="AA1586" s="284"/>
      <c r="AB1586" s="284"/>
      <c r="AC1586" s="284"/>
      <c r="AD1586" s="284"/>
      <c r="AE1586" s="284"/>
      <c r="AF1586" s="284"/>
      <c r="AG1586" s="284"/>
      <c r="AI1586" s="131"/>
    </row>
    <row r="1587" spans="1:35" ht="26.4">
      <c r="A1587" s="284"/>
      <c r="B1587" s="284"/>
      <c r="C1587" s="284"/>
      <c r="D1587" s="284"/>
      <c r="E1587" s="284"/>
      <c r="F1587" s="284"/>
      <c r="G1587" s="284"/>
      <c r="H1587" s="284"/>
      <c r="I1587" s="284"/>
      <c r="J1587" s="375"/>
      <c r="K1587" s="375"/>
      <c r="L1587" s="375"/>
      <c r="M1587" s="368"/>
      <c r="N1587" s="368"/>
      <c r="O1587" s="370"/>
      <c r="T1587" s="340"/>
      <c r="V1587" s="378"/>
      <c r="W1587" s="64" ph="1"/>
      <c r="X1587" s="241"/>
      <c r="Y1587" s="284"/>
      <c r="Z1587" s="207"/>
      <c r="AA1587" s="284"/>
      <c r="AB1587" s="284"/>
      <c r="AC1587" s="284"/>
      <c r="AD1587" s="284"/>
      <c r="AE1587" s="284"/>
      <c r="AF1587" s="284"/>
      <c r="AG1587" s="284"/>
      <c r="AI1587" s="131"/>
    </row>
    <row r="1588" spans="1:35" ht="26.4">
      <c r="A1588" s="284"/>
      <c r="B1588" s="284"/>
      <c r="C1588" s="284"/>
      <c r="D1588" s="284"/>
      <c r="E1588" s="284"/>
      <c r="F1588" s="284"/>
      <c r="G1588" s="284"/>
      <c r="H1588" s="284"/>
      <c r="I1588" s="284"/>
      <c r="J1588" s="375"/>
      <c r="K1588" s="375"/>
      <c r="L1588" s="375"/>
      <c r="M1588" s="368"/>
      <c r="N1588" s="368"/>
      <c r="O1588" s="370"/>
      <c r="T1588" s="340"/>
      <c r="V1588" s="378"/>
      <c r="W1588" s="64" ph="1"/>
      <c r="X1588" s="241"/>
      <c r="Y1588" s="284"/>
      <c r="Z1588" s="207"/>
      <c r="AA1588" s="284"/>
      <c r="AB1588" s="284"/>
      <c r="AC1588" s="284"/>
      <c r="AD1588" s="284"/>
      <c r="AE1588" s="284"/>
      <c r="AF1588" s="284"/>
      <c r="AG1588" s="284"/>
      <c r="AI1588" s="131"/>
    </row>
    <row r="1589" spans="1:35" ht="26.4">
      <c r="A1589" s="284"/>
      <c r="B1589" s="284"/>
      <c r="C1589" s="284"/>
      <c r="D1589" s="284"/>
      <c r="E1589" s="284"/>
      <c r="F1589" s="284"/>
      <c r="G1589" s="284"/>
      <c r="H1589" s="284"/>
      <c r="I1589" s="284"/>
      <c r="J1589" s="375"/>
      <c r="K1589" s="375"/>
      <c r="L1589" s="375"/>
      <c r="M1589" s="368"/>
      <c r="N1589" s="368"/>
      <c r="O1589" s="370"/>
      <c r="T1589" s="340"/>
      <c r="V1589" s="378"/>
      <c r="W1589" s="64" ph="1"/>
      <c r="X1589" s="241"/>
      <c r="Y1589" s="284"/>
      <c r="Z1589" s="207"/>
      <c r="AA1589" s="284"/>
      <c r="AB1589" s="284"/>
      <c r="AC1589" s="284"/>
      <c r="AD1589" s="284"/>
      <c r="AE1589" s="284"/>
      <c r="AF1589" s="284"/>
      <c r="AG1589" s="284"/>
      <c r="AI1589" s="131"/>
    </row>
    <row r="1590" spans="1:35" ht="26.4">
      <c r="A1590" s="284"/>
      <c r="B1590" s="284"/>
      <c r="C1590" s="284"/>
      <c r="D1590" s="284"/>
      <c r="E1590" s="284"/>
      <c r="F1590" s="284"/>
      <c r="G1590" s="284"/>
      <c r="H1590" s="284"/>
      <c r="I1590" s="284"/>
      <c r="J1590" s="375"/>
      <c r="K1590" s="375"/>
      <c r="L1590" s="375"/>
      <c r="M1590" s="368"/>
      <c r="N1590" s="368"/>
      <c r="O1590" s="370"/>
      <c r="T1590" s="340"/>
      <c r="V1590" s="378"/>
      <c r="W1590" s="64" ph="1"/>
      <c r="X1590" s="241"/>
      <c r="Y1590" s="284"/>
      <c r="Z1590" s="207"/>
      <c r="AA1590" s="284"/>
      <c r="AB1590" s="284"/>
      <c r="AC1590" s="284"/>
      <c r="AD1590" s="284"/>
      <c r="AE1590" s="284"/>
      <c r="AF1590" s="284"/>
      <c r="AG1590" s="284"/>
      <c r="AI1590" s="131"/>
    </row>
    <row r="1591" spans="1:35" ht="26.4">
      <c r="A1591" s="284"/>
      <c r="B1591" s="284"/>
      <c r="C1591" s="284"/>
      <c r="D1591" s="284"/>
      <c r="E1591" s="284"/>
      <c r="F1591" s="284"/>
      <c r="G1591" s="284"/>
      <c r="H1591" s="284"/>
      <c r="I1591" s="284"/>
      <c r="J1591" s="375"/>
      <c r="K1591" s="375"/>
      <c r="L1591" s="375"/>
      <c r="M1591" s="368"/>
      <c r="N1591" s="368"/>
      <c r="O1591" s="370"/>
      <c r="T1591" s="340"/>
      <c r="V1591" s="378"/>
      <c r="W1591" s="64" ph="1"/>
      <c r="X1591" s="241"/>
      <c r="Y1591" s="284"/>
      <c r="Z1591" s="207"/>
      <c r="AA1591" s="284"/>
      <c r="AB1591" s="284"/>
      <c r="AC1591" s="284"/>
      <c r="AD1591" s="284"/>
      <c r="AE1591" s="284"/>
      <c r="AF1591" s="284"/>
      <c r="AG1591" s="284"/>
      <c r="AI1591" s="131"/>
    </row>
    <row r="1592" spans="1:35" ht="26.4">
      <c r="A1592" s="284"/>
      <c r="B1592" s="284"/>
      <c r="C1592" s="284"/>
      <c r="D1592" s="284"/>
      <c r="E1592" s="284"/>
      <c r="F1592" s="284"/>
      <c r="G1592" s="284"/>
      <c r="H1592" s="284"/>
      <c r="I1592" s="284"/>
      <c r="J1592" s="375"/>
      <c r="K1592" s="375"/>
      <c r="L1592" s="375"/>
      <c r="M1592" s="368"/>
      <c r="N1592" s="368"/>
      <c r="O1592" s="370"/>
      <c r="T1592" s="340"/>
      <c r="V1592" s="378"/>
      <c r="W1592" s="64" ph="1"/>
      <c r="X1592" s="241"/>
      <c r="Y1592" s="284"/>
      <c r="Z1592" s="207"/>
      <c r="AA1592" s="284"/>
      <c r="AB1592" s="284"/>
      <c r="AC1592" s="284"/>
      <c r="AD1592" s="284"/>
      <c r="AE1592" s="284"/>
      <c r="AF1592" s="284"/>
      <c r="AG1592" s="284"/>
      <c r="AI1592" s="131"/>
    </row>
    <row r="1593" spans="1:35" ht="26.4">
      <c r="A1593" s="284"/>
      <c r="B1593" s="284"/>
      <c r="C1593" s="284"/>
      <c r="D1593" s="284"/>
      <c r="E1593" s="284"/>
      <c r="F1593" s="284"/>
      <c r="G1593" s="284"/>
      <c r="H1593" s="284"/>
      <c r="I1593" s="284"/>
      <c r="J1593" s="375"/>
      <c r="K1593" s="375"/>
      <c r="L1593" s="375"/>
      <c r="M1593" s="368"/>
      <c r="N1593" s="368"/>
      <c r="O1593" s="370"/>
      <c r="T1593" s="340"/>
      <c r="V1593" s="378"/>
      <c r="W1593" s="64" ph="1"/>
      <c r="X1593" s="241"/>
      <c r="Y1593" s="284"/>
      <c r="Z1593" s="207"/>
      <c r="AA1593" s="284"/>
      <c r="AB1593" s="284"/>
      <c r="AC1593" s="284"/>
      <c r="AD1593" s="284"/>
      <c r="AE1593" s="284"/>
      <c r="AF1593" s="284"/>
      <c r="AG1593" s="284"/>
      <c r="AI1593" s="284"/>
    </row>
    <row r="1594" spans="1:35" ht="26.4">
      <c r="A1594" s="284"/>
      <c r="B1594" s="284"/>
      <c r="C1594" s="284"/>
      <c r="D1594" s="284"/>
      <c r="E1594" s="284"/>
      <c r="F1594" s="284"/>
      <c r="G1594" s="284"/>
      <c r="H1594" s="284"/>
      <c r="I1594" s="284"/>
      <c r="J1594" s="375"/>
      <c r="K1594" s="375"/>
      <c r="L1594" s="375"/>
      <c r="M1594" s="368"/>
      <c r="N1594" s="368"/>
      <c r="O1594" s="370"/>
      <c r="T1594" s="340"/>
      <c r="V1594" s="378"/>
      <c r="W1594" s="64" ph="1"/>
      <c r="X1594" s="241"/>
      <c r="Y1594" s="284"/>
      <c r="Z1594" s="207"/>
      <c r="AA1594" s="284"/>
      <c r="AB1594" s="284"/>
      <c r="AC1594" s="284"/>
      <c r="AD1594" s="284"/>
      <c r="AE1594" s="284"/>
      <c r="AF1594" s="284"/>
      <c r="AG1594" s="284"/>
      <c r="AI1594" s="131"/>
    </row>
    <row r="1595" spans="1:35" ht="26.4">
      <c r="A1595" s="284"/>
      <c r="B1595" s="284"/>
      <c r="C1595" s="284"/>
      <c r="D1595" s="284"/>
      <c r="E1595" s="284"/>
      <c r="F1595" s="284"/>
      <c r="G1595" s="284"/>
      <c r="H1595" s="284"/>
      <c r="I1595" s="284"/>
      <c r="J1595" s="375"/>
      <c r="K1595" s="375"/>
      <c r="L1595" s="375"/>
      <c r="M1595" s="368"/>
      <c r="N1595" s="368"/>
      <c r="O1595" s="370"/>
      <c r="T1595" s="340"/>
      <c r="V1595" s="378"/>
      <c r="W1595" s="64" ph="1"/>
      <c r="X1595" s="241"/>
      <c r="Y1595" s="284"/>
      <c r="Z1595" s="207"/>
      <c r="AA1595" s="284"/>
      <c r="AB1595" s="284"/>
      <c r="AC1595" s="284"/>
      <c r="AD1595" s="284"/>
      <c r="AE1595" s="284"/>
      <c r="AF1595" s="284"/>
      <c r="AG1595" s="284"/>
      <c r="AI1595" s="131"/>
    </row>
    <row r="1596" spans="1:35" ht="26.4">
      <c r="A1596" s="284"/>
      <c r="B1596" s="284"/>
      <c r="C1596" s="284"/>
      <c r="D1596" s="284"/>
      <c r="E1596" s="284"/>
      <c r="F1596" s="284"/>
      <c r="G1596" s="284"/>
      <c r="H1596" s="284"/>
      <c r="I1596" s="284"/>
      <c r="J1596" s="375"/>
      <c r="K1596" s="375"/>
      <c r="L1596" s="375"/>
      <c r="M1596" s="368"/>
      <c r="N1596" s="368"/>
      <c r="O1596" s="370"/>
      <c r="T1596" s="340"/>
      <c r="V1596" s="378"/>
      <c r="W1596" s="64" ph="1"/>
      <c r="X1596" s="241"/>
      <c r="Y1596" s="284"/>
      <c r="Z1596" s="207"/>
      <c r="AA1596" s="284"/>
      <c r="AB1596" s="284"/>
      <c r="AC1596" s="284"/>
      <c r="AD1596" s="284"/>
      <c r="AE1596" s="284"/>
      <c r="AF1596" s="284"/>
      <c r="AG1596" s="284"/>
      <c r="AI1596" s="131"/>
    </row>
    <row r="1597" spans="1:35" ht="26.4">
      <c r="A1597" s="284"/>
      <c r="B1597" s="284"/>
      <c r="C1597" s="284"/>
      <c r="D1597" s="284"/>
      <c r="E1597" s="284"/>
      <c r="F1597" s="284"/>
      <c r="G1597" s="284"/>
      <c r="H1597" s="284"/>
      <c r="I1597" s="284"/>
      <c r="J1597" s="375"/>
      <c r="K1597" s="375"/>
      <c r="L1597" s="375"/>
      <c r="M1597" s="368"/>
      <c r="N1597" s="368"/>
      <c r="O1597" s="370"/>
      <c r="T1597" s="340"/>
      <c r="V1597" s="378"/>
      <c r="W1597" s="64" ph="1"/>
      <c r="X1597" s="241"/>
      <c r="Y1597" s="284"/>
      <c r="Z1597" s="207"/>
      <c r="AA1597" s="284"/>
      <c r="AB1597" s="284"/>
      <c r="AC1597" s="284"/>
      <c r="AD1597" s="284"/>
      <c r="AE1597" s="284"/>
      <c r="AF1597" s="284"/>
      <c r="AG1597" s="284"/>
      <c r="AI1597" s="131"/>
    </row>
    <row r="1598" spans="1:35" ht="26.4">
      <c r="A1598" s="284"/>
      <c r="B1598" s="284"/>
      <c r="C1598" s="284"/>
      <c r="D1598" s="284"/>
      <c r="E1598" s="284"/>
      <c r="F1598" s="284"/>
      <c r="G1598" s="284"/>
      <c r="H1598" s="284"/>
      <c r="I1598" s="284"/>
      <c r="J1598" s="375"/>
      <c r="K1598" s="375"/>
      <c r="L1598" s="375"/>
      <c r="M1598" s="368"/>
      <c r="N1598" s="368"/>
      <c r="O1598" s="370"/>
      <c r="T1598" s="340"/>
      <c r="V1598" s="378"/>
      <c r="W1598" s="64" ph="1"/>
      <c r="X1598" s="241"/>
      <c r="Y1598" s="284"/>
      <c r="Z1598" s="207"/>
      <c r="AA1598" s="284"/>
      <c r="AB1598" s="284"/>
      <c r="AC1598" s="284"/>
      <c r="AD1598" s="284"/>
      <c r="AE1598" s="284"/>
      <c r="AF1598" s="284"/>
      <c r="AG1598" s="284"/>
      <c r="AI1598" s="131"/>
    </row>
    <row r="1599" spans="1:35" ht="26.4">
      <c r="A1599" s="284"/>
      <c r="B1599" s="284"/>
      <c r="C1599" s="284"/>
      <c r="D1599" s="284"/>
      <c r="E1599" s="284"/>
      <c r="F1599" s="284"/>
      <c r="G1599" s="284"/>
      <c r="H1599" s="284"/>
      <c r="I1599" s="284"/>
      <c r="J1599" s="375"/>
      <c r="K1599" s="375"/>
      <c r="L1599" s="375"/>
      <c r="M1599" s="368"/>
      <c r="N1599" s="368"/>
      <c r="O1599" s="370"/>
      <c r="T1599" s="340"/>
      <c r="V1599" s="378"/>
      <c r="W1599" s="64" ph="1"/>
      <c r="X1599" s="241"/>
      <c r="Y1599" s="284"/>
      <c r="Z1599" s="207"/>
      <c r="AA1599" s="284"/>
      <c r="AB1599" s="284"/>
      <c r="AC1599" s="284"/>
      <c r="AD1599" s="284"/>
      <c r="AE1599" s="284"/>
      <c r="AF1599" s="284"/>
      <c r="AG1599" s="284"/>
      <c r="AI1599" s="131"/>
    </row>
    <row r="1600" spans="1:35" ht="26.4">
      <c r="A1600" s="284"/>
      <c r="B1600" s="284"/>
      <c r="C1600" s="284"/>
      <c r="D1600" s="284"/>
      <c r="E1600" s="284"/>
      <c r="F1600" s="284"/>
      <c r="G1600" s="284"/>
      <c r="H1600" s="284"/>
      <c r="I1600" s="284"/>
      <c r="J1600" s="375"/>
      <c r="K1600" s="375"/>
      <c r="L1600" s="375"/>
      <c r="M1600" s="368"/>
      <c r="N1600" s="368"/>
      <c r="O1600" s="370"/>
      <c r="T1600" s="340"/>
      <c r="V1600" s="378"/>
      <c r="W1600" s="64" ph="1"/>
      <c r="X1600" s="241"/>
      <c r="Y1600" s="284"/>
      <c r="Z1600" s="207"/>
      <c r="AA1600" s="284"/>
      <c r="AB1600" s="284"/>
      <c r="AC1600" s="284"/>
      <c r="AD1600" s="284"/>
      <c r="AE1600" s="284"/>
      <c r="AF1600" s="284"/>
      <c r="AG1600" s="284"/>
      <c r="AI1600" s="131"/>
    </row>
    <row r="1601" spans="1:35" ht="26.4">
      <c r="A1601" s="284"/>
      <c r="B1601" s="284"/>
      <c r="C1601" s="284"/>
      <c r="D1601" s="284"/>
      <c r="E1601" s="284"/>
      <c r="F1601" s="284"/>
      <c r="G1601" s="284"/>
      <c r="H1601" s="284"/>
      <c r="I1601" s="284"/>
      <c r="J1601" s="375"/>
      <c r="K1601" s="375"/>
      <c r="L1601" s="375"/>
      <c r="M1601" s="368"/>
      <c r="N1601" s="368"/>
      <c r="O1601" s="370"/>
      <c r="T1601" s="340"/>
      <c r="V1601" s="378"/>
      <c r="W1601" s="64" ph="1"/>
      <c r="X1601" s="241"/>
      <c r="Y1601" s="284"/>
      <c r="Z1601" s="207"/>
      <c r="AA1601" s="284"/>
      <c r="AB1601" s="284"/>
      <c r="AC1601" s="284"/>
      <c r="AD1601" s="284"/>
      <c r="AE1601" s="284"/>
      <c r="AF1601" s="284"/>
      <c r="AG1601" s="284"/>
      <c r="AI1601" s="131"/>
    </row>
    <row r="1602" spans="1:35" ht="26.4">
      <c r="A1602" s="284"/>
      <c r="B1602" s="284"/>
      <c r="C1602" s="284"/>
      <c r="D1602" s="284"/>
      <c r="E1602" s="284"/>
      <c r="F1602" s="284"/>
      <c r="G1602" s="284"/>
      <c r="H1602" s="284"/>
      <c r="I1602" s="284"/>
      <c r="J1602" s="375"/>
      <c r="K1602" s="375"/>
      <c r="L1602" s="375"/>
      <c r="M1602" s="368"/>
      <c r="N1602" s="368"/>
      <c r="O1602" s="370"/>
      <c r="T1602" s="340"/>
      <c r="V1602" s="378"/>
      <c r="W1602" s="64" ph="1"/>
      <c r="X1602" s="241"/>
      <c r="Y1602" s="284"/>
      <c r="Z1602" s="207"/>
      <c r="AA1602" s="284"/>
      <c r="AB1602" s="284"/>
      <c r="AC1602" s="284"/>
      <c r="AD1602" s="284"/>
      <c r="AE1602" s="284"/>
      <c r="AF1602" s="284"/>
      <c r="AG1602" s="284"/>
      <c r="AI1602" s="131"/>
    </row>
    <row r="1603" spans="1:35" ht="26.4">
      <c r="A1603" s="284"/>
      <c r="B1603" s="284"/>
      <c r="C1603" s="284"/>
      <c r="D1603" s="284"/>
      <c r="E1603" s="284"/>
      <c r="F1603" s="284"/>
      <c r="G1603" s="284"/>
      <c r="H1603" s="284"/>
      <c r="I1603" s="284"/>
      <c r="J1603" s="375"/>
      <c r="K1603" s="375"/>
      <c r="L1603" s="375"/>
      <c r="M1603" s="368"/>
      <c r="N1603" s="368"/>
      <c r="O1603" s="370"/>
      <c r="T1603" s="340"/>
      <c r="V1603" s="378"/>
      <c r="W1603" s="64" ph="1"/>
      <c r="X1603" s="241"/>
      <c r="Y1603" s="284"/>
      <c r="Z1603" s="207"/>
      <c r="AA1603" s="284"/>
      <c r="AB1603" s="284"/>
      <c r="AC1603" s="284"/>
      <c r="AD1603" s="284"/>
      <c r="AE1603" s="284"/>
      <c r="AF1603" s="284"/>
      <c r="AG1603" s="284"/>
      <c r="AI1603" s="131"/>
    </row>
    <row r="1604" spans="1:35" ht="26.4">
      <c r="A1604" s="284"/>
      <c r="B1604" s="284"/>
      <c r="C1604" s="284"/>
      <c r="D1604" s="284"/>
      <c r="E1604" s="284"/>
      <c r="F1604" s="284"/>
      <c r="G1604" s="284"/>
      <c r="H1604" s="284"/>
      <c r="I1604" s="284"/>
      <c r="J1604" s="375"/>
      <c r="K1604" s="375"/>
      <c r="L1604" s="375"/>
      <c r="M1604" s="368"/>
      <c r="N1604" s="368"/>
      <c r="O1604" s="370"/>
      <c r="T1604" s="340"/>
      <c r="V1604" s="378"/>
      <c r="W1604" s="64" ph="1"/>
      <c r="X1604" s="241"/>
      <c r="Y1604" s="284"/>
      <c r="Z1604" s="207"/>
      <c r="AA1604" s="284"/>
      <c r="AB1604" s="284"/>
      <c r="AC1604" s="284"/>
      <c r="AD1604" s="284"/>
      <c r="AE1604" s="284"/>
      <c r="AF1604" s="284"/>
      <c r="AG1604" s="284"/>
      <c r="AI1604" s="131"/>
    </row>
    <row r="1605" spans="1:35" ht="26.4">
      <c r="A1605" s="284"/>
      <c r="B1605" s="284"/>
      <c r="C1605" s="284"/>
      <c r="D1605" s="284"/>
      <c r="E1605" s="284"/>
      <c r="F1605" s="284"/>
      <c r="G1605" s="284"/>
      <c r="H1605" s="284"/>
      <c r="I1605" s="284"/>
      <c r="J1605" s="375"/>
      <c r="K1605" s="375"/>
      <c r="L1605" s="375"/>
      <c r="M1605" s="368"/>
      <c r="N1605" s="368"/>
      <c r="O1605" s="370"/>
      <c r="T1605" s="340"/>
      <c r="V1605" s="378"/>
      <c r="W1605" s="64" ph="1"/>
      <c r="X1605" s="241"/>
      <c r="Y1605" s="284"/>
      <c r="Z1605" s="207"/>
      <c r="AA1605" s="284"/>
      <c r="AB1605" s="284"/>
      <c r="AC1605" s="284"/>
      <c r="AD1605" s="284"/>
      <c r="AE1605" s="284"/>
      <c r="AF1605" s="284"/>
      <c r="AG1605" s="284"/>
      <c r="AI1605" s="131"/>
    </row>
    <row r="1606" spans="1:35" ht="26.4">
      <c r="A1606" s="284"/>
      <c r="B1606" s="284"/>
      <c r="C1606" s="284"/>
      <c r="D1606" s="284"/>
      <c r="E1606" s="284"/>
      <c r="F1606" s="284"/>
      <c r="G1606" s="284"/>
      <c r="H1606" s="284"/>
      <c r="I1606" s="284"/>
      <c r="J1606" s="375"/>
      <c r="K1606" s="375"/>
      <c r="L1606" s="375"/>
      <c r="M1606" s="368"/>
      <c r="N1606" s="368"/>
      <c r="O1606" s="370"/>
      <c r="T1606" s="340"/>
      <c r="V1606" s="378"/>
      <c r="W1606" s="64" ph="1"/>
      <c r="X1606" s="241"/>
      <c r="Y1606" s="284"/>
      <c r="Z1606" s="207"/>
      <c r="AA1606" s="284"/>
      <c r="AB1606" s="284"/>
      <c r="AC1606" s="284"/>
      <c r="AD1606" s="284"/>
      <c r="AE1606" s="284"/>
      <c r="AF1606" s="284"/>
      <c r="AG1606" s="284"/>
      <c r="AI1606" s="131"/>
    </row>
    <row r="1607" spans="1:35" ht="26.4">
      <c r="A1607" s="284"/>
      <c r="B1607" s="284"/>
      <c r="C1607" s="284"/>
      <c r="D1607" s="284"/>
      <c r="E1607" s="284"/>
      <c r="F1607" s="284"/>
      <c r="G1607" s="284"/>
      <c r="H1607" s="284"/>
      <c r="I1607" s="284"/>
      <c r="J1607" s="375"/>
      <c r="K1607" s="375"/>
      <c r="L1607" s="375"/>
      <c r="M1607" s="368"/>
      <c r="N1607" s="368"/>
      <c r="O1607" s="370"/>
      <c r="T1607" s="340"/>
      <c r="V1607" s="378"/>
      <c r="W1607" s="64" ph="1"/>
      <c r="X1607" s="241"/>
      <c r="Y1607" s="284"/>
      <c r="Z1607" s="207"/>
      <c r="AA1607" s="284"/>
      <c r="AB1607" s="284"/>
      <c r="AC1607" s="284"/>
      <c r="AD1607" s="284"/>
      <c r="AE1607" s="284"/>
      <c r="AF1607" s="284"/>
      <c r="AG1607" s="284"/>
      <c r="AI1607" s="131"/>
    </row>
    <row r="1608" spans="1:35" ht="26.4">
      <c r="A1608" s="284"/>
      <c r="B1608" s="284"/>
      <c r="C1608" s="284"/>
      <c r="D1608" s="284"/>
      <c r="E1608" s="284"/>
      <c r="F1608" s="284"/>
      <c r="G1608" s="284"/>
      <c r="H1608" s="284"/>
      <c r="I1608" s="284"/>
      <c r="J1608" s="375"/>
      <c r="K1608" s="375"/>
      <c r="L1608" s="375"/>
      <c r="M1608" s="368"/>
      <c r="N1608" s="368"/>
      <c r="O1608" s="370"/>
      <c r="T1608" s="340"/>
      <c r="V1608" s="378"/>
      <c r="W1608" s="64" ph="1"/>
      <c r="X1608" s="241"/>
      <c r="Y1608" s="284"/>
      <c r="Z1608" s="207"/>
      <c r="AA1608" s="284"/>
      <c r="AB1608" s="284"/>
      <c r="AC1608" s="284"/>
      <c r="AD1608" s="284"/>
      <c r="AE1608" s="284"/>
      <c r="AF1608" s="284"/>
      <c r="AG1608" s="284"/>
      <c r="AI1608" s="131"/>
    </row>
    <row r="1609" spans="1:35" ht="26.4">
      <c r="A1609" s="284"/>
      <c r="B1609" s="284"/>
      <c r="C1609" s="284"/>
      <c r="D1609" s="284"/>
      <c r="E1609" s="284"/>
      <c r="F1609" s="284"/>
      <c r="G1609" s="284"/>
      <c r="H1609" s="284"/>
      <c r="I1609" s="284"/>
      <c r="J1609" s="375"/>
      <c r="K1609" s="375"/>
      <c r="L1609" s="375"/>
      <c r="M1609" s="368"/>
      <c r="N1609" s="368"/>
      <c r="O1609" s="370"/>
      <c r="T1609" s="340"/>
      <c r="V1609" s="378"/>
      <c r="W1609" s="64" ph="1"/>
      <c r="X1609" s="241"/>
      <c r="Y1609" s="284"/>
      <c r="Z1609" s="207"/>
      <c r="AA1609" s="284"/>
      <c r="AB1609" s="284"/>
      <c r="AC1609" s="284"/>
      <c r="AD1609" s="284"/>
      <c r="AE1609" s="284"/>
      <c r="AF1609" s="284"/>
      <c r="AG1609" s="284"/>
      <c r="AI1609" s="131"/>
    </row>
    <row r="1610" spans="1:35" ht="26.4">
      <c r="A1610" s="284"/>
      <c r="B1610" s="284"/>
      <c r="C1610" s="284"/>
      <c r="D1610" s="284"/>
      <c r="E1610" s="284"/>
      <c r="F1610" s="284"/>
      <c r="G1610" s="284"/>
      <c r="H1610" s="284"/>
      <c r="I1610" s="284"/>
      <c r="J1610" s="375"/>
      <c r="K1610" s="375"/>
      <c r="L1610" s="375"/>
      <c r="M1610" s="368"/>
      <c r="N1610" s="368"/>
      <c r="O1610" s="370"/>
      <c r="T1610" s="340"/>
      <c r="V1610" s="378"/>
      <c r="W1610" s="64" ph="1"/>
      <c r="X1610" s="241"/>
      <c r="Y1610" s="284"/>
      <c r="Z1610" s="207"/>
      <c r="AA1610" s="284"/>
      <c r="AB1610" s="284"/>
      <c r="AC1610" s="284"/>
      <c r="AD1610" s="284"/>
      <c r="AE1610" s="284"/>
      <c r="AF1610" s="284"/>
      <c r="AG1610" s="284"/>
      <c r="AI1610" s="131"/>
    </row>
    <row r="1611" spans="1:35" ht="26.4">
      <c r="A1611" s="284"/>
      <c r="B1611" s="284"/>
      <c r="C1611" s="284"/>
      <c r="D1611" s="284"/>
      <c r="E1611" s="284"/>
      <c r="F1611" s="284"/>
      <c r="G1611" s="284"/>
      <c r="H1611" s="284"/>
      <c r="I1611" s="284"/>
      <c r="J1611" s="375"/>
      <c r="K1611" s="375"/>
      <c r="L1611" s="375"/>
      <c r="M1611" s="368"/>
      <c r="N1611" s="368"/>
      <c r="O1611" s="370"/>
      <c r="T1611" s="340"/>
      <c r="V1611" s="378"/>
      <c r="W1611" s="64" ph="1"/>
      <c r="X1611" s="241"/>
      <c r="Y1611" s="284"/>
      <c r="Z1611" s="207"/>
      <c r="AA1611" s="284"/>
      <c r="AB1611" s="284"/>
      <c r="AC1611" s="284"/>
      <c r="AD1611" s="284"/>
      <c r="AE1611" s="284"/>
      <c r="AF1611" s="284"/>
      <c r="AG1611" s="284"/>
      <c r="AI1611" s="131"/>
    </row>
    <row r="1612" spans="1:35" ht="26.4">
      <c r="A1612" s="284"/>
      <c r="B1612" s="284"/>
      <c r="C1612" s="284"/>
      <c r="D1612" s="284"/>
      <c r="E1612" s="284"/>
      <c r="F1612" s="284"/>
      <c r="G1612" s="284"/>
      <c r="H1612" s="284"/>
      <c r="I1612" s="284"/>
      <c r="J1612" s="375"/>
      <c r="K1612" s="375"/>
      <c r="L1612" s="375"/>
      <c r="M1612" s="368"/>
      <c r="N1612" s="368"/>
      <c r="O1612" s="370"/>
      <c r="T1612" s="340"/>
      <c r="V1612" s="378"/>
      <c r="W1612" s="64" ph="1"/>
      <c r="X1612" s="241"/>
      <c r="Y1612" s="284"/>
      <c r="Z1612" s="207"/>
      <c r="AA1612" s="284"/>
      <c r="AB1612" s="284"/>
      <c r="AC1612" s="284"/>
      <c r="AD1612" s="284"/>
      <c r="AE1612" s="284"/>
      <c r="AF1612" s="284"/>
      <c r="AG1612" s="284"/>
      <c r="AI1612" s="131"/>
    </row>
    <row r="1613" spans="1:35" ht="26.4">
      <c r="A1613" s="284"/>
      <c r="B1613" s="284"/>
      <c r="C1613" s="284"/>
      <c r="D1613" s="284"/>
      <c r="E1613" s="284"/>
      <c r="F1613" s="284"/>
      <c r="G1613" s="284"/>
      <c r="H1613" s="284"/>
      <c r="I1613" s="284"/>
      <c r="J1613" s="375"/>
      <c r="K1613" s="375"/>
      <c r="L1613" s="375"/>
      <c r="M1613" s="368"/>
      <c r="N1613" s="368"/>
      <c r="O1613" s="370"/>
      <c r="T1613" s="340"/>
      <c r="V1613" s="378"/>
      <c r="W1613" s="64" ph="1"/>
      <c r="X1613" s="241"/>
      <c r="Y1613" s="284"/>
      <c r="Z1613" s="207"/>
      <c r="AA1613" s="284"/>
      <c r="AB1613" s="284"/>
      <c r="AC1613" s="284"/>
      <c r="AD1613" s="284"/>
      <c r="AE1613" s="284"/>
      <c r="AF1613" s="284"/>
      <c r="AG1613" s="284"/>
      <c r="AI1613" s="131"/>
    </row>
    <row r="1614" spans="1:35" ht="26.4">
      <c r="A1614" s="284"/>
      <c r="B1614" s="284"/>
      <c r="C1614" s="284"/>
      <c r="D1614" s="284"/>
      <c r="E1614" s="284"/>
      <c r="F1614" s="284"/>
      <c r="G1614" s="284"/>
      <c r="H1614" s="284"/>
      <c r="I1614" s="284"/>
      <c r="J1614" s="375"/>
      <c r="K1614" s="375"/>
      <c r="L1614" s="375"/>
      <c r="M1614" s="368"/>
      <c r="N1614" s="368"/>
      <c r="O1614" s="370"/>
      <c r="T1614" s="340"/>
      <c r="V1614" s="378"/>
      <c r="W1614" s="64" ph="1"/>
      <c r="X1614" s="241"/>
      <c r="Y1614" s="284"/>
      <c r="Z1614" s="207"/>
      <c r="AA1614" s="284"/>
      <c r="AB1614" s="284"/>
      <c r="AC1614" s="284"/>
      <c r="AD1614" s="284"/>
      <c r="AE1614" s="284"/>
      <c r="AF1614" s="284"/>
      <c r="AG1614" s="284"/>
      <c r="AI1614" s="131"/>
    </row>
    <row r="1615" spans="1:35" ht="26.4">
      <c r="A1615" s="284"/>
      <c r="B1615" s="284"/>
      <c r="C1615" s="284"/>
      <c r="D1615" s="284"/>
      <c r="E1615" s="284"/>
      <c r="F1615" s="284"/>
      <c r="G1615" s="284"/>
      <c r="H1615" s="284"/>
      <c r="I1615" s="284"/>
      <c r="J1615" s="375"/>
      <c r="K1615" s="375"/>
      <c r="L1615" s="375"/>
      <c r="M1615" s="368"/>
      <c r="N1615" s="368"/>
      <c r="O1615" s="370"/>
      <c r="T1615" s="340"/>
      <c r="V1615" s="378"/>
      <c r="W1615" s="64" ph="1"/>
      <c r="X1615" s="241"/>
      <c r="Y1615" s="284"/>
      <c r="Z1615" s="207"/>
      <c r="AA1615" s="284"/>
      <c r="AB1615" s="284"/>
      <c r="AC1615" s="284"/>
      <c r="AD1615" s="284"/>
      <c r="AE1615" s="284"/>
      <c r="AF1615" s="284"/>
      <c r="AG1615" s="284"/>
      <c r="AI1615" s="131"/>
    </row>
    <row r="1616" spans="1:35" ht="26.4">
      <c r="A1616" s="284"/>
      <c r="B1616" s="284"/>
      <c r="C1616" s="284"/>
      <c r="D1616" s="284"/>
      <c r="E1616" s="284"/>
      <c r="F1616" s="284"/>
      <c r="G1616" s="284"/>
      <c r="H1616" s="284"/>
      <c r="I1616" s="284"/>
      <c r="J1616" s="375"/>
      <c r="K1616" s="375"/>
      <c r="L1616" s="375"/>
      <c r="M1616" s="368"/>
      <c r="N1616" s="368"/>
      <c r="O1616" s="370"/>
      <c r="T1616" s="340"/>
      <c r="V1616" s="378"/>
      <c r="W1616" s="64" ph="1"/>
      <c r="X1616" s="241"/>
      <c r="Y1616" s="284"/>
      <c r="Z1616" s="207"/>
      <c r="AA1616" s="284"/>
      <c r="AB1616" s="284"/>
      <c r="AC1616" s="284"/>
      <c r="AD1616" s="284"/>
      <c r="AE1616" s="284"/>
      <c r="AF1616" s="284"/>
      <c r="AG1616" s="284"/>
      <c r="AI1616" s="131"/>
    </row>
    <row r="1617" spans="1:35" ht="26.4">
      <c r="A1617" s="284"/>
      <c r="B1617" s="284"/>
      <c r="C1617" s="284"/>
      <c r="D1617" s="284"/>
      <c r="E1617" s="284"/>
      <c r="F1617" s="284"/>
      <c r="G1617" s="284"/>
      <c r="H1617" s="284"/>
      <c r="I1617" s="284"/>
      <c r="J1617" s="375"/>
      <c r="K1617" s="375"/>
      <c r="L1617" s="375"/>
      <c r="M1617" s="368"/>
      <c r="N1617" s="368"/>
      <c r="O1617" s="370"/>
      <c r="T1617" s="340"/>
      <c r="V1617" s="378"/>
      <c r="W1617" s="64" ph="1"/>
      <c r="X1617" s="241"/>
      <c r="Y1617" s="284"/>
      <c r="Z1617" s="207"/>
      <c r="AA1617" s="284"/>
      <c r="AB1617" s="284"/>
      <c r="AC1617" s="284"/>
      <c r="AD1617" s="284"/>
      <c r="AE1617" s="284"/>
      <c r="AF1617" s="284"/>
      <c r="AG1617" s="284"/>
      <c r="AI1617" s="131"/>
    </row>
    <row r="1618" spans="1:35" ht="26.4">
      <c r="A1618" s="284"/>
      <c r="B1618" s="284"/>
      <c r="C1618" s="284"/>
      <c r="D1618" s="284"/>
      <c r="E1618" s="284"/>
      <c r="F1618" s="284"/>
      <c r="G1618" s="284"/>
      <c r="H1618" s="284"/>
      <c r="I1618" s="284"/>
      <c r="J1618" s="375"/>
      <c r="K1618" s="375"/>
      <c r="L1618" s="375"/>
      <c r="M1618" s="368"/>
      <c r="N1618" s="368"/>
      <c r="O1618" s="370"/>
      <c r="T1618" s="340"/>
      <c r="V1618" s="378"/>
      <c r="W1618" s="64" ph="1"/>
      <c r="X1618" s="241"/>
      <c r="Y1618" s="284"/>
      <c r="Z1618" s="207"/>
      <c r="AA1618" s="284"/>
      <c r="AB1618" s="284"/>
      <c r="AC1618" s="284"/>
      <c r="AD1618" s="284"/>
      <c r="AE1618" s="284"/>
      <c r="AF1618" s="284"/>
      <c r="AG1618" s="284"/>
      <c r="AI1618" s="131"/>
    </row>
    <row r="1619" spans="1:35" ht="26.4">
      <c r="A1619" s="284"/>
      <c r="B1619" s="284"/>
      <c r="C1619" s="284"/>
      <c r="D1619" s="284"/>
      <c r="E1619" s="284"/>
      <c r="F1619" s="284"/>
      <c r="G1619" s="284"/>
      <c r="H1619" s="284"/>
      <c r="I1619" s="284"/>
      <c r="J1619" s="375"/>
      <c r="K1619" s="375"/>
      <c r="L1619" s="375"/>
      <c r="M1619" s="368"/>
      <c r="N1619" s="368"/>
      <c r="O1619" s="370"/>
      <c r="T1619" s="340"/>
      <c r="V1619" s="378"/>
      <c r="W1619" s="64" ph="1"/>
      <c r="X1619" s="241"/>
      <c r="Y1619" s="284"/>
      <c r="Z1619" s="207"/>
      <c r="AA1619" s="284"/>
      <c r="AB1619" s="284"/>
      <c r="AC1619" s="284"/>
      <c r="AD1619" s="284"/>
      <c r="AE1619" s="284"/>
      <c r="AF1619" s="284"/>
      <c r="AG1619" s="284"/>
      <c r="AI1619" s="131"/>
    </row>
    <row r="1620" spans="1:35" ht="26.4">
      <c r="A1620" s="284"/>
      <c r="B1620" s="284"/>
      <c r="C1620" s="284"/>
      <c r="D1620" s="284"/>
      <c r="E1620" s="284"/>
      <c r="F1620" s="284"/>
      <c r="G1620" s="284"/>
      <c r="H1620" s="284"/>
      <c r="I1620" s="284"/>
      <c r="J1620" s="375"/>
      <c r="K1620" s="375"/>
      <c r="L1620" s="375"/>
      <c r="M1620" s="368"/>
      <c r="N1620" s="368"/>
      <c r="O1620" s="370"/>
      <c r="T1620" s="340"/>
      <c r="V1620" s="378"/>
      <c r="W1620" s="64" ph="1"/>
      <c r="X1620" s="241"/>
      <c r="Y1620" s="284"/>
      <c r="Z1620" s="207"/>
      <c r="AA1620" s="284"/>
      <c r="AB1620" s="284"/>
      <c r="AC1620" s="284"/>
      <c r="AD1620" s="284"/>
      <c r="AE1620" s="284"/>
      <c r="AF1620" s="284"/>
      <c r="AG1620" s="284"/>
      <c r="AI1620" s="131"/>
    </row>
    <row r="1621" spans="1:35" ht="26.4">
      <c r="A1621" s="284"/>
      <c r="B1621" s="284"/>
      <c r="C1621" s="284"/>
      <c r="D1621" s="284"/>
      <c r="E1621" s="284"/>
      <c r="F1621" s="284"/>
      <c r="G1621" s="284"/>
      <c r="H1621" s="284"/>
      <c r="I1621" s="284"/>
      <c r="J1621" s="375"/>
      <c r="K1621" s="375"/>
      <c r="L1621" s="375"/>
      <c r="M1621" s="368"/>
      <c r="N1621" s="368"/>
      <c r="O1621" s="370"/>
      <c r="T1621" s="340"/>
      <c r="V1621" s="378"/>
      <c r="W1621" s="64" ph="1"/>
      <c r="X1621" s="241"/>
      <c r="Y1621" s="284"/>
      <c r="Z1621" s="207"/>
      <c r="AA1621" s="284"/>
      <c r="AB1621" s="284"/>
      <c r="AC1621" s="284"/>
      <c r="AD1621" s="284"/>
      <c r="AE1621" s="284"/>
      <c r="AF1621" s="284"/>
      <c r="AG1621" s="284"/>
      <c r="AI1621" s="131"/>
    </row>
    <row r="1622" spans="1:35" ht="26.4">
      <c r="A1622" s="284"/>
      <c r="B1622" s="284"/>
      <c r="C1622" s="284"/>
      <c r="D1622" s="284"/>
      <c r="E1622" s="284"/>
      <c r="F1622" s="284"/>
      <c r="G1622" s="284"/>
      <c r="H1622" s="284"/>
      <c r="I1622" s="284"/>
      <c r="J1622" s="375"/>
      <c r="K1622" s="375"/>
      <c r="L1622" s="375"/>
      <c r="M1622" s="368"/>
      <c r="N1622" s="368"/>
      <c r="O1622" s="370"/>
      <c r="T1622" s="340"/>
      <c r="V1622" s="378"/>
      <c r="W1622" s="64" ph="1"/>
      <c r="X1622" s="241"/>
      <c r="Y1622" s="284"/>
      <c r="Z1622" s="207"/>
      <c r="AA1622" s="284"/>
      <c r="AB1622" s="284"/>
      <c r="AC1622" s="284"/>
      <c r="AD1622" s="284"/>
      <c r="AE1622" s="284"/>
      <c r="AF1622" s="284"/>
      <c r="AG1622" s="284"/>
      <c r="AI1622" s="131"/>
    </row>
    <row r="1623" spans="1:35" ht="26.4">
      <c r="A1623" s="284"/>
      <c r="B1623" s="284"/>
      <c r="C1623" s="284"/>
      <c r="D1623" s="284"/>
      <c r="E1623" s="284"/>
      <c r="F1623" s="284"/>
      <c r="G1623" s="284"/>
      <c r="H1623" s="284"/>
      <c r="I1623" s="284"/>
      <c r="J1623" s="375"/>
      <c r="K1623" s="375"/>
      <c r="L1623" s="375"/>
      <c r="M1623" s="368"/>
      <c r="N1623" s="368"/>
      <c r="O1623" s="370"/>
      <c r="T1623" s="340"/>
      <c r="V1623" s="378"/>
      <c r="W1623" s="64" ph="1"/>
      <c r="X1623" s="241"/>
      <c r="Y1623" s="284"/>
      <c r="Z1623" s="207"/>
      <c r="AA1623" s="284"/>
      <c r="AB1623" s="284"/>
      <c r="AC1623" s="284"/>
      <c r="AD1623" s="284"/>
      <c r="AE1623" s="284"/>
      <c r="AF1623" s="284"/>
      <c r="AG1623" s="284"/>
      <c r="AI1623" s="131"/>
    </row>
    <row r="1624" spans="1:35" ht="26.4">
      <c r="A1624" s="284"/>
      <c r="B1624" s="284"/>
      <c r="C1624" s="284"/>
      <c r="D1624" s="284"/>
      <c r="E1624" s="284"/>
      <c r="F1624" s="284"/>
      <c r="G1624" s="284"/>
      <c r="H1624" s="284"/>
      <c r="I1624" s="284"/>
      <c r="J1624" s="375"/>
      <c r="K1624" s="375"/>
      <c r="L1624" s="375"/>
      <c r="M1624" s="368"/>
      <c r="N1624" s="368"/>
      <c r="O1624" s="370"/>
      <c r="T1624" s="340"/>
      <c r="V1624" s="378"/>
      <c r="W1624" s="64" ph="1"/>
      <c r="X1624" s="241"/>
      <c r="Y1624" s="284"/>
      <c r="Z1624" s="207"/>
      <c r="AA1624" s="284"/>
      <c r="AB1624" s="284"/>
      <c r="AC1624" s="284"/>
      <c r="AD1624" s="284"/>
      <c r="AE1624" s="284"/>
      <c r="AF1624" s="284"/>
      <c r="AG1624" s="284"/>
      <c r="AI1624" s="131"/>
    </row>
    <row r="1625" spans="1:35" ht="26.4">
      <c r="A1625" s="284"/>
      <c r="B1625" s="284"/>
      <c r="C1625" s="284"/>
      <c r="D1625" s="284"/>
      <c r="E1625" s="284"/>
      <c r="F1625" s="284"/>
      <c r="G1625" s="284"/>
      <c r="H1625" s="284"/>
      <c r="I1625" s="284"/>
      <c r="J1625" s="375"/>
      <c r="K1625" s="375"/>
      <c r="L1625" s="375"/>
      <c r="M1625" s="368"/>
      <c r="N1625" s="368"/>
      <c r="O1625" s="370"/>
      <c r="T1625" s="340"/>
      <c r="V1625" s="378"/>
      <c r="W1625" s="64" ph="1"/>
      <c r="X1625" s="241"/>
      <c r="Y1625" s="284"/>
      <c r="Z1625" s="207"/>
      <c r="AA1625" s="284"/>
      <c r="AB1625" s="284"/>
      <c r="AC1625" s="284"/>
      <c r="AD1625" s="284"/>
      <c r="AE1625" s="284"/>
      <c r="AF1625" s="284"/>
      <c r="AG1625" s="284"/>
      <c r="AI1625" s="131"/>
    </row>
    <row r="1626" spans="1:35" ht="26.4">
      <c r="A1626" s="284"/>
      <c r="B1626" s="284"/>
      <c r="C1626" s="284"/>
      <c r="D1626" s="284"/>
      <c r="E1626" s="284"/>
      <c r="F1626" s="284"/>
      <c r="G1626" s="284"/>
      <c r="H1626" s="284"/>
      <c r="I1626" s="284"/>
      <c r="J1626" s="375"/>
      <c r="K1626" s="375"/>
      <c r="L1626" s="375"/>
      <c r="M1626" s="368"/>
      <c r="N1626" s="368"/>
      <c r="O1626" s="370"/>
      <c r="T1626" s="340"/>
      <c r="V1626" s="378"/>
      <c r="W1626" s="64" ph="1"/>
      <c r="X1626" s="241"/>
      <c r="Y1626" s="284"/>
      <c r="Z1626" s="207"/>
      <c r="AA1626" s="284"/>
      <c r="AB1626" s="284"/>
      <c r="AC1626" s="284"/>
      <c r="AD1626" s="284"/>
      <c r="AE1626" s="284"/>
      <c r="AF1626" s="284"/>
      <c r="AG1626" s="284"/>
      <c r="AI1626" s="284"/>
    </row>
    <row r="1627" spans="1:35" ht="26.4">
      <c r="A1627" s="284"/>
      <c r="B1627" s="284"/>
      <c r="C1627" s="284"/>
      <c r="D1627" s="284"/>
      <c r="E1627" s="284"/>
      <c r="F1627" s="284"/>
      <c r="G1627" s="284"/>
      <c r="H1627" s="284"/>
      <c r="I1627" s="284"/>
      <c r="J1627" s="375"/>
      <c r="K1627" s="375"/>
      <c r="L1627" s="375"/>
      <c r="M1627" s="368"/>
      <c r="N1627" s="368"/>
      <c r="O1627" s="370"/>
      <c r="T1627" s="340"/>
      <c r="V1627" s="378"/>
      <c r="W1627" s="64" ph="1"/>
      <c r="X1627" s="241"/>
      <c r="Y1627" s="284"/>
      <c r="Z1627" s="207"/>
      <c r="AA1627" s="284"/>
      <c r="AB1627" s="284"/>
      <c r="AC1627" s="284"/>
      <c r="AD1627" s="284"/>
      <c r="AE1627" s="284"/>
      <c r="AF1627" s="284"/>
      <c r="AG1627" s="284"/>
      <c r="AI1627" s="284"/>
    </row>
    <row r="1628" spans="1:35" ht="26.4">
      <c r="A1628" s="284"/>
      <c r="B1628" s="284"/>
      <c r="C1628" s="284"/>
      <c r="D1628" s="284"/>
      <c r="E1628" s="284"/>
      <c r="F1628" s="284"/>
      <c r="G1628" s="284"/>
      <c r="H1628" s="284"/>
      <c r="I1628" s="284"/>
      <c r="J1628" s="375"/>
      <c r="K1628" s="375"/>
      <c r="L1628" s="375"/>
      <c r="M1628" s="368"/>
      <c r="N1628" s="368"/>
      <c r="O1628" s="370"/>
      <c r="T1628" s="340"/>
      <c r="V1628" s="378"/>
      <c r="W1628" s="64" ph="1"/>
      <c r="X1628" s="241"/>
      <c r="Y1628" s="284"/>
      <c r="Z1628" s="207"/>
      <c r="AA1628" s="284"/>
      <c r="AB1628" s="284"/>
      <c r="AC1628" s="284"/>
      <c r="AD1628" s="284"/>
      <c r="AE1628" s="284"/>
      <c r="AF1628" s="284"/>
      <c r="AG1628" s="284"/>
      <c r="AI1628" s="131"/>
    </row>
    <row r="1629" spans="1:35" ht="26.4">
      <c r="A1629" s="284"/>
      <c r="B1629" s="284"/>
      <c r="C1629" s="284"/>
      <c r="D1629" s="284"/>
      <c r="E1629" s="284"/>
      <c r="F1629" s="284"/>
      <c r="G1629" s="284"/>
      <c r="H1629" s="284"/>
      <c r="I1629" s="284"/>
      <c r="J1629" s="375"/>
      <c r="K1629" s="375"/>
      <c r="L1629" s="375"/>
      <c r="M1629" s="368"/>
      <c r="N1629" s="368"/>
      <c r="O1629" s="370"/>
      <c r="T1629" s="340"/>
      <c r="V1629" s="378"/>
      <c r="W1629" s="64" ph="1"/>
      <c r="X1629" s="241"/>
      <c r="Y1629" s="284"/>
      <c r="Z1629" s="207"/>
      <c r="AA1629" s="284"/>
      <c r="AB1629" s="284"/>
      <c r="AC1629" s="284"/>
      <c r="AD1629" s="284"/>
      <c r="AE1629" s="284"/>
      <c r="AF1629" s="284"/>
      <c r="AG1629" s="284"/>
      <c r="AI1629" s="131"/>
    </row>
    <row r="1630" spans="1:35" ht="26.4">
      <c r="A1630" s="284"/>
      <c r="B1630" s="284"/>
      <c r="C1630" s="284"/>
      <c r="D1630" s="284"/>
      <c r="E1630" s="284"/>
      <c r="F1630" s="284"/>
      <c r="G1630" s="284"/>
      <c r="H1630" s="284"/>
      <c r="I1630" s="284"/>
      <c r="J1630" s="375"/>
      <c r="K1630" s="375"/>
      <c r="L1630" s="375"/>
      <c r="M1630" s="368"/>
      <c r="N1630" s="368"/>
      <c r="O1630" s="370"/>
      <c r="T1630" s="340"/>
      <c r="V1630" s="378"/>
      <c r="W1630" s="64" ph="1"/>
      <c r="X1630" s="241"/>
      <c r="Y1630" s="284"/>
      <c r="Z1630" s="207"/>
      <c r="AA1630" s="284"/>
      <c r="AB1630" s="284"/>
      <c r="AC1630" s="284"/>
      <c r="AD1630" s="284"/>
      <c r="AE1630" s="284"/>
      <c r="AF1630" s="284"/>
      <c r="AG1630" s="284"/>
      <c r="AI1630" s="131"/>
    </row>
    <row r="1631" spans="1:35" ht="26.4">
      <c r="A1631" s="284"/>
      <c r="B1631" s="284"/>
      <c r="C1631" s="284"/>
      <c r="D1631" s="284"/>
      <c r="E1631" s="284"/>
      <c r="F1631" s="284"/>
      <c r="G1631" s="284"/>
      <c r="H1631" s="284"/>
      <c r="I1631" s="284"/>
      <c r="J1631" s="375"/>
      <c r="K1631" s="375"/>
      <c r="L1631" s="375"/>
      <c r="M1631" s="368"/>
      <c r="N1631" s="368"/>
      <c r="O1631" s="370"/>
      <c r="T1631" s="340"/>
      <c r="V1631" s="378"/>
      <c r="W1631" s="64" ph="1"/>
      <c r="X1631" s="241"/>
      <c r="Y1631" s="284"/>
      <c r="Z1631" s="207"/>
      <c r="AA1631" s="284"/>
      <c r="AB1631" s="284"/>
      <c r="AC1631" s="284"/>
      <c r="AD1631" s="284"/>
      <c r="AE1631" s="284"/>
      <c r="AF1631" s="284"/>
      <c r="AG1631" s="284"/>
      <c r="AI1631" s="131"/>
    </row>
    <row r="1632" spans="1:35" ht="26.4">
      <c r="A1632" s="284"/>
      <c r="B1632" s="284"/>
      <c r="C1632" s="284"/>
      <c r="D1632" s="284"/>
      <c r="E1632" s="284"/>
      <c r="F1632" s="284"/>
      <c r="G1632" s="284"/>
      <c r="H1632" s="284"/>
      <c r="I1632" s="284"/>
      <c r="J1632" s="375"/>
      <c r="K1632" s="375"/>
      <c r="L1632" s="375"/>
      <c r="M1632" s="368"/>
      <c r="N1632" s="368"/>
      <c r="O1632" s="370"/>
      <c r="T1632" s="340"/>
      <c r="V1632" s="378"/>
      <c r="W1632" s="64" ph="1"/>
      <c r="X1632" s="241"/>
      <c r="Y1632" s="284"/>
      <c r="Z1632" s="207"/>
      <c r="AA1632" s="284"/>
      <c r="AB1632" s="284"/>
      <c r="AC1632" s="284"/>
      <c r="AD1632" s="284"/>
      <c r="AE1632" s="284"/>
      <c r="AF1632" s="284"/>
      <c r="AG1632" s="284"/>
      <c r="AI1632" s="131"/>
    </row>
    <row r="1633" spans="1:35" ht="26.4">
      <c r="A1633" s="284"/>
      <c r="B1633" s="284"/>
      <c r="C1633" s="284"/>
      <c r="D1633" s="284"/>
      <c r="E1633" s="284"/>
      <c r="F1633" s="284"/>
      <c r="G1633" s="284"/>
      <c r="H1633" s="284"/>
      <c r="I1633" s="284"/>
      <c r="J1633" s="375"/>
      <c r="K1633" s="375"/>
      <c r="L1633" s="375"/>
      <c r="M1633" s="368"/>
      <c r="N1633" s="368"/>
      <c r="O1633" s="370"/>
      <c r="T1633" s="340"/>
      <c r="V1633" s="378"/>
      <c r="W1633" s="64" ph="1"/>
      <c r="X1633" s="241"/>
      <c r="Y1633" s="284"/>
      <c r="Z1633" s="207"/>
      <c r="AA1633" s="284"/>
      <c r="AB1633" s="284"/>
      <c r="AC1633" s="284"/>
      <c r="AD1633" s="284"/>
      <c r="AE1633" s="284"/>
      <c r="AF1633" s="284"/>
      <c r="AG1633" s="284"/>
      <c r="AI1633" s="131"/>
    </row>
    <row r="1634" spans="1:35" ht="26.4">
      <c r="A1634" s="284"/>
      <c r="B1634" s="284"/>
      <c r="C1634" s="284"/>
      <c r="D1634" s="284"/>
      <c r="E1634" s="284"/>
      <c r="F1634" s="284"/>
      <c r="G1634" s="284"/>
      <c r="H1634" s="284"/>
      <c r="I1634" s="284"/>
      <c r="J1634" s="375"/>
      <c r="K1634" s="375"/>
      <c r="L1634" s="375"/>
      <c r="M1634" s="368"/>
      <c r="N1634" s="368"/>
      <c r="O1634" s="370"/>
      <c r="T1634" s="340"/>
      <c r="V1634" s="378"/>
      <c r="W1634" s="64" ph="1"/>
      <c r="X1634" s="241"/>
      <c r="Y1634" s="284"/>
      <c r="Z1634" s="207"/>
      <c r="AA1634" s="284"/>
      <c r="AB1634" s="284"/>
      <c r="AC1634" s="284"/>
      <c r="AD1634" s="284"/>
      <c r="AE1634" s="284"/>
      <c r="AF1634" s="284"/>
      <c r="AG1634" s="284"/>
      <c r="AI1634" s="131"/>
    </row>
    <row r="1635" spans="1:35" ht="26.4">
      <c r="A1635" s="284"/>
      <c r="B1635" s="284"/>
      <c r="C1635" s="284"/>
      <c r="D1635" s="284"/>
      <c r="E1635" s="284"/>
      <c r="F1635" s="284"/>
      <c r="G1635" s="284"/>
      <c r="H1635" s="284"/>
      <c r="I1635" s="284"/>
      <c r="J1635" s="375"/>
      <c r="K1635" s="375"/>
      <c r="L1635" s="375"/>
      <c r="M1635" s="368"/>
      <c r="N1635" s="368"/>
      <c r="O1635" s="370"/>
      <c r="T1635" s="340"/>
      <c r="V1635" s="378"/>
      <c r="W1635" s="64" ph="1"/>
      <c r="X1635" s="241"/>
      <c r="Y1635" s="284"/>
      <c r="Z1635" s="207"/>
      <c r="AA1635" s="284"/>
      <c r="AB1635" s="284"/>
      <c r="AC1635" s="284"/>
      <c r="AD1635" s="284"/>
      <c r="AE1635" s="284"/>
      <c r="AF1635" s="284"/>
      <c r="AG1635" s="284"/>
      <c r="AI1635" s="131"/>
    </row>
    <row r="1636" spans="1:35" ht="26.4">
      <c r="A1636" s="284"/>
      <c r="B1636" s="284"/>
      <c r="C1636" s="284"/>
      <c r="D1636" s="284"/>
      <c r="E1636" s="284"/>
      <c r="F1636" s="284"/>
      <c r="G1636" s="284"/>
      <c r="H1636" s="284"/>
      <c r="I1636" s="284"/>
      <c r="J1636" s="375"/>
      <c r="K1636" s="375"/>
      <c r="L1636" s="375"/>
      <c r="M1636" s="368"/>
      <c r="N1636" s="368"/>
      <c r="O1636" s="370"/>
      <c r="T1636" s="340"/>
      <c r="V1636" s="378"/>
      <c r="W1636" s="64" ph="1"/>
      <c r="X1636" s="241"/>
      <c r="Y1636" s="284"/>
      <c r="Z1636" s="207"/>
      <c r="AA1636" s="284"/>
      <c r="AB1636" s="284"/>
      <c r="AC1636" s="284"/>
      <c r="AD1636" s="284"/>
      <c r="AE1636" s="284"/>
      <c r="AF1636" s="284"/>
      <c r="AG1636" s="284"/>
      <c r="AI1636" s="284"/>
    </row>
    <row r="1637" spans="1:35" ht="26.4">
      <c r="A1637" s="284"/>
      <c r="B1637" s="284"/>
      <c r="C1637" s="284"/>
      <c r="D1637" s="284"/>
      <c r="E1637" s="284"/>
      <c r="F1637" s="284"/>
      <c r="G1637" s="284"/>
      <c r="H1637" s="284"/>
      <c r="I1637" s="284"/>
      <c r="J1637" s="375"/>
      <c r="K1637" s="375"/>
      <c r="L1637" s="375"/>
      <c r="M1637" s="368"/>
      <c r="N1637" s="368"/>
      <c r="O1637" s="370"/>
      <c r="T1637" s="340"/>
      <c r="V1637" s="378"/>
      <c r="W1637" s="64" ph="1"/>
      <c r="X1637" s="241"/>
      <c r="Y1637" s="284"/>
      <c r="Z1637" s="207"/>
      <c r="AA1637" s="284"/>
      <c r="AB1637" s="284"/>
      <c r="AC1637" s="284"/>
      <c r="AD1637" s="284"/>
      <c r="AE1637" s="284"/>
      <c r="AF1637" s="284"/>
      <c r="AG1637" s="284"/>
      <c r="AI1637" s="131"/>
    </row>
    <row r="1638" spans="1:35" ht="26.4">
      <c r="A1638" s="284"/>
      <c r="B1638" s="284"/>
      <c r="C1638" s="284"/>
      <c r="D1638" s="284"/>
      <c r="E1638" s="284"/>
      <c r="F1638" s="284"/>
      <c r="G1638" s="284"/>
      <c r="H1638" s="284"/>
      <c r="I1638" s="284"/>
      <c r="J1638" s="375"/>
      <c r="K1638" s="375"/>
      <c r="L1638" s="375"/>
      <c r="M1638" s="368"/>
      <c r="N1638" s="368"/>
      <c r="O1638" s="370"/>
      <c r="T1638" s="340"/>
      <c r="V1638" s="378"/>
      <c r="W1638" s="64" ph="1"/>
      <c r="X1638" s="241"/>
      <c r="Y1638" s="284"/>
      <c r="Z1638" s="207"/>
      <c r="AA1638" s="284"/>
      <c r="AB1638" s="284"/>
      <c r="AC1638" s="284"/>
      <c r="AD1638" s="284"/>
      <c r="AE1638" s="284"/>
      <c r="AF1638" s="284"/>
      <c r="AG1638" s="284"/>
      <c r="AI1638" s="131"/>
    </row>
    <row r="1639" spans="1:35" ht="26.4">
      <c r="A1639" s="284"/>
      <c r="B1639" s="284"/>
      <c r="C1639" s="284"/>
      <c r="D1639" s="284"/>
      <c r="E1639" s="284"/>
      <c r="F1639" s="284"/>
      <c r="G1639" s="284"/>
      <c r="H1639" s="284"/>
      <c r="I1639" s="284"/>
      <c r="J1639" s="375"/>
      <c r="K1639" s="375"/>
      <c r="L1639" s="375"/>
      <c r="M1639" s="368"/>
      <c r="N1639" s="368"/>
      <c r="O1639" s="370"/>
      <c r="T1639" s="340"/>
      <c r="V1639" s="378"/>
      <c r="W1639" s="64" ph="1"/>
      <c r="X1639" s="241"/>
      <c r="Y1639" s="284"/>
      <c r="Z1639" s="207"/>
      <c r="AA1639" s="284"/>
      <c r="AB1639" s="284"/>
      <c r="AC1639" s="284"/>
      <c r="AD1639" s="284"/>
      <c r="AE1639" s="284"/>
      <c r="AF1639" s="284"/>
      <c r="AG1639" s="284"/>
      <c r="AI1639" s="131"/>
    </row>
    <row r="1640" spans="1:35" ht="26.4">
      <c r="A1640" s="284"/>
      <c r="B1640" s="284"/>
      <c r="C1640" s="284"/>
      <c r="D1640" s="284"/>
      <c r="E1640" s="284"/>
      <c r="F1640" s="284"/>
      <c r="G1640" s="284"/>
      <c r="H1640" s="284"/>
      <c r="I1640" s="284"/>
      <c r="J1640" s="375"/>
      <c r="K1640" s="375"/>
      <c r="L1640" s="375"/>
      <c r="M1640" s="368"/>
      <c r="N1640" s="368"/>
      <c r="O1640" s="370"/>
      <c r="T1640" s="340"/>
      <c r="V1640" s="378"/>
      <c r="W1640" s="64" ph="1"/>
      <c r="X1640" s="241"/>
      <c r="Y1640" s="284"/>
      <c r="Z1640" s="207"/>
      <c r="AA1640" s="284"/>
      <c r="AB1640" s="284"/>
      <c r="AC1640" s="284"/>
      <c r="AD1640" s="284"/>
      <c r="AE1640" s="284"/>
      <c r="AF1640" s="284"/>
      <c r="AG1640" s="284"/>
      <c r="AI1640" s="131"/>
    </row>
    <row r="1641" spans="1:35" ht="26.4">
      <c r="A1641" s="284"/>
      <c r="B1641" s="284"/>
      <c r="C1641" s="284"/>
      <c r="D1641" s="284"/>
      <c r="E1641" s="284"/>
      <c r="F1641" s="284"/>
      <c r="G1641" s="284"/>
      <c r="H1641" s="284"/>
      <c r="I1641" s="284"/>
      <c r="J1641" s="375"/>
      <c r="K1641" s="375"/>
      <c r="L1641" s="375"/>
      <c r="M1641" s="368"/>
      <c r="N1641" s="368"/>
      <c r="O1641" s="370"/>
      <c r="T1641" s="340"/>
      <c r="V1641" s="378"/>
      <c r="W1641" s="64" ph="1"/>
      <c r="X1641" s="241"/>
      <c r="Y1641" s="284"/>
      <c r="Z1641" s="207"/>
      <c r="AA1641" s="284"/>
      <c r="AB1641" s="284"/>
      <c r="AC1641" s="284"/>
      <c r="AD1641" s="284"/>
      <c r="AE1641" s="284"/>
      <c r="AF1641" s="284"/>
      <c r="AG1641" s="284"/>
      <c r="AI1641" s="131"/>
    </row>
    <row r="1642" spans="1:35" ht="26.4">
      <c r="A1642" s="284"/>
      <c r="B1642" s="284"/>
      <c r="C1642" s="284"/>
      <c r="D1642" s="284"/>
      <c r="E1642" s="284"/>
      <c r="F1642" s="284"/>
      <c r="G1642" s="284"/>
      <c r="H1642" s="284"/>
      <c r="I1642" s="284"/>
      <c r="J1642" s="375"/>
      <c r="K1642" s="375"/>
      <c r="L1642" s="375"/>
      <c r="M1642" s="368"/>
      <c r="N1642" s="368"/>
      <c r="O1642" s="370"/>
      <c r="T1642" s="340"/>
      <c r="V1642" s="378"/>
      <c r="W1642" s="64" ph="1"/>
      <c r="X1642" s="241"/>
      <c r="Y1642" s="284"/>
      <c r="Z1642" s="207"/>
      <c r="AA1642" s="284"/>
      <c r="AB1642" s="284"/>
      <c r="AC1642" s="284"/>
      <c r="AD1642" s="284"/>
      <c r="AE1642" s="284"/>
      <c r="AF1642" s="284"/>
      <c r="AG1642" s="284"/>
      <c r="AI1642" s="131"/>
    </row>
    <row r="1643" spans="1:35" ht="26.4">
      <c r="A1643" s="284"/>
      <c r="B1643" s="284"/>
      <c r="C1643" s="284"/>
      <c r="D1643" s="284"/>
      <c r="E1643" s="284"/>
      <c r="F1643" s="284"/>
      <c r="G1643" s="284"/>
      <c r="H1643" s="284"/>
      <c r="I1643" s="284"/>
      <c r="J1643" s="375"/>
      <c r="K1643" s="375"/>
      <c r="L1643" s="375"/>
      <c r="M1643" s="368"/>
      <c r="N1643" s="368"/>
      <c r="O1643" s="370"/>
      <c r="T1643" s="340"/>
      <c r="V1643" s="378"/>
      <c r="W1643" s="64" ph="1"/>
      <c r="X1643" s="241"/>
      <c r="Y1643" s="284"/>
      <c r="Z1643" s="207"/>
      <c r="AA1643" s="284"/>
      <c r="AB1643" s="284"/>
      <c r="AC1643" s="284"/>
      <c r="AD1643" s="284"/>
      <c r="AE1643" s="284"/>
      <c r="AF1643" s="284"/>
      <c r="AG1643" s="284"/>
      <c r="AI1643" s="131"/>
    </row>
    <row r="1644" spans="1:35" ht="26.4">
      <c r="A1644" s="284"/>
      <c r="B1644" s="284"/>
      <c r="C1644" s="284"/>
      <c r="D1644" s="284"/>
      <c r="E1644" s="284"/>
      <c r="F1644" s="284"/>
      <c r="G1644" s="284"/>
      <c r="H1644" s="284"/>
      <c r="I1644" s="284"/>
      <c r="J1644" s="375"/>
      <c r="K1644" s="375"/>
      <c r="L1644" s="375"/>
      <c r="M1644" s="368"/>
      <c r="N1644" s="368"/>
      <c r="O1644" s="370"/>
      <c r="T1644" s="340"/>
      <c r="V1644" s="378"/>
      <c r="W1644" s="64" ph="1"/>
      <c r="X1644" s="241"/>
      <c r="Y1644" s="284"/>
      <c r="Z1644" s="207"/>
      <c r="AA1644" s="284"/>
      <c r="AB1644" s="284"/>
      <c r="AC1644" s="284"/>
      <c r="AD1644" s="284"/>
      <c r="AE1644" s="284"/>
      <c r="AF1644" s="284"/>
      <c r="AG1644" s="284"/>
      <c r="AI1644" s="131"/>
    </row>
    <row r="1645" spans="1:35" ht="26.4">
      <c r="A1645" s="284"/>
      <c r="B1645" s="284"/>
      <c r="C1645" s="284"/>
      <c r="D1645" s="284"/>
      <c r="E1645" s="284"/>
      <c r="F1645" s="284"/>
      <c r="G1645" s="284"/>
      <c r="H1645" s="284"/>
      <c r="I1645" s="284"/>
      <c r="J1645" s="375"/>
      <c r="K1645" s="375"/>
      <c r="L1645" s="375"/>
      <c r="M1645" s="368"/>
      <c r="N1645" s="368"/>
      <c r="O1645" s="370"/>
      <c r="T1645" s="340"/>
      <c r="V1645" s="378"/>
      <c r="W1645" s="64" ph="1"/>
      <c r="X1645" s="241"/>
      <c r="Y1645" s="284"/>
      <c r="Z1645" s="207"/>
      <c r="AA1645" s="284"/>
      <c r="AB1645" s="284"/>
      <c r="AC1645" s="284"/>
      <c r="AD1645" s="284"/>
      <c r="AE1645" s="284"/>
      <c r="AF1645" s="284"/>
      <c r="AG1645" s="284"/>
      <c r="AI1645" s="131"/>
    </row>
    <row r="1646" spans="1:35" ht="26.4">
      <c r="A1646" s="284"/>
      <c r="B1646" s="284"/>
      <c r="C1646" s="284"/>
      <c r="D1646" s="284"/>
      <c r="E1646" s="284"/>
      <c r="F1646" s="284"/>
      <c r="G1646" s="284"/>
      <c r="H1646" s="284"/>
      <c r="I1646" s="284"/>
      <c r="J1646" s="375"/>
      <c r="K1646" s="375"/>
      <c r="L1646" s="375"/>
      <c r="M1646" s="368"/>
      <c r="N1646" s="368"/>
      <c r="O1646" s="370"/>
      <c r="T1646" s="340"/>
      <c r="V1646" s="378"/>
      <c r="W1646" s="64" ph="1"/>
      <c r="X1646" s="241"/>
      <c r="Y1646" s="284"/>
      <c r="Z1646" s="207"/>
      <c r="AA1646" s="284"/>
      <c r="AB1646" s="284"/>
      <c r="AC1646" s="284"/>
      <c r="AD1646" s="284"/>
      <c r="AE1646" s="284"/>
      <c r="AF1646" s="284"/>
      <c r="AG1646" s="284"/>
      <c r="AI1646" s="284"/>
    </row>
    <row r="1647" spans="1:35" ht="26.4">
      <c r="A1647" s="284"/>
      <c r="B1647" s="284"/>
      <c r="C1647" s="284"/>
      <c r="D1647" s="284"/>
      <c r="E1647" s="284"/>
      <c r="F1647" s="284"/>
      <c r="G1647" s="284"/>
      <c r="H1647" s="284"/>
      <c r="I1647" s="284"/>
      <c r="J1647" s="375"/>
      <c r="K1647" s="375"/>
      <c r="L1647" s="375"/>
      <c r="M1647" s="368"/>
      <c r="N1647" s="368"/>
      <c r="O1647" s="370"/>
      <c r="T1647" s="340"/>
      <c r="V1647" s="378"/>
      <c r="W1647" s="64" ph="1"/>
      <c r="X1647" s="241"/>
      <c r="Y1647" s="284"/>
      <c r="Z1647" s="207"/>
      <c r="AA1647" s="284"/>
      <c r="AB1647" s="284"/>
      <c r="AC1647" s="284"/>
      <c r="AD1647" s="284"/>
      <c r="AE1647" s="284"/>
      <c r="AF1647" s="284"/>
      <c r="AG1647" s="284"/>
      <c r="AI1647" s="131"/>
    </row>
    <row r="1648" spans="1:35" ht="26.4">
      <c r="A1648" s="284"/>
      <c r="B1648" s="284"/>
      <c r="C1648" s="284"/>
      <c r="D1648" s="284"/>
      <c r="E1648" s="284"/>
      <c r="F1648" s="284"/>
      <c r="G1648" s="284"/>
      <c r="H1648" s="284"/>
      <c r="I1648" s="284"/>
      <c r="J1648" s="375"/>
      <c r="K1648" s="375"/>
      <c r="L1648" s="375"/>
      <c r="M1648" s="368"/>
      <c r="N1648" s="368"/>
      <c r="O1648" s="370"/>
      <c r="T1648" s="340"/>
      <c r="V1648" s="378"/>
      <c r="W1648" s="64" ph="1"/>
      <c r="X1648" s="241"/>
      <c r="Y1648" s="284"/>
      <c r="Z1648" s="207"/>
      <c r="AA1648" s="284"/>
      <c r="AB1648" s="284"/>
      <c r="AC1648" s="284"/>
      <c r="AD1648" s="284"/>
      <c r="AE1648" s="284"/>
      <c r="AF1648" s="284"/>
      <c r="AG1648" s="284"/>
      <c r="AI1648" s="131"/>
    </row>
    <row r="1649" spans="1:35" ht="26.4">
      <c r="A1649" s="284"/>
      <c r="B1649" s="284"/>
      <c r="C1649" s="284"/>
      <c r="D1649" s="284"/>
      <c r="E1649" s="284"/>
      <c r="F1649" s="284"/>
      <c r="G1649" s="284"/>
      <c r="H1649" s="284"/>
      <c r="I1649" s="284"/>
      <c r="J1649" s="375"/>
      <c r="K1649" s="375"/>
      <c r="L1649" s="375"/>
      <c r="M1649" s="368"/>
      <c r="N1649" s="368"/>
      <c r="O1649" s="370"/>
      <c r="T1649" s="340"/>
      <c r="V1649" s="378"/>
      <c r="W1649" s="64" ph="1"/>
      <c r="X1649" s="241"/>
      <c r="Y1649" s="284"/>
      <c r="Z1649" s="207"/>
      <c r="AA1649" s="284"/>
      <c r="AB1649" s="284"/>
      <c r="AC1649" s="284"/>
      <c r="AD1649" s="284"/>
      <c r="AE1649" s="284"/>
      <c r="AF1649" s="284"/>
      <c r="AG1649" s="284"/>
      <c r="AI1649" s="131"/>
    </row>
    <row r="1650" spans="1:35" ht="26.4">
      <c r="A1650" s="284"/>
      <c r="B1650" s="284"/>
      <c r="C1650" s="284"/>
      <c r="D1650" s="284"/>
      <c r="E1650" s="284"/>
      <c r="F1650" s="284"/>
      <c r="G1650" s="284"/>
      <c r="H1650" s="284"/>
      <c r="I1650" s="284"/>
      <c r="J1650" s="375"/>
      <c r="K1650" s="375"/>
      <c r="L1650" s="375"/>
      <c r="M1650" s="368"/>
      <c r="N1650" s="368"/>
      <c r="O1650" s="370"/>
      <c r="T1650" s="340"/>
      <c r="V1650" s="378"/>
      <c r="W1650" s="64" ph="1"/>
      <c r="X1650" s="241"/>
      <c r="Y1650" s="284"/>
      <c r="Z1650" s="207"/>
      <c r="AA1650" s="284"/>
      <c r="AB1650" s="284"/>
      <c r="AC1650" s="284"/>
      <c r="AD1650" s="284"/>
      <c r="AE1650" s="284"/>
      <c r="AF1650" s="284"/>
      <c r="AG1650" s="284"/>
      <c r="AI1650" s="284"/>
    </row>
    <row r="1651" spans="1:35" ht="26.4">
      <c r="A1651" s="284"/>
      <c r="B1651" s="284"/>
      <c r="C1651" s="284"/>
      <c r="D1651" s="284"/>
      <c r="E1651" s="284"/>
      <c r="F1651" s="284"/>
      <c r="G1651" s="284"/>
      <c r="H1651" s="284"/>
      <c r="I1651" s="284"/>
      <c r="J1651" s="375"/>
      <c r="K1651" s="375"/>
      <c r="L1651" s="375"/>
      <c r="M1651" s="368"/>
      <c r="N1651" s="368"/>
      <c r="O1651" s="370"/>
      <c r="T1651" s="340"/>
      <c r="V1651" s="378"/>
      <c r="W1651" s="64" ph="1"/>
      <c r="X1651" s="241"/>
      <c r="Y1651" s="284"/>
      <c r="Z1651" s="207"/>
      <c r="AA1651" s="284"/>
      <c r="AB1651" s="284"/>
      <c r="AC1651" s="284"/>
      <c r="AD1651" s="284"/>
      <c r="AE1651" s="284"/>
      <c r="AF1651" s="284"/>
      <c r="AG1651" s="284"/>
      <c r="AI1651" s="131"/>
    </row>
    <row r="1652" spans="1:35" ht="26.4">
      <c r="A1652" s="284"/>
      <c r="B1652" s="284"/>
      <c r="C1652" s="284"/>
      <c r="D1652" s="284"/>
      <c r="E1652" s="284"/>
      <c r="F1652" s="284"/>
      <c r="G1652" s="284"/>
      <c r="H1652" s="284"/>
      <c r="I1652" s="284"/>
      <c r="J1652" s="375"/>
      <c r="K1652" s="375"/>
      <c r="L1652" s="375"/>
      <c r="M1652" s="368"/>
      <c r="N1652" s="368"/>
      <c r="O1652" s="370"/>
      <c r="T1652" s="340"/>
      <c r="V1652" s="378"/>
      <c r="W1652" s="64" ph="1"/>
      <c r="X1652" s="241"/>
      <c r="Y1652" s="284"/>
      <c r="Z1652" s="207"/>
      <c r="AA1652" s="284"/>
      <c r="AB1652" s="284"/>
      <c r="AC1652" s="284"/>
      <c r="AD1652" s="284"/>
      <c r="AE1652" s="284"/>
      <c r="AF1652" s="284"/>
      <c r="AG1652" s="284"/>
      <c r="AI1652" s="131"/>
    </row>
    <row r="1653" spans="1:35" ht="26.4">
      <c r="A1653" s="284"/>
      <c r="B1653" s="284"/>
      <c r="C1653" s="284"/>
      <c r="D1653" s="284"/>
      <c r="E1653" s="284"/>
      <c r="F1653" s="284"/>
      <c r="G1653" s="284"/>
      <c r="H1653" s="284"/>
      <c r="I1653" s="284"/>
      <c r="J1653" s="375"/>
      <c r="K1653" s="375"/>
      <c r="L1653" s="375"/>
      <c r="M1653" s="368"/>
      <c r="N1653" s="368"/>
      <c r="O1653" s="370"/>
      <c r="T1653" s="340"/>
      <c r="V1653" s="378"/>
      <c r="W1653" s="64" ph="1"/>
      <c r="X1653" s="241"/>
      <c r="Y1653" s="284"/>
      <c r="Z1653" s="207"/>
      <c r="AA1653" s="284"/>
      <c r="AB1653" s="284"/>
      <c r="AC1653" s="284"/>
      <c r="AD1653" s="284"/>
      <c r="AE1653" s="284"/>
      <c r="AF1653" s="284"/>
      <c r="AG1653" s="284"/>
      <c r="AI1653" s="131"/>
    </row>
    <row r="1654" spans="1:35" ht="26.4">
      <c r="A1654" s="284"/>
      <c r="B1654" s="284"/>
      <c r="C1654" s="284"/>
      <c r="D1654" s="284"/>
      <c r="E1654" s="284"/>
      <c r="F1654" s="284"/>
      <c r="G1654" s="284"/>
      <c r="H1654" s="284"/>
      <c r="I1654" s="284"/>
      <c r="J1654" s="375"/>
      <c r="K1654" s="375"/>
      <c r="L1654" s="375"/>
      <c r="M1654" s="368"/>
      <c r="N1654" s="368"/>
      <c r="O1654" s="370"/>
      <c r="T1654" s="340"/>
      <c r="V1654" s="378"/>
      <c r="W1654" s="64" ph="1"/>
      <c r="X1654" s="241"/>
      <c r="Y1654" s="284"/>
      <c r="Z1654" s="207"/>
      <c r="AA1654" s="284"/>
      <c r="AB1654" s="284"/>
      <c r="AC1654" s="284"/>
      <c r="AD1654" s="284"/>
      <c r="AE1654" s="284"/>
      <c r="AF1654" s="284"/>
      <c r="AG1654" s="284"/>
      <c r="AI1654" s="131"/>
    </row>
    <row r="1655" spans="1:35" ht="26.4">
      <c r="A1655" s="284"/>
      <c r="B1655" s="284"/>
      <c r="C1655" s="284"/>
      <c r="D1655" s="284"/>
      <c r="E1655" s="284"/>
      <c r="F1655" s="284"/>
      <c r="G1655" s="284"/>
      <c r="H1655" s="284"/>
      <c r="I1655" s="284"/>
      <c r="J1655" s="375"/>
      <c r="K1655" s="375"/>
      <c r="L1655" s="375"/>
      <c r="M1655" s="368"/>
      <c r="N1655" s="368"/>
      <c r="O1655" s="370"/>
      <c r="T1655" s="340"/>
      <c r="V1655" s="378"/>
      <c r="W1655" s="64" ph="1"/>
      <c r="X1655" s="241"/>
      <c r="Y1655" s="284"/>
      <c r="Z1655" s="207"/>
      <c r="AA1655" s="284"/>
      <c r="AB1655" s="284"/>
      <c r="AC1655" s="284"/>
      <c r="AD1655" s="284"/>
      <c r="AE1655" s="284"/>
      <c r="AF1655" s="284"/>
      <c r="AG1655" s="284"/>
      <c r="AI1655" s="131"/>
    </row>
    <row r="1656" spans="1:35" ht="26.4">
      <c r="A1656" s="284"/>
      <c r="B1656" s="284"/>
      <c r="C1656" s="284"/>
      <c r="D1656" s="284"/>
      <c r="E1656" s="284"/>
      <c r="F1656" s="284"/>
      <c r="G1656" s="284"/>
      <c r="H1656" s="284"/>
      <c r="I1656" s="284"/>
      <c r="J1656" s="375"/>
      <c r="K1656" s="375"/>
      <c r="L1656" s="375"/>
      <c r="M1656" s="368"/>
      <c r="N1656" s="368"/>
      <c r="O1656" s="370"/>
      <c r="T1656" s="340"/>
      <c r="V1656" s="378"/>
      <c r="W1656" s="64" ph="1"/>
      <c r="X1656" s="241"/>
      <c r="Y1656" s="284"/>
      <c r="Z1656" s="207"/>
      <c r="AA1656" s="284"/>
      <c r="AB1656" s="284"/>
      <c r="AC1656" s="284"/>
      <c r="AD1656" s="284"/>
      <c r="AE1656" s="284"/>
      <c r="AF1656" s="284"/>
      <c r="AG1656" s="284"/>
      <c r="AI1656" s="131"/>
    </row>
    <row r="1657" spans="1:35" ht="26.4">
      <c r="A1657" s="284"/>
      <c r="B1657" s="284"/>
      <c r="C1657" s="284"/>
      <c r="D1657" s="284"/>
      <c r="E1657" s="284"/>
      <c r="F1657" s="284"/>
      <c r="G1657" s="284"/>
      <c r="H1657" s="284"/>
      <c r="I1657" s="284"/>
      <c r="J1657" s="375"/>
      <c r="K1657" s="375"/>
      <c r="L1657" s="375"/>
      <c r="M1657" s="368"/>
      <c r="N1657" s="368"/>
      <c r="O1657" s="370"/>
      <c r="T1657" s="340"/>
      <c r="V1657" s="378"/>
      <c r="W1657" s="64" ph="1"/>
      <c r="X1657" s="241"/>
      <c r="Y1657" s="284"/>
      <c r="Z1657" s="207"/>
      <c r="AA1657" s="284"/>
      <c r="AB1657" s="284"/>
      <c r="AC1657" s="284"/>
      <c r="AD1657" s="284"/>
      <c r="AE1657" s="284"/>
      <c r="AF1657" s="284"/>
      <c r="AG1657" s="284"/>
      <c r="AI1657" s="131"/>
    </row>
    <row r="1658" spans="1:35" ht="26.4">
      <c r="A1658" s="284"/>
      <c r="B1658" s="284"/>
      <c r="C1658" s="284"/>
      <c r="D1658" s="284"/>
      <c r="E1658" s="284"/>
      <c r="F1658" s="284"/>
      <c r="G1658" s="284"/>
      <c r="H1658" s="284"/>
      <c r="I1658" s="284"/>
      <c r="J1658" s="375"/>
      <c r="K1658" s="375"/>
      <c r="L1658" s="375"/>
      <c r="M1658" s="368"/>
      <c r="N1658" s="368"/>
      <c r="O1658" s="370"/>
      <c r="T1658" s="340"/>
      <c r="V1658" s="378"/>
      <c r="W1658" s="64" ph="1"/>
      <c r="X1658" s="241"/>
      <c r="Y1658" s="284"/>
      <c r="Z1658" s="207"/>
      <c r="AA1658" s="284"/>
      <c r="AB1658" s="284"/>
      <c r="AC1658" s="284"/>
      <c r="AD1658" s="284"/>
      <c r="AE1658" s="284"/>
      <c r="AF1658" s="284"/>
      <c r="AG1658" s="284"/>
      <c r="AI1658" s="131"/>
    </row>
    <row r="1659" spans="1:35" ht="26.4">
      <c r="A1659" s="284"/>
      <c r="B1659" s="284"/>
      <c r="C1659" s="284"/>
      <c r="D1659" s="284"/>
      <c r="E1659" s="284"/>
      <c r="F1659" s="284"/>
      <c r="G1659" s="284"/>
      <c r="H1659" s="284"/>
      <c r="I1659" s="284"/>
      <c r="J1659" s="375"/>
      <c r="K1659" s="375"/>
      <c r="L1659" s="375"/>
      <c r="M1659" s="368"/>
      <c r="N1659" s="368"/>
      <c r="O1659" s="370"/>
      <c r="T1659" s="340"/>
      <c r="V1659" s="378"/>
      <c r="W1659" s="64" ph="1"/>
      <c r="X1659" s="241"/>
      <c r="Y1659" s="284"/>
      <c r="Z1659" s="207"/>
      <c r="AA1659" s="284"/>
      <c r="AB1659" s="284"/>
      <c r="AC1659" s="284"/>
      <c r="AD1659" s="284"/>
      <c r="AE1659" s="284"/>
      <c r="AF1659" s="284"/>
      <c r="AG1659" s="284"/>
      <c r="AI1659" s="131"/>
    </row>
    <row r="1660" spans="1:35" ht="26.4">
      <c r="A1660" s="284"/>
      <c r="B1660" s="284"/>
      <c r="C1660" s="284"/>
      <c r="D1660" s="284"/>
      <c r="E1660" s="284"/>
      <c r="F1660" s="284"/>
      <c r="G1660" s="284"/>
      <c r="H1660" s="284"/>
      <c r="I1660" s="284"/>
      <c r="J1660" s="375"/>
      <c r="K1660" s="375"/>
      <c r="L1660" s="375"/>
      <c r="M1660" s="368"/>
      <c r="N1660" s="368"/>
      <c r="O1660" s="370"/>
      <c r="T1660" s="340"/>
      <c r="V1660" s="378"/>
      <c r="W1660" s="64" ph="1"/>
      <c r="X1660" s="241"/>
      <c r="Y1660" s="284"/>
      <c r="Z1660" s="207"/>
      <c r="AA1660" s="284"/>
      <c r="AB1660" s="284"/>
      <c r="AC1660" s="284"/>
      <c r="AD1660" s="284"/>
      <c r="AE1660" s="284"/>
      <c r="AF1660" s="284"/>
      <c r="AG1660" s="284"/>
      <c r="AI1660" s="131"/>
    </row>
    <row r="1661" spans="1:35" ht="26.4">
      <c r="A1661" s="284"/>
      <c r="B1661" s="284"/>
      <c r="C1661" s="284"/>
      <c r="D1661" s="284"/>
      <c r="E1661" s="284"/>
      <c r="F1661" s="284"/>
      <c r="G1661" s="284"/>
      <c r="H1661" s="284"/>
      <c r="I1661" s="284"/>
      <c r="J1661" s="375"/>
      <c r="K1661" s="375"/>
      <c r="L1661" s="375"/>
      <c r="M1661" s="368"/>
      <c r="N1661" s="368"/>
      <c r="O1661" s="370"/>
      <c r="T1661" s="340"/>
      <c r="V1661" s="378"/>
      <c r="W1661" s="64" ph="1"/>
      <c r="X1661" s="241"/>
      <c r="Y1661" s="284"/>
      <c r="Z1661" s="207"/>
      <c r="AA1661" s="284"/>
      <c r="AB1661" s="284"/>
      <c r="AC1661" s="284"/>
      <c r="AD1661" s="284"/>
      <c r="AE1661" s="284"/>
      <c r="AF1661" s="284"/>
      <c r="AG1661" s="284"/>
      <c r="AI1661" s="131"/>
    </row>
    <row r="1662" spans="1:35" ht="26.4">
      <c r="A1662" s="284"/>
      <c r="B1662" s="284"/>
      <c r="C1662" s="284"/>
      <c r="D1662" s="284"/>
      <c r="E1662" s="284"/>
      <c r="F1662" s="284"/>
      <c r="G1662" s="284"/>
      <c r="H1662" s="284"/>
      <c r="I1662" s="284"/>
      <c r="J1662" s="375"/>
      <c r="K1662" s="375"/>
      <c r="L1662" s="375"/>
      <c r="M1662" s="368"/>
      <c r="N1662" s="368"/>
      <c r="O1662" s="370"/>
      <c r="T1662" s="340"/>
      <c r="V1662" s="378"/>
      <c r="W1662" s="64" ph="1"/>
      <c r="X1662" s="241"/>
      <c r="Y1662" s="284"/>
      <c r="Z1662" s="207"/>
      <c r="AA1662" s="284"/>
      <c r="AB1662" s="284"/>
      <c r="AC1662" s="284"/>
      <c r="AD1662" s="284"/>
      <c r="AE1662" s="284"/>
      <c r="AF1662" s="284"/>
      <c r="AG1662" s="284"/>
      <c r="AI1662" s="131"/>
    </row>
    <row r="1663" spans="1:35" ht="26.4">
      <c r="A1663" s="284"/>
      <c r="B1663" s="284"/>
      <c r="C1663" s="284"/>
      <c r="D1663" s="284"/>
      <c r="E1663" s="284"/>
      <c r="F1663" s="284"/>
      <c r="G1663" s="284"/>
      <c r="H1663" s="284"/>
      <c r="I1663" s="284"/>
      <c r="J1663" s="375"/>
      <c r="K1663" s="375"/>
      <c r="L1663" s="375"/>
      <c r="M1663" s="368"/>
      <c r="N1663" s="368"/>
      <c r="O1663" s="370"/>
      <c r="T1663" s="340"/>
      <c r="V1663" s="378"/>
      <c r="W1663" s="64" ph="1"/>
      <c r="X1663" s="241"/>
      <c r="Y1663" s="284"/>
      <c r="Z1663" s="207"/>
      <c r="AA1663" s="284"/>
      <c r="AB1663" s="284"/>
      <c r="AC1663" s="284"/>
      <c r="AD1663" s="284"/>
      <c r="AE1663" s="284"/>
      <c r="AF1663" s="284"/>
      <c r="AG1663" s="284"/>
      <c r="AI1663" s="131"/>
    </row>
    <row r="1664" spans="1:35" ht="26.4">
      <c r="A1664" s="284"/>
      <c r="B1664" s="284"/>
      <c r="C1664" s="284"/>
      <c r="D1664" s="284"/>
      <c r="E1664" s="284"/>
      <c r="F1664" s="284"/>
      <c r="G1664" s="284"/>
      <c r="H1664" s="284"/>
      <c r="I1664" s="284"/>
      <c r="J1664" s="375"/>
      <c r="K1664" s="375"/>
      <c r="L1664" s="375"/>
      <c r="M1664" s="368"/>
      <c r="N1664" s="368"/>
      <c r="O1664" s="370"/>
      <c r="T1664" s="340"/>
      <c r="V1664" s="378"/>
      <c r="W1664" s="64" ph="1"/>
      <c r="X1664" s="241"/>
      <c r="Y1664" s="284"/>
      <c r="Z1664" s="207"/>
      <c r="AA1664" s="284"/>
      <c r="AB1664" s="284"/>
      <c r="AC1664" s="284"/>
      <c r="AD1664" s="284"/>
      <c r="AE1664" s="284"/>
      <c r="AF1664" s="284"/>
      <c r="AG1664" s="284"/>
      <c r="AI1664" s="131"/>
    </row>
    <row r="1665" spans="1:35" ht="26.4">
      <c r="A1665" s="284"/>
      <c r="B1665" s="284"/>
      <c r="C1665" s="284"/>
      <c r="D1665" s="284"/>
      <c r="E1665" s="284"/>
      <c r="F1665" s="284"/>
      <c r="G1665" s="284"/>
      <c r="H1665" s="284"/>
      <c r="I1665" s="284"/>
      <c r="J1665" s="375"/>
      <c r="K1665" s="375"/>
      <c r="L1665" s="375"/>
      <c r="M1665" s="368"/>
      <c r="N1665" s="368"/>
      <c r="O1665" s="370"/>
      <c r="T1665" s="340"/>
      <c r="V1665" s="378"/>
      <c r="W1665" s="64" ph="1"/>
      <c r="X1665" s="241"/>
      <c r="Y1665" s="284"/>
      <c r="Z1665" s="207"/>
      <c r="AA1665" s="284"/>
      <c r="AB1665" s="284"/>
      <c r="AC1665" s="284"/>
      <c r="AD1665" s="284"/>
      <c r="AE1665" s="284"/>
      <c r="AF1665" s="284"/>
      <c r="AG1665" s="284"/>
      <c r="AI1665" s="131"/>
    </row>
    <row r="1666" spans="1:35" ht="26.4">
      <c r="A1666" s="284"/>
      <c r="B1666" s="284"/>
      <c r="C1666" s="284"/>
      <c r="D1666" s="284"/>
      <c r="E1666" s="284"/>
      <c r="F1666" s="284"/>
      <c r="G1666" s="284"/>
      <c r="H1666" s="284"/>
      <c r="I1666" s="284"/>
      <c r="J1666" s="375"/>
      <c r="K1666" s="375"/>
      <c r="L1666" s="375"/>
      <c r="M1666" s="368"/>
      <c r="N1666" s="368"/>
      <c r="O1666" s="370"/>
      <c r="T1666" s="340"/>
      <c r="V1666" s="378"/>
      <c r="W1666" s="64" ph="1"/>
      <c r="X1666" s="241"/>
      <c r="Y1666" s="284"/>
      <c r="Z1666" s="207"/>
      <c r="AA1666" s="284"/>
      <c r="AB1666" s="284"/>
      <c r="AC1666" s="284"/>
      <c r="AD1666" s="284"/>
      <c r="AE1666" s="284"/>
      <c r="AF1666" s="284"/>
      <c r="AG1666" s="284"/>
      <c r="AI1666" s="131"/>
    </row>
    <row r="1667" spans="1:35" ht="26.4">
      <c r="A1667" s="284"/>
      <c r="B1667" s="284"/>
      <c r="C1667" s="284"/>
      <c r="D1667" s="284"/>
      <c r="E1667" s="284"/>
      <c r="F1667" s="284"/>
      <c r="G1667" s="284"/>
      <c r="H1667" s="284"/>
      <c r="I1667" s="284"/>
      <c r="J1667" s="375"/>
      <c r="K1667" s="375"/>
      <c r="L1667" s="375"/>
      <c r="M1667" s="368"/>
      <c r="N1667" s="368"/>
      <c r="O1667" s="370"/>
      <c r="T1667" s="340"/>
      <c r="V1667" s="378"/>
      <c r="W1667" s="64" ph="1"/>
      <c r="X1667" s="241"/>
      <c r="Y1667" s="284"/>
      <c r="Z1667" s="207"/>
      <c r="AA1667" s="284"/>
      <c r="AB1667" s="284"/>
      <c r="AC1667" s="284"/>
      <c r="AD1667" s="284"/>
      <c r="AE1667" s="284"/>
      <c r="AF1667" s="284"/>
      <c r="AG1667" s="284"/>
      <c r="AI1667" s="131"/>
    </row>
    <row r="1668" spans="1:35" ht="26.4">
      <c r="A1668" s="284"/>
      <c r="B1668" s="284"/>
      <c r="C1668" s="284"/>
      <c r="D1668" s="284"/>
      <c r="E1668" s="284"/>
      <c r="F1668" s="284"/>
      <c r="G1668" s="284"/>
      <c r="H1668" s="284"/>
      <c r="I1668" s="284"/>
      <c r="J1668" s="375"/>
      <c r="K1668" s="375"/>
      <c r="L1668" s="375"/>
      <c r="M1668" s="368"/>
      <c r="N1668" s="368"/>
      <c r="O1668" s="370"/>
      <c r="T1668" s="340"/>
      <c r="V1668" s="378"/>
      <c r="W1668" s="64" ph="1"/>
      <c r="X1668" s="241"/>
      <c r="Y1668" s="284"/>
      <c r="Z1668" s="207"/>
      <c r="AA1668" s="284"/>
      <c r="AB1668" s="284"/>
      <c r="AC1668" s="284"/>
      <c r="AD1668" s="284"/>
      <c r="AE1668" s="284"/>
      <c r="AF1668" s="284"/>
      <c r="AG1668" s="284"/>
      <c r="AI1668" s="131"/>
    </row>
    <row r="1669" spans="1:35" ht="26.4">
      <c r="A1669" s="284"/>
      <c r="B1669" s="284"/>
      <c r="C1669" s="284"/>
      <c r="D1669" s="284"/>
      <c r="E1669" s="284"/>
      <c r="F1669" s="284"/>
      <c r="G1669" s="284"/>
      <c r="H1669" s="284"/>
      <c r="I1669" s="284"/>
      <c r="J1669" s="375"/>
      <c r="K1669" s="375"/>
      <c r="L1669" s="375"/>
      <c r="M1669" s="368"/>
      <c r="N1669" s="368"/>
      <c r="O1669" s="370"/>
      <c r="T1669" s="340"/>
      <c r="V1669" s="378"/>
      <c r="W1669" s="64" ph="1"/>
      <c r="X1669" s="241"/>
      <c r="Y1669" s="284"/>
      <c r="Z1669" s="207"/>
      <c r="AA1669" s="284"/>
      <c r="AB1669" s="284"/>
      <c r="AC1669" s="284"/>
      <c r="AD1669" s="284"/>
      <c r="AE1669" s="284"/>
      <c r="AF1669" s="284"/>
      <c r="AG1669" s="284"/>
      <c r="AI1669" s="131"/>
    </row>
    <row r="1670" spans="1:35" ht="26.4">
      <c r="A1670" s="284"/>
      <c r="B1670" s="284"/>
      <c r="C1670" s="284"/>
      <c r="D1670" s="284"/>
      <c r="E1670" s="284"/>
      <c r="F1670" s="284"/>
      <c r="G1670" s="284"/>
      <c r="H1670" s="284"/>
      <c r="I1670" s="284"/>
      <c r="J1670" s="375"/>
      <c r="K1670" s="375"/>
      <c r="L1670" s="375"/>
      <c r="M1670" s="368"/>
      <c r="N1670" s="368"/>
      <c r="O1670" s="370"/>
      <c r="T1670" s="340"/>
      <c r="V1670" s="378"/>
      <c r="W1670" s="64" ph="1"/>
      <c r="X1670" s="241"/>
      <c r="Y1670" s="284"/>
      <c r="Z1670" s="207"/>
      <c r="AA1670" s="284"/>
      <c r="AB1670" s="284"/>
      <c r="AC1670" s="284"/>
      <c r="AD1670" s="284"/>
      <c r="AE1670" s="284"/>
      <c r="AF1670" s="284"/>
      <c r="AG1670" s="284"/>
      <c r="AI1670" s="131"/>
    </row>
    <row r="1671" spans="1:35" ht="26.4">
      <c r="A1671" s="284"/>
      <c r="B1671" s="284"/>
      <c r="C1671" s="284"/>
      <c r="D1671" s="284"/>
      <c r="E1671" s="284"/>
      <c r="F1671" s="284"/>
      <c r="G1671" s="284"/>
      <c r="H1671" s="284"/>
      <c r="I1671" s="284"/>
      <c r="J1671" s="375"/>
      <c r="K1671" s="375"/>
      <c r="L1671" s="375"/>
      <c r="M1671" s="368"/>
      <c r="N1671" s="368"/>
      <c r="O1671" s="370"/>
      <c r="T1671" s="340"/>
      <c r="V1671" s="378"/>
      <c r="W1671" s="64" ph="1"/>
      <c r="X1671" s="241"/>
      <c r="Y1671" s="284"/>
      <c r="Z1671" s="207"/>
      <c r="AA1671" s="284"/>
      <c r="AB1671" s="284"/>
      <c r="AC1671" s="284"/>
      <c r="AD1671" s="284"/>
      <c r="AE1671" s="284"/>
      <c r="AF1671" s="284"/>
      <c r="AG1671" s="284"/>
      <c r="AI1671" s="131"/>
    </row>
    <row r="1672" spans="1:35" ht="26.4">
      <c r="A1672" s="284"/>
      <c r="B1672" s="284"/>
      <c r="C1672" s="284"/>
      <c r="D1672" s="284"/>
      <c r="E1672" s="284"/>
      <c r="F1672" s="284"/>
      <c r="G1672" s="284"/>
      <c r="H1672" s="284"/>
      <c r="I1672" s="284"/>
      <c r="J1672" s="375"/>
      <c r="K1672" s="375"/>
      <c r="L1672" s="375"/>
      <c r="M1672" s="368"/>
      <c r="N1672" s="368"/>
      <c r="O1672" s="370"/>
      <c r="T1672" s="340"/>
      <c r="V1672" s="378"/>
      <c r="W1672" s="64" ph="1"/>
      <c r="X1672" s="241"/>
      <c r="Y1672" s="284"/>
      <c r="Z1672" s="207"/>
      <c r="AA1672" s="284"/>
      <c r="AB1672" s="284"/>
      <c r="AC1672" s="284"/>
      <c r="AD1672" s="284"/>
      <c r="AE1672" s="284"/>
      <c r="AF1672" s="284"/>
      <c r="AG1672" s="284"/>
    </row>
    <row r="1673" spans="1:35" ht="26.4">
      <c r="A1673" s="284"/>
      <c r="B1673" s="284"/>
      <c r="C1673" s="284"/>
      <c r="D1673" s="284"/>
      <c r="E1673" s="284"/>
      <c r="F1673" s="284"/>
      <c r="G1673" s="284"/>
      <c r="H1673" s="284"/>
      <c r="I1673" s="284"/>
      <c r="J1673" s="375"/>
      <c r="K1673" s="375"/>
      <c r="L1673" s="375"/>
      <c r="M1673" s="368"/>
      <c r="N1673" s="368"/>
      <c r="O1673" s="370"/>
      <c r="T1673" s="340"/>
      <c r="V1673" s="378"/>
      <c r="W1673" s="64" ph="1"/>
      <c r="X1673" s="241"/>
      <c r="Y1673" s="284"/>
      <c r="Z1673" s="207"/>
      <c r="AA1673" s="284"/>
      <c r="AB1673" s="284"/>
      <c r="AC1673" s="284"/>
      <c r="AD1673" s="284"/>
      <c r="AE1673" s="284"/>
      <c r="AF1673" s="284"/>
      <c r="AG1673" s="284"/>
      <c r="AI1673" s="131"/>
    </row>
    <row r="1674" spans="1:35" ht="26.4">
      <c r="A1674" s="284"/>
      <c r="B1674" s="284"/>
      <c r="C1674" s="284"/>
      <c r="D1674" s="284"/>
      <c r="E1674" s="284"/>
      <c r="F1674" s="284"/>
      <c r="G1674" s="284"/>
      <c r="H1674" s="284"/>
      <c r="I1674" s="284"/>
      <c r="J1674" s="375"/>
      <c r="K1674" s="375"/>
      <c r="L1674" s="375"/>
      <c r="M1674" s="368"/>
      <c r="N1674" s="368"/>
      <c r="O1674" s="370"/>
      <c r="T1674" s="340"/>
      <c r="V1674" s="378"/>
      <c r="W1674" s="64" ph="1"/>
      <c r="X1674" s="241"/>
      <c r="Y1674" s="284"/>
      <c r="Z1674" s="207"/>
      <c r="AA1674" s="284"/>
      <c r="AB1674" s="284"/>
      <c r="AC1674" s="284"/>
      <c r="AD1674" s="284"/>
      <c r="AE1674" s="284"/>
      <c r="AF1674" s="284"/>
      <c r="AG1674" s="284"/>
      <c r="AI1674" s="131"/>
    </row>
    <row r="1675" spans="1:35" ht="26.4">
      <c r="A1675" s="284"/>
      <c r="B1675" s="284"/>
      <c r="C1675" s="284"/>
      <c r="D1675" s="284"/>
      <c r="E1675" s="284"/>
      <c r="F1675" s="284"/>
      <c r="G1675" s="284"/>
      <c r="H1675" s="284"/>
      <c r="I1675" s="284"/>
      <c r="J1675" s="375"/>
      <c r="K1675" s="375"/>
      <c r="L1675" s="375"/>
      <c r="M1675" s="368"/>
      <c r="N1675" s="368"/>
      <c r="O1675" s="370"/>
      <c r="T1675" s="340"/>
      <c r="V1675" s="378"/>
      <c r="W1675" s="64" ph="1"/>
      <c r="X1675" s="241"/>
      <c r="Y1675" s="284"/>
      <c r="Z1675" s="207"/>
      <c r="AA1675" s="284"/>
      <c r="AB1675" s="284"/>
      <c r="AC1675" s="284"/>
      <c r="AD1675" s="284"/>
      <c r="AE1675" s="284"/>
      <c r="AF1675" s="284"/>
      <c r="AG1675" s="284"/>
      <c r="AI1675" s="131"/>
    </row>
    <row r="1676" spans="1:35" ht="26.4">
      <c r="A1676" s="284"/>
      <c r="B1676" s="284"/>
      <c r="C1676" s="284"/>
      <c r="D1676" s="284"/>
      <c r="E1676" s="284"/>
      <c r="F1676" s="284"/>
      <c r="G1676" s="284"/>
      <c r="H1676" s="284"/>
      <c r="I1676" s="284"/>
      <c r="J1676" s="375"/>
      <c r="K1676" s="375"/>
      <c r="L1676" s="375"/>
      <c r="M1676" s="368"/>
      <c r="N1676" s="368"/>
      <c r="O1676" s="370"/>
      <c r="T1676" s="340"/>
      <c r="V1676" s="378"/>
      <c r="W1676" s="64" ph="1"/>
      <c r="X1676" s="241"/>
      <c r="Y1676" s="284"/>
      <c r="Z1676" s="207"/>
      <c r="AA1676" s="284"/>
      <c r="AB1676" s="284"/>
      <c r="AC1676" s="284"/>
      <c r="AD1676" s="284"/>
      <c r="AE1676" s="284"/>
      <c r="AF1676" s="284"/>
      <c r="AG1676" s="284"/>
      <c r="AI1676" s="131"/>
    </row>
    <row r="1677" spans="1:35" ht="26.4">
      <c r="A1677" s="284"/>
      <c r="B1677" s="284"/>
      <c r="C1677" s="284"/>
      <c r="D1677" s="284"/>
      <c r="E1677" s="284"/>
      <c r="F1677" s="284"/>
      <c r="G1677" s="284"/>
      <c r="H1677" s="284"/>
      <c r="I1677" s="284"/>
      <c r="J1677" s="375"/>
      <c r="K1677" s="375"/>
      <c r="L1677" s="375"/>
      <c r="M1677" s="368"/>
      <c r="N1677" s="368"/>
      <c r="O1677" s="370"/>
      <c r="T1677" s="340"/>
      <c r="V1677" s="378"/>
      <c r="W1677" s="64" ph="1"/>
      <c r="X1677" s="241"/>
      <c r="Y1677" s="284"/>
      <c r="Z1677" s="207"/>
      <c r="AA1677" s="284"/>
      <c r="AB1677" s="284"/>
      <c r="AC1677" s="284"/>
      <c r="AD1677" s="284"/>
      <c r="AE1677" s="284"/>
      <c r="AF1677" s="284"/>
      <c r="AG1677" s="284"/>
      <c r="AI1677" s="131"/>
    </row>
    <row r="1678" spans="1:35" ht="26.4">
      <c r="A1678" s="284"/>
      <c r="B1678" s="284"/>
      <c r="C1678" s="284"/>
      <c r="D1678" s="284"/>
      <c r="E1678" s="284"/>
      <c r="F1678" s="284"/>
      <c r="G1678" s="284"/>
      <c r="H1678" s="284"/>
      <c r="I1678" s="284"/>
      <c r="J1678" s="375"/>
      <c r="K1678" s="375"/>
      <c r="L1678" s="375"/>
      <c r="M1678" s="368"/>
      <c r="N1678" s="368"/>
      <c r="O1678" s="370"/>
      <c r="T1678" s="340"/>
      <c r="V1678" s="378"/>
      <c r="W1678" s="64" ph="1"/>
      <c r="X1678" s="241"/>
      <c r="Y1678" s="284"/>
      <c r="Z1678" s="207"/>
      <c r="AA1678" s="284"/>
      <c r="AB1678" s="284"/>
      <c r="AC1678" s="284"/>
      <c r="AD1678" s="284"/>
      <c r="AE1678" s="284"/>
      <c r="AF1678" s="284"/>
      <c r="AG1678" s="284"/>
      <c r="AI1678" s="131"/>
    </row>
    <row r="1679" spans="1:35" ht="26.4">
      <c r="A1679" s="284"/>
      <c r="B1679" s="284"/>
      <c r="C1679" s="284"/>
      <c r="D1679" s="284"/>
      <c r="E1679" s="284"/>
      <c r="F1679" s="284"/>
      <c r="G1679" s="284"/>
      <c r="H1679" s="284"/>
      <c r="I1679" s="284"/>
      <c r="J1679" s="375"/>
      <c r="K1679" s="375"/>
      <c r="L1679" s="375"/>
      <c r="M1679" s="368"/>
      <c r="N1679" s="368"/>
      <c r="O1679" s="370"/>
      <c r="T1679" s="340"/>
      <c r="V1679" s="378"/>
      <c r="W1679" s="64" ph="1"/>
      <c r="X1679" s="241"/>
      <c r="Y1679" s="284"/>
      <c r="Z1679" s="207"/>
      <c r="AA1679" s="284"/>
      <c r="AB1679" s="284"/>
      <c r="AC1679" s="284"/>
      <c r="AD1679" s="284"/>
      <c r="AE1679" s="284"/>
      <c r="AF1679" s="284"/>
      <c r="AG1679" s="284"/>
      <c r="AI1679" s="131"/>
    </row>
    <row r="1680" spans="1:35" ht="26.4">
      <c r="A1680" s="284"/>
      <c r="B1680" s="284"/>
      <c r="C1680" s="284"/>
      <c r="D1680" s="284"/>
      <c r="E1680" s="284"/>
      <c r="F1680" s="284"/>
      <c r="G1680" s="284"/>
      <c r="H1680" s="284"/>
      <c r="I1680" s="284"/>
      <c r="J1680" s="375"/>
      <c r="K1680" s="375"/>
      <c r="L1680" s="375"/>
      <c r="M1680" s="368"/>
      <c r="N1680" s="368"/>
      <c r="O1680" s="370"/>
      <c r="T1680" s="340"/>
      <c r="V1680" s="378"/>
      <c r="W1680" s="64" ph="1"/>
      <c r="X1680" s="241"/>
      <c r="Y1680" s="284"/>
      <c r="Z1680" s="207"/>
      <c r="AA1680" s="284"/>
      <c r="AB1680" s="284"/>
      <c r="AC1680" s="284"/>
      <c r="AD1680" s="284"/>
      <c r="AE1680" s="284"/>
      <c r="AF1680" s="284"/>
      <c r="AG1680" s="284"/>
      <c r="AI1680" s="131"/>
    </row>
    <row r="1681" spans="1:35" ht="26.4">
      <c r="A1681" s="284"/>
      <c r="B1681" s="284"/>
      <c r="C1681" s="284"/>
      <c r="D1681" s="284"/>
      <c r="E1681" s="284"/>
      <c r="F1681" s="284"/>
      <c r="G1681" s="284"/>
      <c r="H1681" s="284"/>
      <c r="I1681" s="284"/>
      <c r="J1681" s="375"/>
      <c r="K1681" s="375"/>
      <c r="L1681" s="375"/>
      <c r="M1681" s="368"/>
      <c r="N1681" s="368"/>
      <c r="O1681" s="370"/>
      <c r="T1681" s="340"/>
      <c r="V1681" s="378"/>
      <c r="W1681" s="64" ph="1"/>
      <c r="X1681" s="241"/>
      <c r="Y1681" s="284"/>
      <c r="Z1681" s="207"/>
      <c r="AA1681" s="284"/>
      <c r="AB1681" s="284"/>
      <c r="AC1681" s="284"/>
      <c r="AD1681" s="284"/>
      <c r="AE1681" s="284"/>
      <c r="AF1681" s="284"/>
      <c r="AG1681" s="284"/>
      <c r="AI1681" s="131"/>
    </row>
    <row r="1682" spans="1:35" ht="26.4">
      <c r="A1682" s="284"/>
      <c r="B1682" s="284"/>
      <c r="C1682" s="284"/>
      <c r="D1682" s="284"/>
      <c r="E1682" s="284"/>
      <c r="F1682" s="284"/>
      <c r="G1682" s="284"/>
      <c r="H1682" s="284"/>
      <c r="I1682" s="284"/>
      <c r="J1682" s="375"/>
      <c r="K1682" s="375"/>
      <c r="L1682" s="375"/>
      <c r="M1682" s="368"/>
      <c r="N1682" s="368"/>
      <c r="O1682" s="370"/>
      <c r="T1682" s="340"/>
      <c r="V1682" s="378"/>
      <c r="W1682" s="64" ph="1"/>
      <c r="X1682" s="241"/>
      <c r="Y1682" s="284"/>
      <c r="Z1682" s="207"/>
      <c r="AA1682" s="284"/>
      <c r="AB1682" s="284"/>
      <c r="AC1682" s="284"/>
      <c r="AD1682" s="284"/>
      <c r="AE1682" s="284"/>
      <c r="AF1682" s="284"/>
      <c r="AG1682" s="284"/>
      <c r="AI1682" s="131"/>
    </row>
    <row r="1683" spans="1:35" ht="26.4">
      <c r="A1683" s="284"/>
      <c r="B1683" s="284"/>
      <c r="C1683" s="284"/>
      <c r="D1683" s="284"/>
      <c r="E1683" s="284"/>
      <c r="F1683" s="284"/>
      <c r="G1683" s="284"/>
      <c r="H1683" s="284"/>
      <c r="I1683" s="284"/>
      <c r="J1683" s="375"/>
      <c r="K1683" s="375"/>
      <c r="L1683" s="375"/>
      <c r="M1683" s="368"/>
      <c r="N1683" s="368"/>
      <c r="O1683" s="370"/>
      <c r="T1683" s="340"/>
      <c r="V1683" s="378"/>
      <c r="W1683" s="64" ph="1"/>
      <c r="X1683" s="241"/>
      <c r="Y1683" s="284"/>
      <c r="Z1683" s="207"/>
      <c r="AA1683" s="284"/>
      <c r="AB1683" s="284"/>
      <c r="AC1683" s="284"/>
      <c r="AD1683" s="284"/>
      <c r="AE1683" s="284"/>
      <c r="AF1683" s="284"/>
      <c r="AG1683" s="284"/>
      <c r="AI1683" s="131"/>
    </row>
    <row r="1684" spans="1:35" ht="26.4">
      <c r="A1684" s="284"/>
      <c r="B1684" s="284"/>
      <c r="C1684" s="284"/>
      <c r="D1684" s="284"/>
      <c r="E1684" s="284"/>
      <c r="F1684" s="284"/>
      <c r="G1684" s="284"/>
      <c r="H1684" s="284"/>
      <c r="I1684" s="284"/>
      <c r="J1684" s="375"/>
      <c r="K1684" s="375"/>
      <c r="L1684" s="375"/>
      <c r="M1684" s="368"/>
      <c r="N1684" s="368"/>
      <c r="O1684" s="370"/>
      <c r="T1684" s="340"/>
      <c r="V1684" s="378"/>
      <c r="W1684" s="64" ph="1"/>
      <c r="X1684" s="241"/>
      <c r="Y1684" s="284"/>
      <c r="Z1684" s="207"/>
      <c r="AA1684" s="284"/>
      <c r="AB1684" s="284"/>
      <c r="AC1684" s="284"/>
      <c r="AD1684" s="284"/>
      <c r="AE1684" s="284"/>
      <c r="AF1684" s="284"/>
      <c r="AG1684" s="284"/>
      <c r="AI1684" s="131"/>
    </row>
    <row r="1685" spans="1:35" ht="26.4">
      <c r="A1685" s="284"/>
      <c r="B1685" s="284"/>
      <c r="C1685" s="284"/>
      <c r="D1685" s="284"/>
      <c r="E1685" s="284"/>
      <c r="F1685" s="284"/>
      <c r="G1685" s="284"/>
      <c r="H1685" s="284"/>
      <c r="I1685" s="284"/>
      <c r="J1685" s="375"/>
      <c r="K1685" s="375"/>
      <c r="L1685" s="375"/>
      <c r="M1685" s="368"/>
      <c r="N1685" s="368"/>
      <c r="O1685" s="370"/>
      <c r="T1685" s="340"/>
      <c r="V1685" s="378"/>
      <c r="W1685" s="64" ph="1"/>
      <c r="X1685" s="241"/>
      <c r="Y1685" s="284"/>
      <c r="Z1685" s="207"/>
      <c r="AA1685" s="284"/>
      <c r="AB1685" s="284"/>
      <c r="AC1685" s="284"/>
      <c r="AD1685" s="284"/>
      <c r="AE1685" s="284"/>
      <c r="AF1685" s="284"/>
      <c r="AG1685" s="284"/>
      <c r="AI1685" s="131"/>
    </row>
    <row r="1686" spans="1:35" ht="26.4">
      <c r="A1686" s="284"/>
      <c r="B1686" s="284"/>
      <c r="C1686" s="284"/>
      <c r="D1686" s="284"/>
      <c r="E1686" s="284"/>
      <c r="F1686" s="284"/>
      <c r="G1686" s="284"/>
      <c r="H1686" s="284"/>
      <c r="I1686" s="284"/>
      <c r="J1686" s="375"/>
      <c r="K1686" s="375"/>
      <c r="L1686" s="375"/>
      <c r="M1686" s="368"/>
      <c r="N1686" s="368"/>
      <c r="O1686" s="370"/>
      <c r="T1686" s="340"/>
      <c r="V1686" s="378"/>
      <c r="W1686" s="64" ph="1"/>
      <c r="X1686" s="241"/>
      <c r="Y1686" s="284"/>
      <c r="Z1686" s="207"/>
      <c r="AA1686" s="284"/>
      <c r="AB1686" s="284"/>
      <c r="AC1686" s="284"/>
      <c r="AD1686" s="284"/>
      <c r="AE1686" s="284"/>
      <c r="AF1686" s="284"/>
      <c r="AG1686" s="284"/>
      <c r="AI1686" s="131"/>
    </row>
    <row r="1687" spans="1:35" ht="26.4">
      <c r="A1687" s="284"/>
      <c r="B1687" s="284"/>
      <c r="C1687" s="284"/>
      <c r="D1687" s="284"/>
      <c r="E1687" s="284"/>
      <c r="F1687" s="284"/>
      <c r="G1687" s="284"/>
      <c r="H1687" s="284"/>
      <c r="I1687" s="284"/>
      <c r="J1687" s="375"/>
      <c r="K1687" s="375"/>
      <c r="L1687" s="375"/>
      <c r="M1687" s="368"/>
      <c r="N1687" s="368"/>
      <c r="O1687" s="370"/>
      <c r="T1687" s="340"/>
      <c r="V1687" s="378"/>
      <c r="W1687" s="64" ph="1"/>
      <c r="X1687" s="241"/>
      <c r="Y1687" s="284"/>
      <c r="Z1687" s="207"/>
      <c r="AA1687" s="284"/>
      <c r="AB1687" s="284"/>
      <c r="AC1687" s="284"/>
      <c r="AD1687" s="284"/>
      <c r="AE1687" s="284"/>
      <c r="AF1687" s="284"/>
      <c r="AG1687" s="284"/>
      <c r="AI1687" s="131"/>
    </row>
    <row r="1688" spans="1:35" ht="26.4">
      <c r="A1688" s="284"/>
      <c r="B1688" s="284"/>
      <c r="C1688" s="284"/>
      <c r="D1688" s="284"/>
      <c r="E1688" s="284"/>
      <c r="F1688" s="284"/>
      <c r="G1688" s="284"/>
      <c r="H1688" s="284"/>
      <c r="I1688" s="284"/>
      <c r="J1688" s="375"/>
      <c r="K1688" s="375"/>
      <c r="L1688" s="375"/>
      <c r="M1688" s="368"/>
      <c r="N1688" s="368"/>
      <c r="O1688" s="370"/>
      <c r="T1688" s="340"/>
      <c r="V1688" s="378"/>
      <c r="W1688" s="64" ph="1"/>
      <c r="X1688" s="241"/>
      <c r="Y1688" s="284"/>
      <c r="Z1688" s="207"/>
      <c r="AA1688" s="284"/>
      <c r="AB1688" s="284"/>
      <c r="AC1688" s="284"/>
      <c r="AD1688" s="284"/>
      <c r="AE1688" s="284"/>
      <c r="AF1688" s="284"/>
      <c r="AG1688" s="284"/>
      <c r="AI1688" s="131"/>
    </row>
    <row r="1689" spans="1:35" ht="26.4">
      <c r="A1689" s="284"/>
      <c r="B1689" s="284"/>
      <c r="C1689" s="284"/>
      <c r="D1689" s="284"/>
      <c r="E1689" s="284"/>
      <c r="F1689" s="284"/>
      <c r="G1689" s="284"/>
      <c r="H1689" s="284"/>
      <c r="I1689" s="284"/>
      <c r="J1689" s="375"/>
      <c r="K1689" s="375"/>
      <c r="L1689" s="375"/>
      <c r="M1689" s="368"/>
      <c r="N1689" s="368"/>
      <c r="O1689" s="370"/>
      <c r="T1689" s="340"/>
      <c r="V1689" s="378"/>
      <c r="W1689" s="64" ph="1"/>
      <c r="X1689" s="241"/>
      <c r="Y1689" s="284"/>
      <c r="Z1689" s="207"/>
      <c r="AA1689" s="284"/>
      <c r="AB1689" s="284"/>
      <c r="AC1689" s="284"/>
      <c r="AD1689" s="284"/>
      <c r="AE1689" s="284"/>
      <c r="AF1689" s="284"/>
      <c r="AG1689" s="284"/>
      <c r="AI1689" s="131"/>
    </row>
    <row r="1690" spans="1:35" ht="26.4">
      <c r="A1690" s="284"/>
      <c r="B1690" s="284"/>
      <c r="C1690" s="284"/>
      <c r="D1690" s="284"/>
      <c r="E1690" s="284"/>
      <c r="F1690" s="284"/>
      <c r="G1690" s="284"/>
      <c r="H1690" s="284"/>
      <c r="I1690" s="284"/>
      <c r="J1690" s="375"/>
      <c r="K1690" s="375"/>
      <c r="L1690" s="375"/>
      <c r="M1690" s="368"/>
      <c r="N1690" s="368"/>
      <c r="O1690" s="370"/>
      <c r="T1690" s="340"/>
      <c r="V1690" s="378"/>
      <c r="W1690" s="64" ph="1"/>
      <c r="X1690" s="241"/>
      <c r="Y1690" s="284"/>
      <c r="Z1690" s="207"/>
      <c r="AA1690" s="284"/>
      <c r="AB1690" s="284"/>
      <c r="AC1690" s="284"/>
      <c r="AD1690" s="284"/>
      <c r="AE1690" s="284"/>
      <c r="AF1690" s="284"/>
      <c r="AG1690" s="284"/>
      <c r="AI1690" s="131"/>
    </row>
    <row r="1691" spans="1:35" ht="26.4">
      <c r="A1691" s="284"/>
      <c r="B1691" s="284"/>
      <c r="C1691" s="284"/>
      <c r="D1691" s="284"/>
      <c r="E1691" s="284"/>
      <c r="F1691" s="284"/>
      <c r="G1691" s="284"/>
      <c r="H1691" s="284"/>
      <c r="I1691" s="284"/>
      <c r="J1691" s="375"/>
      <c r="K1691" s="375"/>
      <c r="L1691" s="375"/>
      <c r="M1691" s="368"/>
      <c r="N1691" s="368"/>
      <c r="O1691" s="370"/>
      <c r="T1691" s="340"/>
      <c r="V1691" s="378"/>
      <c r="W1691" s="64" ph="1"/>
      <c r="X1691" s="241"/>
      <c r="Y1691" s="284"/>
      <c r="Z1691" s="207"/>
      <c r="AA1691" s="284"/>
      <c r="AB1691" s="284"/>
      <c r="AC1691" s="284"/>
      <c r="AD1691" s="284"/>
      <c r="AE1691" s="284"/>
      <c r="AF1691" s="284"/>
      <c r="AG1691" s="284"/>
      <c r="AI1691" s="131"/>
    </row>
    <row r="1692" spans="1:35" ht="26.4">
      <c r="A1692" s="284"/>
      <c r="B1692" s="284"/>
      <c r="C1692" s="284"/>
      <c r="D1692" s="284"/>
      <c r="E1692" s="284"/>
      <c r="F1692" s="284"/>
      <c r="G1692" s="284"/>
      <c r="H1692" s="284"/>
      <c r="I1692" s="284"/>
      <c r="J1692" s="375"/>
      <c r="K1692" s="375"/>
      <c r="L1692" s="375"/>
      <c r="M1692" s="368"/>
      <c r="N1692" s="368"/>
      <c r="O1692" s="370"/>
      <c r="T1692" s="340"/>
      <c r="V1692" s="378"/>
      <c r="W1692" s="64" ph="1"/>
      <c r="X1692" s="241"/>
      <c r="Y1692" s="284"/>
      <c r="Z1692" s="207"/>
      <c r="AA1692" s="284"/>
      <c r="AB1692" s="284"/>
      <c r="AC1692" s="284"/>
      <c r="AD1692" s="284"/>
      <c r="AE1692" s="284"/>
      <c r="AF1692" s="284"/>
      <c r="AG1692" s="284"/>
      <c r="AI1692" s="131"/>
    </row>
    <row r="1693" spans="1:35" ht="26.4">
      <c r="A1693" s="284"/>
      <c r="B1693" s="284"/>
      <c r="C1693" s="284"/>
      <c r="D1693" s="284"/>
      <c r="E1693" s="284"/>
      <c r="F1693" s="284"/>
      <c r="G1693" s="284"/>
      <c r="H1693" s="284"/>
      <c r="I1693" s="284"/>
      <c r="J1693" s="375"/>
      <c r="K1693" s="375"/>
      <c r="L1693" s="375"/>
      <c r="M1693" s="368"/>
      <c r="N1693" s="368"/>
      <c r="O1693" s="370"/>
      <c r="T1693" s="340"/>
      <c r="V1693" s="378"/>
      <c r="W1693" s="64" ph="1"/>
      <c r="X1693" s="241"/>
      <c r="Y1693" s="284"/>
      <c r="Z1693" s="207"/>
      <c r="AA1693" s="284"/>
      <c r="AB1693" s="284"/>
      <c r="AC1693" s="284"/>
      <c r="AD1693" s="284"/>
      <c r="AE1693" s="284"/>
      <c r="AF1693" s="284"/>
      <c r="AG1693" s="284"/>
      <c r="AI1693" s="131"/>
    </row>
    <row r="1694" spans="1:35" ht="26.4">
      <c r="A1694" s="284"/>
      <c r="B1694" s="284"/>
      <c r="C1694" s="284"/>
      <c r="D1694" s="284"/>
      <c r="E1694" s="284"/>
      <c r="F1694" s="284"/>
      <c r="G1694" s="284"/>
      <c r="H1694" s="284"/>
      <c r="I1694" s="284"/>
      <c r="J1694" s="375"/>
      <c r="K1694" s="375"/>
      <c r="L1694" s="375"/>
      <c r="M1694" s="368"/>
      <c r="N1694" s="368"/>
      <c r="O1694" s="370"/>
      <c r="T1694" s="340"/>
      <c r="V1694" s="378"/>
      <c r="W1694" s="64" ph="1"/>
      <c r="X1694" s="241"/>
      <c r="Y1694" s="284"/>
      <c r="Z1694" s="207"/>
      <c r="AA1694" s="284"/>
      <c r="AB1694" s="284"/>
      <c r="AC1694" s="284"/>
      <c r="AD1694" s="284"/>
      <c r="AE1694" s="284"/>
      <c r="AF1694" s="284"/>
      <c r="AG1694" s="284"/>
      <c r="AI1694" s="131"/>
    </row>
    <row r="1695" spans="1:35" ht="26.4">
      <c r="A1695" s="284"/>
      <c r="B1695" s="284"/>
      <c r="C1695" s="284"/>
      <c r="D1695" s="284"/>
      <c r="E1695" s="284"/>
      <c r="F1695" s="284"/>
      <c r="G1695" s="284"/>
      <c r="H1695" s="284"/>
      <c r="I1695" s="284"/>
      <c r="J1695" s="375"/>
      <c r="K1695" s="375"/>
      <c r="L1695" s="375"/>
      <c r="M1695" s="368"/>
      <c r="N1695" s="368"/>
      <c r="O1695" s="370"/>
      <c r="T1695" s="340"/>
      <c r="V1695" s="378"/>
      <c r="W1695" s="64" ph="1"/>
      <c r="X1695" s="241"/>
      <c r="Y1695" s="284"/>
      <c r="Z1695" s="207"/>
      <c r="AA1695" s="284"/>
      <c r="AB1695" s="284"/>
      <c r="AC1695" s="284"/>
      <c r="AD1695" s="284"/>
      <c r="AE1695" s="284"/>
      <c r="AF1695" s="284"/>
      <c r="AG1695" s="284"/>
      <c r="AI1695" s="131"/>
    </row>
    <row r="1696" spans="1:35" ht="26.4">
      <c r="A1696" s="284"/>
      <c r="B1696" s="284"/>
      <c r="C1696" s="284"/>
      <c r="D1696" s="284"/>
      <c r="E1696" s="284"/>
      <c r="F1696" s="284"/>
      <c r="G1696" s="284"/>
      <c r="H1696" s="284"/>
      <c r="I1696" s="284"/>
      <c r="J1696" s="375"/>
      <c r="K1696" s="375"/>
      <c r="L1696" s="375"/>
      <c r="M1696" s="368"/>
      <c r="N1696" s="368"/>
      <c r="O1696" s="370"/>
      <c r="T1696" s="340"/>
      <c r="V1696" s="378"/>
      <c r="W1696" s="64" ph="1"/>
      <c r="X1696" s="241"/>
      <c r="Y1696" s="284"/>
      <c r="Z1696" s="207"/>
      <c r="AA1696" s="284"/>
      <c r="AB1696" s="284"/>
      <c r="AC1696" s="284"/>
      <c r="AD1696" s="284"/>
      <c r="AE1696" s="284"/>
      <c r="AF1696" s="284"/>
      <c r="AG1696" s="284"/>
      <c r="AI1696" s="131"/>
    </row>
    <row r="1697" spans="1:35" ht="26.4">
      <c r="A1697" s="284"/>
      <c r="B1697" s="284"/>
      <c r="C1697" s="284"/>
      <c r="D1697" s="284"/>
      <c r="E1697" s="284"/>
      <c r="F1697" s="284"/>
      <c r="G1697" s="284"/>
      <c r="H1697" s="284"/>
      <c r="I1697" s="284"/>
      <c r="J1697" s="375"/>
      <c r="K1697" s="375"/>
      <c r="L1697" s="375"/>
      <c r="M1697" s="368"/>
      <c r="N1697" s="368"/>
      <c r="O1697" s="370"/>
      <c r="T1697" s="340"/>
      <c r="V1697" s="378"/>
      <c r="W1697" s="64" ph="1"/>
      <c r="X1697" s="241"/>
      <c r="Y1697" s="284"/>
      <c r="Z1697" s="207"/>
      <c r="AA1697" s="284"/>
      <c r="AB1697" s="284"/>
      <c r="AC1697" s="284"/>
      <c r="AD1697" s="284"/>
      <c r="AE1697" s="284"/>
      <c r="AF1697" s="284"/>
      <c r="AG1697" s="284"/>
      <c r="AI1697" s="131"/>
    </row>
    <row r="1698" spans="1:35" ht="26.4">
      <c r="A1698" s="284"/>
      <c r="B1698" s="284"/>
      <c r="C1698" s="284"/>
      <c r="D1698" s="284"/>
      <c r="E1698" s="284"/>
      <c r="F1698" s="284"/>
      <c r="G1698" s="284"/>
      <c r="H1698" s="284"/>
      <c r="I1698" s="284"/>
      <c r="J1698" s="375"/>
      <c r="K1698" s="375"/>
      <c r="L1698" s="375"/>
      <c r="M1698" s="368"/>
      <c r="N1698" s="368"/>
      <c r="O1698" s="370"/>
      <c r="T1698" s="340"/>
      <c r="V1698" s="378"/>
      <c r="W1698" s="64" ph="1"/>
      <c r="X1698" s="241"/>
      <c r="Y1698" s="284"/>
      <c r="Z1698" s="207"/>
      <c r="AA1698" s="284"/>
      <c r="AB1698" s="284"/>
      <c r="AC1698" s="284"/>
      <c r="AD1698" s="284"/>
      <c r="AE1698" s="284"/>
      <c r="AF1698" s="284"/>
      <c r="AG1698" s="284"/>
      <c r="AI1698" s="131"/>
    </row>
    <row r="1699" spans="1:35" ht="26.4">
      <c r="A1699" s="284"/>
      <c r="B1699" s="284"/>
      <c r="C1699" s="284"/>
      <c r="D1699" s="284"/>
      <c r="E1699" s="284"/>
      <c r="F1699" s="284"/>
      <c r="G1699" s="284"/>
      <c r="H1699" s="284"/>
      <c r="I1699" s="284"/>
      <c r="J1699" s="375"/>
      <c r="K1699" s="375"/>
      <c r="L1699" s="375"/>
      <c r="M1699" s="368"/>
      <c r="N1699" s="368"/>
      <c r="O1699" s="370"/>
      <c r="T1699" s="340"/>
      <c r="V1699" s="378"/>
      <c r="W1699" s="64" ph="1"/>
      <c r="X1699" s="241"/>
      <c r="Y1699" s="284"/>
      <c r="Z1699" s="207"/>
      <c r="AA1699" s="284"/>
      <c r="AB1699" s="284"/>
      <c r="AC1699" s="284"/>
      <c r="AD1699" s="284"/>
      <c r="AE1699" s="284"/>
      <c r="AF1699" s="284"/>
      <c r="AG1699" s="284"/>
      <c r="AI1699" s="131"/>
    </row>
    <row r="1700" spans="1:35" ht="26.4">
      <c r="A1700" s="284"/>
      <c r="B1700" s="284"/>
      <c r="C1700" s="284"/>
      <c r="D1700" s="284"/>
      <c r="E1700" s="284"/>
      <c r="F1700" s="284"/>
      <c r="G1700" s="284"/>
      <c r="H1700" s="284"/>
      <c r="I1700" s="284"/>
      <c r="J1700" s="375"/>
      <c r="K1700" s="375"/>
      <c r="L1700" s="375"/>
      <c r="M1700" s="368"/>
      <c r="N1700" s="368"/>
      <c r="O1700" s="370"/>
      <c r="T1700" s="340"/>
      <c r="V1700" s="378"/>
      <c r="W1700" s="64" ph="1"/>
      <c r="X1700" s="241"/>
      <c r="Y1700" s="284"/>
      <c r="Z1700" s="207"/>
      <c r="AA1700" s="284"/>
      <c r="AB1700" s="284"/>
      <c r="AC1700" s="284"/>
      <c r="AD1700" s="284"/>
      <c r="AE1700" s="284"/>
      <c r="AF1700" s="284"/>
      <c r="AG1700" s="284"/>
      <c r="AI1700" s="131"/>
    </row>
    <row r="1701" spans="1:35" ht="26.4">
      <c r="A1701" s="284"/>
      <c r="B1701" s="284"/>
      <c r="C1701" s="284"/>
      <c r="D1701" s="284"/>
      <c r="E1701" s="284"/>
      <c r="F1701" s="284"/>
      <c r="G1701" s="284"/>
      <c r="H1701" s="284"/>
      <c r="I1701" s="284"/>
      <c r="J1701" s="375"/>
      <c r="K1701" s="375"/>
      <c r="L1701" s="375"/>
      <c r="M1701" s="368"/>
      <c r="N1701" s="368"/>
      <c r="O1701" s="370"/>
      <c r="T1701" s="340"/>
      <c r="V1701" s="378"/>
      <c r="W1701" s="64" ph="1"/>
      <c r="X1701" s="241"/>
      <c r="Y1701" s="284"/>
      <c r="Z1701" s="207"/>
      <c r="AA1701" s="284"/>
      <c r="AB1701" s="284"/>
      <c r="AC1701" s="284"/>
      <c r="AD1701" s="284"/>
      <c r="AE1701" s="284"/>
      <c r="AF1701" s="284"/>
      <c r="AG1701" s="284"/>
      <c r="AI1701" s="131"/>
    </row>
    <row r="1702" spans="1:35" ht="26.4">
      <c r="A1702" s="284"/>
      <c r="B1702" s="284"/>
      <c r="C1702" s="284"/>
      <c r="D1702" s="284"/>
      <c r="E1702" s="284"/>
      <c r="F1702" s="284"/>
      <c r="G1702" s="284"/>
      <c r="H1702" s="284"/>
      <c r="I1702" s="284"/>
      <c r="J1702" s="375"/>
      <c r="K1702" s="375"/>
      <c r="L1702" s="375"/>
      <c r="M1702" s="368"/>
      <c r="N1702" s="368"/>
      <c r="O1702" s="370"/>
      <c r="T1702" s="340"/>
      <c r="V1702" s="378"/>
      <c r="W1702" s="64" ph="1"/>
      <c r="X1702" s="241"/>
      <c r="Y1702" s="284"/>
      <c r="Z1702" s="207"/>
      <c r="AA1702" s="284"/>
      <c r="AB1702" s="284"/>
      <c r="AC1702" s="284"/>
      <c r="AD1702" s="284"/>
      <c r="AE1702" s="284"/>
      <c r="AF1702" s="284"/>
      <c r="AG1702" s="284"/>
      <c r="AI1702" s="131"/>
    </row>
    <row r="1703" spans="1:35" ht="26.4">
      <c r="A1703" s="284"/>
      <c r="B1703" s="284"/>
      <c r="C1703" s="284"/>
      <c r="D1703" s="284"/>
      <c r="E1703" s="284"/>
      <c r="F1703" s="284"/>
      <c r="G1703" s="284"/>
      <c r="H1703" s="284"/>
      <c r="I1703" s="284"/>
      <c r="J1703" s="375"/>
      <c r="K1703" s="375"/>
      <c r="L1703" s="375"/>
      <c r="M1703" s="368"/>
      <c r="N1703" s="368"/>
      <c r="O1703" s="370"/>
      <c r="T1703" s="340"/>
      <c r="V1703" s="378"/>
      <c r="W1703" s="64" ph="1"/>
      <c r="X1703" s="241"/>
      <c r="Y1703" s="284"/>
      <c r="Z1703" s="207"/>
      <c r="AA1703" s="284"/>
      <c r="AB1703" s="284"/>
      <c r="AC1703" s="284"/>
      <c r="AD1703" s="284"/>
      <c r="AE1703" s="284"/>
      <c r="AF1703" s="284"/>
      <c r="AG1703" s="284"/>
      <c r="AI1703" s="131"/>
    </row>
    <row r="1704" spans="1:35" ht="26.4">
      <c r="A1704" s="284"/>
      <c r="B1704" s="284"/>
      <c r="C1704" s="284"/>
      <c r="D1704" s="284"/>
      <c r="E1704" s="284"/>
      <c r="F1704" s="284"/>
      <c r="G1704" s="284"/>
      <c r="H1704" s="284"/>
      <c r="I1704" s="284"/>
      <c r="J1704" s="375"/>
      <c r="K1704" s="375"/>
      <c r="L1704" s="375"/>
      <c r="M1704" s="368"/>
      <c r="N1704" s="368"/>
      <c r="O1704" s="370"/>
      <c r="T1704" s="340"/>
      <c r="V1704" s="378"/>
      <c r="W1704" s="64" ph="1"/>
      <c r="X1704" s="241"/>
      <c r="Y1704" s="284"/>
      <c r="Z1704" s="207"/>
      <c r="AA1704" s="284"/>
      <c r="AB1704" s="284"/>
      <c r="AC1704" s="284"/>
      <c r="AD1704" s="284"/>
      <c r="AE1704" s="284"/>
      <c r="AF1704" s="284"/>
      <c r="AG1704" s="284"/>
      <c r="AI1704" s="131"/>
    </row>
    <row r="1705" spans="1:35" ht="26.4">
      <c r="A1705" s="284"/>
      <c r="B1705" s="284"/>
      <c r="C1705" s="284"/>
      <c r="D1705" s="284"/>
      <c r="E1705" s="284"/>
      <c r="F1705" s="284"/>
      <c r="G1705" s="284"/>
      <c r="H1705" s="284"/>
      <c r="I1705" s="284"/>
      <c r="J1705" s="375"/>
      <c r="K1705" s="375"/>
      <c r="L1705" s="375"/>
      <c r="M1705" s="368"/>
      <c r="N1705" s="368"/>
      <c r="O1705" s="370"/>
      <c r="T1705" s="340"/>
      <c r="V1705" s="378"/>
      <c r="W1705" s="64" ph="1"/>
      <c r="X1705" s="241"/>
      <c r="Y1705" s="284"/>
      <c r="Z1705" s="207"/>
      <c r="AA1705" s="284"/>
      <c r="AB1705" s="284"/>
      <c r="AC1705" s="284"/>
      <c r="AD1705" s="284"/>
      <c r="AE1705" s="284"/>
      <c r="AF1705" s="284"/>
      <c r="AG1705" s="284"/>
      <c r="AI1705" s="131"/>
    </row>
    <row r="1706" spans="1:35" ht="26.4">
      <c r="A1706" s="284"/>
      <c r="B1706" s="284"/>
      <c r="C1706" s="284"/>
      <c r="D1706" s="284"/>
      <c r="E1706" s="284"/>
      <c r="F1706" s="284"/>
      <c r="G1706" s="284"/>
      <c r="H1706" s="284"/>
      <c r="I1706" s="284"/>
      <c r="J1706" s="375"/>
      <c r="K1706" s="375"/>
      <c r="L1706" s="375"/>
      <c r="M1706" s="368"/>
      <c r="N1706" s="368"/>
      <c r="O1706" s="370"/>
      <c r="T1706" s="340"/>
      <c r="V1706" s="378"/>
      <c r="W1706" s="64" ph="1"/>
      <c r="X1706" s="241"/>
      <c r="Y1706" s="284"/>
      <c r="Z1706" s="207"/>
      <c r="AA1706" s="284"/>
      <c r="AB1706" s="284"/>
      <c r="AC1706" s="284"/>
      <c r="AD1706" s="284"/>
      <c r="AE1706" s="284"/>
      <c r="AF1706" s="284"/>
      <c r="AG1706" s="284"/>
      <c r="AI1706" s="131"/>
    </row>
    <row r="1707" spans="1:35" ht="26.4">
      <c r="A1707" s="284"/>
      <c r="B1707" s="284"/>
      <c r="C1707" s="284"/>
      <c r="D1707" s="284"/>
      <c r="E1707" s="284"/>
      <c r="F1707" s="284"/>
      <c r="G1707" s="284"/>
      <c r="H1707" s="284"/>
      <c r="I1707" s="284"/>
      <c r="J1707" s="375"/>
      <c r="K1707" s="375"/>
      <c r="L1707" s="375"/>
      <c r="M1707" s="368"/>
      <c r="N1707" s="368"/>
      <c r="O1707" s="370"/>
      <c r="T1707" s="340"/>
      <c r="V1707" s="378"/>
      <c r="W1707" s="64" ph="1"/>
      <c r="X1707" s="241"/>
      <c r="Y1707" s="284"/>
      <c r="Z1707" s="207"/>
      <c r="AA1707" s="284"/>
      <c r="AB1707" s="284"/>
      <c r="AC1707" s="284"/>
      <c r="AD1707" s="284"/>
      <c r="AE1707" s="284"/>
      <c r="AF1707" s="284"/>
      <c r="AG1707" s="284"/>
      <c r="AI1707" s="131"/>
    </row>
    <row r="1708" spans="1:35" ht="26.4">
      <c r="A1708" s="284"/>
      <c r="B1708" s="284"/>
      <c r="C1708" s="284"/>
      <c r="D1708" s="284"/>
      <c r="E1708" s="284"/>
      <c r="F1708" s="284"/>
      <c r="G1708" s="284"/>
      <c r="H1708" s="284"/>
      <c r="I1708" s="284"/>
      <c r="J1708" s="375"/>
      <c r="K1708" s="375"/>
      <c r="L1708" s="375"/>
      <c r="M1708" s="368"/>
      <c r="N1708" s="368"/>
      <c r="O1708" s="370"/>
      <c r="T1708" s="340"/>
      <c r="V1708" s="378"/>
      <c r="W1708" s="64" ph="1"/>
      <c r="X1708" s="241"/>
      <c r="Y1708" s="284"/>
      <c r="Z1708" s="207"/>
      <c r="AA1708" s="284"/>
      <c r="AB1708" s="284"/>
      <c r="AC1708" s="284"/>
      <c r="AD1708" s="284"/>
      <c r="AE1708" s="284"/>
      <c r="AF1708" s="284"/>
      <c r="AG1708" s="284"/>
      <c r="AI1708" s="131"/>
    </row>
    <row r="1709" spans="1:35" ht="26.4">
      <c r="A1709" s="284"/>
      <c r="B1709" s="284"/>
      <c r="C1709" s="284"/>
      <c r="D1709" s="284"/>
      <c r="E1709" s="284"/>
      <c r="F1709" s="284"/>
      <c r="G1709" s="284"/>
      <c r="H1709" s="284"/>
      <c r="I1709" s="284"/>
      <c r="J1709" s="375"/>
      <c r="K1709" s="375"/>
      <c r="L1709" s="375"/>
      <c r="M1709" s="368"/>
      <c r="N1709" s="368"/>
      <c r="O1709" s="370"/>
      <c r="T1709" s="340"/>
      <c r="V1709" s="378"/>
      <c r="W1709" s="64" ph="1"/>
      <c r="X1709" s="241"/>
      <c r="Y1709" s="284"/>
      <c r="Z1709" s="207"/>
      <c r="AA1709" s="284"/>
      <c r="AB1709" s="284"/>
      <c r="AC1709" s="284"/>
      <c r="AD1709" s="284"/>
      <c r="AE1709" s="284"/>
      <c r="AF1709" s="284"/>
      <c r="AG1709" s="284"/>
      <c r="AI1709" s="131"/>
    </row>
    <row r="1710" spans="1:35" ht="26.4">
      <c r="A1710" s="284"/>
      <c r="B1710" s="284"/>
      <c r="C1710" s="284"/>
      <c r="D1710" s="284"/>
      <c r="E1710" s="284"/>
      <c r="F1710" s="284"/>
      <c r="G1710" s="284"/>
      <c r="H1710" s="284"/>
      <c r="I1710" s="284"/>
      <c r="J1710" s="375"/>
      <c r="K1710" s="375"/>
      <c r="L1710" s="375"/>
      <c r="M1710" s="368"/>
      <c r="N1710" s="368"/>
      <c r="O1710" s="370"/>
      <c r="T1710" s="340"/>
      <c r="V1710" s="378"/>
      <c r="W1710" s="64" ph="1"/>
      <c r="X1710" s="241"/>
      <c r="Y1710" s="284"/>
      <c r="Z1710" s="207"/>
      <c r="AA1710" s="284"/>
      <c r="AB1710" s="284"/>
      <c r="AC1710" s="284"/>
      <c r="AD1710" s="284"/>
      <c r="AE1710" s="284"/>
      <c r="AF1710" s="284"/>
      <c r="AG1710" s="284"/>
      <c r="AI1710" s="131"/>
    </row>
    <row r="1711" spans="1:35" ht="26.4">
      <c r="A1711" s="284"/>
      <c r="B1711" s="284"/>
      <c r="C1711" s="284"/>
      <c r="D1711" s="284"/>
      <c r="E1711" s="284"/>
      <c r="F1711" s="284"/>
      <c r="G1711" s="284"/>
      <c r="H1711" s="284"/>
      <c r="I1711" s="284"/>
      <c r="J1711" s="375"/>
      <c r="K1711" s="375"/>
      <c r="L1711" s="375"/>
      <c r="M1711" s="368"/>
      <c r="N1711" s="368"/>
      <c r="O1711" s="370"/>
      <c r="T1711" s="340"/>
      <c r="V1711" s="378"/>
      <c r="W1711" s="64" ph="1"/>
      <c r="X1711" s="241"/>
      <c r="Y1711" s="284"/>
      <c r="Z1711" s="207"/>
      <c r="AA1711" s="284"/>
      <c r="AB1711" s="284"/>
      <c r="AC1711" s="284"/>
      <c r="AD1711" s="284"/>
      <c r="AE1711" s="284"/>
      <c r="AF1711" s="284"/>
      <c r="AG1711" s="284"/>
      <c r="AI1711" s="131"/>
    </row>
    <row r="1712" spans="1:35" ht="26.4">
      <c r="A1712" s="284"/>
      <c r="B1712" s="284"/>
      <c r="C1712" s="284"/>
      <c r="D1712" s="284"/>
      <c r="E1712" s="284"/>
      <c r="F1712" s="284"/>
      <c r="G1712" s="284"/>
      <c r="H1712" s="284"/>
      <c r="I1712" s="284"/>
      <c r="J1712" s="375"/>
      <c r="K1712" s="375"/>
      <c r="L1712" s="375"/>
      <c r="M1712" s="368"/>
      <c r="N1712" s="368"/>
      <c r="O1712" s="370"/>
      <c r="T1712" s="340"/>
      <c r="V1712" s="378"/>
      <c r="W1712" s="64" ph="1"/>
      <c r="X1712" s="241"/>
      <c r="Y1712" s="284"/>
      <c r="Z1712" s="207"/>
      <c r="AA1712" s="284"/>
      <c r="AB1712" s="284"/>
      <c r="AC1712" s="284"/>
      <c r="AD1712" s="284"/>
      <c r="AE1712" s="284"/>
      <c r="AF1712" s="284"/>
      <c r="AG1712" s="284"/>
      <c r="AI1712" s="131"/>
    </row>
    <row r="1713" spans="1:35" ht="26.4">
      <c r="A1713" s="284"/>
      <c r="B1713" s="284"/>
      <c r="C1713" s="284"/>
      <c r="D1713" s="284"/>
      <c r="E1713" s="284"/>
      <c r="F1713" s="284"/>
      <c r="G1713" s="284"/>
      <c r="H1713" s="284"/>
      <c r="I1713" s="284"/>
      <c r="J1713" s="375"/>
      <c r="K1713" s="375"/>
      <c r="L1713" s="375"/>
      <c r="M1713" s="368"/>
      <c r="N1713" s="368"/>
      <c r="O1713" s="370"/>
      <c r="T1713" s="340"/>
      <c r="V1713" s="378"/>
      <c r="W1713" s="64" ph="1"/>
      <c r="X1713" s="241"/>
      <c r="Y1713" s="284"/>
      <c r="Z1713" s="207"/>
      <c r="AA1713" s="284"/>
      <c r="AB1713" s="284"/>
      <c r="AC1713" s="284"/>
      <c r="AD1713" s="284"/>
      <c r="AE1713" s="284"/>
      <c r="AF1713" s="284"/>
      <c r="AG1713" s="284"/>
      <c r="AI1713" s="131"/>
    </row>
    <row r="1714" spans="1:35" ht="26.4">
      <c r="A1714" s="284"/>
      <c r="B1714" s="284"/>
      <c r="C1714" s="284"/>
      <c r="D1714" s="284"/>
      <c r="E1714" s="284"/>
      <c r="F1714" s="284"/>
      <c r="G1714" s="284"/>
      <c r="H1714" s="284"/>
      <c r="I1714" s="284"/>
      <c r="J1714" s="375"/>
      <c r="K1714" s="375"/>
      <c r="L1714" s="375"/>
      <c r="M1714" s="368"/>
      <c r="N1714" s="368"/>
      <c r="O1714" s="370"/>
      <c r="T1714" s="340"/>
      <c r="V1714" s="378"/>
      <c r="W1714" s="64" ph="1"/>
      <c r="X1714" s="241"/>
      <c r="Y1714" s="284"/>
      <c r="Z1714" s="207"/>
      <c r="AA1714" s="284"/>
      <c r="AB1714" s="284"/>
      <c r="AC1714" s="284"/>
      <c r="AD1714" s="284"/>
      <c r="AE1714" s="284"/>
      <c r="AF1714" s="284"/>
      <c r="AG1714" s="284"/>
      <c r="AI1714" s="131"/>
    </row>
    <row r="1715" spans="1:35" ht="26.4">
      <c r="A1715" s="284"/>
      <c r="B1715" s="284"/>
      <c r="C1715" s="284"/>
      <c r="D1715" s="284"/>
      <c r="E1715" s="284"/>
      <c r="F1715" s="284"/>
      <c r="G1715" s="284"/>
      <c r="H1715" s="284"/>
      <c r="I1715" s="284"/>
      <c r="J1715" s="375"/>
      <c r="K1715" s="375"/>
      <c r="L1715" s="375"/>
      <c r="M1715" s="368"/>
      <c r="N1715" s="368"/>
      <c r="O1715" s="370"/>
      <c r="T1715" s="340"/>
      <c r="V1715" s="378"/>
      <c r="W1715" s="64" ph="1"/>
      <c r="X1715" s="241"/>
      <c r="Y1715" s="284"/>
      <c r="Z1715" s="207"/>
      <c r="AA1715" s="284"/>
      <c r="AB1715" s="284"/>
      <c r="AC1715" s="284"/>
      <c r="AD1715" s="284"/>
      <c r="AE1715" s="284"/>
      <c r="AF1715" s="284"/>
      <c r="AG1715" s="284"/>
      <c r="AI1715" s="131"/>
    </row>
    <row r="1716" spans="1:35" ht="26.4">
      <c r="A1716" s="284"/>
      <c r="B1716" s="284"/>
      <c r="C1716" s="284"/>
      <c r="D1716" s="284"/>
      <c r="E1716" s="284"/>
      <c r="F1716" s="284"/>
      <c r="G1716" s="284"/>
      <c r="H1716" s="284"/>
      <c r="I1716" s="284"/>
      <c r="J1716" s="375"/>
      <c r="K1716" s="375"/>
      <c r="L1716" s="375"/>
      <c r="M1716" s="368"/>
      <c r="N1716" s="368"/>
      <c r="O1716" s="370"/>
      <c r="T1716" s="340"/>
      <c r="V1716" s="378"/>
      <c r="W1716" s="64" ph="1"/>
      <c r="X1716" s="241"/>
      <c r="Y1716" s="284"/>
      <c r="Z1716" s="207"/>
      <c r="AA1716" s="284"/>
      <c r="AB1716" s="284"/>
      <c r="AC1716" s="284"/>
      <c r="AD1716" s="284"/>
      <c r="AE1716" s="284"/>
      <c r="AF1716" s="284"/>
      <c r="AG1716" s="284"/>
      <c r="AI1716" s="131"/>
    </row>
    <row r="1717" spans="1:35" ht="26.4">
      <c r="A1717" s="284"/>
      <c r="B1717" s="284"/>
      <c r="C1717" s="284"/>
      <c r="D1717" s="284"/>
      <c r="E1717" s="284"/>
      <c r="F1717" s="284"/>
      <c r="G1717" s="284"/>
      <c r="H1717" s="284"/>
      <c r="I1717" s="284"/>
      <c r="J1717" s="375"/>
      <c r="K1717" s="375"/>
      <c r="L1717" s="375"/>
      <c r="M1717" s="368"/>
      <c r="N1717" s="368"/>
      <c r="O1717" s="370"/>
      <c r="T1717" s="340"/>
      <c r="V1717" s="378"/>
      <c r="W1717" s="64" ph="1"/>
      <c r="X1717" s="241"/>
      <c r="Y1717" s="284"/>
      <c r="Z1717" s="207"/>
      <c r="AA1717" s="284"/>
      <c r="AB1717" s="284"/>
      <c r="AC1717" s="284"/>
      <c r="AD1717" s="284"/>
      <c r="AE1717" s="284"/>
      <c r="AF1717" s="284"/>
      <c r="AG1717" s="284"/>
      <c r="AI1717" s="284"/>
    </row>
    <row r="1718" spans="1:35" ht="26.4">
      <c r="A1718" s="284"/>
      <c r="B1718" s="284"/>
      <c r="C1718" s="284"/>
      <c r="D1718" s="284"/>
      <c r="E1718" s="284"/>
      <c r="F1718" s="284"/>
      <c r="G1718" s="284"/>
      <c r="H1718" s="284"/>
      <c r="I1718" s="284"/>
      <c r="J1718" s="375"/>
      <c r="K1718" s="375"/>
      <c r="L1718" s="375"/>
      <c r="M1718" s="368"/>
      <c r="N1718" s="368"/>
      <c r="O1718" s="370"/>
      <c r="T1718" s="340"/>
      <c r="V1718" s="378"/>
      <c r="W1718" s="64" ph="1"/>
      <c r="X1718" s="241"/>
      <c r="Y1718" s="284"/>
      <c r="Z1718" s="207"/>
      <c r="AA1718" s="284"/>
      <c r="AB1718" s="284"/>
      <c r="AC1718" s="284"/>
      <c r="AD1718" s="284"/>
      <c r="AE1718" s="284"/>
      <c r="AF1718" s="284"/>
      <c r="AG1718" s="284"/>
      <c r="AI1718" s="131"/>
    </row>
    <row r="1719" spans="1:35" ht="26.4">
      <c r="A1719" s="284"/>
      <c r="B1719" s="284"/>
      <c r="C1719" s="284"/>
      <c r="D1719" s="284"/>
      <c r="E1719" s="284"/>
      <c r="F1719" s="284"/>
      <c r="G1719" s="284"/>
      <c r="H1719" s="284"/>
      <c r="I1719" s="284"/>
      <c r="J1719" s="375"/>
      <c r="K1719" s="375"/>
      <c r="L1719" s="375"/>
      <c r="M1719" s="368"/>
      <c r="N1719" s="368"/>
      <c r="O1719" s="370"/>
      <c r="T1719" s="340"/>
      <c r="V1719" s="378"/>
      <c r="W1719" s="64" ph="1"/>
      <c r="X1719" s="241"/>
      <c r="Y1719" s="284"/>
      <c r="Z1719" s="207"/>
      <c r="AA1719" s="284"/>
      <c r="AB1719" s="284"/>
      <c r="AC1719" s="284"/>
      <c r="AD1719" s="284"/>
      <c r="AE1719" s="284"/>
      <c r="AF1719" s="284"/>
      <c r="AG1719" s="284"/>
      <c r="AI1719" s="131"/>
    </row>
    <row r="1720" spans="1:35" ht="26.4">
      <c r="A1720" s="284"/>
      <c r="B1720" s="284"/>
      <c r="C1720" s="284"/>
      <c r="D1720" s="284"/>
      <c r="E1720" s="284"/>
      <c r="F1720" s="284"/>
      <c r="G1720" s="284"/>
      <c r="H1720" s="284"/>
      <c r="I1720" s="284"/>
      <c r="J1720" s="375"/>
      <c r="K1720" s="375"/>
      <c r="L1720" s="375"/>
      <c r="M1720" s="368"/>
      <c r="N1720" s="368"/>
      <c r="O1720" s="370"/>
      <c r="T1720" s="340"/>
      <c r="V1720" s="378"/>
      <c r="W1720" s="64" ph="1"/>
      <c r="X1720" s="241"/>
      <c r="Y1720" s="284"/>
      <c r="Z1720" s="207"/>
      <c r="AA1720" s="284"/>
      <c r="AB1720" s="284"/>
      <c r="AC1720" s="284"/>
      <c r="AD1720" s="284"/>
      <c r="AE1720" s="284"/>
      <c r="AF1720" s="284"/>
      <c r="AG1720" s="284"/>
      <c r="AI1720" s="131"/>
    </row>
    <row r="1721" spans="1:35" ht="26.4">
      <c r="A1721" s="284"/>
      <c r="B1721" s="284"/>
      <c r="C1721" s="284"/>
      <c r="D1721" s="284"/>
      <c r="E1721" s="284"/>
      <c r="F1721" s="284"/>
      <c r="G1721" s="284"/>
      <c r="H1721" s="284"/>
      <c r="I1721" s="284"/>
      <c r="J1721" s="375"/>
      <c r="K1721" s="375"/>
      <c r="L1721" s="375"/>
      <c r="M1721" s="368"/>
      <c r="N1721" s="368"/>
      <c r="O1721" s="370"/>
      <c r="T1721" s="340"/>
      <c r="V1721" s="378"/>
      <c r="W1721" s="64" ph="1"/>
      <c r="X1721" s="241"/>
      <c r="Y1721" s="284"/>
      <c r="Z1721" s="207"/>
      <c r="AA1721" s="284"/>
      <c r="AB1721" s="284"/>
      <c r="AC1721" s="284"/>
      <c r="AD1721" s="284"/>
      <c r="AE1721" s="284"/>
      <c r="AF1721" s="284"/>
      <c r="AG1721" s="284"/>
      <c r="AI1721" s="131"/>
    </row>
    <row r="1722" spans="1:35" ht="26.4">
      <c r="A1722" s="284"/>
      <c r="B1722" s="284"/>
      <c r="C1722" s="284"/>
      <c r="D1722" s="284"/>
      <c r="E1722" s="284"/>
      <c r="F1722" s="284"/>
      <c r="G1722" s="284"/>
      <c r="H1722" s="284"/>
      <c r="I1722" s="284"/>
      <c r="J1722" s="375"/>
      <c r="K1722" s="375"/>
      <c r="L1722" s="375"/>
      <c r="M1722" s="368"/>
      <c r="N1722" s="368"/>
      <c r="O1722" s="370"/>
      <c r="T1722" s="340"/>
      <c r="V1722" s="378"/>
      <c r="W1722" s="64" ph="1"/>
      <c r="X1722" s="241"/>
      <c r="Y1722" s="284"/>
      <c r="Z1722" s="207"/>
      <c r="AA1722" s="284"/>
      <c r="AB1722" s="284"/>
      <c r="AC1722" s="284"/>
      <c r="AD1722" s="284"/>
      <c r="AE1722" s="284"/>
      <c r="AF1722" s="284"/>
      <c r="AG1722" s="284"/>
      <c r="AI1722" s="131"/>
    </row>
    <row r="1723" spans="1:35" ht="26.4">
      <c r="A1723" s="284"/>
      <c r="B1723" s="284"/>
      <c r="C1723" s="284"/>
      <c r="D1723" s="284"/>
      <c r="E1723" s="284"/>
      <c r="F1723" s="284"/>
      <c r="G1723" s="284"/>
      <c r="H1723" s="284"/>
      <c r="I1723" s="284"/>
      <c r="J1723" s="375"/>
      <c r="K1723" s="375"/>
      <c r="L1723" s="375"/>
      <c r="M1723" s="368"/>
      <c r="N1723" s="368"/>
      <c r="O1723" s="370"/>
      <c r="T1723" s="340"/>
      <c r="V1723" s="378"/>
      <c r="W1723" s="64" ph="1"/>
      <c r="X1723" s="241"/>
      <c r="Y1723" s="284"/>
      <c r="Z1723" s="207"/>
      <c r="AA1723" s="284"/>
      <c r="AB1723" s="284"/>
      <c r="AC1723" s="284"/>
      <c r="AD1723" s="284"/>
      <c r="AE1723" s="284"/>
      <c r="AF1723" s="284"/>
      <c r="AG1723" s="284"/>
      <c r="AI1723" s="131"/>
    </row>
    <row r="1724" spans="1:35" ht="26.4">
      <c r="A1724" s="284"/>
      <c r="B1724" s="284"/>
      <c r="C1724" s="284"/>
      <c r="D1724" s="284"/>
      <c r="E1724" s="284"/>
      <c r="F1724" s="284"/>
      <c r="G1724" s="284"/>
      <c r="H1724" s="284"/>
      <c r="I1724" s="284"/>
      <c r="J1724" s="375"/>
      <c r="K1724" s="375"/>
      <c r="L1724" s="375"/>
      <c r="M1724" s="368"/>
      <c r="N1724" s="368"/>
      <c r="O1724" s="370"/>
      <c r="T1724" s="340"/>
      <c r="V1724" s="378"/>
      <c r="W1724" s="64" ph="1"/>
      <c r="X1724" s="241"/>
      <c r="Y1724" s="284"/>
      <c r="Z1724" s="207"/>
      <c r="AA1724" s="284"/>
      <c r="AB1724" s="284"/>
      <c r="AC1724" s="284"/>
      <c r="AD1724" s="284"/>
      <c r="AE1724" s="284"/>
      <c r="AF1724" s="284"/>
      <c r="AG1724" s="284"/>
      <c r="AI1724" s="131"/>
    </row>
    <row r="1725" spans="1:35" ht="26.4">
      <c r="A1725" s="284"/>
      <c r="B1725" s="284"/>
      <c r="C1725" s="284"/>
      <c r="D1725" s="284"/>
      <c r="E1725" s="284"/>
      <c r="F1725" s="284"/>
      <c r="G1725" s="284"/>
      <c r="H1725" s="284"/>
      <c r="I1725" s="284"/>
      <c r="J1725" s="375"/>
      <c r="K1725" s="375"/>
      <c r="L1725" s="375"/>
      <c r="M1725" s="368"/>
      <c r="N1725" s="368"/>
      <c r="O1725" s="370"/>
      <c r="T1725" s="340"/>
      <c r="V1725" s="378"/>
      <c r="W1725" s="64" ph="1"/>
      <c r="X1725" s="241"/>
      <c r="Y1725" s="284"/>
      <c r="Z1725" s="207"/>
      <c r="AA1725" s="284"/>
      <c r="AB1725" s="284"/>
      <c r="AC1725" s="284"/>
      <c r="AD1725" s="284"/>
      <c r="AE1725" s="284"/>
      <c r="AF1725" s="284"/>
      <c r="AG1725" s="284"/>
      <c r="AI1725" s="131"/>
    </row>
    <row r="1726" spans="1:35" ht="26.4">
      <c r="A1726" s="284"/>
      <c r="B1726" s="284"/>
      <c r="C1726" s="284"/>
      <c r="D1726" s="284"/>
      <c r="E1726" s="284"/>
      <c r="F1726" s="284"/>
      <c r="G1726" s="284"/>
      <c r="H1726" s="284"/>
      <c r="I1726" s="284"/>
      <c r="J1726" s="375"/>
      <c r="K1726" s="375"/>
      <c r="L1726" s="375"/>
      <c r="M1726" s="368"/>
      <c r="N1726" s="368"/>
      <c r="O1726" s="370"/>
      <c r="T1726" s="340"/>
      <c r="V1726" s="378"/>
      <c r="W1726" s="64" ph="1"/>
      <c r="X1726" s="241"/>
      <c r="Y1726" s="284"/>
      <c r="Z1726" s="207"/>
      <c r="AA1726" s="284"/>
      <c r="AB1726" s="284"/>
      <c r="AC1726" s="284"/>
      <c r="AD1726" s="284"/>
      <c r="AE1726" s="284"/>
      <c r="AF1726" s="284"/>
      <c r="AG1726" s="284"/>
      <c r="AI1726" s="131"/>
    </row>
    <row r="1727" spans="1:35" ht="26.4">
      <c r="A1727" s="284"/>
      <c r="B1727" s="284"/>
      <c r="C1727" s="284"/>
      <c r="D1727" s="284"/>
      <c r="E1727" s="284"/>
      <c r="F1727" s="284"/>
      <c r="G1727" s="284"/>
      <c r="H1727" s="284"/>
      <c r="I1727" s="284"/>
      <c r="J1727" s="375"/>
      <c r="K1727" s="375"/>
      <c r="L1727" s="375"/>
      <c r="M1727" s="368"/>
      <c r="N1727" s="368"/>
      <c r="O1727" s="370"/>
      <c r="T1727" s="340"/>
      <c r="V1727" s="378"/>
      <c r="W1727" s="64" ph="1"/>
      <c r="X1727" s="241"/>
      <c r="Y1727" s="284"/>
      <c r="Z1727" s="207"/>
      <c r="AA1727" s="284"/>
      <c r="AB1727" s="284"/>
      <c r="AC1727" s="284"/>
      <c r="AD1727" s="284"/>
      <c r="AE1727" s="284"/>
      <c r="AF1727" s="284"/>
      <c r="AG1727" s="284"/>
      <c r="AI1727" s="131"/>
    </row>
    <row r="1728" spans="1:35" ht="26.4">
      <c r="A1728" s="284"/>
      <c r="B1728" s="284"/>
      <c r="C1728" s="284"/>
      <c r="D1728" s="284"/>
      <c r="E1728" s="284"/>
      <c r="F1728" s="284"/>
      <c r="G1728" s="284"/>
      <c r="H1728" s="284"/>
      <c r="I1728" s="284"/>
      <c r="J1728" s="375"/>
      <c r="K1728" s="375"/>
      <c r="L1728" s="375"/>
      <c r="M1728" s="368"/>
      <c r="N1728" s="368"/>
      <c r="O1728" s="370"/>
      <c r="T1728" s="340"/>
      <c r="V1728" s="378"/>
      <c r="W1728" s="64" ph="1"/>
      <c r="X1728" s="241"/>
      <c r="Y1728" s="284"/>
      <c r="Z1728" s="207"/>
      <c r="AA1728" s="284"/>
      <c r="AB1728" s="284"/>
      <c r="AC1728" s="284"/>
      <c r="AD1728" s="284"/>
      <c r="AE1728" s="284"/>
      <c r="AF1728" s="284"/>
      <c r="AG1728" s="284"/>
      <c r="AI1728" s="131"/>
    </row>
    <row r="1729" spans="1:35" ht="26.4">
      <c r="A1729" s="284"/>
      <c r="B1729" s="284"/>
      <c r="C1729" s="284"/>
      <c r="D1729" s="284"/>
      <c r="E1729" s="284"/>
      <c r="F1729" s="284"/>
      <c r="G1729" s="284"/>
      <c r="H1729" s="284"/>
      <c r="I1729" s="284"/>
      <c r="J1729" s="375"/>
      <c r="K1729" s="375"/>
      <c r="L1729" s="375"/>
      <c r="M1729" s="368"/>
      <c r="N1729" s="368"/>
      <c r="O1729" s="370"/>
      <c r="T1729" s="340"/>
      <c r="V1729" s="378"/>
      <c r="W1729" s="64" ph="1"/>
      <c r="X1729" s="241"/>
      <c r="Y1729" s="284"/>
      <c r="Z1729" s="207"/>
      <c r="AA1729" s="284"/>
      <c r="AB1729" s="284"/>
      <c r="AC1729" s="284"/>
      <c r="AD1729" s="284"/>
      <c r="AE1729" s="284"/>
      <c r="AF1729" s="284"/>
      <c r="AG1729" s="284"/>
      <c r="AI1729" s="131"/>
    </row>
    <row r="1730" spans="1:35" ht="26.4">
      <c r="A1730" s="284"/>
      <c r="B1730" s="284"/>
      <c r="C1730" s="284"/>
      <c r="D1730" s="284"/>
      <c r="E1730" s="284"/>
      <c r="F1730" s="284"/>
      <c r="G1730" s="284"/>
      <c r="H1730" s="284"/>
      <c r="I1730" s="284"/>
      <c r="J1730" s="375"/>
      <c r="K1730" s="375"/>
      <c r="L1730" s="375"/>
      <c r="M1730" s="368"/>
      <c r="N1730" s="368"/>
      <c r="O1730" s="370"/>
      <c r="T1730" s="340"/>
      <c r="V1730" s="378"/>
      <c r="W1730" s="64" ph="1"/>
      <c r="X1730" s="241"/>
      <c r="Y1730" s="284"/>
      <c r="Z1730" s="207"/>
      <c r="AA1730" s="284"/>
      <c r="AB1730" s="284"/>
      <c r="AC1730" s="284"/>
      <c r="AD1730" s="284"/>
      <c r="AE1730" s="284"/>
      <c r="AF1730" s="284"/>
      <c r="AG1730" s="284"/>
      <c r="AI1730" s="131"/>
    </row>
    <row r="1731" spans="1:35" ht="26.4">
      <c r="A1731" s="284"/>
      <c r="B1731" s="284"/>
      <c r="C1731" s="284"/>
      <c r="D1731" s="284"/>
      <c r="E1731" s="284"/>
      <c r="F1731" s="284"/>
      <c r="G1731" s="284"/>
      <c r="H1731" s="284"/>
      <c r="I1731" s="284"/>
      <c r="J1731" s="375"/>
      <c r="K1731" s="375"/>
      <c r="L1731" s="375"/>
      <c r="M1731" s="368"/>
      <c r="N1731" s="368"/>
      <c r="O1731" s="370"/>
      <c r="T1731" s="340"/>
      <c r="V1731" s="378"/>
      <c r="W1731" s="64" ph="1"/>
      <c r="X1731" s="241"/>
      <c r="Y1731" s="284"/>
      <c r="Z1731" s="207"/>
      <c r="AA1731" s="284"/>
      <c r="AB1731" s="284"/>
      <c r="AC1731" s="284"/>
      <c r="AD1731" s="284"/>
      <c r="AE1731" s="284"/>
      <c r="AF1731" s="284"/>
      <c r="AG1731" s="284"/>
      <c r="AI1731" s="131"/>
    </row>
    <row r="1732" spans="1:35" ht="26.4">
      <c r="A1732" s="284"/>
      <c r="B1732" s="284"/>
      <c r="C1732" s="284"/>
      <c r="D1732" s="284"/>
      <c r="E1732" s="284"/>
      <c r="F1732" s="284"/>
      <c r="G1732" s="284"/>
      <c r="H1732" s="284"/>
      <c r="I1732" s="284"/>
      <c r="J1732" s="375"/>
      <c r="K1732" s="375"/>
      <c r="L1732" s="375"/>
      <c r="M1732" s="368"/>
      <c r="N1732" s="368"/>
      <c r="O1732" s="370"/>
      <c r="T1732" s="340"/>
      <c r="V1732" s="378"/>
      <c r="W1732" s="64" ph="1"/>
      <c r="X1732" s="241"/>
      <c r="Y1732" s="284"/>
      <c r="Z1732" s="207"/>
      <c r="AA1732" s="284"/>
      <c r="AB1732" s="284"/>
      <c r="AC1732" s="284"/>
      <c r="AD1732" s="284"/>
      <c r="AE1732" s="284"/>
      <c r="AF1732" s="284"/>
      <c r="AG1732" s="284"/>
      <c r="AI1732" s="131"/>
    </row>
    <row r="1733" spans="1:35" ht="26.4">
      <c r="A1733" s="284"/>
      <c r="B1733" s="284"/>
      <c r="C1733" s="284"/>
      <c r="D1733" s="284"/>
      <c r="E1733" s="284"/>
      <c r="F1733" s="284"/>
      <c r="G1733" s="284"/>
      <c r="H1733" s="284"/>
      <c r="I1733" s="284"/>
      <c r="J1733" s="375"/>
      <c r="K1733" s="375"/>
      <c r="L1733" s="375"/>
      <c r="M1733" s="368"/>
      <c r="N1733" s="368"/>
      <c r="O1733" s="370"/>
      <c r="T1733" s="340"/>
      <c r="V1733" s="378"/>
      <c r="W1733" s="64" ph="1"/>
      <c r="X1733" s="241"/>
      <c r="Y1733" s="284"/>
      <c r="Z1733" s="207"/>
      <c r="AA1733" s="284"/>
      <c r="AB1733" s="284"/>
      <c r="AC1733" s="284"/>
      <c r="AD1733" s="284"/>
      <c r="AE1733" s="284"/>
      <c r="AF1733" s="284"/>
      <c r="AG1733" s="284"/>
      <c r="AI1733" s="131"/>
    </row>
    <row r="1734" spans="1:35" ht="26.4">
      <c r="A1734" s="284"/>
      <c r="B1734" s="284"/>
      <c r="C1734" s="284"/>
      <c r="D1734" s="284"/>
      <c r="E1734" s="284"/>
      <c r="F1734" s="284"/>
      <c r="G1734" s="284"/>
      <c r="H1734" s="284"/>
      <c r="I1734" s="284"/>
      <c r="J1734" s="375"/>
      <c r="K1734" s="375"/>
      <c r="L1734" s="375"/>
      <c r="M1734" s="368"/>
      <c r="N1734" s="368"/>
      <c r="O1734" s="370"/>
      <c r="T1734" s="340"/>
      <c r="V1734" s="378"/>
      <c r="W1734" s="64" ph="1"/>
      <c r="X1734" s="241"/>
      <c r="Y1734" s="284"/>
      <c r="Z1734" s="207"/>
      <c r="AA1734" s="284"/>
      <c r="AB1734" s="284"/>
      <c r="AC1734" s="284"/>
      <c r="AD1734" s="284"/>
      <c r="AE1734" s="284"/>
      <c r="AF1734" s="284"/>
      <c r="AG1734" s="284"/>
      <c r="AI1734" s="131"/>
    </row>
    <row r="1735" spans="1:35" ht="26.4">
      <c r="A1735" s="284"/>
      <c r="B1735" s="284"/>
      <c r="C1735" s="284"/>
      <c r="D1735" s="284"/>
      <c r="E1735" s="284"/>
      <c r="F1735" s="284"/>
      <c r="G1735" s="284"/>
      <c r="H1735" s="284"/>
      <c r="I1735" s="284"/>
      <c r="J1735" s="375"/>
      <c r="K1735" s="375"/>
      <c r="L1735" s="375"/>
      <c r="M1735" s="368"/>
      <c r="N1735" s="368"/>
      <c r="O1735" s="370"/>
      <c r="T1735" s="340"/>
      <c r="V1735" s="378"/>
      <c r="W1735" s="64" ph="1"/>
      <c r="X1735" s="241"/>
      <c r="Y1735" s="284"/>
      <c r="Z1735" s="207"/>
      <c r="AA1735" s="284"/>
      <c r="AB1735" s="284"/>
      <c r="AC1735" s="284"/>
      <c r="AD1735" s="284"/>
      <c r="AE1735" s="284"/>
      <c r="AF1735" s="284"/>
      <c r="AG1735" s="284"/>
      <c r="AI1735" s="131"/>
    </row>
    <row r="1736" spans="1:35" ht="26.4">
      <c r="A1736" s="284"/>
      <c r="B1736" s="284"/>
      <c r="C1736" s="284"/>
      <c r="D1736" s="284"/>
      <c r="E1736" s="284"/>
      <c r="F1736" s="284"/>
      <c r="G1736" s="284"/>
      <c r="H1736" s="284"/>
      <c r="I1736" s="284"/>
      <c r="J1736" s="375"/>
      <c r="K1736" s="375"/>
      <c r="L1736" s="375"/>
      <c r="M1736" s="368"/>
      <c r="N1736" s="368"/>
      <c r="O1736" s="370"/>
      <c r="T1736" s="340"/>
      <c r="V1736" s="378"/>
      <c r="W1736" s="64" ph="1"/>
      <c r="X1736" s="241"/>
      <c r="Y1736" s="284"/>
      <c r="Z1736" s="207"/>
      <c r="AA1736" s="284"/>
      <c r="AB1736" s="284"/>
      <c r="AC1736" s="284"/>
      <c r="AD1736" s="284"/>
      <c r="AE1736" s="284"/>
      <c r="AF1736" s="284"/>
      <c r="AG1736" s="284"/>
      <c r="AI1736" s="131"/>
    </row>
    <row r="1737" spans="1:35" ht="26.4">
      <c r="A1737" s="284"/>
      <c r="B1737" s="284"/>
      <c r="C1737" s="284"/>
      <c r="D1737" s="284"/>
      <c r="E1737" s="284"/>
      <c r="F1737" s="284"/>
      <c r="G1737" s="284"/>
      <c r="H1737" s="284"/>
      <c r="I1737" s="284"/>
      <c r="J1737" s="375"/>
      <c r="K1737" s="375"/>
      <c r="L1737" s="375"/>
      <c r="M1737" s="368"/>
      <c r="N1737" s="368"/>
      <c r="O1737" s="370"/>
      <c r="T1737" s="340"/>
      <c r="V1737" s="378"/>
      <c r="W1737" s="64" ph="1"/>
      <c r="X1737" s="241"/>
      <c r="Y1737" s="284"/>
      <c r="Z1737" s="207"/>
      <c r="AA1737" s="284"/>
      <c r="AB1737" s="284"/>
      <c r="AC1737" s="284"/>
      <c r="AD1737" s="284"/>
      <c r="AE1737" s="284"/>
      <c r="AF1737" s="284"/>
      <c r="AG1737" s="284"/>
      <c r="AI1737" s="131"/>
    </row>
    <row r="1738" spans="1:35" ht="26.4">
      <c r="A1738" s="284"/>
      <c r="B1738" s="284"/>
      <c r="C1738" s="284"/>
      <c r="D1738" s="284"/>
      <c r="E1738" s="284"/>
      <c r="F1738" s="284"/>
      <c r="G1738" s="284"/>
      <c r="H1738" s="284"/>
      <c r="I1738" s="284"/>
      <c r="J1738" s="375"/>
      <c r="K1738" s="375"/>
      <c r="L1738" s="375"/>
      <c r="M1738" s="368"/>
      <c r="N1738" s="368"/>
      <c r="O1738" s="370"/>
      <c r="T1738" s="340"/>
      <c r="V1738" s="378"/>
      <c r="W1738" s="64" ph="1"/>
      <c r="X1738" s="241"/>
      <c r="Y1738" s="284"/>
      <c r="Z1738" s="207"/>
      <c r="AA1738" s="284"/>
      <c r="AB1738" s="284"/>
      <c r="AC1738" s="284"/>
      <c r="AD1738" s="284"/>
      <c r="AE1738" s="284"/>
      <c r="AF1738" s="284"/>
      <c r="AG1738" s="284"/>
      <c r="AI1738" s="131"/>
    </row>
    <row r="1739" spans="1:35" ht="26.4">
      <c r="A1739" s="284"/>
      <c r="B1739" s="284"/>
      <c r="C1739" s="284"/>
      <c r="D1739" s="284"/>
      <c r="E1739" s="284"/>
      <c r="F1739" s="284"/>
      <c r="G1739" s="284"/>
      <c r="H1739" s="284"/>
      <c r="I1739" s="284"/>
      <c r="J1739" s="375"/>
      <c r="K1739" s="375"/>
      <c r="L1739" s="375"/>
      <c r="M1739" s="368"/>
      <c r="N1739" s="368"/>
      <c r="O1739" s="370"/>
      <c r="T1739" s="340"/>
      <c r="V1739" s="378"/>
      <c r="W1739" s="64" ph="1"/>
      <c r="X1739" s="241"/>
      <c r="Y1739" s="284"/>
      <c r="Z1739" s="207"/>
      <c r="AA1739" s="284"/>
      <c r="AB1739" s="284"/>
      <c r="AC1739" s="284"/>
      <c r="AD1739" s="284"/>
      <c r="AE1739" s="284"/>
      <c r="AF1739" s="284"/>
      <c r="AG1739" s="284"/>
      <c r="AI1739" s="131"/>
    </row>
    <row r="1740" spans="1:35" ht="26.4">
      <c r="A1740" s="284"/>
      <c r="B1740" s="284"/>
      <c r="C1740" s="284"/>
      <c r="D1740" s="284"/>
      <c r="E1740" s="284"/>
      <c r="F1740" s="284"/>
      <c r="G1740" s="284"/>
      <c r="H1740" s="284"/>
      <c r="I1740" s="284"/>
      <c r="J1740" s="375"/>
      <c r="K1740" s="375"/>
      <c r="L1740" s="375"/>
      <c r="M1740" s="368"/>
      <c r="N1740" s="368"/>
      <c r="O1740" s="370"/>
      <c r="T1740" s="340"/>
      <c r="V1740" s="378"/>
      <c r="W1740" s="64" ph="1"/>
      <c r="X1740" s="241"/>
      <c r="Y1740" s="284"/>
      <c r="Z1740" s="207"/>
      <c r="AA1740" s="284"/>
      <c r="AB1740" s="284"/>
      <c r="AC1740" s="284"/>
      <c r="AD1740" s="284"/>
      <c r="AE1740" s="284"/>
      <c r="AF1740" s="284"/>
      <c r="AG1740" s="284"/>
      <c r="AI1740" s="131"/>
    </row>
    <row r="1741" spans="1:35" ht="26.4">
      <c r="A1741" s="284"/>
      <c r="B1741" s="284"/>
      <c r="C1741" s="284"/>
      <c r="D1741" s="284"/>
      <c r="E1741" s="284"/>
      <c r="F1741" s="284"/>
      <c r="G1741" s="284"/>
      <c r="H1741" s="284"/>
      <c r="I1741" s="284"/>
      <c r="J1741" s="375"/>
      <c r="K1741" s="375"/>
      <c r="L1741" s="375"/>
      <c r="M1741" s="368"/>
      <c r="N1741" s="368"/>
      <c r="O1741" s="370"/>
      <c r="T1741" s="340"/>
      <c r="V1741" s="378"/>
      <c r="W1741" s="64" ph="1"/>
      <c r="X1741" s="241"/>
      <c r="Y1741" s="284"/>
      <c r="Z1741" s="207"/>
      <c r="AA1741" s="284"/>
      <c r="AB1741" s="284"/>
      <c r="AC1741" s="284"/>
      <c r="AD1741" s="284"/>
      <c r="AE1741" s="284"/>
      <c r="AF1741" s="284"/>
      <c r="AG1741" s="284"/>
      <c r="AI1741" s="131"/>
    </row>
    <row r="1742" spans="1:35" ht="26.4">
      <c r="A1742" s="284"/>
      <c r="B1742" s="284"/>
      <c r="C1742" s="284"/>
      <c r="D1742" s="284"/>
      <c r="E1742" s="284"/>
      <c r="F1742" s="284"/>
      <c r="G1742" s="284"/>
      <c r="H1742" s="284"/>
      <c r="I1742" s="284"/>
      <c r="J1742" s="375"/>
      <c r="K1742" s="375"/>
      <c r="L1742" s="375"/>
      <c r="M1742" s="368"/>
      <c r="N1742" s="368"/>
      <c r="O1742" s="370"/>
      <c r="T1742" s="340"/>
      <c r="V1742" s="378"/>
      <c r="W1742" s="64" ph="1"/>
      <c r="X1742" s="241"/>
      <c r="Y1742" s="284"/>
      <c r="Z1742" s="207"/>
      <c r="AA1742" s="284"/>
      <c r="AB1742" s="284"/>
      <c r="AC1742" s="284"/>
      <c r="AD1742" s="284"/>
      <c r="AE1742" s="284"/>
      <c r="AF1742" s="284"/>
      <c r="AG1742" s="284"/>
      <c r="AI1742" s="131"/>
    </row>
    <row r="1743" spans="1:35" ht="26.4">
      <c r="A1743" s="284"/>
      <c r="B1743" s="284"/>
      <c r="C1743" s="284"/>
      <c r="D1743" s="284"/>
      <c r="E1743" s="284"/>
      <c r="F1743" s="284"/>
      <c r="G1743" s="284"/>
      <c r="H1743" s="284"/>
      <c r="I1743" s="284"/>
      <c r="J1743" s="375"/>
      <c r="K1743" s="375"/>
      <c r="L1743" s="375"/>
      <c r="M1743" s="368"/>
      <c r="N1743" s="368"/>
      <c r="O1743" s="370"/>
      <c r="T1743" s="340"/>
      <c r="V1743" s="378"/>
      <c r="W1743" s="64" ph="1"/>
      <c r="X1743" s="241"/>
      <c r="Y1743" s="284"/>
      <c r="Z1743" s="207"/>
      <c r="AA1743" s="284"/>
      <c r="AB1743" s="284"/>
      <c r="AC1743" s="284"/>
      <c r="AD1743" s="284"/>
      <c r="AE1743" s="284"/>
      <c r="AF1743" s="284"/>
      <c r="AG1743" s="284"/>
      <c r="AI1743" s="131"/>
    </row>
    <row r="1744" spans="1:35" ht="26.4">
      <c r="A1744" s="284"/>
      <c r="B1744" s="284"/>
      <c r="C1744" s="284"/>
      <c r="D1744" s="284"/>
      <c r="E1744" s="284"/>
      <c r="F1744" s="284"/>
      <c r="G1744" s="284"/>
      <c r="H1744" s="284"/>
      <c r="I1744" s="284"/>
      <c r="J1744" s="375"/>
      <c r="K1744" s="375"/>
      <c r="L1744" s="375"/>
      <c r="M1744" s="368"/>
      <c r="N1744" s="368"/>
      <c r="O1744" s="370"/>
      <c r="T1744" s="340"/>
      <c r="V1744" s="378"/>
      <c r="W1744" s="64" ph="1"/>
      <c r="X1744" s="241"/>
      <c r="Y1744" s="284"/>
      <c r="Z1744" s="207"/>
      <c r="AA1744" s="284"/>
      <c r="AB1744" s="284"/>
      <c r="AC1744" s="284"/>
      <c r="AD1744" s="284"/>
      <c r="AE1744" s="284"/>
      <c r="AF1744" s="284"/>
      <c r="AG1744" s="284"/>
      <c r="AI1744" s="131"/>
    </row>
    <row r="1745" spans="1:35" ht="26.4">
      <c r="A1745" s="284"/>
      <c r="B1745" s="284"/>
      <c r="C1745" s="284"/>
      <c r="D1745" s="284"/>
      <c r="E1745" s="284"/>
      <c r="F1745" s="284"/>
      <c r="G1745" s="284"/>
      <c r="H1745" s="284"/>
      <c r="I1745" s="284"/>
      <c r="J1745" s="375"/>
      <c r="K1745" s="375"/>
      <c r="L1745" s="375"/>
      <c r="M1745" s="368"/>
      <c r="N1745" s="368"/>
      <c r="O1745" s="370"/>
      <c r="T1745" s="340"/>
      <c r="V1745" s="378"/>
      <c r="W1745" s="64" ph="1"/>
      <c r="X1745" s="241"/>
      <c r="Y1745" s="284"/>
      <c r="Z1745" s="207"/>
      <c r="AA1745" s="284"/>
      <c r="AB1745" s="284"/>
      <c r="AC1745" s="284"/>
      <c r="AD1745" s="284"/>
      <c r="AE1745" s="284"/>
      <c r="AF1745" s="284"/>
      <c r="AG1745" s="284"/>
      <c r="AI1745" s="131"/>
    </row>
    <row r="1746" spans="1:35" ht="26.4">
      <c r="A1746" s="284"/>
      <c r="B1746" s="284"/>
      <c r="C1746" s="284"/>
      <c r="D1746" s="284"/>
      <c r="E1746" s="284"/>
      <c r="F1746" s="284"/>
      <c r="G1746" s="284"/>
      <c r="H1746" s="284"/>
      <c r="I1746" s="284"/>
      <c r="J1746" s="375"/>
      <c r="K1746" s="375"/>
      <c r="L1746" s="375"/>
      <c r="M1746" s="368"/>
      <c r="N1746" s="368"/>
      <c r="O1746" s="370"/>
      <c r="T1746" s="340"/>
      <c r="V1746" s="378"/>
      <c r="W1746" s="64" ph="1"/>
      <c r="X1746" s="241"/>
      <c r="Y1746" s="284"/>
      <c r="Z1746" s="207"/>
      <c r="AA1746" s="284"/>
      <c r="AB1746" s="284"/>
      <c r="AC1746" s="284"/>
      <c r="AD1746" s="284"/>
      <c r="AE1746" s="284"/>
      <c r="AF1746" s="284"/>
      <c r="AG1746" s="284"/>
      <c r="AI1746" s="131"/>
    </row>
    <row r="1747" spans="1:35" ht="26.4">
      <c r="A1747" s="284"/>
      <c r="B1747" s="284"/>
      <c r="C1747" s="284"/>
      <c r="D1747" s="284"/>
      <c r="E1747" s="284"/>
      <c r="F1747" s="284"/>
      <c r="G1747" s="284"/>
      <c r="H1747" s="284"/>
      <c r="I1747" s="284"/>
      <c r="J1747" s="375"/>
      <c r="K1747" s="375"/>
      <c r="L1747" s="375"/>
      <c r="M1747" s="368"/>
      <c r="N1747" s="368"/>
      <c r="O1747" s="370"/>
      <c r="T1747" s="340"/>
      <c r="V1747" s="378"/>
      <c r="W1747" s="64" ph="1"/>
      <c r="X1747" s="241"/>
      <c r="Y1747" s="284"/>
      <c r="Z1747" s="207"/>
      <c r="AA1747" s="284"/>
      <c r="AB1747" s="284"/>
      <c r="AC1747" s="284"/>
      <c r="AD1747" s="284"/>
      <c r="AE1747" s="284"/>
      <c r="AF1747" s="284"/>
      <c r="AG1747" s="284"/>
      <c r="AI1747" s="131"/>
    </row>
    <row r="1748" spans="1:35" ht="26.4">
      <c r="A1748" s="284"/>
      <c r="B1748" s="284"/>
      <c r="C1748" s="284"/>
      <c r="D1748" s="284"/>
      <c r="E1748" s="284"/>
      <c r="F1748" s="284"/>
      <c r="G1748" s="284"/>
      <c r="H1748" s="284"/>
      <c r="I1748" s="284"/>
      <c r="J1748" s="375"/>
      <c r="K1748" s="375"/>
      <c r="L1748" s="375"/>
      <c r="M1748" s="368"/>
      <c r="N1748" s="368"/>
      <c r="O1748" s="370"/>
      <c r="T1748" s="340"/>
      <c r="V1748" s="378"/>
      <c r="W1748" s="64" ph="1"/>
      <c r="X1748" s="241"/>
      <c r="Y1748" s="284"/>
      <c r="Z1748" s="207"/>
      <c r="AA1748" s="284"/>
      <c r="AB1748" s="284"/>
      <c r="AC1748" s="284"/>
      <c r="AD1748" s="284"/>
      <c r="AE1748" s="284"/>
      <c r="AF1748" s="284"/>
      <c r="AG1748" s="284"/>
      <c r="AI1748" s="131"/>
    </row>
    <row r="1749" spans="1:35" ht="26.4">
      <c r="A1749" s="284"/>
      <c r="B1749" s="284"/>
      <c r="C1749" s="284"/>
      <c r="D1749" s="284"/>
      <c r="E1749" s="284"/>
      <c r="F1749" s="284"/>
      <c r="G1749" s="284"/>
      <c r="H1749" s="284"/>
      <c r="I1749" s="284"/>
      <c r="J1749" s="375"/>
      <c r="K1749" s="375"/>
      <c r="L1749" s="375"/>
      <c r="M1749" s="368"/>
      <c r="N1749" s="368"/>
      <c r="O1749" s="370"/>
      <c r="T1749" s="340"/>
      <c r="V1749" s="378"/>
      <c r="W1749" s="64" ph="1"/>
      <c r="X1749" s="241"/>
      <c r="Y1749" s="284"/>
      <c r="Z1749" s="207"/>
      <c r="AA1749" s="284"/>
      <c r="AB1749" s="284"/>
      <c r="AC1749" s="284"/>
      <c r="AD1749" s="284"/>
      <c r="AE1749" s="284"/>
      <c r="AF1749" s="284"/>
      <c r="AG1749" s="284"/>
      <c r="AI1749" s="131"/>
    </row>
    <row r="1750" spans="1:35" ht="26.4">
      <c r="A1750" s="284"/>
      <c r="B1750" s="284"/>
      <c r="C1750" s="284"/>
      <c r="D1750" s="284"/>
      <c r="E1750" s="284"/>
      <c r="F1750" s="284"/>
      <c r="G1750" s="284"/>
      <c r="H1750" s="284"/>
      <c r="I1750" s="284"/>
      <c r="J1750" s="375"/>
      <c r="K1750" s="375"/>
      <c r="L1750" s="375"/>
      <c r="M1750" s="368"/>
      <c r="N1750" s="368"/>
      <c r="O1750" s="370"/>
      <c r="T1750" s="340"/>
      <c r="V1750" s="378"/>
      <c r="W1750" s="64" ph="1"/>
      <c r="X1750" s="241"/>
      <c r="Y1750" s="284"/>
      <c r="Z1750" s="207"/>
      <c r="AA1750" s="284"/>
      <c r="AB1750" s="284"/>
      <c r="AC1750" s="284"/>
      <c r="AD1750" s="284"/>
      <c r="AE1750" s="284"/>
      <c r="AF1750" s="284"/>
      <c r="AG1750" s="284"/>
      <c r="AI1750" s="131"/>
    </row>
    <row r="1751" spans="1:35" ht="26.4">
      <c r="A1751" s="284"/>
      <c r="B1751" s="284"/>
      <c r="C1751" s="284"/>
      <c r="D1751" s="284"/>
      <c r="E1751" s="284"/>
      <c r="F1751" s="284"/>
      <c r="G1751" s="284"/>
      <c r="H1751" s="284"/>
      <c r="I1751" s="284"/>
      <c r="J1751" s="375"/>
      <c r="K1751" s="375"/>
      <c r="L1751" s="375"/>
      <c r="M1751" s="368"/>
      <c r="N1751" s="368"/>
      <c r="O1751" s="370"/>
      <c r="T1751" s="340"/>
      <c r="V1751" s="378"/>
      <c r="W1751" s="64" ph="1"/>
      <c r="X1751" s="241"/>
      <c r="Y1751" s="284"/>
      <c r="Z1751" s="207"/>
      <c r="AA1751" s="284"/>
      <c r="AB1751" s="284"/>
      <c r="AC1751" s="284"/>
      <c r="AD1751" s="284"/>
      <c r="AE1751" s="284"/>
      <c r="AF1751" s="284"/>
      <c r="AG1751" s="284"/>
      <c r="AI1751" s="131"/>
    </row>
    <row r="1752" spans="1:35" ht="26.4">
      <c r="A1752" s="284"/>
      <c r="B1752" s="284"/>
      <c r="C1752" s="284"/>
      <c r="D1752" s="284"/>
      <c r="E1752" s="284"/>
      <c r="F1752" s="284"/>
      <c r="G1752" s="284"/>
      <c r="H1752" s="284"/>
      <c r="I1752" s="284"/>
      <c r="J1752" s="375"/>
      <c r="K1752" s="375"/>
      <c r="L1752" s="375"/>
      <c r="M1752" s="368"/>
      <c r="N1752" s="368"/>
      <c r="O1752" s="370"/>
      <c r="T1752" s="340"/>
      <c r="V1752" s="378"/>
      <c r="W1752" s="64" ph="1"/>
      <c r="X1752" s="241"/>
      <c r="Y1752" s="284"/>
      <c r="Z1752" s="207"/>
      <c r="AA1752" s="284"/>
      <c r="AB1752" s="284"/>
      <c r="AC1752" s="284"/>
      <c r="AD1752" s="284"/>
      <c r="AE1752" s="284"/>
      <c r="AF1752" s="284"/>
      <c r="AG1752" s="284"/>
      <c r="AI1752" s="131"/>
    </row>
    <row r="1753" spans="1:35" ht="26.4">
      <c r="A1753" s="284"/>
      <c r="B1753" s="284"/>
      <c r="C1753" s="284"/>
      <c r="D1753" s="284"/>
      <c r="E1753" s="284"/>
      <c r="F1753" s="284"/>
      <c r="G1753" s="284"/>
      <c r="H1753" s="284"/>
      <c r="I1753" s="284"/>
      <c r="J1753" s="375"/>
      <c r="K1753" s="375"/>
      <c r="L1753" s="375"/>
      <c r="M1753" s="368"/>
      <c r="N1753" s="368"/>
      <c r="O1753" s="370"/>
      <c r="T1753" s="340"/>
      <c r="V1753" s="378"/>
      <c r="W1753" s="64" ph="1"/>
      <c r="X1753" s="241"/>
      <c r="Y1753" s="284"/>
      <c r="Z1753" s="207"/>
      <c r="AA1753" s="284"/>
      <c r="AB1753" s="284"/>
      <c r="AC1753" s="284"/>
      <c r="AD1753" s="284"/>
      <c r="AE1753" s="284"/>
      <c r="AF1753" s="284"/>
      <c r="AG1753" s="284"/>
      <c r="AI1753" s="131"/>
    </row>
    <row r="1754" spans="1:35" ht="26.4">
      <c r="A1754" s="284"/>
      <c r="B1754" s="284"/>
      <c r="C1754" s="284"/>
      <c r="D1754" s="284"/>
      <c r="E1754" s="284"/>
      <c r="F1754" s="284"/>
      <c r="G1754" s="284"/>
      <c r="H1754" s="284"/>
      <c r="I1754" s="284"/>
      <c r="J1754" s="375"/>
      <c r="K1754" s="375"/>
      <c r="L1754" s="375"/>
      <c r="M1754" s="368"/>
      <c r="N1754" s="368"/>
      <c r="O1754" s="370"/>
      <c r="T1754" s="340"/>
      <c r="V1754" s="378"/>
      <c r="W1754" s="64" ph="1"/>
      <c r="X1754" s="241"/>
      <c r="Y1754" s="284"/>
      <c r="Z1754" s="207"/>
      <c r="AA1754" s="284"/>
      <c r="AB1754" s="284"/>
      <c r="AC1754" s="284"/>
      <c r="AD1754" s="284"/>
      <c r="AE1754" s="284"/>
      <c r="AF1754" s="284"/>
      <c r="AG1754" s="284"/>
      <c r="AI1754" s="131"/>
    </row>
    <row r="1755" spans="1:35" ht="26.4">
      <c r="A1755" s="284"/>
      <c r="B1755" s="284"/>
      <c r="C1755" s="284"/>
      <c r="D1755" s="284"/>
      <c r="E1755" s="284"/>
      <c r="F1755" s="284"/>
      <c r="G1755" s="284"/>
      <c r="H1755" s="284"/>
      <c r="I1755" s="284"/>
      <c r="J1755" s="375"/>
      <c r="K1755" s="375"/>
      <c r="L1755" s="375"/>
      <c r="M1755" s="368"/>
      <c r="N1755" s="368"/>
      <c r="O1755" s="370"/>
      <c r="T1755" s="340"/>
      <c r="V1755" s="378"/>
      <c r="W1755" s="64" ph="1"/>
      <c r="X1755" s="241"/>
      <c r="Y1755" s="284"/>
      <c r="Z1755" s="207"/>
      <c r="AA1755" s="284"/>
      <c r="AB1755" s="284"/>
      <c r="AC1755" s="284"/>
      <c r="AD1755" s="284"/>
      <c r="AE1755" s="284"/>
      <c r="AF1755" s="284"/>
      <c r="AG1755" s="284"/>
      <c r="AI1755" s="131"/>
    </row>
    <row r="1756" spans="1:35" ht="26.4">
      <c r="A1756" s="284"/>
      <c r="B1756" s="284"/>
      <c r="C1756" s="284"/>
      <c r="D1756" s="284"/>
      <c r="E1756" s="284"/>
      <c r="F1756" s="284"/>
      <c r="G1756" s="284"/>
      <c r="H1756" s="284"/>
      <c r="I1756" s="284"/>
      <c r="J1756" s="375"/>
      <c r="K1756" s="375"/>
      <c r="L1756" s="375"/>
      <c r="M1756" s="368"/>
      <c r="N1756" s="368"/>
      <c r="O1756" s="370"/>
      <c r="T1756" s="340"/>
      <c r="V1756" s="378"/>
      <c r="W1756" s="64" ph="1"/>
      <c r="X1756" s="241"/>
      <c r="Y1756" s="284"/>
      <c r="Z1756" s="207"/>
      <c r="AA1756" s="284"/>
      <c r="AB1756" s="284"/>
      <c r="AC1756" s="284"/>
      <c r="AD1756" s="284"/>
      <c r="AE1756" s="284"/>
      <c r="AF1756" s="284"/>
      <c r="AG1756" s="284"/>
      <c r="AI1756" s="131"/>
    </row>
    <row r="1757" spans="1:35" ht="26.4">
      <c r="A1757" s="284"/>
      <c r="B1757" s="284"/>
      <c r="C1757" s="284"/>
      <c r="D1757" s="284"/>
      <c r="E1757" s="284"/>
      <c r="F1757" s="284"/>
      <c r="G1757" s="284"/>
      <c r="H1757" s="284"/>
      <c r="I1757" s="284"/>
      <c r="J1757" s="375"/>
      <c r="K1757" s="375"/>
      <c r="L1757" s="375"/>
      <c r="M1757" s="368"/>
      <c r="N1757" s="368"/>
      <c r="O1757" s="370"/>
      <c r="T1757" s="340"/>
      <c r="V1757" s="378"/>
      <c r="W1757" s="64" ph="1"/>
      <c r="X1757" s="241"/>
      <c r="Y1757" s="284"/>
      <c r="Z1757" s="207"/>
      <c r="AA1757" s="284"/>
      <c r="AB1757" s="284"/>
      <c r="AC1757" s="284"/>
      <c r="AD1757" s="284"/>
      <c r="AE1757" s="284"/>
      <c r="AF1757" s="284"/>
      <c r="AG1757" s="284"/>
      <c r="AI1757" s="131"/>
    </row>
    <row r="1758" spans="1:35" ht="26.4">
      <c r="A1758" s="284"/>
      <c r="B1758" s="284"/>
      <c r="C1758" s="284"/>
      <c r="D1758" s="284"/>
      <c r="E1758" s="284"/>
      <c r="F1758" s="284"/>
      <c r="G1758" s="284"/>
      <c r="H1758" s="284"/>
      <c r="I1758" s="284"/>
      <c r="J1758" s="375"/>
      <c r="K1758" s="375"/>
      <c r="L1758" s="375"/>
      <c r="M1758" s="368"/>
      <c r="N1758" s="368"/>
      <c r="O1758" s="370"/>
      <c r="T1758" s="340"/>
      <c r="V1758" s="378"/>
      <c r="W1758" s="64" ph="1"/>
      <c r="X1758" s="241"/>
      <c r="Y1758" s="284"/>
      <c r="Z1758" s="207"/>
      <c r="AA1758" s="284"/>
      <c r="AB1758" s="284"/>
      <c r="AC1758" s="284"/>
      <c r="AD1758" s="284"/>
      <c r="AE1758" s="284"/>
      <c r="AF1758" s="284"/>
      <c r="AG1758" s="284"/>
      <c r="AI1758" s="131"/>
    </row>
    <row r="1759" spans="1:35" ht="26.4">
      <c r="A1759" s="284"/>
      <c r="B1759" s="284"/>
      <c r="C1759" s="284"/>
      <c r="D1759" s="284"/>
      <c r="E1759" s="284"/>
      <c r="F1759" s="284"/>
      <c r="G1759" s="284"/>
      <c r="H1759" s="284"/>
      <c r="I1759" s="284"/>
      <c r="J1759" s="375"/>
      <c r="K1759" s="375"/>
      <c r="L1759" s="375"/>
      <c r="M1759" s="368"/>
      <c r="N1759" s="368"/>
      <c r="O1759" s="370"/>
      <c r="T1759" s="340"/>
      <c r="V1759" s="378"/>
      <c r="W1759" s="64" ph="1"/>
      <c r="X1759" s="241"/>
      <c r="Y1759" s="284"/>
      <c r="Z1759" s="207"/>
      <c r="AA1759" s="284"/>
      <c r="AB1759" s="284"/>
      <c r="AC1759" s="284"/>
      <c r="AD1759" s="284"/>
      <c r="AE1759" s="284"/>
      <c r="AF1759" s="284"/>
      <c r="AG1759" s="284"/>
      <c r="AI1759" s="131"/>
    </row>
    <row r="1760" spans="1:35" ht="26.4">
      <c r="A1760" s="284"/>
      <c r="B1760" s="284"/>
      <c r="C1760" s="284"/>
      <c r="D1760" s="284"/>
      <c r="E1760" s="284"/>
      <c r="F1760" s="284"/>
      <c r="G1760" s="284"/>
      <c r="H1760" s="284"/>
      <c r="I1760" s="284"/>
      <c r="J1760" s="375"/>
      <c r="K1760" s="375"/>
      <c r="L1760" s="375"/>
      <c r="M1760" s="368"/>
      <c r="N1760" s="368"/>
      <c r="O1760" s="370"/>
      <c r="T1760" s="340"/>
      <c r="V1760" s="378"/>
      <c r="W1760" s="64" ph="1"/>
      <c r="X1760" s="241"/>
      <c r="Y1760" s="284"/>
      <c r="Z1760" s="207"/>
      <c r="AA1760" s="284"/>
      <c r="AB1760" s="284"/>
      <c r="AC1760" s="284"/>
      <c r="AD1760" s="284"/>
      <c r="AE1760" s="284"/>
      <c r="AF1760" s="284"/>
      <c r="AG1760" s="284"/>
      <c r="AI1760" s="284"/>
    </row>
    <row r="1761" spans="1:35" ht="26.4">
      <c r="A1761" s="284"/>
      <c r="B1761" s="284"/>
      <c r="C1761" s="284"/>
      <c r="D1761" s="284"/>
      <c r="E1761" s="284"/>
      <c r="F1761" s="284"/>
      <c r="G1761" s="284"/>
      <c r="H1761" s="284"/>
      <c r="I1761" s="284"/>
      <c r="J1761" s="375"/>
      <c r="K1761" s="375"/>
      <c r="L1761" s="375"/>
      <c r="M1761" s="368"/>
      <c r="N1761" s="368"/>
      <c r="O1761" s="370"/>
      <c r="T1761" s="340"/>
      <c r="V1761" s="378"/>
      <c r="W1761" s="64" ph="1"/>
      <c r="X1761" s="241"/>
      <c r="Y1761" s="284"/>
      <c r="Z1761" s="207"/>
      <c r="AA1761" s="284"/>
      <c r="AB1761" s="284"/>
      <c r="AC1761" s="284"/>
      <c r="AD1761" s="284"/>
      <c r="AE1761" s="284"/>
      <c r="AF1761" s="284"/>
      <c r="AG1761" s="284"/>
      <c r="AI1761" s="284"/>
    </row>
    <row r="1762" spans="1:35" ht="26.4">
      <c r="A1762" s="284"/>
      <c r="B1762" s="284"/>
      <c r="C1762" s="284"/>
      <c r="D1762" s="284"/>
      <c r="E1762" s="284"/>
      <c r="F1762" s="284"/>
      <c r="G1762" s="284"/>
      <c r="H1762" s="284"/>
      <c r="I1762" s="284"/>
      <c r="J1762" s="375"/>
      <c r="K1762" s="375"/>
      <c r="L1762" s="375"/>
      <c r="M1762" s="368"/>
      <c r="N1762" s="368"/>
      <c r="O1762" s="370"/>
      <c r="T1762" s="340"/>
      <c r="V1762" s="378"/>
      <c r="W1762" s="64" ph="1"/>
      <c r="X1762" s="241"/>
      <c r="Y1762" s="284"/>
      <c r="Z1762" s="207"/>
      <c r="AA1762" s="284"/>
      <c r="AB1762" s="284"/>
      <c r="AC1762" s="284"/>
      <c r="AD1762" s="284"/>
      <c r="AE1762" s="284"/>
      <c r="AF1762" s="284"/>
      <c r="AG1762" s="284"/>
      <c r="AI1762" s="131"/>
    </row>
    <row r="1763" spans="1:35" ht="26.4">
      <c r="A1763" s="284"/>
      <c r="B1763" s="284"/>
      <c r="C1763" s="284"/>
      <c r="D1763" s="284"/>
      <c r="E1763" s="284"/>
      <c r="F1763" s="284"/>
      <c r="G1763" s="284"/>
      <c r="H1763" s="284"/>
      <c r="I1763" s="284"/>
      <c r="J1763" s="375"/>
      <c r="K1763" s="375"/>
      <c r="L1763" s="375"/>
      <c r="M1763" s="368"/>
      <c r="N1763" s="368"/>
      <c r="O1763" s="370"/>
      <c r="T1763" s="340"/>
      <c r="V1763" s="378"/>
      <c r="W1763" s="64" ph="1"/>
      <c r="X1763" s="241"/>
      <c r="Y1763" s="284"/>
      <c r="Z1763" s="207"/>
      <c r="AA1763" s="284"/>
      <c r="AB1763" s="284"/>
      <c r="AC1763" s="284"/>
      <c r="AD1763" s="284"/>
      <c r="AE1763" s="284"/>
      <c r="AF1763" s="284"/>
      <c r="AG1763" s="284"/>
      <c r="AI1763" s="131"/>
    </row>
    <row r="1764" spans="1:35" ht="26.4">
      <c r="A1764" s="284"/>
      <c r="B1764" s="284"/>
      <c r="C1764" s="284"/>
      <c r="D1764" s="284"/>
      <c r="E1764" s="284"/>
      <c r="F1764" s="284"/>
      <c r="G1764" s="284"/>
      <c r="H1764" s="284"/>
      <c r="I1764" s="284"/>
      <c r="J1764" s="375"/>
      <c r="K1764" s="375"/>
      <c r="L1764" s="375"/>
      <c r="M1764" s="368"/>
      <c r="N1764" s="368"/>
      <c r="O1764" s="370"/>
      <c r="T1764" s="340"/>
      <c r="V1764" s="378"/>
      <c r="W1764" s="64" ph="1"/>
      <c r="X1764" s="241"/>
      <c r="Y1764" s="284"/>
      <c r="Z1764" s="207"/>
      <c r="AA1764" s="284"/>
      <c r="AB1764" s="284"/>
      <c r="AC1764" s="284"/>
      <c r="AD1764" s="284"/>
      <c r="AE1764" s="284"/>
      <c r="AF1764" s="284"/>
      <c r="AG1764" s="284"/>
      <c r="AI1764" s="131"/>
    </row>
    <row r="1765" spans="1:35" ht="26.4">
      <c r="A1765" s="284"/>
      <c r="B1765" s="284"/>
      <c r="C1765" s="284"/>
      <c r="D1765" s="284"/>
      <c r="E1765" s="284"/>
      <c r="F1765" s="284"/>
      <c r="G1765" s="284"/>
      <c r="H1765" s="284"/>
      <c r="I1765" s="284"/>
      <c r="J1765" s="375"/>
      <c r="K1765" s="375"/>
      <c r="L1765" s="375"/>
      <c r="M1765" s="368"/>
      <c r="N1765" s="368"/>
      <c r="O1765" s="370"/>
      <c r="T1765" s="340"/>
      <c r="V1765" s="378"/>
      <c r="W1765" s="64" ph="1"/>
      <c r="X1765" s="241"/>
      <c r="Y1765" s="284"/>
      <c r="Z1765" s="207"/>
      <c r="AA1765" s="284"/>
      <c r="AB1765" s="284"/>
      <c r="AC1765" s="284"/>
      <c r="AD1765" s="284"/>
      <c r="AE1765" s="284"/>
      <c r="AF1765" s="284"/>
      <c r="AG1765" s="284"/>
      <c r="AI1765" s="131"/>
    </row>
    <row r="1766" spans="1:35" ht="26.4">
      <c r="A1766" s="284"/>
      <c r="B1766" s="284"/>
      <c r="C1766" s="284"/>
      <c r="D1766" s="284"/>
      <c r="E1766" s="284"/>
      <c r="F1766" s="284"/>
      <c r="G1766" s="284"/>
      <c r="H1766" s="284"/>
      <c r="I1766" s="284"/>
      <c r="J1766" s="375"/>
      <c r="K1766" s="375"/>
      <c r="L1766" s="375"/>
      <c r="M1766" s="368"/>
      <c r="N1766" s="368"/>
      <c r="O1766" s="370"/>
      <c r="T1766" s="340"/>
      <c r="V1766" s="378"/>
      <c r="W1766" s="64" ph="1"/>
      <c r="X1766" s="241"/>
      <c r="Y1766" s="284"/>
      <c r="Z1766" s="207"/>
      <c r="AA1766" s="284"/>
      <c r="AB1766" s="284"/>
      <c r="AC1766" s="284"/>
      <c r="AD1766" s="284"/>
      <c r="AE1766" s="284"/>
      <c r="AF1766" s="284"/>
      <c r="AG1766" s="284"/>
      <c r="AI1766" s="131"/>
    </row>
    <row r="1767" spans="1:35" ht="26.4">
      <c r="A1767" s="284"/>
      <c r="B1767" s="284"/>
      <c r="C1767" s="284"/>
      <c r="D1767" s="284"/>
      <c r="E1767" s="284"/>
      <c r="F1767" s="284"/>
      <c r="G1767" s="284"/>
      <c r="H1767" s="284"/>
      <c r="I1767" s="284"/>
      <c r="J1767" s="375"/>
      <c r="K1767" s="375"/>
      <c r="L1767" s="375"/>
      <c r="M1767" s="368"/>
      <c r="N1767" s="368"/>
      <c r="O1767" s="370"/>
      <c r="T1767" s="340"/>
      <c r="V1767" s="378"/>
      <c r="W1767" s="64" ph="1"/>
      <c r="X1767" s="241"/>
      <c r="Y1767" s="284"/>
      <c r="Z1767" s="207"/>
      <c r="AA1767" s="284"/>
      <c r="AB1767" s="284"/>
      <c r="AC1767" s="284"/>
      <c r="AD1767" s="284"/>
      <c r="AE1767" s="284"/>
      <c r="AF1767" s="284"/>
      <c r="AG1767" s="284"/>
      <c r="AI1767" s="131"/>
    </row>
    <row r="1768" spans="1:35" ht="26.4">
      <c r="A1768" s="284"/>
      <c r="B1768" s="284"/>
      <c r="C1768" s="284"/>
      <c r="D1768" s="284"/>
      <c r="E1768" s="284"/>
      <c r="F1768" s="284"/>
      <c r="G1768" s="284"/>
      <c r="H1768" s="284"/>
      <c r="I1768" s="284"/>
      <c r="J1768" s="375"/>
      <c r="K1768" s="375"/>
      <c r="L1768" s="375"/>
      <c r="M1768" s="368"/>
      <c r="N1768" s="368"/>
      <c r="O1768" s="370"/>
      <c r="T1768" s="340"/>
      <c r="V1768" s="378"/>
      <c r="W1768" s="64" ph="1"/>
      <c r="X1768" s="241"/>
      <c r="Y1768" s="284"/>
      <c r="Z1768" s="207"/>
      <c r="AA1768" s="284"/>
      <c r="AB1768" s="284"/>
      <c r="AC1768" s="284"/>
      <c r="AD1768" s="284"/>
      <c r="AE1768" s="284"/>
      <c r="AF1768" s="284"/>
      <c r="AG1768" s="284"/>
      <c r="AI1768" s="131"/>
    </row>
    <row r="1769" spans="1:35" ht="26.4">
      <c r="A1769" s="284"/>
      <c r="B1769" s="284"/>
      <c r="C1769" s="284"/>
      <c r="D1769" s="284"/>
      <c r="E1769" s="284"/>
      <c r="F1769" s="284"/>
      <c r="G1769" s="284"/>
      <c r="H1769" s="284"/>
      <c r="I1769" s="284"/>
      <c r="J1769" s="375"/>
      <c r="K1769" s="375"/>
      <c r="L1769" s="375"/>
      <c r="M1769" s="368"/>
      <c r="N1769" s="368"/>
      <c r="O1769" s="370"/>
      <c r="T1769" s="340"/>
      <c r="V1769" s="378"/>
      <c r="W1769" s="64" ph="1"/>
      <c r="X1769" s="241"/>
      <c r="Y1769" s="284"/>
      <c r="Z1769" s="207"/>
      <c r="AA1769" s="284"/>
      <c r="AB1769" s="284"/>
      <c r="AC1769" s="284"/>
      <c r="AD1769" s="284"/>
      <c r="AE1769" s="284"/>
      <c r="AF1769" s="284"/>
      <c r="AG1769" s="284"/>
      <c r="AI1769" s="131"/>
    </row>
    <row r="1770" spans="1:35" ht="26.4">
      <c r="A1770" s="284"/>
      <c r="B1770" s="284"/>
      <c r="C1770" s="284"/>
      <c r="D1770" s="284"/>
      <c r="E1770" s="284"/>
      <c r="F1770" s="284"/>
      <c r="G1770" s="284"/>
      <c r="H1770" s="284"/>
      <c r="I1770" s="284"/>
      <c r="J1770" s="375"/>
      <c r="K1770" s="375"/>
      <c r="L1770" s="375"/>
      <c r="M1770" s="368"/>
      <c r="N1770" s="368"/>
      <c r="O1770" s="370"/>
      <c r="T1770" s="340"/>
      <c r="V1770" s="378"/>
      <c r="W1770" s="64" ph="1"/>
      <c r="X1770" s="241"/>
      <c r="Y1770" s="284"/>
      <c r="Z1770" s="207"/>
      <c r="AA1770" s="284"/>
      <c r="AB1770" s="284"/>
      <c r="AC1770" s="284"/>
      <c r="AD1770" s="284"/>
      <c r="AE1770" s="284"/>
      <c r="AF1770" s="284"/>
      <c r="AG1770" s="284"/>
      <c r="AI1770" s="131"/>
    </row>
    <row r="1771" spans="1:35" ht="26.4">
      <c r="A1771" s="284"/>
      <c r="B1771" s="284"/>
      <c r="C1771" s="284"/>
      <c r="D1771" s="284"/>
      <c r="E1771" s="284"/>
      <c r="F1771" s="284"/>
      <c r="G1771" s="284"/>
      <c r="H1771" s="284"/>
      <c r="I1771" s="284"/>
      <c r="J1771" s="375"/>
      <c r="K1771" s="375"/>
      <c r="L1771" s="375"/>
      <c r="M1771" s="368"/>
      <c r="N1771" s="368"/>
      <c r="O1771" s="370"/>
      <c r="T1771" s="340"/>
      <c r="V1771" s="378"/>
      <c r="W1771" s="64" ph="1"/>
      <c r="X1771" s="241"/>
      <c r="Y1771" s="284"/>
      <c r="Z1771" s="207"/>
      <c r="AA1771" s="284"/>
      <c r="AB1771" s="284"/>
      <c r="AC1771" s="284"/>
      <c r="AD1771" s="284"/>
      <c r="AE1771" s="284"/>
      <c r="AF1771" s="284"/>
      <c r="AG1771" s="284"/>
      <c r="AI1771" s="131"/>
    </row>
    <row r="1772" spans="1:35" ht="26.4">
      <c r="A1772" s="284"/>
      <c r="B1772" s="284"/>
      <c r="C1772" s="284"/>
      <c r="D1772" s="284"/>
      <c r="E1772" s="284"/>
      <c r="F1772" s="284"/>
      <c r="G1772" s="284"/>
      <c r="H1772" s="284"/>
      <c r="I1772" s="284"/>
      <c r="J1772" s="375"/>
      <c r="K1772" s="375"/>
      <c r="L1772" s="375"/>
      <c r="M1772" s="368"/>
      <c r="N1772" s="368"/>
      <c r="O1772" s="370"/>
      <c r="T1772" s="340"/>
      <c r="V1772" s="378"/>
      <c r="W1772" s="64" ph="1"/>
      <c r="X1772" s="241"/>
      <c r="Y1772" s="284"/>
      <c r="Z1772" s="207"/>
      <c r="AA1772" s="284"/>
      <c r="AB1772" s="284"/>
      <c r="AC1772" s="284"/>
      <c r="AD1772" s="284"/>
      <c r="AE1772" s="284"/>
      <c r="AF1772" s="284"/>
      <c r="AG1772" s="284"/>
      <c r="AI1772" s="131"/>
    </row>
    <row r="1773" spans="1:35" ht="26.4">
      <c r="A1773" s="284"/>
      <c r="B1773" s="284"/>
      <c r="C1773" s="284"/>
      <c r="D1773" s="284"/>
      <c r="E1773" s="284"/>
      <c r="F1773" s="284"/>
      <c r="G1773" s="284"/>
      <c r="H1773" s="284"/>
      <c r="I1773" s="284"/>
      <c r="J1773" s="375"/>
      <c r="K1773" s="375"/>
      <c r="L1773" s="375"/>
      <c r="M1773" s="368"/>
      <c r="N1773" s="368"/>
      <c r="O1773" s="370"/>
      <c r="T1773" s="340"/>
      <c r="V1773" s="378"/>
      <c r="W1773" s="64" ph="1"/>
      <c r="X1773" s="241"/>
      <c r="Y1773" s="284"/>
      <c r="Z1773" s="207"/>
      <c r="AA1773" s="284"/>
      <c r="AB1773" s="284"/>
      <c r="AC1773" s="284"/>
      <c r="AD1773" s="284"/>
      <c r="AE1773" s="284"/>
      <c r="AF1773" s="284"/>
      <c r="AG1773" s="284"/>
      <c r="AI1773" s="131"/>
    </row>
    <row r="1774" spans="1:35" ht="26.4">
      <c r="A1774" s="284"/>
      <c r="B1774" s="284"/>
      <c r="C1774" s="284"/>
      <c r="D1774" s="284"/>
      <c r="E1774" s="284"/>
      <c r="F1774" s="284"/>
      <c r="G1774" s="284"/>
      <c r="H1774" s="284"/>
      <c r="I1774" s="284"/>
      <c r="J1774" s="375"/>
      <c r="K1774" s="375"/>
      <c r="L1774" s="375"/>
      <c r="M1774" s="368"/>
      <c r="N1774" s="368"/>
      <c r="O1774" s="370"/>
      <c r="T1774" s="340"/>
      <c r="V1774" s="378"/>
      <c r="W1774" s="64" ph="1"/>
      <c r="X1774" s="241"/>
      <c r="Y1774" s="284"/>
      <c r="Z1774" s="207"/>
      <c r="AA1774" s="284"/>
      <c r="AB1774" s="284"/>
      <c r="AC1774" s="284"/>
      <c r="AD1774" s="284"/>
      <c r="AE1774" s="284"/>
      <c r="AF1774" s="284"/>
      <c r="AG1774" s="284"/>
      <c r="AI1774" s="284"/>
    </row>
    <row r="1775" spans="1:35" ht="26.4">
      <c r="A1775" s="284"/>
      <c r="B1775" s="284"/>
      <c r="C1775" s="284"/>
      <c r="D1775" s="284"/>
      <c r="E1775" s="284"/>
      <c r="F1775" s="284"/>
      <c r="G1775" s="284"/>
      <c r="H1775" s="284"/>
      <c r="I1775" s="284"/>
      <c r="J1775" s="375"/>
      <c r="K1775" s="375"/>
      <c r="L1775" s="375"/>
      <c r="M1775" s="368"/>
      <c r="N1775" s="368"/>
      <c r="O1775" s="370"/>
      <c r="T1775" s="340"/>
      <c r="V1775" s="378"/>
      <c r="W1775" s="64" ph="1"/>
      <c r="X1775" s="241"/>
      <c r="Y1775" s="284"/>
      <c r="Z1775" s="207"/>
      <c r="AA1775" s="284"/>
      <c r="AB1775" s="284"/>
      <c r="AC1775" s="284"/>
      <c r="AD1775" s="284"/>
      <c r="AE1775" s="284"/>
      <c r="AF1775" s="284"/>
      <c r="AG1775" s="284"/>
      <c r="AI1775" s="131"/>
    </row>
    <row r="1776" spans="1:35" ht="26.4">
      <c r="A1776" s="284"/>
      <c r="B1776" s="284"/>
      <c r="C1776" s="284"/>
      <c r="D1776" s="284"/>
      <c r="E1776" s="284"/>
      <c r="F1776" s="284"/>
      <c r="G1776" s="284"/>
      <c r="H1776" s="284"/>
      <c r="I1776" s="284"/>
      <c r="J1776" s="375"/>
      <c r="K1776" s="375"/>
      <c r="L1776" s="375"/>
      <c r="M1776" s="368"/>
      <c r="N1776" s="368"/>
      <c r="O1776" s="370"/>
      <c r="T1776" s="340"/>
      <c r="V1776" s="378"/>
      <c r="W1776" s="64" ph="1"/>
      <c r="X1776" s="241"/>
      <c r="Y1776" s="284"/>
      <c r="Z1776" s="207"/>
      <c r="AA1776" s="284"/>
      <c r="AB1776" s="284"/>
      <c r="AC1776" s="284"/>
      <c r="AD1776" s="284"/>
      <c r="AE1776" s="284"/>
      <c r="AF1776" s="284"/>
      <c r="AG1776" s="284"/>
      <c r="AI1776" s="131"/>
    </row>
    <row r="1777" spans="1:35" ht="26.4">
      <c r="A1777" s="284"/>
      <c r="B1777" s="284"/>
      <c r="C1777" s="284"/>
      <c r="D1777" s="284"/>
      <c r="E1777" s="284"/>
      <c r="F1777" s="284"/>
      <c r="G1777" s="284"/>
      <c r="H1777" s="284"/>
      <c r="I1777" s="284"/>
      <c r="J1777" s="375"/>
      <c r="K1777" s="375"/>
      <c r="L1777" s="375"/>
      <c r="M1777" s="368"/>
      <c r="N1777" s="368"/>
      <c r="O1777" s="370"/>
      <c r="T1777" s="340"/>
      <c r="V1777" s="378"/>
      <c r="W1777" s="64" ph="1"/>
      <c r="X1777" s="241"/>
      <c r="Y1777" s="284"/>
      <c r="Z1777" s="207"/>
      <c r="AA1777" s="284"/>
      <c r="AB1777" s="284"/>
      <c r="AC1777" s="284"/>
      <c r="AD1777" s="284"/>
      <c r="AE1777" s="284"/>
      <c r="AF1777" s="284"/>
      <c r="AG1777" s="284"/>
      <c r="AI1777" s="131"/>
    </row>
    <row r="1778" spans="1:35" ht="26.4">
      <c r="A1778" s="284"/>
      <c r="B1778" s="284"/>
      <c r="C1778" s="284"/>
      <c r="D1778" s="284"/>
      <c r="E1778" s="284"/>
      <c r="F1778" s="284"/>
      <c r="G1778" s="284"/>
      <c r="H1778" s="284"/>
      <c r="I1778" s="284"/>
      <c r="J1778" s="375"/>
      <c r="K1778" s="375"/>
      <c r="L1778" s="375"/>
      <c r="M1778" s="368"/>
      <c r="N1778" s="368"/>
      <c r="O1778" s="370"/>
      <c r="T1778" s="340"/>
      <c r="V1778" s="378"/>
      <c r="W1778" s="64" ph="1"/>
      <c r="X1778" s="241"/>
      <c r="Y1778" s="284"/>
      <c r="Z1778" s="207"/>
      <c r="AA1778" s="284"/>
      <c r="AB1778" s="284"/>
      <c r="AC1778" s="284"/>
      <c r="AD1778" s="284"/>
      <c r="AE1778" s="284"/>
      <c r="AF1778" s="284"/>
      <c r="AG1778" s="284"/>
      <c r="AI1778" s="131"/>
    </row>
    <row r="1779" spans="1:35" ht="26.4">
      <c r="A1779" s="284"/>
      <c r="B1779" s="284"/>
      <c r="C1779" s="284"/>
      <c r="D1779" s="284"/>
      <c r="E1779" s="284"/>
      <c r="F1779" s="284"/>
      <c r="G1779" s="284"/>
      <c r="H1779" s="284"/>
      <c r="I1779" s="284"/>
      <c r="J1779" s="375"/>
      <c r="K1779" s="375"/>
      <c r="L1779" s="375"/>
      <c r="M1779" s="368"/>
      <c r="N1779" s="368"/>
      <c r="O1779" s="370"/>
      <c r="T1779" s="340"/>
      <c r="V1779" s="378"/>
      <c r="W1779" s="64" ph="1"/>
      <c r="X1779" s="241"/>
      <c r="Y1779" s="284"/>
      <c r="Z1779" s="207"/>
      <c r="AA1779" s="284"/>
      <c r="AB1779" s="284"/>
      <c r="AC1779" s="284"/>
      <c r="AD1779" s="284"/>
      <c r="AE1779" s="284"/>
      <c r="AF1779" s="284"/>
      <c r="AG1779" s="284"/>
      <c r="AI1779" s="131"/>
    </row>
    <row r="1780" spans="1:35" ht="26.4">
      <c r="A1780" s="284"/>
      <c r="B1780" s="284"/>
      <c r="C1780" s="284"/>
      <c r="D1780" s="284"/>
      <c r="E1780" s="284"/>
      <c r="F1780" s="284"/>
      <c r="G1780" s="284"/>
      <c r="H1780" s="284"/>
      <c r="I1780" s="284"/>
      <c r="J1780" s="375"/>
      <c r="K1780" s="375"/>
      <c r="L1780" s="375"/>
      <c r="M1780" s="368"/>
      <c r="N1780" s="368"/>
      <c r="O1780" s="370"/>
      <c r="T1780" s="340"/>
      <c r="V1780" s="378"/>
      <c r="W1780" s="64" ph="1"/>
      <c r="X1780" s="241"/>
      <c r="Y1780" s="284"/>
      <c r="Z1780" s="207"/>
      <c r="AA1780" s="284"/>
      <c r="AB1780" s="284"/>
      <c r="AC1780" s="284"/>
      <c r="AD1780" s="284"/>
      <c r="AE1780" s="284"/>
      <c r="AF1780" s="284"/>
      <c r="AG1780" s="284"/>
      <c r="AI1780" s="131"/>
    </row>
    <row r="1781" spans="1:35" ht="26.4">
      <c r="A1781" s="284"/>
      <c r="B1781" s="284"/>
      <c r="C1781" s="284"/>
      <c r="D1781" s="284"/>
      <c r="E1781" s="284"/>
      <c r="F1781" s="284"/>
      <c r="G1781" s="284"/>
      <c r="H1781" s="284"/>
      <c r="I1781" s="284"/>
      <c r="J1781" s="375"/>
      <c r="K1781" s="375"/>
      <c r="L1781" s="375"/>
      <c r="M1781" s="368"/>
      <c r="N1781" s="368"/>
      <c r="O1781" s="370"/>
      <c r="T1781" s="340"/>
      <c r="V1781" s="378"/>
      <c r="W1781" s="64" ph="1"/>
      <c r="X1781" s="241"/>
      <c r="Y1781" s="284"/>
      <c r="Z1781" s="207"/>
      <c r="AA1781" s="284"/>
      <c r="AB1781" s="284"/>
      <c r="AC1781" s="284"/>
      <c r="AD1781" s="284"/>
      <c r="AE1781" s="284"/>
      <c r="AF1781" s="284"/>
      <c r="AG1781" s="284"/>
      <c r="AI1781" s="52"/>
    </row>
    <row r="1782" spans="1:35" ht="26.4">
      <c r="A1782" s="284"/>
      <c r="B1782" s="284"/>
      <c r="C1782" s="284"/>
      <c r="D1782" s="284"/>
      <c r="E1782" s="284"/>
      <c r="F1782" s="284"/>
      <c r="G1782" s="284"/>
      <c r="H1782" s="284"/>
      <c r="I1782" s="284"/>
      <c r="J1782" s="375"/>
      <c r="K1782" s="375"/>
      <c r="L1782" s="375"/>
      <c r="M1782" s="368"/>
      <c r="N1782" s="368"/>
      <c r="O1782" s="370"/>
      <c r="T1782" s="340"/>
      <c r="V1782" s="378"/>
      <c r="W1782" s="64" ph="1"/>
      <c r="X1782" s="241"/>
      <c r="Y1782" s="284"/>
      <c r="Z1782" s="207"/>
      <c r="AA1782" s="284"/>
      <c r="AB1782" s="284"/>
      <c r="AC1782" s="284"/>
      <c r="AD1782" s="284"/>
      <c r="AE1782" s="284"/>
      <c r="AF1782" s="284"/>
      <c r="AG1782" s="284"/>
      <c r="AI1782" s="131"/>
    </row>
    <row r="1783" spans="1:35" ht="26.4">
      <c r="A1783" s="284"/>
      <c r="B1783" s="284"/>
      <c r="C1783" s="284"/>
      <c r="D1783" s="284"/>
      <c r="E1783" s="284"/>
      <c r="F1783" s="284"/>
      <c r="G1783" s="284"/>
      <c r="H1783" s="284"/>
      <c r="I1783" s="284"/>
      <c r="J1783" s="375"/>
      <c r="K1783" s="375"/>
      <c r="L1783" s="375"/>
      <c r="M1783" s="368"/>
      <c r="N1783" s="368"/>
      <c r="O1783" s="370"/>
      <c r="T1783" s="340"/>
      <c r="V1783" s="378"/>
      <c r="W1783" s="64" ph="1"/>
      <c r="X1783" s="241"/>
      <c r="Y1783" s="284"/>
      <c r="Z1783" s="207"/>
      <c r="AA1783" s="284"/>
      <c r="AB1783" s="284"/>
      <c r="AC1783" s="284"/>
      <c r="AD1783" s="284"/>
      <c r="AE1783" s="284"/>
      <c r="AF1783" s="284"/>
      <c r="AG1783" s="284"/>
      <c r="AI1783" s="131"/>
    </row>
    <row r="1784" spans="1:35" ht="26.4">
      <c r="A1784" s="284"/>
      <c r="B1784" s="284"/>
      <c r="C1784" s="284"/>
      <c r="D1784" s="284"/>
      <c r="E1784" s="284"/>
      <c r="F1784" s="284"/>
      <c r="G1784" s="284"/>
      <c r="H1784" s="284"/>
      <c r="I1784" s="284"/>
      <c r="J1784" s="375"/>
      <c r="K1784" s="375"/>
      <c r="L1784" s="375"/>
      <c r="M1784" s="368"/>
      <c r="N1784" s="368"/>
      <c r="O1784" s="370"/>
      <c r="T1784" s="340"/>
      <c r="V1784" s="378"/>
      <c r="W1784" s="64" ph="1"/>
      <c r="X1784" s="241"/>
      <c r="Y1784" s="284"/>
      <c r="Z1784" s="207"/>
      <c r="AA1784" s="284"/>
      <c r="AB1784" s="284"/>
      <c r="AC1784" s="284"/>
      <c r="AD1784" s="284"/>
      <c r="AE1784" s="284"/>
      <c r="AF1784" s="284"/>
      <c r="AG1784" s="284"/>
      <c r="AI1784" s="131"/>
    </row>
    <row r="1785" spans="1:35" ht="26.4">
      <c r="A1785" s="284"/>
      <c r="B1785" s="284"/>
      <c r="C1785" s="284"/>
      <c r="D1785" s="284"/>
      <c r="E1785" s="284"/>
      <c r="F1785" s="284"/>
      <c r="G1785" s="284"/>
      <c r="H1785" s="284"/>
      <c r="I1785" s="284"/>
      <c r="J1785" s="375"/>
      <c r="K1785" s="375"/>
      <c r="L1785" s="375"/>
      <c r="M1785" s="368"/>
      <c r="N1785" s="368"/>
      <c r="O1785" s="370"/>
      <c r="T1785" s="340"/>
      <c r="V1785" s="378"/>
      <c r="W1785" s="64" ph="1"/>
      <c r="X1785" s="241"/>
      <c r="Y1785" s="284"/>
      <c r="Z1785" s="207"/>
      <c r="AA1785" s="284"/>
      <c r="AB1785" s="284"/>
      <c r="AC1785" s="284"/>
      <c r="AD1785" s="284"/>
      <c r="AE1785" s="284"/>
      <c r="AF1785" s="284"/>
      <c r="AG1785" s="284"/>
      <c r="AI1785" s="131"/>
    </row>
    <row r="1786" spans="1:35" ht="26.4">
      <c r="A1786" s="284"/>
      <c r="B1786" s="284"/>
      <c r="C1786" s="284"/>
      <c r="D1786" s="284"/>
      <c r="E1786" s="284"/>
      <c r="F1786" s="284"/>
      <c r="G1786" s="284"/>
      <c r="H1786" s="284"/>
      <c r="I1786" s="284"/>
      <c r="J1786" s="375"/>
      <c r="K1786" s="375"/>
      <c r="L1786" s="375"/>
      <c r="M1786" s="368"/>
      <c r="N1786" s="368"/>
      <c r="O1786" s="370"/>
      <c r="T1786" s="340"/>
      <c r="V1786" s="378"/>
      <c r="W1786" s="64" ph="1"/>
      <c r="X1786" s="241"/>
      <c r="Y1786" s="284"/>
      <c r="Z1786" s="207"/>
      <c r="AA1786" s="284"/>
      <c r="AB1786" s="284"/>
      <c r="AC1786" s="284"/>
      <c r="AD1786" s="284"/>
      <c r="AE1786" s="284"/>
      <c r="AF1786" s="284"/>
      <c r="AG1786" s="284"/>
      <c r="AI1786" s="131"/>
    </row>
    <row r="1787" spans="1:35" ht="26.4">
      <c r="A1787" s="284"/>
      <c r="B1787" s="284"/>
      <c r="C1787" s="284"/>
      <c r="D1787" s="284"/>
      <c r="E1787" s="284"/>
      <c r="F1787" s="284"/>
      <c r="G1787" s="284"/>
      <c r="H1787" s="284"/>
      <c r="I1787" s="284"/>
      <c r="J1787" s="375"/>
      <c r="K1787" s="375"/>
      <c r="L1787" s="375"/>
      <c r="M1787" s="368"/>
      <c r="N1787" s="368"/>
      <c r="O1787" s="370"/>
      <c r="T1787" s="340"/>
      <c r="V1787" s="378"/>
      <c r="W1787" s="64" ph="1"/>
      <c r="X1787" s="241"/>
      <c r="Y1787" s="284"/>
      <c r="Z1787" s="207"/>
      <c r="AA1787" s="284"/>
      <c r="AB1787" s="284"/>
      <c r="AC1787" s="284"/>
      <c r="AD1787" s="284"/>
      <c r="AE1787" s="284"/>
      <c r="AF1787" s="284"/>
      <c r="AG1787" s="284"/>
      <c r="AI1787" s="131"/>
    </row>
    <row r="1788" spans="1:35" ht="26.4">
      <c r="A1788" s="284"/>
      <c r="B1788" s="284"/>
      <c r="C1788" s="284"/>
      <c r="D1788" s="284"/>
      <c r="E1788" s="284"/>
      <c r="F1788" s="284"/>
      <c r="G1788" s="284"/>
      <c r="H1788" s="284"/>
      <c r="I1788" s="284"/>
      <c r="J1788" s="375"/>
      <c r="K1788" s="375"/>
      <c r="L1788" s="375"/>
      <c r="M1788" s="368"/>
      <c r="N1788" s="368"/>
      <c r="O1788" s="370"/>
      <c r="T1788" s="340"/>
      <c r="V1788" s="378"/>
      <c r="W1788" s="64" ph="1"/>
      <c r="X1788" s="241"/>
      <c r="Y1788" s="284"/>
      <c r="Z1788" s="207"/>
      <c r="AA1788" s="284"/>
      <c r="AB1788" s="284"/>
      <c r="AC1788" s="284"/>
      <c r="AD1788" s="284"/>
      <c r="AE1788" s="284"/>
      <c r="AF1788" s="284"/>
      <c r="AG1788" s="284"/>
      <c r="AI1788" s="131"/>
    </row>
    <row r="1789" spans="1:35" ht="26.4">
      <c r="A1789" s="284"/>
      <c r="B1789" s="284"/>
      <c r="C1789" s="284"/>
      <c r="D1789" s="284"/>
      <c r="E1789" s="284"/>
      <c r="F1789" s="284"/>
      <c r="G1789" s="284"/>
      <c r="H1789" s="284"/>
      <c r="I1789" s="284"/>
      <c r="J1789" s="375"/>
      <c r="K1789" s="375"/>
      <c r="L1789" s="375"/>
      <c r="M1789" s="368"/>
      <c r="N1789" s="368"/>
      <c r="O1789" s="370"/>
      <c r="T1789" s="340"/>
      <c r="V1789" s="378"/>
      <c r="W1789" s="64" ph="1"/>
      <c r="X1789" s="241"/>
      <c r="Y1789" s="284"/>
      <c r="Z1789" s="207"/>
      <c r="AA1789" s="284"/>
      <c r="AB1789" s="284"/>
      <c r="AC1789" s="284"/>
      <c r="AD1789" s="284"/>
      <c r="AE1789" s="284"/>
      <c r="AF1789" s="284"/>
      <c r="AG1789" s="284"/>
      <c r="AI1789" s="131"/>
    </row>
    <row r="1790" spans="1:35" ht="26.4">
      <c r="A1790" s="284"/>
      <c r="B1790" s="284"/>
      <c r="C1790" s="284"/>
      <c r="D1790" s="284"/>
      <c r="E1790" s="284"/>
      <c r="F1790" s="284"/>
      <c r="G1790" s="284"/>
      <c r="H1790" s="284"/>
      <c r="I1790" s="284"/>
      <c r="J1790" s="375"/>
      <c r="K1790" s="375"/>
      <c r="L1790" s="375"/>
      <c r="M1790" s="368"/>
      <c r="N1790" s="368"/>
      <c r="O1790" s="370"/>
      <c r="T1790" s="340"/>
      <c r="V1790" s="378"/>
      <c r="W1790" s="64" ph="1"/>
      <c r="X1790" s="241"/>
      <c r="Y1790" s="284"/>
      <c r="Z1790" s="207"/>
      <c r="AA1790" s="284"/>
      <c r="AB1790" s="284"/>
      <c r="AC1790" s="284"/>
      <c r="AD1790" s="284"/>
      <c r="AE1790" s="284"/>
      <c r="AF1790" s="284"/>
      <c r="AG1790" s="284"/>
      <c r="AI1790" s="131"/>
    </row>
    <row r="1791" spans="1:35" ht="26.4">
      <c r="A1791" s="284"/>
      <c r="B1791" s="284"/>
      <c r="C1791" s="284"/>
      <c r="D1791" s="284"/>
      <c r="E1791" s="284"/>
      <c r="F1791" s="284"/>
      <c r="G1791" s="284"/>
      <c r="H1791" s="284"/>
      <c r="I1791" s="284"/>
      <c r="J1791" s="375"/>
      <c r="K1791" s="375"/>
      <c r="L1791" s="375"/>
      <c r="M1791" s="368"/>
      <c r="N1791" s="368"/>
      <c r="O1791" s="370"/>
      <c r="T1791" s="340"/>
      <c r="V1791" s="378"/>
      <c r="W1791" s="64" ph="1"/>
      <c r="X1791" s="241"/>
      <c r="Y1791" s="284"/>
      <c r="Z1791" s="207"/>
      <c r="AA1791" s="284"/>
      <c r="AB1791" s="284"/>
      <c r="AC1791" s="284"/>
      <c r="AD1791" s="284"/>
      <c r="AE1791" s="284"/>
      <c r="AF1791" s="284"/>
      <c r="AG1791" s="284"/>
      <c r="AI1791" s="131"/>
    </row>
    <row r="1792" spans="1:35" ht="26.4">
      <c r="A1792" s="284"/>
      <c r="B1792" s="284"/>
      <c r="C1792" s="284"/>
      <c r="D1792" s="284"/>
      <c r="E1792" s="284"/>
      <c r="F1792" s="284"/>
      <c r="G1792" s="284"/>
      <c r="H1792" s="284"/>
      <c r="I1792" s="284"/>
      <c r="J1792" s="375"/>
      <c r="K1792" s="375"/>
      <c r="L1792" s="375"/>
      <c r="M1792" s="368"/>
      <c r="N1792" s="368"/>
      <c r="O1792" s="370"/>
      <c r="T1792" s="340"/>
      <c r="V1792" s="378"/>
      <c r="W1792" s="64" ph="1"/>
      <c r="X1792" s="241"/>
      <c r="Y1792" s="284"/>
      <c r="Z1792" s="207"/>
      <c r="AA1792" s="284"/>
      <c r="AB1792" s="284"/>
      <c r="AC1792" s="284"/>
      <c r="AD1792" s="284"/>
      <c r="AE1792" s="284"/>
      <c r="AF1792" s="284"/>
      <c r="AG1792" s="284"/>
      <c r="AI1792" s="131"/>
    </row>
    <row r="1793" spans="1:35" ht="26.4">
      <c r="A1793" s="284"/>
      <c r="B1793" s="284"/>
      <c r="C1793" s="284"/>
      <c r="D1793" s="284"/>
      <c r="E1793" s="284"/>
      <c r="F1793" s="284"/>
      <c r="G1793" s="284"/>
      <c r="H1793" s="284"/>
      <c r="I1793" s="284"/>
      <c r="J1793" s="375"/>
      <c r="K1793" s="375"/>
      <c r="L1793" s="375"/>
      <c r="M1793" s="368"/>
      <c r="N1793" s="368"/>
      <c r="O1793" s="370"/>
      <c r="T1793" s="340"/>
      <c r="V1793" s="378"/>
      <c r="W1793" s="64" ph="1"/>
      <c r="X1793" s="241"/>
      <c r="Y1793" s="284"/>
      <c r="Z1793" s="207"/>
      <c r="AA1793" s="284"/>
      <c r="AB1793" s="284"/>
      <c r="AC1793" s="284"/>
      <c r="AD1793" s="284"/>
      <c r="AE1793" s="284"/>
      <c r="AF1793" s="284"/>
      <c r="AG1793" s="284"/>
      <c r="AI1793" s="131"/>
    </row>
    <row r="1794" spans="1:35" ht="26.4">
      <c r="A1794" s="284"/>
      <c r="B1794" s="284"/>
      <c r="C1794" s="284"/>
      <c r="D1794" s="284"/>
      <c r="E1794" s="284"/>
      <c r="F1794" s="284"/>
      <c r="G1794" s="284"/>
      <c r="H1794" s="284"/>
      <c r="I1794" s="284"/>
      <c r="J1794" s="375"/>
      <c r="K1794" s="375"/>
      <c r="L1794" s="375"/>
      <c r="M1794" s="368"/>
      <c r="N1794" s="368"/>
      <c r="O1794" s="370"/>
      <c r="T1794" s="340"/>
      <c r="V1794" s="378"/>
      <c r="W1794" s="64" ph="1"/>
      <c r="X1794" s="241"/>
      <c r="Y1794" s="284"/>
      <c r="Z1794" s="207"/>
      <c r="AA1794" s="284"/>
      <c r="AB1794" s="284"/>
      <c r="AC1794" s="284"/>
      <c r="AD1794" s="284"/>
      <c r="AE1794" s="284"/>
      <c r="AF1794" s="284"/>
      <c r="AG1794" s="284"/>
      <c r="AI1794" s="131"/>
    </row>
    <row r="1795" spans="1:35" ht="26.4">
      <c r="A1795" s="284"/>
      <c r="B1795" s="284"/>
      <c r="C1795" s="284"/>
      <c r="D1795" s="284"/>
      <c r="E1795" s="284"/>
      <c r="F1795" s="284"/>
      <c r="G1795" s="284"/>
      <c r="H1795" s="284"/>
      <c r="I1795" s="284"/>
      <c r="J1795" s="375"/>
      <c r="K1795" s="375"/>
      <c r="L1795" s="375"/>
      <c r="M1795" s="368"/>
      <c r="N1795" s="368"/>
      <c r="O1795" s="370"/>
      <c r="T1795" s="340"/>
      <c r="V1795" s="378"/>
      <c r="W1795" s="64" ph="1"/>
      <c r="X1795" s="241"/>
      <c r="Y1795" s="284"/>
      <c r="Z1795" s="207"/>
      <c r="AA1795" s="284"/>
      <c r="AB1795" s="284"/>
      <c r="AC1795" s="284"/>
      <c r="AD1795" s="284"/>
      <c r="AE1795" s="284"/>
      <c r="AF1795" s="284"/>
      <c r="AG1795" s="284"/>
      <c r="AI1795" s="131"/>
    </row>
    <row r="1796" spans="1:35" ht="26.4">
      <c r="A1796" s="284"/>
      <c r="B1796" s="284"/>
      <c r="C1796" s="284"/>
      <c r="D1796" s="284"/>
      <c r="E1796" s="284"/>
      <c r="F1796" s="284"/>
      <c r="G1796" s="284"/>
      <c r="H1796" s="284"/>
      <c r="I1796" s="284"/>
      <c r="J1796" s="375"/>
      <c r="K1796" s="375"/>
      <c r="L1796" s="375"/>
      <c r="M1796" s="368"/>
      <c r="N1796" s="368"/>
      <c r="O1796" s="370"/>
      <c r="T1796" s="340"/>
      <c r="V1796" s="378"/>
      <c r="W1796" s="64" ph="1"/>
      <c r="X1796" s="241"/>
      <c r="Y1796" s="284"/>
      <c r="Z1796" s="207"/>
      <c r="AA1796" s="284"/>
      <c r="AB1796" s="284"/>
      <c r="AC1796" s="284"/>
      <c r="AD1796" s="284"/>
      <c r="AE1796" s="284"/>
      <c r="AF1796" s="284"/>
      <c r="AG1796" s="284"/>
      <c r="AI1796" s="131"/>
    </row>
    <row r="1797" spans="1:35" ht="26.4">
      <c r="A1797" s="284"/>
      <c r="B1797" s="284"/>
      <c r="C1797" s="284"/>
      <c r="D1797" s="284"/>
      <c r="E1797" s="284"/>
      <c r="F1797" s="284"/>
      <c r="G1797" s="284"/>
      <c r="H1797" s="284"/>
      <c r="I1797" s="284"/>
      <c r="J1797" s="375"/>
      <c r="K1797" s="375"/>
      <c r="L1797" s="375"/>
      <c r="M1797" s="368"/>
      <c r="N1797" s="368"/>
      <c r="O1797" s="370"/>
      <c r="T1797" s="340"/>
      <c r="V1797" s="378"/>
      <c r="W1797" s="64" ph="1"/>
      <c r="X1797" s="241"/>
      <c r="Y1797" s="284"/>
      <c r="Z1797" s="207"/>
      <c r="AA1797" s="284"/>
      <c r="AB1797" s="284"/>
      <c r="AC1797" s="284"/>
      <c r="AD1797" s="284"/>
      <c r="AE1797" s="284"/>
      <c r="AF1797" s="284"/>
      <c r="AG1797" s="284"/>
      <c r="AI1797" s="131"/>
    </row>
    <row r="1798" spans="1:35" ht="26.4">
      <c r="A1798" s="284"/>
      <c r="B1798" s="284"/>
      <c r="C1798" s="284"/>
      <c r="D1798" s="284"/>
      <c r="E1798" s="284"/>
      <c r="F1798" s="284"/>
      <c r="G1798" s="284"/>
      <c r="H1798" s="284"/>
      <c r="I1798" s="284"/>
      <c r="J1798" s="375"/>
      <c r="K1798" s="375"/>
      <c r="L1798" s="375"/>
      <c r="M1798" s="368"/>
      <c r="N1798" s="368"/>
      <c r="O1798" s="370"/>
      <c r="T1798" s="340"/>
      <c r="V1798" s="378"/>
      <c r="W1798" s="64" ph="1"/>
      <c r="X1798" s="241"/>
      <c r="Y1798" s="284"/>
      <c r="Z1798" s="207"/>
      <c r="AA1798" s="284"/>
      <c r="AB1798" s="284"/>
      <c r="AC1798" s="284"/>
      <c r="AD1798" s="284"/>
      <c r="AE1798" s="284"/>
      <c r="AF1798" s="284"/>
      <c r="AG1798" s="284"/>
      <c r="AI1798" s="131"/>
    </row>
    <row r="1799" spans="1:35" ht="26.4">
      <c r="A1799" s="284"/>
      <c r="B1799" s="284"/>
      <c r="C1799" s="284"/>
      <c r="D1799" s="284"/>
      <c r="E1799" s="284"/>
      <c r="F1799" s="284"/>
      <c r="G1799" s="284"/>
      <c r="H1799" s="284"/>
      <c r="I1799" s="284"/>
      <c r="J1799" s="375"/>
      <c r="K1799" s="375"/>
      <c r="L1799" s="375"/>
      <c r="M1799" s="368"/>
      <c r="N1799" s="368"/>
      <c r="O1799" s="370"/>
      <c r="T1799" s="340"/>
      <c r="V1799" s="378"/>
      <c r="W1799" s="64" ph="1"/>
      <c r="X1799" s="241"/>
      <c r="Y1799" s="284"/>
      <c r="Z1799" s="207"/>
      <c r="AA1799" s="284"/>
      <c r="AB1799" s="284"/>
      <c r="AC1799" s="284"/>
      <c r="AD1799" s="284"/>
      <c r="AE1799" s="284"/>
      <c r="AF1799" s="284"/>
      <c r="AG1799" s="284"/>
      <c r="AI1799" s="131"/>
    </row>
    <row r="1800" spans="1:35" ht="26.4">
      <c r="A1800" s="284"/>
      <c r="B1800" s="284"/>
      <c r="C1800" s="284"/>
      <c r="D1800" s="284"/>
      <c r="E1800" s="284"/>
      <c r="F1800" s="284"/>
      <c r="G1800" s="284"/>
      <c r="H1800" s="284"/>
      <c r="I1800" s="284"/>
      <c r="J1800" s="375"/>
      <c r="K1800" s="375"/>
      <c r="L1800" s="375"/>
      <c r="M1800" s="368"/>
      <c r="N1800" s="368"/>
      <c r="O1800" s="370"/>
      <c r="T1800" s="340"/>
      <c r="V1800" s="378"/>
      <c r="W1800" s="64" ph="1"/>
      <c r="X1800" s="241"/>
      <c r="Y1800" s="284"/>
      <c r="Z1800" s="207"/>
      <c r="AA1800" s="284"/>
      <c r="AB1800" s="284"/>
      <c r="AC1800" s="284"/>
      <c r="AD1800" s="284"/>
      <c r="AE1800" s="284"/>
      <c r="AF1800" s="284"/>
      <c r="AG1800" s="284"/>
      <c r="AI1800" s="131"/>
    </row>
    <row r="1801" spans="1:35" ht="26.4">
      <c r="A1801" s="284"/>
      <c r="B1801" s="284"/>
      <c r="C1801" s="284"/>
      <c r="D1801" s="284"/>
      <c r="E1801" s="284"/>
      <c r="F1801" s="284"/>
      <c r="G1801" s="284"/>
      <c r="H1801" s="284"/>
      <c r="I1801" s="284"/>
      <c r="J1801" s="375"/>
      <c r="K1801" s="375"/>
      <c r="L1801" s="375"/>
      <c r="M1801" s="368"/>
      <c r="N1801" s="368"/>
      <c r="O1801" s="370"/>
      <c r="T1801" s="340"/>
      <c r="V1801" s="378"/>
      <c r="W1801" s="64" ph="1"/>
      <c r="X1801" s="241"/>
      <c r="Y1801" s="284"/>
      <c r="Z1801" s="207"/>
      <c r="AA1801" s="284"/>
      <c r="AB1801" s="284"/>
      <c r="AC1801" s="284"/>
      <c r="AD1801" s="284"/>
      <c r="AE1801" s="284"/>
      <c r="AF1801" s="284"/>
      <c r="AG1801" s="284"/>
      <c r="AI1801" s="131"/>
    </row>
    <row r="1802" spans="1:35" ht="26.4">
      <c r="A1802" s="284"/>
      <c r="B1802" s="284"/>
      <c r="C1802" s="284"/>
      <c r="D1802" s="284"/>
      <c r="E1802" s="284"/>
      <c r="F1802" s="284"/>
      <c r="G1802" s="284"/>
      <c r="H1802" s="284"/>
      <c r="I1802" s="284"/>
      <c r="J1802" s="375"/>
      <c r="K1802" s="375"/>
      <c r="L1802" s="375"/>
      <c r="M1802" s="368"/>
      <c r="N1802" s="368"/>
      <c r="O1802" s="370"/>
      <c r="T1802" s="340"/>
      <c r="V1802" s="378"/>
      <c r="W1802" s="64" ph="1"/>
      <c r="X1802" s="241"/>
      <c r="Y1802" s="284"/>
      <c r="Z1802" s="207"/>
      <c r="AA1802" s="284"/>
      <c r="AB1802" s="284"/>
      <c r="AC1802" s="284"/>
      <c r="AD1802" s="284"/>
      <c r="AE1802" s="284"/>
      <c r="AF1802" s="284"/>
      <c r="AG1802" s="284"/>
      <c r="AI1802" s="131"/>
    </row>
    <row r="1803" spans="1:35" ht="26.4">
      <c r="A1803" s="284"/>
      <c r="B1803" s="284"/>
      <c r="C1803" s="284"/>
      <c r="D1803" s="284"/>
      <c r="E1803" s="284"/>
      <c r="F1803" s="284"/>
      <c r="G1803" s="284"/>
      <c r="H1803" s="284"/>
      <c r="I1803" s="284"/>
      <c r="J1803" s="375"/>
      <c r="K1803" s="375"/>
      <c r="L1803" s="375"/>
      <c r="M1803" s="368"/>
      <c r="N1803" s="368"/>
      <c r="O1803" s="370"/>
      <c r="T1803" s="340"/>
      <c r="V1803" s="378"/>
      <c r="W1803" s="64" ph="1"/>
      <c r="X1803" s="241"/>
      <c r="Y1803" s="284"/>
      <c r="Z1803" s="207"/>
      <c r="AA1803" s="284"/>
      <c r="AB1803" s="284"/>
      <c r="AC1803" s="284"/>
      <c r="AD1803" s="284"/>
      <c r="AE1803" s="284"/>
      <c r="AF1803" s="284"/>
      <c r="AG1803" s="284"/>
      <c r="AI1803" s="131"/>
    </row>
    <row r="1804" spans="1:35" ht="26.4">
      <c r="A1804" s="284"/>
      <c r="B1804" s="284"/>
      <c r="C1804" s="284"/>
      <c r="D1804" s="284"/>
      <c r="E1804" s="284"/>
      <c r="F1804" s="284"/>
      <c r="G1804" s="284"/>
      <c r="H1804" s="284"/>
      <c r="I1804" s="284"/>
      <c r="J1804" s="375"/>
      <c r="K1804" s="375"/>
      <c r="L1804" s="375"/>
      <c r="M1804" s="368"/>
      <c r="N1804" s="368"/>
      <c r="O1804" s="370"/>
      <c r="T1804" s="340"/>
      <c r="V1804" s="378"/>
      <c r="W1804" s="64" ph="1"/>
      <c r="X1804" s="241"/>
      <c r="Y1804" s="284"/>
      <c r="Z1804" s="207"/>
      <c r="AA1804" s="284"/>
      <c r="AB1804" s="284"/>
      <c r="AC1804" s="284"/>
      <c r="AD1804" s="284"/>
      <c r="AE1804" s="284"/>
      <c r="AF1804" s="284"/>
      <c r="AG1804" s="284"/>
      <c r="AI1804" s="131"/>
    </row>
    <row r="1805" spans="1:35" ht="26.4">
      <c r="A1805" s="284"/>
      <c r="B1805" s="284"/>
      <c r="C1805" s="284"/>
      <c r="D1805" s="284"/>
      <c r="E1805" s="284"/>
      <c r="F1805" s="284"/>
      <c r="G1805" s="284"/>
      <c r="H1805" s="284"/>
      <c r="I1805" s="284"/>
      <c r="J1805" s="375"/>
      <c r="K1805" s="375"/>
      <c r="L1805" s="375"/>
      <c r="M1805" s="368"/>
      <c r="N1805" s="368"/>
      <c r="O1805" s="370"/>
      <c r="T1805" s="340"/>
      <c r="V1805" s="378"/>
      <c r="W1805" s="64" ph="1"/>
      <c r="X1805" s="241"/>
      <c r="Y1805" s="284"/>
      <c r="Z1805" s="207"/>
      <c r="AA1805" s="284"/>
      <c r="AB1805" s="284"/>
      <c r="AC1805" s="284"/>
      <c r="AD1805" s="284"/>
      <c r="AE1805" s="284"/>
      <c r="AF1805" s="284"/>
      <c r="AG1805" s="284"/>
      <c r="AI1805" s="131"/>
    </row>
    <row r="1806" spans="1:35" ht="26.4">
      <c r="A1806" s="284"/>
      <c r="B1806" s="284"/>
      <c r="C1806" s="284"/>
      <c r="D1806" s="284"/>
      <c r="E1806" s="284"/>
      <c r="F1806" s="284"/>
      <c r="G1806" s="284"/>
      <c r="H1806" s="284"/>
      <c r="I1806" s="284"/>
      <c r="J1806" s="375"/>
      <c r="K1806" s="375"/>
      <c r="L1806" s="375"/>
      <c r="M1806" s="368"/>
      <c r="N1806" s="368"/>
      <c r="O1806" s="370"/>
      <c r="T1806" s="340"/>
      <c r="V1806" s="378"/>
      <c r="W1806" s="64" ph="1"/>
      <c r="X1806" s="241"/>
      <c r="Y1806" s="284"/>
      <c r="Z1806" s="207"/>
      <c r="AA1806" s="284"/>
      <c r="AB1806" s="284"/>
      <c r="AC1806" s="284"/>
      <c r="AD1806" s="284"/>
      <c r="AE1806" s="284"/>
      <c r="AF1806" s="284"/>
      <c r="AG1806" s="284"/>
      <c r="AI1806" s="131"/>
    </row>
    <row r="1807" spans="1:35" ht="26.4">
      <c r="A1807" s="284"/>
      <c r="B1807" s="284"/>
      <c r="C1807" s="284"/>
      <c r="D1807" s="284"/>
      <c r="E1807" s="284"/>
      <c r="F1807" s="284"/>
      <c r="G1807" s="284"/>
      <c r="H1807" s="284"/>
      <c r="I1807" s="284"/>
      <c r="J1807" s="375"/>
      <c r="K1807" s="375"/>
      <c r="L1807" s="375"/>
      <c r="M1807" s="368"/>
      <c r="N1807" s="368"/>
      <c r="O1807" s="370"/>
      <c r="T1807" s="340"/>
      <c r="V1807" s="378"/>
      <c r="W1807" s="64" ph="1"/>
      <c r="X1807" s="241"/>
      <c r="Y1807" s="284"/>
      <c r="Z1807" s="207"/>
      <c r="AA1807" s="284"/>
      <c r="AB1807" s="284"/>
      <c r="AC1807" s="284"/>
      <c r="AD1807" s="284"/>
      <c r="AE1807" s="284"/>
      <c r="AF1807" s="284"/>
      <c r="AG1807" s="284"/>
      <c r="AI1807" s="131"/>
    </row>
    <row r="1808" spans="1:35" ht="26.4">
      <c r="A1808" s="284"/>
      <c r="B1808" s="284"/>
      <c r="C1808" s="284"/>
      <c r="D1808" s="284"/>
      <c r="E1808" s="284"/>
      <c r="F1808" s="284"/>
      <c r="G1808" s="284"/>
      <c r="H1808" s="284"/>
      <c r="I1808" s="284"/>
      <c r="J1808" s="375"/>
      <c r="K1808" s="375"/>
      <c r="L1808" s="375"/>
      <c r="M1808" s="368"/>
      <c r="N1808" s="368"/>
      <c r="O1808" s="370"/>
      <c r="T1808" s="340"/>
      <c r="V1808" s="378"/>
      <c r="W1808" s="64" ph="1"/>
      <c r="X1808" s="241"/>
      <c r="Y1808" s="284"/>
      <c r="Z1808" s="207"/>
      <c r="AA1808" s="284"/>
      <c r="AB1808" s="284"/>
      <c r="AC1808" s="284"/>
      <c r="AD1808" s="284"/>
      <c r="AE1808" s="284"/>
      <c r="AF1808" s="284"/>
      <c r="AG1808" s="284"/>
      <c r="AI1808" s="131"/>
    </row>
    <row r="1809" spans="1:35" ht="26.4">
      <c r="A1809" s="284"/>
      <c r="B1809" s="284"/>
      <c r="C1809" s="284"/>
      <c r="D1809" s="284"/>
      <c r="E1809" s="284"/>
      <c r="F1809" s="284"/>
      <c r="G1809" s="284"/>
      <c r="H1809" s="284"/>
      <c r="I1809" s="284"/>
      <c r="J1809" s="375"/>
      <c r="K1809" s="375"/>
      <c r="L1809" s="375"/>
      <c r="M1809" s="368"/>
      <c r="N1809" s="368"/>
      <c r="O1809" s="370"/>
      <c r="T1809" s="340"/>
      <c r="V1809" s="378"/>
      <c r="W1809" s="64" ph="1"/>
      <c r="X1809" s="241"/>
      <c r="Y1809" s="284"/>
      <c r="Z1809" s="207"/>
      <c r="AA1809" s="284"/>
      <c r="AB1809" s="284"/>
      <c r="AC1809" s="284"/>
      <c r="AD1809" s="284"/>
      <c r="AE1809" s="284"/>
      <c r="AF1809" s="284"/>
      <c r="AG1809" s="284"/>
      <c r="AI1809" s="131"/>
    </row>
    <row r="1810" spans="1:35" ht="26.4">
      <c r="A1810" s="284"/>
      <c r="B1810" s="284"/>
      <c r="C1810" s="284"/>
      <c r="D1810" s="284"/>
      <c r="E1810" s="284"/>
      <c r="F1810" s="284"/>
      <c r="G1810" s="284"/>
      <c r="H1810" s="284"/>
      <c r="I1810" s="284"/>
      <c r="J1810" s="375"/>
      <c r="K1810" s="375"/>
      <c r="L1810" s="375"/>
      <c r="M1810" s="368"/>
      <c r="N1810" s="368"/>
      <c r="O1810" s="370"/>
      <c r="T1810" s="340"/>
      <c r="V1810" s="378"/>
      <c r="W1810" s="64" ph="1"/>
      <c r="X1810" s="241"/>
      <c r="Y1810" s="284"/>
      <c r="Z1810" s="207"/>
      <c r="AA1810" s="284"/>
      <c r="AB1810" s="284"/>
      <c r="AC1810" s="284"/>
      <c r="AD1810" s="284"/>
      <c r="AE1810" s="284"/>
      <c r="AF1810" s="284"/>
      <c r="AG1810" s="284"/>
      <c r="AI1810" s="131"/>
    </row>
    <row r="1811" spans="1:35" ht="26.4">
      <c r="A1811" s="284"/>
      <c r="B1811" s="284"/>
      <c r="C1811" s="284"/>
      <c r="D1811" s="284"/>
      <c r="E1811" s="284"/>
      <c r="F1811" s="284"/>
      <c r="G1811" s="284"/>
      <c r="H1811" s="284"/>
      <c r="I1811" s="284"/>
      <c r="J1811" s="375"/>
      <c r="K1811" s="375"/>
      <c r="L1811" s="375"/>
      <c r="M1811" s="368"/>
      <c r="N1811" s="368"/>
      <c r="O1811" s="370"/>
      <c r="T1811" s="340"/>
      <c r="V1811" s="378"/>
      <c r="W1811" s="64" ph="1"/>
      <c r="X1811" s="241"/>
      <c r="Y1811" s="284"/>
      <c r="Z1811" s="207"/>
      <c r="AA1811" s="284"/>
      <c r="AB1811" s="284"/>
      <c r="AC1811" s="284"/>
      <c r="AD1811" s="284"/>
      <c r="AE1811" s="284"/>
      <c r="AF1811" s="284"/>
      <c r="AG1811" s="284"/>
      <c r="AI1811" s="131"/>
    </row>
    <row r="1812" spans="1:35" ht="26.4">
      <c r="A1812" s="284"/>
      <c r="B1812" s="284"/>
      <c r="C1812" s="284"/>
      <c r="D1812" s="284"/>
      <c r="E1812" s="284"/>
      <c r="F1812" s="284"/>
      <c r="G1812" s="284"/>
      <c r="H1812" s="284"/>
      <c r="I1812" s="284"/>
      <c r="J1812" s="375"/>
      <c r="K1812" s="375"/>
      <c r="L1812" s="375"/>
      <c r="M1812" s="368"/>
      <c r="N1812" s="368"/>
      <c r="O1812" s="370"/>
      <c r="T1812" s="340"/>
      <c r="V1812" s="378"/>
      <c r="W1812" s="64" ph="1"/>
      <c r="X1812" s="241"/>
      <c r="Y1812" s="284"/>
      <c r="Z1812" s="207"/>
      <c r="AA1812" s="284"/>
      <c r="AB1812" s="284"/>
      <c r="AC1812" s="284"/>
      <c r="AD1812" s="284"/>
      <c r="AE1812" s="284"/>
      <c r="AF1812" s="284"/>
      <c r="AG1812" s="284"/>
      <c r="AI1812" s="131"/>
    </row>
    <row r="1813" spans="1:35" ht="26.4">
      <c r="A1813" s="284"/>
      <c r="B1813" s="284"/>
      <c r="C1813" s="284"/>
      <c r="D1813" s="284"/>
      <c r="E1813" s="284"/>
      <c r="F1813" s="284"/>
      <c r="G1813" s="284"/>
      <c r="H1813" s="284"/>
      <c r="I1813" s="284"/>
      <c r="J1813" s="375"/>
      <c r="K1813" s="375"/>
      <c r="L1813" s="375"/>
      <c r="M1813" s="368"/>
      <c r="N1813" s="368"/>
      <c r="O1813" s="370"/>
      <c r="T1813" s="340"/>
      <c r="V1813" s="378"/>
      <c r="W1813" s="64" ph="1"/>
      <c r="X1813" s="241"/>
      <c r="Y1813" s="284"/>
      <c r="Z1813" s="207"/>
      <c r="AA1813" s="284"/>
      <c r="AB1813" s="284"/>
      <c r="AC1813" s="284"/>
      <c r="AD1813" s="284"/>
      <c r="AE1813" s="284"/>
      <c r="AF1813" s="284"/>
      <c r="AG1813" s="284"/>
      <c r="AI1813" s="131"/>
    </row>
    <row r="1814" spans="1:35" ht="26.4">
      <c r="A1814" s="284"/>
      <c r="B1814" s="284"/>
      <c r="C1814" s="284"/>
      <c r="D1814" s="284"/>
      <c r="E1814" s="284"/>
      <c r="F1814" s="284"/>
      <c r="G1814" s="284"/>
      <c r="H1814" s="284"/>
      <c r="I1814" s="284"/>
      <c r="J1814" s="375"/>
      <c r="K1814" s="375"/>
      <c r="L1814" s="375"/>
      <c r="M1814" s="368"/>
      <c r="N1814" s="368"/>
      <c r="O1814" s="370"/>
      <c r="T1814" s="340"/>
      <c r="V1814" s="378"/>
      <c r="W1814" s="64" ph="1"/>
      <c r="X1814" s="241"/>
      <c r="Y1814" s="284"/>
      <c r="Z1814" s="207"/>
      <c r="AA1814" s="284"/>
      <c r="AB1814" s="284"/>
      <c r="AC1814" s="284"/>
      <c r="AD1814" s="284"/>
      <c r="AE1814" s="284"/>
      <c r="AF1814" s="284"/>
      <c r="AG1814" s="284"/>
      <c r="AI1814" s="128"/>
    </row>
    <row r="1815" spans="1:35" ht="26.4">
      <c r="A1815" s="284"/>
      <c r="B1815" s="284"/>
      <c r="C1815" s="284"/>
      <c r="D1815" s="284"/>
      <c r="E1815" s="284"/>
      <c r="F1815" s="284"/>
      <c r="G1815" s="284"/>
      <c r="H1815" s="284"/>
      <c r="I1815" s="284"/>
      <c r="J1815" s="375"/>
      <c r="K1815" s="375"/>
      <c r="L1815" s="375"/>
      <c r="M1815" s="368"/>
      <c r="N1815" s="368"/>
      <c r="O1815" s="370"/>
      <c r="T1815" s="340"/>
      <c r="V1815" s="378"/>
      <c r="W1815" s="64" ph="1"/>
      <c r="X1815" s="241"/>
      <c r="Y1815" s="284"/>
      <c r="Z1815" s="207"/>
      <c r="AA1815" s="284"/>
      <c r="AB1815" s="284"/>
      <c r="AC1815" s="284"/>
      <c r="AD1815" s="284"/>
      <c r="AE1815" s="284"/>
      <c r="AF1815" s="284"/>
      <c r="AG1815" s="284"/>
      <c r="AI1815" s="131"/>
    </row>
    <row r="1816" spans="1:35" ht="26.4">
      <c r="A1816" s="284"/>
      <c r="B1816" s="284"/>
      <c r="C1816" s="284"/>
      <c r="D1816" s="284"/>
      <c r="E1816" s="284"/>
      <c r="F1816" s="284"/>
      <c r="G1816" s="284"/>
      <c r="H1816" s="284"/>
      <c r="I1816" s="284"/>
      <c r="J1816" s="375"/>
      <c r="K1816" s="375"/>
      <c r="L1816" s="375"/>
      <c r="M1816" s="368"/>
      <c r="N1816" s="368"/>
      <c r="O1816" s="370"/>
      <c r="T1816" s="340"/>
      <c r="V1816" s="378"/>
      <c r="W1816" s="64" ph="1"/>
      <c r="X1816" s="241"/>
      <c r="Y1816" s="284"/>
      <c r="Z1816" s="207"/>
      <c r="AA1816" s="284"/>
      <c r="AB1816" s="284"/>
      <c r="AC1816" s="284"/>
      <c r="AD1816" s="284"/>
      <c r="AE1816" s="284"/>
      <c r="AF1816" s="284"/>
      <c r="AG1816" s="284"/>
      <c r="AI1816" s="131"/>
    </row>
    <row r="1817" spans="1:35" ht="26.4">
      <c r="A1817" s="284"/>
      <c r="B1817" s="284"/>
      <c r="C1817" s="284"/>
      <c r="D1817" s="284"/>
      <c r="E1817" s="284"/>
      <c r="F1817" s="284"/>
      <c r="G1817" s="284"/>
      <c r="H1817" s="284"/>
      <c r="I1817" s="284"/>
      <c r="J1817" s="375"/>
      <c r="K1817" s="375"/>
      <c r="L1817" s="375"/>
      <c r="M1817" s="368"/>
      <c r="N1817" s="368"/>
      <c r="O1817" s="370"/>
      <c r="T1817" s="340"/>
      <c r="V1817" s="378"/>
      <c r="W1817" s="64" ph="1"/>
      <c r="X1817" s="241"/>
      <c r="Y1817" s="284"/>
      <c r="Z1817" s="207"/>
      <c r="AA1817" s="284"/>
      <c r="AB1817" s="284"/>
      <c r="AC1817" s="284"/>
      <c r="AD1817" s="284"/>
      <c r="AE1817" s="284"/>
      <c r="AF1817" s="284"/>
      <c r="AG1817" s="284"/>
      <c r="AI1817" s="131"/>
    </row>
    <row r="1818" spans="1:35" ht="26.4">
      <c r="A1818" s="284"/>
      <c r="B1818" s="284"/>
      <c r="C1818" s="284"/>
      <c r="D1818" s="284"/>
      <c r="E1818" s="284"/>
      <c r="F1818" s="284"/>
      <c r="G1818" s="284"/>
      <c r="H1818" s="284"/>
      <c r="I1818" s="284"/>
      <c r="J1818" s="375"/>
      <c r="K1818" s="375"/>
      <c r="L1818" s="375"/>
      <c r="M1818" s="368"/>
      <c r="N1818" s="368"/>
      <c r="O1818" s="370"/>
      <c r="T1818" s="340"/>
      <c r="V1818" s="378"/>
      <c r="W1818" s="64" ph="1"/>
      <c r="X1818" s="241"/>
      <c r="Y1818" s="284"/>
      <c r="Z1818" s="207"/>
      <c r="AA1818" s="284"/>
      <c r="AB1818" s="284"/>
      <c r="AC1818" s="284"/>
      <c r="AD1818" s="284"/>
      <c r="AE1818" s="284"/>
      <c r="AF1818" s="284"/>
      <c r="AG1818" s="284"/>
      <c r="AI1818" s="131"/>
    </row>
    <row r="1819" spans="1:35" ht="26.4">
      <c r="A1819" s="284"/>
      <c r="B1819" s="284"/>
      <c r="C1819" s="284"/>
      <c r="D1819" s="284"/>
      <c r="E1819" s="284"/>
      <c r="F1819" s="284"/>
      <c r="G1819" s="284"/>
      <c r="H1819" s="284"/>
      <c r="I1819" s="284"/>
      <c r="J1819" s="375"/>
      <c r="K1819" s="375"/>
      <c r="L1819" s="375"/>
      <c r="M1819" s="368"/>
      <c r="N1819" s="368"/>
      <c r="O1819" s="370"/>
      <c r="T1819" s="340"/>
      <c r="V1819" s="378"/>
      <c r="W1819" s="64" ph="1"/>
      <c r="X1819" s="241"/>
      <c r="Y1819" s="284"/>
      <c r="Z1819" s="207"/>
      <c r="AA1819" s="284"/>
      <c r="AB1819" s="284"/>
      <c r="AC1819" s="284"/>
      <c r="AD1819" s="284"/>
      <c r="AE1819" s="284"/>
      <c r="AF1819" s="284"/>
      <c r="AG1819" s="284"/>
      <c r="AI1819" s="131"/>
    </row>
    <row r="1820" spans="1:35" ht="26.4">
      <c r="A1820" s="284"/>
      <c r="B1820" s="284"/>
      <c r="C1820" s="284"/>
      <c r="D1820" s="284"/>
      <c r="E1820" s="284"/>
      <c r="F1820" s="284"/>
      <c r="G1820" s="284"/>
      <c r="H1820" s="284"/>
      <c r="I1820" s="284"/>
      <c r="J1820" s="375"/>
      <c r="K1820" s="375"/>
      <c r="L1820" s="375"/>
      <c r="M1820" s="368"/>
      <c r="N1820" s="368"/>
      <c r="O1820" s="370"/>
      <c r="T1820" s="340"/>
      <c r="V1820" s="378"/>
      <c r="W1820" s="64" ph="1"/>
      <c r="X1820" s="241"/>
      <c r="Y1820" s="284"/>
      <c r="Z1820" s="207"/>
      <c r="AA1820" s="284"/>
      <c r="AB1820" s="284"/>
      <c r="AC1820" s="284"/>
      <c r="AD1820" s="284"/>
      <c r="AE1820" s="284"/>
      <c r="AF1820" s="284"/>
      <c r="AG1820" s="284"/>
      <c r="AI1820" s="131"/>
    </row>
    <row r="1821" spans="1:35" ht="26.4">
      <c r="A1821" s="284"/>
      <c r="B1821" s="284"/>
      <c r="C1821" s="284"/>
      <c r="D1821" s="284"/>
      <c r="E1821" s="284"/>
      <c r="F1821" s="284"/>
      <c r="G1821" s="284"/>
      <c r="H1821" s="284"/>
      <c r="I1821" s="284"/>
      <c r="J1821" s="375"/>
      <c r="K1821" s="375"/>
      <c r="L1821" s="375"/>
      <c r="M1821" s="368"/>
      <c r="N1821" s="368"/>
      <c r="O1821" s="370"/>
      <c r="T1821" s="340"/>
      <c r="V1821" s="378"/>
      <c r="W1821" s="64" ph="1"/>
      <c r="X1821" s="241"/>
      <c r="Y1821" s="284"/>
      <c r="Z1821" s="207"/>
      <c r="AA1821" s="284"/>
      <c r="AB1821" s="284"/>
      <c r="AC1821" s="284"/>
      <c r="AD1821" s="284"/>
      <c r="AE1821" s="284"/>
      <c r="AF1821" s="284"/>
      <c r="AG1821" s="284"/>
      <c r="AI1821" s="131"/>
    </row>
    <row r="1822" spans="1:35" ht="26.4">
      <c r="A1822" s="284"/>
      <c r="B1822" s="284"/>
      <c r="C1822" s="284"/>
      <c r="D1822" s="284"/>
      <c r="E1822" s="284"/>
      <c r="F1822" s="284"/>
      <c r="G1822" s="284"/>
      <c r="H1822" s="284"/>
      <c r="I1822" s="284"/>
      <c r="J1822" s="375"/>
      <c r="K1822" s="375"/>
      <c r="L1822" s="375"/>
      <c r="M1822" s="368"/>
      <c r="N1822" s="368"/>
      <c r="O1822" s="370"/>
      <c r="T1822" s="340"/>
      <c r="V1822" s="378"/>
      <c r="W1822" s="64" ph="1"/>
      <c r="X1822" s="241"/>
      <c r="Y1822" s="284"/>
      <c r="Z1822" s="207"/>
      <c r="AA1822" s="284"/>
      <c r="AB1822" s="284"/>
      <c r="AC1822" s="284"/>
      <c r="AD1822" s="284"/>
      <c r="AE1822" s="284"/>
      <c r="AF1822" s="284"/>
      <c r="AG1822" s="284"/>
      <c r="AI1822" s="131"/>
    </row>
    <row r="1823" spans="1:35" ht="26.4">
      <c r="A1823" s="284"/>
      <c r="B1823" s="284"/>
      <c r="C1823" s="284"/>
      <c r="D1823" s="284"/>
      <c r="E1823" s="284"/>
      <c r="F1823" s="284"/>
      <c r="G1823" s="284"/>
      <c r="H1823" s="284"/>
      <c r="I1823" s="284"/>
      <c r="J1823" s="375"/>
      <c r="K1823" s="375"/>
      <c r="L1823" s="375"/>
      <c r="M1823" s="368"/>
      <c r="N1823" s="368"/>
      <c r="O1823" s="370"/>
      <c r="T1823" s="340"/>
      <c r="V1823" s="378"/>
      <c r="W1823" s="64" ph="1"/>
      <c r="X1823" s="241"/>
      <c r="Y1823" s="284"/>
      <c r="Z1823" s="207"/>
      <c r="AA1823" s="284"/>
      <c r="AB1823" s="284"/>
      <c r="AC1823" s="284"/>
      <c r="AD1823" s="284"/>
      <c r="AE1823" s="284"/>
      <c r="AF1823" s="284"/>
      <c r="AG1823" s="284"/>
      <c r="AI1823" s="131"/>
    </row>
    <row r="1824" spans="1:35" ht="26.4">
      <c r="A1824" s="284"/>
      <c r="B1824" s="284"/>
      <c r="C1824" s="284"/>
      <c r="D1824" s="284"/>
      <c r="E1824" s="284"/>
      <c r="F1824" s="284"/>
      <c r="G1824" s="284"/>
      <c r="H1824" s="284"/>
      <c r="I1824" s="284"/>
      <c r="J1824" s="375"/>
      <c r="K1824" s="375"/>
      <c r="L1824" s="375"/>
      <c r="M1824" s="368"/>
      <c r="N1824" s="368"/>
      <c r="O1824" s="370"/>
      <c r="T1824" s="340"/>
      <c r="V1824" s="378"/>
      <c r="W1824" s="64" ph="1"/>
      <c r="X1824" s="241"/>
      <c r="Y1824" s="284"/>
      <c r="Z1824" s="207"/>
      <c r="AA1824" s="284"/>
      <c r="AB1824" s="284"/>
      <c r="AC1824" s="284"/>
      <c r="AD1824" s="284"/>
      <c r="AE1824" s="284"/>
      <c r="AF1824" s="284"/>
      <c r="AG1824" s="284"/>
      <c r="AI1824" s="131"/>
    </row>
    <row r="1825" spans="1:35" ht="26.4">
      <c r="A1825" s="284"/>
      <c r="B1825" s="284"/>
      <c r="C1825" s="284"/>
      <c r="D1825" s="284"/>
      <c r="E1825" s="284"/>
      <c r="F1825" s="284"/>
      <c r="G1825" s="284"/>
      <c r="H1825" s="284"/>
      <c r="I1825" s="284"/>
      <c r="J1825" s="375"/>
      <c r="K1825" s="375"/>
      <c r="L1825" s="375"/>
      <c r="M1825" s="368"/>
      <c r="N1825" s="368"/>
      <c r="O1825" s="370"/>
      <c r="T1825" s="340"/>
      <c r="V1825" s="378"/>
      <c r="W1825" s="64" ph="1"/>
      <c r="X1825" s="241"/>
      <c r="Y1825" s="284"/>
      <c r="Z1825" s="207"/>
      <c r="AA1825" s="284"/>
      <c r="AB1825" s="284"/>
      <c r="AC1825" s="284"/>
      <c r="AD1825" s="284"/>
      <c r="AE1825" s="284"/>
      <c r="AF1825" s="284"/>
      <c r="AG1825" s="284"/>
      <c r="AI1825" s="131"/>
    </row>
    <row r="1826" spans="1:35" ht="26.4">
      <c r="A1826" s="284"/>
      <c r="B1826" s="284"/>
      <c r="C1826" s="284"/>
      <c r="D1826" s="284"/>
      <c r="E1826" s="284"/>
      <c r="F1826" s="284"/>
      <c r="G1826" s="284"/>
      <c r="H1826" s="284"/>
      <c r="I1826" s="284"/>
      <c r="J1826" s="375"/>
      <c r="K1826" s="375"/>
      <c r="L1826" s="375"/>
      <c r="M1826" s="368"/>
      <c r="N1826" s="368"/>
      <c r="O1826" s="370"/>
      <c r="T1826" s="340"/>
      <c r="V1826" s="378"/>
      <c r="W1826" s="64" ph="1"/>
      <c r="X1826" s="241"/>
      <c r="Y1826" s="284"/>
      <c r="Z1826" s="207"/>
      <c r="AA1826" s="284"/>
      <c r="AB1826" s="284"/>
      <c r="AC1826" s="284"/>
      <c r="AD1826" s="284"/>
      <c r="AE1826" s="284"/>
      <c r="AF1826" s="284"/>
      <c r="AG1826" s="284"/>
      <c r="AI1826" s="131"/>
    </row>
    <row r="1827" spans="1:35" ht="26.4">
      <c r="A1827" s="284"/>
      <c r="B1827" s="284"/>
      <c r="C1827" s="284"/>
      <c r="D1827" s="284"/>
      <c r="E1827" s="284"/>
      <c r="F1827" s="284"/>
      <c r="G1827" s="284"/>
      <c r="H1827" s="284"/>
      <c r="I1827" s="284"/>
      <c r="J1827" s="375"/>
      <c r="K1827" s="375"/>
      <c r="L1827" s="375"/>
      <c r="M1827" s="368"/>
      <c r="N1827" s="368"/>
      <c r="O1827" s="370"/>
      <c r="T1827" s="340"/>
      <c r="V1827" s="378"/>
      <c r="W1827" s="64" ph="1"/>
      <c r="X1827" s="241"/>
      <c r="Y1827" s="284"/>
      <c r="Z1827" s="207"/>
      <c r="AA1827" s="284"/>
      <c r="AB1827" s="284"/>
      <c r="AC1827" s="284"/>
      <c r="AD1827" s="284"/>
      <c r="AE1827" s="284"/>
      <c r="AF1827" s="284"/>
      <c r="AG1827" s="284"/>
      <c r="AI1827" s="131"/>
    </row>
    <row r="1828" spans="1:35" ht="26.4">
      <c r="A1828" s="284"/>
      <c r="B1828" s="284"/>
      <c r="C1828" s="284"/>
      <c r="D1828" s="284"/>
      <c r="E1828" s="284"/>
      <c r="F1828" s="284"/>
      <c r="G1828" s="284"/>
      <c r="H1828" s="284"/>
      <c r="I1828" s="284"/>
      <c r="J1828" s="375"/>
      <c r="K1828" s="375"/>
      <c r="L1828" s="375"/>
      <c r="M1828" s="368"/>
      <c r="N1828" s="368"/>
      <c r="O1828" s="370"/>
      <c r="T1828" s="340"/>
      <c r="V1828" s="378"/>
      <c r="W1828" s="64" ph="1"/>
      <c r="X1828" s="241"/>
      <c r="Y1828" s="284"/>
      <c r="Z1828" s="207"/>
      <c r="AA1828" s="284"/>
      <c r="AB1828" s="284"/>
      <c r="AC1828" s="284"/>
      <c r="AD1828" s="284"/>
      <c r="AE1828" s="284"/>
      <c r="AF1828" s="284"/>
      <c r="AG1828" s="284"/>
      <c r="AI1828" s="131"/>
    </row>
    <row r="1829" spans="1:35" ht="26.4">
      <c r="A1829" s="284"/>
      <c r="B1829" s="284"/>
      <c r="C1829" s="284"/>
      <c r="D1829" s="284"/>
      <c r="E1829" s="284"/>
      <c r="F1829" s="284"/>
      <c r="G1829" s="284"/>
      <c r="H1829" s="284"/>
      <c r="I1829" s="284"/>
      <c r="J1829" s="375"/>
      <c r="K1829" s="375"/>
      <c r="L1829" s="375"/>
      <c r="M1829" s="368"/>
      <c r="N1829" s="368"/>
      <c r="O1829" s="370"/>
      <c r="T1829" s="340"/>
      <c r="V1829" s="378"/>
      <c r="W1829" s="64" ph="1"/>
      <c r="X1829" s="241"/>
      <c r="Y1829" s="284"/>
      <c r="Z1829" s="207"/>
      <c r="AA1829" s="284"/>
      <c r="AB1829" s="284"/>
      <c r="AC1829" s="284"/>
      <c r="AD1829" s="284"/>
      <c r="AE1829" s="284"/>
      <c r="AF1829" s="284"/>
      <c r="AG1829" s="284"/>
      <c r="AI1829" s="131"/>
    </row>
    <row r="1830" spans="1:35" ht="26.4">
      <c r="A1830" s="284"/>
      <c r="B1830" s="284"/>
      <c r="C1830" s="284"/>
      <c r="D1830" s="284"/>
      <c r="E1830" s="284"/>
      <c r="F1830" s="284"/>
      <c r="G1830" s="284"/>
      <c r="H1830" s="284"/>
      <c r="I1830" s="284"/>
      <c r="J1830" s="375"/>
      <c r="K1830" s="375"/>
      <c r="L1830" s="375"/>
      <c r="M1830" s="368"/>
      <c r="N1830" s="368"/>
      <c r="O1830" s="370"/>
      <c r="T1830" s="340"/>
      <c r="V1830" s="378"/>
      <c r="W1830" s="64" ph="1"/>
      <c r="X1830" s="241"/>
      <c r="Y1830" s="284"/>
      <c r="Z1830" s="207"/>
      <c r="AA1830" s="284"/>
      <c r="AB1830" s="284"/>
      <c r="AC1830" s="284"/>
      <c r="AD1830" s="284"/>
      <c r="AE1830" s="284"/>
      <c r="AF1830" s="284"/>
      <c r="AG1830" s="284"/>
      <c r="AI1830" s="131"/>
    </row>
    <row r="1831" spans="1:35" ht="26.4">
      <c r="A1831" s="284"/>
      <c r="B1831" s="284"/>
      <c r="C1831" s="284"/>
      <c r="D1831" s="284"/>
      <c r="E1831" s="284"/>
      <c r="F1831" s="284"/>
      <c r="G1831" s="284"/>
      <c r="H1831" s="284"/>
      <c r="I1831" s="284"/>
      <c r="J1831" s="375"/>
      <c r="K1831" s="375"/>
      <c r="L1831" s="375"/>
      <c r="M1831" s="368"/>
      <c r="N1831" s="368"/>
      <c r="O1831" s="370"/>
      <c r="T1831" s="340"/>
      <c r="V1831" s="378"/>
      <c r="W1831" s="64" ph="1"/>
      <c r="X1831" s="241"/>
      <c r="Y1831" s="284"/>
      <c r="Z1831" s="207"/>
      <c r="AA1831" s="284"/>
      <c r="AB1831" s="284"/>
      <c r="AC1831" s="284"/>
      <c r="AD1831" s="284"/>
      <c r="AE1831" s="284"/>
      <c r="AF1831" s="284"/>
      <c r="AG1831" s="284"/>
      <c r="AI1831" s="131"/>
    </row>
    <row r="1832" spans="1:35" ht="26.4">
      <c r="A1832" s="284"/>
      <c r="B1832" s="284"/>
      <c r="C1832" s="284"/>
      <c r="D1832" s="284"/>
      <c r="E1832" s="284"/>
      <c r="F1832" s="284"/>
      <c r="G1832" s="284"/>
      <c r="H1832" s="284"/>
      <c r="I1832" s="284"/>
      <c r="J1832" s="375"/>
      <c r="K1832" s="375"/>
      <c r="L1832" s="375"/>
      <c r="M1832" s="368"/>
      <c r="N1832" s="368"/>
      <c r="O1832" s="370"/>
      <c r="T1832" s="340"/>
      <c r="V1832" s="378"/>
      <c r="W1832" s="64" ph="1"/>
      <c r="X1832" s="241"/>
      <c r="Y1832" s="284"/>
      <c r="Z1832" s="207"/>
      <c r="AA1832" s="284"/>
      <c r="AB1832" s="284"/>
      <c r="AC1832" s="284"/>
      <c r="AD1832" s="284"/>
      <c r="AE1832" s="284"/>
      <c r="AF1832" s="284"/>
      <c r="AG1832" s="284"/>
      <c r="AI1832" s="131"/>
    </row>
    <row r="1833" spans="1:35" ht="26.4">
      <c r="A1833" s="284"/>
      <c r="B1833" s="284"/>
      <c r="C1833" s="284"/>
      <c r="D1833" s="284"/>
      <c r="E1833" s="284"/>
      <c r="F1833" s="284"/>
      <c r="G1833" s="284"/>
      <c r="H1833" s="284"/>
      <c r="I1833" s="284"/>
      <c r="J1833" s="375"/>
      <c r="K1833" s="375"/>
      <c r="L1833" s="375"/>
      <c r="M1833" s="368"/>
      <c r="N1833" s="368"/>
      <c r="O1833" s="370"/>
      <c r="T1833" s="340"/>
      <c r="V1833" s="378"/>
      <c r="W1833" s="64" ph="1"/>
      <c r="X1833" s="241"/>
      <c r="Y1833" s="284"/>
      <c r="Z1833" s="207"/>
      <c r="AA1833" s="284"/>
      <c r="AB1833" s="284"/>
      <c r="AC1833" s="284"/>
      <c r="AD1833" s="284"/>
      <c r="AE1833" s="284"/>
      <c r="AF1833" s="284"/>
      <c r="AG1833" s="284"/>
      <c r="AI1833" s="131"/>
    </row>
    <row r="1834" spans="1:35" ht="26.4">
      <c r="A1834" s="284"/>
      <c r="B1834" s="284"/>
      <c r="C1834" s="284"/>
      <c r="D1834" s="284"/>
      <c r="E1834" s="284"/>
      <c r="F1834" s="284"/>
      <c r="G1834" s="284"/>
      <c r="H1834" s="284"/>
      <c r="I1834" s="284"/>
      <c r="J1834" s="375"/>
      <c r="K1834" s="375"/>
      <c r="L1834" s="375"/>
      <c r="M1834" s="368"/>
      <c r="N1834" s="368"/>
      <c r="O1834" s="370"/>
      <c r="T1834" s="340"/>
      <c r="V1834" s="378"/>
      <c r="W1834" s="64" ph="1"/>
      <c r="X1834" s="241"/>
      <c r="Y1834" s="284"/>
      <c r="Z1834" s="207"/>
      <c r="AA1834" s="284"/>
      <c r="AB1834" s="284"/>
      <c r="AC1834" s="284"/>
      <c r="AD1834" s="284"/>
      <c r="AE1834" s="284"/>
      <c r="AF1834" s="284"/>
      <c r="AG1834" s="284"/>
      <c r="AI1834" s="131"/>
    </row>
    <row r="1835" spans="1:35" ht="26.4">
      <c r="A1835" s="284"/>
      <c r="B1835" s="284"/>
      <c r="C1835" s="284"/>
      <c r="D1835" s="284"/>
      <c r="E1835" s="284"/>
      <c r="F1835" s="284"/>
      <c r="G1835" s="284"/>
      <c r="H1835" s="284"/>
      <c r="I1835" s="284"/>
      <c r="J1835" s="375"/>
      <c r="K1835" s="375"/>
      <c r="L1835" s="375"/>
      <c r="M1835" s="368"/>
      <c r="N1835" s="368"/>
      <c r="O1835" s="370"/>
      <c r="T1835" s="340"/>
      <c r="V1835" s="378"/>
      <c r="W1835" s="64" ph="1"/>
      <c r="X1835" s="241"/>
      <c r="Y1835" s="284"/>
      <c r="Z1835" s="207"/>
      <c r="AA1835" s="284"/>
      <c r="AB1835" s="284"/>
      <c r="AC1835" s="284"/>
      <c r="AD1835" s="284"/>
      <c r="AE1835" s="284"/>
      <c r="AF1835" s="284"/>
      <c r="AG1835" s="284"/>
      <c r="AI1835" s="131"/>
    </row>
    <row r="1836" spans="1:35" ht="26.4">
      <c r="A1836" s="284"/>
      <c r="B1836" s="284"/>
      <c r="C1836" s="284"/>
      <c r="D1836" s="284"/>
      <c r="E1836" s="284"/>
      <c r="F1836" s="284"/>
      <c r="G1836" s="284"/>
      <c r="H1836" s="284"/>
      <c r="I1836" s="284"/>
      <c r="J1836" s="375"/>
      <c r="K1836" s="375"/>
      <c r="L1836" s="375"/>
      <c r="M1836" s="368"/>
      <c r="N1836" s="368"/>
      <c r="O1836" s="370"/>
      <c r="T1836" s="340"/>
      <c r="V1836" s="378"/>
      <c r="W1836" s="64" ph="1"/>
      <c r="X1836" s="241"/>
      <c r="Y1836" s="284"/>
      <c r="Z1836" s="207"/>
      <c r="AA1836" s="284"/>
      <c r="AB1836" s="284"/>
      <c r="AC1836" s="284"/>
      <c r="AD1836" s="284"/>
      <c r="AE1836" s="284"/>
      <c r="AF1836" s="284"/>
      <c r="AG1836" s="284"/>
      <c r="AI1836" s="131"/>
    </row>
    <row r="1837" spans="1:35" ht="26.4">
      <c r="A1837" s="284"/>
      <c r="B1837" s="284"/>
      <c r="C1837" s="284"/>
      <c r="D1837" s="284"/>
      <c r="E1837" s="284"/>
      <c r="F1837" s="284"/>
      <c r="G1837" s="284"/>
      <c r="H1837" s="284"/>
      <c r="I1837" s="284"/>
      <c r="J1837" s="375"/>
      <c r="K1837" s="375"/>
      <c r="L1837" s="375"/>
      <c r="M1837" s="368"/>
      <c r="N1837" s="368"/>
      <c r="O1837" s="370"/>
      <c r="T1837" s="340"/>
      <c r="V1837" s="378"/>
      <c r="W1837" s="64" ph="1"/>
      <c r="X1837" s="241"/>
      <c r="Y1837" s="284"/>
      <c r="Z1837" s="207"/>
      <c r="AA1837" s="284"/>
      <c r="AB1837" s="284"/>
      <c r="AC1837" s="284"/>
      <c r="AD1837" s="284"/>
      <c r="AE1837" s="284"/>
      <c r="AF1837" s="284"/>
      <c r="AG1837" s="284"/>
      <c r="AI1837" s="131"/>
    </row>
    <row r="1838" spans="1:35" ht="26.4">
      <c r="A1838" s="284"/>
      <c r="B1838" s="284"/>
      <c r="C1838" s="284"/>
      <c r="D1838" s="284"/>
      <c r="E1838" s="284"/>
      <c r="F1838" s="284"/>
      <c r="G1838" s="284"/>
      <c r="H1838" s="284"/>
      <c r="I1838" s="284"/>
      <c r="J1838" s="375"/>
      <c r="K1838" s="375"/>
      <c r="L1838" s="375"/>
      <c r="M1838" s="368"/>
      <c r="N1838" s="368"/>
      <c r="O1838" s="370"/>
      <c r="T1838" s="340"/>
      <c r="V1838" s="378"/>
      <c r="W1838" s="64" ph="1"/>
      <c r="X1838" s="241"/>
      <c r="Y1838" s="284"/>
      <c r="Z1838" s="207"/>
      <c r="AA1838" s="284"/>
      <c r="AB1838" s="284"/>
      <c r="AC1838" s="284"/>
      <c r="AD1838" s="284"/>
      <c r="AE1838" s="284"/>
      <c r="AF1838" s="284"/>
      <c r="AG1838" s="284"/>
      <c r="AI1838" s="284"/>
    </row>
    <row r="1839" spans="1:35" ht="26.4">
      <c r="A1839" s="284"/>
      <c r="B1839" s="284"/>
      <c r="C1839" s="284"/>
      <c r="D1839" s="284"/>
      <c r="E1839" s="284"/>
      <c r="F1839" s="284"/>
      <c r="G1839" s="284"/>
      <c r="H1839" s="284"/>
      <c r="I1839" s="284"/>
      <c r="J1839" s="375"/>
      <c r="K1839" s="375"/>
      <c r="L1839" s="375"/>
      <c r="M1839" s="368"/>
      <c r="N1839" s="368"/>
      <c r="O1839" s="370"/>
      <c r="T1839" s="340"/>
      <c r="V1839" s="378"/>
      <c r="W1839" s="64" ph="1"/>
      <c r="X1839" s="241"/>
      <c r="Y1839" s="284"/>
      <c r="Z1839" s="207"/>
      <c r="AA1839" s="284"/>
      <c r="AB1839" s="284"/>
      <c r="AC1839" s="284"/>
      <c r="AD1839" s="284"/>
      <c r="AE1839" s="284"/>
      <c r="AF1839" s="284"/>
      <c r="AG1839" s="284"/>
      <c r="AI1839" s="131"/>
    </row>
    <row r="1840" spans="1:35" ht="26.4">
      <c r="A1840" s="284"/>
      <c r="B1840" s="284"/>
      <c r="C1840" s="284"/>
      <c r="D1840" s="284"/>
      <c r="E1840" s="284"/>
      <c r="F1840" s="284"/>
      <c r="G1840" s="284"/>
      <c r="H1840" s="284"/>
      <c r="I1840" s="284"/>
      <c r="J1840" s="375"/>
      <c r="K1840" s="375"/>
      <c r="L1840" s="375"/>
      <c r="M1840" s="368"/>
      <c r="N1840" s="368"/>
      <c r="O1840" s="370"/>
      <c r="T1840" s="340"/>
      <c r="V1840" s="378"/>
      <c r="W1840" s="64" ph="1"/>
      <c r="X1840" s="241"/>
      <c r="Y1840" s="284"/>
      <c r="Z1840" s="207"/>
      <c r="AA1840" s="284"/>
      <c r="AB1840" s="284"/>
      <c r="AC1840" s="284"/>
      <c r="AD1840" s="284"/>
      <c r="AE1840" s="284"/>
      <c r="AF1840" s="284"/>
      <c r="AG1840" s="284"/>
      <c r="AI1840" s="131"/>
    </row>
    <row r="1841" spans="1:35" ht="26.4">
      <c r="A1841" s="284"/>
      <c r="B1841" s="284"/>
      <c r="C1841" s="284"/>
      <c r="D1841" s="284"/>
      <c r="E1841" s="284"/>
      <c r="F1841" s="284"/>
      <c r="G1841" s="284"/>
      <c r="H1841" s="284"/>
      <c r="I1841" s="284"/>
      <c r="J1841" s="375"/>
      <c r="K1841" s="375"/>
      <c r="L1841" s="375"/>
      <c r="M1841" s="368"/>
      <c r="N1841" s="368"/>
      <c r="O1841" s="370"/>
      <c r="T1841" s="340"/>
      <c r="V1841" s="378"/>
      <c r="W1841" s="64" ph="1"/>
      <c r="X1841" s="241"/>
      <c r="Y1841" s="284"/>
      <c r="Z1841" s="207"/>
      <c r="AA1841" s="284"/>
      <c r="AB1841" s="284"/>
      <c r="AC1841" s="284"/>
      <c r="AD1841" s="284"/>
      <c r="AE1841" s="284"/>
      <c r="AF1841" s="284"/>
      <c r="AG1841" s="284"/>
      <c r="AI1841" s="131"/>
    </row>
    <row r="1842" spans="1:35" ht="26.4">
      <c r="A1842" s="284"/>
      <c r="B1842" s="284"/>
      <c r="C1842" s="284"/>
      <c r="D1842" s="284"/>
      <c r="E1842" s="284"/>
      <c r="F1842" s="284"/>
      <c r="G1842" s="284"/>
      <c r="H1842" s="284"/>
      <c r="I1842" s="284"/>
      <c r="J1842" s="375"/>
      <c r="K1842" s="375"/>
      <c r="L1842" s="375"/>
      <c r="M1842" s="368"/>
      <c r="N1842" s="368"/>
      <c r="O1842" s="370"/>
      <c r="T1842" s="340"/>
      <c r="V1842" s="378"/>
      <c r="W1842" s="64" ph="1"/>
      <c r="X1842" s="241"/>
      <c r="Y1842" s="284"/>
      <c r="Z1842" s="207"/>
      <c r="AA1842" s="284"/>
      <c r="AB1842" s="284"/>
      <c r="AC1842" s="284"/>
      <c r="AD1842" s="284"/>
      <c r="AE1842" s="284"/>
      <c r="AF1842" s="284"/>
      <c r="AG1842" s="284"/>
      <c r="AI1842" s="131"/>
    </row>
    <row r="1843" spans="1:35" ht="26.4">
      <c r="A1843" s="284"/>
      <c r="B1843" s="284"/>
      <c r="C1843" s="284"/>
      <c r="D1843" s="284"/>
      <c r="E1843" s="284"/>
      <c r="F1843" s="284"/>
      <c r="G1843" s="284"/>
      <c r="H1843" s="284"/>
      <c r="I1843" s="284"/>
      <c r="J1843" s="375"/>
      <c r="K1843" s="375"/>
      <c r="L1843" s="375"/>
      <c r="M1843" s="368"/>
      <c r="N1843" s="368"/>
      <c r="O1843" s="370"/>
      <c r="T1843" s="340"/>
      <c r="V1843" s="378"/>
      <c r="W1843" s="64" ph="1"/>
      <c r="X1843" s="241"/>
      <c r="Y1843" s="284"/>
      <c r="Z1843" s="207"/>
      <c r="AA1843" s="284"/>
      <c r="AB1843" s="284"/>
      <c r="AC1843" s="284"/>
      <c r="AD1843" s="284"/>
      <c r="AE1843" s="284"/>
      <c r="AF1843" s="284"/>
      <c r="AG1843" s="284"/>
      <c r="AI1843" s="284"/>
    </row>
    <row r="1844" spans="1:35" ht="26.4">
      <c r="A1844" s="284"/>
      <c r="B1844" s="284"/>
      <c r="C1844" s="284"/>
      <c r="D1844" s="284"/>
      <c r="E1844" s="284"/>
      <c r="F1844" s="284"/>
      <c r="G1844" s="284"/>
      <c r="H1844" s="284"/>
      <c r="I1844" s="284"/>
      <c r="J1844" s="375"/>
      <c r="K1844" s="375"/>
      <c r="L1844" s="375"/>
      <c r="M1844" s="368"/>
      <c r="N1844" s="368"/>
      <c r="O1844" s="370"/>
      <c r="T1844" s="340"/>
      <c r="V1844" s="378"/>
      <c r="W1844" s="64" ph="1"/>
      <c r="X1844" s="241"/>
      <c r="Y1844" s="284"/>
      <c r="Z1844" s="207"/>
      <c r="AA1844" s="284"/>
      <c r="AB1844" s="284"/>
      <c r="AC1844" s="284"/>
      <c r="AD1844" s="284"/>
      <c r="AE1844" s="284"/>
      <c r="AF1844" s="284"/>
      <c r="AG1844" s="284"/>
      <c r="AI1844" s="131"/>
    </row>
    <row r="1845" spans="1:35" ht="26.4">
      <c r="A1845" s="284"/>
      <c r="B1845" s="284"/>
      <c r="C1845" s="284"/>
      <c r="D1845" s="284"/>
      <c r="E1845" s="284"/>
      <c r="F1845" s="284"/>
      <c r="G1845" s="284"/>
      <c r="H1845" s="284"/>
      <c r="I1845" s="284"/>
      <c r="J1845" s="375"/>
      <c r="K1845" s="375"/>
      <c r="L1845" s="375"/>
      <c r="M1845" s="368"/>
      <c r="N1845" s="368"/>
      <c r="O1845" s="370"/>
      <c r="T1845" s="340"/>
      <c r="V1845" s="378"/>
      <c r="W1845" s="64" ph="1"/>
      <c r="X1845" s="241"/>
      <c r="Y1845" s="284"/>
      <c r="Z1845" s="207"/>
      <c r="AA1845" s="284"/>
      <c r="AB1845" s="284"/>
      <c r="AC1845" s="284"/>
      <c r="AD1845" s="284"/>
      <c r="AE1845" s="284"/>
      <c r="AF1845" s="284"/>
      <c r="AG1845" s="284"/>
      <c r="AI1845" s="131"/>
    </row>
    <row r="1846" spans="1:35" ht="26.4">
      <c r="A1846" s="284"/>
      <c r="B1846" s="284"/>
      <c r="C1846" s="284"/>
      <c r="D1846" s="284"/>
      <c r="E1846" s="284"/>
      <c r="F1846" s="284"/>
      <c r="G1846" s="284"/>
      <c r="H1846" s="284"/>
      <c r="I1846" s="284"/>
      <c r="J1846" s="375"/>
      <c r="K1846" s="375"/>
      <c r="L1846" s="375"/>
      <c r="M1846" s="368"/>
      <c r="N1846" s="368"/>
      <c r="O1846" s="370"/>
      <c r="T1846" s="340"/>
      <c r="V1846" s="378"/>
      <c r="W1846" s="64" ph="1"/>
      <c r="X1846" s="241"/>
      <c r="Y1846" s="284"/>
      <c r="Z1846" s="207"/>
      <c r="AA1846" s="284"/>
      <c r="AB1846" s="284"/>
      <c r="AC1846" s="284"/>
      <c r="AD1846" s="284"/>
      <c r="AE1846" s="284"/>
      <c r="AF1846" s="284"/>
      <c r="AG1846" s="284"/>
      <c r="AI1846" s="131"/>
    </row>
    <row r="1847" spans="1:35" ht="26.4">
      <c r="A1847" s="284"/>
      <c r="B1847" s="284"/>
      <c r="C1847" s="284"/>
      <c r="D1847" s="284"/>
      <c r="E1847" s="284"/>
      <c r="F1847" s="284"/>
      <c r="G1847" s="284"/>
      <c r="H1847" s="284"/>
      <c r="I1847" s="284"/>
      <c r="J1847" s="375"/>
      <c r="K1847" s="375"/>
      <c r="L1847" s="375"/>
      <c r="M1847" s="368"/>
      <c r="N1847" s="368"/>
      <c r="O1847" s="370"/>
      <c r="T1847" s="340"/>
      <c r="V1847" s="378"/>
      <c r="W1847" s="64" ph="1"/>
      <c r="X1847" s="241"/>
      <c r="Y1847" s="284"/>
      <c r="Z1847" s="207"/>
      <c r="AA1847" s="284"/>
      <c r="AB1847" s="284"/>
      <c r="AC1847" s="284"/>
      <c r="AD1847" s="284"/>
      <c r="AE1847" s="284"/>
      <c r="AF1847" s="284"/>
      <c r="AG1847" s="284"/>
      <c r="AI1847" s="131"/>
    </row>
    <row r="1848" spans="1:35" ht="26.4">
      <c r="A1848" s="284"/>
      <c r="B1848" s="284"/>
      <c r="C1848" s="284"/>
      <c r="D1848" s="284"/>
      <c r="E1848" s="284"/>
      <c r="F1848" s="284"/>
      <c r="G1848" s="284"/>
      <c r="H1848" s="284"/>
      <c r="I1848" s="284"/>
      <c r="J1848" s="375"/>
      <c r="K1848" s="375"/>
      <c r="L1848" s="375"/>
      <c r="M1848" s="368"/>
      <c r="N1848" s="368"/>
      <c r="O1848" s="370"/>
      <c r="T1848" s="340"/>
      <c r="V1848" s="378"/>
      <c r="W1848" s="64" ph="1"/>
      <c r="X1848" s="241"/>
      <c r="Y1848" s="284"/>
      <c r="Z1848" s="207"/>
      <c r="AA1848" s="284"/>
      <c r="AB1848" s="284"/>
      <c r="AC1848" s="284"/>
      <c r="AD1848" s="284"/>
      <c r="AE1848" s="284"/>
      <c r="AF1848" s="284"/>
      <c r="AG1848" s="284"/>
      <c r="AI1848" s="131"/>
    </row>
    <row r="1849" spans="1:35" ht="26.4">
      <c r="A1849" s="284"/>
      <c r="B1849" s="284"/>
      <c r="C1849" s="284"/>
      <c r="D1849" s="284"/>
      <c r="E1849" s="284"/>
      <c r="F1849" s="284"/>
      <c r="G1849" s="284"/>
      <c r="H1849" s="284"/>
      <c r="I1849" s="284"/>
      <c r="J1849" s="375"/>
      <c r="K1849" s="375"/>
      <c r="L1849" s="375"/>
      <c r="M1849" s="368"/>
      <c r="N1849" s="368"/>
      <c r="O1849" s="370"/>
      <c r="T1849" s="340"/>
      <c r="V1849" s="378"/>
      <c r="W1849" s="64" ph="1"/>
      <c r="X1849" s="241"/>
      <c r="Y1849" s="284"/>
      <c r="Z1849" s="207"/>
      <c r="AA1849" s="284"/>
      <c r="AB1849" s="284"/>
      <c r="AC1849" s="284"/>
      <c r="AD1849" s="284"/>
      <c r="AE1849" s="284"/>
      <c r="AF1849" s="284"/>
      <c r="AG1849" s="284"/>
      <c r="AI1849" s="131"/>
    </row>
    <row r="1850" spans="1:35" ht="26.4">
      <c r="A1850" s="284"/>
      <c r="B1850" s="284"/>
      <c r="C1850" s="284"/>
      <c r="D1850" s="284"/>
      <c r="E1850" s="284"/>
      <c r="F1850" s="284"/>
      <c r="G1850" s="284"/>
      <c r="H1850" s="284"/>
      <c r="I1850" s="284"/>
      <c r="J1850" s="375"/>
      <c r="K1850" s="375"/>
      <c r="L1850" s="375"/>
      <c r="M1850" s="368"/>
      <c r="N1850" s="368"/>
      <c r="O1850" s="370"/>
      <c r="T1850" s="340"/>
      <c r="V1850" s="378"/>
      <c r="W1850" s="64" ph="1"/>
      <c r="X1850" s="241"/>
      <c r="Y1850" s="284"/>
      <c r="Z1850" s="207"/>
      <c r="AA1850" s="284"/>
      <c r="AB1850" s="284"/>
      <c r="AC1850" s="284"/>
      <c r="AD1850" s="284"/>
      <c r="AE1850" s="284"/>
      <c r="AF1850" s="284"/>
      <c r="AG1850" s="284"/>
      <c r="AI1850" s="131"/>
    </row>
    <row r="1851" spans="1:35" ht="26.4">
      <c r="A1851" s="284"/>
      <c r="B1851" s="284"/>
      <c r="C1851" s="284"/>
      <c r="D1851" s="284"/>
      <c r="E1851" s="284"/>
      <c r="F1851" s="284"/>
      <c r="G1851" s="284"/>
      <c r="H1851" s="284"/>
      <c r="I1851" s="284"/>
      <c r="J1851" s="375"/>
      <c r="K1851" s="375"/>
      <c r="L1851" s="375"/>
      <c r="M1851" s="368"/>
      <c r="N1851" s="368"/>
      <c r="O1851" s="370"/>
      <c r="T1851" s="340"/>
      <c r="V1851" s="378"/>
      <c r="W1851" s="64" ph="1"/>
      <c r="X1851" s="241"/>
      <c r="Y1851" s="284"/>
      <c r="Z1851" s="207"/>
      <c r="AA1851" s="284"/>
      <c r="AB1851" s="284"/>
      <c r="AC1851" s="284"/>
      <c r="AD1851" s="284"/>
      <c r="AE1851" s="284"/>
      <c r="AF1851" s="284"/>
      <c r="AG1851" s="284"/>
      <c r="AI1851" s="131"/>
    </row>
    <row r="1852" spans="1:35" ht="26.4">
      <c r="A1852" s="284"/>
      <c r="B1852" s="284"/>
      <c r="C1852" s="284"/>
      <c r="D1852" s="284"/>
      <c r="E1852" s="284"/>
      <c r="F1852" s="284"/>
      <c r="G1852" s="284"/>
      <c r="H1852" s="284"/>
      <c r="I1852" s="284"/>
      <c r="J1852" s="375"/>
      <c r="K1852" s="375"/>
      <c r="L1852" s="375"/>
      <c r="M1852" s="368"/>
      <c r="N1852" s="368"/>
      <c r="O1852" s="370"/>
      <c r="T1852" s="340"/>
      <c r="V1852" s="378"/>
      <c r="W1852" s="64" ph="1"/>
      <c r="X1852" s="241"/>
      <c r="Y1852" s="284"/>
      <c r="Z1852" s="207"/>
      <c r="AA1852" s="284"/>
      <c r="AB1852" s="284"/>
      <c r="AC1852" s="284"/>
      <c r="AD1852" s="284"/>
      <c r="AE1852" s="284"/>
      <c r="AF1852" s="284"/>
      <c r="AG1852" s="284"/>
      <c r="AI1852" s="131"/>
    </row>
    <row r="1853" spans="1:35" ht="26.4">
      <c r="A1853" s="284"/>
      <c r="B1853" s="284"/>
      <c r="C1853" s="284"/>
      <c r="D1853" s="284"/>
      <c r="E1853" s="284"/>
      <c r="F1853" s="284"/>
      <c r="G1853" s="284"/>
      <c r="H1853" s="284"/>
      <c r="I1853" s="284"/>
      <c r="J1853" s="375"/>
      <c r="K1853" s="375"/>
      <c r="L1853" s="375"/>
      <c r="M1853" s="368"/>
      <c r="N1853" s="368"/>
      <c r="O1853" s="370"/>
      <c r="T1853" s="340"/>
      <c r="V1853" s="378"/>
      <c r="W1853" s="64" ph="1"/>
      <c r="X1853" s="241"/>
      <c r="Y1853" s="284"/>
      <c r="Z1853" s="207"/>
      <c r="AA1853" s="284"/>
      <c r="AB1853" s="284"/>
      <c r="AC1853" s="284"/>
      <c r="AD1853" s="284"/>
      <c r="AE1853" s="284"/>
      <c r="AF1853" s="284"/>
      <c r="AG1853" s="284"/>
      <c r="AI1853" s="131"/>
    </row>
    <row r="1854" spans="1:35" ht="26.4">
      <c r="A1854" s="284"/>
      <c r="B1854" s="284"/>
      <c r="C1854" s="284"/>
      <c r="D1854" s="284"/>
      <c r="E1854" s="284"/>
      <c r="F1854" s="284"/>
      <c r="G1854" s="284"/>
      <c r="H1854" s="284"/>
      <c r="I1854" s="284"/>
      <c r="J1854" s="375"/>
      <c r="K1854" s="375"/>
      <c r="L1854" s="375"/>
      <c r="M1854" s="368"/>
      <c r="N1854" s="368"/>
      <c r="O1854" s="370"/>
      <c r="T1854" s="340"/>
      <c r="V1854" s="378"/>
      <c r="W1854" s="64" ph="1"/>
      <c r="X1854" s="241"/>
      <c r="Y1854" s="284"/>
      <c r="Z1854" s="207"/>
      <c r="AA1854" s="284"/>
      <c r="AB1854" s="284"/>
      <c r="AC1854" s="284"/>
      <c r="AD1854" s="284"/>
      <c r="AE1854" s="284"/>
      <c r="AF1854" s="284"/>
      <c r="AG1854" s="284"/>
      <c r="AI1854" s="131"/>
    </row>
    <row r="1855" spans="1:35" ht="26.4">
      <c r="A1855" s="284"/>
      <c r="B1855" s="284"/>
      <c r="C1855" s="284"/>
      <c r="D1855" s="284"/>
      <c r="E1855" s="284"/>
      <c r="F1855" s="284"/>
      <c r="G1855" s="284"/>
      <c r="H1855" s="284"/>
      <c r="I1855" s="284"/>
      <c r="J1855" s="375"/>
      <c r="K1855" s="375"/>
      <c r="L1855" s="375"/>
      <c r="M1855" s="368"/>
      <c r="N1855" s="368"/>
      <c r="O1855" s="370"/>
      <c r="T1855" s="340"/>
      <c r="V1855" s="378"/>
      <c r="W1855" s="64" ph="1"/>
      <c r="X1855" s="241"/>
      <c r="Y1855" s="284"/>
      <c r="Z1855" s="207"/>
      <c r="AA1855" s="284"/>
      <c r="AB1855" s="284"/>
      <c r="AC1855" s="284"/>
      <c r="AD1855" s="284"/>
      <c r="AE1855" s="284"/>
      <c r="AF1855" s="284"/>
      <c r="AG1855" s="284"/>
      <c r="AI1855" s="284"/>
    </row>
    <row r="1856" spans="1:35" ht="26.4">
      <c r="A1856" s="284"/>
      <c r="B1856" s="284"/>
      <c r="C1856" s="284"/>
      <c r="D1856" s="284"/>
      <c r="E1856" s="284"/>
      <c r="F1856" s="284"/>
      <c r="G1856" s="284"/>
      <c r="H1856" s="284"/>
      <c r="I1856" s="284"/>
      <c r="J1856" s="375"/>
      <c r="K1856" s="375"/>
      <c r="L1856" s="375"/>
      <c r="M1856" s="368"/>
      <c r="N1856" s="368"/>
      <c r="O1856" s="370"/>
      <c r="T1856" s="340"/>
      <c r="V1856" s="378"/>
      <c r="W1856" s="64" ph="1"/>
      <c r="X1856" s="241"/>
      <c r="Y1856" s="284"/>
      <c r="Z1856" s="207"/>
      <c r="AA1856" s="284"/>
      <c r="AB1856" s="284"/>
      <c r="AC1856" s="284"/>
      <c r="AD1856" s="284"/>
      <c r="AE1856" s="284"/>
      <c r="AF1856" s="284"/>
      <c r="AG1856" s="284"/>
      <c r="AI1856" s="284"/>
    </row>
    <row r="1857" spans="1:35" ht="26.4">
      <c r="A1857" s="284"/>
      <c r="B1857" s="284"/>
      <c r="C1857" s="284"/>
      <c r="D1857" s="284"/>
      <c r="E1857" s="284"/>
      <c r="F1857" s="284"/>
      <c r="G1857" s="284"/>
      <c r="H1857" s="284"/>
      <c r="I1857" s="284"/>
      <c r="J1857" s="375"/>
      <c r="K1857" s="375"/>
      <c r="L1857" s="375"/>
      <c r="M1857" s="368"/>
      <c r="N1857" s="368"/>
      <c r="O1857" s="370"/>
      <c r="T1857" s="340"/>
      <c r="V1857" s="378"/>
      <c r="W1857" s="64" ph="1"/>
      <c r="X1857" s="241"/>
      <c r="Y1857" s="284"/>
      <c r="Z1857" s="207"/>
      <c r="AA1857" s="284"/>
      <c r="AB1857" s="284"/>
      <c r="AC1857" s="284"/>
      <c r="AD1857" s="284"/>
      <c r="AE1857" s="284"/>
      <c r="AF1857" s="284"/>
      <c r="AG1857" s="284"/>
      <c r="AI1857" s="284"/>
    </row>
    <row r="1858" spans="1:35" ht="26.4">
      <c r="A1858" s="284"/>
      <c r="B1858" s="284"/>
      <c r="C1858" s="284"/>
      <c r="D1858" s="284"/>
      <c r="E1858" s="284"/>
      <c r="F1858" s="284"/>
      <c r="G1858" s="284"/>
      <c r="H1858" s="284"/>
      <c r="I1858" s="284"/>
      <c r="J1858" s="375"/>
      <c r="K1858" s="375"/>
      <c r="L1858" s="375"/>
      <c r="M1858" s="368"/>
      <c r="N1858" s="368"/>
      <c r="O1858" s="370"/>
      <c r="T1858" s="340"/>
      <c r="V1858" s="378"/>
      <c r="W1858" s="64" ph="1"/>
      <c r="X1858" s="241"/>
      <c r="Y1858" s="284"/>
      <c r="Z1858" s="207"/>
      <c r="AA1858" s="284"/>
      <c r="AB1858" s="284"/>
      <c r="AC1858" s="284"/>
      <c r="AD1858" s="284"/>
      <c r="AE1858" s="284"/>
      <c r="AF1858" s="284"/>
      <c r="AG1858" s="284"/>
      <c r="AI1858" s="284"/>
    </row>
    <row r="1859" spans="1:35" ht="26.4">
      <c r="A1859" s="284"/>
      <c r="B1859" s="284"/>
      <c r="C1859" s="284"/>
      <c r="D1859" s="284"/>
      <c r="E1859" s="284"/>
      <c r="F1859" s="284"/>
      <c r="G1859" s="284"/>
      <c r="H1859" s="284"/>
      <c r="I1859" s="284"/>
      <c r="J1859" s="375"/>
      <c r="K1859" s="375"/>
      <c r="L1859" s="375"/>
      <c r="M1859" s="368"/>
      <c r="N1859" s="368"/>
      <c r="O1859" s="370"/>
      <c r="T1859" s="340"/>
      <c r="V1859" s="378"/>
      <c r="W1859" s="64" ph="1"/>
      <c r="X1859" s="241"/>
      <c r="Y1859" s="284"/>
      <c r="Z1859" s="207"/>
      <c r="AA1859" s="284"/>
      <c r="AB1859" s="284"/>
      <c r="AC1859" s="284"/>
      <c r="AD1859" s="284"/>
      <c r="AE1859" s="284"/>
      <c r="AF1859" s="284"/>
      <c r="AG1859" s="284"/>
      <c r="AI1859" s="284"/>
    </row>
    <row r="1860" spans="1:35" ht="26.4">
      <c r="A1860" s="284"/>
      <c r="B1860" s="284"/>
      <c r="C1860" s="284"/>
      <c r="D1860" s="284"/>
      <c r="E1860" s="284"/>
      <c r="F1860" s="284"/>
      <c r="G1860" s="284"/>
      <c r="H1860" s="284"/>
      <c r="I1860" s="284"/>
      <c r="J1860" s="375"/>
      <c r="K1860" s="375"/>
      <c r="L1860" s="375"/>
      <c r="M1860" s="368"/>
      <c r="N1860" s="368"/>
      <c r="O1860" s="370"/>
      <c r="T1860" s="340"/>
      <c r="V1860" s="378"/>
      <c r="W1860" s="64" ph="1"/>
      <c r="X1860" s="241"/>
      <c r="Y1860" s="284"/>
      <c r="Z1860" s="207"/>
      <c r="AA1860" s="284"/>
      <c r="AB1860" s="284"/>
      <c r="AC1860" s="284"/>
      <c r="AD1860" s="284"/>
      <c r="AE1860" s="284"/>
      <c r="AF1860" s="284"/>
      <c r="AG1860" s="284"/>
      <c r="AI1860" s="284"/>
    </row>
    <row r="1861" spans="1:35" ht="26.4">
      <c r="A1861" s="284"/>
      <c r="B1861" s="284"/>
      <c r="C1861" s="284"/>
      <c r="D1861" s="284"/>
      <c r="E1861" s="284"/>
      <c r="F1861" s="284"/>
      <c r="G1861" s="284"/>
      <c r="H1861" s="284"/>
      <c r="I1861" s="284"/>
      <c r="J1861" s="375"/>
      <c r="K1861" s="375"/>
      <c r="L1861" s="375"/>
      <c r="M1861" s="368"/>
      <c r="N1861" s="368"/>
      <c r="O1861" s="370"/>
      <c r="T1861" s="340"/>
      <c r="V1861" s="378"/>
      <c r="W1861" s="64" ph="1"/>
      <c r="X1861" s="241"/>
      <c r="Y1861" s="284"/>
      <c r="Z1861" s="207"/>
      <c r="AA1861" s="284"/>
      <c r="AB1861" s="284"/>
      <c r="AC1861" s="284"/>
      <c r="AD1861" s="284"/>
      <c r="AE1861" s="284"/>
      <c r="AF1861" s="284"/>
      <c r="AG1861" s="284"/>
      <c r="AI1861" s="284"/>
    </row>
    <row r="1862" spans="1:35" ht="26.4">
      <c r="A1862" s="284"/>
      <c r="B1862" s="284"/>
      <c r="C1862" s="284"/>
      <c r="D1862" s="284"/>
      <c r="E1862" s="284"/>
      <c r="F1862" s="284"/>
      <c r="G1862" s="284"/>
      <c r="H1862" s="284"/>
      <c r="I1862" s="284"/>
      <c r="J1862" s="375"/>
      <c r="K1862" s="375"/>
      <c r="L1862" s="375"/>
      <c r="M1862" s="368"/>
      <c r="N1862" s="368"/>
      <c r="O1862" s="370"/>
      <c r="T1862" s="340"/>
      <c r="V1862" s="378"/>
      <c r="W1862" s="64" ph="1"/>
      <c r="X1862" s="241"/>
      <c r="Y1862" s="284"/>
      <c r="Z1862" s="207"/>
      <c r="AA1862" s="284"/>
      <c r="AB1862" s="284"/>
      <c r="AC1862" s="284"/>
      <c r="AD1862" s="284"/>
      <c r="AE1862" s="284"/>
      <c r="AF1862" s="284"/>
      <c r="AG1862" s="284"/>
      <c r="AI1862" s="284"/>
    </row>
    <row r="1863" spans="1:35" ht="26.4">
      <c r="A1863" s="284"/>
      <c r="B1863" s="284"/>
      <c r="C1863" s="284"/>
      <c r="D1863" s="284"/>
      <c r="E1863" s="284"/>
      <c r="F1863" s="284"/>
      <c r="G1863" s="284"/>
      <c r="H1863" s="284"/>
      <c r="I1863" s="284"/>
      <c r="J1863" s="375"/>
      <c r="K1863" s="375"/>
      <c r="L1863" s="375"/>
      <c r="M1863" s="368"/>
      <c r="N1863" s="368"/>
      <c r="O1863" s="370"/>
      <c r="T1863" s="340"/>
      <c r="V1863" s="378"/>
      <c r="W1863" s="64" ph="1"/>
      <c r="X1863" s="241"/>
      <c r="Y1863" s="284"/>
      <c r="Z1863" s="207"/>
      <c r="AA1863" s="284"/>
      <c r="AB1863" s="284"/>
      <c r="AC1863" s="284"/>
      <c r="AD1863" s="284"/>
      <c r="AE1863" s="284"/>
      <c r="AF1863" s="284"/>
      <c r="AG1863" s="284"/>
      <c r="AI1863" s="284"/>
    </row>
    <row r="1864" spans="1:35" ht="26.4">
      <c r="A1864" s="284"/>
      <c r="B1864" s="284"/>
      <c r="C1864" s="284"/>
      <c r="D1864" s="284"/>
      <c r="E1864" s="284"/>
      <c r="F1864" s="284"/>
      <c r="G1864" s="284"/>
      <c r="H1864" s="284"/>
      <c r="I1864" s="284"/>
      <c r="J1864" s="375"/>
      <c r="K1864" s="375"/>
      <c r="L1864" s="375"/>
      <c r="M1864" s="368"/>
      <c r="N1864" s="368"/>
      <c r="O1864" s="370"/>
      <c r="T1864" s="340"/>
      <c r="V1864" s="378"/>
      <c r="W1864" s="64" ph="1"/>
      <c r="X1864" s="241"/>
      <c r="Y1864" s="284"/>
      <c r="Z1864" s="207"/>
      <c r="AA1864" s="284"/>
      <c r="AB1864" s="284"/>
      <c r="AC1864" s="284"/>
      <c r="AD1864" s="284"/>
      <c r="AE1864" s="284"/>
      <c r="AF1864" s="284"/>
      <c r="AG1864" s="284"/>
      <c r="AI1864" s="131"/>
    </row>
    <row r="1865" spans="1:35" ht="26.4">
      <c r="A1865" s="284"/>
      <c r="B1865" s="284"/>
      <c r="C1865" s="284"/>
      <c r="D1865" s="284"/>
      <c r="E1865" s="284"/>
      <c r="F1865" s="284"/>
      <c r="G1865" s="284"/>
      <c r="H1865" s="284"/>
      <c r="I1865" s="284"/>
      <c r="J1865" s="375"/>
      <c r="K1865" s="375"/>
      <c r="L1865" s="375"/>
      <c r="M1865" s="368"/>
      <c r="N1865" s="368"/>
      <c r="O1865" s="370"/>
      <c r="T1865" s="340"/>
      <c r="V1865" s="378"/>
      <c r="W1865" s="64" ph="1"/>
      <c r="X1865" s="241"/>
      <c r="Y1865" s="284"/>
      <c r="Z1865" s="207"/>
      <c r="AA1865" s="284"/>
      <c r="AB1865" s="284"/>
      <c r="AC1865" s="284"/>
      <c r="AD1865" s="284"/>
      <c r="AE1865" s="284"/>
      <c r="AF1865" s="284"/>
      <c r="AG1865" s="284"/>
      <c r="AI1865" s="284"/>
    </row>
    <row r="1866" spans="1:35" ht="26.4">
      <c r="A1866" s="284"/>
      <c r="B1866" s="284"/>
      <c r="C1866" s="284"/>
      <c r="D1866" s="284"/>
      <c r="E1866" s="284"/>
      <c r="F1866" s="284"/>
      <c r="G1866" s="284"/>
      <c r="H1866" s="284"/>
      <c r="I1866" s="284"/>
      <c r="J1866" s="375"/>
      <c r="K1866" s="375"/>
      <c r="L1866" s="375"/>
      <c r="M1866" s="368"/>
      <c r="N1866" s="368"/>
      <c r="O1866" s="370"/>
      <c r="T1866" s="340"/>
      <c r="V1866" s="378"/>
      <c r="W1866" s="64" ph="1"/>
      <c r="X1866" s="241"/>
      <c r="Y1866" s="284"/>
      <c r="Z1866" s="207"/>
      <c r="AA1866" s="284"/>
      <c r="AB1866" s="284"/>
      <c r="AC1866" s="284"/>
      <c r="AD1866" s="284"/>
      <c r="AE1866" s="284"/>
      <c r="AF1866" s="284"/>
      <c r="AG1866" s="284"/>
      <c r="AI1866" s="284"/>
    </row>
    <row r="1867" spans="1:35" ht="26.4">
      <c r="A1867" s="284"/>
      <c r="B1867" s="284"/>
      <c r="C1867" s="284"/>
      <c r="D1867" s="284"/>
      <c r="E1867" s="284"/>
      <c r="F1867" s="284"/>
      <c r="G1867" s="284"/>
      <c r="H1867" s="284"/>
      <c r="I1867" s="284"/>
      <c r="J1867" s="375"/>
      <c r="K1867" s="375"/>
      <c r="L1867" s="375"/>
      <c r="M1867" s="368"/>
      <c r="N1867" s="368"/>
      <c r="O1867" s="370"/>
      <c r="T1867" s="340"/>
      <c r="V1867" s="378"/>
      <c r="W1867" s="64" ph="1"/>
      <c r="X1867" s="241"/>
      <c r="Y1867" s="284"/>
      <c r="Z1867" s="207"/>
      <c r="AA1867" s="284"/>
      <c r="AB1867" s="284"/>
      <c r="AC1867" s="284"/>
      <c r="AD1867" s="284"/>
      <c r="AE1867" s="284"/>
      <c r="AF1867" s="284"/>
      <c r="AG1867" s="284"/>
      <c r="AI1867" s="284"/>
    </row>
    <row r="1868" spans="1:35" ht="26.4">
      <c r="A1868" s="284"/>
      <c r="B1868" s="284"/>
      <c r="C1868" s="284"/>
      <c r="D1868" s="284"/>
      <c r="E1868" s="284"/>
      <c r="F1868" s="284"/>
      <c r="G1868" s="284"/>
      <c r="H1868" s="284"/>
      <c r="I1868" s="284"/>
      <c r="J1868" s="375"/>
      <c r="K1868" s="375"/>
      <c r="L1868" s="375"/>
      <c r="M1868" s="368"/>
      <c r="N1868" s="368"/>
      <c r="O1868" s="370"/>
      <c r="T1868" s="340"/>
      <c r="V1868" s="378"/>
      <c r="W1868" s="64" ph="1"/>
      <c r="X1868" s="241"/>
      <c r="Y1868" s="284"/>
      <c r="Z1868" s="207"/>
      <c r="AA1868" s="284"/>
      <c r="AB1868" s="284"/>
      <c r="AC1868" s="284"/>
      <c r="AD1868" s="284"/>
      <c r="AE1868" s="284"/>
      <c r="AF1868" s="284"/>
      <c r="AG1868" s="284"/>
      <c r="AI1868" s="131"/>
    </row>
    <row r="1869" spans="1:35" ht="26.4">
      <c r="A1869" s="284"/>
      <c r="B1869" s="284"/>
      <c r="C1869" s="284"/>
      <c r="D1869" s="284"/>
      <c r="E1869" s="284"/>
      <c r="F1869" s="284"/>
      <c r="G1869" s="284"/>
      <c r="H1869" s="284"/>
      <c r="I1869" s="284"/>
      <c r="J1869" s="375"/>
      <c r="K1869" s="375"/>
      <c r="L1869" s="375"/>
      <c r="M1869" s="368"/>
      <c r="N1869" s="368"/>
      <c r="O1869" s="370"/>
      <c r="T1869" s="340"/>
      <c r="V1869" s="378"/>
      <c r="W1869" s="64" ph="1"/>
      <c r="X1869" s="241"/>
      <c r="Y1869" s="284"/>
      <c r="Z1869" s="207"/>
      <c r="AA1869" s="284"/>
      <c r="AB1869" s="284"/>
      <c r="AC1869" s="284"/>
      <c r="AD1869" s="284"/>
      <c r="AE1869" s="284"/>
      <c r="AF1869" s="284"/>
      <c r="AG1869" s="284"/>
      <c r="AI1869" s="284"/>
    </row>
    <row r="1870" spans="1:35" ht="26.4">
      <c r="A1870" s="284"/>
      <c r="B1870" s="284"/>
      <c r="C1870" s="284"/>
      <c r="D1870" s="284"/>
      <c r="E1870" s="284"/>
      <c r="F1870" s="284"/>
      <c r="G1870" s="284"/>
      <c r="H1870" s="284"/>
      <c r="I1870" s="284"/>
      <c r="J1870" s="375"/>
      <c r="K1870" s="375"/>
      <c r="L1870" s="375"/>
      <c r="M1870" s="368"/>
      <c r="N1870" s="368"/>
      <c r="O1870" s="370"/>
      <c r="T1870" s="340"/>
      <c r="V1870" s="378"/>
      <c r="W1870" s="64" ph="1"/>
      <c r="X1870" s="241"/>
      <c r="Y1870" s="284"/>
      <c r="Z1870" s="207"/>
      <c r="AA1870" s="284"/>
      <c r="AB1870" s="284"/>
      <c r="AC1870" s="284"/>
      <c r="AD1870" s="284"/>
      <c r="AE1870" s="284"/>
      <c r="AF1870" s="284"/>
      <c r="AG1870" s="284"/>
      <c r="AI1870" s="284"/>
    </row>
    <row r="1871" spans="1:35" ht="26.4">
      <c r="A1871" s="284"/>
      <c r="B1871" s="284"/>
      <c r="C1871" s="284"/>
      <c r="D1871" s="284"/>
      <c r="E1871" s="284"/>
      <c r="F1871" s="284"/>
      <c r="G1871" s="284"/>
      <c r="H1871" s="284"/>
      <c r="I1871" s="284"/>
      <c r="J1871" s="375"/>
      <c r="K1871" s="375"/>
      <c r="L1871" s="375"/>
      <c r="M1871" s="368"/>
      <c r="N1871" s="368"/>
      <c r="O1871" s="370"/>
      <c r="T1871" s="340"/>
      <c r="V1871" s="378"/>
      <c r="W1871" s="64" ph="1"/>
      <c r="X1871" s="241"/>
      <c r="Y1871" s="284"/>
      <c r="Z1871" s="207"/>
      <c r="AA1871" s="284"/>
      <c r="AB1871" s="284"/>
      <c r="AC1871" s="284"/>
      <c r="AD1871" s="284"/>
      <c r="AE1871" s="284"/>
      <c r="AF1871" s="284"/>
      <c r="AG1871" s="284"/>
      <c r="AI1871" s="131"/>
    </row>
    <row r="1872" spans="1:35" ht="26.4">
      <c r="A1872" s="284"/>
      <c r="B1872" s="284"/>
      <c r="C1872" s="284"/>
      <c r="D1872" s="284"/>
      <c r="E1872" s="284"/>
      <c r="F1872" s="284"/>
      <c r="G1872" s="284"/>
      <c r="H1872" s="284"/>
      <c r="I1872" s="284"/>
      <c r="J1872" s="375"/>
      <c r="K1872" s="375"/>
      <c r="L1872" s="375"/>
      <c r="M1872" s="368"/>
      <c r="N1872" s="368"/>
      <c r="O1872" s="370"/>
      <c r="T1872" s="340"/>
      <c r="V1872" s="378"/>
      <c r="W1872" s="64" ph="1"/>
      <c r="X1872" s="241"/>
      <c r="Y1872" s="284"/>
      <c r="Z1872" s="207"/>
      <c r="AA1872" s="284"/>
      <c r="AB1872" s="284"/>
      <c r="AC1872" s="284"/>
      <c r="AD1872" s="284"/>
      <c r="AE1872" s="284"/>
      <c r="AF1872" s="284"/>
      <c r="AG1872" s="284"/>
      <c r="AI1872" s="131"/>
    </row>
    <row r="1873" spans="1:33" ht="26.4">
      <c r="A1873" s="284"/>
      <c r="B1873" s="284"/>
      <c r="C1873" s="284"/>
      <c r="D1873" s="284"/>
      <c r="E1873" s="284"/>
      <c r="F1873" s="284"/>
      <c r="G1873" s="284"/>
      <c r="H1873" s="284"/>
      <c r="I1873" s="284"/>
      <c r="J1873" s="375"/>
      <c r="K1873" s="375"/>
      <c r="L1873" s="375"/>
      <c r="M1873" s="368"/>
      <c r="N1873" s="368"/>
      <c r="O1873" s="370"/>
      <c r="T1873" s="340"/>
      <c r="V1873" s="378"/>
      <c r="W1873" s="64" ph="1"/>
      <c r="X1873" s="241"/>
      <c r="Y1873" s="284"/>
      <c r="Z1873" s="207"/>
      <c r="AA1873" s="284"/>
      <c r="AB1873" s="284"/>
      <c r="AC1873" s="284"/>
      <c r="AD1873" s="284"/>
      <c r="AE1873" s="284"/>
      <c r="AF1873" s="284"/>
      <c r="AG1873" s="284"/>
    </row>
    <row r="1874" spans="1:33" ht="26.4">
      <c r="A1874" s="284"/>
      <c r="B1874" s="284"/>
      <c r="C1874" s="284"/>
      <c r="D1874" s="284"/>
      <c r="E1874" s="284"/>
      <c r="F1874" s="284"/>
      <c r="G1874" s="284"/>
      <c r="H1874" s="284"/>
      <c r="I1874" s="284"/>
      <c r="J1874" s="375"/>
      <c r="K1874" s="375"/>
      <c r="L1874" s="375"/>
      <c r="M1874" s="368"/>
      <c r="N1874" s="368"/>
      <c r="O1874" s="370"/>
      <c r="T1874" s="340"/>
      <c r="V1874" s="378"/>
      <c r="W1874" s="64" ph="1"/>
      <c r="X1874" s="241"/>
      <c r="Y1874" s="284"/>
      <c r="Z1874" s="207"/>
      <c r="AA1874" s="284"/>
      <c r="AB1874" s="284"/>
      <c r="AC1874" s="284"/>
      <c r="AD1874" s="284"/>
      <c r="AE1874" s="284"/>
      <c r="AF1874" s="284"/>
      <c r="AG1874" s="284"/>
    </row>
    <row r="1875" spans="1:33" ht="26.4">
      <c r="A1875" s="284"/>
      <c r="B1875" s="284"/>
      <c r="C1875" s="284"/>
      <c r="D1875" s="284"/>
      <c r="E1875" s="284"/>
      <c r="F1875" s="284"/>
      <c r="G1875" s="284"/>
      <c r="H1875" s="284"/>
      <c r="I1875" s="284"/>
      <c r="J1875" s="375"/>
      <c r="K1875" s="375"/>
      <c r="L1875" s="375"/>
      <c r="M1875" s="368"/>
      <c r="N1875" s="368"/>
      <c r="O1875" s="370"/>
      <c r="T1875" s="340"/>
      <c r="V1875" s="378"/>
      <c r="W1875" s="64" ph="1"/>
      <c r="X1875" s="241"/>
      <c r="Y1875" s="284"/>
      <c r="Z1875" s="207"/>
      <c r="AA1875" s="284"/>
      <c r="AB1875" s="284"/>
      <c r="AC1875" s="284"/>
      <c r="AD1875" s="284"/>
      <c r="AE1875" s="284"/>
      <c r="AF1875" s="284"/>
      <c r="AG1875" s="284"/>
    </row>
    <row r="1876" spans="1:33" ht="26.4">
      <c r="A1876" s="284"/>
      <c r="B1876" s="284"/>
      <c r="C1876" s="284"/>
      <c r="D1876" s="284"/>
      <c r="E1876" s="284"/>
      <c r="F1876" s="284"/>
      <c r="G1876" s="284"/>
      <c r="H1876" s="284"/>
      <c r="I1876" s="284"/>
      <c r="J1876" s="375"/>
      <c r="K1876" s="375"/>
      <c r="L1876" s="375"/>
      <c r="M1876" s="368"/>
      <c r="N1876" s="368"/>
      <c r="O1876" s="370"/>
      <c r="T1876" s="340"/>
      <c r="V1876" s="378"/>
      <c r="W1876" s="64" ph="1"/>
      <c r="X1876" s="241"/>
      <c r="Y1876" s="284"/>
      <c r="Z1876" s="207"/>
      <c r="AA1876" s="284"/>
      <c r="AB1876" s="284"/>
      <c r="AC1876" s="284"/>
      <c r="AD1876" s="284"/>
      <c r="AE1876" s="284"/>
      <c r="AF1876" s="284"/>
      <c r="AG1876" s="284"/>
    </row>
    <row r="1877" spans="1:33" ht="26.4">
      <c r="A1877" s="284"/>
      <c r="B1877" s="284"/>
      <c r="C1877" s="284"/>
      <c r="D1877" s="284"/>
      <c r="E1877" s="284"/>
      <c r="F1877" s="284"/>
      <c r="G1877" s="284"/>
      <c r="H1877" s="284"/>
      <c r="I1877" s="284"/>
      <c r="J1877" s="375"/>
      <c r="K1877" s="375"/>
      <c r="L1877" s="375"/>
      <c r="M1877" s="368"/>
      <c r="N1877" s="368"/>
      <c r="O1877" s="370"/>
      <c r="T1877" s="340"/>
      <c r="V1877" s="378"/>
      <c r="W1877" s="64" ph="1"/>
      <c r="X1877" s="241"/>
      <c r="Y1877" s="284"/>
      <c r="Z1877" s="207"/>
      <c r="AA1877" s="284"/>
      <c r="AB1877" s="284"/>
      <c r="AC1877" s="284"/>
      <c r="AD1877" s="284"/>
      <c r="AE1877" s="284"/>
      <c r="AF1877" s="284"/>
      <c r="AG1877" s="284"/>
    </row>
    <row r="1878" spans="1:33" ht="26.4">
      <c r="A1878" s="284"/>
      <c r="B1878" s="284"/>
      <c r="C1878" s="284"/>
      <c r="D1878" s="284"/>
      <c r="E1878" s="284"/>
      <c r="F1878" s="284"/>
      <c r="G1878" s="284"/>
      <c r="H1878" s="284"/>
      <c r="I1878" s="284"/>
      <c r="J1878" s="375"/>
      <c r="K1878" s="375"/>
      <c r="L1878" s="375"/>
      <c r="M1878" s="368"/>
      <c r="N1878" s="368"/>
      <c r="O1878" s="370"/>
      <c r="T1878" s="340"/>
      <c r="V1878" s="378"/>
      <c r="W1878" s="64" ph="1"/>
      <c r="X1878" s="241"/>
      <c r="Y1878" s="284"/>
      <c r="Z1878" s="207"/>
      <c r="AA1878" s="284"/>
      <c r="AB1878" s="284"/>
      <c r="AC1878" s="284"/>
      <c r="AD1878" s="284"/>
      <c r="AE1878" s="284"/>
      <c r="AF1878" s="284"/>
      <c r="AG1878" s="284"/>
    </row>
    <row r="1879" spans="1:33" ht="26.4">
      <c r="A1879" s="284"/>
      <c r="B1879" s="284"/>
      <c r="C1879" s="284"/>
      <c r="D1879" s="284"/>
      <c r="E1879" s="284"/>
      <c r="F1879" s="284"/>
      <c r="G1879" s="284"/>
      <c r="H1879" s="284"/>
      <c r="I1879" s="284"/>
      <c r="J1879" s="375"/>
      <c r="K1879" s="375"/>
      <c r="L1879" s="375"/>
      <c r="M1879" s="368"/>
      <c r="N1879" s="368"/>
      <c r="O1879" s="370"/>
      <c r="T1879" s="340"/>
      <c r="V1879" s="378"/>
      <c r="W1879" s="64" ph="1"/>
      <c r="X1879" s="241"/>
      <c r="Y1879" s="284"/>
      <c r="Z1879" s="207"/>
      <c r="AA1879" s="284"/>
      <c r="AB1879" s="284"/>
      <c r="AC1879" s="284"/>
      <c r="AD1879" s="284"/>
      <c r="AE1879" s="284"/>
      <c r="AF1879" s="284"/>
      <c r="AG1879" s="284"/>
    </row>
    <row r="1880" spans="1:33" ht="26.4">
      <c r="A1880" s="284"/>
      <c r="B1880" s="284"/>
      <c r="C1880" s="284"/>
      <c r="D1880" s="284"/>
      <c r="E1880" s="284"/>
      <c r="F1880" s="284"/>
      <c r="G1880" s="284"/>
      <c r="H1880" s="284"/>
      <c r="I1880" s="284"/>
      <c r="J1880" s="375"/>
      <c r="K1880" s="375"/>
      <c r="L1880" s="375"/>
      <c r="M1880" s="368"/>
      <c r="N1880" s="368"/>
      <c r="O1880" s="370"/>
      <c r="T1880" s="340"/>
      <c r="V1880" s="378"/>
      <c r="W1880" s="64" ph="1"/>
      <c r="X1880" s="241"/>
      <c r="Y1880" s="284"/>
      <c r="Z1880" s="207"/>
      <c r="AA1880" s="284"/>
      <c r="AB1880" s="284"/>
      <c r="AC1880" s="284"/>
      <c r="AD1880" s="284"/>
      <c r="AE1880" s="284"/>
      <c r="AF1880" s="284"/>
      <c r="AG1880" s="284"/>
    </row>
    <row r="1881" spans="1:33" ht="26.4">
      <c r="A1881" s="284"/>
      <c r="B1881" s="284"/>
      <c r="C1881" s="284"/>
      <c r="D1881" s="284"/>
      <c r="E1881" s="284"/>
      <c r="F1881" s="284"/>
      <c r="G1881" s="284"/>
      <c r="H1881" s="284"/>
      <c r="I1881" s="284"/>
      <c r="J1881" s="375"/>
      <c r="K1881" s="375"/>
      <c r="L1881" s="375"/>
      <c r="M1881" s="368"/>
      <c r="N1881" s="368"/>
      <c r="O1881" s="370"/>
      <c r="T1881" s="340"/>
      <c r="V1881" s="378"/>
      <c r="W1881" s="64" ph="1"/>
      <c r="X1881" s="241"/>
      <c r="Y1881" s="284"/>
      <c r="Z1881" s="207"/>
      <c r="AA1881" s="284"/>
      <c r="AB1881" s="284"/>
      <c r="AC1881" s="284"/>
      <c r="AD1881" s="284"/>
      <c r="AE1881" s="284"/>
      <c r="AF1881" s="284"/>
      <c r="AG1881" s="284"/>
    </row>
    <row r="1882" spans="1:33" ht="26.4">
      <c r="A1882" s="284"/>
      <c r="B1882" s="284"/>
      <c r="C1882" s="284"/>
      <c r="D1882" s="284"/>
      <c r="E1882" s="284"/>
      <c r="F1882" s="284"/>
      <c r="G1882" s="284"/>
      <c r="H1882" s="284"/>
      <c r="I1882" s="284"/>
      <c r="J1882" s="375"/>
      <c r="K1882" s="375"/>
      <c r="L1882" s="375"/>
      <c r="M1882" s="368"/>
      <c r="N1882" s="368"/>
      <c r="O1882" s="370"/>
      <c r="T1882" s="340"/>
      <c r="V1882" s="378"/>
      <c r="W1882" s="64" ph="1"/>
      <c r="X1882" s="241"/>
      <c r="Y1882" s="284"/>
      <c r="Z1882" s="207"/>
      <c r="AA1882" s="284"/>
      <c r="AB1882" s="284"/>
      <c r="AC1882" s="284"/>
      <c r="AD1882" s="284"/>
      <c r="AE1882" s="284"/>
      <c r="AF1882" s="284"/>
      <c r="AG1882" s="284"/>
    </row>
    <row r="1883" spans="1:33" ht="26.4">
      <c r="A1883" s="284"/>
      <c r="B1883" s="284"/>
      <c r="C1883" s="284"/>
      <c r="D1883" s="284"/>
      <c r="E1883" s="284"/>
      <c r="F1883" s="284"/>
      <c r="G1883" s="284"/>
      <c r="H1883" s="284"/>
      <c r="I1883" s="284"/>
      <c r="J1883" s="375"/>
      <c r="K1883" s="375"/>
      <c r="L1883" s="375"/>
      <c r="M1883" s="368"/>
      <c r="N1883" s="368"/>
      <c r="O1883" s="370"/>
      <c r="T1883" s="340"/>
      <c r="V1883" s="378"/>
      <c r="W1883" s="64" ph="1"/>
      <c r="X1883" s="241"/>
      <c r="Y1883" s="284"/>
      <c r="Z1883" s="207"/>
      <c r="AA1883" s="284"/>
      <c r="AB1883" s="284"/>
      <c r="AC1883" s="284"/>
      <c r="AD1883" s="284"/>
      <c r="AE1883" s="284"/>
      <c r="AF1883" s="284"/>
      <c r="AG1883" s="284"/>
    </row>
    <row r="1884" spans="1:33" ht="26.4">
      <c r="A1884" s="284"/>
      <c r="B1884" s="284"/>
      <c r="C1884" s="284"/>
      <c r="D1884" s="284"/>
      <c r="E1884" s="284"/>
      <c r="F1884" s="284"/>
      <c r="G1884" s="284"/>
      <c r="H1884" s="284"/>
      <c r="I1884" s="284"/>
      <c r="J1884" s="375"/>
      <c r="K1884" s="375"/>
      <c r="L1884" s="375"/>
      <c r="M1884" s="368"/>
      <c r="N1884" s="368"/>
      <c r="O1884" s="370"/>
      <c r="T1884" s="340"/>
      <c r="V1884" s="378"/>
      <c r="W1884" s="64" ph="1"/>
      <c r="X1884" s="241"/>
      <c r="Y1884" s="284"/>
      <c r="Z1884" s="207"/>
      <c r="AA1884" s="284"/>
      <c r="AB1884" s="284"/>
      <c r="AC1884" s="284"/>
      <c r="AD1884" s="284"/>
      <c r="AE1884" s="284"/>
      <c r="AF1884" s="284"/>
      <c r="AG1884" s="284"/>
    </row>
    <row r="1885" spans="1:33" ht="26.4">
      <c r="A1885" s="284"/>
      <c r="B1885" s="284"/>
      <c r="C1885" s="284"/>
      <c r="D1885" s="284"/>
      <c r="E1885" s="284"/>
      <c r="F1885" s="284"/>
      <c r="G1885" s="284"/>
      <c r="H1885" s="284"/>
      <c r="I1885" s="284"/>
      <c r="J1885" s="375"/>
      <c r="K1885" s="375"/>
      <c r="L1885" s="375"/>
      <c r="M1885" s="368"/>
      <c r="N1885" s="368"/>
      <c r="O1885" s="370"/>
      <c r="T1885" s="340"/>
      <c r="V1885" s="378"/>
      <c r="W1885" s="64" ph="1"/>
      <c r="X1885" s="241"/>
      <c r="Y1885" s="284"/>
      <c r="Z1885" s="207"/>
      <c r="AA1885" s="284"/>
      <c r="AB1885" s="284"/>
      <c r="AC1885" s="284"/>
      <c r="AD1885" s="284"/>
      <c r="AE1885" s="284"/>
      <c r="AF1885" s="284"/>
      <c r="AG1885" s="284"/>
    </row>
    <row r="1886" spans="1:33" ht="26.4">
      <c r="A1886" s="284"/>
      <c r="B1886" s="284"/>
      <c r="C1886" s="284"/>
      <c r="D1886" s="284"/>
      <c r="E1886" s="284"/>
      <c r="F1886" s="284"/>
      <c r="G1886" s="284"/>
      <c r="H1886" s="284"/>
      <c r="I1886" s="284"/>
      <c r="J1886" s="375"/>
      <c r="K1886" s="375"/>
      <c r="L1886" s="375"/>
      <c r="M1886" s="368"/>
      <c r="N1886" s="368"/>
      <c r="O1886" s="370"/>
      <c r="T1886" s="340"/>
      <c r="V1886" s="378"/>
      <c r="W1886" s="64" ph="1"/>
      <c r="X1886" s="241"/>
      <c r="Y1886" s="284"/>
      <c r="Z1886" s="207"/>
      <c r="AA1886" s="284"/>
      <c r="AB1886" s="284"/>
      <c r="AC1886" s="284"/>
      <c r="AD1886" s="284"/>
      <c r="AE1886" s="284"/>
      <c r="AF1886" s="284"/>
      <c r="AG1886" s="284"/>
    </row>
    <row r="1887" spans="1:33" ht="26.4">
      <c r="A1887" s="284"/>
      <c r="B1887" s="284"/>
      <c r="C1887" s="284"/>
      <c r="D1887" s="284"/>
      <c r="E1887" s="284"/>
      <c r="F1887" s="284"/>
      <c r="G1887" s="284"/>
      <c r="H1887" s="284"/>
      <c r="I1887" s="284"/>
      <c r="J1887" s="375"/>
      <c r="K1887" s="375"/>
      <c r="L1887" s="375"/>
      <c r="M1887" s="368"/>
      <c r="N1887" s="368"/>
      <c r="O1887" s="370"/>
      <c r="T1887" s="340"/>
      <c r="V1887" s="378"/>
      <c r="W1887" s="64" ph="1"/>
      <c r="X1887" s="241"/>
      <c r="Y1887" s="284"/>
      <c r="Z1887" s="207"/>
      <c r="AA1887" s="284"/>
      <c r="AB1887" s="284"/>
      <c r="AC1887" s="284"/>
      <c r="AD1887" s="284"/>
      <c r="AE1887" s="284"/>
      <c r="AF1887" s="284"/>
      <c r="AG1887" s="284"/>
    </row>
    <row r="1888" spans="1:33" ht="26.4">
      <c r="A1888" s="284"/>
      <c r="B1888" s="284"/>
      <c r="C1888" s="284"/>
      <c r="D1888" s="284"/>
      <c r="E1888" s="284"/>
      <c r="F1888" s="284"/>
      <c r="G1888" s="284"/>
      <c r="H1888" s="284"/>
      <c r="I1888" s="284"/>
      <c r="J1888" s="375"/>
      <c r="K1888" s="375"/>
      <c r="L1888" s="375"/>
      <c r="M1888" s="368"/>
      <c r="N1888" s="368"/>
      <c r="O1888" s="370"/>
      <c r="T1888" s="340"/>
      <c r="V1888" s="378"/>
      <c r="W1888" s="64" ph="1"/>
      <c r="X1888" s="241"/>
      <c r="Y1888" s="284"/>
      <c r="Z1888" s="207"/>
      <c r="AA1888" s="284"/>
      <c r="AB1888" s="284"/>
      <c r="AC1888" s="284"/>
      <c r="AD1888" s="284"/>
      <c r="AE1888" s="284"/>
      <c r="AF1888" s="284"/>
      <c r="AG1888" s="284"/>
    </row>
    <row r="1889" spans="1:33" ht="26.4">
      <c r="A1889" s="284"/>
      <c r="B1889" s="284"/>
      <c r="C1889" s="284"/>
      <c r="D1889" s="284"/>
      <c r="E1889" s="284"/>
      <c r="F1889" s="284"/>
      <c r="G1889" s="284"/>
      <c r="H1889" s="284"/>
      <c r="I1889" s="284"/>
      <c r="J1889" s="375"/>
      <c r="K1889" s="375"/>
      <c r="L1889" s="375"/>
      <c r="M1889" s="368"/>
      <c r="N1889" s="368"/>
      <c r="O1889" s="370"/>
      <c r="T1889" s="340"/>
      <c r="V1889" s="378"/>
      <c r="W1889" s="64" ph="1"/>
      <c r="X1889" s="241"/>
      <c r="Y1889" s="284"/>
      <c r="Z1889" s="207"/>
      <c r="AA1889" s="284"/>
      <c r="AB1889" s="284"/>
      <c r="AC1889" s="284"/>
      <c r="AD1889" s="284"/>
      <c r="AE1889" s="284"/>
      <c r="AF1889" s="284"/>
      <c r="AG1889" s="284"/>
    </row>
    <row r="1890" spans="1:33" ht="26.4">
      <c r="A1890" s="284"/>
      <c r="B1890" s="284"/>
      <c r="C1890" s="284"/>
      <c r="D1890" s="284"/>
      <c r="E1890" s="284"/>
      <c r="F1890" s="284"/>
      <c r="G1890" s="284"/>
      <c r="H1890" s="284"/>
      <c r="I1890" s="284"/>
      <c r="J1890" s="375"/>
      <c r="K1890" s="375"/>
      <c r="L1890" s="375"/>
      <c r="M1890" s="368"/>
      <c r="N1890" s="368"/>
      <c r="O1890" s="370"/>
      <c r="T1890" s="340"/>
      <c r="V1890" s="378"/>
      <c r="W1890" s="64" ph="1"/>
      <c r="X1890" s="241"/>
      <c r="Y1890" s="284"/>
      <c r="Z1890" s="207"/>
      <c r="AA1890" s="284"/>
      <c r="AB1890" s="284"/>
      <c r="AC1890" s="284"/>
      <c r="AD1890" s="284"/>
      <c r="AE1890" s="284"/>
      <c r="AF1890" s="284"/>
      <c r="AG1890" s="284"/>
    </row>
    <row r="1891" spans="1:33" ht="26.4">
      <c r="A1891" s="284"/>
      <c r="B1891" s="284"/>
      <c r="C1891" s="284"/>
      <c r="D1891" s="284"/>
      <c r="E1891" s="284"/>
      <c r="F1891" s="284"/>
      <c r="G1891" s="284"/>
      <c r="H1891" s="284"/>
      <c r="I1891" s="284"/>
      <c r="J1891" s="375"/>
      <c r="K1891" s="375"/>
      <c r="L1891" s="375"/>
      <c r="M1891" s="368"/>
      <c r="N1891" s="368"/>
      <c r="O1891" s="370"/>
      <c r="T1891" s="340"/>
      <c r="V1891" s="378"/>
      <c r="W1891" s="64" ph="1"/>
      <c r="X1891" s="241"/>
      <c r="Y1891" s="284"/>
      <c r="Z1891" s="207"/>
      <c r="AA1891" s="284"/>
      <c r="AB1891" s="284"/>
      <c r="AC1891" s="284"/>
      <c r="AD1891" s="284"/>
      <c r="AE1891" s="284"/>
      <c r="AF1891" s="284"/>
      <c r="AG1891" s="284"/>
    </row>
    <row r="1892" spans="1:33" ht="26.4">
      <c r="A1892" s="284"/>
      <c r="B1892" s="284"/>
      <c r="C1892" s="284"/>
      <c r="D1892" s="284"/>
      <c r="E1892" s="284"/>
      <c r="F1892" s="284"/>
      <c r="G1892" s="284"/>
      <c r="H1892" s="284"/>
      <c r="I1892" s="284"/>
      <c r="J1892" s="375"/>
      <c r="K1892" s="375"/>
      <c r="L1892" s="375"/>
      <c r="M1892" s="368"/>
      <c r="N1892" s="368"/>
      <c r="O1892" s="370"/>
      <c r="T1892" s="340"/>
      <c r="V1892" s="378"/>
      <c r="W1892" s="64" ph="1"/>
      <c r="X1892" s="241"/>
      <c r="Y1892" s="284"/>
      <c r="Z1892" s="207"/>
      <c r="AA1892" s="284"/>
      <c r="AB1892" s="284"/>
      <c r="AC1892" s="284"/>
      <c r="AD1892" s="284"/>
      <c r="AE1892" s="284"/>
      <c r="AF1892" s="284"/>
      <c r="AG1892" s="284"/>
    </row>
    <row r="1893" spans="1:33" ht="26.4">
      <c r="A1893" s="284"/>
      <c r="B1893" s="284"/>
      <c r="C1893" s="284"/>
      <c r="D1893" s="284"/>
      <c r="E1893" s="284"/>
      <c r="F1893" s="284"/>
      <c r="G1893" s="284"/>
      <c r="H1893" s="284"/>
      <c r="I1893" s="284"/>
      <c r="J1893" s="375"/>
      <c r="K1893" s="375"/>
      <c r="L1893" s="375"/>
      <c r="M1893" s="368"/>
      <c r="N1893" s="368"/>
      <c r="O1893" s="370"/>
      <c r="T1893" s="340"/>
      <c r="V1893" s="378"/>
      <c r="W1893" s="64" ph="1"/>
      <c r="X1893" s="241"/>
      <c r="Y1893" s="284"/>
      <c r="Z1893" s="207"/>
      <c r="AA1893" s="284"/>
      <c r="AB1893" s="284"/>
      <c r="AC1893" s="284"/>
      <c r="AD1893" s="284"/>
      <c r="AE1893" s="284"/>
      <c r="AF1893" s="284"/>
      <c r="AG1893" s="284"/>
    </row>
    <row r="1894" spans="1:33" ht="26.4">
      <c r="A1894" s="284"/>
      <c r="B1894" s="284"/>
      <c r="C1894" s="284"/>
      <c r="D1894" s="284"/>
      <c r="E1894" s="284"/>
      <c r="F1894" s="284"/>
      <c r="G1894" s="284"/>
      <c r="H1894" s="284"/>
      <c r="I1894" s="284"/>
      <c r="J1894" s="375"/>
      <c r="K1894" s="375"/>
      <c r="L1894" s="375"/>
      <c r="M1894" s="368"/>
      <c r="N1894" s="368"/>
      <c r="O1894" s="370"/>
      <c r="T1894" s="340"/>
      <c r="V1894" s="378"/>
      <c r="W1894" s="64" ph="1"/>
      <c r="X1894" s="241"/>
      <c r="Y1894" s="284"/>
      <c r="Z1894" s="207"/>
      <c r="AA1894" s="284"/>
      <c r="AB1894" s="284"/>
      <c r="AC1894" s="284"/>
      <c r="AD1894" s="284"/>
      <c r="AE1894" s="284"/>
      <c r="AF1894" s="284"/>
      <c r="AG1894" s="284"/>
    </row>
    <row r="1895" spans="1:33" ht="26.4">
      <c r="A1895" s="284"/>
      <c r="B1895" s="284"/>
      <c r="C1895" s="284"/>
      <c r="D1895" s="284"/>
      <c r="E1895" s="284"/>
      <c r="F1895" s="284"/>
      <c r="G1895" s="284"/>
      <c r="H1895" s="284"/>
      <c r="I1895" s="284"/>
      <c r="J1895" s="375"/>
      <c r="K1895" s="375"/>
      <c r="L1895" s="375"/>
      <c r="M1895" s="368"/>
      <c r="N1895" s="368"/>
      <c r="O1895" s="370"/>
      <c r="T1895" s="340"/>
      <c r="V1895" s="378"/>
      <c r="W1895" s="64" ph="1"/>
      <c r="X1895" s="241"/>
      <c r="Y1895" s="284"/>
      <c r="Z1895" s="207"/>
      <c r="AA1895" s="284"/>
      <c r="AB1895" s="284"/>
      <c r="AC1895" s="284"/>
      <c r="AD1895" s="284"/>
      <c r="AE1895" s="284"/>
      <c r="AF1895" s="284"/>
      <c r="AG1895" s="284"/>
    </row>
    <row r="1896" spans="1:33" ht="26.4">
      <c r="A1896" s="284"/>
      <c r="B1896" s="284"/>
      <c r="C1896" s="284"/>
      <c r="D1896" s="284"/>
      <c r="E1896" s="284"/>
      <c r="F1896" s="284"/>
      <c r="G1896" s="284"/>
      <c r="H1896" s="284"/>
      <c r="I1896" s="284"/>
      <c r="J1896" s="375"/>
      <c r="K1896" s="375"/>
      <c r="L1896" s="375"/>
      <c r="M1896" s="368"/>
      <c r="N1896" s="368"/>
      <c r="O1896" s="370"/>
      <c r="T1896" s="340"/>
      <c r="V1896" s="378"/>
      <c r="W1896" s="64" ph="1"/>
      <c r="X1896" s="241"/>
      <c r="Y1896" s="284"/>
      <c r="Z1896" s="207"/>
      <c r="AA1896" s="284"/>
      <c r="AB1896" s="284"/>
      <c r="AC1896" s="284"/>
      <c r="AD1896" s="284"/>
      <c r="AE1896" s="284"/>
      <c r="AF1896" s="284"/>
      <c r="AG1896" s="284"/>
    </row>
    <row r="1897" spans="1:33" ht="26.4">
      <c r="A1897" s="284"/>
      <c r="B1897" s="284"/>
      <c r="C1897" s="284"/>
      <c r="D1897" s="284"/>
      <c r="E1897" s="284"/>
      <c r="F1897" s="284"/>
      <c r="G1897" s="284"/>
      <c r="H1897" s="284"/>
      <c r="I1897" s="284"/>
      <c r="J1897" s="375"/>
      <c r="K1897" s="375"/>
      <c r="L1897" s="375"/>
      <c r="M1897" s="368"/>
      <c r="N1897" s="368"/>
      <c r="O1897" s="370"/>
      <c r="T1897" s="340"/>
      <c r="V1897" s="378"/>
      <c r="W1897" s="64" ph="1"/>
      <c r="X1897" s="241"/>
      <c r="Y1897" s="284"/>
      <c r="Z1897" s="207"/>
      <c r="AA1897" s="284"/>
      <c r="AB1897" s="284"/>
      <c r="AC1897" s="284"/>
      <c r="AD1897" s="284"/>
      <c r="AE1897" s="284"/>
      <c r="AF1897" s="284"/>
      <c r="AG1897" s="284"/>
    </row>
    <row r="1898" spans="1:33" ht="26.4">
      <c r="A1898" s="284"/>
      <c r="B1898" s="284"/>
      <c r="C1898" s="284"/>
      <c r="D1898" s="284"/>
      <c r="E1898" s="284"/>
      <c r="F1898" s="284"/>
      <c r="G1898" s="284"/>
      <c r="H1898" s="284"/>
      <c r="I1898" s="284"/>
      <c r="J1898" s="375"/>
      <c r="K1898" s="375"/>
      <c r="L1898" s="375"/>
      <c r="M1898" s="368"/>
      <c r="N1898" s="368"/>
      <c r="O1898" s="370"/>
      <c r="T1898" s="340"/>
      <c r="V1898" s="378"/>
      <c r="W1898" s="64" ph="1"/>
      <c r="X1898" s="241"/>
      <c r="Y1898" s="284"/>
      <c r="Z1898" s="207"/>
      <c r="AA1898" s="284"/>
      <c r="AB1898" s="284"/>
      <c r="AC1898" s="284"/>
      <c r="AD1898" s="284"/>
      <c r="AE1898" s="284"/>
      <c r="AF1898" s="284"/>
      <c r="AG1898" s="284"/>
    </row>
    <row r="1899" spans="1:33" ht="26.4">
      <c r="A1899" s="284"/>
      <c r="B1899" s="284"/>
      <c r="C1899" s="284"/>
      <c r="D1899" s="284"/>
      <c r="E1899" s="284"/>
      <c r="F1899" s="284"/>
      <c r="G1899" s="284"/>
      <c r="H1899" s="284"/>
      <c r="I1899" s="284"/>
      <c r="J1899" s="375"/>
      <c r="K1899" s="375"/>
      <c r="L1899" s="375"/>
      <c r="M1899" s="368"/>
      <c r="N1899" s="368"/>
      <c r="O1899" s="370"/>
      <c r="T1899" s="340"/>
      <c r="V1899" s="378"/>
      <c r="W1899" s="64" ph="1"/>
      <c r="X1899" s="241"/>
      <c r="Y1899" s="284"/>
      <c r="Z1899" s="207"/>
      <c r="AA1899" s="284"/>
      <c r="AB1899" s="284"/>
      <c r="AC1899" s="284"/>
      <c r="AD1899" s="284"/>
      <c r="AE1899" s="284"/>
      <c r="AF1899" s="284"/>
      <c r="AG1899" s="284"/>
    </row>
    <row r="1900" spans="1:33" ht="26.4">
      <c r="A1900" s="284"/>
      <c r="B1900" s="284"/>
      <c r="C1900" s="284"/>
      <c r="D1900" s="284"/>
      <c r="E1900" s="284"/>
      <c r="F1900" s="284"/>
      <c r="G1900" s="284"/>
      <c r="H1900" s="284"/>
      <c r="I1900" s="284"/>
      <c r="J1900" s="375"/>
      <c r="K1900" s="375"/>
      <c r="L1900" s="375"/>
      <c r="M1900" s="368"/>
      <c r="N1900" s="368"/>
      <c r="O1900" s="370"/>
      <c r="T1900" s="340"/>
      <c r="V1900" s="378"/>
      <c r="W1900" s="64" ph="1"/>
      <c r="X1900" s="241"/>
      <c r="Y1900" s="284"/>
      <c r="Z1900" s="207"/>
      <c r="AA1900" s="284"/>
      <c r="AB1900" s="284"/>
      <c r="AC1900" s="284"/>
      <c r="AD1900" s="284"/>
      <c r="AE1900" s="284"/>
      <c r="AF1900" s="284"/>
      <c r="AG1900" s="284"/>
    </row>
    <row r="1901" spans="1:33" ht="26.4">
      <c r="A1901" s="284"/>
      <c r="B1901" s="284"/>
      <c r="C1901" s="284"/>
      <c r="D1901" s="284"/>
      <c r="E1901" s="284"/>
      <c r="F1901" s="284"/>
      <c r="G1901" s="284"/>
      <c r="H1901" s="284"/>
      <c r="I1901" s="284"/>
      <c r="J1901" s="375"/>
      <c r="K1901" s="375"/>
      <c r="L1901" s="375"/>
      <c r="M1901" s="368"/>
      <c r="N1901" s="368"/>
      <c r="O1901" s="370"/>
      <c r="T1901" s="340"/>
      <c r="V1901" s="378"/>
      <c r="W1901" s="64" ph="1"/>
      <c r="X1901" s="241"/>
      <c r="Y1901" s="284"/>
      <c r="Z1901" s="207"/>
      <c r="AA1901" s="284"/>
      <c r="AB1901" s="284"/>
      <c r="AC1901" s="284"/>
      <c r="AD1901" s="284"/>
      <c r="AE1901" s="284"/>
      <c r="AF1901" s="284"/>
      <c r="AG1901" s="284"/>
    </row>
    <row r="1902" spans="1:33" ht="26.4">
      <c r="A1902" s="284"/>
      <c r="B1902" s="284"/>
      <c r="C1902" s="284"/>
      <c r="D1902" s="284"/>
      <c r="E1902" s="284"/>
      <c r="F1902" s="284"/>
      <c r="G1902" s="284"/>
      <c r="H1902" s="284"/>
      <c r="I1902" s="284"/>
      <c r="J1902" s="375"/>
      <c r="K1902" s="375"/>
      <c r="L1902" s="375"/>
      <c r="M1902" s="368"/>
      <c r="N1902" s="368"/>
      <c r="O1902" s="370"/>
      <c r="T1902" s="340"/>
      <c r="V1902" s="378"/>
      <c r="W1902" s="64" ph="1"/>
      <c r="X1902" s="241"/>
      <c r="Y1902" s="284"/>
      <c r="Z1902" s="207"/>
      <c r="AA1902" s="284"/>
      <c r="AB1902" s="284"/>
      <c r="AC1902" s="284"/>
      <c r="AD1902" s="284"/>
      <c r="AE1902" s="284"/>
      <c r="AF1902" s="284"/>
      <c r="AG1902" s="284"/>
    </row>
    <row r="1903" spans="1:33" ht="26.4">
      <c r="A1903" s="284"/>
      <c r="B1903" s="284"/>
      <c r="C1903" s="284"/>
      <c r="D1903" s="284"/>
      <c r="E1903" s="284"/>
      <c r="F1903" s="284"/>
      <c r="G1903" s="284"/>
      <c r="H1903" s="284"/>
      <c r="I1903" s="284"/>
      <c r="J1903" s="375"/>
      <c r="K1903" s="375"/>
      <c r="L1903" s="375"/>
      <c r="M1903" s="368"/>
      <c r="N1903" s="368"/>
      <c r="O1903" s="370"/>
      <c r="T1903" s="340"/>
      <c r="V1903" s="378"/>
      <c r="W1903" s="64" ph="1"/>
      <c r="X1903" s="241"/>
      <c r="Y1903" s="284"/>
      <c r="Z1903" s="207"/>
      <c r="AA1903" s="284"/>
      <c r="AB1903" s="284"/>
      <c r="AC1903" s="284"/>
      <c r="AD1903" s="284"/>
      <c r="AE1903" s="284"/>
      <c r="AF1903" s="284"/>
      <c r="AG1903" s="284"/>
    </row>
    <row r="1904" spans="1:33" ht="26.4">
      <c r="A1904" s="284"/>
      <c r="B1904" s="284"/>
      <c r="C1904" s="284"/>
      <c r="D1904" s="284"/>
      <c r="E1904" s="284"/>
      <c r="F1904" s="284"/>
      <c r="G1904" s="284"/>
      <c r="H1904" s="284"/>
      <c r="I1904" s="284"/>
      <c r="J1904" s="375"/>
      <c r="K1904" s="375"/>
      <c r="L1904" s="375"/>
      <c r="M1904" s="368"/>
      <c r="N1904" s="368"/>
      <c r="O1904" s="370"/>
      <c r="T1904" s="340"/>
      <c r="V1904" s="378"/>
      <c r="W1904" s="64" ph="1"/>
      <c r="X1904" s="241"/>
      <c r="Y1904" s="284"/>
      <c r="Z1904" s="207"/>
      <c r="AA1904" s="284"/>
      <c r="AB1904" s="284"/>
      <c r="AC1904" s="284"/>
      <c r="AD1904" s="284"/>
      <c r="AE1904" s="284"/>
      <c r="AF1904" s="284"/>
      <c r="AG1904" s="284"/>
    </row>
    <row r="1905" spans="1:33" ht="26.4">
      <c r="A1905" s="284"/>
      <c r="B1905" s="284"/>
      <c r="C1905" s="284"/>
      <c r="D1905" s="284"/>
      <c r="E1905" s="284"/>
      <c r="F1905" s="284"/>
      <c r="G1905" s="284"/>
      <c r="H1905" s="284"/>
      <c r="I1905" s="284"/>
      <c r="J1905" s="375"/>
      <c r="K1905" s="375"/>
      <c r="L1905" s="375"/>
      <c r="M1905" s="368"/>
      <c r="N1905" s="368"/>
      <c r="O1905" s="370"/>
      <c r="T1905" s="340"/>
      <c r="V1905" s="378"/>
      <c r="W1905" s="64" ph="1"/>
      <c r="X1905" s="241"/>
      <c r="Y1905" s="284"/>
      <c r="Z1905" s="207"/>
      <c r="AA1905" s="284"/>
      <c r="AB1905" s="284"/>
      <c r="AC1905" s="284"/>
      <c r="AD1905" s="284"/>
      <c r="AE1905" s="284"/>
      <c r="AF1905" s="284"/>
      <c r="AG1905" s="284"/>
    </row>
    <row r="1906" spans="1:33" ht="26.4">
      <c r="A1906" s="284"/>
      <c r="B1906" s="284"/>
      <c r="C1906" s="284"/>
      <c r="D1906" s="284"/>
      <c r="E1906" s="284"/>
      <c r="F1906" s="284"/>
      <c r="G1906" s="284"/>
      <c r="H1906" s="284"/>
      <c r="I1906" s="284"/>
      <c r="J1906" s="375"/>
      <c r="K1906" s="375"/>
      <c r="L1906" s="375"/>
      <c r="M1906" s="368"/>
      <c r="N1906" s="368"/>
      <c r="O1906" s="370"/>
      <c r="T1906" s="340"/>
      <c r="V1906" s="378"/>
      <c r="W1906" s="64" ph="1"/>
      <c r="X1906" s="241"/>
      <c r="Y1906" s="284"/>
      <c r="Z1906" s="207"/>
      <c r="AA1906" s="284"/>
      <c r="AB1906" s="284"/>
      <c r="AC1906" s="284"/>
      <c r="AD1906" s="284"/>
      <c r="AE1906" s="284"/>
      <c r="AF1906" s="284"/>
      <c r="AG1906" s="284"/>
    </row>
    <row r="1907" spans="1:33" ht="26.4">
      <c r="A1907" s="284"/>
      <c r="B1907" s="284"/>
      <c r="C1907" s="284"/>
      <c r="D1907" s="284"/>
      <c r="E1907" s="284"/>
      <c r="F1907" s="284"/>
      <c r="G1907" s="284"/>
      <c r="H1907" s="284"/>
      <c r="I1907" s="284"/>
      <c r="J1907" s="375"/>
      <c r="K1907" s="375"/>
      <c r="L1907" s="375"/>
      <c r="M1907" s="368"/>
      <c r="N1907" s="368"/>
      <c r="O1907" s="370"/>
      <c r="T1907" s="340"/>
      <c r="V1907" s="378"/>
      <c r="W1907" s="64" ph="1"/>
      <c r="X1907" s="241"/>
      <c r="Y1907" s="284"/>
      <c r="Z1907" s="207"/>
      <c r="AA1907" s="284"/>
      <c r="AB1907" s="284"/>
      <c r="AC1907" s="284"/>
      <c r="AD1907" s="284"/>
      <c r="AE1907" s="284"/>
      <c r="AF1907" s="284"/>
      <c r="AG1907" s="284"/>
    </row>
    <row r="1908" spans="1:33" ht="26.4">
      <c r="A1908" s="284"/>
      <c r="B1908" s="284"/>
      <c r="C1908" s="284"/>
      <c r="D1908" s="284"/>
      <c r="E1908" s="284"/>
      <c r="F1908" s="284"/>
      <c r="G1908" s="284"/>
      <c r="H1908" s="284"/>
      <c r="I1908" s="284"/>
      <c r="J1908" s="375"/>
      <c r="K1908" s="375"/>
      <c r="L1908" s="375"/>
      <c r="M1908" s="368"/>
      <c r="N1908" s="368"/>
      <c r="O1908" s="370"/>
      <c r="T1908" s="340"/>
      <c r="V1908" s="378"/>
      <c r="W1908" s="64" ph="1"/>
      <c r="X1908" s="241"/>
      <c r="Y1908" s="284"/>
      <c r="Z1908" s="207"/>
      <c r="AA1908" s="284"/>
      <c r="AB1908" s="284"/>
      <c r="AC1908" s="284"/>
      <c r="AD1908" s="284"/>
      <c r="AE1908" s="284"/>
      <c r="AF1908" s="284"/>
      <c r="AG1908" s="284"/>
    </row>
    <row r="1909" spans="1:33" ht="26.4">
      <c r="A1909" s="284"/>
      <c r="B1909" s="284"/>
      <c r="C1909" s="284"/>
      <c r="D1909" s="284"/>
      <c r="E1909" s="284"/>
      <c r="F1909" s="284"/>
      <c r="G1909" s="284"/>
      <c r="H1909" s="284"/>
      <c r="I1909" s="284"/>
      <c r="J1909" s="375"/>
      <c r="K1909" s="375"/>
      <c r="L1909" s="375"/>
      <c r="M1909" s="368"/>
      <c r="N1909" s="368"/>
      <c r="O1909" s="370"/>
      <c r="T1909" s="340"/>
      <c r="V1909" s="378"/>
      <c r="W1909" s="64" ph="1"/>
      <c r="X1909" s="241"/>
      <c r="Y1909" s="284"/>
      <c r="Z1909" s="207"/>
      <c r="AA1909" s="284"/>
      <c r="AB1909" s="284"/>
      <c r="AC1909" s="284"/>
      <c r="AD1909" s="284"/>
      <c r="AE1909" s="284"/>
      <c r="AF1909" s="284"/>
      <c r="AG1909" s="284"/>
    </row>
    <row r="1910" spans="1:33" ht="26.4">
      <c r="A1910" s="284"/>
      <c r="B1910" s="284"/>
      <c r="C1910" s="284"/>
      <c r="D1910" s="284"/>
      <c r="E1910" s="284"/>
      <c r="F1910" s="284"/>
      <c r="G1910" s="284"/>
      <c r="H1910" s="284"/>
      <c r="I1910" s="284"/>
      <c r="J1910" s="375"/>
      <c r="K1910" s="375"/>
      <c r="L1910" s="375"/>
      <c r="M1910" s="368"/>
      <c r="N1910" s="368"/>
      <c r="O1910" s="370"/>
      <c r="T1910" s="340"/>
      <c r="V1910" s="378"/>
      <c r="W1910" s="64" ph="1"/>
      <c r="X1910" s="241"/>
      <c r="Y1910" s="284"/>
      <c r="Z1910" s="207"/>
      <c r="AA1910" s="284"/>
      <c r="AB1910" s="284"/>
      <c r="AC1910" s="284"/>
      <c r="AD1910" s="284"/>
      <c r="AE1910" s="284"/>
      <c r="AF1910" s="284"/>
      <c r="AG1910" s="284"/>
    </row>
    <row r="1911" spans="1:33" ht="26.4">
      <c r="A1911" s="284"/>
      <c r="B1911" s="284"/>
      <c r="C1911" s="284"/>
      <c r="D1911" s="284"/>
      <c r="E1911" s="284"/>
      <c r="F1911" s="284"/>
      <c r="G1911" s="284"/>
      <c r="H1911" s="284"/>
      <c r="I1911" s="284"/>
      <c r="J1911" s="375"/>
      <c r="K1911" s="375"/>
      <c r="L1911" s="375"/>
      <c r="M1911" s="368"/>
      <c r="N1911" s="368"/>
      <c r="O1911" s="370"/>
      <c r="T1911" s="340"/>
      <c r="V1911" s="378"/>
      <c r="W1911" s="64" ph="1"/>
      <c r="X1911" s="241"/>
      <c r="Y1911" s="284"/>
      <c r="Z1911" s="207"/>
      <c r="AA1911" s="284"/>
      <c r="AB1911" s="284"/>
      <c r="AC1911" s="284"/>
      <c r="AD1911" s="284"/>
      <c r="AE1911" s="284"/>
      <c r="AF1911" s="284"/>
      <c r="AG1911" s="284"/>
    </row>
    <row r="1912" spans="1:33" ht="26.4">
      <c r="A1912" s="284"/>
      <c r="B1912" s="284"/>
      <c r="C1912" s="284"/>
      <c r="D1912" s="284"/>
      <c r="E1912" s="284"/>
      <c r="F1912" s="284"/>
      <c r="G1912" s="284"/>
      <c r="H1912" s="284"/>
      <c r="I1912" s="284"/>
      <c r="J1912" s="375"/>
      <c r="K1912" s="375"/>
      <c r="L1912" s="375"/>
      <c r="M1912" s="368"/>
      <c r="N1912" s="368"/>
      <c r="O1912" s="370"/>
      <c r="T1912" s="340"/>
      <c r="V1912" s="378"/>
      <c r="W1912" s="64" ph="1"/>
      <c r="X1912" s="241"/>
      <c r="Y1912" s="284"/>
      <c r="Z1912" s="207"/>
      <c r="AA1912" s="284"/>
      <c r="AB1912" s="284"/>
      <c r="AC1912" s="284"/>
      <c r="AD1912" s="284"/>
      <c r="AE1912" s="284"/>
      <c r="AF1912" s="284"/>
      <c r="AG1912" s="284"/>
    </row>
    <row r="1913" spans="1:33" ht="26.4">
      <c r="A1913" s="284"/>
      <c r="B1913" s="284"/>
      <c r="C1913" s="284"/>
      <c r="D1913" s="284"/>
      <c r="E1913" s="284"/>
      <c r="F1913" s="284"/>
      <c r="G1913" s="284"/>
      <c r="H1913" s="284"/>
      <c r="I1913" s="284"/>
      <c r="J1913" s="375"/>
      <c r="K1913" s="375"/>
      <c r="L1913" s="375"/>
      <c r="M1913" s="368"/>
      <c r="N1913" s="368"/>
      <c r="O1913" s="370"/>
      <c r="T1913" s="340"/>
      <c r="V1913" s="378"/>
      <c r="W1913" s="64" ph="1"/>
      <c r="X1913" s="241"/>
      <c r="Y1913" s="284"/>
      <c r="Z1913" s="207"/>
      <c r="AA1913" s="284"/>
      <c r="AB1913" s="284"/>
      <c r="AC1913" s="284"/>
      <c r="AD1913" s="284"/>
      <c r="AE1913" s="284"/>
      <c r="AF1913" s="284"/>
      <c r="AG1913" s="284"/>
    </row>
    <row r="1914" spans="1:33" ht="26.4">
      <c r="A1914" s="284"/>
      <c r="B1914" s="284"/>
      <c r="C1914" s="284"/>
      <c r="D1914" s="284"/>
      <c r="E1914" s="284"/>
      <c r="F1914" s="284"/>
      <c r="G1914" s="284"/>
      <c r="H1914" s="284"/>
      <c r="I1914" s="284"/>
      <c r="J1914" s="375"/>
      <c r="K1914" s="375"/>
      <c r="L1914" s="375"/>
      <c r="M1914" s="368"/>
      <c r="N1914" s="368"/>
      <c r="O1914" s="370"/>
      <c r="T1914" s="340"/>
      <c r="V1914" s="378"/>
      <c r="W1914" s="64" ph="1"/>
      <c r="X1914" s="241"/>
      <c r="Y1914" s="284"/>
      <c r="Z1914" s="207"/>
      <c r="AA1914" s="284"/>
      <c r="AB1914" s="284"/>
      <c r="AC1914" s="284"/>
      <c r="AD1914" s="284"/>
      <c r="AE1914" s="284"/>
      <c r="AF1914" s="284"/>
      <c r="AG1914" s="284"/>
    </row>
    <row r="1915" spans="1:33" ht="26.4">
      <c r="A1915" s="284"/>
      <c r="B1915" s="284"/>
      <c r="C1915" s="284"/>
      <c r="D1915" s="284"/>
      <c r="E1915" s="284"/>
      <c r="F1915" s="284"/>
      <c r="G1915" s="284"/>
      <c r="H1915" s="284"/>
      <c r="I1915" s="284"/>
      <c r="J1915" s="375"/>
      <c r="K1915" s="375"/>
      <c r="L1915" s="375"/>
      <c r="M1915" s="368"/>
      <c r="N1915" s="368"/>
      <c r="O1915" s="370"/>
      <c r="T1915" s="340"/>
      <c r="V1915" s="378"/>
      <c r="W1915" s="64" ph="1"/>
      <c r="X1915" s="241"/>
      <c r="Y1915" s="284"/>
      <c r="Z1915" s="207"/>
      <c r="AA1915" s="284"/>
      <c r="AB1915" s="284"/>
      <c r="AC1915" s="284"/>
      <c r="AD1915" s="284"/>
      <c r="AE1915" s="284"/>
      <c r="AF1915" s="284"/>
      <c r="AG1915" s="284"/>
    </row>
    <row r="1916" spans="1:33" ht="26.4">
      <c r="A1916" s="284"/>
      <c r="B1916" s="284"/>
      <c r="C1916" s="284"/>
      <c r="D1916" s="284"/>
      <c r="E1916" s="284"/>
      <c r="F1916" s="284"/>
      <c r="G1916" s="284"/>
      <c r="H1916" s="284"/>
      <c r="I1916" s="284"/>
      <c r="J1916" s="375"/>
      <c r="K1916" s="375"/>
      <c r="L1916" s="375"/>
      <c r="M1916" s="368"/>
      <c r="N1916" s="368"/>
      <c r="O1916" s="370"/>
      <c r="T1916" s="340"/>
      <c r="V1916" s="378"/>
      <c r="W1916" s="64" ph="1"/>
      <c r="X1916" s="241"/>
      <c r="Y1916" s="284"/>
      <c r="Z1916" s="207"/>
      <c r="AA1916" s="284"/>
      <c r="AB1916" s="284"/>
      <c r="AC1916" s="284"/>
      <c r="AD1916" s="284"/>
      <c r="AE1916" s="284"/>
      <c r="AF1916" s="284"/>
      <c r="AG1916" s="284"/>
    </row>
    <row r="1917" spans="1:33" ht="26.4">
      <c r="A1917" s="284"/>
      <c r="B1917" s="284"/>
      <c r="C1917" s="284"/>
      <c r="D1917" s="284"/>
      <c r="E1917" s="284"/>
      <c r="F1917" s="284"/>
      <c r="G1917" s="284"/>
      <c r="H1917" s="284"/>
      <c r="I1917" s="284"/>
      <c r="J1917" s="375"/>
      <c r="K1917" s="375"/>
      <c r="L1917" s="375"/>
      <c r="M1917" s="368"/>
      <c r="N1917" s="368"/>
      <c r="O1917" s="370"/>
      <c r="T1917" s="340"/>
      <c r="V1917" s="378"/>
      <c r="W1917" s="64" ph="1"/>
      <c r="X1917" s="241"/>
      <c r="Y1917" s="284"/>
      <c r="Z1917" s="207"/>
      <c r="AA1917" s="284"/>
      <c r="AB1917" s="284"/>
      <c r="AC1917" s="284"/>
      <c r="AD1917" s="284"/>
      <c r="AE1917" s="284"/>
      <c r="AF1917" s="284"/>
      <c r="AG1917" s="284"/>
    </row>
    <row r="1918" spans="1:33" ht="26.4">
      <c r="A1918" s="284"/>
      <c r="B1918" s="284"/>
      <c r="C1918" s="284"/>
      <c r="D1918" s="284"/>
      <c r="E1918" s="284"/>
      <c r="F1918" s="284"/>
      <c r="G1918" s="284"/>
      <c r="H1918" s="284"/>
      <c r="I1918" s="284"/>
      <c r="J1918" s="375"/>
      <c r="K1918" s="375"/>
      <c r="L1918" s="375"/>
      <c r="M1918" s="368"/>
      <c r="N1918" s="368"/>
      <c r="O1918" s="370"/>
      <c r="T1918" s="340"/>
      <c r="V1918" s="378"/>
      <c r="W1918" s="64" ph="1"/>
      <c r="X1918" s="241"/>
      <c r="Y1918" s="284"/>
      <c r="Z1918" s="207"/>
      <c r="AA1918" s="284"/>
      <c r="AB1918" s="284"/>
      <c r="AC1918" s="284"/>
      <c r="AD1918" s="284"/>
      <c r="AE1918" s="284"/>
      <c r="AF1918" s="284"/>
      <c r="AG1918" s="284"/>
    </row>
    <row r="1919" spans="1:33" ht="26.4">
      <c r="A1919" s="284"/>
      <c r="B1919" s="284"/>
      <c r="C1919" s="284"/>
      <c r="D1919" s="284"/>
      <c r="E1919" s="284"/>
      <c r="F1919" s="284"/>
      <c r="G1919" s="284"/>
      <c r="H1919" s="284"/>
      <c r="I1919" s="284"/>
      <c r="J1919" s="375"/>
      <c r="K1919" s="375"/>
      <c r="L1919" s="375"/>
      <c r="M1919" s="368"/>
      <c r="N1919" s="368"/>
      <c r="O1919" s="370"/>
      <c r="T1919" s="340"/>
      <c r="V1919" s="378"/>
      <c r="W1919" s="64" ph="1"/>
      <c r="X1919" s="241"/>
      <c r="Y1919" s="284"/>
      <c r="Z1919" s="207"/>
      <c r="AA1919" s="284"/>
      <c r="AB1919" s="284"/>
      <c r="AC1919" s="284"/>
      <c r="AD1919" s="284"/>
      <c r="AE1919" s="284"/>
      <c r="AF1919" s="284"/>
      <c r="AG1919" s="284"/>
    </row>
    <row r="1920" spans="1:33" ht="26.4">
      <c r="A1920" s="284"/>
      <c r="B1920" s="284"/>
      <c r="C1920" s="284"/>
      <c r="D1920" s="284"/>
      <c r="E1920" s="284"/>
      <c r="F1920" s="284"/>
      <c r="G1920" s="284"/>
      <c r="H1920" s="284"/>
      <c r="I1920" s="284"/>
      <c r="J1920" s="375"/>
      <c r="K1920" s="375"/>
      <c r="L1920" s="375"/>
      <c r="M1920" s="368"/>
      <c r="N1920" s="368"/>
      <c r="O1920" s="370"/>
      <c r="T1920" s="340"/>
      <c r="V1920" s="378"/>
      <c r="W1920" s="64" ph="1"/>
      <c r="X1920" s="241"/>
      <c r="Y1920" s="284"/>
      <c r="Z1920" s="207"/>
      <c r="AA1920" s="284"/>
      <c r="AB1920" s="284"/>
      <c r="AC1920" s="284"/>
      <c r="AD1920" s="284"/>
      <c r="AE1920" s="284"/>
      <c r="AF1920" s="284"/>
      <c r="AG1920" s="284"/>
    </row>
    <row r="1921" spans="1:33" ht="26.4">
      <c r="A1921" s="284"/>
      <c r="B1921" s="284"/>
      <c r="C1921" s="284"/>
      <c r="D1921" s="284"/>
      <c r="E1921" s="284"/>
      <c r="F1921" s="284"/>
      <c r="G1921" s="284"/>
      <c r="H1921" s="284"/>
      <c r="I1921" s="284"/>
      <c r="J1921" s="375"/>
      <c r="K1921" s="375"/>
      <c r="L1921" s="375"/>
      <c r="M1921" s="368"/>
      <c r="N1921" s="368"/>
      <c r="O1921" s="370"/>
      <c r="T1921" s="340"/>
      <c r="V1921" s="378"/>
      <c r="W1921" s="64" ph="1"/>
      <c r="X1921" s="241"/>
      <c r="Y1921" s="284"/>
      <c r="Z1921" s="207"/>
      <c r="AA1921" s="284"/>
      <c r="AB1921" s="284"/>
      <c r="AC1921" s="284"/>
      <c r="AD1921" s="284"/>
      <c r="AE1921" s="284"/>
      <c r="AF1921" s="284"/>
      <c r="AG1921" s="284"/>
    </row>
    <row r="1922" spans="1:33" ht="26.4">
      <c r="A1922" s="284"/>
      <c r="B1922" s="284"/>
      <c r="C1922" s="284"/>
      <c r="D1922" s="284"/>
      <c r="E1922" s="284"/>
      <c r="F1922" s="284"/>
      <c r="G1922" s="284"/>
      <c r="H1922" s="284"/>
      <c r="I1922" s="284"/>
      <c r="J1922" s="375"/>
      <c r="K1922" s="375"/>
      <c r="L1922" s="375"/>
      <c r="M1922" s="368"/>
      <c r="N1922" s="368"/>
      <c r="O1922" s="370"/>
      <c r="T1922" s="340"/>
      <c r="V1922" s="378"/>
      <c r="W1922" s="64" ph="1"/>
      <c r="X1922" s="241"/>
      <c r="Y1922" s="284"/>
      <c r="Z1922" s="207"/>
      <c r="AA1922" s="284"/>
      <c r="AB1922" s="284"/>
      <c r="AC1922" s="284"/>
      <c r="AD1922" s="284"/>
      <c r="AE1922" s="284"/>
      <c r="AF1922" s="284"/>
      <c r="AG1922" s="284"/>
    </row>
    <row r="1923" spans="1:33" ht="26.4">
      <c r="A1923" s="284"/>
      <c r="B1923" s="284"/>
      <c r="C1923" s="284"/>
      <c r="D1923" s="284"/>
      <c r="E1923" s="284"/>
      <c r="F1923" s="284"/>
      <c r="G1923" s="284"/>
      <c r="H1923" s="284"/>
      <c r="I1923" s="284"/>
      <c r="J1923" s="375"/>
      <c r="K1923" s="375"/>
      <c r="L1923" s="375"/>
      <c r="M1923" s="368"/>
      <c r="N1923" s="368"/>
      <c r="O1923" s="370"/>
      <c r="T1923" s="340"/>
      <c r="V1923" s="378"/>
      <c r="W1923" s="64" ph="1"/>
      <c r="X1923" s="241"/>
      <c r="Y1923" s="284"/>
      <c r="Z1923" s="207"/>
      <c r="AA1923" s="284"/>
      <c r="AB1923" s="284"/>
      <c r="AC1923" s="284"/>
      <c r="AD1923" s="284"/>
      <c r="AE1923" s="284"/>
      <c r="AF1923" s="284"/>
      <c r="AG1923" s="284"/>
    </row>
    <row r="1924" spans="1:33" ht="26.4">
      <c r="A1924" s="284"/>
      <c r="B1924" s="284"/>
      <c r="C1924" s="284"/>
      <c r="D1924" s="284"/>
      <c r="E1924" s="284"/>
      <c r="F1924" s="284"/>
      <c r="G1924" s="284"/>
      <c r="H1924" s="284"/>
      <c r="I1924" s="284"/>
      <c r="J1924" s="375"/>
      <c r="K1924" s="375"/>
      <c r="L1924" s="375"/>
      <c r="M1924" s="368"/>
      <c r="N1924" s="368"/>
      <c r="O1924" s="370"/>
      <c r="T1924" s="340"/>
      <c r="V1924" s="378"/>
      <c r="W1924" s="64" ph="1"/>
      <c r="X1924" s="241"/>
      <c r="Y1924" s="284"/>
      <c r="Z1924" s="207"/>
      <c r="AA1924" s="284"/>
      <c r="AB1924" s="284"/>
      <c r="AC1924" s="284"/>
      <c r="AD1924" s="284"/>
      <c r="AE1924" s="284"/>
      <c r="AF1924" s="284"/>
      <c r="AG1924" s="284"/>
    </row>
    <row r="1925" spans="1:33" ht="26.4">
      <c r="A1925" s="284"/>
      <c r="B1925" s="284"/>
      <c r="C1925" s="284"/>
      <c r="D1925" s="284"/>
      <c r="E1925" s="284"/>
      <c r="F1925" s="284"/>
      <c r="G1925" s="284"/>
      <c r="H1925" s="284"/>
      <c r="I1925" s="284"/>
      <c r="J1925" s="375"/>
      <c r="K1925" s="375"/>
      <c r="L1925" s="375"/>
      <c r="M1925" s="368"/>
      <c r="N1925" s="368"/>
      <c r="O1925" s="370"/>
      <c r="T1925" s="340"/>
      <c r="V1925" s="378"/>
      <c r="W1925" s="64" ph="1"/>
      <c r="X1925" s="241"/>
      <c r="Y1925" s="284"/>
      <c r="Z1925" s="207"/>
      <c r="AA1925" s="284"/>
      <c r="AB1925" s="284"/>
      <c r="AC1925" s="284"/>
      <c r="AD1925" s="284"/>
      <c r="AE1925" s="284"/>
      <c r="AF1925" s="284"/>
      <c r="AG1925" s="284"/>
    </row>
    <row r="1926" spans="1:33" ht="26.4">
      <c r="A1926" s="284"/>
      <c r="B1926" s="284"/>
      <c r="C1926" s="284"/>
      <c r="D1926" s="284"/>
      <c r="E1926" s="284"/>
      <c r="F1926" s="284"/>
      <c r="G1926" s="284"/>
      <c r="H1926" s="284"/>
      <c r="I1926" s="284"/>
      <c r="J1926" s="375"/>
      <c r="K1926" s="375"/>
      <c r="L1926" s="375"/>
      <c r="M1926" s="368"/>
      <c r="N1926" s="368"/>
      <c r="O1926" s="370"/>
      <c r="T1926" s="340"/>
      <c r="V1926" s="378"/>
      <c r="W1926" s="64" ph="1"/>
      <c r="X1926" s="241"/>
      <c r="Y1926" s="284"/>
      <c r="Z1926" s="207"/>
      <c r="AA1926" s="284"/>
      <c r="AB1926" s="284"/>
      <c r="AC1926" s="284"/>
      <c r="AD1926" s="284"/>
      <c r="AE1926" s="284"/>
      <c r="AF1926" s="284"/>
      <c r="AG1926" s="284"/>
    </row>
    <row r="1927" spans="1:33" ht="26.4">
      <c r="A1927" s="284"/>
      <c r="B1927" s="284"/>
      <c r="C1927" s="284"/>
      <c r="D1927" s="284"/>
      <c r="E1927" s="284"/>
      <c r="F1927" s="284"/>
      <c r="G1927" s="284"/>
      <c r="H1927" s="284"/>
      <c r="I1927" s="284"/>
      <c r="J1927" s="375"/>
      <c r="K1927" s="375"/>
      <c r="L1927" s="375"/>
      <c r="M1927" s="368"/>
      <c r="N1927" s="368"/>
      <c r="O1927" s="370"/>
      <c r="T1927" s="340"/>
      <c r="V1927" s="378"/>
      <c r="W1927" s="64" ph="1"/>
      <c r="X1927" s="241"/>
      <c r="Y1927" s="284"/>
      <c r="Z1927" s="207"/>
      <c r="AA1927" s="284"/>
      <c r="AB1927" s="284"/>
      <c r="AC1927" s="284"/>
      <c r="AD1927" s="284"/>
      <c r="AE1927" s="284"/>
      <c r="AF1927" s="284"/>
      <c r="AG1927" s="284"/>
    </row>
    <row r="1928" spans="1:33" ht="26.4">
      <c r="A1928" s="284"/>
      <c r="B1928" s="284"/>
      <c r="C1928" s="284"/>
      <c r="D1928" s="284"/>
      <c r="E1928" s="284"/>
      <c r="F1928" s="284"/>
      <c r="G1928" s="284"/>
      <c r="H1928" s="284"/>
      <c r="I1928" s="284"/>
      <c r="J1928" s="375"/>
      <c r="K1928" s="375"/>
      <c r="L1928" s="375"/>
      <c r="M1928" s="368"/>
      <c r="N1928" s="368"/>
      <c r="O1928" s="370"/>
      <c r="T1928" s="340"/>
      <c r="V1928" s="378"/>
      <c r="W1928" s="64" ph="1"/>
      <c r="X1928" s="241"/>
      <c r="Y1928" s="284"/>
      <c r="Z1928" s="207"/>
      <c r="AA1928" s="284"/>
      <c r="AB1928" s="284"/>
      <c r="AC1928" s="284"/>
      <c r="AD1928" s="284"/>
      <c r="AE1928" s="284"/>
      <c r="AF1928" s="284"/>
      <c r="AG1928" s="284"/>
    </row>
    <row r="1929" spans="1:33" ht="26.4">
      <c r="A1929" s="284"/>
      <c r="B1929" s="284"/>
      <c r="C1929" s="284"/>
      <c r="D1929" s="284"/>
      <c r="E1929" s="284"/>
      <c r="F1929" s="284"/>
      <c r="G1929" s="284"/>
      <c r="H1929" s="284"/>
      <c r="I1929" s="284"/>
      <c r="J1929" s="375"/>
      <c r="K1929" s="375"/>
      <c r="L1929" s="375"/>
      <c r="M1929" s="368"/>
      <c r="N1929" s="368"/>
      <c r="O1929" s="370"/>
      <c r="T1929" s="340"/>
      <c r="V1929" s="378"/>
      <c r="W1929" s="64" ph="1"/>
      <c r="X1929" s="241"/>
      <c r="Y1929" s="284"/>
      <c r="Z1929" s="207"/>
      <c r="AA1929" s="284"/>
      <c r="AB1929" s="284"/>
      <c r="AC1929" s="284"/>
      <c r="AD1929" s="284"/>
      <c r="AE1929" s="284"/>
      <c r="AF1929" s="284"/>
      <c r="AG1929" s="284"/>
    </row>
    <row r="1930" spans="1:33" ht="26.4">
      <c r="A1930" s="284"/>
      <c r="B1930" s="284"/>
      <c r="C1930" s="284"/>
      <c r="D1930" s="284"/>
      <c r="E1930" s="284"/>
      <c r="F1930" s="284"/>
      <c r="G1930" s="284"/>
      <c r="H1930" s="284"/>
      <c r="I1930" s="284"/>
      <c r="J1930" s="375"/>
      <c r="K1930" s="375"/>
      <c r="L1930" s="375"/>
      <c r="M1930" s="368"/>
      <c r="N1930" s="368"/>
      <c r="O1930" s="370"/>
      <c r="T1930" s="340"/>
      <c r="V1930" s="378"/>
      <c r="W1930" s="64" ph="1"/>
      <c r="X1930" s="241"/>
      <c r="Y1930" s="284"/>
      <c r="Z1930" s="207"/>
      <c r="AA1930" s="284"/>
      <c r="AB1930" s="284"/>
      <c r="AC1930" s="284"/>
      <c r="AD1930" s="284"/>
      <c r="AE1930" s="284"/>
      <c r="AF1930" s="284"/>
      <c r="AG1930" s="284"/>
    </row>
    <row r="1931" spans="1:33" ht="26.4">
      <c r="A1931" s="284"/>
      <c r="B1931" s="284"/>
      <c r="C1931" s="284"/>
      <c r="D1931" s="284"/>
      <c r="E1931" s="284"/>
      <c r="F1931" s="284"/>
      <c r="G1931" s="284"/>
      <c r="H1931" s="284"/>
      <c r="I1931" s="284"/>
      <c r="J1931" s="375"/>
      <c r="K1931" s="375"/>
      <c r="L1931" s="375"/>
      <c r="M1931" s="368"/>
      <c r="N1931" s="368"/>
      <c r="O1931" s="370"/>
      <c r="T1931" s="340"/>
      <c r="V1931" s="378"/>
      <c r="W1931" s="64" ph="1"/>
      <c r="X1931" s="241"/>
      <c r="Y1931" s="284"/>
      <c r="Z1931" s="207"/>
      <c r="AA1931" s="284"/>
      <c r="AB1931" s="284"/>
      <c r="AC1931" s="284"/>
      <c r="AD1931" s="284"/>
      <c r="AE1931" s="284"/>
      <c r="AF1931" s="284"/>
      <c r="AG1931" s="284"/>
    </row>
    <row r="1932" spans="1:33" ht="26.4">
      <c r="A1932" s="284"/>
      <c r="B1932" s="284"/>
      <c r="C1932" s="284"/>
      <c r="D1932" s="284"/>
      <c r="E1932" s="284"/>
      <c r="F1932" s="284"/>
      <c r="G1932" s="284"/>
      <c r="H1932" s="284"/>
      <c r="I1932" s="284"/>
      <c r="J1932" s="375"/>
      <c r="K1932" s="375"/>
      <c r="L1932" s="375"/>
      <c r="M1932" s="368"/>
      <c r="N1932" s="368"/>
      <c r="O1932" s="370"/>
      <c r="T1932" s="340"/>
      <c r="V1932" s="378"/>
      <c r="W1932" s="64" ph="1"/>
      <c r="X1932" s="241"/>
      <c r="Y1932" s="284"/>
      <c r="Z1932" s="207"/>
      <c r="AA1932" s="284"/>
      <c r="AB1932" s="284"/>
      <c r="AC1932" s="284"/>
      <c r="AD1932" s="284"/>
      <c r="AE1932" s="284"/>
      <c r="AF1932" s="284"/>
      <c r="AG1932" s="284"/>
    </row>
    <row r="1933" spans="1:33" ht="26.4">
      <c r="A1933" s="284"/>
      <c r="B1933" s="284"/>
      <c r="C1933" s="284"/>
      <c r="D1933" s="284"/>
      <c r="E1933" s="284"/>
      <c r="F1933" s="284"/>
      <c r="G1933" s="284"/>
      <c r="H1933" s="284"/>
      <c r="I1933" s="284"/>
      <c r="J1933" s="375"/>
      <c r="K1933" s="375"/>
      <c r="L1933" s="375"/>
      <c r="M1933" s="368"/>
      <c r="N1933" s="368"/>
      <c r="O1933" s="370"/>
      <c r="T1933" s="340"/>
      <c r="V1933" s="378"/>
      <c r="W1933" s="64" ph="1"/>
      <c r="X1933" s="241"/>
      <c r="Y1933" s="284"/>
      <c r="Z1933" s="207"/>
      <c r="AA1933" s="284"/>
      <c r="AB1933" s="284"/>
      <c r="AC1933" s="284"/>
      <c r="AD1933" s="284"/>
      <c r="AE1933" s="284"/>
      <c r="AF1933" s="284"/>
      <c r="AG1933" s="284"/>
    </row>
    <row r="1934" spans="1:33" ht="26.4">
      <c r="A1934" s="284"/>
      <c r="B1934" s="284"/>
      <c r="C1934" s="284"/>
      <c r="D1934" s="284"/>
      <c r="E1934" s="284"/>
      <c r="F1934" s="284"/>
      <c r="G1934" s="284"/>
      <c r="H1934" s="284"/>
      <c r="I1934" s="284"/>
      <c r="J1934" s="375"/>
      <c r="K1934" s="375"/>
      <c r="L1934" s="375"/>
      <c r="M1934" s="368"/>
      <c r="N1934" s="368"/>
      <c r="O1934" s="370"/>
      <c r="T1934" s="340"/>
      <c r="V1934" s="378"/>
      <c r="W1934" s="64" ph="1"/>
      <c r="X1934" s="241"/>
      <c r="Y1934" s="284"/>
      <c r="Z1934" s="207"/>
      <c r="AA1934" s="284"/>
      <c r="AB1934" s="284"/>
      <c r="AC1934" s="284"/>
      <c r="AD1934" s="284"/>
      <c r="AE1934" s="284"/>
      <c r="AF1934" s="284"/>
      <c r="AG1934" s="284"/>
    </row>
    <row r="1935" spans="1:33" ht="26.4">
      <c r="A1935" s="284"/>
      <c r="B1935" s="284"/>
      <c r="C1935" s="284"/>
      <c r="D1935" s="284"/>
      <c r="E1935" s="284"/>
      <c r="F1935" s="284"/>
      <c r="G1935" s="284"/>
      <c r="H1935" s="284"/>
      <c r="I1935" s="284"/>
      <c r="J1935" s="375"/>
      <c r="K1935" s="375"/>
      <c r="L1935" s="375"/>
      <c r="M1935" s="368"/>
      <c r="N1935" s="368"/>
      <c r="O1935" s="370"/>
      <c r="T1935" s="340"/>
      <c r="V1935" s="378"/>
      <c r="W1935" s="64" ph="1"/>
      <c r="X1935" s="241"/>
      <c r="Y1935" s="284"/>
      <c r="Z1935" s="207"/>
      <c r="AA1935" s="284"/>
      <c r="AB1935" s="284"/>
      <c r="AC1935" s="284"/>
      <c r="AD1935" s="284"/>
      <c r="AE1935" s="284"/>
      <c r="AF1935" s="284"/>
      <c r="AG1935" s="284"/>
    </row>
    <row r="1936" spans="1:33" ht="26.4">
      <c r="A1936" s="284"/>
      <c r="B1936" s="284"/>
      <c r="C1936" s="284"/>
      <c r="D1936" s="284"/>
      <c r="E1936" s="284"/>
      <c r="F1936" s="284"/>
      <c r="G1936" s="284"/>
      <c r="H1936" s="284"/>
      <c r="I1936" s="284"/>
      <c r="J1936" s="375"/>
      <c r="K1936" s="375"/>
      <c r="L1936" s="375"/>
      <c r="M1936" s="368"/>
      <c r="N1936" s="368"/>
      <c r="O1936" s="370"/>
      <c r="T1936" s="340"/>
      <c r="V1936" s="378"/>
      <c r="W1936" s="64" ph="1"/>
      <c r="X1936" s="241"/>
      <c r="Y1936" s="284"/>
      <c r="Z1936" s="207"/>
      <c r="AA1936" s="284"/>
      <c r="AB1936" s="284"/>
      <c r="AC1936" s="284"/>
      <c r="AD1936" s="284"/>
      <c r="AE1936" s="284"/>
      <c r="AF1936" s="284"/>
      <c r="AG1936" s="284"/>
    </row>
    <row r="1937" spans="1:33" ht="26.4">
      <c r="A1937" s="284"/>
      <c r="B1937" s="284"/>
      <c r="C1937" s="284"/>
      <c r="D1937" s="284"/>
      <c r="E1937" s="284"/>
      <c r="F1937" s="284"/>
      <c r="G1937" s="284"/>
      <c r="H1937" s="284"/>
      <c r="I1937" s="284"/>
      <c r="J1937" s="375"/>
      <c r="K1937" s="375"/>
      <c r="L1937" s="375"/>
      <c r="M1937" s="368"/>
      <c r="N1937" s="368"/>
      <c r="O1937" s="370"/>
      <c r="T1937" s="340"/>
      <c r="V1937" s="378"/>
      <c r="W1937" s="64" ph="1"/>
      <c r="X1937" s="241"/>
      <c r="Y1937" s="284"/>
      <c r="Z1937" s="207"/>
      <c r="AA1937" s="284"/>
      <c r="AB1937" s="284"/>
      <c r="AC1937" s="284"/>
      <c r="AD1937" s="284"/>
      <c r="AE1937" s="284"/>
      <c r="AF1937" s="284"/>
      <c r="AG1937" s="284"/>
    </row>
    <row r="1938" spans="1:33" ht="26.4">
      <c r="A1938" s="284"/>
      <c r="B1938" s="284"/>
      <c r="C1938" s="284"/>
      <c r="D1938" s="284"/>
      <c r="E1938" s="284"/>
      <c r="F1938" s="284"/>
      <c r="G1938" s="284"/>
      <c r="H1938" s="284"/>
      <c r="I1938" s="284"/>
      <c r="J1938" s="375"/>
      <c r="K1938" s="375"/>
      <c r="L1938" s="375"/>
      <c r="M1938" s="368"/>
      <c r="N1938" s="368"/>
      <c r="O1938" s="370"/>
      <c r="T1938" s="340"/>
      <c r="V1938" s="378"/>
      <c r="W1938" s="64" ph="1"/>
      <c r="X1938" s="241"/>
      <c r="Y1938" s="284"/>
      <c r="Z1938" s="207"/>
      <c r="AA1938" s="284"/>
      <c r="AB1938" s="284"/>
      <c r="AC1938" s="284"/>
      <c r="AD1938" s="284"/>
      <c r="AE1938" s="284"/>
      <c r="AF1938" s="284"/>
      <c r="AG1938" s="284"/>
    </row>
    <row r="1939" spans="1:33" ht="26.4">
      <c r="A1939" s="284"/>
      <c r="B1939" s="284"/>
      <c r="C1939" s="284"/>
      <c r="D1939" s="284"/>
      <c r="E1939" s="284"/>
      <c r="F1939" s="284"/>
      <c r="G1939" s="284"/>
      <c r="H1939" s="284"/>
      <c r="I1939" s="284"/>
      <c r="J1939" s="375"/>
      <c r="K1939" s="375"/>
      <c r="L1939" s="375"/>
      <c r="M1939" s="368"/>
      <c r="N1939" s="368"/>
      <c r="O1939" s="370"/>
      <c r="T1939" s="340"/>
      <c r="V1939" s="378"/>
      <c r="W1939" s="64" ph="1"/>
      <c r="X1939" s="241"/>
      <c r="Y1939" s="284"/>
      <c r="Z1939" s="207"/>
      <c r="AA1939" s="284"/>
      <c r="AB1939" s="284"/>
      <c r="AC1939" s="284"/>
      <c r="AD1939" s="284"/>
      <c r="AE1939" s="284"/>
      <c r="AF1939" s="284"/>
      <c r="AG1939" s="284"/>
    </row>
    <row r="1940" spans="1:33" ht="26.4">
      <c r="A1940" s="284"/>
      <c r="B1940" s="284"/>
      <c r="C1940" s="284"/>
      <c r="D1940" s="284"/>
      <c r="E1940" s="284"/>
      <c r="F1940" s="284"/>
      <c r="G1940" s="284"/>
      <c r="H1940" s="284"/>
      <c r="I1940" s="284"/>
      <c r="J1940" s="375"/>
      <c r="K1940" s="375"/>
      <c r="L1940" s="375"/>
      <c r="M1940" s="368"/>
      <c r="N1940" s="368"/>
      <c r="O1940" s="370"/>
      <c r="T1940" s="340"/>
      <c r="V1940" s="378"/>
      <c r="W1940" s="64" ph="1"/>
      <c r="X1940" s="241"/>
      <c r="Y1940" s="284"/>
      <c r="Z1940" s="207"/>
      <c r="AA1940" s="284"/>
      <c r="AB1940" s="284"/>
      <c r="AC1940" s="284"/>
      <c r="AD1940" s="284"/>
      <c r="AE1940" s="284"/>
      <c r="AF1940" s="284"/>
      <c r="AG1940" s="284"/>
    </row>
    <row r="1941" spans="1:33" ht="26.4">
      <c r="A1941" s="284"/>
      <c r="B1941" s="284"/>
      <c r="C1941" s="284"/>
      <c r="D1941" s="284"/>
      <c r="E1941" s="284"/>
      <c r="F1941" s="284"/>
      <c r="G1941" s="284"/>
      <c r="H1941" s="284"/>
      <c r="I1941" s="284"/>
      <c r="J1941" s="375"/>
      <c r="K1941" s="375"/>
      <c r="L1941" s="375"/>
      <c r="M1941" s="368"/>
      <c r="N1941" s="368"/>
      <c r="O1941" s="370"/>
      <c r="T1941" s="340"/>
      <c r="V1941" s="378"/>
      <c r="W1941" s="64" ph="1"/>
      <c r="X1941" s="241"/>
      <c r="Y1941" s="284"/>
      <c r="Z1941" s="207"/>
      <c r="AA1941" s="284"/>
      <c r="AB1941" s="284"/>
      <c r="AC1941" s="284"/>
      <c r="AD1941" s="284"/>
      <c r="AE1941" s="284"/>
      <c r="AF1941" s="284"/>
      <c r="AG1941" s="284"/>
    </row>
    <row r="1942" spans="1:33" ht="26.4">
      <c r="A1942" s="284"/>
      <c r="B1942" s="284"/>
      <c r="C1942" s="284"/>
      <c r="D1942" s="284"/>
      <c r="E1942" s="284"/>
      <c r="F1942" s="284"/>
      <c r="G1942" s="284"/>
      <c r="H1942" s="284"/>
      <c r="I1942" s="284"/>
      <c r="J1942" s="375"/>
      <c r="K1942" s="375"/>
      <c r="L1942" s="375"/>
      <c r="M1942" s="368"/>
      <c r="N1942" s="368"/>
      <c r="O1942" s="370"/>
      <c r="T1942" s="340"/>
      <c r="V1942" s="378"/>
      <c r="W1942" s="64" ph="1"/>
      <c r="X1942" s="241"/>
      <c r="Y1942" s="284"/>
      <c r="Z1942" s="207"/>
      <c r="AA1942" s="284"/>
      <c r="AB1942" s="284"/>
      <c r="AC1942" s="284"/>
      <c r="AD1942" s="284"/>
      <c r="AE1942" s="284"/>
      <c r="AF1942" s="284"/>
      <c r="AG1942" s="284"/>
    </row>
    <row r="1943" spans="1:33" ht="26.4">
      <c r="A1943" s="284"/>
      <c r="B1943" s="284"/>
      <c r="C1943" s="284"/>
      <c r="D1943" s="284"/>
      <c r="E1943" s="284"/>
      <c r="F1943" s="284"/>
      <c r="G1943" s="284"/>
      <c r="H1943" s="284"/>
      <c r="I1943" s="284"/>
      <c r="J1943" s="375"/>
      <c r="K1943" s="375"/>
      <c r="L1943" s="375"/>
      <c r="M1943" s="368"/>
      <c r="N1943" s="368"/>
      <c r="O1943" s="370"/>
      <c r="T1943" s="340"/>
      <c r="V1943" s="378"/>
      <c r="W1943" s="64" ph="1"/>
      <c r="X1943" s="241"/>
      <c r="Y1943" s="284"/>
      <c r="Z1943" s="207"/>
      <c r="AA1943" s="284"/>
      <c r="AB1943" s="284"/>
      <c r="AC1943" s="284"/>
      <c r="AD1943" s="284"/>
      <c r="AE1943" s="284"/>
      <c r="AF1943" s="284"/>
      <c r="AG1943" s="284"/>
    </row>
    <row r="1944" spans="1:33" ht="26.4">
      <c r="A1944" s="284"/>
      <c r="B1944" s="284"/>
      <c r="C1944" s="284"/>
      <c r="D1944" s="284"/>
      <c r="E1944" s="284"/>
      <c r="F1944" s="284"/>
      <c r="G1944" s="284"/>
      <c r="H1944" s="284"/>
      <c r="I1944" s="284"/>
      <c r="J1944" s="375"/>
      <c r="K1944" s="375"/>
      <c r="L1944" s="375"/>
      <c r="M1944" s="368"/>
      <c r="N1944" s="368"/>
      <c r="O1944" s="370"/>
      <c r="T1944" s="340"/>
      <c r="V1944" s="378"/>
      <c r="W1944" s="64" ph="1"/>
      <c r="X1944" s="241"/>
      <c r="Y1944" s="284"/>
      <c r="Z1944" s="207"/>
      <c r="AA1944" s="284"/>
      <c r="AB1944" s="284"/>
      <c r="AC1944" s="284"/>
      <c r="AD1944" s="284"/>
      <c r="AE1944" s="284"/>
      <c r="AF1944" s="284"/>
      <c r="AG1944" s="284"/>
    </row>
    <row r="1945" spans="1:33" ht="26.4">
      <c r="A1945" s="284"/>
      <c r="B1945" s="284"/>
      <c r="C1945" s="284"/>
      <c r="D1945" s="284"/>
      <c r="E1945" s="284"/>
      <c r="F1945" s="284"/>
      <c r="G1945" s="284"/>
      <c r="H1945" s="284"/>
      <c r="I1945" s="284"/>
      <c r="J1945" s="375"/>
      <c r="K1945" s="375"/>
      <c r="L1945" s="375"/>
      <c r="M1945" s="368"/>
      <c r="N1945" s="368"/>
      <c r="O1945" s="370"/>
      <c r="T1945" s="340"/>
      <c r="V1945" s="378"/>
      <c r="W1945" s="64" ph="1"/>
      <c r="X1945" s="241"/>
      <c r="Y1945" s="284"/>
      <c r="Z1945" s="207"/>
      <c r="AA1945" s="284"/>
      <c r="AB1945" s="284"/>
      <c r="AC1945" s="284"/>
      <c r="AD1945" s="284"/>
      <c r="AE1945" s="284"/>
      <c r="AF1945" s="284"/>
      <c r="AG1945" s="284"/>
    </row>
    <row r="1946" spans="1:33" ht="26.4">
      <c r="A1946" s="284"/>
      <c r="B1946" s="284"/>
      <c r="C1946" s="284"/>
      <c r="D1946" s="284"/>
      <c r="E1946" s="284"/>
      <c r="F1946" s="284"/>
      <c r="G1946" s="284"/>
      <c r="H1946" s="284"/>
      <c r="I1946" s="284"/>
      <c r="J1946" s="375"/>
      <c r="K1946" s="375"/>
      <c r="L1946" s="375"/>
      <c r="M1946" s="368"/>
      <c r="N1946" s="368"/>
      <c r="O1946" s="370"/>
      <c r="T1946" s="340"/>
      <c r="V1946" s="378"/>
      <c r="W1946" s="64" ph="1"/>
      <c r="X1946" s="241"/>
      <c r="Y1946" s="284"/>
      <c r="Z1946" s="207"/>
      <c r="AA1946" s="284"/>
      <c r="AB1946" s="284"/>
      <c r="AC1946" s="284"/>
      <c r="AD1946" s="284"/>
      <c r="AE1946" s="284"/>
      <c r="AF1946" s="284"/>
      <c r="AG1946" s="284"/>
    </row>
    <row r="1947" spans="1:33" ht="26.4">
      <c r="A1947" s="284"/>
      <c r="B1947" s="284"/>
      <c r="C1947" s="284"/>
      <c r="D1947" s="284"/>
      <c r="E1947" s="284"/>
      <c r="F1947" s="284"/>
      <c r="G1947" s="284"/>
      <c r="H1947" s="284"/>
      <c r="I1947" s="284"/>
      <c r="J1947" s="375"/>
      <c r="K1947" s="375"/>
      <c r="L1947" s="375"/>
      <c r="M1947" s="368"/>
      <c r="N1947" s="368"/>
      <c r="O1947" s="370"/>
      <c r="T1947" s="340"/>
      <c r="V1947" s="378"/>
      <c r="W1947" s="64" ph="1"/>
      <c r="X1947" s="241"/>
      <c r="Y1947" s="284"/>
      <c r="Z1947" s="207"/>
      <c r="AA1947" s="284"/>
      <c r="AB1947" s="284"/>
      <c r="AC1947" s="284"/>
      <c r="AD1947" s="284"/>
      <c r="AE1947" s="284"/>
      <c r="AF1947" s="284"/>
      <c r="AG1947" s="284"/>
    </row>
    <row r="1948" spans="1:33" ht="26.4">
      <c r="A1948" s="284"/>
      <c r="B1948" s="284"/>
      <c r="C1948" s="284"/>
      <c r="D1948" s="284"/>
      <c r="E1948" s="284"/>
      <c r="F1948" s="284"/>
      <c r="G1948" s="284"/>
      <c r="H1948" s="284"/>
      <c r="I1948" s="284"/>
      <c r="J1948" s="375"/>
      <c r="K1948" s="375"/>
      <c r="L1948" s="375"/>
      <c r="M1948" s="368"/>
      <c r="N1948" s="368"/>
      <c r="O1948" s="370"/>
      <c r="T1948" s="340"/>
      <c r="V1948" s="378"/>
      <c r="W1948" s="64" ph="1"/>
      <c r="X1948" s="241"/>
      <c r="Y1948" s="284"/>
      <c r="Z1948" s="207"/>
      <c r="AA1948" s="284"/>
      <c r="AB1948" s="284"/>
      <c r="AC1948" s="284"/>
      <c r="AD1948" s="284"/>
      <c r="AE1948" s="284"/>
      <c r="AF1948" s="284"/>
      <c r="AG1948" s="284"/>
    </row>
    <row r="1949" spans="1:33" ht="26.4">
      <c r="A1949" s="284"/>
      <c r="B1949" s="284"/>
      <c r="C1949" s="284"/>
      <c r="D1949" s="284"/>
      <c r="E1949" s="284"/>
      <c r="F1949" s="284"/>
      <c r="G1949" s="284"/>
      <c r="H1949" s="284"/>
      <c r="I1949" s="284"/>
      <c r="J1949" s="375"/>
      <c r="K1949" s="375"/>
      <c r="L1949" s="375"/>
      <c r="M1949" s="368"/>
      <c r="N1949" s="368"/>
      <c r="O1949" s="370"/>
      <c r="T1949" s="340"/>
      <c r="V1949" s="378"/>
      <c r="W1949" s="64" ph="1"/>
      <c r="X1949" s="241"/>
      <c r="Y1949" s="284"/>
      <c r="Z1949" s="207"/>
      <c r="AA1949" s="284"/>
      <c r="AB1949" s="284"/>
      <c r="AC1949" s="284"/>
      <c r="AD1949" s="284"/>
      <c r="AE1949" s="284"/>
      <c r="AF1949" s="284"/>
      <c r="AG1949" s="284"/>
    </row>
    <row r="1950" spans="1:33" ht="26.4">
      <c r="A1950" s="284"/>
      <c r="B1950" s="284"/>
      <c r="C1950" s="284"/>
      <c r="D1950" s="284"/>
      <c r="E1950" s="284"/>
      <c r="F1950" s="284"/>
      <c r="G1950" s="284"/>
      <c r="H1950" s="284"/>
      <c r="I1950" s="284"/>
      <c r="J1950" s="375"/>
      <c r="K1950" s="375"/>
      <c r="L1950" s="375"/>
      <c r="M1950" s="368"/>
      <c r="N1950" s="368"/>
      <c r="O1950" s="370"/>
      <c r="T1950" s="340"/>
      <c r="V1950" s="378"/>
      <c r="W1950" s="64" ph="1"/>
      <c r="X1950" s="241"/>
      <c r="Y1950" s="284"/>
      <c r="Z1950" s="207"/>
      <c r="AA1950" s="284"/>
      <c r="AB1950" s="284"/>
      <c r="AC1950" s="284"/>
      <c r="AD1950" s="284"/>
      <c r="AE1950" s="284"/>
      <c r="AF1950" s="284"/>
      <c r="AG1950" s="284"/>
    </row>
    <row r="1951" spans="1:33" ht="26.4">
      <c r="A1951" s="284"/>
      <c r="B1951" s="284"/>
      <c r="C1951" s="284"/>
      <c r="D1951" s="284"/>
      <c r="E1951" s="284"/>
      <c r="F1951" s="284"/>
      <c r="G1951" s="284"/>
      <c r="H1951" s="284"/>
      <c r="I1951" s="284"/>
      <c r="J1951" s="375"/>
      <c r="K1951" s="375"/>
      <c r="L1951" s="375"/>
      <c r="M1951" s="368"/>
      <c r="N1951" s="368"/>
      <c r="O1951" s="370"/>
      <c r="T1951" s="340"/>
      <c r="V1951" s="378"/>
      <c r="W1951" s="64" ph="1"/>
      <c r="X1951" s="241"/>
      <c r="Y1951" s="284"/>
      <c r="Z1951" s="207"/>
      <c r="AA1951" s="284"/>
      <c r="AB1951" s="284"/>
      <c r="AC1951" s="284"/>
      <c r="AD1951" s="284"/>
      <c r="AE1951" s="284"/>
      <c r="AF1951" s="284"/>
      <c r="AG1951" s="284"/>
    </row>
    <row r="1952" spans="1:33" ht="26.4">
      <c r="A1952" s="284"/>
      <c r="B1952" s="284"/>
      <c r="C1952" s="284"/>
      <c r="D1952" s="284"/>
      <c r="E1952" s="284"/>
      <c r="F1952" s="284"/>
      <c r="G1952" s="284"/>
      <c r="H1952" s="284"/>
      <c r="I1952" s="284"/>
      <c r="J1952" s="375"/>
      <c r="K1952" s="375"/>
      <c r="L1952" s="375"/>
      <c r="M1952" s="368"/>
      <c r="N1952" s="368"/>
      <c r="O1952" s="370"/>
      <c r="T1952" s="340"/>
      <c r="V1952" s="378"/>
      <c r="W1952" s="64" ph="1"/>
      <c r="X1952" s="241"/>
      <c r="Y1952" s="284"/>
      <c r="Z1952" s="207"/>
      <c r="AA1952" s="284"/>
      <c r="AB1952" s="284"/>
      <c r="AC1952" s="284"/>
      <c r="AD1952" s="284"/>
      <c r="AE1952" s="284"/>
      <c r="AF1952" s="284"/>
      <c r="AG1952" s="284"/>
    </row>
    <row r="1953" spans="1:33" ht="26.4">
      <c r="A1953" s="284"/>
      <c r="B1953" s="284"/>
      <c r="C1953" s="284"/>
      <c r="D1953" s="284"/>
      <c r="E1953" s="284"/>
      <c r="F1953" s="284"/>
      <c r="G1953" s="284"/>
      <c r="H1953" s="284"/>
      <c r="I1953" s="284"/>
      <c r="J1953" s="375"/>
      <c r="K1953" s="375"/>
      <c r="L1953" s="375"/>
      <c r="M1953" s="368"/>
      <c r="N1953" s="368"/>
      <c r="O1953" s="370"/>
      <c r="T1953" s="340"/>
      <c r="V1953" s="378"/>
      <c r="W1953" s="64" ph="1"/>
      <c r="X1953" s="241"/>
      <c r="Y1953" s="284"/>
      <c r="Z1953" s="207"/>
      <c r="AA1953" s="284"/>
      <c r="AB1953" s="284"/>
      <c r="AC1953" s="284"/>
      <c r="AD1953" s="284"/>
      <c r="AE1953" s="284"/>
      <c r="AF1953" s="284"/>
      <c r="AG1953" s="284"/>
    </row>
    <row r="1954" spans="1:33" ht="26.4">
      <c r="A1954" s="284"/>
      <c r="B1954" s="284"/>
      <c r="C1954" s="284"/>
      <c r="D1954" s="284"/>
      <c r="E1954" s="284"/>
      <c r="F1954" s="284"/>
      <c r="G1954" s="284"/>
      <c r="H1954" s="284"/>
      <c r="I1954" s="284"/>
      <c r="J1954" s="375"/>
      <c r="K1954" s="375"/>
      <c r="L1954" s="375"/>
      <c r="M1954" s="368"/>
      <c r="N1954" s="368"/>
      <c r="O1954" s="370"/>
      <c r="T1954" s="340"/>
      <c r="V1954" s="378"/>
      <c r="W1954" s="64" ph="1"/>
      <c r="X1954" s="241"/>
      <c r="Y1954" s="284"/>
      <c r="Z1954" s="207"/>
      <c r="AA1954" s="284"/>
      <c r="AB1954" s="284"/>
      <c r="AC1954" s="284"/>
      <c r="AD1954" s="284"/>
      <c r="AE1954" s="284"/>
      <c r="AF1954" s="284"/>
      <c r="AG1954" s="284"/>
    </row>
    <row r="1955" spans="1:33" ht="26.4">
      <c r="A1955" s="284"/>
      <c r="B1955" s="284"/>
      <c r="C1955" s="284"/>
      <c r="D1955" s="284"/>
      <c r="E1955" s="284"/>
      <c r="F1955" s="284"/>
      <c r="G1955" s="284"/>
      <c r="H1955" s="284"/>
      <c r="I1955" s="284"/>
      <c r="J1955" s="375"/>
      <c r="K1955" s="375"/>
      <c r="L1955" s="375"/>
      <c r="M1955" s="368"/>
      <c r="N1955" s="368"/>
      <c r="O1955" s="370"/>
      <c r="T1955" s="340"/>
      <c r="V1955" s="378"/>
      <c r="W1955" s="64" ph="1"/>
      <c r="X1955" s="241"/>
      <c r="Y1955" s="284"/>
      <c r="Z1955" s="207"/>
      <c r="AA1955" s="284"/>
      <c r="AB1955" s="284"/>
      <c r="AC1955" s="284"/>
      <c r="AD1955" s="284"/>
      <c r="AE1955" s="284"/>
      <c r="AF1955" s="284"/>
      <c r="AG1955" s="284"/>
    </row>
    <row r="1956" spans="1:33" ht="26.4">
      <c r="A1956" s="284"/>
      <c r="B1956" s="284"/>
      <c r="C1956" s="284"/>
      <c r="D1956" s="284"/>
      <c r="E1956" s="284"/>
      <c r="F1956" s="284"/>
      <c r="G1956" s="284"/>
      <c r="H1956" s="284"/>
      <c r="I1956" s="284"/>
      <c r="J1956" s="375"/>
      <c r="K1956" s="375"/>
      <c r="L1956" s="375"/>
      <c r="M1956" s="368"/>
      <c r="N1956" s="368"/>
      <c r="O1956" s="370"/>
      <c r="T1956" s="340"/>
      <c r="V1956" s="378"/>
      <c r="W1956" s="64" ph="1"/>
      <c r="X1956" s="241"/>
      <c r="Y1956" s="284"/>
      <c r="Z1956" s="207"/>
      <c r="AA1956" s="284"/>
      <c r="AB1956" s="284"/>
      <c r="AC1956" s="284"/>
      <c r="AD1956" s="284"/>
      <c r="AE1956" s="284"/>
      <c r="AF1956" s="284"/>
      <c r="AG1956" s="284"/>
    </row>
    <row r="1957" spans="1:33" ht="26.4">
      <c r="A1957" s="284"/>
      <c r="B1957" s="284"/>
      <c r="C1957" s="284"/>
      <c r="D1957" s="284"/>
      <c r="E1957" s="284"/>
      <c r="F1957" s="284"/>
      <c r="G1957" s="284"/>
      <c r="H1957" s="284"/>
      <c r="I1957" s="284"/>
      <c r="J1957" s="375"/>
      <c r="K1957" s="375"/>
      <c r="L1957" s="375"/>
      <c r="M1957" s="368"/>
      <c r="N1957" s="368"/>
      <c r="O1957" s="370"/>
      <c r="T1957" s="340"/>
      <c r="V1957" s="378"/>
      <c r="W1957" s="64" ph="1"/>
      <c r="X1957" s="241"/>
      <c r="Y1957" s="284"/>
      <c r="Z1957" s="207"/>
      <c r="AA1957" s="284"/>
      <c r="AB1957" s="284"/>
      <c r="AC1957" s="284"/>
      <c r="AD1957" s="284"/>
      <c r="AE1957" s="284"/>
      <c r="AF1957" s="284"/>
      <c r="AG1957" s="284"/>
    </row>
    <row r="1958" spans="1:33" ht="26.4">
      <c r="A1958" s="284"/>
      <c r="B1958" s="284"/>
      <c r="C1958" s="284"/>
      <c r="D1958" s="284"/>
      <c r="E1958" s="284"/>
      <c r="F1958" s="284"/>
      <c r="G1958" s="284"/>
      <c r="H1958" s="284"/>
      <c r="I1958" s="284"/>
      <c r="J1958" s="375"/>
      <c r="K1958" s="375"/>
      <c r="L1958" s="375"/>
      <c r="M1958" s="368"/>
      <c r="N1958" s="368"/>
      <c r="O1958" s="370"/>
      <c r="T1958" s="340"/>
      <c r="V1958" s="378"/>
      <c r="W1958" s="64" ph="1"/>
      <c r="X1958" s="241"/>
      <c r="Y1958" s="284"/>
      <c r="Z1958" s="207"/>
      <c r="AA1958" s="284"/>
      <c r="AB1958" s="284"/>
      <c r="AC1958" s="284"/>
      <c r="AD1958" s="284"/>
      <c r="AE1958" s="284"/>
      <c r="AF1958" s="284"/>
      <c r="AG1958" s="284"/>
    </row>
    <row r="1959" spans="1:33" ht="26.4">
      <c r="A1959" s="284"/>
      <c r="B1959" s="284"/>
      <c r="C1959" s="284"/>
      <c r="D1959" s="284"/>
      <c r="E1959" s="284"/>
      <c r="F1959" s="284"/>
      <c r="G1959" s="284"/>
      <c r="H1959" s="284"/>
      <c r="I1959" s="284"/>
      <c r="J1959" s="375"/>
      <c r="K1959" s="375"/>
      <c r="L1959" s="375"/>
      <c r="M1959" s="368"/>
      <c r="N1959" s="368"/>
      <c r="O1959" s="370"/>
      <c r="T1959" s="340"/>
      <c r="V1959" s="378"/>
      <c r="W1959" s="64" ph="1"/>
      <c r="X1959" s="241"/>
      <c r="Y1959" s="284"/>
      <c r="Z1959" s="207"/>
      <c r="AA1959" s="284"/>
      <c r="AB1959" s="284"/>
      <c r="AC1959" s="284"/>
      <c r="AD1959" s="284"/>
      <c r="AE1959" s="284"/>
      <c r="AF1959" s="284"/>
      <c r="AG1959" s="284"/>
    </row>
    <row r="1960" spans="1:33" ht="26.4">
      <c r="A1960" s="284"/>
      <c r="B1960" s="284"/>
      <c r="C1960" s="284"/>
      <c r="D1960" s="284"/>
      <c r="E1960" s="284"/>
      <c r="F1960" s="284"/>
      <c r="G1960" s="284"/>
      <c r="H1960" s="284"/>
      <c r="I1960" s="284"/>
      <c r="J1960" s="375"/>
      <c r="K1960" s="375"/>
      <c r="L1960" s="375"/>
      <c r="M1960" s="368"/>
      <c r="N1960" s="368"/>
      <c r="O1960" s="370"/>
      <c r="T1960" s="340"/>
      <c r="V1960" s="378"/>
      <c r="W1960" s="64" ph="1"/>
      <c r="X1960" s="241"/>
      <c r="Y1960" s="284"/>
      <c r="Z1960" s="207"/>
      <c r="AA1960" s="284"/>
      <c r="AB1960" s="284"/>
      <c r="AC1960" s="284"/>
      <c r="AD1960" s="284"/>
      <c r="AE1960" s="284"/>
      <c r="AF1960" s="284"/>
      <c r="AG1960" s="284"/>
    </row>
    <row r="1961" spans="1:33" ht="26.4">
      <c r="A1961" s="284"/>
      <c r="B1961" s="284"/>
      <c r="C1961" s="284"/>
      <c r="D1961" s="284"/>
      <c r="E1961" s="284"/>
      <c r="F1961" s="284"/>
      <c r="G1961" s="284"/>
      <c r="H1961" s="284"/>
      <c r="I1961" s="284"/>
      <c r="J1961" s="375"/>
      <c r="K1961" s="375"/>
      <c r="L1961" s="375"/>
      <c r="M1961" s="368"/>
      <c r="N1961" s="368"/>
      <c r="O1961" s="370"/>
      <c r="T1961" s="340"/>
      <c r="V1961" s="378"/>
      <c r="W1961" s="64" ph="1"/>
      <c r="X1961" s="241"/>
      <c r="Y1961" s="284"/>
      <c r="Z1961" s="207"/>
      <c r="AA1961" s="284"/>
      <c r="AB1961" s="284"/>
      <c r="AC1961" s="284"/>
      <c r="AD1961" s="284"/>
      <c r="AE1961" s="284"/>
      <c r="AF1961" s="284"/>
      <c r="AG1961" s="284"/>
    </row>
    <row r="1962" spans="1:33" ht="26.4">
      <c r="A1962" s="284"/>
      <c r="B1962" s="284"/>
      <c r="C1962" s="284"/>
      <c r="D1962" s="284"/>
      <c r="E1962" s="284"/>
      <c r="F1962" s="284"/>
      <c r="G1962" s="284"/>
      <c r="H1962" s="284"/>
      <c r="I1962" s="284"/>
      <c r="J1962" s="375"/>
      <c r="K1962" s="375"/>
      <c r="L1962" s="375"/>
      <c r="M1962" s="368"/>
      <c r="N1962" s="368"/>
      <c r="O1962" s="370"/>
      <c r="T1962" s="340"/>
      <c r="V1962" s="378"/>
      <c r="W1962" s="64" ph="1"/>
      <c r="X1962" s="241"/>
      <c r="Y1962" s="284"/>
      <c r="Z1962" s="207"/>
      <c r="AA1962" s="284"/>
      <c r="AB1962" s="284"/>
      <c r="AC1962" s="284"/>
      <c r="AD1962" s="284"/>
      <c r="AE1962" s="284"/>
      <c r="AF1962" s="284"/>
      <c r="AG1962" s="284"/>
    </row>
    <row r="1963" spans="1:33" ht="26.4">
      <c r="A1963" s="284"/>
      <c r="B1963" s="284"/>
      <c r="C1963" s="284"/>
      <c r="D1963" s="284"/>
      <c r="E1963" s="284"/>
      <c r="F1963" s="284"/>
      <c r="G1963" s="284"/>
      <c r="H1963" s="284"/>
      <c r="I1963" s="284"/>
      <c r="J1963" s="375"/>
      <c r="K1963" s="375"/>
      <c r="L1963" s="375"/>
      <c r="M1963" s="368"/>
      <c r="N1963" s="368"/>
      <c r="O1963" s="370"/>
      <c r="T1963" s="340"/>
      <c r="V1963" s="378"/>
      <c r="W1963" s="64" ph="1"/>
      <c r="X1963" s="241"/>
      <c r="Y1963" s="284"/>
      <c r="Z1963" s="207"/>
      <c r="AA1963" s="284"/>
      <c r="AB1963" s="284"/>
      <c r="AC1963" s="284"/>
      <c r="AD1963" s="284"/>
      <c r="AE1963" s="284"/>
      <c r="AF1963" s="284"/>
      <c r="AG1963" s="284"/>
    </row>
    <row r="1964" spans="1:33" ht="26.4">
      <c r="A1964" s="284"/>
      <c r="B1964" s="284"/>
      <c r="C1964" s="284"/>
      <c r="D1964" s="284"/>
      <c r="E1964" s="284"/>
      <c r="F1964" s="284"/>
      <c r="G1964" s="284"/>
      <c r="H1964" s="284"/>
      <c r="I1964" s="284"/>
      <c r="J1964" s="375"/>
      <c r="K1964" s="375"/>
      <c r="L1964" s="375"/>
      <c r="M1964" s="368"/>
      <c r="N1964" s="368"/>
      <c r="O1964" s="370"/>
      <c r="T1964" s="340"/>
      <c r="V1964" s="378"/>
      <c r="W1964" s="64" ph="1"/>
      <c r="X1964" s="241"/>
      <c r="Y1964" s="284"/>
      <c r="Z1964" s="207"/>
      <c r="AA1964" s="284"/>
      <c r="AB1964" s="284"/>
      <c r="AC1964" s="284"/>
      <c r="AD1964" s="284"/>
      <c r="AE1964" s="284"/>
      <c r="AF1964" s="284"/>
      <c r="AG1964" s="284"/>
    </row>
    <row r="1965" spans="1:33" ht="26.4">
      <c r="A1965" s="284"/>
      <c r="B1965" s="284"/>
      <c r="C1965" s="284"/>
      <c r="D1965" s="284"/>
      <c r="E1965" s="284"/>
      <c r="F1965" s="284"/>
      <c r="G1965" s="284"/>
      <c r="H1965" s="284"/>
      <c r="I1965" s="284"/>
      <c r="J1965" s="375"/>
      <c r="K1965" s="375"/>
      <c r="L1965" s="375"/>
      <c r="M1965" s="368"/>
      <c r="N1965" s="368"/>
      <c r="O1965" s="370"/>
      <c r="T1965" s="340"/>
      <c r="V1965" s="378"/>
      <c r="W1965" s="64" ph="1"/>
      <c r="X1965" s="241"/>
      <c r="Y1965" s="284"/>
      <c r="Z1965" s="207"/>
      <c r="AA1965" s="284"/>
      <c r="AB1965" s="284"/>
      <c r="AC1965" s="284"/>
      <c r="AD1965" s="284"/>
      <c r="AE1965" s="284"/>
      <c r="AF1965" s="284"/>
      <c r="AG1965" s="284"/>
    </row>
    <row r="1966" spans="1:33" ht="26.4">
      <c r="A1966" s="284"/>
      <c r="B1966" s="284"/>
      <c r="C1966" s="284"/>
      <c r="D1966" s="284"/>
      <c r="E1966" s="284"/>
      <c r="F1966" s="284"/>
      <c r="G1966" s="284"/>
      <c r="H1966" s="284"/>
      <c r="I1966" s="284"/>
      <c r="J1966" s="375"/>
      <c r="K1966" s="375"/>
      <c r="L1966" s="375"/>
      <c r="M1966" s="368"/>
      <c r="N1966" s="368"/>
      <c r="O1966" s="370"/>
      <c r="T1966" s="340"/>
      <c r="V1966" s="378"/>
      <c r="W1966" s="64" ph="1"/>
      <c r="X1966" s="241"/>
      <c r="Y1966" s="284"/>
      <c r="Z1966" s="207"/>
      <c r="AA1966" s="284"/>
      <c r="AB1966" s="284"/>
      <c r="AC1966" s="284"/>
      <c r="AD1966" s="284"/>
      <c r="AE1966" s="284"/>
      <c r="AF1966" s="284"/>
      <c r="AG1966" s="284"/>
    </row>
    <row r="1967" spans="1:33" ht="26.4">
      <c r="A1967" s="284"/>
      <c r="B1967" s="284"/>
      <c r="C1967" s="284"/>
      <c r="D1967" s="284"/>
      <c r="E1967" s="284"/>
      <c r="F1967" s="284"/>
      <c r="G1967" s="284"/>
      <c r="H1967" s="284"/>
      <c r="I1967" s="284"/>
      <c r="J1967" s="375"/>
      <c r="K1967" s="375"/>
      <c r="L1967" s="375"/>
      <c r="M1967" s="368"/>
      <c r="N1967" s="368"/>
      <c r="O1967" s="370"/>
      <c r="T1967" s="340"/>
      <c r="V1967" s="378"/>
      <c r="W1967" s="64" ph="1"/>
      <c r="X1967" s="241"/>
      <c r="Y1967" s="284"/>
      <c r="Z1967" s="207"/>
      <c r="AA1967" s="284"/>
      <c r="AB1967" s="284"/>
      <c r="AC1967" s="284"/>
      <c r="AD1967" s="284"/>
      <c r="AE1967" s="284"/>
      <c r="AF1967" s="284"/>
      <c r="AG1967" s="284"/>
    </row>
    <row r="1968" spans="1:33" ht="26.4">
      <c r="A1968" s="284"/>
      <c r="B1968" s="284"/>
      <c r="C1968" s="284"/>
      <c r="D1968" s="284"/>
      <c r="E1968" s="284"/>
      <c r="F1968" s="284"/>
      <c r="G1968" s="284"/>
      <c r="H1968" s="284"/>
      <c r="I1968" s="284"/>
      <c r="J1968" s="375"/>
      <c r="K1968" s="375"/>
      <c r="L1968" s="375"/>
      <c r="M1968" s="368"/>
      <c r="N1968" s="368"/>
      <c r="O1968" s="370"/>
      <c r="T1968" s="340"/>
      <c r="V1968" s="378"/>
      <c r="W1968" s="64" ph="1"/>
      <c r="X1968" s="241"/>
      <c r="Y1968" s="284"/>
      <c r="Z1968" s="207"/>
      <c r="AA1968" s="284"/>
      <c r="AB1968" s="284"/>
      <c r="AC1968" s="284"/>
      <c r="AD1968" s="284"/>
      <c r="AE1968" s="284"/>
      <c r="AF1968" s="284"/>
      <c r="AG1968" s="284"/>
    </row>
    <row r="1969" spans="1:33" ht="26.4">
      <c r="A1969" s="284"/>
      <c r="B1969" s="284"/>
      <c r="C1969" s="284"/>
      <c r="D1969" s="284"/>
      <c r="E1969" s="284"/>
      <c r="F1969" s="284"/>
      <c r="G1969" s="284"/>
      <c r="H1969" s="284"/>
      <c r="I1969" s="284"/>
      <c r="J1969" s="375"/>
      <c r="K1969" s="375"/>
      <c r="L1969" s="375"/>
      <c r="M1969" s="368"/>
      <c r="N1969" s="368"/>
      <c r="O1969" s="370"/>
      <c r="T1969" s="340"/>
      <c r="V1969" s="378"/>
      <c r="W1969" s="64" ph="1"/>
      <c r="X1969" s="241"/>
      <c r="Y1969" s="284"/>
      <c r="Z1969" s="207"/>
      <c r="AA1969" s="284"/>
      <c r="AB1969" s="284"/>
      <c r="AC1969" s="284"/>
      <c r="AD1969" s="284"/>
      <c r="AE1969" s="284"/>
      <c r="AF1969" s="284"/>
      <c r="AG1969" s="284"/>
    </row>
    <row r="1970" spans="1:33" ht="26.4">
      <c r="A1970" s="284"/>
      <c r="B1970" s="284"/>
      <c r="C1970" s="284"/>
      <c r="D1970" s="284"/>
      <c r="E1970" s="284"/>
      <c r="F1970" s="284"/>
      <c r="G1970" s="284"/>
      <c r="H1970" s="284"/>
      <c r="I1970" s="284"/>
      <c r="J1970" s="375"/>
      <c r="K1970" s="375"/>
      <c r="L1970" s="375"/>
      <c r="M1970" s="368"/>
      <c r="N1970" s="368"/>
      <c r="O1970" s="370"/>
      <c r="T1970" s="340"/>
      <c r="V1970" s="378"/>
      <c r="W1970" s="64" ph="1"/>
      <c r="X1970" s="241"/>
      <c r="Y1970" s="284"/>
      <c r="Z1970" s="207"/>
      <c r="AA1970" s="284"/>
      <c r="AB1970" s="284"/>
      <c r="AC1970" s="284"/>
      <c r="AD1970" s="284"/>
      <c r="AE1970" s="284"/>
      <c r="AF1970" s="284"/>
      <c r="AG1970" s="284"/>
    </row>
    <row r="1971" spans="1:33" ht="26.4">
      <c r="A1971" s="284"/>
      <c r="B1971" s="284"/>
      <c r="C1971" s="284"/>
      <c r="D1971" s="284"/>
      <c r="E1971" s="284"/>
      <c r="F1971" s="284"/>
      <c r="G1971" s="284"/>
      <c r="H1971" s="284"/>
      <c r="I1971" s="284"/>
      <c r="J1971" s="375"/>
      <c r="K1971" s="375"/>
      <c r="L1971" s="375"/>
      <c r="M1971" s="368"/>
      <c r="N1971" s="368"/>
      <c r="O1971" s="370"/>
      <c r="T1971" s="340"/>
      <c r="V1971" s="378"/>
      <c r="W1971" s="64" ph="1"/>
      <c r="X1971" s="241"/>
      <c r="Y1971" s="284"/>
      <c r="Z1971" s="207"/>
      <c r="AA1971" s="284"/>
      <c r="AB1971" s="284"/>
      <c r="AC1971" s="284"/>
      <c r="AD1971" s="284"/>
      <c r="AE1971" s="284"/>
      <c r="AF1971" s="284"/>
      <c r="AG1971" s="284"/>
    </row>
    <row r="1972" spans="1:33" ht="26.4">
      <c r="A1972" s="284"/>
      <c r="B1972" s="284"/>
      <c r="C1972" s="284"/>
      <c r="D1972" s="284"/>
      <c r="E1972" s="284"/>
      <c r="F1972" s="284"/>
      <c r="G1972" s="284"/>
      <c r="H1972" s="284"/>
      <c r="I1972" s="284"/>
      <c r="J1972" s="375"/>
      <c r="K1972" s="375"/>
      <c r="L1972" s="375"/>
      <c r="M1972" s="368"/>
      <c r="N1972" s="368"/>
      <c r="O1972" s="370"/>
      <c r="T1972" s="340"/>
      <c r="V1972" s="378"/>
      <c r="W1972" s="64" ph="1"/>
      <c r="X1972" s="241"/>
      <c r="Y1972" s="284"/>
      <c r="Z1972" s="207"/>
      <c r="AA1972" s="284"/>
      <c r="AB1972" s="284"/>
      <c r="AC1972" s="284"/>
      <c r="AD1972" s="284"/>
      <c r="AE1972" s="284"/>
      <c r="AF1972" s="284"/>
      <c r="AG1972" s="284"/>
    </row>
    <row r="1973" spans="1:33" ht="26.4">
      <c r="A1973" s="284"/>
      <c r="B1973" s="284"/>
      <c r="C1973" s="284"/>
      <c r="D1973" s="284"/>
      <c r="E1973" s="284"/>
      <c r="F1973" s="284"/>
      <c r="G1973" s="284"/>
      <c r="H1973" s="284"/>
      <c r="I1973" s="284"/>
      <c r="J1973" s="375"/>
      <c r="K1973" s="375"/>
      <c r="L1973" s="375"/>
      <c r="M1973" s="368"/>
      <c r="N1973" s="368"/>
      <c r="O1973" s="370"/>
      <c r="T1973" s="340"/>
      <c r="V1973" s="378"/>
      <c r="W1973" s="64" ph="1"/>
      <c r="X1973" s="241"/>
      <c r="Y1973" s="284"/>
      <c r="Z1973" s="207"/>
      <c r="AA1973" s="284"/>
      <c r="AB1973" s="284"/>
      <c r="AC1973" s="284"/>
      <c r="AD1973" s="284"/>
      <c r="AE1973" s="284"/>
      <c r="AF1973" s="284"/>
      <c r="AG1973" s="284"/>
    </row>
    <row r="1974" spans="1:33" ht="26.4">
      <c r="A1974" s="284"/>
      <c r="B1974" s="284"/>
      <c r="C1974" s="284"/>
      <c r="D1974" s="284"/>
      <c r="E1974" s="284"/>
      <c r="F1974" s="284"/>
      <c r="G1974" s="284"/>
      <c r="H1974" s="284"/>
      <c r="I1974" s="284"/>
      <c r="J1974" s="375"/>
      <c r="K1974" s="375"/>
      <c r="L1974" s="375"/>
      <c r="M1974" s="368"/>
      <c r="N1974" s="368"/>
      <c r="O1974" s="370"/>
      <c r="T1974" s="340"/>
      <c r="V1974" s="378"/>
      <c r="W1974" s="64" ph="1"/>
      <c r="X1974" s="241"/>
      <c r="Y1974" s="284"/>
      <c r="Z1974" s="207"/>
      <c r="AA1974" s="284"/>
      <c r="AB1974" s="284"/>
      <c r="AC1974" s="284"/>
      <c r="AD1974" s="284"/>
      <c r="AE1974" s="284"/>
      <c r="AF1974" s="284"/>
      <c r="AG1974" s="284"/>
    </row>
    <row r="1975" spans="1:33" ht="26.4">
      <c r="A1975" s="284"/>
      <c r="B1975" s="284"/>
      <c r="C1975" s="284"/>
      <c r="D1975" s="284"/>
      <c r="E1975" s="284"/>
      <c r="F1975" s="284"/>
      <c r="G1975" s="284"/>
      <c r="H1975" s="284"/>
      <c r="I1975" s="284"/>
      <c r="J1975" s="375"/>
      <c r="K1975" s="375"/>
      <c r="L1975" s="375"/>
      <c r="M1975" s="368"/>
      <c r="N1975" s="368"/>
      <c r="O1975" s="370"/>
      <c r="T1975" s="340"/>
      <c r="V1975" s="378"/>
      <c r="W1975" s="64" ph="1"/>
      <c r="X1975" s="241"/>
      <c r="Y1975" s="284"/>
      <c r="Z1975" s="207"/>
      <c r="AA1975" s="284"/>
      <c r="AB1975" s="284"/>
      <c r="AC1975" s="284"/>
      <c r="AD1975" s="284"/>
      <c r="AE1975" s="284"/>
      <c r="AF1975" s="284"/>
      <c r="AG1975" s="284"/>
    </row>
    <row r="1976" spans="1:33" ht="26.4">
      <c r="A1976" s="284"/>
      <c r="B1976" s="284"/>
      <c r="C1976" s="284"/>
      <c r="D1976" s="284"/>
      <c r="E1976" s="284"/>
      <c r="F1976" s="284"/>
      <c r="G1976" s="284"/>
      <c r="H1976" s="284"/>
      <c r="I1976" s="284"/>
      <c r="J1976" s="375"/>
      <c r="K1976" s="375"/>
      <c r="L1976" s="375"/>
      <c r="M1976" s="368"/>
      <c r="N1976" s="368"/>
      <c r="O1976" s="370"/>
      <c r="T1976" s="340"/>
      <c r="V1976" s="378"/>
      <c r="W1976" s="64" ph="1"/>
      <c r="X1976" s="241"/>
      <c r="Y1976" s="284"/>
      <c r="Z1976" s="207"/>
      <c r="AA1976" s="284"/>
      <c r="AB1976" s="284"/>
      <c r="AC1976" s="284"/>
      <c r="AD1976" s="284"/>
      <c r="AE1976" s="284"/>
      <c r="AF1976" s="284"/>
      <c r="AG1976" s="284"/>
    </row>
    <row r="1977" spans="1:33" ht="26.4">
      <c r="A1977" s="284"/>
      <c r="B1977" s="284"/>
      <c r="C1977" s="284"/>
      <c r="D1977" s="284"/>
      <c r="E1977" s="284"/>
      <c r="F1977" s="284"/>
      <c r="G1977" s="284"/>
      <c r="H1977" s="284"/>
      <c r="I1977" s="284"/>
      <c r="J1977" s="375"/>
      <c r="K1977" s="375"/>
      <c r="L1977" s="375"/>
      <c r="M1977" s="368"/>
      <c r="N1977" s="368"/>
      <c r="O1977" s="370"/>
      <c r="T1977" s="340"/>
      <c r="V1977" s="378"/>
      <c r="W1977" s="64" ph="1"/>
      <c r="X1977" s="241"/>
      <c r="Y1977" s="284"/>
      <c r="Z1977" s="207"/>
      <c r="AA1977" s="284"/>
      <c r="AB1977" s="284"/>
      <c r="AC1977" s="284"/>
      <c r="AD1977" s="284"/>
      <c r="AE1977" s="284"/>
      <c r="AF1977" s="284"/>
      <c r="AG1977" s="284"/>
    </row>
    <row r="1978" spans="1:33" ht="26.4">
      <c r="A1978" s="284"/>
      <c r="B1978" s="284"/>
      <c r="C1978" s="284"/>
      <c r="D1978" s="284"/>
      <c r="E1978" s="284"/>
      <c r="F1978" s="284"/>
      <c r="G1978" s="284"/>
      <c r="H1978" s="284"/>
      <c r="I1978" s="284"/>
      <c r="J1978" s="375"/>
      <c r="K1978" s="375"/>
      <c r="L1978" s="375"/>
      <c r="M1978" s="368"/>
      <c r="N1978" s="368"/>
      <c r="O1978" s="370"/>
      <c r="T1978" s="340"/>
      <c r="V1978" s="378"/>
      <c r="W1978" s="64" ph="1"/>
      <c r="X1978" s="241"/>
      <c r="Y1978" s="284"/>
      <c r="Z1978" s="207"/>
      <c r="AA1978" s="284"/>
      <c r="AB1978" s="284"/>
      <c r="AC1978" s="284"/>
      <c r="AD1978" s="284"/>
      <c r="AE1978" s="284"/>
      <c r="AF1978" s="284"/>
      <c r="AG1978" s="284"/>
    </row>
    <row r="1979" spans="1:33" ht="26.4">
      <c r="A1979" s="284"/>
      <c r="B1979" s="284"/>
      <c r="C1979" s="284"/>
      <c r="D1979" s="284"/>
      <c r="E1979" s="284"/>
      <c r="F1979" s="284"/>
      <c r="G1979" s="284"/>
      <c r="H1979" s="284"/>
      <c r="I1979" s="284"/>
      <c r="J1979" s="375"/>
      <c r="K1979" s="375"/>
      <c r="L1979" s="375"/>
      <c r="M1979" s="368"/>
      <c r="N1979" s="368"/>
      <c r="O1979" s="370"/>
      <c r="T1979" s="340"/>
      <c r="V1979" s="378"/>
      <c r="W1979" s="64" ph="1"/>
      <c r="X1979" s="241"/>
      <c r="Y1979" s="284"/>
      <c r="Z1979" s="207"/>
      <c r="AA1979" s="284"/>
      <c r="AB1979" s="284"/>
      <c r="AC1979" s="284"/>
      <c r="AD1979" s="284"/>
      <c r="AE1979" s="284"/>
      <c r="AF1979" s="284"/>
      <c r="AG1979" s="284"/>
    </row>
    <row r="1980" spans="1:33" ht="26.4">
      <c r="A1980" s="284"/>
      <c r="B1980" s="284"/>
      <c r="C1980" s="284"/>
      <c r="D1980" s="284"/>
      <c r="E1980" s="284"/>
      <c r="F1980" s="284"/>
      <c r="G1980" s="284"/>
      <c r="H1980" s="284"/>
      <c r="I1980" s="284"/>
      <c r="J1980" s="375"/>
      <c r="K1980" s="375"/>
      <c r="L1980" s="375"/>
      <c r="M1980" s="368"/>
      <c r="N1980" s="368"/>
      <c r="O1980" s="370"/>
      <c r="T1980" s="340"/>
      <c r="V1980" s="378"/>
      <c r="W1980" s="64" ph="1"/>
      <c r="X1980" s="241"/>
      <c r="Y1980" s="284"/>
      <c r="Z1980" s="207"/>
      <c r="AA1980" s="284"/>
      <c r="AB1980" s="284"/>
      <c r="AC1980" s="284"/>
      <c r="AD1980" s="284"/>
      <c r="AE1980" s="284"/>
      <c r="AF1980" s="284"/>
      <c r="AG1980" s="284"/>
    </row>
    <row r="1981" spans="1:33" ht="26.4">
      <c r="A1981" s="284"/>
      <c r="B1981" s="284"/>
      <c r="C1981" s="284"/>
      <c r="D1981" s="284"/>
      <c r="E1981" s="284"/>
      <c r="F1981" s="284"/>
      <c r="G1981" s="284"/>
      <c r="H1981" s="284"/>
      <c r="I1981" s="284"/>
      <c r="J1981" s="375"/>
      <c r="K1981" s="375"/>
      <c r="L1981" s="375"/>
      <c r="M1981" s="368"/>
      <c r="N1981" s="368"/>
      <c r="O1981" s="370"/>
      <c r="T1981" s="340"/>
      <c r="V1981" s="378"/>
      <c r="W1981" s="64" ph="1"/>
      <c r="X1981" s="241"/>
      <c r="Y1981" s="284"/>
      <c r="Z1981" s="207"/>
      <c r="AA1981" s="284"/>
      <c r="AB1981" s="284"/>
      <c r="AC1981" s="284"/>
      <c r="AD1981" s="284"/>
      <c r="AE1981" s="284"/>
      <c r="AF1981" s="284"/>
      <c r="AG1981" s="284"/>
    </row>
    <row r="1982" spans="1:33" ht="26.4">
      <c r="A1982" s="284"/>
      <c r="B1982" s="284"/>
      <c r="C1982" s="284"/>
      <c r="D1982" s="284"/>
      <c r="E1982" s="284"/>
      <c r="F1982" s="284"/>
      <c r="G1982" s="284"/>
      <c r="H1982" s="284"/>
      <c r="I1982" s="284"/>
      <c r="J1982" s="375"/>
      <c r="K1982" s="375"/>
      <c r="L1982" s="375"/>
      <c r="M1982" s="368"/>
      <c r="N1982" s="368"/>
      <c r="O1982" s="370"/>
      <c r="T1982" s="340"/>
      <c r="V1982" s="378"/>
      <c r="W1982" s="64" ph="1"/>
      <c r="X1982" s="241"/>
      <c r="Y1982" s="284"/>
      <c r="Z1982" s="207"/>
      <c r="AA1982" s="284"/>
      <c r="AB1982" s="284"/>
      <c r="AC1982" s="284"/>
      <c r="AD1982" s="284"/>
      <c r="AE1982" s="284"/>
      <c r="AF1982" s="284"/>
      <c r="AG1982" s="284"/>
    </row>
    <row r="1983" spans="1:33" ht="26.4">
      <c r="A1983" s="284"/>
      <c r="B1983" s="284"/>
      <c r="C1983" s="284"/>
      <c r="D1983" s="284"/>
      <c r="E1983" s="284"/>
      <c r="F1983" s="284"/>
      <c r="G1983" s="284"/>
      <c r="H1983" s="284"/>
      <c r="I1983" s="284"/>
      <c r="J1983" s="375"/>
      <c r="K1983" s="375"/>
      <c r="L1983" s="375"/>
      <c r="M1983" s="368"/>
      <c r="N1983" s="368"/>
      <c r="O1983" s="370"/>
      <c r="T1983" s="340"/>
      <c r="V1983" s="378"/>
      <c r="W1983" s="64" ph="1"/>
      <c r="X1983" s="241"/>
      <c r="Y1983" s="284"/>
      <c r="Z1983" s="207"/>
      <c r="AA1983" s="284"/>
      <c r="AB1983" s="284"/>
      <c r="AC1983" s="284"/>
      <c r="AD1983" s="284"/>
      <c r="AE1983" s="284"/>
      <c r="AF1983" s="284"/>
      <c r="AG1983" s="284"/>
    </row>
    <row r="1984" spans="1:33" ht="26.4">
      <c r="A1984" s="284"/>
      <c r="B1984" s="284"/>
      <c r="C1984" s="284"/>
      <c r="D1984" s="284"/>
      <c r="E1984" s="284"/>
      <c r="F1984" s="284"/>
      <c r="G1984" s="284"/>
      <c r="H1984" s="284"/>
      <c r="I1984" s="284"/>
      <c r="J1984" s="375"/>
      <c r="K1984" s="375"/>
      <c r="L1984" s="375"/>
      <c r="M1984" s="368"/>
      <c r="N1984" s="368"/>
      <c r="O1984" s="370"/>
      <c r="T1984" s="340"/>
      <c r="V1984" s="378"/>
      <c r="W1984" s="64" ph="1"/>
      <c r="X1984" s="241"/>
      <c r="Y1984" s="284"/>
      <c r="Z1984" s="207"/>
      <c r="AA1984" s="284"/>
      <c r="AB1984" s="284"/>
      <c r="AC1984" s="284"/>
      <c r="AD1984" s="284"/>
      <c r="AE1984" s="284"/>
      <c r="AF1984" s="284"/>
      <c r="AG1984" s="284"/>
    </row>
    <row r="1985" spans="1:33" ht="26.4">
      <c r="A1985" s="284"/>
      <c r="B1985" s="284"/>
      <c r="C1985" s="284"/>
      <c r="D1985" s="284"/>
      <c r="E1985" s="284"/>
      <c r="F1985" s="284"/>
      <c r="G1985" s="284"/>
      <c r="H1985" s="284"/>
      <c r="I1985" s="284"/>
      <c r="J1985" s="375"/>
      <c r="K1985" s="375"/>
      <c r="L1985" s="375"/>
      <c r="M1985" s="368"/>
      <c r="N1985" s="368"/>
      <c r="O1985" s="370"/>
      <c r="T1985" s="340"/>
      <c r="V1985" s="378"/>
      <c r="W1985" s="64" ph="1"/>
      <c r="X1985" s="241"/>
      <c r="Y1985" s="284"/>
      <c r="Z1985" s="207"/>
      <c r="AA1985" s="284"/>
      <c r="AB1985" s="284"/>
      <c r="AC1985" s="284"/>
      <c r="AD1985" s="284"/>
      <c r="AE1985" s="284"/>
      <c r="AF1985" s="284"/>
      <c r="AG1985" s="284"/>
    </row>
    <row r="1986" spans="1:33" ht="26.4">
      <c r="A1986" s="284"/>
      <c r="B1986" s="284"/>
      <c r="C1986" s="284"/>
      <c r="D1986" s="284"/>
      <c r="E1986" s="284"/>
      <c r="F1986" s="284"/>
      <c r="G1986" s="284"/>
      <c r="H1986" s="284"/>
      <c r="I1986" s="284"/>
      <c r="J1986" s="375"/>
      <c r="K1986" s="375"/>
      <c r="L1986" s="375"/>
      <c r="M1986" s="368"/>
      <c r="N1986" s="368"/>
      <c r="O1986" s="370"/>
      <c r="T1986" s="340"/>
      <c r="V1986" s="378"/>
      <c r="W1986" s="64" ph="1"/>
      <c r="X1986" s="241"/>
      <c r="Y1986" s="284"/>
      <c r="Z1986" s="207"/>
      <c r="AA1986" s="284"/>
      <c r="AB1986" s="284"/>
      <c r="AC1986" s="284"/>
      <c r="AD1986" s="284"/>
      <c r="AE1986" s="284"/>
      <c r="AF1986" s="284"/>
      <c r="AG1986" s="284"/>
    </row>
    <row r="1987" spans="1:33" ht="26.4">
      <c r="A1987" s="284"/>
      <c r="B1987" s="284"/>
      <c r="C1987" s="284"/>
      <c r="D1987" s="284"/>
      <c r="E1987" s="284"/>
      <c r="F1987" s="284"/>
      <c r="G1987" s="284"/>
      <c r="H1987" s="284"/>
      <c r="I1987" s="284"/>
      <c r="J1987" s="375"/>
      <c r="K1987" s="375"/>
      <c r="L1987" s="375"/>
      <c r="M1987" s="368"/>
      <c r="N1987" s="368"/>
      <c r="O1987" s="370"/>
      <c r="T1987" s="340"/>
      <c r="V1987" s="378"/>
      <c r="W1987" s="64" ph="1"/>
      <c r="X1987" s="241"/>
      <c r="Y1987" s="284"/>
      <c r="Z1987" s="207"/>
      <c r="AA1987" s="284"/>
      <c r="AB1987" s="284"/>
      <c r="AC1987" s="284"/>
      <c r="AD1987" s="284"/>
      <c r="AE1987" s="284"/>
      <c r="AF1987" s="284"/>
      <c r="AG1987" s="284"/>
    </row>
    <row r="1988" spans="1:33" ht="26.4">
      <c r="A1988" s="284"/>
      <c r="B1988" s="284"/>
      <c r="C1988" s="284"/>
      <c r="D1988" s="284"/>
      <c r="E1988" s="284"/>
      <c r="F1988" s="284"/>
      <c r="G1988" s="284"/>
      <c r="H1988" s="284"/>
      <c r="I1988" s="284"/>
      <c r="J1988" s="375"/>
      <c r="K1988" s="375"/>
      <c r="L1988" s="375"/>
      <c r="M1988" s="368"/>
      <c r="N1988" s="368"/>
      <c r="O1988" s="370"/>
      <c r="T1988" s="340"/>
      <c r="V1988" s="378"/>
      <c r="W1988" s="64" ph="1"/>
      <c r="X1988" s="241"/>
      <c r="Y1988" s="284"/>
      <c r="Z1988" s="207"/>
      <c r="AA1988" s="284"/>
      <c r="AB1988" s="284"/>
      <c r="AC1988" s="284"/>
      <c r="AD1988" s="284"/>
      <c r="AE1988" s="284"/>
      <c r="AF1988" s="284"/>
      <c r="AG1988" s="284"/>
    </row>
    <row r="1989" spans="1:33" ht="26.4">
      <c r="A1989" s="284"/>
      <c r="B1989" s="284"/>
      <c r="C1989" s="284"/>
      <c r="D1989" s="284"/>
      <c r="E1989" s="284"/>
      <c r="F1989" s="284"/>
      <c r="G1989" s="284"/>
      <c r="H1989" s="284"/>
      <c r="I1989" s="284"/>
      <c r="J1989" s="375"/>
      <c r="K1989" s="375"/>
      <c r="L1989" s="375"/>
      <c r="M1989" s="368"/>
      <c r="N1989" s="368"/>
      <c r="O1989" s="370"/>
      <c r="T1989" s="340"/>
      <c r="V1989" s="378"/>
      <c r="W1989" s="64" ph="1"/>
      <c r="X1989" s="241"/>
      <c r="Y1989" s="284"/>
      <c r="Z1989" s="207"/>
      <c r="AA1989" s="284"/>
      <c r="AB1989" s="284"/>
      <c r="AC1989" s="284"/>
      <c r="AD1989" s="284"/>
      <c r="AE1989" s="284"/>
      <c r="AF1989" s="284"/>
      <c r="AG1989" s="284"/>
    </row>
    <row r="1990" spans="1:33" ht="26.4">
      <c r="A1990" s="284"/>
      <c r="B1990" s="284"/>
      <c r="C1990" s="284"/>
      <c r="D1990" s="284"/>
      <c r="E1990" s="284"/>
      <c r="F1990" s="284"/>
      <c r="G1990" s="284"/>
      <c r="H1990" s="284"/>
      <c r="I1990" s="284"/>
      <c r="J1990" s="375"/>
      <c r="K1990" s="375"/>
      <c r="L1990" s="375"/>
      <c r="M1990" s="368"/>
      <c r="N1990" s="368"/>
      <c r="O1990" s="370"/>
      <c r="T1990" s="340"/>
      <c r="V1990" s="378"/>
      <c r="W1990" s="64" ph="1"/>
      <c r="X1990" s="241"/>
      <c r="Y1990" s="284"/>
      <c r="Z1990" s="207"/>
      <c r="AA1990" s="284"/>
      <c r="AB1990" s="284"/>
      <c r="AC1990" s="284"/>
      <c r="AD1990" s="284"/>
      <c r="AE1990" s="284"/>
      <c r="AF1990" s="284"/>
      <c r="AG1990" s="284"/>
    </row>
    <row r="1991" spans="1:33" ht="26.4">
      <c r="A1991" s="284"/>
      <c r="B1991" s="284"/>
      <c r="C1991" s="284"/>
      <c r="D1991" s="284"/>
      <c r="E1991" s="284"/>
      <c r="F1991" s="284"/>
      <c r="G1991" s="284"/>
      <c r="H1991" s="284"/>
      <c r="I1991" s="284"/>
      <c r="J1991" s="375"/>
      <c r="K1991" s="375"/>
      <c r="L1991" s="375"/>
      <c r="M1991" s="368"/>
      <c r="N1991" s="368"/>
      <c r="O1991" s="370"/>
      <c r="T1991" s="340"/>
      <c r="V1991" s="378"/>
      <c r="W1991" s="64" ph="1"/>
      <c r="X1991" s="241"/>
      <c r="Y1991" s="284"/>
      <c r="Z1991" s="207"/>
      <c r="AA1991" s="284"/>
      <c r="AB1991" s="284"/>
      <c r="AC1991" s="284"/>
      <c r="AD1991" s="284"/>
      <c r="AE1991" s="284"/>
      <c r="AF1991" s="284"/>
      <c r="AG1991" s="284"/>
    </row>
    <row r="1992" spans="1:33" ht="26.4">
      <c r="A1992" s="284"/>
      <c r="B1992" s="284"/>
      <c r="C1992" s="284"/>
      <c r="D1992" s="284"/>
      <c r="E1992" s="284"/>
      <c r="F1992" s="284"/>
      <c r="G1992" s="284"/>
      <c r="H1992" s="284"/>
      <c r="I1992" s="284"/>
      <c r="J1992" s="375"/>
      <c r="K1992" s="375"/>
      <c r="L1992" s="375"/>
      <c r="M1992" s="368"/>
      <c r="N1992" s="368"/>
      <c r="O1992" s="370"/>
      <c r="T1992" s="340"/>
      <c r="V1992" s="378"/>
      <c r="W1992" s="64" ph="1"/>
      <c r="X1992" s="241"/>
      <c r="Y1992" s="284"/>
      <c r="Z1992" s="207"/>
      <c r="AA1992" s="284"/>
      <c r="AB1992" s="284"/>
      <c r="AC1992" s="284"/>
      <c r="AD1992" s="284"/>
      <c r="AE1992" s="284"/>
      <c r="AF1992" s="284"/>
      <c r="AG1992" s="284"/>
    </row>
    <row r="1993" spans="1:33" ht="26.4">
      <c r="A1993" s="284"/>
      <c r="B1993" s="284"/>
      <c r="C1993" s="284"/>
      <c r="D1993" s="284"/>
      <c r="E1993" s="284"/>
      <c r="F1993" s="284"/>
      <c r="G1993" s="284"/>
      <c r="H1993" s="284"/>
      <c r="I1993" s="284"/>
      <c r="J1993" s="375"/>
      <c r="K1993" s="375"/>
      <c r="L1993" s="375"/>
      <c r="M1993" s="368"/>
      <c r="N1993" s="368"/>
      <c r="O1993" s="370"/>
      <c r="T1993" s="340"/>
      <c r="V1993" s="378"/>
      <c r="W1993" s="64" ph="1"/>
      <c r="X1993" s="241"/>
      <c r="Y1993" s="284"/>
      <c r="Z1993" s="207"/>
      <c r="AA1993" s="284"/>
      <c r="AB1993" s="284"/>
      <c r="AC1993" s="284"/>
      <c r="AD1993" s="284"/>
      <c r="AE1993" s="284"/>
      <c r="AF1993" s="284"/>
      <c r="AG1993" s="284"/>
    </row>
    <row r="1994" spans="1:33" ht="26.4">
      <c r="A1994" s="284"/>
      <c r="B1994" s="284"/>
      <c r="C1994" s="284"/>
      <c r="D1994" s="284"/>
      <c r="E1994" s="284"/>
      <c r="F1994" s="284"/>
      <c r="G1994" s="284"/>
      <c r="H1994" s="284"/>
      <c r="I1994" s="284"/>
      <c r="J1994" s="375"/>
      <c r="K1994" s="375"/>
      <c r="L1994" s="375"/>
      <c r="M1994" s="368"/>
      <c r="N1994" s="368"/>
      <c r="O1994" s="370"/>
      <c r="T1994" s="340"/>
      <c r="V1994" s="378"/>
      <c r="W1994" s="64" ph="1"/>
      <c r="X1994" s="241"/>
      <c r="Y1994" s="284"/>
      <c r="Z1994" s="207"/>
      <c r="AA1994" s="284"/>
      <c r="AB1994" s="284"/>
      <c r="AC1994" s="284"/>
      <c r="AD1994" s="284"/>
      <c r="AE1994" s="284"/>
      <c r="AF1994" s="284"/>
      <c r="AG1994" s="284"/>
    </row>
    <row r="1995" spans="1:33" ht="26.4">
      <c r="A1995" s="284"/>
      <c r="B1995" s="284"/>
      <c r="C1995" s="284"/>
      <c r="D1995" s="284"/>
      <c r="E1995" s="284"/>
      <c r="F1995" s="284"/>
      <c r="G1995" s="284"/>
      <c r="H1995" s="284"/>
      <c r="I1995" s="284"/>
      <c r="J1995" s="375"/>
      <c r="K1995" s="375"/>
      <c r="L1995" s="375"/>
      <c r="M1995" s="368"/>
      <c r="N1995" s="368"/>
      <c r="O1995" s="370"/>
      <c r="T1995" s="340"/>
      <c r="V1995" s="378"/>
      <c r="W1995" s="64" ph="1"/>
      <c r="X1995" s="241"/>
      <c r="Y1995" s="284"/>
      <c r="Z1995" s="207"/>
      <c r="AA1995" s="284"/>
      <c r="AB1995" s="284"/>
      <c r="AC1995" s="284"/>
      <c r="AD1995" s="284"/>
      <c r="AE1995" s="284"/>
      <c r="AF1995" s="284"/>
      <c r="AG1995" s="284"/>
    </row>
    <row r="1996" spans="1:33" ht="26.4">
      <c r="A1996" s="284"/>
      <c r="B1996" s="284"/>
      <c r="C1996" s="284"/>
      <c r="D1996" s="284"/>
      <c r="E1996" s="284"/>
      <c r="F1996" s="284"/>
      <c r="G1996" s="284"/>
      <c r="H1996" s="284"/>
      <c r="I1996" s="284"/>
      <c r="J1996" s="375"/>
      <c r="K1996" s="375"/>
      <c r="L1996" s="375"/>
      <c r="M1996" s="368"/>
      <c r="N1996" s="368"/>
      <c r="O1996" s="370"/>
      <c r="T1996" s="340"/>
      <c r="V1996" s="378"/>
      <c r="W1996" s="64" ph="1"/>
      <c r="X1996" s="241"/>
      <c r="Y1996" s="284"/>
      <c r="Z1996" s="207"/>
      <c r="AA1996" s="284"/>
      <c r="AB1996" s="284"/>
      <c r="AC1996" s="284"/>
      <c r="AD1996" s="284"/>
      <c r="AE1996" s="284"/>
      <c r="AF1996" s="284"/>
      <c r="AG1996" s="284"/>
    </row>
    <row r="1997" spans="1:33" ht="26.4">
      <c r="A1997" s="284"/>
      <c r="B1997" s="284"/>
      <c r="C1997" s="284"/>
      <c r="D1997" s="284"/>
      <c r="E1997" s="284"/>
      <c r="F1997" s="284"/>
      <c r="G1997" s="284"/>
      <c r="H1997" s="284"/>
      <c r="I1997" s="284"/>
      <c r="J1997" s="375"/>
      <c r="K1997" s="375"/>
      <c r="L1997" s="375"/>
      <c r="M1997" s="368"/>
      <c r="N1997" s="368"/>
      <c r="O1997" s="370"/>
      <c r="T1997" s="340"/>
      <c r="V1997" s="378"/>
      <c r="W1997" s="64" ph="1"/>
      <c r="X1997" s="241"/>
      <c r="Y1997" s="284"/>
      <c r="Z1997" s="207"/>
      <c r="AA1997" s="284"/>
      <c r="AB1997" s="284"/>
      <c r="AC1997" s="284"/>
      <c r="AD1997" s="284"/>
      <c r="AE1997" s="284"/>
      <c r="AF1997" s="284"/>
      <c r="AG1997" s="284"/>
    </row>
    <row r="1998" spans="1:33" ht="26.4">
      <c r="A1998" s="284"/>
      <c r="B1998" s="284"/>
      <c r="C1998" s="284"/>
      <c r="D1998" s="284"/>
      <c r="E1998" s="284"/>
      <c r="F1998" s="284"/>
      <c r="G1998" s="284"/>
      <c r="H1998" s="284"/>
      <c r="I1998" s="284"/>
      <c r="J1998" s="375"/>
      <c r="K1998" s="375"/>
      <c r="L1998" s="375"/>
      <c r="M1998" s="368"/>
      <c r="N1998" s="368"/>
      <c r="O1998" s="370"/>
      <c r="T1998" s="340"/>
      <c r="V1998" s="378"/>
      <c r="W1998" s="64" ph="1"/>
      <c r="X1998" s="241"/>
      <c r="Y1998" s="284"/>
      <c r="Z1998" s="207"/>
      <c r="AA1998" s="284"/>
      <c r="AB1998" s="284"/>
      <c r="AC1998" s="284"/>
      <c r="AD1998" s="284"/>
      <c r="AE1998" s="284"/>
      <c r="AF1998" s="284"/>
      <c r="AG1998" s="284"/>
    </row>
    <row r="1999" spans="1:33" ht="26.4">
      <c r="A1999" s="284"/>
      <c r="B1999" s="284"/>
      <c r="C1999" s="284"/>
      <c r="D1999" s="284"/>
      <c r="E1999" s="284"/>
      <c r="F1999" s="284"/>
      <c r="G1999" s="284"/>
      <c r="H1999" s="284"/>
      <c r="I1999" s="284"/>
      <c r="J1999" s="375"/>
      <c r="K1999" s="375"/>
      <c r="L1999" s="375"/>
      <c r="M1999" s="368"/>
      <c r="N1999" s="368"/>
      <c r="O1999" s="370"/>
      <c r="T1999" s="340"/>
      <c r="V1999" s="378"/>
      <c r="W1999" s="64" ph="1"/>
      <c r="X1999" s="241"/>
      <c r="Y1999" s="284"/>
      <c r="Z1999" s="207"/>
      <c r="AA1999" s="284"/>
      <c r="AB1999" s="284"/>
      <c r="AC1999" s="284"/>
      <c r="AD1999" s="284"/>
      <c r="AE1999" s="284"/>
      <c r="AF1999" s="284"/>
      <c r="AG1999" s="284"/>
    </row>
    <row r="2000" spans="1:33" ht="26.4">
      <c r="A2000" s="284"/>
      <c r="B2000" s="284"/>
      <c r="C2000" s="284"/>
      <c r="D2000" s="284"/>
      <c r="E2000" s="284"/>
      <c r="F2000" s="284"/>
      <c r="G2000" s="284"/>
      <c r="H2000" s="284"/>
      <c r="I2000" s="284"/>
      <c r="J2000" s="375"/>
      <c r="K2000" s="375"/>
      <c r="L2000" s="375"/>
      <c r="M2000" s="368"/>
      <c r="N2000" s="368"/>
      <c r="O2000" s="370"/>
      <c r="T2000" s="340"/>
      <c r="V2000" s="378"/>
      <c r="W2000" s="64" ph="1"/>
      <c r="X2000" s="241"/>
      <c r="Y2000" s="284"/>
      <c r="Z2000" s="207"/>
      <c r="AA2000" s="284"/>
      <c r="AB2000" s="284"/>
      <c r="AC2000" s="284"/>
      <c r="AD2000" s="284"/>
      <c r="AE2000" s="284"/>
      <c r="AF2000" s="284"/>
      <c r="AG2000" s="284"/>
    </row>
    <row r="2001" spans="1:33" ht="26.4">
      <c r="A2001" s="284"/>
      <c r="B2001" s="284"/>
      <c r="C2001" s="284"/>
      <c r="D2001" s="284"/>
      <c r="E2001" s="284"/>
      <c r="F2001" s="284"/>
      <c r="G2001" s="284"/>
      <c r="H2001" s="284"/>
      <c r="I2001" s="284"/>
      <c r="J2001" s="375"/>
      <c r="K2001" s="375"/>
      <c r="L2001" s="375"/>
      <c r="M2001" s="368"/>
      <c r="N2001" s="368"/>
      <c r="O2001" s="370"/>
      <c r="T2001" s="340"/>
      <c r="V2001" s="378"/>
      <c r="W2001" s="64" ph="1"/>
      <c r="X2001" s="241"/>
      <c r="Y2001" s="284"/>
      <c r="Z2001" s="207"/>
      <c r="AA2001" s="284"/>
      <c r="AB2001" s="284"/>
      <c r="AC2001" s="284"/>
      <c r="AD2001" s="284"/>
      <c r="AE2001" s="284"/>
      <c r="AF2001" s="284"/>
      <c r="AG2001" s="284"/>
    </row>
    <row r="2002" spans="1:33" ht="26.4">
      <c r="A2002" s="284"/>
      <c r="B2002" s="284"/>
      <c r="C2002" s="284"/>
      <c r="D2002" s="284"/>
      <c r="E2002" s="284"/>
      <c r="F2002" s="284"/>
      <c r="G2002" s="284"/>
      <c r="H2002" s="284"/>
      <c r="I2002" s="284"/>
      <c r="J2002" s="375"/>
      <c r="K2002" s="375"/>
      <c r="L2002" s="375"/>
      <c r="M2002" s="368"/>
      <c r="N2002" s="368"/>
      <c r="O2002" s="370"/>
      <c r="T2002" s="340"/>
      <c r="V2002" s="378"/>
      <c r="W2002" s="64" ph="1"/>
      <c r="X2002" s="241"/>
      <c r="Y2002" s="284"/>
      <c r="Z2002" s="207"/>
      <c r="AA2002" s="284"/>
      <c r="AB2002" s="284"/>
      <c r="AC2002" s="284"/>
      <c r="AD2002" s="284"/>
      <c r="AE2002" s="284"/>
      <c r="AF2002" s="284"/>
      <c r="AG2002" s="284"/>
    </row>
    <row r="2003" spans="1:33" ht="26.4">
      <c r="A2003" s="284"/>
      <c r="B2003" s="284"/>
      <c r="C2003" s="284"/>
      <c r="D2003" s="284"/>
      <c r="E2003" s="284"/>
      <c r="F2003" s="284"/>
      <c r="G2003" s="284"/>
      <c r="H2003" s="284"/>
      <c r="I2003" s="284"/>
      <c r="J2003" s="375"/>
      <c r="K2003" s="375"/>
      <c r="L2003" s="375"/>
      <c r="M2003" s="368"/>
      <c r="N2003" s="368"/>
      <c r="O2003" s="370"/>
      <c r="T2003" s="340"/>
      <c r="V2003" s="378"/>
      <c r="W2003" s="64" ph="1"/>
      <c r="X2003" s="241"/>
      <c r="Y2003" s="284"/>
      <c r="Z2003" s="207"/>
      <c r="AA2003" s="284"/>
      <c r="AB2003" s="284"/>
      <c r="AC2003" s="284"/>
      <c r="AD2003" s="284"/>
      <c r="AE2003" s="284"/>
      <c r="AF2003" s="284"/>
      <c r="AG2003" s="284"/>
    </row>
    <row r="2004" spans="1:33" ht="26.4">
      <c r="A2004" s="284"/>
      <c r="B2004" s="284"/>
      <c r="C2004" s="284"/>
      <c r="D2004" s="284"/>
      <c r="E2004" s="284"/>
      <c r="F2004" s="284"/>
      <c r="G2004" s="284"/>
      <c r="H2004" s="284"/>
      <c r="I2004" s="284"/>
      <c r="J2004" s="375"/>
      <c r="K2004" s="375"/>
      <c r="L2004" s="375"/>
      <c r="M2004" s="368"/>
      <c r="N2004" s="368"/>
      <c r="O2004" s="370"/>
      <c r="T2004" s="340"/>
      <c r="V2004" s="378"/>
      <c r="W2004" s="64" ph="1"/>
      <c r="X2004" s="241"/>
      <c r="Y2004" s="284"/>
      <c r="Z2004" s="207"/>
      <c r="AA2004" s="284"/>
      <c r="AB2004" s="284"/>
      <c r="AC2004" s="284"/>
      <c r="AD2004" s="284"/>
      <c r="AE2004" s="284"/>
      <c r="AF2004" s="284"/>
      <c r="AG2004" s="284"/>
    </row>
    <row r="2005" spans="1:33" ht="26.4">
      <c r="A2005" s="284"/>
      <c r="B2005" s="284"/>
      <c r="C2005" s="284"/>
      <c r="D2005" s="284"/>
      <c r="E2005" s="284"/>
      <c r="F2005" s="284"/>
      <c r="G2005" s="284"/>
      <c r="H2005" s="284"/>
      <c r="I2005" s="284"/>
      <c r="J2005" s="375"/>
      <c r="K2005" s="375"/>
      <c r="L2005" s="375"/>
      <c r="M2005" s="368"/>
      <c r="N2005" s="368"/>
      <c r="O2005" s="370"/>
      <c r="T2005" s="340"/>
      <c r="V2005" s="378"/>
      <c r="W2005" s="64" ph="1"/>
      <c r="X2005" s="241"/>
      <c r="Y2005" s="284"/>
      <c r="Z2005" s="207"/>
      <c r="AA2005" s="284"/>
      <c r="AB2005" s="284"/>
      <c r="AC2005" s="284"/>
      <c r="AD2005" s="284"/>
      <c r="AE2005" s="284"/>
      <c r="AF2005" s="284"/>
      <c r="AG2005" s="284"/>
    </row>
    <row r="2006" spans="1:33" ht="26.4">
      <c r="A2006" s="284"/>
      <c r="B2006" s="284"/>
      <c r="C2006" s="284"/>
      <c r="D2006" s="284"/>
      <c r="E2006" s="284"/>
      <c r="F2006" s="284"/>
      <c r="G2006" s="284"/>
      <c r="H2006" s="284"/>
      <c r="I2006" s="284"/>
      <c r="J2006" s="375"/>
      <c r="K2006" s="375"/>
      <c r="L2006" s="375"/>
      <c r="M2006" s="368"/>
      <c r="N2006" s="368"/>
      <c r="O2006" s="370"/>
      <c r="T2006" s="340"/>
      <c r="V2006" s="378"/>
      <c r="W2006" s="64" ph="1"/>
      <c r="X2006" s="241"/>
      <c r="Y2006" s="284"/>
      <c r="Z2006" s="207"/>
      <c r="AA2006" s="284"/>
      <c r="AB2006" s="284"/>
      <c r="AC2006" s="284"/>
      <c r="AD2006" s="284"/>
      <c r="AE2006" s="284"/>
      <c r="AF2006" s="284"/>
      <c r="AG2006" s="284"/>
    </row>
    <row r="2007" spans="1:33" ht="26.4">
      <c r="A2007" s="284"/>
      <c r="B2007" s="284"/>
      <c r="C2007" s="284"/>
      <c r="D2007" s="284"/>
      <c r="E2007" s="284"/>
      <c r="F2007" s="284"/>
      <c r="G2007" s="284"/>
      <c r="H2007" s="284"/>
      <c r="I2007" s="284"/>
      <c r="J2007" s="375"/>
      <c r="K2007" s="375"/>
      <c r="L2007" s="375"/>
      <c r="M2007" s="368"/>
      <c r="N2007" s="368"/>
      <c r="O2007" s="370"/>
      <c r="T2007" s="340"/>
      <c r="V2007" s="378"/>
      <c r="W2007" s="64" ph="1"/>
      <c r="X2007" s="241"/>
      <c r="Y2007" s="284"/>
      <c r="Z2007" s="207"/>
      <c r="AA2007" s="284"/>
      <c r="AB2007" s="284"/>
      <c r="AC2007" s="284"/>
      <c r="AD2007" s="284"/>
      <c r="AE2007" s="284"/>
      <c r="AF2007" s="284"/>
      <c r="AG2007" s="284"/>
    </row>
    <row r="2008" spans="1:33" ht="26.4">
      <c r="A2008" s="284"/>
      <c r="B2008" s="284"/>
      <c r="C2008" s="284"/>
      <c r="D2008" s="284"/>
      <c r="E2008" s="284"/>
      <c r="F2008" s="284"/>
      <c r="G2008" s="284"/>
      <c r="H2008" s="284"/>
      <c r="I2008" s="284"/>
      <c r="J2008" s="375"/>
      <c r="K2008" s="375"/>
      <c r="L2008" s="375"/>
      <c r="M2008" s="368"/>
      <c r="N2008" s="368"/>
      <c r="O2008" s="370"/>
      <c r="T2008" s="340"/>
      <c r="V2008" s="378"/>
      <c r="W2008" s="64" ph="1"/>
      <c r="X2008" s="241"/>
      <c r="Y2008" s="284"/>
      <c r="Z2008" s="207"/>
      <c r="AA2008" s="284"/>
      <c r="AB2008" s="284"/>
      <c r="AC2008" s="284"/>
      <c r="AD2008" s="284"/>
      <c r="AE2008" s="284"/>
      <c r="AF2008" s="284"/>
      <c r="AG2008" s="284"/>
    </row>
    <row r="2009" spans="1:33" ht="26.4">
      <c r="A2009" s="284"/>
      <c r="B2009" s="284"/>
      <c r="C2009" s="284"/>
      <c r="D2009" s="284"/>
      <c r="E2009" s="284"/>
      <c r="F2009" s="284"/>
      <c r="G2009" s="284"/>
      <c r="H2009" s="284"/>
      <c r="I2009" s="284"/>
      <c r="J2009" s="375"/>
      <c r="K2009" s="375"/>
      <c r="L2009" s="375"/>
      <c r="M2009" s="368"/>
      <c r="N2009" s="368"/>
      <c r="O2009" s="370"/>
      <c r="T2009" s="340"/>
      <c r="V2009" s="378"/>
      <c r="W2009" s="64" ph="1"/>
      <c r="X2009" s="241"/>
      <c r="Y2009" s="284"/>
      <c r="Z2009" s="207"/>
      <c r="AA2009" s="284"/>
      <c r="AB2009" s="284"/>
      <c r="AC2009" s="284"/>
      <c r="AD2009" s="284"/>
      <c r="AE2009" s="284"/>
      <c r="AF2009" s="284"/>
      <c r="AG2009" s="284"/>
    </row>
    <row r="2010" spans="1:33" ht="26.4">
      <c r="A2010" s="284"/>
      <c r="B2010" s="284"/>
      <c r="C2010" s="284"/>
      <c r="D2010" s="284"/>
      <c r="E2010" s="284"/>
      <c r="F2010" s="284"/>
      <c r="G2010" s="284"/>
      <c r="H2010" s="284"/>
      <c r="I2010" s="284"/>
      <c r="J2010" s="375"/>
      <c r="K2010" s="375"/>
      <c r="L2010" s="375"/>
      <c r="M2010" s="368"/>
      <c r="N2010" s="368"/>
      <c r="O2010" s="370"/>
      <c r="T2010" s="340"/>
      <c r="V2010" s="378"/>
      <c r="W2010" s="64" ph="1"/>
      <c r="X2010" s="241"/>
      <c r="Y2010" s="284"/>
      <c r="Z2010" s="207"/>
      <c r="AA2010" s="284"/>
      <c r="AB2010" s="284"/>
      <c r="AC2010" s="284"/>
      <c r="AD2010" s="284"/>
      <c r="AE2010" s="284"/>
      <c r="AF2010" s="284"/>
      <c r="AG2010" s="284"/>
    </row>
    <row r="2011" spans="1:33" ht="26.4">
      <c r="A2011" s="284"/>
      <c r="B2011" s="284"/>
      <c r="C2011" s="284"/>
      <c r="D2011" s="284"/>
      <c r="E2011" s="284"/>
      <c r="F2011" s="284"/>
      <c r="G2011" s="284"/>
      <c r="H2011" s="284"/>
      <c r="I2011" s="284"/>
      <c r="J2011" s="375"/>
      <c r="K2011" s="375"/>
      <c r="L2011" s="375"/>
      <c r="M2011" s="368"/>
      <c r="N2011" s="368"/>
      <c r="O2011" s="370"/>
      <c r="T2011" s="340"/>
      <c r="V2011" s="378"/>
      <c r="W2011" s="64" ph="1"/>
      <c r="X2011" s="241"/>
      <c r="Y2011" s="284"/>
      <c r="Z2011" s="207"/>
      <c r="AA2011" s="284"/>
      <c r="AB2011" s="284"/>
      <c r="AC2011" s="284"/>
      <c r="AD2011" s="284"/>
      <c r="AE2011" s="284"/>
      <c r="AF2011" s="284"/>
      <c r="AG2011" s="284"/>
    </row>
    <row r="2012" spans="1:33" ht="26.4">
      <c r="A2012" s="284"/>
      <c r="B2012" s="284"/>
      <c r="C2012" s="284"/>
      <c r="D2012" s="284"/>
      <c r="E2012" s="284"/>
      <c r="F2012" s="284"/>
      <c r="G2012" s="284"/>
      <c r="H2012" s="284"/>
      <c r="I2012" s="284"/>
      <c r="J2012" s="375"/>
      <c r="K2012" s="375"/>
      <c r="L2012" s="375"/>
      <c r="M2012" s="368"/>
      <c r="N2012" s="368"/>
      <c r="O2012" s="370"/>
      <c r="T2012" s="340"/>
      <c r="V2012" s="378"/>
      <c r="W2012" s="64" ph="1"/>
      <c r="X2012" s="241"/>
      <c r="Y2012" s="284"/>
      <c r="Z2012" s="207"/>
      <c r="AA2012" s="284"/>
      <c r="AB2012" s="284"/>
      <c r="AC2012" s="284"/>
      <c r="AD2012" s="284"/>
      <c r="AE2012" s="284"/>
      <c r="AF2012" s="284"/>
      <c r="AG2012" s="284"/>
    </row>
    <row r="2013" spans="1:33" ht="26.4">
      <c r="A2013" s="284"/>
      <c r="B2013" s="284"/>
      <c r="C2013" s="284"/>
      <c r="D2013" s="284"/>
      <c r="E2013" s="284"/>
      <c r="F2013" s="284"/>
      <c r="G2013" s="284"/>
      <c r="H2013" s="284"/>
      <c r="I2013" s="284"/>
      <c r="J2013" s="375"/>
      <c r="K2013" s="375"/>
      <c r="L2013" s="375"/>
      <c r="M2013" s="368"/>
      <c r="N2013" s="368"/>
      <c r="O2013" s="370"/>
      <c r="T2013" s="340"/>
      <c r="V2013" s="378"/>
      <c r="W2013" s="64" ph="1"/>
      <c r="X2013" s="241"/>
      <c r="Y2013" s="284"/>
      <c r="Z2013" s="207"/>
      <c r="AA2013" s="284"/>
      <c r="AB2013" s="284"/>
      <c r="AC2013" s="284"/>
      <c r="AD2013" s="284"/>
      <c r="AE2013" s="284"/>
      <c r="AF2013" s="284"/>
      <c r="AG2013" s="284"/>
    </row>
    <row r="2014" spans="1:33" ht="26.4">
      <c r="A2014" s="284"/>
      <c r="B2014" s="284"/>
      <c r="C2014" s="284"/>
      <c r="D2014" s="284"/>
      <c r="E2014" s="284"/>
      <c r="F2014" s="284"/>
      <c r="G2014" s="284"/>
      <c r="H2014" s="284"/>
      <c r="I2014" s="284"/>
      <c r="J2014" s="375"/>
      <c r="K2014" s="375"/>
      <c r="L2014" s="375"/>
      <c r="M2014" s="368"/>
      <c r="N2014" s="368"/>
      <c r="O2014" s="370"/>
      <c r="T2014" s="340"/>
      <c r="V2014" s="378"/>
      <c r="W2014" s="64" ph="1"/>
      <c r="X2014" s="241"/>
      <c r="Y2014" s="284"/>
      <c r="Z2014" s="207"/>
      <c r="AA2014" s="284"/>
      <c r="AB2014" s="284"/>
      <c r="AC2014" s="284"/>
      <c r="AD2014" s="284"/>
      <c r="AE2014" s="284"/>
      <c r="AF2014" s="284"/>
      <c r="AG2014" s="284"/>
    </row>
    <row r="2015" spans="1:33" ht="26.4">
      <c r="A2015" s="284"/>
      <c r="B2015" s="284"/>
      <c r="C2015" s="284"/>
      <c r="D2015" s="284"/>
      <c r="E2015" s="284"/>
      <c r="F2015" s="284"/>
      <c r="G2015" s="284"/>
      <c r="H2015" s="284"/>
      <c r="I2015" s="284"/>
      <c r="J2015" s="375"/>
      <c r="K2015" s="375"/>
      <c r="L2015" s="375"/>
      <c r="M2015" s="368"/>
      <c r="N2015" s="368"/>
      <c r="O2015" s="370"/>
      <c r="T2015" s="340"/>
      <c r="V2015" s="378"/>
      <c r="W2015" s="64" ph="1"/>
      <c r="X2015" s="241"/>
      <c r="Y2015" s="284"/>
      <c r="Z2015" s="207"/>
      <c r="AA2015" s="284"/>
      <c r="AB2015" s="284"/>
      <c r="AC2015" s="284"/>
      <c r="AD2015" s="284"/>
      <c r="AE2015" s="284"/>
      <c r="AF2015" s="284"/>
      <c r="AG2015" s="284"/>
    </row>
    <row r="2016" spans="1:33" ht="26.4">
      <c r="A2016" s="284"/>
      <c r="B2016" s="284"/>
      <c r="C2016" s="284"/>
      <c r="D2016" s="284"/>
      <c r="E2016" s="284"/>
      <c r="F2016" s="284"/>
      <c r="G2016" s="284"/>
      <c r="H2016" s="284"/>
      <c r="I2016" s="284"/>
      <c r="J2016" s="375"/>
      <c r="K2016" s="375"/>
      <c r="L2016" s="375"/>
      <c r="M2016" s="368"/>
      <c r="N2016" s="368"/>
      <c r="O2016" s="370"/>
      <c r="T2016" s="340"/>
      <c r="V2016" s="378"/>
      <c r="W2016" s="64" ph="1"/>
      <c r="X2016" s="241"/>
      <c r="Y2016" s="284"/>
      <c r="Z2016" s="207"/>
      <c r="AA2016" s="284"/>
      <c r="AB2016" s="284"/>
      <c r="AC2016" s="284"/>
      <c r="AD2016" s="284"/>
      <c r="AE2016" s="284"/>
      <c r="AF2016" s="284"/>
      <c r="AG2016" s="284"/>
    </row>
    <row r="2017" spans="1:33" ht="26.4">
      <c r="A2017" s="284"/>
      <c r="B2017" s="284"/>
      <c r="C2017" s="284"/>
      <c r="D2017" s="284"/>
      <c r="E2017" s="284"/>
      <c r="F2017" s="284"/>
      <c r="G2017" s="284"/>
      <c r="H2017" s="284"/>
      <c r="I2017" s="284"/>
      <c r="J2017" s="375"/>
      <c r="K2017" s="375"/>
      <c r="L2017" s="375"/>
      <c r="M2017" s="368"/>
      <c r="N2017" s="368"/>
      <c r="O2017" s="370"/>
      <c r="T2017" s="340"/>
      <c r="V2017" s="378"/>
      <c r="W2017" s="64" ph="1"/>
      <c r="X2017" s="241"/>
      <c r="Y2017" s="284"/>
      <c r="Z2017" s="207"/>
      <c r="AA2017" s="284"/>
      <c r="AB2017" s="284"/>
      <c r="AC2017" s="284"/>
      <c r="AD2017" s="284"/>
      <c r="AE2017" s="284"/>
      <c r="AF2017" s="284"/>
      <c r="AG2017" s="284"/>
    </row>
    <row r="2018" spans="1:33" ht="26.4">
      <c r="A2018" s="284"/>
      <c r="B2018" s="284"/>
      <c r="C2018" s="284"/>
      <c r="D2018" s="284"/>
      <c r="E2018" s="284"/>
      <c r="F2018" s="284"/>
      <c r="G2018" s="284"/>
      <c r="H2018" s="284"/>
      <c r="I2018" s="284"/>
      <c r="J2018" s="375"/>
      <c r="K2018" s="375"/>
      <c r="L2018" s="375"/>
      <c r="M2018" s="368"/>
      <c r="N2018" s="368"/>
      <c r="O2018" s="370"/>
      <c r="T2018" s="340"/>
      <c r="V2018" s="378"/>
      <c r="W2018" s="64" ph="1"/>
      <c r="X2018" s="241"/>
      <c r="Y2018" s="284"/>
      <c r="Z2018" s="207"/>
      <c r="AA2018" s="284"/>
      <c r="AB2018" s="284"/>
      <c r="AC2018" s="284"/>
      <c r="AD2018" s="284"/>
      <c r="AE2018" s="284"/>
      <c r="AF2018" s="284"/>
      <c r="AG2018" s="284"/>
    </row>
    <row r="2019" spans="1:33" ht="26.4">
      <c r="A2019" s="284"/>
      <c r="B2019" s="284"/>
      <c r="C2019" s="284"/>
      <c r="D2019" s="284"/>
      <c r="E2019" s="284"/>
      <c r="F2019" s="284"/>
      <c r="G2019" s="284"/>
      <c r="H2019" s="284"/>
      <c r="I2019" s="284"/>
      <c r="J2019" s="375"/>
      <c r="K2019" s="375"/>
      <c r="L2019" s="375"/>
      <c r="M2019" s="368"/>
      <c r="N2019" s="368"/>
      <c r="O2019" s="370"/>
      <c r="T2019" s="340"/>
      <c r="V2019" s="378"/>
      <c r="W2019" s="64" ph="1"/>
      <c r="X2019" s="241"/>
      <c r="Y2019" s="284"/>
      <c r="Z2019" s="207"/>
      <c r="AA2019" s="284"/>
      <c r="AB2019" s="284"/>
      <c r="AC2019" s="284"/>
      <c r="AD2019" s="284"/>
      <c r="AE2019" s="284"/>
      <c r="AF2019" s="284"/>
      <c r="AG2019" s="284"/>
    </row>
    <row r="2020" spans="1:33" ht="26.4">
      <c r="A2020" s="284"/>
      <c r="B2020" s="284"/>
      <c r="C2020" s="284"/>
      <c r="D2020" s="284"/>
      <c r="E2020" s="284"/>
      <c r="F2020" s="284"/>
      <c r="G2020" s="284"/>
      <c r="H2020" s="284"/>
      <c r="I2020" s="284"/>
      <c r="J2020" s="375"/>
      <c r="K2020" s="375"/>
      <c r="L2020" s="375"/>
      <c r="M2020" s="368"/>
      <c r="N2020" s="368"/>
      <c r="O2020" s="370"/>
      <c r="T2020" s="340"/>
      <c r="V2020" s="378"/>
      <c r="W2020" s="64" ph="1"/>
      <c r="X2020" s="241"/>
      <c r="Y2020" s="284"/>
      <c r="Z2020" s="207"/>
      <c r="AA2020" s="284"/>
      <c r="AB2020" s="284"/>
      <c r="AC2020" s="284"/>
      <c r="AD2020" s="284"/>
      <c r="AE2020" s="284"/>
      <c r="AF2020" s="284"/>
      <c r="AG2020" s="284"/>
    </row>
    <row r="2021" spans="1:33" ht="26.4">
      <c r="A2021" s="284"/>
      <c r="B2021" s="284"/>
      <c r="C2021" s="284"/>
      <c r="D2021" s="284"/>
      <c r="E2021" s="284"/>
      <c r="F2021" s="284"/>
      <c r="G2021" s="284"/>
      <c r="H2021" s="284"/>
      <c r="I2021" s="284"/>
      <c r="J2021" s="375"/>
      <c r="K2021" s="375"/>
      <c r="L2021" s="375"/>
      <c r="M2021" s="368"/>
      <c r="N2021" s="368"/>
      <c r="O2021" s="370"/>
      <c r="T2021" s="340"/>
      <c r="V2021" s="378"/>
      <c r="W2021" s="64" ph="1"/>
      <c r="X2021" s="241"/>
      <c r="Y2021" s="284"/>
      <c r="Z2021" s="207"/>
      <c r="AA2021" s="284"/>
      <c r="AB2021" s="284"/>
      <c r="AC2021" s="284"/>
      <c r="AD2021" s="284"/>
      <c r="AE2021" s="284"/>
      <c r="AF2021" s="284"/>
      <c r="AG2021" s="284"/>
    </row>
    <row r="2022" spans="1:33" ht="26.4">
      <c r="A2022" s="284"/>
      <c r="B2022" s="284"/>
      <c r="C2022" s="284"/>
      <c r="D2022" s="284"/>
      <c r="E2022" s="284"/>
      <c r="F2022" s="284"/>
      <c r="G2022" s="284"/>
      <c r="H2022" s="284"/>
      <c r="I2022" s="284"/>
      <c r="J2022" s="375"/>
      <c r="K2022" s="375"/>
      <c r="L2022" s="375"/>
      <c r="M2022" s="368"/>
      <c r="N2022" s="368"/>
      <c r="O2022" s="370"/>
      <c r="T2022" s="340"/>
      <c r="V2022" s="378"/>
      <c r="W2022" s="64" ph="1"/>
      <c r="X2022" s="241"/>
      <c r="Y2022" s="284"/>
      <c r="Z2022" s="207"/>
      <c r="AA2022" s="284"/>
      <c r="AB2022" s="284"/>
      <c r="AC2022" s="284"/>
      <c r="AD2022" s="284"/>
      <c r="AE2022" s="284"/>
      <c r="AF2022" s="284"/>
      <c r="AG2022" s="284"/>
    </row>
    <row r="2023" spans="1:33" ht="26.4">
      <c r="A2023" s="284"/>
      <c r="B2023" s="284"/>
      <c r="C2023" s="284"/>
      <c r="D2023" s="284"/>
      <c r="E2023" s="284"/>
      <c r="F2023" s="284"/>
      <c r="G2023" s="284"/>
      <c r="H2023" s="284"/>
      <c r="I2023" s="284"/>
      <c r="J2023" s="375"/>
      <c r="K2023" s="375"/>
      <c r="L2023" s="375"/>
      <c r="M2023" s="368"/>
      <c r="N2023" s="368"/>
      <c r="O2023" s="370"/>
      <c r="T2023" s="340"/>
      <c r="V2023" s="378"/>
      <c r="W2023" s="64" ph="1"/>
      <c r="X2023" s="241"/>
      <c r="Y2023" s="284"/>
      <c r="Z2023" s="207"/>
      <c r="AA2023" s="284"/>
      <c r="AB2023" s="284"/>
      <c r="AC2023" s="284"/>
      <c r="AD2023" s="284"/>
      <c r="AE2023" s="284"/>
      <c r="AF2023" s="284"/>
      <c r="AG2023" s="284"/>
    </row>
    <row r="2024" spans="1:33" ht="26.4">
      <c r="A2024" s="284"/>
      <c r="B2024" s="284"/>
      <c r="C2024" s="284"/>
      <c r="D2024" s="284"/>
      <c r="E2024" s="284"/>
      <c r="F2024" s="284"/>
      <c r="G2024" s="284"/>
      <c r="H2024" s="284"/>
      <c r="I2024" s="284"/>
      <c r="J2024" s="375"/>
      <c r="K2024" s="375"/>
      <c r="L2024" s="375"/>
      <c r="M2024" s="368"/>
      <c r="N2024" s="368"/>
      <c r="O2024" s="370"/>
      <c r="T2024" s="340"/>
      <c r="V2024" s="378"/>
      <c r="W2024" s="64" ph="1"/>
      <c r="X2024" s="241"/>
      <c r="Y2024" s="284"/>
      <c r="Z2024" s="207"/>
      <c r="AA2024" s="284"/>
      <c r="AB2024" s="284"/>
      <c r="AC2024" s="284"/>
      <c r="AD2024" s="284"/>
      <c r="AE2024" s="284"/>
      <c r="AF2024" s="284"/>
      <c r="AG2024" s="284"/>
    </row>
    <row r="2025" spans="1:33" ht="26.4">
      <c r="A2025" s="284"/>
      <c r="B2025" s="284"/>
      <c r="C2025" s="284"/>
      <c r="D2025" s="284"/>
      <c r="E2025" s="284"/>
      <c r="F2025" s="284"/>
      <c r="G2025" s="284"/>
      <c r="H2025" s="284"/>
      <c r="I2025" s="284"/>
      <c r="J2025" s="375"/>
      <c r="K2025" s="375"/>
      <c r="L2025" s="375"/>
      <c r="M2025" s="368"/>
      <c r="N2025" s="368"/>
      <c r="O2025" s="370"/>
      <c r="T2025" s="340"/>
      <c r="V2025" s="378"/>
      <c r="W2025" s="64" ph="1"/>
      <c r="X2025" s="241"/>
      <c r="Y2025" s="284"/>
      <c r="Z2025" s="207"/>
      <c r="AA2025" s="284"/>
      <c r="AB2025" s="284"/>
      <c r="AC2025" s="284"/>
      <c r="AD2025" s="284"/>
      <c r="AE2025" s="284"/>
      <c r="AF2025" s="284"/>
      <c r="AG2025" s="284"/>
    </row>
    <row r="2026" spans="1:33" ht="26.4">
      <c r="A2026" s="284"/>
      <c r="B2026" s="284"/>
      <c r="C2026" s="284"/>
      <c r="D2026" s="284"/>
      <c r="E2026" s="284"/>
      <c r="F2026" s="284"/>
      <c r="G2026" s="284"/>
      <c r="H2026" s="284"/>
      <c r="I2026" s="284"/>
      <c r="J2026" s="375"/>
      <c r="K2026" s="375"/>
      <c r="L2026" s="375"/>
      <c r="M2026" s="368"/>
      <c r="N2026" s="368"/>
      <c r="O2026" s="370"/>
      <c r="T2026" s="340"/>
      <c r="V2026" s="378"/>
      <c r="W2026" s="64" ph="1"/>
      <c r="X2026" s="241"/>
      <c r="Y2026" s="284"/>
      <c r="Z2026" s="207"/>
      <c r="AA2026" s="284"/>
      <c r="AB2026" s="284"/>
      <c r="AC2026" s="284"/>
      <c r="AD2026" s="284"/>
      <c r="AE2026" s="284"/>
      <c r="AF2026" s="284"/>
      <c r="AG2026" s="284"/>
    </row>
    <row r="2027" spans="1:33" ht="26.4">
      <c r="A2027" s="284"/>
      <c r="B2027" s="284"/>
      <c r="C2027" s="284"/>
      <c r="D2027" s="284"/>
      <c r="E2027" s="284"/>
      <c r="F2027" s="284"/>
      <c r="G2027" s="284"/>
      <c r="H2027" s="284"/>
      <c r="I2027" s="284"/>
      <c r="J2027" s="375"/>
      <c r="K2027" s="375"/>
      <c r="L2027" s="375"/>
      <c r="M2027" s="368"/>
      <c r="N2027" s="368"/>
      <c r="O2027" s="370"/>
      <c r="T2027" s="340"/>
      <c r="V2027" s="378"/>
      <c r="W2027" s="64" ph="1"/>
      <c r="X2027" s="241"/>
      <c r="Y2027" s="284"/>
      <c r="Z2027" s="207"/>
      <c r="AA2027" s="284"/>
      <c r="AB2027" s="284"/>
      <c r="AC2027" s="284"/>
      <c r="AD2027" s="284"/>
      <c r="AE2027" s="284"/>
      <c r="AF2027" s="284"/>
      <c r="AG2027" s="284"/>
    </row>
    <row r="2028" spans="1:33" ht="26.4">
      <c r="A2028" s="284"/>
      <c r="B2028" s="284"/>
      <c r="C2028" s="284"/>
      <c r="D2028" s="284"/>
      <c r="E2028" s="284"/>
      <c r="F2028" s="284"/>
      <c r="G2028" s="284"/>
      <c r="H2028" s="284"/>
      <c r="I2028" s="284"/>
      <c r="J2028" s="375"/>
      <c r="K2028" s="375"/>
      <c r="L2028" s="375"/>
      <c r="M2028" s="368"/>
      <c r="N2028" s="368"/>
      <c r="O2028" s="370"/>
      <c r="T2028" s="340"/>
      <c r="V2028" s="378"/>
      <c r="W2028" s="64" ph="1"/>
      <c r="X2028" s="241"/>
      <c r="Y2028" s="284"/>
      <c r="Z2028" s="207"/>
      <c r="AA2028" s="284"/>
      <c r="AB2028" s="284"/>
      <c r="AC2028" s="284"/>
      <c r="AD2028" s="284"/>
      <c r="AE2028" s="284"/>
      <c r="AF2028" s="284"/>
      <c r="AG2028" s="284"/>
    </row>
    <row r="2029" spans="1:33" ht="26.4">
      <c r="A2029" s="284"/>
      <c r="B2029" s="284"/>
      <c r="C2029" s="284"/>
      <c r="D2029" s="284"/>
      <c r="E2029" s="284"/>
      <c r="F2029" s="284"/>
      <c r="G2029" s="284"/>
      <c r="H2029" s="284"/>
      <c r="I2029" s="284"/>
      <c r="J2029" s="375"/>
      <c r="K2029" s="375"/>
      <c r="L2029" s="375"/>
      <c r="M2029" s="368"/>
      <c r="N2029" s="368"/>
      <c r="O2029" s="370"/>
      <c r="T2029" s="340"/>
      <c r="V2029" s="378"/>
      <c r="W2029" s="64" ph="1"/>
      <c r="X2029" s="241"/>
      <c r="Y2029" s="284"/>
      <c r="Z2029" s="207"/>
      <c r="AA2029" s="284"/>
      <c r="AB2029" s="284"/>
      <c r="AC2029" s="284"/>
      <c r="AD2029" s="284"/>
      <c r="AE2029" s="284"/>
      <c r="AF2029" s="284"/>
      <c r="AG2029" s="284"/>
    </row>
    <row r="2030" spans="1:33" ht="26.4">
      <c r="A2030" s="284"/>
      <c r="B2030" s="284"/>
      <c r="C2030" s="284"/>
      <c r="D2030" s="284"/>
      <c r="E2030" s="284"/>
      <c r="F2030" s="284"/>
      <c r="G2030" s="284"/>
      <c r="H2030" s="284"/>
      <c r="I2030" s="284"/>
      <c r="J2030" s="375"/>
      <c r="K2030" s="375"/>
      <c r="L2030" s="375"/>
      <c r="M2030" s="368"/>
      <c r="N2030" s="368"/>
      <c r="O2030" s="370"/>
      <c r="T2030" s="340"/>
      <c r="V2030" s="378"/>
      <c r="W2030" s="64" ph="1"/>
      <c r="X2030" s="241"/>
      <c r="Y2030" s="284"/>
      <c r="Z2030" s="207"/>
      <c r="AA2030" s="284"/>
      <c r="AB2030" s="284"/>
      <c r="AC2030" s="284"/>
      <c r="AD2030" s="284"/>
      <c r="AE2030" s="284"/>
      <c r="AF2030" s="284"/>
      <c r="AG2030" s="284"/>
    </row>
    <row r="2031" spans="1:33" ht="26.4">
      <c r="A2031" s="284"/>
      <c r="B2031" s="284"/>
      <c r="C2031" s="284"/>
      <c r="D2031" s="284"/>
      <c r="E2031" s="284"/>
      <c r="F2031" s="284"/>
      <c r="G2031" s="284"/>
      <c r="H2031" s="284"/>
      <c r="I2031" s="284"/>
      <c r="J2031" s="375"/>
      <c r="K2031" s="375"/>
      <c r="L2031" s="375"/>
      <c r="M2031" s="368"/>
      <c r="N2031" s="368"/>
      <c r="O2031" s="370"/>
      <c r="T2031" s="340"/>
      <c r="V2031" s="378"/>
      <c r="W2031" s="64" ph="1"/>
      <c r="X2031" s="241"/>
      <c r="Y2031" s="284"/>
      <c r="Z2031" s="207"/>
      <c r="AA2031" s="284"/>
      <c r="AB2031" s="284"/>
      <c r="AC2031" s="284"/>
      <c r="AD2031" s="284"/>
      <c r="AE2031" s="284"/>
      <c r="AF2031" s="284"/>
      <c r="AG2031" s="284"/>
    </row>
    <row r="2032" spans="1:33" ht="26.4">
      <c r="A2032" s="284"/>
      <c r="B2032" s="284"/>
      <c r="C2032" s="284"/>
      <c r="D2032" s="284"/>
      <c r="E2032" s="284"/>
      <c r="F2032" s="284"/>
      <c r="G2032" s="284"/>
      <c r="H2032" s="284"/>
      <c r="I2032" s="284"/>
      <c r="J2032" s="375"/>
      <c r="K2032" s="375"/>
      <c r="L2032" s="375"/>
      <c r="M2032" s="368"/>
      <c r="N2032" s="368"/>
      <c r="O2032" s="370"/>
      <c r="T2032" s="340"/>
      <c r="V2032" s="378"/>
      <c r="W2032" s="64" ph="1"/>
      <c r="X2032" s="241"/>
      <c r="Y2032" s="284"/>
      <c r="Z2032" s="207"/>
      <c r="AA2032" s="284"/>
      <c r="AB2032" s="284"/>
      <c r="AC2032" s="284"/>
      <c r="AD2032" s="284"/>
      <c r="AE2032" s="284"/>
      <c r="AF2032" s="284"/>
      <c r="AG2032" s="284"/>
    </row>
    <row r="2033" spans="1:33" ht="26.4">
      <c r="A2033" s="284"/>
      <c r="B2033" s="284"/>
      <c r="C2033" s="284"/>
      <c r="D2033" s="284"/>
      <c r="E2033" s="284"/>
      <c r="F2033" s="284"/>
      <c r="G2033" s="284"/>
      <c r="H2033" s="284"/>
      <c r="I2033" s="284"/>
      <c r="J2033" s="375"/>
      <c r="K2033" s="375"/>
      <c r="L2033" s="375"/>
      <c r="M2033" s="368"/>
      <c r="N2033" s="368"/>
      <c r="O2033" s="370"/>
      <c r="T2033" s="340"/>
      <c r="V2033" s="378"/>
      <c r="W2033" s="64" ph="1"/>
      <c r="X2033" s="241"/>
      <c r="Y2033" s="284"/>
      <c r="Z2033" s="207"/>
      <c r="AA2033" s="284"/>
      <c r="AB2033" s="284"/>
      <c r="AC2033" s="284"/>
      <c r="AD2033" s="284"/>
      <c r="AE2033" s="284"/>
      <c r="AF2033" s="284"/>
      <c r="AG2033" s="284"/>
    </row>
    <row r="2034" spans="1:33" ht="26.4">
      <c r="A2034" s="284"/>
      <c r="B2034" s="284"/>
      <c r="C2034" s="284"/>
      <c r="D2034" s="284"/>
      <c r="E2034" s="284"/>
      <c r="F2034" s="284"/>
      <c r="G2034" s="284"/>
      <c r="H2034" s="284"/>
      <c r="I2034" s="284"/>
      <c r="J2034" s="375"/>
      <c r="K2034" s="375"/>
      <c r="L2034" s="375"/>
      <c r="M2034" s="368"/>
      <c r="N2034" s="368"/>
      <c r="O2034" s="370"/>
      <c r="T2034" s="340"/>
      <c r="V2034" s="378"/>
      <c r="W2034" s="64" ph="1"/>
      <c r="X2034" s="241"/>
      <c r="Y2034" s="284"/>
      <c r="Z2034" s="207"/>
      <c r="AA2034" s="284"/>
      <c r="AB2034" s="284"/>
      <c r="AC2034" s="284"/>
      <c r="AD2034" s="284"/>
      <c r="AE2034" s="284"/>
      <c r="AF2034" s="284"/>
      <c r="AG2034" s="284"/>
    </row>
    <row r="2035" spans="1:33" ht="26.4">
      <c r="A2035" s="284"/>
      <c r="B2035" s="284"/>
      <c r="C2035" s="284"/>
      <c r="D2035" s="284"/>
      <c r="E2035" s="284"/>
      <c r="F2035" s="284"/>
      <c r="G2035" s="284"/>
      <c r="H2035" s="284"/>
      <c r="I2035" s="284"/>
      <c r="J2035" s="375"/>
      <c r="K2035" s="375"/>
      <c r="L2035" s="375"/>
      <c r="M2035" s="368"/>
      <c r="N2035" s="368"/>
      <c r="O2035" s="370"/>
      <c r="T2035" s="340"/>
      <c r="V2035" s="378"/>
      <c r="W2035" s="64" ph="1"/>
      <c r="X2035" s="241"/>
      <c r="Y2035" s="284"/>
      <c r="Z2035" s="207"/>
      <c r="AA2035" s="284"/>
      <c r="AB2035" s="284"/>
      <c r="AC2035" s="284"/>
      <c r="AD2035" s="284"/>
      <c r="AE2035" s="284"/>
      <c r="AF2035" s="284"/>
      <c r="AG2035" s="284"/>
    </row>
    <row r="2036" spans="1:33" ht="26.4">
      <c r="A2036" s="284"/>
      <c r="B2036" s="284"/>
      <c r="C2036" s="284"/>
      <c r="D2036" s="284"/>
      <c r="E2036" s="284"/>
      <c r="F2036" s="284"/>
      <c r="G2036" s="284"/>
      <c r="H2036" s="284"/>
      <c r="I2036" s="284"/>
      <c r="J2036" s="375"/>
      <c r="K2036" s="375"/>
      <c r="L2036" s="375"/>
      <c r="M2036" s="368"/>
      <c r="N2036" s="368"/>
      <c r="O2036" s="370"/>
      <c r="T2036" s="340"/>
      <c r="V2036" s="378"/>
      <c r="W2036" s="64" ph="1"/>
      <c r="X2036" s="241"/>
      <c r="Y2036" s="284"/>
      <c r="Z2036" s="207"/>
      <c r="AA2036" s="284"/>
      <c r="AB2036" s="284"/>
      <c r="AC2036" s="284"/>
      <c r="AD2036" s="284"/>
      <c r="AE2036" s="284"/>
      <c r="AF2036" s="284"/>
      <c r="AG2036" s="284"/>
    </row>
    <row r="2037" spans="1:33" ht="26.4">
      <c r="A2037" s="284"/>
      <c r="B2037" s="284"/>
      <c r="C2037" s="284"/>
      <c r="D2037" s="284"/>
      <c r="E2037" s="284"/>
      <c r="F2037" s="284"/>
      <c r="G2037" s="284"/>
      <c r="H2037" s="284"/>
      <c r="I2037" s="284"/>
      <c r="J2037" s="375"/>
      <c r="K2037" s="375"/>
      <c r="L2037" s="375"/>
      <c r="M2037" s="368"/>
      <c r="N2037" s="368"/>
      <c r="O2037" s="370"/>
      <c r="T2037" s="340"/>
      <c r="V2037" s="378"/>
      <c r="W2037" s="64" ph="1"/>
      <c r="X2037" s="241"/>
      <c r="Y2037" s="284"/>
      <c r="Z2037" s="207"/>
      <c r="AA2037" s="284"/>
      <c r="AB2037" s="284"/>
      <c r="AC2037" s="284"/>
      <c r="AD2037" s="284"/>
      <c r="AE2037" s="284"/>
      <c r="AF2037" s="284"/>
      <c r="AG2037" s="284"/>
    </row>
    <row r="2038" spans="1:33" ht="26.4">
      <c r="A2038" s="284"/>
      <c r="B2038" s="284"/>
      <c r="C2038" s="284"/>
      <c r="D2038" s="284"/>
      <c r="E2038" s="284"/>
      <c r="F2038" s="284"/>
      <c r="G2038" s="284"/>
      <c r="H2038" s="284"/>
      <c r="I2038" s="284"/>
      <c r="J2038" s="375"/>
      <c r="K2038" s="375"/>
      <c r="L2038" s="375"/>
      <c r="M2038" s="368"/>
      <c r="N2038" s="368"/>
      <c r="O2038" s="370"/>
      <c r="T2038" s="340"/>
      <c r="V2038" s="378"/>
      <c r="W2038" s="64" ph="1"/>
      <c r="X2038" s="241"/>
      <c r="Y2038" s="284"/>
      <c r="Z2038" s="207"/>
      <c r="AA2038" s="284"/>
      <c r="AB2038" s="284"/>
      <c r="AC2038" s="284"/>
      <c r="AD2038" s="284"/>
      <c r="AE2038" s="284"/>
      <c r="AF2038" s="284"/>
      <c r="AG2038" s="284"/>
    </row>
    <row r="2039" spans="1:33" ht="26.4">
      <c r="A2039" s="284"/>
      <c r="B2039" s="284"/>
      <c r="C2039" s="284"/>
      <c r="D2039" s="284"/>
      <c r="E2039" s="284"/>
      <c r="F2039" s="284"/>
      <c r="G2039" s="284"/>
      <c r="H2039" s="284"/>
      <c r="I2039" s="284"/>
      <c r="J2039" s="375"/>
      <c r="K2039" s="375"/>
      <c r="L2039" s="375"/>
      <c r="M2039" s="368"/>
      <c r="N2039" s="368"/>
      <c r="O2039" s="370"/>
      <c r="T2039" s="340"/>
      <c r="V2039" s="378"/>
      <c r="W2039" s="64" ph="1"/>
      <c r="X2039" s="241"/>
      <c r="Y2039" s="284"/>
      <c r="Z2039" s="207"/>
      <c r="AA2039" s="284"/>
      <c r="AB2039" s="284"/>
      <c r="AC2039" s="284"/>
      <c r="AD2039" s="284"/>
      <c r="AE2039" s="284"/>
      <c r="AF2039" s="284"/>
      <c r="AG2039" s="284"/>
    </row>
    <row r="2040" spans="1:33" ht="26.4">
      <c r="A2040" s="284"/>
      <c r="B2040" s="284"/>
      <c r="C2040" s="284"/>
      <c r="D2040" s="284"/>
      <c r="E2040" s="284"/>
      <c r="F2040" s="284"/>
      <c r="G2040" s="284"/>
      <c r="H2040" s="284"/>
      <c r="I2040" s="284"/>
      <c r="J2040" s="375"/>
      <c r="K2040" s="375"/>
      <c r="L2040" s="375"/>
      <c r="M2040" s="368"/>
      <c r="N2040" s="368"/>
      <c r="O2040" s="370"/>
      <c r="T2040" s="340"/>
      <c r="V2040" s="378"/>
      <c r="W2040" s="64" ph="1"/>
      <c r="X2040" s="241"/>
      <c r="Y2040" s="284"/>
      <c r="Z2040" s="207"/>
      <c r="AA2040" s="284"/>
      <c r="AB2040" s="284"/>
      <c r="AC2040" s="284"/>
      <c r="AD2040" s="284"/>
      <c r="AE2040" s="284"/>
      <c r="AF2040" s="284"/>
      <c r="AG2040" s="284"/>
    </row>
    <row r="2041" spans="1:33" ht="26.4">
      <c r="A2041" s="284"/>
      <c r="B2041" s="284"/>
      <c r="C2041" s="284"/>
      <c r="D2041" s="284"/>
      <c r="E2041" s="284"/>
      <c r="F2041" s="284"/>
      <c r="G2041" s="284"/>
      <c r="H2041" s="284"/>
      <c r="I2041" s="284"/>
      <c r="J2041" s="375"/>
      <c r="K2041" s="375"/>
      <c r="L2041" s="375"/>
      <c r="M2041" s="368"/>
      <c r="N2041" s="368"/>
      <c r="O2041" s="370"/>
      <c r="T2041" s="340"/>
      <c r="V2041" s="378"/>
      <c r="W2041" s="64" ph="1"/>
      <c r="X2041" s="241"/>
      <c r="Y2041" s="284"/>
      <c r="Z2041" s="207"/>
      <c r="AA2041" s="284"/>
      <c r="AB2041" s="284"/>
      <c r="AC2041" s="284"/>
      <c r="AD2041" s="284"/>
      <c r="AE2041" s="284"/>
      <c r="AF2041" s="284"/>
      <c r="AG2041" s="284"/>
    </row>
    <row r="2042" spans="1:33" ht="26.4">
      <c r="A2042" s="284"/>
      <c r="B2042" s="284"/>
      <c r="C2042" s="284"/>
      <c r="D2042" s="284"/>
      <c r="E2042" s="284"/>
      <c r="F2042" s="284"/>
      <c r="G2042" s="284"/>
      <c r="H2042" s="284"/>
      <c r="I2042" s="284"/>
      <c r="J2042" s="375"/>
      <c r="K2042" s="375"/>
      <c r="L2042" s="375"/>
      <c r="M2042" s="368"/>
      <c r="N2042" s="368"/>
      <c r="O2042" s="370"/>
      <c r="T2042" s="340"/>
      <c r="V2042" s="378"/>
      <c r="W2042" s="64" ph="1"/>
      <c r="X2042" s="241"/>
      <c r="Y2042" s="284"/>
      <c r="Z2042" s="207"/>
      <c r="AA2042" s="284"/>
      <c r="AB2042" s="284"/>
      <c r="AC2042" s="284"/>
      <c r="AD2042" s="284"/>
      <c r="AE2042" s="284"/>
      <c r="AF2042" s="284"/>
      <c r="AG2042" s="284"/>
    </row>
    <row r="2043" spans="1:33" ht="26.4">
      <c r="A2043" s="284"/>
      <c r="B2043" s="284"/>
      <c r="C2043" s="284"/>
      <c r="D2043" s="284"/>
      <c r="E2043" s="284"/>
      <c r="F2043" s="284"/>
      <c r="G2043" s="284"/>
      <c r="H2043" s="284"/>
      <c r="I2043" s="284"/>
      <c r="J2043" s="375"/>
      <c r="K2043" s="375"/>
      <c r="L2043" s="375"/>
      <c r="M2043" s="368"/>
      <c r="N2043" s="368"/>
      <c r="O2043" s="370"/>
      <c r="T2043" s="340"/>
      <c r="V2043" s="378"/>
      <c r="W2043" s="64" ph="1"/>
      <c r="X2043" s="241"/>
      <c r="Y2043" s="284"/>
      <c r="Z2043" s="207"/>
      <c r="AA2043" s="284"/>
      <c r="AB2043" s="284"/>
      <c r="AC2043" s="284"/>
      <c r="AD2043" s="284"/>
      <c r="AE2043" s="284"/>
      <c r="AF2043" s="284"/>
      <c r="AG2043" s="284"/>
    </row>
    <row r="2044" spans="1:33" ht="26.4">
      <c r="A2044" s="284"/>
      <c r="B2044" s="284"/>
      <c r="C2044" s="284"/>
      <c r="D2044" s="284"/>
      <c r="E2044" s="284"/>
      <c r="F2044" s="284"/>
      <c r="G2044" s="284"/>
      <c r="H2044" s="284"/>
      <c r="I2044" s="284"/>
      <c r="J2044" s="375"/>
      <c r="K2044" s="375"/>
      <c r="L2044" s="375"/>
      <c r="M2044" s="368"/>
      <c r="N2044" s="368"/>
      <c r="O2044" s="370"/>
      <c r="T2044" s="340"/>
      <c r="V2044" s="378"/>
      <c r="W2044" s="64" ph="1"/>
      <c r="X2044" s="241"/>
      <c r="Y2044" s="284"/>
      <c r="Z2044" s="207"/>
      <c r="AA2044" s="284"/>
      <c r="AB2044" s="284"/>
      <c r="AC2044" s="284"/>
      <c r="AD2044" s="284"/>
      <c r="AE2044" s="284"/>
      <c r="AF2044" s="284"/>
      <c r="AG2044" s="284"/>
    </row>
    <row r="2045" spans="1:33" ht="26.4">
      <c r="A2045" s="284"/>
      <c r="B2045" s="284"/>
      <c r="C2045" s="284"/>
      <c r="D2045" s="284"/>
      <c r="E2045" s="284"/>
      <c r="F2045" s="284"/>
      <c r="G2045" s="284"/>
      <c r="H2045" s="284"/>
      <c r="I2045" s="284"/>
      <c r="J2045" s="375"/>
      <c r="K2045" s="375"/>
      <c r="L2045" s="375"/>
      <c r="M2045" s="368"/>
      <c r="N2045" s="368"/>
      <c r="O2045" s="370"/>
      <c r="T2045" s="340"/>
      <c r="V2045" s="378"/>
      <c r="W2045" s="64" ph="1"/>
      <c r="X2045" s="241"/>
      <c r="Y2045" s="284"/>
      <c r="Z2045" s="207"/>
      <c r="AA2045" s="284"/>
      <c r="AB2045" s="284"/>
      <c r="AC2045" s="284"/>
      <c r="AD2045" s="284"/>
      <c r="AE2045" s="284"/>
      <c r="AF2045" s="284"/>
      <c r="AG2045" s="284"/>
    </row>
    <row r="2046" spans="1:33" ht="26.4">
      <c r="A2046" s="284"/>
      <c r="B2046" s="284"/>
      <c r="C2046" s="284"/>
      <c r="D2046" s="284"/>
      <c r="E2046" s="284"/>
      <c r="F2046" s="284"/>
      <c r="G2046" s="284"/>
      <c r="H2046" s="284"/>
      <c r="I2046" s="284"/>
      <c r="J2046" s="375"/>
      <c r="K2046" s="375"/>
      <c r="L2046" s="375"/>
      <c r="M2046" s="368"/>
      <c r="N2046" s="368"/>
      <c r="O2046" s="370"/>
      <c r="T2046" s="340"/>
      <c r="V2046" s="378"/>
      <c r="W2046" s="64" ph="1"/>
      <c r="X2046" s="241"/>
      <c r="Y2046" s="284"/>
      <c r="Z2046" s="207"/>
      <c r="AA2046" s="284"/>
      <c r="AB2046" s="284"/>
      <c r="AC2046" s="284"/>
      <c r="AD2046" s="284"/>
      <c r="AE2046" s="284"/>
      <c r="AF2046" s="284"/>
      <c r="AG2046" s="284"/>
    </row>
    <row r="2047" spans="1:33" ht="26.4">
      <c r="A2047" s="284"/>
      <c r="B2047" s="284"/>
      <c r="C2047" s="284"/>
      <c r="D2047" s="284"/>
      <c r="E2047" s="284"/>
      <c r="F2047" s="284"/>
      <c r="G2047" s="284"/>
      <c r="H2047" s="284"/>
      <c r="I2047" s="284"/>
      <c r="J2047" s="375"/>
      <c r="K2047" s="375"/>
      <c r="L2047" s="375"/>
      <c r="M2047" s="368"/>
      <c r="N2047" s="368"/>
      <c r="O2047" s="370"/>
      <c r="T2047" s="340"/>
      <c r="V2047" s="378"/>
      <c r="W2047" s="64" ph="1"/>
      <c r="X2047" s="241"/>
      <c r="Y2047" s="284"/>
      <c r="Z2047" s="207"/>
      <c r="AA2047" s="284"/>
      <c r="AB2047" s="284"/>
      <c r="AC2047" s="284"/>
      <c r="AD2047" s="284"/>
      <c r="AE2047" s="284"/>
      <c r="AF2047" s="284"/>
      <c r="AG2047" s="284"/>
    </row>
    <row r="2048" spans="1:33" ht="26.4">
      <c r="A2048" s="284"/>
      <c r="B2048" s="284"/>
      <c r="C2048" s="284"/>
      <c r="D2048" s="284"/>
      <c r="E2048" s="284"/>
      <c r="F2048" s="284"/>
      <c r="G2048" s="284"/>
      <c r="H2048" s="284"/>
      <c r="I2048" s="284"/>
      <c r="J2048" s="375"/>
      <c r="K2048" s="375"/>
      <c r="L2048" s="375"/>
      <c r="M2048" s="368"/>
      <c r="N2048" s="368"/>
      <c r="O2048" s="370"/>
      <c r="T2048" s="340"/>
      <c r="V2048" s="378"/>
      <c r="W2048" s="64" ph="1"/>
      <c r="X2048" s="241"/>
      <c r="Y2048" s="284"/>
      <c r="Z2048" s="207"/>
      <c r="AA2048" s="284"/>
      <c r="AB2048" s="284"/>
      <c r="AC2048" s="284"/>
      <c r="AD2048" s="284"/>
      <c r="AE2048" s="284"/>
      <c r="AF2048" s="284"/>
      <c r="AG2048" s="284"/>
    </row>
    <row r="2049" spans="1:33" ht="26.4">
      <c r="A2049" s="284"/>
      <c r="B2049" s="284"/>
      <c r="C2049" s="284"/>
      <c r="D2049" s="284"/>
      <c r="E2049" s="284"/>
      <c r="F2049" s="284"/>
      <c r="G2049" s="284"/>
      <c r="H2049" s="284"/>
      <c r="I2049" s="284"/>
      <c r="J2049" s="375"/>
      <c r="K2049" s="375"/>
      <c r="L2049" s="375"/>
      <c r="M2049" s="368"/>
      <c r="N2049" s="368"/>
      <c r="O2049" s="370"/>
      <c r="T2049" s="340"/>
      <c r="V2049" s="378"/>
      <c r="W2049" s="64" ph="1"/>
      <c r="X2049" s="241"/>
      <c r="Y2049" s="284"/>
      <c r="Z2049" s="207"/>
      <c r="AA2049" s="284"/>
      <c r="AB2049" s="284"/>
      <c r="AC2049" s="284"/>
      <c r="AD2049" s="284"/>
      <c r="AE2049" s="284"/>
      <c r="AF2049" s="284"/>
      <c r="AG2049" s="284"/>
    </row>
    <row r="2050" spans="1:33" ht="26.4">
      <c r="A2050" s="284"/>
      <c r="B2050" s="284"/>
      <c r="C2050" s="284"/>
      <c r="D2050" s="284"/>
      <c r="E2050" s="284"/>
      <c r="F2050" s="284"/>
      <c r="G2050" s="284"/>
      <c r="H2050" s="284"/>
      <c r="I2050" s="284"/>
      <c r="J2050" s="375"/>
      <c r="K2050" s="375"/>
      <c r="L2050" s="375"/>
      <c r="M2050" s="368"/>
      <c r="N2050" s="368"/>
      <c r="O2050" s="370"/>
      <c r="T2050" s="340"/>
      <c r="V2050" s="378"/>
      <c r="W2050" s="64" ph="1"/>
      <c r="X2050" s="241"/>
      <c r="Y2050" s="284"/>
      <c r="Z2050" s="207"/>
      <c r="AA2050" s="284"/>
      <c r="AB2050" s="284"/>
      <c r="AC2050" s="284"/>
      <c r="AD2050" s="284"/>
      <c r="AE2050" s="284"/>
      <c r="AF2050" s="284"/>
      <c r="AG2050" s="284"/>
    </row>
    <row r="2051" spans="1:33" ht="26.4">
      <c r="A2051" s="284"/>
      <c r="B2051" s="284"/>
      <c r="C2051" s="284"/>
      <c r="D2051" s="284"/>
      <c r="E2051" s="284"/>
      <c r="F2051" s="284"/>
      <c r="G2051" s="284"/>
      <c r="H2051" s="284"/>
      <c r="I2051" s="284"/>
      <c r="J2051" s="375"/>
      <c r="K2051" s="375"/>
      <c r="L2051" s="375"/>
      <c r="M2051" s="368"/>
      <c r="N2051" s="368"/>
      <c r="O2051" s="370"/>
      <c r="T2051" s="340"/>
      <c r="V2051" s="378"/>
      <c r="W2051" s="64" ph="1"/>
      <c r="X2051" s="241"/>
      <c r="Y2051" s="284"/>
      <c r="Z2051" s="207"/>
      <c r="AA2051" s="284"/>
      <c r="AB2051" s="284"/>
      <c r="AC2051" s="284"/>
      <c r="AD2051" s="284"/>
      <c r="AE2051" s="284"/>
      <c r="AF2051" s="284"/>
      <c r="AG2051" s="284"/>
    </row>
    <row r="2052" spans="1:33" ht="26.4">
      <c r="A2052" s="284"/>
      <c r="B2052" s="284"/>
      <c r="C2052" s="284"/>
      <c r="D2052" s="284"/>
      <c r="E2052" s="284"/>
      <c r="F2052" s="284"/>
      <c r="G2052" s="284"/>
      <c r="H2052" s="284"/>
      <c r="I2052" s="284"/>
      <c r="J2052" s="375"/>
      <c r="K2052" s="375"/>
      <c r="L2052" s="375"/>
      <c r="M2052" s="368"/>
      <c r="N2052" s="368"/>
      <c r="O2052" s="370"/>
      <c r="T2052" s="340"/>
      <c r="V2052" s="378"/>
      <c r="W2052" s="64" ph="1"/>
      <c r="X2052" s="241"/>
      <c r="Y2052" s="284"/>
      <c r="Z2052" s="207"/>
      <c r="AA2052" s="284"/>
      <c r="AB2052" s="284"/>
      <c r="AC2052" s="284"/>
      <c r="AD2052" s="284"/>
      <c r="AE2052" s="284"/>
      <c r="AF2052" s="284"/>
      <c r="AG2052" s="284"/>
    </row>
    <row r="2053" spans="1:33" ht="26.4">
      <c r="A2053" s="284"/>
      <c r="B2053" s="284"/>
      <c r="C2053" s="284"/>
      <c r="D2053" s="284"/>
      <c r="E2053" s="284"/>
      <c r="F2053" s="284"/>
      <c r="G2053" s="284"/>
      <c r="H2053" s="284"/>
      <c r="I2053" s="284"/>
      <c r="J2053" s="375"/>
      <c r="K2053" s="375"/>
      <c r="L2053" s="375"/>
      <c r="M2053" s="368"/>
      <c r="N2053" s="368"/>
      <c r="O2053" s="370"/>
      <c r="T2053" s="340"/>
      <c r="V2053" s="378"/>
      <c r="W2053" s="64" ph="1"/>
      <c r="X2053" s="241"/>
      <c r="Y2053" s="284"/>
      <c r="Z2053" s="207"/>
      <c r="AA2053" s="284"/>
      <c r="AB2053" s="284"/>
      <c r="AC2053" s="284"/>
      <c r="AD2053" s="284"/>
      <c r="AE2053" s="284"/>
      <c r="AF2053" s="284"/>
      <c r="AG2053" s="284"/>
    </row>
    <row r="2054" spans="1:33" ht="26.4">
      <c r="A2054" s="284"/>
      <c r="B2054" s="284"/>
      <c r="C2054" s="284"/>
      <c r="D2054" s="284"/>
      <c r="E2054" s="284"/>
      <c r="F2054" s="284"/>
      <c r="G2054" s="284"/>
      <c r="H2054" s="284"/>
      <c r="I2054" s="284"/>
      <c r="J2054" s="375"/>
      <c r="K2054" s="375"/>
      <c r="L2054" s="375"/>
      <c r="M2054" s="368"/>
      <c r="N2054" s="368"/>
      <c r="O2054" s="370"/>
      <c r="T2054" s="340"/>
      <c r="V2054" s="378"/>
      <c r="W2054" s="64" ph="1"/>
      <c r="X2054" s="241"/>
      <c r="Y2054" s="284"/>
      <c r="Z2054" s="207"/>
      <c r="AA2054" s="284"/>
      <c r="AB2054" s="284"/>
      <c r="AC2054" s="284"/>
      <c r="AD2054" s="284"/>
      <c r="AE2054" s="284"/>
      <c r="AF2054" s="284"/>
      <c r="AG2054" s="284"/>
    </row>
    <row r="2055" spans="1:33" ht="26.4">
      <c r="A2055" s="284"/>
      <c r="B2055" s="284"/>
      <c r="C2055" s="284"/>
      <c r="D2055" s="284"/>
      <c r="E2055" s="284"/>
      <c r="F2055" s="284"/>
      <c r="G2055" s="284"/>
      <c r="H2055" s="284"/>
      <c r="I2055" s="284"/>
      <c r="J2055" s="375"/>
      <c r="K2055" s="375"/>
      <c r="L2055" s="375"/>
      <c r="M2055" s="368"/>
      <c r="N2055" s="368"/>
      <c r="O2055" s="370"/>
      <c r="T2055" s="340"/>
      <c r="V2055" s="378"/>
      <c r="W2055" s="64" ph="1"/>
      <c r="X2055" s="241"/>
      <c r="Y2055" s="284"/>
      <c r="Z2055" s="207"/>
      <c r="AA2055" s="284"/>
      <c r="AB2055" s="284"/>
      <c r="AC2055" s="284"/>
      <c r="AD2055" s="284"/>
      <c r="AE2055" s="284"/>
      <c r="AF2055" s="284"/>
      <c r="AG2055" s="284"/>
    </row>
    <row r="2056" spans="1:33" ht="26.4">
      <c r="A2056" s="284"/>
      <c r="B2056" s="284"/>
      <c r="C2056" s="284"/>
      <c r="D2056" s="284"/>
      <c r="E2056" s="284"/>
      <c r="F2056" s="284"/>
      <c r="G2056" s="284"/>
      <c r="H2056" s="284"/>
      <c r="I2056" s="284"/>
      <c r="J2056" s="375"/>
      <c r="K2056" s="375"/>
      <c r="L2056" s="375"/>
      <c r="M2056" s="368"/>
      <c r="N2056" s="368"/>
      <c r="O2056" s="370"/>
      <c r="T2056" s="340"/>
      <c r="V2056" s="378"/>
      <c r="W2056" s="64" ph="1"/>
      <c r="X2056" s="241"/>
      <c r="Y2056" s="284"/>
      <c r="Z2056" s="207"/>
      <c r="AA2056" s="284"/>
      <c r="AB2056" s="284"/>
      <c r="AC2056" s="284"/>
      <c r="AD2056" s="284"/>
      <c r="AE2056" s="284"/>
      <c r="AF2056" s="284"/>
      <c r="AG2056" s="284"/>
    </row>
    <row r="2057" spans="1:33" ht="26.4">
      <c r="A2057" s="284"/>
      <c r="B2057" s="284"/>
      <c r="C2057" s="284"/>
      <c r="D2057" s="284"/>
      <c r="E2057" s="284"/>
      <c r="F2057" s="284"/>
      <c r="G2057" s="284"/>
      <c r="H2057" s="284"/>
      <c r="I2057" s="284"/>
      <c r="J2057" s="375"/>
      <c r="K2057" s="375"/>
      <c r="L2057" s="375"/>
      <c r="M2057" s="368"/>
      <c r="N2057" s="368"/>
      <c r="O2057" s="370"/>
      <c r="T2057" s="340"/>
      <c r="V2057" s="378"/>
      <c r="W2057" s="64" ph="1"/>
      <c r="X2057" s="241"/>
      <c r="Y2057" s="284"/>
      <c r="Z2057" s="207"/>
      <c r="AA2057" s="284"/>
      <c r="AB2057" s="284"/>
      <c r="AC2057" s="284"/>
      <c r="AD2057" s="284"/>
      <c r="AE2057" s="284"/>
      <c r="AF2057" s="284"/>
      <c r="AG2057" s="284"/>
    </row>
    <row r="2058" spans="1:33" ht="26.4">
      <c r="A2058" s="284"/>
      <c r="B2058" s="284"/>
      <c r="C2058" s="284"/>
      <c r="D2058" s="284"/>
      <c r="E2058" s="284"/>
      <c r="F2058" s="284"/>
      <c r="G2058" s="284"/>
      <c r="H2058" s="284"/>
      <c r="I2058" s="284"/>
      <c r="J2058" s="375"/>
      <c r="K2058" s="375"/>
      <c r="L2058" s="375"/>
      <c r="M2058" s="368"/>
      <c r="N2058" s="368"/>
      <c r="O2058" s="370"/>
      <c r="T2058" s="340"/>
      <c r="V2058" s="378"/>
      <c r="W2058" s="64" ph="1"/>
      <c r="X2058" s="241"/>
      <c r="Y2058" s="284"/>
      <c r="Z2058" s="207"/>
      <c r="AA2058" s="284"/>
      <c r="AB2058" s="284"/>
      <c r="AC2058" s="284"/>
      <c r="AD2058" s="284"/>
      <c r="AE2058" s="284"/>
      <c r="AF2058" s="284"/>
      <c r="AG2058" s="284"/>
    </row>
    <row r="2059" spans="1:33" ht="26.4">
      <c r="A2059" s="284"/>
      <c r="B2059" s="284"/>
      <c r="C2059" s="284"/>
      <c r="D2059" s="284"/>
      <c r="E2059" s="284"/>
      <c r="F2059" s="284"/>
      <c r="G2059" s="284"/>
      <c r="H2059" s="284"/>
      <c r="I2059" s="284"/>
      <c r="J2059" s="375"/>
      <c r="K2059" s="375"/>
      <c r="L2059" s="375"/>
      <c r="M2059" s="368"/>
      <c r="N2059" s="368"/>
      <c r="O2059" s="370"/>
      <c r="T2059" s="340"/>
      <c r="V2059" s="378"/>
      <c r="W2059" s="64" ph="1"/>
      <c r="X2059" s="241"/>
      <c r="Y2059" s="284"/>
      <c r="Z2059" s="207"/>
      <c r="AA2059" s="284"/>
      <c r="AB2059" s="284"/>
      <c r="AC2059" s="284"/>
      <c r="AD2059" s="284"/>
      <c r="AE2059" s="284"/>
      <c r="AF2059" s="284"/>
      <c r="AG2059" s="284"/>
    </row>
    <row r="2060" spans="1:33" ht="26.4">
      <c r="A2060" s="284"/>
      <c r="B2060" s="284"/>
      <c r="C2060" s="284"/>
      <c r="D2060" s="284"/>
      <c r="E2060" s="284"/>
      <c r="F2060" s="284"/>
      <c r="G2060" s="284"/>
      <c r="H2060" s="284"/>
      <c r="I2060" s="284"/>
      <c r="J2060" s="375"/>
      <c r="K2060" s="375"/>
      <c r="L2060" s="375"/>
      <c r="M2060" s="368"/>
      <c r="N2060" s="368"/>
      <c r="O2060" s="370"/>
      <c r="T2060" s="340"/>
      <c r="V2060" s="378"/>
      <c r="W2060" s="64" ph="1"/>
      <c r="X2060" s="241"/>
      <c r="Y2060" s="284"/>
      <c r="Z2060" s="207"/>
      <c r="AA2060" s="284"/>
      <c r="AB2060" s="284"/>
      <c r="AC2060" s="284"/>
      <c r="AD2060" s="284"/>
      <c r="AE2060" s="284"/>
      <c r="AF2060" s="284"/>
      <c r="AG2060" s="284"/>
    </row>
    <row r="2061" spans="1:33" ht="26.4">
      <c r="A2061" s="284"/>
      <c r="B2061" s="284"/>
      <c r="C2061" s="284"/>
      <c r="D2061" s="284"/>
      <c r="E2061" s="284"/>
      <c r="F2061" s="284"/>
      <c r="G2061" s="284"/>
      <c r="H2061" s="284"/>
      <c r="I2061" s="284"/>
      <c r="J2061" s="375"/>
      <c r="K2061" s="375"/>
      <c r="L2061" s="375"/>
      <c r="M2061" s="368"/>
      <c r="N2061" s="368"/>
      <c r="O2061" s="370"/>
      <c r="T2061" s="340"/>
      <c r="V2061" s="378"/>
      <c r="W2061" s="64" ph="1"/>
      <c r="X2061" s="241"/>
      <c r="Y2061" s="284"/>
      <c r="Z2061" s="207"/>
      <c r="AA2061" s="284"/>
      <c r="AB2061" s="284"/>
      <c r="AC2061" s="284"/>
      <c r="AD2061" s="284"/>
      <c r="AE2061" s="284"/>
      <c r="AF2061" s="284"/>
      <c r="AG2061" s="284"/>
    </row>
    <row r="2062" spans="1:33" ht="26.4">
      <c r="A2062" s="284"/>
      <c r="B2062" s="284"/>
      <c r="C2062" s="284"/>
      <c r="D2062" s="284"/>
      <c r="E2062" s="284"/>
      <c r="F2062" s="284"/>
      <c r="G2062" s="284"/>
      <c r="H2062" s="284"/>
      <c r="I2062" s="284"/>
      <c r="J2062" s="375"/>
      <c r="K2062" s="375"/>
      <c r="L2062" s="375"/>
      <c r="M2062" s="368"/>
      <c r="N2062" s="368"/>
      <c r="O2062" s="370"/>
      <c r="T2062" s="340"/>
      <c r="V2062" s="378"/>
      <c r="W2062" s="64" ph="1"/>
      <c r="X2062" s="241"/>
      <c r="Y2062" s="284"/>
      <c r="Z2062" s="207"/>
      <c r="AA2062" s="284"/>
      <c r="AB2062" s="284"/>
      <c r="AC2062" s="284"/>
      <c r="AD2062" s="284"/>
      <c r="AE2062" s="284"/>
      <c r="AF2062" s="284"/>
      <c r="AG2062" s="284"/>
    </row>
    <row r="2063" spans="1:33" ht="26.4">
      <c r="A2063" s="284"/>
      <c r="B2063" s="284"/>
      <c r="C2063" s="284"/>
      <c r="D2063" s="284"/>
      <c r="E2063" s="284"/>
      <c r="F2063" s="284"/>
      <c r="G2063" s="284"/>
      <c r="H2063" s="284"/>
      <c r="I2063" s="284"/>
      <c r="J2063" s="375"/>
      <c r="K2063" s="375"/>
      <c r="L2063" s="375"/>
      <c r="M2063" s="368"/>
      <c r="N2063" s="368"/>
      <c r="O2063" s="370"/>
      <c r="T2063" s="340"/>
      <c r="V2063" s="378"/>
      <c r="W2063" s="64" ph="1"/>
      <c r="X2063" s="241"/>
      <c r="Y2063" s="284"/>
      <c r="Z2063" s="207"/>
      <c r="AA2063" s="284"/>
      <c r="AB2063" s="284"/>
      <c r="AC2063" s="284"/>
      <c r="AD2063" s="284"/>
      <c r="AE2063" s="284"/>
      <c r="AF2063" s="284"/>
      <c r="AG2063" s="284"/>
    </row>
    <row r="2064" spans="1:33" ht="26.4">
      <c r="A2064" s="284"/>
      <c r="B2064" s="284"/>
      <c r="C2064" s="284"/>
      <c r="D2064" s="284"/>
      <c r="E2064" s="284"/>
      <c r="F2064" s="284"/>
      <c r="G2064" s="284"/>
      <c r="H2064" s="284"/>
      <c r="I2064" s="284"/>
      <c r="J2064" s="375"/>
      <c r="K2064" s="375"/>
      <c r="L2064" s="375"/>
      <c r="M2064" s="368"/>
      <c r="N2064" s="368"/>
      <c r="O2064" s="370"/>
      <c r="T2064" s="340"/>
      <c r="V2064" s="378"/>
      <c r="W2064" s="64" ph="1"/>
      <c r="X2064" s="241"/>
      <c r="Y2064" s="284"/>
      <c r="Z2064" s="207"/>
      <c r="AA2064" s="284"/>
      <c r="AB2064" s="284"/>
      <c r="AC2064" s="284"/>
      <c r="AD2064" s="284"/>
      <c r="AE2064" s="284"/>
      <c r="AF2064" s="284"/>
      <c r="AG2064" s="284"/>
    </row>
    <row r="2065" spans="1:33" ht="26.4">
      <c r="A2065" s="284"/>
      <c r="B2065" s="284"/>
      <c r="C2065" s="284"/>
      <c r="D2065" s="284"/>
      <c r="E2065" s="284"/>
      <c r="F2065" s="284"/>
      <c r="G2065" s="284"/>
      <c r="H2065" s="284"/>
      <c r="I2065" s="284"/>
      <c r="J2065" s="375"/>
      <c r="K2065" s="375"/>
      <c r="L2065" s="375"/>
      <c r="M2065" s="368"/>
      <c r="N2065" s="368"/>
      <c r="O2065" s="370"/>
      <c r="T2065" s="340"/>
      <c r="V2065" s="378"/>
      <c r="W2065" s="64" ph="1"/>
      <c r="X2065" s="241"/>
      <c r="Y2065" s="284"/>
      <c r="Z2065" s="207"/>
      <c r="AA2065" s="284"/>
      <c r="AB2065" s="284"/>
      <c r="AC2065" s="284"/>
      <c r="AD2065" s="284"/>
      <c r="AE2065" s="284"/>
      <c r="AF2065" s="284"/>
      <c r="AG2065" s="284"/>
    </row>
    <row r="2066" spans="1:33" ht="26.4">
      <c r="A2066" s="284"/>
      <c r="B2066" s="284"/>
      <c r="C2066" s="284"/>
      <c r="D2066" s="284"/>
      <c r="E2066" s="284"/>
      <c r="F2066" s="284"/>
      <c r="G2066" s="284"/>
      <c r="H2066" s="284"/>
      <c r="I2066" s="284"/>
      <c r="J2066" s="375"/>
      <c r="K2066" s="375"/>
      <c r="L2066" s="375"/>
      <c r="M2066" s="368"/>
      <c r="N2066" s="368"/>
      <c r="O2066" s="370"/>
      <c r="T2066" s="340"/>
      <c r="V2066" s="378"/>
      <c r="W2066" s="64" ph="1"/>
      <c r="X2066" s="241"/>
      <c r="Y2066" s="284"/>
      <c r="Z2066" s="207"/>
      <c r="AA2066" s="284"/>
      <c r="AB2066" s="284"/>
      <c r="AC2066" s="284"/>
      <c r="AD2066" s="284"/>
      <c r="AE2066" s="284"/>
      <c r="AF2066" s="284"/>
      <c r="AG2066" s="284"/>
    </row>
    <row r="2067" spans="1:33" ht="26.4">
      <c r="A2067" s="284"/>
      <c r="B2067" s="284"/>
      <c r="C2067" s="284"/>
      <c r="D2067" s="284"/>
      <c r="E2067" s="284"/>
      <c r="F2067" s="284"/>
      <c r="G2067" s="284"/>
      <c r="H2067" s="284"/>
      <c r="I2067" s="284"/>
      <c r="J2067" s="375"/>
      <c r="K2067" s="375"/>
      <c r="L2067" s="375"/>
      <c r="M2067" s="368"/>
      <c r="N2067" s="368"/>
      <c r="O2067" s="370"/>
      <c r="T2067" s="340"/>
      <c r="V2067" s="378"/>
      <c r="W2067" s="64" ph="1"/>
      <c r="X2067" s="241"/>
      <c r="Y2067" s="284"/>
      <c r="Z2067" s="207"/>
      <c r="AA2067" s="284"/>
      <c r="AB2067" s="284"/>
      <c r="AC2067" s="284"/>
      <c r="AD2067" s="284"/>
      <c r="AE2067" s="284"/>
      <c r="AF2067" s="284"/>
      <c r="AG2067" s="284"/>
    </row>
    <row r="2068" spans="1:33" ht="26.4">
      <c r="A2068" s="284"/>
      <c r="B2068" s="284"/>
      <c r="C2068" s="284"/>
      <c r="D2068" s="284"/>
      <c r="E2068" s="284"/>
      <c r="F2068" s="284"/>
      <c r="G2068" s="284"/>
      <c r="H2068" s="284"/>
      <c r="I2068" s="284"/>
      <c r="J2068" s="375"/>
      <c r="K2068" s="375"/>
      <c r="L2068" s="375"/>
      <c r="M2068" s="368"/>
      <c r="N2068" s="368"/>
      <c r="O2068" s="370"/>
      <c r="T2068" s="340"/>
      <c r="V2068" s="378"/>
      <c r="W2068" s="64" ph="1"/>
      <c r="X2068" s="241"/>
      <c r="Y2068" s="284"/>
      <c r="Z2068" s="207"/>
      <c r="AA2068" s="284"/>
      <c r="AB2068" s="284"/>
      <c r="AC2068" s="284"/>
      <c r="AD2068" s="284"/>
      <c r="AE2068" s="284"/>
      <c r="AF2068" s="284"/>
      <c r="AG2068" s="284"/>
    </row>
    <row r="2069" spans="1:33" ht="26.4">
      <c r="A2069" s="284"/>
      <c r="B2069" s="284"/>
      <c r="C2069" s="284"/>
      <c r="D2069" s="284"/>
      <c r="E2069" s="284"/>
      <c r="F2069" s="284"/>
      <c r="G2069" s="284"/>
      <c r="H2069" s="284"/>
      <c r="I2069" s="284"/>
      <c r="J2069" s="375"/>
      <c r="K2069" s="375"/>
      <c r="L2069" s="375"/>
      <c r="M2069" s="368"/>
      <c r="N2069" s="368"/>
      <c r="O2069" s="370"/>
      <c r="T2069" s="340"/>
      <c r="V2069" s="378"/>
      <c r="W2069" s="64" ph="1"/>
      <c r="X2069" s="241"/>
      <c r="Y2069" s="284"/>
      <c r="Z2069" s="207"/>
      <c r="AA2069" s="284"/>
      <c r="AB2069" s="284"/>
      <c r="AC2069" s="284"/>
      <c r="AD2069" s="284"/>
      <c r="AE2069" s="284"/>
      <c r="AF2069" s="284"/>
      <c r="AG2069" s="284"/>
    </row>
    <row r="2070" spans="1:33" ht="26.4">
      <c r="A2070" s="284"/>
      <c r="B2070" s="284"/>
      <c r="C2070" s="284"/>
      <c r="D2070" s="284"/>
      <c r="E2070" s="284"/>
      <c r="F2070" s="284"/>
      <c r="G2070" s="284"/>
      <c r="H2070" s="284"/>
      <c r="I2070" s="284"/>
      <c r="J2070" s="375"/>
      <c r="K2070" s="375"/>
      <c r="L2070" s="375"/>
      <c r="M2070" s="368"/>
      <c r="N2070" s="368"/>
      <c r="O2070" s="370"/>
      <c r="T2070" s="340"/>
      <c r="V2070" s="378"/>
      <c r="W2070" s="64" ph="1"/>
      <c r="X2070" s="241"/>
      <c r="Y2070" s="284"/>
      <c r="Z2070" s="207"/>
      <c r="AA2070" s="284"/>
      <c r="AB2070" s="284"/>
      <c r="AC2070" s="284"/>
      <c r="AD2070" s="284"/>
      <c r="AE2070" s="284"/>
      <c r="AF2070" s="284"/>
      <c r="AG2070" s="284"/>
    </row>
    <row r="2071" spans="1:33" ht="26.4">
      <c r="A2071" s="284"/>
      <c r="B2071" s="284"/>
      <c r="C2071" s="284"/>
      <c r="D2071" s="284"/>
      <c r="E2071" s="284"/>
      <c r="F2071" s="284"/>
      <c r="G2071" s="284"/>
      <c r="H2071" s="284"/>
      <c r="I2071" s="284"/>
      <c r="J2071" s="375"/>
      <c r="K2071" s="375"/>
      <c r="L2071" s="375"/>
      <c r="M2071" s="368"/>
      <c r="N2071" s="368"/>
      <c r="O2071" s="370"/>
      <c r="T2071" s="340"/>
      <c r="V2071" s="378"/>
      <c r="W2071" s="64" ph="1"/>
      <c r="X2071" s="241"/>
      <c r="Y2071" s="284"/>
      <c r="Z2071" s="207"/>
      <c r="AA2071" s="284"/>
      <c r="AB2071" s="284"/>
      <c r="AC2071" s="284"/>
      <c r="AD2071" s="284"/>
      <c r="AE2071" s="284"/>
      <c r="AF2071" s="284"/>
      <c r="AG2071" s="284"/>
    </row>
    <row r="2072" spans="1:33" ht="26.4">
      <c r="A2072" s="284"/>
      <c r="B2072" s="284"/>
      <c r="C2072" s="284"/>
      <c r="D2072" s="284"/>
      <c r="E2072" s="284"/>
      <c r="F2072" s="284"/>
      <c r="G2072" s="284"/>
      <c r="H2072" s="284"/>
      <c r="I2072" s="284"/>
      <c r="J2072" s="375"/>
      <c r="K2072" s="375"/>
      <c r="L2072" s="375"/>
      <c r="M2072" s="368"/>
      <c r="N2072" s="368"/>
      <c r="O2072" s="370"/>
      <c r="T2072" s="340"/>
      <c r="V2072" s="378"/>
      <c r="W2072" s="64" ph="1"/>
      <c r="X2072" s="241"/>
      <c r="Y2072" s="284"/>
      <c r="Z2072" s="207"/>
      <c r="AA2072" s="284"/>
      <c r="AB2072" s="284"/>
      <c r="AC2072" s="284"/>
      <c r="AD2072" s="284"/>
      <c r="AE2072" s="284"/>
      <c r="AF2072" s="284"/>
      <c r="AG2072" s="284"/>
    </row>
    <row r="2073" spans="1:33" ht="26.4">
      <c r="A2073" s="284"/>
      <c r="B2073" s="284"/>
      <c r="C2073" s="284"/>
      <c r="D2073" s="284"/>
      <c r="E2073" s="284"/>
      <c r="F2073" s="284"/>
      <c r="G2073" s="284"/>
      <c r="H2073" s="284"/>
      <c r="I2073" s="284"/>
      <c r="J2073" s="375"/>
      <c r="K2073" s="375"/>
      <c r="L2073" s="375"/>
      <c r="M2073" s="368"/>
      <c r="N2073" s="368"/>
      <c r="O2073" s="370"/>
      <c r="T2073" s="340"/>
      <c r="V2073" s="378"/>
      <c r="W2073" s="64" ph="1"/>
      <c r="X2073" s="241"/>
      <c r="Y2073" s="284"/>
      <c r="Z2073" s="207"/>
      <c r="AA2073" s="284"/>
      <c r="AB2073" s="284"/>
      <c r="AC2073" s="284"/>
      <c r="AD2073" s="284"/>
      <c r="AE2073" s="284"/>
      <c r="AF2073" s="284"/>
      <c r="AG2073" s="284"/>
    </row>
    <row r="2074" spans="1:33" ht="26.4">
      <c r="A2074" s="284"/>
      <c r="B2074" s="284"/>
      <c r="C2074" s="284"/>
      <c r="D2074" s="284"/>
      <c r="E2074" s="284"/>
      <c r="F2074" s="284"/>
      <c r="G2074" s="284"/>
      <c r="H2074" s="284"/>
      <c r="I2074" s="284"/>
      <c r="J2074" s="375"/>
      <c r="K2074" s="375"/>
      <c r="L2074" s="375"/>
      <c r="M2074" s="368"/>
      <c r="N2074" s="368"/>
      <c r="O2074" s="370"/>
      <c r="T2074" s="340"/>
      <c r="V2074" s="378"/>
      <c r="W2074" s="64" ph="1"/>
      <c r="X2074" s="241"/>
      <c r="Y2074" s="284"/>
      <c r="Z2074" s="207"/>
      <c r="AA2074" s="284"/>
      <c r="AB2074" s="284"/>
      <c r="AC2074" s="284"/>
      <c r="AD2074" s="284"/>
      <c r="AE2074" s="284"/>
      <c r="AF2074" s="284"/>
      <c r="AG2074" s="284"/>
    </row>
    <row r="2075" spans="1:33" ht="26.4">
      <c r="A2075" s="284"/>
      <c r="B2075" s="284"/>
      <c r="C2075" s="284"/>
      <c r="D2075" s="284"/>
      <c r="E2075" s="284"/>
      <c r="F2075" s="284"/>
      <c r="G2075" s="284"/>
      <c r="H2075" s="284"/>
      <c r="I2075" s="284"/>
      <c r="J2075" s="375"/>
      <c r="K2075" s="375"/>
      <c r="L2075" s="375"/>
      <c r="M2075" s="368"/>
      <c r="N2075" s="368"/>
      <c r="O2075" s="370"/>
      <c r="T2075" s="340"/>
      <c r="V2075" s="378"/>
      <c r="W2075" s="64" ph="1"/>
      <c r="X2075" s="241"/>
      <c r="Y2075" s="284"/>
      <c r="Z2075" s="207"/>
      <c r="AA2075" s="284"/>
      <c r="AB2075" s="284"/>
      <c r="AC2075" s="284"/>
      <c r="AD2075" s="284"/>
      <c r="AE2075" s="284"/>
      <c r="AF2075" s="284"/>
      <c r="AG2075" s="284"/>
    </row>
    <row r="2076" spans="1:33" ht="26.4">
      <c r="A2076" s="284"/>
      <c r="B2076" s="284"/>
      <c r="C2076" s="284"/>
      <c r="D2076" s="284"/>
      <c r="E2076" s="284"/>
      <c r="F2076" s="284"/>
      <c r="G2076" s="284"/>
      <c r="H2076" s="284"/>
      <c r="I2076" s="284"/>
      <c r="J2076" s="375"/>
      <c r="K2076" s="375"/>
      <c r="L2076" s="375"/>
      <c r="M2076" s="368"/>
      <c r="N2076" s="368"/>
      <c r="O2076" s="370"/>
      <c r="T2076" s="340"/>
      <c r="V2076" s="378"/>
      <c r="W2076" s="64" ph="1"/>
      <c r="X2076" s="241"/>
      <c r="Y2076" s="284"/>
      <c r="Z2076" s="207"/>
      <c r="AA2076" s="284"/>
      <c r="AB2076" s="284"/>
      <c r="AC2076" s="284"/>
      <c r="AD2076" s="284"/>
      <c r="AE2076" s="284"/>
      <c r="AF2076" s="284"/>
      <c r="AG2076" s="284"/>
    </row>
    <row r="2077" spans="1:33" ht="26.4">
      <c r="A2077" s="284"/>
      <c r="B2077" s="284"/>
      <c r="C2077" s="284"/>
      <c r="D2077" s="284"/>
      <c r="E2077" s="284"/>
      <c r="F2077" s="284"/>
      <c r="G2077" s="284"/>
      <c r="H2077" s="284"/>
      <c r="I2077" s="284"/>
      <c r="J2077" s="375"/>
      <c r="K2077" s="375"/>
      <c r="L2077" s="375"/>
      <c r="M2077" s="368"/>
      <c r="N2077" s="368"/>
      <c r="O2077" s="370"/>
      <c r="T2077" s="340"/>
      <c r="V2077" s="378"/>
      <c r="W2077" s="64" ph="1"/>
      <c r="X2077" s="241"/>
      <c r="Y2077" s="284"/>
      <c r="Z2077" s="207"/>
      <c r="AA2077" s="284"/>
      <c r="AB2077" s="284"/>
      <c r="AC2077" s="284"/>
      <c r="AD2077" s="284"/>
      <c r="AE2077" s="284"/>
      <c r="AF2077" s="284"/>
      <c r="AG2077" s="284"/>
    </row>
    <row r="2078" spans="1:33" ht="26.4">
      <c r="A2078" s="284"/>
      <c r="B2078" s="284"/>
      <c r="C2078" s="284"/>
      <c r="D2078" s="284"/>
      <c r="E2078" s="284"/>
      <c r="F2078" s="284"/>
      <c r="G2078" s="284"/>
      <c r="H2078" s="284"/>
      <c r="I2078" s="284"/>
      <c r="J2078" s="375"/>
      <c r="K2078" s="375"/>
      <c r="L2078" s="375"/>
      <c r="M2078" s="368"/>
      <c r="N2078" s="368"/>
      <c r="O2078" s="370"/>
      <c r="T2078" s="340"/>
      <c r="V2078" s="378"/>
      <c r="W2078" s="64" ph="1"/>
      <c r="X2078" s="241"/>
      <c r="Y2078" s="284"/>
      <c r="Z2078" s="207"/>
      <c r="AA2078" s="284"/>
      <c r="AB2078" s="284"/>
      <c r="AC2078" s="284"/>
      <c r="AD2078" s="284"/>
      <c r="AE2078" s="284"/>
      <c r="AF2078" s="284"/>
      <c r="AG2078" s="284"/>
    </row>
    <row r="2079" spans="1:33" ht="26.4">
      <c r="A2079" s="284"/>
      <c r="B2079" s="284"/>
      <c r="C2079" s="284"/>
      <c r="D2079" s="284"/>
      <c r="E2079" s="284"/>
      <c r="F2079" s="284"/>
      <c r="G2079" s="284"/>
      <c r="H2079" s="284"/>
      <c r="I2079" s="284"/>
      <c r="J2079" s="375"/>
      <c r="K2079" s="375"/>
      <c r="L2079" s="375"/>
      <c r="M2079" s="368"/>
      <c r="N2079" s="368"/>
      <c r="O2079" s="370"/>
      <c r="T2079" s="340"/>
      <c r="V2079" s="378"/>
      <c r="W2079" s="64" ph="1"/>
      <c r="X2079" s="241"/>
      <c r="Y2079" s="284"/>
      <c r="Z2079" s="207"/>
      <c r="AA2079" s="284"/>
      <c r="AB2079" s="284"/>
      <c r="AC2079" s="284"/>
      <c r="AD2079" s="284"/>
      <c r="AE2079" s="284"/>
      <c r="AF2079" s="284"/>
      <c r="AG2079" s="284"/>
    </row>
    <row r="2080" spans="1:33" ht="26.4">
      <c r="A2080" s="284"/>
      <c r="B2080" s="284"/>
      <c r="C2080" s="284"/>
      <c r="D2080" s="284"/>
      <c r="E2080" s="284"/>
      <c r="F2080" s="284"/>
      <c r="G2080" s="284"/>
      <c r="H2080" s="284"/>
      <c r="I2080" s="284"/>
      <c r="J2080" s="375"/>
      <c r="K2080" s="375"/>
      <c r="L2080" s="375"/>
      <c r="M2080" s="368"/>
      <c r="N2080" s="368"/>
      <c r="O2080" s="370"/>
      <c r="T2080" s="340"/>
      <c r="V2080" s="378"/>
      <c r="W2080" s="64" ph="1"/>
      <c r="X2080" s="241"/>
      <c r="Y2080" s="284"/>
      <c r="Z2080" s="207"/>
      <c r="AA2080" s="284"/>
      <c r="AB2080" s="284"/>
      <c r="AC2080" s="284"/>
      <c r="AD2080" s="284"/>
      <c r="AE2080" s="284"/>
      <c r="AF2080" s="284"/>
      <c r="AG2080" s="284"/>
    </row>
    <row r="2081" spans="1:33" ht="26.4">
      <c r="A2081" s="284"/>
      <c r="B2081" s="284"/>
      <c r="C2081" s="284"/>
      <c r="D2081" s="284"/>
      <c r="E2081" s="284"/>
      <c r="F2081" s="284"/>
      <c r="G2081" s="284"/>
      <c r="H2081" s="284"/>
      <c r="I2081" s="284"/>
      <c r="J2081" s="375"/>
      <c r="K2081" s="375"/>
      <c r="L2081" s="375"/>
      <c r="M2081" s="368"/>
      <c r="N2081" s="368"/>
      <c r="O2081" s="370"/>
      <c r="T2081" s="340"/>
      <c r="V2081" s="378"/>
      <c r="W2081" s="64" ph="1"/>
      <c r="X2081" s="241"/>
      <c r="Y2081" s="284"/>
      <c r="Z2081" s="207"/>
      <c r="AA2081" s="284"/>
      <c r="AB2081" s="284"/>
      <c r="AC2081" s="284"/>
      <c r="AD2081" s="284"/>
      <c r="AE2081" s="284"/>
      <c r="AF2081" s="284"/>
      <c r="AG2081" s="284"/>
    </row>
    <row r="2082" spans="1:33" ht="26.4">
      <c r="A2082" s="284"/>
      <c r="B2082" s="284"/>
      <c r="C2082" s="284"/>
      <c r="D2082" s="284"/>
      <c r="E2082" s="284"/>
      <c r="F2082" s="284"/>
      <c r="G2082" s="284"/>
      <c r="H2082" s="284"/>
      <c r="I2082" s="284"/>
      <c r="J2082" s="375"/>
      <c r="K2082" s="375"/>
      <c r="L2082" s="375"/>
      <c r="M2082" s="368"/>
      <c r="N2082" s="368"/>
      <c r="O2082" s="370"/>
      <c r="T2082" s="340"/>
      <c r="V2082" s="378"/>
      <c r="W2082" s="64" ph="1"/>
      <c r="X2082" s="241"/>
      <c r="Y2082" s="284"/>
      <c r="Z2082" s="207"/>
      <c r="AA2082" s="284"/>
      <c r="AB2082" s="284"/>
      <c r="AC2082" s="284"/>
      <c r="AD2082" s="284"/>
      <c r="AE2082" s="284"/>
      <c r="AF2082" s="284"/>
      <c r="AG2082" s="284"/>
    </row>
    <row r="2083" spans="1:33" ht="26.4">
      <c r="A2083" s="284"/>
      <c r="B2083" s="284"/>
      <c r="C2083" s="284"/>
      <c r="D2083" s="284"/>
      <c r="E2083" s="284"/>
      <c r="F2083" s="284"/>
      <c r="G2083" s="284"/>
      <c r="H2083" s="284"/>
      <c r="I2083" s="284"/>
      <c r="J2083" s="375"/>
      <c r="K2083" s="375"/>
      <c r="L2083" s="375"/>
      <c r="M2083" s="368"/>
      <c r="N2083" s="368"/>
      <c r="O2083" s="370"/>
      <c r="T2083" s="340"/>
      <c r="V2083" s="378"/>
      <c r="W2083" s="64" ph="1"/>
      <c r="X2083" s="241"/>
      <c r="Y2083" s="284"/>
      <c r="Z2083" s="207"/>
      <c r="AA2083" s="284"/>
      <c r="AB2083" s="284"/>
      <c r="AC2083" s="284"/>
      <c r="AD2083" s="284"/>
      <c r="AE2083" s="284"/>
      <c r="AF2083" s="284"/>
      <c r="AG2083" s="284"/>
    </row>
    <row r="2084" spans="1:33" ht="26.4">
      <c r="A2084" s="284"/>
      <c r="B2084" s="284"/>
      <c r="C2084" s="284"/>
      <c r="D2084" s="284"/>
      <c r="E2084" s="284"/>
      <c r="F2084" s="284"/>
      <c r="G2084" s="284"/>
      <c r="H2084" s="284"/>
      <c r="I2084" s="284"/>
      <c r="J2084" s="375"/>
      <c r="K2084" s="375"/>
      <c r="L2084" s="375"/>
      <c r="M2084" s="368"/>
      <c r="N2084" s="368"/>
      <c r="O2084" s="370"/>
      <c r="T2084" s="340"/>
      <c r="V2084" s="378"/>
      <c r="W2084" s="64" ph="1"/>
      <c r="X2084" s="241"/>
      <c r="Y2084" s="284"/>
      <c r="Z2084" s="207"/>
      <c r="AA2084" s="284"/>
      <c r="AB2084" s="284"/>
      <c r="AC2084" s="284"/>
      <c r="AD2084" s="284"/>
      <c r="AE2084" s="284"/>
      <c r="AF2084" s="284"/>
      <c r="AG2084" s="284"/>
    </row>
    <row r="2085" spans="1:33" ht="26.4">
      <c r="A2085" s="284"/>
      <c r="B2085" s="284"/>
      <c r="C2085" s="284"/>
      <c r="D2085" s="284"/>
      <c r="E2085" s="284"/>
      <c r="F2085" s="284"/>
      <c r="G2085" s="284"/>
      <c r="H2085" s="284"/>
      <c r="I2085" s="284"/>
      <c r="J2085" s="375"/>
      <c r="K2085" s="375"/>
      <c r="L2085" s="375"/>
      <c r="M2085" s="368"/>
      <c r="N2085" s="368"/>
      <c r="O2085" s="370"/>
      <c r="T2085" s="340"/>
      <c r="V2085" s="378"/>
      <c r="W2085" s="64" ph="1"/>
      <c r="X2085" s="241"/>
      <c r="Y2085" s="284"/>
      <c r="Z2085" s="207"/>
      <c r="AA2085" s="284"/>
      <c r="AB2085" s="284"/>
      <c r="AC2085" s="284"/>
      <c r="AD2085" s="284"/>
      <c r="AE2085" s="284"/>
      <c r="AF2085" s="284"/>
      <c r="AG2085" s="284"/>
    </row>
    <row r="2086" spans="1:33" ht="26.4">
      <c r="A2086" s="284"/>
      <c r="B2086" s="284"/>
      <c r="C2086" s="284"/>
      <c r="D2086" s="284"/>
      <c r="E2086" s="284"/>
      <c r="F2086" s="284"/>
      <c r="G2086" s="284"/>
      <c r="H2086" s="284"/>
      <c r="I2086" s="284"/>
      <c r="J2086" s="375"/>
      <c r="K2086" s="375"/>
      <c r="L2086" s="375"/>
      <c r="M2086" s="368"/>
      <c r="N2086" s="368"/>
      <c r="O2086" s="370"/>
      <c r="T2086" s="340"/>
      <c r="V2086" s="378"/>
      <c r="W2086" s="64" ph="1"/>
      <c r="X2086" s="241"/>
      <c r="Y2086" s="284"/>
      <c r="Z2086" s="207"/>
      <c r="AA2086" s="284"/>
      <c r="AB2086" s="284"/>
      <c r="AC2086" s="284"/>
      <c r="AD2086" s="284"/>
      <c r="AE2086" s="284"/>
      <c r="AF2086" s="284"/>
      <c r="AG2086" s="284"/>
    </row>
    <row r="2087" spans="1:33" ht="26.4">
      <c r="A2087" s="284"/>
      <c r="B2087" s="284"/>
      <c r="C2087" s="284"/>
      <c r="D2087" s="284"/>
      <c r="E2087" s="284"/>
      <c r="F2087" s="284"/>
      <c r="G2087" s="284"/>
      <c r="H2087" s="284"/>
      <c r="I2087" s="284"/>
      <c r="J2087" s="375"/>
      <c r="K2087" s="375"/>
      <c r="L2087" s="375"/>
      <c r="M2087" s="368"/>
      <c r="N2087" s="368"/>
      <c r="O2087" s="370"/>
      <c r="T2087" s="340"/>
      <c r="V2087" s="378"/>
      <c r="W2087" s="64" ph="1"/>
      <c r="X2087" s="241"/>
      <c r="Y2087" s="284"/>
      <c r="Z2087" s="207"/>
      <c r="AA2087" s="284"/>
      <c r="AB2087" s="284"/>
      <c r="AC2087" s="284"/>
      <c r="AD2087" s="284"/>
      <c r="AE2087" s="284"/>
      <c r="AF2087" s="284"/>
      <c r="AG2087" s="284"/>
    </row>
    <row r="2088" spans="1:33" ht="26.4">
      <c r="A2088" s="284"/>
      <c r="B2088" s="284"/>
      <c r="C2088" s="284"/>
      <c r="D2088" s="284"/>
      <c r="E2088" s="284"/>
      <c r="F2088" s="284"/>
      <c r="G2088" s="284"/>
      <c r="H2088" s="284"/>
      <c r="I2088" s="284"/>
      <c r="J2088" s="375"/>
      <c r="K2088" s="375"/>
      <c r="L2088" s="375"/>
      <c r="M2088" s="368"/>
      <c r="N2088" s="368"/>
      <c r="O2088" s="370"/>
      <c r="T2088" s="340"/>
      <c r="V2088" s="378"/>
      <c r="W2088" s="64" ph="1"/>
      <c r="X2088" s="241"/>
      <c r="Y2088" s="284"/>
      <c r="Z2088" s="207"/>
      <c r="AA2088" s="284"/>
      <c r="AB2088" s="284"/>
      <c r="AC2088" s="284"/>
      <c r="AD2088" s="284"/>
      <c r="AE2088" s="284"/>
      <c r="AF2088" s="284"/>
      <c r="AG2088" s="284"/>
    </row>
    <row r="2089" spans="1:33" ht="26.4">
      <c r="A2089" s="284"/>
      <c r="B2089" s="284"/>
      <c r="C2089" s="284"/>
      <c r="D2089" s="284"/>
      <c r="E2089" s="284"/>
      <c r="F2089" s="284"/>
      <c r="G2089" s="284"/>
      <c r="H2089" s="284"/>
      <c r="I2089" s="284"/>
      <c r="J2089" s="375"/>
      <c r="K2089" s="375"/>
      <c r="L2089" s="375"/>
      <c r="M2089" s="368"/>
      <c r="N2089" s="368"/>
      <c r="O2089" s="370"/>
      <c r="T2089" s="340"/>
      <c r="V2089" s="378"/>
      <c r="W2089" s="64" ph="1"/>
      <c r="X2089" s="241"/>
      <c r="Y2089" s="284"/>
      <c r="Z2089" s="207"/>
      <c r="AA2089" s="284"/>
      <c r="AB2089" s="284"/>
      <c r="AC2089" s="284"/>
      <c r="AD2089" s="284"/>
      <c r="AE2089" s="284"/>
      <c r="AF2089" s="284"/>
      <c r="AG2089" s="284"/>
    </row>
    <row r="2090" spans="1:33" ht="26.4">
      <c r="A2090" s="284"/>
      <c r="B2090" s="284"/>
      <c r="C2090" s="284"/>
      <c r="D2090" s="284"/>
      <c r="E2090" s="284"/>
      <c r="F2090" s="284"/>
      <c r="G2090" s="284"/>
      <c r="H2090" s="284"/>
      <c r="I2090" s="284"/>
      <c r="J2090" s="375"/>
      <c r="K2090" s="375"/>
      <c r="L2090" s="375"/>
      <c r="M2090" s="368"/>
      <c r="N2090" s="368"/>
      <c r="O2090" s="370"/>
      <c r="T2090" s="340"/>
      <c r="V2090" s="378"/>
      <c r="W2090" s="64" ph="1"/>
      <c r="X2090" s="241"/>
      <c r="Y2090" s="284"/>
      <c r="Z2090" s="207"/>
      <c r="AA2090" s="284"/>
      <c r="AB2090" s="284"/>
      <c r="AC2090" s="284"/>
      <c r="AD2090" s="284"/>
      <c r="AE2090" s="284"/>
      <c r="AF2090" s="284"/>
      <c r="AG2090" s="284"/>
    </row>
    <row r="2091" spans="1:33" ht="26.4">
      <c r="A2091" s="284"/>
      <c r="B2091" s="284"/>
      <c r="C2091" s="284"/>
      <c r="D2091" s="284"/>
      <c r="E2091" s="284"/>
      <c r="F2091" s="284"/>
      <c r="G2091" s="284"/>
      <c r="H2091" s="284"/>
      <c r="I2091" s="284"/>
      <c r="J2091" s="375"/>
      <c r="K2091" s="375"/>
      <c r="L2091" s="375"/>
      <c r="M2091" s="368"/>
      <c r="N2091" s="368"/>
      <c r="O2091" s="370"/>
      <c r="T2091" s="340"/>
      <c r="V2091" s="378"/>
      <c r="W2091" s="64" ph="1"/>
      <c r="X2091" s="241"/>
      <c r="Y2091" s="284"/>
      <c r="Z2091" s="207"/>
      <c r="AA2091" s="284"/>
      <c r="AB2091" s="284"/>
      <c r="AC2091" s="284"/>
      <c r="AD2091" s="284"/>
      <c r="AE2091" s="284"/>
      <c r="AF2091" s="284"/>
      <c r="AG2091" s="284"/>
    </row>
    <row r="2092" spans="1:33" ht="26.4">
      <c r="A2092" s="284"/>
      <c r="B2092" s="284"/>
      <c r="C2092" s="284"/>
      <c r="D2092" s="284"/>
      <c r="E2092" s="284"/>
      <c r="F2092" s="284"/>
      <c r="G2092" s="284"/>
      <c r="H2092" s="284"/>
      <c r="I2092" s="284"/>
      <c r="J2092" s="375"/>
      <c r="K2092" s="375"/>
      <c r="L2092" s="375"/>
      <c r="M2092" s="368"/>
      <c r="N2092" s="368"/>
      <c r="O2092" s="370"/>
      <c r="T2092" s="340"/>
      <c r="V2092" s="378"/>
      <c r="W2092" s="64" ph="1"/>
      <c r="X2092" s="241"/>
      <c r="Y2092" s="284"/>
      <c r="Z2092" s="207"/>
      <c r="AA2092" s="284"/>
      <c r="AB2092" s="284"/>
      <c r="AC2092" s="284"/>
      <c r="AD2092" s="284"/>
      <c r="AE2092" s="284"/>
      <c r="AF2092" s="284"/>
      <c r="AG2092" s="284"/>
    </row>
    <row r="2093" spans="1:33" ht="26.4">
      <c r="A2093" s="284"/>
      <c r="B2093" s="284"/>
      <c r="C2093" s="284"/>
      <c r="D2093" s="284"/>
      <c r="E2093" s="284"/>
      <c r="F2093" s="284"/>
      <c r="G2093" s="284"/>
      <c r="H2093" s="284"/>
      <c r="I2093" s="284"/>
      <c r="J2093" s="375"/>
      <c r="K2093" s="375"/>
      <c r="L2093" s="375"/>
      <c r="M2093" s="368"/>
      <c r="N2093" s="368"/>
      <c r="O2093" s="370"/>
      <c r="T2093" s="340"/>
      <c r="V2093" s="378"/>
      <c r="W2093" s="64" ph="1"/>
      <c r="X2093" s="241"/>
      <c r="Y2093" s="284"/>
      <c r="Z2093" s="207"/>
      <c r="AA2093" s="284"/>
      <c r="AB2093" s="284"/>
      <c r="AC2093" s="284"/>
      <c r="AD2093" s="284"/>
      <c r="AE2093" s="284"/>
      <c r="AF2093" s="284"/>
      <c r="AG2093" s="284"/>
    </row>
    <row r="2094" spans="1:33" ht="26.4">
      <c r="A2094" s="284"/>
      <c r="B2094" s="284"/>
      <c r="C2094" s="284"/>
      <c r="D2094" s="284"/>
      <c r="E2094" s="284"/>
      <c r="F2094" s="284"/>
      <c r="G2094" s="284"/>
      <c r="H2094" s="284"/>
      <c r="I2094" s="284"/>
      <c r="J2094" s="375"/>
      <c r="K2094" s="375"/>
      <c r="L2094" s="375"/>
      <c r="M2094" s="368"/>
      <c r="N2094" s="368"/>
      <c r="O2094" s="370"/>
      <c r="T2094" s="340"/>
      <c r="V2094" s="378"/>
      <c r="W2094" s="64" ph="1"/>
      <c r="X2094" s="241"/>
      <c r="Y2094" s="284"/>
      <c r="Z2094" s="207"/>
      <c r="AA2094" s="284"/>
      <c r="AB2094" s="284"/>
      <c r="AC2094" s="284"/>
      <c r="AD2094" s="284"/>
      <c r="AE2094" s="284"/>
      <c r="AF2094" s="284"/>
      <c r="AG2094" s="284"/>
    </row>
    <row r="2095" spans="1:33" ht="26.4">
      <c r="A2095" s="284"/>
      <c r="B2095" s="284"/>
      <c r="C2095" s="284"/>
      <c r="D2095" s="284"/>
      <c r="E2095" s="284"/>
      <c r="F2095" s="284"/>
      <c r="G2095" s="284"/>
      <c r="H2095" s="284"/>
      <c r="I2095" s="284"/>
      <c r="J2095" s="375"/>
      <c r="K2095" s="375"/>
      <c r="L2095" s="375"/>
      <c r="M2095" s="368"/>
      <c r="N2095" s="368"/>
      <c r="O2095" s="370"/>
      <c r="T2095" s="340"/>
      <c r="V2095" s="378"/>
      <c r="W2095" s="64" ph="1"/>
      <c r="X2095" s="241"/>
      <c r="Y2095" s="284"/>
      <c r="Z2095" s="207"/>
      <c r="AA2095" s="284"/>
      <c r="AB2095" s="284"/>
      <c r="AC2095" s="284"/>
      <c r="AD2095" s="284"/>
      <c r="AE2095" s="284"/>
      <c r="AF2095" s="284"/>
      <c r="AG2095" s="284"/>
    </row>
    <row r="2096" spans="1:33" ht="26.4">
      <c r="A2096" s="284"/>
      <c r="B2096" s="284"/>
      <c r="C2096" s="284"/>
      <c r="D2096" s="284"/>
      <c r="E2096" s="284"/>
      <c r="F2096" s="284"/>
      <c r="G2096" s="284"/>
      <c r="H2096" s="284"/>
      <c r="I2096" s="284"/>
      <c r="J2096" s="375"/>
      <c r="K2096" s="375"/>
      <c r="L2096" s="375"/>
      <c r="M2096" s="368"/>
      <c r="N2096" s="368"/>
      <c r="O2096" s="370"/>
      <c r="T2096" s="340"/>
      <c r="V2096" s="378"/>
      <c r="W2096" s="64" ph="1"/>
      <c r="X2096" s="241"/>
      <c r="Y2096" s="284"/>
      <c r="Z2096" s="207"/>
      <c r="AA2096" s="284"/>
      <c r="AB2096" s="284"/>
      <c r="AC2096" s="284"/>
      <c r="AD2096" s="284"/>
      <c r="AE2096" s="284"/>
      <c r="AF2096" s="284"/>
      <c r="AG2096" s="284"/>
    </row>
    <row r="2097" spans="1:33" ht="26.4">
      <c r="A2097" s="284"/>
      <c r="B2097" s="284"/>
      <c r="C2097" s="284"/>
      <c r="D2097" s="284"/>
      <c r="E2097" s="284"/>
      <c r="F2097" s="284"/>
      <c r="G2097" s="284"/>
      <c r="H2097" s="284"/>
      <c r="I2097" s="284"/>
      <c r="J2097" s="375"/>
      <c r="K2097" s="375"/>
      <c r="L2097" s="375"/>
      <c r="M2097" s="368"/>
      <c r="N2097" s="368"/>
      <c r="O2097" s="370"/>
      <c r="T2097" s="340"/>
      <c r="V2097" s="378"/>
      <c r="W2097" s="64" ph="1"/>
      <c r="X2097" s="241"/>
      <c r="Y2097" s="284"/>
      <c r="Z2097" s="207"/>
      <c r="AA2097" s="284"/>
      <c r="AB2097" s="284"/>
      <c r="AC2097" s="284"/>
      <c r="AD2097" s="284"/>
      <c r="AE2097" s="284"/>
      <c r="AF2097" s="284"/>
      <c r="AG2097" s="284"/>
    </row>
    <row r="2098" spans="1:33" ht="26.4">
      <c r="A2098" s="284"/>
      <c r="B2098" s="284"/>
      <c r="C2098" s="284"/>
      <c r="D2098" s="284"/>
      <c r="E2098" s="284"/>
      <c r="F2098" s="284"/>
      <c r="G2098" s="284"/>
      <c r="H2098" s="284"/>
      <c r="I2098" s="284"/>
      <c r="J2098" s="375"/>
      <c r="K2098" s="375"/>
      <c r="L2098" s="375"/>
      <c r="M2098" s="368"/>
      <c r="N2098" s="368"/>
      <c r="O2098" s="370"/>
      <c r="T2098" s="340"/>
      <c r="V2098" s="378"/>
      <c r="W2098" s="64" ph="1"/>
      <c r="X2098" s="241"/>
      <c r="Y2098" s="284"/>
      <c r="Z2098" s="207"/>
      <c r="AA2098" s="284"/>
      <c r="AB2098" s="284"/>
      <c r="AC2098" s="284"/>
      <c r="AD2098" s="284"/>
      <c r="AE2098" s="284"/>
      <c r="AF2098" s="284"/>
      <c r="AG2098" s="284"/>
    </row>
    <row r="2099" spans="1:33" ht="26.4">
      <c r="A2099" s="284"/>
      <c r="B2099" s="284"/>
      <c r="C2099" s="284"/>
      <c r="D2099" s="284"/>
      <c r="E2099" s="284"/>
      <c r="F2099" s="284"/>
      <c r="G2099" s="284"/>
      <c r="H2099" s="284"/>
      <c r="I2099" s="284"/>
      <c r="J2099" s="375"/>
      <c r="K2099" s="375"/>
      <c r="L2099" s="375"/>
      <c r="M2099" s="368"/>
      <c r="N2099" s="368"/>
      <c r="O2099" s="370"/>
      <c r="T2099" s="340"/>
      <c r="V2099" s="378"/>
      <c r="W2099" s="64" ph="1"/>
      <c r="X2099" s="241"/>
      <c r="Y2099" s="284"/>
      <c r="Z2099" s="207"/>
      <c r="AA2099" s="284"/>
      <c r="AB2099" s="284"/>
      <c r="AC2099" s="284"/>
      <c r="AD2099" s="284"/>
      <c r="AE2099" s="284"/>
      <c r="AF2099" s="284"/>
      <c r="AG2099" s="284"/>
    </row>
    <row r="2100" spans="1:33" ht="26.4">
      <c r="A2100" s="284"/>
      <c r="B2100" s="284"/>
      <c r="C2100" s="284"/>
      <c r="D2100" s="284"/>
      <c r="E2100" s="284"/>
      <c r="F2100" s="284"/>
      <c r="G2100" s="284"/>
      <c r="H2100" s="284"/>
      <c r="I2100" s="284"/>
      <c r="J2100" s="375"/>
      <c r="K2100" s="375"/>
      <c r="L2100" s="375"/>
      <c r="M2100" s="368"/>
      <c r="N2100" s="368"/>
      <c r="O2100" s="370"/>
      <c r="T2100" s="340"/>
      <c r="V2100" s="378"/>
      <c r="W2100" s="64" ph="1"/>
      <c r="X2100" s="241"/>
      <c r="Y2100" s="284"/>
      <c r="Z2100" s="207"/>
      <c r="AA2100" s="284"/>
      <c r="AB2100" s="284"/>
      <c r="AC2100" s="284"/>
      <c r="AD2100" s="284"/>
      <c r="AE2100" s="284"/>
      <c r="AF2100" s="284"/>
      <c r="AG2100" s="284"/>
    </row>
    <row r="2101" spans="1:33" ht="26.4">
      <c r="A2101" s="284"/>
      <c r="B2101" s="284"/>
      <c r="C2101" s="284"/>
      <c r="D2101" s="284"/>
      <c r="E2101" s="284"/>
      <c r="F2101" s="284"/>
      <c r="G2101" s="284"/>
      <c r="H2101" s="284"/>
      <c r="I2101" s="284"/>
      <c r="J2101" s="375"/>
      <c r="K2101" s="375"/>
      <c r="L2101" s="375"/>
      <c r="M2101" s="368"/>
      <c r="N2101" s="368"/>
      <c r="O2101" s="370"/>
      <c r="T2101" s="340"/>
      <c r="V2101" s="378"/>
      <c r="W2101" s="64" ph="1"/>
      <c r="X2101" s="241"/>
      <c r="Y2101" s="284"/>
      <c r="Z2101" s="207"/>
      <c r="AA2101" s="284"/>
      <c r="AB2101" s="284"/>
      <c r="AC2101" s="284"/>
      <c r="AD2101" s="284"/>
      <c r="AE2101" s="284"/>
      <c r="AF2101" s="284"/>
      <c r="AG2101" s="284"/>
    </row>
    <row r="2102" spans="1:33" ht="26.4">
      <c r="A2102" s="284"/>
      <c r="B2102" s="284"/>
      <c r="C2102" s="284"/>
      <c r="D2102" s="284"/>
      <c r="E2102" s="284"/>
      <c r="F2102" s="284"/>
      <c r="G2102" s="284"/>
      <c r="H2102" s="284"/>
      <c r="I2102" s="284"/>
      <c r="J2102" s="375"/>
      <c r="K2102" s="375"/>
      <c r="L2102" s="375"/>
      <c r="M2102" s="368"/>
      <c r="N2102" s="368"/>
      <c r="O2102" s="370"/>
      <c r="T2102" s="340"/>
      <c r="V2102" s="378"/>
      <c r="W2102" s="64" ph="1"/>
      <c r="X2102" s="241"/>
      <c r="Y2102" s="284"/>
      <c r="Z2102" s="207"/>
      <c r="AA2102" s="284"/>
      <c r="AB2102" s="284"/>
      <c r="AC2102" s="284"/>
      <c r="AD2102" s="284"/>
      <c r="AE2102" s="284"/>
      <c r="AF2102" s="284"/>
      <c r="AG2102" s="284"/>
    </row>
    <row r="2103" spans="1:33" ht="26.4">
      <c r="A2103" s="284"/>
      <c r="B2103" s="284"/>
      <c r="C2103" s="284"/>
      <c r="D2103" s="284"/>
      <c r="E2103" s="284"/>
      <c r="F2103" s="284"/>
      <c r="G2103" s="284"/>
      <c r="H2103" s="284"/>
      <c r="I2103" s="284"/>
      <c r="J2103" s="375"/>
      <c r="K2103" s="375"/>
      <c r="L2103" s="375"/>
      <c r="M2103" s="368"/>
      <c r="N2103" s="368"/>
      <c r="O2103" s="370"/>
      <c r="T2103" s="340"/>
      <c r="V2103" s="378"/>
      <c r="W2103" s="64" ph="1"/>
      <c r="X2103" s="241"/>
      <c r="Y2103" s="284"/>
      <c r="Z2103" s="207"/>
      <c r="AA2103" s="284"/>
      <c r="AB2103" s="284"/>
      <c r="AC2103" s="284"/>
      <c r="AD2103" s="284"/>
      <c r="AE2103" s="284"/>
      <c r="AF2103" s="284"/>
      <c r="AG2103" s="284"/>
    </row>
    <row r="2104" spans="1:33" ht="26.4">
      <c r="A2104" s="284"/>
      <c r="B2104" s="284"/>
      <c r="C2104" s="284"/>
      <c r="D2104" s="284"/>
      <c r="E2104" s="284"/>
      <c r="F2104" s="284"/>
      <c r="G2104" s="284"/>
      <c r="H2104" s="284"/>
      <c r="I2104" s="284"/>
      <c r="J2104" s="375"/>
      <c r="K2104" s="375"/>
      <c r="L2104" s="375"/>
      <c r="M2104" s="368"/>
      <c r="N2104" s="368"/>
      <c r="O2104" s="370"/>
      <c r="T2104" s="340"/>
      <c r="V2104" s="378"/>
      <c r="W2104" s="64" ph="1"/>
      <c r="X2104" s="241"/>
      <c r="Y2104" s="284"/>
      <c r="Z2104" s="207"/>
      <c r="AA2104" s="284"/>
      <c r="AB2104" s="284"/>
      <c r="AC2104" s="284"/>
      <c r="AD2104" s="284"/>
      <c r="AE2104" s="284"/>
      <c r="AF2104" s="284"/>
      <c r="AG2104" s="284"/>
    </row>
    <row r="2105" spans="1:33" ht="26.4">
      <c r="A2105" s="284"/>
      <c r="B2105" s="284"/>
      <c r="C2105" s="284"/>
      <c r="D2105" s="284"/>
      <c r="E2105" s="284"/>
      <c r="F2105" s="284"/>
      <c r="G2105" s="284"/>
      <c r="H2105" s="284"/>
      <c r="I2105" s="284"/>
      <c r="J2105" s="375"/>
      <c r="K2105" s="375"/>
      <c r="L2105" s="375"/>
      <c r="M2105" s="368"/>
      <c r="N2105" s="368"/>
      <c r="O2105" s="370"/>
      <c r="T2105" s="340"/>
      <c r="V2105" s="378"/>
      <c r="W2105" s="64" ph="1"/>
      <c r="X2105" s="241"/>
      <c r="Y2105" s="284"/>
      <c r="Z2105" s="207"/>
      <c r="AA2105" s="284"/>
      <c r="AB2105" s="284"/>
      <c r="AC2105" s="284"/>
      <c r="AD2105" s="284"/>
      <c r="AE2105" s="284"/>
      <c r="AF2105" s="284"/>
      <c r="AG2105" s="284"/>
    </row>
    <row r="2106" spans="1:33" ht="26.4">
      <c r="A2106" s="284"/>
      <c r="B2106" s="284"/>
      <c r="C2106" s="284"/>
      <c r="D2106" s="284"/>
      <c r="E2106" s="284"/>
      <c r="F2106" s="284"/>
      <c r="G2106" s="284"/>
      <c r="H2106" s="284"/>
      <c r="I2106" s="284"/>
      <c r="J2106" s="375"/>
      <c r="K2106" s="375"/>
      <c r="L2106" s="375"/>
      <c r="M2106" s="368"/>
      <c r="N2106" s="368"/>
      <c r="O2106" s="370"/>
      <c r="T2106" s="340"/>
      <c r="V2106" s="378"/>
      <c r="W2106" s="64" ph="1"/>
      <c r="X2106" s="241"/>
      <c r="Y2106" s="284"/>
      <c r="Z2106" s="207"/>
      <c r="AA2106" s="284"/>
      <c r="AB2106" s="284"/>
      <c r="AC2106" s="284"/>
      <c r="AD2106" s="284"/>
      <c r="AE2106" s="284"/>
      <c r="AF2106" s="284"/>
      <c r="AG2106" s="284"/>
    </row>
    <row r="2107" spans="1:33" ht="26.4">
      <c r="A2107" s="284"/>
      <c r="B2107" s="284"/>
      <c r="C2107" s="284"/>
      <c r="D2107" s="284"/>
      <c r="E2107" s="284"/>
      <c r="F2107" s="284"/>
      <c r="G2107" s="284"/>
      <c r="H2107" s="284"/>
      <c r="I2107" s="284"/>
      <c r="J2107" s="375"/>
      <c r="K2107" s="375"/>
      <c r="L2107" s="375"/>
      <c r="M2107" s="368"/>
      <c r="N2107" s="368"/>
      <c r="O2107" s="370"/>
      <c r="T2107" s="340"/>
      <c r="V2107" s="378"/>
      <c r="W2107" s="64" ph="1"/>
      <c r="X2107" s="241"/>
      <c r="Y2107" s="284"/>
      <c r="Z2107" s="207"/>
      <c r="AA2107" s="284"/>
      <c r="AB2107" s="284"/>
      <c r="AC2107" s="284"/>
      <c r="AD2107" s="284"/>
      <c r="AE2107" s="284"/>
      <c r="AF2107" s="284"/>
      <c r="AG2107" s="284"/>
    </row>
    <row r="2108" spans="1:33" ht="26.4">
      <c r="A2108" s="284"/>
      <c r="B2108" s="284"/>
      <c r="C2108" s="284"/>
      <c r="D2108" s="284"/>
      <c r="E2108" s="284"/>
      <c r="F2108" s="284"/>
      <c r="G2108" s="284"/>
      <c r="H2108" s="284"/>
      <c r="I2108" s="284"/>
      <c r="J2108" s="375"/>
      <c r="K2108" s="375"/>
      <c r="L2108" s="375"/>
      <c r="M2108" s="368"/>
      <c r="N2108" s="368"/>
      <c r="O2108" s="370"/>
      <c r="T2108" s="340"/>
      <c r="V2108" s="378"/>
      <c r="W2108" s="64" ph="1"/>
      <c r="X2108" s="241"/>
      <c r="Y2108" s="284"/>
      <c r="Z2108" s="207"/>
      <c r="AA2108" s="284"/>
      <c r="AB2108" s="284"/>
      <c r="AC2108" s="284"/>
      <c r="AD2108" s="284"/>
      <c r="AE2108" s="284"/>
      <c r="AF2108" s="284"/>
      <c r="AG2108" s="284"/>
    </row>
    <row r="2109" spans="1:33" ht="26.4">
      <c r="A2109" s="284"/>
      <c r="B2109" s="284"/>
      <c r="C2109" s="284"/>
      <c r="D2109" s="284"/>
      <c r="E2109" s="284"/>
      <c r="F2109" s="284"/>
      <c r="G2109" s="284"/>
      <c r="H2109" s="284"/>
      <c r="I2109" s="284"/>
      <c r="J2109" s="375"/>
      <c r="K2109" s="375"/>
      <c r="L2109" s="375"/>
      <c r="M2109" s="368"/>
      <c r="N2109" s="368"/>
      <c r="O2109" s="370"/>
      <c r="T2109" s="340"/>
      <c r="V2109" s="378"/>
      <c r="W2109" s="64" ph="1"/>
      <c r="X2109" s="241"/>
      <c r="Y2109" s="284"/>
      <c r="Z2109" s="207"/>
      <c r="AA2109" s="284"/>
      <c r="AB2109" s="284"/>
      <c r="AC2109" s="284"/>
      <c r="AD2109" s="284"/>
      <c r="AE2109" s="284"/>
      <c r="AF2109" s="284"/>
      <c r="AG2109" s="284"/>
    </row>
    <row r="2110" spans="1:33" ht="26.4">
      <c r="A2110" s="284"/>
      <c r="B2110" s="284"/>
      <c r="C2110" s="284"/>
      <c r="D2110" s="284"/>
      <c r="E2110" s="284"/>
      <c r="F2110" s="284"/>
      <c r="G2110" s="284"/>
      <c r="H2110" s="284"/>
      <c r="I2110" s="284"/>
      <c r="J2110" s="375"/>
      <c r="K2110" s="375"/>
      <c r="L2110" s="375"/>
      <c r="M2110" s="368"/>
      <c r="N2110" s="368"/>
      <c r="O2110" s="370"/>
      <c r="T2110" s="340"/>
      <c r="V2110" s="378"/>
      <c r="W2110" s="64" ph="1"/>
      <c r="X2110" s="241"/>
      <c r="Y2110" s="284"/>
      <c r="Z2110" s="207"/>
      <c r="AA2110" s="284"/>
      <c r="AB2110" s="284"/>
      <c r="AC2110" s="284"/>
      <c r="AD2110" s="284"/>
      <c r="AE2110" s="284"/>
      <c r="AF2110" s="284"/>
      <c r="AG2110" s="284"/>
    </row>
    <row r="2111" spans="1:33" ht="26.4">
      <c r="A2111" s="284"/>
      <c r="B2111" s="284"/>
      <c r="C2111" s="284"/>
      <c r="D2111" s="284"/>
      <c r="E2111" s="284"/>
      <c r="F2111" s="284"/>
      <c r="G2111" s="284"/>
      <c r="H2111" s="284"/>
      <c r="I2111" s="284"/>
      <c r="J2111" s="375"/>
      <c r="K2111" s="375"/>
      <c r="L2111" s="375"/>
      <c r="M2111" s="368"/>
      <c r="N2111" s="368"/>
      <c r="O2111" s="370"/>
      <c r="T2111" s="340"/>
      <c r="V2111" s="378"/>
      <c r="W2111" s="64" ph="1"/>
      <c r="X2111" s="241"/>
      <c r="Y2111" s="284"/>
      <c r="Z2111" s="207"/>
      <c r="AA2111" s="284"/>
      <c r="AB2111" s="284"/>
      <c r="AC2111" s="284"/>
      <c r="AD2111" s="284"/>
      <c r="AE2111" s="284"/>
      <c r="AF2111" s="284"/>
      <c r="AG2111" s="284"/>
    </row>
    <row r="2112" spans="1:33" ht="26.4">
      <c r="A2112" s="284"/>
      <c r="B2112" s="284"/>
      <c r="C2112" s="284"/>
      <c r="D2112" s="284"/>
      <c r="E2112" s="284"/>
      <c r="F2112" s="284"/>
      <c r="G2112" s="284"/>
      <c r="H2112" s="284"/>
      <c r="I2112" s="284"/>
      <c r="J2112" s="375"/>
      <c r="K2112" s="375"/>
      <c r="L2112" s="375"/>
      <c r="M2112" s="368"/>
      <c r="N2112" s="368"/>
      <c r="O2112" s="370"/>
      <c r="T2112" s="340"/>
      <c r="V2112" s="378"/>
      <c r="W2112" s="64" ph="1"/>
      <c r="X2112" s="241"/>
      <c r="Y2112" s="284"/>
      <c r="Z2112" s="207"/>
      <c r="AA2112" s="284"/>
      <c r="AB2112" s="284"/>
      <c r="AC2112" s="284"/>
      <c r="AD2112" s="284"/>
      <c r="AE2112" s="284"/>
      <c r="AF2112" s="284"/>
      <c r="AG2112" s="284"/>
    </row>
    <row r="2113" spans="1:33" ht="26.4">
      <c r="A2113" s="284"/>
      <c r="B2113" s="284"/>
      <c r="C2113" s="284"/>
      <c r="D2113" s="284"/>
      <c r="E2113" s="284"/>
      <c r="F2113" s="284"/>
      <c r="G2113" s="284"/>
      <c r="H2113" s="284"/>
      <c r="I2113" s="284"/>
      <c r="J2113" s="375"/>
      <c r="K2113" s="375"/>
      <c r="L2113" s="375"/>
      <c r="M2113" s="368"/>
      <c r="N2113" s="368"/>
      <c r="O2113" s="370"/>
      <c r="T2113" s="340"/>
      <c r="V2113" s="378"/>
      <c r="W2113" s="64" ph="1"/>
      <c r="X2113" s="241"/>
      <c r="Y2113" s="284"/>
      <c r="Z2113" s="207"/>
      <c r="AA2113" s="284"/>
      <c r="AB2113" s="284"/>
      <c r="AC2113" s="284"/>
      <c r="AD2113" s="284"/>
      <c r="AE2113" s="284"/>
      <c r="AF2113" s="284"/>
      <c r="AG2113" s="284"/>
    </row>
    <row r="2114" spans="1:33" ht="26.4">
      <c r="A2114" s="284"/>
      <c r="B2114" s="284"/>
      <c r="C2114" s="284"/>
      <c r="D2114" s="284"/>
      <c r="E2114" s="284"/>
      <c r="F2114" s="284"/>
      <c r="G2114" s="284"/>
      <c r="H2114" s="284"/>
      <c r="I2114" s="284"/>
      <c r="J2114" s="375"/>
      <c r="K2114" s="375"/>
      <c r="L2114" s="375"/>
      <c r="M2114" s="368"/>
      <c r="N2114" s="368"/>
      <c r="O2114" s="370"/>
      <c r="T2114" s="340"/>
      <c r="V2114" s="378"/>
      <c r="W2114" s="64" ph="1"/>
      <c r="X2114" s="241"/>
      <c r="Y2114" s="284"/>
      <c r="Z2114" s="207"/>
      <c r="AA2114" s="284"/>
      <c r="AB2114" s="284"/>
      <c r="AC2114" s="284"/>
      <c r="AD2114" s="284"/>
      <c r="AE2114" s="284"/>
      <c r="AF2114" s="284"/>
      <c r="AG2114" s="284"/>
    </row>
    <row r="2115" spans="1:33" ht="26.4">
      <c r="A2115" s="284"/>
      <c r="B2115" s="284"/>
      <c r="C2115" s="284"/>
      <c r="D2115" s="284"/>
      <c r="E2115" s="284"/>
      <c r="F2115" s="284"/>
      <c r="G2115" s="284"/>
      <c r="H2115" s="284"/>
      <c r="I2115" s="284"/>
      <c r="J2115" s="375"/>
      <c r="K2115" s="375"/>
      <c r="L2115" s="375"/>
      <c r="M2115" s="368"/>
      <c r="N2115" s="368"/>
      <c r="O2115" s="370"/>
      <c r="T2115" s="340"/>
      <c r="V2115" s="378"/>
      <c r="W2115" s="64" ph="1"/>
      <c r="X2115" s="241"/>
      <c r="Y2115" s="284"/>
      <c r="Z2115" s="207"/>
      <c r="AA2115" s="284"/>
      <c r="AB2115" s="284"/>
      <c r="AC2115" s="284"/>
      <c r="AD2115" s="284"/>
      <c r="AE2115" s="284"/>
      <c r="AF2115" s="284"/>
      <c r="AG2115" s="284"/>
    </row>
    <row r="2116" spans="1:33" ht="26.4">
      <c r="A2116" s="284"/>
      <c r="B2116" s="284"/>
      <c r="C2116" s="284"/>
      <c r="D2116" s="284"/>
      <c r="E2116" s="284"/>
      <c r="F2116" s="284"/>
      <c r="G2116" s="284"/>
      <c r="H2116" s="284"/>
      <c r="I2116" s="284"/>
      <c r="J2116" s="375"/>
      <c r="K2116" s="375"/>
      <c r="L2116" s="375"/>
      <c r="M2116" s="368"/>
      <c r="N2116" s="368"/>
      <c r="O2116" s="370"/>
      <c r="T2116" s="340"/>
      <c r="V2116" s="378"/>
      <c r="W2116" s="64" ph="1"/>
      <c r="X2116" s="241"/>
      <c r="Y2116" s="284"/>
      <c r="Z2116" s="207"/>
      <c r="AA2116" s="284"/>
      <c r="AB2116" s="284"/>
      <c r="AC2116" s="284"/>
      <c r="AD2116" s="284"/>
      <c r="AE2116" s="284"/>
      <c r="AF2116" s="284"/>
      <c r="AG2116" s="284"/>
    </row>
    <row r="2117" spans="1:33" ht="26.4">
      <c r="A2117" s="284"/>
      <c r="B2117" s="284"/>
      <c r="C2117" s="284"/>
      <c r="D2117" s="284"/>
      <c r="E2117" s="284"/>
      <c r="F2117" s="284"/>
      <c r="G2117" s="284"/>
      <c r="H2117" s="284"/>
      <c r="I2117" s="284"/>
      <c r="J2117" s="375"/>
      <c r="K2117" s="375"/>
      <c r="L2117" s="375"/>
      <c r="M2117" s="368"/>
      <c r="N2117" s="368"/>
      <c r="O2117" s="370"/>
      <c r="T2117" s="340"/>
      <c r="V2117" s="378"/>
      <c r="W2117" s="64" ph="1"/>
      <c r="X2117" s="241"/>
      <c r="Y2117" s="284"/>
      <c r="Z2117" s="207"/>
      <c r="AA2117" s="284"/>
      <c r="AB2117" s="284"/>
      <c r="AC2117" s="284"/>
      <c r="AD2117" s="284"/>
      <c r="AE2117" s="284"/>
      <c r="AF2117" s="284"/>
      <c r="AG2117" s="284"/>
    </row>
    <row r="2118" spans="1:33" ht="26.4">
      <c r="A2118" s="284"/>
      <c r="B2118" s="284"/>
      <c r="C2118" s="284"/>
      <c r="D2118" s="284"/>
      <c r="E2118" s="284"/>
      <c r="F2118" s="284"/>
      <c r="G2118" s="284"/>
      <c r="H2118" s="284"/>
      <c r="I2118" s="284"/>
      <c r="J2118" s="375"/>
      <c r="K2118" s="375"/>
      <c r="L2118" s="375"/>
      <c r="M2118" s="368"/>
      <c r="N2118" s="368"/>
      <c r="O2118" s="370"/>
      <c r="T2118" s="340"/>
      <c r="V2118" s="378"/>
      <c r="W2118" s="64" ph="1"/>
      <c r="X2118" s="241"/>
      <c r="Y2118" s="284"/>
      <c r="Z2118" s="207"/>
      <c r="AA2118" s="284"/>
      <c r="AB2118" s="284"/>
      <c r="AC2118" s="284"/>
      <c r="AD2118" s="284"/>
      <c r="AE2118" s="284"/>
      <c r="AF2118" s="284"/>
      <c r="AG2118" s="284"/>
    </row>
    <row r="2119" spans="1:33" ht="26.4">
      <c r="A2119" s="284"/>
      <c r="B2119" s="284"/>
      <c r="C2119" s="284"/>
      <c r="D2119" s="284"/>
      <c r="E2119" s="284"/>
      <c r="F2119" s="284"/>
      <c r="G2119" s="284"/>
      <c r="H2119" s="284"/>
      <c r="I2119" s="284"/>
      <c r="J2119" s="375"/>
      <c r="K2119" s="375"/>
      <c r="L2119" s="375"/>
      <c r="M2119" s="368"/>
      <c r="N2119" s="368"/>
      <c r="O2119" s="370"/>
      <c r="T2119" s="340"/>
      <c r="V2119" s="378"/>
      <c r="W2119" s="64" ph="1"/>
      <c r="X2119" s="241"/>
      <c r="Y2119" s="284"/>
      <c r="Z2119" s="207"/>
      <c r="AA2119" s="284"/>
      <c r="AB2119" s="284"/>
      <c r="AC2119" s="284"/>
      <c r="AD2119" s="284"/>
      <c r="AE2119" s="284"/>
      <c r="AF2119" s="284"/>
      <c r="AG2119" s="284"/>
    </row>
    <row r="2120" spans="1:33" ht="26.4">
      <c r="A2120" s="284"/>
      <c r="B2120" s="284"/>
      <c r="C2120" s="284"/>
      <c r="D2120" s="284"/>
      <c r="E2120" s="284"/>
      <c r="F2120" s="284"/>
      <c r="G2120" s="284"/>
      <c r="H2120" s="284"/>
      <c r="I2120" s="284"/>
      <c r="J2120" s="375"/>
      <c r="K2120" s="375"/>
      <c r="L2120" s="375"/>
      <c r="M2120" s="368"/>
      <c r="N2120" s="368"/>
      <c r="O2120" s="370"/>
      <c r="T2120" s="340"/>
      <c r="V2120" s="378"/>
      <c r="W2120" s="64" ph="1"/>
      <c r="X2120" s="241"/>
      <c r="Y2120" s="284"/>
      <c r="Z2120" s="207"/>
      <c r="AA2120" s="284"/>
      <c r="AB2120" s="284"/>
      <c r="AC2120" s="284"/>
      <c r="AD2120" s="284"/>
      <c r="AE2120" s="284"/>
      <c r="AF2120" s="284"/>
      <c r="AG2120" s="284"/>
    </row>
    <row r="2121" spans="1:33" ht="26.4">
      <c r="A2121" s="284"/>
      <c r="B2121" s="284"/>
      <c r="C2121" s="284"/>
      <c r="D2121" s="284"/>
      <c r="E2121" s="284"/>
      <c r="F2121" s="284"/>
      <c r="G2121" s="284"/>
      <c r="H2121" s="284"/>
      <c r="I2121" s="284"/>
      <c r="J2121" s="375"/>
      <c r="K2121" s="375"/>
      <c r="L2121" s="375"/>
      <c r="M2121" s="368"/>
      <c r="N2121" s="368"/>
      <c r="O2121" s="370"/>
      <c r="T2121" s="340"/>
      <c r="V2121" s="378"/>
      <c r="W2121" s="64" ph="1"/>
      <c r="X2121" s="241"/>
      <c r="Y2121" s="284"/>
      <c r="Z2121" s="207"/>
      <c r="AA2121" s="284"/>
      <c r="AB2121" s="284"/>
      <c r="AC2121" s="284"/>
      <c r="AD2121" s="284"/>
      <c r="AE2121" s="284"/>
      <c r="AF2121" s="284"/>
      <c r="AG2121" s="284"/>
    </row>
    <row r="2122" spans="1:33" ht="26.4">
      <c r="A2122" s="284"/>
      <c r="B2122" s="284"/>
      <c r="C2122" s="284"/>
      <c r="D2122" s="284"/>
      <c r="E2122" s="284"/>
      <c r="F2122" s="284"/>
      <c r="G2122" s="284"/>
      <c r="H2122" s="284"/>
      <c r="I2122" s="284"/>
      <c r="J2122" s="375"/>
      <c r="K2122" s="375"/>
      <c r="L2122" s="375"/>
      <c r="M2122" s="368"/>
      <c r="N2122" s="368"/>
      <c r="O2122" s="370"/>
      <c r="T2122" s="340"/>
      <c r="V2122" s="378"/>
      <c r="W2122" s="64" ph="1"/>
      <c r="X2122" s="241"/>
      <c r="Y2122" s="284"/>
      <c r="Z2122" s="207"/>
      <c r="AA2122" s="284"/>
      <c r="AB2122" s="284"/>
      <c r="AC2122" s="284"/>
      <c r="AD2122" s="284"/>
      <c r="AE2122" s="284"/>
      <c r="AF2122" s="284"/>
      <c r="AG2122" s="284"/>
    </row>
    <row r="2123" spans="1:33" ht="26.4">
      <c r="A2123" s="284"/>
      <c r="B2123" s="284"/>
      <c r="C2123" s="284"/>
      <c r="D2123" s="284"/>
      <c r="E2123" s="284"/>
      <c r="F2123" s="284"/>
      <c r="G2123" s="284"/>
      <c r="H2123" s="284"/>
      <c r="I2123" s="284"/>
      <c r="J2123" s="375"/>
      <c r="K2123" s="375"/>
      <c r="L2123" s="375"/>
      <c r="M2123" s="368"/>
      <c r="N2123" s="368"/>
      <c r="O2123" s="370"/>
      <c r="T2123" s="340"/>
      <c r="V2123" s="378"/>
      <c r="W2123" s="64" ph="1"/>
      <c r="X2123" s="241"/>
      <c r="Y2123" s="284"/>
      <c r="Z2123" s="207"/>
      <c r="AA2123" s="284"/>
      <c r="AB2123" s="284"/>
      <c r="AC2123" s="284"/>
      <c r="AD2123" s="284"/>
      <c r="AE2123" s="284"/>
      <c r="AF2123" s="284"/>
      <c r="AG2123" s="284"/>
    </row>
    <row r="2124" spans="1:33" ht="26.4">
      <c r="A2124" s="284"/>
      <c r="B2124" s="284"/>
      <c r="C2124" s="284"/>
      <c r="D2124" s="284"/>
      <c r="E2124" s="284"/>
      <c r="F2124" s="284"/>
      <c r="G2124" s="284"/>
      <c r="H2124" s="284"/>
      <c r="I2124" s="284"/>
      <c r="J2124" s="375"/>
      <c r="K2124" s="375"/>
      <c r="L2124" s="375"/>
      <c r="M2124" s="368"/>
      <c r="N2124" s="368"/>
      <c r="O2124" s="370"/>
      <c r="T2124" s="340"/>
      <c r="V2124" s="378"/>
      <c r="W2124" s="64" ph="1"/>
      <c r="X2124" s="241"/>
      <c r="Y2124" s="284"/>
      <c r="Z2124" s="207"/>
      <c r="AA2124" s="284"/>
      <c r="AB2124" s="284"/>
      <c r="AC2124" s="284"/>
      <c r="AD2124" s="284"/>
      <c r="AE2124" s="284"/>
      <c r="AF2124" s="284"/>
      <c r="AG2124" s="284"/>
    </row>
    <row r="2125" spans="1:33" ht="26.4">
      <c r="A2125" s="284"/>
      <c r="B2125" s="284"/>
      <c r="C2125" s="284"/>
      <c r="D2125" s="284"/>
      <c r="E2125" s="284"/>
      <c r="F2125" s="284"/>
      <c r="G2125" s="284"/>
      <c r="H2125" s="284"/>
      <c r="I2125" s="284"/>
      <c r="J2125" s="375"/>
      <c r="K2125" s="375"/>
      <c r="L2125" s="375"/>
      <c r="M2125" s="368"/>
      <c r="N2125" s="368"/>
      <c r="O2125" s="370"/>
      <c r="T2125" s="340"/>
      <c r="V2125" s="378"/>
      <c r="W2125" s="64" ph="1"/>
      <c r="X2125" s="241"/>
      <c r="Y2125" s="284"/>
      <c r="Z2125" s="207"/>
      <c r="AA2125" s="284"/>
      <c r="AB2125" s="284"/>
      <c r="AC2125" s="284"/>
      <c r="AD2125" s="284"/>
      <c r="AE2125" s="284"/>
      <c r="AF2125" s="284"/>
      <c r="AG2125" s="284"/>
    </row>
    <row r="2126" spans="1:33" ht="26.4">
      <c r="A2126" s="284"/>
      <c r="B2126" s="284"/>
      <c r="C2126" s="284"/>
      <c r="D2126" s="284"/>
      <c r="E2126" s="284"/>
      <c r="F2126" s="284"/>
      <c r="G2126" s="284"/>
      <c r="H2126" s="284"/>
      <c r="I2126" s="284"/>
      <c r="J2126" s="375"/>
      <c r="K2126" s="375"/>
      <c r="L2126" s="375"/>
      <c r="M2126" s="368"/>
      <c r="N2126" s="368"/>
      <c r="O2126" s="370"/>
      <c r="T2126" s="340"/>
      <c r="V2126" s="378"/>
      <c r="W2126" s="64" ph="1"/>
      <c r="X2126" s="241"/>
      <c r="Y2126" s="284"/>
      <c r="Z2126" s="207"/>
      <c r="AA2126" s="284"/>
      <c r="AB2126" s="284"/>
      <c r="AC2126" s="284"/>
      <c r="AD2126" s="284"/>
      <c r="AE2126" s="284"/>
      <c r="AF2126" s="284"/>
      <c r="AG2126" s="284"/>
    </row>
    <row r="2127" spans="1:33" ht="26.4">
      <c r="A2127" s="284"/>
      <c r="B2127" s="284"/>
      <c r="C2127" s="284"/>
      <c r="D2127" s="284"/>
      <c r="E2127" s="284"/>
      <c r="F2127" s="284"/>
      <c r="G2127" s="284"/>
      <c r="H2127" s="284"/>
      <c r="I2127" s="284"/>
      <c r="J2127" s="375"/>
      <c r="K2127" s="375"/>
      <c r="L2127" s="375"/>
      <c r="M2127" s="368"/>
      <c r="N2127" s="368"/>
      <c r="O2127" s="370"/>
      <c r="T2127" s="340"/>
      <c r="V2127" s="378"/>
      <c r="W2127" s="64" ph="1"/>
      <c r="X2127" s="241"/>
      <c r="Y2127" s="284"/>
      <c r="Z2127" s="207"/>
      <c r="AA2127" s="284"/>
      <c r="AB2127" s="284"/>
      <c r="AC2127" s="284"/>
      <c r="AD2127" s="284"/>
      <c r="AE2127" s="284"/>
      <c r="AF2127" s="284"/>
      <c r="AG2127" s="284"/>
    </row>
    <row r="2128" spans="1:33" ht="26.4">
      <c r="A2128" s="284"/>
      <c r="B2128" s="284"/>
      <c r="C2128" s="284"/>
      <c r="D2128" s="284"/>
      <c r="E2128" s="284"/>
      <c r="F2128" s="284"/>
      <c r="G2128" s="284"/>
      <c r="H2128" s="284"/>
      <c r="I2128" s="284"/>
      <c r="J2128" s="375"/>
      <c r="K2128" s="375"/>
      <c r="L2128" s="375"/>
      <c r="M2128" s="368"/>
      <c r="N2128" s="368"/>
      <c r="O2128" s="370"/>
      <c r="T2128" s="340"/>
      <c r="V2128" s="378"/>
      <c r="W2128" s="64" ph="1"/>
      <c r="X2128" s="241"/>
      <c r="Y2128" s="284"/>
      <c r="Z2128" s="207"/>
      <c r="AA2128" s="284"/>
      <c r="AB2128" s="284"/>
      <c r="AC2128" s="284"/>
      <c r="AD2128" s="284"/>
      <c r="AE2128" s="284"/>
      <c r="AF2128" s="284"/>
      <c r="AG2128" s="284"/>
    </row>
    <row r="2129" spans="1:33" ht="26.4">
      <c r="A2129" s="284"/>
      <c r="B2129" s="284"/>
      <c r="C2129" s="284"/>
      <c r="D2129" s="284"/>
      <c r="E2129" s="284"/>
      <c r="F2129" s="284"/>
      <c r="G2129" s="284"/>
      <c r="H2129" s="284"/>
      <c r="I2129" s="284"/>
      <c r="J2129" s="375"/>
      <c r="K2129" s="375"/>
      <c r="L2129" s="375"/>
      <c r="M2129" s="368"/>
      <c r="N2129" s="368"/>
      <c r="O2129" s="370"/>
      <c r="T2129" s="340"/>
      <c r="V2129" s="378"/>
      <c r="W2129" s="64" ph="1"/>
      <c r="X2129" s="241"/>
      <c r="Y2129" s="284"/>
      <c r="Z2129" s="207"/>
      <c r="AA2129" s="284"/>
      <c r="AB2129" s="284"/>
      <c r="AC2129" s="284"/>
      <c r="AD2129" s="284"/>
      <c r="AE2129" s="284"/>
      <c r="AF2129" s="284"/>
      <c r="AG2129" s="284"/>
    </row>
    <row r="2130" spans="1:33" ht="26.4">
      <c r="A2130" s="284"/>
      <c r="B2130" s="284"/>
      <c r="C2130" s="284"/>
      <c r="D2130" s="284"/>
      <c r="E2130" s="284"/>
      <c r="F2130" s="284"/>
      <c r="G2130" s="284"/>
      <c r="H2130" s="284"/>
      <c r="I2130" s="284"/>
      <c r="J2130" s="375"/>
      <c r="K2130" s="375"/>
      <c r="L2130" s="375"/>
      <c r="M2130" s="368"/>
      <c r="N2130" s="368"/>
      <c r="O2130" s="370"/>
      <c r="T2130" s="340"/>
      <c r="V2130" s="378"/>
      <c r="W2130" s="64" ph="1"/>
      <c r="X2130" s="241"/>
      <c r="Y2130" s="284"/>
      <c r="Z2130" s="207"/>
      <c r="AA2130" s="284"/>
      <c r="AB2130" s="284"/>
      <c r="AC2130" s="284"/>
      <c r="AD2130" s="284"/>
      <c r="AE2130" s="284"/>
      <c r="AF2130" s="284"/>
      <c r="AG2130" s="284"/>
    </row>
    <row r="2131" spans="1:33" ht="26.4">
      <c r="A2131" s="284"/>
      <c r="B2131" s="284"/>
      <c r="C2131" s="284"/>
      <c r="D2131" s="284"/>
      <c r="E2131" s="284"/>
      <c r="F2131" s="284"/>
      <c r="G2131" s="284"/>
      <c r="H2131" s="284"/>
      <c r="I2131" s="284"/>
      <c r="J2131" s="375"/>
      <c r="K2131" s="375"/>
      <c r="L2131" s="375"/>
      <c r="M2131" s="368"/>
      <c r="N2131" s="368"/>
      <c r="O2131" s="370"/>
      <c r="T2131" s="340"/>
      <c r="V2131" s="378"/>
      <c r="W2131" s="64" ph="1"/>
      <c r="X2131" s="241"/>
      <c r="Y2131" s="284"/>
      <c r="Z2131" s="207"/>
      <c r="AA2131" s="284"/>
      <c r="AB2131" s="284"/>
      <c r="AC2131" s="284"/>
      <c r="AD2131" s="284"/>
      <c r="AE2131" s="284"/>
      <c r="AF2131" s="284"/>
      <c r="AG2131" s="284"/>
    </row>
    <row r="2132" spans="1:33" ht="26.4">
      <c r="A2132" s="284"/>
      <c r="B2132" s="284"/>
      <c r="C2132" s="284"/>
      <c r="D2132" s="284"/>
      <c r="E2132" s="284"/>
      <c r="F2132" s="284"/>
      <c r="G2132" s="284"/>
      <c r="H2132" s="284"/>
      <c r="I2132" s="284"/>
      <c r="J2132" s="375"/>
      <c r="K2132" s="375"/>
      <c r="L2132" s="375"/>
      <c r="M2132" s="368"/>
      <c r="N2132" s="368"/>
      <c r="O2132" s="370"/>
      <c r="T2132" s="340"/>
      <c r="V2132" s="378"/>
      <c r="W2132" s="64" ph="1"/>
      <c r="X2132" s="241"/>
      <c r="Y2132" s="284"/>
      <c r="Z2132" s="207"/>
      <c r="AA2132" s="284"/>
      <c r="AB2132" s="284"/>
      <c r="AC2132" s="284"/>
      <c r="AD2132" s="284"/>
      <c r="AE2132" s="284"/>
      <c r="AF2132" s="284"/>
      <c r="AG2132" s="284"/>
    </row>
    <row r="2133" spans="1:33" ht="26.4">
      <c r="A2133" s="284"/>
      <c r="B2133" s="284"/>
      <c r="C2133" s="284"/>
      <c r="D2133" s="284"/>
      <c r="E2133" s="284"/>
      <c r="F2133" s="284"/>
      <c r="G2133" s="284"/>
      <c r="H2133" s="284"/>
      <c r="I2133" s="284"/>
      <c r="J2133" s="375"/>
      <c r="K2133" s="375"/>
      <c r="L2133" s="375"/>
      <c r="M2133" s="368"/>
      <c r="N2133" s="368"/>
      <c r="O2133" s="370"/>
      <c r="T2133" s="340"/>
      <c r="V2133" s="378"/>
      <c r="W2133" s="64" ph="1"/>
      <c r="X2133" s="241"/>
      <c r="Y2133" s="284"/>
      <c r="Z2133" s="207"/>
      <c r="AA2133" s="284"/>
      <c r="AB2133" s="284"/>
      <c r="AC2133" s="284"/>
      <c r="AD2133" s="284"/>
      <c r="AE2133" s="284"/>
      <c r="AF2133" s="284"/>
      <c r="AG2133" s="284"/>
    </row>
    <row r="2134" spans="1:33" ht="26.4">
      <c r="A2134" s="284"/>
      <c r="B2134" s="284"/>
      <c r="C2134" s="284"/>
      <c r="D2134" s="284"/>
      <c r="E2134" s="284"/>
      <c r="F2134" s="284"/>
      <c r="G2134" s="284"/>
      <c r="H2134" s="284"/>
      <c r="I2134" s="284"/>
      <c r="J2134" s="375"/>
      <c r="K2134" s="375"/>
      <c r="L2134" s="375"/>
      <c r="M2134" s="368"/>
      <c r="N2134" s="368"/>
      <c r="O2134" s="370"/>
      <c r="T2134" s="340"/>
      <c r="V2134" s="378"/>
      <c r="W2134" s="64" ph="1"/>
      <c r="X2134" s="241"/>
      <c r="Y2134" s="284"/>
      <c r="Z2134" s="207"/>
      <c r="AA2134" s="284"/>
      <c r="AB2134" s="284"/>
      <c r="AC2134" s="284"/>
      <c r="AD2134" s="284"/>
      <c r="AE2134" s="284"/>
      <c r="AF2134" s="284"/>
      <c r="AG2134" s="284"/>
    </row>
    <row r="2135" spans="1:33" ht="26.4">
      <c r="A2135" s="284"/>
      <c r="B2135" s="284"/>
      <c r="C2135" s="284"/>
      <c r="D2135" s="284"/>
      <c r="E2135" s="284"/>
      <c r="F2135" s="284"/>
      <c r="G2135" s="284"/>
      <c r="H2135" s="284"/>
      <c r="I2135" s="284"/>
      <c r="J2135" s="375"/>
      <c r="K2135" s="375"/>
      <c r="L2135" s="375"/>
      <c r="M2135" s="368"/>
      <c r="N2135" s="368"/>
      <c r="O2135" s="370"/>
      <c r="T2135" s="340"/>
      <c r="V2135" s="378"/>
      <c r="W2135" s="64" ph="1"/>
      <c r="X2135" s="241"/>
      <c r="Y2135" s="284"/>
      <c r="Z2135" s="207"/>
      <c r="AA2135" s="284"/>
      <c r="AB2135" s="284"/>
      <c r="AC2135" s="284"/>
      <c r="AD2135" s="284"/>
      <c r="AE2135" s="284"/>
      <c r="AF2135" s="284"/>
      <c r="AG2135" s="284"/>
    </row>
    <row r="2136" spans="1:33" ht="26.4">
      <c r="A2136" s="284"/>
      <c r="B2136" s="284"/>
      <c r="C2136" s="284"/>
      <c r="D2136" s="284"/>
      <c r="E2136" s="284"/>
      <c r="F2136" s="284"/>
      <c r="G2136" s="284"/>
      <c r="H2136" s="284"/>
      <c r="I2136" s="284"/>
      <c r="J2136" s="375"/>
      <c r="K2136" s="375"/>
      <c r="L2136" s="375"/>
      <c r="M2136" s="368"/>
      <c r="N2136" s="368"/>
      <c r="O2136" s="370"/>
      <c r="T2136" s="340"/>
      <c r="V2136" s="378"/>
      <c r="W2136" s="64" ph="1"/>
      <c r="X2136" s="241"/>
      <c r="Y2136" s="284"/>
      <c r="Z2136" s="207"/>
      <c r="AA2136" s="284"/>
      <c r="AB2136" s="284"/>
      <c r="AC2136" s="284"/>
      <c r="AD2136" s="284"/>
      <c r="AE2136" s="284"/>
      <c r="AF2136" s="284"/>
      <c r="AG2136" s="284"/>
    </row>
    <row r="2137" spans="1:33" ht="26.4">
      <c r="A2137" s="284"/>
      <c r="B2137" s="284"/>
      <c r="C2137" s="284"/>
      <c r="D2137" s="284"/>
      <c r="E2137" s="284"/>
      <c r="F2137" s="284"/>
      <c r="G2137" s="284"/>
      <c r="H2137" s="284"/>
      <c r="I2137" s="284"/>
      <c r="J2137" s="375"/>
      <c r="K2137" s="375"/>
      <c r="L2137" s="375"/>
      <c r="M2137" s="368"/>
      <c r="N2137" s="368"/>
      <c r="O2137" s="370"/>
      <c r="T2137" s="340"/>
      <c r="V2137" s="378"/>
      <c r="W2137" s="64" ph="1"/>
      <c r="X2137" s="241"/>
      <c r="Y2137" s="284"/>
      <c r="Z2137" s="207"/>
      <c r="AA2137" s="284"/>
      <c r="AB2137" s="284"/>
      <c r="AC2137" s="284"/>
      <c r="AD2137" s="284"/>
      <c r="AE2137" s="284"/>
      <c r="AF2137" s="284"/>
      <c r="AG2137" s="284"/>
    </row>
    <row r="2138" spans="1:33" ht="26.4">
      <c r="A2138" s="284"/>
      <c r="B2138" s="284"/>
      <c r="C2138" s="284"/>
      <c r="D2138" s="284"/>
      <c r="E2138" s="284"/>
      <c r="F2138" s="284"/>
      <c r="G2138" s="284"/>
      <c r="H2138" s="284"/>
      <c r="I2138" s="284"/>
      <c r="J2138" s="375"/>
      <c r="K2138" s="375"/>
      <c r="L2138" s="375"/>
      <c r="M2138" s="368"/>
      <c r="N2138" s="368"/>
      <c r="O2138" s="370"/>
      <c r="T2138" s="340"/>
      <c r="V2138" s="378"/>
      <c r="W2138" s="64" ph="1"/>
      <c r="X2138" s="241"/>
      <c r="Y2138" s="284"/>
      <c r="Z2138" s="207"/>
      <c r="AA2138" s="284"/>
      <c r="AB2138" s="284"/>
      <c r="AC2138" s="284"/>
      <c r="AD2138" s="284"/>
      <c r="AE2138" s="284"/>
      <c r="AF2138" s="284"/>
      <c r="AG2138" s="284"/>
    </row>
    <row r="2139" spans="1:33" ht="26.4">
      <c r="A2139" s="284"/>
      <c r="B2139" s="284"/>
      <c r="C2139" s="284"/>
      <c r="D2139" s="284"/>
      <c r="E2139" s="284"/>
      <c r="F2139" s="284"/>
      <c r="G2139" s="284"/>
      <c r="H2139" s="284"/>
      <c r="I2139" s="284"/>
      <c r="J2139" s="375"/>
      <c r="K2139" s="375"/>
      <c r="L2139" s="375"/>
      <c r="M2139" s="368"/>
      <c r="N2139" s="368"/>
      <c r="O2139" s="370"/>
      <c r="T2139" s="340"/>
      <c r="V2139" s="378"/>
      <c r="W2139" s="64" ph="1"/>
      <c r="X2139" s="241"/>
      <c r="Y2139" s="284"/>
      <c r="Z2139" s="207"/>
      <c r="AA2139" s="284"/>
      <c r="AB2139" s="284"/>
      <c r="AC2139" s="284"/>
      <c r="AD2139" s="284"/>
      <c r="AE2139" s="284"/>
      <c r="AF2139" s="284"/>
      <c r="AG2139" s="284"/>
    </row>
    <row r="2140" spans="1:33" ht="26.4">
      <c r="A2140" s="284"/>
      <c r="B2140" s="284"/>
      <c r="C2140" s="284"/>
      <c r="D2140" s="284"/>
      <c r="E2140" s="284"/>
      <c r="F2140" s="284"/>
      <c r="G2140" s="284"/>
      <c r="H2140" s="284"/>
      <c r="I2140" s="284"/>
      <c r="J2140" s="375"/>
      <c r="K2140" s="375"/>
      <c r="L2140" s="375"/>
      <c r="M2140" s="368"/>
      <c r="N2140" s="368"/>
      <c r="O2140" s="370"/>
      <c r="T2140" s="340"/>
      <c r="V2140" s="378"/>
      <c r="W2140" s="64" ph="1"/>
      <c r="X2140" s="241"/>
      <c r="Y2140" s="284"/>
      <c r="Z2140" s="207"/>
      <c r="AA2140" s="284"/>
      <c r="AB2140" s="284"/>
      <c r="AC2140" s="284"/>
      <c r="AD2140" s="284"/>
      <c r="AE2140" s="284"/>
      <c r="AF2140" s="284"/>
      <c r="AG2140" s="284"/>
    </row>
    <row r="2141" spans="1:33" ht="26.4">
      <c r="A2141" s="284"/>
      <c r="B2141" s="284"/>
      <c r="C2141" s="284"/>
      <c r="D2141" s="284"/>
      <c r="E2141" s="284"/>
      <c r="F2141" s="284"/>
      <c r="G2141" s="284"/>
      <c r="H2141" s="284"/>
      <c r="I2141" s="284"/>
      <c r="J2141" s="375"/>
      <c r="K2141" s="375"/>
      <c r="L2141" s="375"/>
      <c r="M2141" s="368"/>
      <c r="N2141" s="368"/>
      <c r="O2141" s="370"/>
      <c r="T2141" s="340"/>
      <c r="V2141" s="378"/>
      <c r="W2141" s="64" ph="1"/>
      <c r="X2141" s="241"/>
      <c r="Y2141" s="284"/>
      <c r="Z2141" s="207"/>
      <c r="AA2141" s="284"/>
      <c r="AB2141" s="284"/>
      <c r="AC2141" s="284"/>
      <c r="AD2141" s="284"/>
      <c r="AE2141" s="284"/>
      <c r="AF2141" s="284"/>
      <c r="AG2141" s="284"/>
    </row>
    <row r="2142" spans="1:33" ht="26.4">
      <c r="A2142" s="284"/>
      <c r="B2142" s="284"/>
      <c r="C2142" s="284"/>
      <c r="D2142" s="284"/>
      <c r="E2142" s="284"/>
      <c r="F2142" s="284"/>
      <c r="G2142" s="284"/>
      <c r="H2142" s="284"/>
      <c r="I2142" s="284"/>
      <c r="J2142" s="375"/>
      <c r="K2142" s="375"/>
      <c r="L2142" s="375"/>
      <c r="M2142" s="368"/>
      <c r="N2142" s="368"/>
      <c r="O2142" s="370"/>
      <c r="T2142" s="340"/>
      <c r="V2142" s="378"/>
      <c r="W2142" s="64" ph="1"/>
      <c r="X2142" s="241"/>
      <c r="Y2142" s="284"/>
      <c r="Z2142" s="207"/>
      <c r="AA2142" s="284"/>
      <c r="AB2142" s="284"/>
      <c r="AC2142" s="284"/>
      <c r="AD2142" s="284"/>
      <c r="AE2142" s="284"/>
      <c r="AF2142" s="284"/>
      <c r="AG2142" s="284"/>
    </row>
    <row r="2143" spans="1:33" ht="26.4">
      <c r="A2143" s="284"/>
      <c r="B2143" s="284"/>
      <c r="C2143" s="284"/>
      <c r="D2143" s="284"/>
      <c r="E2143" s="284"/>
      <c r="F2143" s="284"/>
      <c r="G2143" s="284"/>
      <c r="H2143" s="284"/>
      <c r="I2143" s="284"/>
      <c r="J2143" s="375"/>
      <c r="K2143" s="375"/>
      <c r="L2143" s="375"/>
      <c r="M2143" s="368"/>
      <c r="N2143" s="368"/>
      <c r="O2143" s="370"/>
      <c r="T2143" s="340"/>
      <c r="V2143" s="378"/>
      <c r="W2143" s="64" ph="1"/>
      <c r="X2143" s="241"/>
      <c r="Y2143" s="284"/>
      <c r="Z2143" s="207"/>
      <c r="AA2143" s="284"/>
      <c r="AB2143" s="284"/>
      <c r="AC2143" s="284"/>
      <c r="AD2143" s="284"/>
      <c r="AE2143" s="284"/>
      <c r="AF2143" s="284"/>
      <c r="AG2143" s="284"/>
    </row>
    <row r="2144" spans="1:33" ht="26.4">
      <c r="A2144" s="284"/>
      <c r="B2144" s="284"/>
      <c r="C2144" s="284"/>
      <c r="D2144" s="284"/>
      <c r="E2144" s="284"/>
      <c r="F2144" s="284"/>
      <c r="G2144" s="284"/>
      <c r="H2144" s="284"/>
      <c r="I2144" s="284"/>
      <c r="J2144" s="375"/>
      <c r="K2144" s="375"/>
      <c r="L2144" s="375"/>
      <c r="M2144" s="368"/>
      <c r="N2144" s="368"/>
      <c r="O2144" s="370"/>
      <c r="T2144" s="340"/>
      <c r="V2144" s="378"/>
      <c r="W2144" s="64" ph="1"/>
      <c r="X2144" s="241"/>
      <c r="Y2144" s="284"/>
      <c r="Z2144" s="207"/>
      <c r="AA2144" s="284"/>
      <c r="AB2144" s="284"/>
      <c r="AC2144" s="284"/>
      <c r="AD2144" s="284"/>
      <c r="AE2144" s="284"/>
      <c r="AF2144" s="284"/>
      <c r="AG2144" s="284"/>
    </row>
    <row r="2145" spans="1:33" ht="26.4">
      <c r="A2145" s="284"/>
      <c r="B2145" s="284"/>
      <c r="C2145" s="284"/>
      <c r="D2145" s="284"/>
      <c r="E2145" s="284"/>
      <c r="F2145" s="284"/>
      <c r="G2145" s="284"/>
      <c r="H2145" s="284"/>
      <c r="I2145" s="284"/>
      <c r="J2145" s="375"/>
      <c r="K2145" s="375"/>
      <c r="L2145" s="375"/>
      <c r="M2145" s="368"/>
      <c r="N2145" s="368"/>
      <c r="O2145" s="370"/>
      <c r="T2145" s="340"/>
      <c r="V2145" s="378"/>
      <c r="W2145" s="64" ph="1"/>
      <c r="X2145" s="241"/>
      <c r="Y2145" s="284"/>
      <c r="Z2145" s="207"/>
      <c r="AA2145" s="284"/>
      <c r="AB2145" s="284"/>
      <c r="AC2145" s="284"/>
      <c r="AD2145" s="284"/>
      <c r="AE2145" s="284"/>
      <c r="AF2145" s="284"/>
      <c r="AG2145" s="284"/>
    </row>
    <row r="2146" spans="1:33" ht="26.4">
      <c r="A2146" s="284"/>
      <c r="B2146" s="284"/>
      <c r="C2146" s="284"/>
      <c r="D2146" s="284"/>
      <c r="E2146" s="284"/>
      <c r="F2146" s="284"/>
      <c r="G2146" s="284"/>
      <c r="H2146" s="284"/>
      <c r="I2146" s="284"/>
      <c r="J2146" s="375"/>
      <c r="K2146" s="375"/>
      <c r="L2146" s="375"/>
      <c r="M2146" s="368"/>
      <c r="N2146" s="368"/>
      <c r="O2146" s="370"/>
      <c r="T2146" s="340"/>
      <c r="V2146" s="378"/>
      <c r="W2146" s="64" ph="1"/>
      <c r="X2146" s="241"/>
      <c r="Y2146" s="284"/>
      <c r="Z2146" s="207"/>
      <c r="AA2146" s="284"/>
      <c r="AB2146" s="284"/>
      <c r="AC2146" s="284"/>
      <c r="AD2146" s="284"/>
      <c r="AE2146" s="284"/>
      <c r="AF2146" s="284"/>
      <c r="AG2146" s="284"/>
    </row>
    <row r="2147" spans="1:33" ht="26.4">
      <c r="A2147" s="284"/>
      <c r="B2147" s="284"/>
      <c r="C2147" s="284"/>
      <c r="D2147" s="284"/>
      <c r="E2147" s="284"/>
      <c r="F2147" s="284"/>
      <c r="G2147" s="284"/>
      <c r="H2147" s="284"/>
      <c r="I2147" s="284"/>
      <c r="J2147" s="375"/>
      <c r="K2147" s="375"/>
      <c r="L2147" s="375"/>
      <c r="M2147" s="368"/>
      <c r="N2147" s="368"/>
      <c r="O2147" s="370"/>
      <c r="T2147" s="340"/>
      <c r="V2147" s="378"/>
      <c r="W2147" s="64" ph="1"/>
      <c r="X2147" s="241"/>
      <c r="Y2147" s="284"/>
      <c r="Z2147" s="207"/>
      <c r="AA2147" s="284"/>
      <c r="AB2147" s="284"/>
      <c r="AC2147" s="284"/>
      <c r="AD2147" s="284"/>
      <c r="AE2147" s="284"/>
      <c r="AF2147" s="284"/>
      <c r="AG2147" s="284"/>
    </row>
    <row r="2148" spans="1:33" ht="26.4">
      <c r="A2148" s="284"/>
      <c r="B2148" s="284"/>
      <c r="C2148" s="284"/>
      <c r="D2148" s="284"/>
      <c r="E2148" s="284"/>
      <c r="F2148" s="284"/>
      <c r="G2148" s="284"/>
      <c r="H2148" s="284"/>
      <c r="I2148" s="284"/>
      <c r="J2148" s="375"/>
      <c r="K2148" s="375"/>
      <c r="L2148" s="375"/>
      <c r="M2148" s="368"/>
      <c r="N2148" s="368"/>
      <c r="O2148" s="370"/>
      <c r="T2148" s="340"/>
      <c r="V2148" s="378"/>
      <c r="W2148" s="64" ph="1"/>
      <c r="X2148" s="241"/>
      <c r="Y2148" s="284"/>
      <c r="Z2148" s="207"/>
      <c r="AA2148" s="284"/>
      <c r="AB2148" s="284"/>
      <c r="AC2148" s="284"/>
      <c r="AD2148" s="284"/>
      <c r="AE2148" s="284"/>
      <c r="AF2148" s="284"/>
      <c r="AG2148" s="284"/>
    </row>
    <row r="2149" spans="1:33" ht="26.4">
      <c r="A2149" s="284"/>
      <c r="B2149" s="284"/>
      <c r="C2149" s="284"/>
      <c r="D2149" s="284"/>
      <c r="E2149" s="284"/>
      <c r="F2149" s="284"/>
      <c r="G2149" s="284"/>
      <c r="H2149" s="284"/>
      <c r="I2149" s="284"/>
      <c r="J2149" s="375"/>
      <c r="K2149" s="375"/>
      <c r="L2149" s="375"/>
      <c r="M2149" s="368"/>
      <c r="N2149" s="368"/>
      <c r="O2149" s="370"/>
      <c r="T2149" s="340"/>
      <c r="V2149" s="378"/>
      <c r="W2149" s="64" ph="1"/>
      <c r="X2149" s="241"/>
      <c r="Y2149" s="284"/>
      <c r="Z2149" s="207"/>
      <c r="AA2149" s="284"/>
      <c r="AB2149" s="284"/>
      <c r="AC2149" s="284"/>
      <c r="AD2149" s="284"/>
      <c r="AE2149" s="284"/>
      <c r="AF2149" s="284"/>
      <c r="AG2149" s="284"/>
    </row>
    <row r="2150" spans="1:33" ht="26.4">
      <c r="A2150" s="284"/>
      <c r="B2150" s="284"/>
      <c r="C2150" s="284"/>
      <c r="D2150" s="284"/>
      <c r="E2150" s="284"/>
      <c r="F2150" s="284"/>
      <c r="G2150" s="284"/>
      <c r="H2150" s="284"/>
      <c r="I2150" s="284"/>
      <c r="J2150" s="375"/>
      <c r="K2150" s="375"/>
      <c r="L2150" s="375"/>
      <c r="M2150" s="368"/>
      <c r="N2150" s="368"/>
      <c r="O2150" s="370"/>
      <c r="T2150" s="340"/>
      <c r="V2150" s="378"/>
      <c r="W2150" s="64" ph="1"/>
      <c r="X2150" s="241"/>
      <c r="Y2150" s="284"/>
      <c r="Z2150" s="207"/>
      <c r="AA2150" s="284"/>
      <c r="AB2150" s="284"/>
      <c r="AC2150" s="284"/>
      <c r="AD2150" s="284"/>
      <c r="AE2150" s="284"/>
      <c r="AF2150" s="284"/>
      <c r="AG2150" s="284"/>
    </row>
    <row r="2151" spans="1:33" ht="26.4">
      <c r="A2151" s="284"/>
      <c r="B2151" s="284"/>
      <c r="C2151" s="284"/>
      <c r="D2151" s="284"/>
      <c r="E2151" s="284"/>
      <c r="F2151" s="284"/>
      <c r="G2151" s="284"/>
      <c r="H2151" s="284"/>
      <c r="I2151" s="284"/>
      <c r="J2151" s="375"/>
      <c r="K2151" s="375"/>
      <c r="L2151" s="375"/>
      <c r="M2151" s="368"/>
      <c r="N2151" s="368"/>
      <c r="O2151" s="370"/>
      <c r="T2151" s="340"/>
      <c r="V2151" s="378"/>
      <c r="W2151" s="64" ph="1"/>
      <c r="X2151" s="241"/>
      <c r="Y2151" s="284"/>
      <c r="Z2151" s="207"/>
      <c r="AA2151" s="284"/>
      <c r="AB2151" s="284"/>
      <c r="AC2151" s="284"/>
      <c r="AD2151" s="284"/>
      <c r="AE2151" s="284"/>
      <c r="AF2151" s="284"/>
      <c r="AG2151" s="284"/>
    </row>
    <row r="2152" spans="1:33" ht="26.4">
      <c r="A2152" s="284"/>
      <c r="B2152" s="284"/>
      <c r="C2152" s="284"/>
      <c r="D2152" s="284"/>
      <c r="E2152" s="284"/>
      <c r="F2152" s="284"/>
      <c r="G2152" s="284"/>
      <c r="H2152" s="284"/>
      <c r="I2152" s="284"/>
      <c r="J2152" s="375"/>
      <c r="K2152" s="375"/>
      <c r="L2152" s="375"/>
      <c r="M2152" s="368"/>
      <c r="N2152" s="368"/>
      <c r="O2152" s="370"/>
      <c r="T2152" s="340"/>
      <c r="V2152" s="378"/>
      <c r="W2152" s="64" ph="1"/>
      <c r="X2152" s="241"/>
      <c r="Y2152" s="284"/>
      <c r="Z2152" s="207"/>
      <c r="AA2152" s="284"/>
      <c r="AB2152" s="284"/>
      <c r="AC2152" s="284"/>
      <c r="AD2152" s="284"/>
      <c r="AE2152" s="284"/>
      <c r="AF2152" s="284"/>
      <c r="AG2152" s="284"/>
    </row>
    <row r="2153" spans="1:33" ht="26.4">
      <c r="A2153" s="284"/>
      <c r="B2153" s="284"/>
      <c r="C2153" s="284"/>
      <c r="D2153" s="284"/>
      <c r="E2153" s="284"/>
      <c r="F2153" s="284"/>
      <c r="G2153" s="284"/>
      <c r="H2153" s="284"/>
      <c r="I2153" s="284"/>
      <c r="J2153" s="375"/>
      <c r="K2153" s="375"/>
      <c r="L2153" s="375"/>
      <c r="M2153" s="368"/>
      <c r="N2153" s="368"/>
      <c r="O2153" s="370"/>
      <c r="T2153" s="340"/>
      <c r="V2153" s="378"/>
      <c r="W2153" s="64" ph="1"/>
      <c r="X2153" s="241"/>
      <c r="Y2153" s="284"/>
      <c r="Z2153" s="207"/>
      <c r="AA2153" s="284"/>
      <c r="AB2153" s="284"/>
      <c r="AC2153" s="284"/>
      <c r="AD2153" s="284"/>
      <c r="AE2153" s="284"/>
      <c r="AF2153" s="284"/>
      <c r="AG2153" s="284"/>
    </row>
    <row r="2154" spans="1:33" ht="26.4">
      <c r="A2154" s="284"/>
      <c r="B2154" s="284"/>
      <c r="C2154" s="284"/>
      <c r="D2154" s="284"/>
      <c r="E2154" s="284"/>
      <c r="F2154" s="284"/>
      <c r="G2154" s="284"/>
      <c r="H2154" s="284"/>
      <c r="I2154" s="284"/>
      <c r="J2154" s="375"/>
      <c r="K2154" s="375"/>
      <c r="L2154" s="375"/>
      <c r="M2154" s="368"/>
      <c r="N2154" s="368"/>
      <c r="O2154" s="370"/>
      <c r="T2154" s="340"/>
      <c r="V2154" s="378"/>
      <c r="W2154" s="64" ph="1"/>
      <c r="X2154" s="241"/>
      <c r="Y2154" s="284"/>
      <c r="Z2154" s="207"/>
      <c r="AA2154" s="284"/>
      <c r="AB2154" s="284"/>
      <c r="AC2154" s="284"/>
      <c r="AD2154" s="284"/>
      <c r="AE2154" s="284"/>
      <c r="AF2154" s="284"/>
      <c r="AG2154" s="284"/>
    </row>
    <row r="2155" spans="1:33" ht="26.4">
      <c r="A2155" s="284"/>
      <c r="B2155" s="284"/>
      <c r="C2155" s="284"/>
      <c r="D2155" s="284"/>
      <c r="E2155" s="284"/>
      <c r="F2155" s="284"/>
      <c r="G2155" s="284"/>
      <c r="H2155" s="284"/>
      <c r="I2155" s="284"/>
      <c r="J2155" s="375"/>
      <c r="K2155" s="375"/>
      <c r="L2155" s="375"/>
      <c r="M2155" s="368"/>
      <c r="N2155" s="368"/>
      <c r="O2155" s="370"/>
      <c r="T2155" s="340"/>
      <c r="V2155" s="378"/>
      <c r="W2155" s="64" ph="1"/>
      <c r="X2155" s="241"/>
      <c r="Y2155" s="284"/>
      <c r="Z2155" s="207"/>
      <c r="AA2155" s="284"/>
      <c r="AB2155" s="284"/>
      <c r="AC2155" s="284"/>
      <c r="AD2155" s="284"/>
      <c r="AE2155" s="284"/>
      <c r="AF2155" s="284"/>
      <c r="AG2155" s="284"/>
    </row>
    <row r="2156" spans="1:33" ht="26.4">
      <c r="A2156" s="284"/>
      <c r="B2156" s="284"/>
      <c r="C2156" s="284"/>
      <c r="D2156" s="284"/>
      <c r="E2156" s="284"/>
      <c r="F2156" s="284"/>
      <c r="G2156" s="284"/>
      <c r="H2156" s="284"/>
      <c r="I2156" s="284"/>
      <c r="J2156" s="375"/>
      <c r="K2156" s="375"/>
      <c r="L2156" s="375"/>
      <c r="M2156" s="368"/>
      <c r="N2156" s="368"/>
      <c r="O2156" s="370"/>
      <c r="T2156" s="340"/>
      <c r="V2156" s="378"/>
      <c r="W2156" s="64" ph="1"/>
      <c r="X2156" s="241"/>
      <c r="Y2156" s="284"/>
      <c r="Z2156" s="207"/>
      <c r="AA2156" s="284"/>
      <c r="AB2156" s="284"/>
      <c r="AC2156" s="284"/>
      <c r="AD2156" s="284"/>
      <c r="AE2156" s="284"/>
      <c r="AF2156" s="284"/>
      <c r="AG2156" s="284"/>
    </row>
    <row r="2157" spans="1:33" ht="26.4">
      <c r="A2157" s="284"/>
      <c r="B2157" s="284"/>
      <c r="C2157" s="284"/>
      <c r="D2157" s="284"/>
      <c r="E2157" s="284"/>
      <c r="F2157" s="284"/>
      <c r="G2157" s="284"/>
      <c r="H2157" s="284"/>
      <c r="I2157" s="284"/>
      <c r="J2157" s="375"/>
      <c r="K2157" s="375"/>
      <c r="L2157" s="375"/>
      <c r="M2157" s="368"/>
      <c r="N2157" s="368"/>
      <c r="O2157" s="370"/>
      <c r="T2157" s="340"/>
      <c r="V2157" s="378"/>
      <c r="W2157" s="64" ph="1"/>
      <c r="X2157" s="241"/>
      <c r="Y2157" s="284"/>
      <c r="Z2157" s="207"/>
      <c r="AA2157" s="284"/>
      <c r="AB2157" s="284"/>
      <c r="AC2157" s="284"/>
      <c r="AD2157" s="284"/>
      <c r="AE2157" s="284"/>
      <c r="AF2157" s="284"/>
      <c r="AG2157" s="284"/>
    </row>
    <row r="2158" spans="1:33" ht="26.4">
      <c r="A2158" s="284"/>
      <c r="B2158" s="284"/>
      <c r="C2158" s="284"/>
      <c r="D2158" s="284"/>
      <c r="E2158" s="284"/>
      <c r="F2158" s="284"/>
      <c r="G2158" s="284"/>
      <c r="H2158" s="284"/>
      <c r="I2158" s="284"/>
      <c r="J2158" s="375"/>
      <c r="K2158" s="375"/>
      <c r="L2158" s="375"/>
      <c r="M2158" s="368"/>
      <c r="N2158" s="368"/>
      <c r="O2158" s="370"/>
      <c r="T2158" s="340"/>
      <c r="V2158" s="378"/>
      <c r="W2158" s="64" ph="1"/>
      <c r="X2158" s="241"/>
      <c r="Y2158" s="284"/>
      <c r="Z2158" s="207"/>
      <c r="AA2158" s="284"/>
      <c r="AB2158" s="284"/>
      <c r="AC2158" s="284"/>
      <c r="AD2158" s="284"/>
      <c r="AE2158" s="284"/>
      <c r="AF2158" s="284"/>
      <c r="AG2158" s="284"/>
    </row>
    <row r="2159" spans="1:33" ht="26.4">
      <c r="A2159" s="284"/>
      <c r="B2159" s="284"/>
      <c r="C2159" s="284"/>
      <c r="D2159" s="284"/>
      <c r="E2159" s="284"/>
      <c r="F2159" s="284"/>
      <c r="G2159" s="284"/>
      <c r="H2159" s="284"/>
      <c r="I2159" s="284"/>
      <c r="J2159" s="375"/>
      <c r="K2159" s="375"/>
      <c r="L2159" s="375"/>
      <c r="M2159" s="368"/>
      <c r="N2159" s="368"/>
      <c r="O2159" s="370"/>
      <c r="T2159" s="340"/>
      <c r="V2159" s="378"/>
      <c r="W2159" s="64" ph="1"/>
      <c r="X2159" s="241"/>
      <c r="Y2159" s="284"/>
      <c r="Z2159" s="207"/>
      <c r="AA2159" s="284"/>
      <c r="AB2159" s="284"/>
      <c r="AC2159" s="284"/>
      <c r="AD2159" s="284"/>
      <c r="AE2159" s="284"/>
      <c r="AF2159" s="284"/>
      <c r="AG2159" s="284"/>
    </row>
    <row r="2160" spans="1:33" ht="26.4">
      <c r="A2160" s="284"/>
      <c r="B2160" s="284"/>
      <c r="C2160" s="284"/>
      <c r="D2160" s="284"/>
      <c r="E2160" s="284"/>
      <c r="F2160" s="284"/>
      <c r="G2160" s="284"/>
      <c r="H2160" s="284"/>
      <c r="I2160" s="284"/>
      <c r="J2160" s="375"/>
      <c r="K2160" s="375"/>
      <c r="L2160" s="375"/>
      <c r="M2160" s="368"/>
      <c r="N2160" s="368"/>
      <c r="O2160" s="370"/>
      <c r="T2160" s="340"/>
      <c r="V2160" s="378"/>
      <c r="W2160" s="64" ph="1"/>
      <c r="X2160" s="241"/>
      <c r="Y2160" s="284"/>
      <c r="Z2160" s="207"/>
      <c r="AA2160" s="284"/>
      <c r="AB2160" s="284"/>
      <c r="AC2160" s="284"/>
      <c r="AD2160" s="284"/>
      <c r="AE2160" s="284"/>
      <c r="AF2160" s="284"/>
      <c r="AG2160" s="284"/>
    </row>
    <row r="2161" spans="1:33" ht="26.4">
      <c r="A2161" s="284"/>
      <c r="B2161" s="284"/>
      <c r="C2161" s="284"/>
      <c r="D2161" s="284"/>
      <c r="E2161" s="284"/>
      <c r="F2161" s="284"/>
      <c r="G2161" s="284"/>
      <c r="H2161" s="284"/>
      <c r="I2161" s="284"/>
      <c r="J2161" s="375"/>
      <c r="K2161" s="375"/>
      <c r="L2161" s="375"/>
      <c r="M2161" s="368"/>
      <c r="N2161" s="368"/>
      <c r="O2161" s="370"/>
      <c r="T2161" s="340"/>
      <c r="V2161" s="378"/>
      <c r="W2161" s="64" ph="1"/>
      <c r="X2161" s="241"/>
      <c r="Y2161" s="284"/>
      <c r="Z2161" s="207"/>
      <c r="AA2161" s="284"/>
      <c r="AB2161" s="284"/>
      <c r="AC2161" s="284"/>
      <c r="AD2161" s="284"/>
      <c r="AE2161" s="284"/>
      <c r="AF2161" s="284"/>
      <c r="AG2161" s="284"/>
    </row>
    <row r="2162" spans="1:33" ht="26.4">
      <c r="A2162" s="284"/>
      <c r="B2162" s="284"/>
      <c r="C2162" s="284"/>
      <c r="D2162" s="284"/>
      <c r="E2162" s="284"/>
      <c r="F2162" s="284"/>
      <c r="G2162" s="284"/>
      <c r="H2162" s="284"/>
      <c r="I2162" s="284"/>
      <c r="J2162" s="375"/>
      <c r="K2162" s="375"/>
      <c r="L2162" s="375"/>
      <c r="M2162" s="368"/>
      <c r="N2162" s="368"/>
      <c r="O2162" s="370"/>
      <c r="T2162" s="340"/>
      <c r="V2162" s="378"/>
      <c r="W2162" s="64" ph="1"/>
      <c r="X2162" s="241"/>
      <c r="Y2162" s="284"/>
      <c r="Z2162" s="207"/>
      <c r="AA2162" s="284"/>
      <c r="AB2162" s="284"/>
      <c r="AC2162" s="284"/>
      <c r="AD2162" s="284"/>
      <c r="AE2162" s="284"/>
      <c r="AF2162" s="284"/>
      <c r="AG2162" s="284"/>
    </row>
    <row r="2163" spans="1:33" ht="26.4">
      <c r="A2163" s="284"/>
      <c r="B2163" s="284"/>
      <c r="C2163" s="284"/>
      <c r="D2163" s="284"/>
      <c r="E2163" s="284"/>
      <c r="F2163" s="284"/>
      <c r="G2163" s="284"/>
      <c r="H2163" s="284"/>
      <c r="I2163" s="284"/>
      <c r="J2163" s="375"/>
      <c r="K2163" s="375"/>
      <c r="L2163" s="375"/>
      <c r="M2163" s="368"/>
      <c r="N2163" s="368"/>
      <c r="O2163" s="370"/>
      <c r="T2163" s="340"/>
      <c r="V2163" s="378"/>
      <c r="W2163" s="64" ph="1"/>
      <c r="X2163" s="241"/>
      <c r="Y2163" s="284"/>
      <c r="Z2163" s="207"/>
      <c r="AA2163" s="284"/>
      <c r="AB2163" s="284"/>
      <c r="AC2163" s="284"/>
      <c r="AD2163" s="284"/>
      <c r="AE2163" s="284"/>
      <c r="AF2163" s="284"/>
      <c r="AG2163" s="284"/>
    </row>
    <row r="2164" spans="1:33" ht="26.4">
      <c r="A2164" s="284"/>
      <c r="B2164" s="284"/>
      <c r="C2164" s="284"/>
      <c r="D2164" s="284"/>
      <c r="E2164" s="284"/>
      <c r="F2164" s="284"/>
      <c r="G2164" s="284"/>
      <c r="H2164" s="284"/>
      <c r="I2164" s="284"/>
      <c r="J2164" s="375"/>
      <c r="K2164" s="375"/>
      <c r="L2164" s="375"/>
      <c r="M2164" s="368"/>
      <c r="N2164" s="368"/>
      <c r="O2164" s="370"/>
      <c r="T2164" s="340"/>
      <c r="V2164" s="378"/>
      <c r="W2164" s="64" ph="1"/>
      <c r="X2164" s="241"/>
      <c r="Y2164" s="284"/>
      <c r="Z2164" s="207"/>
      <c r="AA2164" s="284"/>
      <c r="AB2164" s="284"/>
      <c r="AC2164" s="284"/>
      <c r="AD2164" s="284"/>
      <c r="AE2164" s="284"/>
      <c r="AF2164" s="284"/>
      <c r="AG2164" s="284"/>
    </row>
    <row r="2165" spans="1:33" ht="26.4">
      <c r="A2165" s="284"/>
      <c r="B2165" s="284"/>
      <c r="C2165" s="284"/>
      <c r="D2165" s="284"/>
      <c r="E2165" s="284"/>
      <c r="F2165" s="284"/>
      <c r="G2165" s="284"/>
      <c r="H2165" s="284"/>
      <c r="I2165" s="284"/>
      <c r="J2165" s="375"/>
      <c r="K2165" s="375"/>
      <c r="L2165" s="375"/>
      <c r="M2165" s="368"/>
      <c r="N2165" s="368"/>
      <c r="O2165" s="370"/>
      <c r="T2165" s="340"/>
      <c r="V2165" s="378"/>
      <c r="W2165" s="64" ph="1"/>
      <c r="X2165" s="241"/>
      <c r="Y2165" s="284"/>
      <c r="Z2165" s="207"/>
      <c r="AA2165" s="284"/>
      <c r="AB2165" s="284"/>
      <c r="AC2165" s="284"/>
      <c r="AD2165" s="284"/>
      <c r="AE2165" s="284"/>
      <c r="AF2165" s="284"/>
      <c r="AG2165" s="284"/>
    </row>
    <row r="2166" spans="1:33" ht="26.4">
      <c r="A2166" s="284"/>
      <c r="B2166" s="284"/>
      <c r="C2166" s="284"/>
      <c r="D2166" s="284"/>
      <c r="E2166" s="284"/>
      <c r="F2166" s="284"/>
      <c r="G2166" s="284"/>
      <c r="H2166" s="284"/>
      <c r="I2166" s="284"/>
      <c r="J2166" s="375"/>
      <c r="K2166" s="375"/>
      <c r="L2166" s="375"/>
      <c r="M2166" s="368"/>
      <c r="N2166" s="368"/>
      <c r="O2166" s="370"/>
      <c r="T2166" s="340"/>
      <c r="V2166" s="378"/>
      <c r="W2166" s="64" ph="1"/>
      <c r="X2166" s="241"/>
      <c r="Y2166" s="284"/>
      <c r="Z2166" s="207"/>
      <c r="AA2166" s="284"/>
      <c r="AB2166" s="284"/>
      <c r="AC2166" s="284"/>
      <c r="AD2166" s="284"/>
      <c r="AE2166" s="284"/>
      <c r="AF2166" s="284"/>
      <c r="AG2166" s="284"/>
    </row>
    <row r="2167" spans="1:33" ht="26.4">
      <c r="A2167" s="284"/>
      <c r="B2167" s="284"/>
      <c r="C2167" s="284"/>
      <c r="D2167" s="284"/>
      <c r="E2167" s="284"/>
      <c r="F2167" s="284"/>
      <c r="G2167" s="284"/>
      <c r="H2167" s="284"/>
      <c r="I2167" s="284"/>
      <c r="J2167" s="375"/>
      <c r="K2167" s="375"/>
      <c r="L2167" s="375"/>
      <c r="M2167" s="368"/>
      <c r="N2167" s="368"/>
      <c r="O2167" s="370"/>
      <c r="T2167" s="340"/>
      <c r="V2167" s="378"/>
      <c r="W2167" s="64" ph="1"/>
      <c r="X2167" s="241"/>
      <c r="Y2167" s="284"/>
      <c r="Z2167" s="207"/>
      <c r="AA2167" s="284"/>
      <c r="AB2167" s="284"/>
      <c r="AC2167" s="284"/>
      <c r="AD2167" s="284"/>
      <c r="AE2167" s="284"/>
      <c r="AF2167" s="284"/>
      <c r="AG2167" s="284"/>
    </row>
    <row r="2168" spans="1:33" ht="26.4">
      <c r="A2168" s="284"/>
      <c r="B2168" s="284"/>
      <c r="C2168" s="284"/>
      <c r="D2168" s="284"/>
      <c r="E2168" s="284"/>
      <c r="F2168" s="284"/>
      <c r="G2168" s="284"/>
      <c r="H2168" s="284"/>
      <c r="I2168" s="284"/>
      <c r="J2168" s="375"/>
      <c r="K2168" s="375"/>
      <c r="L2168" s="375"/>
      <c r="M2168" s="368"/>
      <c r="N2168" s="368"/>
      <c r="O2168" s="370"/>
      <c r="T2168" s="340"/>
      <c r="V2168" s="378"/>
      <c r="W2168" s="64" ph="1"/>
      <c r="X2168" s="241"/>
      <c r="Y2168" s="284"/>
      <c r="Z2168" s="207"/>
      <c r="AA2168" s="284"/>
      <c r="AB2168" s="284"/>
      <c r="AC2168" s="284"/>
      <c r="AD2168" s="284"/>
      <c r="AE2168" s="284"/>
      <c r="AF2168" s="284"/>
      <c r="AG2168" s="284"/>
    </row>
    <row r="2169" spans="1:33" ht="26.4">
      <c r="A2169" s="284"/>
      <c r="B2169" s="284"/>
      <c r="C2169" s="284"/>
      <c r="D2169" s="284"/>
      <c r="E2169" s="284"/>
      <c r="F2169" s="284"/>
      <c r="G2169" s="284"/>
      <c r="H2169" s="284"/>
      <c r="I2169" s="284"/>
      <c r="J2169" s="375"/>
      <c r="K2169" s="375"/>
      <c r="L2169" s="375"/>
      <c r="M2169" s="368"/>
      <c r="N2169" s="368"/>
      <c r="O2169" s="370"/>
      <c r="T2169" s="340"/>
      <c r="V2169" s="378"/>
      <c r="W2169" s="64" ph="1"/>
      <c r="X2169" s="241"/>
      <c r="Y2169" s="284"/>
      <c r="Z2169" s="207"/>
      <c r="AA2169" s="284"/>
      <c r="AB2169" s="284"/>
      <c r="AC2169" s="284"/>
      <c r="AD2169" s="284"/>
      <c r="AE2169" s="284"/>
      <c r="AF2169" s="284"/>
      <c r="AG2169" s="284"/>
    </row>
    <row r="2170" spans="1:33" ht="26.4">
      <c r="A2170" s="284"/>
      <c r="B2170" s="284"/>
      <c r="C2170" s="284"/>
      <c r="D2170" s="284"/>
      <c r="E2170" s="284"/>
      <c r="F2170" s="284"/>
      <c r="G2170" s="284"/>
      <c r="H2170" s="284"/>
      <c r="I2170" s="284"/>
      <c r="J2170" s="375"/>
      <c r="K2170" s="375"/>
      <c r="L2170" s="375"/>
      <c r="M2170" s="368"/>
      <c r="N2170" s="368"/>
      <c r="O2170" s="370"/>
      <c r="T2170" s="340"/>
      <c r="V2170" s="378"/>
      <c r="W2170" s="64" ph="1"/>
      <c r="X2170" s="241"/>
      <c r="Y2170" s="284"/>
      <c r="Z2170" s="207"/>
      <c r="AA2170" s="284"/>
      <c r="AB2170" s="284"/>
      <c r="AC2170" s="284"/>
      <c r="AD2170" s="284"/>
      <c r="AE2170" s="284"/>
      <c r="AF2170" s="284"/>
      <c r="AG2170" s="284"/>
    </row>
    <row r="2171" spans="1:33" ht="26.4">
      <c r="A2171" s="284"/>
      <c r="B2171" s="284"/>
      <c r="C2171" s="284"/>
      <c r="D2171" s="284"/>
      <c r="E2171" s="284"/>
      <c r="F2171" s="284"/>
      <c r="G2171" s="284"/>
      <c r="H2171" s="284"/>
      <c r="I2171" s="284"/>
      <c r="J2171" s="375"/>
      <c r="K2171" s="375"/>
      <c r="L2171" s="375"/>
      <c r="M2171" s="368"/>
      <c r="N2171" s="368"/>
      <c r="O2171" s="370"/>
      <c r="T2171" s="340"/>
      <c r="V2171" s="378"/>
      <c r="W2171" s="64" ph="1"/>
      <c r="X2171" s="241"/>
      <c r="Y2171" s="284"/>
      <c r="Z2171" s="207"/>
      <c r="AA2171" s="284"/>
      <c r="AB2171" s="284"/>
      <c r="AC2171" s="284"/>
      <c r="AD2171" s="284"/>
      <c r="AE2171" s="284"/>
      <c r="AF2171" s="284"/>
      <c r="AG2171" s="284"/>
    </row>
    <row r="2172" spans="1:33" ht="26.4">
      <c r="A2172" s="284"/>
      <c r="B2172" s="284"/>
      <c r="C2172" s="284"/>
      <c r="D2172" s="284"/>
      <c r="E2172" s="284"/>
      <c r="F2172" s="284"/>
      <c r="G2172" s="284"/>
      <c r="H2172" s="284"/>
      <c r="I2172" s="284"/>
      <c r="J2172" s="375"/>
      <c r="K2172" s="375"/>
      <c r="L2172" s="375"/>
      <c r="M2172" s="368"/>
      <c r="N2172" s="368"/>
      <c r="O2172" s="370"/>
      <c r="T2172" s="340"/>
      <c r="V2172" s="378"/>
      <c r="W2172" s="64" ph="1"/>
      <c r="X2172" s="241"/>
      <c r="Y2172" s="284"/>
      <c r="Z2172" s="207"/>
      <c r="AA2172" s="284"/>
      <c r="AB2172" s="284"/>
      <c r="AC2172" s="284"/>
      <c r="AD2172" s="284"/>
      <c r="AE2172" s="284"/>
      <c r="AF2172" s="284"/>
      <c r="AG2172" s="284"/>
    </row>
    <row r="2173" spans="1:33" ht="26.4">
      <c r="A2173" s="284"/>
      <c r="B2173" s="284"/>
      <c r="C2173" s="284"/>
      <c r="D2173" s="284"/>
      <c r="E2173" s="284"/>
      <c r="F2173" s="284"/>
      <c r="G2173" s="284"/>
      <c r="H2173" s="284"/>
      <c r="I2173" s="284"/>
      <c r="J2173" s="375"/>
      <c r="K2173" s="375"/>
      <c r="L2173" s="375"/>
      <c r="M2173" s="368"/>
      <c r="N2173" s="368"/>
      <c r="O2173" s="370"/>
      <c r="T2173" s="340"/>
      <c r="V2173" s="378"/>
      <c r="W2173" s="64" ph="1"/>
      <c r="X2173" s="241"/>
      <c r="Y2173" s="284"/>
      <c r="Z2173" s="207"/>
      <c r="AA2173" s="284"/>
      <c r="AB2173" s="284"/>
      <c r="AC2173" s="284"/>
      <c r="AD2173" s="284"/>
      <c r="AE2173" s="284"/>
      <c r="AF2173" s="284"/>
      <c r="AG2173" s="284"/>
    </row>
    <row r="2174" spans="1:33" ht="26.4">
      <c r="A2174" s="284"/>
      <c r="B2174" s="284"/>
      <c r="C2174" s="284"/>
      <c r="D2174" s="284"/>
      <c r="E2174" s="284"/>
      <c r="F2174" s="284"/>
      <c r="G2174" s="284"/>
      <c r="H2174" s="284"/>
      <c r="I2174" s="284"/>
      <c r="J2174" s="375"/>
      <c r="K2174" s="375"/>
      <c r="L2174" s="375"/>
      <c r="M2174" s="368"/>
      <c r="N2174" s="368"/>
      <c r="O2174" s="370"/>
      <c r="T2174" s="340"/>
      <c r="V2174" s="378"/>
      <c r="W2174" s="64" ph="1"/>
      <c r="X2174" s="241"/>
      <c r="Y2174" s="284"/>
      <c r="Z2174" s="207"/>
      <c r="AA2174" s="284"/>
      <c r="AB2174" s="284"/>
      <c r="AC2174" s="284"/>
      <c r="AD2174" s="284"/>
      <c r="AE2174" s="284"/>
      <c r="AF2174" s="284"/>
      <c r="AG2174" s="284"/>
    </row>
    <row r="2175" spans="1:33" ht="26.4">
      <c r="A2175" s="284"/>
      <c r="B2175" s="284"/>
      <c r="C2175" s="284"/>
      <c r="D2175" s="284"/>
      <c r="E2175" s="284"/>
      <c r="F2175" s="284"/>
      <c r="G2175" s="284"/>
      <c r="H2175" s="284"/>
      <c r="I2175" s="284"/>
      <c r="J2175" s="375"/>
      <c r="K2175" s="375"/>
      <c r="L2175" s="375"/>
      <c r="M2175" s="368"/>
      <c r="N2175" s="368"/>
      <c r="O2175" s="370"/>
      <c r="T2175" s="340"/>
      <c r="V2175" s="378"/>
      <c r="W2175" s="64" ph="1"/>
      <c r="X2175" s="241"/>
      <c r="Y2175" s="284"/>
      <c r="Z2175" s="207"/>
      <c r="AA2175" s="284"/>
      <c r="AB2175" s="284"/>
      <c r="AC2175" s="284"/>
      <c r="AD2175" s="284"/>
      <c r="AE2175" s="284"/>
      <c r="AF2175" s="284"/>
      <c r="AG2175" s="284"/>
    </row>
    <row r="2176" spans="1:33" ht="26.4">
      <c r="A2176" s="284"/>
      <c r="B2176" s="284"/>
      <c r="C2176" s="284"/>
      <c r="D2176" s="284"/>
      <c r="E2176" s="284"/>
      <c r="F2176" s="284"/>
      <c r="G2176" s="284"/>
      <c r="H2176" s="284"/>
      <c r="I2176" s="284"/>
      <c r="J2176" s="375"/>
      <c r="K2176" s="375"/>
      <c r="L2176" s="375"/>
      <c r="M2176" s="368"/>
      <c r="N2176" s="368"/>
      <c r="O2176" s="370"/>
      <c r="T2176" s="340"/>
      <c r="V2176" s="378"/>
      <c r="W2176" s="64" ph="1"/>
      <c r="X2176" s="241"/>
      <c r="Y2176" s="284"/>
      <c r="Z2176" s="207"/>
      <c r="AA2176" s="284"/>
      <c r="AB2176" s="284"/>
      <c r="AC2176" s="284"/>
      <c r="AD2176" s="284"/>
      <c r="AE2176" s="284"/>
      <c r="AF2176" s="284"/>
      <c r="AG2176" s="284"/>
    </row>
    <row r="2177" spans="1:33" ht="26.4">
      <c r="A2177" s="284"/>
      <c r="B2177" s="284"/>
      <c r="C2177" s="284"/>
      <c r="D2177" s="284"/>
      <c r="E2177" s="284"/>
      <c r="F2177" s="284"/>
      <c r="G2177" s="284"/>
      <c r="H2177" s="284"/>
      <c r="I2177" s="284"/>
      <c r="J2177" s="375"/>
      <c r="K2177" s="375"/>
      <c r="L2177" s="375"/>
      <c r="M2177" s="368"/>
      <c r="N2177" s="368"/>
      <c r="O2177" s="370"/>
      <c r="T2177" s="340"/>
      <c r="V2177" s="378"/>
      <c r="W2177" s="64" ph="1"/>
      <c r="X2177" s="241"/>
      <c r="Y2177" s="284"/>
      <c r="Z2177" s="207"/>
      <c r="AA2177" s="284"/>
      <c r="AB2177" s="284"/>
      <c r="AC2177" s="284"/>
      <c r="AD2177" s="284"/>
      <c r="AE2177" s="284"/>
      <c r="AF2177" s="284"/>
      <c r="AG2177" s="284"/>
    </row>
    <row r="2178" spans="1:33" ht="26.4">
      <c r="A2178" s="284"/>
      <c r="B2178" s="284"/>
      <c r="C2178" s="284"/>
      <c r="D2178" s="284"/>
      <c r="E2178" s="284"/>
      <c r="F2178" s="284"/>
      <c r="G2178" s="284"/>
      <c r="H2178" s="284"/>
      <c r="I2178" s="284"/>
      <c r="J2178" s="375"/>
      <c r="K2178" s="375"/>
      <c r="L2178" s="375"/>
      <c r="M2178" s="368"/>
      <c r="N2178" s="368"/>
      <c r="O2178" s="370"/>
      <c r="T2178" s="340"/>
      <c r="V2178" s="378"/>
      <c r="W2178" s="64" ph="1"/>
      <c r="X2178" s="241"/>
      <c r="Y2178" s="284"/>
      <c r="Z2178" s="207"/>
      <c r="AA2178" s="284"/>
      <c r="AB2178" s="284"/>
      <c r="AC2178" s="284"/>
      <c r="AD2178" s="284"/>
      <c r="AE2178" s="284"/>
      <c r="AF2178" s="284"/>
      <c r="AG2178" s="284"/>
    </row>
    <row r="2179" spans="1:33" ht="26.4">
      <c r="A2179" s="284"/>
      <c r="B2179" s="284"/>
      <c r="C2179" s="284"/>
      <c r="D2179" s="284"/>
      <c r="E2179" s="284"/>
      <c r="F2179" s="284"/>
      <c r="G2179" s="284"/>
      <c r="H2179" s="284"/>
      <c r="I2179" s="284"/>
      <c r="J2179" s="375"/>
      <c r="K2179" s="375"/>
      <c r="L2179" s="375"/>
      <c r="M2179" s="368"/>
      <c r="N2179" s="368"/>
      <c r="O2179" s="370"/>
      <c r="T2179" s="340"/>
      <c r="V2179" s="378"/>
      <c r="W2179" s="64" ph="1"/>
      <c r="X2179" s="241"/>
      <c r="Y2179" s="284"/>
      <c r="Z2179" s="207"/>
      <c r="AA2179" s="284"/>
      <c r="AB2179" s="284"/>
      <c r="AC2179" s="284"/>
      <c r="AD2179" s="284"/>
      <c r="AE2179" s="284"/>
      <c r="AF2179" s="284"/>
      <c r="AG2179" s="284"/>
    </row>
    <row r="2180" spans="1:33" ht="26.4">
      <c r="A2180" s="284"/>
      <c r="B2180" s="284"/>
      <c r="C2180" s="284"/>
      <c r="D2180" s="284"/>
      <c r="E2180" s="284"/>
      <c r="F2180" s="284"/>
      <c r="G2180" s="284"/>
      <c r="H2180" s="284"/>
      <c r="I2180" s="284"/>
      <c r="J2180" s="375"/>
      <c r="K2180" s="375"/>
      <c r="L2180" s="375"/>
      <c r="M2180" s="368"/>
      <c r="N2180" s="368"/>
      <c r="O2180" s="370"/>
      <c r="T2180" s="340"/>
      <c r="V2180" s="378"/>
      <c r="W2180" s="64" ph="1"/>
      <c r="X2180" s="241"/>
      <c r="Y2180" s="284"/>
      <c r="Z2180" s="207"/>
      <c r="AA2180" s="284"/>
      <c r="AB2180" s="284"/>
      <c r="AC2180" s="284"/>
      <c r="AD2180" s="284"/>
      <c r="AE2180" s="284"/>
      <c r="AF2180" s="284"/>
      <c r="AG2180" s="284"/>
    </row>
    <row r="2181" spans="1:33" ht="26.4">
      <c r="A2181" s="284"/>
      <c r="B2181" s="284"/>
      <c r="C2181" s="284"/>
      <c r="D2181" s="284"/>
      <c r="E2181" s="284"/>
      <c r="F2181" s="284"/>
      <c r="G2181" s="284"/>
      <c r="H2181" s="284"/>
      <c r="I2181" s="284"/>
      <c r="J2181" s="375"/>
      <c r="K2181" s="375"/>
      <c r="L2181" s="375"/>
      <c r="M2181" s="368"/>
      <c r="N2181" s="368"/>
      <c r="O2181" s="370"/>
      <c r="T2181" s="340"/>
      <c r="V2181" s="378"/>
      <c r="W2181" s="64" ph="1"/>
      <c r="X2181" s="241"/>
      <c r="Y2181" s="284"/>
      <c r="Z2181" s="207"/>
      <c r="AA2181" s="284"/>
      <c r="AB2181" s="284"/>
      <c r="AC2181" s="284"/>
      <c r="AD2181" s="284"/>
      <c r="AE2181" s="284"/>
      <c r="AF2181" s="284"/>
      <c r="AG2181" s="284"/>
    </row>
    <row r="2182" spans="1:33" ht="26.4">
      <c r="A2182" s="284"/>
      <c r="B2182" s="284"/>
      <c r="C2182" s="284"/>
      <c r="D2182" s="284"/>
      <c r="E2182" s="284"/>
      <c r="F2182" s="284"/>
      <c r="G2182" s="284"/>
      <c r="H2182" s="284"/>
      <c r="I2182" s="284"/>
      <c r="J2182" s="375"/>
      <c r="K2182" s="375"/>
      <c r="L2182" s="375"/>
      <c r="M2182" s="368"/>
      <c r="N2182" s="368"/>
      <c r="O2182" s="370"/>
      <c r="T2182" s="340"/>
      <c r="V2182" s="378"/>
      <c r="W2182" s="64" ph="1"/>
      <c r="X2182" s="241"/>
      <c r="Y2182" s="284"/>
      <c r="Z2182" s="207"/>
      <c r="AA2182" s="284"/>
      <c r="AB2182" s="284"/>
      <c r="AC2182" s="284"/>
      <c r="AD2182" s="284"/>
      <c r="AE2182" s="284"/>
      <c r="AF2182" s="284"/>
      <c r="AG2182" s="284"/>
    </row>
    <row r="2183" spans="1:33" ht="26.4">
      <c r="A2183" s="284"/>
      <c r="B2183" s="284"/>
      <c r="C2183" s="284"/>
      <c r="D2183" s="284"/>
      <c r="E2183" s="284"/>
      <c r="F2183" s="284"/>
      <c r="G2183" s="284"/>
      <c r="H2183" s="284"/>
      <c r="I2183" s="284"/>
      <c r="J2183" s="375"/>
      <c r="K2183" s="375"/>
      <c r="L2183" s="375"/>
      <c r="M2183" s="368"/>
      <c r="N2183" s="368"/>
      <c r="O2183" s="370"/>
      <c r="T2183" s="340"/>
      <c r="V2183" s="378"/>
      <c r="W2183" s="64" ph="1"/>
      <c r="X2183" s="241"/>
      <c r="Y2183" s="284"/>
      <c r="Z2183" s="207"/>
      <c r="AA2183" s="284"/>
      <c r="AB2183" s="284"/>
      <c r="AC2183" s="284"/>
      <c r="AD2183" s="284"/>
      <c r="AE2183" s="284"/>
      <c r="AF2183" s="284"/>
      <c r="AG2183" s="284"/>
    </row>
    <row r="2184" spans="1:33" ht="26.4">
      <c r="A2184" s="284"/>
      <c r="B2184" s="284"/>
      <c r="C2184" s="284"/>
      <c r="D2184" s="284"/>
      <c r="E2184" s="284"/>
      <c r="F2184" s="284"/>
      <c r="G2184" s="284"/>
      <c r="H2184" s="284"/>
      <c r="I2184" s="284"/>
      <c r="J2184" s="375"/>
      <c r="K2184" s="375"/>
      <c r="L2184" s="375"/>
      <c r="M2184" s="368"/>
      <c r="N2184" s="368"/>
      <c r="O2184" s="370"/>
      <c r="T2184" s="340"/>
      <c r="V2184" s="378"/>
      <c r="W2184" s="64" ph="1"/>
      <c r="X2184" s="241"/>
      <c r="Y2184" s="284"/>
      <c r="Z2184" s="207"/>
      <c r="AA2184" s="284"/>
      <c r="AB2184" s="284"/>
      <c r="AC2184" s="284"/>
      <c r="AD2184" s="284"/>
      <c r="AE2184" s="284"/>
      <c r="AF2184" s="284"/>
      <c r="AG2184" s="284"/>
    </row>
    <row r="2185" spans="1:33" ht="26.4">
      <c r="A2185" s="284"/>
      <c r="B2185" s="284"/>
      <c r="C2185" s="284"/>
      <c r="D2185" s="284"/>
      <c r="E2185" s="284"/>
      <c r="F2185" s="284"/>
      <c r="G2185" s="284"/>
      <c r="H2185" s="284"/>
      <c r="I2185" s="284"/>
      <c r="J2185" s="375"/>
      <c r="K2185" s="375"/>
      <c r="L2185" s="375"/>
      <c r="M2185" s="368"/>
      <c r="N2185" s="368"/>
      <c r="O2185" s="370"/>
      <c r="T2185" s="340"/>
      <c r="V2185" s="378"/>
      <c r="W2185" s="64" ph="1"/>
      <c r="X2185" s="241"/>
      <c r="Y2185" s="284"/>
      <c r="Z2185" s="207"/>
      <c r="AA2185" s="284"/>
      <c r="AB2185" s="284"/>
      <c r="AC2185" s="284"/>
      <c r="AD2185" s="284"/>
      <c r="AE2185" s="284"/>
      <c r="AF2185" s="284"/>
      <c r="AG2185" s="284"/>
    </row>
    <row r="2186" spans="1:33" ht="26.4">
      <c r="A2186" s="284"/>
      <c r="B2186" s="284"/>
      <c r="C2186" s="284"/>
      <c r="D2186" s="284"/>
      <c r="E2186" s="284"/>
      <c r="F2186" s="284"/>
      <c r="G2186" s="284"/>
      <c r="H2186" s="284"/>
      <c r="I2186" s="284"/>
      <c r="J2186" s="375"/>
      <c r="K2186" s="375"/>
      <c r="L2186" s="375"/>
      <c r="M2186" s="368"/>
      <c r="N2186" s="368"/>
      <c r="O2186" s="370"/>
      <c r="T2186" s="340"/>
      <c r="V2186" s="378"/>
      <c r="W2186" s="64" ph="1"/>
      <c r="X2186" s="241"/>
      <c r="Y2186" s="284"/>
      <c r="Z2186" s="207"/>
      <c r="AA2186" s="284"/>
      <c r="AB2186" s="284"/>
      <c r="AC2186" s="284"/>
      <c r="AD2186" s="284"/>
      <c r="AE2186" s="284"/>
      <c r="AF2186" s="284"/>
      <c r="AG2186" s="284"/>
    </row>
    <row r="2187" spans="1:33" ht="26.4">
      <c r="A2187" s="284"/>
      <c r="B2187" s="284"/>
      <c r="C2187" s="284"/>
      <c r="D2187" s="284"/>
      <c r="E2187" s="284"/>
      <c r="F2187" s="284"/>
      <c r="G2187" s="284"/>
      <c r="H2187" s="284"/>
      <c r="I2187" s="284"/>
      <c r="J2187" s="375"/>
      <c r="K2187" s="375"/>
      <c r="L2187" s="375"/>
      <c r="M2187" s="368"/>
      <c r="N2187" s="368"/>
      <c r="O2187" s="370"/>
      <c r="T2187" s="340"/>
      <c r="V2187" s="378"/>
      <c r="W2187" s="64" ph="1"/>
      <c r="X2187" s="241"/>
      <c r="Y2187" s="284"/>
      <c r="Z2187" s="207"/>
      <c r="AA2187" s="284"/>
      <c r="AB2187" s="284"/>
      <c r="AC2187" s="284"/>
      <c r="AD2187" s="284"/>
      <c r="AE2187" s="284"/>
      <c r="AF2187" s="284"/>
      <c r="AG2187" s="284"/>
    </row>
    <row r="2188" spans="1:33" ht="26.4">
      <c r="A2188" s="284"/>
      <c r="B2188" s="284"/>
      <c r="C2188" s="284"/>
      <c r="D2188" s="284"/>
      <c r="E2188" s="284"/>
      <c r="F2188" s="284"/>
      <c r="G2188" s="284"/>
      <c r="H2188" s="284"/>
      <c r="I2188" s="284"/>
      <c r="J2188" s="375"/>
      <c r="K2188" s="375"/>
      <c r="L2188" s="375"/>
      <c r="M2188" s="368"/>
      <c r="N2188" s="368"/>
      <c r="O2188" s="370"/>
      <c r="T2188" s="340"/>
      <c r="V2188" s="378"/>
      <c r="W2188" s="64" ph="1"/>
      <c r="X2188" s="241"/>
      <c r="Y2188" s="284"/>
      <c r="Z2188" s="207"/>
      <c r="AA2188" s="284"/>
      <c r="AB2188" s="284"/>
      <c r="AC2188" s="284"/>
      <c r="AD2188" s="284"/>
      <c r="AE2188" s="284"/>
      <c r="AF2188" s="284"/>
      <c r="AG2188" s="284"/>
    </row>
    <row r="2189" spans="1:33" ht="26.4">
      <c r="A2189" s="284"/>
      <c r="B2189" s="284"/>
      <c r="C2189" s="284"/>
      <c r="D2189" s="284"/>
      <c r="E2189" s="284"/>
      <c r="F2189" s="284"/>
      <c r="G2189" s="284"/>
      <c r="H2189" s="284"/>
      <c r="I2189" s="284"/>
      <c r="J2189" s="375"/>
      <c r="K2189" s="375"/>
      <c r="L2189" s="375"/>
      <c r="M2189" s="368"/>
      <c r="N2189" s="368"/>
      <c r="O2189" s="370"/>
      <c r="T2189" s="340"/>
      <c r="V2189" s="378"/>
      <c r="W2189" s="64" ph="1"/>
      <c r="X2189" s="241"/>
      <c r="Y2189" s="284"/>
      <c r="Z2189" s="207"/>
      <c r="AA2189" s="284"/>
      <c r="AB2189" s="284"/>
      <c r="AC2189" s="284"/>
      <c r="AD2189" s="284"/>
      <c r="AE2189" s="284"/>
      <c r="AF2189" s="284"/>
      <c r="AG2189" s="284"/>
    </row>
    <row r="2190" spans="1:33" ht="26.4">
      <c r="A2190" s="284"/>
      <c r="B2190" s="284"/>
      <c r="C2190" s="284"/>
      <c r="D2190" s="284"/>
      <c r="E2190" s="284"/>
      <c r="F2190" s="284"/>
      <c r="G2190" s="284"/>
      <c r="H2190" s="284"/>
      <c r="I2190" s="284"/>
      <c r="J2190" s="375"/>
      <c r="K2190" s="375"/>
      <c r="L2190" s="375"/>
      <c r="M2190" s="368"/>
      <c r="N2190" s="368"/>
      <c r="O2190" s="370"/>
      <c r="T2190" s="340"/>
      <c r="V2190" s="378"/>
      <c r="W2190" s="64" ph="1"/>
      <c r="X2190" s="241"/>
      <c r="Y2190" s="284"/>
      <c r="Z2190" s="207"/>
      <c r="AA2190" s="284"/>
      <c r="AB2190" s="284"/>
      <c r="AC2190" s="284"/>
      <c r="AD2190" s="284"/>
      <c r="AE2190" s="284"/>
      <c r="AF2190" s="284"/>
      <c r="AG2190" s="284"/>
    </row>
    <row r="2191" spans="1:33" ht="26.4">
      <c r="A2191" s="284"/>
      <c r="B2191" s="284"/>
      <c r="C2191" s="284"/>
      <c r="D2191" s="284"/>
      <c r="E2191" s="284"/>
      <c r="F2191" s="284"/>
      <c r="G2191" s="284"/>
      <c r="H2191" s="284"/>
      <c r="I2191" s="284"/>
      <c r="J2191" s="375"/>
      <c r="K2191" s="375"/>
      <c r="L2191" s="375"/>
      <c r="M2191" s="368"/>
      <c r="N2191" s="368"/>
      <c r="O2191" s="370"/>
      <c r="T2191" s="340"/>
      <c r="V2191" s="378"/>
      <c r="W2191" s="64" ph="1"/>
      <c r="X2191" s="241"/>
      <c r="Y2191" s="284"/>
      <c r="Z2191" s="207"/>
      <c r="AA2191" s="284"/>
      <c r="AB2191" s="284"/>
      <c r="AC2191" s="284"/>
      <c r="AD2191" s="284"/>
      <c r="AE2191" s="284"/>
      <c r="AF2191" s="284"/>
      <c r="AG2191" s="284"/>
    </row>
    <row r="2192" spans="1:33" ht="26.4">
      <c r="A2192" s="284"/>
      <c r="B2192" s="284"/>
      <c r="C2192" s="284"/>
      <c r="D2192" s="284"/>
      <c r="E2192" s="284"/>
      <c r="F2192" s="284"/>
      <c r="G2192" s="284"/>
      <c r="H2192" s="284"/>
      <c r="I2192" s="284"/>
      <c r="J2192" s="375"/>
      <c r="K2192" s="375"/>
      <c r="L2192" s="375"/>
      <c r="M2192" s="368"/>
      <c r="N2192" s="368"/>
      <c r="O2192" s="370"/>
      <c r="T2192" s="340"/>
      <c r="V2192" s="378"/>
      <c r="W2192" s="64" ph="1"/>
      <c r="X2192" s="241"/>
      <c r="Y2192" s="284"/>
      <c r="Z2192" s="207"/>
      <c r="AA2192" s="284"/>
      <c r="AB2192" s="284"/>
      <c r="AC2192" s="284"/>
      <c r="AD2192" s="284"/>
      <c r="AE2192" s="284"/>
      <c r="AF2192" s="284"/>
      <c r="AG2192" s="284"/>
    </row>
    <row r="2193" spans="1:33" ht="26.4">
      <c r="A2193" s="284"/>
      <c r="B2193" s="284"/>
      <c r="C2193" s="284"/>
      <c r="D2193" s="284"/>
      <c r="E2193" s="284"/>
      <c r="F2193" s="284"/>
      <c r="G2193" s="284"/>
      <c r="H2193" s="284"/>
      <c r="I2193" s="284"/>
      <c r="J2193" s="375"/>
      <c r="K2193" s="375"/>
      <c r="L2193" s="375"/>
      <c r="M2193" s="368"/>
      <c r="N2193" s="368"/>
      <c r="O2193" s="370"/>
      <c r="T2193" s="340"/>
      <c r="V2193" s="378"/>
      <c r="W2193" s="64" ph="1"/>
      <c r="X2193" s="241"/>
      <c r="Y2193" s="284"/>
      <c r="Z2193" s="207"/>
      <c r="AA2193" s="284"/>
      <c r="AB2193" s="284"/>
      <c r="AC2193" s="284"/>
      <c r="AD2193" s="284"/>
      <c r="AE2193" s="284"/>
      <c r="AF2193" s="284"/>
      <c r="AG2193" s="284"/>
    </row>
    <row r="2194" spans="1:33" ht="26.4">
      <c r="A2194" s="284"/>
      <c r="B2194" s="284"/>
      <c r="C2194" s="284"/>
      <c r="D2194" s="284"/>
      <c r="E2194" s="284"/>
      <c r="F2194" s="284"/>
      <c r="G2194" s="284"/>
      <c r="H2194" s="284"/>
      <c r="I2194" s="284"/>
      <c r="J2194" s="375"/>
      <c r="K2194" s="375"/>
      <c r="L2194" s="375"/>
      <c r="M2194" s="368"/>
      <c r="N2194" s="368"/>
      <c r="O2194" s="370"/>
      <c r="T2194" s="340"/>
      <c r="V2194" s="378"/>
      <c r="W2194" s="64" ph="1"/>
      <c r="X2194" s="241"/>
      <c r="Y2194" s="284"/>
      <c r="Z2194" s="207"/>
      <c r="AA2194" s="284"/>
      <c r="AB2194" s="284"/>
      <c r="AC2194" s="284"/>
      <c r="AD2194" s="284"/>
      <c r="AE2194" s="284"/>
      <c r="AF2194" s="284"/>
      <c r="AG2194" s="284"/>
    </row>
    <row r="2195" spans="1:33" ht="26.4">
      <c r="A2195" s="284"/>
      <c r="B2195" s="284"/>
      <c r="C2195" s="284"/>
      <c r="D2195" s="284"/>
      <c r="E2195" s="284"/>
      <c r="F2195" s="284"/>
      <c r="G2195" s="284"/>
      <c r="H2195" s="284"/>
      <c r="I2195" s="284"/>
      <c r="J2195" s="375"/>
      <c r="K2195" s="375"/>
      <c r="L2195" s="375"/>
      <c r="M2195" s="368"/>
      <c r="N2195" s="368"/>
      <c r="O2195" s="370"/>
      <c r="T2195" s="340"/>
      <c r="V2195" s="378"/>
      <c r="W2195" s="64" ph="1"/>
      <c r="X2195" s="241"/>
      <c r="Y2195" s="284"/>
      <c r="Z2195" s="207"/>
      <c r="AA2195" s="284"/>
      <c r="AB2195" s="284"/>
      <c r="AC2195" s="284"/>
      <c r="AD2195" s="284"/>
      <c r="AE2195" s="284"/>
      <c r="AF2195" s="284"/>
      <c r="AG2195" s="284"/>
    </row>
    <row r="2196" spans="1:33" ht="26.4">
      <c r="A2196" s="284"/>
      <c r="B2196" s="284"/>
      <c r="C2196" s="284"/>
      <c r="D2196" s="284"/>
      <c r="E2196" s="284"/>
      <c r="F2196" s="284"/>
      <c r="G2196" s="284"/>
      <c r="H2196" s="284"/>
      <c r="I2196" s="284"/>
      <c r="J2196" s="375"/>
      <c r="K2196" s="375"/>
      <c r="L2196" s="375"/>
      <c r="M2196" s="368"/>
      <c r="N2196" s="368"/>
      <c r="O2196" s="370"/>
      <c r="T2196" s="340"/>
      <c r="V2196" s="378"/>
      <c r="W2196" s="64" ph="1"/>
      <c r="X2196" s="241"/>
      <c r="Y2196" s="284"/>
      <c r="Z2196" s="207"/>
      <c r="AA2196" s="284"/>
      <c r="AB2196" s="284"/>
      <c r="AC2196" s="284"/>
      <c r="AD2196" s="284"/>
      <c r="AE2196" s="284"/>
      <c r="AF2196" s="284"/>
      <c r="AG2196" s="284"/>
    </row>
    <row r="2197" spans="1:33" ht="26.4">
      <c r="A2197" s="284"/>
      <c r="B2197" s="284"/>
      <c r="C2197" s="284"/>
      <c r="D2197" s="284"/>
      <c r="E2197" s="284"/>
      <c r="F2197" s="284"/>
      <c r="G2197" s="284"/>
      <c r="H2197" s="284"/>
      <c r="I2197" s="284"/>
      <c r="J2197" s="375"/>
      <c r="K2197" s="375"/>
      <c r="L2197" s="375"/>
      <c r="M2197" s="368"/>
      <c r="N2197" s="368"/>
      <c r="O2197" s="370"/>
      <c r="T2197" s="340"/>
      <c r="V2197" s="378"/>
      <c r="W2197" s="64" ph="1"/>
      <c r="X2197" s="241"/>
      <c r="Y2197" s="284"/>
      <c r="Z2197" s="207"/>
      <c r="AA2197" s="284"/>
      <c r="AB2197" s="284"/>
      <c r="AC2197" s="284"/>
      <c r="AD2197" s="284"/>
      <c r="AE2197" s="284"/>
      <c r="AF2197" s="284"/>
      <c r="AG2197" s="284"/>
    </row>
    <row r="2198" spans="1:33" ht="26.4">
      <c r="A2198" s="284"/>
      <c r="B2198" s="284"/>
      <c r="C2198" s="284"/>
      <c r="D2198" s="284"/>
      <c r="E2198" s="284"/>
      <c r="F2198" s="284"/>
      <c r="G2198" s="284"/>
      <c r="H2198" s="284"/>
      <c r="I2198" s="284"/>
      <c r="J2198" s="375"/>
      <c r="K2198" s="375"/>
      <c r="L2198" s="375"/>
      <c r="M2198" s="368"/>
      <c r="N2198" s="368"/>
      <c r="O2198" s="370"/>
      <c r="T2198" s="340"/>
      <c r="V2198" s="378"/>
      <c r="W2198" s="64" ph="1"/>
      <c r="X2198" s="241"/>
      <c r="Y2198" s="284"/>
      <c r="Z2198" s="207"/>
      <c r="AA2198" s="284"/>
      <c r="AB2198" s="284"/>
      <c r="AC2198" s="284"/>
      <c r="AD2198" s="284"/>
      <c r="AE2198" s="284"/>
      <c r="AF2198" s="284"/>
      <c r="AG2198" s="284"/>
    </row>
    <row r="2199" spans="1:33" ht="26.4">
      <c r="A2199" s="284"/>
      <c r="B2199" s="284"/>
      <c r="C2199" s="284"/>
      <c r="D2199" s="284"/>
      <c r="E2199" s="284"/>
      <c r="F2199" s="284"/>
      <c r="G2199" s="284"/>
      <c r="H2199" s="284"/>
      <c r="I2199" s="284"/>
      <c r="J2199" s="375"/>
      <c r="K2199" s="375"/>
      <c r="L2199" s="375"/>
      <c r="M2199" s="368"/>
      <c r="N2199" s="368"/>
      <c r="O2199" s="370"/>
      <c r="T2199" s="340"/>
      <c r="V2199" s="378"/>
      <c r="W2199" s="64" ph="1"/>
      <c r="X2199" s="241"/>
      <c r="Y2199" s="284"/>
      <c r="Z2199" s="207"/>
      <c r="AA2199" s="284"/>
      <c r="AB2199" s="284"/>
      <c r="AC2199" s="284"/>
      <c r="AD2199" s="284"/>
      <c r="AE2199" s="284"/>
      <c r="AF2199" s="284"/>
      <c r="AG2199" s="284"/>
    </row>
    <row r="2200" spans="1:33" ht="26.4">
      <c r="A2200" s="284"/>
      <c r="B2200" s="284"/>
      <c r="C2200" s="284"/>
      <c r="D2200" s="284"/>
      <c r="E2200" s="284"/>
      <c r="F2200" s="284"/>
      <c r="G2200" s="284"/>
      <c r="H2200" s="284"/>
      <c r="I2200" s="284"/>
      <c r="J2200" s="375"/>
      <c r="K2200" s="375"/>
      <c r="L2200" s="375"/>
      <c r="M2200" s="368"/>
      <c r="N2200" s="368"/>
      <c r="O2200" s="370"/>
      <c r="T2200" s="340"/>
      <c r="V2200" s="378"/>
      <c r="W2200" s="64" ph="1"/>
      <c r="X2200" s="241"/>
      <c r="Y2200" s="284"/>
      <c r="Z2200" s="207"/>
      <c r="AA2200" s="284"/>
      <c r="AB2200" s="284"/>
      <c r="AC2200" s="284"/>
      <c r="AD2200" s="284"/>
      <c r="AE2200" s="284"/>
      <c r="AF2200" s="284"/>
      <c r="AG2200" s="284"/>
    </row>
    <row r="2201" spans="1:33" ht="26.4">
      <c r="A2201" s="284"/>
      <c r="B2201" s="284"/>
      <c r="C2201" s="284"/>
      <c r="D2201" s="284"/>
      <c r="E2201" s="284"/>
      <c r="F2201" s="284"/>
      <c r="G2201" s="284"/>
      <c r="H2201" s="284"/>
      <c r="I2201" s="284"/>
      <c r="J2201" s="375"/>
      <c r="K2201" s="375"/>
      <c r="L2201" s="375"/>
      <c r="M2201" s="368"/>
      <c r="N2201" s="368"/>
      <c r="O2201" s="370"/>
      <c r="T2201" s="340"/>
      <c r="V2201" s="378"/>
      <c r="W2201" s="64" ph="1"/>
      <c r="X2201" s="241"/>
      <c r="Y2201" s="284"/>
      <c r="Z2201" s="207"/>
      <c r="AA2201" s="284"/>
      <c r="AB2201" s="284"/>
      <c r="AC2201" s="284"/>
      <c r="AD2201" s="284"/>
      <c r="AE2201" s="284"/>
      <c r="AF2201" s="284"/>
      <c r="AG2201" s="284"/>
    </row>
    <row r="2202" spans="1:33" ht="26.4">
      <c r="A2202" s="284"/>
      <c r="B2202" s="284"/>
      <c r="C2202" s="284"/>
      <c r="D2202" s="284"/>
      <c r="E2202" s="284"/>
      <c r="F2202" s="284"/>
      <c r="G2202" s="284"/>
      <c r="H2202" s="284"/>
      <c r="I2202" s="284"/>
      <c r="J2202" s="375"/>
      <c r="K2202" s="375"/>
      <c r="L2202" s="375"/>
      <c r="M2202" s="368"/>
      <c r="N2202" s="368"/>
      <c r="O2202" s="370"/>
      <c r="T2202" s="340"/>
      <c r="V2202" s="378"/>
      <c r="W2202" s="64" ph="1"/>
      <c r="X2202" s="241"/>
      <c r="Y2202" s="284"/>
      <c r="Z2202" s="207"/>
      <c r="AA2202" s="284"/>
      <c r="AB2202" s="284"/>
      <c r="AC2202" s="284"/>
      <c r="AD2202" s="284"/>
      <c r="AE2202" s="284"/>
      <c r="AF2202" s="284"/>
      <c r="AG2202" s="284"/>
    </row>
    <row r="2203" spans="1:33" ht="26.4">
      <c r="A2203" s="284"/>
      <c r="B2203" s="284"/>
      <c r="C2203" s="284"/>
      <c r="D2203" s="284"/>
      <c r="E2203" s="284"/>
      <c r="F2203" s="284"/>
      <c r="G2203" s="284"/>
      <c r="H2203" s="284"/>
      <c r="I2203" s="284"/>
      <c r="J2203" s="375"/>
      <c r="K2203" s="375"/>
      <c r="L2203" s="375"/>
      <c r="M2203" s="368"/>
      <c r="N2203" s="368"/>
      <c r="O2203" s="370"/>
      <c r="T2203" s="340"/>
      <c r="V2203" s="378"/>
      <c r="W2203" s="64" ph="1"/>
      <c r="X2203" s="241"/>
      <c r="Y2203" s="284"/>
      <c r="Z2203" s="207"/>
      <c r="AA2203" s="284"/>
      <c r="AB2203" s="284"/>
      <c r="AC2203" s="284"/>
      <c r="AD2203" s="284"/>
      <c r="AE2203" s="284"/>
      <c r="AF2203" s="284"/>
      <c r="AG2203" s="284"/>
    </row>
    <row r="2204" spans="1:33" ht="26.4">
      <c r="A2204" s="284"/>
      <c r="B2204" s="284"/>
      <c r="C2204" s="284"/>
      <c r="D2204" s="284"/>
      <c r="E2204" s="284"/>
      <c r="F2204" s="284"/>
      <c r="G2204" s="284"/>
      <c r="H2204" s="284"/>
      <c r="I2204" s="284"/>
      <c r="J2204" s="375"/>
      <c r="K2204" s="375"/>
      <c r="L2204" s="375"/>
      <c r="M2204" s="368"/>
      <c r="N2204" s="368"/>
      <c r="O2204" s="370"/>
      <c r="T2204" s="340"/>
      <c r="V2204" s="378"/>
      <c r="W2204" s="64" ph="1"/>
      <c r="X2204" s="241"/>
      <c r="Y2204" s="284"/>
      <c r="Z2204" s="207"/>
      <c r="AA2204" s="284"/>
      <c r="AB2204" s="284"/>
      <c r="AC2204" s="284"/>
      <c r="AD2204" s="284"/>
      <c r="AE2204" s="284"/>
      <c r="AF2204" s="284"/>
      <c r="AG2204" s="284"/>
    </row>
    <row r="2205" spans="1:33" ht="26.4">
      <c r="A2205" s="284"/>
      <c r="B2205" s="284"/>
      <c r="C2205" s="284"/>
      <c r="D2205" s="284"/>
      <c r="E2205" s="284"/>
      <c r="F2205" s="284"/>
      <c r="G2205" s="284"/>
      <c r="H2205" s="284"/>
      <c r="I2205" s="284"/>
      <c r="J2205" s="375"/>
      <c r="K2205" s="375"/>
      <c r="L2205" s="375"/>
      <c r="M2205" s="368"/>
      <c r="N2205" s="368"/>
      <c r="O2205" s="370"/>
      <c r="T2205" s="340"/>
      <c r="V2205" s="378"/>
      <c r="W2205" s="64" ph="1"/>
      <c r="X2205" s="241"/>
      <c r="Y2205" s="284"/>
      <c r="Z2205" s="207"/>
      <c r="AA2205" s="284"/>
      <c r="AB2205" s="284"/>
      <c r="AC2205" s="284"/>
      <c r="AD2205" s="284"/>
      <c r="AE2205" s="284"/>
      <c r="AF2205" s="284"/>
      <c r="AG2205" s="284"/>
    </row>
    <row r="2206" spans="1:33" ht="26.4">
      <c r="A2206" s="284"/>
      <c r="B2206" s="284"/>
      <c r="C2206" s="284"/>
      <c r="D2206" s="284"/>
      <c r="E2206" s="284"/>
      <c r="F2206" s="284"/>
      <c r="G2206" s="284"/>
      <c r="H2206" s="284"/>
      <c r="I2206" s="284"/>
      <c r="J2206" s="375"/>
      <c r="K2206" s="375"/>
      <c r="L2206" s="375"/>
      <c r="M2206" s="368"/>
      <c r="N2206" s="368"/>
      <c r="O2206" s="370"/>
      <c r="T2206" s="340"/>
      <c r="V2206" s="378"/>
      <c r="W2206" s="64" ph="1"/>
      <c r="X2206" s="241"/>
      <c r="Y2206" s="284"/>
      <c r="Z2206" s="207"/>
      <c r="AA2206" s="284"/>
      <c r="AB2206" s="284"/>
      <c r="AC2206" s="284"/>
      <c r="AD2206" s="284"/>
      <c r="AE2206" s="284"/>
      <c r="AF2206" s="284"/>
      <c r="AG2206" s="284"/>
    </row>
    <row r="2207" spans="1:33" ht="26.4">
      <c r="A2207" s="284"/>
      <c r="B2207" s="284"/>
      <c r="C2207" s="284"/>
      <c r="D2207" s="284"/>
      <c r="E2207" s="284"/>
      <c r="F2207" s="284"/>
      <c r="G2207" s="284"/>
      <c r="H2207" s="284"/>
      <c r="I2207" s="284"/>
      <c r="J2207" s="375"/>
      <c r="K2207" s="375"/>
      <c r="L2207" s="375"/>
      <c r="M2207" s="368"/>
      <c r="N2207" s="368"/>
      <c r="O2207" s="370"/>
      <c r="T2207" s="340"/>
      <c r="V2207" s="378"/>
      <c r="W2207" s="64" ph="1"/>
      <c r="X2207" s="241"/>
      <c r="Y2207" s="284"/>
      <c r="Z2207" s="207"/>
      <c r="AA2207" s="284"/>
      <c r="AB2207" s="284"/>
      <c r="AC2207" s="284"/>
      <c r="AD2207" s="284"/>
      <c r="AE2207" s="284"/>
      <c r="AF2207" s="284"/>
      <c r="AG2207" s="284"/>
    </row>
    <row r="2208" spans="1:33" ht="26.4">
      <c r="A2208" s="284"/>
      <c r="B2208" s="284"/>
      <c r="C2208" s="284"/>
      <c r="D2208" s="284"/>
      <c r="E2208" s="284"/>
      <c r="F2208" s="284"/>
      <c r="G2208" s="284"/>
      <c r="H2208" s="284"/>
      <c r="I2208" s="284"/>
      <c r="J2208" s="375"/>
      <c r="K2208" s="375"/>
      <c r="L2208" s="375"/>
      <c r="M2208" s="368"/>
      <c r="N2208" s="368"/>
      <c r="O2208" s="370"/>
      <c r="T2208" s="340"/>
      <c r="V2208" s="378"/>
      <c r="W2208" s="64" ph="1"/>
      <c r="X2208" s="241"/>
      <c r="Y2208" s="284"/>
      <c r="Z2208" s="207"/>
      <c r="AA2208" s="284"/>
      <c r="AB2208" s="284"/>
      <c r="AC2208" s="284"/>
      <c r="AD2208" s="284"/>
      <c r="AE2208" s="284"/>
      <c r="AF2208" s="284"/>
      <c r="AG2208" s="284"/>
    </row>
    <row r="2209" spans="1:33" ht="26.4">
      <c r="A2209" s="284"/>
      <c r="B2209" s="284"/>
      <c r="C2209" s="284"/>
      <c r="D2209" s="284"/>
      <c r="E2209" s="284"/>
      <c r="F2209" s="284"/>
      <c r="G2209" s="284"/>
      <c r="H2209" s="284"/>
      <c r="I2209" s="284"/>
      <c r="J2209" s="375"/>
      <c r="K2209" s="375"/>
      <c r="L2209" s="375"/>
      <c r="M2209" s="368"/>
      <c r="N2209" s="368"/>
      <c r="O2209" s="370"/>
      <c r="T2209" s="340"/>
      <c r="V2209" s="378"/>
      <c r="W2209" s="64" ph="1"/>
      <c r="X2209" s="241"/>
      <c r="Y2209" s="284"/>
      <c r="Z2209" s="207"/>
      <c r="AA2209" s="284"/>
      <c r="AB2209" s="284"/>
      <c r="AC2209" s="284"/>
      <c r="AD2209" s="284"/>
      <c r="AE2209" s="284"/>
      <c r="AF2209" s="284"/>
      <c r="AG2209" s="284"/>
    </row>
    <row r="2210" spans="1:33" ht="26.4">
      <c r="A2210" s="284"/>
      <c r="B2210" s="284"/>
      <c r="C2210" s="284"/>
      <c r="D2210" s="284"/>
      <c r="E2210" s="284"/>
      <c r="F2210" s="284"/>
      <c r="G2210" s="284"/>
      <c r="H2210" s="284"/>
      <c r="I2210" s="284"/>
      <c r="J2210" s="375"/>
      <c r="K2210" s="375"/>
      <c r="L2210" s="375"/>
      <c r="M2210" s="368"/>
      <c r="N2210" s="368"/>
      <c r="O2210" s="370"/>
      <c r="T2210" s="340"/>
      <c r="V2210" s="378"/>
      <c r="W2210" s="64" ph="1"/>
      <c r="X2210" s="241"/>
      <c r="Y2210" s="284"/>
      <c r="Z2210" s="207"/>
      <c r="AA2210" s="284"/>
      <c r="AB2210" s="284"/>
      <c r="AC2210" s="284"/>
      <c r="AD2210" s="284"/>
      <c r="AE2210" s="284"/>
      <c r="AF2210" s="284"/>
      <c r="AG2210" s="284"/>
    </row>
    <row r="2211" spans="1:33" ht="26.4">
      <c r="A2211" s="284"/>
      <c r="B2211" s="284"/>
      <c r="C2211" s="284"/>
      <c r="D2211" s="284"/>
      <c r="E2211" s="284"/>
      <c r="F2211" s="284"/>
      <c r="G2211" s="284"/>
      <c r="H2211" s="284"/>
      <c r="I2211" s="284"/>
      <c r="J2211" s="375"/>
      <c r="K2211" s="375"/>
      <c r="L2211" s="375"/>
      <c r="M2211" s="368"/>
      <c r="N2211" s="368"/>
      <c r="O2211" s="370"/>
      <c r="T2211" s="340"/>
      <c r="V2211" s="378"/>
      <c r="W2211" s="64" ph="1"/>
      <c r="X2211" s="241"/>
      <c r="Y2211" s="284"/>
      <c r="Z2211" s="207"/>
      <c r="AA2211" s="284"/>
      <c r="AB2211" s="284"/>
      <c r="AC2211" s="284"/>
      <c r="AD2211" s="284"/>
      <c r="AE2211" s="284"/>
      <c r="AF2211" s="284"/>
      <c r="AG2211" s="284"/>
    </row>
    <row r="2212" spans="1:33" ht="26.4">
      <c r="A2212" s="284"/>
      <c r="B2212" s="284"/>
      <c r="C2212" s="284"/>
      <c r="D2212" s="284"/>
      <c r="E2212" s="284"/>
      <c r="F2212" s="284"/>
      <c r="G2212" s="284"/>
      <c r="H2212" s="284"/>
      <c r="I2212" s="284"/>
      <c r="J2212" s="375"/>
      <c r="K2212" s="375"/>
      <c r="L2212" s="375"/>
      <c r="M2212" s="368"/>
      <c r="N2212" s="368"/>
      <c r="O2212" s="370"/>
      <c r="T2212" s="340"/>
      <c r="V2212" s="378"/>
      <c r="W2212" s="64" ph="1"/>
      <c r="X2212" s="241"/>
      <c r="Y2212" s="284"/>
      <c r="Z2212" s="207"/>
      <c r="AA2212" s="284"/>
      <c r="AB2212" s="284"/>
      <c r="AC2212" s="284"/>
      <c r="AD2212" s="284"/>
      <c r="AE2212" s="284"/>
      <c r="AF2212" s="284"/>
      <c r="AG2212" s="284"/>
    </row>
    <row r="2213" spans="1:33" ht="26.4">
      <c r="A2213" s="284"/>
      <c r="B2213" s="284"/>
      <c r="C2213" s="284"/>
      <c r="D2213" s="284"/>
      <c r="E2213" s="284"/>
      <c r="F2213" s="284"/>
      <c r="G2213" s="284"/>
      <c r="H2213" s="284"/>
      <c r="I2213" s="284"/>
      <c r="J2213" s="375"/>
      <c r="K2213" s="375"/>
      <c r="L2213" s="375"/>
      <c r="M2213" s="368"/>
      <c r="N2213" s="368"/>
      <c r="O2213" s="370"/>
      <c r="T2213" s="340"/>
      <c r="V2213" s="378"/>
      <c r="W2213" s="64" ph="1"/>
      <c r="X2213" s="241"/>
      <c r="Y2213" s="284"/>
      <c r="Z2213" s="207"/>
      <c r="AA2213" s="284"/>
      <c r="AB2213" s="284"/>
      <c r="AC2213" s="284"/>
      <c r="AD2213" s="284"/>
      <c r="AE2213" s="284"/>
      <c r="AF2213" s="284"/>
      <c r="AG2213" s="284"/>
    </row>
    <row r="2214" spans="1:33" ht="26.4">
      <c r="A2214" s="284"/>
      <c r="B2214" s="284"/>
      <c r="C2214" s="284"/>
      <c r="D2214" s="284"/>
      <c r="E2214" s="284"/>
      <c r="F2214" s="284"/>
      <c r="G2214" s="284"/>
      <c r="H2214" s="284"/>
      <c r="I2214" s="284"/>
      <c r="J2214" s="375"/>
      <c r="K2214" s="375"/>
      <c r="L2214" s="375"/>
      <c r="M2214" s="368"/>
      <c r="N2214" s="368"/>
      <c r="O2214" s="370"/>
      <c r="T2214" s="340"/>
      <c r="V2214" s="378"/>
      <c r="W2214" s="64" ph="1"/>
      <c r="X2214" s="241"/>
      <c r="Y2214" s="284"/>
      <c r="Z2214" s="207"/>
      <c r="AA2214" s="284"/>
      <c r="AB2214" s="284"/>
      <c r="AC2214" s="284"/>
      <c r="AD2214" s="284"/>
      <c r="AE2214" s="284"/>
      <c r="AF2214" s="284"/>
      <c r="AG2214" s="284"/>
    </row>
    <row r="2215" spans="1:33" ht="26.4">
      <c r="A2215" s="284"/>
      <c r="B2215" s="284"/>
      <c r="C2215" s="284"/>
      <c r="D2215" s="284"/>
      <c r="E2215" s="284"/>
      <c r="F2215" s="284"/>
      <c r="G2215" s="284"/>
      <c r="H2215" s="284"/>
      <c r="I2215" s="284"/>
      <c r="J2215" s="375"/>
      <c r="K2215" s="375"/>
      <c r="L2215" s="375"/>
      <c r="M2215" s="368"/>
      <c r="N2215" s="368"/>
      <c r="O2215" s="370"/>
      <c r="T2215" s="340"/>
      <c r="V2215" s="378"/>
      <c r="W2215" s="64" ph="1"/>
      <c r="X2215" s="241"/>
      <c r="Y2215" s="284"/>
      <c r="Z2215" s="207"/>
      <c r="AA2215" s="284"/>
      <c r="AB2215" s="284"/>
      <c r="AC2215" s="284"/>
      <c r="AD2215" s="284"/>
      <c r="AE2215" s="284"/>
      <c r="AF2215" s="284"/>
      <c r="AG2215" s="284"/>
    </row>
    <row r="2216" spans="1:33" ht="26.4">
      <c r="A2216" s="284"/>
      <c r="B2216" s="284"/>
      <c r="C2216" s="284"/>
      <c r="D2216" s="284"/>
      <c r="E2216" s="284"/>
      <c r="F2216" s="284"/>
      <c r="G2216" s="284"/>
      <c r="H2216" s="284"/>
      <c r="I2216" s="284"/>
      <c r="J2216" s="375"/>
      <c r="K2216" s="375"/>
      <c r="L2216" s="375"/>
      <c r="M2216" s="368"/>
      <c r="N2216" s="368"/>
      <c r="O2216" s="370"/>
      <c r="T2216" s="340"/>
      <c r="V2216" s="378"/>
      <c r="W2216" s="64" ph="1"/>
      <c r="X2216" s="241"/>
      <c r="Y2216" s="284"/>
      <c r="Z2216" s="207"/>
      <c r="AA2216" s="284"/>
      <c r="AB2216" s="284"/>
      <c r="AC2216" s="284"/>
      <c r="AD2216" s="284"/>
      <c r="AE2216" s="284"/>
      <c r="AF2216" s="284"/>
      <c r="AG2216" s="284"/>
    </row>
    <row r="2217" spans="1:33" ht="26.4">
      <c r="A2217" s="284"/>
      <c r="B2217" s="284"/>
      <c r="C2217" s="284"/>
      <c r="D2217" s="284"/>
      <c r="E2217" s="284"/>
      <c r="F2217" s="284"/>
      <c r="G2217" s="284"/>
      <c r="H2217" s="284"/>
      <c r="I2217" s="284"/>
      <c r="J2217" s="375"/>
      <c r="K2217" s="375"/>
      <c r="L2217" s="375"/>
      <c r="M2217" s="368"/>
      <c r="N2217" s="368"/>
      <c r="O2217" s="370"/>
      <c r="T2217" s="340"/>
      <c r="V2217" s="378"/>
      <c r="W2217" s="64" ph="1"/>
      <c r="X2217" s="241"/>
      <c r="Y2217" s="284"/>
      <c r="Z2217" s="207"/>
      <c r="AA2217" s="284"/>
      <c r="AB2217" s="284"/>
      <c r="AC2217" s="284"/>
      <c r="AD2217" s="284"/>
      <c r="AE2217" s="284"/>
      <c r="AF2217" s="284"/>
      <c r="AG2217" s="284"/>
    </row>
    <row r="2218" spans="1:33" ht="26.4">
      <c r="A2218" s="284"/>
      <c r="B2218" s="284"/>
      <c r="C2218" s="284"/>
      <c r="D2218" s="284"/>
      <c r="E2218" s="284"/>
      <c r="F2218" s="284"/>
      <c r="G2218" s="284"/>
      <c r="H2218" s="284"/>
      <c r="I2218" s="284"/>
      <c r="J2218" s="375"/>
      <c r="K2218" s="375"/>
      <c r="L2218" s="375"/>
      <c r="M2218" s="368"/>
      <c r="N2218" s="368"/>
      <c r="O2218" s="370"/>
      <c r="T2218" s="340"/>
      <c r="V2218" s="378"/>
      <c r="W2218" s="64" ph="1"/>
      <c r="X2218" s="241"/>
      <c r="Y2218" s="284"/>
      <c r="Z2218" s="207"/>
      <c r="AA2218" s="284"/>
      <c r="AB2218" s="284"/>
      <c r="AC2218" s="284"/>
      <c r="AD2218" s="284"/>
      <c r="AE2218" s="284"/>
      <c r="AF2218" s="284"/>
      <c r="AG2218" s="284"/>
    </row>
    <row r="2219" spans="1:33" ht="26.4">
      <c r="A2219" s="284"/>
      <c r="B2219" s="284"/>
      <c r="C2219" s="284"/>
      <c r="D2219" s="284"/>
      <c r="E2219" s="284"/>
      <c r="F2219" s="284"/>
      <c r="G2219" s="284"/>
      <c r="H2219" s="284"/>
      <c r="I2219" s="284"/>
      <c r="J2219" s="375"/>
      <c r="K2219" s="375"/>
      <c r="L2219" s="375"/>
      <c r="M2219" s="368"/>
      <c r="N2219" s="368"/>
      <c r="O2219" s="370"/>
      <c r="T2219" s="340"/>
      <c r="V2219" s="378"/>
      <c r="W2219" s="64" ph="1"/>
      <c r="X2219" s="241"/>
      <c r="Y2219" s="284"/>
      <c r="Z2219" s="207"/>
      <c r="AA2219" s="284"/>
      <c r="AB2219" s="284"/>
      <c r="AC2219" s="284"/>
      <c r="AD2219" s="284"/>
      <c r="AE2219" s="284"/>
      <c r="AF2219" s="284"/>
      <c r="AG2219" s="284"/>
    </row>
    <row r="2220" spans="1:33" ht="26.4">
      <c r="A2220" s="284"/>
      <c r="B2220" s="284"/>
      <c r="C2220" s="284"/>
      <c r="D2220" s="284"/>
      <c r="E2220" s="284"/>
      <c r="F2220" s="284"/>
      <c r="G2220" s="284"/>
      <c r="H2220" s="284"/>
      <c r="I2220" s="284"/>
      <c r="J2220" s="375"/>
      <c r="K2220" s="375"/>
      <c r="L2220" s="375"/>
      <c r="M2220" s="368"/>
      <c r="N2220" s="368"/>
      <c r="O2220" s="370"/>
      <c r="T2220" s="340"/>
      <c r="V2220" s="378"/>
      <c r="W2220" s="64" ph="1"/>
      <c r="X2220" s="241"/>
      <c r="Y2220" s="284"/>
      <c r="Z2220" s="207"/>
      <c r="AA2220" s="284"/>
      <c r="AB2220" s="284"/>
      <c r="AC2220" s="284"/>
      <c r="AD2220" s="284"/>
      <c r="AE2220" s="284"/>
      <c r="AF2220" s="284"/>
      <c r="AG2220" s="284"/>
    </row>
    <row r="2221" spans="1:33" ht="26.4">
      <c r="A2221" s="284"/>
      <c r="B2221" s="284"/>
      <c r="C2221" s="284"/>
      <c r="D2221" s="284"/>
      <c r="E2221" s="284"/>
      <c r="F2221" s="284"/>
      <c r="G2221" s="284"/>
      <c r="H2221" s="284"/>
      <c r="I2221" s="284"/>
      <c r="J2221" s="375"/>
      <c r="K2221" s="375"/>
      <c r="L2221" s="375"/>
      <c r="M2221" s="368"/>
      <c r="N2221" s="368"/>
      <c r="O2221" s="370"/>
      <c r="T2221" s="340"/>
      <c r="V2221" s="378"/>
      <c r="W2221" s="64" ph="1"/>
      <c r="X2221" s="241"/>
      <c r="Y2221" s="284"/>
      <c r="Z2221" s="207"/>
      <c r="AA2221" s="284"/>
      <c r="AB2221" s="284"/>
      <c r="AC2221" s="284"/>
      <c r="AD2221" s="284"/>
      <c r="AE2221" s="284"/>
      <c r="AF2221" s="284"/>
      <c r="AG2221" s="284"/>
    </row>
    <row r="2222" spans="1:33" ht="26.4">
      <c r="A2222" s="284"/>
      <c r="B2222" s="284"/>
      <c r="C2222" s="284"/>
      <c r="D2222" s="284"/>
      <c r="E2222" s="284"/>
      <c r="F2222" s="284"/>
      <c r="G2222" s="284"/>
      <c r="H2222" s="284"/>
      <c r="I2222" s="284"/>
      <c r="J2222" s="375"/>
      <c r="K2222" s="375"/>
      <c r="L2222" s="375"/>
      <c r="M2222" s="368"/>
      <c r="N2222" s="368"/>
      <c r="O2222" s="370"/>
      <c r="T2222" s="340"/>
      <c r="V2222" s="378"/>
      <c r="W2222" s="64" ph="1"/>
      <c r="X2222" s="241"/>
      <c r="Y2222" s="284"/>
      <c r="Z2222" s="207"/>
      <c r="AA2222" s="284"/>
      <c r="AB2222" s="284"/>
      <c r="AC2222" s="284"/>
      <c r="AD2222" s="284"/>
      <c r="AE2222" s="284"/>
      <c r="AF2222" s="284"/>
      <c r="AG2222" s="284"/>
    </row>
    <row r="2223" spans="1:33" ht="26.4">
      <c r="A2223" s="284"/>
      <c r="B2223" s="284"/>
      <c r="C2223" s="284"/>
      <c r="D2223" s="284"/>
      <c r="E2223" s="284"/>
      <c r="F2223" s="284"/>
      <c r="G2223" s="284"/>
      <c r="H2223" s="284"/>
      <c r="I2223" s="284"/>
      <c r="J2223" s="375"/>
      <c r="K2223" s="375"/>
      <c r="L2223" s="375"/>
      <c r="M2223" s="368"/>
      <c r="N2223" s="368"/>
      <c r="O2223" s="370"/>
      <c r="T2223" s="340"/>
      <c r="V2223" s="378"/>
      <c r="W2223" s="64" ph="1"/>
      <c r="X2223" s="241"/>
      <c r="Y2223" s="284"/>
      <c r="Z2223" s="207"/>
      <c r="AA2223" s="284"/>
      <c r="AB2223" s="284"/>
      <c r="AC2223" s="284"/>
      <c r="AD2223" s="284"/>
      <c r="AE2223" s="284"/>
      <c r="AF2223" s="284"/>
      <c r="AG2223" s="284"/>
    </row>
    <row r="2224" spans="1:33" ht="26.4">
      <c r="A2224" s="284"/>
      <c r="B2224" s="284"/>
      <c r="C2224" s="284"/>
      <c r="D2224" s="284"/>
      <c r="E2224" s="284"/>
      <c r="F2224" s="284"/>
      <c r="G2224" s="284"/>
      <c r="H2224" s="284"/>
      <c r="I2224" s="284"/>
      <c r="J2224" s="375"/>
      <c r="K2224" s="375"/>
      <c r="L2224" s="375"/>
      <c r="M2224" s="368"/>
      <c r="N2224" s="368"/>
      <c r="O2224" s="370"/>
      <c r="T2224" s="340"/>
      <c r="V2224" s="378"/>
      <c r="W2224" s="64" ph="1"/>
      <c r="X2224" s="241"/>
      <c r="Y2224" s="284"/>
      <c r="Z2224" s="207"/>
      <c r="AA2224" s="284"/>
      <c r="AB2224" s="284"/>
      <c r="AC2224" s="284"/>
      <c r="AD2224" s="284"/>
      <c r="AE2224" s="284"/>
      <c r="AF2224" s="284"/>
      <c r="AG2224" s="284"/>
    </row>
    <row r="2225" spans="1:33" ht="26.4">
      <c r="A2225" s="284"/>
      <c r="B2225" s="284"/>
      <c r="C2225" s="284"/>
      <c r="D2225" s="284"/>
      <c r="E2225" s="284"/>
      <c r="F2225" s="284"/>
      <c r="G2225" s="284"/>
      <c r="H2225" s="284"/>
      <c r="I2225" s="284"/>
      <c r="J2225" s="375"/>
      <c r="K2225" s="375"/>
      <c r="L2225" s="375"/>
      <c r="M2225" s="368"/>
      <c r="N2225" s="368"/>
      <c r="O2225" s="370"/>
      <c r="T2225" s="340"/>
      <c r="V2225" s="378"/>
      <c r="W2225" s="64" ph="1"/>
      <c r="X2225" s="241"/>
      <c r="Y2225" s="284"/>
      <c r="Z2225" s="207"/>
      <c r="AA2225" s="284"/>
      <c r="AB2225" s="284"/>
      <c r="AC2225" s="284"/>
      <c r="AD2225" s="284"/>
      <c r="AE2225" s="284"/>
      <c r="AF2225" s="284"/>
      <c r="AG2225" s="284"/>
    </row>
    <row r="2226" spans="1:33" ht="26.4">
      <c r="A2226" s="284"/>
      <c r="B2226" s="284"/>
      <c r="C2226" s="284"/>
      <c r="D2226" s="284"/>
      <c r="E2226" s="284"/>
      <c r="F2226" s="284"/>
      <c r="G2226" s="284"/>
      <c r="H2226" s="284"/>
      <c r="I2226" s="284"/>
      <c r="J2226" s="375"/>
      <c r="K2226" s="375"/>
      <c r="L2226" s="375"/>
      <c r="M2226" s="368"/>
      <c r="N2226" s="368"/>
      <c r="O2226" s="370"/>
      <c r="T2226" s="340"/>
      <c r="V2226" s="378"/>
      <c r="W2226" s="64" ph="1"/>
      <c r="X2226" s="241"/>
      <c r="Y2226" s="284"/>
      <c r="Z2226" s="207"/>
      <c r="AA2226" s="284"/>
      <c r="AB2226" s="284"/>
      <c r="AC2226" s="284"/>
      <c r="AD2226" s="284"/>
      <c r="AE2226" s="284"/>
      <c r="AF2226" s="284"/>
      <c r="AG2226" s="284"/>
    </row>
    <row r="2227" spans="1:33" ht="26.4">
      <c r="A2227" s="284"/>
      <c r="B2227" s="284"/>
      <c r="C2227" s="284"/>
      <c r="D2227" s="284"/>
      <c r="E2227" s="284"/>
      <c r="F2227" s="284"/>
      <c r="G2227" s="284"/>
      <c r="H2227" s="284"/>
      <c r="I2227" s="284"/>
      <c r="J2227" s="375"/>
      <c r="K2227" s="375"/>
      <c r="L2227" s="375"/>
      <c r="M2227" s="368"/>
      <c r="N2227" s="368"/>
      <c r="O2227" s="370"/>
      <c r="T2227" s="340"/>
      <c r="V2227" s="378"/>
      <c r="W2227" s="64" ph="1"/>
      <c r="X2227" s="241"/>
      <c r="Y2227" s="284"/>
      <c r="Z2227" s="207"/>
      <c r="AA2227" s="284"/>
      <c r="AB2227" s="284"/>
      <c r="AC2227" s="284"/>
      <c r="AD2227" s="284"/>
      <c r="AE2227" s="284"/>
      <c r="AF2227" s="284"/>
      <c r="AG2227" s="284"/>
    </row>
    <row r="2228" spans="1:33" ht="26.4">
      <c r="A2228" s="284"/>
      <c r="B2228" s="284"/>
      <c r="C2228" s="284"/>
      <c r="D2228" s="284"/>
      <c r="E2228" s="284"/>
      <c r="F2228" s="284"/>
      <c r="G2228" s="284"/>
      <c r="H2228" s="284"/>
      <c r="I2228" s="284"/>
      <c r="J2228" s="375"/>
      <c r="K2228" s="375"/>
      <c r="L2228" s="375"/>
      <c r="M2228" s="368"/>
      <c r="N2228" s="368"/>
      <c r="O2228" s="370"/>
      <c r="T2228" s="340"/>
      <c r="V2228" s="378"/>
      <c r="W2228" s="64" ph="1"/>
      <c r="X2228" s="241"/>
      <c r="Y2228" s="284"/>
      <c r="Z2228" s="207"/>
      <c r="AA2228" s="284"/>
      <c r="AB2228" s="284"/>
      <c r="AC2228" s="284"/>
      <c r="AD2228" s="284"/>
      <c r="AE2228" s="284"/>
      <c r="AF2228" s="284"/>
      <c r="AG2228" s="284"/>
    </row>
    <row r="2229" spans="1:33" ht="26.4">
      <c r="A2229" s="284"/>
      <c r="B2229" s="284"/>
      <c r="C2229" s="284"/>
      <c r="D2229" s="284"/>
      <c r="E2229" s="284"/>
      <c r="F2229" s="284"/>
      <c r="G2229" s="284"/>
      <c r="H2229" s="284"/>
      <c r="I2229" s="284"/>
      <c r="J2229" s="375"/>
      <c r="K2229" s="375"/>
      <c r="L2229" s="375"/>
      <c r="M2229" s="368"/>
      <c r="N2229" s="368"/>
      <c r="O2229" s="370"/>
      <c r="T2229" s="340"/>
      <c r="V2229" s="378"/>
      <c r="W2229" s="64" ph="1"/>
      <c r="X2229" s="241"/>
      <c r="Y2229" s="284"/>
      <c r="Z2229" s="207"/>
      <c r="AA2229" s="284"/>
      <c r="AB2229" s="284"/>
      <c r="AC2229" s="284"/>
      <c r="AD2229" s="284"/>
      <c r="AE2229" s="284"/>
      <c r="AF2229" s="284"/>
      <c r="AG2229" s="284"/>
    </row>
    <row r="2230" spans="1:33" ht="26.4">
      <c r="A2230" s="284"/>
      <c r="B2230" s="284"/>
      <c r="C2230" s="284"/>
      <c r="D2230" s="284"/>
      <c r="E2230" s="284"/>
      <c r="F2230" s="284"/>
      <c r="G2230" s="284"/>
      <c r="H2230" s="284"/>
      <c r="I2230" s="284"/>
      <c r="J2230" s="375"/>
      <c r="K2230" s="375"/>
      <c r="L2230" s="375"/>
      <c r="M2230" s="368"/>
      <c r="N2230" s="368"/>
      <c r="O2230" s="370"/>
      <c r="T2230" s="340"/>
      <c r="V2230" s="378"/>
      <c r="W2230" s="64" ph="1"/>
      <c r="X2230" s="241"/>
      <c r="Y2230" s="284"/>
      <c r="Z2230" s="207"/>
      <c r="AA2230" s="284"/>
      <c r="AB2230" s="284"/>
      <c r="AC2230" s="284"/>
      <c r="AD2230" s="284"/>
      <c r="AE2230" s="284"/>
      <c r="AF2230" s="284"/>
      <c r="AG2230" s="284"/>
    </row>
    <row r="2231" spans="1:33" ht="26.4">
      <c r="A2231" s="284"/>
      <c r="B2231" s="284"/>
      <c r="C2231" s="284"/>
      <c r="D2231" s="284"/>
      <c r="E2231" s="284"/>
      <c r="F2231" s="284"/>
      <c r="G2231" s="284"/>
      <c r="H2231" s="284"/>
      <c r="I2231" s="284"/>
      <c r="J2231" s="375"/>
      <c r="K2231" s="375"/>
      <c r="L2231" s="375"/>
      <c r="M2231" s="368"/>
      <c r="N2231" s="368"/>
      <c r="O2231" s="370"/>
      <c r="T2231" s="340"/>
      <c r="V2231" s="378"/>
      <c r="W2231" s="64" ph="1"/>
      <c r="X2231" s="241"/>
      <c r="Y2231" s="284"/>
      <c r="Z2231" s="207"/>
      <c r="AA2231" s="284"/>
      <c r="AB2231" s="284"/>
      <c r="AC2231" s="284"/>
      <c r="AD2231" s="284"/>
      <c r="AE2231" s="284"/>
      <c r="AF2231" s="284"/>
      <c r="AG2231" s="284"/>
    </row>
    <row r="2232" spans="1:33" ht="26.4">
      <c r="A2232" s="284"/>
      <c r="B2232" s="284"/>
      <c r="C2232" s="284"/>
      <c r="D2232" s="284"/>
      <c r="E2232" s="284"/>
      <c r="F2232" s="284"/>
      <c r="G2232" s="284"/>
      <c r="H2232" s="284"/>
      <c r="I2232" s="284"/>
      <c r="J2232" s="375"/>
      <c r="K2232" s="375"/>
      <c r="L2232" s="375"/>
      <c r="M2232" s="368"/>
      <c r="N2232" s="368"/>
      <c r="O2232" s="370"/>
      <c r="T2232" s="340"/>
      <c r="V2232" s="378"/>
      <c r="W2232" s="64" ph="1"/>
      <c r="X2232" s="241"/>
      <c r="Y2232" s="284"/>
      <c r="Z2232" s="207"/>
      <c r="AA2232" s="284"/>
      <c r="AB2232" s="284"/>
      <c r="AC2232" s="284"/>
      <c r="AD2232" s="284"/>
      <c r="AE2232" s="284"/>
      <c r="AF2232" s="284"/>
      <c r="AG2232" s="284"/>
    </row>
    <row r="2233" spans="1:33" ht="26.4">
      <c r="A2233" s="284"/>
      <c r="B2233" s="284"/>
      <c r="C2233" s="284"/>
      <c r="D2233" s="284"/>
      <c r="E2233" s="284"/>
      <c r="F2233" s="284"/>
      <c r="G2233" s="284"/>
      <c r="H2233" s="284"/>
      <c r="I2233" s="284"/>
      <c r="J2233" s="375"/>
      <c r="K2233" s="375"/>
      <c r="L2233" s="375"/>
      <c r="M2233" s="368"/>
      <c r="N2233" s="368"/>
      <c r="O2233" s="370"/>
      <c r="T2233" s="340"/>
      <c r="V2233" s="378"/>
      <c r="W2233" s="64" ph="1"/>
      <c r="X2233" s="241"/>
      <c r="Y2233" s="284"/>
      <c r="Z2233" s="207"/>
      <c r="AA2233" s="284"/>
      <c r="AB2233" s="284"/>
      <c r="AC2233" s="284"/>
      <c r="AD2233" s="284"/>
      <c r="AE2233" s="284"/>
      <c r="AF2233" s="284"/>
      <c r="AG2233" s="284"/>
    </row>
    <row r="2234" spans="1:33" ht="26.4">
      <c r="A2234" s="284"/>
      <c r="B2234" s="284"/>
      <c r="C2234" s="284"/>
      <c r="D2234" s="284"/>
      <c r="E2234" s="284"/>
      <c r="F2234" s="284"/>
      <c r="G2234" s="284"/>
      <c r="H2234" s="284"/>
      <c r="I2234" s="284"/>
      <c r="J2234" s="375"/>
      <c r="K2234" s="375"/>
      <c r="L2234" s="375"/>
      <c r="M2234" s="368"/>
      <c r="N2234" s="368"/>
      <c r="O2234" s="370"/>
      <c r="T2234" s="340"/>
      <c r="V2234" s="378"/>
      <c r="W2234" s="64" ph="1"/>
      <c r="X2234" s="241"/>
      <c r="Y2234" s="284"/>
      <c r="Z2234" s="207"/>
      <c r="AA2234" s="284"/>
      <c r="AB2234" s="284"/>
      <c r="AC2234" s="284"/>
      <c r="AD2234" s="284"/>
      <c r="AE2234" s="284"/>
      <c r="AF2234" s="284"/>
      <c r="AG2234" s="284"/>
    </row>
    <row r="2235" spans="1:33" ht="26.4">
      <c r="A2235" s="284"/>
      <c r="B2235" s="284"/>
      <c r="C2235" s="284"/>
      <c r="D2235" s="284"/>
      <c r="E2235" s="284"/>
      <c r="F2235" s="284"/>
      <c r="G2235" s="284"/>
      <c r="H2235" s="284"/>
      <c r="I2235" s="284"/>
      <c r="J2235" s="375"/>
      <c r="K2235" s="375"/>
      <c r="L2235" s="375"/>
      <c r="M2235" s="368"/>
      <c r="N2235" s="368"/>
      <c r="O2235" s="370"/>
      <c r="T2235" s="340"/>
      <c r="V2235" s="378"/>
      <c r="W2235" s="64" ph="1"/>
      <c r="X2235" s="241"/>
      <c r="Y2235" s="284"/>
      <c r="Z2235" s="207"/>
      <c r="AA2235" s="284"/>
      <c r="AB2235" s="284"/>
      <c r="AC2235" s="284"/>
      <c r="AD2235" s="284"/>
      <c r="AE2235" s="284"/>
      <c r="AF2235" s="284"/>
      <c r="AG2235" s="284"/>
    </row>
    <row r="2236" spans="1:33" ht="26.4">
      <c r="A2236" s="284"/>
      <c r="B2236" s="284"/>
      <c r="C2236" s="284"/>
      <c r="D2236" s="284"/>
      <c r="E2236" s="284"/>
      <c r="F2236" s="284"/>
      <c r="G2236" s="284"/>
      <c r="H2236" s="284"/>
      <c r="I2236" s="284"/>
      <c r="J2236" s="375"/>
      <c r="K2236" s="375"/>
      <c r="L2236" s="375"/>
      <c r="M2236" s="368"/>
      <c r="N2236" s="368"/>
      <c r="O2236" s="370"/>
      <c r="T2236" s="340"/>
      <c r="V2236" s="378"/>
      <c r="W2236" s="64" ph="1"/>
      <c r="X2236" s="241"/>
      <c r="Y2236" s="284"/>
      <c r="Z2236" s="207"/>
      <c r="AA2236" s="284"/>
      <c r="AB2236" s="284"/>
      <c r="AC2236" s="284"/>
      <c r="AD2236" s="284"/>
      <c r="AE2236" s="284"/>
      <c r="AF2236" s="284"/>
      <c r="AG2236" s="284"/>
    </row>
    <row r="2237" spans="1:33" ht="26.4">
      <c r="A2237" s="284"/>
      <c r="B2237" s="284"/>
      <c r="C2237" s="284"/>
      <c r="D2237" s="284"/>
      <c r="E2237" s="284"/>
      <c r="F2237" s="284"/>
      <c r="G2237" s="284"/>
      <c r="H2237" s="284"/>
      <c r="I2237" s="284"/>
      <c r="J2237" s="375"/>
      <c r="K2237" s="375"/>
      <c r="L2237" s="375"/>
      <c r="M2237" s="368"/>
      <c r="N2237" s="368"/>
      <c r="O2237" s="370"/>
      <c r="T2237" s="340"/>
      <c r="V2237" s="378"/>
      <c r="W2237" s="64" ph="1"/>
      <c r="X2237" s="241"/>
      <c r="Y2237" s="284"/>
      <c r="Z2237" s="207"/>
      <c r="AA2237" s="284"/>
      <c r="AB2237" s="284"/>
      <c r="AC2237" s="284"/>
      <c r="AD2237" s="284"/>
      <c r="AE2237" s="284"/>
      <c r="AF2237" s="284"/>
      <c r="AG2237" s="284"/>
    </row>
    <row r="2238" spans="1:33" ht="26.4">
      <c r="A2238" s="284"/>
      <c r="B2238" s="284"/>
      <c r="C2238" s="284"/>
      <c r="D2238" s="284"/>
      <c r="E2238" s="284"/>
      <c r="F2238" s="284"/>
      <c r="G2238" s="284"/>
      <c r="H2238" s="284"/>
      <c r="I2238" s="284"/>
      <c r="J2238" s="375"/>
      <c r="K2238" s="375"/>
      <c r="L2238" s="375"/>
      <c r="M2238" s="368"/>
      <c r="N2238" s="368"/>
      <c r="O2238" s="370"/>
      <c r="T2238" s="340"/>
      <c r="V2238" s="378"/>
      <c r="W2238" s="64" ph="1"/>
      <c r="X2238" s="241"/>
      <c r="Y2238" s="284"/>
      <c r="Z2238" s="207"/>
      <c r="AA2238" s="284"/>
      <c r="AB2238" s="284"/>
      <c r="AC2238" s="284"/>
      <c r="AD2238" s="284"/>
      <c r="AE2238" s="284"/>
      <c r="AF2238" s="284"/>
      <c r="AG2238" s="284"/>
    </row>
    <row r="2239" spans="1:33" ht="26.4">
      <c r="A2239" s="284"/>
      <c r="B2239" s="284"/>
      <c r="C2239" s="284"/>
      <c r="D2239" s="284"/>
      <c r="E2239" s="284"/>
      <c r="F2239" s="284"/>
      <c r="G2239" s="284"/>
      <c r="H2239" s="284"/>
      <c r="I2239" s="284"/>
      <c r="J2239" s="375"/>
      <c r="K2239" s="375"/>
      <c r="L2239" s="375"/>
      <c r="M2239" s="368"/>
      <c r="N2239" s="368"/>
      <c r="O2239" s="370"/>
      <c r="T2239" s="340"/>
      <c r="V2239" s="378"/>
      <c r="W2239" s="64" ph="1"/>
      <c r="X2239" s="241"/>
      <c r="Y2239" s="284"/>
      <c r="Z2239" s="207"/>
      <c r="AA2239" s="284"/>
      <c r="AB2239" s="284"/>
      <c r="AC2239" s="284"/>
      <c r="AD2239" s="284"/>
      <c r="AE2239" s="284"/>
      <c r="AF2239" s="284"/>
      <c r="AG2239" s="284"/>
    </row>
    <row r="2240" spans="1:33" ht="26.4">
      <c r="A2240" s="284"/>
      <c r="B2240" s="284"/>
      <c r="C2240" s="284"/>
      <c r="D2240" s="284"/>
      <c r="E2240" s="284"/>
      <c r="F2240" s="284"/>
      <c r="G2240" s="284"/>
      <c r="H2240" s="284"/>
      <c r="I2240" s="284"/>
      <c r="J2240" s="375"/>
      <c r="K2240" s="375"/>
      <c r="L2240" s="375"/>
      <c r="M2240" s="368"/>
      <c r="N2240" s="368"/>
      <c r="O2240" s="370"/>
      <c r="T2240" s="340"/>
      <c r="V2240" s="378"/>
      <c r="W2240" s="64" ph="1"/>
      <c r="X2240" s="241"/>
      <c r="Y2240" s="284"/>
      <c r="Z2240" s="207"/>
      <c r="AA2240" s="284"/>
      <c r="AB2240" s="284"/>
      <c r="AC2240" s="284"/>
      <c r="AD2240" s="284"/>
      <c r="AE2240" s="284"/>
      <c r="AF2240" s="284"/>
      <c r="AG2240" s="284"/>
    </row>
    <row r="2241" spans="1:33" ht="26.4">
      <c r="A2241" s="284"/>
      <c r="B2241" s="284"/>
      <c r="C2241" s="284"/>
      <c r="D2241" s="284"/>
      <c r="E2241" s="284"/>
      <c r="F2241" s="284"/>
      <c r="G2241" s="284"/>
      <c r="H2241" s="284"/>
      <c r="I2241" s="284"/>
      <c r="J2241" s="375"/>
      <c r="K2241" s="375"/>
      <c r="L2241" s="375"/>
      <c r="M2241" s="368"/>
      <c r="N2241" s="368"/>
      <c r="O2241" s="370"/>
      <c r="T2241" s="340"/>
      <c r="V2241" s="378"/>
      <c r="W2241" s="64" ph="1"/>
      <c r="X2241" s="241"/>
      <c r="Y2241" s="284"/>
      <c r="Z2241" s="207"/>
      <c r="AA2241" s="284"/>
      <c r="AB2241" s="284"/>
      <c r="AC2241" s="284"/>
      <c r="AD2241" s="284"/>
      <c r="AE2241" s="284"/>
      <c r="AF2241" s="284"/>
      <c r="AG2241" s="284"/>
    </row>
    <row r="2242" spans="1:33" ht="26.4">
      <c r="A2242" s="284"/>
      <c r="B2242" s="284"/>
      <c r="C2242" s="284"/>
      <c r="D2242" s="284"/>
      <c r="E2242" s="284"/>
      <c r="F2242" s="284"/>
      <c r="G2242" s="284"/>
      <c r="H2242" s="284"/>
      <c r="I2242" s="284"/>
      <c r="J2242" s="375"/>
      <c r="K2242" s="375"/>
      <c r="L2242" s="375"/>
      <c r="M2242" s="368"/>
      <c r="N2242" s="368"/>
      <c r="O2242" s="370"/>
      <c r="T2242" s="340"/>
      <c r="V2242" s="378"/>
      <c r="W2242" s="64" ph="1"/>
      <c r="X2242" s="241"/>
      <c r="Y2242" s="284"/>
      <c r="Z2242" s="207"/>
      <c r="AA2242" s="284"/>
      <c r="AB2242" s="284"/>
      <c r="AC2242" s="284"/>
      <c r="AD2242" s="284"/>
      <c r="AE2242" s="284"/>
      <c r="AF2242" s="284"/>
      <c r="AG2242" s="284"/>
    </row>
    <row r="2243" spans="1:33" ht="26.4">
      <c r="A2243" s="284"/>
      <c r="B2243" s="284"/>
      <c r="C2243" s="284"/>
      <c r="D2243" s="284"/>
      <c r="E2243" s="284"/>
      <c r="F2243" s="284"/>
      <c r="G2243" s="284"/>
      <c r="H2243" s="284"/>
      <c r="I2243" s="284"/>
      <c r="J2243" s="375"/>
      <c r="K2243" s="375"/>
      <c r="L2243" s="375"/>
      <c r="M2243" s="368"/>
      <c r="N2243" s="368"/>
      <c r="O2243" s="370"/>
      <c r="T2243" s="340"/>
      <c r="V2243" s="378"/>
      <c r="W2243" s="64" ph="1"/>
      <c r="X2243" s="241"/>
      <c r="Y2243" s="284"/>
      <c r="Z2243" s="207"/>
      <c r="AA2243" s="284"/>
      <c r="AB2243" s="284"/>
      <c r="AC2243" s="284"/>
      <c r="AD2243" s="284"/>
      <c r="AE2243" s="284"/>
      <c r="AF2243" s="284"/>
      <c r="AG2243" s="284"/>
    </row>
    <row r="2244" spans="1:33" ht="26.4">
      <c r="A2244" s="284"/>
      <c r="B2244" s="284"/>
      <c r="C2244" s="284"/>
      <c r="D2244" s="284"/>
      <c r="E2244" s="284"/>
      <c r="F2244" s="284"/>
      <c r="G2244" s="284"/>
      <c r="H2244" s="284"/>
      <c r="I2244" s="284"/>
      <c r="J2244" s="375"/>
      <c r="K2244" s="375"/>
      <c r="L2244" s="375"/>
      <c r="M2244" s="368"/>
      <c r="N2244" s="368"/>
      <c r="O2244" s="370"/>
      <c r="T2244" s="340"/>
      <c r="V2244" s="378"/>
      <c r="W2244" s="64" ph="1"/>
      <c r="X2244" s="241"/>
      <c r="Y2244" s="284"/>
      <c r="Z2244" s="207"/>
      <c r="AA2244" s="284"/>
      <c r="AB2244" s="284"/>
      <c r="AC2244" s="284"/>
      <c r="AD2244" s="284"/>
      <c r="AE2244" s="284"/>
      <c r="AF2244" s="284"/>
      <c r="AG2244" s="284"/>
    </row>
    <row r="2245" spans="1:33" ht="26.4">
      <c r="A2245" s="284"/>
      <c r="B2245" s="284"/>
      <c r="C2245" s="284"/>
      <c r="D2245" s="284"/>
      <c r="E2245" s="284"/>
      <c r="F2245" s="284"/>
      <c r="G2245" s="284"/>
      <c r="H2245" s="284"/>
      <c r="I2245" s="284"/>
      <c r="J2245" s="375"/>
      <c r="K2245" s="375"/>
      <c r="L2245" s="375"/>
      <c r="M2245" s="368"/>
      <c r="N2245" s="368"/>
      <c r="O2245" s="370"/>
      <c r="T2245" s="340"/>
      <c r="V2245" s="378"/>
      <c r="W2245" s="64" ph="1"/>
      <c r="X2245" s="241"/>
      <c r="Y2245" s="284"/>
      <c r="Z2245" s="207"/>
      <c r="AA2245" s="284"/>
      <c r="AB2245" s="284"/>
      <c r="AC2245" s="284"/>
      <c r="AD2245" s="284"/>
      <c r="AE2245" s="284"/>
      <c r="AF2245" s="284"/>
      <c r="AG2245" s="284"/>
    </row>
    <row r="2246" spans="1:33" ht="26.4">
      <c r="A2246" s="284"/>
      <c r="B2246" s="284"/>
      <c r="C2246" s="284"/>
      <c r="D2246" s="284"/>
      <c r="E2246" s="284"/>
      <c r="F2246" s="284"/>
      <c r="G2246" s="284"/>
      <c r="H2246" s="284"/>
      <c r="I2246" s="284"/>
      <c r="J2246" s="375"/>
      <c r="K2246" s="375"/>
      <c r="L2246" s="375"/>
      <c r="M2246" s="368"/>
      <c r="N2246" s="368"/>
      <c r="O2246" s="370"/>
      <c r="T2246" s="340"/>
      <c r="V2246" s="378"/>
      <c r="W2246" s="64" ph="1"/>
      <c r="X2246" s="241"/>
      <c r="Y2246" s="284"/>
      <c r="Z2246" s="207"/>
      <c r="AA2246" s="284"/>
      <c r="AB2246" s="284"/>
      <c r="AC2246" s="284"/>
      <c r="AD2246" s="284"/>
      <c r="AE2246" s="284"/>
      <c r="AF2246" s="284"/>
      <c r="AG2246" s="284"/>
    </row>
    <row r="2247" spans="1:33" ht="26.4">
      <c r="A2247" s="284"/>
      <c r="B2247" s="284"/>
      <c r="C2247" s="284"/>
      <c r="D2247" s="284"/>
      <c r="E2247" s="284"/>
      <c r="F2247" s="284"/>
      <c r="G2247" s="284"/>
      <c r="H2247" s="284"/>
      <c r="I2247" s="284"/>
      <c r="J2247" s="375"/>
      <c r="K2247" s="375"/>
      <c r="L2247" s="375"/>
      <c r="M2247" s="368"/>
      <c r="N2247" s="368"/>
      <c r="O2247" s="370"/>
      <c r="T2247" s="340"/>
      <c r="V2247" s="378"/>
      <c r="W2247" s="64" ph="1"/>
      <c r="X2247" s="241"/>
      <c r="Y2247" s="284"/>
      <c r="Z2247" s="207"/>
      <c r="AA2247" s="284"/>
      <c r="AB2247" s="284"/>
      <c r="AC2247" s="284"/>
      <c r="AD2247" s="284"/>
      <c r="AE2247" s="284"/>
      <c r="AF2247" s="284"/>
      <c r="AG2247" s="284"/>
    </row>
    <row r="2248" spans="1:33" ht="26.4">
      <c r="A2248" s="284"/>
      <c r="B2248" s="284"/>
      <c r="C2248" s="284"/>
      <c r="D2248" s="284"/>
      <c r="E2248" s="284"/>
      <c r="F2248" s="284"/>
      <c r="G2248" s="284"/>
      <c r="H2248" s="284"/>
      <c r="I2248" s="284"/>
      <c r="J2248" s="375"/>
      <c r="K2248" s="375"/>
      <c r="L2248" s="375"/>
      <c r="M2248" s="368"/>
      <c r="N2248" s="368"/>
      <c r="O2248" s="370"/>
      <c r="T2248" s="340"/>
      <c r="V2248" s="378"/>
      <c r="W2248" s="64" ph="1"/>
      <c r="X2248" s="241"/>
      <c r="Y2248" s="284"/>
      <c r="Z2248" s="207"/>
      <c r="AA2248" s="284"/>
      <c r="AB2248" s="284"/>
      <c r="AC2248" s="284"/>
      <c r="AD2248" s="284"/>
      <c r="AE2248" s="284"/>
      <c r="AF2248" s="284"/>
      <c r="AG2248" s="284"/>
    </row>
    <row r="2249" spans="1:33" ht="26.4">
      <c r="A2249" s="284"/>
      <c r="B2249" s="284"/>
      <c r="C2249" s="284"/>
      <c r="D2249" s="284"/>
      <c r="E2249" s="284"/>
      <c r="F2249" s="284"/>
      <c r="G2249" s="284"/>
      <c r="H2249" s="284"/>
      <c r="I2249" s="284"/>
      <c r="J2249" s="375"/>
      <c r="K2249" s="375"/>
      <c r="L2249" s="375"/>
      <c r="M2249" s="368"/>
      <c r="N2249" s="368"/>
      <c r="O2249" s="370"/>
      <c r="T2249" s="340"/>
      <c r="V2249" s="378"/>
      <c r="W2249" s="64" ph="1"/>
      <c r="X2249" s="241"/>
      <c r="Y2249" s="284"/>
      <c r="Z2249" s="207"/>
      <c r="AA2249" s="284"/>
      <c r="AB2249" s="284"/>
      <c r="AC2249" s="284"/>
      <c r="AD2249" s="284"/>
      <c r="AE2249" s="284"/>
      <c r="AF2249" s="284"/>
      <c r="AG2249" s="284"/>
    </row>
    <row r="2250" spans="1:33" ht="26.4">
      <c r="A2250" s="284"/>
      <c r="B2250" s="284"/>
      <c r="C2250" s="284"/>
      <c r="D2250" s="284"/>
      <c r="E2250" s="284"/>
      <c r="F2250" s="284"/>
      <c r="G2250" s="284"/>
      <c r="H2250" s="284"/>
      <c r="I2250" s="284"/>
      <c r="J2250" s="375"/>
      <c r="K2250" s="375"/>
      <c r="L2250" s="375"/>
      <c r="M2250" s="368"/>
      <c r="N2250" s="368"/>
      <c r="O2250" s="370"/>
      <c r="T2250" s="340"/>
      <c r="V2250" s="378"/>
      <c r="W2250" s="64" ph="1"/>
      <c r="X2250" s="241"/>
      <c r="Y2250" s="284"/>
      <c r="Z2250" s="207"/>
      <c r="AA2250" s="284"/>
      <c r="AB2250" s="284"/>
      <c r="AC2250" s="284"/>
      <c r="AD2250" s="284"/>
      <c r="AE2250" s="284"/>
      <c r="AF2250" s="284"/>
      <c r="AG2250" s="284"/>
    </row>
    <row r="2251" spans="1:33" ht="26.4">
      <c r="A2251" s="284"/>
      <c r="B2251" s="284"/>
      <c r="C2251" s="284"/>
      <c r="D2251" s="284"/>
      <c r="E2251" s="284"/>
      <c r="F2251" s="284"/>
      <c r="G2251" s="284"/>
      <c r="H2251" s="284"/>
      <c r="I2251" s="284"/>
      <c r="J2251" s="375"/>
      <c r="K2251" s="375"/>
      <c r="L2251" s="375"/>
      <c r="M2251" s="368"/>
      <c r="N2251" s="368"/>
      <c r="O2251" s="370"/>
      <c r="T2251" s="340"/>
      <c r="V2251" s="378"/>
      <c r="W2251" s="64" ph="1"/>
      <c r="X2251" s="241"/>
      <c r="Y2251" s="284"/>
      <c r="Z2251" s="207"/>
      <c r="AA2251" s="284"/>
      <c r="AB2251" s="284"/>
      <c r="AC2251" s="284"/>
      <c r="AD2251" s="284"/>
      <c r="AE2251" s="284"/>
      <c r="AF2251" s="284"/>
      <c r="AG2251" s="284"/>
    </row>
    <row r="2252" spans="1:33" ht="26.4">
      <c r="A2252" s="284"/>
      <c r="B2252" s="284"/>
      <c r="C2252" s="284"/>
      <c r="D2252" s="284"/>
      <c r="E2252" s="284"/>
      <c r="F2252" s="284"/>
      <c r="G2252" s="284"/>
      <c r="H2252" s="284"/>
      <c r="I2252" s="284"/>
      <c r="J2252" s="375"/>
      <c r="K2252" s="375"/>
      <c r="L2252" s="375"/>
      <c r="M2252" s="368"/>
      <c r="N2252" s="368"/>
      <c r="O2252" s="370"/>
      <c r="T2252" s="340"/>
      <c r="V2252" s="378"/>
      <c r="W2252" s="64" ph="1"/>
      <c r="X2252" s="241"/>
      <c r="Y2252" s="284"/>
      <c r="Z2252" s="207"/>
      <c r="AA2252" s="284"/>
      <c r="AB2252" s="284"/>
      <c r="AC2252" s="284"/>
      <c r="AD2252" s="284"/>
      <c r="AE2252" s="284"/>
      <c r="AF2252" s="284"/>
      <c r="AG2252" s="284"/>
    </row>
    <row r="2253" spans="1:33" ht="26.4">
      <c r="A2253" s="284"/>
      <c r="B2253" s="284"/>
      <c r="C2253" s="284"/>
      <c r="D2253" s="284"/>
      <c r="E2253" s="284"/>
      <c r="F2253" s="284"/>
      <c r="G2253" s="284"/>
      <c r="H2253" s="284"/>
      <c r="I2253" s="284"/>
      <c r="J2253" s="375"/>
      <c r="K2253" s="375"/>
      <c r="L2253" s="375"/>
      <c r="M2253" s="368"/>
      <c r="N2253" s="368"/>
      <c r="O2253" s="370"/>
      <c r="T2253" s="340"/>
      <c r="V2253" s="378"/>
      <c r="W2253" s="64" ph="1"/>
      <c r="X2253" s="241"/>
      <c r="Y2253" s="284"/>
      <c r="Z2253" s="207"/>
      <c r="AA2253" s="284"/>
      <c r="AB2253" s="284"/>
      <c r="AC2253" s="284"/>
      <c r="AD2253" s="284"/>
      <c r="AE2253" s="284"/>
      <c r="AF2253" s="284"/>
      <c r="AG2253" s="284"/>
    </row>
    <row r="2254" spans="1:33" ht="26.4">
      <c r="A2254" s="284"/>
      <c r="B2254" s="284"/>
      <c r="C2254" s="284"/>
      <c r="D2254" s="284"/>
      <c r="E2254" s="284"/>
      <c r="F2254" s="284"/>
      <c r="G2254" s="284"/>
      <c r="H2254" s="284"/>
      <c r="I2254" s="284"/>
      <c r="J2254" s="375"/>
      <c r="K2254" s="375"/>
      <c r="L2254" s="375"/>
      <c r="M2254" s="368"/>
      <c r="N2254" s="368"/>
      <c r="O2254" s="370"/>
      <c r="T2254" s="340"/>
      <c r="V2254" s="378"/>
      <c r="W2254" s="64" ph="1"/>
      <c r="X2254" s="241"/>
      <c r="Y2254" s="284"/>
      <c r="Z2254" s="207"/>
      <c r="AA2254" s="284"/>
      <c r="AB2254" s="284"/>
      <c r="AC2254" s="284"/>
      <c r="AD2254" s="284"/>
      <c r="AE2254" s="284"/>
      <c r="AF2254" s="284"/>
      <c r="AG2254" s="284"/>
    </row>
    <row r="2255" spans="1:33" ht="26.4">
      <c r="A2255" s="284"/>
      <c r="B2255" s="284"/>
      <c r="C2255" s="284"/>
      <c r="D2255" s="284"/>
      <c r="E2255" s="284"/>
      <c r="F2255" s="284"/>
      <c r="G2255" s="284"/>
      <c r="H2255" s="284"/>
      <c r="I2255" s="284"/>
      <c r="J2255" s="375"/>
      <c r="K2255" s="375"/>
      <c r="L2255" s="375"/>
      <c r="M2255" s="368"/>
      <c r="N2255" s="368"/>
      <c r="O2255" s="370"/>
      <c r="T2255" s="340"/>
      <c r="V2255" s="378"/>
      <c r="W2255" s="64" ph="1"/>
      <c r="X2255" s="241"/>
      <c r="Y2255" s="284"/>
      <c r="Z2255" s="207"/>
      <c r="AA2255" s="284"/>
      <c r="AB2255" s="284"/>
      <c r="AC2255" s="284"/>
      <c r="AD2255" s="284"/>
      <c r="AE2255" s="284"/>
      <c r="AF2255" s="284"/>
      <c r="AG2255" s="284"/>
    </row>
    <row r="2256" spans="1:33" ht="26.4">
      <c r="A2256" s="284"/>
      <c r="B2256" s="284"/>
      <c r="C2256" s="284"/>
      <c r="D2256" s="284"/>
      <c r="E2256" s="284"/>
      <c r="F2256" s="284"/>
      <c r="G2256" s="284"/>
      <c r="H2256" s="284"/>
      <c r="I2256" s="284"/>
      <c r="J2256" s="375"/>
      <c r="K2256" s="375"/>
      <c r="L2256" s="375"/>
      <c r="M2256" s="368"/>
      <c r="N2256" s="368"/>
      <c r="O2256" s="370"/>
      <c r="T2256" s="340"/>
      <c r="V2256" s="378"/>
      <c r="W2256" s="64" ph="1"/>
      <c r="X2256" s="241"/>
      <c r="Y2256" s="284"/>
      <c r="Z2256" s="207"/>
      <c r="AA2256" s="284"/>
      <c r="AB2256" s="284"/>
      <c r="AC2256" s="284"/>
      <c r="AD2256" s="284"/>
      <c r="AE2256" s="284"/>
      <c r="AF2256" s="284"/>
      <c r="AG2256" s="284"/>
    </row>
    <row r="2257" spans="1:33" ht="26.4">
      <c r="A2257" s="284"/>
      <c r="B2257" s="284"/>
      <c r="C2257" s="284"/>
      <c r="D2257" s="284"/>
      <c r="E2257" s="284"/>
      <c r="F2257" s="284"/>
      <c r="G2257" s="284"/>
      <c r="H2257" s="284"/>
      <c r="I2257" s="284"/>
      <c r="J2257" s="375"/>
      <c r="K2257" s="375"/>
      <c r="L2257" s="375"/>
      <c r="M2257" s="368"/>
      <c r="N2257" s="368"/>
      <c r="O2257" s="370"/>
      <c r="T2257" s="340"/>
      <c r="V2257" s="378"/>
      <c r="W2257" s="64" ph="1"/>
      <c r="X2257" s="241"/>
      <c r="Y2257" s="284"/>
      <c r="Z2257" s="207"/>
      <c r="AA2257" s="284"/>
      <c r="AB2257" s="284"/>
      <c r="AC2257" s="284"/>
      <c r="AD2257" s="284"/>
      <c r="AE2257" s="284"/>
      <c r="AF2257" s="284"/>
      <c r="AG2257" s="284"/>
    </row>
    <row r="2258" spans="1:33" ht="26.4">
      <c r="A2258" s="284"/>
      <c r="B2258" s="284"/>
      <c r="C2258" s="284"/>
      <c r="D2258" s="284"/>
      <c r="E2258" s="284"/>
      <c r="F2258" s="284"/>
      <c r="G2258" s="284"/>
      <c r="H2258" s="284"/>
      <c r="I2258" s="284"/>
      <c r="J2258" s="375"/>
      <c r="K2258" s="375"/>
      <c r="L2258" s="375"/>
      <c r="M2258" s="368"/>
      <c r="N2258" s="368"/>
      <c r="O2258" s="370"/>
      <c r="T2258" s="340"/>
      <c r="V2258" s="378"/>
      <c r="W2258" s="64" ph="1"/>
      <c r="X2258" s="241"/>
      <c r="Y2258" s="284"/>
      <c r="Z2258" s="207"/>
      <c r="AA2258" s="284"/>
      <c r="AB2258" s="284"/>
      <c r="AC2258" s="284"/>
      <c r="AD2258" s="284"/>
      <c r="AE2258" s="284"/>
      <c r="AF2258" s="284"/>
      <c r="AG2258" s="284"/>
    </row>
    <row r="2259" spans="1:33" ht="26.4">
      <c r="A2259" s="284"/>
      <c r="B2259" s="284"/>
      <c r="C2259" s="284"/>
      <c r="D2259" s="284"/>
      <c r="E2259" s="284"/>
      <c r="F2259" s="284"/>
      <c r="G2259" s="284"/>
      <c r="H2259" s="284"/>
      <c r="I2259" s="284"/>
      <c r="J2259" s="375"/>
      <c r="K2259" s="375"/>
      <c r="L2259" s="375"/>
      <c r="M2259" s="368"/>
      <c r="N2259" s="368"/>
      <c r="O2259" s="370"/>
      <c r="T2259" s="340"/>
      <c r="V2259" s="378"/>
      <c r="W2259" s="64" ph="1"/>
      <c r="X2259" s="241"/>
      <c r="Y2259" s="284"/>
      <c r="Z2259" s="207"/>
      <c r="AA2259" s="284"/>
      <c r="AB2259" s="284"/>
      <c r="AC2259" s="284"/>
      <c r="AD2259" s="284"/>
      <c r="AE2259" s="284"/>
      <c r="AF2259" s="284"/>
      <c r="AG2259" s="284"/>
    </row>
    <row r="2260" spans="1:33" ht="26.4">
      <c r="A2260" s="284"/>
      <c r="B2260" s="284"/>
      <c r="C2260" s="284"/>
      <c r="D2260" s="284"/>
      <c r="E2260" s="284"/>
      <c r="F2260" s="284"/>
      <c r="G2260" s="284"/>
      <c r="H2260" s="284"/>
      <c r="I2260" s="284"/>
      <c r="J2260" s="375"/>
      <c r="K2260" s="375"/>
      <c r="L2260" s="375"/>
      <c r="M2260" s="368"/>
      <c r="N2260" s="368"/>
      <c r="O2260" s="370"/>
      <c r="T2260" s="340"/>
      <c r="V2260" s="378"/>
      <c r="W2260" s="64" ph="1"/>
      <c r="X2260" s="241"/>
      <c r="Y2260" s="284"/>
      <c r="Z2260" s="207"/>
      <c r="AA2260" s="284"/>
      <c r="AB2260" s="284"/>
      <c r="AC2260" s="284"/>
      <c r="AD2260" s="284"/>
      <c r="AE2260" s="284"/>
      <c r="AF2260" s="284"/>
      <c r="AG2260" s="284"/>
    </row>
    <row r="2261" spans="1:33" ht="26.4">
      <c r="A2261" s="284"/>
      <c r="B2261" s="284"/>
      <c r="C2261" s="284"/>
      <c r="D2261" s="284"/>
      <c r="E2261" s="284"/>
      <c r="F2261" s="284"/>
      <c r="G2261" s="284"/>
      <c r="H2261" s="284"/>
      <c r="I2261" s="284"/>
      <c r="J2261" s="375"/>
      <c r="K2261" s="375"/>
      <c r="L2261" s="375"/>
      <c r="M2261" s="368"/>
      <c r="N2261" s="368"/>
      <c r="O2261" s="370"/>
      <c r="T2261" s="340"/>
      <c r="V2261" s="378"/>
      <c r="W2261" s="64" ph="1"/>
      <c r="X2261" s="241"/>
      <c r="Y2261" s="284"/>
      <c r="Z2261" s="207"/>
      <c r="AA2261" s="284"/>
      <c r="AB2261" s="284"/>
      <c r="AC2261" s="284"/>
      <c r="AD2261" s="284"/>
      <c r="AE2261" s="284"/>
      <c r="AF2261" s="284"/>
      <c r="AG2261" s="284"/>
    </row>
    <row r="2262" spans="1:33" ht="26.4">
      <c r="A2262" s="284"/>
      <c r="B2262" s="284"/>
      <c r="C2262" s="284"/>
      <c r="D2262" s="284"/>
      <c r="E2262" s="284"/>
      <c r="F2262" s="284"/>
      <c r="G2262" s="284"/>
      <c r="H2262" s="284"/>
      <c r="I2262" s="284"/>
      <c r="J2262" s="375"/>
      <c r="K2262" s="375"/>
      <c r="L2262" s="375"/>
      <c r="M2262" s="368"/>
      <c r="N2262" s="368"/>
      <c r="O2262" s="370"/>
      <c r="T2262" s="340"/>
      <c r="V2262" s="378"/>
      <c r="W2262" s="64" ph="1"/>
      <c r="X2262" s="241"/>
      <c r="Y2262" s="284"/>
      <c r="Z2262" s="207"/>
      <c r="AA2262" s="284"/>
      <c r="AB2262" s="284"/>
      <c r="AC2262" s="284"/>
      <c r="AD2262" s="284"/>
      <c r="AE2262" s="284"/>
      <c r="AF2262" s="284"/>
      <c r="AG2262" s="284"/>
    </row>
    <row r="2263" spans="1:33" ht="26.4">
      <c r="A2263" s="284"/>
      <c r="B2263" s="284"/>
      <c r="C2263" s="284"/>
      <c r="D2263" s="284"/>
      <c r="E2263" s="284"/>
      <c r="F2263" s="284"/>
      <c r="G2263" s="284"/>
      <c r="H2263" s="284"/>
      <c r="I2263" s="284"/>
      <c r="J2263" s="375"/>
      <c r="K2263" s="375"/>
      <c r="L2263" s="375"/>
      <c r="M2263" s="368"/>
      <c r="N2263" s="368"/>
      <c r="O2263" s="370"/>
      <c r="T2263" s="340"/>
      <c r="V2263" s="378"/>
      <c r="W2263" s="64" ph="1"/>
      <c r="X2263" s="241"/>
      <c r="Y2263" s="284"/>
      <c r="Z2263" s="207"/>
      <c r="AA2263" s="284"/>
      <c r="AB2263" s="284"/>
      <c r="AC2263" s="284"/>
      <c r="AD2263" s="284"/>
      <c r="AE2263" s="284"/>
      <c r="AF2263" s="284"/>
      <c r="AG2263" s="284"/>
    </row>
    <row r="2264" spans="1:33" ht="26.4">
      <c r="A2264" s="284"/>
      <c r="B2264" s="284"/>
      <c r="C2264" s="284"/>
      <c r="D2264" s="284"/>
      <c r="E2264" s="284"/>
      <c r="F2264" s="284"/>
      <c r="G2264" s="284"/>
      <c r="H2264" s="284"/>
      <c r="I2264" s="284"/>
      <c r="J2264" s="375"/>
      <c r="K2264" s="375"/>
      <c r="L2264" s="375"/>
      <c r="M2264" s="368"/>
      <c r="N2264" s="368"/>
      <c r="O2264" s="370"/>
      <c r="T2264" s="340"/>
      <c r="V2264" s="378"/>
      <c r="W2264" s="64" ph="1"/>
      <c r="X2264" s="241"/>
      <c r="Y2264" s="284"/>
      <c r="Z2264" s="207"/>
      <c r="AA2264" s="284"/>
      <c r="AB2264" s="284"/>
      <c r="AC2264" s="284"/>
      <c r="AD2264" s="284"/>
      <c r="AE2264" s="284"/>
      <c r="AF2264" s="284"/>
      <c r="AG2264" s="284"/>
    </row>
    <row r="2265" spans="1:33" ht="26.4">
      <c r="A2265" s="284"/>
      <c r="B2265" s="284"/>
      <c r="C2265" s="284"/>
      <c r="D2265" s="284"/>
      <c r="E2265" s="284"/>
      <c r="F2265" s="284"/>
      <c r="G2265" s="284"/>
      <c r="H2265" s="284"/>
      <c r="I2265" s="284"/>
      <c r="J2265" s="375"/>
      <c r="K2265" s="375"/>
      <c r="L2265" s="375"/>
      <c r="M2265" s="368"/>
      <c r="N2265" s="368"/>
      <c r="O2265" s="370"/>
      <c r="T2265" s="340"/>
      <c r="V2265" s="378"/>
      <c r="W2265" s="64" ph="1"/>
      <c r="X2265" s="241"/>
      <c r="Y2265" s="284"/>
      <c r="Z2265" s="207"/>
      <c r="AA2265" s="284"/>
      <c r="AB2265" s="284"/>
      <c r="AC2265" s="284"/>
      <c r="AD2265" s="284"/>
      <c r="AE2265" s="284"/>
      <c r="AF2265" s="284"/>
      <c r="AG2265" s="284"/>
    </row>
    <row r="2266" spans="1:33" ht="26.4">
      <c r="A2266" s="284"/>
      <c r="B2266" s="284"/>
      <c r="C2266" s="284"/>
      <c r="D2266" s="284"/>
      <c r="E2266" s="284"/>
      <c r="F2266" s="284"/>
      <c r="G2266" s="284"/>
      <c r="H2266" s="284"/>
      <c r="I2266" s="284"/>
      <c r="J2266" s="375"/>
      <c r="K2266" s="375"/>
      <c r="L2266" s="375"/>
      <c r="M2266" s="368"/>
      <c r="N2266" s="368"/>
      <c r="O2266" s="370"/>
      <c r="T2266" s="340"/>
      <c r="V2266" s="378"/>
      <c r="W2266" s="64" ph="1"/>
      <c r="X2266" s="241"/>
      <c r="Y2266" s="284"/>
      <c r="Z2266" s="207"/>
      <c r="AA2266" s="284"/>
      <c r="AB2266" s="284"/>
      <c r="AC2266" s="284"/>
      <c r="AD2266" s="284"/>
      <c r="AE2266" s="284"/>
      <c r="AF2266" s="284"/>
      <c r="AG2266" s="284"/>
    </row>
    <row r="2267" spans="1:33" ht="26.4">
      <c r="A2267" s="284"/>
      <c r="B2267" s="284"/>
      <c r="C2267" s="284"/>
      <c r="D2267" s="284"/>
      <c r="E2267" s="284"/>
      <c r="F2267" s="284"/>
      <c r="G2267" s="284"/>
      <c r="H2267" s="284"/>
      <c r="I2267" s="284"/>
      <c r="J2267" s="375"/>
      <c r="K2267" s="375"/>
      <c r="L2267" s="375"/>
      <c r="M2267" s="368"/>
      <c r="N2267" s="368"/>
      <c r="O2267" s="370"/>
      <c r="T2267" s="340"/>
      <c r="V2267" s="378"/>
      <c r="W2267" s="64" ph="1"/>
      <c r="X2267" s="241"/>
      <c r="Y2267" s="284"/>
      <c r="Z2267" s="207"/>
      <c r="AA2267" s="284"/>
      <c r="AB2267" s="284"/>
      <c r="AC2267" s="284"/>
      <c r="AD2267" s="284"/>
      <c r="AE2267" s="284"/>
      <c r="AF2267" s="284"/>
      <c r="AG2267" s="284"/>
    </row>
    <row r="2268" spans="1:33" ht="26.4">
      <c r="A2268" s="284"/>
      <c r="B2268" s="284"/>
      <c r="C2268" s="284"/>
      <c r="D2268" s="284"/>
      <c r="E2268" s="284"/>
      <c r="F2268" s="284"/>
      <c r="G2268" s="284"/>
      <c r="H2268" s="284"/>
      <c r="I2268" s="284"/>
      <c r="J2268" s="375"/>
      <c r="K2268" s="375"/>
      <c r="L2268" s="375"/>
      <c r="M2268" s="368"/>
      <c r="N2268" s="368"/>
      <c r="O2268" s="370"/>
      <c r="T2268" s="340"/>
      <c r="V2268" s="378"/>
      <c r="W2268" s="64" ph="1"/>
      <c r="X2268" s="241"/>
      <c r="Y2268" s="284"/>
      <c r="Z2268" s="207"/>
      <c r="AA2268" s="284"/>
      <c r="AB2268" s="284"/>
      <c r="AC2268" s="284"/>
      <c r="AD2268" s="284"/>
      <c r="AE2268" s="284"/>
      <c r="AF2268" s="284"/>
      <c r="AG2268" s="284"/>
    </row>
    <row r="2269" spans="1:33" ht="26.4">
      <c r="A2269" s="284"/>
      <c r="B2269" s="284"/>
      <c r="C2269" s="284"/>
      <c r="D2269" s="284"/>
      <c r="E2269" s="284"/>
      <c r="F2269" s="284"/>
      <c r="G2269" s="284"/>
      <c r="H2269" s="284"/>
      <c r="I2269" s="284"/>
      <c r="J2269" s="375"/>
      <c r="K2269" s="375"/>
      <c r="L2269" s="375"/>
      <c r="M2269" s="368"/>
      <c r="N2269" s="368"/>
      <c r="O2269" s="370"/>
      <c r="T2269" s="340"/>
      <c r="V2269" s="378"/>
      <c r="W2269" s="64" ph="1"/>
      <c r="X2269" s="241"/>
      <c r="Y2269" s="284"/>
      <c r="Z2269" s="207"/>
      <c r="AA2269" s="284"/>
      <c r="AB2269" s="284"/>
      <c r="AC2269" s="284"/>
      <c r="AD2269" s="284"/>
      <c r="AE2269" s="284"/>
      <c r="AF2269" s="284"/>
      <c r="AG2269" s="284"/>
    </row>
    <row r="2270" spans="1:33" ht="26.4">
      <c r="A2270" s="284"/>
      <c r="B2270" s="284"/>
      <c r="C2270" s="284"/>
      <c r="D2270" s="284"/>
      <c r="E2270" s="284"/>
      <c r="F2270" s="284"/>
      <c r="G2270" s="284"/>
      <c r="H2270" s="284"/>
      <c r="I2270" s="284"/>
      <c r="J2270" s="375"/>
      <c r="K2270" s="375"/>
      <c r="L2270" s="375"/>
      <c r="M2270" s="368"/>
      <c r="N2270" s="368"/>
      <c r="O2270" s="370"/>
      <c r="T2270" s="340"/>
      <c r="V2270" s="378"/>
      <c r="W2270" s="64" ph="1"/>
      <c r="X2270" s="241"/>
      <c r="Y2270" s="284"/>
      <c r="Z2270" s="207"/>
      <c r="AA2270" s="284"/>
      <c r="AB2270" s="284"/>
      <c r="AC2270" s="284"/>
      <c r="AD2270" s="284"/>
      <c r="AE2270" s="284"/>
      <c r="AF2270" s="284"/>
      <c r="AG2270" s="284"/>
    </row>
    <row r="2271" spans="1:33" ht="26.4">
      <c r="A2271" s="284"/>
      <c r="B2271" s="284"/>
      <c r="C2271" s="284"/>
      <c r="D2271" s="284"/>
      <c r="E2271" s="284"/>
      <c r="F2271" s="284"/>
      <c r="G2271" s="284"/>
      <c r="H2271" s="284"/>
      <c r="I2271" s="284"/>
      <c r="J2271" s="375"/>
      <c r="K2271" s="375"/>
      <c r="L2271" s="375"/>
      <c r="M2271" s="368"/>
      <c r="N2271" s="368"/>
      <c r="O2271" s="370"/>
      <c r="T2271" s="340"/>
      <c r="V2271" s="378"/>
      <c r="W2271" s="64" ph="1"/>
      <c r="X2271" s="241"/>
      <c r="Y2271" s="284"/>
      <c r="Z2271" s="207"/>
      <c r="AA2271" s="284"/>
      <c r="AB2271" s="284"/>
      <c r="AC2271" s="284"/>
      <c r="AD2271" s="284"/>
      <c r="AE2271" s="284"/>
      <c r="AF2271" s="284"/>
      <c r="AG2271" s="284"/>
    </row>
    <row r="2272" spans="1:33" ht="26.4">
      <c r="A2272" s="284"/>
      <c r="B2272" s="284"/>
      <c r="C2272" s="284"/>
      <c r="D2272" s="284"/>
      <c r="E2272" s="284"/>
      <c r="F2272" s="284"/>
      <c r="G2272" s="284"/>
      <c r="H2272" s="284"/>
      <c r="I2272" s="284"/>
      <c r="J2272" s="375"/>
      <c r="K2272" s="375"/>
      <c r="L2272" s="375"/>
      <c r="M2272" s="368"/>
      <c r="N2272" s="368"/>
      <c r="O2272" s="370"/>
      <c r="T2272" s="340"/>
      <c r="V2272" s="378"/>
      <c r="W2272" s="64" ph="1"/>
      <c r="X2272" s="241"/>
      <c r="Y2272" s="284"/>
      <c r="Z2272" s="207"/>
      <c r="AA2272" s="284"/>
      <c r="AB2272" s="284"/>
      <c r="AC2272" s="284"/>
      <c r="AD2272" s="284"/>
      <c r="AE2272" s="284"/>
      <c r="AF2272" s="284"/>
      <c r="AG2272" s="284"/>
    </row>
    <row r="2273" spans="1:33" ht="26.4">
      <c r="A2273" s="284"/>
      <c r="B2273" s="284"/>
      <c r="C2273" s="284"/>
      <c r="D2273" s="284"/>
      <c r="E2273" s="284"/>
      <c r="F2273" s="284"/>
      <c r="G2273" s="284"/>
      <c r="H2273" s="284"/>
      <c r="I2273" s="284"/>
      <c r="J2273" s="375"/>
      <c r="K2273" s="375"/>
      <c r="L2273" s="375"/>
      <c r="M2273" s="368"/>
      <c r="N2273" s="368"/>
      <c r="O2273" s="370"/>
      <c r="T2273" s="340"/>
      <c r="V2273" s="378"/>
      <c r="W2273" s="64" ph="1"/>
      <c r="X2273" s="241"/>
      <c r="Y2273" s="284"/>
      <c r="Z2273" s="207"/>
      <c r="AA2273" s="284"/>
      <c r="AB2273" s="284"/>
      <c r="AC2273" s="284"/>
      <c r="AD2273" s="284"/>
      <c r="AE2273" s="284"/>
      <c r="AF2273" s="284"/>
      <c r="AG2273" s="284"/>
    </row>
    <row r="2274" spans="1:33" ht="26.4">
      <c r="A2274" s="284"/>
      <c r="B2274" s="284"/>
      <c r="C2274" s="284"/>
      <c r="D2274" s="284"/>
      <c r="E2274" s="284"/>
      <c r="F2274" s="284"/>
      <c r="G2274" s="284"/>
      <c r="H2274" s="284"/>
      <c r="I2274" s="284"/>
      <c r="J2274" s="375"/>
      <c r="K2274" s="375"/>
      <c r="L2274" s="375"/>
      <c r="M2274" s="368"/>
      <c r="N2274" s="368"/>
      <c r="O2274" s="370"/>
      <c r="T2274" s="340"/>
      <c r="V2274" s="378"/>
      <c r="W2274" s="64" ph="1"/>
      <c r="X2274" s="241"/>
      <c r="Y2274" s="284"/>
      <c r="Z2274" s="207"/>
      <c r="AA2274" s="284"/>
      <c r="AB2274" s="284"/>
      <c r="AC2274" s="284"/>
      <c r="AD2274" s="284"/>
      <c r="AE2274" s="284"/>
      <c r="AF2274" s="284"/>
      <c r="AG2274" s="284"/>
    </row>
    <row r="2275" spans="1:33" ht="26.4">
      <c r="A2275" s="284"/>
      <c r="B2275" s="284"/>
      <c r="C2275" s="284"/>
      <c r="D2275" s="284"/>
      <c r="E2275" s="284"/>
      <c r="F2275" s="284"/>
      <c r="G2275" s="284"/>
      <c r="H2275" s="284"/>
      <c r="I2275" s="284"/>
      <c r="J2275" s="375"/>
      <c r="K2275" s="375"/>
      <c r="L2275" s="375"/>
      <c r="M2275" s="368"/>
      <c r="N2275" s="368"/>
      <c r="O2275" s="370"/>
      <c r="T2275" s="340"/>
      <c r="V2275" s="378"/>
      <c r="W2275" s="64" ph="1"/>
      <c r="X2275" s="241"/>
      <c r="Y2275" s="284"/>
      <c r="Z2275" s="207"/>
      <c r="AA2275" s="284"/>
      <c r="AB2275" s="284"/>
      <c r="AC2275" s="284"/>
      <c r="AD2275" s="284"/>
      <c r="AE2275" s="284"/>
      <c r="AF2275" s="284"/>
      <c r="AG2275" s="284"/>
    </row>
    <row r="2276" spans="1:33" ht="26.4">
      <c r="A2276" s="284"/>
      <c r="B2276" s="284"/>
      <c r="C2276" s="284"/>
      <c r="D2276" s="284"/>
      <c r="E2276" s="284"/>
      <c r="F2276" s="284"/>
      <c r="G2276" s="284"/>
      <c r="H2276" s="284"/>
      <c r="I2276" s="284"/>
      <c r="J2276" s="375"/>
      <c r="K2276" s="375"/>
      <c r="L2276" s="375"/>
      <c r="M2276" s="368"/>
      <c r="N2276" s="368"/>
      <c r="O2276" s="370"/>
      <c r="T2276" s="340"/>
      <c r="V2276" s="378"/>
      <c r="W2276" s="64" ph="1"/>
      <c r="X2276" s="241"/>
      <c r="Y2276" s="284"/>
      <c r="Z2276" s="207"/>
      <c r="AA2276" s="284"/>
      <c r="AB2276" s="284"/>
      <c r="AC2276" s="284"/>
      <c r="AD2276" s="284"/>
      <c r="AE2276" s="284"/>
      <c r="AF2276" s="284"/>
      <c r="AG2276" s="284"/>
    </row>
    <row r="2277" spans="1:33" ht="26.4">
      <c r="A2277" s="284"/>
      <c r="B2277" s="284"/>
      <c r="C2277" s="284"/>
      <c r="D2277" s="284"/>
      <c r="E2277" s="284"/>
      <c r="F2277" s="284"/>
      <c r="G2277" s="284"/>
      <c r="H2277" s="284"/>
      <c r="I2277" s="284"/>
      <c r="J2277" s="375"/>
      <c r="K2277" s="375"/>
      <c r="L2277" s="375"/>
      <c r="M2277" s="368"/>
      <c r="N2277" s="368"/>
      <c r="O2277" s="370"/>
      <c r="T2277" s="340"/>
      <c r="V2277" s="378"/>
      <c r="W2277" s="64" ph="1"/>
      <c r="X2277" s="241"/>
      <c r="Y2277" s="284"/>
      <c r="Z2277" s="207"/>
      <c r="AA2277" s="284"/>
      <c r="AB2277" s="284"/>
      <c r="AC2277" s="284"/>
      <c r="AD2277" s="284"/>
      <c r="AE2277" s="284"/>
      <c r="AF2277" s="284"/>
      <c r="AG2277" s="284"/>
    </row>
    <row r="2278" spans="1:33" ht="26.4">
      <c r="A2278" s="284"/>
      <c r="B2278" s="284"/>
      <c r="C2278" s="284"/>
      <c r="D2278" s="284"/>
      <c r="E2278" s="284"/>
      <c r="F2278" s="284"/>
      <c r="G2278" s="284"/>
      <c r="H2278" s="284"/>
      <c r="I2278" s="284"/>
      <c r="J2278" s="375"/>
      <c r="K2278" s="375"/>
      <c r="L2278" s="375"/>
      <c r="M2278" s="368"/>
      <c r="N2278" s="368"/>
      <c r="O2278" s="370"/>
      <c r="T2278" s="340"/>
      <c r="V2278" s="378"/>
      <c r="W2278" s="64" ph="1"/>
      <c r="X2278" s="241"/>
      <c r="Y2278" s="284"/>
      <c r="Z2278" s="207"/>
      <c r="AA2278" s="284"/>
      <c r="AB2278" s="284"/>
      <c r="AC2278" s="284"/>
      <c r="AD2278" s="284"/>
      <c r="AE2278" s="284"/>
      <c r="AF2278" s="284"/>
      <c r="AG2278" s="284"/>
    </row>
    <row r="2279" spans="1:33" ht="26.4">
      <c r="A2279" s="284"/>
      <c r="B2279" s="284"/>
      <c r="C2279" s="284"/>
      <c r="D2279" s="284"/>
      <c r="E2279" s="284"/>
      <c r="F2279" s="284"/>
      <c r="G2279" s="284"/>
      <c r="H2279" s="284"/>
      <c r="I2279" s="284"/>
      <c r="J2279" s="375"/>
      <c r="K2279" s="375"/>
      <c r="L2279" s="375"/>
      <c r="M2279" s="368"/>
      <c r="N2279" s="368"/>
      <c r="O2279" s="370"/>
      <c r="T2279" s="340"/>
      <c r="V2279" s="378"/>
      <c r="W2279" s="64" ph="1"/>
      <c r="X2279" s="241"/>
      <c r="Y2279" s="284"/>
      <c r="Z2279" s="207"/>
      <c r="AA2279" s="284"/>
      <c r="AB2279" s="284"/>
      <c r="AC2279" s="284"/>
      <c r="AD2279" s="284"/>
      <c r="AE2279" s="284"/>
      <c r="AF2279" s="284"/>
      <c r="AG2279" s="284"/>
    </row>
    <row r="2280" spans="1:33" ht="26.4">
      <c r="A2280" s="284"/>
      <c r="B2280" s="284"/>
      <c r="C2280" s="284"/>
      <c r="D2280" s="284"/>
      <c r="E2280" s="284"/>
      <c r="F2280" s="284"/>
      <c r="G2280" s="284"/>
      <c r="H2280" s="284"/>
      <c r="I2280" s="284"/>
      <c r="J2280" s="375"/>
      <c r="K2280" s="375"/>
      <c r="L2280" s="375"/>
      <c r="M2280" s="368"/>
      <c r="N2280" s="368"/>
      <c r="O2280" s="370"/>
      <c r="T2280" s="340"/>
      <c r="V2280" s="378"/>
      <c r="W2280" s="64" ph="1"/>
      <c r="X2280" s="241"/>
      <c r="Y2280" s="284"/>
      <c r="Z2280" s="207"/>
      <c r="AA2280" s="284"/>
      <c r="AB2280" s="284"/>
      <c r="AC2280" s="284"/>
      <c r="AD2280" s="284"/>
      <c r="AE2280" s="284"/>
      <c r="AF2280" s="284"/>
      <c r="AG2280" s="284"/>
    </row>
    <row r="2281" spans="1:33" ht="26.4">
      <c r="A2281" s="284"/>
      <c r="B2281" s="284"/>
      <c r="C2281" s="284"/>
      <c r="D2281" s="284"/>
      <c r="E2281" s="284"/>
      <c r="F2281" s="284"/>
      <c r="G2281" s="284"/>
      <c r="H2281" s="284"/>
      <c r="I2281" s="284"/>
      <c r="J2281" s="375"/>
      <c r="K2281" s="375"/>
      <c r="L2281" s="375"/>
      <c r="M2281" s="368"/>
      <c r="N2281" s="368"/>
      <c r="O2281" s="370"/>
      <c r="T2281" s="340"/>
      <c r="V2281" s="378"/>
      <c r="W2281" s="64" ph="1"/>
      <c r="X2281" s="241"/>
      <c r="Y2281" s="284"/>
      <c r="Z2281" s="207"/>
      <c r="AA2281" s="284"/>
      <c r="AB2281" s="284"/>
      <c r="AC2281" s="284"/>
      <c r="AD2281" s="284"/>
      <c r="AE2281" s="284"/>
      <c r="AF2281" s="284"/>
      <c r="AG2281" s="284"/>
    </row>
    <row r="2282" spans="1:33" ht="26.4">
      <c r="A2282" s="284"/>
      <c r="B2282" s="284"/>
      <c r="C2282" s="284"/>
      <c r="D2282" s="284"/>
      <c r="E2282" s="284"/>
      <c r="F2282" s="284"/>
      <c r="G2282" s="284"/>
      <c r="H2282" s="284"/>
      <c r="I2282" s="284"/>
      <c r="J2282" s="375"/>
      <c r="K2282" s="375"/>
      <c r="L2282" s="375"/>
      <c r="M2282" s="368"/>
      <c r="N2282" s="368"/>
      <c r="O2282" s="370"/>
      <c r="T2282" s="340"/>
      <c r="V2282" s="378"/>
      <c r="W2282" s="64" ph="1"/>
      <c r="X2282" s="241"/>
      <c r="Y2282" s="284"/>
      <c r="Z2282" s="207"/>
      <c r="AA2282" s="284"/>
      <c r="AB2282" s="284"/>
      <c r="AC2282" s="284"/>
      <c r="AD2282" s="284"/>
      <c r="AE2282" s="284"/>
      <c r="AF2282" s="284"/>
      <c r="AG2282" s="284"/>
    </row>
    <row r="2283" spans="1:33" ht="26.4">
      <c r="A2283" s="284"/>
      <c r="B2283" s="284"/>
      <c r="C2283" s="284"/>
      <c r="D2283" s="284"/>
      <c r="E2283" s="284"/>
      <c r="F2283" s="284"/>
      <c r="G2283" s="284"/>
      <c r="H2283" s="284"/>
      <c r="I2283" s="284"/>
      <c r="J2283" s="375"/>
      <c r="K2283" s="375"/>
      <c r="L2283" s="375"/>
      <c r="M2283" s="368"/>
      <c r="N2283" s="368"/>
      <c r="O2283" s="370"/>
      <c r="T2283" s="340"/>
      <c r="V2283" s="378"/>
      <c r="W2283" s="64" ph="1"/>
      <c r="X2283" s="241"/>
      <c r="Y2283" s="284"/>
      <c r="Z2283" s="207"/>
      <c r="AA2283" s="284"/>
      <c r="AB2283" s="284"/>
      <c r="AC2283" s="284"/>
      <c r="AD2283" s="284"/>
      <c r="AE2283" s="284"/>
      <c r="AF2283" s="284"/>
      <c r="AG2283" s="284"/>
    </row>
    <row r="2284" spans="1:33" ht="26.4">
      <c r="A2284" s="284"/>
      <c r="B2284" s="284"/>
      <c r="C2284" s="284"/>
      <c r="D2284" s="284"/>
      <c r="E2284" s="284"/>
      <c r="F2284" s="284"/>
      <c r="G2284" s="284"/>
      <c r="H2284" s="284"/>
      <c r="I2284" s="284"/>
      <c r="J2284" s="375"/>
      <c r="K2284" s="375"/>
      <c r="L2284" s="375"/>
      <c r="M2284" s="368"/>
      <c r="N2284" s="368"/>
      <c r="O2284" s="370"/>
      <c r="T2284" s="340"/>
      <c r="V2284" s="378"/>
      <c r="W2284" s="64" ph="1"/>
      <c r="X2284" s="241"/>
      <c r="Y2284" s="284"/>
      <c r="Z2284" s="207"/>
      <c r="AA2284" s="284"/>
      <c r="AB2284" s="284"/>
      <c r="AC2284" s="284"/>
      <c r="AD2284" s="284"/>
      <c r="AE2284" s="284"/>
      <c r="AF2284" s="284"/>
      <c r="AG2284" s="284"/>
    </row>
    <row r="2285" spans="1:33" ht="26.4">
      <c r="A2285" s="284"/>
      <c r="B2285" s="284"/>
      <c r="C2285" s="284"/>
      <c r="D2285" s="284"/>
      <c r="E2285" s="284"/>
      <c r="F2285" s="284"/>
      <c r="G2285" s="284"/>
      <c r="H2285" s="284"/>
      <c r="I2285" s="284"/>
      <c r="J2285" s="375"/>
      <c r="K2285" s="375"/>
      <c r="L2285" s="375"/>
      <c r="M2285" s="368"/>
      <c r="N2285" s="368"/>
      <c r="O2285" s="370"/>
      <c r="T2285" s="340"/>
      <c r="V2285" s="378"/>
      <c r="W2285" s="64" ph="1"/>
      <c r="X2285" s="241"/>
      <c r="Y2285" s="284"/>
      <c r="Z2285" s="207"/>
      <c r="AA2285" s="284"/>
      <c r="AB2285" s="284"/>
      <c r="AC2285" s="284"/>
      <c r="AD2285" s="284"/>
      <c r="AE2285" s="284"/>
      <c r="AF2285" s="284"/>
      <c r="AG2285" s="284"/>
    </row>
    <row r="2286" spans="1:33" ht="26.4">
      <c r="A2286" s="284"/>
      <c r="B2286" s="284"/>
      <c r="C2286" s="284"/>
      <c r="D2286" s="284"/>
      <c r="E2286" s="284"/>
      <c r="F2286" s="284"/>
      <c r="G2286" s="284"/>
      <c r="H2286" s="284"/>
      <c r="I2286" s="284"/>
      <c r="J2286" s="375"/>
      <c r="K2286" s="375"/>
      <c r="L2286" s="375"/>
      <c r="M2286" s="368"/>
      <c r="N2286" s="368"/>
      <c r="O2286" s="370"/>
      <c r="T2286" s="340"/>
      <c r="V2286" s="378"/>
      <c r="W2286" s="64" ph="1"/>
      <c r="X2286" s="241"/>
      <c r="Y2286" s="284"/>
      <c r="Z2286" s="207"/>
      <c r="AA2286" s="284"/>
      <c r="AB2286" s="284"/>
      <c r="AC2286" s="284"/>
      <c r="AD2286" s="284"/>
      <c r="AE2286" s="284"/>
      <c r="AF2286" s="284"/>
      <c r="AG2286" s="284"/>
    </row>
    <row r="2287" spans="1:33" ht="26.4">
      <c r="A2287" s="284"/>
      <c r="B2287" s="284"/>
      <c r="C2287" s="284"/>
      <c r="D2287" s="284"/>
      <c r="E2287" s="284"/>
      <c r="F2287" s="284"/>
      <c r="G2287" s="284"/>
      <c r="H2287" s="284"/>
      <c r="I2287" s="284"/>
      <c r="J2287" s="375"/>
      <c r="K2287" s="375"/>
      <c r="L2287" s="375"/>
      <c r="M2287" s="368"/>
      <c r="N2287" s="368"/>
      <c r="O2287" s="370"/>
      <c r="T2287" s="340"/>
      <c r="V2287" s="378"/>
      <c r="W2287" s="64" ph="1"/>
      <c r="X2287" s="241"/>
      <c r="Y2287" s="284"/>
      <c r="Z2287" s="207"/>
      <c r="AA2287" s="284"/>
      <c r="AB2287" s="284"/>
      <c r="AC2287" s="284"/>
      <c r="AD2287" s="284"/>
      <c r="AE2287" s="284"/>
      <c r="AF2287" s="284"/>
      <c r="AG2287" s="284"/>
    </row>
    <row r="2288" spans="1:33" ht="26.4">
      <c r="A2288" s="284"/>
      <c r="B2288" s="284"/>
      <c r="C2288" s="284"/>
      <c r="D2288" s="284"/>
      <c r="E2288" s="284"/>
      <c r="F2288" s="284"/>
      <c r="G2288" s="284"/>
      <c r="H2288" s="284"/>
      <c r="I2288" s="284"/>
      <c r="J2288" s="375"/>
      <c r="K2288" s="375"/>
      <c r="L2288" s="375"/>
      <c r="M2288" s="368"/>
      <c r="N2288" s="368"/>
      <c r="O2288" s="370"/>
      <c r="T2288" s="340"/>
      <c r="V2288" s="378"/>
      <c r="W2288" s="64" ph="1"/>
      <c r="X2288" s="241"/>
      <c r="Y2288" s="284"/>
      <c r="Z2288" s="207"/>
      <c r="AA2288" s="284"/>
      <c r="AB2288" s="284"/>
      <c r="AC2288" s="284"/>
      <c r="AD2288" s="284"/>
      <c r="AE2288" s="284"/>
      <c r="AF2288" s="284"/>
      <c r="AG2288" s="284"/>
    </row>
    <row r="2289" spans="1:33" ht="26.4">
      <c r="A2289" s="284"/>
      <c r="B2289" s="284"/>
      <c r="C2289" s="284"/>
      <c r="D2289" s="284"/>
      <c r="E2289" s="284"/>
      <c r="F2289" s="284"/>
      <c r="G2289" s="284"/>
      <c r="H2289" s="284"/>
      <c r="I2289" s="284"/>
      <c r="J2289" s="375"/>
      <c r="K2289" s="375"/>
      <c r="L2289" s="375"/>
      <c r="M2289" s="368"/>
      <c r="N2289" s="368"/>
      <c r="O2289" s="370"/>
      <c r="T2289" s="340"/>
      <c r="V2289" s="378"/>
      <c r="W2289" s="64" ph="1"/>
      <c r="X2289" s="241"/>
      <c r="Y2289" s="284"/>
      <c r="Z2289" s="207"/>
      <c r="AA2289" s="284"/>
      <c r="AB2289" s="284"/>
      <c r="AC2289" s="284"/>
      <c r="AD2289" s="284"/>
      <c r="AE2289" s="284"/>
      <c r="AF2289" s="284"/>
      <c r="AG2289" s="284"/>
    </row>
    <row r="2290" spans="1:33" ht="26.4">
      <c r="A2290" s="284"/>
      <c r="B2290" s="284"/>
      <c r="C2290" s="284"/>
      <c r="D2290" s="284"/>
      <c r="E2290" s="284"/>
      <c r="F2290" s="284"/>
      <c r="G2290" s="284"/>
      <c r="H2290" s="284"/>
      <c r="I2290" s="284"/>
      <c r="J2290" s="375"/>
      <c r="K2290" s="375"/>
      <c r="L2290" s="375"/>
      <c r="M2290" s="368"/>
      <c r="N2290" s="368"/>
      <c r="O2290" s="370"/>
      <c r="T2290" s="340"/>
      <c r="V2290" s="378"/>
      <c r="W2290" s="64" ph="1"/>
      <c r="X2290" s="241"/>
      <c r="Y2290" s="284"/>
      <c r="Z2290" s="207"/>
      <c r="AA2290" s="284"/>
      <c r="AB2290" s="284"/>
      <c r="AC2290" s="284"/>
      <c r="AD2290" s="284"/>
      <c r="AE2290" s="284"/>
      <c r="AF2290" s="284"/>
      <c r="AG2290" s="284"/>
    </row>
    <row r="2291" spans="1:33" ht="26.4">
      <c r="A2291" s="284"/>
      <c r="B2291" s="284"/>
      <c r="C2291" s="284"/>
      <c r="D2291" s="284"/>
      <c r="E2291" s="284"/>
      <c r="F2291" s="284"/>
      <c r="G2291" s="284"/>
      <c r="H2291" s="284"/>
      <c r="I2291" s="284"/>
      <c r="J2291" s="375"/>
      <c r="K2291" s="375"/>
      <c r="L2291" s="375"/>
      <c r="M2291" s="368"/>
      <c r="N2291" s="368"/>
      <c r="O2291" s="370"/>
      <c r="T2291" s="340"/>
      <c r="V2291" s="378"/>
      <c r="W2291" s="64" ph="1"/>
      <c r="X2291" s="241"/>
      <c r="Y2291" s="284"/>
      <c r="Z2291" s="207"/>
      <c r="AA2291" s="284"/>
      <c r="AB2291" s="284"/>
      <c r="AC2291" s="284"/>
      <c r="AD2291" s="284"/>
      <c r="AE2291" s="284"/>
      <c r="AF2291" s="284"/>
      <c r="AG2291" s="284"/>
    </row>
    <row r="2292" spans="1:33" ht="26.4">
      <c r="A2292" s="284"/>
      <c r="B2292" s="284"/>
      <c r="C2292" s="284"/>
      <c r="D2292" s="284"/>
      <c r="E2292" s="284"/>
      <c r="F2292" s="284"/>
      <c r="G2292" s="284"/>
      <c r="H2292" s="284"/>
      <c r="I2292" s="284"/>
      <c r="J2292" s="375"/>
      <c r="K2292" s="375"/>
      <c r="L2292" s="375"/>
      <c r="M2292" s="368"/>
      <c r="N2292" s="368"/>
      <c r="O2292" s="370"/>
      <c r="T2292" s="340"/>
      <c r="V2292" s="378"/>
      <c r="W2292" s="64" ph="1"/>
      <c r="X2292" s="241"/>
      <c r="Y2292" s="284"/>
      <c r="Z2292" s="207"/>
      <c r="AA2292" s="284"/>
      <c r="AB2292" s="284"/>
      <c r="AC2292" s="284"/>
      <c r="AD2292" s="284"/>
      <c r="AE2292" s="284"/>
      <c r="AF2292" s="284"/>
      <c r="AG2292" s="284"/>
    </row>
    <row r="2293" spans="1:33" ht="26.4">
      <c r="A2293" s="284"/>
      <c r="B2293" s="284"/>
      <c r="C2293" s="284"/>
      <c r="D2293" s="284"/>
      <c r="E2293" s="284"/>
      <c r="F2293" s="284"/>
      <c r="G2293" s="284"/>
      <c r="H2293" s="284"/>
      <c r="I2293" s="284"/>
      <c r="J2293" s="375"/>
      <c r="K2293" s="375"/>
      <c r="L2293" s="375"/>
      <c r="M2293" s="368"/>
      <c r="N2293" s="368"/>
      <c r="O2293" s="370"/>
      <c r="T2293" s="340"/>
      <c r="V2293" s="378"/>
      <c r="W2293" s="64" ph="1"/>
      <c r="X2293" s="241"/>
      <c r="Y2293" s="284"/>
      <c r="Z2293" s="207"/>
      <c r="AA2293" s="284"/>
      <c r="AB2293" s="284"/>
      <c r="AC2293" s="284"/>
      <c r="AD2293" s="284"/>
      <c r="AE2293" s="284"/>
      <c r="AF2293" s="284"/>
      <c r="AG2293" s="284"/>
    </row>
    <row r="2294" spans="1:33" ht="26.4">
      <c r="A2294" s="284"/>
      <c r="B2294" s="284"/>
      <c r="C2294" s="284"/>
      <c r="D2294" s="284"/>
      <c r="E2294" s="284"/>
      <c r="F2294" s="284"/>
      <c r="G2294" s="284"/>
      <c r="H2294" s="284"/>
      <c r="I2294" s="284"/>
      <c r="J2294" s="375"/>
      <c r="K2294" s="375"/>
      <c r="L2294" s="375"/>
      <c r="M2294" s="368"/>
      <c r="N2294" s="368"/>
      <c r="O2294" s="370"/>
      <c r="T2294" s="340"/>
      <c r="V2294" s="378"/>
      <c r="W2294" s="64" ph="1"/>
      <c r="X2294" s="241"/>
      <c r="Y2294" s="284"/>
      <c r="Z2294" s="207"/>
      <c r="AA2294" s="284"/>
      <c r="AB2294" s="284"/>
      <c r="AC2294" s="284"/>
      <c r="AD2294" s="284"/>
      <c r="AE2294" s="284"/>
      <c r="AF2294" s="284"/>
      <c r="AG2294" s="284"/>
    </row>
    <row r="2295" spans="1:33" ht="26.4">
      <c r="A2295" s="284"/>
      <c r="B2295" s="284"/>
      <c r="C2295" s="284"/>
      <c r="D2295" s="284"/>
      <c r="E2295" s="284"/>
      <c r="F2295" s="284"/>
      <c r="G2295" s="284"/>
      <c r="H2295" s="284"/>
      <c r="I2295" s="284"/>
      <c r="J2295" s="375"/>
      <c r="K2295" s="375"/>
      <c r="L2295" s="375"/>
      <c r="M2295" s="368"/>
      <c r="N2295" s="368"/>
      <c r="O2295" s="370"/>
      <c r="T2295" s="340"/>
      <c r="V2295" s="378"/>
      <c r="W2295" s="64" ph="1"/>
      <c r="X2295" s="241"/>
      <c r="Y2295" s="284"/>
      <c r="Z2295" s="207"/>
      <c r="AA2295" s="284"/>
      <c r="AB2295" s="284"/>
      <c r="AC2295" s="284"/>
      <c r="AD2295" s="284"/>
      <c r="AE2295" s="284"/>
      <c r="AF2295" s="284"/>
      <c r="AG2295" s="284"/>
    </row>
    <row r="2296" spans="1:33" ht="26.4">
      <c r="A2296" s="284"/>
      <c r="B2296" s="284"/>
      <c r="C2296" s="284"/>
      <c r="D2296" s="284"/>
      <c r="E2296" s="284"/>
      <c r="F2296" s="284"/>
      <c r="G2296" s="284"/>
      <c r="H2296" s="284"/>
      <c r="I2296" s="284"/>
      <c r="J2296" s="375"/>
      <c r="K2296" s="375"/>
      <c r="L2296" s="375"/>
      <c r="M2296" s="368"/>
      <c r="N2296" s="368"/>
      <c r="O2296" s="370"/>
      <c r="T2296" s="340"/>
      <c r="V2296" s="378"/>
      <c r="W2296" s="64" ph="1"/>
      <c r="X2296" s="241"/>
      <c r="Y2296" s="284"/>
      <c r="Z2296" s="207"/>
      <c r="AA2296" s="284"/>
      <c r="AB2296" s="284"/>
      <c r="AC2296" s="284"/>
      <c r="AD2296" s="284"/>
      <c r="AE2296" s="284"/>
      <c r="AF2296" s="284"/>
      <c r="AG2296" s="284"/>
    </row>
    <row r="2297" spans="1:33" ht="26.4">
      <c r="A2297" s="284"/>
      <c r="B2297" s="284"/>
      <c r="C2297" s="284"/>
      <c r="D2297" s="284"/>
      <c r="E2297" s="284"/>
      <c r="F2297" s="284"/>
      <c r="G2297" s="284"/>
      <c r="H2297" s="284"/>
      <c r="I2297" s="284"/>
      <c r="J2297" s="375"/>
      <c r="K2297" s="375"/>
      <c r="L2297" s="375"/>
      <c r="M2297" s="368"/>
      <c r="N2297" s="368"/>
      <c r="O2297" s="370"/>
      <c r="T2297" s="340"/>
      <c r="V2297" s="378"/>
      <c r="W2297" s="64" ph="1"/>
      <c r="X2297" s="241"/>
      <c r="Y2297" s="284"/>
      <c r="Z2297" s="207"/>
      <c r="AA2297" s="284"/>
      <c r="AB2297" s="284"/>
      <c r="AC2297" s="284"/>
      <c r="AD2297" s="284"/>
      <c r="AE2297" s="284"/>
      <c r="AF2297" s="284"/>
      <c r="AG2297" s="284"/>
    </row>
    <row r="2298" spans="1:33" ht="26.4">
      <c r="A2298" s="284"/>
      <c r="B2298" s="284"/>
      <c r="C2298" s="284"/>
      <c r="D2298" s="284"/>
      <c r="E2298" s="284"/>
      <c r="F2298" s="284"/>
      <c r="G2298" s="284"/>
      <c r="H2298" s="284"/>
      <c r="I2298" s="284"/>
      <c r="J2298" s="375"/>
      <c r="K2298" s="375"/>
      <c r="L2298" s="375"/>
      <c r="M2298" s="368"/>
      <c r="N2298" s="368"/>
      <c r="O2298" s="370"/>
      <c r="T2298" s="340"/>
      <c r="V2298" s="378"/>
      <c r="W2298" s="64" ph="1"/>
      <c r="X2298" s="241"/>
      <c r="Y2298" s="284"/>
      <c r="Z2298" s="207"/>
      <c r="AA2298" s="284"/>
      <c r="AB2298" s="284"/>
      <c r="AC2298" s="284"/>
      <c r="AD2298" s="284"/>
      <c r="AE2298" s="284"/>
      <c r="AF2298" s="284"/>
      <c r="AG2298" s="284"/>
    </row>
    <row r="2299" spans="1:33" ht="26.4">
      <c r="A2299" s="284"/>
      <c r="B2299" s="284"/>
      <c r="C2299" s="284"/>
      <c r="D2299" s="284"/>
      <c r="E2299" s="284"/>
      <c r="F2299" s="284"/>
      <c r="G2299" s="284"/>
      <c r="H2299" s="284"/>
      <c r="I2299" s="284"/>
      <c r="J2299" s="375"/>
      <c r="K2299" s="375"/>
      <c r="L2299" s="375"/>
      <c r="M2299" s="368"/>
      <c r="N2299" s="368"/>
      <c r="O2299" s="370"/>
      <c r="T2299" s="340"/>
      <c r="V2299" s="378"/>
      <c r="W2299" s="64" ph="1"/>
      <c r="X2299" s="241"/>
      <c r="Y2299" s="284"/>
      <c r="Z2299" s="207"/>
      <c r="AA2299" s="284"/>
      <c r="AB2299" s="284"/>
      <c r="AC2299" s="284"/>
      <c r="AD2299" s="284"/>
      <c r="AE2299" s="284"/>
      <c r="AF2299" s="284"/>
      <c r="AG2299" s="284"/>
    </row>
    <row r="2300" spans="1:33" ht="26.4">
      <c r="A2300" s="284"/>
      <c r="B2300" s="284"/>
      <c r="C2300" s="284"/>
      <c r="D2300" s="284"/>
      <c r="E2300" s="284"/>
      <c r="F2300" s="284"/>
      <c r="G2300" s="284"/>
      <c r="H2300" s="284"/>
      <c r="I2300" s="284"/>
      <c r="J2300" s="375"/>
      <c r="K2300" s="375"/>
      <c r="L2300" s="375"/>
      <c r="M2300" s="368"/>
      <c r="N2300" s="368"/>
      <c r="O2300" s="370"/>
      <c r="T2300" s="340"/>
      <c r="V2300" s="378"/>
      <c r="W2300" s="64" ph="1"/>
      <c r="X2300" s="241"/>
      <c r="Y2300" s="284"/>
      <c r="Z2300" s="207"/>
      <c r="AA2300" s="284"/>
      <c r="AB2300" s="284"/>
      <c r="AC2300" s="284"/>
      <c r="AD2300" s="284"/>
      <c r="AE2300" s="284"/>
      <c r="AF2300" s="284"/>
      <c r="AG2300" s="284"/>
    </row>
    <row r="2301" spans="1:33" ht="26.4">
      <c r="A2301" s="284"/>
      <c r="B2301" s="284"/>
      <c r="C2301" s="284"/>
      <c r="D2301" s="284"/>
      <c r="E2301" s="284"/>
      <c r="F2301" s="284"/>
      <c r="G2301" s="284"/>
      <c r="H2301" s="284"/>
      <c r="I2301" s="284"/>
      <c r="J2301" s="375"/>
      <c r="K2301" s="375"/>
      <c r="L2301" s="375"/>
      <c r="M2301" s="368"/>
      <c r="N2301" s="368"/>
      <c r="O2301" s="370"/>
      <c r="T2301" s="340"/>
      <c r="V2301" s="378"/>
      <c r="W2301" s="64" ph="1"/>
      <c r="X2301" s="241"/>
      <c r="Y2301" s="284"/>
      <c r="Z2301" s="207"/>
      <c r="AA2301" s="284"/>
      <c r="AB2301" s="284"/>
      <c r="AC2301" s="284"/>
      <c r="AD2301" s="284"/>
      <c r="AE2301" s="284"/>
      <c r="AF2301" s="284"/>
      <c r="AG2301" s="284"/>
    </row>
    <row r="2302" spans="1:33" ht="26.4">
      <c r="A2302" s="284"/>
      <c r="B2302" s="284"/>
      <c r="C2302" s="284"/>
      <c r="D2302" s="284"/>
      <c r="E2302" s="284"/>
      <c r="F2302" s="284"/>
      <c r="G2302" s="284"/>
      <c r="H2302" s="284"/>
      <c r="I2302" s="284"/>
      <c r="J2302" s="375"/>
      <c r="K2302" s="375"/>
      <c r="L2302" s="375"/>
      <c r="M2302" s="368"/>
      <c r="N2302" s="368"/>
      <c r="O2302" s="370"/>
      <c r="T2302" s="340"/>
      <c r="V2302" s="378"/>
      <c r="W2302" s="64" ph="1"/>
      <c r="X2302" s="241"/>
      <c r="Y2302" s="284"/>
      <c r="Z2302" s="207"/>
      <c r="AA2302" s="284"/>
      <c r="AB2302" s="284"/>
      <c r="AC2302" s="284"/>
      <c r="AD2302" s="284"/>
      <c r="AE2302" s="284"/>
      <c r="AF2302" s="284"/>
      <c r="AG2302" s="284"/>
    </row>
    <row r="2303" spans="1:33" ht="26.4">
      <c r="A2303" s="284"/>
      <c r="B2303" s="284"/>
      <c r="C2303" s="284"/>
      <c r="D2303" s="284"/>
      <c r="E2303" s="284"/>
      <c r="F2303" s="284"/>
      <c r="G2303" s="284"/>
      <c r="H2303" s="284"/>
      <c r="I2303" s="284"/>
      <c r="J2303" s="375"/>
      <c r="K2303" s="375"/>
      <c r="L2303" s="375"/>
      <c r="M2303" s="368"/>
      <c r="N2303" s="368"/>
      <c r="O2303" s="370"/>
      <c r="T2303" s="340"/>
      <c r="V2303" s="378"/>
      <c r="W2303" s="64" ph="1"/>
      <c r="X2303" s="241"/>
      <c r="Y2303" s="284"/>
      <c r="Z2303" s="207"/>
      <c r="AA2303" s="284"/>
      <c r="AB2303" s="284"/>
      <c r="AC2303" s="284"/>
      <c r="AD2303" s="284"/>
      <c r="AE2303" s="284"/>
      <c r="AF2303" s="284"/>
      <c r="AG2303" s="284"/>
    </row>
    <row r="2304" spans="1:33" ht="26.4">
      <c r="A2304" s="284"/>
      <c r="B2304" s="284"/>
      <c r="C2304" s="284"/>
      <c r="D2304" s="284"/>
      <c r="E2304" s="284"/>
      <c r="F2304" s="284"/>
      <c r="G2304" s="284"/>
      <c r="H2304" s="284"/>
      <c r="I2304" s="284"/>
      <c r="J2304" s="375"/>
      <c r="K2304" s="375"/>
      <c r="L2304" s="375"/>
      <c r="M2304" s="368"/>
      <c r="N2304" s="368"/>
      <c r="O2304" s="370"/>
      <c r="T2304" s="340"/>
      <c r="V2304" s="378"/>
      <c r="W2304" s="64" ph="1"/>
      <c r="X2304" s="241"/>
      <c r="Y2304" s="284"/>
      <c r="Z2304" s="207"/>
      <c r="AA2304" s="284"/>
      <c r="AB2304" s="284"/>
      <c r="AC2304" s="284"/>
      <c r="AD2304" s="284"/>
      <c r="AE2304" s="284"/>
      <c r="AF2304" s="284"/>
      <c r="AG2304" s="284"/>
    </row>
    <row r="2305" spans="1:33" ht="26.4">
      <c r="A2305" s="284"/>
      <c r="B2305" s="284"/>
      <c r="C2305" s="284"/>
      <c r="D2305" s="284"/>
      <c r="E2305" s="284"/>
      <c r="F2305" s="284"/>
      <c r="G2305" s="284"/>
      <c r="H2305" s="284"/>
      <c r="I2305" s="284"/>
      <c r="J2305" s="375"/>
      <c r="K2305" s="375"/>
      <c r="L2305" s="375"/>
      <c r="M2305" s="368"/>
      <c r="N2305" s="368"/>
      <c r="O2305" s="370"/>
      <c r="T2305" s="340"/>
      <c r="V2305" s="378"/>
      <c r="W2305" s="64" ph="1"/>
      <c r="X2305" s="241"/>
      <c r="Y2305" s="284"/>
      <c r="Z2305" s="207"/>
      <c r="AA2305" s="284"/>
      <c r="AB2305" s="284"/>
      <c r="AC2305" s="284"/>
      <c r="AD2305" s="284"/>
      <c r="AE2305" s="284"/>
      <c r="AF2305" s="284"/>
      <c r="AG2305" s="284"/>
    </row>
    <row r="2306" spans="1:33" ht="26.4">
      <c r="A2306" s="284"/>
      <c r="B2306" s="284"/>
      <c r="C2306" s="284"/>
      <c r="D2306" s="284"/>
      <c r="E2306" s="284"/>
      <c r="F2306" s="284"/>
      <c r="G2306" s="284"/>
      <c r="H2306" s="284"/>
      <c r="I2306" s="284"/>
      <c r="J2306" s="375"/>
      <c r="K2306" s="375"/>
      <c r="L2306" s="375"/>
      <c r="M2306" s="368"/>
      <c r="N2306" s="368"/>
      <c r="O2306" s="370"/>
      <c r="T2306" s="340"/>
      <c r="V2306" s="378"/>
      <c r="W2306" s="64" ph="1"/>
      <c r="X2306" s="241"/>
      <c r="Y2306" s="284"/>
      <c r="Z2306" s="207"/>
      <c r="AA2306" s="284"/>
      <c r="AB2306" s="284"/>
      <c r="AC2306" s="284"/>
      <c r="AD2306" s="284"/>
      <c r="AE2306" s="284"/>
      <c r="AF2306" s="284"/>
      <c r="AG2306" s="284"/>
    </row>
    <row r="2307" spans="1:33" ht="26.4">
      <c r="A2307" s="284"/>
      <c r="B2307" s="284"/>
      <c r="C2307" s="284"/>
      <c r="D2307" s="284"/>
      <c r="E2307" s="284"/>
      <c r="F2307" s="284"/>
      <c r="G2307" s="284"/>
      <c r="H2307" s="284"/>
      <c r="I2307" s="284"/>
      <c r="J2307" s="375"/>
      <c r="K2307" s="375"/>
      <c r="L2307" s="375"/>
      <c r="M2307" s="368"/>
      <c r="N2307" s="368"/>
      <c r="O2307" s="370"/>
      <c r="T2307" s="340"/>
      <c r="V2307" s="378"/>
      <c r="W2307" s="64" ph="1"/>
      <c r="X2307" s="241"/>
      <c r="Y2307" s="284"/>
      <c r="Z2307" s="207"/>
      <c r="AA2307" s="284"/>
      <c r="AB2307" s="284"/>
      <c r="AC2307" s="284"/>
      <c r="AD2307" s="284"/>
      <c r="AE2307" s="284"/>
      <c r="AF2307" s="284"/>
      <c r="AG2307" s="284"/>
    </row>
    <row r="2308" spans="1:33" ht="26.4">
      <c r="A2308" s="284"/>
      <c r="B2308" s="284"/>
      <c r="C2308" s="284"/>
      <c r="D2308" s="284"/>
      <c r="E2308" s="284"/>
      <c r="F2308" s="284"/>
      <c r="G2308" s="284"/>
      <c r="H2308" s="284"/>
      <c r="I2308" s="284"/>
      <c r="J2308" s="375"/>
      <c r="K2308" s="375"/>
      <c r="L2308" s="375"/>
      <c r="M2308" s="368"/>
      <c r="N2308" s="368"/>
      <c r="O2308" s="370"/>
      <c r="T2308" s="340"/>
      <c r="V2308" s="378"/>
      <c r="W2308" s="64" ph="1"/>
      <c r="X2308" s="241"/>
      <c r="Y2308" s="284"/>
      <c r="Z2308" s="207"/>
      <c r="AA2308" s="284"/>
      <c r="AB2308" s="284"/>
      <c r="AC2308" s="284"/>
      <c r="AD2308" s="284"/>
      <c r="AE2308" s="284"/>
      <c r="AF2308" s="284"/>
      <c r="AG2308" s="284"/>
    </row>
    <row r="2309" spans="1:33" ht="26.4">
      <c r="A2309" s="284"/>
      <c r="B2309" s="284"/>
      <c r="C2309" s="284"/>
      <c r="D2309" s="284"/>
      <c r="E2309" s="284"/>
      <c r="F2309" s="284"/>
      <c r="G2309" s="284"/>
      <c r="H2309" s="284"/>
      <c r="I2309" s="284"/>
      <c r="J2309" s="375"/>
      <c r="K2309" s="375"/>
      <c r="L2309" s="375"/>
      <c r="M2309" s="368"/>
      <c r="N2309" s="368"/>
      <c r="O2309" s="370"/>
      <c r="T2309" s="340"/>
      <c r="V2309" s="378"/>
      <c r="W2309" s="64" ph="1"/>
      <c r="X2309" s="241"/>
      <c r="Y2309" s="284"/>
      <c r="Z2309" s="207"/>
      <c r="AA2309" s="284"/>
      <c r="AB2309" s="284"/>
      <c r="AC2309" s="284"/>
      <c r="AD2309" s="284"/>
      <c r="AE2309" s="284"/>
      <c r="AF2309" s="284"/>
      <c r="AG2309" s="284"/>
    </row>
    <row r="2310" spans="1:33" ht="26.4">
      <c r="A2310" s="284"/>
      <c r="B2310" s="284"/>
      <c r="C2310" s="284"/>
      <c r="D2310" s="284"/>
      <c r="E2310" s="284"/>
      <c r="F2310" s="284"/>
      <c r="G2310" s="284"/>
      <c r="H2310" s="284"/>
      <c r="I2310" s="284"/>
      <c r="J2310" s="375"/>
      <c r="K2310" s="375"/>
      <c r="L2310" s="375"/>
      <c r="M2310" s="368"/>
      <c r="N2310" s="368"/>
      <c r="O2310" s="370"/>
      <c r="T2310" s="340"/>
      <c r="V2310" s="378"/>
      <c r="W2310" s="64" ph="1"/>
      <c r="X2310" s="241"/>
      <c r="Y2310" s="284"/>
      <c r="Z2310" s="207"/>
      <c r="AA2310" s="284"/>
      <c r="AB2310" s="284"/>
      <c r="AC2310" s="284"/>
      <c r="AD2310" s="284"/>
      <c r="AE2310" s="284"/>
      <c r="AF2310" s="284"/>
      <c r="AG2310" s="284"/>
    </row>
    <row r="2311" spans="1:33" ht="26.4">
      <c r="A2311" s="284"/>
      <c r="B2311" s="284"/>
      <c r="C2311" s="284"/>
      <c r="D2311" s="284"/>
      <c r="E2311" s="284"/>
      <c r="F2311" s="284"/>
      <c r="G2311" s="284"/>
      <c r="H2311" s="284"/>
      <c r="I2311" s="284"/>
      <c r="J2311" s="375"/>
      <c r="K2311" s="375"/>
      <c r="L2311" s="375"/>
      <c r="M2311" s="368"/>
      <c r="N2311" s="368"/>
      <c r="O2311" s="370"/>
      <c r="T2311" s="340"/>
      <c r="V2311" s="378"/>
      <c r="W2311" s="64" ph="1"/>
      <c r="X2311" s="241"/>
      <c r="Y2311" s="284"/>
      <c r="Z2311" s="207"/>
      <c r="AA2311" s="284"/>
      <c r="AB2311" s="284"/>
      <c r="AC2311" s="284"/>
      <c r="AD2311" s="284"/>
      <c r="AE2311" s="284"/>
      <c r="AF2311" s="284"/>
      <c r="AG2311" s="284"/>
    </row>
    <row r="2312" spans="1:33" ht="26.4">
      <c r="A2312" s="284"/>
      <c r="B2312" s="284"/>
      <c r="C2312" s="284"/>
      <c r="D2312" s="284"/>
      <c r="E2312" s="284"/>
      <c r="F2312" s="284"/>
      <c r="G2312" s="284"/>
      <c r="H2312" s="284"/>
      <c r="I2312" s="284"/>
      <c r="J2312" s="375"/>
      <c r="K2312" s="375"/>
      <c r="L2312" s="375"/>
      <c r="M2312" s="368"/>
      <c r="N2312" s="368"/>
      <c r="O2312" s="370"/>
      <c r="T2312" s="340"/>
      <c r="V2312" s="378"/>
      <c r="W2312" s="64" ph="1"/>
      <c r="X2312" s="241"/>
      <c r="Y2312" s="284"/>
      <c r="Z2312" s="207"/>
      <c r="AA2312" s="284"/>
      <c r="AB2312" s="284"/>
      <c r="AC2312" s="284"/>
      <c r="AD2312" s="284"/>
      <c r="AE2312" s="284"/>
      <c r="AF2312" s="284"/>
      <c r="AG2312" s="284"/>
    </row>
    <row r="2313" spans="1:33" ht="26.4">
      <c r="A2313" s="284"/>
      <c r="B2313" s="284"/>
      <c r="C2313" s="284"/>
      <c r="D2313" s="284"/>
      <c r="E2313" s="284"/>
      <c r="F2313" s="284"/>
      <c r="G2313" s="284"/>
      <c r="H2313" s="284"/>
      <c r="I2313" s="284"/>
      <c r="J2313" s="375"/>
      <c r="K2313" s="375"/>
      <c r="L2313" s="375"/>
      <c r="M2313" s="368"/>
      <c r="N2313" s="368"/>
      <c r="O2313" s="370"/>
      <c r="T2313" s="340"/>
      <c r="V2313" s="378"/>
      <c r="W2313" s="64" ph="1"/>
      <c r="X2313" s="241"/>
      <c r="Y2313" s="284"/>
      <c r="Z2313" s="207"/>
      <c r="AA2313" s="284"/>
      <c r="AB2313" s="284"/>
      <c r="AC2313" s="284"/>
      <c r="AD2313" s="284"/>
      <c r="AE2313" s="284"/>
      <c r="AF2313" s="284"/>
      <c r="AG2313" s="284"/>
    </row>
    <row r="2314" spans="1:33" ht="26.4">
      <c r="A2314" s="284"/>
      <c r="B2314" s="284"/>
      <c r="C2314" s="284"/>
      <c r="D2314" s="284"/>
      <c r="E2314" s="284"/>
      <c r="F2314" s="284"/>
      <c r="G2314" s="284"/>
      <c r="H2314" s="284"/>
      <c r="I2314" s="284"/>
      <c r="J2314" s="375"/>
      <c r="K2314" s="375"/>
      <c r="L2314" s="375"/>
      <c r="M2314" s="368"/>
      <c r="N2314" s="368"/>
      <c r="O2314" s="370"/>
      <c r="T2314" s="340"/>
      <c r="V2314" s="378"/>
      <c r="W2314" s="64" ph="1"/>
      <c r="X2314" s="241"/>
      <c r="Y2314" s="284"/>
      <c r="Z2314" s="207"/>
      <c r="AA2314" s="284"/>
      <c r="AB2314" s="284"/>
      <c r="AC2314" s="284"/>
      <c r="AD2314" s="284"/>
      <c r="AE2314" s="284"/>
      <c r="AF2314" s="284"/>
      <c r="AG2314" s="284"/>
    </row>
    <row r="2315" spans="1:33" ht="26.4">
      <c r="A2315" s="284"/>
      <c r="B2315" s="284"/>
      <c r="C2315" s="284"/>
      <c r="D2315" s="284"/>
      <c r="E2315" s="284"/>
      <c r="F2315" s="284"/>
      <c r="G2315" s="284"/>
      <c r="H2315" s="284"/>
      <c r="I2315" s="284"/>
      <c r="J2315" s="375"/>
      <c r="K2315" s="375"/>
      <c r="L2315" s="375"/>
      <c r="M2315" s="368"/>
      <c r="N2315" s="368"/>
      <c r="O2315" s="370"/>
      <c r="T2315" s="340"/>
      <c r="V2315" s="378"/>
      <c r="W2315" s="64" ph="1"/>
      <c r="X2315" s="241"/>
      <c r="Y2315" s="284"/>
      <c r="Z2315" s="207"/>
      <c r="AA2315" s="284"/>
      <c r="AB2315" s="284"/>
      <c r="AC2315" s="284"/>
      <c r="AD2315" s="284"/>
      <c r="AE2315" s="284"/>
      <c r="AF2315" s="284"/>
      <c r="AG2315" s="284"/>
    </row>
    <row r="2316" spans="1:33" ht="26.4">
      <c r="A2316" s="284"/>
      <c r="B2316" s="284"/>
      <c r="C2316" s="284"/>
      <c r="D2316" s="284"/>
      <c r="E2316" s="284"/>
      <c r="F2316" s="284"/>
      <c r="G2316" s="284"/>
      <c r="H2316" s="284"/>
      <c r="I2316" s="284"/>
      <c r="J2316" s="375"/>
      <c r="K2316" s="375"/>
      <c r="L2316" s="375"/>
      <c r="M2316" s="368"/>
      <c r="N2316" s="368"/>
      <c r="O2316" s="370"/>
      <c r="T2316" s="340"/>
      <c r="V2316" s="378"/>
      <c r="W2316" s="64" ph="1"/>
      <c r="X2316" s="241"/>
      <c r="Y2316" s="284"/>
      <c r="Z2316" s="207"/>
      <c r="AA2316" s="284"/>
      <c r="AB2316" s="284"/>
      <c r="AC2316" s="284"/>
      <c r="AD2316" s="284"/>
      <c r="AE2316" s="284"/>
      <c r="AF2316" s="284"/>
      <c r="AG2316" s="284"/>
    </row>
    <row r="2317" spans="1:33" ht="26.4">
      <c r="O2317" s="370"/>
      <c r="W2317" s="64" ph="1"/>
    </row>
    <row r="2318" spans="1:33" ht="26.4">
      <c r="O2318" s="370"/>
      <c r="W2318" s="64" ph="1"/>
    </row>
    <row r="2319" spans="1:33" ht="26.4">
      <c r="O2319" s="370"/>
      <c r="W2319" s="64" ph="1"/>
    </row>
    <row r="2320" spans="1:33" ht="26.4">
      <c r="O2320" s="370"/>
      <c r="W2320" s="64" ph="1"/>
    </row>
    <row r="2321" spans="15:23" ht="26.4">
      <c r="O2321" s="370"/>
      <c r="W2321" s="64" ph="1"/>
    </row>
    <row r="2322" spans="15:23" ht="26.4">
      <c r="O2322" s="370"/>
      <c r="W2322" s="64" ph="1"/>
    </row>
    <row r="2323" spans="15:23" ht="26.4">
      <c r="O2323" s="370"/>
      <c r="W2323" s="64" ph="1"/>
    </row>
    <row r="2324" spans="15:23" ht="26.4">
      <c r="O2324" s="370"/>
      <c r="W2324" s="64" ph="1"/>
    </row>
    <row r="2325" spans="15:23" ht="26.4">
      <c r="O2325" s="370"/>
      <c r="W2325" s="64" ph="1"/>
    </row>
    <row r="2326" spans="15:23" ht="26.4">
      <c r="O2326" s="370"/>
      <c r="W2326" s="64" ph="1"/>
    </row>
    <row r="2327" spans="15:23" ht="26.4">
      <c r="W2327" s="64" ph="1"/>
    </row>
    <row r="2328" spans="15:23" ht="26.4">
      <c r="W2328" s="64" ph="1"/>
    </row>
    <row r="2329" spans="15:23" ht="26.4">
      <c r="W2329" s="64" ph="1"/>
    </row>
    <row r="2330" spans="15:23" ht="26.4">
      <c r="W2330" s="64" ph="1"/>
    </row>
    <row r="2331" spans="15:23" ht="26.4">
      <c r="W2331" s="64" ph="1"/>
    </row>
    <row r="2332" spans="15:23" ht="26.4">
      <c r="W2332" s="64" ph="1"/>
    </row>
    <row r="2333" spans="15:23" ht="26.4">
      <c r="W2333" s="64" ph="1"/>
    </row>
    <row r="2334" spans="15:23" ht="26.4">
      <c r="W2334" s="64" ph="1"/>
    </row>
    <row r="2335" spans="15:23" ht="26.4">
      <c r="W2335" s="64" ph="1"/>
    </row>
    <row r="2336" spans="15:23" ht="26.4">
      <c r="W2336" s="64" ph="1"/>
    </row>
    <row r="2337" spans="23:23" ht="26.4">
      <c r="W2337" s="64" ph="1"/>
    </row>
    <row r="2338" spans="23:23" ht="26.4">
      <c r="W2338" s="64" ph="1"/>
    </row>
    <row r="2339" spans="23:23" ht="26.4">
      <c r="W2339" s="64" ph="1"/>
    </row>
    <row r="2340" spans="23:23" ht="26.4">
      <c r="W2340" s="64" ph="1"/>
    </row>
    <row r="2341" spans="23:23" ht="26.4">
      <c r="W2341" s="64" ph="1"/>
    </row>
    <row r="2342" spans="23:23" ht="26.4">
      <c r="W2342" s="64" ph="1"/>
    </row>
    <row r="2343" spans="23:23" ht="26.4">
      <c r="W2343" s="64" ph="1"/>
    </row>
    <row r="2344" spans="23:23" ht="26.4">
      <c r="W2344" s="64" ph="1"/>
    </row>
    <row r="2345" spans="23:23" ht="26.4">
      <c r="W2345" s="64" ph="1"/>
    </row>
    <row r="2346" spans="23:23" ht="26.4">
      <c r="W2346" s="64" ph="1"/>
    </row>
    <row r="2347" spans="23:23" ht="26.4">
      <c r="W2347" s="64" ph="1"/>
    </row>
    <row r="2348" spans="23:23" ht="26.4">
      <c r="W2348" s="64" ph="1"/>
    </row>
    <row r="2349" spans="23:23" ht="26.4">
      <c r="W2349" s="64" ph="1"/>
    </row>
    <row r="2350" spans="23:23" ht="26.4">
      <c r="W2350" s="64" ph="1"/>
    </row>
    <row r="2351" spans="23:23" ht="26.4">
      <c r="W2351" s="64" ph="1"/>
    </row>
    <row r="2352" spans="23:23" ht="26.4">
      <c r="W2352" s="64" ph="1"/>
    </row>
    <row r="2353" spans="23:23" ht="26.4">
      <c r="W2353" s="64" ph="1"/>
    </row>
    <row r="2354" spans="23:23" ht="26.4">
      <c r="W2354" s="64" ph="1"/>
    </row>
    <row r="2355" spans="23:23" ht="26.4">
      <c r="W2355" s="64" ph="1"/>
    </row>
    <row r="2356" spans="23:23" ht="26.4">
      <c r="W2356" s="64" ph="1"/>
    </row>
    <row r="2357" spans="23:23" ht="26.4">
      <c r="W2357" s="64" ph="1"/>
    </row>
    <row r="2358" spans="23:23" ht="26.4">
      <c r="W2358" s="64" ph="1"/>
    </row>
    <row r="2359" spans="23:23" ht="26.4">
      <c r="W2359" s="64" ph="1"/>
    </row>
    <row r="2360" spans="23:23" ht="26.4">
      <c r="W2360" s="64" ph="1"/>
    </row>
    <row r="2361" spans="23:23" ht="26.4">
      <c r="W2361" s="64" ph="1"/>
    </row>
    <row r="2362" spans="23:23" ht="26.4">
      <c r="W2362" s="64" ph="1"/>
    </row>
    <row r="2363" spans="23:23" ht="26.4">
      <c r="W2363" s="64" ph="1"/>
    </row>
    <row r="2364" spans="23:23" ht="26.4">
      <c r="W2364" s="64" ph="1"/>
    </row>
    <row r="2365" spans="23:23" ht="26.4">
      <c r="W2365" s="64" ph="1"/>
    </row>
    <row r="2366" spans="23:23" ht="26.4">
      <c r="W2366" s="64" ph="1"/>
    </row>
    <row r="2367" spans="23:23" ht="26.4">
      <c r="W2367" s="64" ph="1"/>
    </row>
    <row r="2368" spans="23:23" ht="26.4">
      <c r="W2368" s="64" ph="1"/>
    </row>
    <row r="2369" spans="23:23" ht="26.4">
      <c r="W2369" s="64" ph="1"/>
    </row>
    <row r="2370" spans="23:23" ht="26.4">
      <c r="W2370" s="64" ph="1"/>
    </row>
    <row r="2371" spans="23:23" ht="26.4">
      <c r="W2371" s="64" ph="1"/>
    </row>
    <row r="2372" spans="23:23" ht="26.4">
      <c r="W2372" s="64" ph="1"/>
    </row>
    <row r="2373" spans="23:23" ht="26.4">
      <c r="W2373" s="64" ph="1"/>
    </row>
    <row r="2374" spans="23:23" ht="26.4">
      <c r="W2374" s="64" ph="1"/>
    </row>
    <row r="2375" spans="23:23" ht="26.4">
      <c r="W2375" s="64" ph="1"/>
    </row>
    <row r="2376" spans="23:23" ht="26.4">
      <c r="W2376" s="64" ph="1"/>
    </row>
    <row r="2377" spans="23:23" ht="26.4">
      <c r="W2377" s="64" ph="1"/>
    </row>
    <row r="2378" spans="23:23" ht="26.4">
      <c r="W2378" s="64" ph="1"/>
    </row>
    <row r="2379" spans="23:23" ht="26.4">
      <c r="W2379" s="64" ph="1"/>
    </row>
    <row r="2380" spans="23:23" ht="26.4">
      <c r="W2380" s="64" ph="1"/>
    </row>
    <row r="2381" spans="23:23" ht="26.4">
      <c r="W2381" s="64" ph="1"/>
    </row>
    <row r="2382" spans="23:23" ht="26.4">
      <c r="W2382" s="64" ph="1"/>
    </row>
    <row r="2383" spans="23:23" ht="26.4">
      <c r="W2383" s="64" ph="1"/>
    </row>
    <row r="2384" spans="23:23" ht="26.4">
      <c r="W2384" s="64" ph="1"/>
    </row>
    <row r="2385" spans="23:23" ht="26.4">
      <c r="W2385" s="64" ph="1"/>
    </row>
    <row r="2386" spans="23:23" ht="26.4">
      <c r="W2386" s="64" ph="1"/>
    </row>
    <row r="2387" spans="23:23" ht="26.4">
      <c r="W2387" s="64" ph="1"/>
    </row>
    <row r="2388" spans="23:23" ht="26.4">
      <c r="W2388" s="64" ph="1"/>
    </row>
    <row r="2389" spans="23:23" ht="26.4">
      <c r="W2389" s="64" ph="1"/>
    </row>
    <row r="2390" spans="23:23" ht="26.4">
      <c r="W2390" s="64" ph="1"/>
    </row>
    <row r="2391" spans="23:23" ht="26.4">
      <c r="W2391" s="64" ph="1"/>
    </row>
    <row r="2392" spans="23:23" ht="26.4">
      <c r="W2392" s="64" ph="1"/>
    </row>
    <row r="2393" spans="23:23" ht="26.4">
      <c r="W2393" s="64" ph="1"/>
    </row>
    <row r="2394" spans="23:23" ht="26.4">
      <c r="W2394" s="64" ph="1"/>
    </row>
    <row r="2395" spans="23:23" ht="26.4">
      <c r="W2395" s="64" ph="1"/>
    </row>
    <row r="2396" spans="23:23" ht="26.4">
      <c r="W2396" s="64" ph="1"/>
    </row>
    <row r="2397" spans="23:23" ht="26.4">
      <c r="W2397" s="64" ph="1"/>
    </row>
    <row r="2398" spans="23:23" ht="26.4">
      <c r="W2398" s="64" ph="1"/>
    </row>
    <row r="2399" spans="23:23" ht="26.4">
      <c r="W2399" s="64" ph="1"/>
    </row>
    <row r="2400" spans="23:23" ht="26.4">
      <c r="W2400" s="64" ph="1"/>
    </row>
    <row r="2401" spans="23:23" ht="26.4">
      <c r="W2401" s="64" ph="1"/>
    </row>
    <row r="2402" spans="23:23" ht="26.4">
      <c r="W2402" s="64" ph="1"/>
    </row>
    <row r="2403" spans="23:23" ht="26.4">
      <c r="W2403" s="64" ph="1"/>
    </row>
    <row r="2404" spans="23:23" ht="26.4">
      <c r="W2404" s="64" ph="1"/>
    </row>
    <row r="2405" spans="23:23" ht="26.4">
      <c r="W2405" s="64" ph="1"/>
    </row>
    <row r="2406" spans="23:23" ht="26.4">
      <c r="W2406" s="64" ph="1"/>
    </row>
    <row r="2407" spans="23:23" ht="26.4">
      <c r="W2407" s="64" ph="1"/>
    </row>
    <row r="2408" spans="23:23" ht="26.4">
      <c r="W2408" s="64" ph="1"/>
    </row>
    <row r="2409" spans="23:23" ht="26.4">
      <c r="W2409" s="64" ph="1"/>
    </row>
    <row r="2410" spans="23:23" ht="26.4">
      <c r="W2410" s="64" ph="1"/>
    </row>
    <row r="2411" spans="23:23" ht="26.4">
      <c r="W2411" s="64" ph="1"/>
    </row>
    <row r="2412" spans="23:23" ht="26.4">
      <c r="W2412" s="64" ph="1"/>
    </row>
    <row r="2413" spans="23:23" ht="26.4">
      <c r="W2413" s="64" ph="1"/>
    </row>
    <row r="2414" spans="23:23" ht="26.4">
      <c r="W2414" s="64" ph="1"/>
    </row>
    <row r="2415" spans="23:23" ht="26.4">
      <c r="W2415" s="64" ph="1"/>
    </row>
    <row r="2416" spans="23:23" ht="26.4">
      <c r="W2416" s="64" ph="1"/>
    </row>
    <row r="2417" spans="23:23" ht="26.4">
      <c r="W2417" s="64" ph="1"/>
    </row>
    <row r="2418" spans="23:23" ht="26.4">
      <c r="W2418" s="64" ph="1"/>
    </row>
    <row r="2419" spans="23:23" ht="26.4">
      <c r="W2419" s="64" ph="1"/>
    </row>
    <row r="2420" spans="23:23" ht="26.4">
      <c r="W2420" s="64" ph="1"/>
    </row>
    <row r="2421" spans="23:23" ht="26.4">
      <c r="W2421" s="64" ph="1"/>
    </row>
    <row r="2422" spans="23:23" ht="26.4">
      <c r="W2422" s="64" ph="1"/>
    </row>
    <row r="2423" spans="23:23" ht="26.4">
      <c r="W2423" s="64" ph="1"/>
    </row>
    <row r="2424" spans="23:23" ht="26.4">
      <c r="W2424" s="64" ph="1"/>
    </row>
    <row r="2425" spans="23:23" ht="26.4">
      <c r="W2425" s="64" ph="1"/>
    </row>
    <row r="2426" spans="23:23" ht="26.4">
      <c r="W2426" s="64" ph="1"/>
    </row>
    <row r="2427" spans="23:23" ht="26.4">
      <c r="W2427" s="64" ph="1"/>
    </row>
    <row r="2428" spans="23:23" ht="26.4">
      <c r="W2428" s="64" ph="1"/>
    </row>
    <row r="2429" spans="23:23" ht="26.4">
      <c r="W2429" s="64" ph="1"/>
    </row>
    <row r="2430" spans="23:23" ht="26.4">
      <c r="W2430" s="64" ph="1"/>
    </row>
    <row r="2431" spans="23:23" ht="26.4">
      <c r="W2431" s="64" ph="1"/>
    </row>
    <row r="2432" spans="23:23" ht="26.4">
      <c r="W2432" s="64" ph="1"/>
    </row>
    <row r="2433" spans="23:23" ht="26.4">
      <c r="W2433" s="64" ph="1"/>
    </row>
    <row r="2434" spans="23:23" ht="26.4">
      <c r="W2434" s="64" ph="1"/>
    </row>
    <row r="2435" spans="23:23" ht="26.4">
      <c r="W2435" s="64" ph="1"/>
    </row>
    <row r="2436" spans="23:23" ht="26.4">
      <c r="W2436" s="64" ph="1"/>
    </row>
    <row r="2437" spans="23:23" ht="26.4">
      <c r="W2437" s="64" ph="1"/>
    </row>
    <row r="2438" spans="23:23" ht="26.4">
      <c r="W2438" s="64" ph="1"/>
    </row>
    <row r="2439" spans="23:23" ht="26.4">
      <c r="W2439" s="64" ph="1"/>
    </row>
    <row r="2440" spans="23:23" ht="26.4">
      <c r="W2440" s="64" ph="1"/>
    </row>
    <row r="2441" spans="23:23" ht="26.4">
      <c r="W2441" s="64" ph="1"/>
    </row>
    <row r="2442" spans="23:23" ht="26.4">
      <c r="W2442" s="64" ph="1"/>
    </row>
    <row r="2443" spans="23:23" ht="26.4">
      <c r="W2443" s="64" ph="1"/>
    </row>
    <row r="2444" spans="23:23" ht="26.4">
      <c r="W2444" s="64" ph="1"/>
    </row>
    <row r="2445" spans="23:23" ht="26.4">
      <c r="W2445" s="64" ph="1"/>
    </row>
    <row r="2446" spans="23:23" ht="26.4">
      <c r="W2446" s="64" ph="1"/>
    </row>
    <row r="2447" spans="23:23" ht="26.4">
      <c r="W2447" s="64" ph="1"/>
    </row>
    <row r="2448" spans="23:23" ht="26.4">
      <c r="W2448" s="64" ph="1"/>
    </row>
    <row r="2449" spans="23:23" ht="26.4">
      <c r="W2449" s="64" ph="1"/>
    </row>
    <row r="2450" spans="23:23" ht="26.4">
      <c r="W2450" s="64" ph="1"/>
    </row>
    <row r="2451" spans="23:23" ht="26.4">
      <c r="W2451" s="64" ph="1"/>
    </row>
    <row r="2452" spans="23:23" ht="26.4">
      <c r="W2452" s="64" ph="1"/>
    </row>
    <row r="2453" spans="23:23" ht="26.4">
      <c r="W2453" s="64" ph="1"/>
    </row>
    <row r="2454" spans="23:23" ht="26.4">
      <c r="W2454" s="64" ph="1"/>
    </row>
    <row r="2455" spans="23:23" ht="26.4">
      <c r="W2455" s="64" ph="1"/>
    </row>
    <row r="2456" spans="23:23" ht="26.4">
      <c r="W2456" s="64" ph="1"/>
    </row>
    <row r="2457" spans="23:23" ht="26.4">
      <c r="W2457" s="64" ph="1"/>
    </row>
    <row r="2458" spans="23:23" ht="26.4">
      <c r="W2458" s="64" ph="1"/>
    </row>
    <row r="2459" spans="23:23" ht="26.4">
      <c r="W2459" s="64" ph="1"/>
    </row>
    <row r="2460" spans="23:23" ht="26.4">
      <c r="W2460" s="64" ph="1"/>
    </row>
    <row r="2461" spans="23:23" ht="26.4">
      <c r="W2461" s="64" ph="1"/>
    </row>
    <row r="2462" spans="23:23" ht="26.4">
      <c r="W2462" s="64" ph="1"/>
    </row>
    <row r="2463" spans="23:23" ht="26.4">
      <c r="W2463" s="64" ph="1"/>
    </row>
    <row r="2464" spans="23:23" ht="26.4">
      <c r="W2464" s="64" ph="1"/>
    </row>
    <row r="2465" spans="23:23" ht="26.4">
      <c r="W2465" s="64" ph="1"/>
    </row>
    <row r="2466" spans="23:23" ht="26.4">
      <c r="W2466" s="64" ph="1"/>
    </row>
    <row r="2467" spans="23:23" ht="26.4">
      <c r="W2467" s="64" ph="1"/>
    </row>
    <row r="2468" spans="23:23" ht="26.4">
      <c r="W2468" s="64" ph="1"/>
    </row>
    <row r="2469" spans="23:23" ht="26.4">
      <c r="W2469" s="64" ph="1"/>
    </row>
    <row r="2470" spans="23:23" ht="26.4">
      <c r="W2470" s="64" ph="1"/>
    </row>
    <row r="2471" spans="23:23" ht="26.4">
      <c r="W2471" s="64" ph="1"/>
    </row>
    <row r="2472" spans="23:23" ht="26.4">
      <c r="W2472" s="64" ph="1"/>
    </row>
    <row r="2473" spans="23:23" ht="26.4">
      <c r="W2473" s="64" ph="1"/>
    </row>
    <row r="2474" spans="23:23" ht="26.4">
      <c r="W2474" s="64" ph="1"/>
    </row>
    <row r="2475" spans="23:23" ht="26.4">
      <c r="W2475" s="64" ph="1"/>
    </row>
    <row r="2476" spans="23:23" ht="26.4">
      <c r="W2476" s="64" ph="1"/>
    </row>
    <row r="2477" spans="23:23" ht="26.4">
      <c r="W2477" s="64" ph="1"/>
    </row>
    <row r="2478" spans="23:23" ht="26.4">
      <c r="W2478" s="64" ph="1"/>
    </row>
    <row r="2479" spans="23:23" ht="26.4">
      <c r="W2479" s="64" ph="1"/>
    </row>
    <row r="2480" spans="23:23" ht="26.4">
      <c r="W2480" s="64" ph="1"/>
    </row>
    <row r="2481" spans="23:23" ht="26.4">
      <c r="W2481" s="64" ph="1"/>
    </row>
    <row r="2482" spans="23:23" ht="26.4">
      <c r="W2482" s="64" ph="1"/>
    </row>
    <row r="2483" spans="23:23" ht="26.4">
      <c r="W2483" s="64" ph="1"/>
    </row>
    <row r="2484" spans="23:23" ht="26.4">
      <c r="W2484" s="64" ph="1"/>
    </row>
    <row r="2485" spans="23:23" ht="26.4">
      <c r="W2485" s="64" ph="1"/>
    </row>
    <row r="2486" spans="23:23" ht="26.4">
      <c r="W2486" s="64" ph="1"/>
    </row>
    <row r="2487" spans="23:23" ht="26.4">
      <c r="W2487" s="64" ph="1"/>
    </row>
    <row r="2488" spans="23:23" ht="26.4">
      <c r="W2488" s="64" ph="1"/>
    </row>
    <row r="2489" spans="23:23" ht="26.4">
      <c r="W2489" s="64" ph="1"/>
    </row>
    <row r="2490" spans="23:23" ht="26.4">
      <c r="W2490" s="64" ph="1"/>
    </row>
    <row r="2491" spans="23:23" ht="26.4">
      <c r="W2491" s="64" ph="1"/>
    </row>
    <row r="2492" spans="23:23" ht="26.4">
      <c r="W2492" s="64" ph="1"/>
    </row>
    <row r="2493" spans="23:23" ht="26.4">
      <c r="W2493" s="64" ph="1"/>
    </row>
    <row r="2494" spans="23:23" ht="26.4">
      <c r="W2494" s="64" ph="1"/>
    </row>
    <row r="2495" spans="23:23" ht="26.4">
      <c r="W2495" s="64" ph="1"/>
    </row>
    <row r="2496" spans="23:23" ht="26.4">
      <c r="W2496" s="64" ph="1"/>
    </row>
    <row r="2497" spans="23:23" ht="26.4">
      <c r="W2497" s="64" ph="1"/>
    </row>
    <row r="2498" spans="23:23" ht="26.4">
      <c r="W2498" s="64" ph="1"/>
    </row>
    <row r="2499" spans="23:23" ht="26.4">
      <c r="W2499" s="64" ph="1"/>
    </row>
    <row r="2500" spans="23:23" ht="26.4">
      <c r="W2500" s="64" ph="1"/>
    </row>
    <row r="2501" spans="23:23" ht="26.4">
      <c r="W2501" s="64" ph="1"/>
    </row>
    <row r="2502" spans="23:23" ht="26.4">
      <c r="W2502" s="64" ph="1"/>
    </row>
    <row r="2503" spans="23:23" ht="26.4">
      <c r="W2503" s="64" ph="1"/>
    </row>
    <row r="2504" spans="23:23" ht="26.4">
      <c r="W2504" s="64" ph="1"/>
    </row>
    <row r="2505" spans="23:23" ht="26.4">
      <c r="W2505" s="64" ph="1"/>
    </row>
    <row r="2506" spans="23:23" ht="26.4">
      <c r="W2506" s="64" ph="1"/>
    </row>
    <row r="2507" spans="23:23" ht="26.4">
      <c r="W2507" s="64" ph="1"/>
    </row>
    <row r="2508" spans="23:23" ht="26.4">
      <c r="W2508" s="64" ph="1"/>
    </row>
    <row r="2509" spans="23:23" ht="26.4">
      <c r="W2509" s="64" ph="1"/>
    </row>
    <row r="2510" spans="23:23" ht="26.4">
      <c r="W2510" s="64" ph="1"/>
    </row>
    <row r="2511" spans="23:23" ht="26.4">
      <c r="W2511" s="64" ph="1"/>
    </row>
    <row r="2512" spans="23:23" ht="26.4">
      <c r="W2512" s="64" ph="1"/>
    </row>
    <row r="2513" spans="23:23" ht="26.4">
      <c r="W2513" s="64" ph="1"/>
    </row>
    <row r="2514" spans="23:23" ht="26.4">
      <c r="W2514" s="64" ph="1"/>
    </row>
    <row r="2515" spans="23:23" ht="26.4">
      <c r="W2515" s="64" ph="1"/>
    </row>
    <row r="2516" spans="23:23" ht="26.4">
      <c r="W2516" s="64" ph="1"/>
    </row>
    <row r="2517" spans="23:23" ht="26.4">
      <c r="W2517" s="64" ph="1"/>
    </row>
    <row r="2518" spans="23:23" ht="26.4">
      <c r="W2518" s="64" ph="1"/>
    </row>
    <row r="2519" spans="23:23" ht="26.4">
      <c r="W2519" s="64" ph="1"/>
    </row>
    <row r="2520" spans="23:23" ht="26.4">
      <c r="W2520" s="64" ph="1"/>
    </row>
    <row r="2521" spans="23:23" ht="26.4">
      <c r="W2521" s="64" ph="1"/>
    </row>
    <row r="2522" spans="23:23" ht="26.4">
      <c r="W2522" s="64" ph="1"/>
    </row>
    <row r="2523" spans="23:23" ht="26.4">
      <c r="W2523" s="64" ph="1"/>
    </row>
    <row r="2524" spans="23:23" ht="26.4">
      <c r="W2524" s="64" ph="1"/>
    </row>
    <row r="2525" spans="23:23" ht="26.4">
      <c r="W2525" s="64" ph="1"/>
    </row>
    <row r="2526" spans="23:23" ht="26.4">
      <c r="W2526" s="64" ph="1"/>
    </row>
    <row r="2527" spans="23:23" ht="26.4">
      <c r="W2527" s="64" ph="1"/>
    </row>
    <row r="2528" spans="23:23" ht="26.4">
      <c r="W2528" s="64" ph="1"/>
    </row>
    <row r="2529" spans="23:23" ht="26.4">
      <c r="W2529" s="64" ph="1"/>
    </row>
    <row r="2530" spans="23:23" ht="26.4">
      <c r="W2530" s="64" ph="1"/>
    </row>
    <row r="2531" spans="23:23" ht="26.4">
      <c r="W2531" s="64" ph="1"/>
    </row>
    <row r="2532" spans="23:23" ht="26.4">
      <c r="W2532" s="64" ph="1"/>
    </row>
    <row r="2533" spans="23:23" ht="26.4">
      <c r="W2533" s="64" ph="1"/>
    </row>
    <row r="2534" spans="23:23" ht="26.4">
      <c r="W2534" s="64" ph="1"/>
    </row>
    <row r="2535" spans="23:23" ht="26.4">
      <c r="W2535" s="64" ph="1"/>
    </row>
    <row r="2536" spans="23:23" ht="26.4">
      <c r="W2536" s="64" ph="1"/>
    </row>
    <row r="2537" spans="23:23" ht="26.4">
      <c r="W2537" s="64" ph="1"/>
    </row>
    <row r="2538" spans="23:23" ht="26.4">
      <c r="W2538" s="64" ph="1"/>
    </row>
    <row r="2539" spans="23:23" ht="26.4">
      <c r="W2539" s="64" ph="1"/>
    </row>
    <row r="2540" spans="23:23" ht="26.4">
      <c r="W2540" s="64" ph="1"/>
    </row>
    <row r="2541" spans="23:23" ht="26.4">
      <c r="W2541" s="64" ph="1"/>
    </row>
    <row r="2542" spans="23:23" ht="26.4">
      <c r="W2542" s="64" ph="1"/>
    </row>
    <row r="2543" spans="23:23" ht="26.4">
      <c r="W2543" s="64" ph="1"/>
    </row>
    <row r="2544" spans="23:23" ht="26.4">
      <c r="W2544" s="64" ph="1"/>
    </row>
    <row r="2545" spans="23:23" ht="26.4">
      <c r="W2545" s="64" ph="1"/>
    </row>
    <row r="2546" spans="23:23" ht="26.4">
      <c r="W2546" s="64" ph="1"/>
    </row>
    <row r="2547" spans="23:23" ht="26.4">
      <c r="W2547" s="64" ph="1"/>
    </row>
    <row r="2548" spans="23:23" ht="26.4">
      <c r="W2548" s="64" ph="1"/>
    </row>
    <row r="2549" spans="23:23" ht="26.4">
      <c r="W2549" s="64" ph="1"/>
    </row>
    <row r="2550" spans="23:23" ht="26.4">
      <c r="W2550" s="64" ph="1"/>
    </row>
    <row r="2551" spans="23:23" ht="26.4">
      <c r="W2551" s="64" ph="1"/>
    </row>
    <row r="2552" spans="23:23" ht="26.4">
      <c r="W2552" s="64" ph="1"/>
    </row>
    <row r="2553" spans="23:23" ht="26.4">
      <c r="W2553" s="64" ph="1"/>
    </row>
    <row r="2554" spans="23:23" ht="26.4">
      <c r="W2554" s="64" ph="1"/>
    </row>
    <row r="2555" spans="23:23" ht="26.4">
      <c r="W2555" s="64" ph="1"/>
    </row>
    <row r="2556" spans="23:23" ht="26.4">
      <c r="W2556" s="64" ph="1"/>
    </row>
    <row r="2557" spans="23:23" ht="26.4">
      <c r="W2557" s="64" ph="1"/>
    </row>
    <row r="2558" spans="23:23" ht="26.4">
      <c r="W2558" s="64" ph="1"/>
    </row>
    <row r="2559" spans="23:23" ht="26.4">
      <c r="W2559" s="64" ph="1"/>
    </row>
    <row r="2560" spans="23:23" ht="26.4">
      <c r="W2560" s="64" ph="1"/>
    </row>
    <row r="2561" spans="23:23" ht="26.4">
      <c r="W2561" s="64" ph="1"/>
    </row>
    <row r="2562" spans="23:23" ht="26.4">
      <c r="W2562" s="64" ph="1"/>
    </row>
    <row r="2563" spans="23:23" ht="26.4">
      <c r="W2563" s="64" ph="1"/>
    </row>
    <row r="2564" spans="23:23" ht="26.4">
      <c r="W2564" s="64" ph="1"/>
    </row>
    <row r="2565" spans="23:23" ht="26.4">
      <c r="W2565" s="64" ph="1"/>
    </row>
    <row r="2566" spans="23:23" ht="26.4">
      <c r="W2566" s="64" ph="1"/>
    </row>
    <row r="2567" spans="23:23" ht="26.4">
      <c r="W2567" s="64" ph="1"/>
    </row>
    <row r="2568" spans="23:23" ht="26.4">
      <c r="W2568" s="64" ph="1"/>
    </row>
    <row r="2569" spans="23:23" ht="26.4">
      <c r="W2569" s="64" ph="1"/>
    </row>
    <row r="2570" spans="23:23" ht="26.4">
      <c r="W2570" s="64" ph="1"/>
    </row>
    <row r="2571" spans="23:23" ht="26.4">
      <c r="W2571" s="64" ph="1"/>
    </row>
    <row r="2572" spans="23:23" ht="26.4">
      <c r="W2572" s="64" ph="1"/>
    </row>
    <row r="2573" spans="23:23" ht="26.4">
      <c r="W2573" s="64" ph="1"/>
    </row>
    <row r="2574" spans="23:23" ht="26.4">
      <c r="W2574" s="64" ph="1"/>
    </row>
    <row r="2575" spans="23:23" ht="26.4">
      <c r="W2575" s="64" ph="1"/>
    </row>
    <row r="2576" spans="23:23" ht="26.4">
      <c r="W2576" s="64" ph="1"/>
    </row>
    <row r="2577" spans="23:23" ht="26.4">
      <c r="W2577" s="64" ph="1"/>
    </row>
    <row r="2578" spans="23:23" ht="26.4">
      <c r="W2578" s="64" ph="1"/>
    </row>
    <row r="2579" spans="23:23" ht="26.4">
      <c r="W2579" s="64" ph="1"/>
    </row>
    <row r="2580" spans="23:23" ht="26.4">
      <c r="W2580" s="64" ph="1"/>
    </row>
    <row r="2581" spans="23:23" ht="26.4">
      <c r="W2581" s="64" ph="1"/>
    </row>
    <row r="2582" spans="23:23" ht="26.4">
      <c r="W2582" s="64" ph="1"/>
    </row>
    <row r="2583" spans="23:23" ht="26.4">
      <c r="W2583" s="64" ph="1"/>
    </row>
    <row r="2584" spans="23:23" ht="26.4">
      <c r="W2584" s="64" ph="1"/>
    </row>
    <row r="2585" spans="23:23" ht="26.4">
      <c r="W2585" s="64" ph="1"/>
    </row>
    <row r="2586" spans="23:23" ht="26.4">
      <c r="W2586" s="64" ph="1"/>
    </row>
    <row r="2587" spans="23:23" ht="26.4">
      <c r="W2587" s="64" ph="1"/>
    </row>
    <row r="2588" spans="23:23" ht="26.4">
      <c r="W2588" s="64" ph="1"/>
    </row>
    <row r="2589" spans="23:23" ht="26.4">
      <c r="W2589" s="64" ph="1"/>
    </row>
    <row r="2590" spans="23:23" ht="26.4">
      <c r="W2590" s="64" ph="1"/>
    </row>
    <row r="2591" spans="23:23" ht="26.4">
      <c r="W2591" s="64" ph="1"/>
    </row>
    <row r="2592" spans="23:23" ht="26.4">
      <c r="W2592" s="64" ph="1"/>
    </row>
    <row r="2593" spans="23:23" ht="26.4">
      <c r="W2593" s="64" ph="1"/>
    </row>
    <row r="2594" spans="23:23" ht="26.4">
      <c r="W2594" s="64" ph="1"/>
    </row>
    <row r="2595" spans="23:23" ht="26.4">
      <c r="W2595" s="64" ph="1"/>
    </row>
    <row r="2596" spans="23:23" ht="26.4">
      <c r="W2596" s="64" ph="1"/>
    </row>
    <row r="2597" spans="23:23" ht="26.4">
      <c r="W2597" s="64" ph="1"/>
    </row>
    <row r="2598" spans="23:23" ht="26.4">
      <c r="W2598" s="64" ph="1"/>
    </row>
    <row r="2599" spans="23:23" ht="26.4">
      <c r="W2599" s="64" ph="1"/>
    </row>
    <row r="2600" spans="23:23" ht="26.4">
      <c r="W2600" s="64" ph="1"/>
    </row>
    <row r="2601" spans="23:23" ht="26.4">
      <c r="W2601" s="64" ph="1"/>
    </row>
    <row r="2602" spans="23:23" ht="26.4">
      <c r="W2602" s="64" ph="1"/>
    </row>
    <row r="2603" spans="23:23" ht="26.4">
      <c r="W2603" s="64" ph="1"/>
    </row>
    <row r="2604" spans="23:23" ht="26.4">
      <c r="W2604" s="64" ph="1"/>
    </row>
    <row r="2605" spans="23:23" ht="26.4">
      <c r="W2605" s="64" ph="1"/>
    </row>
    <row r="2606" spans="23:23" ht="26.4">
      <c r="W2606" s="64" ph="1"/>
    </row>
    <row r="2607" spans="23:23" ht="26.4">
      <c r="W2607" s="64" ph="1"/>
    </row>
    <row r="2608" spans="23:23" ht="26.4">
      <c r="W2608" s="64" ph="1"/>
    </row>
    <row r="2609" spans="23:23" ht="26.4">
      <c r="W2609" s="64" ph="1"/>
    </row>
    <row r="2610" spans="23:23" ht="26.4">
      <c r="W2610" s="64" ph="1"/>
    </row>
    <row r="2611" spans="23:23" ht="26.4">
      <c r="W2611" s="64" ph="1"/>
    </row>
    <row r="2612" spans="23:23" ht="26.4">
      <c r="W2612" s="64" ph="1"/>
    </row>
    <row r="2613" spans="23:23" ht="26.4">
      <c r="W2613" s="64" ph="1"/>
    </row>
    <row r="2614" spans="23:23" ht="26.4">
      <c r="W2614" s="64" ph="1"/>
    </row>
    <row r="2615" spans="23:23" ht="26.4">
      <c r="W2615" s="64" ph="1"/>
    </row>
    <row r="2616" spans="23:23" ht="26.4">
      <c r="W2616" s="64" ph="1"/>
    </row>
    <row r="2617" spans="23:23" ht="26.4">
      <c r="W2617" s="64" ph="1"/>
    </row>
    <row r="2618" spans="23:23" ht="26.4">
      <c r="W2618" s="64" ph="1"/>
    </row>
    <row r="2619" spans="23:23" ht="26.4">
      <c r="W2619" s="64" ph="1"/>
    </row>
    <row r="2620" spans="23:23" ht="26.4">
      <c r="W2620" s="64" ph="1"/>
    </row>
    <row r="2621" spans="23:23" ht="26.4">
      <c r="W2621" s="64" ph="1"/>
    </row>
    <row r="2622" spans="23:23" ht="26.4">
      <c r="W2622" s="64" ph="1"/>
    </row>
    <row r="2623" spans="23:23" ht="26.4">
      <c r="W2623" s="64" ph="1"/>
    </row>
    <row r="2624" spans="23:23" ht="26.4">
      <c r="W2624" s="64" ph="1"/>
    </row>
    <row r="2625" spans="23:23" ht="26.4">
      <c r="W2625" s="64" ph="1"/>
    </row>
    <row r="2626" spans="23:23" ht="26.4">
      <c r="W2626" s="64" ph="1"/>
    </row>
    <row r="2627" spans="23:23" ht="26.4">
      <c r="W2627" s="64" ph="1"/>
    </row>
    <row r="2628" spans="23:23" ht="26.4">
      <c r="W2628" s="64" ph="1"/>
    </row>
    <row r="2629" spans="23:23" ht="26.4">
      <c r="W2629" s="64" ph="1"/>
    </row>
    <row r="2630" spans="23:23" ht="26.4">
      <c r="W2630" s="64" ph="1"/>
    </row>
    <row r="2631" spans="23:23" ht="26.4">
      <c r="W2631" s="64" ph="1"/>
    </row>
    <row r="2632" spans="23:23" ht="26.4">
      <c r="W2632" s="64" ph="1"/>
    </row>
    <row r="2633" spans="23:23" ht="26.4">
      <c r="W2633" s="64" ph="1"/>
    </row>
    <row r="2634" spans="23:23" ht="26.4">
      <c r="W2634" s="64" ph="1"/>
    </row>
    <row r="2635" spans="23:23" ht="26.4">
      <c r="W2635" s="64" ph="1"/>
    </row>
    <row r="2636" spans="23:23" ht="26.4">
      <c r="W2636" s="64" ph="1"/>
    </row>
    <row r="2637" spans="23:23" ht="26.4">
      <c r="W2637" s="64" ph="1"/>
    </row>
    <row r="2638" spans="23:23" ht="26.4">
      <c r="W2638" s="64" ph="1"/>
    </row>
    <row r="2639" spans="23:23" ht="26.4">
      <c r="W2639" s="64" ph="1"/>
    </row>
    <row r="2640" spans="23:23" ht="26.4">
      <c r="W2640" s="64" ph="1"/>
    </row>
    <row r="2641" spans="23:23" ht="26.4">
      <c r="W2641" s="64" ph="1"/>
    </row>
    <row r="2642" spans="23:23" ht="26.4">
      <c r="W2642" s="64" ph="1"/>
    </row>
    <row r="2643" spans="23:23" ht="26.4">
      <c r="W2643" s="64" ph="1"/>
    </row>
    <row r="2644" spans="23:23" ht="26.4">
      <c r="W2644" s="64" ph="1"/>
    </row>
    <row r="2645" spans="23:23" ht="26.4">
      <c r="W2645" s="64" ph="1"/>
    </row>
    <row r="2646" spans="23:23" ht="26.4">
      <c r="W2646" s="64" ph="1"/>
    </row>
    <row r="2647" spans="23:23" ht="26.4">
      <c r="W2647" s="64" ph="1"/>
    </row>
    <row r="2648" spans="23:23" ht="26.4">
      <c r="W2648" s="64" ph="1"/>
    </row>
    <row r="2649" spans="23:23" ht="26.4">
      <c r="W2649" s="64" ph="1"/>
    </row>
    <row r="2650" spans="23:23" ht="26.4">
      <c r="W2650" s="64" ph="1"/>
    </row>
    <row r="2651" spans="23:23" ht="26.4">
      <c r="W2651" s="64" ph="1"/>
    </row>
    <row r="2652" spans="23:23" ht="26.4">
      <c r="W2652" s="64" ph="1"/>
    </row>
    <row r="2653" spans="23:23" ht="26.4">
      <c r="W2653" s="64" ph="1"/>
    </row>
    <row r="2654" spans="23:23" ht="26.4">
      <c r="W2654" s="64" ph="1"/>
    </row>
    <row r="2655" spans="23:23" ht="26.4">
      <c r="W2655" s="64" ph="1"/>
    </row>
    <row r="2656" spans="23:23" ht="26.4">
      <c r="W2656" s="64" ph="1"/>
    </row>
    <row r="2657" spans="23:23" ht="26.4">
      <c r="W2657" s="64" ph="1"/>
    </row>
    <row r="2658" spans="23:23" ht="26.4">
      <c r="W2658" s="64" ph="1"/>
    </row>
    <row r="2659" spans="23:23" ht="26.4">
      <c r="W2659" s="64" ph="1"/>
    </row>
    <row r="2660" spans="23:23" ht="26.4">
      <c r="W2660" s="64" ph="1"/>
    </row>
    <row r="2661" spans="23:23" ht="26.4">
      <c r="W2661" s="64" ph="1"/>
    </row>
    <row r="2662" spans="23:23" ht="26.4">
      <c r="W2662" s="64" ph="1"/>
    </row>
    <row r="2663" spans="23:23" ht="26.4">
      <c r="W2663" s="64" ph="1"/>
    </row>
    <row r="2664" spans="23:23" ht="26.4">
      <c r="W2664" s="64" ph="1"/>
    </row>
    <row r="2665" spans="23:23" ht="26.4">
      <c r="W2665" s="64" ph="1"/>
    </row>
    <row r="2666" spans="23:23" ht="26.4">
      <c r="W2666" s="64" ph="1"/>
    </row>
    <row r="2667" spans="23:23" ht="26.4">
      <c r="W2667" s="64" ph="1"/>
    </row>
    <row r="2668" spans="23:23" ht="26.4">
      <c r="W2668" s="64" ph="1"/>
    </row>
    <row r="2669" spans="23:23" ht="26.4">
      <c r="W2669" s="64" ph="1"/>
    </row>
    <row r="2670" spans="23:23" ht="26.4">
      <c r="W2670" s="64" ph="1"/>
    </row>
    <row r="2671" spans="23:23" ht="26.4">
      <c r="W2671" s="64" ph="1"/>
    </row>
    <row r="2672" spans="23:23" ht="26.4">
      <c r="W2672" s="64" ph="1"/>
    </row>
    <row r="2673" spans="23:23" ht="26.4">
      <c r="W2673" s="64" ph="1"/>
    </row>
    <row r="2674" spans="23:23" ht="26.4">
      <c r="W2674" s="64" ph="1"/>
    </row>
    <row r="2675" spans="23:23" ht="26.4">
      <c r="W2675" s="64" ph="1"/>
    </row>
    <row r="2676" spans="23:23" ht="26.4">
      <c r="W2676" s="64" ph="1"/>
    </row>
    <row r="2677" spans="23:23" ht="26.4">
      <c r="W2677" s="64" ph="1"/>
    </row>
    <row r="2678" spans="23:23" ht="26.4">
      <c r="W2678" s="64" ph="1"/>
    </row>
    <row r="2679" spans="23:23" ht="26.4">
      <c r="W2679" s="64" ph="1"/>
    </row>
    <row r="2680" spans="23:23" ht="26.4">
      <c r="W2680" s="64" ph="1"/>
    </row>
    <row r="2681" spans="23:23" ht="26.4">
      <c r="W2681" s="64" ph="1"/>
    </row>
    <row r="2682" spans="23:23" ht="26.4">
      <c r="W2682" s="64" ph="1"/>
    </row>
    <row r="2683" spans="23:23" ht="26.4">
      <c r="W2683" s="64" ph="1"/>
    </row>
    <row r="2684" spans="23:23" ht="26.4">
      <c r="W2684" s="64" ph="1"/>
    </row>
    <row r="2685" spans="23:23" ht="26.4">
      <c r="W2685" s="64" ph="1"/>
    </row>
    <row r="2686" spans="23:23" ht="26.4">
      <c r="W2686" s="64" ph="1"/>
    </row>
    <row r="2687" spans="23:23" ht="26.4">
      <c r="W2687" s="64" ph="1"/>
    </row>
    <row r="2688" spans="23:23" ht="26.4">
      <c r="W2688" s="64" ph="1"/>
    </row>
    <row r="2689" spans="23:23" ht="26.4">
      <c r="W2689" s="64" ph="1"/>
    </row>
    <row r="2690" spans="23:23" ht="26.4">
      <c r="W2690" s="64" ph="1"/>
    </row>
    <row r="2691" spans="23:23" ht="26.4">
      <c r="W2691" s="64" ph="1"/>
    </row>
    <row r="2692" spans="23:23" ht="26.4">
      <c r="W2692" s="64" ph="1"/>
    </row>
    <row r="2693" spans="23:23" ht="26.4">
      <c r="W2693" s="64" ph="1"/>
    </row>
    <row r="2694" spans="23:23" ht="26.4">
      <c r="W2694" s="64" ph="1"/>
    </row>
    <row r="2695" spans="23:23" ht="26.4">
      <c r="W2695" s="64" ph="1"/>
    </row>
    <row r="2696" spans="23:23" ht="26.4">
      <c r="W2696" s="64" ph="1"/>
    </row>
    <row r="2697" spans="23:23" ht="26.4">
      <c r="W2697" s="64" ph="1"/>
    </row>
    <row r="2698" spans="23:23" ht="26.4">
      <c r="W2698" s="64" ph="1"/>
    </row>
    <row r="2699" spans="23:23" ht="26.4">
      <c r="W2699" s="64" ph="1"/>
    </row>
    <row r="2700" spans="23:23" ht="26.4">
      <c r="W2700" s="64" ph="1"/>
    </row>
    <row r="2701" spans="23:23" ht="26.4">
      <c r="W2701" s="64" ph="1"/>
    </row>
    <row r="2702" spans="23:23" ht="26.4">
      <c r="W2702" s="64" ph="1"/>
    </row>
    <row r="2703" spans="23:23" ht="26.4">
      <c r="W2703" s="64" ph="1"/>
    </row>
    <row r="2704" spans="23:23" ht="26.4">
      <c r="W2704" s="64" ph="1"/>
    </row>
    <row r="2705" spans="23:23" ht="26.4">
      <c r="W2705" s="64" ph="1"/>
    </row>
    <row r="2706" spans="23:23" ht="26.4">
      <c r="W2706" s="64" ph="1"/>
    </row>
    <row r="2707" spans="23:23" ht="26.4">
      <c r="W2707" s="64" ph="1"/>
    </row>
    <row r="2708" spans="23:23" ht="26.4">
      <c r="W2708" s="64" ph="1"/>
    </row>
    <row r="2709" spans="23:23" ht="26.4">
      <c r="W2709" s="64" ph="1"/>
    </row>
    <row r="2710" spans="23:23" ht="26.4">
      <c r="W2710" s="64" ph="1"/>
    </row>
    <row r="2711" spans="23:23" ht="26.4">
      <c r="W2711" s="64" ph="1"/>
    </row>
    <row r="2712" spans="23:23" ht="26.4">
      <c r="W2712" s="64" ph="1"/>
    </row>
    <row r="2713" spans="23:23" ht="26.4">
      <c r="W2713" s="64" ph="1"/>
    </row>
    <row r="2714" spans="23:23" ht="26.4">
      <c r="W2714" s="64" ph="1"/>
    </row>
    <row r="2715" spans="23:23" ht="26.4">
      <c r="W2715" s="64" ph="1"/>
    </row>
    <row r="2716" spans="23:23" ht="26.4">
      <c r="W2716" s="64" ph="1"/>
    </row>
    <row r="2717" spans="23:23" ht="26.4">
      <c r="W2717" s="64" ph="1"/>
    </row>
    <row r="2718" spans="23:23" ht="26.4">
      <c r="W2718" s="64" ph="1"/>
    </row>
    <row r="2719" spans="23:23" ht="26.4">
      <c r="W2719" s="64" ph="1"/>
    </row>
    <row r="2720" spans="23:23" ht="26.4">
      <c r="W2720" s="64" ph="1"/>
    </row>
    <row r="2721" spans="23:23" ht="26.4">
      <c r="W2721" s="64" ph="1"/>
    </row>
    <row r="2722" spans="23:23" ht="26.4">
      <c r="W2722" s="64" ph="1"/>
    </row>
    <row r="2723" spans="23:23" ht="26.4">
      <c r="W2723" s="64" ph="1"/>
    </row>
    <row r="2724" spans="23:23" ht="26.4">
      <c r="W2724" s="64" ph="1"/>
    </row>
    <row r="2725" spans="23:23" ht="26.4">
      <c r="W2725" s="64" ph="1"/>
    </row>
    <row r="2726" spans="23:23" ht="26.4">
      <c r="W2726" s="64" ph="1"/>
    </row>
    <row r="2727" spans="23:23" ht="26.4">
      <c r="W2727" s="64" ph="1"/>
    </row>
    <row r="2728" spans="23:23" ht="26.4">
      <c r="W2728" s="64" ph="1"/>
    </row>
    <row r="2729" spans="23:23" ht="26.4">
      <c r="W2729" s="64" ph="1"/>
    </row>
    <row r="2730" spans="23:23" ht="26.4">
      <c r="W2730" s="64" ph="1"/>
    </row>
    <row r="2731" spans="23:23" ht="26.4">
      <c r="W2731" s="64" ph="1"/>
    </row>
    <row r="2732" spans="23:23" ht="26.4">
      <c r="W2732" s="64" ph="1"/>
    </row>
    <row r="2733" spans="23:23" ht="26.4">
      <c r="W2733" s="64" ph="1"/>
    </row>
    <row r="2734" spans="23:23" ht="26.4">
      <c r="W2734" s="64" ph="1"/>
    </row>
    <row r="2735" spans="23:23" ht="26.4">
      <c r="W2735" s="64" ph="1"/>
    </row>
    <row r="2736" spans="23:23" ht="26.4">
      <c r="W2736" s="64" ph="1"/>
    </row>
    <row r="2737" spans="23:23" ht="26.4">
      <c r="W2737" s="64" ph="1"/>
    </row>
    <row r="2738" spans="23:23" ht="26.4">
      <c r="W2738" s="64" ph="1"/>
    </row>
    <row r="2739" spans="23:23" ht="26.4">
      <c r="W2739" s="64" ph="1"/>
    </row>
    <row r="2740" spans="23:23" ht="26.4">
      <c r="W2740" s="64" ph="1"/>
    </row>
    <row r="2741" spans="23:23" ht="26.4">
      <c r="W2741" s="64" ph="1"/>
    </row>
    <row r="2742" spans="23:23" ht="26.4">
      <c r="W2742" s="64" ph="1"/>
    </row>
    <row r="2743" spans="23:23" ht="26.4">
      <c r="W2743" s="64" ph="1"/>
    </row>
    <row r="2744" spans="23:23" ht="26.4">
      <c r="W2744" s="64" ph="1"/>
    </row>
    <row r="2745" spans="23:23" ht="26.4">
      <c r="W2745" s="64" ph="1"/>
    </row>
    <row r="2746" spans="23:23" ht="26.4">
      <c r="W2746" s="64" ph="1"/>
    </row>
    <row r="2747" spans="23:23" ht="26.4">
      <c r="W2747" s="64" ph="1"/>
    </row>
    <row r="2748" spans="23:23" ht="26.4">
      <c r="W2748" s="64" ph="1"/>
    </row>
    <row r="2749" spans="23:23" ht="26.4">
      <c r="W2749" s="64" ph="1"/>
    </row>
    <row r="2750" spans="23:23" ht="26.4">
      <c r="W2750" s="64" ph="1"/>
    </row>
    <row r="2751" spans="23:23" ht="26.4">
      <c r="W2751" s="64" ph="1"/>
    </row>
    <row r="2752" spans="23:23" ht="26.4">
      <c r="W2752" s="64" ph="1"/>
    </row>
    <row r="2753" spans="23:23" ht="26.4">
      <c r="W2753" s="64" ph="1"/>
    </row>
    <row r="2754" spans="23:23" ht="26.4">
      <c r="W2754" s="64" ph="1"/>
    </row>
    <row r="2755" spans="23:23" ht="26.4">
      <c r="W2755" s="64" ph="1"/>
    </row>
    <row r="2756" spans="23:23" ht="26.4">
      <c r="W2756" s="64" ph="1"/>
    </row>
    <row r="2757" spans="23:23" ht="26.4">
      <c r="W2757" s="64" ph="1"/>
    </row>
    <row r="2758" spans="23:23" ht="26.4">
      <c r="W2758" s="64" ph="1"/>
    </row>
    <row r="2759" spans="23:23" ht="26.4">
      <c r="W2759" s="64" ph="1"/>
    </row>
    <row r="2760" spans="23:23" ht="26.4">
      <c r="W2760" s="64" ph="1"/>
    </row>
    <row r="2761" spans="23:23" ht="26.4">
      <c r="W2761" s="64" ph="1"/>
    </row>
    <row r="2762" spans="23:23" ht="26.4">
      <c r="W2762" s="64" ph="1"/>
    </row>
    <row r="2763" spans="23:23" ht="26.4">
      <c r="W2763" s="64" ph="1"/>
    </row>
    <row r="2764" spans="23:23" ht="26.4">
      <c r="W2764" s="64" ph="1"/>
    </row>
    <row r="2765" spans="23:23" ht="26.4">
      <c r="W2765" s="64" ph="1"/>
    </row>
    <row r="2766" spans="23:23" ht="26.4">
      <c r="W2766" s="64" ph="1"/>
    </row>
    <row r="2767" spans="23:23" ht="26.4">
      <c r="W2767" s="64" ph="1"/>
    </row>
    <row r="2768" spans="23:23" ht="26.4">
      <c r="W2768" s="64" ph="1"/>
    </row>
    <row r="2769" spans="23:23" ht="26.4">
      <c r="W2769" s="64" ph="1"/>
    </row>
    <row r="2770" spans="23:23" ht="26.4">
      <c r="W2770" s="64" ph="1"/>
    </row>
    <row r="2771" spans="23:23" ht="26.4">
      <c r="W2771" s="64" ph="1"/>
    </row>
    <row r="2772" spans="23:23" ht="26.4">
      <c r="W2772" s="64" ph="1"/>
    </row>
    <row r="2773" spans="23:23" ht="26.4">
      <c r="W2773" s="64" ph="1"/>
    </row>
    <row r="2774" spans="23:23" ht="26.4">
      <c r="W2774" s="64" ph="1"/>
    </row>
    <row r="2775" spans="23:23" ht="26.4">
      <c r="W2775" s="64" ph="1"/>
    </row>
    <row r="2776" spans="23:23" ht="26.4">
      <c r="W2776" s="64" ph="1"/>
    </row>
    <row r="2777" spans="23:23" ht="26.4">
      <c r="W2777" s="64" ph="1"/>
    </row>
    <row r="2778" spans="23:23" ht="26.4">
      <c r="W2778" s="64" ph="1"/>
    </row>
    <row r="2779" spans="23:23" ht="26.4">
      <c r="W2779" s="64" ph="1"/>
    </row>
    <row r="2780" spans="23:23" ht="26.4">
      <c r="W2780" s="64" ph="1"/>
    </row>
    <row r="2781" spans="23:23" ht="26.4">
      <c r="W2781" s="64" ph="1"/>
    </row>
    <row r="2782" spans="23:23" ht="26.4">
      <c r="W2782" s="64" ph="1"/>
    </row>
    <row r="2783" spans="23:23" ht="26.4">
      <c r="W2783" s="64" ph="1"/>
    </row>
    <row r="2784" spans="23:23" ht="26.4">
      <c r="W2784" s="64" ph="1"/>
    </row>
    <row r="2785" spans="23:23" ht="26.4">
      <c r="W2785" s="64" ph="1"/>
    </row>
    <row r="2786" spans="23:23" ht="26.4">
      <c r="W2786" s="64" ph="1"/>
    </row>
    <row r="2787" spans="23:23" ht="26.4">
      <c r="W2787" s="64" ph="1"/>
    </row>
    <row r="2788" spans="23:23" ht="26.4">
      <c r="W2788" s="64" ph="1"/>
    </row>
    <row r="2789" spans="23:23" ht="26.4">
      <c r="W2789" s="64" ph="1"/>
    </row>
    <row r="2790" spans="23:23" ht="26.4">
      <c r="W2790" s="64" ph="1"/>
    </row>
    <row r="2791" spans="23:23" ht="26.4">
      <c r="W2791" s="64" ph="1"/>
    </row>
    <row r="2792" spans="23:23" ht="26.4">
      <c r="W2792" s="64" ph="1"/>
    </row>
    <row r="2793" spans="23:23" ht="26.4">
      <c r="W2793" s="64" ph="1"/>
    </row>
    <row r="2794" spans="23:23" ht="26.4">
      <c r="W2794" s="64" ph="1"/>
    </row>
    <row r="2795" spans="23:23" ht="26.4">
      <c r="W2795" s="64" ph="1"/>
    </row>
    <row r="2796" spans="23:23" ht="26.4">
      <c r="W2796" s="64" ph="1"/>
    </row>
    <row r="2797" spans="23:23" ht="26.4">
      <c r="W2797" s="64" ph="1"/>
    </row>
    <row r="2798" spans="23:23" ht="26.4">
      <c r="W2798" s="64" ph="1"/>
    </row>
    <row r="2799" spans="23:23" ht="26.4">
      <c r="W2799" s="64" ph="1"/>
    </row>
    <row r="2800" spans="23:23" ht="26.4">
      <c r="W2800" s="64" ph="1"/>
    </row>
    <row r="2801" spans="23:23" ht="26.4">
      <c r="W2801" s="64" ph="1"/>
    </row>
    <row r="2802" spans="23:23" ht="26.4">
      <c r="W2802" s="64" ph="1"/>
    </row>
    <row r="2803" spans="23:23" ht="26.4">
      <c r="W2803" s="64" ph="1"/>
    </row>
    <row r="2804" spans="23:23" ht="26.4">
      <c r="W2804" s="64" ph="1"/>
    </row>
    <row r="2805" spans="23:23" ht="26.4">
      <c r="W2805" s="64" ph="1"/>
    </row>
    <row r="2806" spans="23:23" ht="26.4">
      <c r="W2806" s="64" ph="1"/>
    </row>
    <row r="2807" spans="23:23" ht="26.4">
      <c r="W2807" s="64" ph="1"/>
    </row>
    <row r="2808" spans="23:23" ht="26.4">
      <c r="W2808" s="64" ph="1"/>
    </row>
    <row r="2809" spans="23:23" ht="26.4">
      <c r="W2809" s="64" ph="1"/>
    </row>
    <row r="2810" spans="23:23" ht="26.4">
      <c r="W2810" s="64" ph="1"/>
    </row>
    <row r="2811" spans="23:23" ht="26.4">
      <c r="W2811" s="64" ph="1"/>
    </row>
    <row r="2812" spans="23:23" ht="26.4">
      <c r="W2812" s="64" ph="1"/>
    </row>
    <row r="2813" spans="23:23" ht="26.4">
      <c r="W2813" s="64" ph="1"/>
    </row>
    <row r="2814" spans="23:23" ht="26.4">
      <c r="W2814" s="64" ph="1"/>
    </row>
    <row r="2815" spans="23:23" ht="26.4">
      <c r="W2815" s="64" ph="1"/>
    </row>
    <row r="2816" spans="23:23" ht="26.4">
      <c r="W2816" s="64" ph="1"/>
    </row>
    <row r="2817" spans="23:23" ht="26.4">
      <c r="W2817" s="64" ph="1"/>
    </row>
    <row r="2818" spans="23:23" ht="26.4">
      <c r="W2818" s="64" ph="1"/>
    </row>
    <row r="2819" spans="23:23" ht="26.4">
      <c r="W2819" s="64" ph="1"/>
    </row>
    <row r="2820" spans="23:23" ht="26.4">
      <c r="W2820" s="64" ph="1"/>
    </row>
    <row r="2821" spans="23:23" ht="26.4">
      <c r="W2821" s="64" ph="1"/>
    </row>
    <row r="2822" spans="23:23" ht="26.4">
      <c r="W2822" s="64" ph="1"/>
    </row>
    <row r="2823" spans="23:23" ht="26.4">
      <c r="W2823" s="64" ph="1"/>
    </row>
    <row r="2824" spans="23:23" ht="26.4">
      <c r="W2824" s="64" ph="1"/>
    </row>
    <row r="2825" spans="23:23" ht="26.4">
      <c r="W2825" s="64" ph="1"/>
    </row>
    <row r="2826" spans="23:23" ht="26.4">
      <c r="W2826" s="64" ph="1"/>
    </row>
    <row r="2827" spans="23:23" ht="26.4">
      <c r="W2827" s="64" ph="1"/>
    </row>
    <row r="2828" spans="23:23" ht="26.4">
      <c r="W2828" s="64" ph="1"/>
    </row>
    <row r="2829" spans="23:23" ht="26.4">
      <c r="W2829" s="64" ph="1"/>
    </row>
    <row r="2830" spans="23:23" ht="26.4">
      <c r="W2830" s="64" ph="1"/>
    </row>
    <row r="2831" spans="23:23" ht="26.4">
      <c r="W2831" s="64" ph="1"/>
    </row>
    <row r="2832" spans="23:23" ht="26.4">
      <c r="W2832" s="64" ph="1"/>
    </row>
    <row r="2833" spans="23:23" ht="26.4">
      <c r="W2833" s="64" ph="1"/>
    </row>
    <row r="2834" spans="23:23" ht="26.4">
      <c r="W2834" s="64" ph="1"/>
    </row>
    <row r="2835" spans="23:23" ht="26.4">
      <c r="W2835" s="64" ph="1"/>
    </row>
    <row r="2836" spans="23:23" ht="26.4">
      <c r="W2836" s="64" ph="1"/>
    </row>
    <row r="2837" spans="23:23" ht="26.4">
      <c r="W2837" s="64" ph="1"/>
    </row>
    <row r="2838" spans="23:23" ht="26.4">
      <c r="W2838" s="64" ph="1"/>
    </row>
    <row r="2839" spans="23:23" ht="26.4">
      <c r="W2839" s="64" ph="1"/>
    </row>
    <row r="2840" spans="23:23" ht="26.4">
      <c r="W2840" s="64" ph="1"/>
    </row>
    <row r="2841" spans="23:23" ht="26.4">
      <c r="W2841" s="64" ph="1"/>
    </row>
    <row r="2842" spans="23:23" ht="26.4">
      <c r="W2842" s="64" ph="1"/>
    </row>
    <row r="2843" spans="23:23" ht="26.4">
      <c r="W2843" s="64" ph="1"/>
    </row>
    <row r="2844" spans="23:23" ht="26.4">
      <c r="W2844" s="64" ph="1"/>
    </row>
    <row r="2845" spans="23:23" ht="26.4">
      <c r="W2845" s="64" ph="1"/>
    </row>
    <row r="2846" spans="23:23" ht="26.4">
      <c r="W2846" s="64" ph="1"/>
    </row>
    <row r="2847" spans="23:23" ht="26.4">
      <c r="W2847" s="64" ph="1"/>
    </row>
    <row r="2848" spans="23:23" ht="26.4">
      <c r="W2848" s="64" ph="1"/>
    </row>
    <row r="2849" spans="23:23" ht="26.4">
      <c r="W2849" s="64" ph="1"/>
    </row>
    <row r="2850" spans="23:23" ht="26.4">
      <c r="W2850" s="64" ph="1"/>
    </row>
    <row r="2851" spans="23:23" ht="26.4">
      <c r="W2851" s="64" ph="1"/>
    </row>
    <row r="2852" spans="23:23" ht="26.4">
      <c r="W2852" s="64" ph="1"/>
    </row>
    <row r="2853" spans="23:23" ht="26.4">
      <c r="W2853" s="64" ph="1"/>
    </row>
    <row r="2854" spans="23:23" ht="26.4">
      <c r="W2854" s="64" ph="1"/>
    </row>
    <row r="2855" spans="23:23" ht="26.4">
      <c r="W2855" s="64" ph="1"/>
    </row>
    <row r="2856" spans="23:23" ht="26.4">
      <c r="W2856" s="64" ph="1"/>
    </row>
    <row r="2857" spans="23:23" ht="26.4">
      <c r="W2857" s="64" ph="1"/>
    </row>
    <row r="2858" spans="23:23" ht="26.4">
      <c r="W2858" s="64" ph="1"/>
    </row>
    <row r="2859" spans="23:23" ht="26.4">
      <c r="W2859" s="64" ph="1"/>
    </row>
    <row r="2860" spans="23:23" ht="26.4">
      <c r="W2860" s="64" ph="1"/>
    </row>
    <row r="2861" spans="23:23" ht="26.4">
      <c r="W2861" s="64" ph="1"/>
    </row>
    <row r="2862" spans="23:23" ht="26.4">
      <c r="W2862" s="64" ph="1"/>
    </row>
    <row r="2863" spans="23:23" ht="26.4">
      <c r="W2863" s="64" ph="1"/>
    </row>
    <row r="2864" spans="23:23" ht="26.4">
      <c r="W2864" s="64" ph="1"/>
    </row>
    <row r="2865" spans="23:23" ht="26.4">
      <c r="W2865" s="64" ph="1"/>
    </row>
    <row r="2866" spans="23:23" ht="26.4">
      <c r="W2866" s="64" ph="1"/>
    </row>
    <row r="2867" spans="23:23" ht="26.4">
      <c r="W2867" s="64" ph="1"/>
    </row>
    <row r="2868" spans="23:23" ht="26.4">
      <c r="W2868" s="64" ph="1"/>
    </row>
    <row r="2869" spans="23:23" ht="26.4">
      <c r="W2869" s="64" ph="1"/>
    </row>
    <row r="2870" spans="23:23" ht="26.4">
      <c r="W2870" s="64" ph="1"/>
    </row>
    <row r="2871" spans="23:23" ht="26.4">
      <c r="W2871" s="64" ph="1"/>
    </row>
    <row r="2872" spans="23:23" ht="26.4">
      <c r="W2872" s="64" ph="1"/>
    </row>
    <row r="2873" spans="23:23" ht="26.4">
      <c r="W2873" s="64" ph="1"/>
    </row>
    <row r="2874" spans="23:23" ht="26.4">
      <c r="W2874" s="64" ph="1"/>
    </row>
    <row r="2875" spans="23:23" ht="26.4">
      <c r="W2875" s="64" ph="1"/>
    </row>
    <row r="2876" spans="23:23" ht="26.4">
      <c r="W2876" s="64" ph="1"/>
    </row>
    <row r="2877" spans="23:23" ht="26.4">
      <c r="W2877" s="64" ph="1"/>
    </row>
    <row r="2878" spans="23:23" ht="26.4">
      <c r="W2878" s="64" ph="1"/>
    </row>
    <row r="2879" spans="23:23" ht="26.4">
      <c r="W2879" s="64" ph="1"/>
    </row>
    <row r="2880" spans="23:23" ht="26.4">
      <c r="W2880" s="64" ph="1"/>
    </row>
    <row r="2881" spans="23:23" ht="26.4">
      <c r="W2881" s="64" ph="1"/>
    </row>
    <row r="2882" spans="23:23" ht="26.4">
      <c r="W2882" s="64" ph="1"/>
    </row>
    <row r="2883" spans="23:23" ht="26.4">
      <c r="W2883" s="64" ph="1"/>
    </row>
    <row r="2884" spans="23:23" ht="26.4">
      <c r="W2884" s="64" ph="1"/>
    </row>
    <row r="2885" spans="23:23" ht="26.4">
      <c r="W2885" s="64" ph="1"/>
    </row>
    <row r="2886" spans="23:23" ht="26.4">
      <c r="W2886" s="64" ph="1"/>
    </row>
    <row r="2887" spans="23:23" ht="26.4">
      <c r="W2887" s="64" ph="1"/>
    </row>
    <row r="2888" spans="23:23" ht="26.4">
      <c r="W2888" s="64" ph="1"/>
    </row>
    <row r="2889" spans="23:23" ht="26.4">
      <c r="W2889" s="64" ph="1"/>
    </row>
    <row r="2890" spans="23:23" ht="26.4">
      <c r="W2890" s="64" ph="1"/>
    </row>
    <row r="2891" spans="23:23" ht="26.4">
      <c r="W2891" s="64" ph="1"/>
    </row>
    <row r="2892" spans="23:23" ht="26.4">
      <c r="W2892" s="64" ph="1"/>
    </row>
    <row r="2893" spans="23:23" ht="26.4">
      <c r="W2893" s="64" ph="1"/>
    </row>
    <row r="2894" spans="23:23" ht="26.4">
      <c r="W2894" s="64" ph="1"/>
    </row>
    <row r="2895" spans="23:23" ht="26.4">
      <c r="W2895" s="64" ph="1"/>
    </row>
    <row r="2896" spans="23:23" ht="26.4">
      <c r="W2896" s="64" ph="1"/>
    </row>
    <row r="2897" spans="23:23" ht="26.4">
      <c r="W2897" s="64" ph="1"/>
    </row>
    <row r="2898" spans="23:23" ht="26.4">
      <c r="W2898" s="64" ph="1"/>
    </row>
    <row r="2899" spans="23:23" ht="26.4">
      <c r="W2899" s="64" ph="1"/>
    </row>
    <row r="2900" spans="23:23" ht="26.4">
      <c r="W2900" s="64" ph="1"/>
    </row>
    <row r="2901" spans="23:23" ht="26.4">
      <c r="W2901" s="64" ph="1"/>
    </row>
    <row r="2902" spans="23:23" ht="26.4">
      <c r="W2902" s="64" ph="1"/>
    </row>
    <row r="2903" spans="23:23" ht="26.4">
      <c r="W2903" s="64" ph="1"/>
    </row>
    <row r="2904" spans="23:23" ht="26.4">
      <c r="W2904" s="64" ph="1"/>
    </row>
    <row r="2905" spans="23:23" ht="26.4">
      <c r="W2905" s="64" ph="1"/>
    </row>
    <row r="2906" spans="23:23" ht="26.4">
      <c r="W2906" s="64" ph="1"/>
    </row>
    <row r="2907" spans="23:23" ht="26.4">
      <c r="W2907" s="64" ph="1"/>
    </row>
    <row r="2908" spans="23:23" ht="26.4">
      <c r="W2908" s="64" ph="1"/>
    </row>
    <row r="2909" spans="23:23" ht="26.4">
      <c r="W2909" s="64" ph="1"/>
    </row>
    <row r="2910" spans="23:23" ht="26.4">
      <c r="W2910" s="64" ph="1"/>
    </row>
    <row r="2911" spans="23:23" ht="26.4">
      <c r="W2911" s="64" ph="1"/>
    </row>
    <row r="2912" spans="23:23" ht="26.4">
      <c r="W2912" s="64" ph="1"/>
    </row>
    <row r="2913" spans="23:23" ht="26.4">
      <c r="W2913" s="64" ph="1"/>
    </row>
    <row r="2914" spans="23:23" ht="26.4">
      <c r="W2914" s="64" ph="1"/>
    </row>
    <row r="2915" spans="23:23" ht="26.4">
      <c r="W2915" s="64" ph="1"/>
    </row>
    <row r="2916" spans="23:23" ht="26.4">
      <c r="W2916" s="64" ph="1"/>
    </row>
    <row r="2917" spans="23:23" ht="26.4">
      <c r="W2917" s="64" ph="1"/>
    </row>
    <row r="2918" spans="23:23" ht="26.4">
      <c r="W2918" s="64" ph="1"/>
    </row>
    <row r="2919" spans="23:23" ht="26.4">
      <c r="W2919" s="64" ph="1"/>
    </row>
    <row r="2920" spans="23:23" ht="26.4">
      <c r="W2920" s="64" ph="1"/>
    </row>
    <row r="2921" spans="23:23" ht="26.4">
      <c r="W2921" s="64" ph="1"/>
    </row>
    <row r="2922" spans="23:23" ht="26.4">
      <c r="W2922" s="64" ph="1"/>
    </row>
    <row r="2923" spans="23:23" ht="26.4">
      <c r="W2923" s="64" ph="1"/>
    </row>
    <row r="2924" spans="23:23" ht="26.4">
      <c r="W2924" s="64" ph="1"/>
    </row>
    <row r="2925" spans="23:23" ht="26.4">
      <c r="W2925" s="64" ph="1"/>
    </row>
    <row r="2926" spans="23:23" ht="26.4">
      <c r="W2926" s="64" ph="1"/>
    </row>
    <row r="2927" spans="23:23" ht="26.4">
      <c r="W2927" s="64" ph="1"/>
    </row>
    <row r="2928" spans="23:23" ht="26.4">
      <c r="W2928" s="64" ph="1"/>
    </row>
    <row r="2929" spans="23:23" ht="26.4">
      <c r="W2929" s="64" ph="1"/>
    </row>
    <row r="2930" spans="23:23" ht="26.4">
      <c r="W2930" s="64" ph="1"/>
    </row>
    <row r="2931" spans="23:23" ht="26.4">
      <c r="W2931" s="64" ph="1"/>
    </row>
    <row r="2932" spans="23:23" ht="26.4">
      <c r="W2932" s="64" ph="1"/>
    </row>
    <row r="2933" spans="23:23" ht="26.4">
      <c r="W2933" s="64" ph="1"/>
    </row>
    <row r="2934" spans="23:23" ht="26.4">
      <c r="W2934" s="64" ph="1"/>
    </row>
    <row r="2935" spans="23:23" ht="26.4">
      <c r="W2935" s="64" ph="1"/>
    </row>
    <row r="2936" spans="23:23" ht="26.4">
      <c r="W2936" s="64" ph="1"/>
    </row>
    <row r="2937" spans="23:23" ht="26.4">
      <c r="W2937" s="64" ph="1"/>
    </row>
    <row r="2938" spans="23:23" ht="26.4">
      <c r="W2938" s="64" ph="1"/>
    </row>
    <row r="2939" spans="23:23" ht="26.4">
      <c r="W2939" s="64" ph="1"/>
    </row>
    <row r="2940" spans="23:23" ht="26.4">
      <c r="W2940" s="64" ph="1"/>
    </row>
    <row r="2941" spans="23:23" ht="26.4">
      <c r="W2941" s="64" ph="1"/>
    </row>
    <row r="2942" spans="23:23" ht="26.4">
      <c r="W2942" s="64" ph="1"/>
    </row>
    <row r="2943" spans="23:23" ht="26.4">
      <c r="W2943" s="64" ph="1"/>
    </row>
    <row r="2944" spans="23:23" ht="26.4">
      <c r="W2944" s="64" ph="1"/>
    </row>
    <row r="2945" spans="23:23" ht="26.4">
      <c r="W2945" s="64" ph="1"/>
    </row>
    <row r="2946" spans="23:23" ht="26.4">
      <c r="W2946" s="64" ph="1"/>
    </row>
    <row r="2947" spans="23:23" ht="26.4">
      <c r="W2947" s="64" ph="1"/>
    </row>
    <row r="2948" spans="23:23" ht="26.4">
      <c r="W2948" s="64" ph="1"/>
    </row>
    <row r="2949" spans="23:23" ht="26.4">
      <c r="W2949" s="64" ph="1"/>
    </row>
    <row r="2950" spans="23:23" ht="26.4">
      <c r="W2950" s="64" ph="1"/>
    </row>
    <row r="2951" spans="23:23" ht="26.4">
      <c r="W2951" s="64" ph="1"/>
    </row>
    <row r="2952" spans="23:23" ht="26.4">
      <c r="W2952" s="64" ph="1"/>
    </row>
    <row r="2953" spans="23:23" ht="26.4">
      <c r="W2953" s="64" ph="1"/>
    </row>
    <row r="2954" spans="23:23" ht="26.4">
      <c r="W2954" s="64" ph="1"/>
    </row>
    <row r="2955" spans="23:23" ht="26.4">
      <c r="W2955" s="64" ph="1"/>
    </row>
    <row r="2956" spans="23:23" ht="26.4">
      <c r="W2956" s="64" ph="1"/>
    </row>
    <row r="2957" spans="23:23" ht="26.4">
      <c r="W2957" s="64" ph="1"/>
    </row>
    <row r="2958" spans="23:23" ht="26.4">
      <c r="W2958" s="64" ph="1"/>
    </row>
    <row r="2959" spans="23:23" ht="26.4">
      <c r="W2959" s="64" ph="1"/>
    </row>
    <row r="2960" spans="23:23" ht="26.4">
      <c r="W2960" s="64" ph="1"/>
    </row>
    <row r="2961" spans="23:23" ht="26.4">
      <c r="W2961" s="64" ph="1"/>
    </row>
    <row r="2962" spans="23:23" ht="26.4">
      <c r="W2962" s="64" ph="1"/>
    </row>
    <row r="2963" spans="23:23" ht="26.4">
      <c r="W2963" s="64" ph="1"/>
    </row>
    <row r="2964" spans="23:23" ht="26.4">
      <c r="W2964" s="64" ph="1"/>
    </row>
    <row r="2965" spans="23:23" ht="26.4">
      <c r="W2965" s="64" ph="1"/>
    </row>
    <row r="2966" spans="23:23" ht="26.4">
      <c r="W2966" s="64" ph="1"/>
    </row>
    <row r="2967" spans="23:23" ht="26.4">
      <c r="W2967" s="64" ph="1"/>
    </row>
    <row r="2968" spans="23:23" ht="26.4">
      <c r="W2968" s="64" ph="1"/>
    </row>
    <row r="2969" spans="23:23" ht="26.4">
      <c r="W2969" s="64" ph="1"/>
    </row>
    <row r="2970" spans="23:23" ht="26.4">
      <c r="W2970" s="64" ph="1"/>
    </row>
    <row r="2971" spans="23:23" ht="26.4">
      <c r="W2971" s="64" ph="1"/>
    </row>
    <row r="2972" spans="23:23" ht="26.4">
      <c r="W2972" s="64" ph="1"/>
    </row>
    <row r="2973" spans="23:23" ht="26.4">
      <c r="W2973" s="64" ph="1"/>
    </row>
    <row r="2974" spans="23:23" ht="26.4">
      <c r="W2974" s="64" ph="1"/>
    </row>
    <row r="2975" spans="23:23" ht="26.4">
      <c r="W2975" s="64" ph="1"/>
    </row>
    <row r="2976" spans="23:23" ht="26.4">
      <c r="W2976" s="64" ph="1"/>
    </row>
    <row r="2977" spans="23:23" ht="26.4">
      <c r="W2977" s="64" ph="1"/>
    </row>
    <row r="2978" spans="23:23" ht="26.4">
      <c r="W2978" s="64" ph="1"/>
    </row>
    <row r="2979" spans="23:23" ht="26.4">
      <c r="W2979" s="64" ph="1"/>
    </row>
    <row r="2980" spans="23:23" ht="26.4">
      <c r="W2980" s="64" ph="1"/>
    </row>
    <row r="2981" spans="23:23" ht="26.4">
      <c r="W2981" s="64" ph="1"/>
    </row>
    <row r="2982" spans="23:23" ht="26.4">
      <c r="W2982" s="64" ph="1"/>
    </row>
    <row r="2983" spans="23:23" ht="26.4">
      <c r="W2983" s="64" ph="1"/>
    </row>
    <row r="2984" spans="23:23" ht="26.4">
      <c r="W2984" s="64" ph="1"/>
    </row>
    <row r="2985" spans="23:23" ht="26.4">
      <c r="W2985" s="64" ph="1"/>
    </row>
    <row r="2986" spans="23:23" ht="26.4">
      <c r="W2986" s="64" ph="1"/>
    </row>
    <row r="2987" spans="23:23" ht="26.4">
      <c r="W2987" s="64" ph="1"/>
    </row>
    <row r="2988" spans="23:23" ht="26.4">
      <c r="W2988" s="64" ph="1"/>
    </row>
    <row r="2989" spans="23:23" ht="26.4">
      <c r="W2989" s="64" ph="1"/>
    </row>
    <row r="2990" spans="23:23" ht="26.4">
      <c r="W2990" s="64" ph="1"/>
    </row>
    <row r="2991" spans="23:23" ht="26.4">
      <c r="W2991" s="64" ph="1"/>
    </row>
    <row r="2992" spans="23:23" ht="26.4">
      <c r="W2992" s="64" ph="1"/>
    </row>
    <row r="2993" spans="23:23" ht="26.4">
      <c r="W2993" s="64" ph="1"/>
    </row>
    <row r="2994" spans="23:23" ht="26.4">
      <c r="W2994" s="64" ph="1"/>
    </row>
    <row r="2995" spans="23:23" ht="26.4">
      <c r="W2995" s="64" ph="1"/>
    </row>
    <row r="2996" spans="23:23" ht="26.4">
      <c r="W2996" s="64" ph="1"/>
    </row>
    <row r="2997" spans="23:23" ht="26.4">
      <c r="W2997" s="64" ph="1"/>
    </row>
    <row r="2998" spans="23:23" ht="26.4">
      <c r="W2998" s="64" ph="1"/>
    </row>
    <row r="2999" spans="23:23" ht="26.4">
      <c r="W2999" s="64" ph="1"/>
    </row>
    <row r="3000" spans="23:23" ht="26.4">
      <c r="W3000" s="64" ph="1"/>
    </row>
    <row r="3001" spans="23:23" ht="26.4">
      <c r="W3001" s="64" ph="1"/>
    </row>
    <row r="3002" spans="23:23" ht="26.4">
      <c r="W3002" s="64" ph="1"/>
    </row>
    <row r="3003" spans="23:23" ht="26.4">
      <c r="W3003" s="64" ph="1"/>
    </row>
    <row r="3004" spans="23:23" ht="26.4">
      <c r="W3004" s="64" ph="1"/>
    </row>
    <row r="3005" spans="23:23" ht="26.4">
      <c r="W3005" s="64" ph="1"/>
    </row>
    <row r="3006" spans="23:23" ht="26.4">
      <c r="W3006" s="64" ph="1"/>
    </row>
    <row r="3007" spans="23:23" ht="26.4">
      <c r="W3007" s="64" ph="1"/>
    </row>
    <row r="3008" spans="23:23" ht="26.4">
      <c r="W3008" s="64" ph="1"/>
    </row>
    <row r="3009" spans="23:23" ht="26.4">
      <c r="W3009" s="64" ph="1"/>
    </row>
    <row r="3010" spans="23:23" ht="26.4">
      <c r="W3010" s="64" ph="1"/>
    </row>
    <row r="3011" spans="23:23" ht="26.4">
      <c r="W3011" s="64" ph="1"/>
    </row>
    <row r="3012" spans="23:23" ht="26.4">
      <c r="W3012" s="64" ph="1"/>
    </row>
    <row r="3013" spans="23:23" ht="26.4">
      <c r="W3013" s="64" ph="1"/>
    </row>
    <row r="3014" spans="23:23" ht="26.4">
      <c r="W3014" s="64" ph="1"/>
    </row>
    <row r="3015" spans="23:23" ht="26.4">
      <c r="W3015" s="64" ph="1"/>
    </row>
    <row r="3016" spans="23:23" ht="26.4">
      <c r="W3016" s="64" ph="1"/>
    </row>
    <row r="3017" spans="23:23" ht="26.4">
      <c r="W3017" s="64" ph="1"/>
    </row>
    <row r="3018" spans="23:23" ht="26.4">
      <c r="W3018" s="64" ph="1"/>
    </row>
    <row r="3019" spans="23:23" ht="26.4">
      <c r="W3019" s="64" ph="1"/>
    </row>
    <row r="3020" spans="23:23" ht="26.4">
      <c r="W3020" s="64" ph="1"/>
    </row>
    <row r="3021" spans="23:23" ht="26.4">
      <c r="W3021" s="64" ph="1"/>
    </row>
    <row r="3022" spans="23:23" ht="26.4">
      <c r="W3022" s="64" ph="1"/>
    </row>
    <row r="3023" spans="23:23" ht="26.4">
      <c r="W3023" s="64" ph="1"/>
    </row>
    <row r="3024" spans="23:23" ht="26.4">
      <c r="W3024" s="64" ph="1"/>
    </row>
    <row r="3025" spans="23:23" ht="26.4">
      <c r="W3025" s="64" ph="1"/>
    </row>
    <row r="3026" spans="23:23" ht="26.4">
      <c r="W3026" s="64" ph="1"/>
    </row>
    <row r="3027" spans="23:23" ht="26.4">
      <c r="W3027" s="64" ph="1"/>
    </row>
    <row r="3028" spans="23:23" ht="26.4">
      <c r="W3028" s="64" ph="1"/>
    </row>
    <row r="3029" spans="23:23" ht="26.4">
      <c r="W3029" s="64" ph="1"/>
    </row>
    <row r="3030" spans="23:23" ht="26.4">
      <c r="W3030" s="64" ph="1"/>
    </row>
    <row r="3031" spans="23:23" ht="26.4">
      <c r="W3031" s="64" ph="1"/>
    </row>
    <row r="3032" spans="23:23" ht="26.4">
      <c r="W3032" s="64" ph="1"/>
    </row>
    <row r="3033" spans="23:23" ht="26.4">
      <c r="W3033" s="64" ph="1"/>
    </row>
    <row r="3034" spans="23:23" ht="26.4">
      <c r="W3034" s="64" ph="1"/>
    </row>
    <row r="3035" spans="23:23" ht="26.4">
      <c r="W3035" s="64" ph="1"/>
    </row>
    <row r="3036" spans="23:23" ht="26.4">
      <c r="W3036" s="64" ph="1"/>
    </row>
    <row r="3037" spans="23:23" ht="26.4">
      <c r="W3037" s="64" ph="1"/>
    </row>
    <row r="3038" spans="23:23" ht="26.4">
      <c r="W3038" s="64" ph="1"/>
    </row>
    <row r="3039" spans="23:23" ht="26.4">
      <c r="W3039" s="64" ph="1"/>
    </row>
    <row r="3040" spans="23:23" ht="26.4">
      <c r="W3040" s="64" ph="1"/>
    </row>
    <row r="3041" spans="23:23" ht="26.4">
      <c r="W3041" s="64" ph="1"/>
    </row>
    <row r="3042" spans="23:23" ht="26.4">
      <c r="W3042" s="64" ph="1"/>
    </row>
    <row r="3043" spans="23:23" ht="26.4">
      <c r="W3043" s="64" ph="1"/>
    </row>
    <row r="3044" spans="23:23" ht="26.4">
      <c r="W3044" s="64" ph="1"/>
    </row>
    <row r="3045" spans="23:23" ht="26.4">
      <c r="W3045" s="64" ph="1"/>
    </row>
    <row r="3046" spans="23:23" ht="26.4">
      <c r="W3046" s="64" ph="1"/>
    </row>
    <row r="3047" spans="23:23" ht="26.4">
      <c r="W3047" s="64" ph="1"/>
    </row>
    <row r="3048" spans="23:23" ht="26.4">
      <c r="W3048" s="64" ph="1"/>
    </row>
    <row r="3049" spans="23:23" ht="26.4">
      <c r="W3049" s="64" ph="1"/>
    </row>
    <row r="3050" spans="23:23" ht="26.4">
      <c r="W3050" s="64" ph="1"/>
    </row>
    <row r="3051" spans="23:23" ht="26.4">
      <c r="W3051" s="64" ph="1"/>
    </row>
    <row r="3052" spans="23:23" ht="26.4">
      <c r="W3052" s="64" ph="1"/>
    </row>
    <row r="3053" spans="23:23" ht="26.4">
      <c r="W3053" s="64" ph="1"/>
    </row>
    <row r="3054" spans="23:23" ht="26.4">
      <c r="W3054" s="64" ph="1"/>
    </row>
    <row r="3055" spans="23:23" ht="26.4">
      <c r="W3055" s="64" ph="1"/>
    </row>
    <row r="3056" spans="23:23" ht="26.4">
      <c r="W3056" s="64" ph="1"/>
    </row>
    <row r="3057" spans="23:23" ht="26.4">
      <c r="W3057" s="64" ph="1"/>
    </row>
    <row r="3058" spans="23:23" ht="26.4">
      <c r="W3058" s="64" ph="1"/>
    </row>
    <row r="3059" spans="23:23" ht="26.4">
      <c r="W3059" s="64" ph="1"/>
    </row>
    <row r="3060" spans="23:23" ht="26.4">
      <c r="W3060" s="64" ph="1"/>
    </row>
    <row r="3061" spans="23:23" ht="26.4">
      <c r="W3061" s="64" ph="1"/>
    </row>
    <row r="3062" spans="23:23" ht="26.4">
      <c r="W3062" s="64" ph="1"/>
    </row>
    <row r="3063" spans="23:23" ht="26.4">
      <c r="W3063" s="64" ph="1"/>
    </row>
    <row r="3064" spans="23:23" ht="26.4">
      <c r="W3064" s="64" ph="1"/>
    </row>
    <row r="3065" spans="23:23" ht="26.4">
      <c r="W3065" s="64" ph="1"/>
    </row>
    <row r="3066" spans="23:23" ht="26.4">
      <c r="W3066" s="64" ph="1"/>
    </row>
    <row r="3067" spans="23:23" ht="26.4">
      <c r="W3067" s="64" ph="1"/>
    </row>
    <row r="3068" spans="23:23" ht="26.4">
      <c r="W3068" s="64" ph="1"/>
    </row>
    <row r="3069" spans="23:23" ht="26.4">
      <c r="W3069" s="64" ph="1"/>
    </row>
    <row r="3070" spans="23:23" ht="26.4">
      <c r="W3070" s="64" ph="1"/>
    </row>
    <row r="3071" spans="23:23" ht="26.4">
      <c r="W3071" s="64" ph="1"/>
    </row>
    <row r="3072" spans="23:23" ht="26.4">
      <c r="W3072" s="64" ph="1"/>
    </row>
    <row r="3073" spans="23:23" ht="26.4">
      <c r="W3073" s="64" ph="1"/>
    </row>
    <row r="3074" spans="23:23" ht="26.4">
      <c r="W3074" s="64" ph="1"/>
    </row>
    <row r="3075" spans="23:23" ht="26.4">
      <c r="W3075" s="64" ph="1"/>
    </row>
    <row r="3076" spans="23:23" ht="26.4">
      <c r="W3076" s="64" ph="1"/>
    </row>
    <row r="3077" spans="23:23" ht="26.4">
      <c r="W3077" s="64" ph="1"/>
    </row>
    <row r="3078" spans="23:23" ht="26.4">
      <c r="W3078" s="64" ph="1"/>
    </row>
    <row r="3079" spans="23:23" ht="26.4">
      <c r="W3079" s="64" ph="1"/>
    </row>
    <row r="3080" spans="23:23" ht="26.4">
      <c r="W3080" s="64" ph="1"/>
    </row>
    <row r="3081" spans="23:23" ht="26.4">
      <c r="W3081" s="64" ph="1"/>
    </row>
    <row r="3082" spans="23:23" ht="26.4">
      <c r="W3082" s="64" ph="1"/>
    </row>
    <row r="3083" spans="23:23" ht="26.4">
      <c r="W3083" s="64" ph="1"/>
    </row>
    <row r="3084" spans="23:23" ht="26.4">
      <c r="W3084" s="64" ph="1"/>
    </row>
    <row r="3085" spans="23:23" ht="26.4">
      <c r="W3085" s="64" ph="1"/>
    </row>
    <row r="3086" spans="23:23" ht="26.4">
      <c r="W3086" s="64" ph="1"/>
    </row>
    <row r="3087" spans="23:23" ht="26.4">
      <c r="W3087" s="64" ph="1"/>
    </row>
    <row r="3088" spans="23:23" ht="26.4">
      <c r="W3088" s="64" ph="1"/>
    </row>
    <row r="3089" spans="23:23" ht="26.4">
      <c r="W3089" s="64" ph="1"/>
    </row>
    <row r="3090" spans="23:23" ht="26.4">
      <c r="W3090" s="64" ph="1"/>
    </row>
    <row r="3091" spans="23:23" ht="26.4">
      <c r="W3091" s="64" ph="1"/>
    </row>
    <row r="3092" spans="23:23" ht="26.4">
      <c r="W3092" s="64" ph="1"/>
    </row>
    <row r="3093" spans="23:23" ht="26.4">
      <c r="W3093" s="64" ph="1"/>
    </row>
    <row r="3094" spans="23:23" ht="26.4">
      <c r="W3094" s="64" ph="1"/>
    </row>
    <row r="3095" spans="23:23" ht="26.4">
      <c r="W3095" s="64" ph="1"/>
    </row>
    <row r="3096" spans="23:23" ht="26.4">
      <c r="W3096" s="64" ph="1"/>
    </row>
    <row r="3097" spans="23:23" ht="26.4">
      <c r="W3097" s="64" ph="1"/>
    </row>
    <row r="3098" spans="23:23" ht="26.4">
      <c r="W3098" s="64" ph="1"/>
    </row>
    <row r="3099" spans="23:23" ht="26.4">
      <c r="W3099" s="64" ph="1"/>
    </row>
    <row r="3100" spans="23:23" ht="26.4">
      <c r="W3100" s="64" ph="1"/>
    </row>
    <row r="3101" spans="23:23" ht="26.4">
      <c r="W3101" s="64" ph="1"/>
    </row>
    <row r="3102" spans="23:23" ht="26.4">
      <c r="W3102" s="64" ph="1"/>
    </row>
    <row r="3103" spans="23:23" ht="26.4">
      <c r="W3103" s="64" ph="1"/>
    </row>
    <row r="3104" spans="23:23" ht="26.4">
      <c r="W3104" s="64" ph="1"/>
    </row>
    <row r="3105" spans="23:23" ht="26.4">
      <c r="W3105" s="64" ph="1"/>
    </row>
    <row r="3106" spans="23:23" ht="26.4">
      <c r="W3106" s="64" ph="1"/>
    </row>
    <row r="3107" spans="23:23" ht="26.4">
      <c r="W3107" s="64" ph="1"/>
    </row>
    <row r="3108" spans="23:23" ht="26.4">
      <c r="W3108" s="64" ph="1"/>
    </row>
    <row r="3109" spans="23:23" ht="26.4">
      <c r="W3109" s="64" ph="1"/>
    </row>
    <row r="3110" spans="23:23" ht="26.4">
      <c r="W3110" s="64" ph="1"/>
    </row>
    <row r="3111" spans="23:23" ht="26.4">
      <c r="W3111" s="64" ph="1"/>
    </row>
    <row r="3112" spans="23:23" ht="26.4">
      <c r="W3112" s="64" ph="1"/>
    </row>
    <row r="3113" spans="23:23" ht="26.4">
      <c r="W3113" s="64" ph="1"/>
    </row>
    <row r="3114" spans="23:23" ht="26.4">
      <c r="W3114" s="64" ph="1"/>
    </row>
    <row r="3115" spans="23:23" ht="26.4">
      <c r="W3115" s="64" ph="1"/>
    </row>
    <row r="3116" spans="23:23" ht="26.4">
      <c r="W3116" s="64" ph="1"/>
    </row>
    <row r="3117" spans="23:23" ht="26.4">
      <c r="W3117" s="64" ph="1"/>
    </row>
    <row r="3118" spans="23:23" ht="26.4">
      <c r="W3118" s="64" ph="1"/>
    </row>
    <row r="3119" spans="23:23" ht="26.4">
      <c r="W3119" s="64" ph="1"/>
    </row>
    <row r="3120" spans="23:23" ht="26.4">
      <c r="W3120" s="64" ph="1"/>
    </row>
    <row r="3121" spans="23:23" ht="26.4">
      <c r="W3121" s="64" ph="1"/>
    </row>
    <row r="3122" spans="23:23" ht="26.4">
      <c r="W3122" s="64" ph="1"/>
    </row>
    <row r="3123" spans="23:23" ht="26.4">
      <c r="W3123" s="64" ph="1"/>
    </row>
    <row r="3124" spans="23:23" ht="26.4">
      <c r="W3124" s="64" ph="1"/>
    </row>
    <row r="3125" spans="23:23" ht="26.4">
      <c r="W3125" s="64" ph="1"/>
    </row>
    <row r="3126" spans="23:23" ht="26.4">
      <c r="W3126" s="64" ph="1"/>
    </row>
    <row r="3127" spans="23:23" ht="26.4">
      <c r="W3127" s="64" ph="1"/>
    </row>
    <row r="3128" spans="23:23" ht="26.4">
      <c r="W3128" s="64" ph="1"/>
    </row>
    <row r="3129" spans="23:23" ht="26.4">
      <c r="W3129" s="64" ph="1"/>
    </row>
    <row r="3130" spans="23:23" ht="26.4">
      <c r="W3130" s="64" ph="1"/>
    </row>
    <row r="3131" spans="23:23" ht="26.4">
      <c r="W3131" s="64" ph="1"/>
    </row>
    <row r="3132" spans="23:23" ht="26.4">
      <c r="W3132" s="64" ph="1"/>
    </row>
    <row r="3133" spans="23:23" ht="26.4">
      <c r="W3133" s="64" ph="1"/>
    </row>
    <row r="3134" spans="23:23" ht="26.4">
      <c r="W3134" s="64" ph="1"/>
    </row>
    <row r="3135" spans="23:23" ht="26.4">
      <c r="W3135" s="64" ph="1"/>
    </row>
    <row r="3136" spans="23:23" ht="26.4">
      <c r="W3136" s="64" ph="1"/>
    </row>
    <row r="3137" spans="23:23" ht="26.4">
      <c r="W3137" s="64" ph="1"/>
    </row>
    <row r="3138" spans="23:23" ht="26.4">
      <c r="W3138" s="64" ph="1"/>
    </row>
    <row r="3139" spans="23:23" ht="26.4">
      <c r="W3139" s="64" ph="1"/>
    </row>
    <row r="3140" spans="23:23" ht="26.4">
      <c r="W3140" s="64" ph="1"/>
    </row>
    <row r="3141" spans="23:23" ht="26.4">
      <c r="W3141" s="64" ph="1"/>
    </row>
    <row r="3142" spans="23:23" ht="26.4">
      <c r="W3142" s="64" ph="1"/>
    </row>
    <row r="3143" spans="23:23" ht="26.4">
      <c r="W3143" s="64" ph="1"/>
    </row>
    <row r="3144" spans="23:23" ht="26.4">
      <c r="W3144" s="64" ph="1"/>
    </row>
    <row r="3145" spans="23:23" ht="26.4">
      <c r="W3145" s="64" ph="1"/>
    </row>
    <row r="3146" spans="23:23" ht="26.4">
      <c r="W3146" s="64" ph="1"/>
    </row>
    <row r="3147" spans="23:23" ht="26.4">
      <c r="W3147" s="64" ph="1"/>
    </row>
    <row r="3148" spans="23:23" ht="26.4">
      <c r="W3148" s="64" ph="1"/>
    </row>
    <row r="3149" spans="23:23" ht="26.4">
      <c r="W3149" s="64" ph="1"/>
    </row>
    <row r="3150" spans="23:23" ht="26.4">
      <c r="W3150" s="64" ph="1"/>
    </row>
    <row r="3151" spans="23:23" ht="26.4">
      <c r="W3151" s="64" ph="1"/>
    </row>
    <row r="3152" spans="23:23" ht="26.4">
      <c r="W3152" s="64" ph="1"/>
    </row>
    <row r="3153" spans="23:23" ht="26.4">
      <c r="W3153" s="64" ph="1"/>
    </row>
    <row r="3154" spans="23:23" ht="26.4">
      <c r="W3154" s="64" ph="1"/>
    </row>
    <row r="3155" spans="23:23" ht="26.4">
      <c r="W3155" s="64" ph="1"/>
    </row>
    <row r="3156" spans="23:23" ht="26.4">
      <c r="W3156" s="64" ph="1"/>
    </row>
    <row r="3157" spans="23:23" ht="26.4">
      <c r="W3157" s="64" ph="1"/>
    </row>
    <row r="3158" spans="23:23" ht="26.4">
      <c r="W3158" s="64" ph="1"/>
    </row>
    <row r="3159" spans="23:23" ht="26.4">
      <c r="W3159" s="64" ph="1"/>
    </row>
    <row r="3160" spans="23:23" ht="26.4">
      <c r="W3160" s="64" ph="1"/>
    </row>
    <row r="3161" spans="23:23" ht="26.4">
      <c r="W3161" s="64" ph="1"/>
    </row>
    <row r="3162" spans="23:23" ht="26.4">
      <c r="W3162" s="64" ph="1"/>
    </row>
    <row r="3163" spans="23:23" ht="26.4">
      <c r="W3163" s="64" ph="1"/>
    </row>
    <row r="3164" spans="23:23" ht="26.4">
      <c r="W3164" s="64" ph="1"/>
    </row>
    <row r="3165" spans="23:23" ht="26.4">
      <c r="W3165" s="64" ph="1"/>
    </row>
    <row r="3166" spans="23:23" ht="26.4">
      <c r="W3166" s="64" ph="1"/>
    </row>
    <row r="3167" spans="23:23" ht="26.4">
      <c r="W3167" s="64" ph="1"/>
    </row>
    <row r="3168" spans="23:23" ht="26.4">
      <c r="W3168" s="64" ph="1"/>
    </row>
    <row r="3169" spans="23:23" ht="26.4">
      <c r="W3169" s="64" ph="1"/>
    </row>
    <row r="3170" spans="23:23" ht="26.4">
      <c r="W3170" s="64" ph="1"/>
    </row>
    <row r="3171" spans="23:23" ht="26.4">
      <c r="W3171" s="64" ph="1"/>
    </row>
    <row r="3172" spans="23:23" ht="26.4">
      <c r="W3172" s="64" ph="1"/>
    </row>
    <row r="3173" spans="23:23" ht="26.4">
      <c r="W3173" s="64" ph="1"/>
    </row>
    <row r="3174" spans="23:23" ht="26.4">
      <c r="W3174" s="64" ph="1"/>
    </row>
    <row r="3175" spans="23:23" ht="26.4">
      <c r="W3175" s="64" ph="1"/>
    </row>
    <row r="3176" spans="23:23" ht="26.4">
      <c r="W3176" s="64" ph="1"/>
    </row>
    <row r="3177" spans="23:23" ht="26.4">
      <c r="W3177" s="64" ph="1"/>
    </row>
    <row r="3178" spans="23:23" ht="26.4">
      <c r="W3178" s="64" ph="1"/>
    </row>
    <row r="3179" spans="23:23" ht="26.4">
      <c r="W3179" s="64" ph="1"/>
    </row>
    <row r="3180" spans="23:23" ht="26.4">
      <c r="W3180" s="64" ph="1"/>
    </row>
    <row r="3181" spans="23:23" ht="26.4">
      <c r="W3181" s="64" ph="1"/>
    </row>
    <row r="3182" spans="23:23" ht="26.4">
      <c r="W3182" s="64" ph="1"/>
    </row>
    <row r="3183" spans="23:23" ht="26.4">
      <c r="W3183" s="64" ph="1"/>
    </row>
    <row r="3184" spans="23:23" ht="26.4">
      <c r="W3184" s="64" ph="1"/>
    </row>
    <row r="3185" spans="23:23" ht="26.4">
      <c r="W3185" s="64" ph="1"/>
    </row>
    <row r="3186" spans="23:23" ht="26.4">
      <c r="W3186" s="64" ph="1"/>
    </row>
    <row r="3187" spans="23:23" ht="26.4">
      <c r="W3187" s="64" ph="1"/>
    </row>
    <row r="3188" spans="23:23" ht="26.4">
      <c r="W3188" s="64" ph="1"/>
    </row>
    <row r="3189" spans="23:23" ht="26.4">
      <c r="W3189" s="64" ph="1"/>
    </row>
    <row r="3190" spans="23:23" ht="26.4">
      <c r="W3190" s="64" ph="1"/>
    </row>
    <row r="3191" spans="23:23" ht="26.4">
      <c r="W3191" s="64" ph="1"/>
    </row>
    <row r="3192" spans="23:23" ht="26.4">
      <c r="W3192" s="64" ph="1"/>
    </row>
    <row r="3193" spans="23:23" ht="26.4">
      <c r="W3193" s="64" ph="1"/>
    </row>
    <row r="3194" spans="23:23" ht="26.4">
      <c r="W3194" s="64" ph="1"/>
    </row>
    <row r="3195" spans="23:23" ht="26.4">
      <c r="W3195" s="64" ph="1"/>
    </row>
    <row r="3196" spans="23:23" ht="26.4">
      <c r="W3196" s="64" ph="1"/>
    </row>
    <row r="3197" spans="23:23" ht="26.4">
      <c r="W3197" s="64" ph="1"/>
    </row>
    <row r="3198" spans="23:23" ht="26.4">
      <c r="W3198" s="64" ph="1"/>
    </row>
    <row r="3199" spans="23:23" ht="26.4">
      <c r="W3199" s="64" ph="1"/>
    </row>
    <row r="3200" spans="23:23" ht="26.4">
      <c r="W3200" s="64" ph="1"/>
    </row>
    <row r="3201" spans="23:23" ht="26.4">
      <c r="W3201" s="64" ph="1"/>
    </row>
    <row r="3202" spans="23:23" ht="26.4">
      <c r="W3202" s="64" ph="1"/>
    </row>
    <row r="3203" spans="23:23" ht="26.4">
      <c r="W3203" s="64" ph="1"/>
    </row>
    <row r="3204" spans="23:23" ht="26.4">
      <c r="W3204" s="64" ph="1"/>
    </row>
    <row r="3205" spans="23:23" ht="26.4">
      <c r="W3205" s="64" ph="1"/>
    </row>
    <row r="3206" spans="23:23" ht="26.4">
      <c r="W3206" s="64" ph="1"/>
    </row>
    <row r="3207" spans="23:23" ht="26.4">
      <c r="W3207" s="64" ph="1"/>
    </row>
    <row r="3208" spans="23:23" ht="26.4">
      <c r="W3208" s="64" ph="1"/>
    </row>
    <row r="3209" spans="23:23" ht="26.4">
      <c r="W3209" s="64" ph="1"/>
    </row>
    <row r="3210" spans="23:23" ht="26.4">
      <c r="W3210" s="64" ph="1"/>
    </row>
    <row r="3211" spans="23:23" ht="26.4">
      <c r="W3211" s="64" ph="1"/>
    </row>
    <row r="3212" spans="23:23" ht="26.4">
      <c r="W3212" s="64" ph="1"/>
    </row>
    <row r="3213" spans="23:23" ht="26.4">
      <c r="W3213" s="64" ph="1"/>
    </row>
    <row r="3214" spans="23:23" ht="26.4">
      <c r="W3214" s="64" ph="1"/>
    </row>
    <row r="3215" spans="23:23" ht="26.4">
      <c r="W3215" s="64" ph="1"/>
    </row>
    <row r="3216" spans="23:23" ht="26.4">
      <c r="W3216" s="64" ph="1"/>
    </row>
    <row r="3217" spans="23:23" ht="26.4">
      <c r="W3217" s="64" ph="1"/>
    </row>
    <row r="3218" spans="23:23" ht="26.4">
      <c r="W3218" s="64" ph="1"/>
    </row>
    <row r="3219" spans="23:23" ht="26.4">
      <c r="W3219" s="64" ph="1"/>
    </row>
    <row r="3220" spans="23:23" ht="26.4">
      <c r="W3220" s="64" ph="1"/>
    </row>
    <row r="3221" spans="23:23" ht="26.4">
      <c r="W3221" s="64" ph="1"/>
    </row>
    <row r="3222" spans="23:23" ht="26.4">
      <c r="W3222" s="64" ph="1"/>
    </row>
    <row r="3223" spans="23:23" ht="26.4">
      <c r="W3223" s="64" ph="1"/>
    </row>
    <row r="3224" spans="23:23" ht="26.4">
      <c r="W3224" s="64" ph="1"/>
    </row>
    <row r="3225" spans="23:23" ht="26.4">
      <c r="W3225" s="64" ph="1"/>
    </row>
    <row r="3226" spans="23:23" ht="26.4">
      <c r="W3226" s="64" ph="1"/>
    </row>
    <row r="3227" spans="23:23" ht="26.4">
      <c r="W3227" s="64" ph="1"/>
    </row>
    <row r="3228" spans="23:23" ht="26.4">
      <c r="W3228" s="64" ph="1"/>
    </row>
    <row r="3229" spans="23:23" ht="26.4">
      <c r="W3229" s="64" ph="1"/>
    </row>
    <row r="3230" spans="23:23" ht="26.4">
      <c r="W3230" s="64" ph="1"/>
    </row>
    <row r="3231" spans="23:23" ht="26.4">
      <c r="W3231" s="64" ph="1"/>
    </row>
    <row r="3232" spans="23:23" ht="26.4">
      <c r="W3232" s="64" ph="1"/>
    </row>
    <row r="3233" spans="23:23" ht="26.4">
      <c r="W3233" s="64" ph="1"/>
    </row>
    <row r="3234" spans="23:23" ht="26.4">
      <c r="W3234" s="64" ph="1"/>
    </row>
    <row r="3235" spans="23:23" ht="26.4">
      <c r="W3235" s="64" ph="1"/>
    </row>
    <row r="3236" spans="23:23" ht="26.4">
      <c r="W3236" s="64" ph="1"/>
    </row>
    <row r="3237" spans="23:23" ht="26.4">
      <c r="W3237" s="64" ph="1"/>
    </row>
    <row r="3238" spans="23:23" ht="26.4">
      <c r="W3238" s="64" ph="1"/>
    </row>
    <row r="3239" spans="23:23" ht="26.4">
      <c r="W3239" s="64" ph="1"/>
    </row>
    <row r="3240" spans="23:23" ht="26.4">
      <c r="W3240" s="64" ph="1"/>
    </row>
    <row r="3241" spans="23:23" ht="26.4">
      <c r="W3241" s="64" ph="1"/>
    </row>
    <row r="3242" spans="23:23" ht="26.4">
      <c r="W3242" s="64" ph="1"/>
    </row>
    <row r="3243" spans="23:23" ht="26.4">
      <c r="W3243" s="64" ph="1"/>
    </row>
    <row r="3244" spans="23:23" ht="26.4">
      <c r="W3244" s="64" ph="1"/>
    </row>
    <row r="3245" spans="23:23" ht="26.4">
      <c r="W3245" s="64" ph="1"/>
    </row>
    <row r="3246" spans="23:23" ht="26.4">
      <c r="W3246" s="64" ph="1"/>
    </row>
    <row r="3247" spans="23:23" ht="26.4">
      <c r="W3247" s="64" ph="1"/>
    </row>
    <row r="3248" spans="23:23" ht="26.4">
      <c r="W3248" s="64" ph="1"/>
    </row>
    <row r="3249" spans="23:23" ht="26.4">
      <c r="W3249" s="64" ph="1"/>
    </row>
    <row r="3250" spans="23:23" ht="26.4">
      <c r="W3250" s="64" ph="1"/>
    </row>
    <row r="3251" spans="23:23" ht="26.4">
      <c r="W3251" s="64" ph="1"/>
    </row>
    <row r="3252" spans="23:23" ht="26.4">
      <c r="W3252" s="64" ph="1"/>
    </row>
    <row r="3253" spans="23:23" ht="26.4">
      <c r="W3253" s="64" ph="1"/>
    </row>
    <row r="3254" spans="23:23" ht="26.4">
      <c r="W3254" s="64" ph="1"/>
    </row>
    <row r="3255" spans="23:23" ht="26.4">
      <c r="W3255" s="64" ph="1"/>
    </row>
    <row r="3256" spans="23:23" ht="26.4">
      <c r="W3256" s="64" ph="1"/>
    </row>
    <row r="3257" spans="23:23" ht="26.4">
      <c r="W3257" s="64" ph="1"/>
    </row>
    <row r="3258" spans="23:23" ht="26.4">
      <c r="W3258" s="64" ph="1"/>
    </row>
    <row r="3259" spans="23:23" ht="26.4">
      <c r="W3259" s="64" ph="1"/>
    </row>
    <row r="3260" spans="23:23" ht="26.4">
      <c r="W3260" s="64" ph="1"/>
    </row>
    <row r="3261" spans="23:23" ht="26.4">
      <c r="W3261" s="64" ph="1"/>
    </row>
    <row r="3262" spans="23:23" ht="26.4">
      <c r="W3262" s="64" ph="1"/>
    </row>
    <row r="3263" spans="23:23" ht="26.4">
      <c r="W3263" s="64" ph="1"/>
    </row>
    <row r="3264" spans="23:23" ht="26.4">
      <c r="W3264" s="64" ph="1"/>
    </row>
    <row r="3265" spans="23:23" ht="26.4">
      <c r="W3265" s="64" ph="1"/>
    </row>
    <row r="3266" spans="23:23" ht="26.4">
      <c r="W3266" s="64" ph="1"/>
    </row>
    <row r="3267" spans="23:23" ht="26.4">
      <c r="W3267" s="64" ph="1"/>
    </row>
    <row r="3268" spans="23:23" ht="26.4">
      <c r="W3268" s="64" ph="1"/>
    </row>
    <row r="3269" spans="23:23" ht="26.4">
      <c r="W3269" s="64" ph="1"/>
    </row>
    <row r="3270" spans="23:23" ht="26.4">
      <c r="W3270" s="64" ph="1"/>
    </row>
    <row r="3271" spans="23:23" ht="26.4">
      <c r="W3271" s="64" ph="1"/>
    </row>
    <row r="3272" spans="23:23" ht="26.4">
      <c r="W3272" s="64" ph="1"/>
    </row>
    <row r="3273" spans="23:23" ht="26.4">
      <c r="W3273" s="64" ph="1"/>
    </row>
    <row r="3274" spans="23:23" ht="26.4">
      <c r="W3274" s="64" ph="1"/>
    </row>
    <row r="3275" spans="23:23" ht="26.4">
      <c r="W3275" s="64" ph="1"/>
    </row>
    <row r="3276" spans="23:23" ht="26.4">
      <c r="W3276" s="64" ph="1"/>
    </row>
    <row r="3277" spans="23:23" ht="26.4">
      <c r="W3277" s="64" ph="1"/>
    </row>
    <row r="3278" spans="23:23" ht="26.4">
      <c r="W3278" s="64" ph="1"/>
    </row>
    <row r="3279" spans="23:23" ht="26.4">
      <c r="W3279" s="64" ph="1"/>
    </row>
    <row r="3280" spans="23:23" ht="26.4">
      <c r="W3280" s="64" ph="1"/>
    </row>
    <row r="3281" spans="23:23" ht="26.4">
      <c r="W3281" s="64" ph="1"/>
    </row>
    <row r="3282" spans="23:23" ht="26.4">
      <c r="W3282" s="64" ph="1"/>
    </row>
    <row r="3283" spans="23:23" ht="26.4">
      <c r="W3283" s="64" ph="1"/>
    </row>
    <row r="3284" spans="23:23" ht="26.4">
      <c r="W3284" s="64" ph="1"/>
    </row>
    <row r="3285" spans="23:23" ht="26.4">
      <c r="W3285" s="64" ph="1"/>
    </row>
    <row r="3286" spans="23:23" ht="26.4">
      <c r="W3286" s="64" ph="1"/>
    </row>
    <row r="3287" spans="23:23" ht="26.4">
      <c r="W3287" s="64" ph="1"/>
    </row>
    <row r="3288" spans="23:23" ht="26.4">
      <c r="W3288" s="64" ph="1"/>
    </row>
    <row r="3289" spans="23:23" ht="26.4">
      <c r="W3289" s="64" ph="1"/>
    </row>
    <row r="3290" spans="23:23" ht="26.4">
      <c r="W3290" s="64" ph="1"/>
    </row>
    <row r="3291" spans="23:23" ht="26.4">
      <c r="W3291" s="64" ph="1"/>
    </row>
    <row r="3292" spans="23:23" ht="26.4">
      <c r="W3292" s="64" ph="1"/>
    </row>
    <row r="3293" spans="23:23" ht="26.4">
      <c r="W3293" s="64" ph="1"/>
    </row>
    <row r="3294" spans="23:23" ht="26.4">
      <c r="W3294" s="64" ph="1"/>
    </row>
    <row r="3295" spans="23:23" ht="26.4">
      <c r="W3295" s="64" ph="1"/>
    </row>
    <row r="3296" spans="23:23" ht="26.4">
      <c r="W3296" s="64" ph="1"/>
    </row>
    <row r="3297" spans="23:23" ht="26.4">
      <c r="W3297" s="64" ph="1"/>
    </row>
    <row r="3298" spans="23:23" ht="26.4">
      <c r="W3298" s="64" ph="1"/>
    </row>
    <row r="3299" spans="23:23" ht="26.4">
      <c r="W3299" s="64" ph="1"/>
    </row>
    <row r="3300" spans="23:23" ht="26.4">
      <c r="W3300" s="64" ph="1"/>
    </row>
    <row r="3301" spans="23:23" ht="26.4">
      <c r="W3301" s="64" ph="1"/>
    </row>
    <row r="3302" spans="23:23" ht="26.4">
      <c r="W3302" s="64" ph="1"/>
    </row>
    <row r="3303" spans="23:23" ht="26.4">
      <c r="W3303" s="64" ph="1"/>
    </row>
    <row r="3304" spans="23:23" ht="26.4">
      <c r="W3304" s="64" ph="1"/>
    </row>
    <row r="3305" spans="23:23" ht="26.4">
      <c r="W3305" s="64" ph="1"/>
    </row>
    <row r="3306" spans="23:23" ht="26.4">
      <c r="W3306" s="64" ph="1"/>
    </row>
    <row r="3307" spans="23:23" ht="26.4">
      <c r="W3307" s="64" ph="1"/>
    </row>
    <row r="3308" spans="23:23" ht="26.4">
      <c r="W3308" s="64" ph="1"/>
    </row>
    <row r="3309" spans="23:23" ht="26.4">
      <c r="W3309" s="64" ph="1"/>
    </row>
    <row r="3310" spans="23:23" ht="26.4">
      <c r="W3310" s="64" ph="1"/>
    </row>
    <row r="3311" spans="23:23" ht="26.4">
      <c r="W3311" s="64" ph="1"/>
    </row>
    <row r="3312" spans="23:23" ht="26.4">
      <c r="W3312" s="64" ph="1"/>
    </row>
    <row r="3313" spans="23:23" ht="26.4">
      <c r="W3313" s="64" ph="1"/>
    </row>
    <row r="3314" spans="23:23" ht="26.4">
      <c r="W3314" s="64" ph="1"/>
    </row>
    <row r="3315" spans="23:23" ht="26.4">
      <c r="W3315" s="64" ph="1"/>
    </row>
    <row r="3316" spans="23:23" ht="26.4">
      <c r="W3316" s="64" ph="1"/>
    </row>
    <row r="3317" spans="23:23" ht="26.4">
      <c r="W3317" s="64" ph="1"/>
    </row>
    <row r="3318" spans="23:23" ht="26.4">
      <c r="W3318" s="64" ph="1"/>
    </row>
    <row r="3319" spans="23:23" ht="26.4">
      <c r="W3319" s="64" ph="1"/>
    </row>
    <row r="3320" spans="23:23" ht="26.4">
      <c r="W3320" s="64" ph="1"/>
    </row>
    <row r="3321" spans="23:23" ht="26.4">
      <c r="W3321" s="64" ph="1"/>
    </row>
    <row r="3322" spans="23:23" ht="26.4">
      <c r="W3322" s="64" ph="1"/>
    </row>
    <row r="3323" spans="23:23" ht="26.4">
      <c r="W3323" s="64" ph="1"/>
    </row>
    <row r="3324" spans="23:23" ht="26.4">
      <c r="W3324" s="64" ph="1"/>
    </row>
    <row r="3325" spans="23:23" ht="26.4">
      <c r="W3325" s="64" ph="1"/>
    </row>
    <row r="3326" spans="23:23" ht="26.4">
      <c r="W3326" s="64" ph="1"/>
    </row>
    <row r="3327" spans="23:23" ht="26.4">
      <c r="W3327" s="64" ph="1"/>
    </row>
    <row r="3328" spans="23:23" ht="26.4">
      <c r="W3328" s="64" ph="1"/>
    </row>
    <row r="3329" spans="23:23" ht="26.4">
      <c r="W3329" s="64" ph="1"/>
    </row>
    <row r="3330" spans="23:23" ht="26.4">
      <c r="W3330" s="64" ph="1"/>
    </row>
    <row r="3331" spans="23:23" ht="26.4">
      <c r="W3331" s="64" ph="1"/>
    </row>
    <row r="3332" spans="23:23" ht="26.4">
      <c r="W3332" s="64" ph="1"/>
    </row>
    <row r="3333" spans="23:23" ht="26.4">
      <c r="W3333" s="64" ph="1"/>
    </row>
    <row r="3334" spans="23:23" ht="26.4">
      <c r="W3334" s="64" ph="1"/>
    </row>
    <row r="3335" spans="23:23" ht="26.4">
      <c r="W3335" s="64" ph="1"/>
    </row>
    <row r="3336" spans="23:23" ht="26.4">
      <c r="W3336" s="64" ph="1"/>
    </row>
    <row r="3337" spans="23:23" ht="26.4">
      <c r="W3337" s="64" ph="1"/>
    </row>
    <row r="3338" spans="23:23" ht="26.4">
      <c r="W3338" s="64" ph="1"/>
    </row>
    <row r="3339" spans="23:23" ht="26.4">
      <c r="W3339" s="64" ph="1"/>
    </row>
    <row r="3340" spans="23:23" ht="26.4">
      <c r="W3340" s="64" ph="1"/>
    </row>
    <row r="3341" spans="23:23" ht="26.4">
      <c r="W3341" s="64" ph="1"/>
    </row>
    <row r="3342" spans="23:23" ht="26.4">
      <c r="W3342" s="64" ph="1"/>
    </row>
    <row r="3343" spans="23:23" ht="26.4">
      <c r="W3343" s="64" ph="1"/>
    </row>
    <row r="3344" spans="23:23" ht="26.4">
      <c r="W3344" s="64" ph="1"/>
    </row>
    <row r="3345" spans="23:23" ht="26.4">
      <c r="W3345" s="64" ph="1"/>
    </row>
    <row r="3346" spans="23:23" ht="26.4">
      <c r="W3346" s="64" ph="1"/>
    </row>
    <row r="3347" spans="23:23" ht="26.4">
      <c r="W3347" s="64" ph="1"/>
    </row>
    <row r="3348" spans="23:23" ht="26.4">
      <c r="W3348" s="64" ph="1"/>
    </row>
    <row r="3349" spans="23:23" ht="26.4">
      <c r="W3349" s="64" ph="1"/>
    </row>
    <row r="3350" spans="23:23" ht="26.4">
      <c r="W3350" s="64" ph="1"/>
    </row>
    <row r="3351" spans="23:23" ht="26.4">
      <c r="W3351" s="64" ph="1"/>
    </row>
    <row r="3352" spans="23:23" ht="26.4">
      <c r="W3352" s="64" ph="1"/>
    </row>
    <row r="3353" spans="23:23" ht="26.4">
      <c r="W3353" s="64" ph="1"/>
    </row>
    <row r="3354" spans="23:23" ht="26.4">
      <c r="W3354" s="64" ph="1"/>
    </row>
    <row r="3355" spans="23:23" ht="26.4">
      <c r="W3355" s="64" ph="1"/>
    </row>
    <row r="3356" spans="23:23" ht="26.4">
      <c r="W3356" s="64" ph="1"/>
    </row>
    <row r="3357" spans="23:23" ht="26.4">
      <c r="W3357" s="64" ph="1"/>
    </row>
    <row r="3358" spans="23:23" ht="26.4">
      <c r="W3358" s="64" ph="1"/>
    </row>
    <row r="3359" spans="23:23" ht="26.4">
      <c r="W3359" s="64" ph="1"/>
    </row>
    <row r="3360" spans="23:23" ht="26.4">
      <c r="W3360" s="64" ph="1"/>
    </row>
    <row r="3361" spans="23:23" ht="26.4">
      <c r="W3361" s="64" ph="1"/>
    </row>
    <row r="3362" spans="23:23" ht="26.4">
      <c r="W3362" s="64" ph="1"/>
    </row>
    <row r="3363" spans="23:23" ht="26.4">
      <c r="W3363" s="64" ph="1"/>
    </row>
    <row r="3364" spans="23:23" ht="26.4">
      <c r="W3364" s="64" ph="1"/>
    </row>
    <row r="3365" spans="23:23" ht="26.4">
      <c r="W3365" s="64" ph="1"/>
    </row>
    <row r="3366" spans="23:23" ht="26.4">
      <c r="W3366" s="64" ph="1"/>
    </row>
    <row r="3367" spans="23:23" ht="26.4">
      <c r="W3367" s="64" ph="1"/>
    </row>
    <row r="3368" spans="23:23" ht="26.4">
      <c r="W3368" s="64" ph="1"/>
    </row>
    <row r="3369" spans="23:23" ht="26.4">
      <c r="W3369" s="64" ph="1"/>
    </row>
    <row r="3370" spans="23:23" ht="26.4">
      <c r="W3370" s="64" ph="1"/>
    </row>
    <row r="3371" spans="23:23" ht="26.4">
      <c r="W3371" s="64" ph="1"/>
    </row>
    <row r="3372" spans="23:23" ht="26.4">
      <c r="W3372" s="64" ph="1"/>
    </row>
    <row r="3373" spans="23:23" ht="26.4">
      <c r="W3373" s="64" ph="1"/>
    </row>
    <row r="3374" spans="23:23" ht="26.4">
      <c r="W3374" s="64" ph="1"/>
    </row>
    <row r="3375" spans="23:23" ht="26.4">
      <c r="W3375" s="64" ph="1"/>
    </row>
    <row r="3376" spans="23:23" ht="26.4">
      <c r="W3376" s="64" ph="1"/>
    </row>
    <row r="3377" spans="23:23" ht="26.4">
      <c r="W3377" s="64" ph="1"/>
    </row>
    <row r="3378" spans="23:23" ht="26.4">
      <c r="W3378" s="64" ph="1"/>
    </row>
    <row r="3379" spans="23:23" ht="26.4">
      <c r="W3379" s="64" ph="1"/>
    </row>
    <row r="3380" spans="23:23" ht="26.4">
      <c r="W3380" s="64" ph="1"/>
    </row>
    <row r="3381" spans="23:23" ht="26.4">
      <c r="W3381" s="64" ph="1"/>
    </row>
    <row r="3382" spans="23:23" ht="26.4">
      <c r="W3382" s="64" ph="1"/>
    </row>
    <row r="3383" spans="23:23" ht="26.4">
      <c r="W3383" s="64" ph="1"/>
    </row>
    <row r="3384" spans="23:23" ht="26.4">
      <c r="W3384" s="64" ph="1"/>
    </row>
    <row r="3385" spans="23:23" ht="26.4">
      <c r="W3385" s="64" ph="1"/>
    </row>
    <row r="3386" spans="23:23" ht="26.4">
      <c r="W3386" s="64" ph="1"/>
    </row>
    <row r="3387" spans="23:23" ht="26.4">
      <c r="W3387" s="64" ph="1"/>
    </row>
    <row r="3388" spans="23:23" ht="26.4">
      <c r="W3388" s="64" ph="1"/>
    </row>
    <row r="3389" spans="23:23" ht="26.4">
      <c r="W3389" s="64" ph="1"/>
    </row>
    <row r="3390" spans="23:23" ht="26.4">
      <c r="W3390" s="64" ph="1"/>
    </row>
    <row r="3391" spans="23:23" ht="26.4">
      <c r="W3391" s="64" ph="1"/>
    </row>
    <row r="3392" spans="23:23" ht="26.4">
      <c r="W3392" s="64" ph="1"/>
    </row>
    <row r="3393" spans="23:23" ht="26.4">
      <c r="W3393" s="64" ph="1"/>
    </row>
    <row r="3394" spans="23:23" ht="26.4">
      <c r="W3394" s="64" ph="1"/>
    </row>
    <row r="3395" spans="23:23" ht="26.4">
      <c r="W3395" s="64" ph="1"/>
    </row>
    <row r="3396" spans="23:23" ht="26.4">
      <c r="W3396" s="64" ph="1"/>
    </row>
    <row r="3397" spans="23:23" ht="26.4">
      <c r="W3397" s="64" ph="1"/>
    </row>
    <row r="3398" spans="23:23" ht="26.4">
      <c r="W3398" s="64" ph="1"/>
    </row>
    <row r="3399" spans="23:23" ht="26.4">
      <c r="W3399" s="64" ph="1"/>
    </row>
    <row r="3400" spans="23:23" ht="26.4">
      <c r="W3400" s="64" ph="1"/>
    </row>
    <row r="3401" spans="23:23" ht="26.4">
      <c r="W3401" s="64" ph="1"/>
    </row>
    <row r="3402" spans="23:23" ht="26.4">
      <c r="W3402" s="64" ph="1"/>
    </row>
    <row r="3403" spans="23:23" ht="26.4">
      <c r="W3403" s="64" ph="1"/>
    </row>
    <row r="3404" spans="23:23" ht="26.4">
      <c r="W3404" s="64" ph="1"/>
    </row>
    <row r="3405" spans="23:23" ht="26.4">
      <c r="W3405" s="64" ph="1"/>
    </row>
    <row r="3406" spans="23:23" ht="26.4">
      <c r="W3406" s="64" ph="1"/>
    </row>
    <row r="3407" spans="23:23" ht="26.4">
      <c r="W3407" s="64" ph="1"/>
    </row>
    <row r="3408" spans="23:23" ht="26.4">
      <c r="W3408" s="64" ph="1"/>
    </row>
    <row r="3409" spans="23:23" ht="26.4">
      <c r="W3409" s="64" ph="1"/>
    </row>
    <row r="3410" spans="23:23" ht="26.4">
      <c r="W3410" s="64" ph="1"/>
    </row>
    <row r="3411" spans="23:23" ht="26.4">
      <c r="W3411" s="64" ph="1"/>
    </row>
    <row r="3412" spans="23:23" ht="26.4">
      <c r="W3412" s="64" ph="1"/>
    </row>
    <row r="3413" spans="23:23" ht="26.4">
      <c r="W3413" s="64" ph="1"/>
    </row>
    <row r="3414" spans="23:23" ht="26.4">
      <c r="W3414" s="64" ph="1"/>
    </row>
    <row r="3415" spans="23:23" ht="26.4">
      <c r="W3415" s="64" ph="1"/>
    </row>
    <row r="3416" spans="23:23" ht="26.4">
      <c r="W3416" s="64" ph="1"/>
    </row>
    <row r="3417" spans="23:23" ht="26.4">
      <c r="W3417" s="64" ph="1"/>
    </row>
    <row r="3418" spans="23:23" ht="26.4">
      <c r="W3418" s="64" ph="1"/>
    </row>
    <row r="3419" spans="23:23" ht="26.4">
      <c r="W3419" s="64" ph="1"/>
    </row>
    <row r="3420" spans="23:23" ht="26.4">
      <c r="W3420" s="64" ph="1"/>
    </row>
    <row r="3421" spans="23:23" ht="26.4">
      <c r="W3421" s="64" ph="1"/>
    </row>
    <row r="3422" spans="23:23" ht="26.4">
      <c r="W3422" s="64" ph="1"/>
    </row>
    <row r="3423" spans="23:23" ht="26.4">
      <c r="W3423" s="64" ph="1"/>
    </row>
    <row r="3424" spans="23:23" ht="26.4">
      <c r="W3424" s="64" ph="1"/>
    </row>
    <row r="3425" spans="23:23" ht="26.4">
      <c r="W3425" s="64" ph="1"/>
    </row>
    <row r="3426" spans="23:23" ht="26.4">
      <c r="W3426" s="64" ph="1"/>
    </row>
    <row r="3427" spans="23:23" ht="26.4">
      <c r="W3427" s="64" ph="1"/>
    </row>
    <row r="3428" spans="23:23" ht="26.4">
      <c r="W3428" s="64" ph="1"/>
    </row>
    <row r="3429" spans="23:23" ht="26.4">
      <c r="W3429" s="64" ph="1"/>
    </row>
    <row r="3430" spans="23:23" ht="26.4">
      <c r="W3430" s="64" ph="1"/>
    </row>
    <row r="3431" spans="23:23" ht="26.4">
      <c r="W3431" s="64" ph="1"/>
    </row>
    <row r="3432" spans="23:23" ht="26.4">
      <c r="W3432" s="64" ph="1"/>
    </row>
    <row r="3433" spans="23:23" ht="26.4">
      <c r="W3433" s="64" ph="1"/>
    </row>
    <row r="3434" spans="23:23" ht="26.4">
      <c r="W3434" s="64" ph="1"/>
    </row>
    <row r="3435" spans="23:23" ht="26.4">
      <c r="W3435" s="64" ph="1"/>
    </row>
    <row r="3436" spans="23:23" ht="26.4">
      <c r="W3436" s="64" ph="1"/>
    </row>
    <row r="3437" spans="23:23" ht="26.4">
      <c r="W3437" s="64" ph="1"/>
    </row>
    <row r="3438" spans="23:23" ht="26.4">
      <c r="W3438" s="64" ph="1"/>
    </row>
    <row r="3439" spans="23:23" ht="26.4">
      <c r="W3439" s="64" ph="1"/>
    </row>
    <row r="3440" spans="23:23" ht="26.4">
      <c r="W3440" s="64" ph="1"/>
    </row>
    <row r="3441" spans="23:23" ht="26.4">
      <c r="W3441" s="64" ph="1"/>
    </row>
    <row r="3442" spans="23:23" ht="26.4">
      <c r="W3442" s="64" ph="1"/>
    </row>
    <row r="3443" spans="23:23" ht="26.4">
      <c r="W3443" s="64" ph="1"/>
    </row>
    <row r="3444" spans="23:23" ht="26.4">
      <c r="W3444" s="64" ph="1"/>
    </row>
    <row r="3445" spans="23:23" ht="26.4">
      <c r="W3445" s="64" ph="1"/>
    </row>
    <row r="3446" spans="23:23" ht="26.4">
      <c r="W3446" s="64" ph="1"/>
    </row>
    <row r="3447" spans="23:23" ht="26.4">
      <c r="W3447" s="64" ph="1"/>
    </row>
    <row r="3448" spans="23:23" ht="26.4">
      <c r="W3448" s="64" ph="1"/>
    </row>
    <row r="3449" spans="23:23" ht="26.4">
      <c r="W3449" s="64" ph="1"/>
    </row>
    <row r="3450" spans="23:23" ht="26.4">
      <c r="W3450" s="64" ph="1"/>
    </row>
    <row r="3451" spans="23:23" ht="26.4">
      <c r="W3451" s="64" ph="1"/>
    </row>
    <row r="3452" spans="23:23" ht="26.4">
      <c r="W3452" s="64" ph="1"/>
    </row>
    <row r="3453" spans="23:23" ht="26.4">
      <c r="W3453" s="64" ph="1"/>
    </row>
    <row r="3454" spans="23:23" ht="26.4">
      <c r="W3454" s="64" ph="1"/>
    </row>
    <row r="3455" spans="23:23" ht="26.4">
      <c r="W3455" s="64" ph="1"/>
    </row>
    <row r="3456" spans="23:23" ht="26.4">
      <c r="W3456" s="64" ph="1"/>
    </row>
    <row r="3457" spans="23:23" ht="26.4">
      <c r="W3457" s="64" ph="1"/>
    </row>
    <row r="3458" spans="23:23" ht="26.4">
      <c r="W3458" s="64" ph="1"/>
    </row>
    <row r="3459" spans="23:23" ht="26.4">
      <c r="W3459" s="64" ph="1"/>
    </row>
    <row r="3460" spans="23:23" ht="26.4">
      <c r="W3460" s="64" ph="1"/>
    </row>
    <row r="3461" spans="23:23" ht="26.4">
      <c r="W3461" s="64" ph="1"/>
    </row>
    <row r="3462" spans="23:23" ht="26.4">
      <c r="W3462" s="64" ph="1"/>
    </row>
    <row r="3463" spans="23:23" ht="26.4">
      <c r="W3463" s="64" ph="1"/>
    </row>
    <row r="3464" spans="23:23" ht="26.4">
      <c r="W3464" s="64" ph="1"/>
    </row>
    <row r="3465" spans="23:23" ht="26.4">
      <c r="W3465" s="64" ph="1"/>
    </row>
    <row r="3466" spans="23:23" ht="26.4">
      <c r="W3466" s="64" ph="1"/>
    </row>
    <row r="3467" spans="23:23" ht="26.4">
      <c r="W3467" s="64" ph="1"/>
    </row>
    <row r="3468" spans="23:23" ht="26.4">
      <c r="W3468" s="64" ph="1"/>
    </row>
    <row r="3469" spans="23:23" ht="26.4">
      <c r="W3469" s="64" ph="1"/>
    </row>
    <row r="3470" spans="23:23" ht="26.4">
      <c r="W3470" s="64" ph="1"/>
    </row>
    <row r="3471" spans="23:23" ht="26.4">
      <c r="W3471" s="64" ph="1"/>
    </row>
    <row r="3472" spans="23:23" ht="26.4">
      <c r="W3472" s="64" ph="1"/>
    </row>
    <row r="3473" spans="23:23" ht="26.4">
      <c r="W3473" s="64" ph="1"/>
    </row>
    <row r="3474" spans="23:23" ht="26.4">
      <c r="W3474" s="64" ph="1"/>
    </row>
    <row r="3475" spans="23:23" ht="26.4">
      <c r="W3475" s="64" ph="1"/>
    </row>
    <row r="3476" spans="23:23" ht="26.4">
      <c r="W3476" s="64" ph="1"/>
    </row>
    <row r="3477" spans="23:23" ht="26.4">
      <c r="W3477" s="64" ph="1"/>
    </row>
    <row r="3478" spans="23:23" ht="26.4">
      <c r="W3478" s="64" ph="1"/>
    </row>
    <row r="3479" spans="23:23" ht="26.4">
      <c r="W3479" s="64" ph="1"/>
    </row>
    <row r="3480" spans="23:23" ht="26.4">
      <c r="W3480" s="64" ph="1"/>
    </row>
    <row r="3481" spans="23:23" ht="26.4">
      <c r="W3481" s="64" ph="1"/>
    </row>
    <row r="3482" spans="23:23" ht="26.4">
      <c r="W3482" s="64" ph="1"/>
    </row>
    <row r="3483" spans="23:23" ht="26.4">
      <c r="W3483" s="64" ph="1"/>
    </row>
    <row r="3484" spans="23:23" ht="26.4">
      <c r="W3484" s="64" ph="1"/>
    </row>
    <row r="3485" spans="23:23" ht="26.4">
      <c r="W3485" s="64" ph="1"/>
    </row>
    <row r="3486" spans="23:23" ht="26.4">
      <c r="W3486" s="64" ph="1"/>
    </row>
    <row r="3487" spans="23:23" ht="26.4">
      <c r="W3487" s="64" ph="1"/>
    </row>
    <row r="3488" spans="23:23" ht="26.4">
      <c r="W3488" s="64" ph="1"/>
    </row>
    <row r="3489" spans="23:23" ht="26.4">
      <c r="W3489" s="64" ph="1"/>
    </row>
    <row r="3490" spans="23:23" ht="26.4">
      <c r="W3490" s="64" ph="1"/>
    </row>
    <row r="3491" spans="23:23" ht="26.4">
      <c r="W3491" s="64" ph="1"/>
    </row>
    <row r="3492" spans="23:23" ht="26.4">
      <c r="W3492" s="64" ph="1"/>
    </row>
    <row r="3493" spans="23:23" ht="26.4">
      <c r="W3493" s="64" ph="1"/>
    </row>
    <row r="3494" spans="23:23" ht="26.4">
      <c r="W3494" s="64" ph="1"/>
    </row>
    <row r="3495" spans="23:23" ht="26.4">
      <c r="W3495" s="64" ph="1"/>
    </row>
    <row r="3496" spans="23:23" ht="26.4">
      <c r="W3496" s="64" ph="1"/>
    </row>
    <row r="3497" spans="23:23" ht="26.4">
      <c r="W3497" s="64" ph="1"/>
    </row>
    <row r="3498" spans="23:23" ht="26.4">
      <c r="W3498" s="64" ph="1"/>
    </row>
    <row r="3499" spans="23:23" ht="26.4">
      <c r="W3499" s="64" ph="1"/>
    </row>
    <row r="3500" spans="23:23" ht="26.4">
      <c r="W3500" s="64" ph="1"/>
    </row>
    <row r="3501" spans="23:23" ht="26.4">
      <c r="W3501" s="64" ph="1"/>
    </row>
    <row r="3502" spans="23:23" ht="26.4">
      <c r="W3502" s="64" ph="1"/>
    </row>
    <row r="3503" spans="23:23" ht="26.4">
      <c r="W3503" s="64" ph="1"/>
    </row>
    <row r="3504" spans="23:23" ht="26.4">
      <c r="W3504" s="64" ph="1"/>
    </row>
    <row r="3505" spans="23:23" ht="26.4">
      <c r="W3505" s="64" ph="1"/>
    </row>
    <row r="3506" spans="23:23" ht="26.4">
      <c r="W3506" s="64" ph="1"/>
    </row>
    <row r="3507" spans="23:23" ht="26.4">
      <c r="W3507" s="64" ph="1"/>
    </row>
    <row r="3508" spans="23:23" ht="26.4">
      <c r="W3508" s="64" ph="1"/>
    </row>
    <row r="3509" spans="23:23" ht="26.4">
      <c r="W3509" s="64" ph="1"/>
    </row>
    <row r="3510" spans="23:23" ht="26.4">
      <c r="W3510" s="64" ph="1"/>
    </row>
    <row r="3511" spans="23:23" ht="26.4">
      <c r="W3511" s="64" ph="1"/>
    </row>
    <row r="3512" spans="23:23" ht="26.4">
      <c r="W3512" s="64" ph="1"/>
    </row>
    <row r="3513" spans="23:23" ht="26.4">
      <c r="W3513" s="64" ph="1"/>
    </row>
    <row r="3514" spans="23:23" ht="26.4">
      <c r="W3514" s="64" ph="1"/>
    </row>
    <row r="3515" spans="23:23" ht="26.4">
      <c r="W3515" s="64" ph="1"/>
    </row>
    <row r="3516" spans="23:23" ht="26.4">
      <c r="W3516" s="64" ph="1"/>
    </row>
    <row r="3517" spans="23:23" ht="26.4">
      <c r="W3517" s="64" ph="1"/>
    </row>
    <row r="3518" spans="23:23" ht="26.4">
      <c r="W3518" s="64" ph="1"/>
    </row>
    <row r="3519" spans="23:23" ht="26.4">
      <c r="W3519" s="64" ph="1"/>
    </row>
    <row r="3520" spans="23:23" ht="26.4">
      <c r="W3520" s="64" ph="1"/>
    </row>
    <row r="3521" spans="23:23" ht="26.4">
      <c r="W3521" s="64" ph="1"/>
    </row>
    <row r="3522" spans="23:23" ht="26.4">
      <c r="W3522" s="64" ph="1"/>
    </row>
    <row r="3523" spans="23:23" ht="26.4">
      <c r="W3523" s="64" ph="1"/>
    </row>
    <row r="3524" spans="23:23" ht="26.4">
      <c r="W3524" s="64" ph="1"/>
    </row>
    <row r="3525" spans="23:23" ht="26.4">
      <c r="W3525" s="64" ph="1"/>
    </row>
    <row r="3526" spans="23:23" ht="26.4">
      <c r="W3526" s="64" ph="1"/>
    </row>
    <row r="3527" spans="23:23" ht="26.4">
      <c r="W3527" s="64" ph="1"/>
    </row>
    <row r="3528" spans="23:23" ht="26.4">
      <c r="W3528" s="64" ph="1"/>
    </row>
    <row r="3529" spans="23:23" ht="26.4">
      <c r="W3529" s="64" ph="1"/>
    </row>
    <row r="3530" spans="23:23" ht="26.4">
      <c r="W3530" s="64" ph="1"/>
    </row>
    <row r="3531" spans="23:23" ht="26.4">
      <c r="W3531" s="64" ph="1"/>
    </row>
    <row r="3532" spans="23:23" ht="26.4">
      <c r="W3532" s="64" ph="1"/>
    </row>
    <row r="3533" spans="23:23" ht="26.4">
      <c r="W3533" s="64" ph="1"/>
    </row>
    <row r="3534" spans="23:23" ht="26.4">
      <c r="W3534" s="64" ph="1"/>
    </row>
    <row r="3535" spans="23:23" ht="26.4">
      <c r="W3535" s="64" ph="1"/>
    </row>
    <row r="3536" spans="23:23" ht="26.4">
      <c r="W3536" s="64" ph="1"/>
    </row>
    <row r="3537" spans="23:23" ht="26.4">
      <c r="W3537" s="64" ph="1"/>
    </row>
    <row r="3538" spans="23:23" ht="26.4">
      <c r="W3538" s="64" ph="1"/>
    </row>
    <row r="3539" spans="23:23" ht="26.4">
      <c r="W3539" s="64" ph="1"/>
    </row>
    <row r="3540" spans="23:23" ht="26.4">
      <c r="W3540" s="64" ph="1"/>
    </row>
    <row r="3541" spans="23:23" ht="26.4">
      <c r="W3541" s="64" ph="1"/>
    </row>
    <row r="3542" spans="23:23" ht="26.4">
      <c r="W3542" s="64" ph="1"/>
    </row>
    <row r="3543" spans="23:23" ht="26.4">
      <c r="W3543" s="64" ph="1"/>
    </row>
    <row r="3544" spans="23:23" ht="26.4">
      <c r="W3544" s="64" ph="1"/>
    </row>
    <row r="3545" spans="23:23" ht="26.4">
      <c r="W3545" s="64" ph="1"/>
    </row>
    <row r="3546" spans="23:23" ht="26.4">
      <c r="W3546" s="64" ph="1"/>
    </row>
    <row r="3547" spans="23:23" ht="26.4">
      <c r="W3547" s="64" ph="1"/>
    </row>
    <row r="3548" spans="23:23" ht="26.4">
      <c r="W3548" s="64" ph="1"/>
    </row>
    <row r="3549" spans="23:23" ht="26.4">
      <c r="W3549" s="64" ph="1"/>
    </row>
    <row r="3550" spans="23:23" ht="26.4">
      <c r="W3550" s="64" ph="1"/>
    </row>
    <row r="3551" spans="23:23" ht="26.4">
      <c r="W3551" s="64" ph="1"/>
    </row>
    <row r="3552" spans="23:23" ht="26.4">
      <c r="W3552" s="64" ph="1"/>
    </row>
    <row r="3553" spans="23:23" ht="26.4">
      <c r="W3553" s="64" ph="1"/>
    </row>
    <row r="3554" spans="23:23" ht="26.4">
      <c r="W3554" s="64" ph="1"/>
    </row>
    <row r="3555" spans="23:23" ht="26.4">
      <c r="W3555" s="64" ph="1"/>
    </row>
    <row r="3556" spans="23:23" ht="26.4">
      <c r="W3556" s="64" ph="1"/>
    </row>
    <row r="3557" spans="23:23" ht="26.4">
      <c r="W3557" s="64" ph="1"/>
    </row>
    <row r="3558" spans="23:23" ht="26.4">
      <c r="W3558" s="64" ph="1"/>
    </row>
    <row r="3559" spans="23:23" ht="26.4">
      <c r="W3559" s="64" ph="1"/>
    </row>
    <row r="3560" spans="23:23" ht="26.4">
      <c r="W3560" s="64" ph="1"/>
    </row>
    <row r="3561" spans="23:23" ht="26.4">
      <c r="W3561" s="64" ph="1"/>
    </row>
    <row r="3562" spans="23:23" ht="26.4">
      <c r="W3562" s="64" ph="1"/>
    </row>
    <row r="3563" spans="23:23" ht="26.4">
      <c r="W3563" s="64" ph="1"/>
    </row>
    <row r="3564" spans="23:23" ht="26.4">
      <c r="W3564" s="64" ph="1"/>
    </row>
    <row r="3565" spans="23:23" ht="26.4">
      <c r="W3565" s="64" ph="1"/>
    </row>
    <row r="3566" spans="23:23" ht="26.4">
      <c r="W3566" s="64" ph="1"/>
    </row>
    <row r="3567" spans="23:23" ht="26.4">
      <c r="W3567" s="64" ph="1"/>
    </row>
    <row r="3568" spans="23:23" ht="26.4">
      <c r="W3568" s="64" ph="1"/>
    </row>
    <row r="3569" spans="23:23" ht="26.4">
      <c r="W3569" s="64" ph="1"/>
    </row>
    <row r="3570" spans="23:23" ht="26.4">
      <c r="W3570" s="64" ph="1"/>
    </row>
    <row r="3571" spans="23:23" ht="26.4">
      <c r="W3571" s="64" ph="1"/>
    </row>
    <row r="3572" spans="23:23" ht="26.4">
      <c r="W3572" s="64" ph="1"/>
    </row>
    <row r="3573" spans="23:23" ht="26.4">
      <c r="W3573" s="64" ph="1"/>
    </row>
    <row r="3574" spans="23:23" ht="26.4">
      <c r="W3574" s="64" ph="1"/>
    </row>
    <row r="3575" spans="23:23" ht="26.4">
      <c r="W3575" s="64" ph="1"/>
    </row>
    <row r="3576" spans="23:23" ht="26.4">
      <c r="W3576" s="64" ph="1"/>
    </row>
    <row r="3577" spans="23:23" ht="26.4">
      <c r="W3577" s="64" ph="1"/>
    </row>
    <row r="3578" spans="23:23" ht="26.4">
      <c r="W3578" s="64" ph="1"/>
    </row>
    <row r="3579" spans="23:23" ht="26.4">
      <c r="W3579" s="64" ph="1"/>
    </row>
    <row r="3580" spans="23:23" ht="26.4">
      <c r="W3580" s="64" ph="1"/>
    </row>
    <row r="3581" spans="23:23" ht="26.4">
      <c r="W3581" s="64" ph="1"/>
    </row>
    <row r="3582" spans="23:23" ht="26.4">
      <c r="W3582" s="64" ph="1"/>
    </row>
    <row r="3583" spans="23:23" ht="26.4">
      <c r="W3583" s="64" ph="1"/>
    </row>
    <row r="3584" spans="23:23" ht="26.4">
      <c r="W3584" s="64" ph="1"/>
    </row>
    <row r="3585" spans="23:23" ht="26.4">
      <c r="W3585" s="64" ph="1"/>
    </row>
    <row r="3586" spans="23:23" ht="26.4">
      <c r="W3586" s="64" ph="1"/>
    </row>
    <row r="3587" spans="23:23" ht="26.4">
      <c r="W3587" s="64" ph="1"/>
    </row>
    <row r="3588" spans="23:23" ht="26.4">
      <c r="W3588" s="64" ph="1"/>
    </row>
    <row r="3589" spans="23:23" ht="26.4">
      <c r="W3589" s="64" ph="1"/>
    </row>
    <row r="3590" spans="23:23" ht="26.4">
      <c r="W3590" s="64" ph="1"/>
    </row>
    <row r="3591" spans="23:23" ht="26.4">
      <c r="W3591" s="64" ph="1"/>
    </row>
    <row r="3592" spans="23:23" ht="26.4">
      <c r="W3592" s="64" ph="1"/>
    </row>
    <row r="3593" spans="23:23" ht="26.4">
      <c r="W3593" s="64" ph="1"/>
    </row>
    <row r="3594" spans="23:23" ht="26.4">
      <c r="W3594" s="64" ph="1"/>
    </row>
    <row r="3595" spans="23:23" ht="26.4">
      <c r="W3595" s="64" ph="1"/>
    </row>
    <row r="3596" spans="23:23" ht="26.4">
      <c r="W3596" s="64" ph="1"/>
    </row>
    <row r="3597" spans="23:23" ht="26.4">
      <c r="W3597" s="64" ph="1"/>
    </row>
    <row r="3598" spans="23:23" ht="26.4">
      <c r="W3598" s="64" ph="1"/>
    </row>
    <row r="3599" spans="23:23" ht="26.4">
      <c r="W3599" s="64" ph="1"/>
    </row>
    <row r="3600" spans="23:23" ht="26.4">
      <c r="W3600" s="64" ph="1"/>
    </row>
    <row r="3601" spans="23:23" ht="26.4">
      <c r="W3601" s="64" ph="1"/>
    </row>
    <row r="3602" spans="23:23" ht="26.4">
      <c r="W3602" s="64" ph="1"/>
    </row>
    <row r="3603" spans="23:23" ht="26.4">
      <c r="W3603" s="64" ph="1"/>
    </row>
    <row r="3604" spans="23:23" ht="26.4">
      <c r="W3604" s="64" ph="1"/>
    </row>
    <row r="3605" spans="23:23" ht="26.4">
      <c r="W3605" s="64" ph="1"/>
    </row>
    <row r="3606" spans="23:23" ht="26.4">
      <c r="W3606" s="64" ph="1"/>
    </row>
    <row r="3607" spans="23:23" ht="26.4">
      <c r="W3607" s="64" ph="1"/>
    </row>
    <row r="3608" spans="23:23" ht="26.4">
      <c r="W3608" s="64" ph="1"/>
    </row>
    <row r="3609" spans="23:23" ht="26.4">
      <c r="W3609" s="64" ph="1"/>
    </row>
    <row r="3610" spans="23:23" ht="26.4">
      <c r="W3610" s="64" ph="1"/>
    </row>
    <row r="3611" spans="23:23" ht="26.4">
      <c r="W3611" s="64" ph="1"/>
    </row>
    <row r="3612" spans="23:23" ht="26.4">
      <c r="W3612" s="64" ph="1"/>
    </row>
    <row r="3613" spans="23:23" ht="26.4">
      <c r="W3613" s="64" ph="1"/>
    </row>
    <row r="3614" spans="23:23" ht="26.4">
      <c r="W3614" s="64" ph="1"/>
    </row>
    <row r="3615" spans="23:23" ht="26.4">
      <c r="W3615" s="64" ph="1"/>
    </row>
    <row r="3616" spans="23:23" ht="26.4">
      <c r="W3616" s="64" ph="1"/>
    </row>
    <row r="3617" spans="23:23" ht="26.4">
      <c r="W3617" s="64" ph="1"/>
    </row>
    <row r="3618" spans="23:23" ht="26.4">
      <c r="W3618" s="64" ph="1"/>
    </row>
    <row r="3619" spans="23:23" ht="26.4">
      <c r="W3619" s="64" ph="1"/>
    </row>
    <row r="3620" spans="23:23" ht="26.4">
      <c r="W3620" s="64" ph="1"/>
    </row>
    <row r="3621" spans="23:23" ht="26.4">
      <c r="W3621" s="64" ph="1"/>
    </row>
    <row r="3622" spans="23:23" ht="26.4">
      <c r="W3622" s="64" ph="1"/>
    </row>
    <row r="3623" spans="23:23" ht="26.4">
      <c r="W3623" s="64" ph="1"/>
    </row>
    <row r="3624" spans="23:23" ht="26.4">
      <c r="W3624" s="64" ph="1"/>
    </row>
    <row r="3625" spans="23:23" ht="26.4">
      <c r="W3625" s="64" ph="1"/>
    </row>
    <row r="3626" spans="23:23" ht="26.4">
      <c r="W3626" s="64" ph="1"/>
    </row>
    <row r="3627" spans="23:23" ht="26.4">
      <c r="W3627" s="64" ph="1"/>
    </row>
    <row r="3628" spans="23:23" ht="26.4">
      <c r="W3628" s="64" ph="1"/>
    </row>
    <row r="3629" spans="23:23" ht="26.4">
      <c r="W3629" s="64" ph="1"/>
    </row>
    <row r="3630" spans="23:23" ht="26.4">
      <c r="W3630" s="64" ph="1"/>
    </row>
    <row r="3631" spans="23:23" ht="26.4">
      <c r="W3631" s="64" ph="1"/>
    </row>
    <row r="3632" spans="23:23" ht="26.4">
      <c r="W3632" s="64" ph="1"/>
    </row>
    <row r="3633" spans="23:23" ht="26.4">
      <c r="W3633" s="64" ph="1"/>
    </row>
    <row r="3634" spans="23:23" ht="26.4">
      <c r="W3634" s="64" ph="1"/>
    </row>
    <row r="3635" spans="23:23" ht="26.4">
      <c r="W3635" s="64" ph="1"/>
    </row>
    <row r="3636" spans="23:23" ht="26.4">
      <c r="W3636" s="64" ph="1"/>
    </row>
    <row r="3637" spans="23:23" ht="26.4">
      <c r="W3637" s="64" ph="1"/>
    </row>
    <row r="3638" spans="23:23" ht="26.4">
      <c r="W3638" s="64" ph="1"/>
    </row>
    <row r="3639" spans="23:23" ht="26.4">
      <c r="W3639" s="64" ph="1"/>
    </row>
    <row r="3640" spans="23:23" ht="26.4">
      <c r="W3640" s="64" ph="1"/>
    </row>
    <row r="3641" spans="23:23" ht="26.4">
      <c r="W3641" s="64" ph="1"/>
    </row>
    <row r="3642" spans="23:23" ht="26.4">
      <c r="W3642" s="64" ph="1"/>
    </row>
    <row r="3643" spans="23:23" ht="26.4">
      <c r="W3643" s="64" ph="1"/>
    </row>
    <row r="3644" spans="23:23" ht="26.4">
      <c r="W3644" s="64" ph="1"/>
    </row>
    <row r="3645" spans="23:23" ht="26.4">
      <c r="W3645" s="64" ph="1"/>
    </row>
    <row r="3646" spans="23:23" ht="26.4">
      <c r="W3646" s="64" ph="1"/>
    </row>
    <row r="3647" spans="23:23" ht="26.4">
      <c r="W3647" s="64" ph="1"/>
    </row>
    <row r="3648" spans="23:23" ht="26.4">
      <c r="W3648" s="64" ph="1"/>
    </row>
    <row r="3649" spans="23:23" ht="26.4">
      <c r="W3649" s="64" ph="1"/>
    </row>
    <row r="3650" spans="23:23" ht="26.4">
      <c r="W3650" s="64" ph="1"/>
    </row>
    <row r="3651" spans="23:23" ht="26.4">
      <c r="W3651" s="64" ph="1"/>
    </row>
    <row r="3652" spans="23:23" ht="26.4">
      <c r="W3652" s="64" ph="1"/>
    </row>
    <row r="3653" spans="23:23" ht="26.4">
      <c r="W3653" s="64" ph="1"/>
    </row>
    <row r="3654" spans="23:23" ht="26.4">
      <c r="W3654" s="64" ph="1"/>
    </row>
    <row r="3655" spans="23:23" ht="26.4">
      <c r="W3655" s="64" ph="1"/>
    </row>
    <row r="3656" spans="23:23" ht="26.4">
      <c r="W3656" s="64" ph="1"/>
    </row>
    <row r="3657" spans="23:23" ht="26.4">
      <c r="W3657" s="64" ph="1"/>
    </row>
    <row r="3658" spans="23:23" ht="26.4">
      <c r="W3658" s="64" ph="1"/>
    </row>
    <row r="3659" spans="23:23" ht="26.4">
      <c r="W3659" s="64" ph="1"/>
    </row>
    <row r="3660" spans="23:23" ht="26.4">
      <c r="W3660" s="64" ph="1"/>
    </row>
    <row r="3661" spans="23:23" ht="26.4">
      <c r="W3661" s="64" ph="1"/>
    </row>
    <row r="3662" spans="23:23" ht="26.4">
      <c r="W3662" s="64" ph="1"/>
    </row>
    <row r="3663" spans="23:23" ht="26.4">
      <c r="W3663" s="64" ph="1"/>
    </row>
    <row r="3664" spans="23:23" ht="26.4">
      <c r="W3664" s="64" ph="1"/>
    </row>
    <row r="3665" spans="23:23" ht="26.4">
      <c r="W3665" s="64" ph="1"/>
    </row>
    <row r="3666" spans="23:23" ht="26.4">
      <c r="W3666" s="64" ph="1"/>
    </row>
    <row r="3667" spans="23:23" ht="26.4">
      <c r="W3667" s="64" ph="1"/>
    </row>
    <row r="3668" spans="23:23" ht="26.4">
      <c r="W3668" s="64" ph="1"/>
    </row>
    <row r="3669" spans="23:23" ht="26.4">
      <c r="W3669" s="64" ph="1"/>
    </row>
    <row r="3670" spans="23:23" ht="26.4">
      <c r="W3670" s="64" ph="1"/>
    </row>
    <row r="3671" spans="23:23" ht="26.4">
      <c r="W3671" s="64" ph="1"/>
    </row>
    <row r="3672" spans="23:23" ht="26.4">
      <c r="W3672" s="64" ph="1"/>
    </row>
    <row r="3673" spans="23:23" ht="26.4">
      <c r="W3673" s="64" ph="1"/>
    </row>
    <row r="3674" spans="23:23" ht="26.4">
      <c r="W3674" s="64" ph="1"/>
    </row>
    <row r="3675" spans="23:23" ht="26.4">
      <c r="W3675" s="64" ph="1"/>
    </row>
    <row r="3676" spans="23:23" ht="26.4">
      <c r="W3676" s="64" ph="1"/>
    </row>
    <row r="3677" spans="23:23" ht="26.4">
      <c r="W3677" s="64" ph="1"/>
    </row>
    <row r="3678" spans="23:23" ht="26.4">
      <c r="W3678" s="64" ph="1"/>
    </row>
    <row r="3679" spans="23:23" ht="26.4">
      <c r="W3679" s="64" ph="1"/>
    </row>
    <row r="3680" spans="23:23" ht="26.4">
      <c r="W3680" s="64" ph="1"/>
    </row>
    <row r="3681" spans="23:23" ht="26.4">
      <c r="W3681" s="64" ph="1"/>
    </row>
    <row r="3682" spans="23:23" ht="26.4">
      <c r="W3682" s="64" ph="1"/>
    </row>
    <row r="3683" spans="23:23" ht="26.4">
      <c r="W3683" s="64" ph="1"/>
    </row>
    <row r="3684" spans="23:23" ht="26.4">
      <c r="W3684" s="64" ph="1"/>
    </row>
    <row r="3685" spans="23:23" ht="26.4">
      <c r="W3685" s="64" ph="1"/>
    </row>
    <row r="3686" spans="23:23" ht="26.4">
      <c r="W3686" s="64" ph="1"/>
    </row>
    <row r="3687" spans="23:23" ht="26.4">
      <c r="W3687" s="64" ph="1"/>
    </row>
    <row r="3688" spans="23:23" ht="26.4">
      <c r="W3688" s="64" ph="1"/>
    </row>
    <row r="3689" spans="23:23" ht="26.4">
      <c r="W3689" s="64" ph="1"/>
    </row>
    <row r="3690" spans="23:23" ht="26.4">
      <c r="W3690" s="64" ph="1"/>
    </row>
    <row r="3691" spans="23:23" ht="26.4">
      <c r="W3691" s="64" ph="1"/>
    </row>
    <row r="3692" spans="23:23" ht="26.4">
      <c r="W3692" s="64" ph="1"/>
    </row>
    <row r="3693" spans="23:23" ht="26.4">
      <c r="W3693" s="64" ph="1"/>
    </row>
    <row r="3694" spans="23:23" ht="26.4">
      <c r="W3694" s="64" ph="1"/>
    </row>
    <row r="3695" spans="23:23" ht="26.4">
      <c r="W3695" s="64" ph="1"/>
    </row>
    <row r="3696" spans="23:23" ht="26.4">
      <c r="W3696" s="64" ph="1"/>
    </row>
    <row r="3697" spans="23:23" ht="26.4">
      <c r="W3697" s="64" ph="1"/>
    </row>
    <row r="3698" spans="23:23" ht="26.4">
      <c r="W3698" s="64" ph="1"/>
    </row>
    <row r="3699" spans="23:23" ht="26.4">
      <c r="W3699" s="64" ph="1"/>
    </row>
    <row r="3700" spans="23:23" ht="26.4">
      <c r="W3700" s="64" ph="1"/>
    </row>
    <row r="3701" spans="23:23" ht="26.4">
      <c r="W3701" s="64" ph="1"/>
    </row>
    <row r="3702" spans="23:23" ht="26.4">
      <c r="W3702" s="64" ph="1"/>
    </row>
    <row r="3703" spans="23:23" ht="26.4">
      <c r="W3703" s="64" ph="1"/>
    </row>
    <row r="3704" spans="23:23" ht="26.4">
      <c r="W3704" s="64" ph="1"/>
    </row>
    <row r="3705" spans="23:23" ht="26.4">
      <c r="W3705" s="64" ph="1"/>
    </row>
    <row r="3706" spans="23:23" ht="26.4">
      <c r="W3706" s="64" ph="1"/>
    </row>
    <row r="3707" spans="23:23" ht="26.4">
      <c r="W3707" s="64" ph="1"/>
    </row>
    <row r="3708" spans="23:23" ht="26.4">
      <c r="W3708" s="64" ph="1"/>
    </row>
    <row r="3709" spans="23:23" ht="26.4">
      <c r="W3709" s="64" ph="1"/>
    </row>
    <row r="3710" spans="23:23" ht="26.4">
      <c r="W3710" s="64" ph="1"/>
    </row>
    <row r="3711" spans="23:23" ht="26.4">
      <c r="W3711" s="64" ph="1"/>
    </row>
    <row r="3712" spans="23:23" ht="26.4">
      <c r="W3712" s="64" ph="1"/>
    </row>
    <row r="3713" spans="23:23" ht="26.4">
      <c r="W3713" s="64" ph="1"/>
    </row>
    <row r="3714" spans="23:23" ht="26.4">
      <c r="W3714" s="64" ph="1"/>
    </row>
    <row r="3715" spans="23:23" ht="26.4">
      <c r="W3715" s="64" ph="1"/>
    </row>
    <row r="3716" spans="23:23" ht="26.4">
      <c r="W3716" s="64" ph="1"/>
    </row>
    <row r="3717" spans="23:23" ht="26.4">
      <c r="W3717" s="64" ph="1"/>
    </row>
    <row r="3718" spans="23:23" ht="26.4">
      <c r="W3718" s="64" ph="1"/>
    </row>
    <row r="3719" spans="23:23" ht="26.4">
      <c r="W3719" s="64" ph="1"/>
    </row>
    <row r="3720" spans="23:23" ht="26.4">
      <c r="W3720" s="64" ph="1"/>
    </row>
    <row r="3721" spans="23:23" ht="26.4">
      <c r="W3721" s="64" ph="1"/>
    </row>
    <row r="3722" spans="23:23" ht="26.4">
      <c r="W3722" s="64" ph="1"/>
    </row>
    <row r="3723" spans="23:23" ht="26.4">
      <c r="W3723" s="64" ph="1"/>
    </row>
    <row r="3724" spans="23:23" ht="26.4">
      <c r="W3724" s="64" ph="1"/>
    </row>
    <row r="3725" spans="23:23" ht="26.4">
      <c r="W3725" s="64" ph="1"/>
    </row>
    <row r="3726" spans="23:23" ht="26.4">
      <c r="W3726" s="64" ph="1"/>
    </row>
    <row r="3727" spans="23:23" ht="26.4">
      <c r="W3727" s="64" ph="1"/>
    </row>
    <row r="3728" spans="23:23" ht="26.4">
      <c r="W3728" s="64" ph="1"/>
    </row>
    <row r="3729" spans="23:23" ht="26.4">
      <c r="W3729" s="64" ph="1"/>
    </row>
    <row r="3730" spans="23:23" ht="26.4">
      <c r="W3730" s="64" ph="1"/>
    </row>
    <row r="3731" spans="23:23" ht="26.4">
      <c r="W3731" s="64" ph="1"/>
    </row>
    <row r="3732" spans="23:23" ht="26.4">
      <c r="W3732" s="64" ph="1"/>
    </row>
    <row r="3733" spans="23:23" ht="26.4">
      <c r="W3733" s="64" ph="1"/>
    </row>
    <row r="3734" spans="23:23" ht="26.4">
      <c r="W3734" s="64" ph="1"/>
    </row>
    <row r="3735" spans="23:23" ht="26.4">
      <c r="W3735" s="64" ph="1"/>
    </row>
    <row r="3736" spans="23:23" ht="26.4">
      <c r="W3736" s="64" ph="1"/>
    </row>
    <row r="3737" spans="23:23" ht="26.4">
      <c r="W3737" s="64" ph="1"/>
    </row>
    <row r="3738" spans="23:23" ht="26.4">
      <c r="W3738" s="64" ph="1"/>
    </row>
    <row r="3739" spans="23:23" ht="26.4">
      <c r="W3739" s="64" ph="1"/>
    </row>
    <row r="3740" spans="23:23" ht="26.4">
      <c r="W3740" s="64" ph="1"/>
    </row>
    <row r="3741" spans="23:23" ht="26.4">
      <c r="W3741" s="64" ph="1"/>
    </row>
    <row r="3742" spans="23:23" ht="26.4">
      <c r="W3742" s="64" ph="1"/>
    </row>
    <row r="3743" spans="23:23" ht="26.4">
      <c r="W3743" s="64" ph="1"/>
    </row>
    <row r="3744" spans="23:23" ht="26.4">
      <c r="W3744" s="64" ph="1"/>
    </row>
    <row r="3745" spans="23:23" ht="26.4">
      <c r="W3745" s="64" ph="1"/>
    </row>
    <row r="3746" spans="23:23" ht="26.4">
      <c r="W3746" s="64" ph="1"/>
    </row>
    <row r="3747" spans="23:23" ht="26.4">
      <c r="W3747" s="64" ph="1"/>
    </row>
    <row r="3748" spans="23:23" ht="26.4">
      <c r="W3748" s="64" ph="1"/>
    </row>
    <row r="3749" spans="23:23" ht="26.4">
      <c r="W3749" s="64" ph="1"/>
    </row>
    <row r="3750" spans="23:23" ht="26.4">
      <c r="W3750" s="64" ph="1"/>
    </row>
    <row r="3751" spans="23:23" ht="26.4">
      <c r="W3751" s="64" ph="1"/>
    </row>
    <row r="3752" spans="23:23" ht="26.4">
      <c r="W3752" s="64" ph="1"/>
    </row>
    <row r="3753" spans="23:23" ht="26.4">
      <c r="W3753" s="64" ph="1"/>
    </row>
    <row r="3754" spans="23:23" ht="26.4">
      <c r="W3754" s="64" ph="1"/>
    </row>
    <row r="3755" spans="23:23" ht="26.4">
      <c r="W3755" s="64" ph="1"/>
    </row>
    <row r="3756" spans="23:23" ht="26.4">
      <c r="W3756" s="64" ph="1"/>
    </row>
    <row r="3757" spans="23:23" ht="26.4">
      <c r="W3757" s="64" ph="1"/>
    </row>
    <row r="3758" spans="23:23" ht="26.4">
      <c r="W3758" s="64" ph="1"/>
    </row>
    <row r="3759" spans="23:23" ht="26.4">
      <c r="W3759" s="64" ph="1"/>
    </row>
    <row r="3760" spans="23:23" ht="26.4">
      <c r="W3760" s="64" ph="1"/>
    </row>
    <row r="3761" spans="23:23" ht="26.4">
      <c r="W3761" s="64" ph="1"/>
    </row>
    <row r="3762" spans="23:23" ht="26.4">
      <c r="W3762" s="64" ph="1"/>
    </row>
    <row r="3763" spans="23:23" ht="26.4">
      <c r="W3763" s="64" ph="1"/>
    </row>
    <row r="3764" spans="23:23" ht="26.4">
      <c r="W3764" s="64" ph="1"/>
    </row>
    <row r="3765" spans="23:23" ht="26.4">
      <c r="W3765" s="64" ph="1"/>
    </row>
    <row r="3766" spans="23:23" ht="26.4">
      <c r="W3766" s="64" ph="1"/>
    </row>
    <row r="3767" spans="23:23" ht="26.4">
      <c r="W3767" s="64" ph="1"/>
    </row>
    <row r="3768" spans="23:23" ht="26.4">
      <c r="W3768" s="64" ph="1"/>
    </row>
    <row r="3769" spans="23:23" ht="26.4">
      <c r="W3769" s="64" ph="1"/>
    </row>
    <row r="3770" spans="23:23" ht="26.4">
      <c r="W3770" s="64" ph="1"/>
    </row>
    <row r="3771" spans="23:23" ht="26.4">
      <c r="W3771" s="64" ph="1"/>
    </row>
    <row r="3772" spans="23:23" ht="26.4">
      <c r="W3772" s="64" ph="1"/>
    </row>
    <row r="3773" spans="23:23" ht="26.4">
      <c r="W3773" s="64" ph="1"/>
    </row>
    <row r="3774" spans="23:23" ht="26.4">
      <c r="W3774" s="64" ph="1"/>
    </row>
    <row r="3775" spans="23:23" ht="26.4">
      <c r="W3775" s="64" ph="1"/>
    </row>
    <row r="3776" spans="23:23" ht="26.4">
      <c r="W3776" s="64" ph="1"/>
    </row>
    <row r="3777" spans="23:23" ht="26.4">
      <c r="W3777" s="64" ph="1"/>
    </row>
    <row r="3778" spans="23:23" ht="26.4">
      <c r="W3778" s="64" ph="1"/>
    </row>
    <row r="3779" spans="23:23" ht="26.4">
      <c r="W3779" s="64" ph="1"/>
    </row>
    <row r="3780" spans="23:23" ht="26.4">
      <c r="W3780" s="64" ph="1"/>
    </row>
    <row r="3781" spans="23:23" ht="26.4">
      <c r="W3781" s="64" ph="1"/>
    </row>
    <row r="3782" spans="23:23" ht="26.4">
      <c r="W3782" s="64" ph="1"/>
    </row>
    <row r="3783" spans="23:23" ht="26.4">
      <c r="W3783" s="64" ph="1"/>
    </row>
    <row r="3784" spans="23:23" ht="26.4">
      <c r="W3784" s="64" ph="1"/>
    </row>
    <row r="3785" spans="23:23" ht="26.4">
      <c r="W3785" s="64" ph="1"/>
    </row>
    <row r="3786" spans="23:23" ht="26.4">
      <c r="W3786" s="64" ph="1"/>
    </row>
    <row r="3787" spans="23:23" ht="26.4">
      <c r="W3787" s="64" ph="1"/>
    </row>
    <row r="3788" spans="23:23" ht="26.4">
      <c r="W3788" s="64" ph="1"/>
    </row>
    <row r="3789" spans="23:23" ht="26.4">
      <c r="W3789" s="64" ph="1"/>
    </row>
    <row r="3790" spans="23:23" ht="26.4">
      <c r="W3790" s="64" ph="1"/>
    </row>
    <row r="3791" spans="23:23" ht="26.4">
      <c r="W3791" s="64" ph="1"/>
    </row>
    <row r="3792" spans="23:23" ht="26.4">
      <c r="W3792" s="64" ph="1"/>
    </row>
    <row r="3793" spans="23:23" ht="26.4">
      <c r="W3793" s="64" ph="1"/>
    </row>
    <row r="3794" spans="23:23" ht="26.4">
      <c r="W3794" s="64" ph="1"/>
    </row>
    <row r="3795" spans="23:23" ht="26.4">
      <c r="W3795" s="64" ph="1"/>
    </row>
    <row r="3796" spans="23:23" ht="26.4">
      <c r="W3796" s="64" ph="1"/>
    </row>
    <row r="3797" spans="23:23" ht="26.4">
      <c r="W3797" s="64" ph="1"/>
    </row>
    <row r="3798" spans="23:23" ht="26.4">
      <c r="W3798" s="64" ph="1"/>
    </row>
    <row r="3799" spans="23:23" ht="26.4">
      <c r="W3799" s="64" ph="1"/>
    </row>
    <row r="3800" spans="23:23" ht="26.4">
      <c r="W3800" s="64" ph="1"/>
    </row>
    <row r="3801" spans="23:23" ht="26.4">
      <c r="W3801" s="64" ph="1"/>
    </row>
    <row r="3802" spans="23:23" ht="26.4">
      <c r="W3802" s="64" ph="1"/>
    </row>
    <row r="3803" spans="23:23" ht="26.4">
      <c r="W3803" s="64" ph="1"/>
    </row>
    <row r="3804" spans="23:23" ht="26.4">
      <c r="W3804" s="64" ph="1"/>
    </row>
    <row r="3805" spans="23:23" ht="26.4">
      <c r="W3805" s="64" ph="1"/>
    </row>
    <row r="3806" spans="23:23" ht="26.4">
      <c r="W3806" s="64" ph="1"/>
    </row>
    <row r="3807" spans="23:23" ht="26.4">
      <c r="W3807" s="64" ph="1"/>
    </row>
    <row r="3808" spans="23:23" ht="26.4">
      <c r="W3808" s="64" ph="1"/>
    </row>
    <row r="3809" spans="23:23" ht="26.4">
      <c r="W3809" s="64" ph="1"/>
    </row>
    <row r="3810" spans="23:23" ht="26.4">
      <c r="W3810" s="64" ph="1"/>
    </row>
    <row r="3811" spans="23:23" ht="26.4">
      <c r="W3811" s="64" ph="1"/>
    </row>
    <row r="3812" spans="23:23" ht="26.4">
      <c r="W3812" s="64" ph="1"/>
    </row>
    <row r="3813" spans="23:23" ht="26.4">
      <c r="W3813" s="64" ph="1"/>
    </row>
    <row r="3814" spans="23:23" ht="26.4">
      <c r="W3814" s="64" ph="1"/>
    </row>
    <row r="3815" spans="23:23" ht="26.4">
      <c r="W3815" s="64" ph="1"/>
    </row>
    <row r="3816" spans="23:23" ht="26.4">
      <c r="W3816" s="64" ph="1"/>
    </row>
    <row r="3817" spans="23:23" ht="26.4">
      <c r="W3817" s="64" ph="1"/>
    </row>
    <row r="3818" spans="23:23" ht="26.4">
      <c r="W3818" s="64" ph="1"/>
    </row>
    <row r="3819" spans="23:23" ht="26.4">
      <c r="W3819" s="64" ph="1"/>
    </row>
    <row r="3820" spans="23:23" ht="26.4">
      <c r="W3820" s="64" ph="1"/>
    </row>
    <row r="3821" spans="23:23" ht="26.4">
      <c r="W3821" s="64" ph="1"/>
    </row>
    <row r="3822" spans="23:23" ht="26.4">
      <c r="W3822" s="64" ph="1"/>
    </row>
    <row r="3823" spans="23:23" ht="26.4">
      <c r="W3823" s="64" ph="1"/>
    </row>
    <row r="3824" spans="23:23" ht="26.4">
      <c r="W3824" s="64" ph="1"/>
    </row>
    <row r="3825" spans="23:23" ht="26.4">
      <c r="W3825" s="64" ph="1"/>
    </row>
    <row r="3826" spans="23:23" ht="26.4">
      <c r="W3826" s="64" ph="1"/>
    </row>
    <row r="3827" spans="23:23" ht="26.4">
      <c r="W3827" s="64" ph="1"/>
    </row>
    <row r="3828" spans="23:23" ht="26.4">
      <c r="W3828" s="64" ph="1"/>
    </row>
    <row r="3829" spans="23:23" ht="26.4">
      <c r="W3829" s="64" ph="1"/>
    </row>
    <row r="3830" spans="23:23" ht="26.4">
      <c r="W3830" s="64" ph="1"/>
    </row>
    <row r="3831" spans="23:23" ht="26.4">
      <c r="W3831" s="64" ph="1"/>
    </row>
    <row r="3832" spans="23:23" ht="26.4">
      <c r="W3832" s="64" ph="1"/>
    </row>
    <row r="3833" spans="23:23" ht="26.4">
      <c r="W3833" s="64" ph="1"/>
    </row>
    <row r="3834" spans="23:23" ht="26.4">
      <c r="W3834" s="64" ph="1"/>
    </row>
    <row r="3835" spans="23:23" ht="26.4">
      <c r="W3835" s="64" ph="1"/>
    </row>
    <row r="3836" spans="23:23" ht="26.4">
      <c r="W3836" s="64" ph="1"/>
    </row>
    <row r="3837" spans="23:23" ht="26.4">
      <c r="W3837" s="64" ph="1"/>
    </row>
    <row r="3838" spans="23:23" ht="26.4">
      <c r="W3838" s="64" ph="1"/>
    </row>
    <row r="3839" spans="23:23" ht="26.4">
      <c r="W3839" s="64" ph="1"/>
    </row>
    <row r="3840" spans="23:23" ht="26.4">
      <c r="W3840" s="64" ph="1"/>
    </row>
    <row r="3841" spans="23:23" ht="26.4">
      <c r="W3841" s="64" ph="1"/>
    </row>
    <row r="3842" spans="23:23" ht="26.4">
      <c r="W3842" s="64" ph="1"/>
    </row>
    <row r="3843" spans="23:23" ht="26.4">
      <c r="W3843" s="64" ph="1"/>
    </row>
    <row r="3844" spans="23:23" ht="26.4">
      <c r="W3844" s="64" ph="1"/>
    </row>
    <row r="3845" spans="23:23" ht="26.4">
      <c r="W3845" s="64" ph="1"/>
    </row>
    <row r="3846" spans="23:23" ht="26.4">
      <c r="W3846" s="64" ph="1"/>
    </row>
    <row r="3847" spans="23:23" ht="26.4">
      <c r="W3847" s="64" ph="1"/>
    </row>
    <row r="3848" spans="23:23" ht="26.4">
      <c r="W3848" s="64" ph="1"/>
    </row>
    <row r="3849" spans="23:23" ht="26.4">
      <c r="W3849" s="64" ph="1"/>
    </row>
    <row r="3850" spans="23:23" ht="26.4">
      <c r="W3850" s="64" ph="1"/>
    </row>
    <row r="3851" spans="23:23" ht="26.4">
      <c r="W3851" s="64" ph="1"/>
    </row>
    <row r="3852" spans="23:23" ht="26.4">
      <c r="W3852" s="64" ph="1"/>
    </row>
    <row r="3853" spans="23:23" ht="26.4">
      <c r="W3853" s="64" ph="1"/>
    </row>
    <row r="3854" spans="23:23" ht="26.4">
      <c r="W3854" s="64" ph="1"/>
    </row>
    <row r="3855" spans="23:23" ht="26.4">
      <c r="W3855" s="64" ph="1"/>
    </row>
    <row r="3856" spans="23:23" ht="26.4">
      <c r="W3856" s="64" ph="1"/>
    </row>
    <row r="3857" spans="23:23" ht="26.4">
      <c r="W3857" s="64" ph="1"/>
    </row>
    <row r="3858" spans="23:23" ht="26.4">
      <c r="W3858" s="64" ph="1"/>
    </row>
    <row r="3859" spans="23:23" ht="26.4">
      <c r="W3859" s="64" ph="1"/>
    </row>
    <row r="3860" spans="23:23" ht="26.4">
      <c r="W3860" s="64" ph="1"/>
    </row>
    <row r="3861" spans="23:23" ht="26.4">
      <c r="W3861" s="64" ph="1"/>
    </row>
    <row r="3862" spans="23:23" ht="26.4">
      <c r="W3862" s="64" ph="1"/>
    </row>
    <row r="3863" spans="23:23" ht="26.4">
      <c r="W3863" s="64" ph="1"/>
    </row>
    <row r="3864" spans="23:23" ht="26.4">
      <c r="W3864" s="64" ph="1"/>
    </row>
    <row r="3865" spans="23:23" ht="26.4">
      <c r="W3865" s="64" ph="1"/>
    </row>
    <row r="3866" spans="23:23" ht="26.4">
      <c r="W3866" s="64" ph="1"/>
    </row>
    <row r="3867" spans="23:23" ht="26.4">
      <c r="W3867" s="64" ph="1"/>
    </row>
    <row r="3868" spans="23:23" ht="26.4">
      <c r="W3868" s="64" ph="1"/>
    </row>
    <row r="3869" spans="23:23" ht="26.4">
      <c r="W3869" s="64" ph="1"/>
    </row>
    <row r="3870" spans="23:23" ht="26.4">
      <c r="W3870" s="64" ph="1"/>
    </row>
    <row r="3871" spans="23:23" ht="26.4">
      <c r="W3871" s="64" ph="1"/>
    </row>
    <row r="3872" spans="23:23" ht="26.4">
      <c r="W3872" s="64" ph="1"/>
    </row>
    <row r="3873" spans="23:23" ht="26.4">
      <c r="W3873" s="64" ph="1"/>
    </row>
    <row r="3874" spans="23:23" ht="26.4">
      <c r="W3874" s="64" ph="1"/>
    </row>
    <row r="3875" spans="23:23" ht="26.4">
      <c r="W3875" s="64" ph="1"/>
    </row>
    <row r="3876" spans="23:23" ht="26.4">
      <c r="W3876" s="64" ph="1"/>
    </row>
    <row r="3877" spans="23:23" ht="26.4">
      <c r="W3877" s="64" ph="1"/>
    </row>
    <row r="3878" spans="23:23" ht="26.4">
      <c r="W3878" s="64" ph="1"/>
    </row>
    <row r="3879" spans="23:23" ht="26.4">
      <c r="W3879" s="64" ph="1"/>
    </row>
    <row r="3880" spans="23:23" ht="26.4">
      <c r="W3880" s="64" ph="1"/>
    </row>
    <row r="3881" spans="23:23" ht="26.4">
      <c r="W3881" s="64" ph="1"/>
    </row>
    <row r="3882" spans="23:23" ht="26.4">
      <c r="W3882" s="64" ph="1"/>
    </row>
    <row r="3883" spans="23:23" ht="26.4">
      <c r="W3883" s="64" ph="1"/>
    </row>
    <row r="3884" spans="23:23" ht="26.4">
      <c r="W3884" s="64" ph="1"/>
    </row>
    <row r="3885" spans="23:23" ht="26.4">
      <c r="W3885" s="64" ph="1"/>
    </row>
    <row r="3886" spans="23:23" ht="26.4">
      <c r="W3886" s="64" ph="1"/>
    </row>
    <row r="3887" spans="23:23" ht="26.4">
      <c r="W3887" s="64" ph="1"/>
    </row>
    <row r="3888" spans="23:23" ht="26.4">
      <c r="W3888" s="64" ph="1"/>
    </row>
    <row r="3889" spans="23:23" ht="26.4">
      <c r="W3889" s="64" ph="1"/>
    </row>
    <row r="3890" spans="23:23" ht="26.4">
      <c r="W3890" s="64" ph="1"/>
    </row>
    <row r="3891" spans="23:23" ht="26.4">
      <c r="W3891" s="64" ph="1"/>
    </row>
    <row r="3892" spans="23:23" ht="26.4">
      <c r="W3892" s="64" ph="1"/>
    </row>
    <row r="3893" spans="23:23" ht="26.4">
      <c r="W3893" s="64" ph="1"/>
    </row>
    <row r="3894" spans="23:23" ht="26.4">
      <c r="W3894" s="64" ph="1"/>
    </row>
    <row r="3895" spans="23:23" ht="26.4">
      <c r="W3895" s="64" ph="1"/>
    </row>
    <row r="3896" spans="23:23" ht="26.4">
      <c r="W3896" s="64" ph="1"/>
    </row>
    <row r="3897" spans="23:23" ht="26.4">
      <c r="W3897" s="64" ph="1"/>
    </row>
    <row r="3898" spans="23:23" ht="26.4">
      <c r="W3898" s="64" ph="1"/>
    </row>
    <row r="3899" spans="23:23" ht="26.4">
      <c r="W3899" s="64" ph="1"/>
    </row>
    <row r="3900" spans="23:23" ht="26.4">
      <c r="W3900" s="64" ph="1"/>
    </row>
    <row r="3901" spans="23:23" ht="26.4">
      <c r="W3901" s="64" ph="1"/>
    </row>
    <row r="3902" spans="23:23" ht="26.4">
      <c r="W3902" s="64" ph="1"/>
    </row>
    <row r="3903" spans="23:23" ht="26.4">
      <c r="W3903" s="64" ph="1"/>
    </row>
    <row r="3904" spans="23:23" ht="26.4">
      <c r="W3904" s="64" ph="1"/>
    </row>
    <row r="3905" spans="23:23" ht="26.4">
      <c r="W3905" s="64" ph="1"/>
    </row>
    <row r="3906" spans="23:23" ht="26.4">
      <c r="W3906" s="64" ph="1"/>
    </row>
    <row r="3907" spans="23:23" ht="26.4">
      <c r="W3907" s="64" ph="1"/>
    </row>
    <row r="3908" spans="23:23" ht="26.4">
      <c r="W3908" s="64" ph="1"/>
    </row>
    <row r="3909" spans="23:23" ht="26.4">
      <c r="W3909" s="64" ph="1"/>
    </row>
    <row r="3910" spans="23:23" ht="26.4">
      <c r="W3910" s="64" ph="1"/>
    </row>
    <row r="3911" spans="23:23" ht="26.4">
      <c r="W3911" s="64" ph="1"/>
    </row>
    <row r="3912" spans="23:23" ht="26.4">
      <c r="W3912" s="64" ph="1"/>
    </row>
    <row r="3913" spans="23:23" ht="26.4">
      <c r="W3913" s="64" ph="1"/>
    </row>
    <row r="3914" spans="23:23" ht="26.4">
      <c r="W3914" s="64" ph="1"/>
    </row>
    <row r="3915" spans="23:23" ht="26.4">
      <c r="W3915" s="64" ph="1"/>
    </row>
    <row r="3916" spans="23:23" ht="26.4">
      <c r="W3916" s="64" ph="1"/>
    </row>
    <row r="3917" spans="23:23" ht="26.4">
      <c r="W3917" s="64" ph="1"/>
    </row>
    <row r="3918" spans="23:23" ht="26.4">
      <c r="W3918" s="64" ph="1"/>
    </row>
    <row r="3919" spans="23:23" ht="26.4">
      <c r="W3919" s="64" ph="1"/>
    </row>
    <row r="3920" spans="23:23" ht="26.4">
      <c r="W3920" s="64" ph="1"/>
    </row>
    <row r="3921" spans="23:23" ht="26.4">
      <c r="W3921" s="64" ph="1"/>
    </row>
    <row r="3922" spans="23:23" ht="26.4">
      <c r="W3922" s="64" ph="1"/>
    </row>
    <row r="3923" spans="23:23" ht="26.4">
      <c r="W3923" s="64" ph="1"/>
    </row>
    <row r="3924" spans="23:23" ht="26.4">
      <c r="W3924" s="64" ph="1"/>
    </row>
    <row r="3925" spans="23:23" ht="26.4">
      <c r="W3925" s="64" ph="1"/>
    </row>
    <row r="3926" spans="23:23" ht="26.4">
      <c r="W3926" s="64" ph="1"/>
    </row>
    <row r="3927" spans="23:23" ht="26.4">
      <c r="W3927" s="64" ph="1"/>
    </row>
    <row r="3928" spans="23:23" ht="26.4">
      <c r="W3928" s="64" ph="1"/>
    </row>
    <row r="3929" spans="23:23" ht="26.4">
      <c r="W3929" s="64" ph="1"/>
    </row>
    <row r="3930" spans="23:23" ht="26.4">
      <c r="W3930" s="64" ph="1"/>
    </row>
    <row r="3931" spans="23:23" ht="26.4">
      <c r="W3931" s="64" ph="1"/>
    </row>
    <row r="3932" spans="23:23" ht="26.4">
      <c r="W3932" s="64" ph="1"/>
    </row>
    <row r="3933" spans="23:23" ht="26.4">
      <c r="W3933" s="64" ph="1"/>
    </row>
    <row r="3934" spans="23:23" ht="26.4">
      <c r="W3934" s="64" ph="1"/>
    </row>
    <row r="3935" spans="23:23" ht="26.4">
      <c r="W3935" s="64" ph="1"/>
    </row>
    <row r="3936" spans="23:23" ht="26.4">
      <c r="W3936" s="64" ph="1"/>
    </row>
    <row r="3937" spans="23:23" ht="26.4">
      <c r="W3937" s="64" ph="1"/>
    </row>
    <row r="3938" spans="23:23" ht="26.4">
      <c r="W3938" s="64" ph="1"/>
    </row>
    <row r="3939" spans="23:23" ht="26.4">
      <c r="W3939" s="64" ph="1"/>
    </row>
    <row r="3940" spans="23:23" ht="26.4">
      <c r="W3940" s="64" ph="1"/>
    </row>
    <row r="3941" spans="23:23" ht="26.4">
      <c r="W3941" s="64" ph="1"/>
    </row>
    <row r="3942" spans="23:23" ht="26.4">
      <c r="W3942" s="64" ph="1"/>
    </row>
    <row r="3943" spans="23:23" ht="26.4">
      <c r="W3943" s="64" ph="1"/>
    </row>
    <row r="3944" spans="23:23" ht="26.4">
      <c r="W3944" s="64" ph="1"/>
    </row>
    <row r="3945" spans="23:23" ht="26.4">
      <c r="W3945" s="64" ph="1"/>
    </row>
    <row r="3946" spans="23:23" ht="26.4">
      <c r="W3946" s="64" ph="1"/>
    </row>
    <row r="3947" spans="23:23" ht="26.4">
      <c r="W3947" s="64" ph="1"/>
    </row>
    <row r="3948" spans="23:23" ht="26.4">
      <c r="W3948" s="64" ph="1"/>
    </row>
    <row r="3949" spans="23:23" ht="26.4">
      <c r="W3949" s="64" ph="1"/>
    </row>
    <row r="3950" spans="23:23" ht="26.4">
      <c r="W3950" s="64" ph="1"/>
    </row>
    <row r="3951" spans="23:23" ht="26.4">
      <c r="W3951" s="64" ph="1"/>
    </row>
    <row r="3952" spans="23:23" ht="26.4">
      <c r="W3952" s="64" ph="1"/>
    </row>
    <row r="3953" spans="23:23" ht="26.4">
      <c r="W3953" s="64" ph="1"/>
    </row>
    <row r="3954" spans="23:23" ht="26.4">
      <c r="W3954" s="64" ph="1"/>
    </row>
    <row r="3955" spans="23:23" ht="26.4">
      <c r="W3955" s="64" ph="1"/>
    </row>
    <row r="3956" spans="23:23" ht="26.4">
      <c r="W3956" s="64" ph="1"/>
    </row>
    <row r="3957" spans="23:23" ht="26.4">
      <c r="W3957" s="64" ph="1"/>
    </row>
    <row r="3958" spans="23:23" ht="26.4">
      <c r="W3958" s="64" ph="1"/>
    </row>
    <row r="3959" spans="23:23" ht="26.4">
      <c r="W3959" s="64" ph="1"/>
    </row>
    <row r="3960" spans="23:23" ht="26.4">
      <c r="W3960" s="64" ph="1"/>
    </row>
    <row r="3961" spans="23:23" ht="26.4">
      <c r="W3961" s="64" ph="1"/>
    </row>
    <row r="3962" spans="23:23" ht="26.4">
      <c r="W3962" s="64" ph="1"/>
    </row>
    <row r="3963" spans="23:23" ht="26.4">
      <c r="W3963" s="64" ph="1"/>
    </row>
    <row r="3964" spans="23:23" ht="26.4">
      <c r="W3964" s="64" ph="1"/>
    </row>
    <row r="3965" spans="23:23" ht="26.4">
      <c r="W3965" s="64" ph="1"/>
    </row>
    <row r="3966" spans="23:23" ht="26.4">
      <c r="W3966" s="64" ph="1"/>
    </row>
    <row r="3967" spans="23:23" ht="26.4">
      <c r="W3967" s="64" ph="1"/>
    </row>
    <row r="3968" spans="23:23" ht="26.4">
      <c r="W3968" s="64" ph="1"/>
    </row>
    <row r="3969" spans="23:23" ht="26.4">
      <c r="W3969" s="64" ph="1"/>
    </row>
    <row r="3970" spans="23:23" ht="26.4">
      <c r="W3970" s="64" ph="1"/>
    </row>
    <row r="3971" spans="23:23" ht="26.4">
      <c r="W3971" s="64" ph="1"/>
    </row>
    <row r="3972" spans="23:23" ht="26.4">
      <c r="W3972" s="64" ph="1"/>
    </row>
    <row r="3973" spans="23:23" ht="26.4">
      <c r="W3973" s="64" ph="1"/>
    </row>
    <row r="3974" spans="23:23" ht="26.4">
      <c r="W3974" s="64" ph="1"/>
    </row>
    <row r="3975" spans="23:23" ht="26.4">
      <c r="W3975" s="64" ph="1"/>
    </row>
    <row r="3976" spans="23:23" ht="26.4">
      <c r="W3976" s="64" ph="1"/>
    </row>
    <row r="3977" spans="23:23" ht="26.4">
      <c r="W3977" s="64" ph="1"/>
    </row>
    <row r="3978" spans="23:23" ht="26.4">
      <c r="W3978" s="64" ph="1"/>
    </row>
    <row r="3979" spans="23:23" ht="26.4">
      <c r="W3979" s="64" ph="1"/>
    </row>
    <row r="3980" spans="23:23" ht="26.4">
      <c r="W3980" s="64" ph="1"/>
    </row>
    <row r="3981" spans="23:23" ht="26.4">
      <c r="W3981" s="64" ph="1"/>
    </row>
    <row r="3982" spans="23:23" ht="26.4">
      <c r="W3982" s="64" ph="1"/>
    </row>
    <row r="3983" spans="23:23" ht="26.4">
      <c r="W3983" s="64" ph="1"/>
    </row>
    <row r="3984" spans="23:23" ht="26.4">
      <c r="W3984" s="64" ph="1"/>
    </row>
    <row r="3985" spans="23:23" ht="26.4">
      <c r="W3985" s="64" ph="1"/>
    </row>
    <row r="3986" spans="23:23" ht="26.4">
      <c r="W3986" s="64" ph="1"/>
    </row>
    <row r="3987" spans="23:23" ht="26.4">
      <c r="W3987" s="64" ph="1"/>
    </row>
    <row r="3988" spans="23:23" ht="26.4">
      <c r="W3988" s="64" ph="1"/>
    </row>
    <row r="3989" spans="23:23" ht="26.4">
      <c r="W3989" s="64" ph="1"/>
    </row>
    <row r="3990" spans="23:23" ht="26.4">
      <c r="W3990" s="64" ph="1"/>
    </row>
    <row r="3991" spans="23:23" ht="26.4">
      <c r="W3991" s="64" ph="1"/>
    </row>
    <row r="3992" spans="23:23" ht="26.4">
      <c r="W3992" s="64" ph="1"/>
    </row>
    <row r="3993" spans="23:23" ht="26.4">
      <c r="W3993" s="64" ph="1"/>
    </row>
    <row r="3994" spans="23:23" ht="26.4">
      <c r="W3994" s="64" ph="1"/>
    </row>
    <row r="3995" spans="23:23" ht="26.4">
      <c r="W3995" s="64" ph="1"/>
    </row>
    <row r="3996" spans="23:23" ht="26.4">
      <c r="W3996" s="64" ph="1"/>
    </row>
    <row r="3997" spans="23:23" ht="26.4">
      <c r="W3997" s="64" ph="1"/>
    </row>
    <row r="3998" spans="23:23" ht="26.4">
      <c r="W3998" s="64" ph="1"/>
    </row>
    <row r="3999" spans="23:23" ht="26.4">
      <c r="W3999" s="64" ph="1"/>
    </row>
    <row r="4000" spans="23:23" ht="26.4">
      <c r="W4000" s="64" ph="1"/>
    </row>
    <row r="4001" spans="23:23" ht="26.4">
      <c r="W4001" s="64" ph="1"/>
    </row>
    <row r="4002" spans="23:23" ht="26.4">
      <c r="W4002" s="64" ph="1"/>
    </row>
    <row r="4003" spans="23:23" ht="26.4">
      <c r="W4003" s="64" ph="1"/>
    </row>
    <row r="4004" spans="23:23" ht="26.4">
      <c r="W4004" s="64" ph="1"/>
    </row>
    <row r="4005" spans="23:23" ht="26.4">
      <c r="W4005" s="64" ph="1"/>
    </row>
    <row r="4006" spans="23:23" ht="26.4">
      <c r="W4006" s="64" ph="1"/>
    </row>
    <row r="4007" spans="23:23" ht="26.4">
      <c r="W4007" s="64" ph="1"/>
    </row>
    <row r="4008" spans="23:23" ht="26.4">
      <c r="W4008" s="64" ph="1"/>
    </row>
    <row r="4009" spans="23:23" ht="26.4">
      <c r="W4009" s="64" ph="1"/>
    </row>
    <row r="4010" spans="23:23" ht="26.4">
      <c r="W4010" s="64" ph="1"/>
    </row>
    <row r="4011" spans="23:23" ht="26.4">
      <c r="W4011" s="64" ph="1"/>
    </row>
    <row r="4012" spans="23:23" ht="26.4">
      <c r="W4012" s="64" ph="1"/>
    </row>
    <row r="4013" spans="23:23" ht="26.4">
      <c r="W4013" s="64" ph="1"/>
    </row>
    <row r="4014" spans="23:23" ht="26.4">
      <c r="W4014" s="64" ph="1"/>
    </row>
    <row r="4015" spans="23:23" ht="26.4">
      <c r="W4015" s="64" ph="1"/>
    </row>
    <row r="4016" spans="23:23" ht="26.4">
      <c r="W4016" s="64" ph="1"/>
    </row>
    <row r="4017" spans="23:23" ht="26.4">
      <c r="W4017" s="64" ph="1"/>
    </row>
    <row r="4018" spans="23:23" ht="26.4">
      <c r="W4018" s="64" ph="1"/>
    </row>
    <row r="4019" spans="23:23" ht="26.4">
      <c r="W4019" s="64" ph="1"/>
    </row>
    <row r="4020" spans="23:23" ht="26.4">
      <c r="W4020" s="64" ph="1"/>
    </row>
    <row r="4021" spans="23:23" ht="26.4">
      <c r="W4021" s="64" ph="1"/>
    </row>
    <row r="4022" spans="23:23" ht="26.4">
      <c r="W4022" s="64" ph="1"/>
    </row>
    <row r="4023" spans="23:23" ht="26.4">
      <c r="W4023" s="64" ph="1"/>
    </row>
    <row r="4024" spans="23:23" ht="26.4">
      <c r="W4024" s="64" ph="1"/>
    </row>
    <row r="4025" spans="23:23" ht="26.4">
      <c r="W4025" s="64" ph="1"/>
    </row>
    <row r="4026" spans="23:23" ht="26.4">
      <c r="W4026" s="64" ph="1"/>
    </row>
    <row r="4027" spans="23:23" ht="26.4">
      <c r="W4027" s="64" ph="1"/>
    </row>
    <row r="4028" spans="23:23" ht="26.4">
      <c r="W4028" s="64" ph="1"/>
    </row>
    <row r="4029" spans="23:23" ht="26.4">
      <c r="W4029" s="64" ph="1"/>
    </row>
    <row r="4030" spans="23:23" ht="26.4">
      <c r="W4030" s="64" ph="1"/>
    </row>
    <row r="4031" spans="23:23" ht="26.4">
      <c r="W4031" s="64" ph="1"/>
    </row>
    <row r="4032" spans="23:23" ht="26.4">
      <c r="W4032" s="64" ph="1"/>
    </row>
    <row r="4033" spans="23:23" ht="26.4">
      <c r="W4033" s="64" ph="1"/>
    </row>
    <row r="4034" spans="23:23" ht="26.4">
      <c r="W4034" s="64" ph="1"/>
    </row>
    <row r="4035" spans="23:23" ht="26.4">
      <c r="W4035" s="64" ph="1"/>
    </row>
    <row r="4036" spans="23:23" ht="26.4">
      <c r="W4036" s="64" ph="1"/>
    </row>
    <row r="4037" spans="23:23" ht="26.4">
      <c r="W4037" s="64" ph="1"/>
    </row>
    <row r="4038" spans="23:23" ht="26.4">
      <c r="W4038" s="64" ph="1"/>
    </row>
    <row r="4039" spans="23:23" ht="26.4">
      <c r="W4039" s="64" ph="1"/>
    </row>
    <row r="4040" spans="23:23" ht="26.4">
      <c r="W4040" s="64" ph="1"/>
    </row>
    <row r="4041" spans="23:23" ht="26.4">
      <c r="W4041" s="64" ph="1"/>
    </row>
    <row r="4042" spans="23:23" ht="26.4">
      <c r="W4042" s="64" ph="1"/>
    </row>
    <row r="4043" spans="23:23" ht="26.4">
      <c r="W4043" s="64" ph="1"/>
    </row>
    <row r="4044" spans="23:23" ht="26.4">
      <c r="W4044" s="64" ph="1"/>
    </row>
    <row r="4045" spans="23:23" ht="26.4">
      <c r="W4045" s="64" ph="1"/>
    </row>
    <row r="4046" spans="23:23" ht="26.4">
      <c r="W4046" s="64" ph="1"/>
    </row>
    <row r="4047" spans="23:23" ht="26.4">
      <c r="W4047" s="64" ph="1"/>
    </row>
    <row r="4048" spans="23:23" ht="26.4">
      <c r="W4048" s="64" ph="1"/>
    </row>
    <row r="4049" spans="23:23" ht="26.4">
      <c r="W4049" s="64" ph="1"/>
    </row>
    <row r="4050" spans="23:23" ht="26.4">
      <c r="W4050" s="64" ph="1"/>
    </row>
    <row r="4051" spans="23:23" ht="26.4">
      <c r="W4051" s="64" ph="1"/>
    </row>
    <row r="4052" spans="23:23" ht="26.4">
      <c r="W4052" s="64" ph="1"/>
    </row>
    <row r="4053" spans="23:23" ht="26.4">
      <c r="W4053" s="64" ph="1"/>
    </row>
    <row r="4054" spans="23:23" ht="26.4">
      <c r="W4054" s="64" ph="1"/>
    </row>
    <row r="4055" spans="23:23" ht="26.4">
      <c r="W4055" s="64" ph="1"/>
    </row>
    <row r="4056" spans="23:23" ht="26.4">
      <c r="W4056" s="64" ph="1"/>
    </row>
    <row r="4057" spans="23:23" ht="26.4">
      <c r="W4057" s="64" ph="1"/>
    </row>
    <row r="4058" spans="23:23" ht="26.4">
      <c r="W4058" s="64" ph="1"/>
    </row>
    <row r="4059" spans="23:23" ht="26.4">
      <c r="W4059" s="64" ph="1"/>
    </row>
    <row r="4060" spans="23:23" ht="26.4">
      <c r="W4060" s="64" ph="1"/>
    </row>
    <row r="4061" spans="23:23" ht="26.4">
      <c r="W4061" s="64" ph="1"/>
    </row>
    <row r="4062" spans="23:23" ht="26.4">
      <c r="W4062" s="64" ph="1"/>
    </row>
    <row r="4063" spans="23:23" ht="26.4">
      <c r="W4063" s="64" ph="1"/>
    </row>
    <row r="4064" spans="23:23" ht="26.4">
      <c r="W4064" s="64" ph="1"/>
    </row>
    <row r="4065" spans="23:23" ht="26.4">
      <c r="W4065" s="64" ph="1"/>
    </row>
    <row r="4066" spans="23:23" ht="26.4">
      <c r="W4066" s="64" ph="1"/>
    </row>
    <row r="4067" spans="23:23" ht="26.4">
      <c r="W4067" s="64" ph="1"/>
    </row>
    <row r="4068" spans="23:23" ht="26.4">
      <c r="W4068" s="64" ph="1"/>
    </row>
    <row r="4069" spans="23:23" ht="26.4">
      <c r="W4069" s="64" ph="1"/>
    </row>
    <row r="4070" spans="23:23" ht="26.4">
      <c r="W4070" s="64" ph="1"/>
    </row>
    <row r="4071" spans="23:23" ht="26.4">
      <c r="W4071" s="64" ph="1"/>
    </row>
    <row r="4072" spans="23:23" ht="26.4">
      <c r="W4072" s="64" ph="1"/>
    </row>
    <row r="4073" spans="23:23" ht="26.4">
      <c r="W4073" s="64" ph="1"/>
    </row>
    <row r="4074" spans="23:23" ht="26.4">
      <c r="W4074" s="64" ph="1"/>
    </row>
    <row r="4075" spans="23:23" ht="26.4">
      <c r="W4075" s="64" ph="1"/>
    </row>
    <row r="4076" spans="23:23" ht="26.4">
      <c r="W4076" s="64" ph="1"/>
    </row>
    <row r="4077" spans="23:23" ht="26.4">
      <c r="W4077" s="64" ph="1"/>
    </row>
    <row r="4078" spans="23:23" ht="26.4">
      <c r="W4078" s="64" ph="1"/>
    </row>
    <row r="4079" spans="23:23" ht="26.4">
      <c r="W4079" s="64" ph="1"/>
    </row>
    <row r="4080" spans="23:23" ht="26.4">
      <c r="W4080" s="64" ph="1"/>
    </row>
    <row r="4081" spans="23:23" ht="26.4">
      <c r="W4081" s="64" ph="1"/>
    </row>
    <row r="4082" spans="23:23" ht="26.4">
      <c r="W4082" s="64" ph="1"/>
    </row>
    <row r="4083" spans="23:23" ht="26.4">
      <c r="W4083" s="64" ph="1"/>
    </row>
    <row r="4084" spans="23:23" ht="26.4">
      <c r="W4084" s="64" ph="1"/>
    </row>
    <row r="4085" spans="23:23" ht="26.4">
      <c r="W4085" s="64" ph="1"/>
    </row>
    <row r="4086" spans="23:23" ht="26.4">
      <c r="W4086" s="64" ph="1"/>
    </row>
    <row r="4087" spans="23:23" ht="26.4">
      <c r="W4087" s="64" ph="1"/>
    </row>
    <row r="4088" spans="23:23" ht="26.4">
      <c r="W4088" s="64" ph="1"/>
    </row>
    <row r="4089" spans="23:23" ht="26.4">
      <c r="W4089" s="64" ph="1"/>
    </row>
    <row r="4090" spans="23:23" ht="26.4">
      <c r="W4090" s="64" ph="1"/>
    </row>
    <row r="4091" spans="23:23" ht="26.4">
      <c r="W4091" s="64" ph="1"/>
    </row>
    <row r="4092" spans="23:23" ht="26.4">
      <c r="W4092" s="64" ph="1"/>
    </row>
    <row r="4093" spans="23:23" ht="26.4">
      <c r="W4093" s="64" ph="1"/>
    </row>
    <row r="4094" spans="23:23" ht="26.4">
      <c r="W4094" s="64" ph="1"/>
    </row>
    <row r="4095" spans="23:23" ht="26.4">
      <c r="W4095" s="64" ph="1"/>
    </row>
    <row r="4096" spans="23:23" ht="26.4">
      <c r="W4096" s="64" ph="1"/>
    </row>
    <row r="4097" spans="23:23" ht="26.4">
      <c r="W4097" s="64" ph="1"/>
    </row>
    <row r="4098" spans="23:23" ht="26.4">
      <c r="W4098" s="64" ph="1"/>
    </row>
    <row r="4099" spans="23:23" ht="26.4">
      <c r="W4099" s="64" ph="1"/>
    </row>
    <row r="4100" spans="23:23" ht="26.4">
      <c r="W4100" s="64" ph="1"/>
    </row>
    <row r="4101" spans="23:23" ht="26.4">
      <c r="W4101" s="64" ph="1"/>
    </row>
    <row r="4102" spans="23:23" ht="26.4">
      <c r="W4102" s="64" ph="1"/>
    </row>
    <row r="4103" spans="23:23" ht="26.4">
      <c r="W4103" s="64" ph="1"/>
    </row>
    <row r="4104" spans="23:23" ht="26.4">
      <c r="W4104" s="64" ph="1"/>
    </row>
    <row r="4105" spans="23:23" ht="26.4">
      <c r="W4105" s="64" ph="1"/>
    </row>
    <row r="4106" spans="23:23" ht="26.4">
      <c r="W4106" s="64" ph="1"/>
    </row>
    <row r="4107" spans="23:23" ht="26.4">
      <c r="W4107" s="64" ph="1"/>
    </row>
    <row r="4108" spans="23:23" ht="26.4">
      <c r="W4108" s="64" ph="1"/>
    </row>
    <row r="4109" spans="23:23" ht="26.4">
      <c r="W4109" s="64" ph="1"/>
    </row>
    <row r="4110" spans="23:23" ht="26.4">
      <c r="W4110" s="64" ph="1"/>
    </row>
    <row r="4111" spans="23:23" ht="26.4">
      <c r="W4111" s="64" ph="1"/>
    </row>
    <row r="4112" spans="23:23" ht="26.4">
      <c r="W4112" s="64" ph="1"/>
    </row>
    <row r="4113" spans="23:23" ht="26.4">
      <c r="W4113" s="64" ph="1"/>
    </row>
    <row r="4114" spans="23:23" ht="26.4">
      <c r="W4114" s="64" ph="1"/>
    </row>
    <row r="4115" spans="23:23" ht="26.4">
      <c r="W4115" s="64" ph="1"/>
    </row>
    <row r="4116" spans="23:23" ht="26.4">
      <c r="W4116" s="64" ph="1"/>
    </row>
    <row r="4117" spans="23:23" ht="26.4">
      <c r="W4117" s="64" ph="1"/>
    </row>
    <row r="4118" spans="23:23" ht="26.4">
      <c r="W4118" s="64" ph="1"/>
    </row>
    <row r="4119" spans="23:23" ht="26.4">
      <c r="W4119" s="64" ph="1"/>
    </row>
    <row r="4120" spans="23:23" ht="26.4">
      <c r="W4120" s="64" ph="1"/>
    </row>
    <row r="4121" spans="23:23" ht="26.4">
      <c r="W4121" s="64" ph="1"/>
    </row>
    <row r="4122" spans="23:23" ht="26.4">
      <c r="W4122" s="64" ph="1"/>
    </row>
    <row r="4123" spans="23:23" ht="26.4">
      <c r="W4123" s="64" ph="1"/>
    </row>
    <row r="4124" spans="23:23" ht="26.4">
      <c r="W4124" s="64" ph="1"/>
    </row>
    <row r="4125" spans="23:23" ht="26.4">
      <c r="W4125" s="64" ph="1"/>
    </row>
    <row r="4126" spans="23:23" ht="26.4">
      <c r="W4126" s="64" ph="1"/>
    </row>
    <row r="4127" spans="23:23" ht="26.4">
      <c r="W4127" s="64" ph="1"/>
    </row>
    <row r="4128" spans="23:23" ht="26.4">
      <c r="W4128" s="64" ph="1"/>
    </row>
    <row r="4129" spans="23:23" ht="26.4">
      <c r="W4129" s="64" ph="1"/>
    </row>
    <row r="4130" spans="23:23" ht="26.4">
      <c r="W4130" s="64" ph="1"/>
    </row>
    <row r="4131" spans="23:23" ht="26.4">
      <c r="W4131" s="64" ph="1"/>
    </row>
    <row r="4132" spans="23:23" ht="26.4">
      <c r="W4132" s="64" ph="1"/>
    </row>
    <row r="4133" spans="23:23" ht="26.4">
      <c r="W4133" s="64" ph="1"/>
    </row>
    <row r="4134" spans="23:23" ht="26.4">
      <c r="W4134" s="64" ph="1"/>
    </row>
    <row r="4135" spans="23:23" ht="26.4">
      <c r="W4135" s="64" ph="1"/>
    </row>
    <row r="4136" spans="23:23" ht="26.4">
      <c r="W4136" s="64" ph="1"/>
    </row>
    <row r="4137" spans="23:23" ht="26.4">
      <c r="W4137" s="64" ph="1"/>
    </row>
    <row r="4138" spans="23:23" ht="26.4">
      <c r="W4138" s="64" ph="1"/>
    </row>
    <row r="4139" spans="23:23" ht="26.4">
      <c r="W4139" s="64" ph="1"/>
    </row>
    <row r="4140" spans="23:23" ht="26.4">
      <c r="W4140" s="64" ph="1"/>
    </row>
    <row r="4141" spans="23:23" ht="26.4">
      <c r="W4141" s="64" ph="1"/>
    </row>
    <row r="4142" spans="23:23" ht="26.4">
      <c r="W4142" s="64" ph="1"/>
    </row>
    <row r="4143" spans="23:23" ht="26.4">
      <c r="W4143" s="64" ph="1"/>
    </row>
    <row r="4144" spans="23:23" ht="26.4">
      <c r="W4144" s="64" ph="1"/>
    </row>
    <row r="4145" spans="23:23" ht="26.4">
      <c r="W4145" s="64" ph="1"/>
    </row>
    <row r="4146" spans="23:23" ht="26.4">
      <c r="W4146" s="64" ph="1"/>
    </row>
    <row r="4147" spans="23:23" ht="26.4">
      <c r="W4147" s="64" ph="1"/>
    </row>
    <row r="4148" spans="23:23" ht="26.4">
      <c r="W4148" s="64" ph="1"/>
    </row>
    <row r="4149" spans="23:23" ht="26.4">
      <c r="W4149" s="64" ph="1"/>
    </row>
    <row r="4150" spans="23:23" ht="26.4">
      <c r="W4150" s="64" ph="1"/>
    </row>
    <row r="4151" spans="23:23" ht="26.4">
      <c r="W4151" s="64" ph="1"/>
    </row>
    <row r="4152" spans="23:23" ht="26.4">
      <c r="W4152" s="64" ph="1"/>
    </row>
    <row r="4153" spans="23:23" ht="26.4">
      <c r="W4153" s="64" ph="1"/>
    </row>
    <row r="4154" spans="23:23" ht="26.4">
      <c r="W4154" s="64" ph="1"/>
    </row>
    <row r="4155" spans="23:23" ht="26.4">
      <c r="W4155" s="64" ph="1"/>
    </row>
    <row r="4156" spans="23:23" ht="26.4">
      <c r="W4156" s="64" ph="1"/>
    </row>
    <row r="4157" spans="23:23" ht="26.4">
      <c r="W4157" s="64" ph="1"/>
    </row>
    <row r="4158" spans="23:23" ht="26.4">
      <c r="W4158" s="64" ph="1"/>
    </row>
    <row r="4159" spans="23:23" ht="26.4">
      <c r="W4159" s="64" ph="1"/>
    </row>
    <row r="4160" spans="23:23" ht="26.4">
      <c r="W4160" s="64" ph="1"/>
    </row>
    <row r="4161" spans="23:23" ht="26.4">
      <c r="W4161" s="64" ph="1"/>
    </row>
    <row r="4162" spans="23:23" ht="26.4">
      <c r="W4162" s="64" ph="1"/>
    </row>
    <row r="4163" spans="23:23" ht="26.4">
      <c r="W4163" s="64" ph="1"/>
    </row>
    <row r="4164" spans="23:23" ht="26.4">
      <c r="W4164" s="64" ph="1"/>
    </row>
    <row r="4165" spans="23:23" ht="26.4">
      <c r="W4165" s="64" ph="1"/>
    </row>
    <row r="4166" spans="23:23" ht="26.4">
      <c r="W4166" s="64" ph="1"/>
    </row>
    <row r="4167" spans="23:23" ht="26.4">
      <c r="W4167" s="64" ph="1"/>
    </row>
    <row r="4168" spans="23:23" ht="26.4">
      <c r="W4168" s="64" ph="1"/>
    </row>
    <row r="4169" spans="23:23" ht="26.4">
      <c r="W4169" s="64" ph="1"/>
    </row>
    <row r="4170" spans="23:23" ht="26.4">
      <c r="W4170" s="64" ph="1"/>
    </row>
    <row r="4171" spans="23:23" ht="26.4">
      <c r="W4171" s="64" ph="1"/>
    </row>
    <row r="4172" spans="23:23" ht="26.4">
      <c r="W4172" s="64" ph="1"/>
    </row>
    <row r="4173" spans="23:23" ht="26.4">
      <c r="W4173" s="64" ph="1"/>
    </row>
    <row r="4174" spans="23:23" ht="26.4">
      <c r="W4174" s="64" ph="1"/>
    </row>
    <row r="4175" spans="23:23" ht="26.4">
      <c r="W4175" s="64" ph="1"/>
    </row>
    <row r="4176" spans="23:23" ht="26.4">
      <c r="W4176" s="64" ph="1"/>
    </row>
    <row r="4177" spans="23:23" ht="26.4">
      <c r="W4177" s="64" ph="1"/>
    </row>
    <row r="4178" spans="23:23" ht="26.4">
      <c r="W4178" s="64" ph="1"/>
    </row>
    <row r="4179" spans="23:23" ht="26.4">
      <c r="W4179" s="64" ph="1"/>
    </row>
    <row r="4180" spans="23:23" ht="26.4">
      <c r="W4180" s="64" ph="1"/>
    </row>
    <row r="4181" spans="23:23" ht="26.4">
      <c r="W4181" s="64" ph="1"/>
    </row>
    <row r="4182" spans="23:23" ht="26.4">
      <c r="W4182" s="64" ph="1"/>
    </row>
    <row r="4183" spans="23:23" ht="26.4">
      <c r="W4183" s="64" ph="1"/>
    </row>
    <row r="4184" spans="23:23" ht="26.4">
      <c r="W4184" s="64" ph="1"/>
    </row>
    <row r="4185" spans="23:23" ht="26.4">
      <c r="W4185" s="64" ph="1"/>
    </row>
    <row r="4186" spans="23:23" ht="26.4">
      <c r="W4186" s="64" ph="1"/>
    </row>
    <row r="4187" spans="23:23" ht="26.4">
      <c r="W4187" s="64" ph="1"/>
    </row>
    <row r="4188" spans="23:23" ht="26.4">
      <c r="W4188" s="64" ph="1"/>
    </row>
    <row r="4189" spans="23:23" ht="26.4">
      <c r="W4189" s="64" ph="1"/>
    </row>
    <row r="4190" spans="23:23" ht="26.4">
      <c r="W4190" s="64" ph="1"/>
    </row>
    <row r="4191" spans="23:23" ht="26.4">
      <c r="W4191" s="64" ph="1"/>
    </row>
    <row r="4192" spans="23:23" ht="26.4">
      <c r="W4192" s="64" ph="1"/>
    </row>
    <row r="4193" spans="23:23" ht="26.4">
      <c r="W4193" s="64" ph="1"/>
    </row>
    <row r="4194" spans="23:23" ht="26.4">
      <c r="W4194" s="64" ph="1"/>
    </row>
    <row r="4195" spans="23:23" ht="26.4">
      <c r="W4195" s="64" ph="1"/>
    </row>
    <row r="4196" spans="23:23" ht="26.4">
      <c r="W4196" s="64" ph="1"/>
    </row>
    <row r="4197" spans="23:23" ht="26.4">
      <c r="W4197" s="64" ph="1"/>
    </row>
    <row r="4198" spans="23:23" ht="26.4">
      <c r="W4198" s="64" ph="1"/>
    </row>
    <row r="4199" spans="23:23" ht="26.4">
      <c r="W4199" s="64" ph="1"/>
    </row>
    <row r="4200" spans="23:23" ht="26.4">
      <c r="W4200" s="64" ph="1"/>
    </row>
    <row r="4201" spans="23:23" ht="26.4">
      <c r="W4201" s="64" ph="1"/>
    </row>
    <row r="4202" spans="23:23" ht="26.4">
      <c r="W4202" s="64" ph="1"/>
    </row>
    <row r="4203" spans="23:23" ht="26.4">
      <c r="W4203" s="64" ph="1"/>
    </row>
    <row r="4204" spans="23:23" ht="26.4">
      <c r="W4204" s="64" ph="1"/>
    </row>
    <row r="4205" spans="23:23" ht="26.4">
      <c r="W4205" s="64" ph="1"/>
    </row>
    <row r="4206" spans="23:23" ht="26.4">
      <c r="W4206" s="64" ph="1"/>
    </row>
    <row r="4207" spans="23:23" ht="26.4">
      <c r="W4207" s="64" ph="1"/>
    </row>
    <row r="4208" spans="23:23" ht="26.4">
      <c r="W4208" s="64" ph="1"/>
    </row>
    <row r="4209" spans="23:23" ht="26.4">
      <c r="W4209" s="64" ph="1"/>
    </row>
    <row r="4210" spans="23:23" ht="26.4">
      <c r="W4210" s="64" ph="1"/>
    </row>
    <row r="4211" spans="23:23" ht="26.4">
      <c r="W4211" s="64" ph="1"/>
    </row>
    <row r="4212" spans="23:23" ht="26.4">
      <c r="W4212" s="64" ph="1"/>
    </row>
    <row r="4213" spans="23:23" ht="26.4">
      <c r="W4213" s="64" ph="1"/>
    </row>
    <row r="4214" spans="23:23" ht="26.4">
      <c r="W4214" s="64" ph="1"/>
    </row>
    <row r="4215" spans="23:23" ht="26.4">
      <c r="W4215" s="64" ph="1"/>
    </row>
    <row r="4216" spans="23:23" ht="26.4">
      <c r="W4216" s="64" ph="1"/>
    </row>
    <row r="4217" spans="23:23" ht="26.4">
      <c r="W4217" s="64" ph="1"/>
    </row>
    <row r="4218" spans="23:23" ht="26.4">
      <c r="W4218" s="64" ph="1"/>
    </row>
    <row r="4219" spans="23:23" ht="26.4">
      <c r="W4219" s="64" ph="1"/>
    </row>
    <row r="4220" spans="23:23" ht="26.4">
      <c r="W4220" s="64" ph="1"/>
    </row>
    <row r="4221" spans="23:23" ht="26.4">
      <c r="W4221" s="64" ph="1"/>
    </row>
    <row r="4222" spans="23:23" ht="26.4">
      <c r="W4222" s="64" ph="1"/>
    </row>
    <row r="4223" spans="23:23" ht="26.4">
      <c r="W4223" s="64" ph="1"/>
    </row>
    <row r="4224" spans="23:23" ht="26.4">
      <c r="W4224" s="64" ph="1"/>
    </row>
    <row r="4225" spans="23:23" ht="26.4">
      <c r="W4225" s="64" ph="1"/>
    </row>
    <row r="4226" spans="23:23" ht="26.4">
      <c r="W4226" s="64" ph="1"/>
    </row>
    <row r="4227" spans="23:23" ht="26.4">
      <c r="W4227" s="64" ph="1"/>
    </row>
    <row r="4228" spans="23:23" ht="26.4">
      <c r="W4228" s="64" ph="1"/>
    </row>
    <row r="4229" spans="23:23" ht="26.4">
      <c r="W4229" s="64" ph="1"/>
    </row>
    <row r="4230" spans="23:23" ht="26.4">
      <c r="W4230" s="64" ph="1"/>
    </row>
    <row r="4231" spans="23:23" ht="26.4">
      <c r="W4231" s="64" ph="1"/>
    </row>
    <row r="4232" spans="23:23" ht="26.4">
      <c r="W4232" s="64" ph="1"/>
    </row>
    <row r="4233" spans="23:23" ht="26.4">
      <c r="W4233" s="64" ph="1"/>
    </row>
    <row r="4234" spans="23:23" ht="26.4">
      <c r="W4234" s="64" ph="1"/>
    </row>
    <row r="4235" spans="23:23" ht="26.4">
      <c r="W4235" s="64" ph="1"/>
    </row>
    <row r="4236" spans="23:23" ht="26.4">
      <c r="W4236" s="64" ph="1"/>
    </row>
    <row r="4237" spans="23:23" ht="26.4">
      <c r="W4237" s="64" ph="1"/>
    </row>
    <row r="4238" spans="23:23" ht="26.4">
      <c r="W4238" s="64" ph="1"/>
    </row>
    <row r="4239" spans="23:23" ht="26.4">
      <c r="W4239" s="64" ph="1"/>
    </row>
    <row r="4240" spans="23:23" ht="26.4">
      <c r="W4240" s="64" ph="1"/>
    </row>
    <row r="4241" spans="23:23" ht="26.4">
      <c r="W4241" s="64" ph="1"/>
    </row>
    <row r="4242" spans="23:23" ht="26.4">
      <c r="W4242" s="64" ph="1"/>
    </row>
    <row r="4243" spans="23:23" ht="26.4">
      <c r="W4243" s="64" ph="1"/>
    </row>
    <row r="4244" spans="23:23" ht="26.4">
      <c r="W4244" s="64" ph="1"/>
    </row>
    <row r="4245" spans="23:23" ht="26.4">
      <c r="W4245" s="64" ph="1"/>
    </row>
    <row r="4246" spans="23:23" ht="26.4">
      <c r="W4246" s="64" ph="1"/>
    </row>
    <row r="4247" spans="23:23" ht="26.4">
      <c r="W4247" s="64" ph="1"/>
    </row>
    <row r="4248" spans="23:23" ht="26.4">
      <c r="W4248" s="64" ph="1"/>
    </row>
    <row r="4249" spans="23:23" ht="26.4">
      <c r="W4249" s="64" ph="1"/>
    </row>
    <row r="4250" spans="23:23" ht="26.4">
      <c r="W4250" s="64" ph="1"/>
    </row>
    <row r="4251" spans="23:23" ht="26.4">
      <c r="W4251" s="64" ph="1"/>
    </row>
    <row r="4252" spans="23:23" ht="26.4">
      <c r="W4252" s="64" ph="1"/>
    </row>
    <row r="4253" spans="23:23" ht="26.4">
      <c r="W4253" s="64" ph="1"/>
    </row>
    <row r="4254" spans="23:23" ht="26.4">
      <c r="W4254" s="64" ph="1"/>
    </row>
    <row r="4255" spans="23:23" ht="26.4">
      <c r="W4255" s="64" ph="1"/>
    </row>
    <row r="4256" spans="23:23" ht="26.4">
      <c r="W4256" s="64" ph="1"/>
    </row>
    <row r="4257" spans="23:23" ht="26.4">
      <c r="W4257" s="64" ph="1"/>
    </row>
    <row r="4258" spans="23:23" ht="26.4">
      <c r="W4258" s="64" ph="1"/>
    </row>
    <row r="4259" spans="23:23" ht="26.4">
      <c r="W4259" s="64" ph="1"/>
    </row>
    <row r="4260" spans="23:23" ht="26.4">
      <c r="W4260" s="64" ph="1"/>
    </row>
    <row r="4261" spans="23:23" ht="26.4">
      <c r="W4261" s="64" ph="1"/>
    </row>
    <row r="4262" spans="23:23" ht="26.4">
      <c r="W4262" s="64" ph="1"/>
    </row>
    <row r="4263" spans="23:23" ht="26.4">
      <c r="W4263" s="64" ph="1"/>
    </row>
    <row r="4264" spans="23:23" ht="26.4">
      <c r="W4264" s="64" ph="1"/>
    </row>
    <row r="4265" spans="23:23" ht="26.4">
      <c r="W4265" s="64" ph="1"/>
    </row>
    <row r="4266" spans="23:23" ht="26.4">
      <c r="W4266" s="64" ph="1"/>
    </row>
    <row r="4267" spans="23:23" ht="26.4">
      <c r="W4267" s="64" ph="1"/>
    </row>
    <row r="4268" spans="23:23" ht="26.4">
      <c r="W4268" s="64" ph="1"/>
    </row>
    <row r="4269" spans="23:23" ht="26.4">
      <c r="W4269" s="64" ph="1"/>
    </row>
    <row r="4270" spans="23:23" ht="26.4">
      <c r="W4270" s="64" ph="1"/>
    </row>
    <row r="4271" spans="23:23" ht="26.4">
      <c r="W4271" s="64" ph="1"/>
    </row>
    <row r="4272" spans="23:23" ht="26.4">
      <c r="W4272" s="64" ph="1"/>
    </row>
    <row r="4273" spans="23:23" ht="26.4">
      <c r="W4273" s="64" ph="1"/>
    </row>
    <row r="4274" spans="23:23" ht="26.4">
      <c r="W4274" s="64" ph="1"/>
    </row>
    <row r="4275" spans="23:23" ht="26.4">
      <c r="W4275" s="64" ph="1"/>
    </row>
    <row r="4276" spans="23:23" ht="26.4">
      <c r="W4276" s="64" ph="1"/>
    </row>
    <row r="4277" spans="23:23" ht="26.4">
      <c r="W4277" s="64" ph="1"/>
    </row>
    <row r="4278" spans="23:23" ht="26.4">
      <c r="W4278" s="64" ph="1"/>
    </row>
    <row r="4279" spans="23:23" ht="26.4">
      <c r="W4279" s="64" ph="1"/>
    </row>
    <row r="4280" spans="23:23" ht="26.4">
      <c r="W4280" s="64" ph="1"/>
    </row>
    <row r="4281" spans="23:23" ht="26.4">
      <c r="W4281" s="64" ph="1"/>
    </row>
    <row r="4282" spans="23:23" ht="26.4">
      <c r="W4282" s="64" ph="1"/>
    </row>
    <row r="4283" spans="23:23" ht="26.4">
      <c r="W4283" s="64" ph="1"/>
    </row>
    <row r="4284" spans="23:23" ht="26.4">
      <c r="W4284" s="64" ph="1"/>
    </row>
    <row r="4285" spans="23:23" ht="26.4">
      <c r="W4285" s="64" ph="1"/>
    </row>
    <row r="4286" spans="23:23" ht="26.4">
      <c r="W4286" s="64" ph="1"/>
    </row>
    <row r="4287" spans="23:23" ht="26.4">
      <c r="W4287" s="64" ph="1"/>
    </row>
    <row r="4288" spans="23:23" ht="26.4">
      <c r="W4288" s="64" ph="1"/>
    </row>
    <row r="4289" spans="23:23" ht="26.4">
      <c r="W4289" s="64" ph="1"/>
    </row>
    <row r="4290" spans="23:23" ht="26.4">
      <c r="W4290" s="64" ph="1"/>
    </row>
    <row r="4291" spans="23:23" ht="26.4">
      <c r="W4291" s="64" ph="1"/>
    </row>
    <row r="4292" spans="23:23" ht="26.4">
      <c r="W4292" s="64" ph="1"/>
    </row>
    <row r="4293" spans="23:23" ht="26.4">
      <c r="W4293" s="64" ph="1"/>
    </row>
    <row r="4294" spans="23:23" ht="26.4">
      <c r="W4294" s="64" ph="1"/>
    </row>
    <row r="4295" spans="23:23" ht="26.4">
      <c r="W4295" s="64" ph="1"/>
    </row>
    <row r="4296" spans="23:23" ht="26.4">
      <c r="W4296" s="64" ph="1"/>
    </row>
    <row r="4297" spans="23:23" ht="26.4">
      <c r="W4297" s="64" ph="1"/>
    </row>
    <row r="4298" spans="23:23" ht="26.4">
      <c r="W4298" s="64" ph="1"/>
    </row>
    <row r="4299" spans="23:23" ht="26.4">
      <c r="W4299" s="64" ph="1"/>
    </row>
    <row r="4300" spans="23:23" ht="26.4">
      <c r="W4300" s="64" ph="1"/>
    </row>
    <row r="4301" spans="23:23" ht="26.4">
      <c r="W4301" s="64" ph="1"/>
    </row>
    <row r="4302" spans="23:23" ht="26.4">
      <c r="W4302" s="64" ph="1"/>
    </row>
    <row r="4303" spans="23:23" ht="26.4">
      <c r="W4303" s="64" ph="1"/>
    </row>
    <row r="4304" spans="23:23" ht="26.4">
      <c r="W4304" s="64" ph="1"/>
    </row>
    <row r="4305" spans="23:23" ht="26.4">
      <c r="W4305" s="64" ph="1"/>
    </row>
    <row r="4306" spans="23:23" ht="26.4">
      <c r="W4306" s="64" ph="1"/>
    </row>
    <row r="4307" spans="23:23" ht="26.4">
      <c r="W4307" s="64" ph="1"/>
    </row>
    <row r="4308" spans="23:23" ht="26.4">
      <c r="W4308" s="64" ph="1"/>
    </row>
    <row r="4309" spans="23:23" ht="26.4">
      <c r="W4309" s="64" ph="1"/>
    </row>
    <row r="4310" spans="23:23" ht="26.4">
      <c r="W4310" s="64" ph="1"/>
    </row>
    <row r="4311" spans="23:23" ht="26.4">
      <c r="W4311" s="64" ph="1"/>
    </row>
    <row r="4312" spans="23:23" ht="26.4">
      <c r="W4312" s="64" ph="1"/>
    </row>
    <row r="4313" spans="23:23" ht="26.4">
      <c r="W4313" s="64" ph="1"/>
    </row>
    <row r="4314" spans="23:23" ht="26.4">
      <c r="W4314" s="64" ph="1"/>
    </row>
    <row r="4315" spans="23:23" ht="26.4">
      <c r="W4315" s="64" ph="1"/>
    </row>
    <row r="4316" spans="23:23" ht="26.4">
      <c r="W4316" s="64" ph="1"/>
    </row>
    <row r="4317" spans="23:23" ht="26.4">
      <c r="W4317" s="64" ph="1"/>
    </row>
    <row r="4318" spans="23:23" ht="26.4">
      <c r="W4318" s="64" ph="1"/>
    </row>
    <row r="4319" spans="23:23" ht="26.4">
      <c r="W4319" s="64" ph="1"/>
    </row>
    <row r="4320" spans="23:23" ht="26.4">
      <c r="W4320" s="64" ph="1"/>
    </row>
    <row r="4321" spans="23:23" ht="26.4">
      <c r="W4321" s="64" ph="1"/>
    </row>
    <row r="4322" spans="23:23" ht="26.4">
      <c r="W4322" s="64" ph="1"/>
    </row>
    <row r="4323" spans="23:23" ht="26.4">
      <c r="W4323" s="64" ph="1"/>
    </row>
    <row r="4324" spans="23:23" ht="26.4">
      <c r="W4324" s="64" ph="1"/>
    </row>
    <row r="4325" spans="23:23" ht="26.4">
      <c r="W4325" s="64" ph="1"/>
    </row>
    <row r="4326" spans="23:23" ht="26.4">
      <c r="W4326" s="64" ph="1"/>
    </row>
    <row r="4327" spans="23:23" ht="26.4">
      <c r="W4327" s="64" ph="1"/>
    </row>
    <row r="4328" spans="23:23" ht="26.4">
      <c r="W4328" s="64" ph="1"/>
    </row>
    <row r="4329" spans="23:23" ht="26.4">
      <c r="W4329" s="64" ph="1"/>
    </row>
    <row r="4330" spans="23:23" ht="26.4">
      <c r="W4330" s="64" ph="1"/>
    </row>
    <row r="4331" spans="23:23" ht="26.4">
      <c r="W4331" s="64" ph="1"/>
    </row>
    <row r="4332" spans="23:23" ht="26.4">
      <c r="W4332" s="64" ph="1"/>
    </row>
    <row r="4333" spans="23:23" ht="26.4">
      <c r="W4333" s="64" ph="1"/>
    </row>
    <row r="4334" spans="23:23" ht="26.4">
      <c r="W4334" s="64" ph="1"/>
    </row>
    <row r="4335" spans="23:23" ht="26.4">
      <c r="W4335" s="64" ph="1"/>
    </row>
    <row r="4336" spans="23:23" ht="26.4">
      <c r="W4336" s="64" ph="1"/>
    </row>
    <row r="4337" spans="23:23" ht="26.4">
      <c r="W4337" s="64" ph="1"/>
    </row>
    <row r="4338" spans="23:23" ht="26.4">
      <c r="W4338" s="64" ph="1"/>
    </row>
    <row r="4339" spans="23:23" ht="26.4">
      <c r="W4339" s="64" ph="1"/>
    </row>
    <row r="4340" spans="23:23" ht="26.4">
      <c r="W4340" s="64" ph="1"/>
    </row>
    <row r="4341" spans="23:23" ht="26.4">
      <c r="W4341" s="64" ph="1"/>
    </row>
    <row r="4342" spans="23:23" ht="26.4">
      <c r="W4342" s="64" ph="1"/>
    </row>
    <row r="4343" spans="23:23" ht="26.4">
      <c r="W4343" s="64" ph="1"/>
    </row>
    <row r="4344" spans="23:23" ht="26.4">
      <c r="W4344" s="64" ph="1"/>
    </row>
    <row r="4345" spans="23:23" ht="26.4">
      <c r="W4345" s="64" ph="1"/>
    </row>
    <row r="4346" spans="23:23" ht="26.4">
      <c r="W4346" s="64" ph="1"/>
    </row>
    <row r="4347" spans="23:23" ht="26.4">
      <c r="W4347" s="64" ph="1"/>
    </row>
    <row r="4348" spans="23:23" ht="26.4">
      <c r="W4348" s="64" ph="1"/>
    </row>
    <row r="4349" spans="23:23" ht="26.4">
      <c r="W4349" s="64" ph="1"/>
    </row>
    <row r="4350" spans="23:23" ht="26.4">
      <c r="W4350" s="64" ph="1"/>
    </row>
    <row r="4351" spans="23:23" ht="26.4">
      <c r="W4351" s="64" ph="1"/>
    </row>
    <row r="4352" spans="23:23" ht="26.4">
      <c r="W4352" s="64" ph="1"/>
    </row>
    <row r="4353" spans="23:23" ht="26.4">
      <c r="W4353" s="64" ph="1"/>
    </row>
    <row r="4354" spans="23:23" ht="26.4">
      <c r="W4354" s="64" ph="1"/>
    </row>
    <row r="4355" spans="23:23" ht="26.4">
      <c r="W4355" s="64" ph="1"/>
    </row>
    <row r="4356" spans="23:23" ht="26.4">
      <c r="W4356" s="64" ph="1"/>
    </row>
    <row r="4357" spans="23:23" ht="26.4">
      <c r="W4357" s="64" ph="1"/>
    </row>
    <row r="4358" spans="23:23" ht="26.4">
      <c r="W4358" s="64" ph="1"/>
    </row>
    <row r="4359" spans="23:23" ht="26.4">
      <c r="W4359" s="64" ph="1"/>
    </row>
    <row r="4360" spans="23:23" ht="26.4">
      <c r="W4360" s="64" ph="1"/>
    </row>
    <row r="4361" spans="23:23" ht="26.4">
      <c r="W4361" s="64" ph="1"/>
    </row>
    <row r="4362" spans="23:23" ht="26.4">
      <c r="W4362" s="64" ph="1"/>
    </row>
    <row r="4363" spans="23:23" ht="26.4">
      <c r="W4363" s="64" ph="1"/>
    </row>
    <row r="4364" spans="23:23" ht="26.4">
      <c r="W4364" s="64" ph="1"/>
    </row>
    <row r="4365" spans="23:23" ht="26.4">
      <c r="W4365" s="64" ph="1"/>
    </row>
    <row r="4366" spans="23:23" ht="26.4">
      <c r="W4366" s="64" ph="1"/>
    </row>
    <row r="4367" spans="23:23" ht="26.4">
      <c r="W4367" s="64" ph="1"/>
    </row>
    <row r="4368" spans="23:23" ht="26.4">
      <c r="W4368" s="64" ph="1"/>
    </row>
    <row r="4369" spans="23:23" ht="26.4">
      <c r="W4369" s="64" ph="1"/>
    </row>
    <row r="4370" spans="23:23" ht="26.4">
      <c r="W4370" s="64" ph="1"/>
    </row>
    <row r="4371" spans="23:23" ht="26.4">
      <c r="W4371" s="64" ph="1"/>
    </row>
    <row r="4372" spans="23:23" ht="26.4">
      <c r="W4372" s="64" ph="1"/>
    </row>
    <row r="4373" spans="23:23" ht="26.4">
      <c r="W4373" s="64" ph="1"/>
    </row>
    <row r="4374" spans="23:23" ht="26.4">
      <c r="W4374" s="64" ph="1"/>
    </row>
    <row r="4375" spans="23:23" ht="26.4">
      <c r="W4375" s="64" ph="1"/>
    </row>
    <row r="4376" spans="23:23" ht="26.4">
      <c r="W4376" s="64" ph="1"/>
    </row>
    <row r="4377" spans="23:23" ht="26.4">
      <c r="W4377" s="64" ph="1"/>
    </row>
    <row r="4378" spans="23:23" ht="26.4">
      <c r="W4378" s="64" ph="1"/>
    </row>
    <row r="4379" spans="23:23" ht="26.4">
      <c r="W4379" s="64" ph="1"/>
    </row>
    <row r="4380" spans="23:23" ht="26.4">
      <c r="W4380" s="64" ph="1"/>
    </row>
    <row r="4381" spans="23:23" ht="26.4">
      <c r="W4381" s="64" ph="1"/>
    </row>
    <row r="4382" spans="23:23" ht="26.4">
      <c r="W4382" s="64" ph="1"/>
    </row>
    <row r="4383" spans="23:23" ht="26.4">
      <c r="W4383" s="64" ph="1"/>
    </row>
    <row r="4384" spans="23:23" ht="26.4">
      <c r="W4384" s="64" ph="1"/>
    </row>
    <row r="4385" spans="23:23" ht="26.4">
      <c r="W4385" s="64" ph="1"/>
    </row>
    <row r="4386" spans="23:23" ht="26.4">
      <c r="W4386" s="64" ph="1"/>
    </row>
    <row r="4387" spans="23:23" ht="26.4">
      <c r="W4387" s="64" ph="1"/>
    </row>
    <row r="4388" spans="23:23" ht="26.4">
      <c r="W4388" s="64" ph="1"/>
    </row>
    <row r="4389" spans="23:23" ht="26.4">
      <c r="W4389" s="64" ph="1"/>
    </row>
    <row r="4390" spans="23:23" ht="26.4">
      <c r="W4390" s="64" ph="1"/>
    </row>
    <row r="4391" spans="23:23" ht="26.4">
      <c r="W4391" s="64" ph="1"/>
    </row>
    <row r="4392" spans="23:23" ht="26.4">
      <c r="W4392" s="64" ph="1"/>
    </row>
    <row r="4393" spans="23:23" ht="26.4">
      <c r="W4393" s="64" ph="1"/>
    </row>
    <row r="4394" spans="23:23" ht="26.4">
      <c r="W4394" s="64" ph="1"/>
    </row>
    <row r="4395" spans="23:23" ht="26.4">
      <c r="W4395" s="64" ph="1"/>
    </row>
    <row r="4396" spans="23:23" ht="26.4">
      <c r="W4396" s="64" ph="1"/>
    </row>
    <row r="4397" spans="23:23" ht="26.4">
      <c r="W4397" s="64" ph="1"/>
    </row>
    <row r="4398" spans="23:23" ht="26.4">
      <c r="W4398" s="64" ph="1"/>
    </row>
    <row r="4399" spans="23:23" ht="26.4">
      <c r="W4399" s="64" ph="1"/>
    </row>
    <row r="4400" spans="23:23" ht="26.4">
      <c r="W4400" s="64" ph="1"/>
    </row>
    <row r="4401" spans="23:23" ht="26.4">
      <c r="W4401" s="64" ph="1"/>
    </row>
    <row r="4402" spans="23:23" ht="26.4">
      <c r="W4402" s="64" ph="1"/>
    </row>
    <row r="4403" spans="23:23" ht="26.4">
      <c r="W4403" s="64" ph="1"/>
    </row>
    <row r="4404" spans="23:23" ht="26.4">
      <c r="W4404" s="64" ph="1"/>
    </row>
    <row r="4405" spans="23:23" ht="26.4">
      <c r="W4405" s="64" ph="1"/>
    </row>
    <row r="4406" spans="23:23" ht="26.4">
      <c r="W4406" s="64" ph="1"/>
    </row>
    <row r="4407" spans="23:23" ht="26.4">
      <c r="W4407" s="64" ph="1"/>
    </row>
    <row r="4408" spans="23:23" ht="26.4">
      <c r="W4408" s="64" ph="1"/>
    </row>
    <row r="4409" spans="23:23" ht="26.4">
      <c r="W4409" s="64" ph="1"/>
    </row>
    <row r="4410" spans="23:23" ht="26.4">
      <c r="W4410" s="64" ph="1"/>
    </row>
    <row r="4411" spans="23:23" ht="26.4">
      <c r="W4411" s="64" ph="1"/>
    </row>
    <row r="4412" spans="23:23" ht="26.4">
      <c r="W4412" s="64" ph="1"/>
    </row>
    <row r="4413" spans="23:23" ht="26.4">
      <c r="W4413" s="64" ph="1"/>
    </row>
    <row r="4414" spans="23:23" ht="26.4">
      <c r="W4414" s="64" ph="1"/>
    </row>
    <row r="4415" spans="23:23" ht="26.4">
      <c r="W4415" s="64" ph="1"/>
    </row>
    <row r="4416" spans="23:23" ht="26.4">
      <c r="W4416" s="64" ph="1"/>
    </row>
    <row r="4417" spans="23:23" ht="26.4">
      <c r="W4417" s="64" ph="1"/>
    </row>
    <row r="4418" spans="23:23" ht="26.4">
      <c r="W4418" s="64" ph="1"/>
    </row>
    <row r="4419" spans="23:23" ht="26.4">
      <c r="W4419" s="64" ph="1"/>
    </row>
    <row r="4420" spans="23:23" ht="26.4">
      <c r="W4420" s="64" ph="1"/>
    </row>
    <row r="4421" spans="23:23" ht="26.4">
      <c r="W4421" s="64" ph="1"/>
    </row>
    <row r="4422" spans="23:23" ht="26.4">
      <c r="W4422" s="64" ph="1"/>
    </row>
    <row r="4423" spans="23:23" ht="26.4">
      <c r="W4423" s="64" ph="1"/>
    </row>
    <row r="4424" spans="23:23" ht="26.4">
      <c r="W4424" s="64" ph="1"/>
    </row>
    <row r="4425" spans="23:23" ht="26.4">
      <c r="W4425" s="64" ph="1"/>
    </row>
    <row r="4426" spans="23:23" ht="26.4">
      <c r="W4426" s="64" ph="1"/>
    </row>
    <row r="4427" spans="23:23" ht="26.4">
      <c r="W4427" s="64" ph="1"/>
    </row>
    <row r="4428" spans="23:23" ht="26.4">
      <c r="W4428" s="64" ph="1"/>
    </row>
    <row r="4429" spans="23:23" ht="26.4">
      <c r="W4429" s="64" ph="1"/>
    </row>
    <row r="4430" spans="23:23" ht="26.4">
      <c r="W4430" s="64" ph="1"/>
    </row>
    <row r="4431" spans="23:23" ht="26.4">
      <c r="W4431" s="64" ph="1"/>
    </row>
    <row r="4432" spans="23:23" ht="26.4">
      <c r="W4432" s="64" ph="1"/>
    </row>
    <row r="4433" spans="23:23" ht="26.4">
      <c r="W4433" s="64" ph="1"/>
    </row>
    <row r="4434" spans="23:23" ht="26.4">
      <c r="W4434" s="64" ph="1"/>
    </row>
    <row r="4435" spans="23:23" ht="26.4">
      <c r="W4435" s="64" ph="1"/>
    </row>
    <row r="4436" spans="23:23" ht="26.4">
      <c r="W4436" s="64" ph="1"/>
    </row>
    <row r="4437" spans="23:23" ht="26.4">
      <c r="W4437" s="64" ph="1"/>
    </row>
    <row r="4438" spans="23:23" ht="26.4">
      <c r="W4438" s="64" ph="1"/>
    </row>
    <row r="4439" spans="23:23" ht="26.4">
      <c r="W4439" s="64" ph="1"/>
    </row>
    <row r="4440" spans="23:23" ht="26.4">
      <c r="W4440" s="64" ph="1"/>
    </row>
    <row r="4441" spans="23:23" ht="26.4">
      <c r="W4441" s="64" ph="1"/>
    </row>
    <row r="4442" spans="23:23" ht="26.4">
      <c r="W4442" s="64" ph="1"/>
    </row>
    <row r="4443" spans="23:23" ht="26.4">
      <c r="W4443" s="64" ph="1"/>
    </row>
    <row r="4444" spans="23:23" ht="26.4">
      <c r="W4444" s="64" ph="1"/>
    </row>
    <row r="4445" spans="23:23" ht="26.4">
      <c r="W4445" s="64" ph="1"/>
    </row>
    <row r="4446" spans="23:23" ht="26.4">
      <c r="W4446" s="64" ph="1"/>
    </row>
    <row r="4447" spans="23:23" ht="26.4">
      <c r="W4447" s="64" ph="1"/>
    </row>
    <row r="4448" spans="23:23" ht="26.4">
      <c r="W4448" s="64" ph="1"/>
    </row>
    <row r="4449" spans="23:23" ht="26.4">
      <c r="W4449" s="64" ph="1"/>
    </row>
    <row r="4450" spans="23:23" ht="26.4">
      <c r="W4450" s="64" ph="1"/>
    </row>
    <row r="4451" spans="23:23" ht="26.4">
      <c r="W4451" s="64" ph="1"/>
    </row>
    <row r="4452" spans="23:23" ht="26.4">
      <c r="W4452" s="64" ph="1"/>
    </row>
    <row r="4453" spans="23:23" ht="26.4">
      <c r="W4453" s="64" ph="1"/>
    </row>
    <row r="4454" spans="23:23" ht="26.4">
      <c r="W4454" s="64" ph="1"/>
    </row>
    <row r="4455" spans="23:23" ht="26.4">
      <c r="W4455" s="64" ph="1"/>
    </row>
    <row r="4456" spans="23:23" ht="26.4">
      <c r="W4456" s="64" ph="1"/>
    </row>
    <row r="4457" spans="23:23" ht="26.4">
      <c r="W4457" s="64" ph="1"/>
    </row>
    <row r="4458" spans="23:23" ht="26.4">
      <c r="W4458" s="64" ph="1"/>
    </row>
    <row r="4459" spans="23:23" ht="26.4">
      <c r="W4459" s="64" ph="1"/>
    </row>
    <row r="4460" spans="23:23" ht="26.4">
      <c r="W4460" s="64" ph="1"/>
    </row>
    <row r="4461" spans="23:23" ht="26.4">
      <c r="W4461" s="64" ph="1"/>
    </row>
    <row r="4462" spans="23:23" ht="26.4">
      <c r="W4462" s="64" ph="1"/>
    </row>
    <row r="4463" spans="23:23" ht="26.4">
      <c r="W4463" s="64" ph="1"/>
    </row>
    <row r="4464" spans="23:23" ht="26.4">
      <c r="W4464" s="64" ph="1"/>
    </row>
    <row r="4465" spans="23:23" ht="26.4">
      <c r="W4465" s="64" ph="1"/>
    </row>
    <row r="4466" spans="23:23" ht="26.4">
      <c r="W4466" s="64" ph="1"/>
    </row>
    <row r="4467" spans="23:23" ht="26.4">
      <c r="W4467" s="64" ph="1"/>
    </row>
    <row r="4468" spans="23:23" ht="26.4">
      <c r="W4468" s="64" ph="1"/>
    </row>
    <row r="4469" spans="23:23" ht="26.4">
      <c r="W4469" s="64" ph="1"/>
    </row>
    <row r="4470" spans="23:23" ht="26.4">
      <c r="W4470" s="64" ph="1"/>
    </row>
    <row r="4471" spans="23:23" ht="26.4">
      <c r="W4471" s="64" ph="1"/>
    </row>
    <row r="4472" spans="23:23" ht="26.4">
      <c r="W4472" s="64" ph="1"/>
    </row>
    <row r="4473" spans="23:23" ht="26.4">
      <c r="W4473" s="64" ph="1"/>
    </row>
    <row r="4474" spans="23:23" ht="26.4">
      <c r="W4474" s="64" ph="1"/>
    </row>
    <row r="4475" spans="23:23" ht="26.4">
      <c r="W4475" s="64" ph="1"/>
    </row>
    <row r="4476" spans="23:23" ht="26.4">
      <c r="W4476" s="64" ph="1"/>
    </row>
    <row r="4477" spans="23:23" ht="26.4">
      <c r="W4477" s="64" ph="1"/>
    </row>
    <row r="4478" spans="23:23" ht="26.4">
      <c r="W4478" s="64" ph="1"/>
    </row>
    <row r="4479" spans="23:23" ht="26.4">
      <c r="W4479" s="64" ph="1"/>
    </row>
    <row r="4480" spans="23:23" ht="26.4">
      <c r="W4480" s="64" ph="1"/>
    </row>
    <row r="4481" spans="23:23" ht="26.4">
      <c r="W4481" s="64" ph="1"/>
    </row>
    <row r="4482" spans="23:23" ht="26.4">
      <c r="W4482" s="64" ph="1"/>
    </row>
    <row r="4483" spans="23:23" ht="26.4">
      <c r="W4483" s="64" ph="1"/>
    </row>
    <row r="4484" spans="23:23" ht="26.4">
      <c r="W4484" s="64" ph="1"/>
    </row>
    <row r="4485" spans="23:23" ht="26.4">
      <c r="W4485" s="64" ph="1"/>
    </row>
    <row r="4486" spans="23:23" ht="26.4">
      <c r="W4486" s="64" ph="1"/>
    </row>
    <row r="4487" spans="23:23" ht="26.4">
      <c r="W4487" s="64" ph="1"/>
    </row>
    <row r="4488" spans="23:23" ht="26.4">
      <c r="W4488" s="64" ph="1"/>
    </row>
    <row r="4489" spans="23:23" ht="26.4">
      <c r="W4489" s="64" ph="1"/>
    </row>
    <row r="4490" spans="23:23" ht="26.4">
      <c r="W4490" s="64" ph="1"/>
    </row>
    <row r="4491" spans="23:23" ht="26.4">
      <c r="W4491" s="64" ph="1"/>
    </row>
    <row r="4492" spans="23:23" ht="26.4">
      <c r="W4492" s="64" ph="1"/>
    </row>
    <row r="4493" spans="23:23" ht="26.4">
      <c r="W4493" s="64" ph="1"/>
    </row>
    <row r="4494" spans="23:23" ht="26.4">
      <c r="W4494" s="64" ph="1"/>
    </row>
    <row r="4495" spans="23:23" ht="26.4">
      <c r="W4495" s="64" ph="1"/>
    </row>
    <row r="4496" spans="23:23" ht="26.4">
      <c r="W4496" s="64" ph="1"/>
    </row>
    <row r="4497" spans="23:23" ht="26.4">
      <c r="W4497" s="64" ph="1"/>
    </row>
    <row r="4498" spans="23:23" ht="26.4">
      <c r="W4498" s="64" ph="1"/>
    </row>
    <row r="4499" spans="23:23" ht="26.4">
      <c r="W4499" s="64" ph="1"/>
    </row>
    <row r="4500" spans="23:23" ht="26.4">
      <c r="W4500" s="64" ph="1"/>
    </row>
    <row r="4501" spans="23:23" ht="26.4">
      <c r="W4501" s="64" ph="1"/>
    </row>
    <row r="4502" spans="23:23" ht="26.4">
      <c r="W4502" s="64" ph="1"/>
    </row>
    <row r="4503" spans="23:23" ht="26.4">
      <c r="W4503" s="64" ph="1"/>
    </row>
    <row r="4504" spans="23:23" ht="26.4">
      <c r="W4504" s="64" ph="1"/>
    </row>
    <row r="4505" spans="23:23" ht="26.4">
      <c r="W4505" s="64" ph="1"/>
    </row>
    <row r="4506" spans="23:23" ht="26.4">
      <c r="W4506" s="64" ph="1"/>
    </row>
    <row r="4507" spans="23:23" ht="26.4">
      <c r="W4507" s="64" ph="1"/>
    </row>
    <row r="4508" spans="23:23" ht="26.4">
      <c r="W4508" s="64" ph="1"/>
    </row>
    <row r="4509" spans="23:23" ht="26.4">
      <c r="W4509" s="64" ph="1"/>
    </row>
    <row r="4510" spans="23:23" ht="26.4">
      <c r="W4510" s="64" ph="1"/>
    </row>
    <row r="4511" spans="23:23" ht="26.4">
      <c r="W4511" s="64" ph="1"/>
    </row>
    <row r="4512" spans="23:23" ht="26.4">
      <c r="W4512" s="64" ph="1"/>
    </row>
    <row r="4513" spans="23:23" ht="26.4">
      <c r="W4513" s="64" ph="1"/>
    </row>
    <row r="4514" spans="23:23" ht="26.4">
      <c r="W4514" s="64" ph="1"/>
    </row>
    <row r="4515" spans="23:23" ht="26.4">
      <c r="W4515" s="64" ph="1"/>
    </row>
    <row r="4516" spans="23:23" ht="26.4">
      <c r="W4516" s="64" ph="1"/>
    </row>
    <row r="4517" spans="23:23" ht="26.4">
      <c r="W4517" s="64" ph="1"/>
    </row>
    <row r="4518" spans="23:23" ht="26.4">
      <c r="W4518" s="64" ph="1"/>
    </row>
    <row r="4519" spans="23:23" ht="26.4">
      <c r="W4519" s="64" ph="1"/>
    </row>
    <row r="4520" spans="23:23" ht="26.4">
      <c r="W4520" s="64" ph="1"/>
    </row>
    <row r="4521" spans="23:23" ht="26.4">
      <c r="W4521" s="64" ph="1"/>
    </row>
    <row r="4522" spans="23:23" ht="26.4">
      <c r="W4522" s="64" ph="1"/>
    </row>
    <row r="4523" spans="23:23" ht="26.4">
      <c r="W4523" s="64" ph="1"/>
    </row>
    <row r="4524" spans="23:23" ht="26.4">
      <c r="W4524" s="64" ph="1"/>
    </row>
    <row r="4525" spans="23:23" ht="26.4">
      <c r="W4525" s="64" ph="1"/>
    </row>
    <row r="4526" spans="23:23" ht="26.4">
      <c r="W4526" s="64" ph="1"/>
    </row>
    <row r="4527" spans="23:23" ht="26.4">
      <c r="W4527" s="64" ph="1"/>
    </row>
    <row r="4528" spans="23:23" ht="26.4">
      <c r="W4528" s="64" ph="1"/>
    </row>
    <row r="4529" spans="23:23" ht="26.4">
      <c r="W4529" s="64" ph="1"/>
    </row>
    <row r="4530" spans="23:23" ht="26.4">
      <c r="W4530" s="64" ph="1"/>
    </row>
    <row r="4531" spans="23:23" ht="26.4">
      <c r="W4531" s="64" ph="1"/>
    </row>
    <row r="4532" spans="23:23" ht="26.4">
      <c r="W4532" s="64" ph="1"/>
    </row>
    <row r="4533" spans="23:23" ht="26.4">
      <c r="W4533" s="64" ph="1"/>
    </row>
    <row r="4534" spans="23:23" ht="26.4">
      <c r="W4534" s="64" ph="1"/>
    </row>
    <row r="4535" spans="23:23" ht="26.4">
      <c r="W4535" s="64" ph="1"/>
    </row>
    <row r="4536" spans="23:23" ht="26.4">
      <c r="W4536" s="64" ph="1"/>
    </row>
    <row r="4537" spans="23:23" ht="26.4">
      <c r="W4537" s="64" ph="1"/>
    </row>
    <row r="4538" spans="23:23" ht="26.4">
      <c r="W4538" s="64" ph="1"/>
    </row>
    <row r="4539" spans="23:23" ht="26.4">
      <c r="W4539" s="64" ph="1"/>
    </row>
    <row r="4540" spans="23:23" ht="26.4">
      <c r="W4540" s="64" ph="1"/>
    </row>
    <row r="4541" spans="23:23" ht="26.4">
      <c r="W4541" s="64" ph="1"/>
    </row>
    <row r="4542" spans="23:23" ht="26.4">
      <c r="W4542" s="64" ph="1"/>
    </row>
    <row r="4543" spans="23:23" ht="26.4">
      <c r="W4543" s="64" ph="1"/>
    </row>
    <row r="4544" spans="23:23" ht="26.4">
      <c r="W4544" s="64" ph="1"/>
    </row>
    <row r="4545" spans="23:23" ht="26.4">
      <c r="W4545" s="64" ph="1"/>
    </row>
    <row r="4546" spans="23:23" ht="26.4">
      <c r="W4546" s="64" ph="1"/>
    </row>
    <row r="4547" spans="23:23" ht="26.4">
      <c r="W4547" s="64" ph="1"/>
    </row>
    <row r="4548" spans="23:23" ht="26.4">
      <c r="W4548" s="64" ph="1"/>
    </row>
    <row r="4549" spans="23:23" ht="26.4">
      <c r="W4549" s="64" ph="1"/>
    </row>
    <row r="4550" spans="23:23" ht="26.4">
      <c r="W4550" s="64" ph="1"/>
    </row>
    <row r="4551" spans="23:23" ht="26.4">
      <c r="W4551" s="64" ph="1"/>
    </row>
    <row r="4552" spans="23:23" ht="26.4">
      <c r="W4552" s="64" ph="1"/>
    </row>
    <row r="4553" spans="23:23" ht="26.4">
      <c r="W4553" s="64" ph="1"/>
    </row>
    <row r="4554" spans="23:23" ht="26.4">
      <c r="W4554" s="64" ph="1"/>
    </row>
    <row r="4555" spans="23:23" ht="26.4">
      <c r="W4555" s="64" ph="1"/>
    </row>
    <row r="4556" spans="23:23" ht="26.4">
      <c r="W4556" s="64" ph="1"/>
    </row>
    <row r="4557" spans="23:23" ht="26.4">
      <c r="W4557" s="64" ph="1"/>
    </row>
    <row r="4558" spans="23:23" ht="26.4">
      <c r="W4558" s="64" ph="1"/>
    </row>
    <row r="4559" spans="23:23" ht="26.4">
      <c r="W4559" s="64" ph="1"/>
    </row>
    <row r="4560" spans="23:23" ht="26.4">
      <c r="W4560" s="64" ph="1"/>
    </row>
    <row r="4561" spans="23:23" ht="26.4">
      <c r="W4561" s="64" ph="1"/>
    </row>
    <row r="4562" spans="23:23" ht="26.4">
      <c r="W4562" s="64" ph="1"/>
    </row>
    <row r="4563" spans="23:23" ht="26.4">
      <c r="W4563" s="64" ph="1"/>
    </row>
    <row r="4564" spans="23:23" ht="26.4">
      <c r="W4564" s="64" ph="1"/>
    </row>
    <row r="4565" spans="23:23" ht="26.4">
      <c r="W4565" s="64" ph="1"/>
    </row>
    <row r="4566" spans="23:23" ht="26.4">
      <c r="W4566" s="64" ph="1"/>
    </row>
    <row r="4567" spans="23:23" ht="26.4">
      <c r="W4567" s="64" ph="1"/>
    </row>
    <row r="4568" spans="23:23" ht="26.4">
      <c r="W4568" s="64" ph="1"/>
    </row>
    <row r="4569" spans="23:23" ht="26.4">
      <c r="W4569" s="64" ph="1"/>
    </row>
    <row r="4570" spans="23:23" ht="26.4">
      <c r="W4570" s="64" ph="1"/>
    </row>
    <row r="4571" spans="23:23" ht="26.4">
      <c r="W4571" s="64" ph="1"/>
    </row>
    <row r="4572" spans="23:23" ht="26.4">
      <c r="W4572" s="64" ph="1"/>
    </row>
    <row r="4573" spans="23:23" ht="26.4">
      <c r="W4573" s="64" ph="1"/>
    </row>
    <row r="4574" spans="23:23" ht="26.4">
      <c r="W4574" s="64" ph="1"/>
    </row>
    <row r="4575" spans="23:23" ht="26.4">
      <c r="W4575" s="64" ph="1"/>
    </row>
    <row r="4576" spans="23:23" ht="26.4">
      <c r="W4576" s="64" ph="1"/>
    </row>
    <row r="4577" spans="23:23" ht="26.4">
      <c r="W4577" s="64" ph="1"/>
    </row>
    <row r="4578" spans="23:23" ht="26.4">
      <c r="W4578" s="64" ph="1"/>
    </row>
    <row r="4579" spans="23:23" ht="26.4">
      <c r="W4579" s="64" ph="1"/>
    </row>
    <row r="4580" spans="23:23" ht="26.4">
      <c r="W4580" s="64" ph="1"/>
    </row>
    <row r="4581" spans="23:23" ht="26.4">
      <c r="W4581" s="64" ph="1"/>
    </row>
    <row r="4582" spans="23:23" ht="26.4">
      <c r="W4582" s="64" ph="1"/>
    </row>
    <row r="4583" spans="23:23" ht="26.4">
      <c r="W4583" s="64" ph="1"/>
    </row>
    <row r="4584" spans="23:23" ht="26.4">
      <c r="W4584" s="64" ph="1"/>
    </row>
    <row r="4585" spans="23:23" ht="26.4">
      <c r="W4585" s="64" ph="1"/>
    </row>
    <row r="4586" spans="23:23" ht="26.4">
      <c r="W4586" s="64" ph="1"/>
    </row>
    <row r="4587" spans="23:23" ht="26.4">
      <c r="W4587" s="64" ph="1"/>
    </row>
    <row r="4588" spans="23:23" ht="26.4">
      <c r="W4588" s="64" ph="1"/>
    </row>
    <row r="4589" spans="23:23" ht="26.4">
      <c r="W4589" s="64" ph="1"/>
    </row>
    <row r="4590" spans="23:23" ht="26.4">
      <c r="W4590" s="64" ph="1"/>
    </row>
    <row r="4591" spans="23:23" ht="26.4">
      <c r="W4591" s="64" ph="1"/>
    </row>
    <row r="4592" spans="23:23" ht="26.4">
      <c r="W4592" s="64" ph="1"/>
    </row>
    <row r="4593" spans="23:23" ht="26.4">
      <c r="W4593" s="64" ph="1"/>
    </row>
    <row r="4594" spans="23:23" ht="26.4">
      <c r="W4594" s="64" ph="1"/>
    </row>
    <row r="4595" spans="23:23" ht="26.4">
      <c r="W4595" s="64" ph="1"/>
    </row>
    <row r="4596" spans="23:23" ht="26.4">
      <c r="W4596" s="64" ph="1"/>
    </row>
    <row r="4597" spans="23:23" ht="26.4">
      <c r="W4597" s="64" ph="1"/>
    </row>
    <row r="4598" spans="23:23" ht="26.4">
      <c r="W4598" s="64" ph="1"/>
    </row>
    <row r="4599" spans="23:23" ht="26.4">
      <c r="W4599" s="64" ph="1"/>
    </row>
    <row r="4600" spans="23:23" ht="26.4">
      <c r="W4600" s="64" ph="1"/>
    </row>
    <row r="4601" spans="23:23" ht="26.4">
      <c r="W4601" s="64" ph="1"/>
    </row>
    <row r="4602" spans="23:23" ht="26.4">
      <c r="W4602" s="64" ph="1"/>
    </row>
    <row r="4603" spans="23:23" ht="26.4">
      <c r="W4603" s="64" ph="1"/>
    </row>
    <row r="4604" spans="23:23" ht="26.4">
      <c r="W4604" s="64" ph="1"/>
    </row>
    <row r="4605" spans="23:23" ht="26.4">
      <c r="W4605" s="64" ph="1"/>
    </row>
    <row r="4606" spans="23:23" ht="26.4">
      <c r="W4606" s="64" ph="1"/>
    </row>
    <row r="4607" spans="23:23" ht="26.4">
      <c r="W4607" s="64" ph="1"/>
    </row>
    <row r="4608" spans="23:23" ht="26.4">
      <c r="W4608" s="64" ph="1"/>
    </row>
    <row r="4609" spans="23:23" ht="26.4">
      <c r="W4609" s="64" ph="1"/>
    </row>
    <row r="4610" spans="23:23" ht="26.4">
      <c r="W4610" s="64" ph="1"/>
    </row>
    <row r="4611" spans="23:23" ht="26.4">
      <c r="W4611" s="64" ph="1"/>
    </row>
    <row r="4612" spans="23:23" ht="26.4">
      <c r="W4612" s="64" ph="1"/>
    </row>
    <row r="4613" spans="23:23" ht="26.4">
      <c r="W4613" s="64" ph="1"/>
    </row>
    <row r="4614" spans="23:23" ht="26.4">
      <c r="W4614" s="64" ph="1"/>
    </row>
    <row r="4615" spans="23:23" ht="26.4">
      <c r="W4615" s="64" ph="1"/>
    </row>
    <row r="4616" spans="23:23" ht="26.4">
      <c r="W4616" s="64" ph="1"/>
    </row>
    <row r="4617" spans="23:23" ht="26.4">
      <c r="W4617" s="64" ph="1"/>
    </row>
    <row r="4618" spans="23:23" ht="26.4">
      <c r="W4618" s="64" ph="1"/>
    </row>
    <row r="4619" spans="23:23" ht="26.4">
      <c r="W4619" s="64" ph="1"/>
    </row>
    <row r="4620" spans="23:23" ht="26.4">
      <c r="W4620" s="64" ph="1"/>
    </row>
    <row r="4621" spans="23:23" ht="26.4">
      <c r="W4621" s="64" ph="1"/>
    </row>
    <row r="4622" spans="23:23" ht="26.4">
      <c r="W4622" s="64" ph="1"/>
    </row>
    <row r="4623" spans="23:23" ht="26.4">
      <c r="W4623" s="64" ph="1"/>
    </row>
    <row r="4624" spans="23:23" ht="26.4">
      <c r="W4624" s="64" ph="1"/>
    </row>
    <row r="4625" spans="23:23" ht="26.4">
      <c r="W4625" s="64" ph="1"/>
    </row>
    <row r="4626" spans="23:23" ht="26.4">
      <c r="W4626" s="64" ph="1"/>
    </row>
    <row r="4627" spans="23:23" ht="26.4">
      <c r="W4627" s="64" ph="1"/>
    </row>
    <row r="4628" spans="23:23" ht="26.4">
      <c r="W4628" s="64" ph="1"/>
    </row>
    <row r="4629" spans="23:23" ht="26.4">
      <c r="W4629" s="64" ph="1"/>
    </row>
    <row r="4630" spans="23:23" ht="26.4">
      <c r="W4630" s="64" ph="1"/>
    </row>
    <row r="4631" spans="23:23" ht="26.4">
      <c r="W4631" s="64" ph="1"/>
    </row>
    <row r="4632" spans="23:23" ht="26.4">
      <c r="W4632" s="64" ph="1"/>
    </row>
    <row r="4633" spans="23:23" ht="26.4">
      <c r="W4633" s="64" ph="1"/>
    </row>
    <row r="4634" spans="23:23" ht="26.4">
      <c r="W4634" s="64" ph="1"/>
    </row>
    <row r="4635" spans="23:23" ht="26.4">
      <c r="W4635" s="64" ph="1"/>
    </row>
    <row r="4636" spans="23:23" ht="26.4">
      <c r="W4636" s="64" ph="1"/>
    </row>
    <row r="4637" spans="23:23" ht="26.4">
      <c r="W4637" s="64" ph="1"/>
    </row>
    <row r="4638" spans="23:23" ht="26.4">
      <c r="W4638" s="64" ph="1"/>
    </row>
    <row r="4639" spans="23:23" ht="26.4">
      <c r="W4639" s="64" ph="1"/>
    </row>
    <row r="4640" spans="23:23" ht="26.4">
      <c r="W4640" s="64" ph="1"/>
    </row>
    <row r="4641" spans="23:23" ht="26.4">
      <c r="W4641" s="64" ph="1"/>
    </row>
    <row r="4642" spans="23:23" ht="26.4">
      <c r="W4642" s="64" ph="1"/>
    </row>
    <row r="4643" spans="23:23" ht="26.4">
      <c r="W4643" s="64" ph="1"/>
    </row>
    <row r="4644" spans="23:23" ht="26.4">
      <c r="W4644" s="64" ph="1"/>
    </row>
    <row r="4645" spans="23:23" ht="26.4">
      <c r="W4645" s="64" ph="1"/>
    </row>
    <row r="4646" spans="23:23" ht="26.4">
      <c r="W4646" s="64" ph="1"/>
    </row>
    <row r="4647" spans="23:23" ht="26.4">
      <c r="W4647" s="64" ph="1"/>
    </row>
    <row r="4648" spans="23:23" ht="26.4">
      <c r="W4648" s="64" ph="1"/>
    </row>
    <row r="4649" spans="23:23" ht="26.4">
      <c r="W4649" s="64" ph="1"/>
    </row>
    <row r="4650" spans="23:23" ht="26.4">
      <c r="W4650" s="64" ph="1"/>
    </row>
    <row r="4651" spans="23:23" ht="26.4">
      <c r="W4651" s="64" ph="1"/>
    </row>
    <row r="4652" spans="23:23" ht="26.4">
      <c r="W4652" s="64" ph="1"/>
    </row>
    <row r="4653" spans="23:23" ht="26.4">
      <c r="W4653" s="64" ph="1"/>
    </row>
    <row r="4654" spans="23:23" ht="26.4">
      <c r="W4654" s="64" ph="1"/>
    </row>
    <row r="4655" spans="23:23" ht="26.4">
      <c r="W4655" s="64" ph="1"/>
    </row>
    <row r="4656" spans="23:23" ht="26.4">
      <c r="W4656" s="64" ph="1"/>
    </row>
    <row r="4657" spans="23:23" ht="26.4">
      <c r="W4657" s="64" ph="1"/>
    </row>
    <row r="4658" spans="23:23" ht="26.4">
      <c r="W4658" s="64" ph="1"/>
    </row>
    <row r="4659" spans="23:23" ht="26.4">
      <c r="W4659" s="64" ph="1"/>
    </row>
    <row r="4660" spans="23:23" ht="26.4">
      <c r="W4660" s="64" ph="1"/>
    </row>
    <row r="4661" spans="23:23" ht="26.4">
      <c r="W4661" s="64" ph="1"/>
    </row>
    <row r="4662" spans="23:23" ht="26.4">
      <c r="W4662" s="64" ph="1"/>
    </row>
    <row r="4663" spans="23:23" ht="26.4">
      <c r="W4663" s="64" ph="1"/>
    </row>
    <row r="4664" spans="23:23" ht="26.4">
      <c r="W4664" s="64" ph="1"/>
    </row>
    <row r="4665" spans="23:23" ht="26.4">
      <c r="W4665" s="64" ph="1"/>
    </row>
    <row r="4666" spans="23:23" ht="26.4">
      <c r="W4666" s="64" ph="1"/>
    </row>
    <row r="4667" spans="23:23" ht="26.4">
      <c r="W4667" s="64" ph="1"/>
    </row>
    <row r="4668" spans="23:23" ht="26.4">
      <c r="W4668" s="64" ph="1"/>
    </row>
    <row r="4669" spans="23:23" ht="26.4">
      <c r="W4669" s="64" ph="1"/>
    </row>
    <row r="4670" spans="23:23" ht="26.4">
      <c r="W4670" s="64" ph="1"/>
    </row>
    <row r="4671" spans="23:23" ht="26.4">
      <c r="W4671" s="64" ph="1"/>
    </row>
    <row r="4672" spans="23:23" ht="26.4">
      <c r="W4672" s="64" ph="1"/>
    </row>
    <row r="4673" spans="23:23" ht="26.4">
      <c r="W4673" s="64" ph="1"/>
    </row>
    <row r="4674" spans="23:23" ht="26.4">
      <c r="W4674" s="64" ph="1"/>
    </row>
    <row r="4675" spans="23:23" ht="26.4">
      <c r="W4675" s="64" ph="1"/>
    </row>
    <row r="4676" spans="23:23" ht="26.4">
      <c r="W4676" s="64" ph="1"/>
    </row>
    <row r="4677" spans="23:23" ht="26.4">
      <c r="W4677" s="64" ph="1"/>
    </row>
    <row r="4678" spans="23:23" ht="26.4">
      <c r="W4678" s="64" ph="1"/>
    </row>
    <row r="4679" spans="23:23" ht="26.4">
      <c r="W4679" s="64" ph="1"/>
    </row>
    <row r="4680" spans="23:23" ht="26.4">
      <c r="W4680" s="64" ph="1"/>
    </row>
    <row r="4681" spans="23:23" ht="26.4">
      <c r="W4681" s="64" ph="1"/>
    </row>
    <row r="4682" spans="23:23" ht="26.4">
      <c r="W4682" s="64" ph="1"/>
    </row>
    <row r="4683" spans="23:23" ht="26.4">
      <c r="W4683" s="64" ph="1"/>
    </row>
    <row r="4684" spans="23:23" ht="26.4">
      <c r="W4684" s="64" ph="1"/>
    </row>
    <row r="4685" spans="23:23" ht="26.4">
      <c r="W4685" s="64" ph="1"/>
    </row>
    <row r="4686" spans="23:23" ht="26.4">
      <c r="W4686" s="64" ph="1"/>
    </row>
    <row r="4687" spans="23:23" ht="26.4">
      <c r="W4687" s="64" ph="1"/>
    </row>
    <row r="4688" spans="23:23" ht="26.4">
      <c r="W4688" s="64" ph="1"/>
    </row>
    <row r="4689" spans="23:23" ht="26.4">
      <c r="W4689" s="64" ph="1"/>
    </row>
    <row r="4690" spans="23:23" ht="26.4">
      <c r="W4690" s="64" ph="1"/>
    </row>
    <row r="4691" spans="23:23" ht="26.4">
      <c r="W4691" s="64" ph="1"/>
    </row>
    <row r="4692" spans="23:23" ht="26.4">
      <c r="W4692" s="64" ph="1"/>
    </row>
    <row r="4693" spans="23:23" ht="26.4">
      <c r="W4693" s="64" ph="1"/>
    </row>
    <row r="4694" spans="23:23" ht="26.4">
      <c r="W4694" s="64" ph="1"/>
    </row>
    <row r="4695" spans="23:23" ht="26.4">
      <c r="W4695" s="64" ph="1"/>
    </row>
    <row r="4696" spans="23:23" ht="26.4">
      <c r="W4696" s="64" ph="1"/>
    </row>
    <row r="4697" spans="23:23" ht="26.4">
      <c r="W4697" s="64" ph="1"/>
    </row>
    <row r="4698" spans="23:23" ht="26.4">
      <c r="W4698" s="64" ph="1"/>
    </row>
    <row r="4699" spans="23:23" ht="26.4">
      <c r="W4699" s="64" ph="1"/>
    </row>
    <row r="4700" spans="23:23" ht="26.4">
      <c r="W4700" s="64" ph="1"/>
    </row>
    <row r="4701" spans="23:23" ht="26.4">
      <c r="W4701" s="64" ph="1"/>
    </row>
    <row r="4702" spans="23:23" ht="26.4">
      <c r="W4702" s="64" ph="1"/>
    </row>
    <row r="4703" spans="23:23" ht="26.4">
      <c r="W4703" s="64" ph="1"/>
    </row>
    <row r="4704" spans="23:23" ht="26.4">
      <c r="W4704" s="64" ph="1"/>
    </row>
    <row r="4705" spans="23:23" ht="26.4">
      <c r="W4705" s="64" ph="1"/>
    </row>
    <row r="4706" spans="23:23" ht="26.4">
      <c r="W4706" s="64" ph="1"/>
    </row>
    <row r="4707" spans="23:23" ht="26.4">
      <c r="W4707" s="64" ph="1"/>
    </row>
    <row r="4708" spans="23:23" ht="26.4">
      <c r="W4708" s="64" ph="1"/>
    </row>
    <row r="4709" spans="23:23" ht="26.4">
      <c r="W4709" s="64" ph="1"/>
    </row>
    <row r="4710" spans="23:23" ht="26.4">
      <c r="W4710" s="64" ph="1"/>
    </row>
    <row r="4711" spans="23:23" ht="26.4">
      <c r="W4711" s="64" ph="1"/>
    </row>
    <row r="4712" spans="23:23" ht="26.4">
      <c r="W4712" s="64" ph="1"/>
    </row>
    <row r="4713" spans="23:23" ht="26.4">
      <c r="W4713" s="64" ph="1"/>
    </row>
    <row r="4714" spans="23:23" ht="26.4">
      <c r="W4714" s="64" ph="1"/>
    </row>
    <row r="4715" spans="23:23" ht="26.4">
      <c r="W4715" s="64" ph="1"/>
    </row>
    <row r="4716" spans="23:23" ht="26.4">
      <c r="W4716" s="64" ph="1"/>
    </row>
    <row r="4717" spans="23:23" ht="26.4">
      <c r="W4717" s="64" ph="1"/>
    </row>
    <row r="4718" spans="23:23" ht="26.4">
      <c r="W4718" s="64" ph="1"/>
    </row>
    <row r="4719" spans="23:23" ht="26.4">
      <c r="W4719" s="64" ph="1"/>
    </row>
    <row r="4720" spans="23:23" ht="26.4">
      <c r="W4720" s="64" ph="1"/>
    </row>
    <row r="4721" spans="23:23" ht="26.4">
      <c r="W4721" s="64" ph="1"/>
    </row>
    <row r="4722" spans="23:23" ht="26.4">
      <c r="W4722" s="64" ph="1"/>
    </row>
    <row r="4723" spans="23:23" ht="26.4">
      <c r="W4723" s="64" ph="1"/>
    </row>
    <row r="4724" spans="23:23" ht="26.4">
      <c r="W4724" s="64" ph="1"/>
    </row>
    <row r="4725" spans="23:23" ht="26.4">
      <c r="W4725" s="64" ph="1"/>
    </row>
    <row r="4726" spans="23:23" ht="26.4">
      <c r="W4726" s="64" ph="1"/>
    </row>
    <row r="4727" spans="23:23" ht="26.4">
      <c r="W4727" s="64" ph="1"/>
    </row>
    <row r="4728" spans="23:23" ht="26.4">
      <c r="W4728" s="64" ph="1"/>
    </row>
    <row r="4729" spans="23:23" ht="26.4">
      <c r="W4729" s="64" ph="1"/>
    </row>
    <row r="4730" spans="23:23" ht="26.4">
      <c r="W4730" s="64" ph="1"/>
    </row>
    <row r="4731" spans="23:23" ht="26.4">
      <c r="W4731" s="64" ph="1"/>
    </row>
    <row r="4732" spans="23:23" ht="26.4">
      <c r="W4732" s="64" ph="1"/>
    </row>
    <row r="4733" spans="23:23" ht="26.4">
      <c r="W4733" s="64" ph="1"/>
    </row>
    <row r="4734" spans="23:23" ht="26.4">
      <c r="W4734" s="64" ph="1"/>
    </row>
    <row r="4735" spans="23:23" ht="26.4">
      <c r="W4735" s="64" ph="1"/>
    </row>
    <row r="4736" spans="23:23" ht="26.4">
      <c r="W4736" s="64" ph="1"/>
    </row>
    <row r="4737" spans="23:23" ht="26.4">
      <c r="W4737" s="64" ph="1"/>
    </row>
    <row r="4738" spans="23:23" ht="26.4">
      <c r="W4738" s="64" ph="1"/>
    </row>
    <row r="4739" spans="23:23" ht="26.4">
      <c r="W4739" s="64" ph="1"/>
    </row>
    <row r="4740" spans="23:23" ht="26.4">
      <c r="W4740" s="64" ph="1"/>
    </row>
    <row r="4741" spans="23:23" ht="26.4">
      <c r="W4741" s="64" ph="1"/>
    </row>
    <row r="4742" spans="23:23" ht="26.4">
      <c r="W4742" s="64" ph="1"/>
    </row>
    <row r="4743" spans="23:23" ht="26.4">
      <c r="W4743" s="64" ph="1"/>
    </row>
    <row r="4744" spans="23:23" ht="26.4">
      <c r="W4744" s="64" ph="1"/>
    </row>
    <row r="4745" spans="23:23" ht="26.4">
      <c r="W4745" s="64" ph="1"/>
    </row>
    <row r="4746" spans="23:23" ht="26.4">
      <c r="W4746" s="64" ph="1"/>
    </row>
    <row r="4747" spans="23:23" ht="26.4">
      <c r="W4747" s="64" ph="1"/>
    </row>
    <row r="4748" spans="23:23" ht="26.4">
      <c r="W4748" s="64" ph="1"/>
    </row>
    <row r="4749" spans="23:23" ht="26.4">
      <c r="W4749" s="64" ph="1"/>
    </row>
    <row r="4750" spans="23:23" ht="26.4">
      <c r="W4750" s="64" ph="1"/>
    </row>
    <row r="4751" spans="23:23" ht="26.4">
      <c r="W4751" s="64" ph="1"/>
    </row>
    <row r="4752" spans="23:23" ht="26.4">
      <c r="W4752" s="64" ph="1"/>
    </row>
    <row r="4753" spans="23:23" ht="26.4">
      <c r="W4753" s="64" ph="1"/>
    </row>
    <row r="4754" spans="23:23" ht="26.4">
      <c r="W4754" s="64" ph="1"/>
    </row>
    <row r="4755" spans="23:23" ht="26.4">
      <c r="W4755" s="64" ph="1"/>
    </row>
    <row r="4756" spans="23:23" ht="26.4">
      <c r="W4756" s="64" ph="1"/>
    </row>
    <row r="4757" spans="23:23" ht="26.4">
      <c r="W4757" s="64" ph="1"/>
    </row>
    <row r="4758" spans="23:23" ht="26.4">
      <c r="W4758" s="64" ph="1"/>
    </row>
    <row r="4759" spans="23:23" ht="26.4">
      <c r="W4759" s="64" ph="1"/>
    </row>
    <row r="4760" spans="23:23" ht="26.4">
      <c r="W4760" s="64" ph="1"/>
    </row>
    <row r="4761" spans="23:23" ht="26.4">
      <c r="W4761" s="64" ph="1"/>
    </row>
    <row r="4762" spans="23:23" ht="26.4">
      <c r="W4762" s="64" ph="1"/>
    </row>
    <row r="4763" spans="23:23" ht="26.4">
      <c r="W4763" s="64" ph="1"/>
    </row>
    <row r="4764" spans="23:23" ht="26.4">
      <c r="W4764" s="64" ph="1"/>
    </row>
    <row r="4765" spans="23:23" ht="26.4">
      <c r="W4765" s="64" ph="1"/>
    </row>
    <row r="4766" spans="23:23" ht="26.4">
      <c r="W4766" s="64" ph="1"/>
    </row>
    <row r="4767" spans="23:23" ht="26.4">
      <c r="W4767" s="64" ph="1"/>
    </row>
    <row r="4768" spans="23:23" ht="26.4">
      <c r="W4768" s="64" ph="1"/>
    </row>
    <row r="4769" spans="23:23" ht="26.4">
      <c r="W4769" s="64" ph="1"/>
    </row>
    <row r="4770" spans="23:23" ht="26.4">
      <c r="W4770" s="64" ph="1"/>
    </row>
    <row r="4771" spans="23:23" ht="26.4">
      <c r="W4771" s="64" ph="1"/>
    </row>
    <row r="4772" spans="23:23" ht="26.4">
      <c r="W4772" s="64" ph="1"/>
    </row>
    <row r="4773" spans="23:23" ht="26.4">
      <c r="W4773" s="64" ph="1"/>
    </row>
    <row r="4774" spans="23:23" ht="26.4">
      <c r="W4774" s="64" ph="1"/>
    </row>
    <row r="4775" spans="23:23" ht="26.4">
      <c r="W4775" s="64" ph="1"/>
    </row>
    <row r="4776" spans="23:23" ht="26.4">
      <c r="W4776" s="64" ph="1"/>
    </row>
    <row r="4777" spans="23:23" ht="26.4">
      <c r="W4777" s="64" ph="1"/>
    </row>
    <row r="4778" spans="23:23" ht="26.4">
      <c r="W4778" s="64" ph="1"/>
    </row>
    <row r="4779" spans="23:23" ht="26.4">
      <c r="W4779" s="64" ph="1"/>
    </row>
    <row r="4780" spans="23:23" ht="26.4">
      <c r="W4780" s="64" ph="1"/>
    </row>
    <row r="4781" spans="23:23" ht="26.4">
      <c r="W4781" s="64" ph="1"/>
    </row>
    <row r="4782" spans="23:23" ht="26.4">
      <c r="W4782" s="64" ph="1"/>
    </row>
    <row r="4783" spans="23:23" ht="26.4">
      <c r="W4783" s="64" ph="1"/>
    </row>
    <row r="4784" spans="23:23" ht="26.4">
      <c r="W4784" s="64" ph="1"/>
    </row>
    <row r="4785" spans="23:23" ht="26.4">
      <c r="W4785" s="64" ph="1"/>
    </row>
    <row r="4786" spans="23:23" ht="26.4">
      <c r="W4786" s="64" ph="1"/>
    </row>
    <row r="4787" spans="23:23" ht="26.4">
      <c r="W4787" s="64" ph="1"/>
    </row>
    <row r="4788" spans="23:23" ht="26.4">
      <c r="W4788" s="64" ph="1"/>
    </row>
    <row r="4789" spans="23:23" ht="26.4">
      <c r="W4789" s="64" ph="1"/>
    </row>
    <row r="4790" spans="23:23" ht="26.4">
      <c r="W4790" s="64" ph="1"/>
    </row>
    <row r="4791" spans="23:23" ht="26.4">
      <c r="W4791" s="64" ph="1"/>
    </row>
    <row r="4792" spans="23:23" ht="26.4">
      <c r="W4792" s="64" ph="1"/>
    </row>
    <row r="4793" spans="23:23" ht="26.4">
      <c r="W4793" s="64" ph="1"/>
    </row>
    <row r="4794" spans="23:23" ht="26.4">
      <c r="W4794" s="64" ph="1"/>
    </row>
    <row r="4795" spans="23:23" ht="26.4">
      <c r="W4795" s="64" ph="1"/>
    </row>
    <row r="4796" spans="23:23" ht="26.4">
      <c r="W4796" s="64" ph="1"/>
    </row>
    <row r="4797" spans="23:23" ht="26.4">
      <c r="W4797" s="64" ph="1"/>
    </row>
    <row r="4798" spans="23:23" ht="26.4">
      <c r="W4798" s="64" ph="1"/>
    </row>
    <row r="4799" spans="23:23" ht="26.4">
      <c r="W4799" s="64" ph="1"/>
    </row>
    <row r="4800" spans="23:23" ht="26.4">
      <c r="W4800" s="64" ph="1"/>
    </row>
    <row r="4801" spans="23:23" ht="26.4">
      <c r="W4801" s="64" ph="1"/>
    </row>
    <row r="4802" spans="23:23" ht="26.4">
      <c r="W4802" s="64" ph="1"/>
    </row>
    <row r="4803" spans="23:23" ht="26.4">
      <c r="W4803" s="64" ph="1"/>
    </row>
    <row r="4804" spans="23:23" ht="26.4">
      <c r="W4804" s="64" ph="1"/>
    </row>
    <row r="4805" spans="23:23" ht="26.4">
      <c r="W4805" s="64" ph="1"/>
    </row>
    <row r="4806" spans="23:23" ht="26.4">
      <c r="W4806" s="64" ph="1"/>
    </row>
    <row r="4807" spans="23:23" ht="26.4">
      <c r="W4807" s="64" ph="1"/>
    </row>
    <row r="4808" spans="23:23" ht="26.4">
      <c r="W4808" s="64" ph="1"/>
    </row>
    <row r="4809" spans="23:23" ht="26.4">
      <c r="W4809" s="64" ph="1"/>
    </row>
    <row r="4810" spans="23:23" ht="26.4">
      <c r="W4810" s="64" ph="1"/>
    </row>
    <row r="4811" spans="23:23" ht="26.4">
      <c r="W4811" s="64" ph="1"/>
    </row>
    <row r="4812" spans="23:23" ht="26.4">
      <c r="W4812" s="64" ph="1"/>
    </row>
    <row r="4813" spans="23:23" ht="26.4">
      <c r="W4813" s="64" ph="1"/>
    </row>
    <row r="4814" spans="23:23" ht="26.4">
      <c r="W4814" s="64" ph="1"/>
    </row>
    <row r="4815" spans="23:23" ht="26.4">
      <c r="W4815" s="64" ph="1"/>
    </row>
    <row r="4816" spans="23:23" ht="26.4">
      <c r="W4816" s="64" ph="1"/>
    </row>
    <row r="4817" spans="23:23" ht="26.4">
      <c r="W4817" s="64" ph="1"/>
    </row>
    <row r="4818" spans="23:23" ht="26.4">
      <c r="W4818" s="64" ph="1"/>
    </row>
    <row r="4819" spans="23:23" ht="26.4">
      <c r="W4819" s="64" ph="1"/>
    </row>
    <row r="4820" spans="23:23" ht="26.4">
      <c r="W4820" s="64" ph="1"/>
    </row>
    <row r="4821" spans="23:23" ht="26.4">
      <c r="W4821" s="64" ph="1"/>
    </row>
    <row r="4822" spans="23:23" ht="26.4">
      <c r="W4822" s="64" ph="1"/>
    </row>
    <row r="4823" spans="23:23" ht="26.4">
      <c r="W4823" s="64" ph="1"/>
    </row>
    <row r="4824" spans="23:23" ht="26.4">
      <c r="W4824" s="64" ph="1"/>
    </row>
    <row r="4825" spans="23:23" ht="26.4">
      <c r="W4825" s="64" ph="1"/>
    </row>
    <row r="4826" spans="23:23" ht="26.4">
      <c r="W4826" s="64" ph="1"/>
    </row>
    <row r="4827" spans="23:23" ht="26.4">
      <c r="W4827" s="64" ph="1"/>
    </row>
    <row r="4828" spans="23:23" ht="26.4">
      <c r="W4828" s="64" ph="1"/>
    </row>
    <row r="4829" spans="23:23" ht="26.4">
      <c r="W4829" s="64" ph="1"/>
    </row>
    <row r="4830" spans="23:23" ht="26.4">
      <c r="W4830" s="64" ph="1"/>
    </row>
    <row r="4831" spans="23:23" ht="26.4">
      <c r="W4831" s="64" ph="1"/>
    </row>
    <row r="4832" spans="23:23" ht="26.4">
      <c r="W4832" s="64" ph="1"/>
    </row>
    <row r="4833" spans="23:23" ht="26.4">
      <c r="W4833" s="64" ph="1"/>
    </row>
    <row r="4834" spans="23:23" ht="26.4">
      <c r="W4834" s="64" ph="1"/>
    </row>
    <row r="4835" spans="23:23" ht="26.4">
      <c r="W4835" s="64" ph="1"/>
    </row>
    <row r="4836" spans="23:23" ht="26.4">
      <c r="W4836" s="64" ph="1"/>
    </row>
    <row r="4837" spans="23:23" ht="26.4">
      <c r="W4837" s="64" ph="1"/>
    </row>
    <row r="4838" spans="23:23" ht="26.4">
      <c r="W4838" s="64" ph="1"/>
    </row>
    <row r="4839" spans="23:23" ht="26.4">
      <c r="W4839" s="64" ph="1"/>
    </row>
    <row r="4840" spans="23:23" ht="26.4">
      <c r="W4840" s="64" ph="1"/>
    </row>
    <row r="4841" spans="23:23" ht="26.4">
      <c r="W4841" s="64" ph="1"/>
    </row>
    <row r="4842" spans="23:23" ht="26.4">
      <c r="W4842" s="64" ph="1"/>
    </row>
    <row r="4843" spans="23:23" ht="26.4">
      <c r="W4843" s="64" ph="1"/>
    </row>
    <row r="4844" spans="23:23" ht="26.4">
      <c r="W4844" s="64" ph="1"/>
    </row>
    <row r="4845" spans="23:23" ht="26.4">
      <c r="W4845" s="64" ph="1"/>
    </row>
    <row r="4846" spans="23:23" ht="26.4">
      <c r="W4846" s="64" ph="1"/>
    </row>
    <row r="4847" spans="23:23" ht="26.4">
      <c r="W4847" s="64" ph="1"/>
    </row>
    <row r="4848" spans="23:23" ht="26.4">
      <c r="W4848" s="64" ph="1"/>
    </row>
    <row r="4849" spans="23:23" ht="26.4">
      <c r="W4849" s="64" ph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X4788"/>
  <sheetViews>
    <sheetView workbookViewId="0">
      <selection activeCell="AA3" sqref="AA3"/>
    </sheetView>
  </sheetViews>
  <sheetFormatPr defaultColWidth="9.125" defaultRowHeight="16.2"/>
  <cols>
    <col min="1" max="1" width="5.75" style="135" customWidth="1"/>
    <col min="2" max="5" width="5.75" style="97" customWidth="1"/>
    <col min="6" max="6" width="8.75" style="66" customWidth="1"/>
    <col min="7" max="7" width="7.75" style="20" customWidth="1"/>
    <col min="8" max="8" width="5.75" style="13" customWidth="1"/>
    <col min="9" max="9" width="9.75" style="10" customWidth="1"/>
    <col min="10" max="10" width="7.75" style="32" customWidth="1"/>
    <col min="11" max="11" width="7.75" style="36" customWidth="1"/>
    <col min="12" max="12" width="7.75" style="7" customWidth="1"/>
    <col min="13" max="13" width="7.75" style="65" customWidth="1"/>
    <col min="14" max="14" width="9.25" style="36" customWidth="1"/>
    <col min="15" max="15" width="9.25" style="343" customWidth="1"/>
    <col min="16" max="16" width="5.75" style="166" customWidth="1"/>
    <col min="17" max="17" width="4.75" style="109" customWidth="1"/>
    <col min="18" max="18" width="4.75" style="31" customWidth="1"/>
    <col min="19" max="19" width="4.75" style="51" customWidth="1"/>
    <col min="20" max="20" width="5.75" style="339" customWidth="1"/>
    <col min="21" max="21" width="2.75" style="329" customWidth="1"/>
    <col min="22" max="22" width="7.75" style="6" customWidth="1"/>
    <col min="23" max="23" width="7.75" style="64" customWidth="1"/>
    <col min="24" max="24" width="7.75" style="240" customWidth="1"/>
    <col min="25" max="25" width="9.75" style="285" customWidth="1"/>
    <col min="26" max="26" width="9.75" style="72" customWidth="1"/>
    <col min="27" max="27" width="9.75" style="61" customWidth="1"/>
    <col min="28" max="28" width="8.75" style="12" customWidth="1"/>
    <col min="29" max="29" width="6.75" style="104" customWidth="1"/>
    <col min="30" max="30" width="8.75" style="10" customWidth="1"/>
    <col min="31" max="31" width="11.75" style="89" customWidth="1"/>
    <col min="32" max="32" width="11.75" style="88" customWidth="1"/>
    <col min="33" max="33" width="3.75" style="82" customWidth="1"/>
    <col min="34" max="34" width="3.75" style="284" customWidth="1"/>
    <col min="35" max="35" width="2.75" style="129" customWidth="1"/>
    <col min="36" max="36" width="2.75" style="264" customWidth="1"/>
    <col min="37" max="37" width="7.75" style="252" customWidth="1"/>
    <col min="38" max="38" width="7.75" style="266" customWidth="1"/>
    <col min="39" max="40" width="7.75" style="284" customWidth="1"/>
    <col min="41" max="41" width="12.75" style="252" customWidth="1"/>
    <col min="42" max="42" width="5.75" style="266" customWidth="1"/>
    <col min="43" max="16384" width="9.125" style="284"/>
  </cols>
  <sheetData>
    <row r="1" spans="1:44">
      <c r="A1" s="135" t="s">
        <v>2552</v>
      </c>
      <c r="B1" s="96" t="s">
        <v>2331</v>
      </c>
      <c r="C1" s="96" t="s">
        <v>2332</v>
      </c>
      <c r="D1" s="96" t="s">
        <v>2333</v>
      </c>
      <c r="E1" s="96" t="s">
        <v>2334</v>
      </c>
      <c r="F1" s="9" t="s">
        <v>1709</v>
      </c>
      <c r="G1" s="27" t="s">
        <v>5626</v>
      </c>
      <c r="H1" s="56" t="s">
        <v>578</v>
      </c>
      <c r="I1" s="31" t="s">
        <v>6826</v>
      </c>
      <c r="J1" s="4" t="s">
        <v>2189</v>
      </c>
      <c r="K1" s="4" t="s">
        <v>1820</v>
      </c>
      <c r="L1" s="11" t="s">
        <v>515</v>
      </c>
      <c r="M1" s="11" t="s">
        <v>1699</v>
      </c>
      <c r="N1" s="4" t="s">
        <v>6633</v>
      </c>
      <c r="O1" s="31" t="s">
        <v>6634</v>
      </c>
      <c r="P1" s="83" t="s">
        <v>5279</v>
      </c>
      <c r="Q1" s="326" t="s">
        <v>5514</v>
      </c>
      <c r="R1" s="31" t="s">
        <v>6596</v>
      </c>
      <c r="S1" s="51" t="s">
        <v>6597</v>
      </c>
      <c r="T1" s="338" t="s">
        <v>5627</v>
      </c>
      <c r="U1" s="330" t="s">
        <v>6537</v>
      </c>
      <c r="V1" s="19" t="s">
        <v>6616</v>
      </c>
      <c r="W1" s="11" t="s">
        <v>4585</v>
      </c>
      <c r="X1" s="71" t="s">
        <v>6626</v>
      </c>
      <c r="Y1" s="29" t="s">
        <v>6688</v>
      </c>
      <c r="Z1" s="18" t="s">
        <v>2113</v>
      </c>
      <c r="AA1" s="15" t="s">
        <v>3598</v>
      </c>
      <c r="AB1" s="22" t="s">
        <v>2199</v>
      </c>
      <c r="AC1" s="26" t="s">
        <v>211</v>
      </c>
      <c r="AD1" s="31" t="s">
        <v>6826</v>
      </c>
      <c r="AE1" s="56" t="s">
        <v>5568</v>
      </c>
      <c r="AF1" s="114" t="s">
        <v>5575</v>
      </c>
      <c r="AG1" s="33" t="s">
        <v>1827</v>
      </c>
      <c r="AH1" s="262" t="s">
        <v>6777</v>
      </c>
      <c r="AI1" s="284"/>
      <c r="AK1" s="9" t="s">
        <v>6666</v>
      </c>
      <c r="AL1" s="5" t="s">
        <v>6667</v>
      </c>
      <c r="AM1" s="51" t="s">
        <v>5339</v>
      </c>
      <c r="AN1" s="276" t="s">
        <v>6665</v>
      </c>
      <c r="AO1" s="131"/>
      <c r="AP1" s="264"/>
    </row>
    <row r="2" spans="1:44">
      <c r="A2" s="151" t="s">
        <v>2959</v>
      </c>
      <c r="B2" s="85">
        <v>-97</v>
      </c>
      <c r="C2" s="85">
        <v>-101</v>
      </c>
      <c r="D2" s="84">
        <v>12</v>
      </c>
      <c r="E2" s="85">
        <v>-33</v>
      </c>
      <c r="F2" s="7">
        <v>-0.08</v>
      </c>
      <c r="G2" s="84">
        <v>3666</v>
      </c>
      <c r="H2" s="9" t="s">
        <v>557</v>
      </c>
      <c r="I2" s="17" t="s">
        <v>848</v>
      </c>
      <c r="J2" s="77">
        <v>50.34</v>
      </c>
      <c r="K2" s="77">
        <v>5.0999999999999996</v>
      </c>
      <c r="L2" s="371">
        <v>18.82</v>
      </c>
      <c r="M2" s="371">
        <v>41.39</v>
      </c>
      <c r="N2" s="365">
        <f t="shared" ref="N2:N6" si="0">J2+K2+L2+M2</f>
        <v>115.65</v>
      </c>
      <c r="O2" s="343">
        <f t="shared" ref="O2:O6" si="1">J2+M2</f>
        <v>91.73</v>
      </c>
      <c r="P2" s="195">
        <v>2</v>
      </c>
      <c r="Q2" s="326">
        <v>4</v>
      </c>
      <c r="R2" s="111">
        <v>23</v>
      </c>
      <c r="S2" s="51">
        <v>23</v>
      </c>
      <c r="T2" s="339">
        <f t="shared" ref="T2:T6" si="2">SUM(P2:S2)</f>
        <v>52</v>
      </c>
      <c r="U2" s="329" t="s">
        <v>6917</v>
      </c>
      <c r="V2" s="77">
        <v>1.97</v>
      </c>
      <c r="W2" s="35">
        <v>2</v>
      </c>
      <c r="X2" s="59">
        <v>1.24</v>
      </c>
      <c r="Y2" s="37" t="str">
        <f>RTD("money.excel",,"3666","Price")</f>
        <v>無資料</v>
      </c>
      <c r="Z2" s="69"/>
      <c r="AA2" s="16" t="e">
        <f t="shared" ref="AA2:AA6" si="3">Y2-Z2</f>
        <v>#VALUE!</v>
      </c>
      <c r="AB2" s="3" t="e">
        <f t="shared" ref="AB2:AB6" si="4">AA2/Z2</f>
        <v>#VALUE!</v>
      </c>
      <c r="AC2" s="177" t="s">
        <v>6918</v>
      </c>
      <c r="AD2" s="17" t="s">
        <v>848</v>
      </c>
      <c r="AE2" s="89">
        <v>44559</v>
      </c>
      <c r="AG2" s="34">
        <f t="shared" ref="AG2:AG6" si="5">AF2-AE2</f>
        <v>-44559</v>
      </c>
      <c r="AH2" s="44" t="s">
        <v>5391</v>
      </c>
      <c r="AI2" s="284"/>
      <c r="AK2" s="66">
        <f t="shared" ref="AK2:AK5" si="6">AM2/(A2*10000)</f>
        <v>0</v>
      </c>
      <c r="AL2" s="174">
        <f t="shared" ref="AL2:AL5" si="7">AN2/(A2*10000)</f>
        <v>0</v>
      </c>
      <c r="AM2" s="346">
        <f>RTD("money.excel",,$G2,"PredictVolume")</f>
        <v>0</v>
      </c>
      <c r="AN2" s="272">
        <f>RTD("money.excel",,$G2,"CumulativeVolume")</f>
        <v>0</v>
      </c>
      <c r="AO2" s="284"/>
      <c r="AP2" s="284"/>
    </row>
    <row r="3" spans="1:44">
      <c r="A3" s="135" t="s">
        <v>6420</v>
      </c>
      <c r="B3" s="84">
        <v>509</v>
      </c>
      <c r="C3" s="84">
        <v>556</v>
      </c>
      <c r="D3" s="85">
        <v>-4</v>
      </c>
      <c r="E3" s="84">
        <v>73</v>
      </c>
      <c r="F3" s="59">
        <v>35.78</v>
      </c>
      <c r="G3" s="85">
        <v>6531</v>
      </c>
      <c r="H3" s="5" t="s">
        <v>558</v>
      </c>
      <c r="I3" s="23" t="s">
        <v>639</v>
      </c>
      <c r="J3" s="371">
        <v>52.01</v>
      </c>
      <c r="K3" s="371">
        <v>20.49</v>
      </c>
      <c r="L3" s="371">
        <v>43.7</v>
      </c>
      <c r="M3" s="371">
        <v>18.64</v>
      </c>
      <c r="N3" s="77">
        <f t="shared" si="0"/>
        <v>134.84</v>
      </c>
      <c r="O3" s="343">
        <f t="shared" si="1"/>
        <v>70.650000000000006</v>
      </c>
      <c r="P3" s="195">
        <v>12</v>
      </c>
      <c r="Q3" s="326">
        <v>32</v>
      </c>
      <c r="R3" s="111">
        <v>25</v>
      </c>
      <c r="S3" s="51">
        <v>51</v>
      </c>
      <c r="T3" s="339">
        <f t="shared" si="2"/>
        <v>120</v>
      </c>
      <c r="U3" s="329" t="s">
        <v>6540</v>
      </c>
      <c r="V3" s="77">
        <v>14.13</v>
      </c>
      <c r="W3" s="69">
        <v>5</v>
      </c>
      <c r="X3" s="59">
        <v>22.25</v>
      </c>
      <c r="Y3" s="37" t="str">
        <f>RTD("money.excel",,"6531","Price")</f>
        <v>無資料</v>
      </c>
      <c r="Z3" s="69"/>
      <c r="AA3" s="16" t="e">
        <f t="shared" si="3"/>
        <v>#VALUE!</v>
      </c>
      <c r="AB3" s="3" t="e">
        <f t="shared" si="4"/>
        <v>#VALUE!</v>
      </c>
      <c r="AC3" s="177" t="s">
        <v>6919</v>
      </c>
      <c r="AD3" s="23" t="s">
        <v>639</v>
      </c>
      <c r="AE3" s="89">
        <v>44559</v>
      </c>
      <c r="AG3" s="34">
        <f t="shared" si="5"/>
        <v>-44559</v>
      </c>
      <c r="AH3" s="63" t="s">
        <v>3400</v>
      </c>
      <c r="AI3" s="131"/>
      <c r="AK3" s="66">
        <f t="shared" si="6"/>
        <v>0</v>
      </c>
      <c r="AL3" s="174">
        <f t="shared" si="7"/>
        <v>0</v>
      </c>
      <c r="AM3" s="346">
        <f>RTD("money.excel",,$G3,"PredictVolume")</f>
        <v>0</v>
      </c>
      <c r="AN3" s="272">
        <f>RTD("money.excel",,$G3,"CumulativeVolume")</f>
        <v>0</v>
      </c>
      <c r="AO3" s="284"/>
      <c r="AP3" s="284"/>
    </row>
    <row r="4" spans="1:44">
      <c r="A4" s="151" t="s">
        <v>2668</v>
      </c>
      <c r="B4" s="85">
        <v>-8</v>
      </c>
      <c r="C4" s="85">
        <v>-48</v>
      </c>
      <c r="D4" s="84">
        <v>17</v>
      </c>
      <c r="E4" s="84">
        <v>33</v>
      </c>
      <c r="F4" s="7">
        <v>1.49</v>
      </c>
      <c r="G4" s="84">
        <v>4967</v>
      </c>
      <c r="H4" s="9" t="s">
        <v>558</v>
      </c>
      <c r="I4" s="23" t="s">
        <v>2657</v>
      </c>
      <c r="J4" s="77">
        <v>11.5</v>
      </c>
      <c r="K4" s="77">
        <v>1.81</v>
      </c>
      <c r="L4" s="371">
        <v>49.87</v>
      </c>
      <c r="M4" s="371">
        <v>4.84</v>
      </c>
      <c r="N4" s="365">
        <f t="shared" si="0"/>
        <v>68.02</v>
      </c>
      <c r="O4" s="343">
        <f t="shared" si="1"/>
        <v>16.34</v>
      </c>
      <c r="P4" s="195">
        <v>13</v>
      </c>
      <c r="Q4" s="326">
        <v>28</v>
      </c>
      <c r="R4" s="111">
        <v>26</v>
      </c>
      <c r="S4" s="51">
        <v>27</v>
      </c>
      <c r="T4" s="339">
        <f t="shared" si="2"/>
        <v>94</v>
      </c>
      <c r="U4" s="329" t="s">
        <v>6538</v>
      </c>
      <c r="V4" s="77">
        <v>8.02</v>
      </c>
      <c r="W4" s="35">
        <v>0.86</v>
      </c>
      <c r="X4" s="100">
        <v>1.61</v>
      </c>
      <c r="Y4" s="37" t="str">
        <f>RTD("money.excel",,"4967","Price")</f>
        <v>無資料</v>
      </c>
      <c r="Z4" s="69"/>
      <c r="AA4" s="16" t="e">
        <f t="shared" si="3"/>
        <v>#VALUE!</v>
      </c>
      <c r="AB4" s="3" t="e">
        <f t="shared" si="4"/>
        <v>#VALUE!</v>
      </c>
      <c r="AC4" s="177" t="s">
        <v>6920</v>
      </c>
      <c r="AD4" s="23" t="s">
        <v>2657</v>
      </c>
      <c r="AE4" s="89">
        <v>44559</v>
      </c>
      <c r="AG4" s="34">
        <f t="shared" si="5"/>
        <v>-44559</v>
      </c>
      <c r="AH4" s="44" t="s">
        <v>2131</v>
      </c>
      <c r="AI4" s="131"/>
      <c r="AK4" s="66">
        <f t="shared" si="6"/>
        <v>0</v>
      </c>
      <c r="AL4" s="174">
        <f t="shared" si="7"/>
        <v>0</v>
      </c>
      <c r="AM4" s="346">
        <f>RTD("money.excel",,$G4,"PredictVolume")</f>
        <v>0</v>
      </c>
      <c r="AN4" s="272">
        <f>RTD("money.excel",,$G4,"CumulativeVolume")</f>
        <v>0</v>
      </c>
      <c r="AO4" s="284"/>
      <c r="AP4" s="284"/>
    </row>
    <row r="5" spans="1:44">
      <c r="A5" s="135" t="s">
        <v>3026</v>
      </c>
      <c r="B5" s="85">
        <v>-56</v>
      </c>
      <c r="C5" s="85">
        <v>-46</v>
      </c>
      <c r="D5" s="84">
        <v>23</v>
      </c>
      <c r="E5" s="84">
        <v>124</v>
      </c>
      <c r="F5" s="59">
        <v>17.64</v>
      </c>
      <c r="G5" s="84">
        <v>6477</v>
      </c>
      <c r="H5" s="9" t="s">
        <v>557</v>
      </c>
      <c r="I5" s="23" t="s">
        <v>833</v>
      </c>
      <c r="J5" s="77">
        <v>39.75</v>
      </c>
      <c r="K5" s="77">
        <v>5.67</v>
      </c>
      <c r="L5" s="371">
        <v>32.799999999999997</v>
      </c>
      <c r="M5" s="77">
        <v>19.07</v>
      </c>
      <c r="N5" s="365">
        <f t="shared" si="0"/>
        <v>97.289999999999992</v>
      </c>
      <c r="O5" s="343">
        <f t="shared" si="1"/>
        <v>58.82</v>
      </c>
      <c r="P5" s="195">
        <v>9</v>
      </c>
      <c r="Q5" s="326">
        <v>25</v>
      </c>
      <c r="R5" s="111">
        <v>47</v>
      </c>
      <c r="S5" s="51">
        <v>31</v>
      </c>
      <c r="T5" s="339">
        <f t="shared" si="2"/>
        <v>112</v>
      </c>
      <c r="U5" s="329" t="s">
        <v>6538</v>
      </c>
      <c r="V5" s="371">
        <v>4.75</v>
      </c>
      <c r="W5" s="35">
        <v>1.1399999999999999</v>
      </c>
      <c r="X5" s="100">
        <v>1.23</v>
      </c>
      <c r="Y5" s="37" t="str">
        <f>RTD("money.excel",,"6477","Price")</f>
        <v>無資料</v>
      </c>
      <c r="Z5" s="69"/>
      <c r="AA5" s="16" t="e">
        <f t="shared" si="3"/>
        <v>#VALUE!</v>
      </c>
      <c r="AB5" s="3" t="e">
        <f t="shared" si="4"/>
        <v>#VALUE!</v>
      </c>
      <c r="AC5" s="177" t="s">
        <v>6921</v>
      </c>
      <c r="AD5" s="23" t="s">
        <v>833</v>
      </c>
      <c r="AE5" s="89">
        <v>44559</v>
      </c>
      <c r="AG5" s="34">
        <f t="shared" si="5"/>
        <v>-44559</v>
      </c>
      <c r="AH5" s="44" t="s">
        <v>6417</v>
      </c>
      <c r="AI5" s="284"/>
      <c r="AK5" s="66">
        <f t="shared" si="6"/>
        <v>0</v>
      </c>
      <c r="AL5" s="174">
        <f t="shared" si="7"/>
        <v>0</v>
      </c>
      <c r="AM5" s="346">
        <f>RTD("money.excel",,$G5,"PredictVolume")</f>
        <v>0</v>
      </c>
      <c r="AN5" s="272">
        <f>RTD("money.excel",,$G5,"CumulativeVolume")</f>
        <v>0</v>
      </c>
      <c r="AO5" s="284"/>
      <c r="AP5" s="284"/>
    </row>
    <row r="6" spans="1:44">
      <c r="A6" s="135" t="s">
        <v>5502</v>
      </c>
      <c r="B6" s="98">
        <v>1012</v>
      </c>
      <c r="C6" s="98">
        <v>1190</v>
      </c>
      <c r="D6" s="85">
        <v>-8</v>
      </c>
      <c r="E6" s="84">
        <v>24</v>
      </c>
      <c r="F6" s="59">
        <v>32.83</v>
      </c>
      <c r="G6" s="84">
        <v>3545</v>
      </c>
      <c r="H6" s="9" t="s">
        <v>558</v>
      </c>
      <c r="I6" s="23" t="s">
        <v>631</v>
      </c>
      <c r="J6" s="77">
        <v>19.53</v>
      </c>
      <c r="K6" s="371">
        <v>19.93</v>
      </c>
      <c r="L6" s="77">
        <v>38.85</v>
      </c>
      <c r="M6" s="77">
        <v>2.5</v>
      </c>
      <c r="N6" s="365">
        <f t="shared" si="0"/>
        <v>80.81</v>
      </c>
      <c r="O6" s="343">
        <f t="shared" si="1"/>
        <v>22.03</v>
      </c>
      <c r="P6" s="195">
        <v>41</v>
      </c>
      <c r="Q6" s="326">
        <v>32</v>
      </c>
      <c r="R6" s="31">
        <v>23</v>
      </c>
      <c r="S6" s="51">
        <v>53</v>
      </c>
      <c r="T6" s="339">
        <f t="shared" si="2"/>
        <v>149</v>
      </c>
      <c r="U6" s="329" t="s">
        <v>6541</v>
      </c>
      <c r="V6" s="371">
        <v>7.79</v>
      </c>
      <c r="W6" s="69">
        <v>3.23</v>
      </c>
      <c r="X6" s="100">
        <v>24.89</v>
      </c>
      <c r="Y6" s="37" t="str">
        <f>RTD("money.excel",,"3545","Price")</f>
        <v>無資料</v>
      </c>
      <c r="Z6" s="69"/>
      <c r="AA6" s="16" t="e">
        <f t="shared" si="3"/>
        <v>#VALUE!</v>
      </c>
      <c r="AB6" s="3" t="e">
        <f t="shared" si="4"/>
        <v>#VALUE!</v>
      </c>
      <c r="AC6" s="177" t="s">
        <v>6922</v>
      </c>
      <c r="AD6" s="23" t="s">
        <v>631</v>
      </c>
      <c r="AE6" s="89">
        <v>44559</v>
      </c>
      <c r="AG6" s="34">
        <f t="shared" si="5"/>
        <v>-44559</v>
      </c>
      <c r="AH6" s="63" t="s">
        <v>3725</v>
      </c>
      <c r="AI6" s="131"/>
      <c r="AK6" s="301"/>
      <c r="AL6" s="310"/>
      <c r="AM6" s="291"/>
      <c r="AN6" s="273"/>
      <c r="AO6" s="284"/>
      <c r="AP6" s="284"/>
    </row>
    <row r="7" spans="1:44">
      <c r="B7" s="96"/>
      <c r="C7" s="96"/>
      <c r="D7" s="96"/>
      <c r="E7" s="96"/>
      <c r="F7" s="9"/>
      <c r="G7" s="27"/>
      <c r="H7" s="56"/>
      <c r="I7" s="31"/>
      <c r="J7" s="4"/>
      <c r="K7" s="4"/>
      <c r="L7" s="11"/>
      <c r="M7" s="11"/>
      <c r="N7" s="4"/>
      <c r="O7" s="31"/>
      <c r="P7" s="83"/>
      <c r="Q7" s="326"/>
      <c r="T7" s="338"/>
      <c r="U7" s="330"/>
      <c r="V7" s="19"/>
      <c r="W7" s="11"/>
      <c r="X7" s="71"/>
      <c r="Y7" s="29"/>
      <c r="Z7" s="18"/>
      <c r="AA7" s="15"/>
      <c r="AB7" s="22"/>
      <c r="AC7" s="26"/>
      <c r="AD7" s="31"/>
      <c r="AE7" s="56"/>
      <c r="AF7" s="114"/>
      <c r="AG7" s="33"/>
      <c r="AH7" s="262"/>
      <c r="AI7" s="284"/>
      <c r="AK7" s="9"/>
      <c r="AL7" s="5"/>
      <c r="AM7" s="51"/>
      <c r="AN7" s="276"/>
      <c r="AO7" s="131"/>
      <c r="AP7" s="264"/>
    </row>
    <row r="8" spans="1:44">
      <c r="A8" s="135" t="s">
        <v>3107</v>
      </c>
      <c r="B8" s="85">
        <v>-66</v>
      </c>
      <c r="C8" s="85">
        <v>-67</v>
      </c>
      <c r="D8" s="84">
        <v>33</v>
      </c>
      <c r="E8" s="85">
        <v>-17</v>
      </c>
      <c r="F8" s="59">
        <v>16.88</v>
      </c>
      <c r="G8" s="84">
        <v>6538</v>
      </c>
      <c r="H8" s="9" t="s">
        <v>559</v>
      </c>
      <c r="I8" s="17" t="s">
        <v>794</v>
      </c>
      <c r="J8" s="77">
        <v>10.039999999999999</v>
      </c>
      <c r="K8" s="77">
        <v>4.8600000000000003</v>
      </c>
      <c r="L8" s="371">
        <v>28.2</v>
      </c>
      <c r="M8" s="77">
        <v>13.45</v>
      </c>
      <c r="N8" s="365">
        <f t="shared" ref="N8" si="8">J8+K8+L8+M8</f>
        <v>56.55</v>
      </c>
      <c r="O8" s="343">
        <f t="shared" ref="O8" si="9">J8+M8</f>
        <v>23.49</v>
      </c>
      <c r="P8" s="195">
        <v>1</v>
      </c>
      <c r="Q8" s="326">
        <v>2</v>
      </c>
      <c r="R8" s="111">
        <v>11</v>
      </c>
      <c r="S8" s="51">
        <v>10</v>
      </c>
      <c r="T8" s="339">
        <f t="shared" ref="T8" si="10">SUM(P8:S8)</f>
        <v>24</v>
      </c>
      <c r="U8" s="329" t="s">
        <v>6539</v>
      </c>
      <c r="V8" s="77">
        <v>3.34</v>
      </c>
      <c r="W8" s="69">
        <v>7</v>
      </c>
      <c r="X8" s="100">
        <v>5.16</v>
      </c>
      <c r="Y8" s="37" t="str">
        <f>RTD("money.excel",,"6538","Price")</f>
        <v>無資料</v>
      </c>
      <c r="Z8" s="69">
        <v>98.3</v>
      </c>
      <c r="AA8" s="16" t="e">
        <f t="shared" ref="AA8" si="11">Y8-Z8</f>
        <v>#VALUE!</v>
      </c>
      <c r="AB8" s="3" t="e">
        <f t="shared" ref="AB8" si="12">AA8/Z8</f>
        <v>#VALUE!</v>
      </c>
      <c r="AC8" s="177" t="s">
        <v>6905</v>
      </c>
      <c r="AD8" s="17" t="s">
        <v>794</v>
      </c>
      <c r="AE8" s="89">
        <v>44558</v>
      </c>
      <c r="AG8" s="34">
        <f t="shared" ref="AG8" si="13">AF8-AE8</f>
        <v>-44558</v>
      </c>
      <c r="AH8" s="63" t="s">
        <v>2640</v>
      </c>
      <c r="AI8" s="131"/>
      <c r="AK8" s="66">
        <f t="shared" ref="AK8" si="14">AM8/(A8*10000)</f>
        <v>0</v>
      </c>
      <c r="AL8" s="174">
        <f t="shared" ref="AL8" si="15">AN8/(A8*10000)</f>
        <v>0</v>
      </c>
      <c r="AM8" s="346">
        <f>RTD("money.excel",,$G8,"PredictVolume")</f>
        <v>0</v>
      </c>
      <c r="AN8" s="272">
        <f>RTD("money.excel",,$G8,"CumulativeVolume")</f>
        <v>0</v>
      </c>
      <c r="AO8" s="284"/>
      <c r="AP8" s="284"/>
    </row>
    <row r="9" spans="1:44">
      <c r="A9" s="151" t="s">
        <v>3318</v>
      </c>
      <c r="B9" s="84">
        <v>50</v>
      </c>
      <c r="C9" s="84">
        <v>51</v>
      </c>
      <c r="D9" s="84">
        <v>12</v>
      </c>
      <c r="E9" s="84">
        <v>30</v>
      </c>
      <c r="F9" s="7">
        <v>4.9400000000000004</v>
      </c>
      <c r="G9" s="84">
        <v>3114</v>
      </c>
      <c r="H9" s="9" t="s">
        <v>559</v>
      </c>
      <c r="I9" s="17" t="s">
        <v>730</v>
      </c>
      <c r="J9" s="371">
        <v>43.45</v>
      </c>
      <c r="K9" s="77">
        <v>1.17</v>
      </c>
      <c r="L9" s="371">
        <v>15.26</v>
      </c>
      <c r="M9" s="371">
        <v>19.95</v>
      </c>
      <c r="N9" s="365">
        <f t="shared" ref="N9:N13" si="16">J9+K9+L9+M9</f>
        <v>79.83</v>
      </c>
      <c r="O9" s="343">
        <f t="shared" ref="O9:O13" si="17">J9+M9</f>
        <v>63.400000000000006</v>
      </c>
      <c r="P9" s="195">
        <v>0</v>
      </c>
      <c r="Q9" s="326">
        <v>12</v>
      </c>
      <c r="R9" s="111">
        <v>17</v>
      </c>
      <c r="S9" s="51">
        <v>16</v>
      </c>
      <c r="T9" s="339">
        <f t="shared" ref="T9:T13" si="18">SUM(P9:S9)</f>
        <v>45</v>
      </c>
      <c r="U9" s="329" t="s">
        <v>6882</v>
      </c>
      <c r="V9" s="77">
        <v>0.88</v>
      </c>
      <c r="W9" s="35">
        <v>1.2</v>
      </c>
      <c r="X9" s="100">
        <v>2.4</v>
      </c>
      <c r="Y9" s="37" t="str">
        <f>RTD("money.excel",,"3114","Price")</f>
        <v>無資料</v>
      </c>
      <c r="Z9" s="69">
        <v>29.5</v>
      </c>
      <c r="AA9" s="16" t="e">
        <f t="shared" ref="AA9:AA11" si="19">Y9-Z9</f>
        <v>#VALUE!</v>
      </c>
      <c r="AB9" s="3" t="e">
        <f t="shared" ref="AB9:AB11" si="20">AA9/Z9</f>
        <v>#VALUE!</v>
      </c>
      <c r="AC9" s="177" t="s">
        <v>6884</v>
      </c>
      <c r="AD9" s="17" t="s">
        <v>730</v>
      </c>
      <c r="AE9" s="89">
        <v>44557</v>
      </c>
      <c r="AG9" s="34">
        <f t="shared" ref="AG9:AG11" si="21">AF9-AE9</f>
        <v>-44557</v>
      </c>
      <c r="AH9" s="44" t="s">
        <v>3762</v>
      </c>
      <c r="AI9" s="131"/>
      <c r="AK9" s="66">
        <f t="shared" ref="AK9:AK13" si="22">AM9/(A9*10000)</f>
        <v>0</v>
      </c>
      <c r="AL9" s="174">
        <f t="shared" ref="AL9:AL13" si="23">AN9/(A9*10000)</f>
        <v>0</v>
      </c>
      <c r="AM9" s="346">
        <f>RTD("money.excel",,$G9,"PredictVolume")</f>
        <v>0</v>
      </c>
      <c r="AN9" s="272">
        <f>RTD("money.excel",,$G9,"CumulativeVolume")</f>
        <v>0</v>
      </c>
      <c r="AO9" s="284"/>
      <c r="AP9" s="284"/>
    </row>
    <row r="10" spans="1:44">
      <c r="A10" s="151" t="s">
        <v>2596</v>
      </c>
      <c r="B10" s="85">
        <v>-66</v>
      </c>
      <c r="C10" s="85">
        <v>-51</v>
      </c>
      <c r="D10" s="84">
        <v>19</v>
      </c>
      <c r="E10" s="84">
        <v>17</v>
      </c>
      <c r="F10" s="7">
        <v>4.0999999999999996</v>
      </c>
      <c r="G10" s="84">
        <v>8088</v>
      </c>
      <c r="H10" s="212" t="s">
        <v>558</v>
      </c>
      <c r="I10" s="17" t="s">
        <v>680</v>
      </c>
      <c r="J10" s="371">
        <v>18.809999999999999</v>
      </c>
      <c r="K10" s="77">
        <v>9.89</v>
      </c>
      <c r="L10" s="371">
        <v>16.309999999999999</v>
      </c>
      <c r="M10" s="371">
        <v>18.98</v>
      </c>
      <c r="N10" s="365">
        <f t="shared" si="16"/>
        <v>63.989999999999995</v>
      </c>
      <c r="O10" s="343">
        <f t="shared" si="17"/>
        <v>37.79</v>
      </c>
      <c r="P10" s="195">
        <v>2</v>
      </c>
      <c r="Q10" s="326">
        <v>6</v>
      </c>
      <c r="R10" s="111">
        <v>21</v>
      </c>
      <c r="S10" s="51">
        <v>12</v>
      </c>
      <c r="T10" s="339">
        <f t="shared" si="18"/>
        <v>41</v>
      </c>
      <c r="U10" s="329" t="s">
        <v>6883</v>
      </c>
      <c r="V10" s="77">
        <v>1.88</v>
      </c>
      <c r="W10" s="35">
        <v>1.2</v>
      </c>
      <c r="X10" s="100">
        <v>0.84</v>
      </c>
      <c r="Y10" s="37" t="str">
        <f>RTD("money.excel",,"8088","Price")</f>
        <v>無資料</v>
      </c>
      <c r="Z10" s="69">
        <v>24.65</v>
      </c>
      <c r="AA10" s="16" t="e">
        <f t="shared" si="19"/>
        <v>#VALUE!</v>
      </c>
      <c r="AB10" s="3" t="e">
        <f t="shared" si="20"/>
        <v>#VALUE!</v>
      </c>
      <c r="AC10" s="177" t="s">
        <v>6885</v>
      </c>
      <c r="AD10" s="17" t="s">
        <v>680</v>
      </c>
      <c r="AE10" s="89">
        <v>44557</v>
      </c>
      <c r="AG10" s="34">
        <f t="shared" si="21"/>
        <v>-44557</v>
      </c>
      <c r="AH10" s="44" t="s">
        <v>3700</v>
      </c>
      <c r="AI10" s="131"/>
      <c r="AK10" s="66">
        <f t="shared" si="22"/>
        <v>0</v>
      </c>
      <c r="AL10" s="174">
        <f t="shared" si="23"/>
        <v>0</v>
      </c>
      <c r="AM10" s="346">
        <f>RTD("money.excel",,$G10,"PredictVolume")</f>
        <v>0</v>
      </c>
      <c r="AN10" s="272">
        <f>RTD("money.excel",,$G10,"CumulativeVolume")</f>
        <v>0</v>
      </c>
      <c r="AO10" s="284"/>
      <c r="AP10" s="284"/>
    </row>
    <row r="11" spans="1:44">
      <c r="A11" s="135" t="s">
        <v>6420</v>
      </c>
      <c r="B11" s="84">
        <v>509</v>
      </c>
      <c r="C11" s="84">
        <v>556</v>
      </c>
      <c r="D11" s="85">
        <v>-4</v>
      </c>
      <c r="E11" s="84">
        <v>73</v>
      </c>
      <c r="F11" s="59">
        <v>35.78</v>
      </c>
      <c r="G11" s="85">
        <v>6531</v>
      </c>
      <c r="H11" s="5" t="s">
        <v>558</v>
      </c>
      <c r="I11" s="23" t="s">
        <v>639</v>
      </c>
      <c r="J11" s="371">
        <v>52.01</v>
      </c>
      <c r="K11" s="77">
        <v>20.55</v>
      </c>
      <c r="L11" s="371">
        <v>44.63</v>
      </c>
      <c r="M11" s="371">
        <v>18.64</v>
      </c>
      <c r="N11" s="77">
        <f t="shared" si="16"/>
        <v>135.82999999999998</v>
      </c>
      <c r="O11" s="343">
        <f t="shared" si="17"/>
        <v>70.650000000000006</v>
      </c>
      <c r="P11" s="195">
        <v>12</v>
      </c>
      <c r="Q11" s="326">
        <v>32</v>
      </c>
      <c r="R11" s="111">
        <v>24</v>
      </c>
      <c r="S11" s="51">
        <v>51</v>
      </c>
      <c r="T11" s="339">
        <f t="shared" si="18"/>
        <v>119</v>
      </c>
      <c r="U11" s="329" t="s">
        <v>6540</v>
      </c>
      <c r="V11" s="77">
        <v>14.02</v>
      </c>
      <c r="W11" s="69">
        <v>5</v>
      </c>
      <c r="X11" s="59">
        <v>22.25</v>
      </c>
      <c r="Y11" s="37" t="str">
        <f>RTD("money.excel",,"6531","Price")</f>
        <v>無資料</v>
      </c>
      <c r="Z11" s="69">
        <v>502</v>
      </c>
      <c r="AA11" s="16" t="e">
        <f t="shared" si="19"/>
        <v>#VALUE!</v>
      </c>
      <c r="AB11" s="3" t="e">
        <f t="shared" si="20"/>
        <v>#VALUE!</v>
      </c>
      <c r="AC11" s="177" t="s">
        <v>6886</v>
      </c>
      <c r="AD11" s="23" t="s">
        <v>639</v>
      </c>
      <c r="AE11" s="89">
        <v>44557</v>
      </c>
      <c r="AG11" s="34">
        <f t="shared" si="21"/>
        <v>-44557</v>
      </c>
      <c r="AH11" s="63" t="s">
        <v>3400</v>
      </c>
      <c r="AI11" s="131"/>
      <c r="AK11" s="66">
        <f t="shared" si="22"/>
        <v>0</v>
      </c>
      <c r="AL11" s="174">
        <f t="shared" si="23"/>
        <v>0</v>
      </c>
      <c r="AM11" s="346">
        <f>RTD("money.excel",,$G11,"PredictVolume")</f>
        <v>0</v>
      </c>
      <c r="AN11" s="272">
        <f>RTD("money.excel",,$G11,"CumulativeVolume")</f>
        <v>0</v>
      </c>
      <c r="AO11" s="284"/>
      <c r="AP11" s="284"/>
    </row>
    <row r="12" spans="1:44">
      <c r="A12" s="135" t="s">
        <v>6295</v>
      </c>
      <c r="B12" s="85">
        <v>-19</v>
      </c>
      <c r="C12" s="85">
        <v>-18</v>
      </c>
      <c r="D12" s="84">
        <v>0</v>
      </c>
      <c r="E12" s="84">
        <v>32</v>
      </c>
      <c r="F12" s="59">
        <v>12.25</v>
      </c>
      <c r="G12" s="85">
        <v>6223</v>
      </c>
      <c r="H12" s="268" t="s">
        <v>558</v>
      </c>
      <c r="I12" s="17" t="s">
        <v>312</v>
      </c>
      <c r="J12" s="77">
        <v>20.89</v>
      </c>
      <c r="K12" s="77">
        <v>14.2</v>
      </c>
      <c r="L12" s="77">
        <v>39.270000000000003</v>
      </c>
      <c r="M12" s="371">
        <v>12.43</v>
      </c>
      <c r="N12" s="365">
        <f t="shared" si="16"/>
        <v>86.79000000000002</v>
      </c>
      <c r="O12" s="343">
        <f t="shared" si="17"/>
        <v>33.32</v>
      </c>
      <c r="P12" s="195">
        <v>9</v>
      </c>
      <c r="Q12" s="326">
        <v>31</v>
      </c>
      <c r="R12" s="111">
        <v>33</v>
      </c>
      <c r="S12" s="51">
        <v>41</v>
      </c>
      <c r="T12" s="339">
        <f t="shared" si="18"/>
        <v>114</v>
      </c>
      <c r="U12" s="329" t="s">
        <v>6540</v>
      </c>
      <c r="V12" s="371">
        <v>2.7</v>
      </c>
      <c r="W12" s="69">
        <v>4.47</v>
      </c>
      <c r="X12" s="100">
        <v>6.6</v>
      </c>
      <c r="Y12" s="37" t="str">
        <f>RTD("money.excel",,"6223","Price")</f>
        <v>無資料</v>
      </c>
      <c r="Z12" s="69">
        <v>115.5</v>
      </c>
      <c r="AA12" s="16" t="e">
        <f>Y12-Z12</f>
        <v>#VALUE!</v>
      </c>
      <c r="AB12" s="3" t="e">
        <f>AA12/Z12</f>
        <v>#VALUE!</v>
      </c>
      <c r="AC12" s="177" t="s">
        <v>6887</v>
      </c>
      <c r="AD12" s="17" t="s">
        <v>312</v>
      </c>
      <c r="AE12" s="89">
        <v>44557</v>
      </c>
      <c r="AG12" s="34">
        <f>AF12-AE12</f>
        <v>-44557</v>
      </c>
      <c r="AH12" s="126" t="s">
        <v>3737</v>
      </c>
      <c r="AI12" s="131"/>
      <c r="AK12" s="66">
        <f t="shared" si="22"/>
        <v>0</v>
      </c>
      <c r="AL12" s="174">
        <f t="shared" si="23"/>
        <v>0</v>
      </c>
      <c r="AM12" s="346">
        <f>RTD("money.excel",,$G12,"PredictVolume")</f>
        <v>0</v>
      </c>
      <c r="AN12" s="272">
        <f>RTD("money.excel",,$G12,"CumulativeVolume")</f>
        <v>0</v>
      </c>
      <c r="AO12" s="284"/>
      <c r="AP12" s="284"/>
    </row>
    <row r="13" spans="1:44">
      <c r="A13" s="135" t="s">
        <v>2542</v>
      </c>
      <c r="B13" s="84">
        <v>54</v>
      </c>
      <c r="C13" s="84">
        <v>45</v>
      </c>
      <c r="D13" s="84">
        <v>7</v>
      </c>
      <c r="E13" s="84">
        <v>42</v>
      </c>
      <c r="F13" s="59">
        <v>13.21</v>
      </c>
      <c r="G13" s="84">
        <v>2375</v>
      </c>
      <c r="H13" s="216" t="s">
        <v>559</v>
      </c>
      <c r="I13" s="24" t="s">
        <v>457</v>
      </c>
      <c r="J13" s="77">
        <v>14.64</v>
      </c>
      <c r="K13" s="77">
        <v>7.02</v>
      </c>
      <c r="L13" s="371">
        <v>37.75</v>
      </c>
      <c r="M13" s="77">
        <v>7.07</v>
      </c>
      <c r="N13" s="365">
        <f t="shared" si="16"/>
        <v>66.47999999999999</v>
      </c>
      <c r="O13" s="343">
        <f t="shared" si="17"/>
        <v>21.71</v>
      </c>
      <c r="P13" s="195">
        <v>12</v>
      </c>
      <c r="Q13" s="326">
        <v>32</v>
      </c>
      <c r="R13" s="111">
        <v>35</v>
      </c>
      <c r="S13" s="51">
        <v>36</v>
      </c>
      <c r="T13" s="339">
        <f t="shared" si="18"/>
        <v>115</v>
      </c>
      <c r="U13" s="329" t="s">
        <v>6540</v>
      </c>
      <c r="V13" s="371">
        <v>4.9800000000000004</v>
      </c>
      <c r="W13" s="35">
        <v>2</v>
      </c>
      <c r="X13" s="100">
        <v>7.95</v>
      </c>
      <c r="Y13" s="37" t="str">
        <f>RTD("money.excel",,"2375","Price")</f>
        <v>無資料</v>
      </c>
      <c r="Z13" s="69">
        <v>99.3</v>
      </c>
      <c r="AA13" s="16" t="e">
        <f>Y13-Z13</f>
        <v>#VALUE!</v>
      </c>
      <c r="AB13" s="3" t="e">
        <f>AA13/Z13</f>
        <v>#VALUE!</v>
      </c>
      <c r="AC13" s="177" t="s">
        <v>6888</v>
      </c>
      <c r="AD13" s="24" t="s">
        <v>457</v>
      </c>
      <c r="AE13" s="89">
        <v>44557</v>
      </c>
      <c r="AG13" s="34">
        <f>AF13-AE13</f>
        <v>-44557</v>
      </c>
      <c r="AH13" s="50" t="s">
        <v>3378</v>
      </c>
      <c r="AK13" s="66">
        <f t="shared" si="22"/>
        <v>0</v>
      </c>
      <c r="AL13" s="174">
        <f t="shared" si="23"/>
        <v>0</v>
      </c>
      <c r="AM13" s="346">
        <f>RTD("money.excel",,$G13,"PredictVolume")</f>
        <v>0</v>
      </c>
      <c r="AN13" s="272">
        <f>RTD("money.excel",,$G13,"CumulativeVolume")</f>
        <v>0</v>
      </c>
      <c r="AO13" s="12"/>
      <c r="AP13" s="12"/>
      <c r="AQ13" s="12"/>
      <c r="AR13" s="12"/>
    </row>
    <row r="14" spans="1:44">
      <c r="A14" s="135" t="s">
        <v>3270</v>
      </c>
      <c r="B14" s="84">
        <v>102</v>
      </c>
      <c r="C14" s="84">
        <v>102</v>
      </c>
      <c r="D14" s="84">
        <v>11</v>
      </c>
      <c r="E14" s="84">
        <v>8</v>
      </c>
      <c r="F14" s="59">
        <v>25.41</v>
      </c>
      <c r="G14" s="85">
        <v>6491</v>
      </c>
      <c r="H14" s="213" t="s">
        <v>560</v>
      </c>
      <c r="I14" s="23" t="s">
        <v>2572</v>
      </c>
      <c r="J14" s="77">
        <v>56.47</v>
      </c>
      <c r="K14" s="371">
        <v>16.690000000000001</v>
      </c>
      <c r="L14" s="77">
        <v>6.58</v>
      </c>
      <c r="M14" s="371">
        <v>43.22</v>
      </c>
      <c r="N14" s="365">
        <f t="shared" ref="N14:N15" si="24">J14+K14+L14+M14</f>
        <v>122.96</v>
      </c>
      <c r="O14" s="369">
        <f t="shared" ref="O14:O15" si="25">J14+M14</f>
        <v>99.69</v>
      </c>
      <c r="P14" s="195">
        <v>10</v>
      </c>
      <c r="Q14" s="326">
        <v>9</v>
      </c>
      <c r="R14" s="31">
        <v>23</v>
      </c>
      <c r="S14" s="51">
        <v>46</v>
      </c>
      <c r="T14" s="339">
        <f t="shared" ref="T14:T15" si="26">SUM(P14:S14)</f>
        <v>88</v>
      </c>
      <c r="U14" s="329" t="s">
        <v>6541</v>
      </c>
      <c r="V14" s="77">
        <v>2.08</v>
      </c>
      <c r="W14" s="69">
        <v>5</v>
      </c>
      <c r="X14" s="59">
        <v>16.61</v>
      </c>
      <c r="Y14" s="37" t="str">
        <f>RTD("money.excel",,"6491","Price")</f>
        <v>無資料</v>
      </c>
      <c r="Z14" s="69">
        <v>401</v>
      </c>
      <c r="AA14" s="16" t="e">
        <f t="shared" ref="AA14:AA15" si="27">Y14-Z14</f>
        <v>#VALUE!</v>
      </c>
      <c r="AB14" s="3" t="e">
        <f t="shared" ref="AB14:AB15" si="28">AA14/Z14</f>
        <v>#VALUE!</v>
      </c>
      <c r="AC14" s="177" t="s">
        <v>6830</v>
      </c>
      <c r="AD14" s="23" t="s">
        <v>2572</v>
      </c>
      <c r="AE14" s="89">
        <v>44554</v>
      </c>
      <c r="AG14" s="34">
        <f t="shared" ref="AG14:AG15" si="29">AF14-AE14</f>
        <v>-44554</v>
      </c>
      <c r="AH14" s="126" t="s">
        <v>4964</v>
      </c>
      <c r="AI14" s="131"/>
      <c r="AK14" s="66">
        <f t="shared" ref="AK14:AK15" si="30">AM14/(A14*10000)</f>
        <v>0</v>
      </c>
      <c r="AL14" s="174">
        <f t="shared" ref="AL14:AL15" si="31">AN14/(A14*10000)</f>
        <v>0</v>
      </c>
      <c r="AM14" s="346">
        <f>RTD("money.excel",,$G14,"PredictVolume")</f>
        <v>0</v>
      </c>
      <c r="AN14" s="272">
        <f>RTD("money.excel",,$G14,"CumulativeVolume")</f>
        <v>0</v>
      </c>
      <c r="AO14" s="284"/>
      <c r="AP14" s="284"/>
    </row>
    <row r="15" spans="1:44">
      <c r="A15" s="151" t="s">
        <v>6772</v>
      </c>
      <c r="B15" s="85">
        <v>-6</v>
      </c>
      <c r="C15" s="85">
        <v>-35</v>
      </c>
      <c r="D15" s="84">
        <v>9</v>
      </c>
      <c r="E15" s="84">
        <v>59</v>
      </c>
      <c r="F15" s="7">
        <v>4.67</v>
      </c>
      <c r="G15" s="84">
        <v>3483</v>
      </c>
      <c r="H15" s="154" t="s">
        <v>561</v>
      </c>
      <c r="I15" s="17" t="s">
        <v>902</v>
      </c>
      <c r="J15" s="77">
        <v>6.73</v>
      </c>
      <c r="K15" s="371">
        <v>4.2</v>
      </c>
      <c r="L15" s="77">
        <v>63.95</v>
      </c>
      <c r="M15" s="371">
        <v>5.68</v>
      </c>
      <c r="N15" s="365">
        <f t="shared" si="24"/>
        <v>80.56</v>
      </c>
      <c r="O15" s="343">
        <f t="shared" si="25"/>
        <v>12.41</v>
      </c>
      <c r="P15" s="195">
        <v>3</v>
      </c>
      <c r="Q15" s="326">
        <v>27</v>
      </c>
      <c r="R15" s="111">
        <v>41</v>
      </c>
      <c r="S15" s="51">
        <v>43</v>
      </c>
      <c r="T15" s="339">
        <f t="shared" si="26"/>
        <v>114</v>
      </c>
      <c r="U15" s="329" t="s">
        <v>6540</v>
      </c>
      <c r="V15" s="77">
        <v>4.16</v>
      </c>
      <c r="W15" s="35">
        <v>2.5</v>
      </c>
      <c r="X15" s="100">
        <v>3.93</v>
      </c>
      <c r="Y15" s="37" t="str">
        <f>RTD("money.excel",,"3483","Price")</f>
        <v>無資料</v>
      </c>
      <c r="Z15" s="69">
        <v>90.7</v>
      </c>
      <c r="AA15" s="16" t="e">
        <f t="shared" si="27"/>
        <v>#VALUE!</v>
      </c>
      <c r="AB15" s="3" t="e">
        <f t="shared" si="28"/>
        <v>#VALUE!</v>
      </c>
      <c r="AC15" s="177" t="s">
        <v>6831</v>
      </c>
      <c r="AD15" s="17" t="s">
        <v>902</v>
      </c>
      <c r="AE15" s="89">
        <v>44554</v>
      </c>
      <c r="AG15" s="34">
        <f t="shared" si="29"/>
        <v>-44554</v>
      </c>
      <c r="AH15" s="44" t="s">
        <v>4552</v>
      </c>
      <c r="AI15" s="131"/>
      <c r="AK15" s="66">
        <f t="shared" si="30"/>
        <v>0</v>
      </c>
      <c r="AL15" s="174">
        <f t="shared" si="31"/>
        <v>0</v>
      </c>
      <c r="AM15" s="346">
        <f>RTD("money.excel",,$G15,"PredictVolume")</f>
        <v>0</v>
      </c>
      <c r="AN15" s="272">
        <f>RTD("money.excel",,$G15,"CumulativeVolume")</f>
        <v>0</v>
      </c>
      <c r="AO15" s="284"/>
      <c r="AP15" s="284"/>
    </row>
    <row r="16" spans="1:44">
      <c r="A16" s="135" t="s">
        <v>6420</v>
      </c>
      <c r="B16" s="84">
        <v>509</v>
      </c>
      <c r="C16" s="84">
        <v>556</v>
      </c>
      <c r="D16" s="85">
        <v>-4</v>
      </c>
      <c r="E16" s="84">
        <v>73</v>
      </c>
      <c r="F16" s="59">
        <v>35.78</v>
      </c>
      <c r="G16" s="85">
        <v>6531</v>
      </c>
      <c r="H16" s="5" t="s">
        <v>558</v>
      </c>
      <c r="I16" s="23" t="s">
        <v>639</v>
      </c>
      <c r="J16" s="77">
        <v>52.21</v>
      </c>
      <c r="K16" s="77">
        <v>20.66</v>
      </c>
      <c r="L16" s="77">
        <v>44.6</v>
      </c>
      <c r="M16" s="371">
        <v>18.64</v>
      </c>
      <c r="N16" s="77">
        <f t="shared" ref="N16" si="32">J16+K16+L16+M16</f>
        <v>136.11000000000001</v>
      </c>
      <c r="O16" s="343">
        <f t="shared" ref="O16" si="33">J16+M16</f>
        <v>70.849999999999994</v>
      </c>
      <c r="P16" s="195">
        <v>12</v>
      </c>
      <c r="Q16" s="326">
        <v>31</v>
      </c>
      <c r="R16" s="111">
        <v>24</v>
      </c>
      <c r="S16" s="51">
        <v>51</v>
      </c>
      <c r="T16" s="339">
        <f t="shared" ref="T16" si="34">SUM(P16:S16)</f>
        <v>118</v>
      </c>
      <c r="U16" s="329" t="s">
        <v>6540</v>
      </c>
      <c r="V16" s="77">
        <v>13.57</v>
      </c>
      <c r="W16" s="69">
        <v>5</v>
      </c>
      <c r="X16" s="59">
        <v>22.25</v>
      </c>
      <c r="Y16" s="37" t="str">
        <f>RTD("money.excel",,"6531","Price")</f>
        <v>無資料</v>
      </c>
      <c r="Z16" s="69">
        <v>496</v>
      </c>
      <c r="AA16" s="16" t="e">
        <f t="shared" ref="AA16" si="35">Y16-Z16</f>
        <v>#VALUE!</v>
      </c>
      <c r="AB16" s="3" t="e">
        <f t="shared" ref="AB16" si="36">AA16/Z16</f>
        <v>#VALUE!</v>
      </c>
      <c r="AC16" s="177" t="s">
        <v>6709</v>
      </c>
      <c r="AD16" s="23" t="s">
        <v>639</v>
      </c>
      <c r="AE16" s="89">
        <v>44553</v>
      </c>
      <c r="AG16" s="34">
        <f t="shared" ref="AG16" si="37">AF16-AE16</f>
        <v>-44553</v>
      </c>
      <c r="AH16" s="63" t="s">
        <v>3400</v>
      </c>
      <c r="AI16" s="131"/>
      <c r="AK16" s="66">
        <f t="shared" ref="AK16" si="38">AM16/(A16*10000)</f>
        <v>0</v>
      </c>
      <c r="AL16" s="174">
        <f t="shared" ref="AL16" si="39">AN16/(A16*10000)</f>
        <v>0</v>
      </c>
      <c r="AM16" s="346">
        <f>RTD("money.excel",,$G16,"PredictVolume")</f>
        <v>0</v>
      </c>
      <c r="AN16" s="272">
        <f>RTD("money.excel",,$G16,"CumulativeVolume")</f>
        <v>0</v>
      </c>
      <c r="AO16" s="284"/>
      <c r="AP16" s="284"/>
    </row>
    <row r="17" spans="1:50">
      <c r="A17" s="135" t="s">
        <v>3026</v>
      </c>
      <c r="B17" s="85">
        <v>-56</v>
      </c>
      <c r="C17" s="85">
        <v>-46</v>
      </c>
      <c r="D17" s="84">
        <v>23</v>
      </c>
      <c r="E17" s="84">
        <v>124</v>
      </c>
      <c r="F17" s="59">
        <v>17.64</v>
      </c>
      <c r="G17" s="84">
        <v>6477</v>
      </c>
      <c r="H17" s="9" t="s">
        <v>557</v>
      </c>
      <c r="I17" s="23" t="s">
        <v>833</v>
      </c>
      <c r="J17" s="371">
        <v>38.96</v>
      </c>
      <c r="K17" s="77">
        <v>4.47</v>
      </c>
      <c r="L17" s="371">
        <v>31.97</v>
      </c>
      <c r="M17" s="77">
        <v>19.07</v>
      </c>
      <c r="N17" s="365">
        <f t="shared" ref="N17" si="40">J17+K17+L17+M17</f>
        <v>94.47</v>
      </c>
      <c r="O17" s="343">
        <f t="shared" ref="O17" si="41">J17+M17</f>
        <v>58.03</v>
      </c>
      <c r="P17" s="195">
        <v>9</v>
      </c>
      <c r="Q17" s="326">
        <v>25</v>
      </c>
      <c r="R17" s="111">
        <v>47</v>
      </c>
      <c r="S17" s="51">
        <v>30</v>
      </c>
      <c r="T17" s="339">
        <f t="shared" ref="T17" si="42">SUM(P17:S17)</f>
        <v>111</v>
      </c>
      <c r="U17" s="329" t="s">
        <v>6538</v>
      </c>
      <c r="V17" s="371">
        <v>5.03</v>
      </c>
      <c r="W17" s="35">
        <v>1.1399999999999999</v>
      </c>
      <c r="X17" s="100">
        <v>1.23</v>
      </c>
      <c r="Y17" s="37" t="str">
        <f>RTD("money.excel",,"6477","Price")</f>
        <v>無資料</v>
      </c>
      <c r="Z17" s="69">
        <v>50.2</v>
      </c>
      <c r="AA17" s="16" t="e">
        <f>Y17-Z17</f>
        <v>#VALUE!</v>
      </c>
      <c r="AB17" s="3" t="e">
        <f>AA17/Z17</f>
        <v>#VALUE!</v>
      </c>
      <c r="AC17" s="177" t="s">
        <v>6652</v>
      </c>
      <c r="AD17" s="23" t="s">
        <v>833</v>
      </c>
      <c r="AE17" s="89">
        <v>44552</v>
      </c>
      <c r="AG17" s="34">
        <f>AF17-AE17</f>
        <v>-44552</v>
      </c>
      <c r="AH17" s="44" t="s">
        <v>6417</v>
      </c>
      <c r="AI17" s="131"/>
      <c r="AK17" s="66">
        <f t="shared" ref="AK17" si="43">AM17/(A17*10000)</f>
        <v>0</v>
      </c>
      <c r="AL17" s="174">
        <f t="shared" ref="AL17" si="44">AN17/(A17*10000)</f>
        <v>0</v>
      </c>
      <c r="AM17" s="346">
        <f>RTD("money.excel",,$G17,"PredictVolume")</f>
        <v>0</v>
      </c>
      <c r="AN17" s="272">
        <f>RTD("money.excel",,$G17,"CumulativeVolume")</f>
        <v>0</v>
      </c>
      <c r="AO17" s="284"/>
      <c r="AP17" s="284"/>
    </row>
    <row r="18" spans="1:50">
      <c r="B18" s="96"/>
      <c r="C18" s="96"/>
      <c r="D18" s="96"/>
      <c r="E18" s="96"/>
      <c r="F18" s="9"/>
      <c r="G18" s="27"/>
      <c r="H18" s="56"/>
      <c r="I18" s="31"/>
      <c r="J18" s="4"/>
      <c r="K18" s="4"/>
      <c r="L18" s="11"/>
      <c r="M18" s="18"/>
      <c r="N18" s="4"/>
      <c r="O18" s="29"/>
      <c r="P18" s="83"/>
      <c r="Q18" s="326"/>
      <c r="R18" s="111"/>
      <c r="T18" s="338"/>
      <c r="U18" s="330"/>
      <c r="V18" s="19"/>
      <c r="W18" s="11"/>
      <c r="X18" s="71"/>
      <c r="Y18" s="29"/>
      <c r="Z18" s="18"/>
      <c r="AA18" s="15"/>
      <c r="AB18" s="22"/>
      <c r="AC18" s="26"/>
      <c r="AD18" s="31"/>
      <c r="AE18" s="56"/>
      <c r="AF18" s="114"/>
      <c r="AG18" s="33"/>
      <c r="AH18" s="262"/>
      <c r="AI18" s="131"/>
      <c r="AK18" s="131"/>
      <c r="AL18" s="264"/>
      <c r="AO18" s="131"/>
      <c r="AP18" s="264"/>
    </row>
    <row r="19" spans="1:50">
      <c r="A19" s="104" t="s">
        <v>6889</v>
      </c>
      <c r="B19" s="182"/>
      <c r="C19" s="182"/>
      <c r="D19" s="182"/>
      <c r="E19" s="182"/>
      <c r="F19" s="183"/>
      <c r="G19" s="184"/>
      <c r="H19" s="186"/>
      <c r="I19" s="185"/>
      <c r="J19" s="183"/>
      <c r="K19" s="183"/>
      <c r="L19" s="187"/>
      <c r="M19" s="188"/>
      <c r="N19" s="183">
        <v>130</v>
      </c>
      <c r="O19" s="18">
        <v>80</v>
      </c>
      <c r="V19" s="60" t="s">
        <v>6623</v>
      </c>
      <c r="W19" s="183"/>
      <c r="X19" s="4" t="s">
        <v>2189</v>
      </c>
      <c r="Y19" s="4" t="s">
        <v>1820</v>
      </c>
      <c r="Z19" s="11" t="s">
        <v>515</v>
      </c>
      <c r="AA19" s="189"/>
      <c r="AB19" s="190"/>
      <c r="AC19" s="263" t="s">
        <v>5311</v>
      </c>
      <c r="AD19" s="185"/>
      <c r="AF19" s="194"/>
      <c r="AG19" s="192">
        <f t="shared" ref="AG19" si="45">AF19-AE19</f>
        <v>0</v>
      </c>
      <c r="AH19" s="263" t="s">
        <v>6635</v>
      </c>
      <c r="AI19" s="131"/>
      <c r="AK19" s="131"/>
      <c r="AL19" s="264"/>
      <c r="AP19" s="265"/>
      <c r="AQ19" s="287"/>
      <c r="AR19" s="287"/>
      <c r="AS19" s="287"/>
      <c r="AU19" s="287"/>
      <c r="AV19" s="287"/>
      <c r="AW19" s="287"/>
      <c r="AX19" s="287"/>
    </row>
    <row r="20" spans="1:50">
      <c r="A20" s="135" t="s">
        <v>2552</v>
      </c>
      <c r="B20" s="96" t="s">
        <v>2331</v>
      </c>
      <c r="C20" s="96" t="s">
        <v>2332</v>
      </c>
      <c r="D20" s="96" t="s">
        <v>2333</v>
      </c>
      <c r="E20" s="96" t="s">
        <v>2334</v>
      </c>
      <c r="F20" s="9" t="s">
        <v>1709</v>
      </c>
      <c r="G20" s="27" t="s">
        <v>5626</v>
      </c>
      <c r="H20" s="56" t="s">
        <v>578</v>
      </c>
      <c r="I20" s="31" t="s">
        <v>6826</v>
      </c>
      <c r="J20" s="4" t="s">
        <v>2189</v>
      </c>
      <c r="K20" s="4" t="s">
        <v>1820</v>
      </c>
      <c r="L20" s="11" t="s">
        <v>515</v>
      </c>
      <c r="M20" s="11" t="s">
        <v>1699</v>
      </c>
      <c r="N20" s="4" t="s">
        <v>6633</v>
      </c>
      <c r="O20" s="31" t="s">
        <v>6634</v>
      </c>
      <c r="P20" s="83" t="s">
        <v>5279</v>
      </c>
      <c r="Q20" s="326" t="s">
        <v>5514</v>
      </c>
      <c r="R20" s="31" t="s">
        <v>6596</v>
      </c>
      <c r="S20" s="51" t="s">
        <v>6597</v>
      </c>
      <c r="T20" s="338" t="s">
        <v>5627</v>
      </c>
      <c r="U20" s="330" t="s">
        <v>6537</v>
      </c>
      <c r="V20" s="19" t="s">
        <v>6616</v>
      </c>
      <c r="W20" s="11" t="s">
        <v>4585</v>
      </c>
      <c r="X20" s="71" t="s">
        <v>6626</v>
      </c>
      <c r="Y20" s="29" t="s">
        <v>6688</v>
      </c>
      <c r="Z20" s="18" t="s">
        <v>2113</v>
      </c>
      <c r="AA20" s="15" t="s">
        <v>3598</v>
      </c>
      <c r="AB20" s="22" t="s">
        <v>2199</v>
      </c>
      <c r="AC20" s="26" t="s">
        <v>211</v>
      </c>
      <c r="AD20" s="31" t="s">
        <v>6826</v>
      </c>
      <c r="AE20" s="56" t="s">
        <v>5568</v>
      </c>
      <c r="AF20" s="114" t="s">
        <v>5575</v>
      </c>
      <c r="AG20" s="33" t="s">
        <v>1827</v>
      </c>
      <c r="AH20" s="262" t="s">
        <v>6777</v>
      </c>
      <c r="AI20" s="131"/>
      <c r="AK20" s="9" t="s">
        <v>6666</v>
      </c>
      <c r="AL20" s="5" t="s">
        <v>6667</v>
      </c>
      <c r="AM20" s="51" t="s">
        <v>5339</v>
      </c>
      <c r="AN20" s="276" t="s">
        <v>6665</v>
      </c>
      <c r="AO20" s="131"/>
      <c r="AP20" s="264"/>
    </row>
    <row r="21" spans="1:50">
      <c r="B21" s="96"/>
      <c r="C21" s="96"/>
      <c r="D21" s="96"/>
      <c r="E21" s="96"/>
      <c r="F21" s="9"/>
      <c r="G21" s="27"/>
      <c r="H21" s="56"/>
      <c r="I21" s="31"/>
      <c r="J21" s="4"/>
      <c r="K21" s="4"/>
      <c r="L21" s="11"/>
      <c r="M21" s="11"/>
      <c r="N21" s="4"/>
      <c r="O21" s="31"/>
      <c r="P21" s="83"/>
      <c r="Q21" s="326"/>
      <c r="T21" s="338"/>
      <c r="U21" s="330"/>
      <c r="V21" s="19"/>
      <c r="W21" s="11"/>
      <c r="X21" s="71"/>
      <c r="Y21" s="29"/>
      <c r="Z21" s="18"/>
      <c r="AA21" s="15"/>
      <c r="AB21" s="22"/>
      <c r="AC21" s="26"/>
      <c r="AD21" s="31"/>
      <c r="AE21" s="56"/>
      <c r="AF21" s="114"/>
      <c r="AG21" s="33"/>
      <c r="AH21" s="262"/>
      <c r="AI21" s="131"/>
      <c r="AK21" s="131"/>
      <c r="AL21" s="264"/>
      <c r="AO21" s="131"/>
      <c r="AP21" s="264"/>
    </row>
    <row r="22" spans="1:50">
      <c r="A22" s="151"/>
      <c r="B22" s="85"/>
      <c r="C22" s="84"/>
      <c r="D22" s="85"/>
      <c r="E22" s="85"/>
      <c r="F22" s="7"/>
      <c r="G22" s="85"/>
      <c r="H22" s="5"/>
      <c r="I22" s="23"/>
      <c r="J22" s="6"/>
      <c r="K22" s="6"/>
      <c r="L22" s="6"/>
      <c r="N22" s="65"/>
      <c r="O22" s="29"/>
      <c r="P22" s="195"/>
      <c r="Q22" s="326"/>
      <c r="R22" s="111"/>
      <c r="W22" s="69"/>
      <c r="X22" s="59"/>
      <c r="Y22" s="37"/>
      <c r="Z22" s="69"/>
      <c r="AA22" s="16"/>
      <c r="AB22" s="66"/>
      <c r="AC22" s="105"/>
      <c r="AD22" s="23"/>
      <c r="AG22" s="34"/>
      <c r="AH22" s="44"/>
      <c r="AI22" s="131"/>
      <c r="AO22" s="131"/>
      <c r="AP22" s="264"/>
    </row>
    <row r="23" spans="1:50">
      <c r="B23" s="84"/>
      <c r="C23" s="84"/>
      <c r="D23" s="84"/>
      <c r="E23" s="84"/>
      <c r="F23" s="59"/>
      <c r="G23" s="84"/>
      <c r="H23" s="9"/>
      <c r="I23" s="23"/>
      <c r="J23" s="6"/>
      <c r="K23" s="6"/>
      <c r="L23" s="6"/>
      <c r="N23" s="65"/>
      <c r="O23" s="29"/>
      <c r="P23" s="195"/>
      <c r="Q23" s="326"/>
      <c r="R23" s="111"/>
      <c r="W23" s="69"/>
      <c r="X23" s="100"/>
      <c r="Y23" s="37"/>
      <c r="Z23" s="69"/>
      <c r="AA23" s="16"/>
      <c r="AB23" s="66"/>
      <c r="AC23" s="105"/>
      <c r="AD23" s="23"/>
      <c r="AG23" s="34"/>
      <c r="AH23" s="63"/>
      <c r="AI23" s="284"/>
      <c r="AO23" s="131"/>
      <c r="AP23" s="264"/>
    </row>
    <row r="24" spans="1:50">
      <c r="A24" s="151"/>
      <c r="B24" s="84"/>
      <c r="C24" s="84"/>
      <c r="D24" s="85"/>
      <c r="E24" s="84"/>
      <c r="F24" s="7"/>
      <c r="G24" s="85"/>
      <c r="H24" s="19"/>
      <c r="I24" s="23"/>
      <c r="J24" s="6"/>
      <c r="K24" s="6"/>
      <c r="L24" s="6"/>
      <c r="N24" s="65"/>
      <c r="O24" s="29"/>
      <c r="P24" s="195"/>
      <c r="Q24" s="326"/>
      <c r="R24" s="111"/>
      <c r="W24" s="35"/>
      <c r="X24" s="59"/>
      <c r="Y24" s="37"/>
      <c r="Z24" s="69"/>
      <c r="AA24" s="16"/>
      <c r="AB24" s="66"/>
      <c r="AC24" s="107"/>
      <c r="AD24" s="23"/>
      <c r="AG24" s="34"/>
      <c r="AH24" s="125"/>
      <c r="AI24" s="131"/>
      <c r="AO24" s="131"/>
      <c r="AP24" s="264"/>
    </row>
    <row r="25" spans="1:50">
      <c r="B25" s="84"/>
      <c r="C25" s="84"/>
      <c r="D25" s="85"/>
      <c r="E25" s="84"/>
      <c r="F25" s="59"/>
      <c r="G25" s="85"/>
      <c r="H25" s="5"/>
      <c r="I25" s="23"/>
      <c r="J25" s="6"/>
      <c r="K25" s="6"/>
      <c r="L25" s="6"/>
      <c r="N25" s="65"/>
      <c r="O25" s="29"/>
      <c r="P25" s="195"/>
      <c r="Q25" s="326"/>
      <c r="R25" s="111"/>
      <c r="W25" s="46"/>
      <c r="X25" s="59"/>
      <c r="Y25" s="37"/>
      <c r="Z25" s="69"/>
      <c r="AA25" s="16"/>
      <c r="AB25" s="66"/>
      <c r="AC25" s="105"/>
      <c r="AD25" s="23"/>
      <c r="AG25" s="34"/>
      <c r="AH25" s="126"/>
      <c r="AI25" s="131"/>
      <c r="AO25" s="131"/>
      <c r="AP25" s="264"/>
    </row>
    <row r="26" spans="1:50">
      <c r="B26" s="84"/>
      <c r="C26" s="84"/>
      <c r="D26" s="84"/>
      <c r="E26" s="84"/>
      <c r="F26" s="59"/>
      <c r="G26" s="85"/>
      <c r="H26" s="5"/>
      <c r="I26" s="17"/>
      <c r="J26" s="6"/>
      <c r="K26" s="6"/>
      <c r="L26" s="6"/>
      <c r="N26" s="65"/>
      <c r="O26" s="29"/>
      <c r="P26" s="195"/>
      <c r="Q26" s="326"/>
      <c r="R26" s="111"/>
      <c r="W26" s="69"/>
      <c r="X26" s="100"/>
      <c r="Y26" s="37"/>
      <c r="Z26" s="69"/>
      <c r="AA26" s="16"/>
      <c r="AB26" s="66"/>
      <c r="AC26" s="105"/>
      <c r="AD26" s="17"/>
      <c r="AG26" s="34"/>
      <c r="AH26" s="126"/>
      <c r="AI26" s="284"/>
      <c r="AO26" s="131"/>
      <c r="AP26" s="264"/>
    </row>
    <row r="27" spans="1:50">
      <c r="A27" s="151"/>
      <c r="B27" s="84"/>
      <c r="C27" s="84"/>
      <c r="D27" s="84"/>
      <c r="E27" s="84"/>
      <c r="F27" s="7"/>
      <c r="G27" s="85"/>
      <c r="H27" s="216"/>
      <c r="I27" s="23"/>
      <c r="J27" s="6"/>
      <c r="K27" s="6"/>
      <c r="L27" s="6"/>
      <c r="N27" s="65"/>
      <c r="O27" s="29"/>
      <c r="P27" s="195"/>
      <c r="Q27" s="326"/>
      <c r="R27" s="111"/>
      <c r="W27" s="69"/>
      <c r="X27" s="59"/>
      <c r="Y27" s="37"/>
      <c r="Z27" s="69"/>
      <c r="AA27" s="16"/>
      <c r="AB27" s="66"/>
      <c r="AC27" s="105"/>
      <c r="AD27" s="23"/>
      <c r="AG27" s="34"/>
      <c r="AH27" s="125"/>
      <c r="AI27" s="131"/>
      <c r="AO27" s="131"/>
      <c r="AP27" s="264"/>
    </row>
    <row r="28" spans="1:50">
      <c r="A28" s="151"/>
      <c r="B28" s="84"/>
      <c r="C28" s="84"/>
      <c r="D28" s="84"/>
      <c r="E28" s="84"/>
      <c r="F28" s="7"/>
      <c r="G28" s="85"/>
      <c r="H28" s="5"/>
      <c r="I28" s="23"/>
      <c r="J28" s="6"/>
      <c r="K28" s="6"/>
      <c r="L28" s="6"/>
      <c r="N28" s="65"/>
      <c r="O28" s="29"/>
      <c r="P28" s="195"/>
      <c r="Q28" s="326"/>
      <c r="R28" s="111"/>
      <c r="W28" s="69"/>
      <c r="X28" s="100"/>
      <c r="Y28" s="37"/>
      <c r="Z28" s="69"/>
      <c r="AA28" s="16"/>
      <c r="AB28" s="66"/>
      <c r="AC28" s="105"/>
      <c r="AD28" s="23"/>
      <c r="AG28" s="34"/>
      <c r="AH28" s="125"/>
      <c r="AI28" s="131"/>
      <c r="AO28" s="131"/>
      <c r="AP28" s="264"/>
    </row>
    <row r="29" spans="1:50">
      <c r="A29" s="151"/>
      <c r="B29" s="84"/>
      <c r="C29" s="84"/>
      <c r="D29" s="84"/>
      <c r="E29" s="84"/>
      <c r="F29" s="7"/>
      <c r="G29" s="85"/>
      <c r="H29" s="268"/>
      <c r="I29" s="23"/>
      <c r="J29" s="6"/>
      <c r="K29" s="6"/>
      <c r="L29" s="6"/>
      <c r="N29" s="65"/>
      <c r="O29" s="344"/>
      <c r="P29" s="195"/>
      <c r="Q29" s="326"/>
      <c r="R29" s="111"/>
      <c r="W29" s="46"/>
      <c r="X29" s="100"/>
      <c r="Y29" s="37"/>
      <c r="Z29" s="69"/>
      <c r="AA29" s="16"/>
      <c r="AB29" s="66"/>
      <c r="AC29" s="105"/>
      <c r="AD29" s="23"/>
      <c r="AG29" s="34"/>
      <c r="AH29" s="125"/>
      <c r="AI29" s="131"/>
      <c r="AO29" s="128"/>
      <c r="AP29" s="264"/>
      <c r="AQ29" s="34"/>
      <c r="AR29" s="34"/>
      <c r="AS29" s="34"/>
      <c r="AT29" s="34"/>
    </row>
    <row r="30" spans="1:50">
      <c r="B30" s="96"/>
      <c r="C30" s="96"/>
      <c r="D30" s="96"/>
      <c r="E30" s="96"/>
      <c r="F30" s="9"/>
      <c r="G30" s="27"/>
      <c r="H30" s="56"/>
      <c r="I30" s="9"/>
      <c r="J30" s="4"/>
      <c r="K30" s="4"/>
      <c r="L30" s="11"/>
      <c r="M30" s="11"/>
      <c r="N30" s="4"/>
      <c r="O30" s="31"/>
      <c r="P30" s="83"/>
      <c r="Q30" s="326"/>
      <c r="R30" s="111"/>
      <c r="T30" s="338"/>
      <c r="V30" s="19"/>
      <c r="W30" s="11"/>
      <c r="X30" s="71"/>
      <c r="Y30" s="29"/>
      <c r="Z30" s="18"/>
      <c r="AA30" s="15"/>
      <c r="AB30" s="22"/>
      <c r="AC30" s="26"/>
      <c r="AD30" s="9"/>
      <c r="AE30" s="56"/>
      <c r="AF30" s="114"/>
      <c r="AG30" s="33"/>
      <c r="AH30" s="44"/>
      <c r="AI30" s="131"/>
      <c r="AO30" s="131"/>
      <c r="AP30" s="264"/>
    </row>
    <row r="31" spans="1:50">
      <c r="B31" s="84"/>
      <c r="C31" s="84"/>
      <c r="D31" s="85"/>
      <c r="E31" s="84"/>
      <c r="F31" s="59"/>
      <c r="G31" s="85"/>
      <c r="H31" s="212"/>
      <c r="I31" s="23"/>
      <c r="J31" s="7"/>
      <c r="K31" s="7"/>
      <c r="L31" s="6"/>
      <c r="N31" s="65"/>
      <c r="O31" s="31"/>
      <c r="P31" s="195"/>
      <c r="Q31" s="326"/>
      <c r="R31" s="111"/>
      <c r="W31" s="69"/>
      <c r="X31" s="59"/>
      <c r="Y31" s="14"/>
      <c r="Z31" s="69"/>
      <c r="AA31" s="16"/>
      <c r="AB31" s="66"/>
      <c r="AC31" s="105"/>
      <c r="AD31" s="23"/>
      <c r="AG31" s="34"/>
      <c r="AH31" s="63"/>
      <c r="AI31" s="131"/>
      <c r="AO31" s="284"/>
      <c r="AP31" s="264"/>
    </row>
    <row r="32" spans="1:50">
      <c r="B32" s="84"/>
      <c r="C32" s="84"/>
      <c r="D32" s="84"/>
      <c r="E32" s="85"/>
      <c r="F32" s="59"/>
      <c r="G32" s="58"/>
      <c r="H32" s="9"/>
      <c r="I32" s="17"/>
      <c r="J32" s="6"/>
      <c r="K32" s="6"/>
      <c r="N32" s="65"/>
      <c r="O32" s="29"/>
      <c r="P32" s="232"/>
      <c r="W32" s="46"/>
      <c r="X32" s="100"/>
      <c r="Y32" s="37"/>
      <c r="Z32" s="69"/>
      <c r="AA32" s="16"/>
      <c r="AB32" s="66"/>
      <c r="AC32" s="107"/>
      <c r="AD32" s="17"/>
      <c r="AG32" s="34"/>
      <c r="AH32" s="63"/>
      <c r="AI32" s="284"/>
      <c r="AO32" s="131"/>
      <c r="AP32" s="264"/>
    </row>
    <row r="33" spans="15:35">
      <c r="O33" s="29"/>
    </row>
    <row r="34" spans="15:35">
      <c r="O34" s="29"/>
    </row>
    <row r="35" spans="15:35">
      <c r="O35" s="29"/>
      <c r="AI35" s="284"/>
    </row>
    <row r="36" spans="15:35">
      <c r="O36" s="29"/>
      <c r="AI36" s="131"/>
    </row>
    <row r="37" spans="15:35">
      <c r="O37" s="29"/>
      <c r="AI37" s="131"/>
    </row>
    <row r="38" spans="15:35">
      <c r="O38" s="29"/>
      <c r="AI38" s="131"/>
    </row>
    <row r="39" spans="15:35">
      <c r="O39" s="29"/>
      <c r="AI39" s="131"/>
    </row>
    <row r="40" spans="15:35">
      <c r="O40" s="29"/>
      <c r="AI40" s="131"/>
    </row>
    <row r="41" spans="15:35">
      <c r="O41" s="29"/>
      <c r="AI41" s="284"/>
    </row>
    <row r="42" spans="15:35">
      <c r="O42" s="29"/>
      <c r="AI42" s="131"/>
    </row>
    <row r="43" spans="15:35">
      <c r="O43" s="29"/>
      <c r="AI43" s="131"/>
    </row>
    <row r="44" spans="15:35">
      <c r="O44" s="29"/>
      <c r="AI44" s="131"/>
    </row>
    <row r="45" spans="15:35">
      <c r="O45" s="29"/>
      <c r="AI45" s="131"/>
    </row>
    <row r="46" spans="15:35">
      <c r="O46" s="29"/>
      <c r="AI46" s="284"/>
    </row>
    <row r="47" spans="15:35">
      <c r="O47" s="31"/>
      <c r="AI47" s="131"/>
    </row>
    <row r="48" spans="15:35">
      <c r="O48" s="29"/>
      <c r="AI48" s="131"/>
    </row>
    <row r="49" spans="15:35">
      <c r="O49" s="29"/>
      <c r="AI49" s="131"/>
    </row>
    <row r="50" spans="15:35">
      <c r="AI50" s="284"/>
    </row>
    <row r="51" spans="15:35">
      <c r="AI51" s="131"/>
    </row>
    <row r="52" spans="15:35">
      <c r="AI52" s="131"/>
    </row>
    <row r="53" spans="15:35">
      <c r="AI53" s="131"/>
    </row>
    <row r="54" spans="15:35">
      <c r="AI54" s="131"/>
    </row>
    <row r="55" spans="15:35">
      <c r="AI55" s="131"/>
    </row>
    <row r="56" spans="15:35">
      <c r="AI56" s="284"/>
    </row>
    <row r="57" spans="15:35">
      <c r="AI57" s="284"/>
    </row>
    <row r="58" spans="15:35">
      <c r="AI58" s="131"/>
    </row>
    <row r="59" spans="15:35">
      <c r="AI59" s="131"/>
    </row>
    <row r="60" spans="15:35">
      <c r="AI60" s="131"/>
    </row>
    <row r="61" spans="15:35">
      <c r="AI61" s="131"/>
    </row>
    <row r="62" spans="15:35">
      <c r="AI62" s="131"/>
    </row>
    <row r="63" spans="15:35">
      <c r="AI63" s="131"/>
    </row>
    <row r="64" spans="15:35">
      <c r="AI64" s="131"/>
    </row>
    <row r="65" spans="35:35">
      <c r="AI65" s="131"/>
    </row>
    <row r="66" spans="35:35">
      <c r="AI66" s="131"/>
    </row>
    <row r="68" spans="35:35">
      <c r="AI68" s="131"/>
    </row>
    <row r="69" spans="35:35">
      <c r="AI69" s="131"/>
    </row>
    <row r="70" spans="35:35">
      <c r="AI70" s="131"/>
    </row>
    <row r="71" spans="35:35">
      <c r="AI71" s="284"/>
    </row>
    <row r="72" spans="35:35">
      <c r="AI72" s="131"/>
    </row>
    <row r="73" spans="35:35">
      <c r="AI73" s="284"/>
    </row>
    <row r="74" spans="35:35">
      <c r="AI74" s="131"/>
    </row>
    <row r="75" spans="35:35">
      <c r="AI75" s="284"/>
    </row>
    <row r="76" spans="35:35">
      <c r="AI76" s="131"/>
    </row>
    <row r="77" spans="35:35">
      <c r="AI77" s="131"/>
    </row>
    <row r="78" spans="35:35">
      <c r="AI78" s="131"/>
    </row>
    <row r="79" spans="35:35">
      <c r="AI79" s="131"/>
    </row>
    <row r="80" spans="35:35">
      <c r="AI80" s="131"/>
    </row>
    <row r="81" spans="35:35">
      <c r="AI81" s="131"/>
    </row>
    <row r="82" spans="35:35">
      <c r="AI82" s="131"/>
    </row>
    <row r="83" spans="35:35">
      <c r="AI83" s="131"/>
    </row>
    <row r="84" spans="35:35">
      <c r="AI84" s="131"/>
    </row>
    <row r="85" spans="35:35">
      <c r="AI85" s="284"/>
    </row>
    <row r="86" spans="35:35">
      <c r="AI86" s="131"/>
    </row>
    <row r="87" spans="35:35">
      <c r="AI87" s="131"/>
    </row>
    <row r="88" spans="35:35">
      <c r="AI88" s="131"/>
    </row>
    <row r="89" spans="35:35">
      <c r="AI89" s="131"/>
    </row>
    <row r="90" spans="35:35">
      <c r="AI90" s="131"/>
    </row>
    <row r="91" spans="35:35">
      <c r="AI91" s="284"/>
    </row>
    <row r="92" spans="35:35">
      <c r="AI92" s="131"/>
    </row>
    <row r="93" spans="35:35">
      <c r="AI93" s="131"/>
    </row>
    <row r="94" spans="35:35">
      <c r="AI94" s="284"/>
    </row>
    <row r="95" spans="35:35">
      <c r="AI95" s="131"/>
    </row>
    <row r="96" spans="35:35">
      <c r="AI96" s="131"/>
    </row>
    <row r="97" spans="35:35">
      <c r="AI97" s="131"/>
    </row>
    <row r="98" spans="35:35">
      <c r="AI98" s="131"/>
    </row>
    <row r="99" spans="35:35">
      <c r="AI99" s="131"/>
    </row>
    <row r="100" spans="35:35">
      <c r="AI100" s="131"/>
    </row>
    <row r="101" spans="35:35">
      <c r="AI101" s="131"/>
    </row>
    <row r="102" spans="35:35">
      <c r="AI102" s="131"/>
    </row>
    <row r="103" spans="35:35">
      <c r="AI103" s="131"/>
    </row>
    <row r="104" spans="35:35">
      <c r="AI104" s="131"/>
    </row>
    <row r="105" spans="35:35">
      <c r="AI105" s="131"/>
    </row>
    <row r="106" spans="35:35">
      <c r="AI106" s="131"/>
    </row>
    <row r="107" spans="35:35">
      <c r="AI107" s="131"/>
    </row>
    <row r="108" spans="35:35">
      <c r="AI108" s="131"/>
    </row>
    <row r="109" spans="35:35">
      <c r="AI109" s="131"/>
    </row>
    <row r="110" spans="35:35">
      <c r="AI110" s="131"/>
    </row>
    <row r="111" spans="35:35">
      <c r="AI111" s="131"/>
    </row>
    <row r="112" spans="35:35">
      <c r="AI112" s="131"/>
    </row>
    <row r="113" spans="35:35">
      <c r="AI113" s="131"/>
    </row>
    <row r="114" spans="35:35">
      <c r="AI114" s="131"/>
    </row>
    <row r="115" spans="35:35">
      <c r="AI115" s="131"/>
    </row>
    <row r="116" spans="35:35">
      <c r="AI116" s="131"/>
    </row>
    <row r="117" spans="35:35">
      <c r="AI117" s="131"/>
    </row>
    <row r="118" spans="35:35">
      <c r="AI118" s="131"/>
    </row>
    <row r="119" spans="35:35">
      <c r="AI119" s="131"/>
    </row>
    <row r="120" spans="35:35">
      <c r="AI120" s="131"/>
    </row>
    <row r="121" spans="35:35">
      <c r="AI121" s="131"/>
    </row>
    <row r="122" spans="35:35">
      <c r="AI122" s="131"/>
    </row>
    <row r="123" spans="35:35">
      <c r="AI123" s="131"/>
    </row>
    <row r="124" spans="35:35">
      <c r="AI124" s="131"/>
    </row>
    <row r="125" spans="35:35">
      <c r="AI125" s="131"/>
    </row>
    <row r="126" spans="35:35">
      <c r="AI126" s="131"/>
    </row>
    <row r="127" spans="35:35">
      <c r="AI127" s="131"/>
    </row>
    <row r="128" spans="35:35">
      <c r="AI128" s="131"/>
    </row>
    <row r="129" spans="35:35">
      <c r="AI129" s="131"/>
    </row>
    <row r="130" spans="35:35">
      <c r="AI130" s="131"/>
    </row>
    <row r="131" spans="35:35">
      <c r="AI131" s="284"/>
    </row>
    <row r="132" spans="35:35">
      <c r="AI132" s="131"/>
    </row>
    <row r="133" spans="35:35">
      <c r="AI133" s="131"/>
    </row>
    <row r="134" spans="35:35">
      <c r="AI134" s="131"/>
    </row>
    <row r="135" spans="35:35">
      <c r="AI135" s="131"/>
    </row>
    <row r="136" spans="35:35">
      <c r="AI136" s="131"/>
    </row>
    <row r="137" spans="35:35">
      <c r="AI137" s="131"/>
    </row>
    <row r="138" spans="35:35">
      <c r="AI138" s="131"/>
    </row>
    <row r="139" spans="35:35">
      <c r="AI139" s="131"/>
    </row>
    <row r="140" spans="35:35">
      <c r="AI140" s="131"/>
    </row>
    <row r="141" spans="35:35">
      <c r="AI141" s="131"/>
    </row>
    <row r="142" spans="35:35">
      <c r="AI142" s="131"/>
    </row>
    <row r="143" spans="35:35">
      <c r="AI143" s="131"/>
    </row>
    <row r="144" spans="35:35">
      <c r="AI144" s="131"/>
    </row>
    <row r="145" spans="35:35">
      <c r="AI145" s="131"/>
    </row>
    <row r="146" spans="35:35">
      <c r="AI146" s="131"/>
    </row>
    <row r="147" spans="35:35">
      <c r="AI147" s="131"/>
    </row>
    <row r="148" spans="35:35">
      <c r="AI148" s="131"/>
    </row>
    <row r="149" spans="35:35">
      <c r="AI149" s="131"/>
    </row>
    <row r="150" spans="35:35">
      <c r="AI150" s="131"/>
    </row>
    <row r="151" spans="35:35">
      <c r="AI151" s="131"/>
    </row>
    <row r="152" spans="35:35">
      <c r="AI152" s="131"/>
    </row>
    <row r="153" spans="35:35">
      <c r="AI153" s="131"/>
    </row>
    <row r="154" spans="35:35">
      <c r="AI154" s="131"/>
    </row>
    <row r="155" spans="35:35">
      <c r="AI155" s="131"/>
    </row>
    <row r="156" spans="35:35">
      <c r="AI156" s="131"/>
    </row>
    <row r="157" spans="35:35">
      <c r="AI157" s="131"/>
    </row>
    <row r="158" spans="35:35">
      <c r="AI158" s="131"/>
    </row>
    <row r="159" spans="35:35">
      <c r="AI159" s="131"/>
    </row>
    <row r="161" spans="35:35">
      <c r="AI161" s="131"/>
    </row>
    <row r="162" spans="35:35">
      <c r="AI162" s="131"/>
    </row>
    <row r="163" spans="35:35">
      <c r="AI163" s="131"/>
    </row>
    <row r="164" spans="35:35">
      <c r="AI164" s="131"/>
    </row>
    <row r="165" spans="35:35">
      <c r="AI165" s="131"/>
    </row>
    <row r="167" spans="35:35">
      <c r="AI167" s="131"/>
    </row>
    <row r="168" spans="35:35">
      <c r="AI168" s="131"/>
    </row>
    <row r="169" spans="35:35">
      <c r="AI169" s="131"/>
    </row>
    <row r="170" spans="35:35">
      <c r="AI170" s="131"/>
    </row>
    <row r="171" spans="35:35">
      <c r="AI171" s="131"/>
    </row>
    <row r="172" spans="35:35">
      <c r="AI172" s="131"/>
    </row>
    <row r="173" spans="35:35">
      <c r="AI173" s="131"/>
    </row>
    <row r="174" spans="35:35">
      <c r="AI174" s="131"/>
    </row>
    <row r="175" spans="35:35">
      <c r="AI175" s="131"/>
    </row>
    <row r="176" spans="35:35">
      <c r="AI176" s="131"/>
    </row>
    <row r="177" spans="35:35">
      <c r="AI177" s="131"/>
    </row>
    <row r="178" spans="35:35">
      <c r="AI178" s="284"/>
    </row>
    <row r="179" spans="35:35">
      <c r="AI179" s="131"/>
    </row>
    <row r="181" spans="35:35">
      <c r="AI181" s="131"/>
    </row>
    <row r="182" spans="35:35">
      <c r="AI182" s="131"/>
    </row>
    <row r="183" spans="35:35">
      <c r="AI183" s="131"/>
    </row>
    <row r="184" spans="35:35">
      <c r="AI184" s="131"/>
    </row>
    <row r="185" spans="35:35">
      <c r="AI185" s="131"/>
    </row>
    <row r="186" spans="35:35">
      <c r="AI186" s="131"/>
    </row>
    <row r="187" spans="35:35">
      <c r="AI187" s="131"/>
    </row>
    <row r="188" spans="35:35">
      <c r="AI188" s="131"/>
    </row>
    <row r="189" spans="35:35">
      <c r="AI189" s="131"/>
    </row>
    <row r="190" spans="35:35">
      <c r="AI190" s="131"/>
    </row>
    <row r="191" spans="35:35">
      <c r="AI191" s="131"/>
    </row>
    <row r="193" spans="35:35">
      <c r="AI193" s="131"/>
    </row>
    <row r="194" spans="35:35">
      <c r="AI194" s="131"/>
    </row>
    <row r="195" spans="35:35">
      <c r="AI195" s="131"/>
    </row>
    <row r="196" spans="35:35">
      <c r="AI196" s="131"/>
    </row>
    <row r="197" spans="35:35">
      <c r="AI197" s="131"/>
    </row>
    <row r="198" spans="35:35">
      <c r="AI198" s="131"/>
    </row>
    <row r="199" spans="35:35">
      <c r="AI199" s="131"/>
    </row>
    <row r="200" spans="35:35">
      <c r="AI200" s="131"/>
    </row>
    <row r="201" spans="35:35">
      <c r="AI201" s="131"/>
    </row>
    <row r="202" spans="35:35">
      <c r="AI202" s="131"/>
    </row>
    <row r="203" spans="35:35">
      <c r="AI203" s="131"/>
    </row>
    <row r="204" spans="35:35">
      <c r="AI204" s="131"/>
    </row>
    <row r="205" spans="35:35">
      <c r="AI205" s="131"/>
    </row>
    <row r="206" spans="35:35">
      <c r="AI206" s="131"/>
    </row>
    <row r="207" spans="35:35">
      <c r="AI207" s="131"/>
    </row>
    <row r="208" spans="35:35">
      <c r="AI208" s="131"/>
    </row>
    <row r="209" spans="35:35">
      <c r="AI209" s="131"/>
    </row>
    <row r="210" spans="35:35">
      <c r="AI210" s="131"/>
    </row>
    <row r="211" spans="35:35">
      <c r="AI211" s="131"/>
    </row>
    <row r="212" spans="35:35">
      <c r="AI212" s="131"/>
    </row>
    <row r="213" spans="35:35">
      <c r="AI213" s="131"/>
    </row>
    <row r="214" spans="35:35">
      <c r="AI214" s="131"/>
    </row>
    <row r="215" spans="35:35">
      <c r="AI215" s="131"/>
    </row>
    <row r="216" spans="35:35">
      <c r="AI216" s="131"/>
    </row>
    <row r="217" spans="35:35">
      <c r="AI217" s="131"/>
    </row>
    <row r="218" spans="35:35">
      <c r="AI218" s="131"/>
    </row>
    <row r="219" spans="35:35">
      <c r="AI219" s="131"/>
    </row>
    <row r="220" spans="35:35">
      <c r="AI220" s="131"/>
    </row>
    <row r="221" spans="35:35">
      <c r="AI221" s="131"/>
    </row>
    <row r="222" spans="35:35">
      <c r="AI222" s="131"/>
    </row>
    <row r="223" spans="35:35">
      <c r="AI223" s="131"/>
    </row>
    <row r="224" spans="35:35">
      <c r="AI224" s="131"/>
    </row>
    <row r="225" spans="35:35">
      <c r="AI225" s="131"/>
    </row>
    <row r="226" spans="35:35">
      <c r="AI226" s="131"/>
    </row>
    <row r="227" spans="35:35">
      <c r="AI227" s="131"/>
    </row>
    <row r="228" spans="35:35">
      <c r="AI228" s="131"/>
    </row>
    <row r="229" spans="35:35">
      <c r="AI229" s="131"/>
    </row>
    <row r="230" spans="35:35">
      <c r="AI230" s="131"/>
    </row>
    <row r="231" spans="35:35">
      <c r="AI231" s="131"/>
    </row>
    <row r="232" spans="35:35">
      <c r="AI232" s="131"/>
    </row>
    <row r="233" spans="35:35">
      <c r="AI233" s="131"/>
    </row>
    <row r="234" spans="35:35">
      <c r="AI234" s="131"/>
    </row>
    <row r="235" spans="35:35">
      <c r="AI235" s="131"/>
    </row>
    <row r="236" spans="35:35">
      <c r="AI236" s="131"/>
    </row>
    <row r="237" spans="35:35">
      <c r="AI237" s="131"/>
    </row>
    <row r="238" spans="35:35">
      <c r="AI238" s="131"/>
    </row>
    <row r="239" spans="35:35">
      <c r="AI239" s="131"/>
    </row>
    <row r="240" spans="35:35">
      <c r="AI240" s="131"/>
    </row>
    <row r="241" spans="35:35">
      <c r="AI241" s="131"/>
    </row>
    <row r="242" spans="35:35">
      <c r="AI242" s="131"/>
    </row>
    <row r="243" spans="35:35">
      <c r="AI243" s="131"/>
    </row>
    <row r="244" spans="35:35">
      <c r="AI244" s="131"/>
    </row>
    <row r="245" spans="35:35">
      <c r="AI245" s="131"/>
    </row>
    <row r="246" spans="35:35">
      <c r="AI246" s="131"/>
    </row>
    <row r="247" spans="35:35">
      <c r="AI247" s="131"/>
    </row>
    <row r="248" spans="35:35">
      <c r="AI248" s="131"/>
    </row>
    <row r="249" spans="35:35">
      <c r="AI249" s="131"/>
    </row>
    <row r="250" spans="35:35">
      <c r="AI250" s="131"/>
    </row>
    <row r="251" spans="35:35">
      <c r="AI251" s="131"/>
    </row>
    <row r="252" spans="35:35">
      <c r="AI252" s="131"/>
    </row>
    <row r="253" spans="35:35">
      <c r="AI253" s="131"/>
    </row>
    <row r="254" spans="35:35">
      <c r="AI254" s="284"/>
    </row>
    <row r="255" spans="35:35">
      <c r="AI255" s="131"/>
    </row>
    <row r="256" spans="35:35">
      <c r="AI256" s="131"/>
    </row>
    <row r="257" spans="35:35">
      <c r="AI257" s="131"/>
    </row>
    <row r="258" spans="35:35">
      <c r="AI258" s="131"/>
    </row>
    <row r="259" spans="35:35">
      <c r="AI259" s="131"/>
    </row>
    <row r="260" spans="35:35">
      <c r="AI260" s="131"/>
    </row>
    <row r="261" spans="35:35">
      <c r="AI261" s="131"/>
    </row>
    <row r="262" spans="35:35">
      <c r="AI262" s="52"/>
    </row>
    <row r="263" spans="35:35">
      <c r="AI263" s="131"/>
    </row>
    <row r="264" spans="35:35">
      <c r="AI264" s="131"/>
    </row>
    <row r="265" spans="35:35">
      <c r="AI265" s="131"/>
    </row>
    <row r="266" spans="35:35">
      <c r="AI266" s="131"/>
    </row>
    <row r="267" spans="35:35">
      <c r="AI267" s="131"/>
    </row>
    <row r="268" spans="35:35">
      <c r="AI268" s="131"/>
    </row>
    <row r="269" spans="35:35">
      <c r="AI269" s="131"/>
    </row>
    <row r="270" spans="35:35">
      <c r="AI270" s="131"/>
    </row>
    <row r="271" spans="35:35">
      <c r="AI271" s="131"/>
    </row>
    <row r="272" spans="35:35">
      <c r="AI272" s="131"/>
    </row>
    <row r="273" spans="35:35">
      <c r="AI273" s="131"/>
    </row>
    <row r="274" spans="35:35">
      <c r="AI274" s="131"/>
    </row>
    <row r="275" spans="35:35">
      <c r="AI275" s="131"/>
    </row>
    <row r="276" spans="35:35">
      <c r="AI276" s="131"/>
    </row>
    <row r="277" spans="35:35">
      <c r="AI277" s="131"/>
    </row>
    <row r="278" spans="35:35">
      <c r="AI278" s="131"/>
    </row>
    <row r="279" spans="35:35">
      <c r="AI279" s="131"/>
    </row>
    <row r="280" spans="35:35">
      <c r="AI280" s="131"/>
    </row>
    <row r="281" spans="35:35">
      <c r="AI281" s="131"/>
    </row>
    <row r="282" spans="35:35">
      <c r="AI282" s="131"/>
    </row>
    <row r="283" spans="35:35">
      <c r="AI283" s="131"/>
    </row>
    <row r="284" spans="35:35">
      <c r="AI284" s="131"/>
    </row>
    <row r="285" spans="35:35">
      <c r="AI285" s="131"/>
    </row>
    <row r="286" spans="35:35">
      <c r="AI286" s="131"/>
    </row>
    <row r="287" spans="35:35">
      <c r="AI287" s="131"/>
    </row>
    <row r="288" spans="35:35">
      <c r="AI288" s="131"/>
    </row>
    <row r="289" spans="35:35">
      <c r="AI289" s="131"/>
    </row>
    <row r="290" spans="35:35">
      <c r="AI290" s="131"/>
    </row>
    <row r="291" spans="35:35">
      <c r="AI291" s="131"/>
    </row>
    <row r="292" spans="35:35">
      <c r="AI292" s="284"/>
    </row>
    <row r="293" spans="35:35">
      <c r="AI293" s="131"/>
    </row>
    <row r="295" spans="35:35">
      <c r="AI295" s="131"/>
    </row>
    <row r="296" spans="35:35">
      <c r="AI296" s="131"/>
    </row>
    <row r="297" spans="35:35">
      <c r="AI297" s="131"/>
    </row>
    <row r="298" spans="35:35">
      <c r="AI298" s="131"/>
    </row>
    <row r="299" spans="35:35">
      <c r="AI299" s="131"/>
    </row>
    <row r="300" spans="35:35">
      <c r="AI300" s="131"/>
    </row>
    <row r="301" spans="35:35">
      <c r="AI301" s="131"/>
    </row>
    <row r="302" spans="35:35">
      <c r="AI302" s="131"/>
    </row>
    <row r="303" spans="35:35">
      <c r="AI303" s="131"/>
    </row>
    <row r="304" spans="35:35">
      <c r="AI304" s="131"/>
    </row>
    <row r="305" spans="35:35">
      <c r="AI305" s="131"/>
    </row>
    <row r="306" spans="35:35">
      <c r="AI306" s="131"/>
    </row>
    <row r="307" spans="35:35">
      <c r="AI307" s="131"/>
    </row>
    <row r="308" spans="35:35">
      <c r="AI308" s="131"/>
    </row>
    <row r="309" spans="35:35">
      <c r="AI309" s="131"/>
    </row>
    <row r="310" spans="35:35">
      <c r="AI310" s="284"/>
    </row>
    <row r="311" spans="35:35">
      <c r="AI311" s="131"/>
    </row>
    <row r="312" spans="35:35">
      <c r="AI312" s="131"/>
    </row>
    <row r="313" spans="35:35">
      <c r="AI313" s="131"/>
    </row>
    <row r="314" spans="35:35">
      <c r="AI314" s="131"/>
    </row>
    <row r="315" spans="35:35">
      <c r="AI315" s="131"/>
    </row>
    <row r="316" spans="35:35">
      <c r="AI316" s="131"/>
    </row>
    <row r="317" spans="35:35">
      <c r="AI317" s="131"/>
    </row>
    <row r="318" spans="35:35">
      <c r="AI318" s="131"/>
    </row>
    <row r="319" spans="35:35">
      <c r="AI319" s="131"/>
    </row>
    <row r="320" spans="35:35">
      <c r="AI320" s="131"/>
    </row>
    <row r="321" spans="35:35">
      <c r="AI321" s="131"/>
    </row>
    <row r="322" spans="35:35">
      <c r="AI322" s="131"/>
    </row>
    <row r="323" spans="35:35">
      <c r="AI323" s="131"/>
    </row>
    <row r="324" spans="35:35">
      <c r="AI324" s="131"/>
    </row>
    <row r="325" spans="35:35">
      <c r="AI325" s="131"/>
    </row>
    <row r="326" spans="35:35">
      <c r="AI326" s="131"/>
    </row>
    <row r="327" spans="35:35">
      <c r="AI327" s="131"/>
    </row>
    <row r="328" spans="35:35">
      <c r="AI328" s="131"/>
    </row>
    <row r="329" spans="35:35">
      <c r="AI329" s="131"/>
    </row>
    <row r="330" spans="35:35">
      <c r="AI330" s="131"/>
    </row>
    <row r="331" spans="35:35">
      <c r="AI331" s="131"/>
    </row>
    <row r="332" spans="35:35">
      <c r="AI332" s="131"/>
    </row>
    <row r="333" spans="35:35">
      <c r="AI333" s="131"/>
    </row>
    <row r="334" spans="35:35">
      <c r="AI334" s="131"/>
    </row>
    <row r="335" spans="35:35">
      <c r="AI335" s="131"/>
    </row>
    <row r="336" spans="35:35">
      <c r="AI336" s="131"/>
    </row>
    <row r="337" spans="35:35">
      <c r="AI337" s="131"/>
    </row>
    <row r="338" spans="35:35">
      <c r="AI338" s="284"/>
    </row>
    <row r="339" spans="35:35">
      <c r="AI339" s="131"/>
    </row>
    <row r="340" spans="35:35">
      <c r="AI340" s="131"/>
    </row>
    <row r="341" spans="35:35">
      <c r="AI341" s="131"/>
    </row>
    <row r="342" spans="35:35">
      <c r="AI342" s="131"/>
    </row>
    <row r="343" spans="35:35">
      <c r="AI343" s="131"/>
    </row>
    <row r="344" spans="35:35">
      <c r="AI344" s="131"/>
    </row>
    <row r="345" spans="35:35">
      <c r="AI345" s="131"/>
    </row>
    <row r="346" spans="35:35">
      <c r="AI346" s="131"/>
    </row>
    <row r="347" spans="35:35">
      <c r="AI347" s="131"/>
    </row>
    <row r="348" spans="35:35">
      <c r="AI348" s="131"/>
    </row>
    <row r="349" spans="35:35">
      <c r="AI349" s="131"/>
    </row>
    <row r="350" spans="35:35">
      <c r="AI350" s="131"/>
    </row>
    <row r="351" spans="35:35">
      <c r="AI351" s="131"/>
    </row>
    <row r="352" spans="35:35">
      <c r="AI352" s="131"/>
    </row>
    <row r="353" spans="35:35">
      <c r="AI353" s="131"/>
    </row>
    <row r="354" spans="35:35">
      <c r="AI354" s="131"/>
    </row>
    <row r="355" spans="35:35">
      <c r="AI355" s="131"/>
    </row>
    <row r="356" spans="35:35">
      <c r="AI356" s="284"/>
    </row>
    <row r="357" spans="35:35">
      <c r="AI357" s="131"/>
    </row>
    <row r="358" spans="35:35">
      <c r="AI358" s="284"/>
    </row>
    <row r="359" spans="35:35">
      <c r="AI359" s="131"/>
    </row>
    <row r="360" spans="35:35">
      <c r="AI360" s="131"/>
    </row>
    <row r="361" spans="35:35">
      <c r="AI361" s="131"/>
    </row>
    <row r="362" spans="35:35">
      <c r="AI362" s="131"/>
    </row>
    <row r="363" spans="35:35">
      <c r="AI363" s="131"/>
    </row>
    <row r="364" spans="35:35">
      <c r="AI364" s="131"/>
    </row>
    <row r="365" spans="35:35">
      <c r="AI365" s="131"/>
    </row>
    <row r="366" spans="35:35">
      <c r="AI366" s="131"/>
    </row>
    <row r="367" spans="35:35">
      <c r="AI367" s="131"/>
    </row>
    <row r="368" spans="35:35">
      <c r="AI368" s="131"/>
    </row>
    <row r="369" spans="35:35">
      <c r="AI369" s="131"/>
    </row>
    <row r="370" spans="35:35">
      <c r="AI370" s="131"/>
    </row>
    <row r="371" spans="35:35">
      <c r="AI371" s="131"/>
    </row>
    <row r="372" spans="35:35">
      <c r="AI372" s="131"/>
    </row>
    <row r="373" spans="35:35">
      <c r="AI373" s="131"/>
    </row>
    <row r="374" spans="35:35">
      <c r="AI374" s="131"/>
    </row>
    <row r="375" spans="35:35">
      <c r="AI375" s="131"/>
    </row>
    <row r="376" spans="35:35">
      <c r="AI376" s="131"/>
    </row>
    <row r="377" spans="35:35">
      <c r="AI377" s="131"/>
    </row>
    <row r="378" spans="35:35">
      <c r="AI378" s="131"/>
    </row>
    <row r="379" spans="35:35">
      <c r="AI379" s="131"/>
    </row>
    <row r="380" spans="35:35">
      <c r="AI380" s="131"/>
    </row>
    <row r="381" spans="35:35">
      <c r="AI381" s="131"/>
    </row>
    <row r="382" spans="35:35">
      <c r="AI382" s="131"/>
    </row>
    <row r="383" spans="35:35">
      <c r="AI383" s="131"/>
    </row>
    <row r="384" spans="35:35">
      <c r="AI384" s="131"/>
    </row>
    <row r="385" spans="35:35">
      <c r="AI385" s="131"/>
    </row>
    <row r="386" spans="35:35">
      <c r="AI386" s="131"/>
    </row>
    <row r="387" spans="35:35">
      <c r="AI387" s="131"/>
    </row>
    <row r="388" spans="35:35">
      <c r="AI388" s="131"/>
    </row>
    <row r="389" spans="35:35">
      <c r="AI389" s="131"/>
    </row>
    <row r="390" spans="35:35">
      <c r="AI390" s="131"/>
    </row>
    <row r="391" spans="35:35">
      <c r="AI391" s="131"/>
    </row>
    <row r="392" spans="35:35">
      <c r="AI392" s="131"/>
    </row>
    <row r="393" spans="35:35">
      <c r="AI393" s="284"/>
    </row>
    <row r="394" spans="35:35">
      <c r="AI394" s="131"/>
    </row>
    <row r="395" spans="35:35">
      <c r="AI395" s="131"/>
    </row>
    <row r="396" spans="35:35">
      <c r="AI396" s="131"/>
    </row>
    <row r="397" spans="35:35">
      <c r="AI397" s="131"/>
    </row>
    <row r="398" spans="35:35">
      <c r="AI398" s="131"/>
    </row>
    <row r="399" spans="35:35">
      <c r="AI399" s="131"/>
    </row>
    <row r="400" spans="35:35">
      <c r="AI400" s="131"/>
    </row>
    <row r="401" spans="35:35">
      <c r="AI401" s="131"/>
    </row>
    <row r="402" spans="35:35">
      <c r="AI402" s="131"/>
    </row>
    <row r="403" spans="35:35">
      <c r="AI403" s="131"/>
    </row>
    <row r="404" spans="35:35">
      <c r="AI404" s="131"/>
    </row>
    <row r="405" spans="35:35">
      <c r="AI405" s="131"/>
    </row>
    <row r="406" spans="35:35">
      <c r="AI406" s="131"/>
    </row>
    <row r="407" spans="35:35">
      <c r="AI407" s="131"/>
    </row>
    <row r="408" spans="35:35">
      <c r="AI408" s="131"/>
    </row>
    <row r="409" spans="35:35">
      <c r="AI409" s="131"/>
    </row>
    <row r="410" spans="35:35">
      <c r="AI410" s="131"/>
    </row>
    <row r="411" spans="35:35">
      <c r="AI411" s="131"/>
    </row>
    <row r="412" spans="35:35">
      <c r="AI412" s="131"/>
    </row>
    <row r="413" spans="35:35">
      <c r="AI413" s="131"/>
    </row>
    <row r="414" spans="35:35">
      <c r="AI414" s="131"/>
    </row>
    <row r="415" spans="35:35">
      <c r="AI415" s="131"/>
    </row>
    <row r="416" spans="35:35">
      <c r="AI416" s="131"/>
    </row>
    <row r="417" spans="35:35">
      <c r="AI417" s="131"/>
    </row>
    <row r="418" spans="35:35">
      <c r="AI418" s="131"/>
    </row>
    <row r="419" spans="35:35">
      <c r="AI419" s="131"/>
    </row>
    <row r="420" spans="35:35">
      <c r="AI420" s="131"/>
    </row>
    <row r="421" spans="35:35">
      <c r="AI421" s="131"/>
    </row>
    <row r="422" spans="35:35">
      <c r="AI422" s="131"/>
    </row>
    <row r="423" spans="35:35">
      <c r="AI423" s="131"/>
    </row>
    <row r="424" spans="35:35">
      <c r="AI424" s="131"/>
    </row>
    <row r="425" spans="35:35">
      <c r="AI425" s="131"/>
    </row>
    <row r="426" spans="35:35">
      <c r="AI426" s="131"/>
    </row>
    <row r="427" spans="35:35">
      <c r="AI427" s="131"/>
    </row>
    <row r="428" spans="35:35">
      <c r="AI428" s="131"/>
    </row>
    <row r="429" spans="35:35">
      <c r="AI429" s="131"/>
    </row>
    <row r="430" spans="35:35">
      <c r="AI430" s="131"/>
    </row>
    <row r="431" spans="35:35">
      <c r="AI431" s="131"/>
    </row>
    <row r="432" spans="35:35">
      <c r="AI432" s="131"/>
    </row>
    <row r="433" spans="35:35">
      <c r="AI433" s="131"/>
    </row>
    <row r="434" spans="35:35">
      <c r="AI434" s="131"/>
    </row>
    <row r="435" spans="35:35">
      <c r="AI435" s="131"/>
    </row>
    <row r="436" spans="35:35">
      <c r="AI436" s="131"/>
    </row>
    <row r="437" spans="35:35">
      <c r="AI437" s="131"/>
    </row>
    <row r="438" spans="35:35">
      <c r="AI438" s="286"/>
    </row>
    <row r="439" spans="35:35">
      <c r="AI439" s="131"/>
    </row>
    <row r="440" spans="35:35">
      <c r="AI440" s="131"/>
    </row>
    <row r="441" spans="35:35">
      <c r="AI441" s="131"/>
    </row>
    <row r="442" spans="35:35">
      <c r="AI442" s="131"/>
    </row>
    <row r="443" spans="35:35">
      <c r="AI443" s="131"/>
    </row>
    <row r="444" spans="35:35">
      <c r="AI444" s="131"/>
    </row>
    <row r="445" spans="35:35">
      <c r="AI445" s="131"/>
    </row>
    <row r="446" spans="35:35">
      <c r="AI446" s="131"/>
    </row>
    <row r="447" spans="35:35">
      <c r="AI447" s="131"/>
    </row>
    <row r="448" spans="35:35">
      <c r="AI448" s="131"/>
    </row>
    <row r="449" spans="35:35">
      <c r="AI449" s="131"/>
    </row>
    <row r="450" spans="35:35">
      <c r="AI450" s="131"/>
    </row>
    <row r="451" spans="35:35">
      <c r="AI451" s="131"/>
    </row>
    <row r="452" spans="35:35">
      <c r="AI452" s="131"/>
    </row>
    <row r="453" spans="35:35">
      <c r="AI453" s="131"/>
    </row>
    <row r="454" spans="35:35">
      <c r="AI454" s="131"/>
    </row>
    <row r="455" spans="35:35">
      <c r="AI455" s="131"/>
    </row>
    <row r="456" spans="35:35">
      <c r="AI456" s="131"/>
    </row>
    <row r="457" spans="35:35">
      <c r="AI457" s="131"/>
    </row>
    <row r="458" spans="35:35">
      <c r="AI458" s="131"/>
    </row>
    <row r="459" spans="35:35">
      <c r="AI459" s="131"/>
    </row>
    <row r="460" spans="35:35">
      <c r="AI460" s="131"/>
    </row>
    <row r="461" spans="35:35">
      <c r="AI461" s="131"/>
    </row>
    <row r="462" spans="35:35">
      <c r="AI462" s="131"/>
    </row>
    <row r="463" spans="35:35">
      <c r="AI463" s="131"/>
    </row>
    <row r="464" spans="35:35">
      <c r="AI464" s="131"/>
    </row>
    <row r="465" spans="35:35">
      <c r="AI465" s="131"/>
    </row>
    <row r="466" spans="35:35">
      <c r="AI466" s="131"/>
    </row>
    <row r="467" spans="35:35">
      <c r="AI467" s="131"/>
    </row>
    <row r="468" spans="35:35">
      <c r="AI468" s="131"/>
    </row>
    <row r="469" spans="35:35">
      <c r="AI469" s="131"/>
    </row>
    <row r="470" spans="35:35">
      <c r="AI470" s="131"/>
    </row>
    <row r="471" spans="35:35">
      <c r="AI471" s="131"/>
    </row>
    <row r="472" spans="35:35">
      <c r="AI472" s="131"/>
    </row>
    <row r="473" spans="35:35">
      <c r="AI473" s="131"/>
    </row>
    <row r="474" spans="35:35">
      <c r="AI474" s="131"/>
    </row>
    <row r="475" spans="35:35">
      <c r="AI475" s="131"/>
    </row>
    <row r="476" spans="35:35">
      <c r="AI476" s="131"/>
    </row>
    <row r="477" spans="35:35">
      <c r="AI477" s="131"/>
    </row>
    <row r="478" spans="35:35">
      <c r="AI478" s="131"/>
    </row>
    <row r="479" spans="35:35">
      <c r="AI479" s="34"/>
    </row>
    <row r="480" spans="35:35">
      <c r="AI480" s="131"/>
    </row>
    <row r="481" spans="35:35">
      <c r="AI481" s="131"/>
    </row>
    <row r="482" spans="35:35">
      <c r="AI482" s="284"/>
    </row>
    <row r="483" spans="35:35">
      <c r="AI483" s="131"/>
    </row>
    <row r="484" spans="35:35">
      <c r="AI484" s="131"/>
    </row>
    <row r="485" spans="35:35">
      <c r="AI485" s="131"/>
    </row>
    <row r="486" spans="35:35">
      <c r="AI486" s="131"/>
    </row>
    <row r="487" spans="35:35">
      <c r="AI487" s="131"/>
    </row>
    <row r="488" spans="35:35">
      <c r="AI488" s="284"/>
    </row>
    <row r="489" spans="35:35">
      <c r="AI489" s="131"/>
    </row>
    <row r="490" spans="35:35">
      <c r="AI490" s="131"/>
    </row>
    <row r="491" spans="35:35">
      <c r="AI491" s="131"/>
    </row>
    <row r="492" spans="35:35">
      <c r="AI492" s="131"/>
    </row>
    <row r="493" spans="35:35">
      <c r="AI493" s="131"/>
    </row>
    <row r="494" spans="35:35">
      <c r="AI494" s="131"/>
    </row>
    <row r="495" spans="35:35">
      <c r="AI495" s="131"/>
    </row>
    <row r="496" spans="35:35">
      <c r="AI496" s="131"/>
    </row>
    <row r="497" spans="35:35">
      <c r="AI497" s="131"/>
    </row>
    <row r="498" spans="35:35">
      <c r="AI498" s="131"/>
    </row>
    <row r="499" spans="35:35">
      <c r="AI499" s="284"/>
    </row>
    <row r="500" spans="35:35">
      <c r="AI500" s="131"/>
    </row>
    <row r="501" spans="35:35">
      <c r="AI501" s="131"/>
    </row>
    <row r="502" spans="35:35">
      <c r="AI502" s="131"/>
    </row>
    <row r="503" spans="35:35">
      <c r="AI503" s="131"/>
    </row>
    <row r="504" spans="35:35">
      <c r="AI504" s="131"/>
    </row>
    <row r="505" spans="35:35">
      <c r="AI505" s="131"/>
    </row>
    <row r="506" spans="35:35">
      <c r="AI506" s="131"/>
    </row>
    <row r="507" spans="35:35">
      <c r="AI507" s="131"/>
    </row>
    <row r="508" spans="35:35">
      <c r="AI508" s="131"/>
    </row>
    <row r="509" spans="35:35">
      <c r="AI509" s="284"/>
    </row>
    <row r="510" spans="35:35">
      <c r="AI510" s="131"/>
    </row>
    <row r="511" spans="35:35">
      <c r="AI511" s="131"/>
    </row>
    <row r="512" spans="35:35">
      <c r="AI512" s="131"/>
    </row>
    <row r="513" spans="35:35">
      <c r="AI513" s="131"/>
    </row>
    <row r="514" spans="35:35">
      <c r="AI514" s="131"/>
    </row>
    <row r="515" spans="35:35">
      <c r="AI515" s="131"/>
    </row>
    <row r="516" spans="35:35">
      <c r="AI516" s="131"/>
    </row>
    <row r="517" spans="35:35">
      <c r="AI517" s="284"/>
    </row>
    <row r="518" spans="35:35">
      <c r="AI518" s="131"/>
    </row>
    <row r="519" spans="35:35">
      <c r="AI519" s="131"/>
    </row>
    <row r="520" spans="35:35">
      <c r="AI520" s="131"/>
    </row>
    <row r="521" spans="35:35">
      <c r="AI521" s="131"/>
    </row>
    <row r="522" spans="35:35">
      <c r="AI522" s="131"/>
    </row>
    <row r="523" spans="35:35">
      <c r="AI523" s="131"/>
    </row>
    <row r="524" spans="35:35">
      <c r="AI524" s="131"/>
    </row>
    <row r="525" spans="35:35">
      <c r="AI525" s="131"/>
    </row>
    <row r="526" spans="35:35">
      <c r="AI526" s="131"/>
    </row>
    <row r="527" spans="35:35">
      <c r="AI527" s="284"/>
    </row>
    <row r="528" spans="35:35">
      <c r="AI528" s="131"/>
    </row>
    <row r="529" spans="35:35">
      <c r="AI529" s="131"/>
    </row>
    <row r="530" spans="35:35">
      <c r="AI530" s="131"/>
    </row>
    <row r="531" spans="35:35">
      <c r="AI531" s="131"/>
    </row>
    <row r="532" spans="35:35">
      <c r="AI532" s="131"/>
    </row>
    <row r="533" spans="35:35">
      <c r="AI533" s="131"/>
    </row>
    <row r="534" spans="35:35">
      <c r="AI534" s="131"/>
    </row>
    <row r="535" spans="35:35">
      <c r="AI535" s="131"/>
    </row>
    <row r="536" spans="35:35">
      <c r="AI536" s="131"/>
    </row>
    <row r="537" spans="35:35">
      <c r="AI537" s="131"/>
    </row>
    <row r="538" spans="35:35">
      <c r="AI538" s="131"/>
    </row>
    <row r="539" spans="35:35">
      <c r="AI539" s="131"/>
    </row>
    <row r="540" spans="35:35">
      <c r="AI540" s="131"/>
    </row>
    <row r="541" spans="35:35">
      <c r="AI541" s="131"/>
    </row>
    <row r="542" spans="35:35">
      <c r="AI542" s="131"/>
    </row>
    <row r="543" spans="35:35">
      <c r="AI543" s="131"/>
    </row>
    <row r="544" spans="35:35">
      <c r="AI544" s="131"/>
    </row>
    <row r="545" spans="35:35">
      <c r="AI545" s="131"/>
    </row>
    <row r="546" spans="35:35">
      <c r="AI546" s="131"/>
    </row>
    <row r="547" spans="35:35">
      <c r="AI547" s="131"/>
    </row>
    <row r="548" spans="35:35">
      <c r="AI548" s="284"/>
    </row>
    <row r="549" spans="35:35">
      <c r="AI549" s="131"/>
    </row>
    <row r="550" spans="35:35">
      <c r="AI550" s="131"/>
    </row>
    <row r="551" spans="35:35">
      <c r="AI551" s="131"/>
    </row>
    <row r="553" spans="35:35">
      <c r="AI553" s="131"/>
    </row>
    <row r="554" spans="35:35">
      <c r="AI554" s="131"/>
    </row>
    <row r="555" spans="35:35">
      <c r="AI555" s="131"/>
    </row>
    <row r="556" spans="35:35">
      <c r="AI556" s="131"/>
    </row>
    <row r="557" spans="35:35">
      <c r="AI557" s="131"/>
    </row>
    <row r="558" spans="35:35">
      <c r="AI558" s="131"/>
    </row>
    <row r="559" spans="35:35">
      <c r="AI559" s="131"/>
    </row>
    <row r="560" spans="35:35">
      <c r="AI560" s="131"/>
    </row>
    <row r="561" spans="35:35">
      <c r="AI561" s="284"/>
    </row>
    <row r="562" spans="35:35">
      <c r="AI562" s="131"/>
    </row>
    <row r="563" spans="35:35">
      <c r="AI563" s="131"/>
    </row>
    <row r="564" spans="35:35">
      <c r="AI564" s="131"/>
    </row>
    <row r="565" spans="35:35">
      <c r="AI565" s="284"/>
    </row>
    <row r="566" spans="35:35">
      <c r="AI566" s="131"/>
    </row>
    <row r="567" spans="35:35">
      <c r="AI567" s="131"/>
    </row>
    <row r="568" spans="35:35">
      <c r="AI568" s="131"/>
    </row>
    <row r="569" spans="35:35">
      <c r="AI569" s="131"/>
    </row>
    <row r="570" spans="35:35">
      <c r="AI570" s="131"/>
    </row>
    <row r="571" spans="35:35">
      <c r="AI571" s="131"/>
    </row>
    <row r="572" spans="35:35">
      <c r="AI572" s="131"/>
    </row>
    <row r="573" spans="35:35">
      <c r="AI573" s="131"/>
    </row>
    <row r="574" spans="35:35">
      <c r="AI574" s="131"/>
    </row>
    <row r="575" spans="35:35">
      <c r="AI575" s="131"/>
    </row>
    <row r="576" spans="35:35">
      <c r="AI576" s="131"/>
    </row>
    <row r="577" spans="35:35">
      <c r="AI577" s="131"/>
    </row>
    <row r="578" spans="35:35">
      <c r="AI578" s="131"/>
    </row>
    <row r="579" spans="35:35">
      <c r="AI579" s="131"/>
    </row>
    <row r="580" spans="35:35">
      <c r="AI580" s="131"/>
    </row>
    <row r="581" spans="35:35">
      <c r="AI581" s="131"/>
    </row>
    <row r="582" spans="35:35">
      <c r="AI582" s="131"/>
    </row>
    <row r="583" spans="35:35">
      <c r="AI583" s="131"/>
    </row>
    <row r="584" spans="35:35">
      <c r="AI584" s="131"/>
    </row>
    <row r="585" spans="35:35">
      <c r="AI585" s="131"/>
    </row>
    <row r="586" spans="35:35">
      <c r="AI586" s="131"/>
    </row>
    <row r="587" spans="35:35">
      <c r="AI587" s="131"/>
    </row>
    <row r="588" spans="35:35">
      <c r="AI588" s="131"/>
    </row>
    <row r="589" spans="35:35">
      <c r="AI589" s="131"/>
    </row>
    <row r="590" spans="35:35">
      <c r="AI590" s="131"/>
    </row>
    <row r="591" spans="35:35">
      <c r="AI591" s="131"/>
    </row>
    <row r="592" spans="35:35">
      <c r="AI592" s="131"/>
    </row>
    <row r="593" spans="35:35">
      <c r="AI593" s="131"/>
    </row>
    <row r="594" spans="35:35">
      <c r="AI594" s="131"/>
    </row>
    <row r="595" spans="35:35">
      <c r="AI595" s="131"/>
    </row>
    <row r="596" spans="35:35">
      <c r="AI596" s="131"/>
    </row>
    <row r="597" spans="35:35">
      <c r="AI597" s="131"/>
    </row>
    <row r="598" spans="35:35">
      <c r="AI598" s="131"/>
    </row>
    <row r="599" spans="35:35">
      <c r="AI599" s="131"/>
    </row>
    <row r="600" spans="35:35">
      <c r="AI600" s="131"/>
    </row>
    <row r="601" spans="35:35">
      <c r="AI601" s="131"/>
    </row>
    <row r="602" spans="35:35">
      <c r="AI602" s="131"/>
    </row>
    <row r="603" spans="35:35">
      <c r="AI603" s="131"/>
    </row>
    <row r="604" spans="35:35">
      <c r="AI604" s="131"/>
    </row>
    <row r="605" spans="35:35">
      <c r="AI605" s="131"/>
    </row>
    <row r="606" spans="35:35">
      <c r="AI606" s="131"/>
    </row>
    <row r="607" spans="35:35">
      <c r="AI607" s="131"/>
    </row>
    <row r="608" spans="35:35">
      <c r="AI608" s="131"/>
    </row>
    <row r="609" spans="35:35">
      <c r="AI609" s="131"/>
    </row>
    <row r="610" spans="35:35">
      <c r="AI610" s="28"/>
    </row>
    <row r="611" spans="35:35">
      <c r="AI611" s="131"/>
    </row>
    <row r="612" spans="35:35">
      <c r="AI612" s="131"/>
    </row>
    <row r="613" spans="35:35">
      <c r="AI613" s="131"/>
    </row>
    <row r="614" spans="35:35">
      <c r="AI614" s="131"/>
    </row>
    <row r="615" spans="35:35">
      <c r="AI615" s="131"/>
    </row>
    <row r="616" spans="35:35">
      <c r="AI616" s="131"/>
    </row>
    <row r="617" spans="35:35">
      <c r="AI617" s="131"/>
    </row>
    <row r="618" spans="35:35">
      <c r="AI618" s="131"/>
    </row>
    <row r="619" spans="35:35">
      <c r="AI619" s="131"/>
    </row>
    <row r="620" spans="35:35">
      <c r="AI620" s="131"/>
    </row>
    <row r="621" spans="35:35">
      <c r="AI621" s="131"/>
    </row>
    <row r="622" spans="35:35">
      <c r="AI622" s="131"/>
    </row>
    <row r="623" spans="35:35">
      <c r="AI623" s="131"/>
    </row>
    <row r="624" spans="35:35">
      <c r="AI624" s="131"/>
    </row>
    <row r="625" spans="35:35">
      <c r="AI625" s="131"/>
    </row>
    <row r="626" spans="35:35">
      <c r="AI626" s="131"/>
    </row>
    <row r="627" spans="35:35">
      <c r="AI627" s="131"/>
    </row>
    <row r="628" spans="35:35">
      <c r="AI628" s="131"/>
    </row>
    <row r="629" spans="35:35">
      <c r="AI629" s="131"/>
    </row>
    <row r="630" spans="35:35">
      <c r="AI630" s="131"/>
    </row>
    <row r="631" spans="35:35">
      <c r="AI631" s="131"/>
    </row>
    <row r="632" spans="35:35">
      <c r="AI632" s="131"/>
    </row>
    <row r="633" spans="35:35">
      <c r="AI633" s="131"/>
    </row>
    <row r="634" spans="35:35">
      <c r="AI634" s="131"/>
    </row>
    <row r="635" spans="35:35">
      <c r="AI635" s="131"/>
    </row>
    <row r="636" spans="35:35">
      <c r="AI636" s="131"/>
    </row>
    <row r="637" spans="35:35">
      <c r="AI637" s="131"/>
    </row>
    <row r="638" spans="35:35">
      <c r="AI638" s="131"/>
    </row>
    <row r="639" spans="35:35">
      <c r="AI639" s="131"/>
    </row>
    <row r="640" spans="35:35">
      <c r="AI640" s="131"/>
    </row>
    <row r="641" spans="35:35">
      <c r="AI641" s="131"/>
    </row>
    <row r="642" spans="35:35">
      <c r="AI642" s="131"/>
    </row>
    <row r="643" spans="35:35">
      <c r="AI643" s="284"/>
    </row>
    <row r="644" spans="35:35">
      <c r="AI644" s="284"/>
    </row>
    <row r="645" spans="35:35">
      <c r="AI645" s="131"/>
    </row>
    <row r="646" spans="35:35">
      <c r="AI646" s="131"/>
    </row>
    <row r="647" spans="35:35">
      <c r="AI647" s="131"/>
    </row>
    <row r="648" spans="35:35">
      <c r="AI648" s="131"/>
    </row>
    <row r="649" spans="35:35">
      <c r="AI649" s="131"/>
    </row>
    <row r="650" spans="35:35">
      <c r="AI650" s="131"/>
    </row>
    <row r="651" spans="35:35">
      <c r="AI651" s="131"/>
    </row>
    <row r="652" spans="35:35">
      <c r="AI652" s="131"/>
    </row>
    <row r="653" spans="35:35">
      <c r="AI653" s="131"/>
    </row>
    <row r="654" spans="35:35">
      <c r="AI654" s="131"/>
    </row>
    <row r="655" spans="35:35">
      <c r="AI655" s="131"/>
    </row>
    <row r="656" spans="35:35">
      <c r="AI656" s="131"/>
    </row>
    <row r="657" spans="35:35">
      <c r="AI657" s="131"/>
    </row>
    <row r="658" spans="35:35">
      <c r="AI658" s="131"/>
    </row>
    <row r="659" spans="35:35">
      <c r="AI659" s="131"/>
    </row>
    <row r="660" spans="35:35">
      <c r="AI660" s="131"/>
    </row>
    <row r="661" spans="35:35">
      <c r="AI661" s="131"/>
    </row>
    <row r="662" spans="35:35">
      <c r="AI662" s="131"/>
    </row>
    <row r="663" spans="35:35">
      <c r="AI663" s="131"/>
    </row>
    <row r="664" spans="35:35">
      <c r="AI664" s="131"/>
    </row>
    <row r="665" spans="35:35">
      <c r="AI665" s="131"/>
    </row>
    <row r="666" spans="35:35">
      <c r="AI666" s="131"/>
    </row>
    <row r="667" spans="35:35">
      <c r="AI667" s="131"/>
    </row>
    <row r="668" spans="35:35">
      <c r="AI668" s="131"/>
    </row>
    <row r="669" spans="35:35">
      <c r="AI669" s="131"/>
    </row>
    <row r="670" spans="35:35">
      <c r="AI670" s="131"/>
    </row>
    <row r="671" spans="35:35">
      <c r="AI671" s="131"/>
    </row>
    <row r="672" spans="35:35">
      <c r="AI672" s="131"/>
    </row>
    <row r="673" spans="35:35">
      <c r="AI673" s="131"/>
    </row>
    <row r="674" spans="35:35">
      <c r="AI674" s="131"/>
    </row>
    <row r="675" spans="35:35">
      <c r="AI675" s="131"/>
    </row>
    <row r="676" spans="35:35">
      <c r="AI676" s="131"/>
    </row>
    <row r="677" spans="35:35">
      <c r="AI677" s="131"/>
    </row>
    <row r="678" spans="35:35">
      <c r="AI678" s="131"/>
    </row>
    <row r="679" spans="35:35">
      <c r="AI679" s="131"/>
    </row>
    <row r="680" spans="35:35">
      <c r="AI680" s="131"/>
    </row>
    <row r="681" spans="35:35">
      <c r="AI681" s="131"/>
    </row>
    <row r="682" spans="35:35">
      <c r="AI682" s="131"/>
    </row>
    <row r="683" spans="35:35">
      <c r="AI683" s="284"/>
    </row>
    <row r="684" spans="35:35">
      <c r="AI684" s="131"/>
    </row>
    <row r="685" spans="35:35">
      <c r="AI685" s="131"/>
    </row>
    <row r="686" spans="35:35">
      <c r="AI686" s="131"/>
    </row>
    <row r="687" spans="35:35">
      <c r="AI687" s="131"/>
    </row>
    <row r="688" spans="35:35">
      <c r="AI688" s="131"/>
    </row>
    <row r="689" spans="35:35">
      <c r="AI689" s="131"/>
    </row>
    <row r="690" spans="35:35">
      <c r="AI690" s="131"/>
    </row>
    <row r="691" spans="35:35">
      <c r="AI691" s="131"/>
    </row>
    <row r="692" spans="35:35">
      <c r="AI692" s="131"/>
    </row>
    <row r="693" spans="35:35">
      <c r="AI693" s="131"/>
    </row>
    <row r="694" spans="35:35">
      <c r="AI694" s="131"/>
    </row>
    <row r="695" spans="35:35">
      <c r="AI695" s="131"/>
    </row>
    <row r="696" spans="35:35">
      <c r="AI696" s="131"/>
    </row>
    <row r="697" spans="35:35">
      <c r="AI697" s="131"/>
    </row>
    <row r="698" spans="35:35">
      <c r="AI698" s="131"/>
    </row>
    <row r="699" spans="35:35">
      <c r="AI699" s="131"/>
    </row>
    <row r="700" spans="35:35">
      <c r="AI700" s="131"/>
    </row>
    <row r="701" spans="35:35">
      <c r="AI701" s="131"/>
    </row>
    <row r="702" spans="35:35">
      <c r="AI702" s="131"/>
    </row>
    <row r="703" spans="35:35">
      <c r="AI703" s="131"/>
    </row>
    <row r="704" spans="35:35">
      <c r="AI704" s="131"/>
    </row>
    <row r="705" spans="35:35">
      <c r="AI705" s="131"/>
    </row>
    <row r="706" spans="35:35">
      <c r="AI706" s="131"/>
    </row>
    <row r="707" spans="35:35">
      <c r="AI707" s="131"/>
    </row>
    <row r="708" spans="35:35">
      <c r="AI708" s="131"/>
    </row>
    <row r="709" spans="35:35">
      <c r="AI709" s="131"/>
    </row>
    <row r="710" spans="35:35">
      <c r="AI710" s="131"/>
    </row>
    <row r="711" spans="35:35">
      <c r="AI711" s="131"/>
    </row>
    <row r="712" spans="35:35">
      <c r="AI712" s="131"/>
    </row>
    <row r="713" spans="35:35">
      <c r="AI713" s="131"/>
    </row>
    <row r="714" spans="35:35">
      <c r="AI714" s="131"/>
    </row>
    <row r="715" spans="35:35">
      <c r="AI715" s="131"/>
    </row>
    <row r="716" spans="35:35">
      <c r="AI716" s="131"/>
    </row>
    <row r="717" spans="35:35">
      <c r="AI717" s="131"/>
    </row>
    <row r="718" spans="35:35">
      <c r="AI718" s="131"/>
    </row>
    <row r="719" spans="35:35">
      <c r="AI719" s="131"/>
    </row>
    <row r="720" spans="35:35">
      <c r="AI720" s="131"/>
    </row>
    <row r="721" spans="35:35">
      <c r="AI721" s="131"/>
    </row>
    <row r="722" spans="35:35">
      <c r="AI722" s="131"/>
    </row>
    <row r="723" spans="35:35">
      <c r="AI723" s="131"/>
    </row>
    <row r="724" spans="35:35">
      <c r="AI724" s="131"/>
    </row>
    <row r="725" spans="35:35">
      <c r="AI725" s="131"/>
    </row>
    <row r="726" spans="35:35">
      <c r="AI726" s="131"/>
    </row>
    <row r="727" spans="35:35">
      <c r="AI727" s="131"/>
    </row>
    <row r="728" spans="35:35">
      <c r="AI728" s="131"/>
    </row>
    <row r="729" spans="35:35">
      <c r="AI729" s="131"/>
    </row>
    <row r="730" spans="35:35">
      <c r="AI730" s="131"/>
    </row>
    <row r="731" spans="35:35">
      <c r="AI731" s="131"/>
    </row>
    <row r="732" spans="35:35">
      <c r="AI732" s="131"/>
    </row>
    <row r="733" spans="35:35">
      <c r="AI733" s="131"/>
    </row>
    <row r="734" spans="35:35">
      <c r="AI734" s="131"/>
    </row>
    <row r="735" spans="35:35">
      <c r="AI735" s="131"/>
    </row>
    <row r="736" spans="35:35">
      <c r="AI736" s="131"/>
    </row>
    <row r="737" spans="35:35">
      <c r="AI737" s="131"/>
    </row>
    <row r="738" spans="35:35">
      <c r="AI738" s="131"/>
    </row>
    <row r="739" spans="35:35">
      <c r="AI739" s="131"/>
    </row>
    <row r="740" spans="35:35">
      <c r="AI740" s="131"/>
    </row>
    <row r="741" spans="35:35">
      <c r="AI741" s="284"/>
    </row>
    <row r="742" spans="35:35">
      <c r="AI742" s="131"/>
    </row>
    <row r="743" spans="35:35">
      <c r="AI743" s="131"/>
    </row>
    <row r="744" spans="35:35">
      <c r="AI744" s="131"/>
    </row>
    <row r="745" spans="35:35">
      <c r="AI745" s="131"/>
    </row>
    <row r="746" spans="35:35">
      <c r="AI746" s="131"/>
    </row>
    <row r="747" spans="35:35">
      <c r="AI747" s="131"/>
    </row>
    <row r="748" spans="35:35">
      <c r="AI748" s="131"/>
    </row>
    <row r="749" spans="35:35">
      <c r="AI749" s="131"/>
    </row>
    <row r="750" spans="35:35">
      <c r="AI750" s="131"/>
    </row>
    <row r="751" spans="35:35">
      <c r="AI751" s="131"/>
    </row>
    <row r="752" spans="35:35">
      <c r="AI752" s="131"/>
    </row>
    <row r="753" spans="35:35">
      <c r="AI753" s="131"/>
    </row>
    <row r="754" spans="35:35">
      <c r="AI754" s="131"/>
    </row>
    <row r="755" spans="35:35">
      <c r="AI755" s="131"/>
    </row>
    <row r="756" spans="35:35">
      <c r="AI756" s="131"/>
    </row>
    <row r="757" spans="35:35">
      <c r="AI757" s="131"/>
    </row>
    <row r="758" spans="35:35">
      <c r="AI758" s="131"/>
    </row>
    <row r="759" spans="35:35">
      <c r="AI759" s="131"/>
    </row>
    <row r="760" spans="35:35">
      <c r="AI760" s="131"/>
    </row>
    <row r="761" spans="35:35">
      <c r="AI761" s="131"/>
    </row>
    <row r="762" spans="35:35">
      <c r="AI762" s="131"/>
    </row>
    <row r="763" spans="35:35">
      <c r="AI763" s="131"/>
    </row>
    <row r="764" spans="35:35">
      <c r="AI764" s="131"/>
    </row>
    <row r="765" spans="35:35">
      <c r="AI765" s="131"/>
    </row>
    <row r="766" spans="35:35">
      <c r="AI766" s="131"/>
    </row>
    <row r="767" spans="35:35">
      <c r="AI767" s="131"/>
    </row>
    <row r="768" spans="35:35">
      <c r="AI768" s="131"/>
    </row>
    <row r="769" spans="35:35">
      <c r="AI769" s="131"/>
    </row>
    <row r="770" spans="35:35">
      <c r="AI770" s="131"/>
    </row>
    <row r="771" spans="35:35">
      <c r="AI771" s="131"/>
    </row>
    <row r="772" spans="35:35">
      <c r="AI772" s="131"/>
    </row>
    <row r="773" spans="35:35">
      <c r="AI773" s="131"/>
    </row>
    <row r="774" spans="35:35">
      <c r="AI774" s="131"/>
    </row>
    <row r="775" spans="35:35">
      <c r="AI775" s="131"/>
    </row>
    <row r="776" spans="35:35">
      <c r="AI776" s="131"/>
    </row>
    <row r="777" spans="35:35">
      <c r="AI777" s="131"/>
    </row>
    <row r="778" spans="35:35">
      <c r="AI778" s="131"/>
    </row>
    <row r="779" spans="35:35">
      <c r="AI779" s="131"/>
    </row>
    <row r="780" spans="35:35">
      <c r="AI780" s="131"/>
    </row>
    <row r="781" spans="35:35">
      <c r="AI781" s="131"/>
    </row>
    <row r="782" spans="35:35">
      <c r="AI782" s="131"/>
    </row>
    <row r="783" spans="35:35">
      <c r="AI783" s="131"/>
    </row>
    <row r="784" spans="35:35">
      <c r="AI784" s="131"/>
    </row>
    <row r="785" spans="35:35">
      <c r="AI785" s="131"/>
    </row>
    <row r="786" spans="35:35">
      <c r="AI786" s="131"/>
    </row>
    <row r="787" spans="35:35">
      <c r="AI787" s="131"/>
    </row>
    <row r="788" spans="35:35">
      <c r="AI788" s="131"/>
    </row>
    <row r="789" spans="35:35">
      <c r="AI789" s="131"/>
    </row>
    <row r="790" spans="35:35">
      <c r="AI790" s="131"/>
    </row>
    <row r="791" spans="35:35">
      <c r="AI791" s="131"/>
    </row>
    <row r="792" spans="35:35">
      <c r="AI792" s="131"/>
    </row>
    <row r="793" spans="35:35">
      <c r="AI793" s="131"/>
    </row>
    <row r="794" spans="35:35">
      <c r="AI794" s="131"/>
    </row>
    <row r="795" spans="35:35">
      <c r="AI795" s="131"/>
    </row>
    <row r="796" spans="35:35">
      <c r="AI796" s="131"/>
    </row>
    <row r="797" spans="35:35">
      <c r="AI797" s="131"/>
    </row>
    <row r="798" spans="35:35">
      <c r="AI798" s="284"/>
    </row>
    <row r="799" spans="35:35">
      <c r="AI799" s="131"/>
    </row>
    <row r="800" spans="35:35">
      <c r="AI800" s="131"/>
    </row>
    <row r="801" spans="35:35">
      <c r="AI801" s="131"/>
    </row>
    <row r="802" spans="35:35">
      <c r="AI802" s="131"/>
    </row>
    <row r="803" spans="35:35">
      <c r="AI803" s="131"/>
    </row>
    <row r="804" spans="35:35">
      <c r="AI804" s="131"/>
    </row>
    <row r="805" spans="35:35">
      <c r="AI805" s="131"/>
    </row>
    <row r="806" spans="35:35">
      <c r="AI806" s="131"/>
    </row>
    <row r="807" spans="35:35">
      <c r="AI807" s="131"/>
    </row>
    <row r="808" spans="35:35">
      <c r="AI808" s="131"/>
    </row>
    <row r="809" spans="35:35">
      <c r="AI809" s="131"/>
    </row>
    <row r="810" spans="35:35">
      <c r="AI810" s="131"/>
    </row>
    <row r="811" spans="35:35">
      <c r="AI811" s="131"/>
    </row>
    <row r="812" spans="35:35">
      <c r="AI812" s="131"/>
    </row>
    <row r="813" spans="35:35">
      <c r="AI813" s="131"/>
    </row>
    <row r="814" spans="35:35">
      <c r="AI814" s="131"/>
    </row>
    <row r="815" spans="35:35">
      <c r="AI815" s="131"/>
    </row>
    <row r="816" spans="35:35">
      <c r="AI816" s="131"/>
    </row>
    <row r="817" spans="35:35">
      <c r="AI817" s="131"/>
    </row>
    <row r="818" spans="35:35">
      <c r="AI818" s="131"/>
    </row>
    <row r="819" spans="35:35">
      <c r="AI819" s="131"/>
    </row>
    <row r="820" spans="35:35">
      <c r="AI820" s="131"/>
    </row>
    <row r="821" spans="35:35">
      <c r="AI821" s="131"/>
    </row>
    <row r="822" spans="35:35">
      <c r="AI822" s="131"/>
    </row>
    <row r="823" spans="35:35">
      <c r="AI823" s="131"/>
    </row>
    <row r="824" spans="35:35">
      <c r="AI824" s="131"/>
    </row>
    <row r="825" spans="35:35">
      <c r="AI825" s="131"/>
    </row>
    <row r="826" spans="35:35">
      <c r="AI826" s="253"/>
    </row>
    <row r="827" spans="35:35">
      <c r="AI827" s="131"/>
    </row>
    <row r="828" spans="35:35">
      <c r="AI828" s="131"/>
    </row>
    <row r="829" spans="35:35">
      <c r="AI829" s="131"/>
    </row>
    <row r="830" spans="35:35">
      <c r="AI830" s="131"/>
    </row>
    <row r="831" spans="35:35">
      <c r="AI831" s="131"/>
    </row>
    <row r="832" spans="35:35">
      <c r="AI832" s="131"/>
    </row>
    <row r="833" spans="35:35">
      <c r="AI833" s="131"/>
    </row>
    <row r="834" spans="35:35">
      <c r="AI834" s="131"/>
    </row>
    <row r="835" spans="35:35">
      <c r="AI835" s="131"/>
    </row>
    <row r="836" spans="35:35">
      <c r="AI836" s="131"/>
    </row>
    <row r="837" spans="35:35">
      <c r="AI837" s="131"/>
    </row>
    <row r="838" spans="35:35">
      <c r="AI838" s="131"/>
    </row>
    <row r="839" spans="35:35">
      <c r="AI839" s="131"/>
    </row>
    <row r="840" spans="35:35">
      <c r="AI840" s="284"/>
    </row>
    <row r="841" spans="35:35">
      <c r="AI841" s="131"/>
    </row>
    <row r="842" spans="35:35">
      <c r="AI842" s="131"/>
    </row>
    <row r="843" spans="35:35">
      <c r="AI843" s="131"/>
    </row>
    <row r="844" spans="35:35">
      <c r="AI844" s="131"/>
    </row>
    <row r="845" spans="35:35">
      <c r="AI845" s="131"/>
    </row>
    <row r="846" spans="35:35">
      <c r="AI846" s="131"/>
    </row>
    <row r="847" spans="35:35">
      <c r="AI847" s="131"/>
    </row>
    <row r="848" spans="35:35">
      <c r="AI848" s="131"/>
    </row>
    <row r="850" spans="35:35">
      <c r="AI850" s="131"/>
    </row>
    <row r="851" spans="35:35">
      <c r="AI851" s="131"/>
    </row>
    <row r="852" spans="35:35">
      <c r="AI852" s="284"/>
    </row>
    <row r="853" spans="35:35">
      <c r="AI853" s="131"/>
    </row>
    <row r="854" spans="35:35">
      <c r="AI854" s="284"/>
    </row>
    <row r="855" spans="35:35">
      <c r="AI855" s="131"/>
    </row>
    <row r="856" spans="35:35">
      <c r="AI856" s="131"/>
    </row>
    <row r="857" spans="35:35">
      <c r="AI857" s="131"/>
    </row>
    <row r="858" spans="35:35">
      <c r="AI858" s="284"/>
    </row>
    <row r="859" spans="35:35">
      <c r="AI859" s="128"/>
    </row>
    <row r="861" spans="35:35">
      <c r="AI861" s="131"/>
    </row>
    <row r="862" spans="35:35">
      <c r="AI862" s="284"/>
    </row>
    <row r="863" spans="35:35">
      <c r="AI863" s="131"/>
    </row>
    <row r="864" spans="35:35">
      <c r="AI864" s="131"/>
    </row>
    <row r="865" spans="35:35">
      <c r="AI865" s="284"/>
    </row>
    <row r="866" spans="35:35">
      <c r="AI866" s="131"/>
    </row>
    <row r="867" spans="35:35">
      <c r="AI867" s="131"/>
    </row>
    <row r="868" spans="35:35">
      <c r="AI868" s="131"/>
    </row>
    <row r="869" spans="35:35">
      <c r="AI869" s="131"/>
    </row>
    <row r="870" spans="35:35">
      <c r="AI870" s="131"/>
    </row>
    <row r="871" spans="35:35">
      <c r="AI871" s="284"/>
    </row>
    <row r="872" spans="35:35">
      <c r="AI872" s="131"/>
    </row>
    <row r="873" spans="35:35">
      <c r="AI873" s="131"/>
    </row>
    <row r="874" spans="35:35">
      <c r="AI874" s="131"/>
    </row>
    <row r="875" spans="35:35">
      <c r="AI875" s="131"/>
    </row>
    <row r="877" spans="35:35">
      <c r="AI877" s="284"/>
    </row>
    <row r="878" spans="35:35">
      <c r="AI878" s="131"/>
    </row>
    <row r="879" spans="35:35">
      <c r="AI879" s="131"/>
    </row>
    <row r="880" spans="35:35">
      <c r="AI880" s="131"/>
    </row>
    <row r="881" spans="35:35">
      <c r="AI881" s="131"/>
    </row>
    <row r="882" spans="35:35">
      <c r="AI882" s="131"/>
    </row>
    <row r="883" spans="35:35">
      <c r="AI883" s="131"/>
    </row>
    <row r="884" spans="35:35">
      <c r="AI884" s="131"/>
    </row>
    <row r="885" spans="35:35">
      <c r="AI885" s="131"/>
    </row>
    <row r="886" spans="35:35">
      <c r="AI886" s="27"/>
    </row>
    <row r="887" spans="35:35">
      <c r="AI887" s="131"/>
    </row>
    <row r="888" spans="35:35">
      <c r="AI888" s="131"/>
    </row>
    <row r="889" spans="35:35">
      <c r="AI889" s="131"/>
    </row>
    <row r="890" spans="35:35">
      <c r="AI890" s="131"/>
    </row>
    <row r="891" spans="35:35">
      <c r="AI891" s="131"/>
    </row>
    <row r="892" spans="35:35">
      <c r="AI892" s="131"/>
    </row>
    <row r="893" spans="35:35">
      <c r="AI893" s="131"/>
    </row>
    <row r="894" spans="35:35">
      <c r="AI894" s="284"/>
    </row>
    <row r="895" spans="35:35">
      <c r="AI895" s="131"/>
    </row>
    <row r="896" spans="35:35">
      <c r="AI896" s="131"/>
    </row>
    <row r="897" spans="35:35">
      <c r="AI897" s="131"/>
    </row>
    <row r="898" spans="35:35">
      <c r="AI898" s="131"/>
    </row>
    <row r="899" spans="35:35">
      <c r="AI899" s="131"/>
    </row>
    <row r="900" spans="35:35">
      <c r="AI900" s="131"/>
    </row>
    <row r="901" spans="35:35">
      <c r="AI901" s="284"/>
    </row>
    <row r="902" spans="35:35">
      <c r="AI902" s="131"/>
    </row>
    <row r="903" spans="35:35">
      <c r="AI903" s="131"/>
    </row>
    <row r="904" spans="35:35">
      <c r="AI904" s="131"/>
    </row>
    <row r="905" spans="35:35">
      <c r="AI905" s="131"/>
    </row>
    <row r="906" spans="35:35">
      <c r="AI906" s="131"/>
    </row>
    <row r="907" spans="35:35">
      <c r="AI907" s="131"/>
    </row>
    <row r="908" spans="35:35">
      <c r="AI908" s="131"/>
    </row>
    <row r="909" spans="35:35">
      <c r="AI909" s="284"/>
    </row>
    <row r="910" spans="35:35">
      <c r="AI910" s="131"/>
    </row>
    <row r="911" spans="35:35">
      <c r="AI911" s="131"/>
    </row>
    <row r="912" spans="35:35">
      <c r="AI912" s="131"/>
    </row>
    <row r="913" spans="35:35">
      <c r="AI913" s="131"/>
    </row>
    <row r="914" spans="35:35">
      <c r="AI914" s="131"/>
    </row>
    <row r="915" spans="35:35">
      <c r="AI915" s="131"/>
    </row>
    <row r="916" spans="35:35">
      <c r="AI916" s="131"/>
    </row>
    <row r="917" spans="35:35">
      <c r="AI917" s="131"/>
    </row>
    <row r="918" spans="35:35">
      <c r="AI918" s="131"/>
    </row>
    <row r="919" spans="35:35">
      <c r="AI919" s="128"/>
    </row>
    <row r="920" spans="35:35">
      <c r="AI920" s="128"/>
    </row>
    <row r="921" spans="35:35">
      <c r="AI921" s="131"/>
    </row>
    <row r="922" spans="35:35">
      <c r="AI922" s="131"/>
    </row>
    <row r="923" spans="35:35">
      <c r="AI923" s="131"/>
    </row>
    <row r="924" spans="35:35">
      <c r="AI924" s="131"/>
    </row>
    <row r="925" spans="35:35">
      <c r="AI925" s="131"/>
    </row>
    <row r="926" spans="35:35">
      <c r="AI926" s="131"/>
    </row>
    <row r="927" spans="35:35">
      <c r="AI927" s="131"/>
    </row>
    <row r="928" spans="35:35">
      <c r="AI928" s="131"/>
    </row>
    <row r="929" spans="35:35">
      <c r="AI929" s="131"/>
    </row>
    <row r="930" spans="35:35">
      <c r="AI930" s="131"/>
    </row>
    <row r="931" spans="35:35">
      <c r="AI931" s="131"/>
    </row>
    <row r="932" spans="35:35">
      <c r="AI932" s="284"/>
    </row>
    <row r="933" spans="35:35">
      <c r="AI933" s="131"/>
    </row>
    <row r="934" spans="35:35">
      <c r="AI934" s="131"/>
    </row>
    <row r="935" spans="35:35">
      <c r="AI935" s="284"/>
    </row>
    <row r="936" spans="35:35">
      <c r="AI936" s="131"/>
    </row>
    <row r="937" spans="35:35">
      <c r="AI937" s="131"/>
    </row>
    <row r="938" spans="35:35">
      <c r="AI938" s="131"/>
    </row>
    <row r="939" spans="35:35">
      <c r="AI939" s="44"/>
    </row>
    <row r="941" spans="35:35">
      <c r="AI941" s="131"/>
    </row>
    <row r="942" spans="35:35">
      <c r="AI942" s="131"/>
    </row>
    <row r="943" spans="35:35">
      <c r="AI943" s="131"/>
    </row>
    <row r="944" spans="35:35">
      <c r="AI944" s="131"/>
    </row>
    <row r="945" spans="35:35">
      <c r="AI945" s="131"/>
    </row>
    <row r="946" spans="35:35">
      <c r="AI946" s="131"/>
    </row>
    <row r="947" spans="35:35">
      <c r="AI947" s="131"/>
    </row>
    <row r="948" spans="35:35">
      <c r="AI948" s="131"/>
    </row>
    <row r="949" spans="35:35">
      <c r="AI949" s="128"/>
    </row>
    <row r="950" spans="35:35">
      <c r="AI950" s="131"/>
    </row>
    <row r="951" spans="35:35">
      <c r="AI951" s="131"/>
    </row>
    <row r="952" spans="35:35">
      <c r="AI952" s="131"/>
    </row>
    <row r="953" spans="35:35">
      <c r="AI953" s="131"/>
    </row>
    <row r="954" spans="35:35">
      <c r="AI954" s="131"/>
    </row>
    <row r="955" spans="35:35">
      <c r="AI955" s="131"/>
    </row>
    <row r="956" spans="35:35">
      <c r="AI956" s="131"/>
    </row>
    <row r="957" spans="35:35">
      <c r="AI957" s="131"/>
    </row>
    <row r="959" spans="35:35">
      <c r="AI959" s="131"/>
    </row>
    <row r="960" spans="35:35">
      <c r="AI960" s="131"/>
    </row>
    <row r="961" spans="35:35">
      <c r="AI961" s="131"/>
    </row>
    <row r="962" spans="35:35">
      <c r="AI962" s="131"/>
    </row>
    <row r="963" spans="35:35">
      <c r="AI963" s="284"/>
    </row>
    <row r="964" spans="35:35">
      <c r="AI964" s="131"/>
    </row>
    <row r="965" spans="35:35">
      <c r="AI965" s="131"/>
    </row>
    <row r="966" spans="35:35">
      <c r="AI966" s="131"/>
    </row>
    <row r="967" spans="35:35">
      <c r="AI967" s="131"/>
    </row>
    <row r="968" spans="35:35">
      <c r="AI968" s="131"/>
    </row>
    <row r="969" spans="35:35">
      <c r="AI969" s="131"/>
    </row>
    <row r="970" spans="35:35">
      <c r="AI970" s="128"/>
    </row>
    <row r="971" spans="35:35">
      <c r="AI971" s="131"/>
    </row>
    <row r="972" spans="35:35">
      <c r="AI972" s="284"/>
    </row>
    <row r="973" spans="35:35">
      <c r="AI973" s="131"/>
    </row>
    <row r="974" spans="35:35">
      <c r="AI974" s="131"/>
    </row>
    <row r="975" spans="35:35">
      <c r="AI975" s="131"/>
    </row>
    <row r="976" spans="35:35">
      <c r="AI976" s="131"/>
    </row>
    <row r="977" spans="35:35">
      <c r="AI977" s="131"/>
    </row>
    <row r="978" spans="35:35">
      <c r="AI978" s="131"/>
    </row>
    <row r="979" spans="35:35">
      <c r="AI979" s="131"/>
    </row>
    <row r="980" spans="35:35">
      <c r="AI980" s="131"/>
    </row>
    <row r="981" spans="35:35">
      <c r="AI981" s="131"/>
    </row>
    <row r="982" spans="35:35">
      <c r="AI982" s="131"/>
    </row>
    <row r="983" spans="35:35">
      <c r="AI983" s="131"/>
    </row>
    <row r="984" spans="35:35">
      <c r="AI984" s="131"/>
    </row>
    <row r="985" spans="35:35">
      <c r="AI985" s="131"/>
    </row>
    <row r="986" spans="35:35">
      <c r="AI986" s="131"/>
    </row>
    <row r="987" spans="35:35">
      <c r="AI987" s="131"/>
    </row>
    <row r="988" spans="35:35">
      <c r="AI988" s="131"/>
    </row>
    <row r="989" spans="35:35">
      <c r="AI989" s="131"/>
    </row>
    <row r="990" spans="35:35">
      <c r="AI990" s="131"/>
    </row>
    <row r="991" spans="35:35">
      <c r="AI991" s="128"/>
    </row>
    <row r="992" spans="35:35">
      <c r="AI992" s="131"/>
    </row>
    <row r="993" spans="35:35">
      <c r="AI993" s="131"/>
    </row>
    <row r="994" spans="35:35">
      <c r="AI994" s="131"/>
    </row>
    <row r="995" spans="35:35">
      <c r="AI995" s="131"/>
    </row>
    <row r="996" spans="35:35">
      <c r="AI996" s="131"/>
    </row>
    <row r="997" spans="35:35">
      <c r="AI997" s="28"/>
    </row>
    <row r="998" spans="35:35">
      <c r="AI998" s="128"/>
    </row>
    <row r="999" spans="35:35">
      <c r="AI999" s="284"/>
    </row>
    <row r="1000" spans="35:35">
      <c r="AI1000" s="284"/>
    </row>
    <row r="1001" spans="35:35">
      <c r="AI1001" s="131"/>
    </row>
    <row r="1002" spans="35:35">
      <c r="AI1002" s="128"/>
    </row>
    <row r="1003" spans="35:35">
      <c r="AI1003" s="131"/>
    </row>
    <row r="1004" spans="35:35">
      <c r="AI1004" s="131"/>
    </row>
    <row r="1005" spans="35:35">
      <c r="AI1005" s="131"/>
    </row>
    <row r="1006" spans="35:35">
      <c r="AI1006" s="44"/>
    </row>
    <row r="1007" spans="35:35">
      <c r="AI1007" s="131"/>
    </row>
    <row r="1009" spans="35:35">
      <c r="AI1009" s="131"/>
    </row>
    <row r="1010" spans="35:35">
      <c r="AI1010" s="128"/>
    </row>
    <row r="1011" spans="35:35">
      <c r="AI1011" s="131"/>
    </row>
    <row r="1012" spans="35:35">
      <c r="AI1012" s="131"/>
    </row>
    <row r="1013" spans="35:35">
      <c r="AI1013" s="128"/>
    </row>
    <row r="1014" spans="35:35">
      <c r="AI1014" s="131"/>
    </row>
    <row r="1015" spans="35:35">
      <c r="AI1015" s="131"/>
    </row>
    <row r="1016" spans="35:35">
      <c r="AI1016" s="131"/>
    </row>
    <row r="1017" spans="35:35">
      <c r="AI1017" s="131"/>
    </row>
    <row r="1018" spans="35:35">
      <c r="AI1018" s="131"/>
    </row>
    <row r="1019" spans="35:35">
      <c r="AI1019" s="131"/>
    </row>
    <row r="1020" spans="35:35">
      <c r="AI1020" s="131"/>
    </row>
    <row r="1021" spans="35:35">
      <c r="AI1021" s="131"/>
    </row>
    <row r="1022" spans="35:35">
      <c r="AI1022" s="131"/>
    </row>
    <row r="1023" spans="35:35">
      <c r="AI1023" s="131"/>
    </row>
    <row r="1024" spans="35:35">
      <c r="AI1024" s="284"/>
    </row>
    <row r="1025" spans="35:36">
      <c r="AI1025" s="131"/>
    </row>
    <row r="1026" spans="35:36">
      <c r="AI1026" s="131"/>
    </row>
    <row r="1027" spans="35:36">
      <c r="AI1027" s="131"/>
    </row>
    <row r="1028" spans="35:36">
      <c r="AI1028" s="131"/>
    </row>
    <row r="1029" spans="35:36">
      <c r="AI1029" s="131"/>
      <c r="AJ1029" s="264" t="s">
        <v>5277</v>
      </c>
    </row>
    <row r="1030" spans="35:36">
      <c r="AI1030" s="131"/>
    </row>
    <row r="1031" spans="35:36">
      <c r="AI1031" s="128"/>
    </row>
    <row r="1032" spans="35:36">
      <c r="AI1032" s="131"/>
    </row>
    <row r="1033" spans="35:36">
      <c r="AI1033" s="131"/>
    </row>
    <row r="1034" spans="35:36">
      <c r="AI1034" s="131"/>
    </row>
    <row r="1035" spans="35:36">
      <c r="AI1035" s="131"/>
    </row>
    <row r="1036" spans="35:36">
      <c r="AI1036" s="284"/>
    </row>
    <row r="1038" spans="35:36">
      <c r="AI1038" s="131"/>
    </row>
    <row r="1039" spans="35:36">
      <c r="AI1039" s="131"/>
    </row>
    <row r="1040" spans="35:36">
      <c r="AI1040" s="131"/>
    </row>
    <row r="1041" spans="35:35">
      <c r="AI1041" s="28"/>
    </row>
    <row r="1042" spans="35:35">
      <c r="AI1042" s="131"/>
    </row>
    <row r="1043" spans="35:35">
      <c r="AI1043" s="284"/>
    </row>
    <row r="1044" spans="35:35">
      <c r="AI1044" s="128"/>
    </row>
    <row r="1045" spans="35:35">
      <c r="AI1045" s="131"/>
    </row>
    <row r="1046" spans="35:35">
      <c r="AI1046" s="131"/>
    </row>
    <row r="1047" spans="35:35">
      <c r="AI1047" s="131"/>
    </row>
    <row r="1048" spans="35:35">
      <c r="AI1048" s="131"/>
    </row>
    <row r="1049" spans="35:35">
      <c r="AI1049" s="131"/>
    </row>
    <row r="1050" spans="35:35">
      <c r="AI1050" s="131"/>
    </row>
    <row r="1051" spans="35:35">
      <c r="AI1051" s="131"/>
    </row>
    <row r="1052" spans="35:35">
      <c r="AI1052" s="131"/>
    </row>
    <row r="1053" spans="35:35">
      <c r="AI1053" s="131"/>
    </row>
    <row r="1054" spans="35:35">
      <c r="AI1054" s="131"/>
    </row>
    <row r="1055" spans="35:35">
      <c r="AI1055" s="131"/>
    </row>
    <row r="1056" spans="35:35">
      <c r="AI1056" s="131"/>
    </row>
    <row r="1057" spans="35:35">
      <c r="AI1057" s="131"/>
    </row>
    <row r="1058" spans="35:35">
      <c r="AI1058" s="284"/>
    </row>
    <row r="1060" spans="35:35">
      <c r="AI1060" s="131"/>
    </row>
    <row r="1061" spans="35:35">
      <c r="AI1061" s="131"/>
    </row>
    <row r="1062" spans="35:35">
      <c r="AI1062" s="131"/>
    </row>
    <row r="1063" spans="35:35">
      <c r="AI1063" s="131"/>
    </row>
    <row r="1064" spans="35:35">
      <c r="AI1064" s="131"/>
    </row>
    <row r="1065" spans="35:35">
      <c r="AI1065" s="131"/>
    </row>
    <row r="1066" spans="35:35">
      <c r="AI1066" s="131"/>
    </row>
    <row r="1067" spans="35:35">
      <c r="AI1067" s="131"/>
    </row>
    <row r="1068" spans="35:35">
      <c r="AI1068" s="131"/>
    </row>
    <row r="1069" spans="35:35">
      <c r="AI1069" s="131"/>
    </row>
    <row r="1070" spans="35:35">
      <c r="AI1070" s="131"/>
    </row>
    <row r="1071" spans="35:35">
      <c r="AI1071" s="131"/>
    </row>
    <row r="1072" spans="35:35">
      <c r="AI1072" s="131"/>
    </row>
    <row r="1073" spans="35:35">
      <c r="AI1073" s="131"/>
    </row>
    <row r="1075" spans="35:35">
      <c r="AI1075" s="131"/>
    </row>
    <row r="1076" spans="35:35">
      <c r="AI1076" s="128"/>
    </row>
    <row r="1077" spans="35:35">
      <c r="AI1077" s="131"/>
    </row>
    <row r="1078" spans="35:35">
      <c r="AI1078" s="131"/>
    </row>
    <row r="1079" spans="35:35">
      <c r="AI1079" s="131"/>
    </row>
    <row r="1080" spans="35:35">
      <c r="AI1080" s="131"/>
    </row>
    <row r="1081" spans="35:35">
      <c r="AI1081" s="131"/>
    </row>
    <row r="1082" spans="35:35">
      <c r="AI1082" s="131"/>
    </row>
    <row r="1084" spans="35:35">
      <c r="AI1084" s="131"/>
    </row>
    <row r="1085" spans="35:35">
      <c r="AI1085" s="131"/>
    </row>
    <row r="1086" spans="35:35">
      <c r="AI1086" s="131"/>
    </row>
    <row r="1087" spans="35:35">
      <c r="AI1087" s="131"/>
    </row>
    <row r="1088" spans="35:35">
      <c r="AI1088" s="131"/>
    </row>
    <row r="1089" spans="35:35">
      <c r="AI1089" s="131"/>
    </row>
    <row r="1090" spans="35:35">
      <c r="AI1090" s="131"/>
    </row>
    <row r="1091" spans="35:35">
      <c r="AI1091" s="131"/>
    </row>
    <row r="1092" spans="35:35">
      <c r="AI1092" s="131"/>
    </row>
    <row r="1093" spans="35:35">
      <c r="AI1093" s="128"/>
    </row>
    <row r="1094" spans="35:35">
      <c r="AI1094" s="131"/>
    </row>
    <row r="1095" spans="35:35">
      <c r="AI1095" s="131"/>
    </row>
    <row r="1096" spans="35:35">
      <c r="AI1096" s="131"/>
    </row>
    <row r="1098" spans="35:35">
      <c r="AI1098" s="131"/>
    </row>
    <row r="1099" spans="35:35">
      <c r="AI1099" s="131"/>
    </row>
    <row r="1100" spans="35:35">
      <c r="AI1100" s="284"/>
    </row>
    <row r="1101" spans="35:35">
      <c r="AI1101" s="131"/>
    </row>
    <row r="1102" spans="35:35">
      <c r="AI1102" s="284"/>
    </row>
    <row r="1103" spans="35:35">
      <c r="AI1103" s="131"/>
    </row>
    <row r="1104" spans="35:35">
      <c r="AI1104" s="131"/>
    </row>
    <row r="1105" spans="35:35">
      <c r="AI1105" s="131"/>
    </row>
    <row r="1106" spans="35:35">
      <c r="AI1106" s="284"/>
    </row>
    <row r="1107" spans="35:35">
      <c r="AI1107" s="284"/>
    </row>
    <row r="1108" spans="35:35">
      <c r="AI1108" s="131"/>
    </row>
    <row r="1109" spans="35:35">
      <c r="AI1109" s="131"/>
    </row>
    <row r="1110" spans="35:35">
      <c r="AI1110" s="131"/>
    </row>
    <row r="1111" spans="35:35">
      <c r="AI1111" s="131"/>
    </row>
    <row r="1112" spans="35:35">
      <c r="AI1112" s="284"/>
    </row>
    <row r="1113" spans="35:35">
      <c r="AI1113" s="131"/>
    </row>
    <row r="1114" spans="35:35">
      <c r="AI1114" s="284"/>
    </row>
    <row r="1115" spans="35:35">
      <c r="AI1115" s="131"/>
    </row>
    <row r="1116" spans="35:35">
      <c r="AI1116" s="284"/>
    </row>
    <row r="1117" spans="35:35">
      <c r="AI1117" s="131"/>
    </row>
    <row r="1118" spans="35:35">
      <c r="AI1118" s="131"/>
    </row>
    <row r="1119" spans="35:35">
      <c r="AI1119" s="131"/>
    </row>
    <row r="1120" spans="35:35">
      <c r="AI1120" s="131"/>
    </row>
    <row r="1121" spans="35:35">
      <c r="AI1121" s="131"/>
    </row>
    <row r="1122" spans="35:35">
      <c r="AI1122" s="131"/>
    </row>
    <row r="1123" spans="35:35">
      <c r="AI1123" s="131"/>
    </row>
    <row r="1124" spans="35:35">
      <c r="AI1124" s="131"/>
    </row>
    <row r="1125" spans="35:35">
      <c r="AI1125" s="131"/>
    </row>
    <row r="1126" spans="35:35">
      <c r="AI1126" s="131"/>
    </row>
    <row r="1127" spans="35:35">
      <c r="AI1127" s="131"/>
    </row>
    <row r="1128" spans="35:35">
      <c r="AI1128" s="131"/>
    </row>
    <row r="1129" spans="35:35">
      <c r="AI1129" s="131"/>
    </row>
    <row r="1130" spans="35:35">
      <c r="AI1130" s="131"/>
    </row>
    <row r="1131" spans="35:35">
      <c r="AI1131" s="131"/>
    </row>
    <row r="1132" spans="35:35">
      <c r="AI1132" s="131"/>
    </row>
    <row r="1133" spans="35:35">
      <c r="AI1133" s="284"/>
    </row>
    <row r="1134" spans="35:35">
      <c r="AI1134" s="131"/>
    </row>
    <row r="1135" spans="35:35">
      <c r="AI1135" s="131"/>
    </row>
    <row r="1136" spans="35:35">
      <c r="AI1136" s="131"/>
    </row>
    <row r="1137" spans="35:35">
      <c r="AI1137" s="131"/>
    </row>
    <row r="1138" spans="35:35">
      <c r="AI1138" s="131"/>
    </row>
    <row r="1139" spans="35:35">
      <c r="AI1139" s="131"/>
    </row>
    <row r="1140" spans="35:35">
      <c r="AI1140" s="131"/>
    </row>
    <row r="1141" spans="35:35">
      <c r="AI1141" s="284"/>
    </row>
    <row r="1142" spans="35:35">
      <c r="AI1142" s="131"/>
    </row>
    <row r="1143" spans="35:35">
      <c r="AI1143" s="131"/>
    </row>
    <row r="1144" spans="35:35">
      <c r="AI1144" s="131"/>
    </row>
    <row r="1145" spans="35:35">
      <c r="AI1145" s="131"/>
    </row>
    <row r="1146" spans="35:35">
      <c r="AI1146" s="131"/>
    </row>
    <row r="1147" spans="35:35">
      <c r="AI1147" s="131"/>
    </row>
    <row r="1148" spans="35:35">
      <c r="AI1148" s="131"/>
    </row>
    <row r="1149" spans="35:35">
      <c r="AI1149" s="131"/>
    </row>
    <row r="1150" spans="35:35">
      <c r="AI1150" s="131"/>
    </row>
    <row r="1151" spans="35:35">
      <c r="AI1151" s="131"/>
    </row>
    <row r="1152" spans="35:35">
      <c r="AI1152" s="128"/>
    </row>
    <row r="1153" spans="35:35">
      <c r="AI1153" s="131"/>
    </row>
    <row r="1154" spans="35:35">
      <c r="AI1154" s="131"/>
    </row>
    <row r="1155" spans="35:35">
      <c r="AI1155" s="284"/>
    </row>
    <row r="1156" spans="35:35">
      <c r="AI1156" s="131"/>
    </row>
    <row r="1157" spans="35:35">
      <c r="AI1157" s="131"/>
    </row>
    <row r="1158" spans="35:35">
      <c r="AI1158" s="131"/>
    </row>
    <row r="1159" spans="35:35">
      <c r="AI1159" s="131"/>
    </row>
    <row r="1160" spans="35:35">
      <c r="AI1160" s="131"/>
    </row>
    <row r="1161" spans="35:35">
      <c r="AI1161" s="131"/>
    </row>
    <row r="1162" spans="35:35">
      <c r="AI1162" s="131"/>
    </row>
    <row r="1163" spans="35:35">
      <c r="AI1163" s="284"/>
    </row>
    <row r="1164" spans="35:35">
      <c r="AI1164" s="284"/>
    </row>
    <row r="1165" spans="35:35">
      <c r="AI1165" s="131"/>
    </row>
    <row r="1166" spans="35:35">
      <c r="AI1166" s="284"/>
    </row>
    <row r="1167" spans="35:35">
      <c r="AI1167" s="131"/>
    </row>
    <row r="1168" spans="35:35">
      <c r="AI1168" s="131"/>
    </row>
    <row r="1169" spans="35:35">
      <c r="AI1169" s="131"/>
    </row>
    <row r="1170" spans="35:35">
      <c r="AI1170" s="131"/>
    </row>
    <row r="1171" spans="35:35">
      <c r="AI1171" s="131"/>
    </row>
    <row r="1172" spans="35:35">
      <c r="AI1172" s="131"/>
    </row>
    <row r="1173" spans="35:35">
      <c r="AI1173" s="131"/>
    </row>
    <row r="1174" spans="35:35">
      <c r="AI1174" s="284"/>
    </row>
    <row r="1175" spans="35:35">
      <c r="AI1175" s="131"/>
    </row>
    <row r="1176" spans="35:35">
      <c r="AI1176" s="131"/>
    </row>
    <row r="1177" spans="35:35">
      <c r="AI1177" s="131"/>
    </row>
    <row r="1178" spans="35:35">
      <c r="AI1178" s="131"/>
    </row>
    <row r="1179" spans="35:35">
      <c r="AI1179" s="131"/>
    </row>
    <row r="1180" spans="35:35">
      <c r="AI1180" s="131"/>
    </row>
    <row r="1181" spans="35:35">
      <c r="AI1181" s="131"/>
    </row>
    <row r="1182" spans="35:35">
      <c r="AI1182" s="131"/>
    </row>
    <row r="1183" spans="35:35">
      <c r="AI1183" s="131"/>
    </row>
    <row r="1184" spans="35:35">
      <c r="AI1184" s="131"/>
    </row>
    <row r="1185" spans="35:35">
      <c r="AI1185" s="131"/>
    </row>
    <row r="1186" spans="35:35">
      <c r="AI1186" s="132"/>
    </row>
    <row r="1187" spans="35:35">
      <c r="AI1187" s="131"/>
    </row>
    <row r="1188" spans="35:35">
      <c r="AI1188" s="131"/>
    </row>
    <row r="1189" spans="35:35">
      <c r="AI1189" s="131"/>
    </row>
    <row r="1190" spans="35:35">
      <c r="AI1190" s="131"/>
    </row>
    <row r="1191" spans="35:35">
      <c r="AI1191" s="131"/>
    </row>
    <row r="1192" spans="35:35">
      <c r="AI1192" s="131"/>
    </row>
    <row r="1193" spans="35:35">
      <c r="AI1193" s="131"/>
    </row>
    <row r="1194" spans="35:35">
      <c r="AI1194" s="284"/>
    </row>
    <row r="1195" spans="35:35">
      <c r="AI1195" s="131"/>
    </row>
    <row r="1196" spans="35:35">
      <c r="AI1196" s="131"/>
    </row>
    <row r="1197" spans="35:35">
      <c r="AI1197" s="131"/>
    </row>
    <row r="1198" spans="35:35">
      <c r="AI1198" s="131"/>
    </row>
    <row r="1199" spans="35:35">
      <c r="AI1199" s="131"/>
    </row>
    <row r="1200" spans="35:35">
      <c r="AI1200" s="131"/>
    </row>
    <row r="1201" spans="35:35">
      <c r="AI1201" s="131"/>
    </row>
    <row r="1202" spans="35:35">
      <c r="AI1202" s="131"/>
    </row>
    <row r="1203" spans="35:35">
      <c r="AI1203" s="131"/>
    </row>
    <row r="1204" spans="35:35">
      <c r="AI1204" s="131"/>
    </row>
    <row r="1205" spans="35:35">
      <c r="AI1205" s="131"/>
    </row>
    <row r="1206" spans="35:35">
      <c r="AI1206" s="131"/>
    </row>
    <row r="1207" spans="35:35">
      <c r="AI1207" s="131"/>
    </row>
    <row r="1208" spans="35:35">
      <c r="AI1208" s="131"/>
    </row>
    <row r="1209" spans="35:35">
      <c r="AI1209" s="284"/>
    </row>
    <row r="1210" spans="35:35">
      <c r="AI1210" s="284"/>
    </row>
    <row r="1211" spans="35:35">
      <c r="AI1211" s="131"/>
    </row>
    <row r="1212" spans="35:35">
      <c r="AI1212" s="131"/>
    </row>
    <row r="1213" spans="35:35">
      <c r="AI1213" s="131"/>
    </row>
    <row r="1214" spans="35:35">
      <c r="AI1214" s="131"/>
    </row>
    <row r="1215" spans="35:35">
      <c r="AI1215" s="131"/>
    </row>
    <row r="1216" spans="35:35">
      <c r="AI1216" s="131"/>
    </row>
    <row r="1217" spans="35:35">
      <c r="AI1217" s="131"/>
    </row>
    <row r="1218" spans="35:35">
      <c r="AI1218" s="131"/>
    </row>
    <row r="1219" spans="35:35">
      <c r="AI1219" s="131"/>
    </row>
    <row r="1220" spans="35:35">
      <c r="AI1220" s="284"/>
    </row>
    <row r="1221" spans="35:35">
      <c r="AI1221" s="131"/>
    </row>
    <row r="1222" spans="35:35">
      <c r="AI1222" s="131"/>
    </row>
    <row r="1223" spans="35:35">
      <c r="AI1223" s="131"/>
    </row>
    <row r="1224" spans="35:35">
      <c r="AI1224" s="131"/>
    </row>
    <row r="1225" spans="35:35">
      <c r="AI1225" s="131"/>
    </row>
    <row r="1226" spans="35:35">
      <c r="AI1226" s="131"/>
    </row>
    <row r="1227" spans="35:35">
      <c r="AI1227" s="128"/>
    </row>
    <row r="1228" spans="35:35">
      <c r="AI1228" s="131"/>
    </row>
    <row r="1230" spans="35:35">
      <c r="AI1230" s="131"/>
    </row>
    <row r="1231" spans="35:35">
      <c r="AI1231" s="284"/>
    </row>
    <row r="1232" spans="35:35">
      <c r="AI1232" s="131"/>
    </row>
    <row r="1233" spans="35:35">
      <c r="AI1233" s="131"/>
    </row>
    <row r="1234" spans="35:35">
      <c r="AI1234" s="131"/>
    </row>
    <row r="1235" spans="35:35">
      <c r="AI1235" s="131"/>
    </row>
    <row r="1236" spans="35:35">
      <c r="AI1236" s="131"/>
    </row>
    <row r="1237" spans="35:35">
      <c r="AI1237" s="131"/>
    </row>
    <row r="1238" spans="35:35">
      <c r="AI1238" s="131"/>
    </row>
    <row r="1239" spans="35:35">
      <c r="AI1239" s="131"/>
    </row>
    <row r="1240" spans="35:35">
      <c r="AI1240" s="131"/>
    </row>
    <row r="1241" spans="35:35">
      <c r="AI1241" s="131"/>
    </row>
    <row r="1242" spans="35:35">
      <c r="AI1242" s="131"/>
    </row>
    <row r="1243" spans="35:35">
      <c r="AI1243" s="131"/>
    </row>
    <row r="1244" spans="35:35">
      <c r="AI1244" s="131"/>
    </row>
    <row r="1245" spans="35:35">
      <c r="AI1245" s="131"/>
    </row>
    <row r="1246" spans="35:35">
      <c r="AI1246" s="131"/>
    </row>
    <row r="1247" spans="35:35">
      <c r="AI1247" s="131"/>
    </row>
    <row r="1248" spans="35:35">
      <c r="AI1248" s="131"/>
    </row>
    <row r="1249" spans="35:35">
      <c r="AI1249" s="131"/>
    </row>
    <row r="1250" spans="35:35">
      <c r="AI1250" s="131"/>
    </row>
    <row r="1251" spans="35:35">
      <c r="AI1251" s="131"/>
    </row>
    <row r="1252" spans="35:35">
      <c r="AI1252" s="131"/>
    </row>
    <row r="1253" spans="35:35">
      <c r="AI1253" s="131"/>
    </row>
    <row r="1254" spans="35:35">
      <c r="AI1254" s="131"/>
    </row>
    <row r="1256" spans="35:35">
      <c r="AI1256" s="131"/>
    </row>
    <row r="1257" spans="35:35">
      <c r="AI1257" s="131"/>
    </row>
    <row r="1258" spans="35:35">
      <c r="AI1258" s="131"/>
    </row>
    <row r="1259" spans="35:35">
      <c r="AI1259" s="131"/>
    </row>
    <row r="1260" spans="35:35">
      <c r="AI1260" s="131"/>
    </row>
    <row r="1261" spans="35:35">
      <c r="AI1261" s="131"/>
    </row>
    <row r="1262" spans="35:35">
      <c r="AI1262" s="131"/>
    </row>
    <row r="1263" spans="35:35">
      <c r="AI1263" s="131"/>
    </row>
    <row r="1264" spans="35:35">
      <c r="AI1264" s="52"/>
    </row>
    <row r="1265" spans="1:35">
      <c r="AI1265" s="131"/>
    </row>
    <row r="1266" spans="1:35">
      <c r="AI1266" s="131"/>
    </row>
    <row r="1267" spans="1:35">
      <c r="AI1267" s="131"/>
    </row>
    <row r="1268" spans="1:35">
      <c r="AI1268" s="131"/>
    </row>
    <row r="1269" spans="1:35">
      <c r="AI1269" s="131"/>
    </row>
    <row r="1270" spans="1:35" ht="26.4">
      <c r="A1270" s="284"/>
      <c r="B1270" s="284"/>
      <c r="C1270" s="284"/>
      <c r="D1270" s="284"/>
      <c r="E1270" s="284"/>
      <c r="F1270" s="284"/>
      <c r="H1270" s="284"/>
      <c r="I1270" s="284"/>
      <c r="J1270" s="284"/>
      <c r="K1270" s="284"/>
      <c r="L1270" s="284"/>
      <c r="M1270" s="113"/>
      <c r="N1270" s="113"/>
      <c r="T1270" s="340"/>
      <c r="V1270" s="342"/>
      <c r="W1270" s="64" ph="1"/>
      <c r="X1270" s="241"/>
      <c r="AA1270" s="284"/>
      <c r="AB1270" s="284"/>
      <c r="AC1270" s="284"/>
      <c r="AD1270" s="284"/>
      <c r="AE1270" s="284"/>
      <c r="AF1270" s="284"/>
      <c r="AG1270" s="8"/>
      <c r="AI1270" s="131"/>
    </row>
    <row r="1271" spans="1:35">
      <c r="A1271" s="284"/>
      <c r="Y1271" s="284"/>
      <c r="Z1271" s="207"/>
      <c r="AI1271" s="131"/>
    </row>
    <row r="1272" spans="1:35">
      <c r="AI1272" s="131"/>
    </row>
    <row r="1273" spans="1:35">
      <c r="AI1273" s="131"/>
    </row>
    <row r="1274" spans="1:35">
      <c r="AI1274" s="131"/>
    </row>
    <row r="1275" spans="1:35">
      <c r="AI1275" s="284"/>
    </row>
    <row r="1276" spans="1:35">
      <c r="AI1276" s="27"/>
    </row>
    <row r="1277" spans="1:35">
      <c r="A1277" s="284"/>
      <c r="G1277" s="284"/>
      <c r="AI1277" s="284"/>
    </row>
    <row r="1278" spans="1:35">
      <c r="AI1278" s="131"/>
    </row>
    <row r="1279" spans="1:35">
      <c r="AI1279" s="131"/>
    </row>
    <row r="1280" spans="1:35" ht="26.4">
      <c r="A1280" s="284"/>
      <c r="B1280" s="284"/>
      <c r="C1280" s="284"/>
      <c r="D1280" s="284"/>
      <c r="E1280" s="284"/>
      <c r="F1280" s="284"/>
      <c r="H1280" s="284"/>
      <c r="I1280" s="284"/>
      <c r="J1280" s="284"/>
      <c r="K1280" s="284"/>
      <c r="L1280" s="284"/>
      <c r="M1280" s="113"/>
      <c r="N1280" s="113"/>
      <c r="T1280" s="340"/>
      <c r="V1280" s="342"/>
      <c r="W1280" s="64" ph="1"/>
      <c r="X1280" s="241"/>
      <c r="AA1280" s="284"/>
      <c r="AB1280" s="284"/>
      <c r="AC1280" s="284"/>
      <c r="AD1280" s="284"/>
      <c r="AE1280" s="284"/>
      <c r="AF1280" s="284"/>
      <c r="AG1280" s="8"/>
      <c r="AI1280" s="131"/>
    </row>
    <row r="1281" spans="1:35">
      <c r="A1281" s="284"/>
      <c r="Y1281" s="284"/>
      <c r="Z1281" s="207"/>
      <c r="AI1281" s="131"/>
    </row>
    <row r="1282" spans="1:35">
      <c r="AI1282" s="131"/>
    </row>
    <row r="1283" spans="1:35">
      <c r="AI1283" s="131"/>
    </row>
    <row r="1284" spans="1:35" ht="26.4">
      <c r="A1284" s="284"/>
      <c r="B1284" s="284"/>
      <c r="C1284" s="284"/>
      <c r="D1284" s="284"/>
      <c r="E1284" s="284"/>
      <c r="F1284" s="284"/>
      <c r="H1284" s="284"/>
      <c r="I1284" s="284"/>
      <c r="J1284" s="284"/>
      <c r="K1284" s="284"/>
      <c r="L1284" s="284"/>
      <c r="M1284" s="113"/>
      <c r="N1284" s="113"/>
      <c r="T1284" s="340"/>
      <c r="V1284" s="342"/>
      <c r="W1284" s="64" ph="1"/>
      <c r="X1284" s="241"/>
      <c r="AA1284" s="284"/>
      <c r="AB1284" s="284"/>
      <c r="AC1284" s="284"/>
      <c r="AD1284" s="284"/>
      <c r="AE1284" s="284"/>
      <c r="AF1284" s="284"/>
      <c r="AG1284" s="8"/>
      <c r="AI1284" s="131"/>
    </row>
    <row r="1285" spans="1:35">
      <c r="A1285" s="284"/>
      <c r="Y1285" s="284"/>
      <c r="Z1285" s="207"/>
      <c r="AI1285" s="131"/>
    </row>
    <row r="1286" spans="1:35">
      <c r="AI1286" s="131"/>
    </row>
    <row r="1287" spans="1:35">
      <c r="A1287" s="284"/>
      <c r="G1287" s="284"/>
      <c r="O1287" s="335"/>
      <c r="AI1287" s="131"/>
    </row>
    <row r="1288" spans="1:35">
      <c r="AI1288" s="131"/>
    </row>
    <row r="1289" spans="1:35" ht="26.4">
      <c r="A1289" s="284"/>
      <c r="B1289" s="284"/>
      <c r="C1289" s="284"/>
      <c r="D1289" s="284"/>
      <c r="E1289" s="284"/>
      <c r="F1289" s="284"/>
      <c r="H1289" s="284"/>
      <c r="I1289" s="284"/>
      <c r="J1289" s="284"/>
      <c r="K1289" s="284"/>
      <c r="L1289" s="284"/>
      <c r="M1289" s="113"/>
      <c r="N1289" s="113"/>
      <c r="T1289" s="340"/>
      <c r="V1289" s="342"/>
      <c r="W1289" s="64" ph="1"/>
      <c r="X1289" s="241"/>
      <c r="AA1289" s="284"/>
      <c r="AB1289" s="284"/>
      <c r="AC1289" s="284"/>
      <c r="AD1289" s="284"/>
      <c r="AE1289" s="284"/>
      <c r="AF1289" s="284"/>
      <c r="AG1289" s="8"/>
      <c r="AI1289" s="131"/>
    </row>
    <row r="1290" spans="1:35" ht="26.4">
      <c r="A1290" s="284"/>
      <c r="B1290" s="284"/>
      <c r="C1290" s="284"/>
      <c r="D1290" s="284"/>
      <c r="E1290" s="284"/>
      <c r="F1290" s="284"/>
      <c r="H1290" s="284"/>
      <c r="I1290" s="284"/>
      <c r="J1290" s="284"/>
      <c r="K1290" s="284"/>
      <c r="L1290" s="284"/>
      <c r="M1290" s="113"/>
      <c r="N1290" s="113"/>
      <c r="T1290" s="340"/>
      <c r="V1290" s="342"/>
      <c r="W1290" s="64" ph="1"/>
      <c r="X1290" s="241"/>
      <c r="Y1290" s="284"/>
      <c r="Z1290" s="207"/>
      <c r="AA1290" s="284"/>
      <c r="AB1290" s="284"/>
      <c r="AC1290" s="284"/>
      <c r="AD1290" s="284"/>
      <c r="AE1290" s="284"/>
      <c r="AF1290" s="284"/>
      <c r="AG1290" s="8"/>
      <c r="AI1290" s="131"/>
    </row>
    <row r="1291" spans="1:35" ht="26.4">
      <c r="A1291" s="284"/>
      <c r="B1291" s="284"/>
      <c r="C1291" s="284"/>
      <c r="D1291" s="284"/>
      <c r="E1291" s="284"/>
      <c r="F1291" s="284"/>
      <c r="G1291" s="284"/>
      <c r="H1291" s="284"/>
      <c r="I1291" s="284"/>
      <c r="J1291" s="284"/>
      <c r="K1291" s="284"/>
      <c r="L1291" s="284"/>
      <c r="M1291" s="113"/>
      <c r="N1291" s="113"/>
      <c r="T1291" s="340"/>
      <c r="V1291" s="342"/>
      <c r="W1291" s="64" ph="1"/>
      <c r="X1291" s="241"/>
      <c r="Y1291" s="284"/>
      <c r="Z1291" s="207"/>
      <c r="AA1291" s="284"/>
      <c r="AB1291" s="284"/>
      <c r="AC1291" s="284"/>
      <c r="AD1291" s="284"/>
      <c r="AE1291" s="284"/>
      <c r="AF1291" s="284"/>
      <c r="AG1291" s="8"/>
      <c r="AI1291" s="131"/>
    </row>
    <row r="1292" spans="1:35">
      <c r="A1292" s="284"/>
      <c r="Y1292" s="284"/>
      <c r="Z1292" s="207"/>
      <c r="AI1292" s="131"/>
    </row>
    <row r="1293" spans="1:35" ht="26.4">
      <c r="A1293" s="284"/>
      <c r="B1293" s="284"/>
      <c r="C1293" s="284"/>
      <c r="D1293" s="284"/>
      <c r="E1293" s="284"/>
      <c r="F1293" s="284"/>
      <c r="H1293" s="284"/>
      <c r="I1293" s="284"/>
      <c r="J1293" s="284"/>
      <c r="K1293" s="284"/>
      <c r="L1293" s="284"/>
      <c r="M1293" s="113"/>
      <c r="N1293" s="113"/>
      <c r="T1293" s="340"/>
      <c r="V1293" s="342"/>
      <c r="W1293" s="64" ph="1"/>
      <c r="X1293" s="241"/>
      <c r="AA1293" s="284"/>
      <c r="AB1293" s="284"/>
      <c r="AC1293" s="284"/>
      <c r="AD1293" s="284"/>
      <c r="AE1293" s="284"/>
      <c r="AF1293" s="284"/>
      <c r="AG1293" s="8"/>
      <c r="AI1293" s="131"/>
    </row>
    <row r="1294" spans="1:35" ht="26.4">
      <c r="A1294" s="284"/>
      <c r="B1294" s="284"/>
      <c r="C1294" s="284"/>
      <c r="D1294" s="284"/>
      <c r="E1294" s="284"/>
      <c r="F1294" s="284"/>
      <c r="H1294" s="284"/>
      <c r="I1294" s="284"/>
      <c r="J1294" s="284"/>
      <c r="K1294" s="284"/>
      <c r="L1294" s="284"/>
      <c r="M1294" s="113"/>
      <c r="N1294" s="113"/>
      <c r="T1294" s="340"/>
      <c r="V1294" s="342"/>
      <c r="W1294" s="64" ph="1"/>
      <c r="X1294" s="241"/>
      <c r="Y1294" s="284"/>
      <c r="Z1294" s="207"/>
      <c r="AA1294" s="284"/>
      <c r="AB1294" s="284"/>
      <c r="AC1294" s="284"/>
      <c r="AD1294" s="284"/>
      <c r="AE1294" s="284"/>
      <c r="AF1294" s="284"/>
      <c r="AG1294" s="8"/>
      <c r="AI1294" s="131"/>
    </row>
    <row r="1295" spans="1:35">
      <c r="A1295" s="284"/>
      <c r="Y1295" s="284"/>
      <c r="Z1295" s="207"/>
      <c r="AI1295" s="131"/>
    </row>
    <row r="1296" spans="1:35" ht="26.4">
      <c r="A1296" s="284"/>
      <c r="B1296" s="284"/>
      <c r="C1296" s="284"/>
      <c r="D1296" s="284"/>
      <c r="E1296" s="284"/>
      <c r="F1296" s="284"/>
      <c r="G1296" s="284"/>
      <c r="H1296" s="284"/>
      <c r="I1296" s="284"/>
      <c r="J1296" s="284"/>
      <c r="K1296" s="284"/>
      <c r="L1296" s="284"/>
      <c r="M1296" s="113"/>
      <c r="N1296" s="113"/>
      <c r="T1296" s="340"/>
      <c r="V1296" s="342"/>
      <c r="W1296" s="64" ph="1"/>
      <c r="X1296" s="241"/>
      <c r="AA1296" s="284"/>
      <c r="AB1296" s="284"/>
      <c r="AC1296" s="284"/>
      <c r="AD1296" s="284"/>
      <c r="AE1296" s="284"/>
      <c r="AF1296" s="284"/>
      <c r="AG1296" s="8"/>
      <c r="AI1296" s="131"/>
    </row>
    <row r="1297" spans="1:35">
      <c r="A1297" s="284"/>
      <c r="G1297" s="284"/>
      <c r="O1297" s="335"/>
      <c r="Y1297" s="284"/>
      <c r="Z1297" s="207"/>
      <c r="AI1297" s="131"/>
    </row>
    <row r="1298" spans="1:35" ht="26.4">
      <c r="A1298" s="284"/>
      <c r="B1298" s="284"/>
      <c r="C1298" s="284"/>
      <c r="D1298" s="284"/>
      <c r="E1298" s="284"/>
      <c r="F1298" s="284"/>
      <c r="G1298" s="284"/>
      <c r="H1298" s="284"/>
      <c r="I1298" s="284"/>
      <c r="J1298" s="284"/>
      <c r="K1298" s="284"/>
      <c r="L1298" s="284"/>
      <c r="M1298" s="113"/>
      <c r="N1298" s="113"/>
      <c r="T1298" s="340"/>
      <c r="V1298" s="342"/>
      <c r="W1298" s="64" ph="1"/>
      <c r="X1298" s="241"/>
      <c r="AA1298" s="284"/>
      <c r="AB1298" s="284"/>
      <c r="AC1298" s="284"/>
      <c r="AD1298" s="284"/>
      <c r="AE1298" s="284"/>
      <c r="AF1298" s="284"/>
      <c r="AG1298" s="8"/>
      <c r="AI1298" s="131"/>
    </row>
    <row r="1299" spans="1:35" ht="26.4">
      <c r="A1299" s="284"/>
      <c r="B1299" s="284"/>
      <c r="C1299" s="284"/>
      <c r="D1299" s="284"/>
      <c r="E1299" s="284"/>
      <c r="F1299" s="284"/>
      <c r="H1299" s="284"/>
      <c r="I1299" s="284"/>
      <c r="J1299" s="284"/>
      <c r="K1299" s="284"/>
      <c r="L1299" s="284"/>
      <c r="M1299" s="113"/>
      <c r="N1299" s="113"/>
      <c r="T1299" s="340"/>
      <c r="V1299" s="342"/>
      <c r="W1299" s="64" ph="1"/>
      <c r="X1299" s="241"/>
      <c r="Y1299" s="284"/>
      <c r="Z1299" s="207"/>
      <c r="AA1299" s="284"/>
      <c r="AB1299" s="284"/>
      <c r="AC1299" s="284"/>
      <c r="AD1299" s="284"/>
      <c r="AE1299" s="284"/>
      <c r="AF1299" s="284"/>
      <c r="AG1299" s="8"/>
      <c r="AI1299" s="284"/>
    </row>
    <row r="1300" spans="1:35" ht="26.4">
      <c r="A1300" s="284"/>
      <c r="B1300" s="284"/>
      <c r="C1300" s="284"/>
      <c r="D1300" s="284"/>
      <c r="E1300" s="284"/>
      <c r="F1300" s="284"/>
      <c r="G1300" s="284"/>
      <c r="H1300" s="284"/>
      <c r="I1300" s="284"/>
      <c r="J1300" s="284"/>
      <c r="K1300" s="284"/>
      <c r="L1300" s="284"/>
      <c r="M1300" s="113"/>
      <c r="N1300" s="113"/>
      <c r="T1300" s="340"/>
      <c r="V1300" s="342"/>
      <c r="W1300" s="64" ph="1"/>
      <c r="X1300" s="241"/>
      <c r="Y1300" s="284"/>
      <c r="Z1300" s="207"/>
      <c r="AA1300" s="284"/>
      <c r="AB1300" s="284"/>
      <c r="AC1300" s="284"/>
      <c r="AD1300" s="284"/>
      <c r="AE1300" s="284"/>
      <c r="AF1300" s="284"/>
      <c r="AG1300" s="8"/>
      <c r="AI1300" s="284"/>
    </row>
    <row r="1301" spans="1:35" ht="26.4">
      <c r="A1301" s="284"/>
      <c r="B1301" s="284"/>
      <c r="C1301" s="284"/>
      <c r="D1301" s="284"/>
      <c r="E1301" s="284"/>
      <c r="F1301" s="284"/>
      <c r="G1301" s="284"/>
      <c r="H1301" s="284"/>
      <c r="I1301" s="284"/>
      <c r="J1301" s="284"/>
      <c r="K1301" s="284"/>
      <c r="L1301" s="284"/>
      <c r="M1301" s="113"/>
      <c r="N1301" s="113"/>
      <c r="O1301" s="335"/>
      <c r="T1301" s="340"/>
      <c r="V1301" s="342"/>
      <c r="W1301" s="64" ph="1"/>
      <c r="X1301" s="241"/>
      <c r="Y1301" s="284"/>
      <c r="Z1301" s="207"/>
      <c r="AA1301" s="284"/>
      <c r="AB1301" s="284"/>
      <c r="AC1301" s="284"/>
      <c r="AD1301" s="284"/>
      <c r="AE1301" s="284"/>
      <c r="AF1301" s="284"/>
      <c r="AG1301" s="8"/>
      <c r="AI1301" s="28"/>
    </row>
    <row r="1302" spans="1:35" ht="26.4">
      <c r="A1302" s="284"/>
      <c r="B1302" s="284"/>
      <c r="C1302" s="284"/>
      <c r="D1302" s="284"/>
      <c r="E1302" s="284"/>
      <c r="F1302" s="284"/>
      <c r="H1302" s="284"/>
      <c r="I1302" s="284"/>
      <c r="J1302" s="284"/>
      <c r="K1302" s="284"/>
      <c r="L1302" s="284"/>
      <c r="M1302" s="113"/>
      <c r="N1302" s="113"/>
      <c r="T1302" s="340"/>
      <c r="V1302" s="342"/>
      <c r="W1302" s="64" ph="1"/>
      <c r="X1302" s="241"/>
      <c r="Y1302" s="284"/>
      <c r="Z1302" s="207"/>
      <c r="AA1302" s="284"/>
      <c r="AB1302" s="284"/>
      <c r="AC1302" s="284"/>
      <c r="AD1302" s="284"/>
      <c r="AE1302" s="284"/>
      <c r="AF1302" s="284"/>
      <c r="AG1302" s="8"/>
      <c r="AI1302" s="131"/>
    </row>
    <row r="1303" spans="1:35" ht="26.4">
      <c r="A1303" s="284"/>
      <c r="B1303" s="284"/>
      <c r="C1303" s="284"/>
      <c r="D1303" s="284"/>
      <c r="E1303" s="284"/>
      <c r="F1303" s="284"/>
      <c r="G1303" s="284"/>
      <c r="H1303" s="284"/>
      <c r="I1303" s="284"/>
      <c r="J1303" s="284"/>
      <c r="K1303" s="284"/>
      <c r="L1303" s="284"/>
      <c r="M1303" s="113"/>
      <c r="N1303" s="113"/>
      <c r="T1303" s="340"/>
      <c r="V1303" s="342"/>
      <c r="W1303" s="64" ph="1"/>
      <c r="X1303" s="241"/>
      <c r="Y1303" s="284"/>
      <c r="Z1303" s="207"/>
      <c r="AA1303" s="284"/>
      <c r="AB1303" s="284"/>
      <c r="AC1303" s="284"/>
      <c r="AD1303" s="284"/>
      <c r="AE1303" s="284"/>
      <c r="AF1303" s="284"/>
      <c r="AG1303" s="8"/>
      <c r="AI1303" s="131"/>
    </row>
    <row r="1304" spans="1:35" ht="26.4">
      <c r="A1304" s="284"/>
      <c r="B1304" s="284"/>
      <c r="C1304" s="284"/>
      <c r="D1304" s="284"/>
      <c r="E1304" s="284"/>
      <c r="F1304" s="284"/>
      <c r="H1304" s="284"/>
      <c r="I1304" s="284"/>
      <c r="J1304" s="284"/>
      <c r="K1304" s="284"/>
      <c r="L1304" s="284"/>
      <c r="M1304" s="113"/>
      <c r="N1304" s="113"/>
      <c r="T1304" s="340"/>
      <c r="V1304" s="342"/>
      <c r="W1304" s="64" ph="1"/>
      <c r="X1304" s="241"/>
      <c r="Y1304" s="284"/>
      <c r="Z1304" s="207"/>
      <c r="AA1304" s="284"/>
      <c r="AB1304" s="284"/>
      <c r="AC1304" s="284"/>
      <c r="AD1304" s="284"/>
      <c r="AE1304" s="284"/>
      <c r="AF1304" s="284"/>
      <c r="AG1304" s="8"/>
      <c r="AI1304" s="131"/>
    </row>
    <row r="1305" spans="1:35" ht="26.4">
      <c r="A1305" s="284"/>
      <c r="B1305" s="284"/>
      <c r="C1305" s="284"/>
      <c r="D1305" s="284"/>
      <c r="E1305" s="284"/>
      <c r="F1305" s="284"/>
      <c r="G1305" s="284"/>
      <c r="H1305" s="284"/>
      <c r="I1305" s="284"/>
      <c r="J1305" s="284"/>
      <c r="K1305" s="284"/>
      <c r="L1305" s="284"/>
      <c r="M1305" s="113"/>
      <c r="N1305" s="113"/>
      <c r="T1305" s="340"/>
      <c r="V1305" s="342"/>
      <c r="W1305" s="64" ph="1"/>
      <c r="X1305" s="241"/>
      <c r="Y1305" s="284"/>
      <c r="Z1305" s="207"/>
      <c r="AA1305" s="284"/>
      <c r="AB1305" s="284"/>
      <c r="AC1305" s="284"/>
      <c r="AD1305" s="284"/>
      <c r="AE1305" s="284"/>
      <c r="AF1305" s="284"/>
      <c r="AG1305" s="8"/>
      <c r="AI1305" s="131"/>
    </row>
    <row r="1306" spans="1:35" ht="26.4">
      <c r="A1306" s="284"/>
      <c r="G1306" s="284"/>
      <c r="O1306" s="335"/>
      <c r="W1306" s="64" ph="1"/>
      <c r="Y1306" s="284"/>
      <c r="Z1306" s="207"/>
      <c r="AI1306" s="131"/>
    </row>
    <row r="1307" spans="1:35" ht="26.4">
      <c r="A1307" s="284"/>
      <c r="G1307" s="284"/>
      <c r="O1307" s="335"/>
      <c r="W1307" s="64" ph="1"/>
      <c r="AI1307" s="131"/>
    </row>
    <row r="1308" spans="1:35">
      <c r="A1308" s="284"/>
      <c r="G1308" s="284"/>
      <c r="O1308" s="335"/>
      <c r="AI1308" s="131"/>
    </row>
    <row r="1309" spans="1:35" ht="26.4">
      <c r="A1309" s="284"/>
      <c r="G1309" s="284"/>
      <c r="W1309" s="64" ph="1"/>
      <c r="AI1309" s="131"/>
    </row>
    <row r="1310" spans="1:35" ht="26.4">
      <c r="A1310" s="284"/>
      <c r="G1310" s="284"/>
      <c r="O1310" s="335"/>
      <c r="W1310" s="64" ph="1"/>
      <c r="AI1310" s="131"/>
    </row>
    <row r="1311" spans="1:35" ht="26.4">
      <c r="A1311" s="284"/>
      <c r="G1311" s="284"/>
      <c r="O1311" s="335"/>
      <c r="W1311" s="64" ph="1"/>
      <c r="AI1311" s="131"/>
    </row>
    <row r="1312" spans="1:35" ht="26.4">
      <c r="A1312" s="284"/>
      <c r="G1312" s="284"/>
      <c r="W1312" s="64" ph="1"/>
      <c r="AI1312" s="131"/>
    </row>
    <row r="1313" spans="1:35" ht="26.4">
      <c r="A1313" s="284"/>
      <c r="O1313" s="335"/>
      <c r="W1313" s="64" ph="1"/>
      <c r="AI1313" s="131"/>
    </row>
    <row r="1314" spans="1:35" ht="26.4">
      <c r="A1314" s="284"/>
      <c r="B1314" s="284"/>
      <c r="C1314" s="284"/>
      <c r="D1314" s="284"/>
      <c r="E1314" s="284"/>
      <c r="F1314" s="284"/>
      <c r="G1314" s="284"/>
      <c r="H1314" s="284"/>
      <c r="I1314" s="284"/>
      <c r="J1314" s="284"/>
      <c r="K1314" s="284"/>
      <c r="L1314" s="284"/>
      <c r="M1314" s="113"/>
      <c r="N1314" s="113"/>
      <c r="T1314" s="340"/>
      <c r="V1314" s="342"/>
      <c r="W1314" s="64" ph="1"/>
      <c r="X1314" s="241"/>
      <c r="Y1314" s="284"/>
      <c r="Z1314" s="207"/>
      <c r="AA1314" s="284"/>
      <c r="AB1314" s="284"/>
      <c r="AC1314" s="284"/>
      <c r="AD1314" s="284"/>
      <c r="AE1314" s="284"/>
      <c r="AF1314" s="284"/>
      <c r="AG1314" s="284"/>
      <c r="AI1314" s="131"/>
    </row>
    <row r="1315" spans="1:35" ht="26.4">
      <c r="A1315" s="284"/>
      <c r="B1315" s="284"/>
      <c r="C1315" s="284"/>
      <c r="D1315" s="284"/>
      <c r="E1315" s="284"/>
      <c r="F1315" s="284"/>
      <c r="G1315" s="284"/>
      <c r="H1315" s="284"/>
      <c r="I1315" s="284"/>
      <c r="J1315" s="284"/>
      <c r="K1315" s="284"/>
      <c r="L1315" s="284"/>
      <c r="M1315" s="113"/>
      <c r="N1315" s="113"/>
      <c r="O1315" s="335"/>
      <c r="T1315" s="340"/>
      <c r="V1315" s="342"/>
      <c r="W1315" s="64" ph="1"/>
      <c r="X1315" s="241"/>
      <c r="Y1315" s="284"/>
      <c r="Z1315" s="207"/>
      <c r="AA1315" s="284"/>
      <c r="AB1315" s="284"/>
      <c r="AC1315" s="284"/>
      <c r="AD1315" s="284"/>
      <c r="AE1315" s="284"/>
      <c r="AF1315" s="284"/>
      <c r="AG1315" s="284"/>
      <c r="AI1315" s="284"/>
    </row>
    <row r="1316" spans="1:35" ht="26.4">
      <c r="A1316" s="284"/>
      <c r="B1316" s="284"/>
      <c r="C1316" s="284"/>
      <c r="D1316" s="284"/>
      <c r="E1316" s="284"/>
      <c r="F1316" s="284"/>
      <c r="G1316" s="284"/>
      <c r="H1316" s="284"/>
      <c r="I1316" s="284"/>
      <c r="J1316" s="284"/>
      <c r="K1316" s="284"/>
      <c r="L1316" s="284"/>
      <c r="M1316" s="113"/>
      <c r="N1316" s="113"/>
      <c r="O1316" s="335"/>
      <c r="T1316" s="340"/>
      <c r="V1316" s="342"/>
      <c r="W1316" s="64" ph="1"/>
      <c r="X1316" s="241"/>
      <c r="Y1316" s="284"/>
      <c r="Z1316" s="207"/>
      <c r="AA1316" s="284"/>
      <c r="AB1316" s="284"/>
      <c r="AC1316" s="284"/>
      <c r="AD1316" s="284"/>
      <c r="AE1316" s="284"/>
      <c r="AF1316" s="284"/>
      <c r="AG1316" s="284"/>
      <c r="AI1316" s="131"/>
    </row>
    <row r="1317" spans="1:35">
      <c r="O1317" s="335"/>
      <c r="AI1317" s="131"/>
    </row>
    <row r="1318" spans="1:35" ht="26.4">
      <c r="A1318" s="284"/>
      <c r="B1318" s="284"/>
      <c r="C1318" s="284"/>
      <c r="D1318" s="284"/>
      <c r="E1318" s="284"/>
      <c r="F1318" s="284"/>
      <c r="G1318" s="284"/>
      <c r="H1318" s="284"/>
      <c r="I1318" s="284"/>
      <c r="J1318" s="284"/>
      <c r="K1318" s="284"/>
      <c r="L1318" s="284"/>
      <c r="M1318" s="113"/>
      <c r="N1318" s="113"/>
      <c r="O1318" s="335"/>
      <c r="T1318" s="340"/>
      <c r="V1318" s="342"/>
      <c r="W1318" s="64" ph="1"/>
      <c r="X1318" s="241"/>
      <c r="Y1318" s="284"/>
      <c r="Z1318" s="207"/>
      <c r="AA1318" s="284"/>
      <c r="AB1318" s="284"/>
      <c r="AC1318" s="284"/>
      <c r="AD1318" s="284"/>
      <c r="AE1318" s="284"/>
      <c r="AF1318" s="284"/>
      <c r="AG1318" s="284"/>
      <c r="AI1318" s="131"/>
    </row>
    <row r="1319" spans="1:35" ht="26.4">
      <c r="A1319" s="284"/>
      <c r="B1319" s="284"/>
      <c r="C1319" s="284"/>
      <c r="D1319" s="284"/>
      <c r="E1319" s="284"/>
      <c r="F1319" s="284"/>
      <c r="G1319" s="284"/>
      <c r="H1319" s="284"/>
      <c r="I1319" s="284"/>
      <c r="J1319" s="284"/>
      <c r="K1319" s="284"/>
      <c r="L1319" s="284"/>
      <c r="M1319" s="113"/>
      <c r="N1319" s="113"/>
      <c r="O1319" s="335"/>
      <c r="T1319" s="340"/>
      <c r="V1319" s="342"/>
      <c r="W1319" s="64" ph="1"/>
      <c r="X1319" s="241"/>
      <c r="Y1319" s="284"/>
      <c r="Z1319" s="207"/>
      <c r="AA1319" s="284"/>
      <c r="AB1319" s="284"/>
      <c r="AC1319" s="284"/>
      <c r="AD1319" s="284"/>
      <c r="AE1319" s="284"/>
      <c r="AF1319" s="284"/>
      <c r="AG1319" s="284"/>
      <c r="AI1319" s="131"/>
    </row>
    <row r="1320" spans="1:35" ht="26.4">
      <c r="A1320" s="284"/>
      <c r="B1320" s="284"/>
      <c r="C1320" s="284"/>
      <c r="D1320" s="284"/>
      <c r="E1320" s="284"/>
      <c r="F1320" s="284"/>
      <c r="G1320" s="284"/>
      <c r="H1320" s="284"/>
      <c r="I1320" s="284"/>
      <c r="J1320" s="284"/>
      <c r="K1320" s="284"/>
      <c r="L1320" s="284"/>
      <c r="M1320" s="113"/>
      <c r="N1320" s="113"/>
      <c r="O1320" s="335"/>
      <c r="T1320" s="340"/>
      <c r="V1320" s="342"/>
      <c r="W1320" s="64" ph="1"/>
      <c r="X1320" s="241"/>
      <c r="Y1320" s="284"/>
      <c r="Z1320" s="207"/>
      <c r="AA1320" s="284"/>
      <c r="AB1320" s="284"/>
      <c r="AC1320" s="284"/>
      <c r="AD1320" s="284"/>
      <c r="AE1320" s="284"/>
      <c r="AF1320" s="284"/>
      <c r="AG1320" s="284"/>
      <c r="AI1320" s="131"/>
    </row>
    <row r="1321" spans="1:35" ht="26.4">
      <c r="A1321" s="284"/>
      <c r="B1321" s="284"/>
      <c r="C1321" s="284"/>
      <c r="D1321" s="284"/>
      <c r="E1321" s="284"/>
      <c r="F1321" s="284"/>
      <c r="G1321" s="284"/>
      <c r="H1321" s="284"/>
      <c r="I1321" s="284"/>
      <c r="J1321" s="284"/>
      <c r="K1321" s="284"/>
      <c r="L1321" s="284"/>
      <c r="M1321" s="113"/>
      <c r="N1321" s="113"/>
      <c r="O1321" s="335"/>
      <c r="T1321" s="340"/>
      <c r="V1321" s="342"/>
      <c r="W1321" s="64" ph="1"/>
      <c r="X1321" s="241"/>
      <c r="Y1321" s="284"/>
      <c r="Z1321" s="207"/>
      <c r="AA1321" s="284"/>
      <c r="AB1321" s="284"/>
      <c r="AC1321" s="284"/>
      <c r="AD1321" s="284"/>
      <c r="AE1321" s="284"/>
      <c r="AF1321" s="284"/>
      <c r="AG1321" s="284"/>
      <c r="AI1321" s="131"/>
    </row>
    <row r="1322" spans="1:35">
      <c r="O1322" s="335"/>
      <c r="AI1322" s="131"/>
    </row>
    <row r="1323" spans="1:35">
      <c r="AI1323" s="131"/>
    </row>
    <row r="1324" spans="1:35">
      <c r="AI1324" s="131"/>
    </row>
    <row r="1325" spans="1:35">
      <c r="AI1325" s="131"/>
    </row>
    <row r="1326" spans="1:35">
      <c r="AI1326" s="131"/>
    </row>
    <row r="1327" spans="1:35">
      <c r="AI1327" s="28"/>
    </row>
    <row r="1328" spans="1:35">
      <c r="AI1328" s="131"/>
    </row>
    <row r="1329" spans="15:35">
      <c r="AI1329" s="131"/>
    </row>
    <row r="1330" spans="15:35">
      <c r="AI1330" s="131"/>
    </row>
    <row r="1331" spans="15:35">
      <c r="O1331" s="335"/>
      <c r="AI1331" s="131"/>
    </row>
    <row r="1332" spans="15:35">
      <c r="O1332" s="335"/>
      <c r="AI1332" s="131"/>
    </row>
    <row r="1333" spans="15:35">
      <c r="O1333" s="335"/>
      <c r="AI1333" s="131"/>
    </row>
    <row r="1334" spans="15:35">
      <c r="AI1334" s="128"/>
    </row>
    <row r="1335" spans="15:35">
      <c r="O1335" s="335"/>
      <c r="AI1335" s="131"/>
    </row>
    <row r="1336" spans="15:35">
      <c r="O1336" s="335"/>
      <c r="AI1336" s="131"/>
    </row>
    <row r="1337" spans="15:35">
      <c r="O1337" s="335"/>
      <c r="AI1337" s="131"/>
    </row>
    <row r="1338" spans="15:35">
      <c r="O1338" s="335"/>
      <c r="AI1338" s="131"/>
    </row>
    <row r="1339" spans="15:35">
      <c r="AI1339" s="131"/>
    </row>
    <row r="1340" spans="15:35">
      <c r="AI1340" s="131"/>
    </row>
    <row r="1341" spans="15:35">
      <c r="AI1341" s="131"/>
    </row>
    <row r="1342" spans="15:35">
      <c r="AI1342" s="131"/>
    </row>
    <row r="1343" spans="15:35">
      <c r="AI1343" s="131"/>
    </row>
    <row r="1344" spans="15:35">
      <c r="AI1344" s="131"/>
    </row>
    <row r="1345" spans="35:35">
      <c r="AI1345" s="131"/>
    </row>
    <row r="1346" spans="35:35">
      <c r="AI1346" s="131"/>
    </row>
    <row r="1347" spans="35:35">
      <c r="AI1347" s="131"/>
    </row>
    <row r="1348" spans="35:35">
      <c r="AI1348" s="131"/>
    </row>
    <row r="1349" spans="35:35">
      <c r="AI1349" s="131"/>
    </row>
    <row r="1350" spans="35:35">
      <c r="AI1350" s="131"/>
    </row>
    <row r="1351" spans="35:35">
      <c r="AI1351" s="131"/>
    </row>
    <row r="1352" spans="35:35">
      <c r="AI1352" s="131"/>
    </row>
    <row r="1353" spans="35:35">
      <c r="AI1353" s="131"/>
    </row>
    <row r="1354" spans="35:35">
      <c r="AI1354" s="131"/>
    </row>
    <row r="1355" spans="35:35">
      <c r="AI1355" s="131"/>
    </row>
    <row r="1356" spans="35:35">
      <c r="AI1356" s="131"/>
    </row>
    <row r="1357" spans="35:35">
      <c r="AI1357" s="131"/>
    </row>
    <row r="1358" spans="35:35">
      <c r="AI1358" s="131"/>
    </row>
    <row r="1359" spans="35:35">
      <c r="AI1359" s="131"/>
    </row>
    <row r="1360" spans="35:35">
      <c r="AI1360" s="131"/>
    </row>
    <row r="1361" spans="35:35">
      <c r="AI1361" s="131"/>
    </row>
    <row r="1362" spans="35:35">
      <c r="AI1362" s="131"/>
    </row>
    <row r="1363" spans="35:35">
      <c r="AI1363" s="131"/>
    </row>
    <row r="1364" spans="35:35">
      <c r="AI1364" s="131"/>
    </row>
    <row r="1365" spans="35:35">
      <c r="AI1365" s="131"/>
    </row>
    <row r="1366" spans="35:35">
      <c r="AI1366" s="131"/>
    </row>
    <row r="1367" spans="35:35">
      <c r="AI1367" s="131"/>
    </row>
    <row r="1368" spans="35:35">
      <c r="AI1368" s="131"/>
    </row>
    <row r="1369" spans="35:35">
      <c r="AI1369" s="131"/>
    </row>
    <row r="1370" spans="35:35">
      <c r="AI1370" s="131"/>
    </row>
    <row r="1371" spans="35:35">
      <c r="AI1371" s="131"/>
    </row>
    <row r="1372" spans="35:35">
      <c r="AI1372" s="131"/>
    </row>
    <row r="1373" spans="35:35">
      <c r="AI1373" s="131"/>
    </row>
    <row r="1374" spans="35:35">
      <c r="AI1374" s="284"/>
    </row>
    <row r="1375" spans="35:35">
      <c r="AI1375" s="131"/>
    </row>
    <row r="1376" spans="35:35">
      <c r="AI1376" s="131"/>
    </row>
    <row r="1377" spans="35:35">
      <c r="AI1377" s="131"/>
    </row>
    <row r="1378" spans="35:35">
      <c r="AI1378" s="131"/>
    </row>
    <row r="1379" spans="35:35">
      <c r="AI1379" s="286"/>
    </row>
    <row r="1380" spans="35:35">
      <c r="AI1380" s="131"/>
    </row>
    <row r="1381" spans="35:35">
      <c r="AI1381" s="131"/>
    </row>
    <row r="1382" spans="35:35">
      <c r="AI1382" s="131"/>
    </row>
    <row r="1383" spans="35:35">
      <c r="AI1383" s="131"/>
    </row>
    <row r="1384" spans="35:35">
      <c r="AI1384" s="131"/>
    </row>
    <row r="1385" spans="35:35">
      <c r="AI1385" s="131"/>
    </row>
    <row r="1386" spans="35:35">
      <c r="AI1386" s="236"/>
    </row>
    <row r="1387" spans="35:35">
      <c r="AI1387" s="131"/>
    </row>
    <row r="1388" spans="35:35">
      <c r="AI1388" s="131"/>
    </row>
    <row r="1389" spans="35:35">
      <c r="AI1389" s="131"/>
    </row>
    <row r="1390" spans="35:35">
      <c r="AI1390" s="131"/>
    </row>
    <row r="1391" spans="35:35">
      <c r="AI1391" s="131"/>
    </row>
    <row r="1392" spans="35:35">
      <c r="AI1392" s="131"/>
    </row>
    <row r="1393" spans="35:35">
      <c r="AI1393" s="131"/>
    </row>
    <row r="1394" spans="35:35">
      <c r="AI1394" s="131"/>
    </row>
    <row r="1395" spans="35:35">
      <c r="AI1395" s="131"/>
    </row>
    <row r="1396" spans="35:35">
      <c r="AI1396" s="131"/>
    </row>
    <row r="1397" spans="35:35">
      <c r="AI1397" s="284"/>
    </row>
    <row r="1398" spans="35:35">
      <c r="AI1398" s="131"/>
    </row>
    <row r="1399" spans="35:35">
      <c r="AI1399" s="131"/>
    </row>
    <row r="1400" spans="35:35">
      <c r="AI1400" s="131"/>
    </row>
    <row r="1401" spans="35:35">
      <c r="AI1401" s="131"/>
    </row>
    <row r="1402" spans="35:35">
      <c r="AI1402" s="131"/>
    </row>
    <row r="1403" spans="35:35">
      <c r="AI1403" s="131"/>
    </row>
    <row r="1404" spans="35:35">
      <c r="AI1404" s="131"/>
    </row>
    <row r="1405" spans="35:35">
      <c r="AI1405" s="131"/>
    </row>
    <row r="1406" spans="35:35">
      <c r="AI1406" s="131"/>
    </row>
    <row r="1407" spans="35:35">
      <c r="AI1407" s="131"/>
    </row>
    <row r="1408" spans="35:35">
      <c r="AI1408" s="131"/>
    </row>
    <row r="1409" spans="35:35">
      <c r="AI1409" s="284"/>
    </row>
    <row r="1410" spans="35:35">
      <c r="AI1410" s="131"/>
    </row>
    <row r="1411" spans="35:35">
      <c r="AI1411" s="28"/>
    </row>
    <row r="1412" spans="35:35">
      <c r="AI1412" s="284"/>
    </row>
    <row r="1413" spans="35:35">
      <c r="AI1413" s="131"/>
    </row>
    <row r="1414" spans="35:35">
      <c r="AI1414" s="131"/>
    </row>
    <row r="1415" spans="35:35">
      <c r="AI1415" s="131"/>
    </row>
    <row r="1416" spans="35:35">
      <c r="AI1416" s="131"/>
    </row>
    <row r="1417" spans="35:35">
      <c r="AI1417" s="284"/>
    </row>
    <row r="1418" spans="35:35">
      <c r="AI1418" s="131"/>
    </row>
    <row r="1419" spans="35:35">
      <c r="AI1419" s="131"/>
    </row>
    <row r="1420" spans="35:35">
      <c r="AI1420" s="131"/>
    </row>
    <row r="1421" spans="35:35">
      <c r="AI1421" s="131"/>
    </row>
    <row r="1422" spans="35:35">
      <c r="AI1422" s="131"/>
    </row>
    <row r="1423" spans="35:35">
      <c r="AI1423" s="131"/>
    </row>
    <row r="1424" spans="35:35">
      <c r="AI1424" s="131"/>
    </row>
    <row r="1425" spans="35:35">
      <c r="AI1425" s="131"/>
    </row>
    <row r="1426" spans="35:35">
      <c r="AI1426" s="131"/>
    </row>
    <row r="1427" spans="35:35">
      <c r="AI1427" s="131"/>
    </row>
    <row r="1428" spans="35:35">
      <c r="AI1428" s="131"/>
    </row>
    <row r="1429" spans="35:35">
      <c r="AI1429" s="131"/>
    </row>
    <row r="1430" spans="35:35">
      <c r="AI1430" s="131"/>
    </row>
    <row r="1431" spans="35:35">
      <c r="AI1431" s="131"/>
    </row>
    <row r="1432" spans="35:35">
      <c r="AI1432" s="131"/>
    </row>
    <row r="1433" spans="35:35">
      <c r="AI1433" s="131"/>
    </row>
    <row r="1434" spans="35:35">
      <c r="AI1434" s="131"/>
    </row>
    <row r="1435" spans="35:35">
      <c r="AI1435" s="131"/>
    </row>
    <row r="1436" spans="35:35">
      <c r="AI1436" s="131"/>
    </row>
    <row r="1437" spans="35:35">
      <c r="AI1437" s="284"/>
    </row>
    <row r="1438" spans="35:35">
      <c r="AI1438" s="131"/>
    </row>
    <row r="1439" spans="35:35">
      <c r="AI1439" s="131"/>
    </row>
    <row r="1440" spans="35:35">
      <c r="AI1440" s="131"/>
    </row>
    <row r="1441" spans="1:35">
      <c r="AI1441" s="131"/>
    </row>
    <row r="1442" spans="1:35">
      <c r="AI1442" s="131"/>
    </row>
    <row r="1443" spans="1:35">
      <c r="AI1443" s="131"/>
    </row>
    <row r="1444" spans="1:35">
      <c r="AI1444" s="131"/>
    </row>
    <row r="1445" spans="1:35">
      <c r="AI1445" s="131"/>
    </row>
    <row r="1446" spans="1:35">
      <c r="AI1446" s="131"/>
    </row>
    <row r="1447" spans="1:35" ht="26.4">
      <c r="A1447" s="284"/>
      <c r="B1447" s="284"/>
      <c r="C1447" s="284"/>
      <c r="D1447" s="284"/>
      <c r="E1447" s="284"/>
      <c r="F1447" s="284"/>
      <c r="G1447" s="284"/>
      <c r="H1447" s="284"/>
      <c r="I1447" s="284"/>
      <c r="J1447" s="284"/>
      <c r="K1447" s="284"/>
      <c r="L1447" s="284"/>
      <c r="M1447" s="113"/>
      <c r="N1447" s="113"/>
      <c r="T1447" s="340"/>
      <c r="V1447" s="342"/>
      <c r="W1447" s="64" ph="1"/>
      <c r="X1447" s="241"/>
      <c r="Y1447" s="284"/>
      <c r="Z1447" s="207"/>
      <c r="AA1447" s="284"/>
      <c r="AB1447" s="284"/>
      <c r="AC1447" s="284"/>
      <c r="AD1447" s="284"/>
      <c r="AE1447" s="284"/>
      <c r="AF1447" s="284"/>
      <c r="AG1447" s="284"/>
      <c r="AI1447" s="131"/>
    </row>
    <row r="1448" spans="1:35">
      <c r="AI1448" s="131"/>
    </row>
    <row r="1449" spans="1:35">
      <c r="AI1449" s="131"/>
    </row>
    <row r="1450" spans="1:35">
      <c r="AI1450" s="131"/>
    </row>
    <row r="1451" spans="1:35">
      <c r="AI1451" s="131"/>
    </row>
    <row r="1452" spans="1:35">
      <c r="AI1452" s="131"/>
    </row>
    <row r="1453" spans="1:35">
      <c r="AI1453" s="131"/>
    </row>
    <row r="1454" spans="1:35">
      <c r="AI1454" s="131"/>
    </row>
    <row r="1455" spans="1:35">
      <c r="AI1455" s="131"/>
    </row>
    <row r="1456" spans="1:35">
      <c r="AI1456" s="131"/>
    </row>
    <row r="1457" spans="1:35" ht="26.4">
      <c r="A1457" s="284"/>
      <c r="B1457" s="284"/>
      <c r="C1457" s="284"/>
      <c r="D1457" s="284"/>
      <c r="E1457" s="284"/>
      <c r="F1457" s="284"/>
      <c r="G1457" s="284"/>
      <c r="H1457" s="284"/>
      <c r="I1457" s="284"/>
      <c r="J1457" s="284"/>
      <c r="K1457" s="284"/>
      <c r="L1457" s="284"/>
      <c r="M1457" s="113"/>
      <c r="N1457" s="113"/>
      <c r="T1457" s="340"/>
      <c r="V1457" s="342"/>
      <c r="W1457" s="64" ph="1"/>
      <c r="X1457" s="241"/>
      <c r="Y1457" s="284"/>
      <c r="Z1457" s="207"/>
      <c r="AA1457" s="284"/>
      <c r="AB1457" s="284"/>
      <c r="AC1457" s="284"/>
      <c r="AD1457" s="284"/>
      <c r="AE1457" s="284"/>
      <c r="AF1457" s="284"/>
      <c r="AG1457" s="284"/>
      <c r="AI1457" s="131"/>
    </row>
    <row r="1458" spans="1:35">
      <c r="AI1458" s="131"/>
    </row>
    <row r="1459" spans="1:35">
      <c r="AI1459" s="131"/>
    </row>
    <row r="1460" spans="1:35">
      <c r="AI1460" s="131"/>
    </row>
    <row r="1461" spans="1:35" ht="26.4">
      <c r="A1461" s="284"/>
      <c r="B1461" s="284"/>
      <c r="C1461" s="284"/>
      <c r="D1461" s="284"/>
      <c r="E1461" s="284"/>
      <c r="F1461" s="284"/>
      <c r="G1461" s="284"/>
      <c r="H1461" s="284"/>
      <c r="I1461" s="284"/>
      <c r="J1461" s="284"/>
      <c r="K1461" s="284"/>
      <c r="L1461" s="284"/>
      <c r="M1461" s="113"/>
      <c r="N1461" s="113"/>
      <c r="T1461" s="340"/>
      <c r="V1461" s="342"/>
      <c r="W1461" s="64" ph="1"/>
      <c r="X1461" s="241"/>
      <c r="Y1461" s="284"/>
      <c r="Z1461" s="207"/>
      <c r="AA1461" s="284"/>
      <c r="AB1461" s="284"/>
      <c r="AC1461" s="284"/>
      <c r="AD1461" s="284"/>
      <c r="AE1461" s="284"/>
      <c r="AF1461" s="284"/>
      <c r="AG1461" s="284"/>
      <c r="AI1461" s="131"/>
    </row>
    <row r="1462" spans="1:35">
      <c r="AI1462" s="131"/>
    </row>
    <row r="1463" spans="1:35">
      <c r="AI1463" s="131"/>
    </row>
    <row r="1464" spans="1:35">
      <c r="O1464" s="335"/>
      <c r="AI1464" s="131"/>
    </row>
    <row r="1465" spans="1:35">
      <c r="AI1465" s="131"/>
    </row>
    <row r="1466" spans="1:35" ht="26.4">
      <c r="A1466" s="284"/>
      <c r="B1466" s="284"/>
      <c r="C1466" s="284"/>
      <c r="D1466" s="284"/>
      <c r="E1466" s="284"/>
      <c r="F1466" s="284"/>
      <c r="G1466" s="284"/>
      <c r="H1466" s="284"/>
      <c r="I1466" s="284"/>
      <c r="J1466" s="284"/>
      <c r="K1466" s="284"/>
      <c r="L1466" s="284"/>
      <c r="M1466" s="113"/>
      <c r="N1466" s="113"/>
      <c r="T1466" s="340"/>
      <c r="V1466" s="342"/>
      <c r="W1466" s="64" ph="1"/>
      <c r="X1466" s="241"/>
      <c r="Y1466" s="284"/>
      <c r="Z1466" s="207"/>
      <c r="AA1466" s="284"/>
      <c r="AB1466" s="284"/>
      <c r="AC1466" s="284"/>
      <c r="AD1466" s="284"/>
      <c r="AE1466" s="284"/>
      <c r="AF1466" s="284"/>
      <c r="AG1466" s="284"/>
      <c r="AI1466" s="131"/>
    </row>
    <row r="1467" spans="1:35" ht="26.4">
      <c r="A1467" s="284"/>
      <c r="B1467" s="284"/>
      <c r="C1467" s="284"/>
      <c r="D1467" s="284"/>
      <c r="E1467" s="284"/>
      <c r="F1467" s="284"/>
      <c r="G1467" s="284"/>
      <c r="H1467" s="284"/>
      <c r="I1467" s="284"/>
      <c r="J1467" s="284"/>
      <c r="K1467" s="284"/>
      <c r="L1467" s="284"/>
      <c r="M1467" s="113"/>
      <c r="N1467" s="113"/>
      <c r="T1467" s="340"/>
      <c r="V1467" s="342"/>
      <c r="W1467" s="64" ph="1"/>
      <c r="X1467" s="241"/>
      <c r="Y1467" s="284"/>
      <c r="Z1467" s="207"/>
      <c r="AA1467" s="284"/>
      <c r="AB1467" s="284"/>
      <c r="AC1467" s="284"/>
      <c r="AD1467" s="284"/>
      <c r="AE1467" s="284"/>
      <c r="AF1467" s="284"/>
      <c r="AG1467" s="284"/>
      <c r="AI1467" s="131"/>
    </row>
    <row r="1468" spans="1:35" ht="26.4">
      <c r="A1468" s="284"/>
      <c r="B1468" s="284"/>
      <c r="C1468" s="284"/>
      <c r="D1468" s="284"/>
      <c r="E1468" s="284"/>
      <c r="F1468" s="284"/>
      <c r="G1468" s="284"/>
      <c r="H1468" s="284"/>
      <c r="I1468" s="284"/>
      <c r="J1468" s="284"/>
      <c r="K1468" s="284"/>
      <c r="L1468" s="284"/>
      <c r="M1468" s="113"/>
      <c r="N1468" s="113"/>
      <c r="T1468" s="340"/>
      <c r="V1468" s="342"/>
      <c r="W1468" s="64" ph="1"/>
      <c r="X1468" s="241"/>
      <c r="Y1468" s="284"/>
      <c r="Z1468" s="207"/>
      <c r="AA1468" s="284"/>
      <c r="AB1468" s="284"/>
      <c r="AC1468" s="284"/>
      <c r="AD1468" s="284"/>
      <c r="AE1468" s="284"/>
      <c r="AF1468" s="284"/>
      <c r="AG1468" s="284"/>
      <c r="AI1468" s="131"/>
    </row>
    <row r="1469" spans="1:35">
      <c r="AI1469" s="131"/>
    </row>
    <row r="1470" spans="1:35" ht="26.4">
      <c r="A1470" s="284"/>
      <c r="B1470" s="284"/>
      <c r="C1470" s="284"/>
      <c r="D1470" s="284"/>
      <c r="E1470" s="284"/>
      <c r="F1470" s="284"/>
      <c r="G1470" s="284"/>
      <c r="H1470" s="284"/>
      <c r="I1470" s="284"/>
      <c r="J1470" s="284"/>
      <c r="K1470" s="284"/>
      <c r="L1470" s="284"/>
      <c r="M1470" s="113"/>
      <c r="N1470" s="113"/>
      <c r="T1470" s="340"/>
      <c r="V1470" s="342"/>
      <c r="W1470" s="64" ph="1"/>
      <c r="X1470" s="241"/>
      <c r="Y1470" s="284"/>
      <c r="Z1470" s="207"/>
      <c r="AA1470" s="284"/>
      <c r="AB1470" s="284"/>
      <c r="AC1470" s="284"/>
      <c r="AD1470" s="284"/>
      <c r="AE1470" s="284"/>
      <c r="AF1470" s="284"/>
      <c r="AG1470" s="284"/>
      <c r="AI1470" s="131"/>
    </row>
    <row r="1471" spans="1:35" ht="26.4">
      <c r="A1471" s="284"/>
      <c r="B1471" s="284"/>
      <c r="C1471" s="284"/>
      <c r="D1471" s="284"/>
      <c r="E1471" s="284"/>
      <c r="F1471" s="284"/>
      <c r="G1471" s="284"/>
      <c r="H1471" s="284"/>
      <c r="I1471" s="284"/>
      <c r="J1471" s="284"/>
      <c r="K1471" s="284"/>
      <c r="L1471" s="284"/>
      <c r="M1471" s="113"/>
      <c r="N1471" s="113"/>
      <c r="T1471" s="340"/>
      <c r="V1471" s="342"/>
      <c r="W1471" s="64" ph="1"/>
      <c r="X1471" s="241"/>
      <c r="Y1471" s="284"/>
      <c r="Z1471" s="207"/>
      <c r="AA1471" s="284"/>
      <c r="AB1471" s="284"/>
      <c r="AC1471" s="284"/>
      <c r="AD1471" s="284"/>
      <c r="AE1471" s="284"/>
      <c r="AF1471" s="284"/>
      <c r="AG1471" s="284"/>
      <c r="AI1471" s="131"/>
    </row>
    <row r="1472" spans="1:35">
      <c r="AI1472" s="131"/>
    </row>
    <row r="1473" spans="1:35" ht="26.4">
      <c r="A1473" s="284"/>
      <c r="B1473" s="284"/>
      <c r="C1473" s="284"/>
      <c r="D1473" s="284"/>
      <c r="E1473" s="284"/>
      <c r="F1473" s="284"/>
      <c r="G1473" s="284"/>
      <c r="H1473" s="284"/>
      <c r="I1473" s="284"/>
      <c r="J1473" s="284"/>
      <c r="K1473" s="284"/>
      <c r="L1473" s="284"/>
      <c r="M1473" s="113"/>
      <c r="N1473" s="113"/>
      <c r="T1473" s="340"/>
      <c r="V1473" s="342"/>
      <c r="W1473" s="64" ph="1"/>
      <c r="X1473" s="241"/>
      <c r="Y1473" s="284"/>
      <c r="Z1473" s="207"/>
      <c r="AA1473" s="284"/>
      <c r="AB1473" s="284"/>
      <c r="AC1473" s="284"/>
      <c r="AD1473" s="284"/>
      <c r="AE1473" s="284"/>
      <c r="AF1473" s="284"/>
      <c r="AG1473" s="284"/>
      <c r="AI1473" s="131"/>
    </row>
    <row r="1474" spans="1:35">
      <c r="O1474" s="335"/>
      <c r="AI1474" s="131"/>
    </row>
    <row r="1475" spans="1:35" ht="26.4">
      <c r="A1475" s="284"/>
      <c r="B1475" s="284"/>
      <c r="C1475" s="284"/>
      <c r="D1475" s="284"/>
      <c r="E1475" s="284"/>
      <c r="F1475" s="284"/>
      <c r="G1475" s="284"/>
      <c r="H1475" s="284"/>
      <c r="I1475" s="284"/>
      <c r="J1475" s="284"/>
      <c r="K1475" s="284"/>
      <c r="L1475" s="284"/>
      <c r="M1475" s="113"/>
      <c r="N1475" s="113"/>
      <c r="T1475" s="340"/>
      <c r="V1475" s="342"/>
      <c r="W1475" s="64" ph="1"/>
      <c r="X1475" s="241"/>
      <c r="Y1475" s="284"/>
      <c r="Z1475" s="207"/>
      <c r="AA1475" s="284"/>
      <c r="AB1475" s="284"/>
      <c r="AC1475" s="284"/>
      <c r="AD1475" s="284"/>
      <c r="AE1475" s="284"/>
      <c r="AF1475" s="284"/>
      <c r="AG1475" s="284"/>
      <c r="AI1475" s="131"/>
    </row>
    <row r="1476" spans="1:35" ht="26.4">
      <c r="A1476" s="284"/>
      <c r="B1476" s="284"/>
      <c r="C1476" s="284"/>
      <c r="D1476" s="284"/>
      <c r="E1476" s="284"/>
      <c r="F1476" s="284"/>
      <c r="G1476" s="284"/>
      <c r="H1476" s="284"/>
      <c r="I1476" s="284"/>
      <c r="J1476" s="284"/>
      <c r="K1476" s="284"/>
      <c r="L1476" s="284"/>
      <c r="M1476" s="113"/>
      <c r="N1476" s="113"/>
      <c r="T1476" s="340"/>
      <c r="V1476" s="342"/>
      <c r="W1476" s="64" ph="1"/>
      <c r="X1476" s="241"/>
      <c r="Y1476" s="284"/>
      <c r="Z1476" s="207"/>
      <c r="AA1476" s="284"/>
      <c r="AB1476" s="284"/>
      <c r="AC1476" s="284"/>
      <c r="AD1476" s="284"/>
      <c r="AE1476" s="284"/>
      <c r="AF1476" s="284"/>
      <c r="AG1476" s="284"/>
      <c r="AI1476" s="284"/>
    </row>
    <row r="1477" spans="1:35" ht="26.4">
      <c r="A1477" s="284"/>
      <c r="B1477" s="284"/>
      <c r="C1477" s="284"/>
      <c r="D1477" s="284"/>
      <c r="E1477" s="284"/>
      <c r="F1477" s="284"/>
      <c r="G1477" s="284"/>
      <c r="H1477" s="284"/>
      <c r="I1477" s="284"/>
      <c r="J1477" s="284"/>
      <c r="K1477" s="284"/>
      <c r="L1477" s="284"/>
      <c r="M1477" s="113"/>
      <c r="N1477" s="113"/>
      <c r="T1477" s="340"/>
      <c r="V1477" s="342"/>
      <c r="W1477" s="64" ph="1"/>
      <c r="X1477" s="241"/>
      <c r="Y1477" s="284"/>
      <c r="Z1477" s="207"/>
      <c r="AA1477" s="284"/>
      <c r="AB1477" s="284"/>
      <c r="AC1477" s="284"/>
      <c r="AD1477" s="284"/>
      <c r="AE1477" s="284"/>
      <c r="AF1477" s="284"/>
      <c r="AG1477" s="284"/>
      <c r="AI1477" s="131"/>
    </row>
    <row r="1478" spans="1:35" ht="26.4">
      <c r="A1478" s="284"/>
      <c r="B1478" s="284"/>
      <c r="C1478" s="284"/>
      <c r="D1478" s="284"/>
      <c r="E1478" s="284"/>
      <c r="F1478" s="284"/>
      <c r="G1478" s="284"/>
      <c r="H1478" s="284"/>
      <c r="I1478" s="284"/>
      <c r="J1478" s="284"/>
      <c r="K1478" s="284"/>
      <c r="L1478" s="284"/>
      <c r="M1478" s="113"/>
      <c r="N1478" s="113"/>
      <c r="O1478" s="335"/>
      <c r="T1478" s="340"/>
      <c r="V1478" s="342"/>
      <c r="W1478" s="64" ph="1"/>
      <c r="X1478" s="241"/>
      <c r="Y1478" s="284"/>
      <c r="Z1478" s="207"/>
      <c r="AA1478" s="284"/>
      <c r="AB1478" s="284"/>
      <c r="AC1478" s="284"/>
      <c r="AD1478" s="284"/>
      <c r="AE1478" s="284"/>
      <c r="AF1478" s="284"/>
      <c r="AG1478" s="284"/>
      <c r="AI1478" s="131"/>
    </row>
    <row r="1479" spans="1:35" ht="26.4">
      <c r="A1479" s="284"/>
      <c r="B1479" s="284"/>
      <c r="C1479" s="284"/>
      <c r="D1479" s="284"/>
      <c r="E1479" s="284"/>
      <c r="F1479" s="284"/>
      <c r="G1479" s="284"/>
      <c r="H1479" s="284"/>
      <c r="I1479" s="284"/>
      <c r="J1479" s="284"/>
      <c r="K1479" s="284"/>
      <c r="L1479" s="284"/>
      <c r="M1479" s="113"/>
      <c r="N1479" s="113"/>
      <c r="T1479" s="340"/>
      <c r="V1479" s="342"/>
      <c r="W1479" s="64" ph="1"/>
      <c r="X1479" s="241"/>
      <c r="Y1479" s="284"/>
      <c r="Z1479" s="207"/>
      <c r="AA1479" s="284"/>
      <c r="AB1479" s="284"/>
      <c r="AC1479" s="284"/>
      <c r="AD1479" s="284"/>
      <c r="AE1479" s="284"/>
      <c r="AF1479" s="284"/>
      <c r="AG1479" s="284"/>
      <c r="AI1479" s="131"/>
    </row>
    <row r="1480" spans="1:35" ht="26.4">
      <c r="A1480" s="284"/>
      <c r="B1480" s="284"/>
      <c r="C1480" s="284"/>
      <c r="D1480" s="284"/>
      <c r="E1480" s="284"/>
      <c r="F1480" s="284"/>
      <c r="G1480" s="284"/>
      <c r="H1480" s="284"/>
      <c r="I1480" s="284"/>
      <c r="J1480" s="284"/>
      <c r="K1480" s="284"/>
      <c r="L1480" s="284"/>
      <c r="M1480" s="113"/>
      <c r="N1480" s="113"/>
      <c r="T1480" s="340"/>
      <c r="V1480" s="342"/>
      <c r="W1480" s="64" ph="1"/>
      <c r="X1480" s="241"/>
      <c r="Y1480" s="284"/>
      <c r="Z1480" s="207"/>
      <c r="AA1480" s="284"/>
      <c r="AB1480" s="284"/>
      <c r="AC1480" s="284"/>
      <c r="AD1480" s="284"/>
      <c r="AE1480" s="284"/>
      <c r="AF1480" s="284"/>
      <c r="AG1480" s="284"/>
      <c r="AI1480" s="131"/>
    </row>
    <row r="1481" spans="1:35" ht="26.4">
      <c r="A1481" s="284"/>
      <c r="B1481" s="284"/>
      <c r="C1481" s="284"/>
      <c r="D1481" s="284"/>
      <c r="E1481" s="284"/>
      <c r="F1481" s="284"/>
      <c r="G1481" s="284"/>
      <c r="H1481" s="284"/>
      <c r="I1481" s="284"/>
      <c r="J1481" s="284"/>
      <c r="K1481" s="284"/>
      <c r="L1481" s="284"/>
      <c r="M1481" s="113"/>
      <c r="N1481" s="113"/>
      <c r="T1481" s="340"/>
      <c r="V1481" s="342"/>
      <c r="W1481" s="64" ph="1"/>
      <c r="X1481" s="241"/>
      <c r="Y1481" s="284"/>
      <c r="Z1481" s="207"/>
      <c r="AA1481" s="284"/>
      <c r="AB1481" s="284"/>
      <c r="AC1481" s="284"/>
      <c r="AD1481" s="284"/>
      <c r="AE1481" s="284"/>
      <c r="AF1481" s="284"/>
      <c r="AG1481" s="284"/>
      <c r="AI1481" s="131"/>
    </row>
    <row r="1482" spans="1:35" ht="26.4">
      <c r="A1482" s="284"/>
      <c r="B1482" s="284"/>
      <c r="C1482" s="284"/>
      <c r="D1482" s="284"/>
      <c r="E1482" s="284"/>
      <c r="F1482" s="284"/>
      <c r="G1482" s="284"/>
      <c r="H1482" s="284"/>
      <c r="I1482" s="284"/>
      <c r="J1482" s="284"/>
      <c r="K1482" s="284"/>
      <c r="L1482" s="284"/>
      <c r="M1482" s="113"/>
      <c r="N1482" s="113"/>
      <c r="T1482" s="340"/>
      <c r="V1482" s="342"/>
      <c r="W1482" s="64" ph="1"/>
      <c r="X1482" s="241"/>
      <c r="Y1482" s="284"/>
      <c r="Z1482" s="207"/>
      <c r="AA1482" s="284"/>
      <c r="AB1482" s="284"/>
      <c r="AC1482" s="284"/>
      <c r="AD1482" s="284"/>
      <c r="AE1482" s="284"/>
      <c r="AF1482" s="284"/>
      <c r="AG1482" s="284"/>
      <c r="AI1482" s="131"/>
    </row>
    <row r="1483" spans="1:35" ht="26.4">
      <c r="A1483" s="284"/>
      <c r="B1483" s="284"/>
      <c r="C1483" s="284"/>
      <c r="D1483" s="284"/>
      <c r="E1483" s="284"/>
      <c r="F1483" s="284"/>
      <c r="G1483" s="284"/>
      <c r="H1483" s="284"/>
      <c r="I1483" s="284"/>
      <c r="J1483" s="284"/>
      <c r="K1483" s="284"/>
      <c r="L1483" s="284"/>
      <c r="M1483" s="113"/>
      <c r="N1483" s="113"/>
      <c r="O1483" s="335"/>
      <c r="T1483" s="340"/>
      <c r="V1483" s="342"/>
      <c r="W1483" s="64" ph="1"/>
      <c r="X1483" s="241"/>
      <c r="Y1483" s="284"/>
      <c r="Z1483" s="207"/>
      <c r="AA1483" s="284"/>
      <c r="AB1483" s="284"/>
      <c r="AC1483" s="284"/>
      <c r="AD1483" s="284"/>
      <c r="AE1483" s="284"/>
      <c r="AF1483" s="284"/>
      <c r="AG1483" s="284"/>
      <c r="AI1483" s="131"/>
    </row>
    <row r="1484" spans="1:35" ht="26.4">
      <c r="A1484" s="284"/>
      <c r="B1484" s="284"/>
      <c r="C1484" s="284"/>
      <c r="D1484" s="284"/>
      <c r="E1484" s="284"/>
      <c r="F1484" s="284"/>
      <c r="G1484" s="284"/>
      <c r="H1484" s="284"/>
      <c r="I1484" s="284"/>
      <c r="J1484" s="284"/>
      <c r="K1484" s="284"/>
      <c r="L1484" s="284"/>
      <c r="M1484" s="113"/>
      <c r="N1484" s="113"/>
      <c r="O1484" s="335"/>
      <c r="T1484" s="340"/>
      <c r="V1484" s="342"/>
      <c r="W1484" s="64" ph="1"/>
      <c r="X1484" s="241"/>
      <c r="Y1484" s="284"/>
      <c r="Z1484" s="207"/>
      <c r="AA1484" s="284"/>
      <c r="AB1484" s="284"/>
      <c r="AC1484" s="284"/>
      <c r="AD1484" s="284"/>
      <c r="AE1484" s="284"/>
      <c r="AF1484" s="284"/>
      <c r="AG1484" s="284"/>
      <c r="AI1484" s="131"/>
    </row>
    <row r="1485" spans="1:35">
      <c r="O1485" s="335"/>
      <c r="AI1485" s="131"/>
    </row>
    <row r="1486" spans="1:35" ht="26.4">
      <c r="A1486" s="284"/>
      <c r="B1486" s="284"/>
      <c r="C1486" s="284"/>
      <c r="D1486" s="284"/>
      <c r="E1486" s="284"/>
      <c r="F1486" s="284"/>
      <c r="G1486" s="284"/>
      <c r="H1486" s="284"/>
      <c r="I1486" s="284"/>
      <c r="J1486" s="284"/>
      <c r="K1486" s="284"/>
      <c r="L1486" s="284"/>
      <c r="M1486" s="113"/>
      <c r="N1486" s="113"/>
      <c r="T1486" s="340"/>
      <c r="V1486" s="342"/>
      <c r="W1486" s="64" ph="1"/>
      <c r="X1486" s="241"/>
      <c r="Y1486" s="284"/>
      <c r="Z1486" s="207"/>
      <c r="AA1486" s="284"/>
      <c r="AB1486" s="284"/>
      <c r="AC1486" s="284"/>
      <c r="AD1486" s="284"/>
      <c r="AE1486" s="284"/>
      <c r="AF1486" s="284"/>
      <c r="AG1486" s="284"/>
      <c r="AI1486" s="131"/>
    </row>
    <row r="1487" spans="1:35" ht="26.4">
      <c r="A1487" s="284"/>
      <c r="B1487" s="284"/>
      <c r="C1487" s="284"/>
      <c r="D1487" s="284"/>
      <c r="E1487" s="284"/>
      <c r="F1487" s="284"/>
      <c r="G1487" s="284"/>
      <c r="H1487" s="284"/>
      <c r="I1487" s="284"/>
      <c r="J1487" s="284"/>
      <c r="K1487" s="284"/>
      <c r="L1487" s="284"/>
      <c r="M1487" s="113"/>
      <c r="N1487" s="113"/>
      <c r="O1487" s="335"/>
      <c r="T1487" s="340"/>
      <c r="V1487" s="342"/>
      <c r="W1487" s="64" ph="1"/>
      <c r="X1487" s="241"/>
      <c r="Y1487" s="284"/>
      <c r="Z1487" s="207"/>
      <c r="AA1487" s="284"/>
      <c r="AB1487" s="284"/>
      <c r="AC1487" s="284"/>
      <c r="AD1487" s="284"/>
      <c r="AE1487" s="284"/>
      <c r="AF1487" s="284"/>
      <c r="AG1487" s="284"/>
      <c r="AI1487" s="131"/>
    </row>
    <row r="1488" spans="1:35" ht="26.4">
      <c r="A1488" s="284"/>
      <c r="B1488" s="284"/>
      <c r="C1488" s="284"/>
      <c r="D1488" s="284"/>
      <c r="E1488" s="284"/>
      <c r="F1488" s="284"/>
      <c r="G1488" s="284"/>
      <c r="H1488" s="284"/>
      <c r="I1488" s="284"/>
      <c r="J1488" s="284"/>
      <c r="K1488" s="284"/>
      <c r="L1488" s="284"/>
      <c r="M1488" s="113"/>
      <c r="N1488" s="113"/>
      <c r="O1488" s="335"/>
      <c r="T1488" s="340"/>
      <c r="V1488" s="342"/>
      <c r="W1488" s="64" ph="1"/>
      <c r="X1488" s="241"/>
      <c r="Y1488" s="284"/>
      <c r="Z1488" s="207"/>
      <c r="AA1488" s="284"/>
      <c r="AB1488" s="284"/>
      <c r="AC1488" s="284"/>
      <c r="AD1488" s="284"/>
      <c r="AE1488" s="284"/>
      <c r="AF1488" s="284"/>
      <c r="AG1488" s="284"/>
      <c r="AI1488" s="131"/>
    </row>
    <row r="1489" spans="1:35" ht="26.4">
      <c r="A1489" s="284"/>
      <c r="B1489" s="284"/>
      <c r="C1489" s="284"/>
      <c r="D1489" s="284"/>
      <c r="E1489" s="284"/>
      <c r="F1489" s="284"/>
      <c r="G1489" s="284"/>
      <c r="H1489" s="284"/>
      <c r="I1489" s="284"/>
      <c r="J1489" s="284"/>
      <c r="K1489" s="284"/>
      <c r="L1489" s="284"/>
      <c r="M1489" s="113"/>
      <c r="N1489" s="113"/>
      <c r="T1489" s="340"/>
      <c r="V1489" s="342"/>
      <c r="W1489" s="64" ph="1"/>
      <c r="X1489" s="241"/>
      <c r="Y1489" s="284"/>
      <c r="Z1489" s="207"/>
      <c r="AA1489" s="284"/>
      <c r="AB1489" s="284"/>
      <c r="AC1489" s="284"/>
      <c r="AD1489" s="284"/>
      <c r="AE1489" s="284"/>
      <c r="AF1489" s="284"/>
      <c r="AG1489" s="284"/>
      <c r="AI1489" s="131"/>
    </row>
    <row r="1490" spans="1:35" ht="26.4">
      <c r="A1490" s="284"/>
      <c r="B1490" s="284"/>
      <c r="C1490" s="284"/>
      <c r="D1490" s="284"/>
      <c r="E1490" s="284"/>
      <c r="F1490" s="284"/>
      <c r="G1490" s="284"/>
      <c r="H1490" s="284"/>
      <c r="I1490" s="284"/>
      <c r="J1490" s="284"/>
      <c r="K1490" s="284"/>
      <c r="L1490" s="284"/>
      <c r="M1490" s="113"/>
      <c r="N1490" s="113"/>
      <c r="O1490" s="335"/>
      <c r="T1490" s="340"/>
      <c r="V1490" s="342"/>
      <c r="W1490" s="64" ph="1"/>
      <c r="X1490" s="241"/>
      <c r="Y1490" s="284"/>
      <c r="Z1490" s="207"/>
      <c r="AA1490" s="284"/>
      <c r="AB1490" s="284"/>
      <c r="AC1490" s="284"/>
      <c r="AD1490" s="284"/>
      <c r="AE1490" s="284"/>
      <c r="AF1490" s="284"/>
      <c r="AG1490" s="284"/>
      <c r="AI1490" s="131"/>
    </row>
    <row r="1491" spans="1:35" ht="26.4">
      <c r="A1491" s="284"/>
      <c r="B1491" s="284"/>
      <c r="C1491" s="284"/>
      <c r="D1491" s="284"/>
      <c r="E1491" s="284"/>
      <c r="F1491" s="284"/>
      <c r="G1491" s="284"/>
      <c r="H1491" s="284"/>
      <c r="I1491" s="284"/>
      <c r="J1491" s="284"/>
      <c r="K1491" s="284"/>
      <c r="L1491" s="284"/>
      <c r="M1491" s="113"/>
      <c r="N1491" s="113"/>
      <c r="T1491" s="340"/>
      <c r="V1491" s="342"/>
      <c r="W1491" s="64" ph="1"/>
      <c r="X1491" s="241"/>
      <c r="Y1491" s="284"/>
      <c r="Z1491" s="207"/>
      <c r="AA1491" s="284"/>
      <c r="AB1491" s="284"/>
      <c r="AC1491" s="284"/>
      <c r="AD1491" s="284"/>
      <c r="AE1491" s="284"/>
      <c r="AF1491" s="284"/>
      <c r="AG1491" s="284"/>
      <c r="AI1491" s="131"/>
    </row>
    <row r="1492" spans="1:35" ht="26.4">
      <c r="A1492" s="284"/>
      <c r="B1492" s="284"/>
      <c r="C1492" s="284"/>
      <c r="D1492" s="284"/>
      <c r="E1492" s="284"/>
      <c r="F1492" s="284"/>
      <c r="G1492" s="284"/>
      <c r="H1492" s="284"/>
      <c r="I1492" s="284"/>
      <c r="J1492" s="284"/>
      <c r="K1492" s="284"/>
      <c r="L1492" s="284"/>
      <c r="M1492" s="113"/>
      <c r="N1492" s="113"/>
      <c r="O1492" s="335"/>
      <c r="T1492" s="340"/>
      <c r="V1492" s="342"/>
      <c r="W1492" s="64" ph="1"/>
      <c r="X1492" s="241"/>
      <c r="Y1492" s="284"/>
      <c r="Z1492" s="207"/>
      <c r="AA1492" s="284"/>
      <c r="AB1492" s="284"/>
      <c r="AC1492" s="284"/>
      <c r="AD1492" s="284"/>
      <c r="AE1492" s="284"/>
      <c r="AF1492" s="284"/>
      <c r="AG1492" s="284"/>
      <c r="AI1492" s="131"/>
    </row>
    <row r="1493" spans="1:35" ht="26.4">
      <c r="A1493" s="284"/>
      <c r="B1493" s="284"/>
      <c r="C1493" s="284"/>
      <c r="D1493" s="284"/>
      <c r="E1493" s="284"/>
      <c r="F1493" s="284"/>
      <c r="G1493" s="284"/>
      <c r="H1493" s="284"/>
      <c r="I1493" s="284"/>
      <c r="J1493" s="284"/>
      <c r="K1493" s="284"/>
      <c r="L1493" s="284"/>
      <c r="M1493" s="113"/>
      <c r="N1493" s="113"/>
      <c r="O1493" s="335"/>
      <c r="T1493" s="340"/>
      <c r="V1493" s="342"/>
      <c r="W1493" s="64" ph="1"/>
      <c r="X1493" s="241"/>
      <c r="Y1493" s="284"/>
      <c r="Z1493" s="207"/>
      <c r="AA1493" s="284"/>
      <c r="AB1493" s="284"/>
      <c r="AC1493" s="284"/>
      <c r="AD1493" s="284"/>
      <c r="AE1493" s="284"/>
      <c r="AF1493" s="284"/>
      <c r="AG1493" s="284"/>
      <c r="AI1493" s="131"/>
    </row>
    <row r="1494" spans="1:35">
      <c r="O1494" s="335"/>
      <c r="AI1494" s="131"/>
    </row>
    <row r="1495" spans="1:35" ht="26.4">
      <c r="A1495" s="284"/>
      <c r="B1495" s="284"/>
      <c r="C1495" s="284"/>
      <c r="D1495" s="284"/>
      <c r="E1495" s="284"/>
      <c r="F1495" s="284"/>
      <c r="G1495" s="284"/>
      <c r="H1495" s="284"/>
      <c r="I1495" s="284"/>
      <c r="J1495" s="284"/>
      <c r="K1495" s="284"/>
      <c r="L1495" s="284"/>
      <c r="M1495" s="113"/>
      <c r="N1495" s="113"/>
      <c r="O1495" s="335"/>
      <c r="T1495" s="340"/>
      <c r="V1495" s="342"/>
      <c r="W1495" s="64" ph="1"/>
      <c r="X1495" s="241"/>
      <c r="Y1495" s="284"/>
      <c r="Z1495" s="207"/>
      <c r="AA1495" s="284"/>
      <c r="AB1495" s="284"/>
      <c r="AC1495" s="284"/>
      <c r="AD1495" s="284"/>
      <c r="AE1495" s="284"/>
      <c r="AF1495" s="284"/>
      <c r="AG1495" s="284"/>
      <c r="AI1495" s="131"/>
    </row>
    <row r="1496" spans="1:35" ht="26.4">
      <c r="A1496" s="284"/>
      <c r="B1496" s="284"/>
      <c r="C1496" s="284"/>
      <c r="D1496" s="284"/>
      <c r="E1496" s="284"/>
      <c r="F1496" s="284"/>
      <c r="G1496" s="284"/>
      <c r="H1496" s="284"/>
      <c r="I1496" s="284"/>
      <c r="J1496" s="284"/>
      <c r="K1496" s="284"/>
      <c r="L1496" s="284"/>
      <c r="M1496" s="113"/>
      <c r="N1496" s="113"/>
      <c r="O1496" s="335"/>
      <c r="T1496" s="340"/>
      <c r="V1496" s="342"/>
      <c r="W1496" s="64" ph="1"/>
      <c r="X1496" s="241"/>
      <c r="Y1496" s="284"/>
      <c r="Z1496" s="207"/>
      <c r="AA1496" s="284"/>
      <c r="AB1496" s="284"/>
      <c r="AC1496" s="284"/>
      <c r="AD1496" s="284"/>
      <c r="AE1496" s="284"/>
      <c r="AF1496" s="284"/>
      <c r="AG1496" s="284"/>
      <c r="AI1496" s="131"/>
    </row>
    <row r="1497" spans="1:35" ht="26.4">
      <c r="A1497" s="284"/>
      <c r="B1497" s="284"/>
      <c r="C1497" s="284"/>
      <c r="D1497" s="284"/>
      <c r="E1497" s="284"/>
      <c r="F1497" s="284"/>
      <c r="G1497" s="284"/>
      <c r="H1497" s="284"/>
      <c r="I1497" s="284"/>
      <c r="J1497" s="284"/>
      <c r="K1497" s="284"/>
      <c r="L1497" s="284"/>
      <c r="M1497" s="113"/>
      <c r="N1497" s="113"/>
      <c r="O1497" s="335"/>
      <c r="T1497" s="340"/>
      <c r="V1497" s="342"/>
      <c r="W1497" s="64" ph="1"/>
      <c r="X1497" s="241"/>
      <c r="Y1497" s="284"/>
      <c r="Z1497" s="207"/>
      <c r="AA1497" s="284"/>
      <c r="AB1497" s="284"/>
      <c r="AC1497" s="284"/>
      <c r="AD1497" s="284"/>
      <c r="AE1497" s="284"/>
      <c r="AF1497" s="284"/>
      <c r="AG1497" s="284"/>
      <c r="AI1497" s="131"/>
    </row>
    <row r="1498" spans="1:35" ht="26.4">
      <c r="A1498" s="284"/>
      <c r="B1498" s="284"/>
      <c r="C1498" s="284"/>
      <c r="D1498" s="284"/>
      <c r="E1498" s="284"/>
      <c r="F1498" s="284"/>
      <c r="G1498" s="284"/>
      <c r="H1498" s="284"/>
      <c r="I1498" s="284"/>
      <c r="J1498" s="284"/>
      <c r="K1498" s="284"/>
      <c r="L1498" s="284"/>
      <c r="M1498" s="113"/>
      <c r="N1498" s="113"/>
      <c r="O1498" s="335"/>
      <c r="T1498" s="340"/>
      <c r="V1498" s="342"/>
      <c r="W1498" s="64" ph="1"/>
      <c r="X1498" s="241"/>
      <c r="Y1498" s="284"/>
      <c r="Z1498" s="207"/>
      <c r="AA1498" s="284"/>
      <c r="AB1498" s="284"/>
      <c r="AC1498" s="284"/>
      <c r="AD1498" s="284"/>
      <c r="AE1498" s="284"/>
      <c r="AF1498" s="284"/>
      <c r="AG1498" s="284"/>
      <c r="AI1498" s="131"/>
    </row>
    <row r="1499" spans="1:35" ht="26.4">
      <c r="A1499" s="284"/>
      <c r="B1499" s="284"/>
      <c r="C1499" s="284"/>
      <c r="D1499" s="284"/>
      <c r="E1499" s="284"/>
      <c r="F1499" s="284"/>
      <c r="G1499" s="284"/>
      <c r="H1499" s="284"/>
      <c r="I1499" s="284"/>
      <c r="J1499" s="284"/>
      <c r="K1499" s="284"/>
      <c r="L1499" s="284"/>
      <c r="M1499" s="113"/>
      <c r="N1499" s="113"/>
      <c r="O1499" s="335"/>
      <c r="T1499" s="340"/>
      <c r="V1499" s="342"/>
      <c r="W1499" s="64" ph="1"/>
      <c r="X1499" s="241"/>
      <c r="Y1499" s="284"/>
      <c r="Z1499" s="207"/>
      <c r="AA1499" s="284"/>
      <c r="AB1499" s="284"/>
      <c r="AC1499" s="284"/>
      <c r="AD1499" s="284"/>
      <c r="AE1499" s="284"/>
      <c r="AF1499" s="284"/>
      <c r="AG1499" s="284"/>
      <c r="AI1499" s="131"/>
    </row>
    <row r="1500" spans="1:35" ht="26.4">
      <c r="A1500" s="284"/>
      <c r="B1500" s="284"/>
      <c r="C1500" s="284"/>
      <c r="D1500" s="284"/>
      <c r="E1500" s="284"/>
      <c r="F1500" s="284"/>
      <c r="G1500" s="284"/>
      <c r="H1500" s="284"/>
      <c r="I1500" s="284"/>
      <c r="J1500" s="284"/>
      <c r="K1500" s="284"/>
      <c r="L1500" s="284"/>
      <c r="M1500" s="113"/>
      <c r="N1500" s="113"/>
      <c r="O1500" s="335"/>
      <c r="T1500" s="340"/>
      <c r="V1500" s="342"/>
      <c r="W1500" s="64" ph="1"/>
      <c r="X1500" s="241"/>
      <c r="Y1500" s="284"/>
      <c r="Z1500" s="207"/>
      <c r="AA1500" s="284"/>
      <c r="AB1500" s="284"/>
      <c r="AC1500" s="284"/>
      <c r="AD1500" s="284"/>
      <c r="AE1500" s="284"/>
      <c r="AF1500" s="284"/>
      <c r="AG1500" s="284"/>
      <c r="AI1500" s="131"/>
    </row>
    <row r="1501" spans="1:35" ht="26.4">
      <c r="A1501" s="284"/>
      <c r="B1501" s="284"/>
      <c r="C1501" s="284"/>
      <c r="D1501" s="284"/>
      <c r="E1501" s="284"/>
      <c r="F1501" s="284"/>
      <c r="G1501" s="284"/>
      <c r="H1501" s="284"/>
      <c r="I1501" s="284"/>
      <c r="J1501" s="284"/>
      <c r="K1501" s="284"/>
      <c r="L1501" s="284"/>
      <c r="M1501" s="113"/>
      <c r="N1501" s="113"/>
      <c r="O1501" s="335"/>
      <c r="T1501" s="340"/>
      <c r="V1501" s="342"/>
      <c r="W1501" s="64" ph="1"/>
      <c r="X1501" s="241"/>
      <c r="Y1501" s="284"/>
      <c r="Z1501" s="207"/>
      <c r="AA1501" s="284"/>
      <c r="AB1501" s="284"/>
      <c r="AC1501" s="284"/>
      <c r="AD1501" s="284"/>
      <c r="AE1501" s="284"/>
      <c r="AF1501" s="284"/>
      <c r="AG1501" s="284"/>
      <c r="AI1501" s="131"/>
    </row>
    <row r="1502" spans="1:35" ht="26.4">
      <c r="A1502" s="284"/>
      <c r="B1502" s="284"/>
      <c r="C1502" s="284"/>
      <c r="D1502" s="284"/>
      <c r="E1502" s="284"/>
      <c r="F1502" s="284"/>
      <c r="G1502" s="284"/>
      <c r="H1502" s="284"/>
      <c r="I1502" s="284"/>
      <c r="J1502" s="284"/>
      <c r="K1502" s="284"/>
      <c r="L1502" s="284"/>
      <c r="M1502" s="113"/>
      <c r="N1502" s="113"/>
      <c r="T1502" s="340"/>
      <c r="V1502" s="342"/>
      <c r="W1502" s="64" ph="1"/>
      <c r="X1502" s="241"/>
      <c r="Y1502" s="284"/>
      <c r="Z1502" s="207"/>
      <c r="AA1502" s="284"/>
      <c r="AB1502" s="284"/>
      <c r="AC1502" s="284"/>
      <c r="AD1502" s="284"/>
      <c r="AE1502" s="284"/>
      <c r="AF1502" s="284"/>
      <c r="AG1502" s="284"/>
      <c r="AI1502" s="131"/>
    </row>
    <row r="1503" spans="1:35" ht="26.4">
      <c r="A1503" s="284"/>
      <c r="B1503" s="284"/>
      <c r="C1503" s="284"/>
      <c r="D1503" s="284"/>
      <c r="E1503" s="284"/>
      <c r="F1503" s="284"/>
      <c r="G1503" s="284"/>
      <c r="H1503" s="284"/>
      <c r="I1503" s="284"/>
      <c r="J1503" s="284"/>
      <c r="K1503" s="284"/>
      <c r="L1503" s="284"/>
      <c r="M1503" s="113"/>
      <c r="N1503" s="113"/>
      <c r="O1503" s="335"/>
      <c r="T1503" s="340"/>
      <c r="V1503" s="342"/>
      <c r="W1503" s="64" ph="1"/>
      <c r="X1503" s="241"/>
      <c r="Y1503" s="284"/>
      <c r="Z1503" s="207"/>
      <c r="AA1503" s="284"/>
      <c r="AB1503" s="284"/>
      <c r="AC1503" s="284"/>
      <c r="AD1503" s="284"/>
      <c r="AE1503" s="284"/>
      <c r="AF1503" s="284"/>
      <c r="AG1503" s="284"/>
      <c r="AI1503" s="131"/>
    </row>
    <row r="1504" spans="1:35" ht="26.4">
      <c r="A1504" s="284"/>
      <c r="B1504" s="284"/>
      <c r="C1504" s="284"/>
      <c r="D1504" s="284"/>
      <c r="E1504" s="284"/>
      <c r="F1504" s="284"/>
      <c r="G1504" s="284"/>
      <c r="H1504" s="284"/>
      <c r="I1504" s="284"/>
      <c r="J1504" s="284"/>
      <c r="K1504" s="284"/>
      <c r="L1504" s="284"/>
      <c r="M1504" s="113"/>
      <c r="N1504" s="113"/>
      <c r="O1504" s="335"/>
      <c r="T1504" s="340"/>
      <c r="V1504" s="342"/>
      <c r="W1504" s="64" ph="1"/>
      <c r="X1504" s="241"/>
      <c r="Y1504" s="284"/>
      <c r="Z1504" s="207"/>
      <c r="AA1504" s="284"/>
      <c r="AB1504" s="284"/>
      <c r="AC1504" s="284"/>
      <c r="AD1504" s="284"/>
      <c r="AE1504" s="284"/>
      <c r="AF1504" s="284"/>
      <c r="AG1504" s="284"/>
      <c r="AI1504" s="131"/>
    </row>
    <row r="1505" spans="1:35" ht="26.4">
      <c r="A1505" s="284"/>
      <c r="B1505" s="284"/>
      <c r="C1505" s="284"/>
      <c r="D1505" s="284"/>
      <c r="E1505" s="284"/>
      <c r="F1505" s="284"/>
      <c r="G1505" s="284"/>
      <c r="H1505" s="284"/>
      <c r="I1505" s="284"/>
      <c r="J1505" s="284"/>
      <c r="K1505" s="284"/>
      <c r="L1505" s="284"/>
      <c r="M1505" s="113"/>
      <c r="N1505" s="113"/>
      <c r="O1505" s="335"/>
      <c r="T1505" s="340"/>
      <c r="V1505" s="342"/>
      <c r="W1505" s="64" ph="1"/>
      <c r="X1505" s="241"/>
      <c r="Y1505" s="284"/>
      <c r="Z1505" s="207"/>
      <c r="AA1505" s="284"/>
      <c r="AB1505" s="284"/>
      <c r="AC1505" s="284"/>
      <c r="AD1505" s="284"/>
      <c r="AE1505" s="284"/>
      <c r="AF1505" s="284"/>
      <c r="AG1505" s="284"/>
      <c r="AI1505" s="131"/>
    </row>
    <row r="1506" spans="1:35">
      <c r="O1506" s="335"/>
      <c r="AI1506" s="131"/>
    </row>
    <row r="1507" spans="1:35" ht="26.4">
      <c r="A1507" s="284"/>
      <c r="B1507" s="284"/>
      <c r="C1507" s="284"/>
      <c r="D1507" s="284"/>
      <c r="E1507" s="284"/>
      <c r="F1507" s="284"/>
      <c r="G1507" s="284"/>
      <c r="H1507" s="284"/>
      <c r="I1507" s="284"/>
      <c r="J1507" s="284"/>
      <c r="K1507" s="284"/>
      <c r="L1507" s="284"/>
      <c r="M1507" s="113"/>
      <c r="N1507" s="113"/>
      <c r="O1507" s="335"/>
      <c r="T1507" s="340"/>
      <c r="V1507" s="342"/>
      <c r="W1507" s="64" ph="1"/>
      <c r="X1507" s="241"/>
      <c r="Y1507" s="284"/>
      <c r="Z1507" s="207"/>
      <c r="AA1507" s="284"/>
      <c r="AB1507" s="284"/>
      <c r="AC1507" s="284"/>
      <c r="AD1507" s="284"/>
      <c r="AE1507" s="284"/>
      <c r="AF1507" s="284"/>
      <c r="AG1507" s="284"/>
      <c r="AI1507" s="131"/>
    </row>
    <row r="1508" spans="1:35" ht="26.4">
      <c r="A1508" s="284"/>
      <c r="B1508" s="284"/>
      <c r="C1508" s="284"/>
      <c r="D1508" s="284"/>
      <c r="E1508" s="284"/>
      <c r="F1508" s="284"/>
      <c r="G1508" s="284"/>
      <c r="H1508" s="284"/>
      <c r="I1508" s="284"/>
      <c r="J1508" s="284"/>
      <c r="K1508" s="284"/>
      <c r="L1508" s="284"/>
      <c r="M1508" s="113"/>
      <c r="N1508" s="113"/>
      <c r="O1508" s="335"/>
      <c r="T1508" s="340"/>
      <c r="V1508" s="342"/>
      <c r="W1508" s="64" ph="1"/>
      <c r="X1508" s="241"/>
      <c r="Y1508" s="284"/>
      <c r="Z1508" s="207"/>
      <c r="AA1508" s="284"/>
      <c r="AB1508" s="284"/>
      <c r="AC1508" s="284"/>
      <c r="AD1508" s="284"/>
      <c r="AE1508" s="284"/>
      <c r="AF1508" s="284"/>
      <c r="AG1508" s="284"/>
      <c r="AI1508" s="131"/>
    </row>
    <row r="1509" spans="1:35" ht="26.4">
      <c r="A1509" s="284"/>
      <c r="B1509" s="284"/>
      <c r="C1509" s="284"/>
      <c r="D1509" s="284"/>
      <c r="E1509" s="284"/>
      <c r="F1509" s="284"/>
      <c r="G1509" s="284"/>
      <c r="H1509" s="284"/>
      <c r="I1509" s="284"/>
      <c r="J1509" s="284"/>
      <c r="K1509" s="284"/>
      <c r="L1509" s="284"/>
      <c r="M1509" s="113"/>
      <c r="N1509" s="113"/>
      <c r="O1509" s="335"/>
      <c r="T1509" s="340"/>
      <c r="V1509" s="342"/>
      <c r="W1509" s="64" ph="1"/>
      <c r="X1509" s="241"/>
      <c r="Y1509" s="284"/>
      <c r="Z1509" s="207"/>
      <c r="AA1509" s="284"/>
      <c r="AB1509" s="284"/>
      <c r="AC1509" s="284"/>
      <c r="AD1509" s="284"/>
      <c r="AE1509" s="284"/>
      <c r="AF1509" s="284"/>
      <c r="AG1509" s="284"/>
      <c r="AI1509" s="128"/>
    </row>
    <row r="1510" spans="1:35" ht="26.4">
      <c r="A1510" s="284"/>
      <c r="B1510" s="284"/>
      <c r="C1510" s="284"/>
      <c r="D1510" s="284"/>
      <c r="E1510" s="284"/>
      <c r="F1510" s="284"/>
      <c r="G1510" s="284"/>
      <c r="H1510" s="284"/>
      <c r="I1510" s="284"/>
      <c r="J1510" s="284"/>
      <c r="K1510" s="284"/>
      <c r="L1510" s="284"/>
      <c r="M1510" s="113"/>
      <c r="N1510" s="113"/>
      <c r="O1510" s="335"/>
      <c r="T1510" s="340"/>
      <c r="V1510" s="342"/>
      <c r="W1510" s="64" ph="1"/>
      <c r="X1510" s="241"/>
      <c r="Y1510" s="284"/>
      <c r="Z1510" s="207"/>
      <c r="AA1510" s="284"/>
      <c r="AB1510" s="284"/>
      <c r="AC1510" s="284"/>
      <c r="AD1510" s="284"/>
      <c r="AE1510" s="284"/>
      <c r="AF1510" s="284"/>
      <c r="AG1510" s="284"/>
      <c r="AI1510" s="131"/>
    </row>
    <row r="1511" spans="1:35" ht="26.4">
      <c r="A1511" s="284"/>
      <c r="B1511" s="284"/>
      <c r="C1511" s="284"/>
      <c r="D1511" s="284"/>
      <c r="E1511" s="284"/>
      <c r="F1511" s="284"/>
      <c r="G1511" s="284"/>
      <c r="H1511" s="284"/>
      <c r="I1511" s="284"/>
      <c r="J1511" s="284"/>
      <c r="K1511" s="284"/>
      <c r="L1511" s="284"/>
      <c r="M1511" s="113"/>
      <c r="N1511" s="113"/>
      <c r="T1511" s="340"/>
      <c r="V1511" s="342"/>
      <c r="W1511" s="64" ph="1"/>
      <c r="X1511" s="241"/>
      <c r="Y1511" s="284"/>
      <c r="Z1511" s="207"/>
      <c r="AA1511" s="284"/>
      <c r="AB1511" s="284"/>
      <c r="AC1511" s="284"/>
      <c r="AD1511" s="284"/>
      <c r="AE1511" s="284"/>
      <c r="AF1511" s="284"/>
      <c r="AG1511" s="284"/>
      <c r="AI1511" s="131"/>
    </row>
    <row r="1512" spans="1:35" ht="26.4">
      <c r="A1512" s="284"/>
      <c r="B1512" s="284"/>
      <c r="C1512" s="284"/>
      <c r="D1512" s="284"/>
      <c r="E1512" s="284"/>
      <c r="F1512" s="284"/>
      <c r="G1512" s="284"/>
      <c r="H1512" s="284"/>
      <c r="I1512" s="284"/>
      <c r="J1512" s="284"/>
      <c r="K1512" s="284"/>
      <c r="L1512" s="284"/>
      <c r="M1512" s="113"/>
      <c r="N1512" s="113"/>
      <c r="O1512" s="335"/>
      <c r="T1512" s="340"/>
      <c r="V1512" s="342"/>
      <c r="W1512" s="64" ph="1"/>
      <c r="X1512" s="241"/>
      <c r="Y1512" s="284"/>
      <c r="Z1512" s="207"/>
      <c r="AA1512" s="284"/>
      <c r="AB1512" s="284"/>
      <c r="AC1512" s="284"/>
      <c r="AD1512" s="284"/>
      <c r="AE1512" s="284"/>
      <c r="AF1512" s="284"/>
      <c r="AG1512" s="284"/>
      <c r="AI1512" s="131"/>
    </row>
    <row r="1513" spans="1:35" ht="26.4">
      <c r="A1513" s="284"/>
      <c r="B1513" s="284"/>
      <c r="C1513" s="284"/>
      <c r="D1513" s="284"/>
      <c r="E1513" s="284"/>
      <c r="F1513" s="284"/>
      <c r="G1513" s="284"/>
      <c r="H1513" s="284"/>
      <c r="I1513" s="284"/>
      <c r="J1513" s="284"/>
      <c r="K1513" s="284"/>
      <c r="L1513" s="284"/>
      <c r="M1513" s="113"/>
      <c r="N1513" s="113"/>
      <c r="O1513" s="335"/>
      <c r="T1513" s="340"/>
      <c r="V1513" s="342"/>
      <c r="W1513" s="64" ph="1"/>
      <c r="X1513" s="241"/>
      <c r="Y1513" s="284"/>
      <c r="Z1513" s="207"/>
      <c r="AA1513" s="284"/>
      <c r="AB1513" s="284"/>
      <c r="AC1513" s="284"/>
      <c r="AD1513" s="284"/>
      <c r="AE1513" s="284"/>
      <c r="AF1513" s="284"/>
      <c r="AG1513" s="284"/>
      <c r="AI1513" s="131"/>
    </row>
    <row r="1514" spans="1:35" ht="26.4">
      <c r="A1514" s="284"/>
      <c r="B1514" s="284"/>
      <c r="C1514" s="284"/>
      <c r="D1514" s="284"/>
      <c r="E1514" s="284"/>
      <c r="F1514" s="284"/>
      <c r="G1514" s="284"/>
      <c r="H1514" s="284"/>
      <c r="I1514" s="284"/>
      <c r="J1514" s="284"/>
      <c r="K1514" s="284"/>
      <c r="L1514" s="284"/>
      <c r="M1514" s="113"/>
      <c r="N1514" s="113"/>
      <c r="O1514" s="335"/>
      <c r="T1514" s="340"/>
      <c r="V1514" s="342"/>
      <c r="W1514" s="64" ph="1"/>
      <c r="X1514" s="241"/>
      <c r="Y1514" s="284"/>
      <c r="Z1514" s="207"/>
      <c r="AA1514" s="284"/>
      <c r="AB1514" s="284"/>
      <c r="AC1514" s="284"/>
      <c r="AD1514" s="284"/>
      <c r="AE1514" s="284"/>
      <c r="AF1514" s="284"/>
      <c r="AG1514" s="284"/>
      <c r="AI1514" s="131"/>
    </row>
    <row r="1515" spans="1:35">
      <c r="O1515" s="335"/>
      <c r="AI1515" s="131"/>
    </row>
    <row r="1516" spans="1:35" ht="26.4">
      <c r="A1516" s="284"/>
      <c r="B1516" s="284"/>
      <c r="C1516" s="284"/>
      <c r="D1516" s="284"/>
      <c r="E1516" s="284"/>
      <c r="F1516" s="284"/>
      <c r="G1516" s="284"/>
      <c r="H1516" s="284"/>
      <c r="I1516" s="284"/>
      <c r="J1516" s="284"/>
      <c r="K1516" s="284"/>
      <c r="L1516" s="284"/>
      <c r="M1516" s="113"/>
      <c r="N1516" s="113"/>
      <c r="O1516" s="335"/>
      <c r="T1516" s="340"/>
      <c r="V1516" s="342"/>
      <c r="W1516" s="64" ph="1"/>
      <c r="X1516" s="241"/>
      <c r="Y1516" s="284"/>
      <c r="Z1516" s="207"/>
      <c r="AA1516" s="284"/>
      <c r="AB1516" s="284"/>
      <c r="AC1516" s="284"/>
      <c r="AD1516" s="284"/>
      <c r="AE1516" s="284"/>
      <c r="AF1516" s="284"/>
      <c r="AG1516" s="284"/>
      <c r="AI1516" s="131"/>
    </row>
    <row r="1517" spans="1:35" ht="26.4">
      <c r="A1517" s="284"/>
      <c r="B1517" s="284"/>
      <c r="C1517" s="284"/>
      <c r="D1517" s="284"/>
      <c r="E1517" s="284"/>
      <c r="F1517" s="284"/>
      <c r="G1517" s="284"/>
      <c r="H1517" s="284"/>
      <c r="I1517" s="284"/>
      <c r="J1517" s="284"/>
      <c r="K1517" s="284"/>
      <c r="L1517" s="284"/>
      <c r="M1517" s="113"/>
      <c r="N1517" s="113"/>
      <c r="O1517" s="335"/>
      <c r="T1517" s="340"/>
      <c r="V1517" s="342"/>
      <c r="W1517" s="64" ph="1"/>
      <c r="X1517" s="241"/>
      <c r="Y1517" s="284"/>
      <c r="Z1517" s="207"/>
      <c r="AA1517" s="284"/>
      <c r="AB1517" s="284"/>
      <c r="AC1517" s="284"/>
      <c r="AD1517" s="284"/>
      <c r="AE1517" s="284"/>
      <c r="AF1517" s="284"/>
      <c r="AG1517" s="284"/>
      <c r="AI1517" s="131"/>
    </row>
    <row r="1518" spans="1:35" ht="26.4">
      <c r="A1518" s="284"/>
      <c r="B1518" s="284"/>
      <c r="C1518" s="284"/>
      <c r="D1518" s="284"/>
      <c r="E1518" s="284"/>
      <c r="F1518" s="284"/>
      <c r="G1518" s="284"/>
      <c r="H1518" s="284"/>
      <c r="I1518" s="284"/>
      <c r="J1518" s="284"/>
      <c r="K1518" s="284"/>
      <c r="L1518" s="284"/>
      <c r="M1518" s="113"/>
      <c r="N1518" s="113"/>
      <c r="O1518" s="335"/>
      <c r="T1518" s="340"/>
      <c r="V1518" s="342"/>
      <c r="W1518" s="64" ph="1"/>
      <c r="X1518" s="241"/>
      <c r="Y1518" s="284"/>
      <c r="Z1518" s="207"/>
      <c r="AA1518" s="284"/>
      <c r="AB1518" s="284"/>
      <c r="AC1518" s="284"/>
      <c r="AD1518" s="284"/>
      <c r="AE1518" s="284"/>
      <c r="AF1518" s="284"/>
      <c r="AG1518" s="284"/>
      <c r="AI1518" s="131"/>
    </row>
    <row r="1519" spans="1:35" ht="26.4">
      <c r="A1519" s="284"/>
      <c r="B1519" s="284"/>
      <c r="C1519" s="284"/>
      <c r="D1519" s="284"/>
      <c r="E1519" s="284"/>
      <c r="F1519" s="284"/>
      <c r="G1519" s="284"/>
      <c r="H1519" s="284"/>
      <c r="I1519" s="284"/>
      <c r="J1519" s="284"/>
      <c r="K1519" s="284"/>
      <c r="L1519" s="284"/>
      <c r="M1519" s="113"/>
      <c r="N1519" s="113"/>
      <c r="O1519" s="335"/>
      <c r="T1519" s="340"/>
      <c r="V1519" s="342"/>
      <c r="W1519" s="64" ph="1"/>
      <c r="X1519" s="241"/>
      <c r="Y1519" s="284"/>
      <c r="Z1519" s="207"/>
      <c r="AA1519" s="284"/>
      <c r="AB1519" s="284"/>
      <c r="AC1519" s="284"/>
      <c r="AD1519" s="284"/>
      <c r="AE1519" s="284"/>
      <c r="AF1519" s="284"/>
      <c r="AG1519" s="284"/>
      <c r="AI1519" s="131"/>
    </row>
    <row r="1520" spans="1:35" ht="26.4">
      <c r="A1520" s="284"/>
      <c r="B1520" s="284"/>
      <c r="C1520" s="284"/>
      <c r="D1520" s="284"/>
      <c r="E1520" s="284"/>
      <c r="F1520" s="284"/>
      <c r="G1520" s="284"/>
      <c r="H1520" s="284"/>
      <c r="I1520" s="284"/>
      <c r="J1520" s="284"/>
      <c r="K1520" s="284"/>
      <c r="L1520" s="284"/>
      <c r="M1520" s="113"/>
      <c r="N1520" s="113"/>
      <c r="O1520" s="335"/>
      <c r="T1520" s="340"/>
      <c r="V1520" s="342"/>
      <c r="W1520" s="64" ph="1"/>
      <c r="X1520" s="241"/>
      <c r="Y1520" s="284"/>
      <c r="Z1520" s="207"/>
      <c r="AA1520" s="284"/>
      <c r="AB1520" s="284"/>
      <c r="AC1520" s="284"/>
      <c r="AD1520" s="284"/>
      <c r="AE1520" s="284"/>
      <c r="AF1520" s="284"/>
      <c r="AG1520" s="284"/>
      <c r="AI1520" s="131"/>
    </row>
    <row r="1521" spans="1:35" ht="26.4">
      <c r="A1521" s="284"/>
      <c r="B1521" s="284"/>
      <c r="C1521" s="284"/>
      <c r="D1521" s="284"/>
      <c r="E1521" s="284"/>
      <c r="F1521" s="284"/>
      <c r="G1521" s="284"/>
      <c r="H1521" s="284"/>
      <c r="I1521" s="284"/>
      <c r="J1521" s="284"/>
      <c r="K1521" s="284"/>
      <c r="L1521" s="284"/>
      <c r="M1521" s="113"/>
      <c r="N1521" s="113"/>
      <c r="O1521" s="335"/>
      <c r="T1521" s="340"/>
      <c r="V1521" s="342"/>
      <c r="W1521" s="64" ph="1"/>
      <c r="X1521" s="241"/>
      <c r="Y1521" s="284"/>
      <c r="Z1521" s="207"/>
      <c r="AA1521" s="284"/>
      <c r="AB1521" s="284"/>
      <c r="AC1521" s="284"/>
      <c r="AD1521" s="284"/>
      <c r="AE1521" s="284"/>
      <c r="AF1521" s="284"/>
      <c r="AG1521" s="284"/>
      <c r="AI1521" s="131"/>
    </row>
    <row r="1522" spans="1:35" ht="26.4">
      <c r="A1522" s="284"/>
      <c r="B1522" s="284"/>
      <c r="C1522" s="284"/>
      <c r="D1522" s="284"/>
      <c r="E1522" s="284"/>
      <c r="F1522" s="284"/>
      <c r="G1522" s="284"/>
      <c r="H1522" s="284"/>
      <c r="I1522" s="284"/>
      <c r="J1522" s="284"/>
      <c r="K1522" s="284"/>
      <c r="L1522" s="284"/>
      <c r="M1522" s="113"/>
      <c r="N1522" s="113"/>
      <c r="O1522" s="335"/>
      <c r="T1522" s="340"/>
      <c r="V1522" s="342"/>
      <c r="W1522" s="64" ph="1"/>
      <c r="X1522" s="241"/>
      <c r="Y1522" s="284"/>
      <c r="Z1522" s="207"/>
      <c r="AA1522" s="284"/>
      <c r="AB1522" s="284"/>
      <c r="AC1522" s="284"/>
      <c r="AD1522" s="284"/>
      <c r="AE1522" s="284"/>
      <c r="AF1522" s="284"/>
      <c r="AG1522" s="284"/>
      <c r="AI1522" s="131"/>
    </row>
    <row r="1523" spans="1:35" ht="26.4">
      <c r="A1523" s="284"/>
      <c r="B1523" s="284"/>
      <c r="C1523" s="284"/>
      <c r="D1523" s="284"/>
      <c r="E1523" s="284"/>
      <c r="F1523" s="284"/>
      <c r="G1523" s="284"/>
      <c r="H1523" s="284"/>
      <c r="I1523" s="284"/>
      <c r="J1523" s="284"/>
      <c r="K1523" s="284"/>
      <c r="L1523" s="284"/>
      <c r="M1523" s="113"/>
      <c r="N1523" s="113"/>
      <c r="T1523" s="340"/>
      <c r="V1523" s="342"/>
      <c r="W1523" s="64" ph="1"/>
      <c r="X1523" s="241"/>
      <c r="Y1523" s="284"/>
      <c r="Z1523" s="207"/>
      <c r="AA1523" s="284"/>
      <c r="AB1523" s="284"/>
      <c r="AC1523" s="284"/>
      <c r="AD1523" s="284"/>
      <c r="AE1523" s="284"/>
      <c r="AF1523" s="284"/>
      <c r="AG1523" s="284"/>
      <c r="AI1523" s="284"/>
    </row>
    <row r="1524" spans="1:35" ht="26.4">
      <c r="A1524" s="284"/>
      <c r="B1524" s="284"/>
      <c r="C1524" s="284"/>
      <c r="D1524" s="284"/>
      <c r="E1524" s="284"/>
      <c r="F1524" s="284"/>
      <c r="G1524" s="284"/>
      <c r="H1524" s="284"/>
      <c r="I1524" s="284"/>
      <c r="J1524" s="284"/>
      <c r="K1524" s="284"/>
      <c r="L1524" s="284"/>
      <c r="M1524" s="113"/>
      <c r="N1524" s="113"/>
      <c r="O1524" s="335"/>
      <c r="T1524" s="340"/>
      <c r="V1524" s="342"/>
      <c r="W1524" s="64" ph="1"/>
      <c r="X1524" s="241"/>
      <c r="Y1524" s="284"/>
      <c r="Z1524" s="207"/>
      <c r="AA1524" s="284"/>
      <c r="AB1524" s="284"/>
      <c r="AC1524" s="284"/>
      <c r="AD1524" s="284"/>
      <c r="AE1524" s="284"/>
      <c r="AF1524" s="284"/>
      <c r="AG1524" s="284"/>
      <c r="AI1524" s="131"/>
    </row>
    <row r="1525" spans="1:35" ht="26.4">
      <c r="A1525" s="284"/>
      <c r="B1525" s="284"/>
      <c r="C1525" s="284"/>
      <c r="D1525" s="284"/>
      <c r="E1525" s="284"/>
      <c r="F1525" s="284"/>
      <c r="G1525" s="284"/>
      <c r="H1525" s="284"/>
      <c r="I1525" s="284"/>
      <c r="J1525" s="284"/>
      <c r="K1525" s="284"/>
      <c r="L1525" s="284"/>
      <c r="M1525" s="113"/>
      <c r="N1525" s="113"/>
      <c r="O1525" s="335"/>
      <c r="T1525" s="340"/>
      <c r="V1525" s="342"/>
      <c r="W1525" s="64" ph="1"/>
      <c r="X1525" s="241"/>
      <c r="Y1525" s="284"/>
      <c r="Z1525" s="207"/>
      <c r="AA1525" s="284"/>
      <c r="AB1525" s="284"/>
      <c r="AC1525" s="284"/>
      <c r="AD1525" s="284"/>
      <c r="AE1525" s="284"/>
      <c r="AF1525" s="284"/>
      <c r="AG1525" s="284"/>
      <c r="AI1525" s="131"/>
    </row>
    <row r="1526" spans="1:35" ht="26.4">
      <c r="A1526" s="284"/>
      <c r="B1526" s="284"/>
      <c r="C1526" s="284"/>
      <c r="D1526" s="284"/>
      <c r="E1526" s="284"/>
      <c r="F1526" s="284"/>
      <c r="G1526" s="284"/>
      <c r="H1526" s="284"/>
      <c r="I1526" s="284"/>
      <c r="J1526" s="284"/>
      <c r="K1526" s="284"/>
      <c r="L1526" s="284"/>
      <c r="M1526" s="113"/>
      <c r="N1526" s="113"/>
      <c r="O1526" s="335"/>
      <c r="T1526" s="340"/>
      <c r="V1526" s="342"/>
      <c r="W1526" s="64" ph="1"/>
      <c r="X1526" s="241"/>
      <c r="Y1526" s="284"/>
      <c r="Z1526" s="207"/>
      <c r="AA1526" s="284"/>
      <c r="AB1526" s="284"/>
      <c r="AC1526" s="284"/>
      <c r="AD1526" s="284"/>
      <c r="AE1526" s="284"/>
      <c r="AF1526" s="284"/>
      <c r="AG1526" s="284"/>
      <c r="AI1526" s="131"/>
    </row>
    <row r="1527" spans="1:35" ht="26.4">
      <c r="A1527" s="284"/>
      <c r="B1527" s="284"/>
      <c r="C1527" s="284"/>
      <c r="D1527" s="284"/>
      <c r="E1527" s="284"/>
      <c r="F1527" s="284"/>
      <c r="G1527" s="284"/>
      <c r="H1527" s="284"/>
      <c r="I1527" s="284"/>
      <c r="J1527" s="284"/>
      <c r="K1527" s="284"/>
      <c r="L1527" s="284"/>
      <c r="M1527" s="113"/>
      <c r="N1527" s="113"/>
      <c r="O1527" s="335"/>
      <c r="T1527" s="340"/>
      <c r="V1527" s="342"/>
      <c r="W1527" s="64" ph="1"/>
      <c r="X1527" s="241"/>
      <c r="Y1527" s="284"/>
      <c r="Z1527" s="207"/>
      <c r="AA1527" s="284"/>
      <c r="AB1527" s="284"/>
      <c r="AC1527" s="284"/>
      <c r="AD1527" s="284"/>
      <c r="AE1527" s="284"/>
      <c r="AF1527" s="284"/>
      <c r="AG1527" s="284"/>
      <c r="AI1527" s="131"/>
    </row>
    <row r="1528" spans="1:35" ht="26.4">
      <c r="A1528" s="284"/>
      <c r="B1528" s="284"/>
      <c r="C1528" s="284"/>
      <c r="D1528" s="284"/>
      <c r="E1528" s="284"/>
      <c r="F1528" s="284"/>
      <c r="G1528" s="284"/>
      <c r="H1528" s="284"/>
      <c r="I1528" s="284"/>
      <c r="J1528" s="284"/>
      <c r="K1528" s="284"/>
      <c r="L1528" s="284"/>
      <c r="M1528" s="113"/>
      <c r="N1528" s="113"/>
      <c r="O1528" s="335"/>
      <c r="T1528" s="340"/>
      <c r="V1528" s="342"/>
      <c r="W1528" s="64" ph="1"/>
      <c r="X1528" s="241"/>
      <c r="Y1528" s="284"/>
      <c r="Z1528" s="207"/>
      <c r="AA1528" s="284"/>
      <c r="AB1528" s="284"/>
      <c r="AC1528" s="284"/>
      <c r="AD1528" s="284"/>
      <c r="AE1528" s="284"/>
      <c r="AF1528" s="284"/>
      <c r="AG1528" s="284"/>
      <c r="AI1528" s="131"/>
    </row>
    <row r="1529" spans="1:35" ht="26.4">
      <c r="A1529" s="284"/>
      <c r="B1529" s="284"/>
      <c r="C1529" s="284"/>
      <c r="D1529" s="284"/>
      <c r="E1529" s="284"/>
      <c r="F1529" s="284"/>
      <c r="G1529" s="284"/>
      <c r="H1529" s="284"/>
      <c r="I1529" s="284"/>
      <c r="J1529" s="284"/>
      <c r="K1529" s="284"/>
      <c r="L1529" s="284"/>
      <c r="M1529" s="113"/>
      <c r="N1529" s="113"/>
      <c r="O1529" s="335"/>
      <c r="T1529" s="340"/>
      <c r="V1529" s="342"/>
      <c r="W1529" s="64" ph="1"/>
      <c r="X1529" s="241"/>
      <c r="Y1529" s="284"/>
      <c r="Z1529" s="207"/>
      <c r="AA1529" s="284"/>
      <c r="AB1529" s="284"/>
      <c r="AC1529" s="284"/>
      <c r="AD1529" s="284"/>
      <c r="AE1529" s="284"/>
      <c r="AF1529" s="284"/>
      <c r="AG1529" s="284"/>
      <c r="AI1529" s="131"/>
    </row>
    <row r="1530" spans="1:35" ht="26.4">
      <c r="A1530" s="284"/>
      <c r="B1530" s="284"/>
      <c r="C1530" s="284"/>
      <c r="D1530" s="284"/>
      <c r="E1530" s="284"/>
      <c r="F1530" s="284"/>
      <c r="G1530" s="284"/>
      <c r="H1530" s="284"/>
      <c r="I1530" s="284"/>
      <c r="J1530" s="284"/>
      <c r="K1530" s="284"/>
      <c r="L1530" s="284"/>
      <c r="M1530" s="113"/>
      <c r="N1530" s="113"/>
      <c r="O1530" s="335"/>
      <c r="T1530" s="340"/>
      <c r="V1530" s="342"/>
      <c r="W1530" s="64" ph="1"/>
      <c r="X1530" s="241"/>
      <c r="Y1530" s="284"/>
      <c r="Z1530" s="207"/>
      <c r="AA1530" s="284"/>
      <c r="AB1530" s="284"/>
      <c r="AC1530" s="284"/>
      <c r="AD1530" s="284"/>
      <c r="AE1530" s="284"/>
      <c r="AF1530" s="284"/>
      <c r="AG1530" s="284"/>
      <c r="AI1530" s="131"/>
    </row>
    <row r="1531" spans="1:35" ht="26.4">
      <c r="A1531" s="284"/>
      <c r="B1531" s="284"/>
      <c r="C1531" s="284"/>
      <c r="D1531" s="284"/>
      <c r="E1531" s="284"/>
      <c r="F1531" s="284"/>
      <c r="G1531" s="284"/>
      <c r="H1531" s="284"/>
      <c r="I1531" s="284"/>
      <c r="J1531" s="284"/>
      <c r="K1531" s="284"/>
      <c r="L1531" s="284"/>
      <c r="M1531" s="113"/>
      <c r="N1531" s="113"/>
      <c r="O1531" s="335"/>
      <c r="T1531" s="340"/>
      <c r="V1531" s="342"/>
      <c r="W1531" s="64" ph="1"/>
      <c r="X1531" s="241"/>
      <c r="Y1531" s="284"/>
      <c r="Z1531" s="207"/>
      <c r="AA1531" s="284"/>
      <c r="AB1531" s="284"/>
      <c r="AC1531" s="284"/>
      <c r="AD1531" s="284"/>
      <c r="AE1531" s="284"/>
      <c r="AF1531" s="284"/>
      <c r="AG1531" s="284"/>
      <c r="AI1531" s="131"/>
    </row>
    <row r="1532" spans="1:35" ht="26.4">
      <c r="A1532" s="284"/>
      <c r="B1532" s="284"/>
      <c r="C1532" s="284"/>
      <c r="D1532" s="284"/>
      <c r="E1532" s="284"/>
      <c r="F1532" s="284"/>
      <c r="G1532" s="284"/>
      <c r="H1532" s="284"/>
      <c r="I1532" s="284"/>
      <c r="J1532" s="284"/>
      <c r="K1532" s="284"/>
      <c r="L1532" s="284"/>
      <c r="M1532" s="113"/>
      <c r="N1532" s="113"/>
      <c r="T1532" s="340"/>
      <c r="V1532" s="342"/>
      <c r="W1532" s="64" ph="1"/>
      <c r="X1532" s="241"/>
      <c r="Y1532" s="284"/>
      <c r="Z1532" s="207"/>
      <c r="AA1532" s="284"/>
      <c r="AB1532" s="284"/>
      <c r="AC1532" s="284"/>
      <c r="AD1532" s="284"/>
      <c r="AE1532" s="284"/>
      <c r="AF1532" s="284"/>
      <c r="AG1532" s="284"/>
      <c r="AI1532" s="131"/>
    </row>
    <row r="1533" spans="1:35" ht="26.4">
      <c r="A1533" s="284"/>
      <c r="B1533" s="284"/>
      <c r="C1533" s="284"/>
      <c r="D1533" s="284"/>
      <c r="E1533" s="284"/>
      <c r="F1533" s="284"/>
      <c r="G1533" s="284"/>
      <c r="H1533" s="284"/>
      <c r="I1533" s="284"/>
      <c r="J1533" s="284"/>
      <c r="K1533" s="284"/>
      <c r="L1533" s="284"/>
      <c r="M1533" s="113"/>
      <c r="N1533" s="113"/>
      <c r="O1533" s="335"/>
      <c r="T1533" s="340"/>
      <c r="V1533" s="342"/>
      <c r="W1533" s="64" ph="1"/>
      <c r="X1533" s="241"/>
      <c r="Y1533" s="284"/>
      <c r="Z1533" s="207"/>
      <c r="AA1533" s="284"/>
      <c r="AB1533" s="284"/>
      <c r="AC1533" s="284"/>
      <c r="AD1533" s="284"/>
      <c r="AE1533" s="284"/>
      <c r="AF1533" s="284"/>
      <c r="AG1533" s="284"/>
      <c r="AI1533" s="131"/>
    </row>
    <row r="1534" spans="1:35" ht="26.4">
      <c r="A1534" s="284"/>
      <c r="B1534" s="284"/>
      <c r="C1534" s="284"/>
      <c r="D1534" s="284"/>
      <c r="E1534" s="284"/>
      <c r="F1534" s="284"/>
      <c r="G1534" s="284"/>
      <c r="H1534" s="284"/>
      <c r="I1534" s="284"/>
      <c r="J1534" s="284"/>
      <c r="K1534" s="284"/>
      <c r="L1534" s="284"/>
      <c r="M1534" s="113"/>
      <c r="N1534" s="113"/>
      <c r="O1534" s="335"/>
      <c r="T1534" s="340"/>
      <c r="V1534" s="342"/>
      <c r="W1534" s="64" ph="1"/>
      <c r="X1534" s="241"/>
      <c r="Y1534" s="284"/>
      <c r="Z1534" s="207"/>
      <c r="AA1534" s="284"/>
      <c r="AB1534" s="284"/>
      <c r="AC1534" s="284"/>
      <c r="AD1534" s="284"/>
      <c r="AE1534" s="284"/>
      <c r="AF1534" s="284"/>
      <c r="AG1534" s="284"/>
      <c r="AI1534" s="131"/>
    </row>
    <row r="1535" spans="1:35" ht="26.4">
      <c r="A1535" s="284"/>
      <c r="B1535" s="284"/>
      <c r="C1535" s="284"/>
      <c r="D1535" s="284"/>
      <c r="E1535" s="284"/>
      <c r="F1535" s="284"/>
      <c r="G1535" s="284"/>
      <c r="H1535" s="284"/>
      <c r="I1535" s="284"/>
      <c r="J1535" s="284"/>
      <c r="K1535" s="284"/>
      <c r="L1535" s="284"/>
      <c r="M1535" s="113"/>
      <c r="N1535" s="113"/>
      <c r="O1535" s="335"/>
      <c r="T1535" s="340"/>
      <c r="V1535" s="342"/>
      <c r="W1535" s="64" ph="1"/>
      <c r="X1535" s="241"/>
      <c r="Y1535" s="284"/>
      <c r="Z1535" s="207"/>
      <c r="AA1535" s="284"/>
      <c r="AB1535" s="284"/>
      <c r="AC1535" s="284"/>
      <c r="AD1535" s="284"/>
      <c r="AE1535" s="284"/>
      <c r="AF1535" s="284"/>
      <c r="AG1535" s="284"/>
      <c r="AI1535" s="131"/>
    </row>
    <row r="1536" spans="1:35" ht="26.4">
      <c r="A1536" s="284"/>
      <c r="B1536" s="284"/>
      <c r="C1536" s="284"/>
      <c r="D1536" s="284"/>
      <c r="E1536" s="284"/>
      <c r="F1536" s="284"/>
      <c r="G1536" s="284"/>
      <c r="H1536" s="284"/>
      <c r="I1536" s="284"/>
      <c r="J1536" s="284"/>
      <c r="K1536" s="284"/>
      <c r="L1536" s="284"/>
      <c r="M1536" s="113"/>
      <c r="N1536" s="113"/>
      <c r="O1536" s="335"/>
      <c r="T1536" s="340"/>
      <c r="V1536" s="342"/>
      <c r="W1536" s="64" ph="1"/>
      <c r="X1536" s="241"/>
      <c r="Y1536" s="284"/>
      <c r="Z1536" s="207"/>
      <c r="AA1536" s="284"/>
      <c r="AB1536" s="284"/>
      <c r="AC1536" s="284"/>
      <c r="AD1536" s="284"/>
      <c r="AE1536" s="284"/>
      <c r="AF1536" s="284"/>
      <c r="AG1536" s="284"/>
      <c r="AI1536" s="131"/>
    </row>
    <row r="1537" spans="1:35" ht="26.4">
      <c r="A1537" s="284"/>
      <c r="B1537" s="284"/>
      <c r="C1537" s="284"/>
      <c r="D1537" s="284"/>
      <c r="E1537" s="284"/>
      <c r="F1537" s="284"/>
      <c r="G1537" s="284"/>
      <c r="H1537" s="284"/>
      <c r="I1537" s="284"/>
      <c r="J1537" s="284"/>
      <c r="K1537" s="284"/>
      <c r="L1537" s="284"/>
      <c r="M1537" s="113"/>
      <c r="N1537" s="113"/>
      <c r="O1537" s="335"/>
      <c r="T1537" s="340"/>
      <c r="V1537" s="342"/>
      <c r="W1537" s="64" ph="1"/>
      <c r="X1537" s="241"/>
      <c r="Y1537" s="284"/>
      <c r="Z1537" s="207"/>
      <c r="AA1537" s="284"/>
      <c r="AB1537" s="284"/>
      <c r="AC1537" s="284"/>
      <c r="AD1537" s="284"/>
      <c r="AE1537" s="284"/>
      <c r="AF1537" s="284"/>
      <c r="AG1537" s="284"/>
      <c r="AI1537" s="131"/>
    </row>
    <row r="1538" spans="1:35" ht="26.4">
      <c r="A1538" s="284"/>
      <c r="B1538" s="284"/>
      <c r="C1538" s="284"/>
      <c r="D1538" s="284"/>
      <c r="E1538" s="284"/>
      <c r="F1538" s="284"/>
      <c r="G1538" s="284"/>
      <c r="H1538" s="284"/>
      <c r="I1538" s="284"/>
      <c r="J1538" s="284"/>
      <c r="K1538" s="284"/>
      <c r="L1538" s="284"/>
      <c r="M1538" s="113"/>
      <c r="N1538" s="113"/>
      <c r="O1538" s="335"/>
      <c r="T1538" s="340"/>
      <c r="V1538" s="342"/>
      <c r="W1538" s="64" ph="1"/>
      <c r="X1538" s="241"/>
      <c r="Y1538" s="284"/>
      <c r="Z1538" s="207"/>
      <c r="AA1538" s="284"/>
      <c r="AB1538" s="284"/>
      <c r="AC1538" s="284"/>
      <c r="AD1538" s="284"/>
      <c r="AE1538" s="284"/>
      <c r="AF1538" s="284"/>
      <c r="AG1538" s="284"/>
      <c r="AI1538" s="28"/>
    </row>
    <row r="1539" spans="1:35" ht="26.4">
      <c r="A1539" s="284"/>
      <c r="B1539" s="284"/>
      <c r="C1539" s="284"/>
      <c r="D1539" s="284"/>
      <c r="E1539" s="284"/>
      <c r="F1539" s="284"/>
      <c r="G1539" s="284"/>
      <c r="H1539" s="284"/>
      <c r="I1539" s="284"/>
      <c r="J1539" s="284"/>
      <c r="K1539" s="284"/>
      <c r="L1539" s="284"/>
      <c r="M1539" s="113"/>
      <c r="N1539" s="113"/>
      <c r="O1539" s="335"/>
      <c r="T1539" s="340"/>
      <c r="V1539" s="342"/>
      <c r="W1539" s="64" ph="1"/>
      <c r="X1539" s="241"/>
      <c r="Y1539" s="284"/>
      <c r="Z1539" s="207"/>
      <c r="AA1539" s="284"/>
      <c r="AB1539" s="284"/>
      <c r="AC1539" s="284"/>
      <c r="AD1539" s="284"/>
      <c r="AE1539" s="284"/>
      <c r="AF1539" s="284"/>
      <c r="AG1539" s="284"/>
      <c r="AI1539" s="131"/>
    </row>
    <row r="1540" spans="1:35" ht="26.4">
      <c r="A1540" s="284"/>
      <c r="B1540" s="284"/>
      <c r="C1540" s="284"/>
      <c r="D1540" s="284"/>
      <c r="E1540" s="284"/>
      <c r="F1540" s="284"/>
      <c r="G1540" s="284"/>
      <c r="H1540" s="284"/>
      <c r="I1540" s="284"/>
      <c r="J1540" s="284"/>
      <c r="K1540" s="284"/>
      <c r="L1540" s="284"/>
      <c r="M1540" s="113"/>
      <c r="N1540" s="113"/>
      <c r="O1540" s="335"/>
      <c r="T1540" s="340"/>
      <c r="V1540" s="342"/>
      <c r="W1540" s="64" ph="1"/>
      <c r="X1540" s="241"/>
      <c r="Y1540" s="284"/>
      <c r="Z1540" s="207"/>
      <c r="AA1540" s="284"/>
      <c r="AB1540" s="284"/>
      <c r="AC1540" s="284"/>
      <c r="AD1540" s="284"/>
      <c r="AE1540" s="284"/>
      <c r="AF1540" s="284"/>
      <c r="AG1540" s="284"/>
      <c r="AI1540" s="131"/>
    </row>
    <row r="1541" spans="1:35" ht="26.4">
      <c r="A1541" s="284"/>
      <c r="B1541" s="284"/>
      <c r="C1541" s="284"/>
      <c r="D1541" s="284"/>
      <c r="E1541" s="284"/>
      <c r="F1541" s="284"/>
      <c r="G1541" s="284"/>
      <c r="H1541" s="284"/>
      <c r="I1541" s="284"/>
      <c r="J1541" s="284"/>
      <c r="K1541" s="284"/>
      <c r="L1541" s="284"/>
      <c r="M1541" s="113"/>
      <c r="N1541" s="113"/>
      <c r="O1541" s="335"/>
      <c r="T1541" s="340"/>
      <c r="V1541" s="342"/>
      <c r="W1541" s="64" ph="1"/>
      <c r="X1541" s="241"/>
      <c r="Y1541" s="284"/>
      <c r="Z1541" s="207"/>
      <c r="AA1541" s="284"/>
      <c r="AB1541" s="284"/>
      <c r="AC1541" s="284"/>
      <c r="AD1541" s="284"/>
      <c r="AE1541" s="284"/>
      <c r="AF1541" s="284"/>
      <c r="AG1541" s="284"/>
      <c r="AI1541" s="131"/>
    </row>
    <row r="1542" spans="1:35" ht="26.4">
      <c r="A1542" s="284"/>
      <c r="B1542" s="284"/>
      <c r="C1542" s="284"/>
      <c r="D1542" s="284"/>
      <c r="E1542" s="284"/>
      <c r="F1542" s="284"/>
      <c r="G1542" s="284"/>
      <c r="H1542" s="284"/>
      <c r="I1542" s="284"/>
      <c r="J1542" s="284"/>
      <c r="K1542" s="284"/>
      <c r="L1542" s="284"/>
      <c r="M1542" s="113"/>
      <c r="N1542" s="113"/>
      <c r="O1542" s="335"/>
      <c r="T1542" s="340"/>
      <c r="V1542" s="342"/>
      <c r="W1542" s="64" ph="1"/>
      <c r="X1542" s="241"/>
      <c r="Y1542" s="284"/>
      <c r="Z1542" s="207"/>
      <c r="AA1542" s="284"/>
      <c r="AB1542" s="284"/>
      <c r="AC1542" s="284"/>
      <c r="AD1542" s="284"/>
      <c r="AE1542" s="284"/>
      <c r="AF1542" s="284"/>
      <c r="AG1542" s="284"/>
      <c r="AI1542" s="131"/>
    </row>
    <row r="1543" spans="1:35" ht="26.4">
      <c r="A1543" s="284"/>
      <c r="B1543" s="284"/>
      <c r="C1543" s="284"/>
      <c r="D1543" s="284"/>
      <c r="E1543" s="284"/>
      <c r="F1543" s="284"/>
      <c r="G1543" s="284"/>
      <c r="H1543" s="284"/>
      <c r="I1543" s="284"/>
      <c r="J1543" s="284"/>
      <c r="K1543" s="284"/>
      <c r="L1543" s="284"/>
      <c r="M1543" s="113"/>
      <c r="N1543" s="113"/>
      <c r="O1543" s="335"/>
      <c r="T1543" s="340"/>
      <c r="V1543" s="342"/>
      <c r="W1543" s="64" ph="1"/>
      <c r="X1543" s="241"/>
      <c r="Y1543" s="284"/>
      <c r="Z1543" s="207"/>
      <c r="AA1543" s="284"/>
      <c r="AB1543" s="284"/>
      <c r="AC1543" s="284"/>
      <c r="AD1543" s="284"/>
      <c r="AE1543" s="284"/>
      <c r="AF1543" s="284"/>
      <c r="AG1543" s="284"/>
      <c r="AI1543" s="131"/>
    </row>
    <row r="1544" spans="1:35" ht="26.4">
      <c r="A1544" s="284"/>
      <c r="B1544" s="284"/>
      <c r="C1544" s="284"/>
      <c r="D1544" s="284"/>
      <c r="E1544" s="284"/>
      <c r="F1544" s="284"/>
      <c r="G1544" s="284"/>
      <c r="H1544" s="284"/>
      <c r="I1544" s="284"/>
      <c r="J1544" s="284"/>
      <c r="K1544" s="284"/>
      <c r="L1544" s="284"/>
      <c r="M1544" s="113"/>
      <c r="N1544" s="113"/>
      <c r="O1544" s="335"/>
      <c r="T1544" s="340"/>
      <c r="V1544" s="342"/>
      <c r="W1544" s="64" ph="1"/>
      <c r="X1544" s="241"/>
      <c r="Y1544" s="284"/>
      <c r="Z1544" s="207"/>
      <c r="AA1544" s="284"/>
      <c r="AB1544" s="284"/>
      <c r="AC1544" s="284"/>
      <c r="AD1544" s="284"/>
      <c r="AE1544" s="284"/>
      <c r="AF1544" s="284"/>
      <c r="AG1544" s="284"/>
      <c r="AI1544" s="131"/>
    </row>
    <row r="1545" spans="1:35" ht="26.4">
      <c r="A1545" s="284"/>
      <c r="B1545" s="284"/>
      <c r="C1545" s="284"/>
      <c r="D1545" s="284"/>
      <c r="E1545" s="284"/>
      <c r="F1545" s="284"/>
      <c r="G1545" s="284"/>
      <c r="H1545" s="284"/>
      <c r="I1545" s="284"/>
      <c r="J1545" s="284"/>
      <c r="K1545" s="284"/>
      <c r="L1545" s="284"/>
      <c r="M1545" s="113"/>
      <c r="N1545" s="113"/>
      <c r="O1545" s="335"/>
      <c r="T1545" s="340"/>
      <c r="V1545" s="342"/>
      <c r="W1545" s="64" ph="1"/>
      <c r="X1545" s="241"/>
      <c r="Y1545" s="284"/>
      <c r="Z1545" s="207"/>
      <c r="AA1545" s="284"/>
      <c r="AB1545" s="284"/>
      <c r="AC1545" s="284"/>
      <c r="AD1545" s="284"/>
      <c r="AE1545" s="284"/>
      <c r="AF1545" s="284"/>
      <c r="AG1545" s="284"/>
      <c r="AI1545" s="131"/>
    </row>
    <row r="1546" spans="1:35" ht="26.4">
      <c r="A1546" s="284"/>
      <c r="B1546" s="284"/>
      <c r="C1546" s="284"/>
      <c r="D1546" s="284"/>
      <c r="E1546" s="284"/>
      <c r="F1546" s="284"/>
      <c r="G1546" s="284"/>
      <c r="H1546" s="284"/>
      <c r="I1546" s="284"/>
      <c r="J1546" s="284"/>
      <c r="K1546" s="284"/>
      <c r="L1546" s="284"/>
      <c r="M1546" s="113"/>
      <c r="N1546" s="113"/>
      <c r="O1546" s="335"/>
      <c r="T1546" s="340"/>
      <c r="V1546" s="342"/>
      <c r="W1546" s="64" ph="1"/>
      <c r="X1546" s="241"/>
      <c r="Y1546" s="284"/>
      <c r="Z1546" s="207"/>
      <c r="AA1546" s="284"/>
      <c r="AB1546" s="284"/>
      <c r="AC1546" s="284"/>
      <c r="AD1546" s="284"/>
      <c r="AE1546" s="284"/>
      <c r="AF1546" s="284"/>
      <c r="AG1546" s="284"/>
      <c r="AI1546" s="131"/>
    </row>
    <row r="1547" spans="1:35" ht="26.4">
      <c r="A1547" s="284"/>
      <c r="B1547" s="284"/>
      <c r="C1547" s="284"/>
      <c r="D1547" s="284"/>
      <c r="E1547" s="284"/>
      <c r="F1547" s="284"/>
      <c r="G1547" s="284"/>
      <c r="H1547" s="284"/>
      <c r="I1547" s="284"/>
      <c r="J1547" s="284"/>
      <c r="K1547" s="284"/>
      <c r="L1547" s="284"/>
      <c r="M1547" s="113"/>
      <c r="N1547" s="113"/>
      <c r="O1547" s="335"/>
      <c r="T1547" s="340"/>
      <c r="V1547" s="342"/>
      <c r="W1547" s="64" ph="1"/>
      <c r="X1547" s="241"/>
      <c r="Y1547" s="284"/>
      <c r="Z1547" s="207"/>
      <c r="AA1547" s="284"/>
      <c r="AB1547" s="284"/>
      <c r="AC1547" s="284"/>
      <c r="AD1547" s="284"/>
      <c r="AE1547" s="284"/>
      <c r="AF1547" s="284"/>
      <c r="AG1547" s="284"/>
      <c r="AI1547" s="131"/>
    </row>
    <row r="1548" spans="1:35" ht="26.4">
      <c r="A1548" s="284"/>
      <c r="B1548" s="284"/>
      <c r="C1548" s="284"/>
      <c r="D1548" s="284"/>
      <c r="E1548" s="284"/>
      <c r="F1548" s="284"/>
      <c r="G1548" s="284"/>
      <c r="H1548" s="284"/>
      <c r="I1548" s="284"/>
      <c r="J1548" s="284"/>
      <c r="K1548" s="284"/>
      <c r="L1548" s="284"/>
      <c r="M1548" s="113"/>
      <c r="N1548" s="113"/>
      <c r="O1548" s="335"/>
      <c r="T1548" s="340"/>
      <c r="V1548" s="342"/>
      <c r="W1548" s="64" ph="1"/>
      <c r="X1548" s="241"/>
      <c r="Y1548" s="284"/>
      <c r="Z1548" s="207"/>
      <c r="AA1548" s="284"/>
      <c r="AB1548" s="284"/>
      <c r="AC1548" s="284"/>
      <c r="AD1548" s="284"/>
      <c r="AE1548" s="284"/>
      <c r="AF1548" s="284"/>
      <c r="AG1548" s="284"/>
      <c r="AI1548" s="131"/>
    </row>
    <row r="1549" spans="1:35" ht="26.4">
      <c r="A1549" s="284"/>
      <c r="B1549" s="284"/>
      <c r="C1549" s="284"/>
      <c r="D1549" s="284"/>
      <c r="E1549" s="284"/>
      <c r="F1549" s="284"/>
      <c r="G1549" s="284"/>
      <c r="H1549" s="284"/>
      <c r="I1549" s="284"/>
      <c r="J1549" s="284"/>
      <c r="K1549" s="284"/>
      <c r="L1549" s="284"/>
      <c r="M1549" s="113"/>
      <c r="N1549" s="113"/>
      <c r="O1549" s="335"/>
      <c r="T1549" s="340"/>
      <c r="V1549" s="342"/>
      <c r="W1549" s="64" ph="1"/>
      <c r="X1549" s="241"/>
      <c r="Y1549" s="284"/>
      <c r="Z1549" s="207"/>
      <c r="AA1549" s="284"/>
      <c r="AB1549" s="284"/>
      <c r="AC1549" s="284"/>
      <c r="AD1549" s="284"/>
      <c r="AE1549" s="284"/>
      <c r="AF1549" s="284"/>
      <c r="AG1549" s="284"/>
      <c r="AI1549" s="131"/>
    </row>
    <row r="1550" spans="1:35" ht="26.4">
      <c r="A1550" s="284"/>
      <c r="B1550" s="284"/>
      <c r="C1550" s="284"/>
      <c r="D1550" s="284"/>
      <c r="E1550" s="284"/>
      <c r="F1550" s="284"/>
      <c r="G1550" s="284"/>
      <c r="H1550" s="284"/>
      <c r="I1550" s="284"/>
      <c r="J1550" s="284"/>
      <c r="K1550" s="284"/>
      <c r="L1550" s="284"/>
      <c r="M1550" s="113"/>
      <c r="N1550" s="113"/>
      <c r="O1550" s="335"/>
      <c r="T1550" s="340"/>
      <c r="V1550" s="342"/>
      <c r="W1550" s="64" ph="1"/>
      <c r="X1550" s="241"/>
      <c r="Y1550" s="284"/>
      <c r="Z1550" s="207"/>
      <c r="AA1550" s="284"/>
      <c r="AB1550" s="284"/>
      <c r="AC1550" s="284"/>
      <c r="AD1550" s="284"/>
      <c r="AE1550" s="284"/>
      <c r="AF1550" s="284"/>
      <c r="AG1550" s="284"/>
      <c r="AI1550" s="131"/>
    </row>
    <row r="1551" spans="1:35" ht="26.4">
      <c r="A1551" s="284"/>
      <c r="B1551" s="284"/>
      <c r="C1551" s="284"/>
      <c r="D1551" s="284"/>
      <c r="E1551" s="284"/>
      <c r="F1551" s="284"/>
      <c r="G1551" s="284"/>
      <c r="H1551" s="284"/>
      <c r="I1551" s="284"/>
      <c r="J1551" s="284"/>
      <c r="K1551" s="284"/>
      <c r="L1551" s="284"/>
      <c r="M1551" s="113"/>
      <c r="N1551" s="113"/>
      <c r="O1551" s="335"/>
      <c r="T1551" s="340"/>
      <c r="V1551" s="342"/>
      <c r="W1551" s="64" ph="1"/>
      <c r="X1551" s="241"/>
      <c r="Y1551" s="284"/>
      <c r="Z1551" s="207"/>
      <c r="AA1551" s="284"/>
      <c r="AB1551" s="284"/>
      <c r="AC1551" s="284"/>
      <c r="AD1551" s="284"/>
      <c r="AE1551" s="284"/>
      <c r="AF1551" s="284"/>
      <c r="AG1551" s="284"/>
      <c r="AI1551" s="131"/>
    </row>
    <row r="1552" spans="1:35" ht="26.4">
      <c r="A1552" s="284"/>
      <c r="B1552" s="284"/>
      <c r="C1552" s="284"/>
      <c r="D1552" s="284"/>
      <c r="E1552" s="284"/>
      <c r="F1552" s="284"/>
      <c r="G1552" s="284"/>
      <c r="H1552" s="284"/>
      <c r="I1552" s="284"/>
      <c r="J1552" s="284"/>
      <c r="K1552" s="284"/>
      <c r="L1552" s="284"/>
      <c r="M1552" s="113"/>
      <c r="N1552" s="113"/>
      <c r="O1552" s="335"/>
      <c r="T1552" s="340"/>
      <c r="V1552" s="342"/>
      <c r="W1552" s="64" ph="1"/>
      <c r="X1552" s="241"/>
      <c r="Y1552" s="284"/>
      <c r="Z1552" s="207"/>
      <c r="AA1552" s="284"/>
      <c r="AB1552" s="284"/>
      <c r="AC1552" s="284"/>
      <c r="AD1552" s="284"/>
      <c r="AE1552" s="284"/>
      <c r="AF1552" s="284"/>
      <c r="AG1552" s="284"/>
      <c r="AI1552" s="284"/>
    </row>
    <row r="1553" spans="1:35" ht="26.4">
      <c r="A1553" s="284"/>
      <c r="B1553" s="284"/>
      <c r="C1553" s="284"/>
      <c r="D1553" s="284"/>
      <c r="E1553" s="284"/>
      <c r="F1553" s="284"/>
      <c r="G1553" s="284"/>
      <c r="H1553" s="284"/>
      <c r="I1553" s="284"/>
      <c r="J1553" s="284"/>
      <c r="K1553" s="284"/>
      <c r="L1553" s="284"/>
      <c r="M1553" s="113"/>
      <c r="N1553" s="113"/>
      <c r="O1553" s="335"/>
      <c r="T1553" s="340"/>
      <c r="V1553" s="342"/>
      <c r="W1553" s="64" ph="1"/>
      <c r="X1553" s="241"/>
      <c r="Y1553" s="284"/>
      <c r="Z1553" s="207"/>
      <c r="AA1553" s="284"/>
      <c r="AB1553" s="284"/>
      <c r="AC1553" s="284"/>
      <c r="AD1553" s="284"/>
      <c r="AE1553" s="284"/>
      <c r="AF1553" s="284"/>
      <c r="AG1553" s="284"/>
      <c r="AI1553" s="131"/>
    </row>
    <row r="1554" spans="1:35" ht="26.4">
      <c r="A1554" s="284"/>
      <c r="B1554" s="284"/>
      <c r="C1554" s="284"/>
      <c r="D1554" s="284"/>
      <c r="E1554" s="284"/>
      <c r="F1554" s="284"/>
      <c r="G1554" s="284"/>
      <c r="H1554" s="284"/>
      <c r="I1554" s="284"/>
      <c r="J1554" s="284"/>
      <c r="K1554" s="284"/>
      <c r="L1554" s="284"/>
      <c r="M1554" s="113"/>
      <c r="N1554" s="113"/>
      <c r="O1554" s="335"/>
      <c r="T1554" s="340"/>
      <c r="V1554" s="342"/>
      <c r="W1554" s="64" ph="1"/>
      <c r="X1554" s="241"/>
      <c r="Y1554" s="284"/>
      <c r="Z1554" s="207"/>
      <c r="AA1554" s="284"/>
      <c r="AB1554" s="284"/>
      <c r="AC1554" s="284"/>
      <c r="AD1554" s="284"/>
      <c r="AE1554" s="284"/>
      <c r="AF1554" s="284"/>
      <c r="AG1554" s="284"/>
      <c r="AI1554" s="131"/>
    </row>
    <row r="1555" spans="1:35" ht="26.4">
      <c r="A1555" s="284"/>
      <c r="B1555" s="284"/>
      <c r="C1555" s="284"/>
      <c r="D1555" s="284"/>
      <c r="E1555" s="284"/>
      <c r="F1555" s="284"/>
      <c r="G1555" s="284"/>
      <c r="H1555" s="284"/>
      <c r="I1555" s="284"/>
      <c r="J1555" s="284"/>
      <c r="K1555" s="284"/>
      <c r="L1555" s="284"/>
      <c r="M1555" s="113"/>
      <c r="N1555" s="113"/>
      <c r="O1555" s="335"/>
      <c r="T1555" s="340"/>
      <c r="V1555" s="342"/>
      <c r="W1555" s="64" ph="1"/>
      <c r="X1555" s="241"/>
      <c r="Y1555" s="284"/>
      <c r="Z1555" s="207"/>
      <c r="AA1555" s="284"/>
      <c r="AB1555" s="284"/>
      <c r="AC1555" s="284"/>
      <c r="AD1555" s="284"/>
      <c r="AE1555" s="284"/>
      <c r="AF1555" s="284"/>
      <c r="AG1555" s="284"/>
      <c r="AI1555" s="131"/>
    </row>
    <row r="1556" spans="1:35" ht="26.4">
      <c r="A1556" s="284"/>
      <c r="B1556" s="284"/>
      <c r="C1556" s="284"/>
      <c r="D1556" s="284"/>
      <c r="E1556" s="284"/>
      <c r="F1556" s="284"/>
      <c r="G1556" s="284"/>
      <c r="H1556" s="284"/>
      <c r="I1556" s="284"/>
      <c r="J1556" s="284"/>
      <c r="K1556" s="284"/>
      <c r="L1556" s="284"/>
      <c r="M1556" s="113"/>
      <c r="N1556" s="113"/>
      <c r="O1556" s="335"/>
      <c r="T1556" s="340"/>
      <c r="V1556" s="342"/>
      <c r="W1556" s="64" ph="1"/>
      <c r="X1556" s="241"/>
      <c r="Y1556" s="284"/>
      <c r="Z1556" s="207"/>
      <c r="AA1556" s="284"/>
      <c r="AB1556" s="284"/>
      <c r="AC1556" s="284"/>
      <c r="AD1556" s="284"/>
      <c r="AE1556" s="284"/>
      <c r="AF1556" s="284"/>
      <c r="AG1556" s="284"/>
      <c r="AI1556" s="131"/>
    </row>
    <row r="1557" spans="1:35" ht="26.4">
      <c r="A1557" s="284"/>
      <c r="B1557" s="284"/>
      <c r="C1557" s="284"/>
      <c r="D1557" s="284"/>
      <c r="E1557" s="284"/>
      <c r="F1557" s="284"/>
      <c r="G1557" s="284"/>
      <c r="H1557" s="284"/>
      <c r="I1557" s="284"/>
      <c r="J1557" s="284"/>
      <c r="K1557" s="284"/>
      <c r="L1557" s="284"/>
      <c r="M1557" s="113"/>
      <c r="N1557" s="113"/>
      <c r="O1557" s="335"/>
      <c r="T1557" s="340"/>
      <c r="V1557" s="342"/>
      <c r="W1557" s="64" ph="1"/>
      <c r="X1557" s="241"/>
      <c r="Y1557" s="284"/>
      <c r="Z1557" s="207"/>
      <c r="AA1557" s="284"/>
      <c r="AB1557" s="284"/>
      <c r="AC1557" s="284"/>
      <c r="AD1557" s="284"/>
      <c r="AE1557" s="284"/>
      <c r="AF1557" s="284"/>
      <c r="AG1557" s="284"/>
      <c r="AI1557" s="131"/>
    </row>
    <row r="1558" spans="1:35" ht="26.4">
      <c r="A1558" s="284"/>
      <c r="B1558" s="284"/>
      <c r="C1558" s="284"/>
      <c r="D1558" s="284"/>
      <c r="E1558" s="284"/>
      <c r="F1558" s="284"/>
      <c r="G1558" s="284"/>
      <c r="H1558" s="284"/>
      <c r="I1558" s="284"/>
      <c r="J1558" s="284"/>
      <c r="K1558" s="284"/>
      <c r="L1558" s="284"/>
      <c r="M1558" s="113"/>
      <c r="N1558" s="113"/>
      <c r="O1558" s="335"/>
      <c r="T1558" s="340"/>
      <c r="V1558" s="342"/>
      <c r="W1558" s="64" ph="1"/>
      <c r="X1558" s="241"/>
      <c r="Y1558" s="284"/>
      <c r="Z1558" s="207"/>
      <c r="AA1558" s="284"/>
      <c r="AB1558" s="284"/>
      <c r="AC1558" s="284"/>
      <c r="AD1558" s="284"/>
      <c r="AE1558" s="284"/>
      <c r="AF1558" s="284"/>
      <c r="AG1558" s="284"/>
      <c r="AI1558" s="131"/>
    </row>
    <row r="1559" spans="1:35" ht="26.4">
      <c r="A1559" s="284"/>
      <c r="B1559" s="284"/>
      <c r="C1559" s="284"/>
      <c r="D1559" s="284"/>
      <c r="E1559" s="284"/>
      <c r="F1559" s="284"/>
      <c r="G1559" s="284"/>
      <c r="H1559" s="284"/>
      <c r="I1559" s="284"/>
      <c r="J1559" s="284"/>
      <c r="K1559" s="284"/>
      <c r="L1559" s="284"/>
      <c r="M1559" s="113"/>
      <c r="N1559" s="113"/>
      <c r="O1559" s="335"/>
      <c r="T1559" s="340"/>
      <c r="V1559" s="342"/>
      <c r="W1559" s="64" ph="1"/>
      <c r="X1559" s="241"/>
      <c r="Y1559" s="284"/>
      <c r="Z1559" s="207"/>
      <c r="AA1559" s="284"/>
      <c r="AB1559" s="284"/>
      <c r="AC1559" s="284"/>
      <c r="AD1559" s="284"/>
      <c r="AE1559" s="284"/>
      <c r="AF1559" s="284"/>
      <c r="AG1559" s="284"/>
      <c r="AI1559" s="131"/>
    </row>
    <row r="1560" spans="1:35" ht="26.4">
      <c r="A1560" s="284"/>
      <c r="B1560" s="284"/>
      <c r="C1560" s="284"/>
      <c r="D1560" s="284"/>
      <c r="E1560" s="284"/>
      <c r="F1560" s="284"/>
      <c r="G1560" s="284"/>
      <c r="H1560" s="284"/>
      <c r="I1560" s="284"/>
      <c r="J1560" s="284"/>
      <c r="K1560" s="284"/>
      <c r="L1560" s="284"/>
      <c r="M1560" s="113"/>
      <c r="N1560" s="113"/>
      <c r="O1560" s="335"/>
      <c r="T1560" s="340"/>
      <c r="V1560" s="342"/>
      <c r="W1560" s="64" ph="1"/>
      <c r="X1560" s="241"/>
      <c r="Y1560" s="284"/>
      <c r="Z1560" s="207"/>
      <c r="AA1560" s="284"/>
      <c r="AB1560" s="284"/>
      <c r="AC1560" s="284"/>
      <c r="AD1560" s="284"/>
      <c r="AE1560" s="284"/>
      <c r="AF1560" s="284"/>
      <c r="AG1560" s="284"/>
      <c r="AI1560" s="131"/>
    </row>
    <row r="1561" spans="1:35" ht="26.4">
      <c r="A1561" s="284"/>
      <c r="B1561" s="284"/>
      <c r="C1561" s="284"/>
      <c r="D1561" s="284"/>
      <c r="E1561" s="284"/>
      <c r="F1561" s="284"/>
      <c r="G1561" s="284"/>
      <c r="H1561" s="284"/>
      <c r="I1561" s="284"/>
      <c r="J1561" s="284"/>
      <c r="K1561" s="284"/>
      <c r="L1561" s="284"/>
      <c r="M1561" s="113"/>
      <c r="N1561" s="113"/>
      <c r="O1561" s="335"/>
      <c r="T1561" s="340"/>
      <c r="V1561" s="342"/>
      <c r="W1561" s="64" ph="1"/>
      <c r="X1561" s="241"/>
      <c r="Y1561" s="284"/>
      <c r="Z1561" s="207"/>
      <c r="AA1561" s="284"/>
      <c r="AB1561" s="284"/>
      <c r="AC1561" s="284"/>
      <c r="AD1561" s="284"/>
      <c r="AE1561" s="284"/>
      <c r="AF1561" s="284"/>
      <c r="AG1561" s="284"/>
      <c r="AI1561" s="131"/>
    </row>
    <row r="1562" spans="1:35" ht="26.4">
      <c r="A1562" s="284"/>
      <c r="B1562" s="284"/>
      <c r="C1562" s="284"/>
      <c r="D1562" s="284"/>
      <c r="E1562" s="284"/>
      <c r="F1562" s="284"/>
      <c r="G1562" s="284"/>
      <c r="H1562" s="284"/>
      <c r="I1562" s="284"/>
      <c r="J1562" s="284"/>
      <c r="K1562" s="284"/>
      <c r="L1562" s="284"/>
      <c r="M1562" s="113"/>
      <c r="N1562" s="113"/>
      <c r="O1562" s="335"/>
      <c r="T1562" s="340"/>
      <c r="V1562" s="342"/>
      <c r="W1562" s="64" ph="1"/>
      <c r="X1562" s="241"/>
      <c r="Y1562" s="284"/>
      <c r="Z1562" s="207"/>
      <c r="AA1562" s="284"/>
      <c r="AB1562" s="284"/>
      <c r="AC1562" s="284"/>
      <c r="AD1562" s="284"/>
      <c r="AE1562" s="284"/>
      <c r="AF1562" s="284"/>
      <c r="AG1562" s="284"/>
      <c r="AI1562" s="131"/>
    </row>
    <row r="1563" spans="1:35" ht="26.4">
      <c r="A1563" s="284"/>
      <c r="B1563" s="284"/>
      <c r="C1563" s="284"/>
      <c r="D1563" s="284"/>
      <c r="E1563" s="284"/>
      <c r="F1563" s="284"/>
      <c r="G1563" s="284"/>
      <c r="H1563" s="284"/>
      <c r="I1563" s="284"/>
      <c r="J1563" s="284"/>
      <c r="K1563" s="284"/>
      <c r="L1563" s="284"/>
      <c r="M1563" s="113"/>
      <c r="N1563" s="113"/>
      <c r="O1563" s="335"/>
      <c r="T1563" s="340"/>
      <c r="V1563" s="342"/>
      <c r="W1563" s="64" ph="1"/>
      <c r="X1563" s="241"/>
      <c r="Y1563" s="284"/>
      <c r="Z1563" s="207"/>
      <c r="AA1563" s="284"/>
      <c r="AB1563" s="284"/>
      <c r="AC1563" s="284"/>
      <c r="AD1563" s="284"/>
      <c r="AE1563" s="284"/>
      <c r="AF1563" s="284"/>
      <c r="AG1563" s="284"/>
      <c r="AI1563" s="284"/>
    </row>
    <row r="1564" spans="1:35" ht="26.4">
      <c r="A1564" s="284"/>
      <c r="B1564" s="284"/>
      <c r="C1564" s="284"/>
      <c r="D1564" s="284"/>
      <c r="E1564" s="284"/>
      <c r="F1564" s="284"/>
      <c r="G1564" s="284"/>
      <c r="H1564" s="284"/>
      <c r="I1564" s="284"/>
      <c r="J1564" s="284"/>
      <c r="K1564" s="284"/>
      <c r="L1564" s="284"/>
      <c r="M1564" s="113"/>
      <c r="N1564" s="113"/>
      <c r="O1564" s="335"/>
      <c r="T1564" s="340"/>
      <c r="V1564" s="342"/>
      <c r="W1564" s="64" ph="1"/>
      <c r="X1564" s="241"/>
      <c r="Y1564" s="284"/>
      <c r="Z1564" s="207"/>
      <c r="AA1564" s="284"/>
      <c r="AB1564" s="284"/>
      <c r="AC1564" s="284"/>
      <c r="AD1564" s="284"/>
      <c r="AE1564" s="284"/>
      <c r="AF1564" s="284"/>
      <c r="AG1564" s="284"/>
      <c r="AI1564" s="131"/>
    </row>
    <row r="1565" spans="1:35" ht="26.4">
      <c r="A1565" s="284"/>
      <c r="B1565" s="284"/>
      <c r="C1565" s="284"/>
      <c r="D1565" s="284"/>
      <c r="E1565" s="284"/>
      <c r="F1565" s="284"/>
      <c r="G1565" s="284"/>
      <c r="H1565" s="284"/>
      <c r="I1565" s="284"/>
      <c r="J1565" s="284"/>
      <c r="K1565" s="284"/>
      <c r="L1565" s="284"/>
      <c r="M1565" s="113"/>
      <c r="N1565" s="113"/>
      <c r="O1565" s="335"/>
      <c r="T1565" s="340"/>
      <c r="V1565" s="342"/>
      <c r="W1565" s="64" ph="1"/>
      <c r="X1565" s="241"/>
      <c r="Y1565" s="284"/>
      <c r="Z1565" s="207"/>
      <c r="AA1565" s="284"/>
      <c r="AB1565" s="284"/>
      <c r="AC1565" s="284"/>
      <c r="AD1565" s="284"/>
      <c r="AE1565" s="284"/>
      <c r="AF1565" s="284"/>
      <c r="AG1565" s="284"/>
      <c r="AI1565" s="131"/>
    </row>
    <row r="1566" spans="1:35" ht="26.4">
      <c r="A1566" s="284"/>
      <c r="B1566" s="284"/>
      <c r="C1566" s="284"/>
      <c r="D1566" s="284"/>
      <c r="E1566" s="284"/>
      <c r="F1566" s="284"/>
      <c r="G1566" s="284"/>
      <c r="H1566" s="284"/>
      <c r="I1566" s="284"/>
      <c r="J1566" s="284"/>
      <c r="K1566" s="284"/>
      <c r="L1566" s="284"/>
      <c r="M1566" s="113"/>
      <c r="N1566" s="113"/>
      <c r="O1566" s="335"/>
      <c r="T1566" s="340"/>
      <c r="V1566" s="342"/>
      <c r="W1566" s="64" ph="1"/>
      <c r="X1566" s="241"/>
      <c r="Y1566" s="284"/>
      <c r="Z1566" s="207"/>
      <c r="AA1566" s="284"/>
      <c r="AB1566" s="284"/>
      <c r="AC1566" s="284"/>
      <c r="AD1566" s="284"/>
      <c r="AE1566" s="284"/>
      <c r="AF1566" s="284"/>
      <c r="AG1566" s="284"/>
      <c r="AI1566" s="284"/>
    </row>
    <row r="1567" spans="1:35" ht="26.4">
      <c r="A1567" s="284"/>
      <c r="B1567" s="284"/>
      <c r="C1567" s="284"/>
      <c r="D1567" s="284"/>
      <c r="E1567" s="284"/>
      <c r="F1567" s="284"/>
      <c r="G1567" s="284"/>
      <c r="H1567" s="284"/>
      <c r="I1567" s="284"/>
      <c r="J1567" s="284"/>
      <c r="K1567" s="284"/>
      <c r="L1567" s="284"/>
      <c r="M1567" s="113"/>
      <c r="N1567" s="113"/>
      <c r="O1567" s="335"/>
      <c r="T1567" s="340"/>
      <c r="V1567" s="342"/>
      <c r="W1567" s="64" ph="1"/>
      <c r="X1567" s="241"/>
      <c r="Y1567" s="284"/>
      <c r="Z1567" s="207"/>
      <c r="AA1567" s="284"/>
      <c r="AB1567" s="284"/>
      <c r="AC1567" s="284"/>
      <c r="AD1567" s="284"/>
      <c r="AE1567" s="284"/>
      <c r="AF1567" s="284"/>
      <c r="AG1567" s="284"/>
      <c r="AI1567" s="131"/>
    </row>
    <row r="1568" spans="1:35" ht="26.4">
      <c r="A1568" s="284"/>
      <c r="B1568" s="284"/>
      <c r="C1568" s="284"/>
      <c r="D1568" s="284"/>
      <c r="E1568" s="284"/>
      <c r="F1568" s="284"/>
      <c r="G1568" s="284"/>
      <c r="H1568" s="284"/>
      <c r="I1568" s="284"/>
      <c r="J1568" s="284"/>
      <c r="K1568" s="284"/>
      <c r="L1568" s="284"/>
      <c r="M1568" s="113"/>
      <c r="N1568" s="113"/>
      <c r="O1568" s="335"/>
      <c r="T1568" s="340"/>
      <c r="V1568" s="342"/>
      <c r="W1568" s="64" ph="1"/>
      <c r="X1568" s="241"/>
      <c r="Y1568" s="284"/>
      <c r="Z1568" s="207"/>
      <c r="AA1568" s="284"/>
      <c r="AB1568" s="284"/>
      <c r="AC1568" s="284"/>
      <c r="AD1568" s="284"/>
      <c r="AE1568" s="284"/>
      <c r="AF1568" s="284"/>
      <c r="AG1568" s="284"/>
      <c r="AI1568" s="131"/>
    </row>
    <row r="1569" spans="1:35" ht="26.4">
      <c r="A1569" s="284"/>
      <c r="B1569" s="284"/>
      <c r="C1569" s="284"/>
      <c r="D1569" s="284"/>
      <c r="E1569" s="284"/>
      <c r="F1569" s="284"/>
      <c r="G1569" s="284"/>
      <c r="H1569" s="284"/>
      <c r="I1569" s="284"/>
      <c r="J1569" s="284"/>
      <c r="K1569" s="284"/>
      <c r="L1569" s="284"/>
      <c r="M1569" s="113"/>
      <c r="N1569" s="113"/>
      <c r="O1569" s="335"/>
      <c r="T1569" s="340"/>
      <c r="V1569" s="342"/>
      <c r="W1569" s="64" ph="1"/>
      <c r="X1569" s="241"/>
      <c r="Y1569" s="284"/>
      <c r="Z1569" s="207"/>
      <c r="AA1569" s="284"/>
      <c r="AB1569" s="284"/>
      <c r="AC1569" s="284"/>
      <c r="AD1569" s="284"/>
      <c r="AE1569" s="284"/>
      <c r="AF1569" s="284"/>
      <c r="AG1569" s="284"/>
      <c r="AI1569" s="131"/>
    </row>
    <row r="1570" spans="1:35" ht="26.4">
      <c r="A1570" s="284"/>
      <c r="B1570" s="284"/>
      <c r="C1570" s="284"/>
      <c r="D1570" s="284"/>
      <c r="E1570" s="284"/>
      <c r="F1570" s="284"/>
      <c r="G1570" s="284"/>
      <c r="H1570" s="284"/>
      <c r="I1570" s="284"/>
      <c r="J1570" s="284"/>
      <c r="K1570" s="284"/>
      <c r="L1570" s="284"/>
      <c r="M1570" s="113"/>
      <c r="N1570" s="113"/>
      <c r="O1570" s="335"/>
      <c r="T1570" s="340"/>
      <c r="V1570" s="342"/>
      <c r="W1570" s="64" ph="1"/>
      <c r="X1570" s="241"/>
      <c r="Y1570" s="284"/>
      <c r="Z1570" s="207"/>
      <c r="AA1570" s="284"/>
      <c r="AB1570" s="284"/>
      <c r="AC1570" s="284"/>
      <c r="AD1570" s="284"/>
      <c r="AE1570" s="284"/>
      <c r="AF1570" s="284"/>
      <c r="AG1570" s="284"/>
      <c r="AI1570" s="131"/>
    </row>
    <row r="1571" spans="1:35" ht="26.4">
      <c r="A1571" s="284"/>
      <c r="B1571" s="284"/>
      <c r="C1571" s="284"/>
      <c r="D1571" s="284"/>
      <c r="E1571" s="284"/>
      <c r="F1571" s="284"/>
      <c r="G1571" s="284"/>
      <c r="H1571" s="284"/>
      <c r="I1571" s="284"/>
      <c r="J1571" s="284"/>
      <c r="K1571" s="284"/>
      <c r="L1571" s="284"/>
      <c r="M1571" s="113"/>
      <c r="N1571" s="113"/>
      <c r="O1571" s="335"/>
      <c r="T1571" s="340"/>
      <c r="V1571" s="342"/>
      <c r="W1571" s="64" ph="1"/>
      <c r="X1571" s="241"/>
      <c r="Y1571" s="284"/>
      <c r="Z1571" s="207"/>
      <c r="AA1571" s="284"/>
      <c r="AB1571" s="284"/>
      <c r="AC1571" s="284"/>
      <c r="AD1571" s="284"/>
      <c r="AE1571" s="284"/>
      <c r="AF1571" s="284"/>
      <c r="AG1571" s="284"/>
      <c r="AI1571" s="131"/>
    </row>
    <row r="1572" spans="1:35" ht="26.4">
      <c r="A1572" s="284"/>
      <c r="B1572" s="284"/>
      <c r="C1572" s="284"/>
      <c r="D1572" s="284"/>
      <c r="E1572" s="284"/>
      <c r="F1572" s="284"/>
      <c r="G1572" s="284"/>
      <c r="H1572" s="284"/>
      <c r="I1572" s="284"/>
      <c r="J1572" s="284"/>
      <c r="K1572" s="284"/>
      <c r="L1572" s="284"/>
      <c r="M1572" s="113"/>
      <c r="N1572" s="113"/>
      <c r="O1572" s="335"/>
      <c r="T1572" s="340"/>
      <c r="V1572" s="342"/>
      <c r="W1572" s="64" ph="1"/>
      <c r="X1572" s="241"/>
      <c r="Y1572" s="284"/>
      <c r="Z1572" s="207"/>
      <c r="AA1572" s="284"/>
      <c r="AB1572" s="284"/>
      <c r="AC1572" s="284"/>
      <c r="AD1572" s="284"/>
      <c r="AE1572" s="284"/>
      <c r="AF1572" s="284"/>
      <c r="AG1572" s="284"/>
      <c r="AI1572" s="131"/>
    </row>
    <row r="1573" spans="1:35" ht="26.4">
      <c r="A1573" s="284"/>
      <c r="B1573" s="284"/>
      <c r="C1573" s="284"/>
      <c r="D1573" s="284"/>
      <c r="E1573" s="284"/>
      <c r="F1573" s="284"/>
      <c r="G1573" s="284"/>
      <c r="H1573" s="284"/>
      <c r="I1573" s="284"/>
      <c r="J1573" s="284"/>
      <c r="K1573" s="284"/>
      <c r="L1573" s="284"/>
      <c r="M1573" s="113"/>
      <c r="N1573" s="113"/>
      <c r="O1573" s="335"/>
      <c r="T1573" s="340"/>
      <c r="V1573" s="342"/>
      <c r="W1573" s="64" ph="1"/>
      <c r="X1573" s="241"/>
      <c r="Y1573" s="284"/>
      <c r="Z1573" s="207"/>
      <c r="AA1573" s="284"/>
      <c r="AB1573" s="284"/>
      <c r="AC1573" s="284"/>
      <c r="AD1573" s="284"/>
      <c r="AE1573" s="284"/>
      <c r="AF1573" s="284"/>
      <c r="AG1573" s="284"/>
      <c r="AI1573" s="131"/>
    </row>
    <row r="1574" spans="1:35" ht="26.4">
      <c r="A1574" s="284"/>
      <c r="B1574" s="284"/>
      <c r="C1574" s="284"/>
      <c r="D1574" s="284"/>
      <c r="E1574" s="284"/>
      <c r="F1574" s="284"/>
      <c r="G1574" s="284"/>
      <c r="H1574" s="284"/>
      <c r="I1574" s="284"/>
      <c r="J1574" s="284"/>
      <c r="K1574" s="284"/>
      <c r="L1574" s="284"/>
      <c r="M1574" s="113"/>
      <c r="N1574" s="113"/>
      <c r="O1574" s="335"/>
      <c r="T1574" s="340"/>
      <c r="V1574" s="342"/>
      <c r="W1574" s="64" ph="1"/>
      <c r="X1574" s="241"/>
      <c r="Y1574" s="284"/>
      <c r="Z1574" s="207"/>
      <c r="AA1574" s="284"/>
      <c r="AB1574" s="284"/>
      <c r="AC1574" s="284"/>
      <c r="AD1574" s="284"/>
      <c r="AE1574" s="284"/>
      <c r="AF1574" s="284"/>
      <c r="AG1574" s="284"/>
      <c r="AI1574" s="131"/>
    </row>
    <row r="1575" spans="1:35" ht="26.4">
      <c r="A1575" s="284"/>
      <c r="B1575" s="284"/>
      <c r="C1575" s="284"/>
      <c r="D1575" s="284"/>
      <c r="E1575" s="284"/>
      <c r="F1575" s="284"/>
      <c r="G1575" s="284"/>
      <c r="H1575" s="284"/>
      <c r="I1575" s="284"/>
      <c r="J1575" s="284"/>
      <c r="K1575" s="284"/>
      <c r="L1575" s="284"/>
      <c r="M1575" s="113"/>
      <c r="N1575" s="113"/>
      <c r="O1575" s="335"/>
      <c r="T1575" s="340"/>
      <c r="V1575" s="342"/>
      <c r="W1575" s="64" ph="1"/>
      <c r="X1575" s="241"/>
      <c r="Y1575" s="284"/>
      <c r="Z1575" s="207"/>
      <c r="AA1575" s="284"/>
      <c r="AB1575" s="284"/>
      <c r="AC1575" s="284"/>
      <c r="AD1575" s="284"/>
      <c r="AE1575" s="284"/>
      <c r="AF1575" s="284"/>
      <c r="AG1575" s="284"/>
      <c r="AI1575" s="131"/>
    </row>
    <row r="1576" spans="1:35" ht="26.4">
      <c r="A1576" s="284"/>
      <c r="B1576" s="284"/>
      <c r="C1576" s="284"/>
      <c r="D1576" s="284"/>
      <c r="E1576" s="284"/>
      <c r="F1576" s="284"/>
      <c r="G1576" s="284"/>
      <c r="H1576" s="284"/>
      <c r="I1576" s="284"/>
      <c r="J1576" s="284"/>
      <c r="K1576" s="284"/>
      <c r="L1576" s="284"/>
      <c r="M1576" s="113"/>
      <c r="N1576" s="113"/>
      <c r="O1576" s="335"/>
      <c r="T1576" s="340"/>
      <c r="V1576" s="342"/>
      <c r="W1576" s="64" ph="1"/>
      <c r="X1576" s="241"/>
      <c r="Y1576" s="284"/>
      <c r="Z1576" s="207"/>
      <c r="AA1576" s="284"/>
      <c r="AB1576" s="284"/>
      <c r="AC1576" s="284"/>
      <c r="AD1576" s="284"/>
      <c r="AE1576" s="284"/>
      <c r="AF1576" s="284"/>
      <c r="AG1576" s="284"/>
      <c r="AI1576" s="131"/>
    </row>
    <row r="1577" spans="1:35" ht="26.4">
      <c r="A1577" s="284"/>
      <c r="B1577" s="284"/>
      <c r="C1577" s="284"/>
      <c r="D1577" s="284"/>
      <c r="E1577" s="284"/>
      <c r="F1577" s="284"/>
      <c r="G1577" s="284"/>
      <c r="H1577" s="284"/>
      <c r="I1577" s="284"/>
      <c r="J1577" s="284"/>
      <c r="K1577" s="284"/>
      <c r="L1577" s="284"/>
      <c r="M1577" s="113"/>
      <c r="N1577" s="113"/>
      <c r="O1577" s="335"/>
      <c r="T1577" s="340"/>
      <c r="V1577" s="342"/>
      <c r="W1577" s="64" ph="1"/>
      <c r="X1577" s="241"/>
      <c r="Y1577" s="284"/>
      <c r="Z1577" s="207"/>
      <c r="AA1577" s="284"/>
      <c r="AB1577" s="284"/>
      <c r="AC1577" s="284"/>
      <c r="AD1577" s="284"/>
      <c r="AE1577" s="284"/>
      <c r="AF1577" s="284"/>
      <c r="AG1577" s="284"/>
      <c r="AI1577" s="131"/>
    </row>
    <row r="1578" spans="1:35" ht="26.4">
      <c r="A1578" s="284"/>
      <c r="B1578" s="284"/>
      <c r="C1578" s="284"/>
      <c r="D1578" s="284"/>
      <c r="E1578" s="284"/>
      <c r="F1578" s="284"/>
      <c r="G1578" s="284"/>
      <c r="H1578" s="284"/>
      <c r="I1578" s="284"/>
      <c r="J1578" s="284"/>
      <c r="K1578" s="284"/>
      <c r="L1578" s="284"/>
      <c r="M1578" s="113"/>
      <c r="N1578" s="113"/>
      <c r="O1578" s="335"/>
      <c r="T1578" s="340"/>
      <c r="V1578" s="342"/>
      <c r="W1578" s="64" ph="1"/>
      <c r="X1578" s="241"/>
      <c r="Y1578" s="284"/>
      <c r="Z1578" s="207"/>
      <c r="AA1578" s="284"/>
      <c r="AB1578" s="284"/>
      <c r="AC1578" s="284"/>
      <c r="AD1578" s="284"/>
      <c r="AE1578" s="284"/>
      <c r="AF1578" s="284"/>
      <c r="AG1578" s="284"/>
      <c r="AI1578" s="131"/>
    </row>
    <row r="1579" spans="1:35" ht="26.4">
      <c r="A1579" s="284"/>
      <c r="B1579" s="284"/>
      <c r="C1579" s="284"/>
      <c r="D1579" s="284"/>
      <c r="E1579" s="284"/>
      <c r="F1579" s="284"/>
      <c r="G1579" s="284"/>
      <c r="H1579" s="284"/>
      <c r="I1579" s="284"/>
      <c r="J1579" s="284"/>
      <c r="K1579" s="284"/>
      <c r="L1579" s="284"/>
      <c r="M1579" s="113"/>
      <c r="N1579" s="113"/>
      <c r="O1579" s="335"/>
      <c r="T1579" s="340"/>
      <c r="V1579" s="342"/>
      <c r="W1579" s="64" ph="1"/>
      <c r="X1579" s="241"/>
      <c r="Y1579" s="284"/>
      <c r="Z1579" s="207"/>
      <c r="AA1579" s="284"/>
      <c r="AB1579" s="284"/>
      <c r="AC1579" s="284"/>
      <c r="AD1579" s="284"/>
      <c r="AE1579" s="284"/>
      <c r="AF1579" s="284"/>
      <c r="AG1579" s="284"/>
      <c r="AI1579" s="131"/>
    </row>
    <row r="1580" spans="1:35" ht="26.4">
      <c r="A1580" s="284"/>
      <c r="B1580" s="284"/>
      <c r="C1580" s="284"/>
      <c r="D1580" s="284"/>
      <c r="E1580" s="284"/>
      <c r="F1580" s="284"/>
      <c r="G1580" s="284"/>
      <c r="H1580" s="284"/>
      <c r="I1580" s="284"/>
      <c r="J1580" s="284"/>
      <c r="K1580" s="284"/>
      <c r="L1580" s="284"/>
      <c r="M1580" s="113"/>
      <c r="N1580" s="113"/>
      <c r="O1580" s="335"/>
      <c r="T1580" s="340"/>
      <c r="V1580" s="342"/>
      <c r="W1580" s="64" ph="1"/>
      <c r="X1580" s="241"/>
      <c r="Y1580" s="284"/>
      <c r="Z1580" s="207"/>
      <c r="AA1580" s="284"/>
      <c r="AB1580" s="284"/>
      <c r="AC1580" s="284"/>
      <c r="AD1580" s="284"/>
      <c r="AE1580" s="284"/>
      <c r="AF1580" s="284"/>
      <c r="AG1580" s="284"/>
      <c r="AI1580" s="131"/>
    </row>
    <row r="1581" spans="1:35" ht="26.4">
      <c r="A1581" s="284"/>
      <c r="B1581" s="284"/>
      <c r="C1581" s="284"/>
      <c r="D1581" s="284"/>
      <c r="E1581" s="284"/>
      <c r="F1581" s="284"/>
      <c r="G1581" s="284"/>
      <c r="H1581" s="284"/>
      <c r="I1581" s="284"/>
      <c r="J1581" s="284"/>
      <c r="K1581" s="284"/>
      <c r="L1581" s="284"/>
      <c r="M1581" s="113"/>
      <c r="N1581" s="113"/>
      <c r="O1581" s="335"/>
      <c r="T1581" s="340"/>
      <c r="V1581" s="342"/>
      <c r="W1581" s="64" ph="1"/>
      <c r="X1581" s="241"/>
      <c r="Y1581" s="284"/>
      <c r="Z1581" s="207"/>
      <c r="AA1581" s="284"/>
      <c r="AB1581" s="284"/>
      <c r="AC1581" s="284"/>
      <c r="AD1581" s="284"/>
      <c r="AE1581" s="284"/>
      <c r="AF1581" s="284"/>
      <c r="AG1581" s="284"/>
      <c r="AI1581" s="131"/>
    </row>
    <row r="1582" spans="1:35" ht="26.4">
      <c r="A1582" s="284"/>
      <c r="B1582" s="284"/>
      <c r="C1582" s="284"/>
      <c r="D1582" s="284"/>
      <c r="E1582" s="284"/>
      <c r="F1582" s="284"/>
      <c r="G1582" s="284"/>
      <c r="H1582" s="284"/>
      <c r="I1582" s="284"/>
      <c r="J1582" s="284"/>
      <c r="K1582" s="284"/>
      <c r="L1582" s="284"/>
      <c r="M1582" s="113"/>
      <c r="N1582" s="113"/>
      <c r="O1582" s="335"/>
      <c r="T1582" s="340"/>
      <c r="V1582" s="342"/>
      <c r="W1582" s="64" ph="1"/>
      <c r="X1582" s="241"/>
      <c r="Y1582" s="284"/>
      <c r="Z1582" s="207"/>
      <c r="AA1582" s="284"/>
      <c r="AB1582" s="284"/>
      <c r="AC1582" s="284"/>
      <c r="AD1582" s="284"/>
      <c r="AE1582" s="284"/>
      <c r="AF1582" s="284"/>
      <c r="AG1582" s="284"/>
      <c r="AI1582" s="131"/>
    </row>
    <row r="1583" spans="1:35" ht="26.4">
      <c r="A1583" s="284"/>
      <c r="B1583" s="284"/>
      <c r="C1583" s="284"/>
      <c r="D1583" s="284"/>
      <c r="E1583" s="284"/>
      <c r="F1583" s="284"/>
      <c r="G1583" s="284"/>
      <c r="H1583" s="284"/>
      <c r="I1583" s="284"/>
      <c r="J1583" s="284"/>
      <c r="K1583" s="284"/>
      <c r="L1583" s="284"/>
      <c r="M1583" s="113"/>
      <c r="N1583" s="113"/>
      <c r="O1583" s="335"/>
      <c r="T1583" s="340"/>
      <c r="V1583" s="342"/>
      <c r="W1583" s="64" ph="1"/>
      <c r="X1583" s="241"/>
      <c r="Y1583" s="284"/>
      <c r="Z1583" s="207"/>
      <c r="AA1583" s="284"/>
      <c r="AB1583" s="284"/>
      <c r="AC1583" s="284"/>
      <c r="AD1583" s="284"/>
      <c r="AE1583" s="284"/>
      <c r="AF1583" s="284"/>
      <c r="AG1583" s="284"/>
      <c r="AI1583" s="131"/>
    </row>
    <row r="1584" spans="1:35" ht="26.4">
      <c r="A1584" s="284"/>
      <c r="B1584" s="284"/>
      <c r="C1584" s="284"/>
      <c r="D1584" s="284"/>
      <c r="E1584" s="284"/>
      <c r="F1584" s="284"/>
      <c r="G1584" s="284"/>
      <c r="H1584" s="284"/>
      <c r="I1584" s="284"/>
      <c r="J1584" s="284"/>
      <c r="K1584" s="284"/>
      <c r="L1584" s="284"/>
      <c r="M1584" s="113"/>
      <c r="N1584" s="113"/>
      <c r="O1584" s="335"/>
      <c r="T1584" s="340"/>
      <c r="V1584" s="342"/>
      <c r="W1584" s="64" ph="1"/>
      <c r="X1584" s="241"/>
      <c r="Y1584" s="284"/>
      <c r="Z1584" s="207"/>
      <c r="AA1584" s="284"/>
      <c r="AB1584" s="284"/>
      <c r="AC1584" s="284"/>
      <c r="AD1584" s="284"/>
      <c r="AE1584" s="284"/>
      <c r="AF1584" s="284"/>
      <c r="AG1584" s="284"/>
      <c r="AI1584" s="131"/>
    </row>
    <row r="1585" spans="1:35" ht="26.4">
      <c r="A1585" s="284"/>
      <c r="B1585" s="284"/>
      <c r="C1585" s="284"/>
      <c r="D1585" s="284"/>
      <c r="E1585" s="284"/>
      <c r="F1585" s="284"/>
      <c r="G1585" s="284"/>
      <c r="H1585" s="284"/>
      <c r="I1585" s="284"/>
      <c r="J1585" s="284"/>
      <c r="K1585" s="284"/>
      <c r="L1585" s="284"/>
      <c r="M1585" s="113"/>
      <c r="N1585" s="113"/>
      <c r="O1585" s="335"/>
      <c r="T1585" s="340"/>
      <c r="V1585" s="342"/>
      <c r="W1585" s="64" ph="1"/>
      <c r="X1585" s="241"/>
      <c r="Y1585" s="284"/>
      <c r="Z1585" s="207"/>
      <c r="AA1585" s="284"/>
      <c r="AB1585" s="284"/>
      <c r="AC1585" s="284"/>
      <c r="AD1585" s="284"/>
      <c r="AE1585" s="284"/>
      <c r="AF1585" s="284"/>
      <c r="AG1585" s="284"/>
      <c r="AI1585" s="131"/>
    </row>
    <row r="1586" spans="1:35" ht="26.4">
      <c r="A1586" s="284"/>
      <c r="B1586" s="284"/>
      <c r="C1586" s="284"/>
      <c r="D1586" s="284"/>
      <c r="E1586" s="284"/>
      <c r="F1586" s="284"/>
      <c r="G1586" s="284"/>
      <c r="H1586" s="284"/>
      <c r="I1586" s="284"/>
      <c r="J1586" s="284"/>
      <c r="K1586" s="284"/>
      <c r="L1586" s="284"/>
      <c r="M1586" s="113"/>
      <c r="N1586" s="113"/>
      <c r="O1586" s="335"/>
      <c r="T1586" s="340"/>
      <c r="V1586" s="342"/>
      <c r="W1586" s="64" ph="1"/>
      <c r="X1586" s="241"/>
      <c r="Y1586" s="284"/>
      <c r="Z1586" s="207"/>
      <c r="AA1586" s="284"/>
      <c r="AB1586" s="284"/>
      <c r="AC1586" s="284"/>
      <c r="AD1586" s="284"/>
      <c r="AE1586" s="284"/>
      <c r="AF1586" s="284"/>
      <c r="AG1586" s="284"/>
      <c r="AI1586" s="131"/>
    </row>
    <row r="1587" spans="1:35" ht="26.4">
      <c r="A1587" s="284"/>
      <c r="B1587" s="284"/>
      <c r="C1587" s="284"/>
      <c r="D1587" s="284"/>
      <c r="E1587" s="284"/>
      <c r="F1587" s="284"/>
      <c r="G1587" s="284"/>
      <c r="H1587" s="284"/>
      <c r="I1587" s="284"/>
      <c r="J1587" s="284"/>
      <c r="K1587" s="284"/>
      <c r="L1587" s="284"/>
      <c r="M1587" s="113"/>
      <c r="N1587" s="113"/>
      <c r="O1587" s="335"/>
      <c r="T1587" s="340"/>
      <c r="V1587" s="342"/>
      <c r="W1587" s="64" ph="1"/>
      <c r="X1587" s="241"/>
      <c r="Y1587" s="284"/>
      <c r="Z1587" s="207"/>
      <c r="AA1587" s="284"/>
      <c r="AB1587" s="284"/>
      <c r="AC1587" s="284"/>
      <c r="AD1587" s="284"/>
      <c r="AE1587" s="284"/>
      <c r="AF1587" s="284"/>
      <c r="AG1587" s="284"/>
      <c r="AI1587" s="131"/>
    </row>
    <row r="1588" spans="1:35" ht="26.4">
      <c r="A1588" s="284"/>
      <c r="B1588" s="284"/>
      <c r="C1588" s="284"/>
      <c r="D1588" s="284"/>
      <c r="E1588" s="284"/>
      <c r="F1588" s="284"/>
      <c r="G1588" s="284"/>
      <c r="H1588" s="284"/>
      <c r="I1588" s="284"/>
      <c r="J1588" s="284"/>
      <c r="K1588" s="284"/>
      <c r="L1588" s="284"/>
      <c r="M1588" s="113"/>
      <c r="N1588" s="113"/>
      <c r="O1588" s="335"/>
      <c r="T1588" s="340"/>
      <c r="V1588" s="342"/>
      <c r="W1588" s="64" ph="1"/>
      <c r="X1588" s="241"/>
      <c r="Y1588" s="284"/>
      <c r="Z1588" s="207"/>
      <c r="AA1588" s="284"/>
      <c r="AB1588" s="284"/>
      <c r="AC1588" s="284"/>
      <c r="AD1588" s="284"/>
      <c r="AE1588" s="284"/>
      <c r="AF1588" s="284"/>
      <c r="AG1588" s="284"/>
      <c r="AI1588" s="131"/>
    </row>
    <row r="1589" spans="1:35" ht="26.4">
      <c r="A1589" s="284"/>
      <c r="B1589" s="284"/>
      <c r="C1589" s="284"/>
      <c r="D1589" s="284"/>
      <c r="E1589" s="284"/>
      <c r="F1589" s="284"/>
      <c r="G1589" s="284"/>
      <c r="H1589" s="284"/>
      <c r="I1589" s="284"/>
      <c r="J1589" s="284"/>
      <c r="K1589" s="284"/>
      <c r="L1589" s="284"/>
      <c r="M1589" s="113"/>
      <c r="N1589" s="113"/>
      <c r="O1589" s="335"/>
      <c r="T1589" s="340"/>
      <c r="V1589" s="342"/>
      <c r="W1589" s="64" ph="1"/>
      <c r="X1589" s="241"/>
      <c r="Y1589" s="284"/>
      <c r="Z1589" s="207"/>
      <c r="AA1589" s="284"/>
      <c r="AB1589" s="284"/>
      <c r="AC1589" s="284"/>
      <c r="AD1589" s="284"/>
      <c r="AE1589" s="284"/>
      <c r="AF1589" s="284"/>
      <c r="AG1589" s="284"/>
      <c r="AI1589" s="284"/>
    </row>
    <row r="1590" spans="1:35" ht="26.4">
      <c r="A1590" s="284"/>
      <c r="B1590" s="284"/>
      <c r="C1590" s="284"/>
      <c r="D1590" s="284"/>
      <c r="E1590" s="284"/>
      <c r="F1590" s="284"/>
      <c r="G1590" s="284"/>
      <c r="H1590" s="284"/>
      <c r="I1590" s="284"/>
      <c r="J1590" s="284"/>
      <c r="K1590" s="284"/>
      <c r="L1590" s="284"/>
      <c r="M1590" s="113"/>
      <c r="N1590" s="113"/>
      <c r="O1590" s="335"/>
      <c r="T1590" s="340"/>
      <c r="V1590" s="342"/>
      <c r="W1590" s="64" ph="1"/>
      <c r="X1590" s="241"/>
      <c r="Y1590" s="284"/>
      <c r="Z1590" s="207"/>
      <c r="AA1590" s="284"/>
      <c r="AB1590" s="284"/>
      <c r="AC1590" s="284"/>
      <c r="AD1590" s="284"/>
      <c r="AE1590" s="284"/>
      <c r="AF1590" s="284"/>
      <c r="AG1590" s="284"/>
      <c r="AI1590" s="131"/>
    </row>
    <row r="1591" spans="1:35" ht="26.4">
      <c r="A1591" s="284"/>
      <c r="B1591" s="284"/>
      <c r="C1591" s="284"/>
      <c r="D1591" s="284"/>
      <c r="E1591" s="284"/>
      <c r="F1591" s="284"/>
      <c r="G1591" s="284"/>
      <c r="H1591" s="284"/>
      <c r="I1591" s="284"/>
      <c r="J1591" s="284"/>
      <c r="K1591" s="284"/>
      <c r="L1591" s="284"/>
      <c r="M1591" s="113"/>
      <c r="N1591" s="113"/>
      <c r="O1591" s="335"/>
      <c r="T1591" s="340"/>
      <c r="V1591" s="342"/>
      <c r="W1591" s="64" ph="1"/>
      <c r="X1591" s="241"/>
      <c r="Y1591" s="284"/>
      <c r="Z1591" s="207"/>
      <c r="AA1591" s="284"/>
      <c r="AB1591" s="284"/>
      <c r="AC1591" s="284"/>
      <c r="AD1591" s="284"/>
      <c r="AE1591" s="284"/>
      <c r="AF1591" s="284"/>
      <c r="AG1591" s="284"/>
      <c r="AI1591" s="131"/>
    </row>
    <row r="1592" spans="1:35" ht="26.4">
      <c r="A1592" s="284"/>
      <c r="B1592" s="284"/>
      <c r="C1592" s="284"/>
      <c r="D1592" s="284"/>
      <c r="E1592" s="284"/>
      <c r="F1592" s="284"/>
      <c r="G1592" s="284"/>
      <c r="H1592" s="284"/>
      <c r="I1592" s="284"/>
      <c r="J1592" s="284"/>
      <c r="K1592" s="284"/>
      <c r="L1592" s="284"/>
      <c r="M1592" s="113"/>
      <c r="N1592" s="113"/>
      <c r="O1592" s="335"/>
      <c r="T1592" s="340"/>
      <c r="V1592" s="342"/>
      <c r="W1592" s="64" ph="1"/>
      <c r="X1592" s="241"/>
      <c r="Y1592" s="284"/>
      <c r="Z1592" s="207"/>
      <c r="AA1592" s="284"/>
      <c r="AB1592" s="284"/>
      <c r="AC1592" s="284"/>
      <c r="AD1592" s="284"/>
      <c r="AE1592" s="284"/>
      <c r="AF1592" s="284"/>
      <c r="AG1592" s="284"/>
      <c r="AI1592" s="131"/>
    </row>
    <row r="1593" spans="1:35" ht="26.4">
      <c r="A1593" s="284"/>
      <c r="B1593" s="284"/>
      <c r="C1593" s="284"/>
      <c r="D1593" s="284"/>
      <c r="E1593" s="284"/>
      <c r="F1593" s="284"/>
      <c r="G1593" s="284"/>
      <c r="H1593" s="284"/>
      <c r="I1593" s="284"/>
      <c r="J1593" s="284"/>
      <c r="K1593" s="284"/>
      <c r="L1593" s="284"/>
      <c r="M1593" s="113"/>
      <c r="N1593" s="113"/>
      <c r="O1593" s="335"/>
      <c r="T1593" s="340"/>
      <c r="V1593" s="342"/>
      <c r="W1593" s="64" ph="1"/>
      <c r="X1593" s="241"/>
      <c r="Y1593" s="284"/>
      <c r="Z1593" s="207"/>
      <c r="AA1593" s="284"/>
      <c r="AB1593" s="284"/>
      <c r="AC1593" s="284"/>
      <c r="AD1593" s="284"/>
      <c r="AE1593" s="284"/>
      <c r="AF1593" s="284"/>
      <c r="AG1593" s="284"/>
      <c r="AI1593" s="131"/>
    </row>
    <row r="1594" spans="1:35" ht="26.4">
      <c r="A1594" s="284"/>
      <c r="B1594" s="284"/>
      <c r="C1594" s="284"/>
      <c r="D1594" s="284"/>
      <c r="E1594" s="284"/>
      <c r="F1594" s="284"/>
      <c r="G1594" s="284"/>
      <c r="H1594" s="284"/>
      <c r="I1594" s="284"/>
      <c r="J1594" s="284"/>
      <c r="K1594" s="284"/>
      <c r="L1594" s="284"/>
      <c r="M1594" s="113"/>
      <c r="N1594" s="113"/>
      <c r="O1594" s="335"/>
      <c r="T1594" s="340"/>
      <c r="V1594" s="342"/>
      <c r="W1594" s="64" ph="1"/>
      <c r="X1594" s="241"/>
      <c r="Y1594" s="284"/>
      <c r="Z1594" s="207"/>
      <c r="AA1594" s="284"/>
      <c r="AB1594" s="284"/>
      <c r="AC1594" s="284"/>
      <c r="AD1594" s="284"/>
      <c r="AE1594" s="284"/>
      <c r="AF1594" s="284"/>
      <c r="AG1594" s="284"/>
      <c r="AI1594" s="131"/>
    </row>
    <row r="1595" spans="1:35" ht="26.4">
      <c r="A1595" s="284"/>
      <c r="B1595" s="284"/>
      <c r="C1595" s="284"/>
      <c r="D1595" s="284"/>
      <c r="E1595" s="284"/>
      <c r="F1595" s="284"/>
      <c r="G1595" s="284"/>
      <c r="H1595" s="284"/>
      <c r="I1595" s="284"/>
      <c r="J1595" s="284"/>
      <c r="K1595" s="284"/>
      <c r="L1595" s="284"/>
      <c r="M1595" s="113"/>
      <c r="N1595" s="113"/>
      <c r="O1595" s="335"/>
      <c r="T1595" s="340"/>
      <c r="V1595" s="342"/>
      <c r="W1595" s="64" ph="1"/>
      <c r="X1595" s="241"/>
      <c r="Y1595" s="284"/>
      <c r="Z1595" s="207"/>
      <c r="AA1595" s="284"/>
      <c r="AB1595" s="284"/>
      <c r="AC1595" s="284"/>
      <c r="AD1595" s="284"/>
      <c r="AE1595" s="284"/>
      <c r="AF1595" s="284"/>
      <c r="AG1595" s="284"/>
      <c r="AI1595" s="131"/>
    </row>
    <row r="1596" spans="1:35" ht="26.4">
      <c r="A1596" s="284"/>
      <c r="B1596" s="284"/>
      <c r="C1596" s="284"/>
      <c r="D1596" s="284"/>
      <c r="E1596" s="284"/>
      <c r="F1596" s="284"/>
      <c r="G1596" s="284"/>
      <c r="H1596" s="284"/>
      <c r="I1596" s="284"/>
      <c r="J1596" s="284"/>
      <c r="K1596" s="284"/>
      <c r="L1596" s="284"/>
      <c r="M1596" s="113"/>
      <c r="N1596" s="113"/>
      <c r="O1596" s="335"/>
      <c r="T1596" s="340"/>
      <c r="V1596" s="342"/>
      <c r="W1596" s="64" ph="1"/>
      <c r="X1596" s="241"/>
      <c r="Y1596" s="284"/>
      <c r="Z1596" s="207"/>
      <c r="AA1596" s="284"/>
      <c r="AB1596" s="284"/>
      <c r="AC1596" s="284"/>
      <c r="AD1596" s="284"/>
      <c r="AE1596" s="284"/>
      <c r="AF1596" s="284"/>
      <c r="AG1596" s="284"/>
      <c r="AI1596" s="131"/>
    </row>
    <row r="1597" spans="1:35" ht="26.4">
      <c r="A1597" s="284"/>
      <c r="B1597" s="284"/>
      <c r="C1597" s="284"/>
      <c r="D1597" s="284"/>
      <c r="E1597" s="284"/>
      <c r="F1597" s="284"/>
      <c r="G1597" s="284"/>
      <c r="H1597" s="284"/>
      <c r="I1597" s="284"/>
      <c r="J1597" s="284"/>
      <c r="K1597" s="284"/>
      <c r="L1597" s="284"/>
      <c r="M1597" s="113"/>
      <c r="N1597" s="113"/>
      <c r="O1597" s="335"/>
      <c r="T1597" s="340"/>
      <c r="V1597" s="342"/>
      <c r="W1597" s="64" ph="1"/>
      <c r="X1597" s="241"/>
      <c r="Y1597" s="284"/>
      <c r="Z1597" s="207"/>
      <c r="AA1597" s="284"/>
      <c r="AB1597" s="284"/>
      <c r="AC1597" s="284"/>
      <c r="AD1597" s="284"/>
      <c r="AE1597" s="284"/>
      <c r="AF1597" s="284"/>
      <c r="AG1597" s="284"/>
      <c r="AI1597" s="131"/>
    </row>
    <row r="1598" spans="1:35" ht="26.4">
      <c r="A1598" s="284"/>
      <c r="B1598" s="284"/>
      <c r="C1598" s="284"/>
      <c r="D1598" s="284"/>
      <c r="E1598" s="284"/>
      <c r="F1598" s="284"/>
      <c r="G1598" s="284"/>
      <c r="H1598" s="284"/>
      <c r="I1598" s="284"/>
      <c r="J1598" s="284"/>
      <c r="K1598" s="284"/>
      <c r="L1598" s="284"/>
      <c r="M1598" s="113"/>
      <c r="N1598" s="113"/>
      <c r="O1598" s="335"/>
      <c r="T1598" s="340"/>
      <c r="V1598" s="342"/>
      <c r="W1598" s="64" ph="1"/>
      <c r="X1598" s="241"/>
      <c r="Y1598" s="284"/>
      <c r="Z1598" s="207"/>
      <c r="AA1598" s="284"/>
      <c r="AB1598" s="284"/>
      <c r="AC1598" s="284"/>
      <c r="AD1598" s="284"/>
      <c r="AE1598" s="284"/>
      <c r="AF1598" s="284"/>
      <c r="AG1598" s="284"/>
      <c r="AI1598" s="131"/>
    </row>
    <row r="1599" spans="1:35" ht="26.4">
      <c r="A1599" s="284"/>
      <c r="B1599" s="284"/>
      <c r="C1599" s="284"/>
      <c r="D1599" s="284"/>
      <c r="E1599" s="284"/>
      <c r="F1599" s="284"/>
      <c r="G1599" s="284"/>
      <c r="H1599" s="284"/>
      <c r="I1599" s="284"/>
      <c r="J1599" s="284"/>
      <c r="K1599" s="284"/>
      <c r="L1599" s="284"/>
      <c r="M1599" s="113"/>
      <c r="N1599" s="113"/>
      <c r="O1599" s="335"/>
      <c r="T1599" s="340"/>
      <c r="V1599" s="342"/>
      <c r="W1599" s="64" ph="1"/>
      <c r="X1599" s="241"/>
      <c r="Y1599" s="284"/>
      <c r="Z1599" s="207"/>
      <c r="AA1599" s="284"/>
      <c r="AB1599" s="284"/>
      <c r="AC1599" s="284"/>
      <c r="AD1599" s="284"/>
      <c r="AE1599" s="284"/>
      <c r="AF1599" s="284"/>
      <c r="AG1599" s="284"/>
      <c r="AI1599" s="131"/>
    </row>
    <row r="1600" spans="1:35" ht="26.4">
      <c r="A1600" s="284"/>
      <c r="B1600" s="284"/>
      <c r="C1600" s="284"/>
      <c r="D1600" s="284"/>
      <c r="E1600" s="284"/>
      <c r="F1600" s="284"/>
      <c r="G1600" s="284"/>
      <c r="H1600" s="284"/>
      <c r="I1600" s="284"/>
      <c r="J1600" s="284"/>
      <c r="K1600" s="284"/>
      <c r="L1600" s="284"/>
      <c r="M1600" s="113"/>
      <c r="N1600" s="113"/>
      <c r="O1600" s="335"/>
      <c r="T1600" s="340"/>
      <c r="V1600" s="342"/>
      <c r="W1600" s="64" ph="1"/>
      <c r="X1600" s="241"/>
      <c r="Y1600" s="284"/>
      <c r="Z1600" s="207"/>
      <c r="AA1600" s="284"/>
      <c r="AB1600" s="284"/>
      <c r="AC1600" s="284"/>
      <c r="AD1600" s="284"/>
      <c r="AE1600" s="284"/>
      <c r="AF1600" s="284"/>
      <c r="AG1600" s="284"/>
      <c r="AI1600" s="131"/>
    </row>
    <row r="1601" spans="1:35" ht="26.4">
      <c r="A1601" s="284"/>
      <c r="B1601" s="284"/>
      <c r="C1601" s="284"/>
      <c r="D1601" s="284"/>
      <c r="E1601" s="284"/>
      <c r="F1601" s="284"/>
      <c r="G1601" s="284"/>
      <c r="H1601" s="284"/>
      <c r="I1601" s="284"/>
      <c r="J1601" s="284"/>
      <c r="K1601" s="284"/>
      <c r="L1601" s="284"/>
      <c r="M1601" s="113"/>
      <c r="N1601" s="113"/>
      <c r="O1601" s="335"/>
      <c r="T1601" s="340"/>
      <c r="V1601" s="342"/>
      <c r="W1601" s="64" ph="1"/>
      <c r="X1601" s="241"/>
      <c r="Y1601" s="284"/>
      <c r="Z1601" s="207"/>
      <c r="AA1601" s="284"/>
      <c r="AB1601" s="284"/>
      <c r="AC1601" s="284"/>
      <c r="AD1601" s="284"/>
      <c r="AE1601" s="284"/>
      <c r="AF1601" s="284"/>
      <c r="AG1601" s="284"/>
      <c r="AI1601" s="131"/>
    </row>
    <row r="1602" spans="1:35" ht="26.4">
      <c r="A1602" s="284"/>
      <c r="B1602" s="284"/>
      <c r="C1602" s="284"/>
      <c r="D1602" s="284"/>
      <c r="E1602" s="284"/>
      <c r="F1602" s="284"/>
      <c r="G1602" s="284"/>
      <c r="H1602" s="284"/>
      <c r="I1602" s="284"/>
      <c r="J1602" s="284"/>
      <c r="K1602" s="284"/>
      <c r="L1602" s="284"/>
      <c r="M1602" s="113"/>
      <c r="N1602" s="113"/>
      <c r="O1602" s="335"/>
      <c r="T1602" s="340"/>
      <c r="V1602" s="342"/>
      <c r="W1602" s="64" ph="1"/>
      <c r="X1602" s="241"/>
      <c r="Y1602" s="284"/>
      <c r="Z1602" s="207"/>
      <c r="AA1602" s="284"/>
      <c r="AB1602" s="284"/>
      <c r="AC1602" s="284"/>
      <c r="AD1602" s="284"/>
      <c r="AE1602" s="284"/>
      <c r="AF1602" s="284"/>
      <c r="AG1602" s="284"/>
      <c r="AI1602" s="131"/>
    </row>
    <row r="1603" spans="1:35" ht="26.4">
      <c r="A1603" s="284"/>
      <c r="B1603" s="284"/>
      <c r="C1603" s="284"/>
      <c r="D1603" s="284"/>
      <c r="E1603" s="284"/>
      <c r="F1603" s="284"/>
      <c r="G1603" s="284"/>
      <c r="H1603" s="284"/>
      <c r="I1603" s="284"/>
      <c r="J1603" s="284"/>
      <c r="K1603" s="284"/>
      <c r="L1603" s="284"/>
      <c r="M1603" s="113"/>
      <c r="N1603" s="113"/>
      <c r="O1603" s="335"/>
      <c r="T1603" s="340"/>
      <c r="V1603" s="342"/>
      <c r="W1603" s="64" ph="1"/>
      <c r="X1603" s="241"/>
      <c r="Y1603" s="284"/>
      <c r="Z1603" s="207"/>
      <c r="AA1603" s="284"/>
      <c r="AB1603" s="284"/>
      <c r="AC1603" s="284"/>
      <c r="AD1603" s="284"/>
      <c r="AE1603" s="284"/>
      <c r="AF1603" s="284"/>
      <c r="AG1603" s="284"/>
      <c r="AI1603" s="131"/>
    </row>
    <row r="1604" spans="1:35" ht="26.4">
      <c r="A1604" s="284"/>
      <c r="B1604" s="284"/>
      <c r="C1604" s="284"/>
      <c r="D1604" s="284"/>
      <c r="E1604" s="284"/>
      <c r="F1604" s="284"/>
      <c r="G1604" s="284"/>
      <c r="H1604" s="284"/>
      <c r="I1604" s="284"/>
      <c r="J1604" s="284"/>
      <c r="K1604" s="284"/>
      <c r="L1604" s="284"/>
      <c r="M1604" s="113"/>
      <c r="N1604" s="113"/>
      <c r="O1604" s="335"/>
      <c r="T1604" s="340"/>
      <c r="V1604" s="342"/>
      <c r="W1604" s="64" ph="1"/>
      <c r="X1604" s="241"/>
      <c r="Y1604" s="284"/>
      <c r="Z1604" s="207"/>
      <c r="AA1604" s="284"/>
      <c r="AB1604" s="284"/>
      <c r="AC1604" s="284"/>
      <c r="AD1604" s="284"/>
      <c r="AE1604" s="284"/>
      <c r="AF1604" s="284"/>
      <c r="AG1604" s="284"/>
      <c r="AI1604" s="131"/>
    </row>
    <row r="1605" spans="1:35" ht="26.4">
      <c r="A1605" s="284"/>
      <c r="B1605" s="284"/>
      <c r="C1605" s="284"/>
      <c r="D1605" s="284"/>
      <c r="E1605" s="284"/>
      <c r="F1605" s="284"/>
      <c r="G1605" s="284"/>
      <c r="H1605" s="284"/>
      <c r="I1605" s="284"/>
      <c r="J1605" s="284"/>
      <c r="K1605" s="284"/>
      <c r="L1605" s="284"/>
      <c r="M1605" s="113"/>
      <c r="N1605" s="113"/>
      <c r="O1605" s="335"/>
      <c r="T1605" s="340"/>
      <c r="V1605" s="342"/>
      <c r="W1605" s="64" ph="1"/>
      <c r="X1605" s="241"/>
      <c r="Y1605" s="284"/>
      <c r="Z1605" s="207"/>
      <c r="AA1605" s="284"/>
      <c r="AB1605" s="284"/>
      <c r="AC1605" s="284"/>
      <c r="AD1605" s="284"/>
      <c r="AE1605" s="284"/>
      <c r="AF1605" s="284"/>
      <c r="AG1605" s="284"/>
      <c r="AI1605" s="131"/>
    </row>
    <row r="1606" spans="1:35" ht="26.4">
      <c r="A1606" s="284"/>
      <c r="B1606" s="284"/>
      <c r="C1606" s="284"/>
      <c r="D1606" s="284"/>
      <c r="E1606" s="284"/>
      <c r="F1606" s="284"/>
      <c r="G1606" s="284"/>
      <c r="H1606" s="284"/>
      <c r="I1606" s="284"/>
      <c r="J1606" s="284"/>
      <c r="K1606" s="284"/>
      <c r="L1606" s="284"/>
      <c r="M1606" s="113"/>
      <c r="N1606" s="113"/>
      <c r="O1606" s="335"/>
      <c r="T1606" s="340"/>
      <c r="V1606" s="342"/>
      <c r="W1606" s="64" ph="1"/>
      <c r="X1606" s="241"/>
      <c r="Y1606" s="284"/>
      <c r="Z1606" s="207"/>
      <c r="AA1606" s="284"/>
      <c r="AB1606" s="284"/>
      <c r="AC1606" s="284"/>
      <c r="AD1606" s="284"/>
      <c r="AE1606" s="284"/>
      <c r="AF1606" s="284"/>
      <c r="AG1606" s="284"/>
      <c r="AI1606" s="131"/>
    </row>
    <row r="1607" spans="1:35" ht="26.4">
      <c r="A1607" s="284"/>
      <c r="B1607" s="284"/>
      <c r="C1607" s="284"/>
      <c r="D1607" s="284"/>
      <c r="E1607" s="284"/>
      <c r="F1607" s="284"/>
      <c r="G1607" s="284"/>
      <c r="H1607" s="284"/>
      <c r="I1607" s="284"/>
      <c r="J1607" s="284"/>
      <c r="K1607" s="284"/>
      <c r="L1607" s="284"/>
      <c r="M1607" s="113"/>
      <c r="N1607" s="113"/>
      <c r="O1607" s="335"/>
      <c r="T1607" s="340"/>
      <c r="V1607" s="342"/>
      <c r="W1607" s="64" ph="1"/>
      <c r="X1607" s="241"/>
      <c r="Y1607" s="284"/>
      <c r="Z1607" s="207"/>
      <c r="AA1607" s="284"/>
      <c r="AB1607" s="284"/>
      <c r="AC1607" s="284"/>
      <c r="AD1607" s="284"/>
      <c r="AE1607" s="284"/>
      <c r="AF1607" s="284"/>
      <c r="AG1607" s="284"/>
      <c r="AI1607" s="131"/>
    </row>
    <row r="1608" spans="1:35" ht="26.4">
      <c r="A1608" s="284"/>
      <c r="B1608" s="284"/>
      <c r="C1608" s="284"/>
      <c r="D1608" s="284"/>
      <c r="E1608" s="284"/>
      <c r="F1608" s="284"/>
      <c r="G1608" s="284"/>
      <c r="H1608" s="284"/>
      <c r="I1608" s="284"/>
      <c r="J1608" s="284"/>
      <c r="K1608" s="284"/>
      <c r="L1608" s="284"/>
      <c r="M1608" s="113"/>
      <c r="N1608" s="113"/>
      <c r="O1608" s="335"/>
      <c r="T1608" s="340"/>
      <c r="V1608" s="342"/>
      <c r="W1608" s="64" ph="1"/>
      <c r="X1608" s="241"/>
      <c r="Y1608" s="284"/>
      <c r="Z1608" s="207"/>
      <c r="AA1608" s="284"/>
      <c r="AB1608" s="284"/>
      <c r="AC1608" s="284"/>
      <c r="AD1608" s="284"/>
      <c r="AE1608" s="284"/>
      <c r="AF1608" s="284"/>
      <c r="AG1608" s="284"/>
      <c r="AI1608" s="131"/>
    </row>
    <row r="1609" spans="1:35" ht="26.4">
      <c r="A1609" s="284"/>
      <c r="B1609" s="284"/>
      <c r="C1609" s="284"/>
      <c r="D1609" s="284"/>
      <c r="E1609" s="284"/>
      <c r="F1609" s="284"/>
      <c r="G1609" s="284"/>
      <c r="H1609" s="284"/>
      <c r="I1609" s="284"/>
      <c r="J1609" s="284"/>
      <c r="K1609" s="284"/>
      <c r="L1609" s="284"/>
      <c r="M1609" s="113"/>
      <c r="N1609" s="113"/>
      <c r="O1609" s="335"/>
      <c r="T1609" s="340"/>
      <c r="V1609" s="342"/>
      <c r="W1609" s="64" ph="1"/>
      <c r="X1609" s="241"/>
      <c r="Y1609" s="284"/>
      <c r="Z1609" s="207"/>
      <c r="AA1609" s="284"/>
      <c r="AB1609" s="284"/>
      <c r="AC1609" s="284"/>
      <c r="AD1609" s="284"/>
      <c r="AE1609" s="284"/>
      <c r="AF1609" s="284"/>
      <c r="AG1609" s="284"/>
      <c r="AI1609" s="131"/>
    </row>
    <row r="1610" spans="1:35" ht="26.4">
      <c r="A1610" s="284"/>
      <c r="B1610" s="284"/>
      <c r="C1610" s="284"/>
      <c r="D1610" s="284"/>
      <c r="E1610" s="284"/>
      <c r="F1610" s="284"/>
      <c r="G1610" s="284"/>
      <c r="H1610" s="284"/>
      <c r="I1610" s="284"/>
      <c r="J1610" s="284"/>
      <c r="K1610" s="284"/>
      <c r="L1610" s="284"/>
      <c r="M1610" s="113"/>
      <c r="N1610" s="113"/>
      <c r="O1610" s="335"/>
      <c r="T1610" s="340"/>
      <c r="V1610" s="342"/>
      <c r="W1610" s="64" ph="1"/>
      <c r="X1610" s="241"/>
      <c r="Y1610" s="284"/>
      <c r="Z1610" s="207"/>
      <c r="AA1610" s="284"/>
      <c r="AB1610" s="284"/>
      <c r="AC1610" s="284"/>
      <c r="AD1610" s="284"/>
      <c r="AE1610" s="284"/>
      <c r="AF1610" s="284"/>
      <c r="AG1610" s="284"/>
      <c r="AI1610" s="131"/>
    </row>
    <row r="1611" spans="1:35" ht="26.4">
      <c r="A1611" s="284"/>
      <c r="B1611" s="284"/>
      <c r="C1611" s="284"/>
      <c r="D1611" s="284"/>
      <c r="E1611" s="284"/>
      <c r="F1611" s="284"/>
      <c r="G1611" s="284"/>
      <c r="H1611" s="284"/>
      <c r="I1611" s="284"/>
      <c r="J1611" s="284"/>
      <c r="K1611" s="284"/>
      <c r="L1611" s="284"/>
      <c r="M1611" s="113"/>
      <c r="N1611" s="113"/>
      <c r="O1611" s="335"/>
      <c r="T1611" s="340"/>
      <c r="V1611" s="342"/>
      <c r="W1611" s="64" ph="1"/>
      <c r="X1611" s="241"/>
      <c r="Y1611" s="284"/>
      <c r="Z1611" s="207"/>
      <c r="AA1611" s="284"/>
      <c r="AB1611" s="284"/>
      <c r="AC1611" s="284"/>
      <c r="AD1611" s="284"/>
      <c r="AE1611" s="284"/>
      <c r="AF1611" s="284"/>
      <c r="AG1611" s="284"/>
      <c r="AI1611" s="131"/>
    </row>
    <row r="1612" spans="1:35" ht="26.4">
      <c r="A1612" s="284"/>
      <c r="B1612" s="284"/>
      <c r="C1612" s="284"/>
      <c r="D1612" s="284"/>
      <c r="E1612" s="284"/>
      <c r="F1612" s="284"/>
      <c r="G1612" s="284"/>
      <c r="H1612" s="284"/>
      <c r="I1612" s="284"/>
      <c r="J1612" s="284"/>
      <c r="K1612" s="284"/>
      <c r="L1612" s="284"/>
      <c r="M1612" s="113"/>
      <c r="N1612" s="113"/>
      <c r="O1612" s="335"/>
      <c r="T1612" s="340"/>
      <c r="V1612" s="342"/>
      <c r="W1612" s="64" ph="1"/>
      <c r="X1612" s="241"/>
      <c r="Y1612" s="284"/>
      <c r="Z1612" s="207"/>
      <c r="AA1612" s="284"/>
      <c r="AB1612" s="284"/>
      <c r="AC1612" s="284"/>
      <c r="AD1612" s="284"/>
      <c r="AE1612" s="284"/>
      <c r="AF1612" s="284"/>
      <c r="AG1612" s="284"/>
      <c r="AI1612" s="131"/>
    </row>
    <row r="1613" spans="1:35" ht="26.4">
      <c r="A1613" s="284"/>
      <c r="B1613" s="284"/>
      <c r="C1613" s="284"/>
      <c r="D1613" s="284"/>
      <c r="E1613" s="284"/>
      <c r="F1613" s="284"/>
      <c r="G1613" s="284"/>
      <c r="H1613" s="284"/>
      <c r="I1613" s="284"/>
      <c r="J1613" s="284"/>
      <c r="K1613" s="284"/>
      <c r="L1613" s="284"/>
      <c r="M1613" s="113"/>
      <c r="N1613" s="113"/>
      <c r="O1613" s="335"/>
      <c r="T1613" s="340"/>
      <c r="V1613" s="342"/>
      <c r="W1613" s="64" ph="1"/>
      <c r="X1613" s="241"/>
      <c r="Y1613" s="284"/>
      <c r="Z1613" s="207"/>
      <c r="AA1613" s="284"/>
      <c r="AB1613" s="284"/>
      <c r="AC1613" s="284"/>
      <c r="AD1613" s="284"/>
      <c r="AE1613" s="284"/>
      <c r="AF1613" s="284"/>
      <c r="AG1613" s="284"/>
      <c r="AI1613" s="131"/>
    </row>
    <row r="1614" spans="1:35" ht="26.4">
      <c r="A1614" s="284"/>
      <c r="B1614" s="284"/>
      <c r="C1614" s="284"/>
      <c r="D1614" s="284"/>
      <c r="E1614" s="284"/>
      <c r="F1614" s="284"/>
      <c r="G1614" s="284"/>
      <c r="H1614" s="284"/>
      <c r="I1614" s="284"/>
      <c r="J1614" s="284"/>
      <c r="K1614" s="284"/>
      <c r="L1614" s="284"/>
      <c r="M1614" s="113"/>
      <c r="N1614" s="113"/>
      <c r="O1614" s="335"/>
      <c r="T1614" s="340"/>
      <c r="V1614" s="342"/>
      <c r="W1614" s="64" ph="1"/>
      <c r="X1614" s="241"/>
      <c r="Y1614" s="284"/>
      <c r="Z1614" s="207"/>
      <c r="AA1614" s="284"/>
      <c r="AB1614" s="284"/>
      <c r="AC1614" s="284"/>
      <c r="AD1614" s="284"/>
      <c r="AE1614" s="284"/>
      <c r="AF1614" s="284"/>
      <c r="AG1614" s="284"/>
      <c r="AI1614" s="131"/>
    </row>
    <row r="1615" spans="1:35" ht="26.4">
      <c r="A1615" s="284"/>
      <c r="B1615" s="284"/>
      <c r="C1615" s="284"/>
      <c r="D1615" s="284"/>
      <c r="E1615" s="284"/>
      <c r="F1615" s="284"/>
      <c r="G1615" s="284"/>
      <c r="H1615" s="284"/>
      <c r="I1615" s="284"/>
      <c r="J1615" s="284"/>
      <c r="K1615" s="284"/>
      <c r="L1615" s="284"/>
      <c r="M1615" s="113"/>
      <c r="N1615" s="113"/>
      <c r="O1615" s="335"/>
      <c r="T1615" s="340"/>
      <c r="V1615" s="342"/>
      <c r="W1615" s="64" ph="1"/>
      <c r="X1615" s="241"/>
      <c r="Y1615" s="284"/>
      <c r="Z1615" s="207"/>
      <c r="AA1615" s="284"/>
      <c r="AB1615" s="284"/>
      <c r="AC1615" s="284"/>
      <c r="AD1615" s="284"/>
      <c r="AE1615" s="284"/>
      <c r="AF1615" s="284"/>
      <c r="AG1615" s="284"/>
      <c r="AI1615" s="131"/>
    </row>
    <row r="1616" spans="1:35" ht="26.4">
      <c r="A1616" s="284"/>
      <c r="B1616" s="284"/>
      <c r="C1616" s="284"/>
      <c r="D1616" s="284"/>
      <c r="E1616" s="284"/>
      <c r="F1616" s="284"/>
      <c r="G1616" s="284"/>
      <c r="H1616" s="284"/>
      <c r="I1616" s="284"/>
      <c r="J1616" s="284"/>
      <c r="K1616" s="284"/>
      <c r="L1616" s="284"/>
      <c r="M1616" s="113"/>
      <c r="N1616" s="113"/>
      <c r="O1616" s="335"/>
      <c r="T1616" s="340"/>
      <c r="V1616" s="342"/>
      <c r="W1616" s="64" ph="1"/>
      <c r="X1616" s="241"/>
      <c r="Y1616" s="284"/>
      <c r="Z1616" s="207"/>
      <c r="AA1616" s="284"/>
      <c r="AB1616" s="284"/>
      <c r="AC1616" s="284"/>
      <c r="AD1616" s="284"/>
      <c r="AE1616" s="284"/>
      <c r="AF1616" s="284"/>
      <c r="AG1616" s="284"/>
      <c r="AI1616" s="131"/>
    </row>
    <row r="1617" spans="1:35" ht="26.4">
      <c r="A1617" s="284"/>
      <c r="B1617" s="284"/>
      <c r="C1617" s="284"/>
      <c r="D1617" s="284"/>
      <c r="E1617" s="284"/>
      <c r="F1617" s="284"/>
      <c r="G1617" s="284"/>
      <c r="H1617" s="284"/>
      <c r="I1617" s="284"/>
      <c r="J1617" s="284"/>
      <c r="K1617" s="284"/>
      <c r="L1617" s="284"/>
      <c r="M1617" s="113"/>
      <c r="N1617" s="113"/>
      <c r="O1617" s="335"/>
      <c r="T1617" s="340"/>
      <c r="V1617" s="342"/>
      <c r="W1617" s="64" ph="1"/>
      <c r="X1617" s="241"/>
      <c r="Y1617" s="284"/>
      <c r="Z1617" s="207"/>
      <c r="AA1617" s="284"/>
      <c r="AB1617" s="284"/>
      <c r="AC1617" s="284"/>
      <c r="AD1617" s="284"/>
      <c r="AE1617" s="284"/>
      <c r="AF1617" s="284"/>
      <c r="AG1617" s="284"/>
      <c r="AI1617" s="131"/>
    </row>
    <row r="1618" spans="1:35" ht="26.4">
      <c r="A1618" s="284"/>
      <c r="B1618" s="284"/>
      <c r="C1618" s="284"/>
      <c r="D1618" s="284"/>
      <c r="E1618" s="284"/>
      <c r="F1618" s="284"/>
      <c r="G1618" s="284"/>
      <c r="H1618" s="284"/>
      <c r="I1618" s="284"/>
      <c r="J1618" s="284"/>
      <c r="K1618" s="284"/>
      <c r="L1618" s="284"/>
      <c r="M1618" s="113"/>
      <c r="N1618" s="113"/>
      <c r="O1618" s="335"/>
      <c r="T1618" s="340"/>
      <c r="V1618" s="342"/>
      <c r="W1618" s="64" ph="1"/>
      <c r="X1618" s="241"/>
      <c r="Y1618" s="284"/>
      <c r="Z1618" s="207"/>
      <c r="AA1618" s="284"/>
      <c r="AB1618" s="284"/>
      <c r="AC1618" s="284"/>
      <c r="AD1618" s="284"/>
      <c r="AE1618" s="284"/>
      <c r="AF1618" s="284"/>
      <c r="AG1618" s="284"/>
      <c r="AI1618" s="131"/>
    </row>
    <row r="1619" spans="1:35" ht="26.4">
      <c r="A1619" s="284"/>
      <c r="B1619" s="284"/>
      <c r="C1619" s="284"/>
      <c r="D1619" s="284"/>
      <c r="E1619" s="284"/>
      <c r="F1619" s="284"/>
      <c r="G1619" s="284"/>
      <c r="H1619" s="284"/>
      <c r="I1619" s="284"/>
      <c r="J1619" s="284"/>
      <c r="K1619" s="284"/>
      <c r="L1619" s="284"/>
      <c r="M1619" s="113"/>
      <c r="N1619" s="113"/>
      <c r="O1619" s="335"/>
      <c r="T1619" s="340"/>
      <c r="V1619" s="342"/>
      <c r="W1619" s="64" ph="1"/>
      <c r="X1619" s="241"/>
      <c r="Y1619" s="284"/>
      <c r="Z1619" s="207"/>
      <c r="AA1619" s="284"/>
      <c r="AB1619" s="284"/>
      <c r="AC1619" s="284"/>
      <c r="AD1619" s="284"/>
      <c r="AE1619" s="284"/>
      <c r="AF1619" s="284"/>
      <c r="AG1619" s="284"/>
      <c r="AI1619" s="131"/>
    </row>
    <row r="1620" spans="1:35" ht="26.4">
      <c r="A1620" s="284"/>
      <c r="B1620" s="284"/>
      <c r="C1620" s="284"/>
      <c r="D1620" s="284"/>
      <c r="E1620" s="284"/>
      <c r="F1620" s="284"/>
      <c r="G1620" s="284"/>
      <c r="H1620" s="284"/>
      <c r="I1620" s="284"/>
      <c r="J1620" s="284"/>
      <c r="K1620" s="284"/>
      <c r="L1620" s="284"/>
      <c r="M1620" s="113"/>
      <c r="N1620" s="113"/>
      <c r="O1620" s="335"/>
      <c r="T1620" s="340"/>
      <c r="V1620" s="342"/>
      <c r="W1620" s="64" ph="1"/>
      <c r="X1620" s="241"/>
      <c r="Y1620" s="284"/>
      <c r="Z1620" s="207"/>
      <c r="AA1620" s="284"/>
      <c r="AB1620" s="284"/>
      <c r="AC1620" s="284"/>
      <c r="AD1620" s="284"/>
      <c r="AE1620" s="284"/>
      <c r="AF1620" s="284"/>
      <c r="AG1620" s="284"/>
      <c r="AI1620" s="131"/>
    </row>
    <row r="1621" spans="1:35" ht="26.4">
      <c r="A1621" s="284"/>
      <c r="B1621" s="284"/>
      <c r="C1621" s="284"/>
      <c r="D1621" s="284"/>
      <c r="E1621" s="284"/>
      <c r="F1621" s="284"/>
      <c r="G1621" s="284"/>
      <c r="H1621" s="284"/>
      <c r="I1621" s="284"/>
      <c r="J1621" s="284"/>
      <c r="K1621" s="284"/>
      <c r="L1621" s="284"/>
      <c r="M1621" s="113"/>
      <c r="N1621" s="113"/>
      <c r="O1621" s="335"/>
      <c r="T1621" s="340"/>
      <c r="V1621" s="342"/>
      <c r="W1621" s="64" ph="1"/>
      <c r="X1621" s="241"/>
      <c r="Y1621" s="284"/>
      <c r="Z1621" s="207"/>
      <c r="AA1621" s="284"/>
      <c r="AB1621" s="284"/>
      <c r="AC1621" s="284"/>
      <c r="AD1621" s="284"/>
      <c r="AE1621" s="284"/>
      <c r="AF1621" s="284"/>
      <c r="AG1621" s="284"/>
      <c r="AI1621" s="131"/>
    </row>
    <row r="1622" spans="1:35" ht="26.4">
      <c r="A1622" s="284"/>
      <c r="B1622" s="284"/>
      <c r="C1622" s="284"/>
      <c r="D1622" s="284"/>
      <c r="E1622" s="284"/>
      <c r="F1622" s="284"/>
      <c r="G1622" s="284"/>
      <c r="H1622" s="284"/>
      <c r="I1622" s="284"/>
      <c r="J1622" s="284"/>
      <c r="K1622" s="284"/>
      <c r="L1622" s="284"/>
      <c r="M1622" s="113"/>
      <c r="N1622" s="113"/>
      <c r="O1622" s="335"/>
      <c r="T1622" s="340"/>
      <c r="V1622" s="342"/>
      <c r="W1622" s="64" ph="1"/>
      <c r="X1622" s="241"/>
      <c r="Y1622" s="284"/>
      <c r="Z1622" s="207"/>
      <c r="AA1622" s="284"/>
      <c r="AB1622" s="284"/>
      <c r="AC1622" s="284"/>
      <c r="AD1622" s="284"/>
      <c r="AE1622" s="284"/>
      <c r="AF1622" s="284"/>
      <c r="AG1622" s="284"/>
      <c r="AI1622" s="284"/>
    </row>
    <row r="1623" spans="1:35" ht="26.4">
      <c r="A1623" s="284"/>
      <c r="B1623" s="284"/>
      <c r="C1623" s="284"/>
      <c r="D1623" s="284"/>
      <c r="E1623" s="284"/>
      <c r="F1623" s="284"/>
      <c r="G1623" s="284"/>
      <c r="H1623" s="284"/>
      <c r="I1623" s="284"/>
      <c r="J1623" s="284"/>
      <c r="K1623" s="284"/>
      <c r="L1623" s="284"/>
      <c r="M1623" s="113"/>
      <c r="N1623" s="113"/>
      <c r="O1623" s="335"/>
      <c r="T1623" s="340"/>
      <c r="V1623" s="342"/>
      <c r="W1623" s="64" ph="1"/>
      <c r="X1623" s="241"/>
      <c r="Y1623" s="284"/>
      <c r="Z1623" s="207"/>
      <c r="AA1623" s="284"/>
      <c r="AB1623" s="284"/>
      <c r="AC1623" s="284"/>
      <c r="AD1623" s="284"/>
      <c r="AE1623" s="284"/>
      <c r="AF1623" s="284"/>
      <c r="AG1623" s="284"/>
      <c r="AI1623" s="284"/>
    </row>
    <row r="1624" spans="1:35" ht="26.4">
      <c r="A1624" s="284"/>
      <c r="B1624" s="284"/>
      <c r="C1624" s="284"/>
      <c r="D1624" s="284"/>
      <c r="E1624" s="284"/>
      <c r="F1624" s="284"/>
      <c r="G1624" s="284"/>
      <c r="H1624" s="284"/>
      <c r="I1624" s="284"/>
      <c r="J1624" s="284"/>
      <c r="K1624" s="284"/>
      <c r="L1624" s="284"/>
      <c r="M1624" s="113"/>
      <c r="N1624" s="113"/>
      <c r="O1624" s="335"/>
      <c r="T1624" s="340"/>
      <c r="V1624" s="342"/>
      <c r="W1624" s="64" ph="1"/>
      <c r="X1624" s="241"/>
      <c r="Y1624" s="284"/>
      <c r="Z1624" s="207"/>
      <c r="AA1624" s="284"/>
      <c r="AB1624" s="284"/>
      <c r="AC1624" s="284"/>
      <c r="AD1624" s="284"/>
      <c r="AE1624" s="284"/>
      <c r="AF1624" s="284"/>
      <c r="AG1624" s="284"/>
      <c r="AI1624" s="131"/>
    </row>
    <row r="1625" spans="1:35" ht="26.4">
      <c r="A1625" s="284"/>
      <c r="B1625" s="284"/>
      <c r="C1625" s="284"/>
      <c r="D1625" s="284"/>
      <c r="E1625" s="284"/>
      <c r="F1625" s="284"/>
      <c r="G1625" s="284"/>
      <c r="H1625" s="284"/>
      <c r="I1625" s="284"/>
      <c r="J1625" s="284"/>
      <c r="K1625" s="284"/>
      <c r="L1625" s="284"/>
      <c r="M1625" s="113"/>
      <c r="N1625" s="113"/>
      <c r="O1625" s="335"/>
      <c r="T1625" s="340"/>
      <c r="V1625" s="342"/>
      <c r="W1625" s="64" ph="1"/>
      <c r="X1625" s="241"/>
      <c r="Y1625" s="284"/>
      <c r="Z1625" s="207"/>
      <c r="AA1625" s="284"/>
      <c r="AB1625" s="284"/>
      <c r="AC1625" s="284"/>
      <c r="AD1625" s="284"/>
      <c r="AE1625" s="284"/>
      <c r="AF1625" s="284"/>
      <c r="AG1625" s="284"/>
      <c r="AI1625" s="131"/>
    </row>
    <row r="1626" spans="1:35" ht="26.4">
      <c r="A1626" s="284"/>
      <c r="B1626" s="284"/>
      <c r="C1626" s="284"/>
      <c r="D1626" s="284"/>
      <c r="E1626" s="284"/>
      <c r="F1626" s="284"/>
      <c r="G1626" s="284"/>
      <c r="H1626" s="284"/>
      <c r="I1626" s="284"/>
      <c r="J1626" s="284"/>
      <c r="K1626" s="284"/>
      <c r="L1626" s="284"/>
      <c r="M1626" s="113"/>
      <c r="N1626" s="113"/>
      <c r="O1626" s="335"/>
      <c r="T1626" s="340"/>
      <c r="V1626" s="342"/>
      <c r="W1626" s="64" ph="1"/>
      <c r="X1626" s="241"/>
      <c r="Y1626" s="284"/>
      <c r="Z1626" s="207"/>
      <c r="AA1626" s="284"/>
      <c r="AB1626" s="284"/>
      <c r="AC1626" s="284"/>
      <c r="AD1626" s="284"/>
      <c r="AE1626" s="284"/>
      <c r="AF1626" s="284"/>
      <c r="AG1626" s="284"/>
      <c r="AI1626" s="131"/>
    </row>
    <row r="1627" spans="1:35" ht="26.4">
      <c r="A1627" s="284"/>
      <c r="B1627" s="284"/>
      <c r="C1627" s="284"/>
      <c r="D1627" s="284"/>
      <c r="E1627" s="284"/>
      <c r="F1627" s="284"/>
      <c r="G1627" s="284"/>
      <c r="H1627" s="284"/>
      <c r="I1627" s="284"/>
      <c r="J1627" s="284"/>
      <c r="K1627" s="284"/>
      <c r="L1627" s="284"/>
      <c r="M1627" s="113"/>
      <c r="N1627" s="113"/>
      <c r="O1627" s="335"/>
      <c r="T1627" s="340"/>
      <c r="V1627" s="342"/>
      <c r="W1627" s="64" ph="1"/>
      <c r="X1627" s="241"/>
      <c r="Y1627" s="284"/>
      <c r="Z1627" s="207"/>
      <c r="AA1627" s="284"/>
      <c r="AB1627" s="284"/>
      <c r="AC1627" s="284"/>
      <c r="AD1627" s="284"/>
      <c r="AE1627" s="284"/>
      <c r="AF1627" s="284"/>
      <c r="AG1627" s="284"/>
      <c r="AI1627" s="131"/>
    </row>
    <row r="1628" spans="1:35" ht="26.4">
      <c r="A1628" s="284"/>
      <c r="B1628" s="284"/>
      <c r="C1628" s="284"/>
      <c r="D1628" s="284"/>
      <c r="E1628" s="284"/>
      <c r="F1628" s="284"/>
      <c r="G1628" s="284"/>
      <c r="H1628" s="284"/>
      <c r="I1628" s="284"/>
      <c r="J1628" s="284"/>
      <c r="K1628" s="284"/>
      <c r="L1628" s="284"/>
      <c r="M1628" s="113"/>
      <c r="N1628" s="113"/>
      <c r="O1628" s="335"/>
      <c r="T1628" s="340"/>
      <c r="V1628" s="342"/>
      <c r="W1628" s="64" ph="1"/>
      <c r="X1628" s="241"/>
      <c r="Y1628" s="284"/>
      <c r="Z1628" s="207"/>
      <c r="AA1628" s="284"/>
      <c r="AB1628" s="284"/>
      <c r="AC1628" s="284"/>
      <c r="AD1628" s="284"/>
      <c r="AE1628" s="284"/>
      <c r="AF1628" s="284"/>
      <c r="AG1628" s="284"/>
      <c r="AI1628" s="131"/>
    </row>
    <row r="1629" spans="1:35" ht="26.4">
      <c r="A1629" s="284"/>
      <c r="B1629" s="284"/>
      <c r="C1629" s="284"/>
      <c r="D1629" s="284"/>
      <c r="E1629" s="284"/>
      <c r="F1629" s="284"/>
      <c r="G1629" s="284"/>
      <c r="H1629" s="284"/>
      <c r="I1629" s="284"/>
      <c r="J1629" s="284"/>
      <c r="K1629" s="284"/>
      <c r="L1629" s="284"/>
      <c r="M1629" s="113"/>
      <c r="N1629" s="113"/>
      <c r="O1629" s="335"/>
      <c r="T1629" s="340"/>
      <c r="V1629" s="342"/>
      <c r="W1629" s="64" ph="1"/>
      <c r="X1629" s="241"/>
      <c r="Y1629" s="284"/>
      <c r="Z1629" s="207"/>
      <c r="AA1629" s="284"/>
      <c r="AB1629" s="284"/>
      <c r="AC1629" s="284"/>
      <c r="AD1629" s="284"/>
      <c r="AE1629" s="284"/>
      <c r="AF1629" s="284"/>
      <c r="AG1629" s="284"/>
      <c r="AI1629" s="131"/>
    </row>
    <row r="1630" spans="1:35" ht="26.4">
      <c r="A1630" s="284"/>
      <c r="B1630" s="284"/>
      <c r="C1630" s="284"/>
      <c r="D1630" s="284"/>
      <c r="E1630" s="284"/>
      <c r="F1630" s="284"/>
      <c r="G1630" s="284"/>
      <c r="H1630" s="284"/>
      <c r="I1630" s="284"/>
      <c r="J1630" s="284"/>
      <c r="K1630" s="284"/>
      <c r="L1630" s="284"/>
      <c r="M1630" s="113"/>
      <c r="N1630" s="113"/>
      <c r="O1630" s="335"/>
      <c r="T1630" s="340"/>
      <c r="V1630" s="342"/>
      <c r="W1630" s="64" ph="1"/>
      <c r="X1630" s="241"/>
      <c r="Y1630" s="284"/>
      <c r="Z1630" s="207"/>
      <c r="AA1630" s="284"/>
      <c r="AB1630" s="284"/>
      <c r="AC1630" s="284"/>
      <c r="AD1630" s="284"/>
      <c r="AE1630" s="284"/>
      <c r="AF1630" s="284"/>
      <c r="AG1630" s="284"/>
      <c r="AI1630" s="131"/>
    </row>
    <row r="1631" spans="1:35" ht="26.4">
      <c r="A1631" s="284"/>
      <c r="B1631" s="284"/>
      <c r="C1631" s="284"/>
      <c r="D1631" s="284"/>
      <c r="E1631" s="284"/>
      <c r="F1631" s="284"/>
      <c r="G1631" s="284"/>
      <c r="H1631" s="284"/>
      <c r="I1631" s="284"/>
      <c r="J1631" s="284"/>
      <c r="K1631" s="284"/>
      <c r="L1631" s="284"/>
      <c r="M1631" s="113"/>
      <c r="N1631" s="113"/>
      <c r="O1631" s="335"/>
      <c r="T1631" s="340"/>
      <c r="V1631" s="342"/>
      <c r="W1631" s="64" ph="1"/>
      <c r="X1631" s="241"/>
      <c r="Y1631" s="284"/>
      <c r="Z1631" s="207"/>
      <c r="AA1631" s="284"/>
      <c r="AB1631" s="284"/>
      <c r="AC1631" s="284"/>
      <c r="AD1631" s="284"/>
      <c r="AE1631" s="284"/>
      <c r="AF1631" s="284"/>
      <c r="AG1631" s="284"/>
      <c r="AI1631" s="131"/>
    </row>
    <row r="1632" spans="1:35" ht="26.4">
      <c r="A1632" s="284"/>
      <c r="B1632" s="284"/>
      <c r="C1632" s="284"/>
      <c r="D1632" s="284"/>
      <c r="E1632" s="284"/>
      <c r="F1632" s="284"/>
      <c r="G1632" s="284"/>
      <c r="H1632" s="284"/>
      <c r="I1632" s="284"/>
      <c r="J1632" s="284"/>
      <c r="K1632" s="284"/>
      <c r="L1632" s="284"/>
      <c r="M1632" s="113"/>
      <c r="N1632" s="113"/>
      <c r="O1632" s="335"/>
      <c r="T1632" s="340"/>
      <c r="V1632" s="342"/>
      <c r="W1632" s="64" ph="1"/>
      <c r="X1632" s="241"/>
      <c r="Y1632" s="284"/>
      <c r="Z1632" s="207"/>
      <c r="AA1632" s="284"/>
      <c r="AB1632" s="284"/>
      <c r="AC1632" s="284"/>
      <c r="AD1632" s="284"/>
      <c r="AE1632" s="284"/>
      <c r="AF1632" s="284"/>
      <c r="AG1632" s="284"/>
      <c r="AI1632" s="284"/>
    </row>
    <row r="1633" spans="1:35" ht="26.4">
      <c r="A1633" s="284"/>
      <c r="B1633" s="284"/>
      <c r="C1633" s="284"/>
      <c r="D1633" s="284"/>
      <c r="E1633" s="284"/>
      <c r="F1633" s="284"/>
      <c r="G1633" s="284"/>
      <c r="H1633" s="284"/>
      <c r="I1633" s="284"/>
      <c r="J1633" s="284"/>
      <c r="K1633" s="284"/>
      <c r="L1633" s="284"/>
      <c r="M1633" s="113"/>
      <c r="N1633" s="113"/>
      <c r="O1633" s="335"/>
      <c r="T1633" s="340"/>
      <c r="V1633" s="342"/>
      <c r="W1633" s="64" ph="1"/>
      <c r="X1633" s="241"/>
      <c r="Y1633" s="284"/>
      <c r="Z1633" s="207"/>
      <c r="AA1633" s="284"/>
      <c r="AB1633" s="284"/>
      <c r="AC1633" s="284"/>
      <c r="AD1633" s="284"/>
      <c r="AE1633" s="284"/>
      <c r="AF1633" s="284"/>
      <c r="AG1633" s="284"/>
      <c r="AI1633" s="131"/>
    </row>
    <row r="1634" spans="1:35" ht="26.4">
      <c r="A1634" s="284"/>
      <c r="B1634" s="284"/>
      <c r="C1634" s="284"/>
      <c r="D1634" s="284"/>
      <c r="E1634" s="284"/>
      <c r="F1634" s="284"/>
      <c r="G1634" s="284"/>
      <c r="H1634" s="284"/>
      <c r="I1634" s="284"/>
      <c r="J1634" s="284"/>
      <c r="K1634" s="284"/>
      <c r="L1634" s="284"/>
      <c r="M1634" s="113"/>
      <c r="N1634" s="113"/>
      <c r="O1634" s="335"/>
      <c r="T1634" s="340"/>
      <c r="V1634" s="342"/>
      <c r="W1634" s="64" ph="1"/>
      <c r="X1634" s="241"/>
      <c r="Y1634" s="284"/>
      <c r="Z1634" s="207"/>
      <c r="AA1634" s="284"/>
      <c r="AB1634" s="284"/>
      <c r="AC1634" s="284"/>
      <c r="AD1634" s="284"/>
      <c r="AE1634" s="284"/>
      <c r="AF1634" s="284"/>
      <c r="AG1634" s="284"/>
      <c r="AI1634" s="131"/>
    </row>
    <row r="1635" spans="1:35" ht="26.4">
      <c r="A1635" s="284"/>
      <c r="B1635" s="284"/>
      <c r="C1635" s="284"/>
      <c r="D1635" s="284"/>
      <c r="E1635" s="284"/>
      <c r="F1635" s="284"/>
      <c r="G1635" s="284"/>
      <c r="H1635" s="284"/>
      <c r="I1635" s="284"/>
      <c r="J1635" s="284"/>
      <c r="K1635" s="284"/>
      <c r="L1635" s="284"/>
      <c r="M1635" s="113"/>
      <c r="N1635" s="113"/>
      <c r="O1635" s="335"/>
      <c r="T1635" s="340"/>
      <c r="V1635" s="342"/>
      <c r="W1635" s="64" ph="1"/>
      <c r="X1635" s="241"/>
      <c r="Y1635" s="284"/>
      <c r="Z1635" s="207"/>
      <c r="AA1635" s="284"/>
      <c r="AB1635" s="284"/>
      <c r="AC1635" s="284"/>
      <c r="AD1635" s="284"/>
      <c r="AE1635" s="284"/>
      <c r="AF1635" s="284"/>
      <c r="AG1635" s="284"/>
      <c r="AI1635" s="131"/>
    </row>
    <row r="1636" spans="1:35" ht="26.4">
      <c r="A1636" s="284"/>
      <c r="B1636" s="284"/>
      <c r="C1636" s="284"/>
      <c r="D1636" s="284"/>
      <c r="E1636" s="284"/>
      <c r="F1636" s="284"/>
      <c r="G1636" s="284"/>
      <c r="H1636" s="284"/>
      <c r="I1636" s="284"/>
      <c r="J1636" s="284"/>
      <c r="K1636" s="284"/>
      <c r="L1636" s="284"/>
      <c r="M1636" s="113"/>
      <c r="N1636" s="113"/>
      <c r="O1636" s="335"/>
      <c r="T1636" s="340"/>
      <c r="V1636" s="342"/>
      <c r="W1636" s="64" ph="1"/>
      <c r="X1636" s="241"/>
      <c r="Y1636" s="284"/>
      <c r="Z1636" s="207"/>
      <c r="AA1636" s="284"/>
      <c r="AB1636" s="284"/>
      <c r="AC1636" s="284"/>
      <c r="AD1636" s="284"/>
      <c r="AE1636" s="284"/>
      <c r="AF1636" s="284"/>
      <c r="AG1636" s="284"/>
      <c r="AI1636" s="131"/>
    </row>
    <row r="1637" spans="1:35" ht="26.4">
      <c r="A1637" s="284"/>
      <c r="B1637" s="284"/>
      <c r="C1637" s="284"/>
      <c r="D1637" s="284"/>
      <c r="E1637" s="284"/>
      <c r="F1637" s="284"/>
      <c r="G1637" s="284"/>
      <c r="H1637" s="284"/>
      <c r="I1637" s="284"/>
      <c r="J1637" s="284"/>
      <c r="K1637" s="284"/>
      <c r="L1637" s="284"/>
      <c r="M1637" s="113"/>
      <c r="N1637" s="113"/>
      <c r="O1637" s="335"/>
      <c r="T1637" s="340"/>
      <c r="V1637" s="342"/>
      <c r="W1637" s="64" ph="1"/>
      <c r="X1637" s="241"/>
      <c r="Y1637" s="284"/>
      <c r="Z1637" s="207"/>
      <c r="AA1637" s="284"/>
      <c r="AB1637" s="284"/>
      <c r="AC1637" s="284"/>
      <c r="AD1637" s="284"/>
      <c r="AE1637" s="284"/>
      <c r="AF1637" s="284"/>
      <c r="AG1637" s="284"/>
      <c r="AI1637" s="131"/>
    </row>
    <row r="1638" spans="1:35" ht="26.4">
      <c r="A1638" s="284"/>
      <c r="B1638" s="284"/>
      <c r="C1638" s="284"/>
      <c r="D1638" s="284"/>
      <c r="E1638" s="284"/>
      <c r="F1638" s="284"/>
      <c r="G1638" s="284"/>
      <c r="H1638" s="284"/>
      <c r="I1638" s="284"/>
      <c r="J1638" s="284"/>
      <c r="K1638" s="284"/>
      <c r="L1638" s="284"/>
      <c r="M1638" s="113"/>
      <c r="N1638" s="113"/>
      <c r="O1638" s="335"/>
      <c r="T1638" s="340"/>
      <c r="V1638" s="342"/>
      <c r="W1638" s="64" ph="1"/>
      <c r="X1638" s="241"/>
      <c r="Y1638" s="284"/>
      <c r="Z1638" s="207"/>
      <c r="AA1638" s="284"/>
      <c r="AB1638" s="284"/>
      <c r="AC1638" s="284"/>
      <c r="AD1638" s="284"/>
      <c r="AE1638" s="284"/>
      <c r="AF1638" s="284"/>
      <c r="AG1638" s="284"/>
      <c r="AI1638" s="131"/>
    </row>
    <row r="1639" spans="1:35" ht="26.4">
      <c r="A1639" s="284"/>
      <c r="B1639" s="284"/>
      <c r="C1639" s="284"/>
      <c r="D1639" s="284"/>
      <c r="E1639" s="284"/>
      <c r="F1639" s="284"/>
      <c r="G1639" s="284"/>
      <c r="H1639" s="284"/>
      <c r="I1639" s="284"/>
      <c r="J1639" s="284"/>
      <c r="K1639" s="284"/>
      <c r="L1639" s="284"/>
      <c r="M1639" s="113"/>
      <c r="N1639" s="113"/>
      <c r="O1639" s="335"/>
      <c r="T1639" s="340"/>
      <c r="V1639" s="342"/>
      <c r="W1639" s="64" ph="1"/>
      <c r="X1639" s="241"/>
      <c r="Y1639" s="284"/>
      <c r="Z1639" s="207"/>
      <c r="AA1639" s="284"/>
      <c r="AB1639" s="284"/>
      <c r="AC1639" s="284"/>
      <c r="AD1639" s="284"/>
      <c r="AE1639" s="284"/>
      <c r="AF1639" s="284"/>
      <c r="AG1639" s="284"/>
      <c r="AI1639" s="131"/>
    </row>
    <row r="1640" spans="1:35" ht="26.4">
      <c r="A1640" s="284"/>
      <c r="B1640" s="284"/>
      <c r="C1640" s="284"/>
      <c r="D1640" s="284"/>
      <c r="E1640" s="284"/>
      <c r="F1640" s="284"/>
      <c r="G1640" s="284"/>
      <c r="H1640" s="284"/>
      <c r="I1640" s="284"/>
      <c r="J1640" s="284"/>
      <c r="K1640" s="284"/>
      <c r="L1640" s="284"/>
      <c r="M1640" s="113"/>
      <c r="N1640" s="113"/>
      <c r="O1640" s="335"/>
      <c r="T1640" s="340"/>
      <c r="V1640" s="342"/>
      <c r="W1640" s="64" ph="1"/>
      <c r="X1640" s="241"/>
      <c r="Y1640" s="284"/>
      <c r="Z1640" s="207"/>
      <c r="AA1640" s="284"/>
      <c r="AB1640" s="284"/>
      <c r="AC1640" s="284"/>
      <c r="AD1640" s="284"/>
      <c r="AE1640" s="284"/>
      <c r="AF1640" s="284"/>
      <c r="AG1640" s="284"/>
      <c r="AI1640" s="131"/>
    </row>
    <row r="1641" spans="1:35" ht="26.4">
      <c r="A1641" s="284"/>
      <c r="B1641" s="284"/>
      <c r="C1641" s="284"/>
      <c r="D1641" s="284"/>
      <c r="E1641" s="284"/>
      <c r="F1641" s="284"/>
      <c r="G1641" s="284"/>
      <c r="H1641" s="284"/>
      <c r="I1641" s="284"/>
      <c r="J1641" s="284"/>
      <c r="K1641" s="284"/>
      <c r="L1641" s="284"/>
      <c r="M1641" s="113"/>
      <c r="N1641" s="113"/>
      <c r="O1641" s="335"/>
      <c r="T1641" s="340"/>
      <c r="V1641" s="342"/>
      <c r="W1641" s="64" ph="1"/>
      <c r="X1641" s="241"/>
      <c r="Y1641" s="284"/>
      <c r="Z1641" s="207"/>
      <c r="AA1641" s="284"/>
      <c r="AB1641" s="284"/>
      <c r="AC1641" s="284"/>
      <c r="AD1641" s="284"/>
      <c r="AE1641" s="284"/>
      <c r="AF1641" s="284"/>
      <c r="AG1641" s="284"/>
      <c r="AI1641" s="131"/>
    </row>
    <row r="1642" spans="1:35" ht="26.4">
      <c r="A1642" s="284"/>
      <c r="B1642" s="284"/>
      <c r="C1642" s="284"/>
      <c r="D1642" s="284"/>
      <c r="E1642" s="284"/>
      <c r="F1642" s="284"/>
      <c r="G1642" s="284"/>
      <c r="H1642" s="284"/>
      <c r="I1642" s="284"/>
      <c r="J1642" s="284"/>
      <c r="K1642" s="284"/>
      <c r="L1642" s="284"/>
      <c r="M1642" s="113"/>
      <c r="N1642" s="113"/>
      <c r="O1642" s="335"/>
      <c r="T1642" s="340"/>
      <c r="V1642" s="342"/>
      <c r="W1642" s="64" ph="1"/>
      <c r="X1642" s="241"/>
      <c r="Y1642" s="284"/>
      <c r="Z1642" s="207"/>
      <c r="AA1642" s="284"/>
      <c r="AB1642" s="284"/>
      <c r="AC1642" s="284"/>
      <c r="AD1642" s="284"/>
      <c r="AE1642" s="284"/>
      <c r="AF1642" s="284"/>
      <c r="AG1642" s="284"/>
      <c r="AI1642" s="284"/>
    </row>
    <row r="1643" spans="1:35" ht="26.4">
      <c r="A1643" s="284"/>
      <c r="B1643" s="284"/>
      <c r="C1643" s="284"/>
      <c r="D1643" s="284"/>
      <c r="E1643" s="284"/>
      <c r="F1643" s="284"/>
      <c r="G1643" s="284"/>
      <c r="H1643" s="284"/>
      <c r="I1643" s="284"/>
      <c r="J1643" s="284"/>
      <c r="K1643" s="284"/>
      <c r="L1643" s="284"/>
      <c r="M1643" s="113"/>
      <c r="N1643" s="113"/>
      <c r="O1643" s="335"/>
      <c r="T1643" s="340"/>
      <c r="V1643" s="342"/>
      <c r="W1643" s="64" ph="1"/>
      <c r="X1643" s="241"/>
      <c r="Y1643" s="284"/>
      <c r="Z1643" s="207"/>
      <c r="AA1643" s="284"/>
      <c r="AB1643" s="284"/>
      <c r="AC1643" s="284"/>
      <c r="AD1643" s="284"/>
      <c r="AE1643" s="284"/>
      <c r="AF1643" s="284"/>
      <c r="AG1643" s="284"/>
      <c r="AI1643" s="131"/>
    </row>
    <row r="1644" spans="1:35" ht="26.4">
      <c r="A1644" s="284"/>
      <c r="B1644" s="284"/>
      <c r="C1644" s="284"/>
      <c r="D1644" s="284"/>
      <c r="E1644" s="284"/>
      <c r="F1644" s="284"/>
      <c r="G1644" s="284"/>
      <c r="H1644" s="284"/>
      <c r="I1644" s="284"/>
      <c r="J1644" s="284"/>
      <c r="K1644" s="284"/>
      <c r="L1644" s="284"/>
      <c r="M1644" s="113"/>
      <c r="N1644" s="113"/>
      <c r="O1644" s="335"/>
      <c r="T1644" s="340"/>
      <c r="V1644" s="342"/>
      <c r="W1644" s="64" ph="1"/>
      <c r="X1644" s="241"/>
      <c r="Y1644" s="284"/>
      <c r="Z1644" s="207"/>
      <c r="AA1644" s="284"/>
      <c r="AB1644" s="284"/>
      <c r="AC1644" s="284"/>
      <c r="AD1644" s="284"/>
      <c r="AE1644" s="284"/>
      <c r="AF1644" s="284"/>
      <c r="AG1644" s="284"/>
      <c r="AI1644" s="131"/>
    </row>
    <row r="1645" spans="1:35" ht="26.4">
      <c r="A1645" s="284"/>
      <c r="B1645" s="284"/>
      <c r="C1645" s="284"/>
      <c r="D1645" s="284"/>
      <c r="E1645" s="284"/>
      <c r="F1645" s="284"/>
      <c r="G1645" s="284"/>
      <c r="H1645" s="284"/>
      <c r="I1645" s="284"/>
      <c r="J1645" s="284"/>
      <c r="K1645" s="284"/>
      <c r="L1645" s="284"/>
      <c r="M1645" s="113"/>
      <c r="N1645" s="113"/>
      <c r="O1645" s="335"/>
      <c r="T1645" s="340"/>
      <c r="V1645" s="342"/>
      <c r="W1645" s="64" ph="1"/>
      <c r="X1645" s="241"/>
      <c r="Y1645" s="284"/>
      <c r="Z1645" s="207"/>
      <c r="AA1645" s="284"/>
      <c r="AB1645" s="284"/>
      <c r="AC1645" s="284"/>
      <c r="AD1645" s="284"/>
      <c r="AE1645" s="284"/>
      <c r="AF1645" s="284"/>
      <c r="AG1645" s="284"/>
      <c r="AI1645" s="131"/>
    </row>
    <row r="1646" spans="1:35" ht="26.4">
      <c r="A1646" s="284"/>
      <c r="B1646" s="284"/>
      <c r="C1646" s="284"/>
      <c r="D1646" s="284"/>
      <c r="E1646" s="284"/>
      <c r="F1646" s="284"/>
      <c r="G1646" s="284"/>
      <c r="H1646" s="284"/>
      <c r="I1646" s="284"/>
      <c r="J1646" s="284"/>
      <c r="K1646" s="284"/>
      <c r="L1646" s="284"/>
      <c r="M1646" s="113"/>
      <c r="N1646" s="113"/>
      <c r="O1646" s="335"/>
      <c r="T1646" s="340"/>
      <c r="V1646" s="342"/>
      <c r="W1646" s="64" ph="1"/>
      <c r="X1646" s="241"/>
      <c r="Y1646" s="284"/>
      <c r="Z1646" s="207"/>
      <c r="AA1646" s="284"/>
      <c r="AB1646" s="284"/>
      <c r="AC1646" s="284"/>
      <c r="AD1646" s="284"/>
      <c r="AE1646" s="284"/>
      <c r="AF1646" s="284"/>
      <c r="AG1646" s="284"/>
      <c r="AI1646" s="284"/>
    </row>
    <row r="1647" spans="1:35" ht="26.4">
      <c r="A1647" s="284"/>
      <c r="B1647" s="284"/>
      <c r="C1647" s="284"/>
      <c r="D1647" s="284"/>
      <c r="E1647" s="284"/>
      <c r="F1647" s="284"/>
      <c r="G1647" s="284"/>
      <c r="H1647" s="284"/>
      <c r="I1647" s="284"/>
      <c r="J1647" s="284"/>
      <c r="K1647" s="284"/>
      <c r="L1647" s="284"/>
      <c r="M1647" s="113"/>
      <c r="N1647" s="113"/>
      <c r="O1647" s="335"/>
      <c r="T1647" s="340"/>
      <c r="V1647" s="342"/>
      <c r="W1647" s="64" ph="1"/>
      <c r="X1647" s="241"/>
      <c r="Y1647" s="284"/>
      <c r="Z1647" s="207"/>
      <c r="AA1647" s="284"/>
      <c r="AB1647" s="284"/>
      <c r="AC1647" s="284"/>
      <c r="AD1647" s="284"/>
      <c r="AE1647" s="284"/>
      <c r="AF1647" s="284"/>
      <c r="AG1647" s="284"/>
      <c r="AI1647" s="131"/>
    </row>
    <row r="1648" spans="1:35" ht="26.4">
      <c r="A1648" s="284"/>
      <c r="B1648" s="284"/>
      <c r="C1648" s="284"/>
      <c r="D1648" s="284"/>
      <c r="E1648" s="284"/>
      <c r="F1648" s="284"/>
      <c r="G1648" s="284"/>
      <c r="H1648" s="284"/>
      <c r="I1648" s="284"/>
      <c r="J1648" s="284"/>
      <c r="K1648" s="284"/>
      <c r="L1648" s="284"/>
      <c r="M1648" s="113"/>
      <c r="N1648" s="113"/>
      <c r="O1648" s="335"/>
      <c r="T1648" s="340"/>
      <c r="V1648" s="342"/>
      <c r="W1648" s="64" ph="1"/>
      <c r="X1648" s="241"/>
      <c r="Y1648" s="284"/>
      <c r="Z1648" s="207"/>
      <c r="AA1648" s="284"/>
      <c r="AB1648" s="284"/>
      <c r="AC1648" s="284"/>
      <c r="AD1648" s="284"/>
      <c r="AE1648" s="284"/>
      <c r="AF1648" s="284"/>
      <c r="AG1648" s="284"/>
      <c r="AI1648" s="131"/>
    </row>
    <row r="1649" spans="1:35" ht="26.4">
      <c r="A1649" s="284"/>
      <c r="B1649" s="284"/>
      <c r="C1649" s="284"/>
      <c r="D1649" s="284"/>
      <c r="E1649" s="284"/>
      <c r="F1649" s="284"/>
      <c r="G1649" s="284"/>
      <c r="H1649" s="284"/>
      <c r="I1649" s="284"/>
      <c r="J1649" s="284"/>
      <c r="K1649" s="284"/>
      <c r="L1649" s="284"/>
      <c r="M1649" s="113"/>
      <c r="N1649" s="113"/>
      <c r="O1649" s="335"/>
      <c r="T1649" s="340"/>
      <c r="V1649" s="342"/>
      <c r="W1649" s="64" ph="1"/>
      <c r="X1649" s="241"/>
      <c r="Y1649" s="284"/>
      <c r="Z1649" s="207"/>
      <c r="AA1649" s="284"/>
      <c r="AB1649" s="284"/>
      <c r="AC1649" s="284"/>
      <c r="AD1649" s="284"/>
      <c r="AE1649" s="284"/>
      <c r="AF1649" s="284"/>
      <c r="AG1649" s="284"/>
      <c r="AI1649" s="131"/>
    </row>
    <row r="1650" spans="1:35" ht="26.4">
      <c r="A1650" s="284"/>
      <c r="B1650" s="284"/>
      <c r="C1650" s="284"/>
      <c r="D1650" s="284"/>
      <c r="E1650" s="284"/>
      <c r="F1650" s="284"/>
      <c r="G1650" s="284"/>
      <c r="H1650" s="284"/>
      <c r="I1650" s="284"/>
      <c r="J1650" s="284"/>
      <c r="K1650" s="284"/>
      <c r="L1650" s="284"/>
      <c r="M1650" s="113"/>
      <c r="N1650" s="113"/>
      <c r="O1650" s="335"/>
      <c r="T1650" s="340"/>
      <c r="V1650" s="342"/>
      <c r="W1650" s="64" ph="1"/>
      <c r="X1650" s="241"/>
      <c r="Y1650" s="284"/>
      <c r="Z1650" s="207"/>
      <c r="AA1650" s="284"/>
      <c r="AB1650" s="284"/>
      <c r="AC1650" s="284"/>
      <c r="AD1650" s="284"/>
      <c r="AE1650" s="284"/>
      <c r="AF1650" s="284"/>
      <c r="AG1650" s="284"/>
      <c r="AI1650" s="131"/>
    </row>
    <row r="1651" spans="1:35" ht="26.4">
      <c r="A1651" s="284"/>
      <c r="B1651" s="284"/>
      <c r="C1651" s="284"/>
      <c r="D1651" s="284"/>
      <c r="E1651" s="284"/>
      <c r="F1651" s="284"/>
      <c r="G1651" s="284"/>
      <c r="H1651" s="284"/>
      <c r="I1651" s="284"/>
      <c r="J1651" s="284"/>
      <c r="K1651" s="284"/>
      <c r="L1651" s="284"/>
      <c r="M1651" s="113"/>
      <c r="N1651" s="113"/>
      <c r="O1651" s="335"/>
      <c r="T1651" s="340"/>
      <c r="V1651" s="342"/>
      <c r="W1651" s="64" ph="1"/>
      <c r="X1651" s="241"/>
      <c r="Y1651" s="284"/>
      <c r="Z1651" s="207"/>
      <c r="AA1651" s="284"/>
      <c r="AB1651" s="284"/>
      <c r="AC1651" s="284"/>
      <c r="AD1651" s="284"/>
      <c r="AE1651" s="284"/>
      <c r="AF1651" s="284"/>
      <c r="AG1651" s="284"/>
      <c r="AI1651" s="131"/>
    </row>
    <row r="1652" spans="1:35" ht="26.4">
      <c r="A1652" s="284"/>
      <c r="B1652" s="284"/>
      <c r="C1652" s="284"/>
      <c r="D1652" s="284"/>
      <c r="E1652" s="284"/>
      <c r="F1652" s="284"/>
      <c r="G1652" s="284"/>
      <c r="H1652" s="284"/>
      <c r="I1652" s="284"/>
      <c r="J1652" s="284"/>
      <c r="K1652" s="284"/>
      <c r="L1652" s="284"/>
      <c r="M1652" s="113"/>
      <c r="N1652" s="113"/>
      <c r="O1652" s="335"/>
      <c r="T1652" s="340"/>
      <c r="V1652" s="342"/>
      <c r="W1652" s="64" ph="1"/>
      <c r="X1652" s="241"/>
      <c r="Y1652" s="284"/>
      <c r="Z1652" s="207"/>
      <c r="AA1652" s="284"/>
      <c r="AB1652" s="284"/>
      <c r="AC1652" s="284"/>
      <c r="AD1652" s="284"/>
      <c r="AE1652" s="284"/>
      <c r="AF1652" s="284"/>
      <c r="AG1652" s="284"/>
      <c r="AI1652" s="131"/>
    </row>
    <row r="1653" spans="1:35" ht="26.4">
      <c r="A1653" s="284"/>
      <c r="B1653" s="284"/>
      <c r="C1653" s="284"/>
      <c r="D1653" s="284"/>
      <c r="E1653" s="284"/>
      <c r="F1653" s="284"/>
      <c r="G1653" s="284"/>
      <c r="H1653" s="284"/>
      <c r="I1653" s="284"/>
      <c r="J1653" s="284"/>
      <c r="K1653" s="284"/>
      <c r="L1653" s="284"/>
      <c r="M1653" s="113"/>
      <c r="N1653" s="113"/>
      <c r="O1653" s="335"/>
      <c r="T1653" s="340"/>
      <c r="V1653" s="342"/>
      <c r="W1653" s="64" ph="1"/>
      <c r="X1653" s="241"/>
      <c r="Y1653" s="284"/>
      <c r="Z1653" s="207"/>
      <c r="AA1653" s="284"/>
      <c r="AB1653" s="284"/>
      <c r="AC1653" s="284"/>
      <c r="AD1653" s="284"/>
      <c r="AE1653" s="284"/>
      <c r="AF1653" s="284"/>
      <c r="AG1653" s="284"/>
      <c r="AI1653" s="131"/>
    </row>
    <row r="1654" spans="1:35" ht="26.4">
      <c r="A1654" s="284"/>
      <c r="B1654" s="284"/>
      <c r="C1654" s="284"/>
      <c r="D1654" s="284"/>
      <c r="E1654" s="284"/>
      <c r="F1654" s="284"/>
      <c r="G1654" s="284"/>
      <c r="H1654" s="284"/>
      <c r="I1654" s="284"/>
      <c r="J1654" s="284"/>
      <c r="K1654" s="284"/>
      <c r="L1654" s="284"/>
      <c r="M1654" s="113"/>
      <c r="N1654" s="113"/>
      <c r="O1654" s="335"/>
      <c r="T1654" s="340"/>
      <c r="V1654" s="342"/>
      <c r="W1654" s="64" ph="1"/>
      <c r="X1654" s="241"/>
      <c r="Y1654" s="284"/>
      <c r="Z1654" s="207"/>
      <c r="AA1654" s="284"/>
      <c r="AB1654" s="284"/>
      <c r="AC1654" s="284"/>
      <c r="AD1654" s="284"/>
      <c r="AE1654" s="284"/>
      <c r="AF1654" s="284"/>
      <c r="AG1654" s="284"/>
      <c r="AI1654" s="131"/>
    </row>
    <row r="1655" spans="1:35" ht="26.4">
      <c r="A1655" s="284"/>
      <c r="B1655" s="284"/>
      <c r="C1655" s="284"/>
      <c r="D1655" s="284"/>
      <c r="E1655" s="284"/>
      <c r="F1655" s="284"/>
      <c r="G1655" s="284"/>
      <c r="H1655" s="284"/>
      <c r="I1655" s="284"/>
      <c r="J1655" s="284"/>
      <c r="K1655" s="284"/>
      <c r="L1655" s="284"/>
      <c r="M1655" s="113"/>
      <c r="N1655" s="113"/>
      <c r="O1655" s="335"/>
      <c r="T1655" s="340"/>
      <c r="V1655" s="342"/>
      <c r="W1655" s="64" ph="1"/>
      <c r="X1655" s="241"/>
      <c r="Y1655" s="284"/>
      <c r="Z1655" s="207"/>
      <c r="AA1655" s="284"/>
      <c r="AB1655" s="284"/>
      <c r="AC1655" s="284"/>
      <c r="AD1655" s="284"/>
      <c r="AE1655" s="284"/>
      <c r="AF1655" s="284"/>
      <c r="AG1655" s="284"/>
      <c r="AI1655" s="131"/>
    </row>
    <row r="1656" spans="1:35" ht="26.4">
      <c r="A1656" s="284"/>
      <c r="B1656" s="284"/>
      <c r="C1656" s="284"/>
      <c r="D1656" s="284"/>
      <c r="E1656" s="284"/>
      <c r="F1656" s="284"/>
      <c r="G1656" s="284"/>
      <c r="H1656" s="284"/>
      <c r="I1656" s="284"/>
      <c r="J1656" s="284"/>
      <c r="K1656" s="284"/>
      <c r="L1656" s="284"/>
      <c r="M1656" s="113"/>
      <c r="N1656" s="113"/>
      <c r="O1656" s="335"/>
      <c r="T1656" s="340"/>
      <c r="V1656" s="342"/>
      <c r="W1656" s="64" ph="1"/>
      <c r="X1656" s="241"/>
      <c r="Y1656" s="284"/>
      <c r="Z1656" s="207"/>
      <c r="AA1656" s="284"/>
      <c r="AB1656" s="284"/>
      <c r="AC1656" s="284"/>
      <c r="AD1656" s="284"/>
      <c r="AE1656" s="284"/>
      <c r="AF1656" s="284"/>
      <c r="AG1656" s="284"/>
      <c r="AI1656" s="131"/>
    </row>
    <row r="1657" spans="1:35" ht="26.4">
      <c r="A1657" s="284"/>
      <c r="B1657" s="284"/>
      <c r="C1657" s="284"/>
      <c r="D1657" s="284"/>
      <c r="E1657" s="284"/>
      <c r="F1657" s="284"/>
      <c r="G1657" s="284"/>
      <c r="H1657" s="284"/>
      <c r="I1657" s="284"/>
      <c r="J1657" s="284"/>
      <c r="K1657" s="284"/>
      <c r="L1657" s="284"/>
      <c r="M1657" s="113"/>
      <c r="N1657" s="113"/>
      <c r="O1657" s="335"/>
      <c r="T1657" s="340"/>
      <c r="V1657" s="342"/>
      <c r="W1657" s="64" ph="1"/>
      <c r="X1657" s="241"/>
      <c r="Y1657" s="284"/>
      <c r="Z1657" s="207"/>
      <c r="AA1657" s="284"/>
      <c r="AB1657" s="284"/>
      <c r="AC1657" s="284"/>
      <c r="AD1657" s="284"/>
      <c r="AE1657" s="284"/>
      <c r="AF1657" s="284"/>
      <c r="AG1657" s="284"/>
      <c r="AI1657" s="131"/>
    </row>
    <row r="1658" spans="1:35" ht="26.4">
      <c r="A1658" s="284"/>
      <c r="B1658" s="284"/>
      <c r="C1658" s="284"/>
      <c r="D1658" s="284"/>
      <c r="E1658" s="284"/>
      <c r="F1658" s="284"/>
      <c r="G1658" s="284"/>
      <c r="H1658" s="284"/>
      <c r="I1658" s="284"/>
      <c r="J1658" s="284"/>
      <c r="K1658" s="284"/>
      <c r="L1658" s="284"/>
      <c r="M1658" s="113"/>
      <c r="N1658" s="113"/>
      <c r="O1658" s="335"/>
      <c r="T1658" s="340"/>
      <c r="V1658" s="342"/>
      <c r="W1658" s="64" ph="1"/>
      <c r="X1658" s="241"/>
      <c r="Y1658" s="284"/>
      <c r="Z1658" s="207"/>
      <c r="AA1658" s="284"/>
      <c r="AB1658" s="284"/>
      <c r="AC1658" s="284"/>
      <c r="AD1658" s="284"/>
      <c r="AE1658" s="284"/>
      <c r="AF1658" s="284"/>
      <c r="AG1658" s="284"/>
      <c r="AI1658" s="131"/>
    </row>
    <row r="1659" spans="1:35" ht="26.4">
      <c r="A1659" s="284"/>
      <c r="B1659" s="284"/>
      <c r="C1659" s="284"/>
      <c r="D1659" s="284"/>
      <c r="E1659" s="284"/>
      <c r="F1659" s="284"/>
      <c r="G1659" s="284"/>
      <c r="H1659" s="284"/>
      <c r="I1659" s="284"/>
      <c r="J1659" s="284"/>
      <c r="K1659" s="284"/>
      <c r="L1659" s="284"/>
      <c r="M1659" s="113"/>
      <c r="N1659" s="113"/>
      <c r="O1659" s="335"/>
      <c r="T1659" s="340"/>
      <c r="V1659" s="342"/>
      <c r="W1659" s="64" ph="1"/>
      <c r="X1659" s="241"/>
      <c r="Y1659" s="284"/>
      <c r="Z1659" s="207"/>
      <c r="AA1659" s="284"/>
      <c r="AB1659" s="284"/>
      <c r="AC1659" s="284"/>
      <c r="AD1659" s="284"/>
      <c r="AE1659" s="284"/>
      <c r="AF1659" s="284"/>
      <c r="AG1659" s="284"/>
      <c r="AI1659" s="131"/>
    </row>
    <row r="1660" spans="1:35" ht="26.4">
      <c r="A1660" s="284"/>
      <c r="B1660" s="284"/>
      <c r="C1660" s="284"/>
      <c r="D1660" s="284"/>
      <c r="E1660" s="284"/>
      <c r="F1660" s="284"/>
      <c r="G1660" s="284"/>
      <c r="H1660" s="284"/>
      <c r="I1660" s="284"/>
      <c r="J1660" s="284"/>
      <c r="K1660" s="284"/>
      <c r="L1660" s="284"/>
      <c r="M1660" s="113"/>
      <c r="N1660" s="113"/>
      <c r="O1660" s="335"/>
      <c r="T1660" s="340"/>
      <c r="V1660" s="342"/>
      <c r="W1660" s="64" ph="1"/>
      <c r="X1660" s="241"/>
      <c r="Y1660" s="284"/>
      <c r="Z1660" s="207"/>
      <c r="AA1660" s="284"/>
      <c r="AB1660" s="284"/>
      <c r="AC1660" s="284"/>
      <c r="AD1660" s="284"/>
      <c r="AE1660" s="284"/>
      <c r="AF1660" s="284"/>
      <c r="AG1660" s="284"/>
      <c r="AI1660" s="131"/>
    </row>
    <row r="1661" spans="1:35" ht="26.4">
      <c r="A1661" s="284"/>
      <c r="B1661" s="284"/>
      <c r="C1661" s="284"/>
      <c r="D1661" s="284"/>
      <c r="E1661" s="284"/>
      <c r="F1661" s="284"/>
      <c r="G1661" s="284"/>
      <c r="H1661" s="284"/>
      <c r="I1661" s="284"/>
      <c r="J1661" s="284"/>
      <c r="K1661" s="284"/>
      <c r="L1661" s="284"/>
      <c r="M1661" s="113"/>
      <c r="N1661" s="113"/>
      <c r="O1661" s="335"/>
      <c r="T1661" s="340"/>
      <c r="V1661" s="342"/>
      <c r="W1661" s="64" ph="1"/>
      <c r="X1661" s="241"/>
      <c r="Y1661" s="284"/>
      <c r="Z1661" s="207"/>
      <c r="AA1661" s="284"/>
      <c r="AB1661" s="284"/>
      <c r="AC1661" s="284"/>
      <c r="AD1661" s="284"/>
      <c r="AE1661" s="284"/>
      <c r="AF1661" s="284"/>
      <c r="AG1661" s="284"/>
      <c r="AI1661" s="131"/>
    </row>
    <row r="1662" spans="1:35" ht="26.4">
      <c r="A1662" s="284"/>
      <c r="B1662" s="284"/>
      <c r="C1662" s="284"/>
      <c r="D1662" s="284"/>
      <c r="E1662" s="284"/>
      <c r="F1662" s="284"/>
      <c r="G1662" s="284"/>
      <c r="H1662" s="284"/>
      <c r="I1662" s="284"/>
      <c r="J1662" s="284"/>
      <c r="K1662" s="284"/>
      <c r="L1662" s="284"/>
      <c r="M1662" s="113"/>
      <c r="N1662" s="113"/>
      <c r="O1662" s="335"/>
      <c r="T1662" s="340"/>
      <c r="V1662" s="342"/>
      <c r="W1662" s="64" ph="1"/>
      <c r="X1662" s="241"/>
      <c r="Y1662" s="284"/>
      <c r="Z1662" s="207"/>
      <c r="AA1662" s="284"/>
      <c r="AB1662" s="284"/>
      <c r="AC1662" s="284"/>
      <c r="AD1662" s="284"/>
      <c r="AE1662" s="284"/>
      <c r="AF1662" s="284"/>
      <c r="AG1662" s="284"/>
      <c r="AI1662" s="131"/>
    </row>
    <row r="1663" spans="1:35" ht="26.4">
      <c r="A1663" s="284"/>
      <c r="B1663" s="284"/>
      <c r="C1663" s="284"/>
      <c r="D1663" s="284"/>
      <c r="E1663" s="284"/>
      <c r="F1663" s="284"/>
      <c r="G1663" s="284"/>
      <c r="H1663" s="284"/>
      <c r="I1663" s="284"/>
      <c r="J1663" s="284"/>
      <c r="K1663" s="284"/>
      <c r="L1663" s="284"/>
      <c r="M1663" s="113"/>
      <c r="N1663" s="113"/>
      <c r="O1663" s="335"/>
      <c r="T1663" s="340"/>
      <c r="V1663" s="342"/>
      <c r="W1663" s="64" ph="1"/>
      <c r="X1663" s="241"/>
      <c r="Y1663" s="284"/>
      <c r="Z1663" s="207"/>
      <c r="AA1663" s="284"/>
      <c r="AB1663" s="284"/>
      <c r="AC1663" s="284"/>
      <c r="AD1663" s="284"/>
      <c r="AE1663" s="284"/>
      <c r="AF1663" s="284"/>
      <c r="AG1663" s="284"/>
      <c r="AI1663" s="131"/>
    </row>
    <row r="1664" spans="1:35" ht="26.4">
      <c r="A1664" s="284"/>
      <c r="B1664" s="284"/>
      <c r="C1664" s="284"/>
      <c r="D1664" s="284"/>
      <c r="E1664" s="284"/>
      <c r="F1664" s="284"/>
      <c r="G1664" s="284"/>
      <c r="H1664" s="284"/>
      <c r="I1664" s="284"/>
      <c r="J1664" s="284"/>
      <c r="K1664" s="284"/>
      <c r="L1664" s="284"/>
      <c r="M1664" s="113"/>
      <c r="N1664" s="113"/>
      <c r="O1664" s="335"/>
      <c r="T1664" s="340"/>
      <c r="V1664" s="342"/>
      <c r="W1664" s="64" ph="1"/>
      <c r="X1664" s="241"/>
      <c r="Y1664" s="284"/>
      <c r="Z1664" s="207"/>
      <c r="AA1664" s="284"/>
      <c r="AB1664" s="284"/>
      <c r="AC1664" s="284"/>
      <c r="AD1664" s="284"/>
      <c r="AE1664" s="284"/>
      <c r="AF1664" s="284"/>
      <c r="AG1664" s="284"/>
      <c r="AI1664" s="131"/>
    </row>
    <row r="1665" spans="1:35" ht="26.4">
      <c r="A1665" s="284"/>
      <c r="B1665" s="284"/>
      <c r="C1665" s="284"/>
      <c r="D1665" s="284"/>
      <c r="E1665" s="284"/>
      <c r="F1665" s="284"/>
      <c r="G1665" s="284"/>
      <c r="H1665" s="284"/>
      <c r="I1665" s="284"/>
      <c r="J1665" s="284"/>
      <c r="K1665" s="284"/>
      <c r="L1665" s="284"/>
      <c r="M1665" s="113"/>
      <c r="N1665" s="113"/>
      <c r="O1665" s="335"/>
      <c r="T1665" s="340"/>
      <c r="V1665" s="342"/>
      <c r="W1665" s="64" ph="1"/>
      <c r="X1665" s="241"/>
      <c r="Y1665" s="284"/>
      <c r="Z1665" s="207"/>
      <c r="AA1665" s="284"/>
      <c r="AB1665" s="284"/>
      <c r="AC1665" s="284"/>
      <c r="AD1665" s="284"/>
      <c r="AE1665" s="284"/>
      <c r="AF1665" s="284"/>
      <c r="AG1665" s="284"/>
      <c r="AI1665" s="131"/>
    </row>
    <row r="1666" spans="1:35" ht="26.4">
      <c r="A1666" s="284"/>
      <c r="B1666" s="284"/>
      <c r="C1666" s="284"/>
      <c r="D1666" s="284"/>
      <c r="E1666" s="284"/>
      <c r="F1666" s="284"/>
      <c r="G1666" s="284"/>
      <c r="H1666" s="284"/>
      <c r="I1666" s="284"/>
      <c r="J1666" s="284"/>
      <c r="K1666" s="284"/>
      <c r="L1666" s="284"/>
      <c r="M1666" s="113"/>
      <c r="N1666" s="113"/>
      <c r="O1666" s="335"/>
      <c r="T1666" s="340"/>
      <c r="V1666" s="342"/>
      <c r="W1666" s="64" ph="1"/>
      <c r="X1666" s="241"/>
      <c r="Y1666" s="284"/>
      <c r="Z1666" s="207"/>
      <c r="AA1666" s="284"/>
      <c r="AB1666" s="284"/>
      <c r="AC1666" s="284"/>
      <c r="AD1666" s="284"/>
      <c r="AE1666" s="284"/>
      <c r="AF1666" s="284"/>
      <c r="AG1666" s="284"/>
      <c r="AI1666" s="131"/>
    </row>
    <row r="1667" spans="1:35" ht="26.4">
      <c r="A1667" s="284"/>
      <c r="B1667" s="284"/>
      <c r="C1667" s="284"/>
      <c r="D1667" s="284"/>
      <c r="E1667" s="284"/>
      <c r="F1667" s="284"/>
      <c r="G1667" s="284"/>
      <c r="H1667" s="284"/>
      <c r="I1667" s="284"/>
      <c r="J1667" s="284"/>
      <c r="K1667" s="284"/>
      <c r="L1667" s="284"/>
      <c r="M1667" s="113"/>
      <c r="N1667" s="113"/>
      <c r="O1667" s="335"/>
      <c r="T1667" s="340"/>
      <c r="V1667" s="342"/>
      <c r="W1667" s="64" ph="1"/>
      <c r="X1667" s="241"/>
      <c r="Y1667" s="284"/>
      <c r="Z1667" s="207"/>
      <c r="AA1667" s="284"/>
      <c r="AB1667" s="284"/>
      <c r="AC1667" s="284"/>
      <c r="AD1667" s="284"/>
      <c r="AE1667" s="284"/>
      <c r="AF1667" s="284"/>
      <c r="AG1667" s="284"/>
      <c r="AI1667" s="131"/>
    </row>
    <row r="1668" spans="1:35" ht="26.4">
      <c r="A1668" s="284"/>
      <c r="B1668" s="284"/>
      <c r="C1668" s="284"/>
      <c r="D1668" s="284"/>
      <c r="E1668" s="284"/>
      <c r="F1668" s="284"/>
      <c r="G1668" s="284"/>
      <c r="H1668" s="284"/>
      <c r="I1668" s="284"/>
      <c r="J1668" s="284"/>
      <c r="K1668" s="284"/>
      <c r="L1668" s="284"/>
      <c r="M1668" s="113"/>
      <c r="N1668" s="113"/>
      <c r="O1668" s="335"/>
      <c r="T1668" s="340"/>
      <c r="V1668" s="342"/>
      <c r="W1668" s="64" ph="1"/>
      <c r="X1668" s="241"/>
      <c r="Y1668" s="284"/>
      <c r="Z1668" s="207"/>
      <c r="AA1668" s="284"/>
      <c r="AB1668" s="284"/>
      <c r="AC1668" s="284"/>
      <c r="AD1668" s="284"/>
      <c r="AE1668" s="284"/>
      <c r="AF1668" s="284"/>
      <c r="AG1668" s="284"/>
    </row>
    <row r="1669" spans="1:35" ht="26.4">
      <c r="A1669" s="284"/>
      <c r="B1669" s="284"/>
      <c r="C1669" s="284"/>
      <c r="D1669" s="284"/>
      <c r="E1669" s="284"/>
      <c r="F1669" s="284"/>
      <c r="G1669" s="284"/>
      <c r="H1669" s="284"/>
      <c r="I1669" s="284"/>
      <c r="J1669" s="284"/>
      <c r="K1669" s="284"/>
      <c r="L1669" s="284"/>
      <c r="M1669" s="113"/>
      <c r="N1669" s="113"/>
      <c r="O1669" s="335"/>
      <c r="T1669" s="340"/>
      <c r="V1669" s="342"/>
      <c r="W1669" s="64" ph="1"/>
      <c r="X1669" s="241"/>
      <c r="Y1669" s="284"/>
      <c r="Z1669" s="207"/>
      <c r="AA1669" s="284"/>
      <c r="AB1669" s="284"/>
      <c r="AC1669" s="284"/>
      <c r="AD1669" s="284"/>
      <c r="AE1669" s="284"/>
      <c r="AF1669" s="284"/>
      <c r="AG1669" s="284"/>
      <c r="AI1669" s="131"/>
    </row>
    <row r="1670" spans="1:35" ht="26.4">
      <c r="A1670" s="284"/>
      <c r="B1670" s="284"/>
      <c r="C1670" s="284"/>
      <c r="D1670" s="284"/>
      <c r="E1670" s="284"/>
      <c r="F1670" s="284"/>
      <c r="G1670" s="284"/>
      <c r="H1670" s="284"/>
      <c r="I1670" s="284"/>
      <c r="J1670" s="284"/>
      <c r="K1670" s="284"/>
      <c r="L1670" s="284"/>
      <c r="M1670" s="113"/>
      <c r="N1670" s="113"/>
      <c r="O1670" s="335"/>
      <c r="T1670" s="340"/>
      <c r="V1670" s="342"/>
      <c r="W1670" s="64" ph="1"/>
      <c r="X1670" s="241"/>
      <c r="Y1670" s="284"/>
      <c r="Z1670" s="207"/>
      <c r="AA1670" s="284"/>
      <c r="AB1670" s="284"/>
      <c r="AC1670" s="284"/>
      <c r="AD1670" s="284"/>
      <c r="AE1670" s="284"/>
      <c r="AF1670" s="284"/>
      <c r="AG1670" s="284"/>
      <c r="AI1670" s="131"/>
    </row>
    <row r="1671" spans="1:35" ht="26.4">
      <c r="A1671" s="284"/>
      <c r="B1671" s="284"/>
      <c r="C1671" s="284"/>
      <c r="D1671" s="284"/>
      <c r="E1671" s="284"/>
      <c r="F1671" s="284"/>
      <c r="G1671" s="284"/>
      <c r="H1671" s="284"/>
      <c r="I1671" s="284"/>
      <c r="J1671" s="284"/>
      <c r="K1671" s="284"/>
      <c r="L1671" s="284"/>
      <c r="M1671" s="113"/>
      <c r="N1671" s="113"/>
      <c r="O1671" s="335"/>
      <c r="T1671" s="340"/>
      <c r="V1671" s="342"/>
      <c r="W1671" s="64" ph="1"/>
      <c r="X1671" s="241"/>
      <c r="Y1671" s="284"/>
      <c r="Z1671" s="207"/>
      <c r="AA1671" s="284"/>
      <c r="AB1671" s="284"/>
      <c r="AC1671" s="284"/>
      <c r="AD1671" s="284"/>
      <c r="AE1671" s="284"/>
      <c r="AF1671" s="284"/>
      <c r="AG1671" s="284"/>
      <c r="AI1671" s="131"/>
    </row>
    <row r="1672" spans="1:35" ht="26.4">
      <c r="A1672" s="284"/>
      <c r="B1672" s="284"/>
      <c r="C1672" s="284"/>
      <c r="D1672" s="284"/>
      <c r="E1672" s="284"/>
      <c r="F1672" s="284"/>
      <c r="G1672" s="284"/>
      <c r="H1672" s="284"/>
      <c r="I1672" s="284"/>
      <c r="J1672" s="284"/>
      <c r="K1672" s="284"/>
      <c r="L1672" s="284"/>
      <c r="M1672" s="113"/>
      <c r="N1672" s="113"/>
      <c r="O1672" s="335"/>
      <c r="T1672" s="340"/>
      <c r="V1672" s="342"/>
      <c r="W1672" s="64" ph="1"/>
      <c r="X1672" s="241"/>
      <c r="Y1672" s="284"/>
      <c r="Z1672" s="207"/>
      <c r="AA1672" s="284"/>
      <c r="AB1672" s="284"/>
      <c r="AC1672" s="284"/>
      <c r="AD1672" s="284"/>
      <c r="AE1672" s="284"/>
      <c r="AF1672" s="284"/>
      <c r="AG1672" s="284"/>
      <c r="AI1672" s="131"/>
    </row>
    <row r="1673" spans="1:35" ht="26.4">
      <c r="A1673" s="284"/>
      <c r="B1673" s="284"/>
      <c r="C1673" s="284"/>
      <c r="D1673" s="284"/>
      <c r="E1673" s="284"/>
      <c r="F1673" s="284"/>
      <c r="G1673" s="284"/>
      <c r="H1673" s="284"/>
      <c r="I1673" s="284"/>
      <c r="J1673" s="284"/>
      <c r="K1673" s="284"/>
      <c r="L1673" s="284"/>
      <c r="M1673" s="113"/>
      <c r="N1673" s="113"/>
      <c r="O1673" s="335"/>
      <c r="T1673" s="340"/>
      <c r="V1673" s="342"/>
      <c r="W1673" s="64" ph="1"/>
      <c r="X1673" s="241"/>
      <c r="Y1673" s="284"/>
      <c r="Z1673" s="207"/>
      <c r="AA1673" s="284"/>
      <c r="AB1673" s="284"/>
      <c r="AC1673" s="284"/>
      <c r="AD1673" s="284"/>
      <c r="AE1673" s="284"/>
      <c r="AF1673" s="284"/>
      <c r="AG1673" s="284"/>
      <c r="AI1673" s="131"/>
    </row>
    <row r="1674" spans="1:35" ht="26.4">
      <c r="A1674" s="284"/>
      <c r="B1674" s="284"/>
      <c r="C1674" s="284"/>
      <c r="D1674" s="284"/>
      <c r="E1674" s="284"/>
      <c r="F1674" s="284"/>
      <c r="G1674" s="284"/>
      <c r="H1674" s="284"/>
      <c r="I1674" s="284"/>
      <c r="J1674" s="284"/>
      <c r="K1674" s="284"/>
      <c r="L1674" s="284"/>
      <c r="M1674" s="113"/>
      <c r="N1674" s="113"/>
      <c r="O1674" s="335"/>
      <c r="T1674" s="340"/>
      <c r="V1674" s="342"/>
      <c r="W1674" s="64" ph="1"/>
      <c r="X1674" s="241"/>
      <c r="Y1674" s="284"/>
      <c r="Z1674" s="207"/>
      <c r="AA1674" s="284"/>
      <c r="AB1674" s="284"/>
      <c r="AC1674" s="284"/>
      <c r="AD1674" s="284"/>
      <c r="AE1674" s="284"/>
      <c r="AF1674" s="284"/>
      <c r="AG1674" s="284"/>
      <c r="AI1674" s="131"/>
    </row>
    <row r="1675" spans="1:35" ht="26.4">
      <c r="A1675" s="284"/>
      <c r="B1675" s="284"/>
      <c r="C1675" s="284"/>
      <c r="D1675" s="284"/>
      <c r="E1675" s="284"/>
      <c r="F1675" s="284"/>
      <c r="G1675" s="284"/>
      <c r="H1675" s="284"/>
      <c r="I1675" s="284"/>
      <c r="J1675" s="284"/>
      <c r="K1675" s="284"/>
      <c r="L1675" s="284"/>
      <c r="M1675" s="113"/>
      <c r="N1675" s="113"/>
      <c r="O1675" s="335"/>
      <c r="T1675" s="340"/>
      <c r="V1675" s="342"/>
      <c r="W1675" s="64" ph="1"/>
      <c r="X1675" s="241"/>
      <c r="Y1675" s="284"/>
      <c r="Z1675" s="207"/>
      <c r="AA1675" s="284"/>
      <c r="AB1675" s="284"/>
      <c r="AC1675" s="284"/>
      <c r="AD1675" s="284"/>
      <c r="AE1675" s="284"/>
      <c r="AF1675" s="284"/>
      <c r="AG1675" s="284"/>
      <c r="AI1675" s="131"/>
    </row>
    <row r="1676" spans="1:35" ht="26.4">
      <c r="A1676" s="284"/>
      <c r="B1676" s="284"/>
      <c r="C1676" s="284"/>
      <c r="D1676" s="284"/>
      <c r="E1676" s="284"/>
      <c r="F1676" s="284"/>
      <c r="G1676" s="284"/>
      <c r="H1676" s="284"/>
      <c r="I1676" s="284"/>
      <c r="J1676" s="284"/>
      <c r="K1676" s="284"/>
      <c r="L1676" s="284"/>
      <c r="M1676" s="113"/>
      <c r="N1676" s="113"/>
      <c r="O1676" s="335"/>
      <c r="T1676" s="340"/>
      <c r="V1676" s="342"/>
      <c r="W1676" s="64" ph="1"/>
      <c r="X1676" s="241"/>
      <c r="Y1676" s="284"/>
      <c r="Z1676" s="207"/>
      <c r="AA1676" s="284"/>
      <c r="AB1676" s="284"/>
      <c r="AC1676" s="284"/>
      <c r="AD1676" s="284"/>
      <c r="AE1676" s="284"/>
      <c r="AF1676" s="284"/>
      <c r="AG1676" s="284"/>
      <c r="AI1676" s="131"/>
    </row>
    <row r="1677" spans="1:35" ht="26.4">
      <c r="A1677" s="284"/>
      <c r="B1677" s="284"/>
      <c r="C1677" s="284"/>
      <c r="D1677" s="284"/>
      <c r="E1677" s="284"/>
      <c r="F1677" s="284"/>
      <c r="G1677" s="284"/>
      <c r="H1677" s="284"/>
      <c r="I1677" s="284"/>
      <c r="J1677" s="284"/>
      <c r="K1677" s="284"/>
      <c r="L1677" s="284"/>
      <c r="M1677" s="113"/>
      <c r="N1677" s="113"/>
      <c r="O1677" s="335"/>
      <c r="T1677" s="340"/>
      <c r="V1677" s="342"/>
      <c r="W1677" s="64" ph="1"/>
      <c r="X1677" s="241"/>
      <c r="Y1677" s="284"/>
      <c r="Z1677" s="207"/>
      <c r="AA1677" s="284"/>
      <c r="AB1677" s="284"/>
      <c r="AC1677" s="284"/>
      <c r="AD1677" s="284"/>
      <c r="AE1677" s="284"/>
      <c r="AF1677" s="284"/>
      <c r="AG1677" s="284"/>
      <c r="AI1677" s="131"/>
    </row>
    <row r="1678" spans="1:35" ht="26.4">
      <c r="A1678" s="284"/>
      <c r="B1678" s="284"/>
      <c r="C1678" s="284"/>
      <c r="D1678" s="284"/>
      <c r="E1678" s="284"/>
      <c r="F1678" s="284"/>
      <c r="G1678" s="284"/>
      <c r="H1678" s="284"/>
      <c r="I1678" s="284"/>
      <c r="J1678" s="284"/>
      <c r="K1678" s="284"/>
      <c r="L1678" s="284"/>
      <c r="M1678" s="113"/>
      <c r="N1678" s="113"/>
      <c r="O1678" s="335"/>
      <c r="T1678" s="340"/>
      <c r="V1678" s="342"/>
      <c r="W1678" s="64" ph="1"/>
      <c r="X1678" s="241"/>
      <c r="Y1678" s="284"/>
      <c r="Z1678" s="207"/>
      <c r="AA1678" s="284"/>
      <c r="AB1678" s="284"/>
      <c r="AC1678" s="284"/>
      <c r="AD1678" s="284"/>
      <c r="AE1678" s="284"/>
      <c r="AF1678" s="284"/>
      <c r="AG1678" s="284"/>
      <c r="AI1678" s="131"/>
    </row>
    <row r="1679" spans="1:35" ht="26.4">
      <c r="A1679" s="284"/>
      <c r="B1679" s="284"/>
      <c r="C1679" s="284"/>
      <c r="D1679" s="284"/>
      <c r="E1679" s="284"/>
      <c r="F1679" s="284"/>
      <c r="G1679" s="284"/>
      <c r="H1679" s="284"/>
      <c r="I1679" s="284"/>
      <c r="J1679" s="284"/>
      <c r="K1679" s="284"/>
      <c r="L1679" s="284"/>
      <c r="M1679" s="113"/>
      <c r="N1679" s="113"/>
      <c r="O1679" s="335"/>
      <c r="T1679" s="340"/>
      <c r="V1679" s="342"/>
      <c r="W1679" s="64" ph="1"/>
      <c r="X1679" s="241"/>
      <c r="Y1679" s="284"/>
      <c r="Z1679" s="207"/>
      <c r="AA1679" s="284"/>
      <c r="AB1679" s="284"/>
      <c r="AC1679" s="284"/>
      <c r="AD1679" s="284"/>
      <c r="AE1679" s="284"/>
      <c r="AF1679" s="284"/>
      <c r="AG1679" s="284"/>
      <c r="AI1679" s="131"/>
    </row>
    <row r="1680" spans="1:35" ht="26.4">
      <c r="A1680" s="284"/>
      <c r="B1680" s="284"/>
      <c r="C1680" s="284"/>
      <c r="D1680" s="284"/>
      <c r="E1680" s="284"/>
      <c r="F1680" s="284"/>
      <c r="G1680" s="284"/>
      <c r="H1680" s="284"/>
      <c r="I1680" s="284"/>
      <c r="J1680" s="284"/>
      <c r="K1680" s="284"/>
      <c r="L1680" s="284"/>
      <c r="M1680" s="113"/>
      <c r="N1680" s="113"/>
      <c r="O1680" s="335"/>
      <c r="T1680" s="340"/>
      <c r="V1680" s="342"/>
      <c r="W1680" s="64" ph="1"/>
      <c r="X1680" s="241"/>
      <c r="Y1680" s="284"/>
      <c r="Z1680" s="207"/>
      <c r="AA1680" s="284"/>
      <c r="AB1680" s="284"/>
      <c r="AC1680" s="284"/>
      <c r="AD1680" s="284"/>
      <c r="AE1680" s="284"/>
      <c r="AF1680" s="284"/>
      <c r="AG1680" s="284"/>
      <c r="AI1680" s="131"/>
    </row>
    <row r="1681" spans="1:35" ht="26.4">
      <c r="A1681" s="284"/>
      <c r="B1681" s="284"/>
      <c r="C1681" s="284"/>
      <c r="D1681" s="284"/>
      <c r="E1681" s="284"/>
      <c r="F1681" s="284"/>
      <c r="G1681" s="284"/>
      <c r="H1681" s="284"/>
      <c r="I1681" s="284"/>
      <c r="J1681" s="284"/>
      <c r="K1681" s="284"/>
      <c r="L1681" s="284"/>
      <c r="M1681" s="113"/>
      <c r="N1681" s="113"/>
      <c r="O1681" s="335"/>
      <c r="T1681" s="340"/>
      <c r="V1681" s="342"/>
      <c r="W1681" s="64" ph="1"/>
      <c r="X1681" s="241"/>
      <c r="Y1681" s="284"/>
      <c r="Z1681" s="207"/>
      <c r="AA1681" s="284"/>
      <c r="AB1681" s="284"/>
      <c r="AC1681" s="284"/>
      <c r="AD1681" s="284"/>
      <c r="AE1681" s="284"/>
      <c r="AF1681" s="284"/>
      <c r="AG1681" s="284"/>
      <c r="AI1681" s="131"/>
    </row>
    <row r="1682" spans="1:35" ht="26.4">
      <c r="A1682" s="284"/>
      <c r="B1682" s="284"/>
      <c r="C1682" s="284"/>
      <c r="D1682" s="284"/>
      <c r="E1682" s="284"/>
      <c r="F1682" s="284"/>
      <c r="G1682" s="284"/>
      <c r="H1682" s="284"/>
      <c r="I1682" s="284"/>
      <c r="J1682" s="284"/>
      <c r="K1682" s="284"/>
      <c r="L1682" s="284"/>
      <c r="M1682" s="113"/>
      <c r="N1682" s="113"/>
      <c r="O1682" s="335"/>
      <c r="T1682" s="340"/>
      <c r="V1682" s="342"/>
      <c r="W1682" s="64" ph="1"/>
      <c r="X1682" s="241"/>
      <c r="Y1682" s="284"/>
      <c r="Z1682" s="207"/>
      <c r="AA1682" s="284"/>
      <c r="AB1682" s="284"/>
      <c r="AC1682" s="284"/>
      <c r="AD1682" s="284"/>
      <c r="AE1682" s="284"/>
      <c r="AF1682" s="284"/>
      <c r="AG1682" s="284"/>
      <c r="AI1682" s="131"/>
    </row>
    <row r="1683" spans="1:35" ht="26.4">
      <c r="A1683" s="284"/>
      <c r="B1683" s="284"/>
      <c r="C1683" s="284"/>
      <c r="D1683" s="284"/>
      <c r="E1683" s="284"/>
      <c r="F1683" s="284"/>
      <c r="G1683" s="284"/>
      <c r="H1683" s="284"/>
      <c r="I1683" s="284"/>
      <c r="J1683" s="284"/>
      <c r="K1683" s="284"/>
      <c r="L1683" s="284"/>
      <c r="M1683" s="113"/>
      <c r="N1683" s="113"/>
      <c r="O1683" s="335"/>
      <c r="T1683" s="340"/>
      <c r="V1683" s="342"/>
      <c r="W1683" s="64" ph="1"/>
      <c r="X1683" s="241"/>
      <c r="Y1683" s="284"/>
      <c r="Z1683" s="207"/>
      <c r="AA1683" s="284"/>
      <c r="AB1683" s="284"/>
      <c r="AC1683" s="284"/>
      <c r="AD1683" s="284"/>
      <c r="AE1683" s="284"/>
      <c r="AF1683" s="284"/>
      <c r="AG1683" s="284"/>
      <c r="AI1683" s="131"/>
    </row>
    <row r="1684" spans="1:35" ht="26.4">
      <c r="A1684" s="284"/>
      <c r="B1684" s="284"/>
      <c r="C1684" s="284"/>
      <c r="D1684" s="284"/>
      <c r="E1684" s="284"/>
      <c r="F1684" s="284"/>
      <c r="G1684" s="284"/>
      <c r="H1684" s="284"/>
      <c r="I1684" s="284"/>
      <c r="J1684" s="284"/>
      <c r="K1684" s="284"/>
      <c r="L1684" s="284"/>
      <c r="M1684" s="113"/>
      <c r="N1684" s="113"/>
      <c r="O1684" s="335"/>
      <c r="T1684" s="340"/>
      <c r="V1684" s="342"/>
      <c r="W1684" s="64" ph="1"/>
      <c r="X1684" s="241"/>
      <c r="Y1684" s="284"/>
      <c r="Z1684" s="207"/>
      <c r="AA1684" s="284"/>
      <c r="AB1684" s="284"/>
      <c r="AC1684" s="284"/>
      <c r="AD1684" s="284"/>
      <c r="AE1684" s="284"/>
      <c r="AF1684" s="284"/>
      <c r="AG1684" s="284"/>
      <c r="AI1684" s="131"/>
    </row>
    <row r="1685" spans="1:35" ht="26.4">
      <c r="A1685" s="284"/>
      <c r="B1685" s="284"/>
      <c r="C1685" s="284"/>
      <c r="D1685" s="284"/>
      <c r="E1685" s="284"/>
      <c r="F1685" s="284"/>
      <c r="G1685" s="284"/>
      <c r="H1685" s="284"/>
      <c r="I1685" s="284"/>
      <c r="J1685" s="284"/>
      <c r="K1685" s="284"/>
      <c r="L1685" s="284"/>
      <c r="M1685" s="113"/>
      <c r="N1685" s="113"/>
      <c r="O1685" s="335"/>
      <c r="T1685" s="340"/>
      <c r="V1685" s="342"/>
      <c r="W1685" s="64" ph="1"/>
      <c r="X1685" s="241"/>
      <c r="Y1685" s="284"/>
      <c r="Z1685" s="207"/>
      <c r="AA1685" s="284"/>
      <c r="AB1685" s="284"/>
      <c r="AC1685" s="284"/>
      <c r="AD1685" s="284"/>
      <c r="AE1685" s="284"/>
      <c r="AF1685" s="284"/>
      <c r="AG1685" s="284"/>
      <c r="AI1685" s="131"/>
    </row>
    <row r="1686" spans="1:35" ht="26.4">
      <c r="A1686" s="284"/>
      <c r="B1686" s="284"/>
      <c r="C1686" s="284"/>
      <c r="D1686" s="284"/>
      <c r="E1686" s="284"/>
      <c r="F1686" s="284"/>
      <c r="G1686" s="284"/>
      <c r="H1686" s="284"/>
      <c r="I1686" s="284"/>
      <c r="J1686" s="284"/>
      <c r="K1686" s="284"/>
      <c r="L1686" s="284"/>
      <c r="M1686" s="113"/>
      <c r="N1686" s="113"/>
      <c r="O1686" s="335"/>
      <c r="T1686" s="340"/>
      <c r="V1686" s="342"/>
      <c r="W1686" s="64" ph="1"/>
      <c r="X1686" s="241"/>
      <c r="Y1686" s="284"/>
      <c r="Z1686" s="207"/>
      <c r="AA1686" s="284"/>
      <c r="AB1686" s="284"/>
      <c r="AC1686" s="284"/>
      <c r="AD1686" s="284"/>
      <c r="AE1686" s="284"/>
      <c r="AF1686" s="284"/>
      <c r="AG1686" s="284"/>
      <c r="AI1686" s="131"/>
    </row>
    <row r="1687" spans="1:35" ht="26.4">
      <c r="A1687" s="284"/>
      <c r="B1687" s="284"/>
      <c r="C1687" s="284"/>
      <c r="D1687" s="284"/>
      <c r="E1687" s="284"/>
      <c r="F1687" s="284"/>
      <c r="G1687" s="284"/>
      <c r="H1687" s="284"/>
      <c r="I1687" s="284"/>
      <c r="J1687" s="284"/>
      <c r="K1687" s="284"/>
      <c r="L1687" s="284"/>
      <c r="M1687" s="113"/>
      <c r="N1687" s="113"/>
      <c r="O1687" s="335"/>
      <c r="T1687" s="340"/>
      <c r="V1687" s="342"/>
      <c r="W1687" s="64" ph="1"/>
      <c r="X1687" s="241"/>
      <c r="Y1687" s="284"/>
      <c r="Z1687" s="207"/>
      <c r="AA1687" s="284"/>
      <c r="AB1687" s="284"/>
      <c r="AC1687" s="284"/>
      <c r="AD1687" s="284"/>
      <c r="AE1687" s="284"/>
      <c r="AF1687" s="284"/>
      <c r="AG1687" s="284"/>
      <c r="AI1687" s="131"/>
    </row>
    <row r="1688" spans="1:35" ht="26.4">
      <c r="A1688" s="284"/>
      <c r="B1688" s="284"/>
      <c r="C1688" s="284"/>
      <c r="D1688" s="284"/>
      <c r="E1688" s="284"/>
      <c r="F1688" s="284"/>
      <c r="G1688" s="284"/>
      <c r="H1688" s="284"/>
      <c r="I1688" s="284"/>
      <c r="J1688" s="284"/>
      <c r="K1688" s="284"/>
      <c r="L1688" s="284"/>
      <c r="M1688" s="113"/>
      <c r="N1688" s="113"/>
      <c r="O1688" s="335"/>
      <c r="T1688" s="340"/>
      <c r="V1688" s="342"/>
      <c r="W1688" s="64" ph="1"/>
      <c r="X1688" s="241"/>
      <c r="Y1688" s="284"/>
      <c r="Z1688" s="207"/>
      <c r="AA1688" s="284"/>
      <c r="AB1688" s="284"/>
      <c r="AC1688" s="284"/>
      <c r="AD1688" s="284"/>
      <c r="AE1688" s="284"/>
      <c r="AF1688" s="284"/>
      <c r="AG1688" s="284"/>
      <c r="AI1688" s="131"/>
    </row>
    <row r="1689" spans="1:35" ht="26.4">
      <c r="A1689" s="284"/>
      <c r="B1689" s="284"/>
      <c r="C1689" s="284"/>
      <c r="D1689" s="284"/>
      <c r="E1689" s="284"/>
      <c r="F1689" s="284"/>
      <c r="G1689" s="284"/>
      <c r="H1689" s="284"/>
      <c r="I1689" s="284"/>
      <c r="J1689" s="284"/>
      <c r="K1689" s="284"/>
      <c r="L1689" s="284"/>
      <c r="M1689" s="113"/>
      <c r="N1689" s="113"/>
      <c r="O1689" s="335"/>
      <c r="T1689" s="340"/>
      <c r="V1689" s="342"/>
      <c r="W1689" s="64" ph="1"/>
      <c r="X1689" s="241"/>
      <c r="Y1689" s="284"/>
      <c r="Z1689" s="207"/>
      <c r="AA1689" s="284"/>
      <c r="AB1689" s="284"/>
      <c r="AC1689" s="284"/>
      <c r="AD1689" s="284"/>
      <c r="AE1689" s="284"/>
      <c r="AF1689" s="284"/>
      <c r="AG1689" s="284"/>
      <c r="AI1689" s="131"/>
    </row>
    <row r="1690" spans="1:35" ht="26.4">
      <c r="A1690" s="284"/>
      <c r="B1690" s="284"/>
      <c r="C1690" s="284"/>
      <c r="D1690" s="284"/>
      <c r="E1690" s="284"/>
      <c r="F1690" s="284"/>
      <c r="G1690" s="284"/>
      <c r="H1690" s="284"/>
      <c r="I1690" s="284"/>
      <c r="J1690" s="284"/>
      <c r="K1690" s="284"/>
      <c r="L1690" s="284"/>
      <c r="M1690" s="113"/>
      <c r="N1690" s="113"/>
      <c r="O1690" s="335"/>
      <c r="T1690" s="340"/>
      <c r="V1690" s="342"/>
      <c r="W1690" s="64" ph="1"/>
      <c r="X1690" s="241"/>
      <c r="Y1690" s="284"/>
      <c r="Z1690" s="207"/>
      <c r="AA1690" s="284"/>
      <c r="AB1690" s="284"/>
      <c r="AC1690" s="284"/>
      <c r="AD1690" s="284"/>
      <c r="AE1690" s="284"/>
      <c r="AF1690" s="284"/>
      <c r="AG1690" s="284"/>
      <c r="AI1690" s="131"/>
    </row>
    <row r="1691" spans="1:35" ht="26.4">
      <c r="A1691" s="284"/>
      <c r="B1691" s="284"/>
      <c r="C1691" s="284"/>
      <c r="D1691" s="284"/>
      <c r="E1691" s="284"/>
      <c r="F1691" s="284"/>
      <c r="G1691" s="284"/>
      <c r="H1691" s="284"/>
      <c r="I1691" s="284"/>
      <c r="J1691" s="284"/>
      <c r="K1691" s="284"/>
      <c r="L1691" s="284"/>
      <c r="M1691" s="113"/>
      <c r="N1691" s="113"/>
      <c r="O1691" s="335"/>
      <c r="T1691" s="340"/>
      <c r="V1691" s="342"/>
      <c r="W1691" s="64" ph="1"/>
      <c r="X1691" s="241"/>
      <c r="Y1691" s="284"/>
      <c r="Z1691" s="207"/>
      <c r="AA1691" s="284"/>
      <c r="AB1691" s="284"/>
      <c r="AC1691" s="284"/>
      <c r="AD1691" s="284"/>
      <c r="AE1691" s="284"/>
      <c r="AF1691" s="284"/>
      <c r="AG1691" s="284"/>
      <c r="AI1691" s="131"/>
    </row>
    <row r="1692" spans="1:35" ht="26.4">
      <c r="A1692" s="284"/>
      <c r="B1692" s="284"/>
      <c r="C1692" s="284"/>
      <c r="D1692" s="284"/>
      <c r="E1692" s="284"/>
      <c r="F1692" s="284"/>
      <c r="G1692" s="284"/>
      <c r="H1692" s="284"/>
      <c r="I1692" s="284"/>
      <c r="J1692" s="284"/>
      <c r="K1692" s="284"/>
      <c r="L1692" s="284"/>
      <c r="M1692" s="113"/>
      <c r="N1692" s="113"/>
      <c r="O1692" s="335"/>
      <c r="T1692" s="340"/>
      <c r="V1692" s="342"/>
      <c r="W1692" s="64" ph="1"/>
      <c r="X1692" s="241"/>
      <c r="Y1692" s="284"/>
      <c r="Z1692" s="207"/>
      <c r="AA1692" s="284"/>
      <c r="AB1692" s="284"/>
      <c r="AC1692" s="284"/>
      <c r="AD1692" s="284"/>
      <c r="AE1692" s="284"/>
      <c r="AF1692" s="284"/>
      <c r="AG1692" s="284"/>
      <c r="AI1692" s="131"/>
    </row>
    <row r="1693" spans="1:35" ht="26.4">
      <c r="A1693" s="284"/>
      <c r="B1693" s="284"/>
      <c r="C1693" s="284"/>
      <c r="D1693" s="284"/>
      <c r="E1693" s="284"/>
      <c r="F1693" s="284"/>
      <c r="G1693" s="284"/>
      <c r="H1693" s="284"/>
      <c r="I1693" s="284"/>
      <c r="J1693" s="284"/>
      <c r="K1693" s="284"/>
      <c r="L1693" s="284"/>
      <c r="M1693" s="113"/>
      <c r="N1693" s="113"/>
      <c r="O1693" s="335"/>
      <c r="T1693" s="340"/>
      <c r="V1693" s="342"/>
      <c r="W1693" s="64" ph="1"/>
      <c r="X1693" s="241"/>
      <c r="Y1693" s="284"/>
      <c r="Z1693" s="207"/>
      <c r="AA1693" s="284"/>
      <c r="AB1693" s="284"/>
      <c r="AC1693" s="284"/>
      <c r="AD1693" s="284"/>
      <c r="AE1693" s="284"/>
      <c r="AF1693" s="284"/>
      <c r="AG1693" s="284"/>
      <c r="AI1693" s="131"/>
    </row>
    <row r="1694" spans="1:35" ht="26.4">
      <c r="A1694" s="284"/>
      <c r="B1694" s="284"/>
      <c r="C1694" s="284"/>
      <c r="D1694" s="284"/>
      <c r="E1694" s="284"/>
      <c r="F1694" s="284"/>
      <c r="G1694" s="284"/>
      <c r="H1694" s="284"/>
      <c r="I1694" s="284"/>
      <c r="J1694" s="284"/>
      <c r="K1694" s="284"/>
      <c r="L1694" s="284"/>
      <c r="M1694" s="113"/>
      <c r="N1694" s="113"/>
      <c r="O1694" s="335"/>
      <c r="T1694" s="340"/>
      <c r="V1694" s="342"/>
      <c r="W1694" s="64" ph="1"/>
      <c r="X1694" s="241"/>
      <c r="Y1694" s="284"/>
      <c r="Z1694" s="207"/>
      <c r="AA1694" s="284"/>
      <c r="AB1694" s="284"/>
      <c r="AC1694" s="284"/>
      <c r="AD1694" s="284"/>
      <c r="AE1694" s="284"/>
      <c r="AF1694" s="284"/>
      <c r="AG1694" s="284"/>
      <c r="AI1694" s="131"/>
    </row>
    <row r="1695" spans="1:35" ht="26.4">
      <c r="A1695" s="284"/>
      <c r="B1695" s="284"/>
      <c r="C1695" s="284"/>
      <c r="D1695" s="284"/>
      <c r="E1695" s="284"/>
      <c r="F1695" s="284"/>
      <c r="G1695" s="284"/>
      <c r="H1695" s="284"/>
      <c r="I1695" s="284"/>
      <c r="J1695" s="284"/>
      <c r="K1695" s="284"/>
      <c r="L1695" s="284"/>
      <c r="M1695" s="113"/>
      <c r="N1695" s="113"/>
      <c r="O1695" s="335"/>
      <c r="T1695" s="340"/>
      <c r="V1695" s="342"/>
      <c r="W1695" s="64" ph="1"/>
      <c r="X1695" s="241"/>
      <c r="Y1695" s="284"/>
      <c r="Z1695" s="207"/>
      <c r="AA1695" s="284"/>
      <c r="AB1695" s="284"/>
      <c r="AC1695" s="284"/>
      <c r="AD1695" s="284"/>
      <c r="AE1695" s="284"/>
      <c r="AF1695" s="284"/>
      <c r="AG1695" s="284"/>
      <c r="AI1695" s="131"/>
    </row>
    <row r="1696" spans="1:35" ht="26.4">
      <c r="A1696" s="284"/>
      <c r="B1696" s="284"/>
      <c r="C1696" s="284"/>
      <c r="D1696" s="284"/>
      <c r="E1696" s="284"/>
      <c r="F1696" s="284"/>
      <c r="G1696" s="284"/>
      <c r="H1696" s="284"/>
      <c r="I1696" s="284"/>
      <c r="J1696" s="284"/>
      <c r="K1696" s="284"/>
      <c r="L1696" s="284"/>
      <c r="M1696" s="113"/>
      <c r="N1696" s="113"/>
      <c r="O1696" s="335"/>
      <c r="T1696" s="340"/>
      <c r="V1696" s="342"/>
      <c r="W1696" s="64" ph="1"/>
      <c r="X1696" s="241"/>
      <c r="Y1696" s="284"/>
      <c r="Z1696" s="207"/>
      <c r="AA1696" s="284"/>
      <c r="AB1696" s="284"/>
      <c r="AC1696" s="284"/>
      <c r="AD1696" s="284"/>
      <c r="AE1696" s="284"/>
      <c r="AF1696" s="284"/>
      <c r="AG1696" s="284"/>
      <c r="AI1696" s="131"/>
    </row>
    <row r="1697" spans="1:35" ht="26.4">
      <c r="A1697" s="284"/>
      <c r="B1697" s="284"/>
      <c r="C1697" s="284"/>
      <c r="D1697" s="284"/>
      <c r="E1697" s="284"/>
      <c r="F1697" s="284"/>
      <c r="G1697" s="284"/>
      <c r="H1697" s="284"/>
      <c r="I1697" s="284"/>
      <c r="J1697" s="284"/>
      <c r="K1697" s="284"/>
      <c r="L1697" s="284"/>
      <c r="M1697" s="113"/>
      <c r="N1697" s="113"/>
      <c r="O1697" s="335"/>
      <c r="T1697" s="340"/>
      <c r="V1697" s="342"/>
      <c r="W1697" s="64" ph="1"/>
      <c r="X1697" s="241"/>
      <c r="Y1697" s="284"/>
      <c r="Z1697" s="207"/>
      <c r="AA1697" s="284"/>
      <c r="AB1697" s="284"/>
      <c r="AC1697" s="284"/>
      <c r="AD1697" s="284"/>
      <c r="AE1697" s="284"/>
      <c r="AF1697" s="284"/>
      <c r="AG1697" s="284"/>
      <c r="AI1697" s="131"/>
    </row>
    <row r="1698" spans="1:35" ht="26.4">
      <c r="A1698" s="284"/>
      <c r="B1698" s="284"/>
      <c r="C1698" s="284"/>
      <c r="D1698" s="284"/>
      <c r="E1698" s="284"/>
      <c r="F1698" s="284"/>
      <c r="G1698" s="284"/>
      <c r="H1698" s="284"/>
      <c r="I1698" s="284"/>
      <c r="J1698" s="284"/>
      <c r="K1698" s="284"/>
      <c r="L1698" s="284"/>
      <c r="M1698" s="113"/>
      <c r="N1698" s="113"/>
      <c r="O1698" s="335"/>
      <c r="T1698" s="340"/>
      <c r="V1698" s="342"/>
      <c r="W1698" s="64" ph="1"/>
      <c r="X1698" s="241"/>
      <c r="Y1698" s="284"/>
      <c r="Z1698" s="207"/>
      <c r="AA1698" s="284"/>
      <c r="AB1698" s="284"/>
      <c r="AC1698" s="284"/>
      <c r="AD1698" s="284"/>
      <c r="AE1698" s="284"/>
      <c r="AF1698" s="284"/>
      <c r="AG1698" s="284"/>
      <c r="AI1698" s="131"/>
    </row>
    <row r="1699" spans="1:35" ht="26.4">
      <c r="A1699" s="284"/>
      <c r="B1699" s="284"/>
      <c r="C1699" s="284"/>
      <c r="D1699" s="284"/>
      <c r="E1699" s="284"/>
      <c r="F1699" s="284"/>
      <c r="G1699" s="284"/>
      <c r="H1699" s="284"/>
      <c r="I1699" s="284"/>
      <c r="J1699" s="284"/>
      <c r="K1699" s="284"/>
      <c r="L1699" s="284"/>
      <c r="M1699" s="113"/>
      <c r="N1699" s="113"/>
      <c r="O1699" s="335"/>
      <c r="T1699" s="340"/>
      <c r="V1699" s="342"/>
      <c r="W1699" s="64" ph="1"/>
      <c r="X1699" s="241"/>
      <c r="Y1699" s="284"/>
      <c r="Z1699" s="207"/>
      <c r="AA1699" s="284"/>
      <c r="AB1699" s="284"/>
      <c r="AC1699" s="284"/>
      <c r="AD1699" s="284"/>
      <c r="AE1699" s="284"/>
      <c r="AF1699" s="284"/>
      <c r="AG1699" s="284"/>
      <c r="AI1699" s="131"/>
    </row>
    <row r="1700" spans="1:35" ht="26.4">
      <c r="A1700" s="284"/>
      <c r="B1700" s="284"/>
      <c r="C1700" s="284"/>
      <c r="D1700" s="284"/>
      <c r="E1700" s="284"/>
      <c r="F1700" s="284"/>
      <c r="G1700" s="284"/>
      <c r="H1700" s="284"/>
      <c r="I1700" s="284"/>
      <c r="J1700" s="284"/>
      <c r="K1700" s="284"/>
      <c r="L1700" s="284"/>
      <c r="M1700" s="113"/>
      <c r="N1700" s="113"/>
      <c r="O1700" s="335"/>
      <c r="T1700" s="340"/>
      <c r="V1700" s="342"/>
      <c r="W1700" s="64" ph="1"/>
      <c r="X1700" s="241"/>
      <c r="Y1700" s="284"/>
      <c r="Z1700" s="207"/>
      <c r="AA1700" s="284"/>
      <c r="AB1700" s="284"/>
      <c r="AC1700" s="284"/>
      <c r="AD1700" s="284"/>
      <c r="AE1700" s="284"/>
      <c r="AF1700" s="284"/>
      <c r="AG1700" s="284"/>
      <c r="AI1700" s="131"/>
    </row>
    <row r="1701" spans="1:35" ht="26.4">
      <c r="A1701" s="284"/>
      <c r="B1701" s="284"/>
      <c r="C1701" s="284"/>
      <c r="D1701" s="284"/>
      <c r="E1701" s="284"/>
      <c r="F1701" s="284"/>
      <c r="G1701" s="284"/>
      <c r="H1701" s="284"/>
      <c r="I1701" s="284"/>
      <c r="J1701" s="284"/>
      <c r="K1701" s="284"/>
      <c r="L1701" s="284"/>
      <c r="M1701" s="113"/>
      <c r="N1701" s="113"/>
      <c r="O1701" s="335"/>
      <c r="T1701" s="340"/>
      <c r="V1701" s="342"/>
      <c r="W1701" s="64" ph="1"/>
      <c r="X1701" s="241"/>
      <c r="Y1701" s="284"/>
      <c r="Z1701" s="207"/>
      <c r="AA1701" s="284"/>
      <c r="AB1701" s="284"/>
      <c r="AC1701" s="284"/>
      <c r="AD1701" s="284"/>
      <c r="AE1701" s="284"/>
      <c r="AF1701" s="284"/>
      <c r="AG1701" s="284"/>
      <c r="AI1701" s="131"/>
    </row>
    <row r="1702" spans="1:35" ht="26.4">
      <c r="A1702" s="284"/>
      <c r="B1702" s="284"/>
      <c r="C1702" s="284"/>
      <c r="D1702" s="284"/>
      <c r="E1702" s="284"/>
      <c r="F1702" s="284"/>
      <c r="G1702" s="284"/>
      <c r="H1702" s="284"/>
      <c r="I1702" s="284"/>
      <c r="J1702" s="284"/>
      <c r="K1702" s="284"/>
      <c r="L1702" s="284"/>
      <c r="M1702" s="113"/>
      <c r="N1702" s="113"/>
      <c r="O1702" s="335"/>
      <c r="T1702" s="340"/>
      <c r="V1702" s="342"/>
      <c r="W1702" s="64" ph="1"/>
      <c r="X1702" s="241"/>
      <c r="Y1702" s="284"/>
      <c r="Z1702" s="207"/>
      <c r="AA1702" s="284"/>
      <c r="AB1702" s="284"/>
      <c r="AC1702" s="284"/>
      <c r="AD1702" s="284"/>
      <c r="AE1702" s="284"/>
      <c r="AF1702" s="284"/>
      <c r="AG1702" s="284"/>
      <c r="AI1702" s="131"/>
    </row>
    <row r="1703" spans="1:35" ht="26.4">
      <c r="A1703" s="284"/>
      <c r="B1703" s="284"/>
      <c r="C1703" s="284"/>
      <c r="D1703" s="284"/>
      <c r="E1703" s="284"/>
      <c r="F1703" s="284"/>
      <c r="G1703" s="284"/>
      <c r="H1703" s="284"/>
      <c r="I1703" s="284"/>
      <c r="J1703" s="284"/>
      <c r="K1703" s="284"/>
      <c r="L1703" s="284"/>
      <c r="M1703" s="113"/>
      <c r="N1703" s="113"/>
      <c r="O1703" s="335"/>
      <c r="T1703" s="340"/>
      <c r="V1703" s="342"/>
      <c r="W1703" s="64" ph="1"/>
      <c r="X1703" s="241"/>
      <c r="Y1703" s="284"/>
      <c r="Z1703" s="207"/>
      <c r="AA1703" s="284"/>
      <c r="AB1703" s="284"/>
      <c r="AC1703" s="284"/>
      <c r="AD1703" s="284"/>
      <c r="AE1703" s="284"/>
      <c r="AF1703" s="284"/>
      <c r="AG1703" s="284"/>
      <c r="AI1703" s="131"/>
    </row>
    <row r="1704" spans="1:35" ht="26.4">
      <c r="A1704" s="284"/>
      <c r="B1704" s="284"/>
      <c r="C1704" s="284"/>
      <c r="D1704" s="284"/>
      <c r="E1704" s="284"/>
      <c r="F1704" s="284"/>
      <c r="G1704" s="284"/>
      <c r="H1704" s="284"/>
      <c r="I1704" s="284"/>
      <c r="J1704" s="284"/>
      <c r="K1704" s="284"/>
      <c r="L1704" s="284"/>
      <c r="M1704" s="113"/>
      <c r="N1704" s="113"/>
      <c r="O1704" s="335"/>
      <c r="T1704" s="340"/>
      <c r="V1704" s="342"/>
      <c r="W1704" s="64" ph="1"/>
      <c r="X1704" s="241"/>
      <c r="Y1704" s="284"/>
      <c r="Z1704" s="207"/>
      <c r="AA1704" s="284"/>
      <c r="AB1704" s="284"/>
      <c r="AC1704" s="284"/>
      <c r="AD1704" s="284"/>
      <c r="AE1704" s="284"/>
      <c r="AF1704" s="284"/>
      <c r="AG1704" s="284"/>
      <c r="AI1704" s="131"/>
    </row>
    <row r="1705" spans="1:35" ht="26.4">
      <c r="A1705" s="284"/>
      <c r="B1705" s="284"/>
      <c r="C1705" s="284"/>
      <c r="D1705" s="284"/>
      <c r="E1705" s="284"/>
      <c r="F1705" s="284"/>
      <c r="G1705" s="284"/>
      <c r="H1705" s="284"/>
      <c r="I1705" s="284"/>
      <c r="J1705" s="284"/>
      <c r="K1705" s="284"/>
      <c r="L1705" s="284"/>
      <c r="M1705" s="113"/>
      <c r="N1705" s="113"/>
      <c r="O1705" s="335"/>
      <c r="T1705" s="340"/>
      <c r="V1705" s="342"/>
      <c r="W1705" s="64" ph="1"/>
      <c r="X1705" s="241"/>
      <c r="Y1705" s="284"/>
      <c r="Z1705" s="207"/>
      <c r="AA1705" s="284"/>
      <c r="AB1705" s="284"/>
      <c r="AC1705" s="284"/>
      <c r="AD1705" s="284"/>
      <c r="AE1705" s="284"/>
      <c r="AF1705" s="284"/>
      <c r="AG1705" s="284"/>
      <c r="AI1705" s="131"/>
    </row>
    <row r="1706" spans="1:35" ht="26.4">
      <c r="A1706" s="284"/>
      <c r="B1706" s="284"/>
      <c r="C1706" s="284"/>
      <c r="D1706" s="284"/>
      <c r="E1706" s="284"/>
      <c r="F1706" s="284"/>
      <c r="G1706" s="284"/>
      <c r="H1706" s="284"/>
      <c r="I1706" s="284"/>
      <c r="J1706" s="284"/>
      <c r="K1706" s="284"/>
      <c r="L1706" s="284"/>
      <c r="M1706" s="113"/>
      <c r="N1706" s="113"/>
      <c r="O1706" s="335"/>
      <c r="T1706" s="340"/>
      <c r="V1706" s="342"/>
      <c r="W1706" s="64" ph="1"/>
      <c r="X1706" s="241"/>
      <c r="Y1706" s="284"/>
      <c r="Z1706" s="207"/>
      <c r="AA1706" s="284"/>
      <c r="AB1706" s="284"/>
      <c r="AC1706" s="284"/>
      <c r="AD1706" s="284"/>
      <c r="AE1706" s="284"/>
      <c r="AF1706" s="284"/>
      <c r="AG1706" s="284"/>
      <c r="AI1706" s="131"/>
    </row>
    <row r="1707" spans="1:35" ht="26.4">
      <c r="A1707" s="284"/>
      <c r="B1707" s="284"/>
      <c r="C1707" s="284"/>
      <c r="D1707" s="284"/>
      <c r="E1707" s="284"/>
      <c r="F1707" s="284"/>
      <c r="G1707" s="284"/>
      <c r="H1707" s="284"/>
      <c r="I1707" s="284"/>
      <c r="J1707" s="284"/>
      <c r="K1707" s="284"/>
      <c r="L1707" s="284"/>
      <c r="M1707" s="113"/>
      <c r="N1707" s="113"/>
      <c r="O1707" s="335"/>
      <c r="T1707" s="340"/>
      <c r="V1707" s="342"/>
      <c r="W1707" s="64" ph="1"/>
      <c r="X1707" s="241"/>
      <c r="Y1707" s="284"/>
      <c r="Z1707" s="207"/>
      <c r="AA1707" s="284"/>
      <c r="AB1707" s="284"/>
      <c r="AC1707" s="284"/>
      <c r="AD1707" s="284"/>
      <c r="AE1707" s="284"/>
      <c r="AF1707" s="284"/>
      <c r="AG1707" s="284"/>
      <c r="AI1707" s="131"/>
    </row>
    <row r="1708" spans="1:35" ht="26.4">
      <c r="A1708" s="284"/>
      <c r="B1708" s="284"/>
      <c r="C1708" s="284"/>
      <c r="D1708" s="284"/>
      <c r="E1708" s="284"/>
      <c r="F1708" s="284"/>
      <c r="G1708" s="284"/>
      <c r="H1708" s="284"/>
      <c r="I1708" s="284"/>
      <c r="J1708" s="284"/>
      <c r="K1708" s="284"/>
      <c r="L1708" s="284"/>
      <c r="M1708" s="113"/>
      <c r="N1708" s="113"/>
      <c r="O1708" s="335"/>
      <c r="T1708" s="340"/>
      <c r="V1708" s="342"/>
      <c r="W1708" s="64" ph="1"/>
      <c r="X1708" s="241"/>
      <c r="Y1708" s="284"/>
      <c r="Z1708" s="207"/>
      <c r="AA1708" s="284"/>
      <c r="AB1708" s="284"/>
      <c r="AC1708" s="284"/>
      <c r="AD1708" s="284"/>
      <c r="AE1708" s="284"/>
      <c r="AF1708" s="284"/>
      <c r="AG1708" s="284"/>
      <c r="AI1708" s="131"/>
    </row>
    <row r="1709" spans="1:35" ht="26.4">
      <c r="A1709" s="284"/>
      <c r="B1709" s="284"/>
      <c r="C1709" s="284"/>
      <c r="D1709" s="284"/>
      <c r="E1709" s="284"/>
      <c r="F1709" s="284"/>
      <c r="G1709" s="284"/>
      <c r="H1709" s="284"/>
      <c r="I1709" s="284"/>
      <c r="J1709" s="284"/>
      <c r="K1709" s="284"/>
      <c r="L1709" s="284"/>
      <c r="M1709" s="113"/>
      <c r="N1709" s="113"/>
      <c r="O1709" s="335"/>
      <c r="T1709" s="340"/>
      <c r="V1709" s="342"/>
      <c r="W1709" s="64" ph="1"/>
      <c r="X1709" s="241"/>
      <c r="Y1709" s="284"/>
      <c r="Z1709" s="207"/>
      <c r="AA1709" s="284"/>
      <c r="AB1709" s="284"/>
      <c r="AC1709" s="284"/>
      <c r="AD1709" s="284"/>
      <c r="AE1709" s="284"/>
      <c r="AF1709" s="284"/>
      <c r="AG1709" s="284"/>
      <c r="AI1709" s="131"/>
    </row>
    <row r="1710" spans="1:35" ht="26.4">
      <c r="A1710" s="284"/>
      <c r="B1710" s="284"/>
      <c r="C1710" s="284"/>
      <c r="D1710" s="284"/>
      <c r="E1710" s="284"/>
      <c r="F1710" s="284"/>
      <c r="G1710" s="284"/>
      <c r="H1710" s="284"/>
      <c r="I1710" s="284"/>
      <c r="J1710" s="284"/>
      <c r="K1710" s="284"/>
      <c r="L1710" s="284"/>
      <c r="M1710" s="113"/>
      <c r="N1710" s="113"/>
      <c r="O1710" s="335"/>
      <c r="T1710" s="340"/>
      <c r="V1710" s="342"/>
      <c r="W1710" s="64" ph="1"/>
      <c r="X1710" s="241"/>
      <c r="Y1710" s="284"/>
      <c r="Z1710" s="207"/>
      <c r="AA1710" s="284"/>
      <c r="AB1710" s="284"/>
      <c r="AC1710" s="284"/>
      <c r="AD1710" s="284"/>
      <c r="AE1710" s="284"/>
      <c r="AF1710" s="284"/>
      <c r="AG1710" s="284"/>
      <c r="AI1710" s="131"/>
    </row>
    <row r="1711" spans="1:35" ht="26.4">
      <c r="A1711" s="284"/>
      <c r="B1711" s="284"/>
      <c r="C1711" s="284"/>
      <c r="D1711" s="284"/>
      <c r="E1711" s="284"/>
      <c r="F1711" s="284"/>
      <c r="G1711" s="284"/>
      <c r="H1711" s="284"/>
      <c r="I1711" s="284"/>
      <c r="J1711" s="284"/>
      <c r="K1711" s="284"/>
      <c r="L1711" s="284"/>
      <c r="M1711" s="113"/>
      <c r="N1711" s="113"/>
      <c r="O1711" s="335"/>
      <c r="T1711" s="340"/>
      <c r="V1711" s="342"/>
      <c r="W1711" s="64" ph="1"/>
      <c r="X1711" s="241"/>
      <c r="Y1711" s="284"/>
      <c r="Z1711" s="207"/>
      <c r="AA1711" s="284"/>
      <c r="AB1711" s="284"/>
      <c r="AC1711" s="284"/>
      <c r="AD1711" s="284"/>
      <c r="AE1711" s="284"/>
      <c r="AF1711" s="284"/>
      <c r="AG1711" s="284"/>
      <c r="AI1711" s="131"/>
    </row>
    <row r="1712" spans="1:35" ht="26.4">
      <c r="A1712" s="284"/>
      <c r="B1712" s="284"/>
      <c r="C1712" s="284"/>
      <c r="D1712" s="284"/>
      <c r="E1712" s="284"/>
      <c r="F1712" s="284"/>
      <c r="G1712" s="284"/>
      <c r="H1712" s="284"/>
      <c r="I1712" s="284"/>
      <c r="J1712" s="284"/>
      <c r="K1712" s="284"/>
      <c r="L1712" s="284"/>
      <c r="M1712" s="113"/>
      <c r="N1712" s="113"/>
      <c r="O1712" s="335"/>
      <c r="T1712" s="340"/>
      <c r="V1712" s="342"/>
      <c r="W1712" s="64" ph="1"/>
      <c r="X1712" s="241"/>
      <c r="Y1712" s="284"/>
      <c r="Z1712" s="207"/>
      <c r="AA1712" s="284"/>
      <c r="AB1712" s="284"/>
      <c r="AC1712" s="284"/>
      <c r="AD1712" s="284"/>
      <c r="AE1712" s="284"/>
      <c r="AF1712" s="284"/>
      <c r="AG1712" s="284"/>
      <c r="AI1712" s="131"/>
    </row>
    <row r="1713" spans="1:35" ht="26.4">
      <c r="A1713" s="284"/>
      <c r="B1713" s="284"/>
      <c r="C1713" s="284"/>
      <c r="D1713" s="284"/>
      <c r="E1713" s="284"/>
      <c r="F1713" s="284"/>
      <c r="G1713" s="284"/>
      <c r="H1713" s="284"/>
      <c r="I1713" s="284"/>
      <c r="J1713" s="284"/>
      <c r="K1713" s="284"/>
      <c r="L1713" s="284"/>
      <c r="M1713" s="113"/>
      <c r="N1713" s="113"/>
      <c r="O1713" s="335"/>
      <c r="T1713" s="340"/>
      <c r="V1713" s="342"/>
      <c r="W1713" s="64" ph="1"/>
      <c r="X1713" s="241"/>
      <c r="Y1713" s="284"/>
      <c r="Z1713" s="207"/>
      <c r="AA1713" s="284"/>
      <c r="AB1713" s="284"/>
      <c r="AC1713" s="284"/>
      <c r="AD1713" s="284"/>
      <c r="AE1713" s="284"/>
      <c r="AF1713" s="284"/>
      <c r="AG1713" s="284"/>
      <c r="AI1713" s="284"/>
    </row>
    <row r="1714" spans="1:35" ht="26.4">
      <c r="A1714" s="284"/>
      <c r="B1714" s="284"/>
      <c r="C1714" s="284"/>
      <c r="D1714" s="284"/>
      <c r="E1714" s="284"/>
      <c r="F1714" s="284"/>
      <c r="G1714" s="284"/>
      <c r="H1714" s="284"/>
      <c r="I1714" s="284"/>
      <c r="J1714" s="284"/>
      <c r="K1714" s="284"/>
      <c r="L1714" s="284"/>
      <c r="M1714" s="113"/>
      <c r="N1714" s="113"/>
      <c r="O1714" s="335"/>
      <c r="T1714" s="340"/>
      <c r="V1714" s="342"/>
      <c r="W1714" s="64" ph="1"/>
      <c r="X1714" s="241"/>
      <c r="Y1714" s="284"/>
      <c r="Z1714" s="207"/>
      <c r="AA1714" s="284"/>
      <c r="AB1714" s="284"/>
      <c r="AC1714" s="284"/>
      <c r="AD1714" s="284"/>
      <c r="AE1714" s="284"/>
      <c r="AF1714" s="284"/>
      <c r="AG1714" s="284"/>
      <c r="AI1714" s="131"/>
    </row>
    <row r="1715" spans="1:35" ht="26.4">
      <c r="A1715" s="284"/>
      <c r="B1715" s="284"/>
      <c r="C1715" s="284"/>
      <c r="D1715" s="284"/>
      <c r="E1715" s="284"/>
      <c r="F1715" s="284"/>
      <c r="G1715" s="284"/>
      <c r="H1715" s="284"/>
      <c r="I1715" s="284"/>
      <c r="J1715" s="284"/>
      <c r="K1715" s="284"/>
      <c r="L1715" s="284"/>
      <c r="M1715" s="113"/>
      <c r="N1715" s="113"/>
      <c r="O1715" s="335"/>
      <c r="T1715" s="340"/>
      <c r="V1715" s="342"/>
      <c r="W1715" s="64" ph="1"/>
      <c r="X1715" s="241"/>
      <c r="Y1715" s="284"/>
      <c r="Z1715" s="207"/>
      <c r="AA1715" s="284"/>
      <c r="AB1715" s="284"/>
      <c r="AC1715" s="284"/>
      <c r="AD1715" s="284"/>
      <c r="AE1715" s="284"/>
      <c r="AF1715" s="284"/>
      <c r="AG1715" s="284"/>
      <c r="AI1715" s="131"/>
    </row>
    <row r="1716" spans="1:35" ht="26.4">
      <c r="A1716" s="284"/>
      <c r="B1716" s="284"/>
      <c r="C1716" s="284"/>
      <c r="D1716" s="284"/>
      <c r="E1716" s="284"/>
      <c r="F1716" s="284"/>
      <c r="G1716" s="284"/>
      <c r="H1716" s="284"/>
      <c r="I1716" s="284"/>
      <c r="J1716" s="284"/>
      <c r="K1716" s="284"/>
      <c r="L1716" s="284"/>
      <c r="M1716" s="113"/>
      <c r="N1716" s="113"/>
      <c r="O1716" s="335"/>
      <c r="T1716" s="340"/>
      <c r="V1716" s="342"/>
      <c r="W1716" s="64" ph="1"/>
      <c r="X1716" s="241"/>
      <c r="Y1716" s="284"/>
      <c r="Z1716" s="207"/>
      <c r="AA1716" s="284"/>
      <c r="AB1716" s="284"/>
      <c r="AC1716" s="284"/>
      <c r="AD1716" s="284"/>
      <c r="AE1716" s="284"/>
      <c r="AF1716" s="284"/>
      <c r="AG1716" s="284"/>
      <c r="AI1716" s="131"/>
    </row>
    <row r="1717" spans="1:35" ht="26.4">
      <c r="A1717" s="284"/>
      <c r="B1717" s="284"/>
      <c r="C1717" s="284"/>
      <c r="D1717" s="284"/>
      <c r="E1717" s="284"/>
      <c r="F1717" s="284"/>
      <c r="G1717" s="284"/>
      <c r="H1717" s="284"/>
      <c r="I1717" s="284"/>
      <c r="J1717" s="284"/>
      <c r="K1717" s="284"/>
      <c r="L1717" s="284"/>
      <c r="M1717" s="113"/>
      <c r="N1717" s="113"/>
      <c r="O1717" s="335"/>
      <c r="T1717" s="340"/>
      <c r="V1717" s="342"/>
      <c r="W1717" s="64" ph="1"/>
      <c r="X1717" s="241"/>
      <c r="Y1717" s="284"/>
      <c r="Z1717" s="207"/>
      <c r="AA1717" s="284"/>
      <c r="AB1717" s="284"/>
      <c r="AC1717" s="284"/>
      <c r="AD1717" s="284"/>
      <c r="AE1717" s="284"/>
      <c r="AF1717" s="284"/>
      <c r="AG1717" s="284"/>
      <c r="AI1717" s="131"/>
    </row>
    <row r="1718" spans="1:35" ht="26.4">
      <c r="A1718" s="284"/>
      <c r="B1718" s="284"/>
      <c r="C1718" s="284"/>
      <c r="D1718" s="284"/>
      <c r="E1718" s="284"/>
      <c r="F1718" s="284"/>
      <c r="G1718" s="284"/>
      <c r="H1718" s="284"/>
      <c r="I1718" s="284"/>
      <c r="J1718" s="284"/>
      <c r="K1718" s="284"/>
      <c r="L1718" s="284"/>
      <c r="M1718" s="113"/>
      <c r="N1718" s="113"/>
      <c r="O1718" s="335"/>
      <c r="T1718" s="340"/>
      <c r="V1718" s="342"/>
      <c r="W1718" s="64" ph="1"/>
      <c r="X1718" s="241"/>
      <c r="Y1718" s="284"/>
      <c r="Z1718" s="207"/>
      <c r="AA1718" s="284"/>
      <c r="AB1718" s="284"/>
      <c r="AC1718" s="284"/>
      <c r="AD1718" s="284"/>
      <c r="AE1718" s="284"/>
      <c r="AF1718" s="284"/>
      <c r="AG1718" s="284"/>
      <c r="AI1718" s="131"/>
    </row>
    <row r="1719" spans="1:35" ht="26.4">
      <c r="A1719" s="284"/>
      <c r="B1719" s="284"/>
      <c r="C1719" s="284"/>
      <c r="D1719" s="284"/>
      <c r="E1719" s="284"/>
      <c r="F1719" s="284"/>
      <c r="G1719" s="284"/>
      <c r="H1719" s="284"/>
      <c r="I1719" s="284"/>
      <c r="J1719" s="284"/>
      <c r="K1719" s="284"/>
      <c r="L1719" s="284"/>
      <c r="M1719" s="113"/>
      <c r="N1719" s="113"/>
      <c r="O1719" s="335"/>
      <c r="T1719" s="340"/>
      <c r="V1719" s="342"/>
      <c r="W1719" s="64" ph="1"/>
      <c r="X1719" s="241"/>
      <c r="Y1719" s="284"/>
      <c r="Z1719" s="207"/>
      <c r="AA1719" s="284"/>
      <c r="AB1719" s="284"/>
      <c r="AC1719" s="284"/>
      <c r="AD1719" s="284"/>
      <c r="AE1719" s="284"/>
      <c r="AF1719" s="284"/>
      <c r="AG1719" s="284"/>
      <c r="AI1719" s="131"/>
    </row>
    <row r="1720" spans="1:35" ht="26.4">
      <c r="A1720" s="284"/>
      <c r="B1720" s="284"/>
      <c r="C1720" s="284"/>
      <c r="D1720" s="284"/>
      <c r="E1720" s="284"/>
      <c r="F1720" s="284"/>
      <c r="G1720" s="284"/>
      <c r="H1720" s="284"/>
      <c r="I1720" s="284"/>
      <c r="J1720" s="284"/>
      <c r="K1720" s="284"/>
      <c r="L1720" s="284"/>
      <c r="M1720" s="113"/>
      <c r="N1720" s="113"/>
      <c r="O1720" s="335"/>
      <c r="T1720" s="340"/>
      <c r="V1720" s="342"/>
      <c r="W1720" s="64" ph="1"/>
      <c r="X1720" s="241"/>
      <c r="Y1720" s="284"/>
      <c r="Z1720" s="207"/>
      <c r="AA1720" s="284"/>
      <c r="AB1720" s="284"/>
      <c r="AC1720" s="284"/>
      <c r="AD1720" s="284"/>
      <c r="AE1720" s="284"/>
      <c r="AF1720" s="284"/>
      <c r="AG1720" s="284"/>
      <c r="AI1720" s="131"/>
    </row>
    <row r="1721" spans="1:35" ht="26.4">
      <c r="A1721" s="284"/>
      <c r="B1721" s="284"/>
      <c r="C1721" s="284"/>
      <c r="D1721" s="284"/>
      <c r="E1721" s="284"/>
      <c r="F1721" s="284"/>
      <c r="G1721" s="284"/>
      <c r="H1721" s="284"/>
      <c r="I1721" s="284"/>
      <c r="J1721" s="284"/>
      <c r="K1721" s="284"/>
      <c r="L1721" s="284"/>
      <c r="M1721" s="113"/>
      <c r="N1721" s="113"/>
      <c r="O1721" s="335"/>
      <c r="T1721" s="340"/>
      <c r="V1721" s="342"/>
      <c r="W1721" s="64" ph="1"/>
      <c r="X1721" s="241"/>
      <c r="Y1721" s="284"/>
      <c r="Z1721" s="207"/>
      <c r="AA1721" s="284"/>
      <c r="AB1721" s="284"/>
      <c r="AC1721" s="284"/>
      <c r="AD1721" s="284"/>
      <c r="AE1721" s="284"/>
      <c r="AF1721" s="284"/>
      <c r="AG1721" s="284"/>
      <c r="AI1721" s="131"/>
    </row>
    <row r="1722" spans="1:35" ht="26.4">
      <c r="A1722" s="284"/>
      <c r="B1722" s="284"/>
      <c r="C1722" s="284"/>
      <c r="D1722" s="284"/>
      <c r="E1722" s="284"/>
      <c r="F1722" s="284"/>
      <c r="G1722" s="284"/>
      <c r="H1722" s="284"/>
      <c r="I1722" s="284"/>
      <c r="J1722" s="284"/>
      <c r="K1722" s="284"/>
      <c r="L1722" s="284"/>
      <c r="M1722" s="113"/>
      <c r="N1722" s="113"/>
      <c r="O1722" s="335"/>
      <c r="T1722" s="340"/>
      <c r="V1722" s="342"/>
      <c r="W1722" s="64" ph="1"/>
      <c r="X1722" s="241"/>
      <c r="Y1722" s="284"/>
      <c r="Z1722" s="207"/>
      <c r="AA1722" s="284"/>
      <c r="AB1722" s="284"/>
      <c r="AC1722" s="284"/>
      <c r="AD1722" s="284"/>
      <c r="AE1722" s="284"/>
      <c r="AF1722" s="284"/>
      <c r="AG1722" s="284"/>
      <c r="AI1722" s="131"/>
    </row>
    <row r="1723" spans="1:35" ht="26.4">
      <c r="A1723" s="284"/>
      <c r="B1723" s="284"/>
      <c r="C1723" s="284"/>
      <c r="D1723" s="284"/>
      <c r="E1723" s="284"/>
      <c r="F1723" s="284"/>
      <c r="G1723" s="284"/>
      <c r="H1723" s="284"/>
      <c r="I1723" s="284"/>
      <c r="J1723" s="284"/>
      <c r="K1723" s="284"/>
      <c r="L1723" s="284"/>
      <c r="M1723" s="113"/>
      <c r="N1723" s="113"/>
      <c r="O1723" s="335"/>
      <c r="T1723" s="340"/>
      <c r="V1723" s="342"/>
      <c r="W1723" s="64" ph="1"/>
      <c r="X1723" s="241"/>
      <c r="Y1723" s="284"/>
      <c r="Z1723" s="207"/>
      <c r="AA1723" s="284"/>
      <c r="AB1723" s="284"/>
      <c r="AC1723" s="284"/>
      <c r="AD1723" s="284"/>
      <c r="AE1723" s="284"/>
      <c r="AF1723" s="284"/>
      <c r="AG1723" s="284"/>
      <c r="AI1723" s="131"/>
    </row>
    <row r="1724" spans="1:35" ht="26.4">
      <c r="A1724" s="284"/>
      <c r="B1724" s="284"/>
      <c r="C1724" s="284"/>
      <c r="D1724" s="284"/>
      <c r="E1724" s="284"/>
      <c r="F1724" s="284"/>
      <c r="G1724" s="284"/>
      <c r="H1724" s="284"/>
      <c r="I1724" s="284"/>
      <c r="J1724" s="284"/>
      <c r="K1724" s="284"/>
      <c r="L1724" s="284"/>
      <c r="M1724" s="113"/>
      <c r="N1724" s="113"/>
      <c r="O1724" s="335"/>
      <c r="T1724" s="340"/>
      <c r="V1724" s="342"/>
      <c r="W1724" s="64" ph="1"/>
      <c r="X1724" s="241"/>
      <c r="Y1724" s="284"/>
      <c r="Z1724" s="207"/>
      <c r="AA1724" s="284"/>
      <c r="AB1724" s="284"/>
      <c r="AC1724" s="284"/>
      <c r="AD1724" s="284"/>
      <c r="AE1724" s="284"/>
      <c r="AF1724" s="284"/>
      <c r="AG1724" s="284"/>
      <c r="AI1724" s="131"/>
    </row>
    <row r="1725" spans="1:35" ht="26.4">
      <c r="A1725" s="284"/>
      <c r="B1725" s="284"/>
      <c r="C1725" s="284"/>
      <c r="D1725" s="284"/>
      <c r="E1725" s="284"/>
      <c r="F1725" s="284"/>
      <c r="G1725" s="284"/>
      <c r="H1725" s="284"/>
      <c r="I1725" s="284"/>
      <c r="J1725" s="284"/>
      <c r="K1725" s="284"/>
      <c r="L1725" s="284"/>
      <c r="M1725" s="113"/>
      <c r="N1725" s="113"/>
      <c r="O1725" s="335"/>
      <c r="T1725" s="340"/>
      <c r="V1725" s="342"/>
      <c r="W1725" s="64" ph="1"/>
      <c r="X1725" s="241"/>
      <c r="Y1725" s="284"/>
      <c r="Z1725" s="207"/>
      <c r="AA1725" s="284"/>
      <c r="AB1725" s="284"/>
      <c r="AC1725" s="284"/>
      <c r="AD1725" s="284"/>
      <c r="AE1725" s="284"/>
      <c r="AF1725" s="284"/>
      <c r="AG1725" s="284"/>
      <c r="AI1725" s="131"/>
    </row>
    <row r="1726" spans="1:35" ht="26.4">
      <c r="A1726" s="284"/>
      <c r="B1726" s="284"/>
      <c r="C1726" s="284"/>
      <c r="D1726" s="284"/>
      <c r="E1726" s="284"/>
      <c r="F1726" s="284"/>
      <c r="G1726" s="284"/>
      <c r="H1726" s="284"/>
      <c r="I1726" s="284"/>
      <c r="J1726" s="284"/>
      <c r="K1726" s="284"/>
      <c r="L1726" s="284"/>
      <c r="M1726" s="113"/>
      <c r="N1726" s="113"/>
      <c r="O1726" s="335"/>
      <c r="T1726" s="340"/>
      <c r="V1726" s="342"/>
      <c r="W1726" s="64" ph="1"/>
      <c r="X1726" s="241"/>
      <c r="Y1726" s="284"/>
      <c r="Z1726" s="207"/>
      <c r="AA1726" s="284"/>
      <c r="AB1726" s="284"/>
      <c r="AC1726" s="284"/>
      <c r="AD1726" s="284"/>
      <c r="AE1726" s="284"/>
      <c r="AF1726" s="284"/>
      <c r="AG1726" s="284"/>
      <c r="AI1726" s="131"/>
    </row>
    <row r="1727" spans="1:35" ht="26.4">
      <c r="A1727" s="284"/>
      <c r="B1727" s="284"/>
      <c r="C1727" s="284"/>
      <c r="D1727" s="284"/>
      <c r="E1727" s="284"/>
      <c r="F1727" s="284"/>
      <c r="G1727" s="284"/>
      <c r="H1727" s="284"/>
      <c r="I1727" s="284"/>
      <c r="J1727" s="284"/>
      <c r="K1727" s="284"/>
      <c r="L1727" s="284"/>
      <c r="M1727" s="113"/>
      <c r="N1727" s="113"/>
      <c r="O1727" s="335"/>
      <c r="T1727" s="340"/>
      <c r="V1727" s="342"/>
      <c r="W1727" s="64" ph="1"/>
      <c r="X1727" s="241"/>
      <c r="Y1727" s="284"/>
      <c r="Z1727" s="207"/>
      <c r="AA1727" s="284"/>
      <c r="AB1727" s="284"/>
      <c r="AC1727" s="284"/>
      <c r="AD1727" s="284"/>
      <c r="AE1727" s="284"/>
      <c r="AF1727" s="284"/>
      <c r="AG1727" s="284"/>
      <c r="AI1727" s="131"/>
    </row>
    <row r="1728" spans="1:35" ht="26.4">
      <c r="A1728" s="284"/>
      <c r="B1728" s="284"/>
      <c r="C1728" s="284"/>
      <c r="D1728" s="284"/>
      <c r="E1728" s="284"/>
      <c r="F1728" s="284"/>
      <c r="G1728" s="284"/>
      <c r="H1728" s="284"/>
      <c r="I1728" s="284"/>
      <c r="J1728" s="284"/>
      <c r="K1728" s="284"/>
      <c r="L1728" s="284"/>
      <c r="M1728" s="113"/>
      <c r="N1728" s="113"/>
      <c r="O1728" s="335"/>
      <c r="T1728" s="340"/>
      <c r="V1728" s="342"/>
      <c r="W1728" s="64" ph="1"/>
      <c r="X1728" s="241"/>
      <c r="Y1728" s="284"/>
      <c r="Z1728" s="207"/>
      <c r="AA1728" s="284"/>
      <c r="AB1728" s="284"/>
      <c r="AC1728" s="284"/>
      <c r="AD1728" s="284"/>
      <c r="AE1728" s="284"/>
      <c r="AF1728" s="284"/>
      <c r="AG1728" s="284"/>
      <c r="AI1728" s="131"/>
    </row>
    <row r="1729" spans="1:35" ht="26.4">
      <c r="A1729" s="284"/>
      <c r="B1729" s="284"/>
      <c r="C1729" s="284"/>
      <c r="D1729" s="284"/>
      <c r="E1729" s="284"/>
      <c r="F1729" s="284"/>
      <c r="G1729" s="284"/>
      <c r="H1729" s="284"/>
      <c r="I1729" s="284"/>
      <c r="J1729" s="284"/>
      <c r="K1729" s="284"/>
      <c r="L1729" s="284"/>
      <c r="M1729" s="113"/>
      <c r="N1729" s="113"/>
      <c r="O1729" s="335"/>
      <c r="T1729" s="340"/>
      <c r="V1729" s="342"/>
      <c r="W1729" s="64" ph="1"/>
      <c r="X1729" s="241"/>
      <c r="Y1729" s="284"/>
      <c r="Z1729" s="207"/>
      <c r="AA1729" s="284"/>
      <c r="AB1729" s="284"/>
      <c r="AC1729" s="284"/>
      <c r="AD1729" s="284"/>
      <c r="AE1729" s="284"/>
      <c r="AF1729" s="284"/>
      <c r="AG1729" s="284"/>
      <c r="AI1729" s="131"/>
    </row>
    <row r="1730" spans="1:35" ht="26.4">
      <c r="A1730" s="284"/>
      <c r="B1730" s="284"/>
      <c r="C1730" s="284"/>
      <c r="D1730" s="284"/>
      <c r="E1730" s="284"/>
      <c r="F1730" s="284"/>
      <c r="G1730" s="284"/>
      <c r="H1730" s="284"/>
      <c r="I1730" s="284"/>
      <c r="J1730" s="284"/>
      <c r="K1730" s="284"/>
      <c r="L1730" s="284"/>
      <c r="M1730" s="113"/>
      <c r="N1730" s="113"/>
      <c r="O1730" s="335"/>
      <c r="T1730" s="340"/>
      <c r="V1730" s="342"/>
      <c r="W1730" s="64" ph="1"/>
      <c r="X1730" s="241"/>
      <c r="Y1730" s="284"/>
      <c r="Z1730" s="207"/>
      <c r="AA1730" s="284"/>
      <c r="AB1730" s="284"/>
      <c r="AC1730" s="284"/>
      <c r="AD1730" s="284"/>
      <c r="AE1730" s="284"/>
      <c r="AF1730" s="284"/>
      <c r="AG1730" s="284"/>
      <c r="AI1730" s="131"/>
    </row>
    <row r="1731" spans="1:35" ht="26.4">
      <c r="A1731" s="284"/>
      <c r="B1731" s="284"/>
      <c r="C1731" s="284"/>
      <c r="D1731" s="284"/>
      <c r="E1731" s="284"/>
      <c r="F1731" s="284"/>
      <c r="G1731" s="284"/>
      <c r="H1731" s="284"/>
      <c r="I1731" s="284"/>
      <c r="J1731" s="284"/>
      <c r="K1731" s="284"/>
      <c r="L1731" s="284"/>
      <c r="M1731" s="113"/>
      <c r="N1731" s="113"/>
      <c r="O1731" s="335"/>
      <c r="T1731" s="340"/>
      <c r="V1731" s="342"/>
      <c r="W1731" s="64" ph="1"/>
      <c r="X1731" s="241"/>
      <c r="Y1731" s="284"/>
      <c r="Z1731" s="207"/>
      <c r="AA1731" s="284"/>
      <c r="AB1731" s="284"/>
      <c r="AC1731" s="284"/>
      <c r="AD1731" s="284"/>
      <c r="AE1731" s="284"/>
      <c r="AF1731" s="284"/>
      <c r="AG1731" s="284"/>
      <c r="AI1731" s="131"/>
    </row>
    <row r="1732" spans="1:35" ht="26.4">
      <c r="A1732" s="284"/>
      <c r="B1732" s="284"/>
      <c r="C1732" s="284"/>
      <c r="D1732" s="284"/>
      <c r="E1732" s="284"/>
      <c r="F1732" s="284"/>
      <c r="G1732" s="284"/>
      <c r="H1732" s="284"/>
      <c r="I1732" s="284"/>
      <c r="J1732" s="284"/>
      <c r="K1732" s="284"/>
      <c r="L1732" s="284"/>
      <c r="M1732" s="113"/>
      <c r="N1732" s="113"/>
      <c r="O1732" s="335"/>
      <c r="T1732" s="340"/>
      <c r="V1732" s="342"/>
      <c r="W1732" s="64" ph="1"/>
      <c r="X1732" s="241"/>
      <c r="Y1732" s="284"/>
      <c r="Z1732" s="207"/>
      <c r="AA1732" s="284"/>
      <c r="AB1732" s="284"/>
      <c r="AC1732" s="284"/>
      <c r="AD1732" s="284"/>
      <c r="AE1732" s="284"/>
      <c r="AF1732" s="284"/>
      <c r="AG1732" s="284"/>
      <c r="AI1732" s="131"/>
    </row>
    <row r="1733" spans="1:35" ht="26.4">
      <c r="A1733" s="284"/>
      <c r="B1733" s="284"/>
      <c r="C1733" s="284"/>
      <c r="D1733" s="284"/>
      <c r="E1733" s="284"/>
      <c r="F1733" s="284"/>
      <c r="G1733" s="284"/>
      <c r="H1733" s="284"/>
      <c r="I1733" s="284"/>
      <c r="J1733" s="284"/>
      <c r="K1733" s="284"/>
      <c r="L1733" s="284"/>
      <c r="M1733" s="113"/>
      <c r="N1733" s="113"/>
      <c r="O1733" s="335"/>
      <c r="T1733" s="340"/>
      <c r="V1733" s="342"/>
      <c r="W1733" s="64" ph="1"/>
      <c r="X1733" s="241"/>
      <c r="Y1733" s="284"/>
      <c r="Z1733" s="207"/>
      <c r="AA1733" s="284"/>
      <c r="AB1733" s="284"/>
      <c r="AC1733" s="284"/>
      <c r="AD1733" s="284"/>
      <c r="AE1733" s="284"/>
      <c r="AF1733" s="284"/>
      <c r="AG1733" s="284"/>
      <c r="AI1733" s="131"/>
    </row>
    <row r="1734" spans="1:35" ht="26.4">
      <c r="A1734" s="284"/>
      <c r="B1734" s="284"/>
      <c r="C1734" s="284"/>
      <c r="D1734" s="284"/>
      <c r="E1734" s="284"/>
      <c r="F1734" s="284"/>
      <c r="G1734" s="284"/>
      <c r="H1734" s="284"/>
      <c r="I1734" s="284"/>
      <c r="J1734" s="284"/>
      <c r="K1734" s="284"/>
      <c r="L1734" s="284"/>
      <c r="M1734" s="113"/>
      <c r="N1734" s="113"/>
      <c r="O1734" s="335"/>
      <c r="T1734" s="340"/>
      <c r="V1734" s="342"/>
      <c r="W1734" s="64" ph="1"/>
      <c r="X1734" s="241"/>
      <c r="Y1734" s="284"/>
      <c r="Z1734" s="207"/>
      <c r="AA1734" s="284"/>
      <c r="AB1734" s="284"/>
      <c r="AC1734" s="284"/>
      <c r="AD1734" s="284"/>
      <c r="AE1734" s="284"/>
      <c r="AF1734" s="284"/>
      <c r="AG1734" s="284"/>
      <c r="AI1734" s="131"/>
    </row>
    <row r="1735" spans="1:35" ht="26.4">
      <c r="A1735" s="284"/>
      <c r="B1735" s="284"/>
      <c r="C1735" s="284"/>
      <c r="D1735" s="284"/>
      <c r="E1735" s="284"/>
      <c r="F1735" s="284"/>
      <c r="G1735" s="284"/>
      <c r="H1735" s="284"/>
      <c r="I1735" s="284"/>
      <c r="J1735" s="284"/>
      <c r="K1735" s="284"/>
      <c r="L1735" s="284"/>
      <c r="M1735" s="113"/>
      <c r="N1735" s="113"/>
      <c r="O1735" s="335"/>
      <c r="T1735" s="340"/>
      <c r="V1735" s="342"/>
      <c r="W1735" s="64" ph="1"/>
      <c r="X1735" s="241"/>
      <c r="Y1735" s="284"/>
      <c r="Z1735" s="207"/>
      <c r="AA1735" s="284"/>
      <c r="AB1735" s="284"/>
      <c r="AC1735" s="284"/>
      <c r="AD1735" s="284"/>
      <c r="AE1735" s="284"/>
      <c r="AF1735" s="284"/>
      <c r="AG1735" s="284"/>
      <c r="AI1735" s="131"/>
    </row>
    <row r="1736" spans="1:35" ht="26.4">
      <c r="A1736" s="284"/>
      <c r="B1736" s="284"/>
      <c r="C1736" s="284"/>
      <c r="D1736" s="284"/>
      <c r="E1736" s="284"/>
      <c r="F1736" s="284"/>
      <c r="G1736" s="284"/>
      <c r="H1736" s="284"/>
      <c r="I1736" s="284"/>
      <c r="J1736" s="284"/>
      <c r="K1736" s="284"/>
      <c r="L1736" s="284"/>
      <c r="M1736" s="113"/>
      <c r="N1736" s="113"/>
      <c r="O1736" s="335"/>
      <c r="T1736" s="340"/>
      <c r="V1736" s="342"/>
      <c r="W1736" s="64" ph="1"/>
      <c r="X1736" s="241"/>
      <c r="Y1736" s="284"/>
      <c r="Z1736" s="207"/>
      <c r="AA1736" s="284"/>
      <c r="AB1736" s="284"/>
      <c r="AC1736" s="284"/>
      <c r="AD1736" s="284"/>
      <c r="AE1736" s="284"/>
      <c r="AF1736" s="284"/>
      <c r="AG1736" s="284"/>
      <c r="AI1736" s="131"/>
    </row>
    <row r="1737" spans="1:35" ht="26.4">
      <c r="A1737" s="284"/>
      <c r="B1737" s="284"/>
      <c r="C1737" s="284"/>
      <c r="D1737" s="284"/>
      <c r="E1737" s="284"/>
      <c r="F1737" s="284"/>
      <c r="G1737" s="284"/>
      <c r="H1737" s="284"/>
      <c r="I1737" s="284"/>
      <c r="J1737" s="284"/>
      <c r="K1737" s="284"/>
      <c r="L1737" s="284"/>
      <c r="M1737" s="113"/>
      <c r="N1737" s="113"/>
      <c r="O1737" s="335"/>
      <c r="T1737" s="340"/>
      <c r="V1737" s="342"/>
      <c r="W1737" s="64" ph="1"/>
      <c r="X1737" s="241"/>
      <c r="Y1737" s="284"/>
      <c r="Z1737" s="207"/>
      <c r="AA1737" s="284"/>
      <c r="AB1737" s="284"/>
      <c r="AC1737" s="284"/>
      <c r="AD1737" s="284"/>
      <c r="AE1737" s="284"/>
      <c r="AF1737" s="284"/>
      <c r="AG1737" s="284"/>
      <c r="AI1737" s="131"/>
    </row>
    <row r="1738" spans="1:35" ht="26.4">
      <c r="A1738" s="284"/>
      <c r="B1738" s="284"/>
      <c r="C1738" s="284"/>
      <c r="D1738" s="284"/>
      <c r="E1738" s="284"/>
      <c r="F1738" s="284"/>
      <c r="G1738" s="284"/>
      <c r="H1738" s="284"/>
      <c r="I1738" s="284"/>
      <c r="J1738" s="284"/>
      <c r="K1738" s="284"/>
      <c r="L1738" s="284"/>
      <c r="M1738" s="113"/>
      <c r="N1738" s="113"/>
      <c r="O1738" s="335"/>
      <c r="T1738" s="340"/>
      <c r="V1738" s="342"/>
      <c r="W1738" s="64" ph="1"/>
      <c r="X1738" s="241"/>
      <c r="Y1738" s="284"/>
      <c r="Z1738" s="207"/>
      <c r="AA1738" s="284"/>
      <c r="AB1738" s="284"/>
      <c r="AC1738" s="284"/>
      <c r="AD1738" s="284"/>
      <c r="AE1738" s="284"/>
      <c r="AF1738" s="284"/>
      <c r="AG1738" s="284"/>
      <c r="AI1738" s="131"/>
    </row>
    <row r="1739" spans="1:35" ht="26.4">
      <c r="A1739" s="284"/>
      <c r="B1739" s="284"/>
      <c r="C1739" s="284"/>
      <c r="D1739" s="284"/>
      <c r="E1739" s="284"/>
      <c r="F1739" s="284"/>
      <c r="G1739" s="284"/>
      <c r="H1739" s="284"/>
      <c r="I1739" s="284"/>
      <c r="J1739" s="284"/>
      <c r="K1739" s="284"/>
      <c r="L1739" s="284"/>
      <c r="M1739" s="113"/>
      <c r="N1739" s="113"/>
      <c r="O1739" s="335"/>
      <c r="T1739" s="340"/>
      <c r="V1739" s="342"/>
      <c r="W1739" s="64" ph="1"/>
      <c r="X1739" s="241"/>
      <c r="Y1739" s="284"/>
      <c r="Z1739" s="207"/>
      <c r="AA1739" s="284"/>
      <c r="AB1739" s="284"/>
      <c r="AC1739" s="284"/>
      <c r="AD1739" s="284"/>
      <c r="AE1739" s="284"/>
      <c r="AF1739" s="284"/>
      <c r="AG1739" s="284"/>
      <c r="AI1739" s="131"/>
    </row>
    <row r="1740" spans="1:35" ht="26.4">
      <c r="A1740" s="284"/>
      <c r="B1740" s="284"/>
      <c r="C1740" s="284"/>
      <c r="D1740" s="284"/>
      <c r="E1740" s="284"/>
      <c r="F1740" s="284"/>
      <c r="G1740" s="284"/>
      <c r="H1740" s="284"/>
      <c r="I1740" s="284"/>
      <c r="J1740" s="284"/>
      <c r="K1740" s="284"/>
      <c r="L1740" s="284"/>
      <c r="M1740" s="113"/>
      <c r="N1740" s="113"/>
      <c r="O1740" s="335"/>
      <c r="T1740" s="340"/>
      <c r="V1740" s="342"/>
      <c r="W1740" s="64" ph="1"/>
      <c r="X1740" s="241"/>
      <c r="Y1740" s="284"/>
      <c r="Z1740" s="207"/>
      <c r="AA1740" s="284"/>
      <c r="AB1740" s="284"/>
      <c r="AC1740" s="284"/>
      <c r="AD1740" s="284"/>
      <c r="AE1740" s="284"/>
      <c r="AF1740" s="284"/>
      <c r="AG1740" s="284"/>
      <c r="AI1740" s="131"/>
    </row>
    <row r="1741" spans="1:35" ht="26.4">
      <c r="A1741" s="284"/>
      <c r="B1741" s="284"/>
      <c r="C1741" s="284"/>
      <c r="D1741" s="284"/>
      <c r="E1741" s="284"/>
      <c r="F1741" s="284"/>
      <c r="G1741" s="284"/>
      <c r="H1741" s="284"/>
      <c r="I1741" s="284"/>
      <c r="J1741" s="284"/>
      <c r="K1741" s="284"/>
      <c r="L1741" s="284"/>
      <c r="M1741" s="113"/>
      <c r="N1741" s="113"/>
      <c r="O1741" s="335"/>
      <c r="T1741" s="340"/>
      <c r="V1741" s="342"/>
      <c r="W1741" s="64" ph="1"/>
      <c r="X1741" s="241"/>
      <c r="Y1741" s="284"/>
      <c r="Z1741" s="207"/>
      <c r="AA1741" s="284"/>
      <c r="AB1741" s="284"/>
      <c r="AC1741" s="284"/>
      <c r="AD1741" s="284"/>
      <c r="AE1741" s="284"/>
      <c r="AF1741" s="284"/>
      <c r="AG1741" s="284"/>
      <c r="AI1741" s="131"/>
    </row>
    <row r="1742" spans="1:35" ht="26.4">
      <c r="A1742" s="284"/>
      <c r="B1742" s="284"/>
      <c r="C1742" s="284"/>
      <c r="D1742" s="284"/>
      <c r="E1742" s="284"/>
      <c r="F1742" s="284"/>
      <c r="G1742" s="284"/>
      <c r="H1742" s="284"/>
      <c r="I1742" s="284"/>
      <c r="J1742" s="284"/>
      <c r="K1742" s="284"/>
      <c r="L1742" s="284"/>
      <c r="M1742" s="113"/>
      <c r="N1742" s="113"/>
      <c r="O1742" s="335"/>
      <c r="T1742" s="340"/>
      <c r="V1742" s="342"/>
      <c r="W1742" s="64" ph="1"/>
      <c r="X1742" s="241"/>
      <c r="Y1742" s="284"/>
      <c r="Z1742" s="207"/>
      <c r="AA1742" s="284"/>
      <c r="AB1742" s="284"/>
      <c r="AC1742" s="284"/>
      <c r="AD1742" s="284"/>
      <c r="AE1742" s="284"/>
      <c r="AF1742" s="284"/>
      <c r="AG1742" s="284"/>
      <c r="AI1742" s="131"/>
    </row>
    <row r="1743" spans="1:35" ht="26.4">
      <c r="A1743" s="284"/>
      <c r="B1743" s="284"/>
      <c r="C1743" s="284"/>
      <c r="D1743" s="284"/>
      <c r="E1743" s="284"/>
      <c r="F1743" s="284"/>
      <c r="G1743" s="284"/>
      <c r="H1743" s="284"/>
      <c r="I1743" s="284"/>
      <c r="J1743" s="284"/>
      <c r="K1743" s="284"/>
      <c r="L1743" s="284"/>
      <c r="M1743" s="113"/>
      <c r="N1743" s="113"/>
      <c r="O1743" s="335"/>
      <c r="T1743" s="340"/>
      <c r="V1743" s="342"/>
      <c r="W1743" s="64" ph="1"/>
      <c r="X1743" s="241"/>
      <c r="Y1743" s="284"/>
      <c r="Z1743" s="207"/>
      <c r="AA1743" s="284"/>
      <c r="AB1743" s="284"/>
      <c r="AC1743" s="284"/>
      <c r="AD1743" s="284"/>
      <c r="AE1743" s="284"/>
      <c r="AF1743" s="284"/>
      <c r="AG1743" s="284"/>
      <c r="AI1743" s="131"/>
    </row>
    <row r="1744" spans="1:35" ht="26.4">
      <c r="A1744" s="284"/>
      <c r="B1744" s="284"/>
      <c r="C1744" s="284"/>
      <c r="D1744" s="284"/>
      <c r="E1744" s="284"/>
      <c r="F1744" s="284"/>
      <c r="G1744" s="284"/>
      <c r="H1744" s="284"/>
      <c r="I1744" s="284"/>
      <c r="J1744" s="284"/>
      <c r="K1744" s="284"/>
      <c r="L1744" s="284"/>
      <c r="M1744" s="113"/>
      <c r="N1744" s="113"/>
      <c r="O1744" s="335"/>
      <c r="T1744" s="340"/>
      <c r="V1744" s="342"/>
      <c r="W1744" s="64" ph="1"/>
      <c r="X1744" s="241"/>
      <c r="Y1744" s="284"/>
      <c r="Z1744" s="207"/>
      <c r="AA1744" s="284"/>
      <c r="AB1744" s="284"/>
      <c r="AC1744" s="284"/>
      <c r="AD1744" s="284"/>
      <c r="AE1744" s="284"/>
      <c r="AF1744" s="284"/>
      <c r="AG1744" s="284"/>
      <c r="AI1744" s="131"/>
    </row>
    <row r="1745" spans="1:35" ht="26.4">
      <c r="A1745" s="284"/>
      <c r="B1745" s="284"/>
      <c r="C1745" s="284"/>
      <c r="D1745" s="284"/>
      <c r="E1745" s="284"/>
      <c r="F1745" s="284"/>
      <c r="G1745" s="284"/>
      <c r="H1745" s="284"/>
      <c r="I1745" s="284"/>
      <c r="J1745" s="284"/>
      <c r="K1745" s="284"/>
      <c r="L1745" s="284"/>
      <c r="M1745" s="113"/>
      <c r="N1745" s="113"/>
      <c r="O1745" s="335"/>
      <c r="T1745" s="340"/>
      <c r="V1745" s="342"/>
      <c r="W1745" s="64" ph="1"/>
      <c r="X1745" s="241"/>
      <c r="Y1745" s="284"/>
      <c r="Z1745" s="207"/>
      <c r="AA1745" s="284"/>
      <c r="AB1745" s="284"/>
      <c r="AC1745" s="284"/>
      <c r="AD1745" s="284"/>
      <c r="AE1745" s="284"/>
      <c r="AF1745" s="284"/>
      <c r="AG1745" s="284"/>
      <c r="AI1745" s="131"/>
    </row>
    <row r="1746" spans="1:35" ht="26.4">
      <c r="A1746" s="284"/>
      <c r="B1746" s="284"/>
      <c r="C1746" s="284"/>
      <c r="D1746" s="284"/>
      <c r="E1746" s="284"/>
      <c r="F1746" s="284"/>
      <c r="G1746" s="284"/>
      <c r="H1746" s="284"/>
      <c r="I1746" s="284"/>
      <c r="J1746" s="284"/>
      <c r="K1746" s="284"/>
      <c r="L1746" s="284"/>
      <c r="M1746" s="113"/>
      <c r="N1746" s="113"/>
      <c r="O1746" s="335"/>
      <c r="T1746" s="340"/>
      <c r="V1746" s="342"/>
      <c r="W1746" s="64" ph="1"/>
      <c r="X1746" s="241"/>
      <c r="Y1746" s="284"/>
      <c r="Z1746" s="207"/>
      <c r="AA1746" s="284"/>
      <c r="AB1746" s="284"/>
      <c r="AC1746" s="284"/>
      <c r="AD1746" s="284"/>
      <c r="AE1746" s="284"/>
      <c r="AF1746" s="284"/>
      <c r="AG1746" s="284"/>
      <c r="AI1746" s="131"/>
    </row>
    <row r="1747" spans="1:35" ht="26.4">
      <c r="A1747" s="284"/>
      <c r="B1747" s="284"/>
      <c r="C1747" s="284"/>
      <c r="D1747" s="284"/>
      <c r="E1747" s="284"/>
      <c r="F1747" s="284"/>
      <c r="G1747" s="284"/>
      <c r="H1747" s="284"/>
      <c r="I1747" s="284"/>
      <c r="J1747" s="284"/>
      <c r="K1747" s="284"/>
      <c r="L1747" s="284"/>
      <c r="M1747" s="113"/>
      <c r="N1747" s="113"/>
      <c r="O1747" s="335"/>
      <c r="T1747" s="340"/>
      <c r="V1747" s="342"/>
      <c r="W1747" s="64" ph="1"/>
      <c r="X1747" s="241"/>
      <c r="Y1747" s="284"/>
      <c r="Z1747" s="207"/>
      <c r="AA1747" s="284"/>
      <c r="AB1747" s="284"/>
      <c r="AC1747" s="284"/>
      <c r="AD1747" s="284"/>
      <c r="AE1747" s="284"/>
      <c r="AF1747" s="284"/>
      <c r="AG1747" s="284"/>
      <c r="AI1747" s="131"/>
    </row>
    <row r="1748" spans="1:35" ht="26.4">
      <c r="A1748" s="284"/>
      <c r="B1748" s="284"/>
      <c r="C1748" s="284"/>
      <c r="D1748" s="284"/>
      <c r="E1748" s="284"/>
      <c r="F1748" s="284"/>
      <c r="G1748" s="284"/>
      <c r="H1748" s="284"/>
      <c r="I1748" s="284"/>
      <c r="J1748" s="284"/>
      <c r="K1748" s="284"/>
      <c r="L1748" s="284"/>
      <c r="M1748" s="113"/>
      <c r="N1748" s="113"/>
      <c r="O1748" s="335"/>
      <c r="T1748" s="340"/>
      <c r="V1748" s="342"/>
      <c r="W1748" s="64" ph="1"/>
      <c r="X1748" s="241"/>
      <c r="Y1748" s="284"/>
      <c r="Z1748" s="207"/>
      <c r="AA1748" s="284"/>
      <c r="AB1748" s="284"/>
      <c r="AC1748" s="284"/>
      <c r="AD1748" s="284"/>
      <c r="AE1748" s="284"/>
      <c r="AF1748" s="284"/>
      <c r="AG1748" s="284"/>
      <c r="AI1748" s="131"/>
    </row>
    <row r="1749" spans="1:35" ht="26.4">
      <c r="A1749" s="284"/>
      <c r="B1749" s="284"/>
      <c r="C1749" s="284"/>
      <c r="D1749" s="284"/>
      <c r="E1749" s="284"/>
      <c r="F1749" s="284"/>
      <c r="G1749" s="284"/>
      <c r="H1749" s="284"/>
      <c r="I1749" s="284"/>
      <c r="J1749" s="284"/>
      <c r="K1749" s="284"/>
      <c r="L1749" s="284"/>
      <c r="M1749" s="113"/>
      <c r="N1749" s="113"/>
      <c r="O1749" s="335"/>
      <c r="T1749" s="340"/>
      <c r="V1749" s="342"/>
      <c r="W1749" s="64" ph="1"/>
      <c r="X1749" s="241"/>
      <c r="Y1749" s="284"/>
      <c r="Z1749" s="207"/>
      <c r="AA1749" s="284"/>
      <c r="AB1749" s="284"/>
      <c r="AC1749" s="284"/>
      <c r="AD1749" s="284"/>
      <c r="AE1749" s="284"/>
      <c r="AF1749" s="284"/>
      <c r="AG1749" s="284"/>
      <c r="AI1749" s="131"/>
    </row>
    <row r="1750" spans="1:35" ht="26.4">
      <c r="A1750" s="284"/>
      <c r="B1750" s="284"/>
      <c r="C1750" s="284"/>
      <c r="D1750" s="284"/>
      <c r="E1750" s="284"/>
      <c r="F1750" s="284"/>
      <c r="G1750" s="284"/>
      <c r="H1750" s="284"/>
      <c r="I1750" s="284"/>
      <c r="J1750" s="284"/>
      <c r="K1750" s="284"/>
      <c r="L1750" s="284"/>
      <c r="M1750" s="113"/>
      <c r="N1750" s="113"/>
      <c r="O1750" s="335"/>
      <c r="T1750" s="340"/>
      <c r="V1750" s="342"/>
      <c r="W1750" s="64" ph="1"/>
      <c r="X1750" s="241"/>
      <c r="Y1750" s="284"/>
      <c r="Z1750" s="207"/>
      <c r="AA1750" s="284"/>
      <c r="AB1750" s="284"/>
      <c r="AC1750" s="284"/>
      <c r="AD1750" s="284"/>
      <c r="AE1750" s="284"/>
      <c r="AF1750" s="284"/>
      <c r="AG1750" s="284"/>
      <c r="AI1750" s="131"/>
    </row>
    <row r="1751" spans="1:35" ht="26.4">
      <c r="A1751" s="284"/>
      <c r="B1751" s="284"/>
      <c r="C1751" s="284"/>
      <c r="D1751" s="284"/>
      <c r="E1751" s="284"/>
      <c r="F1751" s="284"/>
      <c r="G1751" s="284"/>
      <c r="H1751" s="284"/>
      <c r="I1751" s="284"/>
      <c r="J1751" s="284"/>
      <c r="K1751" s="284"/>
      <c r="L1751" s="284"/>
      <c r="M1751" s="113"/>
      <c r="N1751" s="113"/>
      <c r="O1751" s="335"/>
      <c r="T1751" s="340"/>
      <c r="V1751" s="342"/>
      <c r="W1751" s="64" ph="1"/>
      <c r="X1751" s="241"/>
      <c r="Y1751" s="284"/>
      <c r="Z1751" s="207"/>
      <c r="AA1751" s="284"/>
      <c r="AB1751" s="284"/>
      <c r="AC1751" s="284"/>
      <c r="AD1751" s="284"/>
      <c r="AE1751" s="284"/>
      <c r="AF1751" s="284"/>
      <c r="AG1751" s="284"/>
      <c r="AI1751" s="131"/>
    </row>
    <row r="1752" spans="1:35" ht="26.4">
      <c r="A1752" s="284"/>
      <c r="B1752" s="284"/>
      <c r="C1752" s="284"/>
      <c r="D1752" s="284"/>
      <c r="E1752" s="284"/>
      <c r="F1752" s="284"/>
      <c r="G1752" s="284"/>
      <c r="H1752" s="284"/>
      <c r="I1752" s="284"/>
      <c r="J1752" s="284"/>
      <c r="K1752" s="284"/>
      <c r="L1752" s="284"/>
      <c r="M1752" s="113"/>
      <c r="N1752" s="113"/>
      <c r="O1752" s="335"/>
      <c r="T1752" s="340"/>
      <c r="V1752" s="342"/>
      <c r="W1752" s="64" ph="1"/>
      <c r="X1752" s="241"/>
      <c r="Y1752" s="284"/>
      <c r="Z1752" s="207"/>
      <c r="AA1752" s="284"/>
      <c r="AB1752" s="284"/>
      <c r="AC1752" s="284"/>
      <c r="AD1752" s="284"/>
      <c r="AE1752" s="284"/>
      <c r="AF1752" s="284"/>
      <c r="AG1752" s="284"/>
      <c r="AI1752" s="131"/>
    </row>
    <row r="1753" spans="1:35" ht="26.4">
      <c r="A1753" s="284"/>
      <c r="B1753" s="284"/>
      <c r="C1753" s="284"/>
      <c r="D1753" s="284"/>
      <c r="E1753" s="284"/>
      <c r="F1753" s="284"/>
      <c r="G1753" s="284"/>
      <c r="H1753" s="284"/>
      <c r="I1753" s="284"/>
      <c r="J1753" s="284"/>
      <c r="K1753" s="284"/>
      <c r="L1753" s="284"/>
      <c r="M1753" s="113"/>
      <c r="N1753" s="113"/>
      <c r="O1753" s="335"/>
      <c r="T1753" s="340"/>
      <c r="V1753" s="342"/>
      <c r="W1753" s="64" ph="1"/>
      <c r="X1753" s="241"/>
      <c r="Y1753" s="284"/>
      <c r="Z1753" s="207"/>
      <c r="AA1753" s="284"/>
      <c r="AB1753" s="284"/>
      <c r="AC1753" s="284"/>
      <c r="AD1753" s="284"/>
      <c r="AE1753" s="284"/>
      <c r="AF1753" s="284"/>
      <c r="AG1753" s="284"/>
      <c r="AI1753" s="131"/>
    </row>
    <row r="1754" spans="1:35" ht="26.4">
      <c r="A1754" s="284"/>
      <c r="B1754" s="284"/>
      <c r="C1754" s="284"/>
      <c r="D1754" s="284"/>
      <c r="E1754" s="284"/>
      <c r="F1754" s="284"/>
      <c r="G1754" s="284"/>
      <c r="H1754" s="284"/>
      <c r="I1754" s="284"/>
      <c r="J1754" s="284"/>
      <c r="K1754" s="284"/>
      <c r="L1754" s="284"/>
      <c r="M1754" s="113"/>
      <c r="N1754" s="113"/>
      <c r="O1754" s="335"/>
      <c r="T1754" s="340"/>
      <c r="V1754" s="342"/>
      <c r="W1754" s="64" ph="1"/>
      <c r="X1754" s="241"/>
      <c r="Y1754" s="284"/>
      <c r="Z1754" s="207"/>
      <c r="AA1754" s="284"/>
      <c r="AB1754" s="284"/>
      <c r="AC1754" s="284"/>
      <c r="AD1754" s="284"/>
      <c r="AE1754" s="284"/>
      <c r="AF1754" s="284"/>
      <c r="AG1754" s="284"/>
      <c r="AI1754" s="131"/>
    </row>
    <row r="1755" spans="1:35" ht="26.4">
      <c r="A1755" s="284"/>
      <c r="B1755" s="284"/>
      <c r="C1755" s="284"/>
      <c r="D1755" s="284"/>
      <c r="E1755" s="284"/>
      <c r="F1755" s="284"/>
      <c r="G1755" s="284"/>
      <c r="H1755" s="284"/>
      <c r="I1755" s="284"/>
      <c r="J1755" s="284"/>
      <c r="K1755" s="284"/>
      <c r="L1755" s="284"/>
      <c r="M1755" s="113"/>
      <c r="N1755" s="113"/>
      <c r="O1755" s="335"/>
      <c r="T1755" s="340"/>
      <c r="V1755" s="342"/>
      <c r="W1755" s="64" ph="1"/>
      <c r="X1755" s="241"/>
      <c r="Y1755" s="284"/>
      <c r="Z1755" s="207"/>
      <c r="AA1755" s="284"/>
      <c r="AB1755" s="284"/>
      <c r="AC1755" s="284"/>
      <c r="AD1755" s="284"/>
      <c r="AE1755" s="284"/>
      <c r="AF1755" s="284"/>
      <c r="AG1755" s="284"/>
      <c r="AI1755" s="131"/>
    </row>
    <row r="1756" spans="1:35" ht="26.4">
      <c r="A1756" s="284"/>
      <c r="B1756" s="284"/>
      <c r="C1756" s="284"/>
      <c r="D1756" s="284"/>
      <c r="E1756" s="284"/>
      <c r="F1756" s="284"/>
      <c r="G1756" s="284"/>
      <c r="H1756" s="284"/>
      <c r="I1756" s="284"/>
      <c r="J1756" s="284"/>
      <c r="K1756" s="284"/>
      <c r="L1756" s="284"/>
      <c r="M1756" s="113"/>
      <c r="N1756" s="113"/>
      <c r="O1756" s="335"/>
      <c r="T1756" s="340"/>
      <c r="V1756" s="342"/>
      <c r="W1756" s="64" ph="1"/>
      <c r="X1756" s="241"/>
      <c r="Y1756" s="284"/>
      <c r="Z1756" s="207"/>
      <c r="AA1756" s="284"/>
      <c r="AB1756" s="284"/>
      <c r="AC1756" s="284"/>
      <c r="AD1756" s="284"/>
      <c r="AE1756" s="284"/>
      <c r="AF1756" s="284"/>
      <c r="AG1756" s="284"/>
      <c r="AI1756" s="284"/>
    </row>
    <row r="1757" spans="1:35" ht="26.4">
      <c r="A1757" s="284"/>
      <c r="B1757" s="284"/>
      <c r="C1757" s="284"/>
      <c r="D1757" s="284"/>
      <c r="E1757" s="284"/>
      <c r="F1757" s="284"/>
      <c r="G1757" s="284"/>
      <c r="H1757" s="284"/>
      <c r="I1757" s="284"/>
      <c r="J1757" s="284"/>
      <c r="K1757" s="284"/>
      <c r="L1757" s="284"/>
      <c r="M1757" s="113"/>
      <c r="N1757" s="113"/>
      <c r="O1757" s="335"/>
      <c r="T1757" s="340"/>
      <c r="V1757" s="342"/>
      <c r="W1757" s="64" ph="1"/>
      <c r="X1757" s="241"/>
      <c r="Y1757" s="284"/>
      <c r="Z1757" s="207"/>
      <c r="AA1757" s="284"/>
      <c r="AB1757" s="284"/>
      <c r="AC1757" s="284"/>
      <c r="AD1757" s="284"/>
      <c r="AE1757" s="284"/>
      <c r="AF1757" s="284"/>
      <c r="AG1757" s="284"/>
      <c r="AI1757" s="284"/>
    </row>
    <row r="1758" spans="1:35" ht="26.4">
      <c r="A1758" s="284"/>
      <c r="B1758" s="284"/>
      <c r="C1758" s="284"/>
      <c r="D1758" s="284"/>
      <c r="E1758" s="284"/>
      <c r="F1758" s="284"/>
      <c r="G1758" s="284"/>
      <c r="H1758" s="284"/>
      <c r="I1758" s="284"/>
      <c r="J1758" s="284"/>
      <c r="K1758" s="284"/>
      <c r="L1758" s="284"/>
      <c r="M1758" s="113"/>
      <c r="N1758" s="113"/>
      <c r="O1758" s="335"/>
      <c r="T1758" s="340"/>
      <c r="V1758" s="342"/>
      <c r="W1758" s="64" ph="1"/>
      <c r="X1758" s="241"/>
      <c r="Y1758" s="284"/>
      <c r="Z1758" s="207"/>
      <c r="AA1758" s="284"/>
      <c r="AB1758" s="284"/>
      <c r="AC1758" s="284"/>
      <c r="AD1758" s="284"/>
      <c r="AE1758" s="284"/>
      <c r="AF1758" s="284"/>
      <c r="AG1758" s="284"/>
      <c r="AI1758" s="131"/>
    </row>
    <row r="1759" spans="1:35" ht="26.4">
      <c r="A1759" s="284"/>
      <c r="B1759" s="284"/>
      <c r="C1759" s="284"/>
      <c r="D1759" s="284"/>
      <c r="E1759" s="284"/>
      <c r="F1759" s="284"/>
      <c r="G1759" s="284"/>
      <c r="H1759" s="284"/>
      <c r="I1759" s="284"/>
      <c r="J1759" s="284"/>
      <c r="K1759" s="284"/>
      <c r="L1759" s="284"/>
      <c r="M1759" s="113"/>
      <c r="N1759" s="113"/>
      <c r="O1759" s="335"/>
      <c r="T1759" s="340"/>
      <c r="V1759" s="342"/>
      <c r="W1759" s="64" ph="1"/>
      <c r="X1759" s="241"/>
      <c r="Y1759" s="284"/>
      <c r="Z1759" s="207"/>
      <c r="AA1759" s="284"/>
      <c r="AB1759" s="284"/>
      <c r="AC1759" s="284"/>
      <c r="AD1759" s="284"/>
      <c r="AE1759" s="284"/>
      <c r="AF1759" s="284"/>
      <c r="AG1759" s="284"/>
      <c r="AI1759" s="131"/>
    </row>
    <row r="1760" spans="1:35" ht="26.4">
      <c r="A1760" s="284"/>
      <c r="B1760" s="284"/>
      <c r="C1760" s="284"/>
      <c r="D1760" s="284"/>
      <c r="E1760" s="284"/>
      <c r="F1760" s="284"/>
      <c r="G1760" s="284"/>
      <c r="H1760" s="284"/>
      <c r="I1760" s="284"/>
      <c r="J1760" s="284"/>
      <c r="K1760" s="284"/>
      <c r="L1760" s="284"/>
      <c r="M1760" s="113"/>
      <c r="N1760" s="113"/>
      <c r="O1760" s="335"/>
      <c r="T1760" s="340"/>
      <c r="V1760" s="342"/>
      <c r="W1760" s="64" ph="1"/>
      <c r="X1760" s="241"/>
      <c r="Y1760" s="284"/>
      <c r="Z1760" s="207"/>
      <c r="AA1760" s="284"/>
      <c r="AB1760" s="284"/>
      <c r="AC1760" s="284"/>
      <c r="AD1760" s="284"/>
      <c r="AE1760" s="284"/>
      <c r="AF1760" s="284"/>
      <c r="AG1760" s="284"/>
      <c r="AI1760" s="131"/>
    </row>
    <row r="1761" spans="1:35" ht="26.4">
      <c r="A1761" s="284"/>
      <c r="B1761" s="284"/>
      <c r="C1761" s="284"/>
      <c r="D1761" s="284"/>
      <c r="E1761" s="284"/>
      <c r="F1761" s="284"/>
      <c r="G1761" s="284"/>
      <c r="H1761" s="284"/>
      <c r="I1761" s="284"/>
      <c r="J1761" s="284"/>
      <c r="K1761" s="284"/>
      <c r="L1761" s="284"/>
      <c r="M1761" s="113"/>
      <c r="N1761" s="113"/>
      <c r="O1761" s="335"/>
      <c r="T1761" s="340"/>
      <c r="V1761" s="342"/>
      <c r="W1761" s="64" ph="1"/>
      <c r="X1761" s="241"/>
      <c r="Y1761" s="284"/>
      <c r="Z1761" s="207"/>
      <c r="AA1761" s="284"/>
      <c r="AB1761" s="284"/>
      <c r="AC1761" s="284"/>
      <c r="AD1761" s="284"/>
      <c r="AE1761" s="284"/>
      <c r="AF1761" s="284"/>
      <c r="AG1761" s="284"/>
      <c r="AI1761" s="131"/>
    </row>
    <row r="1762" spans="1:35" ht="26.4">
      <c r="A1762" s="284"/>
      <c r="B1762" s="284"/>
      <c r="C1762" s="284"/>
      <c r="D1762" s="284"/>
      <c r="E1762" s="284"/>
      <c r="F1762" s="284"/>
      <c r="G1762" s="284"/>
      <c r="H1762" s="284"/>
      <c r="I1762" s="284"/>
      <c r="J1762" s="284"/>
      <c r="K1762" s="284"/>
      <c r="L1762" s="284"/>
      <c r="M1762" s="113"/>
      <c r="N1762" s="113"/>
      <c r="O1762" s="335"/>
      <c r="T1762" s="340"/>
      <c r="V1762" s="342"/>
      <c r="W1762" s="64" ph="1"/>
      <c r="X1762" s="241"/>
      <c r="Y1762" s="284"/>
      <c r="Z1762" s="207"/>
      <c r="AA1762" s="284"/>
      <c r="AB1762" s="284"/>
      <c r="AC1762" s="284"/>
      <c r="AD1762" s="284"/>
      <c r="AE1762" s="284"/>
      <c r="AF1762" s="284"/>
      <c r="AG1762" s="284"/>
      <c r="AI1762" s="131"/>
    </row>
    <row r="1763" spans="1:35" ht="26.4">
      <c r="A1763" s="284"/>
      <c r="B1763" s="284"/>
      <c r="C1763" s="284"/>
      <c r="D1763" s="284"/>
      <c r="E1763" s="284"/>
      <c r="F1763" s="284"/>
      <c r="G1763" s="284"/>
      <c r="H1763" s="284"/>
      <c r="I1763" s="284"/>
      <c r="J1763" s="284"/>
      <c r="K1763" s="284"/>
      <c r="L1763" s="284"/>
      <c r="M1763" s="113"/>
      <c r="N1763" s="113"/>
      <c r="O1763" s="335"/>
      <c r="T1763" s="340"/>
      <c r="V1763" s="342"/>
      <c r="W1763" s="64" ph="1"/>
      <c r="X1763" s="241"/>
      <c r="Y1763" s="284"/>
      <c r="Z1763" s="207"/>
      <c r="AA1763" s="284"/>
      <c r="AB1763" s="284"/>
      <c r="AC1763" s="284"/>
      <c r="AD1763" s="284"/>
      <c r="AE1763" s="284"/>
      <c r="AF1763" s="284"/>
      <c r="AG1763" s="284"/>
      <c r="AI1763" s="131"/>
    </row>
    <row r="1764" spans="1:35" ht="26.4">
      <c r="A1764" s="284"/>
      <c r="B1764" s="284"/>
      <c r="C1764" s="284"/>
      <c r="D1764" s="284"/>
      <c r="E1764" s="284"/>
      <c r="F1764" s="284"/>
      <c r="G1764" s="284"/>
      <c r="H1764" s="284"/>
      <c r="I1764" s="284"/>
      <c r="J1764" s="284"/>
      <c r="K1764" s="284"/>
      <c r="L1764" s="284"/>
      <c r="M1764" s="113"/>
      <c r="N1764" s="113"/>
      <c r="O1764" s="335"/>
      <c r="T1764" s="340"/>
      <c r="V1764" s="342"/>
      <c r="W1764" s="64" ph="1"/>
      <c r="X1764" s="241"/>
      <c r="Y1764" s="284"/>
      <c r="Z1764" s="207"/>
      <c r="AA1764" s="284"/>
      <c r="AB1764" s="284"/>
      <c r="AC1764" s="284"/>
      <c r="AD1764" s="284"/>
      <c r="AE1764" s="284"/>
      <c r="AF1764" s="284"/>
      <c r="AG1764" s="284"/>
      <c r="AI1764" s="131"/>
    </row>
    <row r="1765" spans="1:35" ht="26.4">
      <c r="A1765" s="284"/>
      <c r="B1765" s="284"/>
      <c r="C1765" s="284"/>
      <c r="D1765" s="284"/>
      <c r="E1765" s="284"/>
      <c r="F1765" s="284"/>
      <c r="G1765" s="284"/>
      <c r="H1765" s="284"/>
      <c r="I1765" s="284"/>
      <c r="J1765" s="284"/>
      <c r="K1765" s="284"/>
      <c r="L1765" s="284"/>
      <c r="M1765" s="113"/>
      <c r="N1765" s="113"/>
      <c r="O1765" s="335"/>
      <c r="T1765" s="340"/>
      <c r="V1765" s="342"/>
      <c r="W1765" s="64" ph="1"/>
      <c r="X1765" s="241"/>
      <c r="Y1765" s="284"/>
      <c r="Z1765" s="207"/>
      <c r="AA1765" s="284"/>
      <c r="AB1765" s="284"/>
      <c r="AC1765" s="284"/>
      <c r="AD1765" s="284"/>
      <c r="AE1765" s="284"/>
      <c r="AF1765" s="284"/>
      <c r="AG1765" s="284"/>
      <c r="AI1765" s="131"/>
    </row>
    <row r="1766" spans="1:35" ht="26.4">
      <c r="A1766" s="284"/>
      <c r="B1766" s="284"/>
      <c r="C1766" s="284"/>
      <c r="D1766" s="284"/>
      <c r="E1766" s="284"/>
      <c r="F1766" s="284"/>
      <c r="G1766" s="284"/>
      <c r="H1766" s="284"/>
      <c r="I1766" s="284"/>
      <c r="J1766" s="284"/>
      <c r="K1766" s="284"/>
      <c r="L1766" s="284"/>
      <c r="M1766" s="113"/>
      <c r="N1766" s="113"/>
      <c r="O1766" s="335"/>
      <c r="T1766" s="340"/>
      <c r="V1766" s="342"/>
      <c r="W1766" s="64" ph="1"/>
      <c r="X1766" s="241"/>
      <c r="Y1766" s="284"/>
      <c r="Z1766" s="207"/>
      <c r="AA1766" s="284"/>
      <c r="AB1766" s="284"/>
      <c r="AC1766" s="284"/>
      <c r="AD1766" s="284"/>
      <c r="AE1766" s="284"/>
      <c r="AF1766" s="284"/>
      <c r="AG1766" s="284"/>
      <c r="AI1766" s="131"/>
    </row>
    <row r="1767" spans="1:35" ht="26.4">
      <c r="A1767" s="284"/>
      <c r="B1767" s="284"/>
      <c r="C1767" s="284"/>
      <c r="D1767" s="284"/>
      <c r="E1767" s="284"/>
      <c r="F1767" s="284"/>
      <c r="G1767" s="284"/>
      <c r="H1767" s="284"/>
      <c r="I1767" s="284"/>
      <c r="J1767" s="284"/>
      <c r="K1767" s="284"/>
      <c r="L1767" s="284"/>
      <c r="M1767" s="113"/>
      <c r="N1767" s="113"/>
      <c r="O1767" s="335"/>
      <c r="T1767" s="340"/>
      <c r="V1767" s="342"/>
      <c r="W1767" s="64" ph="1"/>
      <c r="X1767" s="241"/>
      <c r="Y1767" s="284"/>
      <c r="Z1767" s="207"/>
      <c r="AA1767" s="284"/>
      <c r="AB1767" s="284"/>
      <c r="AC1767" s="284"/>
      <c r="AD1767" s="284"/>
      <c r="AE1767" s="284"/>
      <c r="AF1767" s="284"/>
      <c r="AG1767" s="284"/>
      <c r="AI1767" s="131"/>
    </row>
    <row r="1768" spans="1:35" ht="26.4">
      <c r="A1768" s="284"/>
      <c r="B1768" s="284"/>
      <c r="C1768" s="284"/>
      <c r="D1768" s="284"/>
      <c r="E1768" s="284"/>
      <c r="F1768" s="284"/>
      <c r="G1768" s="284"/>
      <c r="H1768" s="284"/>
      <c r="I1768" s="284"/>
      <c r="J1768" s="284"/>
      <c r="K1768" s="284"/>
      <c r="L1768" s="284"/>
      <c r="M1768" s="113"/>
      <c r="N1768" s="113"/>
      <c r="O1768" s="335"/>
      <c r="T1768" s="340"/>
      <c r="V1768" s="342"/>
      <c r="W1768" s="64" ph="1"/>
      <c r="X1768" s="241"/>
      <c r="Y1768" s="284"/>
      <c r="Z1768" s="207"/>
      <c r="AA1768" s="284"/>
      <c r="AB1768" s="284"/>
      <c r="AC1768" s="284"/>
      <c r="AD1768" s="284"/>
      <c r="AE1768" s="284"/>
      <c r="AF1768" s="284"/>
      <c r="AG1768" s="284"/>
      <c r="AI1768" s="131"/>
    </row>
    <row r="1769" spans="1:35" ht="26.4">
      <c r="A1769" s="284"/>
      <c r="B1769" s="284"/>
      <c r="C1769" s="284"/>
      <c r="D1769" s="284"/>
      <c r="E1769" s="284"/>
      <c r="F1769" s="284"/>
      <c r="G1769" s="284"/>
      <c r="H1769" s="284"/>
      <c r="I1769" s="284"/>
      <c r="J1769" s="284"/>
      <c r="K1769" s="284"/>
      <c r="L1769" s="284"/>
      <c r="M1769" s="113"/>
      <c r="N1769" s="113"/>
      <c r="O1769" s="335"/>
      <c r="T1769" s="340"/>
      <c r="V1769" s="342"/>
      <c r="W1769" s="64" ph="1"/>
      <c r="X1769" s="241"/>
      <c r="Y1769" s="284"/>
      <c r="Z1769" s="207"/>
      <c r="AA1769" s="284"/>
      <c r="AB1769" s="284"/>
      <c r="AC1769" s="284"/>
      <c r="AD1769" s="284"/>
      <c r="AE1769" s="284"/>
      <c r="AF1769" s="284"/>
      <c r="AG1769" s="284"/>
      <c r="AI1769" s="131"/>
    </row>
    <row r="1770" spans="1:35" ht="26.4">
      <c r="A1770" s="284"/>
      <c r="B1770" s="284"/>
      <c r="C1770" s="284"/>
      <c r="D1770" s="284"/>
      <c r="E1770" s="284"/>
      <c r="F1770" s="284"/>
      <c r="G1770" s="284"/>
      <c r="H1770" s="284"/>
      <c r="I1770" s="284"/>
      <c r="J1770" s="284"/>
      <c r="K1770" s="284"/>
      <c r="L1770" s="284"/>
      <c r="M1770" s="113"/>
      <c r="N1770" s="113"/>
      <c r="O1770" s="335"/>
      <c r="T1770" s="340"/>
      <c r="V1770" s="342"/>
      <c r="W1770" s="64" ph="1"/>
      <c r="X1770" s="241"/>
      <c r="Y1770" s="284"/>
      <c r="Z1770" s="207"/>
      <c r="AA1770" s="284"/>
      <c r="AB1770" s="284"/>
      <c r="AC1770" s="284"/>
      <c r="AD1770" s="284"/>
      <c r="AE1770" s="284"/>
      <c r="AF1770" s="284"/>
      <c r="AG1770" s="284"/>
      <c r="AI1770" s="284"/>
    </row>
    <row r="1771" spans="1:35" ht="26.4">
      <c r="A1771" s="284"/>
      <c r="B1771" s="284"/>
      <c r="C1771" s="284"/>
      <c r="D1771" s="284"/>
      <c r="E1771" s="284"/>
      <c r="F1771" s="284"/>
      <c r="G1771" s="284"/>
      <c r="H1771" s="284"/>
      <c r="I1771" s="284"/>
      <c r="J1771" s="284"/>
      <c r="K1771" s="284"/>
      <c r="L1771" s="284"/>
      <c r="M1771" s="113"/>
      <c r="N1771" s="113"/>
      <c r="O1771" s="335"/>
      <c r="T1771" s="340"/>
      <c r="V1771" s="342"/>
      <c r="W1771" s="64" ph="1"/>
      <c r="X1771" s="241"/>
      <c r="Y1771" s="284"/>
      <c r="Z1771" s="207"/>
      <c r="AA1771" s="284"/>
      <c r="AB1771" s="284"/>
      <c r="AC1771" s="284"/>
      <c r="AD1771" s="284"/>
      <c r="AE1771" s="284"/>
      <c r="AF1771" s="284"/>
      <c r="AG1771" s="284"/>
      <c r="AI1771" s="131"/>
    </row>
    <row r="1772" spans="1:35" ht="26.4">
      <c r="A1772" s="284"/>
      <c r="B1772" s="284"/>
      <c r="C1772" s="284"/>
      <c r="D1772" s="284"/>
      <c r="E1772" s="284"/>
      <c r="F1772" s="284"/>
      <c r="G1772" s="284"/>
      <c r="H1772" s="284"/>
      <c r="I1772" s="284"/>
      <c r="J1772" s="284"/>
      <c r="K1772" s="284"/>
      <c r="L1772" s="284"/>
      <c r="M1772" s="113"/>
      <c r="N1772" s="113"/>
      <c r="O1772" s="335"/>
      <c r="T1772" s="340"/>
      <c r="V1772" s="342"/>
      <c r="W1772" s="64" ph="1"/>
      <c r="X1772" s="241"/>
      <c r="Y1772" s="284"/>
      <c r="Z1772" s="207"/>
      <c r="AA1772" s="284"/>
      <c r="AB1772" s="284"/>
      <c r="AC1772" s="284"/>
      <c r="AD1772" s="284"/>
      <c r="AE1772" s="284"/>
      <c r="AF1772" s="284"/>
      <c r="AG1772" s="284"/>
      <c r="AI1772" s="131"/>
    </row>
    <row r="1773" spans="1:35" ht="26.4">
      <c r="A1773" s="284"/>
      <c r="B1773" s="284"/>
      <c r="C1773" s="284"/>
      <c r="D1773" s="284"/>
      <c r="E1773" s="284"/>
      <c r="F1773" s="284"/>
      <c r="G1773" s="284"/>
      <c r="H1773" s="284"/>
      <c r="I1773" s="284"/>
      <c r="J1773" s="284"/>
      <c r="K1773" s="284"/>
      <c r="L1773" s="284"/>
      <c r="M1773" s="113"/>
      <c r="N1773" s="113"/>
      <c r="O1773" s="335"/>
      <c r="T1773" s="340"/>
      <c r="V1773" s="342"/>
      <c r="W1773" s="64" ph="1"/>
      <c r="X1773" s="241"/>
      <c r="Y1773" s="284"/>
      <c r="Z1773" s="207"/>
      <c r="AA1773" s="284"/>
      <c r="AB1773" s="284"/>
      <c r="AC1773" s="284"/>
      <c r="AD1773" s="284"/>
      <c r="AE1773" s="284"/>
      <c r="AF1773" s="284"/>
      <c r="AG1773" s="284"/>
      <c r="AI1773" s="131"/>
    </row>
    <row r="1774" spans="1:35" ht="26.4">
      <c r="A1774" s="284"/>
      <c r="B1774" s="284"/>
      <c r="C1774" s="284"/>
      <c r="D1774" s="284"/>
      <c r="E1774" s="284"/>
      <c r="F1774" s="284"/>
      <c r="G1774" s="284"/>
      <c r="H1774" s="284"/>
      <c r="I1774" s="284"/>
      <c r="J1774" s="284"/>
      <c r="K1774" s="284"/>
      <c r="L1774" s="284"/>
      <c r="M1774" s="113"/>
      <c r="N1774" s="113"/>
      <c r="O1774" s="335"/>
      <c r="T1774" s="340"/>
      <c r="V1774" s="342"/>
      <c r="W1774" s="64" ph="1"/>
      <c r="X1774" s="241"/>
      <c r="Y1774" s="284"/>
      <c r="Z1774" s="207"/>
      <c r="AA1774" s="284"/>
      <c r="AB1774" s="284"/>
      <c r="AC1774" s="284"/>
      <c r="AD1774" s="284"/>
      <c r="AE1774" s="284"/>
      <c r="AF1774" s="284"/>
      <c r="AG1774" s="284"/>
      <c r="AI1774" s="131"/>
    </row>
    <row r="1775" spans="1:35" ht="26.4">
      <c r="A1775" s="284"/>
      <c r="B1775" s="284"/>
      <c r="C1775" s="284"/>
      <c r="D1775" s="284"/>
      <c r="E1775" s="284"/>
      <c r="F1775" s="284"/>
      <c r="G1775" s="284"/>
      <c r="H1775" s="284"/>
      <c r="I1775" s="284"/>
      <c r="J1775" s="284"/>
      <c r="K1775" s="284"/>
      <c r="L1775" s="284"/>
      <c r="M1775" s="113"/>
      <c r="N1775" s="113"/>
      <c r="O1775" s="335"/>
      <c r="T1775" s="340"/>
      <c r="V1775" s="342"/>
      <c r="W1775" s="64" ph="1"/>
      <c r="X1775" s="241"/>
      <c r="Y1775" s="284"/>
      <c r="Z1775" s="207"/>
      <c r="AA1775" s="284"/>
      <c r="AB1775" s="284"/>
      <c r="AC1775" s="284"/>
      <c r="AD1775" s="284"/>
      <c r="AE1775" s="284"/>
      <c r="AF1775" s="284"/>
      <c r="AG1775" s="284"/>
      <c r="AI1775" s="131"/>
    </row>
    <row r="1776" spans="1:35" ht="26.4">
      <c r="A1776" s="284"/>
      <c r="B1776" s="284"/>
      <c r="C1776" s="284"/>
      <c r="D1776" s="284"/>
      <c r="E1776" s="284"/>
      <c r="F1776" s="284"/>
      <c r="G1776" s="284"/>
      <c r="H1776" s="284"/>
      <c r="I1776" s="284"/>
      <c r="J1776" s="284"/>
      <c r="K1776" s="284"/>
      <c r="L1776" s="284"/>
      <c r="M1776" s="113"/>
      <c r="N1776" s="113"/>
      <c r="O1776" s="335"/>
      <c r="T1776" s="340"/>
      <c r="V1776" s="342"/>
      <c r="W1776" s="64" ph="1"/>
      <c r="X1776" s="241"/>
      <c r="Y1776" s="284"/>
      <c r="Z1776" s="207"/>
      <c r="AA1776" s="284"/>
      <c r="AB1776" s="284"/>
      <c r="AC1776" s="284"/>
      <c r="AD1776" s="284"/>
      <c r="AE1776" s="284"/>
      <c r="AF1776" s="284"/>
      <c r="AG1776" s="284"/>
      <c r="AI1776" s="131"/>
    </row>
    <row r="1777" spans="1:35" ht="26.4">
      <c r="A1777" s="284"/>
      <c r="B1777" s="284"/>
      <c r="C1777" s="284"/>
      <c r="D1777" s="284"/>
      <c r="E1777" s="284"/>
      <c r="F1777" s="284"/>
      <c r="G1777" s="284"/>
      <c r="H1777" s="284"/>
      <c r="I1777" s="284"/>
      <c r="J1777" s="284"/>
      <c r="K1777" s="284"/>
      <c r="L1777" s="284"/>
      <c r="M1777" s="113"/>
      <c r="N1777" s="113"/>
      <c r="O1777" s="335"/>
      <c r="T1777" s="340"/>
      <c r="V1777" s="342"/>
      <c r="W1777" s="64" ph="1"/>
      <c r="X1777" s="241"/>
      <c r="Y1777" s="284"/>
      <c r="Z1777" s="207"/>
      <c r="AA1777" s="284"/>
      <c r="AB1777" s="284"/>
      <c r="AC1777" s="284"/>
      <c r="AD1777" s="284"/>
      <c r="AE1777" s="284"/>
      <c r="AF1777" s="284"/>
      <c r="AG1777" s="284"/>
      <c r="AI1777" s="52"/>
    </row>
    <row r="1778" spans="1:35" ht="26.4">
      <c r="A1778" s="284"/>
      <c r="B1778" s="284"/>
      <c r="C1778" s="284"/>
      <c r="D1778" s="284"/>
      <c r="E1778" s="284"/>
      <c r="F1778" s="284"/>
      <c r="G1778" s="284"/>
      <c r="H1778" s="284"/>
      <c r="I1778" s="284"/>
      <c r="J1778" s="284"/>
      <c r="K1778" s="284"/>
      <c r="L1778" s="284"/>
      <c r="M1778" s="113"/>
      <c r="N1778" s="113"/>
      <c r="O1778" s="335"/>
      <c r="T1778" s="340"/>
      <c r="V1778" s="342"/>
      <c r="W1778" s="64" ph="1"/>
      <c r="X1778" s="241"/>
      <c r="Y1778" s="284"/>
      <c r="Z1778" s="207"/>
      <c r="AA1778" s="284"/>
      <c r="AB1778" s="284"/>
      <c r="AC1778" s="284"/>
      <c r="AD1778" s="284"/>
      <c r="AE1778" s="284"/>
      <c r="AF1778" s="284"/>
      <c r="AG1778" s="284"/>
      <c r="AI1778" s="131"/>
    </row>
    <row r="1779" spans="1:35" ht="26.4">
      <c r="A1779" s="284"/>
      <c r="B1779" s="284"/>
      <c r="C1779" s="284"/>
      <c r="D1779" s="284"/>
      <c r="E1779" s="284"/>
      <c r="F1779" s="284"/>
      <c r="G1779" s="284"/>
      <c r="H1779" s="284"/>
      <c r="I1779" s="284"/>
      <c r="J1779" s="284"/>
      <c r="K1779" s="284"/>
      <c r="L1779" s="284"/>
      <c r="M1779" s="113"/>
      <c r="N1779" s="113"/>
      <c r="O1779" s="335"/>
      <c r="T1779" s="340"/>
      <c r="V1779" s="342"/>
      <c r="W1779" s="64" ph="1"/>
      <c r="X1779" s="241"/>
      <c r="Y1779" s="284"/>
      <c r="Z1779" s="207"/>
      <c r="AA1779" s="284"/>
      <c r="AB1779" s="284"/>
      <c r="AC1779" s="284"/>
      <c r="AD1779" s="284"/>
      <c r="AE1779" s="284"/>
      <c r="AF1779" s="284"/>
      <c r="AG1779" s="284"/>
      <c r="AI1779" s="131"/>
    </row>
    <row r="1780" spans="1:35" ht="26.4">
      <c r="A1780" s="284"/>
      <c r="B1780" s="284"/>
      <c r="C1780" s="284"/>
      <c r="D1780" s="284"/>
      <c r="E1780" s="284"/>
      <c r="F1780" s="284"/>
      <c r="G1780" s="284"/>
      <c r="H1780" s="284"/>
      <c r="I1780" s="284"/>
      <c r="J1780" s="284"/>
      <c r="K1780" s="284"/>
      <c r="L1780" s="284"/>
      <c r="M1780" s="113"/>
      <c r="N1780" s="113"/>
      <c r="O1780" s="335"/>
      <c r="T1780" s="340"/>
      <c r="V1780" s="342"/>
      <c r="W1780" s="64" ph="1"/>
      <c r="X1780" s="241"/>
      <c r="Y1780" s="284"/>
      <c r="Z1780" s="207"/>
      <c r="AA1780" s="284"/>
      <c r="AB1780" s="284"/>
      <c r="AC1780" s="284"/>
      <c r="AD1780" s="284"/>
      <c r="AE1780" s="284"/>
      <c r="AF1780" s="284"/>
      <c r="AG1780" s="284"/>
      <c r="AI1780" s="131"/>
    </row>
    <row r="1781" spans="1:35" ht="26.4">
      <c r="A1781" s="284"/>
      <c r="B1781" s="284"/>
      <c r="C1781" s="284"/>
      <c r="D1781" s="284"/>
      <c r="E1781" s="284"/>
      <c r="F1781" s="284"/>
      <c r="G1781" s="284"/>
      <c r="H1781" s="284"/>
      <c r="I1781" s="284"/>
      <c r="J1781" s="284"/>
      <c r="K1781" s="284"/>
      <c r="L1781" s="284"/>
      <c r="M1781" s="113"/>
      <c r="N1781" s="113"/>
      <c r="O1781" s="335"/>
      <c r="T1781" s="340"/>
      <c r="V1781" s="342"/>
      <c r="W1781" s="64" ph="1"/>
      <c r="X1781" s="241"/>
      <c r="Y1781" s="284"/>
      <c r="Z1781" s="207"/>
      <c r="AA1781" s="284"/>
      <c r="AB1781" s="284"/>
      <c r="AC1781" s="284"/>
      <c r="AD1781" s="284"/>
      <c r="AE1781" s="284"/>
      <c r="AF1781" s="284"/>
      <c r="AG1781" s="284"/>
      <c r="AI1781" s="131"/>
    </row>
    <row r="1782" spans="1:35" ht="26.4">
      <c r="A1782" s="284"/>
      <c r="B1782" s="284"/>
      <c r="C1782" s="284"/>
      <c r="D1782" s="284"/>
      <c r="E1782" s="284"/>
      <c r="F1782" s="284"/>
      <c r="G1782" s="284"/>
      <c r="H1782" s="284"/>
      <c r="I1782" s="284"/>
      <c r="J1782" s="284"/>
      <c r="K1782" s="284"/>
      <c r="L1782" s="284"/>
      <c r="M1782" s="113"/>
      <c r="N1782" s="113"/>
      <c r="O1782" s="335"/>
      <c r="T1782" s="340"/>
      <c r="V1782" s="342"/>
      <c r="W1782" s="64" ph="1"/>
      <c r="X1782" s="241"/>
      <c r="Y1782" s="284"/>
      <c r="Z1782" s="207"/>
      <c r="AA1782" s="284"/>
      <c r="AB1782" s="284"/>
      <c r="AC1782" s="284"/>
      <c r="AD1782" s="284"/>
      <c r="AE1782" s="284"/>
      <c r="AF1782" s="284"/>
      <c r="AG1782" s="284"/>
      <c r="AI1782" s="131"/>
    </row>
    <row r="1783" spans="1:35" ht="26.4">
      <c r="A1783" s="284"/>
      <c r="B1783" s="284"/>
      <c r="C1783" s="284"/>
      <c r="D1783" s="284"/>
      <c r="E1783" s="284"/>
      <c r="F1783" s="284"/>
      <c r="G1783" s="284"/>
      <c r="H1783" s="284"/>
      <c r="I1783" s="284"/>
      <c r="J1783" s="284"/>
      <c r="K1783" s="284"/>
      <c r="L1783" s="284"/>
      <c r="M1783" s="113"/>
      <c r="N1783" s="113"/>
      <c r="O1783" s="335"/>
      <c r="T1783" s="340"/>
      <c r="V1783" s="342"/>
      <c r="W1783" s="64" ph="1"/>
      <c r="X1783" s="241"/>
      <c r="Y1783" s="284"/>
      <c r="Z1783" s="207"/>
      <c r="AA1783" s="284"/>
      <c r="AB1783" s="284"/>
      <c r="AC1783" s="284"/>
      <c r="AD1783" s="284"/>
      <c r="AE1783" s="284"/>
      <c r="AF1783" s="284"/>
      <c r="AG1783" s="284"/>
      <c r="AI1783" s="131"/>
    </row>
    <row r="1784" spans="1:35" ht="26.4">
      <c r="A1784" s="284"/>
      <c r="B1784" s="284"/>
      <c r="C1784" s="284"/>
      <c r="D1784" s="284"/>
      <c r="E1784" s="284"/>
      <c r="F1784" s="284"/>
      <c r="G1784" s="284"/>
      <c r="H1784" s="284"/>
      <c r="I1784" s="284"/>
      <c r="J1784" s="284"/>
      <c r="K1784" s="284"/>
      <c r="L1784" s="284"/>
      <c r="M1784" s="113"/>
      <c r="N1784" s="113"/>
      <c r="O1784" s="335"/>
      <c r="T1784" s="340"/>
      <c r="V1784" s="342"/>
      <c r="W1784" s="64" ph="1"/>
      <c r="X1784" s="241"/>
      <c r="Y1784" s="284"/>
      <c r="Z1784" s="207"/>
      <c r="AA1784" s="284"/>
      <c r="AB1784" s="284"/>
      <c r="AC1784" s="284"/>
      <c r="AD1784" s="284"/>
      <c r="AE1784" s="284"/>
      <c r="AF1784" s="284"/>
      <c r="AG1784" s="284"/>
      <c r="AI1784" s="131"/>
    </row>
    <row r="1785" spans="1:35" ht="26.4">
      <c r="A1785" s="284"/>
      <c r="B1785" s="284"/>
      <c r="C1785" s="284"/>
      <c r="D1785" s="284"/>
      <c r="E1785" s="284"/>
      <c r="F1785" s="284"/>
      <c r="G1785" s="284"/>
      <c r="H1785" s="284"/>
      <c r="I1785" s="284"/>
      <c r="J1785" s="284"/>
      <c r="K1785" s="284"/>
      <c r="L1785" s="284"/>
      <c r="M1785" s="113"/>
      <c r="N1785" s="113"/>
      <c r="O1785" s="335"/>
      <c r="T1785" s="340"/>
      <c r="V1785" s="342"/>
      <c r="W1785" s="64" ph="1"/>
      <c r="X1785" s="241"/>
      <c r="Y1785" s="284"/>
      <c r="Z1785" s="207"/>
      <c r="AA1785" s="284"/>
      <c r="AB1785" s="284"/>
      <c r="AC1785" s="284"/>
      <c r="AD1785" s="284"/>
      <c r="AE1785" s="284"/>
      <c r="AF1785" s="284"/>
      <c r="AG1785" s="284"/>
      <c r="AI1785" s="131"/>
    </row>
    <row r="1786" spans="1:35" ht="26.4">
      <c r="A1786" s="284"/>
      <c r="B1786" s="284"/>
      <c r="C1786" s="284"/>
      <c r="D1786" s="284"/>
      <c r="E1786" s="284"/>
      <c r="F1786" s="284"/>
      <c r="G1786" s="284"/>
      <c r="H1786" s="284"/>
      <c r="I1786" s="284"/>
      <c r="J1786" s="284"/>
      <c r="K1786" s="284"/>
      <c r="L1786" s="284"/>
      <c r="M1786" s="113"/>
      <c r="N1786" s="113"/>
      <c r="O1786" s="335"/>
      <c r="T1786" s="340"/>
      <c r="V1786" s="342"/>
      <c r="W1786" s="64" ph="1"/>
      <c r="X1786" s="241"/>
      <c r="Y1786" s="284"/>
      <c r="Z1786" s="207"/>
      <c r="AA1786" s="284"/>
      <c r="AB1786" s="284"/>
      <c r="AC1786" s="284"/>
      <c r="AD1786" s="284"/>
      <c r="AE1786" s="284"/>
      <c r="AF1786" s="284"/>
      <c r="AG1786" s="284"/>
      <c r="AI1786" s="131"/>
    </row>
    <row r="1787" spans="1:35" ht="26.4">
      <c r="A1787" s="284"/>
      <c r="B1787" s="284"/>
      <c r="C1787" s="284"/>
      <c r="D1787" s="284"/>
      <c r="E1787" s="284"/>
      <c r="F1787" s="284"/>
      <c r="G1787" s="284"/>
      <c r="H1787" s="284"/>
      <c r="I1787" s="284"/>
      <c r="J1787" s="284"/>
      <c r="K1787" s="284"/>
      <c r="L1787" s="284"/>
      <c r="M1787" s="113"/>
      <c r="N1787" s="113"/>
      <c r="O1787" s="335"/>
      <c r="T1787" s="340"/>
      <c r="V1787" s="342"/>
      <c r="W1787" s="64" ph="1"/>
      <c r="X1787" s="241"/>
      <c r="Y1787" s="284"/>
      <c r="Z1787" s="207"/>
      <c r="AA1787" s="284"/>
      <c r="AB1787" s="284"/>
      <c r="AC1787" s="284"/>
      <c r="AD1787" s="284"/>
      <c r="AE1787" s="284"/>
      <c r="AF1787" s="284"/>
      <c r="AG1787" s="284"/>
      <c r="AI1787" s="131"/>
    </row>
    <row r="1788" spans="1:35" ht="26.4">
      <c r="A1788" s="284"/>
      <c r="B1788" s="284"/>
      <c r="C1788" s="284"/>
      <c r="D1788" s="284"/>
      <c r="E1788" s="284"/>
      <c r="F1788" s="284"/>
      <c r="G1788" s="284"/>
      <c r="H1788" s="284"/>
      <c r="I1788" s="284"/>
      <c r="J1788" s="284"/>
      <c r="K1788" s="284"/>
      <c r="L1788" s="284"/>
      <c r="M1788" s="113"/>
      <c r="N1788" s="113"/>
      <c r="O1788" s="335"/>
      <c r="T1788" s="340"/>
      <c r="V1788" s="342"/>
      <c r="W1788" s="64" ph="1"/>
      <c r="X1788" s="241"/>
      <c r="Y1788" s="284"/>
      <c r="Z1788" s="207"/>
      <c r="AA1788" s="284"/>
      <c r="AB1788" s="284"/>
      <c r="AC1788" s="284"/>
      <c r="AD1788" s="284"/>
      <c r="AE1788" s="284"/>
      <c r="AF1788" s="284"/>
      <c r="AG1788" s="284"/>
      <c r="AI1788" s="131"/>
    </row>
    <row r="1789" spans="1:35" ht="26.4">
      <c r="A1789" s="284"/>
      <c r="B1789" s="284"/>
      <c r="C1789" s="284"/>
      <c r="D1789" s="284"/>
      <c r="E1789" s="284"/>
      <c r="F1789" s="284"/>
      <c r="G1789" s="284"/>
      <c r="H1789" s="284"/>
      <c r="I1789" s="284"/>
      <c r="J1789" s="284"/>
      <c r="K1789" s="284"/>
      <c r="L1789" s="284"/>
      <c r="M1789" s="113"/>
      <c r="N1789" s="113"/>
      <c r="O1789" s="335"/>
      <c r="T1789" s="340"/>
      <c r="V1789" s="342"/>
      <c r="W1789" s="64" ph="1"/>
      <c r="X1789" s="241"/>
      <c r="Y1789" s="284"/>
      <c r="Z1789" s="207"/>
      <c r="AA1789" s="284"/>
      <c r="AB1789" s="284"/>
      <c r="AC1789" s="284"/>
      <c r="AD1789" s="284"/>
      <c r="AE1789" s="284"/>
      <c r="AF1789" s="284"/>
      <c r="AG1789" s="284"/>
      <c r="AI1789" s="131"/>
    </row>
    <row r="1790" spans="1:35" ht="26.4">
      <c r="A1790" s="284"/>
      <c r="B1790" s="284"/>
      <c r="C1790" s="284"/>
      <c r="D1790" s="284"/>
      <c r="E1790" s="284"/>
      <c r="F1790" s="284"/>
      <c r="G1790" s="284"/>
      <c r="H1790" s="284"/>
      <c r="I1790" s="284"/>
      <c r="J1790" s="284"/>
      <c r="K1790" s="284"/>
      <c r="L1790" s="284"/>
      <c r="M1790" s="113"/>
      <c r="N1790" s="113"/>
      <c r="O1790" s="335"/>
      <c r="T1790" s="340"/>
      <c r="V1790" s="342"/>
      <c r="W1790" s="64" ph="1"/>
      <c r="X1790" s="241"/>
      <c r="Y1790" s="284"/>
      <c r="Z1790" s="207"/>
      <c r="AA1790" s="284"/>
      <c r="AB1790" s="284"/>
      <c r="AC1790" s="284"/>
      <c r="AD1790" s="284"/>
      <c r="AE1790" s="284"/>
      <c r="AF1790" s="284"/>
      <c r="AG1790" s="284"/>
      <c r="AI1790" s="131"/>
    </row>
    <row r="1791" spans="1:35" ht="26.4">
      <c r="A1791" s="284"/>
      <c r="B1791" s="284"/>
      <c r="C1791" s="284"/>
      <c r="D1791" s="284"/>
      <c r="E1791" s="284"/>
      <c r="F1791" s="284"/>
      <c r="G1791" s="284"/>
      <c r="H1791" s="284"/>
      <c r="I1791" s="284"/>
      <c r="J1791" s="284"/>
      <c r="K1791" s="284"/>
      <c r="L1791" s="284"/>
      <c r="M1791" s="113"/>
      <c r="N1791" s="113"/>
      <c r="O1791" s="335"/>
      <c r="T1791" s="340"/>
      <c r="V1791" s="342"/>
      <c r="W1791" s="64" ph="1"/>
      <c r="X1791" s="241"/>
      <c r="Y1791" s="284"/>
      <c r="Z1791" s="207"/>
      <c r="AA1791" s="284"/>
      <c r="AB1791" s="284"/>
      <c r="AC1791" s="284"/>
      <c r="AD1791" s="284"/>
      <c r="AE1791" s="284"/>
      <c r="AF1791" s="284"/>
      <c r="AG1791" s="284"/>
      <c r="AI1791" s="131"/>
    </row>
    <row r="1792" spans="1:35" ht="26.4">
      <c r="A1792" s="284"/>
      <c r="B1792" s="284"/>
      <c r="C1792" s="284"/>
      <c r="D1792" s="284"/>
      <c r="E1792" s="284"/>
      <c r="F1792" s="284"/>
      <c r="G1792" s="284"/>
      <c r="H1792" s="284"/>
      <c r="I1792" s="284"/>
      <c r="J1792" s="284"/>
      <c r="K1792" s="284"/>
      <c r="L1792" s="284"/>
      <c r="M1792" s="113"/>
      <c r="N1792" s="113"/>
      <c r="O1792" s="335"/>
      <c r="T1792" s="340"/>
      <c r="V1792" s="342"/>
      <c r="W1792" s="64" ph="1"/>
      <c r="X1792" s="241"/>
      <c r="Y1792" s="284"/>
      <c r="Z1792" s="207"/>
      <c r="AA1792" s="284"/>
      <c r="AB1792" s="284"/>
      <c r="AC1792" s="284"/>
      <c r="AD1792" s="284"/>
      <c r="AE1792" s="284"/>
      <c r="AF1792" s="284"/>
      <c r="AG1792" s="284"/>
      <c r="AI1792" s="131"/>
    </row>
    <row r="1793" spans="1:35" ht="26.4">
      <c r="A1793" s="284"/>
      <c r="B1793" s="284"/>
      <c r="C1793" s="284"/>
      <c r="D1793" s="284"/>
      <c r="E1793" s="284"/>
      <c r="F1793" s="284"/>
      <c r="G1793" s="284"/>
      <c r="H1793" s="284"/>
      <c r="I1793" s="284"/>
      <c r="J1793" s="284"/>
      <c r="K1793" s="284"/>
      <c r="L1793" s="284"/>
      <c r="M1793" s="113"/>
      <c r="N1793" s="113"/>
      <c r="O1793" s="335"/>
      <c r="T1793" s="340"/>
      <c r="V1793" s="342"/>
      <c r="W1793" s="64" ph="1"/>
      <c r="X1793" s="241"/>
      <c r="Y1793" s="284"/>
      <c r="Z1793" s="207"/>
      <c r="AA1793" s="284"/>
      <c r="AB1793" s="284"/>
      <c r="AC1793" s="284"/>
      <c r="AD1793" s="284"/>
      <c r="AE1793" s="284"/>
      <c r="AF1793" s="284"/>
      <c r="AG1793" s="284"/>
      <c r="AI1793" s="131"/>
    </row>
    <row r="1794" spans="1:35" ht="26.4">
      <c r="A1794" s="284"/>
      <c r="B1794" s="284"/>
      <c r="C1794" s="284"/>
      <c r="D1794" s="284"/>
      <c r="E1794" s="284"/>
      <c r="F1794" s="284"/>
      <c r="G1794" s="284"/>
      <c r="H1794" s="284"/>
      <c r="I1794" s="284"/>
      <c r="J1794" s="284"/>
      <c r="K1794" s="284"/>
      <c r="L1794" s="284"/>
      <c r="M1794" s="113"/>
      <c r="N1794" s="113"/>
      <c r="O1794" s="335"/>
      <c r="T1794" s="340"/>
      <c r="V1794" s="342"/>
      <c r="W1794" s="64" ph="1"/>
      <c r="X1794" s="241"/>
      <c r="Y1794" s="284"/>
      <c r="Z1794" s="207"/>
      <c r="AA1794" s="284"/>
      <c r="AB1794" s="284"/>
      <c r="AC1794" s="284"/>
      <c r="AD1794" s="284"/>
      <c r="AE1794" s="284"/>
      <c r="AF1794" s="284"/>
      <c r="AG1794" s="284"/>
      <c r="AI1794" s="131"/>
    </row>
    <row r="1795" spans="1:35" ht="26.4">
      <c r="A1795" s="284"/>
      <c r="B1795" s="284"/>
      <c r="C1795" s="284"/>
      <c r="D1795" s="284"/>
      <c r="E1795" s="284"/>
      <c r="F1795" s="284"/>
      <c r="G1795" s="284"/>
      <c r="H1795" s="284"/>
      <c r="I1795" s="284"/>
      <c r="J1795" s="284"/>
      <c r="K1795" s="284"/>
      <c r="L1795" s="284"/>
      <c r="M1795" s="113"/>
      <c r="N1795" s="113"/>
      <c r="O1795" s="335"/>
      <c r="T1795" s="340"/>
      <c r="V1795" s="342"/>
      <c r="W1795" s="64" ph="1"/>
      <c r="X1795" s="241"/>
      <c r="Y1795" s="284"/>
      <c r="Z1795" s="207"/>
      <c r="AA1795" s="284"/>
      <c r="AB1795" s="284"/>
      <c r="AC1795" s="284"/>
      <c r="AD1795" s="284"/>
      <c r="AE1795" s="284"/>
      <c r="AF1795" s="284"/>
      <c r="AG1795" s="284"/>
      <c r="AI1795" s="131"/>
    </row>
    <row r="1796" spans="1:35" ht="26.4">
      <c r="A1796" s="284"/>
      <c r="B1796" s="284"/>
      <c r="C1796" s="284"/>
      <c r="D1796" s="284"/>
      <c r="E1796" s="284"/>
      <c r="F1796" s="284"/>
      <c r="G1796" s="284"/>
      <c r="H1796" s="284"/>
      <c r="I1796" s="284"/>
      <c r="J1796" s="284"/>
      <c r="K1796" s="284"/>
      <c r="L1796" s="284"/>
      <c r="M1796" s="113"/>
      <c r="N1796" s="113"/>
      <c r="O1796" s="335"/>
      <c r="T1796" s="340"/>
      <c r="V1796" s="342"/>
      <c r="W1796" s="64" ph="1"/>
      <c r="X1796" s="241"/>
      <c r="Y1796" s="284"/>
      <c r="Z1796" s="207"/>
      <c r="AA1796" s="284"/>
      <c r="AB1796" s="284"/>
      <c r="AC1796" s="284"/>
      <c r="AD1796" s="284"/>
      <c r="AE1796" s="284"/>
      <c r="AF1796" s="284"/>
      <c r="AG1796" s="284"/>
      <c r="AI1796" s="131"/>
    </row>
    <row r="1797" spans="1:35" ht="26.4">
      <c r="A1797" s="284"/>
      <c r="B1797" s="284"/>
      <c r="C1797" s="284"/>
      <c r="D1797" s="284"/>
      <c r="E1797" s="284"/>
      <c r="F1797" s="284"/>
      <c r="G1797" s="284"/>
      <c r="H1797" s="284"/>
      <c r="I1797" s="284"/>
      <c r="J1797" s="284"/>
      <c r="K1797" s="284"/>
      <c r="L1797" s="284"/>
      <c r="M1797" s="113"/>
      <c r="N1797" s="113"/>
      <c r="O1797" s="335"/>
      <c r="T1797" s="340"/>
      <c r="V1797" s="342"/>
      <c r="W1797" s="64" ph="1"/>
      <c r="X1797" s="241"/>
      <c r="Y1797" s="284"/>
      <c r="Z1797" s="207"/>
      <c r="AA1797" s="284"/>
      <c r="AB1797" s="284"/>
      <c r="AC1797" s="284"/>
      <c r="AD1797" s="284"/>
      <c r="AE1797" s="284"/>
      <c r="AF1797" s="284"/>
      <c r="AG1797" s="284"/>
      <c r="AI1797" s="131"/>
    </row>
    <row r="1798" spans="1:35" ht="26.4">
      <c r="A1798" s="284"/>
      <c r="B1798" s="284"/>
      <c r="C1798" s="284"/>
      <c r="D1798" s="284"/>
      <c r="E1798" s="284"/>
      <c r="F1798" s="284"/>
      <c r="G1798" s="284"/>
      <c r="H1798" s="284"/>
      <c r="I1798" s="284"/>
      <c r="J1798" s="284"/>
      <c r="K1798" s="284"/>
      <c r="L1798" s="284"/>
      <c r="M1798" s="113"/>
      <c r="N1798" s="113"/>
      <c r="O1798" s="335"/>
      <c r="T1798" s="340"/>
      <c r="V1798" s="342"/>
      <c r="W1798" s="64" ph="1"/>
      <c r="X1798" s="241"/>
      <c r="Y1798" s="284"/>
      <c r="Z1798" s="207"/>
      <c r="AA1798" s="284"/>
      <c r="AB1798" s="284"/>
      <c r="AC1798" s="284"/>
      <c r="AD1798" s="284"/>
      <c r="AE1798" s="284"/>
      <c r="AF1798" s="284"/>
      <c r="AG1798" s="284"/>
      <c r="AI1798" s="131"/>
    </row>
    <row r="1799" spans="1:35" ht="26.4">
      <c r="A1799" s="284"/>
      <c r="B1799" s="284"/>
      <c r="C1799" s="284"/>
      <c r="D1799" s="284"/>
      <c r="E1799" s="284"/>
      <c r="F1799" s="284"/>
      <c r="G1799" s="284"/>
      <c r="H1799" s="284"/>
      <c r="I1799" s="284"/>
      <c r="J1799" s="284"/>
      <c r="K1799" s="284"/>
      <c r="L1799" s="284"/>
      <c r="M1799" s="113"/>
      <c r="N1799" s="113"/>
      <c r="O1799" s="335"/>
      <c r="T1799" s="340"/>
      <c r="V1799" s="342"/>
      <c r="W1799" s="64" ph="1"/>
      <c r="X1799" s="241"/>
      <c r="Y1799" s="284"/>
      <c r="Z1799" s="207"/>
      <c r="AA1799" s="284"/>
      <c r="AB1799" s="284"/>
      <c r="AC1799" s="284"/>
      <c r="AD1799" s="284"/>
      <c r="AE1799" s="284"/>
      <c r="AF1799" s="284"/>
      <c r="AG1799" s="284"/>
      <c r="AI1799" s="131"/>
    </row>
    <row r="1800" spans="1:35" ht="26.4">
      <c r="A1800" s="284"/>
      <c r="B1800" s="284"/>
      <c r="C1800" s="284"/>
      <c r="D1800" s="284"/>
      <c r="E1800" s="284"/>
      <c r="F1800" s="284"/>
      <c r="G1800" s="284"/>
      <c r="H1800" s="284"/>
      <c r="I1800" s="284"/>
      <c r="J1800" s="284"/>
      <c r="K1800" s="284"/>
      <c r="L1800" s="284"/>
      <c r="M1800" s="113"/>
      <c r="N1800" s="113"/>
      <c r="O1800" s="335"/>
      <c r="T1800" s="340"/>
      <c r="V1800" s="342"/>
      <c r="W1800" s="64" ph="1"/>
      <c r="X1800" s="241"/>
      <c r="Y1800" s="284"/>
      <c r="Z1800" s="207"/>
      <c r="AA1800" s="284"/>
      <c r="AB1800" s="284"/>
      <c r="AC1800" s="284"/>
      <c r="AD1800" s="284"/>
      <c r="AE1800" s="284"/>
      <c r="AF1800" s="284"/>
      <c r="AG1800" s="284"/>
      <c r="AI1800" s="131"/>
    </row>
    <row r="1801" spans="1:35" ht="26.4">
      <c r="A1801" s="284"/>
      <c r="B1801" s="284"/>
      <c r="C1801" s="284"/>
      <c r="D1801" s="284"/>
      <c r="E1801" s="284"/>
      <c r="F1801" s="284"/>
      <c r="G1801" s="284"/>
      <c r="H1801" s="284"/>
      <c r="I1801" s="284"/>
      <c r="J1801" s="284"/>
      <c r="K1801" s="284"/>
      <c r="L1801" s="284"/>
      <c r="M1801" s="113"/>
      <c r="N1801" s="113"/>
      <c r="O1801" s="335"/>
      <c r="T1801" s="340"/>
      <c r="V1801" s="342"/>
      <c r="W1801" s="64" ph="1"/>
      <c r="X1801" s="241"/>
      <c r="Y1801" s="284"/>
      <c r="Z1801" s="207"/>
      <c r="AA1801" s="284"/>
      <c r="AB1801" s="284"/>
      <c r="AC1801" s="284"/>
      <c r="AD1801" s="284"/>
      <c r="AE1801" s="284"/>
      <c r="AF1801" s="284"/>
      <c r="AG1801" s="284"/>
      <c r="AI1801" s="131"/>
    </row>
    <row r="1802" spans="1:35" ht="26.4">
      <c r="A1802" s="284"/>
      <c r="B1802" s="284"/>
      <c r="C1802" s="284"/>
      <c r="D1802" s="284"/>
      <c r="E1802" s="284"/>
      <c r="F1802" s="284"/>
      <c r="G1802" s="284"/>
      <c r="H1802" s="284"/>
      <c r="I1802" s="284"/>
      <c r="J1802" s="284"/>
      <c r="K1802" s="284"/>
      <c r="L1802" s="284"/>
      <c r="M1802" s="113"/>
      <c r="N1802" s="113"/>
      <c r="O1802" s="335"/>
      <c r="T1802" s="340"/>
      <c r="V1802" s="342"/>
      <c r="W1802" s="64" ph="1"/>
      <c r="X1802" s="241"/>
      <c r="Y1802" s="284"/>
      <c r="Z1802" s="207"/>
      <c r="AA1802" s="284"/>
      <c r="AB1802" s="284"/>
      <c r="AC1802" s="284"/>
      <c r="AD1802" s="284"/>
      <c r="AE1802" s="284"/>
      <c r="AF1802" s="284"/>
      <c r="AG1802" s="284"/>
      <c r="AI1802" s="131"/>
    </row>
    <row r="1803" spans="1:35" ht="26.4">
      <c r="A1803" s="284"/>
      <c r="B1803" s="284"/>
      <c r="C1803" s="284"/>
      <c r="D1803" s="284"/>
      <c r="E1803" s="284"/>
      <c r="F1803" s="284"/>
      <c r="G1803" s="284"/>
      <c r="H1803" s="284"/>
      <c r="I1803" s="284"/>
      <c r="J1803" s="284"/>
      <c r="K1803" s="284"/>
      <c r="L1803" s="284"/>
      <c r="M1803" s="113"/>
      <c r="N1803" s="113"/>
      <c r="O1803" s="335"/>
      <c r="T1803" s="340"/>
      <c r="V1803" s="342"/>
      <c r="W1803" s="64" ph="1"/>
      <c r="X1803" s="241"/>
      <c r="Y1803" s="284"/>
      <c r="Z1803" s="207"/>
      <c r="AA1803" s="284"/>
      <c r="AB1803" s="284"/>
      <c r="AC1803" s="284"/>
      <c r="AD1803" s="284"/>
      <c r="AE1803" s="284"/>
      <c r="AF1803" s="284"/>
      <c r="AG1803" s="284"/>
      <c r="AI1803" s="131"/>
    </row>
    <row r="1804" spans="1:35" ht="26.4">
      <c r="A1804" s="284"/>
      <c r="B1804" s="284"/>
      <c r="C1804" s="284"/>
      <c r="D1804" s="284"/>
      <c r="E1804" s="284"/>
      <c r="F1804" s="284"/>
      <c r="G1804" s="284"/>
      <c r="H1804" s="284"/>
      <c r="I1804" s="284"/>
      <c r="J1804" s="284"/>
      <c r="K1804" s="284"/>
      <c r="L1804" s="284"/>
      <c r="M1804" s="113"/>
      <c r="N1804" s="113"/>
      <c r="O1804" s="335"/>
      <c r="T1804" s="340"/>
      <c r="V1804" s="342"/>
      <c r="W1804" s="64" ph="1"/>
      <c r="X1804" s="241"/>
      <c r="Y1804" s="284"/>
      <c r="Z1804" s="207"/>
      <c r="AA1804" s="284"/>
      <c r="AB1804" s="284"/>
      <c r="AC1804" s="284"/>
      <c r="AD1804" s="284"/>
      <c r="AE1804" s="284"/>
      <c r="AF1804" s="284"/>
      <c r="AG1804" s="284"/>
      <c r="AI1804" s="131"/>
    </row>
    <row r="1805" spans="1:35" ht="26.4">
      <c r="A1805" s="284"/>
      <c r="B1805" s="284"/>
      <c r="C1805" s="284"/>
      <c r="D1805" s="284"/>
      <c r="E1805" s="284"/>
      <c r="F1805" s="284"/>
      <c r="G1805" s="284"/>
      <c r="H1805" s="284"/>
      <c r="I1805" s="284"/>
      <c r="J1805" s="284"/>
      <c r="K1805" s="284"/>
      <c r="L1805" s="284"/>
      <c r="M1805" s="113"/>
      <c r="N1805" s="113"/>
      <c r="O1805" s="335"/>
      <c r="T1805" s="340"/>
      <c r="V1805" s="342"/>
      <c r="W1805" s="64" ph="1"/>
      <c r="X1805" s="241"/>
      <c r="Y1805" s="284"/>
      <c r="Z1805" s="207"/>
      <c r="AA1805" s="284"/>
      <c r="AB1805" s="284"/>
      <c r="AC1805" s="284"/>
      <c r="AD1805" s="284"/>
      <c r="AE1805" s="284"/>
      <c r="AF1805" s="284"/>
      <c r="AG1805" s="284"/>
      <c r="AI1805" s="131"/>
    </row>
    <row r="1806" spans="1:35" ht="26.4">
      <c r="A1806" s="284"/>
      <c r="B1806" s="284"/>
      <c r="C1806" s="284"/>
      <c r="D1806" s="284"/>
      <c r="E1806" s="284"/>
      <c r="F1806" s="284"/>
      <c r="G1806" s="284"/>
      <c r="H1806" s="284"/>
      <c r="I1806" s="284"/>
      <c r="J1806" s="284"/>
      <c r="K1806" s="284"/>
      <c r="L1806" s="284"/>
      <c r="M1806" s="113"/>
      <c r="N1806" s="113"/>
      <c r="O1806" s="335"/>
      <c r="T1806" s="340"/>
      <c r="V1806" s="342"/>
      <c r="W1806" s="64" ph="1"/>
      <c r="X1806" s="241"/>
      <c r="Y1806" s="284"/>
      <c r="Z1806" s="207"/>
      <c r="AA1806" s="284"/>
      <c r="AB1806" s="284"/>
      <c r="AC1806" s="284"/>
      <c r="AD1806" s="284"/>
      <c r="AE1806" s="284"/>
      <c r="AF1806" s="284"/>
      <c r="AG1806" s="284"/>
      <c r="AI1806" s="131"/>
    </row>
    <row r="1807" spans="1:35" ht="26.4">
      <c r="A1807" s="284"/>
      <c r="B1807" s="284"/>
      <c r="C1807" s="284"/>
      <c r="D1807" s="284"/>
      <c r="E1807" s="284"/>
      <c r="F1807" s="284"/>
      <c r="G1807" s="284"/>
      <c r="H1807" s="284"/>
      <c r="I1807" s="284"/>
      <c r="J1807" s="284"/>
      <c r="K1807" s="284"/>
      <c r="L1807" s="284"/>
      <c r="M1807" s="113"/>
      <c r="N1807" s="113"/>
      <c r="O1807" s="335"/>
      <c r="T1807" s="340"/>
      <c r="V1807" s="342"/>
      <c r="W1807" s="64" ph="1"/>
      <c r="X1807" s="241"/>
      <c r="Y1807" s="284"/>
      <c r="Z1807" s="207"/>
      <c r="AA1807" s="284"/>
      <c r="AB1807" s="284"/>
      <c r="AC1807" s="284"/>
      <c r="AD1807" s="284"/>
      <c r="AE1807" s="284"/>
      <c r="AF1807" s="284"/>
      <c r="AG1807" s="284"/>
      <c r="AI1807" s="131"/>
    </row>
    <row r="1808" spans="1:35" ht="26.4">
      <c r="A1808" s="284"/>
      <c r="B1808" s="284"/>
      <c r="C1808" s="284"/>
      <c r="D1808" s="284"/>
      <c r="E1808" s="284"/>
      <c r="F1808" s="284"/>
      <c r="G1808" s="284"/>
      <c r="H1808" s="284"/>
      <c r="I1808" s="284"/>
      <c r="J1808" s="284"/>
      <c r="K1808" s="284"/>
      <c r="L1808" s="284"/>
      <c r="M1808" s="113"/>
      <c r="N1808" s="113"/>
      <c r="O1808" s="335"/>
      <c r="T1808" s="340"/>
      <c r="V1808" s="342"/>
      <c r="W1808" s="64" ph="1"/>
      <c r="X1808" s="241"/>
      <c r="Y1808" s="284"/>
      <c r="Z1808" s="207"/>
      <c r="AA1808" s="284"/>
      <c r="AB1808" s="284"/>
      <c r="AC1808" s="284"/>
      <c r="AD1808" s="284"/>
      <c r="AE1808" s="284"/>
      <c r="AF1808" s="284"/>
      <c r="AG1808" s="284"/>
      <c r="AI1808" s="131"/>
    </row>
    <row r="1809" spans="1:35" ht="26.4">
      <c r="A1809" s="284"/>
      <c r="B1809" s="284"/>
      <c r="C1809" s="284"/>
      <c r="D1809" s="284"/>
      <c r="E1809" s="284"/>
      <c r="F1809" s="284"/>
      <c r="G1809" s="284"/>
      <c r="H1809" s="284"/>
      <c r="I1809" s="284"/>
      <c r="J1809" s="284"/>
      <c r="K1809" s="284"/>
      <c r="L1809" s="284"/>
      <c r="M1809" s="113"/>
      <c r="N1809" s="113"/>
      <c r="O1809" s="335"/>
      <c r="T1809" s="340"/>
      <c r="V1809" s="342"/>
      <c r="W1809" s="64" ph="1"/>
      <c r="X1809" s="241"/>
      <c r="Y1809" s="284"/>
      <c r="Z1809" s="207"/>
      <c r="AA1809" s="284"/>
      <c r="AB1809" s="284"/>
      <c r="AC1809" s="284"/>
      <c r="AD1809" s="284"/>
      <c r="AE1809" s="284"/>
      <c r="AF1809" s="284"/>
      <c r="AG1809" s="284"/>
      <c r="AI1809" s="131"/>
    </row>
    <row r="1810" spans="1:35" ht="26.4">
      <c r="A1810" s="284"/>
      <c r="B1810" s="284"/>
      <c r="C1810" s="284"/>
      <c r="D1810" s="284"/>
      <c r="E1810" s="284"/>
      <c r="F1810" s="284"/>
      <c r="G1810" s="284"/>
      <c r="H1810" s="284"/>
      <c r="I1810" s="284"/>
      <c r="J1810" s="284"/>
      <c r="K1810" s="284"/>
      <c r="L1810" s="284"/>
      <c r="M1810" s="113"/>
      <c r="N1810" s="113"/>
      <c r="O1810" s="335"/>
      <c r="T1810" s="340"/>
      <c r="V1810" s="342"/>
      <c r="W1810" s="64" ph="1"/>
      <c r="X1810" s="241"/>
      <c r="Y1810" s="284"/>
      <c r="Z1810" s="207"/>
      <c r="AA1810" s="284"/>
      <c r="AB1810" s="284"/>
      <c r="AC1810" s="284"/>
      <c r="AD1810" s="284"/>
      <c r="AE1810" s="284"/>
      <c r="AF1810" s="284"/>
      <c r="AG1810" s="284"/>
      <c r="AI1810" s="128"/>
    </row>
    <row r="1811" spans="1:35" ht="26.4">
      <c r="A1811" s="284"/>
      <c r="B1811" s="284"/>
      <c r="C1811" s="284"/>
      <c r="D1811" s="284"/>
      <c r="E1811" s="284"/>
      <c r="F1811" s="284"/>
      <c r="G1811" s="284"/>
      <c r="H1811" s="284"/>
      <c r="I1811" s="284"/>
      <c r="J1811" s="284"/>
      <c r="K1811" s="284"/>
      <c r="L1811" s="284"/>
      <c r="M1811" s="113"/>
      <c r="N1811" s="113"/>
      <c r="O1811" s="335"/>
      <c r="T1811" s="340"/>
      <c r="V1811" s="342"/>
      <c r="W1811" s="64" ph="1"/>
      <c r="X1811" s="241"/>
      <c r="Y1811" s="284"/>
      <c r="Z1811" s="207"/>
      <c r="AA1811" s="284"/>
      <c r="AB1811" s="284"/>
      <c r="AC1811" s="284"/>
      <c r="AD1811" s="284"/>
      <c r="AE1811" s="284"/>
      <c r="AF1811" s="284"/>
      <c r="AG1811" s="284"/>
      <c r="AI1811" s="131"/>
    </row>
    <row r="1812" spans="1:35" ht="26.4">
      <c r="A1812" s="284"/>
      <c r="B1812" s="284"/>
      <c r="C1812" s="284"/>
      <c r="D1812" s="284"/>
      <c r="E1812" s="284"/>
      <c r="F1812" s="284"/>
      <c r="G1812" s="284"/>
      <c r="H1812" s="284"/>
      <c r="I1812" s="284"/>
      <c r="J1812" s="284"/>
      <c r="K1812" s="284"/>
      <c r="L1812" s="284"/>
      <c r="M1812" s="113"/>
      <c r="N1812" s="113"/>
      <c r="O1812" s="335"/>
      <c r="T1812" s="340"/>
      <c r="V1812" s="342"/>
      <c r="W1812" s="64" ph="1"/>
      <c r="X1812" s="241"/>
      <c r="Y1812" s="284"/>
      <c r="Z1812" s="207"/>
      <c r="AA1812" s="284"/>
      <c r="AB1812" s="284"/>
      <c r="AC1812" s="284"/>
      <c r="AD1812" s="284"/>
      <c r="AE1812" s="284"/>
      <c r="AF1812" s="284"/>
      <c r="AG1812" s="284"/>
      <c r="AI1812" s="131"/>
    </row>
    <row r="1813" spans="1:35" ht="26.4">
      <c r="A1813" s="284"/>
      <c r="B1813" s="284"/>
      <c r="C1813" s="284"/>
      <c r="D1813" s="284"/>
      <c r="E1813" s="284"/>
      <c r="F1813" s="284"/>
      <c r="G1813" s="284"/>
      <c r="H1813" s="284"/>
      <c r="I1813" s="284"/>
      <c r="J1813" s="284"/>
      <c r="K1813" s="284"/>
      <c r="L1813" s="284"/>
      <c r="M1813" s="113"/>
      <c r="N1813" s="113"/>
      <c r="O1813" s="335"/>
      <c r="T1813" s="340"/>
      <c r="V1813" s="342"/>
      <c r="W1813" s="64" ph="1"/>
      <c r="X1813" s="241"/>
      <c r="Y1813" s="284"/>
      <c r="Z1813" s="207"/>
      <c r="AA1813" s="284"/>
      <c r="AB1813" s="284"/>
      <c r="AC1813" s="284"/>
      <c r="AD1813" s="284"/>
      <c r="AE1813" s="284"/>
      <c r="AF1813" s="284"/>
      <c r="AG1813" s="284"/>
      <c r="AI1813" s="131"/>
    </row>
    <row r="1814" spans="1:35" ht="26.4">
      <c r="A1814" s="284"/>
      <c r="B1814" s="284"/>
      <c r="C1814" s="284"/>
      <c r="D1814" s="284"/>
      <c r="E1814" s="284"/>
      <c r="F1814" s="284"/>
      <c r="G1814" s="284"/>
      <c r="H1814" s="284"/>
      <c r="I1814" s="284"/>
      <c r="J1814" s="284"/>
      <c r="K1814" s="284"/>
      <c r="L1814" s="284"/>
      <c r="M1814" s="113"/>
      <c r="N1814" s="113"/>
      <c r="O1814" s="335"/>
      <c r="T1814" s="340"/>
      <c r="V1814" s="342"/>
      <c r="W1814" s="64" ph="1"/>
      <c r="X1814" s="241"/>
      <c r="Y1814" s="284"/>
      <c r="Z1814" s="207"/>
      <c r="AA1814" s="284"/>
      <c r="AB1814" s="284"/>
      <c r="AC1814" s="284"/>
      <c r="AD1814" s="284"/>
      <c r="AE1814" s="284"/>
      <c r="AF1814" s="284"/>
      <c r="AG1814" s="284"/>
      <c r="AI1814" s="131"/>
    </row>
    <row r="1815" spans="1:35" ht="26.4">
      <c r="A1815" s="284"/>
      <c r="B1815" s="284"/>
      <c r="C1815" s="284"/>
      <c r="D1815" s="284"/>
      <c r="E1815" s="284"/>
      <c r="F1815" s="284"/>
      <c r="G1815" s="284"/>
      <c r="H1815" s="284"/>
      <c r="I1815" s="284"/>
      <c r="J1815" s="284"/>
      <c r="K1815" s="284"/>
      <c r="L1815" s="284"/>
      <c r="M1815" s="113"/>
      <c r="N1815" s="113"/>
      <c r="O1815" s="335"/>
      <c r="T1815" s="340"/>
      <c r="V1815" s="342"/>
      <c r="W1815" s="64" ph="1"/>
      <c r="X1815" s="241"/>
      <c r="Y1815" s="284"/>
      <c r="Z1815" s="207"/>
      <c r="AA1815" s="284"/>
      <c r="AB1815" s="284"/>
      <c r="AC1815" s="284"/>
      <c r="AD1815" s="284"/>
      <c r="AE1815" s="284"/>
      <c r="AF1815" s="284"/>
      <c r="AG1815" s="284"/>
      <c r="AI1815" s="131"/>
    </row>
    <row r="1816" spans="1:35" ht="26.4">
      <c r="A1816" s="284"/>
      <c r="B1816" s="284"/>
      <c r="C1816" s="284"/>
      <c r="D1816" s="284"/>
      <c r="E1816" s="284"/>
      <c r="F1816" s="284"/>
      <c r="G1816" s="284"/>
      <c r="H1816" s="284"/>
      <c r="I1816" s="284"/>
      <c r="J1816" s="284"/>
      <c r="K1816" s="284"/>
      <c r="L1816" s="284"/>
      <c r="M1816" s="113"/>
      <c r="N1816" s="113"/>
      <c r="O1816" s="335"/>
      <c r="T1816" s="340"/>
      <c r="V1816" s="342"/>
      <c r="W1816" s="64" ph="1"/>
      <c r="X1816" s="241"/>
      <c r="Y1816" s="284"/>
      <c r="Z1816" s="207"/>
      <c r="AA1816" s="284"/>
      <c r="AB1816" s="284"/>
      <c r="AC1816" s="284"/>
      <c r="AD1816" s="284"/>
      <c r="AE1816" s="284"/>
      <c r="AF1816" s="284"/>
      <c r="AG1816" s="284"/>
      <c r="AI1816" s="131"/>
    </row>
    <row r="1817" spans="1:35" ht="26.4">
      <c r="A1817" s="284"/>
      <c r="B1817" s="284"/>
      <c r="C1817" s="284"/>
      <c r="D1817" s="284"/>
      <c r="E1817" s="284"/>
      <c r="F1817" s="284"/>
      <c r="G1817" s="284"/>
      <c r="H1817" s="284"/>
      <c r="I1817" s="284"/>
      <c r="J1817" s="284"/>
      <c r="K1817" s="284"/>
      <c r="L1817" s="284"/>
      <c r="M1817" s="113"/>
      <c r="N1817" s="113"/>
      <c r="O1817" s="335"/>
      <c r="T1817" s="340"/>
      <c r="V1817" s="342"/>
      <c r="W1817" s="64" ph="1"/>
      <c r="X1817" s="241"/>
      <c r="Y1817" s="284"/>
      <c r="Z1817" s="207"/>
      <c r="AA1817" s="284"/>
      <c r="AB1817" s="284"/>
      <c r="AC1817" s="284"/>
      <c r="AD1817" s="284"/>
      <c r="AE1817" s="284"/>
      <c r="AF1817" s="284"/>
      <c r="AG1817" s="284"/>
      <c r="AI1817" s="131"/>
    </row>
    <row r="1818" spans="1:35" ht="26.4">
      <c r="A1818" s="284"/>
      <c r="B1818" s="284"/>
      <c r="C1818" s="284"/>
      <c r="D1818" s="284"/>
      <c r="E1818" s="284"/>
      <c r="F1818" s="284"/>
      <c r="G1818" s="284"/>
      <c r="H1818" s="284"/>
      <c r="I1818" s="284"/>
      <c r="J1818" s="284"/>
      <c r="K1818" s="284"/>
      <c r="L1818" s="284"/>
      <c r="M1818" s="113"/>
      <c r="N1818" s="113"/>
      <c r="O1818" s="335"/>
      <c r="T1818" s="340"/>
      <c r="V1818" s="342"/>
      <c r="W1818" s="64" ph="1"/>
      <c r="X1818" s="241"/>
      <c r="Y1818" s="284"/>
      <c r="Z1818" s="207"/>
      <c r="AA1818" s="284"/>
      <c r="AB1818" s="284"/>
      <c r="AC1818" s="284"/>
      <c r="AD1818" s="284"/>
      <c r="AE1818" s="284"/>
      <c r="AF1818" s="284"/>
      <c r="AG1818" s="284"/>
      <c r="AI1818" s="131"/>
    </row>
    <row r="1819" spans="1:35" ht="26.4">
      <c r="A1819" s="284"/>
      <c r="B1819" s="284"/>
      <c r="C1819" s="284"/>
      <c r="D1819" s="284"/>
      <c r="E1819" s="284"/>
      <c r="F1819" s="284"/>
      <c r="G1819" s="284"/>
      <c r="H1819" s="284"/>
      <c r="I1819" s="284"/>
      <c r="J1819" s="284"/>
      <c r="K1819" s="284"/>
      <c r="L1819" s="284"/>
      <c r="M1819" s="113"/>
      <c r="N1819" s="113"/>
      <c r="O1819" s="335"/>
      <c r="T1819" s="340"/>
      <c r="V1819" s="342"/>
      <c r="W1819" s="64" ph="1"/>
      <c r="X1819" s="241"/>
      <c r="Y1819" s="284"/>
      <c r="Z1819" s="207"/>
      <c r="AA1819" s="284"/>
      <c r="AB1819" s="284"/>
      <c r="AC1819" s="284"/>
      <c r="AD1819" s="284"/>
      <c r="AE1819" s="284"/>
      <c r="AF1819" s="284"/>
      <c r="AG1819" s="284"/>
      <c r="AI1819" s="131"/>
    </row>
    <row r="1820" spans="1:35" ht="26.4">
      <c r="A1820" s="284"/>
      <c r="B1820" s="284"/>
      <c r="C1820" s="284"/>
      <c r="D1820" s="284"/>
      <c r="E1820" s="284"/>
      <c r="F1820" s="284"/>
      <c r="G1820" s="284"/>
      <c r="H1820" s="284"/>
      <c r="I1820" s="284"/>
      <c r="J1820" s="284"/>
      <c r="K1820" s="284"/>
      <c r="L1820" s="284"/>
      <c r="M1820" s="113"/>
      <c r="N1820" s="113"/>
      <c r="O1820" s="335"/>
      <c r="T1820" s="340"/>
      <c r="V1820" s="342"/>
      <c r="W1820" s="64" ph="1"/>
      <c r="X1820" s="241"/>
      <c r="Y1820" s="284"/>
      <c r="Z1820" s="207"/>
      <c r="AA1820" s="284"/>
      <c r="AB1820" s="284"/>
      <c r="AC1820" s="284"/>
      <c r="AD1820" s="284"/>
      <c r="AE1820" s="284"/>
      <c r="AF1820" s="284"/>
      <c r="AG1820" s="284"/>
      <c r="AI1820" s="131"/>
    </row>
    <row r="1821" spans="1:35" ht="26.4">
      <c r="A1821" s="284"/>
      <c r="B1821" s="284"/>
      <c r="C1821" s="284"/>
      <c r="D1821" s="284"/>
      <c r="E1821" s="284"/>
      <c r="F1821" s="284"/>
      <c r="G1821" s="284"/>
      <c r="H1821" s="284"/>
      <c r="I1821" s="284"/>
      <c r="J1821" s="284"/>
      <c r="K1821" s="284"/>
      <c r="L1821" s="284"/>
      <c r="M1821" s="113"/>
      <c r="N1821" s="113"/>
      <c r="O1821" s="335"/>
      <c r="T1821" s="340"/>
      <c r="V1821" s="342"/>
      <c r="W1821" s="64" ph="1"/>
      <c r="X1821" s="241"/>
      <c r="Y1821" s="284"/>
      <c r="Z1821" s="207"/>
      <c r="AA1821" s="284"/>
      <c r="AB1821" s="284"/>
      <c r="AC1821" s="284"/>
      <c r="AD1821" s="284"/>
      <c r="AE1821" s="284"/>
      <c r="AF1821" s="284"/>
      <c r="AG1821" s="284"/>
      <c r="AI1821" s="131"/>
    </row>
    <row r="1822" spans="1:35" ht="26.4">
      <c r="A1822" s="284"/>
      <c r="B1822" s="284"/>
      <c r="C1822" s="284"/>
      <c r="D1822" s="284"/>
      <c r="E1822" s="284"/>
      <c r="F1822" s="284"/>
      <c r="G1822" s="284"/>
      <c r="H1822" s="284"/>
      <c r="I1822" s="284"/>
      <c r="J1822" s="284"/>
      <c r="K1822" s="284"/>
      <c r="L1822" s="284"/>
      <c r="M1822" s="113"/>
      <c r="N1822" s="113"/>
      <c r="O1822" s="335"/>
      <c r="T1822" s="340"/>
      <c r="V1822" s="342"/>
      <c r="W1822" s="64" ph="1"/>
      <c r="X1822" s="241"/>
      <c r="Y1822" s="284"/>
      <c r="Z1822" s="207"/>
      <c r="AA1822" s="284"/>
      <c r="AB1822" s="284"/>
      <c r="AC1822" s="284"/>
      <c r="AD1822" s="284"/>
      <c r="AE1822" s="284"/>
      <c r="AF1822" s="284"/>
      <c r="AG1822" s="284"/>
      <c r="AI1822" s="131"/>
    </row>
    <row r="1823" spans="1:35" ht="26.4">
      <c r="A1823" s="284"/>
      <c r="B1823" s="284"/>
      <c r="C1823" s="284"/>
      <c r="D1823" s="284"/>
      <c r="E1823" s="284"/>
      <c r="F1823" s="284"/>
      <c r="G1823" s="284"/>
      <c r="H1823" s="284"/>
      <c r="I1823" s="284"/>
      <c r="J1823" s="284"/>
      <c r="K1823" s="284"/>
      <c r="L1823" s="284"/>
      <c r="M1823" s="113"/>
      <c r="N1823" s="113"/>
      <c r="O1823" s="335"/>
      <c r="T1823" s="340"/>
      <c r="V1823" s="342"/>
      <c r="W1823" s="64" ph="1"/>
      <c r="X1823" s="241"/>
      <c r="Y1823" s="284"/>
      <c r="Z1823" s="207"/>
      <c r="AA1823" s="284"/>
      <c r="AB1823" s="284"/>
      <c r="AC1823" s="284"/>
      <c r="AD1823" s="284"/>
      <c r="AE1823" s="284"/>
      <c r="AF1823" s="284"/>
      <c r="AG1823" s="284"/>
      <c r="AI1823" s="131"/>
    </row>
    <row r="1824" spans="1:35" ht="26.4">
      <c r="A1824" s="284"/>
      <c r="B1824" s="284"/>
      <c r="C1824" s="284"/>
      <c r="D1824" s="284"/>
      <c r="E1824" s="284"/>
      <c r="F1824" s="284"/>
      <c r="G1824" s="284"/>
      <c r="H1824" s="284"/>
      <c r="I1824" s="284"/>
      <c r="J1824" s="284"/>
      <c r="K1824" s="284"/>
      <c r="L1824" s="284"/>
      <c r="M1824" s="113"/>
      <c r="N1824" s="113"/>
      <c r="O1824" s="335"/>
      <c r="T1824" s="340"/>
      <c r="V1824" s="342"/>
      <c r="W1824" s="64" ph="1"/>
      <c r="X1824" s="241"/>
      <c r="Y1824" s="284"/>
      <c r="Z1824" s="207"/>
      <c r="AA1824" s="284"/>
      <c r="AB1824" s="284"/>
      <c r="AC1824" s="284"/>
      <c r="AD1824" s="284"/>
      <c r="AE1824" s="284"/>
      <c r="AF1824" s="284"/>
      <c r="AG1824" s="284"/>
      <c r="AI1824" s="131"/>
    </row>
    <row r="1825" spans="1:35" ht="26.4">
      <c r="A1825" s="284"/>
      <c r="B1825" s="284"/>
      <c r="C1825" s="284"/>
      <c r="D1825" s="284"/>
      <c r="E1825" s="284"/>
      <c r="F1825" s="284"/>
      <c r="G1825" s="284"/>
      <c r="H1825" s="284"/>
      <c r="I1825" s="284"/>
      <c r="J1825" s="284"/>
      <c r="K1825" s="284"/>
      <c r="L1825" s="284"/>
      <c r="M1825" s="113"/>
      <c r="N1825" s="113"/>
      <c r="O1825" s="335"/>
      <c r="T1825" s="340"/>
      <c r="V1825" s="342"/>
      <c r="W1825" s="64" ph="1"/>
      <c r="X1825" s="241"/>
      <c r="Y1825" s="284"/>
      <c r="Z1825" s="207"/>
      <c r="AA1825" s="284"/>
      <c r="AB1825" s="284"/>
      <c r="AC1825" s="284"/>
      <c r="AD1825" s="284"/>
      <c r="AE1825" s="284"/>
      <c r="AF1825" s="284"/>
      <c r="AG1825" s="284"/>
      <c r="AI1825" s="131"/>
    </row>
    <row r="1826" spans="1:35" ht="26.4">
      <c r="A1826" s="284"/>
      <c r="B1826" s="284"/>
      <c r="C1826" s="284"/>
      <c r="D1826" s="284"/>
      <c r="E1826" s="284"/>
      <c r="F1826" s="284"/>
      <c r="G1826" s="284"/>
      <c r="H1826" s="284"/>
      <c r="I1826" s="284"/>
      <c r="J1826" s="284"/>
      <c r="K1826" s="284"/>
      <c r="L1826" s="284"/>
      <c r="M1826" s="113"/>
      <c r="N1826" s="113"/>
      <c r="O1826" s="335"/>
      <c r="T1826" s="340"/>
      <c r="V1826" s="342"/>
      <c r="W1826" s="64" ph="1"/>
      <c r="X1826" s="241"/>
      <c r="Y1826" s="284"/>
      <c r="Z1826" s="207"/>
      <c r="AA1826" s="284"/>
      <c r="AB1826" s="284"/>
      <c r="AC1826" s="284"/>
      <c r="AD1826" s="284"/>
      <c r="AE1826" s="284"/>
      <c r="AF1826" s="284"/>
      <c r="AG1826" s="284"/>
      <c r="AI1826" s="131"/>
    </row>
    <row r="1827" spans="1:35" ht="26.4">
      <c r="A1827" s="284"/>
      <c r="B1827" s="284"/>
      <c r="C1827" s="284"/>
      <c r="D1827" s="284"/>
      <c r="E1827" s="284"/>
      <c r="F1827" s="284"/>
      <c r="G1827" s="284"/>
      <c r="H1827" s="284"/>
      <c r="I1827" s="284"/>
      <c r="J1827" s="284"/>
      <c r="K1827" s="284"/>
      <c r="L1827" s="284"/>
      <c r="M1827" s="113"/>
      <c r="N1827" s="113"/>
      <c r="O1827" s="335"/>
      <c r="T1827" s="340"/>
      <c r="V1827" s="342"/>
      <c r="W1827" s="64" ph="1"/>
      <c r="X1827" s="241"/>
      <c r="Y1827" s="284"/>
      <c r="Z1827" s="207"/>
      <c r="AA1827" s="284"/>
      <c r="AB1827" s="284"/>
      <c r="AC1827" s="284"/>
      <c r="AD1827" s="284"/>
      <c r="AE1827" s="284"/>
      <c r="AF1827" s="284"/>
      <c r="AG1827" s="284"/>
      <c r="AI1827" s="131"/>
    </row>
    <row r="1828" spans="1:35" ht="26.4">
      <c r="A1828" s="284"/>
      <c r="B1828" s="284"/>
      <c r="C1828" s="284"/>
      <c r="D1828" s="284"/>
      <c r="E1828" s="284"/>
      <c r="F1828" s="284"/>
      <c r="G1828" s="284"/>
      <c r="H1828" s="284"/>
      <c r="I1828" s="284"/>
      <c r="J1828" s="284"/>
      <c r="K1828" s="284"/>
      <c r="L1828" s="284"/>
      <c r="M1828" s="113"/>
      <c r="N1828" s="113"/>
      <c r="O1828" s="335"/>
      <c r="T1828" s="340"/>
      <c r="V1828" s="342"/>
      <c r="W1828" s="64" ph="1"/>
      <c r="X1828" s="241"/>
      <c r="Y1828" s="284"/>
      <c r="Z1828" s="207"/>
      <c r="AA1828" s="284"/>
      <c r="AB1828" s="284"/>
      <c r="AC1828" s="284"/>
      <c r="AD1828" s="284"/>
      <c r="AE1828" s="284"/>
      <c r="AF1828" s="284"/>
      <c r="AG1828" s="284"/>
      <c r="AI1828" s="131"/>
    </row>
    <row r="1829" spans="1:35" ht="26.4">
      <c r="A1829" s="284"/>
      <c r="B1829" s="284"/>
      <c r="C1829" s="284"/>
      <c r="D1829" s="284"/>
      <c r="E1829" s="284"/>
      <c r="F1829" s="284"/>
      <c r="G1829" s="284"/>
      <c r="H1829" s="284"/>
      <c r="I1829" s="284"/>
      <c r="J1829" s="284"/>
      <c r="K1829" s="284"/>
      <c r="L1829" s="284"/>
      <c r="M1829" s="113"/>
      <c r="N1829" s="113"/>
      <c r="O1829" s="335"/>
      <c r="T1829" s="340"/>
      <c r="V1829" s="342"/>
      <c r="W1829" s="64" ph="1"/>
      <c r="X1829" s="241"/>
      <c r="Y1829" s="284"/>
      <c r="Z1829" s="207"/>
      <c r="AA1829" s="284"/>
      <c r="AB1829" s="284"/>
      <c r="AC1829" s="284"/>
      <c r="AD1829" s="284"/>
      <c r="AE1829" s="284"/>
      <c r="AF1829" s="284"/>
      <c r="AG1829" s="284"/>
      <c r="AI1829" s="131"/>
    </row>
    <row r="1830" spans="1:35" ht="26.4">
      <c r="A1830" s="284"/>
      <c r="B1830" s="284"/>
      <c r="C1830" s="284"/>
      <c r="D1830" s="284"/>
      <c r="E1830" s="284"/>
      <c r="F1830" s="284"/>
      <c r="G1830" s="284"/>
      <c r="H1830" s="284"/>
      <c r="I1830" s="284"/>
      <c r="J1830" s="284"/>
      <c r="K1830" s="284"/>
      <c r="L1830" s="284"/>
      <c r="M1830" s="113"/>
      <c r="N1830" s="113"/>
      <c r="O1830" s="335"/>
      <c r="T1830" s="340"/>
      <c r="V1830" s="342"/>
      <c r="W1830" s="64" ph="1"/>
      <c r="X1830" s="241"/>
      <c r="Y1830" s="284"/>
      <c r="Z1830" s="207"/>
      <c r="AA1830" s="284"/>
      <c r="AB1830" s="284"/>
      <c r="AC1830" s="284"/>
      <c r="AD1830" s="284"/>
      <c r="AE1830" s="284"/>
      <c r="AF1830" s="284"/>
      <c r="AG1830" s="284"/>
      <c r="AI1830" s="131"/>
    </row>
    <row r="1831" spans="1:35" ht="26.4">
      <c r="A1831" s="284"/>
      <c r="B1831" s="284"/>
      <c r="C1831" s="284"/>
      <c r="D1831" s="284"/>
      <c r="E1831" s="284"/>
      <c r="F1831" s="284"/>
      <c r="G1831" s="284"/>
      <c r="H1831" s="284"/>
      <c r="I1831" s="284"/>
      <c r="J1831" s="284"/>
      <c r="K1831" s="284"/>
      <c r="L1831" s="284"/>
      <c r="M1831" s="113"/>
      <c r="N1831" s="113"/>
      <c r="O1831" s="335"/>
      <c r="T1831" s="340"/>
      <c r="V1831" s="342"/>
      <c r="W1831" s="64" ph="1"/>
      <c r="X1831" s="241"/>
      <c r="Y1831" s="284"/>
      <c r="Z1831" s="207"/>
      <c r="AA1831" s="284"/>
      <c r="AB1831" s="284"/>
      <c r="AC1831" s="284"/>
      <c r="AD1831" s="284"/>
      <c r="AE1831" s="284"/>
      <c r="AF1831" s="284"/>
      <c r="AG1831" s="284"/>
      <c r="AI1831" s="131"/>
    </row>
    <row r="1832" spans="1:35" ht="26.4">
      <c r="A1832" s="284"/>
      <c r="B1832" s="284"/>
      <c r="C1832" s="284"/>
      <c r="D1832" s="284"/>
      <c r="E1832" s="284"/>
      <c r="F1832" s="284"/>
      <c r="G1832" s="284"/>
      <c r="H1832" s="284"/>
      <c r="I1832" s="284"/>
      <c r="J1832" s="284"/>
      <c r="K1832" s="284"/>
      <c r="L1832" s="284"/>
      <c r="M1832" s="113"/>
      <c r="N1832" s="113"/>
      <c r="O1832" s="335"/>
      <c r="T1832" s="340"/>
      <c r="V1832" s="342"/>
      <c r="W1832" s="64" ph="1"/>
      <c r="X1832" s="241"/>
      <c r="Y1832" s="284"/>
      <c r="Z1832" s="207"/>
      <c r="AA1832" s="284"/>
      <c r="AB1832" s="284"/>
      <c r="AC1832" s="284"/>
      <c r="AD1832" s="284"/>
      <c r="AE1832" s="284"/>
      <c r="AF1832" s="284"/>
      <c r="AG1832" s="284"/>
      <c r="AI1832" s="131"/>
    </row>
    <row r="1833" spans="1:35" ht="26.4">
      <c r="A1833" s="284"/>
      <c r="B1833" s="284"/>
      <c r="C1833" s="284"/>
      <c r="D1833" s="284"/>
      <c r="E1833" s="284"/>
      <c r="F1833" s="284"/>
      <c r="G1833" s="284"/>
      <c r="H1833" s="284"/>
      <c r="I1833" s="284"/>
      <c r="J1833" s="284"/>
      <c r="K1833" s="284"/>
      <c r="L1833" s="284"/>
      <c r="M1833" s="113"/>
      <c r="N1833" s="113"/>
      <c r="O1833" s="335"/>
      <c r="T1833" s="340"/>
      <c r="V1833" s="342"/>
      <c r="W1833" s="64" ph="1"/>
      <c r="X1833" s="241"/>
      <c r="Y1833" s="284"/>
      <c r="Z1833" s="207"/>
      <c r="AA1833" s="284"/>
      <c r="AB1833" s="284"/>
      <c r="AC1833" s="284"/>
      <c r="AD1833" s="284"/>
      <c r="AE1833" s="284"/>
      <c r="AF1833" s="284"/>
      <c r="AG1833" s="284"/>
      <c r="AI1833" s="131"/>
    </row>
    <row r="1834" spans="1:35" ht="26.4">
      <c r="A1834" s="284"/>
      <c r="B1834" s="284"/>
      <c r="C1834" s="284"/>
      <c r="D1834" s="284"/>
      <c r="E1834" s="284"/>
      <c r="F1834" s="284"/>
      <c r="G1834" s="284"/>
      <c r="H1834" s="284"/>
      <c r="I1834" s="284"/>
      <c r="J1834" s="284"/>
      <c r="K1834" s="284"/>
      <c r="L1834" s="284"/>
      <c r="M1834" s="113"/>
      <c r="N1834" s="113"/>
      <c r="O1834" s="335"/>
      <c r="T1834" s="340"/>
      <c r="V1834" s="342"/>
      <c r="W1834" s="64" ph="1"/>
      <c r="X1834" s="241"/>
      <c r="Y1834" s="284"/>
      <c r="Z1834" s="207"/>
      <c r="AA1834" s="284"/>
      <c r="AB1834" s="284"/>
      <c r="AC1834" s="284"/>
      <c r="AD1834" s="284"/>
      <c r="AE1834" s="284"/>
      <c r="AF1834" s="284"/>
      <c r="AG1834" s="284"/>
      <c r="AI1834" s="284"/>
    </row>
    <row r="1835" spans="1:35" ht="26.4">
      <c r="A1835" s="284"/>
      <c r="B1835" s="284"/>
      <c r="C1835" s="284"/>
      <c r="D1835" s="284"/>
      <c r="E1835" s="284"/>
      <c r="F1835" s="284"/>
      <c r="G1835" s="284"/>
      <c r="H1835" s="284"/>
      <c r="I1835" s="284"/>
      <c r="J1835" s="284"/>
      <c r="K1835" s="284"/>
      <c r="L1835" s="284"/>
      <c r="M1835" s="113"/>
      <c r="N1835" s="113"/>
      <c r="O1835" s="335"/>
      <c r="T1835" s="340"/>
      <c r="V1835" s="342"/>
      <c r="W1835" s="64" ph="1"/>
      <c r="X1835" s="241"/>
      <c r="Y1835" s="284"/>
      <c r="Z1835" s="207"/>
      <c r="AA1835" s="284"/>
      <c r="AB1835" s="284"/>
      <c r="AC1835" s="284"/>
      <c r="AD1835" s="284"/>
      <c r="AE1835" s="284"/>
      <c r="AF1835" s="284"/>
      <c r="AG1835" s="284"/>
      <c r="AI1835" s="131"/>
    </row>
    <row r="1836" spans="1:35" ht="26.4">
      <c r="A1836" s="284"/>
      <c r="B1836" s="284"/>
      <c r="C1836" s="284"/>
      <c r="D1836" s="284"/>
      <c r="E1836" s="284"/>
      <c r="F1836" s="284"/>
      <c r="G1836" s="284"/>
      <c r="H1836" s="284"/>
      <c r="I1836" s="284"/>
      <c r="J1836" s="284"/>
      <c r="K1836" s="284"/>
      <c r="L1836" s="284"/>
      <c r="M1836" s="113"/>
      <c r="N1836" s="113"/>
      <c r="O1836" s="335"/>
      <c r="T1836" s="340"/>
      <c r="V1836" s="342"/>
      <c r="W1836" s="64" ph="1"/>
      <c r="X1836" s="241"/>
      <c r="Y1836" s="284"/>
      <c r="Z1836" s="207"/>
      <c r="AA1836" s="284"/>
      <c r="AB1836" s="284"/>
      <c r="AC1836" s="284"/>
      <c r="AD1836" s="284"/>
      <c r="AE1836" s="284"/>
      <c r="AF1836" s="284"/>
      <c r="AG1836" s="284"/>
      <c r="AI1836" s="131"/>
    </row>
    <row r="1837" spans="1:35" ht="26.4">
      <c r="A1837" s="284"/>
      <c r="B1837" s="284"/>
      <c r="C1837" s="284"/>
      <c r="D1837" s="284"/>
      <c r="E1837" s="284"/>
      <c r="F1837" s="284"/>
      <c r="G1837" s="284"/>
      <c r="H1837" s="284"/>
      <c r="I1837" s="284"/>
      <c r="J1837" s="284"/>
      <c r="K1837" s="284"/>
      <c r="L1837" s="284"/>
      <c r="M1837" s="113"/>
      <c r="N1837" s="113"/>
      <c r="O1837" s="335"/>
      <c r="T1837" s="340"/>
      <c r="V1837" s="342"/>
      <c r="W1837" s="64" ph="1"/>
      <c r="X1837" s="241"/>
      <c r="Y1837" s="284"/>
      <c r="Z1837" s="207"/>
      <c r="AA1837" s="284"/>
      <c r="AB1837" s="284"/>
      <c r="AC1837" s="284"/>
      <c r="AD1837" s="284"/>
      <c r="AE1837" s="284"/>
      <c r="AF1837" s="284"/>
      <c r="AG1837" s="284"/>
      <c r="AI1837" s="131"/>
    </row>
    <row r="1838" spans="1:35" ht="26.4">
      <c r="A1838" s="284"/>
      <c r="B1838" s="284"/>
      <c r="C1838" s="284"/>
      <c r="D1838" s="284"/>
      <c r="E1838" s="284"/>
      <c r="F1838" s="284"/>
      <c r="G1838" s="284"/>
      <c r="H1838" s="284"/>
      <c r="I1838" s="284"/>
      <c r="J1838" s="284"/>
      <c r="K1838" s="284"/>
      <c r="L1838" s="284"/>
      <c r="M1838" s="113"/>
      <c r="N1838" s="113"/>
      <c r="O1838" s="335"/>
      <c r="T1838" s="340"/>
      <c r="V1838" s="342"/>
      <c r="W1838" s="64" ph="1"/>
      <c r="X1838" s="241"/>
      <c r="Y1838" s="284"/>
      <c r="Z1838" s="207"/>
      <c r="AA1838" s="284"/>
      <c r="AB1838" s="284"/>
      <c r="AC1838" s="284"/>
      <c r="AD1838" s="284"/>
      <c r="AE1838" s="284"/>
      <c r="AF1838" s="284"/>
      <c r="AG1838" s="284"/>
      <c r="AI1838" s="131"/>
    </row>
    <row r="1839" spans="1:35" ht="26.4">
      <c r="A1839" s="284"/>
      <c r="B1839" s="284"/>
      <c r="C1839" s="284"/>
      <c r="D1839" s="284"/>
      <c r="E1839" s="284"/>
      <c r="F1839" s="284"/>
      <c r="G1839" s="284"/>
      <c r="H1839" s="284"/>
      <c r="I1839" s="284"/>
      <c r="J1839" s="284"/>
      <c r="K1839" s="284"/>
      <c r="L1839" s="284"/>
      <c r="M1839" s="113"/>
      <c r="N1839" s="113"/>
      <c r="O1839" s="335"/>
      <c r="T1839" s="340"/>
      <c r="V1839" s="342"/>
      <c r="W1839" s="64" ph="1"/>
      <c r="X1839" s="241"/>
      <c r="Y1839" s="284"/>
      <c r="Z1839" s="207"/>
      <c r="AA1839" s="284"/>
      <c r="AB1839" s="284"/>
      <c r="AC1839" s="284"/>
      <c r="AD1839" s="284"/>
      <c r="AE1839" s="284"/>
      <c r="AF1839" s="284"/>
      <c r="AG1839" s="284"/>
      <c r="AI1839" s="284"/>
    </row>
    <row r="1840" spans="1:35" ht="26.4">
      <c r="A1840" s="284"/>
      <c r="B1840" s="284"/>
      <c r="C1840" s="284"/>
      <c r="D1840" s="284"/>
      <c r="E1840" s="284"/>
      <c r="F1840" s="284"/>
      <c r="G1840" s="284"/>
      <c r="H1840" s="284"/>
      <c r="I1840" s="284"/>
      <c r="J1840" s="284"/>
      <c r="K1840" s="284"/>
      <c r="L1840" s="284"/>
      <c r="M1840" s="113"/>
      <c r="N1840" s="113"/>
      <c r="O1840" s="335"/>
      <c r="T1840" s="340"/>
      <c r="V1840" s="342"/>
      <c r="W1840" s="64" ph="1"/>
      <c r="X1840" s="241"/>
      <c r="Y1840" s="284"/>
      <c r="Z1840" s="207"/>
      <c r="AA1840" s="284"/>
      <c r="AB1840" s="284"/>
      <c r="AC1840" s="284"/>
      <c r="AD1840" s="284"/>
      <c r="AE1840" s="284"/>
      <c r="AF1840" s="284"/>
      <c r="AG1840" s="284"/>
      <c r="AI1840" s="131"/>
    </row>
    <row r="1841" spans="1:35" ht="26.4">
      <c r="A1841" s="284"/>
      <c r="B1841" s="284"/>
      <c r="C1841" s="284"/>
      <c r="D1841" s="284"/>
      <c r="E1841" s="284"/>
      <c r="F1841" s="284"/>
      <c r="G1841" s="284"/>
      <c r="H1841" s="284"/>
      <c r="I1841" s="284"/>
      <c r="J1841" s="284"/>
      <c r="K1841" s="284"/>
      <c r="L1841" s="284"/>
      <c r="M1841" s="113"/>
      <c r="N1841" s="113"/>
      <c r="O1841" s="335"/>
      <c r="T1841" s="340"/>
      <c r="V1841" s="342"/>
      <c r="W1841" s="64" ph="1"/>
      <c r="X1841" s="241"/>
      <c r="Y1841" s="284"/>
      <c r="Z1841" s="207"/>
      <c r="AA1841" s="284"/>
      <c r="AB1841" s="284"/>
      <c r="AC1841" s="284"/>
      <c r="AD1841" s="284"/>
      <c r="AE1841" s="284"/>
      <c r="AF1841" s="284"/>
      <c r="AG1841" s="284"/>
      <c r="AI1841" s="131"/>
    </row>
    <row r="1842" spans="1:35" ht="26.4">
      <c r="A1842" s="284"/>
      <c r="B1842" s="284"/>
      <c r="C1842" s="284"/>
      <c r="D1842" s="284"/>
      <c r="E1842" s="284"/>
      <c r="F1842" s="284"/>
      <c r="G1842" s="284"/>
      <c r="H1842" s="284"/>
      <c r="I1842" s="284"/>
      <c r="J1842" s="284"/>
      <c r="K1842" s="284"/>
      <c r="L1842" s="284"/>
      <c r="M1842" s="113"/>
      <c r="N1842" s="113"/>
      <c r="O1842" s="335"/>
      <c r="T1842" s="340"/>
      <c r="V1842" s="342"/>
      <c r="W1842" s="64" ph="1"/>
      <c r="X1842" s="241"/>
      <c r="Y1842" s="284"/>
      <c r="Z1842" s="207"/>
      <c r="AA1842" s="284"/>
      <c r="AB1842" s="284"/>
      <c r="AC1842" s="284"/>
      <c r="AD1842" s="284"/>
      <c r="AE1842" s="284"/>
      <c r="AF1842" s="284"/>
      <c r="AG1842" s="284"/>
      <c r="AI1842" s="131"/>
    </row>
    <row r="1843" spans="1:35" ht="26.4">
      <c r="A1843" s="284"/>
      <c r="B1843" s="284"/>
      <c r="C1843" s="284"/>
      <c r="D1843" s="284"/>
      <c r="E1843" s="284"/>
      <c r="F1843" s="284"/>
      <c r="G1843" s="284"/>
      <c r="H1843" s="284"/>
      <c r="I1843" s="284"/>
      <c r="J1843" s="284"/>
      <c r="K1843" s="284"/>
      <c r="L1843" s="284"/>
      <c r="M1843" s="113"/>
      <c r="N1843" s="113"/>
      <c r="O1843" s="335"/>
      <c r="T1843" s="340"/>
      <c r="V1843" s="342"/>
      <c r="W1843" s="64" ph="1"/>
      <c r="X1843" s="241"/>
      <c r="Y1843" s="284"/>
      <c r="Z1843" s="207"/>
      <c r="AA1843" s="284"/>
      <c r="AB1843" s="284"/>
      <c r="AC1843" s="284"/>
      <c r="AD1843" s="284"/>
      <c r="AE1843" s="284"/>
      <c r="AF1843" s="284"/>
      <c r="AG1843" s="284"/>
      <c r="AI1843" s="131"/>
    </row>
    <row r="1844" spans="1:35" ht="26.4">
      <c r="A1844" s="284"/>
      <c r="B1844" s="284"/>
      <c r="C1844" s="284"/>
      <c r="D1844" s="284"/>
      <c r="E1844" s="284"/>
      <c r="F1844" s="284"/>
      <c r="G1844" s="284"/>
      <c r="H1844" s="284"/>
      <c r="I1844" s="284"/>
      <c r="J1844" s="284"/>
      <c r="K1844" s="284"/>
      <c r="L1844" s="284"/>
      <c r="M1844" s="113"/>
      <c r="N1844" s="113"/>
      <c r="O1844" s="335"/>
      <c r="T1844" s="340"/>
      <c r="V1844" s="342"/>
      <c r="W1844" s="64" ph="1"/>
      <c r="X1844" s="241"/>
      <c r="Y1844" s="284"/>
      <c r="Z1844" s="207"/>
      <c r="AA1844" s="284"/>
      <c r="AB1844" s="284"/>
      <c r="AC1844" s="284"/>
      <c r="AD1844" s="284"/>
      <c r="AE1844" s="284"/>
      <c r="AF1844" s="284"/>
      <c r="AG1844" s="284"/>
      <c r="AI1844" s="131"/>
    </row>
    <row r="1845" spans="1:35" ht="26.4">
      <c r="A1845" s="284"/>
      <c r="B1845" s="284"/>
      <c r="C1845" s="284"/>
      <c r="D1845" s="284"/>
      <c r="E1845" s="284"/>
      <c r="F1845" s="284"/>
      <c r="G1845" s="284"/>
      <c r="H1845" s="284"/>
      <c r="I1845" s="284"/>
      <c r="J1845" s="284"/>
      <c r="K1845" s="284"/>
      <c r="L1845" s="284"/>
      <c r="M1845" s="113"/>
      <c r="N1845" s="113"/>
      <c r="O1845" s="335"/>
      <c r="T1845" s="340"/>
      <c r="V1845" s="342"/>
      <c r="W1845" s="64" ph="1"/>
      <c r="X1845" s="241"/>
      <c r="Y1845" s="284"/>
      <c r="Z1845" s="207"/>
      <c r="AA1845" s="284"/>
      <c r="AB1845" s="284"/>
      <c r="AC1845" s="284"/>
      <c r="AD1845" s="284"/>
      <c r="AE1845" s="284"/>
      <c r="AF1845" s="284"/>
      <c r="AG1845" s="284"/>
      <c r="AI1845" s="131"/>
    </row>
    <row r="1846" spans="1:35" ht="26.4">
      <c r="A1846" s="284"/>
      <c r="B1846" s="284"/>
      <c r="C1846" s="284"/>
      <c r="D1846" s="284"/>
      <c r="E1846" s="284"/>
      <c r="F1846" s="284"/>
      <c r="G1846" s="284"/>
      <c r="H1846" s="284"/>
      <c r="I1846" s="284"/>
      <c r="J1846" s="284"/>
      <c r="K1846" s="284"/>
      <c r="L1846" s="284"/>
      <c r="M1846" s="113"/>
      <c r="N1846" s="113"/>
      <c r="O1846" s="335"/>
      <c r="T1846" s="340"/>
      <c r="V1846" s="342"/>
      <c r="W1846" s="64" ph="1"/>
      <c r="X1846" s="241"/>
      <c r="Y1846" s="284"/>
      <c r="Z1846" s="207"/>
      <c r="AA1846" s="284"/>
      <c r="AB1846" s="284"/>
      <c r="AC1846" s="284"/>
      <c r="AD1846" s="284"/>
      <c r="AE1846" s="284"/>
      <c r="AF1846" s="284"/>
      <c r="AG1846" s="284"/>
      <c r="AI1846" s="131"/>
    </row>
    <row r="1847" spans="1:35" ht="26.4">
      <c r="A1847" s="284"/>
      <c r="B1847" s="284"/>
      <c r="C1847" s="284"/>
      <c r="D1847" s="284"/>
      <c r="E1847" s="284"/>
      <c r="F1847" s="284"/>
      <c r="G1847" s="284"/>
      <c r="H1847" s="284"/>
      <c r="I1847" s="284"/>
      <c r="J1847" s="284"/>
      <c r="K1847" s="284"/>
      <c r="L1847" s="284"/>
      <c r="M1847" s="113"/>
      <c r="N1847" s="113"/>
      <c r="O1847" s="335"/>
      <c r="T1847" s="340"/>
      <c r="V1847" s="342"/>
      <c r="W1847" s="64" ph="1"/>
      <c r="X1847" s="241"/>
      <c r="Y1847" s="284"/>
      <c r="Z1847" s="207"/>
      <c r="AA1847" s="284"/>
      <c r="AB1847" s="284"/>
      <c r="AC1847" s="284"/>
      <c r="AD1847" s="284"/>
      <c r="AE1847" s="284"/>
      <c r="AF1847" s="284"/>
      <c r="AG1847" s="284"/>
      <c r="AI1847" s="131"/>
    </row>
    <row r="1848" spans="1:35" ht="26.4">
      <c r="A1848" s="284"/>
      <c r="B1848" s="284"/>
      <c r="C1848" s="284"/>
      <c r="D1848" s="284"/>
      <c r="E1848" s="284"/>
      <c r="F1848" s="284"/>
      <c r="G1848" s="284"/>
      <c r="H1848" s="284"/>
      <c r="I1848" s="284"/>
      <c r="J1848" s="284"/>
      <c r="K1848" s="284"/>
      <c r="L1848" s="284"/>
      <c r="M1848" s="113"/>
      <c r="N1848" s="113"/>
      <c r="O1848" s="335"/>
      <c r="T1848" s="340"/>
      <c r="V1848" s="342"/>
      <c r="W1848" s="64" ph="1"/>
      <c r="X1848" s="241"/>
      <c r="Y1848" s="284"/>
      <c r="Z1848" s="207"/>
      <c r="AA1848" s="284"/>
      <c r="AB1848" s="284"/>
      <c r="AC1848" s="284"/>
      <c r="AD1848" s="284"/>
      <c r="AE1848" s="284"/>
      <c r="AF1848" s="284"/>
      <c r="AG1848" s="284"/>
      <c r="AI1848" s="131"/>
    </row>
    <row r="1849" spans="1:35" ht="26.4">
      <c r="A1849" s="284"/>
      <c r="B1849" s="284"/>
      <c r="C1849" s="284"/>
      <c r="D1849" s="284"/>
      <c r="E1849" s="284"/>
      <c r="F1849" s="284"/>
      <c r="G1849" s="284"/>
      <c r="H1849" s="284"/>
      <c r="I1849" s="284"/>
      <c r="J1849" s="284"/>
      <c r="K1849" s="284"/>
      <c r="L1849" s="284"/>
      <c r="M1849" s="113"/>
      <c r="N1849" s="113"/>
      <c r="O1849" s="335"/>
      <c r="T1849" s="340"/>
      <c r="V1849" s="342"/>
      <c r="W1849" s="64" ph="1"/>
      <c r="X1849" s="241"/>
      <c r="Y1849" s="284"/>
      <c r="Z1849" s="207"/>
      <c r="AA1849" s="284"/>
      <c r="AB1849" s="284"/>
      <c r="AC1849" s="284"/>
      <c r="AD1849" s="284"/>
      <c r="AE1849" s="284"/>
      <c r="AF1849" s="284"/>
      <c r="AG1849" s="284"/>
      <c r="AI1849" s="131"/>
    </row>
    <row r="1850" spans="1:35" ht="26.4">
      <c r="A1850" s="284"/>
      <c r="B1850" s="284"/>
      <c r="C1850" s="284"/>
      <c r="D1850" s="284"/>
      <c r="E1850" s="284"/>
      <c r="F1850" s="284"/>
      <c r="G1850" s="284"/>
      <c r="H1850" s="284"/>
      <c r="I1850" s="284"/>
      <c r="J1850" s="284"/>
      <c r="K1850" s="284"/>
      <c r="L1850" s="284"/>
      <c r="M1850" s="113"/>
      <c r="N1850" s="113"/>
      <c r="O1850" s="335"/>
      <c r="T1850" s="340"/>
      <c r="V1850" s="342"/>
      <c r="W1850" s="64" ph="1"/>
      <c r="X1850" s="241"/>
      <c r="Y1850" s="284"/>
      <c r="Z1850" s="207"/>
      <c r="AA1850" s="284"/>
      <c r="AB1850" s="284"/>
      <c r="AC1850" s="284"/>
      <c r="AD1850" s="284"/>
      <c r="AE1850" s="284"/>
      <c r="AF1850" s="284"/>
      <c r="AG1850" s="284"/>
      <c r="AI1850" s="131"/>
    </row>
    <row r="1851" spans="1:35" ht="26.4">
      <c r="A1851" s="284"/>
      <c r="B1851" s="284"/>
      <c r="C1851" s="284"/>
      <c r="D1851" s="284"/>
      <c r="E1851" s="284"/>
      <c r="F1851" s="284"/>
      <c r="G1851" s="284"/>
      <c r="H1851" s="284"/>
      <c r="I1851" s="284"/>
      <c r="J1851" s="284"/>
      <c r="K1851" s="284"/>
      <c r="L1851" s="284"/>
      <c r="M1851" s="113"/>
      <c r="N1851" s="113"/>
      <c r="O1851" s="335"/>
      <c r="T1851" s="340"/>
      <c r="V1851" s="342"/>
      <c r="W1851" s="64" ph="1"/>
      <c r="X1851" s="241"/>
      <c r="Y1851" s="284"/>
      <c r="Z1851" s="207"/>
      <c r="AA1851" s="284"/>
      <c r="AB1851" s="284"/>
      <c r="AC1851" s="284"/>
      <c r="AD1851" s="284"/>
      <c r="AE1851" s="284"/>
      <c r="AF1851" s="284"/>
      <c r="AG1851" s="284"/>
      <c r="AI1851" s="284"/>
    </row>
    <row r="1852" spans="1:35" ht="26.4">
      <c r="A1852" s="284"/>
      <c r="B1852" s="284"/>
      <c r="C1852" s="284"/>
      <c r="D1852" s="284"/>
      <c r="E1852" s="284"/>
      <c r="F1852" s="284"/>
      <c r="G1852" s="284"/>
      <c r="H1852" s="284"/>
      <c r="I1852" s="284"/>
      <c r="J1852" s="284"/>
      <c r="K1852" s="284"/>
      <c r="L1852" s="284"/>
      <c r="M1852" s="113"/>
      <c r="N1852" s="113"/>
      <c r="O1852" s="335"/>
      <c r="T1852" s="340"/>
      <c r="V1852" s="342"/>
      <c r="W1852" s="64" ph="1"/>
      <c r="X1852" s="241"/>
      <c r="Y1852" s="284"/>
      <c r="Z1852" s="207"/>
      <c r="AA1852" s="284"/>
      <c r="AB1852" s="284"/>
      <c r="AC1852" s="284"/>
      <c r="AD1852" s="284"/>
      <c r="AE1852" s="284"/>
      <c r="AF1852" s="284"/>
      <c r="AG1852" s="284"/>
      <c r="AI1852" s="284"/>
    </row>
    <row r="1853" spans="1:35" ht="26.4">
      <c r="A1853" s="284"/>
      <c r="B1853" s="284"/>
      <c r="C1853" s="284"/>
      <c r="D1853" s="284"/>
      <c r="E1853" s="284"/>
      <c r="F1853" s="284"/>
      <c r="G1853" s="284"/>
      <c r="H1853" s="284"/>
      <c r="I1853" s="284"/>
      <c r="J1853" s="284"/>
      <c r="K1853" s="284"/>
      <c r="L1853" s="284"/>
      <c r="M1853" s="113"/>
      <c r="N1853" s="113"/>
      <c r="O1853" s="335"/>
      <c r="T1853" s="340"/>
      <c r="V1853" s="342"/>
      <c r="W1853" s="64" ph="1"/>
      <c r="X1853" s="241"/>
      <c r="Y1853" s="284"/>
      <c r="Z1853" s="207"/>
      <c r="AA1853" s="284"/>
      <c r="AB1853" s="284"/>
      <c r="AC1853" s="284"/>
      <c r="AD1853" s="284"/>
      <c r="AE1853" s="284"/>
      <c r="AF1853" s="284"/>
      <c r="AG1853" s="284"/>
      <c r="AI1853" s="284"/>
    </row>
    <row r="1854" spans="1:35" ht="26.4">
      <c r="A1854" s="284"/>
      <c r="B1854" s="284"/>
      <c r="C1854" s="284"/>
      <c r="D1854" s="284"/>
      <c r="E1854" s="284"/>
      <c r="F1854" s="284"/>
      <c r="G1854" s="284"/>
      <c r="H1854" s="284"/>
      <c r="I1854" s="284"/>
      <c r="J1854" s="284"/>
      <c r="K1854" s="284"/>
      <c r="L1854" s="284"/>
      <c r="M1854" s="113"/>
      <c r="N1854" s="113"/>
      <c r="O1854" s="335"/>
      <c r="T1854" s="340"/>
      <c r="V1854" s="342"/>
      <c r="W1854" s="64" ph="1"/>
      <c r="X1854" s="241"/>
      <c r="Y1854" s="284"/>
      <c r="Z1854" s="207"/>
      <c r="AA1854" s="284"/>
      <c r="AB1854" s="284"/>
      <c r="AC1854" s="284"/>
      <c r="AD1854" s="284"/>
      <c r="AE1854" s="284"/>
      <c r="AF1854" s="284"/>
      <c r="AG1854" s="284"/>
      <c r="AI1854" s="284"/>
    </row>
    <row r="1855" spans="1:35" ht="26.4">
      <c r="A1855" s="284"/>
      <c r="B1855" s="284"/>
      <c r="C1855" s="284"/>
      <c r="D1855" s="284"/>
      <c r="E1855" s="284"/>
      <c r="F1855" s="284"/>
      <c r="G1855" s="284"/>
      <c r="H1855" s="284"/>
      <c r="I1855" s="284"/>
      <c r="J1855" s="284"/>
      <c r="K1855" s="284"/>
      <c r="L1855" s="284"/>
      <c r="M1855" s="113"/>
      <c r="N1855" s="113"/>
      <c r="O1855" s="335"/>
      <c r="T1855" s="340"/>
      <c r="V1855" s="342"/>
      <c r="W1855" s="64" ph="1"/>
      <c r="X1855" s="241"/>
      <c r="Y1855" s="284"/>
      <c r="Z1855" s="207"/>
      <c r="AA1855" s="284"/>
      <c r="AB1855" s="284"/>
      <c r="AC1855" s="284"/>
      <c r="AD1855" s="284"/>
      <c r="AE1855" s="284"/>
      <c r="AF1855" s="284"/>
      <c r="AG1855" s="284"/>
      <c r="AI1855" s="284"/>
    </row>
    <row r="1856" spans="1:35" ht="26.4">
      <c r="A1856" s="284"/>
      <c r="B1856" s="284"/>
      <c r="C1856" s="284"/>
      <c r="D1856" s="284"/>
      <c r="E1856" s="284"/>
      <c r="F1856" s="284"/>
      <c r="G1856" s="284"/>
      <c r="H1856" s="284"/>
      <c r="I1856" s="284"/>
      <c r="J1856" s="284"/>
      <c r="K1856" s="284"/>
      <c r="L1856" s="284"/>
      <c r="M1856" s="113"/>
      <c r="N1856" s="113"/>
      <c r="O1856" s="335"/>
      <c r="T1856" s="340"/>
      <c r="V1856" s="342"/>
      <c r="W1856" s="64" ph="1"/>
      <c r="X1856" s="241"/>
      <c r="Y1856" s="284"/>
      <c r="Z1856" s="207"/>
      <c r="AA1856" s="284"/>
      <c r="AB1856" s="284"/>
      <c r="AC1856" s="284"/>
      <c r="AD1856" s="284"/>
      <c r="AE1856" s="284"/>
      <c r="AF1856" s="284"/>
      <c r="AG1856" s="284"/>
      <c r="AI1856" s="284"/>
    </row>
    <row r="1857" spans="1:35" ht="26.4">
      <c r="A1857" s="284"/>
      <c r="B1857" s="284"/>
      <c r="C1857" s="284"/>
      <c r="D1857" s="284"/>
      <c r="E1857" s="284"/>
      <c r="F1857" s="284"/>
      <c r="G1857" s="284"/>
      <c r="H1857" s="284"/>
      <c r="I1857" s="284"/>
      <c r="J1857" s="284"/>
      <c r="K1857" s="284"/>
      <c r="L1857" s="284"/>
      <c r="M1857" s="113"/>
      <c r="N1857" s="113"/>
      <c r="O1857" s="335"/>
      <c r="T1857" s="340"/>
      <c r="V1857" s="342"/>
      <c r="W1857" s="64" ph="1"/>
      <c r="X1857" s="241"/>
      <c r="Y1857" s="284"/>
      <c r="Z1857" s="207"/>
      <c r="AA1857" s="284"/>
      <c r="AB1857" s="284"/>
      <c r="AC1857" s="284"/>
      <c r="AD1857" s="284"/>
      <c r="AE1857" s="284"/>
      <c r="AF1857" s="284"/>
      <c r="AG1857" s="284"/>
      <c r="AI1857" s="284"/>
    </row>
    <row r="1858" spans="1:35" ht="26.4">
      <c r="A1858" s="284"/>
      <c r="B1858" s="284"/>
      <c r="C1858" s="284"/>
      <c r="D1858" s="284"/>
      <c r="E1858" s="284"/>
      <c r="F1858" s="284"/>
      <c r="G1858" s="284"/>
      <c r="H1858" s="284"/>
      <c r="I1858" s="284"/>
      <c r="J1858" s="284"/>
      <c r="K1858" s="284"/>
      <c r="L1858" s="284"/>
      <c r="M1858" s="113"/>
      <c r="N1858" s="113"/>
      <c r="O1858" s="335"/>
      <c r="T1858" s="340"/>
      <c r="V1858" s="342"/>
      <c r="W1858" s="64" ph="1"/>
      <c r="X1858" s="241"/>
      <c r="Y1858" s="284"/>
      <c r="Z1858" s="207"/>
      <c r="AA1858" s="284"/>
      <c r="AB1858" s="284"/>
      <c r="AC1858" s="284"/>
      <c r="AD1858" s="284"/>
      <c r="AE1858" s="284"/>
      <c r="AF1858" s="284"/>
      <c r="AG1858" s="284"/>
      <c r="AI1858" s="284"/>
    </row>
    <row r="1859" spans="1:35" ht="26.4">
      <c r="A1859" s="284"/>
      <c r="B1859" s="284"/>
      <c r="C1859" s="284"/>
      <c r="D1859" s="284"/>
      <c r="E1859" s="284"/>
      <c r="F1859" s="284"/>
      <c r="G1859" s="284"/>
      <c r="H1859" s="284"/>
      <c r="I1859" s="284"/>
      <c r="J1859" s="284"/>
      <c r="K1859" s="284"/>
      <c r="L1859" s="284"/>
      <c r="M1859" s="113"/>
      <c r="N1859" s="113"/>
      <c r="O1859" s="335"/>
      <c r="T1859" s="340"/>
      <c r="V1859" s="342"/>
      <c r="W1859" s="64" ph="1"/>
      <c r="X1859" s="241"/>
      <c r="Y1859" s="284"/>
      <c r="Z1859" s="207"/>
      <c r="AA1859" s="284"/>
      <c r="AB1859" s="284"/>
      <c r="AC1859" s="284"/>
      <c r="AD1859" s="284"/>
      <c r="AE1859" s="284"/>
      <c r="AF1859" s="284"/>
      <c r="AG1859" s="284"/>
      <c r="AI1859" s="284"/>
    </row>
    <row r="1860" spans="1:35" ht="26.4">
      <c r="A1860" s="284"/>
      <c r="B1860" s="284"/>
      <c r="C1860" s="284"/>
      <c r="D1860" s="284"/>
      <c r="E1860" s="284"/>
      <c r="F1860" s="284"/>
      <c r="G1860" s="284"/>
      <c r="H1860" s="284"/>
      <c r="I1860" s="284"/>
      <c r="J1860" s="284"/>
      <c r="K1860" s="284"/>
      <c r="L1860" s="284"/>
      <c r="M1860" s="113"/>
      <c r="N1860" s="113"/>
      <c r="O1860" s="335"/>
      <c r="T1860" s="340"/>
      <c r="V1860" s="342"/>
      <c r="W1860" s="64" ph="1"/>
      <c r="X1860" s="241"/>
      <c r="Y1860" s="284"/>
      <c r="Z1860" s="207"/>
      <c r="AA1860" s="284"/>
      <c r="AB1860" s="284"/>
      <c r="AC1860" s="284"/>
      <c r="AD1860" s="284"/>
      <c r="AE1860" s="284"/>
      <c r="AF1860" s="284"/>
      <c r="AG1860" s="284"/>
      <c r="AI1860" s="131"/>
    </row>
    <row r="1861" spans="1:35" ht="26.4">
      <c r="A1861" s="284"/>
      <c r="B1861" s="284"/>
      <c r="C1861" s="284"/>
      <c r="D1861" s="284"/>
      <c r="E1861" s="284"/>
      <c r="F1861" s="284"/>
      <c r="G1861" s="284"/>
      <c r="H1861" s="284"/>
      <c r="I1861" s="284"/>
      <c r="J1861" s="284"/>
      <c r="K1861" s="284"/>
      <c r="L1861" s="284"/>
      <c r="M1861" s="113"/>
      <c r="N1861" s="113"/>
      <c r="O1861" s="335"/>
      <c r="T1861" s="340"/>
      <c r="V1861" s="342"/>
      <c r="W1861" s="64" ph="1"/>
      <c r="X1861" s="241"/>
      <c r="Y1861" s="284"/>
      <c r="Z1861" s="207"/>
      <c r="AA1861" s="284"/>
      <c r="AB1861" s="284"/>
      <c r="AC1861" s="284"/>
      <c r="AD1861" s="284"/>
      <c r="AE1861" s="284"/>
      <c r="AF1861" s="284"/>
      <c r="AG1861" s="284"/>
      <c r="AI1861" s="284"/>
    </row>
    <row r="1862" spans="1:35" ht="26.4">
      <c r="A1862" s="284"/>
      <c r="B1862" s="284"/>
      <c r="C1862" s="284"/>
      <c r="D1862" s="284"/>
      <c r="E1862" s="284"/>
      <c r="F1862" s="284"/>
      <c r="G1862" s="284"/>
      <c r="H1862" s="284"/>
      <c r="I1862" s="284"/>
      <c r="J1862" s="284"/>
      <c r="K1862" s="284"/>
      <c r="L1862" s="284"/>
      <c r="M1862" s="113"/>
      <c r="N1862" s="113"/>
      <c r="O1862" s="335"/>
      <c r="T1862" s="340"/>
      <c r="V1862" s="342"/>
      <c r="W1862" s="64" ph="1"/>
      <c r="X1862" s="241"/>
      <c r="Y1862" s="284"/>
      <c r="Z1862" s="207"/>
      <c r="AA1862" s="284"/>
      <c r="AB1862" s="284"/>
      <c r="AC1862" s="284"/>
      <c r="AD1862" s="284"/>
      <c r="AE1862" s="284"/>
      <c r="AF1862" s="284"/>
      <c r="AG1862" s="284"/>
      <c r="AI1862" s="284"/>
    </row>
    <row r="1863" spans="1:35" ht="26.4">
      <c r="A1863" s="284"/>
      <c r="B1863" s="284"/>
      <c r="C1863" s="284"/>
      <c r="D1863" s="284"/>
      <c r="E1863" s="284"/>
      <c r="F1863" s="284"/>
      <c r="G1863" s="284"/>
      <c r="H1863" s="284"/>
      <c r="I1863" s="284"/>
      <c r="J1863" s="284"/>
      <c r="K1863" s="284"/>
      <c r="L1863" s="284"/>
      <c r="M1863" s="113"/>
      <c r="N1863" s="113"/>
      <c r="O1863" s="335"/>
      <c r="T1863" s="340"/>
      <c r="V1863" s="342"/>
      <c r="W1863" s="64" ph="1"/>
      <c r="X1863" s="241"/>
      <c r="Y1863" s="284"/>
      <c r="Z1863" s="207"/>
      <c r="AA1863" s="284"/>
      <c r="AB1863" s="284"/>
      <c r="AC1863" s="284"/>
      <c r="AD1863" s="284"/>
      <c r="AE1863" s="284"/>
      <c r="AF1863" s="284"/>
      <c r="AG1863" s="284"/>
      <c r="AI1863" s="284"/>
    </row>
    <row r="1864" spans="1:35" ht="26.4">
      <c r="A1864" s="284"/>
      <c r="B1864" s="284"/>
      <c r="C1864" s="284"/>
      <c r="D1864" s="284"/>
      <c r="E1864" s="284"/>
      <c r="F1864" s="284"/>
      <c r="G1864" s="284"/>
      <c r="H1864" s="284"/>
      <c r="I1864" s="284"/>
      <c r="J1864" s="284"/>
      <c r="K1864" s="284"/>
      <c r="L1864" s="284"/>
      <c r="M1864" s="113"/>
      <c r="N1864" s="113"/>
      <c r="O1864" s="335"/>
      <c r="T1864" s="340"/>
      <c r="V1864" s="342"/>
      <c r="W1864" s="64" ph="1"/>
      <c r="X1864" s="241"/>
      <c r="Y1864" s="284"/>
      <c r="Z1864" s="207"/>
      <c r="AA1864" s="284"/>
      <c r="AB1864" s="284"/>
      <c r="AC1864" s="284"/>
      <c r="AD1864" s="284"/>
      <c r="AE1864" s="284"/>
      <c r="AF1864" s="284"/>
      <c r="AG1864" s="284"/>
      <c r="AI1864" s="131"/>
    </row>
    <row r="1865" spans="1:35" ht="26.4">
      <c r="A1865" s="284"/>
      <c r="B1865" s="284"/>
      <c r="C1865" s="284"/>
      <c r="D1865" s="284"/>
      <c r="E1865" s="284"/>
      <c r="F1865" s="284"/>
      <c r="G1865" s="284"/>
      <c r="H1865" s="284"/>
      <c r="I1865" s="284"/>
      <c r="J1865" s="284"/>
      <c r="K1865" s="284"/>
      <c r="L1865" s="284"/>
      <c r="M1865" s="113"/>
      <c r="N1865" s="113"/>
      <c r="O1865" s="335"/>
      <c r="T1865" s="340"/>
      <c r="V1865" s="342"/>
      <c r="W1865" s="64" ph="1"/>
      <c r="X1865" s="241"/>
      <c r="Y1865" s="284"/>
      <c r="Z1865" s="207"/>
      <c r="AA1865" s="284"/>
      <c r="AB1865" s="284"/>
      <c r="AC1865" s="284"/>
      <c r="AD1865" s="284"/>
      <c r="AE1865" s="284"/>
      <c r="AF1865" s="284"/>
      <c r="AG1865" s="284"/>
      <c r="AI1865" s="284"/>
    </row>
    <row r="1866" spans="1:35" ht="26.4">
      <c r="A1866" s="284"/>
      <c r="B1866" s="284"/>
      <c r="C1866" s="284"/>
      <c r="D1866" s="284"/>
      <c r="E1866" s="284"/>
      <c r="F1866" s="284"/>
      <c r="G1866" s="284"/>
      <c r="H1866" s="284"/>
      <c r="I1866" s="284"/>
      <c r="J1866" s="284"/>
      <c r="K1866" s="284"/>
      <c r="L1866" s="284"/>
      <c r="M1866" s="113"/>
      <c r="N1866" s="113"/>
      <c r="O1866" s="335"/>
      <c r="T1866" s="340"/>
      <c r="V1866" s="342"/>
      <c r="W1866" s="64" ph="1"/>
      <c r="X1866" s="241"/>
      <c r="Y1866" s="284"/>
      <c r="Z1866" s="207"/>
      <c r="AA1866" s="284"/>
      <c r="AB1866" s="284"/>
      <c r="AC1866" s="284"/>
      <c r="AD1866" s="284"/>
      <c r="AE1866" s="284"/>
      <c r="AF1866" s="284"/>
      <c r="AG1866" s="284"/>
      <c r="AI1866" s="284"/>
    </row>
    <row r="1867" spans="1:35" ht="26.4">
      <c r="A1867" s="284"/>
      <c r="B1867" s="284"/>
      <c r="C1867" s="284"/>
      <c r="D1867" s="284"/>
      <c r="E1867" s="284"/>
      <c r="F1867" s="284"/>
      <c r="G1867" s="284"/>
      <c r="H1867" s="284"/>
      <c r="I1867" s="284"/>
      <c r="J1867" s="284"/>
      <c r="K1867" s="284"/>
      <c r="L1867" s="284"/>
      <c r="M1867" s="113"/>
      <c r="N1867" s="113"/>
      <c r="O1867" s="335"/>
      <c r="T1867" s="340"/>
      <c r="V1867" s="342"/>
      <c r="W1867" s="64" ph="1"/>
      <c r="X1867" s="241"/>
      <c r="Y1867" s="284"/>
      <c r="Z1867" s="207"/>
      <c r="AA1867" s="284"/>
      <c r="AB1867" s="284"/>
      <c r="AC1867" s="284"/>
      <c r="AD1867" s="284"/>
      <c r="AE1867" s="284"/>
      <c r="AF1867" s="284"/>
      <c r="AG1867" s="284"/>
      <c r="AI1867" s="131"/>
    </row>
    <row r="1868" spans="1:35" ht="26.4">
      <c r="A1868" s="284"/>
      <c r="B1868" s="284"/>
      <c r="C1868" s="284"/>
      <c r="D1868" s="284"/>
      <c r="E1868" s="284"/>
      <c r="F1868" s="284"/>
      <c r="G1868" s="284"/>
      <c r="H1868" s="284"/>
      <c r="I1868" s="284"/>
      <c r="J1868" s="284"/>
      <c r="K1868" s="284"/>
      <c r="L1868" s="284"/>
      <c r="M1868" s="113"/>
      <c r="N1868" s="113"/>
      <c r="O1868" s="335"/>
      <c r="T1868" s="340"/>
      <c r="V1868" s="342"/>
      <c r="W1868" s="64" ph="1"/>
      <c r="X1868" s="241"/>
      <c r="Y1868" s="284"/>
      <c r="Z1868" s="207"/>
      <c r="AA1868" s="284"/>
      <c r="AB1868" s="284"/>
      <c r="AC1868" s="284"/>
      <c r="AD1868" s="284"/>
      <c r="AE1868" s="284"/>
      <c r="AF1868" s="284"/>
      <c r="AG1868" s="284"/>
      <c r="AI1868" s="131"/>
    </row>
    <row r="1869" spans="1:35" ht="26.4">
      <c r="A1869" s="284"/>
      <c r="B1869" s="284"/>
      <c r="C1869" s="284"/>
      <c r="D1869" s="284"/>
      <c r="E1869" s="284"/>
      <c r="F1869" s="284"/>
      <c r="G1869" s="284"/>
      <c r="H1869" s="284"/>
      <c r="I1869" s="284"/>
      <c r="J1869" s="284"/>
      <c r="K1869" s="284"/>
      <c r="L1869" s="284"/>
      <c r="M1869" s="113"/>
      <c r="N1869" s="113"/>
      <c r="O1869" s="335"/>
      <c r="T1869" s="340"/>
      <c r="V1869" s="342"/>
      <c r="W1869" s="64" ph="1"/>
      <c r="X1869" s="241"/>
      <c r="Y1869" s="284"/>
      <c r="Z1869" s="207"/>
      <c r="AA1869" s="284"/>
      <c r="AB1869" s="284"/>
      <c r="AC1869" s="284"/>
      <c r="AD1869" s="284"/>
      <c r="AE1869" s="284"/>
      <c r="AF1869" s="284"/>
      <c r="AG1869" s="284"/>
    </row>
    <row r="1870" spans="1:35" ht="26.4">
      <c r="A1870" s="284"/>
      <c r="B1870" s="284"/>
      <c r="C1870" s="284"/>
      <c r="D1870" s="284"/>
      <c r="E1870" s="284"/>
      <c r="F1870" s="284"/>
      <c r="G1870" s="284"/>
      <c r="H1870" s="284"/>
      <c r="I1870" s="284"/>
      <c r="J1870" s="284"/>
      <c r="K1870" s="284"/>
      <c r="L1870" s="284"/>
      <c r="M1870" s="113"/>
      <c r="N1870" s="113"/>
      <c r="O1870" s="335"/>
      <c r="T1870" s="340"/>
      <c r="V1870" s="342"/>
      <c r="W1870" s="64" ph="1"/>
      <c r="X1870" s="241"/>
      <c r="Y1870" s="284"/>
      <c r="Z1870" s="207"/>
      <c r="AA1870" s="284"/>
      <c r="AB1870" s="284"/>
      <c r="AC1870" s="284"/>
      <c r="AD1870" s="284"/>
      <c r="AE1870" s="284"/>
      <c r="AF1870" s="284"/>
      <c r="AG1870" s="284"/>
    </row>
    <row r="1871" spans="1:35" ht="26.4">
      <c r="A1871" s="284"/>
      <c r="B1871" s="284"/>
      <c r="C1871" s="284"/>
      <c r="D1871" s="284"/>
      <c r="E1871" s="284"/>
      <c r="F1871" s="284"/>
      <c r="G1871" s="284"/>
      <c r="H1871" s="284"/>
      <c r="I1871" s="284"/>
      <c r="J1871" s="284"/>
      <c r="K1871" s="284"/>
      <c r="L1871" s="284"/>
      <c r="M1871" s="113"/>
      <c r="N1871" s="113"/>
      <c r="O1871" s="335"/>
      <c r="T1871" s="340"/>
      <c r="V1871" s="342"/>
      <c r="W1871" s="64" ph="1"/>
      <c r="X1871" s="241"/>
      <c r="Y1871" s="284"/>
      <c r="Z1871" s="207"/>
      <c r="AA1871" s="284"/>
      <c r="AB1871" s="284"/>
      <c r="AC1871" s="284"/>
      <c r="AD1871" s="284"/>
      <c r="AE1871" s="284"/>
      <c r="AF1871" s="284"/>
      <c r="AG1871" s="284"/>
    </row>
    <row r="1872" spans="1:35" ht="26.4">
      <c r="A1872" s="284"/>
      <c r="B1872" s="284"/>
      <c r="C1872" s="284"/>
      <c r="D1872" s="284"/>
      <c r="E1872" s="284"/>
      <c r="F1872" s="284"/>
      <c r="G1872" s="284"/>
      <c r="H1872" s="284"/>
      <c r="I1872" s="284"/>
      <c r="J1872" s="284"/>
      <c r="K1872" s="284"/>
      <c r="L1872" s="284"/>
      <c r="M1872" s="113"/>
      <c r="N1872" s="113"/>
      <c r="O1872" s="335"/>
      <c r="T1872" s="340"/>
      <c r="V1872" s="342"/>
      <c r="W1872" s="64" ph="1"/>
      <c r="X1872" s="241"/>
      <c r="Y1872" s="284"/>
      <c r="Z1872" s="207"/>
      <c r="AA1872" s="284"/>
      <c r="AB1872" s="284"/>
      <c r="AC1872" s="284"/>
      <c r="AD1872" s="284"/>
      <c r="AE1872" s="284"/>
      <c r="AF1872" s="284"/>
      <c r="AG1872" s="284"/>
    </row>
    <row r="1873" spans="1:33" ht="26.4">
      <c r="A1873" s="284"/>
      <c r="B1873" s="284"/>
      <c r="C1873" s="284"/>
      <c r="D1873" s="284"/>
      <c r="E1873" s="284"/>
      <c r="F1873" s="284"/>
      <c r="G1873" s="284"/>
      <c r="H1873" s="284"/>
      <c r="I1873" s="284"/>
      <c r="J1873" s="284"/>
      <c r="K1873" s="284"/>
      <c r="L1873" s="284"/>
      <c r="M1873" s="113"/>
      <c r="N1873" s="113"/>
      <c r="O1873" s="335"/>
      <c r="T1873" s="340"/>
      <c r="V1873" s="342"/>
      <c r="W1873" s="64" ph="1"/>
      <c r="X1873" s="241"/>
      <c r="Y1873" s="284"/>
      <c r="Z1873" s="207"/>
      <c r="AA1873" s="284"/>
      <c r="AB1873" s="284"/>
      <c r="AC1873" s="284"/>
      <c r="AD1873" s="284"/>
      <c r="AE1873" s="284"/>
      <c r="AF1873" s="284"/>
      <c r="AG1873" s="284"/>
    </row>
    <row r="1874" spans="1:33" ht="26.4">
      <c r="A1874" s="284"/>
      <c r="B1874" s="284"/>
      <c r="C1874" s="284"/>
      <c r="D1874" s="284"/>
      <c r="E1874" s="284"/>
      <c r="F1874" s="284"/>
      <c r="G1874" s="284"/>
      <c r="H1874" s="284"/>
      <c r="I1874" s="284"/>
      <c r="J1874" s="284"/>
      <c r="K1874" s="284"/>
      <c r="L1874" s="284"/>
      <c r="M1874" s="113"/>
      <c r="N1874" s="113"/>
      <c r="O1874" s="335"/>
      <c r="T1874" s="340"/>
      <c r="V1874" s="342"/>
      <c r="W1874" s="64" ph="1"/>
      <c r="X1874" s="241"/>
      <c r="Y1874" s="284"/>
      <c r="Z1874" s="207"/>
      <c r="AA1874" s="284"/>
      <c r="AB1874" s="284"/>
      <c r="AC1874" s="284"/>
      <c r="AD1874" s="284"/>
      <c r="AE1874" s="284"/>
      <c r="AF1874" s="284"/>
      <c r="AG1874" s="284"/>
    </row>
    <row r="1875" spans="1:33" ht="26.4">
      <c r="A1875" s="284"/>
      <c r="B1875" s="284"/>
      <c r="C1875" s="284"/>
      <c r="D1875" s="284"/>
      <c r="E1875" s="284"/>
      <c r="F1875" s="284"/>
      <c r="G1875" s="284"/>
      <c r="H1875" s="284"/>
      <c r="I1875" s="284"/>
      <c r="J1875" s="284"/>
      <c r="K1875" s="284"/>
      <c r="L1875" s="284"/>
      <c r="M1875" s="113"/>
      <c r="N1875" s="113"/>
      <c r="O1875" s="335"/>
      <c r="T1875" s="340"/>
      <c r="V1875" s="342"/>
      <c r="W1875" s="64" ph="1"/>
      <c r="X1875" s="241"/>
      <c r="Y1875" s="284"/>
      <c r="Z1875" s="207"/>
      <c r="AA1875" s="284"/>
      <c r="AB1875" s="284"/>
      <c r="AC1875" s="284"/>
      <c r="AD1875" s="284"/>
      <c r="AE1875" s="284"/>
      <c r="AF1875" s="284"/>
      <c r="AG1875" s="284"/>
    </row>
    <row r="1876" spans="1:33" ht="26.4">
      <c r="A1876" s="284"/>
      <c r="B1876" s="284"/>
      <c r="C1876" s="284"/>
      <c r="D1876" s="284"/>
      <c r="E1876" s="284"/>
      <c r="F1876" s="284"/>
      <c r="G1876" s="284"/>
      <c r="H1876" s="284"/>
      <c r="I1876" s="284"/>
      <c r="J1876" s="284"/>
      <c r="K1876" s="284"/>
      <c r="L1876" s="284"/>
      <c r="M1876" s="113"/>
      <c r="N1876" s="113"/>
      <c r="O1876" s="335"/>
      <c r="T1876" s="340"/>
      <c r="V1876" s="342"/>
      <c r="W1876" s="64" ph="1"/>
      <c r="X1876" s="241"/>
      <c r="Y1876" s="284"/>
      <c r="Z1876" s="207"/>
      <c r="AA1876" s="284"/>
      <c r="AB1876" s="284"/>
      <c r="AC1876" s="284"/>
      <c r="AD1876" s="284"/>
      <c r="AE1876" s="284"/>
      <c r="AF1876" s="284"/>
      <c r="AG1876" s="284"/>
    </row>
    <row r="1877" spans="1:33" ht="26.4">
      <c r="A1877" s="284"/>
      <c r="B1877" s="284"/>
      <c r="C1877" s="284"/>
      <c r="D1877" s="284"/>
      <c r="E1877" s="284"/>
      <c r="F1877" s="284"/>
      <c r="G1877" s="284"/>
      <c r="H1877" s="284"/>
      <c r="I1877" s="284"/>
      <c r="J1877" s="284"/>
      <c r="K1877" s="284"/>
      <c r="L1877" s="284"/>
      <c r="M1877" s="113"/>
      <c r="N1877" s="113"/>
      <c r="O1877" s="335"/>
      <c r="T1877" s="340"/>
      <c r="V1877" s="342"/>
      <c r="W1877" s="64" ph="1"/>
      <c r="X1877" s="241"/>
      <c r="Y1877" s="284"/>
      <c r="Z1877" s="207"/>
      <c r="AA1877" s="284"/>
      <c r="AB1877" s="284"/>
      <c r="AC1877" s="284"/>
      <c r="AD1877" s="284"/>
      <c r="AE1877" s="284"/>
      <c r="AF1877" s="284"/>
      <c r="AG1877" s="284"/>
    </row>
    <row r="1878" spans="1:33" ht="26.4">
      <c r="A1878" s="284"/>
      <c r="B1878" s="284"/>
      <c r="C1878" s="284"/>
      <c r="D1878" s="284"/>
      <c r="E1878" s="284"/>
      <c r="F1878" s="284"/>
      <c r="G1878" s="284"/>
      <c r="H1878" s="284"/>
      <c r="I1878" s="284"/>
      <c r="J1878" s="284"/>
      <c r="K1878" s="284"/>
      <c r="L1878" s="284"/>
      <c r="M1878" s="113"/>
      <c r="N1878" s="113"/>
      <c r="O1878" s="335"/>
      <c r="T1878" s="340"/>
      <c r="V1878" s="342"/>
      <c r="W1878" s="64" ph="1"/>
      <c r="X1878" s="241"/>
      <c r="Y1878" s="284"/>
      <c r="Z1878" s="207"/>
      <c r="AA1878" s="284"/>
      <c r="AB1878" s="284"/>
      <c r="AC1878" s="284"/>
      <c r="AD1878" s="284"/>
      <c r="AE1878" s="284"/>
      <c r="AF1878" s="284"/>
      <c r="AG1878" s="284"/>
    </row>
    <row r="1879" spans="1:33" ht="26.4">
      <c r="A1879" s="284"/>
      <c r="B1879" s="284"/>
      <c r="C1879" s="284"/>
      <c r="D1879" s="284"/>
      <c r="E1879" s="284"/>
      <c r="F1879" s="284"/>
      <c r="G1879" s="284"/>
      <c r="H1879" s="284"/>
      <c r="I1879" s="284"/>
      <c r="J1879" s="284"/>
      <c r="K1879" s="284"/>
      <c r="L1879" s="284"/>
      <c r="M1879" s="113"/>
      <c r="N1879" s="113"/>
      <c r="O1879" s="335"/>
      <c r="T1879" s="340"/>
      <c r="V1879" s="342"/>
      <c r="W1879" s="64" ph="1"/>
      <c r="X1879" s="241"/>
      <c r="Y1879" s="284"/>
      <c r="Z1879" s="207"/>
      <c r="AA1879" s="284"/>
      <c r="AB1879" s="284"/>
      <c r="AC1879" s="284"/>
      <c r="AD1879" s="284"/>
      <c r="AE1879" s="284"/>
      <c r="AF1879" s="284"/>
      <c r="AG1879" s="284"/>
    </row>
    <row r="1880" spans="1:33" ht="26.4">
      <c r="A1880" s="284"/>
      <c r="B1880" s="284"/>
      <c r="C1880" s="284"/>
      <c r="D1880" s="284"/>
      <c r="E1880" s="284"/>
      <c r="F1880" s="284"/>
      <c r="G1880" s="284"/>
      <c r="H1880" s="284"/>
      <c r="I1880" s="284"/>
      <c r="J1880" s="284"/>
      <c r="K1880" s="284"/>
      <c r="L1880" s="284"/>
      <c r="M1880" s="113"/>
      <c r="N1880" s="113"/>
      <c r="O1880" s="335"/>
      <c r="T1880" s="340"/>
      <c r="V1880" s="342"/>
      <c r="W1880" s="64" ph="1"/>
      <c r="X1880" s="241"/>
      <c r="Y1880" s="284"/>
      <c r="Z1880" s="207"/>
      <c r="AA1880" s="284"/>
      <c r="AB1880" s="284"/>
      <c r="AC1880" s="284"/>
      <c r="AD1880" s="284"/>
      <c r="AE1880" s="284"/>
      <c r="AF1880" s="284"/>
      <c r="AG1880" s="284"/>
    </row>
    <row r="1881" spans="1:33" ht="26.4">
      <c r="A1881" s="284"/>
      <c r="B1881" s="284"/>
      <c r="C1881" s="284"/>
      <c r="D1881" s="284"/>
      <c r="E1881" s="284"/>
      <c r="F1881" s="284"/>
      <c r="G1881" s="284"/>
      <c r="H1881" s="284"/>
      <c r="I1881" s="284"/>
      <c r="J1881" s="284"/>
      <c r="K1881" s="284"/>
      <c r="L1881" s="284"/>
      <c r="M1881" s="113"/>
      <c r="N1881" s="113"/>
      <c r="O1881" s="335"/>
      <c r="T1881" s="340"/>
      <c r="V1881" s="342"/>
      <c r="W1881" s="64" ph="1"/>
      <c r="X1881" s="241"/>
      <c r="Y1881" s="284"/>
      <c r="Z1881" s="207"/>
      <c r="AA1881" s="284"/>
      <c r="AB1881" s="284"/>
      <c r="AC1881" s="284"/>
      <c r="AD1881" s="284"/>
      <c r="AE1881" s="284"/>
      <c r="AF1881" s="284"/>
      <c r="AG1881" s="284"/>
    </row>
    <row r="1882" spans="1:33" ht="26.4">
      <c r="A1882" s="284"/>
      <c r="B1882" s="284"/>
      <c r="C1882" s="284"/>
      <c r="D1882" s="284"/>
      <c r="E1882" s="284"/>
      <c r="F1882" s="284"/>
      <c r="G1882" s="284"/>
      <c r="H1882" s="284"/>
      <c r="I1882" s="284"/>
      <c r="J1882" s="284"/>
      <c r="K1882" s="284"/>
      <c r="L1882" s="284"/>
      <c r="M1882" s="113"/>
      <c r="N1882" s="113"/>
      <c r="O1882" s="335"/>
      <c r="T1882" s="340"/>
      <c r="V1882" s="342"/>
      <c r="W1882" s="64" ph="1"/>
      <c r="X1882" s="241"/>
      <c r="Y1882" s="284"/>
      <c r="Z1882" s="207"/>
      <c r="AA1882" s="284"/>
      <c r="AB1882" s="284"/>
      <c r="AC1882" s="284"/>
      <c r="AD1882" s="284"/>
      <c r="AE1882" s="284"/>
      <c r="AF1882" s="284"/>
      <c r="AG1882" s="284"/>
    </row>
    <row r="1883" spans="1:33" ht="26.4">
      <c r="A1883" s="284"/>
      <c r="B1883" s="284"/>
      <c r="C1883" s="284"/>
      <c r="D1883" s="284"/>
      <c r="E1883" s="284"/>
      <c r="F1883" s="284"/>
      <c r="G1883" s="284"/>
      <c r="H1883" s="284"/>
      <c r="I1883" s="284"/>
      <c r="J1883" s="284"/>
      <c r="K1883" s="284"/>
      <c r="L1883" s="284"/>
      <c r="M1883" s="113"/>
      <c r="N1883" s="113"/>
      <c r="O1883" s="335"/>
      <c r="T1883" s="340"/>
      <c r="V1883" s="342"/>
      <c r="W1883" s="64" ph="1"/>
      <c r="X1883" s="241"/>
      <c r="Y1883" s="284"/>
      <c r="Z1883" s="207"/>
      <c r="AA1883" s="284"/>
      <c r="AB1883" s="284"/>
      <c r="AC1883" s="284"/>
      <c r="AD1883" s="284"/>
      <c r="AE1883" s="284"/>
      <c r="AF1883" s="284"/>
      <c r="AG1883" s="284"/>
    </row>
    <row r="1884" spans="1:33" ht="26.4">
      <c r="A1884" s="284"/>
      <c r="B1884" s="284"/>
      <c r="C1884" s="284"/>
      <c r="D1884" s="284"/>
      <c r="E1884" s="284"/>
      <c r="F1884" s="284"/>
      <c r="G1884" s="284"/>
      <c r="H1884" s="284"/>
      <c r="I1884" s="284"/>
      <c r="J1884" s="284"/>
      <c r="K1884" s="284"/>
      <c r="L1884" s="284"/>
      <c r="M1884" s="113"/>
      <c r="N1884" s="113"/>
      <c r="O1884" s="335"/>
      <c r="T1884" s="340"/>
      <c r="V1884" s="342"/>
      <c r="W1884" s="64" ph="1"/>
      <c r="X1884" s="241"/>
      <c r="Y1884" s="284"/>
      <c r="Z1884" s="207"/>
      <c r="AA1884" s="284"/>
      <c r="AB1884" s="284"/>
      <c r="AC1884" s="284"/>
      <c r="AD1884" s="284"/>
      <c r="AE1884" s="284"/>
      <c r="AF1884" s="284"/>
      <c r="AG1884" s="284"/>
    </row>
    <row r="1885" spans="1:33" ht="26.4">
      <c r="A1885" s="284"/>
      <c r="B1885" s="284"/>
      <c r="C1885" s="284"/>
      <c r="D1885" s="284"/>
      <c r="E1885" s="284"/>
      <c r="F1885" s="284"/>
      <c r="G1885" s="284"/>
      <c r="H1885" s="284"/>
      <c r="I1885" s="284"/>
      <c r="J1885" s="284"/>
      <c r="K1885" s="284"/>
      <c r="L1885" s="284"/>
      <c r="M1885" s="113"/>
      <c r="N1885" s="113"/>
      <c r="O1885" s="335"/>
      <c r="T1885" s="340"/>
      <c r="V1885" s="342"/>
      <c r="W1885" s="64" ph="1"/>
      <c r="X1885" s="241"/>
      <c r="Y1885" s="284"/>
      <c r="Z1885" s="207"/>
      <c r="AA1885" s="284"/>
      <c r="AB1885" s="284"/>
      <c r="AC1885" s="284"/>
      <c r="AD1885" s="284"/>
      <c r="AE1885" s="284"/>
      <c r="AF1885" s="284"/>
      <c r="AG1885" s="284"/>
    </row>
    <row r="1886" spans="1:33" ht="26.4">
      <c r="A1886" s="284"/>
      <c r="B1886" s="284"/>
      <c r="C1886" s="284"/>
      <c r="D1886" s="284"/>
      <c r="E1886" s="284"/>
      <c r="F1886" s="284"/>
      <c r="G1886" s="284"/>
      <c r="H1886" s="284"/>
      <c r="I1886" s="284"/>
      <c r="J1886" s="284"/>
      <c r="K1886" s="284"/>
      <c r="L1886" s="284"/>
      <c r="M1886" s="113"/>
      <c r="N1886" s="113"/>
      <c r="O1886" s="335"/>
      <c r="T1886" s="340"/>
      <c r="V1886" s="342"/>
      <c r="W1886" s="64" ph="1"/>
      <c r="X1886" s="241"/>
      <c r="Y1886" s="284"/>
      <c r="Z1886" s="207"/>
      <c r="AA1886" s="284"/>
      <c r="AB1886" s="284"/>
      <c r="AC1886" s="284"/>
      <c r="AD1886" s="284"/>
      <c r="AE1886" s="284"/>
      <c r="AF1886" s="284"/>
      <c r="AG1886" s="284"/>
    </row>
    <row r="1887" spans="1:33" ht="26.4">
      <c r="A1887" s="284"/>
      <c r="B1887" s="284"/>
      <c r="C1887" s="284"/>
      <c r="D1887" s="284"/>
      <c r="E1887" s="284"/>
      <c r="F1887" s="284"/>
      <c r="G1887" s="284"/>
      <c r="H1887" s="284"/>
      <c r="I1887" s="284"/>
      <c r="J1887" s="284"/>
      <c r="K1887" s="284"/>
      <c r="L1887" s="284"/>
      <c r="M1887" s="113"/>
      <c r="N1887" s="113"/>
      <c r="O1887" s="335"/>
      <c r="T1887" s="340"/>
      <c r="V1887" s="342"/>
      <c r="W1887" s="64" ph="1"/>
      <c r="X1887" s="241"/>
      <c r="Y1887" s="284"/>
      <c r="Z1887" s="207"/>
      <c r="AA1887" s="284"/>
      <c r="AB1887" s="284"/>
      <c r="AC1887" s="284"/>
      <c r="AD1887" s="284"/>
      <c r="AE1887" s="284"/>
      <c r="AF1887" s="284"/>
      <c r="AG1887" s="284"/>
    </row>
    <row r="1888" spans="1:33" ht="26.4">
      <c r="A1888" s="284"/>
      <c r="B1888" s="284"/>
      <c r="C1888" s="284"/>
      <c r="D1888" s="284"/>
      <c r="E1888" s="284"/>
      <c r="F1888" s="284"/>
      <c r="G1888" s="284"/>
      <c r="H1888" s="284"/>
      <c r="I1888" s="284"/>
      <c r="J1888" s="284"/>
      <c r="K1888" s="284"/>
      <c r="L1888" s="284"/>
      <c r="M1888" s="113"/>
      <c r="N1888" s="113"/>
      <c r="O1888" s="335"/>
      <c r="T1888" s="340"/>
      <c r="V1888" s="342"/>
      <c r="W1888" s="64" ph="1"/>
      <c r="X1888" s="241"/>
      <c r="Y1888" s="284"/>
      <c r="Z1888" s="207"/>
      <c r="AA1888" s="284"/>
      <c r="AB1888" s="284"/>
      <c r="AC1888" s="284"/>
      <c r="AD1888" s="284"/>
      <c r="AE1888" s="284"/>
      <c r="AF1888" s="284"/>
      <c r="AG1888" s="284"/>
    </row>
    <row r="1889" spans="1:33" ht="26.4">
      <c r="A1889" s="284"/>
      <c r="B1889" s="284"/>
      <c r="C1889" s="284"/>
      <c r="D1889" s="284"/>
      <c r="E1889" s="284"/>
      <c r="F1889" s="284"/>
      <c r="G1889" s="284"/>
      <c r="H1889" s="284"/>
      <c r="I1889" s="284"/>
      <c r="J1889" s="284"/>
      <c r="K1889" s="284"/>
      <c r="L1889" s="284"/>
      <c r="M1889" s="113"/>
      <c r="N1889" s="113"/>
      <c r="O1889" s="335"/>
      <c r="T1889" s="340"/>
      <c r="V1889" s="342"/>
      <c r="W1889" s="64" ph="1"/>
      <c r="X1889" s="241"/>
      <c r="Y1889" s="284"/>
      <c r="Z1889" s="207"/>
      <c r="AA1889" s="284"/>
      <c r="AB1889" s="284"/>
      <c r="AC1889" s="284"/>
      <c r="AD1889" s="284"/>
      <c r="AE1889" s="284"/>
      <c r="AF1889" s="284"/>
      <c r="AG1889" s="284"/>
    </row>
    <row r="1890" spans="1:33" ht="26.4">
      <c r="A1890" s="284"/>
      <c r="B1890" s="284"/>
      <c r="C1890" s="284"/>
      <c r="D1890" s="284"/>
      <c r="E1890" s="284"/>
      <c r="F1890" s="284"/>
      <c r="G1890" s="284"/>
      <c r="H1890" s="284"/>
      <c r="I1890" s="284"/>
      <c r="J1890" s="284"/>
      <c r="K1890" s="284"/>
      <c r="L1890" s="284"/>
      <c r="M1890" s="113"/>
      <c r="N1890" s="113"/>
      <c r="O1890" s="335"/>
      <c r="T1890" s="340"/>
      <c r="V1890" s="342"/>
      <c r="W1890" s="64" ph="1"/>
      <c r="X1890" s="241"/>
      <c r="Y1890" s="284"/>
      <c r="Z1890" s="207"/>
      <c r="AA1890" s="284"/>
      <c r="AB1890" s="284"/>
      <c r="AC1890" s="284"/>
      <c r="AD1890" s="284"/>
      <c r="AE1890" s="284"/>
      <c r="AF1890" s="284"/>
      <c r="AG1890" s="284"/>
    </row>
    <row r="1891" spans="1:33" ht="26.4">
      <c r="A1891" s="284"/>
      <c r="B1891" s="284"/>
      <c r="C1891" s="284"/>
      <c r="D1891" s="284"/>
      <c r="E1891" s="284"/>
      <c r="F1891" s="284"/>
      <c r="G1891" s="284"/>
      <c r="H1891" s="284"/>
      <c r="I1891" s="284"/>
      <c r="J1891" s="284"/>
      <c r="K1891" s="284"/>
      <c r="L1891" s="284"/>
      <c r="M1891" s="113"/>
      <c r="N1891" s="113"/>
      <c r="O1891" s="335"/>
      <c r="T1891" s="340"/>
      <c r="V1891" s="342"/>
      <c r="W1891" s="64" ph="1"/>
      <c r="X1891" s="241"/>
      <c r="Y1891" s="284"/>
      <c r="Z1891" s="207"/>
      <c r="AA1891" s="284"/>
      <c r="AB1891" s="284"/>
      <c r="AC1891" s="284"/>
      <c r="AD1891" s="284"/>
      <c r="AE1891" s="284"/>
      <c r="AF1891" s="284"/>
      <c r="AG1891" s="284"/>
    </row>
    <row r="1892" spans="1:33" ht="26.4">
      <c r="A1892" s="284"/>
      <c r="B1892" s="284"/>
      <c r="C1892" s="284"/>
      <c r="D1892" s="284"/>
      <c r="E1892" s="284"/>
      <c r="F1892" s="284"/>
      <c r="G1892" s="284"/>
      <c r="H1892" s="284"/>
      <c r="I1892" s="284"/>
      <c r="J1892" s="284"/>
      <c r="K1892" s="284"/>
      <c r="L1892" s="284"/>
      <c r="M1892" s="113"/>
      <c r="N1892" s="113"/>
      <c r="O1892" s="335"/>
      <c r="T1892" s="340"/>
      <c r="V1892" s="342"/>
      <c r="W1892" s="64" ph="1"/>
      <c r="X1892" s="241"/>
      <c r="Y1892" s="284"/>
      <c r="Z1892" s="207"/>
      <c r="AA1892" s="284"/>
      <c r="AB1892" s="284"/>
      <c r="AC1892" s="284"/>
      <c r="AD1892" s="284"/>
      <c r="AE1892" s="284"/>
      <c r="AF1892" s="284"/>
      <c r="AG1892" s="284"/>
    </row>
    <row r="1893" spans="1:33" ht="26.4">
      <c r="A1893" s="284"/>
      <c r="B1893" s="284"/>
      <c r="C1893" s="284"/>
      <c r="D1893" s="284"/>
      <c r="E1893" s="284"/>
      <c r="F1893" s="284"/>
      <c r="G1893" s="284"/>
      <c r="H1893" s="284"/>
      <c r="I1893" s="284"/>
      <c r="J1893" s="284"/>
      <c r="K1893" s="284"/>
      <c r="L1893" s="284"/>
      <c r="M1893" s="113"/>
      <c r="N1893" s="113"/>
      <c r="O1893" s="335"/>
      <c r="T1893" s="340"/>
      <c r="V1893" s="342"/>
      <c r="W1893" s="64" ph="1"/>
      <c r="X1893" s="241"/>
      <c r="Y1893" s="284"/>
      <c r="Z1893" s="207"/>
      <c r="AA1893" s="284"/>
      <c r="AB1893" s="284"/>
      <c r="AC1893" s="284"/>
      <c r="AD1893" s="284"/>
      <c r="AE1893" s="284"/>
      <c r="AF1893" s="284"/>
      <c r="AG1893" s="284"/>
    </row>
    <row r="1894" spans="1:33" ht="26.4">
      <c r="A1894" s="284"/>
      <c r="B1894" s="284"/>
      <c r="C1894" s="284"/>
      <c r="D1894" s="284"/>
      <c r="E1894" s="284"/>
      <c r="F1894" s="284"/>
      <c r="G1894" s="284"/>
      <c r="H1894" s="284"/>
      <c r="I1894" s="284"/>
      <c r="J1894" s="284"/>
      <c r="K1894" s="284"/>
      <c r="L1894" s="284"/>
      <c r="M1894" s="113"/>
      <c r="N1894" s="113"/>
      <c r="O1894" s="335"/>
      <c r="T1894" s="340"/>
      <c r="V1894" s="342"/>
      <c r="W1894" s="64" ph="1"/>
      <c r="X1894" s="241"/>
      <c r="Y1894" s="284"/>
      <c r="Z1894" s="207"/>
      <c r="AA1894" s="284"/>
      <c r="AB1894" s="284"/>
      <c r="AC1894" s="284"/>
      <c r="AD1894" s="284"/>
      <c r="AE1894" s="284"/>
      <c r="AF1894" s="284"/>
      <c r="AG1894" s="284"/>
    </row>
    <row r="1895" spans="1:33" ht="26.4">
      <c r="A1895" s="284"/>
      <c r="B1895" s="284"/>
      <c r="C1895" s="284"/>
      <c r="D1895" s="284"/>
      <c r="E1895" s="284"/>
      <c r="F1895" s="284"/>
      <c r="G1895" s="284"/>
      <c r="H1895" s="284"/>
      <c r="I1895" s="284"/>
      <c r="J1895" s="284"/>
      <c r="K1895" s="284"/>
      <c r="L1895" s="284"/>
      <c r="M1895" s="113"/>
      <c r="N1895" s="113"/>
      <c r="O1895" s="335"/>
      <c r="T1895" s="340"/>
      <c r="V1895" s="342"/>
      <c r="W1895" s="64" ph="1"/>
      <c r="X1895" s="241"/>
      <c r="Y1895" s="284"/>
      <c r="Z1895" s="207"/>
      <c r="AA1895" s="284"/>
      <c r="AB1895" s="284"/>
      <c r="AC1895" s="284"/>
      <c r="AD1895" s="284"/>
      <c r="AE1895" s="284"/>
      <c r="AF1895" s="284"/>
      <c r="AG1895" s="284"/>
    </row>
    <row r="1896" spans="1:33" ht="26.4">
      <c r="A1896" s="284"/>
      <c r="B1896" s="284"/>
      <c r="C1896" s="284"/>
      <c r="D1896" s="284"/>
      <c r="E1896" s="284"/>
      <c r="F1896" s="284"/>
      <c r="G1896" s="284"/>
      <c r="H1896" s="284"/>
      <c r="I1896" s="284"/>
      <c r="J1896" s="284"/>
      <c r="K1896" s="284"/>
      <c r="L1896" s="284"/>
      <c r="M1896" s="113"/>
      <c r="N1896" s="113"/>
      <c r="O1896" s="335"/>
      <c r="T1896" s="340"/>
      <c r="V1896" s="342"/>
      <c r="W1896" s="64" ph="1"/>
      <c r="X1896" s="241"/>
      <c r="Y1896" s="284"/>
      <c r="Z1896" s="207"/>
      <c r="AA1896" s="284"/>
      <c r="AB1896" s="284"/>
      <c r="AC1896" s="284"/>
      <c r="AD1896" s="284"/>
      <c r="AE1896" s="284"/>
      <c r="AF1896" s="284"/>
      <c r="AG1896" s="284"/>
    </row>
    <row r="1897" spans="1:33" ht="26.4">
      <c r="A1897" s="284"/>
      <c r="B1897" s="284"/>
      <c r="C1897" s="284"/>
      <c r="D1897" s="284"/>
      <c r="E1897" s="284"/>
      <c r="F1897" s="284"/>
      <c r="G1897" s="284"/>
      <c r="H1897" s="284"/>
      <c r="I1897" s="284"/>
      <c r="J1897" s="284"/>
      <c r="K1897" s="284"/>
      <c r="L1897" s="284"/>
      <c r="M1897" s="113"/>
      <c r="N1897" s="113"/>
      <c r="O1897" s="335"/>
      <c r="T1897" s="340"/>
      <c r="V1897" s="342"/>
      <c r="W1897" s="64" ph="1"/>
      <c r="X1897" s="241"/>
      <c r="Y1897" s="284"/>
      <c r="Z1897" s="207"/>
      <c r="AA1897" s="284"/>
      <c r="AB1897" s="284"/>
      <c r="AC1897" s="284"/>
      <c r="AD1897" s="284"/>
      <c r="AE1897" s="284"/>
      <c r="AF1897" s="284"/>
      <c r="AG1897" s="284"/>
    </row>
    <row r="1898" spans="1:33" ht="26.4">
      <c r="A1898" s="284"/>
      <c r="B1898" s="284"/>
      <c r="C1898" s="284"/>
      <c r="D1898" s="284"/>
      <c r="E1898" s="284"/>
      <c r="F1898" s="284"/>
      <c r="G1898" s="284"/>
      <c r="H1898" s="284"/>
      <c r="I1898" s="284"/>
      <c r="J1898" s="284"/>
      <c r="K1898" s="284"/>
      <c r="L1898" s="284"/>
      <c r="M1898" s="113"/>
      <c r="N1898" s="113"/>
      <c r="O1898" s="335"/>
      <c r="T1898" s="340"/>
      <c r="V1898" s="342"/>
      <c r="W1898" s="64" ph="1"/>
      <c r="X1898" s="241"/>
      <c r="Y1898" s="284"/>
      <c r="Z1898" s="207"/>
      <c r="AA1898" s="284"/>
      <c r="AB1898" s="284"/>
      <c r="AC1898" s="284"/>
      <c r="AD1898" s="284"/>
      <c r="AE1898" s="284"/>
      <c r="AF1898" s="284"/>
      <c r="AG1898" s="284"/>
    </row>
    <row r="1899" spans="1:33" ht="26.4">
      <c r="A1899" s="284"/>
      <c r="B1899" s="284"/>
      <c r="C1899" s="284"/>
      <c r="D1899" s="284"/>
      <c r="E1899" s="284"/>
      <c r="F1899" s="284"/>
      <c r="G1899" s="284"/>
      <c r="H1899" s="284"/>
      <c r="I1899" s="284"/>
      <c r="J1899" s="284"/>
      <c r="K1899" s="284"/>
      <c r="L1899" s="284"/>
      <c r="M1899" s="113"/>
      <c r="N1899" s="113"/>
      <c r="O1899" s="335"/>
      <c r="T1899" s="340"/>
      <c r="V1899" s="342"/>
      <c r="W1899" s="64" ph="1"/>
      <c r="X1899" s="241"/>
      <c r="Y1899" s="284"/>
      <c r="Z1899" s="207"/>
      <c r="AA1899" s="284"/>
      <c r="AB1899" s="284"/>
      <c r="AC1899" s="284"/>
      <c r="AD1899" s="284"/>
      <c r="AE1899" s="284"/>
      <c r="AF1899" s="284"/>
      <c r="AG1899" s="284"/>
    </row>
    <row r="1900" spans="1:33" ht="26.4">
      <c r="A1900" s="284"/>
      <c r="B1900" s="284"/>
      <c r="C1900" s="284"/>
      <c r="D1900" s="284"/>
      <c r="E1900" s="284"/>
      <c r="F1900" s="284"/>
      <c r="G1900" s="284"/>
      <c r="H1900" s="284"/>
      <c r="I1900" s="284"/>
      <c r="J1900" s="284"/>
      <c r="K1900" s="284"/>
      <c r="L1900" s="284"/>
      <c r="M1900" s="113"/>
      <c r="N1900" s="113"/>
      <c r="O1900" s="335"/>
      <c r="T1900" s="340"/>
      <c r="V1900" s="342"/>
      <c r="W1900" s="64" ph="1"/>
      <c r="X1900" s="241"/>
      <c r="Y1900" s="284"/>
      <c r="Z1900" s="207"/>
      <c r="AA1900" s="284"/>
      <c r="AB1900" s="284"/>
      <c r="AC1900" s="284"/>
      <c r="AD1900" s="284"/>
      <c r="AE1900" s="284"/>
      <c r="AF1900" s="284"/>
      <c r="AG1900" s="284"/>
    </row>
    <row r="1901" spans="1:33" ht="26.4">
      <c r="A1901" s="284"/>
      <c r="B1901" s="284"/>
      <c r="C1901" s="284"/>
      <c r="D1901" s="284"/>
      <c r="E1901" s="284"/>
      <c r="F1901" s="284"/>
      <c r="G1901" s="284"/>
      <c r="H1901" s="284"/>
      <c r="I1901" s="284"/>
      <c r="J1901" s="284"/>
      <c r="K1901" s="284"/>
      <c r="L1901" s="284"/>
      <c r="M1901" s="113"/>
      <c r="N1901" s="113"/>
      <c r="O1901" s="335"/>
      <c r="T1901" s="340"/>
      <c r="V1901" s="342"/>
      <c r="W1901" s="64" ph="1"/>
      <c r="X1901" s="241"/>
      <c r="Y1901" s="284"/>
      <c r="Z1901" s="207"/>
      <c r="AA1901" s="284"/>
      <c r="AB1901" s="284"/>
      <c r="AC1901" s="284"/>
      <c r="AD1901" s="284"/>
      <c r="AE1901" s="284"/>
      <c r="AF1901" s="284"/>
      <c r="AG1901" s="284"/>
    </row>
    <row r="1902" spans="1:33" ht="26.4">
      <c r="A1902" s="284"/>
      <c r="B1902" s="284"/>
      <c r="C1902" s="284"/>
      <c r="D1902" s="284"/>
      <c r="E1902" s="284"/>
      <c r="F1902" s="284"/>
      <c r="G1902" s="284"/>
      <c r="H1902" s="284"/>
      <c r="I1902" s="284"/>
      <c r="J1902" s="284"/>
      <c r="K1902" s="284"/>
      <c r="L1902" s="284"/>
      <c r="M1902" s="113"/>
      <c r="N1902" s="113"/>
      <c r="O1902" s="335"/>
      <c r="T1902" s="340"/>
      <c r="V1902" s="342"/>
      <c r="W1902" s="64" ph="1"/>
      <c r="X1902" s="241"/>
      <c r="Y1902" s="284"/>
      <c r="Z1902" s="207"/>
      <c r="AA1902" s="284"/>
      <c r="AB1902" s="284"/>
      <c r="AC1902" s="284"/>
      <c r="AD1902" s="284"/>
      <c r="AE1902" s="284"/>
      <c r="AF1902" s="284"/>
      <c r="AG1902" s="284"/>
    </row>
    <row r="1903" spans="1:33" ht="26.4">
      <c r="A1903" s="284"/>
      <c r="B1903" s="284"/>
      <c r="C1903" s="284"/>
      <c r="D1903" s="284"/>
      <c r="E1903" s="284"/>
      <c r="F1903" s="284"/>
      <c r="G1903" s="284"/>
      <c r="H1903" s="284"/>
      <c r="I1903" s="284"/>
      <c r="J1903" s="284"/>
      <c r="K1903" s="284"/>
      <c r="L1903" s="284"/>
      <c r="M1903" s="113"/>
      <c r="N1903" s="113"/>
      <c r="O1903" s="335"/>
      <c r="T1903" s="340"/>
      <c r="V1903" s="342"/>
      <c r="W1903" s="64" ph="1"/>
      <c r="X1903" s="241"/>
      <c r="Y1903" s="284"/>
      <c r="Z1903" s="207"/>
      <c r="AA1903" s="284"/>
      <c r="AB1903" s="284"/>
      <c r="AC1903" s="284"/>
      <c r="AD1903" s="284"/>
      <c r="AE1903" s="284"/>
      <c r="AF1903" s="284"/>
      <c r="AG1903" s="284"/>
    </row>
    <row r="1904" spans="1:33" ht="26.4">
      <c r="A1904" s="284"/>
      <c r="B1904" s="284"/>
      <c r="C1904" s="284"/>
      <c r="D1904" s="284"/>
      <c r="E1904" s="284"/>
      <c r="F1904" s="284"/>
      <c r="G1904" s="284"/>
      <c r="H1904" s="284"/>
      <c r="I1904" s="284"/>
      <c r="J1904" s="284"/>
      <c r="K1904" s="284"/>
      <c r="L1904" s="284"/>
      <c r="M1904" s="113"/>
      <c r="N1904" s="113"/>
      <c r="O1904" s="335"/>
      <c r="T1904" s="340"/>
      <c r="V1904" s="342"/>
      <c r="W1904" s="64" ph="1"/>
      <c r="X1904" s="241"/>
      <c r="Y1904" s="284"/>
      <c r="Z1904" s="207"/>
      <c r="AA1904" s="284"/>
      <c r="AB1904" s="284"/>
      <c r="AC1904" s="284"/>
      <c r="AD1904" s="284"/>
      <c r="AE1904" s="284"/>
      <c r="AF1904" s="284"/>
      <c r="AG1904" s="284"/>
    </row>
    <row r="1905" spans="1:33" ht="26.4">
      <c r="A1905" s="284"/>
      <c r="B1905" s="284"/>
      <c r="C1905" s="284"/>
      <c r="D1905" s="284"/>
      <c r="E1905" s="284"/>
      <c r="F1905" s="284"/>
      <c r="G1905" s="284"/>
      <c r="H1905" s="284"/>
      <c r="I1905" s="284"/>
      <c r="J1905" s="284"/>
      <c r="K1905" s="284"/>
      <c r="L1905" s="284"/>
      <c r="M1905" s="113"/>
      <c r="N1905" s="113"/>
      <c r="O1905" s="335"/>
      <c r="T1905" s="340"/>
      <c r="V1905" s="342"/>
      <c r="W1905" s="64" ph="1"/>
      <c r="X1905" s="241"/>
      <c r="Y1905" s="284"/>
      <c r="Z1905" s="207"/>
      <c r="AA1905" s="284"/>
      <c r="AB1905" s="284"/>
      <c r="AC1905" s="284"/>
      <c r="AD1905" s="284"/>
      <c r="AE1905" s="284"/>
      <c r="AF1905" s="284"/>
      <c r="AG1905" s="284"/>
    </row>
    <row r="1906" spans="1:33" ht="26.4">
      <c r="A1906" s="284"/>
      <c r="B1906" s="284"/>
      <c r="C1906" s="284"/>
      <c r="D1906" s="284"/>
      <c r="E1906" s="284"/>
      <c r="F1906" s="284"/>
      <c r="G1906" s="284"/>
      <c r="H1906" s="284"/>
      <c r="I1906" s="284"/>
      <c r="J1906" s="284"/>
      <c r="K1906" s="284"/>
      <c r="L1906" s="284"/>
      <c r="M1906" s="113"/>
      <c r="N1906" s="113"/>
      <c r="O1906" s="335"/>
      <c r="T1906" s="340"/>
      <c r="V1906" s="342"/>
      <c r="W1906" s="64" ph="1"/>
      <c r="X1906" s="241"/>
      <c r="Y1906" s="284"/>
      <c r="Z1906" s="207"/>
      <c r="AA1906" s="284"/>
      <c r="AB1906" s="284"/>
      <c r="AC1906" s="284"/>
      <c r="AD1906" s="284"/>
      <c r="AE1906" s="284"/>
      <c r="AF1906" s="284"/>
      <c r="AG1906" s="284"/>
    </row>
    <row r="1907" spans="1:33" ht="26.4">
      <c r="A1907" s="284"/>
      <c r="B1907" s="284"/>
      <c r="C1907" s="284"/>
      <c r="D1907" s="284"/>
      <c r="E1907" s="284"/>
      <c r="F1907" s="284"/>
      <c r="G1907" s="284"/>
      <c r="H1907" s="284"/>
      <c r="I1907" s="284"/>
      <c r="J1907" s="284"/>
      <c r="K1907" s="284"/>
      <c r="L1907" s="284"/>
      <c r="M1907" s="113"/>
      <c r="N1907" s="113"/>
      <c r="O1907" s="335"/>
      <c r="T1907" s="340"/>
      <c r="V1907" s="342"/>
      <c r="W1907" s="64" ph="1"/>
      <c r="X1907" s="241"/>
      <c r="Y1907" s="284"/>
      <c r="Z1907" s="207"/>
      <c r="AA1907" s="284"/>
      <c r="AB1907" s="284"/>
      <c r="AC1907" s="284"/>
      <c r="AD1907" s="284"/>
      <c r="AE1907" s="284"/>
      <c r="AF1907" s="284"/>
      <c r="AG1907" s="284"/>
    </row>
    <row r="1908" spans="1:33" ht="26.4">
      <c r="A1908" s="284"/>
      <c r="B1908" s="284"/>
      <c r="C1908" s="284"/>
      <c r="D1908" s="284"/>
      <c r="E1908" s="284"/>
      <c r="F1908" s="284"/>
      <c r="G1908" s="284"/>
      <c r="H1908" s="284"/>
      <c r="I1908" s="284"/>
      <c r="J1908" s="284"/>
      <c r="K1908" s="284"/>
      <c r="L1908" s="284"/>
      <c r="M1908" s="113"/>
      <c r="N1908" s="113"/>
      <c r="O1908" s="335"/>
      <c r="T1908" s="340"/>
      <c r="V1908" s="342"/>
      <c r="W1908" s="64" ph="1"/>
      <c r="X1908" s="241"/>
      <c r="Y1908" s="284"/>
      <c r="Z1908" s="207"/>
      <c r="AA1908" s="284"/>
      <c r="AB1908" s="284"/>
      <c r="AC1908" s="284"/>
      <c r="AD1908" s="284"/>
      <c r="AE1908" s="284"/>
      <c r="AF1908" s="284"/>
      <c r="AG1908" s="284"/>
    </row>
    <row r="1909" spans="1:33" ht="26.4">
      <c r="A1909" s="284"/>
      <c r="B1909" s="284"/>
      <c r="C1909" s="284"/>
      <c r="D1909" s="284"/>
      <c r="E1909" s="284"/>
      <c r="F1909" s="284"/>
      <c r="G1909" s="284"/>
      <c r="H1909" s="284"/>
      <c r="I1909" s="284"/>
      <c r="J1909" s="284"/>
      <c r="K1909" s="284"/>
      <c r="L1909" s="284"/>
      <c r="M1909" s="113"/>
      <c r="N1909" s="113"/>
      <c r="O1909" s="335"/>
      <c r="T1909" s="340"/>
      <c r="V1909" s="342"/>
      <c r="W1909" s="64" ph="1"/>
      <c r="X1909" s="241"/>
      <c r="Y1909" s="284"/>
      <c r="Z1909" s="207"/>
      <c r="AA1909" s="284"/>
      <c r="AB1909" s="284"/>
      <c r="AC1909" s="284"/>
      <c r="AD1909" s="284"/>
      <c r="AE1909" s="284"/>
      <c r="AF1909" s="284"/>
      <c r="AG1909" s="284"/>
    </row>
    <row r="1910" spans="1:33" ht="26.4">
      <c r="A1910" s="284"/>
      <c r="B1910" s="284"/>
      <c r="C1910" s="284"/>
      <c r="D1910" s="284"/>
      <c r="E1910" s="284"/>
      <c r="F1910" s="284"/>
      <c r="G1910" s="284"/>
      <c r="H1910" s="284"/>
      <c r="I1910" s="284"/>
      <c r="J1910" s="284"/>
      <c r="K1910" s="284"/>
      <c r="L1910" s="284"/>
      <c r="M1910" s="113"/>
      <c r="N1910" s="113"/>
      <c r="O1910" s="335"/>
      <c r="T1910" s="340"/>
      <c r="V1910" s="342"/>
      <c r="W1910" s="64" ph="1"/>
      <c r="X1910" s="241"/>
      <c r="Y1910" s="284"/>
      <c r="Z1910" s="207"/>
      <c r="AA1910" s="284"/>
      <c r="AB1910" s="284"/>
      <c r="AC1910" s="284"/>
      <c r="AD1910" s="284"/>
      <c r="AE1910" s="284"/>
      <c r="AF1910" s="284"/>
      <c r="AG1910" s="284"/>
    </row>
    <row r="1911" spans="1:33" ht="26.4">
      <c r="A1911" s="284"/>
      <c r="B1911" s="284"/>
      <c r="C1911" s="284"/>
      <c r="D1911" s="284"/>
      <c r="E1911" s="284"/>
      <c r="F1911" s="284"/>
      <c r="G1911" s="284"/>
      <c r="H1911" s="284"/>
      <c r="I1911" s="284"/>
      <c r="J1911" s="284"/>
      <c r="K1911" s="284"/>
      <c r="L1911" s="284"/>
      <c r="M1911" s="113"/>
      <c r="N1911" s="113"/>
      <c r="O1911" s="335"/>
      <c r="T1911" s="340"/>
      <c r="V1911" s="342"/>
      <c r="W1911" s="64" ph="1"/>
      <c r="X1911" s="241"/>
      <c r="Y1911" s="284"/>
      <c r="Z1911" s="207"/>
      <c r="AA1911" s="284"/>
      <c r="AB1911" s="284"/>
      <c r="AC1911" s="284"/>
      <c r="AD1911" s="284"/>
      <c r="AE1911" s="284"/>
      <c r="AF1911" s="284"/>
      <c r="AG1911" s="284"/>
    </row>
    <row r="1912" spans="1:33" ht="26.4">
      <c r="A1912" s="284"/>
      <c r="B1912" s="284"/>
      <c r="C1912" s="284"/>
      <c r="D1912" s="284"/>
      <c r="E1912" s="284"/>
      <c r="F1912" s="284"/>
      <c r="G1912" s="284"/>
      <c r="H1912" s="284"/>
      <c r="I1912" s="284"/>
      <c r="J1912" s="284"/>
      <c r="K1912" s="284"/>
      <c r="L1912" s="284"/>
      <c r="M1912" s="113"/>
      <c r="N1912" s="113"/>
      <c r="O1912" s="335"/>
      <c r="T1912" s="340"/>
      <c r="V1912" s="342"/>
      <c r="W1912" s="64" ph="1"/>
      <c r="X1912" s="241"/>
      <c r="Y1912" s="284"/>
      <c r="Z1912" s="207"/>
      <c r="AA1912" s="284"/>
      <c r="AB1912" s="284"/>
      <c r="AC1912" s="284"/>
      <c r="AD1912" s="284"/>
      <c r="AE1912" s="284"/>
      <c r="AF1912" s="284"/>
      <c r="AG1912" s="284"/>
    </row>
    <row r="1913" spans="1:33" ht="26.4">
      <c r="A1913" s="284"/>
      <c r="B1913" s="284"/>
      <c r="C1913" s="284"/>
      <c r="D1913" s="284"/>
      <c r="E1913" s="284"/>
      <c r="F1913" s="284"/>
      <c r="G1913" s="284"/>
      <c r="H1913" s="284"/>
      <c r="I1913" s="284"/>
      <c r="J1913" s="284"/>
      <c r="K1913" s="284"/>
      <c r="L1913" s="284"/>
      <c r="M1913" s="113"/>
      <c r="N1913" s="113"/>
      <c r="O1913" s="335"/>
      <c r="T1913" s="340"/>
      <c r="V1913" s="342"/>
      <c r="W1913" s="64" ph="1"/>
      <c r="X1913" s="241"/>
      <c r="Y1913" s="284"/>
      <c r="Z1913" s="207"/>
      <c r="AA1913" s="284"/>
      <c r="AB1913" s="284"/>
      <c r="AC1913" s="284"/>
      <c r="AD1913" s="284"/>
      <c r="AE1913" s="284"/>
      <c r="AF1913" s="284"/>
      <c r="AG1913" s="284"/>
    </row>
    <row r="1914" spans="1:33" ht="26.4">
      <c r="A1914" s="284"/>
      <c r="B1914" s="284"/>
      <c r="C1914" s="284"/>
      <c r="D1914" s="284"/>
      <c r="E1914" s="284"/>
      <c r="F1914" s="284"/>
      <c r="G1914" s="284"/>
      <c r="H1914" s="284"/>
      <c r="I1914" s="284"/>
      <c r="J1914" s="284"/>
      <c r="K1914" s="284"/>
      <c r="L1914" s="284"/>
      <c r="M1914" s="113"/>
      <c r="N1914" s="113"/>
      <c r="O1914" s="335"/>
      <c r="T1914" s="340"/>
      <c r="V1914" s="342"/>
      <c r="W1914" s="64" ph="1"/>
      <c r="X1914" s="241"/>
      <c r="Y1914" s="284"/>
      <c r="Z1914" s="207"/>
      <c r="AA1914" s="284"/>
      <c r="AB1914" s="284"/>
      <c r="AC1914" s="284"/>
      <c r="AD1914" s="284"/>
      <c r="AE1914" s="284"/>
      <c r="AF1914" s="284"/>
      <c r="AG1914" s="284"/>
    </row>
    <row r="1915" spans="1:33" ht="26.4">
      <c r="A1915" s="284"/>
      <c r="B1915" s="284"/>
      <c r="C1915" s="284"/>
      <c r="D1915" s="284"/>
      <c r="E1915" s="284"/>
      <c r="F1915" s="284"/>
      <c r="G1915" s="284"/>
      <c r="H1915" s="284"/>
      <c r="I1915" s="284"/>
      <c r="J1915" s="284"/>
      <c r="K1915" s="284"/>
      <c r="L1915" s="284"/>
      <c r="M1915" s="113"/>
      <c r="N1915" s="113"/>
      <c r="O1915" s="335"/>
      <c r="T1915" s="340"/>
      <c r="V1915" s="342"/>
      <c r="W1915" s="64" ph="1"/>
      <c r="X1915" s="241"/>
      <c r="Y1915" s="284"/>
      <c r="Z1915" s="207"/>
      <c r="AA1915" s="284"/>
      <c r="AB1915" s="284"/>
      <c r="AC1915" s="284"/>
      <c r="AD1915" s="284"/>
      <c r="AE1915" s="284"/>
      <c r="AF1915" s="284"/>
      <c r="AG1915" s="284"/>
    </row>
    <row r="1916" spans="1:33" ht="26.4">
      <c r="A1916" s="284"/>
      <c r="B1916" s="284"/>
      <c r="C1916" s="284"/>
      <c r="D1916" s="284"/>
      <c r="E1916" s="284"/>
      <c r="F1916" s="284"/>
      <c r="G1916" s="284"/>
      <c r="H1916" s="284"/>
      <c r="I1916" s="284"/>
      <c r="J1916" s="284"/>
      <c r="K1916" s="284"/>
      <c r="L1916" s="284"/>
      <c r="M1916" s="113"/>
      <c r="N1916" s="113"/>
      <c r="O1916" s="335"/>
      <c r="T1916" s="340"/>
      <c r="V1916" s="342"/>
      <c r="W1916" s="64" ph="1"/>
      <c r="X1916" s="241"/>
      <c r="Y1916" s="284"/>
      <c r="Z1916" s="207"/>
      <c r="AA1916" s="284"/>
      <c r="AB1916" s="284"/>
      <c r="AC1916" s="284"/>
      <c r="AD1916" s="284"/>
      <c r="AE1916" s="284"/>
      <c r="AF1916" s="284"/>
      <c r="AG1916" s="284"/>
    </row>
    <row r="1917" spans="1:33" ht="26.4">
      <c r="A1917" s="284"/>
      <c r="B1917" s="284"/>
      <c r="C1917" s="284"/>
      <c r="D1917" s="284"/>
      <c r="E1917" s="284"/>
      <c r="F1917" s="284"/>
      <c r="G1917" s="284"/>
      <c r="H1917" s="284"/>
      <c r="I1917" s="284"/>
      <c r="J1917" s="284"/>
      <c r="K1917" s="284"/>
      <c r="L1917" s="284"/>
      <c r="M1917" s="113"/>
      <c r="N1917" s="113"/>
      <c r="O1917" s="335"/>
      <c r="T1917" s="340"/>
      <c r="V1917" s="342"/>
      <c r="W1917" s="64" ph="1"/>
      <c r="X1917" s="241"/>
      <c r="Y1917" s="284"/>
      <c r="Z1917" s="207"/>
      <c r="AA1917" s="284"/>
      <c r="AB1917" s="284"/>
      <c r="AC1917" s="284"/>
      <c r="AD1917" s="284"/>
      <c r="AE1917" s="284"/>
      <c r="AF1917" s="284"/>
      <c r="AG1917" s="284"/>
    </row>
    <row r="1918" spans="1:33" ht="26.4">
      <c r="A1918" s="284"/>
      <c r="B1918" s="284"/>
      <c r="C1918" s="284"/>
      <c r="D1918" s="284"/>
      <c r="E1918" s="284"/>
      <c r="F1918" s="284"/>
      <c r="G1918" s="284"/>
      <c r="H1918" s="284"/>
      <c r="I1918" s="284"/>
      <c r="J1918" s="284"/>
      <c r="K1918" s="284"/>
      <c r="L1918" s="284"/>
      <c r="M1918" s="113"/>
      <c r="N1918" s="113"/>
      <c r="O1918" s="335"/>
      <c r="T1918" s="340"/>
      <c r="V1918" s="342"/>
      <c r="W1918" s="64" ph="1"/>
      <c r="X1918" s="241"/>
      <c r="Y1918" s="284"/>
      <c r="Z1918" s="207"/>
      <c r="AA1918" s="284"/>
      <c r="AB1918" s="284"/>
      <c r="AC1918" s="284"/>
      <c r="AD1918" s="284"/>
      <c r="AE1918" s="284"/>
      <c r="AF1918" s="284"/>
      <c r="AG1918" s="284"/>
    </row>
    <row r="1919" spans="1:33" ht="26.4">
      <c r="A1919" s="284"/>
      <c r="B1919" s="284"/>
      <c r="C1919" s="284"/>
      <c r="D1919" s="284"/>
      <c r="E1919" s="284"/>
      <c r="F1919" s="284"/>
      <c r="G1919" s="284"/>
      <c r="H1919" s="284"/>
      <c r="I1919" s="284"/>
      <c r="J1919" s="284"/>
      <c r="K1919" s="284"/>
      <c r="L1919" s="284"/>
      <c r="M1919" s="113"/>
      <c r="N1919" s="113"/>
      <c r="O1919" s="335"/>
      <c r="T1919" s="340"/>
      <c r="V1919" s="342"/>
      <c r="W1919" s="64" ph="1"/>
      <c r="X1919" s="241"/>
      <c r="Y1919" s="284"/>
      <c r="Z1919" s="207"/>
      <c r="AA1919" s="284"/>
      <c r="AB1919" s="284"/>
      <c r="AC1919" s="284"/>
      <c r="AD1919" s="284"/>
      <c r="AE1919" s="284"/>
      <c r="AF1919" s="284"/>
      <c r="AG1919" s="284"/>
    </row>
    <row r="1920" spans="1:33" ht="26.4">
      <c r="A1920" s="284"/>
      <c r="B1920" s="284"/>
      <c r="C1920" s="284"/>
      <c r="D1920" s="284"/>
      <c r="E1920" s="284"/>
      <c r="F1920" s="284"/>
      <c r="G1920" s="284"/>
      <c r="H1920" s="284"/>
      <c r="I1920" s="284"/>
      <c r="J1920" s="284"/>
      <c r="K1920" s="284"/>
      <c r="L1920" s="284"/>
      <c r="M1920" s="113"/>
      <c r="N1920" s="113"/>
      <c r="O1920" s="335"/>
      <c r="T1920" s="340"/>
      <c r="V1920" s="342"/>
      <c r="W1920" s="64" ph="1"/>
      <c r="X1920" s="241"/>
      <c r="Y1920" s="284"/>
      <c r="Z1920" s="207"/>
      <c r="AA1920" s="284"/>
      <c r="AB1920" s="284"/>
      <c r="AC1920" s="284"/>
      <c r="AD1920" s="284"/>
      <c r="AE1920" s="284"/>
      <c r="AF1920" s="284"/>
      <c r="AG1920" s="284"/>
    </row>
    <row r="1921" spans="1:33" ht="26.4">
      <c r="A1921" s="284"/>
      <c r="B1921" s="284"/>
      <c r="C1921" s="284"/>
      <c r="D1921" s="284"/>
      <c r="E1921" s="284"/>
      <c r="F1921" s="284"/>
      <c r="G1921" s="284"/>
      <c r="H1921" s="284"/>
      <c r="I1921" s="284"/>
      <c r="J1921" s="284"/>
      <c r="K1921" s="284"/>
      <c r="L1921" s="284"/>
      <c r="M1921" s="113"/>
      <c r="N1921" s="113"/>
      <c r="O1921" s="335"/>
      <c r="T1921" s="340"/>
      <c r="V1921" s="342"/>
      <c r="W1921" s="64" ph="1"/>
      <c r="X1921" s="241"/>
      <c r="Y1921" s="284"/>
      <c r="Z1921" s="207"/>
      <c r="AA1921" s="284"/>
      <c r="AB1921" s="284"/>
      <c r="AC1921" s="284"/>
      <c r="AD1921" s="284"/>
      <c r="AE1921" s="284"/>
      <c r="AF1921" s="284"/>
      <c r="AG1921" s="284"/>
    </row>
    <row r="1922" spans="1:33" ht="26.4">
      <c r="A1922" s="284"/>
      <c r="B1922" s="284"/>
      <c r="C1922" s="284"/>
      <c r="D1922" s="284"/>
      <c r="E1922" s="284"/>
      <c r="F1922" s="284"/>
      <c r="G1922" s="284"/>
      <c r="H1922" s="284"/>
      <c r="I1922" s="284"/>
      <c r="J1922" s="284"/>
      <c r="K1922" s="284"/>
      <c r="L1922" s="284"/>
      <c r="M1922" s="113"/>
      <c r="N1922" s="113"/>
      <c r="O1922" s="335"/>
      <c r="T1922" s="340"/>
      <c r="V1922" s="342"/>
      <c r="W1922" s="64" ph="1"/>
      <c r="X1922" s="241"/>
      <c r="Y1922" s="284"/>
      <c r="Z1922" s="207"/>
      <c r="AA1922" s="284"/>
      <c r="AB1922" s="284"/>
      <c r="AC1922" s="284"/>
      <c r="AD1922" s="284"/>
      <c r="AE1922" s="284"/>
      <c r="AF1922" s="284"/>
      <c r="AG1922" s="284"/>
    </row>
    <row r="1923" spans="1:33" ht="26.4">
      <c r="A1923" s="284"/>
      <c r="B1923" s="284"/>
      <c r="C1923" s="284"/>
      <c r="D1923" s="284"/>
      <c r="E1923" s="284"/>
      <c r="F1923" s="284"/>
      <c r="G1923" s="284"/>
      <c r="H1923" s="284"/>
      <c r="I1923" s="284"/>
      <c r="J1923" s="284"/>
      <c r="K1923" s="284"/>
      <c r="L1923" s="284"/>
      <c r="M1923" s="113"/>
      <c r="N1923" s="113"/>
      <c r="O1923" s="335"/>
      <c r="T1923" s="340"/>
      <c r="V1923" s="342"/>
      <c r="W1923" s="64" ph="1"/>
      <c r="X1923" s="241"/>
      <c r="Y1923" s="284"/>
      <c r="Z1923" s="207"/>
      <c r="AA1923" s="284"/>
      <c r="AB1923" s="284"/>
      <c r="AC1923" s="284"/>
      <c r="AD1923" s="284"/>
      <c r="AE1923" s="284"/>
      <c r="AF1923" s="284"/>
      <c r="AG1923" s="284"/>
    </row>
    <row r="1924" spans="1:33" ht="26.4">
      <c r="A1924" s="284"/>
      <c r="B1924" s="284"/>
      <c r="C1924" s="284"/>
      <c r="D1924" s="284"/>
      <c r="E1924" s="284"/>
      <c r="F1924" s="284"/>
      <c r="G1924" s="284"/>
      <c r="H1924" s="284"/>
      <c r="I1924" s="284"/>
      <c r="J1924" s="284"/>
      <c r="K1924" s="284"/>
      <c r="L1924" s="284"/>
      <c r="M1924" s="113"/>
      <c r="N1924" s="113"/>
      <c r="O1924" s="335"/>
      <c r="T1924" s="340"/>
      <c r="V1924" s="342"/>
      <c r="W1924" s="64" ph="1"/>
      <c r="X1924" s="241"/>
      <c r="Y1924" s="284"/>
      <c r="Z1924" s="207"/>
      <c r="AA1924" s="284"/>
      <c r="AB1924" s="284"/>
      <c r="AC1924" s="284"/>
      <c r="AD1924" s="284"/>
      <c r="AE1924" s="284"/>
      <c r="AF1924" s="284"/>
      <c r="AG1924" s="284"/>
    </row>
    <row r="1925" spans="1:33" ht="26.4">
      <c r="A1925" s="284"/>
      <c r="B1925" s="284"/>
      <c r="C1925" s="284"/>
      <c r="D1925" s="284"/>
      <c r="E1925" s="284"/>
      <c r="F1925" s="284"/>
      <c r="G1925" s="284"/>
      <c r="H1925" s="284"/>
      <c r="I1925" s="284"/>
      <c r="J1925" s="284"/>
      <c r="K1925" s="284"/>
      <c r="L1925" s="284"/>
      <c r="M1925" s="113"/>
      <c r="N1925" s="113"/>
      <c r="O1925" s="335"/>
      <c r="T1925" s="340"/>
      <c r="V1925" s="342"/>
      <c r="W1925" s="64" ph="1"/>
      <c r="X1925" s="241"/>
      <c r="Y1925" s="284"/>
      <c r="Z1925" s="207"/>
      <c r="AA1925" s="284"/>
      <c r="AB1925" s="284"/>
      <c r="AC1925" s="284"/>
      <c r="AD1925" s="284"/>
      <c r="AE1925" s="284"/>
      <c r="AF1925" s="284"/>
      <c r="AG1925" s="284"/>
    </row>
    <row r="1926" spans="1:33" ht="26.4">
      <c r="A1926" s="284"/>
      <c r="B1926" s="284"/>
      <c r="C1926" s="284"/>
      <c r="D1926" s="284"/>
      <c r="E1926" s="284"/>
      <c r="F1926" s="284"/>
      <c r="G1926" s="284"/>
      <c r="H1926" s="284"/>
      <c r="I1926" s="284"/>
      <c r="J1926" s="284"/>
      <c r="K1926" s="284"/>
      <c r="L1926" s="284"/>
      <c r="M1926" s="113"/>
      <c r="N1926" s="113"/>
      <c r="O1926" s="335"/>
      <c r="T1926" s="340"/>
      <c r="V1926" s="342"/>
      <c r="W1926" s="64" ph="1"/>
      <c r="X1926" s="241"/>
      <c r="Y1926" s="284"/>
      <c r="Z1926" s="207"/>
      <c r="AA1926" s="284"/>
      <c r="AB1926" s="284"/>
      <c r="AC1926" s="284"/>
      <c r="AD1926" s="284"/>
      <c r="AE1926" s="284"/>
      <c r="AF1926" s="284"/>
      <c r="AG1926" s="284"/>
    </row>
    <row r="1927" spans="1:33" ht="26.4">
      <c r="A1927" s="284"/>
      <c r="B1927" s="284"/>
      <c r="C1927" s="284"/>
      <c r="D1927" s="284"/>
      <c r="E1927" s="284"/>
      <c r="F1927" s="284"/>
      <c r="G1927" s="284"/>
      <c r="H1927" s="284"/>
      <c r="I1927" s="284"/>
      <c r="J1927" s="284"/>
      <c r="K1927" s="284"/>
      <c r="L1927" s="284"/>
      <c r="M1927" s="113"/>
      <c r="N1927" s="113"/>
      <c r="O1927" s="335"/>
      <c r="T1927" s="340"/>
      <c r="V1927" s="342"/>
      <c r="W1927" s="64" ph="1"/>
      <c r="X1927" s="241"/>
      <c r="Y1927" s="284"/>
      <c r="Z1927" s="207"/>
      <c r="AA1927" s="284"/>
      <c r="AB1927" s="284"/>
      <c r="AC1927" s="284"/>
      <c r="AD1927" s="284"/>
      <c r="AE1927" s="284"/>
      <c r="AF1927" s="284"/>
      <c r="AG1927" s="284"/>
    </row>
    <row r="1928" spans="1:33" ht="26.4">
      <c r="A1928" s="284"/>
      <c r="B1928" s="284"/>
      <c r="C1928" s="284"/>
      <c r="D1928" s="284"/>
      <c r="E1928" s="284"/>
      <c r="F1928" s="284"/>
      <c r="G1928" s="284"/>
      <c r="H1928" s="284"/>
      <c r="I1928" s="284"/>
      <c r="J1928" s="284"/>
      <c r="K1928" s="284"/>
      <c r="L1928" s="284"/>
      <c r="M1928" s="113"/>
      <c r="N1928" s="113"/>
      <c r="O1928" s="335"/>
      <c r="T1928" s="340"/>
      <c r="V1928" s="342"/>
      <c r="W1928" s="64" ph="1"/>
      <c r="X1928" s="241"/>
      <c r="Y1928" s="284"/>
      <c r="Z1928" s="207"/>
      <c r="AA1928" s="284"/>
      <c r="AB1928" s="284"/>
      <c r="AC1928" s="284"/>
      <c r="AD1928" s="284"/>
      <c r="AE1928" s="284"/>
      <c r="AF1928" s="284"/>
      <c r="AG1928" s="284"/>
    </row>
    <row r="1929" spans="1:33" ht="26.4">
      <c r="A1929" s="284"/>
      <c r="B1929" s="284"/>
      <c r="C1929" s="284"/>
      <c r="D1929" s="284"/>
      <c r="E1929" s="284"/>
      <c r="F1929" s="284"/>
      <c r="G1929" s="284"/>
      <c r="H1929" s="284"/>
      <c r="I1929" s="284"/>
      <c r="J1929" s="284"/>
      <c r="K1929" s="284"/>
      <c r="L1929" s="284"/>
      <c r="M1929" s="113"/>
      <c r="N1929" s="113"/>
      <c r="O1929" s="335"/>
      <c r="T1929" s="340"/>
      <c r="V1929" s="342"/>
      <c r="W1929" s="64" ph="1"/>
      <c r="X1929" s="241"/>
      <c r="Y1929" s="284"/>
      <c r="Z1929" s="207"/>
      <c r="AA1929" s="284"/>
      <c r="AB1929" s="284"/>
      <c r="AC1929" s="284"/>
      <c r="AD1929" s="284"/>
      <c r="AE1929" s="284"/>
      <c r="AF1929" s="284"/>
      <c r="AG1929" s="284"/>
    </row>
    <row r="1930" spans="1:33" ht="26.4">
      <c r="A1930" s="284"/>
      <c r="B1930" s="284"/>
      <c r="C1930" s="284"/>
      <c r="D1930" s="284"/>
      <c r="E1930" s="284"/>
      <c r="F1930" s="284"/>
      <c r="G1930" s="284"/>
      <c r="H1930" s="284"/>
      <c r="I1930" s="284"/>
      <c r="J1930" s="284"/>
      <c r="K1930" s="284"/>
      <c r="L1930" s="284"/>
      <c r="M1930" s="113"/>
      <c r="N1930" s="113"/>
      <c r="O1930" s="335"/>
      <c r="T1930" s="340"/>
      <c r="V1930" s="342"/>
      <c r="W1930" s="64" ph="1"/>
      <c r="X1930" s="241"/>
      <c r="Y1930" s="284"/>
      <c r="Z1930" s="207"/>
      <c r="AA1930" s="284"/>
      <c r="AB1930" s="284"/>
      <c r="AC1930" s="284"/>
      <c r="AD1930" s="284"/>
      <c r="AE1930" s="284"/>
      <c r="AF1930" s="284"/>
      <c r="AG1930" s="284"/>
    </row>
    <row r="1931" spans="1:33" ht="26.4">
      <c r="A1931" s="284"/>
      <c r="B1931" s="284"/>
      <c r="C1931" s="284"/>
      <c r="D1931" s="284"/>
      <c r="E1931" s="284"/>
      <c r="F1931" s="284"/>
      <c r="G1931" s="284"/>
      <c r="H1931" s="284"/>
      <c r="I1931" s="284"/>
      <c r="J1931" s="284"/>
      <c r="K1931" s="284"/>
      <c r="L1931" s="284"/>
      <c r="M1931" s="113"/>
      <c r="N1931" s="113"/>
      <c r="O1931" s="335"/>
      <c r="T1931" s="340"/>
      <c r="V1931" s="342"/>
      <c r="W1931" s="64" ph="1"/>
      <c r="X1931" s="241"/>
      <c r="Y1931" s="284"/>
      <c r="Z1931" s="207"/>
      <c r="AA1931" s="284"/>
      <c r="AB1931" s="284"/>
      <c r="AC1931" s="284"/>
      <c r="AD1931" s="284"/>
      <c r="AE1931" s="284"/>
      <c r="AF1931" s="284"/>
      <c r="AG1931" s="284"/>
    </row>
    <row r="1932" spans="1:33" ht="26.4">
      <c r="A1932" s="284"/>
      <c r="B1932" s="284"/>
      <c r="C1932" s="284"/>
      <c r="D1932" s="284"/>
      <c r="E1932" s="284"/>
      <c r="F1932" s="284"/>
      <c r="G1932" s="284"/>
      <c r="H1932" s="284"/>
      <c r="I1932" s="284"/>
      <c r="J1932" s="284"/>
      <c r="K1932" s="284"/>
      <c r="L1932" s="284"/>
      <c r="M1932" s="113"/>
      <c r="N1932" s="113"/>
      <c r="O1932" s="335"/>
      <c r="T1932" s="340"/>
      <c r="V1932" s="342"/>
      <c r="W1932" s="64" ph="1"/>
      <c r="X1932" s="241"/>
      <c r="Y1932" s="284"/>
      <c r="Z1932" s="207"/>
      <c r="AA1932" s="284"/>
      <c r="AB1932" s="284"/>
      <c r="AC1932" s="284"/>
      <c r="AD1932" s="284"/>
      <c r="AE1932" s="284"/>
      <c r="AF1932" s="284"/>
      <c r="AG1932" s="284"/>
    </row>
    <row r="1933" spans="1:33" ht="26.4">
      <c r="A1933" s="284"/>
      <c r="B1933" s="284"/>
      <c r="C1933" s="284"/>
      <c r="D1933" s="284"/>
      <c r="E1933" s="284"/>
      <c r="F1933" s="284"/>
      <c r="G1933" s="284"/>
      <c r="H1933" s="284"/>
      <c r="I1933" s="284"/>
      <c r="J1933" s="284"/>
      <c r="K1933" s="284"/>
      <c r="L1933" s="284"/>
      <c r="M1933" s="113"/>
      <c r="N1933" s="113"/>
      <c r="O1933" s="335"/>
      <c r="T1933" s="340"/>
      <c r="V1933" s="342"/>
      <c r="W1933" s="64" ph="1"/>
      <c r="X1933" s="241"/>
      <c r="Y1933" s="284"/>
      <c r="Z1933" s="207"/>
      <c r="AA1933" s="284"/>
      <c r="AB1933" s="284"/>
      <c r="AC1933" s="284"/>
      <c r="AD1933" s="284"/>
      <c r="AE1933" s="284"/>
      <c r="AF1933" s="284"/>
      <c r="AG1933" s="284"/>
    </row>
    <row r="1934" spans="1:33" ht="26.4">
      <c r="A1934" s="284"/>
      <c r="B1934" s="284"/>
      <c r="C1934" s="284"/>
      <c r="D1934" s="284"/>
      <c r="E1934" s="284"/>
      <c r="F1934" s="284"/>
      <c r="G1934" s="284"/>
      <c r="H1934" s="284"/>
      <c r="I1934" s="284"/>
      <c r="J1934" s="284"/>
      <c r="K1934" s="284"/>
      <c r="L1934" s="284"/>
      <c r="M1934" s="113"/>
      <c r="N1934" s="113"/>
      <c r="O1934" s="335"/>
      <c r="T1934" s="340"/>
      <c r="V1934" s="342"/>
      <c r="W1934" s="64" ph="1"/>
      <c r="X1934" s="241"/>
      <c r="Y1934" s="284"/>
      <c r="Z1934" s="207"/>
      <c r="AA1934" s="284"/>
      <c r="AB1934" s="284"/>
      <c r="AC1934" s="284"/>
      <c r="AD1934" s="284"/>
      <c r="AE1934" s="284"/>
      <c r="AF1934" s="284"/>
      <c r="AG1934" s="284"/>
    </row>
    <row r="1935" spans="1:33" ht="26.4">
      <c r="A1935" s="284"/>
      <c r="B1935" s="284"/>
      <c r="C1935" s="284"/>
      <c r="D1935" s="284"/>
      <c r="E1935" s="284"/>
      <c r="F1935" s="284"/>
      <c r="G1935" s="284"/>
      <c r="H1935" s="284"/>
      <c r="I1935" s="284"/>
      <c r="J1935" s="284"/>
      <c r="K1935" s="284"/>
      <c r="L1935" s="284"/>
      <c r="M1935" s="113"/>
      <c r="N1935" s="113"/>
      <c r="O1935" s="335"/>
      <c r="T1935" s="340"/>
      <c r="V1935" s="342"/>
      <c r="W1935" s="64" ph="1"/>
      <c r="X1935" s="241"/>
      <c r="Y1935" s="284"/>
      <c r="Z1935" s="207"/>
      <c r="AA1935" s="284"/>
      <c r="AB1935" s="284"/>
      <c r="AC1935" s="284"/>
      <c r="AD1935" s="284"/>
      <c r="AE1935" s="284"/>
      <c r="AF1935" s="284"/>
      <c r="AG1935" s="284"/>
    </row>
    <row r="1936" spans="1:33" ht="26.4">
      <c r="A1936" s="284"/>
      <c r="B1936" s="284"/>
      <c r="C1936" s="284"/>
      <c r="D1936" s="284"/>
      <c r="E1936" s="284"/>
      <c r="F1936" s="284"/>
      <c r="G1936" s="284"/>
      <c r="H1936" s="284"/>
      <c r="I1936" s="284"/>
      <c r="J1936" s="284"/>
      <c r="K1936" s="284"/>
      <c r="L1936" s="284"/>
      <c r="M1936" s="113"/>
      <c r="N1936" s="113"/>
      <c r="O1936" s="335"/>
      <c r="T1936" s="340"/>
      <c r="V1936" s="342"/>
      <c r="W1936" s="64" ph="1"/>
      <c r="X1936" s="241"/>
      <c r="Y1936" s="284"/>
      <c r="Z1936" s="207"/>
      <c r="AA1936" s="284"/>
      <c r="AB1936" s="284"/>
      <c r="AC1936" s="284"/>
      <c r="AD1936" s="284"/>
      <c r="AE1936" s="284"/>
      <c r="AF1936" s="284"/>
      <c r="AG1936" s="284"/>
    </row>
    <row r="1937" spans="1:33" ht="26.4">
      <c r="A1937" s="284"/>
      <c r="B1937" s="284"/>
      <c r="C1937" s="284"/>
      <c r="D1937" s="284"/>
      <c r="E1937" s="284"/>
      <c r="F1937" s="284"/>
      <c r="G1937" s="284"/>
      <c r="H1937" s="284"/>
      <c r="I1937" s="284"/>
      <c r="J1937" s="284"/>
      <c r="K1937" s="284"/>
      <c r="L1937" s="284"/>
      <c r="M1937" s="113"/>
      <c r="N1937" s="113"/>
      <c r="O1937" s="335"/>
      <c r="T1937" s="340"/>
      <c r="V1937" s="342"/>
      <c r="W1937" s="64" ph="1"/>
      <c r="X1937" s="241"/>
      <c r="Y1937" s="284"/>
      <c r="Z1937" s="207"/>
      <c r="AA1937" s="284"/>
      <c r="AB1937" s="284"/>
      <c r="AC1937" s="284"/>
      <c r="AD1937" s="284"/>
      <c r="AE1937" s="284"/>
      <c r="AF1937" s="284"/>
      <c r="AG1937" s="284"/>
    </row>
    <row r="1938" spans="1:33" ht="26.4">
      <c r="A1938" s="284"/>
      <c r="B1938" s="284"/>
      <c r="C1938" s="284"/>
      <c r="D1938" s="284"/>
      <c r="E1938" s="284"/>
      <c r="F1938" s="284"/>
      <c r="G1938" s="284"/>
      <c r="H1938" s="284"/>
      <c r="I1938" s="284"/>
      <c r="J1938" s="284"/>
      <c r="K1938" s="284"/>
      <c r="L1938" s="284"/>
      <c r="M1938" s="113"/>
      <c r="N1938" s="113"/>
      <c r="O1938" s="335"/>
      <c r="T1938" s="340"/>
      <c r="V1938" s="342"/>
      <c r="W1938" s="64" ph="1"/>
      <c r="X1938" s="241"/>
      <c r="Y1938" s="284"/>
      <c r="Z1938" s="207"/>
      <c r="AA1938" s="284"/>
      <c r="AB1938" s="284"/>
      <c r="AC1938" s="284"/>
      <c r="AD1938" s="284"/>
      <c r="AE1938" s="284"/>
      <c r="AF1938" s="284"/>
      <c r="AG1938" s="284"/>
    </row>
    <row r="1939" spans="1:33" ht="26.4">
      <c r="A1939" s="284"/>
      <c r="B1939" s="284"/>
      <c r="C1939" s="284"/>
      <c r="D1939" s="284"/>
      <c r="E1939" s="284"/>
      <c r="F1939" s="284"/>
      <c r="G1939" s="284"/>
      <c r="H1939" s="284"/>
      <c r="I1939" s="284"/>
      <c r="J1939" s="284"/>
      <c r="K1939" s="284"/>
      <c r="L1939" s="284"/>
      <c r="M1939" s="113"/>
      <c r="N1939" s="113"/>
      <c r="O1939" s="335"/>
      <c r="T1939" s="340"/>
      <c r="V1939" s="342"/>
      <c r="W1939" s="64" ph="1"/>
      <c r="X1939" s="241"/>
      <c r="Y1939" s="284"/>
      <c r="Z1939" s="207"/>
      <c r="AA1939" s="284"/>
      <c r="AB1939" s="284"/>
      <c r="AC1939" s="284"/>
      <c r="AD1939" s="284"/>
      <c r="AE1939" s="284"/>
      <c r="AF1939" s="284"/>
      <c r="AG1939" s="284"/>
    </row>
    <row r="1940" spans="1:33" ht="26.4">
      <c r="A1940" s="284"/>
      <c r="B1940" s="284"/>
      <c r="C1940" s="284"/>
      <c r="D1940" s="284"/>
      <c r="E1940" s="284"/>
      <c r="F1940" s="284"/>
      <c r="G1940" s="284"/>
      <c r="H1940" s="284"/>
      <c r="I1940" s="284"/>
      <c r="J1940" s="284"/>
      <c r="K1940" s="284"/>
      <c r="L1940" s="284"/>
      <c r="M1940" s="113"/>
      <c r="N1940" s="113"/>
      <c r="O1940" s="335"/>
      <c r="T1940" s="340"/>
      <c r="V1940" s="342"/>
      <c r="W1940" s="64" ph="1"/>
      <c r="X1940" s="241"/>
      <c r="Y1940" s="284"/>
      <c r="Z1940" s="207"/>
      <c r="AA1940" s="284"/>
      <c r="AB1940" s="284"/>
      <c r="AC1940" s="284"/>
      <c r="AD1940" s="284"/>
      <c r="AE1940" s="284"/>
      <c r="AF1940" s="284"/>
      <c r="AG1940" s="284"/>
    </row>
    <row r="1941" spans="1:33" ht="26.4">
      <c r="A1941" s="284"/>
      <c r="B1941" s="284"/>
      <c r="C1941" s="284"/>
      <c r="D1941" s="284"/>
      <c r="E1941" s="284"/>
      <c r="F1941" s="284"/>
      <c r="G1941" s="284"/>
      <c r="H1941" s="284"/>
      <c r="I1941" s="284"/>
      <c r="J1941" s="284"/>
      <c r="K1941" s="284"/>
      <c r="L1941" s="284"/>
      <c r="M1941" s="113"/>
      <c r="N1941" s="113"/>
      <c r="O1941" s="335"/>
      <c r="T1941" s="340"/>
      <c r="V1941" s="342"/>
      <c r="W1941" s="64" ph="1"/>
      <c r="X1941" s="241"/>
      <c r="Y1941" s="284"/>
      <c r="Z1941" s="207"/>
      <c r="AA1941" s="284"/>
      <c r="AB1941" s="284"/>
      <c r="AC1941" s="284"/>
      <c r="AD1941" s="284"/>
      <c r="AE1941" s="284"/>
      <c r="AF1941" s="284"/>
      <c r="AG1941" s="284"/>
    </row>
    <row r="1942" spans="1:33" ht="26.4">
      <c r="A1942" s="284"/>
      <c r="B1942" s="284"/>
      <c r="C1942" s="284"/>
      <c r="D1942" s="284"/>
      <c r="E1942" s="284"/>
      <c r="F1942" s="284"/>
      <c r="G1942" s="284"/>
      <c r="H1942" s="284"/>
      <c r="I1942" s="284"/>
      <c r="J1942" s="284"/>
      <c r="K1942" s="284"/>
      <c r="L1942" s="284"/>
      <c r="M1942" s="113"/>
      <c r="N1942" s="113"/>
      <c r="O1942" s="335"/>
      <c r="T1942" s="340"/>
      <c r="V1942" s="342"/>
      <c r="W1942" s="64" ph="1"/>
      <c r="X1942" s="241"/>
      <c r="Y1942" s="284"/>
      <c r="Z1942" s="207"/>
      <c r="AA1942" s="284"/>
      <c r="AB1942" s="284"/>
      <c r="AC1942" s="284"/>
      <c r="AD1942" s="284"/>
      <c r="AE1942" s="284"/>
      <c r="AF1942" s="284"/>
      <c r="AG1942" s="284"/>
    </row>
    <row r="1943" spans="1:33" ht="26.4">
      <c r="A1943" s="284"/>
      <c r="B1943" s="284"/>
      <c r="C1943" s="284"/>
      <c r="D1943" s="284"/>
      <c r="E1943" s="284"/>
      <c r="F1943" s="284"/>
      <c r="G1943" s="284"/>
      <c r="H1943" s="284"/>
      <c r="I1943" s="284"/>
      <c r="J1943" s="284"/>
      <c r="K1943" s="284"/>
      <c r="L1943" s="284"/>
      <c r="M1943" s="113"/>
      <c r="N1943" s="113"/>
      <c r="O1943" s="335"/>
      <c r="T1943" s="340"/>
      <c r="V1943" s="342"/>
      <c r="W1943" s="64" ph="1"/>
      <c r="X1943" s="241"/>
      <c r="Y1943" s="284"/>
      <c r="Z1943" s="207"/>
      <c r="AA1943" s="284"/>
      <c r="AB1943" s="284"/>
      <c r="AC1943" s="284"/>
      <c r="AD1943" s="284"/>
      <c r="AE1943" s="284"/>
      <c r="AF1943" s="284"/>
      <c r="AG1943" s="284"/>
    </row>
    <row r="1944" spans="1:33" ht="26.4">
      <c r="A1944" s="284"/>
      <c r="B1944" s="284"/>
      <c r="C1944" s="284"/>
      <c r="D1944" s="284"/>
      <c r="E1944" s="284"/>
      <c r="F1944" s="284"/>
      <c r="G1944" s="284"/>
      <c r="H1944" s="284"/>
      <c r="I1944" s="284"/>
      <c r="J1944" s="284"/>
      <c r="K1944" s="284"/>
      <c r="L1944" s="284"/>
      <c r="M1944" s="113"/>
      <c r="N1944" s="113"/>
      <c r="O1944" s="335"/>
      <c r="T1944" s="340"/>
      <c r="V1944" s="342"/>
      <c r="W1944" s="64" ph="1"/>
      <c r="X1944" s="241"/>
      <c r="Y1944" s="284"/>
      <c r="Z1944" s="207"/>
      <c r="AA1944" s="284"/>
      <c r="AB1944" s="284"/>
      <c r="AC1944" s="284"/>
      <c r="AD1944" s="284"/>
      <c r="AE1944" s="284"/>
      <c r="AF1944" s="284"/>
      <c r="AG1944" s="284"/>
    </row>
    <row r="1945" spans="1:33" ht="26.4">
      <c r="A1945" s="284"/>
      <c r="B1945" s="284"/>
      <c r="C1945" s="284"/>
      <c r="D1945" s="284"/>
      <c r="E1945" s="284"/>
      <c r="F1945" s="284"/>
      <c r="G1945" s="284"/>
      <c r="H1945" s="284"/>
      <c r="I1945" s="284"/>
      <c r="J1945" s="284"/>
      <c r="K1945" s="284"/>
      <c r="L1945" s="284"/>
      <c r="M1945" s="113"/>
      <c r="N1945" s="113"/>
      <c r="O1945" s="335"/>
      <c r="T1945" s="340"/>
      <c r="V1945" s="342"/>
      <c r="W1945" s="64" ph="1"/>
      <c r="X1945" s="241"/>
      <c r="Y1945" s="284"/>
      <c r="Z1945" s="207"/>
      <c r="AA1945" s="284"/>
      <c r="AB1945" s="284"/>
      <c r="AC1945" s="284"/>
      <c r="AD1945" s="284"/>
      <c r="AE1945" s="284"/>
      <c r="AF1945" s="284"/>
      <c r="AG1945" s="284"/>
    </row>
    <row r="1946" spans="1:33" ht="26.4">
      <c r="A1946" s="284"/>
      <c r="B1946" s="284"/>
      <c r="C1946" s="284"/>
      <c r="D1946" s="284"/>
      <c r="E1946" s="284"/>
      <c r="F1946" s="284"/>
      <c r="G1946" s="284"/>
      <c r="H1946" s="284"/>
      <c r="I1946" s="284"/>
      <c r="J1946" s="284"/>
      <c r="K1946" s="284"/>
      <c r="L1946" s="284"/>
      <c r="M1946" s="113"/>
      <c r="N1946" s="113"/>
      <c r="O1946" s="335"/>
      <c r="T1946" s="340"/>
      <c r="V1946" s="342"/>
      <c r="W1946" s="64" ph="1"/>
      <c r="X1946" s="241"/>
      <c r="Y1946" s="284"/>
      <c r="Z1946" s="207"/>
      <c r="AA1946" s="284"/>
      <c r="AB1946" s="284"/>
      <c r="AC1946" s="284"/>
      <c r="AD1946" s="284"/>
      <c r="AE1946" s="284"/>
      <c r="AF1946" s="284"/>
      <c r="AG1946" s="284"/>
    </row>
    <row r="1947" spans="1:33" ht="26.4">
      <c r="A1947" s="284"/>
      <c r="B1947" s="284"/>
      <c r="C1947" s="284"/>
      <c r="D1947" s="284"/>
      <c r="E1947" s="284"/>
      <c r="F1947" s="284"/>
      <c r="G1947" s="284"/>
      <c r="H1947" s="284"/>
      <c r="I1947" s="284"/>
      <c r="J1947" s="284"/>
      <c r="K1947" s="284"/>
      <c r="L1947" s="284"/>
      <c r="M1947" s="113"/>
      <c r="N1947" s="113"/>
      <c r="O1947" s="335"/>
      <c r="T1947" s="340"/>
      <c r="V1947" s="342"/>
      <c r="W1947" s="64" ph="1"/>
      <c r="X1947" s="241"/>
      <c r="Y1947" s="284"/>
      <c r="Z1947" s="207"/>
      <c r="AA1947" s="284"/>
      <c r="AB1947" s="284"/>
      <c r="AC1947" s="284"/>
      <c r="AD1947" s="284"/>
      <c r="AE1947" s="284"/>
      <c r="AF1947" s="284"/>
      <c r="AG1947" s="284"/>
    </row>
    <row r="1948" spans="1:33" ht="26.4">
      <c r="A1948" s="284"/>
      <c r="B1948" s="284"/>
      <c r="C1948" s="284"/>
      <c r="D1948" s="284"/>
      <c r="E1948" s="284"/>
      <c r="F1948" s="284"/>
      <c r="G1948" s="284"/>
      <c r="H1948" s="284"/>
      <c r="I1948" s="284"/>
      <c r="J1948" s="284"/>
      <c r="K1948" s="284"/>
      <c r="L1948" s="284"/>
      <c r="M1948" s="113"/>
      <c r="N1948" s="113"/>
      <c r="O1948" s="335"/>
      <c r="T1948" s="340"/>
      <c r="V1948" s="342"/>
      <c r="W1948" s="64" ph="1"/>
      <c r="X1948" s="241"/>
      <c r="Y1948" s="284"/>
      <c r="Z1948" s="207"/>
      <c r="AA1948" s="284"/>
      <c r="AB1948" s="284"/>
      <c r="AC1948" s="284"/>
      <c r="AD1948" s="284"/>
      <c r="AE1948" s="284"/>
      <c r="AF1948" s="284"/>
      <c r="AG1948" s="284"/>
    </row>
    <row r="1949" spans="1:33" ht="26.4">
      <c r="A1949" s="284"/>
      <c r="B1949" s="284"/>
      <c r="C1949" s="284"/>
      <c r="D1949" s="284"/>
      <c r="E1949" s="284"/>
      <c r="F1949" s="284"/>
      <c r="G1949" s="284"/>
      <c r="H1949" s="284"/>
      <c r="I1949" s="284"/>
      <c r="J1949" s="284"/>
      <c r="K1949" s="284"/>
      <c r="L1949" s="284"/>
      <c r="M1949" s="113"/>
      <c r="N1949" s="113"/>
      <c r="O1949" s="335"/>
      <c r="T1949" s="340"/>
      <c r="V1949" s="342"/>
      <c r="W1949" s="64" ph="1"/>
      <c r="X1949" s="241"/>
      <c r="Y1949" s="284"/>
      <c r="Z1949" s="207"/>
      <c r="AA1949" s="284"/>
      <c r="AB1949" s="284"/>
      <c r="AC1949" s="284"/>
      <c r="AD1949" s="284"/>
      <c r="AE1949" s="284"/>
      <c r="AF1949" s="284"/>
      <c r="AG1949" s="284"/>
    </row>
    <row r="1950" spans="1:33" ht="26.4">
      <c r="A1950" s="284"/>
      <c r="B1950" s="284"/>
      <c r="C1950" s="284"/>
      <c r="D1950" s="284"/>
      <c r="E1950" s="284"/>
      <c r="F1950" s="284"/>
      <c r="G1950" s="284"/>
      <c r="H1950" s="284"/>
      <c r="I1950" s="284"/>
      <c r="J1950" s="284"/>
      <c r="K1950" s="284"/>
      <c r="L1950" s="284"/>
      <c r="M1950" s="113"/>
      <c r="N1950" s="113"/>
      <c r="O1950" s="335"/>
      <c r="T1950" s="340"/>
      <c r="V1950" s="342"/>
      <c r="W1950" s="64" ph="1"/>
      <c r="X1950" s="241"/>
      <c r="Y1950" s="284"/>
      <c r="Z1950" s="207"/>
      <c r="AA1950" s="284"/>
      <c r="AB1950" s="284"/>
      <c r="AC1950" s="284"/>
      <c r="AD1950" s="284"/>
      <c r="AE1950" s="284"/>
      <c r="AF1950" s="284"/>
      <c r="AG1950" s="284"/>
    </row>
    <row r="1951" spans="1:33" ht="26.4">
      <c r="A1951" s="284"/>
      <c r="B1951" s="284"/>
      <c r="C1951" s="284"/>
      <c r="D1951" s="284"/>
      <c r="E1951" s="284"/>
      <c r="F1951" s="284"/>
      <c r="G1951" s="284"/>
      <c r="H1951" s="284"/>
      <c r="I1951" s="284"/>
      <c r="J1951" s="284"/>
      <c r="K1951" s="284"/>
      <c r="L1951" s="284"/>
      <c r="M1951" s="113"/>
      <c r="N1951" s="113"/>
      <c r="O1951" s="335"/>
      <c r="T1951" s="340"/>
      <c r="V1951" s="342"/>
      <c r="W1951" s="64" ph="1"/>
      <c r="X1951" s="241"/>
      <c r="Y1951" s="284"/>
      <c r="Z1951" s="207"/>
      <c r="AA1951" s="284"/>
      <c r="AB1951" s="284"/>
      <c r="AC1951" s="284"/>
      <c r="AD1951" s="284"/>
      <c r="AE1951" s="284"/>
      <c r="AF1951" s="284"/>
      <c r="AG1951" s="284"/>
    </row>
    <row r="1952" spans="1:33" ht="26.4">
      <c r="A1952" s="284"/>
      <c r="B1952" s="284"/>
      <c r="C1952" s="284"/>
      <c r="D1952" s="284"/>
      <c r="E1952" s="284"/>
      <c r="F1952" s="284"/>
      <c r="G1952" s="284"/>
      <c r="H1952" s="284"/>
      <c r="I1952" s="284"/>
      <c r="J1952" s="284"/>
      <c r="K1952" s="284"/>
      <c r="L1952" s="284"/>
      <c r="M1952" s="113"/>
      <c r="N1952" s="113"/>
      <c r="O1952" s="335"/>
      <c r="T1952" s="340"/>
      <c r="V1952" s="342"/>
      <c r="W1952" s="64" ph="1"/>
      <c r="X1952" s="241"/>
      <c r="Y1952" s="284"/>
      <c r="Z1952" s="207"/>
      <c r="AA1952" s="284"/>
      <c r="AB1952" s="284"/>
      <c r="AC1952" s="284"/>
      <c r="AD1952" s="284"/>
      <c r="AE1952" s="284"/>
      <c r="AF1952" s="284"/>
      <c r="AG1952" s="284"/>
    </row>
    <row r="1953" spans="1:33" ht="26.4">
      <c r="A1953" s="284"/>
      <c r="B1953" s="284"/>
      <c r="C1953" s="284"/>
      <c r="D1953" s="284"/>
      <c r="E1953" s="284"/>
      <c r="F1953" s="284"/>
      <c r="G1953" s="284"/>
      <c r="H1953" s="284"/>
      <c r="I1953" s="284"/>
      <c r="J1953" s="284"/>
      <c r="K1953" s="284"/>
      <c r="L1953" s="284"/>
      <c r="M1953" s="113"/>
      <c r="N1953" s="113"/>
      <c r="O1953" s="335"/>
      <c r="T1953" s="340"/>
      <c r="V1953" s="342"/>
      <c r="W1953" s="64" ph="1"/>
      <c r="X1953" s="241"/>
      <c r="Y1953" s="284"/>
      <c r="Z1953" s="207"/>
      <c r="AA1953" s="284"/>
      <c r="AB1953" s="284"/>
      <c r="AC1953" s="284"/>
      <c r="AD1953" s="284"/>
      <c r="AE1953" s="284"/>
      <c r="AF1953" s="284"/>
      <c r="AG1953" s="284"/>
    </row>
    <row r="1954" spans="1:33" ht="26.4">
      <c r="A1954" s="284"/>
      <c r="B1954" s="284"/>
      <c r="C1954" s="284"/>
      <c r="D1954" s="284"/>
      <c r="E1954" s="284"/>
      <c r="F1954" s="284"/>
      <c r="G1954" s="284"/>
      <c r="H1954" s="284"/>
      <c r="I1954" s="284"/>
      <c r="J1954" s="284"/>
      <c r="K1954" s="284"/>
      <c r="L1954" s="284"/>
      <c r="M1954" s="113"/>
      <c r="N1954" s="113"/>
      <c r="O1954" s="335"/>
      <c r="T1954" s="340"/>
      <c r="V1954" s="342"/>
      <c r="W1954" s="64" ph="1"/>
      <c r="X1954" s="241"/>
      <c r="Y1954" s="284"/>
      <c r="Z1954" s="207"/>
      <c r="AA1954" s="284"/>
      <c r="AB1954" s="284"/>
      <c r="AC1954" s="284"/>
      <c r="AD1954" s="284"/>
      <c r="AE1954" s="284"/>
      <c r="AF1954" s="284"/>
      <c r="AG1954" s="284"/>
    </row>
    <row r="1955" spans="1:33" ht="26.4">
      <c r="A1955" s="284"/>
      <c r="B1955" s="284"/>
      <c r="C1955" s="284"/>
      <c r="D1955" s="284"/>
      <c r="E1955" s="284"/>
      <c r="F1955" s="284"/>
      <c r="G1955" s="284"/>
      <c r="H1955" s="284"/>
      <c r="I1955" s="284"/>
      <c r="J1955" s="284"/>
      <c r="K1955" s="284"/>
      <c r="L1955" s="284"/>
      <c r="M1955" s="113"/>
      <c r="N1955" s="113"/>
      <c r="O1955" s="335"/>
      <c r="T1955" s="340"/>
      <c r="V1955" s="342"/>
      <c r="W1955" s="64" ph="1"/>
      <c r="X1955" s="241"/>
      <c r="Y1955" s="284"/>
      <c r="Z1955" s="207"/>
      <c r="AA1955" s="284"/>
      <c r="AB1955" s="284"/>
      <c r="AC1955" s="284"/>
      <c r="AD1955" s="284"/>
      <c r="AE1955" s="284"/>
      <c r="AF1955" s="284"/>
      <c r="AG1955" s="284"/>
    </row>
    <row r="1956" spans="1:33" ht="26.4">
      <c r="A1956" s="284"/>
      <c r="B1956" s="284"/>
      <c r="C1956" s="284"/>
      <c r="D1956" s="284"/>
      <c r="E1956" s="284"/>
      <c r="F1956" s="284"/>
      <c r="G1956" s="284"/>
      <c r="H1956" s="284"/>
      <c r="I1956" s="284"/>
      <c r="J1956" s="284"/>
      <c r="K1956" s="284"/>
      <c r="L1956" s="284"/>
      <c r="M1956" s="113"/>
      <c r="N1956" s="113"/>
      <c r="O1956" s="335"/>
      <c r="T1956" s="340"/>
      <c r="V1956" s="342"/>
      <c r="W1956" s="64" ph="1"/>
      <c r="X1956" s="241"/>
      <c r="Y1956" s="284"/>
      <c r="Z1956" s="207"/>
      <c r="AA1956" s="284"/>
      <c r="AB1956" s="284"/>
      <c r="AC1956" s="284"/>
      <c r="AD1956" s="284"/>
      <c r="AE1956" s="284"/>
      <c r="AF1956" s="284"/>
      <c r="AG1956" s="284"/>
    </row>
    <row r="1957" spans="1:33" ht="26.4">
      <c r="A1957" s="284"/>
      <c r="B1957" s="284"/>
      <c r="C1957" s="284"/>
      <c r="D1957" s="284"/>
      <c r="E1957" s="284"/>
      <c r="F1957" s="284"/>
      <c r="G1957" s="284"/>
      <c r="H1957" s="284"/>
      <c r="I1957" s="284"/>
      <c r="J1957" s="284"/>
      <c r="K1957" s="284"/>
      <c r="L1957" s="284"/>
      <c r="M1957" s="113"/>
      <c r="N1957" s="113"/>
      <c r="O1957" s="335"/>
      <c r="T1957" s="340"/>
      <c r="V1957" s="342"/>
      <c r="W1957" s="64" ph="1"/>
      <c r="X1957" s="241"/>
      <c r="Y1957" s="284"/>
      <c r="Z1957" s="207"/>
      <c r="AA1957" s="284"/>
      <c r="AB1957" s="284"/>
      <c r="AC1957" s="284"/>
      <c r="AD1957" s="284"/>
      <c r="AE1957" s="284"/>
      <c r="AF1957" s="284"/>
      <c r="AG1957" s="284"/>
    </row>
    <row r="1958" spans="1:33" ht="26.4">
      <c r="A1958" s="284"/>
      <c r="B1958" s="284"/>
      <c r="C1958" s="284"/>
      <c r="D1958" s="284"/>
      <c r="E1958" s="284"/>
      <c r="F1958" s="284"/>
      <c r="G1958" s="284"/>
      <c r="H1958" s="284"/>
      <c r="I1958" s="284"/>
      <c r="J1958" s="284"/>
      <c r="K1958" s="284"/>
      <c r="L1958" s="284"/>
      <c r="M1958" s="113"/>
      <c r="N1958" s="113"/>
      <c r="O1958" s="335"/>
      <c r="T1958" s="340"/>
      <c r="V1958" s="342"/>
      <c r="W1958" s="64" ph="1"/>
      <c r="X1958" s="241"/>
      <c r="Y1958" s="284"/>
      <c r="Z1958" s="207"/>
      <c r="AA1958" s="284"/>
      <c r="AB1958" s="284"/>
      <c r="AC1958" s="284"/>
      <c r="AD1958" s="284"/>
      <c r="AE1958" s="284"/>
      <c r="AF1958" s="284"/>
      <c r="AG1958" s="284"/>
    </row>
    <row r="1959" spans="1:33" ht="26.4">
      <c r="A1959" s="284"/>
      <c r="B1959" s="284"/>
      <c r="C1959" s="284"/>
      <c r="D1959" s="284"/>
      <c r="E1959" s="284"/>
      <c r="F1959" s="284"/>
      <c r="G1959" s="284"/>
      <c r="H1959" s="284"/>
      <c r="I1959" s="284"/>
      <c r="J1959" s="284"/>
      <c r="K1959" s="284"/>
      <c r="L1959" s="284"/>
      <c r="M1959" s="113"/>
      <c r="N1959" s="113"/>
      <c r="O1959" s="335"/>
      <c r="T1959" s="340"/>
      <c r="V1959" s="342"/>
      <c r="W1959" s="64" ph="1"/>
      <c r="X1959" s="241"/>
      <c r="Y1959" s="284"/>
      <c r="Z1959" s="207"/>
      <c r="AA1959" s="284"/>
      <c r="AB1959" s="284"/>
      <c r="AC1959" s="284"/>
      <c r="AD1959" s="284"/>
      <c r="AE1959" s="284"/>
      <c r="AF1959" s="284"/>
      <c r="AG1959" s="284"/>
    </row>
    <row r="1960" spans="1:33" ht="26.4">
      <c r="A1960" s="284"/>
      <c r="B1960" s="284"/>
      <c r="C1960" s="284"/>
      <c r="D1960" s="284"/>
      <c r="E1960" s="284"/>
      <c r="F1960" s="284"/>
      <c r="G1960" s="284"/>
      <c r="H1960" s="284"/>
      <c r="I1960" s="284"/>
      <c r="J1960" s="284"/>
      <c r="K1960" s="284"/>
      <c r="L1960" s="284"/>
      <c r="M1960" s="113"/>
      <c r="N1960" s="113"/>
      <c r="O1960" s="335"/>
      <c r="T1960" s="340"/>
      <c r="V1960" s="342"/>
      <c r="W1960" s="64" ph="1"/>
      <c r="X1960" s="241"/>
      <c r="Y1960" s="284"/>
      <c r="Z1960" s="207"/>
      <c r="AA1960" s="284"/>
      <c r="AB1960" s="284"/>
      <c r="AC1960" s="284"/>
      <c r="AD1960" s="284"/>
      <c r="AE1960" s="284"/>
      <c r="AF1960" s="284"/>
      <c r="AG1960" s="284"/>
    </row>
    <row r="1961" spans="1:33" ht="26.4">
      <c r="A1961" s="284"/>
      <c r="B1961" s="284"/>
      <c r="C1961" s="284"/>
      <c r="D1961" s="284"/>
      <c r="E1961" s="284"/>
      <c r="F1961" s="284"/>
      <c r="G1961" s="284"/>
      <c r="H1961" s="284"/>
      <c r="I1961" s="284"/>
      <c r="J1961" s="284"/>
      <c r="K1961" s="284"/>
      <c r="L1961" s="284"/>
      <c r="M1961" s="113"/>
      <c r="N1961" s="113"/>
      <c r="O1961" s="335"/>
      <c r="T1961" s="340"/>
      <c r="V1961" s="342"/>
      <c r="W1961" s="64" ph="1"/>
      <c r="X1961" s="241"/>
      <c r="Y1961" s="284"/>
      <c r="Z1961" s="207"/>
      <c r="AA1961" s="284"/>
      <c r="AB1961" s="284"/>
      <c r="AC1961" s="284"/>
      <c r="AD1961" s="284"/>
      <c r="AE1961" s="284"/>
      <c r="AF1961" s="284"/>
      <c r="AG1961" s="284"/>
    </row>
    <row r="1962" spans="1:33" ht="26.4">
      <c r="A1962" s="284"/>
      <c r="B1962" s="284"/>
      <c r="C1962" s="284"/>
      <c r="D1962" s="284"/>
      <c r="E1962" s="284"/>
      <c r="F1962" s="284"/>
      <c r="G1962" s="284"/>
      <c r="H1962" s="284"/>
      <c r="I1962" s="284"/>
      <c r="J1962" s="284"/>
      <c r="K1962" s="284"/>
      <c r="L1962" s="284"/>
      <c r="M1962" s="113"/>
      <c r="N1962" s="113"/>
      <c r="O1962" s="335"/>
      <c r="T1962" s="340"/>
      <c r="V1962" s="342"/>
      <c r="W1962" s="64" ph="1"/>
      <c r="X1962" s="241"/>
      <c r="Y1962" s="284"/>
      <c r="Z1962" s="207"/>
      <c r="AA1962" s="284"/>
      <c r="AB1962" s="284"/>
      <c r="AC1962" s="284"/>
      <c r="AD1962" s="284"/>
      <c r="AE1962" s="284"/>
      <c r="AF1962" s="284"/>
      <c r="AG1962" s="284"/>
    </row>
    <row r="1963" spans="1:33" ht="26.4">
      <c r="A1963" s="284"/>
      <c r="B1963" s="284"/>
      <c r="C1963" s="284"/>
      <c r="D1963" s="284"/>
      <c r="E1963" s="284"/>
      <c r="F1963" s="284"/>
      <c r="G1963" s="284"/>
      <c r="H1963" s="284"/>
      <c r="I1963" s="284"/>
      <c r="J1963" s="284"/>
      <c r="K1963" s="284"/>
      <c r="L1963" s="284"/>
      <c r="M1963" s="113"/>
      <c r="N1963" s="113"/>
      <c r="O1963" s="335"/>
      <c r="T1963" s="340"/>
      <c r="V1963" s="342"/>
      <c r="W1963" s="64" ph="1"/>
      <c r="X1963" s="241"/>
      <c r="Y1963" s="284"/>
      <c r="Z1963" s="207"/>
      <c r="AA1963" s="284"/>
      <c r="AB1963" s="284"/>
      <c r="AC1963" s="284"/>
      <c r="AD1963" s="284"/>
      <c r="AE1963" s="284"/>
      <c r="AF1963" s="284"/>
      <c r="AG1963" s="284"/>
    </row>
    <row r="1964" spans="1:33" ht="26.4">
      <c r="A1964" s="284"/>
      <c r="B1964" s="284"/>
      <c r="C1964" s="284"/>
      <c r="D1964" s="284"/>
      <c r="E1964" s="284"/>
      <c r="F1964" s="284"/>
      <c r="G1964" s="284"/>
      <c r="H1964" s="284"/>
      <c r="I1964" s="284"/>
      <c r="J1964" s="284"/>
      <c r="K1964" s="284"/>
      <c r="L1964" s="284"/>
      <c r="M1964" s="113"/>
      <c r="N1964" s="113"/>
      <c r="O1964" s="335"/>
      <c r="T1964" s="340"/>
      <c r="V1964" s="342"/>
      <c r="W1964" s="64" ph="1"/>
      <c r="X1964" s="241"/>
      <c r="Y1964" s="284"/>
      <c r="Z1964" s="207"/>
      <c r="AA1964" s="284"/>
      <c r="AB1964" s="284"/>
      <c r="AC1964" s="284"/>
      <c r="AD1964" s="284"/>
      <c r="AE1964" s="284"/>
      <c r="AF1964" s="284"/>
      <c r="AG1964" s="284"/>
    </row>
    <row r="1965" spans="1:33" ht="26.4">
      <c r="A1965" s="284"/>
      <c r="B1965" s="284"/>
      <c r="C1965" s="284"/>
      <c r="D1965" s="284"/>
      <c r="E1965" s="284"/>
      <c r="F1965" s="284"/>
      <c r="G1965" s="284"/>
      <c r="H1965" s="284"/>
      <c r="I1965" s="284"/>
      <c r="J1965" s="284"/>
      <c r="K1965" s="284"/>
      <c r="L1965" s="284"/>
      <c r="M1965" s="113"/>
      <c r="N1965" s="113"/>
      <c r="O1965" s="335"/>
      <c r="T1965" s="340"/>
      <c r="V1965" s="342"/>
      <c r="W1965" s="64" ph="1"/>
      <c r="X1965" s="241"/>
      <c r="Y1965" s="284"/>
      <c r="Z1965" s="207"/>
      <c r="AA1965" s="284"/>
      <c r="AB1965" s="284"/>
      <c r="AC1965" s="284"/>
      <c r="AD1965" s="284"/>
      <c r="AE1965" s="284"/>
      <c r="AF1965" s="284"/>
      <c r="AG1965" s="284"/>
    </row>
    <row r="1966" spans="1:33" ht="26.4">
      <c r="A1966" s="284"/>
      <c r="B1966" s="284"/>
      <c r="C1966" s="284"/>
      <c r="D1966" s="284"/>
      <c r="E1966" s="284"/>
      <c r="F1966" s="284"/>
      <c r="G1966" s="284"/>
      <c r="H1966" s="284"/>
      <c r="I1966" s="284"/>
      <c r="J1966" s="284"/>
      <c r="K1966" s="284"/>
      <c r="L1966" s="284"/>
      <c r="M1966" s="113"/>
      <c r="N1966" s="113"/>
      <c r="O1966" s="335"/>
      <c r="T1966" s="340"/>
      <c r="V1966" s="342"/>
      <c r="W1966" s="64" ph="1"/>
      <c r="X1966" s="241"/>
      <c r="Y1966" s="284"/>
      <c r="Z1966" s="207"/>
      <c r="AA1966" s="284"/>
      <c r="AB1966" s="284"/>
      <c r="AC1966" s="284"/>
      <c r="AD1966" s="284"/>
      <c r="AE1966" s="284"/>
      <c r="AF1966" s="284"/>
      <c r="AG1966" s="284"/>
    </row>
    <row r="1967" spans="1:33" ht="26.4">
      <c r="A1967" s="284"/>
      <c r="B1967" s="284"/>
      <c r="C1967" s="284"/>
      <c r="D1967" s="284"/>
      <c r="E1967" s="284"/>
      <c r="F1967" s="284"/>
      <c r="G1967" s="284"/>
      <c r="H1967" s="284"/>
      <c r="I1967" s="284"/>
      <c r="J1967" s="284"/>
      <c r="K1967" s="284"/>
      <c r="L1967" s="284"/>
      <c r="M1967" s="113"/>
      <c r="N1967" s="113"/>
      <c r="O1967" s="335"/>
      <c r="T1967" s="340"/>
      <c r="V1967" s="342"/>
      <c r="W1967" s="64" ph="1"/>
      <c r="X1967" s="241"/>
      <c r="Y1967" s="284"/>
      <c r="Z1967" s="207"/>
      <c r="AA1967" s="284"/>
      <c r="AB1967" s="284"/>
      <c r="AC1967" s="284"/>
      <c r="AD1967" s="284"/>
      <c r="AE1967" s="284"/>
      <c r="AF1967" s="284"/>
      <c r="AG1967" s="284"/>
    </row>
    <row r="1968" spans="1:33" ht="26.4">
      <c r="A1968" s="284"/>
      <c r="B1968" s="284"/>
      <c r="C1968" s="284"/>
      <c r="D1968" s="284"/>
      <c r="E1968" s="284"/>
      <c r="F1968" s="284"/>
      <c r="G1968" s="284"/>
      <c r="H1968" s="284"/>
      <c r="I1968" s="284"/>
      <c r="J1968" s="284"/>
      <c r="K1968" s="284"/>
      <c r="L1968" s="284"/>
      <c r="M1968" s="113"/>
      <c r="N1968" s="113"/>
      <c r="O1968" s="335"/>
      <c r="T1968" s="340"/>
      <c r="V1968" s="342"/>
      <c r="W1968" s="64" ph="1"/>
      <c r="X1968" s="241"/>
      <c r="Y1968" s="284"/>
      <c r="Z1968" s="207"/>
      <c r="AA1968" s="284"/>
      <c r="AB1968" s="284"/>
      <c r="AC1968" s="284"/>
      <c r="AD1968" s="284"/>
      <c r="AE1968" s="284"/>
      <c r="AF1968" s="284"/>
      <c r="AG1968" s="284"/>
    </row>
    <row r="1969" spans="1:33" ht="26.4">
      <c r="A1969" s="284"/>
      <c r="B1969" s="284"/>
      <c r="C1969" s="284"/>
      <c r="D1969" s="284"/>
      <c r="E1969" s="284"/>
      <c r="F1969" s="284"/>
      <c r="G1969" s="284"/>
      <c r="H1969" s="284"/>
      <c r="I1969" s="284"/>
      <c r="J1969" s="284"/>
      <c r="K1969" s="284"/>
      <c r="L1969" s="284"/>
      <c r="M1969" s="113"/>
      <c r="N1969" s="113"/>
      <c r="O1969" s="335"/>
      <c r="T1969" s="340"/>
      <c r="V1969" s="342"/>
      <c r="W1969" s="64" ph="1"/>
      <c r="X1969" s="241"/>
      <c r="Y1969" s="284"/>
      <c r="Z1969" s="207"/>
      <c r="AA1969" s="284"/>
      <c r="AB1969" s="284"/>
      <c r="AC1969" s="284"/>
      <c r="AD1969" s="284"/>
      <c r="AE1969" s="284"/>
      <c r="AF1969" s="284"/>
      <c r="AG1969" s="284"/>
    </row>
    <row r="1970" spans="1:33" ht="26.4">
      <c r="A1970" s="284"/>
      <c r="B1970" s="284"/>
      <c r="C1970" s="284"/>
      <c r="D1970" s="284"/>
      <c r="E1970" s="284"/>
      <c r="F1970" s="284"/>
      <c r="G1970" s="284"/>
      <c r="H1970" s="284"/>
      <c r="I1970" s="284"/>
      <c r="J1970" s="284"/>
      <c r="K1970" s="284"/>
      <c r="L1970" s="284"/>
      <c r="M1970" s="113"/>
      <c r="N1970" s="113"/>
      <c r="O1970" s="335"/>
      <c r="T1970" s="340"/>
      <c r="V1970" s="342"/>
      <c r="W1970" s="64" ph="1"/>
      <c r="X1970" s="241"/>
      <c r="Y1970" s="284"/>
      <c r="Z1970" s="207"/>
      <c r="AA1970" s="284"/>
      <c r="AB1970" s="284"/>
      <c r="AC1970" s="284"/>
      <c r="AD1970" s="284"/>
      <c r="AE1970" s="284"/>
      <c r="AF1970" s="284"/>
      <c r="AG1970" s="284"/>
    </row>
    <row r="1971" spans="1:33" ht="26.4">
      <c r="A1971" s="284"/>
      <c r="B1971" s="284"/>
      <c r="C1971" s="284"/>
      <c r="D1971" s="284"/>
      <c r="E1971" s="284"/>
      <c r="F1971" s="284"/>
      <c r="G1971" s="284"/>
      <c r="H1971" s="284"/>
      <c r="I1971" s="284"/>
      <c r="J1971" s="284"/>
      <c r="K1971" s="284"/>
      <c r="L1971" s="284"/>
      <c r="M1971" s="113"/>
      <c r="N1971" s="113"/>
      <c r="O1971" s="335"/>
      <c r="T1971" s="340"/>
      <c r="V1971" s="342"/>
      <c r="W1971" s="64" ph="1"/>
      <c r="X1971" s="241"/>
      <c r="Y1971" s="284"/>
      <c r="Z1971" s="207"/>
      <c r="AA1971" s="284"/>
      <c r="AB1971" s="284"/>
      <c r="AC1971" s="284"/>
      <c r="AD1971" s="284"/>
      <c r="AE1971" s="284"/>
      <c r="AF1971" s="284"/>
      <c r="AG1971" s="284"/>
    </row>
    <row r="1972" spans="1:33" ht="26.4">
      <c r="A1972" s="284"/>
      <c r="B1972" s="284"/>
      <c r="C1972" s="284"/>
      <c r="D1972" s="284"/>
      <c r="E1972" s="284"/>
      <c r="F1972" s="284"/>
      <c r="G1972" s="284"/>
      <c r="H1972" s="284"/>
      <c r="I1972" s="284"/>
      <c r="J1972" s="284"/>
      <c r="K1972" s="284"/>
      <c r="L1972" s="284"/>
      <c r="M1972" s="113"/>
      <c r="N1972" s="113"/>
      <c r="O1972" s="335"/>
      <c r="T1972" s="340"/>
      <c r="V1972" s="342"/>
      <c r="W1972" s="64" ph="1"/>
      <c r="X1972" s="241"/>
      <c r="Y1972" s="284"/>
      <c r="Z1972" s="207"/>
      <c r="AA1972" s="284"/>
      <c r="AB1972" s="284"/>
      <c r="AC1972" s="284"/>
      <c r="AD1972" s="284"/>
      <c r="AE1972" s="284"/>
      <c r="AF1972" s="284"/>
      <c r="AG1972" s="284"/>
    </row>
    <row r="1973" spans="1:33" ht="26.4">
      <c r="A1973" s="284"/>
      <c r="B1973" s="284"/>
      <c r="C1973" s="284"/>
      <c r="D1973" s="284"/>
      <c r="E1973" s="284"/>
      <c r="F1973" s="284"/>
      <c r="G1973" s="284"/>
      <c r="H1973" s="284"/>
      <c r="I1973" s="284"/>
      <c r="J1973" s="284"/>
      <c r="K1973" s="284"/>
      <c r="L1973" s="284"/>
      <c r="M1973" s="113"/>
      <c r="N1973" s="113"/>
      <c r="O1973" s="335"/>
      <c r="T1973" s="340"/>
      <c r="V1973" s="342"/>
      <c r="W1973" s="64" ph="1"/>
      <c r="X1973" s="241"/>
      <c r="Y1973" s="284"/>
      <c r="Z1973" s="207"/>
      <c r="AA1973" s="284"/>
      <c r="AB1973" s="284"/>
      <c r="AC1973" s="284"/>
      <c r="AD1973" s="284"/>
      <c r="AE1973" s="284"/>
      <c r="AF1973" s="284"/>
      <c r="AG1973" s="284"/>
    </row>
    <row r="1974" spans="1:33" ht="26.4">
      <c r="A1974" s="284"/>
      <c r="B1974" s="284"/>
      <c r="C1974" s="284"/>
      <c r="D1974" s="284"/>
      <c r="E1974" s="284"/>
      <c r="F1974" s="284"/>
      <c r="G1974" s="284"/>
      <c r="H1974" s="284"/>
      <c r="I1974" s="284"/>
      <c r="J1974" s="284"/>
      <c r="K1974" s="284"/>
      <c r="L1974" s="284"/>
      <c r="M1974" s="113"/>
      <c r="N1974" s="113"/>
      <c r="O1974" s="335"/>
      <c r="T1974" s="340"/>
      <c r="V1974" s="342"/>
      <c r="W1974" s="64" ph="1"/>
      <c r="X1974" s="241"/>
      <c r="Y1974" s="284"/>
      <c r="Z1974" s="207"/>
      <c r="AA1974" s="284"/>
      <c r="AB1974" s="284"/>
      <c r="AC1974" s="284"/>
      <c r="AD1974" s="284"/>
      <c r="AE1974" s="284"/>
      <c r="AF1974" s="284"/>
      <c r="AG1974" s="284"/>
    </row>
    <row r="1975" spans="1:33" ht="26.4">
      <c r="A1975" s="284"/>
      <c r="B1975" s="284"/>
      <c r="C1975" s="284"/>
      <c r="D1975" s="284"/>
      <c r="E1975" s="284"/>
      <c r="F1975" s="284"/>
      <c r="G1975" s="284"/>
      <c r="H1975" s="284"/>
      <c r="I1975" s="284"/>
      <c r="J1975" s="284"/>
      <c r="K1975" s="284"/>
      <c r="L1975" s="284"/>
      <c r="M1975" s="113"/>
      <c r="N1975" s="113"/>
      <c r="O1975" s="335"/>
      <c r="T1975" s="340"/>
      <c r="V1975" s="342"/>
      <c r="W1975" s="64" ph="1"/>
      <c r="X1975" s="241"/>
      <c r="Y1975" s="284"/>
      <c r="Z1975" s="207"/>
      <c r="AA1975" s="284"/>
      <c r="AB1975" s="284"/>
      <c r="AC1975" s="284"/>
      <c r="AD1975" s="284"/>
      <c r="AE1975" s="284"/>
      <c r="AF1975" s="284"/>
      <c r="AG1975" s="284"/>
    </row>
    <row r="1976" spans="1:33" ht="26.4">
      <c r="A1976" s="284"/>
      <c r="B1976" s="284"/>
      <c r="C1976" s="284"/>
      <c r="D1976" s="284"/>
      <c r="E1976" s="284"/>
      <c r="F1976" s="284"/>
      <c r="G1976" s="284"/>
      <c r="H1976" s="284"/>
      <c r="I1976" s="284"/>
      <c r="J1976" s="284"/>
      <c r="K1976" s="284"/>
      <c r="L1976" s="284"/>
      <c r="M1976" s="113"/>
      <c r="N1976" s="113"/>
      <c r="O1976" s="335"/>
      <c r="T1976" s="340"/>
      <c r="V1976" s="342"/>
      <c r="W1976" s="64" ph="1"/>
      <c r="X1976" s="241"/>
      <c r="Y1976" s="284"/>
      <c r="Z1976" s="207"/>
      <c r="AA1976" s="284"/>
      <c r="AB1976" s="284"/>
      <c r="AC1976" s="284"/>
      <c r="AD1976" s="284"/>
      <c r="AE1976" s="284"/>
      <c r="AF1976" s="284"/>
      <c r="AG1976" s="284"/>
    </row>
    <row r="1977" spans="1:33" ht="26.4">
      <c r="A1977" s="284"/>
      <c r="B1977" s="284"/>
      <c r="C1977" s="284"/>
      <c r="D1977" s="284"/>
      <c r="E1977" s="284"/>
      <c r="F1977" s="284"/>
      <c r="G1977" s="284"/>
      <c r="H1977" s="284"/>
      <c r="I1977" s="284"/>
      <c r="J1977" s="284"/>
      <c r="K1977" s="284"/>
      <c r="L1977" s="284"/>
      <c r="M1977" s="113"/>
      <c r="N1977" s="113"/>
      <c r="O1977" s="335"/>
      <c r="T1977" s="340"/>
      <c r="V1977" s="342"/>
      <c r="W1977" s="64" ph="1"/>
      <c r="X1977" s="241"/>
      <c r="Y1977" s="284"/>
      <c r="Z1977" s="207"/>
      <c r="AA1977" s="284"/>
      <c r="AB1977" s="284"/>
      <c r="AC1977" s="284"/>
      <c r="AD1977" s="284"/>
      <c r="AE1977" s="284"/>
      <c r="AF1977" s="284"/>
      <c r="AG1977" s="284"/>
    </row>
    <row r="1978" spans="1:33" ht="26.4">
      <c r="A1978" s="284"/>
      <c r="B1978" s="284"/>
      <c r="C1978" s="284"/>
      <c r="D1978" s="284"/>
      <c r="E1978" s="284"/>
      <c r="F1978" s="284"/>
      <c r="G1978" s="284"/>
      <c r="H1978" s="284"/>
      <c r="I1978" s="284"/>
      <c r="J1978" s="284"/>
      <c r="K1978" s="284"/>
      <c r="L1978" s="284"/>
      <c r="M1978" s="113"/>
      <c r="N1978" s="113"/>
      <c r="O1978" s="335"/>
      <c r="T1978" s="340"/>
      <c r="V1978" s="342"/>
      <c r="W1978" s="64" ph="1"/>
      <c r="X1978" s="241"/>
      <c r="Y1978" s="284"/>
      <c r="Z1978" s="207"/>
      <c r="AA1978" s="284"/>
      <c r="AB1978" s="284"/>
      <c r="AC1978" s="284"/>
      <c r="AD1978" s="284"/>
      <c r="AE1978" s="284"/>
      <c r="AF1978" s="284"/>
      <c r="AG1978" s="284"/>
    </row>
    <row r="1979" spans="1:33" ht="26.4">
      <c r="A1979" s="284"/>
      <c r="B1979" s="284"/>
      <c r="C1979" s="284"/>
      <c r="D1979" s="284"/>
      <c r="E1979" s="284"/>
      <c r="F1979" s="284"/>
      <c r="G1979" s="284"/>
      <c r="H1979" s="284"/>
      <c r="I1979" s="284"/>
      <c r="J1979" s="284"/>
      <c r="K1979" s="284"/>
      <c r="L1979" s="284"/>
      <c r="M1979" s="113"/>
      <c r="N1979" s="113"/>
      <c r="O1979" s="335"/>
      <c r="T1979" s="340"/>
      <c r="V1979" s="342"/>
      <c r="W1979" s="64" ph="1"/>
      <c r="X1979" s="241"/>
      <c r="Y1979" s="284"/>
      <c r="Z1979" s="207"/>
      <c r="AA1979" s="284"/>
      <c r="AB1979" s="284"/>
      <c r="AC1979" s="284"/>
      <c r="AD1979" s="284"/>
      <c r="AE1979" s="284"/>
      <c r="AF1979" s="284"/>
      <c r="AG1979" s="284"/>
    </row>
    <row r="1980" spans="1:33" ht="26.4">
      <c r="A1980" s="284"/>
      <c r="B1980" s="284"/>
      <c r="C1980" s="284"/>
      <c r="D1980" s="284"/>
      <c r="E1980" s="284"/>
      <c r="F1980" s="284"/>
      <c r="G1980" s="284"/>
      <c r="H1980" s="284"/>
      <c r="I1980" s="284"/>
      <c r="J1980" s="284"/>
      <c r="K1980" s="284"/>
      <c r="L1980" s="284"/>
      <c r="M1980" s="113"/>
      <c r="N1980" s="113"/>
      <c r="O1980" s="335"/>
      <c r="T1980" s="340"/>
      <c r="V1980" s="342"/>
      <c r="W1980" s="64" ph="1"/>
      <c r="X1980" s="241"/>
      <c r="Y1980" s="284"/>
      <c r="Z1980" s="207"/>
      <c r="AA1980" s="284"/>
      <c r="AB1980" s="284"/>
      <c r="AC1980" s="284"/>
      <c r="AD1980" s="284"/>
      <c r="AE1980" s="284"/>
      <c r="AF1980" s="284"/>
      <c r="AG1980" s="284"/>
    </row>
    <row r="1981" spans="1:33" ht="26.4">
      <c r="A1981" s="284"/>
      <c r="B1981" s="284"/>
      <c r="C1981" s="284"/>
      <c r="D1981" s="284"/>
      <c r="E1981" s="284"/>
      <c r="F1981" s="284"/>
      <c r="G1981" s="284"/>
      <c r="H1981" s="284"/>
      <c r="I1981" s="284"/>
      <c r="J1981" s="284"/>
      <c r="K1981" s="284"/>
      <c r="L1981" s="284"/>
      <c r="M1981" s="113"/>
      <c r="N1981" s="113"/>
      <c r="O1981" s="335"/>
      <c r="T1981" s="340"/>
      <c r="V1981" s="342"/>
      <c r="W1981" s="64" ph="1"/>
      <c r="X1981" s="241"/>
      <c r="Y1981" s="284"/>
      <c r="Z1981" s="207"/>
      <c r="AA1981" s="284"/>
      <c r="AB1981" s="284"/>
      <c r="AC1981" s="284"/>
      <c r="AD1981" s="284"/>
      <c r="AE1981" s="284"/>
      <c r="AF1981" s="284"/>
      <c r="AG1981" s="284"/>
    </row>
    <row r="1982" spans="1:33" ht="26.4">
      <c r="A1982" s="284"/>
      <c r="B1982" s="284"/>
      <c r="C1982" s="284"/>
      <c r="D1982" s="284"/>
      <c r="E1982" s="284"/>
      <c r="F1982" s="284"/>
      <c r="G1982" s="284"/>
      <c r="H1982" s="284"/>
      <c r="I1982" s="284"/>
      <c r="J1982" s="284"/>
      <c r="K1982" s="284"/>
      <c r="L1982" s="284"/>
      <c r="M1982" s="113"/>
      <c r="N1982" s="113"/>
      <c r="O1982" s="335"/>
      <c r="T1982" s="340"/>
      <c r="V1982" s="342"/>
      <c r="W1982" s="64" ph="1"/>
      <c r="X1982" s="241"/>
      <c r="Y1982" s="284"/>
      <c r="Z1982" s="207"/>
      <c r="AA1982" s="284"/>
      <c r="AB1982" s="284"/>
      <c r="AC1982" s="284"/>
      <c r="AD1982" s="284"/>
      <c r="AE1982" s="284"/>
      <c r="AF1982" s="284"/>
      <c r="AG1982" s="284"/>
    </row>
    <row r="1983" spans="1:33" ht="26.4">
      <c r="A1983" s="284"/>
      <c r="B1983" s="284"/>
      <c r="C1983" s="284"/>
      <c r="D1983" s="284"/>
      <c r="E1983" s="284"/>
      <c r="F1983" s="284"/>
      <c r="G1983" s="284"/>
      <c r="H1983" s="284"/>
      <c r="I1983" s="284"/>
      <c r="J1983" s="284"/>
      <c r="K1983" s="284"/>
      <c r="L1983" s="284"/>
      <c r="M1983" s="113"/>
      <c r="N1983" s="113"/>
      <c r="O1983" s="335"/>
      <c r="T1983" s="340"/>
      <c r="V1983" s="342"/>
      <c r="W1983" s="64" ph="1"/>
      <c r="X1983" s="241"/>
      <c r="Y1983" s="284"/>
      <c r="Z1983" s="207"/>
      <c r="AA1983" s="284"/>
      <c r="AB1983" s="284"/>
      <c r="AC1983" s="284"/>
      <c r="AD1983" s="284"/>
      <c r="AE1983" s="284"/>
      <c r="AF1983" s="284"/>
      <c r="AG1983" s="284"/>
    </row>
    <row r="1984" spans="1:33" ht="26.4">
      <c r="A1984" s="284"/>
      <c r="B1984" s="284"/>
      <c r="C1984" s="284"/>
      <c r="D1984" s="284"/>
      <c r="E1984" s="284"/>
      <c r="F1984" s="284"/>
      <c r="G1984" s="284"/>
      <c r="H1984" s="284"/>
      <c r="I1984" s="284"/>
      <c r="J1984" s="284"/>
      <c r="K1984" s="284"/>
      <c r="L1984" s="284"/>
      <c r="M1984" s="113"/>
      <c r="N1984" s="113"/>
      <c r="O1984" s="335"/>
      <c r="T1984" s="340"/>
      <c r="V1984" s="342"/>
      <c r="W1984" s="64" ph="1"/>
      <c r="X1984" s="241"/>
      <c r="Y1984" s="284"/>
      <c r="Z1984" s="207"/>
      <c r="AA1984" s="284"/>
      <c r="AB1984" s="284"/>
      <c r="AC1984" s="284"/>
      <c r="AD1984" s="284"/>
      <c r="AE1984" s="284"/>
      <c r="AF1984" s="284"/>
      <c r="AG1984" s="284"/>
    </row>
    <row r="1985" spans="1:33" ht="26.4">
      <c r="A1985" s="284"/>
      <c r="B1985" s="284"/>
      <c r="C1985" s="284"/>
      <c r="D1985" s="284"/>
      <c r="E1985" s="284"/>
      <c r="F1985" s="284"/>
      <c r="G1985" s="284"/>
      <c r="H1985" s="284"/>
      <c r="I1985" s="284"/>
      <c r="J1985" s="284"/>
      <c r="K1985" s="284"/>
      <c r="L1985" s="284"/>
      <c r="M1985" s="113"/>
      <c r="N1985" s="113"/>
      <c r="O1985" s="335"/>
      <c r="T1985" s="340"/>
      <c r="V1985" s="342"/>
      <c r="W1985" s="64" ph="1"/>
      <c r="X1985" s="241"/>
      <c r="Y1985" s="284"/>
      <c r="Z1985" s="207"/>
      <c r="AA1985" s="284"/>
      <c r="AB1985" s="284"/>
      <c r="AC1985" s="284"/>
      <c r="AD1985" s="284"/>
      <c r="AE1985" s="284"/>
      <c r="AF1985" s="284"/>
      <c r="AG1985" s="284"/>
    </row>
    <row r="1986" spans="1:33" ht="26.4">
      <c r="A1986" s="284"/>
      <c r="B1986" s="284"/>
      <c r="C1986" s="284"/>
      <c r="D1986" s="284"/>
      <c r="E1986" s="284"/>
      <c r="F1986" s="284"/>
      <c r="G1986" s="284"/>
      <c r="H1986" s="284"/>
      <c r="I1986" s="284"/>
      <c r="J1986" s="284"/>
      <c r="K1986" s="284"/>
      <c r="L1986" s="284"/>
      <c r="M1986" s="113"/>
      <c r="N1986" s="113"/>
      <c r="O1986" s="335"/>
      <c r="T1986" s="340"/>
      <c r="V1986" s="342"/>
      <c r="W1986" s="64" ph="1"/>
      <c r="X1986" s="241"/>
      <c r="Y1986" s="284"/>
      <c r="Z1986" s="207"/>
      <c r="AA1986" s="284"/>
      <c r="AB1986" s="284"/>
      <c r="AC1986" s="284"/>
      <c r="AD1986" s="284"/>
      <c r="AE1986" s="284"/>
      <c r="AF1986" s="284"/>
      <c r="AG1986" s="284"/>
    </row>
    <row r="1987" spans="1:33" ht="26.4">
      <c r="A1987" s="284"/>
      <c r="B1987" s="284"/>
      <c r="C1987" s="284"/>
      <c r="D1987" s="284"/>
      <c r="E1987" s="284"/>
      <c r="F1987" s="284"/>
      <c r="G1987" s="284"/>
      <c r="H1987" s="284"/>
      <c r="I1987" s="284"/>
      <c r="J1987" s="284"/>
      <c r="K1987" s="284"/>
      <c r="L1987" s="284"/>
      <c r="M1987" s="113"/>
      <c r="N1987" s="113"/>
      <c r="O1987" s="335"/>
      <c r="T1987" s="340"/>
      <c r="V1987" s="342"/>
      <c r="W1987" s="64" ph="1"/>
      <c r="X1987" s="241"/>
      <c r="Y1987" s="284"/>
      <c r="Z1987" s="207"/>
      <c r="AA1987" s="284"/>
      <c r="AB1987" s="284"/>
      <c r="AC1987" s="284"/>
      <c r="AD1987" s="284"/>
      <c r="AE1987" s="284"/>
      <c r="AF1987" s="284"/>
      <c r="AG1987" s="284"/>
    </row>
    <row r="1988" spans="1:33" ht="26.4">
      <c r="A1988" s="284"/>
      <c r="B1988" s="284"/>
      <c r="C1988" s="284"/>
      <c r="D1988" s="284"/>
      <c r="E1988" s="284"/>
      <c r="F1988" s="284"/>
      <c r="G1988" s="284"/>
      <c r="H1988" s="284"/>
      <c r="I1988" s="284"/>
      <c r="J1988" s="284"/>
      <c r="K1988" s="284"/>
      <c r="L1988" s="284"/>
      <c r="M1988" s="113"/>
      <c r="N1988" s="113"/>
      <c r="O1988" s="335"/>
      <c r="T1988" s="340"/>
      <c r="V1988" s="342"/>
      <c r="W1988" s="64" ph="1"/>
      <c r="X1988" s="241"/>
      <c r="Y1988" s="284"/>
      <c r="Z1988" s="207"/>
      <c r="AA1988" s="284"/>
      <c r="AB1988" s="284"/>
      <c r="AC1988" s="284"/>
      <c r="AD1988" s="284"/>
      <c r="AE1988" s="284"/>
      <c r="AF1988" s="284"/>
      <c r="AG1988" s="284"/>
    </row>
    <row r="1989" spans="1:33" ht="26.4">
      <c r="A1989" s="284"/>
      <c r="B1989" s="284"/>
      <c r="C1989" s="284"/>
      <c r="D1989" s="284"/>
      <c r="E1989" s="284"/>
      <c r="F1989" s="284"/>
      <c r="G1989" s="284"/>
      <c r="H1989" s="284"/>
      <c r="I1989" s="284"/>
      <c r="J1989" s="284"/>
      <c r="K1989" s="284"/>
      <c r="L1989" s="284"/>
      <c r="M1989" s="113"/>
      <c r="N1989" s="113"/>
      <c r="O1989" s="335"/>
      <c r="T1989" s="340"/>
      <c r="V1989" s="342"/>
      <c r="W1989" s="64" ph="1"/>
      <c r="X1989" s="241"/>
      <c r="Y1989" s="284"/>
      <c r="Z1989" s="207"/>
      <c r="AA1989" s="284"/>
      <c r="AB1989" s="284"/>
      <c r="AC1989" s="284"/>
      <c r="AD1989" s="284"/>
      <c r="AE1989" s="284"/>
      <c r="AF1989" s="284"/>
      <c r="AG1989" s="284"/>
    </row>
    <row r="1990" spans="1:33" ht="26.4">
      <c r="A1990" s="284"/>
      <c r="B1990" s="284"/>
      <c r="C1990" s="284"/>
      <c r="D1990" s="284"/>
      <c r="E1990" s="284"/>
      <c r="F1990" s="284"/>
      <c r="G1990" s="284"/>
      <c r="H1990" s="284"/>
      <c r="I1990" s="284"/>
      <c r="J1990" s="284"/>
      <c r="K1990" s="284"/>
      <c r="L1990" s="284"/>
      <c r="M1990" s="113"/>
      <c r="N1990" s="113"/>
      <c r="O1990" s="335"/>
      <c r="T1990" s="340"/>
      <c r="V1990" s="342"/>
      <c r="W1990" s="64" ph="1"/>
      <c r="X1990" s="241"/>
      <c r="Y1990" s="284"/>
      <c r="Z1990" s="207"/>
      <c r="AA1990" s="284"/>
      <c r="AB1990" s="284"/>
      <c r="AC1990" s="284"/>
      <c r="AD1990" s="284"/>
      <c r="AE1990" s="284"/>
      <c r="AF1990" s="284"/>
      <c r="AG1990" s="284"/>
    </row>
    <row r="1991" spans="1:33" ht="26.4">
      <c r="A1991" s="284"/>
      <c r="B1991" s="284"/>
      <c r="C1991" s="284"/>
      <c r="D1991" s="284"/>
      <c r="E1991" s="284"/>
      <c r="F1991" s="284"/>
      <c r="G1991" s="284"/>
      <c r="H1991" s="284"/>
      <c r="I1991" s="284"/>
      <c r="J1991" s="284"/>
      <c r="K1991" s="284"/>
      <c r="L1991" s="284"/>
      <c r="M1991" s="113"/>
      <c r="N1991" s="113"/>
      <c r="O1991" s="335"/>
      <c r="T1991" s="340"/>
      <c r="V1991" s="342"/>
      <c r="W1991" s="64" ph="1"/>
      <c r="X1991" s="241"/>
      <c r="Y1991" s="284"/>
      <c r="Z1991" s="207"/>
      <c r="AA1991" s="284"/>
      <c r="AB1991" s="284"/>
      <c r="AC1991" s="284"/>
      <c r="AD1991" s="284"/>
      <c r="AE1991" s="284"/>
      <c r="AF1991" s="284"/>
      <c r="AG1991" s="284"/>
    </row>
    <row r="1992" spans="1:33" ht="26.4">
      <c r="A1992" s="284"/>
      <c r="B1992" s="284"/>
      <c r="C1992" s="284"/>
      <c r="D1992" s="284"/>
      <c r="E1992" s="284"/>
      <c r="F1992" s="284"/>
      <c r="G1992" s="284"/>
      <c r="H1992" s="284"/>
      <c r="I1992" s="284"/>
      <c r="J1992" s="284"/>
      <c r="K1992" s="284"/>
      <c r="L1992" s="284"/>
      <c r="M1992" s="113"/>
      <c r="N1992" s="113"/>
      <c r="O1992" s="335"/>
      <c r="T1992" s="340"/>
      <c r="V1992" s="342"/>
      <c r="W1992" s="64" ph="1"/>
      <c r="X1992" s="241"/>
      <c r="Y1992" s="284"/>
      <c r="Z1992" s="207"/>
      <c r="AA1992" s="284"/>
      <c r="AB1992" s="284"/>
      <c r="AC1992" s="284"/>
      <c r="AD1992" s="284"/>
      <c r="AE1992" s="284"/>
      <c r="AF1992" s="284"/>
      <c r="AG1992" s="284"/>
    </row>
    <row r="1993" spans="1:33" ht="26.4">
      <c r="A1993" s="284"/>
      <c r="B1993" s="284"/>
      <c r="C1993" s="284"/>
      <c r="D1993" s="284"/>
      <c r="E1993" s="284"/>
      <c r="F1993" s="284"/>
      <c r="G1993" s="284"/>
      <c r="H1993" s="284"/>
      <c r="I1993" s="284"/>
      <c r="J1993" s="284"/>
      <c r="K1993" s="284"/>
      <c r="L1993" s="284"/>
      <c r="M1993" s="113"/>
      <c r="N1993" s="113"/>
      <c r="O1993" s="335"/>
      <c r="T1993" s="340"/>
      <c r="V1993" s="342"/>
      <c r="W1993" s="64" ph="1"/>
      <c r="X1993" s="241"/>
      <c r="Y1993" s="284"/>
      <c r="Z1993" s="207"/>
      <c r="AA1993" s="284"/>
      <c r="AB1993" s="284"/>
      <c r="AC1993" s="284"/>
      <c r="AD1993" s="284"/>
      <c r="AE1993" s="284"/>
      <c r="AF1993" s="284"/>
      <c r="AG1993" s="284"/>
    </row>
    <row r="1994" spans="1:33" ht="26.4">
      <c r="A1994" s="284"/>
      <c r="B1994" s="284"/>
      <c r="C1994" s="284"/>
      <c r="D1994" s="284"/>
      <c r="E1994" s="284"/>
      <c r="F1994" s="284"/>
      <c r="G1994" s="284"/>
      <c r="H1994" s="284"/>
      <c r="I1994" s="284"/>
      <c r="J1994" s="284"/>
      <c r="K1994" s="284"/>
      <c r="L1994" s="284"/>
      <c r="M1994" s="113"/>
      <c r="N1994" s="113"/>
      <c r="O1994" s="335"/>
      <c r="T1994" s="340"/>
      <c r="V1994" s="342"/>
      <c r="W1994" s="64" ph="1"/>
      <c r="X1994" s="241"/>
      <c r="Y1994" s="284"/>
      <c r="Z1994" s="207"/>
      <c r="AA1994" s="284"/>
      <c r="AB1994" s="284"/>
      <c r="AC1994" s="284"/>
      <c r="AD1994" s="284"/>
      <c r="AE1994" s="284"/>
      <c r="AF1994" s="284"/>
      <c r="AG1994" s="284"/>
    </row>
    <row r="1995" spans="1:33" ht="26.4">
      <c r="A1995" s="284"/>
      <c r="B1995" s="284"/>
      <c r="C1995" s="284"/>
      <c r="D1995" s="284"/>
      <c r="E1995" s="284"/>
      <c r="F1995" s="284"/>
      <c r="G1995" s="284"/>
      <c r="H1995" s="284"/>
      <c r="I1995" s="284"/>
      <c r="J1995" s="284"/>
      <c r="K1995" s="284"/>
      <c r="L1995" s="284"/>
      <c r="M1995" s="113"/>
      <c r="N1995" s="113"/>
      <c r="O1995" s="335"/>
      <c r="T1995" s="340"/>
      <c r="V1995" s="342"/>
      <c r="W1995" s="64" ph="1"/>
      <c r="X1995" s="241"/>
      <c r="Y1995" s="284"/>
      <c r="Z1995" s="207"/>
      <c r="AA1995" s="284"/>
      <c r="AB1995" s="284"/>
      <c r="AC1995" s="284"/>
      <c r="AD1995" s="284"/>
      <c r="AE1995" s="284"/>
      <c r="AF1995" s="284"/>
      <c r="AG1995" s="284"/>
    </row>
    <row r="1996" spans="1:33" ht="26.4">
      <c r="A1996" s="284"/>
      <c r="B1996" s="284"/>
      <c r="C1996" s="284"/>
      <c r="D1996" s="284"/>
      <c r="E1996" s="284"/>
      <c r="F1996" s="284"/>
      <c r="G1996" s="284"/>
      <c r="H1996" s="284"/>
      <c r="I1996" s="284"/>
      <c r="J1996" s="284"/>
      <c r="K1996" s="284"/>
      <c r="L1996" s="284"/>
      <c r="M1996" s="113"/>
      <c r="N1996" s="113"/>
      <c r="O1996" s="335"/>
      <c r="T1996" s="340"/>
      <c r="V1996" s="342"/>
      <c r="W1996" s="64" ph="1"/>
      <c r="X1996" s="241"/>
      <c r="Y1996" s="284"/>
      <c r="Z1996" s="207"/>
      <c r="AA1996" s="284"/>
      <c r="AB1996" s="284"/>
      <c r="AC1996" s="284"/>
      <c r="AD1996" s="284"/>
      <c r="AE1996" s="284"/>
      <c r="AF1996" s="284"/>
      <c r="AG1996" s="284"/>
    </row>
    <row r="1997" spans="1:33" ht="26.4">
      <c r="A1997" s="284"/>
      <c r="B1997" s="284"/>
      <c r="C1997" s="284"/>
      <c r="D1997" s="284"/>
      <c r="E1997" s="284"/>
      <c r="F1997" s="284"/>
      <c r="G1997" s="284"/>
      <c r="H1997" s="284"/>
      <c r="I1997" s="284"/>
      <c r="J1997" s="284"/>
      <c r="K1997" s="284"/>
      <c r="L1997" s="284"/>
      <c r="M1997" s="113"/>
      <c r="N1997" s="113"/>
      <c r="O1997" s="335"/>
      <c r="T1997" s="340"/>
      <c r="V1997" s="342"/>
      <c r="W1997" s="64" ph="1"/>
      <c r="X1997" s="241"/>
      <c r="Y1997" s="284"/>
      <c r="Z1997" s="207"/>
      <c r="AA1997" s="284"/>
      <c r="AB1997" s="284"/>
      <c r="AC1997" s="284"/>
      <c r="AD1997" s="284"/>
      <c r="AE1997" s="284"/>
      <c r="AF1997" s="284"/>
      <c r="AG1997" s="284"/>
    </row>
    <row r="1998" spans="1:33" ht="26.4">
      <c r="A1998" s="284"/>
      <c r="B1998" s="284"/>
      <c r="C1998" s="284"/>
      <c r="D1998" s="284"/>
      <c r="E1998" s="284"/>
      <c r="F1998" s="284"/>
      <c r="G1998" s="284"/>
      <c r="H1998" s="284"/>
      <c r="I1998" s="284"/>
      <c r="J1998" s="284"/>
      <c r="K1998" s="284"/>
      <c r="L1998" s="284"/>
      <c r="M1998" s="113"/>
      <c r="N1998" s="113"/>
      <c r="O1998" s="335"/>
      <c r="T1998" s="340"/>
      <c r="V1998" s="342"/>
      <c r="W1998" s="64" ph="1"/>
      <c r="X1998" s="241"/>
      <c r="Y1998" s="284"/>
      <c r="Z1998" s="207"/>
      <c r="AA1998" s="284"/>
      <c r="AB1998" s="284"/>
      <c r="AC1998" s="284"/>
      <c r="AD1998" s="284"/>
      <c r="AE1998" s="284"/>
      <c r="AF1998" s="284"/>
      <c r="AG1998" s="284"/>
    </row>
    <row r="1999" spans="1:33" ht="26.4">
      <c r="A1999" s="284"/>
      <c r="B1999" s="284"/>
      <c r="C1999" s="284"/>
      <c r="D1999" s="284"/>
      <c r="E1999" s="284"/>
      <c r="F1999" s="284"/>
      <c r="G1999" s="284"/>
      <c r="H1999" s="284"/>
      <c r="I1999" s="284"/>
      <c r="J1999" s="284"/>
      <c r="K1999" s="284"/>
      <c r="L1999" s="284"/>
      <c r="M1999" s="113"/>
      <c r="N1999" s="113"/>
      <c r="O1999" s="335"/>
      <c r="T1999" s="340"/>
      <c r="V1999" s="342"/>
      <c r="W1999" s="64" ph="1"/>
      <c r="X1999" s="241"/>
      <c r="Y1999" s="284"/>
      <c r="Z1999" s="207"/>
      <c r="AA1999" s="284"/>
      <c r="AB1999" s="284"/>
      <c r="AC1999" s="284"/>
      <c r="AD1999" s="284"/>
      <c r="AE1999" s="284"/>
      <c r="AF1999" s="284"/>
      <c r="AG1999" s="284"/>
    </row>
    <row r="2000" spans="1:33" ht="26.4">
      <c r="A2000" s="284"/>
      <c r="B2000" s="284"/>
      <c r="C2000" s="284"/>
      <c r="D2000" s="284"/>
      <c r="E2000" s="284"/>
      <c r="F2000" s="284"/>
      <c r="G2000" s="284"/>
      <c r="H2000" s="284"/>
      <c r="I2000" s="284"/>
      <c r="J2000" s="284"/>
      <c r="K2000" s="284"/>
      <c r="L2000" s="284"/>
      <c r="M2000" s="113"/>
      <c r="N2000" s="113"/>
      <c r="O2000" s="335"/>
      <c r="T2000" s="340"/>
      <c r="V2000" s="342"/>
      <c r="W2000" s="64" ph="1"/>
      <c r="X2000" s="241"/>
      <c r="Y2000" s="284"/>
      <c r="Z2000" s="207"/>
      <c r="AA2000" s="284"/>
      <c r="AB2000" s="284"/>
      <c r="AC2000" s="284"/>
      <c r="AD2000" s="284"/>
      <c r="AE2000" s="284"/>
      <c r="AF2000" s="284"/>
      <c r="AG2000" s="284"/>
    </row>
    <row r="2001" spans="1:33" ht="26.4">
      <c r="A2001" s="284"/>
      <c r="B2001" s="284"/>
      <c r="C2001" s="284"/>
      <c r="D2001" s="284"/>
      <c r="E2001" s="284"/>
      <c r="F2001" s="284"/>
      <c r="G2001" s="284"/>
      <c r="H2001" s="284"/>
      <c r="I2001" s="284"/>
      <c r="J2001" s="284"/>
      <c r="K2001" s="284"/>
      <c r="L2001" s="284"/>
      <c r="M2001" s="113"/>
      <c r="N2001" s="113"/>
      <c r="O2001" s="335"/>
      <c r="T2001" s="340"/>
      <c r="V2001" s="342"/>
      <c r="W2001" s="64" ph="1"/>
      <c r="X2001" s="241"/>
      <c r="Y2001" s="284"/>
      <c r="Z2001" s="207"/>
      <c r="AA2001" s="284"/>
      <c r="AB2001" s="284"/>
      <c r="AC2001" s="284"/>
      <c r="AD2001" s="284"/>
      <c r="AE2001" s="284"/>
      <c r="AF2001" s="284"/>
      <c r="AG2001" s="284"/>
    </row>
    <row r="2002" spans="1:33" ht="26.4">
      <c r="A2002" s="284"/>
      <c r="B2002" s="284"/>
      <c r="C2002" s="284"/>
      <c r="D2002" s="284"/>
      <c r="E2002" s="284"/>
      <c r="F2002" s="284"/>
      <c r="G2002" s="284"/>
      <c r="H2002" s="284"/>
      <c r="I2002" s="284"/>
      <c r="J2002" s="284"/>
      <c r="K2002" s="284"/>
      <c r="L2002" s="284"/>
      <c r="M2002" s="113"/>
      <c r="N2002" s="113"/>
      <c r="O2002" s="335"/>
      <c r="T2002" s="340"/>
      <c r="V2002" s="342"/>
      <c r="W2002" s="64" ph="1"/>
      <c r="X2002" s="241"/>
      <c r="Y2002" s="284"/>
      <c r="Z2002" s="207"/>
      <c r="AA2002" s="284"/>
      <c r="AB2002" s="284"/>
      <c r="AC2002" s="284"/>
      <c r="AD2002" s="284"/>
      <c r="AE2002" s="284"/>
      <c r="AF2002" s="284"/>
      <c r="AG2002" s="284"/>
    </row>
    <row r="2003" spans="1:33" ht="26.4">
      <c r="A2003" s="284"/>
      <c r="B2003" s="284"/>
      <c r="C2003" s="284"/>
      <c r="D2003" s="284"/>
      <c r="E2003" s="284"/>
      <c r="F2003" s="284"/>
      <c r="G2003" s="284"/>
      <c r="H2003" s="284"/>
      <c r="I2003" s="284"/>
      <c r="J2003" s="284"/>
      <c r="K2003" s="284"/>
      <c r="L2003" s="284"/>
      <c r="M2003" s="113"/>
      <c r="N2003" s="113"/>
      <c r="O2003" s="335"/>
      <c r="T2003" s="340"/>
      <c r="V2003" s="342"/>
      <c r="W2003" s="64" ph="1"/>
      <c r="X2003" s="241"/>
      <c r="Y2003" s="284"/>
      <c r="Z2003" s="207"/>
      <c r="AA2003" s="284"/>
      <c r="AB2003" s="284"/>
      <c r="AC2003" s="284"/>
      <c r="AD2003" s="284"/>
      <c r="AE2003" s="284"/>
      <c r="AF2003" s="284"/>
      <c r="AG2003" s="284"/>
    </row>
    <row r="2004" spans="1:33" ht="26.4">
      <c r="A2004" s="284"/>
      <c r="B2004" s="284"/>
      <c r="C2004" s="284"/>
      <c r="D2004" s="284"/>
      <c r="E2004" s="284"/>
      <c r="F2004" s="284"/>
      <c r="G2004" s="284"/>
      <c r="H2004" s="284"/>
      <c r="I2004" s="284"/>
      <c r="J2004" s="284"/>
      <c r="K2004" s="284"/>
      <c r="L2004" s="284"/>
      <c r="M2004" s="113"/>
      <c r="N2004" s="113"/>
      <c r="O2004" s="335"/>
      <c r="T2004" s="340"/>
      <c r="V2004" s="342"/>
      <c r="W2004" s="64" ph="1"/>
      <c r="X2004" s="241"/>
      <c r="Y2004" s="284"/>
      <c r="Z2004" s="207"/>
      <c r="AA2004" s="284"/>
      <c r="AB2004" s="284"/>
      <c r="AC2004" s="284"/>
      <c r="AD2004" s="284"/>
      <c r="AE2004" s="284"/>
      <c r="AF2004" s="284"/>
      <c r="AG2004" s="284"/>
    </row>
    <row r="2005" spans="1:33" ht="26.4">
      <c r="A2005" s="284"/>
      <c r="B2005" s="284"/>
      <c r="C2005" s="284"/>
      <c r="D2005" s="284"/>
      <c r="E2005" s="284"/>
      <c r="F2005" s="284"/>
      <c r="G2005" s="284"/>
      <c r="H2005" s="284"/>
      <c r="I2005" s="284"/>
      <c r="J2005" s="284"/>
      <c r="K2005" s="284"/>
      <c r="L2005" s="284"/>
      <c r="M2005" s="113"/>
      <c r="N2005" s="113"/>
      <c r="O2005" s="335"/>
      <c r="T2005" s="340"/>
      <c r="V2005" s="342"/>
      <c r="W2005" s="64" ph="1"/>
      <c r="X2005" s="241"/>
      <c r="Y2005" s="284"/>
      <c r="Z2005" s="207"/>
      <c r="AA2005" s="284"/>
      <c r="AB2005" s="284"/>
      <c r="AC2005" s="284"/>
      <c r="AD2005" s="284"/>
      <c r="AE2005" s="284"/>
      <c r="AF2005" s="284"/>
      <c r="AG2005" s="284"/>
    </row>
    <row r="2006" spans="1:33" ht="26.4">
      <c r="A2006" s="284"/>
      <c r="B2006" s="284"/>
      <c r="C2006" s="284"/>
      <c r="D2006" s="284"/>
      <c r="E2006" s="284"/>
      <c r="F2006" s="284"/>
      <c r="G2006" s="284"/>
      <c r="H2006" s="284"/>
      <c r="I2006" s="284"/>
      <c r="J2006" s="284"/>
      <c r="K2006" s="284"/>
      <c r="L2006" s="284"/>
      <c r="M2006" s="113"/>
      <c r="N2006" s="113"/>
      <c r="O2006" s="335"/>
      <c r="T2006" s="340"/>
      <c r="V2006" s="342"/>
      <c r="W2006" s="64" ph="1"/>
      <c r="X2006" s="241"/>
      <c r="Y2006" s="284"/>
      <c r="Z2006" s="207"/>
      <c r="AA2006" s="284"/>
      <c r="AB2006" s="284"/>
      <c r="AC2006" s="284"/>
      <c r="AD2006" s="284"/>
      <c r="AE2006" s="284"/>
      <c r="AF2006" s="284"/>
      <c r="AG2006" s="284"/>
    </row>
    <row r="2007" spans="1:33" ht="26.4">
      <c r="A2007" s="284"/>
      <c r="B2007" s="284"/>
      <c r="C2007" s="284"/>
      <c r="D2007" s="284"/>
      <c r="E2007" s="284"/>
      <c r="F2007" s="284"/>
      <c r="G2007" s="284"/>
      <c r="H2007" s="284"/>
      <c r="I2007" s="284"/>
      <c r="J2007" s="284"/>
      <c r="K2007" s="284"/>
      <c r="L2007" s="284"/>
      <c r="M2007" s="113"/>
      <c r="N2007" s="113"/>
      <c r="O2007" s="335"/>
      <c r="T2007" s="340"/>
      <c r="V2007" s="342"/>
      <c r="W2007" s="64" ph="1"/>
      <c r="X2007" s="241"/>
      <c r="Y2007" s="284"/>
      <c r="Z2007" s="207"/>
      <c r="AA2007" s="284"/>
      <c r="AB2007" s="284"/>
      <c r="AC2007" s="284"/>
      <c r="AD2007" s="284"/>
      <c r="AE2007" s="284"/>
      <c r="AF2007" s="284"/>
      <c r="AG2007" s="284"/>
    </row>
    <row r="2008" spans="1:33" ht="26.4">
      <c r="A2008" s="284"/>
      <c r="B2008" s="284"/>
      <c r="C2008" s="284"/>
      <c r="D2008" s="284"/>
      <c r="E2008" s="284"/>
      <c r="F2008" s="284"/>
      <c r="G2008" s="284"/>
      <c r="H2008" s="284"/>
      <c r="I2008" s="284"/>
      <c r="J2008" s="284"/>
      <c r="K2008" s="284"/>
      <c r="L2008" s="284"/>
      <c r="M2008" s="113"/>
      <c r="N2008" s="113"/>
      <c r="O2008" s="335"/>
      <c r="T2008" s="340"/>
      <c r="V2008" s="342"/>
      <c r="W2008" s="64" ph="1"/>
      <c r="X2008" s="241"/>
      <c r="Y2008" s="284"/>
      <c r="Z2008" s="207"/>
      <c r="AA2008" s="284"/>
      <c r="AB2008" s="284"/>
      <c r="AC2008" s="284"/>
      <c r="AD2008" s="284"/>
      <c r="AE2008" s="284"/>
      <c r="AF2008" s="284"/>
      <c r="AG2008" s="284"/>
    </row>
    <row r="2009" spans="1:33" ht="26.4">
      <c r="A2009" s="284"/>
      <c r="B2009" s="284"/>
      <c r="C2009" s="284"/>
      <c r="D2009" s="284"/>
      <c r="E2009" s="284"/>
      <c r="F2009" s="284"/>
      <c r="G2009" s="284"/>
      <c r="H2009" s="284"/>
      <c r="I2009" s="284"/>
      <c r="J2009" s="284"/>
      <c r="K2009" s="284"/>
      <c r="L2009" s="284"/>
      <c r="M2009" s="113"/>
      <c r="N2009" s="113"/>
      <c r="O2009" s="335"/>
      <c r="T2009" s="340"/>
      <c r="V2009" s="342"/>
      <c r="W2009" s="64" ph="1"/>
      <c r="X2009" s="241"/>
      <c r="Y2009" s="284"/>
      <c r="Z2009" s="207"/>
      <c r="AA2009" s="284"/>
      <c r="AB2009" s="284"/>
      <c r="AC2009" s="284"/>
      <c r="AD2009" s="284"/>
      <c r="AE2009" s="284"/>
      <c r="AF2009" s="284"/>
      <c r="AG2009" s="284"/>
    </row>
    <row r="2010" spans="1:33" ht="26.4">
      <c r="A2010" s="284"/>
      <c r="B2010" s="284"/>
      <c r="C2010" s="284"/>
      <c r="D2010" s="284"/>
      <c r="E2010" s="284"/>
      <c r="F2010" s="284"/>
      <c r="G2010" s="284"/>
      <c r="H2010" s="284"/>
      <c r="I2010" s="284"/>
      <c r="J2010" s="284"/>
      <c r="K2010" s="284"/>
      <c r="L2010" s="284"/>
      <c r="M2010" s="113"/>
      <c r="N2010" s="113"/>
      <c r="O2010" s="335"/>
      <c r="T2010" s="340"/>
      <c r="V2010" s="342"/>
      <c r="W2010" s="64" ph="1"/>
      <c r="X2010" s="241"/>
      <c r="Y2010" s="284"/>
      <c r="Z2010" s="207"/>
      <c r="AA2010" s="284"/>
      <c r="AB2010" s="284"/>
      <c r="AC2010" s="284"/>
      <c r="AD2010" s="284"/>
      <c r="AE2010" s="284"/>
      <c r="AF2010" s="284"/>
      <c r="AG2010" s="284"/>
    </row>
    <row r="2011" spans="1:33" ht="26.4">
      <c r="A2011" s="284"/>
      <c r="B2011" s="284"/>
      <c r="C2011" s="284"/>
      <c r="D2011" s="284"/>
      <c r="E2011" s="284"/>
      <c r="F2011" s="284"/>
      <c r="G2011" s="284"/>
      <c r="H2011" s="284"/>
      <c r="I2011" s="284"/>
      <c r="J2011" s="284"/>
      <c r="K2011" s="284"/>
      <c r="L2011" s="284"/>
      <c r="M2011" s="113"/>
      <c r="N2011" s="113"/>
      <c r="O2011" s="335"/>
      <c r="T2011" s="340"/>
      <c r="V2011" s="342"/>
      <c r="W2011" s="64" ph="1"/>
      <c r="X2011" s="241"/>
      <c r="Y2011" s="284"/>
      <c r="Z2011" s="207"/>
      <c r="AA2011" s="284"/>
      <c r="AB2011" s="284"/>
      <c r="AC2011" s="284"/>
      <c r="AD2011" s="284"/>
      <c r="AE2011" s="284"/>
      <c r="AF2011" s="284"/>
      <c r="AG2011" s="284"/>
    </row>
    <row r="2012" spans="1:33" ht="26.4">
      <c r="A2012" s="284"/>
      <c r="B2012" s="284"/>
      <c r="C2012" s="284"/>
      <c r="D2012" s="284"/>
      <c r="E2012" s="284"/>
      <c r="F2012" s="284"/>
      <c r="G2012" s="284"/>
      <c r="H2012" s="284"/>
      <c r="I2012" s="284"/>
      <c r="J2012" s="284"/>
      <c r="K2012" s="284"/>
      <c r="L2012" s="284"/>
      <c r="M2012" s="113"/>
      <c r="N2012" s="113"/>
      <c r="O2012" s="335"/>
      <c r="T2012" s="340"/>
      <c r="V2012" s="342"/>
      <c r="W2012" s="64" ph="1"/>
      <c r="X2012" s="241"/>
      <c r="Y2012" s="284"/>
      <c r="Z2012" s="207"/>
      <c r="AA2012" s="284"/>
      <c r="AB2012" s="284"/>
      <c r="AC2012" s="284"/>
      <c r="AD2012" s="284"/>
      <c r="AE2012" s="284"/>
      <c r="AF2012" s="284"/>
      <c r="AG2012" s="284"/>
    </row>
    <row r="2013" spans="1:33" ht="26.4">
      <c r="A2013" s="284"/>
      <c r="B2013" s="284"/>
      <c r="C2013" s="284"/>
      <c r="D2013" s="284"/>
      <c r="E2013" s="284"/>
      <c r="F2013" s="284"/>
      <c r="G2013" s="284"/>
      <c r="H2013" s="284"/>
      <c r="I2013" s="284"/>
      <c r="J2013" s="284"/>
      <c r="K2013" s="284"/>
      <c r="L2013" s="284"/>
      <c r="M2013" s="113"/>
      <c r="N2013" s="113"/>
      <c r="O2013" s="335"/>
      <c r="T2013" s="340"/>
      <c r="V2013" s="342"/>
      <c r="W2013" s="64" ph="1"/>
      <c r="X2013" s="241"/>
      <c r="Y2013" s="284"/>
      <c r="Z2013" s="207"/>
      <c r="AA2013" s="284"/>
      <c r="AB2013" s="284"/>
      <c r="AC2013" s="284"/>
      <c r="AD2013" s="284"/>
      <c r="AE2013" s="284"/>
      <c r="AF2013" s="284"/>
      <c r="AG2013" s="284"/>
    </row>
    <row r="2014" spans="1:33" ht="26.4">
      <c r="A2014" s="284"/>
      <c r="B2014" s="284"/>
      <c r="C2014" s="284"/>
      <c r="D2014" s="284"/>
      <c r="E2014" s="284"/>
      <c r="F2014" s="284"/>
      <c r="G2014" s="284"/>
      <c r="H2014" s="284"/>
      <c r="I2014" s="284"/>
      <c r="J2014" s="284"/>
      <c r="K2014" s="284"/>
      <c r="L2014" s="284"/>
      <c r="M2014" s="113"/>
      <c r="N2014" s="113"/>
      <c r="O2014" s="335"/>
      <c r="T2014" s="340"/>
      <c r="V2014" s="342"/>
      <c r="W2014" s="64" ph="1"/>
      <c r="X2014" s="241"/>
      <c r="Y2014" s="284"/>
      <c r="Z2014" s="207"/>
      <c r="AA2014" s="284"/>
      <c r="AB2014" s="284"/>
      <c r="AC2014" s="284"/>
      <c r="AD2014" s="284"/>
      <c r="AE2014" s="284"/>
      <c r="AF2014" s="284"/>
      <c r="AG2014" s="284"/>
    </row>
    <row r="2015" spans="1:33" ht="26.4">
      <c r="A2015" s="284"/>
      <c r="B2015" s="284"/>
      <c r="C2015" s="284"/>
      <c r="D2015" s="284"/>
      <c r="E2015" s="284"/>
      <c r="F2015" s="284"/>
      <c r="G2015" s="284"/>
      <c r="H2015" s="284"/>
      <c r="I2015" s="284"/>
      <c r="J2015" s="284"/>
      <c r="K2015" s="284"/>
      <c r="L2015" s="284"/>
      <c r="M2015" s="113"/>
      <c r="N2015" s="113"/>
      <c r="O2015" s="335"/>
      <c r="T2015" s="340"/>
      <c r="V2015" s="342"/>
      <c r="W2015" s="64" ph="1"/>
      <c r="X2015" s="241"/>
      <c r="Y2015" s="284"/>
      <c r="Z2015" s="207"/>
      <c r="AA2015" s="284"/>
      <c r="AB2015" s="284"/>
      <c r="AC2015" s="284"/>
      <c r="AD2015" s="284"/>
      <c r="AE2015" s="284"/>
      <c r="AF2015" s="284"/>
      <c r="AG2015" s="284"/>
    </row>
    <row r="2016" spans="1:33" ht="26.4">
      <c r="A2016" s="284"/>
      <c r="B2016" s="284"/>
      <c r="C2016" s="284"/>
      <c r="D2016" s="284"/>
      <c r="E2016" s="284"/>
      <c r="F2016" s="284"/>
      <c r="G2016" s="284"/>
      <c r="H2016" s="284"/>
      <c r="I2016" s="284"/>
      <c r="J2016" s="284"/>
      <c r="K2016" s="284"/>
      <c r="L2016" s="284"/>
      <c r="M2016" s="113"/>
      <c r="N2016" s="113"/>
      <c r="O2016" s="335"/>
      <c r="T2016" s="340"/>
      <c r="V2016" s="342"/>
      <c r="W2016" s="64" ph="1"/>
      <c r="X2016" s="241"/>
      <c r="Y2016" s="284"/>
      <c r="Z2016" s="207"/>
      <c r="AA2016" s="284"/>
      <c r="AB2016" s="284"/>
      <c r="AC2016" s="284"/>
      <c r="AD2016" s="284"/>
      <c r="AE2016" s="284"/>
      <c r="AF2016" s="284"/>
      <c r="AG2016" s="284"/>
    </row>
    <row r="2017" spans="1:33" ht="26.4">
      <c r="A2017" s="284"/>
      <c r="B2017" s="284"/>
      <c r="C2017" s="284"/>
      <c r="D2017" s="284"/>
      <c r="E2017" s="284"/>
      <c r="F2017" s="284"/>
      <c r="G2017" s="284"/>
      <c r="H2017" s="284"/>
      <c r="I2017" s="284"/>
      <c r="J2017" s="284"/>
      <c r="K2017" s="284"/>
      <c r="L2017" s="284"/>
      <c r="M2017" s="113"/>
      <c r="N2017" s="113"/>
      <c r="O2017" s="335"/>
      <c r="T2017" s="340"/>
      <c r="V2017" s="342"/>
      <c r="W2017" s="64" ph="1"/>
      <c r="X2017" s="241"/>
      <c r="Y2017" s="284"/>
      <c r="Z2017" s="207"/>
      <c r="AA2017" s="284"/>
      <c r="AB2017" s="284"/>
      <c r="AC2017" s="284"/>
      <c r="AD2017" s="284"/>
      <c r="AE2017" s="284"/>
      <c r="AF2017" s="284"/>
      <c r="AG2017" s="284"/>
    </row>
    <row r="2018" spans="1:33" ht="26.4">
      <c r="A2018" s="284"/>
      <c r="B2018" s="284"/>
      <c r="C2018" s="284"/>
      <c r="D2018" s="284"/>
      <c r="E2018" s="284"/>
      <c r="F2018" s="284"/>
      <c r="G2018" s="284"/>
      <c r="H2018" s="284"/>
      <c r="I2018" s="284"/>
      <c r="J2018" s="284"/>
      <c r="K2018" s="284"/>
      <c r="L2018" s="284"/>
      <c r="M2018" s="113"/>
      <c r="N2018" s="113"/>
      <c r="O2018" s="335"/>
      <c r="T2018" s="340"/>
      <c r="V2018" s="342"/>
      <c r="W2018" s="64" ph="1"/>
      <c r="X2018" s="241"/>
      <c r="Y2018" s="284"/>
      <c r="Z2018" s="207"/>
      <c r="AA2018" s="284"/>
      <c r="AB2018" s="284"/>
      <c r="AC2018" s="284"/>
      <c r="AD2018" s="284"/>
      <c r="AE2018" s="284"/>
      <c r="AF2018" s="284"/>
      <c r="AG2018" s="284"/>
    </row>
    <row r="2019" spans="1:33" ht="26.4">
      <c r="A2019" s="284"/>
      <c r="B2019" s="284"/>
      <c r="C2019" s="284"/>
      <c r="D2019" s="284"/>
      <c r="E2019" s="284"/>
      <c r="F2019" s="284"/>
      <c r="G2019" s="284"/>
      <c r="H2019" s="284"/>
      <c r="I2019" s="284"/>
      <c r="J2019" s="284"/>
      <c r="K2019" s="284"/>
      <c r="L2019" s="284"/>
      <c r="M2019" s="113"/>
      <c r="N2019" s="113"/>
      <c r="O2019" s="335"/>
      <c r="T2019" s="340"/>
      <c r="V2019" s="342"/>
      <c r="W2019" s="64" ph="1"/>
      <c r="X2019" s="241"/>
      <c r="Y2019" s="284"/>
      <c r="Z2019" s="207"/>
      <c r="AA2019" s="284"/>
      <c r="AB2019" s="284"/>
      <c r="AC2019" s="284"/>
      <c r="AD2019" s="284"/>
      <c r="AE2019" s="284"/>
      <c r="AF2019" s="284"/>
      <c r="AG2019" s="284"/>
    </row>
    <row r="2020" spans="1:33" ht="26.4">
      <c r="A2020" s="284"/>
      <c r="B2020" s="284"/>
      <c r="C2020" s="284"/>
      <c r="D2020" s="284"/>
      <c r="E2020" s="284"/>
      <c r="F2020" s="284"/>
      <c r="G2020" s="284"/>
      <c r="H2020" s="284"/>
      <c r="I2020" s="284"/>
      <c r="J2020" s="284"/>
      <c r="K2020" s="284"/>
      <c r="L2020" s="284"/>
      <c r="M2020" s="113"/>
      <c r="N2020" s="113"/>
      <c r="O2020" s="335"/>
      <c r="T2020" s="340"/>
      <c r="V2020" s="342"/>
      <c r="W2020" s="64" ph="1"/>
      <c r="X2020" s="241"/>
      <c r="Y2020" s="284"/>
      <c r="Z2020" s="207"/>
      <c r="AA2020" s="284"/>
      <c r="AB2020" s="284"/>
      <c r="AC2020" s="284"/>
      <c r="AD2020" s="284"/>
      <c r="AE2020" s="284"/>
      <c r="AF2020" s="284"/>
      <c r="AG2020" s="284"/>
    </row>
    <row r="2021" spans="1:33" ht="26.4">
      <c r="A2021" s="284"/>
      <c r="B2021" s="284"/>
      <c r="C2021" s="284"/>
      <c r="D2021" s="284"/>
      <c r="E2021" s="284"/>
      <c r="F2021" s="284"/>
      <c r="G2021" s="284"/>
      <c r="H2021" s="284"/>
      <c r="I2021" s="284"/>
      <c r="J2021" s="284"/>
      <c r="K2021" s="284"/>
      <c r="L2021" s="284"/>
      <c r="M2021" s="113"/>
      <c r="N2021" s="113"/>
      <c r="O2021" s="335"/>
      <c r="T2021" s="340"/>
      <c r="V2021" s="342"/>
      <c r="W2021" s="64" ph="1"/>
      <c r="X2021" s="241"/>
      <c r="Y2021" s="284"/>
      <c r="Z2021" s="207"/>
      <c r="AA2021" s="284"/>
      <c r="AB2021" s="284"/>
      <c r="AC2021" s="284"/>
      <c r="AD2021" s="284"/>
      <c r="AE2021" s="284"/>
      <c r="AF2021" s="284"/>
      <c r="AG2021" s="284"/>
    </row>
    <row r="2022" spans="1:33" ht="26.4">
      <c r="A2022" s="284"/>
      <c r="B2022" s="284"/>
      <c r="C2022" s="284"/>
      <c r="D2022" s="284"/>
      <c r="E2022" s="284"/>
      <c r="F2022" s="284"/>
      <c r="G2022" s="284"/>
      <c r="H2022" s="284"/>
      <c r="I2022" s="284"/>
      <c r="J2022" s="284"/>
      <c r="K2022" s="284"/>
      <c r="L2022" s="284"/>
      <c r="M2022" s="113"/>
      <c r="N2022" s="113"/>
      <c r="O2022" s="335"/>
      <c r="T2022" s="340"/>
      <c r="V2022" s="342"/>
      <c r="W2022" s="64" ph="1"/>
      <c r="X2022" s="241"/>
      <c r="Y2022" s="284"/>
      <c r="Z2022" s="207"/>
      <c r="AA2022" s="284"/>
      <c r="AB2022" s="284"/>
      <c r="AC2022" s="284"/>
      <c r="AD2022" s="284"/>
      <c r="AE2022" s="284"/>
      <c r="AF2022" s="284"/>
      <c r="AG2022" s="284"/>
    </row>
    <row r="2023" spans="1:33" ht="26.4">
      <c r="A2023" s="284"/>
      <c r="B2023" s="284"/>
      <c r="C2023" s="284"/>
      <c r="D2023" s="284"/>
      <c r="E2023" s="284"/>
      <c r="F2023" s="284"/>
      <c r="G2023" s="284"/>
      <c r="H2023" s="284"/>
      <c r="I2023" s="284"/>
      <c r="J2023" s="284"/>
      <c r="K2023" s="284"/>
      <c r="L2023" s="284"/>
      <c r="M2023" s="113"/>
      <c r="N2023" s="113"/>
      <c r="O2023" s="335"/>
      <c r="T2023" s="340"/>
      <c r="V2023" s="342"/>
      <c r="W2023" s="64" ph="1"/>
      <c r="X2023" s="241"/>
      <c r="Y2023" s="284"/>
      <c r="Z2023" s="207"/>
      <c r="AA2023" s="284"/>
      <c r="AB2023" s="284"/>
      <c r="AC2023" s="284"/>
      <c r="AD2023" s="284"/>
      <c r="AE2023" s="284"/>
      <c r="AF2023" s="284"/>
      <c r="AG2023" s="284"/>
    </row>
    <row r="2024" spans="1:33" ht="26.4">
      <c r="A2024" s="284"/>
      <c r="B2024" s="284"/>
      <c r="C2024" s="284"/>
      <c r="D2024" s="284"/>
      <c r="E2024" s="284"/>
      <c r="F2024" s="284"/>
      <c r="G2024" s="284"/>
      <c r="H2024" s="284"/>
      <c r="I2024" s="284"/>
      <c r="J2024" s="284"/>
      <c r="K2024" s="284"/>
      <c r="L2024" s="284"/>
      <c r="M2024" s="113"/>
      <c r="N2024" s="113"/>
      <c r="O2024" s="335"/>
      <c r="T2024" s="340"/>
      <c r="V2024" s="342"/>
      <c r="W2024" s="64" ph="1"/>
      <c r="X2024" s="241"/>
      <c r="Y2024" s="284"/>
      <c r="Z2024" s="207"/>
      <c r="AA2024" s="284"/>
      <c r="AB2024" s="284"/>
      <c r="AC2024" s="284"/>
      <c r="AD2024" s="284"/>
      <c r="AE2024" s="284"/>
      <c r="AF2024" s="284"/>
      <c r="AG2024" s="284"/>
    </row>
    <row r="2025" spans="1:33" ht="26.4">
      <c r="A2025" s="284"/>
      <c r="B2025" s="284"/>
      <c r="C2025" s="284"/>
      <c r="D2025" s="284"/>
      <c r="E2025" s="284"/>
      <c r="F2025" s="284"/>
      <c r="G2025" s="284"/>
      <c r="H2025" s="284"/>
      <c r="I2025" s="284"/>
      <c r="J2025" s="284"/>
      <c r="K2025" s="284"/>
      <c r="L2025" s="284"/>
      <c r="M2025" s="113"/>
      <c r="N2025" s="113"/>
      <c r="O2025" s="335"/>
      <c r="T2025" s="340"/>
      <c r="V2025" s="342"/>
      <c r="W2025" s="64" ph="1"/>
      <c r="X2025" s="241"/>
      <c r="Y2025" s="284"/>
      <c r="Z2025" s="207"/>
      <c r="AA2025" s="284"/>
      <c r="AB2025" s="284"/>
      <c r="AC2025" s="284"/>
      <c r="AD2025" s="284"/>
      <c r="AE2025" s="284"/>
      <c r="AF2025" s="284"/>
      <c r="AG2025" s="284"/>
    </row>
    <row r="2026" spans="1:33" ht="26.4">
      <c r="A2026" s="284"/>
      <c r="B2026" s="284"/>
      <c r="C2026" s="284"/>
      <c r="D2026" s="284"/>
      <c r="E2026" s="284"/>
      <c r="F2026" s="284"/>
      <c r="G2026" s="284"/>
      <c r="H2026" s="284"/>
      <c r="I2026" s="284"/>
      <c r="J2026" s="284"/>
      <c r="K2026" s="284"/>
      <c r="L2026" s="284"/>
      <c r="M2026" s="113"/>
      <c r="N2026" s="113"/>
      <c r="O2026" s="335"/>
      <c r="T2026" s="340"/>
      <c r="V2026" s="342"/>
      <c r="W2026" s="64" ph="1"/>
      <c r="X2026" s="241"/>
      <c r="Y2026" s="284"/>
      <c r="Z2026" s="207"/>
      <c r="AA2026" s="284"/>
      <c r="AB2026" s="284"/>
      <c r="AC2026" s="284"/>
      <c r="AD2026" s="284"/>
      <c r="AE2026" s="284"/>
      <c r="AF2026" s="284"/>
      <c r="AG2026" s="284"/>
    </row>
    <row r="2027" spans="1:33" ht="26.4">
      <c r="A2027" s="284"/>
      <c r="B2027" s="284"/>
      <c r="C2027" s="284"/>
      <c r="D2027" s="284"/>
      <c r="E2027" s="284"/>
      <c r="F2027" s="284"/>
      <c r="G2027" s="284"/>
      <c r="H2027" s="284"/>
      <c r="I2027" s="284"/>
      <c r="J2027" s="284"/>
      <c r="K2027" s="284"/>
      <c r="L2027" s="284"/>
      <c r="M2027" s="113"/>
      <c r="N2027" s="113"/>
      <c r="O2027" s="335"/>
      <c r="T2027" s="340"/>
      <c r="V2027" s="342"/>
      <c r="W2027" s="64" ph="1"/>
      <c r="X2027" s="241"/>
      <c r="Y2027" s="284"/>
      <c r="Z2027" s="207"/>
      <c r="AA2027" s="284"/>
      <c r="AB2027" s="284"/>
      <c r="AC2027" s="284"/>
      <c r="AD2027" s="284"/>
      <c r="AE2027" s="284"/>
      <c r="AF2027" s="284"/>
      <c r="AG2027" s="284"/>
    </row>
    <row r="2028" spans="1:33" ht="26.4">
      <c r="A2028" s="284"/>
      <c r="B2028" s="284"/>
      <c r="C2028" s="284"/>
      <c r="D2028" s="284"/>
      <c r="E2028" s="284"/>
      <c r="F2028" s="284"/>
      <c r="G2028" s="284"/>
      <c r="H2028" s="284"/>
      <c r="I2028" s="284"/>
      <c r="J2028" s="284"/>
      <c r="K2028" s="284"/>
      <c r="L2028" s="284"/>
      <c r="M2028" s="113"/>
      <c r="N2028" s="113"/>
      <c r="O2028" s="335"/>
      <c r="T2028" s="340"/>
      <c r="V2028" s="342"/>
      <c r="W2028" s="64" ph="1"/>
      <c r="X2028" s="241"/>
      <c r="Y2028" s="284"/>
      <c r="Z2028" s="207"/>
      <c r="AA2028" s="284"/>
      <c r="AB2028" s="284"/>
      <c r="AC2028" s="284"/>
      <c r="AD2028" s="284"/>
      <c r="AE2028" s="284"/>
      <c r="AF2028" s="284"/>
      <c r="AG2028" s="284"/>
    </row>
    <row r="2029" spans="1:33" ht="26.4">
      <c r="A2029" s="284"/>
      <c r="B2029" s="284"/>
      <c r="C2029" s="284"/>
      <c r="D2029" s="284"/>
      <c r="E2029" s="284"/>
      <c r="F2029" s="284"/>
      <c r="G2029" s="284"/>
      <c r="H2029" s="284"/>
      <c r="I2029" s="284"/>
      <c r="J2029" s="284"/>
      <c r="K2029" s="284"/>
      <c r="L2029" s="284"/>
      <c r="M2029" s="113"/>
      <c r="N2029" s="113"/>
      <c r="O2029" s="335"/>
      <c r="T2029" s="340"/>
      <c r="V2029" s="342"/>
      <c r="W2029" s="64" ph="1"/>
      <c r="X2029" s="241"/>
      <c r="Y2029" s="284"/>
      <c r="Z2029" s="207"/>
      <c r="AA2029" s="284"/>
      <c r="AB2029" s="284"/>
      <c r="AC2029" s="284"/>
      <c r="AD2029" s="284"/>
      <c r="AE2029" s="284"/>
      <c r="AF2029" s="284"/>
      <c r="AG2029" s="284"/>
    </row>
    <row r="2030" spans="1:33" ht="26.4">
      <c r="A2030" s="284"/>
      <c r="B2030" s="284"/>
      <c r="C2030" s="284"/>
      <c r="D2030" s="284"/>
      <c r="E2030" s="284"/>
      <c r="F2030" s="284"/>
      <c r="G2030" s="284"/>
      <c r="H2030" s="284"/>
      <c r="I2030" s="284"/>
      <c r="J2030" s="284"/>
      <c r="K2030" s="284"/>
      <c r="L2030" s="284"/>
      <c r="M2030" s="113"/>
      <c r="N2030" s="113"/>
      <c r="O2030" s="335"/>
      <c r="T2030" s="340"/>
      <c r="V2030" s="342"/>
      <c r="W2030" s="64" ph="1"/>
      <c r="X2030" s="241"/>
      <c r="Y2030" s="284"/>
      <c r="Z2030" s="207"/>
      <c r="AA2030" s="284"/>
      <c r="AB2030" s="284"/>
      <c r="AC2030" s="284"/>
      <c r="AD2030" s="284"/>
      <c r="AE2030" s="284"/>
      <c r="AF2030" s="284"/>
      <c r="AG2030" s="284"/>
    </row>
    <row r="2031" spans="1:33" ht="26.4">
      <c r="A2031" s="284"/>
      <c r="B2031" s="284"/>
      <c r="C2031" s="284"/>
      <c r="D2031" s="284"/>
      <c r="E2031" s="284"/>
      <c r="F2031" s="284"/>
      <c r="G2031" s="284"/>
      <c r="H2031" s="284"/>
      <c r="I2031" s="284"/>
      <c r="J2031" s="284"/>
      <c r="K2031" s="284"/>
      <c r="L2031" s="284"/>
      <c r="M2031" s="113"/>
      <c r="N2031" s="113"/>
      <c r="O2031" s="335"/>
      <c r="T2031" s="340"/>
      <c r="V2031" s="342"/>
      <c r="W2031" s="64" ph="1"/>
      <c r="X2031" s="241"/>
      <c r="Y2031" s="284"/>
      <c r="Z2031" s="207"/>
      <c r="AA2031" s="284"/>
      <c r="AB2031" s="284"/>
      <c r="AC2031" s="284"/>
      <c r="AD2031" s="284"/>
      <c r="AE2031" s="284"/>
      <c r="AF2031" s="284"/>
      <c r="AG2031" s="284"/>
    </row>
    <row r="2032" spans="1:33" ht="26.4">
      <c r="A2032" s="284"/>
      <c r="B2032" s="284"/>
      <c r="C2032" s="284"/>
      <c r="D2032" s="284"/>
      <c r="E2032" s="284"/>
      <c r="F2032" s="284"/>
      <c r="G2032" s="284"/>
      <c r="H2032" s="284"/>
      <c r="I2032" s="284"/>
      <c r="J2032" s="284"/>
      <c r="K2032" s="284"/>
      <c r="L2032" s="284"/>
      <c r="M2032" s="113"/>
      <c r="N2032" s="113"/>
      <c r="O2032" s="335"/>
      <c r="T2032" s="340"/>
      <c r="V2032" s="342"/>
      <c r="W2032" s="64" ph="1"/>
      <c r="X2032" s="241"/>
      <c r="Y2032" s="284"/>
      <c r="Z2032" s="207"/>
      <c r="AA2032" s="284"/>
      <c r="AB2032" s="284"/>
      <c r="AC2032" s="284"/>
      <c r="AD2032" s="284"/>
      <c r="AE2032" s="284"/>
      <c r="AF2032" s="284"/>
      <c r="AG2032" s="284"/>
    </row>
    <row r="2033" spans="1:33" ht="26.4">
      <c r="A2033" s="284"/>
      <c r="B2033" s="284"/>
      <c r="C2033" s="284"/>
      <c r="D2033" s="284"/>
      <c r="E2033" s="284"/>
      <c r="F2033" s="284"/>
      <c r="G2033" s="284"/>
      <c r="H2033" s="284"/>
      <c r="I2033" s="284"/>
      <c r="J2033" s="284"/>
      <c r="K2033" s="284"/>
      <c r="L2033" s="284"/>
      <c r="M2033" s="113"/>
      <c r="N2033" s="113"/>
      <c r="O2033" s="335"/>
      <c r="T2033" s="340"/>
      <c r="V2033" s="342"/>
      <c r="W2033" s="64" ph="1"/>
      <c r="X2033" s="241"/>
      <c r="Y2033" s="284"/>
      <c r="Z2033" s="207"/>
      <c r="AA2033" s="284"/>
      <c r="AB2033" s="284"/>
      <c r="AC2033" s="284"/>
      <c r="AD2033" s="284"/>
      <c r="AE2033" s="284"/>
      <c r="AF2033" s="284"/>
      <c r="AG2033" s="284"/>
    </row>
    <row r="2034" spans="1:33" ht="26.4">
      <c r="A2034" s="284"/>
      <c r="B2034" s="284"/>
      <c r="C2034" s="284"/>
      <c r="D2034" s="284"/>
      <c r="E2034" s="284"/>
      <c r="F2034" s="284"/>
      <c r="G2034" s="284"/>
      <c r="H2034" s="284"/>
      <c r="I2034" s="284"/>
      <c r="J2034" s="284"/>
      <c r="K2034" s="284"/>
      <c r="L2034" s="284"/>
      <c r="M2034" s="113"/>
      <c r="N2034" s="113"/>
      <c r="O2034" s="335"/>
      <c r="T2034" s="340"/>
      <c r="V2034" s="342"/>
      <c r="W2034" s="64" ph="1"/>
      <c r="X2034" s="241"/>
      <c r="Y2034" s="284"/>
      <c r="Z2034" s="207"/>
      <c r="AA2034" s="284"/>
      <c r="AB2034" s="284"/>
      <c r="AC2034" s="284"/>
      <c r="AD2034" s="284"/>
      <c r="AE2034" s="284"/>
      <c r="AF2034" s="284"/>
      <c r="AG2034" s="284"/>
    </row>
    <row r="2035" spans="1:33" ht="26.4">
      <c r="A2035" s="284"/>
      <c r="B2035" s="284"/>
      <c r="C2035" s="284"/>
      <c r="D2035" s="284"/>
      <c r="E2035" s="284"/>
      <c r="F2035" s="284"/>
      <c r="G2035" s="284"/>
      <c r="H2035" s="284"/>
      <c r="I2035" s="284"/>
      <c r="J2035" s="284"/>
      <c r="K2035" s="284"/>
      <c r="L2035" s="284"/>
      <c r="M2035" s="113"/>
      <c r="N2035" s="113"/>
      <c r="O2035" s="335"/>
      <c r="T2035" s="340"/>
      <c r="V2035" s="342"/>
      <c r="W2035" s="64" ph="1"/>
      <c r="X2035" s="241"/>
      <c r="Y2035" s="284"/>
      <c r="Z2035" s="207"/>
      <c r="AA2035" s="284"/>
      <c r="AB2035" s="284"/>
      <c r="AC2035" s="284"/>
      <c r="AD2035" s="284"/>
      <c r="AE2035" s="284"/>
      <c r="AF2035" s="284"/>
      <c r="AG2035" s="284"/>
    </row>
    <row r="2036" spans="1:33" ht="26.4">
      <c r="A2036" s="284"/>
      <c r="B2036" s="284"/>
      <c r="C2036" s="284"/>
      <c r="D2036" s="284"/>
      <c r="E2036" s="284"/>
      <c r="F2036" s="284"/>
      <c r="G2036" s="284"/>
      <c r="H2036" s="284"/>
      <c r="I2036" s="284"/>
      <c r="J2036" s="284"/>
      <c r="K2036" s="284"/>
      <c r="L2036" s="284"/>
      <c r="M2036" s="113"/>
      <c r="N2036" s="113"/>
      <c r="O2036" s="335"/>
      <c r="T2036" s="340"/>
      <c r="V2036" s="342"/>
      <c r="W2036" s="64" ph="1"/>
      <c r="X2036" s="241"/>
      <c r="Y2036" s="284"/>
      <c r="Z2036" s="207"/>
      <c r="AA2036" s="284"/>
      <c r="AB2036" s="284"/>
      <c r="AC2036" s="284"/>
      <c r="AD2036" s="284"/>
      <c r="AE2036" s="284"/>
      <c r="AF2036" s="284"/>
      <c r="AG2036" s="284"/>
    </row>
    <row r="2037" spans="1:33" ht="26.4">
      <c r="A2037" s="284"/>
      <c r="B2037" s="284"/>
      <c r="C2037" s="284"/>
      <c r="D2037" s="284"/>
      <c r="E2037" s="284"/>
      <c r="F2037" s="284"/>
      <c r="G2037" s="284"/>
      <c r="H2037" s="284"/>
      <c r="I2037" s="284"/>
      <c r="J2037" s="284"/>
      <c r="K2037" s="284"/>
      <c r="L2037" s="284"/>
      <c r="M2037" s="113"/>
      <c r="N2037" s="113"/>
      <c r="O2037" s="335"/>
      <c r="T2037" s="340"/>
      <c r="V2037" s="342"/>
      <c r="W2037" s="64" ph="1"/>
      <c r="X2037" s="241"/>
      <c r="Y2037" s="284"/>
      <c r="Z2037" s="207"/>
      <c r="AA2037" s="284"/>
      <c r="AB2037" s="284"/>
      <c r="AC2037" s="284"/>
      <c r="AD2037" s="284"/>
      <c r="AE2037" s="284"/>
      <c r="AF2037" s="284"/>
      <c r="AG2037" s="284"/>
    </row>
    <row r="2038" spans="1:33" ht="26.4">
      <c r="A2038" s="284"/>
      <c r="B2038" s="284"/>
      <c r="C2038" s="284"/>
      <c r="D2038" s="284"/>
      <c r="E2038" s="284"/>
      <c r="F2038" s="284"/>
      <c r="G2038" s="284"/>
      <c r="H2038" s="284"/>
      <c r="I2038" s="284"/>
      <c r="J2038" s="284"/>
      <c r="K2038" s="284"/>
      <c r="L2038" s="284"/>
      <c r="M2038" s="113"/>
      <c r="N2038" s="113"/>
      <c r="O2038" s="335"/>
      <c r="T2038" s="340"/>
      <c r="V2038" s="342"/>
      <c r="W2038" s="64" ph="1"/>
      <c r="X2038" s="241"/>
      <c r="Y2038" s="284"/>
      <c r="Z2038" s="207"/>
      <c r="AA2038" s="284"/>
      <c r="AB2038" s="284"/>
      <c r="AC2038" s="284"/>
      <c r="AD2038" s="284"/>
      <c r="AE2038" s="284"/>
      <c r="AF2038" s="284"/>
      <c r="AG2038" s="284"/>
    </row>
    <row r="2039" spans="1:33" ht="26.4">
      <c r="A2039" s="284"/>
      <c r="B2039" s="284"/>
      <c r="C2039" s="284"/>
      <c r="D2039" s="284"/>
      <c r="E2039" s="284"/>
      <c r="F2039" s="284"/>
      <c r="G2039" s="284"/>
      <c r="H2039" s="284"/>
      <c r="I2039" s="284"/>
      <c r="J2039" s="284"/>
      <c r="K2039" s="284"/>
      <c r="L2039" s="284"/>
      <c r="M2039" s="113"/>
      <c r="N2039" s="113"/>
      <c r="O2039" s="335"/>
      <c r="T2039" s="340"/>
      <c r="V2039" s="342"/>
      <c r="W2039" s="64" ph="1"/>
      <c r="X2039" s="241"/>
      <c r="Y2039" s="284"/>
      <c r="Z2039" s="207"/>
      <c r="AA2039" s="284"/>
      <c r="AB2039" s="284"/>
      <c r="AC2039" s="284"/>
      <c r="AD2039" s="284"/>
      <c r="AE2039" s="284"/>
      <c r="AF2039" s="284"/>
      <c r="AG2039" s="284"/>
    </row>
    <row r="2040" spans="1:33" ht="26.4">
      <c r="A2040" s="284"/>
      <c r="B2040" s="284"/>
      <c r="C2040" s="284"/>
      <c r="D2040" s="284"/>
      <c r="E2040" s="284"/>
      <c r="F2040" s="284"/>
      <c r="G2040" s="284"/>
      <c r="H2040" s="284"/>
      <c r="I2040" s="284"/>
      <c r="J2040" s="284"/>
      <c r="K2040" s="284"/>
      <c r="L2040" s="284"/>
      <c r="M2040" s="113"/>
      <c r="N2040" s="113"/>
      <c r="O2040" s="335"/>
      <c r="T2040" s="340"/>
      <c r="V2040" s="342"/>
      <c r="W2040" s="64" ph="1"/>
      <c r="X2040" s="241"/>
      <c r="Y2040" s="284"/>
      <c r="Z2040" s="207"/>
      <c r="AA2040" s="284"/>
      <c r="AB2040" s="284"/>
      <c r="AC2040" s="284"/>
      <c r="AD2040" s="284"/>
      <c r="AE2040" s="284"/>
      <c r="AF2040" s="284"/>
      <c r="AG2040" s="284"/>
    </row>
    <row r="2041" spans="1:33" ht="26.4">
      <c r="A2041" s="284"/>
      <c r="B2041" s="284"/>
      <c r="C2041" s="284"/>
      <c r="D2041" s="284"/>
      <c r="E2041" s="284"/>
      <c r="F2041" s="284"/>
      <c r="G2041" s="284"/>
      <c r="H2041" s="284"/>
      <c r="I2041" s="284"/>
      <c r="J2041" s="284"/>
      <c r="K2041" s="284"/>
      <c r="L2041" s="284"/>
      <c r="M2041" s="113"/>
      <c r="N2041" s="113"/>
      <c r="O2041" s="335"/>
      <c r="T2041" s="340"/>
      <c r="V2041" s="342"/>
      <c r="W2041" s="64" ph="1"/>
      <c r="X2041" s="241"/>
      <c r="Y2041" s="284"/>
      <c r="Z2041" s="207"/>
      <c r="AA2041" s="284"/>
      <c r="AB2041" s="284"/>
      <c r="AC2041" s="284"/>
      <c r="AD2041" s="284"/>
      <c r="AE2041" s="284"/>
      <c r="AF2041" s="284"/>
      <c r="AG2041" s="284"/>
    </row>
    <row r="2042" spans="1:33" ht="26.4">
      <c r="A2042" s="284"/>
      <c r="B2042" s="284"/>
      <c r="C2042" s="284"/>
      <c r="D2042" s="284"/>
      <c r="E2042" s="284"/>
      <c r="F2042" s="284"/>
      <c r="G2042" s="284"/>
      <c r="H2042" s="284"/>
      <c r="I2042" s="284"/>
      <c r="J2042" s="284"/>
      <c r="K2042" s="284"/>
      <c r="L2042" s="284"/>
      <c r="M2042" s="113"/>
      <c r="N2042" s="113"/>
      <c r="O2042" s="335"/>
      <c r="T2042" s="340"/>
      <c r="V2042" s="342"/>
      <c r="W2042" s="64" ph="1"/>
      <c r="X2042" s="241"/>
      <c r="Y2042" s="284"/>
      <c r="Z2042" s="207"/>
      <c r="AA2042" s="284"/>
      <c r="AB2042" s="284"/>
      <c r="AC2042" s="284"/>
      <c r="AD2042" s="284"/>
      <c r="AE2042" s="284"/>
      <c r="AF2042" s="284"/>
      <c r="AG2042" s="284"/>
    </row>
    <row r="2043" spans="1:33" ht="26.4">
      <c r="A2043" s="284"/>
      <c r="B2043" s="284"/>
      <c r="C2043" s="284"/>
      <c r="D2043" s="284"/>
      <c r="E2043" s="284"/>
      <c r="F2043" s="284"/>
      <c r="G2043" s="284"/>
      <c r="H2043" s="284"/>
      <c r="I2043" s="284"/>
      <c r="J2043" s="284"/>
      <c r="K2043" s="284"/>
      <c r="L2043" s="284"/>
      <c r="M2043" s="113"/>
      <c r="N2043" s="113"/>
      <c r="O2043" s="335"/>
      <c r="T2043" s="340"/>
      <c r="V2043" s="342"/>
      <c r="W2043" s="64" ph="1"/>
      <c r="X2043" s="241"/>
      <c r="Y2043" s="284"/>
      <c r="Z2043" s="207"/>
      <c r="AA2043" s="284"/>
      <c r="AB2043" s="284"/>
      <c r="AC2043" s="284"/>
      <c r="AD2043" s="284"/>
      <c r="AE2043" s="284"/>
      <c r="AF2043" s="284"/>
      <c r="AG2043" s="284"/>
    </row>
    <row r="2044" spans="1:33" ht="26.4">
      <c r="A2044" s="284"/>
      <c r="B2044" s="284"/>
      <c r="C2044" s="284"/>
      <c r="D2044" s="284"/>
      <c r="E2044" s="284"/>
      <c r="F2044" s="284"/>
      <c r="G2044" s="284"/>
      <c r="H2044" s="284"/>
      <c r="I2044" s="284"/>
      <c r="J2044" s="284"/>
      <c r="K2044" s="284"/>
      <c r="L2044" s="284"/>
      <c r="M2044" s="113"/>
      <c r="N2044" s="113"/>
      <c r="O2044" s="335"/>
      <c r="T2044" s="340"/>
      <c r="V2044" s="342"/>
      <c r="W2044" s="64" ph="1"/>
      <c r="X2044" s="241"/>
      <c r="Y2044" s="284"/>
      <c r="Z2044" s="207"/>
      <c r="AA2044" s="284"/>
      <c r="AB2044" s="284"/>
      <c r="AC2044" s="284"/>
      <c r="AD2044" s="284"/>
      <c r="AE2044" s="284"/>
      <c r="AF2044" s="284"/>
      <c r="AG2044" s="284"/>
    </row>
    <row r="2045" spans="1:33" ht="26.4">
      <c r="A2045" s="284"/>
      <c r="B2045" s="284"/>
      <c r="C2045" s="284"/>
      <c r="D2045" s="284"/>
      <c r="E2045" s="284"/>
      <c r="F2045" s="284"/>
      <c r="G2045" s="284"/>
      <c r="H2045" s="284"/>
      <c r="I2045" s="284"/>
      <c r="J2045" s="284"/>
      <c r="K2045" s="284"/>
      <c r="L2045" s="284"/>
      <c r="M2045" s="113"/>
      <c r="N2045" s="113"/>
      <c r="O2045" s="335"/>
      <c r="T2045" s="340"/>
      <c r="V2045" s="342"/>
      <c r="W2045" s="64" ph="1"/>
      <c r="X2045" s="241"/>
      <c r="Y2045" s="284"/>
      <c r="Z2045" s="207"/>
      <c r="AA2045" s="284"/>
      <c r="AB2045" s="284"/>
      <c r="AC2045" s="284"/>
      <c r="AD2045" s="284"/>
      <c r="AE2045" s="284"/>
      <c r="AF2045" s="284"/>
      <c r="AG2045" s="284"/>
    </row>
    <row r="2046" spans="1:33" ht="26.4">
      <c r="A2046" s="284"/>
      <c r="B2046" s="284"/>
      <c r="C2046" s="284"/>
      <c r="D2046" s="284"/>
      <c r="E2046" s="284"/>
      <c r="F2046" s="284"/>
      <c r="G2046" s="284"/>
      <c r="H2046" s="284"/>
      <c r="I2046" s="284"/>
      <c r="J2046" s="284"/>
      <c r="K2046" s="284"/>
      <c r="L2046" s="284"/>
      <c r="M2046" s="113"/>
      <c r="N2046" s="113"/>
      <c r="O2046" s="335"/>
      <c r="T2046" s="340"/>
      <c r="V2046" s="342"/>
      <c r="W2046" s="64" ph="1"/>
      <c r="X2046" s="241"/>
      <c r="Y2046" s="284"/>
      <c r="Z2046" s="207"/>
      <c r="AA2046" s="284"/>
      <c r="AB2046" s="284"/>
      <c r="AC2046" s="284"/>
      <c r="AD2046" s="284"/>
      <c r="AE2046" s="284"/>
      <c r="AF2046" s="284"/>
      <c r="AG2046" s="284"/>
    </row>
    <row r="2047" spans="1:33" ht="26.4">
      <c r="A2047" s="284"/>
      <c r="B2047" s="284"/>
      <c r="C2047" s="284"/>
      <c r="D2047" s="284"/>
      <c r="E2047" s="284"/>
      <c r="F2047" s="284"/>
      <c r="G2047" s="284"/>
      <c r="H2047" s="284"/>
      <c r="I2047" s="284"/>
      <c r="J2047" s="284"/>
      <c r="K2047" s="284"/>
      <c r="L2047" s="284"/>
      <c r="M2047" s="113"/>
      <c r="N2047" s="113"/>
      <c r="O2047" s="335"/>
      <c r="T2047" s="340"/>
      <c r="V2047" s="342"/>
      <c r="W2047" s="64" ph="1"/>
      <c r="X2047" s="241"/>
      <c r="Y2047" s="284"/>
      <c r="Z2047" s="207"/>
      <c r="AA2047" s="284"/>
      <c r="AB2047" s="284"/>
      <c r="AC2047" s="284"/>
      <c r="AD2047" s="284"/>
      <c r="AE2047" s="284"/>
      <c r="AF2047" s="284"/>
      <c r="AG2047" s="284"/>
    </row>
    <row r="2048" spans="1:33" ht="26.4">
      <c r="A2048" s="284"/>
      <c r="B2048" s="284"/>
      <c r="C2048" s="284"/>
      <c r="D2048" s="284"/>
      <c r="E2048" s="284"/>
      <c r="F2048" s="284"/>
      <c r="G2048" s="284"/>
      <c r="H2048" s="284"/>
      <c r="I2048" s="284"/>
      <c r="J2048" s="284"/>
      <c r="K2048" s="284"/>
      <c r="L2048" s="284"/>
      <c r="M2048" s="113"/>
      <c r="N2048" s="113"/>
      <c r="O2048" s="335"/>
      <c r="T2048" s="340"/>
      <c r="V2048" s="342"/>
      <c r="W2048" s="64" ph="1"/>
      <c r="X2048" s="241"/>
      <c r="Y2048" s="284"/>
      <c r="Z2048" s="207"/>
      <c r="AA2048" s="284"/>
      <c r="AB2048" s="284"/>
      <c r="AC2048" s="284"/>
      <c r="AD2048" s="284"/>
      <c r="AE2048" s="284"/>
      <c r="AF2048" s="284"/>
      <c r="AG2048" s="284"/>
    </row>
    <row r="2049" spans="1:33" ht="26.4">
      <c r="A2049" s="284"/>
      <c r="B2049" s="284"/>
      <c r="C2049" s="284"/>
      <c r="D2049" s="284"/>
      <c r="E2049" s="284"/>
      <c r="F2049" s="284"/>
      <c r="G2049" s="284"/>
      <c r="H2049" s="284"/>
      <c r="I2049" s="284"/>
      <c r="J2049" s="284"/>
      <c r="K2049" s="284"/>
      <c r="L2049" s="284"/>
      <c r="M2049" s="113"/>
      <c r="N2049" s="113"/>
      <c r="O2049" s="335"/>
      <c r="T2049" s="340"/>
      <c r="V2049" s="342"/>
      <c r="W2049" s="64" ph="1"/>
      <c r="X2049" s="241"/>
      <c r="Y2049" s="284"/>
      <c r="Z2049" s="207"/>
      <c r="AA2049" s="284"/>
      <c r="AB2049" s="284"/>
      <c r="AC2049" s="284"/>
      <c r="AD2049" s="284"/>
      <c r="AE2049" s="284"/>
      <c r="AF2049" s="284"/>
      <c r="AG2049" s="284"/>
    </row>
    <row r="2050" spans="1:33" ht="26.4">
      <c r="A2050" s="284"/>
      <c r="B2050" s="284"/>
      <c r="C2050" s="284"/>
      <c r="D2050" s="284"/>
      <c r="E2050" s="284"/>
      <c r="F2050" s="284"/>
      <c r="G2050" s="284"/>
      <c r="H2050" s="284"/>
      <c r="I2050" s="284"/>
      <c r="J2050" s="284"/>
      <c r="K2050" s="284"/>
      <c r="L2050" s="284"/>
      <c r="M2050" s="113"/>
      <c r="N2050" s="113"/>
      <c r="O2050" s="335"/>
      <c r="T2050" s="340"/>
      <c r="V2050" s="342"/>
      <c r="W2050" s="64" ph="1"/>
      <c r="X2050" s="241"/>
      <c r="Y2050" s="284"/>
      <c r="Z2050" s="207"/>
      <c r="AA2050" s="284"/>
      <c r="AB2050" s="284"/>
      <c r="AC2050" s="284"/>
      <c r="AD2050" s="284"/>
      <c r="AE2050" s="284"/>
      <c r="AF2050" s="284"/>
      <c r="AG2050" s="284"/>
    </row>
    <row r="2051" spans="1:33" ht="26.4">
      <c r="A2051" s="284"/>
      <c r="B2051" s="284"/>
      <c r="C2051" s="284"/>
      <c r="D2051" s="284"/>
      <c r="E2051" s="284"/>
      <c r="F2051" s="284"/>
      <c r="G2051" s="284"/>
      <c r="H2051" s="284"/>
      <c r="I2051" s="284"/>
      <c r="J2051" s="284"/>
      <c r="K2051" s="284"/>
      <c r="L2051" s="284"/>
      <c r="M2051" s="113"/>
      <c r="N2051" s="113"/>
      <c r="O2051" s="335"/>
      <c r="T2051" s="340"/>
      <c r="V2051" s="342"/>
      <c r="W2051" s="64" ph="1"/>
      <c r="X2051" s="241"/>
      <c r="Y2051" s="284"/>
      <c r="Z2051" s="207"/>
      <c r="AA2051" s="284"/>
      <c r="AB2051" s="284"/>
      <c r="AC2051" s="284"/>
      <c r="AD2051" s="284"/>
      <c r="AE2051" s="284"/>
      <c r="AF2051" s="284"/>
      <c r="AG2051" s="284"/>
    </row>
    <row r="2052" spans="1:33" ht="26.4">
      <c r="A2052" s="284"/>
      <c r="B2052" s="284"/>
      <c r="C2052" s="284"/>
      <c r="D2052" s="284"/>
      <c r="E2052" s="284"/>
      <c r="F2052" s="284"/>
      <c r="G2052" s="284"/>
      <c r="H2052" s="284"/>
      <c r="I2052" s="284"/>
      <c r="J2052" s="284"/>
      <c r="K2052" s="284"/>
      <c r="L2052" s="284"/>
      <c r="M2052" s="113"/>
      <c r="N2052" s="113"/>
      <c r="O2052" s="335"/>
      <c r="T2052" s="340"/>
      <c r="V2052" s="342"/>
      <c r="W2052" s="64" ph="1"/>
      <c r="X2052" s="241"/>
      <c r="Y2052" s="284"/>
      <c r="Z2052" s="207"/>
      <c r="AA2052" s="284"/>
      <c r="AB2052" s="284"/>
      <c r="AC2052" s="284"/>
      <c r="AD2052" s="284"/>
      <c r="AE2052" s="284"/>
      <c r="AF2052" s="284"/>
      <c r="AG2052" s="284"/>
    </row>
    <row r="2053" spans="1:33" ht="26.4">
      <c r="A2053" s="284"/>
      <c r="B2053" s="284"/>
      <c r="C2053" s="284"/>
      <c r="D2053" s="284"/>
      <c r="E2053" s="284"/>
      <c r="F2053" s="284"/>
      <c r="G2053" s="284"/>
      <c r="H2053" s="284"/>
      <c r="I2053" s="284"/>
      <c r="J2053" s="284"/>
      <c r="K2053" s="284"/>
      <c r="L2053" s="284"/>
      <c r="M2053" s="113"/>
      <c r="N2053" s="113"/>
      <c r="O2053" s="335"/>
      <c r="T2053" s="340"/>
      <c r="V2053" s="342"/>
      <c r="W2053" s="64" ph="1"/>
      <c r="X2053" s="241"/>
      <c r="Y2053" s="284"/>
      <c r="Z2053" s="207"/>
      <c r="AA2053" s="284"/>
      <c r="AB2053" s="284"/>
      <c r="AC2053" s="284"/>
      <c r="AD2053" s="284"/>
      <c r="AE2053" s="284"/>
      <c r="AF2053" s="284"/>
      <c r="AG2053" s="284"/>
    </row>
    <row r="2054" spans="1:33" ht="26.4">
      <c r="A2054" s="284"/>
      <c r="B2054" s="284"/>
      <c r="C2054" s="284"/>
      <c r="D2054" s="284"/>
      <c r="E2054" s="284"/>
      <c r="F2054" s="284"/>
      <c r="G2054" s="284"/>
      <c r="H2054" s="284"/>
      <c r="I2054" s="284"/>
      <c r="J2054" s="284"/>
      <c r="K2054" s="284"/>
      <c r="L2054" s="284"/>
      <c r="M2054" s="113"/>
      <c r="N2054" s="113"/>
      <c r="O2054" s="335"/>
      <c r="T2054" s="340"/>
      <c r="V2054" s="342"/>
      <c r="W2054" s="64" ph="1"/>
      <c r="X2054" s="241"/>
      <c r="Y2054" s="284"/>
      <c r="Z2054" s="207"/>
      <c r="AA2054" s="284"/>
      <c r="AB2054" s="284"/>
      <c r="AC2054" s="284"/>
      <c r="AD2054" s="284"/>
      <c r="AE2054" s="284"/>
      <c r="AF2054" s="284"/>
      <c r="AG2054" s="284"/>
    </row>
    <row r="2055" spans="1:33" ht="26.4">
      <c r="A2055" s="284"/>
      <c r="B2055" s="284"/>
      <c r="C2055" s="284"/>
      <c r="D2055" s="284"/>
      <c r="E2055" s="284"/>
      <c r="F2055" s="284"/>
      <c r="G2055" s="284"/>
      <c r="H2055" s="284"/>
      <c r="I2055" s="284"/>
      <c r="J2055" s="284"/>
      <c r="K2055" s="284"/>
      <c r="L2055" s="284"/>
      <c r="M2055" s="113"/>
      <c r="N2055" s="113"/>
      <c r="O2055" s="335"/>
      <c r="T2055" s="340"/>
      <c r="V2055" s="342"/>
      <c r="W2055" s="64" ph="1"/>
      <c r="X2055" s="241"/>
      <c r="Y2055" s="284"/>
      <c r="Z2055" s="207"/>
      <c r="AA2055" s="284"/>
      <c r="AB2055" s="284"/>
      <c r="AC2055" s="284"/>
      <c r="AD2055" s="284"/>
      <c r="AE2055" s="284"/>
      <c r="AF2055" s="284"/>
      <c r="AG2055" s="284"/>
    </row>
    <row r="2056" spans="1:33" ht="26.4">
      <c r="A2056" s="284"/>
      <c r="B2056" s="284"/>
      <c r="C2056" s="284"/>
      <c r="D2056" s="284"/>
      <c r="E2056" s="284"/>
      <c r="F2056" s="284"/>
      <c r="G2056" s="284"/>
      <c r="H2056" s="284"/>
      <c r="I2056" s="284"/>
      <c r="J2056" s="284"/>
      <c r="K2056" s="284"/>
      <c r="L2056" s="284"/>
      <c r="M2056" s="113"/>
      <c r="N2056" s="113"/>
      <c r="O2056" s="335"/>
      <c r="T2056" s="340"/>
      <c r="V2056" s="342"/>
      <c r="W2056" s="64" ph="1"/>
      <c r="X2056" s="241"/>
      <c r="Y2056" s="284"/>
      <c r="Z2056" s="207"/>
      <c r="AA2056" s="284"/>
      <c r="AB2056" s="284"/>
      <c r="AC2056" s="284"/>
      <c r="AD2056" s="284"/>
      <c r="AE2056" s="284"/>
      <c r="AF2056" s="284"/>
      <c r="AG2056" s="284"/>
    </row>
    <row r="2057" spans="1:33" ht="26.4">
      <c r="A2057" s="284"/>
      <c r="B2057" s="284"/>
      <c r="C2057" s="284"/>
      <c r="D2057" s="284"/>
      <c r="E2057" s="284"/>
      <c r="F2057" s="284"/>
      <c r="G2057" s="284"/>
      <c r="H2057" s="284"/>
      <c r="I2057" s="284"/>
      <c r="J2057" s="284"/>
      <c r="K2057" s="284"/>
      <c r="L2057" s="284"/>
      <c r="M2057" s="113"/>
      <c r="N2057" s="113"/>
      <c r="O2057" s="335"/>
      <c r="T2057" s="340"/>
      <c r="V2057" s="342"/>
      <c r="W2057" s="64" ph="1"/>
      <c r="X2057" s="241"/>
      <c r="Y2057" s="284"/>
      <c r="Z2057" s="207"/>
      <c r="AA2057" s="284"/>
      <c r="AB2057" s="284"/>
      <c r="AC2057" s="284"/>
      <c r="AD2057" s="284"/>
      <c r="AE2057" s="284"/>
      <c r="AF2057" s="284"/>
      <c r="AG2057" s="284"/>
    </row>
    <row r="2058" spans="1:33" ht="26.4">
      <c r="A2058" s="284"/>
      <c r="B2058" s="284"/>
      <c r="C2058" s="284"/>
      <c r="D2058" s="284"/>
      <c r="E2058" s="284"/>
      <c r="F2058" s="284"/>
      <c r="G2058" s="284"/>
      <c r="H2058" s="284"/>
      <c r="I2058" s="284"/>
      <c r="J2058" s="284"/>
      <c r="K2058" s="284"/>
      <c r="L2058" s="284"/>
      <c r="M2058" s="113"/>
      <c r="N2058" s="113"/>
      <c r="O2058" s="335"/>
      <c r="T2058" s="340"/>
      <c r="V2058" s="342"/>
      <c r="W2058" s="64" ph="1"/>
      <c r="X2058" s="241"/>
      <c r="Y2058" s="284"/>
      <c r="Z2058" s="207"/>
      <c r="AA2058" s="284"/>
      <c r="AB2058" s="284"/>
      <c r="AC2058" s="284"/>
      <c r="AD2058" s="284"/>
      <c r="AE2058" s="284"/>
      <c r="AF2058" s="284"/>
      <c r="AG2058" s="284"/>
    </row>
    <row r="2059" spans="1:33" ht="26.4">
      <c r="A2059" s="284"/>
      <c r="B2059" s="284"/>
      <c r="C2059" s="284"/>
      <c r="D2059" s="284"/>
      <c r="E2059" s="284"/>
      <c r="F2059" s="284"/>
      <c r="G2059" s="284"/>
      <c r="H2059" s="284"/>
      <c r="I2059" s="284"/>
      <c r="J2059" s="284"/>
      <c r="K2059" s="284"/>
      <c r="L2059" s="284"/>
      <c r="M2059" s="113"/>
      <c r="N2059" s="113"/>
      <c r="O2059" s="335"/>
      <c r="T2059" s="340"/>
      <c r="V2059" s="342"/>
      <c r="W2059" s="64" ph="1"/>
      <c r="X2059" s="241"/>
      <c r="Y2059" s="284"/>
      <c r="Z2059" s="207"/>
      <c r="AA2059" s="284"/>
      <c r="AB2059" s="284"/>
      <c r="AC2059" s="284"/>
      <c r="AD2059" s="284"/>
      <c r="AE2059" s="284"/>
      <c r="AF2059" s="284"/>
      <c r="AG2059" s="284"/>
    </row>
    <row r="2060" spans="1:33" ht="26.4">
      <c r="A2060" s="284"/>
      <c r="B2060" s="284"/>
      <c r="C2060" s="284"/>
      <c r="D2060" s="284"/>
      <c r="E2060" s="284"/>
      <c r="F2060" s="284"/>
      <c r="G2060" s="284"/>
      <c r="H2060" s="284"/>
      <c r="I2060" s="284"/>
      <c r="J2060" s="284"/>
      <c r="K2060" s="284"/>
      <c r="L2060" s="284"/>
      <c r="M2060" s="113"/>
      <c r="N2060" s="113"/>
      <c r="O2060" s="335"/>
      <c r="T2060" s="340"/>
      <c r="V2060" s="342"/>
      <c r="W2060" s="64" ph="1"/>
      <c r="X2060" s="241"/>
      <c r="Y2060" s="284"/>
      <c r="Z2060" s="207"/>
      <c r="AA2060" s="284"/>
      <c r="AB2060" s="284"/>
      <c r="AC2060" s="284"/>
      <c r="AD2060" s="284"/>
      <c r="AE2060" s="284"/>
      <c r="AF2060" s="284"/>
      <c r="AG2060" s="284"/>
    </row>
    <row r="2061" spans="1:33" ht="26.4">
      <c r="A2061" s="284"/>
      <c r="B2061" s="284"/>
      <c r="C2061" s="284"/>
      <c r="D2061" s="284"/>
      <c r="E2061" s="284"/>
      <c r="F2061" s="284"/>
      <c r="G2061" s="284"/>
      <c r="H2061" s="284"/>
      <c r="I2061" s="284"/>
      <c r="J2061" s="284"/>
      <c r="K2061" s="284"/>
      <c r="L2061" s="284"/>
      <c r="M2061" s="113"/>
      <c r="N2061" s="113"/>
      <c r="O2061" s="335"/>
      <c r="T2061" s="340"/>
      <c r="V2061" s="342"/>
      <c r="W2061" s="64" ph="1"/>
      <c r="X2061" s="241"/>
      <c r="Y2061" s="284"/>
      <c r="Z2061" s="207"/>
      <c r="AA2061" s="284"/>
      <c r="AB2061" s="284"/>
      <c r="AC2061" s="284"/>
      <c r="AD2061" s="284"/>
      <c r="AE2061" s="284"/>
      <c r="AF2061" s="284"/>
      <c r="AG2061" s="284"/>
    </row>
    <row r="2062" spans="1:33" ht="26.4">
      <c r="A2062" s="284"/>
      <c r="B2062" s="284"/>
      <c r="C2062" s="284"/>
      <c r="D2062" s="284"/>
      <c r="E2062" s="284"/>
      <c r="F2062" s="284"/>
      <c r="G2062" s="284"/>
      <c r="H2062" s="284"/>
      <c r="I2062" s="284"/>
      <c r="J2062" s="284"/>
      <c r="K2062" s="284"/>
      <c r="L2062" s="284"/>
      <c r="M2062" s="113"/>
      <c r="N2062" s="113"/>
      <c r="O2062" s="335"/>
      <c r="T2062" s="340"/>
      <c r="V2062" s="342"/>
      <c r="W2062" s="64" ph="1"/>
      <c r="X2062" s="241"/>
      <c r="Y2062" s="284"/>
      <c r="Z2062" s="207"/>
      <c r="AA2062" s="284"/>
      <c r="AB2062" s="284"/>
      <c r="AC2062" s="284"/>
      <c r="AD2062" s="284"/>
      <c r="AE2062" s="284"/>
      <c r="AF2062" s="284"/>
      <c r="AG2062" s="284"/>
    </row>
    <row r="2063" spans="1:33" ht="26.4">
      <c r="A2063" s="284"/>
      <c r="B2063" s="284"/>
      <c r="C2063" s="284"/>
      <c r="D2063" s="284"/>
      <c r="E2063" s="284"/>
      <c r="F2063" s="284"/>
      <c r="G2063" s="284"/>
      <c r="H2063" s="284"/>
      <c r="I2063" s="284"/>
      <c r="J2063" s="284"/>
      <c r="K2063" s="284"/>
      <c r="L2063" s="284"/>
      <c r="M2063" s="113"/>
      <c r="N2063" s="113"/>
      <c r="O2063" s="335"/>
      <c r="T2063" s="340"/>
      <c r="V2063" s="342"/>
      <c r="W2063" s="64" ph="1"/>
      <c r="X2063" s="241"/>
      <c r="Y2063" s="284"/>
      <c r="Z2063" s="207"/>
      <c r="AA2063" s="284"/>
      <c r="AB2063" s="284"/>
      <c r="AC2063" s="284"/>
      <c r="AD2063" s="284"/>
      <c r="AE2063" s="284"/>
      <c r="AF2063" s="284"/>
      <c r="AG2063" s="284"/>
    </row>
    <row r="2064" spans="1:33" ht="26.4">
      <c r="A2064" s="284"/>
      <c r="B2064" s="284"/>
      <c r="C2064" s="284"/>
      <c r="D2064" s="284"/>
      <c r="E2064" s="284"/>
      <c r="F2064" s="284"/>
      <c r="G2064" s="284"/>
      <c r="H2064" s="284"/>
      <c r="I2064" s="284"/>
      <c r="J2064" s="284"/>
      <c r="K2064" s="284"/>
      <c r="L2064" s="284"/>
      <c r="M2064" s="113"/>
      <c r="N2064" s="113"/>
      <c r="O2064" s="335"/>
      <c r="T2064" s="340"/>
      <c r="V2064" s="342"/>
      <c r="W2064" s="64" ph="1"/>
      <c r="X2064" s="241"/>
      <c r="Y2064" s="284"/>
      <c r="Z2064" s="207"/>
      <c r="AA2064" s="284"/>
      <c r="AB2064" s="284"/>
      <c r="AC2064" s="284"/>
      <c r="AD2064" s="284"/>
      <c r="AE2064" s="284"/>
      <c r="AF2064" s="284"/>
      <c r="AG2064" s="284"/>
    </row>
    <row r="2065" spans="1:33" ht="26.4">
      <c r="A2065" s="284"/>
      <c r="B2065" s="284"/>
      <c r="C2065" s="284"/>
      <c r="D2065" s="284"/>
      <c r="E2065" s="284"/>
      <c r="F2065" s="284"/>
      <c r="G2065" s="284"/>
      <c r="H2065" s="284"/>
      <c r="I2065" s="284"/>
      <c r="J2065" s="284"/>
      <c r="K2065" s="284"/>
      <c r="L2065" s="284"/>
      <c r="M2065" s="113"/>
      <c r="N2065" s="113"/>
      <c r="O2065" s="335"/>
      <c r="T2065" s="340"/>
      <c r="V2065" s="342"/>
      <c r="W2065" s="64" ph="1"/>
      <c r="X2065" s="241"/>
      <c r="Y2065" s="284"/>
      <c r="Z2065" s="207"/>
      <c r="AA2065" s="284"/>
      <c r="AB2065" s="284"/>
      <c r="AC2065" s="284"/>
      <c r="AD2065" s="284"/>
      <c r="AE2065" s="284"/>
      <c r="AF2065" s="284"/>
      <c r="AG2065" s="284"/>
    </row>
    <row r="2066" spans="1:33" ht="26.4">
      <c r="A2066" s="284"/>
      <c r="B2066" s="284"/>
      <c r="C2066" s="284"/>
      <c r="D2066" s="284"/>
      <c r="E2066" s="284"/>
      <c r="F2066" s="284"/>
      <c r="G2066" s="284"/>
      <c r="H2066" s="284"/>
      <c r="I2066" s="284"/>
      <c r="J2066" s="284"/>
      <c r="K2066" s="284"/>
      <c r="L2066" s="284"/>
      <c r="M2066" s="113"/>
      <c r="N2066" s="113"/>
      <c r="O2066" s="335"/>
      <c r="T2066" s="340"/>
      <c r="V2066" s="342"/>
      <c r="W2066" s="64" ph="1"/>
      <c r="X2066" s="241"/>
      <c r="Y2066" s="284"/>
      <c r="Z2066" s="207"/>
      <c r="AA2066" s="284"/>
      <c r="AB2066" s="284"/>
      <c r="AC2066" s="284"/>
      <c r="AD2066" s="284"/>
      <c r="AE2066" s="284"/>
      <c r="AF2066" s="284"/>
      <c r="AG2066" s="284"/>
    </row>
    <row r="2067" spans="1:33" ht="26.4">
      <c r="A2067" s="284"/>
      <c r="B2067" s="284"/>
      <c r="C2067" s="284"/>
      <c r="D2067" s="284"/>
      <c r="E2067" s="284"/>
      <c r="F2067" s="284"/>
      <c r="G2067" s="284"/>
      <c r="H2067" s="284"/>
      <c r="I2067" s="284"/>
      <c r="J2067" s="284"/>
      <c r="K2067" s="284"/>
      <c r="L2067" s="284"/>
      <c r="M2067" s="113"/>
      <c r="N2067" s="113"/>
      <c r="O2067" s="335"/>
      <c r="T2067" s="340"/>
      <c r="V2067" s="342"/>
      <c r="W2067" s="64" ph="1"/>
      <c r="X2067" s="241"/>
      <c r="Y2067" s="284"/>
      <c r="Z2067" s="207"/>
      <c r="AA2067" s="284"/>
      <c r="AB2067" s="284"/>
      <c r="AC2067" s="284"/>
      <c r="AD2067" s="284"/>
      <c r="AE2067" s="284"/>
      <c r="AF2067" s="284"/>
      <c r="AG2067" s="284"/>
    </row>
    <row r="2068" spans="1:33" ht="26.4">
      <c r="A2068" s="284"/>
      <c r="B2068" s="284"/>
      <c r="C2068" s="284"/>
      <c r="D2068" s="284"/>
      <c r="E2068" s="284"/>
      <c r="F2068" s="284"/>
      <c r="G2068" s="284"/>
      <c r="H2068" s="284"/>
      <c r="I2068" s="284"/>
      <c r="J2068" s="284"/>
      <c r="K2068" s="284"/>
      <c r="L2068" s="284"/>
      <c r="M2068" s="113"/>
      <c r="N2068" s="113"/>
      <c r="O2068" s="335"/>
      <c r="T2068" s="340"/>
      <c r="V2068" s="342"/>
      <c r="W2068" s="64" ph="1"/>
      <c r="X2068" s="241"/>
      <c r="Y2068" s="284"/>
      <c r="Z2068" s="207"/>
      <c r="AA2068" s="284"/>
      <c r="AB2068" s="284"/>
      <c r="AC2068" s="284"/>
      <c r="AD2068" s="284"/>
      <c r="AE2068" s="284"/>
      <c r="AF2068" s="284"/>
      <c r="AG2068" s="284"/>
    </row>
    <row r="2069" spans="1:33" ht="26.4">
      <c r="A2069" s="284"/>
      <c r="B2069" s="284"/>
      <c r="C2069" s="284"/>
      <c r="D2069" s="284"/>
      <c r="E2069" s="284"/>
      <c r="F2069" s="284"/>
      <c r="G2069" s="284"/>
      <c r="H2069" s="284"/>
      <c r="I2069" s="284"/>
      <c r="J2069" s="284"/>
      <c r="K2069" s="284"/>
      <c r="L2069" s="284"/>
      <c r="M2069" s="113"/>
      <c r="N2069" s="113"/>
      <c r="O2069" s="335"/>
      <c r="T2069" s="340"/>
      <c r="V2069" s="342"/>
      <c r="W2069" s="64" ph="1"/>
      <c r="X2069" s="241"/>
      <c r="Y2069" s="284"/>
      <c r="Z2069" s="207"/>
      <c r="AA2069" s="284"/>
      <c r="AB2069" s="284"/>
      <c r="AC2069" s="284"/>
      <c r="AD2069" s="284"/>
      <c r="AE2069" s="284"/>
      <c r="AF2069" s="284"/>
      <c r="AG2069" s="284"/>
    </row>
    <row r="2070" spans="1:33" ht="26.4">
      <c r="A2070" s="284"/>
      <c r="B2070" s="284"/>
      <c r="C2070" s="284"/>
      <c r="D2070" s="284"/>
      <c r="E2070" s="284"/>
      <c r="F2070" s="284"/>
      <c r="G2070" s="284"/>
      <c r="H2070" s="284"/>
      <c r="I2070" s="284"/>
      <c r="J2070" s="284"/>
      <c r="K2070" s="284"/>
      <c r="L2070" s="284"/>
      <c r="M2070" s="113"/>
      <c r="N2070" s="113"/>
      <c r="O2070" s="335"/>
      <c r="T2070" s="340"/>
      <c r="V2070" s="342"/>
      <c r="W2070" s="64" ph="1"/>
      <c r="X2070" s="241"/>
      <c r="Y2070" s="284"/>
      <c r="Z2070" s="207"/>
      <c r="AA2070" s="284"/>
      <c r="AB2070" s="284"/>
      <c r="AC2070" s="284"/>
      <c r="AD2070" s="284"/>
      <c r="AE2070" s="284"/>
      <c r="AF2070" s="284"/>
      <c r="AG2070" s="284"/>
    </row>
    <row r="2071" spans="1:33" ht="26.4">
      <c r="A2071" s="284"/>
      <c r="B2071" s="284"/>
      <c r="C2071" s="284"/>
      <c r="D2071" s="284"/>
      <c r="E2071" s="284"/>
      <c r="F2071" s="284"/>
      <c r="G2071" s="284"/>
      <c r="H2071" s="284"/>
      <c r="I2071" s="284"/>
      <c r="J2071" s="284"/>
      <c r="K2071" s="284"/>
      <c r="L2071" s="284"/>
      <c r="M2071" s="113"/>
      <c r="N2071" s="113"/>
      <c r="O2071" s="335"/>
      <c r="T2071" s="340"/>
      <c r="V2071" s="342"/>
      <c r="W2071" s="64" ph="1"/>
      <c r="X2071" s="241"/>
      <c r="Y2071" s="284"/>
      <c r="Z2071" s="207"/>
      <c r="AA2071" s="284"/>
      <c r="AB2071" s="284"/>
      <c r="AC2071" s="284"/>
      <c r="AD2071" s="284"/>
      <c r="AE2071" s="284"/>
      <c r="AF2071" s="284"/>
      <c r="AG2071" s="284"/>
    </row>
    <row r="2072" spans="1:33" ht="26.4">
      <c r="A2072" s="284"/>
      <c r="B2072" s="284"/>
      <c r="C2072" s="284"/>
      <c r="D2072" s="284"/>
      <c r="E2072" s="284"/>
      <c r="F2072" s="284"/>
      <c r="G2072" s="284"/>
      <c r="H2072" s="284"/>
      <c r="I2072" s="284"/>
      <c r="J2072" s="284"/>
      <c r="K2072" s="284"/>
      <c r="L2072" s="284"/>
      <c r="M2072" s="113"/>
      <c r="N2072" s="113"/>
      <c r="O2072" s="335"/>
      <c r="T2072" s="340"/>
      <c r="V2072" s="342"/>
      <c r="W2072" s="64" ph="1"/>
      <c r="X2072" s="241"/>
      <c r="Y2072" s="284"/>
      <c r="Z2072" s="207"/>
      <c r="AA2072" s="284"/>
      <c r="AB2072" s="284"/>
      <c r="AC2072" s="284"/>
      <c r="AD2072" s="284"/>
      <c r="AE2072" s="284"/>
      <c r="AF2072" s="284"/>
      <c r="AG2072" s="284"/>
    </row>
    <row r="2073" spans="1:33" ht="26.4">
      <c r="A2073" s="284"/>
      <c r="B2073" s="284"/>
      <c r="C2073" s="284"/>
      <c r="D2073" s="284"/>
      <c r="E2073" s="284"/>
      <c r="F2073" s="284"/>
      <c r="G2073" s="284"/>
      <c r="H2073" s="284"/>
      <c r="I2073" s="284"/>
      <c r="J2073" s="284"/>
      <c r="K2073" s="284"/>
      <c r="L2073" s="284"/>
      <c r="M2073" s="113"/>
      <c r="N2073" s="113"/>
      <c r="O2073" s="335"/>
      <c r="T2073" s="340"/>
      <c r="V2073" s="342"/>
      <c r="W2073" s="64" ph="1"/>
      <c r="X2073" s="241"/>
      <c r="Y2073" s="284"/>
      <c r="Z2073" s="207"/>
      <c r="AA2073" s="284"/>
      <c r="AB2073" s="284"/>
      <c r="AC2073" s="284"/>
      <c r="AD2073" s="284"/>
      <c r="AE2073" s="284"/>
      <c r="AF2073" s="284"/>
      <c r="AG2073" s="284"/>
    </row>
    <row r="2074" spans="1:33" ht="26.4">
      <c r="A2074" s="284"/>
      <c r="B2074" s="284"/>
      <c r="C2074" s="284"/>
      <c r="D2074" s="284"/>
      <c r="E2074" s="284"/>
      <c r="F2074" s="284"/>
      <c r="G2074" s="284"/>
      <c r="H2074" s="284"/>
      <c r="I2074" s="284"/>
      <c r="J2074" s="284"/>
      <c r="K2074" s="284"/>
      <c r="L2074" s="284"/>
      <c r="M2074" s="113"/>
      <c r="N2074" s="113"/>
      <c r="O2074" s="335"/>
      <c r="T2074" s="340"/>
      <c r="V2074" s="342"/>
      <c r="W2074" s="64" ph="1"/>
      <c r="X2074" s="241"/>
      <c r="Y2074" s="284"/>
      <c r="Z2074" s="207"/>
      <c r="AA2074" s="284"/>
      <c r="AB2074" s="284"/>
      <c r="AC2074" s="284"/>
      <c r="AD2074" s="284"/>
      <c r="AE2074" s="284"/>
      <c r="AF2074" s="284"/>
      <c r="AG2074" s="284"/>
    </row>
    <row r="2075" spans="1:33" ht="26.4">
      <c r="A2075" s="284"/>
      <c r="B2075" s="284"/>
      <c r="C2075" s="284"/>
      <c r="D2075" s="284"/>
      <c r="E2075" s="284"/>
      <c r="F2075" s="284"/>
      <c r="G2075" s="284"/>
      <c r="H2075" s="284"/>
      <c r="I2075" s="284"/>
      <c r="J2075" s="284"/>
      <c r="K2075" s="284"/>
      <c r="L2075" s="284"/>
      <c r="M2075" s="113"/>
      <c r="N2075" s="113"/>
      <c r="O2075" s="335"/>
      <c r="T2075" s="340"/>
      <c r="V2075" s="342"/>
      <c r="W2075" s="64" ph="1"/>
      <c r="X2075" s="241"/>
      <c r="Y2075" s="284"/>
      <c r="Z2075" s="207"/>
      <c r="AA2075" s="284"/>
      <c r="AB2075" s="284"/>
      <c r="AC2075" s="284"/>
      <c r="AD2075" s="284"/>
      <c r="AE2075" s="284"/>
      <c r="AF2075" s="284"/>
      <c r="AG2075" s="284"/>
    </row>
    <row r="2076" spans="1:33" ht="26.4">
      <c r="A2076" s="284"/>
      <c r="B2076" s="284"/>
      <c r="C2076" s="284"/>
      <c r="D2076" s="284"/>
      <c r="E2076" s="284"/>
      <c r="F2076" s="284"/>
      <c r="G2076" s="284"/>
      <c r="H2076" s="284"/>
      <c r="I2076" s="284"/>
      <c r="J2076" s="284"/>
      <c r="K2076" s="284"/>
      <c r="L2076" s="284"/>
      <c r="M2076" s="113"/>
      <c r="N2076" s="113"/>
      <c r="O2076" s="335"/>
      <c r="T2076" s="340"/>
      <c r="V2076" s="342"/>
      <c r="W2076" s="64" ph="1"/>
      <c r="X2076" s="241"/>
      <c r="Y2076" s="284"/>
      <c r="Z2076" s="207"/>
      <c r="AA2076" s="284"/>
      <c r="AB2076" s="284"/>
      <c r="AC2076" s="284"/>
      <c r="AD2076" s="284"/>
      <c r="AE2076" s="284"/>
      <c r="AF2076" s="284"/>
      <c r="AG2076" s="284"/>
    </row>
    <row r="2077" spans="1:33" ht="26.4">
      <c r="A2077" s="284"/>
      <c r="B2077" s="284"/>
      <c r="C2077" s="284"/>
      <c r="D2077" s="284"/>
      <c r="E2077" s="284"/>
      <c r="F2077" s="284"/>
      <c r="G2077" s="284"/>
      <c r="H2077" s="284"/>
      <c r="I2077" s="284"/>
      <c r="J2077" s="284"/>
      <c r="K2077" s="284"/>
      <c r="L2077" s="284"/>
      <c r="M2077" s="113"/>
      <c r="N2077" s="113"/>
      <c r="O2077" s="335"/>
      <c r="T2077" s="340"/>
      <c r="V2077" s="342"/>
      <c r="W2077" s="64" ph="1"/>
      <c r="X2077" s="241"/>
      <c r="Y2077" s="284"/>
      <c r="Z2077" s="207"/>
      <c r="AA2077" s="284"/>
      <c r="AB2077" s="284"/>
      <c r="AC2077" s="284"/>
      <c r="AD2077" s="284"/>
      <c r="AE2077" s="284"/>
      <c r="AF2077" s="284"/>
      <c r="AG2077" s="284"/>
    </row>
    <row r="2078" spans="1:33" ht="26.4">
      <c r="A2078" s="284"/>
      <c r="B2078" s="284"/>
      <c r="C2078" s="284"/>
      <c r="D2078" s="284"/>
      <c r="E2078" s="284"/>
      <c r="F2078" s="284"/>
      <c r="G2078" s="284"/>
      <c r="H2078" s="284"/>
      <c r="I2078" s="284"/>
      <c r="J2078" s="284"/>
      <c r="K2078" s="284"/>
      <c r="L2078" s="284"/>
      <c r="M2078" s="113"/>
      <c r="N2078" s="113"/>
      <c r="O2078" s="335"/>
      <c r="T2078" s="340"/>
      <c r="V2078" s="342"/>
      <c r="W2078" s="64" ph="1"/>
      <c r="X2078" s="241"/>
      <c r="Y2078" s="284"/>
      <c r="Z2078" s="207"/>
      <c r="AA2078" s="284"/>
      <c r="AB2078" s="284"/>
      <c r="AC2078" s="284"/>
      <c r="AD2078" s="284"/>
      <c r="AE2078" s="284"/>
      <c r="AF2078" s="284"/>
      <c r="AG2078" s="284"/>
    </row>
    <row r="2079" spans="1:33" ht="26.4">
      <c r="A2079" s="284"/>
      <c r="B2079" s="284"/>
      <c r="C2079" s="284"/>
      <c r="D2079" s="284"/>
      <c r="E2079" s="284"/>
      <c r="F2079" s="284"/>
      <c r="G2079" s="284"/>
      <c r="H2079" s="284"/>
      <c r="I2079" s="284"/>
      <c r="J2079" s="284"/>
      <c r="K2079" s="284"/>
      <c r="L2079" s="284"/>
      <c r="M2079" s="113"/>
      <c r="N2079" s="113"/>
      <c r="O2079" s="335"/>
      <c r="T2079" s="340"/>
      <c r="V2079" s="342"/>
      <c r="W2079" s="64" ph="1"/>
      <c r="X2079" s="241"/>
      <c r="Y2079" s="284"/>
      <c r="Z2079" s="207"/>
      <c r="AA2079" s="284"/>
      <c r="AB2079" s="284"/>
      <c r="AC2079" s="284"/>
      <c r="AD2079" s="284"/>
      <c r="AE2079" s="284"/>
      <c r="AF2079" s="284"/>
      <c r="AG2079" s="284"/>
    </row>
    <row r="2080" spans="1:33" ht="26.4">
      <c r="A2080" s="284"/>
      <c r="B2080" s="284"/>
      <c r="C2080" s="284"/>
      <c r="D2080" s="284"/>
      <c r="E2080" s="284"/>
      <c r="F2080" s="284"/>
      <c r="G2080" s="284"/>
      <c r="H2080" s="284"/>
      <c r="I2080" s="284"/>
      <c r="J2080" s="284"/>
      <c r="K2080" s="284"/>
      <c r="L2080" s="284"/>
      <c r="M2080" s="113"/>
      <c r="N2080" s="113"/>
      <c r="O2080" s="335"/>
      <c r="T2080" s="340"/>
      <c r="V2080" s="342"/>
      <c r="W2080" s="64" ph="1"/>
      <c r="X2080" s="241"/>
      <c r="Y2080" s="284"/>
      <c r="Z2080" s="207"/>
      <c r="AA2080" s="284"/>
      <c r="AB2080" s="284"/>
      <c r="AC2080" s="284"/>
      <c r="AD2080" s="284"/>
      <c r="AE2080" s="284"/>
      <c r="AF2080" s="284"/>
      <c r="AG2080" s="284"/>
    </row>
    <row r="2081" spans="1:33" ht="26.4">
      <c r="A2081" s="284"/>
      <c r="B2081" s="284"/>
      <c r="C2081" s="284"/>
      <c r="D2081" s="284"/>
      <c r="E2081" s="284"/>
      <c r="F2081" s="284"/>
      <c r="G2081" s="284"/>
      <c r="H2081" s="284"/>
      <c r="I2081" s="284"/>
      <c r="J2081" s="284"/>
      <c r="K2081" s="284"/>
      <c r="L2081" s="284"/>
      <c r="M2081" s="113"/>
      <c r="N2081" s="113"/>
      <c r="O2081" s="335"/>
      <c r="T2081" s="340"/>
      <c r="V2081" s="342"/>
      <c r="W2081" s="64" ph="1"/>
      <c r="X2081" s="241"/>
      <c r="Y2081" s="284"/>
      <c r="Z2081" s="207"/>
      <c r="AA2081" s="284"/>
      <c r="AB2081" s="284"/>
      <c r="AC2081" s="284"/>
      <c r="AD2081" s="284"/>
      <c r="AE2081" s="284"/>
      <c r="AF2081" s="284"/>
      <c r="AG2081" s="284"/>
    </row>
    <row r="2082" spans="1:33" ht="26.4">
      <c r="A2082" s="284"/>
      <c r="B2082" s="284"/>
      <c r="C2082" s="284"/>
      <c r="D2082" s="284"/>
      <c r="E2082" s="284"/>
      <c r="F2082" s="284"/>
      <c r="G2082" s="284"/>
      <c r="H2082" s="284"/>
      <c r="I2082" s="284"/>
      <c r="J2082" s="284"/>
      <c r="K2082" s="284"/>
      <c r="L2082" s="284"/>
      <c r="M2082" s="113"/>
      <c r="N2082" s="113"/>
      <c r="O2082" s="335"/>
      <c r="T2082" s="340"/>
      <c r="V2082" s="342"/>
      <c r="W2082" s="64" ph="1"/>
      <c r="X2082" s="241"/>
      <c r="Y2082" s="284"/>
      <c r="Z2082" s="207"/>
      <c r="AA2082" s="284"/>
      <c r="AB2082" s="284"/>
      <c r="AC2082" s="284"/>
      <c r="AD2082" s="284"/>
      <c r="AE2082" s="284"/>
      <c r="AF2082" s="284"/>
      <c r="AG2082" s="284"/>
    </row>
    <row r="2083" spans="1:33" ht="26.4">
      <c r="A2083" s="284"/>
      <c r="B2083" s="284"/>
      <c r="C2083" s="284"/>
      <c r="D2083" s="284"/>
      <c r="E2083" s="284"/>
      <c r="F2083" s="284"/>
      <c r="G2083" s="284"/>
      <c r="H2083" s="284"/>
      <c r="I2083" s="284"/>
      <c r="J2083" s="284"/>
      <c r="K2083" s="284"/>
      <c r="L2083" s="284"/>
      <c r="M2083" s="113"/>
      <c r="N2083" s="113"/>
      <c r="O2083" s="335"/>
      <c r="T2083" s="340"/>
      <c r="V2083" s="342"/>
      <c r="W2083" s="64" ph="1"/>
      <c r="X2083" s="241"/>
      <c r="Y2083" s="284"/>
      <c r="Z2083" s="207"/>
      <c r="AA2083" s="284"/>
      <c r="AB2083" s="284"/>
      <c r="AC2083" s="284"/>
      <c r="AD2083" s="284"/>
      <c r="AE2083" s="284"/>
      <c r="AF2083" s="284"/>
      <c r="AG2083" s="284"/>
    </row>
    <row r="2084" spans="1:33" ht="26.4">
      <c r="A2084" s="284"/>
      <c r="B2084" s="284"/>
      <c r="C2084" s="284"/>
      <c r="D2084" s="284"/>
      <c r="E2084" s="284"/>
      <c r="F2084" s="284"/>
      <c r="G2084" s="284"/>
      <c r="H2084" s="284"/>
      <c r="I2084" s="284"/>
      <c r="J2084" s="284"/>
      <c r="K2084" s="284"/>
      <c r="L2084" s="284"/>
      <c r="M2084" s="113"/>
      <c r="N2084" s="113"/>
      <c r="O2084" s="335"/>
      <c r="T2084" s="340"/>
      <c r="V2084" s="342"/>
      <c r="W2084" s="64" ph="1"/>
      <c r="X2084" s="241"/>
      <c r="Y2084" s="284"/>
      <c r="Z2084" s="207"/>
      <c r="AA2084" s="284"/>
      <c r="AB2084" s="284"/>
      <c r="AC2084" s="284"/>
      <c r="AD2084" s="284"/>
      <c r="AE2084" s="284"/>
      <c r="AF2084" s="284"/>
      <c r="AG2084" s="284"/>
    </row>
    <row r="2085" spans="1:33" ht="26.4">
      <c r="A2085" s="284"/>
      <c r="B2085" s="284"/>
      <c r="C2085" s="284"/>
      <c r="D2085" s="284"/>
      <c r="E2085" s="284"/>
      <c r="F2085" s="284"/>
      <c r="G2085" s="284"/>
      <c r="H2085" s="284"/>
      <c r="I2085" s="284"/>
      <c r="J2085" s="284"/>
      <c r="K2085" s="284"/>
      <c r="L2085" s="284"/>
      <c r="M2085" s="113"/>
      <c r="N2085" s="113"/>
      <c r="O2085" s="335"/>
      <c r="T2085" s="340"/>
      <c r="V2085" s="342"/>
      <c r="W2085" s="64" ph="1"/>
      <c r="X2085" s="241"/>
      <c r="Y2085" s="284"/>
      <c r="Z2085" s="207"/>
      <c r="AA2085" s="284"/>
      <c r="AB2085" s="284"/>
      <c r="AC2085" s="284"/>
      <c r="AD2085" s="284"/>
      <c r="AE2085" s="284"/>
      <c r="AF2085" s="284"/>
      <c r="AG2085" s="284"/>
    </row>
    <row r="2086" spans="1:33" ht="26.4">
      <c r="A2086" s="284"/>
      <c r="B2086" s="284"/>
      <c r="C2086" s="284"/>
      <c r="D2086" s="284"/>
      <c r="E2086" s="284"/>
      <c r="F2086" s="284"/>
      <c r="G2086" s="284"/>
      <c r="H2086" s="284"/>
      <c r="I2086" s="284"/>
      <c r="J2086" s="284"/>
      <c r="K2086" s="284"/>
      <c r="L2086" s="284"/>
      <c r="M2086" s="113"/>
      <c r="N2086" s="113"/>
      <c r="O2086" s="335"/>
      <c r="T2086" s="340"/>
      <c r="V2086" s="342"/>
      <c r="W2086" s="64" ph="1"/>
      <c r="X2086" s="241"/>
      <c r="Y2086" s="284"/>
      <c r="Z2086" s="207"/>
      <c r="AA2086" s="284"/>
      <c r="AB2086" s="284"/>
      <c r="AC2086" s="284"/>
      <c r="AD2086" s="284"/>
      <c r="AE2086" s="284"/>
      <c r="AF2086" s="284"/>
      <c r="AG2086" s="284"/>
    </row>
    <row r="2087" spans="1:33" ht="26.4">
      <c r="A2087" s="284"/>
      <c r="B2087" s="284"/>
      <c r="C2087" s="284"/>
      <c r="D2087" s="284"/>
      <c r="E2087" s="284"/>
      <c r="F2087" s="284"/>
      <c r="G2087" s="284"/>
      <c r="H2087" s="284"/>
      <c r="I2087" s="284"/>
      <c r="J2087" s="284"/>
      <c r="K2087" s="284"/>
      <c r="L2087" s="284"/>
      <c r="M2087" s="113"/>
      <c r="N2087" s="113"/>
      <c r="O2087" s="335"/>
      <c r="T2087" s="340"/>
      <c r="V2087" s="342"/>
      <c r="W2087" s="64" ph="1"/>
      <c r="X2087" s="241"/>
      <c r="Y2087" s="284"/>
      <c r="Z2087" s="207"/>
      <c r="AA2087" s="284"/>
      <c r="AB2087" s="284"/>
      <c r="AC2087" s="284"/>
      <c r="AD2087" s="284"/>
      <c r="AE2087" s="284"/>
      <c r="AF2087" s="284"/>
      <c r="AG2087" s="284"/>
    </row>
    <row r="2088" spans="1:33" ht="26.4">
      <c r="A2088" s="284"/>
      <c r="B2088" s="284"/>
      <c r="C2088" s="284"/>
      <c r="D2088" s="284"/>
      <c r="E2088" s="284"/>
      <c r="F2088" s="284"/>
      <c r="G2088" s="284"/>
      <c r="H2088" s="284"/>
      <c r="I2088" s="284"/>
      <c r="J2088" s="284"/>
      <c r="K2088" s="284"/>
      <c r="L2088" s="284"/>
      <c r="M2088" s="113"/>
      <c r="N2088" s="113"/>
      <c r="O2088" s="335"/>
      <c r="T2088" s="340"/>
      <c r="V2088" s="342"/>
      <c r="W2088" s="64" ph="1"/>
      <c r="X2088" s="241"/>
      <c r="Y2088" s="284"/>
      <c r="Z2088" s="207"/>
      <c r="AA2088" s="284"/>
      <c r="AB2088" s="284"/>
      <c r="AC2088" s="284"/>
      <c r="AD2088" s="284"/>
      <c r="AE2088" s="284"/>
      <c r="AF2088" s="284"/>
      <c r="AG2088" s="284"/>
    </row>
    <row r="2089" spans="1:33" ht="26.4">
      <c r="A2089" s="284"/>
      <c r="B2089" s="284"/>
      <c r="C2089" s="284"/>
      <c r="D2089" s="284"/>
      <c r="E2089" s="284"/>
      <c r="F2089" s="284"/>
      <c r="G2089" s="284"/>
      <c r="H2089" s="284"/>
      <c r="I2089" s="284"/>
      <c r="J2089" s="284"/>
      <c r="K2089" s="284"/>
      <c r="L2089" s="284"/>
      <c r="M2089" s="113"/>
      <c r="N2089" s="113"/>
      <c r="O2089" s="335"/>
      <c r="T2089" s="340"/>
      <c r="V2089" s="342"/>
      <c r="W2089" s="64" ph="1"/>
      <c r="X2089" s="241"/>
      <c r="Y2089" s="284"/>
      <c r="Z2089" s="207"/>
      <c r="AA2089" s="284"/>
      <c r="AB2089" s="284"/>
      <c r="AC2089" s="284"/>
      <c r="AD2089" s="284"/>
      <c r="AE2089" s="284"/>
      <c r="AF2089" s="284"/>
      <c r="AG2089" s="284"/>
    </row>
    <row r="2090" spans="1:33" ht="26.4">
      <c r="A2090" s="284"/>
      <c r="B2090" s="284"/>
      <c r="C2090" s="284"/>
      <c r="D2090" s="284"/>
      <c r="E2090" s="284"/>
      <c r="F2090" s="284"/>
      <c r="G2090" s="284"/>
      <c r="H2090" s="284"/>
      <c r="I2090" s="284"/>
      <c r="J2090" s="284"/>
      <c r="K2090" s="284"/>
      <c r="L2090" s="284"/>
      <c r="M2090" s="113"/>
      <c r="N2090" s="113"/>
      <c r="O2090" s="335"/>
      <c r="T2090" s="340"/>
      <c r="V2090" s="342"/>
      <c r="W2090" s="64" ph="1"/>
      <c r="X2090" s="241"/>
      <c r="Y2090" s="284"/>
      <c r="Z2090" s="207"/>
      <c r="AA2090" s="284"/>
      <c r="AB2090" s="284"/>
      <c r="AC2090" s="284"/>
      <c r="AD2090" s="284"/>
      <c r="AE2090" s="284"/>
      <c r="AF2090" s="284"/>
      <c r="AG2090" s="284"/>
    </row>
    <row r="2091" spans="1:33" ht="26.4">
      <c r="A2091" s="284"/>
      <c r="B2091" s="284"/>
      <c r="C2091" s="284"/>
      <c r="D2091" s="284"/>
      <c r="E2091" s="284"/>
      <c r="F2091" s="284"/>
      <c r="G2091" s="284"/>
      <c r="H2091" s="284"/>
      <c r="I2091" s="284"/>
      <c r="J2091" s="284"/>
      <c r="K2091" s="284"/>
      <c r="L2091" s="284"/>
      <c r="M2091" s="113"/>
      <c r="N2091" s="113"/>
      <c r="O2091" s="335"/>
      <c r="T2091" s="340"/>
      <c r="V2091" s="342"/>
      <c r="W2091" s="64" ph="1"/>
      <c r="X2091" s="241"/>
      <c r="Y2091" s="284"/>
      <c r="Z2091" s="207"/>
      <c r="AA2091" s="284"/>
      <c r="AB2091" s="284"/>
      <c r="AC2091" s="284"/>
      <c r="AD2091" s="284"/>
      <c r="AE2091" s="284"/>
      <c r="AF2091" s="284"/>
      <c r="AG2091" s="284"/>
    </row>
    <row r="2092" spans="1:33" ht="26.4">
      <c r="A2092" s="284"/>
      <c r="B2092" s="284"/>
      <c r="C2092" s="284"/>
      <c r="D2092" s="284"/>
      <c r="E2092" s="284"/>
      <c r="F2092" s="284"/>
      <c r="G2092" s="284"/>
      <c r="H2092" s="284"/>
      <c r="I2092" s="284"/>
      <c r="J2092" s="284"/>
      <c r="K2092" s="284"/>
      <c r="L2092" s="284"/>
      <c r="M2092" s="113"/>
      <c r="N2092" s="113"/>
      <c r="O2092" s="335"/>
      <c r="T2092" s="340"/>
      <c r="V2092" s="342"/>
      <c r="W2092" s="64" ph="1"/>
      <c r="X2092" s="241"/>
      <c r="Y2092" s="284"/>
      <c r="Z2092" s="207"/>
      <c r="AA2092" s="284"/>
      <c r="AB2092" s="284"/>
      <c r="AC2092" s="284"/>
      <c r="AD2092" s="284"/>
      <c r="AE2092" s="284"/>
      <c r="AF2092" s="284"/>
      <c r="AG2092" s="284"/>
    </row>
    <row r="2093" spans="1:33" ht="26.4">
      <c r="A2093" s="284"/>
      <c r="B2093" s="284"/>
      <c r="C2093" s="284"/>
      <c r="D2093" s="284"/>
      <c r="E2093" s="284"/>
      <c r="F2093" s="284"/>
      <c r="G2093" s="284"/>
      <c r="H2093" s="284"/>
      <c r="I2093" s="284"/>
      <c r="J2093" s="284"/>
      <c r="K2093" s="284"/>
      <c r="L2093" s="284"/>
      <c r="M2093" s="113"/>
      <c r="N2093" s="113"/>
      <c r="O2093" s="335"/>
      <c r="T2093" s="340"/>
      <c r="V2093" s="342"/>
      <c r="W2093" s="64" ph="1"/>
      <c r="X2093" s="241"/>
      <c r="Y2093" s="284"/>
      <c r="Z2093" s="207"/>
      <c r="AA2093" s="284"/>
      <c r="AB2093" s="284"/>
      <c r="AC2093" s="284"/>
      <c r="AD2093" s="284"/>
      <c r="AE2093" s="284"/>
      <c r="AF2093" s="284"/>
      <c r="AG2093" s="284"/>
    </row>
    <row r="2094" spans="1:33" ht="26.4">
      <c r="A2094" s="284"/>
      <c r="B2094" s="284"/>
      <c r="C2094" s="284"/>
      <c r="D2094" s="284"/>
      <c r="E2094" s="284"/>
      <c r="F2094" s="284"/>
      <c r="G2094" s="284"/>
      <c r="H2094" s="284"/>
      <c r="I2094" s="284"/>
      <c r="J2094" s="284"/>
      <c r="K2094" s="284"/>
      <c r="L2094" s="284"/>
      <c r="M2094" s="113"/>
      <c r="N2094" s="113"/>
      <c r="O2094" s="335"/>
      <c r="T2094" s="340"/>
      <c r="V2094" s="342"/>
      <c r="W2094" s="64" ph="1"/>
      <c r="X2094" s="241"/>
      <c r="Y2094" s="284"/>
      <c r="Z2094" s="207"/>
      <c r="AA2094" s="284"/>
      <c r="AB2094" s="284"/>
      <c r="AC2094" s="284"/>
      <c r="AD2094" s="284"/>
      <c r="AE2094" s="284"/>
      <c r="AF2094" s="284"/>
      <c r="AG2094" s="284"/>
    </row>
    <row r="2095" spans="1:33" ht="26.4">
      <c r="A2095" s="284"/>
      <c r="B2095" s="284"/>
      <c r="C2095" s="284"/>
      <c r="D2095" s="284"/>
      <c r="E2095" s="284"/>
      <c r="F2095" s="284"/>
      <c r="G2095" s="284"/>
      <c r="H2095" s="284"/>
      <c r="I2095" s="284"/>
      <c r="J2095" s="284"/>
      <c r="K2095" s="284"/>
      <c r="L2095" s="284"/>
      <c r="M2095" s="113"/>
      <c r="N2095" s="113"/>
      <c r="O2095" s="335"/>
      <c r="T2095" s="340"/>
      <c r="V2095" s="342"/>
      <c r="W2095" s="64" ph="1"/>
      <c r="X2095" s="241"/>
      <c r="Y2095" s="284"/>
      <c r="Z2095" s="207"/>
      <c r="AA2095" s="284"/>
      <c r="AB2095" s="284"/>
      <c r="AC2095" s="284"/>
      <c r="AD2095" s="284"/>
      <c r="AE2095" s="284"/>
      <c r="AF2095" s="284"/>
      <c r="AG2095" s="284"/>
    </row>
    <row r="2096" spans="1:33" ht="26.4">
      <c r="A2096" s="284"/>
      <c r="B2096" s="284"/>
      <c r="C2096" s="284"/>
      <c r="D2096" s="284"/>
      <c r="E2096" s="284"/>
      <c r="F2096" s="284"/>
      <c r="G2096" s="284"/>
      <c r="H2096" s="284"/>
      <c r="I2096" s="284"/>
      <c r="J2096" s="284"/>
      <c r="K2096" s="284"/>
      <c r="L2096" s="284"/>
      <c r="M2096" s="113"/>
      <c r="N2096" s="113"/>
      <c r="O2096" s="335"/>
      <c r="T2096" s="340"/>
      <c r="V2096" s="342"/>
      <c r="W2096" s="64" ph="1"/>
      <c r="X2096" s="241"/>
      <c r="Y2096" s="284"/>
      <c r="Z2096" s="207"/>
      <c r="AA2096" s="284"/>
      <c r="AB2096" s="284"/>
      <c r="AC2096" s="284"/>
      <c r="AD2096" s="284"/>
      <c r="AE2096" s="284"/>
      <c r="AF2096" s="284"/>
      <c r="AG2096" s="284"/>
    </row>
    <row r="2097" spans="1:33" ht="26.4">
      <c r="A2097" s="284"/>
      <c r="B2097" s="284"/>
      <c r="C2097" s="284"/>
      <c r="D2097" s="284"/>
      <c r="E2097" s="284"/>
      <c r="F2097" s="284"/>
      <c r="G2097" s="284"/>
      <c r="H2097" s="284"/>
      <c r="I2097" s="284"/>
      <c r="J2097" s="284"/>
      <c r="K2097" s="284"/>
      <c r="L2097" s="284"/>
      <c r="M2097" s="113"/>
      <c r="N2097" s="113"/>
      <c r="O2097" s="335"/>
      <c r="T2097" s="340"/>
      <c r="V2097" s="342"/>
      <c r="W2097" s="64" ph="1"/>
      <c r="X2097" s="241"/>
      <c r="Y2097" s="284"/>
      <c r="Z2097" s="207"/>
      <c r="AA2097" s="284"/>
      <c r="AB2097" s="284"/>
      <c r="AC2097" s="284"/>
      <c r="AD2097" s="284"/>
      <c r="AE2097" s="284"/>
      <c r="AF2097" s="284"/>
      <c r="AG2097" s="284"/>
    </row>
    <row r="2098" spans="1:33" ht="26.4">
      <c r="A2098" s="284"/>
      <c r="B2098" s="284"/>
      <c r="C2098" s="284"/>
      <c r="D2098" s="284"/>
      <c r="E2098" s="284"/>
      <c r="F2098" s="284"/>
      <c r="G2098" s="284"/>
      <c r="H2098" s="284"/>
      <c r="I2098" s="284"/>
      <c r="J2098" s="284"/>
      <c r="K2098" s="284"/>
      <c r="L2098" s="284"/>
      <c r="M2098" s="113"/>
      <c r="N2098" s="113"/>
      <c r="O2098" s="335"/>
      <c r="T2098" s="340"/>
      <c r="V2098" s="342"/>
      <c r="W2098" s="64" ph="1"/>
      <c r="X2098" s="241"/>
      <c r="Y2098" s="284"/>
      <c r="Z2098" s="207"/>
      <c r="AA2098" s="284"/>
      <c r="AB2098" s="284"/>
      <c r="AC2098" s="284"/>
      <c r="AD2098" s="284"/>
      <c r="AE2098" s="284"/>
      <c r="AF2098" s="284"/>
      <c r="AG2098" s="284"/>
    </row>
    <row r="2099" spans="1:33" ht="26.4">
      <c r="A2099" s="284"/>
      <c r="B2099" s="284"/>
      <c r="C2099" s="284"/>
      <c r="D2099" s="284"/>
      <c r="E2099" s="284"/>
      <c r="F2099" s="284"/>
      <c r="G2099" s="284"/>
      <c r="H2099" s="284"/>
      <c r="I2099" s="284"/>
      <c r="J2099" s="284"/>
      <c r="K2099" s="284"/>
      <c r="L2099" s="284"/>
      <c r="M2099" s="113"/>
      <c r="N2099" s="113"/>
      <c r="O2099" s="335"/>
      <c r="T2099" s="340"/>
      <c r="V2099" s="342"/>
      <c r="W2099" s="64" ph="1"/>
      <c r="X2099" s="241"/>
      <c r="Y2099" s="284"/>
      <c r="Z2099" s="207"/>
      <c r="AA2099" s="284"/>
      <c r="AB2099" s="284"/>
      <c r="AC2099" s="284"/>
      <c r="AD2099" s="284"/>
      <c r="AE2099" s="284"/>
      <c r="AF2099" s="284"/>
      <c r="AG2099" s="284"/>
    </row>
    <row r="2100" spans="1:33" ht="26.4">
      <c r="A2100" s="284"/>
      <c r="B2100" s="284"/>
      <c r="C2100" s="284"/>
      <c r="D2100" s="284"/>
      <c r="E2100" s="284"/>
      <c r="F2100" s="284"/>
      <c r="G2100" s="284"/>
      <c r="H2100" s="284"/>
      <c r="I2100" s="284"/>
      <c r="J2100" s="284"/>
      <c r="K2100" s="284"/>
      <c r="L2100" s="284"/>
      <c r="M2100" s="113"/>
      <c r="N2100" s="113"/>
      <c r="O2100" s="335"/>
      <c r="T2100" s="340"/>
      <c r="V2100" s="342"/>
      <c r="W2100" s="64" ph="1"/>
      <c r="X2100" s="241"/>
      <c r="Y2100" s="284"/>
      <c r="Z2100" s="207"/>
      <c r="AA2100" s="284"/>
      <c r="AB2100" s="284"/>
      <c r="AC2100" s="284"/>
      <c r="AD2100" s="284"/>
      <c r="AE2100" s="284"/>
      <c r="AF2100" s="284"/>
      <c r="AG2100" s="284"/>
    </row>
    <row r="2101" spans="1:33" ht="26.4">
      <c r="A2101" s="284"/>
      <c r="B2101" s="284"/>
      <c r="C2101" s="284"/>
      <c r="D2101" s="284"/>
      <c r="E2101" s="284"/>
      <c r="F2101" s="284"/>
      <c r="G2101" s="284"/>
      <c r="H2101" s="284"/>
      <c r="I2101" s="284"/>
      <c r="J2101" s="284"/>
      <c r="K2101" s="284"/>
      <c r="L2101" s="284"/>
      <c r="M2101" s="113"/>
      <c r="N2101" s="113"/>
      <c r="O2101" s="335"/>
      <c r="T2101" s="340"/>
      <c r="V2101" s="342"/>
      <c r="W2101" s="64" ph="1"/>
      <c r="X2101" s="241"/>
      <c r="Y2101" s="284"/>
      <c r="Z2101" s="207"/>
      <c r="AA2101" s="284"/>
      <c r="AB2101" s="284"/>
      <c r="AC2101" s="284"/>
      <c r="AD2101" s="284"/>
      <c r="AE2101" s="284"/>
      <c r="AF2101" s="284"/>
      <c r="AG2101" s="284"/>
    </row>
    <row r="2102" spans="1:33" ht="26.4">
      <c r="A2102" s="284"/>
      <c r="B2102" s="284"/>
      <c r="C2102" s="284"/>
      <c r="D2102" s="284"/>
      <c r="E2102" s="284"/>
      <c r="F2102" s="284"/>
      <c r="G2102" s="284"/>
      <c r="H2102" s="284"/>
      <c r="I2102" s="284"/>
      <c r="J2102" s="284"/>
      <c r="K2102" s="284"/>
      <c r="L2102" s="284"/>
      <c r="M2102" s="113"/>
      <c r="N2102" s="113"/>
      <c r="O2102" s="335"/>
      <c r="T2102" s="340"/>
      <c r="V2102" s="342"/>
      <c r="W2102" s="64" ph="1"/>
      <c r="X2102" s="241"/>
      <c r="Y2102" s="284"/>
      <c r="Z2102" s="207"/>
      <c r="AA2102" s="284"/>
      <c r="AB2102" s="284"/>
      <c r="AC2102" s="284"/>
      <c r="AD2102" s="284"/>
      <c r="AE2102" s="284"/>
      <c r="AF2102" s="284"/>
      <c r="AG2102" s="284"/>
    </row>
    <row r="2103" spans="1:33" ht="26.4">
      <c r="A2103" s="284"/>
      <c r="B2103" s="284"/>
      <c r="C2103" s="284"/>
      <c r="D2103" s="284"/>
      <c r="E2103" s="284"/>
      <c r="F2103" s="284"/>
      <c r="G2103" s="284"/>
      <c r="H2103" s="284"/>
      <c r="I2103" s="284"/>
      <c r="J2103" s="284"/>
      <c r="K2103" s="284"/>
      <c r="L2103" s="284"/>
      <c r="M2103" s="113"/>
      <c r="N2103" s="113"/>
      <c r="O2103" s="335"/>
      <c r="T2103" s="340"/>
      <c r="V2103" s="342"/>
      <c r="W2103" s="64" ph="1"/>
      <c r="X2103" s="241"/>
      <c r="Y2103" s="284"/>
      <c r="Z2103" s="207"/>
      <c r="AA2103" s="284"/>
      <c r="AB2103" s="284"/>
      <c r="AC2103" s="284"/>
      <c r="AD2103" s="284"/>
      <c r="AE2103" s="284"/>
      <c r="AF2103" s="284"/>
      <c r="AG2103" s="284"/>
    </row>
    <row r="2104" spans="1:33" ht="26.4">
      <c r="A2104" s="284"/>
      <c r="B2104" s="284"/>
      <c r="C2104" s="284"/>
      <c r="D2104" s="284"/>
      <c r="E2104" s="284"/>
      <c r="F2104" s="284"/>
      <c r="G2104" s="284"/>
      <c r="H2104" s="284"/>
      <c r="I2104" s="284"/>
      <c r="J2104" s="284"/>
      <c r="K2104" s="284"/>
      <c r="L2104" s="284"/>
      <c r="M2104" s="113"/>
      <c r="N2104" s="113"/>
      <c r="O2104" s="335"/>
      <c r="T2104" s="340"/>
      <c r="V2104" s="342"/>
      <c r="W2104" s="64" ph="1"/>
      <c r="X2104" s="241"/>
      <c r="Y2104" s="284"/>
      <c r="Z2104" s="207"/>
      <c r="AA2104" s="284"/>
      <c r="AB2104" s="284"/>
      <c r="AC2104" s="284"/>
      <c r="AD2104" s="284"/>
      <c r="AE2104" s="284"/>
      <c r="AF2104" s="284"/>
      <c r="AG2104" s="284"/>
    </row>
    <row r="2105" spans="1:33" ht="26.4">
      <c r="A2105" s="284"/>
      <c r="B2105" s="284"/>
      <c r="C2105" s="284"/>
      <c r="D2105" s="284"/>
      <c r="E2105" s="284"/>
      <c r="F2105" s="284"/>
      <c r="G2105" s="284"/>
      <c r="H2105" s="284"/>
      <c r="I2105" s="284"/>
      <c r="J2105" s="284"/>
      <c r="K2105" s="284"/>
      <c r="L2105" s="284"/>
      <c r="M2105" s="113"/>
      <c r="N2105" s="113"/>
      <c r="O2105" s="335"/>
      <c r="T2105" s="340"/>
      <c r="V2105" s="342"/>
      <c r="W2105" s="64" ph="1"/>
      <c r="X2105" s="241"/>
      <c r="Y2105" s="284"/>
      <c r="Z2105" s="207"/>
      <c r="AA2105" s="284"/>
      <c r="AB2105" s="284"/>
      <c r="AC2105" s="284"/>
      <c r="AD2105" s="284"/>
      <c r="AE2105" s="284"/>
      <c r="AF2105" s="284"/>
      <c r="AG2105" s="284"/>
    </row>
    <row r="2106" spans="1:33" ht="26.4">
      <c r="A2106" s="284"/>
      <c r="B2106" s="284"/>
      <c r="C2106" s="284"/>
      <c r="D2106" s="284"/>
      <c r="E2106" s="284"/>
      <c r="F2106" s="284"/>
      <c r="G2106" s="284"/>
      <c r="H2106" s="284"/>
      <c r="I2106" s="284"/>
      <c r="J2106" s="284"/>
      <c r="K2106" s="284"/>
      <c r="L2106" s="284"/>
      <c r="M2106" s="113"/>
      <c r="N2106" s="113"/>
      <c r="O2106" s="335"/>
      <c r="T2106" s="340"/>
      <c r="V2106" s="342"/>
      <c r="W2106" s="64" ph="1"/>
      <c r="X2106" s="241"/>
      <c r="Y2106" s="284"/>
      <c r="Z2106" s="207"/>
      <c r="AA2106" s="284"/>
      <c r="AB2106" s="284"/>
      <c r="AC2106" s="284"/>
      <c r="AD2106" s="284"/>
      <c r="AE2106" s="284"/>
      <c r="AF2106" s="284"/>
      <c r="AG2106" s="284"/>
    </row>
    <row r="2107" spans="1:33" ht="26.4">
      <c r="A2107" s="284"/>
      <c r="B2107" s="284"/>
      <c r="C2107" s="284"/>
      <c r="D2107" s="284"/>
      <c r="E2107" s="284"/>
      <c r="F2107" s="284"/>
      <c r="G2107" s="284"/>
      <c r="H2107" s="284"/>
      <c r="I2107" s="284"/>
      <c r="J2107" s="284"/>
      <c r="K2107" s="284"/>
      <c r="L2107" s="284"/>
      <c r="M2107" s="113"/>
      <c r="N2107" s="113"/>
      <c r="O2107" s="335"/>
      <c r="T2107" s="340"/>
      <c r="V2107" s="342"/>
      <c r="W2107" s="64" ph="1"/>
      <c r="X2107" s="241"/>
      <c r="Y2107" s="284"/>
      <c r="Z2107" s="207"/>
      <c r="AA2107" s="284"/>
      <c r="AB2107" s="284"/>
      <c r="AC2107" s="284"/>
      <c r="AD2107" s="284"/>
      <c r="AE2107" s="284"/>
      <c r="AF2107" s="284"/>
      <c r="AG2107" s="284"/>
    </row>
    <row r="2108" spans="1:33" ht="26.4">
      <c r="A2108" s="284"/>
      <c r="B2108" s="284"/>
      <c r="C2108" s="284"/>
      <c r="D2108" s="284"/>
      <c r="E2108" s="284"/>
      <c r="F2108" s="284"/>
      <c r="G2108" s="284"/>
      <c r="H2108" s="284"/>
      <c r="I2108" s="284"/>
      <c r="J2108" s="284"/>
      <c r="K2108" s="284"/>
      <c r="L2108" s="284"/>
      <c r="M2108" s="113"/>
      <c r="N2108" s="113"/>
      <c r="O2108" s="335"/>
      <c r="T2108" s="340"/>
      <c r="V2108" s="342"/>
      <c r="W2108" s="64" ph="1"/>
      <c r="X2108" s="241"/>
      <c r="Y2108" s="284"/>
      <c r="Z2108" s="207"/>
      <c r="AA2108" s="284"/>
      <c r="AB2108" s="284"/>
      <c r="AC2108" s="284"/>
      <c r="AD2108" s="284"/>
      <c r="AE2108" s="284"/>
      <c r="AF2108" s="284"/>
      <c r="AG2108" s="284"/>
    </row>
    <row r="2109" spans="1:33" ht="26.4">
      <c r="A2109" s="284"/>
      <c r="B2109" s="284"/>
      <c r="C2109" s="284"/>
      <c r="D2109" s="284"/>
      <c r="E2109" s="284"/>
      <c r="F2109" s="284"/>
      <c r="G2109" s="284"/>
      <c r="H2109" s="284"/>
      <c r="I2109" s="284"/>
      <c r="J2109" s="284"/>
      <c r="K2109" s="284"/>
      <c r="L2109" s="284"/>
      <c r="M2109" s="113"/>
      <c r="N2109" s="113"/>
      <c r="O2109" s="335"/>
      <c r="T2109" s="340"/>
      <c r="V2109" s="342"/>
      <c r="W2109" s="64" ph="1"/>
      <c r="X2109" s="241"/>
      <c r="Y2109" s="284"/>
      <c r="Z2109" s="207"/>
      <c r="AA2109" s="284"/>
      <c r="AB2109" s="284"/>
      <c r="AC2109" s="284"/>
      <c r="AD2109" s="284"/>
      <c r="AE2109" s="284"/>
      <c r="AF2109" s="284"/>
      <c r="AG2109" s="284"/>
    </row>
    <row r="2110" spans="1:33" ht="26.4">
      <c r="A2110" s="284"/>
      <c r="B2110" s="284"/>
      <c r="C2110" s="284"/>
      <c r="D2110" s="284"/>
      <c r="E2110" s="284"/>
      <c r="F2110" s="284"/>
      <c r="G2110" s="284"/>
      <c r="H2110" s="284"/>
      <c r="I2110" s="284"/>
      <c r="J2110" s="284"/>
      <c r="K2110" s="284"/>
      <c r="L2110" s="284"/>
      <c r="M2110" s="113"/>
      <c r="N2110" s="113"/>
      <c r="O2110" s="335"/>
      <c r="T2110" s="340"/>
      <c r="V2110" s="342"/>
      <c r="W2110" s="64" ph="1"/>
      <c r="X2110" s="241"/>
      <c r="Y2110" s="284"/>
      <c r="Z2110" s="207"/>
      <c r="AA2110" s="284"/>
      <c r="AB2110" s="284"/>
      <c r="AC2110" s="284"/>
      <c r="AD2110" s="284"/>
      <c r="AE2110" s="284"/>
      <c r="AF2110" s="284"/>
      <c r="AG2110" s="284"/>
    </row>
    <row r="2111" spans="1:33" ht="26.4">
      <c r="A2111" s="284"/>
      <c r="B2111" s="284"/>
      <c r="C2111" s="284"/>
      <c r="D2111" s="284"/>
      <c r="E2111" s="284"/>
      <c r="F2111" s="284"/>
      <c r="G2111" s="284"/>
      <c r="H2111" s="284"/>
      <c r="I2111" s="284"/>
      <c r="J2111" s="284"/>
      <c r="K2111" s="284"/>
      <c r="L2111" s="284"/>
      <c r="M2111" s="113"/>
      <c r="N2111" s="113"/>
      <c r="O2111" s="335"/>
      <c r="T2111" s="340"/>
      <c r="V2111" s="342"/>
      <c r="W2111" s="64" ph="1"/>
      <c r="X2111" s="241"/>
      <c r="Y2111" s="284"/>
      <c r="Z2111" s="207"/>
      <c r="AA2111" s="284"/>
      <c r="AB2111" s="284"/>
      <c r="AC2111" s="284"/>
      <c r="AD2111" s="284"/>
      <c r="AE2111" s="284"/>
      <c r="AF2111" s="284"/>
      <c r="AG2111" s="284"/>
    </row>
    <row r="2112" spans="1:33" ht="26.4">
      <c r="A2112" s="284"/>
      <c r="B2112" s="284"/>
      <c r="C2112" s="284"/>
      <c r="D2112" s="284"/>
      <c r="E2112" s="284"/>
      <c r="F2112" s="284"/>
      <c r="G2112" s="284"/>
      <c r="H2112" s="284"/>
      <c r="I2112" s="284"/>
      <c r="J2112" s="284"/>
      <c r="K2112" s="284"/>
      <c r="L2112" s="284"/>
      <c r="M2112" s="113"/>
      <c r="N2112" s="113"/>
      <c r="O2112" s="335"/>
      <c r="T2112" s="340"/>
      <c r="V2112" s="342"/>
      <c r="W2112" s="64" ph="1"/>
      <c r="X2112" s="241"/>
      <c r="Y2112" s="284"/>
      <c r="Z2112" s="207"/>
      <c r="AA2112" s="284"/>
      <c r="AB2112" s="284"/>
      <c r="AC2112" s="284"/>
      <c r="AD2112" s="284"/>
      <c r="AE2112" s="284"/>
      <c r="AF2112" s="284"/>
      <c r="AG2112" s="284"/>
    </row>
    <row r="2113" spans="1:33" ht="26.4">
      <c r="A2113" s="284"/>
      <c r="B2113" s="284"/>
      <c r="C2113" s="284"/>
      <c r="D2113" s="284"/>
      <c r="E2113" s="284"/>
      <c r="F2113" s="284"/>
      <c r="G2113" s="284"/>
      <c r="H2113" s="284"/>
      <c r="I2113" s="284"/>
      <c r="J2113" s="284"/>
      <c r="K2113" s="284"/>
      <c r="L2113" s="284"/>
      <c r="M2113" s="113"/>
      <c r="N2113" s="113"/>
      <c r="O2113" s="335"/>
      <c r="T2113" s="340"/>
      <c r="V2113" s="342"/>
      <c r="W2113" s="64" ph="1"/>
      <c r="X2113" s="241"/>
      <c r="Y2113" s="284"/>
      <c r="Z2113" s="207"/>
      <c r="AA2113" s="284"/>
      <c r="AB2113" s="284"/>
      <c r="AC2113" s="284"/>
      <c r="AD2113" s="284"/>
      <c r="AE2113" s="284"/>
      <c r="AF2113" s="284"/>
      <c r="AG2113" s="284"/>
    </row>
    <row r="2114" spans="1:33" ht="26.4">
      <c r="A2114" s="284"/>
      <c r="B2114" s="284"/>
      <c r="C2114" s="284"/>
      <c r="D2114" s="284"/>
      <c r="E2114" s="284"/>
      <c r="F2114" s="284"/>
      <c r="G2114" s="284"/>
      <c r="H2114" s="284"/>
      <c r="I2114" s="284"/>
      <c r="J2114" s="284"/>
      <c r="K2114" s="284"/>
      <c r="L2114" s="284"/>
      <c r="M2114" s="113"/>
      <c r="N2114" s="113"/>
      <c r="O2114" s="335"/>
      <c r="T2114" s="340"/>
      <c r="V2114" s="342"/>
      <c r="W2114" s="64" ph="1"/>
      <c r="X2114" s="241"/>
      <c r="Y2114" s="284"/>
      <c r="Z2114" s="207"/>
      <c r="AA2114" s="284"/>
      <c r="AB2114" s="284"/>
      <c r="AC2114" s="284"/>
      <c r="AD2114" s="284"/>
      <c r="AE2114" s="284"/>
      <c r="AF2114" s="284"/>
      <c r="AG2114" s="284"/>
    </row>
    <row r="2115" spans="1:33" ht="26.4">
      <c r="A2115" s="284"/>
      <c r="B2115" s="284"/>
      <c r="C2115" s="284"/>
      <c r="D2115" s="284"/>
      <c r="E2115" s="284"/>
      <c r="F2115" s="284"/>
      <c r="G2115" s="284"/>
      <c r="H2115" s="284"/>
      <c r="I2115" s="284"/>
      <c r="J2115" s="284"/>
      <c r="K2115" s="284"/>
      <c r="L2115" s="284"/>
      <c r="M2115" s="113"/>
      <c r="N2115" s="113"/>
      <c r="O2115" s="335"/>
      <c r="T2115" s="340"/>
      <c r="V2115" s="342"/>
      <c r="W2115" s="64" ph="1"/>
      <c r="X2115" s="241"/>
      <c r="Y2115" s="284"/>
      <c r="Z2115" s="207"/>
      <c r="AA2115" s="284"/>
      <c r="AB2115" s="284"/>
      <c r="AC2115" s="284"/>
      <c r="AD2115" s="284"/>
      <c r="AE2115" s="284"/>
      <c r="AF2115" s="284"/>
      <c r="AG2115" s="284"/>
    </row>
    <row r="2116" spans="1:33" ht="26.4">
      <c r="A2116" s="284"/>
      <c r="B2116" s="284"/>
      <c r="C2116" s="284"/>
      <c r="D2116" s="284"/>
      <c r="E2116" s="284"/>
      <c r="F2116" s="284"/>
      <c r="G2116" s="284"/>
      <c r="H2116" s="284"/>
      <c r="I2116" s="284"/>
      <c r="J2116" s="284"/>
      <c r="K2116" s="284"/>
      <c r="L2116" s="284"/>
      <c r="M2116" s="113"/>
      <c r="N2116" s="113"/>
      <c r="O2116" s="335"/>
      <c r="T2116" s="340"/>
      <c r="V2116" s="342"/>
      <c r="W2116" s="64" ph="1"/>
      <c r="X2116" s="241"/>
      <c r="Y2116" s="284"/>
      <c r="Z2116" s="207"/>
      <c r="AA2116" s="284"/>
      <c r="AB2116" s="284"/>
      <c r="AC2116" s="284"/>
      <c r="AD2116" s="284"/>
      <c r="AE2116" s="284"/>
      <c r="AF2116" s="284"/>
      <c r="AG2116" s="284"/>
    </row>
    <row r="2117" spans="1:33" ht="26.4">
      <c r="A2117" s="284"/>
      <c r="B2117" s="284"/>
      <c r="C2117" s="284"/>
      <c r="D2117" s="284"/>
      <c r="E2117" s="284"/>
      <c r="F2117" s="284"/>
      <c r="G2117" s="284"/>
      <c r="H2117" s="284"/>
      <c r="I2117" s="284"/>
      <c r="J2117" s="284"/>
      <c r="K2117" s="284"/>
      <c r="L2117" s="284"/>
      <c r="M2117" s="113"/>
      <c r="N2117" s="113"/>
      <c r="O2117" s="335"/>
      <c r="T2117" s="340"/>
      <c r="V2117" s="342"/>
      <c r="W2117" s="64" ph="1"/>
      <c r="X2117" s="241"/>
      <c r="Y2117" s="284"/>
      <c r="Z2117" s="207"/>
      <c r="AA2117" s="284"/>
      <c r="AB2117" s="284"/>
      <c r="AC2117" s="284"/>
      <c r="AD2117" s="284"/>
      <c r="AE2117" s="284"/>
      <c r="AF2117" s="284"/>
      <c r="AG2117" s="284"/>
    </row>
    <row r="2118" spans="1:33" ht="26.4">
      <c r="A2118" s="284"/>
      <c r="B2118" s="284"/>
      <c r="C2118" s="284"/>
      <c r="D2118" s="284"/>
      <c r="E2118" s="284"/>
      <c r="F2118" s="284"/>
      <c r="G2118" s="284"/>
      <c r="H2118" s="284"/>
      <c r="I2118" s="284"/>
      <c r="J2118" s="284"/>
      <c r="K2118" s="284"/>
      <c r="L2118" s="284"/>
      <c r="M2118" s="113"/>
      <c r="N2118" s="113"/>
      <c r="O2118" s="335"/>
      <c r="T2118" s="340"/>
      <c r="V2118" s="342"/>
      <c r="W2118" s="64" ph="1"/>
      <c r="X2118" s="241"/>
      <c r="Y2118" s="284"/>
      <c r="Z2118" s="207"/>
      <c r="AA2118" s="284"/>
      <c r="AB2118" s="284"/>
      <c r="AC2118" s="284"/>
      <c r="AD2118" s="284"/>
      <c r="AE2118" s="284"/>
      <c r="AF2118" s="284"/>
      <c r="AG2118" s="284"/>
    </row>
    <row r="2119" spans="1:33" ht="26.4">
      <c r="A2119" s="284"/>
      <c r="B2119" s="284"/>
      <c r="C2119" s="284"/>
      <c r="D2119" s="284"/>
      <c r="E2119" s="284"/>
      <c r="F2119" s="284"/>
      <c r="G2119" s="284"/>
      <c r="H2119" s="284"/>
      <c r="I2119" s="284"/>
      <c r="J2119" s="284"/>
      <c r="K2119" s="284"/>
      <c r="L2119" s="284"/>
      <c r="M2119" s="113"/>
      <c r="N2119" s="113"/>
      <c r="O2119" s="335"/>
      <c r="T2119" s="340"/>
      <c r="V2119" s="342"/>
      <c r="W2119" s="64" ph="1"/>
      <c r="X2119" s="241"/>
      <c r="Y2119" s="284"/>
      <c r="Z2119" s="207"/>
      <c r="AA2119" s="284"/>
      <c r="AB2119" s="284"/>
      <c r="AC2119" s="284"/>
      <c r="AD2119" s="284"/>
      <c r="AE2119" s="284"/>
      <c r="AF2119" s="284"/>
      <c r="AG2119" s="284"/>
    </row>
    <row r="2120" spans="1:33" ht="26.4">
      <c r="A2120" s="284"/>
      <c r="B2120" s="284"/>
      <c r="C2120" s="284"/>
      <c r="D2120" s="284"/>
      <c r="E2120" s="284"/>
      <c r="F2120" s="284"/>
      <c r="G2120" s="284"/>
      <c r="H2120" s="284"/>
      <c r="I2120" s="284"/>
      <c r="J2120" s="284"/>
      <c r="K2120" s="284"/>
      <c r="L2120" s="284"/>
      <c r="M2120" s="113"/>
      <c r="N2120" s="113"/>
      <c r="O2120" s="335"/>
      <c r="T2120" s="340"/>
      <c r="V2120" s="342"/>
      <c r="W2120" s="64" ph="1"/>
      <c r="X2120" s="241"/>
      <c r="Y2120" s="284"/>
      <c r="Z2120" s="207"/>
      <c r="AA2120" s="284"/>
      <c r="AB2120" s="284"/>
      <c r="AC2120" s="284"/>
      <c r="AD2120" s="284"/>
      <c r="AE2120" s="284"/>
      <c r="AF2120" s="284"/>
      <c r="AG2120" s="284"/>
    </row>
    <row r="2121" spans="1:33" ht="26.4">
      <c r="A2121" s="284"/>
      <c r="B2121" s="284"/>
      <c r="C2121" s="284"/>
      <c r="D2121" s="284"/>
      <c r="E2121" s="284"/>
      <c r="F2121" s="284"/>
      <c r="G2121" s="284"/>
      <c r="H2121" s="284"/>
      <c r="I2121" s="284"/>
      <c r="J2121" s="284"/>
      <c r="K2121" s="284"/>
      <c r="L2121" s="284"/>
      <c r="M2121" s="113"/>
      <c r="N2121" s="113"/>
      <c r="O2121" s="335"/>
      <c r="T2121" s="340"/>
      <c r="V2121" s="342"/>
      <c r="W2121" s="64" ph="1"/>
      <c r="X2121" s="241"/>
      <c r="Y2121" s="284"/>
      <c r="Z2121" s="207"/>
      <c r="AA2121" s="284"/>
      <c r="AB2121" s="284"/>
      <c r="AC2121" s="284"/>
      <c r="AD2121" s="284"/>
      <c r="AE2121" s="284"/>
      <c r="AF2121" s="284"/>
      <c r="AG2121" s="284"/>
    </row>
    <row r="2122" spans="1:33" ht="26.4">
      <c r="A2122" s="284"/>
      <c r="B2122" s="284"/>
      <c r="C2122" s="284"/>
      <c r="D2122" s="284"/>
      <c r="E2122" s="284"/>
      <c r="F2122" s="284"/>
      <c r="G2122" s="284"/>
      <c r="H2122" s="284"/>
      <c r="I2122" s="284"/>
      <c r="J2122" s="284"/>
      <c r="K2122" s="284"/>
      <c r="L2122" s="284"/>
      <c r="M2122" s="113"/>
      <c r="N2122" s="113"/>
      <c r="O2122" s="335"/>
      <c r="T2122" s="340"/>
      <c r="V2122" s="342"/>
      <c r="W2122" s="64" ph="1"/>
      <c r="X2122" s="241"/>
      <c r="Y2122" s="284"/>
      <c r="Z2122" s="207"/>
      <c r="AA2122" s="284"/>
      <c r="AB2122" s="284"/>
      <c r="AC2122" s="284"/>
      <c r="AD2122" s="284"/>
      <c r="AE2122" s="284"/>
      <c r="AF2122" s="284"/>
      <c r="AG2122" s="284"/>
    </row>
    <row r="2123" spans="1:33" ht="26.4">
      <c r="A2123" s="284"/>
      <c r="B2123" s="284"/>
      <c r="C2123" s="284"/>
      <c r="D2123" s="284"/>
      <c r="E2123" s="284"/>
      <c r="F2123" s="284"/>
      <c r="G2123" s="284"/>
      <c r="H2123" s="284"/>
      <c r="I2123" s="284"/>
      <c r="J2123" s="284"/>
      <c r="K2123" s="284"/>
      <c r="L2123" s="284"/>
      <c r="M2123" s="113"/>
      <c r="N2123" s="113"/>
      <c r="O2123" s="335"/>
      <c r="T2123" s="340"/>
      <c r="V2123" s="342"/>
      <c r="W2123" s="64" ph="1"/>
      <c r="X2123" s="241"/>
      <c r="Y2123" s="284"/>
      <c r="Z2123" s="207"/>
      <c r="AA2123" s="284"/>
      <c r="AB2123" s="284"/>
      <c r="AC2123" s="284"/>
      <c r="AD2123" s="284"/>
      <c r="AE2123" s="284"/>
      <c r="AF2123" s="284"/>
      <c r="AG2123" s="284"/>
    </row>
    <row r="2124" spans="1:33" ht="26.4">
      <c r="A2124" s="284"/>
      <c r="B2124" s="284"/>
      <c r="C2124" s="284"/>
      <c r="D2124" s="284"/>
      <c r="E2124" s="284"/>
      <c r="F2124" s="284"/>
      <c r="G2124" s="284"/>
      <c r="H2124" s="284"/>
      <c r="I2124" s="284"/>
      <c r="J2124" s="284"/>
      <c r="K2124" s="284"/>
      <c r="L2124" s="284"/>
      <c r="M2124" s="113"/>
      <c r="N2124" s="113"/>
      <c r="O2124" s="335"/>
      <c r="T2124" s="340"/>
      <c r="V2124" s="342"/>
      <c r="W2124" s="64" ph="1"/>
      <c r="X2124" s="241"/>
      <c r="Y2124" s="284"/>
      <c r="Z2124" s="207"/>
      <c r="AA2124" s="284"/>
      <c r="AB2124" s="284"/>
      <c r="AC2124" s="284"/>
      <c r="AD2124" s="284"/>
      <c r="AE2124" s="284"/>
      <c r="AF2124" s="284"/>
      <c r="AG2124" s="284"/>
    </row>
    <row r="2125" spans="1:33" ht="26.4">
      <c r="A2125" s="284"/>
      <c r="B2125" s="284"/>
      <c r="C2125" s="284"/>
      <c r="D2125" s="284"/>
      <c r="E2125" s="284"/>
      <c r="F2125" s="284"/>
      <c r="G2125" s="284"/>
      <c r="H2125" s="284"/>
      <c r="I2125" s="284"/>
      <c r="J2125" s="284"/>
      <c r="K2125" s="284"/>
      <c r="L2125" s="284"/>
      <c r="M2125" s="113"/>
      <c r="N2125" s="113"/>
      <c r="O2125" s="335"/>
      <c r="T2125" s="340"/>
      <c r="V2125" s="342"/>
      <c r="W2125" s="64" ph="1"/>
      <c r="X2125" s="241"/>
      <c r="Y2125" s="284"/>
      <c r="Z2125" s="207"/>
      <c r="AA2125" s="284"/>
      <c r="AB2125" s="284"/>
      <c r="AC2125" s="284"/>
      <c r="AD2125" s="284"/>
      <c r="AE2125" s="284"/>
      <c r="AF2125" s="284"/>
      <c r="AG2125" s="284"/>
    </row>
    <row r="2126" spans="1:33" ht="26.4">
      <c r="A2126" s="284"/>
      <c r="B2126" s="284"/>
      <c r="C2126" s="284"/>
      <c r="D2126" s="284"/>
      <c r="E2126" s="284"/>
      <c r="F2126" s="284"/>
      <c r="G2126" s="284"/>
      <c r="H2126" s="284"/>
      <c r="I2126" s="284"/>
      <c r="J2126" s="284"/>
      <c r="K2126" s="284"/>
      <c r="L2126" s="284"/>
      <c r="M2126" s="113"/>
      <c r="N2126" s="113"/>
      <c r="O2126" s="335"/>
      <c r="T2126" s="340"/>
      <c r="V2126" s="342"/>
      <c r="W2126" s="64" ph="1"/>
      <c r="X2126" s="241"/>
      <c r="Y2126" s="284"/>
      <c r="Z2126" s="207"/>
      <c r="AA2126" s="284"/>
      <c r="AB2126" s="284"/>
      <c r="AC2126" s="284"/>
      <c r="AD2126" s="284"/>
      <c r="AE2126" s="284"/>
      <c r="AF2126" s="284"/>
      <c r="AG2126" s="284"/>
    </row>
    <row r="2127" spans="1:33" ht="26.4">
      <c r="A2127" s="284"/>
      <c r="B2127" s="284"/>
      <c r="C2127" s="284"/>
      <c r="D2127" s="284"/>
      <c r="E2127" s="284"/>
      <c r="F2127" s="284"/>
      <c r="G2127" s="284"/>
      <c r="H2127" s="284"/>
      <c r="I2127" s="284"/>
      <c r="J2127" s="284"/>
      <c r="K2127" s="284"/>
      <c r="L2127" s="284"/>
      <c r="M2127" s="113"/>
      <c r="N2127" s="113"/>
      <c r="O2127" s="335"/>
      <c r="T2127" s="340"/>
      <c r="V2127" s="342"/>
      <c r="W2127" s="64" ph="1"/>
      <c r="X2127" s="241"/>
      <c r="Y2127" s="284"/>
      <c r="Z2127" s="207"/>
      <c r="AA2127" s="284"/>
      <c r="AB2127" s="284"/>
      <c r="AC2127" s="284"/>
      <c r="AD2127" s="284"/>
      <c r="AE2127" s="284"/>
      <c r="AF2127" s="284"/>
      <c r="AG2127" s="284"/>
    </row>
    <row r="2128" spans="1:33" ht="26.4">
      <c r="A2128" s="284"/>
      <c r="B2128" s="284"/>
      <c r="C2128" s="284"/>
      <c r="D2128" s="284"/>
      <c r="E2128" s="284"/>
      <c r="F2128" s="284"/>
      <c r="G2128" s="284"/>
      <c r="H2128" s="284"/>
      <c r="I2128" s="284"/>
      <c r="J2128" s="284"/>
      <c r="K2128" s="284"/>
      <c r="L2128" s="284"/>
      <c r="M2128" s="113"/>
      <c r="N2128" s="113"/>
      <c r="O2128" s="335"/>
      <c r="T2128" s="340"/>
      <c r="V2128" s="342"/>
      <c r="W2128" s="64" ph="1"/>
      <c r="X2128" s="241"/>
      <c r="Y2128" s="284"/>
      <c r="Z2128" s="207"/>
      <c r="AA2128" s="284"/>
      <c r="AB2128" s="284"/>
      <c r="AC2128" s="284"/>
      <c r="AD2128" s="284"/>
      <c r="AE2128" s="284"/>
      <c r="AF2128" s="284"/>
      <c r="AG2128" s="284"/>
    </row>
    <row r="2129" spans="1:33" ht="26.4">
      <c r="A2129" s="284"/>
      <c r="B2129" s="284"/>
      <c r="C2129" s="284"/>
      <c r="D2129" s="284"/>
      <c r="E2129" s="284"/>
      <c r="F2129" s="284"/>
      <c r="G2129" s="284"/>
      <c r="H2129" s="284"/>
      <c r="I2129" s="284"/>
      <c r="J2129" s="284"/>
      <c r="K2129" s="284"/>
      <c r="L2129" s="284"/>
      <c r="M2129" s="113"/>
      <c r="N2129" s="113"/>
      <c r="O2129" s="335"/>
      <c r="T2129" s="340"/>
      <c r="V2129" s="342"/>
      <c r="W2129" s="64" ph="1"/>
      <c r="X2129" s="241"/>
      <c r="Y2129" s="284"/>
      <c r="Z2129" s="207"/>
      <c r="AA2129" s="284"/>
      <c r="AB2129" s="284"/>
      <c r="AC2129" s="284"/>
      <c r="AD2129" s="284"/>
      <c r="AE2129" s="284"/>
      <c r="AF2129" s="284"/>
      <c r="AG2129" s="284"/>
    </row>
    <row r="2130" spans="1:33" ht="26.4">
      <c r="A2130" s="284"/>
      <c r="B2130" s="284"/>
      <c r="C2130" s="284"/>
      <c r="D2130" s="284"/>
      <c r="E2130" s="284"/>
      <c r="F2130" s="284"/>
      <c r="G2130" s="284"/>
      <c r="H2130" s="284"/>
      <c r="I2130" s="284"/>
      <c r="J2130" s="284"/>
      <c r="K2130" s="284"/>
      <c r="L2130" s="284"/>
      <c r="M2130" s="113"/>
      <c r="N2130" s="113"/>
      <c r="O2130" s="335"/>
      <c r="T2130" s="340"/>
      <c r="V2130" s="342"/>
      <c r="W2130" s="64" ph="1"/>
      <c r="X2130" s="241"/>
      <c r="Y2130" s="284"/>
      <c r="Z2130" s="207"/>
      <c r="AA2130" s="284"/>
      <c r="AB2130" s="284"/>
      <c r="AC2130" s="284"/>
      <c r="AD2130" s="284"/>
      <c r="AE2130" s="284"/>
      <c r="AF2130" s="284"/>
      <c r="AG2130" s="284"/>
    </row>
    <row r="2131" spans="1:33" ht="26.4">
      <c r="A2131" s="284"/>
      <c r="B2131" s="284"/>
      <c r="C2131" s="284"/>
      <c r="D2131" s="284"/>
      <c r="E2131" s="284"/>
      <c r="F2131" s="284"/>
      <c r="G2131" s="284"/>
      <c r="H2131" s="284"/>
      <c r="I2131" s="284"/>
      <c r="J2131" s="284"/>
      <c r="K2131" s="284"/>
      <c r="L2131" s="284"/>
      <c r="M2131" s="113"/>
      <c r="N2131" s="113"/>
      <c r="O2131" s="335"/>
      <c r="T2131" s="340"/>
      <c r="V2131" s="342"/>
      <c r="W2131" s="64" ph="1"/>
      <c r="X2131" s="241"/>
      <c r="Y2131" s="284"/>
      <c r="Z2131" s="207"/>
      <c r="AA2131" s="284"/>
      <c r="AB2131" s="284"/>
      <c r="AC2131" s="284"/>
      <c r="AD2131" s="284"/>
      <c r="AE2131" s="284"/>
      <c r="AF2131" s="284"/>
      <c r="AG2131" s="284"/>
    </row>
    <row r="2132" spans="1:33" ht="26.4">
      <c r="A2132" s="284"/>
      <c r="B2132" s="284"/>
      <c r="C2132" s="284"/>
      <c r="D2132" s="284"/>
      <c r="E2132" s="284"/>
      <c r="F2132" s="284"/>
      <c r="G2132" s="284"/>
      <c r="H2132" s="284"/>
      <c r="I2132" s="284"/>
      <c r="J2132" s="284"/>
      <c r="K2132" s="284"/>
      <c r="L2132" s="284"/>
      <c r="M2132" s="113"/>
      <c r="N2132" s="113"/>
      <c r="O2132" s="335"/>
      <c r="T2132" s="340"/>
      <c r="V2132" s="342"/>
      <c r="W2132" s="64" ph="1"/>
      <c r="X2132" s="241"/>
      <c r="Y2132" s="284"/>
      <c r="Z2132" s="207"/>
      <c r="AA2132" s="284"/>
      <c r="AB2132" s="284"/>
      <c r="AC2132" s="284"/>
      <c r="AD2132" s="284"/>
      <c r="AE2132" s="284"/>
      <c r="AF2132" s="284"/>
      <c r="AG2132" s="284"/>
    </row>
    <row r="2133" spans="1:33" ht="26.4">
      <c r="A2133" s="284"/>
      <c r="B2133" s="284"/>
      <c r="C2133" s="284"/>
      <c r="D2133" s="284"/>
      <c r="E2133" s="284"/>
      <c r="F2133" s="284"/>
      <c r="G2133" s="284"/>
      <c r="H2133" s="284"/>
      <c r="I2133" s="284"/>
      <c r="J2133" s="284"/>
      <c r="K2133" s="284"/>
      <c r="L2133" s="284"/>
      <c r="M2133" s="113"/>
      <c r="N2133" s="113"/>
      <c r="O2133" s="335"/>
      <c r="T2133" s="340"/>
      <c r="V2133" s="342"/>
      <c r="W2133" s="64" ph="1"/>
      <c r="X2133" s="241"/>
      <c r="Y2133" s="284"/>
      <c r="Z2133" s="207"/>
      <c r="AA2133" s="284"/>
      <c r="AB2133" s="284"/>
      <c r="AC2133" s="284"/>
      <c r="AD2133" s="284"/>
      <c r="AE2133" s="284"/>
      <c r="AF2133" s="284"/>
      <c r="AG2133" s="284"/>
    </row>
    <row r="2134" spans="1:33" ht="26.4">
      <c r="A2134" s="284"/>
      <c r="B2134" s="284"/>
      <c r="C2134" s="284"/>
      <c r="D2134" s="284"/>
      <c r="E2134" s="284"/>
      <c r="F2134" s="284"/>
      <c r="G2134" s="284"/>
      <c r="H2134" s="284"/>
      <c r="I2134" s="284"/>
      <c r="J2134" s="284"/>
      <c r="K2134" s="284"/>
      <c r="L2134" s="284"/>
      <c r="M2134" s="113"/>
      <c r="N2134" s="113"/>
      <c r="O2134" s="335"/>
      <c r="T2134" s="340"/>
      <c r="V2134" s="342"/>
      <c r="W2134" s="64" ph="1"/>
      <c r="X2134" s="241"/>
      <c r="Y2134" s="284"/>
      <c r="Z2134" s="207"/>
      <c r="AA2134" s="284"/>
      <c r="AB2134" s="284"/>
      <c r="AC2134" s="284"/>
      <c r="AD2134" s="284"/>
      <c r="AE2134" s="284"/>
      <c r="AF2134" s="284"/>
      <c r="AG2134" s="284"/>
    </row>
    <row r="2135" spans="1:33" ht="26.4">
      <c r="A2135" s="284"/>
      <c r="B2135" s="284"/>
      <c r="C2135" s="284"/>
      <c r="D2135" s="284"/>
      <c r="E2135" s="284"/>
      <c r="F2135" s="284"/>
      <c r="G2135" s="284"/>
      <c r="H2135" s="284"/>
      <c r="I2135" s="284"/>
      <c r="J2135" s="284"/>
      <c r="K2135" s="284"/>
      <c r="L2135" s="284"/>
      <c r="M2135" s="113"/>
      <c r="N2135" s="113"/>
      <c r="O2135" s="335"/>
      <c r="T2135" s="340"/>
      <c r="V2135" s="342"/>
      <c r="W2135" s="64" ph="1"/>
      <c r="X2135" s="241"/>
      <c r="Y2135" s="284"/>
      <c r="Z2135" s="207"/>
      <c r="AA2135" s="284"/>
      <c r="AB2135" s="284"/>
      <c r="AC2135" s="284"/>
      <c r="AD2135" s="284"/>
      <c r="AE2135" s="284"/>
      <c r="AF2135" s="284"/>
      <c r="AG2135" s="284"/>
    </row>
    <row r="2136" spans="1:33" ht="26.4">
      <c r="A2136" s="284"/>
      <c r="B2136" s="284"/>
      <c r="C2136" s="284"/>
      <c r="D2136" s="284"/>
      <c r="E2136" s="284"/>
      <c r="F2136" s="284"/>
      <c r="G2136" s="284"/>
      <c r="H2136" s="284"/>
      <c r="I2136" s="284"/>
      <c r="J2136" s="284"/>
      <c r="K2136" s="284"/>
      <c r="L2136" s="284"/>
      <c r="M2136" s="113"/>
      <c r="N2136" s="113"/>
      <c r="O2136" s="335"/>
      <c r="T2136" s="340"/>
      <c r="V2136" s="342"/>
      <c r="W2136" s="64" ph="1"/>
      <c r="X2136" s="241"/>
      <c r="Y2136" s="284"/>
      <c r="Z2136" s="207"/>
      <c r="AA2136" s="284"/>
      <c r="AB2136" s="284"/>
      <c r="AC2136" s="284"/>
      <c r="AD2136" s="284"/>
      <c r="AE2136" s="284"/>
      <c r="AF2136" s="284"/>
      <c r="AG2136" s="284"/>
    </row>
    <row r="2137" spans="1:33" ht="26.4">
      <c r="A2137" s="284"/>
      <c r="B2137" s="284"/>
      <c r="C2137" s="284"/>
      <c r="D2137" s="284"/>
      <c r="E2137" s="284"/>
      <c r="F2137" s="284"/>
      <c r="G2137" s="284"/>
      <c r="H2137" s="284"/>
      <c r="I2137" s="284"/>
      <c r="J2137" s="284"/>
      <c r="K2137" s="284"/>
      <c r="L2137" s="284"/>
      <c r="M2137" s="113"/>
      <c r="N2137" s="113"/>
      <c r="O2137" s="335"/>
      <c r="T2137" s="340"/>
      <c r="V2137" s="342"/>
      <c r="W2137" s="64" ph="1"/>
      <c r="X2137" s="241"/>
      <c r="Y2137" s="284"/>
      <c r="Z2137" s="207"/>
      <c r="AA2137" s="284"/>
      <c r="AB2137" s="284"/>
      <c r="AC2137" s="284"/>
      <c r="AD2137" s="284"/>
      <c r="AE2137" s="284"/>
      <c r="AF2137" s="284"/>
      <c r="AG2137" s="284"/>
    </row>
    <row r="2138" spans="1:33" ht="26.4">
      <c r="A2138" s="284"/>
      <c r="B2138" s="284"/>
      <c r="C2138" s="284"/>
      <c r="D2138" s="284"/>
      <c r="E2138" s="284"/>
      <c r="F2138" s="284"/>
      <c r="G2138" s="284"/>
      <c r="H2138" s="284"/>
      <c r="I2138" s="284"/>
      <c r="J2138" s="284"/>
      <c r="K2138" s="284"/>
      <c r="L2138" s="284"/>
      <c r="M2138" s="113"/>
      <c r="N2138" s="113"/>
      <c r="O2138" s="335"/>
      <c r="T2138" s="340"/>
      <c r="V2138" s="342"/>
      <c r="W2138" s="64" ph="1"/>
      <c r="X2138" s="241"/>
      <c r="Y2138" s="284"/>
      <c r="Z2138" s="207"/>
      <c r="AA2138" s="284"/>
      <c r="AB2138" s="284"/>
      <c r="AC2138" s="284"/>
      <c r="AD2138" s="284"/>
      <c r="AE2138" s="284"/>
      <c r="AF2138" s="284"/>
      <c r="AG2138" s="284"/>
    </row>
    <row r="2139" spans="1:33" ht="26.4">
      <c r="A2139" s="284"/>
      <c r="B2139" s="284"/>
      <c r="C2139" s="284"/>
      <c r="D2139" s="284"/>
      <c r="E2139" s="284"/>
      <c r="F2139" s="284"/>
      <c r="G2139" s="284"/>
      <c r="H2139" s="284"/>
      <c r="I2139" s="284"/>
      <c r="J2139" s="284"/>
      <c r="K2139" s="284"/>
      <c r="L2139" s="284"/>
      <c r="M2139" s="113"/>
      <c r="N2139" s="113"/>
      <c r="O2139" s="335"/>
      <c r="T2139" s="340"/>
      <c r="V2139" s="342"/>
      <c r="W2139" s="64" ph="1"/>
      <c r="X2139" s="241"/>
      <c r="Y2139" s="284"/>
      <c r="Z2139" s="207"/>
      <c r="AA2139" s="284"/>
      <c r="AB2139" s="284"/>
      <c r="AC2139" s="284"/>
      <c r="AD2139" s="284"/>
      <c r="AE2139" s="284"/>
      <c r="AF2139" s="284"/>
      <c r="AG2139" s="284"/>
    </row>
    <row r="2140" spans="1:33" ht="26.4">
      <c r="A2140" s="284"/>
      <c r="B2140" s="284"/>
      <c r="C2140" s="284"/>
      <c r="D2140" s="284"/>
      <c r="E2140" s="284"/>
      <c r="F2140" s="284"/>
      <c r="G2140" s="284"/>
      <c r="H2140" s="284"/>
      <c r="I2140" s="284"/>
      <c r="J2140" s="284"/>
      <c r="K2140" s="284"/>
      <c r="L2140" s="284"/>
      <c r="M2140" s="113"/>
      <c r="N2140" s="113"/>
      <c r="O2140" s="335"/>
      <c r="T2140" s="340"/>
      <c r="V2140" s="342"/>
      <c r="W2140" s="64" ph="1"/>
      <c r="X2140" s="241"/>
      <c r="Y2140" s="284"/>
      <c r="Z2140" s="207"/>
      <c r="AA2140" s="284"/>
      <c r="AB2140" s="284"/>
      <c r="AC2140" s="284"/>
      <c r="AD2140" s="284"/>
      <c r="AE2140" s="284"/>
      <c r="AF2140" s="284"/>
      <c r="AG2140" s="284"/>
    </row>
    <row r="2141" spans="1:33" ht="26.4">
      <c r="A2141" s="284"/>
      <c r="B2141" s="284"/>
      <c r="C2141" s="284"/>
      <c r="D2141" s="284"/>
      <c r="E2141" s="284"/>
      <c r="F2141" s="284"/>
      <c r="G2141" s="284"/>
      <c r="H2141" s="284"/>
      <c r="I2141" s="284"/>
      <c r="J2141" s="284"/>
      <c r="K2141" s="284"/>
      <c r="L2141" s="284"/>
      <c r="M2141" s="113"/>
      <c r="N2141" s="113"/>
      <c r="O2141" s="335"/>
      <c r="T2141" s="340"/>
      <c r="V2141" s="342"/>
      <c r="W2141" s="64" ph="1"/>
      <c r="X2141" s="241"/>
      <c r="Y2141" s="284"/>
      <c r="Z2141" s="207"/>
      <c r="AA2141" s="284"/>
      <c r="AB2141" s="284"/>
      <c r="AC2141" s="284"/>
      <c r="AD2141" s="284"/>
      <c r="AE2141" s="284"/>
      <c r="AF2141" s="284"/>
      <c r="AG2141" s="284"/>
    </row>
    <row r="2142" spans="1:33" ht="26.4">
      <c r="A2142" s="284"/>
      <c r="B2142" s="284"/>
      <c r="C2142" s="284"/>
      <c r="D2142" s="284"/>
      <c r="E2142" s="284"/>
      <c r="F2142" s="284"/>
      <c r="G2142" s="284"/>
      <c r="H2142" s="284"/>
      <c r="I2142" s="284"/>
      <c r="J2142" s="284"/>
      <c r="K2142" s="284"/>
      <c r="L2142" s="284"/>
      <c r="M2142" s="113"/>
      <c r="N2142" s="113"/>
      <c r="O2142" s="335"/>
      <c r="T2142" s="340"/>
      <c r="V2142" s="342"/>
      <c r="W2142" s="64" ph="1"/>
      <c r="X2142" s="241"/>
      <c r="Y2142" s="284"/>
      <c r="Z2142" s="207"/>
      <c r="AA2142" s="284"/>
      <c r="AB2142" s="284"/>
      <c r="AC2142" s="284"/>
      <c r="AD2142" s="284"/>
      <c r="AE2142" s="284"/>
      <c r="AF2142" s="284"/>
      <c r="AG2142" s="284"/>
    </row>
    <row r="2143" spans="1:33" ht="26.4">
      <c r="A2143" s="284"/>
      <c r="B2143" s="284"/>
      <c r="C2143" s="284"/>
      <c r="D2143" s="284"/>
      <c r="E2143" s="284"/>
      <c r="F2143" s="284"/>
      <c r="G2143" s="284"/>
      <c r="H2143" s="284"/>
      <c r="I2143" s="284"/>
      <c r="J2143" s="284"/>
      <c r="K2143" s="284"/>
      <c r="L2143" s="284"/>
      <c r="M2143" s="113"/>
      <c r="N2143" s="113"/>
      <c r="O2143" s="335"/>
      <c r="T2143" s="340"/>
      <c r="V2143" s="342"/>
      <c r="W2143" s="64" ph="1"/>
      <c r="X2143" s="241"/>
      <c r="Y2143" s="284"/>
      <c r="Z2143" s="207"/>
      <c r="AA2143" s="284"/>
      <c r="AB2143" s="284"/>
      <c r="AC2143" s="284"/>
      <c r="AD2143" s="284"/>
      <c r="AE2143" s="284"/>
      <c r="AF2143" s="284"/>
      <c r="AG2143" s="284"/>
    </row>
    <row r="2144" spans="1:33" ht="26.4">
      <c r="A2144" s="284"/>
      <c r="B2144" s="284"/>
      <c r="C2144" s="284"/>
      <c r="D2144" s="284"/>
      <c r="E2144" s="284"/>
      <c r="F2144" s="284"/>
      <c r="G2144" s="284"/>
      <c r="H2144" s="284"/>
      <c r="I2144" s="284"/>
      <c r="J2144" s="284"/>
      <c r="K2144" s="284"/>
      <c r="L2144" s="284"/>
      <c r="M2144" s="113"/>
      <c r="N2144" s="113"/>
      <c r="O2144" s="335"/>
      <c r="T2144" s="340"/>
      <c r="V2144" s="342"/>
      <c r="W2144" s="64" ph="1"/>
      <c r="X2144" s="241"/>
      <c r="Y2144" s="284"/>
      <c r="Z2144" s="207"/>
      <c r="AA2144" s="284"/>
      <c r="AB2144" s="284"/>
      <c r="AC2144" s="284"/>
      <c r="AD2144" s="284"/>
      <c r="AE2144" s="284"/>
      <c r="AF2144" s="284"/>
      <c r="AG2144" s="284"/>
    </row>
    <row r="2145" spans="1:33" ht="26.4">
      <c r="A2145" s="284"/>
      <c r="B2145" s="284"/>
      <c r="C2145" s="284"/>
      <c r="D2145" s="284"/>
      <c r="E2145" s="284"/>
      <c r="F2145" s="284"/>
      <c r="G2145" s="284"/>
      <c r="H2145" s="284"/>
      <c r="I2145" s="284"/>
      <c r="J2145" s="284"/>
      <c r="K2145" s="284"/>
      <c r="L2145" s="284"/>
      <c r="M2145" s="113"/>
      <c r="N2145" s="113"/>
      <c r="O2145" s="335"/>
      <c r="T2145" s="340"/>
      <c r="V2145" s="342"/>
      <c r="W2145" s="64" ph="1"/>
      <c r="X2145" s="241"/>
      <c r="Y2145" s="284"/>
      <c r="Z2145" s="207"/>
      <c r="AA2145" s="284"/>
      <c r="AB2145" s="284"/>
      <c r="AC2145" s="284"/>
      <c r="AD2145" s="284"/>
      <c r="AE2145" s="284"/>
      <c r="AF2145" s="284"/>
      <c r="AG2145" s="284"/>
    </row>
    <row r="2146" spans="1:33" ht="26.4">
      <c r="A2146" s="284"/>
      <c r="B2146" s="284"/>
      <c r="C2146" s="284"/>
      <c r="D2146" s="284"/>
      <c r="E2146" s="284"/>
      <c r="F2146" s="284"/>
      <c r="G2146" s="284"/>
      <c r="H2146" s="284"/>
      <c r="I2146" s="284"/>
      <c r="J2146" s="284"/>
      <c r="K2146" s="284"/>
      <c r="L2146" s="284"/>
      <c r="M2146" s="113"/>
      <c r="N2146" s="113"/>
      <c r="O2146" s="335"/>
      <c r="T2146" s="340"/>
      <c r="V2146" s="342"/>
      <c r="W2146" s="64" ph="1"/>
      <c r="X2146" s="241"/>
      <c r="Y2146" s="284"/>
      <c r="Z2146" s="207"/>
      <c r="AA2146" s="284"/>
      <c r="AB2146" s="284"/>
      <c r="AC2146" s="284"/>
      <c r="AD2146" s="284"/>
      <c r="AE2146" s="284"/>
      <c r="AF2146" s="284"/>
      <c r="AG2146" s="284"/>
    </row>
    <row r="2147" spans="1:33" ht="26.4">
      <c r="A2147" s="284"/>
      <c r="B2147" s="284"/>
      <c r="C2147" s="284"/>
      <c r="D2147" s="284"/>
      <c r="E2147" s="284"/>
      <c r="F2147" s="284"/>
      <c r="G2147" s="284"/>
      <c r="H2147" s="284"/>
      <c r="I2147" s="284"/>
      <c r="J2147" s="284"/>
      <c r="K2147" s="284"/>
      <c r="L2147" s="284"/>
      <c r="M2147" s="113"/>
      <c r="N2147" s="113"/>
      <c r="O2147" s="335"/>
      <c r="T2147" s="340"/>
      <c r="V2147" s="342"/>
      <c r="W2147" s="64" ph="1"/>
      <c r="X2147" s="241"/>
      <c r="Y2147" s="284"/>
      <c r="Z2147" s="207"/>
      <c r="AA2147" s="284"/>
      <c r="AB2147" s="284"/>
      <c r="AC2147" s="284"/>
      <c r="AD2147" s="284"/>
      <c r="AE2147" s="284"/>
      <c r="AF2147" s="284"/>
      <c r="AG2147" s="284"/>
    </row>
    <row r="2148" spans="1:33" ht="26.4">
      <c r="A2148" s="284"/>
      <c r="B2148" s="284"/>
      <c r="C2148" s="284"/>
      <c r="D2148" s="284"/>
      <c r="E2148" s="284"/>
      <c r="F2148" s="284"/>
      <c r="G2148" s="284"/>
      <c r="H2148" s="284"/>
      <c r="I2148" s="284"/>
      <c r="J2148" s="284"/>
      <c r="K2148" s="284"/>
      <c r="L2148" s="284"/>
      <c r="M2148" s="113"/>
      <c r="N2148" s="113"/>
      <c r="O2148" s="335"/>
      <c r="T2148" s="340"/>
      <c r="V2148" s="342"/>
      <c r="W2148" s="64" ph="1"/>
      <c r="X2148" s="241"/>
      <c r="Y2148" s="284"/>
      <c r="Z2148" s="207"/>
      <c r="AA2148" s="284"/>
      <c r="AB2148" s="284"/>
      <c r="AC2148" s="284"/>
      <c r="AD2148" s="284"/>
      <c r="AE2148" s="284"/>
      <c r="AF2148" s="284"/>
      <c r="AG2148" s="284"/>
    </row>
    <row r="2149" spans="1:33" ht="26.4">
      <c r="A2149" s="284"/>
      <c r="B2149" s="284"/>
      <c r="C2149" s="284"/>
      <c r="D2149" s="284"/>
      <c r="E2149" s="284"/>
      <c r="F2149" s="284"/>
      <c r="G2149" s="284"/>
      <c r="H2149" s="284"/>
      <c r="I2149" s="284"/>
      <c r="J2149" s="284"/>
      <c r="K2149" s="284"/>
      <c r="L2149" s="284"/>
      <c r="M2149" s="113"/>
      <c r="N2149" s="113"/>
      <c r="O2149" s="335"/>
      <c r="T2149" s="340"/>
      <c r="V2149" s="342"/>
      <c r="W2149" s="64" ph="1"/>
      <c r="X2149" s="241"/>
      <c r="Y2149" s="284"/>
      <c r="Z2149" s="207"/>
      <c r="AA2149" s="284"/>
      <c r="AB2149" s="284"/>
      <c r="AC2149" s="284"/>
      <c r="AD2149" s="284"/>
      <c r="AE2149" s="284"/>
      <c r="AF2149" s="284"/>
      <c r="AG2149" s="284"/>
    </row>
    <row r="2150" spans="1:33" ht="26.4">
      <c r="A2150" s="284"/>
      <c r="B2150" s="284"/>
      <c r="C2150" s="284"/>
      <c r="D2150" s="284"/>
      <c r="E2150" s="284"/>
      <c r="F2150" s="284"/>
      <c r="G2150" s="284"/>
      <c r="H2150" s="284"/>
      <c r="I2150" s="284"/>
      <c r="J2150" s="284"/>
      <c r="K2150" s="284"/>
      <c r="L2150" s="284"/>
      <c r="M2150" s="113"/>
      <c r="N2150" s="113"/>
      <c r="O2150" s="335"/>
      <c r="T2150" s="340"/>
      <c r="V2150" s="342"/>
      <c r="W2150" s="64" ph="1"/>
      <c r="X2150" s="241"/>
      <c r="Y2150" s="284"/>
      <c r="Z2150" s="207"/>
      <c r="AA2150" s="284"/>
      <c r="AB2150" s="284"/>
      <c r="AC2150" s="284"/>
      <c r="AD2150" s="284"/>
      <c r="AE2150" s="284"/>
      <c r="AF2150" s="284"/>
      <c r="AG2150" s="284"/>
    </row>
    <row r="2151" spans="1:33" ht="26.4">
      <c r="A2151" s="284"/>
      <c r="B2151" s="284"/>
      <c r="C2151" s="284"/>
      <c r="D2151" s="284"/>
      <c r="E2151" s="284"/>
      <c r="F2151" s="284"/>
      <c r="G2151" s="284"/>
      <c r="H2151" s="284"/>
      <c r="I2151" s="284"/>
      <c r="J2151" s="284"/>
      <c r="K2151" s="284"/>
      <c r="L2151" s="284"/>
      <c r="M2151" s="113"/>
      <c r="N2151" s="113"/>
      <c r="O2151" s="335"/>
      <c r="T2151" s="340"/>
      <c r="V2151" s="342"/>
      <c r="W2151" s="64" ph="1"/>
      <c r="X2151" s="241"/>
      <c r="Y2151" s="284"/>
      <c r="Z2151" s="207"/>
      <c r="AA2151" s="284"/>
      <c r="AB2151" s="284"/>
      <c r="AC2151" s="284"/>
      <c r="AD2151" s="284"/>
      <c r="AE2151" s="284"/>
      <c r="AF2151" s="284"/>
      <c r="AG2151" s="284"/>
    </row>
    <row r="2152" spans="1:33" ht="26.4">
      <c r="A2152" s="284"/>
      <c r="B2152" s="284"/>
      <c r="C2152" s="284"/>
      <c r="D2152" s="284"/>
      <c r="E2152" s="284"/>
      <c r="F2152" s="284"/>
      <c r="G2152" s="284"/>
      <c r="H2152" s="284"/>
      <c r="I2152" s="284"/>
      <c r="J2152" s="284"/>
      <c r="K2152" s="284"/>
      <c r="L2152" s="284"/>
      <c r="M2152" s="113"/>
      <c r="N2152" s="113"/>
      <c r="O2152" s="335"/>
      <c r="T2152" s="340"/>
      <c r="V2152" s="342"/>
      <c r="W2152" s="64" ph="1"/>
      <c r="X2152" s="241"/>
      <c r="Y2152" s="284"/>
      <c r="Z2152" s="207"/>
      <c r="AA2152" s="284"/>
      <c r="AB2152" s="284"/>
      <c r="AC2152" s="284"/>
      <c r="AD2152" s="284"/>
      <c r="AE2152" s="284"/>
      <c r="AF2152" s="284"/>
      <c r="AG2152" s="284"/>
    </row>
    <row r="2153" spans="1:33" ht="26.4">
      <c r="A2153" s="284"/>
      <c r="B2153" s="284"/>
      <c r="C2153" s="284"/>
      <c r="D2153" s="284"/>
      <c r="E2153" s="284"/>
      <c r="F2153" s="284"/>
      <c r="G2153" s="284"/>
      <c r="H2153" s="284"/>
      <c r="I2153" s="284"/>
      <c r="J2153" s="284"/>
      <c r="K2153" s="284"/>
      <c r="L2153" s="284"/>
      <c r="M2153" s="113"/>
      <c r="N2153" s="113"/>
      <c r="O2153" s="335"/>
      <c r="T2153" s="340"/>
      <c r="V2153" s="342"/>
      <c r="W2153" s="64" ph="1"/>
      <c r="X2153" s="241"/>
      <c r="Y2153" s="284"/>
      <c r="Z2153" s="207"/>
      <c r="AA2153" s="284"/>
      <c r="AB2153" s="284"/>
      <c r="AC2153" s="284"/>
      <c r="AD2153" s="284"/>
      <c r="AE2153" s="284"/>
      <c r="AF2153" s="284"/>
      <c r="AG2153" s="284"/>
    </row>
    <row r="2154" spans="1:33" ht="26.4">
      <c r="A2154" s="284"/>
      <c r="B2154" s="284"/>
      <c r="C2154" s="284"/>
      <c r="D2154" s="284"/>
      <c r="E2154" s="284"/>
      <c r="F2154" s="284"/>
      <c r="G2154" s="284"/>
      <c r="H2154" s="284"/>
      <c r="I2154" s="284"/>
      <c r="J2154" s="284"/>
      <c r="K2154" s="284"/>
      <c r="L2154" s="284"/>
      <c r="M2154" s="113"/>
      <c r="N2154" s="113"/>
      <c r="O2154" s="335"/>
      <c r="T2154" s="340"/>
      <c r="V2154" s="342"/>
      <c r="W2154" s="64" ph="1"/>
      <c r="X2154" s="241"/>
      <c r="Y2154" s="284"/>
      <c r="Z2154" s="207"/>
      <c r="AA2154" s="284"/>
      <c r="AB2154" s="284"/>
      <c r="AC2154" s="284"/>
      <c r="AD2154" s="284"/>
      <c r="AE2154" s="284"/>
      <c r="AF2154" s="284"/>
      <c r="AG2154" s="284"/>
    </row>
    <row r="2155" spans="1:33" ht="26.4">
      <c r="A2155" s="284"/>
      <c r="B2155" s="284"/>
      <c r="C2155" s="284"/>
      <c r="D2155" s="284"/>
      <c r="E2155" s="284"/>
      <c r="F2155" s="284"/>
      <c r="G2155" s="284"/>
      <c r="H2155" s="284"/>
      <c r="I2155" s="284"/>
      <c r="J2155" s="284"/>
      <c r="K2155" s="284"/>
      <c r="L2155" s="284"/>
      <c r="M2155" s="113"/>
      <c r="N2155" s="113"/>
      <c r="O2155" s="335"/>
      <c r="T2155" s="340"/>
      <c r="V2155" s="342"/>
      <c r="W2155" s="64" ph="1"/>
      <c r="X2155" s="241"/>
      <c r="Y2155" s="284"/>
      <c r="Z2155" s="207"/>
      <c r="AA2155" s="284"/>
      <c r="AB2155" s="284"/>
      <c r="AC2155" s="284"/>
      <c r="AD2155" s="284"/>
      <c r="AE2155" s="284"/>
      <c r="AF2155" s="284"/>
      <c r="AG2155" s="284"/>
    </row>
    <row r="2156" spans="1:33" ht="26.4">
      <c r="A2156" s="284"/>
      <c r="B2156" s="284"/>
      <c r="C2156" s="284"/>
      <c r="D2156" s="284"/>
      <c r="E2156" s="284"/>
      <c r="F2156" s="284"/>
      <c r="G2156" s="284"/>
      <c r="H2156" s="284"/>
      <c r="I2156" s="284"/>
      <c r="J2156" s="284"/>
      <c r="K2156" s="284"/>
      <c r="L2156" s="284"/>
      <c r="M2156" s="113"/>
      <c r="N2156" s="113"/>
      <c r="O2156" s="335"/>
      <c r="T2156" s="340"/>
      <c r="V2156" s="342"/>
      <c r="W2156" s="64" ph="1"/>
      <c r="X2156" s="241"/>
      <c r="Y2156" s="284"/>
      <c r="Z2156" s="207"/>
      <c r="AA2156" s="284"/>
      <c r="AB2156" s="284"/>
      <c r="AC2156" s="284"/>
      <c r="AD2156" s="284"/>
      <c r="AE2156" s="284"/>
      <c r="AF2156" s="284"/>
      <c r="AG2156" s="284"/>
    </row>
    <row r="2157" spans="1:33" ht="26.4">
      <c r="A2157" s="284"/>
      <c r="B2157" s="284"/>
      <c r="C2157" s="284"/>
      <c r="D2157" s="284"/>
      <c r="E2157" s="284"/>
      <c r="F2157" s="284"/>
      <c r="G2157" s="284"/>
      <c r="H2157" s="284"/>
      <c r="I2157" s="284"/>
      <c r="J2157" s="284"/>
      <c r="K2157" s="284"/>
      <c r="L2157" s="284"/>
      <c r="M2157" s="113"/>
      <c r="N2157" s="113"/>
      <c r="O2157" s="335"/>
      <c r="T2157" s="340"/>
      <c r="V2157" s="342"/>
      <c r="W2157" s="64" ph="1"/>
      <c r="X2157" s="241"/>
      <c r="Y2157" s="284"/>
      <c r="Z2157" s="207"/>
      <c r="AA2157" s="284"/>
      <c r="AB2157" s="284"/>
      <c r="AC2157" s="284"/>
      <c r="AD2157" s="284"/>
      <c r="AE2157" s="284"/>
      <c r="AF2157" s="284"/>
      <c r="AG2157" s="284"/>
    </row>
    <row r="2158" spans="1:33" ht="26.4">
      <c r="A2158" s="284"/>
      <c r="B2158" s="284"/>
      <c r="C2158" s="284"/>
      <c r="D2158" s="284"/>
      <c r="E2158" s="284"/>
      <c r="F2158" s="284"/>
      <c r="G2158" s="284"/>
      <c r="H2158" s="284"/>
      <c r="I2158" s="284"/>
      <c r="J2158" s="284"/>
      <c r="K2158" s="284"/>
      <c r="L2158" s="284"/>
      <c r="M2158" s="113"/>
      <c r="N2158" s="113"/>
      <c r="O2158" s="335"/>
      <c r="T2158" s="340"/>
      <c r="V2158" s="342"/>
      <c r="W2158" s="64" ph="1"/>
      <c r="X2158" s="241"/>
      <c r="Y2158" s="284"/>
      <c r="Z2158" s="207"/>
      <c r="AA2158" s="284"/>
      <c r="AB2158" s="284"/>
      <c r="AC2158" s="284"/>
      <c r="AD2158" s="284"/>
      <c r="AE2158" s="284"/>
      <c r="AF2158" s="284"/>
      <c r="AG2158" s="284"/>
    </row>
    <row r="2159" spans="1:33" ht="26.4">
      <c r="A2159" s="284"/>
      <c r="B2159" s="284"/>
      <c r="C2159" s="284"/>
      <c r="D2159" s="284"/>
      <c r="E2159" s="284"/>
      <c r="F2159" s="284"/>
      <c r="G2159" s="284"/>
      <c r="H2159" s="284"/>
      <c r="I2159" s="284"/>
      <c r="J2159" s="284"/>
      <c r="K2159" s="284"/>
      <c r="L2159" s="284"/>
      <c r="M2159" s="113"/>
      <c r="N2159" s="113"/>
      <c r="O2159" s="335"/>
      <c r="T2159" s="340"/>
      <c r="V2159" s="342"/>
      <c r="W2159" s="64" ph="1"/>
      <c r="X2159" s="241"/>
      <c r="Y2159" s="284"/>
      <c r="Z2159" s="207"/>
      <c r="AA2159" s="284"/>
      <c r="AB2159" s="284"/>
      <c r="AC2159" s="284"/>
      <c r="AD2159" s="284"/>
      <c r="AE2159" s="284"/>
      <c r="AF2159" s="284"/>
      <c r="AG2159" s="284"/>
    </row>
    <row r="2160" spans="1:33" ht="26.4">
      <c r="A2160" s="284"/>
      <c r="B2160" s="284"/>
      <c r="C2160" s="284"/>
      <c r="D2160" s="284"/>
      <c r="E2160" s="284"/>
      <c r="F2160" s="284"/>
      <c r="G2160" s="284"/>
      <c r="H2160" s="284"/>
      <c r="I2160" s="284"/>
      <c r="J2160" s="284"/>
      <c r="K2160" s="284"/>
      <c r="L2160" s="284"/>
      <c r="M2160" s="113"/>
      <c r="N2160" s="113"/>
      <c r="O2160" s="335"/>
      <c r="T2160" s="340"/>
      <c r="V2160" s="342"/>
      <c r="W2160" s="64" ph="1"/>
      <c r="X2160" s="241"/>
      <c r="Y2160" s="284"/>
      <c r="Z2160" s="207"/>
      <c r="AA2160" s="284"/>
      <c r="AB2160" s="284"/>
      <c r="AC2160" s="284"/>
      <c r="AD2160" s="284"/>
      <c r="AE2160" s="284"/>
      <c r="AF2160" s="284"/>
      <c r="AG2160" s="284"/>
    </row>
    <row r="2161" spans="1:33" ht="26.4">
      <c r="A2161" s="284"/>
      <c r="B2161" s="284"/>
      <c r="C2161" s="284"/>
      <c r="D2161" s="284"/>
      <c r="E2161" s="284"/>
      <c r="F2161" s="284"/>
      <c r="G2161" s="284"/>
      <c r="H2161" s="284"/>
      <c r="I2161" s="284"/>
      <c r="J2161" s="284"/>
      <c r="K2161" s="284"/>
      <c r="L2161" s="284"/>
      <c r="M2161" s="113"/>
      <c r="N2161" s="113"/>
      <c r="O2161" s="335"/>
      <c r="T2161" s="340"/>
      <c r="V2161" s="342"/>
      <c r="W2161" s="64" ph="1"/>
      <c r="X2161" s="241"/>
      <c r="Y2161" s="284"/>
      <c r="Z2161" s="207"/>
      <c r="AA2161" s="284"/>
      <c r="AB2161" s="284"/>
      <c r="AC2161" s="284"/>
      <c r="AD2161" s="284"/>
      <c r="AE2161" s="284"/>
      <c r="AF2161" s="284"/>
      <c r="AG2161" s="284"/>
    </row>
    <row r="2162" spans="1:33" ht="26.4">
      <c r="A2162" s="284"/>
      <c r="B2162" s="284"/>
      <c r="C2162" s="284"/>
      <c r="D2162" s="284"/>
      <c r="E2162" s="284"/>
      <c r="F2162" s="284"/>
      <c r="G2162" s="284"/>
      <c r="H2162" s="284"/>
      <c r="I2162" s="284"/>
      <c r="J2162" s="284"/>
      <c r="K2162" s="284"/>
      <c r="L2162" s="284"/>
      <c r="M2162" s="113"/>
      <c r="N2162" s="113"/>
      <c r="O2162" s="335"/>
      <c r="T2162" s="340"/>
      <c r="V2162" s="342"/>
      <c r="W2162" s="64" ph="1"/>
      <c r="X2162" s="241"/>
      <c r="Y2162" s="284"/>
      <c r="Z2162" s="207"/>
      <c r="AA2162" s="284"/>
      <c r="AB2162" s="284"/>
      <c r="AC2162" s="284"/>
      <c r="AD2162" s="284"/>
      <c r="AE2162" s="284"/>
      <c r="AF2162" s="284"/>
      <c r="AG2162" s="284"/>
    </row>
    <row r="2163" spans="1:33" ht="26.4">
      <c r="A2163" s="284"/>
      <c r="B2163" s="284"/>
      <c r="C2163" s="284"/>
      <c r="D2163" s="284"/>
      <c r="E2163" s="284"/>
      <c r="F2163" s="284"/>
      <c r="G2163" s="284"/>
      <c r="H2163" s="284"/>
      <c r="I2163" s="284"/>
      <c r="J2163" s="284"/>
      <c r="K2163" s="284"/>
      <c r="L2163" s="284"/>
      <c r="M2163" s="113"/>
      <c r="N2163" s="113"/>
      <c r="O2163" s="335"/>
      <c r="T2163" s="340"/>
      <c r="V2163" s="342"/>
      <c r="W2163" s="64" ph="1"/>
      <c r="X2163" s="241"/>
      <c r="Y2163" s="284"/>
      <c r="Z2163" s="207"/>
      <c r="AA2163" s="284"/>
      <c r="AB2163" s="284"/>
      <c r="AC2163" s="284"/>
      <c r="AD2163" s="284"/>
      <c r="AE2163" s="284"/>
      <c r="AF2163" s="284"/>
      <c r="AG2163" s="284"/>
    </row>
    <row r="2164" spans="1:33" ht="26.4">
      <c r="A2164" s="284"/>
      <c r="B2164" s="284"/>
      <c r="C2164" s="284"/>
      <c r="D2164" s="284"/>
      <c r="E2164" s="284"/>
      <c r="F2164" s="284"/>
      <c r="G2164" s="284"/>
      <c r="H2164" s="284"/>
      <c r="I2164" s="284"/>
      <c r="J2164" s="284"/>
      <c r="K2164" s="284"/>
      <c r="L2164" s="284"/>
      <c r="M2164" s="113"/>
      <c r="N2164" s="113"/>
      <c r="O2164" s="335"/>
      <c r="T2164" s="340"/>
      <c r="V2164" s="342"/>
      <c r="W2164" s="64" ph="1"/>
      <c r="X2164" s="241"/>
      <c r="Y2164" s="284"/>
      <c r="Z2164" s="207"/>
      <c r="AA2164" s="284"/>
      <c r="AB2164" s="284"/>
      <c r="AC2164" s="284"/>
      <c r="AD2164" s="284"/>
      <c r="AE2164" s="284"/>
      <c r="AF2164" s="284"/>
      <c r="AG2164" s="284"/>
    </row>
    <row r="2165" spans="1:33" ht="26.4">
      <c r="A2165" s="284"/>
      <c r="B2165" s="284"/>
      <c r="C2165" s="284"/>
      <c r="D2165" s="284"/>
      <c r="E2165" s="284"/>
      <c r="F2165" s="284"/>
      <c r="G2165" s="284"/>
      <c r="H2165" s="284"/>
      <c r="I2165" s="284"/>
      <c r="J2165" s="284"/>
      <c r="K2165" s="284"/>
      <c r="L2165" s="284"/>
      <c r="M2165" s="113"/>
      <c r="N2165" s="113"/>
      <c r="O2165" s="335"/>
      <c r="T2165" s="340"/>
      <c r="V2165" s="342"/>
      <c r="W2165" s="64" ph="1"/>
      <c r="X2165" s="241"/>
      <c r="Y2165" s="284"/>
      <c r="Z2165" s="207"/>
      <c r="AA2165" s="284"/>
      <c r="AB2165" s="284"/>
      <c r="AC2165" s="284"/>
      <c r="AD2165" s="284"/>
      <c r="AE2165" s="284"/>
      <c r="AF2165" s="284"/>
      <c r="AG2165" s="284"/>
    </row>
    <row r="2166" spans="1:33" ht="26.4">
      <c r="A2166" s="284"/>
      <c r="B2166" s="284"/>
      <c r="C2166" s="284"/>
      <c r="D2166" s="284"/>
      <c r="E2166" s="284"/>
      <c r="F2166" s="284"/>
      <c r="G2166" s="284"/>
      <c r="H2166" s="284"/>
      <c r="I2166" s="284"/>
      <c r="J2166" s="284"/>
      <c r="K2166" s="284"/>
      <c r="L2166" s="284"/>
      <c r="M2166" s="113"/>
      <c r="N2166" s="113"/>
      <c r="O2166" s="335"/>
      <c r="T2166" s="340"/>
      <c r="V2166" s="342"/>
      <c r="W2166" s="64" ph="1"/>
      <c r="X2166" s="241"/>
      <c r="Y2166" s="284"/>
      <c r="Z2166" s="207"/>
      <c r="AA2166" s="284"/>
      <c r="AB2166" s="284"/>
      <c r="AC2166" s="284"/>
      <c r="AD2166" s="284"/>
      <c r="AE2166" s="284"/>
      <c r="AF2166" s="284"/>
      <c r="AG2166" s="284"/>
    </row>
    <row r="2167" spans="1:33" ht="26.4">
      <c r="A2167" s="284"/>
      <c r="B2167" s="284"/>
      <c r="C2167" s="284"/>
      <c r="D2167" s="284"/>
      <c r="E2167" s="284"/>
      <c r="F2167" s="284"/>
      <c r="G2167" s="284"/>
      <c r="H2167" s="284"/>
      <c r="I2167" s="284"/>
      <c r="J2167" s="284"/>
      <c r="K2167" s="284"/>
      <c r="L2167" s="284"/>
      <c r="M2167" s="113"/>
      <c r="N2167" s="113"/>
      <c r="O2167" s="335"/>
      <c r="T2167" s="340"/>
      <c r="V2167" s="342"/>
      <c r="W2167" s="64" ph="1"/>
      <c r="X2167" s="241"/>
      <c r="Y2167" s="284"/>
      <c r="Z2167" s="207"/>
      <c r="AA2167" s="284"/>
      <c r="AB2167" s="284"/>
      <c r="AC2167" s="284"/>
      <c r="AD2167" s="284"/>
      <c r="AE2167" s="284"/>
      <c r="AF2167" s="284"/>
      <c r="AG2167" s="284"/>
    </row>
    <row r="2168" spans="1:33" ht="26.4">
      <c r="A2168" s="284"/>
      <c r="B2168" s="284"/>
      <c r="C2168" s="284"/>
      <c r="D2168" s="284"/>
      <c r="E2168" s="284"/>
      <c r="F2168" s="284"/>
      <c r="G2168" s="284"/>
      <c r="H2168" s="284"/>
      <c r="I2168" s="284"/>
      <c r="J2168" s="284"/>
      <c r="K2168" s="284"/>
      <c r="L2168" s="284"/>
      <c r="M2168" s="113"/>
      <c r="N2168" s="113"/>
      <c r="O2168" s="335"/>
      <c r="T2168" s="340"/>
      <c r="V2168" s="342"/>
      <c r="W2168" s="64" ph="1"/>
      <c r="X2168" s="241"/>
      <c r="Y2168" s="284"/>
      <c r="Z2168" s="207"/>
      <c r="AA2168" s="284"/>
      <c r="AB2168" s="284"/>
      <c r="AC2168" s="284"/>
      <c r="AD2168" s="284"/>
      <c r="AE2168" s="284"/>
      <c r="AF2168" s="284"/>
      <c r="AG2168" s="284"/>
    </row>
    <row r="2169" spans="1:33" ht="26.4">
      <c r="A2169" s="284"/>
      <c r="B2169" s="284"/>
      <c r="C2169" s="284"/>
      <c r="D2169" s="284"/>
      <c r="E2169" s="284"/>
      <c r="F2169" s="284"/>
      <c r="G2169" s="284"/>
      <c r="H2169" s="284"/>
      <c r="I2169" s="284"/>
      <c r="J2169" s="284"/>
      <c r="K2169" s="284"/>
      <c r="L2169" s="284"/>
      <c r="M2169" s="113"/>
      <c r="N2169" s="113"/>
      <c r="O2169" s="335"/>
      <c r="T2169" s="340"/>
      <c r="V2169" s="342"/>
      <c r="W2169" s="64" ph="1"/>
      <c r="X2169" s="241"/>
      <c r="Y2169" s="284"/>
      <c r="Z2169" s="207"/>
      <c r="AA2169" s="284"/>
      <c r="AB2169" s="284"/>
      <c r="AC2169" s="284"/>
      <c r="AD2169" s="284"/>
      <c r="AE2169" s="284"/>
      <c r="AF2169" s="284"/>
      <c r="AG2169" s="284"/>
    </row>
    <row r="2170" spans="1:33" ht="26.4">
      <c r="A2170" s="284"/>
      <c r="B2170" s="284"/>
      <c r="C2170" s="284"/>
      <c r="D2170" s="284"/>
      <c r="E2170" s="284"/>
      <c r="F2170" s="284"/>
      <c r="G2170" s="284"/>
      <c r="H2170" s="284"/>
      <c r="I2170" s="284"/>
      <c r="J2170" s="284"/>
      <c r="K2170" s="284"/>
      <c r="L2170" s="284"/>
      <c r="M2170" s="113"/>
      <c r="N2170" s="113"/>
      <c r="O2170" s="335"/>
      <c r="T2170" s="340"/>
      <c r="V2170" s="342"/>
      <c r="W2170" s="64" ph="1"/>
      <c r="X2170" s="241"/>
      <c r="Y2170" s="284"/>
      <c r="Z2170" s="207"/>
      <c r="AA2170" s="284"/>
      <c r="AB2170" s="284"/>
      <c r="AC2170" s="284"/>
      <c r="AD2170" s="284"/>
      <c r="AE2170" s="284"/>
      <c r="AF2170" s="284"/>
      <c r="AG2170" s="284"/>
    </row>
    <row r="2171" spans="1:33" ht="26.4">
      <c r="A2171" s="284"/>
      <c r="B2171" s="284"/>
      <c r="C2171" s="284"/>
      <c r="D2171" s="284"/>
      <c r="E2171" s="284"/>
      <c r="F2171" s="284"/>
      <c r="G2171" s="284"/>
      <c r="H2171" s="284"/>
      <c r="I2171" s="284"/>
      <c r="J2171" s="284"/>
      <c r="K2171" s="284"/>
      <c r="L2171" s="284"/>
      <c r="M2171" s="113"/>
      <c r="N2171" s="113"/>
      <c r="O2171" s="335"/>
      <c r="T2171" s="340"/>
      <c r="V2171" s="342"/>
      <c r="W2171" s="64" ph="1"/>
      <c r="X2171" s="241"/>
      <c r="Y2171" s="284"/>
      <c r="Z2171" s="207"/>
      <c r="AA2171" s="284"/>
      <c r="AB2171" s="284"/>
      <c r="AC2171" s="284"/>
      <c r="AD2171" s="284"/>
      <c r="AE2171" s="284"/>
      <c r="AF2171" s="284"/>
      <c r="AG2171" s="284"/>
    </row>
    <row r="2172" spans="1:33" ht="26.4">
      <c r="A2172" s="284"/>
      <c r="B2172" s="284"/>
      <c r="C2172" s="284"/>
      <c r="D2172" s="284"/>
      <c r="E2172" s="284"/>
      <c r="F2172" s="284"/>
      <c r="G2172" s="284"/>
      <c r="H2172" s="284"/>
      <c r="I2172" s="284"/>
      <c r="J2172" s="284"/>
      <c r="K2172" s="284"/>
      <c r="L2172" s="284"/>
      <c r="M2172" s="113"/>
      <c r="N2172" s="113"/>
      <c r="O2172" s="335"/>
      <c r="T2172" s="340"/>
      <c r="V2172" s="342"/>
      <c r="W2172" s="64" ph="1"/>
      <c r="X2172" s="241"/>
      <c r="Y2172" s="284"/>
      <c r="Z2172" s="207"/>
      <c r="AA2172" s="284"/>
      <c r="AB2172" s="284"/>
      <c r="AC2172" s="284"/>
      <c r="AD2172" s="284"/>
      <c r="AE2172" s="284"/>
      <c r="AF2172" s="284"/>
      <c r="AG2172" s="284"/>
    </row>
    <row r="2173" spans="1:33" ht="26.4">
      <c r="A2173" s="284"/>
      <c r="B2173" s="284"/>
      <c r="C2173" s="284"/>
      <c r="D2173" s="284"/>
      <c r="E2173" s="284"/>
      <c r="F2173" s="284"/>
      <c r="G2173" s="284"/>
      <c r="H2173" s="284"/>
      <c r="I2173" s="284"/>
      <c r="J2173" s="284"/>
      <c r="K2173" s="284"/>
      <c r="L2173" s="284"/>
      <c r="M2173" s="113"/>
      <c r="N2173" s="113"/>
      <c r="O2173" s="335"/>
      <c r="T2173" s="340"/>
      <c r="V2173" s="342"/>
      <c r="W2173" s="64" ph="1"/>
      <c r="X2173" s="241"/>
      <c r="Y2173" s="284"/>
      <c r="Z2173" s="207"/>
      <c r="AA2173" s="284"/>
      <c r="AB2173" s="284"/>
      <c r="AC2173" s="284"/>
      <c r="AD2173" s="284"/>
      <c r="AE2173" s="284"/>
      <c r="AF2173" s="284"/>
      <c r="AG2173" s="284"/>
    </row>
    <row r="2174" spans="1:33" ht="26.4">
      <c r="A2174" s="284"/>
      <c r="B2174" s="284"/>
      <c r="C2174" s="284"/>
      <c r="D2174" s="284"/>
      <c r="E2174" s="284"/>
      <c r="F2174" s="284"/>
      <c r="G2174" s="284"/>
      <c r="H2174" s="284"/>
      <c r="I2174" s="284"/>
      <c r="J2174" s="284"/>
      <c r="K2174" s="284"/>
      <c r="L2174" s="284"/>
      <c r="M2174" s="113"/>
      <c r="N2174" s="113"/>
      <c r="O2174" s="335"/>
      <c r="T2174" s="340"/>
      <c r="V2174" s="342"/>
      <c r="W2174" s="64" ph="1"/>
      <c r="X2174" s="241"/>
      <c r="Y2174" s="284"/>
      <c r="Z2174" s="207"/>
      <c r="AA2174" s="284"/>
      <c r="AB2174" s="284"/>
      <c r="AC2174" s="284"/>
      <c r="AD2174" s="284"/>
      <c r="AE2174" s="284"/>
      <c r="AF2174" s="284"/>
      <c r="AG2174" s="284"/>
    </row>
    <row r="2175" spans="1:33" ht="26.4">
      <c r="A2175" s="284"/>
      <c r="B2175" s="284"/>
      <c r="C2175" s="284"/>
      <c r="D2175" s="284"/>
      <c r="E2175" s="284"/>
      <c r="F2175" s="284"/>
      <c r="G2175" s="284"/>
      <c r="H2175" s="284"/>
      <c r="I2175" s="284"/>
      <c r="J2175" s="284"/>
      <c r="K2175" s="284"/>
      <c r="L2175" s="284"/>
      <c r="M2175" s="113"/>
      <c r="N2175" s="113"/>
      <c r="O2175" s="335"/>
      <c r="T2175" s="340"/>
      <c r="V2175" s="342"/>
      <c r="W2175" s="64" ph="1"/>
      <c r="X2175" s="241"/>
      <c r="Y2175" s="284"/>
      <c r="Z2175" s="207"/>
      <c r="AA2175" s="284"/>
      <c r="AB2175" s="284"/>
      <c r="AC2175" s="284"/>
      <c r="AD2175" s="284"/>
      <c r="AE2175" s="284"/>
      <c r="AF2175" s="284"/>
      <c r="AG2175" s="284"/>
    </row>
    <row r="2176" spans="1:33" ht="26.4">
      <c r="A2176" s="284"/>
      <c r="B2176" s="284"/>
      <c r="C2176" s="284"/>
      <c r="D2176" s="284"/>
      <c r="E2176" s="284"/>
      <c r="F2176" s="284"/>
      <c r="G2176" s="284"/>
      <c r="H2176" s="284"/>
      <c r="I2176" s="284"/>
      <c r="J2176" s="284"/>
      <c r="K2176" s="284"/>
      <c r="L2176" s="284"/>
      <c r="M2176" s="113"/>
      <c r="N2176" s="113"/>
      <c r="O2176" s="335"/>
      <c r="T2176" s="340"/>
      <c r="V2176" s="342"/>
      <c r="W2176" s="64" ph="1"/>
      <c r="X2176" s="241"/>
      <c r="Y2176" s="284"/>
      <c r="Z2176" s="207"/>
      <c r="AA2176" s="284"/>
      <c r="AB2176" s="284"/>
      <c r="AC2176" s="284"/>
      <c r="AD2176" s="284"/>
      <c r="AE2176" s="284"/>
      <c r="AF2176" s="284"/>
      <c r="AG2176" s="284"/>
    </row>
    <row r="2177" spans="1:33" ht="26.4">
      <c r="A2177" s="284"/>
      <c r="B2177" s="284"/>
      <c r="C2177" s="284"/>
      <c r="D2177" s="284"/>
      <c r="E2177" s="284"/>
      <c r="F2177" s="284"/>
      <c r="G2177" s="284"/>
      <c r="H2177" s="284"/>
      <c r="I2177" s="284"/>
      <c r="J2177" s="284"/>
      <c r="K2177" s="284"/>
      <c r="L2177" s="284"/>
      <c r="M2177" s="113"/>
      <c r="N2177" s="113"/>
      <c r="O2177" s="335"/>
      <c r="T2177" s="340"/>
      <c r="V2177" s="342"/>
      <c r="W2177" s="64" ph="1"/>
      <c r="X2177" s="241"/>
      <c r="Y2177" s="284"/>
      <c r="Z2177" s="207"/>
      <c r="AA2177" s="284"/>
      <c r="AB2177" s="284"/>
      <c r="AC2177" s="284"/>
      <c r="AD2177" s="284"/>
      <c r="AE2177" s="284"/>
      <c r="AF2177" s="284"/>
      <c r="AG2177" s="284"/>
    </row>
    <row r="2178" spans="1:33" ht="26.4">
      <c r="A2178" s="284"/>
      <c r="B2178" s="284"/>
      <c r="C2178" s="284"/>
      <c r="D2178" s="284"/>
      <c r="E2178" s="284"/>
      <c r="F2178" s="284"/>
      <c r="G2178" s="284"/>
      <c r="H2178" s="284"/>
      <c r="I2178" s="284"/>
      <c r="J2178" s="284"/>
      <c r="K2178" s="284"/>
      <c r="L2178" s="284"/>
      <c r="M2178" s="113"/>
      <c r="N2178" s="113"/>
      <c r="O2178" s="335"/>
      <c r="T2178" s="340"/>
      <c r="V2178" s="342"/>
      <c r="W2178" s="64" ph="1"/>
      <c r="X2178" s="241"/>
      <c r="Y2178" s="284"/>
      <c r="Z2178" s="207"/>
      <c r="AA2178" s="284"/>
      <c r="AB2178" s="284"/>
      <c r="AC2178" s="284"/>
      <c r="AD2178" s="284"/>
      <c r="AE2178" s="284"/>
      <c r="AF2178" s="284"/>
      <c r="AG2178" s="284"/>
    </row>
    <row r="2179" spans="1:33" ht="26.4">
      <c r="A2179" s="284"/>
      <c r="B2179" s="284"/>
      <c r="C2179" s="284"/>
      <c r="D2179" s="284"/>
      <c r="E2179" s="284"/>
      <c r="F2179" s="284"/>
      <c r="G2179" s="284"/>
      <c r="H2179" s="284"/>
      <c r="I2179" s="284"/>
      <c r="J2179" s="284"/>
      <c r="K2179" s="284"/>
      <c r="L2179" s="284"/>
      <c r="M2179" s="113"/>
      <c r="N2179" s="113"/>
      <c r="O2179" s="335"/>
      <c r="T2179" s="340"/>
      <c r="V2179" s="342"/>
      <c r="W2179" s="64" ph="1"/>
      <c r="X2179" s="241"/>
      <c r="Y2179" s="284"/>
      <c r="Z2179" s="207"/>
      <c r="AA2179" s="284"/>
      <c r="AB2179" s="284"/>
      <c r="AC2179" s="284"/>
      <c r="AD2179" s="284"/>
      <c r="AE2179" s="284"/>
      <c r="AF2179" s="284"/>
      <c r="AG2179" s="284"/>
    </row>
    <row r="2180" spans="1:33" ht="26.4">
      <c r="A2180" s="284"/>
      <c r="B2180" s="284"/>
      <c r="C2180" s="284"/>
      <c r="D2180" s="284"/>
      <c r="E2180" s="284"/>
      <c r="F2180" s="284"/>
      <c r="G2180" s="284"/>
      <c r="H2180" s="284"/>
      <c r="I2180" s="284"/>
      <c r="J2180" s="284"/>
      <c r="K2180" s="284"/>
      <c r="L2180" s="284"/>
      <c r="M2180" s="113"/>
      <c r="N2180" s="113"/>
      <c r="O2180" s="335"/>
      <c r="T2180" s="340"/>
      <c r="V2180" s="342"/>
      <c r="W2180" s="64" ph="1"/>
      <c r="X2180" s="241"/>
      <c r="Y2180" s="284"/>
      <c r="Z2180" s="207"/>
      <c r="AA2180" s="284"/>
      <c r="AB2180" s="284"/>
      <c r="AC2180" s="284"/>
      <c r="AD2180" s="284"/>
      <c r="AE2180" s="284"/>
      <c r="AF2180" s="284"/>
      <c r="AG2180" s="284"/>
    </row>
    <row r="2181" spans="1:33" ht="26.4">
      <c r="A2181" s="284"/>
      <c r="B2181" s="284"/>
      <c r="C2181" s="284"/>
      <c r="D2181" s="284"/>
      <c r="E2181" s="284"/>
      <c r="F2181" s="284"/>
      <c r="G2181" s="284"/>
      <c r="H2181" s="284"/>
      <c r="I2181" s="284"/>
      <c r="J2181" s="284"/>
      <c r="K2181" s="284"/>
      <c r="L2181" s="284"/>
      <c r="M2181" s="113"/>
      <c r="N2181" s="113"/>
      <c r="O2181" s="335"/>
      <c r="T2181" s="340"/>
      <c r="V2181" s="342"/>
      <c r="W2181" s="64" ph="1"/>
      <c r="X2181" s="241"/>
      <c r="Y2181" s="284"/>
      <c r="Z2181" s="207"/>
      <c r="AA2181" s="284"/>
      <c r="AB2181" s="284"/>
      <c r="AC2181" s="284"/>
      <c r="AD2181" s="284"/>
      <c r="AE2181" s="284"/>
      <c r="AF2181" s="284"/>
      <c r="AG2181" s="284"/>
    </row>
    <row r="2182" spans="1:33" ht="26.4">
      <c r="A2182" s="284"/>
      <c r="B2182" s="284"/>
      <c r="C2182" s="284"/>
      <c r="D2182" s="284"/>
      <c r="E2182" s="284"/>
      <c r="F2182" s="284"/>
      <c r="G2182" s="284"/>
      <c r="H2182" s="284"/>
      <c r="I2182" s="284"/>
      <c r="J2182" s="284"/>
      <c r="K2182" s="284"/>
      <c r="L2182" s="284"/>
      <c r="M2182" s="113"/>
      <c r="N2182" s="113"/>
      <c r="O2182" s="335"/>
      <c r="T2182" s="340"/>
      <c r="V2182" s="342"/>
      <c r="W2182" s="64" ph="1"/>
      <c r="X2182" s="241"/>
      <c r="Y2182" s="284"/>
      <c r="Z2182" s="207"/>
      <c r="AA2182" s="284"/>
      <c r="AB2182" s="284"/>
      <c r="AC2182" s="284"/>
      <c r="AD2182" s="284"/>
      <c r="AE2182" s="284"/>
      <c r="AF2182" s="284"/>
      <c r="AG2182" s="284"/>
    </row>
    <row r="2183" spans="1:33" ht="26.4">
      <c r="A2183" s="284"/>
      <c r="B2183" s="284"/>
      <c r="C2183" s="284"/>
      <c r="D2183" s="284"/>
      <c r="E2183" s="284"/>
      <c r="F2183" s="284"/>
      <c r="G2183" s="284"/>
      <c r="H2183" s="284"/>
      <c r="I2183" s="284"/>
      <c r="J2183" s="284"/>
      <c r="K2183" s="284"/>
      <c r="L2183" s="284"/>
      <c r="M2183" s="113"/>
      <c r="N2183" s="113"/>
      <c r="O2183" s="335"/>
      <c r="T2183" s="340"/>
      <c r="V2183" s="342"/>
      <c r="W2183" s="64" ph="1"/>
      <c r="X2183" s="241"/>
      <c r="Y2183" s="284"/>
      <c r="Z2183" s="207"/>
      <c r="AA2183" s="284"/>
      <c r="AB2183" s="284"/>
      <c r="AC2183" s="284"/>
      <c r="AD2183" s="284"/>
      <c r="AE2183" s="284"/>
      <c r="AF2183" s="284"/>
      <c r="AG2183" s="284"/>
    </row>
    <row r="2184" spans="1:33" ht="26.4">
      <c r="A2184" s="284"/>
      <c r="B2184" s="284"/>
      <c r="C2184" s="284"/>
      <c r="D2184" s="284"/>
      <c r="E2184" s="284"/>
      <c r="F2184" s="284"/>
      <c r="G2184" s="284"/>
      <c r="H2184" s="284"/>
      <c r="I2184" s="284"/>
      <c r="J2184" s="284"/>
      <c r="K2184" s="284"/>
      <c r="L2184" s="284"/>
      <c r="M2184" s="113"/>
      <c r="N2184" s="113"/>
      <c r="O2184" s="335"/>
      <c r="T2184" s="340"/>
      <c r="V2184" s="342"/>
      <c r="W2184" s="64" ph="1"/>
      <c r="X2184" s="241"/>
      <c r="Y2184" s="284"/>
      <c r="Z2184" s="207"/>
      <c r="AA2184" s="284"/>
      <c r="AB2184" s="284"/>
      <c r="AC2184" s="284"/>
      <c r="AD2184" s="284"/>
      <c r="AE2184" s="284"/>
      <c r="AF2184" s="284"/>
      <c r="AG2184" s="284"/>
    </row>
    <row r="2185" spans="1:33" ht="26.4">
      <c r="A2185" s="284"/>
      <c r="B2185" s="284"/>
      <c r="C2185" s="284"/>
      <c r="D2185" s="284"/>
      <c r="E2185" s="284"/>
      <c r="F2185" s="284"/>
      <c r="G2185" s="284"/>
      <c r="H2185" s="284"/>
      <c r="I2185" s="284"/>
      <c r="J2185" s="284"/>
      <c r="K2185" s="284"/>
      <c r="L2185" s="284"/>
      <c r="M2185" s="113"/>
      <c r="N2185" s="113"/>
      <c r="O2185" s="335"/>
      <c r="T2185" s="340"/>
      <c r="V2185" s="342"/>
      <c r="W2185" s="64" ph="1"/>
      <c r="X2185" s="241"/>
      <c r="Y2185" s="284"/>
      <c r="Z2185" s="207"/>
      <c r="AA2185" s="284"/>
      <c r="AB2185" s="284"/>
      <c r="AC2185" s="284"/>
      <c r="AD2185" s="284"/>
      <c r="AE2185" s="284"/>
      <c r="AF2185" s="284"/>
      <c r="AG2185" s="284"/>
    </row>
    <row r="2186" spans="1:33" ht="26.4">
      <c r="A2186" s="284"/>
      <c r="B2186" s="284"/>
      <c r="C2186" s="284"/>
      <c r="D2186" s="284"/>
      <c r="E2186" s="284"/>
      <c r="F2186" s="284"/>
      <c r="G2186" s="284"/>
      <c r="H2186" s="284"/>
      <c r="I2186" s="284"/>
      <c r="J2186" s="284"/>
      <c r="K2186" s="284"/>
      <c r="L2186" s="284"/>
      <c r="M2186" s="113"/>
      <c r="N2186" s="113"/>
      <c r="O2186" s="335"/>
      <c r="T2186" s="340"/>
      <c r="V2186" s="342"/>
      <c r="W2186" s="64" ph="1"/>
      <c r="X2186" s="241"/>
      <c r="Y2186" s="284"/>
      <c r="Z2186" s="207"/>
      <c r="AA2186" s="284"/>
      <c r="AB2186" s="284"/>
      <c r="AC2186" s="284"/>
      <c r="AD2186" s="284"/>
      <c r="AE2186" s="284"/>
      <c r="AF2186" s="284"/>
      <c r="AG2186" s="284"/>
    </row>
    <row r="2187" spans="1:33" ht="26.4">
      <c r="A2187" s="284"/>
      <c r="B2187" s="284"/>
      <c r="C2187" s="284"/>
      <c r="D2187" s="284"/>
      <c r="E2187" s="284"/>
      <c r="F2187" s="284"/>
      <c r="G2187" s="284"/>
      <c r="H2187" s="284"/>
      <c r="I2187" s="284"/>
      <c r="J2187" s="284"/>
      <c r="K2187" s="284"/>
      <c r="L2187" s="284"/>
      <c r="M2187" s="113"/>
      <c r="N2187" s="113"/>
      <c r="O2187" s="335"/>
      <c r="T2187" s="340"/>
      <c r="V2187" s="342"/>
      <c r="W2187" s="64" ph="1"/>
      <c r="X2187" s="241"/>
      <c r="Y2187" s="284"/>
      <c r="Z2187" s="207"/>
      <c r="AA2187" s="284"/>
      <c r="AB2187" s="284"/>
      <c r="AC2187" s="284"/>
      <c r="AD2187" s="284"/>
      <c r="AE2187" s="284"/>
      <c r="AF2187" s="284"/>
      <c r="AG2187" s="284"/>
    </row>
    <row r="2188" spans="1:33" ht="26.4">
      <c r="A2188" s="284"/>
      <c r="B2188" s="284"/>
      <c r="C2188" s="284"/>
      <c r="D2188" s="284"/>
      <c r="E2188" s="284"/>
      <c r="F2188" s="284"/>
      <c r="G2188" s="284"/>
      <c r="H2188" s="284"/>
      <c r="I2188" s="284"/>
      <c r="J2188" s="284"/>
      <c r="K2188" s="284"/>
      <c r="L2188" s="284"/>
      <c r="M2188" s="113"/>
      <c r="N2188" s="113"/>
      <c r="O2188" s="335"/>
      <c r="T2188" s="340"/>
      <c r="V2188" s="342"/>
      <c r="W2188" s="64" ph="1"/>
      <c r="X2188" s="241"/>
      <c r="Y2188" s="284"/>
      <c r="Z2188" s="207"/>
      <c r="AA2188" s="284"/>
      <c r="AB2188" s="284"/>
      <c r="AC2188" s="284"/>
      <c r="AD2188" s="284"/>
      <c r="AE2188" s="284"/>
      <c r="AF2188" s="284"/>
      <c r="AG2188" s="284"/>
    </row>
    <row r="2189" spans="1:33" ht="26.4">
      <c r="A2189" s="284"/>
      <c r="B2189" s="284"/>
      <c r="C2189" s="284"/>
      <c r="D2189" s="284"/>
      <c r="E2189" s="284"/>
      <c r="F2189" s="284"/>
      <c r="G2189" s="284"/>
      <c r="H2189" s="284"/>
      <c r="I2189" s="284"/>
      <c r="J2189" s="284"/>
      <c r="K2189" s="284"/>
      <c r="L2189" s="284"/>
      <c r="M2189" s="113"/>
      <c r="N2189" s="113"/>
      <c r="O2189" s="335"/>
      <c r="T2189" s="340"/>
      <c r="V2189" s="342"/>
      <c r="W2189" s="64" ph="1"/>
      <c r="X2189" s="241"/>
      <c r="Y2189" s="284"/>
      <c r="Z2189" s="207"/>
      <c r="AA2189" s="284"/>
      <c r="AB2189" s="284"/>
      <c r="AC2189" s="284"/>
      <c r="AD2189" s="284"/>
      <c r="AE2189" s="284"/>
      <c r="AF2189" s="284"/>
      <c r="AG2189" s="284"/>
    </row>
    <row r="2190" spans="1:33" ht="26.4">
      <c r="A2190" s="284"/>
      <c r="B2190" s="284"/>
      <c r="C2190" s="284"/>
      <c r="D2190" s="284"/>
      <c r="E2190" s="284"/>
      <c r="F2190" s="284"/>
      <c r="G2190" s="284"/>
      <c r="H2190" s="284"/>
      <c r="I2190" s="284"/>
      <c r="J2190" s="284"/>
      <c r="K2190" s="284"/>
      <c r="L2190" s="284"/>
      <c r="M2190" s="113"/>
      <c r="N2190" s="113"/>
      <c r="O2190" s="335"/>
      <c r="T2190" s="340"/>
      <c r="V2190" s="342"/>
      <c r="W2190" s="64" ph="1"/>
      <c r="X2190" s="241"/>
      <c r="Y2190" s="284"/>
      <c r="Z2190" s="207"/>
      <c r="AA2190" s="284"/>
      <c r="AB2190" s="284"/>
      <c r="AC2190" s="284"/>
      <c r="AD2190" s="284"/>
      <c r="AE2190" s="284"/>
      <c r="AF2190" s="284"/>
      <c r="AG2190" s="284"/>
    </row>
    <row r="2191" spans="1:33" ht="26.4">
      <c r="A2191" s="284"/>
      <c r="B2191" s="284"/>
      <c r="C2191" s="284"/>
      <c r="D2191" s="284"/>
      <c r="E2191" s="284"/>
      <c r="F2191" s="284"/>
      <c r="G2191" s="284"/>
      <c r="H2191" s="284"/>
      <c r="I2191" s="284"/>
      <c r="J2191" s="284"/>
      <c r="K2191" s="284"/>
      <c r="L2191" s="284"/>
      <c r="M2191" s="113"/>
      <c r="N2191" s="113"/>
      <c r="O2191" s="335"/>
      <c r="T2191" s="340"/>
      <c r="V2191" s="342"/>
      <c r="W2191" s="64" ph="1"/>
      <c r="X2191" s="241"/>
      <c r="Y2191" s="284"/>
      <c r="Z2191" s="207"/>
      <c r="AA2191" s="284"/>
      <c r="AB2191" s="284"/>
      <c r="AC2191" s="284"/>
      <c r="AD2191" s="284"/>
      <c r="AE2191" s="284"/>
      <c r="AF2191" s="284"/>
      <c r="AG2191" s="284"/>
    </row>
    <row r="2192" spans="1:33" ht="26.4">
      <c r="A2192" s="284"/>
      <c r="B2192" s="284"/>
      <c r="C2192" s="284"/>
      <c r="D2192" s="284"/>
      <c r="E2192" s="284"/>
      <c r="F2192" s="284"/>
      <c r="G2192" s="284"/>
      <c r="H2192" s="284"/>
      <c r="I2192" s="284"/>
      <c r="J2192" s="284"/>
      <c r="K2192" s="284"/>
      <c r="L2192" s="284"/>
      <c r="M2192" s="113"/>
      <c r="N2192" s="113"/>
      <c r="O2192" s="335"/>
      <c r="T2192" s="340"/>
      <c r="V2192" s="342"/>
      <c r="W2192" s="64" ph="1"/>
      <c r="X2192" s="241"/>
      <c r="Y2192" s="284"/>
      <c r="Z2192" s="207"/>
      <c r="AA2192" s="284"/>
      <c r="AB2192" s="284"/>
      <c r="AC2192" s="284"/>
      <c r="AD2192" s="284"/>
      <c r="AE2192" s="284"/>
      <c r="AF2192" s="284"/>
      <c r="AG2192" s="284"/>
    </row>
    <row r="2193" spans="1:33" ht="26.4">
      <c r="A2193" s="284"/>
      <c r="B2193" s="284"/>
      <c r="C2193" s="284"/>
      <c r="D2193" s="284"/>
      <c r="E2193" s="284"/>
      <c r="F2193" s="284"/>
      <c r="G2193" s="284"/>
      <c r="H2193" s="284"/>
      <c r="I2193" s="284"/>
      <c r="J2193" s="284"/>
      <c r="K2193" s="284"/>
      <c r="L2193" s="284"/>
      <c r="M2193" s="113"/>
      <c r="N2193" s="113"/>
      <c r="O2193" s="335"/>
      <c r="T2193" s="340"/>
      <c r="V2193" s="342"/>
      <c r="W2193" s="64" ph="1"/>
      <c r="X2193" s="241"/>
      <c r="Y2193" s="284"/>
      <c r="Z2193" s="207"/>
      <c r="AA2193" s="284"/>
      <c r="AB2193" s="284"/>
      <c r="AC2193" s="284"/>
      <c r="AD2193" s="284"/>
      <c r="AE2193" s="284"/>
      <c r="AF2193" s="284"/>
      <c r="AG2193" s="284"/>
    </row>
    <row r="2194" spans="1:33" ht="26.4">
      <c r="A2194" s="284"/>
      <c r="B2194" s="284"/>
      <c r="C2194" s="284"/>
      <c r="D2194" s="284"/>
      <c r="E2194" s="284"/>
      <c r="F2194" s="284"/>
      <c r="G2194" s="284"/>
      <c r="H2194" s="284"/>
      <c r="I2194" s="284"/>
      <c r="J2194" s="284"/>
      <c r="K2194" s="284"/>
      <c r="L2194" s="284"/>
      <c r="M2194" s="113"/>
      <c r="N2194" s="113"/>
      <c r="O2194" s="335"/>
      <c r="T2194" s="340"/>
      <c r="V2194" s="342"/>
      <c r="W2194" s="64" ph="1"/>
      <c r="X2194" s="241"/>
      <c r="Y2194" s="284"/>
      <c r="Z2194" s="207"/>
      <c r="AA2194" s="284"/>
      <c r="AB2194" s="284"/>
      <c r="AC2194" s="284"/>
      <c r="AD2194" s="284"/>
      <c r="AE2194" s="284"/>
      <c r="AF2194" s="284"/>
      <c r="AG2194" s="284"/>
    </row>
    <row r="2195" spans="1:33" ht="26.4">
      <c r="A2195" s="284"/>
      <c r="B2195" s="284"/>
      <c r="C2195" s="284"/>
      <c r="D2195" s="284"/>
      <c r="E2195" s="284"/>
      <c r="F2195" s="284"/>
      <c r="G2195" s="284"/>
      <c r="H2195" s="284"/>
      <c r="I2195" s="284"/>
      <c r="J2195" s="284"/>
      <c r="K2195" s="284"/>
      <c r="L2195" s="284"/>
      <c r="M2195" s="113"/>
      <c r="N2195" s="113"/>
      <c r="O2195" s="335"/>
      <c r="T2195" s="340"/>
      <c r="V2195" s="342"/>
      <c r="W2195" s="64" ph="1"/>
      <c r="X2195" s="241"/>
      <c r="Y2195" s="284"/>
      <c r="Z2195" s="207"/>
      <c r="AA2195" s="284"/>
      <c r="AB2195" s="284"/>
      <c r="AC2195" s="284"/>
      <c r="AD2195" s="284"/>
      <c r="AE2195" s="284"/>
      <c r="AF2195" s="284"/>
      <c r="AG2195" s="284"/>
    </row>
    <row r="2196" spans="1:33" ht="26.4">
      <c r="A2196" s="284"/>
      <c r="B2196" s="284"/>
      <c r="C2196" s="284"/>
      <c r="D2196" s="284"/>
      <c r="E2196" s="284"/>
      <c r="F2196" s="284"/>
      <c r="G2196" s="284"/>
      <c r="H2196" s="284"/>
      <c r="I2196" s="284"/>
      <c r="J2196" s="284"/>
      <c r="K2196" s="284"/>
      <c r="L2196" s="284"/>
      <c r="M2196" s="113"/>
      <c r="N2196" s="113"/>
      <c r="O2196" s="335"/>
      <c r="T2196" s="340"/>
      <c r="V2196" s="342"/>
      <c r="W2196" s="64" ph="1"/>
      <c r="X2196" s="241"/>
      <c r="Y2196" s="284"/>
      <c r="Z2196" s="207"/>
      <c r="AA2196" s="284"/>
      <c r="AB2196" s="284"/>
      <c r="AC2196" s="284"/>
      <c r="AD2196" s="284"/>
      <c r="AE2196" s="284"/>
      <c r="AF2196" s="284"/>
      <c r="AG2196" s="284"/>
    </row>
    <row r="2197" spans="1:33" ht="26.4">
      <c r="A2197" s="284"/>
      <c r="B2197" s="284"/>
      <c r="C2197" s="284"/>
      <c r="D2197" s="284"/>
      <c r="E2197" s="284"/>
      <c r="F2197" s="284"/>
      <c r="G2197" s="284"/>
      <c r="H2197" s="284"/>
      <c r="I2197" s="284"/>
      <c r="J2197" s="284"/>
      <c r="K2197" s="284"/>
      <c r="L2197" s="284"/>
      <c r="M2197" s="113"/>
      <c r="N2197" s="113"/>
      <c r="O2197" s="335"/>
      <c r="T2197" s="340"/>
      <c r="V2197" s="342"/>
      <c r="W2197" s="64" ph="1"/>
      <c r="X2197" s="241"/>
      <c r="Y2197" s="284"/>
      <c r="Z2197" s="207"/>
      <c r="AA2197" s="284"/>
      <c r="AB2197" s="284"/>
      <c r="AC2197" s="284"/>
      <c r="AD2197" s="284"/>
      <c r="AE2197" s="284"/>
      <c r="AF2197" s="284"/>
      <c r="AG2197" s="284"/>
    </row>
    <row r="2198" spans="1:33" ht="26.4">
      <c r="A2198" s="284"/>
      <c r="B2198" s="284"/>
      <c r="C2198" s="284"/>
      <c r="D2198" s="284"/>
      <c r="E2198" s="284"/>
      <c r="F2198" s="284"/>
      <c r="G2198" s="284"/>
      <c r="H2198" s="284"/>
      <c r="I2198" s="284"/>
      <c r="J2198" s="284"/>
      <c r="K2198" s="284"/>
      <c r="L2198" s="284"/>
      <c r="M2198" s="113"/>
      <c r="N2198" s="113"/>
      <c r="O2198" s="335"/>
      <c r="T2198" s="340"/>
      <c r="V2198" s="342"/>
      <c r="W2198" s="64" ph="1"/>
      <c r="X2198" s="241"/>
      <c r="Y2198" s="284"/>
      <c r="Z2198" s="207"/>
      <c r="AA2198" s="284"/>
      <c r="AB2198" s="284"/>
      <c r="AC2198" s="284"/>
      <c r="AD2198" s="284"/>
      <c r="AE2198" s="284"/>
      <c r="AF2198" s="284"/>
      <c r="AG2198" s="284"/>
    </row>
    <row r="2199" spans="1:33" ht="26.4">
      <c r="A2199" s="284"/>
      <c r="B2199" s="284"/>
      <c r="C2199" s="284"/>
      <c r="D2199" s="284"/>
      <c r="E2199" s="284"/>
      <c r="F2199" s="284"/>
      <c r="G2199" s="284"/>
      <c r="H2199" s="284"/>
      <c r="I2199" s="284"/>
      <c r="J2199" s="284"/>
      <c r="K2199" s="284"/>
      <c r="L2199" s="284"/>
      <c r="M2199" s="113"/>
      <c r="N2199" s="113"/>
      <c r="O2199" s="335"/>
      <c r="T2199" s="340"/>
      <c r="V2199" s="342"/>
      <c r="W2199" s="64" ph="1"/>
      <c r="X2199" s="241"/>
      <c r="Y2199" s="284"/>
      <c r="Z2199" s="207"/>
      <c r="AA2199" s="284"/>
      <c r="AB2199" s="284"/>
      <c r="AC2199" s="284"/>
      <c r="AD2199" s="284"/>
      <c r="AE2199" s="284"/>
      <c r="AF2199" s="284"/>
      <c r="AG2199" s="284"/>
    </row>
    <row r="2200" spans="1:33" ht="26.4">
      <c r="A2200" s="284"/>
      <c r="B2200" s="284"/>
      <c r="C2200" s="284"/>
      <c r="D2200" s="284"/>
      <c r="E2200" s="284"/>
      <c r="F2200" s="284"/>
      <c r="G2200" s="284"/>
      <c r="H2200" s="284"/>
      <c r="I2200" s="284"/>
      <c r="J2200" s="284"/>
      <c r="K2200" s="284"/>
      <c r="L2200" s="284"/>
      <c r="M2200" s="113"/>
      <c r="N2200" s="113"/>
      <c r="O2200" s="335"/>
      <c r="T2200" s="340"/>
      <c r="V2200" s="342"/>
      <c r="W2200" s="64" ph="1"/>
      <c r="X2200" s="241"/>
      <c r="Y2200" s="284"/>
      <c r="Z2200" s="207"/>
      <c r="AA2200" s="284"/>
      <c r="AB2200" s="284"/>
      <c r="AC2200" s="284"/>
      <c r="AD2200" s="284"/>
      <c r="AE2200" s="284"/>
      <c r="AF2200" s="284"/>
      <c r="AG2200" s="284"/>
    </row>
    <row r="2201" spans="1:33" ht="26.4">
      <c r="A2201" s="284"/>
      <c r="B2201" s="284"/>
      <c r="C2201" s="284"/>
      <c r="D2201" s="284"/>
      <c r="E2201" s="284"/>
      <c r="F2201" s="284"/>
      <c r="G2201" s="284"/>
      <c r="H2201" s="284"/>
      <c r="I2201" s="284"/>
      <c r="J2201" s="284"/>
      <c r="K2201" s="284"/>
      <c r="L2201" s="284"/>
      <c r="M2201" s="113"/>
      <c r="N2201" s="113"/>
      <c r="O2201" s="335"/>
      <c r="T2201" s="340"/>
      <c r="V2201" s="342"/>
      <c r="W2201" s="64" ph="1"/>
      <c r="X2201" s="241"/>
      <c r="Y2201" s="284"/>
      <c r="Z2201" s="207"/>
      <c r="AA2201" s="284"/>
      <c r="AB2201" s="284"/>
      <c r="AC2201" s="284"/>
      <c r="AD2201" s="284"/>
      <c r="AE2201" s="284"/>
      <c r="AF2201" s="284"/>
      <c r="AG2201" s="284"/>
    </row>
    <row r="2202" spans="1:33" ht="26.4">
      <c r="A2202" s="284"/>
      <c r="B2202" s="284"/>
      <c r="C2202" s="284"/>
      <c r="D2202" s="284"/>
      <c r="E2202" s="284"/>
      <c r="F2202" s="284"/>
      <c r="G2202" s="284"/>
      <c r="H2202" s="284"/>
      <c r="I2202" s="284"/>
      <c r="J2202" s="284"/>
      <c r="K2202" s="284"/>
      <c r="L2202" s="284"/>
      <c r="M2202" s="113"/>
      <c r="N2202" s="113"/>
      <c r="O2202" s="335"/>
      <c r="T2202" s="340"/>
      <c r="V2202" s="342"/>
      <c r="W2202" s="64" ph="1"/>
      <c r="X2202" s="241"/>
      <c r="Y2202" s="284"/>
      <c r="Z2202" s="207"/>
      <c r="AA2202" s="284"/>
      <c r="AB2202" s="284"/>
      <c r="AC2202" s="284"/>
      <c r="AD2202" s="284"/>
      <c r="AE2202" s="284"/>
      <c r="AF2202" s="284"/>
      <c r="AG2202" s="284"/>
    </row>
    <row r="2203" spans="1:33" ht="26.4">
      <c r="A2203" s="284"/>
      <c r="B2203" s="284"/>
      <c r="C2203" s="284"/>
      <c r="D2203" s="284"/>
      <c r="E2203" s="284"/>
      <c r="F2203" s="284"/>
      <c r="G2203" s="284"/>
      <c r="H2203" s="284"/>
      <c r="I2203" s="284"/>
      <c r="J2203" s="284"/>
      <c r="K2203" s="284"/>
      <c r="L2203" s="284"/>
      <c r="M2203" s="113"/>
      <c r="N2203" s="113"/>
      <c r="O2203" s="335"/>
      <c r="T2203" s="340"/>
      <c r="V2203" s="342"/>
      <c r="W2203" s="64" ph="1"/>
      <c r="X2203" s="241"/>
      <c r="Y2203" s="284"/>
      <c r="Z2203" s="207"/>
      <c r="AA2203" s="284"/>
      <c r="AB2203" s="284"/>
      <c r="AC2203" s="284"/>
      <c r="AD2203" s="284"/>
      <c r="AE2203" s="284"/>
      <c r="AF2203" s="284"/>
      <c r="AG2203" s="284"/>
    </row>
    <row r="2204" spans="1:33" ht="26.4">
      <c r="A2204" s="284"/>
      <c r="B2204" s="284"/>
      <c r="C2204" s="284"/>
      <c r="D2204" s="284"/>
      <c r="E2204" s="284"/>
      <c r="F2204" s="284"/>
      <c r="G2204" s="284"/>
      <c r="H2204" s="284"/>
      <c r="I2204" s="284"/>
      <c r="J2204" s="284"/>
      <c r="K2204" s="284"/>
      <c r="L2204" s="284"/>
      <c r="M2204" s="113"/>
      <c r="N2204" s="113"/>
      <c r="O2204" s="335"/>
      <c r="T2204" s="340"/>
      <c r="V2204" s="342"/>
      <c r="W2204" s="64" ph="1"/>
      <c r="X2204" s="241"/>
      <c r="Y2204" s="284"/>
      <c r="Z2204" s="207"/>
      <c r="AA2204" s="284"/>
      <c r="AB2204" s="284"/>
      <c r="AC2204" s="284"/>
      <c r="AD2204" s="284"/>
      <c r="AE2204" s="284"/>
      <c r="AF2204" s="284"/>
      <c r="AG2204" s="284"/>
    </row>
    <row r="2205" spans="1:33" ht="26.4">
      <c r="A2205" s="284"/>
      <c r="B2205" s="284"/>
      <c r="C2205" s="284"/>
      <c r="D2205" s="284"/>
      <c r="E2205" s="284"/>
      <c r="F2205" s="284"/>
      <c r="G2205" s="284"/>
      <c r="H2205" s="284"/>
      <c r="I2205" s="284"/>
      <c r="J2205" s="284"/>
      <c r="K2205" s="284"/>
      <c r="L2205" s="284"/>
      <c r="M2205" s="113"/>
      <c r="N2205" s="113"/>
      <c r="O2205" s="335"/>
      <c r="T2205" s="340"/>
      <c r="V2205" s="342"/>
      <c r="W2205" s="64" ph="1"/>
      <c r="X2205" s="241"/>
      <c r="Y2205" s="284"/>
      <c r="Z2205" s="207"/>
      <c r="AA2205" s="284"/>
      <c r="AB2205" s="284"/>
      <c r="AC2205" s="284"/>
      <c r="AD2205" s="284"/>
      <c r="AE2205" s="284"/>
      <c r="AF2205" s="284"/>
      <c r="AG2205" s="284"/>
    </row>
    <row r="2206" spans="1:33" ht="26.4">
      <c r="A2206" s="284"/>
      <c r="B2206" s="284"/>
      <c r="C2206" s="284"/>
      <c r="D2206" s="284"/>
      <c r="E2206" s="284"/>
      <c r="F2206" s="284"/>
      <c r="G2206" s="284"/>
      <c r="H2206" s="284"/>
      <c r="I2206" s="284"/>
      <c r="J2206" s="284"/>
      <c r="K2206" s="284"/>
      <c r="L2206" s="284"/>
      <c r="M2206" s="113"/>
      <c r="N2206" s="113"/>
      <c r="O2206" s="335"/>
      <c r="T2206" s="340"/>
      <c r="V2206" s="342"/>
      <c r="W2206" s="64" ph="1"/>
      <c r="X2206" s="241"/>
      <c r="Y2206" s="284"/>
      <c r="Z2206" s="207"/>
      <c r="AA2206" s="284"/>
      <c r="AB2206" s="284"/>
      <c r="AC2206" s="284"/>
      <c r="AD2206" s="284"/>
      <c r="AE2206" s="284"/>
      <c r="AF2206" s="284"/>
      <c r="AG2206" s="284"/>
    </row>
    <row r="2207" spans="1:33" ht="26.4">
      <c r="A2207" s="284"/>
      <c r="B2207" s="284"/>
      <c r="C2207" s="284"/>
      <c r="D2207" s="284"/>
      <c r="E2207" s="284"/>
      <c r="F2207" s="284"/>
      <c r="G2207" s="284"/>
      <c r="H2207" s="284"/>
      <c r="I2207" s="284"/>
      <c r="J2207" s="284"/>
      <c r="K2207" s="284"/>
      <c r="L2207" s="284"/>
      <c r="M2207" s="113"/>
      <c r="N2207" s="113"/>
      <c r="O2207" s="335"/>
      <c r="T2207" s="340"/>
      <c r="V2207" s="342"/>
      <c r="W2207" s="64" ph="1"/>
      <c r="X2207" s="241"/>
      <c r="Y2207" s="284"/>
      <c r="Z2207" s="207"/>
      <c r="AA2207" s="284"/>
      <c r="AB2207" s="284"/>
      <c r="AC2207" s="284"/>
      <c r="AD2207" s="284"/>
      <c r="AE2207" s="284"/>
      <c r="AF2207" s="284"/>
      <c r="AG2207" s="284"/>
    </row>
    <row r="2208" spans="1:33" ht="26.4">
      <c r="A2208" s="284"/>
      <c r="B2208" s="284"/>
      <c r="C2208" s="284"/>
      <c r="D2208" s="284"/>
      <c r="E2208" s="284"/>
      <c r="F2208" s="284"/>
      <c r="G2208" s="284"/>
      <c r="H2208" s="284"/>
      <c r="I2208" s="284"/>
      <c r="J2208" s="284"/>
      <c r="K2208" s="284"/>
      <c r="L2208" s="284"/>
      <c r="M2208" s="113"/>
      <c r="N2208" s="113"/>
      <c r="O2208" s="335"/>
      <c r="T2208" s="340"/>
      <c r="V2208" s="342"/>
      <c r="W2208" s="64" ph="1"/>
      <c r="X2208" s="241"/>
      <c r="Y2208" s="284"/>
      <c r="Z2208" s="207"/>
      <c r="AA2208" s="284"/>
      <c r="AB2208" s="284"/>
      <c r="AC2208" s="284"/>
      <c r="AD2208" s="284"/>
      <c r="AE2208" s="284"/>
      <c r="AF2208" s="284"/>
      <c r="AG2208" s="284"/>
    </row>
    <row r="2209" spans="1:33" ht="26.4">
      <c r="A2209" s="284"/>
      <c r="B2209" s="284"/>
      <c r="C2209" s="284"/>
      <c r="D2209" s="284"/>
      <c r="E2209" s="284"/>
      <c r="F2209" s="284"/>
      <c r="G2209" s="284"/>
      <c r="H2209" s="284"/>
      <c r="I2209" s="284"/>
      <c r="J2209" s="284"/>
      <c r="K2209" s="284"/>
      <c r="L2209" s="284"/>
      <c r="M2209" s="113"/>
      <c r="N2209" s="113"/>
      <c r="O2209" s="335"/>
      <c r="T2209" s="340"/>
      <c r="V2209" s="342"/>
      <c r="W2209" s="64" ph="1"/>
      <c r="X2209" s="241"/>
      <c r="Y2209" s="284"/>
      <c r="Z2209" s="207"/>
      <c r="AA2209" s="284"/>
      <c r="AB2209" s="284"/>
      <c r="AC2209" s="284"/>
      <c r="AD2209" s="284"/>
      <c r="AE2209" s="284"/>
      <c r="AF2209" s="284"/>
      <c r="AG2209" s="284"/>
    </row>
    <row r="2210" spans="1:33" ht="26.4">
      <c r="A2210" s="284"/>
      <c r="B2210" s="284"/>
      <c r="C2210" s="284"/>
      <c r="D2210" s="284"/>
      <c r="E2210" s="284"/>
      <c r="F2210" s="284"/>
      <c r="G2210" s="284"/>
      <c r="H2210" s="284"/>
      <c r="I2210" s="284"/>
      <c r="J2210" s="284"/>
      <c r="K2210" s="284"/>
      <c r="L2210" s="284"/>
      <c r="M2210" s="113"/>
      <c r="N2210" s="113"/>
      <c r="O2210" s="335"/>
      <c r="T2210" s="340"/>
      <c r="V2210" s="342"/>
      <c r="W2210" s="64" ph="1"/>
      <c r="X2210" s="241"/>
      <c r="Y2210" s="284"/>
      <c r="Z2210" s="207"/>
      <c r="AA2210" s="284"/>
      <c r="AB2210" s="284"/>
      <c r="AC2210" s="284"/>
      <c r="AD2210" s="284"/>
      <c r="AE2210" s="284"/>
      <c r="AF2210" s="284"/>
      <c r="AG2210" s="284"/>
    </row>
    <row r="2211" spans="1:33" ht="26.4">
      <c r="A2211" s="284"/>
      <c r="B2211" s="284"/>
      <c r="C2211" s="284"/>
      <c r="D2211" s="284"/>
      <c r="E2211" s="284"/>
      <c r="F2211" s="284"/>
      <c r="G2211" s="284"/>
      <c r="H2211" s="284"/>
      <c r="I2211" s="284"/>
      <c r="J2211" s="284"/>
      <c r="K2211" s="284"/>
      <c r="L2211" s="284"/>
      <c r="M2211" s="113"/>
      <c r="N2211" s="113"/>
      <c r="O2211" s="335"/>
      <c r="T2211" s="340"/>
      <c r="V2211" s="342"/>
      <c r="W2211" s="64" ph="1"/>
      <c r="X2211" s="241"/>
      <c r="Y2211" s="284"/>
      <c r="Z2211" s="207"/>
      <c r="AA2211" s="284"/>
      <c r="AB2211" s="284"/>
      <c r="AC2211" s="284"/>
      <c r="AD2211" s="284"/>
      <c r="AE2211" s="284"/>
      <c r="AF2211" s="284"/>
      <c r="AG2211" s="284"/>
    </row>
    <row r="2212" spans="1:33" ht="26.4">
      <c r="A2212" s="284"/>
      <c r="B2212" s="284"/>
      <c r="C2212" s="284"/>
      <c r="D2212" s="284"/>
      <c r="E2212" s="284"/>
      <c r="F2212" s="284"/>
      <c r="G2212" s="284"/>
      <c r="H2212" s="284"/>
      <c r="I2212" s="284"/>
      <c r="J2212" s="284"/>
      <c r="K2212" s="284"/>
      <c r="L2212" s="284"/>
      <c r="M2212" s="113"/>
      <c r="N2212" s="113"/>
      <c r="O2212" s="335"/>
      <c r="T2212" s="340"/>
      <c r="V2212" s="342"/>
      <c r="W2212" s="64" ph="1"/>
      <c r="X2212" s="241"/>
      <c r="Y2212" s="284"/>
      <c r="Z2212" s="207"/>
      <c r="AA2212" s="284"/>
      <c r="AB2212" s="284"/>
      <c r="AC2212" s="284"/>
      <c r="AD2212" s="284"/>
      <c r="AE2212" s="284"/>
      <c r="AF2212" s="284"/>
      <c r="AG2212" s="284"/>
    </row>
    <row r="2213" spans="1:33" ht="26.4">
      <c r="A2213" s="284"/>
      <c r="B2213" s="284"/>
      <c r="C2213" s="284"/>
      <c r="D2213" s="284"/>
      <c r="E2213" s="284"/>
      <c r="F2213" s="284"/>
      <c r="G2213" s="284"/>
      <c r="H2213" s="284"/>
      <c r="I2213" s="284"/>
      <c r="J2213" s="284"/>
      <c r="K2213" s="284"/>
      <c r="L2213" s="284"/>
      <c r="M2213" s="113"/>
      <c r="N2213" s="113"/>
      <c r="O2213" s="335"/>
      <c r="T2213" s="340"/>
      <c r="V2213" s="342"/>
      <c r="W2213" s="64" ph="1"/>
      <c r="X2213" s="241"/>
      <c r="Y2213" s="284"/>
      <c r="Z2213" s="207"/>
      <c r="AA2213" s="284"/>
      <c r="AB2213" s="284"/>
      <c r="AC2213" s="284"/>
      <c r="AD2213" s="284"/>
      <c r="AE2213" s="284"/>
      <c r="AF2213" s="284"/>
      <c r="AG2213" s="284"/>
    </row>
    <row r="2214" spans="1:33" ht="26.4">
      <c r="A2214" s="284"/>
      <c r="B2214" s="284"/>
      <c r="C2214" s="284"/>
      <c r="D2214" s="284"/>
      <c r="E2214" s="284"/>
      <c r="F2214" s="284"/>
      <c r="G2214" s="284"/>
      <c r="H2214" s="284"/>
      <c r="I2214" s="284"/>
      <c r="J2214" s="284"/>
      <c r="K2214" s="284"/>
      <c r="L2214" s="284"/>
      <c r="M2214" s="113"/>
      <c r="N2214" s="113"/>
      <c r="O2214" s="335"/>
      <c r="T2214" s="340"/>
      <c r="V2214" s="342"/>
      <c r="W2214" s="64" ph="1"/>
      <c r="X2214" s="241"/>
      <c r="Y2214" s="284"/>
      <c r="Z2214" s="207"/>
      <c r="AA2214" s="284"/>
      <c r="AB2214" s="284"/>
      <c r="AC2214" s="284"/>
      <c r="AD2214" s="284"/>
      <c r="AE2214" s="284"/>
      <c r="AF2214" s="284"/>
      <c r="AG2214" s="284"/>
    </row>
    <row r="2215" spans="1:33" ht="26.4">
      <c r="A2215" s="284"/>
      <c r="B2215" s="284"/>
      <c r="C2215" s="284"/>
      <c r="D2215" s="284"/>
      <c r="E2215" s="284"/>
      <c r="F2215" s="284"/>
      <c r="G2215" s="284"/>
      <c r="H2215" s="284"/>
      <c r="I2215" s="284"/>
      <c r="J2215" s="284"/>
      <c r="K2215" s="284"/>
      <c r="L2215" s="284"/>
      <c r="M2215" s="113"/>
      <c r="N2215" s="113"/>
      <c r="O2215" s="335"/>
      <c r="T2215" s="340"/>
      <c r="V2215" s="342"/>
      <c r="W2215" s="64" ph="1"/>
      <c r="X2215" s="241"/>
      <c r="Y2215" s="284"/>
      <c r="Z2215" s="207"/>
      <c r="AA2215" s="284"/>
      <c r="AB2215" s="284"/>
      <c r="AC2215" s="284"/>
      <c r="AD2215" s="284"/>
      <c r="AE2215" s="284"/>
      <c r="AF2215" s="284"/>
      <c r="AG2215" s="284"/>
    </row>
    <row r="2216" spans="1:33" ht="26.4">
      <c r="A2216" s="284"/>
      <c r="B2216" s="284"/>
      <c r="C2216" s="284"/>
      <c r="D2216" s="284"/>
      <c r="E2216" s="284"/>
      <c r="F2216" s="284"/>
      <c r="G2216" s="284"/>
      <c r="H2216" s="284"/>
      <c r="I2216" s="284"/>
      <c r="J2216" s="284"/>
      <c r="K2216" s="284"/>
      <c r="L2216" s="284"/>
      <c r="M2216" s="113"/>
      <c r="N2216" s="113"/>
      <c r="O2216" s="335"/>
      <c r="T2216" s="340"/>
      <c r="V2216" s="342"/>
      <c r="W2216" s="64" ph="1"/>
      <c r="X2216" s="241"/>
      <c r="Y2216" s="284"/>
      <c r="Z2216" s="207"/>
      <c r="AA2216" s="284"/>
      <c r="AB2216" s="284"/>
      <c r="AC2216" s="284"/>
      <c r="AD2216" s="284"/>
      <c r="AE2216" s="284"/>
      <c r="AF2216" s="284"/>
      <c r="AG2216" s="284"/>
    </row>
    <row r="2217" spans="1:33" ht="26.4">
      <c r="A2217" s="284"/>
      <c r="B2217" s="284"/>
      <c r="C2217" s="284"/>
      <c r="D2217" s="284"/>
      <c r="E2217" s="284"/>
      <c r="F2217" s="284"/>
      <c r="G2217" s="284"/>
      <c r="H2217" s="284"/>
      <c r="I2217" s="284"/>
      <c r="J2217" s="284"/>
      <c r="K2217" s="284"/>
      <c r="L2217" s="284"/>
      <c r="M2217" s="113"/>
      <c r="N2217" s="113"/>
      <c r="O2217" s="335"/>
      <c r="T2217" s="340"/>
      <c r="V2217" s="342"/>
      <c r="W2217" s="64" ph="1"/>
      <c r="X2217" s="241"/>
      <c r="Y2217" s="284"/>
      <c r="Z2217" s="207"/>
      <c r="AA2217" s="284"/>
      <c r="AB2217" s="284"/>
      <c r="AC2217" s="284"/>
      <c r="AD2217" s="284"/>
      <c r="AE2217" s="284"/>
      <c r="AF2217" s="284"/>
      <c r="AG2217" s="284"/>
    </row>
    <row r="2218" spans="1:33" ht="26.4">
      <c r="A2218" s="284"/>
      <c r="B2218" s="284"/>
      <c r="C2218" s="284"/>
      <c r="D2218" s="284"/>
      <c r="E2218" s="284"/>
      <c r="F2218" s="284"/>
      <c r="G2218" s="284"/>
      <c r="H2218" s="284"/>
      <c r="I2218" s="284"/>
      <c r="J2218" s="284"/>
      <c r="K2218" s="284"/>
      <c r="L2218" s="284"/>
      <c r="M2218" s="113"/>
      <c r="N2218" s="113"/>
      <c r="O2218" s="335"/>
      <c r="T2218" s="340"/>
      <c r="V2218" s="342"/>
      <c r="W2218" s="64" ph="1"/>
      <c r="X2218" s="241"/>
      <c r="Y2218" s="284"/>
      <c r="Z2218" s="207"/>
      <c r="AA2218" s="284"/>
      <c r="AB2218" s="284"/>
      <c r="AC2218" s="284"/>
      <c r="AD2218" s="284"/>
      <c r="AE2218" s="284"/>
      <c r="AF2218" s="284"/>
      <c r="AG2218" s="284"/>
    </row>
    <row r="2219" spans="1:33" ht="26.4">
      <c r="A2219" s="284"/>
      <c r="B2219" s="284"/>
      <c r="C2219" s="284"/>
      <c r="D2219" s="284"/>
      <c r="E2219" s="284"/>
      <c r="F2219" s="284"/>
      <c r="G2219" s="284"/>
      <c r="H2219" s="284"/>
      <c r="I2219" s="284"/>
      <c r="J2219" s="284"/>
      <c r="K2219" s="284"/>
      <c r="L2219" s="284"/>
      <c r="M2219" s="113"/>
      <c r="N2219" s="113"/>
      <c r="O2219" s="335"/>
      <c r="T2219" s="340"/>
      <c r="V2219" s="342"/>
      <c r="W2219" s="64" ph="1"/>
      <c r="X2219" s="241"/>
      <c r="Y2219" s="284"/>
      <c r="Z2219" s="207"/>
      <c r="AA2219" s="284"/>
      <c r="AB2219" s="284"/>
      <c r="AC2219" s="284"/>
      <c r="AD2219" s="284"/>
      <c r="AE2219" s="284"/>
      <c r="AF2219" s="284"/>
      <c r="AG2219" s="284"/>
    </row>
    <row r="2220" spans="1:33" ht="26.4">
      <c r="A2220" s="284"/>
      <c r="B2220" s="284"/>
      <c r="C2220" s="284"/>
      <c r="D2220" s="284"/>
      <c r="E2220" s="284"/>
      <c r="F2220" s="284"/>
      <c r="G2220" s="284"/>
      <c r="H2220" s="284"/>
      <c r="I2220" s="284"/>
      <c r="J2220" s="284"/>
      <c r="K2220" s="284"/>
      <c r="L2220" s="284"/>
      <c r="M2220" s="113"/>
      <c r="N2220" s="113"/>
      <c r="O2220" s="335"/>
      <c r="T2220" s="340"/>
      <c r="V2220" s="342"/>
      <c r="W2220" s="64" ph="1"/>
      <c r="X2220" s="241"/>
      <c r="Y2220" s="284"/>
      <c r="Z2220" s="207"/>
      <c r="AA2220" s="284"/>
      <c r="AB2220" s="284"/>
      <c r="AC2220" s="284"/>
      <c r="AD2220" s="284"/>
      <c r="AE2220" s="284"/>
      <c r="AF2220" s="284"/>
      <c r="AG2220" s="284"/>
    </row>
    <row r="2221" spans="1:33" ht="26.4">
      <c r="A2221" s="284"/>
      <c r="B2221" s="284"/>
      <c r="C2221" s="284"/>
      <c r="D2221" s="284"/>
      <c r="E2221" s="284"/>
      <c r="F2221" s="284"/>
      <c r="G2221" s="284"/>
      <c r="H2221" s="284"/>
      <c r="I2221" s="284"/>
      <c r="J2221" s="284"/>
      <c r="K2221" s="284"/>
      <c r="L2221" s="284"/>
      <c r="M2221" s="113"/>
      <c r="N2221" s="113"/>
      <c r="O2221" s="335"/>
      <c r="T2221" s="340"/>
      <c r="V2221" s="342"/>
      <c r="W2221" s="64" ph="1"/>
      <c r="X2221" s="241"/>
      <c r="Y2221" s="284"/>
      <c r="Z2221" s="207"/>
      <c r="AA2221" s="284"/>
      <c r="AB2221" s="284"/>
      <c r="AC2221" s="284"/>
      <c r="AD2221" s="284"/>
      <c r="AE2221" s="284"/>
      <c r="AF2221" s="284"/>
      <c r="AG2221" s="284"/>
    </row>
    <row r="2222" spans="1:33" ht="26.4">
      <c r="A2222" s="284"/>
      <c r="B2222" s="284"/>
      <c r="C2222" s="284"/>
      <c r="D2222" s="284"/>
      <c r="E2222" s="284"/>
      <c r="F2222" s="284"/>
      <c r="G2222" s="284"/>
      <c r="H2222" s="284"/>
      <c r="I2222" s="284"/>
      <c r="J2222" s="284"/>
      <c r="K2222" s="284"/>
      <c r="L2222" s="284"/>
      <c r="M2222" s="113"/>
      <c r="N2222" s="113"/>
      <c r="O2222" s="335"/>
      <c r="T2222" s="340"/>
      <c r="V2222" s="342"/>
      <c r="W2222" s="64" ph="1"/>
      <c r="X2222" s="241"/>
      <c r="Y2222" s="284"/>
      <c r="Z2222" s="207"/>
      <c r="AA2222" s="284"/>
      <c r="AB2222" s="284"/>
      <c r="AC2222" s="284"/>
      <c r="AD2222" s="284"/>
      <c r="AE2222" s="284"/>
      <c r="AF2222" s="284"/>
      <c r="AG2222" s="284"/>
    </row>
    <row r="2223" spans="1:33" ht="26.4">
      <c r="A2223" s="284"/>
      <c r="B2223" s="284"/>
      <c r="C2223" s="284"/>
      <c r="D2223" s="284"/>
      <c r="E2223" s="284"/>
      <c r="F2223" s="284"/>
      <c r="G2223" s="284"/>
      <c r="H2223" s="284"/>
      <c r="I2223" s="284"/>
      <c r="J2223" s="284"/>
      <c r="K2223" s="284"/>
      <c r="L2223" s="284"/>
      <c r="M2223" s="113"/>
      <c r="N2223" s="113"/>
      <c r="O2223" s="335"/>
      <c r="T2223" s="340"/>
      <c r="V2223" s="342"/>
      <c r="W2223" s="64" ph="1"/>
      <c r="X2223" s="241"/>
      <c r="Y2223" s="284"/>
      <c r="Z2223" s="207"/>
      <c r="AA2223" s="284"/>
      <c r="AB2223" s="284"/>
      <c r="AC2223" s="284"/>
      <c r="AD2223" s="284"/>
      <c r="AE2223" s="284"/>
      <c r="AF2223" s="284"/>
      <c r="AG2223" s="284"/>
    </row>
    <row r="2224" spans="1:33" ht="26.4">
      <c r="A2224" s="284"/>
      <c r="B2224" s="284"/>
      <c r="C2224" s="284"/>
      <c r="D2224" s="284"/>
      <c r="E2224" s="284"/>
      <c r="F2224" s="284"/>
      <c r="G2224" s="284"/>
      <c r="H2224" s="284"/>
      <c r="I2224" s="284"/>
      <c r="J2224" s="284"/>
      <c r="K2224" s="284"/>
      <c r="L2224" s="284"/>
      <c r="M2224" s="113"/>
      <c r="N2224" s="113"/>
      <c r="O2224" s="335"/>
      <c r="T2224" s="340"/>
      <c r="V2224" s="342"/>
      <c r="W2224" s="64" ph="1"/>
      <c r="X2224" s="241"/>
      <c r="Y2224" s="284"/>
      <c r="Z2224" s="207"/>
      <c r="AA2224" s="284"/>
      <c r="AB2224" s="284"/>
      <c r="AC2224" s="284"/>
      <c r="AD2224" s="284"/>
      <c r="AE2224" s="284"/>
      <c r="AF2224" s="284"/>
      <c r="AG2224" s="284"/>
    </row>
    <row r="2225" spans="1:33" ht="26.4">
      <c r="A2225" s="284"/>
      <c r="B2225" s="284"/>
      <c r="C2225" s="284"/>
      <c r="D2225" s="284"/>
      <c r="E2225" s="284"/>
      <c r="F2225" s="284"/>
      <c r="G2225" s="284"/>
      <c r="H2225" s="284"/>
      <c r="I2225" s="284"/>
      <c r="J2225" s="284"/>
      <c r="K2225" s="284"/>
      <c r="L2225" s="284"/>
      <c r="M2225" s="113"/>
      <c r="N2225" s="113"/>
      <c r="O2225" s="335"/>
      <c r="T2225" s="340"/>
      <c r="V2225" s="342"/>
      <c r="W2225" s="64" ph="1"/>
      <c r="X2225" s="241"/>
      <c r="Y2225" s="284"/>
      <c r="Z2225" s="207"/>
      <c r="AA2225" s="284"/>
      <c r="AB2225" s="284"/>
      <c r="AC2225" s="284"/>
      <c r="AD2225" s="284"/>
      <c r="AE2225" s="284"/>
      <c r="AF2225" s="284"/>
      <c r="AG2225" s="284"/>
    </row>
    <row r="2226" spans="1:33" ht="26.4">
      <c r="A2226" s="284"/>
      <c r="B2226" s="284"/>
      <c r="C2226" s="284"/>
      <c r="D2226" s="284"/>
      <c r="E2226" s="284"/>
      <c r="F2226" s="284"/>
      <c r="G2226" s="284"/>
      <c r="H2226" s="284"/>
      <c r="I2226" s="284"/>
      <c r="J2226" s="284"/>
      <c r="K2226" s="284"/>
      <c r="L2226" s="284"/>
      <c r="M2226" s="113"/>
      <c r="N2226" s="113"/>
      <c r="O2226" s="335"/>
      <c r="T2226" s="340"/>
      <c r="V2226" s="342"/>
      <c r="W2226" s="64" ph="1"/>
      <c r="X2226" s="241"/>
      <c r="Y2226" s="284"/>
      <c r="Z2226" s="207"/>
      <c r="AA2226" s="284"/>
      <c r="AB2226" s="284"/>
      <c r="AC2226" s="284"/>
      <c r="AD2226" s="284"/>
      <c r="AE2226" s="284"/>
      <c r="AF2226" s="284"/>
      <c r="AG2226" s="284"/>
    </row>
    <row r="2227" spans="1:33" ht="26.4">
      <c r="A2227" s="284"/>
      <c r="B2227" s="284"/>
      <c r="C2227" s="284"/>
      <c r="D2227" s="284"/>
      <c r="E2227" s="284"/>
      <c r="F2227" s="284"/>
      <c r="G2227" s="284"/>
      <c r="H2227" s="284"/>
      <c r="I2227" s="284"/>
      <c r="J2227" s="284"/>
      <c r="K2227" s="284"/>
      <c r="L2227" s="284"/>
      <c r="M2227" s="113"/>
      <c r="N2227" s="113"/>
      <c r="O2227" s="335"/>
      <c r="T2227" s="340"/>
      <c r="V2227" s="342"/>
      <c r="W2227" s="64" ph="1"/>
      <c r="X2227" s="241"/>
      <c r="Y2227" s="284"/>
      <c r="Z2227" s="207"/>
      <c r="AA2227" s="284"/>
      <c r="AB2227" s="284"/>
      <c r="AC2227" s="284"/>
      <c r="AD2227" s="284"/>
      <c r="AE2227" s="284"/>
      <c r="AF2227" s="284"/>
      <c r="AG2227" s="284"/>
    </row>
    <row r="2228" spans="1:33" ht="26.4">
      <c r="A2228" s="284"/>
      <c r="B2228" s="284"/>
      <c r="C2228" s="284"/>
      <c r="D2228" s="284"/>
      <c r="E2228" s="284"/>
      <c r="F2228" s="284"/>
      <c r="G2228" s="284"/>
      <c r="H2228" s="284"/>
      <c r="I2228" s="284"/>
      <c r="J2228" s="284"/>
      <c r="K2228" s="284"/>
      <c r="L2228" s="284"/>
      <c r="M2228" s="113"/>
      <c r="N2228" s="113"/>
      <c r="O2228" s="335"/>
      <c r="T2228" s="340"/>
      <c r="V2228" s="342"/>
      <c r="W2228" s="64" ph="1"/>
      <c r="X2228" s="241"/>
      <c r="Y2228" s="284"/>
      <c r="Z2228" s="207"/>
      <c r="AA2228" s="284"/>
      <c r="AB2228" s="284"/>
      <c r="AC2228" s="284"/>
      <c r="AD2228" s="284"/>
      <c r="AE2228" s="284"/>
      <c r="AF2228" s="284"/>
      <c r="AG2228" s="284"/>
    </row>
    <row r="2229" spans="1:33" ht="26.4">
      <c r="A2229" s="284"/>
      <c r="B2229" s="284"/>
      <c r="C2229" s="284"/>
      <c r="D2229" s="284"/>
      <c r="E2229" s="284"/>
      <c r="F2229" s="284"/>
      <c r="G2229" s="284"/>
      <c r="H2229" s="284"/>
      <c r="I2229" s="284"/>
      <c r="J2229" s="284"/>
      <c r="K2229" s="284"/>
      <c r="L2229" s="284"/>
      <c r="M2229" s="113"/>
      <c r="N2229" s="113"/>
      <c r="O2229" s="335"/>
      <c r="T2229" s="340"/>
      <c r="V2229" s="342"/>
      <c r="W2229" s="64" ph="1"/>
      <c r="X2229" s="241"/>
      <c r="Y2229" s="284"/>
      <c r="Z2229" s="207"/>
      <c r="AA2229" s="284"/>
      <c r="AB2229" s="284"/>
      <c r="AC2229" s="284"/>
      <c r="AD2229" s="284"/>
      <c r="AE2229" s="284"/>
      <c r="AF2229" s="284"/>
      <c r="AG2229" s="284"/>
    </row>
    <row r="2230" spans="1:33" ht="26.4">
      <c r="A2230" s="284"/>
      <c r="B2230" s="284"/>
      <c r="C2230" s="284"/>
      <c r="D2230" s="284"/>
      <c r="E2230" s="284"/>
      <c r="F2230" s="284"/>
      <c r="G2230" s="284"/>
      <c r="H2230" s="284"/>
      <c r="I2230" s="284"/>
      <c r="J2230" s="284"/>
      <c r="K2230" s="284"/>
      <c r="L2230" s="284"/>
      <c r="M2230" s="113"/>
      <c r="N2230" s="113"/>
      <c r="O2230" s="335"/>
      <c r="T2230" s="340"/>
      <c r="V2230" s="342"/>
      <c r="W2230" s="64" ph="1"/>
      <c r="X2230" s="241"/>
      <c r="Y2230" s="284"/>
      <c r="Z2230" s="207"/>
      <c r="AA2230" s="284"/>
      <c r="AB2230" s="284"/>
      <c r="AC2230" s="284"/>
      <c r="AD2230" s="284"/>
      <c r="AE2230" s="284"/>
      <c r="AF2230" s="284"/>
      <c r="AG2230" s="284"/>
    </row>
    <row r="2231" spans="1:33" ht="26.4">
      <c r="A2231" s="284"/>
      <c r="B2231" s="284"/>
      <c r="C2231" s="284"/>
      <c r="D2231" s="284"/>
      <c r="E2231" s="284"/>
      <c r="F2231" s="284"/>
      <c r="G2231" s="284"/>
      <c r="H2231" s="284"/>
      <c r="I2231" s="284"/>
      <c r="J2231" s="284"/>
      <c r="K2231" s="284"/>
      <c r="L2231" s="284"/>
      <c r="M2231" s="113"/>
      <c r="N2231" s="113"/>
      <c r="O2231" s="335"/>
      <c r="T2231" s="340"/>
      <c r="V2231" s="342"/>
      <c r="W2231" s="64" ph="1"/>
      <c r="X2231" s="241"/>
      <c r="Y2231" s="284"/>
      <c r="Z2231" s="207"/>
      <c r="AA2231" s="284"/>
      <c r="AB2231" s="284"/>
      <c r="AC2231" s="284"/>
      <c r="AD2231" s="284"/>
      <c r="AE2231" s="284"/>
      <c r="AF2231" s="284"/>
      <c r="AG2231" s="284"/>
    </row>
    <row r="2232" spans="1:33" ht="26.4">
      <c r="A2232" s="284"/>
      <c r="B2232" s="284"/>
      <c r="C2232" s="284"/>
      <c r="D2232" s="284"/>
      <c r="E2232" s="284"/>
      <c r="F2232" s="284"/>
      <c r="G2232" s="284"/>
      <c r="H2232" s="284"/>
      <c r="I2232" s="284"/>
      <c r="J2232" s="284"/>
      <c r="K2232" s="284"/>
      <c r="L2232" s="284"/>
      <c r="M2232" s="113"/>
      <c r="N2232" s="113"/>
      <c r="O2232" s="335"/>
      <c r="T2232" s="340"/>
      <c r="V2232" s="342"/>
      <c r="W2232" s="64" ph="1"/>
      <c r="X2232" s="241"/>
      <c r="Y2232" s="284"/>
      <c r="Z2232" s="207"/>
      <c r="AA2232" s="284"/>
      <c r="AB2232" s="284"/>
      <c r="AC2232" s="284"/>
      <c r="AD2232" s="284"/>
      <c r="AE2232" s="284"/>
      <c r="AF2232" s="284"/>
      <c r="AG2232" s="284"/>
    </row>
    <row r="2233" spans="1:33" ht="26.4">
      <c r="A2233" s="284"/>
      <c r="B2233" s="284"/>
      <c r="C2233" s="284"/>
      <c r="D2233" s="284"/>
      <c r="E2233" s="284"/>
      <c r="F2233" s="284"/>
      <c r="G2233" s="284"/>
      <c r="H2233" s="284"/>
      <c r="I2233" s="284"/>
      <c r="J2233" s="284"/>
      <c r="K2233" s="284"/>
      <c r="L2233" s="284"/>
      <c r="M2233" s="113"/>
      <c r="N2233" s="113"/>
      <c r="O2233" s="335"/>
      <c r="T2233" s="340"/>
      <c r="V2233" s="342"/>
      <c r="W2233" s="64" ph="1"/>
      <c r="X2233" s="241"/>
      <c r="Y2233" s="284"/>
      <c r="Z2233" s="207"/>
      <c r="AA2233" s="284"/>
      <c r="AB2233" s="284"/>
      <c r="AC2233" s="284"/>
      <c r="AD2233" s="284"/>
      <c r="AE2233" s="284"/>
      <c r="AF2233" s="284"/>
      <c r="AG2233" s="284"/>
    </row>
    <row r="2234" spans="1:33" ht="26.4">
      <c r="A2234" s="284"/>
      <c r="B2234" s="284"/>
      <c r="C2234" s="284"/>
      <c r="D2234" s="284"/>
      <c r="E2234" s="284"/>
      <c r="F2234" s="284"/>
      <c r="G2234" s="284"/>
      <c r="H2234" s="284"/>
      <c r="I2234" s="284"/>
      <c r="J2234" s="284"/>
      <c r="K2234" s="284"/>
      <c r="L2234" s="284"/>
      <c r="M2234" s="113"/>
      <c r="N2234" s="113"/>
      <c r="O2234" s="335"/>
      <c r="T2234" s="340"/>
      <c r="V2234" s="342"/>
      <c r="W2234" s="64" ph="1"/>
      <c r="X2234" s="241"/>
      <c r="Y2234" s="284"/>
      <c r="Z2234" s="207"/>
      <c r="AA2234" s="284"/>
      <c r="AB2234" s="284"/>
      <c r="AC2234" s="284"/>
      <c r="AD2234" s="284"/>
      <c r="AE2234" s="284"/>
      <c r="AF2234" s="284"/>
      <c r="AG2234" s="284"/>
    </row>
    <row r="2235" spans="1:33" ht="26.4">
      <c r="A2235" s="284"/>
      <c r="B2235" s="284"/>
      <c r="C2235" s="284"/>
      <c r="D2235" s="284"/>
      <c r="E2235" s="284"/>
      <c r="F2235" s="284"/>
      <c r="G2235" s="284"/>
      <c r="H2235" s="284"/>
      <c r="I2235" s="284"/>
      <c r="J2235" s="284"/>
      <c r="K2235" s="284"/>
      <c r="L2235" s="284"/>
      <c r="M2235" s="113"/>
      <c r="N2235" s="113"/>
      <c r="O2235" s="335"/>
      <c r="T2235" s="340"/>
      <c r="V2235" s="342"/>
      <c r="W2235" s="64" ph="1"/>
      <c r="X2235" s="241"/>
      <c r="Y2235" s="284"/>
      <c r="Z2235" s="207"/>
      <c r="AA2235" s="284"/>
      <c r="AB2235" s="284"/>
      <c r="AC2235" s="284"/>
      <c r="AD2235" s="284"/>
      <c r="AE2235" s="284"/>
      <c r="AF2235" s="284"/>
      <c r="AG2235" s="284"/>
    </row>
    <row r="2236" spans="1:33" ht="26.4">
      <c r="A2236" s="284"/>
      <c r="B2236" s="284"/>
      <c r="C2236" s="284"/>
      <c r="D2236" s="284"/>
      <c r="E2236" s="284"/>
      <c r="F2236" s="284"/>
      <c r="G2236" s="284"/>
      <c r="H2236" s="284"/>
      <c r="I2236" s="284"/>
      <c r="J2236" s="284"/>
      <c r="K2236" s="284"/>
      <c r="L2236" s="284"/>
      <c r="M2236" s="113"/>
      <c r="N2236" s="113"/>
      <c r="O2236" s="335"/>
      <c r="T2236" s="340"/>
      <c r="V2236" s="342"/>
      <c r="W2236" s="64" ph="1"/>
      <c r="X2236" s="241"/>
      <c r="Y2236" s="284"/>
      <c r="Z2236" s="207"/>
      <c r="AA2236" s="284"/>
      <c r="AB2236" s="284"/>
      <c r="AC2236" s="284"/>
      <c r="AD2236" s="284"/>
      <c r="AE2236" s="284"/>
      <c r="AF2236" s="284"/>
      <c r="AG2236" s="284"/>
    </row>
    <row r="2237" spans="1:33" ht="26.4">
      <c r="A2237" s="284"/>
      <c r="B2237" s="284"/>
      <c r="C2237" s="284"/>
      <c r="D2237" s="284"/>
      <c r="E2237" s="284"/>
      <c r="F2237" s="284"/>
      <c r="G2237" s="284"/>
      <c r="H2237" s="284"/>
      <c r="I2237" s="284"/>
      <c r="J2237" s="284"/>
      <c r="K2237" s="284"/>
      <c r="L2237" s="284"/>
      <c r="M2237" s="113"/>
      <c r="N2237" s="113"/>
      <c r="O2237" s="335"/>
      <c r="T2237" s="340"/>
      <c r="V2237" s="342"/>
      <c r="W2237" s="64" ph="1"/>
      <c r="X2237" s="241"/>
      <c r="Y2237" s="284"/>
      <c r="Z2237" s="207"/>
      <c r="AA2237" s="284"/>
      <c r="AB2237" s="284"/>
      <c r="AC2237" s="284"/>
      <c r="AD2237" s="284"/>
      <c r="AE2237" s="284"/>
      <c r="AF2237" s="284"/>
      <c r="AG2237" s="284"/>
    </row>
    <row r="2238" spans="1:33" ht="26.4">
      <c r="A2238" s="284"/>
      <c r="B2238" s="284"/>
      <c r="C2238" s="284"/>
      <c r="D2238" s="284"/>
      <c r="E2238" s="284"/>
      <c r="F2238" s="284"/>
      <c r="G2238" s="284"/>
      <c r="H2238" s="284"/>
      <c r="I2238" s="284"/>
      <c r="J2238" s="284"/>
      <c r="K2238" s="284"/>
      <c r="L2238" s="284"/>
      <c r="M2238" s="113"/>
      <c r="N2238" s="113"/>
      <c r="O2238" s="335"/>
      <c r="T2238" s="340"/>
      <c r="V2238" s="342"/>
      <c r="W2238" s="64" ph="1"/>
      <c r="X2238" s="241"/>
      <c r="Y2238" s="284"/>
      <c r="Z2238" s="207"/>
      <c r="AA2238" s="284"/>
      <c r="AB2238" s="284"/>
      <c r="AC2238" s="284"/>
      <c r="AD2238" s="284"/>
      <c r="AE2238" s="284"/>
      <c r="AF2238" s="284"/>
      <c r="AG2238" s="284"/>
    </row>
    <row r="2239" spans="1:33" ht="26.4">
      <c r="A2239" s="284"/>
      <c r="B2239" s="284"/>
      <c r="C2239" s="284"/>
      <c r="D2239" s="284"/>
      <c r="E2239" s="284"/>
      <c r="F2239" s="284"/>
      <c r="G2239" s="284"/>
      <c r="H2239" s="284"/>
      <c r="I2239" s="284"/>
      <c r="J2239" s="284"/>
      <c r="K2239" s="284"/>
      <c r="L2239" s="284"/>
      <c r="M2239" s="113"/>
      <c r="N2239" s="113"/>
      <c r="O2239" s="335"/>
      <c r="T2239" s="340"/>
      <c r="V2239" s="342"/>
      <c r="W2239" s="64" ph="1"/>
      <c r="X2239" s="241"/>
      <c r="Y2239" s="284"/>
      <c r="Z2239" s="207"/>
      <c r="AA2239" s="284"/>
      <c r="AB2239" s="284"/>
      <c r="AC2239" s="284"/>
      <c r="AD2239" s="284"/>
      <c r="AE2239" s="284"/>
      <c r="AF2239" s="284"/>
      <c r="AG2239" s="284"/>
    </row>
    <row r="2240" spans="1:33" ht="26.4">
      <c r="A2240" s="284"/>
      <c r="B2240" s="284"/>
      <c r="C2240" s="284"/>
      <c r="D2240" s="284"/>
      <c r="E2240" s="284"/>
      <c r="F2240" s="284"/>
      <c r="G2240" s="284"/>
      <c r="H2240" s="284"/>
      <c r="I2240" s="284"/>
      <c r="J2240" s="284"/>
      <c r="K2240" s="284"/>
      <c r="L2240" s="284"/>
      <c r="M2240" s="113"/>
      <c r="N2240" s="113"/>
      <c r="O2240" s="335"/>
      <c r="T2240" s="340"/>
      <c r="V2240" s="342"/>
      <c r="W2240" s="64" ph="1"/>
      <c r="X2240" s="241"/>
      <c r="Y2240" s="284"/>
      <c r="Z2240" s="207"/>
      <c r="AA2240" s="284"/>
      <c r="AB2240" s="284"/>
      <c r="AC2240" s="284"/>
      <c r="AD2240" s="284"/>
      <c r="AE2240" s="284"/>
      <c r="AF2240" s="284"/>
      <c r="AG2240" s="284"/>
    </row>
    <row r="2241" spans="1:33" ht="26.4">
      <c r="A2241" s="284"/>
      <c r="B2241" s="284"/>
      <c r="C2241" s="284"/>
      <c r="D2241" s="284"/>
      <c r="E2241" s="284"/>
      <c r="F2241" s="284"/>
      <c r="G2241" s="284"/>
      <c r="H2241" s="284"/>
      <c r="I2241" s="284"/>
      <c r="J2241" s="284"/>
      <c r="K2241" s="284"/>
      <c r="L2241" s="284"/>
      <c r="M2241" s="113"/>
      <c r="N2241" s="113"/>
      <c r="O2241" s="335"/>
      <c r="T2241" s="340"/>
      <c r="V2241" s="342"/>
      <c r="W2241" s="64" ph="1"/>
      <c r="X2241" s="241"/>
      <c r="Y2241" s="284"/>
      <c r="Z2241" s="207"/>
      <c r="AA2241" s="284"/>
      <c r="AB2241" s="284"/>
      <c r="AC2241" s="284"/>
      <c r="AD2241" s="284"/>
      <c r="AE2241" s="284"/>
      <c r="AF2241" s="284"/>
      <c r="AG2241" s="284"/>
    </row>
    <row r="2242" spans="1:33" ht="26.4">
      <c r="A2242" s="284"/>
      <c r="B2242" s="284"/>
      <c r="C2242" s="284"/>
      <c r="D2242" s="284"/>
      <c r="E2242" s="284"/>
      <c r="F2242" s="284"/>
      <c r="G2242" s="284"/>
      <c r="H2242" s="284"/>
      <c r="I2242" s="284"/>
      <c r="J2242" s="284"/>
      <c r="K2242" s="284"/>
      <c r="L2242" s="284"/>
      <c r="M2242" s="113"/>
      <c r="N2242" s="113"/>
      <c r="O2242" s="335"/>
      <c r="T2242" s="340"/>
      <c r="V2242" s="342"/>
      <c r="W2242" s="64" ph="1"/>
      <c r="X2242" s="241"/>
      <c r="Y2242" s="284"/>
      <c r="Z2242" s="207"/>
      <c r="AA2242" s="284"/>
      <c r="AB2242" s="284"/>
      <c r="AC2242" s="284"/>
      <c r="AD2242" s="284"/>
      <c r="AE2242" s="284"/>
      <c r="AF2242" s="284"/>
      <c r="AG2242" s="284"/>
    </row>
    <row r="2243" spans="1:33" ht="26.4">
      <c r="A2243" s="284"/>
      <c r="B2243" s="284"/>
      <c r="C2243" s="284"/>
      <c r="D2243" s="284"/>
      <c r="E2243" s="284"/>
      <c r="F2243" s="284"/>
      <c r="G2243" s="284"/>
      <c r="H2243" s="284"/>
      <c r="I2243" s="284"/>
      <c r="J2243" s="284"/>
      <c r="K2243" s="284"/>
      <c r="L2243" s="284"/>
      <c r="M2243" s="113"/>
      <c r="N2243" s="113"/>
      <c r="O2243" s="335"/>
      <c r="T2243" s="340"/>
      <c r="V2243" s="342"/>
      <c r="W2243" s="64" ph="1"/>
      <c r="X2243" s="241"/>
      <c r="Y2243" s="284"/>
      <c r="Z2243" s="207"/>
      <c r="AA2243" s="284"/>
      <c r="AB2243" s="284"/>
      <c r="AC2243" s="284"/>
      <c r="AD2243" s="284"/>
      <c r="AE2243" s="284"/>
      <c r="AF2243" s="284"/>
      <c r="AG2243" s="284"/>
    </row>
    <row r="2244" spans="1:33" ht="26.4">
      <c r="A2244" s="284"/>
      <c r="B2244" s="284"/>
      <c r="C2244" s="284"/>
      <c r="D2244" s="284"/>
      <c r="E2244" s="284"/>
      <c r="F2244" s="284"/>
      <c r="G2244" s="284"/>
      <c r="H2244" s="284"/>
      <c r="I2244" s="284"/>
      <c r="J2244" s="284"/>
      <c r="K2244" s="284"/>
      <c r="L2244" s="284"/>
      <c r="M2244" s="113"/>
      <c r="N2244" s="113"/>
      <c r="O2244" s="335"/>
      <c r="T2244" s="340"/>
      <c r="V2244" s="342"/>
      <c r="W2244" s="64" ph="1"/>
      <c r="X2244" s="241"/>
      <c r="Y2244" s="284"/>
      <c r="Z2244" s="207"/>
      <c r="AA2244" s="284"/>
      <c r="AB2244" s="284"/>
      <c r="AC2244" s="284"/>
      <c r="AD2244" s="284"/>
      <c r="AE2244" s="284"/>
      <c r="AF2244" s="284"/>
      <c r="AG2244" s="284"/>
    </row>
    <row r="2245" spans="1:33" ht="26.4">
      <c r="A2245" s="284"/>
      <c r="B2245" s="284"/>
      <c r="C2245" s="284"/>
      <c r="D2245" s="284"/>
      <c r="E2245" s="284"/>
      <c r="F2245" s="284"/>
      <c r="G2245" s="284"/>
      <c r="H2245" s="284"/>
      <c r="I2245" s="284"/>
      <c r="J2245" s="284"/>
      <c r="K2245" s="284"/>
      <c r="L2245" s="284"/>
      <c r="M2245" s="113"/>
      <c r="N2245" s="113"/>
      <c r="O2245" s="335"/>
      <c r="T2245" s="340"/>
      <c r="V2245" s="342"/>
      <c r="W2245" s="64" ph="1"/>
      <c r="X2245" s="241"/>
      <c r="Y2245" s="284"/>
      <c r="Z2245" s="207"/>
      <c r="AA2245" s="284"/>
      <c r="AB2245" s="284"/>
      <c r="AC2245" s="284"/>
      <c r="AD2245" s="284"/>
      <c r="AE2245" s="284"/>
      <c r="AF2245" s="284"/>
      <c r="AG2245" s="284"/>
    </row>
    <row r="2246" spans="1:33" ht="26.4">
      <c r="A2246" s="284"/>
      <c r="B2246" s="284"/>
      <c r="C2246" s="284"/>
      <c r="D2246" s="284"/>
      <c r="E2246" s="284"/>
      <c r="F2246" s="284"/>
      <c r="G2246" s="284"/>
      <c r="H2246" s="284"/>
      <c r="I2246" s="284"/>
      <c r="J2246" s="284"/>
      <c r="K2246" s="284"/>
      <c r="L2246" s="284"/>
      <c r="M2246" s="113"/>
      <c r="N2246" s="113"/>
      <c r="O2246" s="335"/>
      <c r="T2246" s="340"/>
      <c r="V2246" s="342"/>
      <c r="W2246" s="64" ph="1"/>
      <c r="X2246" s="241"/>
      <c r="Y2246" s="284"/>
      <c r="Z2246" s="207"/>
      <c r="AA2246" s="284"/>
      <c r="AB2246" s="284"/>
      <c r="AC2246" s="284"/>
      <c r="AD2246" s="284"/>
      <c r="AE2246" s="284"/>
      <c r="AF2246" s="284"/>
      <c r="AG2246" s="284"/>
    </row>
    <row r="2247" spans="1:33" ht="26.4">
      <c r="A2247" s="284"/>
      <c r="B2247" s="284"/>
      <c r="C2247" s="284"/>
      <c r="D2247" s="284"/>
      <c r="E2247" s="284"/>
      <c r="F2247" s="284"/>
      <c r="G2247" s="284"/>
      <c r="H2247" s="284"/>
      <c r="I2247" s="284"/>
      <c r="J2247" s="284"/>
      <c r="K2247" s="284"/>
      <c r="L2247" s="284"/>
      <c r="M2247" s="113"/>
      <c r="N2247" s="113"/>
      <c r="O2247" s="335"/>
      <c r="T2247" s="340"/>
      <c r="V2247" s="342"/>
      <c r="W2247" s="64" ph="1"/>
      <c r="X2247" s="241"/>
      <c r="Y2247" s="284"/>
      <c r="Z2247" s="207"/>
      <c r="AA2247" s="284"/>
      <c r="AB2247" s="284"/>
      <c r="AC2247" s="284"/>
      <c r="AD2247" s="284"/>
      <c r="AE2247" s="284"/>
      <c r="AF2247" s="284"/>
      <c r="AG2247" s="284"/>
    </row>
    <row r="2248" spans="1:33" ht="26.4">
      <c r="A2248" s="284"/>
      <c r="B2248" s="284"/>
      <c r="C2248" s="284"/>
      <c r="D2248" s="284"/>
      <c r="E2248" s="284"/>
      <c r="F2248" s="284"/>
      <c r="G2248" s="284"/>
      <c r="H2248" s="284"/>
      <c r="I2248" s="284"/>
      <c r="J2248" s="284"/>
      <c r="K2248" s="284"/>
      <c r="L2248" s="284"/>
      <c r="M2248" s="113"/>
      <c r="N2248" s="113"/>
      <c r="O2248" s="335"/>
      <c r="T2248" s="340"/>
      <c r="V2248" s="342"/>
      <c r="W2248" s="64" ph="1"/>
      <c r="X2248" s="241"/>
      <c r="Y2248" s="284"/>
      <c r="Z2248" s="207"/>
      <c r="AA2248" s="284"/>
      <c r="AB2248" s="284"/>
      <c r="AC2248" s="284"/>
      <c r="AD2248" s="284"/>
      <c r="AE2248" s="284"/>
      <c r="AF2248" s="284"/>
      <c r="AG2248" s="284"/>
    </row>
    <row r="2249" spans="1:33" ht="26.4">
      <c r="A2249" s="284"/>
      <c r="B2249" s="284"/>
      <c r="C2249" s="284"/>
      <c r="D2249" s="284"/>
      <c r="E2249" s="284"/>
      <c r="F2249" s="284"/>
      <c r="G2249" s="284"/>
      <c r="H2249" s="284"/>
      <c r="I2249" s="284"/>
      <c r="J2249" s="284"/>
      <c r="K2249" s="284"/>
      <c r="L2249" s="284"/>
      <c r="M2249" s="113"/>
      <c r="N2249" s="113"/>
      <c r="O2249" s="335"/>
      <c r="T2249" s="340"/>
      <c r="V2249" s="342"/>
      <c r="W2249" s="64" ph="1"/>
      <c r="X2249" s="241"/>
      <c r="Y2249" s="284"/>
      <c r="Z2249" s="207"/>
      <c r="AA2249" s="284"/>
      <c r="AB2249" s="284"/>
      <c r="AC2249" s="284"/>
      <c r="AD2249" s="284"/>
      <c r="AE2249" s="284"/>
      <c r="AF2249" s="284"/>
      <c r="AG2249" s="284"/>
    </row>
    <row r="2250" spans="1:33" ht="26.4">
      <c r="A2250" s="284"/>
      <c r="B2250" s="284"/>
      <c r="C2250" s="284"/>
      <c r="D2250" s="284"/>
      <c r="E2250" s="284"/>
      <c r="F2250" s="284"/>
      <c r="G2250" s="284"/>
      <c r="H2250" s="284"/>
      <c r="I2250" s="284"/>
      <c r="J2250" s="284"/>
      <c r="K2250" s="284"/>
      <c r="L2250" s="284"/>
      <c r="M2250" s="113"/>
      <c r="N2250" s="113"/>
      <c r="O2250" s="335"/>
      <c r="T2250" s="340"/>
      <c r="V2250" s="342"/>
      <c r="W2250" s="64" ph="1"/>
      <c r="X2250" s="241"/>
      <c r="Y2250" s="284"/>
      <c r="Z2250" s="207"/>
      <c r="AA2250" s="284"/>
      <c r="AB2250" s="284"/>
      <c r="AC2250" s="284"/>
      <c r="AD2250" s="284"/>
      <c r="AE2250" s="284"/>
      <c r="AF2250" s="284"/>
      <c r="AG2250" s="284"/>
    </row>
    <row r="2251" spans="1:33" ht="26.4">
      <c r="A2251" s="284"/>
      <c r="B2251" s="284"/>
      <c r="C2251" s="284"/>
      <c r="D2251" s="284"/>
      <c r="E2251" s="284"/>
      <c r="F2251" s="284"/>
      <c r="G2251" s="284"/>
      <c r="H2251" s="284"/>
      <c r="I2251" s="284"/>
      <c r="J2251" s="284"/>
      <c r="K2251" s="284"/>
      <c r="L2251" s="284"/>
      <c r="M2251" s="113"/>
      <c r="N2251" s="113"/>
      <c r="O2251" s="335"/>
      <c r="T2251" s="340"/>
      <c r="V2251" s="342"/>
      <c r="W2251" s="64" ph="1"/>
      <c r="X2251" s="241"/>
      <c r="Y2251" s="284"/>
      <c r="Z2251" s="207"/>
      <c r="AA2251" s="284"/>
      <c r="AB2251" s="284"/>
      <c r="AC2251" s="284"/>
      <c r="AD2251" s="284"/>
      <c r="AE2251" s="284"/>
      <c r="AF2251" s="284"/>
      <c r="AG2251" s="284"/>
    </row>
    <row r="2252" spans="1:33" ht="26.4">
      <c r="A2252" s="284"/>
      <c r="B2252" s="284"/>
      <c r="C2252" s="284"/>
      <c r="D2252" s="284"/>
      <c r="E2252" s="284"/>
      <c r="F2252" s="284"/>
      <c r="G2252" s="284"/>
      <c r="H2252" s="284"/>
      <c r="I2252" s="284"/>
      <c r="J2252" s="284"/>
      <c r="K2252" s="284"/>
      <c r="L2252" s="284"/>
      <c r="M2252" s="113"/>
      <c r="N2252" s="113"/>
      <c r="O2252" s="335"/>
      <c r="T2252" s="340"/>
      <c r="V2252" s="342"/>
      <c r="W2252" s="64" ph="1"/>
      <c r="X2252" s="241"/>
      <c r="Y2252" s="284"/>
      <c r="Z2252" s="207"/>
      <c r="AA2252" s="284"/>
      <c r="AB2252" s="284"/>
      <c r="AC2252" s="284"/>
      <c r="AD2252" s="284"/>
      <c r="AE2252" s="284"/>
      <c r="AF2252" s="284"/>
      <c r="AG2252" s="284"/>
    </row>
    <row r="2253" spans="1:33" ht="26.4">
      <c r="A2253" s="284"/>
      <c r="B2253" s="284"/>
      <c r="C2253" s="284"/>
      <c r="D2253" s="284"/>
      <c r="E2253" s="284"/>
      <c r="F2253" s="284"/>
      <c r="G2253" s="284"/>
      <c r="H2253" s="284"/>
      <c r="I2253" s="284"/>
      <c r="J2253" s="284"/>
      <c r="K2253" s="284"/>
      <c r="L2253" s="284"/>
      <c r="M2253" s="113"/>
      <c r="N2253" s="113"/>
      <c r="O2253" s="335"/>
      <c r="T2253" s="340"/>
      <c r="V2253" s="342"/>
      <c r="W2253" s="64" ph="1"/>
      <c r="X2253" s="241"/>
      <c r="Y2253" s="284"/>
      <c r="Z2253" s="207"/>
      <c r="AA2253" s="284"/>
      <c r="AB2253" s="284"/>
      <c r="AC2253" s="284"/>
      <c r="AD2253" s="284"/>
      <c r="AE2253" s="284"/>
      <c r="AF2253" s="284"/>
      <c r="AG2253" s="284"/>
    </row>
    <row r="2254" spans="1:33" ht="26.4">
      <c r="A2254" s="284"/>
      <c r="B2254" s="284"/>
      <c r="C2254" s="284"/>
      <c r="D2254" s="284"/>
      <c r="E2254" s="284"/>
      <c r="F2254" s="284"/>
      <c r="G2254" s="284"/>
      <c r="H2254" s="284"/>
      <c r="I2254" s="284"/>
      <c r="J2254" s="284"/>
      <c r="K2254" s="284"/>
      <c r="L2254" s="284"/>
      <c r="M2254" s="113"/>
      <c r="N2254" s="113"/>
      <c r="O2254" s="335"/>
      <c r="T2254" s="340"/>
      <c r="V2254" s="342"/>
      <c r="W2254" s="64" ph="1"/>
      <c r="X2254" s="241"/>
      <c r="Y2254" s="284"/>
      <c r="Z2254" s="207"/>
      <c r="AA2254" s="284"/>
      <c r="AB2254" s="284"/>
      <c r="AC2254" s="284"/>
      <c r="AD2254" s="284"/>
      <c r="AE2254" s="284"/>
      <c r="AF2254" s="284"/>
      <c r="AG2254" s="284"/>
    </row>
    <row r="2255" spans="1:33" ht="26.4">
      <c r="A2255" s="284"/>
      <c r="B2255" s="284"/>
      <c r="C2255" s="284"/>
      <c r="D2255" s="284"/>
      <c r="E2255" s="284"/>
      <c r="F2255" s="284"/>
      <c r="G2255" s="284"/>
      <c r="H2255" s="284"/>
      <c r="I2255" s="284"/>
      <c r="J2255" s="284"/>
      <c r="K2255" s="284"/>
      <c r="L2255" s="284"/>
      <c r="M2255" s="113"/>
      <c r="N2255" s="113"/>
      <c r="O2255" s="335"/>
      <c r="T2255" s="340"/>
      <c r="V2255" s="342"/>
      <c r="W2255" s="64" ph="1"/>
      <c r="X2255" s="241"/>
      <c r="Y2255" s="284"/>
      <c r="Z2255" s="207"/>
      <c r="AA2255" s="284"/>
      <c r="AB2255" s="284"/>
      <c r="AC2255" s="284"/>
      <c r="AD2255" s="284"/>
      <c r="AE2255" s="284"/>
      <c r="AF2255" s="284"/>
      <c r="AG2255" s="284"/>
    </row>
    <row r="2256" spans="1:33" ht="26.4">
      <c r="A2256" s="284"/>
      <c r="B2256" s="284"/>
      <c r="C2256" s="284"/>
      <c r="D2256" s="284"/>
      <c r="E2256" s="284"/>
      <c r="F2256" s="284"/>
      <c r="G2256" s="284"/>
      <c r="H2256" s="284"/>
      <c r="I2256" s="284"/>
      <c r="J2256" s="284"/>
      <c r="K2256" s="284"/>
      <c r="L2256" s="284"/>
      <c r="M2256" s="113"/>
      <c r="N2256" s="113"/>
      <c r="O2256" s="335"/>
      <c r="T2256" s="340"/>
      <c r="V2256" s="342"/>
      <c r="W2256" s="64" ph="1"/>
      <c r="X2256" s="241"/>
      <c r="Y2256" s="284"/>
      <c r="Z2256" s="207"/>
      <c r="AA2256" s="284"/>
      <c r="AB2256" s="284"/>
      <c r="AC2256" s="284"/>
      <c r="AD2256" s="284"/>
      <c r="AE2256" s="284"/>
      <c r="AF2256" s="284"/>
      <c r="AG2256" s="284"/>
    </row>
    <row r="2257" spans="1:33" ht="26.4">
      <c r="A2257" s="284"/>
      <c r="B2257" s="284"/>
      <c r="C2257" s="284"/>
      <c r="D2257" s="284"/>
      <c r="E2257" s="284"/>
      <c r="F2257" s="284"/>
      <c r="G2257" s="284"/>
      <c r="H2257" s="284"/>
      <c r="I2257" s="284"/>
      <c r="J2257" s="284"/>
      <c r="K2257" s="284"/>
      <c r="L2257" s="284"/>
      <c r="M2257" s="113"/>
      <c r="N2257" s="113"/>
      <c r="O2257" s="335"/>
      <c r="T2257" s="340"/>
      <c r="V2257" s="342"/>
      <c r="W2257" s="64" ph="1"/>
      <c r="X2257" s="241"/>
      <c r="Y2257" s="284"/>
      <c r="Z2257" s="207"/>
      <c r="AA2257" s="284"/>
      <c r="AB2257" s="284"/>
      <c r="AC2257" s="284"/>
      <c r="AD2257" s="284"/>
      <c r="AE2257" s="284"/>
      <c r="AF2257" s="284"/>
      <c r="AG2257" s="284"/>
    </row>
    <row r="2258" spans="1:33" ht="26.4">
      <c r="A2258" s="284"/>
      <c r="B2258" s="284"/>
      <c r="C2258" s="284"/>
      <c r="D2258" s="284"/>
      <c r="E2258" s="284"/>
      <c r="F2258" s="284"/>
      <c r="G2258" s="284"/>
      <c r="H2258" s="284"/>
      <c r="I2258" s="284"/>
      <c r="J2258" s="284"/>
      <c r="K2258" s="284"/>
      <c r="L2258" s="284"/>
      <c r="M2258" s="113"/>
      <c r="N2258" s="113"/>
      <c r="O2258" s="335"/>
      <c r="T2258" s="340"/>
      <c r="V2258" s="342"/>
      <c r="W2258" s="64" ph="1"/>
      <c r="X2258" s="241"/>
      <c r="Y2258" s="284"/>
      <c r="Z2258" s="207"/>
      <c r="AA2258" s="284"/>
      <c r="AB2258" s="284"/>
      <c r="AC2258" s="284"/>
      <c r="AD2258" s="284"/>
      <c r="AE2258" s="284"/>
      <c r="AF2258" s="284"/>
      <c r="AG2258" s="284"/>
    </row>
    <row r="2259" spans="1:33" ht="26.4">
      <c r="A2259" s="284"/>
      <c r="B2259" s="284"/>
      <c r="C2259" s="284"/>
      <c r="D2259" s="284"/>
      <c r="E2259" s="284"/>
      <c r="F2259" s="284"/>
      <c r="G2259" s="284"/>
      <c r="H2259" s="284"/>
      <c r="I2259" s="284"/>
      <c r="J2259" s="284"/>
      <c r="K2259" s="284"/>
      <c r="L2259" s="284"/>
      <c r="M2259" s="113"/>
      <c r="N2259" s="113"/>
      <c r="O2259" s="335"/>
      <c r="T2259" s="340"/>
      <c r="V2259" s="342"/>
      <c r="W2259" s="64" ph="1"/>
      <c r="X2259" s="241"/>
      <c r="Y2259" s="284"/>
      <c r="Z2259" s="207"/>
      <c r="AA2259" s="284"/>
      <c r="AB2259" s="284"/>
      <c r="AC2259" s="284"/>
      <c r="AD2259" s="284"/>
      <c r="AE2259" s="284"/>
      <c r="AF2259" s="284"/>
      <c r="AG2259" s="284"/>
    </row>
    <row r="2260" spans="1:33" ht="26.4">
      <c r="A2260" s="284"/>
      <c r="B2260" s="284"/>
      <c r="C2260" s="284"/>
      <c r="D2260" s="284"/>
      <c r="E2260" s="284"/>
      <c r="F2260" s="284"/>
      <c r="G2260" s="284"/>
      <c r="H2260" s="284"/>
      <c r="I2260" s="284"/>
      <c r="J2260" s="284"/>
      <c r="K2260" s="284"/>
      <c r="L2260" s="284"/>
      <c r="M2260" s="113"/>
      <c r="N2260" s="113"/>
      <c r="O2260" s="335"/>
      <c r="T2260" s="340"/>
      <c r="V2260" s="342"/>
      <c r="W2260" s="64" ph="1"/>
      <c r="X2260" s="241"/>
      <c r="Y2260" s="284"/>
      <c r="Z2260" s="207"/>
      <c r="AA2260" s="284"/>
      <c r="AB2260" s="284"/>
      <c r="AC2260" s="284"/>
      <c r="AD2260" s="284"/>
      <c r="AE2260" s="284"/>
      <c r="AF2260" s="284"/>
      <c r="AG2260" s="284"/>
    </row>
    <row r="2261" spans="1:33" ht="26.4">
      <c r="A2261" s="284"/>
      <c r="B2261" s="284"/>
      <c r="C2261" s="284"/>
      <c r="D2261" s="284"/>
      <c r="E2261" s="284"/>
      <c r="F2261" s="284"/>
      <c r="G2261" s="284"/>
      <c r="H2261" s="284"/>
      <c r="I2261" s="284"/>
      <c r="J2261" s="284"/>
      <c r="K2261" s="284"/>
      <c r="L2261" s="284"/>
      <c r="M2261" s="113"/>
      <c r="N2261" s="113"/>
      <c r="O2261" s="335"/>
      <c r="T2261" s="340"/>
      <c r="V2261" s="342"/>
      <c r="W2261" s="64" ph="1"/>
      <c r="X2261" s="241"/>
      <c r="Y2261" s="284"/>
      <c r="Z2261" s="207"/>
      <c r="AA2261" s="284"/>
      <c r="AB2261" s="284"/>
      <c r="AC2261" s="284"/>
      <c r="AD2261" s="284"/>
      <c r="AE2261" s="284"/>
      <c r="AF2261" s="284"/>
      <c r="AG2261" s="284"/>
    </row>
    <row r="2262" spans="1:33" ht="26.4">
      <c r="A2262" s="284"/>
      <c r="B2262" s="284"/>
      <c r="C2262" s="284"/>
      <c r="D2262" s="284"/>
      <c r="E2262" s="284"/>
      <c r="F2262" s="284"/>
      <c r="G2262" s="284"/>
      <c r="H2262" s="284"/>
      <c r="I2262" s="284"/>
      <c r="J2262" s="284"/>
      <c r="K2262" s="284"/>
      <c r="L2262" s="284"/>
      <c r="M2262" s="113"/>
      <c r="N2262" s="113"/>
      <c r="O2262" s="335"/>
      <c r="T2262" s="340"/>
      <c r="V2262" s="342"/>
      <c r="W2262" s="64" ph="1"/>
      <c r="X2262" s="241"/>
      <c r="Y2262" s="284"/>
      <c r="Z2262" s="207"/>
      <c r="AA2262" s="284"/>
      <c r="AB2262" s="284"/>
      <c r="AC2262" s="284"/>
      <c r="AD2262" s="284"/>
      <c r="AE2262" s="284"/>
      <c r="AF2262" s="284"/>
      <c r="AG2262" s="284"/>
    </row>
    <row r="2263" spans="1:33" ht="26.4">
      <c r="A2263" s="284"/>
      <c r="B2263" s="284"/>
      <c r="C2263" s="284"/>
      <c r="D2263" s="284"/>
      <c r="E2263" s="284"/>
      <c r="F2263" s="284"/>
      <c r="G2263" s="284"/>
      <c r="H2263" s="284"/>
      <c r="I2263" s="284"/>
      <c r="J2263" s="284"/>
      <c r="K2263" s="284"/>
      <c r="L2263" s="284"/>
      <c r="M2263" s="113"/>
      <c r="N2263" s="113"/>
      <c r="O2263" s="335"/>
      <c r="T2263" s="340"/>
      <c r="V2263" s="342"/>
      <c r="W2263" s="64" ph="1"/>
      <c r="X2263" s="241"/>
      <c r="Y2263" s="284"/>
      <c r="Z2263" s="207"/>
      <c r="AA2263" s="284"/>
      <c r="AB2263" s="284"/>
      <c r="AC2263" s="284"/>
      <c r="AD2263" s="284"/>
      <c r="AE2263" s="284"/>
      <c r="AF2263" s="284"/>
      <c r="AG2263" s="284"/>
    </row>
    <row r="2264" spans="1:33" ht="26.4">
      <c r="A2264" s="284"/>
      <c r="B2264" s="284"/>
      <c r="C2264" s="284"/>
      <c r="D2264" s="284"/>
      <c r="E2264" s="284"/>
      <c r="F2264" s="284"/>
      <c r="G2264" s="284"/>
      <c r="H2264" s="284"/>
      <c r="I2264" s="284"/>
      <c r="J2264" s="284"/>
      <c r="K2264" s="284"/>
      <c r="L2264" s="284"/>
      <c r="M2264" s="113"/>
      <c r="N2264" s="113"/>
      <c r="O2264" s="335"/>
      <c r="T2264" s="340"/>
      <c r="V2264" s="342"/>
      <c r="W2264" s="64" ph="1"/>
      <c r="X2264" s="241"/>
      <c r="Y2264" s="284"/>
      <c r="Z2264" s="207"/>
      <c r="AA2264" s="284"/>
      <c r="AB2264" s="284"/>
      <c r="AC2264" s="284"/>
      <c r="AD2264" s="284"/>
      <c r="AE2264" s="284"/>
      <c r="AF2264" s="284"/>
      <c r="AG2264" s="284"/>
    </row>
    <row r="2265" spans="1:33" ht="26.4">
      <c r="A2265" s="284"/>
      <c r="B2265" s="284"/>
      <c r="C2265" s="284"/>
      <c r="D2265" s="284"/>
      <c r="E2265" s="284"/>
      <c r="F2265" s="284"/>
      <c r="G2265" s="284"/>
      <c r="H2265" s="284"/>
      <c r="I2265" s="284"/>
      <c r="J2265" s="284"/>
      <c r="K2265" s="284"/>
      <c r="L2265" s="284"/>
      <c r="M2265" s="113"/>
      <c r="N2265" s="113"/>
      <c r="O2265" s="335"/>
      <c r="T2265" s="340"/>
      <c r="V2265" s="342"/>
      <c r="W2265" s="64" ph="1"/>
      <c r="X2265" s="241"/>
      <c r="Y2265" s="284"/>
      <c r="Z2265" s="207"/>
      <c r="AA2265" s="284"/>
      <c r="AB2265" s="284"/>
      <c r="AC2265" s="284"/>
      <c r="AD2265" s="284"/>
      <c r="AE2265" s="284"/>
      <c r="AF2265" s="284"/>
      <c r="AG2265" s="284"/>
    </row>
    <row r="2266" spans="1:33" ht="26.4">
      <c r="A2266" s="284"/>
      <c r="B2266" s="284"/>
      <c r="C2266" s="284"/>
      <c r="D2266" s="284"/>
      <c r="E2266" s="284"/>
      <c r="F2266" s="284"/>
      <c r="G2266" s="284"/>
      <c r="H2266" s="284"/>
      <c r="I2266" s="284"/>
      <c r="J2266" s="284"/>
      <c r="K2266" s="284"/>
      <c r="L2266" s="284"/>
      <c r="M2266" s="113"/>
      <c r="N2266" s="113"/>
      <c r="O2266" s="335"/>
      <c r="T2266" s="340"/>
      <c r="V2266" s="342"/>
      <c r="W2266" s="64" ph="1"/>
      <c r="X2266" s="241"/>
      <c r="Y2266" s="284"/>
      <c r="Z2266" s="207"/>
      <c r="AA2266" s="284"/>
      <c r="AB2266" s="284"/>
      <c r="AC2266" s="284"/>
      <c r="AD2266" s="284"/>
      <c r="AE2266" s="284"/>
      <c r="AF2266" s="284"/>
      <c r="AG2266" s="284"/>
    </row>
    <row r="2267" spans="1:33" ht="26.4">
      <c r="A2267" s="284"/>
      <c r="B2267" s="284"/>
      <c r="C2267" s="284"/>
      <c r="D2267" s="284"/>
      <c r="E2267" s="284"/>
      <c r="F2267" s="284"/>
      <c r="G2267" s="284"/>
      <c r="H2267" s="284"/>
      <c r="I2267" s="284"/>
      <c r="J2267" s="284"/>
      <c r="K2267" s="284"/>
      <c r="L2267" s="284"/>
      <c r="M2267" s="113"/>
      <c r="N2267" s="113"/>
      <c r="O2267" s="335"/>
      <c r="T2267" s="340"/>
      <c r="V2267" s="342"/>
      <c r="W2267" s="64" ph="1"/>
      <c r="X2267" s="241"/>
      <c r="Y2267" s="284"/>
      <c r="Z2267" s="207"/>
      <c r="AA2267" s="284"/>
      <c r="AB2267" s="284"/>
      <c r="AC2267" s="284"/>
      <c r="AD2267" s="284"/>
      <c r="AE2267" s="284"/>
      <c r="AF2267" s="284"/>
      <c r="AG2267" s="284"/>
    </row>
    <row r="2268" spans="1:33" ht="26.4">
      <c r="A2268" s="284"/>
      <c r="B2268" s="284"/>
      <c r="C2268" s="284"/>
      <c r="D2268" s="284"/>
      <c r="E2268" s="284"/>
      <c r="F2268" s="284"/>
      <c r="G2268" s="284"/>
      <c r="H2268" s="284"/>
      <c r="I2268" s="284"/>
      <c r="J2268" s="284"/>
      <c r="K2268" s="284"/>
      <c r="L2268" s="284"/>
      <c r="M2268" s="113"/>
      <c r="N2268" s="113"/>
      <c r="O2268" s="335"/>
      <c r="T2268" s="340"/>
      <c r="V2268" s="342"/>
      <c r="W2268" s="64" ph="1"/>
      <c r="X2268" s="241"/>
      <c r="Y2268" s="284"/>
      <c r="Z2268" s="207"/>
      <c r="AA2268" s="284"/>
      <c r="AB2268" s="284"/>
      <c r="AC2268" s="284"/>
      <c r="AD2268" s="284"/>
      <c r="AE2268" s="284"/>
      <c r="AF2268" s="284"/>
      <c r="AG2268" s="284"/>
    </row>
    <row r="2269" spans="1:33" ht="26.4">
      <c r="A2269" s="284"/>
      <c r="B2269" s="284"/>
      <c r="C2269" s="284"/>
      <c r="D2269" s="284"/>
      <c r="E2269" s="284"/>
      <c r="F2269" s="284"/>
      <c r="G2269" s="284"/>
      <c r="H2269" s="284"/>
      <c r="I2269" s="284"/>
      <c r="J2269" s="284"/>
      <c r="K2269" s="284"/>
      <c r="L2269" s="284"/>
      <c r="M2269" s="113"/>
      <c r="N2269" s="113"/>
      <c r="O2269" s="335"/>
      <c r="T2269" s="340"/>
      <c r="V2269" s="342"/>
      <c r="W2269" s="64" ph="1"/>
      <c r="X2269" s="241"/>
      <c r="Y2269" s="284"/>
      <c r="Z2269" s="207"/>
      <c r="AA2269" s="284"/>
      <c r="AB2269" s="284"/>
      <c r="AC2269" s="284"/>
      <c r="AD2269" s="284"/>
      <c r="AE2269" s="284"/>
      <c r="AF2269" s="284"/>
      <c r="AG2269" s="284"/>
    </row>
    <row r="2270" spans="1:33" ht="26.4">
      <c r="A2270" s="284"/>
      <c r="B2270" s="284"/>
      <c r="C2270" s="284"/>
      <c r="D2270" s="284"/>
      <c r="E2270" s="284"/>
      <c r="F2270" s="284"/>
      <c r="G2270" s="284"/>
      <c r="H2270" s="284"/>
      <c r="I2270" s="284"/>
      <c r="J2270" s="284"/>
      <c r="K2270" s="284"/>
      <c r="L2270" s="284"/>
      <c r="M2270" s="113"/>
      <c r="N2270" s="113"/>
      <c r="O2270" s="335"/>
      <c r="T2270" s="340"/>
      <c r="V2270" s="342"/>
      <c r="W2270" s="64" ph="1"/>
      <c r="X2270" s="241"/>
      <c r="Y2270" s="284"/>
      <c r="Z2270" s="207"/>
      <c r="AA2270" s="284"/>
      <c r="AB2270" s="284"/>
      <c r="AC2270" s="284"/>
      <c r="AD2270" s="284"/>
      <c r="AE2270" s="284"/>
      <c r="AF2270" s="284"/>
      <c r="AG2270" s="284"/>
    </row>
    <row r="2271" spans="1:33" ht="26.4">
      <c r="A2271" s="284"/>
      <c r="B2271" s="284"/>
      <c r="C2271" s="284"/>
      <c r="D2271" s="284"/>
      <c r="E2271" s="284"/>
      <c r="F2271" s="284"/>
      <c r="G2271" s="284"/>
      <c r="H2271" s="284"/>
      <c r="I2271" s="284"/>
      <c r="J2271" s="284"/>
      <c r="K2271" s="284"/>
      <c r="L2271" s="284"/>
      <c r="M2271" s="113"/>
      <c r="N2271" s="113"/>
      <c r="O2271" s="335"/>
      <c r="T2271" s="340"/>
      <c r="V2271" s="342"/>
      <c r="W2271" s="64" ph="1"/>
      <c r="X2271" s="241"/>
      <c r="Y2271" s="284"/>
      <c r="Z2271" s="207"/>
      <c r="AA2271" s="284"/>
      <c r="AB2271" s="284"/>
      <c r="AC2271" s="284"/>
      <c r="AD2271" s="284"/>
      <c r="AE2271" s="284"/>
      <c r="AF2271" s="284"/>
      <c r="AG2271" s="284"/>
    </row>
    <row r="2272" spans="1:33" ht="26.4">
      <c r="A2272" s="284"/>
      <c r="B2272" s="284"/>
      <c r="C2272" s="284"/>
      <c r="D2272" s="284"/>
      <c r="E2272" s="284"/>
      <c r="F2272" s="284"/>
      <c r="G2272" s="284"/>
      <c r="H2272" s="284"/>
      <c r="I2272" s="284"/>
      <c r="J2272" s="284"/>
      <c r="K2272" s="284"/>
      <c r="L2272" s="284"/>
      <c r="M2272" s="113"/>
      <c r="N2272" s="113"/>
      <c r="O2272" s="335"/>
      <c r="T2272" s="340"/>
      <c r="V2272" s="342"/>
      <c r="W2272" s="64" ph="1"/>
      <c r="X2272" s="241"/>
      <c r="Y2272" s="284"/>
      <c r="Z2272" s="207"/>
      <c r="AA2272" s="284"/>
      <c r="AB2272" s="284"/>
      <c r="AC2272" s="284"/>
      <c r="AD2272" s="284"/>
      <c r="AE2272" s="284"/>
      <c r="AF2272" s="284"/>
      <c r="AG2272" s="284"/>
    </row>
    <row r="2273" spans="1:33" ht="26.4">
      <c r="A2273" s="284"/>
      <c r="B2273" s="284"/>
      <c r="C2273" s="284"/>
      <c r="D2273" s="284"/>
      <c r="E2273" s="284"/>
      <c r="F2273" s="284"/>
      <c r="G2273" s="284"/>
      <c r="H2273" s="284"/>
      <c r="I2273" s="284"/>
      <c r="J2273" s="284"/>
      <c r="K2273" s="284"/>
      <c r="L2273" s="284"/>
      <c r="M2273" s="113"/>
      <c r="N2273" s="113"/>
      <c r="O2273" s="335"/>
      <c r="T2273" s="340"/>
      <c r="V2273" s="342"/>
      <c r="W2273" s="64" ph="1"/>
      <c r="X2273" s="241"/>
      <c r="Y2273" s="284"/>
      <c r="Z2273" s="207"/>
      <c r="AA2273" s="284"/>
      <c r="AB2273" s="284"/>
      <c r="AC2273" s="284"/>
      <c r="AD2273" s="284"/>
      <c r="AE2273" s="284"/>
      <c r="AF2273" s="284"/>
      <c r="AG2273" s="284"/>
    </row>
    <row r="2274" spans="1:33" ht="26.4">
      <c r="A2274" s="284"/>
      <c r="B2274" s="284"/>
      <c r="C2274" s="284"/>
      <c r="D2274" s="284"/>
      <c r="E2274" s="284"/>
      <c r="F2274" s="284"/>
      <c r="G2274" s="284"/>
      <c r="H2274" s="284"/>
      <c r="I2274" s="284"/>
      <c r="J2274" s="284"/>
      <c r="K2274" s="284"/>
      <c r="L2274" s="284"/>
      <c r="M2274" s="113"/>
      <c r="N2274" s="113"/>
      <c r="O2274" s="335"/>
      <c r="T2274" s="340"/>
      <c r="V2274" s="342"/>
      <c r="W2274" s="64" ph="1"/>
      <c r="X2274" s="241"/>
      <c r="Y2274" s="284"/>
      <c r="Z2274" s="207"/>
      <c r="AA2274" s="284"/>
      <c r="AB2274" s="284"/>
      <c r="AC2274" s="284"/>
      <c r="AD2274" s="284"/>
      <c r="AE2274" s="284"/>
      <c r="AF2274" s="284"/>
      <c r="AG2274" s="284"/>
    </row>
    <row r="2275" spans="1:33" ht="26.4">
      <c r="A2275" s="284"/>
      <c r="B2275" s="284"/>
      <c r="C2275" s="284"/>
      <c r="D2275" s="284"/>
      <c r="E2275" s="284"/>
      <c r="F2275" s="284"/>
      <c r="G2275" s="284"/>
      <c r="H2275" s="284"/>
      <c r="I2275" s="284"/>
      <c r="J2275" s="284"/>
      <c r="K2275" s="284"/>
      <c r="L2275" s="284"/>
      <c r="M2275" s="113"/>
      <c r="N2275" s="113"/>
      <c r="O2275" s="335"/>
      <c r="T2275" s="340"/>
      <c r="V2275" s="342"/>
      <c r="W2275" s="64" ph="1"/>
      <c r="X2275" s="241"/>
      <c r="Y2275" s="284"/>
      <c r="Z2275" s="207"/>
      <c r="AA2275" s="284"/>
      <c r="AB2275" s="284"/>
      <c r="AC2275" s="284"/>
      <c r="AD2275" s="284"/>
      <c r="AE2275" s="284"/>
      <c r="AF2275" s="284"/>
      <c r="AG2275" s="284"/>
    </row>
    <row r="2276" spans="1:33" ht="26.4">
      <c r="A2276" s="284"/>
      <c r="B2276" s="284"/>
      <c r="C2276" s="284"/>
      <c r="D2276" s="284"/>
      <c r="E2276" s="284"/>
      <c r="F2276" s="284"/>
      <c r="G2276" s="284"/>
      <c r="H2276" s="284"/>
      <c r="I2276" s="284"/>
      <c r="J2276" s="284"/>
      <c r="K2276" s="284"/>
      <c r="L2276" s="284"/>
      <c r="M2276" s="113"/>
      <c r="N2276" s="113"/>
      <c r="O2276" s="335"/>
      <c r="T2276" s="340"/>
      <c r="V2276" s="342"/>
      <c r="W2276" s="64" ph="1"/>
      <c r="X2276" s="241"/>
      <c r="Y2276" s="284"/>
      <c r="Z2276" s="207"/>
      <c r="AA2276" s="284"/>
      <c r="AB2276" s="284"/>
      <c r="AC2276" s="284"/>
      <c r="AD2276" s="284"/>
      <c r="AE2276" s="284"/>
      <c r="AF2276" s="284"/>
      <c r="AG2276" s="284"/>
    </row>
    <row r="2277" spans="1:33" ht="26.4">
      <c r="A2277" s="284"/>
      <c r="B2277" s="284"/>
      <c r="C2277" s="284"/>
      <c r="D2277" s="284"/>
      <c r="E2277" s="284"/>
      <c r="F2277" s="284"/>
      <c r="G2277" s="284"/>
      <c r="H2277" s="284"/>
      <c r="I2277" s="284"/>
      <c r="J2277" s="284"/>
      <c r="K2277" s="284"/>
      <c r="L2277" s="284"/>
      <c r="M2277" s="113"/>
      <c r="N2277" s="113"/>
      <c r="O2277" s="335"/>
      <c r="T2277" s="340"/>
      <c r="V2277" s="342"/>
      <c r="W2277" s="64" ph="1"/>
      <c r="X2277" s="241"/>
      <c r="Y2277" s="284"/>
      <c r="Z2277" s="207"/>
      <c r="AA2277" s="284"/>
      <c r="AB2277" s="284"/>
      <c r="AC2277" s="284"/>
      <c r="AD2277" s="284"/>
      <c r="AE2277" s="284"/>
      <c r="AF2277" s="284"/>
      <c r="AG2277" s="284"/>
    </row>
    <row r="2278" spans="1:33" ht="26.4">
      <c r="A2278" s="284"/>
      <c r="B2278" s="284"/>
      <c r="C2278" s="284"/>
      <c r="D2278" s="284"/>
      <c r="E2278" s="284"/>
      <c r="F2278" s="284"/>
      <c r="G2278" s="284"/>
      <c r="H2278" s="284"/>
      <c r="I2278" s="284"/>
      <c r="J2278" s="284"/>
      <c r="K2278" s="284"/>
      <c r="L2278" s="284"/>
      <c r="M2278" s="113"/>
      <c r="N2278" s="113"/>
      <c r="O2278" s="335"/>
      <c r="T2278" s="340"/>
      <c r="V2278" s="342"/>
      <c r="W2278" s="64" ph="1"/>
      <c r="X2278" s="241"/>
      <c r="Y2278" s="284"/>
      <c r="Z2278" s="207"/>
      <c r="AA2278" s="284"/>
      <c r="AB2278" s="284"/>
      <c r="AC2278" s="284"/>
      <c r="AD2278" s="284"/>
      <c r="AE2278" s="284"/>
      <c r="AF2278" s="284"/>
      <c r="AG2278" s="284"/>
    </row>
    <row r="2279" spans="1:33" ht="26.4">
      <c r="A2279" s="284"/>
      <c r="B2279" s="284"/>
      <c r="C2279" s="284"/>
      <c r="D2279" s="284"/>
      <c r="E2279" s="284"/>
      <c r="F2279" s="284"/>
      <c r="G2279" s="284"/>
      <c r="H2279" s="284"/>
      <c r="I2279" s="284"/>
      <c r="J2279" s="284"/>
      <c r="K2279" s="284"/>
      <c r="L2279" s="284"/>
      <c r="M2279" s="113"/>
      <c r="N2279" s="113"/>
      <c r="O2279" s="335"/>
      <c r="T2279" s="340"/>
      <c r="V2279" s="342"/>
      <c r="W2279" s="64" ph="1"/>
      <c r="X2279" s="241"/>
      <c r="Y2279" s="284"/>
      <c r="Z2279" s="207"/>
      <c r="AA2279" s="284"/>
      <c r="AB2279" s="284"/>
      <c r="AC2279" s="284"/>
      <c r="AD2279" s="284"/>
      <c r="AE2279" s="284"/>
      <c r="AF2279" s="284"/>
      <c r="AG2279" s="284"/>
    </row>
    <row r="2280" spans="1:33" ht="26.4">
      <c r="A2280" s="284"/>
      <c r="B2280" s="284"/>
      <c r="C2280" s="284"/>
      <c r="D2280" s="284"/>
      <c r="E2280" s="284"/>
      <c r="F2280" s="284"/>
      <c r="G2280" s="284"/>
      <c r="H2280" s="284"/>
      <c r="I2280" s="284"/>
      <c r="J2280" s="284"/>
      <c r="K2280" s="284"/>
      <c r="L2280" s="284"/>
      <c r="M2280" s="113"/>
      <c r="N2280" s="113"/>
      <c r="O2280" s="335"/>
      <c r="T2280" s="340"/>
      <c r="V2280" s="342"/>
      <c r="W2280" s="64" ph="1"/>
      <c r="X2280" s="241"/>
      <c r="Y2280" s="284"/>
      <c r="Z2280" s="207"/>
      <c r="AA2280" s="284"/>
      <c r="AB2280" s="284"/>
      <c r="AC2280" s="284"/>
      <c r="AD2280" s="284"/>
      <c r="AE2280" s="284"/>
      <c r="AF2280" s="284"/>
      <c r="AG2280" s="284"/>
    </row>
    <row r="2281" spans="1:33" ht="26.4">
      <c r="A2281" s="284"/>
      <c r="B2281" s="284"/>
      <c r="C2281" s="284"/>
      <c r="D2281" s="284"/>
      <c r="E2281" s="284"/>
      <c r="F2281" s="284"/>
      <c r="G2281" s="284"/>
      <c r="H2281" s="284"/>
      <c r="I2281" s="284"/>
      <c r="J2281" s="284"/>
      <c r="K2281" s="284"/>
      <c r="L2281" s="284"/>
      <c r="M2281" s="113"/>
      <c r="N2281" s="113"/>
      <c r="O2281" s="335"/>
      <c r="T2281" s="340"/>
      <c r="V2281" s="342"/>
      <c r="W2281" s="64" ph="1"/>
      <c r="X2281" s="241"/>
      <c r="Y2281" s="284"/>
      <c r="Z2281" s="207"/>
      <c r="AA2281" s="284"/>
      <c r="AB2281" s="284"/>
      <c r="AC2281" s="284"/>
      <c r="AD2281" s="284"/>
      <c r="AE2281" s="284"/>
      <c r="AF2281" s="284"/>
      <c r="AG2281" s="284"/>
    </row>
    <row r="2282" spans="1:33" ht="26.4">
      <c r="A2282" s="284"/>
      <c r="B2282" s="284"/>
      <c r="C2282" s="284"/>
      <c r="D2282" s="284"/>
      <c r="E2282" s="284"/>
      <c r="F2282" s="284"/>
      <c r="G2282" s="284"/>
      <c r="H2282" s="284"/>
      <c r="I2282" s="284"/>
      <c r="J2282" s="284"/>
      <c r="K2282" s="284"/>
      <c r="L2282" s="284"/>
      <c r="M2282" s="113"/>
      <c r="N2282" s="113"/>
      <c r="O2282" s="335"/>
      <c r="T2282" s="340"/>
      <c r="V2282" s="342"/>
      <c r="W2282" s="64" ph="1"/>
      <c r="X2282" s="241"/>
      <c r="Y2282" s="284"/>
      <c r="Z2282" s="207"/>
      <c r="AA2282" s="284"/>
      <c r="AB2282" s="284"/>
      <c r="AC2282" s="284"/>
      <c r="AD2282" s="284"/>
      <c r="AE2282" s="284"/>
      <c r="AF2282" s="284"/>
      <c r="AG2282" s="284"/>
    </row>
    <row r="2283" spans="1:33" ht="26.4">
      <c r="O2283" s="335"/>
      <c r="W2283" s="64" ph="1"/>
    </row>
    <row r="2284" spans="1:33" ht="26.4">
      <c r="O2284" s="335"/>
      <c r="W2284" s="64" ph="1"/>
    </row>
    <row r="2285" spans="1:33" ht="26.4">
      <c r="O2285" s="335"/>
      <c r="W2285" s="64" ph="1"/>
    </row>
    <row r="2286" spans="1:33" ht="26.4">
      <c r="O2286" s="335"/>
      <c r="W2286" s="64" ph="1"/>
    </row>
    <row r="2287" spans="1:33" ht="26.4">
      <c r="O2287" s="335"/>
      <c r="W2287" s="64" ph="1"/>
    </row>
    <row r="2288" spans="1:33" ht="26.4">
      <c r="O2288" s="335"/>
      <c r="W2288" s="64" ph="1"/>
    </row>
    <row r="2289" spans="15:23" ht="26.4">
      <c r="O2289" s="335"/>
      <c r="W2289" s="64" ph="1"/>
    </row>
    <row r="2290" spans="15:23" ht="26.4">
      <c r="O2290" s="335"/>
      <c r="W2290" s="64" ph="1"/>
    </row>
    <row r="2291" spans="15:23" ht="26.4">
      <c r="O2291" s="335"/>
      <c r="W2291" s="64" ph="1"/>
    </row>
    <row r="2292" spans="15:23" ht="26.4">
      <c r="O2292" s="335"/>
      <c r="W2292" s="64" ph="1"/>
    </row>
    <row r="2293" spans="15:23" ht="26.4">
      <c r="O2293" s="335"/>
      <c r="W2293" s="64" ph="1"/>
    </row>
    <row r="2294" spans="15:23" ht="26.4">
      <c r="O2294" s="335"/>
      <c r="W2294" s="64" ph="1"/>
    </row>
    <row r="2295" spans="15:23" ht="26.4">
      <c r="O2295" s="335"/>
      <c r="W2295" s="64" ph="1"/>
    </row>
    <row r="2296" spans="15:23" ht="26.4">
      <c r="O2296" s="335"/>
      <c r="W2296" s="64" ph="1"/>
    </row>
    <row r="2297" spans="15:23" ht="26.4">
      <c r="O2297" s="335"/>
      <c r="W2297" s="64" ph="1"/>
    </row>
    <row r="2298" spans="15:23" ht="26.4">
      <c r="O2298" s="335"/>
      <c r="W2298" s="64" ph="1"/>
    </row>
    <row r="2299" spans="15:23" ht="26.4">
      <c r="O2299" s="335"/>
      <c r="W2299" s="64" ph="1"/>
    </row>
    <row r="2300" spans="15:23" ht="26.4">
      <c r="W2300" s="64" ph="1"/>
    </row>
    <row r="2301" spans="15:23" ht="26.4">
      <c r="W2301" s="64" ph="1"/>
    </row>
    <row r="2302" spans="15:23" ht="26.4">
      <c r="W2302" s="64" ph="1"/>
    </row>
    <row r="2303" spans="15:23" ht="26.4">
      <c r="W2303" s="64" ph="1"/>
    </row>
    <row r="2304" spans="15:23" ht="26.4">
      <c r="W2304" s="64" ph="1"/>
    </row>
    <row r="2305" spans="23:23" ht="26.4">
      <c r="W2305" s="64" ph="1"/>
    </row>
    <row r="2306" spans="23:23" ht="26.4">
      <c r="W2306" s="64" ph="1"/>
    </row>
    <row r="2307" spans="23:23" ht="26.4">
      <c r="W2307" s="64" ph="1"/>
    </row>
    <row r="2308" spans="23:23" ht="26.4">
      <c r="W2308" s="64" ph="1"/>
    </row>
    <row r="2309" spans="23:23" ht="26.4">
      <c r="W2309" s="64" ph="1"/>
    </row>
    <row r="2310" spans="23:23" ht="26.4">
      <c r="W2310" s="64" ph="1"/>
    </row>
    <row r="2311" spans="23:23" ht="26.4">
      <c r="W2311" s="64" ph="1"/>
    </row>
    <row r="2312" spans="23:23" ht="26.4">
      <c r="W2312" s="64" ph="1"/>
    </row>
    <row r="2313" spans="23:23" ht="26.4">
      <c r="W2313" s="64" ph="1"/>
    </row>
    <row r="2314" spans="23:23" ht="26.4">
      <c r="W2314" s="64" ph="1"/>
    </row>
    <row r="2315" spans="23:23" ht="26.4">
      <c r="W2315" s="64" ph="1"/>
    </row>
    <row r="2316" spans="23:23" ht="26.4">
      <c r="W2316" s="64" ph="1"/>
    </row>
    <row r="2317" spans="23:23" ht="26.4">
      <c r="W2317" s="64" ph="1"/>
    </row>
    <row r="2318" spans="23:23" ht="26.4">
      <c r="W2318" s="64" ph="1"/>
    </row>
    <row r="2319" spans="23:23" ht="26.4">
      <c r="W2319" s="64" ph="1"/>
    </row>
    <row r="2320" spans="23:23" ht="26.4">
      <c r="W2320" s="64" ph="1"/>
    </row>
    <row r="2321" spans="23:23" ht="26.4">
      <c r="W2321" s="64" ph="1"/>
    </row>
    <row r="2322" spans="23:23" ht="26.4">
      <c r="W2322" s="64" ph="1"/>
    </row>
    <row r="2323" spans="23:23" ht="26.4">
      <c r="W2323" s="64" ph="1"/>
    </row>
    <row r="2324" spans="23:23" ht="26.4">
      <c r="W2324" s="64" ph="1"/>
    </row>
    <row r="2325" spans="23:23" ht="26.4">
      <c r="W2325" s="64" ph="1"/>
    </row>
    <row r="2326" spans="23:23" ht="26.4">
      <c r="W2326" s="64" ph="1"/>
    </row>
    <row r="2327" spans="23:23" ht="26.4">
      <c r="W2327" s="64" ph="1"/>
    </row>
    <row r="2328" spans="23:23" ht="26.4">
      <c r="W2328" s="64" ph="1"/>
    </row>
    <row r="2329" spans="23:23" ht="26.4">
      <c r="W2329" s="64" ph="1"/>
    </row>
    <row r="2330" spans="23:23" ht="26.4">
      <c r="W2330" s="64" ph="1"/>
    </row>
    <row r="2331" spans="23:23" ht="26.4">
      <c r="W2331" s="64" ph="1"/>
    </row>
    <row r="2332" spans="23:23" ht="26.4">
      <c r="W2332" s="64" ph="1"/>
    </row>
    <row r="2333" spans="23:23" ht="26.4">
      <c r="W2333" s="64" ph="1"/>
    </row>
    <row r="2334" spans="23:23" ht="26.4">
      <c r="W2334" s="64" ph="1"/>
    </row>
    <row r="2335" spans="23:23" ht="26.4">
      <c r="W2335" s="64" ph="1"/>
    </row>
    <row r="2336" spans="23:23" ht="26.4">
      <c r="W2336" s="64" ph="1"/>
    </row>
    <row r="2337" spans="23:23" ht="26.4">
      <c r="W2337" s="64" ph="1"/>
    </row>
    <row r="2338" spans="23:23" ht="26.4">
      <c r="W2338" s="64" ph="1"/>
    </row>
    <row r="2339" spans="23:23" ht="26.4">
      <c r="W2339" s="64" ph="1"/>
    </row>
    <row r="2340" spans="23:23" ht="26.4">
      <c r="W2340" s="64" ph="1"/>
    </row>
    <row r="2341" spans="23:23" ht="26.4">
      <c r="W2341" s="64" ph="1"/>
    </row>
    <row r="2342" spans="23:23" ht="26.4">
      <c r="W2342" s="64" ph="1"/>
    </row>
    <row r="2343" spans="23:23" ht="26.4">
      <c r="W2343" s="64" ph="1"/>
    </row>
    <row r="2344" spans="23:23" ht="26.4">
      <c r="W2344" s="64" ph="1"/>
    </row>
    <row r="2345" spans="23:23" ht="26.4">
      <c r="W2345" s="64" ph="1"/>
    </row>
    <row r="2346" spans="23:23" ht="26.4">
      <c r="W2346" s="64" ph="1"/>
    </row>
    <row r="2347" spans="23:23" ht="26.4">
      <c r="W2347" s="64" ph="1"/>
    </row>
    <row r="2348" spans="23:23" ht="26.4">
      <c r="W2348" s="64" ph="1"/>
    </row>
    <row r="2349" spans="23:23" ht="26.4">
      <c r="W2349" s="64" ph="1"/>
    </row>
    <row r="2350" spans="23:23" ht="26.4">
      <c r="W2350" s="64" ph="1"/>
    </row>
    <row r="2351" spans="23:23" ht="26.4">
      <c r="W2351" s="64" ph="1"/>
    </row>
    <row r="2352" spans="23:23" ht="26.4">
      <c r="W2352" s="64" ph="1"/>
    </row>
    <row r="2353" spans="23:23" ht="26.4">
      <c r="W2353" s="64" ph="1"/>
    </row>
    <row r="2354" spans="23:23" ht="26.4">
      <c r="W2354" s="64" ph="1"/>
    </row>
    <row r="2355" spans="23:23" ht="26.4">
      <c r="W2355" s="64" ph="1"/>
    </row>
    <row r="2356" spans="23:23" ht="26.4">
      <c r="W2356" s="64" ph="1"/>
    </row>
    <row r="2357" spans="23:23" ht="26.4">
      <c r="W2357" s="64" ph="1"/>
    </row>
    <row r="2358" spans="23:23" ht="26.4">
      <c r="W2358" s="64" ph="1"/>
    </row>
    <row r="2359" spans="23:23" ht="26.4">
      <c r="W2359" s="64" ph="1"/>
    </row>
    <row r="2360" spans="23:23" ht="26.4">
      <c r="W2360" s="64" ph="1"/>
    </row>
    <row r="2361" spans="23:23" ht="26.4">
      <c r="W2361" s="64" ph="1"/>
    </row>
    <row r="2362" spans="23:23" ht="26.4">
      <c r="W2362" s="64" ph="1"/>
    </row>
    <row r="2363" spans="23:23" ht="26.4">
      <c r="W2363" s="64" ph="1"/>
    </row>
    <row r="2364" spans="23:23" ht="26.4">
      <c r="W2364" s="64" ph="1"/>
    </row>
    <row r="2365" spans="23:23" ht="26.4">
      <c r="W2365" s="64" ph="1"/>
    </row>
    <row r="2366" spans="23:23" ht="26.4">
      <c r="W2366" s="64" ph="1"/>
    </row>
    <row r="2367" spans="23:23" ht="26.4">
      <c r="W2367" s="64" ph="1"/>
    </row>
    <row r="2368" spans="23:23" ht="26.4">
      <c r="W2368" s="64" ph="1"/>
    </row>
    <row r="2369" spans="23:23" ht="26.4">
      <c r="W2369" s="64" ph="1"/>
    </row>
    <row r="2370" spans="23:23" ht="26.4">
      <c r="W2370" s="64" ph="1"/>
    </row>
    <row r="2371" spans="23:23" ht="26.4">
      <c r="W2371" s="64" ph="1"/>
    </row>
    <row r="2372" spans="23:23" ht="26.4">
      <c r="W2372" s="64" ph="1"/>
    </row>
    <row r="2373" spans="23:23" ht="26.4">
      <c r="W2373" s="64" ph="1"/>
    </row>
    <row r="2374" spans="23:23" ht="26.4">
      <c r="W2374" s="64" ph="1"/>
    </row>
    <row r="2375" spans="23:23" ht="26.4">
      <c r="W2375" s="64" ph="1"/>
    </row>
    <row r="2376" spans="23:23" ht="26.4">
      <c r="W2376" s="64" ph="1"/>
    </row>
    <row r="2377" spans="23:23" ht="26.4">
      <c r="W2377" s="64" ph="1"/>
    </row>
    <row r="2378" spans="23:23" ht="26.4">
      <c r="W2378" s="64" ph="1"/>
    </row>
    <row r="2379" spans="23:23" ht="26.4">
      <c r="W2379" s="64" ph="1"/>
    </row>
    <row r="2380" spans="23:23" ht="26.4">
      <c r="W2380" s="64" ph="1"/>
    </row>
    <row r="2381" spans="23:23" ht="26.4">
      <c r="W2381" s="64" ph="1"/>
    </row>
    <row r="2382" spans="23:23" ht="26.4">
      <c r="W2382" s="64" ph="1"/>
    </row>
    <row r="2383" spans="23:23" ht="26.4">
      <c r="W2383" s="64" ph="1"/>
    </row>
    <row r="2384" spans="23:23" ht="26.4">
      <c r="W2384" s="64" ph="1"/>
    </row>
    <row r="2385" spans="23:23" ht="26.4">
      <c r="W2385" s="64" ph="1"/>
    </row>
    <row r="2386" spans="23:23" ht="26.4">
      <c r="W2386" s="64" ph="1"/>
    </row>
    <row r="2387" spans="23:23" ht="26.4">
      <c r="W2387" s="64" ph="1"/>
    </row>
    <row r="2388" spans="23:23" ht="26.4">
      <c r="W2388" s="64" ph="1"/>
    </row>
    <row r="2389" spans="23:23" ht="26.4">
      <c r="W2389" s="64" ph="1"/>
    </row>
    <row r="2390" spans="23:23" ht="26.4">
      <c r="W2390" s="64" ph="1"/>
    </row>
    <row r="2391" spans="23:23" ht="26.4">
      <c r="W2391" s="64" ph="1"/>
    </row>
    <row r="2392" spans="23:23" ht="26.4">
      <c r="W2392" s="64" ph="1"/>
    </row>
    <row r="2393" spans="23:23" ht="26.4">
      <c r="W2393" s="64" ph="1"/>
    </row>
    <row r="2394" spans="23:23" ht="26.4">
      <c r="W2394" s="64" ph="1"/>
    </row>
    <row r="2395" spans="23:23" ht="26.4">
      <c r="W2395" s="64" ph="1"/>
    </row>
    <row r="2396" spans="23:23" ht="26.4">
      <c r="W2396" s="64" ph="1"/>
    </row>
    <row r="2397" spans="23:23" ht="26.4">
      <c r="W2397" s="64" ph="1"/>
    </row>
    <row r="2398" spans="23:23" ht="26.4">
      <c r="W2398" s="64" ph="1"/>
    </row>
    <row r="2399" spans="23:23" ht="26.4">
      <c r="W2399" s="64" ph="1"/>
    </row>
    <row r="2400" spans="23:23" ht="26.4">
      <c r="W2400" s="64" ph="1"/>
    </row>
    <row r="2401" spans="23:23" ht="26.4">
      <c r="W2401" s="64" ph="1"/>
    </row>
    <row r="2402" spans="23:23" ht="26.4">
      <c r="W2402" s="64" ph="1"/>
    </row>
    <row r="2403" spans="23:23" ht="26.4">
      <c r="W2403" s="64" ph="1"/>
    </row>
    <row r="2404" spans="23:23" ht="26.4">
      <c r="W2404" s="64" ph="1"/>
    </row>
    <row r="2405" spans="23:23" ht="26.4">
      <c r="W2405" s="64" ph="1"/>
    </row>
    <row r="2406" spans="23:23" ht="26.4">
      <c r="W2406" s="64" ph="1"/>
    </row>
    <row r="2407" spans="23:23" ht="26.4">
      <c r="W2407" s="64" ph="1"/>
    </row>
    <row r="2408" spans="23:23" ht="26.4">
      <c r="W2408" s="64" ph="1"/>
    </row>
    <row r="2409" spans="23:23" ht="26.4">
      <c r="W2409" s="64" ph="1"/>
    </row>
    <row r="2410" spans="23:23" ht="26.4">
      <c r="W2410" s="64" ph="1"/>
    </row>
    <row r="2411" spans="23:23" ht="26.4">
      <c r="W2411" s="64" ph="1"/>
    </row>
    <row r="2412" spans="23:23" ht="26.4">
      <c r="W2412" s="64" ph="1"/>
    </row>
    <row r="2413" spans="23:23" ht="26.4">
      <c r="W2413" s="64" ph="1"/>
    </row>
    <row r="2414" spans="23:23" ht="26.4">
      <c r="W2414" s="64" ph="1"/>
    </row>
    <row r="2415" spans="23:23" ht="26.4">
      <c r="W2415" s="64" ph="1"/>
    </row>
    <row r="2416" spans="23:23" ht="26.4">
      <c r="W2416" s="64" ph="1"/>
    </row>
    <row r="2417" spans="23:23" ht="26.4">
      <c r="W2417" s="64" ph="1"/>
    </row>
    <row r="2418" spans="23:23" ht="26.4">
      <c r="W2418" s="64" ph="1"/>
    </row>
    <row r="2419" spans="23:23" ht="26.4">
      <c r="W2419" s="64" ph="1"/>
    </row>
    <row r="2420" spans="23:23" ht="26.4">
      <c r="W2420" s="64" ph="1"/>
    </row>
    <row r="2421" spans="23:23" ht="26.4">
      <c r="W2421" s="64" ph="1"/>
    </row>
    <row r="2422" spans="23:23" ht="26.4">
      <c r="W2422" s="64" ph="1"/>
    </row>
    <row r="2423" spans="23:23" ht="26.4">
      <c r="W2423" s="64" ph="1"/>
    </row>
    <row r="2424" spans="23:23" ht="26.4">
      <c r="W2424" s="64" ph="1"/>
    </row>
    <row r="2425" spans="23:23" ht="26.4">
      <c r="W2425" s="64" ph="1"/>
    </row>
    <row r="2426" spans="23:23" ht="26.4">
      <c r="W2426" s="64" ph="1"/>
    </row>
    <row r="2427" spans="23:23" ht="26.4">
      <c r="W2427" s="64" ph="1"/>
    </row>
    <row r="2428" spans="23:23" ht="26.4">
      <c r="W2428" s="64" ph="1"/>
    </row>
    <row r="2429" spans="23:23" ht="26.4">
      <c r="W2429" s="64" ph="1"/>
    </row>
    <row r="2430" spans="23:23" ht="26.4">
      <c r="W2430" s="64" ph="1"/>
    </row>
    <row r="2431" spans="23:23" ht="26.4">
      <c r="W2431" s="64" ph="1"/>
    </row>
    <row r="2432" spans="23:23" ht="26.4">
      <c r="W2432" s="64" ph="1"/>
    </row>
    <row r="2433" spans="23:23" ht="26.4">
      <c r="W2433" s="64" ph="1"/>
    </row>
    <row r="2434" spans="23:23" ht="26.4">
      <c r="W2434" s="64" ph="1"/>
    </row>
    <row r="2435" spans="23:23" ht="26.4">
      <c r="W2435" s="64" ph="1"/>
    </row>
    <row r="2436" spans="23:23" ht="26.4">
      <c r="W2436" s="64" ph="1"/>
    </row>
    <row r="2437" spans="23:23" ht="26.4">
      <c r="W2437" s="64" ph="1"/>
    </row>
    <row r="2438" spans="23:23" ht="26.4">
      <c r="W2438" s="64" ph="1"/>
    </row>
    <row r="2439" spans="23:23" ht="26.4">
      <c r="W2439" s="64" ph="1"/>
    </row>
    <row r="2440" spans="23:23" ht="26.4">
      <c r="W2440" s="64" ph="1"/>
    </row>
    <row r="2441" spans="23:23" ht="26.4">
      <c r="W2441" s="64" ph="1"/>
    </row>
    <row r="2442" spans="23:23" ht="26.4">
      <c r="W2442" s="64" ph="1"/>
    </row>
    <row r="2443" spans="23:23" ht="26.4">
      <c r="W2443" s="64" ph="1"/>
    </row>
    <row r="2444" spans="23:23" ht="26.4">
      <c r="W2444" s="64" ph="1"/>
    </row>
    <row r="2445" spans="23:23" ht="26.4">
      <c r="W2445" s="64" ph="1"/>
    </row>
    <row r="2446" spans="23:23" ht="26.4">
      <c r="W2446" s="64" ph="1"/>
    </row>
    <row r="2447" spans="23:23" ht="26.4">
      <c r="W2447" s="64" ph="1"/>
    </row>
    <row r="2448" spans="23:23" ht="26.4">
      <c r="W2448" s="64" ph="1"/>
    </row>
    <row r="2449" spans="23:23" ht="26.4">
      <c r="W2449" s="64" ph="1"/>
    </row>
    <row r="2450" spans="23:23" ht="26.4">
      <c r="W2450" s="64" ph="1"/>
    </row>
    <row r="2451" spans="23:23" ht="26.4">
      <c r="W2451" s="64" ph="1"/>
    </row>
    <row r="2452" spans="23:23" ht="26.4">
      <c r="W2452" s="64" ph="1"/>
    </row>
    <row r="2453" spans="23:23" ht="26.4">
      <c r="W2453" s="64" ph="1"/>
    </row>
    <row r="2454" spans="23:23" ht="26.4">
      <c r="W2454" s="64" ph="1"/>
    </row>
    <row r="2455" spans="23:23" ht="26.4">
      <c r="W2455" s="64" ph="1"/>
    </row>
    <row r="2456" spans="23:23" ht="26.4">
      <c r="W2456" s="64" ph="1"/>
    </row>
    <row r="2457" spans="23:23" ht="26.4">
      <c r="W2457" s="64" ph="1"/>
    </row>
    <row r="2458" spans="23:23" ht="26.4">
      <c r="W2458" s="64" ph="1"/>
    </row>
    <row r="2459" spans="23:23" ht="26.4">
      <c r="W2459" s="64" ph="1"/>
    </row>
    <row r="2460" spans="23:23" ht="26.4">
      <c r="W2460" s="64" ph="1"/>
    </row>
    <row r="2461" spans="23:23" ht="26.4">
      <c r="W2461" s="64" ph="1"/>
    </row>
    <row r="2462" spans="23:23" ht="26.4">
      <c r="W2462" s="64" ph="1"/>
    </row>
    <row r="2463" spans="23:23" ht="26.4">
      <c r="W2463" s="64" ph="1"/>
    </row>
    <row r="2464" spans="23:23" ht="26.4">
      <c r="W2464" s="64" ph="1"/>
    </row>
    <row r="2465" spans="23:23" ht="26.4">
      <c r="W2465" s="64" ph="1"/>
    </row>
    <row r="2466" spans="23:23" ht="26.4">
      <c r="W2466" s="64" ph="1"/>
    </row>
    <row r="2467" spans="23:23" ht="26.4">
      <c r="W2467" s="64" ph="1"/>
    </row>
    <row r="2468" spans="23:23" ht="26.4">
      <c r="W2468" s="64" ph="1"/>
    </row>
    <row r="2469" spans="23:23" ht="26.4">
      <c r="W2469" s="64" ph="1"/>
    </row>
    <row r="2470" spans="23:23" ht="26.4">
      <c r="W2470" s="64" ph="1"/>
    </row>
    <row r="2471" spans="23:23" ht="26.4">
      <c r="W2471" s="64" ph="1"/>
    </row>
    <row r="2472" spans="23:23" ht="26.4">
      <c r="W2472" s="64" ph="1"/>
    </row>
    <row r="2473" spans="23:23" ht="26.4">
      <c r="W2473" s="64" ph="1"/>
    </row>
    <row r="2474" spans="23:23" ht="26.4">
      <c r="W2474" s="64" ph="1"/>
    </row>
    <row r="2475" spans="23:23" ht="26.4">
      <c r="W2475" s="64" ph="1"/>
    </row>
    <row r="2476" spans="23:23" ht="26.4">
      <c r="W2476" s="64" ph="1"/>
    </row>
    <row r="2477" spans="23:23" ht="26.4">
      <c r="W2477" s="64" ph="1"/>
    </row>
    <row r="2478" spans="23:23" ht="26.4">
      <c r="W2478" s="64" ph="1"/>
    </row>
    <row r="2479" spans="23:23" ht="26.4">
      <c r="W2479" s="64" ph="1"/>
    </row>
    <row r="2480" spans="23:23" ht="26.4">
      <c r="W2480" s="64" ph="1"/>
    </row>
    <row r="2481" spans="23:23" ht="26.4">
      <c r="W2481" s="64" ph="1"/>
    </row>
    <row r="2482" spans="23:23" ht="26.4">
      <c r="W2482" s="64" ph="1"/>
    </row>
    <row r="2483" spans="23:23" ht="26.4">
      <c r="W2483" s="64" ph="1"/>
    </row>
    <row r="2484" spans="23:23" ht="26.4">
      <c r="W2484" s="64" ph="1"/>
    </row>
    <row r="2485" spans="23:23" ht="26.4">
      <c r="W2485" s="64" ph="1"/>
    </row>
    <row r="2486" spans="23:23" ht="26.4">
      <c r="W2486" s="64" ph="1"/>
    </row>
    <row r="2487" spans="23:23" ht="26.4">
      <c r="W2487" s="64" ph="1"/>
    </row>
    <row r="2488" spans="23:23" ht="26.4">
      <c r="W2488" s="64" ph="1"/>
    </row>
    <row r="2489" spans="23:23" ht="26.4">
      <c r="W2489" s="64" ph="1"/>
    </row>
    <row r="2490" spans="23:23" ht="26.4">
      <c r="W2490" s="64" ph="1"/>
    </row>
    <row r="2491" spans="23:23" ht="26.4">
      <c r="W2491" s="64" ph="1"/>
    </row>
    <row r="2492" spans="23:23" ht="26.4">
      <c r="W2492" s="64" ph="1"/>
    </row>
    <row r="2493" spans="23:23" ht="26.4">
      <c r="W2493" s="64" ph="1"/>
    </row>
    <row r="2494" spans="23:23" ht="26.4">
      <c r="W2494" s="64" ph="1"/>
    </row>
    <row r="2495" spans="23:23" ht="26.4">
      <c r="W2495" s="64" ph="1"/>
    </row>
    <row r="2496" spans="23:23" ht="26.4">
      <c r="W2496" s="64" ph="1"/>
    </row>
    <row r="2497" spans="23:23" ht="26.4">
      <c r="W2497" s="64" ph="1"/>
    </row>
    <row r="2498" spans="23:23" ht="26.4">
      <c r="W2498" s="64" ph="1"/>
    </row>
    <row r="2499" spans="23:23" ht="26.4">
      <c r="W2499" s="64" ph="1"/>
    </row>
    <row r="2500" spans="23:23" ht="26.4">
      <c r="W2500" s="64" ph="1"/>
    </row>
    <row r="2501" spans="23:23" ht="26.4">
      <c r="W2501" s="64" ph="1"/>
    </row>
    <row r="2502" spans="23:23" ht="26.4">
      <c r="W2502" s="64" ph="1"/>
    </row>
    <row r="2503" spans="23:23" ht="26.4">
      <c r="W2503" s="64" ph="1"/>
    </row>
    <row r="2504" spans="23:23" ht="26.4">
      <c r="W2504" s="64" ph="1"/>
    </row>
    <row r="2505" spans="23:23" ht="26.4">
      <c r="W2505" s="64" ph="1"/>
    </row>
    <row r="2506" spans="23:23" ht="26.4">
      <c r="W2506" s="64" ph="1"/>
    </row>
    <row r="2507" spans="23:23" ht="26.4">
      <c r="W2507" s="64" ph="1"/>
    </row>
    <row r="2508" spans="23:23" ht="26.4">
      <c r="W2508" s="64" ph="1"/>
    </row>
    <row r="2509" spans="23:23" ht="26.4">
      <c r="W2509" s="64" ph="1"/>
    </row>
    <row r="2510" spans="23:23" ht="26.4">
      <c r="W2510" s="64" ph="1"/>
    </row>
    <row r="2511" spans="23:23" ht="26.4">
      <c r="W2511" s="64" ph="1"/>
    </row>
    <row r="2512" spans="23:23" ht="26.4">
      <c r="W2512" s="64" ph="1"/>
    </row>
    <row r="2513" spans="23:23" ht="26.4">
      <c r="W2513" s="64" ph="1"/>
    </row>
    <row r="2514" spans="23:23" ht="26.4">
      <c r="W2514" s="64" ph="1"/>
    </row>
    <row r="2515" spans="23:23" ht="26.4">
      <c r="W2515" s="64" ph="1"/>
    </row>
    <row r="2516" spans="23:23" ht="26.4">
      <c r="W2516" s="64" ph="1"/>
    </row>
    <row r="2517" spans="23:23" ht="26.4">
      <c r="W2517" s="64" ph="1"/>
    </row>
    <row r="2518" spans="23:23" ht="26.4">
      <c r="W2518" s="64" ph="1"/>
    </row>
    <row r="2519" spans="23:23" ht="26.4">
      <c r="W2519" s="64" ph="1"/>
    </row>
    <row r="2520" spans="23:23" ht="26.4">
      <c r="W2520" s="64" ph="1"/>
    </row>
    <row r="2521" spans="23:23" ht="26.4">
      <c r="W2521" s="64" ph="1"/>
    </row>
    <row r="2522" spans="23:23" ht="26.4">
      <c r="W2522" s="64" ph="1"/>
    </row>
    <row r="2523" spans="23:23" ht="26.4">
      <c r="W2523" s="64" ph="1"/>
    </row>
    <row r="2524" spans="23:23" ht="26.4">
      <c r="W2524" s="64" ph="1"/>
    </row>
    <row r="2525" spans="23:23" ht="26.4">
      <c r="W2525" s="64" ph="1"/>
    </row>
    <row r="2526" spans="23:23" ht="26.4">
      <c r="W2526" s="64" ph="1"/>
    </row>
    <row r="2527" spans="23:23" ht="26.4">
      <c r="W2527" s="64" ph="1"/>
    </row>
    <row r="2528" spans="23:23" ht="26.4">
      <c r="W2528" s="64" ph="1"/>
    </row>
    <row r="2529" spans="23:23" ht="26.4">
      <c r="W2529" s="64" ph="1"/>
    </row>
    <row r="2530" spans="23:23" ht="26.4">
      <c r="W2530" s="64" ph="1"/>
    </row>
    <row r="2531" spans="23:23" ht="26.4">
      <c r="W2531" s="64" ph="1"/>
    </row>
    <row r="2532" spans="23:23" ht="26.4">
      <c r="W2532" s="64" ph="1"/>
    </row>
    <row r="2533" spans="23:23" ht="26.4">
      <c r="W2533" s="64" ph="1"/>
    </row>
    <row r="2534" spans="23:23" ht="26.4">
      <c r="W2534" s="64" ph="1"/>
    </row>
    <row r="2535" spans="23:23" ht="26.4">
      <c r="W2535" s="64" ph="1"/>
    </row>
    <row r="2536" spans="23:23" ht="26.4">
      <c r="W2536" s="64" ph="1"/>
    </row>
    <row r="2537" spans="23:23" ht="26.4">
      <c r="W2537" s="64" ph="1"/>
    </row>
    <row r="2538" spans="23:23" ht="26.4">
      <c r="W2538" s="64" ph="1"/>
    </row>
    <row r="2539" spans="23:23" ht="26.4">
      <c r="W2539" s="64" ph="1"/>
    </row>
    <row r="2540" spans="23:23" ht="26.4">
      <c r="W2540" s="64" ph="1"/>
    </row>
    <row r="2541" spans="23:23" ht="26.4">
      <c r="W2541" s="64" ph="1"/>
    </row>
    <row r="2542" spans="23:23" ht="26.4">
      <c r="W2542" s="64" ph="1"/>
    </row>
    <row r="2543" spans="23:23" ht="26.4">
      <c r="W2543" s="64" ph="1"/>
    </row>
    <row r="2544" spans="23:23" ht="26.4">
      <c r="W2544" s="64" ph="1"/>
    </row>
    <row r="2545" spans="23:23" ht="26.4">
      <c r="W2545" s="64" ph="1"/>
    </row>
    <row r="2546" spans="23:23" ht="26.4">
      <c r="W2546" s="64" ph="1"/>
    </row>
    <row r="2547" spans="23:23" ht="26.4">
      <c r="W2547" s="64" ph="1"/>
    </row>
    <row r="2548" spans="23:23" ht="26.4">
      <c r="W2548" s="64" ph="1"/>
    </row>
    <row r="2549" spans="23:23" ht="26.4">
      <c r="W2549" s="64" ph="1"/>
    </row>
    <row r="2550" spans="23:23" ht="26.4">
      <c r="W2550" s="64" ph="1"/>
    </row>
    <row r="2551" spans="23:23" ht="26.4">
      <c r="W2551" s="64" ph="1"/>
    </row>
    <row r="2552" spans="23:23" ht="26.4">
      <c r="W2552" s="64" ph="1"/>
    </row>
    <row r="2553" spans="23:23" ht="26.4">
      <c r="W2553" s="64" ph="1"/>
    </row>
    <row r="2554" spans="23:23" ht="26.4">
      <c r="W2554" s="64" ph="1"/>
    </row>
    <row r="2555" spans="23:23" ht="26.4">
      <c r="W2555" s="64" ph="1"/>
    </row>
    <row r="2556" spans="23:23" ht="26.4">
      <c r="W2556" s="64" ph="1"/>
    </row>
    <row r="2557" spans="23:23" ht="26.4">
      <c r="W2557" s="64" ph="1"/>
    </row>
    <row r="2558" spans="23:23" ht="26.4">
      <c r="W2558" s="64" ph="1"/>
    </row>
    <row r="2559" spans="23:23" ht="26.4">
      <c r="W2559" s="64" ph="1"/>
    </row>
    <row r="2560" spans="23:23" ht="26.4">
      <c r="W2560" s="64" ph="1"/>
    </row>
    <row r="2561" spans="23:23" ht="26.4">
      <c r="W2561" s="64" ph="1"/>
    </row>
    <row r="2562" spans="23:23" ht="26.4">
      <c r="W2562" s="64" ph="1"/>
    </row>
    <row r="2563" spans="23:23" ht="26.4">
      <c r="W2563" s="64" ph="1"/>
    </row>
    <row r="2564" spans="23:23" ht="26.4">
      <c r="W2564" s="64" ph="1"/>
    </row>
    <row r="2565" spans="23:23" ht="26.4">
      <c r="W2565" s="64" ph="1"/>
    </row>
    <row r="2566" spans="23:23" ht="26.4">
      <c r="W2566" s="64" ph="1"/>
    </row>
    <row r="2567" spans="23:23" ht="26.4">
      <c r="W2567" s="64" ph="1"/>
    </row>
    <row r="2568" spans="23:23" ht="26.4">
      <c r="W2568" s="64" ph="1"/>
    </row>
    <row r="2569" spans="23:23" ht="26.4">
      <c r="W2569" s="64" ph="1"/>
    </row>
    <row r="2570" spans="23:23" ht="26.4">
      <c r="W2570" s="64" ph="1"/>
    </row>
    <row r="2571" spans="23:23" ht="26.4">
      <c r="W2571" s="64" ph="1"/>
    </row>
    <row r="2572" spans="23:23" ht="26.4">
      <c r="W2572" s="64" ph="1"/>
    </row>
    <row r="2573" spans="23:23" ht="26.4">
      <c r="W2573" s="64" ph="1"/>
    </row>
    <row r="2574" spans="23:23" ht="26.4">
      <c r="W2574" s="64" ph="1"/>
    </row>
    <row r="2575" spans="23:23" ht="26.4">
      <c r="W2575" s="64" ph="1"/>
    </row>
    <row r="2576" spans="23:23" ht="26.4">
      <c r="W2576" s="64" ph="1"/>
    </row>
    <row r="2577" spans="23:23" ht="26.4">
      <c r="W2577" s="64" ph="1"/>
    </row>
    <row r="2578" spans="23:23" ht="26.4">
      <c r="W2578" s="64" ph="1"/>
    </row>
    <row r="2579" spans="23:23" ht="26.4">
      <c r="W2579" s="64" ph="1"/>
    </row>
    <row r="2580" spans="23:23" ht="26.4">
      <c r="W2580" s="64" ph="1"/>
    </row>
    <row r="2581" spans="23:23" ht="26.4">
      <c r="W2581" s="64" ph="1"/>
    </row>
    <row r="2582" spans="23:23" ht="26.4">
      <c r="W2582" s="64" ph="1"/>
    </row>
    <row r="2583" spans="23:23" ht="26.4">
      <c r="W2583" s="64" ph="1"/>
    </row>
    <row r="2584" spans="23:23" ht="26.4">
      <c r="W2584" s="64" ph="1"/>
    </row>
    <row r="2585" spans="23:23" ht="26.4">
      <c r="W2585" s="64" ph="1"/>
    </row>
    <row r="2586" spans="23:23" ht="26.4">
      <c r="W2586" s="64" ph="1"/>
    </row>
    <row r="2587" spans="23:23" ht="26.4">
      <c r="W2587" s="64" ph="1"/>
    </row>
    <row r="2588" spans="23:23" ht="26.4">
      <c r="W2588" s="64" ph="1"/>
    </row>
    <row r="2589" spans="23:23" ht="26.4">
      <c r="W2589" s="64" ph="1"/>
    </row>
    <row r="2590" spans="23:23" ht="26.4">
      <c r="W2590" s="64" ph="1"/>
    </row>
    <row r="2591" spans="23:23" ht="26.4">
      <c r="W2591" s="64" ph="1"/>
    </row>
    <row r="2592" spans="23:23" ht="26.4">
      <c r="W2592" s="64" ph="1"/>
    </row>
    <row r="2593" spans="23:23" ht="26.4">
      <c r="W2593" s="64" ph="1"/>
    </row>
    <row r="2594" spans="23:23" ht="26.4">
      <c r="W2594" s="64" ph="1"/>
    </row>
    <row r="2595" spans="23:23" ht="26.4">
      <c r="W2595" s="64" ph="1"/>
    </row>
    <row r="2596" spans="23:23" ht="26.4">
      <c r="W2596" s="64" ph="1"/>
    </row>
    <row r="2597" spans="23:23" ht="26.4">
      <c r="W2597" s="64" ph="1"/>
    </row>
    <row r="2598" spans="23:23" ht="26.4">
      <c r="W2598" s="64" ph="1"/>
    </row>
    <row r="2599" spans="23:23" ht="26.4">
      <c r="W2599" s="64" ph="1"/>
    </row>
    <row r="2600" spans="23:23" ht="26.4">
      <c r="W2600" s="64" ph="1"/>
    </row>
    <row r="2601" spans="23:23" ht="26.4">
      <c r="W2601" s="64" ph="1"/>
    </row>
    <row r="2602" spans="23:23" ht="26.4">
      <c r="W2602" s="64" ph="1"/>
    </row>
    <row r="2603" spans="23:23" ht="26.4">
      <c r="W2603" s="64" ph="1"/>
    </row>
    <row r="2604" spans="23:23" ht="26.4">
      <c r="W2604" s="64" ph="1"/>
    </row>
    <row r="2605" spans="23:23" ht="26.4">
      <c r="W2605" s="64" ph="1"/>
    </row>
    <row r="2606" spans="23:23" ht="26.4">
      <c r="W2606" s="64" ph="1"/>
    </row>
    <row r="2607" spans="23:23" ht="26.4">
      <c r="W2607" s="64" ph="1"/>
    </row>
    <row r="2608" spans="23:23" ht="26.4">
      <c r="W2608" s="64" ph="1"/>
    </row>
    <row r="2609" spans="23:23" ht="26.4">
      <c r="W2609" s="64" ph="1"/>
    </row>
    <row r="2610" spans="23:23" ht="26.4">
      <c r="W2610" s="64" ph="1"/>
    </row>
    <row r="2611" spans="23:23" ht="26.4">
      <c r="W2611" s="64" ph="1"/>
    </row>
    <row r="2612" spans="23:23" ht="26.4">
      <c r="W2612" s="64" ph="1"/>
    </row>
    <row r="2613" spans="23:23" ht="26.4">
      <c r="W2613" s="64" ph="1"/>
    </row>
    <row r="2614" spans="23:23" ht="26.4">
      <c r="W2614" s="64" ph="1"/>
    </row>
    <row r="2615" spans="23:23" ht="26.4">
      <c r="W2615" s="64" ph="1"/>
    </row>
    <row r="2616" spans="23:23" ht="26.4">
      <c r="W2616" s="64" ph="1"/>
    </row>
    <row r="2617" spans="23:23" ht="26.4">
      <c r="W2617" s="64" ph="1"/>
    </row>
    <row r="2618" spans="23:23" ht="26.4">
      <c r="W2618" s="64" ph="1"/>
    </row>
    <row r="2619" spans="23:23" ht="26.4">
      <c r="W2619" s="64" ph="1"/>
    </row>
    <row r="2620" spans="23:23" ht="26.4">
      <c r="W2620" s="64" ph="1"/>
    </row>
    <row r="2621" spans="23:23" ht="26.4">
      <c r="W2621" s="64" ph="1"/>
    </row>
    <row r="2622" spans="23:23" ht="26.4">
      <c r="W2622" s="64" ph="1"/>
    </row>
    <row r="2623" spans="23:23" ht="26.4">
      <c r="W2623" s="64" ph="1"/>
    </row>
    <row r="2624" spans="23:23" ht="26.4">
      <c r="W2624" s="64" ph="1"/>
    </row>
    <row r="2625" spans="23:23" ht="26.4">
      <c r="W2625" s="64" ph="1"/>
    </row>
    <row r="2626" spans="23:23" ht="26.4">
      <c r="W2626" s="64" ph="1"/>
    </row>
    <row r="2627" spans="23:23" ht="26.4">
      <c r="W2627" s="64" ph="1"/>
    </row>
    <row r="2628" spans="23:23" ht="26.4">
      <c r="W2628" s="64" ph="1"/>
    </row>
    <row r="2629" spans="23:23" ht="26.4">
      <c r="W2629" s="64" ph="1"/>
    </row>
    <row r="2630" spans="23:23" ht="26.4">
      <c r="W2630" s="64" ph="1"/>
    </row>
    <row r="2631" spans="23:23" ht="26.4">
      <c r="W2631" s="64" ph="1"/>
    </row>
    <row r="2632" spans="23:23" ht="26.4">
      <c r="W2632" s="64" ph="1"/>
    </row>
    <row r="2633" spans="23:23" ht="26.4">
      <c r="W2633" s="64" ph="1"/>
    </row>
    <row r="2634" spans="23:23" ht="26.4">
      <c r="W2634" s="64" ph="1"/>
    </row>
    <row r="2635" spans="23:23" ht="26.4">
      <c r="W2635" s="64" ph="1"/>
    </row>
    <row r="2636" spans="23:23" ht="26.4">
      <c r="W2636" s="64" ph="1"/>
    </row>
    <row r="2637" spans="23:23" ht="26.4">
      <c r="W2637" s="64" ph="1"/>
    </row>
    <row r="2638" spans="23:23" ht="26.4">
      <c r="W2638" s="64" ph="1"/>
    </row>
    <row r="2639" spans="23:23" ht="26.4">
      <c r="W2639" s="64" ph="1"/>
    </row>
    <row r="2640" spans="23:23" ht="26.4">
      <c r="W2640" s="64" ph="1"/>
    </row>
    <row r="2641" spans="23:23" ht="26.4">
      <c r="W2641" s="64" ph="1"/>
    </row>
    <row r="2642" spans="23:23" ht="26.4">
      <c r="W2642" s="64" ph="1"/>
    </row>
    <row r="2643" spans="23:23" ht="26.4">
      <c r="W2643" s="64" ph="1"/>
    </row>
    <row r="2644" spans="23:23" ht="26.4">
      <c r="W2644" s="64" ph="1"/>
    </row>
    <row r="2645" spans="23:23" ht="26.4">
      <c r="W2645" s="64" ph="1"/>
    </row>
    <row r="2646" spans="23:23" ht="26.4">
      <c r="W2646" s="64" ph="1"/>
    </row>
    <row r="2647" spans="23:23" ht="26.4">
      <c r="W2647" s="64" ph="1"/>
    </row>
    <row r="2648" spans="23:23" ht="26.4">
      <c r="W2648" s="64" ph="1"/>
    </row>
    <row r="2649" spans="23:23" ht="26.4">
      <c r="W2649" s="64" ph="1"/>
    </row>
    <row r="2650" spans="23:23" ht="26.4">
      <c r="W2650" s="64" ph="1"/>
    </row>
    <row r="2651" spans="23:23" ht="26.4">
      <c r="W2651" s="64" ph="1"/>
    </row>
    <row r="2652" spans="23:23" ht="26.4">
      <c r="W2652" s="64" ph="1"/>
    </row>
    <row r="2653" spans="23:23" ht="26.4">
      <c r="W2653" s="64" ph="1"/>
    </row>
    <row r="2654" spans="23:23" ht="26.4">
      <c r="W2654" s="64" ph="1"/>
    </row>
    <row r="2655" spans="23:23" ht="26.4">
      <c r="W2655" s="64" ph="1"/>
    </row>
    <row r="2656" spans="23:23" ht="26.4">
      <c r="W2656" s="64" ph="1"/>
    </row>
    <row r="2657" spans="23:23" ht="26.4">
      <c r="W2657" s="64" ph="1"/>
    </row>
    <row r="2658" spans="23:23" ht="26.4">
      <c r="W2658" s="64" ph="1"/>
    </row>
    <row r="2659" spans="23:23" ht="26.4">
      <c r="W2659" s="64" ph="1"/>
    </row>
    <row r="2660" spans="23:23" ht="26.4">
      <c r="W2660" s="64" ph="1"/>
    </row>
    <row r="2661" spans="23:23" ht="26.4">
      <c r="W2661" s="64" ph="1"/>
    </row>
    <row r="2662" spans="23:23" ht="26.4">
      <c r="W2662" s="64" ph="1"/>
    </row>
    <row r="2663" spans="23:23" ht="26.4">
      <c r="W2663" s="64" ph="1"/>
    </row>
    <row r="2664" spans="23:23" ht="26.4">
      <c r="W2664" s="64" ph="1"/>
    </row>
    <row r="2665" spans="23:23" ht="26.4">
      <c r="W2665" s="64" ph="1"/>
    </row>
    <row r="2666" spans="23:23" ht="26.4">
      <c r="W2666" s="64" ph="1"/>
    </row>
    <row r="2667" spans="23:23" ht="26.4">
      <c r="W2667" s="64" ph="1"/>
    </row>
    <row r="2668" spans="23:23" ht="26.4">
      <c r="W2668" s="64" ph="1"/>
    </row>
    <row r="2669" spans="23:23" ht="26.4">
      <c r="W2669" s="64" ph="1"/>
    </row>
    <row r="2670" spans="23:23" ht="26.4">
      <c r="W2670" s="64" ph="1"/>
    </row>
    <row r="2671" spans="23:23" ht="26.4">
      <c r="W2671" s="64" ph="1"/>
    </row>
    <row r="2672" spans="23:23" ht="26.4">
      <c r="W2672" s="64" ph="1"/>
    </row>
    <row r="2673" spans="23:23" ht="26.4">
      <c r="W2673" s="64" ph="1"/>
    </row>
    <row r="2674" spans="23:23" ht="26.4">
      <c r="W2674" s="64" ph="1"/>
    </row>
    <row r="2675" spans="23:23" ht="26.4">
      <c r="W2675" s="64" ph="1"/>
    </row>
    <row r="2676" spans="23:23" ht="26.4">
      <c r="W2676" s="64" ph="1"/>
    </row>
    <row r="2677" spans="23:23" ht="26.4">
      <c r="W2677" s="64" ph="1"/>
    </row>
    <row r="2678" spans="23:23" ht="26.4">
      <c r="W2678" s="64" ph="1"/>
    </row>
    <row r="2679" spans="23:23" ht="26.4">
      <c r="W2679" s="64" ph="1"/>
    </row>
    <row r="2680" spans="23:23" ht="26.4">
      <c r="W2680" s="64" ph="1"/>
    </row>
    <row r="2681" spans="23:23" ht="26.4">
      <c r="W2681" s="64" ph="1"/>
    </row>
    <row r="2682" spans="23:23" ht="26.4">
      <c r="W2682" s="64" ph="1"/>
    </row>
    <row r="2683" spans="23:23" ht="26.4">
      <c r="W2683" s="64" ph="1"/>
    </row>
    <row r="2684" spans="23:23" ht="26.4">
      <c r="W2684" s="64" ph="1"/>
    </row>
    <row r="2685" spans="23:23" ht="26.4">
      <c r="W2685" s="64" ph="1"/>
    </row>
    <row r="2686" spans="23:23" ht="26.4">
      <c r="W2686" s="64" ph="1"/>
    </row>
    <row r="2687" spans="23:23" ht="26.4">
      <c r="W2687" s="64" ph="1"/>
    </row>
    <row r="2688" spans="23:23" ht="26.4">
      <c r="W2688" s="64" ph="1"/>
    </row>
    <row r="2689" spans="23:23" ht="26.4">
      <c r="W2689" s="64" ph="1"/>
    </row>
    <row r="2690" spans="23:23" ht="26.4">
      <c r="W2690" s="64" ph="1"/>
    </row>
    <row r="2691" spans="23:23" ht="26.4">
      <c r="W2691" s="64" ph="1"/>
    </row>
    <row r="2692" spans="23:23" ht="26.4">
      <c r="W2692" s="64" ph="1"/>
    </row>
    <row r="2693" spans="23:23" ht="26.4">
      <c r="W2693" s="64" ph="1"/>
    </row>
    <row r="2694" spans="23:23" ht="26.4">
      <c r="W2694" s="64" ph="1"/>
    </row>
    <row r="2695" spans="23:23" ht="26.4">
      <c r="W2695" s="64" ph="1"/>
    </row>
    <row r="2696" spans="23:23" ht="26.4">
      <c r="W2696" s="64" ph="1"/>
    </row>
    <row r="2697" spans="23:23" ht="26.4">
      <c r="W2697" s="64" ph="1"/>
    </row>
    <row r="2698" spans="23:23" ht="26.4">
      <c r="W2698" s="64" ph="1"/>
    </row>
    <row r="2699" spans="23:23" ht="26.4">
      <c r="W2699" s="64" ph="1"/>
    </row>
    <row r="2700" spans="23:23" ht="26.4">
      <c r="W2700" s="64" ph="1"/>
    </row>
    <row r="2701" spans="23:23" ht="26.4">
      <c r="W2701" s="64" ph="1"/>
    </row>
    <row r="2702" spans="23:23" ht="26.4">
      <c r="W2702" s="64" ph="1"/>
    </row>
    <row r="2703" spans="23:23" ht="26.4">
      <c r="W2703" s="64" ph="1"/>
    </row>
    <row r="2704" spans="23:23" ht="26.4">
      <c r="W2704" s="64" ph="1"/>
    </row>
    <row r="2705" spans="23:23" ht="26.4">
      <c r="W2705" s="64" ph="1"/>
    </row>
    <row r="2706" spans="23:23" ht="26.4">
      <c r="W2706" s="64" ph="1"/>
    </row>
    <row r="2707" spans="23:23" ht="26.4">
      <c r="W2707" s="64" ph="1"/>
    </row>
    <row r="2708" spans="23:23" ht="26.4">
      <c r="W2708" s="64" ph="1"/>
    </row>
    <row r="2709" spans="23:23" ht="26.4">
      <c r="W2709" s="64" ph="1"/>
    </row>
    <row r="2710" spans="23:23" ht="26.4">
      <c r="W2710" s="64" ph="1"/>
    </row>
    <row r="2711" spans="23:23" ht="26.4">
      <c r="W2711" s="64" ph="1"/>
    </row>
    <row r="2712" spans="23:23" ht="26.4">
      <c r="W2712" s="64" ph="1"/>
    </row>
    <row r="2713" spans="23:23" ht="26.4">
      <c r="W2713" s="64" ph="1"/>
    </row>
    <row r="2714" spans="23:23" ht="26.4">
      <c r="W2714" s="64" ph="1"/>
    </row>
    <row r="2715" spans="23:23" ht="26.4">
      <c r="W2715" s="64" ph="1"/>
    </row>
    <row r="2716" spans="23:23" ht="26.4">
      <c r="W2716" s="64" ph="1"/>
    </row>
    <row r="2717" spans="23:23" ht="26.4">
      <c r="W2717" s="64" ph="1"/>
    </row>
    <row r="2718" spans="23:23" ht="26.4">
      <c r="W2718" s="64" ph="1"/>
    </row>
    <row r="2719" spans="23:23" ht="26.4">
      <c r="W2719" s="64" ph="1"/>
    </row>
    <row r="2720" spans="23:23" ht="26.4">
      <c r="W2720" s="64" ph="1"/>
    </row>
    <row r="2721" spans="23:23" ht="26.4">
      <c r="W2721" s="64" ph="1"/>
    </row>
    <row r="2722" spans="23:23" ht="26.4">
      <c r="W2722" s="64" ph="1"/>
    </row>
    <row r="2723" spans="23:23" ht="26.4">
      <c r="W2723" s="64" ph="1"/>
    </row>
    <row r="2724" spans="23:23" ht="26.4">
      <c r="W2724" s="64" ph="1"/>
    </row>
    <row r="2725" spans="23:23" ht="26.4">
      <c r="W2725" s="64" ph="1"/>
    </row>
    <row r="2726" spans="23:23" ht="26.4">
      <c r="W2726" s="64" ph="1"/>
    </row>
    <row r="2727" spans="23:23" ht="26.4">
      <c r="W2727" s="64" ph="1"/>
    </row>
    <row r="2728" spans="23:23" ht="26.4">
      <c r="W2728" s="64" ph="1"/>
    </row>
    <row r="2729" spans="23:23" ht="26.4">
      <c r="W2729" s="64" ph="1"/>
    </row>
    <row r="2730" spans="23:23" ht="26.4">
      <c r="W2730" s="64" ph="1"/>
    </row>
    <row r="2731" spans="23:23" ht="26.4">
      <c r="W2731" s="64" ph="1"/>
    </row>
    <row r="2732" spans="23:23" ht="26.4">
      <c r="W2732" s="64" ph="1"/>
    </row>
    <row r="2733" spans="23:23" ht="26.4">
      <c r="W2733" s="64" ph="1"/>
    </row>
    <row r="2734" spans="23:23" ht="26.4">
      <c r="W2734" s="64" ph="1"/>
    </row>
    <row r="2735" spans="23:23" ht="26.4">
      <c r="W2735" s="64" ph="1"/>
    </row>
    <row r="2736" spans="23:23" ht="26.4">
      <c r="W2736" s="64" ph="1"/>
    </row>
    <row r="2737" spans="23:23" ht="26.4">
      <c r="W2737" s="64" ph="1"/>
    </row>
    <row r="2738" spans="23:23" ht="26.4">
      <c r="W2738" s="64" ph="1"/>
    </row>
    <row r="2739" spans="23:23" ht="26.4">
      <c r="W2739" s="64" ph="1"/>
    </row>
    <row r="2740" spans="23:23" ht="26.4">
      <c r="W2740" s="64" ph="1"/>
    </row>
    <row r="2741" spans="23:23" ht="26.4">
      <c r="W2741" s="64" ph="1"/>
    </row>
    <row r="2742" spans="23:23" ht="26.4">
      <c r="W2742" s="64" ph="1"/>
    </row>
    <row r="2743" spans="23:23" ht="26.4">
      <c r="W2743" s="64" ph="1"/>
    </row>
    <row r="2744" spans="23:23" ht="26.4">
      <c r="W2744" s="64" ph="1"/>
    </row>
    <row r="2745" spans="23:23" ht="26.4">
      <c r="W2745" s="64" ph="1"/>
    </row>
    <row r="2746" spans="23:23" ht="26.4">
      <c r="W2746" s="64" ph="1"/>
    </row>
    <row r="2747" spans="23:23" ht="26.4">
      <c r="W2747" s="64" ph="1"/>
    </row>
    <row r="2748" spans="23:23" ht="26.4">
      <c r="W2748" s="64" ph="1"/>
    </row>
    <row r="2749" spans="23:23" ht="26.4">
      <c r="W2749" s="64" ph="1"/>
    </row>
    <row r="2750" spans="23:23" ht="26.4">
      <c r="W2750" s="64" ph="1"/>
    </row>
    <row r="2751" spans="23:23" ht="26.4">
      <c r="W2751" s="64" ph="1"/>
    </row>
    <row r="2752" spans="23:23" ht="26.4">
      <c r="W2752" s="64" ph="1"/>
    </row>
    <row r="2753" spans="23:23" ht="26.4">
      <c r="W2753" s="64" ph="1"/>
    </row>
    <row r="2754" spans="23:23" ht="26.4">
      <c r="W2754" s="64" ph="1"/>
    </row>
    <row r="2755" spans="23:23" ht="26.4">
      <c r="W2755" s="64" ph="1"/>
    </row>
    <row r="2756" spans="23:23" ht="26.4">
      <c r="W2756" s="64" ph="1"/>
    </row>
    <row r="2757" spans="23:23" ht="26.4">
      <c r="W2757" s="64" ph="1"/>
    </row>
    <row r="2758" spans="23:23" ht="26.4">
      <c r="W2758" s="64" ph="1"/>
    </row>
    <row r="2759" spans="23:23" ht="26.4">
      <c r="W2759" s="64" ph="1"/>
    </row>
    <row r="2760" spans="23:23" ht="26.4">
      <c r="W2760" s="64" ph="1"/>
    </row>
    <row r="2761" spans="23:23" ht="26.4">
      <c r="W2761" s="64" ph="1"/>
    </row>
    <row r="2762" spans="23:23" ht="26.4">
      <c r="W2762" s="64" ph="1"/>
    </row>
    <row r="2763" spans="23:23" ht="26.4">
      <c r="W2763" s="64" ph="1"/>
    </row>
    <row r="2764" spans="23:23" ht="26.4">
      <c r="W2764" s="64" ph="1"/>
    </row>
    <row r="2765" spans="23:23" ht="26.4">
      <c r="W2765" s="64" ph="1"/>
    </row>
    <row r="2766" spans="23:23" ht="26.4">
      <c r="W2766" s="64" ph="1"/>
    </row>
    <row r="2767" spans="23:23" ht="26.4">
      <c r="W2767" s="64" ph="1"/>
    </row>
    <row r="2768" spans="23:23" ht="26.4">
      <c r="W2768" s="64" ph="1"/>
    </row>
    <row r="2769" spans="23:23" ht="26.4">
      <c r="W2769" s="64" ph="1"/>
    </row>
    <row r="2770" spans="23:23" ht="26.4">
      <c r="W2770" s="64" ph="1"/>
    </row>
    <row r="2771" spans="23:23" ht="26.4">
      <c r="W2771" s="64" ph="1"/>
    </row>
    <row r="2772" spans="23:23" ht="26.4">
      <c r="W2772" s="64" ph="1"/>
    </row>
    <row r="2773" spans="23:23" ht="26.4">
      <c r="W2773" s="64" ph="1"/>
    </row>
    <row r="2774" spans="23:23" ht="26.4">
      <c r="W2774" s="64" ph="1"/>
    </row>
    <row r="2775" spans="23:23" ht="26.4">
      <c r="W2775" s="64" ph="1"/>
    </row>
    <row r="2776" spans="23:23" ht="26.4">
      <c r="W2776" s="64" ph="1"/>
    </row>
    <row r="2777" spans="23:23" ht="26.4">
      <c r="W2777" s="64" ph="1"/>
    </row>
    <row r="2778" spans="23:23" ht="26.4">
      <c r="W2778" s="64" ph="1"/>
    </row>
    <row r="2779" spans="23:23" ht="26.4">
      <c r="W2779" s="64" ph="1"/>
    </row>
    <row r="2780" spans="23:23" ht="26.4">
      <c r="W2780" s="64" ph="1"/>
    </row>
    <row r="2781" spans="23:23" ht="26.4">
      <c r="W2781" s="64" ph="1"/>
    </row>
    <row r="2782" spans="23:23" ht="26.4">
      <c r="W2782" s="64" ph="1"/>
    </row>
    <row r="2783" spans="23:23" ht="26.4">
      <c r="W2783" s="64" ph="1"/>
    </row>
    <row r="2784" spans="23:23" ht="26.4">
      <c r="W2784" s="64" ph="1"/>
    </row>
    <row r="2785" spans="23:23" ht="26.4">
      <c r="W2785" s="64" ph="1"/>
    </row>
    <row r="2786" spans="23:23" ht="26.4">
      <c r="W2786" s="64" ph="1"/>
    </row>
    <row r="2787" spans="23:23" ht="26.4">
      <c r="W2787" s="64" ph="1"/>
    </row>
    <row r="2788" spans="23:23" ht="26.4">
      <c r="W2788" s="64" ph="1"/>
    </row>
    <row r="2789" spans="23:23" ht="26.4">
      <c r="W2789" s="64" ph="1"/>
    </row>
    <row r="2790" spans="23:23" ht="26.4">
      <c r="W2790" s="64" ph="1"/>
    </row>
    <row r="2791" spans="23:23" ht="26.4">
      <c r="W2791" s="64" ph="1"/>
    </row>
    <row r="2792" spans="23:23" ht="26.4">
      <c r="W2792" s="64" ph="1"/>
    </row>
    <row r="2793" spans="23:23" ht="26.4">
      <c r="W2793" s="64" ph="1"/>
    </row>
    <row r="2794" spans="23:23" ht="26.4">
      <c r="W2794" s="64" ph="1"/>
    </row>
    <row r="2795" spans="23:23" ht="26.4">
      <c r="W2795" s="64" ph="1"/>
    </row>
    <row r="2796" spans="23:23" ht="26.4">
      <c r="W2796" s="64" ph="1"/>
    </row>
    <row r="2797" spans="23:23" ht="26.4">
      <c r="W2797" s="64" ph="1"/>
    </row>
    <row r="2798" spans="23:23" ht="26.4">
      <c r="W2798" s="64" ph="1"/>
    </row>
    <row r="2799" spans="23:23" ht="26.4">
      <c r="W2799" s="64" ph="1"/>
    </row>
    <row r="2800" spans="23:23" ht="26.4">
      <c r="W2800" s="64" ph="1"/>
    </row>
    <row r="2801" spans="23:23" ht="26.4">
      <c r="W2801" s="64" ph="1"/>
    </row>
    <row r="2802" spans="23:23" ht="26.4">
      <c r="W2802" s="64" ph="1"/>
    </row>
    <row r="2803" spans="23:23" ht="26.4">
      <c r="W2803" s="64" ph="1"/>
    </row>
    <row r="2804" spans="23:23" ht="26.4">
      <c r="W2804" s="64" ph="1"/>
    </row>
    <row r="2805" spans="23:23" ht="26.4">
      <c r="W2805" s="64" ph="1"/>
    </row>
    <row r="2806" spans="23:23" ht="26.4">
      <c r="W2806" s="64" ph="1"/>
    </row>
    <row r="2807" spans="23:23" ht="26.4">
      <c r="W2807" s="64" ph="1"/>
    </row>
    <row r="2808" spans="23:23" ht="26.4">
      <c r="W2808" s="64" ph="1"/>
    </row>
    <row r="2809" spans="23:23" ht="26.4">
      <c r="W2809" s="64" ph="1"/>
    </row>
    <row r="2810" spans="23:23" ht="26.4">
      <c r="W2810" s="64" ph="1"/>
    </row>
    <row r="2811" spans="23:23" ht="26.4">
      <c r="W2811" s="64" ph="1"/>
    </row>
    <row r="2812" spans="23:23" ht="26.4">
      <c r="W2812" s="64" ph="1"/>
    </row>
    <row r="2813" spans="23:23" ht="26.4">
      <c r="W2813" s="64" ph="1"/>
    </row>
    <row r="2814" spans="23:23" ht="26.4">
      <c r="W2814" s="64" ph="1"/>
    </row>
    <row r="2815" spans="23:23" ht="26.4">
      <c r="W2815" s="64" ph="1"/>
    </row>
    <row r="2816" spans="23:23" ht="26.4">
      <c r="W2816" s="64" ph="1"/>
    </row>
    <row r="2817" spans="23:23" ht="26.4">
      <c r="W2817" s="64" ph="1"/>
    </row>
    <row r="2818" spans="23:23" ht="26.4">
      <c r="W2818" s="64" ph="1"/>
    </row>
    <row r="2819" spans="23:23" ht="26.4">
      <c r="W2819" s="64" ph="1"/>
    </row>
    <row r="2820" spans="23:23" ht="26.4">
      <c r="W2820" s="64" ph="1"/>
    </row>
    <row r="2821" spans="23:23" ht="26.4">
      <c r="W2821" s="64" ph="1"/>
    </row>
    <row r="2822" spans="23:23" ht="26.4">
      <c r="W2822" s="64" ph="1"/>
    </row>
    <row r="2823" spans="23:23" ht="26.4">
      <c r="W2823" s="64" ph="1"/>
    </row>
    <row r="2824" spans="23:23" ht="26.4">
      <c r="W2824" s="64" ph="1"/>
    </row>
    <row r="2825" spans="23:23" ht="26.4">
      <c r="W2825" s="64" ph="1"/>
    </row>
    <row r="2826" spans="23:23" ht="26.4">
      <c r="W2826" s="64" ph="1"/>
    </row>
    <row r="2827" spans="23:23" ht="26.4">
      <c r="W2827" s="64" ph="1"/>
    </row>
    <row r="2828" spans="23:23" ht="26.4">
      <c r="W2828" s="64" ph="1"/>
    </row>
    <row r="2829" spans="23:23" ht="26.4">
      <c r="W2829" s="64" ph="1"/>
    </row>
    <row r="2830" spans="23:23" ht="26.4">
      <c r="W2830" s="64" ph="1"/>
    </row>
    <row r="2831" spans="23:23" ht="26.4">
      <c r="W2831" s="64" ph="1"/>
    </row>
    <row r="2832" spans="23:23" ht="26.4">
      <c r="W2832" s="64" ph="1"/>
    </row>
    <row r="2833" spans="23:23" ht="26.4">
      <c r="W2833" s="64" ph="1"/>
    </row>
    <row r="2834" spans="23:23" ht="26.4">
      <c r="W2834" s="64" ph="1"/>
    </row>
    <row r="2835" spans="23:23" ht="26.4">
      <c r="W2835" s="64" ph="1"/>
    </row>
    <row r="2836" spans="23:23" ht="26.4">
      <c r="W2836" s="64" ph="1"/>
    </row>
    <row r="2837" spans="23:23" ht="26.4">
      <c r="W2837" s="64" ph="1"/>
    </row>
    <row r="2838" spans="23:23" ht="26.4">
      <c r="W2838" s="64" ph="1"/>
    </row>
    <row r="2839" spans="23:23" ht="26.4">
      <c r="W2839" s="64" ph="1"/>
    </row>
    <row r="2840" spans="23:23" ht="26.4">
      <c r="W2840" s="64" ph="1"/>
    </row>
    <row r="2841" spans="23:23" ht="26.4">
      <c r="W2841" s="64" ph="1"/>
    </row>
    <row r="2842" spans="23:23" ht="26.4">
      <c r="W2842" s="64" ph="1"/>
    </row>
    <row r="2843" spans="23:23" ht="26.4">
      <c r="W2843" s="64" ph="1"/>
    </row>
    <row r="2844" spans="23:23" ht="26.4">
      <c r="W2844" s="64" ph="1"/>
    </row>
    <row r="2845" spans="23:23" ht="26.4">
      <c r="W2845" s="64" ph="1"/>
    </row>
    <row r="2846" spans="23:23" ht="26.4">
      <c r="W2846" s="64" ph="1"/>
    </row>
    <row r="2847" spans="23:23" ht="26.4">
      <c r="W2847" s="64" ph="1"/>
    </row>
    <row r="2848" spans="23:23" ht="26.4">
      <c r="W2848" s="64" ph="1"/>
    </row>
    <row r="2849" spans="23:23" ht="26.4">
      <c r="W2849" s="64" ph="1"/>
    </row>
    <row r="2850" spans="23:23" ht="26.4">
      <c r="W2850" s="64" ph="1"/>
    </row>
    <row r="2851" spans="23:23" ht="26.4">
      <c r="W2851" s="64" ph="1"/>
    </row>
    <row r="2852" spans="23:23" ht="26.4">
      <c r="W2852" s="64" ph="1"/>
    </row>
    <row r="2853" spans="23:23" ht="26.4">
      <c r="W2853" s="64" ph="1"/>
    </row>
    <row r="2854" spans="23:23" ht="26.4">
      <c r="W2854" s="64" ph="1"/>
    </row>
    <row r="2855" spans="23:23" ht="26.4">
      <c r="W2855" s="64" ph="1"/>
    </row>
    <row r="2856" spans="23:23" ht="26.4">
      <c r="W2856" s="64" ph="1"/>
    </row>
    <row r="2857" spans="23:23" ht="26.4">
      <c r="W2857" s="64" ph="1"/>
    </row>
    <row r="2858" spans="23:23" ht="26.4">
      <c r="W2858" s="64" ph="1"/>
    </row>
    <row r="2859" spans="23:23" ht="26.4">
      <c r="W2859" s="64" ph="1"/>
    </row>
    <row r="2860" spans="23:23" ht="26.4">
      <c r="W2860" s="64" ph="1"/>
    </row>
    <row r="2861" spans="23:23" ht="26.4">
      <c r="W2861" s="64" ph="1"/>
    </row>
    <row r="2862" spans="23:23" ht="26.4">
      <c r="W2862" s="64" ph="1"/>
    </row>
    <row r="2863" spans="23:23" ht="26.4">
      <c r="W2863" s="64" ph="1"/>
    </row>
    <row r="2864" spans="23:23" ht="26.4">
      <c r="W2864" s="64" ph="1"/>
    </row>
    <row r="2865" spans="23:23" ht="26.4">
      <c r="W2865" s="64" ph="1"/>
    </row>
    <row r="2866" spans="23:23" ht="26.4">
      <c r="W2866" s="64" ph="1"/>
    </row>
    <row r="2867" spans="23:23" ht="26.4">
      <c r="W2867" s="64" ph="1"/>
    </row>
    <row r="2868" spans="23:23" ht="26.4">
      <c r="W2868" s="64" ph="1"/>
    </row>
    <row r="2869" spans="23:23" ht="26.4">
      <c r="W2869" s="64" ph="1"/>
    </row>
    <row r="2870" spans="23:23" ht="26.4">
      <c r="W2870" s="64" ph="1"/>
    </row>
    <row r="2871" spans="23:23" ht="26.4">
      <c r="W2871" s="64" ph="1"/>
    </row>
    <row r="2872" spans="23:23" ht="26.4">
      <c r="W2872" s="64" ph="1"/>
    </row>
    <row r="2873" spans="23:23" ht="26.4">
      <c r="W2873" s="64" ph="1"/>
    </row>
    <row r="2874" spans="23:23" ht="26.4">
      <c r="W2874" s="64" ph="1"/>
    </row>
    <row r="2875" spans="23:23" ht="26.4">
      <c r="W2875" s="64" ph="1"/>
    </row>
    <row r="2876" spans="23:23" ht="26.4">
      <c r="W2876" s="64" ph="1"/>
    </row>
    <row r="2877" spans="23:23" ht="26.4">
      <c r="W2877" s="64" ph="1"/>
    </row>
    <row r="2878" spans="23:23" ht="26.4">
      <c r="W2878" s="64" ph="1"/>
    </row>
    <row r="2879" spans="23:23" ht="26.4">
      <c r="W2879" s="64" ph="1"/>
    </row>
    <row r="2880" spans="23:23" ht="26.4">
      <c r="W2880" s="64" ph="1"/>
    </row>
    <row r="2881" spans="23:23" ht="26.4">
      <c r="W2881" s="64" ph="1"/>
    </row>
    <row r="2882" spans="23:23" ht="26.4">
      <c r="W2882" s="64" ph="1"/>
    </row>
    <row r="2883" spans="23:23" ht="26.4">
      <c r="W2883" s="64" ph="1"/>
    </row>
    <row r="2884" spans="23:23" ht="26.4">
      <c r="W2884" s="64" ph="1"/>
    </row>
    <row r="2885" spans="23:23" ht="26.4">
      <c r="W2885" s="64" ph="1"/>
    </row>
    <row r="2886" spans="23:23" ht="26.4">
      <c r="W2886" s="64" ph="1"/>
    </row>
    <row r="2887" spans="23:23" ht="26.4">
      <c r="W2887" s="64" ph="1"/>
    </row>
    <row r="2888" spans="23:23" ht="26.4">
      <c r="W2888" s="64" ph="1"/>
    </row>
    <row r="2889" spans="23:23" ht="26.4">
      <c r="W2889" s="64" ph="1"/>
    </row>
    <row r="2890" spans="23:23" ht="26.4">
      <c r="W2890" s="64" ph="1"/>
    </row>
    <row r="2891" spans="23:23" ht="26.4">
      <c r="W2891" s="64" ph="1"/>
    </row>
    <row r="2892" spans="23:23" ht="26.4">
      <c r="W2892" s="64" ph="1"/>
    </row>
    <row r="2893" spans="23:23" ht="26.4">
      <c r="W2893" s="64" ph="1"/>
    </row>
    <row r="2894" spans="23:23" ht="26.4">
      <c r="W2894" s="64" ph="1"/>
    </row>
    <row r="2895" spans="23:23" ht="26.4">
      <c r="W2895" s="64" ph="1"/>
    </row>
    <row r="2896" spans="23:23" ht="26.4">
      <c r="W2896" s="64" ph="1"/>
    </row>
    <row r="2897" spans="23:23" ht="26.4">
      <c r="W2897" s="64" ph="1"/>
    </row>
    <row r="2898" spans="23:23" ht="26.4">
      <c r="W2898" s="64" ph="1"/>
    </row>
    <row r="2899" spans="23:23" ht="26.4">
      <c r="W2899" s="64" ph="1"/>
    </row>
    <row r="2900" spans="23:23" ht="26.4">
      <c r="W2900" s="64" ph="1"/>
    </row>
    <row r="2901" spans="23:23" ht="26.4">
      <c r="W2901" s="64" ph="1"/>
    </row>
    <row r="2902" spans="23:23" ht="26.4">
      <c r="W2902" s="64" ph="1"/>
    </row>
    <row r="2903" spans="23:23" ht="26.4">
      <c r="W2903" s="64" ph="1"/>
    </row>
    <row r="2904" spans="23:23" ht="26.4">
      <c r="W2904" s="64" ph="1"/>
    </row>
    <row r="2905" spans="23:23" ht="26.4">
      <c r="W2905" s="64" ph="1"/>
    </row>
    <row r="2906" spans="23:23" ht="26.4">
      <c r="W2906" s="64" ph="1"/>
    </row>
    <row r="2907" spans="23:23" ht="26.4">
      <c r="W2907" s="64" ph="1"/>
    </row>
    <row r="2908" spans="23:23" ht="26.4">
      <c r="W2908" s="64" ph="1"/>
    </row>
    <row r="2909" spans="23:23" ht="26.4">
      <c r="W2909" s="64" ph="1"/>
    </row>
    <row r="2910" spans="23:23" ht="26.4">
      <c r="W2910" s="64" ph="1"/>
    </row>
    <row r="2911" spans="23:23" ht="26.4">
      <c r="W2911" s="64" ph="1"/>
    </row>
    <row r="2912" spans="23:23" ht="26.4">
      <c r="W2912" s="64" ph="1"/>
    </row>
    <row r="2913" spans="23:23" ht="26.4">
      <c r="W2913" s="64" ph="1"/>
    </row>
    <row r="2914" spans="23:23" ht="26.4">
      <c r="W2914" s="64" ph="1"/>
    </row>
    <row r="2915" spans="23:23" ht="26.4">
      <c r="W2915" s="64" ph="1"/>
    </row>
    <row r="2916" spans="23:23" ht="26.4">
      <c r="W2916" s="64" ph="1"/>
    </row>
    <row r="2917" spans="23:23" ht="26.4">
      <c r="W2917" s="64" ph="1"/>
    </row>
    <row r="2918" spans="23:23" ht="26.4">
      <c r="W2918" s="64" ph="1"/>
    </row>
    <row r="2919" spans="23:23" ht="26.4">
      <c r="W2919" s="64" ph="1"/>
    </row>
    <row r="2920" spans="23:23" ht="26.4">
      <c r="W2920" s="64" ph="1"/>
    </row>
    <row r="2921" spans="23:23" ht="26.4">
      <c r="W2921" s="64" ph="1"/>
    </row>
    <row r="2922" spans="23:23" ht="26.4">
      <c r="W2922" s="64" ph="1"/>
    </row>
    <row r="2923" spans="23:23" ht="26.4">
      <c r="W2923" s="64" ph="1"/>
    </row>
    <row r="2924" spans="23:23" ht="26.4">
      <c r="W2924" s="64" ph="1"/>
    </row>
    <row r="2925" spans="23:23" ht="26.4">
      <c r="W2925" s="64" ph="1"/>
    </row>
    <row r="2926" spans="23:23" ht="26.4">
      <c r="W2926" s="64" ph="1"/>
    </row>
    <row r="2927" spans="23:23" ht="26.4">
      <c r="W2927" s="64" ph="1"/>
    </row>
    <row r="2928" spans="23:23" ht="26.4">
      <c r="W2928" s="64" ph="1"/>
    </row>
    <row r="2929" spans="23:23" ht="26.4">
      <c r="W2929" s="64" ph="1"/>
    </row>
    <row r="2930" spans="23:23" ht="26.4">
      <c r="W2930" s="64" ph="1"/>
    </row>
    <row r="2931" spans="23:23" ht="26.4">
      <c r="W2931" s="64" ph="1"/>
    </row>
    <row r="2932" spans="23:23" ht="26.4">
      <c r="W2932" s="64" ph="1"/>
    </row>
    <row r="2933" spans="23:23" ht="26.4">
      <c r="W2933" s="64" ph="1"/>
    </row>
    <row r="2934" spans="23:23" ht="26.4">
      <c r="W2934" s="64" ph="1"/>
    </row>
    <row r="2935" spans="23:23" ht="26.4">
      <c r="W2935" s="64" ph="1"/>
    </row>
    <row r="2936" spans="23:23" ht="26.4">
      <c r="W2936" s="64" ph="1"/>
    </row>
    <row r="2937" spans="23:23" ht="26.4">
      <c r="W2937" s="64" ph="1"/>
    </row>
    <row r="2938" spans="23:23" ht="26.4">
      <c r="W2938" s="64" ph="1"/>
    </row>
    <row r="2939" spans="23:23" ht="26.4">
      <c r="W2939" s="64" ph="1"/>
    </row>
    <row r="2940" spans="23:23" ht="26.4">
      <c r="W2940" s="64" ph="1"/>
    </row>
    <row r="2941" spans="23:23" ht="26.4">
      <c r="W2941" s="64" ph="1"/>
    </row>
    <row r="2942" spans="23:23" ht="26.4">
      <c r="W2942" s="64" ph="1"/>
    </row>
    <row r="2943" spans="23:23" ht="26.4">
      <c r="W2943" s="64" ph="1"/>
    </row>
    <row r="2944" spans="23:23" ht="26.4">
      <c r="W2944" s="64" ph="1"/>
    </row>
    <row r="2945" spans="23:23" ht="26.4">
      <c r="W2945" s="64" ph="1"/>
    </row>
    <row r="2946" spans="23:23" ht="26.4">
      <c r="W2946" s="64" ph="1"/>
    </row>
    <row r="2947" spans="23:23" ht="26.4">
      <c r="W2947" s="64" ph="1"/>
    </row>
    <row r="2948" spans="23:23" ht="26.4">
      <c r="W2948" s="64" ph="1"/>
    </row>
    <row r="2949" spans="23:23" ht="26.4">
      <c r="W2949" s="64" ph="1"/>
    </row>
    <row r="2950" spans="23:23" ht="26.4">
      <c r="W2950" s="64" ph="1"/>
    </row>
    <row r="2951" spans="23:23" ht="26.4">
      <c r="W2951" s="64" ph="1"/>
    </row>
    <row r="2952" spans="23:23" ht="26.4">
      <c r="W2952" s="64" ph="1"/>
    </row>
    <row r="2953" spans="23:23" ht="26.4">
      <c r="W2953" s="64" ph="1"/>
    </row>
    <row r="2954" spans="23:23" ht="26.4">
      <c r="W2954" s="64" ph="1"/>
    </row>
    <row r="2955" spans="23:23" ht="26.4">
      <c r="W2955" s="64" ph="1"/>
    </row>
    <row r="2956" spans="23:23" ht="26.4">
      <c r="W2956" s="64" ph="1"/>
    </row>
    <row r="2957" spans="23:23" ht="26.4">
      <c r="W2957" s="64" ph="1"/>
    </row>
    <row r="2958" spans="23:23" ht="26.4">
      <c r="W2958" s="64" ph="1"/>
    </row>
    <row r="2959" spans="23:23" ht="26.4">
      <c r="W2959" s="64" ph="1"/>
    </row>
    <row r="2960" spans="23:23" ht="26.4">
      <c r="W2960" s="64" ph="1"/>
    </row>
    <row r="2961" spans="23:23" ht="26.4">
      <c r="W2961" s="64" ph="1"/>
    </row>
    <row r="2962" spans="23:23" ht="26.4">
      <c r="W2962" s="64" ph="1"/>
    </row>
    <row r="2963" spans="23:23" ht="26.4">
      <c r="W2963" s="64" ph="1"/>
    </row>
    <row r="2964" spans="23:23" ht="26.4">
      <c r="W2964" s="64" ph="1"/>
    </row>
    <row r="2965" spans="23:23" ht="26.4">
      <c r="W2965" s="64" ph="1"/>
    </row>
    <row r="2966" spans="23:23" ht="26.4">
      <c r="W2966" s="64" ph="1"/>
    </row>
    <row r="2967" spans="23:23" ht="26.4">
      <c r="W2967" s="64" ph="1"/>
    </row>
    <row r="2968" spans="23:23" ht="26.4">
      <c r="W2968" s="64" ph="1"/>
    </row>
    <row r="2969" spans="23:23" ht="26.4">
      <c r="W2969" s="64" ph="1"/>
    </row>
    <row r="2970" spans="23:23" ht="26.4">
      <c r="W2970" s="64" ph="1"/>
    </row>
    <row r="2971" spans="23:23" ht="26.4">
      <c r="W2971" s="64" ph="1"/>
    </row>
    <row r="2972" spans="23:23" ht="26.4">
      <c r="W2972" s="64" ph="1"/>
    </row>
    <row r="2973" spans="23:23" ht="26.4">
      <c r="W2973" s="64" ph="1"/>
    </row>
    <row r="2974" spans="23:23" ht="26.4">
      <c r="W2974" s="64" ph="1"/>
    </row>
    <row r="2975" spans="23:23" ht="26.4">
      <c r="W2975" s="64" ph="1"/>
    </row>
    <row r="2976" spans="23:23" ht="26.4">
      <c r="W2976" s="64" ph="1"/>
    </row>
    <row r="2977" spans="23:23" ht="26.4">
      <c r="W2977" s="64" ph="1"/>
    </row>
    <row r="2978" spans="23:23" ht="26.4">
      <c r="W2978" s="64" ph="1"/>
    </row>
    <row r="2979" spans="23:23" ht="26.4">
      <c r="W2979" s="64" ph="1"/>
    </row>
    <row r="2980" spans="23:23" ht="26.4">
      <c r="W2980" s="64" ph="1"/>
    </row>
    <row r="2981" spans="23:23" ht="26.4">
      <c r="W2981" s="64" ph="1"/>
    </row>
    <row r="2982" spans="23:23" ht="26.4">
      <c r="W2982" s="64" ph="1"/>
    </row>
    <row r="2983" spans="23:23" ht="26.4">
      <c r="W2983" s="64" ph="1"/>
    </row>
    <row r="2984" spans="23:23" ht="26.4">
      <c r="W2984" s="64" ph="1"/>
    </row>
    <row r="2985" spans="23:23" ht="26.4">
      <c r="W2985" s="64" ph="1"/>
    </row>
    <row r="2986" spans="23:23" ht="26.4">
      <c r="W2986" s="64" ph="1"/>
    </row>
    <row r="2987" spans="23:23" ht="26.4">
      <c r="W2987" s="64" ph="1"/>
    </row>
    <row r="2988" spans="23:23" ht="26.4">
      <c r="W2988" s="64" ph="1"/>
    </row>
    <row r="2989" spans="23:23" ht="26.4">
      <c r="W2989" s="64" ph="1"/>
    </row>
    <row r="2990" spans="23:23" ht="26.4">
      <c r="W2990" s="64" ph="1"/>
    </row>
    <row r="2991" spans="23:23" ht="26.4">
      <c r="W2991" s="64" ph="1"/>
    </row>
    <row r="2992" spans="23:23" ht="26.4">
      <c r="W2992" s="64" ph="1"/>
    </row>
    <row r="2993" spans="23:23" ht="26.4">
      <c r="W2993" s="64" ph="1"/>
    </row>
    <row r="2994" spans="23:23" ht="26.4">
      <c r="W2994" s="64" ph="1"/>
    </row>
    <row r="2995" spans="23:23" ht="26.4">
      <c r="W2995" s="64" ph="1"/>
    </row>
    <row r="2996" spans="23:23" ht="26.4">
      <c r="W2996" s="64" ph="1"/>
    </row>
    <row r="2997" spans="23:23" ht="26.4">
      <c r="W2997" s="64" ph="1"/>
    </row>
    <row r="2998" spans="23:23" ht="26.4">
      <c r="W2998" s="64" ph="1"/>
    </row>
    <row r="2999" spans="23:23" ht="26.4">
      <c r="W2999" s="64" ph="1"/>
    </row>
    <row r="3000" spans="23:23" ht="26.4">
      <c r="W3000" s="64" ph="1"/>
    </row>
    <row r="3001" spans="23:23" ht="26.4">
      <c r="W3001" s="64" ph="1"/>
    </row>
    <row r="3002" spans="23:23" ht="26.4">
      <c r="W3002" s="64" ph="1"/>
    </row>
    <row r="3003" spans="23:23" ht="26.4">
      <c r="W3003" s="64" ph="1"/>
    </row>
    <row r="3004" spans="23:23" ht="26.4">
      <c r="W3004" s="64" ph="1"/>
    </row>
    <row r="3005" spans="23:23" ht="26.4">
      <c r="W3005" s="64" ph="1"/>
    </row>
    <row r="3006" spans="23:23" ht="26.4">
      <c r="W3006" s="64" ph="1"/>
    </row>
    <row r="3007" spans="23:23" ht="26.4">
      <c r="W3007" s="64" ph="1"/>
    </row>
    <row r="3008" spans="23:23" ht="26.4">
      <c r="W3008" s="64" ph="1"/>
    </row>
    <row r="3009" spans="23:23" ht="26.4">
      <c r="W3009" s="64" ph="1"/>
    </row>
    <row r="3010" spans="23:23" ht="26.4">
      <c r="W3010" s="64" ph="1"/>
    </row>
    <row r="3011" spans="23:23" ht="26.4">
      <c r="W3011" s="64" ph="1"/>
    </row>
    <row r="3012" spans="23:23" ht="26.4">
      <c r="W3012" s="64" ph="1"/>
    </row>
    <row r="3013" spans="23:23" ht="26.4">
      <c r="W3013" s="64" ph="1"/>
    </row>
    <row r="3014" spans="23:23" ht="26.4">
      <c r="W3014" s="64" ph="1"/>
    </row>
    <row r="3015" spans="23:23" ht="26.4">
      <c r="W3015" s="64" ph="1"/>
    </row>
    <row r="3016" spans="23:23" ht="26.4">
      <c r="W3016" s="64" ph="1"/>
    </row>
    <row r="3017" spans="23:23" ht="26.4">
      <c r="W3017" s="64" ph="1"/>
    </row>
    <row r="3018" spans="23:23" ht="26.4">
      <c r="W3018" s="64" ph="1"/>
    </row>
    <row r="3019" spans="23:23" ht="26.4">
      <c r="W3019" s="64" ph="1"/>
    </row>
    <row r="3020" spans="23:23" ht="26.4">
      <c r="W3020" s="64" ph="1"/>
    </row>
    <row r="3021" spans="23:23" ht="26.4">
      <c r="W3021" s="64" ph="1"/>
    </row>
    <row r="3022" spans="23:23" ht="26.4">
      <c r="W3022" s="64" ph="1"/>
    </row>
    <row r="3023" spans="23:23" ht="26.4">
      <c r="W3023" s="64" ph="1"/>
    </row>
    <row r="3024" spans="23:23" ht="26.4">
      <c r="W3024" s="64" ph="1"/>
    </row>
    <row r="3025" spans="23:23" ht="26.4">
      <c r="W3025" s="64" ph="1"/>
    </row>
    <row r="3026" spans="23:23" ht="26.4">
      <c r="W3026" s="64" ph="1"/>
    </row>
    <row r="3027" spans="23:23" ht="26.4">
      <c r="W3027" s="64" ph="1"/>
    </row>
    <row r="3028" spans="23:23" ht="26.4">
      <c r="W3028" s="64" ph="1"/>
    </row>
    <row r="3029" spans="23:23" ht="26.4">
      <c r="W3029" s="64" ph="1"/>
    </row>
    <row r="3030" spans="23:23" ht="26.4">
      <c r="W3030" s="64" ph="1"/>
    </row>
    <row r="3031" spans="23:23" ht="26.4">
      <c r="W3031" s="64" ph="1"/>
    </row>
    <row r="3032" spans="23:23" ht="26.4">
      <c r="W3032" s="64" ph="1"/>
    </row>
    <row r="3033" spans="23:23" ht="26.4">
      <c r="W3033" s="64" ph="1"/>
    </row>
    <row r="3034" spans="23:23" ht="26.4">
      <c r="W3034" s="64" ph="1"/>
    </row>
    <row r="3035" spans="23:23" ht="26.4">
      <c r="W3035" s="64" ph="1"/>
    </row>
    <row r="3036" spans="23:23" ht="26.4">
      <c r="W3036" s="64" ph="1"/>
    </row>
    <row r="3037" spans="23:23" ht="26.4">
      <c r="W3037" s="64" ph="1"/>
    </row>
    <row r="3038" spans="23:23" ht="26.4">
      <c r="W3038" s="64" ph="1"/>
    </row>
    <row r="3039" spans="23:23" ht="26.4">
      <c r="W3039" s="64" ph="1"/>
    </row>
    <row r="3040" spans="23:23" ht="26.4">
      <c r="W3040" s="64" ph="1"/>
    </row>
    <row r="3041" spans="23:23" ht="26.4">
      <c r="W3041" s="64" ph="1"/>
    </row>
    <row r="3042" spans="23:23" ht="26.4">
      <c r="W3042" s="64" ph="1"/>
    </row>
    <row r="3043" spans="23:23" ht="26.4">
      <c r="W3043" s="64" ph="1"/>
    </row>
    <row r="3044" spans="23:23" ht="26.4">
      <c r="W3044" s="64" ph="1"/>
    </row>
    <row r="3045" spans="23:23" ht="26.4">
      <c r="W3045" s="64" ph="1"/>
    </row>
    <row r="3046" spans="23:23" ht="26.4">
      <c r="W3046" s="64" ph="1"/>
    </row>
    <row r="3047" spans="23:23" ht="26.4">
      <c r="W3047" s="64" ph="1"/>
    </row>
    <row r="3048" spans="23:23" ht="26.4">
      <c r="W3048" s="64" ph="1"/>
    </row>
    <row r="3049" spans="23:23" ht="26.4">
      <c r="W3049" s="64" ph="1"/>
    </row>
    <row r="3050" spans="23:23" ht="26.4">
      <c r="W3050" s="64" ph="1"/>
    </row>
    <row r="3051" spans="23:23" ht="26.4">
      <c r="W3051" s="64" ph="1"/>
    </row>
    <row r="3052" spans="23:23" ht="26.4">
      <c r="W3052" s="64" ph="1"/>
    </row>
    <row r="3053" spans="23:23" ht="26.4">
      <c r="W3053" s="64" ph="1"/>
    </row>
    <row r="3054" spans="23:23" ht="26.4">
      <c r="W3054" s="64" ph="1"/>
    </row>
    <row r="3055" spans="23:23" ht="26.4">
      <c r="W3055" s="64" ph="1"/>
    </row>
    <row r="3056" spans="23:23" ht="26.4">
      <c r="W3056" s="64" ph="1"/>
    </row>
    <row r="3057" spans="23:23" ht="26.4">
      <c r="W3057" s="64" ph="1"/>
    </row>
    <row r="3058" spans="23:23" ht="26.4">
      <c r="W3058" s="64" ph="1"/>
    </row>
    <row r="3059" spans="23:23" ht="26.4">
      <c r="W3059" s="64" ph="1"/>
    </row>
    <row r="3060" spans="23:23" ht="26.4">
      <c r="W3060" s="64" ph="1"/>
    </row>
    <row r="3061" spans="23:23" ht="26.4">
      <c r="W3061" s="64" ph="1"/>
    </row>
    <row r="3062" spans="23:23" ht="26.4">
      <c r="W3062" s="64" ph="1"/>
    </row>
    <row r="3063" spans="23:23" ht="26.4">
      <c r="W3063" s="64" ph="1"/>
    </row>
    <row r="3064" spans="23:23" ht="26.4">
      <c r="W3064" s="64" ph="1"/>
    </row>
    <row r="3065" spans="23:23" ht="26.4">
      <c r="W3065" s="64" ph="1"/>
    </row>
    <row r="3066" spans="23:23" ht="26.4">
      <c r="W3066" s="64" ph="1"/>
    </row>
    <row r="3067" spans="23:23" ht="26.4">
      <c r="W3067" s="64" ph="1"/>
    </row>
    <row r="3068" spans="23:23" ht="26.4">
      <c r="W3068" s="64" ph="1"/>
    </row>
    <row r="3069" spans="23:23" ht="26.4">
      <c r="W3069" s="64" ph="1"/>
    </row>
    <row r="3070" spans="23:23" ht="26.4">
      <c r="W3070" s="64" ph="1"/>
    </row>
    <row r="3071" spans="23:23" ht="26.4">
      <c r="W3071" s="64" ph="1"/>
    </row>
    <row r="3072" spans="23:23" ht="26.4">
      <c r="W3072" s="64" ph="1"/>
    </row>
    <row r="3073" spans="23:23" ht="26.4">
      <c r="W3073" s="64" ph="1"/>
    </row>
    <row r="3074" spans="23:23" ht="26.4">
      <c r="W3074" s="64" ph="1"/>
    </row>
    <row r="3075" spans="23:23" ht="26.4">
      <c r="W3075" s="64" ph="1"/>
    </row>
    <row r="3076" spans="23:23" ht="26.4">
      <c r="W3076" s="64" ph="1"/>
    </row>
    <row r="3077" spans="23:23" ht="26.4">
      <c r="W3077" s="64" ph="1"/>
    </row>
    <row r="3078" spans="23:23" ht="26.4">
      <c r="W3078" s="64" ph="1"/>
    </row>
    <row r="3079" spans="23:23" ht="26.4">
      <c r="W3079" s="64" ph="1"/>
    </row>
    <row r="3080" spans="23:23" ht="26.4">
      <c r="W3080" s="64" ph="1"/>
    </row>
    <row r="3081" spans="23:23" ht="26.4">
      <c r="W3081" s="64" ph="1"/>
    </row>
    <row r="3082" spans="23:23" ht="26.4">
      <c r="W3082" s="64" ph="1"/>
    </row>
    <row r="3083" spans="23:23" ht="26.4">
      <c r="W3083" s="64" ph="1"/>
    </row>
    <row r="3084" spans="23:23" ht="26.4">
      <c r="W3084" s="64" ph="1"/>
    </row>
    <row r="3085" spans="23:23" ht="26.4">
      <c r="W3085" s="64" ph="1"/>
    </row>
    <row r="3086" spans="23:23" ht="26.4">
      <c r="W3086" s="64" ph="1"/>
    </row>
    <row r="3087" spans="23:23" ht="26.4">
      <c r="W3087" s="64" ph="1"/>
    </row>
    <row r="3088" spans="23:23" ht="26.4">
      <c r="W3088" s="64" ph="1"/>
    </row>
    <row r="3089" spans="23:23" ht="26.4">
      <c r="W3089" s="64" ph="1"/>
    </row>
    <row r="3090" spans="23:23" ht="26.4">
      <c r="W3090" s="64" ph="1"/>
    </row>
    <row r="3091" spans="23:23" ht="26.4">
      <c r="W3091" s="64" ph="1"/>
    </row>
    <row r="3092" spans="23:23" ht="26.4">
      <c r="W3092" s="64" ph="1"/>
    </row>
    <row r="3093" spans="23:23" ht="26.4">
      <c r="W3093" s="64" ph="1"/>
    </row>
    <row r="3094" spans="23:23" ht="26.4">
      <c r="W3094" s="64" ph="1"/>
    </row>
    <row r="3095" spans="23:23" ht="26.4">
      <c r="W3095" s="64" ph="1"/>
    </row>
    <row r="3096" spans="23:23" ht="26.4">
      <c r="W3096" s="64" ph="1"/>
    </row>
    <row r="3097" spans="23:23" ht="26.4">
      <c r="W3097" s="64" ph="1"/>
    </row>
    <row r="3098" spans="23:23" ht="26.4">
      <c r="W3098" s="64" ph="1"/>
    </row>
    <row r="3099" spans="23:23" ht="26.4">
      <c r="W3099" s="64" ph="1"/>
    </row>
    <row r="3100" spans="23:23" ht="26.4">
      <c r="W3100" s="64" ph="1"/>
    </row>
    <row r="3101" spans="23:23" ht="26.4">
      <c r="W3101" s="64" ph="1"/>
    </row>
    <row r="3102" spans="23:23" ht="26.4">
      <c r="W3102" s="64" ph="1"/>
    </row>
    <row r="3103" spans="23:23" ht="26.4">
      <c r="W3103" s="64" ph="1"/>
    </row>
    <row r="3104" spans="23:23" ht="26.4">
      <c r="W3104" s="64" ph="1"/>
    </row>
    <row r="3105" spans="23:23" ht="26.4">
      <c r="W3105" s="64" ph="1"/>
    </row>
    <row r="3106" spans="23:23" ht="26.4">
      <c r="W3106" s="64" ph="1"/>
    </row>
    <row r="3107" spans="23:23" ht="26.4">
      <c r="W3107" s="64" ph="1"/>
    </row>
    <row r="3108" spans="23:23" ht="26.4">
      <c r="W3108" s="64" ph="1"/>
    </row>
    <row r="3109" spans="23:23" ht="26.4">
      <c r="W3109" s="64" ph="1"/>
    </row>
    <row r="3110" spans="23:23" ht="26.4">
      <c r="W3110" s="64" ph="1"/>
    </row>
    <row r="3111" spans="23:23" ht="26.4">
      <c r="W3111" s="64" ph="1"/>
    </row>
    <row r="3112" spans="23:23" ht="26.4">
      <c r="W3112" s="64" ph="1"/>
    </row>
    <row r="3113" spans="23:23" ht="26.4">
      <c r="W3113" s="64" ph="1"/>
    </row>
    <row r="3114" spans="23:23" ht="26.4">
      <c r="W3114" s="64" ph="1"/>
    </row>
    <row r="3115" spans="23:23" ht="26.4">
      <c r="W3115" s="64" ph="1"/>
    </row>
    <row r="3116" spans="23:23" ht="26.4">
      <c r="W3116" s="64" ph="1"/>
    </row>
    <row r="3117" spans="23:23" ht="26.4">
      <c r="W3117" s="64" ph="1"/>
    </row>
    <row r="3118" spans="23:23" ht="26.4">
      <c r="W3118" s="64" ph="1"/>
    </row>
    <row r="3119" spans="23:23" ht="26.4">
      <c r="W3119" s="64" ph="1"/>
    </row>
    <row r="3120" spans="23:23" ht="26.4">
      <c r="W3120" s="64" ph="1"/>
    </row>
    <row r="3121" spans="23:23" ht="26.4">
      <c r="W3121" s="64" ph="1"/>
    </row>
    <row r="3122" spans="23:23" ht="26.4">
      <c r="W3122" s="64" ph="1"/>
    </row>
    <row r="3123" spans="23:23" ht="26.4">
      <c r="W3123" s="64" ph="1"/>
    </row>
    <row r="3124" spans="23:23" ht="26.4">
      <c r="W3124" s="64" ph="1"/>
    </row>
    <row r="3125" spans="23:23" ht="26.4">
      <c r="W3125" s="64" ph="1"/>
    </row>
    <row r="3126" spans="23:23" ht="26.4">
      <c r="W3126" s="64" ph="1"/>
    </row>
    <row r="3127" spans="23:23" ht="26.4">
      <c r="W3127" s="64" ph="1"/>
    </row>
    <row r="3128" spans="23:23" ht="26.4">
      <c r="W3128" s="64" ph="1"/>
    </row>
    <row r="3129" spans="23:23" ht="26.4">
      <c r="W3129" s="64" ph="1"/>
    </row>
    <row r="3130" spans="23:23" ht="26.4">
      <c r="W3130" s="64" ph="1"/>
    </row>
    <row r="3131" spans="23:23" ht="26.4">
      <c r="W3131" s="64" ph="1"/>
    </row>
    <row r="3132" spans="23:23" ht="26.4">
      <c r="W3132" s="64" ph="1"/>
    </row>
    <row r="3133" spans="23:23" ht="26.4">
      <c r="W3133" s="64" ph="1"/>
    </row>
    <row r="3134" spans="23:23" ht="26.4">
      <c r="W3134" s="64" ph="1"/>
    </row>
    <row r="3135" spans="23:23" ht="26.4">
      <c r="W3135" s="64" ph="1"/>
    </row>
    <row r="3136" spans="23:23" ht="26.4">
      <c r="W3136" s="64" ph="1"/>
    </row>
    <row r="3137" spans="23:23" ht="26.4">
      <c r="W3137" s="64" ph="1"/>
    </row>
    <row r="3138" spans="23:23" ht="26.4">
      <c r="W3138" s="64" ph="1"/>
    </row>
    <row r="3139" spans="23:23" ht="26.4">
      <c r="W3139" s="64" ph="1"/>
    </row>
    <row r="3140" spans="23:23" ht="26.4">
      <c r="W3140" s="64" ph="1"/>
    </row>
    <row r="3141" spans="23:23" ht="26.4">
      <c r="W3141" s="64" ph="1"/>
    </row>
    <row r="3142" spans="23:23" ht="26.4">
      <c r="W3142" s="64" ph="1"/>
    </row>
    <row r="3143" spans="23:23" ht="26.4">
      <c r="W3143" s="64" ph="1"/>
    </row>
    <row r="3144" spans="23:23" ht="26.4">
      <c r="W3144" s="64" ph="1"/>
    </row>
    <row r="3145" spans="23:23" ht="26.4">
      <c r="W3145" s="64" ph="1"/>
    </row>
    <row r="3146" spans="23:23" ht="26.4">
      <c r="W3146" s="64" ph="1"/>
    </row>
    <row r="3147" spans="23:23" ht="26.4">
      <c r="W3147" s="64" ph="1"/>
    </row>
    <row r="3148" spans="23:23" ht="26.4">
      <c r="W3148" s="64" ph="1"/>
    </row>
    <row r="3149" spans="23:23" ht="26.4">
      <c r="W3149" s="64" ph="1"/>
    </row>
    <row r="3150" spans="23:23" ht="26.4">
      <c r="W3150" s="64" ph="1"/>
    </row>
    <row r="3151" spans="23:23" ht="26.4">
      <c r="W3151" s="64" ph="1"/>
    </row>
    <row r="3152" spans="23:23" ht="26.4">
      <c r="W3152" s="64" ph="1"/>
    </row>
    <row r="3153" spans="23:23" ht="26.4">
      <c r="W3153" s="64" ph="1"/>
    </row>
    <row r="3154" spans="23:23" ht="26.4">
      <c r="W3154" s="64" ph="1"/>
    </row>
    <row r="3155" spans="23:23" ht="26.4">
      <c r="W3155" s="64" ph="1"/>
    </row>
    <row r="3156" spans="23:23" ht="26.4">
      <c r="W3156" s="64" ph="1"/>
    </row>
    <row r="3157" spans="23:23" ht="26.4">
      <c r="W3157" s="64" ph="1"/>
    </row>
    <row r="3158" spans="23:23" ht="26.4">
      <c r="W3158" s="64" ph="1"/>
    </row>
    <row r="3159" spans="23:23" ht="26.4">
      <c r="W3159" s="64" ph="1"/>
    </row>
    <row r="3160" spans="23:23" ht="26.4">
      <c r="W3160" s="64" ph="1"/>
    </row>
    <row r="3161" spans="23:23" ht="26.4">
      <c r="W3161" s="64" ph="1"/>
    </row>
    <row r="3162" spans="23:23" ht="26.4">
      <c r="W3162" s="64" ph="1"/>
    </row>
    <row r="3163" spans="23:23" ht="26.4">
      <c r="W3163" s="64" ph="1"/>
    </row>
    <row r="3164" spans="23:23" ht="26.4">
      <c r="W3164" s="64" ph="1"/>
    </row>
    <row r="3165" spans="23:23" ht="26.4">
      <c r="W3165" s="64" ph="1"/>
    </row>
    <row r="3166" spans="23:23" ht="26.4">
      <c r="W3166" s="64" ph="1"/>
    </row>
    <row r="3167" spans="23:23" ht="26.4">
      <c r="W3167" s="64" ph="1"/>
    </row>
    <row r="3168" spans="23:23" ht="26.4">
      <c r="W3168" s="64" ph="1"/>
    </row>
    <row r="3169" spans="23:23" ht="26.4">
      <c r="W3169" s="64" ph="1"/>
    </row>
    <row r="3170" spans="23:23" ht="26.4">
      <c r="W3170" s="64" ph="1"/>
    </row>
    <row r="3171" spans="23:23" ht="26.4">
      <c r="W3171" s="64" ph="1"/>
    </row>
    <row r="3172" spans="23:23" ht="26.4">
      <c r="W3172" s="64" ph="1"/>
    </row>
    <row r="3173" spans="23:23" ht="26.4">
      <c r="W3173" s="64" ph="1"/>
    </row>
    <row r="3174" spans="23:23" ht="26.4">
      <c r="W3174" s="64" ph="1"/>
    </row>
    <row r="3175" spans="23:23" ht="26.4">
      <c r="W3175" s="64" ph="1"/>
    </row>
    <row r="3176" spans="23:23" ht="26.4">
      <c r="W3176" s="64" ph="1"/>
    </row>
    <row r="3177" spans="23:23" ht="26.4">
      <c r="W3177" s="64" ph="1"/>
    </row>
    <row r="3178" spans="23:23" ht="26.4">
      <c r="W3178" s="64" ph="1"/>
    </row>
    <row r="3179" spans="23:23" ht="26.4">
      <c r="W3179" s="64" ph="1"/>
    </row>
    <row r="3180" spans="23:23" ht="26.4">
      <c r="W3180" s="64" ph="1"/>
    </row>
    <row r="3181" spans="23:23" ht="26.4">
      <c r="W3181" s="64" ph="1"/>
    </row>
    <row r="3182" spans="23:23" ht="26.4">
      <c r="W3182" s="64" ph="1"/>
    </row>
    <row r="3183" spans="23:23" ht="26.4">
      <c r="W3183" s="64" ph="1"/>
    </row>
    <row r="3184" spans="23:23" ht="26.4">
      <c r="W3184" s="64" ph="1"/>
    </row>
    <row r="3185" spans="23:23" ht="26.4">
      <c r="W3185" s="64" ph="1"/>
    </row>
    <row r="3186" spans="23:23" ht="26.4">
      <c r="W3186" s="64" ph="1"/>
    </row>
    <row r="3187" spans="23:23" ht="26.4">
      <c r="W3187" s="64" ph="1"/>
    </row>
    <row r="3188" spans="23:23" ht="26.4">
      <c r="W3188" s="64" ph="1"/>
    </row>
    <row r="3189" spans="23:23" ht="26.4">
      <c r="W3189" s="64" ph="1"/>
    </row>
    <row r="3190" spans="23:23" ht="26.4">
      <c r="W3190" s="64" ph="1"/>
    </row>
    <row r="3191" spans="23:23" ht="26.4">
      <c r="W3191" s="64" ph="1"/>
    </row>
    <row r="3192" spans="23:23" ht="26.4">
      <c r="W3192" s="64" ph="1"/>
    </row>
    <row r="3193" spans="23:23" ht="26.4">
      <c r="W3193" s="64" ph="1"/>
    </row>
    <row r="3194" spans="23:23" ht="26.4">
      <c r="W3194" s="64" ph="1"/>
    </row>
    <row r="3195" spans="23:23" ht="26.4">
      <c r="W3195" s="64" ph="1"/>
    </row>
    <row r="3196" spans="23:23" ht="26.4">
      <c r="W3196" s="64" ph="1"/>
    </row>
    <row r="3197" spans="23:23" ht="26.4">
      <c r="W3197" s="64" ph="1"/>
    </row>
    <row r="3198" spans="23:23" ht="26.4">
      <c r="W3198" s="64" ph="1"/>
    </row>
    <row r="3199" spans="23:23" ht="26.4">
      <c r="W3199" s="64" ph="1"/>
    </row>
    <row r="3200" spans="23:23" ht="26.4">
      <c r="W3200" s="64" ph="1"/>
    </row>
    <row r="3201" spans="23:23" ht="26.4">
      <c r="W3201" s="64" ph="1"/>
    </row>
    <row r="3202" spans="23:23" ht="26.4">
      <c r="W3202" s="64" ph="1"/>
    </row>
    <row r="3203" spans="23:23" ht="26.4">
      <c r="W3203" s="64" ph="1"/>
    </row>
    <row r="3204" spans="23:23" ht="26.4">
      <c r="W3204" s="64" ph="1"/>
    </row>
    <row r="3205" spans="23:23" ht="26.4">
      <c r="W3205" s="64" ph="1"/>
    </row>
    <row r="3206" spans="23:23" ht="26.4">
      <c r="W3206" s="64" ph="1"/>
    </row>
    <row r="3207" spans="23:23" ht="26.4">
      <c r="W3207" s="64" ph="1"/>
    </row>
    <row r="3208" spans="23:23" ht="26.4">
      <c r="W3208" s="64" ph="1"/>
    </row>
    <row r="3209" spans="23:23" ht="26.4">
      <c r="W3209" s="64" ph="1"/>
    </row>
    <row r="3210" spans="23:23" ht="26.4">
      <c r="W3210" s="64" ph="1"/>
    </row>
    <row r="3211" spans="23:23" ht="26.4">
      <c r="W3211" s="64" ph="1"/>
    </row>
    <row r="3212" spans="23:23" ht="26.4">
      <c r="W3212" s="64" ph="1"/>
    </row>
    <row r="3213" spans="23:23" ht="26.4">
      <c r="W3213" s="64" ph="1"/>
    </row>
    <row r="3214" spans="23:23" ht="26.4">
      <c r="W3214" s="64" ph="1"/>
    </row>
    <row r="3215" spans="23:23" ht="26.4">
      <c r="W3215" s="64" ph="1"/>
    </row>
    <row r="3216" spans="23:23" ht="26.4">
      <c r="W3216" s="64" ph="1"/>
    </row>
    <row r="3217" spans="23:23" ht="26.4">
      <c r="W3217" s="64" ph="1"/>
    </row>
    <row r="3218" spans="23:23" ht="26.4">
      <c r="W3218" s="64" ph="1"/>
    </row>
    <row r="3219" spans="23:23" ht="26.4">
      <c r="W3219" s="64" ph="1"/>
    </row>
    <row r="3220" spans="23:23" ht="26.4">
      <c r="W3220" s="64" ph="1"/>
    </row>
    <row r="3221" spans="23:23" ht="26.4">
      <c r="W3221" s="64" ph="1"/>
    </row>
    <row r="3222" spans="23:23" ht="26.4">
      <c r="W3222" s="64" ph="1"/>
    </row>
    <row r="3223" spans="23:23" ht="26.4">
      <c r="W3223" s="64" ph="1"/>
    </row>
    <row r="3224" spans="23:23" ht="26.4">
      <c r="W3224" s="64" ph="1"/>
    </row>
    <row r="3225" spans="23:23" ht="26.4">
      <c r="W3225" s="64" ph="1"/>
    </row>
    <row r="3226" spans="23:23" ht="26.4">
      <c r="W3226" s="64" ph="1"/>
    </row>
    <row r="3227" spans="23:23" ht="26.4">
      <c r="W3227" s="64" ph="1"/>
    </row>
    <row r="3228" spans="23:23" ht="26.4">
      <c r="W3228" s="64" ph="1"/>
    </row>
    <row r="3229" spans="23:23" ht="26.4">
      <c r="W3229" s="64" ph="1"/>
    </row>
    <row r="3230" spans="23:23" ht="26.4">
      <c r="W3230" s="64" ph="1"/>
    </row>
    <row r="3231" spans="23:23" ht="26.4">
      <c r="W3231" s="64" ph="1"/>
    </row>
    <row r="3232" spans="23:23" ht="26.4">
      <c r="W3232" s="64" ph="1"/>
    </row>
    <row r="3233" spans="23:23" ht="26.4">
      <c r="W3233" s="64" ph="1"/>
    </row>
    <row r="3234" spans="23:23" ht="26.4">
      <c r="W3234" s="64" ph="1"/>
    </row>
    <row r="3235" spans="23:23" ht="26.4">
      <c r="W3235" s="64" ph="1"/>
    </row>
    <row r="3236" spans="23:23" ht="26.4">
      <c r="W3236" s="64" ph="1"/>
    </row>
    <row r="3237" spans="23:23" ht="26.4">
      <c r="W3237" s="64" ph="1"/>
    </row>
    <row r="3238" spans="23:23" ht="26.4">
      <c r="W3238" s="64" ph="1"/>
    </row>
    <row r="3239" spans="23:23" ht="26.4">
      <c r="W3239" s="64" ph="1"/>
    </row>
    <row r="3240" spans="23:23" ht="26.4">
      <c r="W3240" s="64" ph="1"/>
    </row>
    <row r="3241" spans="23:23" ht="26.4">
      <c r="W3241" s="64" ph="1"/>
    </row>
    <row r="3242" spans="23:23" ht="26.4">
      <c r="W3242" s="64" ph="1"/>
    </row>
    <row r="3243" spans="23:23" ht="26.4">
      <c r="W3243" s="64" ph="1"/>
    </row>
    <row r="3244" spans="23:23" ht="26.4">
      <c r="W3244" s="64" ph="1"/>
    </row>
    <row r="3245" spans="23:23" ht="26.4">
      <c r="W3245" s="64" ph="1"/>
    </row>
    <row r="3246" spans="23:23" ht="26.4">
      <c r="W3246" s="64" ph="1"/>
    </row>
    <row r="3247" spans="23:23" ht="26.4">
      <c r="W3247" s="64" ph="1"/>
    </row>
    <row r="3248" spans="23:23" ht="26.4">
      <c r="W3248" s="64" ph="1"/>
    </row>
    <row r="3249" spans="23:23" ht="26.4">
      <c r="W3249" s="64" ph="1"/>
    </row>
    <row r="3250" spans="23:23" ht="26.4">
      <c r="W3250" s="64" ph="1"/>
    </row>
    <row r="3251" spans="23:23" ht="26.4">
      <c r="W3251" s="64" ph="1"/>
    </row>
    <row r="3252" spans="23:23" ht="26.4">
      <c r="W3252" s="64" ph="1"/>
    </row>
    <row r="3253" spans="23:23" ht="26.4">
      <c r="W3253" s="64" ph="1"/>
    </row>
    <row r="3254" spans="23:23" ht="26.4">
      <c r="W3254" s="64" ph="1"/>
    </row>
    <row r="3255" spans="23:23" ht="26.4">
      <c r="W3255" s="64" ph="1"/>
    </row>
    <row r="3256" spans="23:23" ht="26.4">
      <c r="W3256" s="64" ph="1"/>
    </row>
    <row r="3257" spans="23:23" ht="26.4">
      <c r="W3257" s="64" ph="1"/>
    </row>
    <row r="3258" spans="23:23" ht="26.4">
      <c r="W3258" s="64" ph="1"/>
    </row>
    <row r="3259" spans="23:23" ht="26.4">
      <c r="W3259" s="64" ph="1"/>
    </row>
    <row r="3260" spans="23:23" ht="26.4">
      <c r="W3260" s="64" ph="1"/>
    </row>
    <row r="3261" spans="23:23" ht="26.4">
      <c r="W3261" s="64" ph="1"/>
    </row>
    <row r="3262" spans="23:23" ht="26.4">
      <c r="W3262" s="64" ph="1"/>
    </row>
    <row r="3263" spans="23:23" ht="26.4">
      <c r="W3263" s="64" ph="1"/>
    </row>
    <row r="3264" spans="23:23" ht="26.4">
      <c r="W3264" s="64" ph="1"/>
    </row>
    <row r="3265" spans="23:23" ht="26.4">
      <c r="W3265" s="64" ph="1"/>
    </row>
    <row r="3266" spans="23:23" ht="26.4">
      <c r="W3266" s="64" ph="1"/>
    </row>
    <row r="3267" spans="23:23" ht="26.4">
      <c r="W3267" s="64" ph="1"/>
    </row>
    <row r="3268" spans="23:23" ht="26.4">
      <c r="W3268" s="64" ph="1"/>
    </row>
    <row r="3269" spans="23:23" ht="26.4">
      <c r="W3269" s="64" ph="1"/>
    </row>
    <row r="3270" spans="23:23" ht="26.4">
      <c r="W3270" s="64" ph="1"/>
    </row>
    <row r="3271" spans="23:23" ht="26.4">
      <c r="W3271" s="64" ph="1"/>
    </row>
    <row r="3272" spans="23:23" ht="26.4">
      <c r="W3272" s="64" ph="1"/>
    </row>
    <row r="3273" spans="23:23" ht="26.4">
      <c r="W3273" s="64" ph="1"/>
    </row>
    <row r="3274" spans="23:23" ht="26.4">
      <c r="W3274" s="64" ph="1"/>
    </row>
    <row r="3275" spans="23:23" ht="26.4">
      <c r="W3275" s="64" ph="1"/>
    </row>
    <row r="3276" spans="23:23" ht="26.4">
      <c r="W3276" s="64" ph="1"/>
    </row>
    <row r="3277" spans="23:23" ht="26.4">
      <c r="W3277" s="64" ph="1"/>
    </row>
    <row r="3278" spans="23:23" ht="26.4">
      <c r="W3278" s="64" ph="1"/>
    </row>
    <row r="3279" spans="23:23" ht="26.4">
      <c r="W3279" s="64" ph="1"/>
    </row>
    <row r="3280" spans="23:23" ht="26.4">
      <c r="W3280" s="64" ph="1"/>
    </row>
    <row r="3281" spans="23:23" ht="26.4">
      <c r="W3281" s="64" ph="1"/>
    </row>
    <row r="3282" spans="23:23" ht="26.4">
      <c r="W3282" s="64" ph="1"/>
    </row>
    <row r="3283" spans="23:23" ht="26.4">
      <c r="W3283" s="64" ph="1"/>
    </row>
    <row r="3284" spans="23:23" ht="26.4">
      <c r="W3284" s="64" ph="1"/>
    </row>
    <row r="3285" spans="23:23" ht="26.4">
      <c r="W3285" s="64" ph="1"/>
    </row>
    <row r="3286" spans="23:23" ht="26.4">
      <c r="W3286" s="64" ph="1"/>
    </row>
    <row r="3287" spans="23:23" ht="26.4">
      <c r="W3287" s="64" ph="1"/>
    </row>
    <row r="3288" spans="23:23" ht="26.4">
      <c r="W3288" s="64" ph="1"/>
    </row>
    <row r="3289" spans="23:23" ht="26.4">
      <c r="W3289" s="64" ph="1"/>
    </row>
    <row r="3290" spans="23:23" ht="26.4">
      <c r="W3290" s="64" ph="1"/>
    </row>
    <row r="3291" spans="23:23" ht="26.4">
      <c r="W3291" s="64" ph="1"/>
    </row>
    <row r="3292" spans="23:23" ht="26.4">
      <c r="W3292" s="64" ph="1"/>
    </row>
    <row r="3293" spans="23:23" ht="26.4">
      <c r="W3293" s="64" ph="1"/>
    </row>
    <row r="3294" spans="23:23" ht="26.4">
      <c r="W3294" s="64" ph="1"/>
    </row>
    <row r="3295" spans="23:23" ht="26.4">
      <c r="W3295" s="64" ph="1"/>
    </row>
    <row r="3296" spans="23:23" ht="26.4">
      <c r="W3296" s="64" ph="1"/>
    </row>
    <row r="3297" spans="23:23" ht="26.4">
      <c r="W3297" s="64" ph="1"/>
    </row>
    <row r="3298" spans="23:23" ht="26.4">
      <c r="W3298" s="64" ph="1"/>
    </row>
    <row r="3299" spans="23:23" ht="26.4">
      <c r="W3299" s="64" ph="1"/>
    </row>
    <row r="3300" spans="23:23" ht="26.4">
      <c r="W3300" s="64" ph="1"/>
    </row>
    <row r="3301" spans="23:23" ht="26.4">
      <c r="W3301" s="64" ph="1"/>
    </row>
    <row r="3302" spans="23:23" ht="26.4">
      <c r="W3302" s="64" ph="1"/>
    </row>
    <row r="3303" spans="23:23" ht="26.4">
      <c r="W3303" s="64" ph="1"/>
    </row>
    <row r="3304" spans="23:23" ht="26.4">
      <c r="W3304" s="64" ph="1"/>
    </row>
    <row r="3305" spans="23:23" ht="26.4">
      <c r="W3305" s="64" ph="1"/>
    </row>
    <row r="3306" spans="23:23" ht="26.4">
      <c r="W3306" s="64" ph="1"/>
    </row>
    <row r="3307" spans="23:23" ht="26.4">
      <c r="W3307" s="64" ph="1"/>
    </row>
    <row r="3308" spans="23:23" ht="26.4">
      <c r="W3308" s="64" ph="1"/>
    </row>
    <row r="3309" spans="23:23" ht="26.4">
      <c r="W3309" s="64" ph="1"/>
    </row>
    <row r="3310" spans="23:23" ht="26.4">
      <c r="W3310" s="64" ph="1"/>
    </row>
    <row r="3311" spans="23:23" ht="26.4">
      <c r="W3311" s="64" ph="1"/>
    </row>
    <row r="3312" spans="23:23" ht="26.4">
      <c r="W3312" s="64" ph="1"/>
    </row>
    <row r="3313" spans="23:23" ht="26.4">
      <c r="W3313" s="64" ph="1"/>
    </row>
    <row r="3314" spans="23:23" ht="26.4">
      <c r="W3314" s="64" ph="1"/>
    </row>
    <row r="3315" spans="23:23" ht="26.4">
      <c r="W3315" s="64" ph="1"/>
    </row>
    <row r="3316" spans="23:23" ht="26.4">
      <c r="W3316" s="64" ph="1"/>
    </row>
    <row r="3317" spans="23:23" ht="26.4">
      <c r="W3317" s="64" ph="1"/>
    </row>
    <row r="3318" spans="23:23" ht="26.4">
      <c r="W3318" s="64" ph="1"/>
    </row>
    <row r="3319" spans="23:23" ht="26.4">
      <c r="W3319" s="64" ph="1"/>
    </row>
    <row r="3320" spans="23:23" ht="26.4">
      <c r="W3320" s="64" ph="1"/>
    </row>
    <row r="3321" spans="23:23" ht="26.4">
      <c r="W3321" s="64" ph="1"/>
    </row>
    <row r="3322" spans="23:23" ht="26.4">
      <c r="W3322" s="64" ph="1"/>
    </row>
    <row r="3323" spans="23:23" ht="26.4">
      <c r="W3323" s="64" ph="1"/>
    </row>
    <row r="3324" spans="23:23" ht="26.4">
      <c r="W3324" s="64" ph="1"/>
    </row>
    <row r="3325" spans="23:23" ht="26.4">
      <c r="W3325" s="64" ph="1"/>
    </row>
    <row r="3326" spans="23:23" ht="26.4">
      <c r="W3326" s="64" ph="1"/>
    </row>
    <row r="3327" spans="23:23" ht="26.4">
      <c r="W3327" s="64" ph="1"/>
    </row>
    <row r="3328" spans="23:23" ht="26.4">
      <c r="W3328" s="64" ph="1"/>
    </row>
    <row r="3329" spans="23:23" ht="26.4">
      <c r="W3329" s="64" ph="1"/>
    </row>
    <row r="3330" spans="23:23" ht="26.4">
      <c r="W3330" s="64" ph="1"/>
    </row>
    <row r="3331" spans="23:23" ht="26.4">
      <c r="W3331" s="64" ph="1"/>
    </row>
    <row r="3332" spans="23:23" ht="26.4">
      <c r="W3332" s="64" ph="1"/>
    </row>
    <row r="3333" spans="23:23" ht="26.4">
      <c r="W3333" s="64" ph="1"/>
    </row>
    <row r="3334" spans="23:23" ht="26.4">
      <c r="W3334" s="64" ph="1"/>
    </row>
    <row r="3335" spans="23:23" ht="26.4">
      <c r="W3335" s="64" ph="1"/>
    </row>
    <row r="3336" spans="23:23" ht="26.4">
      <c r="W3336" s="64" ph="1"/>
    </row>
    <row r="3337" spans="23:23" ht="26.4">
      <c r="W3337" s="64" ph="1"/>
    </row>
    <row r="3338" spans="23:23" ht="26.4">
      <c r="W3338" s="64" ph="1"/>
    </row>
    <row r="3339" spans="23:23" ht="26.4">
      <c r="W3339" s="64" ph="1"/>
    </row>
    <row r="3340" spans="23:23" ht="26.4">
      <c r="W3340" s="64" ph="1"/>
    </row>
    <row r="3341" spans="23:23" ht="26.4">
      <c r="W3341" s="64" ph="1"/>
    </row>
    <row r="3342" spans="23:23" ht="26.4">
      <c r="W3342" s="64" ph="1"/>
    </row>
    <row r="3343" spans="23:23" ht="26.4">
      <c r="W3343" s="64" ph="1"/>
    </row>
    <row r="3344" spans="23:23" ht="26.4">
      <c r="W3344" s="64" ph="1"/>
    </row>
    <row r="3345" spans="23:23" ht="26.4">
      <c r="W3345" s="64" ph="1"/>
    </row>
    <row r="3346" spans="23:23" ht="26.4">
      <c r="W3346" s="64" ph="1"/>
    </row>
    <row r="3347" spans="23:23" ht="26.4">
      <c r="W3347" s="64" ph="1"/>
    </row>
    <row r="3348" spans="23:23" ht="26.4">
      <c r="W3348" s="64" ph="1"/>
    </row>
    <row r="3349" spans="23:23" ht="26.4">
      <c r="W3349" s="64" ph="1"/>
    </row>
    <row r="3350" spans="23:23" ht="26.4">
      <c r="W3350" s="64" ph="1"/>
    </row>
    <row r="3351" spans="23:23" ht="26.4">
      <c r="W3351" s="64" ph="1"/>
    </row>
    <row r="3352" spans="23:23" ht="26.4">
      <c r="W3352" s="64" ph="1"/>
    </row>
    <row r="3353" spans="23:23" ht="26.4">
      <c r="W3353" s="64" ph="1"/>
    </row>
    <row r="3354" spans="23:23" ht="26.4">
      <c r="W3354" s="64" ph="1"/>
    </row>
    <row r="3355" spans="23:23" ht="26.4">
      <c r="W3355" s="64" ph="1"/>
    </row>
    <row r="3356" spans="23:23" ht="26.4">
      <c r="W3356" s="64" ph="1"/>
    </row>
    <row r="3357" spans="23:23" ht="26.4">
      <c r="W3357" s="64" ph="1"/>
    </row>
    <row r="3358" spans="23:23" ht="26.4">
      <c r="W3358" s="64" ph="1"/>
    </row>
    <row r="3359" spans="23:23" ht="26.4">
      <c r="W3359" s="64" ph="1"/>
    </row>
    <row r="3360" spans="23:23" ht="26.4">
      <c r="W3360" s="64" ph="1"/>
    </row>
    <row r="3361" spans="23:23" ht="26.4">
      <c r="W3361" s="64" ph="1"/>
    </row>
    <row r="3362" spans="23:23" ht="26.4">
      <c r="W3362" s="64" ph="1"/>
    </row>
    <row r="3363" spans="23:23" ht="26.4">
      <c r="W3363" s="64" ph="1"/>
    </row>
    <row r="3364" spans="23:23" ht="26.4">
      <c r="W3364" s="64" ph="1"/>
    </row>
    <row r="3365" spans="23:23" ht="26.4">
      <c r="W3365" s="64" ph="1"/>
    </row>
    <row r="3366" spans="23:23" ht="26.4">
      <c r="W3366" s="64" ph="1"/>
    </row>
    <row r="3367" spans="23:23" ht="26.4">
      <c r="W3367" s="64" ph="1"/>
    </row>
    <row r="3368" spans="23:23" ht="26.4">
      <c r="W3368" s="64" ph="1"/>
    </row>
    <row r="3369" spans="23:23" ht="26.4">
      <c r="W3369" s="64" ph="1"/>
    </row>
    <row r="3370" spans="23:23" ht="26.4">
      <c r="W3370" s="64" ph="1"/>
    </row>
    <row r="3371" spans="23:23" ht="26.4">
      <c r="W3371" s="64" ph="1"/>
    </row>
    <row r="3372" spans="23:23" ht="26.4">
      <c r="W3372" s="64" ph="1"/>
    </row>
    <row r="3373" spans="23:23" ht="26.4">
      <c r="W3373" s="64" ph="1"/>
    </row>
    <row r="3374" spans="23:23" ht="26.4">
      <c r="W3374" s="64" ph="1"/>
    </row>
    <row r="3375" spans="23:23" ht="26.4">
      <c r="W3375" s="64" ph="1"/>
    </row>
    <row r="3376" spans="23:23" ht="26.4">
      <c r="W3376" s="64" ph="1"/>
    </row>
    <row r="3377" spans="23:23" ht="26.4">
      <c r="W3377" s="64" ph="1"/>
    </row>
    <row r="3378" spans="23:23" ht="26.4">
      <c r="W3378" s="64" ph="1"/>
    </row>
    <row r="3379" spans="23:23" ht="26.4">
      <c r="W3379" s="64" ph="1"/>
    </row>
    <row r="3380" spans="23:23" ht="26.4">
      <c r="W3380" s="64" ph="1"/>
    </row>
    <row r="3381" spans="23:23" ht="26.4">
      <c r="W3381" s="64" ph="1"/>
    </row>
    <row r="3382" spans="23:23" ht="26.4">
      <c r="W3382" s="64" ph="1"/>
    </row>
    <row r="3383" spans="23:23" ht="26.4">
      <c r="W3383" s="64" ph="1"/>
    </row>
    <row r="3384" spans="23:23" ht="26.4">
      <c r="W3384" s="64" ph="1"/>
    </row>
    <row r="3385" spans="23:23" ht="26.4">
      <c r="W3385" s="64" ph="1"/>
    </row>
    <row r="3386" spans="23:23" ht="26.4">
      <c r="W3386" s="64" ph="1"/>
    </row>
    <row r="3387" spans="23:23" ht="26.4">
      <c r="W3387" s="64" ph="1"/>
    </row>
    <row r="3388" spans="23:23" ht="26.4">
      <c r="W3388" s="64" ph="1"/>
    </row>
    <row r="3389" spans="23:23" ht="26.4">
      <c r="W3389" s="64" ph="1"/>
    </row>
    <row r="3390" spans="23:23" ht="26.4">
      <c r="W3390" s="64" ph="1"/>
    </row>
    <row r="3391" spans="23:23" ht="26.4">
      <c r="W3391" s="64" ph="1"/>
    </row>
    <row r="3392" spans="23:23" ht="26.4">
      <c r="W3392" s="64" ph="1"/>
    </row>
    <row r="3393" spans="23:23" ht="26.4">
      <c r="W3393" s="64" ph="1"/>
    </row>
    <row r="3394" spans="23:23" ht="26.4">
      <c r="W3394" s="64" ph="1"/>
    </row>
    <row r="3395" spans="23:23" ht="26.4">
      <c r="W3395" s="64" ph="1"/>
    </row>
    <row r="3396" spans="23:23" ht="26.4">
      <c r="W3396" s="64" ph="1"/>
    </row>
    <row r="3397" spans="23:23" ht="26.4">
      <c r="W3397" s="64" ph="1"/>
    </row>
    <row r="3398" spans="23:23" ht="26.4">
      <c r="W3398" s="64" ph="1"/>
    </row>
    <row r="3399" spans="23:23" ht="26.4">
      <c r="W3399" s="64" ph="1"/>
    </row>
    <row r="3400" spans="23:23" ht="26.4">
      <c r="W3400" s="64" ph="1"/>
    </row>
    <row r="3401" spans="23:23" ht="26.4">
      <c r="W3401" s="64" ph="1"/>
    </row>
    <row r="3402" spans="23:23" ht="26.4">
      <c r="W3402" s="64" ph="1"/>
    </row>
    <row r="3403" spans="23:23" ht="26.4">
      <c r="W3403" s="64" ph="1"/>
    </row>
    <row r="3404" spans="23:23" ht="26.4">
      <c r="W3404" s="64" ph="1"/>
    </row>
    <row r="3405" spans="23:23" ht="26.4">
      <c r="W3405" s="64" ph="1"/>
    </row>
    <row r="3406" spans="23:23" ht="26.4">
      <c r="W3406" s="64" ph="1"/>
    </row>
    <row r="3407" spans="23:23" ht="26.4">
      <c r="W3407" s="64" ph="1"/>
    </row>
    <row r="3408" spans="23:23" ht="26.4">
      <c r="W3408" s="64" ph="1"/>
    </row>
    <row r="3409" spans="23:23" ht="26.4">
      <c r="W3409" s="64" ph="1"/>
    </row>
    <row r="3410" spans="23:23" ht="26.4">
      <c r="W3410" s="64" ph="1"/>
    </row>
    <row r="3411" spans="23:23" ht="26.4">
      <c r="W3411" s="64" ph="1"/>
    </row>
    <row r="3412" spans="23:23" ht="26.4">
      <c r="W3412" s="64" ph="1"/>
    </row>
    <row r="3413" spans="23:23" ht="26.4">
      <c r="W3413" s="64" ph="1"/>
    </row>
    <row r="3414" spans="23:23" ht="26.4">
      <c r="W3414" s="64" ph="1"/>
    </row>
    <row r="3415" spans="23:23" ht="26.4">
      <c r="W3415" s="64" ph="1"/>
    </row>
    <row r="3416" spans="23:23" ht="26.4">
      <c r="W3416" s="64" ph="1"/>
    </row>
    <row r="3417" spans="23:23" ht="26.4">
      <c r="W3417" s="64" ph="1"/>
    </row>
    <row r="3418" spans="23:23" ht="26.4">
      <c r="W3418" s="64" ph="1"/>
    </row>
    <row r="3419" spans="23:23" ht="26.4">
      <c r="W3419" s="64" ph="1"/>
    </row>
    <row r="3420" spans="23:23" ht="26.4">
      <c r="W3420" s="64" ph="1"/>
    </row>
    <row r="3421" spans="23:23" ht="26.4">
      <c r="W3421" s="64" ph="1"/>
    </row>
    <row r="3422" spans="23:23" ht="26.4">
      <c r="W3422" s="64" ph="1"/>
    </row>
    <row r="3423" spans="23:23" ht="26.4">
      <c r="W3423" s="64" ph="1"/>
    </row>
    <row r="3424" spans="23:23" ht="26.4">
      <c r="W3424" s="64" ph="1"/>
    </row>
    <row r="3425" spans="23:23" ht="26.4">
      <c r="W3425" s="64" ph="1"/>
    </row>
    <row r="3426" spans="23:23" ht="26.4">
      <c r="W3426" s="64" ph="1"/>
    </row>
    <row r="3427" spans="23:23" ht="26.4">
      <c r="W3427" s="64" ph="1"/>
    </row>
    <row r="3428" spans="23:23" ht="26.4">
      <c r="W3428" s="64" ph="1"/>
    </row>
    <row r="3429" spans="23:23" ht="26.4">
      <c r="W3429" s="64" ph="1"/>
    </row>
    <row r="3430" spans="23:23" ht="26.4">
      <c r="W3430" s="64" ph="1"/>
    </row>
    <row r="3431" spans="23:23" ht="26.4">
      <c r="W3431" s="64" ph="1"/>
    </row>
    <row r="3432" spans="23:23" ht="26.4">
      <c r="W3432" s="64" ph="1"/>
    </row>
    <row r="3433" spans="23:23" ht="26.4">
      <c r="W3433" s="64" ph="1"/>
    </row>
    <row r="3434" spans="23:23" ht="26.4">
      <c r="W3434" s="64" ph="1"/>
    </row>
    <row r="3435" spans="23:23" ht="26.4">
      <c r="W3435" s="64" ph="1"/>
    </row>
    <row r="3436" spans="23:23" ht="26.4">
      <c r="W3436" s="64" ph="1"/>
    </row>
    <row r="3437" spans="23:23" ht="26.4">
      <c r="W3437" s="64" ph="1"/>
    </row>
    <row r="3438" spans="23:23" ht="26.4">
      <c r="W3438" s="64" ph="1"/>
    </row>
    <row r="3439" spans="23:23" ht="26.4">
      <c r="W3439" s="64" ph="1"/>
    </row>
    <row r="3440" spans="23:23" ht="26.4">
      <c r="W3440" s="64" ph="1"/>
    </row>
    <row r="3441" spans="23:23" ht="26.4">
      <c r="W3441" s="64" ph="1"/>
    </row>
    <row r="3442" spans="23:23" ht="26.4">
      <c r="W3442" s="64" ph="1"/>
    </row>
    <row r="3443" spans="23:23" ht="26.4">
      <c r="W3443" s="64" ph="1"/>
    </row>
    <row r="3444" spans="23:23" ht="26.4">
      <c r="W3444" s="64" ph="1"/>
    </row>
    <row r="3445" spans="23:23" ht="26.4">
      <c r="W3445" s="64" ph="1"/>
    </row>
    <row r="3446" spans="23:23" ht="26.4">
      <c r="W3446" s="64" ph="1"/>
    </row>
    <row r="3447" spans="23:23" ht="26.4">
      <c r="W3447" s="64" ph="1"/>
    </row>
    <row r="3448" spans="23:23" ht="26.4">
      <c r="W3448" s="64" ph="1"/>
    </row>
    <row r="3449" spans="23:23" ht="26.4">
      <c r="W3449" s="64" ph="1"/>
    </row>
    <row r="3450" spans="23:23" ht="26.4">
      <c r="W3450" s="64" ph="1"/>
    </row>
    <row r="3451" spans="23:23" ht="26.4">
      <c r="W3451" s="64" ph="1"/>
    </row>
    <row r="3452" spans="23:23" ht="26.4">
      <c r="W3452" s="64" ph="1"/>
    </row>
    <row r="3453" spans="23:23" ht="26.4">
      <c r="W3453" s="64" ph="1"/>
    </row>
    <row r="3454" spans="23:23" ht="26.4">
      <c r="W3454" s="64" ph="1"/>
    </row>
    <row r="3455" spans="23:23" ht="26.4">
      <c r="W3455" s="64" ph="1"/>
    </row>
    <row r="3456" spans="23:23" ht="26.4">
      <c r="W3456" s="64" ph="1"/>
    </row>
    <row r="3457" spans="23:23" ht="26.4">
      <c r="W3457" s="64" ph="1"/>
    </row>
    <row r="3458" spans="23:23" ht="26.4">
      <c r="W3458" s="64" ph="1"/>
    </row>
    <row r="3459" spans="23:23" ht="26.4">
      <c r="W3459" s="64" ph="1"/>
    </row>
    <row r="3460" spans="23:23" ht="26.4">
      <c r="W3460" s="64" ph="1"/>
    </row>
    <row r="3461" spans="23:23" ht="26.4">
      <c r="W3461" s="64" ph="1"/>
    </row>
    <row r="3462" spans="23:23" ht="26.4">
      <c r="W3462" s="64" ph="1"/>
    </row>
    <row r="3463" spans="23:23" ht="26.4">
      <c r="W3463" s="64" ph="1"/>
    </row>
    <row r="3464" spans="23:23" ht="26.4">
      <c r="W3464" s="64" ph="1"/>
    </row>
    <row r="3465" spans="23:23" ht="26.4">
      <c r="W3465" s="64" ph="1"/>
    </row>
    <row r="3466" spans="23:23" ht="26.4">
      <c r="W3466" s="64" ph="1"/>
    </row>
    <row r="3467" spans="23:23" ht="26.4">
      <c r="W3467" s="64" ph="1"/>
    </row>
    <row r="3468" spans="23:23" ht="26.4">
      <c r="W3468" s="64" ph="1"/>
    </row>
    <row r="3469" spans="23:23" ht="26.4">
      <c r="W3469" s="64" ph="1"/>
    </row>
    <row r="3470" spans="23:23" ht="26.4">
      <c r="W3470" s="64" ph="1"/>
    </row>
    <row r="3471" spans="23:23" ht="26.4">
      <c r="W3471" s="64" ph="1"/>
    </row>
    <row r="3472" spans="23:23" ht="26.4">
      <c r="W3472" s="64" ph="1"/>
    </row>
    <row r="3473" spans="23:23" ht="26.4">
      <c r="W3473" s="64" ph="1"/>
    </row>
    <row r="3474" spans="23:23" ht="26.4">
      <c r="W3474" s="64" ph="1"/>
    </row>
    <row r="3475" spans="23:23" ht="26.4">
      <c r="W3475" s="64" ph="1"/>
    </row>
    <row r="3476" spans="23:23" ht="26.4">
      <c r="W3476" s="64" ph="1"/>
    </row>
    <row r="3477" spans="23:23" ht="26.4">
      <c r="W3477" s="64" ph="1"/>
    </row>
    <row r="3478" spans="23:23" ht="26.4">
      <c r="W3478" s="64" ph="1"/>
    </row>
    <row r="3479" spans="23:23" ht="26.4">
      <c r="W3479" s="64" ph="1"/>
    </row>
    <row r="3480" spans="23:23" ht="26.4">
      <c r="W3480" s="64" ph="1"/>
    </row>
    <row r="3481" spans="23:23" ht="26.4">
      <c r="W3481" s="64" ph="1"/>
    </row>
    <row r="3482" spans="23:23" ht="26.4">
      <c r="W3482" s="64" ph="1"/>
    </row>
    <row r="3483" spans="23:23" ht="26.4">
      <c r="W3483" s="64" ph="1"/>
    </row>
    <row r="3484" spans="23:23" ht="26.4">
      <c r="W3484" s="64" ph="1"/>
    </row>
    <row r="3485" spans="23:23" ht="26.4">
      <c r="W3485" s="64" ph="1"/>
    </row>
    <row r="3486" spans="23:23" ht="26.4">
      <c r="W3486" s="64" ph="1"/>
    </row>
    <row r="3487" spans="23:23" ht="26.4">
      <c r="W3487" s="64" ph="1"/>
    </row>
    <row r="3488" spans="23:23" ht="26.4">
      <c r="W3488" s="64" ph="1"/>
    </row>
    <row r="3489" spans="23:23" ht="26.4">
      <c r="W3489" s="64" ph="1"/>
    </row>
    <row r="3490" spans="23:23" ht="26.4">
      <c r="W3490" s="64" ph="1"/>
    </row>
    <row r="3491" spans="23:23" ht="26.4">
      <c r="W3491" s="64" ph="1"/>
    </row>
    <row r="3492" spans="23:23" ht="26.4">
      <c r="W3492" s="64" ph="1"/>
    </row>
    <row r="3493" spans="23:23" ht="26.4">
      <c r="W3493" s="64" ph="1"/>
    </row>
    <row r="3494" spans="23:23" ht="26.4">
      <c r="W3494" s="64" ph="1"/>
    </row>
    <row r="3495" spans="23:23" ht="26.4">
      <c r="W3495" s="64" ph="1"/>
    </row>
    <row r="3496" spans="23:23" ht="26.4">
      <c r="W3496" s="64" ph="1"/>
    </row>
    <row r="3497" spans="23:23" ht="26.4">
      <c r="W3497" s="64" ph="1"/>
    </row>
    <row r="3498" spans="23:23" ht="26.4">
      <c r="W3498" s="64" ph="1"/>
    </row>
    <row r="3499" spans="23:23" ht="26.4">
      <c r="W3499" s="64" ph="1"/>
    </row>
    <row r="3500" spans="23:23" ht="26.4">
      <c r="W3500" s="64" ph="1"/>
    </row>
    <row r="3501" spans="23:23" ht="26.4">
      <c r="W3501" s="64" ph="1"/>
    </row>
    <row r="3502" spans="23:23" ht="26.4">
      <c r="W3502" s="64" ph="1"/>
    </row>
    <row r="3503" spans="23:23" ht="26.4">
      <c r="W3503" s="64" ph="1"/>
    </row>
    <row r="3504" spans="23:23" ht="26.4">
      <c r="W3504" s="64" ph="1"/>
    </row>
    <row r="3505" spans="23:23" ht="26.4">
      <c r="W3505" s="64" ph="1"/>
    </row>
    <row r="3506" spans="23:23" ht="26.4">
      <c r="W3506" s="64" ph="1"/>
    </row>
    <row r="3507" spans="23:23" ht="26.4">
      <c r="W3507" s="64" ph="1"/>
    </row>
    <row r="3508" spans="23:23" ht="26.4">
      <c r="W3508" s="64" ph="1"/>
    </row>
    <row r="3509" spans="23:23" ht="26.4">
      <c r="W3509" s="64" ph="1"/>
    </row>
    <row r="3510" spans="23:23" ht="26.4">
      <c r="W3510" s="64" ph="1"/>
    </row>
    <row r="3511" spans="23:23" ht="26.4">
      <c r="W3511" s="64" ph="1"/>
    </row>
    <row r="3512" spans="23:23" ht="26.4">
      <c r="W3512" s="64" ph="1"/>
    </row>
    <row r="3513" spans="23:23" ht="26.4">
      <c r="W3513" s="64" ph="1"/>
    </row>
    <row r="3514" spans="23:23" ht="26.4">
      <c r="W3514" s="64" ph="1"/>
    </row>
    <row r="3515" spans="23:23" ht="26.4">
      <c r="W3515" s="64" ph="1"/>
    </row>
    <row r="3516" spans="23:23" ht="26.4">
      <c r="W3516" s="64" ph="1"/>
    </row>
    <row r="3517" spans="23:23" ht="26.4">
      <c r="W3517" s="64" ph="1"/>
    </row>
    <row r="3518" spans="23:23" ht="26.4">
      <c r="W3518" s="64" ph="1"/>
    </row>
    <row r="3519" spans="23:23" ht="26.4">
      <c r="W3519" s="64" ph="1"/>
    </row>
    <row r="3520" spans="23:23" ht="26.4">
      <c r="W3520" s="64" ph="1"/>
    </row>
    <row r="3521" spans="23:23" ht="26.4">
      <c r="W3521" s="64" ph="1"/>
    </row>
    <row r="3522" spans="23:23" ht="26.4">
      <c r="W3522" s="64" ph="1"/>
    </row>
    <row r="3523" spans="23:23" ht="26.4">
      <c r="W3523" s="64" ph="1"/>
    </row>
    <row r="3524" spans="23:23" ht="26.4">
      <c r="W3524" s="64" ph="1"/>
    </row>
    <row r="3525" spans="23:23" ht="26.4">
      <c r="W3525" s="64" ph="1"/>
    </row>
    <row r="3526" spans="23:23" ht="26.4">
      <c r="W3526" s="64" ph="1"/>
    </row>
    <row r="3527" spans="23:23" ht="26.4">
      <c r="W3527" s="64" ph="1"/>
    </row>
    <row r="3528" spans="23:23" ht="26.4">
      <c r="W3528" s="64" ph="1"/>
    </row>
    <row r="3529" spans="23:23" ht="26.4">
      <c r="W3529" s="64" ph="1"/>
    </row>
    <row r="3530" spans="23:23" ht="26.4">
      <c r="W3530" s="64" ph="1"/>
    </row>
    <row r="3531" spans="23:23" ht="26.4">
      <c r="W3531" s="64" ph="1"/>
    </row>
    <row r="3532" spans="23:23" ht="26.4">
      <c r="W3532" s="64" ph="1"/>
    </row>
    <row r="3533" spans="23:23" ht="26.4">
      <c r="W3533" s="64" ph="1"/>
    </row>
    <row r="3534" spans="23:23" ht="26.4">
      <c r="W3534" s="64" ph="1"/>
    </row>
    <row r="3535" spans="23:23" ht="26.4">
      <c r="W3535" s="64" ph="1"/>
    </row>
    <row r="3536" spans="23:23" ht="26.4">
      <c r="W3536" s="64" ph="1"/>
    </row>
    <row r="3537" spans="23:23" ht="26.4">
      <c r="W3537" s="64" ph="1"/>
    </row>
    <row r="3538" spans="23:23" ht="26.4">
      <c r="W3538" s="64" ph="1"/>
    </row>
    <row r="3539" spans="23:23" ht="26.4">
      <c r="W3539" s="64" ph="1"/>
    </row>
    <row r="3540" spans="23:23" ht="26.4">
      <c r="W3540" s="64" ph="1"/>
    </row>
    <row r="3541" spans="23:23" ht="26.4">
      <c r="W3541" s="64" ph="1"/>
    </row>
    <row r="3542" spans="23:23" ht="26.4">
      <c r="W3542" s="64" ph="1"/>
    </row>
    <row r="3543" spans="23:23" ht="26.4">
      <c r="W3543" s="64" ph="1"/>
    </row>
    <row r="3544" spans="23:23" ht="26.4">
      <c r="W3544" s="64" ph="1"/>
    </row>
    <row r="3545" spans="23:23" ht="26.4">
      <c r="W3545" s="64" ph="1"/>
    </row>
    <row r="3546" spans="23:23" ht="26.4">
      <c r="W3546" s="64" ph="1"/>
    </row>
    <row r="3547" spans="23:23" ht="26.4">
      <c r="W3547" s="64" ph="1"/>
    </row>
    <row r="3548" spans="23:23" ht="26.4">
      <c r="W3548" s="64" ph="1"/>
    </row>
    <row r="3549" spans="23:23" ht="26.4">
      <c r="W3549" s="64" ph="1"/>
    </row>
    <row r="3550" spans="23:23" ht="26.4">
      <c r="W3550" s="64" ph="1"/>
    </row>
    <row r="3551" spans="23:23" ht="26.4">
      <c r="W3551" s="64" ph="1"/>
    </row>
    <row r="3552" spans="23:23" ht="26.4">
      <c r="W3552" s="64" ph="1"/>
    </row>
    <row r="3553" spans="23:23" ht="26.4">
      <c r="W3553" s="64" ph="1"/>
    </row>
    <row r="3554" spans="23:23" ht="26.4">
      <c r="W3554" s="64" ph="1"/>
    </row>
    <row r="3555" spans="23:23" ht="26.4">
      <c r="W3555" s="64" ph="1"/>
    </row>
    <row r="3556" spans="23:23" ht="26.4">
      <c r="W3556" s="64" ph="1"/>
    </row>
    <row r="3557" spans="23:23" ht="26.4">
      <c r="W3557" s="64" ph="1"/>
    </row>
    <row r="3558" spans="23:23" ht="26.4">
      <c r="W3558" s="64" ph="1"/>
    </row>
    <row r="3559" spans="23:23" ht="26.4">
      <c r="W3559" s="64" ph="1"/>
    </row>
    <row r="3560" spans="23:23" ht="26.4">
      <c r="W3560" s="64" ph="1"/>
    </row>
    <row r="3561" spans="23:23" ht="26.4">
      <c r="W3561" s="64" ph="1"/>
    </row>
    <row r="3562" spans="23:23" ht="26.4">
      <c r="W3562" s="64" ph="1"/>
    </row>
    <row r="3563" spans="23:23" ht="26.4">
      <c r="W3563" s="64" ph="1"/>
    </row>
    <row r="3564" spans="23:23" ht="26.4">
      <c r="W3564" s="64" ph="1"/>
    </row>
    <row r="3565" spans="23:23" ht="26.4">
      <c r="W3565" s="64" ph="1"/>
    </row>
    <row r="3566" spans="23:23" ht="26.4">
      <c r="W3566" s="64" ph="1"/>
    </row>
    <row r="3567" spans="23:23" ht="26.4">
      <c r="W3567" s="64" ph="1"/>
    </row>
    <row r="3568" spans="23:23" ht="26.4">
      <c r="W3568" s="64" ph="1"/>
    </row>
    <row r="3569" spans="23:23" ht="26.4">
      <c r="W3569" s="64" ph="1"/>
    </row>
    <row r="3570" spans="23:23" ht="26.4">
      <c r="W3570" s="64" ph="1"/>
    </row>
    <row r="3571" spans="23:23" ht="26.4">
      <c r="W3571" s="64" ph="1"/>
    </row>
    <row r="3572" spans="23:23" ht="26.4">
      <c r="W3572" s="64" ph="1"/>
    </row>
    <row r="3573" spans="23:23" ht="26.4">
      <c r="W3573" s="64" ph="1"/>
    </row>
    <row r="3574" spans="23:23" ht="26.4">
      <c r="W3574" s="64" ph="1"/>
    </row>
    <row r="3575" spans="23:23" ht="26.4">
      <c r="W3575" s="64" ph="1"/>
    </row>
    <row r="3576" spans="23:23" ht="26.4">
      <c r="W3576" s="64" ph="1"/>
    </row>
    <row r="3577" spans="23:23" ht="26.4">
      <c r="W3577" s="64" ph="1"/>
    </row>
    <row r="3578" spans="23:23" ht="26.4">
      <c r="W3578" s="64" ph="1"/>
    </row>
    <row r="3579" spans="23:23" ht="26.4">
      <c r="W3579" s="64" ph="1"/>
    </row>
    <row r="3580" spans="23:23" ht="26.4">
      <c r="W3580" s="64" ph="1"/>
    </row>
    <row r="3581" spans="23:23" ht="26.4">
      <c r="W3581" s="64" ph="1"/>
    </row>
    <row r="3582" spans="23:23" ht="26.4">
      <c r="W3582" s="64" ph="1"/>
    </row>
    <row r="3583" spans="23:23" ht="26.4">
      <c r="W3583" s="64" ph="1"/>
    </row>
    <row r="3584" spans="23:23" ht="26.4">
      <c r="W3584" s="64" ph="1"/>
    </row>
    <row r="3585" spans="23:23" ht="26.4">
      <c r="W3585" s="64" ph="1"/>
    </row>
    <row r="3586" spans="23:23" ht="26.4">
      <c r="W3586" s="64" ph="1"/>
    </row>
    <row r="3587" spans="23:23" ht="26.4">
      <c r="W3587" s="64" ph="1"/>
    </row>
    <row r="3588" spans="23:23" ht="26.4">
      <c r="W3588" s="64" ph="1"/>
    </row>
    <row r="3589" spans="23:23" ht="26.4">
      <c r="W3589" s="64" ph="1"/>
    </row>
    <row r="3590" spans="23:23" ht="26.4">
      <c r="W3590" s="64" ph="1"/>
    </row>
    <row r="3591" spans="23:23" ht="26.4">
      <c r="W3591" s="64" ph="1"/>
    </row>
    <row r="3592" spans="23:23" ht="26.4">
      <c r="W3592" s="64" ph="1"/>
    </row>
    <row r="3593" spans="23:23" ht="26.4">
      <c r="W3593" s="64" ph="1"/>
    </row>
    <row r="3594" spans="23:23" ht="26.4">
      <c r="W3594" s="64" ph="1"/>
    </row>
    <row r="3595" spans="23:23" ht="26.4">
      <c r="W3595" s="64" ph="1"/>
    </row>
    <row r="3596" spans="23:23" ht="26.4">
      <c r="W3596" s="64" ph="1"/>
    </row>
    <row r="3597" spans="23:23" ht="26.4">
      <c r="W3597" s="64" ph="1"/>
    </row>
    <row r="3598" spans="23:23" ht="26.4">
      <c r="W3598" s="64" ph="1"/>
    </row>
    <row r="3599" spans="23:23" ht="26.4">
      <c r="W3599" s="64" ph="1"/>
    </row>
    <row r="3600" spans="23:23" ht="26.4">
      <c r="W3600" s="64" ph="1"/>
    </row>
    <row r="3601" spans="23:23" ht="26.4">
      <c r="W3601" s="64" ph="1"/>
    </row>
    <row r="3602" spans="23:23" ht="26.4">
      <c r="W3602" s="64" ph="1"/>
    </row>
    <row r="3603" spans="23:23" ht="26.4">
      <c r="W3603" s="64" ph="1"/>
    </row>
    <row r="3604" spans="23:23" ht="26.4">
      <c r="W3604" s="64" ph="1"/>
    </row>
    <row r="3605" spans="23:23" ht="26.4">
      <c r="W3605" s="64" ph="1"/>
    </row>
    <row r="3606" spans="23:23" ht="26.4">
      <c r="W3606" s="64" ph="1"/>
    </row>
    <row r="3607" spans="23:23" ht="26.4">
      <c r="W3607" s="64" ph="1"/>
    </row>
    <row r="3608" spans="23:23" ht="26.4">
      <c r="W3608" s="64" ph="1"/>
    </row>
    <row r="3609" spans="23:23" ht="26.4">
      <c r="W3609" s="64" ph="1"/>
    </row>
    <row r="3610" spans="23:23" ht="26.4">
      <c r="W3610" s="64" ph="1"/>
    </row>
    <row r="3611" spans="23:23" ht="26.4">
      <c r="W3611" s="64" ph="1"/>
    </row>
    <row r="3612" spans="23:23" ht="26.4">
      <c r="W3612" s="64" ph="1"/>
    </row>
    <row r="3613" spans="23:23" ht="26.4">
      <c r="W3613" s="64" ph="1"/>
    </row>
    <row r="3614" spans="23:23" ht="26.4">
      <c r="W3614" s="64" ph="1"/>
    </row>
    <row r="3615" spans="23:23" ht="26.4">
      <c r="W3615" s="64" ph="1"/>
    </row>
    <row r="3616" spans="23:23" ht="26.4">
      <c r="W3616" s="64" ph="1"/>
    </row>
    <row r="3617" spans="23:23" ht="26.4">
      <c r="W3617" s="64" ph="1"/>
    </row>
    <row r="3618" spans="23:23" ht="26.4">
      <c r="W3618" s="64" ph="1"/>
    </row>
    <row r="3619" spans="23:23" ht="26.4">
      <c r="W3619" s="64" ph="1"/>
    </row>
    <row r="3620" spans="23:23" ht="26.4">
      <c r="W3620" s="64" ph="1"/>
    </row>
    <row r="3621" spans="23:23" ht="26.4">
      <c r="W3621" s="64" ph="1"/>
    </row>
    <row r="3622" spans="23:23" ht="26.4">
      <c r="W3622" s="64" ph="1"/>
    </row>
    <row r="3623" spans="23:23" ht="26.4">
      <c r="W3623" s="64" ph="1"/>
    </row>
    <row r="3624" spans="23:23" ht="26.4">
      <c r="W3624" s="64" ph="1"/>
    </row>
    <row r="3625" spans="23:23" ht="26.4">
      <c r="W3625" s="64" ph="1"/>
    </row>
    <row r="3626" spans="23:23" ht="26.4">
      <c r="W3626" s="64" ph="1"/>
    </row>
    <row r="3627" spans="23:23" ht="26.4">
      <c r="W3627" s="64" ph="1"/>
    </row>
    <row r="3628" spans="23:23" ht="26.4">
      <c r="W3628" s="64" ph="1"/>
    </row>
    <row r="3629" spans="23:23" ht="26.4">
      <c r="W3629" s="64" ph="1"/>
    </row>
    <row r="3630" spans="23:23" ht="26.4">
      <c r="W3630" s="64" ph="1"/>
    </row>
    <row r="3631" spans="23:23" ht="26.4">
      <c r="W3631" s="64" ph="1"/>
    </row>
    <row r="3632" spans="23:23" ht="26.4">
      <c r="W3632" s="64" ph="1"/>
    </row>
    <row r="3633" spans="23:23" ht="26.4">
      <c r="W3633" s="64" ph="1"/>
    </row>
    <row r="3634" spans="23:23" ht="26.4">
      <c r="W3634" s="64" ph="1"/>
    </row>
    <row r="3635" spans="23:23" ht="26.4">
      <c r="W3635" s="64" ph="1"/>
    </row>
    <row r="3636" spans="23:23" ht="26.4">
      <c r="W3636" s="64" ph="1"/>
    </row>
    <row r="3637" spans="23:23" ht="26.4">
      <c r="W3637" s="64" ph="1"/>
    </row>
    <row r="3638" spans="23:23" ht="26.4">
      <c r="W3638" s="64" ph="1"/>
    </row>
    <row r="3639" spans="23:23" ht="26.4">
      <c r="W3639" s="64" ph="1"/>
    </row>
    <row r="3640" spans="23:23" ht="26.4">
      <c r="W3640" s="64" ph="1"/>
    </row>
    <row r="3641" spans="23:23" ht="26.4">
      <c r="W3641" s="64" ph="1"/>
    </row>
    <row r="3642" spans="23:23" ht="26.4">
      <c r="W3642" s="64" ph="1"/>
    </row>
    <row r="3643" spans="23:23" ht="26.4">
      <c r="W3643" s="64" ph="1"/>
    </row>
    <row r="3644" spans="23:23" ht="26.4">
      <c r="W3644" s="64" ph="1"/>
    </row>
    <row r="3645" spans="23:23" ht="26.4">
      <c r="W3645" s="64" ph="1"/>
    </row>
    <row r="3646" spans="23:23" ht="26.4">
      <c r="W3646" s="64" ph="1"/>
    </row>
    <row r="3647" spans="23:23" ht="26.4">
      <c r="W3647" s="64" ph="1"/>
    </row>
    <row r="3648" spans="23:23" ht="26.4">
      <c r="W3648" s="64" ph="1"/>
    </row>
    <row r="3649" spans="23:23" ht="26.4">
      <c r="W3649" s="64" ph="1"/>
    </row>
    <row r="3650" spans="23:23" ht="26.4">
      <c r="W3650" s="64" ph="1"/>
    </row>
    <row r="3651" spans="23:23" ht="26.4">
      <c r="W3651" s="64" ph="1"/>
    </row>
    <row r="3652" spans="23:23" ht="26.4">
      <c r="W3652" s="64" ph="1"/>
    </row>
    <row r="3653" spans="23:23" ht="26.4">
      <c r="W3653" s="64" ph="1"/>
    </row>
    <row r="3654" spans="23:23" ht="26.4">
      <c r="W3654" s="64" ph="1"/>
    </row>
    <row r="3655" spans="23:23" ht="26.4">
      <c r="W3655" s="64" ph="1"/>
    </row>
    <row r="3656" spans="23:23" ht="26.4">
      <c r="W3656" s="64" ph="1"/>
    </row>
    <row r="3657" spans="23:23" ht="26.4">
      <c r="W3657" s="64" ph="1"/>
    </row>
    <row r="3658" spans="23:23" ht="26.4">
      <c r="W3658" s="64" ph="1"/>
    </row>
    <row r="3659" spans="23:23" ht="26.4">
      <c r="W3659" s="64" ph="1"/>
    </row>
    <row r="3660" spans="23:23" ht="26.4">
      <c r="W3660" s="64" ph="1"/>
    </row>
    <row r="3661" spans="23:23" ht="26.4">
      <c r="W3661" s="64" ph="1"/>
    </row>
    <row r="3662" spans="23:23" ht="26.4">
      <c r="W3662" s="64" ph="1"/>
    </row>
    <row r="3663" spans="23:23" ht="26.4">
      <c r="W3663" s="64" ph="1"/>
    </row>
    <row r="3664" spans="23:23" ht="26.4">
      <c r="W3664" s="64" ph="1"/>
    </row>
    <row r="3665" spans="23:23" ht="26.4">
      <c r="W3665" s="64" ph="1"/>
    </row>
    <row r="3666" spans="23:23" ht="26.4">
      <c r="W3666" s="64" ph="1"/>
    </row>
    <row r="3667" spans="23:23" ht="26.4">
      <c r="W3667" s="64" ph="1"/>
    </row>
    <row r="3668" spans="23:23" ht="26.4">
      <c r="W3668" s="64" ph="1"/>
    </row>
    <row r="3669" spans="23:23" ht="26.4">
      <c r="W3669" s="64" ph="1"/>
    </row>
    <row r="3670" spans="23:23" ht="26.4">
      <c r="W3670" s="64" ph="1"/>
    </row>
    <row r="3671" spans="23:23" ht="26.4">
      <c r="W3671" s="64" ph="1"/>
    </row>
    <row r="3672" spans="23:23" ht="26.4">
      <c r="W3672" s="64" ph="1"/>
    </row>
    <row r="3673" spans="23:23" ht="26.4">
      <c r="W3673" s="64" ph="1"/>
    </row>
    <row r="3674" spans="23:23" ht="26.4">
      <c r="W3674" s="64" ph="1"/>
    </row>
    <row r="3675" spans="23:23" ht="26.4">
      <c r="W3675" s="64" ph="1"/>
    </row>
    <row r="3676" spans="23:23" ht="26.4">
      <c r="W3676" s="64" ph="1"/>
    </row>
    <row r="3677" spans="23:23" ht="26.4">
      <c r="W3677" s="64" ph="1"/>
    </row>
    <row r="3678" spans="23:23" ht="26.4">
      <c r="W3678" s="64" ph="1"/>
    </row>
    <row r="3679" spans="23:23" ht="26.4">
      <c r="W3679" s="64" ph="1"/>
    </row>
    <row r="3680" spans="23:23" ht="26.4">
      <c r="W3680" s="64" ph="1"/>
    </row>
    <row r="3681" spans="23:23" ht="26.4">
      <c r="W3681" s="64" ph="1"/>
    </row>
    <row r="3682" spans="23:23" ht="26.4">
      <c r="W3682" s="64" ph="1"/>
    </row>
    <row r="3683" spans="23:23" ht="26.4">
      <c r="W3683" s="64" ph="1"/>
    </row>
    <row r="3684" spans="23:23" ht="26.4">
      <c r="W3684" s="64" ph="1"/>
    </row>
    <row r="3685" spans="23:23" ht="26.4">
      <c r="W3685" s="64" ph="1"/>
    </row>
    <row r="3686" spans="23:23" ht="26.4">
      <c r="W3686" s="64" ph="1"/>
    </row>
    <row r="3687" spans="23:23" ht="26.4">
      <c r="W3687" s="64" ph="1"/>
    </row>
    <row r="3688" spans="23:23" ht="26.4">
      <c r="W3688" s="64" ph="1"/>
    </row>
    <row r="3689" spans="23:23" ht="26.4">
      <c r="W3689" s="64" ph="1"/>
    </row>
    <row r="3690" spans="23:23" ht="26.4">
      <c r="W3690" s="64" ph="1"/>
    </row>
    <row r="3691" spans="23:23" ht="26.4">
      <c r="W3691" s="64" ph="1"/>
    </row>
    <row r="3692" spans="23:23" ht="26.4">
      <c r="W3692" s="64" ph="1"/>
    </row>
    <row r="3693" spans="23:23" ht="26.4">
      <c r="W3693" s="64" ph="1"/>
    </row>
    <row r="3694" spans="23:23" ht="26.4">
      <c r="W3694" s="64" ph="1"/>
    </row>
    <row r="3695" spans="23:23" ht="26.4">
      <c r="W3695" s="64" ph="1"/>
    </row>
    <row r="3696" spans="23:23" ht="26.4">
      <c r="W3696" s="64" ph="1"/>
    </row>
    <row r="3697" spans="23:23" ht="26.4">
      <c r="W3697" s="64" ph="1"/>
    </row>
    <row r="3698" spans="23:23" ht="26.4">
      <c r="W3698" s="64" ph="1"/>
    </row>
    <row r="3699" spans="23:23" ht="26.4">
      <c r="W3699" s="64" ph="1"/>
    </row>
    <row r="3700" spans="23:23" ht="26.4">
      <c r="W3700" s="64" ph="1"/>
    </row>
    <row r="3701" spans="23:23" ht="26.4">
      <c r="W3701" s="64" ph="1"/>
    </row>
    <row r="3702" spans="23:23" ht="26.4">
      <c r="W3702" s="64" ph="1"/>
    </row>
    <row r="3703" spans="23:23" ht="26.4">
      <c r="W3703" s="64" ph="1"/>
    </row>
    <row r="3704" spans="23:23" ht="26.4">
      <c r="W3704" s="64" ph="1"/>
    </row>
    <row r="3705" spans="23:23" ht="26.4">
      <c r="W3705" s="64" ph="1"/>
    </row>
    <row r="3706" spans="23:23" ht="26.4">
      <c r="W3706" s="64" ph="1"/>
    </row>
    <row r="3707" spans="23:23" ht="26.4">
      <c r="W3707" s="64" ph="1"/>
    </row>
    <row r="3708" spans="23:23" ht="26.4">
      <c r="W3708" s="64" ph="1"/>
    </row>
    <row r="3709" spans="23:23" ht="26.4">
      <c r="W3709" s="64" ph="1"/>
    </row>
    <row r="3710" spans="23:23" ht="26.4">
      <c r="W3710" s="64" ph="1"/>
    </row>
    <row r="3711" spans="23:23" ht="26.4">
      <c r="W3711" s="64" ph="1"/>
    </row>
    <row r="3712" spans="23:23" ht="26.4">
      <c r="W3712" s="64" ph="1"/>
    </row>
    <row r="3713" spans="23:23" ht="26.4">
      <c r="W3713" s="64" ph="1"/>
    </row>
    <row r="3714" spans="23:23" ht="26.4">
      <c r="W3714" s="64" ph="1"/>
    </row>
    <row r="3715" spans="23:23" ht="26.4">
      <c r="W3715" s="64" ph="1"/>
    </row>
    <row r="3716" spans="23:23" ht="26.4">
      <c r="W3716" s="64" ph="1"/>
    </row>
    <row r="3717" spans="23:23" ht="26.4">
      <c r="W3717" s="64" ph="1"/>
    </row>
    <row r="3718" spans="23:23" ht="26.4">
      <c r="W3718" s="64" ph="1"/>
    </row>
    <row r="3719" spans="23:23" ht="26.4">
      <c r="W3719" s="64" ph="1"/>
    </row>
    <row r="3720" spans="23:23" ht="26.4">
      <c r="W3720" s="64" ph="1"/>
    </row>
    <row r="3721" spans="23:23" ht="26.4">
      <c r="W3721" s="64" ph="1"/>
    </row>
    <row r="3722" spans="23:23" ht="26.4">
      <c r="W3722" s="64" ph="1"/>
    </row>
    <row r="3723" spans="23:23" ht="26.4">
      <c r="W3723" s="64" ph="1"/>
    </row>
    <row r="3724" spans="23:23" ht="26.4">
      <c r="W3724" s="64" ph="1"/>
    </row>
    <row r="3725" spans="23:23" ht="26.4">
      <c r="W3725" s="64" ph="1"/>
    </row>
    <row r="3726" spans="23:23" ht="26.4">
      <c r="W3726" s="64" ph="1"/>
    </row>
    <row r="3727" spans="23:23" ht="26.4">
      <c r="W3727" s="64" ph="1"/>
    </row>
    <row r="3728" spans="23:23" ht="26.4">
      <c r="W3728" s="64" ph="1"/>
    </row>
    <row r="3729" spans="23:23" ht="26.4">
      <c r="W3729" s="64" ph="1"/>
    </row>
    <row r="3730" spans="23:23" ht="26.4">
      <c r="W3730" s="64" ph="1"/>
    </row>
    <row r="3731" spans="23:23" ht="26.4">
      <c r="W3731" s="64" ph="1"/>
    </row>
    <row r="3732" spans="23:23" ht="26.4">
      <c r="W3732" s="64" ph="1"/>
    </row>
    <row r="3733" spans="23:23" ht="26.4">
      <c r="W3733" s="64" ph="1"/>
    </row>
    <row r="3734" spans="23:23" ht="26.4">
      <c r="W3734" s="64" ph="1"/>
    </row>
    <row r="3735" spans="23:23" ht="26.4">
      <c r="W3735" s="64" ph="1"/>
    </row>
    <row r="3736" spans="23:23" ht="26.4">
      <c r="W3736" s="64" ph="1"/>
    </row>
    <row r="3737" spans="23:23" ht="26.4">
      <c r="W3737" s="64" ph="1"/>
    </row>
    <row r="3738" spans="23:23" ht="26.4">
      <c r="W3738" s="64" ph="1"/>
    </row>
    <row r="3739" spans="23:23" ht="26.4">
      <c r="W3739" s="64" ph="1"/>
    </row>
    <row r="3740" spans="23:23" ht="26.4">
      <c r="W3740" s="64" ph="1"/>
    </row>
    <row r="3741" spans="23:23" ht="26.4">
      <c r="W3741" s="64" ph="1"/>
    </row>
    <row r="3742" spans="23:23" ht="26.4">
      <c r="W3742" s="64" ph="1"/>
    </row>
    <row r="3743" spans="23:23" ht="26.4">
      <c r="W3743" s="64" ph="1"/>
    </row>
    <row r="3744" spans="23:23" ht="26.4">
      <c r="W3744" s="64" ph="1"/>
    </row>
    <row r="3745" spans="23:23" ht="26.4">
      <c r="W3745" s="64" ph="1"/>
    </row>
    <row r="3746" spans="23:23" ht="26.4">
      <c r="W3746" s="64" ph="1"/>
    </row>
    <row r="3747" spans="23:23" ht="26.4">
      <c r="W3747" s="64" ph="1"/>
    </row>
    <row r="3748" spans="23:23" ht="26.4">
      <c r="W3748" s="64" ph="1"/>
    </row>
    <row r="3749" spans="23:23" ht="26.4">
      <c r="W3749" s="64" ph="1"/>
    </row>
    <row r="3750" spans="23:23" ht="26.4">
      <c r="W3750" s="64" ph="1"/>
    </row>
    <row r="3751" spans="23:23" ht="26.4">
      <c r="W3751" s="64" ph="1"/>
    </row>
    <row r="3752" spans="23:23" ht="26.4">
      <c r="W3752" s="64" ph="1"/>
    </row>
    <row r="3753" spans="23:23" ht="26.4">
      <c r="W3753" s="64" ph="1"/>
    </row>
    <row r="3754" spans="23:23" ht="26.4">
      <c r="W3754" s="64" ph="1"/>
    </row>
    <row r="3755" spans="23:23" ht="26.4">
      <c r="W3755" s="64" ph="1"/>
    </row>
    <row r="3756" spans="23:23" ht="26.4">
      <c r="W3756" s="64" ph="1"/>
    </row>
    <row r="3757" spans="23:23" ht="26.4">
      <c r="W3757" s="64" ph="1"/>
    </row>
    <row r="3758" spans="23:23" ht="26.4">
      <c r="W3758" s="64" ph="1"/>
    </row>
    <row r="3759" spans="23:23" ht="26.4">
      <c r="W3759" s="64" ph="1"/>
    </row>
    <row r="3760" spans="23:23" ht="26.4">
      <c r="W3760" s="64" ph="1"/>
    </row>
    <row r="3761" spans="23:23" ht="26.4">
      <c r="W3761" s="64" ph="1"/>
    </row>
    <row r="3762" spans="23:23" ht="26.4">
      <c r="W3762" s="64" ph="1"/>
    </row>
    <row r="3763" spans="23:23" ht="26.4">
      <c r="W3763" s="64" ph="1"/>
    </row>
    <row r="3764" spans="23:23" ht="26.4">
      <c r="W3764" s="64" ph="1"/>
    </row>
    <row r="3765" spans="23:23" ht="26.4">
      <c r="W3765" s="64" ph="1"/>
    </row>
    <row r="3766" spans="23:23" ht="26.4">
      <c r="W3766" s="64" ph="1"/>
    </row>
    <row r="3767" spans="23:23" ht="26.4">
      <c r="W3767" s="64" ph="1"/>
    </row>
    <row r="3768" spans="23:23" ht="26.4">
      <c r="W3768" s="64" ph="1"/>
    </row>
    <row r="3769" spans="23:23" ht="26.4">
      <c r="W3769" s="64" ph="1"/>
    </row>
    <row r="3770" spans="23:23" ht="26.4">
      <c r="W3770" s="64" ph="1"/>
    </row>
    <row r="3771" spans="23:23" ht="26.4">
      <c r="W3771" s="64" ph="1"/>
    </row>
    <row r="3772" spans="23:23" ht="26.4">
      <c r="W3772" s="64" ph="1"/>
    </row>
    <row r="3773" spans="23:23" ht="26.4">
      <c r="W3773" s="64" ph="1"/>
    </row>
    <row r="3774" spans="23:23" ht="26.4">
      <c r="W3774" s="64" ph="1"/>
    </row>
    <row r="3775" spans="23:23" ht="26.4">
      <c r="W3775" s="64" ph="1"/>
    </row>
    <row r="3776" spans="23:23" ht="26.4">
      <c r="W3776" s="64" ph="1"/>
    </row>
    <row r="3777" spans="23:23" ht="26.4">
      <c r="W3777" s="64" ph="1"/>
    </row>
    <row r="3778" spans="23:23" ht="26.4">
      <c r="W3778" s="64" ph="1"/>
    </row>
    <row r="3779" spans="23:23" ht="26.4">
      <c r="W3779" s="64" ph="1"/>
    </row>
    <row r="3780" spans="23:23" ht="26.4">
      <c r="W3780" s="64" ph="1"/>
    </row>
    <row r="3781" spans="23:23" ht="26.4">
      <c r="W3781" s="64" ph="1"/>
    </row>
    <row r="3782" spans="23:23" ht="26.4">
      <c r="W3782" s="64" ph="1"/>
    </row>
    <row r="3783" spans="23:23" ht="26.4">
      <c r="W3783" s="64" ph="1"/>
    </row>
    <row r="3784" spans="23:23" ht="26.4">
      <c r="W3784" s="64" ph="1"/>
    </row>
    <row r="3785" spans="23:23" ht="26.4">
      <c r="W3785" s="64" ph="1"/>
    </row>
    <row r="3786" spans="23:23" ht="26.4">
      <c r="W3786" s="64" ph="1"/>
    </row>
    <row r="3787" spans="23:23" ht="26.4">
      <c r="W3787" s="64" ph="1"/>
    </row>
    <row r="3788" spans="23:23" ht="26.4">
      <c r="W3788" s="64" ph="1"/>
    </row>
    <row r="3789" spans="23:23" ht="26.4">
      <c r="W3789" s="64" ph="1"/>
    </row>
    <row r="3790" spans="23:23" ht="26.4">
      <c r="W3790" s="64" ph="1"/>
    </row>
    <row r="3791" spans="23:23" ht="26.4">
      <c r="W3791" s="64" ph="1"/>
    </row>
    <row r="3792" spans="23:23" ht="26.4">
      <c r="W3792" s="64" ph="1"/>
    </row>
    <row r="3793" spans="23:23" ht="26.4">
      <c r="W3793" s="64" ph="1"/>
    </row>
    <row r="3794" spans="23:23" ht="26.4">
      <c r="W3794" s="64" ph="1"/>
    </row>
    <row r="3795" spans="23:23" ht="26.4">
      <c r="W3795" s="64" ph="1"/>
    </row>
    <row r="3796" spans="23:23" ht="26.4">
      <c r="W3796" s="64" ph="1"/>
    </row>
    <row r="3797" spans="23:23" ht="26.4">
      <c r="W3797" s="64" ph="1"/>
    </row>
    <row r="3798" spans="23:23" ht="26.4">
      <c r="W3798" s="64" ph="1"/>
    </row>
    <row r="3799" spans="23:23" ht="26.4">
      <c r="W3799" s="64" ph="1"/>
    </row>
    <row r="3800" spans="23:23" ht="26.4">
      <c r="W3800" s="64" ph="1"/>
    </row>
    <row r="3801" spans="23:23" ht="26.4">
      <c r="W3801" s="64" ph="1"/>
    </row>
    <row r="3802" spans="23:23" ht="26.4">
      <c r="W3802" s="64" ph="1"/>
    </row>
    <row r="3803" spans="23:23" ht="26.4">
      <c r="W3803" s="64" ph="1"/>
    </row>
    <row r="3804" spans="23:23" ht="26.4">
      <c r="W3804" s="64" ph="1"/>
    </row>
    <row r="3805" spans="23:23" ht="26.4">
      <c r="W3805" s="64" ph="1"/>
    </row>
    <row r="3806" spans="23:23" ht="26.4">
      <c r="W3806" s="64" ph="1"/>
    </row>
    <row r="3807" spans="23:23" ht="26.4">
      <c r="W3807" s="64" ph="1"/>
    </row>
    <row r="3808" spans="23:23" ht="26.4">
      <c r="W3808" s="64" ph="1"/>
    </row>
    <row r="3809" spans="23:23" ht="26.4">
      <c r="W3809" s="64" ph="1"/>
    </row>
    <row r="3810" spans="23:23" ht="26.4">
      <c r="W3810" s="64" ph="1"/>
    </row>
    <row r="3811" spans="23:23" ht="26.4">
      <c r="W3811" s="64" ph="1"/>
    </row>
    <row r="3812" spans="23:23" ht="26.4">
      <c r="W3812" s="64" ph="1"/>
    </row>
    <row r="3813" spans="23:23" ht="26.4">
      <c r="W3813" s="64" ph="1"/>
    </row>
    <row r="3814" spans="23:23" ht="26.4">
      <c r="W3814" s="64" ph="1"/>
    </row>
    <row r="3815" spans="23:23" ht="26.4">
      <c r="W3815" s="64" ph="1"/>
    </row>
    <row r="3816" spans="23:23" ht="26.4">
      <c r="W3816" s="64" ph="1"/>
    </row>
    <row r="3817" spans="23:23" ht="26.4">
      <c r="W3817" s="64" ph="1"/>
    </row>
    <row r="3818" spans="23:23" ht="26.4">
      <c r="W3818" s="64" ph="1"/>
    </row>
    <row r="3819" spans="23:23" ht="26.4">
      <c r="W3819" s="64" ph="1"/>
    </row>
    <row r="3820" spans="23:23" ht="26.4">
      <c r="W3820" s="64" ph="1"/>
    </row>
    <row r="3821" spans="23:23" ht="26.4">
      <c r="W3821" s="64" ph="1"/>
    </row>
    <row r="3822" spans="23:23" ht="26.4">
      <c r="W3822" s="64" ph="1"/>
    </row>
    <row r="3823" spans="23:23" ht="26.4">
      <c r="W3823" s="64" ph="1"/>
    </row>
    <row r="3824" spans="23:23" ht="26.4">
      <c r="W3824" s="64" ph="1"/>
    </row>
    <row r="3825" spans="23:23" ht="26.4">
      <c r="W3825" s="64" ph="1"/>
    </row>
    <row r="3826" spans="23:23" ht="26.4">
      <c r="W3826" s="64" ph="1"/>
    </row>
    <row r="3827" spans="23:23" ht="26.4">
      <c r="W3827" s="64" ph="1"/>
    </row>
    <row r="3828" spans="23:23" ht="26.4">
      <c r="W3828" s="64" ph="1"/>
    </row>
    <row r="3829" spans="23:23" ht="26.4">
      <c r="W3829" s="64" ph="1"/>
    </row>
    <row r="3830" spans="23:23" ht="26.4">
      <c r="W3830" s="64" ph="1"/>
    </row>
    <row r="3831" spans="23:23" ht="26.4">
      <c r="W3831" s="64" ph="1"/>
    </row>
    <row r="3832" spans="23:23" ht="26.4">
      <c r="W3832" s="64" ph="1"/>
    </row>
    <row r="3833" spans="23:23" ht="26.4">
      <c r="W3833" s="64" ph="1"/>
    </row>
    <row r="3834" spans="23:23" ht="26.4">
      <c r="W3834" s="64" ph="1"/>
    </row>
    <row r="3835" spans="23:23" ht="26.4">
      <c r="W3835" s="64" ph="1"/>
    </row>
    <row r="3836" spans="23:23" ht="26.4">
      <c r="W3836" s="64" ph="1"/>
    </row>
    <row r="3837" spans="23:23" ht="26.4">
      <c r="W3837" s="64" ph="1"/>
    </row>
    <row r="3838" spans="23:23" ht="26.4">
      <c r="W3838" s="64" ph="1"/>
    </row>
    <row r="3839" spans="23:23" ht="26.4">
      <c r="W3839" s="64" ph="1"/>
    </row>
    <row r="3840" spans="23:23" ht="26.4">
      <c r="W3840" s="64" ph="1"/>
    </row>
    <row r="3841" spans="23:23" ht="26.4">
      <c r="W3841" s="64" ph="1"/>
    </row>
    <row r="3842" spans="23:23" ht="26.4">
      <c r="W3842" s="64" ph="1"/>
    </row>
    <row r="3843" spans="23:23" ht="26.4">
      <c r="W3843" s="64" ph="1"/>
    </row>
    <row r="3844" spans="23:23" ht="26.4">
      <c r="W3844" s="64" ph="1"/>
    </row>
    <row r="3845" spans="23:23" ht="26.4">
      <c r="W3845" s="64" ph="1"/>
    </row>
    <row r="3846" spans="23:23" ht="26.4">
      <c r="W3846" s="64" ph="1"/>
    </row>
    <row r="3847" spans="23:23" ht="26.4">
      <c r="W3847" s="64" ph="1"/>
    </row>
    <row r="3848" spans="23:23" ht="26.4">
      <c r="W3848" s="64" ph="1"/>
    </row>
    <row r="3849" spans="23:23" ht="26.4">
      <c r="W3849" s="64" ph="1"/>
    </row>
    <row r="3850" spans="23:23" ht="26.4">
      <c r="W3850" s="64" ph="1"/>
    </row>
    <row r="3851" spans="23:23" ht="26.4">
      <c r="W3851" s="64" ph="1"/>
    </row>
    <row r="3852" spans="23:23" ht="26.4">
      <c r="W3852" s="64" ph="1"/>
    </row>
    <row r="3853" spans="23:23" ht="26.4">
      <c r="W3853" s="64" ph="1"/>
    </row>
    <row r="3854" spans="23:23" ht="26.4">
      <c r="W3854" s="64" ph="1"/>
    </row>
    <row r="3855" spans="23:23" ht="26.4">
      <c r="W3855" s="64" ph="1"/>
    </row>
    <row r="3856" spans="23:23" ht="26.4">
      <c r="W3856" s="64" ph="1"/>
    </row>
    <row r="3857" spans="23:23" ht="26.4">
      <c r="W3857" s="64" ph="1"/>
    </row>
    <row r="3858" spans="23:23" ht="26.4">
      <c r="W3858" s="64" ph="1"/>
    </row>
    <row r="3859" spans="23:23" ht="26.4">
      <c r="W3859" s="64" ph="1"/>
    </row>
    <row r="3860" spans="23:23" ht="26.4">
      <c r="W3860" s="64" ph="1"/>
    </row>
    <row r="3861" spans="23:23" ht="26.4">
      <c r="W3861" s="64" ph="1"/>
    </row>
    <row r="3862" spans="23:23" ht="26.4">
      <c r="W3862" s="64" ph="1"/>
    </row>
    <row r="3863" spans="23:23" ht="26.4">
      <c r="W3863" s="64" ph="1"/>
    </row>
    <row r="3864" spans="23:23" ht="26.4">
      <c r="W3864" s="64" ph="1"/>
    </row>
    <row r="3865" spans="23:23" ht="26.4">
      <c r="W3865" s="64" ph="1"/>
    </row>
    <row r="3866" spans="23:23" ht="26.4">
      <c r="W3866" s="64" ph="1"/>
    </row>
    <row r="3867" spans="23:23" ht="26.4">
      <c r="W3867" s="64" ph="1"/>
    </row>
    <row r="3868" spans="23:23" ht="26.4">
      <c r="W3868" s="64" ph="1"/>
    </row>
    <row r="3869" spans="23:23" ht="26.4">
      <c r="W3869" s="64" ph="1"/>
    </row>
    <row r="3870" spans="23:23" ht="26.4">
      <c r="W3870" s="64" ph="1"/>
    </row>
    <row r="3871" spans="23:23" ht="26.4">
      <c r="W3871" s="64" ph="1"/>
    </row>
    <row r="3872" spans="23:23" ht="26.4">
      <c r="W3872" s="64" ph="1"/>
    </row>
    <row r="3873" spans="23:23" ht="26.4">
      <c r="W3873" s="64" ph="1"/>
    </row>
    <row r="3874" spans="23:23" ht="26.4">
      <c r="W3874" s="64" ph="1"/>
    </row>
    <row r="3875" spans="23:23" ht="26.4">
      <c r="W3875" s="64" ph="1"/>
    </row>
    <row r="3876" spans="23:23" ht="26.4">
      <c r="W3876" s="64" ph="1"/>
    </row>
    <row r="3877" spans="23:23" ht="26.4">
      <c r="W3877" s="64" ph="1"/>
    </row>
    <row r="3878" spans="23:23" ht="26.4">
      <c r="W3878" s="64" ph="1"/>
    </row>
    <row r="3879" spans="23:23" ht="26.4">
      <c r="W3879" s="64" ph="1"/>
    </row>
    <row r="3880" spans="23:23" ht="26.4">
      <c r="W3880" s="64" ph="1"/>
    </row>
    <row r="3881" spans="23:23" ht="26.4">
      <c r="W3881" s="64" ph="1"/>
    </row>
    <row r="3882" spans="23:23" ht="26.4">
      <c r="W3882" s="64" ph="1"/>
    </row>
    <row r="3883" spans="23:23" ht="26.4">
      <c r="W3883" s="64" ph="1"/>
    </row>
    <row r="3884" spans="23:23" ht="26.4">
      <c r="W3884" s="64" ph="1"/>
    </row>
    <row r="3885" spans="23:23" ht="26.4">
      <c r="W3885" s="64" ph="1"/>
    </row>
    <row r="3886" spans="23:23" ht="26.4">
      <c r="W3886" s="64" ph="1"/>
    </row>
    <row r="3887" spans="23:23" ht="26.4">
      <c r="W3887" s="64" ph="1"/>
    </row>
    <row r="3888" spans="23:23" ht="26.4">
      <c r="W3888" s="64" ph="1"/>
    </row>
    <row r="3889" spans="23:23" ht="26.4">
      <c r="W3889" s="64" ph="1"/>
    </row>
    <row r="3890" spans="23:23" ht="26.4">
      <c r="W3890" s="64" ph="1"/>
    </row>
    <row r="3891" spans="23:23" ht="26.4">
      <c r="W3891" s="64" ph="1"/>
    </row>
    <row r="3892" spans="23:23" ht="26.4">
      <c r="W3892" s="64" ph="1"/>
    </row>
    <row r="3893" spans="23:23" ht="26.4">
      <c r="W3893" s="64" ph="1"/>
    </row>
    <row r="3894" spans="23:23" ht="26.4">
      <c r="W3894" s="64" ph="1"/>
    </row>
    <row r="3895" spans="23:23" ht="26.4">
      <c r="W3895" s="64" ph="1"/>
    </row>
    <row r="3896" spans="23:23" ht="26.4">
      <c r="W3896" s="64" ph="1"/>
    </row>
    <row r="3897" spans="23:23" ht="26.4">
      <c r="W3897" s="64" ph="1"/>
    </row>
    <row r="3898" spans="23:23" ht="26.4">
      <c r="W3898" s="64" ph="1"/>
    </row>
    <row r="3899" spans="23:23" ht="26.4">
      <c r="W3899" s="64" ph="1"/>
    </row>
    <row r="3900" spans="23:23" ht="26.4">
      <c r="W3900" s="64" ph="1"/>
    </row>
    <row r="3901" spans="23:23" ht="26.4">
      <c r="W3901" s="64" ph="1"/>
    </row>
    <row r="3902" spans="23:23" ht="26.4">
      <c r="W3902" s="64" ph="1"/>
    </row>
    <row r="3903" spans="23:23" ht="26.4">
      <c r="W3903" s="64" ph="1"/>
    </row>
    <row r="3904" spans="23:23" ht="26.4">
      <c r="W3904" s="64" ph="1"/>
    </row>
    <row r="3905" spans="23:23" ht="26.4">
      <c r="W3905" s="64" ph="1"/>
    </row>
    <row r="3906" spans="23:23" ht="26.4">
      <c r="W3906" s="64" ph="1"/>
    </row>
    <row r="3907" spans="23:23" ht="26.4">
      <c r="W3907" s="64" ph="1"/>
    </row>
    <row r="3908" spans="23:23" ht="26.4">
      <c r="W3908" s="64" ph="1"/>
    </row>
    <row r="3909" spans="23:23" ht="26.4">
      <c r="W3909" s="64" ph="1"/>
    </row>
    <row r="3910" spans="23:23" ht="26.4">
      <c r="W3910" s="64" ph="1"/>
    </row>
    <row r="3911" spans="23:23" ht="26.4">
      <c r="W3911" s="64" ph="1"/>
    </row>
    <row r="3912" spans="23:23" ht="26.4">
      <c r="W3912" s="64" ph="1"/>
    </row>
    <row r="3913" spans="23:23" ht="26.4">
      <c r="W3913" s="64" ph="1"/>
    </row>
    <row r="3914" spans="23:23" ht="26.4">
      <c r="W3914" s="64" ph="1"/>
    </row>
    <row r="3915" spans="23:23" ht="26.4">
      <c r="W3915" s="64" ph="1"/>
    </row>
    <row r="3916" spans="23:23" ht="26.4">
      <c r="W3916" s="64" ph="1"/>
    </row>
    <row r="3917" spans="23:23" ht="26.4">
      <c r="W3917" s="64" ph="1"/>
    </row>
    <row r="3918" spans="23:23" ht="26.4">
      <c r="W3918" s="64" ph="1"/>
    </row>
    <row r="3919" spans="23:23" ht="26.4">
      <c r="W3919" s="64" ph="1"/>
    </row>
    <row r="3920" spans="23:23" ht="26.4">
      <c r="W3920" s="64" ph="1"/>
    </row>
    <row r="3921" spans="23:23" ht="26.4">
      <c r="W3921" s="64" ph="1"/>
    </row>
    <row r="3922" spans="23:23" ht="26.4">
      <c r="W3922" s="64" ph="1"/>
    </row>
    <row r="3923" spans="23:23" ht="26.4">
      <c r="W3923" s="64" ph="1"/>
    </row>
    <row r="3924" spans="23:23" ht="26.4">
      <c r="W3924" s="64" ph="1"/>
    </row>
    <row r="3925" spans="23:23" ht="26.4">
      <c r="W3925" s="64" ph="1"/>
    </row>
    <row r="3926" spans="23:23" ht="26.4">
      <c r="W3926" s="64" ph="1"/>
    </row>
    <row r="3927" spans="23:23" ht="26.4">
      <c r="W3927" s="64" ph="1"/>
    </row>
    <row r="3928" spans="23:23" ht="26.4">
      <c r="W3928" s="64" ph="1"/>
    </row>
    <row r="3929" spans="23:23" ht="26.4">
      <c r="W3929" s="64" ph="1"/>
    </row>
    <row r="3930" spans="23:23" ht="26.4">
      <c r="W3930" s="64" ph="1"/>
    </row>
    <row r="3931" spans="23:23" ht="26.4">
      <c r="W3931" s="64" ph="1"/>
    </row>
    <row r="3932" spans="23:23" ht="26.4">
      <c r="W3932" s="64" ph="1"/>
    </row>
    <row r="3933" spans="23:23" ht="26.4">
      <c r="W3933" s="64" ph="1"/>
    </row>
    <row r="3934" spans="23:23" ht="26.4">
      <c r="W3934" s="64" ph="1"/>
    </row>
    <row r="3935" spans="23:23" ht="26.4">
      <c r="W3935" s="64" ph="1"/>
    </row>
    <row r="3936" spans="23:23" ht="26.4">
      <c r="W3936" s="64" ph="1"/>
    </row>
    <row r="3937" spans="23:23" ht="26.4">
      <c r="W3937" s="64" ph="1"/>
    </row>
    <row r="3938" spans="23:23" ht="26.4">
      <c r="W3938" s="64" ph="1"/>
    </row>
    <row r="3939" spans="23:23" ht="26.4">
      <c r="W3939" s="64" ph="1"/>
    </row>
    <row r="3940" spans="23:23" ht="26.4">
      <c r="W3940" s="64" ph="1"/>
    </row>
    <row r="3941" spans="23:23" ht="26.4">
      <c r="W3941" s="64" ph="1"/>
    </row>
    <row r="3942" spans="23:23" ht="26.4">
      <c r="W3942" s="64" ph="1"/>
    </row>
    <row r="3943" spans="23:23" ht="26.4">
      <c r="W3943" s="64" ph="1"/>
    </row>
    <row r="3944" spans="23:23" ht="26.4">
      <c r="W3944" s="64" ph="1"/>
    </row>
    <row r="3945" spans="23:23" ht="26.4">
      <c r="W3945" s="64" ph="1"/>
    </row>
    <row r="3946" spans="23:23" ht="26.4">
      <c r="W3946" s="64" ph="1"/>
    </row>
    <row r="3947" spans="23:23" ht="26.4">
      <c r="W3947" s="64" ph="1"/>
    </row>
    <row r="3948" spans="23:23" ht="26.4">
      <c r="W3948" s="64" ph="1"/>
    </row>
    <row r="3949" spans="23:23" ht="26.4">
      <c r="W3949" s="64" ph="1"/>
    </row>
    <row r="3950" spans="23:23" ht="26.4">
      <c r="W3950" s="64" ph="1"/>
    </row>
    <row r="3951" spans="23:23" ht="26.4">
      <c r="W3951" s="64" ph="1"/>
    </row>
    <row r="3952" spans="23:23" ht="26.4">
      <c r="W3952" s="64" ph="1"/>
    </row>
    <row r="3953" spans="23:23" ht="26.4">
      <c r="W3953" s="64" ph="1"/>
    </row>
    <row r="3954" spans="23:23" ht="26.4">
      <c r="W3954" s="64" ph="1"/>
    </row>
    <row r="3955" spans="23:23" ht="26.4">
      <c r="W3955" s="64" ph="1"/>
    </row>
    <row r="3956" spans="23:23" ht="26.4">
      <c r="W3956" s="64" ph="1"/>
    </row>
    <row r="3957" spans="23:23" ht="26.4">
      <c r="W3957" s="64" ph="1"/>
    </row>
    <row r="3958" spans="23:23" ht="26.4">
      <c r="W3958" s="64" ph="1"/>
    </row>
    <row r="3959" spans="23:23" ht="26.4">
      <c r="W3959" s="64" ph="1"/>
    </row>
    <row r="3960" spans="23:23" ht="26.4">
      <c r="W3960" s="64" ph="1"/>
    </row>
    <row r="3961" spans="23:23" ht="26.4">
      <c r="W3961" s="64" ph="1"/>
    </row>
    <row r="3962" spans="23:23" ht="26.4">
      <c r="W3962" s="64" ph="1"/>
    </row>
    <row r="3963" spans="23:23" ht="26.4">
      <c r="W3963" s="64" ph="1"/>
    </row>
    <row r="3964" spans="23:23" ht="26.4">
      <c r="W3964" s="64" ph="1"/>
    </row>
    <row r="3965" spans="23:23" ht="26.4">
      <c r="W3965" s="64" ph="1"/>
    </row>
    <row r="3966" spans="23:23" ht="26.4">
      <c r="W3966" s="64" ph="1"/>
    </row>
    <row r="3967" spans="23:23" ht="26.4">
      <c r="W3967" s="64" ph="1"/>
    </row>
    <row r="3968" spans="23:23" ht="26.4">
      <c r="W3968" s="64" ph="1"/>
    </row>
    <row r="3969" spans="23:23" ht="26.4">
      <c r="W3969" s="64" ph="1"/>
    </row>
    <row r="3970" spans="23:23" ht="26.4">
      <c r="W3970" s="64" ph="1"/>
    </row>
    <row r="3971" spans="23:23" ht="26.4">
      <c r="W3971" s="64" ph="1"/>
    </row>
    <row r="3972" spans="23:23" ht="26.4">
      <c r="W3972" s="64" ph="1"/>
    </row>
    <row r="3973" spans="23:23" ht="26.4">
      <c r="W3973" s="64" ph="1"/>
    </row>
    <row r="3974" spans="23:23" ht="26.4">
      <c r="W3974" s="64" ph="1"/>
    </row>
    <row r="3975" spans="23:23" ht="26.4">
      <c r="W3975" s="64" ph="1"/>
    </row>
    <row r="3976" spans="23:23" ht="26.4">
      <c r="W3976" s="64" ph="1"/>
    </row>
    <row r="3977" spans="23:23" ht="26.4">
      <c r="W3977" s="64" ph="1"/>
    </row>
    <row r="3978" spans="23:23" ht="26.4">
      <c r="W3978" s="64" ph="1"/>
    </row>
    <row r="3979" spans="23:23" ht="26.4">
      <c r="W3979" s="64" ph="1"/>
    </row>
    <row r="3980" spans="23:23" ht="26.4">
      <c r="W3980" s="64" ph="1"/>
    </row>
    <row r="3981" spans="23:23" ht="26.4">
      <c r="W3981" s="64" ph="1"/>
    </row>
    <row r="3982" spans="23:23" ht="26.4">
      <c r="W3982" s="64" ph="1"/>
    </row>
    <row r="3983" spans="23:23" ht="26.4">
      <c r="W3983" s="64" ph="1"/>
    </row>
    <row r="3984" spans="23:23" ht="26.4">
      <c r="W3984" s="64" ph="1"/>
    </row>
    <row r="3985" spans="23:23" ht="26.4">
      <c r="W3985" s="64" ph="1"/>
    </row>
    <row r="3986" spans="23:23" ht="26.4">
      <c r="W3986" s="64" ph="1"/>
    </row>
    <row r="3987" spans="23:23" ht="26.4">
      <c r="W3987" s="64" ph="1"/>
    </row>
    <row r="3988" spans="23:23" ht="26.4">
      <c r="W3988" s="64" ph="1"/>
    </row>
    <row r="3989" spans="23:23" ht="26.4">
      <c r="W3989" s="64" ph="1"/>
    </row>
    <row r="3990" spans="23:23" ht="26.4">
      <c r="W3990" s="64" ph="1"/>
    </row>
    <row r="3991" spans="23:23" ht="26.4">
      <c r="W3991" s="64" ph="1"/>
    </row>
    <row r="3992" spans="23:23" ht="26.4">
      <c r="W3992" s="64" ph="1"/>
    </row>
    <row r="3993" spans="23:23" ht="26.4">
      <c r="W3993" s="64" ph="1"/>
    </row>
    <row r="3994" spans="23:23" ht="26.4">
      <c r="W3994" s="64" ph="1"/>
    </row>
    <row r="3995" spans="23:23" ht="26.4">
      <c r="W3995" s="64" ph="1"/>
    </row>
    <row r="3996" spans="23:23" ht="26.4">
      <c r="W3996" s="64" ph="1"/>
    </row>
    <row r="3997" spans="23:23" ht="26.4">
      <c r="W3997" s="64" ph="1"/>
    </row>
    <row r="3998" spans="23:23" ht="26.4">
      <c r="W3998" s="64" ph="1"/>
    </row>
    <row r="3999" spans="23:23" ht="26.4">
      <c r="W3999" s="64" ph="1"/>
    </row>
    <row r="4000" spans="23:23" ht="26.4">
      <c r="W4000" s="64" ph="1"/>
    </row>
    <row r="4001" spans="23:23" ht="26.4">
      <c r="W4001" s="64" ph="1"/>
    </row>
    <row r="4002" spans="23:23" ht="26.4">
      <c r="W4002" s="64" ph="1"/>
    </row>
    <row r="4003" spans="23:23" ht="26.4">
      <c r="W4003" s="64" ph="1"/>
    </row>
    <row r="4004" spans="23:23" ht="26.4">
      <c r="W4004" s="64" ph="1"/>
    </row>
    <row r="4005" spans="23:23" ht="26.4">
      <c r="W4005" s="64" ph="1"/>
    </row>
    <row r="4006" spans="23:23" ht="26.4">
      <c r="W4006" s="64" ph="1"/>
    </row>
    <row r="4007" spans="23:23" ht="26.4">
      <c r="W4007" s="64" ph="1"/>
    </row>
    <row r="4008" spans="23:23" ht="26.4">
      <c r="W4008" s="64" ph="1"/>
    </row>
    <row r="4009" spans="23:23" ht="26.4">
      <c r="W4009" s="64" ph="1"/>
    </row>
    <row r="4010" spans="23:23" ht="26.4">
      <c r="W4010" s="64" ph="1"/>
    </row>
    <row r="4011" spans="23:23" ht="26.4">
      <c r="W4011" s="64" ph="1"/>
    </row>
    <row r="4012" spans="23:23" ht="26.4">
      <c r="W4012" s="64" ph="1"/>
    </row>
    <row r="4013" spans="23:23" ht="26.4">
      <c r="W4013" s="64" ph="1"/>
    </row>
    <row r="4014" spans="23:23" ht="26.4">
      <c r="W4014" s="64" ph="1"/>
    </row>
    <row r="4015" spans="23:23" ht="26.4">
      <c r="W4015" s="64" ph="1"/>
    </row>
    <row r="4016" spans="23:23" ht="26.4">
      <c r="W4016" s="64" ph="1"/>
    </row>
    <row r="4017" spans="23:23" ht="26.4">
      <c r="W4017" s="64" ph="1"/>
    </row>
    <row r="4018" spans="23:23" ht="26.4">
      <c r="W4018" s="64" ph="1"/>
    </row>
    <row r="4019" spans="23:23" ht="26.4">
      <c r="W4019" s="64" ph="1"/>
    </row>
    <row r="4020" spans="23:23" ht="26.4">
      <c r="W4020" s="64" ph="1"/>
    </row>
    <row r="4021" spans="23:23" ht="26.4">
      <c r="W4021" s="64" ph="1"/>
    </row>
    <row r="4022" spans="23:23" ht="26.4">
      <c r="W4022" s="64" ph="1"/>
    </row>
    <row r="4023" spans="23:23" ht="26.4">
      <c r="W4023" s="64" ph="1"/>
    </row>
    <row r="4024" spans="23:23" ht="26.4">
      <c r="W4024" s="64" ph="1"/>
    </row>
    <row r="4025" spans="23:23" ht="26.4">
      <c r="W4025" s="64" ph="1"/>
    </row>
    <row r="4026" spans="23:23" ht="26.4">
      <c r="W4026" s="64" ph="1"/>
    </row>
    <row r="4027" spans="23:23" ht="26.4">
      <c r="W4027" s="64" ph="1"/>
    </row>
    <row r="4028" spans="23:23" ht="26.4">
      <c r="W4028" s="64" ph="1"/>
    </row>
    <row r="4029" spans="23:23" ht="26.4">
      <c r="W4029" s="64" ph="1"/>
    </row>
    <row r="4030" spans="23:23" ht="26.4">
      <c r="W4030" s="64" ph="1"/>
    </row>
    <row r="4031" spans="23:23" ht="26.4">
      <c r="W4031" s="64" ph="1"/>
    </row>
    <row r="4032" spans="23:23" ht="26.4">
      <c r="W4032" s="64" ph="1"/>
    </row>
    <row r="4033" spans="23:23" ht="26.4">
      <c r="W4033" s="64" ph="1"/>
    </row>
    <row r="4034" spans="23:23" ht="26.4">
      <c r="W4034" s="64" ph="1"/>
    </row>
    <row r="4035" spans="23:23" ht="26.4">
      <c r="W4035" s="64" ph="1"/>
    </row>
    <row r="4036" spans="23:23" ht="26.4">
      <c r="W4036" s="64" ph="1"/>
    </row>
    <row r="4037" spans="23:23" ht="26.4">
      <c r="W4037" s="64" ph="1"/>
    </row>
    <row r="4038" spans="23:23" ht="26.4">
      <c r="W4038" s="64" ph="1"/>
    </row>
    <row r="4039" spans="23:23" ht="26.4">
      <c r="W4039" s="64" ph="1"/>
    </row>
    <row r="4040" spans="23:23" ht="26.4">
      <c r="W4040" s="64" ph="1"/>
    </row>
    <row r="4041" spans="23:23" ht="26.4">
      <c r="W4041" s="64" ph="1"/>
    </row>
    <row r="4042" spans="23:23" ht="26.4">
      <c r="W4042" s="64" ph="1"/>
    </row>
    <row r="4043" spans="23:23" ht="26.4">
      <c r="W4043" s="64" ph="1"/>
    </row>
    <row r="4044" spans="23:23" ht="26.4">
      <c r="W4044" s="64" ph="1"/>
    </row>
    <row r="4045" spans="23:23" ht="26.4">
      <c r="W4045" s="64" ph="1"/>
    </row>
    <row r="4046" spans="23:23" ht="26.4">
      <c r="W4046" s="64" ph="1"/>
    </row>
    <row r="4047" spans="23:23" ht="26.4">
      <c r="W4047" s="64" ph="1"/>
    </row>
    <row r="4048" spans="23:23" ht="26.4">
      <c r="W4048" s="64" ph="1"/>
    </row>
    <row r="4049" spans="23:23" ht="26.4">
      <c r="W4049" s="64" ph="1"/>
    </row>
    <row r="4050" spans="23:23" ht="26.4">
      <c r="W4050" s="64" ph="1"/>
    </row>
    <row r="4051" spans="23:23" ht="26.4">
      <c r="W4051" s="64" ph="1"/>
    </row>
    <row r="4052" spans="23:23" ht="26.4">
      <c r="W4052" s="64" ph="1"/>
    </row>
    <row r="4053" spans="23:23" ht="26.4">
      <c r="W4053" s="64" ph="1"/>
    </row>
    <row r="4054" spans="23:23" ht="26.4">
      <c r="W4054" s="64" ph="1"/>
    </row>
    <row r="4055" spans="23:23" ht="26.4">
      <c r="W4055" s="64" ph="1"/>
    </row>
    <row r="4056" spans="23:23" ht="26.4">
      <c r="W4056" s="64" ph="1"/>
    </row>
    <row r="4057" spans="23:23" ht="26.4">
      <c r="W4057" s="64" ph="1"/>
    </row>
    <row r="4058" spans="23:23" ht="26.4">
      <c r="W4058" s="64" ph="1"/>
    </row>
    <row r="4059" spans="23:23" ht="26.4">
      <c r="W4059" s="64" ph="1"/>
    </row>
    <row r="4060" spans="23:23" ht="26.4">
      <c r="W4060" s="64" ph="1"/>
    </row>
    <row r="4061" spans="23:23" ht="26.4">
      <c r="W4061" s="64" ph="1"/>
    </row>
    <row r="4062" spans="23:23" ht="26.4">
      <c r="W4062" s="64" ph="1"/>
    </row>
    <row r="4063" spans="23:23" ht="26.4">
      <c r="W4063" s="64" ph="1"/>
    </row>
    <row r="4064" spans="23:23" ht="26.4">
      <c r="W4064" s="64" ph="1"/>
    </row>
    <row r="4065" spans="23:23" ht="26.4">
      <c r="W4065" s="64" ph="1"/>
    </row>
    <row r="4066" spans="23:23" ht="26.4">
      <c r="W4066" s="64" ph="1"/>
    </row>
    <row r="4067" spans="23:23" ht="26.4">
      <c r="W4067" s="64" ph="1"/>
    </row>
    <row r="4068" spans="23:23" ht="26.4">
      <c r="W4068" s="64" ph="1"/>
    </row>
    <row r="4069" spans="23:23" ht="26.4">
      <c r="W4069" s="64" ph="1"/>
    </row>
    <row r="4070" spans="23:23" ht="26.4">
      <c r="W4070" s="64" ph="1"/>
    </row>
    <row r="4071" spans="23:23" ht="26.4">
      <c r="W4071" s="64" ph="1"/>
    </row>
    <row r="4072" spans="23:23" ht="26.4">
      <c r="W4072" s="64" ph="1"/>
    </row>
    <row r="4073" spans="23:23" ht="26.4">
      <c r="W4073" s="64" ph="1"/>
    </row>
    <row r="4074" spans="23:23" ht="26.4">
      <c r="W4074" s="64" ph="1"/>
    </row>
    <row r="4075" spans="23:23" ht="26.4">
      <c r="W4075" s="64" ph="1"/>
    </row>
    <row r="4076" spans="23:23" ht="26.4">
      <c r="W4076" s="64" ph="1"/>
    </row>
    <row r="4077" spans="23:23" ht="26.4">
      <c r="W4077" s="64" ph="1"/>
    </row>
    <row r="4078" spans="23:23" ht="26.4">
      <c r="W4078" s="64" ph="1"/>
    </row>
    <row r="4079" spans="23:23" ht="26.4">
      <c r="W4079" s="64" ph="1"/>
    </row>
    <row r="4080" spans="23:23" ht="26.4">
      <c r="W4080" s="64" ph="1"/>
    </row>
    <row r="4081" spans="23:23" ht="26.4">
      <c r="W4081" s="64" ph="1"/>
    </row>
    <row r="4082" spans="23:23" ht="26.4">
      <c r="W4082" s="64" ph="1"/>
    </row>
    <row r="4083" spans="23:23" ht="26.4">
      <c r="W4083" s="64" ph="1"/>
    </row>
    <row r="4084" spans="23:23" ht="26.4">
      <c r="W4084" s="64" ph="1"/>
    </row>
    <row r="4085" spans="23:23" ht="26.4">
      <c r="W4085" s="64" ph="1"/>
    </row>
    <row r="4086" spans="23:23" ht="26.4">
      <c r="W4086" s="64" ph="1"/>
    </row>
    <row r="4087" spans="23:23" ht="26.4">
      <c r="W4087" s="64" ph="1"/>
    </row>
    <row r="4088" spans="23:23" ht="26.4">
      <c r="W4088" s="64" ph="1"/>
    </row>
    <row r="4089" spans="23:23" ht="26.4">
      <c r="W4089" s="64" ph="1"/>
    </row>
    <row r="4090" spans="23:23" ht="26.4">
      <c r="W4090" s="64" ph="1"/>
    </row>
    <row r="4091" spans="23:23" ht="26.4">
      <c r="W4091" s="64" ph="1"/>
    </row>
    <row r="4092" spans="23:23" ht="26.4">
      <c r="W4092" s="64" ph="1"/>
    </row>
    <row r="4093" spans="23:23" ht="26.4">
      <c r="W4093" s="64" ph="1"/>
    </row>
    <row r="4094" spans="23:23" ht="26.4">
      <c r="W4094" s="64" ph="1"/>
    </row>
    <row r="4095" spans="23:23" ht="26.4">
      <c r="W4095" s="64" ph="1"/>
    </row>
    <row r="4096" spans="23:23" ht="26.4">
      <c r="W4096" s="64" ph="1"/>
    </row>
    <row r="4097" spans="23:23" ht="26.4">
      <c r="W4097" s="64" ph="1"/>
    </row>
    <row r="4098" spans="23:23" ht="26.4">
      <c r="W4098" s="64" ph="1"/>
    </row>
    <row r="4099" spans="23:23" ht="26.4">
      <c r="W4099" s="64" ph="1"/>
    </row>
    <row r="4100" spans="23:23" ht="26.4">
      <c r="W4100" s="64" ph="1"/>
    </row>
    <row r="4101" spans="23:23" ht="26.4">
      <c r="W4101" s="64" ph="1"/>
    </row>
    <row r="4102" spans="23:23" ht="26.4">
      <c r="W4102" s="64" ph="1"/>
    </row>
    <row r="4103" spans="23:23" ht="26.4">
      <c r="W4103" s="64" ph="1"/>
    </row>
    <row r="4104" spans="23:23" ht="26.4">
      <c r="W4104" s="64" ph="1"/>
    </row>
    <row r="4105" spans="23:23" ht="26.4">
      <c r="W4105" s="64" ph="1"/>
    </row>
    <row r="4106" spans="23:23" ht="26.4">
      <c r="W4106" s="64" ph="1"/>
    </row>
    <row r="4107" spans="23:23" ht="26.4">
      <c r="W4107" s="64" ph="1"/>
    </row>
    <row r="4108" spans="23:23" ht="26.4">
      <c r="W4108" s="64" ph="1"/>
    </row>
    <row r="4109" spans="23:23" ht="26.4">
      <c r="W4109" s="64" ph="1"/>
    </row>
    <row r="4110" spans="23:23" ht="26.4">
      <c r="W4110" s="64" ph="1"/>
    </row>
    <row r="4111" spans="23:23" ht="26.4">
      <c r="W4111" s="64" ph="1"/>
    </row>
    <row r="4112" spans="23:23" ht="26.4">
      <c r="W4112" s="64" ph="1"/>
    </row>
    <row r="4113" spans="23:23" ht="26.4">
      <c r="W4113" s="64" ph="1"/>
    </row>
    <row r="4114" spans="23:23" ht="26.4">
      <c r="W4114" s="64" ph="1"/>
    </row>
    <row r="4115" spans="23:23" ht="26.4">
      <c r="W4115" s="64" ph="1"/>
    </row>
    <row r="4116" spans="23:23" ht="26.4">
      <c r="W4116" s="64" ph="1"/>
    </row>
    <row r="4117" spans="23:23" ht="26.4">
      <c r="W4117" s="64" ph="1"/>
    </row>
    <row r="4118" spans="23:23" ht="26.4">
      <c r="W4118" s="64" ph="1"/>
    </row>
    <row r="4119" spans="23:23" ht="26.4">
      <c r="W4119" s="64" ph="1"/>
    </row>
    <row r="4120" spans="23:23" ht="26.4">
      <c r="W4120" s="64" ph="1"/>
    </row>
    <row r="4121" spans="23:23" ht="26.4">
      <c r="W4121" s="64" ph="1"/>
    </row>
    <row r="4122" spans="23:23" ht="26.4">
      <c r="W4122" s="64" ph="1"/>
    </row>
    <row r="4123" spans="23:23" ht="26.4">
      <c r="W4123" s="64" ph="1"/>
    </row>
    <row r="4124" spans="23:23" ht="26.4">
      <c r="W4124" s="64" ph="1"/>
    </row>
    <row r="4125" spans="23:23" ht="26.4">
      <c r="W4125" s="64" ph="1"/>
    </row>
    <row r="4126" spans="23:23" ht="26.4">
      <c r="W4126" s="64" ph="1"/>
    </row>
    <row r="4127" spans="23:23" ht="26.4">
      <c r="W4127" s="64" ph="1"/>
    </row>
    <row r="4128" spans="23:23" ht="26.4">
      <c r="W4128" s="64" ph="1"/>
    </row>
    <row r="4129" spans="23:23" ht="26.4">
      <c r="W4129" s="64" ph="1"/>
    </row>
    <row r="4130" spans="23:23" ht="26.4">
      <c r="W4130" s="64" ph="1"/>
    </row>
    <row r="4131" spans="23:23" ht="26.4">
      <c r="W4131" s="64" ph="1"/>
    </row>
    <row r="4132" spans="23:23" ht="26.4">
      <c r="W4132" s="64" ph="1"/>
    </row>
    <row r="4133" spans="23:23" ht="26.4">
      <c r="W4133" s="64" ph="1"/>
    </row>
    <row r="4134" spans="23:23" ht="26.4">
      <c r="W4134" s="64" ph="1"/>
    </row>
    <row r="4135" spans="23:23" ht="26.4">
      <c r="W4135" s="64" ph="1"/>
    </row>
    <row r="4136" spans="23:23" ht="26.4">
      <c r="W4136" s="64" ph="1"/>
    </row>
    <row r="4137" spans="23:23" ht="26.4">
      <c r="W4137" s="64" ph="1"/>
    </row>
    <row r="4138" spans="23:23" ht="26.4">
      <c r="W4138" s="64" ph="1"/>
    </row>
    <row r="4139" spans="23:23" ht="26.4">
      <c r="W4139" s="64" ph="1"/>
    </row>
    <row r="4140" spans="23:23" ht="26.4">
      <c r="W4140" s="64" ph="1"/>
    </row>
    <row r="4141" spans="23:23" ht="26.4">
      <c r="W4141" s="64" ph="1"/>
    </row>
    <row r="4142" spans="23:23" ht="26.4">
      <c r="W4142" s="64" ph="1"/>
    </row>
    <row r="4143" spans="23:23" ht="26.4">
      <c r="W4143" s="64" ph="1"/>
    </row>
    <row r="4144" spans="23:23" ht="26.4">
      <c r="W4144" s="64" ph="1"/>
    </row>
    <row r="4145" spans="23:23" ht="26.4">
      <c r="W4145" s="64" ph="1"/>
    </row>
    <row r="4146" spans="23:23" ht="26.4">
      <c r="W4146" s="64" ph="1"/>
    </row>
    <row r="4147" spans="23:23" ht="26.4">
      <c r="W4147" s="64" ph="1"/>
    </row>
    <row r="4148" spans="23:23" ht="26.4">
      <c r="W4148" s="64" ph="1"/>
    </row>
    <row r="4149" spans="23:23" ht="26.4">
      <c r="W4149" s="64" ph="1"/>
    </row>
    <row r="4150" spans="23:23" ht="26.4">
      <c r="W4150" s="64" ph="1"/>
    </row>
    <row r="4151" spans="23:23" ht="26.4">
      <c r="W4151" s="64" ph="1"/>
    </row>
    <row r="4152" spans="23:23" ht="26.4">
      <c r="W4152" s="64" ph="1"/>
    </row>
    <row r="4153" spans="23:23" ht="26.4">
      <c r="W4153" s="64" ph="1"/>
    </row>
    <row r="4154" spans="23:23" ht="26.4">
      <c r="W4154" s="64" ph="1"/>
    </row>
    <row r="4155" spans="23:23" ht="26.4">
      <c r="W4155" s="64" ph="1"/>
    </row>
    <row r="4156" spans="23:23" ht="26.4">
      <c r="W4156" s="64" ph="1"/>
    </row>
    <row r="4157" spans="23:23" ht="26.4">
      <c r="W4157" s="64" ph="1"/>
    </row>
    <row r="4158" spans="23:23" ht="26.4">
      <c r="W4158" s="64" ph="1"/>
    </row>
    <row r="4159" spans="23:23" ht="26.4">
      <c r="W4159" s="64" ph="1"/>
    </row>
    <row r="4160" spans="23:23" ht="26.4">
      <c r="W4160" s="64" ph="1"/>
    </row>
    <row r="4161" spans="23:23" ht="26.4">
      <c r="W4161" s="64" ph="1"/>
    </row>
    <row r="4162" spans="23:23" ht="26.4">
      <c r="W4162" s="64" ph="1"/>
    </row>
    <row r="4163" spans="23:23" ht="26.4">
      <c r="W4163" s="64" ph="1"/>
    </row>
    <row r="4164" spans="23:23" ht="26.4">
      <c r="W4164" s="64" ph="1"/>
    </row>
    <row r="4165" spans="23:23" ht="26.4">
      <c r="W4165" s="64" ph="1"/>
    </row>
    <row r="4166" spans="23:23" ht="26.4">
      <c r="W4166" s="64" ph="1"/>
    </row>
    <row r="4167" spans="23:23" ht="26.4">
      <c r="W4167" s="64" ph="1"/>
    </row>
    <row r="4168" spans="23:23" ht="26.4">
      <c r="W4168" s="64" ph="1"/>
    </row>
    <row r="4169" spans="23:23" ht="26.4">
      <c r="W4169" s="64" ph="1"/>
    </row>
    <row r="4170" spans="23:23" ht="26.4">
      <c r="W4170" s="64" ph="1"/>
    </row>
    <row r="4171" spans="23:23" ht="26.4">
      <c r="W4171" s="64" ph="1"/>
    </row>
    <row r="4172" spans="23:23" ht="26.4">
      <c r="W4172" s="64" ph="1"/>
    </row>
    <row r="4173" spans="23:23" ht="26.4">
      <c r="W4173" s="64" ph="1"/>
    </row>
    <row r="4174" spans="23:23" ht="26.4">
      <c r="W4174" s="64" ph="1"/>
    </row>
    <row r="4175" spans="23:23" ht="26.4">
      <c r="W4175" s="64" ph="1"/>
    </row>
    <row r="4176" spans="23:23" ht="26.4">
      <c r="W4176" s="64" ph="1"/>
    </row>
    <row r="4177" spans="23:23" ht="26.4">
      <c r="W4177" s="64" ph="1"/>
    </row>
    <row r="4178" spans="23:23" ht="26.4">
      <c r="W4178" s="64" ph="1"/>
    </row>
    <row r="4179" spans="23:23" ht="26.4">
      <c r="W4179" s="64" ph="1"/>
    </row>
    <row r="4180" spans="23:23" ht="26.4">
      <c r="W4180" s="64" ph="1"/>
    </row>
    <row r="4181" spans="23:23" ht="26.4">
      <c r="W4181" s="64" ph="1"/>
    </row>
    <row r="4182" spans="23:23" ht="26.4">
      <c r="W4182" s="64" ph="1"/>
    </row>
    <row r="4183" spans="23:23" ht="26.4">
      <c r="W4183" s="64" ph="1"/>
    </row>
    <row r="4184" spans="23:23" ht="26.4">
      <c r="W4184" s="64" ph="1"/>
    </row>
    <row r="4185" spans="23:23" ht="26.4">
      <c r="W4185" s="64" ph="1"/>
    </row>
    <row r="4186" spans="23:23" ht="26.4">
      <c r="W4186" s="64" ph="1"/>
    </row>
    <row r="4187" spans="23:23" ht="26.4">
      <c r="W4187" s="64" ph="1"/>
    </row>
    <row r="4188" spans="23:23" ht="26.4">
      <c r="W4188" s="64" ph="1"/>
    </row>
    <row r="4189" spans="23:23" ht="26.4">
      <c r="W4189" s="64" ph="1"/>
    </row>
    <row r="4190" spans="23:23" ht="26.4">
      <c r="W4190" s="64" ph="1"/>
    </row>
    <row r="4191" spans="23:23" ht="26.4">
      <c r="W4191" s="64" ph="1"/>
    </row>
    <row r="4192" spans="23:23" ht="26.4">
      <c r="W4192" s="64" ph="1"/>
    </row>
    <row r="4193" spans="23:23" ht="26.4">
      <c r="W4193" s="64" ph="1"/>
    </row>
    <row r="4194" spans="23:23" ht="26.4">
      <c r="W4194" s="64" ph="1"/>
    </row>
    <row r="4195" spans="23:23" ht="26.4">
      <c r="W4195" s="64" ph="1"/>
    </row>
    <row r="4196" spans="23:23" ht="26.4">
      <c r="W4196" s="64" ph="1"/>
    </row>
    <row r="4197" spans="23:23" ht="26.4">
      <c r="W4197" s="64" ph="1"/>
    </row>
    <row r="4198" spans="23:23" ht="26.4">
      <c r="W4198" s="64" ph="1"/>
    </row>
    <row r="4199" spans="23:23" ht="26.4">
      <c r="W4199" s="64" ph="1"/>
    </row>
    <row r="4200" spans="23:23" ht="26.4">
      <c r="W4200" s="64" ph="1"/>
    </row>
    <row r="4201" spans="23:23" ht="26.4">
      <c r="W4201" s="64" ph="1"/>
    </row>
    <row r="4202" spans="23:23" ht="26.4">
      <c r="W4202" s="64" ph="1"/>
    </row>
    <row r="4203" spans="23:23" ht="26.4">
      <c r="W4203" s="64" ph="1"/>
    </row>
    <row r="4204" spans="23:23" ht="26.4">
      <c r="W4204" s="64" ph="1"/>
    </row>
    <row r="4205" spans="23:23" ht="26.4">
      <c r="W4205" s="64" ph="1"/>
    </row>
    <row r="4206" spans="23:23" ht="26.4">
      <c r="W4206" s="64" ph="1"/>
    </row>
    <row r="4207" spans="23:23" ht="26.4">
      <c r="W4207" s="64" ph="1"/>
    </row>
    <row r="4208" spans="23:23" ht="26.4">
      <c r="W4208" s="64" ph="1"/>
    </row>
    <row r="4209" spans="23:23" ht="26.4">
      <c r="W4209" s="64" ph="1"/>
    </row>
    <row r="4210" spans="23:23" ht="26.4">
      <c r="W4210" s="64" ph="1"/>
    </row>
    <row r="4211" spans="23:23" ht="26.4">
      <c r="W4211" s="64" ph="1"/>
    </row>
    <row r="4212" spans="23:23" ht="26.4">
      <c r="W4212" s="64" ph="1"/>
    </row>
    <row r="4213" spans="23:23" ht="26.4">
      <c r="W4213" s="64" ph="1"/>
    </row>
    <row r="4214" spans="23:23" ht="26.4">
      <c r="W4214" s="64" ph="1"/>
    </row>
    <row r="4215" spans="23:23" ht="26.4">
      <c r="W4215" s="64" ph="1"/>
    </row>
    <row r="4216" spans="23:23" ht="26.4">
      <c r="W4216" s="64" ph="1"/>
    </row>
    <row r="4217" spans="23:23" ht="26.4">
      <c r="W4217" s="64" ph="1"/>
    </row>
    <row r="4218" spans="23:23" ht="26.4">
      <c r="W4218" s="64" ph="1"/>
    </row>
    <row r="4219" spans="23:23" ht="26.4">
      <c r="W4219" s="64" ph="1"/>
    </row>
    <row r="4220" spans="23:23" ht="26.4">
      <c r="W4220" s="64" ph="1"/>
    </row>
    <row r="4221" spans="23:23" ht="26.4">
      <c r="W4221" s="64" ph="1"/>
    </row>
    <row r="4222" spans="23:23" ht="26.4">
      <c r="W4222" s="64" ph="1"/>
    </row>
    <row r="4223" spans="23:23" ht="26.4">
      <c r="W4223" s="64" ph="1"/>
    </row>
    <row r="4224" spans="23:23" ht="26.4">
      <c r="W4224" s="64" ph="1"/>
    </row>
    <row r="4225" spans="23:23" ht="26.4">
      <c r="W4225" s="64" ph="1"/>
    </row>
    <row r="4226" spans="23:23" ht="26.4">
      <c r="W4226" s="64" ph="1"/>
    </row>
    <row r="4227" spans="23:23" ht="26.4">
      <c r="W4227" s="64" ph="1"/>
    </row>
    <row r="4228" spans="23:23" ht="26.4">
      <c r="W4228" s="64" ph="1"/>
    </row>
    <row r="4229" spans="23:23" ht="26.4">
      <c r="W4229" s="64" ph="1"/>
    </row>
    <row r="4230" spans="23:23" ht="26.4">
      <c r="W4230" s="64" ph="1"/>
    </row>
    <row r="4231" spans="23:23" ht="26.4">
      <c r="W4231" s="64" ph="1"/>
    </row>
    <row r="4232" spans="23:23" ht="26.4">
      <c r="W4232" s="64" ph="1"/>
    </row>
    <row r="4233" spans="23:23" ht="26.4">
      <c r="W4233" s="64" ph="1"/>
    </row>
    <row r="4234" spans="23:23" ht="26.4">
      <c r="W4234" s="64" ph="1"/>
    </row>
    <row r="4235" spans="23:23" ht="26.4">
      <c r="W4235" s="64" ph="1"/>
    </row>
    <row r="4236" spans="23:23" ht="26.4">
      <c r="W4236" s="64" ph="1"/>
    </row>
    <row r="4237" spans="23:23" ht="26.4">
      <c r="W4237" s="64" ph="1"/>
    </row>
    <row r="4238" spans="23:23" ht="26.4">
      <c r="W4238" s="64" ph="1"/>
    </row>
    <row r="4239" spans="23:23" ht="26.4">
      <c r="W4239" s="64" ph="1"/>
    </row>
    <row r="4240" spans="23:23" ht="26.4">
      <c r="W4240" s="64" ph="1"/>
    </row>
    <row r="4241" spans="23:23" ht="26.4">
      <c r="W4241" s="64" ph="1"/>
    </row>
    <row r="4242" spans="23:23" ht="26.4">
      <c r="W4242" s="64" ph="1"/>
    </row>
    <row r="4243" spans="23:23" ht="26.4">
      <c r="W4243" s="64" ph="1"/>
    </row>
    <row r="4244" spans="23:23" ht="26.4">
      <c r="W4244" s="64" ph="1"/>
    </row>
    <row r="4245" spans="23:23" ht="26.4">
      <c r="W4245" s="64" ph="1"/>
    </row>
    <row r="4246" spans="23:23" ht="26.4">
      <c r="W4246" s="64" ph="1"/>
    </row>
    <row r="4247" spans="23:23" ht="26.4">
      <c r="W4247" s="64" ph="1"/>
    </row>
    <row r="4248" spans="23:23" ht="26.4">
      <c r="W4248" s="64" ph="1"/>
    </row>
    <row r="4249" spans="23:23" ht="26.4">
      <c r="W4249" s="64" ph="1"/>
    </row>
    <row r="4250" spans="23:23" ht="26.4">
      <c r="W4250" s="64" ph="1"/>
    </row>
    <row r="4251" spans="23:23" ht="26.4">
      <c r="W4251" s="64" ph="1"/>
    </row>
    <row r="4252" spans="23:23" ht="26.4">
      <c r="W4252" s="64" ph="1"/>
    </row>
    <row r="4253" spans="23:23" ht="26.4">
      <c r="W4253" s="64" ph="1"/>
    </row>
    <row r="4254" spans="23:23" ht="26.4">
      <c r="W4254" s="64" ph="1"/>
    </row>
    <row r="4255" spans="23:23" ht="26.4">
      <c r="W4255" s="64" ph="1"/>
    </row>
    <row r="4256" spans="23:23" ht="26.4">
      <c r="W4256" s="64" ph="1"/>
    </row>
    <row r="4257" spans="23:23" ht="26.4">
      <c r="W4257" s="64" ph="1"/>
    </row>
    <row r="4258" spans="23:23" ht="26.4">
      <c r="W4258" s="64" ph="1"/>
    </row>
    <row r="4259" spans="23:23" ht="26.4">
      <c r="W4259" s="64" ph="1"/>
    </row>
    <row r="4260" spans="23:23" ht="26.4">
      <c r="W4260" s="64" ph="1"/>
    </row>
    <row r="4261" spans="23:23" ht="26.4">
      <c r="W4261" s="64" ph="1"/>
    </row>
    <row r="4262" spans="23:23" ht="26.4">
      <c r="W4262" s="64" ph="1"/>
    </row>
    <row r="4263" spans="23:23" ht="26.4">
      <c r="W4263" s="64" ph="1"/>
    </row>
    <row r="4264" spans="23:23" ht="26.4">
      <c r="W4264" s="64" ph="1"/>
    </row>
    <row r="4265" spans="23:23" ht="26.4">
      <c r="W4265" s="64" ph="1"/>
    </row>
    <row r="4266" spans="23:23" ht="26.4">
      <c r="W4266" s="64" ph="1"/>
    </row>
    <row r="4267" spans="23:23" ht="26.4">
      <c r="W4267" s="64" ph="1"/>
    </row>
    <row r="4268" spans="23:23" ht="26.4">
      <c r="W4268" s="64" ph="1"/>
    </row>
    <row r="4269" spans="23:23" ht="26.4">
      <c r="W4269" s="64" ph="1"/>
    </row>
    <row r="4270" spans="23:23" ht="26.4">
      <c r="W4270" s="64" ph="1"/>
    </row>
    <row r="4271" spans="23:23" ht="26.4">
      <c r="W4271" s="64" ph="1"/>
    </row>
    <row r="4272" spans="23:23" ht="26.4">
      <c r="W4272" s="64" ph="1"/>
    </row>
    <row r="4273" spans="23:23" ht="26.4">
      <c r="W4273" s="64" ph="1"/>
    </row>
    <row r="4274" spans="23:23" ht="26.4">
      <c r="W4274" s="64" ph="1"/>
    </row>
    <row r="4275" spans="23:23" ht="26.4">
      <c r="W4275" s="64" ph="1"/>
    </row>
    <row r="4276" spans="23:23" ht="26.4">
      <c r="W4276" s="64" ph="1"/>
    </row>
    <row r="4277" spans="23:23" ht="26.4">
      <c r="W4277" s="64" ph="1"/>
    </row>
    <row r="4278" spans="23:23" ht="26.4">
      <c r="W4278" s="64" ph="1"/>
    </row>
    <row r="4279" spans="23:23" ht="26.4">
      <c r="W4279" s="64" ph="1"/>
    </row>
    <row r="4280" spans="23:23" ht="26.4">
      <c r="W4280" s="64" ph="1"/>
    </row>
    <row r="4281" spans="23:23" ht="26.4">
      <c r="W4281" s="64" ph="1"/>
    </row>
    <row r="4282" spans="23:23" ht="26.4">
      <c r="W4282" s="64" ph="1"/>
    </row>
    <row r="4283" spans="23:23" ht="26.4">
      <c r="W4283" s="64" ph="1"/>
    </row>
    <row r="4284" spans="23:23" ht="26.4">
      <c r="W4284" s="64" ph="1"/>
    </row>
    <row r="4285" spans="23:23" ht="26.4">
      <c r="W4285" s="64" ph="1"/>
    </row>
    <row r="4286" spans="23:23" ht="26.4">
      <c r="W4286" s="64" ph="1"/>
    </row>
    <row r="4287" spans="23:23" ht="26.4">
      <c r="W4287" s="64" ph="1"/>
    </row>
    <row r="4288" spans="23:23" ht="26.4">
      <c r="W4288" s="64" ph="1"/>
    </row>
    <row r="4289" spans="23:23" ht="26.4">
      <c r="W4289" s="64" ph="1"/>
    </row>
    <row r="4290" spans="23:23" ht="26.4">
      <c r="W4290" s="64" ph="1"/>
    </row>
    <row r="4291" spans="23:23" ht="26.4">
      <c r="W4291" s="64" ph="1"/>
    </row>
    <row r="4292" spans="23:23" ht="26.4">
      <c r="W4292" s="64" ph="1"/>
    </row>
    <row r="4293" spans="23:23" ht="26.4">
      <c r="W4293" s="64" ph="1"/>
    </row>
    <row r="4294" spans="23:23" ht="26.4">
      <c r="W4294" s="64" ph="1"/>
    </row>
    <row r="4295" spans="23:23" ht="26.4">
      <c r="W4295" s="64" ph="1"/>
    </row>
    <row r="4296" spans="23:23" ht="26.4">
      <c r="W4296" s="64" ph="1"/>
    </row>
    <row r="4297" spans="23:23" ht="26.4">
      <c r="W4297" s="64" ph="1"/>
    </row>
    <row r="4298" spans="23:23" ht="26.4">
      <c r="W4298" s="64" ph="1"/>
    </row>
    <row r="4299" spans="23:23" ht="26.4">
      <c r="W4299" s="64" ph="1"/>
    </row>
    <row r="4300" spans="23:23" ht="26.4">
      <c r="W4300" s="64" ph="1"/>
    </row>
    <row r="4301" spans="23:23" ht="26.4">
      <c r="W4301" s="64" ph="1"/>
    </row>
    <row r="4302" spans="23:23" ht="26.4">
      <c r="W4302" s="64" ph="1"/>
    </row>
    <row r="4303" spans="23:23" ht="26.4">
      <c r="W4303" s="64" ph="1"/>
    </row>
    <row r="4304" spans="23:23" ht="26.4">
      <c r="W4304" s="64" ph="1"/>
    </row>
    <row r="4305" spans="23:23" ht="26.4">
      <c r="W4305" s="64" ph="1"/>
    </row>
    <row r="4306" spans="23:23" ht="26.4">
      <c r="W4306" s="64" ph="1"/>
    </row>
    <row r="4307" spans="23:23" ht="26.4">
      <c r="W4307" s="64" ph="1"/>
    </row>
    <row r="4308" spans="23:23" ht="26.4">
      <c r="W4308" s="64" ph="1"/>
    </row>
    <row r="4309" spans="23:23" ht="26.4">
      <c r="W4309" s="64" ph="1"/>
    </row>
    <row r="4310" spans="23:23" ht="26.4">
      <c r="W4310" s="64" ph="1"/>
    </row>
    <row r="4311" spans="23:23" ht="26.4">
      <c r="W4311" s="64" ph="1"/>
    </row>
    <row r="4312" spans="23:23" ht="26.4">
      <c r="W4312" s="64" ph="1"/>
    </row>
    <row r="4313" spans="23:23" ht="26.4">
      <c r="W4313" s="64" ph="1"/>
    </row>
    <row r="4314" spans="23:23" ht="26.4">
      <c r="W4314" s="64" ph="1"/>
    </row>
    <row r="4315" spans="23:23" ht="26.4">
      <c r="W4315" s="64" ph="1"/>
    </row>
    <row r="4316" spans="23:23" ht="26.4">
      <c r="W4316" s="64" ph="1"/>
    </row>
    <row r="4317" spans="23:23" ht="26.4">
      <c r="W4317" s="64" ph="1"/>
    </row>
    <row r="4318" spans="23:23" ht="26.4">
      <c r="W4318" s="64" ph="1"/>
    </row>
    <row r="4319" spans="23:23" ht="26.4">
      <c r="W4319" s="64" ph="1"/>
    </row>
    <row r="4320" spans="23:23" ht="26.4">
      <c r="W4320" s="64" ph="1"/>
    </row>
    <row r="4321" spans="23:23" ht="26.4">
      <c r="W4321" s="64" ph="1"/>
    </row>
    <row r="4322" spans="23:23" ht="26.4">
      <c r="W4322" s="64" ph="1"/>
    </row>
    <row r="4323" spans="23:23" ht="26.4">
      <c r="W4323" s="64" ph="1"/>
    </row>
    <row r="4324" spans="23:23" ht="26.4">
      <c r="W4324" s="64" ph="1"/>
    </row>
    <row r="4325" spans="23:23" ht="26.4">
      <c r="W4325" s="64" ph="1"/>
    </row>
    <row r="4326" spans="23:23" ht="26.4">
      <c r="W4326" s="64" ph="1"/>
    </row>
    <row r="4327" spans="23:23" ht="26.4">
      <c r="W4327" s="64" ph="1"/>
    </row>
    <row r="4328" spans="23:23" ht="26.4">
      <c r="W4328" s="64" ph="1"/>
    </row>
    <row r="4329" spans="23:23" ht="26.4">
      <c r="W4329" s="64" ph="1"/>
    </row>
    <row r="4330" spans="23:23" ht="26.4">
      <c r="W4330" s="64" ph="1"/>
    </row>
    <row r="4331" spans="23:23" ht="26.4">
      <c r="W4331" s="64" ph="1"/>
    </row>
    <row r="4332" spans="23:23" ht="26.4">
      <c r="W4332" s="64" ph="1"/>
    </row>
    <row r="4333" spans="23:23" ht="26.4">
      <c r="W4333" s="64" ph="1"/>
    </row>
    <row r="4334" spans="23:23" ht="26.4">
      <c r="W4334" s="64" ph="1"/>
    </row>
    <row r="4335" spans="23:23" ht="26.4">
      <c r="W4335" s="64" ph="1"/>
    </row>
    <row r="4336" spans="23:23" ht="26.4">
      <c r="W4336" s="64" ph="1"/>
    </row>
    <row r="4337" spans="23:23" ht="26.4">
      <c r="W4337" s="64" ph="1"/>
    </row>
    <row r="4338" spans="23:23" ht="26.4">
      <c r="W4338" s="64" ph="1"/>
    </row>
    <row r="4339" spans="23:23" ht="26.4">
      <c r="W4339" s="64" ph="1"/>
    </row>
    <row r="4340" spans="23:23" ht="26.4">
      <c r="W4340" s="64" ph="1"/>
    </row>
    <row r="4341" spans="23:23" ht="26.4">
      <c r="W4341" s="64" ph="1"/>
    </row>
    <row r="4342" spans="23:23" ht="26.4">
      <c r="W4342" s="64" ph="1"/>
    </row>
    <row r="4343" spans="23:23" ht="26.4">
      <c r="W4343" s="64" ph="1"/>
    </row>
    <row r="4344" spans="23:23" ht="26.4">
      <c r="W4344" s="64" ph="1"/>
    </row>
    <row r="4345" spans="23:23" ht="26.4">
      <c r="W4345" s="64" ph="1"/>
    </row>
    <row r="4346" spans="23:23" ht="26.4">
      <c r="W4346" s="64" ph="1"/>
    </row>
    <row r="4347" spans="23:23" ht="26.4">
      <c r="W4347" s="64" ph="1"/>
    </row>
    <row r="4348" spans="23:23" ht="26.4">
      <c r="W4348" s="64" ph="1"/>
    </row>
    <row r="4349" spans="23:23" ht="26.4">
      <c r="W4349" s="64" ph="1"/>
    </row>
    <row r="4350" spans="23:23" ht="26.4">
      <c r="W4350" s="64" ph="1"/>
    </row>
    <row r="4351" spans="23:23" ht="26.4">
      <c r="W4351" s="64" ph="1"/>
    </row>
    <row r="4352" spans="23:23" ht="26.4">
      <c r="W4352" s="64" ph="1"/>
    </row>
    <row r="4353" spans="23:23" ht="26.4">
      <c r="W4353" s="64" ph="1"/>
    </row>
    <row r="4354" spans="23:23" ht="26.4">
      <c r="W4354" s="64" ph="1"/>
    </row>
    <row r="4355" spans="23:23" ht="26.4">
      <c r="W4355" s="64" ph="1"/>
    </row>
    <row r="4356" spans="23:23" ht="26.4">
      <c r="W4356" s="64" ph="1"/>
    </row>
    <row r="4357" spans="23:23" ht="26.4">
      <c r="W4357" s="64" ph="1"/>
    </row>
    <row r="4358" spans="23:23" ht="26.4">
      <c r="W4358" s="64" ph="1"/>
    </row>
    <row r="4359" spans="23:23" ht="26.4">
      <c r="W4359" s="64" ph="1"/>
    </row>
    <row r="4360" spans="23:23" ht="26.4">
      <c r="W4360" s="64" ph="1"/>
    </row>
    <row r="4361" spans="23:23" ht="26.4">
      <c r="W4361" s="64" ph="1"/>
    </row>
    <row r="4362" spans="23:23" ht="26.4">
      <c r="W4362" s="64" ph="1"/>
    </row>
    <row r="4363" spans="23:23" ht="26.4">
      <c r="W4363" s="64" ph="1"/>
    </row>
    <row r="4364" spans="23:23" ht="26.4">
      <c r="W4364" s="64" ph="1"/>
    </row>
    <row r="4365" spans="23:23" ht="26.4">
      <c r="W4365" s="64" ph="1"/>
    </row>
    <row r="4366" spans="23:23" ht="26.4">
      <c r="W4366" s="64" ph="1"/>
    </row>
    <row r="4367" spans="23:23" ht="26.4">
      <c r="W4367" s="64" ph="1"/>
    </row>
    <row r="4368" spans="23:23" ht="26.4">
      <c r="W4368" s="64" ph="1"/>
    </row>
    <row r="4369" spans="23:23" ht="26.4">
      <c r="W4369" s="64" ph="1"/>
    </row>
    <row r="4370" spans="23:23" ht="26.4">
      <c r="W4370" s="64" ph="1"/>
    </row>
    <row r="4371" spans="23:23" ht="26.4">
      <c r="W4371" s="64" ph="1"/>
    </row>
    <row r="4372" spans="23:23" ht="26.4">
      <c r="W4372" s="64" ph="1"/>
    </row>
    <row r="4373" spans="23:23" ht="26.4">
      <c r="W4373" s="64" ph="1"/>
    </row>
    <row r="4374" spans="23:23" ht="26.4">
      <c r="W4374" s="64" ph="1"/>
    </row>
    <row r="4375" spans="23:23" ht="26.4">
      <c r="W4375" s="64" ph="1"/>
    </row>
    <row r="4376" spans="23:23" ht="26.4">
      <c r="W4376" s="64" ph="1"/>
    </row>
    <row r="4377" spans="23:23" ht="26.4">
      <c r="W4377" s="64" ph="1"/>
    </row>
    <row r="4378" spans="23:23" ht="26.4">
      <c r="W4378" s="64" ph="1"/>
    </row>
    <row r="4379" spans="23:23" ht="26.4">
      <c r="W4379" s="64" ph="1"/>
    </row>
    <row r="4380" spans="23:23" ht="26.4">
      <c r="W4380" s="64" ph="1"/>
    </row>
    <row r="4381" spans="23:23" ht="26.4">
      <c r="W4381" s="64" ph="1"/>
    </row>
    <row r="4382" spans="23:23" ht="26.4">
      <c r="W4382" s="64" ph="1"/>
    </row>
    <row r="4383" spans="23:23" ht="26.4">
      <c r="W4383" s="64" ph="1"/>
    </row>
    <row r="4384" spans="23:23" ht="26.4">
      <c r="W4384" s="64" ph="1"/>
    </row>
    <row r="4385" spans="23:23" ht="26.4">
      <c r="W4385" s="64" ph="1"/>
    </row>
    <row r="4386" spans="23:23" ht="26.4">
      <c r="W4386" s="64" ph="1"/>
    </row>
    <row r="4387" spans="23:23" ht="26.4">
      <c r="W4387" s="64" ph="1"/>
    </row>
    <row r="4388" spans="23:23" ht="26.4">
      <c r="W4388" s="64" ph="1"/>
    </row>
    <row r="4389" spans="23:23" ht="26.4">
      <c r="W4389" s="64" ph="1"/>
    </row>
    <row r="4390" spans="23:23" ht="26.4">
      <c r="W4390" s="64" ph="1"/>
    </row>
    <row r="4391" spans="23:23" ht="26.4">
      <c r="W4391" s="64" ph="1"/>
    </row>
    <row r="4392" spans="23:23" ht="26.4">
      <c r="W4392" s="64" ph="1"/>
    </row>
    <row r="4393" spans="23:23" ht="26.4">
      <c r="W4393" s="64" ph="1"/>
    </row>
    <row r="4394" spans="23:23" ht="26.4">
      <c r="W4394" s="64" ph="1"/>
    </row>
    <row r="4395" spans="23:23" ht="26.4">
      <c r="W4395" s="64" ph="1"/>
    </row>
    <row r="4396" spans="23:23" ht="26.4">
      <c r="W4396" s="64" ph="1"/>
    </row>
    <row r="4397" spans="23:23" ht="26.4">
      <c r="W4397" s="64" ph="1"/>
    </row>
    <row r="4398" spans="23:23" ht="26.4">
      <c r="W4398" s="64" ph="1"/>
    </row>
    <row r="4399" spans="23:23" ht="26.4">
      <c r="W4399" s="64" ph="1"/>
    </row>
    <row r="4400" spans="23:23" ht="26.4">
      <c r="W4400" s="64" ph="1"/>
    </row>
    <row r="4401" spans="23:23" ht="26.4">
      <c r="W4401" s="64" ph="1"/>
    </row>
    <row r="4402" spans="23:23" ht="26.4">
      <c r="W4402" s="64" ph="1"/>
    </row>
    <row r="4403" spans="23:23" ht="26.4">
      <c r="W4403" s="64" ph="1"/>
    </row>
    <row r="4404" spans="23:23" ht="26.4">
      <c r="W4404" s="64" ph="1"/>
    </row>
    <row r="4405" spans="23:23" ht="26.4">
      <c r="W4405" s="64" ph="1"/>
    </row>
    <row r="4406" spans="23:23" ht="26.4">
      <c r="W4406" s="64" ph="1"/>
    </row>
    <row r="4407" spans="23:23" ht="26.4">
      <c r="W4407" s="64" ph="1"/>
    </row>
    <row r="4408" spans="23:23" ht="26.4">
      <c r="W4408" s="64" ph="1"/>
    </row>
    <row r="4409" spans="23:23" ht="26.4">
      <c r="W4409" s="64" ph="1"/>
    </row>
    <row r="4410" spans="23:23" ht="26.4">
      <c r="W4410" s="64" ph="1"/>
    </row>
    <row r="4411" spans="23:23" ht="26.4">
      <c r="W4411" s="64" ph="1"/>
    </row>
    <row r="4412" spans="23:23" ht="26.4">
      <c r="W4412" s="64" ph="1"/>
    </row>
    <row r="4413" spans="23:23" ht="26.4">
      <c r="W4413" s="64" ph="1"/>
    </row>
    <row r="4414" spans="23:23" ht="26.4">
      <c r="W4414" s="64" ph="1"/>
    </row>
    <row r="4415" spans="23:23" ht="26.4">
      <c r="W4415" s="64" ph="1"/>
    </row>
    <row r="4416" spans="23:23" ht="26.4">
      <c r="W4416" s="64" ph="1"/>
    </row>
    <row r="4417" spans="23:23" ht="26.4">
      <c r="W4417" s="64" ph="1"/>
    </row>
    <row r="4418" spans="23:23" ht="26.4">
      <c r="W4418" s="64" ph="1"/>
    </row>
    <row r="4419" spans="23:23" ht="26.4">
      <c r="W4419" s="64" ph="1"/>
    </row>
    <row r="4420" spans="23:23" ht="26.4">
      <c r="W4420" s="64" ph="1"/>
    </row>
    <row r="4421" spans="23:23" ht="26.4">
      <c r="W4421" s="64" ph="1"/>
    </row>
    <row r="4422" spans="23:23" ht="26.4">
      <c r="W4422" s="64" ph="1"/>
    </row>
    <row r="4423" spans="23:23" ht="26.4">
      <c r="W4423" s="64" ph="1"/>
    </row>
    <row r="4424" spans="23:23" ht="26.4">
      <c r="W4424" s="64" ph="1"/>
    </row>
    <row r="4425" spans="23:23" ht="26.4">
      <c r="W4425" s="64" ph="1"/>
    </row>
    <row r="4426" spans="23:23" ht="26.4">
      <c r="W4426" s="64" ph="1"/>
    </row>
    <row r="4427" spans="23:23" ht="26.4">
      <c r="W4427" s="64" ph="1"/>
    </row>
    <row r="4428" spans="23:23" ht="26.4">
      <c r="W4428" s="64" ph="1"/>
    </row>
    <row r="4429" spans="23:23" ht="26.4">
      <c r="W4429" s="64" ph="1"/>
    </row>
    <row r="4430" spans="23:23" ht="26.4">
      <c r="W4430" s="64" ph="1"/>
    </row>
    <row r="4431" spans="23:23" ht="26.4">
      <c r="W4431" s="64" ph="1"/>
    </row>
    <row r="4432" spans="23:23" ht="26.4">
      <c r="W4432" s="64" ph="1"/>
    </row>
    <row r="4433" spans="23:23" ht="26.4">
      <c r="W4433" s="64" ph="1"/>
    </row>
    <row r="4434" spans="23:23" ht="26.4">
      <c r="W4434" s="64" ph="1"/>
    </row>
    <row r="4435" spans="23:23" ht="26.4">
      <c r="W4435" s="64" ph="1"/>
    </row>
    <row r="4436" spans="23:23" ht="26.4">
      <c r="W4436" s="64" ph="1"/>
    </row>
    <row r="4437" spans="23:23" ht="26.4">
      <c r="W4437" s="64" ph="1"/>
    </row>
    <row r="4438" spans="23:23" ht="26.4">
      <c r="W4438" s="64" ph="1"/>
    </row>
    <row r="4439" spans="23:23" ht="26.4">
      <c r="W4439" s="64" ph="1"/>
    </row>
    <row r="4440" spans="23:23" ht="26.4">
      <c r="W4440" s="64" ph="1"/>
    </row>
    <row r="4441" spans="23:23" ht="26.4">
      <c r="W4441" s="64" ph="1"/>
    </row>
    <row r="4442" spans="23:23" ht="26.4">
      <c r="W4442" s="64" ph="1"/>
    </row>
    <row r="4443" spans="23:23" ht="26.4">
      <c r="W4443" s="64" ph="1"/>
    </row>
    <row r="4444" spans="23:23" ht="26.4">
      <c r="W4444" s="64" ph="1"/>
    </row>
    <row r="4445" spans="23:23" ht="26.4">
      <c r="W4445" s="64" ph="1"/>
    </row>
    <row r="4446" spans="23:23" ht="26.4">
      <c r="W4446" s="64" ph="1"/>
    </row>
    <row r="4447" spans="23:23" ht="26.4">
      <c r="W4447" s="64" ph="1"/>
    </row>
    <row r="4448" spans="23:23" ht="26.4">
      <c r="W4448" s="64" ph="1"/>
    </row>
    <row r="4449" spans="23:23" ht="26.4">
      <c r="W4449" s="64" ph="1"/>
    </row>
    <row r="4450" spans="23:23" ht="26.4">
      <c r="W4450" s="64" ph="1"/>
    </row>
    <row r="4451" spans="23:23" ht="26.4">
      <c r="W4451" s="64" ph="1"/>
    </row>
    <row r="4452" spans="23:23" ht="26.4">
      <c r="W4452" s="64" ph="1"/>
    </row>
    <row r="4453" spans="23:23" ht="26.4">
      <c r="W4453" s="64" ph="1"/>
    </row>
    <row r="4454" spans="23:23" ht="26.4">
      <c r="W4454" s="64" ph="1"/>
    </row>
    <row r="4455" spans="23:23" ht="26.4">
      <c r="W4455" s="64" ph="1"/>
    </row>
    <row r="4456" spans="23:23" ht="26.4">
      <c r="W4456" s="64" ph="1"/>
    </row>
    <row r="4457" spans="23:23" ht="26.4">
      <c r="W4457" s="64" ph="1"/>
    </row>
    <row r="4458" spans="23:23" ht="26.4">
      <c r="W4458" s="64" ph="1"/>
    </row>
    <row r="4459" spans="23:23" ht="26.4">
      <c r="W4459" s="64" ph="1"/>
    </row>
    <row r="4460" spans="23:23" ht="26.4">
      <c r="W4460" s="64" ph="1"/>
    </row>
    <row r="4461" spans="23:23" ht="26.4">
      <c r="W4461" s="64" ph="1"/>
    </row>
    <row r="4462" spans="23:23" ht="26.4">
      <c r="W4462" s="64" ph="1"/>
    </row>
    <row r="4463" spans="23:23" ht="26.4">
      <c r="W4463" s="64" ph="1"/>
    </row>
    <row r="4464" spans="23:23" ht="26.4">
      <c r="W4464" s="64" ph="1"/>
    </row>
    <row r="4465" spans="23:23" ht="26.4">
      <c r="W4465" s="64" ph="1"/>
    </row>
    <row r="4466" spans="23:23" ht="26.4">
      <c r="W4466" s="64" ph="1"/>
    </row>
    <row r="4467" spans="23:23" ht="26.4">
      <c r="W4467" s="64" ph="1"/>
    </row>
    <row r="4468" spans="23:23" ht="26.4">
      <c r="W4468" s="64" ph="1"/>
    </row>
    <row r="4469" spans="23:23" ht="26.4">
      <c r="W4469" s="64" ph="1"/>
    </row>
    <row r="4470" spans="23:23" ht="26.4">
      <c r="W4470" s="64" ph="1"/>
    </row>
    <row r="4471" spans="23:23" ht="26.4">
      <c r="W4471" s="64" ph="1"/>
    </row>
    <row r="4472" spans="23:23" ht="26.4">
      <c r="W4472" s="64" ph="1"/>
    </row>
    <row r="4473" spans="23:23" ht="26.4">
      <c r="W4473" s="64" ph="1"/>
    </row>
    <row r="4474" spans="23:23" ht="26.4">
      <c r="W4474" s="64" ph="1"/>
    </row>
    <row r="4475" spans="23:23" ht="26.4">
      <c r="W4475" s="64" ph="1"/>
    </row>
    <row r="4476" spans="23:23" ht="26.4">
      <c r="W4476" s="64" ph="1"/>
    </row>
    <row r="4477" spans="23:23" ht="26.4">
      <c r="W4477" s="64" ph="1"/>
    </row>
    <row r="4478" spans="23:23" ht="26.4">
      <c r="W4478" s="64" ph="1"/>
    </row>
    <row r="4479" spans="23:23" ht="26.4">
      <c r="W4479" s="64" ph="1"/>
    </row>
    <row r="4480" spans="23:23" ht="26.4">
      <c r="W4480" s="64" ph="1"/>
    </row>
    <row r="4481" spans="23:23" ht="26.4">
      <c r="W4481" s="64" ph="1"/>
    </row>
    <row r="4482" spans="23:23" ht="26.4">
      <c r="W4482" s="64" ph="1"/>
    </row>
    <row r="4483" spans="23:23" ht="26.4">
      <c r="W4483" s="64" ph="1"/>
    </row>
    <row r="4484" spans="23:23" ht="26.4">
      <c r="W4484" s="64" ph="1"/>
    </row>
    <row r="4485" spans="23:23" ht="26.4">
      <c r="W4485" s="64" ph="1"/>
    </row>
    <row r="4486" spans="23:23" ht="26.4">
      <c r="W4486" s="64" ph="1"/>
    </row>
    <row r="4487" spans="23:23" ht="26.4">
      <c r="W4487" s="64" ph="1"/>
    </row>
    <row r="4488" spans="23:23" ht="26.4">
      <c r="W4488" s="64" ph="1"/>
    </row>
    <row r="4489" spans="23:23" ht="26.4">
      <c r="W4489" s="64" ph="1"/>
    </row>
    <row r="4490" spans="23:23" ht="26.4">
      <c r="W4490" s="64" ph="1"/>
    </row>
    <row r="4491" spans="23:23" ht="26.4">
      <c r="W4491" s="64" ph="1"/>
    </row>
    <row r="4492" spans="23:23" ht="26.4">
      <c r="W4492" s="64" ph="1"/>
    </row>
    <row r="4493" spans="23:23" ht="26.4">
      <c r="W4493" s="64" ph="1"/>
    </row>
    <row r="4494" spans="23:23" ht="26.4">
      <c r="W4494" s="64" ph="1"/>
    </row>
    <row r="4495" spans="23:23" ht="26.4">
      <c r="W4495" s="64" ph="1"/>
    </row>
    <row r="4496" spans="23:23" ht="26.4">
      <c r="W4496" s="64" ph="1"/>
    </row>
    <row r="4497" spans="23:23" ht="26.4">
      <c r="W4497" s="64" ph="1"/>
    </row>
    <row r="4498" spans="23:23" ht="26.4">
      <c r="W4498" s="64" ph="1"/>
    </row>
    <row r="4499" spans="23:23" ht="26.4">
      <c r="W4499" s="64" ph="1"/>
    </row>
    <row r="4500" spans="23:23" ht="26.4">
      <c r="W4500" s="64" ph="1"/>
    </row>
    <row r="4501" spans="23:23" ht="26.4">
      <c r="W4501" s="64" ph="1"/>
    </row>
    <row r="4502" spans="23:23" ht="26.4">
      <c r="W4502" s="64" ph="1"/>
    </row>
    <row r="4503" spans="23:23" ht="26.4">
      <c r="W4503" s="64" ph="1"/>
    </row>
    <row r="4504" spans="23:23" ht="26.4">
      <c r="W4504" s="64" ph="1"/>
    </row>
    <row r="4505" spans="23:23" ht="26.4">
      <c r="W4505" s="64" ph="1"/>
    </row>
    <row r="4506" spans="23:23" ht="26.4">
      <c r="W4506" s="64" ph="1"/>
    </row>
    <row r="4507" spans="23:23" ht="26.4">
      <c r="W4507" s="64" ph="1"/>
    </row>
    <row r="4508" spans="23:23" ht="26.4">
      <c r="W4508" s="64" ph="1"/>
    </row>
    <row r="4509" spans="23:23" ht="26.4">
      <c r="W4509" s="64" ph="1"/>
    </row>
    <row r="4510" spans="23:23" ht="26.4">
      <c r="W4510" s="64" ph="1"/>
    </row>
    <row r="4511" spans="23:23" ht="26.4">
      <c r="W4511" s="64" ph="1"/>
    </row>
    <row r="4512" spans="23:23" ht="26.4">
      <c r="W4512" s="64" ph="1"/>
    </row>
    <row r="4513" spans="23:23" ht="26.4">
      <c r="W4513" s="64" ph="1"/>
    </row>
    <row r="4514" spans="23:23" ht="26.4">
      <c r="W4514" s="64" ph="1"/>
    </row>
    <row r="4515" spans="23:23" ht="26.4">
      <c r="W4515" s="64" ph="1"/>
    </row>
    <row r="4516" spans="23:23" ht="26.4">
      <c r="W4516" s="64" ph="1"/>
    </row>
    <row r="4517" spans="23:23" ht="26.4">
      <c r="W4517" s="64" ph="1"/>
    </row>
    <row r="4518" spans="23:23" ht="26.4">
      <c r="W4518" s="64" ph="1"/>
    </row>
    <row r="4519" spans="23:23" ht="26.4">
      <c r="W4519" s="64" ph="1"/>
    </row>
    <row r="4520" spans="23:23" ht="26.4">
      <c r="W4520" s="64" ph="1"/>
    </row>
    <row r="4521" spans="23:23" ht="26.4">
      <c r="W4521" s="64" ph="1"/>
    </row>
    <row r="4522" spans="23:23" ht="26.4">
      <c r="W4522" s="64" ph="1"/>
    </row>
    <row r="4523" spans="23:23" ht="26.4">
      <c r="W4523" s="64" ph="1"/>
    </row>
    <row r="4524" spans="23:23" ht="26.4">
      <c r="W4524" s="64" ph="1"/>
    </row>
    <row r="4525" spans="23:23" ht="26.4">
      <c r="W4525" s="64" ph="1"/>
    </row>
    <row r="4526" spans="23:23" ht="26.4">
      <c r="W4526" s="64" ph="1"/>
    </row>
    <row r="4527" spans="23:23" ht="26.4">
      <c r="W4527" s="64" ph="1"/>
    </row>
    <row r="4528" spans="23:23" ht="26.4">
      <c r="W4528" s="64" ph="1"/>
    </row>
    <row r="4529" spans="23:23" ht="26.4">
      <c r="W4529" s="64" ph="1"/>
    </row>
    <row r="4530" spans="23:23" ht="26.4">
      <c r="W4530" s="64" ph="1"/>
    </row>
    <row r="4531" spans="23:23" ht="26.4">
      <c r="W4531" s="64" ph="1"/>
    </row>
    <row r="4532" spans="23:23" ht="26.4">
      <c r="W4532" s="64" ph="1"/>
    </row>
    <row r="4533" spans="23:23" ht="26.4">
      <c r="W4533" s="64" ph="1"/>
    </row>
    <row r="4534" spans="23:23" ht="26.4">
      <c r="W4534" s="64" ph="1"/>
    </row>
    <row r="4535" spans="23:23" ht="26.4">
      <c r="W4535" s="64" ph="1"/>
    </row>
    <row r="4536" spans="23:23" ht="26.4">
      <c r="W4536" s="64" ph="1"/>
    </row>
    <row r="4537" spans="23:23" ht="26.4">
      <c r="W4537" s="64" ph="1"/>
    </row>
    <row r="4538" spans="23:23" ht="26.4">
      <c r="W4538" s="64" ph="1"/>
    </row>
    <row r="4539" spans="23:23" ht="26.4">
      <c r="W4539" s="64" ph="1"/>
    </row>
    <row r="4540" spans="23:23" ht="26.4">
      <c r="W4540" s="64" ph="1"/>
    </row>
    <row r="4541" spans="23:23" ht="26.4">
      <c r="W4541" s="64" ph="1"/>
    </row>
    <row r="4542" spans="23:23" ht="26.4">
      <c r="W4542" s="64" ph="1"/>
    </row>
    <row r="4543" spans="23:23" ht="26.4">
      <c r="W4543" s="64" ph="1"/>
    </row>
    <row r="4544" spans="23:23" ht="26.4">
      <c r="W4544" s="64" ph="1"/>
    </row>
    <row r="4545" spans="23:23" ht="26.4">
      <c r="W4545" s="64" ph="1"/>
    </row>
    <row r="4546" spans="23:23" ht="26.4">
      <c r="W4546" s="64" ph="1"/>
    </row>
    <row r="4547" spans="23:23" ht="26.4">
      <c r="W4547" s="64" ph="1"/>
    </row>
    <row r="4548" spans="23:23" ht="26.4">
      <c r="W4548" s="64" ph="1"/>
    </row>
    <row r="4549" spans="23:23" ht="26.4">
      <c r="W4549" s="64" ph="1"/>
    </row>
    <row r="4550" spans="23:23" ht="26.4">
      <c r="W4550" s="64" ph="1"/>
    </row>
    <row r="4551" spans="23:23" ht="26.4">
      <c r="W4551" s="64" ph="1"/>
    </row>
    <row r="4552" spans="23:23" ht="26.4">
      <c r="W4552" s="64" ph="1"/>
    </row>
    <row r="4553" spans="23:23" ht="26.4">
      <c r="W4553" s="64" ph="1"/>
    </row>
    <row r="4554" spans="23:23" ht="26.4">
      <c r="W4554" s="64" ph="1"/>
    </row>
    <row r="4555" spans="23:23" ht="26.4">
      <c r="W4555" s="64" ph="1"/>
    </row>
    <row r="4556" spans="23:23" ht="26.4">
      <c r="W4556" s="64" ph="1"/>
    </row>
    <row r="4557" spans="23:23" ht="26.4">
      <c r="W4557" s="64" ph="1"/>
    </row>
    <row r="4558" spans="23:23" ht="26.4">
      <c r="W4558" s="64" ph="1"/>
    </row>
    <row r="4559" spans="23:23" ht="26.4">
      <c r="W4559" s="64" ph="1"/>
    </row>
    <row r="4560" spans="23:23" ht="26.4">
      <c r="W4560" s="64" ph="1"/>
    </row>
    <row r="4561" spans="23:23" ht="26.4">
      <c r="W4561" s="64" ph="1"/>
    </row>
    <row r="4562" spans="23:23" ht="26.4">
      <c r="W4562" s="64" ph="1"/>
    </row>
    <row r="4563" spans="23:23" ht="26.4">
      <c r="W4563" s="64" ph="1"/>
    </row>
    <row r="4564" spans="23:23" ht="26.4">
      <c r="W4564" s="64" ph="1"/>
    </row>
    <row r="4565" spans="23:23" ht="26.4">
      <c r="W4565" s="64" ph="1"/>
    </row>
    <row r="4566" spans="23:23" ht="26.4">
      <c r="W4566" s="64" ph="1"/>
    </row>
    <row r="4567" spans="23:23" ht="26.4">
      <c r="W4567" s="64" ph="1"/>
    </row>
    <row r="4568" spans="23:23" ht="26.4">
      <c r="W4568" s="64" ph="1"/>
    </row>
    <row r="4569" spans="23:23" ht="26.4">
      <c r="W4569" s="64" ph="1"/>
    </row>
    <row r="4570" spans="23:23" ht="26.4">
      <c r="W4570" s="64" ph="1"/>
    </row>
    <row r="4571" spans="23:23" ht="26.4">
      <c r="W4571" s="64" ph="1"/>
    </row>
    <row r="4572" spans="23:23" ht="26.4">
      <c r="W4572" s="64" ph="1"/>
    </row>
    <row r="4573" spans="23:23" ht="26.4">
      <c r="W4573" s="64" ph="1"/>
    </row>
    <row r="4574" spans="23:23" ht="26.4">
      <c r="W4574" s="64" ph="1"/>
    </row>
    <row r="4575" spans="23:23" ht="26.4">
      <c r="W4575" s="64" ph="1"/>
    </row>
    <row r="4576" spans="23:23" ht="26.4">
      <c r="W4576" s="64" ph="1"/>
    </row>
    <row r="4577" spans="23:23" ht="26.4">
      <c r="W4577" s="64" ph="1"/>
    </row>
    <row r="4578" spans="23:23" ht="26.4">
      <c r="W4578" s="64" ph="1"/>
    </row>
    <row r="4579" spans="23:23" ht="26.4">
      <c r="W4579" s="64" ph="1"/>
    </row>
    <row r="4580" spans="23:23" ht="26.4">
      <c r="W4580" s="64" ph="1"/>
    </row>
    <row r="4581" spans="23:23" ht="26.4">
      <c r="W4581" s="64" ph="1"/>
    </row>
    <row r="4582" spans="23:23" ht="26.4">
      <c r="W4582" s="64" ph="1"/>
    </row>
    <row r="4583" spans="23:23" ht="26.4">
      <c r="W4583" s="64" ph="1"/>
    </row>
    <row r="4584" spans="23:23" ht="26.4">
      <c r="W4584" s="64" ph="1"/>
    </row>
    <row r="4585" spans="23:23" ht="26.4">
      <c r="W4585" s="64" ph="1"/>
    </row>
    <row r="4586" spans="23:23" ht="26.4">
      <c r="W4586" s="64" ph="1"/>
    </row>
    <row r="4587" spans="23:23" ht="26.4">
      <c r="W4587" s="64" ph="1"/>
    </row>
    <row r="4588" spans="23:23" ht="26.4">
      <c r="W4588" s="64" ph="1"/>
    </row>
    <row r="4589" spans="23:23" ht="26.4">
      <c r="W4589" s="64" ph="1"/>
    </row>
    <row r="4590" spans="23:23" ht="26.4">
      <c r="W4590" s="64" ph="1"/>
    </row>
    <row r="4591" spans="23:23" ht="26.4">
      <c r="W4591" s="64" ph="1"/>
    </row>
    <row r="4592" spans="23:23" ht="26.4">
      <c r="W4592" s="64" ph="1"/>
    </row>
    <row r="4593" spans="23:23" ht="26.4">
      <c r="W4593" s="64" ph="1"/>
    </row>
    <row r="4594" spans="23:23" ht="26.4">
      <c r="W4594" s="64" ph="1"/>
    </row>
    <row r="4595" spans="23:23" ht="26.4">
      <c r="W4595" s="64" ph="1"/>
    </row>
    <row r="4596" spans="23:23" ht="26.4">
      <c r="W4596" s="64" ph="1"/>
    </row>
    <row r="4597" spans="23:23" ht="26.4">
      <c r="W4597" s="64" ph="1"/>
    </row>
    <row r="4598" spans="23:23" ht="26.4">
      <c r="W4598" s="64" ph="1"/>
    </row>
    <row r="4599" spans="23:23" ht="26.4">
      <c r="W4599" s="64" ph="1"/>
    </row>
    <row r="4600" spans="23:23" ht="26.4">
      <c r="W4600" s="64" ph="1"/>
    </row>
    <row r="4601" spans="23:23" ht="26.4">
      <c r="W4601" s="64" ph="1"/>
    </row>
    <row r="4602" spans="23:23" ht="26.4">
      <c r="W4602" s="64" ph="1"/>
    </row>
    <row r="4603" spans="23:23" ht="26.4">
      <c r="W4603" s="64" ph="1"/>
    </row>
    <row r="4604" spans="23:23" ht="26.4">
      <c r="W4604" s="64" ph="1"/>
    </row>
    <row r="4605" spans="23:23" ht="26.4">
      <c r="W4605" s="64" ph="1"/>
    </row>
    <row r="4606" spans="23:23" ht="26.4">
      <c r="W4606" s="64" ph="1"/>
    </row>
    <row r="4607" spans="23:23" ht="26.4">
      <c r="W4607" s="64" ph="1"/>
    </row>
    <row r="4608" spans="23:23" ht="26.4">
      <c r="W4608" s="64" ph="1"/>
    </row>
    <row r="4609" spans="23:23" ht="26.4">
      <c r="W4609" s="64" ph="1"/>
    </row>
    <row r="4610" spans="23:23" ht="26.4">
      <c r="W4610" s="64" ph="1"/>
    </row>
    <row r="4611" spans="23:23" ht="26.4">
      <c r="W4611" s="64" ph="1"/>
    </row>
    <row r="4612" spans="23:23" ht="26.4">
      <c r="W4612" s="64" ph="1"/>
    </row>
    <row r="4613" spans="23:23" ht="26.4">
      <c r="W4613" s="64" ph="1"/>
    </row>
    <row r="4614" spans="23:23" ht="26.4">
      <c r="W4614" s="64" ph="1"/>
    </row>
    <row r="4615" spans="23:23" ht="26.4">
      <c r="W4615" s="64" ph="1"/>
    </row>
    <row r="4616" spans="23:23" ht="26.4">
      <c r="W4616" s="64" ph="1"/>
    </row>
    <row r="4617" spans="23:23" ht="26.4">
      <c r="W4617" s="64" ph="1"/>
    </row>
    <row r="4618" spans="23:23" ht="26.4">
      <c r="W4618" s="64" ph="1"/>
    </row>
    <row r="4619" spans="23:23" ht="26.4">
      <c r="W4619" s="64" ph="1"/>
    </row>
    <row r="4620" spans="23:23" ht="26.4">
      <c r="W4620" s="64" ph="1"/>
    </row>
    <row r="4621" spans="23:23" ht="26.4">
      <c r="W4621" s="64" ph="1"/>
    </row>
    <row r="4622" spans="23:23" ht="26.4">
      <c r="W4622" s="64" ph="1"/>
    </row>
    <row r="4623" spans="23:23" ht="26.4">
      <c r="W4623" s="64" ph="1"/>
    </row>
    <row r="4624" spans="23:23" ht="26.4">
      <c r="W4624" s="64" ph="1"/>
    </row>
    <row r="4625" spans="23:23" ht="26.4">
      <c r="W4625" s="64" ph="1"/>
    </row>
    <row r="4626" spans="23:23" ht="26.4">
      <c r="W4626" s="64" ph="1"/>
    </row>
    <row r="4627" spans="23:23" ht="26.4">
      <c r="W4627" s="64" ph="1"/>
    </row>
    <row r="4628" spans="23:23" ht="26.4">
      <c r="W4628" s="64" ph="1"/>
    </row>
    <row r="4629" spans="23:23" ht="26.4">
      <c r="W4629" s="64" ph="1"/>
    </row>
    <row r="4630" spans="23:23" ht="26.4">
      <c r="W4630" s="64" ph="1"/>
    </row>
    <row r="4631" spans="23:23" ht="26.4">
      <c r="W4631" s="64" ph="1"/>
    </row>
    <row r="4632" spans="23:23" ht="26.4">
      <c r="W4632" s="64" ph="1"/>
    </row>
    <row r="4633" spans="23:23" ht="26.4">
      <c r="W4633" s="64" ph="1"/>
    </row>
    <row r="4634" spans="23:23" ht="26.4">
      <c r="W4634" s="64" ph="1"/>
    </row>
    <row r="4635" spans="23:23" ht="26.4">
      <c r="W4635" s="64" ph="1"/>
    </row>
    <row r="4636" spans="23:23" ht="26.4">
      <c r="W4636" s="64" ph="1"/>
    </row>
    <row r="4637" spans="23:23" ht="26.4">
      <c r="W4637" s="64" ph="1"/>
    </row>
    <row r="4638" spans="23:23" ht="26.4">
      <c r="W4638" s="64" ph="1"/>
    </row>
    <row r="4639" spans="23:23" ht="26.4">
      <c r="W4639" s="64" ph="1"/>
    </row>
    <row r="4640" spans="23:23" ht="26.4">
      <c r="W4640" s="64" ph="1"/>
    </row>
    <row r="4641" spans="23:23" ht="26.4">
      <c r="W4641" s="64" ph="1"/>
    </row>
    <row r="4642" spans="23:23" ht="26.4">
      <c r="W4642" s="64" ph="1"/>
    </row>
    <row r="4643" spans="23:23" ht="26.4">
      <c r="W4643" s="64" ph="1"/>
    </row>
    <row r="4644" spans="23:23" ht="26.4">
      <c r="W4644" s="64" ph="1"/>
    </row>
    <row r="4645" spans="23:23" ht="26.4">
      <c r="W4645" s="64" ph="1"/>
    </row>
    <row r="4646" spans="23:23" ht="26.4">
      <c r="W4646" s="64" ph="1"/>
    </row>
    <row r="4647" spans="23:23" ht="26.4">
      <c r="W4647" s="64" ph="1"/>
    </row>
    <row r="4648" spans="23:23" ht="26.4">
      <c r="W4648" s="64" ph="1"/>
    </row>
    <row r="4649" spans="23:23" ht="26.4">
      <c r="W4649" s="64" ph="1"/>
    </row>
    <row r="4650" spans="23:23" ht="26.4">
      <c r="W4650" s="64" ph="1"/>
    </row>
    <row r="4651" spans="23:23" ht="26.4">
      <c r="W4651" s="64" ph="1"/>
    </row>
    <row r="4652" spans="23:23" ht="26.4">
      <c r="W4652" s="64" ph="1"/>
    </row>
    <row r="4653" spans="23:23" ht="26.4">
      <c r="W4653" s="64" ph="1"/>
    </row>
    <row r="4654" spans="23:23" ht="26.4">
      <c r="W4654" s="64" ph="1"/>
    </row>
    <row r="4655" spans="23:23" ht="26.4">
      <c r="W4655" s="64" ph="1"/>
    </row>
    <row r="4656" spans="23:23" ht="26.4">
      <c r="W4656" s="64" ph="1"/>
    </row>
    <row r="4657" spans="23:23" ht="26.4">
      <c r="W4657" s="64" ph="1"/>
    </row>
    <row r="4658" spans="23:23" ht="26.4">
      <c r="W4658" s="64" ph="1"/>
    </row>
    <row r="4659" spans="23:23" ht="26.4">
      <c r="W4659" s="64" ph="1"/>
    </row>
    <row r="4660" spans="23:23" ht="26.4">
      <c r="W4660" s="64" ph="1"/>
    </row>
    <row r="4661" spans="23:23" ht="26.4">
      <c r="W4661" s="64" ph="1"/>
    </row>
    <row r="4662" spans="23:23" ht="26.4">
      <c r="W4662" s="64" ph="1"/>
    </row>
    <row r="4663" spans="23:23" ht="26.4">
      <c r="W4663" s="64" ph="1"/>
    </row>
    <row r="4664" spans="23:23" ht="26.4">
      <c r="W4664" s="64" ph="1"/>
    </row>
    <row r="4665" spans="23:23" ht="26.4">
      <c r="W4665" s="64" ph="1"/>
    </row>
    <row r="4666" spans="23:23" ht="26.4">
      <c r="W4666" s="64" ph="1"/>
    </row>
    <row r="4667" spans="23:23" ht="26.4">
      <c r="W4667" s="64" ph="1"/>
    </row>
    <row r="4668" spans="23:23" ht="26.4">
      <c r="W4668" s="64" ph="1"/>
    </row>
    <row r="4669" spans="23:23" ht="26.4">
      <c r="W4669" s="64" ph="1"/>
    </row>
    <row r="4670" spans="23:23" ht="26.4">
      <c r="W4670" s="64" ph="1"/>
    </row>
    <row r="4671" spans="23:23" ht="26.4">
      <c r="W4671" s="64" ph="1"/>
    </row>
    <row r="4672" spans="23:23" ht="26.4">
      <c r="W4672" s="64" ph="1"/>
    </row>
    <row r="4673" spans="23:23" ht="26.4">
      <c r="W4673" s="64" ph="1"/>
    </row>
    <row r="4674" spans="23:23" ht="26.4">
      <c r="W4674" s="64" ph="1"/>
    </row>
    <row r="4675" spans="23:23" ht="26.4">
      <c r="W4675" s="64" ph="1"/>
    </row>
    <row r="4676" spans="23:23" ht="26.4">
      <c r="W4676" s="64" ph="1"/>
    </row>
    <row r="4677" spans="23:23" ht="26.4">
      <c r="W4677" s="64" ph="1"/>
    </row>
    <row r="4678" spans="23:23" ht="26.4">
      <c r="W4678" s="64" ph="1"/>
    </row>
    <row r="4679" spans="23:23" ht="26.4">
      <c r="W4679" s="64" ph="1"/>
    </row>
    <row r="4680" spans="23:23" ht="26.4">
      <c r="W4680" s="64" ph="1"/>
    </row>
    <row r="4681" spans="23:23" ht="26.4">
      <c r="W4681" s="64" ph="1"/>
    </row>
    <row r="4682" spans="23:23" ht="26.4">
      <c r="W4682" s="64" ph="1"/>
    </row>
    <row r="4683" spans="23:23" ht="26.4">
      <c r="W4683" s="64" ph="1"/>
    </row>
    <row r="4684" spans="23:23" ht="26.4">
      <c r="W4684" s="64" ph="1"/>
    </row>
    <row r="4685" spans="23:23" ht="26.4">
      <c r="W4685" s="64" ph="1"/>
    </row>
    <row r="4686" spans="23:23" ht="26.4">
      <c r="W4686" s="64" ph="1"/>
    </row>
    <row r="4687" spans="23:23" ht="26.4">
      <c r="W4687" s="64" ph="1"/>
    </row>
    <row r="4688" spans="23:23" ht="26.4">
      <c r="W4688" s="64" ph="1"/>
    </row>
    <row r="4689" spans="23:23" ht="26.4">
      <c r="W4689" s="64" ph="1"/>
    </row>
    <row r="4690" spans="23:23" ht="26.4">
      <c r="W4690" s="64" ph="1"/>
    </row>
    <row r="4691" spans="23:23" ht="26.4">
      <c r="W4691" s="64" ph="1"/>
    </row>
    <row r="4692" spans="23:23" ht="26.4">
      <c r="W4692" s="64" ph="1"/>
    </row>
    <row r="4693" spans="23:23" ht="26.4">
      <c r="W4693" s="64" ph="1"/>
    </row>
    <row r="4694" spans="23:23" ht="26.4">
      <c r="W4694" s="64" ph="1"/>
    </row>
    <row r="4695" spans="23:23" ht="26.4">
      <c r="W4695" s="64" ph="1"/>
    </row>
    <row r="4696" spans="23:23" ht="26.4">
      <c r="W4696" s="64" ph="1"/>
    </row>
    <row r="4697" spans="23:23" ht="26.4">
      <c r="W4697" s="64" ph="1"/>
    </row>
    <row r="4698" spans="23:23" ht="26.4">
      <c r="W4698" s="64" ph="1"/>
    </row>
    <row r="4699" spans="23:23" ht="26.4">
      <c r="W4699" s="64" ph="1"/>
    </row>
    <row r="4700" spans="23:23" ht="26.4">
      <c r="W4700" s="64" ph="1"/>
    </row>
    <row r="4701" spans="23:23" ht="26.4">
      <c r="W4701" s="64" ph="1"/>
    </row>
    <row r="4702" spans="23:23" ht="26.4">
      <c r="W4702" s="64" ph="1"/>
    </row>
    <row r="4703" spans="23:23" ht="26.4">
      <c r="W4703" s="64" ph="1"/>
    </row>
    <row r="4704" spans="23:23" ht="26.4">
      <c r="W4704" s="64" ph="1"/>
    </row>
    <row r="4705" spans="23:23" ht="26.4">
      <c r="W4705" s="64" ph="1"/>
    </row>
    <row r="4706" spans="23:23" ht="26.4">
      <c r="W4706" s="64" ph="1"/>
    </row>
    <row r="4707" spans="23:23" ht="26.4">
      <c r="W4707" s="64" ph="1"/>
    </row>
    <row r="4708" spans="23:23" ht="26.4">
      <c r="W4708" s="64" ph="1"/>
    </row>
    <row r="4709" spans="23:23" ht="26.4">
      <c r="W4709" s="64" ph="1"/>
    </row>
    <row r="4710" spans="23:23" ht="26.4">
      <c r="W4710" s="64" ph="1"/>
    </row>
    <row r="4711" spans="23:23" ht="26.4">
      <c r="W4711" s="64" ph="1"/>
    </row>
    <row r="4712" spans="23:23" ht="26.4">
      <c r="W4712" s="64" ph="1"/>
    </row>
    <row r="4713" spans="23:23" ht="26.4">
      <c r="W4713" s="64" ph="1"/>
    </row>
    <row r="4714" spans="23:23" ht="26.4">
      <c r="W4714" s="64" ph="1"/>
    </row>
    <row r="4715" spans="23:23" ht="26.4">
      <c r="W4715" s="64" ph="1"/>
    </row>
    <row r="4716" spans="23:23" ht="26.4">
      <c r="W4716" s="64" ph="1"/>
    </row>
    <row r="4717" spans="23:23" ht="26.4">
      <c r="W4717" s="64" ph="1"/>
    </row>
    <row r="4718" spans="23:23" ht="26.4">
      <c r="W4718" s="64" ph="1"/>
    </row>
    <row r="4719" spans="23:23" ht="26.4">
      <c r="W4719" s="64" ph="1"/>
    </row>
    <row r="4720" spans="23:23" ht="26.4">
      <c r="W4720" s="64" ph="1"/>
    </row>
    <row r="4721" spans="23:23" ht="26.4">
      <c r="W4721" s="64" ph="1"/>
    </row>
    <row r="4722" spans="23:23" ht="26.4">
      <c r="W4722" s="64" ph="1"/>
    </row>
    <row r="4723" spans="23:23" ht="26.4">
      <c r="W4723" s="64" ph="1"/>
    </row>
    <row r="4724" spans="23:23" ht="26.4">
      <c r="W4724" s="64" ph="1"/>
    </row>
    <row r="4725" spans="23:23" ht="26.4">
      <c r="W4725" s="64" ph="1"/>
    </row>
    <row r="4726" spans="23:23" ht="26.4">
      <c r="W4726" s="64" ph="1"/>
    </row>
    <row r="4727" spans="23:23" ht="26.4">
      <c r="W4727" s="64" ph="1"/>
    </row>
    <row r="4728" spans="23:23" ht="26.4">
      <c r="W4728" s="64" ph="1"/>
    </row>
    <row r="4729" spans="23:23" ht="26.4">
      <c r="W4729" s="64" ph="1"/>
    </row>
    <row r="4730" spans="23:23" ht="26.4">
      <c r="W4730" s="64" ph="1"/>
    </row>
    <row r="4731" spans="23:23" ht="26.4">
      <c r="W4731" s="64" ph="1"/>
    </row>
    <row r="4732" spans="23:23" ht="26.4">
      <c r="W4732" s="64" ph="1"/>
    </row>
    <row r="4733" spans="23:23" ht="26.4">
      <c r="W4733" s="64" ph="1"/>
    </row>
    <row r="4734" spans="23:23" ht="26.4">
      <c r="W4734" s="64" ph="1"/>
    </row>
    <row r="4735" spans="23:23" ht="26.4">
      <c r="W4735" s="64" ph="1"/>
    </row>
    <row r="4736" spans="23:23" ht="26.4">
      <c r="W4736" s="64" ph="1"/>
    </row>
    <row r="4737" spans="23:23" ht="26.4">
      <c r="W4737" s="64" ph="1"/>
    </row>
    <row r="4738" spans="23:23" ht="26.4">
      <c r="W4738" s="64" ph="1"/>
    </row>
    <row r="4739" spans="23:23" ht="26.4">
      <c r="W4739" s="64" ph="1"/>
    </row>
    <row r="4740" spans="23:23" ht="26.4">
      <c r="W4740" s="64" ph="1"/>
    </row>
    <row r="4741" spans="23:23" ht="26.4">
      <c r="W4741" s="64" ph="1"/>
    </row>
    <row r="4742" spans="23:23" ht="26.4">
      <c r="W4742" s="64" ph="1"/>
    </row>
    <row r="4743" spans="23:23" ht="26.4">
      <c r="W4743" s="64" ph="1"/>
    </row>
    <row r="4744" spans="23:23" ht="26.4">
      <c r="W4744" s="64" ph="1"/>
    </row>
    <row r="4745" spans="23:23" ht="26.4">
      <c r="W4745" s="64" ph="1"/>
    </row>
    <row r="4746" spans="23:23" ht="26.4">
      <c r="W4746" s="64" ph="1"/>
    </row>
    <row r="4747" spans="23:23" ht="26.4">
      <c r="W4747" s="64" ph="1"/>
    </row>
    <row r="4748" spans="23:23" ht="26.4">
      <c r="W4748" s="64" ph="1"/>
    </row>
    <row r="4749" spans="23:23" ht="26.4">
      <c r="W4749" s="64" ph="1"/>
    </row>
    <row r="4750" spans="23:23" ht="26.4">
      <c r="W4750" s="64" ph="1"/>
    </row>
    <row r="4751" spans="23:23" ht="26.4">
      <c r="W4751" s="64" ph="1"/>
    </row>
    <row r="4752" spans="23:23" ht="26.4">
      <c r="W4752" s="64" ph="1"/>
    </row>
    <row r="4753" spans="23:23" ht="26.4">
      <c r="W4753" s="64" ph="1"/>
    </row>
    <row r="4754" spans="23:23" ht="26.4">
      <c r="W4754" s="64" ph="1"/>
    </row>
    <row r="4755" spans="23:23" ht="26.4">
      <c r="W4755" s="64" ph="1"/>
    </row>
    <row r="4756" spans="23:23" ht="26.4">
      <c r="W4756" s="64" ph="1"/>
    </row>
    <row r="4757" spans="23:23" ht="26.4">
      <c r="W4757" s="64" ph="1"/>
    </row>
    <row r="4758" spans="23:23" ht="26.4">
      <c r="W4758" s="64" ph="1"/>
    </row>
    <row r="4759" spans="23:23" ht="26.4">
      <c r="W4759" s="64" ph="1"/>
    </row>
    <row r="4760" spans="23:23" ht="26.4">
      <c r="W4760" s="64" ph="1"/>
    </row>
    <row r="4761" spans="23:23" ht="26.4">
      <c r="W4761" s="64" ph="1"/>
    </row>
    <row r="4762" spans="23:23" ht="26.4">
      <c r="W4762" s="64" ph="1"/>
    </row>
    <row r="4763" spans="23:23" ht="26.4">
      <c r="W4763" s="64" ph="1"/>
    </row>
    <row r="4764" spans="23:23" ht="26.4">
      <c r="W4764" s="64" ph="1"/>
    </row>
    <row r="4765" spans="23:23" ht="26.4">
      <c r="W4765" s="64" ph="1"/>
    </row>
    <row r="4766" spans="23:23" ht="26.4">
      <c r="W4766" s="64" ph="1"/>
    </row>
    <row r="4767" spans="23:23" ht="26.4">
      <c r="W4767" s="64" ph="1"/>
    </row>
    <row r="4768" spans="23:23" ht="26.4">
      <c r="W4768" s="64" ph="1"/>
    </row>
    <row r="4769" spans="23:23" ht="26.4">
      <c r="W4769" s="64" ph="1"/>
    </row>
    <row r="4770" spans="23:23" ht="26.4">
      <c r="W4770" s="64" ph="1"/>
    </row>
    <row r="4771" spans="23:23" ht="26.4">
      <c r="W4771" s="64" ph="1"/>
    </row>
    <row r="4772" spans="23:23" ht="26.4">
      <c r="W4772" s="64" ph="1"/>
    </row>
    <row r="4773" spans="23:23" ht="26.4">
      <c r="W4773" s="64" ph="1"/>
    </row>
    <row r="4774" spans="23:23" ht="26.4">
      <c r="W4774" s="64" ph="1"/>
    </row>
    <row r="4775" spans="23:23" ht="26.4">
      <c r="W4775" s="64" ph="1"/>
    </row>
    <row r="4776" spans="23:23" ht="26.4">
      <c r="W4776" s="64" ph="1"/>
    </row>
    <row r="4777" spans="23:23" ht="26.4">
      <c r="W4777" s="64" ph="1"/>
    </row>
    <row r="4778" spans="23:23" ht="26.4">
      <c r="W4778" s="64" ph="1"/>
    </row>
    <row r="4779" spans="23:23" ht="26.4">
      <c r="W4779" s="64" ph="1"/>
    </row>
    <row r="4780" spans="23:23" ht="26.4">
      <c r="W4780" s="64" ph="1"/>
    </row>
    <row r="4781" spans="23:23" ht="26.4">
      <c r="W4781" s="64" ph="1"/>
    </row>
    <row r="4782" spans="23:23" ht="26.4">
      <c r="W4782" s="64" ph="1"/>
    </row>
    <row r="4783" spans="23:23" ht="26.4">
      <c r="W4783" s="64" ph="1"/>
    </row>
    <row r="4784" spans="23:23" ht="26.4">
      <c r="W4784" s="64" ph="1"/>
    </row>
    <row r="4785" spans="23:23" ht="26.4">
      <c r="W4785" s="64" ph="1"/>
    </row>
    <row r="4786" spans="23:23" ht="26.4">
      <c r="W4786" s="64" ph="1"/>
    </row>
    <row r="4787" spans="23:23" ht="26.4">
      <c r="W4787" s="64" ph="1"/>
    </row>
    <row r="4788" spans="23:23" ht="26.4">
      <c r="W4788" s="64" ph="1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T4812"/>
  <sheetViews>
    <sheetView workbookViewId="0">
      <selection activeCell="Z7" sqref="Z7"/>
    </sheetView>
  </sheetViews>
  <sheetFormatPr defaultColWidth="9.125" defaultRowHeight="16.2"/>
  <cols>
    <col min="1" max="1" width="5.75" style="135" customWidth="1"/>
    <col min="2" max="5" width="5.75" style="97" customWidth="1"/>
    <col min="6" max="6" width="8.75" style="66" customWidth="1"/>
    <col min="7" max="7" width="7.75" style="20" customWidth="1"/>
    <col min="8" max="8" width="5.75" style="13" customWidth="1"/>
    <col min="9" max="9" width="9.75" style="10" customWidth="1"/>
    <col min="10" max="10" width="6.75" style="32" customWidth="1"/>
    <col min="11" max="11" width="6.75" style="367" customWidth="1"/>
    <col min="12" max="12" width="6.75" style="77" customWidth="1"/>
    <col min="13" max="13" width="6.75" style="365" customWidth="1"/>
    <col min="14" max="14" width="7.75" style="367" customWidth="1"/>
    <col min="15" max="15" width="7.75" style="343" customWidth="1"/>
    <col min="16" max="16" width="5.75" style="166" customWidth="1"/>
    <col min="17" max="17" width="4.75" style="109" customWidth="1"/>
    <col min="18" max="18" width="4.75" style="31" customWidth="1"/>
    <col min="19" max="19" width="4.75" style="51" customWidth="1"/>
    <col min="20" max="20" width="5.75" style="339" customWidth="1"/>
    <col min="21" max="21" width="2.75" style="329" customWidth="1"/>
    <col min="22" max="22" width="6.75" style="371" customWidth="1"/>
    <col min="23" max="23" width="7.75" style="64" customWidth="1"/>
    <col min="24" max="24" width="7.75" style="240" customWidth="1"/>
    <col min="25" max="25" width="9.75" style="285" customWidth="1"/>
    <col min="26" max="26" width="9.75" style="72" customWidth="1"/>
    <col min="27" max="27" width="9.75" style="61" customWidth="1"/>
    <col min="28" max="28" width="8.75" style="12" customWidth="1"/>
    <col min="29" max="29" width="6.75" style="104" customWidth="1"/>
    <col min="30" max="30" width="8.75" style="10" customWidth="1"/>
    <col min="31" max="31" width="11.75" style="89" customWidth="1"/>
    <col min="32" max="32" width="11.75" style="88" customWidth="1"/>
    <col min="33" max="33" width="3.75" style="82" customWidth="1"/>
    <col min="34" max="34" width="3.75" style="284" customWidth="1"/>
    <col min="35" max="35" width="2.75" style="129" customWidth="1"/>
    <col min="36" max="36" width="2.75" style="264" customWidth="1"/>
    <col min="37" max="37" width="7.75" style="252" customWidth="1"/>
    <col min="38" max="38" width="7.75" style="266" customWidth="1"/>
    <col min="39" max="40" width="7.75" style="284" customWidth="1"/>
    <col min="41" max="16384" width="9.125" style="284"/>
  </cols>
  <sheetData>
    <row r="1" spans="1:46">
      <c r="A1" s="135" t="s">
        <v>2552</v>
      </c>
      <c r="B1" s="96" t="s">
        <v>2331</v>
      </c>
      <c r="C1" s="96" t="s">
        <v>2332</v>
      </c>
      <c r="D1" s="96" t="s">
        <v>2333</v>
      </c>
      <c r="E1" s="96" t="s">
        <v>2334</v>
      </c>
      <c r="F1" s="9" t="s">
        <v>1709</v>
      </c>
      <c r="G1" s="27" t="s">
        <v>5626</v>
      </c>
      <c r="H1" s="56" t="s">
        <v>578</v>
      </c>
      <c r="I1" s="25" t="s">
        <v>6828</v>
      </c>
      <c r="J1" s="364" t="s">
        <v>2189</v>
      </c>
      <c r="K1" s="364" t="s">
        <v>1820</v>
      </c>
      <c r="L1" s="364" t="s">
        <v>515</v>
      </c>
      <c r="M1" s="364" t="s">
        <v>1699</v>
      </c>
      <c r="N1" s="364" t="s">
        <v>6633</v>
      </c>
      <c r="O1" s="343" t="s">
        <v>6634</v>
      </c>
      <c r="P1" s="83" t="s">
        <v>5279</v>
      </c>
      <c r="Q1" s="326" t="s">
        <v>5514</v>
      </c>
      <c r="R1" s="31" t="s">
        <v>6596</v>
      </c>
      <c r="S1" s="51" t="s">
        <v>6597</v>
      </c>
      <c r="T1" s="338" t="s">
        <v>5627</v>
      </c>
      <c r="U1" s="330" t="s">
        <v>6537</v>
      </c>
      <c r="V1" s="377" t="s">
        <v>6616</v>
      </c>
      <c r="W1" s="11" t="s">
        <v>127</v>
      </c>
      <c r="X1" s="71" t="s">
        <v>6626</v>
      </c>
      <c r="Y1" s="29" t="s">
        <v>6688</v>
      </c>
      <c r="Z1" s="18" t="s">
        <v>2113</v>
      </c>
      <c r="AA1" s="15" t="s">
        <v>8</v>
      </c>
      <c r="AB1" s="22" t="s">
        <v>4</v>
      </c>
      <c r="AC1" s="26" t="s">
        <v>211</v>
      </c>
      <c r="AD1" s="25" t="s">
        <v>6828</v>
      </c>
      <c r="AE1" s="56" t="s">
        <v>5568</v>
      </c>
      <c r="AF1" s="114" t="s">
        <v>5575</v>
      </c>
      <c r="AG1" s="33" t="s">
        <v>1827</v>
      </c>
      <c r="AH1" s="262" t="s">
        <v>6777</v>
      </c>
      <c r="AI1" s="284"/>
      <c r="AK1" s="9" t="s">
        <v>6666</v>
      </c>
      <c r="AL1" s="5" t="s">
        <v>6667</v>
      </c>
      <c r="AM1" s="51" t="s">
        <v>5339</v>
      </c>
      <c r="AN1" s="276" t="s">
        <v>6665</v>
      </c>
    </row>
    <row r="2" spans="1:46">
      <c r="B2" s="96"/>
      <c r="C2" s="96"/>
      <c r="D2" s="96"/>
      <c r="E2" s="96"/>
      <c r="F2" s="9"/>
      <c r="G2" s="27"/>
      <c r="H2" s="56"/>
      <c r="I2" s="25"/>
      <c r="J2" s="364"/>
      <c r="K2" s="364"/>
      <c r="L2" s="364"/>
      <c r="M2" s="364"/>
      <c r="N2" s="364"/>
      <c r="P2" s="83"/>
      <c r="Q2" s="326"/>
      <c r="T2" s="338"/>
      <c r="U2" s="330"/>
      <c r="V2" s="377"/>
      <c r="W2" s="11"/>
      <c r="X2" s="71"/>
      <c r="Y2" s="29"/>
      <c r="Z2" s="18"/>
      <c r="AA2" s="15"/>
      <c r="AB2" s="22"/>
      <c r="AC2" s="26"/>
      <c r="AD2" s="25"/>
      <c r="AE2" s="56"/>
      <c r="AF2" s="114"/>
      <c r="AG2" s="33"/>
      <c r="AH2" s="262"/>
      <c r="AI2" s="284"/>
      <c r="AK2" s="9"/>
      <c r="AL2" s="5"/>
      <c r="AM2" s="51"/>
      <c r="AN2" s="276"/>
    </row>
    <row r="3" spans="1:46">
      <c r="A3" s="135" t="s">
        <v>3192</v>
      </c>
      <c r="B3" s="85">
        <v>-37</v>
      </c>
      <c r="C3" s="85">
        <v>-40</v>
      </c>
      <c r="D3" s="85">
        <v>-24</v>
      </c>
      <c r="E3" s="84">
        <v>17</v>
      </c>
      <c r="F3" s="59">
        <v>12.63</v>
      </c>
      <c r="G3" s="85">
        <v>2404</v>
      </c>
      <c r="H3" s="5" t="s">
        <v>566</v>
      </c>
      <c r="I3" s="23" t="s">
        <v>934</v>
      </c>
      <c r="J3" s="371">
        <v>32.07</v>
      </c>
      <c r="K3" s="371">
        <v>27.66</v>
      </c>
      <c r="L3" s="77">
        <v>5.52</v>
      </c>
      <c r="M3" s="371">
        <v>9.1</v>
      </c>
      <c r="N3" s="365">
        <f t="shared" ref="N3" si="0">J3+K3+L3+M3</f>
        <v>74.349999999999994</v>
      </c>
      <c r="O3" s="343">
        <f t="shared" ref="O3" si="1">J3+M3</f>
        <v>41.17</v>
      </c>
      <c r="P3" s="195">
        <v>29</v>
      </c>
      <c r="Q3" s="326">
        <v>11</v>
      </c>
      <c r="R3" s="111">
        <v>16</v>
      </c>
      <c r="S3" s="51">
        <v>10</v>
      </c>
      <c r="T3" s="339">
        <f t="shared" ref="T3" si="2">SUM(P3:S3)</f>
        <v>66</v>
      </c>
      <c r="U3" s="329" t="s">
        <v>6539</v>
      </c>
      <c r="V3" s="371">
        <v>3.09</v>
      </c>
      <c r="W3" s="69">
        <v>17</v>
      </c>
      <c r="X3" s="100">
        <v>14.98</v>
      </c>
      <c r="Y3" s="37" t="str">
        <f>RTD("money.excel",,"2404","Price")</f>
        <v>無資料</v>
      </c>
      <c r="Z3" s="69">
        <v>177</v>
      </c>
      <c r="AA3" s="16" t="e">
        <f t="shared" ref="AA3" si="3">Y3-Z3</f>
        <v>#VALUE!</v>
      </c>
      <c r="AB3" s="3" t="e">
        <f t="shared" ref="AB3" si="4">AA3/Z3</f>
        <v>#VALUE!</v>
      </c>
      <c r="AC3" s="177" t="s">
        <v>6832</v>
      </c>
      <c r="AD3" s="23" t="s">
        <v>934</v>
      </c>
      <c r="AE3" s="89">
        <v>44554</v>
      </c>
      <c r="AG3" s="34">
        <f t="shared" ref="AG3" si="5">AF3-AE3</f>
        <v>-44554</v>
      </c>
      <c r="AH3" s="63" t="s">
        <v>2168</v>
      </c>
      <c r="AI3" s="131"/>
      <c r="AK3" s="66">
        <f t="shared" ref="AK3" si="6">AM3/(A3*10000)</f>
        <v>0</v>
      </c>
      <c r="AL3" s="174">
        <f t="shared" ref="AL3" si="7">AN3/(A3*10000)</f>
        <v>0</v>
      </c>
      <c r="AM3" s="346">
        <f>RTD("money.excel",,$G3,"PredictVolume")</f>
        <v>0</v>
      </c>
      <c r="AN3" s="272">
        <f>RTD("money.excel",,$G3,"CumulativeVolume")</f>
        <v>0</v>
      </c>
    </row>
    <row r="4" spans="1:46">
      <c r="A4" s="135" t="s">
        <v>3073</v>
      </c>
      <c r="B4" s="84">
        <v>31</v>
      </c>
      <c r="C4" s="84">
        <v>23</v>
      </c>
      <c r="D4" s="85">
        <v>-5</v>
      </c>
      <c r="E4" s="84">
        <v>24</v>
      </c>
      <c r="F4" s="59">
        <v>20.88</v>
      </c>
      <c r="G4" s="85">
        <v>8086</v>
      </c>
      <c r="H4" s="213" t="s">
        <v>558</v>
      </c>
      <c r="I4" s="17" t="s">
        <v>483</v>
      </c>
      <c r="J4" s="371">
        <v>43.12</v>
      </c>
      <c r="K4" s="371">
        <v>18.32</v>
      </c>
      <c r="L4" s="371">
        <v>23.99</v>
      </c>
      <c r="M4" s="77">
        <v>27.28</v>
      </c>
      <c r="N4" s="365">
        <f t="shared" ref="N4" si="8">J4+K4+L4+M4</f>
        <v>112.71</v>
      </c>
      <c r="O4" s="343">
        <f t="shared" ref="O4" si="9">J4+M4</f>
        <v>70.400000000000006</v>
      </c>
      <c r="P4" s="195">
        <v>39</v>
      </c>
      <c r="Q4" s="326">
        <v>40</v>
      </c>
      <c r="R4" s="111">
        <v>31</v>
      </c>
      <c r="S4" s="51">
        <v>30</v>
      </c>
      <c r="T4" s="339">
        <f t="shared" ref="T4" si="10">SUM(P4:S4)</f>
        <v>140</v>
      </c>
      <c r="U4" s="329" t="s">
        <v>6806</v>
      </c>
      <c r="V4" s="371">
        <v>4.7300000000000004</v>
      </c>
      <c r="W4" s="35">
        <v>2.8</v>
      </c>
      <c r="X4" s="100">
        <v>4.0999999999999996</v>
      </c>
      <c r="Y4" s="37" t="str">
        <f>RTD("money.excel",,"8086","Price")</f>
        <v>無資料</v>
      </c>
      <c r="Z4" s="69">
        <v>141.5</v>
      </c>
      <c r="AA4" s="16" t="e">
        <f t="shared" ref="AA4" si="11">Y4-Z4</f>
        <v>#VALUE!</v>
      </c>
      <c r="AB4" s="3" t="e">
        <f t="shared" ref="AB4" si="12">AA4/Z4</f>
        <v>#VALUE!</v>
      </c>
      <c r="AC4" s="177" t="s">
        <v>6807</v>
      </c>
      <c r="AD4" s="17" t="s">
        <v>483</v>
      </c>
      <c r="AE4" s="89">
        <v>44553</v>
      </c>
      <c r="AG4" s="34">
        <f t="shared" ref="AG4" si="13">AF4-AE4</f>
        <v>-44553</v>
      </c>
      <c r="AH4" s="126" t="s">
        <v>3701</v>
      </c>
      <c r="AI4" s="284"/>
      <c r="AK4" s="66">
        <f t="shared" ref="AK4" si="14">AM4/(A4*10000)</f>
        <v>0</v>
      </c>
      <c r="AL4" s="174">
        <f t="shared" ref="AL4" si="15">AN4/(A4*10000)</f>
        <v>0</v>
      </c>
      <c r="AM4" s="346">
        <f>RTD("money.excel",,$G4,"PredictVolume")</f>
        <v>0</v>
      </c>
      <c r="AN4" s="272">
        <f>RTD("money.excel",,$G4,"CumulativeVolume")</f>
        <v>0</v>
      </c>
    </row>
    <row r="5" spans="1:46">
      <c r="A5" s="135" t="s">
        <v>3026</v>
      </c>
      <c r="B5" s="85">
        <v>-56</v>
      </c>
      <c r="C5" s="85">
        <v>-46</v>
      </c>
      <c r="D5" s="84">
        <v>23</v>
      </c>
      <c r="E5" s="84">
        <v>124</v>
      </c>
      <c r="F5" s="59">
        <v>17.64</v>
      </c>
      <c r="G5" s="84">
        <v>6477</v>
      </c>
      <c r="H5" s="9" t="s">
        <v>557</v>
      </c>
      <c r="I5" s="23" t="s">
        <v>833</v>
      </c>
      <c r="J5" s="371">
        <v>38.96</v>
      </c>
      <c r="K5" s="77">
        <v>4.47</v>
      </c>
      <c r="L5" s="371">
        <v>31.97</v>
      </c>
      <c r="M5" s="77">
        <v>19.07</v>
      </c>
      <c r="N5" s="365">
        <f t="shared" ref="N5" si="16">J5+K5+L5+M5</f>
        <v>94.47</v>
      </c>
      <c r="O5" s="343">
        <f t="shared" ref="O5" si="17">J5+M5</f>
        <v>58.03</v>
      </c>
      <c r="P5" s="195">
        <v>9</v>
      </c>
      <c r="Q5" s="326">
        <v>25</v>
      </c>
      <c r="R5" s="111">
        <v>47</v>
      </c>
      <c r="S5" s="51">
        <v>30</v>
      </c>
      <c r="T5" s="339">
        <f t="shared" ref="T5" si="18">SUM(P5:S5)</f>
        <v>111</v>
      </c>
      <c r="U5" s="329" t="s">
        <v>6538</v>
      </c>
      <c r="V5" s="371">
        <v>5.03</v>
      </c>
      <c r="W5" s="35">
        <v>1.1399999999999999</v>
      </c>
      <c r="X5" s="100">
        <v>1.23</v>
      </c>
      <c r="Y5" s="37" t="str">
        <f>RTD("money.excel",,"6477","Price")</f>
        <v>無資料</v>
      </c>
      <c r="Z5" s="69">
        <v>50.2</v>
      </c>
      <c r="AA5" s="16" t="e">
        <f>Y5-Z5</f>
        <v>#VALUE!</v>
      </c>
      <c r="AB5" s="3" t="e">
        <f>AA5/Z5</f>
        <v>#VALUE!</v>
      </c>
      <c r="AC5" s="177" t="s">
        <v>6652</v>
      </c>
      <c r="AD5" s="23" t="s">
        <v>833</v>
      </c>
      <c r="AE5" s="89">
        <v>44552</v>
      </c>
      <c r="AG5" s="34">
        <f>AF5-AE5</f>
        <v>-44552</v>
      </c>
      <c r="AH5" s="44" t="s">
        <v>6417</v>
      </c>
      <c r="AI5" s="131"/>
      <c r="AK5" s="66">
        <f t="shared" ref="AK5" si="19">AM5/(A5*10000)</f>
        <v>0</v>
      </c>
      <c r="AL5" s="174">
        <f t="shared" ref="AL5" si="20">AN5/(A5*10000)</f>
        <v>0</v>
      </c>
      <c r="AM5" s="346">
        <f>RTD("money.excel",,$G5,"PredictVolume")</f>
        <v>0</v>
      </c>
      <c r="AN5" s="272">
        <f>RTD("money.excel",,$G5,"CumulativeVolume")</f>
        <v>0</v>
      </c>
    </row>
    <row r="6" spans="1:46">
      <c r="A6" s="151"/>
      <c r="B6" s="85"/>
      <c r="C6" s="85"/>
      <c r="D6" s="84"/>
      <c r="E6" s="85"/>
      <c r="F6" s="7"/>
      <c r="G6" s="84"/>
      <c r="H6" s="203"/>
      <c r="I6" s="17"/>
      <c r="J6" s="371"/>
      <c r="K6" s="371"/>
      <c r="M6" s="77"/>
      <c r="N6" s="365"/>
      <c r="P6" s="195"/>
      <c r="Q6" s="326"/>
      <c r="R6" s="111"/>
      <c r="W6" s="69"/>
      <c r="X6" s="100"/>
      <c r="Y6" s="37"/>
      <c r="Z6" s="69"/>
      <c r="AA6" s="16"/>
      <c r="AB6" s="3"/>
      <c r="AC6" s="177"/>
      <c r="AD6" s="17"/>
      <c r="AG6" s="34"/>
      <c r="AH6" s="125"/>
      <c r="AI6" s="131"/>
      <c r="AK6" s="131"/>
      <c r="AL6" s="264"/>
    </row>
    <row r="7" spans="1:46">
      <c r="A7" s="263"/>
      <c r="B7" s="182"/>
      <c r="C7" s="182"/>
      <c r="D7" s="182"/>
      <c r="E7" s="182"/>
      <c r="F7" s="183"/>
      <c r="G7" s="184"/>
      <c r="H7" s="186"/>
      <c r="I7" s="185"/>
      <c r="J7" s="366"/>
      <c r="K7" s="366"/>
      <c r="L7" s="372"/>
      <c r="M7" s="373"/>
      <c r="N7" s="366">
        <v>130</v>
      </c>
      <c r="O7" s="369">
        <v>80</v>
      </c>
      <c r="V7" s="371" t="s">
        <v>6622</v>
      </c>
      <c r="W7" s="183"/>
      <c r="X7" s="4" t="s">
        <v>2189</v>
      </c>
      <c r="Y7" s="4" t="s">
        <v>1820</v>
      </c>
      <c r="Z7" s="11" t="s">
        <v>515</v>
      </c>
      <c r="AA7" s="189"/>
      <c r="AB7" s="190"/>
      <c r="AC7" s="263" t="s">
        <v>5311</v>
      </c>
      <c r="AD7" s="185"/>
      <c r="AF7" s="194"/>
      <c r="AG7" s="192">
        <f t="shared" ref="AG7" si="21">AF7-AE7</f>
        <v>0</v>
      </c>
      <c r="AH7" s="263" t="s">
        <v>6635</v>
      </c>
      <c r="AI7" s="131"/>
      <c r="AL7" s="265"/>
      <c r="AM7" s="287"/>
      <c r="AN7" s="287"/>
      <c r="AO7" s="287"/>
      <c r="AQ7" s="287"/>
      <c r="AR7" s="287"/>
      <c r="AS7" s="287"/>
      <c r="AT7" s="287"/>
    </row>
    <row r="8" spans="1:46">
      <c r="A8" s="135" t="s">
        <v>2552</v>
      </c>
      <c r="B8" s="96" t="s">
        <v>2331</v>
      </c>
      <c r="C8" s="96" t="s">
        <v>2332</v>
      </c>
      <c r="D8" s="96" t="s">
        <v>2333</v>
      </c>
      <c r="E8" s="96" t="s">
        <v>2334</v>
      </c>
      <c r="F8" s="9" t="s">
        <v>1709</v>
      </c>
      <c r="G8" s="27" t="s">
        <v>5626</v>
      </c>
      <c r="H8" s="56" t="s">
        <v>578</v>
      </c>
      <c r="I8" s="25" t="s">
        <v>6828</v>
      </c>
      <c r="J8" s="364" t="s">
        <v>2189</v>
      </c>
      <c r="K8" s="364" t="s">
        <v>1820</v>
      </c>
      <c r="L8" s="364" t="s">
        <v>515</v>
      </c>
      <c r="M8" s="364" t="s">
        <v>1699</v>
      </c>
      <c r="N8" s="364" t="s">
        <v>6633</v>
      </c>
      <c r="O8" s="343" t="s">
        <v>6634</v>
      </c>
      <c r="P8" s="83" t="s">
        <v>5279</v>
      </c>
      <c r="Q8" s="326" t="s">
        <v>5514</v>
      </c>
      <c r="R8" s="31" t="s">
        <v>6596</v>
      </c>
      <c r="S8" s="51" t="s">
        <v>6597</v>
      </c>
      <c r="T8" s="338" t="s">
        <v>5627</v>
      </c>
      <c r="U8" s="330" t="s">
        <v>6537</v>
      </c>
      <c r="V8" s="377" t="s">
        <v>6616</v>
      </c>
      <c r="W8" s="11" t="s">
        <v>127</v>
      </c>
      <c r="X8" s="71" t="s">
        <v>6626</v>
      </c>
      <c r="Y8" s="29" t="s">
        <v>6688</v>
      </c>
      <c r="Z8" s="18" t="s">
        <v>2113</v>
      </c>
      <c r="AA8" s="15" t="s">
        <v>8</v>
      </c>
      <c r="AB8" s="22" t="s">
        <v>4</v>
      </c>
      <c r="AC8" s="26" t="s">
        <v>211</v>
      </c>
      <c r="AD8" s="25" t="s">
        <v>6828</v>
      </c>
      <c r="AE8" s="56" t="s">
        <v>5568</v>
      </c>
      <c r="AF8" s="114" t="s">
        <v>5575</v>
      </c>
      <c r="AG8" s="33" t="s">
        <v>1827</v>
      </c>
      <c r="AH8" s="262" t="s">
        <v>6777</v>
      </c>
      <c r="AI8" s="131"/>
      <c r="AK8" s="9" t="s">
        <v>6666</v>
      </c>
      <c r="AL8" s="5" t="s">
        <v>6667</v>
      </c>
      <c r="AM8" s="51" t="s">
        <v>5339</v>
      </c>
      <c r="AN8" s="276" t="s">
        <v>6665</v>
      </c>
    </row>
    <row r="9" spans="1:46">
      <c r="B9" s="96"/>
      <c r="C9" s="96"/>
      <c r="D9" s="96"/>
      <c r="E9" s="96"/>
      <c r="F9" s="9"/>
      <c r="G9" s="27"/>
      <c r="H9" s="56"/>
      <c r="I9" s="31"/>
      <c r="J9" s="364"/>
      <c r="K9" s="364"/>
      <c r="L9" s="364"/>
      <c r="M9" s="364"/>
      <c r="N9" s="364"/>
      <c r="P9" s="83"/>
      <c r="Q9" s="326"/>
      <c r="T9" s="338"/>
      <c r="U9" s="330"/>
      <c r="V9" s="377"/>
      <c r="W9" s="11"/>
      <c r="X9" s="71"/>
      <c r="Y9" s="29"/>
      <c r="Z9" s="18"/>
      <c r="AA9" s="15"/>
      <c r="AB9" s="22"/>
      <c r="AC9" s="26"/>
      <c r="AD9" s="31"/>
      <c r="AE9" s="56"/>
      <c r="AF9" s="114"/>
      <c r="AG9" s="33"/>
      <c r="AH9" s="262"/>
      <c r="AI9" s="284"/>
      <c r="AK9" s="131"/>
      <c r="AL9" s="264"/>
    </row>
    <row r="10" spans="1:46">
      <c r="AI10" s="131"/>
    </row>
    <row r="11" spans="1:46">
      <c r="AI11" s="131"/>
    </row>
    <row r="12" spans="1:46">
      <c r="AI12" s="131"/>
    </row>
    <row r="13" spans="1:46">
      <c r="AI13" s="131"/>
    </row>
    <row r="14" spans="1:46">
      <c r="AI14" s="131"/>
    </row>
    <row r="15" spans="1:46">
      <c r="AI15" s="131"/>
    </row>
    <row r="16" spans="1:46">
      <c r="AI16" s="128"/>
    </row>
    <row r="17" spans="35:35">
      <c r="AI17" s="131"/>
    </row>
    <row r="18" spans="35:35">
      <c r="AI18" s="284"/>
    </row>
    <row r="19" spans="35:35">
      <c r="AI19" s="131"/>
    </row>
    <row r="20" spans="35:35">
      <c r="AI20" s="131"/>
    </row>
    <row r="21" spans="35:35">
      <c r="AI21" s="284"/>
    </row>
    <row r="22" spans="35:35">
      <c r="AI22" s="131"/>
    </row>
    <row r="23" spans="35:35">
      <c r="AI23" s="131"/>
    </row>
    <row r="24" spans="35:35">
      <c r="AI24" s="131"/>
    </row>
    <row r="25" spans="35:35">
      <c r="AI25" s="131"/>
    </row>
    <row r="26" spans="35:35">
      <c r="AI26" s="131"/>
    </row>
    <row r="27" spans="35:35">
      <c r="AI27" s="284"/>
    </row>
    <row r="30" spans="35:35">
      <c r="AI30" s="284"/>
    </row>
    <row r="31" spans="35:35">
      <c r="AI31" s="131"/>
    </row>
    <row r="32" spans="35:35">
      <c r="AI32" s="131"/>
    </row>
    <row r="33" spans="35:35">
      <c r="AI33" s="131"/>
    </row>
    <row r="34" spans="35:35">
      <c r="AI34" s="131"/>
    </row>
    <row r="35" spans="35:35">
      <c r="AI35" s="131"/>
    </row>
    <row r="36" spans="35:35">
      <c r="AI36" s="284"/>
    </row>
    <row r="37" spans="35:35">
      <c r="AI37" s="131"/>
    </row>
    <row r="38" spans="35:35">
      <c r="AI38" s="131"/>
    </row>
    <row r="39" spans="35:35">
      <c r="AI39" s="131"/>
    </row>
    <row r="40" spans="35:35">
      <c r="AI40" s="131"/>
    </row>
    <row r="41" spans="35:35">
      <c r="AI41" s="284"/>
    </row>
    <row r="42" spans="35:35">
      <c r="AI42" s="131"/>
    </row>
    <row r="43" spans="35:35">
      <c r="AI43" s="131"/>
    </row>
    <row r="44" spans="35:35">
      <c r="AI44" s="131"/>
    </row>
    <row r="45" spans="35:35">
      <c r="AI45" s="284"/>
    </row>
    <row r="46" spans="35:35">
      <c r="AI46" s="131"/>
    </row>
    <row r="47" spans="35:35">
      <c r="AI47" s="131"/>
    </row>
    <row r="48" spans="35:35">
      <c r="AI48" s="131"/>
    </row>
    <row r="49" spans="35:35">
      <c r="AI49" s="131"/>
    </row>
    <row r="50" spans="35:35">
      <c r="AI50" s="131"/>
    </row>
    <row r="51" spans="35:35">
      <c r="AI51" s="284"/>
    </row>
    <row r="52" spans="35:35">
      <c r="AI52" s="284"/>
    </row>
    <row r="53" spans="35:35">
      <c r="AI53" s="131"/>
    </row>
    <row r="54" spans="35:35">
      <c r="AI54" s="131"/>
    </row>
    <row r="55" spans="35:35">
      <c r="AI55" s="131"/>
    </row>
    <row r="56" spans="35:35">
      <c r="AI56" s="131"/>
    </row>
    <row r="57" spans="35:35">
      <c r="AI57" s="131"/>
    </row>
    <row r="58" spans="35:35">
      <c r="AI58" s="131"/>
    </row>
    <row r="59" spans="35:35">
      <c r="AI59" s="131"/>
    </row>
    <row r="60" spans="35:35">
      <c r="AI60" s="131"/>
    </row>
    <row r="61" spans="35:35">
      <c r="AI61" s="131"/>
    </row>
    <row r="63" spans="35:35">
      <c r="AI63" s="131"/>
    </row>
    <row r="64" spans="35:35">
      <c r="AI64" s="131"/>
    </row>
    <row r="65" spans="35:35">
      <c r="AI65" s="131"/>
    </row>
    <row r="66" spans="35:35">
      <c r="AI66" s="284"/>
    </row>
    <row r="67" spans="35:35">
      <c r="AI67" s="131"/>
    </row>
    <row r="68" spans="35:35">
      <c r="AI68" s="284"/>
    </row>
    <row r="69" spans="35:35">
      <c r="AI69" s="131"/>
    </row>
    <row r="70" spans="35:35">
      <c r="AI70" s="284"/>
    </row>
    <row r="71" spans="35:35">
      <c r="AI71" s="131"/>
    </row>
    <row r="72" spans="35:35">
      <c r="AI72" s="131"/>
    </row>
    <row r="73" spans="35:35">
      <c r="AI73" s="131"/>
    </row>
    <row r="74" spans="35:35">
      <c r="AI74" s="131"/>
    </row>
    <row r="75" spans="35:35">
      <c r="AI75" s="131"/>
    </row>
    <row r="76" spans="35:35">
      <c r="AI76" s="131"/>
    </row>
    <row r="77" spans="35:35">
      <c r="AI77" s="131"/>
    </row>
    <row r="78" spans="35:35">
      <c r="AI78" s="131"/>
    </row>
    <row r="79" spans="35:35">
      <c r="AI79" s="131"/>
    </row>
    <row r="80" spans="35:35">
      <c r="AI80" s="284"/>
    </row>
    <row r="81" spans="35:35">
      <c r="AI81" s="131"/>
    </row>
    <row r="82" spans="35:35">
      <c r="AI82" s="131"/>
    </row>
    <row r="83" spans="35:35">
      <c r="AI83" s="131"/>
    </row>
    <row r="84" spans="35:35">
      <c r="AI84" s="131"/>
    </row>
    <row r="85" spans="35:35">
      <c r="AI85" s="131"/>
    </row>
    <row r="86" spans="35:35">
      <c r="AI86" s="284"/>
    </row>
    <row r="87" spans="35:35">
      <c r="AI87" s="131"/>
    </row>
    <row r="88" spans="35:35">
      <c r="AI88" s="131"/>
    </row>
    <row r="89" spans="35:35">
      <c r="AI89" s="284"/>
    </row>
    <row r="90" spans="35:35">
      <c r="AI90" s="131"/>
    </row>
    <row r="91" spans="35:35">
      <c r="AI91" s="131"/>
    </row>
    <row r="92" spans="35:35">
      <c r="AI92" s="131"/>
    </row>
    <row r="93" spans="35:35">
      <c r="AI93" s="131"/>
    </row>
    <row r="94" spans="35:35">
      <c r="AI94" s="131"/>
    </row>
    <row r="95" spans="35:35">
      <c r="AI95" s="131"/>
    </row>
    <row r="96" spans="35:35">
      <c r="AI96" s="131"/>
    </row>
    <row r="97" spans="35:35">
      <c r="AI97" s="131"/>
    </row>
    <row r="98" spans="35:35">
      <c r="AI98" s="131"/>
    </row>
    <row r="99" spans="35:35">
      <c r="AI99" s="131"/>
    </row>
    <row r="100" spans="35:35">
      <c r="AI100" s="131"/>
    </row>
    <row r="101" spans="35:35">
      <c r="AI101" s="131"/>
    </row>
    <row r="102" spans="35:35">
      <c r="AI102" s="131"/>
    </row>
    <row r="103" spans="35:35">
      <c r="AI103" s="131"/>
    </row>
    <row r="104" spans="35:35">
      <c r="AI104" s="131"/>
    </row>
    <row r="105" spans="35:35">
      <c r="AI105" s="131"/>
    </row>
    <row r="106" spans="35:35">
      <c r="AI106" s="131"/>
    </row>
    <row r="107" spans="35:35">
      <c r="AI107" s="131"/>
    </row>
    <row r="108" spans="35:35">
      <c r="AI108" s="131"/>
    </row>
    <row r="109" spans="35:35">
      <c r="AI109" s="131"/>
    </row>
    <row r="110" spans="35:35">
      <c r="AI110" s="131"/>
    </row>
    <row r="111" spans="35:35">
      <c r="AI111" s="131"/>
    </row>
    <row r="112" spans="35:35">
      <c r="AI112" s="131"/>
    </row>
    <row r="113" spans="35:35">
      <c r="AI113" s="131"/>
    </row>
    <row r="114" spans="35:35">
      <c r="AI114" s="131"/>
    </row>
    <row r="115" spans="35:35">
      <c r="AI115" s="131"/>
    </row>
    <row r="116" spans="35:35">
      <c r="AI116" s="131"/>
    </row>
    <row r="117" spans="35:35">
      <c r="AI117" s="131"/>
    </row>
    <row r="118" spans="35:35">
      <c r="AI118" s="131"/>
    </row>
    <row r="119" spans="35:35">
      <c r="AI119" s="131"/>
    </row>
    <row r="120" spans="35:35">
      <c r="AI120" s="131"/>
    </row>
    <row r="121" spans="35:35">
      <c r="AI121" s="131"/>
    </row>
    <row r="122" spans="35:35">
      <c r="AI122" s="131"/>
    </row>
    <row r="123" spans="35:35">
      <c r="AI123" s="131"/>
    </row>
    <row r="124" spans="35:35">
      <c r="AI124" s="131"/>
    </row>
    <row r="125" spans="35:35">
      <c r="AI125" s="131"/>
    </row>
    <row r="126" spans="35:35">
      <c r="AI126" s="284"/>
    </row>
    <row r="127" spans="35:35">
      <c r="AI127" s="131"/>
    </row>
    <row r="128" spans="35:35">
      <c r="AI128" s="131"/>
    </row>
    <row r="129" spans="35:35">
      <c r="AI129" s="131"/>
    </row>
    <row r="130" spans="35:35">
      <c r="AI130" s="131"/>
    </row>
    <row r="131" spans="35:35">
      <c r="AI131" s="131"/>
    </row>
    <row r="132" spans="35:35">
      <c r="AI132" s="131"/>
    </row>
    <row r="133" spans="35:35">
      <c r="AI133" s="131"/>
    </row>
    <row r="134" spans="35:35">
      <c r="AI134" s="131"/>
    </row>
    <row r="135" spans="35:35">
      <c r="AI135" s="131"/>
    </row>
    <row r="136" spans="35:35">
      <c r="AI136" s="131"/>
    </row>
    <row r="137" spans="35:35">
      <c r="AI137" s="131"/>
    </row>
    <row r="138" spans="35:35">
      <c r="AI138" s="131"/>
    </row>
    <row r="139" spans="35:35">
      <c r="AI139" s="131"/>
    </row>
    <row r="140" spans="35:35">
      <c r="AI140" s="131"/>
    </row>
    <row r="141" spans="35:35">
      <c r="AI141" s="131"/>
    </row>
    <row r="142" spans="35:35">
      <c r="AI142" s="131"/>
    </row>
    <row r="143" spans="35:35">
      <c r="AI143" s="131"/>
    </row>
    <row r="144" spans="35:35">
      <c r="AI144" s="131"/>
    </row>
    <row r="145" spans="35:35">
      <c r="AI145" s="131"/>
    </row>
    <row r="146" spans="35:35">
      <c r="AI146" s="131"/>
    </row>
    <row r="147" spans="35:35">
      <c r="AI147" s="131"/>
    </row>
    <row r="148" spans="35:35">
      <c r="AI148" s="131"/>
    </row>
    <row r="149" spans="35:35">
      <c r="AI149" s="131"/>
    </row>
    <row r="150" spans="35:35">
      <c r="AI150" s="131"/>
    </row>
    <row r="151" spans="35:35">
      <c r="AI151" s="131"/>
    </row>
    <row r="152" spans="35:35">
      <c r="AI152" s="131"/>
    </row>
    <row r="153" spans="35:35">
      <c r="AI153" s="131"/>
    </row>
    <row r="154" spans="35:35">
      <c r="AI154" s="131"/>
    </row>
    <row r="156" spans="35:35">
      <c r="AI156" s="131"/>
    </row>
    <row r="157" spans="35:35">
      <c r="AI157" s="131"/>
    </row>
    <row r="158" spans="35:35">
      <c r="AI158" s="131"/>
    </row>
    <row r="159" spans="35:35">
      <c r="AI159" s="131"/>
    </row>
    <row r="160" spans="35:35">
      <c r="AI160" s="131"/>
    </row>
    <row r="162" spans="35:35">
      <c r="AI162" s="131"/>
    </row>
    <row r="163" spans="35:35">
      <c r="AI163" s="131"/>
    </row>
    <row r="164" spans="35:35">
      <c r="AI164" s="131"/>
    </row>
    <row r="165" spans="35:35">
      <c r="AI165" s="131"/>
    </row>
    <row r="166" spans="35:35">
      <c r="AI166" s="131"/>
    </row>
    <row r="167" spans="35:35">
      <c r="AI167" s="131"/>
    </row>
    <row r="168" spans="35:35">
      <c r="AI168" s="131"/>
    </row>
    <row r="169" spans="35:35">
      <c r="AI169" s="131"/>
    </row>
    <row r="170" spans="35:35">
      <c r="AI170" s="131"/>
    </row>
    <row r="171" spans="35:35">
      <c r="AI171" s="131"/>
    </row>
    <row r="172" spans="35:35">
      <c r="AI172" s="131"/>
    </row>
    <row r="173" spans="35:35">
      <c r="AI173" s="284"/>
    </row>
    <row r="174" spans="35:35">
      <c r="AI174" s="131"/>
    </row>
    <row r="176" spans="35:35">
      <c r="AI176" s="131"/>
    </row>
    <row r="177" spans="35:35">
      <c r="AI177" s="131"/>
    </row>
    <row r="178" spans="35:35">
      <c r="AI178" s="131"/>
    </row>
    <row r="179" spans="35:35">
      <c r="AI179" s="131"/>
    </row>
    <row r="180" spans="35:35">
      <c r="AI180" s="131"/>
    </row>
    <row r="181" spans="35:35">
      <c r="AI181" s="131"/>
    </row>
    <row r="182" spans="35:35">
      <c r="AI182" s="131"/>
    </row>
    <row r="183" spans="35:35">
      <c r="AI183" s="131"/>
    </row>
    <row r="184" spans="35:35">
      <c r="AI184" s="131"/>
    </row>
    <row r="185" spans="35:35">
      <c r="AI185" s="131"/>
    </row>
    <row r="186" spans="35:35">
      <c r="AI186" s="131"/>
    </row>
    <row r="188" spans="35:35">
      <c r="AI188" s="131"/>
    </row>
    <row r="189" spans="35:35">
      <c r="AI189" s="131"/>
    </row>
    <row r="190" spans="35:35">
      <c r="AI190" s="131"/>
    </row>
    <row r="191" spans="35:35">
      <c r="AI191" s="131"/>
    </row>
    <row r="192" spans="35:35">
      <c r="AI192" s="131"/>
    </row>
    <row r="193" spans="35:35">
      <c r="AI193" s="131"/>
    </row>
    <row r="194" spans="35:35">
      <c r="AI194" s="131"/>
    </row>
    <row r="195" spans="35:35">
      <c r="AI195" s="131"/>
    </row>
    <row r="196" spans="35:35">
      <c r="AI196" s="131"/>
    </row>
    <row r="197" spans="35:35">
      <c r="AI197" s="131"/>
    </row>
    <row r="198" spans="35:35">
      <c r="AI198" s="131"/>
    </row>
    <row r="199" spans="35:35">
      <c r="AI199" s="131"/>
    </row>
    <row r="200" spans="35:35">
      <c r="AI200" s="131"/>
    </row>
    <row r="201" spans="35:35">
      <c r="AI201" s="131"/>
    </row>
    <row r="202" spans="35:35">
      <c r="AI202" s="131"/>
    </row>
    <row r="203" spans="35:35">
      <c r="AI203" s="131"/>
    </row>
    <row r="204" spans="35:35">
      <c r="AI204" s="131"/>
    </row>
    <row r="205" spans="35:35">
      <c r="AI205" s="131"/>
    </row>
    <row r="206" spans="35:35">
      <c r="AI206" s="131"/>
    </row>
    <row r="207" spans="35:35">
      <c r="AI207" s="131"/>
    </row>
    <row r="208" spans="35:35">
      <c r="AI208" s="131"/>
    </row>
    <row r="209" spans="35:35">
      <c r="AI209" s="131"/>
    </row>
    <row r="210" spans="35:35">
      <c r="AI210" s="131"/>
    </row>
    <row r="211" spans="35:35">
      <c r="AI211" s="131"/>
    </row>
    <row r="212" spans="35:35">
      <c r="AI212" s="131"/>
    </row>
    <row r="213" spans="35:35">
      <c r="AI213" s="131"/>
    </row>
    <row r="214" spans="35:35">
      <c r="AI214" s="131"/>
    </row>
    <row r="215" spans="35:35">
      <c r="AI215" s="131"/>
    </row>
    <row r="216" spans="35:35">
      <c r="AI216" s="131"/>
    </row>
    <row r="217" spans="35:35">
      <c r="AI217" s="131"/>
    </row>
    <row r="218" spans="35:35">
      <c r="AI218" s="131"/>
    </row>
    <row r="219" spans="35:35">
      <c r="AI219" s="131"/>
    </row>
    <row r="220" spans="35:35">
      <c r="AI220" s="131"/>
    </row>
    <row r="221" spans="35:35">
      <c r="AI221" s="131"/>
    </row>
    <row r="222" spans="35:35">
      <c r="AI222" s="131"/>
    </row>
    <row r="223" spans="35:35">
      <c r="AI223" s="131"/>
    </row>
    <row r="224" spans="35:35">
      <c r="AI224" s="131"/>
    </row>
    <row r="225" spans="35:35">
      <c r="AI225" s="131"/>
    </row>
    <row r="226" spans="35:35">
      <c r="AI226" s="131"/>
    </row>
    <row r="227" spans="35:35">
      <c r="AI227" s="131"/>
    </row>
    <row r="228" spans="35:35">
      <c r="AI228" s="131"/>
    </row>
    <row r="229" spans="35:35">
      <c r="AI229" s="131"/>
    </row>
    <row r="230" spans="35:35">
      <c r="AI230" s="131"/>
    </row>
    <row r="231" spans="35:35">
      <c r="AI231" s="131"/>
    </row>
    <row r="232" spans="35:35">
      <c r="AI232" s="131"/>
    </row>
    <row r="233" spans="35:35">
      <c r="AI233" s="131"/>
    </row>
    <row r="234" spans="35:35">
      <c r="AI234" s="131"/>
    </row>
    <row r="235" spans="35:35">
      <c r="AI235" s="131"/>
    </row>
    <row r="236" spans="35:35">
      <c r="AI236" s="131"/>
    </row>
    <row r="237" spans="35:35">
      <c r="AI237" s="131"/>
    </row>
    <row r="238" spans="35:35">
      <c r="AI238" s="131"/>
    </row>
    <row r="239" spans="35:35">
      <c r="AI239" s="131"/>
    </row>
    <row r="240" spans="35:35">
      <c r="AI240" s="131"/>
    </row>
    <row r="241" spans="35:35">
      <c r="AI241" s="131"/>
    </row>
    <row r="242" spans="35:35">
      <c r="AI242" s="131"/>
    </row>
    <row r="243" spans="35:35">
      <c r="AI243" s="131"/>
    </row>
    <row r="244" spans="35:35">
      <c r="AI244" s="131"/>
    </row>
    <row r="245" spans="35:35">
      <c r="AI245" s="131"/>
    </row>
    <row r="246" spans="35:35">
      <c r="AI246" s="131"/>
    </row>
    <row r="247" spans="35:35">
      <c r="AI247" s="131"/>
    </row>
    <row r="248" spans="35:35">
      <c r="AI248" s="131"/>
    </row>
    <row r="249" spans="35:35">
      <c r="AI249" s="284"/>
    </row>
    <row r="250" spans="35:35">
      <c r="AI250" s="131"/>
    </row>
    <row r="251" spans="35:35">
      <c r="AI251" s="131"/>
    </row>
    <row r="252" spans="35:35">
      <c r="AI252" s="131"/>
    </row>
    <row r="253" spans="35:35">
      <c r="AI253" s="131"/>
    </row>
    <row r="254" spans="35:35">
      <c r="AI254" s="131"/>
    </row>
    <row r="255" spans="35:35">
      <c r="AI255" s="131"/>
    </row>
    <row r="256" spans="35:35">
      <c r="AI256" s="131"/>
    </row>
    <row r="257" spans="35:35">
      <c r="AI257" s="52"/>
    </row>
    <row r="258" spans="35:35">
      <c r="AI258" s="131"/>
    </row>
    <row r="259" spans="35:35">
      <c r="AI259" s="131"/>
    </row>
    <row r="260" spans="35:35">
      <c r="AI260" s="131"/>
    </row>
    <row r="261" spans="35:35">
      <c r="AI261" s="131"/>
    </row>
    <row r="262" spans="35:35">
      <c r="AI262" s="131"/>
    </row>
    <row r="263" spans="35:35">
      <c r="AI263" s="131"/>
    </row>
    <row r="264" spans="35:35">
      <c r="AI264" s="131"/>
    </row>
    <row r="265" spans="35:35">
      <c r="AI265" s="131"/>
    </row>
    <row r="266" spans="35:35">
      <c r="AI266" s="131"/>
    </row>
    <row r="267" spans="35:35">
      <c r="AI267" s="131"/>
    </row>
    <row r="268" spans="35:35">
      <c r="AI268" s="131"/>
    </row>
    <row r="269" spans="35:35">
      <c r="AI269" s="131"/>
    </row>
    <row r="270" spans="35:35">
      <c r="AI270" s="131"/>
    </row>
    <row r="271" spans="35:35">
      <c r="AI271" s="131"/>
    </row>
    <row r="272" spans="35:35">
      <c r="AI272" s="131"/>
    </row>
    <row r="273" spans="35:35">
      <c r="AI273" s="131"/>
    </row>
    <row r="274" spans="35:35">
      <c r="AI274" s="131"/>
    </row>
    <row r="275" spans="35:35">
      <c r="AI275" s="131"/>
    </row>
    <row r="276" spans="35:35">
      <c r="AI276" s="131"/>
    </row>
    <row r="277" spans="35:35">
      <c r="AI277" s="131"/>
    </row>
    <row r="278" spans="35:35">
      <c r="AI278" s="131"/>
    </row>
    <row r="279" spans="35:35">
      <c r="AI279" s="131"/>
    </row>
    <row r="280" spans="35:35">
      <c r="AI280" s="131"/>
    </row>
    <row r="281" spans="35:35">
      <c r="AI281" s="131"/>
    </row>
    <row r="282" spans="35:35">
      <c r="AI282" s="131"/>
    </row>
    <row r="283" spans="35:35">
      <c r="AI283" s="131"/>
    </row>
    <row r="284" spans="35:35">
      <c r="AI284" s="131"/>
    </row>
    <row r="285" spans="35:35">
      <c r="AI285" s="131"/>
    </row>
    <row r="286" spans="35:35">
      <c r="AI286" s="131"/>
    </row>
    <row r="287" spans="35:35">
      <c r="AI287" s="284"/>
    </row>
    <row r="288" spans="35:35">
      <c r="AI288" s="131"/>
    </row>
    <row r="290" spans="35:35">
      <c r="AI290" s="131"/>
    </row>
    <row r="291" spans="35:35">
      <c r="AI291" s="131"/>
    </row>
    <row r="292" spans="35:35">
      <c r="AI292" s="131"/>
    </row>
    <row r="293" spans="35:35">
      <c r="AI293" s="131"/>
    </row>
    <row r="294" spans="35:35">
      <c r="AI294" s="131"/>
    </row>
    <row r="295" spans="35:35">
      <c r="AI295" s="131"/>
    </row>
    <row r="296" spans="35:35">
      <c r="AI296" s="131"/>
    </row>
    <row r="297" spans="35:35">
      <c r="AI297" s="131"/>
    </row>
    <row r="298" spans="35:35">
      <c r="AI298" s="131"/>
    </row>
    <row r="299" spans="35:35">
      <c r="AI299" s="131"/>
    </row>
    <row r="300" spans="35:35">
      <c r="AI300" s="131"/>
    </row>
    <row r="301" spans="35:35">
      <c r="AI301" s="131"/>
    </row>
    <row r="302" spans="35:35">
      <c r="AI302" s="131"/>
    </row>
    <row r="303" spans="35:35">
      <c r="AI303" s="131"/>
    </row>
    <row r="304" spans="35:35">
      <c r="AI304" s="131"/>
    </row>
    <row r="305" spans="35:35">
      <c r="AI305" s="284"/>
    </row>
    <row r="306" spans="35:35">
      <c r="AI306" s="131"/>
    </row>
    <row r="307" spans="35:35">
      <c r="AI307" s="131"/>
    </row>
    <row r="308" spans="35:35">
      <c r="AI308" s="131"/>
    </row>
    <row r="309" spans="35:35">
      <c r="AI309" s="131"/>
    </row>
    <row r="310" spans="35:35">
      <c r="AI310" s="131"/>
    </row>
    <row r="311" spans="35:35">
      <c r="AI311" s="131"/>
    </row>
    <row r="312" spans="35:35">
      <c r="AI312" s="131"/>
    </row>
    <row r="313" spans="35:35">
      <c r="AI313" s="131"/>
    </row>
    <row r="314" spans="35:35">
      <c r="AI314" s="131"/>
    </row>
    <row r="315" spans="35:35">
      <c r="AI315" s="131"/>
    </row>
    <row r="316" spans="35:35">
      <c r="AI316" s="131"/>
    </row>
    <row r="317" spans="35:35">
      <c r="AI317" s="131"/>
    </row>
    <row r="318" spans="35:35">
      <c r="AI318" s="131"/>
    </row>
    <row r="319" spans="35:35">
      <c r="AI319" s="131"/>
    </row>
    <row r="320" spans="35:35">
      <c r="AI320" s="131"/>
    </row>
    <row r="321" spans="35:35">
      <c r="AI321" s="131"/>
    </row>
    <row r="322" spans="35:35">
      <c r="AI322" s="131"/>
    </row>
    <row r="323" spans="35:35">
      <c r="AI323" s="131"/>
    </row>
    <row r="324" spans="35:35">
      <c r="AI324" s="131"/>
    </row>
    <row r="325" spans="35:35">
      <c r="AI325" s="131"/>
    </row>
    <row r="326" spans="35:35">
      <c r="AI326" s="131"/>
    </row>
    <row r="327" spans="35:35">
      <c r="AI327" s="131"/>
    </row>
    <row r="328" spans="35:35">
      <c r="AI328" s="131"/>
    </row>
    <row r="329" spans="35:35">
      <c r="AI329" s="131"/>
    </row>
    <row r="330" spans="35:35">
      <c r="AI330" s="131"/>
    </row>
    <row r="331" spans="35:35">
      <c r="AI331" s="131"/>
    </row>
    <row r="332" spans="35:35">
      <c r="AI332" s="131"/>
    </row>
    <row r="333" spans="35:35">
      <c r="AI333" s="284"/>
    </row>
    <row r="334" spans="35:35">
      <c r="AI334" s="131"/>
    </row>
    <row r="335" spans="35:35">
      <c r="AI335" s="131"/>
    </row>
    <row r="336" spans="35:35">
      <c r="AI336" s="131"/>
    </row>
    <row r="337" spans="35:35">
      <c r="AI337" s="131"/>
    </row>
    <row r="338" spans="35:35">
      <c r="AI338" s="131"/>
    </row>
    <row r="339" spans="35:35">
      <c r="AI339" s="131"/>
    </row>
    <row r="340" spans="35:35">
      <c r="AI340" s="131"/>
    </row>
    <row r="341" spans="35:35">
      <c r="AI341" s="131"/>
    </row>
    <row r="342" spans="35:35">
      <c r="AI342" s="131"/>
    </row>
    <row r="343" spans="35:35">
      <c r="AI343" s="131"/>
    </row>
    <row r="344" spans="35:35">
      <c r="AI344" s="131"/>
    </row>
    <row r="345" spans="35:35">
      <c r="AI345" s="131"/>
    </row>
    <row r="346" spans="35:35">
      <c r="AI346" s="131"/>
    </row>
    <row r="347" spans="35:35">
      <c r="AI347" s="131"/>
    </row>
    <row r="348" spans="35:35">
      <c r="AI348" s="131"/>
    </row>
    <row r="349" spans="35:35">
      <c r="AI349" s="131"/>
    </row>
    <row r="350" spans="35:35">
      <c r="AI350" s="131"/>
    </row>
    <row r="351" spans="35:35">
      <c r="AI351" s="284"/>
    </row>
    <row r="352" spans="35:35">
      <c r="AI352" s="131"/>
    </row>
    <row r="353" spans="35:35">
      <c r="AI353" s="284"/>
    </row>
    <row r="354" spans="35:35">
      <c r="AI354" s="131"/>
    </row>
    <row r="355" spans="35:35">
      <c r="AI355" s="131"/>
    </row>
    <row r="356" spans="35:35">
      <c r="AI356" s="131"/>
    </row>
    <row r="357" spans="35:35">
      <c r="AI357" s="131"/>
    </row>
    <row r="358" spans="35:35">
      <c r="AI358" s="131"/>
    </row>
    <row r="359" spans="35:35">
      <c r="AI359" s="131"/>
    </row>
    <row r="360" spans="35:35">
      <c r="AI360" s="131"/>
    </row>
    <row r="361" spans="35:35">
      <c r="AI361" s="131"/>
    </row>
    <row r="362" spans="35:35">
      <c r="AI362" s="131"/>
    </row>
    <row r="363" spans="35:35">
      <c r="AI363" s="131"/>
    </row>
    <row r="364" spans="35:35">
      <c r="AI364" s="131"/>
    </row>
    <row r="365" spans="35:35">
      <c r="AI365" s="131"/>
    </row>
    <row r="366" spans="35:35">
      <c r="AI366" s="131"/>
    </row>
    <row r="367" spans="35:35">
      <c r="AI367" s="131"/>
    </row>
    <row r="368" spans="35:35">
      <c r="AI368" s="131"/>
    </row>
    <row r="369" spans="35:35">
      <c r="AI369" s="131"/>
    </row>
    <row r="370" spans="35:35">
      <c r="AI370" s="131"/>
    </row>
    <row r="371" spans="35:35">
      <c r="AI371" s="131"/>
    </row>
    <row r="372" spans="35:35">
      <c r="AI372" s="131"/>
    </row>
    <row r="373" spans="35:35">
      <c r="AI373" s="131"/>
    </row>
    <row r="374" spans="35:35">
      <c r="AI374" s="131"/>
    </row>
    <row r="375" spans="35:35">
      <c r="AI375" s="131"/>
    </row>
    <row r="376" spans="35:35">
      <c r="AI376" s="131"/>
    </row>
    <row r="377" spans="35:35">
      <c r="AI377" s="131"/>
    </row>
    <row r="378" spans="35:35">
      <c r="AI378" s="131"/>
    </row>
    <row r="379" spans="35:35">
      <c r="AI379" s="131"/>
    </row>
    <row r="380" spans="35:35">
      <c r="AI380" s="131"/>
    </row>
    <row r="381" spans="35:35">
      <c r="AI381" s="131"/>
    </row>
    <row r="382" spans="35:35">
      <c r="AI382" s="131"/>
    </row>
    <row r="383" spans="35:35">
      <c r="AI383" s="131"/>
    </row>
    <row r="384" spans="35:35">
      <c r="AI384" s="131"/>
    </row>
    <row r="385" spans="35:35">
      <c r="AI385" s="131"/>
    </row>
    <row r="386" spans="35:35">
      <c r="AI386" s="131"/>
    </row>
    <row r="387" spans="35:35">
      <c r="AI387" s="131"/>
    </row>
    <row r="388" spans="35:35">
      <c r="AI388" s="284"/>
    </row>
    <row r="389" spans="35:35">
      <c r="AI389" s="131"/>
    </row>
    <row r="390" spans="35:35">
      <c r="AI390" s="131"/>
    </row>
    <row r="391" spans="35:35">
      <c r="AI391" s="131"/>
    </row>
    <row r="392" spans="35:35">
      <c r="AI392" s="131"/>
    </row>
    <row r="393" spans="35:35">
      <c r="AI393" s="131"/>
    </row>
    <row r="394" spans="35:35">
      <c r="AI394" s="131"/>
    </row>
    <row r="395" spans="35:35">
      <c r="AI395" s="131"/>
    </row>
    <row r="396" spans="35:35">
      <c r="AI396" s="131"/>
    </row>
    <row r="397" spans="35:35">
      <c r="AI397" s="131"/>
    </row>
    <row r="398" spans="35:35">
      <c r="AI398" s="131"/>
    </row>
    <row r="399" spans="35:35">
      <c r="AI399" s="131"/>
    </row>
    <row r="400" spans="35:35">
      <c r="AI400" s="131"/>
    </row>
    <row r="401" spans="35:35">
      <c r="AI401" s="131"/>
    </row>
    <row r="402" spans="35:35">
      <c r="AI402" s="131"/>
    </row>
    <row r="403" spans="35:35">
      <c r="AI403" s="131"/>
    </row>
    <row r="404" spans="35:35">
      <c r="AI404" s="131"/>
    </row>
    <row r="405" spans="35:35">
      <c r="AI405" s="131"/>
    </row>
    <row r="406" spans="35:35">
      <c r="AI406" s="131"/>
    </row>
    <row r="407" spans="35:35">
      <c r="AI407" s="131"/>
    </row>
    <row r="408" spans="35:35">
      <c r="AI408" s="131"/>
    </row>
    <row r="409" spans="35:35">
      <c r="AI409" s="131"/>
    </row>
    <row r="410" spans="35:35">
      <c r="AI410" s="131"/>
    </row>
    <row r="411" spans="35:35">
      <c r="AI411" s="131"/>
    </row>
    <row r="412" spans="35:35">
      <c r="AI412" s="131"/>
    </row>
    <row r="413" spans="35:35">
      <c r="AI413" s="131"/>
    </row>
    <row r="414" spans="35:35">
      <c r="AI414" s="131"/>
    </row>
    <row r="415" spans="35:35">
      <c r="AI415" s="131"/>
    </row>
    <row r="416" spans="35:35">
      <c r="AI416" s="131"/>
    </row>
    <row r="417" spans="35:35">
      <c r="AI417" s="131"/>
    </row>
    <row r="418" spans="35:35">
      <c r="AI418" s="131"/>
    </row>
    <row r="419" spans="35:35">
      <c r="AI419" s="131"/>
    </row>
    <row r="420" spans="35:35">
      <c r="AI420" s="131"/>
    </row>
    <row r="421" spans="35:35">
      <c r="AI421" s="131"/>
    </row>
    <row r="422" spans="35:35">
      <c r="AI422" s="131"/>
    </row>
    <row r="423" spans="35:35">
      <c r="AI423" s="131"/>
    </row>
    <row r="424" spans="35:35">
      <c r="AI424" s="131"/>
    </row>
    <row r="425" spans="35:35">
      <c r="AI425" s="131"/>
    </row>
    <row r="426" spans="35:35">
      <c r="AI426" s="131"/>
    </row>
    <row r="427" spans="35:35">
      <c r="AI427" s="131"/>
    </row>
    <row r="428" spans="35:35">
      <c r="AI428" s="131"/>
    </row>
    <row r="429" spans="35:35">
      <c r="AI429" s="131"/>
    </row>
    <row r="430" spans="35:35">
      <c r="AI430" s="131"/>
    </row>
    <row r="431" spans="35:35">
      <c r="AI431" s="131"/>
    </row>
    <row r="432" spans="35:35">
      <c r="AI432" s="131"/>
    </row>
    <row r="433" spans="35:35">
      <c r="AI433" s="286"/>
    </row>
    <row r="434" spans="35:35">
      <c r="AI434" s="131"/>
    </row>
    <row r="435" spans="35:35">
      <c r="AI435" s="131"/>
    </row>
    <row r="436" spans="35:35">
      <c r="AI436" s="131"/>
    </row>
    <row r="437" spans="35:35">
      <c r="AI437" s="131"/>
    </row>
    <row r="438" spans="35:35">
      <c r="AI438" s="131"/>
    </row>
    <row r="439" spans="35:35">
      <c r="AI439" s="131"/>
    </row>
    <row r="440" spans="35:35">
      <c r="AI440" s="131"/>
    </row>
    <row r="441" spans="35:35">
      <c r="AI441" s="131"/>
    </row>
    <row r="442" spans="35:35">
      <c r="AI442" s="131"/>
    </row>
    <row r="443" spans="35:35">
      <c r="AI443" s="131"/>
    </row>
    <row r="444" spans="35:35">
      <c r="AI444" s="131"/>
    </row>
    <row r="445" spans="35:35">
      <c r="AI445" s="131"/>
    </row>
    <row r="446" spans="35:35">
      <c r="AI446" s="131"/>
    </row>
    <row r="447" spans="35:35">
      <c r="AI447" s="131"/>
    </row>
    <row r="448" spans="35:35">
      <c r="AI448" s="131"/>
    </row>
    <row r="449" spans="35:35">
      <c r="AI449" s="131"/>
    </row>
    <row r="450" spans="35:35">
      <c r="AI450" s="131"/>
    </row>
    <row r="451" spans="35:35">
      <c r="AI451" s="131"/>
    </row>
    <row r="452" spans="35:35">
      <c r="AI452" s="131"/>
    </row>
    <row r="453" spans="35:35">
      <c r="AI453" s="131"/>
    </row>
    <row r="454" spans="35:35">
      <c r="AI454" s="131"/>
    </row>
    <row r="455" spans="35:35">
      <c r="AI455" s="131"/>
    </row>
    <row r="456" spans="35:35">
      <c r="AI456" s="131"/>
    </row>
    <row r="457" spans="35:35">
      <c r="AI457" s="131"/>
    </row>
    <row r="458" spans="35:35">
      <c r="AI458" s="131"/>
    </row>
    <row r="459" spans="35:35">
      <c r="AI459" s="131"/>
    </row>
    <row r="460" spans="35:35">
      <c r="AI460" s="131"/>
    </row>
    <row r="461" spans="35:35">
      <c r="AI461" s="131"/>
    </row>
    <row r="462" spans="35:35">
      <c r="AI462" s="131"/>
    </row>
    <row r="463" spans="35:35">
      <c r="AI463" s="131"/>
    </row>
    <row r="464" spans="35:35">
      <c r="AI464" s="131"/>
    </row>
    <row r="465" spans="35:35">
      <c r="AI465" s="131"/>
    </row>
    <row r="466" spans="35:35">
      <c r="AI466" s="131"/>
    </row>
    <row r="467" spans="35:35">
      <c r="AI467" s="131"/>
    </row>
    <row r="468" spans="35:35">
      <c r="AI468" s="131"/>
    </row>
    <row r="469" spans="35:35">
      <c r="AI469" s="131"/>
    </row>
    <row r="470" spans="35:35">
      <c r="AI470" s="131"/>
    </row>
    <row r="471" spans="35:35">
      <c r="AI471" s="131"/>
    </row>
    <row r="472" spans="35:35">
      <c r="AI472" s="131"/>
    </row>
    <row r="473" spans="35:35">
      <c r="AI473" s="131"/>
    </row>
    <row r="474" spans="35:35">
      <c r="AI474" s="34"/>
    </row>
    <row r="475" spans="35:35">
      <c r="AI475" s="131"/>
    </row>
    <row r="476" spans="35:35">
      <c r="AI476" s="131"/>
    </row>
    <row r="477" spans="35:35">
      <c r="AI477" s="284"/>
    </row>
    <row r="478" spans="35:35">
      <c r="AI478" s="131"/>
    </row>
    <row r="479" spans="35:35">
      <c r="AI479" s="131"/>
    </row>
    <row r="480" spans="35:35">
      <c r="AI480" s="131"/>
    </row>
    <row r="481" spans="35:35">
      <c r="AI481" s="131"/>
    </row>
    <row r="482" spans="35:35">
      <c r="AI482" s="131"/>
    </row>
    <row r="483" spans="35:35">
      <c r="AI483" s="284"/>
    </row>
    <row r="484" spans="35:35">
      <c r="AI484" s="131"/>
    </row>
    <row r="485" spans="35:35">
      <c r="AI485" s="131"/>
    </row>
    <row r="486" spans="35:35">
      <c r="AI486" s="131"/>
    </row>
    <row r="487" spans="35:35">
      <c r="AI487" s="131"/>
    </row>
    <row r="488" spans="35:35">
      <c r="AI488" s="131"/>
    </row>
    <row r="489" spans="35:35">
      <c r="AI489" s="131"/>
    </row>
    <row r="490" spans="35:35">
      <c r="AI490" s="131"/>
    </row>
    <row r="491" spans="35:35">
      <c r="AI491" s="131"/>
    </row>
    <row r="492" spans="35:35">
      <c r="AI492" s="131"/>
    </row>
    <row r="493" spans="35:35">
      <c r="AI493" s="131"/>
    </row>
    <row r="494" spans="35:35">
      <c r="AI494" s="284"/>
    </row>
    <row r="495" spans="35:35">
      <c r="AI495" s="131"/>
    </row>
    <row r="496" spans="35:35">
      <c r="AI496" s="131"/>
    </row>
    <row r="497" spans="35:35">
      <c r="AI497" s="131"/>
    </row>
    <row r="498" spans="35:35">
      <c r="AI498" s="131"/>
    </row>
    <row r="499" spans="35:35">
      <c r="AI499" s="131"/>
    </row>
    <row r="500" spans="35:35">
      <c r="AI500" s="131"/>
    </row>
    <row r="501" spans="35:35">
      <c r="AI501" s="131"/>
    </row>
    <row r="502" spans="35:35">
      <c r="AI502" s="131"/>
    </row>
    <row r="503" spans="35:35">
      <c r="AI503" s="131"/>
    </row>
    <row r="504" spans="35:35">
      <c r="AI504" s="284"/>
    </row>
    <row r="505" spans="35:35">
      <c r="AI505" s="131"/>
    </row>
    <row r="506" spans="35:35">
      <c r="AI506" s="131"/>
    </row>
    <row r="507" spans="35:35">
      <c r="AI507" s="131"/>
    </row>
    <row r="508" spans="35:35">
      <c r="AI508" s="131"/>
    </row>
    <row r="509" spans="35:35">
      <c r="AI509" s="131"/>
    </row>
    <row r="510" spans="35:35">
      <c r="AI510" s="131"/>
    </row>
    <row r="511" spans="35:35">
      <c r="AI511" s="131"/>
    </row>
    <row r="512" spans="35:35">
      <c r="AI512" s="284"/>
    </row>
    <row r="513" spans="35:35">
      <c r="AI513" s="131"/>
    </row>
    <row r="514" spans="35:35">
      <c r="AI514" s="131"/>
    </row>
    <row r="515" spans="35:35">
      <c r="AI515" s="131"/>
    </row>
    <row r="516" spans="35:35">
      <c r="AI516" s="131"/>
    </row>
    <row r="517" spans="35:35">
      <c r="AI517" s="131"/>
    </row>
    <row r="518" spans="35:35">
      <c r="AI518" s="131"/>
    </row>
    <row r="519" spans="35:35">
      <c r="AI519" s="131"/>
    </row>
    <row r="520" spans="35:35">
      <c r="AI520" s="131"/>
    </row>
    <row r="521" spans="35:35">
      <c r="AI521" s="131"/>
    </row>
    <row r="522" spans="35:35">
      <c r="AI522" s="284"/>
    </row>
    <row r="523" spans="35:35">
      <c r="AI523" s="131"/>
    </row>
    <row r="524" spans="35:35">
      <c r="AI524" s="131"/>
    </row>
    <row r="525" spans="35:35">
      <c r="AI525" s="131"/>
    </row>
    <row r="526" spans="35:35">
      <c r="AI526" s="131"/>
    </row>
    <row r="527" spans="35:35">
      <c r="AI527" s="131"/>
    </row>
    <row r="528" spans="35:35">
      <c r="AI528" s="131"/>
    </row>
    <row r="529" spans="35:35">
      <c r="AI529" s="131"/>
    </row>
    <row r="530" spans="35:35">
      <c r="AI530" s="131"/>
    </row>
    <row r="531" spans="35:35">
      <c r="AI531" s="131"/>
    </row>
    <row r="532" spans="35:35">
      <c r="AI532" s="131"/>
    </row>
    <row r="533" spans="35:35">
      <c r="AI533" s="131"/>
    </row>
    <row r="534" spans="35:35">
      <c r="AI534" s="131"/>
    </row>
    <row r="535" spans="35:35">
      <c r="AI535" s="131"/>
    </row>
    <row r="536" spans="35:35">
      <c r="AI536" s="131"/>
    </row>
    <row r="537" spans="35:35">
      <c r="AI537" s="131"/>
    </row>
    <row r="538" spans="35:35">
      <c r="AI538" s="131"/>
    </row>
    <row r="539" spans="35:35">
      <c r="AI539" s="131"/>
    </row>
    <row r="540" spans="35:35">
      <c r="AI540" s="131"/>
    </row>
    <row r="541" spans="35:35">
      <c r="AI541" s="131"/>
    </row>
    <row r="542" spans="35:35">
      <c r="AI542" s="131"/>
    </row>
    <row r="543" spans="35:35">
      <c r="AI543" s="284"/>
    </row>
    <row r="544" spans="35:35">
      <c r="AI544" s="131"/>
    </row>
    <row r="545" spans="35:35">
      <c r="AI545" s="131"/>
    </row>
    <row r="546" spans="35:35">
      <c r="AI546" s="131"/>
    </row>
    <row r="548" spans="35:35">
      <c r="AI548" s="131"/>
    </row>
    <row r="549" spans="35:35">
      <c r="AI549" s="131"/>
    </row>
    <row r="550" spans="35:35">
      <c r="AI550" s="131"/>
    </row>
    <row r="551" spans="35:35">
      <c r="AI551" s="131"/>
    </row>
    <row r="552" spans="35:35">
      <c r="AI552" s="131"/>
    </row>
    <row r="553" spans="35:35">
      <c r="AI553" s="131"/>
    </row>
    <row r="554" spans="35:35">
      <c r="AI554" s="131"/>
    </row>
    <row r="555" spans="35:35">
      <c r="AI555" s="131"/>
    </row>
    <row r="556" spans="35:35">
      <c r="AI556" s="284"/>
    </row>
    <row r="557" spans="35:35">
      <c r="AI557" s="131"/>
    </row>
    <row r="558" spans="35:35">
      <c r="AI558" s="131"/>
    </row>
    <row r="559" spans="35:35">
      <c r="AI559" s="131"/>
    </row>
    <row r="560" spans="35:35">
      <c r="AI560" s="284"/>
    </row>
    <row r="561" spans="35:35">
      <c r="AI561" s="131"/>
    </row>
    <row r="562" spans="35:35">
      <c r="AI562" s="131"/>
    </row>
    <row r="563" spans="35:35">
      <c r="AI563" s="131"/>
    </row>
    <row r="564" spans="35:35">
      <c r="AI564" s="131"/>
    </row>
    <row r="565" spans="35:35">
      <c r="AI565" s="131"/>
    </row>
    <row r="566" spans="35:35">
      <c r="AI566" s="131"/>
    </row>
    <row r="567" spans="35:35">
      <c r="AI567" s="131"/>
    </row>
    <row r="568" spans="35:35">
      <c r="AI568" s="131"/>
    </row>
    <row r="569" spans="35:35">
      <c r="AI569" s="131"/>
    </row>
    <row r="570" spans="35:35">
      <c r="AI570" s="131"/>
    </row>
    <row r="571" spans="35:35">
      <c r="AI571" s="131"/>
    </row>
    <row r="572" spans="35:35">
      <c r="AI572" s="131"/>
    </row>
    <row r="573" spans="35:35">
      <c r="AI573" s="131"/>
    </row>
    <row r="574" spans="35:35">
      <c r="AI574" s="131"/>
    </row>
    <row r="575" spans="35:35">
      <c r="AI575" s="131"/>
    </row>
    <row r="576" spans="35:35">
      <c r="AI576" s="131"/>
    </row>
    <row r="577" spans="35:35">
      <c r="AI577" s="131"/>
    </row>
    <row r="578" spans="35:35">
      <c r="AI578" s="131"/>
    </row>
    <row r="579" spans="35:35">
      <c r="AI579" s="131"/>
    </row>
    <row r="580" spans="35:35">
      <c r="AI580" s="131"/>
    </row>
    <row r="581" spans="35:35">
      <c r="AI581" s="131"/>
    </row>
    <row r="582" spans="35:35">
      <c r="AI582" s="131"/>
    </row>
    <row r="583" spans="35:35">
      <c r="AI583" s="131"/>
    </row>
    <row r="584" spans="35:35">
      <c r="AI584" s="131"/>
    </row>
    <row r="585" spans="35:35">
      <c r="AI585" s="131"/>
    </row>
    <row r="586" spans="35:35">
      <c r="AI586" s="131"/>
    </row>
    <row r="587" spans="35:35">
      <c r="AI587" s="131"/>
    </row>
    <row r="588" spans="35:35">
      <c r="AI588" s="131"/>
    </row>
    <row r="589" spans="35:35">
      <c r="AI589" s="131"/>
    </row>
    <row r="590" spans="35:35">
      <c r="AI590" s="131"/>
    </row>
    <row r="591" spans="35:35">
      <c r="AI591" s="131"/>
    </row>
    <row r="592" spans="35:35">
      <c r="AI592" s="131"/>
    </row>
    <row r="593" spans="35:35">
      <c r="AI593" s="131"/>
    </row>
    <row r="594" spans="35:35">
      <c r="AI594" s="131"/>
    </row>
    <row r="595" spans="35:35">
      <c r="AI595" s="131"/>
    </row>
    <row r="596" spans="35:35">
      <c r="AI596" s="131"/>
    </row>
    <row r="597" spans="35:35">
      <c r="AI597" s="131"/>
    </row>
    <row r="598" spans="35:35">
      <c r="AI598" s="131"/>
    </row>
    <row r="599" spans="35:35">
      <c r="AI599" s="131"/>
    </row>
    <row r="600" spans="35:35">
      <c r="AI600" s="131"/>
    </row>
    <row r="601" spans="35:35">
      <c r="AI601" s="131"/>
    </row>
    <row r="602" spans="35:35">
      <c r="AI602" s="131"/>
    </row>
    <row r="603" spans="35:35">
      <c r="AI603" s="131"/>
    </row>
    <row r="604" spans="35:35">
      <c r="AI604" s="131"/>
    </row>
    <row r="605" spans="35:35">
      <c r="AI605" s="28"/>
    </row>
    <row r="606" spans="35:35">
      <c r="AI606" s="131"/>
    </row>
    <row r="607" spans="35:35">
      <c r="AI607" s="131"/>
    </row>
    <row r="608" spans="35:35">
      <c r="AI608" s="131"/>
    </row>
    <row r="609" spans="35:35">
      <c r="AI609" s="131"/>
    </row>
    <row r="610" spans="35:35">
      <c r="AI610" s="131"/>
    </row>
    <row r="611" spans="35:35">
      <c r="AI611" s="131"/>
    </row>
    <row r="612" spans="35:35">
      <c r="AI612" s="131"/>
    </row>
    <row r="613" spans="35:35">
      <c r="AI613" s="131"/>
    </row>
    <row r="614" spans="35:35">
      <c r="AI614" s="131"/>
    </row>
    <row r="615" spans="35:35">
      <c r="AI615" s="131"/>
    </row>
    <row r="616" spans="35:35">
      <c r="AI616" s="131"/>
    </row>
    <row r="617" spans="35:35">
      <c r="AI617" s="131"/>
    </row>
    <row r="618" spans="35:35">
      <c r="AI618" s="131"/>
    </row>
    <row r="619" spans="35:35">
      <c r="AI619" s="131"/>
    </row>
    <row r="620" spans="35:35">
      <c r="AI620" s="131"/>
    </row>
    <row r="621" spans="35:35">
      <c r="AI621" s="131"/>
    </row>
    <row r="622" spans="35:35">
      <c r="AI622" s="131"/>
    </row>
    <row r="623" spans="35:35">
      <c r="AI623" s="131"/>
    </row>
    <row r="624" spans="35:35">
      <c r="AI624" s="131"/>
    </row>
    <row r="625" spans="35:35">
      <c r="AI625" s="131"/>
    </row>
    <row r="626" spans="35:35">
      <c r="AI626" s="131"/>
    </row>
    <row r="627" spans="35:35">
      <c r="AI627" s="131"/>
    </row>
    <row r="628" spans="35:35">
      <c r="AI628" s="131"/>
    </row>
    <row r="629" spans="35:35">
      <c r="AI629" s="131"/>
    </row>
    <row r="630" spans="35:35">
      <c r="AI630" s="131"/>
    </row>
    <row r="631" spans="35:35">
      <c r="AI631" s="131"/>
    </row>
    <row r="632" spans="35:35">
      <c r="AI632" s="131"/>
    </row>
    <row r="633" spans="35:35">
      <c r="AI633" s="131"/>
    </row>
    <row r="634" spans="35:35">
      <c r="AI634" s="131"/>
    </row>
    <row r="635" spans="35:35">
      <c r="AI635" s="131"/>
    </row>
    <row r="636" spans="35:35">
      <c r="AI636" s="131"/>
    </row>
    <row r="637" spans="35:35">
      <c r="AI637" s="131"/>
    </row>
    <row r="638" spans="35:35">
      <c r="AI638" s="284"/>
    </row>
    <row r="639" spans="35:35">
      <c r="AI639" s="284"/>
    </row>
    <row r="640" spans="35:35">
      <c r="AI640" s="131"/>
    </row>
    <row r="641" spans="35:35">
      <c r="AI641" s="131"/>
    </row>
    <row r="642" spans="35:35">
      <c r="AI642" s="131"/>
    </row>
    <row r="643" spans="35:35">
      <c r="AI643" s="131"/>
    </row>
    <row r="644" spans="35:35">
      <c r="AI644" s="131"/>
    </row>
    <row r="645" spans="35:35">
      <c r="AI645" s="131"/>
    </row>
    <row r="646" spans="35:35">
      <c r="AI646" s="131"/>
    </row>
    <row r="647" spans="35:35">
      <c r="AI647" s="131"/>
    </row>
    <row r="648" spans="35:35">
      <c r="AI648" s="131"/>
    </row>
    <row r="649" spans="35:35">
      <c r="AI649" s="131"/>
    </row>
    <row r="650" spans="35:35">
      <c r="AI650" s="131"/>
    </row>
    <row r="651" spans="35:35">
      <c r="AI651" s="131"/>
    </row>
    <row r="652" spans="35:35">
      <c r="AI652" s="131"/>
    </row>
    <row r="653" spans="35:35">
      <c r="AI653" s="131"/>
    </row>
    <row r="654" spans="35:35">
      <c r="AI654" s="131"/>
    </row>
    <row r="655" spans="35:35">
      <c r="AI655" s="131"/>
    </row>
    <row r="656" spans="35:35">
      <c r="AI656" s="131"/>
    </row>
    <row r="657" spans="35:35">
      <c r="AI657" s="131"/>
    </row>
    <row r="658" spans="35:35">
      <c r="AI658" s="131"/>
    </row>
    <row r="659" spans="35:35">
      <c r="AI659" s="131"/>
    </row>
    <row r="660" spans="35:35">
      <c r="AI660" s="131"/>
    </row>
    <row r="661" spans="35:35">
      <c r="AI661" s="131"/>
    </row>
    <row r="662" spans="35:35">
      <c r="AI662" s="131"/>
    </row>
    <row r="663" spans="35:35">
      <c r="AI663" s="131"/>
    </row>
    <row r="664" spans="35:35">
      <c r="AI664" s="131"/>
    </row>
    <row r="665" spans="35:35">
      <c r="AI665" s="131"/>
    </row>
    <row r="666" spans="35:35">
      <c r="AI666" s="131"/>
    </row>
    <row r="667" spans="35:35">
      <c r="AI667" s="131"/>
    </row>
    <row r="668" spans="35:35">
      <c r="AI668" s="131"/>
    </row>
    <row r="669" spans="35:35">
      <c r="AI669" s="131"/>
    </row>
    <row r="670" spans="35:35">
      <c r="AI670" s="131"/>
    </row>
    <row r="671" spans="35:35">
      <c r="AI671" s="131"/>
    </row>
    <row r="672" spans="35:35">
      <c r="AI672" s="131"/>
    </row>
    <row r="673" spans="35:35">
      <c r="AI673" s="131"/>
    </row>
    <row r="674" spans="35:35">
      <c r="AI674" s="131"/>
    </row>
    <row r="675" spans="35:35">
      <c r="AI675" s="131"/>
    </row>
    <row r="676" spans="35:35">
      <c r="AI676" s="131"/>
    </row>
    <row r="677" spans="35:35">
      <c r="AI677" s="131"/>
    </row>
    <row r="678" spans="35:35">
      <c r="AI678" s="284"/>
    </row>
    <row r="679" spans="35:35">
      <c r="AI679" s="131"/>
    </row>
    <row r="680" spans="35:35">
      <c r="AI680" s="131"/>
    </row>
    <row r="681" spans="35:35">
      <c r="AI681" s="131"/>
    </row>
    <row r="682" spans="35:35">
      <c r="AI682" s="131"/>
    </row>
    <row r="683" spans="35:35">
      <c r="AI683" s="131"/>
    </row>
    <row r="684" spans="35:35">
      <c r="AI684" s="131"/>
    </row>
    <row r="685" spans="35:35">
      <c r="AI685" s="131"/>
    </row>
    <row r="686" spans="35:35">
      <c r="AI686" s="131"/>
    </row>
    <row r="687" spans="35:35">
      <c r="AI687" s="131"/>
    </row>
    <row r="688" spans="35:35">
      <c r="AI688" s="131"/>
    </row>
    <row r="689" spans="35:35">
      <c r="AI689" s="131"/>
    </row>
    <row r="690" spans="35:35">
      <c r="AI690" s="131"/>
    </row>
    <row r="691" spans="35:35">
      <c r="AI691" s="131"/>
    </row>
    <row r="692" spans="35:35">
      <c r="AI692" s="131"/>
    </row>
    <row r="693" spans="35:35">
      <c r="AI693" s="131"/>
    </row>
    <row r="694" spans="35:35">
      <c r="AI694" s="131"/>
    </row>
    <row r="695" spans="35:35">
      <c r="AI695" s="131"/>
    </row>
    <row r="696" spans="35:35">
      <c r="AI696" s="131"/>
    </row>
    <row r="697" spans="35:35">
      <c r="AI697" s="131"/>
    </row>
    <row r="698" spans="35:35">
      <c r="AI698" s="131"/>
    </row>
    <row r="699" spans="35:35">
      <c r="AI699" s="131"/>
    </row>
    <row r="700" spans="35:35">
      <c r="AI700" s="131"/>
    </row>
    <row r="701" spans="35:35">
      <c r="AI701" s="131"/>
    </row>
    <row r="702" spans="35:35">
      <c r="AI702" s="131"/>
    </row>
    <row r="703" spans="35:35">
      <c r="AI703" s="131"/>
    </row>
    <row r="704" spans="35:35">
      <c r="AI704" s="131"/>
    </row>
    <row r="705" spans="35:35">
      <c r="AI705" s="131"/>
    </row>
    <row r="706" spans="35:35">
      <c r="AI706" s="131"/>
    </row>
    <row r="707" spans="35:35">
      <c r="AI707" s="131"/>
    </row>
    <row r="708" spans="35:35">
      <c r="AI708" s="131"/>
    </row>
    <row r="709" spans="35:35">
      <c r="AI709" s="131"/>
    </row>
    <row r="710" spans="35:35">
      <c r="AI710" s="131"/>
    </row>
    <row r="711" spans="35:35">
      <c r="AI711" s="131"/>
    </row>
    <row r="712" spans="35:35">
      <c r="AI712" s="131"/>
    </row>
    <row r="713" spans="35:35">
      <c r="AI713" s="131"/>
    </row>
    <row r="714" spans="35:35">
      <c r="AI714" s="131"/>
    </row>
    <row r="715" spans="35:35">
      <c r="AI715" s="131"/>
    </row>
    <row r="716" spans="35:35">
      <c r="AI716" s="131"/>
    </row>
    <row r="717" spans="35:35">
      <c r="AI717" s="131"/>
    </row>
    <row r="718" spans="35:35">
      <c r="AI718" s="131"/>
    </row>
    <row r="719" spans="35:35">
      <c r="AI719" s="131"/>
    </row>
    <row r="720" spans="35:35">
      <c r="AI720" s="131"/>
    </row>
    <row r="721" spans="35:35">
      <c r="AI721" s="131"/>
    </row>
    <row r="722" spans="35:35">
      <c r="AI722" s="131"/>
    </row>
    <row r="723" spans="35:35">
      <c r="AI723" s="131"/>
    </row>
    <row r="724" spans="35:35">
      <c r="AI724" s="131"/>
    </row>
    <row r="725" spans="35:35">
      <c r="AI725" s="131"/>
    </row>
    <row r="726" spans="35:35">
      <c r="AI726" s="131"/>
    </row>
    <row r="727" spans="35:35">
      <c r="AI727" s="131"/>
    </row>
    <row r="728" spans="35:35">
      <c r="AI728" s="131"/>
    </row>
    <row r="729" spans="35:35">
      <c r="AI729" s="131"/>
    </row>
    <row r="730" spans="35:35">
      <c r="AI730" s="131"/>
    </row>
    <row r="731" spans="35:35">
      <c r="AI731" s="131"/>
    </row>
    <row r="732" spans="35:35">
      <c r="AI732" s="131"/>
    </row>
    <row r="733" spans="35:35">
      <c r="AI733" s="131"/>
    </row>
    <row r="734" spans="35:35">
      <c r="AI734" s="131"/>
    </row>
    <row r="735" spans="35:35">
      <c r="AI735" s="131"/>
    </row>
    <row r="736" spans="35:35">
      <c r="AI736" s="284"/>
    </row>
    <row r="737" spans="35:35">
      <c r="AI737" s="131"/>
    </row>
    <row r="738" spans="35:35">
      <c r="AI738" s="131"/>
    </row>
    <row r="739" spans="35:35">
      <c r="AI739" s="131"/>
    </row>
    <row r="740" spans="35:35">
      <c r="AI740" s="131"/>
    </row>
    <row r="741" spans="35:35">
      <c r="AI741" s="131"/>
    </row>
    <row r="742" spans="35:35">
      <c r="AI742" s="131"/>
    </row>
    <row r="743" spans="35:35">
      <c r="AI743" s="131"/>
    </row>
    <row r="744" spans="35:35">
      <c r="AI744" s="131"/>
    </row>
    <row r="745" spans="35:35">
      <c r="AI745" s="131"/>
    </row>
    <row r="746" spans="35:35">
      <c r="AI746" s="131"/>
    </row>
    <row r="747" spans="35:35">
      <c r="AI747" s="131"/>
    </row>
    <row r="748" spans="35:35">
      <c r="AI748" s="131"/>
    </row>
    <row r="749" spans="35:35">
      <c r="AI749" s="131"/>
    </row>
    <row r="750" spans="35:35">
      <c r="AI750" s="131"/>
    </row>
    <row r="751" spans="35:35">
      <c r="AI751" s="131"/>
    </row>
    <row r="752" spans="35:35">
      <c r="AI752" s="131"/>
    </row>
    <row r="753" spans="35:35">
      <c r="AI753" s="131"/>
    </row>
    <row r="754" spans="35:35">
      <c r="AI754" s="131"/>
    </row>
    <row r="755" spans="35:35">
      <c r="AI755" s="131"/>
    </row>
    <row r="756" spans="35:35">
      <c r="AI756" s="131"/>
    </row>
    <row r="757" spans="35:35">
      <c r="AI757" s="131"/>
    </row>
    <row r="758" spans="35:35">
      <c r="AI758" s="131"/>
    </row>
    <row r="759" spans="35:35">
      <c r="AI759" s="131"/>
    </row>
    <row r="760" spans="35:35">
      <c r="AI760" s="131"/>
    </row>
    <row r="761" spans="35:35">
      <c r="AI761" s="131"/>
    </row>
    <row r="762" spans="35:35">
      <c r="AI762" s="131"/>
    </row>
    <row r="763" spans="35:35">
      <c r="AI763" s="131"/>
    </row>
    <row r="764" spans="35:35">
      <c r="AI764" s="131"/>
    </row>
    <row r="765" spans="35:35">
      <c r="AI765" s="131"/>
    </row>
    <row r="766" spans="35:35">
      <c r="AI766" s="131"/>
    </row>
    <row r="767" spans="35:35">
      <c r="AI767" s="131"/>
    </row>
    <row r="768" spans="35:35">
      <c r="AI768" s="131"/>
    </row>
    <row r="769" spans="35:35">
      <c r="AI769" s="131"/>
    </row>
    <row r="770" spans="35:35">
      <c r="AI770" s="131"/>
    </row>
    <row r="771" spans="35:35">
      <c r="AI771" s="131"/>
    </row>
    <row r="772" spans="35:35">
      <c r="AI772" s="131"/>
    </row>
    <row r="773" spans="35:35">
      <c r="AI773" s="131"/>
    </row>
    <row r="774" spans="35:35">
      <c r="AI774" s="131"/>
    </row>
    <row r="775" spans="35:35">
      <c r="AI775" s="131"/>
    </row>
    <row r="776" spans="35:35">
      <c r="AI776" s="131"/>
    </row>
    <row r="777" spans="35:35">
      <c r="AI777" s="131"/>
    </row>
    <row r="778" spans="35:35">
      <c r="AI778" s="131"/>
    </row>
    <row r="779" spans="35:35">
      <c r="AI779" s="131"/>
    </row>
    <row r="780" spans="35:35">
      <c r="AI780" s="131"/>
    </row>
    <row r="781" spans="35:35">
      <c r="AI781" s="131"/>
    </row>
    <row r="782" spans="35:35">
      <c r="AI782" s="131"/>
    </row>
    <row r="783" spans="35:35">
      <c r="AI783" s="131"/>
    </row>
    <row r="784" spans="35:35">
      <c r="AI784" s="131"/>
    </row>
    <row r="785" spans="35:35">
      <c r="AI785" s="131"/>
    </row>
    <row r="786" spans="35:35">
      <c r="AI786" s="131"/>
    </row>
    <row r="787" spans="35:35">
      <c r="AI787" s="131"/>
    </row>
    <row r="788" spans="35:35">
      <c r="AI788" s="131"/>
    </row>
    <row r="789" spans="35:35">
      <c r="AI789" s="131"/>
    </row>
    <row r="790" spans="35:35">
      <c r="AI790" s="131"/>
    </row>
    <row r="791" spans="35:35">
      <c r="AI791" s="131"/>
    </row>
    <row r="792" spans="35:35">
      <c r="AI792" s="131"/>
    </row>
    <row r="793" spans="35:35">
      <c r="AI793" s="284"/>
    </row>
    <row r="794" spans="35:35">
      <c r="AI794" s="131"/>
    </row>
    <row r="795" spans="35:35">
      <c r="AI795" s="131"/>
    </row>
    <row r="796" spans="35:35">
      <c r="AI796" s="131"/>
    </row>
    <row r="797" spans="35:35">
      <c r="AI797" s="131"/>
    </row>
    <row r="798" spans="35:35">
      <c r="AI798" s="131"/>
    </row>
    <row r="799" spans="35:35">
      <c r="AI799" s="131"/>
    </row>
    <row r="800" spans="35:35">
      <c r="AI800" s="131"/>
    </row>
    <row r="801" spans="35:35">
      <c r="AI801" s="131"/>
    </row>
    <row r="802" spans="35:35">
      <c r="AI802" s="131"/>
    </row>
    <row r="803" spans="35:35">
      <c r="AI803" s="131"/>
    </row>
    <row r="804" spans="35:35">
      <c r="AI804" s="131"/>
    </row>
    <row r="805" spans="35:35">
      <c r="AI805" s="131"/>
    </row>
    <row r="806" spans="35:35">
      <c r="AI806" s="131"/>
    </row>
    <row r="807" spans="35:35">
      <c r="AI807" s="131"/>
    </row>
    <row r="808" spans="35:35">
      <c r="AI808" s="131"/>
    </row>
    <row r="809" spans="35:35">
      <c r="AI809" s="131"/>
    </row>
    <row r="810" spans="35:35">
      <c r="AI810" s="131"/>
    </row>
    <row r="811" spans="35:35">
      <c r="AI811" s="131"/>
    </row>
    <row r="812" spans="35:35">
      <c r="AI812" s="131"/>
    </row>
    <row r="813" spans="35:35">
      <c r="AI813" s="131"/>
    </row>
    <row r="814" spans="35:35">
      <c r="AI814" s="131"/>
    </row>
    <row r="815" spans="35:35">
      <c r="AI815" s="131"/>
    </row>
    <row r="816" spans="35:35">
      <c r="AI816" s="131"/>
    </row>
    <row r="817" spans="35:35">
      <c r="AI817" s="131"/>
    </row>
    <row r="818" spans="35:35">
      <c r="AI818" s="131"/>
    </row>
    <row r="819" spans="35:35">
      <c r="AI819" s="131"/>
    </row>
    <row r="820" spans="35:35">
      <c r="AI820" s="131"/>
    </row>
    <row r="821" spans="35:35">
      <c r="AI821" s="253"/>
    </row>
    <row r="822" spans="35:35">
      <c r="AI822" s="131"/>
    </row>
    <row r="823" spans="35:35">
      <c r="AI823" s="131"/>
    </row>
    <row r="824" spans="35:35">
      <c r="AI824" s="131"/>
    </row>
    <row r="825" spans="35:35">
      <c r="AI825" s="131"/>
    </row>
    <row r="826" spans="35:35">
      <c r="AI826" s="131"/>
    </row>
    <row r="827" spans="35:35">
      <c r="AI827" s="131"/>
    </row>
    <row r="828" spans="35:35">
      <c r="AI828" s="131"/>
    </row>
    <row r="829" spans="35:35">
      <c r="AI829" s="131"/>
    </row>
    <row r="830" spans="35:35">
      <c r="AI830" s="131"/>
    </row>
    <row r="831" spans="35:35">
      <c r="AI831" s="131"/>
    </row>
    <row r="832" spans="35:35">
      <c r="AI832" s="131"/>
    </row>
    <row r="833" spans="35:35">
      <c r="AI833" s="131"/>
    </row>
    <row r="834" spans="35:35">
      <c r="AI834" s="131"/>
    </row>
    <row r="835" spans="35:35">
      <c r="AI835" s="284"/>
    </row>
    <row r="836" spans="35:35">
      <c r="AI836" s="131"/>
    </row>
    <row r="837" spans="35:35">
      <c r="AI837" s="131"/>
    </row>
    <row r="838" spans="35:35">
      <c r="AI838" s="131"/>
    </row>
    <row r="839" spans="35:35">
      <c r="AI839" s="131"/>
    </row>
    <row r="840" spans="35:35">
      <c r="AI840" s="131"/>
    </row>
    <row r="841" spans="35:35">
      <c r="AI841" s="131"/>
    </row>
    <row r="842" spans="35:35">
      <c r="AI842" s="131"/>
    </row>
    <row r="843" spans="35:35">
      <c r="AI843" s="131"/>
    </row>
    <row r="845" spans="35:35">
      <c r="AI845" s="131"/>
    </row>
    <row r="846" spans="35:35">
      <c r="AI846" s="131"/>
    </row>
    <row r="847" spans="35:35">
      <c r="AI847" s="284"/>
    </row>
    <row r="848" spans="35:35">
      <c r="AI848" s="131"/>
    </row>
    <row r="849" spans="35:35">
      <c r="AI849" s="284"/>
    </row>
    <row r="850" spans="35:35">
      <c r="AI850" s="131"/>
    </row>
    <row r="851" spans="35:35">
      <c r="AI851" s="131"/>
    </row>
    <row r="852" spans="35:35">
      <c r="AI852" s="131"/>
    </row>
    <row r="853" spans="35:35">
      <c r="AI853" s="284"/>
    </row>
    <row r="854" spans="35:35">
      <c r="AI854" s="128"/>
    </row>
    <row r="856" spans="35:35">
      <c r="AI856" s="131"/>
    </row>
    <row r="857" spans="35:35">
      <c r="AI857" s="284"/>
    </row>
    <row r="858" spans="35:35">
      <c r="AI858" s="131"/>
    </row>
    <row r="859" spans="35:35">
      <c r="AI859" s="131"/>
    </row>
    <row r="860" spans="35:35">
      <c r="AI860" s="284"/>
    </row>
    <row r="861" spans="35:35">
      <c r="AI861" s="131"/>
    </row>
    <row r="862" spans="35:35">
      <c r="AI862" s="131"/>
    </row>
    <row r="863" spans="35:35">
      <c r="AI863" s="131"/>
    </row>
    <row r="864" spans="35:35">
      <c r="AI864" s="131"/>
    </row>
    <row r="865" spans="35:35">
      <c r="AI865" s="131"/>
    </row>
    <row r="866" spans="35:35">
      <c r="AI866" s="284"/>
    </row>
    <row r="867" spans="35:35">
      <c r="AI867" s="131"/>
    </row>
    <row r="868" spans="35:35">
      <c r="AI868" s="131"/>
    </row>
    <row r="869" spans="35:35">
      <c r="AI869" s="131"/>
    </row>
    <row r="870" spans="35:35">
      <c r="AI870" s="131"/>
    </row>
    <row r="872" spans="35:35">
      <c r="AI872" s="284"/>
    </row>
    <row r="873" spans="35:35">
      <c r="AI873" s="131"/>
    </row>
    <row r="874" spans="35:35">
      <c r="AI874" s="131"/>
    </row>
    <row r="875" spans="35:35">
      <c r="AI875" s="131"/>
    </row>
    <row r="876" spans="35:35">
      <c r="AI876" s="131"/>
    </row>
    <row r="877" spans="35:35">
      <c r="AI877" s="131"/>
    </row>
    <row r="878" spans="35:35">
      <c r="AI878" s="131"/>
    </row>
    <row r="879" spans="35:35">
      <c r="AI879" s="131"/>
    </row>
    <row r="880" spans="35:35">
      <c r="AI880" s="131"/>
    </row>
    <row r="881" spans="35:35">
      <c r="AI881" s="27"/>
    </row>
    <row r="882" spans="35:35">
      <c r="AI882" s="131"/>
    </row>
    <row r="883" spans="35:35">
      <c r="AI883" s="131"/>
    </row>
    <row r="884" spans="35:35">
      <c r="AI884" s="131"/>
    </row>
    <row r="885" spans="35:35">
      <c r="AI885" s="131"/>
    </row>
    <row r="886" spans="35:35">
      <c r="AI886" s="131"/>
    </row>
    <row r="887" spans="35:35">
      <c r="AI887" s="131"/>
    </row>
    <row r="888" spans="35:35">
      <c r="AI888" s="131"/>
    </row>
    <row r="889" spans="35:35">
      <c r="AI889" s="284"/>
    </row>
    <row r="890" spans="35:35">
      <c r="AI890" s="131"/>
    </row>
    <row r="891" spans="35:35">
      <c r="AI891" s="131"/>
    </row>
    <row r="892" spans="35:35">
      <c r="AI892" s="131"/>
    </row>
    <row r="893" spans="35:35">
      <c r="AI893" s="131"/>
    </row>
    <row r="894" spans="35:35">
      <c r="AI894" s="131"/>
    </row>
    <row r="895" spans="35:35">
      <c r="AI895" s="131"/>
    </row>
    <row r="896" spans="35:35">
      <c r="AI896" s="284"/>
    </row>
    <row r="897" spans="35:35">
      <c r="AI897" s="131"/>
    </row>
    <row r="898" spans="35:35">
      <c r="AI898" s="131"/>
    </row>
    <row r="899" spans="35:35">
      <c r="AI899" s="131"/>
    </row>
    <row r="900" spans="35:35">
      <c r="AI900" s="131"/>
    </row>
    <row r="901" spans="35:35">
      <c r="AI901" s="131"/>
    </row>
    <row r="902" spans="35:35">
      <c r="AI902" s="131"/>
    </row>
    <row r="903" spans="35:35">
      <c r="AI903" s="131"/>
    </row>
    <row r="904" spans="35:35">
      <c r="AI904" s="284"/>
    </row>
    <row r="905" spans="35:35">
      <c r="AI905" s="131"/>
    </row>
    <row r="906" spans="35:35">
      <c r="AI906" s="131"/>
    </row>
    <row r="907" spans="35:35">
      <c r="AI907" s="131"/>
    </row>
    <row r="908" spans="35:35">
      <c r="AI908" s="131"/>
    </row>
    <row r="909" spans="35:35">
      <c r="AI909" s="131"/>
    </row>
    <row r="910" spans="35:35">
      <c r="AI910" s="131"/>
    </row>
    <row r="911" spans="35:35">
      <c r="AI911" s="131"/>
    </row>
    <row r="912" spans="35:35">
      <c r="AI912" s="131"/>
    </row>
    <row r="913" spans="35:35">
      <c r="AI913" s="131"/>
    </row>
    <row r="914" spans="35:35">
      <c r="AI914" s="128"/>
    </row>
    <row r="915" spans="35:35">
      <c r="AI915" s="128"/>
    </row>
    <row r="916" spans="35:35">
      <c r="AI916" s="131"/>
    </row>
    <row r="917" spans="35:35">
      <c r="AI917" s="131"/>
    </row>
    <row r="918" spans="35:35">
      <c r="AI918" s="131"/>
    </row>
    <row r="919" spans="35:35">
      <c r="AI919" s="131"/>
    </row>
    <row r="920" spans="35:35">
      <c r="AI920" s="131"/>
    </row>
    <row r="921" spans="35:35">
      <c r="AI921" s="131"/>
    </row>
    <row r="922" spans="35:35">
      <c r="AI922" s="131"/>
    </row>
    <row r="923" spans="35:35">
      <c r="AI923" s="131"/>
    </row>
    <row r="924" spans="35:35">
      <c r="AI924" s="131"/>
    </row>
    <row r="925" spans="35:35">
      <c r="AI925" s="131"/>
    </row>
    <row r="926" spans="35:35">
      <c r="AI926" s="131"/>
    </row>
    <row r="927" spans="35:35">
      <c r="AI927" s="284"/>
    </row>
    <row r="928" spans="35:35">
      <c r="AI928" s="131"/>
    </row>
    <row r="929" spans="35:35">
      <c r="AI929" s="131"/>
    </row>
    <row r="930" spans="35:35">
      <c r="AI930" s="284"/>
    </row>
    <row r="931" spans="35:35">
      <c r="AI931" s="131"/>
    </row>
    <row r="932" spans="35:35">
      <c r="AI932" s="131"/>
    </row>
    <row r="933" spans="35:35">
      <c r="AI933" s="131"/>
    </row>
    <row r="934" spans="35:35">
      <c r="AI934" s="44"/>
    </row>
    <row r="936" spans="35:35">
      <c r="AI936" s="131"/>
    </row>
    <row r="937" spans="35:35">
      <c r="AI937" s="131"/>
    </row>
    <row r="938" spans="35:35">
      <c r="AI938" s="131"/>
    </row>
    <row r="939" spans="35:35">
      <c r="AI939" s="131"/>
    </row>
    <row r="940" spans="35:35">
      <c r="AI940" s="131"/>
    </row>
    <row r="941" spans="35:35">
      <c r="AI941" s="131"/>
    </row>
    <row r="942" spans="35:35">
      <c r="AI942" s="131"/>
    </row>
    <row r="943" spans="35:35">
      <c r="AI943" s="131"/>
    </row>
    <row r="944" spans="35:35">
      <c r="AI944" s="128"/>
    </row>
    <row r="945" spans="35:35">
      <c r="AI945" s="131"/>
    </row>
    <row r="946" spans="35:35">
      <c r="AI946" s="131"/>
    </row>
    <row r="947" spans="35:35">
      <c r="AI947" s="131"/>
    </row>
    <row r="948" spans="35:35">
      <c r="AI948" s="131"/>
    </row>
    <row r="949" spans="35:35">
      <c r="AI949" s="131"/>
    </row>
    <row r="950" spans="35:35">
      <c r="AI950" s="131"/>
    </row>
    <row r="951" spans="35:35">
      <c r="AI951" s="131"/>
    </row>
    <row r="952" spans="35:35">
      <c r="AI952" s="131"/>
    </row>
    <row r="954" spans="35:35">
      <c r="AI954" s="131"/>
    </row>
    <row r="955" spans="35:35">
      <c r="AI955" s="131"/>
    </row>
    <row r="956" spans="35:35">
      <c r="AI956" s="131"/>
    </row>
    <row r="957" spans="35:35">
      <c r="AI957" s="131"/>
    </row>
    <row r="958" spans="35:35">
      <c r="AI958" s="284"/>
    </row>
    <row r="959" spans="35:35">
      <c r="AI959" s="131"/>
    </row>
    <row r="960" spans="35:35">
      <c r="AI960" s="131"/>
    </row>
    <row r="961" spans="35:35">
      <c r="AI961" s="131"/>
    </row>
    <row r="962" spans="35:35">
      <c r="AI962" s="131"/>
    </row>
    <row r="963" spans="35:35">
      <c r="AI963" s="131"/>
    </row>
    <row r="964" spans="35:35">
      <c r="AI964" s="131"/>
    </row>
    <row r="965" spans="35:35">
      <c r="AI965" s="128"/>
    </row>
    <row r="966" spans="35:35">
      <c r="AI966" s="131"/>
    </row>
    <row r="967" spans="35:35">
      <c r="AI967" s="284"/>
    </row>
    <row r="968" spans="35:35">
      <c r="AI968" s="131"/>
    </row>
    <row r="969" spans="35:35">
      <c r="AI969" s="131"/>
    </row>
    <row r="970" spans="35:35">
      <c r="AI970" s="131"/>
    </row>
    <row r="971" spans="35:35">
      <c r="AI971" s="131"/>
    </row>
    <row r="972" spans="35:35">
      <c r="AI972" s="131"/>
    </row>
    <row r="973" spans="35:35">
      <c r="AI973" s="131"/>
    </row>
    <row r="974" spans="35:35">
      <c r="AI974" s="131"/>
    </row>
    <row r="975" spans="35:35">
      <c r="AI975" s="131"/>
    </row>
    <row r="976" spans="35:35">
      <c r="AI976" s="131"/>
    </row>
    <row r="977" spans="35:35">
      <c r="AI977" s="131"/>
    </row>
    <row r="978" spans="35:35">
      <c r="AI978" s="131"/>
    </row>
    <row r="979" spans="35:35">
      <c r="AI979" s="131"/>
    </row>
    <row r="980" spans="35:35">
      <c r="AI980" s="131"/>
    </row>
    <row r="981" spans="35:35">
      <c r="AI981" s="131"/>
    </row>
    <row r="982" spans="35:35">
      <c r="AI982" s="131"/>
    </row>
    <row r="983" spans="35:35">
      <c r="AI983" s="131"/>
    </row>
    <row r="984" spans="35:35">
      <c r="AI984" s="131"/>
    </row>
    <row r="985" spans="35:35">
      <c r="AI985" s="131"/>
    </row>
    <row r="986" spans="35:35">
      <c r="AI986" s="128"/>
    </row>
    <row r="987" spans="35:35">
      <c r="AI987" s="131"/>
    </row>
    <row r="988" spans="35:35">
      <c r="AI988" s="131"/>
    </row>
    <row r="989" spans="35:35">
      <c r="AI989" s="131"/>
    </row>
    <row r="990" spans="35:35">
      <c r="AI990" s="131"/>
    </row>
    <row r="991" spans="35:35">
      <c r="AI991" s="131"/>
    </row>
    <row r="992" spans="35:35">
      <c r="AI992" s="28"/>
    </row>
    <row r="993" spans="35:35">
      <c r="AI993" s="128"/>
    </row>
    <row r="994" spans="35:35">
      <c r="AI994" s="284"/>
    </row>
    <row r="995" spans="35:35">
      <c r="AI995" s="284"/>
    </row>
    <row r="996" spans="35:35">
      <c r="AI996" s="131"/>
    </row>
    <row r="997" spans="35:35">
      <c r="AI997" s="128"/>
    </row>
    <row r="998" spans="35:35">
      <c r="AI998" s="131"/>
    </row>
    <row r="999" spans="35:35">
      <c r="AI999" s="131"/>
    </row>
    <row r="1000" spans="35:35">
      <c r="AI1000" s="131"/>
    </row>
    <row r="1001" spans="35:35">
      <c r="AI1001" s="44"/>
    </row>
    <row r="1002" spans="35:35">
      <c r="AI1002" s="131"/>
    </row>
    <row r="1004" spans="35:35">
      <c r="AI1004" s="131"/>
    </row>
    <row r="1005" spans="35:35">
      <c r="AI1005" s="128"/>
    </row>
    <row r="1006" spans="35:35">
      <c r="AI1006" s="131"/>
    </row>
    <row r="1007" spans="35:35">
      <c r="AI1007" s="131"/>
    </row>
    <row r="1008" spans="35:35">
      <c r="AI1008" s="128"/>
    </row>
    <row r="1009" spans="35:36">
      <c r="AI1009" s="131"/>
    </row>
    <row r="1010" spans="35:36">
      <c r="AI1010" s="131"/>
    </row>
    <row r="1011" spans="35:36">
      <c r="AI1011" s="131"/>
    </row>
    <row r="1012" spans="35:36">
      <c r="AI1012" s="131"/>
    </row>
    <row r="1013" spans="35:36">
      <c r="AI1013" s="131"/>
    </row>
    <row r="1014" spans="35:36">
      <c r="AI1014" s="131"/>
    </row>
    <row r="1015" spans="35:36">
      <c r="AI1015" s="131"/>
    </row>
    <row r="1016" spans="35:36">
      <c r="AI1016" s="131"/>
    </row>
    <row r="1017" spans="35:36">
      <c r="AI1017" s="131"/>
    </row>
    <row r="1018" spans="35:36">
      <c r="AI1018" s="131"/>
    </row>
    <row r="1019" spans="35:36">
      <c r="AI1019" s="284"/>
    </row>
    <row r="1020" spans="35:36">
      <c r="AI1020" s="131"/>
    </row>
    <row r="1021" spans="35:36">
      <c r="AI1021" s="131"/>
    </row>
    <row r="1022" spans="35:36">
      <c r="AI1022" s="131"/>
    </row>
    <row r="1023" spans="35:36">
      <c r="AI1023" s="131"/>
    </row>
    <row r="1024" spans="35:36">
      <c r="AI1024" s="131"/>
      <c r="AJ1024" s="264" t="s">
        <v>5277</v>
      </c>
    </row>
    <row r="1025" spans="35:35">
      <c r="AI1025" s="131"/>
    </row>
    <row r="1026" spans="35:35">
      <c r="AI1026" s="128"/>
    </row>
    <row r="1027" spans="35:35">
      <c r="AI1027" s="131"/>
    </row>
    <row r="1028" spans="35:35">
      <c r="AI1028" s="131"/>
    </row>
    <row r="1029" spans="35:35">
      <c r="AI1029" s="131"/>
    </row>
    <row r="1030" spans="35:35">
      <c r="AI1030" s="131"/>
    </row>
    <row r="1031" spans="35:35">
      <c r="AI1031" s="284"/>
    </row>
    <row r="1033" spans="35:35">
      <c r="AI1033" s="131"/>
    </row>
    <row r="1034" spans="35:35">
      <c r="AI1034" s="131"/>
    </row>
    <row r="1035" spans="35:35">
      <c r="AI1035" s="131"/>
    </row>
    <row r="1036" spans="35:35">
      <c r="AI1036" s="28"/>
    </row>
    <row r="1037" spans="35:35">
      <c r="AI1037" s="131"/>
    </row>
    <row r="1038" spans="35:35">
      <c r="AI1038" s="284"/>
    </row>
    <row r="1039" spans="35:35">
      <c r="AI1039" s="128"/>
    </row>
    <row r="1040" spans="35:35">
      <c r="AI1040" s="131"/>
    </row>
    <row r="1041" spans="35:35">
      <c r="AI1041" s="131"/>
    </row>
    <row r="1042" spans="35:35">
      <c r="AI1042" s="131"/>
    </row>
    <row r="1043" spans="35:35">
      <c r="AI1043" s="131"/>
    </row>
    <row r="1044" spans="35:35">
      <c r="AI1044" s="131"/>
    </row>
    <row r="1045" spans="35:35">
      <c r="AI1045" s="131"/>
    </row>
    <row r="1046" spans="35:35">
      <c r="AI1046" s="131"/>
    </row>
    <row r="1047" spans="35:35">
      <c r="AI1047" s="131"/>
    </row>
    <row r="1048" spans="35:35">
      <c r="AI1048" s="131"/>
    </row>
    <row r="1049" spans="35:35">
      <c r="AI1049" s="131"/>
    </row>
    <row r="1050" spans="35:35">
      <c r="AI1050" s="131"/>
    </row>
    <row r="1051" spans="35:35">
      <c r="AI1051" s="131"/>
    </row>
    <row r="1052" spans="35:35">
      <c r="AI1052" s="131"/>
    </row>
    <row r="1053" spans="35:35">
      <c r="AI1053" s="284"/>
    </row>
    <row r="1055" spans="35:35">
      <c r="AI1055" s="131"/>
    </row>
    <row r="1056" spans="35:35">
      <c r="AI1056" s="131"/>
    </row>
    <row r="1057" spans="35:35">
      <c r="AI1057" s="131"/>
    </row>
    <row r="1058" spans="35:35">
      <c r="AI1058" s="131"/>
    </row>
    <row r="1059" spans="35:35">
      <c r="AI1059" s="131"/>
    </row>
    <row r="1060" spans="35:35">
      <c r="AI1060" s="131"/>
    </row>
    <row r="1061" spans="35:35">
      <c r="AI1061" s="131"/>
    </row>
    <row r="1062" spans="35:35">
      <c r="AI1062" s="131"/>
    </row>
    <row r="1063" spans="35:35">
      <c r="AI1063" s="131"/>
    </row>
    <row r="1064" spans="35:35">
      <c r="AI1064" s="131"/>
    </row>
    <row r="1065" spans="35:35">
      <c r="AI1065" s="131"/>
    </row>
    <row r="1066" spans="35:35">
      <c r="AI1066" s="131"/>
    </row>
    <row r="1067" spans="35:35">
      <c r="AI1067" s="131"/>
    </row>
    <row r="1068" spans="35:35">
      <c r="AI1068" s="131"/>
    </row>
    <row r="1070" spans="35:35">
      <c r="AI1070" s="131"/>
    </row>
    <row r="1071" spans="35:35">
      <c r="AI1071" s="128"/>
    </row>
    <row r="1072" spans="35:35">
      <c r="AI1072" s="131"/>
    </row>
    <row r="1073" spans="35:35">
      <c r="AI1073" s="131"/>
    </row>
    <row r="1074" spans="35:35">
      <c r="AI1074" s="131"/>
    </row>
    <row r="1075" spans="35:35">
      <c r="AI1075" s="131"/>
    </row>
    <row r="1076" spans="35:35">
      <c r="AI1076" s="131"/>
    </row>
    <row r="1077" spans="35:35">
      <c r="AI1077" s="131"/>
    </row>
    <row r="1079" spans="35:35">
      <c r="AI1079" s="131"/>
    </row>
    <row r="1080" spans="35:35">
      <c r="AI1080" s="131"/>
    </row>
    <row r="1081" spans="35:35">
      <c r="AI1081" s="131"/>
    </row>
    <row r="1082" spans="35:35">
      <c r="AI1082" s="131"/>
    </row>
    <row r="1083" spans="35:35">
      <c r="AI1083" s="131"/>
    </row>
    <row r="1084" spans="35:35">
      <c r="AI1084" s="131"/>
    </row>
    <row r="1085" spans="35:35">
      <c r="AI1085" s="131"/>
    </row>
    <row r="1086" spans="35:35">
      <c r="AI1086" s="131"/>
    </row>
    <row r="1087" spans="35:35">
      <c r="AI1087" s="131"/>
    </row>
    <row r="1088" spans="35:35">
      <c r="AI1088" s="128"/>
    </row>
    <row r="1089" spans="35:35">
      <c r="AI1089" s="131"/>
    </row>
    <row r="1090" spans="35:35">
      <c r="AI1090" s="131"/>
    </row>
    <row r="1091" spans="35:35">
      <c r="AI1091" s="131"/>
    </row>
    <row r="1093" spans="35:35">
      <c r="AI1093" s="131"/>
    </row>
    <row r="1094" spans="35:35">
      <c r="AI1094" s="131"/>
    </row>
    <row r="1095" spans="35:35">
      <c r="AI1095" s="284"/>
    </row>
    <row r="1096" spans="35:35">
      <c r="AI1096" s="131"/>
    </row>
    <row r="1097" spans="35:35">
      <c r="AI1097" s="284"/>
    </row>
    <row r="1098" spans="35:35">
      <c r="AI1098" s="131"/>
    </row>
    <row r="1099" spans="35:35">
      <c r="AI1099" s="131"/>
    </row>
    <row r="1100" spans="35:35">
      <c r="AI1100" s="131"/>
    </row>
    <row r="1101" spans="35:35">
      <c r="AI1101" s="284"/>
    </row>
    <row r="1102" spans="35:35">
      <c r="AI1102" s="284"/>
    </row>
    <row r="1103" spans="35:35">
      <c r="AI1103" s="131"/>
    </row>
    <row r="1104" spans="35:35">
      <c r="AI1104" s="131"/>
    </row>
    <row r="1105" spans="35:35">
      <c r="AI1105" s="131"/>
    </row>
    <row r="1106" spans="35:35">
      <c r="AI1106" s="131"/>
    </row>
    <row r="1107" spans="35:35">
      <c r="AI1107" s="284"/>
    </row>
    <row r="1108" spans="35:35">
      <c r="AI1108" s="131"/>
    </row>
    <row r="1109" spans="35:35">
      <c r="AI1109" s="284"/>
    </row>
    <row r="1110" spans="35:35">
      <c r="AI1110" s="131"/>
    </row>
    <row r="1111" spans="35:35">
      <c r="AI1111" s="284"/>
    </row>
    <row r="1112" spans="35:35">
      <c r="AI1112" s="131"/>
    </row>
    <row r="1113" spans="35:35">
      <c r="AI1113" s="131"/>
    </row>
    <row r="1114" spans="35:35">
      <c r="AI1114" s="131"/>
    </row>
    <row r="1115" spans="35:35">
      <c r="AI1115" s="131"/>
    </row>
    <row r="1116" spans="35:35">
      <c r="AI1116" s="131"/>
    </row>
    <row r="1117" spans="35:35">
      <c r="AI1117" s="131"/>
    </row>
    <row r="1118" spans="35:35">
      <c r="AI1118" s="131"/>
    </row>
    <row r="1119" spans="35:35">
      <c r="AI1119" s="131"/>
    </row>
    <row r="1120" spans="35:35">
      <c r="AI1120" s="131"/>
    </row>
    <row r="1121" spans="35:35">
      <c r="AI1121" s="131"/>
    </row>
    <row r="1122" spans="35:35">
      <c r="AI1122" s="131"/>
    </row>
    <row r="1123" spans="35:35">
      <c r="AI1123" s="131"/>
    </row>
    <row r="1124" spans="35:35">
      <c r="AI1124" s="131"/>
    </row>
    <row r="1125" spans="35:35">
      <c r="AI1125" s="131"/>
    </row>
    <row r="1126" spans="35:35">
      <c r="AI1126" s="131"/>
    </row>
    <row r="1127" spans="35:35">
      <c r="AI1127" s="131"/>
    </row>
    <row r="1128" spans="35:35">
      <c r="AI1128" s="284"/>
    </row>
    <row r="1129" spans="35:35">
      <c r="AI1129" s="131"/>
    </row>
    <row r="1130" spans="35:35">
      <c r="AI1130" s="131"/>
    </row>
    <row r="1131" spans="35:35">
      <c r="AI1131" s="131"/>
    </row>
    <row r="1132" spans="35:35">
      <c r="AI1132" s="131"/>
    </row>
    <row r="1133" spans="35:35">
      <c r="AI1133" s="131"/>
    </row>
    <row r="1134" spans="35:35">
      <c r="AI1134" s="131"/>
    </row>
    <row r="1135" spans="35:35">
      <c r="AI1135" s="131"/>
    </row>
    <row r="1136" spans="35:35">
      <c r="AI1136" s="284"/>
    </row>
    <row r="1137" spans="35:35">
      <c r="AI1137" s="131"/>
    </row>
    <row r="1138" spans="35:35">
      <c r="AI1138" s="131"/>
    </row>
    <row r="1139" spans="35:35">
      <c r="AI1139" s="131"/>
    </row>
    <row r="1140" spans="35:35">
      <c r="AI1140" s="131"/>
    </row>
    <row r="1141" spans="35:35">
      <c r="AI1141" s="131"/>
    </row>
    <row r="1142" spans="35:35">
      <c r="AI1142" s="131"/>
    </row>
    <row r="1143" spans="35:35">
      <c r="AI1143" s="131"/>
    </row>
    <row r="1144" spans="35:35">
      <c r="AI1144" s="131"/>
    </row>
    <row r="1145" spans="35:35">
      <c r="AI1145" s="131"/>
    </row>
    <row r="1146" spans="35:35">
      <c r="AI1146" s="131"/>
    </row>
    <row r="1147" spans="35:35">
      <c r="AI1147" s="128"/>
    </row>
    <row r="1148" spans="35:35">
      <c r="AI1148" s="131"/>
    </row>
    <row r="1149" spans="35:35">
      <c r="AI1149" s="131"/>
    </row>
    <row r="1150" spans="35:35">
      <c r="AI1150" s="284"/>
    </row>
    <row r="1151" spans="35:35">
      <c r="AI1151" s="131"/>
    </row>
    <row r="1152" spans="35:35">
      <c r="AI1152" s="131"/>
    </row>
    <row r="1153" spans="35:35">
      <c r="AI1153" s="131"/>
    </row>
    <row r="1154" spans="35:35">
      <c r="AI1154" s="131"/>
    </row>
    <row r="1155" spans="35:35">
      <c r="AI1155" s="131"/>
    </row>
    <row r="1156" spans="35:35">
      <c r="AI1156" s="131"/>
    </row>
    <row r="1157" spans="35:35">
      <c r="AI1157" s="131"/>
    </row>
    <row r="1158" spans="35:35">
      <c r="AI1158" s="284"/>
    </row>
    <row r="1159" spans="35:35">
      <c r="AI1159" s="284"/>
    </row>
    <row r="1160" spans="35:35">
      <c r="AI1160" s="131"/>
    </row>
    <row r="1161" spans="35:35">
      <c r="AI1161" s="284"/>
    </row>
    <row r="1162" spans="35:35">
      <c r="AI1162" s="131"/>
    </row>
    <row r="1163" spans="35:35">
      <c r="AI1163" s="131"/>
    </row>
    <row r="1164" spans="35:35">
      <c r="AI1164" s="131"/>
    </row>
    <row r="1165" spans="35:35">
      <c r="AI1165" s="131"/>
    </row>
    <row r="1166" spans="35:35">
      <c r="AI1166" s="131"/>
    </row>
    <row r="1167" spans="35:35">
      <c r="AI1167" s="131"/>
    </row>
    <row r="1168" spans="35:35">
      <c r="AI1168" s="131"/>
    </row>
    <row r="1169" spans="35:35">
      <c r="AI1169" s="284"/>
    </row>
    <row r="1170" spans="35:35">
      <c r="AI1170" s="131"/>
    </row>
    <row r="1171" spans="35:35">
      <c r="AI1171" s="131"/>
    </row>
    <row r="1172" spans="35:35">
      <c r="AI1172" s="131"/>
    </row>
    <row r="1173" spans="35:35">
      <c r="AI1173" s="131"/>
    </row>
    <row r="1174" spans="35:35">
      <c r="AI1174" s="131"/>
    </row>
    <row r="1175" spans="35:35">
      <c r="AI1175" s="131"/>
    </row>
    <row r="1176" spans="35:35">
      <c r="AI1176" s="131"/>
    </row>
    <row r="1177" spans="35:35">
      <c r="AI1177" s="131"/>
    </row>
    <row r="1178" spans="35:35">
      <c r="AI1178" s="131"/>
    </row>
    <row r="1179" spans="35:35">
      <c r="AI1179" s="131"/>
    </row>
    <row r="1180" spans="35:35">
      <c r="AI1180" s="131"/>
    </row>
    <row r="1181" spans="35:35">
      <c r="AI1181" s="132"/>
    </row>
    <row r="1182" spans="35:35">
      <c r="AI1182" s="131"/>
    </row>
    <row r="1183" spans="35:35">
      <c r="AI1183" s="131"/>
    </row>
    <row r="1184" spans="35:35">
      <c r="AI1184" s="131"/>
    </row>
    <row r="1185" spans="35:35">
      <c r="AI1185" s="131"/>
    </row>
    <row r="1186" spans="35:35">
      <c r="AI1186" s="131"/>
    </row>
    <row r="1187" spans="35:35">
      <c r="AI1187" s="131"/>
    </row>
    <row r="1188" spans="35:35">
      <c r="AI1188" s="131"/>
    </row>
    <row r="1189" spans="35:35">
      <c r="AI1189" s="284"/>
    </row>
    <row r="1190" spans="35:35">
      <c r="AI1190" s="131"/>
    </row>
    <row r="1191" spans="35:35">
      <c r="AI1191" s="131"/>
    </row>
    <row r="1192" spans="35:35">
      <c r="AI1192" s="131"/>
    </row>
    <row r="1193" spans="35:35">
      <c r="AI1193" s="131"/>
    </row>
    <row r="1194" spans="35:35">
      <c r="AI1194" s="131"/>
    </row>
    <row r="1195" spans="35:35">
      <c r="AI1195" s="131"/>
    </row>
    <row r="1196" spans="35:35">
      <c r="AI1196" s="131"/>
    </row>
    <row r="1197" spans="35:35">
      <c r="AI1197" s="131"/>
    </row>
    <row r="1198" spans="35:35">
      <c r="AI1198" s="131"/>
    </row>
    <row r="1199" spans="35:35">
      <c r="AI1199" s="131"/>
    </row>
    <row r="1200" spans="35:35">
      <c r="AI1200" s="131"/>
    </row>
    <row r="1201" spans="35:35">
      <c r="AI1201" s="131"/>
    </row>
    <row r="1202" spans="35:35">
      <c r="AI1202" s="131"/>
    </row>
    <row r="1203" spans="35:35">
      <c r="AI1203" s="131"/>
    </row>
    <row r="1204" spans="35:35">
      <c r="AI1204" s="284"/>
    </row>
    <row r="1205" spans="35:35">
      <c r="AI1205" s="284"/>
    </row>
    <row r="1206" spans="35:35">
      <c r="AI1206" s="131"/>
    </row>
    <row r="1207" spans="35:35">
      <c r="AI1207" s="131"/>
    </row>
    <row r="1208" spans="35:35">
      <c r="AI1208" s="131"/>
    </row>
    <row r="1209" spans="35:35">
      <c r="AI1209" s="131"/>
    </row>
    <row r="1210" spans="35:35">
      <c r="AI1210" s="131"/>
    </row>
    <row r="1211" spans="35:35">
      <c r="AI1211" s="131"/>
    </row>
    <row r="1212" spans="35:35">
      <c r="AI1212" s="131"/>
    </row>
    <row r="1213" spans="35:35">
      <c r="AI1213" s="131"/>
    </row>
    <row r="1214" spans="35:35">
      <c r="AI1214" s="131"/>
    </row>
    <row r="1215" spans="35:35">
      <c r="AI1215" s="284"/>
    </row>
    <row r="1216" spans="35:35">
      <c r="AI1216" s="131"/>
    </row>
    <row r="1217" spans="35:35">
      <c r="AI1217" s="131"/>
    </row>
    <row r="1218" spans="35:35">
      <c r="AI1218" s="131"/>
    </row>
    <row r="1219" spans="35:35">
      <c r="AI1219" s="131"/>
    </row>
    <row r="1220" spans="35:35">
      <c r="AI1220" s="131"/>
    </row>
    <row r="1221" spans="35:35">
      <c r="AI1221" s="131"/>
    </row>
    <row r="1222" spans="35:35">
      <c r="AI1222" s="128"/>
    </row>
    <row r="1223" spans="35:35">
      <c r="AI1223" s="131"/>
    </row>
    <row r="1225" spans="35:35">
      <c r="AI1225" s="131"/>
    </row>
    <row r="1226" spans="35:35">
      <c r="AI1226" s="284"/>
    </row>
    <row r="1227" spans="35:35">
      <c r="AI1227" s="131"/>
    </row>
    <row r="1228" spans="35:35">
      <c r="AI1228" s="131"/>
    </row>
    <row r="1229" spans="35:35">
      <c r="AI1229" s="131"/>
    </row>
    <row r="1230" spans="35:35">
      <c r="AI1230" s="131"/>
    </row>
    <row r="1231" spans="35:35">
      <c r="AI1231" s="131"/>
    </row>
    <row r="1232" spans="35:35">
      <c r="AI1232" s="131"/>
    </row>
    <row r="1233" spans="1:35">
      <c r="AI1233" s="131"/>
    </row>
    <row r="1234" spans="1:35">
      <c r="AI1234" s="131"/>
    </row>
    <row r="1235" spans="1:35">
      <c r="AI1235" s="131"/>
    </row>
    <row r="1236" spans="1:35">
      <c r="AI1236" s="131"/>
    </row>
    <row r="1237" spans="1:35">
      <c r="AI1237" s="131"/>
    </row>
    <row r="1238" spans="1:35">
      <c r="AI1238" s="131"/>
    </row>
    <row r="1239" spans="1:35">
      <c r="AI1239" s="131"/>
    </row>
    <row r="1240" spans="1:35">
      <c r="AI1240" s="131"/>
    </row>
    <row r="1241" spans="1:35">
      <c r="AI1241" s="131"/>
    </row>
    <row r="1242" spans="1:35">
      <c r="AI1242" s="131"/>
    </row>
    <row r="1243" spans="1:35">
      <c r="AI1243" s="131"/>
    </row>
    <row r="1244" spans="1:35">
      <c r="AI1244" s="131"/>
    </row>
    <row r="1245" spans="1:35">
      <c r="AI1245" s="131"/>
    </row>
    <row r="1246" spans="1:35" ht="26.4">
      <c r="A1246" s="284"/>
      <c r="B1246" s="284"/>
      <c r="C1246" s="284"/>
      <c r="D1246" s="284"/>
      <c r="E1246" s="284"/>
      <c r="F1246" s="284"/>
      <c r="H1246" s="284"/>
      <c r="I1246" s="284"/>
      <c r="J1246" s="375"/>
      <c r="K1246" s="375"/>
      <c r="L1246" s="375"/>
      <c r="M1246" s="368"/>
      <c r="N1246" s="368"/>
      <c r="T1246" s="340"/>
      <c r="V1246" s="378"/>
      <c r="W1246" s="64" ph="1"/>
      <c r="X1246" s="241"/>
      <c r="AA1246" s="284"/>
      <c r="AB1246" s="284"/>
      <c r="AC1246" s="284"/>
      <c r="AD1246" s="284"/>
      <c r="AE1246" s="284"/>
      <c r="AF1246" s="284"/>
      <c r="AG1246" s="8"/>
      <c r="AI1246" s="131"/>
    </row>
    <row r="1247" spans="1:35">
      <c r="A1247" s="284"/>
      <c r="Y1247" s="284"/>
      <c r="Z1247" s="207"/>
      <c r="AI1247" s="131"/>
    </row>
    <row r="1248" spans="1:35">
      <c r="AI1248" s="131"/>
    </row>
    <row r="1249" spans="1:35">
      <c r="AI1249" s="131"/>
    </row>
    <row r="1251" spans="1:35">
      <c r="AI1251" s="131"/>
    </row>
    <row r="1252" spans="1:35">
      <c r="AI1252" s="131"/>
    </row>
    <row r="1253" spans="1:35">
      <c r="A1253" s="284"/>
      <c r="G1253" s="284"/>
      <c r="AI1253" s="131"/>
    </row>
    <row r="1254" spans="1:35">
      <c r="AI1254" s="131"/>
    </row>
    <row r="1255" spans="1:35">
      <c r="AI1255" s="131"/>
    </row>
    <row r="1256" spans="1:35" ht="26.4">
      <c r="A1256" s="284"/>
      <c r="B1256" s="284"/>
      <c r="C1256" s="284"/>
      <c r="D1256" s="284"/>
      <c r="E1256" s="284"/>
      <c r="F1256" s="284"/>
      <c r="H1256" s="284"/>
      <c r="I1256" s="284"/>
      <c r="J1256" s="375"/>
      <c r="K1256" s="375"/>
      <c r="L1256" s="375"/>
      <c r="M1256" s="368"/>
      <c r="N1256" s="368"/>
      <c r="T1256" s="340"/>
      <c r="V1256" s="378"/>
      <c r="W1256" s="64" ph="1"/>
      <c r="X1256" s="241"/>
      <c r="AA1256" s="284"/>
      <c r="AB1256" s="284"/>
      <c r="AC1256" s="284"/>
      <c r="AD1256" s="284"/>
      <c r="AE1256" s="284"/>
      <c r="AF1256" s="284"/>
      <c r="AG1256" s="8"/>
      <c r="AI1256" s="131"/>
    </row>
    <row r="1257" spans="1:35">
      <c r="A1257" s="284"/>
      <c r="Y1257" s="284"/>
      <c r="Z1257" s="207"/>
      <c r="AI1257" s="131"/>
    </row>
    <row r="1258" spans="1:35">
      <c r="O1258" s="370"/>
      <c r="AI1258" s="131"/>
    </row>
    <row r="1259" spans="1:35">
      <c r="AI1259" s="52"/>
    </row>
    <row r="1260" spans="1:35" ht="26.4">
      <c r="A1260" s="284"/>
      <c r="B1260" s="284"/>
      <c r="C1260" s="284"/>
      <c r="D1260" s="284"/>
      <c r="E1260" s="284"/>
      <c r="F1260" s="284"/>
      <c r="H1260" s="284"/>
      <c r="I1260" s="284"/>
      <c r="J1260" s="375"/>
      <c r="K1260" s="375"/>
      <c r="L1260" s="375"/>
      <c r="M1260" s="368"/>
      <c r="N1260" s="368"/>
      <c r="T1260" s="340"/>
      <c r="V1260" s="378"/>
      <c r="W1260" s="64" ph="1"/>
      <c r="X1260" s="241"/>
      <c r="AA1260" s="284"/>
      <c r="AB1260" s="284"/>
      <c r="AC1260" s="284"/>
      <c r="AD1260" s="284"/>
      <c r="AE1260" s="284"/>
      <c r="AF1260" s="284"/>
      <c r="AG1260" s="8"/>
      <c r="AI1260" s="131"/>
    </row>
    <row r="1261" spans="1:35">
      <c r="A1261" s="284"/>
      <c r="Y1261" s="284"/>
      <c r="Z1261" s="207"/>
      <c r="AI1261" s="131"/>
    </row>
    <row r="1262" spans="1:35">
      <c r="AI1262" s="131"/>
    </row>
    <row r="1263" spans="1:35">
      <c r="A1263" s="284"/>
      <c r="G1263" s="284"/>
      <c r="AI1263" s="131"/>
    </row>
    <row r="1264" spans="1:35">
      <c r="AI1264" s="131"/>
    </row>
    <row r="1265" spans="1:35" ht="26.4">
      <c r="A1265" s="284"/>
      <c r="B1265" s="284"/>
      <c r="C1265" s="284"/>
      <c r="D1265" s="284"/>
      <c r="E1265" s="284"/>
      <c r="F1265" s="284"/>
      <c r="H1265" s="284"/>
      <c r="I1265" s="284"/>
      <c r="J1265" s="375"/>
      <c r="K1265" s="375"/>
      <c r="L1265" s="375"/>
      <c r="M1265" s="368"/>
      <c r="N1265" s="368"/>
      <c r="T1265" s="340"/>
      <c r="V1265" s="378"/>
      <c r="W1265" s="64" ph="1"/>
      <c r="X1265" s="241"/>
      <c r="AA1265" s="284"/>
      <c r="AB1265" s="284"/>
      <c r="AC1265" s="284"/>
      <c r="AD1265" s="284"/>
      <c r="AE1265" s="284"/>
      <c r="AF1265" s="284"/>
      <c r="AG1265" s="8"/>
      <c r="AI1265" s="131"/>
    </row>
    <row r="1266" spans="1:35" ht="26.4">
      <c r="A1266" s="284"/>
      <c r="B1266" s="284"/>
      <c r="C1266" s="284"/>
      <c r="D1266" s="284"/>
      <c r="E1266" s="284"/>
      <c r="F1266" s="284"/>
      <c r="H1266" s="284"/>
      <c r="I1266" s="284"/>
      <c r="J1266" s="375"/>
      <c r="K1266" s="375"/>
      <c r="L1266" s="375"/>
      <c r="M1266" s="368"/>
      <c r="N1266" s="368"/>
      <c r="T1266" s="340"/>
      <c r="V1266" s="378"/>
      <c r="W1266" s="64" ph="1"/>
      <c r="X1266" s="241"/>
      <c r="Y1266" s="284"/>
      <c r="Z1266" s="207"/>
      <c r="AA1266" s="284"/>
      <c r="AB1266" s="284"/>
      <c r="AC1266" s="284"/>
      <c r="AD1266" s="284"/>
      <c r="AE1266" s="284"/>
      <c r="AF1266" s="284"/>
      <c r="AG1266" s="8"/>
      <c r="AI1266" s="131"/>
    </row>
    <row r="1267" spans="1:35" ht="26.4">
      <c r="A1267" s="284"/>
      <c r="B1267" s="284"/>
      <c r="C1267" s="284"/>
      <c r="D1267" s="284"/>
      <c r="E1267" s="284"/>
      <c r="F1267" s="284"/>
      <c r="G1267" s="284"/>
      <c r="H1267" s="284"/>
      <c r="I1267" s="284"/>
      <c r="J1267" s="375"/>
      <c r="K1267" s="375"/>
      <c r="L1267" s="375"/>
      <c r="M1267" s="368"/>
      <c r="N1267" s="368"/>
      <c r="T1267" s="340"/>
      <c r="V1267" s="378"/>
      <c r="W1267" s="64" ph="1"/>
      <c r="X1267" s="241"/>
      <c r="Y1267" s="284"/>
      <c r="Z1267" s="207"/>
      <c r="AA1267" s="284"/>
      <c r="AB1267" s="284"/>
      <c r="AC1267" s="284"/>
      <c r="AD1267" s="284"/>
      <c r="AE1267" s="284"/>
      <c r="AF1267" s="284"/>
      <c r="AG1267" s="8"/>
      <c r="AI1267" s="131"/>
    </row>
    <row r="1268" spans="1:35">
      <c r="A1268" s="284"/>
      <c r="O1268" s="370"/>
      <c r="Y1268" s="284"/>
      <c r="Z1268" s="207"/>
      <c r="AI1268" s="131"/>
    </row>
    <row r="1269" spans="1:35" ht="26.4">
      <c r="A1269" s="284"/>
      <c r="B1269" s="284"/>
      <c r="C1269" s="284"/>
      <c r="D1269" s="284"/>
      <c r="E1269" s="284"/>
      <c r="F1269" s="284"/>
      <c r="H1269" s="284"/>
      <c r="I1269" s="284"/>
      <c r="J1269" s="375"/>
      <c r="K1269" s="375"/>
      <c r="L1269" s="375"/>
      <c r="M1269" s="368"/>
      <c r="N1269" s="368"/>
      <c r="T1269" s="340"/>
      <c r="V1269" s="378"/>
      <c r="W1269" s="64" ph="1"/>
      <c r="X1269" s="241"/>
      <c r="AA1269" s="284"/>
      <c r="AB1269" s="284"/>
      <c r="AC1269" s="284"/>
      <c r="AD1269" s="284"/>
      <c r="AE1269" s="284"/>
      <c r="AF1269" s="284"/>
      <c r="AG1269" s="8"/>
      <c r="AI1269" s="131"/>
    </row>
    <row r="1270" spans="1:35" ht="26.4">
      <c r="A1270" s="284"/>
      <c r="B1270" s="284"/>
      <c r="C1270" s="284"/>
      <c r="D1270" s="284"/>
      <c r="E1270" s="284"/>
      <c r="F1270" s="284"/>
      <c r="H1270" s="284"/>
      <c r="I1270" s="284"/>
      <c r="J1270" s="375"/>
      <c r="K1270" s="375"/>
      <c r="L1270" s="375"/>
      <c r="M1270" s="368"/>
      <c r="N1270" s="368"/>
      <c r="T1270" s="340"/>
      <c r="V1270" s="378"/>
      <c r="W1270" s="64" ph="1"/>
      <c r="X1270" s="241"/>
      <c r="Y1270" s="284"/>
      <c r="Z1270" s="207"/>
      <c r="AA1270" s="284"/>
      <c r="AB1270" s="284"/>
      <c r="AC1270" s="284"/>
      <c r="AD1270" s="284"/>
      <c r="AE1270" s="284"/>
      <c r="AF1270" s="284"/>
      <c r="AG1270" s="8"/>
      <c r="AI1270" s="284"/>
    </row>
    <row r="1271" spans="1:35">
      <c r="A1271" s="284"/>
      <c r="Y1271" s="284"/>
      <c r="Z1271" s="207"/>
      <c r="AI1271" s="27"/>
    </row>
    <row r="1272" spans="1:35" ht="26.4">
      <c r="A1272" s="284"/>
      <c r="B1272" s="284"/>
      <c r="C1272" s="284"/>
      <c r="D1272" s="284"/>
      <c r="E1272" s="284"/>
      <c r="F1272" s="284"/>
      <c r="G1272" s="284"/>
      <c r="H1272" s="284"/>
      <c r="I1272" s="284"/>
      <c r="J1272" s="375"/>
      <c r="K1272" s="375"/>
      <c r="L1272" s="375"/>
      <c r="M1272" s="368"/>
      <c r="N1272" s="368"/>
      <c r="O1272" s="370"/>
      <c r="T1272" s="340"/>
      <c r="V1272" s="378"/>
      <c r="W1272" s="64" ph="1"/>
      <c r="X1272" s="241"/>
      <c r="AA1272" s="284"/>
      <c r="AB1272" s="284"/>
      <c r="AC1272" s="284"/>
      <c r="AD1272" s="284"/>
      <c r="AE1272" s="284"/>
      <c r="AF1272" s="284"/>
      <c r="AG1272" s="8"/>
      <c r="AI1272" s="284"/>
    </row>
    <row r="1273" spans="1:35">
      <c r="A1273" s="284"/>
      <c r="G1273" s="284"/>
      <c r="Y1273" s="284"/>
      <c r="Z1273" s="207"/>
      <c r="AI1273" s="131"/>
    </row>
    <row r="1274" spans="1:35" ht="26.4">
      <c r="A1274" s="284"/>
      <c r="B1274" s="284"/>
      <c r="C1274" s="284"/>
      <c r="D1274" s="284"/>
      <c r="E1274" s="284"/>
      <c r="F1274" s="284"/>
      <c r="G1274" s="284"/>
      <c r="H1274" s="284"/>
      <c r="I1274" s="284"/>
      <c r="J1274" s="375"/>
      <c r="K1274" s="375"/>
      <c r="L1274" s="375"/>
      <c r="M1274" s="368"/>
      <c r="N1274" s="368"/>
      <c r="T1274" s="340"/>
      <c r="V1274" s="378"/>
      <c r="W1274" s="64" ph="1"/>
      <c r="X1274" s="241"/>
      <c r="AA1274" s="284"/>
      <c r="AB1274" s="284"/>
      <c r="AC1274" s="284"/>
      <c r="AD1274" s="284"/>
      <c r="AE1274" s="284"/>
      <c r="AF1274" s="284"/>
      <c r="AG1274" s="8"/>
      <c r="AI1274" s="131"/>
    </row>
    <row r="1275" spans="1:35" ht="26.4">
      <c r="A1275" s="284"/>
      <c r="B1275" s="284"/>
      <c r="C1275" s="284"/>
      <c r="D1275" s="284"/>
      <c r="E1275" s="284"/>
      <c r="F1275" s="284"/>
      <c r="H1275" s="284"/>
      <c r="I1275" s="284"/>
      <c r="J1275" s="375"/>
      <c r="K1275" s="375"/>
      <c r="L1275" s="375"/>
      <c r="M1275" s="368"/>
      <c r="N1275" s="368"/>
      <c r="T1275" s="340"/>
      <c r="V1275" s="378"/>
      <c r="W1275" s="64" ph="1"/>
      <c r="X1275" s="241"/>
      <c r="Y1275" s="284"/>
      <c r="Z1275" s="207"/>
      <c r="AA1275" s="284"/>
      <c r="AB1275" s="284"/>
      <c r="AC1275" s="284"/>
      <c r="AD1275" s="284"/>
      <c r="AE1275" s="284"/>
      <c r="AF1275" s="284"/>
      <c r="AG1275" s="8"/>
      <c r="AI1275" s="131"/>
    </row>
    <row r="1276" spans="1:35" ht="26.4">
      <c r="A1276" s="284"/>
      <c r="B1276" s="284"/>
      <c r="C1276" s="284"/>
      <c r="D1276" s="284"/>
      <c r="E1276" s="284"/>
      <c r="F1276" s="284"/>
      <c r="G1276" s="284"/>
      <c r="H1276" s="284"/>
      <c r="I1276" s="284"/>
      <c r="J1276" s="375"/>
      <c r="K1276" s="375"/>
      <c r="L1276" s="375"/>
      <c r="M1276" s="368"/>
      <c r="N1276" s="368"/>
      <c r="T1276" s="340"/>
      <c r="V1276" s="378"/>
      <c r="W1276" s="64" ph="1"/>
      <c r="X1276" s="241"/>
      <c r="Y1276" s="284"/>
      <c r="Z1276" s="207"/>
      <c r="AA1276" s="284"/>
      <c r="AB1276" s="284"/>
      <c r="AC1276" s="284"/>
      <c r="AD1276" s="284"/>
      <c r="AE1276" s="284"/>
      <c r="AF1276" s="284"/>
      <c r="AG1276" s="8"/>
      <c r="AI1276" s="131"/>
    </row>
    <row r="1277" spans="1:35" ht="26.4">
      <c r="A1277" s="284"/>
      <c r="B1277" s="284"/>
      <c r="C1277" s="284"/>
      <c r="D1277" s="284"/>
      <c r="E1277" s="284"/>
      <c r="F1277" s="284"/>
      <c r="G1277" s="284"/>
      <c r="H1277" s="284"/>
      <c r="I1277" s="284"/>
      <c r="J1277" s="375"/>
      <c r="K1277" s="375"/>
      <c r="L1277" s="375"/>
      <c r="M1277" s="368"/>
      <c r="N1277" s="368"/>
      <c r="O1277" s="370"/>
      <c r="T1277" s="340"/>
      <c r="V1277" s="378"/>
      <c r="W1277" s="64" ph="1"/>
      <c r="X1277" s="241"/>
      <c r="Y1277" s="284"/>
      <c r="Z1277" s="207"/>
      <c r="AA1277" s="284"/>
      <c r="AB1277" s="284"/>
      <c r="AC1277" s="284"/>
      <c r="AD1277" s="284"/>
      <c r="AE1277" s="284"/>
      <c r="AF1277" s="284"/>
      <c r="AG1277" s="8"/>
      <c r="AI1277" s="131"/>
    </row>
    <row r="1278" spans="1:35" ht="26.4">
      <c r="A1278" s="284"/>
      <c r="B1278" s="284"/>
      <c r="C1278" s="284"/>
      <c r="D1278" s="284"/>
      <c r="E1278" s="284"/>
      <c r="F1278" s="284"/>
      <c r="H1278" s="284"/>
      <c r="I1278" s="284"/>
      <c r="J1278" s="375"/>
      <c r="K1278" s="375"/>
      <c r="L1278" s="375"/>
      <c r="M1278" s="368"/>
      <c r="N1278" s="368"/>
      <c r="O1278" s="370"/>
      <c r="T1278" s="340"/>
      <c r="V1278" s="378"/>
      <c r="W1278" s="64" ph="1"/>
      <c r="X1278" s="241"/>
      <c r="Y1278" s="284"/>
      <c r="Z1278" s="207"/>
      <c r="AA1278" s="284"/>
      <c r="AB1278" s="284"/>
      <c r="AC1278" s="284"/>
      <c r="AD1278" s="284"/>
      <c r="AE1278" s="284"/>
      <c r="AF1278" s="284"/>
      <c r="AG1278" s="8"/>
      <c r="AI1278" s="131"/>
    </row>
    <row r="1279" spans="1:35" ht="26.4">
      <c r="A1279" s="284"/>
      <c r="B1279" s="284"/>
      <c r="C1279" s="284"/>
      <c r="D1279" s="284"/>
      <c r="E1279" s="284"/>
      <c r="F1279" s="284"/>
      <c r="G1279" s="284"/>
      <c r="H1279" s="284"/>
      <c r="I1279" s="284"/>
      <c r="J1279" s="375"/>
      <c r="K1279" s="375"/>
      <c r="L1279" s="375"/>
      <c r="M1279" s="368"/>
      <c r="N1279" s="368"/>
      <c r="O1279" s="370"/>
      <c r="T1279" s="340"/>
      <c r="V1279" s="378"/>
      <c r="W1279" s="64" ph="1"/>
      <c r="X1279" s="241"/>
      <c r="Y1279" s="284"/>
      <c r="Z1279" s="207"/>
      <c r="AA1279" s="284"/>
      <c r="AB1279" s="284"/>
      <c r="AC1279" s="284"/>
      <c r="AD1279" s="284"/>
      <c r="AE1279" s="284"/>
      <c r="AF1279" s="284"/>
      <c r="AG1279" s="8"/>
      <c r="AI1279" s="131"/>
    </row>
    <row r="1280" spans="1:35" ht="26.4">
      <c r="A1280" s="284"/>
      <c r="B1280" s="284"/>
      <c r="C1280" s="284"/>
      <c r="D1280" s="284"/>
      <c r="E1280" s="284"/>
      <c r="F1280" s="284"/>
      <c r="H1280" s="284"/>
      <c r="I1280" s="284"/>
      <c r="J1280" s="375"/>
      <c r="K1280" s="375"/>
      <c r="L1280" s="375"/>
      <c r="M1280" s="368"/>
      <c r="N1280" s="368"/>
      <c r="T1280" s="340"/>
      <c r="V1280" s="378"/>
      <c r="W1280" s="64" ph="1"/>
      <c r="X1280" s="241"/>
      <c r="Y1280" s="284"/>
      <c r="Z1280" s="207"/>
      <c r="AA1280" s="284"/>
      <c r="AB1280" s="284"/>
      <c r="AC1280" s="284"/>
      <c r="AD1280" s="284"/>
      <c r="AE1280" s="284"/>
      <c r="AF1280" s="284"/>
      <c r="AG1280" s="8"/>
      <c r="AI1280" s="131"/>
    </row>
    <row r="1281" spans="1:35" ht="26.4">
      <c r="A1281" s="284"/>
      <c r="B1281" s="284"/>
      <c r="C1281" s="284"/>
      <c r="D1281" s="284"/>
      <c r="E1281" s="284"/>
      <c r="F1281" s="284"/>
      <c r="G1281" s="284"/>
      <c r="H1281" s="284"/>
      <c r="I1281" s="284"/>
      <c r="J1281" s="375"/>
      <c r="K1281" s="375"/>
      <c r="L1281" s="375"/>
      <c r="M1281" s="368"/>
      <c r="N1281" s="368"/>
      <c r="O1281" s="370"/>
      <c r="T1281" s="340"/>
      <c r="V1281" s="378"/>
      <c r="W1281" s="64" ph="1"/>
      <c r="X1281" s="241"/>
      <c r="Y1281" s="284"/>
      <c r="Z1281" s="207"/>
      <c r="AA1281" s="284"/>
      <c r="AB1281" s="284"/>
      <c r="AC1281" s="284"/>
      <c r="AD1281" s="284"/>
      <c r="AE1281" s="284"/>
      <c r="AF1281" s="284"/>
      <c r="AG1281" s="8"/>
      <c r="AI1281" s="131"/>
    </row>
    <row r="1282" spans="1:35" ht="26.4">
      <c r="A1282" s="284"/>
      <c r="G1282" s="284"/>
      <c r="O1282" s="370"/>
      <c r="W1282" s="64" ph="1"/>
      <c r="Y1282" s="284"/>
      <c r="Z1282" s="207"/>
      <c r="AI1282" s="131"/>
    </row>
    <row r="1283" spans="1:35" ht="26.4">
      <c r="A1283" s="284"/>
      <c r="G1283" s="284"/>
      <c r="W1283" s="64" ph="1"/>
      <c r="AI1283" s="131"/>
    </row>
    <row r="1284" spans="1:35">
      <c r="A1284" s="284"/>
      <c r="G1284" s="284"/>
      <c r="O1284" s="370"/>
      <c r="AI1284" s="131"/>
    </row>
    <row r="1285" spans="1:35" ht="26.4">
      <c r="A1285" s="284"/>
      <c r="G1285" s="284"/>
      <c r="W1285" s="64" ph="1"/>
      <c r="AI1285" s="131"/>
    </row>
    <row r="1286" spans="1:35" ht="26.4">
      <c r="A1286" s="284"/>
      <c r="G1286" s="284"/>
      <c r="O1286" s="370"/>
      <c r="W1286" s="64" ph="1"/>
      <c r="AI1286" s="131"/>
    </row>
    <row r="1287" spans="1:35" ht="26.4">
      <c r="A1287" s="284"/>
      <c r="G1287" s="284"/>
      <c r="O1287" s="370"/>
      <c r="W1287" s="64" ph="1"/>
      <c r="AI1287" s="131"/>
    </row>
    <row r="1288" spans="1:35" ht="26.4">
      <c r="A1288" s="284"/>
      <c r="G1288" s="284"/>
      <c r="O1288" s="370"/>
      <c r="W1288" s="64" ph="1"/>
      <c r="AI1288" s="131"/>
    </row>
    <row r="1289" spans="1:35" ht="26.4">
      <c r="A1289" s="284"/>
      <c r="O1289" s="370"/>
      <c r="W1289" s="64" ph="1"/>
      <c r="AI1289" s="131"/>
    </row>
    <row r="1290" spans="1:35" ht="26.4">
      <c r="A1290" s="284"/>
      <c r="B1290" s="284"/>
      <c r="C1290" s="284"/>
      <c r="D1290" s="284"/>
      <c r="E1290" s="284"/>
      <c r="F1290" s="284"/>
      <c r="G1290" s="284"/>
      <c r="H1290" s="284"/>
      <c r="I1290" s="284"/>
      <c r="J1290" s="375"/>
      <c r="K1290" s="375"/>
      <c r="L1290" s="375"/>
      <c r="M1290" s="368"/>
      <c r="N1290" s="368"/>
      <c r="O1290" s="370"/>
      <c r="T1290" s="340"/>
      <c r="V1290" s="378"/>
      <c r="W1290" s="64" ph="1"/>
      <c r="X1290" s="241"/>
      <c r="Y1290" s="284"/>
      <c r="Z1290" s="207"/>
      <c r="AA1290" s="284"/>
      <c r="AB1290" s="284"/>
      <c r="AC1290" s="284"/>
      <c r="AD1290" s="284"/>
      <c r="AE1290" s="284"/>
      <c r="AF1290" s="284"/>
      <c r="AG1290" s="284"/>
      <c r="AI1290" s="131"/>
    </row>
    <row r="1291" spans="1:35" ht="26.4">
      <c r="A1291" s="284"/>
      <c r="B1291" s="284"/>
      <c r="C1291" s="284"/>
      <c r="D1291" s="284"/>
      <c r="E1291" s="284"/>
      <c r="F1291" s="284"/>
      <c r="G1291" s="284"/>
      <c r="H1291" s="284"/>
      <c r="I1291" s="284"/>
      <c r="J1291" s="375"/>
      <c r="K1291" s="375"/>
      <c r="L1291" s="375"/>
      <c r="M1291" s="368"/>
      <c r="N1291" s="368"/>
      <c r="O1291" s="370"/>
      <c r="T1291" s="340"/>
      <c r="V1291" s="378"/>
      <c r="W1291" s="64" ph="1"/>
      <c r="X1291" s="241"/>
      <c r="Y1291" s="284"/>
      <c r="Z1291" s="207"/>
      <c r="AA1291" s="284"/>
      <c r="AB1291" s="284"/>
      <c r="AC1291" s="284"/>
      <c r="AD1291" s="284"/>
      <c r="AE1291" s="284"/>
      <c r="AF1291" s="284"/>
      <c r="AG1291" s="284"/>
      <c r="AI1291" s="131"/>
    </row>
    <row r="1292" spans="1:35" ht="26.4">
      <c r="A1292" s="284"/>
      <c r="B1292" s="284"/>
      <c r="C1292" s="284"/>
      <c r="D1292" s="284"/>
      <c r="E1292" s="284"/>
      <c r="F1292" s="284"/>
      <c r="G1292" s="284"/>
      <c r="H1292" s="284"/>
      <c r="I1292" s="284"/>
      <c r="J1292" s="375"/>
      <c r="K1292" s="375"/>
      <c r="L1292" s="375"/>
      <c r="M1292" s="368"/>
      <c r="N1292" s="368"/>
      <c r="O1292" s="370"/>
      <c r="T1292" s="340"/>
      <c r="V1292" s="378"/>
      <c r="W1292" s="64" ph="1"/>
      <c r="X1292" s="241"/>
      <c r="Y1292" s="284"/>
      <c r="Z1292" s="207"/>
      <c r="AA1292" s="284"/>
      <c r="AB1292" s="284"/>
      <c r="AC1292" s="284"/>
      <c r="AD1292" s="284"/>
      <c r="AE1292" s="284"/>
      <c r="AF1292" s="284"/>
      <c r="AG1292" s="284"/>
      <c r="AI1292" s="131"/>
    </row>
    <row r="1293" spans="1:35">
      <c r="O1293" s="370"/>
      <c r="AI1293" s="131"/>
    </row>
    <row r="1294" spans="1:35" ht="26.4">
      <c r="A1294" s="284"/>
      <c r="B1294" s="284"/>
      <c r="C1294" s="284"/>
      <c r="D1294" s="284"/>
      <c r="E1294" s="284"/>
      <c r="F1294" s="284"/>
      <c r="G1294" s="284"/>
      <c r="H1294" s="284"/>
      <c r="I1294" s="284"/>
      <c r="J1294" s="375"/>
      <c r="K1294" s="375"/>
      <c r="L1294" s="375"/>
      <c r="M1294" s="368"/>
      <c r="N1294" s="368"/>
      <c r="T1294" s="340"/>
      <c r="V1294" s="378"/>
      <c r="W1294" s="64" ph="1"/>
      <c r="X1294" s="241"/>
      <c r="Y1294" s="284"/>
      <c r="Z1294" s="207"/>
      <c r="AA1294" s="284"/>
      <c r="AB1294" s="284"/>
      <c r="AC1294" s="284"/>
      <c r="AD1294" s="284"/>
      <c r="AE1294" s="284"/>
      <c r="AF1294" s="284"/>
      <c r="AG1294" s="284"/>
      <c r="AI1294" s="284"/>
    </row>
    <row r="1295" spans="1:35" ht="26.4">
      <c r="A1295" s="284"/>
      <c r="B1295" s="284"/>
      <c r="C1295" s="284"/>
      <c r="D1295" s="284"/>
      <c r="E1295" s="284"/>
      <c r="F1295" s="284"/>
      <c r="G1295" s="284"/>
      <c r="H1295" s="284"/>
      <c r="I1295" s="284"/>
      <c r="J1295" s="375"/>
      <c r="K1295" s="375"/>
      <c r="L1295" s="375"/>
      <c r="M1295" s="368"/>
      <c r="N1295" s="368"/>
      <c r="T1295" s="340"/>
      <c r="V1295" s="378"/>
      <c r="W1295" s="64" ph="1"/>
      <c r="X1295" s="241"/>
      <c r="Y1295" s="284"/>
      <c r="Z1295" s="207"/>
      <c r="AA1295" s="284"/>
      <c r="AB1295" s="284"/>
      <c r="AC1295" s="284"/>
      <c r="AD1295" s="284"/>
      <c r="AE1295" s="284"/>
      <c r="AF1295" s="284"/>
      <c r="AG1295" s="284"/>
      <c r="AI1295" s="284"/>
    </row>
    <row r="1296" spans="1:35" ht="26.4">
      <c r="A1296" s="284"/>
      <c r="B1296" s="284"/>
      <c r="C1296" s="284"/>
      <c r="D1296" s="284"/>
      <c r="E1296" s="284"/>
      <c r="F1296" s="284"/>
      <c r="G1296" s="284"/>
      <c r="H1296" s="284"/>
      <c r="I1296" s="284"/>
      <c r="J1296" s="375"/>
      <c r="K1296" s="375"/>
      <c r="L1296" s="375"/>
      <c r="M1296" s="368"/>
      <c r="N1296" s="368"/>
      <c r="T1296" s="340"/>
      <c r="V1296" s="378"/>
      <c r="W1296" s="64" ph="1"/>
      <c r="X1296" s="241"/>
      <c r="Y1296" s="284"/>
      <c r="Z1296" s="207"/>
      <c r="AA1296" s="284"/>
      <c r="AB1296" s="284"/>
      <c r="AC1296" s="284"/>
      <c r="AD1296" s="284"/>
      <c r="AE1296" s="284"/>
      <c r="AF1296" s="284"/>
      <c r="AG1296" s="284"/>
      <c r="AI1296" s="28"/>
    </row>
    <row r="1297" spans="1:35" ht="26.4">
      <c r="A1297" s="284"/>
      <c r="B1297" s="284"/>
      <c r="C1297" s="284"/>
      <c r="D1297" s="284"/>
      <c r="E1297" s="284"/>
      <c r="F1297" s="284"/>
      <c r="G1297" s="284"/>
      <c r="H1297" s="284"/>
      <c r="I1297" s="284"/>
      <c r="J1297" s="375"/>
      <c r="K1297" s="375"/>
      <c r="L1297" s="375"/>
      <c r="M1297" s="368"/>
      <c r="N1297" s="368"/>
      <c r="T1297" s="340"/>
      <c r="V1297" s="378"/>
      <c r="W1297" s="64" ph="1"/>
      <c r="X1297" s="241"/>
      <c r="Y1297" s="284"/>
      <c r="Z1297" s="207"/>
      <c r="AA1297" s="284"/>
      <c r="AB1297" s="284"/>
      <c r="AC1297" s="284"/>
      <c r="AD1297" s="284"/>
      <c r="AE1297" s="284"/>
      <c r="AF1297" s="284"/>
      <c r="AG1297" s="284"/>
      <c r="AI1297" s="131"/>
    </row>
    <row r="1298" spans="1:35">
      <c r="AI1298" s="131"/>
    </row>
    <row r="1299" spans="1:35">
      <c r="AI1299" s="131"/>
    </row>
    <row r="1300" spans="1:35">
      <c r="AI1300" s="131"/>
    </row>
    <row r="1301" spans="1:35">
      <c r="AI1301" s="131"/>
    </row>
    <row r="1302" spans="1:35">
      <c r="O1302" s="370"/>
      <c r="AI1302" s="131"/>
    </row>
    <row r="1303" spans="1:35">
      <c r="O1303" s="370"/>
      <c r="AI1303" s="131"/>
    </row>
    <row r="1304" spans="1:35">
      <c r="O1304" s="370"/>
      <c r="AI1304" s="131"/>
    </row>
    <row r="1305" spans="1:35">
      <c r="AI1305" s="131"/>
    </row>
    <row r="1306" spans="1:35">
      <c r="O1306" s="370"/>
      <c r="AI1306" s="131"/>
    </row>
    <row r="1307" spans="1:35">
      <c r="O1307" s="370"/>
      <c r="AI1307" s="131"/>
    </row>
    <row r="1308" spans="1:35">
      <c r="O1308" s="370"/>
      <c r="AI1308" s="131"/>
    </row>
    <row r="1309" spans="1:35">
      <c r="O1309" s="370"/>
      <c r="AI1309" s="131"/>
    </row>
    <row r="1310" spans="1:35">
      <c r="AI1310" s="284"/>
    </row>
    <row r="1311" spans="1:35">
      <c r="AI1311" s="131"/>
    </row>
    <row r="1312" spans="1:35">
      <c r="AI1312" s="131"/>
    </row>
    <row r="1313" spans="35:35">
      <c r="AI1313" s="131"/>
    </row>
    <row r="1314" spans="35:35">
      <c r="AI1314" s="131"/>
    </row>
    <row r="1315" spans="35:35">
      <c r="AI1315" s="131"/>
    </row>
    <row r="1316" spans="35:35">
      <c r="AI1316" s="131"/>
    </row>
    <row r="1317" spans="35:35">
      <c r="AI1317" s="131"/>
    </row>
    <row r="1318" spans="35:35">
      <c r="AI1318" s="131"/>
    </row>
    <row r="1319" spans="35:35">
      <c r="AI1319" s="131"/>
    </row>
    <row r="1320" spans="35:35">
      <c r="AI1320" s="131"/>
    </row>
    <row r="1321" spans="35:35">
      <c r="AI1321" s="131"/>
    </row>
    <row r="1322" spans="35:35">
      <c r="AI1322" s="28"/>
    </row>
    <row r="1323" spans="35:35">
      <c r="AI1323" s="131"/>
    </row>
    <row r="1324" spans="35:35">
      <c r="AI1324" s="131"/>
    </row>
    <row r="1325" spans="35:35">
      <c r="AI1325" s="131"/>
    </row>
    <row r="1326" spans="35:35">
      <c r="AI1326" s="131"/>
    </row>
    <row r="1327" spans="35:35">
      <c r="AI1327" s="131"/>
    </row>
    <row r="1328" spans="35:35">
      <c r="AI1328" s="131"/>
    </row>
    <row r="1329" spans="35:35">
      <c r="AI1329" s="128"/>
    </row>
    <row r="1330" spans="35:35">
      <c r="AI1330" s="131"/>
    </row>
    <row r="1331" spans="35:35">
      <c r="AI1331" s="131"/>
    </row>
    <row r="1332" spans="35:35">
      <c r="AI1332" s="131"/>
    </row>
    <row r="1333" spans="35:35">
      <c r="AI1333" s="131"/>
    </row>
    <row r="1334" spans="35:35">
      <c r="AI1334" s="131"/>
    </row>
    <row r="1335" spans="35:35">
      <c r="AI1335" s="131"/>
    </row>
    <row r="1336" spans="35:35">
      <c r="AI1336" s="131"/>
    </row>
    <row r="1337" spans="35:35">
      <c r="AI1337" s="131"/>
    </row>
    <row r="1338" spans="35:35">
      <c r="AI1338" s="131"/>
    </row>
    <row r="1339" spans="35:35">
      <c r="AI1339" s="131"/>
    </row>
    <row r="1340" spans="35:35">
      <c r="AI1340" s="131"/>
    </row>
    <row r="1341" spans="35:35">
      <c r="AI1341" s="131"/>
    </row>
    <row r="1342" spans="35:35">
      <c r="AI1342" s="131"/>
    </row>
    <row r="1343" spans="35:35">
      <c r="AI1343" s="131"/>
    </row>
    <row r="1344" spans="35:35">
      <c r="AI1344" s="131"/>
    </row>
    <row r="1345" spans="35:35">
      <c r="AI1345" s="131"/>
    </row>
    <row r="1346" spans="35:35">
      <c r="AI1346" s="131"/>
    </row>
    <row r="1347" spans="35:35">
      <c r="AI1347" s="131"/>
    </row>
    <row r="1348" spans="35:35">
      <c r="AI1348" s="131"/>
    </row>
    <row r="1349" spans="35:35">
      <c r="AI1349" s="131"/>
    </row>
    <row r="1350" spans="35:35">
      <c r="AI1350" s="131"/>
    </row>
    <row r="1351" spans="35:35">
      <c r="AI1351" s="131"/>
    </row>
    <row r="1352" spans="35:35">
      <c r="AI1352" s="131"/>
    </row>
    <row r="1353" spans="35:35">
      <c r="AI1353" s="131"/>
    </row>
    <row r="1354" spans="35:35">
      <c r="AI1354" s="131"/>
    </row>
    <row r="1355" spans="35:35">
      <c r="AI1355" s="131"/>
    </row>
    <row r="1356" spans="35:35">
      <c r="AI1356" s="131"/>
    </row>
    <row r="1357" spans="35:35">
      <c r="AI1357" s="131"/>
    </row>
    <row r="1358" spans="35:35">
      <c r="AI1358" s="131"/>
    </row>
    <row r="1359" spans="35:35">
      <c r="AI1359" s="131"/>
    </row>
    <row r="1360" spans="35:35">
      <c r="AI1360" s="131"/>
    </row>
    <row r="1361" spans="35:35">
      <c r="AI1361" s="131"/>
    </row>
    <row r="1362" spans="35:35">
      <c r="AI1362" s="131"/>
    </row>
    <row r="1363" spans="35:35">
      <c r="AI1363" s="131"/>
    </row>
    <row r="1364" spans="35:35">
      <c r="AI1364" s="131"/>
    </row>
    <row r="1365" spans="35:35">
      <c r="AI1365" s="131"/>
    </row>
    <row r="1366" spans="35:35">
      <c r="AI1366" s="131"/>
    </row>
    <row r="1367" spans="35:35">
      <c r="AI1367" s="131"/>
    </row>
    <row r="1368" spans="35:35">
      <c r="AI1368" s="131"/>
    </row>
    <row r="1369" spans="35:35">
      <c r="AI1369" s="284"/>
    </row>
    <row r="1370" spans="35:35">
      <c r="AI1370" s="131"/>
    </row>
    <row r="1371" spans="35:35">
      <c r="AI1371" s="131"/>
    </row>
    <row r="1372" spans="35:35">
      <c r="AI1372" s="131"/>
    </row>
    <row r="1373" spans="35:35">
      <c r="AI1373" s="131"/>
    </row>
    <row r="1374" spans="35:35">
      <c r="AI1374" s="286"/>
    </row>
    <row r="1375" spans="35:35">
      <c r="AI1375" s="131"/>
    </row>
    <row r="1376" spans="35:35">
      <c r="AI1376" s="131"/>
    </row>
    <row r="1377" spans="35:35">
      <c r="AI1377" s="131"/>
    </row>
    <row r="1378" spans="35:35">
      <c r="AI1378" s="131"/>
    </row>
    <row r="1379" spans="35:35">
      <c r="AI1379" s="131"/>
    </row>
    <row r="1380" spans="35:35">
      <c r="AI1380" s="131"/>
    </row>
    <row r="1381" spans="35:35">
      <c r="AI1381" s="236"/>
    </row>
    <row r="1382" spans="35:35">
      <c r="AI1382" s="131"/>
    </row>
    <row r="1383" spans="35:35">
      <c r="AI1383" s="131"/>
    </row>
    <row r="1384" spans="35:35">
      <c r="AI1384" s="131"/>
    </row>
    <row r="1385" spans="35:35">
      <c r="AI1385" s="131"/>
    </row>
    <row r="1386" spans="35:35">
      <c r="AI1386" s="131"/>
    </row>
    <row r="1387" spans="35:35">
      <c r="AI1387" s="131"/>
    </row>
    <row r="1388" spans="35:35">
      <c r="AI1388" s="131"/>
    </row>
    <row r="1389" spans="35:35">
      <c r="AI1389" s="131"/>
    </row>
    <row r="1390" spans="35:35">
      <c r="AI1390" s="131"/>
    </row>
    <row r="1391" spans="35:35">
      <c r="AI1391" s="131"/>
    </row>
    <row r="1392" spans="35:35">
      <c r="AI1392" s="284"/>
    </row>
    <row r="1393" spans="35:35">
      <c r="AI1393" s="131"/>
    </row>
    <row r="1394" spans="35:35">
      <c r="AI1394" s="131"/>
    </row>
    <row r="1395" spans="35:35">
      <c r="AI1395" s="131"/>
    </row>
    <row r="1396" spans="35:35">
      <c r="AI1396" s="131"/>
    </row>
    <row r="1397" spans="35:35">
      <c r="AI1397" s="131"/>
    </row>
    <row r="1398" spans="35:35">
      <c r="AI1398" s="131"/>
    </row>
    <row r="1399" spans="35:35">
      <c r="AI1399" s="131"/>
    </row>
    <row r="1400" spans="35:35">
      <c r="AI1400" s="131"/>
    </row>
    <row r="1401" spans="35:35">
      <c r="AI1401" s="131"/>
    </row>
    <row r="1402" spans="35:35">
      <c r="AI1402" s="131"/>
    </row>
    <row r="1403" spans="35:35">
      <c r="AI1403" s="131"/>
    </row>
    <row r="1404" spans="35:35">
      <c r="AI1404" s="284"/>
    </row>
    <row r="1405" spans="35:35">
      <c r="AI1405" s="131"/>
    </row>
    <row r="1406" spans="35:35">
      <c r="AI1406" s="28"/>
    </row>
    <row r="1407" spans="35:35">
      <c r="AI1407" s="284"/>
    </row>
    <row r="1408" spans="35:35">
      <c r="AI1408" s="131"/>
    </row>
    <row r="1409" spans="1:35">
      <c r="AI1409" s="131"/>
    </row>
    <row r="1410" spans="1:35">
      <c r="AI1410" s="131"/>
    </row>
    <row r="1411" spans="1:35">
      <c r="AI1411" s="131"/>
    </row>
    <row r="1412" spans="1:35">
      <c r="AI1412" s="284"/>
    </row>
    <row r="1413" spans="1:35">
      <c r="AI1413" s="131"/>
    </row>
    <row r="1414" spans="1:35">
      <c r="AI1414" s="131"/>
    </row>
    <row r="1415" spans="1:35">
      <c r="AI1415" s="131"/>
    </row>
    <row r="1416" spans="1:35">
      <c r="AI1416" s="131"/>
    </row>
    <row r="1417" spans="1:35">
      <c r="AI1417" s="131"/>
    </row>
    <row r="1418" spans="1:35">
      <c r="AI1418" s="131"/>
    </row>
    <row r="1419" spans="1:35">
      <c r="AI1419" s="131"/>
    </row>
    <row r="1420" spans="1:35">
      <c r="AI1420" s="131"/>
    </row>
    <row r="1421" spans="1:35">
      <c r="AI1421" s="131"/>
    </row>
    <row r="1422" spans="1:35">
      <c r="AI1422" s="131"/>
    </row>
    <row r="1423" spans="1:35" ht="26.4">
      <c r="A1423" s="284"/>
      <c r="B1423" s="284"/>
      <c r="C1423" s="284"/>
      <c r="D1423" s="284"/>
      <c r="E1423" s="284"/>
      <c r="F1423" s="284"/>
      <c r="G1423" s="284"/>
      <c r="H1423" s="284"/>
      <c r="I1423" s="284"/>
      <c r="J1423" s="375"/>
      <c r="K1423" s="375"/>
      <c r="L1423" s="375"/>
      <c r="M1423" s="368"/>
      <c r="N1423" s="368"/>
      <c r="T1423" s="340"/>
      <c r="V1423" s="378"/>
      <c r="W1423" s="64" ph="1"/>
      <c r="X1423" s="241"/>
      <c r="Y1423" s="284"/>
      <c r="Z1423" s="207"/>
      <c r="AA1423" s="284"/>
      <c r="AB1423" s="284"/>
      <c r="AC1423" s="284"/>
      <c r="AD1423" s="284"/>
      <c r="AE1423" s="284"/>
      <c r="AF1423" s="284"/>
      <c r="AG1423" s="284"/>
      <c r="AI1423" s="131"/>
    </row>
    <row r="1424" spans="1:35">
      <c r="AI1424" s="131"/>
    </row>
    <row r="1425" spans="1:35">
      <c r="AI1425" s="131"/>
    </row>
    <row r="1426" spans="1:35">
      <c r="AI1426" s="131"/>
    </row>
    <row r="1427" spans="1:35">
      <c r="AI1427" s="131"/>
    </row>
    <row r="1428" spans="1:35">
      <c r="AI1428" s="131"/>
    </row>
    <row r="1429" spans="1:35">
      <c r="AI1429" s="131"/>
    </row>
    <row r="1430" spans="1:35">
      <c r="AI1430" s="131"/>
    </row>
    <row r="1431" spans="1:35">
      <c r="AI1431" s="131"/>
    </row>
    <row r="1432" spans="1:35">
      <c r="AI1432" s="284"/>
    </row>
    <row r="1433" spans="1:35" ht="26.4">
      <c r="A1433" s="284"/>
      <c r="B1433" s="284"/>
      <c r="C1433" s="284"/>
      <c r="D1433" s="284"/>
      <c r="E1433" s="284"/>
      <c r="F1433" s="284"/>
      <c r="G1433" s="284"/>
      <c r="H1433" s="284"/>
      <c r="I1433" s="284"/>
      <c r="J1433" s="375"/>
      <c r="K1433" s="375"/>
      <c r="L1433" s="375"/>
      <c r="M1433" s="368"/>
      <c r="N1433" s="368"/>
      <c r="T1433" s="340"/>
      <c r="V1433" s="378"/>
      <c r="W1433" s="64" ph="1"/>
      <c r="X1433" s="241"/>
      <c r="Y1433" s="284"/>
      <c r="Z1433" s="207"/>
      <c r="AA1433" s="284"/>
      <c r="AB1433" s="284"/>
      <c r="AC1433" s="284"/>
      <c r="AD1433" s="284"/>
      <c r="AE1433" s="284"/>
      <c r="AF1433" s="284"/>
      <c r="AG1433" s="284"/>
      <c r="AI1433" s="131"/>
    </row>
    <row r="1434" spans="1:35">
      <c r="AI1434" s="131"/>
    </row>
    <row r="1435" spans="1:35">
      <c r="O1435" s="370"/>
      <c r="AI1435" s="131"/>
    </row>
    <row r="1436" spans="1:35">
      <c r="AI1436" s="131"/>
    </row>
    <row r="1437" spans="1:35" ht="26.4">
      <c r="A1437" s="284"/>
      <c r="B1437" s="284"/>
      <c r="C1437" s="284"/>
      <c r="D1437" s="284"/>
      <c r="E1437" s="284"/>
      <c r="F1437" s="284"/>
      <c r="G1437" s="284"/>
      <c r="H1437" s="284"/>
      <c r="I1437" s="284"/>
      <c r="J1437" s="375"/>
      <c r="K1437" s="375"/>
      <c r="L1437" s="375"/>
      <c r="M1437" s="368"/>
      <c r="N1437" s="368"/>
      <c r="T1437" s="340"/>
      <c r="V1437" s="378"/>
      <c r="W1437" s="64" ph="1"/>
      <c r="X1437" s="241"/>
      <c r="Y1437" s="284"/>
      <c r="Z1437" s="207"/>
      <c r="AA1437" s="284"/>
      <c r="AB1437" s="284"/>
      <c r="AC1437" s="284"/>
      <c r="AD1437" s="284"/>
      <c r="AE1437" s="284"/>
      <c r="AF1437" s="284"/>
      <c r="AG1437" s="284"/>
      <c r="AI1437" s="131"/>
    </row>
    <row r="1438" spans="1:35">
      <c r="AI1438" s="131"/>
    </row>
    <row r="1439" spans="1:35">
      <c r="AI1439" s="131"/>
    </row>
    <row r="1440" spans="1:35">
      <c r="AI1440" s="131"/>
    </row>
    <row r="1441" spans="1:35">
      <c r="AI1441" s="131"/>
    </row>
    <row r="1442" spans="1:35" ht="26.4">
      <c r="A1442" s="284"/>
      <c r="B1442" s="284"/>
      <c r="C1442" s="284"/>
      <c r="D1442" s="284"/>
      <c r="E1442" s="284"/>
      <c r="F1442" s="284"/>
      <c r="G1442" s="284"/>
      <c r="H1442" s="284"/>
      <c r="I1442" s="284"/>
      <c r="J1442" s="375"/>
      <c r="K1442" s="375"/>
      <c r="L1442" s="375"/>
      <c r="M1442" s="368"/>
      <c r="N1442" s="368"/>
      <c r="T1442" s="340"/>
      <c r="V1442" s="378"/>
      <c r="W1442" s="64" ph="1"/>
      <c r="X1442" s="241"/>
      <c r="Y1442" s="284"/>
      <c r="Z1442" s="207"/>
      <c r="AA1442" s="284"/>
      <c r="AB1442" s="284"/>
      <c r="AC1442" s="284"/>
      <c r="AD1442" s="284"/>
      <c r="AE1442" s="284"/>
      <c r="AF1442" s="284"/>
      <c r="AG1442" s="284"/>
      <c r="AI1442" s="131"/>
    </row>
    <row r="1443" spans="1:35" ht="26.4">
      <c r="A1443" s="284"/>
      <c r="B1443" s="284"/>
      <c r="C1443" s="284"/>
      <c r="D1443" s="284"/>
      <c r="E1443" s="284"/>
      <c r="F1443" s="284"/>
      <c r="G1443" s="284"/>
      <c r="H1443" s="284"/>
      <c r="I1443" s="284"/>
      <c r="J1443" s="375"/>
      <c r="K1443" s="375"/>
      <c r="L1443" s="375"/>
      <c r="M1443" s="368"/>
      <c r="N1443" s="368"/>
      <c r="T1443" s="340"/>
      <c r="V1443" s="378"/>
      <c r="W1443" s="64" ph="1"/>
      <c r="X1443" s="241"/>
      <c r="Y1443" s="284"/>
      <c r="Z1443" s="207"/>
      <c r="AA1443" s="284"/>
      <c r="AB1443" s="284"/>
      <c r="AC1443" s="284"/>
      <c r="AD1443" s="284"/>
      <c r="AE1443" s="284"/>
      <c r="AF1443" s="284"/>
      <c r="AG1443" s="284"/>
      <c r="AI1443" s="131"/>
    </row>
    <row r="1444" spans="1:35" ht="26.4">
      <c r="A1444" s="284"/>
      <c r="B1444" s="284"/>
      <c r="C1444" s="284"/>
      <c r="D1444" s="284"/>
      <c r="E1444" s="284"/>
      <c r="F1444" s="284"/>
      <c r="G1444" s="284"/>
      <c r="H1444" s="284"/>
      <c r="I1444" s="284"/>
      <c r="J1444" s="375"/>
      <c r="K1444" s="375"/>
      <c r="L1444" s="375"/>
      <c r="M1444" s="368"/>
      <c r="N1444" s="368"/>
      <c r="T1444" s="340"/>
      <c r="V1444" s="378"/>
      <c r="W1444" s="64" ph="1"/>
      <c r="X1444" s="241"/>
      <c r="Y1444" s="284"/>
      <c r="Z1444" s="207"/>
      <c r="AA1444" s="284"/>
      <c r="AB1444" s="284"/>
      <c r="AC1444" s="284"/>
      <c r="AD1444" s="284"/>
      <c r="AE1444" s="284"/>
      <c r="AF1444" s="284"/>
      <c r="AG1444" s="284"/>
      <c r="AI1444" s="131"/>
    </row>
    <row r="1445" spans="1:35">
      <c r="O1445" s="370"/>
      <c r="AI1445" s="131"/>
    </row>
    <row r="1446" spans="1:35" ht="26.4">
      <c r="A1446" s="284"/>
      <c r="B1446" s="284"/>
      <c r="C1446" s="284"/>
      <c r="D1446" s="284"/>
      <c r="E1446" s="284"/>
      <c r="F1446" s="284"/>
      <c r="G1446" s="284"/>
      <c r="H1446" s="284"/>
      <c r="I1446" s="284"/>
      <c r="J1446" s="375"/>
      <c r="K1446" s="375"/>
      <c r="L1446" s="375"/>
      <c r="M1446" s="368"/>
      <c r="N1446" s="368"/>
      <c r="T1446" s="340"/>
      <c r="V1446" s="378"/>
      <c r="W1446" s="64" ph="1"/>
      <c r="X1446" s="241"/>
      <c r="Y1446" s="284"/>
      <c r="Z1446" s="207"/>
      <c r="AA1446" s="284"/>
      <c r="AB1446" s="284"/>
      <c r="AC1446" s="284"/>
      <c r="AD1446" s="284"/>
      <c r="AE1446" s="284"/>
      <c r="AF1446" s="284"/>
      <c r="AG1446" s="284"/>
      <c r="AI1446" s="131"/>
    </row>
    <row r="1447" spans="1:35" ht="26.4">
      <c r="A1447" s="284"/>
      <c r="B1447" s="284"/>
      <c r="C1447" s="284"/>
      <c r="D1447" s="284"/>
      <c r="E1447" s="284"/>
      <c r="F1447" s="284"/>
      <c r="G1447" s="284"/>
      <c r="H1447" s="284"/>
      <c r="I1447" s="284"/>
      <c r="J1447" s="375"/>
      <c r="K1447" s="375"/>
      <c r="L1447" s="375"/>
      <c r="M1447" s="368"/>
      <c r="N1447" s="368"/>
      <c r="T1447" s="340"/>
      <c r="V1447" s="378"/>
      <c r="W1447" s="64" ph="1"/>
      <c r="X1447" s="241"/>
      <c r="Y1447" s="284"/>
      <c r="Z1447" s="207"/>
      <c r="AA1447" s="284"/>
      <c r="AB1447" s="284"/>
      <c r="AC1447" s="284"/>
      <c r="AD1447" s="284"/>
      <c r="AE1447" s="284"/>
      <c r="AF1447" s="284"/>
      <c r="AG1447" s="284"/>
      <c r="AI1447" s="131"/>
    </row>
    <row r="1448" spans="1:35">
      <c r="AI1448" s="131"/>
    </row>
    <row r="1449" spans="1:35" ht="26.4">
      <c r="A1449" s="284"/>
      <c r="B1449" s="284"/>
      <c r="C1449" s="284"/>
      <c r="D1449" s="284"/>
      <c r="E1449" s="284"/>
      <c r="F1449" s="284"/>
      <c r="G1449" s="284"/>
      <c r="H1449" s="284"/>
      <c r="I1449" s="284"/>
      <c r="J1449" s="375"/>
      <c r="K1449" s="375"/>
      <c r="L1449" s="375"/>
      <c r="M1449" s="368"/>
      <c r="N1449" s="368"/>
      <c r="O1449" s="370"/>
      <c r="T1449" s="340"/>
      <c r="V1449" s="378"/>
      <c r="W1449" s="64" ph="1"/>
      <c r="X1449" s="241"/>
      <c r="Y1449" s="284"/>
      <c r="Z1449" s="207"/>
      <c r="AA1449" s="284"/>
      <c r="AB1449" s="284"/>
      <c r="AC1449" s="284"/>
      <c r="AD1449" s="284"/>
      <c r="AE1449" s="284"/>
      <c r="AF1449" s="284"/>
      <c r="AG1449" s="284"/>
      <c r="AI1449" s="131"/>
    </row>
    <row r="1450" spans="1:35">
      <c r="AI1450" s="131"/>
    </row>
    <row r="1451" spans="1:35" ht="26.4">
      <c r="A1451" s="284"/>
      <c r="B1451" s="284"/>
      <c r="C1451" s="284"/>
      <c r="D1451" s="284"/>
      <c r="E1451" s="284"/>
      <c r="F1451" s="284"/>
      <c r="G1451" s="284"/>
      <c r="H1451" s="284"/>
      <c r="I1451" s="284"/>
      <c r="J1451" s="375"/>
      <c r="K1451" s="375"/>
      <c r="L1451" s="375"/>
      <c r="M1451" s="368"/>
      <c r="N1451" s="368"/>
      <c r="T1451" s="340"/>
      <c r="V1451" s="378"/>
      <c r="W1451" s="64" ph="1"/>
      <c r="X1451" s="241"/>
      <c r="Y1451" s="284"/>
      <c r="Z1451" s="207"/>
      <c r="AA1451" s="284"/>
      <c r="AB1451" s="284"/>
      <c r="AC1451" s="284"/>
      <c r="AD1451" s="284"/>
      <c r="AE1451" s="284"/>
      <c r="AF1451" s="284"/>
      <c r="AG1451" s="284"/>
      <c r="AI1451" s="131"/>
    </row>
    <row r="1452" spans="1:35" ht="26.4">
      <c r="A1452" s="284"/>
      <c r="B1452" s="284"/>
      <c r="C1452" s="284"/>
      <c r="D1452" s="284"/>
      <c r="E1452" s="284"/>
      <c r="F1452" s="284"/>
      <c r="G1452" s="284"/>
      <c r="H1452" s="284"/>
      <c r="I1452" s="284"/>
      <c r="J1452" s="375"/>
      <c r="K1452" s="375"/>
      <c r="L1452" s="375"/>
      <c r="M1452" s="368"/>
      <c r="N1452" s="368"/>
      <c r="T1452" s="340"/>
      <c r="V1452" s="378"/>
      <c r="W1452" s="64" ph="1"/>
      <c r="X1452" s="241"/>
      <c r="Y1452" s="284"/>
      <c r="Z1452" s="207"/>
      <c r="AA1452" s="284"/>
      <c r="AB1452" s="284"/>
      <c r="AC1452" s="284"/>
      <c r="AD1452" s="284"/>
      <c r="AE1452" s="284"/>
      <c r="AF1452" s="284"/>
      <c r="AG1452" s="284"/>
      <c r="AI1452" s="131"/>
    </row>
    <row r="1453" spans="1:35" ht="26.4">
      <c r="A1453" s="284"/>
      <c r="B1453" s="284"/>
      <c r="C1453" s="284"/>
      <c r="D1453" s="284"/>
      <c r="E1453" s="284"/>
      <c r="F1453" s="284"/>
      <c r="G1453" s="284"/>
      <c r="H1453" s="284"/>
      <c r="I1453" s="284"/>
      <c r="J1453" s="375"/>
      <c r="K1453" s="375"/>
      <c r="L1453" s="375"/>
      <c r="M1453" s="368"/>
      <c r="N1453" s="368"/>
      <c r="T1453" s="340"/>
      <c r="V1453" s="378"/>
      <c r="W1453" s="64" ph="1"/>
      <c r="X1453" s="241"/>
      <c r="Y1453" s="284"/>
      <c r="Z1453" s="207"/>
      <c r="AA1453" s="284"/>
      <c r="AB1453" s="284"/>
      <c r="AC1453" s="284"/>
      <c r="AD1453" s="284"/>
      <c r="AE1453" s="284"/>
      <c r="AF1453" s="284"/>
      <c r="AG1453" s="284"/>
      <c r="AI1453" s="131"/>
    </row>
    <row r="1454" spans="1:35" ht="26.4">
      <c r="A1454" s="284"/>
      <c r="B1454" s="284"/>
      <c r="C1454" s="284"/>
      <c r="D1454" s="284"/>
      <c r="E1454" s="284"/>
      <c r="F1454" s="284"/>
      <c r="G1454" s="284"/>
      <c r="H1454" s="284"/>
      <c r="I1454" s="284"/>
      <c r="J1454" s="375"/>
      <c r="K1454" s="375"/>
      <c r="L1454" s="375"/>
      <c r="M1454" s="368"/>
      <c r="N1454" s="368"/>
      <c r="O1454" s="370"/>
      <c r="T1454" s="340"/>
      <c r="V1454" s="378"/>
      <c r="W1454" s="64" ph="1"/>
      <c r="X1454" s="241"/>
      <c r="Y1454" s="284"/>
      <c r="Z1454" s="207"/>
      <c r="AA1454" s="284"/>
      <c r="AB1454" s="284"/>
      <c r="AC1454" s="284"/>
      <c r="AD1454" s="284"/>
      <c r="AE1454" s="284"/>
      <c r="AF1454" s="284"/>
      <c r="AG1454" s="284"/>
      <c r="AI1454" s="131"/>
    </row>
    <row r="1455" spans="1:35" ht="26.4">
      <c r="A1455" s="284"/>
      <c r="B1455" s="284"/>
      <c r="C1455" s="284"/>
      <c r="D1455" s="284"/>
      <c r="E1455" s="284"/>
      <c r="F1455" s="284"/>
      <c r="G1455" s="284"/>
      <c r="H1455" s="284"/>
      <c r="I1455" s="284"/>
      <c r="J1455" s="375"/>
      <c r="K1455" s="375"/>
      <c r="L1455" s="375"/>
      <c r="M1455" s="368"/>
      <c r="N1455" s="368"/>
      <c r="O1455" s="370"/>
      <c r="T1455" s="340"/>
      <c r="V1455" s="378"/>
      <c r="W1455" s="64" ph="1"/>
      <c r="X1455" s="241"/>
      <c r="Y1455" s="284"/>
      <c r="Z1455" s="207"/>
      <c r="AA1455" s="284"/>
      <c r="AB1455" s="284"/>
      <c r="AC1455" s="284"/>
      <c r="AD1455" s="284"/>
      <c r="AE1455" s="284"/>
      <c r="AF1455" s="284"/>
      <c r="AG1455" s="284"/>
      <c r="AI1455" s="131"/>
    </row>
    <row r="1456" spans="1:35" ht="26.4">
      <c r="A1456" s="284"/>
      <c r="B1456" s="284"/>
      <c r="C1456" s="284"/>
      <c r="D1456" s="284"/>
      <c r="E1456" s="284"/>
      <c r="F1456" s="284"/>
      <c r="G1456" s="284"/>
      <c r="H1456" s="284"/>
      <c r="I1456" s="284"/>
      <c r="J1456" s="375"/>
      <c r="K1456" s="375"/>
      <c r="L1456" s="375"/>
      <c r="M1456" s="368"/>
      <c r="N1456" s="368"/>
      <c r="O1456" s="370"/>
      <c r="T1456" s="340"/>
      <c r="V1456" s="378"/>
      <c r="W1456" s="64" ph="1"/>
      <c r="X1456" s="241"/>
      <c r="Y1456" s="284"/>
      <c r="Z1456" s="207"/>
      <c r="AA1456" s="284"/>
      <c r="AB1456" s="284"/>
      <c r="AC1456" s="284"/>
      <c r="AD1456" s="284"/>
      <c r="AE1456" s="284"/>
      <c r="AF1456" s="284"/>
      <c r="AG1456" s="284"/>
      <c r="AI1456" s="131"/>
    </row>
    <row r="1457" spans="1:35" ht="26.4">
      <c r="A1457" s="284"/>
      <c r="B1457" s="284"/>
      <c r="C1457" s="284"/>
      <c r="D1457" s="284"/>
      <c r="E1457" s="284"/>
      <c r="F1457" s="284"/>
      <c r="G1457" s="284"/>
      <c r="H1457" s="284"/>
      <c r="I1457" s="284"/>
      <c r="J1457" s="375"/>
      <c r="K1457" s="375"/>
      <c r="L1457" s="375"/>
      <c r="M1457" s="368"/>
      <c r="N1457" s="368"/>
      <c r="T1457" s="340"/>
      <c r="V1457" s="378"/>
      <c r="W1457" s="64" ph="1"/>
      <c r="X1457" s="241"/>
      <c r="Y1457" s="284"/>
      <c r="Z1457" s="207"/>
      <c r="AA1457" s="284"/>
      <c r="AB1457" s="284"/>
      <c r="AC1457" s="284"/>
      <c r="AD1457" s="284"/>
      <c r="AE1457" s="284"/>
      <c r="AF1457" s="284"/>
      <c r="AG1457" s="284"/>
      <c r="AI1457" s="131"/>
    </row>
    <row r="1458" spans="1:35" ht="26.4">
      <c r="A1458" s="284"/>
      <c r="B1458" s="284"/>
      <c r="C1458" s="284"/>
      <c r="D1458" s="284"/>
      <c r="E1458" s="284"/>
      <c r="F1458" s="284"/>
      <c r="G1458" s="284"/>
      <c r="H1458" s="284"/>
      <c r="I1458" s="284"/>
      <c r="J1458" s="375"/>
      <c r="K1458" s="375"/>
      <c r="L1458" s="375"/>
      <c r="M1458" s="368"/>
      <c r="N1458" s="368"/>
      <c r="O1458" s="370"/>
      <c r="T1458" s="340"/>
      <c r="V1458" s="378"/>
      <c r="W1458" s="64" ph="1"/>
      <c r="X1458" s="241"/>
      <c r="Y1458" s="284"/>
      <c r="Z1458" s="207"/>
      <c r="AA1458" s="284"/>
      <c r="AB1458" s="284"/>
      <c r="AC1458" s="284"/>
      <c r="AD1458" s="284"/>
      <c r="AE1458" s="284"/>
      <c r="AF1458" s="284"/>
      <c r="AG1458" s="284"/>
      <c r="AI1458" s="131"/>
    </row>
    <row r="1459" spans="1:35" ht="26.4">
      <c r="A1459" s="284"/>
      <c r="B1459" s="284"/>
      <c r="C1459" s="284"/>
      <c r="D1459" s="284"/>
      <c r="E1459" s="284"/>
      <c r="F1459" s="284"/>
      <c r="G1459" s="284"/>
      <c r="H1459" s="284"/>
      <c r="I1459" s="284"/>
      <c r="J1459" s="375"/>
      <c r="K1459" s="375"/>
      <c r="L1459" s="375"/>
      <c r="M1459" s="368"/>
      <c r="N1459" s="368"/>
      <c r="O1459" s="370"/>
      <c r="T1459" s="340"/>
      <c r="V1459" s="378"/>
      <c r="W1459" s="64" ph="1"/>
      <c r="X1459" s="241"/>
      <c r="Y1459" s="284"/>
      <c r="Z1459" s="207"/>
      <c r="AA1459" s="284"/>
      <c r="AB1459" s="284"/>
      <c r="AC1459" s="284"/>
      <c r="AD1459" s="284"/>
      <c r="AE1459" s="284"/>
      <c r="AF1459" s="284"/>
      <c r="AG1459" s="284"/>
      <c r="AI1459" s="131"/>
    </row>
    <row r="1460" spans="1:35" ht="26.4">
      <c r="A1460" s="284"/>
      <c r="B1460" s="284"/>
      <c r="C1460" s="284"/>
      <c r="D1460" s="284"/>
      <c r="E1460" s="284"/>
      <c r="F1460" s="284"/>
      <c r="G1460" s="284"/>
      <c r="H1460" s="284"/>
      <c r="I1460" s="284"/>
      <c r="J1460" s="375"/>
      <c r="K1460" s="375"/>
      <c r="L1460" s="375"/>
      <c r="M1460" s="368"/>
      <c r="N1460" s="368"/>
      <c r="T1460" s="340"/>
      <c r="V1460" s="378"/>
      <c r="W1460" s="64" ph="1"/>
      <c r="X1460" s="241"/>
      <c r="Y1460" s="284"/>
      <c r="Z1460" s="207"/>
      <c r="AA1460" s="284"/>
      <c r="AB1460" s="284"/>
      <c r="AC1460" s="284"/>
      <c r="AD1460" s="284"/>
      <c r="AE1460" s="284"/>
      <c r="AF1460" s="284"/>
      <c r="AG1460" s="284"/>
      <c r="AI1460" s="131"/>
    </row>
    <row r="1461" spans="1:35">
      <c r="O1461" s="370"/>
      <c r="AI1461" s="131"/>
    </row>
    <row r="1462" spans="1:35" ht="26.4">
      <c r="A1462" s="284"/>
      <c r="B1462" s="284"/>
      <c r="C1462" s="284"/>
      <c r="D1462" s="284"/>
      <c r="E1462" s="284"/>
      <c r="F1462" s="284"/>
      <c r="G1462" s="284"/>
      <c r="H1462" s="284"/>
      <c r="I1462" s="284"/>
      <c r="J1462" s="375"/>
      <c r="K1462" s="375"/>
      <c r="L1462" s="375"/>
      <c r="M1462" s="368"/>
      <c r="N1462" s="368"/>
      <c r="T1462" s="340"/>
      <c r="V1462" s="378"/>
      <c r="W1462" s="64" ph="1"/>
      <c r="X1462" s="241"/>
      <c r="Y1462" s="284"/>
      <c r="Z1462" s="207"/>
      <c r="AA1462" s="284"/>
      <c r="AB1462" s="284"/>
      <c r="AC1462" s="284"/>
      <c r="AD1462" s="284"/>
      <c r="AE1462" s="284"/>
      <c r="AF1462" s="284"/>
      <c r="AG1462" s="284"/>
      <c r="AI1462" s="131"/>
    </row>
    <row r="1463" spans="1:35" ht="26.4">
      <c r="A1463" s="284"/>
      <c r="B1463" s="284"/>
      <c r="C1463" s="284"/>
      <c r="D1463" s="284"/>
      <c r="E1463" s="284"/>
      <c r="F1463" s="284"/>
      <c r="G1463" s="284"/>
      <c r="H1463" s="284"/>
      <c r="I1463" s="284"/>
      <c r="J1463" s="375"/>
      <c r="K1463" s="375"/>
      <c r="L1463" s="375"/>
      <c r="M1463" s="368"/>
      <c r="N1463" s="368"/>
      <c r="O1463" s="370"/>
      <c r="T1463" s="340"/>
      <c r="V1463" s="378"/>
      <c r="W1463" s="64" ph="1"/>
      <c r="X1463" s="241"/>
      <c r="Y1463" s="284"/>
      <c r="Z1463" s="207"/>
      <c r="AA1463" s="284"/>
      <c r="AB1463" s="284"/>
      <c r="AC1463" s="284"/>
      <c r="AD1463" s="284"/>
      <c r="AE1463" s="284"/>
      <c r="AF1463" s="284"/>
      <c r="AG1463" s="284"/>
      <c r="AI1463" s="131"/>
    </row>
    <row r="1464" spans="1:35" ht="26.4">
      <c r="A1464" s="284"/>
      <c r="B1464" s="284"/>
      <c r="C1464" s="284"/>
      <c r="D1464" s="284"/>
      <c r="E1464" s="284"/>
      <c r="F1464" s="284"/>
      <c r="G1464" s="284"/>
      <c r="H1464" s="284"/>
      <c r="I1464" s="284"/>
      <c r="J1464" s="375"/>
      <c r="K1464" s="375"/>
      <c r="L1464" s="375"/>
      <c r="M1464" s="368"/>
      <c r="N1464" s="368"/>
      <c r="O1464" s="370"/>
      <c r="T1464" s="340"/>
      <c r="V1464" s="378"/>
      <c r="W1464" s="64" ph="1"/>
      <c r="X1464" s="241"/>
      <c r="Y1464" s="284"/>
      <c r="Z1464" s="207"/>
      <c r="AA1464" s="284"/>
      <c r="AB1464" s="284"/>
      <c r="AC1464" s="284"/>
      <c r="AD1464" s="284"/>
      <c r="AE1464" s="284"/>
      <c r="AF1464" s="284"/>
      <c r="AG1464" s="284"/>
      <c r="AI1464" s="131"/>
    </row>
    <row r="1465" spans="1:35" ht="26.4">
      <c r="A1465" s="284"/>
      <c r="B1465" s="284"/>
      <c r="C1465" s="284"/>
      <c r="D1465" s="284"/>
      <c r="E1465" s="284"/>
      <c r="F1465" s="284"/>
      <c r="G1465" s="284"/>
      <c r="H1465" s="284"/>
      <c r="I1465" s="284"/>
      <c r="J1465" s="375"/>
      <c r="K1465" s="375"/>
      <c r="L1465" s="375"/>
      <c r="M1465" s="368"/>
      <c r="N1465" s="368"/>
      <c r="O1465" s="370"/>
      <c r="T1465" s="340"/>
      <c r="V1465" s="378"/>
      <c r="W1465" s="64" ph="1"/>
      <c r="X1465" s="241"/>
      <c r="Y1465" s="284"/>
      <c r="Z1465" s="207"/>
      <c r="AA1465" s="284"/>
      <c r="AB1465" s="284"/>
      <c r="AC1465" s="284"/>
      <c r="AD1465" s="284"/>
      <c r="AE1465" s="284"/>
      <c r="AF1465" s="284"/>
      <c r="AG1465" s="284"/>
      <c r="AI1465" s="131"/>
    </row>
    <row r="1466" spans="1:35" ht="26.4">
      <c r="A1466" s="284"/>
      <c r="B1466" s="284"/>
      <c r="C1466" s="284"/>
      <c r="D1466" s="284"/>
      <c r="E1466" s="284"/>
      <c r="F1466" s="284"/>
      <c r="G1466" s="284"/>
      <c r="H1466" s="284"/>
      <c r="I1466" s="284"/>
      <c r="J1466" s="375"/>
      <c r="K1466" s="375"/>
      <c r="L1466" s="375"/>
      <c r="M1466" s="368"/>
      <c r="N1466" s="368"/>
      <c r="O1466" s="370"/>
      <c r="T1466" s="340"/>
      <c r="V1466" s="378"/>
      <c r="W1466" s="64" ph="1"/>
      <c r="X1466" s="241"/>
      <c r="Y1466" s="284"/>
      <c r="Z1466" s="207"/>
      <c r="AA1466" s="284"/>
      <c r="AB1466" s="284"/>
      <c r="AC1466" s="284"/>
      <c r="AD1466" s="284"/>
      <c r="AE1466" s="284"/>
      <c r="AF1466" s="284"/>
      <c r="AG1466" s="284"/>
      <c r="AI1466" s="131"/>
    </row>
    <row r="1467" spans="1:35" ht="26.4">
      <c r="A1467" s="284"/>
      <c r="B1467" s="284"/>
      <c r="C1467" s="284"/>
      <c r="D1467" s="284"/>
      <c r="E1467" s="284"/>
      <c r="F1467" s="284"/>
      <c r="G1467" s="284"/>
      <c r="H1467" s="284"/>
      <c r="I1467" s="284"/>
      <c r="J1467" s="375"/>
      <c r="K1467" s="375"/>
      <c r="L1467" s="375"/>
      <c r="M1467" s="368"/>
      <c r="N1467" s="368"/>
      <c r="O1467" s="370"/>
      <c r="T1467" s="340"/>
      <c r="V1467" s="378"/>
      <c r="W1467" s="64" ph="1"/>
      <c r="X1467" s="241"/>
      <c r="Y1467" s="284"/>
      <c r="Z1467" s="207"/>
      <c r="AA1467" s="284"/>
      <c r="AB1467" s="284"/>
      <c r="AC1467" s="284"/>
      <c r="AD1467" s="284"/>
      <c r="AE1467" s="284"/>
      <c r="AF1467" s="284"/>
      <c r="AG1467" s="284"/>
      <c r="AI1467" s="131"/>
    </row>
    <row r="1468" spans="1:35" ht="26.4">
      <c r="A1468" s="284"/>
      <c r="B1468" s="284"/>
      <c r="C1468" s="284"/>
      <c r="D1468" s="284"/>
      <c r="E1468" s="284"/>
      <c r="F1468" s="284"/>
      <c r="G1468" s="284"/>
      <c r="H1468" s="284"/>
      <c r="I1468" s="284"/>
      <c r="J1468" s="375"/>
      <c r="K1468" s="375"/>
      <c r="L1468" s="375"/>
      <c r="M1468" s="368"/>
      <c r="N1468" s="368"/>
      <c r="O1468" s="370"/>
      <c r="T1468" s="340"/>
      <c r="V1468" s="378"/>
      <c r="W1468" s="64" ph="1"/>
      <c r="X1468" s="241"/>
      <c r="Y1468" s="284"/>
      <c r="Z1468" s="207"/>
      <c r="AA1468" s="284"/>
      <c r="AB1468" s="284"/>
      <c r="AC1468" s="284"/>
      <c r="AD1468" s="284"/>
      <c r="AE1468" s="284"/>
      <c r="AF1468" s="284"/>
      <c r="AG1468" s="284"/>
      <c r="AI1468" s="131"/>
    </row>
    <row r="1469" spans="1:35" ht="26.4">
      <c r="A1469" s="284"/>
      <c r="B1469" s="284"/>
      <c r="C1469" s="284"/>
      <c r="D1469" s="284"/>
      <c r="E1469" s="284"/>
      <c r="F1469" s="284"/>
      <c r="G1469" s="284"/>
      <c r="H1469" s="284"/>
      <c r="I1469" s="284"/>
      <c r="J1469" s="375"/>
      <c r="K1469" s="375"/>
      <c r="L1469" s="375"/>
      <c r="M1469" s="368"/>
      <c r="N1469" s="368"/>
      <c r="O1469" s="370"/>
      <c r="T1469" s="340"/>
      <c r="V1469" s="378"/>
      <c r="W1469" s="64" ph="1"/>
      <c r="X1469" s="241"/>
      <c r="Y1469" s="284"/>
      <c r="Z1469" s="207"/>
      <c r="AA1469" s="284"/>
      <c r="AB1469" s="284"/>
      <c r="AC1469" s="284"/>
      <c r="AD1469" s="284"/>
      <c r="AE1469" s="284"/>
      <c r="AF1469" s="284"/>
      <c r="AG1469" s="284"/>
      <c r="AI1469" s="131"/>
    </row>
    <row r="1470" spans="1:35">
      <c r="O1470" s="370"/>
      <c r="AI1470" s="131"/>
    </row>
    <row r="1471" spans="1:35" ht="26.4">
      <c r="A1471" s="284"/>
      <c r="B1471" s="284"/>
      <c r="C1471" s="284"/>
      <c r="D1471" s="284"/>
      <c r="E1471" s="284"/>
      <c r="F1471" s="284"/>
      <c r="G1471" s="284"/>
      <c r="H1471" s="284"/>
      <c r="I1471" s="284"/>
      <c r="J1471" s="375"/>
      <c r="K1471" s="375"/>
      <c r="L1471" s="375"/>
      <c r="M1471" s="368"/>
      <c r="N1471" s="368"/>
      <c r="O1471" s="370"/>
      <c r="T1471" s="340"/>
      <c r="V1471" s="378"/>
      <c r="W1471" s="64" ph="1"/>
      <c r="X1471" s="241"/>
      <c r="Y1471" s="284"/>
      <c r="Z1471" s="207"/>
      <c r="AA1471" s="284"/>
      <c r="AB1471" s="284"/>
      <c r="AC1471" s="284"/>
      <c r="AD1471" s="284"/>
      <c r="AE1471" s="284"/>
      <c r="AF1471" s="284"/>
      <c r="AG1471" s="284"/>
      <c r="AI1471" s="284"/>
    </row>
    <row r="1472" spans="1:35" ht="26.4">
      <c r="A1472" s="284"/>
      <c r="B1472" s="284"/>
      <c r="C1472" s="284"/>
      <c r="D1472" s="284"/>
      <c r="E1472" s="284"/>
      <c r="F1472" s="284"/>
      <c r="G1472" s="284"/>
      <c r="H1472" s="284"/>
      <c r="I1472" s="284"/>
      <c r="J1472" s="375"/>
      <c r="K1472" s="375"/>
      <c r="L1472" s="375"/>
      <c r="M1472" s="368"/>
      <c r="N1472" s="368"/>
      <c r="O1472" s="370"/>
      <c r="T1472" s="340"/>
      <c r="V1472" s="378"/>
      <c r="W1472" s="64" ph="1"/>
      <c r="X1472" s="241"/>
      <c r="Y1472" s="284"/>
      <c r="Z1472" s="207"/>
      <c r="AA1472" s="284"/>
      <c r="AB1472" s="284"/>
      <c r="AC1472" s="284"/>
      <c r="AD1472" s="284"/>
      <c r="AE1472" s="284"/>
      <c r="AF1472" s="284"/>
      <c r="AG1472" s="284"/>
      <c r="AI1472" s="131"/>
    </row>
    <row r="1473" spans="1:35" ht="26.4">
      <c r="A1473" s="284"/>
      <c r="B1473" s="284"/>
      <c r="C1473" s="284"/>
      <c r="D1473" s="284"/>
      <c r="E1473" s="284"/>
      <c r="F1473" s="284"/>
      <c r="G1473" s="284"/>
      <c r="H1473" s="284"/>
      <c r="I1473" s="284"/>
      <c r="J1473" s="375"/>
      <c r="K1473" s="375"/>
      <c r="L1473" s="375"/>
      <c r="M1473" s="368"/>
      <c r="N1473" s="368"/>
      <c r="T1473" s="340"/>
      <c r="V1473" s="378"/>
      <c r="W1473" s="64" ph="1"/>
      <c r="X1473" s="241"/>
      <c r="Y1473" s="284"/>
      <c r="Z1473" s="207"/>
      <c r="AA1473" s="284"/>
      <c r="AB1473" s="284"/>
      <c r="AC1473" s="284"/>
      <c r="AD1473" s="284"/>
      <c r="AE1473" s="284"/>
      <c r="AF1473" s="284"/>
      <c r="AG1473" s="284"/>
      <c r="AI1473" s="131"/>
    </row>
    <row r="1474" spans="1:35" ht="26.4">
      <c r="A1474" s="284"/>
      <c r="B1474" s="284"/>
      <c r="C1474" s="284"/>
      <c r="D1474" s="284"/>
      <c r="E1474" s="284"/>
      <c r="F1474" s="284"/>
      <c r="G1474" s="284"/>
      <c r="H1474" s="284"/>
      <c r="I1474" s="284"/>
      <c r="J1474" s="375"/>
      <c r="K1474" s="375"/>
      <c r="L1474" s="375"/>
      <c r="M1474" s="368"/>
      <c r="N1474" s="368"/>
      <c r="O1474" s="370"/>
      <c r="T1474" s="340"/>
      <c r="V1474" s="378"/>
      <c r="W1474" s="64" ph="1"/>
      <c r="X1474" s="241"/>
      <c r="Y1474" s="284"/>
      <c r="Z1474" s="207"/>
      <c r="AA1474" s="284"/>
      <c r="AB1474" s="284"/>
      <c r="AC1474" s="284"/>
      <c r="AD1474" s="284"/>
      <c r="AE1474" s="284"/>
      <c r="AF1474" s="284"/>
      <c r="AG1474" s="284"/>
      <c r="AI1474" s="131"/>
    </row>
    <row r="1475" spans="1:35" ht="26.4">
      <c r="A1475" s="284"/>
      <c r="B1475" s="284"/>
      <c r="C1475" s="284"/>
      <c r="D1475" s="284"/>
      <c r="E1475" s="284"/>
      <c r="F1475" s="284"/>
      <c r="G1475" s="284"/>
      <c r="H1475" s="284"/>
      <c r="I1475" s="284"/>
      <c r="J1475" s="375"/>
      <c r="K1475" s="375"/>
      <c r="L1475" s="375"/>
      <c r="M1475" s="368"/>
      <c r="N1475" s="368"/>
      <c r="O1475" s="370"/>
      <c r="T1475" s="340"/>
      <c r="V1475" s="378"/>
      <c r="W1475" s="64" ph="1"/>
      <c r="X1475" s="241"/>
      <c r="Y1475" s="284"/>
      <c r="Z1475" s="207"/>
      <c r="AA1475" s="284"/>
      <c r="AB1475" s="284"/>
      <c r="AC1475" s="284"/>
      <c r="AD1475" s="284"/>
      <c r="AE1475" s="284"/>
      <c r="AF1475" s="284"/>
      <c r="AG1475" s="284"/>
      <c r="AI1475" s="131"/>
    </row>
    <row r="1476" spans="1:35" ht="26.4">
      <c r="A1476" s="284"/>
      <c r="B1476" s="284"/>
      <c r="C1476" s="284"/>
      <c r="D1476" s="284"/>
      <c r="E1476" s="284"/>
      <c r="F1476" s="284"/>
      <c r="G1476" s="284"/>
      <c r="H1476" s="284"/>
      <c r="I1476" s="284"/>
      <c r="J1476" s="375"/>
      <c r="K1476" s="375"/>
      <c r="L1476" s="375"/>
      <c r="M1476" s="368"/>
      <c r="N1476" s="368"/>
      <c r="O1476" s="370"/>
      <c r="T1476" s="340"/>
      <c r="V1476" s="378"/>
      <c r="W1476" s="64" ph="1"/>
      <c r="X1476" s="241"/>
      <c r="Y1476" s="284"/>
      <c r="Z1476" s="207"/>
      <c r="AA1476" s="284"/>
      <c r="AB1476" s="284"/>
      <c r="AC1476" s="284"/>
      <c r="AD1476" s="284"/>
      <c r="AE1476" s="284"/>
      <c r="AF1476" s="284"/>
      <c r="AG1476" s="284"/>
      <c r="AI1476" s="131"/>
    </row>
    <row r="1477" spans="1:35" ht="26.4">
      <c r="A1477" s="284"/>
      <c r="B1477" s="284"/>
      <c r="C1477" s="284"/>
      <c r="D1477" s="284"/>
      <c r="E1477" s="284"/>
      <c r="F1477" s="284"/>
      <c r="G1477" s="284"/>
      <c r="H1477" s="284"/>
      <c r="I1477" s="284"/>
      <c r="J1477" s="375"/>
      <c r="K1477" s="375"/>
      <c r="L1477" s="375"/>
      <c r="M1477" s="368"/>
      <c r="N1477" s="368"/>
      <c r="O1477" s="370"/>
      <c r="T1477" s="340"/>
      <c r="V1477" s="378"/>
      <c r="W1477" s="64" ph="1"/>
      <c r="X1477" s="241"/>
      <c r="Y1477" s="284"/>
      <c r="Z1477" s="207"/>
      <c r="AA1477" s="284"/>
      <c r="AB1477" s="284"/>
      <c r="AC1477" s="284"/>
      <c r="AD1477" s="284"/>
      <c r="AE1477" s="284"/>
      <c r="AF1477" s="284"/>
      <c r="AG1477" s="284"/>
      <c r="AI1477" s="131"/>
    </row>
    <row r="1478" spans="1:35" ht="26.4">
      <c r="A1478" s="284"/>
      <c r="B1478" s="284"/>
      <c r="C1478" s="284"/>
      <c r="D1478" s="284"/>
      <c r="E1478" s="284"/>
      <c r="F1478" s="284"/>
      <c r="G1478" s="284"/>
      <c r="H1478" s="284"/>
      <c r="I1478" s="284"/>
      <c r="J1478" s="375"/>
      <c r="K1478" s="375"/>
      <c r="L1478" s="375"/>
      <c r="M1478" s="368"/>
      <c r="N1478" s="368"/>
      <c r="O1478" s="370"/>
      <c r="T1478" s="340"/>
      <c r="V1478" s="378"/>
      <c r="W1478" s="64" ph="1"/>
      <c r="X1478" s="241"/>
      <c r="Y1478" s="284"/>
      <c r="Z1478" s="207"/>
      <c r="AA1478" s="284"/>
      <c r="AB1478" s="284"/>
      <c r="AC1478" s="284"/>
      <c r="AD1478" s="284"/>
      <c r="AE1478" s="284"/>
      <c r="AF1478" s="284"/>
      <c r="AG1478" s="284"/>
      <c r="AI1478" s="131"/>
    </row>
    <row r="1479" spans="1:35" ht="26.4">
      <c r="A1479" s="284"/>
      <c r="B1479" s="284"/>
      <c r="C1479" s="284"/>
      <c r="D1479" s="284"/>
      <c r="E1479" s="284"/>
      <c r="F1479" s="284"/>
      <c r="G1479" s="284"/>
      <c r="H1479" s="284"/>
      <c r="I1479" s="284"/>
      <c r="J1479" s="375"/>
      <c r="K1479" s="375"/>
      <c r="L1479" s="375"/>
      <c r="M1479" s="368"/>
      <c r="N1479" s="368"/>
      <c r="O1479" s="370"/>
      <c r="T1479" s="340"/>
      <c r="V1479" s="378"/>
      <c r="W1479" s="64" ph="1"/>
      <c r="X1479" s="241"/>
      <c r="Y1479" s="284"/>
      <c r="Z1479" s="207"/>
      <c r="AA1479" s="284"/>
      <c r="AB1479" s="284"/>
      <c r="AC1479" s="284"/>
      <c r="AD1479" s="284"/>
      <c r="AE1479" s="284"/>
      <c r="AF1479" s="284"/>
      <c r="AG1479" s="284"/>
      <c r="AI1479" s="131"/>
    </row>
    <row r="1480" spans="1:35" ht="26.4">
      <c r="A1480" s="284"/>
      <c r="B1480" s="284"/>
      <c r="C1480" s="284"/>
      <c r="D1480" s="284"/>
      <c r="E1480" s="284"/>
      <c r="F1480" s="284"/>
      <c r="G1480" s="284"/>
      <c r="H1480" s="284"/>
      <c r="I1480" s="284"/>
      <c r="J1480" s="375"/>
      <c r="K1480" s="375"/>
      <c r="L1480" s="375"/>
      <c r="M1480" s="368"/>
      <c r="N1480" s="368"/>
      <c r="O1480" s="370"/>
      <c r="T1480" s="340"/>
      <c r="V1480" s="378"/>
      <c r="W1480" s="64" ph="1"/>
      <c r="X1480" s="241"/>
      <c r="Y1480" s="284"/>
      <c r="Z1480" s="207"/>
      <c r="AA1480" s="284"/>
      <c r="AB1480" s="284"/>
      <c r="AC1480" s="284"/>
      <c r="AD1480" s="284"/>
      <c r="AE1480" s="284"/>
      <c r="AF1480" s="284"/>
      <c r="AG1480" s="284"/>
      <c r="AI1480" s="131"/>
    </row>
    <row r="1481" spans="1:35" ht="26.4">
      <c r="A1481" s="284"/>
      <c r="B1481" s="284"/>
      <c r="C1481" s="284"/>
      <c r="D1481" s="284"/>
      <c r="E1481" s="284"/>
      <c r="F1481" s="284"/>
      <c r="G1481" s="284"/>
      <c r="H1481" s="284"/>
      <c r="I1481" s="284"/>
      <c r="J1481" s="375"/>
      <c r="K1481" s="375"/>
      <c r="L1481" s="375"/>
      <c r="M1481" s="368"/>
      <c r="N1481" s="368"/>
      <c r="O1481" s="370"/>
      <c r="T1481" s="340"/>
      <c r="V1481" s="378"/>
      <c r="W1481" s="64" ph="1"/>
      <c r="X1481" s="241"/>
      <c r="Y1481" s="284"/>
      <c r="Z1481" s="207"/>
      <c r="AA1481" s="284"/>
      <c r="AB1481" s="284"/>
      <c r="AC1481" s="284"/>
      <c r="AD1481" s="284"/>
      <c r="AE1481" s="284"/>
      <c r="AF1481" s="284"/>
      <c r="AG1481" s="284"/>
      <c r="AI1481" s="131"/>
    </row>
    <row r="1482" spans="1:35">
      <c r="AI1482" s="131"/>
    </row>
    <row r="1483" spans="1:35" ht="26.4">
      <c r="A1483" s="284"/>
      <c r="B1483" s="284"/>
      <c r="C1483" s="284"/>
      <c r="D1483" s="284"/>
      <c r="E1483" s="284"/>
      <c r="F1483" s="284"/>
      <c r="G1483" s="284"/>
      <c r="H1483" s="284"/>
      <c r="I1483" s="284"/>
      <c r="J1483" s="375"/>
      <c r="K1483" s="375"/>
      <c r="L1483" s="375"/>
      <c r="M1483" s="368"/>
      <c r="N1483" s="368"/>
      <c r="O1483" s="370"/>
      <c r="T1483" s="340"/>
      <c r="V1483" s="378"/>
      <c r="W1483" s="64" ph="1"/>
      <c r="X1483" s="241"/>
      <c r="Y1483" s="284"/>
      <c r="Z1483" s="207"/>
      <c r="AA1483" s="284"/>
      <c r="AB1483" s="284"/>
      <c r="AC1483" s="284"/>
      <c r="AD1483" s="284"/>
      <c r="AE1483" s="284"/>
      <c r="AF1483" s="284"/>
      <c r="AG1483" s="284"/>
      <c r="AI1483" s="131"/>
    </row>
    <row r="1484" spans="1:35" ht="26.4">
      <c r="A1484" s="284"/>
      <c r="B1484" s="284"/>
      <c r="C1484" s="284"/>
      <c r="D1484" s="284"/>
      <c r="E1484" s="284"/>
      <c r="F1484" s="284"/>
      <c r="G1484" s="284"/>
      <c r="H1484" s="284"/>
      <c r="I1484" s="284"/>
      <c r="J1484" s="375"/>
      <c r="K1484" s="375"/>
      <c r="L1484" s="375"/>
      <c r="M1484" s="368"/>
      <c r="N1484" s="368"/>
      <c r="O1484" s="370"/>
      <c r="T1484" s="340"/>
      <c r="V1484" s="378"/>
      <c r="W1484" s="64" ph="1"/>
      <c r="X1484" s="241"/>
      <c r="Y1484" s="284"/>
      <c r="Z1484" s="207"/>
      <c r="AA1484" s="284"/>
      <c r="AB1484" s="284"/>
      <c r="AC1484" s="284"/>
      <c r="AD1484" s="284"/>
      <c r="AE1484" s="284"/>
      <c r="AF1484" s="284"/>
      <c r="AG1484" s="284"/>
      <c r="AI1484" s="131"/>
    </row>
    <row r="1485" spans="1:35" ht="26.4">
      <c r="A1485" s="284"/>
      <c r="B1485" s="284"/>
      <c r="C1485" s="284"/>
      <c r="D1485" s="284"/>
      <c r="E1485" s="284"/>
      <c r="F1485" s="284"/>
      <c r="G1485" s="284"/>
      <c r="H1485" s="284"/>
      <c r="I1485" s="284"/>
      <c r="J1485" s="375"/>
      <c r="K1485" s="375"/>
      <c r="L1485" s="375"/>
      <c r="M1485" s="368"/>
      <c r="N1485" s="368"/>
      <c r="O1485" s="370"/>
      <c r="T1485" s="340"/>
      <c r="V1485" s="378"/>
      <c r="W1485" s="64" ph="1"/>
      <c r="X1485" s="241"/>
      <c r="Y1485" s="284"/>
      <c r="Z1485" s="207"/>
      <c r="AA1485" s="284"/>
      <c r="AB1485" s="284"/>
      <c r="AC1485" s="284"/>
      <c r="AD1485" s="284"/>
      <c r="AE1485" s="284"/>
      <c r="AF1485" s="284"/>
      <c r="AG1485" s="284"/>
      <c r="AI1485" s="131"/>
    </row>
    <row r="1486" spans="1:35" ht="26.4">
      <c r="A1486" s="284"/>
      <c r="B1486" s="284"/>
      <c r="C1486" s="284"/>
      <c r="D1486" s="284"/>
      <c r="E1486" s="284"/>
      <c r="F1486" s="284"/>
      <c r="G1486" s="284"/>
      <c r="H1486" s="284"/>
      <c r="I1486" s="284"/>
      <c r="J1486" s="375"/>
      <c r="K1486" s="375"/>
      <c r="L1486" s="375"/>
      <c r="M1486" s="368"/>
      <c r="N1486" s="368"/>
      <c r="O1486" s="370"/>
      <c r="T1486" s="340"/>
      <c r="V1486" s="378"/>
      <c r="W1486" s="64" ph="1"/>
      <c r="X1486" s="241"/>
      <c r="Y1486" s="284"/>
      <c r="Z1486" s="207"/>
      <c r="AA1486" s="284"/>
      <c r="AB1486" s="284"/>
      <c r="AC1486" s="284"/>
      <c r="AD1486" s="284"/>
      <c r="AE1486" s="284"/>
      <c r="AF1486" s="284"/>
      <c r="AG1486" s="284"/>
      <c r="AI1486" s="131"/>
    </row>
    <row r="1487" spans="1:35" ht="26.4">
      <c r="A1487" s="284"/>
      <c r="B1487" s="284"/>
      <c r="C1487" s="284"/>
      <c r="D1487" s="284"/>
      <c r="E1487" s="284"/>
      <c r="F1487" s="284"/>
      <c r="G1487" s="284"/>
      <c r="H1487" s="284"/>
      <c r="I1487" s="284"/>
      <c r="J1487" s="375"/>
      <c r="K1487" s="375"/>
      <c r="L1487" s="375"/>
      <c r="M1487" s="368"/>
      <c r="N1487" s="368"/>
      <c r="O1487" s="370"/>
      <c r="T1487" s="340"/>
      <c r="V1487" s="378"/>
      <c r="W1487" s="64" ph="1"/>
      <c r="X1487" s="241"/>
      <c r="Y1487" s="284"/>
      <c r="Z1487" s="207"/>
      <c r="AA1487" s="284"/>
      <c r="AB1487" s="284"/>
      <c r="AC1487" s="284"/>
      <c r="AD1487" s="284"/>
      <c r="AE1487" s="284"/>
      <c r="AF1487" s="284"/>
      <c r="AG1487" s="284"/>
      <c r="AI1487" s="131"/>
    </row>
    <row r="1488" spans="1:35" ht="26.4">
      <c r="A1488" s="284"/>
      <c r="B1488" s="284"/>
      <c r="C1488" s="284"/>
      <c r="D1488" s="284"/>
      <c r="E1488" s="284"/>
      <c r="F1488" s="284"/>
      <c r="G1488" s="284"/>
      <c r="H1488" s="284"/>
      <c r="I1488" s="284"/>
      <c r="J1488" s="375"/>
      <c r="K1488" s="375"/>
      <c r="L1488" s="375"/>
      <c r="M1488" s="368"/>
      <c r="N1488" s="368"/>
      <c r="O1488" s="370"/>
      <c r="T1488" s="340"/>
      <c r="V1488" s="378"/>
      <c r="W1488" s="64" ph="1"/>
      <c r="X1488" s="241"/>
      <c r="Y1488" s="284"/>
      <c r="Z1488" s="207"/>
      <c r="AA1488" s="284"/>
      <c r="AB1488" s="284"/>
      <c r="AC1488" s="284"/>
      <c r="AD1488" s="284"/>
      <c r="AE1488" s="284"/>
      <c r="AF1488" s="284"/>
      <c r="AG1488" s="284"/>
      <c r="AI1488" s="131"/>
    </row>
    <row r="1489" spans="1:35" ht="26.4">
      <c r="A1489" s="284"/>
      <c r="B1489" s="284"/>
      <c r="C1489" s="284"/>
      <c r="D1489" s="284"/>
      <c r="E1489" s="284"/>
      <c r="F1489" s="284"/>
      <c r="G1489" s="284"/>
      <c r="H1489" s="284"/>
      <c r="I1489" s="284"/>
      <c r="J1489" s="375"/>
      <c r="K1489" s="375"/>
      <c r="L1489" s="375"/>
      <c r="M1489" s="368"/>
      <c r="N1489" s="368"/>
      <c r="O1489" s="370"/>
      <c r="T1489" s="340"/>
      <c r="V1489" s="378"/>
      <c r="W1489" s="64" ph="1"/>
      <c r="X1489" s="241"/>
      <c r="Y1489" s="284"/>
      <c r="Z1489" s="207"/>
      <c r="AA1489" s="284"/>
      <c r="AB1489" s="284"/>
      <c r="AC1489" s="284"/>
      <c r="AD1489" s="284"/>
      <c r="AE1489" s="284"/>
      <c r="AF1489" s="284"/>
      <c r="AG1489" s="284"/>
      <c r="AI1489" s="131"/>
    </row>
    <row r="1490" spans="1:35" ht="26.4">
      <c r="A1490" s="284"/>
      <c r="B1490" s="284"/>
      <c r="C1490" s="284"/>
      <c r="D1490" s="284"/>
      <c r="E1490" s="284"/>
      <c r="F1490" s="284"/>
      <c r="G1490" s="284"/>
      <c r="H1490" s="284"/>
      <c r="I1490" s="284"/>
      <c r="J1490" s="375"/>
      <c r="K1490" s="375"/>
      <c r="L1490" s="375"/>
      <c r="M1490" s="368"/>
      <c r="N1490" s="368"/>
      <c r="O1490" s="370"/>
      <c r="T1490" s="340"/>
      <c r="V1490" s="378"/>
      <c r="W1490" s="64" ph="1"/>
      <c r="X1490" s="241"/>
      <c r="Y1490" s="284"/>
      <c r="Z1490" s="207"/>
      <c r="AA1490" s="284"/>
      <c r="AB1490" s="284"/>
      <c r="AC1490" s="284"/>
      <c r="AD1490" s="284"/>
      <c r="AE1490" s="284"/>
      <c r="AF1490" s="284"/>
      <c r="AG1490" s="284"/>
      <c r="AI1490" s="131"/>
    </row>
    <row r="1491" spans="1:35">
      <c r="O1491" s="370"/>
      <c r="AI1491" s="131"/>
    </row>
    <row r="1492" spans="1:35" ht="26.4">
      <c r="A1492" s="284"/>
      <c r="B1492" s="284"/>
      <c r="C1492" s="284"/>
      <c r="D1492" s="284"/>
      <c r="E1492" s="284"/>
      <c r="F1492" s="284"/>
      <c r="G1492" s="284"/>
      <c r="H1492" s="284"/>
      <c r="I1492" s="284"/>
      <c r="J1492" s="375"/>
      <c r="K1492" s="375"/>
      <c r="L1492" s="375"/>
      <c r="M1492" s="368"/>
      <c r="N1492" s="368"/>
      <c r="O1492" s="370"/>
      <c r="T1492" s="340"/>
      <c r="V1492" s="378"/>
      <c r="W1492" s="64" ph="1"/>
      <c r="X1492" s="241"/>
      <c r="Y1492" s="284"/>
      <c r="Z1492" s="207"/>
      <c r="AA1492" s="284"/>
      <c r="AB1492" s="284"/>
      <c r="AC1492" s="284"/>
      <c r="AD1492" s="284"/>
      <c r="AE1492" s="284"/>
      <c r="AF1492" s="284"/>
      <c r="AG1492" s="284"/>
      <c r="AI1492" s="131"/>
    </row>
    <row r="1493" spans="1:35" ht="26.4">
      <c r="A1493" s="284"/>
      <c r="B1493" s="284"/>
      <c r="C1493" s="284"/>
      <c r="D1493" s="284"/>
      <c r="E1493" s="284"/>
      <c r="F1493" s="284"/>
      <c r="G1493" s="284"/>
      <c r="H1493" s="284"/>
      <c r="I1493" s="284"/>
      <c r="J1493" s="375"/>
      <c r="K1493" s="375"/>
      <c r="L1493" s="375"/>
      <c r="M1493" s="368"/>
      <c r="N1493" s="368"/>
      <c r="O1493" s="370"/>
      <c r="T1493" s="340"/>
      <c r="V1493" s="378"/>
      <c r="W1493" s="64" ph="1"/>
      <c r="X1493" s="241"/>
      <c r="Y1493" s="284"/>
      <c r="Z1493" s="207"/>
      <c r="AA1493" s="284"/>
      <c r="AB1493" s="284"/>
      <c r="AC1493" s="284"/>
      <c r="AD1493" s="284"/>
      <c r="AE1493" s="284"/>
      <c r="AF1493" s="284"/>
      <c r="AG1493" s="284"/>
      <c r="AI1493" s="131"/>
    </row>
    <row r="1494" spans="1:35" ht="26.4">
      <c r="A1494" s="284"/>
      <c r="B1494" s="284"/>
      <c r="C1494" s="284"/>
      <c r="D1494" s="284"/>
      <c r="E1494" s="284"/>
      <c r="F1494" s="284"/>
      <c r="G1494" s="284"/>
      <c r="H1494" s="284"/>
      <c r="I1494" s="284"/>
      <c r="J1494" s="375"/>
      <c r="K1494" s="375"/>
      <c r="L1494" s="375"/>
      <c r="M1494" s="368"/>
      <c r="N1494" s="368"/>
      <c r="T1494" s="340"/>
      <c r="V1494" s="378"/>
      <c r="W1494" s="64" ph="1"/>
      <c r="X1494" s="241"/>
      <c r="Y1494" s="284"/>
      <c r="Z1494" s="207"/>
      <c r="AA1494" s="284"/>
      <c r="AB1494" s="284"/>
      <c r="AC1494" s="284"/>
      <c r="AD1494" s="284"/>
      <c r="AE1494" s="284"/>
      <c r="AF1494" s="284"/>
      <c r="AG1494" s="284"/>
      <c r="AI1494" s="131"/>
    </row>
    <row r="1495" spans="1:35" ht="26.4">
      <c r="A1495" s="284"/>
      <c r="B1495" s="284"/>
      <c r="C1495" s="284"/>
      <c r="D1495" s="284"/>
      <c r="E1495" s="284"/>
      <c r="F1495" s="284"/>
      <c r="G1495" s="284"/>
      <c r="H1495" s="284"/>
      <c r="I1495" s="284"/>
      <c r="J1495" s="375"/>
      <c r="K1495" s="375"/>
      <c r="L1495" s="375"/>
      <c r="M1495" s="368"/>
      <c r="N1495" s="368"/>
      <c r="O1495" s="370"/>
      <c r="T1495" s="340"/>
      <c r="V1495" s="378"/>
      <c r="W1495" s="64" ph="1"/>
      <c r="X1495" s="241"/>
      <c r="Y1495" s="284"/>
      <c r="Z1495" s="207"/>
      <c r="AA1495" s="284"/>
      <c r="AB1495" s="284"/>
      <c r="AC1495" s="284"/>
      <c r="AD1495" s="284"/>
      <c r="AE1495" s="284"/>
      <c r="AF1495" s="284"/>
      <c r="AG1495" s="284"/>
      <c r="AI1495" s="131"/>
    </row>
    <row r="1496" spans="1:35" ht="26.4">
      <c r="A1496" s="284"/>
      <c r="B1496" s="284"/>
      <c r="C1496" s="284"/>
      <c r="D1496" s="284"/>
      <c r="E1496" s="284"/>
      <c r="F1496" s="284"/>
      <c r="G1496" s="284"/>
      <c r="H1496" s="284"/>
      <c r="I1496" s="284"/>
      <c r="J1496" s="375"/>
      <c r="K1496" s="375"/>
      <c r="L1496" s="375"/>
      <c r="M1496" s="368"/>
      <c r="N1496" s="368"/>
      <c r="O1496" s="370"/>
      <c r="T1496" s="340"/>
      <c r="V1496" s="378"/>
      <c r="W1496" s="64" ph="1"/>
      <c r="X1496" s="241"/>
      <c r="Y1496" s="284"/>
      <c r="Z1496" s="207"/>
      <c r="AA1496" s="284"/>
      <c r="AB1496" s="284"/>
      <c r="AC1496" s="284"/>
      <c r="AD1496" s="284"/>
      <c r="AE1496" s="284"/>
      <c r="AF1496" s="284"/>
      <c r="AG1496" s="284"/>
      <c r="AI1496" s="131"/>
    </row>
    <row r="1497" spans="1:35" ht="26.4">
      <c r="A1497" s="284"/>
      <c r="B1497" s="284"/>
      <c r="C1497" s="284"/>
      <c r="D1497" s="284"/>
      <c r="E1497" s="284"/>
      <c r="F1497" s="284"/>
      <c r="G1497" s="284"/>
      <c r="H1497" s="284"/>
      <c r="I1497" s="284"/>
      <c r="J1497" s="375"/>
      <c r="K1497" s="375"/>
      <c r="L1497" s="375"/>
      <c r="M1497" s="368"/>
      <c r="N1497" s="368"/>
      <c r="O1497" s="370"/>
      <c r="T1497" s="340"/>
      <c r="V1497" s="378"/>
      <c r="W1497" s="64" ph="1"/>
      <c r="X1497" s="241"/>
      <c r="Y1497" s="284"/>
      <c r="Z1497" s="207"/>
      <c r="AA1497" s="284"/>
      <c r="AB1497" s="284"/>
      <c r="AC1497" s="284"/>
      <c r="AD1497" s="284"/>
      <c r="AE1497" s="284"/>
      <c r="AF1497" s="284"/>
      <c r="AG1497" s="284"/>
      <c r="AI1497" s="131"/>
    </row>
    <row r="1498" spans="1:35" ht="26.4">
      <c r="A1498" s="284"/>
      <c r="B1498" s="284"/>
      <c r="C1498" s="284"/>
      <c r="D1498" s="284"/>
      <c r="E1498" s="284"/>
      <c r="F1498" s="284"/>
      <c r="G1498" s="284"/>
      <c r="H1498" s="284"/>
      <c r="I1498" s="284"/>
      <c r="J1498" s="375"/>
      <c r="K1498" s="375"/>
      <c r="L1498" s="375"/>
      <c r="M1498" s="368"/>
      <c r="N1498" s="368"/>
      <c r="O1498" s="370"/>
      <c r="T1498" s="340"/>
      <c r="V1498" s="378"/>
      <c r="W1498" s="64" ph="1"/>
      <c r="X1498" s="241"/>
      <c r="Y1498" s="284"/>
      <c r="Z1498" s="207"/>
      <c r="AA1498" s="284"/>
      <c r="AB1498" s="284"/>
      <c r="AC1498" s="284"/>
      <c r="AD1498" s="284"/>
      <c r="AE1498" s="284"/>
      <c r="AF1498" s="284"/>
      <c r="AG1498" s="284"/>
      <c r="AI1498" s="131"/>
    </row>
    <row r="1499" spans="1:35" ht="26.4">
      <c r="A1499" s="284"/>
      <c r="B1499" s="284"/>
      <c r="C1499" s="284"/>
      <c r="D1499" s="284"/>
      <c r="E1499" s="284"/>
      <c r="F1499" s="284"/>
      <c r="G1499" s="284"/>
      <c r="H1499" s="284"/>
      <c r="I1499" s="284"/>
      <c r="J1499" s="375"/>
      <c r="K1499" s="375"/>
      <c r="L1499" s="375"/>
      <c r="M1499" s="368"/>
      <c r="N1499" s="368"/>
      <c r="O1499" s="370"/>
      <c r="T1499" s="340"/>
      <c r="V1499" s="378"/>
      <c r="W1499" s="64" ph="1"/>
      <c r="X1499" s="241"/>
      <c r="Y1499" s="284"/>
      <c r="Z1499" s="207"/>
      <c r="AA1499" s="284"/>
      <c r="AB1499" s="284"/>
      <c r="AC1499" s="284"/>
      <c r="AD1499" s="284"/>
      <c r="AE1499" s="284"/>
      <c r="AF1499" s="284"/>
      <c r="AG1499" s="284"/>
      <c r="AI1499" s="131"/>
    </row>
    <row r="1500" spans="1:35" ht="26.4">
      <c r="A1500" s="284"/>
      <c r="B1500" s="284"/>
      <c r="C1500" s="284"/>
      <c r="D1500" s="284"/>
      <c r="E1500" s="284"/>
      <c r="F1500" s="284"/>
      <c r="G1500" s="284"/>
      <c r="H1500" s="284"/>
      <c r="I1500" s="284"/>
      <c r="J1500" s="375"/>
      <c r="K1500" s="375"/>
      <c r="L1500" s="375"/>
      <c r="M1500" s="368"/>
      <c r="N1500" s="368"/>
      <c r="O1500" s="370"/>
      <c r="T1500" s="340"/>
      <c r="V1500" s="378"/>
      <c r="W1500" s="64" ph="1"/>
      <c r="X1500" s="241"/>
      <c r="Y1500" s="284"/>
      <c r="Z1500" s="207"/>
      <c r="AA1500" s="284"/>
      <c r="AB1500" s="284"/>
      <c r="AC1500" s="284"/>
      <c r="AD1500" s="284"/>
      <c r="AE1500" s="284"/>
      <c r="AF1500" s="284"/>
      <c r="AG1500" s="284"/>
      <c r="AI1500" s="131"/>
    </row>
    <row r="1501" spans="1:35" ht="26.4">
      <c r="A1501" s="284"/>
      <c r="B1501" s="284"/>
      <c r="C1501" s="284"/>
      <c r="D1501" s="284"/>
      <c r="E1501" s="284"/>
      <c r="F1501" s="284"/>
      <c r="G1501" s="284"/>
      <c r="H1501" s="284"/>
      <c r="I1501" s="284"/>
      <c r="J1501" s="375"/>
      <c r="K1501" s="375"/>
      <c r="L1501" s="375"/>
      <c r="M1501" s="368"/>
      <c r="N1501" s="368"/>
      <c r="O1501" s="370"/>
      <c r="T1501" s="340"/>
      <c r="V1501" s="378"/>
      <c r="W1501" s="64" ph="1"/>
      <c r="X1501" s="241"/>
      <c r="Y1501" s="284"/>
      <c r="Z1501" s="207"/>
      <c r="AA1501" s="284"/>
      <c r="AB1501" s="284"/>
      <c r="AC1501" s="284"/>
      <c r="AD1501" s="284"/>
      <c r="AE1501" s="284"/>
      <c r="AF1501" s="284"/>
      <c r="AG1501" s="284"/>
      <c r="AI1501" s="131"/>
    </row>
    <row r="1502" spans="1:35" ht="26.4">
      <c r="A1502" s="284"/>
      <c r="B1502" s="284"/>
      <c r="C1502" s="284"/>
      <c r="D1502" s="284"/>
      <c r="E1502" s="284"/>
      <c r="F1502" s="284"/>
      <c r="G1502" s="284"/>
      <c r="H1502" s="284"/>
      <c r="I1502" s="284"/>
      <c r="J1502" s="375"/>
      <c r="K1502" s="375"/>
      <c r="L1502" s="375"/>
      <c r="M1502" s="368"/>
      <c r="N1502" s="368"/>
      <c r="O1502" s="370"/>
      <c r="T1502" s="340"/>
      <c r="V1502" s="378"/>
      <c r="W1502" s="64" ph="1"/>
      <c r="X1502" s="241"/>
      <c r="Y1502" s="284"/>
      <c r="Z1502" s="207"/>
      <c r="AA1502" s="284"/>
      <c r="AB1502" s="284"/>
      <c r="AC1502" s="284"/>
      <c r="AD1502" s="284"/>
      <c r="AE1502" s="284"/>
      <c r="AF1502" s="284"/>
      <c r="AG1502" s="284"/>
      <c r="AI1502" s="131"/>
    </row>
    <row r="1503" spans="1:35" ht="26.4">
      <c r="A1503" s="284"/>
      <c r="B1503" s="284"/>
      <c r="C1503" s="284"/>
      <c r="D1503" s="284"/>
      <c r="E1503" s="284"/>
      <c r="F1503" s="284"/>
      <c r="G1503" s="284"/>
      <c r="H1503" s="284"/>
      <c r="I1503" s="284"/>
      <c r="J1503" s="375"/>
      <c r="K1503" s="375"/>
      <c r="L1503" s="375"/>
      <c r="M1503" s="368"/>
      <c r="N1503" s="368"/>
      <c r="T1503" s="340"/>
      <c r="V1503" s="378"/>
      <c r="W1503" s="64" ph="1"/>
      <c r="X1503" s="241"/>
      <c r="Y1503" s="284"/>
      <c r="Z1503" s="207"/>
      <c r="AA1503" s="284"/>
      <c r="AB1503" s="284"/>
      <c r="AC1503" s="284"/>
      <c r="AD1503" s="284"/>
      <c r="AE1503" s="284"/>
      <c r="AF1503" s="284"/>
      <c r="AG1503" s="284"/>
      <c r="AI1503" s="131"/>
    </row>
    <row r="1504" spans="1:35" ht="26.4">
      <c r="A1504" s="284"/>
      <c r="B1504" s="284"/>
      <c r="C1504" s="284"/>
      <c r="D1504" s="284"/>
      <c r="E1504" s="284"/>
      <c r="F1504" s="284"/>
      <c r="G1504" s="284"/>
      <c r="H1504" s="284"/>
      <c r="I1504" s="284"/>
      <c r="J1504" s="375"/>
      <c r="K1504" s="375"/>
      <c r="L1504" s="375"/>
      <c r="M1504" s="368"/>
      <c r="N1504" s="368"/>
      <c r="O1504" s="370"/>
      <c r="T1504" s="340"/>
      <c r="V1504" s="378"/>
      <c r="W1504" s="64" ph="1"/>
      <c r="X1504" s="241"/>
      <c r="Y1504" s="284"/>
      <c r="Z1504" s="207"/>
      <c r="AA1504" s="284"/>
      <c r="AB1504" s="284"/>
      <c r="AC1504" s="284"/>
      <c r="AD1504" s="284"/>
      <c r="AE1504" s="284"/>
      <c r="AF1504" s="284"/>
      <c r="AG1504" s="284"/>
      <c r="AI1504" s="128"/>
    </row>
    <row r="1505" spans="1:35" ht="26.4">
      <c r="A1505" s="284"/>
      <c r="B1505" s="284"/>
      <c r="C1505" s="284"/>
      <c r="D1505" s="284"/>
      <c r="E1505" s="284"/>
      <c r="F1505" s="284"/>
      <c r="G1505" s="284"/>
      <c r="H1505" s="284"/>
      <c r="I1505" s="284"/>
      <c r="J1505" s="375"/>
      <c r="K1505" s="375"/>
      <c r="L1505" s="375"/>
      <c r="M1505" s="368"/>
      <c r="N1505" s="368"/>
      <c r="O1505" s="370"/>
      <c r="T1505" s="340"/>
      <c r="V1505" s="378"/>
      <c r="W1505" s="64" ph="1"/>
      <c r="X1505" s="241"/>
      <c r="Y1505" s="284"/>
      <c r="Z1505" s="207"/>
      <c r="AA1505" s="284"/>
      <c r="AB1505" s="284"/>
      <c r="AC1505" s="284"/>
      <c r="AD1505" s="284"/>
      <c r="AE1505" s="284"/>
      <c r="AF1505" s="284"/>
      <c r="AG1505" s="284"/>
      <c r="AI1505" s="131"/>
    </row>
    <row r="1506" spans="1:35" ht="26.4">
      <c r="A1506" s="284"/>
      <c r="B1506" s="284"/>
      <c r="C1506" s="284"/>
      <c r="D1506" s="284"/>
      <c r="E1506" s="284"/>
      <c r="F1506" s="284"/>
      <c r="G1506" s="284"/>
      <c r="H1506" s="284"/>
      <c r="I1506" s="284"/>
      <c r="J1506" s="375"/>
      <c r="K1506" s="375"/>
      <c r="L1506" s="375"/>
      <c r="M1506" s="368"/>
      <c r="N1506" s="368"/>
      <c r="O1506" s="370"/>
      <c r="T1506" s="340"/>
      <c r="V1506" s="378"/>
      <c r="W1506" s="64" ph="1"/>
      <c r="X1506" s="241"/>
      <c r="Y1506" s="284"/>
      <c r="Z1506" s="207"/>
      <c r="AA1506" s="284"/>
      <c r="AB1506" s="284"/>
      <c r="AC1506" s="284"/>
      <c r="AD1506" s="284"/>
      <c r="AE1506" s="284"/>
      <c r="AF1506" s="284"/>
      <c r="AG1506" s="284"/>
      <c r="AI1506" s="131"/>
    </row>
    <row r="1507" spans="1:35" ht="26.4">
      <c r="A1507" s="284"/>
      <c r="B1507" s="284"/>
      <c r="C1507" s="284"/>
      <c r="D1507" s="284"/>
      <c r="E1507" s="284"/>
      <c r="F1507" s="284"/>
      <c r="G1507" s="284"/>
      <c r="H1507" s="284"/>
      <c r="I1507" s="284"/>
      <c r="J1507" s="375"/>
      <c r="K1507" s="375"/>
      <c r="L1507" s="375"/>
      <c r="M1507" s="368"/>
      <c r="N1507" s="368"/>
      <c r="O1507" s="370"/>
      <c r="T1507" s="340"/>
      <c r="V1507" s="378"/>
      <c r="W1507" s="64" ph="1"/>
      <c r="X1507" s="241"/>
      <c r="Y1507" s="284"/>
      <c r="Z1507" s="207"/>
      <c r="AA1507" s="284"/>
      <c r="AB1507" s="284"/>
      <c r="AC1507" s="284"/>
      <c r="AD1507" s="284"/>
      <c r="AE1507" s="284"/>
      <c r="AF1507" s="284"/>
      <c r="AG1507" s="284"/>
      <c r="AI1507" s="131"/>
    </row>
    <row r="1508" spans="1:35" ht="26.4">
      <c r="A1508" s="284"/>
      <c r="B1508" s="284"/>
      <c r="C1508" s="284"/>
      <c r="D1508" s="284"/>
      <c r="E1508" s="284"/>
      <c r="F1508" s="284"/>
      <c r="G1508" s="284"/>
      <c r="H1508" s="284"/>
      <c r="I1508" s="284"/>
      <c r="J1508" s="375"/>
      <c r="K1508" s="375"/>
      <c r="L1508" s="375"/>
      <c r="M1508" s="368"/>
      <c r="N1508" s="368"/>
      <c r="O1508" s="370"/>
      <c r="T1508" s="340"/>
      <c r="V1508" s="378"/>
      <c r="W1508" s="64" ph="1"/>
      <c r="X1508" s="241"/>
      <c r="Y1508" s="284"/>
      <c r="Z1508" s="207"/>
      <c r="AA1508" s="284"/>
      <c r="AB1508" s="284"/>
      <c r="AC1508" s="284"/>
      <c r="AD1508" s="284"/>
      <c r="AE1508" s="284"/>
      <c r="AF1508" s="284"/>
      <c r="AG1508" s="284"/>
      <c r="AI1508" s="131"/>
    </row>
    <row r="1509" spans="1:35" ht="26.4">
      <c r="A1509" s="284"/>
      <c r="B1509" s="284"/>
      <c r="C1509" s="284"/>
      <c r="D1509" s="284"/>
      <c r="E1509" s="284"/>
      <c r="F1509" s="284"/>
      <c r="G1509" s="284"/>
      <c r="H1509" s="284"/>
      <c r="I1509" s="284"/>
      <c r="J1509" s="375"/>
      <c r="K1509" s="375"/>
      <c r="L1509" s="375"/>
      <c r="M1509" s="368"/>
      <c r="N1509" s="368"/>
      <c r="O1509" s="370"/>
      <c r="T1509" s="340"/>
      <c r="V1509" s="378"/>
      <c r="W1509" s="64" ph="1"/>
      <c r="X1509" s="241"/>
      <c r="Y1509" s="284"/>
      <c r="Z1509" s="207"/>
      <c r="AA1509" s="284"/>
      <c r="AB1509" s="284"/>
      <c r="AC1509" s="284"/>
      <c r="AD1509" s="284"/>
      <c r="AE1509" s="284"/>
      <c r="AF1509" s="284"/>
      <c r="AG1509" s="284"/>
      <c r="AI1509" s="131"/>
    </row>
    <row r="1510" spans="1:35" ht="26.4">
      <c r="A1510" s="284"/>
      <c r="B1510" s="284"/>
      <c r="C1510" s="284"/>
      <c r="D1510" s="284"/>
      <c r="E1510" s="284"/>
      <c r="F1510" s="284"/>
      <c r="G1510" s="284"/>
      <c r="H1510" s="284"/>
      <c r="I1510" s="284"/>
      <c r="J1510" s="375"/>
      <c r="K1510" s="375"/>
      <c r="L1510" s="375"/>
      <c r="M1510" s="368"/>
      <c r="N1510" s="368"/>
      <c r="O1510" s="370"/>
      <c r="T1510" s="340"/>
      <c r="V1510" s="378"/>
      <c r="W1510" s="64" ph="1"/>
      <c r="X1510" s="241"/>
      <c r="Y1510" s="284"/>
      <c r="Z1510" s="207"/>
      <c r="AA1510" s="284"/>
      <c r="AB1510" s="284"/>
      <c r="AC1510" s="284"/>
      <c r="AD1510" s="284"/>
      <c r="AE1510" s="284"/>
      <c r="AF1510" s="284"/>
      <c r="AG1510" s="284"/>
      <c r="AI1510" s="131"/>
    </row>
    <row r="1511" spans="1:35" ht="26.4">
      <c r="A1511" s="284"/>
      <c r="B1511" s="284"/>
      <c r="C1511" s="284"/>
      <c r="D1511" s="284"/>
      <c r="E1511" s="284"/>
      <c r="F1511" s="284"/>
      <c r="G1511" s="284"/>
      <c r="H1511" s="284"/>
      <c r="I1511" s="284"/>
      <c r="J1511" s="375"/>
      <c r="K1511" s="375"/>
      <c r="L1511" s="375"/>
      <c r="M1511" s="368"/>
      <c r="N1511" s="368"/>
      <c r="O1511" s="370"/>
      <c r="T1511" s="340"/>
      <c r="V1511" s="378"/>
      <c r="W1511" s="64" ph="1"/>
      <c r="X1511" s="241"/>
      <c r="Y1511" s="284"/>
      <c r="Z1511" s="207"/>
      <c r="AA1511" s="284"/>
      <c r="AB1511" s="284"/>
      <c r="AC1511" s="284"/>
      <c r="AD1511" s="284"/>
      <c r="AE1511" s="284"/>
      <c r="AF1511" s="284"/>
      <c r="AG1511" s="284"/>
      <c r="AI1511" s="131"/>
    </row>
    <row r="1512" spans="1:35" ht="26.4">
      <c r="A1512" s="284"/>
      <c r="B1512" s="284"/>
      <c r="C1512" s="284"/>
      <c r="D1512" s="284"/>
      <c r="E1512" s="284"/>
      <c r="F1512" s="284"/>
      <c r="G1512" s="284"/>
      <c r="H1512" s="284"/>
      <c r="I1512" s="284"/>
      <c r="J1512" s="375"/>
      <c r="K1512" s="375"/>
      <c r="L1512" s="375"/>
      <c r="M1512" s="368"/>
      <c r="N1512" s="368"/>
      <c r="O1512" s="370"/>
      <c r="T1512" s="340"/>
      <c r="V1512" s="378"/>
      <c r="W1512" s="64" ph="1"/>
      <c r="X1512" s="241"/>
      <c r="Y1512" s="284"/>
      <c r="Z1512" s="207"/>
      <c r="AA1512" s="284"/>
      <c r="AB1512" s="284"/>
      <c r="AC1512" s="284"/>
      <c r="AD1512" s="284"/>
      <c r="AE1512" s="284"/>
      <c r="AF1512" s="284"/>
      <c r="AG1512" s="284"/>
      <c r="AI1512" s="131"/>
    </row>
    <row r="1513" spans="1:35" ht="26.4">
      <c r="A1513" s="284"/>
      <c r="B1513" s="284"/>
      <c r="C1513" s="284"/>
      <c r="D1513" s="284"/>
      <c r="E1513" s="284"/>
      <c r="F1513" s="284"/>
      <c r="G1513" s="284"/>
      <c r="H1513" s="284"/>
      <c r="I1513" s="284"/>
      <c r="J1513" s="375"/>
      <c r="K1513" s="375"/>
      <c r="L1513" s="375"/>
      <c r="M1513" s="368"/>
      <c r="N1513" s="368"/>
      <c r="O1513" s="370"/>
      <c r="T1513" s="340"/>
      <c r="V1513" s="378"/>
      <c r="W1513" s="64" ph="1"/>
      <c r="X1513" s="241"/>
      <c r="Y1513" s="284"/>
      <c r="Z1513" s="207"/>
      <c r="AA1513" s="284"/>
      <c r="AB1513" s="284"/>
      <c r="AC1513" s="284"/>
      <c r="AD1513" s="284"/>
      <c r="AE1513" s="284"/>
      <c r="AF1513" s="284"/>
      <c r="AG1513" s="284"/>
      <c r="AI1513" s="131"/>
    </row>
    <row r="1514" spans="1:35" ht="26.4">
      <c r="A1514" s="284"/>
      <c r="B1514" s="284"/>
      <c r="C1514" s="284"/>
      <c r="D1514" s="284"/>
      <c r="E1514" s="284"/>
      <c r="F1514" s="284"/>
      <c r="G1514" s="284"/>
      <c r="H1514" s="284"/>
      <c r="I1514" s="284"/>
      <c r="J1514" s="375"/>
      <c r="K1514" s="375"/>
      <c r="L1514" s="375"/>
      <c r="M1514" s="368"/>
      <c r="N1514" s="368"/>
      <c r="O1514" s="370"/>
      <c r="T1514" s="340"/>
      <c r="V1514" s="378"/>
      <c r="W1514" s="64" ph="1"/>
      <c r="X1514" s="241"/>
      <c r="Y1514" s="284"/>
      <c r="Z1514" s="207"/>
      <c r="AA1514" s="284"/>
      <c r="AB1514" s="284"/>
      <c r="AC1514" s="284"/>
      <c r="AD1514" s="284"/>
      <c r="AE1514" s="284"/>
      <c r="AF1514" s="284"/>
      <c r="AG1514" s="284"/>
      <c r="AI1514" s="131"/>
    </row>
    <row r="1515" spans="1:35" ht="26.4">
      <c r="A1515" s="284"/>
      <c r="B1515" s="284"/>
      <c r="C1515" s="284"/>
      <c r="D1515" s="284"/>
      <c r="E1515" s="284"/>
      <c r="F1515" s="284"/>
      <c r="G1515" s="284"/>
      <c r="H1515" s="284"/>
      <c r="I1515" s="284"/>
      <c r="J1515" s="375"/>
      <c r="K1515" s="375"/>
      <c r="L1515" s="375"/>
      <c r="M1515" s="368"/>
      <c r="N1515" s="368"/>
      <c r="O1515" s="370"/>
      <c r="T1515" s="340"/>
      <c r="V1515" s="378"/>
      <c r="W1515" s="64" ph="1"/>
      <c r="X1515" s="241"/>
      <c r="Y1515" s="284"/>
      <c r="Z1515" s="207"/>
      <c r="AA1515" s="284"/>
      <c r="AB1515" s="284"/>
      <c r="AC1515" s="284"/>
      <c r="AD1515" s="284"/>
      <c r="AE1515" s="284"/>
      <c r="AF1515" s="284"/>
      <c r="AG1515" s="284"/>
      <c r="AI1515" s="131"/>
    </row>
    <row r="1516" spans="1:35" ht="26.4">
      <c r="A1516" s="284"/>
      <c r="B1516" s="284"/>
      <c r="C1516" s="284"/>
      <c r="D1516" s="284"/>
      <c r="E1516" s="284"/>
      <c r="F1516" s="284"/>
      <c r="G1516" s="284"/>
      <c r="H1516" s="284"/>
      <c r="I1516" s="284"/>
      <c r="J1516" s="375"/>
      <c r="K1516" s="375"/>
      <c r="L1516" s="375"/>
      <c r="M1516" s="368"/>
      <c r="N1516" s="368"/>
      <c r="O1516" s="370"/>
      <c r="T1516" s="340"/>
      <c r="V1516" s="378"/>
      <c r="W1516" s="64" ph="1"/>
      <c r="X1516" s="241"/>
      <c r="Y1516" s="284"/>
      <c r="Z1516" s="207"/>
      <c r="AA1516" s="284"/>
      <c r="AB1516" s="284"/>
      <c r="AC1516" s="284"/>
      <c r="AD1516" s="284"/>
      <c r="AE1516" s="284"/>
      <c r="AF1516" s="284"/>
      <c r="AG1516" s="284"/>
      <c r="AI1516" s="131"/>
    </row>
    <row r="1517" spans="1:35" ht="26.4">
      <c r="A1517" s="284"/>
      <c r="B1517" s="284"/>
      <c r="C1517" s="284"/>
      <c r="D1517" s="284"/>
      <c r="E1517" s="284"/>
      <c r="F1517" s="284"/>
      <c r="G1517" s="284"/>
      <c r="H1517" s="284"/>
      <c r="I1517" s="284"/>
      <c r="J1517" s="375"/>
      <c r="K1517" s="375"/>
      <c r="L1517" s="375"/>
      <c r="M1517" s="368"/>
      <c r="N1517" s="368"/>
      <c r="O1517" s="370"/>
      <c r="T1517" s="340"/>
      <c r="V1517" s="378"/>
      <c r="W1517" s="64" ph="1"/>
      <c r="X1517" s="241"/>
      <c r="Y1517" s="284"/>
      <c r="Z1517" s="207"/>
      <c r="AA1517" s="284"/>
      <c r="AB1517" s="284"/>
      <c r="AC1517" s="284"/>
      <c r="AD1517" s="284"/>
      <c r="AE1517" s="284"/>
      <c r="AF1517" s="284"/>
      <c r="AG1517" s="284"/>
      <c r="AI1517" s="131"/>
    </row>
    <row r="1518" spans="1:35" ht="26.4">
      <c r="A1518" s="284"/>
      <c r="B1518" s="284"/>
      <c r="C1518" s="284"/>
      <c r="D1518" s="284"/>
      <c r="E1518" s="284"/>
      <c r="F1518" s="284"/>
      <c r="G1518" s="284"/>
      <c r="H1518" s="284"/>
      <c r="I1518" s="284"/>
      <c r="J1518" s="375"/>
      <c r="K1518" s="375"/>
      <c r="L1518" s="375"/>
      <c r="M1518" s="368"/>
      <c r="N1518" s="368"/>
      <c r="O1518" s="370"/>
      <c r="T1518" s="340"/>
      <c r="V1518" s="378"/>
      <c r="W1518" s="64" ph="1"/>
      <c r="X1518" s="241"/>
      <c r="Y1518" s="284"/>
      <c r="Z1518" s="207"/>
      <c r="AA1518" s="284"/>
      <c r="AB1518" s="284"/>
      <c r="AC1518" s="284"/>
      <c r="AD1518" s="284"/>
      <c r="AE1518" s="284"/>
      <c r="AF1518" s="284"/>
      <c r="AG1518" s="284"/>
      <c r="AI1518" s="284"/>
    </row>
    <row r="1519" spans="1:35" ht="26.4">
      <c r="A1519" s="284"/>
      <c r="B1519" s="284"/>
      <c r="C1519" s="284"/>
      <c r="D1519" s="284"/>
      <c r="E1519" s="284"/>
      <c r="F1519" s="284"/>
      <c r="G1519" s="284"/>
      <c r="H1519" s="284"/>
      <c r="I1519" s="284"/>
      <c r="J1519" s="375"/>
      <c r="K1519" s="375"/>
      <c r="L1519" s="375"/>
      <c r="M1519" s="368"/>
      <c r="N1519" s="368"/>
      <c r="O1519" s="370"/>
      <c r="T1519" s="340"/>
      <c r="V1519" s="378"/>
      <c r="W1519" s="64" ph="1"/>
      <c r="X1519" s="241"/>
      <c r="Y1519" s="284"/>
      <c r="Z1519" s="207"/>
      <c r="AA1519" s="284"/>
      <c r="AB1519" s="284"/>
      <c r="AC1519" s="284"/>
      <c r="AD1519" s="284"/>
      <c r="AE1519" s="284"/>
      <c r="AF1519" s="284"/>
      <c r="AG1519" s="284"/>
      <c r="AI1519" s="131"/>
    </row>
    <row r="1520" spans="1:35" ht="26.4">
      <c r="A1520" s="284"/>
      <c r="B1520" s="284"/>
      <c r="C1520" s="284"/>
      <c r="D1520" s="284"/>
      <c r="E1520" s="284"/>
      <c r="F1520" s="284"/>
      <c r="G1520" s="284"/>
      <c r="H1520" s="284"/>
      <c r="I1520" s="284"/>
      <c r="J1520" s="375"/>
      <c r="K1520" s="375"/>
      <c r="L1520" s="375"/>
      <c r="M1520" s="368"/>
      <c r="N1520" s="368"/>
      <c r="O1520" s="370"/>
      <c r="T1520" s="340"/>
      <c r="V1520" s="378"/>
      <c r="W1520" s="64" ph="1"/>
      <c r="X1520" s="241"/>
      <c r="Y1520" s="284"/>
      <c r="Z1520" s="207"/>
      <c r="AA1520" s="284"/>
      <c r="AB1520" s="284"/>
      <c r="AC1520" s="284"/>
      <c r="AD1520" s="284"/>
      <c r="AE1520" s="284"/>
      <c r="AF1520" s="284"/>
      <c r="AG1520" s="284"/>
      <c r="AI1520" s="131"/>
    </row>
    <row r="1521" spans="1:35" ht="26.4">
      <c r="A1521" s="284"/>
      <c r="B1521" s="284"/>
      <c r="C1521" s="284"/>
      <c r="D1521" s="284"/>
      <c r="E1521" s="284"/>
      <c r="F1521" s="284"/>
      <c r="G1521" s="284"/>
      <c r="H1521" s="284"/>
      <c r="I1521" s="284"/>
      <c r="J1521" s="375"/>
      <c r="K1521" s="375"/>
      <c r="L1521" s="375"/>
      <c r="M1521" s="368"/>
      <c r="N1521" s="368"/>
      <c r="O1521" s="370"/>
      <c r="T1521" s="340"/>
      <c r="V1521" s="378"/>
      <c r="W1521" s="64" ph="1"/>
      <c r="X1521" s="241"/>
      <c r="Y1521" s="284"/>
      <c r="Z1521" s="207"/>
      <c r="AA1521" s="284"/>
      <c r="AB1521" s="284"/>
      <c r="AC1521" s="284"/>
      <c r="AD1521" s="284"/>
      <c r="AE1521" s="284"/>
      <c r="AF1521" s="284"/>
      <c r="AG1521" s="284"/>
      <c r="AI1521" s="131"/>
    </row>
    <row r="1522" spans="1:35" ht="26.4">
      <c r="A1522" s="284"/>
      <c r="B1522" s="284"/>
      <c r="C1522" s="284"/>
      <c r="D1522" s="284"/>
      <c r="E1522" s="284"/>
      <c r="F1522" s="284"/>
      <c r="G1522" s="284"/>
      <c r="H1522" s="284"/>
      <c r="I1522" s="284"/>
      <c r="J1522" s="375"/>
      <c r="K1522" s="375"/>
      <c r="L1522" s="375"/>
      <c r="M1522" s="368"/>
      <c r="N1522" s="368"/>
      <c r="O1522" s="370"/>
      <c r="T1522" s="340"/>
      <c r="V1522" s="378"/>
      <c r="W1522" s="64" ph="1"/>
      <c r="X1522" s="241"/>
      <c r="Y1522" s="284"/>
      <c r="Z1522" s="207"/>
      <c r="AA1522" s="284"/>
      <c r="AB1522" s="284"/>
      <c r="AC1522" s="284"/>
      <c r="AD1522" s="284"/>
      <c r="AE1522" s="284"/>
      <c r="AF1522" s="284"/>
      <c r="AG1522" s="284"/>
      <c r="AI1522" s="131"/>
    </row>
    <row r="1523" spans="1:35" ht="26.4">
      <c r="A1523" s="284"/>
      <c r="B1523" s="284"/>
      <c r="C1523" s="284"/>
      <c r="D1523" s="284"/>
      <c r="E1523" s="284"/>
      <c r="F1523" s="284"/>
      <c r="G1523" s="284"/>
      <c r="H1523" s="284"/>
      <c r="I1523" s="284"/>
      <c r="J1523" s="375"/>
      <c r="K1523" s="375"/>
      <c r="L1523" s="375"/>
      <c r="M1523" s="368"/>
      <c r="N1523" s="368"/>
      <c r="O1523" s="370"/>
      <c r="T1523" s="340"/>
      <c r="V1523" s="378"/>
      <c r="W1523" s="64" ph="1"/>
      <c r="X1523" s="241"/>
      <c r="Y1523" s="284"/>
      <c r="Z1523" s="207"/>
      <c r="AA1523" s="284"/>
      <c r="AB1523" s="284"/>
      <c r="AC1523" s="284"/>
      <c r="AD1523" s="284"/>
      <c r="AE1523" s="284"/>
      <c r="AF1523" s="284"/>
      <c r="AG1523" s="284"/>
      <c r="AI1523" s="131"/>
    </row>
    <row r="1524" spans="1:35" ht="26.4">
      <c r="A1524" s="284"/>
      <c r="B1524" s="284"/>
      <c r="C1524" s="284"/>
      <c r="D1524" s="284"/>
      <c r="E1524" s="284"/>
      <c r="F1524" s="284"/>
      <c r="G1524" s="284"/>
      <c r="H1524" s="284"/>
      <c r="I1524" s="284"/>
      <c r="J1524" s="375"/>
      <c r="K1524" s="375"/>
      <c r="L1524" s="375"/>
      <c r="M1524" s="368"/>
      <c r="N1524" s="368"/>
      <c r="O1524" s="370"/>
      <c r="T1524" s="340"/>
      <c r="V1524" s="378"/>
      <c r="W1524" s="64" ph="1"/>
      <c r="X1524" s="241"/>
      <c r="Y1524" s="284"/>
      <c r="Z1524" s="207"/>
      <c r="AA1524" s="284"/>
      <c r="AB1524" s="284"/>
      <c r="AC1524" s="284"/>
      <c r="AD1524" s="284"/>
      <c r="AE1524" s="284"/>
      <c r="AF1524" s="284"/>
      <c r="AG1524" s="284"/>
      <c r="AI1524" s="131"/>
    </row>
    <row r="1525" spans="1:35" ht="26.4">
      <c r="A1525" s="284"/>
      <c r="B1525" s="284"/>
      <c r="C1525" s="284"/>
      <c r="D1525" s="284"/>
      <c r="E1525" s="284"/>
      <c r="F1525" s="284"/>
      <c r="G1525" s="284"/>
      <c r="H1525" s="284"/>
      <c r="I1525" s="284"/>
      <c r="J1525" s="375"/>
      <c r="K1525" s="375"/>
      <c r="L1525" s="375"/>
      <c r="M1525" s="368"/>
      <c r="N1525" s="368"/>
      <c r="O1525" s="370"/>
      <c r="T1525" s="340"/>
      <c r="V1525" s="378"/>
      <c r="W1525" s="64" ph="1"/>
      <c r="X1525" s="241"/>
      <c r="Y1525" s="284"/>
      <c r="Z1525" s="207"/>
      <c r="AA1525" s="284"/>
      <c r="AB1525" s="284"/>
      <c r="AC1525" s="284"/>
      <c r="AD1525" s="284"/>
      <c r="AE1525" s="284"/>
      <c r="AF1525" s="284"/>
      <c r="AG1525" s="284"/>
      <c r="AI1525" s="131"/>
    </row>
    <row r="1526" spans="1:35" ht="26.4">
      <c r="A1526" s="284"/>
      <c r="B1526" s="284"/>
      <c r="C1526" s="284"/>
      <c r="D1526" s="284"/>
      <c r="E1526" s="284"/>
      <c r="F1526" s="284"/>
      <c r="G1526" s="284"/>
      <c r="H1526" s="284"/>
      <c r="I1526" s="284"/>
      <c r="J1526" s="375"/>
      <c r="K1526" s="375"/>
      <c r="L1526" s="375"/>
      <c r="M1526" s="368"/>
      <c r="N1526" s="368"/>
      <c r="O1526" s="370"/>
      <c r="T1526" s="340"/>
      <c r="V1526" s="378"/>
      <c r="W1526" s="64" ph="1"/>
      <c r="X1526" s="241"/>
      <c r="Y1526" s="284"/>
      <c r="Z1526" s="207"/>
      <c r="AA1526" s="284"/>
      <c r="AB1526" s="284"/>
      <c r="AC1526" s="284"/>
      <c r="AD1526" s="284"/>
      <c r="AE1526" s="284"/>
      <c r="AF1526" s="284"/>
      <c r="AG1526" s="284"/>
      <c r="AI1526" s="131"/>
    </row>
    <row r="1527" spans="1:35" ht="26.4">
      <c r="A1527" s="284"/>
      <c r="B1527" s="284"/>
      <c r="C1527" s="284"/>
      <c r="D1527" s="284"/>
      <c r="E1527" s="284"/>
      <c r="F1527" s="284"/>
      <c r="G1527" s="284"/>
      <c r="H1527" s="284"/>
      <c r="I1527" s="284"/>
      <c r="J1527" s="375"/>
      <c r="K1527" s="375"/>
      <c r="L1527" s="375"/>
      <c r="M1527" s="368"/>
      <c r="N1527" s="368"/>
      <c r="O1527" s="370"/>
      <c r="T1527" s="340"/>
      <c r="V1527" s="378"/>
      <c r="W1527" s="64" ph="1"/>
      <c r="X1527" s="241"/>
      <c r="Y1527" s="284"/>
      <c r="Z1527" s="207"/>
      <c r="AA1527" s="284"/>
      <c r="AB1527" s="284"/>
      <c r="AC1527" s="284"/>
      <c r="AD1527" s="284"/>
      <c r="AE1527" s="284"/>
      <c r="AF1527" s="284"/>
      <c r="AG1527" s="284"/>
      <c r="AI1527" s="131"/>
    </row>
    <row r="1528" spans="1:35" ht="26.4">
      <c r="A1528" s="284"/>
      <c r="B1528" s="284"/>
      <c r="C1528" s="284"/>
      <c r="D1528" s="284"/>
      <c r="E1528" s="284"/>
      <c r="F1528" s="284"/>
      <c r="G1528" s="284"/>
      <c r="H1528" s="284"/>
      <c r="I1528" s="284"/>
      <c r="J1528" s="375"/>
      <c r="K1528" s="375"/>
      <c r="L1528" s="375"/>
      <c r="M1528" s="368"/>
      <c r="N1528" s="368"/>
      <c r="O1528" s="370"/>
      <c r="T1528" s="340"/>
      <c r="V1528" s="378"/>
      <c r="W1528" s="64" ph="1"/>
      <c r="X1528" s="241"/>
      <c r="Y1528" s="284"/>
      <c r="Z1528" s="207"/>
      <c r="AA1528" s="284"/>
      <c r="AB1528" s="284"/>
      <c r="AC1528" s="284"/>
      <c r="AD1528" s="284"/>
      <c r="AE1528" s="284"/>
      <c r="AF1528" s="284"/>
      <c r="AG1528" s="284"/>
      <c r="AI1528" s="131"/>
    </row>
    <row r="1529" spans="1:35" ht="26.4">
      <c r="A1529" s="284"/>
      <c r="B1529" s="284"/>
      <c r="C1529" s="284"/>
      <c r="D1529" s="284"/>
      <c r="E1529" s="284"/>
      <c r="F1529" s="284"/>
      <c r="G1529" s="284"/>
      <c r="H1529" s="284"/>
      <c r="I1529" s="284"/>
      <c r="J1529" s="375"/>
      <c r="K1529" s="375"/>
      <c r="L1529" s="375"/>
      <c r="M1529" s="368"/>
      <c r="N1529" s="368"/>
      <c r="O1529" s="370"/>
      <c r="T1529" s="340"/>
      <c r="V1529" s="378"/>
      <c r="W1529" s="64" ph="1"/>
      <c r="X1529" s="241"/>
      <c r="Y1529" s="284"/>
      <c r="Z1529" s="207"/>
      <c r="AA1529" s="284"/>
      <c r="AB1529" s="284"/>
      <c r="AC1529" s="284"/>
      <c r="AD1529" s="284"/>
      <c r="AE1529" s="284"/>
      <c r="AF1529" s="284"/>
      <c r="AG1529" s="284"/>
      <c r="AI1529" s="131"/>
    </row>
    <row r="1530" spans="1:35" ht="26.4">
      <c r="A1530" s="284"/>
      <c r="B1530" s="284"/>
      <c r="C1530" s="284"/>
      <c r="D1530" s="284"/>
      <c r="E1530" s="284"/>
      <c r="F1530" s="284"/>
      <c r="G1530" s="284"/>
      <c r="H1530" s="284"/>
      <c r="I1530" s="284"/>
      <c r="J1530" s="375"/>
      <c r="K1530" s="375"/>
      <c r="L1530" s="375"/>
      <c r="M1530" s="368"/>
      <c r="N1530" s="368"/>
      <c r="O1530" s="370"/>
      <c r="T1530" s="340"/>
      <c r="V1530" s="378"/>
      <c r="W1530" s="64" ph="1"/>
      <c r="X1530" s="241"/>
      <c r="Y1530" s="284"/>
      <c r="Z1530" s="207"/>
      <c r="AA1530" s="284"/>
      <c r="AB1530" s="284"/>
      <c r="AC1530" s="284"/>
      <c r="AD1530" s="284"/>
      <c r="AE1530" s="284"/>
      <c r="AF1530" s="284"/>
      <c r="AG1530" s="284"/>
      <c r="AI1530" s="131"/>
    </row>
    <row r="1531" spans="1:35" ht="26.4">
      <c r="A1531" s="284"/>
      <c r="B1531" s="284"/>
      <c r="C1531" s="284"/>
      <c r="D1531" s="284"/>
      <c r="E1531" s="284"/>
      <c r="F1531" s="284"/>
      <c r="G1531" s="284"/>
      <c r="H1531" s="284"/>
      <c r="I1531" s="284"/>
      <c r="J1531" s="375"/>
      <c r="K1531" s="375"/>
      <c r="L1531" s="375"/>
      <c r="M1531" s="368"/>
      <c r="N1531" s="368"/>
      <c r="O1531" s="370"/>
      <c r="T1531" s="340"/>
      <c r="V1531" s="378"/>
      <c r="W1531" s="64" ph="1"/>
      <c r="X1531" s="241"/>
      <c r="Y1531" s="284"/>
      <c r="Z1531" s="207"/>
      <c r="AA1531" s="284"/>
      <c r="AB1531" s="284"/>
      <c r="AC1531" s="284"/>
      <c r="AD1531" s="284"/>
      <c r="AE1531" s="284"/>
      <c r="AF1531" s="284"/>
      <c r="AG1531" s="284"/>
      <c r="AI1531" s="131"/>
    </row>
    <row r="1532" spans="1:35" ht="26.4">
      <c r="A1532" s="284"/>
      <c r="B1532" s="284"/>
      <c r="C1532" s="284"/>
      <c r="D1532" s="284"/>
      <c r="E1532" s="284"/>
      <c r="F1532" s="284"/>
      <c r="G1532" s="284"/>
      <c r="H1532" s="284"/>
      <c r="I1532" s="284"/>
      <c r="J1532" s="375"/>
      <c r="K1532" s="375"/>
      <c r="L1532" s="375"/>
      <c r="M1532" s="368"/>
      <c r="N1532" s="368"/>
      <c r="O1532" s="370"/>
      <c r="T1532" s="340"/>
      <c r="V1532" s="378"/>
      <c r="W1532" s="64" ph="1"/>
      <c r="X1532" s="241"/>
      <c r="Y1532" s="284"/>
      <c r="Z1532" s="207"/>
      <c r="AA1532" s="284"/>
      <c r="AB1532" s="284"/>
      <c r="AC1532" s="284"/>
      <c r="AD1532" s="284"/>
      <c r="AE1532" s="284"/>
      <c r="AF1532" s="284"/>
      <c r="AG1532" s="284"/>
      <c r="AI1532" s="131"/>
    </row>
    <row r="1533" spans="1:35" ht="26.4">
      <c r="A1533" s="284"/>
      <c r="B1533" s="284"/>
      <c r="C1533" s="284"/>
      <c r="D1533" s="284"/>
      <c r="E1533" s="284"/>
      <c r="F1533" s="284"/>
      <c r="G1533" s="284"/>
      <c r="H1533" s="284"/>
      <c r="I1533" s="284"/>
      <c r="J1533" s="375"/>
      <c r="K1533" s="375"/>
      <c r="L1533" s="375"/>
      <c r="M1533" s="368"/>
      <c r="N1533" s="368"/>
      <c r="O1533" s="370"/>
      <c r="T1533" s="340"/>
      <c r="V1533" s="378"/>
      <c r="W1533" s="64" ph="1"/>
      <c r="X1533" s="241"/>
      <c r="Y1533" s="284"/>
      <c r="Z1533" s="207"/>
      <c r="AA1533" s="284"/>
      <c r="AB1533" s="284"/>
      <c r="AC1533" s="284"/>
      <c r="AD1533" s="284"/>
      <c r="AE1533" s="284"/>
      <c r="AF1533" s="284"/>
      <c r="AG1533" s="284"/>
      <c r="AI1533" s="28"/>
    </row>
    <row r="1534" spans="1:35" ht="26.4">
      <c r="A1534" s="284"/>
      <c r="B1534" s="284"/>
      <c r="C1534" s="284"/>
      <c r="D1534" s="284"/>
      <c r="E1534" s="284"/>
      <c r="F1534" s="284"/>
      <c r="G1534" s="284"/>
      <c r="H1534" s="284"/>
      <c r="I1534" s="284"/>
      <c r="J1534" s="375"/>
      <c r="K1534" s="375"/>
      <c r="L1534" s="375"/>
      <c r="M1534" s="368"/>
      <c r="N1534" s="368"/>
      <c r="O1534" s="370"/>
      <c r="T1534" s="340"/>
      <c r="V1534" s="378"/>
      <c r="W1534" s="64" ph="1"/>
      <c r="X1534" s="241"/>
      <c r="Y1534" s="284"/>
      <c r="Z1534" s="207"/>
      <c r="AA1534" s="284"/>
      <c r="AB1534" s="284"/>
      <c r="AC1534" s="284"/>
      <c r="AD1534" s="284"/>
      <c r="AE1534" s="284"/>
      <c r="AF1534" s="284"/>
      <c r="AG1534" s="284"/>
      <c r="AI1534" s="131"/>
    </row>
    <row r="1535" spans="1:35" ht="26.4">
      <c r="A1535" s="284"/>
      <c r="B1535" s="284"/>
      <c r="C1535" s="284"/>
      <c r="D1535" s="284"/>
      <c r="E1535" s="284"/>
      <c r="F1535" s="284"/>
      <c r="G1535" s="284"/>
      <c r="H1535" s="284"/>
      <c r="I1535" s="284"/>
      <c r="J1535" s="375"/>
      <c r="K1535" s="375"/>
      <c r="L1535" s="375"/>
      <c r="M1535" s="368"/>
      <c r="N1535" s="368"/>
      <c r="O1535" s="370"/>
      <c r="T1535" s="340"/>
      <c r="V1535" s="378"/>
      <c r="W1535" s="64" ph="1"/>
      <c r="X1535" s="241"/>
      <c r="Y1535" s="284"/>
      <c r="Z1535" s="207"/>
      <c r="AA1535" s="284"/>
      <c r="AB1535" s="284"/>
      <c r="AC1535" s="284"/>
      <c r="AD1535" s="284"/>
      <c r="AE1535" s="284"/>
      <c r="AF1535" s="284"/>
      <c r="AG1535" s="284"/>
      <c r="AI1535" s="131"/>
    </row>
    <row r="1536" spans="1:35" ht="26.4">
      <c r="A1536" s="284"/>
      <c r="B1536" s="284"/>
      <c r="C1536" s="284"/>
      <c r="D1536" s="284"/>
      <c r="E1536" s="284"/>
      <c r="F1536" s="284"/>
      <c r="G1536" s="284"/>
      <c r="H1536" s="284"/>
      <c r="I1536" s="284"/>
      <c r="J1536" s="375"/>
      <c r="K1536" s="375"/>
      <c r="L1536" s="375"/>
      <c r="M1536" s="368"/>
      <c r="N1536" s="368"/>
      <c r="O1536" s="370"/>
      <c r="T1536" s="340"/>
      <c r="V1536" s="378"/>
      <c r="W1536" s="64" ph="1"/>
      <c r="X1536" s="241"/>
      <c r="Y1536" s="284"/>
      <c r="Z1536" s="207"/>
      <c r="AA1536" s="284"/>
      <c r="AB1536" s="284"/>
      <c r="AC1536" s="284"/>
      <c r="AD1536" s="284"/>
      <c r="AE1536" s="284"/>
      <c r="AF1536" s="284"/>
      <c r="AG1536" s="284"/>
      <c r="AI1536" s="131"/>
    </row>
    <row r="1537" spans="1:35" ht="26.4">
      <c r="A1537" s="284"/>
      <c r="B1537" s="284"/>
      <c r="C1537" s="284"/>
      <c r="D1537" s="284"/>
      <c r="E1537" s="284"/>
      <c r="F1537" s="284"/>
      <c r="G1537" s="284"/>
      <c r="H1537" s="284"/>
      <c r="I1537" s="284"/>
      <c r="J1537" s="375"/>
      <c r="K1537" s="375"/>
      <c r="L1537" s="375"/>
      <c r="M1537" s="368"/>
      <c r="N1537" s="368"/>
      <c r="O1537" s="370"/>
      <c r="T1537" s="340"/>
      <c r="V1537" s="378"/>
      <c r="W1537" s="64" ph="1"/>
      <c r="X1537" s="241"/>
      <c r="Y1537" s="284"/>
      <c r="Z1537" s="207"/>
      <c r="AA1537" s="284"/>
      <c r="AB1537" s="284"/>
      <c r="AC1537" s="284"/>
      <c r="AD1537" s="284"/>
      <c r="AE1537" s="284"/>
      <c r="AF1537" s="284"/>
      <c r="AG1537" s="284"/>
      <c r="AI1537" s="131"/>
    </row>
    <row r="1538" spans="1:35" ht="26.4">
      <c r="A1538" s="284"/>
      <c r="B1538" s="284"/>
      <c r="C1538" s="284"/>
      <c r="D1538" s="284"/>
      <c r="E1538" s="284"/>
      <c r="F1538" s="284"/>
      <c r="G1538" s="284"/>
      <c r="H1538" s="284"/>
      <c r="I1538" s="284"/>
      <c r="J1538" s="375"/>
      <c r="K1538" s="375"/>
      <c r="L1538" s="375"/>
      <c r="M1538" s="368"/>
      <c r="N1538" s="368"/>
      <c r="O1538" s="370"/>
      <c r="T1538" s="340"/>
      <c r="V1538" s="378"/>
      <c r="W1538" s="64" ph="1"/>
      <c r="X1538" s="241"/>
      <c r="Y1538" s="284"/>
      <c r="Z1538" s="207"/>
      <c r="AA1538" s="284"/>
      <c r="AB1538" s="284"/>
      <c r="AC1538" s="284"/>
      <c r="AD1538" s="284"/>
      <c r="AE1538" s="284"/>
      <c r="AF1538" s="284"/>
      <c r="AG1538" s="284"/>
      <c r="AI1538" s="131"/>
    </row>
    <row r="1539" spans="1:35" ht="26.4">
      <c r="A1539" s="284"/>
      <c r="B1539" s="284"/>
      <c r="C1539" s="284"/>
      <c r="D1539" s="284"/>
      <c r="E1539" s="284"/>
      <c r="F1539" s="284"/>
      <c r="G1539" s="284"/>
      <c r="H1539" s="284"/>
      <c r="I1539" s="284"/>
      <c r="J1539" s="375"/>
      <c r="K1539" s="375"/>
      <c r="L1539" s="375"/>
      <c r="M1539" s="368"/>
      <c r="N1539" s="368"/>
      <c r="O1539" s="370"/>
      <c r="T1539" s="340"/>
      <c r="V1539" s="378"/>
      <c r="W1539" s="64" ph="1"/>
      <c r="X1539" s="241"/>
      <c r="Y1539" s="284"/>
      <c r="Z1539" s="207"/>
      <c r="AA1539" s="284"/>
      <c r="AB1539" s="284"/>
      <c r="AC1539" s="284"/>
      <c r="AD1539" s="284"/>
      <c r="AE1539" s="284"/>
      <c r="AF1539" s="284"/>
      <c r="AG1539" s="284"/>
      <c r="AI1539" s="131"/>
    </row>
    <row r="1540" spans="1:35" ht="26.4">
      <c r="A1540" s="284"/>
      <c r="B1540" s="284"/>
      <c r="C1540" s="284"/>
      <c r="D1540" s="284"/>
      <c r="E1540" s="284"/>
      <c r="F1540" s="284"/>
      <c r="G1540" s="284"/>
      <c r="H1540" s="284"/>
      <c r="I1540" s="284"/>
      <c r="J1540" s="375"/>
      <c r="K1540" s="375"/>
      <c r="L1540" s="375"/>
      <c r="M1540" s="368"/>
      <c r="N1540" s="368"/>
      <c r="O1540" s="370"/>
      <c r="T1540" s="340"/>
      <c r="V1540" s="378"/>
      <c r="W1540" s="64" ph="1"/>
      <c r="X1540" s="241"/>
      <c r="Y1540" s="284"/>
      <c r="Z1540" s="207"/>
      <c r="AA1540" s="284"/>
      <c r="AB1540" s="284"/>
      <c r="AC1540" s="284"/>
      <c r="AD1540" s="284"/>
      <c r="AE1540" s="284"/>
      <c r="AF1540" s="284"/>
      <c r="AG1540" s="284"/>
      <c r="AI1540" s="131"/>
    </row>
    <row r="1541" spans="1:35" ht="26.4">
      <c r="A1541" s="284"/>
      <c r="B1541" s="284"/>
      <c r="C1541" s="284"/>
      <c r="D1541" s="284"/>
      <c r="E1541" s="284"/>
      <c r="F1541" s="284"/>
      <c r="G1541" s="284"/>
      <c r="H1541" s="284"/>
      <c r="I1541" s="284"/>
      <c r="J1541" s="375"/>
      <c r="K1541" s="375"/>
      <c r="L1541" s="375"/>
      <c r="M1541" s="368"/>
      <c r="N1541" s="368"/>
      <c r="O1541" s="370"/>
      <c r="T1541" s="340"/>
      <c r="V1541" s="378"/>
      <c r="W1541" s="64" ph="1"/>
      <c r="X1541" s="241"/>
      <c r="Y1541" s="284"/>
      <c r="Z1541" s="207"/>
      <c r="AA1541" s="284"/>
      <c r="AB1541" s="284"/>
      <c r="AC1541" s="284"/>
      <c r="AD1541" s="284"/>
      <c r="AE1541" s="284"/>
      <c r="AF1541" s="284"/>
      <c r="AG1541" s="284"/>
      <c r="AI1541" s="131"/>
    </row>
    <row r="1542" spans="1:35" ht="26.4">
      <c r="A1542" s="284"/>
      <c r="B1542" s="284"/>
      <c r="C1542" s="284"/>
      <c r="D1542" s="284"/>
      <c r="E1542" s="284"/>
      <c r="F1542" s="284"/>
      <c r="G1542" s="284"/>
      <c r="H1542" s="284"/>
      <c r="I1542" s="284"/>
      <c r="J1542" s="375"/>
      <c r="K1542" s="375"/>
      <c r="L1542" s="375"/>
      <c r="M1542" s="368"/>
      <c r="N1542" s="368"/>
      <c r="O1542" s="370"/>
      <c r="T1542" s="340"/>
      <c r="V1542" s="378"/>
      <c r="W1542" s="64" ph="1"/>
      <c r="X1542" s="241"/>
      <c r="Y1542" s="284"/>
      <c r="Z1542" s="207"/>
      <c r="AA1542" s="284"/>
      <c r="AB1542" s="284"/>
      <c r="AC1542" s="284"/>
      <c r="AD1542" s="284"/>
      <c r="AE1542" s="284"/>
      <c r="AF1542" s="284"/>
      <c r="AG1542" s="284"/>
      <c r="AI1542" s="131"/>
    </row>
    <row r="1543" spans="1:35" ht="26.4">
      <c r="A1543" s="284"/>
      <c r="B1543" s="284"/>
      <c r="C1543" s="284"/>
      <c r="D1543" s="284"/>
      <c r="E1543" s="284"/>
      <c r="F1543" s="284"/>
      <c r="G1543" s="284"/>
      <c r="H1543" s="284"/>
      <c r="I1543" s="284"/>
      <c r="J1543" s="375"/>
      <c r="K1543" s="375"/>
      <c r="L1543" s="375"/>
      <c r="M1543" s="368"/>
      <c r="N1543" s="368"/>
      <c r="O1543" s="370"/>
      <c r="T1543" s="340"/>
      <c r="V1543" s="378"/>
      <c r="W1543" s="64" ph="1"/>
      <c r="X1543" s="241"/>
      <c r="Y1543" s="284"/>
      <c r="Z1543" s="207"/>
      <c r="AA1543" s="284"/>
      <c r="AB1543" s="284"/>
      <c r="AC1543" s="284"/>
      <c r="AD1543" s="284"/>
      <c r="AE1543" s="284"/>
      <c r="AF1543" s="284"/>
      <c r="AG1543" s="284"/>
      <c r="AI1543" s="131"/>
    </row>
    <row r="1544" spans="1:35" ht="26.4">
      <c r="A1544" s="284"/>
      <c r="B1544" s="284"/>
      <c r="C1544" s="284"/>
      <c r="D1544" s="284"/>
      <c r="E1544" s="284"/>
      <c r="F1544" s="284"/>
      <c r="G1544" s="284"/>
      <c r="H1544" s="284"/>
      <c r="I1544" s="284"/>
      <c r="J1544" s="375"/>
      <c r="K1544" s="375"/>
      <c r="L1544" s="375"/>
      <c r="M1544" s="368"/>
      <c r="N1544" s="368"/>
      <c r="O1544" s="370"/>
      <c r="T1544" s="340"/>
      <c r="V1544" s="378"/>
      <c r="W1544" s="64" ph="1"/>
      <c r="X1544" s="241"/>
      <c r="Y1544" s="284"/>
      <c r="Z1544" s="207"/>
      <c r="AA1544" s="284"/>
      <c r="AB1544" s="284"/>
      <c r="AC1544" s="284"/>
      <c r="AD1544" s="284"/>
      <c r="AE1544" s="284"/>
      <c r="AF1544" s="284"/>
      <c r="AG1544" s="284"/>
      <c r="AI1544" s="131"/>
    </row>
    <row r="1545" spans="1:35" ht="26.4">
      <c r="A1545" s="284"/>
      <c r="B1545" s="284"/>
      <c r="C1545" s="284"/>
      <c r="D1545" s="284"/>
      <c r="E1545" s="284"/>
      <c r="F1545" s="284"/>
      <c r="G1545" s="284"/>
      <c r="H1545" s="284"/>
      <c r="I1545" s="284"/>
      <c r="J1545" s="375"/>
      <c r="K1545" s="375"/>
      <c r="L1545" s="375"/>
      <c r="M1545" s="368"/>
      <c r="N1545" s="368"/>
      <c r="O1545" s="370"/>
      <c r="T1545" s="340"/>
      <c r="V1545" s="378"/>
      <c r="W1545" s="64" ph="1"/>
      <c r="X1545" s="241"/>
      <c r="Y1545" s="284"/>
      <c r="Z1545" s="207"/>
      <c r="AA1545" s="284"/>
      <c r="AB1545" s="284"/>
      <c r="AC1545" s="284"/>
      <c r="AD1545" s="284"/>
      <c r="AE1545" s="284"/>
      <c r="AF1545" s="284"/>
      <c r="AG1545" s="284"/>
      <c r="AI1545" s="131"/>
    </row>
    <row r="1546" spans="1:35" ht="26.4">
      <c r="A1546" s="284"/>
      <c r="B1546" s="284"/>
      <c r="C1546" s="284"/>
      <c r="D1546" s="284"/>
      <c r="E1546" s="284"/>
      <c r="F1546" s="284"/>
      <c r="G1546" s="284"/>
      <c r="H1546" s="284"/>
      <c r="I1546" s="284"/>
      <c r="J1546" s="375"/>
      <c r="K1546" s="375"/>
      <c r="L1546" s="375"/>
      <c r="M1546" s="368"/>
      <c r="N1546" s="368"/>
      <c r="O1546" s="370"/>
      <c r="T1546" s="340"/>
      <c r="V1546" s="378"/>
      <c r="W1546" s="64" ph="1"/>
      <c r="X1546" s="241"/>
      <c r="Y1546" s="284"/>
      <c r="Z1546" s="207"/>
      <c r="AA1546" s="284"/>
      <c r="AB1546" s="284"/>
      <c r="AC1546" s="284"/>
      <c r="AD1546" s="284"/>
      <c r="AE1546" s="284"/>
      <c r="AF1546" s="284"/>
      <c r="AG1546" s="284"/>
      <c r="AI1546" s="131"/>
    </row>
    <row r="1547" spans="1:35" ht="26.4">
      <c r="A1547" s="284"/>
      <c r="B1547" s="284"/>
      <c r="C1547" s="284"/>
      <c r="D1547" s="284"/>
      <c r="E1547" s="284"/>
      <c r="F1547" s="284"/>
      <c r="G1547" s="284"/>
      <c r="H1547" s="284"/>
      <c r="I1547" s="284"/>
      <c r="J1547" s="375"/>
      <c r="K1547" s="375"/>
      <c r="L1547" s="375"/>
      <c r="M1547" s="368"/>
      <c r="N1547" s="368"/>
      <c r="O1547" s="370"/>
      <c r="T1547" s="340"/>
      <c r="V1547" s="378"/>
      <c r="W1547" s="64" ph="1"/>
      <c r="X1547" s="241"/>
      <c r="Y1547" s="284"/>
      <c r="Z1547" s="207"/>
      <c r="AA1547" s="284"/>
      <c r="AB1547" s="284"/>
      <c r="AC1547" s="284"/>
      <c r="AD1547" s="284"/>
      <c r="AE1547" s="284"/>
      <c r="AF1547" s="284"/>
      <c r="AG1547" s="284"/>
      <c r="AI1547" s="284"/>
    </row>
    <row r="1548" spans="1:35" ht="26.4">
      <c r="A1548" s="284"/>
      <c r="B1548" s="284"/>
      <c r="C1548" s="284"/>
      <c r="D1548" s="284"/>
      <c r="E1548" s="284"/>
      <c r="F1548" s="284"/>
      <c r="G1548" s="284"/>
      <c r="H1548" s="284"/>
      <c r="I1548" s="284"/>
      <c r="J1548" s="375"/>
      <c r="K1548" s="375"/>
      <c r="L1548" s="375"/>
      <c r="M1548" s="368"/>
      <c r="N1548" s="368"/>
      <c r="O1548" s="370"/>
      <c r="T1548" s="340"/>
      <c r="V1548" s="378"/>
      <c r="W1548" s="64" ph="1"/>
      <c r="X1548" s="241"/>
      <c r="Y1548" s="284"/>
      <c r="Z1548" s="207"/>
      <c r="AA1548" s="284"/>
      <c r="AB1548" s="284"/>
      <c r="AC1548" s="284"/>
      <c r="AD1548" s="284"/>
      <c r="AE1548" s="284"/>
      <c r="AF1548" s="284"/>
      <c r="AG1548" s="284"/>
      <c r="AI1548" s="131"/>
    </row>
    <row r="1549" spans="1:35" ht="26.4">
      <c r="A1549" s="284"/>
      <c r="B1549" s="284"/>
      <c r="C1549" s="284"/>
      <c r="D1549" s="284"/>
      <c r="E1549" s="284"/>
      <c r="F1549" s="284"/>
      <c r="G1549" s="284"/>
      <c r="H1549" s="284"/>
      <c r="I1549" s="284"/>
      <c r="J1549" s="375"/>
      <c r="K1549" s="375"/>
      <c r="L1549" s="375"/>
      <c r="M1549" s="368"/>
      <c r="N1549" s="368"/>
      <c r="O1549" s="370"/>
      <c r="T1549" s="340"/>
      <c r="V1549" s="378"/>
      <c r="W1549" s="64" ph="1"/>
      <c r="X1549" s="241"/>
      <c r="Y1549" s="284"/>
      <c r="Z1549" s="207"/>
      <c r="AA1549" s="284"/>
      <c r="AB1549" s="284"/>
      <c r="AC1549" s="284"/>
      <c r="AD1549" s="284"/>
      <c r="AE1549" s="284"/>
      <c r="AF1549" s="284"/>
      <c r="AG1549" s="284"/>
      <c r="AI1549" s="131"/>
    </row>
    <row r="1550" spans="1:35" ht="26.4">
      <c r="A1550" s="284"/>
      <c r="B1550" s="284"/>
      <c r="C1550" s="284"/>
      <c r="D1550" s="284"/>
      <c r="E1550" s="284"/>
      <c r="F1550" s="284"/>
      <c r="G1550" s="284"/>
      <c r="H1550" s="284"/>
      <c r="I1550" s="284"/>
      <c r="J1550" s="375"/>
      <c r="K1550" s="375"/>
      <c r="L1550" s="375"/>
      <c r="M1550" s="368"/>
      <c r="N1550" s="368"/>
      <c r="O1550" s="370"/>
      <c r="T1550" s="340"/>
      <c r="V1550" s="378"/>
      <c r="W1550" s="64" ph="1"/>
      <c r="X1550" s="241"/>
      <c r="Y1550" s="284"/>
      <c r="Z1550" s="207"/>
      <c r="AA1550" s="284"/>
      <c r="AB1550" s="284"/>
      <c r="AC1550" s="284"/>
      <c r="AD1550" s="284"/>
      <c r="AE1550" s="284"/>
      <c r="AF1550" s="284"/>
      <c r="AG1550" s="284"/>
      <c r="AI1550" s="131"/>
    </row>
    <row r="1551" spans="1:35" ht="26.4">
      <c r="A1551" s="284"/>
      <c r="B1551" s="284"/>
      <c r="C1551" s="284"/>
      <c r="D1551" s="284"/>
      <c r="E1551" s="284"/>
      <c r="F1551" s="284"/>
      <c r="G1551" s="284"/>
      <c r="H1551" s="284"/>
      <c r="I1551" s="284"/>
      <c r="J1551" s="375"/>
      <c r="K1551" s="375"/>
      <c r="L1551" s="375"/>
      <c r="M1551" s="368"/>
      <c r="N1551" s="368"/>
      <c r="O1551" s="370"/>
      <c r="T1551" s="340"/>
      <c r="V1551" s="378"/>
      <c r="W1551" s="64" ph="1"/>
      <c r="X1551" s="241"/>
      <c r="Y1551" s="284"/>
      <c r="Z1551" s="207"/>
      <c r="AA1551" s="284"/>
      <c r="AB1551" s="284"/>
      <c r="AC1551" s="284"/>
      <c r="AD1551" s="284"/>
      <c r="AE1551" s="284"/>
      <c r="AF1551" s="284"/>
      <c r="AG1551" s="284"/>
      <c r="AI1551" s="131"/>
    </row>
    <row r="1552" spans="1:35" ht="26.4">
      <c r="A1552" s="284"/>
      <c r="B1552" s="284"/>
      <c r="C1552" s="284"/>
      <c r="D1552" s="284"/>
      <c r="E1552" s="284"/>
      <c r="F1552" s="284"/>
      <c r="G1552" s="284"/>
      <c r="H1552" s="284"/>
      <c r="I1552" s="284"/>
      <c r="J1552" s="375"/>
      <c r="K1552" s="375"/>
      <c r="L1552" s="375"/>
      <c r="M1552" s="368"/>
      <c r="N1552" s="368"/>
      <c r="O1552" s="370"/>
      <c r="T1552" s="340"/>
      <c r="V1552" s="378"/>
      <c r="W1552" s="64" ph="1"/>
      <c r="X1552" s="241"/>
      <c r="Y1552" s="284"/>
      <c r="Z1552" s="207"/>
      <c r="AA1552" s="284"/>
      <c r="AB1552" s="284"/>
      <c r="AC1552" s="284"/>
      <c r="AD1552" s="284"/>
      <c r="AE1552" s="284"/>
      <c r="AF1552" s="284"/>
      <c r="AG1552" s="284"/>
      <c r="AI1552" s="131"/>
    </row>
    <row r="1553" spans="1:35" ht="26.4">
      <c r="A1553" s="284"/>
      <c r="B1553" s="284"/>
      <c r="C1553" s="284"/>
      <c r="D1553" s="284"/>
      <c r="E1553" s="284"/>
      <c r="F1553" s="284"/>
      <c r="G1553" s="284"/>
      <c r="H1553" s="284"/>
      <c r="I1553" s="284"/>
      <c r="J1553" s="375"/>
      <c r="K1553" s="375"/>
      <c r="L1553" s="375"/>
      <c r="M1553" s="368"/>
      <c r="N1553" s="368"/>
      <c r="O1553" s="370"/>
      <c r="T1553" s="340"/>
      <c r="V1553" s="378"/>
      <c r="W1553" s="64" ph="1"/>
      <c r="X1553" s="241"/>
      <c r="Y1553" s="284"/>
      <c r="Z1553" s="207"/>
      <c r="AA1553" s="284"/>
      <c r="AB1553" s="284"/>
      <c r="AC1553" s="284"/>
      <c r="AD1553" s="284"/>
      <c r="AE1553" s="284"/>
      <c r="AF1553" s="284"/>
      <c r="AG1553" s="284"/>
      <c r="AI1553" s="131"/>
    </row>
    <row r="1554" spans="1:35" ht="26.4">
      <c r="A1554" s="284"/>
      <c r="B1554" s="284"/>
      <c r="C1554" s="284"/>
      <c r="D1554" s="284"/>
      <c r="E1554" s="284"/>
      <c r="F1554" s="284"/>
      <c r="G1554" s="284"/>
      <c r="H1554" s="284"/>
      <c r="I1554" s="284"/>
      <c r="J1554" s="375"/>
      <c r="K1554" s="375"/>
      <c r="L1554" s="375"/>
      <c r="M1554" s="368"/>
      <c r="N1554" s="368"/>
      <c r="O1554" s="370"/>
      <c r="T1554" s="340"/>
      <c r="V1554" s="378"/>
      <c r="W1554" s="64" ph="1"/>
      <c r="X1554" s="241"/>
      <c r="Y1554" s="284"/>
      <c r="Z1554" s="207"/>
      <c r="AA1554" s="284"/>
      <c r="AB1554" s="284"/>
      <c r="AC1554" s="284"/>
      <c r="AD1554" s="284"/>
      <c r="AE1554" s="284"/>
      <c r="AF1554" s="284"/>
      <c r="AG1554" s="284"/>
      <c r="AI1554" s="131"/>
    </row>
    <row r="1555" spans="1:35" ht="26.4">
      <c r="A1555" s="284"/>
      <c r="B1555" s="284"/>
      <c r="C1555" s="284"/>
      <c r="D1555" s="284"/>
      <c r="E1555" s="284"/>
      <c r="F1555" s="284"/>
      <c r="G1555" s="284"/>
      <c r="H1555" s="284"/>
      <c r="I1555" s="284"/>
      <c r="J1555" s="375"/>
      <c r="K1555" s="375"/>
      <c r="L1555" s="375"/>
      <c r="M1555" s="368"/>
      <c r="N1555" s="368"/>
      <c r="O1555" s="370"/>
      <c r="T1555" s="340"/>
      <c r="V1555" s="378"/>
      <c r="W1555" s="64" ph="1"/>
      <c r="X1555" s="241"/>
      <c r="Y1555" s="284"/>
      <c r="Z1555" s="207"/>
      <c r="AA1555" s="284"/>
      <c r="AB1555" s="284"/>
      <c r="AC1555" s="284"/>
      <c r="AD1555" s="284"/>
      <c r="AE1555" s="284"/>
      <c r="AF1555" s="284"/>
      <c r="AG1555" s="284"/>
      <c r="AI1555" s="131"/>
    </row>
    <row r="1556" spans="1:35" ht="26.4">
      <c r="A1556" s="284"/>
      <c r="B1556" s="284"/>
      <c r="C1556" s="284"/>
      <c r="D1556" s="284"/>
      <c r="E1556" s="284"/>
      <c r="F1556" s="284"/>
      <c r="G1556" s="284"/>
      <c r="H1556" s="284"/>
      <c r="I1556" s="284"/>
      <c r="J1556" s="375"/>
      <c r="K1556" s="375"/>
      <c r="L1556" s="375"/>
      <c r="M1556" s="368"/>
      <c r="N1556" s="368"/>
      <c r="O1556" s="370"/>
      <c r="T1556" s="340"/>
      <c r="V1556" s="378"/>
      <c r="W1556" s="64" ph="1"/>
      <c r="X1556" s="241"/>
      <c r="Y1556" s="284"/>
      <c r="Z1556" s="207"/>
      <c r="AA1556" s="284"/>
      <c r="AB1556" s="284"/>
      <c r="AC1556" s="284"/>
      <c r="AD1556" s="284"/>
      <c r="AE1556" s="284"/>
      <c r="AF1556" s="284"/>
      <c r="AG1556" s="284"/>
      <c r="AI1556" s="131"/>
    </row>
    <row r="1557" spans="1:35" ht="26.4">
      <c r="A1557" s="284"/>
      <c r="B1557" s="284"/>
      <c r="C1557" s="284"/>
      <c r="D1557" s="284"/>
      <c r="E1557" s="284"/>
      <c r="F1557" s="284"/>
      <c r="G1557" s="284"/>
      <c r="H1557" s="284"/>
      <c r="I1557" s="284"/>
      <c r="J1557" s="375"/>
      <c r="K1557" s="375"/>
      <c r="L1557" s="375"/>
      <c r="M1557" s="368"/>
      <c r="N1557" s="368"/>
      <c r="O1557" s="370"/>
      <c r="T1557" s="340"/>
      <c r="V1557" s="378"/>
      <c r="W1557" s="64" ph="1"/>
      <c r="X1557" s="241"/>
      <c r="Y1557" s="284"/>
      <c r="Z1557" s="207"/>
      <c r="AA1557" s="284"/>
      <c r="AB1557" s="284"/>
      <c r="AC1557" s="284"/>
      <c r="AD1557" s="284"/>
      <c r="AE1557" s="284"/>
      <c r="AF1557" s="284"/>
      <c r="AG1557" s="284"/>
      <c r="AI1557" s="131"/>
    </row>
    <row r="1558" spans="1:35" ht="26.4">
      <c r="A1558" s="284"/>
      <c r="B1558" s="284"/>
      <c r="C1558" s="284"/>
      <c r="D1558" s="284"/>
      <c r="E1558" s="284"/>
      <c r="F1558" s="284"/>
      <c r="G1558" s="284"/>
      <c r="H1558" s="284"/>
      <c r="I1558" s="284"/>
      <c r="J1558" s="375"/>
      <c r="K1558" s="375"/>
      <c r="L1558" s="375"/>
      <c r="M1558" s="368"/>
      <c r="N1558" s="368"/>
      <c r="O1558" s="370"/>
      <c r="T1558" s="340"/>
      <c r="V1558" s="378"/>
      <c r="W1558" s="64" ph="1"/>
      <c r="X1558" s="241"/>
      <c r="Y1558" s="284"/>
      <c r="Z1558" s="207"/>
      <c r="AA1558" s="284"/>
      <c r="AB1558" s="284"/>
      <c r="AC1558" s="284"/>
      <c r="AD1558" s="284"/>
      <c r="AE1558" s="284"/>
      <c r="AF1558" s="284"/>
      <c r="AG1558" s="284"/>
      <c r="AI1558" s="284"/>
    </row>
    <row r="1559" spans="1:35" ht="26.4">
      <c r="A1559" s="284"/>
      <c r="B1559" s="284"/>
      <c r="C1559" s="284"/>
      <c r="D1559" s="284"/>
      <c r="E1559" s="284"/>
      <c r="F1559" s="284"/>
      <c r="G1559" s="284"/>
      <c r="H1559" s="284"/>
      <c r="I1559" s="284"/>
      <c r="J1559" s="375"/>
      <c r="K1559" s="375"/>
      <c r="L1559" s="375"/>
      <c r="M1559" s="368"/>
      <c r="N1559" s="368"/>
      <c r="O1559" s="370"/>
      <c r="T1559" s="340"/>
      <c r="V1559" s="378"/>
      <c r="W1559" s="64" ph="1"/>
      <c r="X1559" s="241"/>
      <c r="Y1559" s="284"/>
      <c r="Z1559" s="207"/>
      <c r="AA1559" s="284"/>
      <c r="AB1559" s="284"/>
      <c r="AC1559" s="284"/>
      <c r="AD1559" s="284"/>
      <c r="AE1559" s="284"/>
      <c r="AF1559" s="284"/>
      <c r="AG1559" s="284"/>
      <c r="AI1559" s="131"/>
    </row>
    <row r="1560" spans="1:35" ht="26.4">
      <c r="A1560" s="284"/>
      <c r="B1560" s="284"/>
      <c r="C1560" s="284"/>
      <c r="D1560" s="284"/>
      <c r="E1560" s="284"/>
      <c r="F1560" s="284"/>
      <c r="G1560" s="284"/>
      <c r="H1560" s="284"/>
      <c r="I1560" s="284"/>
      <c r="J1560" s="375"/>
      <c r="K1560" s="375"/>
      <c r="L1560" s="375"/>
      <c r="M1560" s="368"/>
      <c r="N1560" s="368"/>
      <c r="O1560" s="370"/>
      <c r="T1560" s="340"/>
      <c r="V1560" s="378"/>
      <c r="W1560" s="64" ph="1"/>
      <c r="X1560" s="241"/>
      <c r="Y1560" s="284"/>
      <c r="Z1560" s="207"/>
      <c r="AA1560" s="284"/>
      <c r="AB1560" s="284"/>
      <c r="AC1560" s="284"/>
      <c r="AD1560" s="284"/>
      <c r="AE1560" s="284"/>
      <c r="AF1560" s="284"/>
      <c r="AG1560" s="284"/>
      <c r="AI1560" s="131"/>
    </row>
    <row r="1561" spans="1:35" ht="26.4">
      <c r="A1561" s="284"/>
      <c r="B1561" s="284"/>
      <c r="C1561" s="284"/>
      <c r="D1561" s="284"/>
      <c r="E1561" s="284"/>
      <c r="F1561" s="284"/>
      <c r="G1561" s="284"/>
      <c r="H1561" s="284"/>
      <c r="I1561" s="284"/>
      <c r="J1561" s="375"/>
      <c r="K1561" s="375"/>
      <c r="L1561" s="375"/>
      <c r="M1561" s="368"/>
      <c r="N1561" s="368"/>
      <c r="O1561" s="370"/>
      <c r="T1561" s="340"/>
      <c r="V1561" s="378"/>
      <c r="W1561" s="64" ph="1"/>
      <c r="X1561" s="241"/>
      <c r="Y1561" s="284"/>
      <c r="Z1561" s="207"/>
      <c r="AA1561" s="284"/>
      <c r="AB1561" s="284"/>
      <c r="AC1561" s="284"/>
      <c r="AD1561" s="284"/>
      <c r="AE1561" s="284"/>
      <c r="AF1561" s="284"/>
      <c r="AG1561" s="284"/>
      <c r="AI1561" s="284"/>
    </row>
    <row r="1562" spans="1:35" ht="26.4">
      <c r="A1562" s="284"/>
      <c r="B1562" s="284"/>
      <c r="C1562" s="284"/>
      <c r="D1562" s="284"/>
      <c r="E1562" s="284"/>
      <c r="F1562" s="284"/>
      <c r="G1562" s="284"/>
      <c r="H1562" s="284"/>
      <c r="I1562" s="284"/>
      <c r="J1562" s="375"/>
      <c r="K1562" s="375"/>
      <c r="L1562" s="375"/>
      <c r="M1562" s="368"/>
      <c r="N1562" s="368"/>
      <c r="O1562" s="370"/>
      <c r="T1562" s="340"/>
      <c r="V1562" s="378"/>
      <c r="W1562" s="64" ph="1"/>
      <c r="X1562" s="241"/>
      <c r="Y1562" s="284"/>
      <c r="Z1562" s="207"/>
      <c r="AA1562" s="284"/>
      <c r="AB1562" s="284"/>
      <c r="AC1562" s="284"/>
      <c r="AD1562" s="284"/>
      <c r="AE1562" s="284"/>
      <c r="AF1562" s="284"/>
      <c r="AG1562" s="284"/>
      <c r="AI1562" s="131"/>
    </row>
    <row r="1563" spans="1:35" ht="26.4">
      <c r="A1563" s="284"/>
      <c r="B1563" s="284"/>
      <c r="C1563" s="284"/>
      <c r="D1563" s="284"/>
      <c r="E1563" s="284"/>
      <c r="F1563" s="284"/>
      <c r="G1563" s="284"/>
      <c r="H1563" s="284"/>
      <c r="I1563" s="284"/>
      <c r="J1563" s="375"/>
      <c r="K1563" s="375"/>
      <c r="L1563" s="375"/>
      <c r="M1563" s="368"/>
      <c r="N1563" s="368"/>
      <c r="O1563" s="370"/>
      <c r="T1563" s="340"/>
      <c r="V1563" s="378"/>
      <c r="W1563" s="64" ph="1"/>
      <c r="X1563" s="241"/>
      <c r="Y1563" s="284"/>
      <c r="Z1563" s="207"/>
      <c r="AA1563" s="284"/>
      <c r="AB1563" s="284"/>
      <c r="AC1563" s="284"/>
      <c r="AD1563" s="284"/>
      <c r="AE1563" s="284"/>
      <c r="AF1563" s="284"/>
      <c r="AG1563" s="284"/>
      <c r="AI1563" s="131"/>
    </row>
    <row r="1564" spans="1:35" ht="26.4">
      <c r="A1564" s="284"/>
      <c r="B1564" s="284"/>
      <c r="C1564" s="284"/>
      <c r="D1564" s="284"/>
      <c r="E1564" s="284"/>
      <c r="F1564" s="284"/>
      <c r="G1564" s="284"/>
      <c r="H1564" s="284"/>
      <c r="I1564" s="284"/>
      <c r="J1564" s="375"/>
      <c r="K1564" s="375"/>
      <c r="L1564" s="375"/>
      <c r="M1564" s="368"/>
      <c r="N1564" s="368"/>
      <c r="O1564" s="370"/>
      <c r="T1564" s="340"/>
      <c r="V1564" s="378"/>
      <c r="W1564" s="64" ph="1"/>
      <c r="X1564" s="241"/>
      <c r="Y1564" s="284"/>
      <c r="Z1564" s="207"/>
      <c r="AA1564" s="284"/>
      <c r="AB1564" s="284"/>
      <c r="AC1564" s="284"/>
      <c r="AD1564" s="284"/>
      <c r="AE1564" s="284"/>
      <c r="AF1564" s="284"/>
      <c r="AG1564" s="284"/>
      <c r="AI1564" s="131"/>
    </row>
    <row r="1565" spans="1:35" ht="26.4">
      <c r="A1565" s="284"/>
      <c r="B1565" s="284"/>
      <c r="C1565" s="284"/>
      <c r="D1565" s="284"/>
      <c r="E1565" s="284"/>
      <c r="F1565" s="284"/>
      <c r="G1565" s="284"/>
      <c r="H1565" s="284"/>
      <c r="I1565" s="284"/>
      <c r="J1565" s="375"/>
      <c r="K1565" s="375"/>
      <c r="L1565" s="375"/>
      <c r="M1565" s="368"/>
      <c r="N1565" s="368"/>
      <c r="O1565" s="370"/>
      <c r="T1565" s="340"/>
      <c r="V1565" s="378"/>
      <c r="W1565" s="64" ph="1"/>
      <c r="X1565" s="241"/>
      <c r="Y1565" s="284"/>
      <c r="Z1565" s="207"/>
      <c r="AA1565" s="284"/>
      <c r="AB1565" s="284"/>
      <c r="AC1565" s="284"/>
      <c r="AD1565" s="284"/>
      <c r="AE1565" s="284"/>
      <c r="AF1565" s="284"/>
      <c r="AG1565" s="284"/>
      <c r="AI1565" s="131"/>
    </row>
    <row r="1566" spans="1:35" ht="26.4">
      <c r="A1566" s="284"/>
      <c r="B1566" s="284"/>
      <c r="C1566" s="284"/>
      <c r="D1566" s="284"/>
      <c r="E1566" s="284"/>
      <c r="F1566" s="284"/>
      <c r="G1566" s="284"/>
      <c r="H1566" s="284"/>
      <c r="I1566" s="284"/>
      <c r="J1566" s="375"/>
      <c r="K1566" s="375"/>
      <c r="L1566" s="375"/>
      <c r="M1566" s="368"/>
      <c r="N1566" s="368"/>
      <c r="O1566" s="370"/>
      <c r="T1566" s="340"/>
      <c r="V1566" s="378"/>
      <c r="W1566" s="64" ph="1"/>
      <c r="X1566" s="241"/>
      <c r="Y1566" s="284"/>
      <c r="Z1566" s="207"/>
      <c r="AA1566" s="284"/>
      <c r="AB1566" s="284"/>
      <c r="AC1566" s="284"/>
      <c r="AD1566" s="284"/>
      <c r="AE1566" s="284"/>
      <c r="AF1566" s="284"/>
      <c r="AG1566" s="284"/>
      <c r="AI1566" s="131"/>
    </row>
    <row r="1567" spans="1:35" ht="26.4">
      <c r="A1567" s="284"/>
      <c r="B1567" s="284"/>
      <c r="C1567" s="284"/>
      <c r="D1567" s="284"/>
      <c r="E1567" s="284"/>
      <c r="F1567" s="284"/>
      <c r="G1567" s="284"/>
      <c r="H1567" s="284"/>
      <c r="I1567" s="284"/>
      <c r="J1567" s="375"/>
      <c r="K1567" s="375"/>
      <c r="L1567" s="375"/>
      <c r="M1567" s="368"/>
      <c r="N1567" s="368"/>
      <c r="O1567" s="370"/>
      <c r="T1567" s="340"/>
      <c r="V1567" s="378"/>
      <c r="W1567" s="64" ph="1"/>
      <c r="X1567" s="241"/>
      <c r="Y1567" s="284"/>
      <c r="Z1567" s="207"/>
      <c r="AA1567" s="284"/>
      <c r="AB1567" s="284"/>
      <c r="AC1567" s="284"/>
      <c r="AD1567" s="284"/>
      <c r="AE1567" s="284"/>
      <c r="AF1567" s="284"/>
      <c r="AG1567" s="284"/>
      <c r="AI1567" s="131"/>
    </row>
    <row r="1568" spans="1:35" ht="26.4">
      <c r="A1568" s="284"/>
      <c r="B1568" s="284"/>
      <c r="C1568" s="284"/>
      <c r="D1568" s="284"/>
      <c r="E1568" s="284"/>
      <c r="F1568" s="284"/>
      <c r="G1568" s="284"/>
      <c r="H1568" s="284"/>
      <c r="I1568" s="284"/>
      <c r="J1568" s="375"/>
      <c r="K1568" s="375"/>
      <c r="L1568" s="375"/>
      <c r="M1568" s="368"/>
      <c r="N1568" s="368"/>
      <c r="O1568" s="370"/>
      <c r="T1568" s="340"/>
      <c r="V1568" s="378"/>
      <c r="W1568" s="64" ph="1"/>
      <c r="X1568" s="241"/>
      <c r="Y1568" s="284"/>
      <c r="Z1568" s="207"/>
      <c r="AA1568" s="284"/>
      <c r="AB1568" s="284"/>
      <c r="AC1568" s="284"/>
      <c r="AD1568" s="284"/>
      <c r="AE1568" s="284"/>
      <c r="AF1568" s="284"/>
      <c r="AG1568" s="284"/>
      <c r="AI1568" s="131"/>
    </row>
    <row r="1569" spans="1:35" ht="26.4">
      <c r="A1569" s="284"/>
      <c r="B1569" s="284"/>
      <c r="C1569" s="284"/>
      <c r="D1569" s="284"/>
      <c r="E1569" s="284"/>
      <c r="F1569" s="284"/>
      <c r="G1569" s="284"/>
      <c r="H1569" s="284"/>
      <c r="I1569" s="284"/>
      <c r="J1569" s="375"/>
      <c r="K1569" s="375"/>
      <c r="L1569" s="375"/>
      <c r="M1569" s="368"/>
      <c r="N1569" s="368"/>
      <c r="O1569" s="370"/>
      <c r="T1569" s="340"/>
      <c r="V1569" s="378"/>
      <c r="W1569" s="64" ph="1"/>
      <c r="X1569" s="241"/>
      <c r="Y1569" s="284"/>
      <c r="Z1569" s="207"/>
      <c r="AA1569" s="284"/>
      <c r="AB1569" s="284"/>
      <c r="AC1569" s="284"/>
      <c r="AD1569" s="284"/>
      <c r="AE1569" s="284"/>
      <c r="AF1569" s="284"/>
      <c r="AG1569" s="284"/>
      <c r="AI1569" s="131"/>
    </row>
    <row r="1570" spans="1:35" ht="26.4">
      <c r="A1570" s="284"/>
      <c r="B1570" s="284"/>
      <c r="C1570" s="284"/>
      <c r="D1570" s="284"/>
      <c r="E1570" s="284"/>
      <c r="F1570" s="284"/>
      <c r="G1570" s="284"/>
      <c r="H1570" s="284"/>
      <c r="I1570" s="284"/>
      <c r="J1570" s="375"/>
      <c r="K1570" s="375"/>
      <c r="L1570" s="375"/>
      <c r="M1570" s="368"/>
      <c r="N1570" s="368"/>
      <c r="O1570" s="370"/>
      <c r="T1570" s="340"/>
      <c r="V1570" s="378"/>
      <c r="W1570" s="64" ph="1"/>
      <c r="X1570" s="241"/>
      <c r="Y1570" s="284"/>
      <c r="Z1570" s="207"/>
      <c r="AA1570" s="284"/>
      <c r="AB1570" s="284"/>
      <c r="AC1570" s="284"/>
      <c r="AD1570" s="284"/>
      <c r="AE1570" s="284"/>
      <c r="AF1570" s="284"/>
      <c r="AG1570" s="284"/>
      <c r="AI1570" s="131"/>
    </row>
    <row r="1571" spans="1:35" ht="26.4">
      <c r="A1571" s="284"/>
      <c r="B1571" s="284"/>
      <c r="C1571" s="284"/>
      <c r="D1571" s="284"/>
      <c r="E1571" s="284"/>
      <c r="F1571" s="284"/>
      <c r="G1571" s="284"/>
      <c r="H1571" s="284"/>
      <c r="I1571" s="284"/>
      <c r="J1571" s="375"/>
      <c r="K1571" s="375"/>
      <c r="L1571" s="375"/>
      <c r="M1571" s="368"/>
      <c r="N1571" s="368"/>
      <c r="O1571" s="370"/>
      <c r="T1571" s="340"/>
      <c r="V1571" s="378"/>
      <c r="W1571" s="64" ph="1"/>
      <c r="X1571" s="241"/>
      <c r="Y1571" s="284"/>
      <c r="Z1571" s="207"/>
      <c r="AA1571" s="284"/>
      <c r="AB1571" s="284"/>
      <c r="AC1571" s="284"/>
      <c r="AD1571" s="284"/>
      <c r="AE1571" s="284"/>
      <c r="AF1571" s="284"/>
      <c r="AG1571" s="284"/>
      <c r="AI1571" s="131"/>
    </row>
    <row r="1572" spans="1:35" ht="26.4">
      <c r="A1572" s="284"/>
      <c r="B1572" s="284"/>
      <c r="C1572" s="284"/>
      <c r="D1572" s="284"/>
      <c r="E1572" s="284"/>
      <c r="F1572" s="284"/>
      <c r="G1572" s="284"/>
      <c r="H1572" s="284"/>
      <c r="I1572" s="284"/>
      <c r="J1572" s="375"/>
      <c r="K1572" s="375"/>
      <c r="L1572" s="375"/>
      <c r="M1572" s="368"/>
      <c r="N1572" s="368"/>
      <c r="O1572" s="370"/>
      <c r="T1572" s="340"/>
      <c r="V1572" s="378"/>
      <c r="W1572" s="64" ph="1"/>
      <c r="X1572" s="241"/>
      <c r="Y1572" s="284"/>
      <c r="Z1572" s="207"/>
      <c r="AA1572" s="284"/>
      <c r="AB1572" s="284"/>
      <c r="AC1572" s="284"/>
      <c r="AD1572" s="284"/>
      <c r="AE1572" s="284"/>
      <c r="AF1572" s="284"/>
      <c r="AG1572" s="284"/>
      <c r="AI1572" s="131"/>
    </row>
    <row r="1573" spans="1:35" ht="26.4">
      <c r="A1573" s="284"/>
      <c r="B1573" s="284"/>
      <c r="C1573" s="284"/>
      <c r="D1573" s="284"/>
      <c r="E1573" s="284"/>
      <c r="F1573" s="284"/>
      <c r="G1573" s="284"/>
      <c r="H1573" s="284"/>
      <c r="I1573" s="284"/>
      <c r="J1573" s="375"/>
      <c r="K1573" s="375"/>
      <c r="L1573" s="375"/>
      <c r="M1573" s="368"/>
      <c r="N1573" s="368"/>
      <c r="O1573" s="370"/>
      <c r="T1573" s="340"/>
      <c r="V1573" s="378"/>
      <c r="W1573" s="64" ph="1"/>
      <c r="X1573" s="241"/>
      <c r="Y1573" s="284"/>
      <c r="Z1573" s="207"/>
      <c r="AA1573" s="284"/>
      <c r="AB1573" s="284"/>
      <c r="AC1573" s="284"/>
      <c r="AD1573" s="284"/>
      <c r="AE1573" s="284"/>
      <c r="AF1573" s="284"/>
      <c r="AG1573" s="284"/>
      <c r="AI1573" s="131"/>
    </row>
    <row r="1574" spans="1:35" ht="26.4">
      <c r="A1574" s="284"/>
      <c r="B1574" s="284"/>
      <c r="C1574" s="284"/>
      <c r="D1574" s="284"/>
      <c r="E1574" s="284"/>
      <c r="F1574" s="284"/>
      <c r="G1574" s="284"/>
      <c r="H1574" s="284"/>
      <c r="I1574" s="284"/>
      <c r="J1574" s="375"/>
      <c r="K1574" s="375"/>
      <c r="L1574" s="375"/>
      <c r="M1574" s="368"/>
      <c r="N1574" s="368"/>
      <c r="O1574" s="370"/>
      <c r="T1574" s="340"/>
      <c r="V1574" s="378"/>
      <c r="W1574" s="64" ph="1"/>
      <c r="X1574" s="241"/>
      <c r="Y1574" s="284"/>
      <c r="Z1574" s="207"/>
      <c r="AA1574" s="284"/>
      <c r="AB1574" s="284"/>
      <c r="AC1574" s="284"/>
      <c r="AD1574" s="284"/>
      <c r="AE1574" s="284"/>
      <c r="AF1574" s="284"/>
      <c r="AG1574" s="284"/>
      <c r="AI1574" s="131"/>
    </row>
    <row r="1575" spans="1:35" ht="26.4">
      <c r="A1575" s="284"/>
      <c r="B1575" s="284"/>
      <c r="C1575" s="284"/>
      <c r="D1575" s="284"/>
      <c r="E1575" s="284"/>
      <c r="F1575" s="284"/>
      <c r="G1575" s="284"/>
      <c r="H1575" s="284"/>
      <c r="I1575" s="284"/>
      <c r="J1575" s="375"/>
      <c r="K1575" s="375"/>
      <c r="L1575" s="375"/>
      <c r="M1575" s="368"/>
      <c r="N1575" s="368"/>
      <c r="O1575" s="370"/>
      <c r="T1575" s="340"/>
      <c r="V1575" s="378"/>
      <c r="W1575" s="64" ph="1"/>
      <c r="X1575" s="241"/>
      <c r="Y1575" s="284"/>
      <c r="Z1575" s="207"/>
      <c r="AA1575" s="284"/>
      <c r="AB1575" s="284"/>
      <c r="AC1575" s="284"/>
      <c r="AD1575" s="284"/>
      <c r="AE1575" s="284"/>
      <c r="AF1575" s="284"/>
      <c r="AG1575" s="284"/>
      <c r="AI1575" s="131"/>
    </row>
    <row r="1576" spans="1:35" ht="26.4">
      <c r="A1576" s="284"/>
      <c r="B1576" s="284"/>
      <c r="C1576" s="284"/>
      <c r="D1576" s="284"/>
      <c r="E1576" s="284"/>
      <c r="F1576" s="284"/>
      <c r="G1576" s="284"/>
      <c r="H1576" s="284"/>
      <c r="I1576" s="284"/>
      <c r="J1576" s="375"/>
      <c r="K1576" s="375"/>
      <c r="L1576" s="375"/>
      <c r="M1576" s="368"/>
      <c r="N1576" s="368"/>
      <c r="O1576" s="370"/>
      <c r="T1576" s="340"/>
      <c r="V1576" s="378"/>
      <c r="W1576" s="64" ph="1"/>
      <c r="X1576" s="241"/>
      <c r="Y1576" s="284"/>
      <c r="Z1576" s="207"/>
      <c r="AA1576" s="284"/>
      <c r="AB1576" s="284"/>
      <c r="AC1576" s="284"/>
      <c r="AD1576" s="284"/>
      <c r="AE1576" s="284"/>
      <c r="AF1576" s="284"/>
      <c r="AG1576" s="284"/>
      <c r="AI1576" s="131"/>
    </row>
    <row r="1577" spans="1:35" ht="26.4">
      <c r="A1577" s="284"/>
      <c r="B1577" s="284"/>
      <c r="C1577" s="284"/>
      <c r="D1577" s="284"/>
      <c r="E1577" s="284"/>
      <c r="F1577" s="284"/>
      <c r="G1577" s="284"/>
      <c r="H1577" s="284"/>
      <c r="I1577" s="284"/>
      <c r="J1577" s="375"/>
      <c r="K1577" s="375"/>
      <c r="L1577" s="375"/>
      <c r="M1577" s="368"/>
      <c r="N1577" s="368"/>
      <c r="O1577" s="370"/>
      <c r="T1577" s="340"/>
      <c r="V1577" s="378"/>
      <c r="W1577" s="64" ph="1"/>
      <c r="X1577" s="241"/>
      <c r="Y1577" s="284"/>
      <c r="Z1577" s="207"/>
      <c r="AA1577" s="284"/>
      <c r="AB1577" s="284"/>
      <c r="AC1577" s="284"/>
      <c r="AD1577" s="284"/>
      <c r="AE1577" s="284"/>
      <c r="AF1577" s="284"/>
      <c r="AG1577" s="284"/>
      <c r="AI1577" s="131"/>
    </row>
    <row r="1578" spans="1:35" ht="26.4">
      <c r="A1578" s="284"/>
      <c r="B1578" s="284"/>
      <c r="C1578" s="284"/>
      <c r="D1578" s="284"/>
      <c r="E1578" s="284"/>
      <c r="F1578" s="284"/>
      <c r="G1578" s="284"/>
      <c r="H1578" s="284"/>
      <c r="I1578" s="284"/>
      <c r="J1578" s="375"/>
      <c r="K1578" s="375"/>
      <c r="L1578" s="375"/>
      <c r="M1578" s="368"/>
      <c r="N1578" s="368"/>
      <c r="O1578" s="370"/>
      <c r="T1578" s="340"/>
      <c r="V1578" s="378"/>
      <c r="W1578" s="64" ph="1"/>
      <c r="X1578" s="241"/>
      <c r="Y1578" s="284"/>
      <c r="Z1578" s="207"/>
      <c r="AA1578" s="284"/>
      <c r="AB1578" s="284"/>
      <c r="AC1578" s="284"/>
      <c r="AD1578" s="284"/>
      <c r="AE1578" s="284"/>
      <c r="AF1578" s="284"/>
      <c r="AG1578" s="284"/>
      <c r="AI1578" s="131"/>
    </row>
    <row r="1579" spans="1:35" ht="26.4">
      <c r="A1579" s="284"/>
      <c r="B1579" s="284"/>
      <c r="C1579" s="284"/>
      <c r="D1579" s="284"/>
      <c r="E1579" s="284"/>
      <c r="F1579" s="284"/>
      <c r="G1579" s="284"/>
      <c r="H1579" s="284"/>
      <c r="I1579" s="284"/>
      <c r="J1579" s="375"/>
      <c r="K1579" s="375"/>
      <c r="L1579" s="375"/>
      <c r="M1579" s="368"/>
      <c r="N1579" s="368"/>
      <c r="O1579" s="370"/>
      <c r="T1579" s="340"/>
      <c r="V1579" s="378"/>
      <c r="W1579" s="64" ph="1"/>
      <c r="X1579" s="241"/>
      <c r="Y1579" s="284"/>
      <c r="Z1579" s="207"/>
      <c r="AA1579" s="284"/>
      <c r="AB1579" s="284"/>
      <c r="AC1579" s="284"/>
      <c r="AD1579" s="284"/>
      <c r="AE1579" s="284"/>
      <c r="AF1579" s="284"/>
      <c r="AG1579" s="284"/>
      <c r="AI1579" s="131"/>
    </row>
    <row r="1580" spans="1:35" ht="26.4">
      <c r="A1580" s="284"/>
      <c r="B1580" s="284"/>
      <c r="C1580" s="284"/>
      <c r="D1580" s="284"/>
      <c r="E1580" s="284"/>
      <c r="F1580" s="284"/>
      <c r="G1580" s="284"/>
      <c r="H1580" s="284"/>
      <c r="I1580" s="284"/>
      <c r="J1580" s="375"/>
      <c r="K1580" s="375"/>
      <c r="L1580" s="375"/>
      <c r="M1580" s="368"/>
      <c r="N1580" s="368"/>
      <c r="O1580" s="370"/>
      <c r="T1580" s="340"/>
      <c r="V1580" s="378"/>
      <c r="W1580" s="64" ph="1"/>
      <c r="X1580" s="241"/>
      <c r="Y1580" s="284"/>
      <c r="Z1580" s="207"/>
      <c r="AA1580" s="284"/>
      <c r="AB1580" s="284"/>
      <c r="AC1580" s="284"/>
      <c r="AD1580" s="284"/>
      <c r="AE1580" s="284"/>
      <c r="AF1580" s="284"/>
      <c r="AG1580" s="284"/>
      <c r="AI1580" s="131"/>
    </row>
    <row r="1581" spans="1:35" ht="26.4">
      <c r="A1581" s="284"/>
      <c r="B1581" s="284"/>
      <c r="C1581" s="284"/>
      <c r="D1581" s="284"/>
      <c r="E1581" s="284"/>
      <c r="F1581" s="284"/>
      <c r="G1581" s="284"/>
      <c r="H1581" s="284"/>
      <c r="I1581" s="284"/>
      <c r="J1581" s="375"/>
      <c r="K1581" s="375"/>
      <c r="L1581" s="375"/>
      <c r="M1581" s="368"/>
      <c r="N1581" s="368"/>
      <c r="O1581" s="370"/>
      <c r="T1581" s="340"/>
      <c r="V1581" s="378"/>
      <c r="W1581" s="64" ph="1"/>
      <c r="X1581" s="241"/>
      <c r="Y1581" s="284"/>
      <c r="Z1581" s="207"/>
      <c r="AA1581" s="284"/>
      <c r="AB1581" s="284"/>
      <c r="AC1581" s="284"/>
      <c r="AD1581" s="284"/>
      <c r="AE1581" s="284"/>
      <c r="AF1581" s="284"/>
      <c r="AG1581" s="284"/>
      <c r="AI1581" s="131"/>
    </row>
    <row r="1582" spans="1:35" ht="26.4">
      <c r="A1582" s="284"/>
      <c r="B1582" s="284"/>
      <c r="C1582" s="284"/>
      <c r="D1582" s="284"/>
      <c r="E1582" s="284"/>
      <c r="F1582" s="284"/>
      <c r="G1582" s="284"/>
      <c r="H1582" s="284"/>
      <c r="I1582" s="284"/>
      <c r="J1582" s="375"/>
      <c r="K1582" s="375"/>
      <c r="L1582" s="375"/>
      <c r="M1582" s="368"/>
      <c r="N1582" s="368"/>
      <c r="O1582" s="370"/>
      <c r="T1582" s="340"/>
      <c r="V1582" s="378"/>
      <c r="W1582" s="64" ph="1"/>
      <c r="X1582" s="241"/>
      <c r="Y1582" s="284"/>
      <c r="Z1582" s="207"/>
      <c r="AA1582" s="284"/>
      <c r="AB1582" s="284"/>
      <c r="AC1582" s="284"/>
      <c r="AD1582" s="284"/>
      <c r="AE1582" s="284"/>
      <c r="AF1582" s="284"/>
      <c r="AG1582" s="284"/>
      <c r="AI1582" s="131"/>
    </row>
    <row r="1583" spans="1:35" ht="26.4">
      <c r="A1583" s="284"/>
      <c r="B1583" s="284"/>
      <c r="C1583" s="284"/>
      <c r="D1583" s="284"/>
      <c r="E1583" s="284"/>
      <c r="F1583" s="284"/>
      <c r="G1583" s="284"/>
      <c r="H1583" s="284"/>
      <c r="I1583" s="284"/>
      <c r="J1583" s="375"/>
      <c r="K1583" s="375"/>
      <c r="L1583" s="375"/>
      <c r="M1583" s="368"/>
      <c r="N1583" s="368"/>
      <c r="O1583" s="370"/>
      <c r="T1583" s="340"/>
      <c r="V1583" s="378"/>
      <c r="W1583" s="64" ph="1"/>
      <c r="X1583" s="241"/>
      <c r="Y1583" s="284"/>
      <c r="Z1583" s="207"/>
      <c r="AA1583" s="284"/>
      <c r="AB1583" s="284"/>
      <c r="AC1583" s="284"/>
      <c r="AD1583" s="284"/>
      <c r="AE1583" s="284"/>
      <c r="AF1583" s="284"/>
      <c r="AG1583" s="284"/>
      <c r="AI1583" s="131"/>
    </row>
    <row r="1584" spans="1:35" ht="26.4">
      <c r="A1584" s="284"/>
      <c r="B1584" s="284"/>
      <c r="C1584" s="284"/>
      <c r="D1584" s="284"/>
      <c r="E1584" s="284"/>
      <c r="F1584" s="284"/>
      <c r="G1584" s="284"/>
      <c r="H1584" s="284"/>
      <c r="I1584" s="284"/>
      <c r="J1584" s="375"/>
      <c r="K1584" s="375"/>
      <c r="L1584" s="375"/>
      <c r="M1584" s="368"/>
      <c r="N1584" s="368"/>
      <c r="O1584" s="370"/>
      <c r="T1584" s="340"/>
      <c r="V1584" s="378"/>
      <c r="W1584" s="64" ph="1"/>
      <c r="X1584" s="241"/>
      <c r="Y1584" s="284"/>
      <c r="Z1584" s="207"/>
      <c r="AA1584" s="284"/>
      <c r="AB1584" s="284"/>
      <c r="AC1584" s="284"/>
      <c r="AD1584" s="284"/>
      <c r="AE1584" s="284"/>
      <c r="AF1584" s="284"/>
      <c r="AG1584" s="284"/>
      <c r="AI1584" s="284"/>
    </row>
    <row r="1585" spans="1:35" ht="26.4">
      <c r="A1585" s="284"/>
      <c r="B1585" s="284"/>
      <c r="C1585" s="284"/>
      <c r="D1585" s="284"/>
      <c r="E1585" s="284"/>
      <c r="F1585" s="284"/>
      <c r="G1585" s="284"/>
      <c r="H1585" s="284"/>
      <c r="I1585" s="284"/>
      <c r="J1585" s="375"/>
      <c r="K1585" s="375"/>
      <c r="L1585" s="375"/>
      <c r="M1585" s="368"/>
      <c r="N1585" s="368"/>
      <c r="O1585" s="370"/>
      <c r="T1585" s="340"/>
      <c r="V1585" s="378"/>
      <c r="W1585" s="64" ph="1"/>
      <c r="X1585" s="241"/>
      <c r="Y1585" s="284"/>
      <c r="Z1585" s="207"/>
      <c r="AA1585" s="284"/>
      <c r="AB1585" s="284"/>
      <c r="AC1585" s="284"/>
      <c r="AD1585" s="284"/>
      <c r="AE1585" s="284"/>
      <c r="AF1585" s="284"/>
      <c r="AG1585" s="284"/>
      <c r="AI1585" s="131"/>
    </row>
    <row r="1586" spans="1:35" ht="26.4">
      <c r="A1586" s="284"/>
      <c r="B1586" s="284"/>
      <c r="C1586" s="284"/>
      <c r="D1586" s="284"/>
      <c r="E1586" s="284"/>
      <c r="F1586" s="284"/>
      <c r="G1586" s="284"/>
      <c r="H1586" s="284"/>
      <c r="I1586" s="284"/>
      <c r="J1586" s="375"/>
      <c r="K1586" s="375"/>
      <c r="L1586" s="375"/>
      <c r="M1586" s="368"/>
      <c r="N1586" s="368"/>
      <c r="O1586" s="370"/>
      <c r="T1586" s="340"/>
      <c r="V1586" s="378"/>
      <c r="W1586" s="64" ph="1"/>
      <c r="X1586" s="241"/>
      <c r="Y1586" s="284"/>
      <c r="Z1586" s="207"/>
      <c r="AA1586" s="284"/>
      <c r="AB1586" s="284"/>
      <c r="AC1586" s="284"/>
      <c r="AD1586" s="284"/>
      <c r="AE1586" s="284"/>
      <c r="AF1586" s="284"/>
      <c r="AG1586" s="284"/>
      <c r="AI1586" s="131"/>
    </row>
    <row r="1587" spans="1:35" ht="26.4">
      <c r="A1587" s="284"/>
      <c r="B1587" s="284"/>
      <c r="C1587" s="284"/>
      <c r="D1587" s="284"/>
      <c r="E1587" s="284"/>
      <c r="F1587" s="284"/>
      <c r="G1587" s="284"/>
      <c r="H1587" s="284"/>
      <c r="I1587" s="284"/>
      <c r="J1587" s="375"/>
      <c r="K1587" s="375"/>
      <c r="L1587" s="375"/>
      <c r="M1587" s="368"/>
      <c r="N1587" s="368"/>
      <c r="O1587" s="370"/>
      <c r="T1587" s="340"/>
      <c r="V1587" s="378"/>
      <c r="W1587" s="64" ph="1"/>
      <c r="X1587" s="241"/>
      <c r="Y1587" s="284"/>
      <c r="Z1587" s="207"/>
      <c r="AA1587" s="284"/>
      <c r="AB1587" s="284"/>
      <c r="AC1587" s="284"/>
      <c r="AD1587" s="284"/>
      <c r="AE1587" s="284"/>
      <c r="AF1587" s="284"/>
      <c r="AG1587" s="284"/>
      <c r="AI1587" s="131"/>
    </row>
    <row r="1588" spans="1:35" ht="26.4">
      <c r="A1588" s="284"/>
      <c r="B1588" s="284"/>
      <c r="C1588" s="284"/>
      <c r="D1588" s="284"/>
      <c r="E1588" s="284"/>
      <c r="F1588" s="284"/>
      <c r="G1588" s="284"/>
      <c r="H1588" s="284"/>
      <c r="I1588" s="284"/>
      <c r="J1588" s="375"/>
      <c r="K1588" s="375"/>
      <c r="L1588" s="375"/>
      <c r="M1588" s="368"/>
      <c r="N1588" s="368"/>
      <c r="O1588" s="370"/>
      <c r="T1588" s="340"/>
      <c r="V1588" s="378"/>
      <c r="W1588" s="64" ph="1"/>
      <c r="X1588" s="241"/>
      <c r="Y1588" s="284"/>
      <c r="Z1588" s="207"/>
      <c r="AA1588" s="284"/>
      <c r="AB1588" s="284"/>
      <c r="AC1588" s="284"/>
      <c r="AD1588" s="284"/>
      <c r="AE1588" s="284"/>
      <c r="AF1588" s="284"/>
      <c r="AG1588" s="284"/>
      <c r="AI1588" s="131"/>
    </row>
    <row r="1589" spans="1:35" ht="26.4">
      <c r="A1589" s="284"/>
      <c r="B1589" s="284"/>
      <c r="C1589" s="284"/>
      <c r="D1589" s="284"/>
      <c r="E1589" s="284"/>
      <c r="F1589" s="284"/>
      <c r="G1589" s="284"/>
      <c r="H1589" s="284"/>
      <c r="I1589" s="284"/>
      <c r="J1589" s="375"/>
      <c r="K1589" s="375"/>
      <c r="L1589" s="375"/>
      <c r="M1589" s="368"/>
      <c r="N1589" s="368"/>
      <c r="O1589" s="370"/>
      <c r="T1589" s="340"/>
      <c r="V1589" s="378"/>
      <c r="W1589" s="64" ph="1"/>
      <c r="X1589" s="241"/>
      <c r="Y1589" s="284"/>
      <c r="Z1589" s="207"/>
      <c r="AA1589" s="284"/>
      <c r="AB1589" s="284"/>
      <c r="AC1589" s="284"/>
      <c r="AD1589" s="284"/>
      <c r="AE1589" s="284"/>
      <c r="AF1589" s="284"/>
      <c r="AG1589" s="284"/>
      <c r="AI1589" s="131"/>
    </row>
    <row r="1590" spans="1:35" ht="26.4">
      <c r="A1590" s="284"/>
      <c r="B1590" s="284"/>
      <c r="C1590" s="284"/>
      <c r="D1590" s="284"/>
      <c r="E1590" s="284"/>
      <c r="F1590" s="284"/>
      <c r="G1590" s="284"/>
      <c r="H1590" s="284"/>
      <c r="I1590" s="284"/>
      <c r="J1590" s="375"/>
      <c r="K1590" s="375"/>
      <c r="L1590" s="375"/>
      <c r="M1590" s="368"/>
      <c r="N1590" s="368"/>
      <c r="O1590" s="370"/>
      <c r="T1590" s="340"/>
      <c r="V1590" s="378"/>
      <c r="W1590" s="64" ph="1"/>
      <c r="X1590" s="241"/>
      <c r="Y1590" s="284"/>
      <c r="Z1590" s="207"/>
      <c r="AA1590" s="284"/>
      <c r="AB1590" s="284"/>
      <c r="AC1590" s="284"/>
      <c r="AD1590" s="284"/>
      <c r="AE1590" s="284"/>
      <c r="AF1590" s="284"/>
      <c r="AG1590" s="284"/>
      <c r="AI1590" s="131"/>
    </row>
    <row r="1591" spans="1:35" ht="26.4">
      <c r="A1591" s="284"/>
      <c r="B1591" s="284"/>
      <c r="C1591" s="284"/>
      <c r="D1591" s="284"/>
      <c r="E1591" s="284"/>
      <c r="F1591" s="284"/>
      <c r="G1591" s="284"/>
      <c r="H1591" s="284"/>
      <c r="I1591" s="284"/>
      <c r="J1591" s="375"/>
      <c r="K1591" s="375"/>
      <c r="L1591" s="375"/>
      <c r="M1591" s="368"/>
      <c r="N1591" s="368"/>
      <c r="O1591" s="370"/>
      <c r="T1591" s="340"/>
      <c r="V1591" s="378"/>
      <c r="W1591" s="64" ph="1"/>
      <c r="X1591" s="241"/>
      <c r="Y1591" s="284"/>
      <c r="Z1591" s="207"/>
      <c r="AA1591" s="284"/>
      <c r="AB1591" s="284"/>
      <c r="AC1591" s="284"/>
      <c r="AD1591" s="284"/>
      <c r="AE1591" s="284"/>
      <c r="AF1591" s="284"/>
      <c r="AG1591" s="284"/>
      <c r="AI1591" s="131"/>
    </row>
    <row r="1592" spans="1:35" ht="26.4">
      <c r="A1592" s="284"/>
      <c r="B1592" s="284"/>
      <c r="C1592" s="284"/>
      <c r="D1592" s="284"/>
      <c r="E1592" s="284"/>
      <c r="F1592" s="284"/>
      <c r="G1592" s="284"/>
      <c r="H1592" s="284"/>
      <c r="I1592" s="284"/>
      <c r="J1592" s="375"/>
      <c r="K1592" s="375"/>
      <c r="L1592" s="375"/>
      <c r="M1592" s="368"/>
      <c r="N1592" s="368"/>
      <c r="O1592" s="370"/>
      <c r="T1592" s="340"/>
      <c r="V1592" s="378"/>
      <c r="W1592" s="64" ph="1"/>
      <c r="X1592" s="241"/>
      <c r="Y1592" s="284"/>
      <c r="Z1592" s="207"/>
      <c r="AA1592" s="284"/>
      <c r="AB1592" s="284"/>
      <c r="AC1592" s="284"/>
      <c r="AD1592" s="284"/>
      <c r="AE1592" s="284"/>
      <c r="AF1592" s="284"/>
      <c r="AG1592" s="284"/>
      <c r="AI1592" s="131"/>
    </row>
    <row r="1593" spans="1:35" ht="26.4">
      <c r="A1593" s="284"/>
      <c r="B1593" s="284"/>
      <c r="C1593" s="284"/>
      <c r="D1593" s="284"/>
      <c r="E1593" s="284"/>
      <c r="F1593" s="284"/>
      <c r="G1593" s="284"/>
      <c r="H1593" s="284"/>
      <c r="I1593" s="284"/>
      <c r="J1593" s="375"/>
      <c r="K1593" s="375"/>
      <c r="L1593" s="375"/>
      <c r="M1593" s="368"/>
      <c r="N1593" s="368"/>
      <c r="O1593" s="370"/>
      <c r="T1593" s="340"/>
      <c r="V1593" s="378"/>
      <c r="W1593" s="64" ph="1"/>
      <c r="X1593" s="241"/>
      <c r="Y1593" s="284"/>
      <c r="Z1593" s="207"/>
      <c r="AA1593" s="284"/>
      <c r="AB1593" s="284"/>
      <c r="AC1593" s="284"/>
      <c r="AD1593" s="284"/>
      <c r="AE1593" s="284"/>
      <c r="AF1593" s="284"/>
      <c r="AG1593" s="284"/>
      <c r="AI1593" s="131"/>
    </row>
    <row r="1594" spans="1:35" ht="26.4">
      <c r="A1594" s="284"/>
      <c r="B1594" s="284"/>
      <c r="C1594" s="284"/>
      <c r="D1594" s="284"/>
      <c r="E1594" s="284"/>
      <c r="F1594" s="284"/>
      <c r="G1594" s="284"/>
      <c r="H1594" s="284"/>
      <c r="I1594" s="284"/>
      <c r="J1594" s="375"/>
      <c r="K1594" s="375"/>
      <c r="L1594" s="375"/>
      <c r="M1594" s="368"/>
      <c r="N1594" s="368"/>
      <c r="O1594" s="370"/>
      <c r="T1594" s="340"/>
      <c r="V1594" s="378"/>
      <c r="W1594" s="64" ph="1"/>
      <c r="X1594" s="241"/>
      <c r="Y1594" s="284"/>
      <c r="Z1594" s="207"/>
      <c r="AA1594" s="284"/>
      <c r="AB1594" s="284"/>
      <c r="AC1594" s="284"/>
      <c r="AD1594" s="284"/>
      <c r="AE1594" s="284"/>
      <c r="AF1594" s="284"/>
      <c r="AG1594" s="284"/>
      <c r="AI1594" s="131"/>
    </row>
    <row r="1595" spans="1:35" ht="26.4">
      <c r="A1595" s="284"/>
      <c r="B1595" s="284"/>
      <c r="C1595" s="284"/>
      <c r="D1595" s="284"/>
      <c r="E1595" s="284"/>
      <c r="F1595" s="284"/>
      <c r="G1595" s="284"/>
      <c r="H1595" s="284"/>
      <c r="I1595" s="284"/>
      <c r="J1595" s="375"/>
      <c r="K1595" s="375"/>
      <c r="L1595" s="375"/>
      <c r="M1595" s="368"/>
      <c r="N1595" s="368"/>
      <c r="O1595" s="370"/>
      <c r="T1595" s="340"/>
      <c r="V1595" s="378"/>
      <c r="W1595" s="64" ph="1"/>
      <c r="X1595" s="241"/>
      <c r="Y1595" s="284"/>
      <c r="Z1595" s="207"/>
      <c r="AA1595" s="284"/>
      <c r="AB1595" s="284"/>
      <c r="AC1595" s="284"/>
      <c r="AD1595" s="284"/>
      <c r="AE1595" s="284"/>
      <c r="AF1595" s="284"/>
      <c r="AG1595" s="284"/>
      <c r="AI1595" s="131"/>
    </row>
    <row r="1596" spans="1:35" ht="26.4">
      <c r="A1596" s="284"/>
      <c r="B1596" s="284"/>
      <c r="C1596" s="284"/>
      <c r="D1596" s="284"/>
      <c r="E1596" s="284"/>
      <c r="F1596" s="284"/>
      <c r="G1596" s="284"/>
      <c r="H1596" s="284"/>
      <c r="I1596" s="284"/>
      <c r="J1596" s="375"/>
      <c r="K1596" s="375"/>
      <c r="L1596" s="375"/>
      <c r="M1596" s="368"/>
      <c r="N1596" s="368"/>
      <c r="O1596" s="370"/>
      <c r="T1596" s="340"/>
      <c r="V1596" s="378"/>
      <c r="W1596" s="64" ph="1"/>
      <c r="X1596" s="241"/>
      <c r="Y1596" s="284"/>
      <c r="Z1596" s="207"/>
      <c r="AA1596" s="284"/>
      <c r="AB1596" s="284"/>
      <c r="AC1596" s="284"/>
      <c r="AD1596" s="284"/>
      <c r="AE1596" s="284"/>
      <c r="AF1596" s="284"/>
      <c r="AG1596" s="284"/>
      <c r="AI1596" s="131"/>
    </row>
    <row r="1597" spans="1:35" ht="26.4">
      <c r="A1597" s="284"/>
      <c r="B1597" s="284"/>
      <c r="C1597" s="284"/>
      <c r="D1597" s="284"/>
      <c r="E1597" s="284"/>
      <c r="F1597" s="284"/>
      <c r="G1597" s="284"/>
      <c r="H1597" s="284"/>
      <c r="I1597" s="284"/>
      <c r="J1597" s="375"/>
      <c r="K1597" s="375"/>
      <c r="L1597" s="375"/>
      <c r="M1597" s="368"/>
      <c r="N1597" s="368"/>
      <c r="O1597" s="370"/>
      <c r="T1597" s="340"/>
      <c r="V1597" s="378"/>
      <c r="W1597" s="64" ph="1"/>
      <c r="X1597" s="241"/>
      <c r="Y1597" s="284"/>
      <c r="Z1597" s="207"/>
      <c r="AA1597" s="284"/>
      <c r="AB1597" s="284"/>
      <c r="AC1597" s="284"/>
      <c r="AD1597" s="284"/>
      <c r="AE1597" s="284"/>
      <c r="AF1597" s="284"/>
      <c r="AG1597" s="284"/>
      <c r="AI1597" s="131"/>
    </row>
    <row r="1598" spans="1:35" ht="26.4">
      <c r="A1598" s="284"/>
      <c r="B1598" s="284"/>
      <c r="C1598" s="284"/>
      <c r="D1598" s="284"/>
      <c r="E1598" s="284"/>
      <c r="F1598" s="284"/>
      <c r="G1598" s="284"/>
      <c r="H1598" s="284"/>
      <c r="I1598" s="284"/>
      <c r="J1598" s="375"/>
      <c r="K1598" s="375"/>
      <c r="L1598" s="375"/>
      <c r="M1598" s="368"/>
      <c r="N1598" s="368"/>
      <c r="O1598" s="370"/>
      <c r="T1598" s="340"/>
      <c r="V1598" s="378"/>
      <c r="W1598" s="64" ph="1"/>
      <c r="X1598" s="241"/>
      <c r="Y1598" s="284"/>
      <c r="Z1598" s="207"/>
      <c r="AA1598" s="284"/>
      <c r="AB1598" s="284"/>
      <c r="AC1598" s="284"/>
      <c r="AD1598" s="284"/>
      <c r="AE1598" s="284"/>
      <c r="AF1598" s="284"/>
      <c r="AG1598" s="284"/>
      <c r="AI1598" s="131"/>
    </row>
    <row r="1599" spans="1:35" ht="26.4">
      <c r="A1599" s="284"/>
      <c r="B1599" s="284"/>
      <c r="C1599" s="284"/>
      <c r="D1599" s="284"/>
      <c r="E1599" s="284"/>
      <c r="F1599" s="284"/>
      <c r="G1599" s="284"/>
      <c r="H1599" s="284"/>
      <c r="I1599" s="284"/>
      <c r="J1599" s="375"/>
      <c r="K1599" s="375"/>
      <c r="L1599" s="375"/>
      <c r="M1599" s="368"/>
      <c r="N1599" s="368"/>
      <c r="O1599" s="370"/>
      <c r="T1599" s="340"/>
      <c r="V1599" s="378"/>
      <c r="W1599" s="64" ph="1"/>
      <c r="X1599" s="241"/>
      <c r="Y1599" s="284"/>
      <c r="Z1599" s="207"/>
      <c r="AA1599" s="284"/>
      <c r="AB1599" s="284"/>
      <c r="AC1599" s="284"/>
      <c r="AD1599" s="284"/>
      <c r="AE1599" s="284"/>
      <c r="AF1599" s="284"/>
      <c r="AG1599" s="284"/>
      <c r="AI1599" s="131"/>
    </row>
    <row r="1600" spans="1:35" ht="26.4">
      <c r="A1600" s="284"/>
      <c r="B1600" s="284"/>
      <c r="C1600" s="284"/>
      <c r="D1600" s="284"/>
      <c r="E1600" s="284"/>
      <c r="F1600" s="284"/>
      <c r="G1600" s="284"/>
      <c r="H1600" s="284"/>
      <c r="I1600" s="284"/>
      <c r="J1600" s="375"/>
      <c r="K1600" s="375"/>
      <c r="L1600" s="375"/>
      <c r="M1600" s="368"/>
      <c r="N1600" s="368"/>
      <c r="O1600" s="370"/>
      <c r="T1600" s="340"/>
      <c r="V1600" s="378"/>
      <c r="W1600" s="64" ph="1"/>
      <c r="X1600" s="241"/>
      <c r="Y1600" s="284"/>
      <c r="Z1600" s="207"/>
      <c r="AA1600" s="284"/>
      <c r="AB1600" s="284"/>
      <c r="AC1600" s="284"/>
      <c r="AD1600" s="284"/>
      <c r="AE1600" s="284"/>
      <c r="AF1600" s="284"/>
      <c r="AG1600" s="284"/>
      <c r="AI1600" s="131"/>
    </row>
    <row r="1601" spans="1:35" ht="26.4">
      <c r="A1601" s="284"/>
      <c r="B1601" s="284"/>
      <c r="C1601" s="284"/>
      <c r="D1601" s="284"/>
      <c r="E1601" s="284"/>
      <c r="F1601" s="284"/>
      <c r="G1601" s="284"/>
      <c r="H1601" s="284"/>
      <c r="I1601" s="284"/>
      <c r="J1601" s="375"/>
      <c r="K1601" s="375"/>
      <c r="L1601" s="375"/>
      <c r="M1601" s="368"/>
      <c r="N1601" s="368"/>
      <c r="O1601" s="370"/>
      <c r="T1601" s="340"/>
      <c r="V1601" s="378"/>
      <c r="W1601" s="64" ph="1"/>
      <c r="X1601" s="241"/>
      <c r="Y1601" s="284"/>
      <c r="Z1601" s="207"/>
      <c r="AA1601" s="284"/>
      <c r="AB1601" s="284"/>
      <c r="AC1601" s="284"/>
      <c r="AD1601" s="284"/>
      <c r="AE1601" s="284"/>
      <c r="AF1601" s="284"/>
      <c r="AG1601" s="284"/>
      <c r="AI1601" s="131"/>
    </row>
    <row r="1602" spans="1:35" ht="26.4">
      <c r="A1602" s="284"/>
      <c r="B1602" s="284"/>
      <c r="C1602" s="284"/>
      <c r="D1602" s="284"/>
      <c r="E1602" s="284"/>
      <c r="F1602" s="284"/>
      <c r="G1602" s="284"/>
      <c r="H1602" s="284"/>
      <c r="I1602" s="284"/>
      <c r="J1602" s="375"/>
      <c r="K1602" s="375"/>
      <c r="L1602" s="375"/>
      <c r="M1602" s="368"/>
      <c r="N1602" s="368"/>
      <c r="O1602" s="370"/>
      <c r="T1602" s="340"/>
      <c r="V1602" s="378"/>
      <c r="W1602" s="64" ph="1"/>
      <c r="X1602" s="241"/>
      <c r="Y1602" s="284"/>
      <c r="Z1602" s="207"/>
      <c r="AA1602" s="284"/>
      <c r="AB1602" s="284"/>
      <c r="AC1602" s="284"/>
      <c r="AD1602" s="284"/>
      <c r="AE1602" s="284"/>
      <c r="AF1602" s="284"/>
      <c r="AG1602" s="284"/>
      <c r="AI1602" s="131"/>
    </row>
    <row r="1603" spans="1:35" ht="26.4">
      <c r="A1603" s="284"/>
      <c r="B1603" s="284"/>
      <c r="C1603" s="284"/>
      <c r="D1603" s="284"/>
      <c r="E1603" s="284"/>
      <c r="F1603" s="284"/>
      <c r="G1603" s="284"/>
      <c r="H1603" s="284"/>
      <c r="I1603" s="284"/>
      <c r="J1603" s="375"/>
      <c r="K1603" s="375"/>
      <c r="L1603" s="375"/>
      <c r="M1603" s="368"/>
      <c r="N1603" s="368"/>
      <c r="O1603" s="370"/>
      <c r="T1603" s="340"/>
      <c r="V1603" s="378"/>
      <c r="W1603" s="64" ph="1"/>
      <c r="X1603" s="241"/>
      <c r="Y1603" s="284"/>
      <c r="Z1603" s="207"/>
      <c r="AA1603" s="284"/>
      <c r="AB1603" s="284"/>
      <c r="AC1603" s="284"/>
      <c r="AD1603" s="284"/>
      <c r="AE1603" s="284"/>
      <c r="AF1603" s="284"/>
      <c r="AG1603" s="284"/>
      <c r="AI1603" s="131"/>
    </row>
    <row r="1604" spans="1:35" ht="26.4">
      <c r="A1604" s="284"/>
      <c r="B1604" s="284"/>
      <c r="C1604" s="284"/>
      <c r="D1604" s="284"/>
      <c r="E1604" s="284"/>
      <c r="F1604" s="284"/>
      <c r="G1604" s="284"/>
      <c r="H1604" s="284"/>
      <c r="I1604" s="284"/>
      <c r="J1604" s="375"/>
      <c r="K1604" s="375"/>
      <c r="L1604" s="375"/>
      <c r="M1604" s="368"/>
      <c r="N1604" s="368"/>
      <c r="O1604" s="370"/>
      <c r="T1604" s="340"/>
      <c r="V1604" s="378"/>
      <c r="W1604" s="64" ph="1"/>
      <c r="X1604" s="241"/>
      <c r="Y1604" s="284"/>
      <c r="Z1604" s="207"/>
      <c r="AA1604" s="284"/>
      <c r="AB1604" s="284"/>
      <c r="AC1604" s="284"/>
      <c r="AD1604" s="284"/>
      <c r="AE1604" s="284"/>
      <c r="AF1604" s="284"/>
      <c r="AG1604" s="284"/>
      <c r="AI1604" s="131"/>
    </row>
    <row r="1605" spans="1:35" ht="26.4">
      <c r="A1605" s="284"/>
      <c r="B1605" s="284"/>
      <c r="C1605" s="284"/>
      <c r="D1605" s="284"/>
      <c r="E1605" s="284"/>
      <c r="F1605" s="284"/>
      <c r="G1605" s="284"/>
      <c r="H1605" s="284"/>
      <c r="I1605" s="284"/>
      <c r="J1605" s="375"/>
      <c r="K1605" s="375"/>
      <c r="L1605" s="375"/>
      <c r="M1605" s="368"/>
      <c r="N1605" s="368"/>
      <c r="O1605" s="370"/>
      <c r="T1605" s="340"/>
      <c r="V1605" s="378"/>
      <c r="W1605" s="64" ph="1"/>
      <c r="X1605" s="241"/>
      <c r="Y1605" s="284"/>
      <c r="Z1605" s="207"/>
      <c r="AA1605" s="284"/>
      <c r="AB1605" s="284"/>
      <c r="AC1605" s="284"/>
      <c r="AD1605" s="284"/>
      <c r="AE1605" s="284"/>
      <c r="AF1605" s="284"/>
      <c r="AG1605" s="284"/>
      <c r="AI1605" s="131"/>
    </row>
    <row r="1606" spans="1:35" ht="26.4">
      <c r="A1606" s="284"/>
      <c r="B1606" s="284"/>
      <c r="C1606" s="284"/>
      <c r="D1606" s="284"/>
      <c r="E1606" s="284"/>
      <c r="F1606" s="284"/>
      <c r="G1606" s="284"/>
      <c r="H1606" s="284"/>
      <c r="I1606" s="284"/>
      <c r="J1606" s="375"/>
      <c r="K1606" s="375"/>
      <c r="L1606" s="375"/>
      <c r="M1606" s="368"/>
      <c r="N1606" s="368"/>
      <c r="O1606" s="370"/>
      <c r="T1606" s="340"/>
      <c r="V1606" s="378"/>
      <c r="W1606" s="64" ph="1"/>
      <c r="X1606" s="241"/>
      <c r="Y1606" s="284"/>
      <c r="Z1606" s="207"/>
      <c r="AA1606" s="284"/>
      <c r="AB1606" s="284"/>
      <c r="AC1606" s="284"/>
      <c r="AD1606" s="284"/>
      <c r="AE1606" s="284"/>
      <c r="AF1606" s="284"/>
      <c r="AG1606" s="284"/>
      <c r="AI1606" s="131"/>
    </row>
    <row r="1607" spans="1:35" ht="26.4">
      <c r="A1607" s="284"/>
      <c r="B1607" s="284"/>
      <c r="C1607" s="284"/>
      <c r="D1607" s="284"/>
      <c r="E1607" s="284"/>
      <c r="F1607" s="284"/>
      <c r="G1607" s="284"/>
      <c r="H1607" s="284"/>
      <c r="I1607" s="284"/>
      <c r="J1607" s="375"/>
      <c r="K1607" s="375"/>
      <c r="L1607" s="375"/>
      <c r="M1607" s="368"/>
      <c r="N1607" s="368"/>
      <c r="O1607" s="370"/>
      <c r="T1607" s="340"/>
      <c r="V1607" s="378"/>
      <c r="W1607" s="64" ph="1"/>
      <c r="X1607" s="241"/>
      <c r="Y1607" s="284"/>
      <c r="Z1607" s="207"/>
      <c r="AA1607" s="284"/>
      <c r="AB1607" s="284"/>
      <c r="AC1607" s="284"/>
      <c r="AD1607" s="284"/>
      <c r="AE1607" s="284"/>
      <c r="AF1607" s="284"/>
      <c r="AG1607" s="284"/>
      <c r="AI1607" s="131"/>
    </row>
    <row r="1608" spans="1:35" ht="26.4">
      <c r="A1608" s="284"/>
      <c r="B1608" s="284"/>
      <c r="C1608" s="284"/>
      <c r="D1608" s="284"/>
      <c r="E1608" s="284"/>
      <c r="F1608" s="284"/>
      <c r="G1608" s="284"/>
      <c r="H1608" s="284"/>
      <c r="I1608" s="284"/>
      <c r="J1608" s="375"/>
      <c r="K1608" s="375"/>
      <c r="L1608" s="375"/>
      <c r="M1608" s="368"/>
      <c r="N1608" s="368"/>
      <c r="O1608" s="370"/>
      <c r="T1608" s="340"/>
      <c r="V1608" s="378"/>
      <c r="W1608" s="64" ph="1"/>
      <c r="X1608" s="241"/>
      <c r="Y1608" s="284"/>
      <c r="Z1608" s="207"/>
      <c r="AA1608" s="284"/>
      <c r="AB1608" s="284"/>
      <c r="AC1608" s="284"/>
      <c r="AD1608" s="284"/>
      <c r="AE1608" s="284"/>
      <c r="AF1608" s="284"/>
      <c r="AG1608" s="284"/>
      <c r="AI1608" s="131"/>
    </row>
    <row r="1609" spans="1:35" ht="26.4">
      <c r="A1609" s="284"/>
      <c r="B1609" s="284"/>
      <c r="C1609" s="284"/>
      <c r="D1609" s="284"/>
      <c r="E1609" s="284"/>
      <c r="F1609" s="284"/>
      <c r="G1609" s="284"/>
      <c r="H1609" s="284"/>
      <c r="I1609" s="284"/>
      <c r="J1609" s="375"/>
      <c r="K1609" s="375"/>
      <c r="L1609" s="375"/>
      <c r="M1609" s="368"/>
      <c r="N1609" s="368"/>
      <c r="O1609" s="370"/>
      <c r="T1609" s="340"/>
      <c r="V1609" s="378"/>
      <c r="W1609" s="64" ph="1"/>
      <c r="X1609" s="241"/>
      <c r="Y1609" s="284"/>
      <c r="Z1609" s="207"/>
      <c r="AA1609" s="284"/>
      <c r="AB1609" s="284"/>
      <c r="AC1609" s="284"/>
      <c r="AD1609" s="284"/>
      <c r="AE1609" s="284"/>
      <c r="AF1609" s="284"/>
      <c r="AG1609" s="284"/>
      <c r="AI1609" s="131"/>
    </row>
    <row r="1610" spans="1:35" ht="26.4">
      <c r="A1610" s="284"/>
      <c r="B1610" s="284"/>
      <c r="C1610" s="284"/>
      <c r="D1610" s="284"/>
      <c r="E1610" s="284"/>
      <c r="F1610" s="284"/>
      <c r="G1610" s="284"/>
      <c r="H1610" s="284"/>
      <c r="I1610" s="284"/>
      <c r="J1610" s="375"/>
      <c r="K1610" s="375"/>
      <c r="L1610" s="375"/>
      <c r="M1610" s="368"/>
      <c r="N1610" s="368"/>
      <c r="O1610" s="370"/>
      <c r="T1610" s="340"/>
      <c r="V1610" s="378"/>
      <c r="W1610" s="64" ph="1"/>
      <c r="X1610" s="241"/>
      <c r="Y1610" s="284"/>
      <c r="Z1610" s="207"/>
      <c r="AA1610" s="284"/>
      <c r="AB1610" s="284"/>
      <c r="AC1610" s="284"/>
      <c r="AD1610" s="284"/>
      <c r="AE1610" s="284"/>
      <c r="AF1610" s="284"/>
      <c r="AG1610" s="284"/>
      <c r="AI1610" s="131"/>
    </row>
    <row r="1611" spans="1:35" ht="26.4">
      <c r="A1611" s="284"/>
      <c r="B1611" s="284"/>
      <c r="C1611" s="284"/>
      <c r="D1611" s="284"/>
      <c r="E1611" s="284"/>
      <c r="F1611" s="284"/>
      <c r="G1611" s="284"/>
      <c r="H1611" s="284"/>
      <c r="I1611" s="284"/>
      <c r="J1611" s="375"/>
      <c r="K1611" s="375"/>
      <c r="L1611" s="375"/>
      <c r="M1611" s="368"/>
      <c r="N1611" s="368"/>
      <c r="O1611" s="370"/>
      <c r="T1611" s="340"/>
      <c r="V1611" s="378"/>
      <c r="W1611" s="64" ph="1"/>
      <c r="X1611" s="241"/>
      <c r="Y1611" s="284"/>
      <c r="Z1611" s="207"/>
      <c r="AA1611" s="284"/>
      <c r="AB1611" s="284"/>
      <c r="AC1611" s="284"/>
      <c r="AD1611" s="284"/>
      <c r="AE1611" s="284"/>
      <c r="AF1611" s="284"/>
      <c r="AG1611" s="284"/>
      <c r="AI1611" s="131"/>
    </row>
    <row r="1612" spans="1:35" ht="26.4">
      <c r="A1612" s="284"/>
      <c r="B1612" s="284"/>
      <c r="C1612" s="284"/>
      <c r="D1612" s="284"/>
      <c r="E1612" s="284"/>
      <c r="F1612" s="284"/>
      <c r="G1612" s="284"/>
      <c r="H1612" s="284"/>
      <c r="I1612" s="284"/>
      <c r="J1612" s="375"/>
      <c r="K1612" s="375"/>
      <c r="L1612" s="375"/>
      <c r="M1612" s="368"/>
      <c r="N1612" s="368"/>
      <c r="O1612" s="370"/>
      <c r="T1612" s="340"/>
      <c r="V1612" s="378"/>
      <c r="W1612" s="64" ph="1"/>
      <c r="X1612" s="241"/>
      <c r="Y1612" s="284"/>
      <c r="Z1612" s="207"/>
      <c r="AA1612" s="284"/>
      <c r="AB1612" s="284"/>
      <c r="AC1612" s="284"/>
      <c r="AD1612" s="284"/>
      <c r="AE1612" s="284"/>
      <c r="AF1612" s="284"/>
      <c r="AG1612" s="284"/>
      <c r="AI1612" s="131"/>
    </row>
    <row r="1613" spans="1:35" ht="26.4">
      <c r="A1613" s="284"/>
      <c r="B1613" s="284"/>
      <c r="C1613" s="284"/>
      <c r="D1613" s="284"/>
      <c r="E1613" s="284"/>
      <c r="F1613" s="284"/>
      <c r="G1613" s="284"/>
      <c r="H1613" s="284"/>
      <c r="I1613" s="284"/>
      <c r="J1613" s="375"/>
      <c r="K1613" s="375"/>
      <c r="L1613" s="375"/>
      <c r="M1613" s="368"/>
      <c r="N1613" s="368"/>
      <c r="O1613" s="370"/>
      <c r="T1613" s="340"/>
      <c r="V1613" s="378"/>
      <c r="W1613" s="64" ph="1"/>
      <c r="X1613" s="241"/>
      <c r="Y1613" s="284"/>
      <c r="Z1613" s="207"/>
      <c r="AA1613" s="284"/>
      <c r="AB1613" s="284"/>
      <c r="AC1613" s="284"/>
      <c r="AD1613" s="284"/>
      <c r="AE1613" s="284"/>
      <c r="AF1613" s="284"/>
      <c r="AG1613" s="284"/>
      <c r="AI1613" s="131"/>
    </row>
    <row r="1614" spans="1:35" ht="26.4">
      <c r="A1614" s="284"/>
      <c r="B1614" s="284"/>
      <c r="C1614" s="284"/>
      <c r="D1614" s="284"/>
      <c r="E1614" s="284"/>
      <c r="F1614" s="284"/>
      <c r="G1614" s="284"/>
      <c r="H1614" s="284"/>
      <c r="I1614" s="284"/>
      <c r="J1614" s="375"/>
      <c r="K1614" s="375"/>
      <c r="L1614" s="375"/>
      <c r="M1614" s="368"/>
      <c r="N1614" s="368"/>
      <c r="O1614" s="370"/>
      <c r="T1614" s="340"/>
      <c r="V1614" s="378"/>
      <c r="W1614" s="64" ph="1"/>
      <c r="X1614" s="241"/>
      <c r="Y1614" s="284"/>
      <c r="Z1614" s="207"/>
      <c r="AA1614" s="284"/>
      <c r="AB1614" s="284"/>
      <c r="AC1614" s="284"/>
      <c r="AD1614" s="284"/>
      <c r="AE1614" s="284"/>
      <c r="AF1614" s="284"/>
      <c r="AG1614" s="284"/>
      <c r="AI1614" s="131"/>
    </row>
    <row r="1615" spans="1:35" ht="26.4">
      <c r="A1615" s="284"/>
      <c r="B1615" s="284"/>
      <c r="C1615" s="284"/>
      <c r="D1615" s="284"/>
      <c r="E1615" s="284"/>
      <c r="F1615" s="284"/>
      <c r="G1615" s="284"/>
      <c r="H1615" s="284"/>
      <c r="I1615" s="284"/>
      <c r="J1615" s="375"/>
      <c r="K1615" s="375"/>
      <c r="L1615" s="375"/>
      <c r="M1615" s="368"/>
      <c r="N1615" s="368"/>
      <c r="O1615" s="370"/>
      <c r="T1615" s="340"/>
      <c r="V1615" s="378"/>
      <c r="W1615" s="64" ph="1"/>
      <c r="X1615" s="241"/>
      <c r="Y1615" s="284"/>
      <c r="Z1615" s="207"/>
      <c r="AA1615" s="284"/>
      <c r="AB1615" s="284"/>
      <c r="AC1615" s="284"/>
      <c r="AD1615" s="284"/>
      <c r="AE1615" s="284"/>
      <c r="AF1615" s="284"/>
      <c r="AG1615" s="284"/>
      <c r="AI1615" s="131"/>
    </row>
    <row r="1616" spans="1:35" ht="26.4">
      <c r="A1616" s="284"/>
      <c r="B1616" s="284"/>
      <c r="C1616" s="284"/>
      <c r="D1616" s="284"/>
      <c r="E1616" s="284"/>
      <c r="F1616" s="284"/>
      <c r="G1616" s="284"/>
      <c r="H1616" s="284"/>
      <c r="I1616" s="284"/>
      <c r="J1616" s="375"/>
      <c r="K1616" s="375"/>
      <c r="L1616" s="375"/>
      <c r="M1616" s="368"/>
      <c r="N1616" s="368"/>
      <c r="O1616" s="370"/>
      <c r="T1616" s="340"/>
      <c r="V1616" s="378"/>
      <c r="W1616" s="64" ph="1"/>
      <c r="X1616" s="241"/>
      <c r="Y1616" s="284"/>
      <c r="Z1616" s="207"/>
      <c r="AA1616" s="284"/>
      <c r="AB1616" s="284"/>
      <c r="AC1616" s="284"/>
      <c r="AD1616" s="284"/>
      <c r="AE1616" s="284"/>
      <c r="AF1616" s="284"/>
      <c r="AG1616" s="284"/>
      <c r="AI1616" s="131"/>
    </row>
    <row r="1617" spans="1:35" ht="26.4">
      <c r="A1617" s="284"/>
      <c r="B1617" s="284"/>
      <c r="C1617" s="284"/>
      <c r="D1617" s="284"/>
      <c r="E1617" s="284"/>
      <c r="F1617" s="284"/>
      <c r="G1617" s="284"/>
      <c r="H1617" s="284"/>
      <c r="I1617" s="284"/>
      <c r="J1617" s="375"/>
      <c r="K1617" s="375"/>
      <c r="L1617" s="375"/>
      <c r="M1617" s="368"/>
      <c r="N1617" s="368"/>
      <c r="O1617" s="370"/>
      <c r="T1617" s="340"/>
      <c r="V1617" s="378"/>
      <c r="W1617" s="64" ph="1"/>
      <c r="X1617" s="241"/>
      <c r="Y1617" s="284"/>
      <c r="Z1617" s="207"/>
      <c r="AA1617" s="284"/>
      <c r="AB1617" s="284"/>
      <c r="AC1617" s="284"/>
      <c r="AD1617" s="284"/>
      <c r="AE1617" s="284"/>
      <c r="AF1617" s="284"/>
      <c r="AG1617" s="284"/>
      <c r="AI1617" s="284"/>
    </row>
    <row r="1618" spans="1:35" ht="26.4">
      <c r="A1618" s="284"/>
      <c r="B1618" s="284"/>
      <c r="C1618" s="284"/>
      <c r="D1618" s="284"/>
      <c r="E1618" s="284"/>
      <c r="F1618" s="284"/>
      <c r="G1618" s="284"/>
      <c r="H1618" s="284"/>
      <c r="I1618" s="284"/>
      <c r="J1618" s="375"/>
      <c r="K1618" s="375"/>
      <c r="L1618" s="375"/>
      <c r="M1618" s="368"/>
      <c r="N1618" s="368"/>
      <c r="O1618" s="370"/>
      <c r="T1618" s="340"/>
      <c r="V1618" s="378"/>
      <c r="W1618" s="64" ph="1"/>
      <c r="X1618" s="241"/>
      <c r="Y1618" s="284"/>
      <c r="Z1618" s="207"/>
      <c r="AA1618" s="284"/>
      <c r="AB1618" s="284"/>
      <c r="AC1618" s="284"/>
      <c r="AD1618" s="284"/>
      <c r="AE1618" s="284"/>
      <c r="AF1618" s="284"/>
      <c r="AG1618" s="284"/>
      <c r="AI1618" s="284"/>
    </row>
    <row r="1619" spans="1:35" ht="26.4">
      <c r="A1619" s="284"/>
      <c r="B1619" s="284"/>
      <c r="C1619" s="284"/>
      <c r="D1619" s="284"/>
      <c r="E1619" s="284"/>
      <c r="F1619" s="284"/>
      <c r="G1619" s="284"/>
      <c r="H1619" s="284"/>
      <c r="I1619" s="284"/>
      <c r="J1619" s="375"/>
      <c r="K1619" s="375"/>
      <c r="L1619" s="375"/>
      <c r="M1619" s="368"/>
      <c r="N1619" s="368"/>
      <c r="O1619" s="370"/>
      <c r="T1619" s="340"/>
      <c r="V1619" s="378"/>
      <c r="W1619" s="64" ph="1"/>
      <c r="X1619" s="241"/>
      <c r="Y1619" s="284"/>
      <c r="Z1619" s="207"/>
      <c r="AA1619" s="284"/>
      <c r="AB1619" s="284"/>
      <c r="AC1619" s="284"/>
      <c r="AD1619" s="284"/>
      <c r="AE1619" s="284"/>
      <c r="AF1619" s="284"/>
      <c r="AG1619" s="284"/>
      <c r="AI1619" s="131"/>
    </row>
    <row r="1620" spans="1:35" ht="26.4">
      <c r="A1620" s="284"/>
      <c r="B1620" s="284"/>
      <c r="C1620" s="284"/>
      <c r="D1620" s="284"/>
      <c r="E1620" s="284"/>
      <c r="F1620" s="284"/>
      <c r="G1620" s="284"/>
      <c r="H1620" s="284"/>
      <c r="I1620" s="284"/>
      <c r="J1620" s="375"/>
      <c r="K1620" s="375"/>
      <c r="L1620" s="375"/>
      <c r="M1620" s="368"/>
      <c r="N1620" s="368"/>
      <c r="O1620" s="370"/>
      <c r="T1620" s="340"/>
      <c r="V1620" s="378"/>
      <c r="W1620" s="64" ph="1"/>
      <c r="X1620" s="241"/>
      <c r="Y1620" s="284"/>
      <c r="Z1620" s="207"/>
      <c r="AA1620" s="284"/>
      <c r="AB1620" s="284"/>
      <c r="AC1620" s="284"/>
      <c r="AD1620" s="284"/>
      <c r="AE1620" s="284"/>
      <c r="AF1620" s="284"/>
      <c r="AG1620" s="284"/>
      <c r="AI1620" s="131"/>
    </row>
    <row r="1621" spans="1:35" ht="26.4">
      <c r="A1621" s="284"/>
      <c r="B1621" s="284"/>
      <c r="C1621" s="284"/>
      <c r="D1621" s="284"/>
      <c r="E1621" s="284"/>
      <c r="F1621" s="284"/>
      <c r="G1621" s="284"/>
      <c r="H1621" s="284"/>
      <c r="I1621" s="284"/>
      <c r="J1621" s="375"/>
      <c r="K1621" s="375"/>
      <c r="L1621" s="375"/>
      <c r="M1621" s="368"/>
      <c r="N1621" s="368"/>
      <c r="O1621" s="370"/>
      <c r="T1621" s="340"/>
      <c r="V1621" s="378"/>
      <c r="W1621" s="64" ph="1"/>
      <c r="X1621" s="241"/>
      <c r="Y1621" s="284"/>
      <c r="Z1621" s="207"/>
      <c r="AA1621" s="284"/>
      <c r="AB1621" s="284"/>
      <c r="AC1621" s="284"/>
      <c r="AD1621" s="284"/>
      <c r="AE1621" s="284"/>
      <c r="AF1621" s="284"/>
      <c r="AG1621" s="284"/>
      <c r="AI1621" s="131"/>
    </row>
    <row r="1622" spans="1:35" ht="26.4">
      <c r="A1622" s="284"/>
      <c r="B1622" s="284"/>
      <c r="C1622" s="284"/>
      <c r="D1622" s="284"/>
      <c r="E1622" s="284"/>
      <c r="F1622" s="284"/>
      <c r="G1622" s="284"/>
      <c r="H1622" s="284"/>
      <c r="I1622" s="284"/>
      <c r="J1622" s="375"/>
      <c r="K1622" s="375"/>
      <c r="L1622" s="375"/>
      <c r="M1622" s="368"/>
      <c r="N1622" s="368"/>
      <c r="O1622" s="370"/>
      <c r="T1622" s="340"/>
      <c r="V1622" s="378"/>
      <c r="W1622" s="64" ph="1"/>
      <c r="X1622" s="241"/>
      <c r="Y1622" s="284"/>
      <c r="Z1622" s="207"/>
      <c r="AA1622" s="284"/>
      <c r="AB1622" s="284"/>
      <c r="AC1622" s="284"/>
      <c r="AD1622" s="284"/>
      <c r="AE1622" s="284"/>
      <c r="AF1622" s="284"/>
      <c r="AG1622" s="284"/>
      <c r="AI1622" s="131"/>
    </row>
    <row r="1623" spans="1:35" ht="26.4">
      <c r="A1623" s="284"/>
      <c r="B1623" s="284"/>
      <c r="C1623" s="284"/>
      <c r="D1623" s="284"/>
      <c r="E1623" s="284"/>
      <c r="F1623" s="284"/>
      <c r="G1623" s="284"/>
      <c r="H1623" s="284"/>
      <c r="I1623" s="284"/>
      <c r="J1623" s="375"/>
      <c r="K1623" s="375"/>
      <c r="L1623" s="375"/>
      <c r="M1623" s="368"/>
      <c r="N1623" s="368"/>
      <c r="O1623" s="370"/>
      <c r="T1623" s="340"/>
      <c r="V1623" s="378"/>
      <c r="W1623" s="64" ph="1"/>
      <c r="X1623" s="241"/>
      <c r="Y1623" s="284"/>
      <c r="Z1623" s="207"/>
      <c r="AA1623" s="284"/>
      <c r="AB1623" s="284"/>
      <c r="AC1623" s="284"/>
      <c r="AD1623" s="284"/>
      <c r="AE1623" s="284"/>
      <c r="AF1623" s="284"/>
      <c r="AG1623" s="284"/>
      <c r="AI1623" s="131"/>
    </row>
    <row r="1624" spans="1:35" ht="26.4">
      <c r="A1624" s="284"/>
      <c r="B1624" s="284"/>
      <c r="C1624" s="284"/>
      <c r="D1624" s="284"/>
      <c r="E1624" s="284"/>
      <c r="F1624" s="284"/>
      <c r="G1624" s="284"/>
      <c r="H1624" s="284"/>
      <c r="I1624" s="284"/>
      <c r="J1624" s="375"/>
      <c r="K1624" s="375"/>
      <c r="L1624" s="375"/>
      <c r="M1624" s="368"/>
      <c r="N1624" s="368"/>
      <c r="O1624" s="370"/>
      <c r="T1624" s="340"/>
      <c r="V1624" s="378"/>
      <c r="W1624" s="64" ph="1"/>
      <c r="X1624" s="241"/>
      <c r="Y1624" s="284"/>
      <c r="Z1624" s="207"/>
      <c r="AA1624" s="284"/>
      <c r="AB1624" s="284"/>
      <c r="AC1624" s="284"/>
      <c r="AD1624" s="284"/>
      <c r="AE1624" s="284"/>
      <c r="AF1624" s="284"/>
      <c r="AG1624" s="284"/>
      <c r="AI1624" s="131"/>
    </row>
    <row r="1625" spans="1:35" ht="26.4">
      <c r="A1625" s="284"/>
      <c r="B1625" s="284"/>
      <c r="C1625" s="284"/>
      <c r="D1625" s="284"/>
      <c r="E1625" s="284"/>
      <c r="F1625" s="284"/>
      <c r="G1625" s="284"/>
      <c r="H1625" s="284"/>
      <c r="I1625" s="284"/>
      <c r="J1625" s="375"/>
      <c r="K1625" s="375"/>
      <c r="L1625" s="375"/>
      <c r="M1625" s="368"/>
      <c r="N1625" s="368"/>
      <c r="O1625" s="370"/>
      <c r="T1625" s="340"/>
      <c r="V1625" s="378"/>
      <c r="W1625" s="64" ph="1"/>
      <c r="X1625" s="241"/>
      <c r="Y1625" s="284"/>
      <c r="Z1625" s="207"/>
      <c r="AA1625" s="284"/>
      <c r="AB1625" s="284"/>
      <c r="AC1625" s="284"/>
      <c r="AD1625" s="284"/>
      <c r="AE1625" s="284"/>
      <c r="AF1625" s="284"/>
      <c r="AG1625" s="284"/>
      <c r="AI1625" s="131"/>
    </row>
    <row r="1626" spans="1:35" ht="26.4">
      <c r="A1626" s="284"/>
      <c r="B1626" s="284"/>
      <c r="C1626" s="284"/>
      <c r="D1626" s="284"/>
      <c r="E1626" s="284"/>
      <c r="F1626" s="284"/>
      <c r="G1626" s="284"/>
      <c r="H1626" s="284"/>
      <c r="I1626" s="284"/>
      <c r="J1626" s="375"/>
      <c r="K1626" s="375"/>
      <c r="L1626" s="375"/>
      <c r="M1626" s="368"/>
      <c r="N1626" s="368"/>
      <c r="O1626" s="370"/>
      <c r="T1626" s="340"/>
      <c r="V1626" s="378"/>
      <c r="W1626" s="64" ph="1"/>
      <c r="X1626" s="241"/>
      <c r="Y1626" s="284"/>
      <c r="Z1626" s="207"/>
      <c r="AA1626" s="284"/>
      <c r="AB1626" s="284"/>
      <c r="AC1626" s="284"/>
      <c r="AD1626" s="284"/>
      <c r="AE1626" s="284"/>
      <c r="AF1626" s="284"/>
      <c r="AG1626" s="284"/>
      <c r="AI1626" s="131"/>
    </row>
    <row r="1627" spans="1:35" ht="26.4">
      <c r="A1627" s="284"/>
      <c r="B1627" s="284"/>
      <c r="C1627" s="284"/>
      <c r="D1627" s="284"/>
      <c r="E1627" s="284"/>
      <c r="F1627" s="284"/>
      <c r="G1627" s="284"/>
      <c r="H1627" s="284"/>
      <c r="I1627" s="284"/>
      <c r="J1627" s="375"/>
      <c r="K1627" s="375"/>
      <c r="L1627" s="375"/>
      <c r="M1627" s="368"/>
      <c r="N1627" s="368"/>
      <c r="O1627" s="370"/>
      <c r="T1627" s="340"/>
      <c r="V1627" s="378"/>
      <c r="W1627" s="64" ph="1"/>
      <c r="X1627" s="241"/>
      <c r="Y1627" s="284"/>
      <c r="Z1627" s="207"/>
      <c r="AA1627" s="284"/>
      <c r="AB1627" s="284"/>
      <c r="AC1627" s="284"/>
      <c r="AD1627" s="284"/>
      <c r="AE1627" s="284"/>
      <c r="AF1627" s="284"/>
      <c r="AG1627" s="284"/>
      <c r="AI1627" s="284"/>
    </row>
    <row r="1628" spans="1:35" ht="26.4">
      <c r="A1628" s="284"/>
      <c r="B1628" s="284"/>
      <c r="C1628" s="284"/>
      <c r="D1628" s="284"/>
      <c r="E1628" s="284"/>
      <c r="F1628" s="284"/>
      <c r="G1628" s="284"/>
      <c r="H1628" s="284"/>
      <c r="I1628" s="284"/>
      <c r="J1628" s="375"/>
      <c r="K1628" s="375"/>
      <c r="L1628" s="375"/>
      <c r="M1628" s="368"/>
      <c r="N1628" s="368"/>
      <c r="O1628" s="370"/>
      <c r="T1628" s="340"/>
      <c r="V1628" s="378"/>
      <c r="W1628" s="64" ph="1"/>
      <c r="X1628" s="241"/>
      <c r="Y1628" s="284"/>
      <c r="Z1628" s="207"/>
      <c r="AA1628" s="284"/>
      <c r="AB1628" s="284"/>
      <c r="AC1628" s="284"/>
      <c r="AD1628" s="284"/>
      <c r="AE1628" s="284"/>
      <c r="AF1628" s="284"/>
      <c r="AG1628" s="284"/>
      <c r="AI1628" s="131"/>
    </row>
    <row r="1629" spans="1:35" ht="26.4">
      <c r="A1629" s="284"/>
      <c r="B1629" s="284"/>
      <c r="C1629" s="284"/>
      <c r="D1629" s="284"/>
      <c r="E1629" s="284"/>
      <c r="F1629" s="284"/>
      <c r="G1629" s="284"/>
      <c r="H1629" s="284"/>
      <c r="I1629" s="284"/>
      <c r="J1629" s="375"/>
      <c r="K1629" s="375"/>
      <c r="L1629" s="375"/>
      <c r="M1629" s="368"/>
      <c r="N1629" s="368"/>
      <c r="O1629" s="370"/>
      <c r="T1629" s="340"/>
      <c r="V1629" s="378"/>
      <c r="W1629" s="64" ph="1"/>
      <c r="X1629" s="241"/>
      <c r="Y1629" s="284"/>
      <c r="Z1629" s="207"/>
      <c r="AA1629" s="284"/>
      <c r="AB1629" s="284"/>
      <c r="AC1629" s="284"/>
      <c r="AD1629" s="284"/>
      <c r="AE1629" s="284"/>
      <c r="AF1629" s="284"/>
      <c r="AG1629" s="284"/>
      <c r="AI1629" s="131"/>
    </row>
    <row r="1630" spans="1:35" ht="26.4">
      <c r="A1630" s="284"/>
      <c r="B1630" s="284"/>
      <c r="C1630" s="284"/>
      <c r="D1630" s="284"/>
      <c r="E1630" s="284"/>
      <c r="F1630" s="284"/>
      <c r="G1630" s="284"/>
      <c r="H1630" s="284"/>
      <c r="I1630" s="284"/>
      <c r="J1630" s="375"/>
      <c r="K1630" s="375"/>
      <c r="L1630" s="375"/>
      <c r="M1630" s="368"/>
      <c r="N1630" s="368"/>
      <c r="O1630" s="370"/>
      <c r="T1630" s="340"/>
      <c r="V1630" s="378"/>
      <c r="W1630" s="64" ph="1"/>
      <c r="X1630" s="241"/>
      <c r="Y1630" s="284"/>
      <c r="Z1630" s="207"/>
      <c r="AA1630" s="284"/>
      <c r="AB1630" s="284"/>
      <c r="AC1630" s="284"/>
      <c r="AD1630" s="284"/>
      <c r="AE1630" s="284"/>
      <c r="AF1630" s="284"/>
      <c r="AG1630" s="284"/>
      <c r="AI1630" s="131"/>
    </row>
    <row r="1631" spans="1:35" ht="26.4">
      <c r="A1631" s="284"/>
      <c r="B1631" s="284"/>
      <c r="C1631" s="284"/>
      <c r="D1631" s="284"/>
      <c r="E1631" s="284"/>
      <c r="F1631" s="284"/>
      <c r="G1631" s="284"/>
      <c r="H1631" s="284"/>
      <c r="I1631" s="284"/>
      <c r="J1631" s="375"/>
      <c r="K1631" s="375"/>
      <c r="L1631" s="375"/>
      <c r="M1631" s="368"/>
      <c r="N1631" s="368"/>
      <c r="O1631" s="370"/>
      <c r="T1631" s="340"/>
      <c r="V1631" s="378"/>
      <c r="W1631" s="64" ph="1"/>
      <c r="X1631" s="241"/>
      <c r="Y1631" s="284"/>
      <c r="Z1631" s="207"/>
      <c r="AA1631" s="284"/>
      <c r="AB1631" s="284"/>
      <c r="AC1631" s="284"/>
      <c r="AD1631" s="284"/>
      <c r="AE1631" s="284"/>
      <c r="AF1631" s="284"/>
      <c r="AG1631" s="284"/>
      <c r="AI1631" s="131"/>
    </row>
    <row r="1632" spans="1:35" ht="26.4">
      <c r="A1632" s="284"/>
      <c r="B1632" s="284"/>
      <c r="C1632" s="284"/>
      <c r="D1632" s="284"/>
      <c r="E1632" s="284"/>
      <c r="F1632" s="284"/>
      <c r="G1632" s="284"/>
      <c r="H1632" s="284"/>
      <c r="I1632" s="284"/>
      <c r="J1632" s="375"/>
      <c r="K1632" s="375"/>
      <c r="L1632" s="375"/>
      <c r="M1632" s="368"/>
      <c r="N1632" s="368"/>
      <c r="O1632" s="370"/>
      <c r="T1632" s="340"/>
      <c r="V1632" s="378"/>
      <c r="W1632" s="64" ph="1"/>
      <c r="X1632" s="241"/>
      <c r="Y1632" s="284"/>
      <c r="Z1632" s="207"/>
      <c r="AA1632" s="284"/>
      <c r="AB1632" s="284"/>
      <c r="AC1632" s="284"/>
      <c r="AD1632" s="284"/>
      <c r="AE1632" s="284"/>
      <c r="AF1632" s="284"/>
      <c r="AG1632" s="284"/>
      <c r="AI1632" s="131"/>
    </row>
    <row r="1633" spans="1:35" ht="26.4">
      <c r="A1633" s="284"/>
      <c r="B1633" s="284"/>
      <c r="C1633" s="284"/>
      <c r="D1633" s="284"/>
      <c r="E1633" s="284"/>
      <c r="F1633" s="284"/>
      <c r="G1633" s="284"/>
      <c r="H1633" s="284"/>
      <c r="I1633" s="284"/>
      <c r="J1633" s="375"/>
      <c r="K1633" s="375"/>
      <c r="L1633" s="375"/>
      <c r="M1633" s="368"/>
      <c r="N1633" s="368"/>
      <c r="O1633" s="370"/>
      <c r="T1633" s="340"/>
      <c r="V1633" s="378"/>
      <c r="W1633" s="64" ph="1"/>
      <c r="X1633" s="241"/>
      <c r="Y1633" s="284"/>
      <c r="Z1633" s="207"/>
      <c r="AA1633" s="284"/>
      <c r="AB1633" s="284"/>
      <c r="AC1633" s="284"/>
      <c r="AD1633" s="284"/>
      <c r="AE1633" s="284"/>
      <c r="AF1633" s="284"/>
      <c r="AG1633" s="284"/>
      <c r="AI1633" s="131"/>
    </row>
    <row r="1634" spans="1:35" ht="26.4">
      <c r="A1634" s="284"/>
      <c r="B1634" s="284"/>
      <c r="C1634" s="284"/>
      <c r="D1634" s="284"/>
      <c r="E1634" s="284"/>
      <c r="F1634" s="284"/>
      <c r="G1634" s="284"/>
      <c r="H1634" s="284"/>
      <c r="I1634" s="284"/>
      <c r="J1634" s="375"/>
      <c r="K1634" s="375"/>
      <c r="L1634" s="375"/>
      <c r="M1634" s="368"/>
      <c r="N1634" s="368"/>
      <c r="O1634" s="370"/>
      <c r="T1634" s="340"/>
      <c r="V1634" s="378"/>
      <c r="W1634" s="64" ph="1"/>
      <c r="X1634" s="241"/>
      <c r="Y1634" s="284"/>
      <c r="Z1634" s="207"/>
      <c r="AA1634" s="284"/>
      <c r="AB1634" s="284"/>
      <c r="AC1634" s="284"/>
      <c r="AD1634" s="284"/>
      <c r="AE1634" s="284"/>
      <c r="AF1634" s="284"/>
      <c r="AG1634" s="284"/>
      <c r="AI1634" s="131"/>
    </row>
    <row r="1635" spans="1:35" ht="26.4">
      <c r="A1635" s="284"/>
      <c r="B1635" s="284"/>
      <c r="C1635" s="284"/>
      <c r="D1635" s="284"/>
      <c r="E1635" s="284"/>
      <c r="F1635" s="284"/>
      <c r="G1635" s="284"/>
      <c r="H1635" s="284"/>
      <c r="I1635" s="284"/>
      <c r="J1635" s="375"/>
      <c r="K1635" s="375"/>
      <c r="L1635" s="375"/>
      <c r="M1635" s="368"/>
      <c r="N1635" s="368"/>
      <c r="O1635" s="370"/>
      <c r="T1635" s="340"/>
      <c r="V1635" s="378"/>
      <c r="W1635" s="64" ph="1"/>
      <c r="X1635" s="241"/>
      <c r="Y1635" s="284"/>
      <c r="Z1635" s="207"/>
      <c r="AA1635" s="284"/>
      <c r="AB1635" s="284"/>
      <c r="AC1635" s="284"/>
      <c r="AD1635" s="284"/>
      <c r="AE1635" s="284"/>
      <c r="AF1635" s="284"/>
      <c r="AG1635" s="284"/>
      <c r="AI1635" s="131"/>
    </row>
    <row r="1636" spans="1:35" ht="26.4">
      <c r="A1636" s="284"/>
      <c r="B1636" s="284"/>
      <c r="C1636" s="284"/>
      <c r="D1636" s="284"/>
      <c r="E1636" s="284"/>
      <c r="F1636" s="284"/>
      <c r="G1636" s="284"/>
      <c r="H1636" s="284"/>
      <c r="I1636" s="284"/>
      <c r="J1636" s="375"/>
      <c r="K1636" s="375"/>
      <c r="L1636" s="375"/>
      <c r="M1636" s="368"/>
      <c r="N1636" s="368"/>
      <c r="O1636" s="370"/>
      <c r="T1636" s="340"/>
      <c r="V1636" s="378"/>
      <c r="W1636" s="64" ph="1"/>
      <c r="X1636" s="241"/>
      <c r="Y1636" s="284"/>
      <c r="Z1636" s="207"/>
      <c r="AA1636" s="284"/>
      <c r="AB1636" s="284"/>
      <c r="AC1636" s="284"/>
      <c r="AD1636" s="284"/>
      <c r="AE1636" s="284"/>
      <c r="AF1636" s="284"/>
      <c r="AG1636" s="284"/>
      <c r="AI1636" s="131"/>
    </row>
    <row r="1637" spans="1:35" ht="26.4">
      <c r="A1637" s="284"/>
      <c r="B1637" s="284"/>
      <c r="C1637" s="284"/>
      <c r="D1637" s="284"/>
      <c r="E1637" s="284"/>
      <c r="F1637" s="284"/>
      <c r="G1637" s="284"/>
      <c r="H1637" s="284"/>
      <c r="I1637" s="284"/>
      <c r="J1637" s="375"/>
      <c r="K1637" s="375"/>
      <c r="L1637" s="375"/>
      <c r="M1637" s="368"/>
      <c r="N1637" s="368"/>
      <c r="O1637" s="370"/>
      <c r="T1637" s="340"/>
      <c r="V1637" s="378"/>
      <c r="W1637" s="64" ph="1"/>
      <c r="X1637" s="241"/>
      <c r="Y1637" s="284"/>
      <c r="Z1637" s="207"/>
      <c r="AA1637" s="284"/>
      <c r="AB1637" s="284"/>
      <c r="AC1637" s="284"/>
      <c r="AD1637" s="284"/>
      <c r="AE1637" s="284"/>
      <c r="AF1637" s="284"/>
      <c r="AG1637" s="284"/>
      <c r="AI1637" s="284"/>
    </row>
    <row r="1638" spans="1:35" ht="26.4">
      <c r="A1638" s="284"/>
      <c r="B1638" s="284"/>
      <c r="C1638" s="284"/>
      <c r="D1638" s="284"/>
      <c r="E1638" s="284"/>
      <c r="F1638" s="284"/>
      <c r="G1638" s="284"/>
      <c r="H1638" s="284"/>
      <c r="I1638" s="284"/>
      <c r="J1638" s="375"/>
      <c r="K1638" s="375"/>
      <c r="L1638" s="375"/>
      <c r="M1638" s="368"/>
      <c r="N1638" s="368"/>
      <c r="O1638" s="370"/>
      <c r="T1638" s="340"/>
      <c r="V1638" s="378"/>
      <c r="W1638" s="64" ph="1"/>
      <c r="X1638" s="241"/>
      <c r="Y1638" s="284"/>
      <c r="Z1638" s="207"/>
      <c r="AA1638" s="284"/>
      <c r="AB1638" s="284"/>
      <c r="AC1638" s="284"/>
      <c r="AD1638" s="284"/>
      <c r="AE1638" s="284"/>
      <c r="AF1638" s="284"/>
      <c r="AG1638" s="284"/>
      <c r="AI1638" s="131"/>
    </row>
    <row r="1639" spans="1:35" ht="26.4">
      <c r="A1639" s="284"/>
      <c r="B1639" s="284"/>
      <c r="C1639" s="284"/>
      <c r="D1639" s="284"/>
      <c r="E1639" s="284"/>
      <c r="F1639" s="284"/>
      <c r="G1639" s="284"/>
      <c r="H1639" s="284"/>
      <c r="I1639" s="284"/>
      <c r="J1639" s="375"/>
      <c r="K1639" s="375"/>
      <c r="L1639" s="375"/>
      <c r="M1639" s="368"/>
      <c r="N1639" s="368"/>
      <c r="O1639" s="370"/>
      <c r="T1639" s="340"/>
      <c r="V1639" s="378"/>
      <c r="W1639" s="64" ph="1"/>
      <c r="X1639" s="241"/>
      <c r="Y1639" s="284"/>
      <c r="Z1639" s="207"/>
      <c r="AA1639" s="284"/>
      <c r="AB1639" s="284"/>
      <c r="AC1639" s="284"/>
      <c r="AD1639" s="284"/>
      <c r="AE1639" s="284"/>
      <c r="AF1639" s="284"/>
      <c r="AG1639" s="284"/>
      <c r="AI1639" s="131"/>
    </row>
    <row r="1640" spans="1:35" ht="26.4">
      <c r="A1640" s="284"/>
      <c r="B1640" s="284"/>
      <c r="C1640" s="284"/>
      <c r="D1640" s="284"/>
      <c r="E1640" s="284"/>
      <c r="F1640" s="284"/>
      <c r="G1640" s="284"/>
      <c r="H1640" s="284"/>
      <c r="I1640" s="284"/>
      <c r="J1640" s="375"/>
      <c r="K1640" s="375"/>
      <c r="L1640" s="375"/>
      <c r="M1640" s="368"/>
      <c r="N1640" s="368"/>
      <c r="O1640" s="370"/>
      <c r="T1640" s="340"/>
      <c r="V1640" s="378"/>
      <c r="W1640" s="64" ph="1"/>
      <c r="X1640" s="241"/>
      <c r="Y1640" s="284"/>
      <c r="Z1640" s="207"/>
      <c r="AA1640" s="284"/>
      <c r="AB1640" s="284"/>
      <c r="AC1640" s="284"/>
      <c r="AD1640" s="284"/>
      <c r="AE1640" s="284"/>
      <c r="AF1640" s="284"/>
      <c r="AG1640" s="284"/>
      <c r="AI1640" s="131"/>
    </row>
    <row r="1641" spans="1:35" ht="26.4">
      <c r="A1641" s="284"/>
      <c r="B1641" s="284"/>
      <c r="C1641" s="284"/>
      <c r="D1641" s="284"/>
      <c r="E1641" s="284"/>
      <c r="F1641" s="284"/>
      <c r="G1641" s="284"/>
      <c r="H1641" s="284"/>
      <c r="I1641" s="284"/>
      <c r="J1641" s="375"/>
      <c r="K1641" s="375"/>
      <c r="L1641" s="375"/>
      <c r="M1641" s="368"/>
      <c r="N1641" s="368"/>
      <c r="O1641" s="370"/>
      <c r="T1641" s="340"/>
      <c r="V1641" s="378"/>
      <c r="W1641" s="64" ph="1"/>
      <c r="X1641" s="241"/>
      <c r="Y1641" s="284"/>
      <c r="Z1641" s="207"/>
      <c r="AA1641" s="284"/>
      <c r="AB1641" s="284"/>
      <c r="AC1641" s="284"/>
      <c r="AD1641" s="284"/>
      <c r="AE1641" s="284"/>
      <c r="AF1641" s="284"/>
      <c r="AG1641" s="284"/>
      <c r="AI1641" s="284"/>
    </row>
    <row r="1642" spans="1:35" ht="26.4">
      <c r="A1642" s="284"/>
      <c r="B1642" s="284"/>
      <c r="C1642" s="284"/>
      <c r="D1642" s="284"/>
      <c r="E1642" s="284"/>
      <c r="F1642" s="284"/>
      <c r="G1642" s="284"/>
      <c r="H1642" s="284"/>
      <c r="I1642" s="284"/>
      <c r="J1642" s="375"/>
      <c r="K1642" s="375"/>
      <c r="L1642" s="375"/>
      <c r="M1642" s="368"/>
      <c r="N1642" s="368"/>
      <c r="O1642" s="370"/>
      <c r="T1642" s="340"/>
      <c r="V1642" s="378"/>
      <c r="W1642" s="64" ph="1"/>
      <c r="X1642" s="241"/>
      <c r="Y1642" s="284"/>
      <c r="Z1642" s="207"/>
      <c r="AA1642" s="284"/>
      <c r="AB1642" s="284"/>
      <c r="AC1642" s="284"/>
      <c r="AD1642" s="284"/>
      <c r="AE1642" s="284"/>
      <c r="AF1642" s="284"/>
      <c r="AG1642" s="284"/>
      <c r="AI1642" s="131"/>
    </row>
    <row r="1643" spans="1:35" ht="26.4">
      <c r="A1643" s="284"/>
      <c r="B1643" s="284"/>
      <c r="C1643" s="284"/>
      <c r="D1643" s="284"/>
      <c r="E1643" s="284"/>
      <c r="F1643" s="284"/>
      <c r="G1643" s="284"/>
      <c r="H1643" s="284"/>
      <c r="I1643" s="284"/>
      <c r="J1643" s="375"/>
      <c r="K1643" s="375"/>
      <c r="L1643" s="375"/>
      <c r="M1643" s="368"/>
      <c r="N1643" s="368"/>
      <c r="O1643" s="370"/>
      <c r="T1643" s="340"/>
      <c r="V1643" s="378"/>
      <c r="W1643" s="64" ph="1"/>
      <c r="X1643" s="241"/>
      <c r="Y1643" s="284"/>
      <c r="Z1643" s="207"/>
      <c r="AA1643" s="284"/>
      <c r="AB1643" s="284"/>
      <c r="AC1643" s="284"/>
      <c r="AD1643" s="284"/>
      <c r="AE1643" s="284"/>
      <c r="AF1643" s="284"/>
      <c r="AG1643" s="284"/>
      <c r="AI1643" s="131"/>
    </row>
    <row r="1644" spans="1:35" ht="26.4">
      <c r="A1644" s="284"/>
      <c r="B1644" s="284"/>
      <c r="C1644" s="284"/>
      <c r="D1644" s="284"/>
      <c r="E1644" s="284"/>
      <c r="F1644" s="284"/>
      <c r="G1644" s="284"/>
      <c r="H1644" s="284"/>
      <c r="I1644" s="284"/>
      <c r="J1644" s="375"/>
      <c r="K1644" s="375"/>
      <c r="L1644" s="375"/>
      <c r="M1644" s="368"/>
      <c r="N1644" s="368"/>
      <c r="O1644" s="370"/>
      <c r="T1644" s="340"/>
      <c r="V1644" s="378"/>
      <c r="W1644" s="64" ph="1"/>
      <c r="X1644" s="241"/>
      <c r="Y1644" s="284"/>
      <c r="Z1644" s="207"/>
      <c r="AA1644" s="284"/>
      <c r="AB1644" s="284"/>
      <c r="AC1644" s="284"/>
      <c r="AD1644" s="284"/>
      <c r="AE1644" s="284"/>
      <c r="AF1644" s="284"/>
      <c r="AG1644" s="284"/>
      <c r="AI1644" s="131"/>
    </row>
    <row r="1645" spans="1:35" ht="26.4">
      <c r="A1645" s="284"/>
      <c r="B1645" s="284"/>
      <c r="C1645" s="284"/>
      <c r="D1645" s="284"/>
      <c r="E1645" s="284"/>
      <c r="F1645" s="284"/>
      <c r="G1645" s="284"/>
      <c r="H1645" s="284"/>
      <c r="I1645" s="284"/>
      <c r="J1645" s="375"/>
      <c r="K1645" s="375"/>
      <c r="L1645" s="375"/>
      <c r="M1645" s="368"/>
      <c r="N1645" s="368"/>
      <c r="O1645" s="370"/>
      <c r="T1645" s="340"/>
      <c r="V1645" s="378"/>
      <c r="W1645" s="64" ph="1"/>
      <c r="X1645" s="241"/>
      <c r="Y1645" s="284"/>
      <c r="Z1645" s="207"/>
      <c r="AA1645" s="284"/>
      <c r="AB1645" s="284"/>
      <c r="AC1645" s="284"/>
      <c r="AD1645" s="284"/>
      <c r="AE1645" s="284"/>
      <c r="AF1645" s="284"/>
      <c r="AG1645" s="284"/>
      <c r="AI1645" s="131"/>
    </row>
    <row r="1646" spans="1:35" ht="26.4">
      <c r="A1646" s="284"/>
      <c r="B1646" s="284"/>
      <c r="C1646" s="284"/>
      <c r="D1646" s="284"/>
      <c r="E1646" s="284"/>
      <c r="F1646" s="284"/>
      <c r="G1646" s="284"/>
      <c r="H1646" s="284"/>
      <c r="I1646" s="284"/>
      <c r="J1646" s="375"/>
      <c r="K1646" s="375"/>
      <c r="L1646" s="375"/>
      <c r="M1646" s="368"/>
      <c r="N1646" s="368"/>
      <c r="O1646" s="370"/>
      <c r="T1646" s="340"/>
      <c r="V1646" s="378"/>
      <c r="W1646" s="64" ph="1"/>
      <c r="X1646" s="241"/>
      <c r="Y1646" s="284"/>
      <c r="Z1646" s="207"/>
      <c r="AA1646" s="284"/>
      <c r="AB1646" s="284"/>
      <c r="AC1646" s="284"/>
      <c r="AD1646" s="284"/>
      <c r="AE1646" s="284"/>
      <c r="AF1646" s="284"/>
      <c r="AG1646" s="284"/>
      <c r="AI1646" s="131"/>
    </row>
    <row r="1647" spans="1:35" ht="26.4">
      <c r="A1647" s="284"/>
      <c r="B1647" s="284"/>
      <c r="C1647" s="284"/>
      <c r="D1647" s="284"/>
      <c r="E1647" s="284"/>
      <c r="F1647" s="284"/>
      <c r="G1647" s="284"/>
      <c r="H1647" s="284"/>
      <c r="I1647" s="284"/>
      <c r="J1647" s="375"/>
      <c r="K1647" s="375"/>
      <c r="L1647" s="375"/>
      <c r="M1647" s="368"/>
      <c r="N1647" s="368"/>
      <c r="O1647" s="370"/>
      <c r="T1647" s="340"/>
      <c r="V1647" s="378"/>
      <c r="W1647" s="64" ph="1"/>
      <c r="X1647" s="241"/>
      <c r="Y1647" s="284"/>
      <c r="Z1647" s="207"/>
      <c r="AA1647" s="284"/>
      <c r="AB1647" s="284"/>
      <c r="AC1647" s="284"/>
      <c r="AD1647" s="284"/>
      <c r="AE1647" s="284"/>
      <c r="AF1647" s="284"/>
      <c r="AG1647" s="284"/>
      <c r="AI1647" s="131"/>
    </row>
    <row r="1648" spans="1:35" ht="26.4">
      <c r="A1648" s="284"/>
      <c r="B1648" s="284"/>
      <c r="C1648" s="284"/>
      <c r="D1648" s="284"/>
      <c r="E1648" s="284"/>
      <c r="F1648" s="284"/>
      <c r="G1648" s="284"/>
      <c r="H1648" s="284"/>
      <c r="I1648" s="284"/>
      <c r="J1648" s="375"/>
      <c r="K1648" s="375"/>
      <c r="L1648" s="375"/>
      <c r="M1648" s="368"/>
      <c r="N1648" s="368"/>
      <c r="O1648" s="370"/>
      <c r="T1648" s="340"/>
      <c r="V1648" s="378"/>
      <c r="W1648" s="64" ph="1"/>
      <c r="X1648" s="241"/>
      <c r="Y1648" s="284"/>
      <c r="Z1648" s="207"/>
      <c r="AA1648" s="284"/>
      <c r="AB1648" s="284"/>
      <c r="AC1648" s="284"/>
      <c r="AD1648" s="284"/>
      <c r="AE1648" s="284"/>
      <c r="AF1648" s="284"/>
      <c r="AG1648" s="284"/>
      <c r="AI1648" s="131"/>
    </row>
    <row r="1649" spans="1:35" ht="26.4">
      <c r="A1649" s="284"/>
      <c r="B1649" s="284"/>
      <c r="C1649" s="284"/>
      <c r="D1649" s="284"/>
      <c r="E1649" s="284"/>
      <c r="F1649" s="284"/>
      <c r="G1649" s="284"/>
      <c r="H1649" s="284"/>
      <c r="I1649" s="284"/>
      <c r="J1649" s="375"/>
      <c r="K1649" s="375"/>
      <c r="L1649" s="375"/>
      <c r="M1649" s="368"/>
      <c r="N1649" s="368"/>
      <c r="O1649" s="370"/>
      <c r="T1649" s="340"/>
      <c r="V1649" s="378"/>
      <c r="W1649" s="64" ph="1"/>
      <c r="X1649" s="241"/>
      <c r="Y1649" s="284"/>
      <c r="Z1649" s="207"/>
      <c r="AA1649" s="284"/>
      <c r="AB1649" s="284"/>
      <c r="AC1649" s="284"/>
      <c r="AD1649" s="284"/>
      <c r="AE1649" s="284"/>
      <c r="AF1649" s="284"/>
      <c r="AG1649" s="284"/>
      <c r="AI1649" s="131"/>
    </row>
    <row r="1650" spans="1:35" ht="26.4">
      <c r="A1650" s="284"/>
      <c r="B1650" s="284"/>
      <c r="C1650" s="284"/>
      <c r="D1650" s="284"/>
      <c r="E1650" s="284"/>
      <c r="F1650" s="284"/>
      <c r="G1650" s="284"/>
      <c r="H1650" s="284"/>
      <c r="I1650" s="284"/>
      <c r="J1650" s="375"/>
      <c r="K1650" s="375"/>
      <c r="L1650" s="375"/>
      <c r="M1650" s="368"/>
      <c r="N1650" s="368"/>
      <c r="O1650" s="370"/>
      <c r="T1650" s="340"/>
      <c r="V1650" s="378"/>
      <c r="W1650" s="64" ph="1"/>
      <c r="X1650" s="241"/>
      <c r="Y1650" s="284"/>
      <c r="Z1650" s="207"/>
      <c r="AA1650" s="284"/>
      <c r="AB1650" s="284"/>
      <c r="AC1650" s="284"/>
      <c r="AD1650" s="284"/>
      <c r="AE1650" s="284"/>
      <c r="AF1650" s="284"/>
      <c r="AG1650" s="284"/>
      <c r="AI1650" s="131"/>
    </row>
    <row r="1651" spans="1:35" ht="26.4">
      <c r="A1651" s="284"/>
      <c r="B1651" s="284"/>
      <c r="C1651" s="284"/>
      <c r="D1651" s="284"/>
      <c r="E1651" s="284"/>
      <c r="F1651" s="284"/>
      <c r="G1651" s="284"/>
      <c r="H1651" s="284"/>
      <c r="I1651" s="284"/>
      <c r="J1651" s="375"/>
      <c r="K1651" s="375"/>
      <c r="L1651" s="375"/>
      <c r="M1651" s="368"/>
      <c r="N1651" s="368"/>
      <c r="O1651" s="370"/>
      <c r="T1651" s="340"/>
      <c r="V1651" s="378"/>
      <c r="W1651" s="64" ph="1"/>
      <c r="X1651" s="241"/>
      <c r="Y1651" s="284"/>
      <c r="Z1651" s="207"/>
      <c r="AA1651" s="284"/>
      <c r="AB1651" s="284"/>
      <c r="AC1651" s="284"/>
      <c r="AD1651" s="284"/>
      <c r="AE1651" s="284"/>
      <c r="AF1651" s="284"/>
      <c r="AG1651" s="284"/>
      <c r="AI1651" s="131"/>
    </row>
    <row r="1652" spans="1:35" ht="26.4">
      <c r="A1652" s="284"/>
      <c r="B1652" s="284"/>
      <c r="C1652" s="284"/>
      <c r="D1652" s="284"/>
      <c r="E1652" s="284"/>
      <c r="F1652" s="284"/>
      <c r="G1652" s="284"/>
      <c r="H1652" s="284"/>
      <c r="I1652" s="284"/>
      <c r="J1652" s="375"/>
      <c r="K1652" s="375"/>
      <c r="L1652" s="375"/>
      <c r="M1652" s="368"/>
      <c r="N1652" s="368"/>
      <c r="O1652" s="370"/>
      <c r="T1652" s="340"/>
      <c r="V1652" s="378"/>
      <c r="W1652" s="64" ph="1"/>
      <c r="X1652" s="241"/>
      <c r="Y1652" s="284"/>
      <c r="Z1652" s="207"/>
      <c r="AA1652" s="284"/>
      <c r="AB1652" s="284"/>
      <c r="AC1652" s="284"/>
      <c r="AD1652" s="284"/>
      <c r="AE1652" s="284"/>
      <c r="AF1652" s="284"/>
      <c r="AG1652" s="284"/>
      <c r="AI1652" s="131"/>
    </row>
    <row r="1653" spans="1:35" ht="26.4">
      <c r="A1653" s="284"/>
      <c r="B1653" s="284"/>
      <c r="C1653" s="284"/>
      <c r="D1653" s="284"/>
      <c r="E1653" s="284"/>
      <c r="F1653" s="284"/>
      <c r="G1653" s="284"/>
      <c r="H1653" s="284"/>
      <c r="I1653" s="284"/>
      <c r="J1653" s="375"/>
      <c r="K1653" s="375"/>
      <c r="L1653" s="375"/>
      <c r="M1653" s="368"/>
      <c r="N1653" s="368"/>
      <c r="O1653" s="370"/>
      <c r="T1653" s="340"/>
      <c r="V1653" s="378"/>
      <c r="W1653" s="64" ph="1"/>
      <c r="X1653" s="241"/>
      <c r="Y1653" s="284"/>
      <c r="Z1653" s="207"/>
      <c r="AA1653" s="284"/>
      <c r="AB1653" s="284"/>
      <c r="AC1653" s="284"/>
      <c r="AD1653" s="284"/>
      <c r="AE1653" s="284"/>
      <c r="AF1653" s="284"/>
      <c r="AG1653" s="284"/>
      <c r="AI1653" s="131"/>
    </row>
    <row r="1654" spans="1:35" ht="26.4">
      <c r="A1654" s="284"/>
      <c r="B1654" s="284"/>
      <c r="C1654" s="284"/>
      <c r="D1654" s="284"/>
      <c r="E1654" s="284"/>
      <c r="F1654" s="284"/>
      <c r="G1654" s="284"/>
      <c r="H1654" s="284"/>
      <c r="I1654" s="284"/>
      <c r="J1654" s="375"/>
      <c r="K1654" s="375"/>
      <c r="L1654" s="375"/>
      <c r="M1654" s="368"/>
      <c r="N1654" s="368"/>
      <c r="O1654" s="370"/>
      <c r="T1654" s="340"/>
      <c r="V1654" s="378"/>
      <c r="W1654" s="64" ph="1"/>
      <c r="X1654" s="241"/>
      <c r="Y1654" s="284"/>
      <c r="Z1654" s="207"/>
      <c r="AA1654" s="284"/>
      <c r="AB1654" s="284"/>
      <c r="AC1654" s="284"/>
      <c r="AD1654" s="284"/>
      <c r="AE1654" s="284"/>
      <c r="AF1654" s="284"/>
      <c r="AG1654" s="284"/>
      <c r="AI1654" s="131"/>
    </row>
    <row r="1655" spans="1:35" ht="26.4">
      <c r="A1655" s="284"/>
      <c r="B1655" s="284"/>
      <c r="C1655" s="284"/>
      <c r="D1655" s="284"/>
      <c r="E1655" s="284"/>
      <c r="F1655" s="284"/>
      <c r="G1655" s="284"/>
      <c r="H1655" s="284"/>
      <c r="I1655" s="284"/>
      <c r="J1655" s="375"/>
      <c r="K1655" s="375"/>
      <c r="L1655" s="375"/>
      <c r="M1655" s="368"/>
      <c r="N1655" s="368"/>
      <c r="O1655" s="370"/>
      <c r="T1655" s="340"/>
      <c r="V1655" s="378"/>
      <c r="W1655" s="64" ph="1"/>
      <c r="X1655" s="241"/>
      <c r="Y1655" s="284"/>
      <c r="Z1655" s="207"/>
      <c r="AA1655" s="284"/>
      <c r="AB1655" s="284"/>
      <c r="AC1655" s="284"/>
      <c r="AD1655" s="284"/>
      <c r="AE1655" s="284"/>
      <c r="AF1655" s="284"/>
      <c r="AG1655" s="284"/>
      <c r="AI1655" s="131"/>
    </row>
    <row r="1656" spans="1:35" ht="26.4">
      <c r="A1656" s="284"/>
      <c r="B1656" s="284"/>
      <c r="C1656" s="284"/>
      <c r="D1656" s="284"/>
      <c r="E1656" s="284"/>
      <c r="F1656" s="284"/>
      <c r="G1656" s="284"/>
      <c r="H1656" s="284"/>
      <c r="I1656" s="284"/>
      <c r="J1656" s="375"/>
      <c r="K1656" s="375"/>
      <c r="L1656" s="375"/>
      <c r="M1656" s="368"/>
      <c r="N1656" s="368"/>
      <c r="O1656" s="370"/>
      <c r="T1656" s="340"/>
      <c r="V1656" s="378"/>
      <c r="W1656" s="64" ph="1"/>
      <c r="X1656" s="241"/>
      <c r="Y1656" s="284"/>
      <c r="Z1656" s="207"/>
      <c r="AA1656" s="284"/>
      <c r="AB1656" s="284"/>
      <c r="AC1656" s="284"/>
      <c r="AD1656" s="284"/>
      <c r="AE1656" s="284"/>
      <c r="AF1656" s="284"/>
      <c r="AG1656" s="284"/>
      <c r="AI1656" s="131"/>
    </row>
    <row r="1657" spans="1:35" ht="26.4">
      <c r="A1657" s="284"/>
      <c r="B1657" s="284"/>
      <c r="C1657" s="284"/>
      <c r="D1657" s="284"/>
      <c r="E1657" s="284"/>
      <c r="F1657" s="284"/>
      <c r="G1657" s="284"/>
      <c r="H1657" s="284"/>
      <c r="I1657" s="284"/>
      <c r="J1657" s="375"/>
      <c r="K1657" s="375"/>
      <c r="L1657" s="375"/>
      <c r="M1657" s="368"/>
      <c r="N1657" s="368"/>
      <c r="O1657" s="370"/>
      <c r="T1657" s="340"/>
      <c r="V1657" s="378"/>
      <c r="W1657" s="64" ph="1"/>
      <c r="X1657" s="241"/>
      <c r="Y1657" s="284"/>
      <c r="Z1657" s="207"/>
      <c r="AA1657" s="284"/>
      <c r="AB1657" s="284"/>
      <c r="AC1657" s="284"/>
      <c r="AD1657" s="284"/>
      <c r="AE1657" s="284"/>
      <c r="AF1657" s="284"/>
      <c r="AG1657" s="284"/>
      <c r="AI1657" s="131"/>
    </row>
    <row r="1658" spans="1:35" ht="26.4">
      <c r="A1658" s="284"/>
      <c r="B1658" s="284"/>
      <c r="C1658" s="284"/>
      <c r="D1658" s="284"/>
      <c r="E1658" s="284"/>
      <c r="F1658" s="284"/>
      <c r="G1658" s="284"/>
      <c r="H1658" s="284"/>
      <c r="I1658" s="284"/>
      <c r="J1658" s="375"/>
      <c r="K1658" s="375"/>
      <c r="L1658" s="375"/>
      <c r="M1658" s="368"/>
      <c r="N1658" s="368"/>
      <c r="O1658" s="370"/>
      <c r="T1658" s="340"/>
      <c r="V1658" s="378"/>
      <c r="W1658" s="64" ph="1"/>
      <c r="X1658" s="241"/>
      <c r="Y1658" s="284"/>
      <c r="Z1658" s="207"/>
      <c r="AA1658" s="284"/>
      <c r="AB1658" s="284"/>
      <c r="AC1658" s="284"/>
      <c r="AD1658" s="284"/>
      <c r="AE1658" s="284"/>
      <c r="AF1658" s="284"/>
      <c r="AG1658" s="284"/>
      <c r="AI1658" s="131"/>
    </row>
    <row r="1659" spans="1:35" ht="26.4">
      <c r="A1659" s="284"/>
      <c r="B1659" s="284"/>
      <c r="C1659" s="284"/>
      <c r="D1659" s="284"/>
      <c r="E1659" s="284"/>
      <c r="F1659" s="284"/>
      <c r="G1659" s="284"/>
      <c r="H1659" s="284"/>
      <c r="I1659" s="284"/>
      <c r="J1659" s="375"/>
      <c r="K1659" s="375"/>
      <c r="L1659" s="375"/>
      <c r="M1659" s="368"/>
      <c r="N1659" s="368"/>
      <c r="O1659" s="370"/>
      <c r="T1659" s="340"/>
      <c r="V1659" s="378"/>
      <c r="W1659" s="64" ph="1"/>
      <c r="X1659" s="241"/>
      <c r="Y1659" s="284"/>
      <c r="Z1659" s="207"/>
      <c r="AA1659" s="284"/>
      <c r="AB1659" s="284"/>
      <c r="AC1659" s="284"/>
      <c r="AD1659" s="284"/>
      <c r="AE1659" s="284"/>
      <c r="AF1659" s="284"/>
      <c r="AG1659" s="284"/>
      <c r="AI1659" s="131"/>
    </row>
    <row r="1660" spans="1:35" ht="26.4">
      <c r="A1660" s="284"/>
      <c r="B1660" s="284"/>
      <c r="C1660" s="284"/>
      <c r="D1660" s="284"/>
      <c r="E1660" s="284"/>
      <c r="F1660" s="284"/>
      <c r="G1660" s="284"/>
      <c r="H1660" s="284"/>
      <c r="I1660" s="284"/>
      <c r="J1660" s="375"/>
      <c r="K1660" s="375"/>
      <c r="L1660" s="375"/>
      <c r="M1660" s="368"/>
      <c r="N1660" s="368"/>
      <c r="O1660" s="370"/>
      <c r="T1660" s="340"/>
      <c r="V1660" s="378"/>
      <c r="W1660" s="64" ph="1"/>
      <c r="X1660" s="241"/>
      <c r="Y1660" s="284"/>
      <c r="Z1660" s="207"/>
      <c r="AA1660" s="284"/>
      <c r="AB1660" s="284"/>
      <c r="AC1660" s="284"/>
      <c r="AD1660" s="284"/>
      <c r="AE1660" s="284"/>
      <c r="AF1660" s="284"/>
      <c r="AG1660" s="284"/>
      <c r="AI1660" s="131"/>
    </row>
    <row r="1661" spans="1:35" ht="26.4">
      <c r="A1661" s="284"/>
      <c r="B1661" s="284"/>
      <c r="C1661" s="284"/>
      <c r="D1661" s="284"/>
      <c r="E1661" s="284"/>
      <c r="F1661" s="284"/>
      <c r="G1661" s="284"/>
      <c r="H1661" s="284"/>
      <c r="I1661" s="284"/>
      <c r="J1661" s="375"/>
      <c r="K1661" s="375"/>
      <c r="L1661" s="375"/>
      <c r="M1661" s="368"/>
      <c r="N1661" s="368"/>
      <c r="O1661" s="370"/>
      <c r="T1661" s="340"/>
      <c r="V1661" s="378"/>
      <c r="W1661" s="64" ph="1"/>
      <c r="X1661" s="241"/>
      <c r="Y1661" s="284"/>
      <c r="Z1661" s="207"/>
      <c r="AA1661" s="284"/>
      <c r="AB1661" s="284"/>
      <c r="AC1661" s="284"/>
      <c r="AD1661" s="284"/>
      <c r="AE1661" s="284"/>
      <c r="AF1661" s="284"/>
      <c r="AG1661" s="284"/>
      <c r="AI1661" s="131"/>
    </row>
    <row r="1662" spans="1:35" ht="26.4">
      <c r="A1662" s="284"/>
      <c r="B1662" s="284"/>
      <c r="C1662" s="284"/>
      <c r="D1662" s="284"/>
      <c r="E1662" s="284"/>
      <c r="F1662" s="284"/>
      <c r="G1662" s="284"/>
      <c r="H1662" s="284"/>
      <c r="I1662" s="284"/>
      <c r="J1662" s="375"/>
      <c r="K1662" s="375"/>
      <c r="L1662" s="375"/>
      <c r="M1662" s="368"/>
      <c r="N1662" s="368"/>
      <c r="O1662" s="370"/>
      <c r="T1662" s="340"/>
      <c r="V1662" s="378"/>
      <c r="W1662" s="64" ph="1"/>
      <c r="X1662" s="241"/>
      <c r="Y1662" s="284"/>
      <c r="Z1662" s="207"/>
      <c r="AA1662" s="284"/>
      <c r="AB1662" s="284"/>
      <c r="AC1662" s="284"/>
      <c r="AD1662" s="284"/>
      <c r="AE1662" s="284"/>
      <c r="AF1662" s="284"/>
      <c r="AG1662" s="284"/>
      <c r="AI1662" s="131"/>
    </row>
    <row r="1663" spans="1:35" ht="26.4">
      <c r="A1663" s="284"/>
      <c r="B1663" s="284"/>
      <c r="C1663" s="284"/>
      <c r="D1663" s="284"/>
      <c r="E1663" s="284"/>
      <c r="F1663" s="284"/>
      <c r="G1663" s="284"/>
      <c r="H1663" s="284"/>
      <c r="I1663" s="284"/>
      <c r="J1663" s="375"/>
      <c r="K1663" s="375"/>
      <c r="L1663" s="375"/>
      <c r="M1663" s="368"/>
      <c r="N1663" s="368"/>
      <c r="O1663" s="370"/>
      <c r="T1663" s="340"/>
      <c r="V1663" s="378"/>
      <c r="W1663" s="64" ph="1"/>
      <c r="X1663" s="241"/>
      <c r="Y1663" s="284"/>
      <c r="Z1663" s="207"/>
      <c r="AA1663" s="284"/>
      <c r="AB1663" s="284"/>
      <c r="AC1663" s="284"/>
      <c r="AD1663" s="284"/>
      <c r="AE1663" s="284"/>
      <c r="AF1663" s="284"/>
      <c r="AG1663" s="284"/>
    </row>
    <row r="1664" spans="1:35" ht="26.4">
      <c r="A1664" s="284"/>
      <c r="B1664" s="284"/>
      <c r="C1664" s="284"/>
      <c r="D1664" s="284"/>
      <c r="E1664" s="284"/>
      <c r="F1664" s="284"/>
      <c r="G1664" s="284"/>
      <c r="H1664" s="284"/>
      <c r="I1664" s="284"/>
      <c r="J1664" s="375"/>
      <c r="K1664" s="375"/>
      <c r="L1664" s="375"/>
      <c r="M1664" s="368"/>
      <c r="N1664" s="368"/>
      <c r="O1664" s="370"/>
      <c r="T1664" s="340"/>
      <c r="V1664" s="378"/>
      <c r="W1664" s="64" ph="1"/>
      <c r="X1664" s="241"/>
      <c r="Y1664" s="284"/>
      <c r="Z1664" s="207"/>
      <c r="AA1664" s="284"/>
      <c r="AB1664" s="284"/>
      <c r="AC1664" s="284"/>
      <c r="AD1664" s="284"/>
      <c r="AE1664" s="284"/>
      <c r="AF1664" s="284"/>
      <c r="AG1664" s="284"/>
      <c r="AI1664" s="131"/>
    </row>
    <row r="1665" spans="1:35" ht="26.4">
      <c r="A1665" s="284"/>
      <c r="B1665" s="284"/>
      <c r="C1665" s="284"/>
      <c r="D1665" s="284"/>
      <c r="E1665" s="284"/>
      <c r="F1665" s="284"/>
      <c r="G1665" s="284"/>
      <c r="H1665" s="284"/>
      <c r="I1665" s="284"/>
      <c r="J1665" s="375"/>
      <c r="K1665" s="375"/>
      <c r="L1665" s="375"/>
      <c r="M1665" s="368"/>
      <c r="N1665" s="368"/>
      <c r="O1665" s="370"/>
      <c r="T1665" s="340"/>
      <c r="V1665" s="378"/>
      <c r="W1665" s="64" ph="1"/>
      <c r="X1665" s="241"/>
      <c r="Y1665" s="284"/>
      <c r="Z1665" s="207"/>
      <c r="AA1665" s="284"/>
      <c r="AB1665" s="284"/>
      <c r="AC1665" s="284"/>
      <c r="AD1665" s="284"/>
      <c r="AE1665" s="284"/>
      <c r="AF1665" s="284"/>
      <c r="AG1665" s="284"/>
      <c r="AI1665" s="131"/>
    </row>
    <row r="1666" spans="1:35" ht="26.4">
      <c r="A1666" s="284"/>
      <c r="B1666" s="284"/>
      <c r="C1666" s="284"/>
      <c r="D1666" s="284"/>
      <c r="E1666" s="284"/>
      <c r="F1666" s="284"/>
      <c r="G1666" s="284"/>
      <c r="H1666" s="284"/>
      <c r="I1666" s="284"/>
      <c r="J1666" s="375"/>
      <c r="K1666" s="375"/>
      <c r="L1666" s="375"/>
      <c r="M1666" s="368"/>
      <c r="N1666" s="368"/>
      <c r="O1666" s="370"/>
      <c r="T1666" s="340"/>
      <c r="V1666" s="378"/>
      <c r="W1666" s="64" ph="1"/>
      <c r="X1666" s="241"/>
      <c r="Y1666" s="284"/>
      <c r="Z1666" s="207"/>
      <c r="AA1666" s="284"/>
      <c r="AB1666" s="284"/>
      <c r="AC1666" s="284"/>
      <c r="AD1666" s="284"/>
      <c r="AE1666" s="284"/>
      <c r="AF1666" s="284"/>
      <c r="AG1666" s="284"/>
      <c r="AI1666" s="131"/>
    </row>
    <row r="1667" spans="1:35" ht="26.4">
      <c r="A1667" s="284"/>
      <c r="B1667" s="284"/>
      <c r="C1667" s="284"/>
      <c r="D1667" s="284"/>
      <c r="E1667" s="284"/>
      <c r="F1667" s="284"/>
      <c r="G1667" s="284"/>
      <c r="H1667" s="284"/>
      <c r="I1667" s="284"/>
      <c r="J1667" s="375"/>
      <c r="K1667" s="375"/>
      <c r="L1667" s="375"/>
      <c r="M1667" s="368"/>
      <c r="N1667" s="368"/>
      <c r="O1667" s="370"/>
      <c r="T1667" s="340"/>
      <c r="V1667" s="378"/>
      <c r="W1667" s="64" ph="1"/>
      <c r="X1667" s="241"/>
      <c r="Y1667" s="284"/>
      <c r="Z1667" s="207"/>
      <c r="AA1667" s="284"/>
      <c r="AB1667" s="284"/>
      <c r="AC1667" s="284"/>
      <c r="AD1667" s="284"/>
      <c r="AE1667" s="284"/>
      <c r="AF1667" s="284"/>
      <c r="AG1667" s="284"/>
      <c r="AI1667" s="131"/>
    </row>
    <row r="1668" spans="1:35" ht="26.4">
      <c r="A1668" s="284"/>
      <c r="B1668" s="284"/>
      <c r="C1668" s="284"/>
      <c r="D1668" s="284"/>
      <c r="E1668" s="284"/>
      <c r="F1668" s="284"/>
      <c r="G1668" s="284"/>
      <c r="H1668" s="284"/>
      <c r="I1668" s="284"/>
      <c r="J1668" s="375"/>
      <c r="K1668" s="375"/>
      <c r="L1668" s="375"/>
      <c r="M1668" s="368"/>
      <c r="N1668" s="368"/>
      <c r="O1668" s="370"/>
      <c r="T1668" s="340"/>
      <c r="V1668" s="378"/>
      <c r="W1668" s="64" ph="1"/>
      <c r="X1668" s="241"/>
      <c r="Y1668" s="284"/>
      <c r="Z1668" s="207"/>
      <c r="AA1668" s="284"/>
      <c r="AB1668" s="284"/>
      <c r="AC1668" s="284"/>
      <c r="AD1668" s="284"/>
      <c r="AE1668" s="284"/>
      <c r="AF1668" s="284"/>
      <c r="AG1668" s="284"/>
      <c r="AI1668" s="131"/>
    </row>
    <row r="1669" spans="1:35" ht="26.4">
      <c r="A1669" s="284"/>
      <c r="B1669" s="284"/>
      <c r="C1669" s="284"/>
      <c r="D1669" s="284"/>
      <c r="E1669" s="284"/>
      <c r="F1669" s="284"/>
      <c r="G1669" s="284"/>
      <c r="H1669" s="284"/>
      <c r="I1669" s="284"/>
      <c r="J1669" s="375"/>
      <c r="K1669" s="375"/>
      <c r="L1669" s="375"/>
      <c r="M1669" s="368"/>
      <c r="N1669" s="368"/>
      <c r="O1669" s="370"/>
      <c r="T1669" s="340"/>
      <c r="V1669" s="378"/>
      <c r="W1669" s="64" ph="1"/>
      <c r="X1669" s="241"/>
      <c r="Y1669" s="284"/>
      <c r="Z1669" s="207"/>
      <c r="AA1669" s="284"/>
      <c r="AB1669" s="284"/>
      <c r="AC1669" s="284"/>
      <c r="AD1669" s="284"/>
      <c r="AE1669" s="284"/>
      <c r="AF1669" s="284"/>
      <c r="AG1669" s="284"/>
      <c r="AI1669" s="131"/>
    </row>
    <row r="1670" spans="1:35" ht="26.4">
      <c r="A1670" s="284"/>
      <c r="B1670" s="284"/>
      <c r="C1670" s="284"/>
      <c r="D1670" s="284"/>
      <c r="E1670" s="284"/>
      <c r="F1670" s="284"/>
      <c r="G1670" s="284"/>
      <c r="H1670" s="284"/>
      <c r="I1670" s="284"/>
      <c r="J1670" s="375"/>
      <c r="K1670" s="375"/>
      <c r="L1670" s="375"/>
      <c r="M1670" s="368"/>
      <c r="N1670" s="368"/>
      <c r="O1670" s="370"/>
      <c r="T1670" s="340"/>
      <c r="V1670" s="378"/>
      <c r="W1670" s="64" ph="1"/>
      <c r="X1670" s="241"/>
      <c r="Y1670" s="284"/>
      <c r="Z1670" s="207"/>
      <c r="AA1670" s="284"/>
      <c r="AB1670" s="284"/>
      <c r="AC1670" s="284"/>
      <c r="AD1670" s="284"/>
      <c r="AE1670" s="284"/>
      <c r="AF1670" s="284"/>
      <c r="AG1670" s="284"/>
      <c r="AI1670" s="131"/>
    </row>
    <row r="1671" spans="1:35" ht="26.4">
      <c r="A1671" s="284"/>
      <c r="B1671" s="284"/>
      <c r="C1671" s="284"/>
      <c r="D1671" s="284"/>
      <c r="E1671" s="284"/>
      <c r="F1671" s="284"/>
      <c r="G1671" s="284"/>
      <c r="H1671" s="284"/>
      <c r="I1671" s="284"/>
      <c r="J1671" s="375"/>
      <c r="K1671" s="375"/>
      <c r="L1671" s="375"/>
      <c r="M1671" s="368"/>
      <c r="N1671" s="368"/>
      <c r="O1671" s="370"/>
      <c r="T1671" s="340"/>
      <c r="V1671" s="378"/>
      <c r="W1671" s="64" ph="1"/>
      <c r="X1671" s="241"/>
      <c r="Y1671" s="284"/>
      <c r="Z1671" s="207"/>
      <c r="AA1671" s="284"/>
      <c r="AB1671" s="284"/>
      <c r="AC1671" s="284"/>
      <c r="AD1671" s="284"/>
      <c r="AE1671" s="284"/>
      <c r="AF1671" s="284"/>
      <c r="AG1671" s="284"/>
      <c r="AI1671" s="131"/>
    </row>
    <row r="1672" spans="1:35" ht="26.4">
      <c r="A1672" s="284"/>
      <c r="B1672" s="284"/>
      <c r="C1672" s="284"/>
      <c r="D1672" s="284"/>
      <c r="E1672" s="284"/>
      <c r="F1672" s="284"/>
      <c r="G1672" s="284"/>
      <c r="H1672" s="284"/>
      <c r="I1672" s="284"/>
      <c r="J1672" s="375"/>
      <c r="K1672" s="375"/>
      <c r="L1672" s="375"/>
      <c r="M1672" s="368"/>
      <c r="N1672" s="368"/>
      <c r="O1672" s="370"/>
      <c r="T1672" s="340"/>
      <c r="V1672" s="378"/>
      <c r="W1672" s="64" ph="1"/>
      <c r="X1672" s="241"/>
      <c r="Y1672" s="284"/>
      <c r="Z1672" s="207"/>
      <c r="AA1672" s="284"/>
      <c r="AB1672" s="284"/>
      <c r="AC1672" s="284"/>
      <c r="AD1672" s="284"/>
      <c r="AE1672" s="284"/>
      <c r="AF1672" s="284"/>
      <c r="AG1672" s="284"/>
      <c r="AI1672" s="131"/>
    </row>
    <row r="1673" spans="1:35" ht="26.4">
      <c r="A1673" s="284"/>
      <c r="B1673" s="284"/>
      <c r="C1673" s="284"/>
      <c r="D1673" s="284"/>
      <c r="E1673" s="284"/>
      <c r="F1673" s="284"/>
      <c r="G1673" s="284"/>
      <c r="H1673" s="284"/>
      <c r="I1673" s="284"/>
      <c r="J1673" s="375"/>
      <c r="K1673" s="375"/>
      <c r="L1673" s="375"/>
      <c r="M1673" s="368"/>
      <c r="N1673" s="368"/>
      <c r="O1673" s="370"/>
      <c r="T1673" s="340"/>
      <c r="V1673" s="378"/>
      <c r="W1673" s="64" ph="1"/>
      <c r="X1673" s="241"/>
      <c r="Y1673" s="284"/>
      <c r="Z1673" s="207"/>
      <c r="AA1673" s="284"/>
      <c r="AB1673" s="284"/>
      <c r="AC1673" s="284"/>
      <c r="AD1673" s="284"/>
      <c r="AE1673" s="284"/>
      <c r="AF1673" s="284"/>
      <c r="AG1673" s="284"/>
      <c r="AI1673" s="131"/>
    </row>
    <row r="1674" spans="1:35" ht="26.4">
      <c r="A1674" s="284"/>
      <c r="B1674" s="284"/>
      <c r="C1674" s="284"/>
      <c r="D1674" s="284"/>
      <c r="E1674" s="284"/>
      <c r="F1674" s="284"/>
      <c r="G1674" s="284"/>
      <c r="H1674" s="284"/>
      <c r="I1674" s="284"/>
      <c r="J1674" s="375"/>
      <c r="K1674" s="375"/>
      <c r="L1674" s="375"/>
      <c r="M1674" s="368"/>
      <c r="N1674" s="368"/>
      <c r="O1674" s="370"/>
      <c r="T1674" s="340"/>
      <c r="V1674" s="378"/>
      <c r="W1674" s="64" ph="1"/>
      <c r="X1674" s="241"/>
      <c r="Y1674" s="284"/>
      <c r="Z1674" s="207"/>
      <c r="AA1674" s="284"/>
      <c r="AB1674" s="284"/>
      <c r="AC1674" s="284"/>
      <c r="AD1674" s="284"/>
      <c r="AE1674" s="284"/>
      <c r="AF1674" s="284"/>
      <c r="AG1674" s="284"/>
      <c r="AI1674" s="131"/>
    </row>
    <row r="1675" spans="1:35" ht="26.4">
      <c r="A1675" s="284"/>
      <c r="B1675" s="284"/>
      <c r="C1675" s="284"/>
      <c r="D1675" s="284"/>
      <c r="E1675" s="284"/>
      <c r="F1675" s="284"/>
      <c r="G1675" s="284"/>
      <c r="H1675" s="284"/>
      <c r="I1675" s="284"/>
      <c r="J1675" s="375"/>
      <c r="K1675" s="375"/>
      <c r="L1675" s="375"/>
      <c r="M1675" s="368"/>
      <c r="N1675" s="368"/>
      <c r="O1675" s="370"/>
      <c r="T1675" s="340"/>
      <c r="V1675" s="378"/>
      <c r="W1675" s="64" ph="1"/>
      <c r="X1675" s="241"/>
      <c r="Y1675" s="284"/>
      <c r="Z1675" s="207"/>
      <c r="AA1675" s="284"/>
      <c r="AB1675" s="284"/>
      <c r="AC1675" s="284"/>
      <c r="AD1675" s="284"/>
      <c r="AE1675" s="284"/>
      <c r="AF1675" s="284"/>
      <c r="AG1675" s="284"/>
      <c r="AI1675" s="131"/>
    </row>
    <row r="1676" spans="1:35" ht="26.4">
      <c r="A1676" s="284"/>
      <c r="B1676" s="284"/>
      <c r="C1676" s="284"/>
      <c r="D1676" s="284"/>
      <c r="E1676" s="284"/>
      <c r="F1676" s="284"/>
      <c r="G1676" s="284"/>
      <c r="H1676" s="284"/>
      <c r="I1676" s="284"/>
      <c r="J1676" s="375"/>
      <c r="K1676" s="375"/>
      <c r="L1676" s="375"/>
      <c r="M1676" s="368"/>
      <c r="N1676" s="368"/>
      <c r="O1676" s="370"/>
      <c r="T1676" s="340"/>
      <c r="V1676" s="378"/>
      <c r="W1676" s="64" ph="1"/>
      <c r="X1676" s="241"/>
      <c r="Y1676" s="284"/>
      <c r="Z1676" s="207"/>
      <c r="AA1676" s="284"/>
      <c r="AB1676" s="284"/>
      <c r="AC1676" s="284"/>
      <c r="AD1676" s="284"/>
      <c r="AE1676" s="284"/>
      <c r="AF1676" s="284"/>
      <c r="AG1676" s="284"/>
      <c r="AI1676" s="131"/>
    </row>
    <row r="1677" spans="1:35" ht="26.4">
      <c r="A1677" s="284"/>
      <c r="B1677" s="284"/>
      <c r="C1677" s="284"/>
      <c r="D1677" s="284"/>
      <c r="E1677" s="284"/>
      <c r="F1677" s="284"/>
      <c r="G1677" s="284"/>
      <c r="H1677" s="284"/>
      <c r="I1677" s="284"/>
      <c r="J1677" s="375"/>
      <c r="K1677" s="375"/>
      <c r="L1677" s="375"/>
      <c r="M1677" s="368"/>
      <c r="N1677" s="368"/>
      <c r="O1677" s="370"/>
      <c r="T1677" s="340"/>
      <c r="V1677" s="378"/>
      <c r="W1677" s="64" ph="1"/>
      <c r="X1677" s="241"/>
      <c r="Y1677" s="284"/>
      <c r="Z1677" s="207"/>
      <c r="AA1677" s="284"/>
      <c r="AB1677" s="284"/>
      <c r="AC1677" s="284"/>
      <c r="AD1677" s="284"/>
      <c r="AE1677" s="284"/>
      <c r="AF1677" s="284"/>
      <c r="AG1677" s="284"/>
      <c r="AI1677" s="131"/>
    </row>
    <row r="1678" spans="1:35" ht="26.4">
      <c r="A1678" s="284"/>
      <c r="B1678" s="284"/>
      <c r="C1678" s="284"/>
      <c r="D1678" s="284"/>
      <c r="E1678" s="284"/>
      <c r="F1678" s="284"/>
      <c r="G1678" s="284"/>
      <c r="H1678" s="284"/>
      <c r="I1678" s="284"/>
      <c r="J1678" s="375"/>
      <c r="K1678" s="375"/>
      <c r="L1678" s="375"/>
      <c r="M1678" s="368"/>
      <c r="N1678" s="368"/>
      <c r="O1678" s="370"/>
      <c r="T1678" s="340"/>
      <c r="V1678" s="378"/>
      <c r="W1678" s="64" ph="1"/>
      <c r="X1678" s="241"/>
      <c r="Y1678" s="284"/>
      <c r="Z1678" s="207"/>
      <c r="AA1678" s="284"/>
      <c r="AB1678" s="284"/>
      <c r="AC1678" s="284"/>
      <c r="AD1678" s="284"/>
      <c r="AE1678" s="284"/>
      <c r="AF1678" s="284"/>
      <c r="AG1678" s="284"/>
      <c r="AI1678" s="131"/>
    </row>
    <row r="1679" spans="1:35" ht="26.4">
      <c r="A1679" s="284"/>
      <c r="B1679" s="284"/>
      <c r="C1679" s="284"/>
      <c r="D1679" s="284"/>
      <c r="E1679" s="284"/>
      <c r="F1679" s="284"/>
      <c r="G1679" s="284"/>
      <c r="H1679" s="284"/>
      <c r="I1679" s="284"/>
      <c r="J1679" s="375"/>
      <c r="K1679" s="375"/>
      <c r="L1679" s="375"/>
      <c r="M1679" s="368"/>
      <c r="N1679" s="368"/>
      <c r="O1679" s="370"/>
      <c r="T1679" s="340"/>
      <c r="V1679" s="378"/>
      <c r="W1679" s="64" ph="1"/>
      <c r="X1679" s="241"/>
      <c r="Y1679" s="284"/>
      <c r="Z1679" s="207"/>
      <c r="AA1679" s="284"/>
      <c r="AB1679" s="284"/>
      <c r="AC1679" s="284"/>
      <c r="AD1679" s="284"/>
      <c r="AE1679" s="284"/>
      <c r="AF1679" s="284"/>
      <c r="AG1679" s="284"/>
      <c r="AI1679" s="131"/>
    </row>
    <row r="1680" spans="1:35" ht="26.4">
      <c r="A1680" s="284"/>
      <c r="B1680" s="284"/>
      <c r="C1680" s="284"/>
      <c r="D1680" s="284"/>
      <c r="E1680" s="284"/>
      <c r="F1680" s="284"/>
      <c r="G1680" s="284"/>
      <c r="H1680" s="284"/>
      <c r="I1680" s="284"/>
      <c r="J1680" s="375"/>
      <c r="K1680" s="375"/>
      <c r="L1680" s="375"/>
      <c r="M1680" s="368"/>
      <c r="N1680" s="368"/>
      <c r="O1680" s="370"/>
      <c r="T1680" s="340"/>
      <c r="V1680" s="378"/>
      <c r="W1680" s="64" ph="1"/>
      <c r="X1680" s="241"/>
      <c r="Y1680" s="284"/>
      <c r="Z1680" s="207"/>
      <c r="AA1680" s="284"/>
      <c r="AB1680" s="284"/>
      <c r="AC1680" s="284"/>
      <c r="AD1680" s="284"/>
      <c r="AE1680" s="284"/>
      <c r="AF1680" s="284"/>
      <c r="AG1680" s="284"/>
      <c r="AI1680" s="131"/>
    </row>
    <row r="1681" spans="1:35" ht="26.4">
      <c r="A1681" s="284"/>
      <c r="B1681" s="284"/>
      <c r="C1681" s="284"/>
      <c r="D1681" s="284"/>
      <c r="E1681" s="284"/>
      <c r="F1681" s="284"/>
      <c r="G1681" s="284"/>
      <c r="H1681" s="284"/>
      <c r="I1681" s="284"/>
      <c r="J1681" s="375"/>
      <c r="K1681" s="375"/>
      <c r="L1681" s="375"/>
      <c r="M1681" s="368"/>
      <c r="N1681" s="368"/>
      <c r="O1681" s="370"/>
      <c r="T1681" s="340"/>
      <c r="V1681" s="378"/>
      <c r="W1681" s="64" ph="1"/>
      <c r="X1681" s="241"/>
      <c r="Y1681" s="284"/>
      <c r="Z1681" s="207"/>
      <c r="AA1681" s="284"/>
      <c r="AB1681" s="284"/>
      <c r="AC1681" s="284"/>
      <c r="AD1681" s="284"/>
      <c r="AE1681" s="284"/>
      <c r="AF1681" s="284"/>
      <c r="AG1681" s="284"/>
      <c r="AI1681" s="131"/>
    </row>
    <row r="1682" spans="1:35" ht="26.4">
      <c r="A1682" s="284"/>
      <c r="B1682" s="284"/>
      <c r="C1682" s="284"/>
      <c r="D1682" s="284"/>
      <c r="E1682" s="284"/>
      <c r="F1682" s="284"/>
      <c r="G1682" s="284"/>
      <c r="H1682" s="284"/>
      <c r="I1682" s="284"/>
      <c r="J1682" s="375"/>
      <c r="K1682" s="375"/>
      <c r="L1682" s="375"/>
      <c r="M1682" s="368"/>
      <c r="N1682" s="368"/>
      <c r="O1682" s="370"/>
      <c r="T1682" s="340"/>
      <c r="V1682" s="378"/>
      <c r="W1682" s="64" ph="1"/>
      <c r="X1682" s="241"/>
      <c r="Y1682" s="284"/>
      <c r="Z1682" s="207"/>
      <c r="AA1682" s="284"/>
      <c r="AB1682" s="284"/>
      <c r="AC1682" s="284"/>
      <c r="AD1682" s="284"/>
      <c r="AE1682" s="284"/>
      <c r="AF1682" s="284"/>
      <c r="AG1682" s="284"/>
      <c r="AI1682" s="131"/>
    </row>
    <row r="1683" spans="1:35" ht="26.4">
      <c r="A1683" s="284"/>
      <c r="B1683" s="284"/>
      <c r="C1683" s="284"/>
      <c r="D1683" s="284"/>
      <c r="E1683" s="284"/>
      <c r="F1683" s="284"/>
      <c r="G1683" s="284"/>
      <c r="H1683" s="284"/>
      <c r="I1683" s="284"/>
      <c r="J1683" s="375"/>
      <c r="K1683" s="375"/>
      <c r="L1683" s="375"/>
      <c r="M1683" s="368"/>
      <c r="N1683" s="368"/>
      <c r="O1683" s="370"/>
      <c r="T1683" s="340"/>
      <c r="V1683" s="378"/>
      <c r="W1683" s="64" ph="1"/>
      <c r="X1683" s="241"/>
      <c r="Y1683" s="284"/>
      <c r="Z1683" s="207"/>
      <c r="AA1683" s="284"/>
      <c r="AB1683" s="284"/>
      <c r="AC1683" s="284"/>
      <c r="AD1683" s="284"/>
      <c r="AE1683" s="284"/>
      <c r="AF1683" s="284"/>
      <c r="AG1683" s="284"/>
      <c r="AI1683" s="131"/>
    </row>
    <row r="1684" spans="1:35" ht="26.4">
      <c r="A1684" s="284"/>
      <c r="B1684" s="284"/>
      <c r="C1684" s="284"/>
      <c r="D1684" s="284"/>
      <c r="E1684" s="284"/>
      <c r="F1684" s="284"/>
      <c r="G1684" s="284"/>
      <c r="H1684" s="284"/>
      <c r="I1684" s="284"/>
      <c r="J1684" s="375"/>
      <c r="K1684" s="375"/>
      <c r="L1684" s="375"/>
      <c r="M1684" s="368"/>
      <c r="N1684" s="368"/>
      <c r="O1684" s="370"/>
      <c r="T1684" s="340"/>
      <c r="V1684" s="378"/>
      <c r="W1684" s="64" ph="1"/>
      <c r="X1684" s="241"/>
      <c r="Y1684" s="284"/>
      <c r="Z1684" s="207"/>
      <c r="AA1684" s="284"/>
      <c r="AB1684" s="284"/>
      <c r="AC1684" s="284"/>
      <c r="AD1684" s="284"/>
      <c r="AE1684" s="284"/>
      <c r="AF1684" s="284"/>
      <c r="AG1684" s="284"/>
      <c r="AI1684" s="131"/>
    </row>
    <row r="1685" spans="1:35" ht="26.4">
      <c r="A1685" s="284"/>
      <c r="B1685" s="284"/>
      <c r="C1685" s="284"/>
      <c r="D1685" s="284"/>
      <c r="E1685" s="284"/>
      <c r="F1685" s="284"/>
      <c r="G1685" s="284"/>
      <c r="H1685" s="284"/>
      <c r="I1685" s="284"/>
      <c r="J1685" s="375"/>
      <c r="K1685" s="375"/>
      <c r="L1685" s="375"/>
      <c r="M1685" s="368"/>
      <c r="N1685" s="368"/>
      <c r="O1685" s="370"/>
      <c r="T1685" s="340"/>
      <c r="V1685" s="378"/>
      <c r="W1685" s="64" ph="1"/>
      <c r="X1685" s="241"/>
      <c r="Y1685" s="284"/>
      <c r="Z1685" s="207"/>
      <c r="AA1685" s="284"/>
      <c r="AB1685" s="284"/>
      <c r="AC1685" s="284"/>
      <c r="AD1685" s="284"/>
      <c r="AE1685" s="284"/>
      <c r="AF1685" s="284"/>
      <c r="AG1685" s="284"/>
      <c r="AI1685" s="131"/>
    </row>
    <row r="1686" spans="1:35" ht="26.4">
      <c r="A1686" s="284"/>
      <c r="B1686" s="284"/>
      <c r="C1686" s="284"/>
      <c r="D1686" s="284"/>
      <c r="E1686" s="284"/>
      <c r="F1686" s="284"/>
      <c r="G1686" s="284"/>
      <c r="H1686" s="284"/>
      <c r="I1686" s="284"/>
      <c r="J1686" s="375"/>
      <c r="K1686" s="375"/>
      <c r="L1686" s="375"/>
      <c r="M1686" s="368"/>
      <c r="N1686" s="368"/>
      <c r="O1686" s="370"/>
      <c r="T1686" s="340"/>
      <c r="V1686" s="378"/>
      <c r="W1686" s="64" ph="1"/>
      <c r="X1686" s="241"/>
      <c r="Y1686" s="284"/>
      <c r="Z1686" s="207"/>
      <c r="AA1686" s="284"/>
      <c r="AB1686" s="284"/>
      <c r="AC1686" s="284"/>
      <c r="AD1686" s="284"/>
      <c r="AE1686" s="284"/>
      <c r="AF1686" s="284"/>
      <c r="AG1686" s="284"/>
      <c r="AI1686" s="131"/>
    </row>
    <row r="1687" spans="1:35" ht="26.4">
      <c r="A1687" s="284"/>
      <c r="B1687" s="284"/>
      <c r="C1687" s="284"/>
      <c r="D1687" s="284"/>
      <c r="E1687" s="284"/>
      <c r="F1687" s="284"/>
      <c r="G1687" s="284"/>
      <c r="H1687" s="284"/>
      <c r="I1687" s="284"/>
      <c r="J1687" s="375"/>
      <c r="K1687" s="375"/>
      <c r="L1687" s="375"/>
      <c r="M1687" s="368"/>
      <c r="N1687" s="368"/>
      <c r="O1687" s="370"/>
      <c r="T1687" s="340"/>
      <c r="V1687" s="378"/>
      <c r="W1687" s="64" ph="1"/>
      <c r="X1687" s="241"/>
      <c r="Y1687" s="284"/>
      <c r="Z1687" s="207"/>
      <c r="AA1687" s="284"/>
      <c r="AB1687" s="284"/>
      <c r="AC1687" s="284"/>
      <c r="AD1687" s="284"/>
      <c r="AE1687" s="284"/>
      <c r="AF1687" s="284"/>
      <c r="AG1687" s="284"/>
      <c r="AI1687" s="131"/>
    </row>
    <row r="1688" spans="1:35" ht="26.4">
      <c r="A1688" s="284"/>
      <c r="B1688" s="284"/>
      <c r="C1688" s="284"/>
      <c r="D1688" s="284"/>
      <c r="E1688" s="284"/>
      <c r="F1688" s="284"/>
      <c r="G1688" s="284"/>
      <c r="H1688" s="284"/>
      <c r="I1688" s="284"/>
      <c r="J1688" s="375"/>
      <c r="K1688" s="375"/>
      <c r="L1688" s="375"/>
      <c r="M1688" s="368"/>
      <c r="N1688" s="368"/>
      <c r="O1688" s="370"/>
      <c r="T1688" s="340"/>
      <c r="V1688" s="378"/>
      <c r="W1688" s="64" ph="1"/>
      <c r="X1688" s="241"/>
      <c r="Y1688" s="284"/>
      <c r="Z1688" s="207"/>
      <c r="AA1688" s="284"/>
      <c r="AB1688" s="284"/>
      <c r="AC1688" s="284"/>
      <c r="AD1688" s="284"/>
      <c r="AE1688" s="284"/>
      <c r="AF1688" s="284"/>
      <c r="AG1688" s="284"/>
      <c r="AI1688" s="131"/>
    </row>
    <row r="1689" spans="1:35" ht="26.4">
      <c r="A1689" s="284"/>
      <c r="B1689" s="284"/>
      <c r="C1689" s="284"/>
      <c r="D1689" s="284"/>
      <c r="E1689" s="284"/>
      <c r="F1689" s="284"/>
      <c r="G1689" s="284"/>
      <c r="H1689" s="284"/>
      <c r="I1689" s="284"/>
      <c r="J1689" s="375"/>
      <c r="K1689" s="375"/>
      <c r="L1689" s="375"/>
      <c r="M1689" s="368"/>
      <c r="N1689" s="368"/>
      <c r="O1689" s="370"/>
      <c r="T1689" s="340"/>
      <c r="V1689" s="378"/>
      <c r="W1689" s="64" ph="1"/>
      <c r="X1689" s="241"/>
      <c r="Y1689" s="284"/>
      <c r="Z1689" s="207"/>
      <c r="AA1689" s="284"/>
      <c r="AB1689" s="284"/>
      <c r="AC1689" s="284"/>
      <c r="AD1689" s="284"/>
      <c r="AE1689" s="284"/>
      <c r="AF1689" s="284"/>
      <c r="AG1689" s="284"/>
      <c r="AI1689" s="131"/>
    </row>
    <row r="1690" spans="1:35" ht="26.4">
      <c r="A1690" s="284"/>
      <c r="B1690" s="284"/>
      <c r="C1690" s="284"/>
      <c r="D1690" s="284"/>
      <c r="E1690" s="284"/>
      <c r="F1690" s="284"/>
      <c r="G1690" s="284"/>
      <c r="H1690" s="284"/>
      <c r="I1690" s="284"/>
      <c r="J1690" s="375"/>
      <c r="K1690" s="375"/>
      <c r="L1690" s="375"/>
      <c r="M1690" s="368"/>
      <c r="N1690" s="368"/>
      <c r="O1690" s="370"/>
      <c r="T1690" s="340"/>
      <c r="V1690" s="378"/>
      <c r="W1690" s="64" ph="1"/>
      <c r="X1690" s="241"/>
      <c r="Y1690" s="284"/>
      <c r="Z1690" s="207"/>
      <c r="AA1690" s="284"/>
      <c r="AB1690" s="284"/>
      <c r="AC1690" s="284"/>
      <c r="AD1690" s="284"/>
      <c r="AE1690" s="284"/>
      <c r="AF1690" s="284"/>
      <c r="AG1690" s="284"/>
      <c r="AI1690" s="131"/>
    </row>
    <row r="1691" spans="1:35" ht="26.4">
      <c r="A1691" s="284"/>
      <c r="B1691" s="284"/>
      <c r="C1691" s="284"/>
      <c r="D1691" s="284"/>
      <c r="E1691" s="284"/>
      <c r="F1691" s="284"/>
      <c r="G1691" s="284"/>
      <c r="H1691" s="284"/>
      <c r="I1691" s="284"/>
      <c r="J1691" s="375"/>
      <c r="K1691" s="375"/>
      <c r="L1691" s="375"/>
      <c r="M1691" s="368"/>
      <c r="N1691" s="368"/>
      <c r="O1691" s="370"/>
      <c r="T1691" s="340"/>
      <c r="V1691" s="378"/>
      <c r="W1691" s="64" ph="1"/>
      <c r="X1691" s="241"/>
      <c r="Y1691" s="284"/>
      <c r="Z1691" s="207"/>
      <c r="AA1691" s="284"/>
      <c r="AB1691" s="284"/>
      <c r="AC1691" s="284"/>
      <c r="AD1691" s="284"/>
      <c r="AE1691" s="284"/>
      <c r="AF1691" s="284"/>
      <c r="AG1691" s="284"/>
      <c r="AI1691" s="131"/>
    </row>
    <row r="1692" spans="1:35" ht="26.4">
      <c r="A1692" s="284"/>
      <c r="B1692" s="284"/>
      <c r="C1692" s="284"/>
      <c r="D1692" s="284"/>
      <c r="E1692" s="284"/>
      <c r="F1692" s="284"/>
      <c r="G1692" s="284"/>
      <c r="H1692" s="284"/>
      <c r="I1692" s="284"/>
      <c r="J1692" s="375"/>
      <c r="K1692" s="375"/>
      <c r="L1692" s="375"/>
      <c r="M1692" s="368"/>
      <c r="N1692" s="368"/>
      <c r="O1692" s="370"/>
      <c r="T1692" s="340"/>
      <c r="V1692" s="378"/>
      <c r="W1692" s="64" ph="1"/>
      <c r="X1692" s="241"/>
      <c r="Y1692" s="284"/>
      <c r="Z1692" s="207"/>
      <c r="AA1692" s="284"/>
      <c r="AB1692" s="284"/>
      <c r="AC1692" s="284"/>
      <c r="AD1692" s="284"/>
      <c r="AE1692" s="284"/>
      <c r="AF1692" s="284"/>
      <c r="AG1692" s="284"/>
      <c r="AI1692" s="131"/>
    </row>
    <row r="1693" spans="1:35" ht="26.4">
      <c r="A1693" s="284"/>
      <c r="B1693" s="284"/>
      <c r="C1693" s="284"/>
      <c r="D1693" s="284"/>
      <c r="E1693" s="284"/>
      <c r="F1693" s="284"/>
      <c r="G1693" s="284"/>
      <c r="H1693" s="284"/>
      <c r="I1693" s="284"/>
      <c r="J1693" s="375"/>
      <c r="K1693" s="375"/>
      <c r="L1693" s="375"/>
      <c r="M1693" s="368"/>
      <c r="N1693" s="368"/>
      <c r="O1693" s="370"/>
      <c r="T1693" s="340"/>
      <c r="V1693" s="378"/>
      <c r="W1693" s="64" ph="1"/>
      <c r="X1693" s="241"/>
      <c r="Y1693" s="284"/>
      <c r="Z1693" s="207"/>
      <c r="AA1693" s="284"/>
      <c r="AB1693" s="284"/>
      <c r="AC1693" s="284"/>
      <c r="AD1693" s="284"/>
      <c r="AE1693" s="284"/>
      <c r="AF1693" s="284"/>
      <c r="AG1693" s="284"/>
      <c r="AI1693" s="131"/>
    </row>
    <row r="1694" spans="1:35" ht="26.4">
      <c r="A1694" s="284"/>
      <c r="B1694" s="284"/>
      <c r="C1694" s="284"/>
      <c r="D1694" s="284"/>
      <c r="E1694" s="284"/>
      <c r="F1694" s="284"/>
      <c r="G1694" s="284"/>
      <c r="H1694" s="284"/>
      <c r="I1694" s="284"/>
      <c r="J1694" s="375"/>
      <c r="K1694" s="375"/>
      <c r="L1694" s="375"/>
      <c r="M1694" s="368"/>
      <c r="N1694" s="368"/>
      <c r="O1694" s="370"/>
      <c r="T1694" s="340"/>
      <c r="V1694" s="378"/>
      <c r="W1694" s="64" ph="1"/>
      <c r="X1694" s="241"/>
      <c r="Y1694" s="284"/>
      <c r="Z1694" s="207"/>
      <c r="AA1694" s="284"/>
      <c r="AB1694" s="284"/>
      <c r="AC1694" s="284"/>
      <c r="AD1694" s="284"/>
      <c r="AE1694" s="284"/>
      <c r="AF1694" s="284"/>
      <c r="AG1694" s="284"/>
      <c r="AI1694" s="131"/>
    </row>
    <row r="1695" spans="1:35" ht="26.4">
      <c r="A1695" s="284"/>
      <c r="B1695" s="284"/>
      <c r="C1695" s="284"/>
      <c r="D1695" s="284"/>
      <c r="E1695" s="284"/>
      <c r="F1695" s="284"/>
      <c r="G1695" s="284"/>
      <c r="H1695" s="284"/>
      <c r="I1695" s="284"/>
      <c r="J1695" s="375"/>
      <c r="K1695" s="375"/>
      <c r="L1695" s="375"/>
      <c r="M1695" s="368"/>
      <c r="N1695" s="368"/>
      <c r="O1695" s="370"/>
      <c r="T1695" s="340"/>
      <c r="V1695" s="378"/>
      <c r="W1695" s="64" ph="1"/>
      <c r="X1695" s="241"/>
      <c r="Y1695" s="284"/>
      <c r="Z1695" s="207"/>
      <c r="AA1695" s="284"/>
      <c r="AB1695" s="284"/>
      <c r="AC1695" s="284"/>
      <c r="AD1695" s="284"/>
      <c r="AE1695" s="284"/>
      <c r="AF1695" s="284"/>
      <c r="AG1695" s="284"/>
      <c r="AI1695" s="131"/>
    </row>
    <row r="1696" spans="1:35" ht="26.4">
      <c r="A1696" s="284"/>
      <c r="B1696" s="284"/>
      <c r="C1696" s="284"/>
      <c r="D1696" s="284"/>
      <c r="E1696" s="284"/>
      <c r="F1696" s="284"/>
      <c r="G1696" s="284"/>
      <c r="H1696" s="284"/>
      <c r="I1696" s="284"/>
      <c r="J1696" s="375"/>
      <c r="K1696" s="375"/>
      <c r="L1696" s="375"/>
      <c r="M1696" s="368"/>
      <c r="N1696" s="368"/>
      <c r="O1696" s="370"/>
      <c r="T1696" s="340"/>
      <c r="V1696" s="378"/>
      <c r="W1696" s="64" ph="1"/>
      <c r="X1696" s="241"/>
      <c r="Y1696" s="284"/>
      <c r="Z1696" s="207"/>
      <c r="AA1696" s="284"/>
      <c r="AB1696" s="284"/>
      <c r="AC1696" s="284"/>
      <c r="AD1696" s="284"/>
      <c r="AE1696" s="284"/>
      <c r="AF1696" s="284"/>
      <c r="AG1696" s="284"/>
      <c r="AI1696" s="131"/>
    </row>
    <row r="1697" spans="1:35" ht="26.4">
      <c r="A1697" s="284"/>
      <c r="B1697" s="284"/>
      <c r="C1697" s="284"/>
      <c r="D1697" s="284"/>
      <c r="E1697" s="284"/>
      <c r="F1697" s="284"/>
      <c r="G1697" s="284"/>
      <c r="H1697" s="284"/>
      <c r="I1697" s="284"/>
      <c r="J1697" s="375"/>
      <c r="K1697" s="375"/>
      <c r="L1697" s="375"/>
      <c r="M1697" s="368"/>
      <c r="N1697" s="368"/>
      <c r="O1697" s="370"/>
      <c r="T1697" s="340"/>
      <c r="V1697" s="378"/>
      <c r="W1697" s="64" ph="1"/>
      <c r="X1697" s="241"/>
      <c r="Y1697" s="284"/>
      <c r="Z1697" s="207"/>
      <c r="AA1697" s="284"/>
      <c r="AB1697" s="284"/>
      <c r="AC1697" s="284"/>
      <c r="AD1697" s="284"/>
      <c r="AE1697" s="284"/>
      <c r="AF1697" s="284"/>
      <c r="AG1697" s="284"/>
      <c r="AI1697" s="131"/>
    </row>
    <row r="1698" spans="1:35" ht="26.4">
      <c r="A1698" s="284"/>
      <c r="B1698" s="284"/>
      <c r="C1698" s="284"/>
      <c r="D1698" s="284"/>
      <c r="E1698" s="284"/>
      <c r="F1698" s="284"/>
      <c r="G1698" s="284"/>
      <c r="H1698" s="284"/>
      <c r="I1698" s="284"/>
      <c r="J1698" s="375"/>
      <c r="K1698" s="375"/>
      <c r="L1698" s="375"/>
      <c r="M1698" s="368"/>
      <c r="N1698" s="368"/>
      <c r="O1698" s="370"/>
      <c r="T1698" s="340"/>
      <c r="V1698" s="378"/>
      <c r="W1698" s="64" ph="1"/>
      <c r="X1698" s="241"/>
      <c r="Y1698" s="284"/>
      <c r="Z1698" s="207"/>
      <c r="AA1698" s="284"/>
      <c r="AB1698" s="284"/>
      <c r="AC1698" s="284"/>
      <c r="AD1698" s="284"/>
      <c r="AE1698" s="284"/>
      <c r="AF1698" s="284"/>
      <c r="AG1698" s="284"/>
      <c r="AI1698" s="131"/>
    </row>
    <row r="1699" spans="1:35" ht="26.4">
      <c r="A1699" s="284"/>
      <c r="B1699" s="284"/>
      <c r="C1699" s="284"/>
      <c r="D1699" s="284"/>
      <c r="E1699" s="284"/>
      <c r="F1699" s="284"/>
      <c r="G1699" s="284"/>
      <c r="H1699" s="284"/>
      <c r="I1699" s="284"/>
      <c r="J1699" s="375"/>
      <c r="K1699" s="375"/>
      <c r="L1699" s="375"/>
      <c r="M1699" s="368"/>
      <c r="N1699" s="368"/>
      <c r="O1699" s="370"/>
      <c r="T1699" s="340"/>
      <c r="V1699" s="378"/>
      <c r="W1699" s="64" ph="1"/>
      <c r="X1699" s="241"/>
      <c r="Y1699" s="284"/>
      <c r="Z1699" s="207"/>
      <c r="AA1699" s="284"/>
      <c r="AB1699" s="284"/>
      <c r="AC1699" s="284"/>
      <c r="AD1699" s="284"/>
      <c r="AE1699" s="284"/>
      <c r="AF1699" s="284"/>
      <c r="AG1699" s="284"/>
      <c r="AI1699" s="131"/>
    </row>
    <row r="1700" spans="1:35" ht="26.4">
      <c r="A1700" s="284"/>
      <c r="B1700" s="284"/>
      <c r="C1700" s="284"/>
      <c r="D1700" s="284"/>
      <c r="E1700" s="284"/>
      <c r="F1700" s="284"/>
      <c r="G1700" s="284"/>
      <c r="H1700" s="284"/>
      <c r="I1700" s="284"/>
      <c r="J1700" s="375"/>
      <c r="K1700" s="375"/>
      <c r="L1700" s="375"/>
      <c r="M1700" s="368"/>
      <c r="N1700" s="368"/>
      <c r="O1700" s="370"/>
      <c r="T1700" s="340"/>
      <c r="V1700" s="378"/>
      <c r="W1700" s="64" ph="1"/>
      <c r="X1700" s="241"/>
      <c r="Y1700" s="284"/>
      <c r="Z1700" s="207"/>
      <c r="AA1700" s="284"/>
      <c r="AB1700" s="284"/>
      <c r="AC1700" s="284"/>
      <c r="AD1700" s="284"/>
      <c r="AE1700" s="284"/>
      <c r="AF1700" s="284"/>
      <c r="AG1700" s="284"/>
      <c r="AI1700" s="131"/>
    </row>
    <row r="1701" spans="1:35" ht="26.4">
      <c r="A1701" s="284"/>
      <c r="B1701" s="284"/>
      <c r="C1701" s="284"/>
      <c r="D1701" s="284"/>
      <c r="E1701" s="284"/>
      <c r="F1701" s="284"/>
      <c r="G1701" s="284"/>
      <c r="H1701" s="284"/>
      <c r="I1701" s="284"/>
      <c r="J1701" s="375"/>
      <c r="K1701" s="375"/>
      <c r="L1701" s="375"/>
      <c r="M1701" s="368"/>
      <c r="N1701" s="368"/>
      <c r="O1701" s="370"/>
      <c r="T1701" s="340"/>
      <c r="V1701" s="378"/>
      <c r="W1701" s="64" ph="1"/>
      <c r="X1701" s="241"/>
      <c r="Y1701" s="284"/>
      <c r="Z1701" s="207"/>
      <c r="AA1701" s="284"/>
      <c r="AB1701" s="284"/>
      <c r="AC1701" s="284"/>
      <c r="AD1701" s="284"/>
      <c r="AE1701" s="284"/>
      <c r="AF1701" s="284"/>
      <c r="AG1701" s="284"/>
      <c r="AI1701" s="131"/>
    </row>
    <row r="1702" spans="1:35" ht="26.4">
      <c r="A1702" s="284"/>
      <c r="B1702" s="284"/>
      <c r="C1702" s="284"/>
      <c r="D1702" s="284"/>
      <c r="E1702" s="284"/>
      <c r="F1702" s="284"/>
      <c r="G1702" s="284"/>
      <c r="H1702" s="284"/>
      <c r="I1702" s="284"/>
      <c r="J1702" s="375"/>
      <c r="K1702" s="375"/>
      <c r="L1702" s="375"/>
      <c r="M1702" s="368"/>
      <c r="N1702" s="368"/>
      <c r="O1702" s="370"/>
      <c r="T1702" s="340"/>
      <c r="V1702" s="378"/>
      <c r="W1702" s="64" ph="1"/>
      <c r="X1702" s="241"/>
      <c r="Y1702" s="284"/>
      <c r="Z1702" s="207"/>
      <c r="AA1702" s="284"/>
      <c r="AB1702" s="284"/>
      <c r="AC1702" s="284"/>
      <c r="AD1702" s="284"/>
      <c r="AE1702" s="284"/>
      <c r="AF1702" s="284"/>
      <c r="AG1702" s="284"/>
      <c r="AI1702" s="131"/>
    </row>
    <row r="1703" spans="1:35" ht="26.4">
      <c r="A1703" s="284"/>
      <c r="B1703" s="284"/>
      <c r="C1703" s="284"/>
      <c r="D1703" s="284"/>
      <c r="E1703" s="284"/>
      <c r="F1703" s="284"/>
      <c r="G1703" s="284"/>
      <c r="H1703" s="284"/>
      <c r="I1703" s="284"/>
      <c r="J1703" s="375"/>
      <c r="K1703" s="375"/>
      <c r="L1703" s="375"/>
      <c r="M1703" s="368"/>
      <c r="N1703" s="368"/>
      <c r="O1703" s="370"/>
      <c r="T1703" s="340"/>
      <c r="V1703" s="378"/>
      <c r="W1703" s="64" ph="1"/>
      <c r="X1703" s="241"/>
      <c r="Y1703" s="284"/>
      <c r="Z1703" s="207"/>
      <c r="AA1703" s="284"/>
      <c r="AB1703" s="284"/>
      <c r="AC1703" s="284"/>
      <c r="AD1703" s="284"/>
      <c r="AE1703" s="284"/>
      <c r="AF1703" s="284"/>
      <c r="AG1703" s="284"/>
      <c r="AI1703" s="131"/>
    </row>
    <row r="1704" spans="1:35" ht="26.4">
      <c r="A1704" s="284"/>
      <c r="B1704" s="284"/>
      <c r="C1704" s="284"/>
      <c r="D1704" s="284"/>
      <c r="E1704" s="284"/>
      <c r="F1704" s="284"/>
      <c r="G1704" s="284"/>
      <c r="H1704" s="284"/>
      <c r="I1704" s="284"/>
      <c r="J1704" s="375"/>
      <c r="K1704" s="375"/>
      <c r="L1704" s="375"/>
      <c r="M1704" s="368"/>
      <c r="N1704" s="368"/>
      <c r="O1704" s="370"/>
      <c r="T1704" s="340"/>
      <c r="V1704" s="378"/>
      <c r="W1704" s="64" ph="1"/>
      <c r="X1704" s="241"/>
      <c r="Y1704" s="284"/>
      <c r="Z1704" s="207"/>
      <c r="AA1704" s="284"/>
      <c r="AB1704" s="284"/>
      <c r="AC1704" s="284"/>
      <c r="AD1704" s="284"/>
      <c r="AE1704" s="284"/>
      <c r="AF1704" s="284"/>
      <c r="AG1704" s="284"/>
      <c r="AI1704" s="131"/>
    </row>
    <row r="1705" spans="1:35" ht="26.4">
      <c r="A1705" s="284"/>
      <c r="B1705" s="284"/>
      <c r="C1705" s="284"/>
      <c r="D1705" s="284"/>
      <c r="E1705" s="284"/>
      <c r="F1705" s="284"/>
      <c r="G1705" s="284"/>
      <c r="H1705" s="284"/>
      <c r="I1705" s="284"/>
      <c r="J1705" s="375"/>
      <c r="K1705" s="375"/>
      <c r="L1705" s="375"/>
      <c r="M1705" s="368"/>
      <c r="N1705" s="368"/>
      <c r="O1705" s="370"/>
      <c r="T1705" s="340"/>
      <c r="V1705" s="378"/>
      <c r="W1705" s="64" ph="1"/>
      <c r="X1705" s="241"/>
      <c r="Y1705" s="284"/>
      <c r="Z1705" s="207"/>
      <c r="AA1705" s="284"/>
      <c r="AB1705" s="284"/>
      <c r="AC1705" s="284"/>
      <c r="AD1705" s="284"/>
      <c r="AE1705" s="284"/>
      <c r="AF1705" s="284"/>
      <c r="AG1705" s="284"/>
      <c r="AI1705" s="131"/>
    </row>
    <row r="1706" spans="1:35" ht="26.4">
      <c r="A1706" s="284"/>
      <c r="B1706" s="284"/>
      <c r="C1706" s="284"/>
      <c r="D1706" s="284"/>
      <c r="E1706" s="284"/>
      <c r="F1706" s="284"/>
      <c r="G1706" s="284"/>
      <c r="H1706" s="284"/>
      <c r="I1706" s="284"/>
      <c r="J1706" s="375"/>
      <c r="K1706" s="375"/>
      <c r="L1706" s="375"/>
      <c r="M1706" s="368"/>
      <c r="N1706" s="368"/>
      <c r="O1706" s="370"/>
      <c r="T1706" s="340"/>
      <c r="V1706" s="378"/>
      <c r="W1706" s="64" ph="1"/>
      <c r="X1706" s="241"/>
      <c r="Y1706" s="284"/>
      <c r="Z1706" s="207"/>
      <c r="AA1706" s="284"/>
      <c r="AB1706" s="284"/>
      <c r="AC1706" s="284"/>
      <c r="AD1706" s="284"/>
      <c r="AE1706" s="284"/>
      <c r="AF1706" s="284"/>
      <c r="AG1706" s="284"/>
      <c r="AI1706" s="131"/>
    </row>
    <row r="1707" spans="1:35" ht="26.4">
      <c r="A1707" s="284"/>
      <c r="B1707" s="284"/>
      <c r="C1707" s="284"/>
      <c r="D1707" s="284"/>
      <c r="E1707" s="284"/>
      <c r="F1707" s="284"/>
      <c r="G1707" s="284"/>
      <c r="H1707" s="284"/>
      <c r="I1707" s="284"/>
      <c r="J1707" s="375"/>
      <c r="K1707" s="375"/>
      <c r="L1707" s="375"/>
      <c r="M1707" s="368"/>
      <c r="N1707" s="368"/>
      <c r="O1707" s="370"/>
      <c r="T1707" s="340"/>
      <c r="V1707" s="378"/>
      <c r="W1707" s="64" ph="1"/>
      <c r="X1707" s="241"/>
      <c r="Y1707" s="284"/>
      <c r="Z1707" s="207"/>
      <c r="AA1707" s="284"/>
      <c r="AB1707" s="284"/>
      <c r="AC1707" s="284"/>
      <c r="AD1707" s="284"/>
      <c r="AE1707" s="284"/>
      <c r="AF1707" s="284"/>
      <c r="AG1707" s="284"/>
      <c r="AI1707" s="131"/>
    </row>
    <row r="1708" spans="1:35" ht="26.4">
      <c r="A1708" s="284"/>
      <c r="B1708" s="284"/>
      <c r="C1708" s="284"/>
      <c r="D1708" s="284"/>
      <c r="E1708" s="284"/>
      <c r="F1708" s="284"/>
      <c r="G1708" s="284"/>
      <c r="H1708" s="284"/>
      <c r="I1708" s="284"/>
      <c r="J1708" s="375"/>
      <c r="K1708" s="375"/>
      <c r="L1708" s="375"/>
      <c r="M1708" s="368"/>
      <c r="N1708" s="368"/>
      <c r="O1708" s="370"/>
      <c r="T1708" s="340"/>
      <c r="V1708" s="378"/>
      <c r="W1708" s="64" ph="1"/>
      <c r="X1708" s="241"/>
      <c r="Y1708" s="284"/>
      <c r="Z1708" s="207"/>
      <c r="AA1708" s="284"/>
      <c r="AB1708" s="284"/>
      <c r="AC1708" s="284"/>
      <c r="AD1708" s="284"/>
      <c r="AE1708" s="284"/>
      <c r="AF1708" s="284"/>
      <c r="AG1708" s="284"/>
      <c r="AI1708" s="284"/>
    </row>
    <row r="1709" spans="1:35" ht="26.4">
      <c r="A1709" s="284"/>
      <c r="B1709" s="284"/>
      <c r="C1709" s="284"/>
      <c r="D1709" s="284"/>
      <c r="E1709" s="284"/>
      <c r="F1709" s="284"/>
      <c r="G1709" s="284"/>
      <c r="H1709" s="284"/>
      <c r="I1709" s="284"/>
      <c r="J1709" s="375"/>
      <c r="K1709" s="375"/>
      <c r="L1709" s="375"/>
      <c r="M1709" s="368"/>
      <c r="N1709" s="368"/>
      <c r="O1709" s="370"/>
      <c r="T1709" s="340"/>
      <c r="V1709" s="378"/>
      <c r="W1709" s="64" ph="1"/>
      <c r="X1709" s="241"/>
      <c r="Y1709" s="284"/>
      <c r="Z1709" s="207"/>
      <c r="AA1709" s="284"/>
      <c r="AB1709" s="284"/>
      <c r="AC1709" s="284"/>
      <c r="AD1709" s="284"/>
      <c r="AE1709" s="284"/>
      <c r="AF1709" s="284"/>
      <c r="AG1709" s="284"/>
      <c r="AI1709" s="131"/>
    </row>
    <row r="1710" spans="1:35" ht="26.4">
      <c r="A1710" s="284"/>
      <c r="B1710" s="284"/>
      <c r="C1710" s="284"/>
      <c r="D1710" s="284"/>
      <c r="E1710" s="284"/>
      <c r="F1710" s="284"/>
      <c r="G1710" s="284"/>
      <c r="H1710" s="284"/>
      <c r="I1710" s="284"/>
      <c r="J1710" s="375"/>
      <c r="K1710" s="375"/>
      <c r="L1710" s="375"/>
      <c r="M1710" s="368"/>
      <c r="N1710" s="368"/>
      <c r="O1710" s="370"/>
      <c r="T1710" s="340"/>
      <c r="V1710" s="378"/>
      <c r="W1710" s="64" ph="1"/>
      <c r="X1710" s="241"/>
      <c r="Y1710" s="284"/>
      <c r="Z1710" s="207"/>
      <c r="AA1710" s="284"/>
      <c r="AB1710" s="284"/>
      <c r="AC1710" s="284"/>
      <c r="AD1710" s="284"/>
      <c r="AE1710" s="284"/>
      <c r="AF1710" s="284"/>
      <c r="AG1710" s="284"/>
      <c r="AI1710" s="131"/>
    </row>
    <row r="1711" spans="1:35" ht="26.4">
      <c r="A1711" s="284"/>
      <c r="B1711" s="284"/>
      <c r="C1711" s="284"/>
      <c r="D1711" s="284"/>
      <c r="E1711" s="284"/>
      <c r="F1711" s="284"/>
      <c r="G1711" s="284"/>
      <c r="H1711" s="284"/>
      <c r="I1711" s="284"/>
      <c r="J1711" s="375"/>
      <c r="K1711" s="375"/>
      <c r="L1711" s="375"/>
      <c r="M1711" s="368"/>
      <c r="N1711" s="368"/>
      <c r="O1711" s="370"/>
      <c r="T1711" s="340"/>
      <c r="V1711" s="378"/>
      <c r="W1711" s="64" ph="1"/>
      <c r="X1711" s="241"/>
      <c r="Y1711" s="284"/>
      <c r="Z1711" s="207"/>
      <c r="AA1711" s="284"/>
      <c r="AB1711" s="284"/>
      <c r="AC1711" s="284"/>
      <c r="AD1711" s="284"/>
      <c r="AE1711" s="284"/>
      <c r="AF1711" s="284"/>
      <c r="AG1711" s="284"/>
      <c r="AI1711" s="131"/>
    </row>
    <row r="1712" spans="1:35" ht="26.4">
      <c r="A1712" s="284"/>
      <c r="B1712" s="284"/>
      <c r="C1712" s="284"/>
      <c r="D1712" s="284"/>
      <c r="E1712" s="284"/>
      <c r="F1712" s="284"/>
      <c r="G1712" s="284"/>
      <c r="H1712" s="284"/>
      <c r="I1712" s="284"/>
      <c r="J1712" s="375"/>
      <c r="K1712" s="375"/>
      <c r="L1712" s="375"/>
      <c r="M1712" s="368"/>
      <c r="N1712" s="368"/>
      <c r="O1712" s="370"/>
      <c r="T1712" s="340"/>
      <c r="V1712" s="378"/>
      <c r="W1712" s="64" ph="1"/>
      <c r="X1712" s="241"/>
      <c r="Y1712" s="284"/>
      <c r="Z1712" s="207"/>
      <c r="AA1712" s="284"/>
      <c r="AB1712" s="284"/>
      <c r="AC1712" s="284"/>
      <c r="AD1712" s="284"/>
      <c r="AE1712" s="284"/>
      <c r="AF1712" s="284"/>
      <c r="AG1712" s="284"/>
      <c r="AI1712" s="131"/>
    </row>
    <row r="1713" spans="1:35" ht="26.4">
      <c r="A1713" s="284"/>
      <c r="B1713" s="284"/>
      <c r="C1713" s="284"/>
      <c r="D1713" s="284"/>
      <c r="E1713" s="284"/>
      <c r="F1713" s="284"/>
      <c r="G1713" s="284"/>
      <c r="H1713" s="284"/>
      <c r="I1713" s="284"/>
      <c r="J1713" s="375"/>
      <c r="K1713" s="375"/>
      <c r="L1713" s="375"/>
      <c r="M1713" s="368"/>
      <c r="N1713" s="368"/>
      <c r="O1713" s="370"/>
      <c r="T1713" s="340"/>
      <c r="V1713" s="378"/>
      <c r="W1713" s="64" ph="1"/>
      <c r="X1713" s="241"/>
      <c r="Y1713" s="284"/>
      <c r="Z1713" s="207"/>
      <c r="AA1713" s="284"/>
      <c r="AB1713" s="284"/>
      <c r="AC1713" s="284"/>
      <c r="AD1713" s="284"/>
      <c r="AE1713" s="284"/>
      <c r="AF1713" s="284"/>
      <c r="AG1713" s="284"/>
      <c r="AI1713" s="131"/>
    </row>
    <row r="1714" spans="1:35" ht="26.4">
      <c r="A1714" s="284"/>
      <c r="B1714" s="284"/>
      <c r="C1714" s="284"/>
      <c r="D1714" s="284"/>
      <c r="E1714" s="284"/>
      <c r="F1714" s="284"/>
      <c r="G1714" s="284"/>
      <c r="H1714" s="284"/>
      <c r="I1714" s="284"/>
      <c r="J1714" s="375"/>
      <c r="K1714" s="375"/>
      <c r="L1714" s="375"/>
      <c r="M1714" s="368"/>
      <c r="N1714" s="368"/>
      <c r="O1714" s="370"/>
      <c r="T1714" s="340"/>
      <c r="V1714" s="378"/>
      <c r="W1714" s="64" ph="1"/>
      <c r="X1714" s="241"/>
      <c r="Y1714" s="284"/>
      <c r="Z1714" s="207"/>
      <c r="AA1714" s="284"/>
      <c r="AB1714" s="284"/>
      <c r="AC1714" s="284"/>
      <c r="AD1714" s="284"/>
      <c r="AE1714" s="284"/>
      <c r="AF1714" s="284"/>
      <c r="AG1714" s="284"/>
      <c r="AI1714" s="131"/>
    </row>
    <row r="1715" spans="1:35" ht="26.4">
      <c r="A1715" s="284"/>
      <c r="B1715" s="284"/>
      <c r="C1715" s="284"/>
      <c r="D1715" s="284"/>
      <c r="E1715" s="284"/>
      <c r="F1715" s="284"/>
      <c r="G1715" s="284"/>
      <c r="H1715" s="284"/>
      <c r="I1715" s="284"/>
      <c r="J1715" s="375"/>
      <c r="K1715" s="375"/>
      <c r="L1715" s="375"/>
      <c r="M1715" s="368"/>
      <c r="N1715" s="368"/>
      <c r="O1715" s="370"/>
      <c r="T1715" s="340"/>
      <c r="V1715" s="378"/>
      <c r="W1715" s="64" ph="1"/>
      <c r="X1715" s="241"/>
      <c r="Y1715" s="284"/>
      <c r="Z1715" s="207"/>
      <c r="AA1715" s="284"/>
      <c r="AB1715" s="284"/>
      <c r="AC1715" s="284"/>
      <c r="AD1715" s="284"/>
      <c r="AE1715" s="284"/>
      <c r="AF1715" s="284"/>
      <c r="AG1715" s="284"/>
      <c r="AI1715" s="131"/>
    </row>
    <row r="1716" spans="1:35" ht="26.4">
      <c r="A1716" s="284"/>
      <c r="B1716" s="284"/>
      <c r="C1716" s="284"/>
      <c r="D1716" s="284"/>
      <c r="E1716" s="284"/>
      <c r="F1716" s="284"/>
      <c r="G1716" s="284"/>
      <c r="H1716" s="284"/>
      <c r="I1716" s="284"/>
      <c r="J1716" s="375"/>
      <c r="K1716" s="375"/>
      <c r="L1716" s="375"/>
      <c r="M1716" s="368"/>
      <c r="N1716" s="368"/>
      <c r="O1716" s="370"/>
      <c r="T1716" s="340"/>
      <c r="V1716" s="378"/>
      <c r="W1716" s="64" ph="1"/>
      <c r="X1716" s="241"/>
      <c r="Y1716" s="284"/>
      <c r="Z1716" s="207"/>
      <c r="AA1716" s="284"/>
      <c r="AB1716" s="284"/>
      <c r="AC1716" s="284"/>
      <c r="AD1716" s="284"/>
      <c r="AE1716" s="284"/>
      <c r="AF1716" s="284"/>
      <c r="AG1716" s="284"/>
      <c r="AI1716" s="131"/>
    </row>
    <row r="1717" spans="1:35" ht="26.4">
      <c r="A1717" s="284"/>
      <c r="B1717" s="284"/>
      <c r="C1717" s="284"/>
      <c r="D1717" s="284"/>
      <c r="E1717" s="284"/>
      <c r="F1717" s="284"/>
      <c r="G1717" s="284"/>
      <c r="H1717" s="284"/>
      <c r="I1717" s="284"/>
      <c r="J1717" s="375"/>
      <c r="K1717" s="375"/>
      <c r="L1717" s="375"/>
      <c r="M1717" s="368"/>
      <c r="N1717" s="368"/>
      <c r="O1717" s="370"/>
      <c r="T1717" s="340"/>
      <c r="V1717" s="378"/>
      <c r="W1717" s="64" ph="1"/>
      <c r="X1717" s="241"/>
      <c r="Y1717" s="284"/>
      <c r="Z1717" s="207"/>
      <c r="AA1717" s="284"/>
      <c r="AB1717" s="284"/>
      <c r="AC1717" s="284"/>
      <c r="AD1717" s="284"/>
      <c r="AE1717" s="284"/>
      <c r="AF1717" s="284"/>
      <c r="AG1717" s="284"/>
      <c r="AI1717" s="131"/>
    </row>
    <row r="1718" spans="1:35" ht="26.4">
      <c r="A1718" s="284"/>
      <c r="B1718" s="284"/>
      <c r="C1718" s="284"/>
      <c r="D1718" s="284"/>
      <c r="E1718" s="284"/>
      <c r="F1718" s="284"/>
      <c r="G1718" s="284"/>
      <c r="H1718" s="284"/>
      <c r="I1718" s="284"/>
      <c r="J1718" s="375"/>
      <c r="K1718" s="375"/>
      <c r="L1718" s="375"/>
      <c r="M1718" s="368"/>
      <c r="N1718" s="368"/>
      <c r="O1718" s="370"/>
      <c r="T1718" s="340"/>
      <c r="V1718" s="378"/>
      <c r="W1718" s="64" ph="1"/>
      <c r="X1718" s="241"/>
      <c r="Y1718" s="284"/>
      <c r="Z1718" s="207"/>
      <c r="AA1718" s="284"/>
      <c r="AB1718" s="284"/>
      <c r="AC1718" s="284"/>
      <c r="AD1718" s="284"/>
      <c r="AE1718" s="284"/>
      <c r="AF1718" s="284"/>
      <c r="AG1718" s="284"/>
      <c r="AI1718" s="131"/>
    </row>
    <row r="1719" spans="1:35" ht="26.4">
      <c r="A1719" s="284"/>
      <c r="B1719" s="284"/>
      <c r="C1719" s="284"/>
      <c r="D1719" s="284"/>
      <c r="E1719" s="284"/>
      <c r="F1719" s="284"/>
      <c r="G1719" s="284"/>
      <c r="H1719" s="284"/>
      <c r="I1719" s="284"/>
      <c r="J1719" s="375"/>
      <c r="K1719" s="375"/>
      <c r="L1719" s="375"/>
      <c r="M1719" s="368"/>
      <c r="N1719" s="368"/>
      <c r="O1719" s="370"/>
      <c r="T1719" s="340"/>
      <c r="V1719" s="378"/>
      <c r="W1719" s="64" ph="1"/>
      <c r="X1719" s="241"/>
      <c r="Y1719" s="284"/>
      <c r="Z1719" s="207"/>
      <c r="AA1719" s="284"/>
      <c r="AB1719" s="284"/>
      <c r="AC1719" s="284"/>
      <c r="AD1719" s="284"/>
      <c r="AE1719" s="284"/>
      <c r="AF1719" s="284"/>
      <c r="AG1719" s="284"/>
      <c r="AI1719" s="131"/>
    </row>
    <row r="1720" spans="1:35" ht="26.4">
      <c r="A1720" s="284"/>
      <c r="B1720" s="284"/>
      <c r="C1720" s="284"/>
      <c r="D1720" s="284"/>
      <c r="E1720" s="284"/>
      <c r="F1720" s="284"/>
      <c r="G1720" s="284"/>
      <c r="H1720" s="284"/>
      <c r="I1720" s="284"/>
      <c r="J1720" s="375"/>
      <c r="K1720" s="375"/>
      <c r="L1720" s="375"/>
      <c r="M1720" s="368"/>
      <c r="N1720" s="368"/>
      <c r="O1720" s="370"/>
      <c r="T1720" s="340"/>
      <c r="V1720" s="378"/>
      <c r="W1720" s="64" ph="1"/>
      <c r="X1720" s="241"/>
      <c r="Y1720" s="284"/>
      <c r="Z1720" s="207"/>
      <c r="AA1720" s="284"/>
      <c r="AB1720" s="284"/>
      <c r="AC1720" s="284"/>
      <c r="AD1720" s="284"/>
      <c r="AE1720" s="284"/>
      <c r="AF1720" s="284"/>
      <c r="AG1720" s="284"/>
      <c r="AI1720" s="131"/>
    </row>
    <row r="1721" spans="1:35" ht="26.4">
      <c r="A1721" s="284"/>
      <c r="B1721" s="284"/>
      <c r="C1721" s="284"/>
      <c r="D1721" s="284"/>
      <c r="E1721" s="284"/>
      <c r="F1721" s="284"/>
      <c r="G1721" s="284"/>
      <c r="H1721" s="284"/>
      <c r="I1721" s="284"/>
      <c r="J1721" s="375"/>
      <c r="K1721" s="375"/>
      <c r="L1721" s="375"/>
      <c r="M1721" s="368"/>
      <c r="N1721" s="368"/>
      <c r="O1721" s="370"/>
      <c r="T1721" s="340"/>
      <c r="V1721" s="378"/>
      <c r="W1721" s="64" ph="1"/>
      <c r="X1721" s="241"/>
      <c r="Y1721" s="284"/>
      <c r="Z1721" s="207"/>
      <c r="AA1721" s="284"/>
      <c r="AB1721" s="284"/>
      <c r="AC1721" s="284"/>
      <c r="AD1721" s="284"/>
      <c r="AE1721" s="284"/>
      <c r="AF1721" s="284"/>
      <c r="AG1721" s="284"/>
      <c r="AI1721" s="131"/>
    </row>
    <row r="1722" spans="1:35" ht="26.4">
      <c r="A1722" s="284"/>
      <c r="B1722" s="284"/>
      <c r="C1722" s="284"/>
      <c r="D1722" s="284"/>
      <c r="E1722" s="284"/>
      <c r="F1722" s="284"/>
      <c r="G1722" s="284"/>
      <c r="H1722" s="284"/>
      <c r="I1722" s="284"/>
      <c r="J1722" s="375"/>
      <c r="K1722" s="375"/>
      <c r="L1722" s="375"/>
      <c r="M1722" s="368"/>
      <c r="N1722" s="368"/>
      <c r="O1722" s="370"/>
      <c r="T1722" s="340"/>
      <c r="V1722" s="378"/>
      <c r="W1722" s="64" ph="1"/>
      <c r="X1722" s="241"/>
      <c r="Y1722" s="284"/>
      <c r="Z1722" s="207"/>
      <c r="AA1722" s="284"/>
      <c r="AB1722" s="284"/>
      <c r="AC1722" s="284"/>
      <c r="AD1722" s="284"/>
      <c r="AE1722" s="284"/>
      <c r="AF1722" s="284"/>
      <c r="AG1722" s="284"/>
      <c r="AI1722" s="131"/>
    </row>
    <row r="1723" spans="1:35" ht="26.4">
      <c r="A1723" s="284"/>
      <c r="B1723" s="284"/>
      <c r="C1723" s="284"/>
      <c r="D1723" s="284"/>
      <c r="E1723" s="284"/>
      <c r="F1723" s="284"/>
      <c r="G1723" s="284"/>
      <c r="H1723" s="284"/>
      <c r="I1723" s="284"/>
      <c r="J1723" s="375"/>
      <c r="K1723" s="375"/>
      <c r="L1723" s="375"/>
      <c r="M1723" s="368"/>
      <c r="N1723" s="368"/>
      <c r="O1723" s="370"/>
      <c r="T1723" s="340"/>
      <c r="V1723" s="378"/>
      <c r="W1723" s="64" ph="1"/>
      <c r="X1723" s="241"/>
      <c r="Y1723" s="284"/>
      <c r="Z1723" s="207"/>
      <c r="AA1723" s="284"/>
      <c r="AB1723" s="284"/>
      <c r="AC1723" s="284"/>
      <c r="AD1723" s="284"/>
      <c r="AE1723" s="284"/>
      <c r="AF1723" s="284"/>
      <c r="AG1723" s="284"/>
      <c r="AI1723" s="131"/>
    </row>
    <row r="1724" spans="1:35" ht="26.4">
      <c r="A1724" s="284"/>
      <c r="B1724" s="284"/>
      <c r="C1724" s="284"/>
      <c r="D1724" s="284"/>
      <c r="E1724" s="284"/>
      <c r="F1724" s="284"/>
      <c r="G1724" s="284"/>
      <c r="H1724" s="284"/>
      <c r="I1724" s="284"/>
      <c r="J1724" s="375"/>
      <c r="K1724" s="375"/>
      <c r="L1724" s="375"/>
      <c r="M1724" s="368"/>
      <c r="N1724" s="368"/>
      <c r="O1724" s="370"/>
      <c r="T1724" s="340"/>
      <c r="V1724" s="378"/>
      <c r="W1724" s="64" ph="1"/>
      <c r="X1724" s="241"/>
      <c r="Y1724" s="284"/>
      <c r="Z1724" s="207"/>
      <c r="AA1724" s="284"/>
      <c r="AB1724" s="284"/>
      <c r="AC1724" s="284"/>
      <c r="AD1724" s="284"/>
      <c r="AE1724" s="284"/>
      <c r="AF1724" s="284"/>
      <c r="AG1724" s="284"/>
      <c r="AI1724" s="131"/>
    </row>
    <row r="1725" spans="1:35" ht="26.4">
      <c r="A1725" s="284"/>
      <c r="B1725" s="284"/>
      <c r="C1725" s="284"/>
      <c r="D1725" s="284"/>
      <c r="E1725" s="284"/>
      <c r="F1725" s="284"/>
      <c r="G1725" s="284"/>
      <c r="H1725" s="284"/>
      <c r="I1725" s="284"/>
      <c r="J1725" s="375"/>
      <c r="K1725" s="375"/>
      <c r="L1725" s="375"/>
      <c r="M1725" s="368"/>
      <c r="N1725" s="368"/>
      <c r="O1725" s="370"/>
      <c r="T1725" s="340"/>
      <c r="V1725" s="378"/>
      <c r="W1725" s="64" ph="1"/>
      <c r="X1725" s="241"/>
      <c r="Y1725" s="284"/>
      <c r="Z1725" s="207"/>
      <c r="AA1725" s="284"/>
      <c r="AB1725" s="284"/>
      <c r="AC1725" s="284"/>
      <c r="AD1725" s="284"/>
      <c r="AE1725" s="284"/>
      <c r="AF1725" s="284"/>
      <c r="AG1725" s="284"/>
      <c r="AI1725" s="131"/>
    </row>
    <row r="1726" spans="1:35" ht="26.4">
      <c r="A1726" s="284"/>
      <c r="B1726" s="284"/>
      <c r="C1726" s="284"/>
      <c r="D1726" s="284"/>
      <c r="E1726" s="284"/>
      <c r="F1726" s="284"/>
      <c r="G1726" s="284"/>
      <c r="H1726" s="284"/>
      <c r="I1726" s="284"/>
      <c r="J1726" s="375"/>
      <c r="K1726" s="375"/>
      <c r="L1726" s="375"/>
      <c r="M1726" s="368"/>
      <c r="N1726" s="368"/>
      <c r="O1726" s="370"/>
      <c r="T1726" s="340"/>
      <c r="V1726" s="378"/>
      <c r="W1726" s="64" ph="1"/>
      <c r="X1726" s="241"/>
      <c r="Y1726" s="284"/>
      <c r="Z1726" s="207"/>
      <c r="AA1726" s="284"/>
      <c r="AB1726" s="284"/>
      <c r="AC1726" s="284"/>
      <c r="AD1726" s="284"/>
      <c r="AE1726" s="284"/>
      <c r="AF1726" s="284"/>
      <c r="AG1726" s="284"/>
      <c r="AI1726" s="131"/>
    </row>
    <row r="1727" spans="1:35" ht="26.4">
      <c r="A1727" s="284"/>
      <c r="B1727" s="284"/>
      <c r="C1727" s="284"/>
      <c r="D1727" s="284"/>
      <c r="E1727" s="284"/>
      <c r="F1727" s="284"/>
      <c r="G1727" s="284"/>
      <c r="H1727" s="284"/>
      <c r="I1727" s="284"/>
      <c r="J1727" s="375"/>
      <c r="K1727" s="375"/>
      <c r="L1727" s="375"/>
      <c r="M1727" s="368"/>
      <c r="N1727" s="368"/>
      <c r="O1727" s="370"/>
      <c r="T1727" s="340"/>
      <c r="V1727" s="378"/>
      <c r="W1727" s="64" ph="1"/>
      <c r="X1727" s="241"/>
      <c r="Y1727" s="284"/>
      <c r="Z1727" s="207"/>
      <c r="AA1727" s="284"/>
      <c r="AB1727" s="284"/>
      <c r="AC1727" s="284"/>
      <c r="AD1727" s="284"/>
      <c r="AE1727" s="284"/>
      <c r="AF1727" s="284"/>
      <c r="AG1727" s="284"/>
      <c r="AI1727" s="131"/>
    </row>
    <row r="1728" spans="1:35" ht="26.4">
      <c r="A1728" s="284"/>
      <c r="B1728" s="284"/>
      <c r="C1728" s="284"/>
      <c r="D1728" s="284"/>
      <c r="E1728" s="284"/>
      <c r="F1728" s="284"/>
      <c r="G1728" s="284"/>
      <c r="H1728" s="284"/>
      <c r="I1728" s="284"/>
      <c r="J1728" s="375"/>
      <c r="K1728" s="375"/>
      <c r="L1728" s="375"/>
      <c r="M1728" s="368"/>
      <c r="N1728" s="368"/>
      <c r="O1728" s="370"/>
      <c r="T1728" s="340"/>
      <c r="V1728" s="378"/>
      <c r="W1728" s="64" ph="1"/>
      <c r="X1728" s="241"/>
      <c r="Y1728" s="284"/>
      <c r="Z1728" s="207"/>
      <c r="AA1728" s="284"/>
      <c r="AB1728" s="284"/>
      <c r="AC1728" s="284"/>
      <c r="AD1728" s="284"/>
      <c r="AE1728" s="284"/>
      <c r="AF1728" s="284"/>
      <c r="AG1728" s="284"/>
      <c r="AI1728" s="131"/>
    </row>
    <row r="1729" spans="1:35" ht="26.4">
      <c r="A1729" s="284"/>
      <c r="B1729" s="284"/>
      <c r="C1729" s="284"/>
      <c r="D1729" s="284"/>
      <c r="E1729" s="284"/>
      <c r="F1729" s="284"/>
      <c r="G1729" s="284"/>
      <c r="H1729" s="284"/>
      <c r="I1729" s="284"/>
      <c r="J1729" s="375"/>
      <c r="K1729" s="375"/>
      <c r="L1729" s="375"/>
      <c r="M1729" s="368"/>
      <c r="N1729" s="368"/>
      <c r="O1729" s="370"/>
      <c r="T1729" s="340"/>
      <c r="V1729" s="378"/>
      <c r="W1729" s="64" ph="1"/>
      <c r="X1729" s="241"/>
      <c r="Y1729" s="284"/>
      <c r="Z1729" s="207"/>
      <c r="AA1729" s="284"/>
      <c r="AB1729" s="284"/>
      <c r="AC1729" s="284"/>
      <c r="AD1729" s="284"/>
      <c r="AE1729" s="284"/>
      <c r="AF1729" s="284"/>
      <c r="AG1729" s="284"/>
      <c r="AI1729" s="131"/>
    </row>
    <row r="1730" spans="1:35" ht="26.4">
      <c r="A1730" s="284"/>
      <c r="B1730" s="284"/>
      <c r="C1730" s="284"/>
      <c r="D1730" s="284"/>
      <c r="E1730" s="284"/>
      <c r="F1730" s="284"/>
      <c r="G1730" s="284"/>
      <c r="H1730" s="284"/>
      <c r="I1730" s="284"/>
      <c r="J1730" s="375"/>
      <c r="K1730" s="375"/>
      <c r="L1730" s="375"/>
      <c r="M1730" s="368"/>
      <c r="N1730" s="368"/>
      <c r="O1730" s="370"/>
      <c r="T1730" s="340"/>
      <c r="V1730" s="378"/>
      <c r="W1730" s="64" ph="1"/>
      <c r="X1730" s="241"/>
      <c r="Y1730" s="284"/>
      <c r="Z1730" s="207"/>
      <c r="AA1730" s="284"/>
      <c r="AB1730" s="284"/>
      <c r="AC1730" s="284"/>
      <c r="AD1730" s="284"/>
      <c r="AE1730" s="284"/>
      <c r="AF1730" s="284"/>
      <c r="AG1730" s="284"/>
      <c r="AI1730" s="131"/>
    </row>
    <row r="1731" spans="1:35" ht="26.4">
      <c r="A1731" s="284"/>
      <c r="B1731" s="284"/>
      <c r="C1731" s="284"/>
      <c r="D1731" s="284"/>
      <c r="E1731" s="284"/>
      <c r="F1731" s="284"/>
      <c r="G1731" s="284"/>
      <c r="H1731" s="284"/>
      <c r="I1731" s="284"/>
      <c r="J1731" s="375"/>
      <c r="K1731" s="375"/>
      <c r="L1731" s="375"/>
      <c r="M1731" s="368"/>
      <c r="N1731" s="368"/>
      <c r="O1731" s="370"/>
      <c r="T1731" s="340"/>
      <c r="V1731" s="378"/>
      <c r="W1731" s="64" ph="1"/>
      <c r="X1731" s="241"/>
      <c r="Y1731" s="284"/>
      <c r="Z1731" s="207"/>
      <c r="AA1731" s="284"/>
      <c r="AB1731" s="284"/>
      <c r="AC1731" s="284"/>
      <c r="AD1731" s="284"/>
      <c r="AE1731" s="284"/>
      <c r="AF1731" s="284"/>
      <c r="AG1731" s="284"/>
      <c r="AI1731" s="131"/>
    </row>
    <row r="1732" spans="1:35" ht="26.4">
      <c r="A1732" s="284"/>
      <c r="B1732" s="284"/>
      <c r="C1732" s="284"/>
      <c r="D1732" s="284"/>
      <c r="E1732" s="284"/>
      <c r="F1732" s="284"/>
      <c r="G1732" s="284"/>
      <c r="H1732" s="284"/>
      <c r="I1732" s="284"/>
      <c r="J1732" s="375"/>
      <c r="K1732" s="375"/>
      <c r="L1732" s="375"/>
      <c r="M1732" s="368"/>
      <c r="N1732" s="368"/>
      <c r="O1732" s="370"/>
      <c r="T1732" s="340"/>
      <c r="V1732" s="378"/>
      <c r="W1732" s="64" ph="1"/>
      <c r="X1732" s="241"/>
      <c r="Y1732" s="284"/>
      <c r="Z1732" s="207"/>
      <c r="AA1732" s="284"/>
      <c r="AB1732" s="284"/>
      <c r="AC1732" s="284"/>
      <c r="AD1732" s="284"/>
      <c r="AE1732" s="284"/>
      <c r="AF1732" s="284"/>
      <c r="AG1732" s="284"/>
      <c r="AI1732" s="131"/>
    </row>
    <row r="1733" spans="1:35" ht="26.4">
      <c r="A1733" s="284"/>
      <c r="B1733" s="284"/>
      <c r="C1733" s="284"/>
      <c r="D1733" s="284"/>
      <c r="E1733" s="284"/>
      <c r="F1733" s="284"/>
      <c r="G1733" s="284"/>
      <c r="H1733" s="284"/>
      <c r="I1733" s="284"/>
      <c r="J1733" s="375"/>
      <c r="K1733" s="375"/>
      <c r="L1733" s="375"/>
      <c r="M1733" s="368"/>
      <c r="N1733" s="368"/>
      <c r="O1733" s="370"/>
      <c r="T1733" s="340"/>
      <c r="V1733" s="378"/>
      <c r="W1733" s="64" ph="1"/>
      <c r="X1733" s="241"/>
      <c r="Y1733" s="284"/>
      <c r="Z1733" s="207"/>
      <c r="AA1733" s="284"/>
      <c r="AB1733" s="284"/>
      <c r="AC1733" s="284"/>
      <c r="AD1733" s="284"/>
      <c r="AE1733" s="284"/>
      <c r="AF1733" s="284"/>
      <c r="AG1733" s="284"/>
      <c r="AI1733" s="131"/>
    </row>
    <row r="1734" spans="1:35" ht="26.4">
      <c r="A1734" s="284"/>
      <c r="B1734" s="284"/>
      <c r="C1734" s="284"/>
      <c r="D1734" s="284"/>
      <c r="E1734" s="284"/>
      <c r="F1734" s="284"/>
      <c r="G1734" s="284"/>
      <c r="H1734" s="284"/>
      <c r="I1734" s="284"/>
      <c r="J1734" s="375"/>
      <c r="K1734" s="375"/>
      <c r="L1734" s="375"/>
      <c r="M1734" s="368"/>
      <c r="N1734" s="368"/>
      <c r="O1734" s="370"/>
      <c r="T1734" s="340"/>
      <c r="V1734" s="378"/>
      <c r="W1734" s="64" ph="1"/>
      <c r="X1734" s="241"/>
      <c r="Y1734" s="284"/>
      <c r="Z1734" s="207"/>
      <c r="AA1734" s="284"/>
      <c r="AB1734" s="284"/>
      <c r="AC1734" s="284"/>
      <c r="AD1734" s="284"/>
      <c r="AE1734" s="284"/>
      <c r="AF1734" s="284"/>
      <c r="AG1734" s="284"/>
      <c r="AI1734" s="131"/>
    </row>
    <row r="1735" spans="1:35" ht="26.4">
      <c r="A1735" s="284"/>
      <c r="B1735" s="284"/>
      <c r="C1735" s="284"/>
      <c r="D1735" s="284"/>
      <c r="E1735" s="284"/>
      <c r="F1735" s="284"/>
      <c r="G1735" s="284"/>
      <c r="H1735" s="284"/>
      <c r="I1735" s="284"/>
      <c r="J1735" s="375"/>
      <c r="K1735" s="375"/>
      <c r="L1735" s="375"/>
      <c r="M1735" s="368"/>
      <c r="N1735" s="368"/>
      <c r="O1735" s="370"/>
      <c r="T1735" s="340"/>
      <c r="V1735" s="378"/>
      <c r="W1735" s="64" ph="1"/>
      <c r="X1735" s="241"/>
      <c r="Y1735" s="284"/>
      <c r="Z1735" s="207"/>
      <c r="AA1735" s="284"/>
      <c r="AB1735" s="284"/>
      <c r="AC1735" s="284"/>
      <c r="AD1735" s="284"/>
      <c r="AE1735" s="284"/>
      <c r="AF1735" s="284"/>
      <c r="AG1735" s="284"/>
      <c r="AI1735" s="131"/>
    </row>
    <row r="1736" spans="1:35" ht="26.4">
      <c r="A1736" s="284"/>
      <c r="B1736" s="284"/>
      <c r="C1736" s="284"/>
      <c r="D1736" s="284"/>
      <c r="E1736" s="284"/>
      <c r="F1736" s="284"/>
      <c r="G1736" s="284"/>
      <c r="H1736" s="284"/>
      <c r="I1736" s="284"/>
      <c r="J1736" s="375"/>
      <c r="K1736" s="375"/>
      <c r="L1736" s="375"/>
      <c r="M1736" s="368"/>
      <c r="N1736" s="368"/>
      <c r="O1736" s="370"/>
      <c r="T1736" s="340"/>
      <c r="V1736" s="378"/>
      <c r="W1736" s="64" ph="1"/>
      <c r="X1736" s="241"/>
      <c r="Y1736" s="284"/>
      <c r="Z1736" s="207"/>
      <c r="AA1736" s="284"/>
      <c r="AB1736" s="284"/>
      <c r="AC1736" s="284"/>
      <c r="AD1736" s="284"/>
      <c r="AE1736" s="284"/>
      <c r="AF1736" s="284"/>
      <c r="AG1736" s="284"/>
      <c r="AI1736" s="131"/>
    </row>
    <row r="1737" spans="1:35" ht="26.4">
      <c r="A1737" s="284"/>
      <c r="B1737" s="284"/>
      <c r="C1737" s="284"/>
      <c r="D1737" s="284"/>
      <c r="E1737" s="284"/>
      <c r="F1737" s="284"/>
      <c r="G1737" s="284"/>
      <c r="H1737" s="284"/>
      <c r="I1737" s="284"/>
      <c r="J1737" s="375"/>
      <c r="K1737" s="375"/>
      <c r="L1737" s="375"/>
      <c r="M1737" s="368"/>
      <c r="N1737" s="368"/>
      <c r="O1737" s="370"/>
      <c r="T1737" s="340"/>
      <c r="V1737" s="378"/>
      <c r="W1737" s="64" ph="1"/>
      <c r="X1737" s="241"/>
      <c r="Y1737" s="284"/>
      <c r="Z1737" s="207"/>
      <c r="AA1737" s="284"/>
      <c r="AB1737" s="284"/>
      <c r="AC1737" s="284"/>
      <c r="AD1737" s="284"/>
      <c r="AE1737" s="284"/>
      <c r="AF1737" s="284"/>
      <c r="AG1737" s="284"/>
      <c r="AI1737" s="131"/>
    </row>
    <row r="1738" spans="1:35" ht="26.4">
      <c r="A1738" s="284"/>
      <c r="B1738" s="284"/>
      <c r="C1738" s="284"/>
      <c r="D1738" s="284"/>
      <c r="E1738" s="284"/>
      <c r="F1738" s="284"/>
      <c r="G1738" s="284"/>
      <c r="H1738" s="284"/>
      <c r="I1738" s="284"/>
      <c r="J1738" s="375"/>
      <c r="K1738" s="375"/>
      <c r="L1738" s="375"/>
      <c r="M1738" s="368"/>
      <c r="N1738" s="368"/>
      <c r="O1738" s="370"/>
      <c r="T1738" s="340"/>
      <c r="V1738" s="378"/>
      <c r="W1738" s="64" ph="1"/>
      <c r="X1738" s="241"/>
      <c r="Y1738" s="284"/>
      <c r="Z1738" s="207"/>
      <c r="AA1738" s="284"/>
      <c r="AB1738" s="284"/>
      <c r="AC1738" s="284"/>
      <c r="AD1738" s="284"/>
      <c r="AE1738" s="284"/>
      <c r="AF1738" s="284"/>
      <c r="AG1738" s="284"/>
      <c r="AI1738" s="131"/>
    </row>
    <row r="1739" spans="1:35" ht="26.4">
      <c r="A1739" s="284"/>
      <c r="B1739" s="284"/>
      <c r="C1739" s="284"/>
      <c r="D1739" s="284"/>
      <c r="E1739" s="284"/>
      <c r="F1739" s="284"/>
      <c r="G1739" s="284"/>
      <c r="H1739" s="284"/>
      <c r="I1739" s="284"/>
      <c r="J1739" s="375"/>
      <c r="K1739" s="375"/>
      <c r="L1739" s="375"/>
      <c r="M1739" s="368"/>
      <c r="N1739" s="368"/>
      <c r="O1739" s="370"/>
      <c r="T1739" s="340"/>
      <c r="V1739" s="378"/>
      <c r="W1739" s="64" ph="1"/>
      <c r="X1739" s="241"/>
      <c r="Y1739" s="284"/>
      <c r="Z1739" s="207"/>
      <c r="AA1739" s="284"/>
      <c r="AB1739" s="284"/>
      <c r="AC1739" s="284"/>
      <c r="AD1739" s="284"/>
      <c r="AE1739" s="284"/>
      <c r="AF1739" s="284"/>
      <c r="AG1739" s="284"/>
      <c r="AI1739" s="131"/>
    </row>
    <row r="1740" spans="1:35" ht="26.4">
      <c r="A1740" s="284"/>
      <c r="B1740" s="284"/>
      <c r="C1740" s="284"/>
      <c r="D1740" s="284"/>
      <c r="E1740" s="284"/>
      <c r="F1740" s="284"/>
      <c r="G1740" s="284"/>
      <c r="H1740" s="284"/>
      <c r="I1740" s="284"/>
      <c r="J1740" s="375"/>
      <c r="K1740" s="375"/>
      <c r="L1740" s="375"/>
      <c r="M1740" s="368"/>
      <c r="N1740" s="368"/>
      <c r="O1740" s="370"/>
      <c r="T1740" s="340"/>
      <c r="V1740" s="378"/>
      <c r="W1740" s="64" ph="1"/>
      <c r="X1740" s="241"/>
      <c r="Y1740" s="284"/>
      <c r="Z1740" s="207"/>
      <c r="AA1740" s="284"/>
      <c r="AB1740" s="284"/>
      <c r="AC1740" s="284"/>
      <c r="AD1740" s="284"/>
      <c r="AE1740" s="284"/>
      <c r="AF1740" s="284"/>
      <c r="AG1740" s="284"/>
      <c r="AI1740" s="131"/>
    </row>
    <row r="1741" spans="1:35" ht="26.4">
      <c r="A1741" s="284"/>
      <c r="B1741" s="284"/>
      <c r="C1741" s="284"/>
      <c r="D1741" s="284"/>
      <c r="E1741" s="284"/>
      <c r="F1741" s="284"/>
      <c r="G1741" s="284"/>
      <c r="H1741" s="284"/>
      <c r="I1741" s="284"/>
      <c r="J1741" s="375"/>
      <c r="K1741" s="375"/>
      <c r="L1741" s="375"/>
      <c r="M1741" s="368"/>
      <c r="N1741" s="368"/>
      <c r="O1741" s="370"/>
      <c r="T1741" s="340"/>
      <c r="V1741" s="378"/>
      <c r="W1741" s="64" ph="1"/>
      <c r="X1741" s="241"/>
      <c r="Y1741" s="284"/>
      <c r="Z1741" s="207"/>
      <c r="AA1741" s="284"/>
      <c r="AB1741" s="284"/>
      <c r="AC1741" s="284"/>
      <c r="AD1741" s="284"/>
      <c r="AE1741" s="284"/>
      <c r="AF1741" s="284"/>
      <c r="AG1741" s="284"/>
      <c r="AI1741" s="131"/>
    </row>
    <row r="1742" spans="1:35" ht="26.4">
      <c r="A1742" s="284"/>
      <c r="B1742" s="284"/>
      <c r="C1742" s="284"/>
      <c r="D1742" s="284"/>
      <c r="E1742" s="284"/>
      <c r="F1742" s="284"/>
      <c r="G1742" s="284"/>
      <c r="H1742" s="284"/>
      <c r="I1742" s="284"/>
      <c r="J1742" s="375"/>
      <c r="K1742" s="375"/>
      <c r="L1742" s="375"/>
      <c r="M1742" s="368"/>
      <c r="N1742" s="368"/>
      <c r="O1742" s="370"/>
      <c r="T1742" s="340"/>
      <c r="V1742" s="378"/>
      <c r="W1742" s="64" ph="1"/>
      <c r="X1742" s="241"/>
      <c r="Y1742" s="284"/>
      <c r="Z1742" s="207"/>
      <c r="AA1742" s="284"/>
      <c r="AB1742" s="284"/>
      <c r="AC1742" s="284"/>
      <c r="AD1742" s="284"/>
      <c r="AE1742" s="284"/>
      <c r="AF1742" s="284"/>
      <c r="AG1742" s="284"/>
      <c r="AI1742" s="131"/>
    </row>
    <row r="1743" spans="1:35" ht="26.4">
      <c r="A1743" s="284"/>
      <c r="B1743" s="284"/>
      <c r="C1743" s="284"/>
      <c r="D1743" s="284"/>
      <c r="E1743" s="284"/>
      <c r="F1743" s="284"/>
      <c r="G1743" s="284"/>
      <c r="H1743" s="284"/>
      <c r="I1743" s="284"/>
      <c r="J1743" s="375"/>
      <c r="K1743" s="375"/>
      <c r="L1743" s="375"/>
      <c r="M1743" s="368"/>
      <c r="N1743" s="368"/>
      <c r="O1743" s="370"/>
      <c r="T1743" s="340"/>
      <c r="V1743" s="378"/>
      <c r="W1743" s="64" ph="1"/>
      <c r="X1743" s="241"/>
      <c r="Y1743" s="284"/>
      <c r="Z1743" s="207"/>
      <c r="AA1743" s="284"/>
      <c r="AB1743" s="284"/>
      <c r="AC1743" s="284"/>
      <c r="AD1743" s="284"/>
      <c r="AE1743" s="284"/>
      <c r="AF1743" s="284"/>
      <c r="AG1743" s="284"/>
      <c r="AI1743" s="131"/>
    </row>
    <row r="1744" spans="1:35" ht="26.4">
      <c r="A1744" s="284"/>
      <c r="B1744" s="284"/>
      <c r="C1744" s="284"/>
      <c r="D1744" s="284"/>
      <c r="E1744" s="284"/>
      <c r="F1744" s="284"/>
      <c r="G1744" s="284"/>
      <c r="H1744" s="284"/>
      <c r="I1744" s="284"/>
      <c r="J1744" s="375"/>
      <c r="K1744" s="375"/>
      <c r="L1744" s="375"/>
      <c r="M1744" s="368"/>
      <c r="N1744" s="368"/>
      <c r="O1744" s="370"/>
      <c r="T1744" s="340"/>
      <c r="V1744" s="378"/>
      <c r="W1744" s="64" ph="1"/>
      <c r="X1744" s="241"/>
      <c r="Y1744" s="284"/>
      <c r="Z1744" s="207"/>
      <c r="AA1744" s="284"/>
      <c r="AB1744" s="284"/>
      <c r="AC1744" s="284"/>
      <c r="AD1744" s="284"/>
      <c r="AE1744" s="284"/>
      <c r="AF1744" s="284"/>
      <c r="AG1744" s="284"/>
      <c r="AI1744" s="131"/>
    </row>
    <row r="1745" spans="1:35" ht="26.4">
      <c r="A1745" s="284"/>
      <c r="B1745" s="284"/>
      <c r="C1745" s="284"/>
      <c r="D1745" s="284"/>
      <c r="E1745" s="284"/>
      <c r="F1745" s="284"/>
      <c r="G1745" s="284"/>
      <c r="H1745" s="284"/>
      <c r="I1745" s="284"/>
      <c r="J1745" s="375"/>
      <c r="K1745" s="375"/>
      <c r="L1745" s="375"/>
      <c r="M1745" s="368"/>
      <c r="N1745" s="368"/>
      <c r="O1745" s="370"/>
      <c r="T1745" s="340"/>
      <c r="V1745" s="378"/>
      <c r="W1745" s="64" ph="1"/>
      <c r="X1745" s="241"/>
      <c r="Y1745" s="284"/>
      <c r="Z1745" s="207"/>
      <c r="AA1745" s="284"/>
      <c r="AB1745" s="284"/>
      <c r="AC1745" s="284"/>
      <c r="AD1745" s="284"/>
      <c r="AE1745" s="284"/>
      <c r="AF1745" s="284"/>
      <c r="AG1745" s="284"/>
      <c r="AI1745" s="131"/>
    </row>
    <row r="1746" spans="1:35" ht="26.4">
      <c r="A1746" s="284"/>
      <c r="B1746" s="284"/>
      <c r="C1746" s="284"/>
      <c r="D1746" s="284"/>
      <c r="E1746" s="284"/>
      <c r="F1746" s="284"/>
      <c r="G1746" s="284"/>
      <c r="H1746" s="284"/>
      <c r="I1746" s="284"/>
      <c r="J1746" s="375"/>
      <c r="K1746" s="375"/>
      <c r="L1746" s="375"/>
      <c r="M1746" s="368"/>
      <c r="N1746" s="368"/>
      <c r="O1746" s="370"/>
      <c r="T1746" s="340"/>
      <c r="V1746" s="378"/>
      <c r="W1746" s="64" ph="1"/>
      <c r="X1746" s="241"/>
      <c r="Y1746" s="284"/>
      <c r="Z1746" s="207"/>
      <c r="AA1746" s="284"/>
      <c r="AB1746" s="284"/>
      <c r="AC1746" s="284"/>
      <c r="AD1746" s="284"/>
      <c r="AE1746" s="284"/>
      <c r="AF1746" s="284"/>
      <c r="AG1746" s="284"/>
      <c r="AI1746" s="131"/>
    </row>
    <row r="1747" spans="1:35" ht="26.4">
      <c r="A1747" s="284"/>
      <c r="B1747" s="284"/>
      <c r="C1747" s="284"/>
      <c r="D1747" s="284"/>
      <c r="E1747" s="284"/>
      <c r="F1747" s="284"/>
      <c r="G1747" s="284"/>
      <c r="H1747" s="284"/>
      <c r="I1747" s="284"/>
      <c r="J1747" s="375"/>
      <c r="K1747" s="375"/>
      <c r="L1747" s="375"/>
      <c r="M1747" s="368"/>
      <c r="N1747" s="368"/>
      <c r="O1747" s="370"/>
      <c r="T1747" s="340"/>
      <c r="V1747" s="378"/>
      <c r="W1747" s="64" ph="1"/>
      <c r="X1747" s="241"/>
      <c r="Y1747" s="284"/>
      <c r="Z1747" s="207"/>
      <c r="AA1747" s="284"/>
      <c r="AB1747" s="284"/>
      <c r="AC1747" s="284"/>
      <c r="AD1747" s="284"/>
      <c r="AE1747" s="284"/>
      <c r="AF1747" s="284"/>
      <c r="AG1747" s="284"/>
      <c r="AI1747" s="131"/>
    </row>
    <row r="1748" spans="1:35" ht="26.4">
      <c r="A1748" s="284"/>
      <c r="B1748" s="284"/>
      <c r="C1748" s="284"/>
      <c r="D1748" s="284"/>
      <c r="E1748" s="284"/>
      <c r="F1748" s="284"/>
      <c r="G1748" s="284"/>
      <c r="H1748" s="284"/>
      <c r="I1748" s="284"/>
      <c r="J1748" s="375"/>
      <c r="K1748" s="375"/>
      <c r="L1748" s="375"/>
      <c r="M1748" s="368"/>
      <c r="N1748" s="368"/>
      <c r="O1748" s="370"/>
      <c r="T1748" s="340"/>
      <c r="V1748" s="378"/>
      <c r="W1748" s="64" ph="1"/>
      <c r="X1748" s="241"/>
      <c r="Y1748" s="284"/>
      <c r="Z1748" s="207"/>
      <c r="AA1748" s="284"/>
      <c r="AB1748" s="284"/>
      <c r="AC1748" s="284"/>
      <c r="AD1748" s="284"/>
      <c r="AE1748" s="284"/>
      <c r="AF1748" s="284"/>
      <c r="AG1748" s="284"/>
      <c r="AI1748" s="131"/>
    </row>
    <row r="1749" spans="1:35" ht="26.4">
      <c r="A1749" s="284"/>
      <c r="B1749" s="284"/>
      <c r="C1749" s="284"/>
      <c r="D1749" s="284"/>
      <c r="E1749" s="284"/>
      <c r="F1749" s="284"/>
      <c r="G1749" s="284"/>
      <c r="H1749" s="284"/>
      <c r="I1749" s="284"/>
      <c r="J1749" s="375"/>
      <c r="K1749" s="375"/>
      <c r="L1749" s="375"/>
      <c r="M1749" s="368"/>
      <c r="N1749" s="368"/>
      <c r="O1749" s="370"/>
      <c r="T1749" s="340"/>
      <c r="V1749" s="378"/>
      <c r="W1749" s="64" ph="1"/>
      <c r="X1749" s="241"/>
      <c r="Y1749" s="284"/>
      <c r="Z1749" s="207"/>
      <c r="AA1749" s="284"/>
      <c r="AB1749" s="284"/>
      <c r="AC1749" s="284"/>
      <c r="AD1749" s="284"/>
      <c r="AE1749" s="284"/>
      <c r="AF1749" s="284"/>
      <c r="AG1749" s="284"/>
      <c r="AI1749" s="131"/>
    </row>
    <row r="1750" spans="1:35" ht="26.4">
      <c r="A1750" s="284"/>
      <c r="B1750" s="284"/>
      <c r="C1750" s="284"/>
      <c r="D1750" s="284"/>
      <c r="E1750" s="284"/>
      <c r="F1750" s="284"/>
      <c r="G1750" s="284"/>
      <c r="H1750" s="284"/>
      <c r="I1750" s="284"/>
      <c r="J1750" s="375"/>
      <c r="K1750" s="375"/>
      <c r="L1750" s="375"/>
      <c r="M1750" s="368"/>
      <c r="N1750" s="368"/>
      <c r="O1750" s="370"/>
      <c r="T1750" s="340"/>
      <c r="V1750" s="378"/>
      <c r="W1750" s="64" ph="1"/>
      <c r="X1750" s="241"/>
      <c r="Y1750" s="284"/>
      <c r="Z1750" s="207"/>
      <c r="AA1750" s="284"/>
      <c r="AB1750" s="284"/>
      <c r="AC1750" s="284"/>
      <c r="AD1750" s="284"/>
      <c r="AE1750" s="284"/>
      <c r="AF1750" s="284"/>
      <c r="AG1750" s="284"/>
      <c r="AI1750" s="131"/>
    </row>
    <row r="1751" spans="1:35" ht="26.4">
      <c r="A1751" s="284"/>
      <c r="B1751" s="284"/>
      <c r="C1751" s="284"/>
      <c r="D1751" s="284"/>
      <c r="E1751" s="284"/>
      <c r="F1751" s="284"/>
      <c r="G1751" s="284"/>
      <c r="H1751" s="284"/>
      <c r="I1751" s="284"/>
      <c r="J1751" s="375"/>
      <c r="K1751" s="375"/>
      <c r="L1751" s="375"/>
      <c r="M1751" s="368"/>
      <c r="N1751" s="368"/>
      <c r="O1751" s="370"/>
      <c r="T1751" s="340"/>
      <c r="V1751" s="378"/>
      <c r="W1751" s="64" ph="1"/>
      <c r="X1751" s="241"/>
      <c r="Y1751" s="284"/>
      <c r="Z1751" s="207"/>
      <c r="AA1751" s="284"/>
      <c r="AB1751" s="284"/>
      <c r="AC1751" s="284"/>
      <c r="AD1751" s="284"/>
      <c r="AE1751" s="284"/>
      <c r="AF1751" s="284"/>
      <c r="AG1751" s="284"/>
      <c r="AI1751" s="284"/>
    </row>
    <row r="1752" spans="1:35" ht="26.4">
      <c r="A1752" s="284"/>
      <c r="B1752" s="284"/>
      <c r="C1752" s="284"/>
      <c r="D1752" s="284"/>
      <c r="E1752" s="284"/>
      <c r="F1752" s="284"/>
      <c r="G1752" s="284"/>
      <c r="H1752" s="284"/>
      <c r="I1752" s="284"/>
      <c r="J1752" s="375"/>
      <c r="K1752" s="375"/>
      <c r="L1752" s="375"/>
      <c r="M1752" s="368"/>
      <c r="N1752" s="368"/>
      <c r="O1752" s="370"/>
      <c r="T1752" s="340"/>
      <c r="V1752" s="378"/>
      <c r="W1752" s="64" ph="1"/>
      <c r="X1752" s="241"/>
      <c r="Y1752" s="284"/>
      <c r="Z1752" s="207"/>
      <c r="AA1752" s="284"/>
      <c r="AB1752" s="284"/>
      <c r="AC1752" s="284"/>
      <c r="AD1752" s="284"/>
      <c r="AE1752" s="284"/>
      <c r="AF1752" s="284"/>
      <c r="AG1752" s="284"/>
      <c r="AI1752" s="284"/>
    </row>
    <row r="1753" spans="1:35" ht="26.4">
      <c r="A1753" s="284"/>
      <c r="B1753" s="284"/>
      <c r="C1753" s="284"/>
      <c r="D1753" s="284"/>
      <c r="E1753" s="284"/>
      <c r="F1753" s="284"/>
      <c r="G1753" s="284"/>
      <c r="H1753" s="284"/>
      <c r="I1753" s="284"/>
      <c r="J1753" s="375"/>
      <c r="K1753" s="375"/>
      <c r="L1753" s="375"/>
      <c r="M1753" s="368"/>
      <c r="N1753" s="368"/>
      <c r="O1753" s="370"/>
      <c r="T1753" s="340"/>
      <c r="V1753" s="378"/>
      <c r="W1753" s="64" ph="1"/>
      <c r="X1753" s="241"/>
      <c r="Y1753" s="284"/>
      <c r="Z1753" s="207"/>
      <c r="AA1753" s="284"/>
      <c r="AB1753" s="284"/>
      <c r="AC1753" s="284"/>
      <c r="AD1753" s="284"/>
      <c r="AE1753" s="284"/>
      <c r="AF1753" s="284"/>
      <c r="AG1753" s="284"/>
      <c r="AI1753" s="131"/>
    </row>
    <row r="1754" spans="1:35" ht="26.4">
      <c r="A1754" s="284"/>
      <c r="B1754" s="284"/>
      <c r="C1754" s="284"/>
      <c r="D1754" s="284"/>
      <c r="E1754" s="284"/>
      <c r="F1754" s="284"/>
      <c r="G1754" s="284"/>
      <c r="H1754" s="284"/>
      <c r="I1754" s="284"/>
      <c r="J1754" s="375"/>
      <c r="K1754" s="375"/>
      <c r="L1754" s="375"/>
      <c r="M1754" s="368"/>
      <c r="N1754" s="368"/>
      <c r="O1754" s="370"/>
      <c r="T1754" s="340"/>
      <c r="V1754" s="378"/>
      <c r="W1754" s="64" ph="1"/>
      <c r="X1754" s="241"/>
      <c r="Y1754" s="284"/>
      <c r="Z1754" s="207"/>
      <c r="AA1754" s="284"/>
      <c r="AB1754" s="284"/>
      <c r="AC1754" s="284"/>
      <c r="AD1754" s="284"/>
      <c r="AE1754" s="284"/>
      <c r="AF1754" s="284"/>
      <c r="AG1754" s="284"/>
      <c r="AI1754" s="131"/>
    </row>
    <row r="1755" spans="1:35" ht="26.4">
      <c r="A1755" s="284"/>
      <c r="B1755" s="284"/>
      <c r="C1755" s="284"/>
      <c r="D1755" s="284"/>
      <c r="E1755" s="284"/>
      <c r="F1755" s="284"/>
      <c r="G1755" s="284"/>
      <c r="H1755" s="284"/>
      <c r="I1755" s="284"/>
      <c r="J1755" s="375"/>
      <c r="K1755" s="375"/>
      <c r="L1755" s="375"/>
      <c r="M1755" s="368"/>
      <c r="N1755" s="368"/>
      <c r="O1755" s="370"/>
      <c r="T1755" s="340"/>
      <c r="V1755" s="378"/>
      <c r="W1755" s="64" ph="1"/>
      <c r="X1755" s="241"/>
      <c r="Y1755" s="284"/>
      <c r="Z1755" s="207"/>
      <c r="AA1755" s="284"/>
      <c r="AB1755" s="284"/>
      <c r="AC1755" s="284"/>
      <c r="AD1755" s="284"/>
      <c r="AE1755" s="284"/>
      <c r="AF1755" s="284"/>
      <c r="AG1755" s="284"/>
      <c r="AI1755" s="131"/>
    </row>
    <row r="1756" spans="1:35" ht="26.4">
      <c r="A1756" s="284"/>
      <c r="B1756" s="284"/>
      <c r="C1756" s="284"/>
      <c r="D1756" s="284"/>
      <c r="E1756" s="284"/>
      <c r="F1756" s="284"/>
      <c r="G1756" s="284"/>
      <c r="H1756" s="284"/>
      <c r="I1756" s="284"/>
      <c r="J1756" s="375"/>
      <c r="K1756" s="375"/>
      <c r="L1756" s="375"/>
      <c r="M1756" s="368"/>
      <c r="N1756" s="368"/>
      <c r="O1756" s="370"/>
      <c r="T1756" s="340"/>
      <c r="V1756" s="378"/>
      <c r="W1756" s="64" ph="1"/>
      <c r="X1756" s="241"/>
      <c r="Y1756" s="284"/>
      <c r="Z1756" s="207"/>
      <c r="AA1756" s="284"/>
      <c r="AB1756" s="284"/>
      <c r="AC1756" s="284"/>
      <c r="AD1756" s="284"/>
      <c r="AE1756" s="284"/>
      <c r="AF1756" s="284"/>
      <c r="AG1756" s="284"/>
      <c r="AI1756" s="131"/>
    </row>
    <row r="1757" spans="1:35" ht="26.4">
      <c r="A1757" s="284"/>
      <c r="B1757" s="284"/>
      <c r="C1757" s="284"/>
      <c r="D1757" s="284"/>
      <c r="E1757" s="284"/>
      <c r="F1757" s="284"/>
      <c r="G1757" s="284"/>
      <c r="H1757" s="284"/>
      <c r="I1757" s="284"/>
      <c r="J1757" s="375"/>
      <c r="K1757" s="375"/>
      <c r="L1757" s="375"/>
      <c r="M1757" s="368"/>
      <c r="N1757" s="368"/>
      <c r="O1757" s="370"/>
      <c r="T1757" s="340"/>
      <c r="V1757" s="378"/>
      <c r="W1757" s="64" ph="1"/>
      <c r="X1757" s="241"/>
      <c r="Y1757" s="284"/>
      <c r="Z1757" s="207"/>
      <c r="AA1757" s="284"/>
      <c r="AB1757" s="284"/>
      <c r="AC1757" s="284"/>
      <c r="AD1757" s="284"/>
      <c r="AE1757" s="284"/>
      <c r="AF1757" s="284"/>
      <c r="AG1757" s="284"/>
      <c r="AI1757" s="131"/>
    </row>
    <row r="1758" spans="1:35" ht="26.4">
      <c r="A1758" s="284"/>
      <c r="B1758" s="284"/>
      <c r="C1758" s="284"/>
      <c r="D1758" s="284"/>
      <c r="E1758" s="284"/>
      <c r="F1758" s="284"/>
      <c r="G1758" s="284"/>
      <c r="H1758" s="284"/>
      <c r="I1758" s="284"/>
      <c r="J1758" s="375"/>
      <c r="K1758" s="375"/>
      <c r="L1758" s="375"/>
      <c r="M1758" s="368"/>
      <c r="N1758" s="368"/>
      <c r="O1758" s="370"/>
      <c r="T1758" s="340"/>
      <c r="V1758" s="378"/>
      <c r="W1758" s="64" ph="1"/>
      <c r="X1758" s="241"/>
      <c r="Y1758" s="284"/>
      <c r="Z1758" s="207"/>
      <c r="AA1758" s="284"/>
      <c r="AB1758" s="284"/>
      <c r="AC1758" s="284"/>
      <c r="AD1758" s="284"/>
      <c r="AE1758" s="284"/>
      <c r="AF1758" s="284"/>
      <c r="AG1758" s="284"/>
      <c r="AI1758" s="131"/>
    </row>
    <row r="1759" spans="1:35" ht="26.4">
      <c r="A1759" s="284"/>
      <c r="B1759" s="284"/>
      <c r="C1759" s="284"/>
      <c r="D1759" s="284"/>
      <c r="E1759" s="284"/>
      <c r="F1759" s="284"/>
      <c r="G1759" s="284"/>
      <c r="H1759" s="284"/>
      <c r="I1759" s="284"/>
      <c r="J1759" s="375"/>
      <c r="K1759" s="375"/>
      <c r="L1759" s="375"/>
      <c r="M1759" s="368"/>
      <c r="N1759" s="368"/>
      <c r="O1759" s="370"/>
      <c r="T1759" s="340"/>
      <c r="V1759" s="378"/>
      <c r="W1759" s="64" ph="1"/>
      <c r="X1759" s="241"/>
      <c r="Y1759" s="284"/>
      <c r="Z1759" s="207"/>
      <c r="AA1759" s="284"/>
      <c r="AB1759" s="284"/>
      <c r="AC1759" s="284"/>
      <c r="AD1759" s="284"/>
      <c r="AE1759" s="284"/>
      <c r="AF1759" s="284"/>
      <c r="AG1759" s="284"/>
      <c r="AI1759" s="131"/>
    </row>
    <row r="1760" spans="1:35" ht="26.4">
      <c r="A1760" s="284"/>
      <c r="B1760" s="284"/>
      <c r="C1760" s="284"/>
      <c r="D1760" s="284"/>
      <c r="E1760" s="284"/>
      <c r="F1760" s="284"/>
      <c r="G1760" s="284"/>
      <c r="H1760" s="284"/>
      <c r="I1760" s="284"/>
      <c r="J1760" s="375"/>
      <c r="K1760" s="375"/>
      <c r="L1760" s="375"/>
      <c r="M1760" s="368"/>
      <c r="N1760" s="368"/>
      <c r="O1760" s="370"/>
      <c r="T1760" s="340"/>
      <c r="V1760" s="378"/>
      <c r="W1760" s="64" ph="1"/>
      <c r="X1760" s="241"/>
      <c r="Y1760" s="284"/>
      <c r="Z1760" s="207"/>
      <c r="AA1760" s="284"/>
      <c r="AB1760" s="284"/>
      <c r="AC1760" s="284"/>
      <c r="AD1760" s="284"/>
      <c r="AE1760" s="284"/>
      <c r="AF1760" s="284"/>
      <c r="AG1760" s="284"/>
      <c r="AI1760" s="131"/>
    </row>
    <row r="1761" spans="1:35" ht="26.4">
      <c r="A1761" s="284"/>
      <c r="B1761" s="284"/>
      <c r="C1761" s="284"/>
      <c r="D1761" s="284"/>
      <c r="E1761" s="284"/>
      <c r="F1761" s="284"/>
      <c r="G1761" s="284"/>
      <c r="H1761" s="284"/>
      <c r="I1761" s="284"/>
      <c r="J1761" s="375"/>
      <c r="K1761" s="375"/>
      <c r="L1761" s="375"/>
      <c r="M1761" s="368"/>
      <c r="N1761" s="368"/>
      <c r="O1761" s="370"/>
      <c r="T1761" s="340"/>
      <c r="V1761" s="378"/>
      <c r="W1761" s="64" ph="1"/>
      <c r="X1761" s="241"/>
      <c r="Y1761" s="284"/>
      <c r="Z1761" s="207"/>
      <c r="AA1761" s="284"/>
      <c r="AB1761" s="284"/>
      <c r="AC1761" s="284"/>
      <c r="AD1761" s="284"/>
      <c r="AE1761" s="284"/>
      <c r="AF1761" s="284"/>
      <c r="AG1761" s="284"/>
      <c r="AI1761" s="131"/>
    </row>
    <row r="1762" spans="1:35" ht="26.4">
      <c r="A1762" s="284"/>
      <c r="B1762" s="284"/>
      <c r="C1762" s="284"/>
      <c r="D1762" s="284"/>
      <c r="E1762" s="284"/>
      <c r="F1762" s="284"/>
      <c r="G1762" s="284"/>
      <c r="H1762" s="284"/>
      <c r="I1762" s="284"/>
      <c r="J1762" s="375"/>
      <c r="K1762" s="375"/>
      <c r="L1762" s="375"/>
      <c r="M1762" s="368"/>
      <c r="N1762" s="368"/>
      <c r="O1762" s="370"/>
      <c r="T1762" s="340"/>
      <c r="V1762" s="378"/>
      <c r="W1762" s="64" ph="1"/>
      <c r="X1762" s="241"/>
      <c r="Y1762" s="284"/>
      <c r="Z1762" s="207"/>
      <c r="AA1762" s="284"/>
      <c r="AB1762" s="284"/>
      <c r="AC1762" s="284"/>
      <c r="AD1762" s="284"/>
      <c r="AE1762" s="284"/>
      <c r="AF1762" s="284"/>
      <c r="AG1762" s="284"/>
      <c r="AI1762" s="131"/>
    </row>
    <row r="1763" spans="1:35" ht="26.4">
      <c r="A1763" s="284"/>
      <c r="B1763" s="284"/>
      <c r="C1763" s="284"/>
      <c r="D1763" s="284"/>
      <c r="E1763" s="284"/>
      <c r="F1763" s="284"/>
      <c r="G1763" s="284"/>
      <c r="H1763" s="284"/>
      <c r="I1763" s="284"/>
      <c r="J1763" s="375"/>
      <c r="K1763" s="375"/>
      <c r="L1763" s="375"/>
      <c r="M1763" s="368"/>
      <c r="N1763" s="368"/>
      <c r="O1763" s="370"/>
      <c r="T1763" s="340"/>
      <c r="V1763" s="378"/>
      <c r="W1763" s="64" ph="1"/>
      <c r="X1763" s="241"/>
      <c r="Y1763" s="284"/>
      <c r="Z1763" s="207"/>
      <c r="AA1763" s="284"/>
      <c r="AB1763" s="284"/>
      <c r="AC1763" s="284"/>
      <c r="AD1763" s="284"/>
      <c r="AE1763" s="284"/>
      <c r="AF1763" s="284"/>
      <c r="AG1763" s="284"/>
      <c r="AI1763" s="131"/>
    </row>
    <row r="1764" spans="1:35" ht="26.4">
      <c r="A1764" s="284"/>
      <c r="B1764" s="284"/>
      <c r="C1764" s="284"/>
      <c r="D1764" s="284"/>
      <c r="E1764" s="284"/>
      <c r="F1764" s="284"/>
      <c r="G1764" s="284"/>
      <c r="H1764" s="284"/>
      <c r="I1764" s="284"/>
      <c r="J1764" s="375"/>
      <c r="K1764" s="375"/>
      <c r="L1764" s="375"/>
      <c r="M1764" s="368"/>
      <c r="N1764" s="368"/>
      <c r="O1764" s="370"/>
      <c r="T1764" s="340"/>
      <c r="V1764" s="378"/>
      <c r="W1764" s="64" ph="1"/>
      <c r="X1764" s="241"/>
      <c r="Y1764" s="284"/>
      <c r="Z1764" s="207"/>
      <c r="AA1764" s="284"/>
      <c r="AB1764" s="284"/>
      <c r="AC1764" s="284"/>
      <c r="AD1764" s="284"/>
      <c r="AE1764" s="284"/>
      <c r="AF1764" s="284"/>
      <c r="AG1764" s="284"/>
      <c r="AI1764" s="131"/>
    </row>
    <row r="1765" spans="1:35" ht="26.4">
      <c r="A1765" s="284"/>
      <c r="B1765" s="284"/>
      <c r="C1765" s="284"/>
      <c r="D1765" s="284"/>
      <c r="E1765" s="284"/>
      <c r="F1765" s="284"/>
      <c r="G1765" s="284"/>
      <c r="H1765" s="284"/>
      <c r="I1765" s="284"/>
      <c r="J1765" s="375"/>
      <c r="K1765" s="375"/>
      <c r="L1765" s="375"/>
      <c r="M1765" s="368"/>
      <c r="N1765" s="368"/>
      <c r="O1765" s="370"/>
      <c r="T1765" s="340"/>
      <c r="V1765" s="378"/>
      <c r="W1765" s="64" ph="1"/>
      <c r="X1765" s="241"/>
      <c r="Y1765" s="284"/>
      <c r="Z1765" s="207"/>
      <c r="AA1765" s="284"/>
      <c r="AB1765" s="284"/>
      <c r="AC1765" s="284"/>
      <c r="AD1765" s="284"/>
      <c r="AE1765" s="284"/>
      <c r="AF1765" s="284"/>
      <c r="AG1765" s="284"/>
      <c r="AI1765" s="284"/>
    </row>
    <row r="1766" spans="1:35" ht="26.4">
      <c r="A1766" s="284"/>
      <c r="B1766" s="284"/>
      <c r="C1766" s="284"/>
      <c r="D1766" s="284"/>
      <c r="E1766" s="284"/>
      <c r="F1766" s="284"/>
      <c r="G1766" s="284"/>
      <c r="H1766" s="284"/>
      <c r="I1766" s="284"/>
      <c r="J1766" s="375"/>
      <c r="K1766" s="375"/>
      <c r="L1766" s="375"/>
      <c r="M1766" s="368"/>
      <c r="N1766" s="368"/>
      <c r="O1766" s="370"/>
      <c r="T1766" s="340"/>
      <c r="V1766" s="378"/>
      <c r="W1766" s="64" ph="1"/>
      <c r="X1766" s="241"/>
      <c r="Y1766" s="284"/>
      <c r="Z1766" s="207"/>
      <c r="AA1766" s="284"/>
      <c r="AB1766" s="284"/>
      <c r="AC1766" s="284"/>
      <c r="AD1766" s="284"/>
      <c r="AE1766" s="284"/>
      <c r="AF1766" s="284"/>
      <c r="AG1766" s="284"/>
      <c r="AI1766" s="131"/>
    </row>
    <row r="1767" spans="1:35" ht="26.4">
      <c r="A1767" s="284"/>
      <c r="B1767" s="284"/>
      <c r="C1767" s="284"/>
      <c r="D1767" s="284"/>
      <c r="E1767" s="284"/>
      <c r="F1767" s="284"/>
      <c r="G1767" s="284"/>
      <c r="H1767" s="284"/>
      <c r="I1767" s="284"/>
      <c r="J1767" s="375"/>
      <c r="K1767" s="375"/>
      <c r="L1767" s="375"/>
      <c r="M1767" s="368"/>
      <c r="N1767" s="368"/>
      <c r="O1767" s="370"/>
      <c r="T1767" s="340"/>
      <c r="V1767" s="378"/>
      <c r="W1767" s="64" ph="1"/>
      <c r="X1767" s="241"/>
      <c r="Y1767" s="284"/>
      <c r="Z1767" s="207"/>
      <c r="AA1767" s="284"/>
      <c r="AB1767" s="284"/>
      <c r="AC1767" s="284"/>
      <c r="AD1767" s="284"/>
      <c r="AE1767" s="284"/>
      <c r="AF1767" s="284"/>
      <c r="AG1767" s="284"/>
      <c r="AI1767" s="131"/>
    </row>
    <row r="1768" spans="1:35" ht="26.4">
      <c r="A1768" s="284"/>
      <c r="B1768" s="284"/>
      <c r="C1768" s="284"/>
      <c r="D1768" s="284"/>
      <c r="E1768" s="284"/>
      <c r="F1768" s="284"/>
      <c r="G1768" s="284"/>
      <c r="H1768" s="284"/>
      <c r="I1768" s="284"/>
      <c r="J1768" s="375"/>
      <c r="K1768" s="375"/>
      <c r="L1768" s="375"/>
      <c r="M1768" s="368"/>
      <c r="N1768" s="368"/>
      <c r="O1768" s="370"/>
      <c r="T1768" s="340"/>
      <c r="V1768" s="378"/>
      <c r="W1768" s="64" ph="1"/>
      <c r="X1768" s="241"/>
      <c r="Y1768" s="284"/>
      <c r="Z1768" s="207"/>
      <c r="AA1768" s="284"/>
      <c r="AB1768" s="284"/>
      <c r="AC1768" s="284"/>
      <c r="AD1768" s="284"/>
      <c r="AE1768" s="284"/>
      <c r="AF1768" s="284"/>
      <c r="AG1768" s="284"/>
      <c r="AI1768" s="131"/>
    </row>
    <row r="1769" spans="1:35" ht="26.4">
      <c r="A1769" s="284"/>
      <c r="B1769" s="284"/>
      <c r="C1769" s="284"/>
      <c r="D1769" s="284"/>
      <c r="E1769" s="284"/>
      <c r="F1769" s="284"/>
      <c r="G1769" s="284"/>
      <c r="H1769" s="284"/>
      <c r="I1769" s="284"/>
      <c r="J1769" s="375"/>
      <c r="K1769" s="375"/>
      <c r="L1769" s="375"/>
      <c r="M1769" s="368"/>
      <c r="N1769" s="368"/>
      <c r="O1769" s="370"/>
      <c r="T1769" s="340"/>
      <c r="V1769" s="378"/>
      <c r="W1769" s="64" ph="1"/>
      <c r="X1769" s="241"/>
      <c r="Y1769" s="284"/>
      <c r="Z1769" s="207"/>
      <c r="AA1769" s="284"/>
      <c r="AB1769" s="284"/>
      <c r="AC1769" s="284"/>
      <c r="AD1769" s="284"/>
      <c r="AE1769" s="284"/>
      <c r="AF1769" s="284"/>
      <c r="AG1769" s="284"/>
      <c r="AI1769" s="131"/>
    </row>
    <row r="1770" spans="1:35" ht="26.4">
      <c r="A1770" s="284"/>
      <c r="B1770" s="284"/>
      <c r="C1770" s="284"/>
      <c r="D1770" s="284"/>
      <c r="E1770" s="284"/>
      <c r="F1770" s="284"/>
      <c r="G1770" s="284"/>
      <c r="H1770" s="284"/>
      <c r="I1770" s="284"/>
      <c r="J1770" s="375"/>
      <c r="K1770" s="375"/>
      <c r="L1770" s="375"/>
      <c r="M1770" s="368"/>
      <c r="N1770" s="368"/>
      <c r="O1770" s="370"/>
      <c r="T1770" s="340"/>
      <c r="V1770" s="378"/>
      <c r="W1770" s="64" ph="1"/>
      <c r="X1770" s="241"/>
      <c r="Y1770" s="284"/>
      <c r="Z1770" s="207"/>
      <c r="AA1770" s="284"/>
      <c r="AB1770" s="284"/>
      <c r="AC1770" s="284"/>
      <c r="AD1770" s="284"/>
      <c r="AE1770" s="284"/>
      <c r="AF1770" s="284"/>
      <c r="AG1770" s="284"/>
      <c r="AI1770" s="131"/>
    </row>
    <row r="1771" spans="1:35" ht="26.4">
      <c r="A1771" s="284"/>
      <c r="B1771" s="284"/>
      <c r="C1771" s="284"/>
      <c r="D1771" s="284"/>
      <c r="E1771" s="284"/>
      <c r="F1771" s="284"/>
      <c r="G1771" s="284"/>
      <c r="H1771" s="284"/>
      <c r="I1771" s="284"/>
      <c r="J1771" s="375"/>
      <c r="K1771" s="375"/>
      <c r="L1771" s="375"/>
      <c r="M1771" s="368"/>
      <c r="N1771" s="368"/>
      <c r="O1771" s="370"/>
      <c r="T1771" s="340"/>
      <c r="V1771" s="378"/>
      <c r="W1771" s="64" ph="1"/>
      <c r="X1771" s="241"/>
      <c r="Y1771" s="284"/>
      <c r="Z1771" s="207"/>
      <c r="AA1771" s="284"/>
      <c r="AB1771" s="284"/>
      <c r="AC1771" s="284"/>
      <c r="AD1771" s="284"/>
      <c r="AE1771" s="284"/>
      <c r="AF1771" s="284"/>
      <c r="AG1771" s="284"/>
      <c r="AI1771" s="131"/>
    </row>
    <row r="1772" spans="1:35" ht="26.4">
      <c r="A1772" s="284"/>
      <c r="B1772" s="284"/>
      <c r="C1772" s="284"/>
      <c r="D1772" s="284"/>
      <c r="E1772" s="284"/>
      <c r="F1772" s="284"/>
      <c r="G1772" s="284"/>
      <c r="H1772" s="284"/>
      <c r="I1772" s="284"/>
      <c r="J1772" s="375"/>
      <c r="K1772" s="375"/>
      <c r="L1772" s="375"/>
      <c r="M1772" s="368"/>
      <c r="N1772" s="368"/>
      <c r="O1772" s="370"/>
      <c r="T1772" s="340"/>
      <c r="V1772" s="378"/>
      <c r="W1772" s="64" ph="1"/>
      <c r="X1772" s="241"/>
      <c r="Y1772" s="284"/>
      <c r="Z1772" s="207"/>
      <c r="AA1772" s="284"/>
      <c r="AB1772" s="284"/>
      <c r="AC1772" s="284"/>
      <c r="AD1772" s="284"/>
      <c r="AE1772" s="284"/>
      <c r="AF1772" s="284"/>
      <c r="AG1772" s="284"/>
      <c r="AI1772" s="52"/>
    </row>
    <row r="1773" spans="1:35" ht="26.4">
      <c r="A1773" s="284"/>
      <c r="B1773" s="284"/>
      <c r="C1773" s="284"/>
      <c r="D1773" s="284"/>
      <c r="E1773" s="284"/>
      <c r="F1773" s="284"/>
      <c r="G1773" s="284"/>
      <c r="H1773" s="284"/>
      <c r="I1773" s="284"/>
      <c r="J1773" s="375"/>
      <c r="K1773" s="375"/>
      <c r="L1773" s="375"/>
      <c r="M1773" s="368"/>
      <c r="N1773" s="368"/>
      <c r="O1773" s="370"/>
      <c r="T1773" s="340"/>
      <c r="V1773" s="378"/>
      <c r="W1773" s="64" ph="1"/>
      <c r="X1773" s="241"/>
      <c r="Y1773" s="284"/>
      <c r="Z1773" s="207"/>
      <c r="AA1773" s="284"/>
      <c r="AB1773" s="284"/>
      <c r="AC1773" s="284"/>
      <c r="AD1773" s="284"/>
      <c r="AE1773" s="284"/>
      <c r="AF1773" s="284"/>
      <c r="AG1773" s="284"/>
      <c r="AI1773" s="131"/>
    </row>
    <row r="1774" spans="1:35" ht="26.4">
      <c r="A1774" s="284"/>
      <c r="B1774" s="284"/>
      <c r="C1774" s="284"/>
      <c r="D1774" s="284"/>
      <c r="E1774" s="284"/>
      <c r="F1774" s="284"/>
      <c r="G1774" s="284"/>
      <c r="H1774" s="284"/>
      <c r="I1774" s="284"/>
      <c r="J1774" s="375"/>
      <c r="K1774" s="375"/>
      <c r="L1774" s="375"/>
      <c r="M1774" s="368"/>
      <c r="N1774" s="368"/>
      <c r="O1774" s="370"/>
      <c r="T1774" s="340"/>
      <c r="V1774" s="378"/>
      <c r="W1774" s="64" ph="1"/>
      <c r="X1774" s="241"/>
      <c r="Y1774" s="284"/>
      <c r="Z1774" s="207"/>
      <c r="AA1774" s="284"/>
      <c r="AB1774" s="284"/>
      <c r="AC1774" s="284"/>
      <c r="AD1774" s="284"/>
      <c r="AE1774" s="284"/>
      <c r="AF1774" s="284"/>
      <c r="AG1774" s="284"/>
      <c r="AI1774" s="131"/>
    </row>
    <row r="1775" spans="1:35" ht="26.4">
      <c r="A1775" s="284"/>
      <c r="B1775" s="284"/>
      <c r="C1775" s="284"/>
      <c r="D1775" s="284"/>
      <c r="E1775" s="284"/>
      <c r="F1775" s="284"/>
      <c r="G1775" s="284"/>
      <c r="H1775" s="284"/>
      <c r="I1775" s="284"/>
      <c r="J1775" s="375"/>
      <c r="K1775" s="375"/>
      <c r="L1775" s="375"/>
      <c r="M1775" s="368"/>
      <c r="N1775" s="368"/>
      <c r="O1775" s="370"/>
      <c r="T1775" s="340"/>
      <c r="V1775" s="378"/>
      <c r="W1775" s="64" ph="1"/>
      <c r="X1775" s="241"/>
      <c r="Y1775" s="284"/>
      <c r="Z1775" s="207"/>
      <c r="AA1775" s="284"/>
      <c r="AB1775" s="284"/>
      <c r="AC1775" s="284"/>
      <c r="AD1775" s="284"/>
      <c r="AE1775" s="284"/>
      <c r="AF1775" s="284"/>
      <c r="AG1775" s="284"/>
      <c r="AI1775" s="131"/>
    </row>
    <row r="1776" spans="1:35" ht="26.4">
      <c r="A1776" s="284"/>
      <c r="B1776" s="284"/>
      <c r="C1776" s="284"/>
      <c r="D1776" s="284"/>
      <c r="E1776" s="284"/>
      <c r="F1776" s="284"/>
      <c r="G1776" s="284"/>
      <c r="H1776" s="284"/>
      <c r="I1776" s="284"/>
      <c r="J1776" s="375"/>
      <c r="K1776" s="375"/>
      <c r="L1776" s="375"/>
      <c r="M1776" s="368"/>
      <c r="N1776" s="368"/>
      <c r="O1776" s="370"/>
      <c r="T1776" s="340"/>
      <c r="V1776" s="378"/>
      <c r="W1776" s="64" ph="1"/>
      <c r="X1776" s="241"/>
      <c r="Y1776" s="284"/>
      <c r="Z1776" s="207"/>
      <c r="AA1776" s="284"/>
      <c r="AB1776" s="284"/>
      <c r="AC1776" s="284"/>
      <c r="AD1776" s="284"/>
      <c r="AE1776" s="284"/>
      <c r="AF1776" s="284"/>
      <c r="AG1776" s="284"/>
      <c r="AI1776" s="131"/>
    </row>
    <row r="1777" spans="1:35" ht="26.4">
      <c r="A1777" s="284"/>
      <c r="B1777" s="284"/>
      <c r="C1777" s="284"/>
      <c r="D1777" s="284"/>
      <c r="E1777" s="284"/>
      <c r="F1777" s="284"/>
      <c r="G1777" s="284"/>
      <c r="H1777" s="284"/>
      <c r="I1777" s="284"/>
      <c r="J1777" s="375"/>
      <c r="K1777" s="375"/>
      <c r="L1777" s="375"/>
      <c r="M1777" s="368"/>
      <c r="N1777" s="368"/>
      <c r="O1777" s="370"/>
      <c r="T1777" s="340"/>
      <c r="V1777" s="378"/>
      <c r="W1777" s="64" ph="1"/>
      <c r="X1777" s="241"/>
      <c r="Y1777" s="284"/>
      <c r="Z1777" s="207"/>
      <c r="AA1777" s="284"/>
      <c r="AB1777" s="284"/>
      <c r="AC1777" s="284"/>
      <c r="AD1777" s="284"/>
      <c r="AE1777" s="284"/>
      <c r="AF1777" s="284"/>
      <c r="AG1777" s="284"/>
      <c r="AI1777" s="131"/>
    </row>
    <row r="1778" spans="1:35" ht="26.4">
      <c r="A1778" s="284"/>
      <c r="B1778" s="284"/>
      <c r="C1778" s="284"/>
      <c r="D1778" s="284"/>
      <c r="E1778" s="284"/>
      <c r="F1778" s="284"/>
      <c r="G1778" s="284"/>
      <c r="H1778" s="284"/>
      <c r="I1778" s="284"/>
      <c r="J1778" s="375"/>
      <c r="K1778" s="375"/>
      <c r="L1778" s="375"/>
      <c r="M1778" s="368"/>
      <c r="N1778" s="368"/>
      <c r="O1778" s="370"/>
      <c r="T1778" s="340"/>
      <c r="V1778" s="378"/>
      <c r="W1778" s="64" ph="1"/>
      <c r="X1778" s="241"/>
      <c r="Y1778" s="284"/>
      <c r="Z1778" s="207"/>
      <c r="AA1778" s="284"/>
      <c r="AB1778" s="284"/>
      <c r="AC1778" s="284"/>
      <c r="AD1778" s="284"/>
      <c r="AE1778" s="284"/>
      <c r="AF1778" s="284"/>
      <c r="AG1778" s="284"/>
      <c r="AI1778" s="131"/>
    </row>
    <row r="1779" spans="1:35" ht="26.4">
      <c r="A1779" s="284"/>
      <c r="B1779" s="284"/>
      <c r="C1779" s="284"/>
      <c r="D1779" s="284"/>
      <c r="E1779" s="284"/>
      <c r="F1779" s="284"/>
      <c r="G1779" s="284"/>
      <c r="H1779" s="284"/>
      <c r="I1779" s="284"/>
      <c r="J1779" s="375"/>
      <c r="K1779" s="375"/>
      <c r="L1779" s="375"/>
      <c r="M1779" s="368"/>
      <c r="N1779" s="368"/>
      <c r="O1779" s="370"/>
      <c r="T1779" s="340"/>
      <c r="V1779" s="378"/>
      <c r="W1779" s="64" ph="1"/>
      <c r="X1779" s="241"/>
      <c r="Y1779" s="284"/>
      <c r="Z1779" s="207"/>
      <c r="AA1779" s="284"/>
      <c r="AB1779" s="284"/>
      <c r="AC1779" s="284"/>
      <c r="AD1779" s="284"/>
      <c r="AE1779" s="284"/>
      <c r="AF1779" s="284"/>
      <c r="AG1779" s="284"/>
      <c r="AI1779" s="131"/>
    </row>
    <row r="1780" spans="1:35" ht="26.4">
      <c r="A1780" s="284"/>
      <c r="B1780" s="284"/>
      <c r="C1780" s="284"/>
      <c r="D1780" s="284"/>
      <c r="E1780" s="284"/>
      <c r="F1780" s="284"/>
      <c r="G1780" s="284"/>
      <c r="H1780" s="284"/>
      <c r="I1780" s="284"/>
      <c r="J1780" s="375"/>
      <c r="K1780" s="375"/>
      <c r="L1780" s="375"/>
      <c r="M1780" s="368"/>
      <c r="N1780" s="368"/>
      <c r="O1780" s="370"/>
      <c r="T1780" s="340"/>
      <c r="V1780" s="378"/>
      <c r="W1780" s="64" ph="1"/>
      <c r="X1780" s="241"/>
      <c r="Y1780" s="284"/>
      <c r="Z1780" s="207"/>
      <c r="AA1780" s="284"/>
      <c r="AB1780" s="284"/>
      <c r="AC1780" s="284"/>
      <c r="AD1780" s="284"/>
      <c r="AE1780" s="284"/>
      <c r="AF1780" s="284"/>
      <c r="AG1780" s="284"/>
      <c r="AI1780" s="131"/>
    </row>
    <row r="1781" spans="1:35" ht="26.4">
      <c r="A1781" s="284"/>
      <c r="B1781" s="284"/>
      <c r="C1781" s="284"/>
      <c r="D1781" s="284"/>
      <c r="E1781" s="284"/>
      <c r="F1781" s="284"/>
      <c r="G1781" s="284"/>
      <c r="H1781" s="284"/>
      <c r="I1781" s="284"/>
      <c r="J1781" s="375"/>
      <c r="K1781" s="375"/>
      <c r="L1781" s="375"/>
      <c r="M1781" s="368"/>
      <c r="N1781" s="368"/>
      <c r="O1781" s="370"/>
      <c r="T1781" s="340"/>
      <c r="V1781" s="378"/>
      <c r="W1781" s="64" ph="1"/>
      <c r="X1781" s="241"/>
      <c r="Y1781" s="284"/>
      <c r="Z1781" s="207"/>
      <c r="AA1781" s="284"/>
      <c r="AB1781" s="284"/>
      <c r="AC1781" s="284"/>
      <c r="AD1781" s="284"/>
      <c r="AE1781" s="284"/>
      <c r="AF1781" s="284"/>
      <c r="AG1781" s="284"/>
      <c r="AI1781" s="131"/>
    </row>
    <row r="1782" spans="1:35" ht="26.4">
      <c r="A1782" s="284"/>
      <c r="B1782" s="284"/>
      <c r="C1782" s="284"/>
      <c r="D1782" s="284"/>
      <c r="E1782" s="284"/>
      <c r="F1782" s="284"/>
      <c r="G1782" s="284"/>
      <c r="H1782" s="284"/>
      <c r="I1782" s="284"/>
      <c r="J1782" s="375"/>
      <c r="K1782" s="375"/>
      <c r="L1782" s="375"/>
      <c r="M1782" s="368"/>
      <c r="N1782" s="368"/>
      <c r="O1782" s="370"/>
      <c r="T1782" s="340"/>
      <c r="V1782" s="378"/>
      <c r="W1782" s="64" ph="1"/>
      <c r="X1782" s="241"/>
      <c r="Y1782" s="284"/>
      <c r="Z1782" s="207"/>
      <c r="AA1782" s="284"/>
      <c r="AB1782" s="284"/>
      <c r="AC1782" s="284"/>
      <c r="AD1782" s="284"/>
      <c r="AE1782" s="284"/>
      <c r="AF1782" s="284"/>
      <c r="AG1782" s="284"/>
      <c r="AI1782" s="131"/>
    </row>
    <row r="1783" spans="1:35" ht="26.4">
      <c r="A1783" s="284"/>
      <c r="B1783" s="284"/>
      <c r="C1783" s="284"/>
      <c r="D1783" s="284"/>
      <c r="E1783" s="284"/>
      <c r="F1783" s="284"/>
      <c r="G1783" s="284"/>
      <c r="H1783" s="284"/>
      <c r="I1783" s="284"/>
      <c r="J1783" s="375"/>
      <c r="K1783" s="375"/>
      <c r="L1783" s="375"/>
      <c r="M1783" s="368"/>
      <c r="N1783" s="368"/>
      <c r="O1783" s="370"/>
      <c r="T1783" s="340"/>
      <c r="V1783" s="378"/>
      <c r="W1783" s="64" ph="1"/>
      <c r="X1783" s="241"/>
      <c r="Y1783" s="284"/>
      <c r="Z1783" s="207"/>
      <c r="AA1783" s="284"/>
      <c r="AB1783" s="284"/>
      <c r="AC1783" s="284"/>
      <c r="AD1783" s="284"/>
      <c r="AE1783" s="284"/>
      <c r="AF1783" s="284"/>
      <c r="AG1783" s="284"/>
      <c r="AI1783" s="131"/>
    </row>
    <row r="1784" spans="1:35" ht="26.4">
      <c r="A1784" s="284"/>
      <c r="B1784" s="284"/>
      <c r="C1784" s="284"/>
      <c r="D1784" s="284"/>
      <c r="E1784" s="284"/>
      <c r="F1784" s="284"/>
      <c r="G1784" s="284"/>
      <c r="H1784" s="284"/>
      <c r="I1784" s="284"/>
      <c r="J1784" s="375"/>
      <c r="K1784" s="375"/>
      <c r="L1784" s="375"/>
      <c r="M1784" s="368"/>
      <c r="N1784" s="368"/>
      <c r="O1784" s="370"/>
      <c r="T1784" s="340"/>
      <c r="V1784" s="378"/>
      <c r="W1784" s="64" ph="1"/>
      <c r="X1784" s="241"/>
      <c r="Y1784" s="284"/>
      <c r="Z1784" s="207"/>
      <c r="AA1784" s="284"/>
      <c r="AB1784" s="284"/>
      <c r="AC1784" s="284"/>
      <c r="AD1784" s="284"/>
      <c r="AE1784" s="284"/>
      <c r="AF1784" s="284"/>
      <c r="AG1784" s="284"/>
      <c r="AI1784" s="131"/>
    </row>
    <row r="1785" spans="1:35" ht="26.4">
      <c r="A1785" s="284"/>
      <c r="B1785" s="284"/>
      <c r="C1785" s="284"/>
      <c r="D1785" s="284"/>
      <c r="E1785" s="284"/>
      <c r="F1785" s="284"/>
      <c r="G1785" s="284"/>
      <c r="H1785" s="284"/>
      <c r="I1785" s="284"/>
      <c r="J1785" s="375"/>
      <c r="K1785" s="375"/>
      <c r="L1785" s="375"/>
      <c r="M1785" s="368"/>
      <c r="N1785" s="368"/>
      <c r="O1785" s="370"/>
      <c r="T1785" s="340"/>
      <c r="V1785" s="378"/>
      <c r="W1785" s="64" ph="1"/>
      <c r="X1785" s="241"/>
      <c r="Y1785" s="284"/>
      <c r="Z1785" s="207"/>
      <c r="AA1785" s="284"/>
      <c r="AB1785" s="284"/>
      <c r="AC1785" s="284"/>
      <c r="AD1785" s="284"/>
      <c r="AE1785" s="284"/>
      <c r="AF1785" s="284"/>
      <c r="AG1785" s="284"/>
      <c r="AI1785" s="131"/>
    </row>
    <row r="1786" spans="1:35" ht="26.4">
      <c r="A1786" s="284"/>
      <c r="B1786" s="284"/>
      <c r="C1786" s="284"/>
      <c r="D1786" s="284"/>
      <c r="E1786" s="284"/>
      <c r="F1786" s="284"/>
      <c r="G1786" s="284"/>
      <c r="H1786" s="284"/>
      <c r="I1786" s="284"/>
      <c r="J1786" s="375"/>
      <c r="K1786" s="375"/>
      <c r="L1786" s="375"/>
      <c r="M1786" s="368"/>
      <c r="N1786" s="368"/>
      <c r="O1786" s="370"/>
      <c r="T1786" s="340"/>
      <c r="V1786" s="378"/>
      <c r="W1786" s="64" ph="1"/>
      <c r="X1786" s="241"/>
      <c r="Y1786" s="284"/>
      <c r="Z1786" s="207"/>
      <c r="AA1786" s="284"/>
      <c r="AB1786" s="284"/>
      <c r="AC1786" s="284"/>
      <c r="AD1786" s="284"/>
      <c r="AE1786" s="284"/>
      <c r="AF1786" s="284"/>
      <c r="AG1786" s="284"/>
      <c r="AI1786" s="131"/>
    </row>
    <row r="1787" spans="1:35" ht="26.4">
      <c r="A1787" s="284"/>
      <c r="B1787" s="284"/>
      <c r="C1787" s="284"/>
      <c r="D1787" s="284"/>
      <c r="E1787" s="284"/>
      <c r="F1787" s="284"/>
      <c r="G1787" s="284"/>
      <c r="H1787" s="284"/>
      <c r="I1787" s="284"/>
      <c r="J1787" s="375"/>
      <c r="K1787" s="375"/>
      <c r="L1787" s="375"/>
      <c r="M1787" s="368"/>
      <c r="N1787" s="368"/>
      <c r="O1787" s="370"/>
      <c r="T1787" s="340"/>
      <c r="V1787" s="378"/>
      <c r="W1787" s="64" ph="1"/>
      <c r="X1787" s="241"/>
      <c r="Y1787" s="284"/>
      <c r="Z1787" s="207"/>
      <c r="AA1787" s="284"/>
      <c r="AB1787" s="284"/>
      <c r="AC1787" s="284"/>
      <c r="AD1787" s="284"/>
      <c r="AE1787" s="284"/>
      <c r="AF1787" s="284"/>
      <c r="AG1787" s="284"/>
      <c r="AI1787" s="131"/>
    </row>
    <row r="1788" spans="1:35" ht="26.4">
      <c r="A1788" s="284"/>
      <c r="B1788" s="284"/>
      <c r="C1788" s="284"/>
      <c r="D1788" s="284"/>
      <c r="E1788" s="284"/>
      <c r="F1788" s="284"/>
      <c r="G1788" s="284"/>
      <c r="H1788" s="284"/>
      <c r="I1788" s="284"/>
      <c r="J1788" s="375"/>
      <c r="K1788" s="375"/>
      <c r="L1788" s="375"/>
      <c r="M1788" s="368"/>
      <c r="N1788" s="368"/>
      <c r="O1788" s="370"/>
      <c r="T1788" s="340"/>
      <c r="V1788" s="378"/>
      <c r="W1788" s="64" ph="1"/>
      <c r="X1788" s="241"/>
      <c r="Y1788" s="284"/>
      <c r="Z1788" s="207"/>
      <c r="AA1788" s="284"/>
      <c r="AB1788" s="284"/>
      <c r="AC1788" s="284"/>
      <c r="AD1788" s="284"/>
      <c r="AE1788" s="284"/>
      <c r="AF1788" s="284"/>
      <c r="AG1788" s="284"/>
      <c r="AI1788" s="131"/>
    </row>
    <row r="1789" spans="1:35" ht="26.4">
      <c r="A1789" s="284"/>
      <c r="B1789" s="284"/>
      <c r="C1789" s="284"/>
      <c r="D1789" s="284"/>
      <c r="E1789" s="284"/>
      <c r="F1789" s="284"/>
      <c r="G1789" s="284"/>
      <c r="H1789" s="284"/>
      <c r="I1789" s="284"/>
      <c r="J1789" s="375"/>
      <c r="K1789" s="375"/>
      <c r="L1789" s="375"/>
      <c r="M1789" s="368"/>
      <c r="N1789" s="368"/>
      <c r="O1789" s="370"/>
      <c r="T1789" s="340"/>
      <c r="V1789" s="378"/>
      <c r="W1789" s="64" ph="1"/>
      <c r="X1789" s="241"/>
      <c r="Y1789" s="284"/>
      <c r="Z1789" s="207"/>
      <c r="AA1789" s="284"/>
      <c r="AB1789" s="284"/>
      <c r="AC1789" s="284"/>
      <c r="AD1789" s="284"/>
      <c r="AE1789" s="284"/>
      <c r="AF1789" s="284"/>
      <c r="AG1789" s="284"/>
      <c r="AI1789" s="131"/>
    </row>
    <row r="1790" spans="1:35" ht="26.4">
      <c r="A1790" s="284"/>
      <c r="B1790" s="284"/>
      <c r="C1790" s="284"/>
      <c r="D1790" s="284"/>
      <c r="E1790" s="284"/>
      <c r="F1790" s="284"/>
      <c r="G1790" s="284"/>
      <c r="H1790" s="284"/>
      <c r="I1790" s="284"/>
      <c r="J1790" s="375"/>
      <c r="K1790" s="375"/>
      <c r="L1790" s="375"/>
      <c r="M1790" s="368"/>
      <c r="N1790" s="368"/>
      <c r="O1790" s="370"/>
      <c r="T1790" s="340"/>
      <c r="V1790" s="378"/>
      <c r="W1790" s="64" ph="1"/>
      <c r="X1790" s="241"/>
      <c r="Y1790" s="284"/>
      <c r="Z1790" s="207"/>
      <c r="AA1790" s="284"/>
      <c r="AB1790" s="284"/>
      <c r="AC1790" s="284"/>
      <c r="AD1790" s="284"/>
      <c r="AE1790" s="284"/>
      <c r="AF1790" s="284"/>
      <c r="AG1790" s="284"/>
      <c r="AI1790" s="131"/>
    </row>
    <row r="1791" spans="1:35" ht="26.4">
      <c r="A1791" s="284"/>
      <c r="B1791" s="284"/>
      <c r="C1791" s="284"/>
      <c r="D1791" s="284"/>
      <c r="E1791" s="284"/>
      <c r="F1791" s="284"/>
      <c r="G1791" s="284"/>
      <c r="H1791" s="284"/>
      <c r="I1791" s="284"/>
      <c r="J1791" s="375"/>
      <c r="K1791" s="375"/>
      <c r="L1791" s="375"/>
      <c r="M1791" s="368"/>
      <c r="N1791" s="368"/>
      <c r="O1791" s="370"/>
      <c r="T1791" s="340"/>
      <c r="V1791" s="378"/>
      <c r="W1791" s="64" ph="1"/>
      <c r="X1791" s="241"/>
      <c r="Y1791" s="284"/>
      <c r="Z1791" s="207"/>
      <c r="AA1791" s="284"/>
      <c r="AB1791" s="284"/>
      <c r="AC1791" s="284"/>
      <c r="AD1791" s="284"/>
      <c r="AE1791" s="284"/>
      <c r="AF1791" s="284"/>
      <c r="AG1791" s="284"/>
      <c r="AI1791" s="131"/>
    </row>
    <row r="1792" spans="1:35" ht="26.4">
      <c r="A1792" s="284"/>
      <c r="B1792" s="284"/>
      <c r="C1792" s="284"/>
      <c r="D1792" s="284"/>
      <c r="E1792" s="284"/>
      <c r="F1792" s="284"/>
      <c r="G1792" s="284"/>
      <c r="H1792" s="284"/>
      <c r="I1792" s="284"/>
      <c r="J1792" s="375"/>
      <c r="K1792" s="375"/>
      <c r="L1792" s="375"/>
      <c r="M1792" s="368"/>
      <c r="N1792" s="368"/>
      <c r="O1792" s="370"/>
      <c r="T1792" s="340"/>
      <c r="V1792" s="378"/>
      <c r="W1792" s="64" ph="1"/>
      <c r="X1792" s="241"/>
      <c r="Y1792" s="284"/>
      <c r="Z1792" s="207"/>
      <c r="AA1792" s="284"/>
      <c r="AB1792" s="284"/>
      <c r="AC1792" s="284"/>
      <c r="AD1792" s="284"/>
      <c r="AE1792" s="284"/>
      <c r="AF1792" s="284"/>
      <c r="AG1792" s="284"/>
      <c r="AI1792" s="131"/>
    </row>
    <row r="1793" spans="1:35" ht="26.4">
      <c r="A1793" s="284"/>
      <c r="B1793" s="284"/>
      <c r="C1793" s="284"/>
      <c r="D1793" s="284"/>
      <c r="E1793" s="284"/>
      <c r="F1793" s="284"/>
      <c r="G1793" s="284"/>
      <c r="H1793" s="284"/>
      <c r="I1793" s="284"/>
      <c r="J1793" s="375"/>
      <c r="K1793" s="375"/>
      <c r="L1793" s="375"/>
      <c r="M1793" s="368"/>
      <c r="N1793" s="368"/>
      <c r="O1793" s="370"/>
      <c r="T1793" s="340"/>
      <c r="V1793" s="378"/>
      <c r="W1793" s="64" ph="1"/>
      <c r="X1793" s="241"/>
      <c r="Y1793" s="284"/>
      <c r="Z1793" s="207"/>
      <c r="AA1793" s="284"/>
      <c r="AB1793" s="284"/>
      <c r="AC1793" s="284"/>
      <c r="AD1793" s="284"/>
      <c r="AE1793" s="284"/>
      <c r="AF1793" s="284"/>
      <c r="AG1793" s="284"/>
      <c r="AI1793" s="131"/>
    </row>
    <row r="1794" spans="1:35" ht="26.4">
      <c r="A1794" s="284"/>
      <c r="B1794" s="284"/>
      <c r="C1794" s="284"/>
      <c r="D1794" s="284"/>
      <c r="E1794" s="284"/>
      <c r="F1794" s="284"/>
      <c r="G1794" s="284"/>
      <c r="H1794" s="284"/>
      <c r="I1794" s="284"/>
      <c r="J1794" s="375"/>
      <c r="K1794" s="375"/>
      <c r="L1794" s="375"/>
      <c r="M1794" s="368"/>
      <c r="N1794" s="368"/>
      <c r="O1794" s="370"/>
      <c r="T1794" s="340"/>
      <c r="V1794" s="378"/>
      <c r="W1794" s="64" ph="1"/>
      <c r="X1794" s="241"/>
      <c r="Y1794" s="284"/>
      <c r="Z1794" s="207"/>
      <c r="AA1794" s="284"/>
      <c r="AB1794" s="284"/>
      <c r="AC1794" s="284"/>
      <c r="AD1794" s="284"/>
      <c r="AE1794" s="284"/>
      <c r="AF1794" s="284"/>
      <c r="AG1794" s="284"/>
      <c r="AI1794" s="131"/>
    </row>
    <row r="1795" spans="1:35" ht="26.4">
      <c r="A1795" s="284"/>
      <c r="B1795" s="284"/>
      <c r="C1795" s="284"/>
      <c r="D1795" s="284"/>
      <c r="E1795" s="284"/>
      <c r="F1795" s="284"/>
      <c r="G1795" s="284"/>
      <c r="H1795" s="284"/>
      <c r="I1795" s="284"/>
      <c r="J1795" s="375"/>
      <c r="K1795" s="375"/>
      <c r="L1795" s="375"/>
      <c r="M1795" s="368"/>
      <c r="N1795" s="368"/>
      <c r="O1795" s="370"/>
      <c r="T1795" s="340"/>
      <c r="V1795" s="378"/>
      <c r="W1795" s="64" ph="1"/>
      <c r="X1795" s="241"/>
      <c r="Y1795" s="284"/>
      <c r="Z1795" s="207"/>
      <c r="AA1795" s="284"/>
      <c r="AB1795" s="284"/>
      <c r="AC1795" s="284"/>
      <c r="AD1795" s="284"/>
      <c r="AE1795" s="284"/>
      <c r="AF1795" s="284"/>
      <c r="AG1795" s="284"/>
      <c r="AI1795" s="131"/>
    </row>
    <row r="1796" spans="1:35" ht="26.4">
      <c r="A1796" s="284"/>
      <c r="B1796" s="284"/>
      <c r="C1796" s="284"/>
      <c r="D1796" s="284"/>
      <c r="E1796" s="284"/>
      <c r="F1796" s="284"/>
      <c r="G1796" s="284"/>
      <c r="H1796" s="284"/>
      <c r="I1796" s="284"/>
      <c r="J1796" s="375"/>
      <c r="K1796" s="375"/>
      <c r="L1796" s="375"/>
      <c r="M1796" s="368"/>
      <c r="N1796" s="368"/>
      <c r="O1796" s="370"/>
      <c r="T1796" s="340"/>
      <c r="V1796" s="378"/>
      <c r="W1796" s="64" ph="1"/>
      <c r="X1796" s="241"/>
      <c r="Y1796" s="284"/>
      <c r="Z1796" s="207"/>
      <c r="AA1796" s="284"/>
      <c r="AB1796" s="284"/>
      <c r="AC1796" s="284"/>
      <c r="AD1796" s="284"/>
      <c r="AE1796" s="284"/>
      <c r="AF1796" s="284"/>
      <c r="AG1796" s="284"/>
      <c r="AI1796" s="131"/>
    </row>
    <row r="1797" spans="1:35" ht="26.4">
      <c r="A1797" s="284"/>
      <c r="B1797" s="284"/>
      <c r="C1797" s="284"/>
      <c r="D1797" s="284"/>
      <c r="E1797" s="284"/>
      <c r="F1797" s="284"/>
      <c r="G1797" s="284"/>
      <c r="H1797" s="284"/>
      <c r="I1797" s="284"/>
      <c r="J1797" s="375"/>
      <c r="K1797" s="375"/>
      <c r="L1797" s="375"/>
      <c r="M1797" s="368"/>
      <c r="N1797" s="368"/>
      <c r="O1797" s="370"/>
      <c r="T1797" s="340"/>
      <c r="V1797" s="378"/>
      <c r="W1797" s="64" ph="1"/>
      <c r="X1797" s="241"/>
      <c r="Y1797" s="284"/>
      <c r="Z1797" s="207"/>
      <c r="AA1797" s="284"/>
      <c r="AB1797" s="284"/>
      <c r="AC1797" s="284"/>
      <c r="AD1797" s="284"/>
      <c r="AE1797" s="284"/>
      <c r="AF1797" s="284"/>
      <c r="AG1797" s="284"/>
      <c r="AI1797" s="131"/>
    </row>
    <row r="1798" spans="1:35" ht="26.4">
      <c r="A1798" s="284"/>
      <c r="B1798" s="284"/>
      <c r="C1798" s="284"/>
      <c r="D1798" s="284"/>
      <c r="E1798" s="284"/>
      <c r="F1798" s="284"/>
      <c r="G1798" s="284"/>
      <c r="H1798" s="284"/>
      <c r="I1798" s="284"/>
      <c r="J1798" s="375"/>
      <c r="K1798" s="375"/>
      <c r="L1798" s="375"/>
      <c r="M1798" s="368"/>
      <c r="N1798" s="368"/>
      <c r="O1798" s="370"/>
      <c r="T1798" s="340"/>
      <c r="V1798" s="378"/>
      <c r="W1798" s="64" ph="1"/>
      <c r="X1798" s="241"/>
      <c r="Y1798" s="284"/>
      <c r="Z1798" s="207"/>
      <c r="AA1798" s="284"/>
      <c r="AB1798" s="284"/>
      <c r="AC1798" s="284"/>
      <c r="AD1798" s="284"/>
      <c r="AE1798" s="284"/>
      <c r="AF1798" s="284"/>
      <c r="AG1798" s="284"/>
      <c r="AI1798" s="131"/>
    </row>
    <row r="1799" spans="1:35" ht="26.4">
      <c r="A1799" s="284"/>
      <c r="B1799" s="284"/>
      <c r="C1799" s="284"/>
      <c r="D1799" s="284"/>
      <c r="E1799" s="284"/>
      <c r="F1799" s="284"/>
      <c r="G1799" s="284"/>
      <c r="H1799" s="284"/>
      <c r="I1799" s="284"/>
      <c r="J1799" s="375"/>
      <c r="K1799" s="375"/>
      <c r="L1799" s="375"/>
      <c r="M1799" s="368"/>
      <c r="N1799" s="368"/>
      <c r="O1799" s="370"/>
      <c r="T1799" s="340"/>
      <c r="V1799" s="378"/>
      <c r="W1799" s="64" ph="1"/>
      <c r="X1799" s="241"/>
      <c r="Y1799" s="284"/>
      <c r="Z1799" s="207"/>
      <c r="AA1799" s="284"/>
      <c r="AB1799" s="284"/>
      <c r="AC1799" s="284"/>
      <c r="AD1799" s="284"/>
      <c r="AE1799" s="284"/>
      <c r="AF1799" s="284"/>
      <c r="AG1799" s="284"/>
      <c r="AI1799" s="131"/>
    </row>
    <row r="1800" spans="1:35" ht="26.4">
      <c r="A1800" s="284"/>
      <c r="B1800" s="284"/>
      <c r="C1800" s="284"/>
      <c r="D1800" s="284"/>
      <c r="E1800" s="284"/>
      <c r="F1800" s="284"/>
      <c r="G1800" s="284"/>
      <c r="H1800" s="284"/>
      <c r="I1800" s="284"/>
      <c r="J1800" s="375"/>
      <c r="K1800" s="375"/>
      <c r="L1800" s="375"/>
      <c r="M1800" s="368"/>
      <c r="N1800" s="368"/>
      <c r="O1800" s="370"/>
      <c r="T1800" s="340"/>
      <c r="V1800" s="378"/>
      <c r="W1800" s="64" ph="1"/>
      <c r="X1800" s="241"/>
      <c r="Y1800" s="284"/>
      <c r="Z1800" s="207"/>
      <c r="AA1800" s="284"/>
      <c r="AB1800" s="284"/>
      <c r="AC1800" s="284"/>
      <c r="AD1800" s="284"/>
      <c r="AE1800" s="284"/>
      <c r="AF1800" s="284"/>
      <c r="AG1800" s="284"/>
      <c r="AI1800" s="131"/>
    </row>
    <row r="1801" spans="1:35" ht="26.4">
      <c r="A1801" s="284"/>
      <c r="B1801" s="284"/>
      <c r="C1801" s="284"/>
      <c r="D1801" s="284"/>
      <c r="E1801" s="284"/>
      <c r="F1801" s="284"/>
      <c r="G1801" s="284"/>
      <c r="H1801" s="284"/>
      <c r="I1801" s="284"/>
      <c r="J1801" s="375"/>
      <c r="K1801" s="375"/>
      <c r="L1801" s="375"/>
      <c r="M1801" s="368"/>
      <c r="N1801" s="368"/>
      <c r="O1801" s="370"/>
      <c r="T1801" s="340"/>
      <c r="V1801" s="378"/>
      <c r="W1801" s="64" ph="1"/>
      <c r="X1801" s="241"/>
      <c r="Y1801" s="284"/>
      <c r="Z1801" s="207"/>
      <c r="AA1801" s="284"/>
      <c r="AB1801" s="284"/>
      <c r="AC1801" s="284"/>
      <c r="AD1801" s="284"/>
      <c r="AE1801" s="284"/>
      <c r="AF1801" s="284"/>
      <c r="AG1801" s="284"/>
      <c r="AI1801" s="131"/>
    </row>
    <row r="1802" spans="1:35" ht="26.4">
      <c r="A1802" s="284"/>
      <c r="B1802" s="284"/>
      <c r="C1802" s="284"/>
      <c r="D1802" s="284"/>
      <c r="E1802" s="284"/>
      <c r="F1802" s="284"/>
      <c r="G1802" s="284"/>
      <c r="H1802" s="284"/>
      <c r="I1802" s="284"/>
      <c r="J1802" s="375"/>
      <c r="K1802" s="375"/>
      <c r="L1802" s="375"/>
      <c r="M1802" s="368"/>
      <c r="N1802" s="368"/>
      <c r="O1802" s="370"/>
      <c r="T1802" s="340"/>
      <c r="V1802" s="378"/>
      <c r="W1802" s="64" ph="1"/>
      <c r="X1802" s="241"/>
      <c r="Y1802" s="284"/>
      <c r="Z1802" s="207"/>
      <c r="AA1802" s="284"/>
      <c r="AB1802" s="284"/>
      <c r="AC1802" s="284"/>
      <c r="AD1802" s="284"/>
      <c r="AE1802" s="284"/>
      <c r="AF1802" s="284"/>
      <c r="AG1802" s="284"/>
      <c r="AI1802" s="131"/>
    </row>
    <row r="1803" spans="1:35" ht="26.4">
      <c r="A1803" s="284"/>
      <c r="B1803" s="284"/>
      <c r="C1803" s="284"/>
      <c r="D1803" s="284"/>
      <c r="E1803" s="284"/>
      <c r="F1803" s="284"/>
      <c r="G1803" s="284"/>
      <c r="H1803" s="284"/>
      <c r="I1803" s="284"/>
      <c r="J1803" s="375"/>
      <c r="K1803" s="375"/>
      <c r="L1803" s="375"/>
      <c r="M1803" s="368"/>
      <c r="N1803" s="368"/>
      <c r="O1803" s="370"/>
      <c r="T1803" s="340"/>
      <c r="V1803" s="378"/>
      <c r="W1803" s="64" ph="1"/>
      <c r="X1803" s="241"/>
      <c r="Y1803" s="284"/>
      <c r="Z1803" s="207"/>
      <c r="AA1803" s="284"/>
      <c r="AB1803" s="284"/>
      <c r="AC1803" s="284"/>
      <c r="AD1803" s="284"/>
      <c r="AE1803" s="284"/>
      <c r="AF1803" s="284"/>
      <c r="AG1803" s="284"/>
      <c r="AI1803" s="131"/>
    </row>
    <row r="1804" spans="1:35" ht="26.4">
      <c r="A1804" s="284"/>
      <c r="B1804" s="284"/>
      <c r="C1804" s="284"/>
      <c r="D1804" s="284"/>
      <c r="E1804" s="284"/>
      <c r="F1804" s="284"/>
      <c r="G1804" s="284"/>
      <c r="H1804" s="284"/>
      <c r="I1804" s="284"/>
      <c r="J1804" s="375"/>
      <c r="K1804" s="375"/>
      <c r="L1804" s="375"/>
      <c r="M1804" s="368"/>
      <c r="N1804" s="368"/>
      <c r="O1804" s="370"/>
      <c r="T1804" s="340"/>
      <c r="V1804" s="378"/>
      <c r="W1804" s="64" ph="1"/>
      <c r="X1804" s="241"/>
      <c r="Y1804" s="284"/>
      <c r="Z1804" s="207"/>
      <c r="AA1804" s="284"/>
      <c r="AB1804" s="284"/>
      <c r="AC1804" s="284"/>
      <c r="AD1804" s="284"/>
      <c r="AE1804" s="284"/>
      <c r="AF1804" s="284"/>
      <c r="AG1804" s="284"/>
      <c r="AI1804" s="131"/>
    </row>
    <row r="1805" spans="1:35" ht="26.4">
      <c r="A1805" s="284"/>
      <c r="B1805" s="284"/>
      <c r="C1805" s="284"/>
      <c r="D1805" s="284"/>
      <c r="E1805" s="284"/>
      <c r="F1805" s="284"/>
      <c r="G1805" s="284"/>
      <c r="H1805" s="284"/>
      <c r="I1805" s="284"/>
      <c r="J1805" s="375"/>
      <c r="K1805" s="375"/>
      <c r="L1805" s="375"/>
      <c r="M1805" s="368"/>
      <c r="N1805" s="368"/>
      <c r="O1805" s="370"/>
      <c r="T1805" s="340"/>
      <c r="V1805" s="378"/>
      <c r="W1805" s="64" ph="1"/>
      <c r="X1805" s="241"/>
      <c r="Y1805" s="284"/>
      <c r="Z1805" s="207"/>
      <c r="AA1805" s="284"/>
      <c r="AB1805" s="284"/>
      <c r="AC1805" s="284"/>
      <c r="AD1805" s="284"/>
      <c r="AE1805" s="284"/>
      <c r="AF1805" s="284"/>
      <c r="AG1805" s="284"/>
      <c r="AI1805" s="128"/>
    </row>
    <row r="1806" spans="1:35" ht="26.4">
      <c r="A1806" s="284"/>
      <c r="B1806" s="284"/>
      <c r="C1806" s="284"/>
      <c r="D1806" s="284"/>
      <c r="E1806" s="284"/>
      <c r="F1806" s="284"/>
      <c r="G1806" s="284"/>
      <c r="H1806" s="284"/>
      <c r="I1806" s="284"/>
      <c r="J1806" s="375"/>
      <c r="K1806" s="375"/>
      <c r="L1806" s="375"/>
      <c r="M1806" s="368"/>
      <c r="N1806" s="368"/>
      <c r="O1806" s="370"/>
      <c r="T1806" s="340"/>
      <c r="V1806" s="378"/>
      <c r="W1806" s="64" ph="1"/>
      <c r="X1806" s="241"/>
      <c r="Y1806" s="284"/>
      <c r="Z1806" s="207"/>
      <c r="AA1806" s="284"/>
      <c r="AB1806" s="284"/>
      <c r="AC1806" s="284"/>
      <c r="AD1806" s="284"/>
      <c r="AE1806" s="284"/>
      <c r="AF1806" s="284"/>
      <c r="AG1806" s="284"/>
      <c r="AI1806" s="131"/>
    </row>
    <row r="1807" spans="1:35" ht="26.4">
      <c r="A1807" s="284"/>
      <c r="B1807" s="284"/>
      <c r="C1807" s="284"/>
      <c r="D1807" s="284"/>
      <c r="E1807" s="284"/>
      <c r="F1807" s="284"/>
      <c r="G1807" s="284"/>
      <c r="H1807" s="284"/>
      <c r="I1807" s="284"/>
      <c r="J1807" s="375"/>
      <c r="K1807" s="375"/>
      <c r="L1807" s="375"/>
      <c r="M1807" s="368"/>
      <c r="N1807" s="368"/>
      <c r="O1807" s="370"/>
      <c r="T1807" s="340"/>
      <c r="V1807" s="378"/>
      <c r="W1807" s="64" ph="1"/>
      <c r="X1807" s="241"/>
      <c r="Y1807" s="284"/>
      <c r="Z1807" s="207"/>
      <c r="AA1807" s="284"/>
      <c r="AB1807" s="284"/>
      <c r="AC1807" s="284"/>
      <c r="AD1807" s="284"/>
      <c r="AE1807" s="284"/>
      <c r="AF1807" s="284"/>
      <c r="AG1807" s="284"/>
      <c r="AI1807" s="131"/>
    </row>
    <row r="1808" spans="1:35" ht="26.4">
      <c r="A1808" s="284"/>
      <c r="B1808" s="284"/>
      <c r="C1808" s="284"/>
      <c r="D1808" s="284"/>
      <c r="E1808" s="284"/>
      <c r="F1808" s="284"/>
      <c r="G1808" s="284"/>
      <c r="H1808" s="284"/>
      <c r="I1808" s="284"/>
      <c r="J1808" s="375"/>
      <c r="K1808" s="375"/>
      <c r="L1808" s="375"/>
      <c r="M1808" s="368"/>
      <c r="N1808" s="368"/>
      <c r="O1808" s="370"/>
      <c r="T1808" s="340"/>
      <c r="V1808" s="378"/>
      <c r="W1808" s="64" ph="1"/>
      <c r="X1808" s="241"/>
      <c r="Y1808" s="284"/>
      <c r="Z1808" s="207"/>
      <c r="AA1808" s="284"/>
      <c r="AB1808" s="284"/>
      <c r="AC1808" s="284"/>
      <c r="AD1808" s="284"/>
      <c r="AE1808" s="284"/>
      <c r="AF1808" s="284"/>
      <c r="AG1808" s="284"/>
      <c r="AI1808" s="131"/>
    </row>
    <row r="1809" spans="1:35" ht="26.4">
      <c r="A1809" s="284"/>
      <c r="B1809" s="284"/>
      <c r="C1809" s="284"/>
      <c r="D1809" s="284"/>
      <c r="E1809" s="284"/>
      <c r="F1809" s="284"/>
      <c r="G1809" s="284"/>
      <c r="H1809" s="284"/>
      <c r="I1809" s="284"/>
      <c r="J1809" s="375"/>
      <c r="K1809" s="375"/>
      <c r="L1809" s="375"/>
      <c r="M1809" s="368"/>
      <c r="N1809" s="368"/>
      <c r="O1809" s="370"/>
      <c r="T1809" s="340"/>
      <c r="V1809" s="378"/>
      <c r="W1809" s="64" ph="1"/>
      <c r="X1809" s="241"/>
      <c r="Y1809" s="284"/>
      <c r="Z1809" s="207"/>
      <c r="AA1809" s="284"/>
      <c r="AB1809" s="284"/>
      <c r="AC1809" s="284"/>
      <c r="AD1809" s="284"/>
      <c r="AE1809" s="284"/>
      <c r="AF1809" s="284"/>
      <c r="AG1809" s="284"/>
      <c r="AI1809" s="131"/>
    </row>
    <row r="1810" spans="1:35" ht="26.4">
      <c r="A1810" s="284"/>
      <c r="B1810" s="284"/>
      <c r="C1810" s="284"/>
      <c r="D1810" s="284"/>
      <c r="E1810" s="284"/>
      <c r="F1810" s="284"/>
      <c r="G1810" s="284"/>
      <c r="H1810" s="284"/>
      <c r="I1810" s="284"/>
      <c r="J1810" s="375"/>
      <c r="K1810" s="375"/>
      <c r="L1810" s="375"/>
      <c r="M1810" s="368"/>
      <c r="N1810" s="368"/>
      <c r="O1810" s="370"/>
      <c r="T1810" s="340"/>
      <c r="V1810" s="378"/>
      <c r="W1810" s="64" ph="1"/>
      <c r="X1810" s="241"/>
      <c r="Y1810" s="284"/>
      <c r="Z1810" s="207"/>
      <c r="AA1810" s="284"/>
      <c r="AB1810" s="284"/>
      <c r="AC1810" s="284"/>
      <c r="AD1810" s="284"/>
      <c r="AE1810" s="284"/>
      <c r="AF1810" s="284"/>
      <c r="AG1810" s="284"/>
      <c r="AI1810" s="131"/>
    </row>
    <row r="1811" spans="1:35" ht="26.4">
      <c r="A1811" s="284"/>
      <c r="B1811" s="284"/>
      <c r="C1811" s="284"/>
      <c r="D1811" s="284"/>
      <c r="E1811" s="284"/>
      <c r="F1811" s="284"/>
      <c r="G1811" s="284"/>
      <c r="H1811" s="284"/>
      <c r="I1811" s="284"/>
      <c r="J1811" s="375"/>
      <c r="K1811" s="375"/>
      <c r="L1811" s="375"/>
      <c r="M1811" s="368"/>
      <c r="N1811" s="368"/>
      <c r="O1811" s="370"/>
      <c r="T1811" s="340"/>
      <c r="V1811" s="378"/>
      <c r="W1811" s="64" ph="1"/>
      <c r="X1811" s="241"/>
      <c r="Y1811" s="284"/>
      <c r="Z1811" s="207"/>
      <c r="AA1811" s="284"/>
      <c r="AB1811" s="284"/>
      <c r="AC1811" s="284"/>
      <c r="AD1811" s="284"/>
      <c r="AE1811" s="284"/>
      <c r="AF1811" s="284"/>
      <c r="AG1811" s="284"/>
      <c r="AI1811" s="131"/>
    </row>
    <row r="1812" spans="1:35" ht="26.4">
      <c r="A1812" s="284"/>
      <c r="B1812" s="284"/>
      <c r="C1812" s="284"/>
      <c r="D1812" s="284"/>
      <c r="E1812" s="284"/>
      <c r="F1812" s="284"/>
      <c r="G1812" s="284"/>
      <c r="H1812" s="284"/>
      <c r="I1812" s="284"/>
      <c r="J1812" s="375"/>
      <c r="K1812" s="375"/>
      <c r="L1812" s="375"/>
      <c r="M1812" s="368"/>
      <c r="N1812" s="368"/>
      <c r="O1812" s="370"/>
      <c r="T1812" s="340"/>
      <c r="V1812" s="378"/>
      <c r="W1812" s="64" ph="1"/>
      <c r="X1812" s="241"/>
      <c r="Y1812" s="284"/>
      <c r="Z1812" s="207"/>
      <c r="AA1812" s="284"/>
      <c r="AB1812" s="284"/>
      <c r="AC1812" s="284"/>
      <c r="AD1812" s="284"/>
      <c r="AE1812" s="284"/>
      <c r="AF1812" s="284"/>
      <c r="AG1812" s="284"/>
      <c r="AI1812" s="131"/>
    </row>
    <row r="1813" spans="1:35" ht="26.4">
      <c r="A1813" s="284"/>
      <c r="B1813" s="284"/>
      <c r="C1813" s="284"/>
      <c r="D1813" s="284"/>
      <c r="E1813" s="284"/>
      <c r="F1813" s="284"/>
      <c r="G1813" s="284"/>
      <c r="H1813" s="284"/>
      <c r="I1813" s="284"/>
      <c r="J1813" s="375"/>
      <c r="K1813" s="375"/>
      <c r="L1813" s="375"/>
      <c r="M1813" s="368"/>
      <c r="N1813" s="368"/>
      <c r="O1813" s="370"/>
      <c r="T1813" s="340"/>
      <c r="V1813" s="378"/>
      <c r="W1813" s="64" ph="1"/>
      <c r="X1813" s="241"/>
      <c r="Y1813" s="284"/>
      <c r="Z1813" s="207"/>
      <c r="AA1813" s="284"/>
      <c r="AB1813" s="284"/>
      <c r="AC1813" s="284"/>
      <c r="AD1813" s="284"/>
      <c r="AE1813" s="284"/>
      <c r="AF1813" s="284"/>
      <c r="AG1813" s="284"/>
      <c r="AI1813" s="131"/>
    </row>
    <row r="1814" spans="1:35" ht="26.4">
      <c r="A1814" s="284"/>
      <c r="B1814" s="284"/>
      <c r="C1814" s="284"/>
      <c r="D1814" s="284"/>
      <c r="E1814" s="284"/>
      <c r="F1814" s="284"/>
      <c r="G1814" s="284"/>
      <c r="H1814" s="284"/>
      <c r="I1814" s="284"/>
      <c r="J1814" s="375"/>
      <c r="K1814" s="375"/>
      <c r="L1814" s="375"/>
      <c r="M1814" s="368"/>
      <c r="N1814" s="368"/>
      <c r="O1814" s="370"/>
      <c r="T1814" s="340"/>
      <c r="V1814" s="378"/>
      <c r="W1814" s="64" ph="1"/>
      <c r="X1814" s="241"/>
      <c r="Y1814" s="284"/>
      <c r="Z1814" s="207"/>
      <c r="AA1814" s="284"/>
      <c r="AB1814" s="284"/>
      <c r="AC1814" s="284"/>
      <c r="AD1814" s="284"/>
      <c r="AE1814" s="284"/>
      <c r="AF1814" s="284"/>
      <c r="AG1814" s="284"/>
      <c r="AI1814" s="131"/>
    </row>
    <row r="1815" spans="1:35" ht="26.4">
      <c r="A1815" s="284"/>
      <c r="B1815" s="284"/>
      <c r="C1815" s="284"/>
      <c r="D1815" s="284"/>
      <c r="E1815" s="284"/>
      <c r="F1815" s="284"/>
      <c r="G1815" s="284"/>
      <c r="H1815" s="284"/>
      <c r="I1815" s="284"/>
      <c r="J1815" s="375"/>
      <c r="K1815" s="375"/>
      <c r="L1815" s="375"/>
      <c r="M1815" s="368"/>
      <c r="N1815" s="368"/>
      <c r="O1815" s="370"/>
      <c r="T1815" s="340"/>
      <c r="V1815" s="378"/>
      <c r="W1815" s="64" ph="1"/>
      <c r="X1815" s="241"/>
      <c r="Y1815" s="284"/>
      <c r="Z1815" s="207"/>
      <c r="AA1815" s="284"/>
      <c r="AB1815" s="284"/>
      <c r="AC1815" s="284"/>
      <c r="AD1815" s="284"/>
      <c r="AE1815" s="284"/>
      <c r="AF1815" s="284"/>
      <c r="AG1815" s="284"/>
      <c r="AI1815" s="131"/>
    </row>
    <row r="1816" spans="1:35" ht="26.4">
      <c r="A1816" s="284"/>
      <c r="B1816" s="284"/>
      <c r="C1816" s="284"/>
      <c r="D1816" s="284"/>
      <c r="E1816" s="284"/>
      <c r="F1816" s="284"/>
      <c r="G1816" s="284"/>
      <c r="H1816" s="284"/>
      <c r="I1816" s="284"/>
      <c r="J1816" s="375"/>
      <c r="K1816" s="375"/>
      <c r="L1816" s="375"/>
      <c r="M1816" s="368"/>
      <c r="N1816" s="368"/>
      <c r="O1816" s="370"/>
      <c r="T1816" s="340"/>
      <c r="V1816" s="378"/>
      <c r="W1816" s="64" ph="1"/>
      <c r="X1816" s="241"/>
      <c r="Y1816" s="284"/>
      <c r="Z1816" s="207"/>
      <c r="AA1816" s="284"/>
      <c r="AB1816" s="284"/>
      <c r="AC1816" s="284"/>
      <c r="AD1816" s="284"/>
      <c r="AE1816" s="284"/>
      <c r="AF1816" s="284"/>
      <c r="AG1816" s="284"/>
      <c r="AI1816" s="131"/>
    </row>
    <row r="1817" spans="1:35" ht="26.4">
      <c r="A1817" s="284"/>
      <c r="B1817" s="284"/>
      <c r="C1817" s="284"/>
      <c r="D1817" s="284"/>
      <c r="E1817" s="284"/>
      <c r="F1817" s="284"/>
      <c r="G1817" s="284"/>
      <c r="H1817" s="284"/>
      <c r="I1817" s="284"/>
      <c r="J1817" s="375"/>
      <c r="K1817" s="375"/>
      <c r="L1817" s="375"/>
      <c r="M1817" s="368"/>
      <c r="N1817" s="368"/>
      <c r="O1817" s="370"/>
      <c r="T1817" s="340"/>
      <c r="V1817" s="378"/>
      <c r="W1817" s="64" ph="1"/>
      <c r="X1817" s="241"/>
      <c r="Y1817" s="284"/>
      <c r="Z1817" s="207"/>
      <c r="AA1817" s="284"/>
      <c r="AB1817" s="284"/>
      <c r="AC1817" s="284"/>
      <c r="AD1817" s="284"/>
      <c r="AE1817" s="284"/>
      <c r="AF1817" s="284"/>
      <c r="AG1817" s="284"/>
      <c r="AI1817" s="131"/>
    </row>
    <row r="1818" spans="1:35" ht="26.4">
      <c r="A1818" s="284"/>
      <c r="B1818" s="284"/>
      <c r="C1818" s="284"/>
      <c r="D1818" s="284"/>
      <c r="E1818" s="284"/>
      <c r="F1818" s="284"/>
      <c r="G1818" s="284"/>
      <c r="H1818" s="284"/>
      <c r="I1818" s="284"/>
      <c r="J1818" s="375"/>
      <c r="K1818" s="375"/>
      <c r="L1818" s="375"/>
      <c r="M1818" s="368"/>
      <c r="N1818" s="368"/>
      <c r="O1818" s="370"/>
      <c r="T1818" s="340"/>
      <c r="V1818" s="378"/>
      <c r="W1818" s="64" ph="1"/>
      <c r="X1818" s="241"/>
      <c r="Y1818" s="284"/>
      <c r="Z1818" s="207"/>
      <c r="AA1818" s="284"/>
      <c r="AB1818" s="284"/>
      <c r="AC1818" s="284"/>
      <c r="AD1818" s="284"/>
      <c r="AE1818" s="284"/>
      <c r="AF1818" s="284"/>
      <c r="AG1818" s="284"/>
      <c r="AI1818" s="131"/>
    </row>
    <row r="1819" spans="1:35" ht="26.4">
      <c r="A1819" s="284"/>
      <c r="B1819" s="284"/>
      <c r="C1819" s="284"/>
      <c r="D1819" s="284"/>
      <c r="E1819" s="284"/>
      <c r="F1819" s="284"/>
      <c r="G1819" s="284"/>
      <c r="H1819" s="284"/>
      <c r="I1819" s="284"/>
      <c r="J1819" s="375"/>
      <c r="K1819" s="375"/>
      <c r="L1819" s="375"/>
      <c r="M1819" s="368"/>
      <c r="N1819" s="368"/>
      <c r="O1819" s="370"/>
      <c r="T1819" s="340"/>
      <c r="V1819" s="378"/>
      <c r="W1819" s="64" ph="1"/>
      <c r="X1819" s="241"/>
      <c r="Y1819" s="284"/>
      <c r="Z1819" s="207"/>
      <c r="AA1819" s="284"/>
      <c r="AB1819" s="284"/>
      <c r="AC1819" s="284"/>
      <c r="AD1819" s="284"/>
      <c r="AE1819" s="284"/>
      <c r="AF1819" s="284"/>
      <c r="AG1819" s="284"/>
      <c r="AI1819" s="131"/>
    </row>
    <row r="1820" spans="1:35" ht="26.4">
      <c r="A1820" s="284"/>
      <c r="B1820" s="284"/>
      <c r="C1820" s="284"/>
      <c r="D1820" s="284"/>
      <c r="E1820" s="284"/>
      <c r="F1820" s="284"/>
      <c r="G1820" s="284"/>
      <c r="H1820" s="284"/>
      <c r="I1820" s="284"/>
      <c r="J1820" s="375"/>
      <c r="K1820" s="375"/>
      <c r="L1820" s="375"/>
      <c r="M1820" s="368"/>
      <c r="N1820" s="368"/>
      <c r="O1820" s="370"/>
      <c r="T1820" s="340"/>
      <c r="V1820" s="378"/>
      <c r="W1820" s="64" ph="1"/>
      <c r="X1820" s="241"/>
      <c r="Y1820" s="284"/>
      <c r="Z1820" s="207"/>
      <c r="AA1820" s="284"/>
      <c r="AB1820" s="284"/>
      <c r="AC1820" s="284"/>
      <c r="AD1820" s="284"/>
      <c r="AE1820" s="284"/>
      <c r="AF1820" s="284"/>
      <c r="AG1820" s="284"/>
      <c r="AI1820" s="131"/>
    </row>
    <row r="1821" spans="1:35" ht="26.4">
      <c r="A1821" s="284"/>
      <c r="B1821" s="284"/>
      <c r="C1821" s="284"/>
      <c r="D1821" s="284"/>
      <c r="E1821" s="284"/>
      <c r="F1821" s="284"/>
      <c r="G1821" s="284"/>
      <c r="H1821" s="284"/>
      <c r="I1821" s="284"/>
      <c r="J1821" s="375"/>
      <c r="K1821" s="375"/>
      <c r="L1821" s="375"/>
      <c r="M1821" s="368"/>
      <c r="N1821" s="368"/>
      <c r="O1821" s="370"/>
      <c r="T1821" s="340"/>
      <c r="V1821" s="378"/>
      <c r="W1821" s="64" ph="1"/>
      <c r="X1821" s="241"/>
      <c r="Y1821" s="284"/>
      <c r="Z1821" s="207"/>
      <c r="AA1821" s="284"/>
      <c r="AB1821" s="284"/>
      <c r="AC1821" s="284"/>
      <c r="AD1821" s="284"/>
      <c r="AE1821" s="284"/>
      <c r="AF1821" s="284"/>
      <c r="AG1821" s="284"/>
      <c r="AI1821" s="131"/>
    </row>
    <row r="1822" spans="1:35" ht="26.4">
      <c r="A1822" s="284"/>
      <c r="B1822" s="284"/>
      <c r="C1822" s="284"/>
      <c r="D1822" s="284"/>
      <c r="E1822" s="284"/>
      <c r="F1822" s="284"/>
      <c r="G1822" s="284"/>
      <c r="H1822" s="284"/>
      <c r="I1822" s="284"/>
      <c r="J1822" s="375"/>
      <c r="K1822" s="375"/>
      <c r="L1822" s="375"/>
      <c r="M1822" s="368"/>
      <c r="N1822" s="368"/>
      <c r="O1822" s="370"/>
      <c r="T1822" s="340"/>
      <c r="V1822" s="378"/>
      <c r="W1822" s="64" ph="1"/>
      <c r="X1822" s="241"/>
      <c r="Y1822" s="284"/>
      <c r="Z1822" s="207"/>
      <c r="AA1822" s="284"/>
      <c r="AB1822" s="284"/>
      <c r="AC1822" s="284"/>
      <c r="AD1822" s="284"/>
      <c r="AE1822" s="284"/>
      <c r="AF1822" s="284"/>
      <c r="AG1822" s="284"/>
      <c r="AI1822" s="131"/>
    </row>
    <row r="1823" spans="1:35" ht="26.4">
      <c r="A1823" s="284"/>
      <c r="B1823" s="284"/>
      <c r="C1823" s="284"/>
      <c r="D1823" s="284"/>
      <c r="E1823" s="284"/>
      <c r="F1823" s="284"/>
      <c r="G1823" s="284"/>
      <c r="H1823" s="284"/>
      <c r="I1823" s="284"/>
      <c r="J1823" s="375"/>
      <c r="K1823" s="375"/>
      <c r="L1823" s="375"/>
      <c r="M1823" s="368"/>
      <c r="N1823" s="368"/>
      <c r="O1823" s="370"/>
      <c r="T1823" s="340"/>
      <c r="V1823" s="378"/>
      <c r="W1823" s="64" ph="1"/>
      <c r="X1823" s="241"/>
      <c r="Y1823" s="284"/>
      <c r="Z1823" s="207"/>
      <c r="AA1823" s="284"/>
      <c r="AB1823" s="284"/>
      <c r="AC1823" s="284"/>
      <c r="AD1823" s="284"/>
      <c r="AE1823" s="284"/>
      <c r="AF1823" s="284"/>
      <c r="AG1823" s="284"/>
      <c r="AI1823" s="131"/>
    </row>
    <row r="1824" spans="1:35" ht="26.4">
      <c r="A1824" s="284"/>
      <c r="B1824" s="284"/>
      <c r="C1824" s="284"/>
      <c r="D1824" s="284"/>
      <c r="E1824" s="284"/>
      <c r="F1824" s="284"/>
      <c r="G1824" s="284"/>
      <c r="H1824" s="284"/>
      <c r="I1824" s="284"/>
      <c r="J1824" s="375"/>
      <c r="K1824" s="375"/>
      <c r="L1824" s="375"/>
      <c r="M1824" s="368"/>
      <c r="N1824" s="368"/>
      <c r="O1824" s="370"/>
      <c r="T1824" s="340"/>
      <c r="V1824" s="378"/>
      <c r="W1824" s="64" ph="1"/>
      <c r="X1824" s="241"/>
      <c r="Y1824" s="284"/>
      <c r="Z1824" s="207"/>
      <c r="AA1824" s="284"/>
      <c r="AB1824" s="284"/>
      <c r="AC1824" s="284"/>
      <c r="AD1824" s="284"/>
      <c r="AE1824" s="284"/>
      <c r="AF1824" s="284"/>
      <c r="AG1824" s="284"/>
      <c r="AI1824" s="131"/>
    </row>
    <row r="1825" spans="1:35" ht="26.4">
      <c r="A1825" s="284"/>
      <c r="B1825" s="284"/>
      <c r="C1825" s="284"/>
      <c r="D1825" s="284"/>
      <c r="E1825" s="284"/>
      <c r="F1825" s="284"/>
      <c r="G1825" s="284"/>
      <c r="H1825" s="284"/>
      <c r="I1825" s="284"/>
      <c r="J1825" s="375"/>
      <c r="K1825" s="375"/>
      <c r="L1825" s="375"/>
      <c r="M1825" s="368"/>
      <c r="N1825" s="368"/>
      <c r="O1825" s="370"/>
      <c r="T1825" s="340"/>
      <c r="V1825" s="378"/>
      <c r="W1825" s="64" ph="1"/>
      <c r="X1825" s="241"/>
      <c r="Y1825" s="284"/>
      <c r="Z1825" s="207"/>
      <c r="AA1825" s="284"/>
      <c r="AB1825" s="284"/>
      <c r="AC1825" s="284"/>
      <c r="AD1825" s="284"/>
      <c r="AE1825" s="284"/>
      <c r="AF1825" s="284"/>
      <c r="AG1825" s="284"/>
      <c r="AI1825" s="131"/>
    </row>
    <row r="1826" spans="1:35" ht="26.4">
      <c r="A1826" s="284"/>
      <c r="B1826" s="284"/>
      <c r="C1826" s="284"/>
      <c r="D1826" s="284"/>
      <c r="E1826" s="284"/>
      <c r="F1826" s="284"/>
      <c r="G1826" s="284"/>
      <c r="H1826" s="284"/>
      <c r="I1826" s="284"/>
      <c r="J1826" s="375"/>
      <c r="K1826" s="375"/>
      <c r="L1826" s="375"/>
      <c r="M1826" s="368"/>
      <c r="N1826" s="368"/>
      <c r="O1826" s="370"/>
      <c r="T1826" s="340"/>
      <c r="V1826" s="378"/>
      <c r="W1826" s="64" ph="1"/>
      <c r="X1826" s="241"/>
      <c r="Y1826" s="284"/>
      <c r="Z1826" s="207"/>
      <c r="AA1826" s="284"/>
      <c r="AB1826" s="284"/>
      <c r="AC1826" s="284"/>
      <c r="AD1826" s="284"/>
      <c r="AE1826" s="284"/>
      <c r="AF1826" s="284"/>
      <c r="AG1826" s="284"/>
      <c r="AI1826" s="131"/>
    </row>
    <row r="1827" spans="1:35" ht="26.4">
      <c r="A1827" s="284"/>
      <c r="B1827" s="284"/>
      <c r="C1827" s="284"/>
      <c r="D1827" s="284"/>
      <c r="E1827" s="284"/>
      <c r="F1827" s="284"/>
      <c r="G1827" s="284"/>
      <c r="H1827" s="284"/>
      <c r="I1827" s="284"/>
      <c r="J1827" s="375"/>
      <c r="K1827" s="375"/>
      <c r="L1827" s="375"/>
      <c r="M1827" s="368"/>
      <c r="N1827" s="368"/>
      <c r="O1827" s="370"/>
      <c r="T1827" s="340"/>
      <c r="V1827" s="378"/>
      <c r="W1827" s="64" ph="1"/>
      <c r="X1827" s="241"/>
      <c r="Y1827" s="284"/>
      <c r="Z1827" s="207"/>
      <c r="AA1827" s="284"/>
      <c r="AB1827" s="284"/>
      <c r="AC1827" s="284"/>
      <c r="AD1827" s="284"/>
      <c r="AE1827" s="284"/>
      <c r="AF1827" s="284"/>
      <c r="AG1827" s="284"/>
      <c r="AI1827" s="131"/>
    </row>
    <row r="1828" spans="1:35" ht="26.4">
      <c r="A1828" s="284"/>
      <c r="B1828" s="284"/>
      <c r="C1828" s="284"/>
      <c r="D1828" s="284"/>
      <c r="E1828" s="284"/>
      <c r="F1828" s="284"/>
      <c r="G1828" s="284"/>
      <c r="H1828" s="284"/>
      <c r="I1828" s="284"/>
      <c r="J1828" s="375"/>
      <c r="K1828" s="375"/>
      <c r="L1828" s="375"/>
      <c r="M1828" s="368"/>
      <c r="N1828" s="368"/>
      <c r="O1828" s="370"/>
      <c r="T1828" s="340"/>
      <c r="V1828" s="378"/>
      <c r="W1828" s="64" ph="1"/>
      <c r="X1828" s="241"/>
      <c r="Y1828" s="284"/>
      <c r="Z1828" s="207"/>
      <c r="AA1828" s="284"/>
      <c r="AB1828" s="284"/>
      <c r="AC1828" s="284"/>
      <c r="AD1828" s="284"/>
      <c r="AE1828" s="284"/>
      <c r="AF1828" s="284"/>
      <c r="AG1828" s="284"/>
      <c r="AI1828" s="131"/>
    </row>
    <row r="1829" spans="1:35" ht="26.4">
      <c r="A1829" s="284"/>
      <c r="B1829" s="284"/>
      <c r="C1829" s="284"/>
      <c r="D1829" s="284"/>
      <c r="E1829" s="284"/>
      <c r="F1829" s="284"/>
      <c r="G1829" s="284"/>
      <c r="H1829" s="284"/>
      <c r="I1829" s="284"/>
      <c r="J1829" s="375"/>
      <c r="K1829" s="375"/>
      <c r="L1829" s="375"/>
      <c r="M1829" s="368"/>
      <c r="N1829" s="368"/>
      <c r="O1829" s="370"/>
      <c r="T1829" s="340"/>
      <c r="V1829" s="378"/>
      <c r="W1829" s="64" ph="1"/>
      <c r="X1829" s="241"/>
      <c r="Y1829" s="284"/>
      <c r="Z1829" s="207"/>
      <c r="AA1829" s="284"/>
      <c r="AB1829" s="284"/>
      <c r="AC1829" s="284"/>
      <c r="AD1829" s="284"/>
      <c r="AE1829" s="284"/>
      <c r="AF1829" s="284"/>
      <c r="AG1829" s="284"/>
      <c r="AI1829" s="284"/>
    </row>
    <row r="1830" spans="1:35" ht="26.4">
      <c r="A1830" s="284"/>
      <c r="B1830" s="284"/>
      <c r="C1830" s="284"/>
      <c r="D1830" s="284"/>
      <c r="E1830" s="284"/>
      <c r="F1830" s="284"/>
      <c r="G1830" s="284"/>
      <c r="H1830" s="284"/>
      <c r="I1830" s="284"/>
      <c r="J1830" s="375"/>
      <c r="K1830" s="375"/>
      <c r="L1830" s="375"/>
      <c r="M1830" s="368"/>
      <c r="N1830" s="368"/>
      <c r="O1830" s="370"/>
      <c r="T1830" s="340"/>
      <c r="V1830" s="378"/>
      <c r="W1830" s="64" ph="1"/>
      <c r="X1830" s="241"/>
      <c r="Y1830" s="284"/>
      <c r="Z1830" s="207"/>
      <c r="AA1830" s="284"/>
      <c r="AB1830" s="284"/>
      <c r="AC1830" s="284"/>
      <c r="AD1830" s="284"/>
      <c r="AE1830" s="284"/>
      <c r="AF1830" s="284"/>
      <c r="AG1830" s="284"/>
      <c r="AI1830" s="131"/>
    </row>
    <row r="1831" spans="1:35" ht="26.4">
      <c r="A1831" s="284"/>
      <c r="B1831" s="284"/>
      <c r="C1831" s="284"/>
      <c r="D1831" s="284"/>
      <c r="E1831" s="284"/>
      <c r="F1831" s="284"/>
      <c r="G1831" s="284"/>
      <c r="H1831" s="284"/>
      <c r="I1831" s="284"/>
      <c r="J1831" s="375"/>
      <c r="K1831" s="375"/>
      <c r="L1831" s="375"/>
      <c r="M1831" s="368"/>
      <c r="N1831" s="368"/>
      <c r="O1831" s="370"/>
      <c r="T1831" s="340"/>
      <c r="V1831" s="378"/>
      <c r="W1831" s="64" ph="1"/>
      <c r="X1831" s="241"/>
      <c r="Y1831" s="284"/>
      <c r="Z1831" s="207"/>
      <c r="AA1831" s="284"/>
      <c r="AB1831" s="284"/>
      <c r="AC1831" s="284"/>
      <c r="AD1831" s="284"/>
      <c r="AE1831" s="284"/>
      <c r="AF1831" s="284"/>
      <c r="AG1831" s="284"/>
      <c r="AI1831" s="131"/>
    </row>
    <row r="1832" spans="1:35" ht="26.4">
      <c r="A1832" s="284"/>
      <c r="B1832" s="284"/>
      <c r="C1832" s="284"/>
      <c r="D1832" s="284"/>
      <c r="E1832" s="284"/>
      <c r="F1832" s="284"/>
      <c r="G1832" s="284"/>
      <c r="H1832" s="284"/>
      <c r="I1832" s="284"/>
      <c r="J1832" s="375"/>
      <c r="K1832" s="375"/>
      <c r="L1832" s="375"/>
      <c r="M1832" s="368"/>
      <c r="N1832" s="368"/>
      <c r="O1832" s="370"/>
      <c r="T1832" s="340"/>
      <c r="V1832" s="378"/>
      <c r="W1832" s="64" ph="1"/>
      <c r="X1832" s="241"/>
      <c r="Y1832" s="284"/>
      <c r="Z1832" s="207"/>
      <c r="AA1832" s="284"/>
      <c r="AB1832" s="284"/>
      <c r="AC1832" s="284"/>
      <c r="AD1832" s="284"/>
      <c r="AE1832" s="284"/>
      <c r="AF1832" s="284"/>
      <c r="AG1832" s="284"/>
      <c r="AI1832" s="131"/>
    </row>
    <row r="1833" spans="1:35" ht="26.4">
      <c r="A1833" s="284"/>
      <c r="B1833" s="284"/>
      <c r="C1833" s="284"/>
      <c r="D1833" s="284"/>
      <c r="E1833" s="284"/>
      <c r="F1833" s="284"/>
      <c r="G1833" s="284"/>
      <c r="H1833" s="284"/>
      <c r="I1833" s="284"/>
      <c r="J1833" s="375"/>
      <c r="K1833" s="375"/>
      <c r="L1833" s="375"/>
      <c r="M1833" s="368"/>
      <c r="N1833" s="368"/>
      <c r="O1833" s="370"/>
      <c r="T1833" s="340"/>
      <c r="V1833" s="378"/>
      <c r="W1833" s="64" ph="1"/>
      <c r="X1833" s="241"/>
      <c r="Y1833" s="284"/>
      <c r="Z1833" s="207"/>
      <c r="AA1833" s="284"/>
      <c r="AB1833" s="284"/>
      <c r="AC1833" s="284"/>
      <c r="AD1833" s="284"/>
      <c r="AE1833" s="284"/>
      <c r="AF1833" s="284"/>
      <c r="AG1833" s="284"/>
      <c r="AI1833" s="131"/>
    </row>
    <row r="1834" spans="1:35" ht="26.4">
      <c r="A1834" s="284"/>
      <c r="B1834" s="284"/>
      <c r="C1834" s="284"/>
      <c r="D1834" s="284"/>
      <c r="E1834" s="284"/>
      <c r="F1834" s="284"/>
      <c r="G1834" s="284"/>
      <c r="H1834" s="284"/>
      <c r="I1834" s="284"/>
      <c r="J1834" s="375"/>
      <c r="K1834" s="375"/>
      <c r="L1834" s="375"/>
      <c r="M1834" s="368"/>
      <c r="N1834" s="368"/>
      <c r="O1834" s="370"/>
      <c r="T1834" s="340"/>
      <c r="V1834" s="378"/>
      <c r="W1834" s="64" ph="1"/>
      <c r="X1834" s="241"/>
      <c r="Y1834" s="284"/>
      <c r="Z1834" s="207"/>
      <c r="AA1834" s="284"/>
      <c r="AB1834" s="284"/>
      <c r="AC1834" s="284"/>
      <c r="AD1834" s="284"/>
      <c r="AE1834" s="284"/>
      <c r="AF1834" s="284"/>
      <c r="AG1834" s="284"/>
      <c r="AI1834" s="284"/>
    </row>
    <row r="1835" spans="1:35" ht="26.4">
      <c r="A1835" s="284"/>
      <c r="B1835" s="284"/>
      <c r="C1835" s="284"/>
      <c r="D1835" s="284"/>
      <c r="E1835" s="284"/>
      <c r="F1835" s="284"/>
      <c r="G1835" s="284"/>
      <c r="H1835" s="284"/>
      <c r="I1835" s="284"/>
      <c r="J1835" s="375"/>
      <c r="K1835" s="375"/>
      <c r="L1835" s="375"/>
      <c r="M1835" s="368"/>
      <c r="N1835" s="368"/>
      <c r="O1835" s="370"/>
      <c r="T1835" s="340"/>
      <c r="V1835" s="378"/>
      <c r="W1835" s="64" ph="1"/>
      <c r="X1835" s="241"/>
      <c r="Y1835" s="284"/>
      <c r="Z1835" s="207"/>
      <c r="AA1835" s="284"/>
      <c r="AB1835" s="284"/>
      <c r="AC1835" s="284"/>
      <c r="AD1835" s="284"/>
      <c r="AE1835" s="284"/>
      <c r="AF1835" s="284"/>
      <c r="AG1835" s="284"/>
      <c r="AI1835" s="131"/>
    </row>
    <row r="1836" spans="1:35" ht="26.4">
      <c r="A1836" s="284"/>
      <c r="B1836" s="284"/>
      <c r="C1836" s="284"/>
      <c r="D1836" s="284"/>
      <c r="E1836" s="284"/>
      <c r="F1836" s="284"/>
      <c r="G1836" s="284"/>
      <c r="H1836" s="284"/>
      <c r="I1836" s="284"/>
      <c r="J1836" s="375"/>
      <c r="K1836" s="375"/>
      <c r="L1836" s="375"/>
      <c r="M1836" s="368"/>
      <c r="N1836" s="368"/>
      <c r="O1836" s="370"/>
      <c r="T1836" s="340"/>
      <c r="V1836" s="378"/>
      <c r="W1836" s="64" ph="1"/>
      <c r="X1836" s="241"/>
      <c r="Y1836" s="284"/>
      <c r="Z1836" s="207"/>
      <c r="AA1836" s="284"/>
      <c r="AB1836" s="284"/>
      <c r="AC1836" s="284"/>
      <c r="AD1836" s="284"/>
      <c r="AE1836" s="284"/>
      <c r="AF1836" s="284"/>
      <c r="AG1836" s="284"/>
      <c r="AI1836" s="131"/>
    </row>
    <row r="1837" spans="1:35" ht="26.4">
      <c r="A1837" s="284"/>
      <c r="B1837" s="284"/>
      <c r="C1837" s="284"/>
      <c r="D1837" s="284"/>
      <c r="E1837" s="284"/>
      <c r="F1837" s="284"/>
      <c r="G1837" s="284"/>
      <c r="H1837" s="284"/>
      <c r="I1837" s="284"/>
      <c r="J1837" s="375"/>
      <c r="K1837" s="375"/>
      <c r="L1837" s="375"/>
      <c r="M1837" s="368"/>
      <c r="N1837" s="368"/>
      <c r="O1837" s="370"/>
      <c r="T1837" s="340"/>
      <c r="V1837" s="378"/>
      <c r="W1837" s="64" ph="1"/>
      <c r="X1837" s="241"/>
      <c r="Y1837" s="284"/>
      <c r="Z1837" s="207"/>
      <c r="AA1837" s="284"/>
      <c r="AB1837" s="284"/>
      <c r="AC1837" s="284"/>
      <c r="AD1837" s="284"/>
      <c r="AE1837" s="284"/>
      <c r="AF1837" s="284"/>
      <c r="AG1837" s="284"/>
      <c r="AI1837" s="131"/>
    </row>
    <row r="1838" spans="1:35" ht="26.4">
      <c r="A1838" s="284"/>
      <c r="B1838" s="284"/>
      <c r="C1838" s="284"/>
      <c r="D1838" s="284"/>
      <c r="E1838" s="284"/>
      <c r="F1838" s="284"/>
      <c r="G1838" s="284"/>
      <c r="H1838" s="284"/>
      <c r="I1838" s="284"/>
      <c r="J1838" s="375"/>
      <c r="K1838" s="375"/>
      <c r="L1838" s="375"/>
      <c r="M1838" s="368"/>
      <c r="N1838" s="368"/>
      <c r="O1838" s="370"/>
      <c r="T1838" s="340"/>
      <c r="V1838" s="378"/>
      <c r="W1838" s="64" ph="1"/>
      <c r="X1838" s="241"/>
      <c r="Y1838" s="284"/>
      <c r="Z1838" s="207"/>
      <c r="AA1838" s="284"/>
      <c r="AB1838" s="284"/>
      <c r="AC1838" s="284"/>
      <c r="AD1838" s="284"/>
      <c r="AE1838" s="284"/>
      <c r="AF1838" s="284"/>
      <c r="AG1838" s="284"/>
      <c r="AI1838" s="131"/>
    </row>
    <row r="1839" spans="1:35" ht="26.4">
      <c r="A1839" s="284"/>
      <c r="B1839" s="284"/>
      <c r="C1839" s="284"/>
      <c r="D1839" s="284"/>
      <c r="E1839" s="284"/>
      <c r="F1839" s="284"/>
      <c r="G1839" s="284"/>
      <c r="H1839" s="284"/>
      <c r="I1839" s="284"/>
      <c r="J1839" s="375"/>
      <c r="K1839" s="375"/>
      <c r="L1839" s="375"/>
      <c r="M1839" s="368"/>
      <c r="N1839" s="368"/>
      <c r="O1839" s="370"/>
      <c r="T1839" s="340"/>
      <c r="V1839" s="378"/>
      <c r="W1839" s="64" ph="1"/>
      <c r="X1839" s="241"/>
      <c r="Y1839" s="284"/>
      <c r="Z1839" s="207"/>
      <c r="AA1839" s="284"/>
      <c r="AB1839" s="284"/>
      <c r="AC1839" s="284"/>
      <c r="AD1839" s="284"/>
      <c r="AE1839" s="284"/>
      <c r="AF1839" s="284"/>
      <c r="AG1839" s="284"/>
      <c r="AI1839" s="131"/>
    </row>
    <row r="1840" spans="1:35" ht="26.4">
      <c r="A1840" s="284"/>
      <c r="B1840" s="284"/>
      <c r="C1840" s="284"/>
      <c r="D1840" s="284"/>
      <c r="E1840" s="284"/>
      <c r="F1840" s="284"/>
      <c r="G1840" s="284"/>
      <c r="H1840" s="284"/>
      <c r="I1840" s="284"/>
      <c r="J1840" s="375"/>
      <c r="K1840" s="375"/>
      <c r="L1840" s="375"/>
      <c r="M1840" s="368"/>
      <c r="N1840" s="368"/>
      <c r="O1840" s="370"/>
      <c r="T1840" s="340"/>
      <c r="V1840" s="378"/>
      <c r="W1840" s="64" ph="1"/>
      <c r="X1840" s="241"/>
      <c r="Y1840" s="284"/>
      <c r="Z1840" s="207"/>
      <c r="AA1840" s="284"/>
      <c r="AB1840" s="284"/>
      <c r="AC1840" s="284"/>
      <c r="AD1840" s="284"/>
      <c r="AE1840" s="284"/>
      <c r="AF1840" s="284"/>
      <c r="AG1840" s="284"/>
      <c r="AI1840" s="131"/>
    </row>
    <row r="1841" spans="1:35" ht="26.4">
      <c r="A1841" s="284"/>
      <c r="B1841" s="284"/>
      <c r="C1841" s="284"/>
      <c r="D1841" s="284"/>
      <c r="E1841" s="284"/>
      <c r="F1841" s="284"/>
      <c r="G1841" s="284"/>
      <c r="H1841" s="284"/>
      <c r="I1841" s="284"/>
      <c r="J1841" s="375"/>
      <c r="K1841" s="375"/>
      <c r="L1841" s="375"/>
      <c r="M1841" s="368"/>
      <c r="N1841" s="368"/>
      <c r="O1841" s="370"/>
      <c r="T1841" s="340"/>
      <c r="V1841" s="378"/>
      <c r="W1841" s="64" ph="1"/>
      <c r="X1841" s="241"/>
      <c r="Y1841" s="284"/>
      <c r="Z1841" s="207"/>
      <c r="AA1841" s="284"/>
      <c r="AB1841" s="284"/>
      <c r="AC1841" s="284"/>
      <c r="AD1841" s="284"/>
      <c r="AE1841" s="284"/>
      <c r="AF1841" s="284"/>
      <c r="AG1841" s="284"/>
      <c r="AI1841" s="131"/>
    </row>
    <row r="1842" spans="1:35" ht="26.4">
      <c r="A1842" s="284"/>
      <c r="B1842" s="284"/>
      <c r="C1842" s="284"/>
      <c r="D1842" s="284"/>
      <c r="E1842" s="284"/>
      <c r="F1842" s="284"/>
      <c r="G1842" s="284"/>
      <c r="H1842" s="284"/>
      <c r="I1842" s="284"/>
      <c r="J1842" s="375"/>
      <c r="K1842" s="375"/>
      <c r="L1842" s="375"/>
      <c r="M1842" s="368"/>
      <c r="N1842" s="368"/>
      <c r="O1842" s="370"/>
      <c r="T1842" s="340"/>
      <c r="V1842" s="378"/>
      <c r="W1842" s="64" ph="1"/>
      <c r="X1842" s="241"/>
      <c r="Y1842" s="284"/>
      <c r="Z1842" s="207"/>
      <c r="AA1842" s="284"/>
      <c r="AB1842" s="284"/>
      <c r="AC1842" s="284"/>
      <c r="AD1842" s="284"/>
      <c r="AE1842" s="284"/>
      <c r="AF1842" s="284"/>
      <c r="AG1842" s="284"/>
      <c r="AI1842" s="131"/>
    </row>
    <row r="1843" spans="1:35" ht="26.4">
      <c r="A1843" s="284"/>
      <c r="B1843" s="284"/>
      <c r="C1843" s="284"/>
      <c r="D1843" s="284"/>
      <c r="E1843" s="284"/>
      <c r="F1843" s="284"/>
      <c r="G1843" s="284"/>
      <c r="H1843" s="284"/>
      <c r="I1843" s="284"/>
      <c r="J1843" s="375"/>
      <c r="K1843" s="375"/>
      <c r="L1843" s="375"/>
      <c r="M1843" s="368"/>
      <c r="N1843" s="368"/>
      <c r="O1843" s="370"/>
      <c r="T1843" s="340"/>
      <c r="V1843" s="378"/>
      <c r="W1843" s="64" ph="1"/>
      <c r="X1843" s="241"/>
      <c r="Y1843" s="284"/>
      <c r="Z1843" s="207"/>
      <c r="AA1843" s="284"/>
      <c r="AB1843" s="284"/>
      <c r="AC1843" s="284"/>
      <c r="AD1843" s="284"/>
      <c r="AE1843" s="284"/>
      <c r="AF1843" s="284"/>
      <c r="AG1843" s="284"/>
      <c r="AI1843" s="131"/>
    </row>
    <row r="1844" spans="1:35" ht="26.4">
      <c r="A1844" s="284"/>
      <c r="B1844" s="284"/>
      <c r="C1844" s="284"/>
      <c r="D1844" s="284"/>
      <c r="E1844" s="284"/>
      <c r="F1844" s="284"/>
      <c r="G1844" s="284"/>
      <c r="H1844" s="284"/>
      <c r="I1844" s="284"/>
      <c r="J1844" s="375"/>
      <c r="K1844" s="375"/>
      <c r="L1844" s="375"/>
      <c r="M1844" s="368"/>
      <c r="N1844" s="368"/>
      <c r="O1844" s="370"/>
      <c r="T1844" s="340"/>
      <c r="V1844" s="378"/>
      <c r="W1844" s="64" ph="1"/>
      <c r="X1844" s="241"/>
      <c r="Y1844" s="284"/>
      <c r="Z1844" s="207"/>
      <c r="AA1844" s="284"/>
      <c r="AB1844" s="284"/>
      <c r="AC1844" s="284"/>
      <c r="AD1844" s="284"/>
      <c r="AE1844" s="284"/>
      <c r="AF1844" s="284"/>
      <c r="AG1844" s="284"/>
      <c r="AI1844" s="131"/>
    </row>
    <row r="1845" spans="1:35" ht="26.4">
      <c r="A1845" s="284"/>
      <c r="B1845" s="284"/>
      <c r="C1845" s="284"/>
      <c r="D1845" s="284"/>
      <c r="E1845" s="284"/>
      <c r="F1845" s="284"/>
      <c r="G1845" s="284"/>
      <c r="H1845" s="284"/>
      <c r="I1845" s="284"/>
      <c r="J1845" s="375"/>
      <c r="K1845" s="375"/>
      <c r="L1845" s="375"/>
      <c r="M1845" s="368"/>
      <c r="N1845" s="368"/>
      <c r="O1845" s="370"/>
      <c r="T1845" s="340"/>
      <c r="V1845" s="378"/>
      <c r="W1845" s="64" ph="1"/>
      <c r="X1845" s="241"/>
      <c r="Y1845" s="284"/>
      <c r="Z1845" s="207"/>
      <c r="AA1845" s="284"/>
      <c r="AB1845" s="284"/>
      <c r="AC1845" s="284"/>
      <c r="AD1845" s="284"/>
      <c r="AE1845" s="284"/>
      <c r="AF1845" s="284"/>
      <c r="AG1845" s="284"/>
      <c r="AI1845" s="131"/>
    </row>
    <row r="1846" spans="1:35" ht="26.4">
      <c r="A1846" s="284"/>
      <c r="B1846" s="284"/>
      <c r="C1846" s="284"/>
      <c r="D1846" s="284"/>
      <c r="E1846" s="284"/>
      <c r="F1846" s="284"/>
      <c r="G1846" s="284"/>
      <c r="H1846" s="284"/>
      <c r="I1846" s="284"/>
      <c r="J1846" s="375"/>
      <c r="K1846" s="375"/>
      <c r="L1846" s="375"/>
      <c r="M1846" s="368"/>
      <c r="N1846" s="368"/>
      <c r="O1846" s="370"/>
      <c r="T1846" s="340"/>
      <c r="V1846" s="378"/>
      <c r="W1846" s="64" ph="1"/>
      <c r="X1846" s="241"/>
      <c r="Y1846" s="284"/>
      <c r="Z1846" s="207"/>
      <c r="AA1846" s="284"/>
      <c r="AB1846" s="284"/>
      <c r="AC1846" s="284"/>
      <c r="AD1846" s="284"/>
      <c r="AE1846" s="284"/>
      <c r="AF1846" s="284"/>
      <c r="AG1846" s="284"/>
      <c r="AI1846" s="284"/>
    </row>
    <row r="1847" spans="1:35" ht="26.4">
      <c r="A1847" s="284"/>
      <c r="B1847" s="284"/>
      <c r="C1847" s="284"/>
      <c r="D1847" s="284"/>
      <c r="E1847" s="284"/>
      <c r="F1847" s="284"/>
      <c r="G1847" s="284"/>
      <c r="H1847" s="284"/>
      <c r="I1847" s="284"/>
      <c r="J1847" s="375"/>
      <c r="K1847" s="375"/>
      <c r="L1847" s="375"/>
      <c r="M1847" s="368"/>
      <c r="N1847" s="368"/>
      <c r="O1847" s="370"/>
      <c r="T1847" s="340"/>
      <c r="V1847" s="378"/>
      <c r="W1847" s="64" ph="1"/>
      <c r="X1847" s="241"/>
      <c r="Y1847" s="284"/>
      <c r="Z1847" s="207"/>
      <c r="AA1847" s="284"/>
      <c r="AB1847" s="284"/>
      <c r="AC1847" s="284"/>
      <c r="AD1847" s="284"/>
      <c r="AE1847" s="284"/>
      <c r="AF1847" s="284"/>
      <c r="AG1847" s="284"/>
      <c r="AI1847" s="284"/>
    </row>
    <row r="1848" spans="1:35" ht="26.4">
      <c r="A1848" s="284"/>
      <c r="B1848" s="284"/>
      <c r="C1848" s="284"/>
      <c r="D1848" s="284"/>
      <c r="E1848" s="284"/>
      <c r="F1848" s="284"/>
      <c r="G1848" s="284"/>
      <c r="H1848" s="284"/>
      <c r="I1848" s="284"/>
      <c r="J1848" s="375"/>
      <c r="K1848" s="375"/>
      <c r="L1848" s="375"/>
      <c r="M1848" s="368"/>
      <c r="N1848" s="368"/>
      <c r="O1848" s="370"/>
      <c r="T1848" s="340"/>
      <c r="V1848" s="378"/>
      <c r="W1848" s="64" ph="1"/>
      <c r="X1848" s="241"/>
      <c r="Y1848" s="284"/>
      <c r="Z1848" s="207"/>
      <c r="AA1848" s="284"/>
      <c r="AB1848" s="284"/>
      <c r="AC1848" s="284"/>
      <c r="AD1848" s="284"/>
      <c r="AE1848" s="284"/>
      <c r="AF1848" s="284"/>
      <c r="AG1848" s="284"/>
      <c r="AI1848" s="284"/>
    </row>
    <row r="1849" spans="1:35" ht="26.4">
      <c r="A1849" s="284"/>
      <c r="B1849" s="284"/>
      <c r="C1849" s="284"/>
      <c r="D1849" s="284"/>
      <c r="E1849" s="284"/>
      <c r="F1849" s="284"/>
      <c r="G1849" s="284"/>
      <c r="H1849" s="284"/>
      <c r="I1849" s="284"/>
      <c r="J1849" s="375"/>
      <c r="K1849" s="375"/>
      <c r="L1849" s="375"/>
      <c r="M1849" s="368"/>
      <c r="N1849" s="368"/>
      <c r="O1849" s="370"/>
      <c r="T1849" s="340"/>
      <c r="V1849" s="378"/>
      <c r="W1849" s="64" ph="1"/>
      <c r="X1849" s="241"/>
      <c r="Y1849" s="284"/>
      <c r="Z1849" s="207"/>
      <c r="AA1849" s="284"/>
      <c r="AB1849" s="284"/>
      <c r="AC1849" s="284"/>
      <c r="AD1849" s="284"/>
      <c r="AE1849" s="284"/>
      <c r="AF1849" s="284"/>
      <c r="AG1849" s="284"/>
      <c r="AI1849" s="284"/>
    </row>
    <row r="1850" spans="1:35" ht="26.4">
      <c r="A1850" s="284"/>
      <c r="B1850" s="284"/>
      <c r="C1850" s="284"/>
      <c r="D1850" s="284"/>
      <c r="E1850" s="284"/>
      <c r="F1850" s="284"/>
      <c r="G1850" s="284"/>
      <c r="H1850" s="284"/>
      <c r="I1850" s="284"/>
      <c r="J1850" s="375"/>
      <c r="K1850" s="375"/>
      <c r="L1850" s="375"/>
      <c r="M1850" s="368"/>
      <c r="N1850" s="368"/>
      <c r="O1850" s="370"/>
      <c r="T1850" s="340"/>
      <c r="V1850" s="378"/>
      <c r="W1850" s="64" ph="1"/>
      <c r="X1850" s="241"/>
      <c r="Y1850" s="284"/>
      <c r="Z1850" s="207"/>
      <c r="AA1850" s="284"/>
      <c r="AB1850" s="284"/>
      <c r="AC1850" s="284"/>
      <c r="AD1850" s="284"/>
      <c r="AE1850" s="284"/>
      <c r="AF1850" s="284"/>
      <c r="AG1850" s="284"/>
      <c r="AI1850" s="284"/>
    </row>
    <row r="1851" spans="1:35" ht="26.4">
      <c r="A1851" s="284"/>
      <c r="B1851" s="284"/>
      <c r="C1851" s="284"/>
      <c r="D1851" s="284"/>
      <c r="E1851" s="284"/>
      <c r="F1851" s="284"/>
      <c r="G1851" s="284"/>
      <c r="H1851" s="284"/>
      <c r="I1851" s="284"/>
      <c r="J1851" s="375"/>
      <c r="K1851" s="375"/>
      <c r="L1851" s="375"/>
      <c r="M1851" s="368"/>
      <c r="N1851" s="368"/>
      <c r="O1851" s="370"/>
      <c r="T1851" s="340"/>
      <c r="V1851" s="378"/>
      <c r="W1851" s="64" ph="1"/>
      <c r="X1851" s="241"/>
      <c r="Y1851" s="284"/>
      <c r="Z1851" s="207"/>
      <c r="AA1851" s="284"/>
      <c r="AB1851" s="284"/>
      <c r="AC1851" s="284"/>
      <c r="AD1851" s="284"/>
      <c r="AE1851" s="284"/>
      <c r="AF1851" s="284"/>
      <c r="AG1851" s="284"/>
      <c r="AI1851" s="284"/>
    </row>
    <row r="1852" spans="1:35" ht="26.4">
      <c r="A1852" s="284"/>
      <c r="B1852" s="284"/>
      <c r="C1852" s="284"/>
      <c r="D1852" s="284"/>
      <c r="E1852" s="284"/>
      <c r="F1852" s="284"/>
      <c r="G1852" s="284"/>
      <c r="H1852" s="284"/>
      <c r="I1852" s="284"/>
      <c r="J1852" s="375"/>
      <c r="K1852" s="375"/>
      <c r="L1852" s="375"/>
      <c r="M1852" s="368"/>
      <c r="N1852" s="368"/>
      <c r="O1852" s="370"/>
      <c r="T1852" s="340"/>
      <c r="V1852" s="378"/>
      <c r="W1852" s="64" ph="1"/>
      <c r="X1852" s="241"/>
      <c r="Y1852" s="284"/>
      <c r="Z1852" s="207"/>
      <c r="AA1852" s="284"/>
      <c r="AB1852" s="284"/>
      <c r="AC1852" s="284"/>
      <c r="AD1852" s="284"/>
      <c r="AE1852" s="284"/>
      <c r="AF1852" s="284"/>
      <c r="AG1852" s="284"/>
      <c r="AI1852" s="284"/>
    </row>
    <row r="1853" spans="1:35" ht="26.4">
      <c r="A1853" s="284"/>
      <c r="B1853" s="284"/>
      <c r="C1853" s="284"/>
      <c r="D1853" s="284"/>
      <c r="E1853" s="284"/>
      <c r="F1853" s="284"/>
      <c r="G1853" s="284"/>
      <c r="H1853" s="284"/>
      <c r="I1853" s="284"/>
      <c r="J1853" s="375"/>
      <c r="K1853" s="375"/>
      <c r="L1853" s="375"/>
      <c r="M1853" s="368"/>
      <c r="N1853" s="368"/>
      <c r="O1853" s="370"/>
      <c r="T1853" s="340"/>
      <c r="V1853" s="378"/>
      <c r="W1853" s="64" ph="1"/>
      <c r="X1853" s="241"/>
      <c r="Y1853" s="284"/>
      <c r="Z1853" s="207"/>
      <c r="AA1853" s="284"/>
      <c r="AB1853" s="284"/>
      <c r="AC1853" s="284"/>
      <c r="AD1853" s="284"/>
      <c r="AE1853" s="284"/>
      <c r="AF1853" s="284"/>
      <c r="AG1853" s="284"/>
      <c r="AI1853" s="284"/>
    </row>
    <row r="1854" spans="1:35" ht="26.4">
      <c r="A1854" s="284"/>
      <c r="B1854" s="284"/>
      <c r="C1854" s="284"/>
      <c r="D1854" s="284"/>
      <c r="E1854" s="284"/>
      <c r="F1854" s="284"/>
      <c r="G1854" s="284"/>
      <c r="H1854" s="284"/>
      <c r="I1854" s="284"/>
      <c r="J1854" s="375"/>
      <c r="K1854" s="375"/>
      <c r="L1854" s="375"/>
      <c r="M1854" s="368"/>
      <c r="N1854" s="368"/>
      <c r="O1854" s="370"/>
      <c r="T1854" s="340"/>
      <c r="V1854" s="378"/>
      <c r="W1854" s="64" ph="1"/>
      <c r="X1854" s="241"/>
      <c r="Y1854" s="284"/>
      <c r="Z1854" s="207"/>
      <c r="AA1854" s="284"/>
      <c r="AB1854" s="284"/>
      <c r="AC1854" s="284"/>
      <c r="AD1854" s="284"/>
      <c r="AE1854" s="284"/>
      <c r="AF1854" s="284"/>
      <c r="AG1854" s="284"/>
      <c r="AI1854" s="284"/>
    </row>
    <row r="1855" spans="1:35" ht="26.4">
      <c r="A1855" s="284"/>
      <c r="B1855" s="284"/>
      <c r="C1855" s="284"/>
      <c r="D1855" s="284"/>
      <c r="E1855" s="284"/>
      <c r="F1855" s="284"/>
      <c r="G1855" s="284"/>
      <c r="H1855" s="284"/>
      <c r="I1855" s="284"/>
      <c r="J1855" s="375"/>
      <c r="K1855" s="375"/>
      <c r="L1855" s="375"/>
      <c r="M1855" s="368"/>
      <c r="N1855" s="368"/>
      <c r="O1855" s="370"/>
      <c r="T1855" s="340"/>
      <c r="V1855" s="378"/>
      <c r="W1855" s="64" ph="1"/>
      <c r="X1855" s="241"/>
      <c r="Y1855" s="284"/>
      <c r="Z1855" s="207"/>
      <c r="AA1855" s="284"/>
      <c r="AB1855" s="284"/>
      <c r="AC1855" s="284"/>
      <c r="AD1855" s="284"/>
      <c r="AE1855" s="284"/>
      <c r="AF1855" s="284"/>
      <c r="AG1855" s="284"/>
      <c r="AI1855" s="131"/>
    </row>
    <row r="1856" spans="1:35" ht="26.4">
      <c r="A1856" s="284"/>
      <c r="B1856" s="284"/>
      <c r="C1856" s="284"/>
      <c r="D1856" s="284"/>
      <c r="E1856" s="284"/>
      <c r="F1856" s="284"/>
      <c r="G1856" s="284"/>
      <c r="H1856" s="284"/>
      <c r="I1856" s="284"/>
      <c r="J1856" s="375"/>
      <c r="K1856" s="375"/>
      <c r="L1856" s="375"/>
      <c r="M1856" s="368"/>
      <c r="N1856" s="368"/>
      <c r="O1856" s="370"/>
      <c r="T1856" s="340"/>
      <c r="V1856" s="378"/>
      <c r="W1856" s="64" ph="1"/>
      <c r="X1856" s="241"/>
      <c r="Y1856" s="284"/>
      <c r="Z1856" s="207"/>
      <c r="AA1856" s="284"/>
      <c r="AB1856" s="284"/>
      <c r="AC1856" s="284"/>
      <c r="AD1856" s="284"/>
      <c r="AE1856" s="284"/>
      <c r="AF1856" s="284"/>
      <c r="AG1856" s="284"/>
      <c r="AI1856" s="284"/>
    </row>
    <row r="1857" spans="1:35" ht="26.4">
      <c r="A1857" s="284"/>
      <c r="B1857" s="284"/>
      <c r="C1857" s="284"/>
      <c r="D1857" s="284"/>
      <c r="E1857" s="284"/>
      <c r="F1857" s="284"/>
      <c r="G1857" s="284"/>
      <c r="H1857" s="284"/>
      <c r="I1857" s="284"/>
      <c r="J1857" s="375"/>
      <c r="K1857" s="375"/>
      <c r="L1857" s="375"/>
      <c r="M1857" s="368"/>
      <c r="N1857" s="368"/>
      <c r="O1857" s="370"/>
      <c r="T1857" s="340"/>
      <c r="V1857" s="378"/>
      <c r="W1857" s="64" ph="1"/>
      <c r="X1857" s="241"/>
      <c r="Y1857" s="284"/>
      <c r="Z1857" s="207"/>
      <c r="AA1857" s="284"/>
      <c r="AB1857" s="284"/>
      <c r="AC1857" s="284"/>
      <c r="AD1857" s="284"/>
      <c r="AE1857" s="284"/>
      <c r="AF1857" s="284"/>
      <c r="AG1857" s="284"/>
      <c r="AI1857" s="284"/>
    </row>
    <row r="1858" spans="1:35" ht="26.4">
      <c r="A1858" s="284"/>
      <c r="B1858" s="284"/>
      <c r="C1858" s="284"/>
      <c r="D1858" s="284"/>
      <c r="E1858" s="284"/>
      <c r="F1858" s="284"/>
      <c r="G1858" s="284"/>
      <c r="H1858" s="284"/>
      <c r="I1858" s="284"/>
      <c r="J1858" s="375"/>
      <c r="K1858" s="375"/>
      <c r="L1858" s="375"/>
      <c r="M1858" s="368"/>
      <c r="N1858" s="368"/>
      <c r="O1858" s="370"/>
      <c r="T1858" s="340"/>
      <c r="V1858" s="378"/>
      <c r="W1858" s="64" ph="1"/>
      <c r="X1858" s="241"/>
      <c r="Y1858" s="284"/>
      <c r="Z1858" s="207"/>
      <c r="AA1858" s="284"/>
      <c r="AB1858" s="284"/>
      <c r="AC1858" s="284"/>
      <c r="AD1858" s="284"/>
      <c r="AE1858" s="284"/>
      <c r="AF1858" s="284"/>
      <c r="AG1858" s="284"/>
      <c r="AI1858" s="284"/>
    </row>
    <row r="1859" spans="1:35" ht="26.4">
      <c r="A1859" s="284"/>
      <c r="B1859" s="284"/>
      <c r="C1859" s="284"/>
      <c r="D1859" s="284"/>
      <c r="E1859" s="284"/>
      <c r="F1859" s="284"/>
      <c r="G1859" s="284"/>
      <c r="H1859" s="284"/>
      <c r="I1859" s="284"/>
      <c r="J1859" s="375"/>
      <c r="K1859" s="375"/>
      <c r="L1859" s="375"/>
      <c r="M1859" s="368"/>
      <c r="N1859" s="368"/>
      <c r="O1859" s="370"/>
      <c r="T1859" s="340"/>
      <c r="V1859" s="378"/>
      <c r="W1859" s="64" ph="1"/>
      <c r="X1859" s="241"/>
      <c r="Y1859" s="284"/>
      <c r="Z1859" s="207"/>
      <c r="AA1859" s="284"/>
      <c r="AB1859" s="284"/>
      <c r="AC1859" s="284"/>
      <c r="AD1859" s="284"/>
      <c r="AE1859" s="284"/>
      <c r="AF1859" s="284"/>
      <c r="AG1859" s="284"/>
      <c r="AI1859" s="131"/>
    </row>
    <row r="1860" spans="1:35" ht="26.4">
      <c r="A1860" s="284"/>
      <c r="B1860" s="284"/>
      <c r="C1860" s="284"/>
      <c r="D1860" s="284"/>
      <c r="E1860" s="284"/>
      <c r="F1860" s="284"/>
      <c r="G1860" s="284"/>
      <c r="H1860" s="284"/>
      <c r="I1860" s="284"/>
      <c r="J1860" s="375"/>
      <c r="K1860" s="375"/>
      <c r="L1860" s="375"/>
      <c r="M1860" s="368"/>
      <c r="N1860" s="368"/>
      <c r="O1860" s="370"/>
      <c r="T1860" s="340"/>
      <c r="V1860" s="378"/>
      <c r="W1860" s="64" ph="1"/>
      <c r="X1860" s="241"/>
      <c r="Y1860" s="284"/>
      <c r="Z1860" s="207"/>
      <c r="AA1860" s="284"/>
      <c r="AB1860" s="284"/>
      <c r="AC1860" s="284"/>
      <c r="AD1860" s="284"/>
      <c r="AE1860" s="284"/>
      <c r="AF1860" s="284"/>
      <c r="AG1860" s="284"/>
      <c r="AI1860" s="284"/>
    </row>
    <row r="1861" spans="1:35" ht="26.4">
      <c r="A1861" s="284"/>
      <c r="B1861" s="284"/>
      <c r="C1861" s="284"/>
      <c r="D1861" s="284"/>
      <c r="E1861" s="284"/>
      <c r="F1861" s="284"/>
      <c r="G1861" s="284"/>
      <c r="H1861" s="284"/>
      <c r="I1861" s="284"/>
      <c r="J1861" s="375"/>
      <c r="K1861" s="375"/>
      <c r="L1861" s="375"/>
      <c r="M1861" s="368"/>
      <c r="N1861" s="368"/>
      <c r="O1861" s="370"/>
      <c r="T1861" s="340"/>
      <c r="V1861" s="378"/>
      <c r="W1861" s="64" ph="1"/>
      <c r="X1861" s="241"/>
      <c r="Y1861" s="284"/>
      <c r="Z1861" s="207"/>
      <c r="AA1861" s="284"/>
      <c r="AB1861" s="284"/>
      <c r="AC1861" s="284"/>
      <c r="AD1861" s="284"/>
      <c r="AE1861" s="284"/>
      <c r="AF1861" s="284"/>
      <c r="AG1861" s="284"/>
      <c r="AI1861" s="284"/>
    </row>
    <row r="1862" spans="1:35" ht="26.4">
      <c r="A1862" s="284"/>
      <c r="B1862" s="284"/>
      <c r="C1862" s="284"/>
      <c r="D1862" s="284"/>
      <c r="E1862" s="284"/>
      <c r="F1862" s="284"/>
      <c r="G1862" s="284"/>
      <c r="H1862" s="284"/>
      <c r="I1862" s="284"/>
      <c r="J1862" s="375"/>
      <c r="K1862" s="375"/>
      <c r="L1862" s="375"/>
      <c r="M1862" s="368"/>
      <c r="N1862" s="368"/>
      <c r="O1862" s="370"/>
      <c r="T1862" s="340"/>
      <c r="V1862" s="378"/>
      <c r="W1862" s="64" ph="1"/>
      <c r="X1862" s="241"/>
      <c r="Y1862" s="284"/>
      <c r="Z1862" s="207"/>
      <c r="AA1862" s="284"/>
      <c r="AB1862" s="284"/>
      <c r="AC1862" s="284"/>
      <c r="AD1862" s="284"/>
      <c r="AE1862" s="284"/>
      <c r="AF1862" s="284"/>
      <c r="AG1862" s="284"/>
      <c r="AI1862" s="131"/>
    </row>
    <row r="1863" spans="1:35" ht="26.4">
      <c r="A1863" s="284"/>
      <c r="B1863" s="284"/>
      <c r="C1863" s="284"/>
      <c r="D1863" s="284"/>
      <c r="E1863" s="284"/>
      <c r="F1863" s="284"/>
      <c r="G1863" s="284"/>
      <c r="H1863" s="284"/>
      <c r="I1863" s="284"/>
      <c r="J1863" s="375"/>
      <c r="K1863" s="375"/>
      <c r="L1863" s="375"/>
      <c r="M1863" s="368"/>
      <c r="N1863" s="368"/>
      <c r="O1863" s="370"/>
      <c r="T1863" s="340"/>
      <c r="V1863" s="378"/>
      <c r="W1863" s="64" ph="1"/>
      <c r="X1863" s="241"/>
      <c r="Y1863" s="284"/>
      <c r="Z1863" s="207"/>
      <c r="AA1863" s="284"/>
      <c r="AB1863" s="284"/>
      <c r="AC1863" s="284"/>
      <c r="AD1863" s="284"/>
      <c r="AE1863" s="284"/>
      <c r="AF1863" s="284"/>
      <c r="AG1863" s="284"/>
      <c r="AI1863" s="131"/>
    </row>
    <row r="1864" spans="1:35" ht="26.4">
      <c r="A1864" s="284"/>
      <c r="B1864" s="284"/>
      <c r="C1864" s="284"/>
      <c r="D1864" s="284"/>
      <c r="E1864" s="284"/>
      <c r="F1864" s="284"/>
      <c r="G1864" s="284"/>
      <c r="H1864" s="284"/>
      <c r="I1864" s="284"/>
      <c r="J1864" s="375"/>
      <c r="K1864" s="375"/>
      <c r="L1864" s="375"/>
      <c r="M1864" s="368"/>
      <c r="N1864" s="368"/>
      <c r="O1864" s="370"/>
      <c r="T1864" s="340"/>
      <c r="V1864" s="378"/>
      <c r="W1864" s="64" ph="1"/>
      <c r="X1864" s="241"/>
      <c r="Y1864" s="284"/>
      <c r="Z1864" s="207"/>
      <c r="AA1864" s="284"/>
      <c r="AB1864" s="284"/>
      <c r="AC1864" s="284"/>
      <c r="AD1864" s="284"/>
      <c r="AE1864" s="284"/>
      <c r="AF1864" s="284"/>
      <c r="AG1864" s="284"/>
    </row>
    <row r="1865" spans="1:35" ht="26.4">
      <c r="A1865" s="284"/>
      <c r="B1865" s="284"/>
      <c r="C1865" s="284"/>
      <c r="D1865" s="284"/>
      <c r="E1865" s="284"/>
      <c r="F1865" s="284"/>
      <c r="G1865" s="284"/>
      <c r="H1865" s="284"/>
      <c r="I1865" s="284"/>
      <c r="J1865" s="375"/>
      <c r="K1865" s="375"/>
      <c r="L1865" s="375"/>
      <c r="M1865" s="368"/>
      <c r="N1865" s="368"/>
      <c r="O1865" s="370"/>
      <c r="T1865" s="340"/>
      <c r="V1865" s="378"/>
      <c r="W1865" s="64" ph="1"/>
      <c r="X1865" s="241"/>
      <c r="Y1865" s="284"/>
      <c r="Z1865" s="207"/>
      <c r="AA1865" s="284"/>
      <c r="AB1865" s="284"/>
      <c r="AC1865" s="284"/>
      <c r="AD1865" s="284"/>
      <c r="AE1865" s="284"/>
      <c r="AF1865" s="284"/>
      <c r="AG1865" s="284"/>
    </row>
    <row r="1866" spans="1:35" ht="26.4">
      <c r="A1866" s="284"/>
      <c r="B1866" s="284"/>
      <c r="C1866" s="284"/>
      <c r="D1866" s="284"/>
      <c r="E1866" s="284"/>
      <c r="F1866" s="284"/>
      <c r="G1866" s="284"/>
      <c r="H1866" s="284"/>
      <c r="I1866" s="284"/>
      <c r="J1866" s="375"/>
      <c r="K1866" s="375"/>
      <c r="L1866" s="375"/>
      <c r="M1866" s="368"/>
      <c r="N1866" s="368"/>
      <c r="O1866" s="370"/>
      <c r="T1866" s="340"/>
      <c r="V1866" s="378"/>
      <c r="W1866" s="64" ph="1"/>
      <c r="X1866" s="241"/>
      <c r="Y1866" s="284"/>
      <c r="Z1866" s="207"/>
      <c r="AA1866" s="284"/>
      <c r="AB1866" s="284"/>
      <c r="AC1866" s="284"/>
      <c r="AD1866" s="284"/>
      <c r="AE1866" s="284"/>
      <c r="AF1866" s="284"/>
      <c r="AG1866" s="284"/>
    </row>
    <row r="1867" spans="1:35" ht="26.4">
      <c r="A1867" s="284"/>
      <c r="B1867" s="284"/>
      <c r="C1867" s="284"/>
      <c r="D1867" s="284"/>
      <c r="E1867" s="284"/>
      <c r="F1867" s="284"/>
      <c r="G1867" s="284"/>
      <c r="H1867" s="284"/>
      <c r="I1867" s="284"/>
      <c r="J1867" s="375"/>
      <c r="K1867" s="375"/>
      <c r="L1867" s="375"/>
      <c r="M1867" s="368"/>
      <c r="N1867" s="368"/>
      <c r="O1867" s="370"/>
      <c r="T1867" s="340"/>
      <c r="V1867" s="378"/>
      <c r="W1867" s="64" ph="1"/>
      <c r="X1867" s="241"/>
      <c r="Y1867" s="284"/>
      <c r="Z1867" s="207"/>
      <c r="AA1867" s="284"/>
      <c r="AB1867" s="284"/>
      <c r="AC1867" s="284"/>
      <c r="AD1867" s="284"/>
      <c r="AE1867" s="284"/>
      <c r="AF1867" s="284"/>
      <c r="AG1867" s="284"/>
    </row>
    <row r="1868" spans="1:35" ht="26.4">
      <c r="A1868" s="284"/>
      <c r="B1868" s="284"/>
      <c r="C1868" s="284"/>
      <c r="D1868" s="284"/>
      <c r="E1868" s="284"/>
      <c r="F1868" s="284"/>
      <c r="G1868" s="284"/>
      <c r="H1868" s="284"/>
      <c r="I1868" s="284"/>
      <c r="J1868" s="375"/>
      <c r="K1868" s="375"/>
      <c r="L1868" s="375"/>
      <c r="M1868" s="368"/>
      <c r="N1868" s="368"/>
      <c r="O1868" s="370"/>
      <c r="T1868" s="340"/>
      <c r="V1868" s="378"/>
      <c r="W1868" s="64" ph="1"/>
      <c r="X1868" s="241"/>
      <c r="Y1868" s="284"/>
      <c r="Z1868" s="207"/>
      <c r="AA1868" s="284"/>
      <c r="AB1868" s="284"/>
      <c r="AC1868" s="284"/>
      <c r="AD1868" s="284"/>
      <c r="AE1868" s="284"/>
      <c r="AF1868" s="284"/>
      <c r="AG1868" s="284"/>
    </row>
    <row r="1869" spans="1:35" ht="26.4">
      <c r="A1869" s="284"/>
      <c r="B1869" s="284"/>
      <c r="C1869" s="284"/>
      <c r="D1869" s="284"/>
      <c r="E1869" s="284"/>
      <c r="F1869" s="284"/>
      <c r="G1869" s="284"/>
      <c r="H1869" s="284"/>
      <c r="I1869" s="284"/>
      <c r="J1869" s="375"/>
      <c r="K1869" s="375"/>
      <c r="L1869" s="375"/>
      <c r="M1869" s="368"/>
      <c r="N1869" s="368"/>
      <c r="O1869" s="370"/>
      <c r="T1869" s="340"/>
      <c r="V1869" s="378"/>
      <c r="W1869" s="64" ph="1"/>
      <c r="X1869" s="241"/>
      <c r="Y1869" s="284"/>
      <c r="Z1869" s="207"/>
      <c r="AA1869" s="284"/>
      <c r="AB1869" s="284"/>
      <c r="AC1869" s="284"/>
      <c r="AD1869" s="284"/>
      <c r="AE1869" s="284"/>
      <c r="AF1869" s="284"/>
      <c r="AG1869" s="284"/>
    </row>
    <row r="1870" spans="1:35" ht="26.4">
      <c r="A1870" s="284"/>
      <c r="B1870" s="284"/>
      <c r="C1870" s="284"/>
      <c r="D1870" s="284"/>
      <c r="E1870" s="284"/>
      <c r="F1870" s="284"/>
      <c r="G1870" s="284"/>
      <c r="H1870" s="284"/>
      <c r="I1870" s="284"/>
      <c r="J1870" s="375"/>
      <c r="K1870" s="375"/>
      <c r="L1870" s="375"/>
      <c r="M1870" s="368"/>
      <c r="N1870" s="368"/>
      <c r="O1870" s="370"/>
      <c r="T1870" s="340"/>
      <c r="V1870" s="378"/>
      <c r="W1870" s="64" ph="1"/>
      <c r="X1870" s="241"/>
      <c r="Y1870" s="284"/>
      <c r="Z1870" s="207"/>
      <c r="AA1870" s="284"/>
      <c r="AB1870" s="284"/>
      <c r="AC1870" s="284"/>
      <c r="AD1870" s="284"/>
      <c r="AE1870" s="284"/>
      <c r="AF1870" s="284"/>
      <c r="AG1870" s="284"/>
    </row>
    <row r="1871" spans="1:35" ht="26.4">
      <c r="A1871" s="284"/>
      <c r="B1871" s="284"/>
      <c r="C1871" s="284"/>
      <c r="D1871" s="284"/>
      <c r="E1871" s="284"/>
      <c r="F1871" s="284"/>
      <c r="G1871" s="284"/>
      <c r="H1871" s="284"/>
      <c r="I1871" s="284"/>
      <c r="J1871" s="375"/>
      <c r="K1871" s="375"/>
      <c r="L1871" s="375"/>
      <c r="M1871" s="368"/>
      <c r="N1871" s="368"/>
      <c r="O1871" s="370"/>
      <c r="T1871" s="340"/>
      <c r="V1871" s="378"/>
      <c r="W1871" s="64" ph="1"/>
      <c r="X1871" s="241"/>
      <c r="Y1871" s="284"/>
      <c r="Z1871" s="207"/>
      <c r="AA1871" s="284"/>
      <c r="AB1871" s="284"/>
      <c r="AC1871" s="284"/>
      <c r="AD1871" s="284"/>
      <c r="AE1871" s="284"/>
      <c r="AF1871" s="284"/>
      <c r="AG1871" s="284"/>
    </row>
    <row r="1872" spans="1:35" ht="26.4">
      <c r="A1872" s="284"/>
      <c r="B1872" s="284"/>
      <c r="C1872" s="284"/>
      <c r="D1872" s="284"/>
      <c r="E1872" s="284"/>
      <c r="F1872" s="284"/>
      <c r="G1872" s="284"/>
      <c r="H1872" s="284"/>
      <c r="I1872" s="284"/>
      <c r="J1872" s="375"/>
      <c r="K1872" s="375"/>
      <c r="L1872" s="375"/>
      <c r="M1872" s="368"/>
      <c r="N1872" s="368"/>
      <c r="O1872" s="370"/>
      <c r="T1872" s="340"/>
      <c r="V1872" s="378"/>
      <c r="W1872" s="64" ph="1"/>
      <c r="X1872" s="241"/>
      <c r="Y1872" s="284"/>
      <c r="Z1872" s="207"/>
      <c r="AA1872" s="284"/>
      <c r="AB1872" s="284"/>
      <c r="AC1872" s="284"/>
      <c r="AD1872" s="284"/>
      <c r="AE1872" s="284"/>
      <c r="AF1872" s="284"/>
      <c r="AG1872" s="284"/>
    </row>
    <row r="1873" spans="1:33" ht="26.4">
      <c r="A1873" s="284"/>
      <c r="B1873" s="284"/>
      <c r="C1873" s="284"/>
      <c r="D1873" s="284"/>
      <c r="E1873" s="284"/>
      <c r="F1873" s="284"/>
      <c r="G1873" s="284"/>
      <c r="H1873" s="284"/>
      <c r="I1873" s="284"/>
      <c r="J1873" s="375"/>
      <c r="K1873" s="375"/>
      <c r="L1873" s="375"/>
      <c r="M1873" s="368"/>
      <c r="N1873" s="368"/>
      <c r="O1873" s="370"/>
      <c r="T1873" s="340"/>
      <c r="V1873" s="378"/>
      <c r="W1873" s="64" ph="1"/>
      <c r="X1873" s="241"/>
      <c r="Y1873" s="284"/>
      <c r="Z1873" s="207"/>
      <c r="AA1873" s="284"/>
      <c r="AB1873" s="284"/>
      <c r="AC1873" s="284"/>
      <c r="AD1873" s="284"/>
      <c r="AE1873" s="284"/>
      <c r="AF1873" s="284"/>
      <c r="AG1873" s="284"/>
    </row>
    <row r="1874" spans="1:33" ht="26.4">
      <c r="A1874" s="284"/>
      <c r="B1874" s="284"/>
      <c r="C1874" s="284"/>
      <c r="D1874" s="284"/>
      <c r="E1874" s="284"/>
      <c r="F1874" s="284"/>
      <c r="G1874" s="284"/>
      <c r="H1874" s="284"/>
      <c r="I1874" s="284"/>
      <c r="J1874" s="375"/>
      <c r="K1874" s="375"/>
      <c r="L1874" s="375"/>
      <c r="M1874" s="368"/>
      <c r="N1874" s="368"/>
      <c r="O1874" s="370"/>
      <c r="T1874" s="340"/>
      <c r="V1874" s="378"/>
      <c r="W1874" s="64" ph="1"/>
      <c r="X1874" s="241"/>
      <c r="Y1874" s="284"/>
      <c r="Z1874" s="207"/>
      <c r="AA1874" s="284"/>
      <c r="AB1874" s="284"/>
      <c r="AC1874" s="284"/>
      <c r="AD1874" s="284"/>
      <c r="AE1874" s="284"/>
      <c r="AF1874" s="284"/>
      <c r="AG1874" s="284"/>
    </row>
    <row r="1875" spans="1:33" ht="26.4">
      <c r="A1875" s="284"/>
      <c r="B1875" s="284"/>
      <c r="C1875" s="284"/>
      <c r="D1875" s="284"/>
      <c r="E1875" s="284"/>
      <c r="F1875" s="284"/>
      <c r="G1875" s="284"/>
      <c r="H1875" s="284"/>
      <c r="I1875" s="284"/>
      <c r="J1875" s="375"/>
      <c r="K1875" s="375"/>
      <c r="L1875" s="375"/>
      <c r="M1875" s="368"/>
      <c r="N1875" s="368"/>
      <c r="O1875" s="370"/>
      <c r="T1875" s="340"/>
      <c r="V1875" s="378"/>
      <c r="W1875" s="64" ph="1"/>
      <c r="X1875" s="241"/>
      <c r="Y1875" s="284"/>
      <c r="Z1875" s="207"/>
      <c r="AA1875" s="284"/>
      <c r="AB1875" s="284"/>
      <c r="AC1875" s="284"/>
      <c r="AD1875" s="284"/>
      <c r="AE1875" s="284"/>
      <c r="AF1875" s="284"/>
      <c r="AG1875" s="284"/>
    </row>
    <row r="1876" spans="1:33" ht="26.4">
      <c r="A1876" s="284"/>
      <c r="B1876" s="284"/>
      <c r="C1876" s="284"/>
      <c r="D1876" s="284"/>
      <c r="E1876" s="284"/>
      <c r="F1876" s="284"/>
      <c r="G1876" s="284"/>
      <c r="H1876" s="284"/>
      <c r="I1876" s="284"/>
      <c r="J1876" s="375"/>
      <c r="K1876" s="375"/>
      <c r="L1876" s="375"/>
      <c r="M1876" s="368"/>
      <c r="N1876" s="368"/>
      <c r="O1876" s="370"/>
      <c r="T1876" s="340"/>
      <c r="V1876" s="378"/>
      <c r="W1876" s="64" ph="1"/>
      <c r="X1876" s="241"/>
      <c r="Y1876" s="284"/>
      <c r="Z1876" s="207"/>
      <c r="AA1876" s="284"/>
      <c r="AB1876" s="284"/>
      <c r="AC1876" s="284"/>
      <c r="AD1876" s="284"/>
      <c r="AE1876" s="284"/>
      <c r="AF1876" s="284"/>
      <c r="AG1876" s="284"/>
    </row>
    <row r="1877" spans="1:33" ht="26.4">
      <c r="A1877" s="284"/>
      <c r="B1877" s="284"/>
      <c r="C1877" s="284"/>
      <c r="D1877" s="284"/>
      <c r="E1877" s="284"/>
      <c r="F1877" s="284"/>
      <c r="G1877" s="284"/>
      <c r="H1877" s="284"/>
      <c r="I1877" s="284"/>
      <c r="J1877" s="375"/>
      <c r="K1877" s="375"/>
      <c r="L1877" s="375"/>
      <c r="M1877" s="368"/>
      <c r="N1877" s="368"/>
      <c r="O1877" s="370"/>
      <c r="T1877" s="340"/>
      <c r="V1877" s="378"/>
      <c r="W1877" s="64" ph="1"/>
      <c r="X1877" s="241"/>
      <c r="Y1877" s="284"/>
      <c r="Z1877" s="207"/>
      <c r="AA1877" s="284"/>
      <c r="AB1877" s="284"/>
      <c r="AC1877" s="284"/>
      <c r="AD1877" s="284"/>
      <c r="AE1877" s="284"/>
      <c r="AF1877" s="284"/>
      <c r="AG1877" s="284"/>
    </row>
    <row r="1878" spans="1:33" ht="26.4">
      <c r="A1878" s="284"/>
      <c r="B1878" s="284"/>
      <c r="C1878" s="284"/>
      <c r="D1878" s="284"/>
      <c r="E1878" s="284"/>
      <c r="F1878" s="284"/>
      <c r="G1878" s="284"/>
      <c r="H1878" s="284"/>
      <c r="I1878" s="284"/>
      <c r="J1878" s="375"/>
      <c r="K1878" s="375"/>
      <c r="L1878" s="375"/>
      <c r="M1878" s="368"/>
      <c r="N1878" s="368"/>
      <c r="O1878" s="370"/>
      <c r="T1878" s="340"/>
      <c r="V1878" s="378"/>
      <c r="W1878" s="64" ph="1"/>
      <c r="X1878" s="241"/>
      <c r="Y1878" s="284"/>
      <c r="Z1878" s="207"/>
      <c r="AA1878" s="284"/>
      <c r="AB1878" s="284"/>
      <c r="AC1878" s="284"/>
      <c r="AD1878" s="284"/>
      <c r="AE1878" s="284"/>
      <c r="AF1878" s="284"/>
      <c r="AG1878" s="284"/>
    </row>
    <row r="1879" spans="1:33" ht="26.4">
      <c r="A1879" s="284"/>
      <c r="B1879" s="284"/>
      <c r="C1879" s="284"/>
      <c r="D1879" s="284"/>
      <c r="E1879" s="284"/>
      <c r="F1879" s="284"/>
      <c r="G1879" s="284"/>
      <c r="H1879" s="284"/>
      <c r="I1879" s="284"/>
      <c r="J1879" s="375"/>
      <c r="K1879" s="375"/>
      <c r="L1879" s="375"/>
      <c r="M1879" s="368"/>
      <c r="N1879" s="368"/>
      <c r="O1879" s="370"/>
      <c r="T1879" s="340"/>
      <c r="V1879" s="378"/>
      <c r="W1879" s="64" ph="1"/>
      <c r="X1879" s="241"/>
      <c r="Y1879" s="284"/>
      <c r="Z1879" s="207"/>
      <c r="AA1879" s="284"/>
      <c r="AB1879" s="284"/>
      <c r="AC1879" s="284"/>
      <c r="AD1879" s="284"/>
      <c r="AE1879" s="284"/>
      <c r="AF1879" s="284"/>
      <c r="AG1879" s="284"/>
    </row>
    <row r="1880" spans="1:33" ht="26.4">
      <c r="A1880" s="284"/>
      <c r="B1880" s="284"/>
      <c r="C1880" s="284"/>
      <c r="D1880" s="284"/>
      <c r="E1880" s="284"/>
      <c r="F1880" s="284"/>
      <c r="G1880" s="284"/>
      <c r="H1880" s="284"/>
      <c r="I1880" s="284"/>
      <c r="J1880" s="375"/>
      <c r="K1880" s="375"/>
      <c r="L1880" s="375"/>
      <c r="M1880" s="368"/>
      <c r="N1880" s="368"/>
      <c r="O1880" s="370"/>
      <c r="T1880" s="340"/>
      <c r="V1880" s="378"/>
      <c r="W1880" s="64" ph="1"/>
      <c r="X1880" s="241"/>
      <c r="Y1880" s="284"/>
      <c r="Z1880" s="207"/>
      <c r="AA1880" s="284"/>
      <c r="AB1880" s="284"/>
      <c r="AC1880" s="284"/>
      <c r="AD1880" s="284"/>
      <c r="AE1880" s="284"/>
      <c r="AF1880" s="284"/>
      <c r="AG1880" s="284"/>
    </row>
    <row r="1881" spans="1:33" ht="26.4">
      <c r="A1881" s="284"/>
      <c r="B1881" s="284"/>
      <c r="C1881" s="284"/>
      <c r="D1881" s="284"/>
      <c r="E1881" s="284"/>
      <c r="F1881" s="284"/>
      <c r="G1881" s="284"/>
      <c r="H1881" s="284"/>
      <c r="I1881" s="284"/>
      <c r="J1881" s="375"/>
      <c r="K1881" s="375"/>
      <c r="L1881" s="375"/>
      <c r="M1881" s="368"/>
      <c r="N1881" s="368"/>
      <c r="O1881" s="370"/>
      <c r="T1881" s="340"/>
      <c r="V1881" s="378"/>
      <c r="W1881" s="64" ph="1"/>
      <c r="X1881" s="241"/>
      <c r="Y1881" s="284"/>
      <c r="Z1881" s="207"/>
      <c r="AA1881" s="284"/>
      <c r="AB1881" s="284"/>
      <c r="AC1881" s="284"/>
      <c r="AD1881" s="284"/>
      <c r="AE1881" s="284"/>
      <c r="AF1881" s="284"/>
      <c r="AG1881" s="284"/>
    </row>
    <row r="1882" spans="1:33" ht="26.4">
      <c r="A1882" s="284"/>
      <c r="B1882" s="284"/>
      <c r="C1882" s="284"/>
      <c r="D1882" s="284"/>
      <c r="E1882" s="284"/>
      <c r="F1882" s="284"/>
      <c r="G1882" s="284"/>
      <c r="H1882" s="284"/>
      <c r="I1882" s="284"/>
      <c r="J1882" s="375"/>
      <c r="K1882" s="375"/>
      <c r="L1882" s="375"/>
      <c r="M1882" s="368"/>
      <c r="N1882" s="368"/>
      <c r="O1882" s="370"/>
      <c r="T1882" s="340"/>
      <c r="V1882" s="378"/>
      <c r="W1882" s="64" ph="1"/>
      <c r="X1882" s="241"/>
      <c r="Y1882" s="284"/>
      <c r="Z1882" s="207"/>
      <c r="AA1882" s="284"/>
      <c r="AB1882" s="284"/>
      <c r="AC1882" s="284"/>
      <c r="AD1882" s="284"/>
      <c r="AE1882" s="284"/>
      <c r="AF1882" s="284"/>
      <c r="AG1882" s="284"/>
    </row>
    <row r="1883" spans="1:33" ht="26.4">
      <c r="A1883" s="284"/>
      <c r="B1883" s="284"/>
      <c r="C1883" s="284"/>
      <c r="D1883" s="284"/>
      <c r="E1883" s="284"/>
      <c r="F1883" s="284"/>
      <c r="G1883" s="284"/>
      <c r="H1883" s="284"/>
      <c r="I1883" s="284"/>
      <c r="J1883" s="375"/>
      <c r="K1883" s="375"/>
      <c r="L1883" s="375"/>
      <c r="M1883" s="368"/>
      <c r="N1883" s="368"/>
      <c r="O1883" s="370"/>
      <c r="T1883" s="340"/>
      <c r="V1883" s="378"/>
      <c r="W1883" s="64" ph="1"/>
      <c r="X1883" s="241"/>
      <c r="Y1883" s="284"/>
      <c r="Z1883" s="207"/>
      <c r="AA1883" s="284"/>
      <c r="AB1883" s="284"/>
      <c r="AC1883" s="284"/>
      <c r="AD1883" s="284"/>
      <c r="AE1883" s="284"/>
      <c r="AF1883" s="284"/>
      <c r="AG1883" s="284"/>
    </row>
    <row r="1884" spans="1:33" ht="26.4">
      <c r="A1884" s="284"/>
      <c r="B1884" s="284"/>
      <c r="C1884" s="284"/>
      <c r="D1884" s="284"/>
      <c r="E1884" s="284"/>
      <c r="F1884" s="284"/>
      <c r="G1884" s="284"/>
      <c r="H1884" s="284"/>
      <c r="I1884" s="284"/>
      <c r="J1884" s="375"/>
      <c r="K1884" s="375"/>
      <c r="L1884" s="375"/>
      <c r="M1884" s="368"/>
      <c r="N1884" s="368"/>
      <c r="O1884" s="370"/>
      <c r="T1884" s="340"/>
      <c r="V1884" s="378"/>
      <c r="W1884" s="64" ph="1"/>
      <c r="X1884" s="241"/>
      <c r="Y1884" s="284"/>
      <c r="Z1884" s="207"/>
      <c r="AA1884" s="284"/>
      <c r="AB1884" s="284"/>
      <c r="AC1884" s="284"/>
      <c r="AD1884" s="284"/>
      <c r="AE1884" s="284"/>
      <c r="AF1884" s="284"/>
      <c r="AG1884" s="284"/>
    </row>
    <row r="1885" spans="1:33" ht="26.4">
      <c r="A1885" s="284"/>
      <c r="B1885" s="284"/>
      <c r="C1885" s="284"/>
      <c r="D1885" s="284"/>
      <c r="E1885" s="284"/>
      <c r="F1885" s="284"/>
      <c r="G1885" s="284"/>
      <c r="H1885" s="284"/>
      <c r="I1885" s="284"/>
      <c r="J1885" s="375"/>
      <c r="K1885" s="375"/>
      <c r="L1885" s="375"/>
      <c r="M1885" s="368"/>
      <c r="N1885" s="368"/>
      <c r="O1885" s="370"/>
      <c r="T1885" s="340"/>
      <c r="V1885" s="378"/>
      <c r="W1885" s="64" ph="1"/>
      <c r="X1885" s="241"/>
      <c r="Y1885" s="284"/>
      <c r="Z1885" s="207"/>
      <c r="AA1885" s="284"/>
      <c r="AB1885" s="284"/>
      <c r="AC1885" s="284"/>
      <c r="AD1885" s="284"/>
      <c r="AE1885" s="284"/>
      <c r="AF1885" s="284"/>
      <c r="AG1885" s="284"/>
    </row>
    <row r="1886" spans="1:33" ht="26.4">
      <c r="A1886" s="284"/>
      <c r="B1886" s="284"/>
      <c r="C1886" s="284"/>
      <c r="D1886" s="284"/>
      <c r="E1886" s="284"/>
      <c r="F1886" s="284"/>
      <c r="G1886" s="284"/>
      <c r="H1886" s="284"/>
      <c r="I1886" s="284"/>
      <c r="J1886" s="375"/>
      <c r="K1886" s="375"/>
      <c r="L1886" s="375"/>
      <c r="M1886" s="368"/>
      <c r="N1886" s="368"/>
      <c r="O1886" s="370"/>
      <c r="T1886" s="340"/>
      <c r="V1886" s="378"/>
      <c r="W1886" s="64" ph="1"/>
      <c r="X1886" s="241"/>
      <c r="Y1886" s="284"/>
      <c r="Z1886" s="207"/>
      <c r="AA1886" s="284"/>
      <c r="AB1886" s="284"/>
      <c r="AC1886" s="284"/>
      <c r="AD1886" s="284"/>
      <c r="AE1886" s="284"/>
      <c r="AF1886" s="284"/>
      <c r="AG1886" s="284"/>
    </row>
    <row r="1887" spans="1:33" ht="26.4">
      <c r="A1887" s="284"/>
      <c r="B1887" s="284"/>
      <c r="C1887" s="284"/>
      <c r="D1887" s="284"/>
      <c r="E1887" s="284"/>
      <c r="F1887" s="284"/>
      <c r="G1887" s="284"/>
      <c r="H1887" s="284"/>
      <c r="I1887" s="284"/>
      <c r="J1887" s="375"/>
      <c r="K1887" s="375"/>
      <c r="L1887" s="375"/>
      <c r="M1887" s="368"/>
      <c r="N1887" s="368"/>
      <c r="O1887" s="370"/>
      <c r="T1887" s="340"/>
      <c r="V1887" s="378"/>
      <c r="W1887" s="64" ph="1"/>
      <c r="X1887" s="241"/>
      <c r="Y1887" s="284"/>
      <c r="Z1887" s="207"/>
      <c r="AA1887" s="284"/>
      <c r="AB1887" s="284"/>
      <c r="AC1887" s="284"/>
      <c r="AD1887" s="284"/>
      <c r="AE1887" s="284"/>
      <c r="AF1887" s="284"/>
      <c r="AG1887" s="284"/>
    </row>
    <row r="1888" spans="1:33" ht="26.4">
      <c r="A1888" s="284"/>
      <c r="B1888" s="284"/>
      <c r="C1888" s="284"/>
      <c r="D1888" s="284"/>
      <c r="E1888" s="284"/>
      <c r="F1888" s="284"/>
      <c r="G1888" s="284"/>
      <c r="H1888" s="284"/>
      <c r="I1888" s="284"/>
      <c r="J1888" s="375"/>
      <c r="K1888" s="375"/>
      <c r="L1888" s="375"/>
      <c r="M1888" s="368"/>
      <c r="N1888" s="368"/>
      <c r="O1888" s="370"/>
      <c r="T1888" s="340"/>
      <c r="V1888" s="378"/>
      <c r="W1888" s="64" ph="1"/>
      <c r="X1888" s="241"/>
      <c r="Y1888" s="284"/>
      <c r="Z1888" s="207"/>
      <c r="AA1888" s="284"/>
      <c r="AB1888" s="284"/>
      <c r="AC1888" s="284"/>
      <c r="AD1888" s="284"/>
      <c r="AE1888" s="284"/>
      <c r="AF1888" s="284"/>
      <c r="AG1888" s="284"/>
    </row>
    <row r="1889" spans="1:33" ht="26.4">
      <c r="A1889" s="284"/>
      <c r="B1889" s="284"/>
      <c r="C1889" s="284"/>
      <c r="D1889" s="284"/>
      <c r="E1889" s="284"/>
      <c r="F1889" s="284"/>
      <c r="G1889" s="284"/>
      <c r="H1889" s="284"/>
      <c r="I1889" s="284"/>
      <c r="J1889" s="375"/>
      <c r="K1889" s="375"/>
      <c r="L1889" s="375"/>
      <c r="M1889" s="368"/>
      <c r="N1889" s="368"/>
      <c r="O1889" s="370"/>
      <c r="T1889" s="340"/>
      <c r="V1889" s="378"/>
      <c r="W1889" s="64" ph="1"/>
      <c r="X1889" s="241"/>
      <c r="Y1889" s="284"/>
      <c r="Z1889" s="207"/>
      <c r="AA1889" s="284"/>
      <c r="AB1889" s="284"/>
      <c r="AC1889" s="284"/>
      <c r="AD1889" s="284"/>
      <c r="AE1889" s="284"/>
      <c r="AF1889" s="284"/>
      <c r="AG1889" s="284"/>
    </row>
    <row r="1890" spans="1:33" ht="26.4">
      <c r="A1890" s="284"/>
      <c r="B1890" s="284"/>
      <c r="C1890" s="284"/>
      <c r="D1890" s="284"/>
      <c r="E1890" s="284"/>
      <c r="F1890" s="284"/>
      <c r="G1890" s="284"/>
      <c r="H1890" s="284"/>
      <c r="I1890" s="284"/>
      <c r="J1890" s="375"/>
      <c r="K1890" s="375"/>
      <c r="L1890" s="375"/>
      <c r="M1890" s="368"/>
      <c r="N1890" s="368"/>
      <c r="O1890" s="370"/>
      <c r="T1890" s="340"/>
      <c r="V1890" s="378"/>
      <c r="W1890" s="64" ph="1"/>
      <c r="X1890" s="241"/>
      <c r="Y1890" s="284"/>
      <c r="Z1890" s="207"/>
      <c r="AA1890" s="284"/>
      <c r="AB1890" s="284"/>
      <c r="AC1890" s="284"/>
      <c r="AD1890" s="284"/>
      <c r="AE1890" s="284"/>
      <c r="AF1890" s="284"/>
      <c r="AG1890" s="284"/>
    </row>
    <row r="1891" spans="1:33" ht="26.4">
      <c r="A1891" s="284"/>
      <c r="B1891" s="284"/>
      <c r="C1891" s="284"/>
      <c r="D1891" s="284"/>
      <c r="E1891" s="284"/>
      <c r="F1891" s="284"/>
      <c r="G1891" s="284"/>
      <c r="H1891" s="284"/>
      <c r="I1891" s="284"/>
      <c r="J1891" s="375"/>
      <c r="K1891" s="375"/>
      <c r="L1891" s="375"/>
      <c r="M1891" s="368"/>
      <c r="N1891" s="368"/>
      <c r="O1891" s="370"/>
      <c r="T1891" s="340"/>
      <c r="V1891" s="378"/>
      <c r="W1891" s="64" ph="1"/>
      <c r="X1891" s="241"/>
      <c r="Y1891" s="284"/>
      <c r="Z1891" s="207"/>
      <c r="AA1891" s="284"/>
      <c r="AB1891" s="284"/>
      <c r="AC1891" s="284"/>
      <c r="AD1891" s="284"/>
      <c r="AE1891" s="284"/>
      <c r="AF1891" s="284"/>
      <c r="AG1891" s="284"/>
    </row>
    <row r="1892" spans="1:33" ht="26.4">
      <c r="A1892" s="284"/>
      <c r="B1892" s="284"/>
      <c r="C1892" s="284"/>
      <c r="D1892" s="284"/>
      <c r="E1892" s="284"/>
      <c r="F1892" s="284"/>
      <c r="G1892" s="284"/>
      <c r="H1892" s="284"/>
      <c r="I1892" s="284"/>
      <c r="J1892" s="375"/>
      <c r="K1892" s="375"/>
      <c r="L1892" s="375"/>
      <c r="M1892" s="368"/>
      <c r="N1892" s="368"/>
      <c r="O1892" s="370"/>
      <c r="T1892" s="340"/>
      <c r="V1892" s="378"/>
      <c r="W1892" s="64" ph="1"/>
      <c r="X1892" s="241"/>
      <c r="Y1892" s="284"/>
      <c r="Z1892" s="207"/>
      <c r="AA1892" s="284"/>
      <c r="AB1892" s="284"/>
      <c r="AC1892" s="284"/>
      <c r="AD1892" s="284"/>
      <c r="AE1892" s="284"/>
      <c r="AF1892" s="284"/>
      <c r="AG1892" s="284"/>
    </row>
    <row r="1893" spans="1:33" ht="26.4">
      <c r="A1893" s="284"/>
      <c r="B1893" s="284"/>
      <c r="C1893" s="284"/>
      <c r="D1893" s="284"/>
      <c r="E1893" s="284"/>
      <c r="F1893" s="284"/>
      <c r="G1893" s="284"/>
      <c r="H1893" s="284"/>
      <c r="I1893" s="284"/>
      <c r="J1893" s="375"/>
      <c r="K1893" s="375"/>
      <c r="L1893" s="375"/>
      <c r="M1893" s="368"/>
      <c r="N1893" s="368"/>
      <c r="O1893" s="370"/>
      <c r="T1893" s="340"/>
      <c r="V1893" s="378"/>
      <c r="W1893" s="64" ph="1"/>
      <c r="X1893" s="241"/>
      <c r="Y1893" s="284"/>
      <c r="Z1893" s="207"/>
      <c r="AA1893" s="284"/>
      <c r="AB1893" s="284"/>
      <c r="AC1893" s="284"/>
      <c r="AD1893" s="284"/>
      <c r="AE1893" s="284"/>
      <c r="AF1893" s="284"/>
      <c r="AG1893" s="284"/>
    </row>
    <row r="1894" spans="1:33" ht="26.4">
      <c r="A1894" s="284"/>
      <c r="B1894" s="284"/>
      <c r="C1894" s="284"/>
      <c r="D1894" s="284"/>
      <c r="E1894" s="284"/>
      <c r="F1894" s="284"/>
      <c r="G1894" s="284"/>
      <c r="H1894" s="284"/>
      <c r="I1894" s="284"/>
      <c r="J1894" s="375"/>
      <c r="K1894" s="375"/>
      <c r="L1894" s="375"/>
      <c r="M1894" s="368"/>
      <c r="N1894" s="368"/>
      <c r="O1894" s="370"/>
      <c r="T1894" s="340"/>
      <c r="V1894" s="378"/>
      <c r="W1894" s="64" ph="1"/>
      <c r="X1894" s="241"/>
      <c r="Y1894" s="284"/>
      <c r="Z1894" s="207"/>
      <c r="AA1894" s="284"/>
      <c r="AB1894" s="284"/>
      <c r="AC1894" s="284"/>
      <c r="AD1894" s="284"/>
      <c r="AE1894" s="284"/>
      <c r="AF1894" s="284"/>
      <c r="AG1894" s="284"/>
    </row>
    <row r="1895" spans="1:33" ht="26.4">
      <c r="A1895" s="284"/>
      <c r="B1895" s="284"/>
      <c r="C1895" s="284"/>
      <c r="D1895" s="284"/>
      <c r="E1895" s="284"/>
      <c r="F1895" s="284"/>
      <c r="G1895" s="284"/>
      <c r="H1895" s="284"/>
      <c r="I1895" s="284"/>
      <c r="J1895" s="375"/>
      <c r="K1895" s="375"/>
      <c r="L1895" s="375"/>
      <c r="M1895" s="368"/>
      <c r="N1895" s="368"/>
      <c r="O1895" s="370"/>
      <c r="T1895" s="340"/>
      <c r="V1895" s="378"/>
      <c r="W1895" s="64" ph="1"/>
      <c r="X1895" s="241"/>
      <c r="Y1895" s="284"/>
      <c r="Z1895" s="207"/>
      <c r="AA1895" s="284"/>
      <c r="AB1895" s="284"/>
      <c r="AC1895" s="284"/>
      <c r="AD1895" s="284"/>
      <c r="AE1895" s="284"/>
      <c r="AF1895" s="284"/>
      <c r="AG1895" s="284"/>
    </row>
    <row r="1896" spans="1:33" ht="26.4">
      <c r="A1896" s="284"/>
      <c r="B1896" s="284"/>
      <c r="C1896" s="284"/>
      <c r="D1896" s="284"/>
      <c r="E1896" s="284"/>
      <c r="F1896" s="284"/>
      <c r="G1896" s="284"/>
      <c r="H1896" s="284"/>
      <c r="I1896" s="284"/>
      <c r="J1896" s="375"/>
      <c r="K1896" s="375"/>
      <c r="L1896" s="375"/>
      <c r="M1896" s="368"/>
      <c r="N1896" s="368"/>
      <c r="O1896" s="370"/>
      <c r="T1896" s="340"/>
      <c r="V1896" s="378"/>
      <c r="W1896" s="64" ph="1"/>
      <c r="X1896" s="241"/>
      <c r="Y1896" s="284"/>
      <c r="Z1896" s="207"/>
      <c r="AA1896" s="284"/>
      <c r="AB1896" s="284"/>
      <c r="AC1896" s="284"/>
      <c r="AD1896" s="284"/>
      <c r="AE1896" s="284"/>
      <c r="AF1896" s="284"/>
      <c r="AG1896" s="284"/>
    </row>
    <row r="1897" spans="1:33" ht="26.4">
      <c r="A1897" s="284"/>
      <c r="B1897" s="284"/>
      <c r="C1897" s="284"/>
      <c r="D1897" s="284"/>
      <c r="E1897" s="284"/>
      <c r="F1897" s="284"/>
      <c r="G1897" s="284"/>
      <c r="H1897" s="284"/>
      <c r="I1897" s="284"/>
      <c r="J1897" s="375"/>
      <c r="K1897" s="375"/>
      <c r="L1897" s="375"/>
      <c r="M1897" s="368"/>
      <c r="N1897" s="368"/>
      <c r="O1897" s="370"/>
      <c r="T1897" s="340"/>
      <c r="V1897" s="378"/>
      <c r="W1897" s="64" ph="1"/>
      <c r="X1897" s="241"/>
      <c r="Y1897" s="284"/>
      <c r="Z1897" s="207"/>
      <c r="AA1897" s="284"/>
      <c r="AB1897" s="284"/>
      <c r="AC1897" s="284"/>
      <c r="AD1897" s="284"/>
      <c r="AE1897" s="284"/>
      <c r="AF1897" s="284"/>
      <c r="AG1897" s="284"/>
    </row>
    <row r="1898" spans="1:33" ht="26.4">
      <c r="A1898" s="284"/>
      <c r="B1898" s="284"/>
      <c r="C1898" s="284"/>
      <c r="D1898" s="284"/>
      <c r="E1898" s="284"/>
      <c r="F1898" s="284"/>
      <c r="G1898" s="284"/>
      <c r="H1898" s="284"/>
      <c r="I1898" s="284"/>
      <c r="J1898" s="375"/>
      <c r="K1898" s="375"/>
      <c r="L1898" s="375"/>
      <c r="M1898" s="368"/>
      <c r="N1898" s="368"/>
      <c r="O1898" s="370"/>
      <c r="T1898" s="340"/>
      <c r="V1898" s="378"/>
      <c r="W1898" s="64" ph="1"/>
      <c r="X1898" s="241"/>
      <c r="Y1898" s="284"/>
      <c r="Z1898" s="207"/>
      <c r="AA1898" s="284"/>
      <c r="AB1898" s="284"/>
      <c r="AC1898" s="284"/>
      <c r="AD1898" s="284"/>
      <c r="AE1898" s="284"/>
      <c r="AF1898" s="284"/>
      <c r="AG1898" s="284"/>
    </row>
    <row r="1899" spans="1:33" ht="26.4">
      <c r="A1899" s="284"/>
      <c r="B1899" s="284"/>
      <c r="C1899" s="284"/>
      <c r="D1899" s="284"/>
      <c r="E1899" s="284"/>
      <c r="F1899" s="284"/>
      <c r="G1899" s="284"/>
      <c r="H1899" s="284"/>
      <c r="I1899" s="284"/>
      <c r="J1899" s="375"/>
      <c r="K1899" s="375"/>
      <c r="L1899" s="375"/>
      <c r="M1899" s="368"/>
      <c r="N1899" s="368"/>
      <c r="O1899" s="370"/>
      <c r="T1899" s="340"/>
      <c r="V1899" s="378"/>
      <c r="W1899" s="64" ph="1"/>
      <c r="X1899" s="241"/>
      <c r="Y1899" s="284"/>
      <c r="Z1899" s="207"/>
      <c r="AA1899" s="284"/>
      <c r="AB1899" s="284"/>
      <c r="AC1899" s="284"/>
      <c r="AD1899" s="284"/>
      <c r="AE1899" s="284"/>
      <c r="AF1899" s="284"/>
      <c r="AG1899" s="284"/>
    </row>
    <row r="1900" spans="1:33" ht="26.4">
      <c r="A1900" s="284"/>
      <c r="B1900" s="284"/>
      <c r="C1900" s="284"/>
      <c r="D1900" s="284"/>
      <c r="E1900" s="284"/>
      <c r="F1900" s="284"/>
      <c r="G1900" s="284"/>
      <c r="H1900" s="284"/>
      <c r="I1900" s="284"/>
      <c r="J1900" s="375"/>
      <c r="K1900" s="375"/>
      <c r="L1900" s="375"/>
      <c r="M1900" s="368"/>
      <c r="N1900" s="368"/>
      <c r="O1900" s="370"/>
      <c r="T1900" s="340"/>
      <c r="V1900" s="378"/>
      <c r="W1900" s="64" ph="1"/>
      <c r="X1900" s="241"/>
      <c r="Y1900" s="284"/>
      <c r="Z1900" s="207"/>
      <c r="AA1900" s="284"/>
      <c r="AB1900" s="284"/>
      <c r="AC1900" s="284"/>
      <c r="AD1900" s="284"/>
      <c r="AE1900" s="284"/>
      <c r="AF1900" s="284"/>
      <c r="AG1900" s="284"/>
    </row>
    <row r="1901" spans="1:33" ht="26.4">
      <c r="A1901" s="284"/>
      <c r="B1901" s="284"/>
      <c r="C1901" s="284"/>
      <c r="D1901" s="284"/>
      <c r="E1901" s="284"/>
      <c r="F1901" s="284"/>
      <c r="G1901" s="284"/>
      <c r="H1901" s="284"/>
      <c r="I1901" s="284"/>
      <c r="J1901" s="375"/>
      <c r="K1901" s="375"/>
      <c r="L1901" s="375"/>
      <c r="M1901" s="368"/>
      <c r="N1901" s="368"/>
      <c r="O1901" s="370"/>
      <c r="T1901" s="340"/>
      <c r="V1901" s="378"/>
      <c r="W1901" s="64" ph="1"/>
      <c r="X1901" s="241"/>
      <c r="Y1901" s="284"/>
      <c r="Z1901" s="207"/>
      <c r="AA1901" s="284"/>
      <c r="AB1901" s="284"/>
      <c r="AC1901" s="284"/>
      <c r="AD1901" s="284"/>
      <c r="AE1901" s="284"/>
      <c r="AF1901" s="284"/>
      <c r="AG1901" s="284"/>
    </row>
    <row r="1902" spans="1:33" ht="26.4">
      <c r="A1902" s="284"/>
      <c r="B1902" s="284"/>
      <c r="C1902" s="284"/>
      <c r="D1902" s="284"/>
      <c r="E1902" s="284"/>
      <c r="F1902" s="284"/>
      <c r="G1902" s="284"/>
      <c r="H1902" s="284"/>
      <c r="I1902" s="284"/>
      <c r="J1902" s="375"/>
      <c r="K1902" s="375"/>
      <c r="L1902" s="375"/>
      <c r="M1902" s="368"/>
      <c r="N1902" s="368"/>
      <c r="O1902" s="370"/>
      <c r="T1902" s="340"/>
      <c r="V1902" s="378"/>
      <c r="W1902" s="64" ph="1"/>
      <c r="X1902" s="241"/>
      <c r="Y1902" s="284"/>
      <c r="Z1902" s="207"/>
      <c r="AA1902" s="284"/>
      <c r="AB1902" s="284"/>
      <c r="AC1902" s="284"/>
      <c r="AD1902" s="284"/>
      <c r="AE1902" s="284"/>
      <c r="AF1902" s="284"/>
      <c r="AG1902" s="284"/>
    </row>
    <row r="1903" spans="1:33" ht="26.4">
      <c r="A1903" s="284"/>
      <c r="B1903" s="284"/>
      <c r="C1903" s="284"/>
      <c r="D1903" s="284"/>
      <c r="E1903" s="284"/>
      <c r="F1903" s="284"/>
      <c r="G1903" s="284"/>
      <c r="H1903" s="284"/>
      <c r="I1903" s="284"/>
      <c r="J1903" s="375"/>
      <c r="K1903" s="375"/>
      <c r="L1903" s="375"/>
      <c r="M1903" s="368"/>
      <c r="N1903" s="368"/>
      <c r="O1903" s="370"/>
      <c r="T1903" s="340"/>
      <c r="V1903" s="378"/>
      <c r="W1903" s="64" ph="1"/>
      <c r="X1903" s="241"/>
      <c r="Y1903" s="284"/>
      <c r="Z1903" s="207"/>
      <c r="AA1903" s="284"/>
      <c r="AB1903" s="284"/>
      <c r="AC1903" s="284"/>
      <c r="AD1903" s="284"/>
      <c r="AE1903" s="284"/>
      <c r="AF1903" s="284"/>
      <c r="AG1903" s="284"/>
    </row>
    <row r="1904" spans="1:33" ht="26.4">
      <c r="A1904" s="284"/>
      <c r="B1904" s="284"/>
      <c r="C1904" s="284"/>
      <c r="D1904" s="284"/>
      <c r="E1904" s="284"/>
      <c r="F1904" s="284"/>
      <c r="G1904" s="284"/>
      <c r="H1904" s="284"/>
      <c r="I1904" s="284"/>
      <c r="J1904" s="375"/>
      <c r="K1904" s="375"/>
      <c r="L1904" s="375"/>
      <c r="M1904" s="368"/>
      <c r="N1904" s="368"/>
      <c r="O1904" s="370"/>
      <c r="T1904" s="340"/>
      <c r="V1904" s="378"/>
      <c r="W1904" s="64" ph="1"/>
      <c r="X1904" s="241"/>
      <c r="Y1904" s="284"/>
      <c r="Z1904" s="207"/>
      <c r="AA1904" s="284"/>
      <c r="AB1904" s="284"/>
      <c r="AC1904" s="284"/>
      <c r="AD1904" s="284"/>
      <c r="AE1904" s="284"/>
      <c r="AF1904" s="284"/>
      <c r="AG1904" s="284"/>
    </row>
    <row r="1905" spans="1:33" ht="26.4">
      <c r="A1905" s="284"/>
      <c r="B1905" s="284"/>
      <c r="C1905" s="284"/>
      <c r="D1905" s="284"/>
      <c r="E1905" s="284"/>
      <c r="F1905" s="284"/>
      <c r="G1905" s="284"/>
      <c r="H1905" s="284"/>
      <c r="I1905" s="284"/>
      <c r="J1905" s="375"/>
      <c r="K1905" s="375"/>
      <c r="L1905" s="375"/>
      <c r="M1905" s="368"/>
      <c r="N1905" s="368"/>
      <c r="O1905" s="370"/>
      <c r="T1905" s="340"/>
      <c r="V1905" s="378"/>
      <c r="W1905" s="64" ph="1"/>
      <c r="X1905" s="241"/>
      <c r="Y1905" s="284"/>
      <c r="Z1905" s="207"/>
      <c r="AA1905" s="284"/>
      <c r="AB1905" s="284"/>
      <c r="AC1905" s="284"/>
      <c r="AD1905" s="284"/>
      <c r="AE1905" s="284"/>
      <c r="AF1905" s="284"/>
      <c r="AG1905" s="284"/>
    </row>
    <row r="1906" spans="1:33" ht="26.4">
      <c r="A1906" s="284"/>
      <c r="B1906" s="284"/>
      <c r="C1906" s="284"/>
      <c r="D1906" s="284"/>
      <c r="E1906" s="284"/>
      <c r="F1906" s="284"/>
      <c r="G1906" s="284"/>
      <c r="H1906" s="284"/>
      <c r="I1906" s="284"/>
      <c r="J1906" s="375"/>
      <c r="K1906" s="375"/>
      <c r="L1906" s="375"/>
      <c r="M1906" s="368"/>
      <c r="N1906" s="368"/>
      <c r="O1906" s="370"/>
      <c r="T1906" s="340"/>
      <c r="V1906" s="378"/>
      <c r="W1906" s="64" ph="1"/>
      <c r="X1906" s="241"/>
      <c r="Y1906" s="284"/>
      <c r="Z1906" s="207"/>
      <c r="AA1906" s="284"/>
      <c r="AB1906" s="284"/>
      <c r="AC1906" s="284"/>
      <c r="AD1906" s="284"/>
      <c r="AE1906" s="284"/>
      <c r="AF1906" s="284"/>
      <c r="AG1906" s="284"/>
    </row>
    <row r="1907" spans="1:33" ht="26.4">
      <c r="A1907" s="284"/>
      <c r="B1907" s="284"/>
      <c r="C1907" s="284"/>
      <c r="D1907" s="284"/>
      <c r="E1907" s="284"/>
      <c r="F1907" s="284"/>
      <c r="G1907" s="284"/>
      <c r="H1907" s="284"/>
      <c r="I1907" s="284"/>
      <c r="J1907" s="375"/>
      <c r="K1907" s="375"/>
      <c r="L1907" s="375"/>
      <c r="M1907" s="368"/>
      <c r="N1907" s="368"/>
      <c r="O1907" s="370"/>
      <c r="T1907" s="340"/>
      <c r="V1907" s="378"/>
      <c r="W1907" s="64" ph="1"/>
      <c r="X1907" s="241"/>
      <c r="Y1907" s="284"/>
      <c r="Z1907" s="207"/>
      <c r="AA1907" s="284"/>
      <c r="AB1907" s="284"/>
      <c r="AC1907" s="284"/>
      <c r="AD1907" s="284"/>
      <c r="AE1907" s="284"/>
      <c r="AF1907" s="284"/>
      <c r="AG1907" s="284"/>
    </row>
    <row r="1908" spans="1:33" ht="26.4">
      <c r="A1908" s="284"/>
      <c r="B1908" s="284"/>
      <c r="C1908" s="284"/>
      <c r="D1908" s="284"/>
      <c r="E1908" s="284"/>
      <c r="F1908" s="284"/>
      <c r="G1908" s="284"/>
      <c r="H1908" s="284"/>
      <c r="I1908" s="284"/>
      <c r="J1908" s="375"/>
      <c r="K1908" s="375"/>
      <c r="L1908" s="375"/>
      <c r="M1908" s="368"/>
      <c r="N1908" s="368"/>
      <c r="O1908" s="370"/>
      <c r="T1908" s="340"/>
      <c r="V1908" s="378"/>
      <c r="W1908" s="64" ph="1"/>
      <c r="X1908" s="241"/>
      <c r="Y1908" s="284"/>
      <c r="Z1908" s="207"/>
      <c r="AA1908" s="284"/>
      <c r="AB1908" s="284"/>
      <c r="AC1908" s="284"/>
      <c r="AD1908" s="284"/>
      <c r="AE1908" s="284"/>
      <c r="AF1908" s="284"/>
      <c r="AG1908" s="284"/>
    </row>
    <row r="1909" spans="1:33" ht="26.4">
      <c r="A1909" s="284"/>
      <c r="B1909" s="284"/>
      <c r="C1909" s="284"/>
      <c r="D1909" s="284"/>
      <c r="E1909" s="284"/>
      <c r="F1909" s="284"/>
      <c r="G1909" s="284"/>
      <c r="H1909" s="284"/>
      <c r="I1909" s="284"/>
      <c r="J1909" s="375"/>
      <c r="K1909" s="375"/>
      <c r="L1909" s="375"/>
      <c r="M1909" s="368"/>
      <c r="N1909" s="368"/>
      <c r="O1909" s="370"/>
      <c r="T1909" s="340"/>
      <c r="V1909" s="378"/>
      <c r="W1909" s="64" ph="1"/>
      <c r="X1909" s="241"/>
      <c r="Y1909" s="284"/>
      <c r="Z1909" s="207"/>
      <c r="AA1909" s="284"/>
      <c r="AB1909" s="284"/>
      <c r="AC1909" s="284"/>
      <c r="AD1909" s="284"/>
      <c r="AE1909" s="284"/>
      <c r="AF1909" s="284"/>
      <c r="AG1909" s="284"/>
    </row>
    <row r="1910" spans="1:33" ht="26.4">
      <c r="A1910" s="284"/>
      <c r="B1910" s="284"/>
      <c r="C1910" s="284"/>
      <c r="D1910" s="284"/>
      <c r="E1910" s="284"/>
      <c r="F1910" s="284"/>
      <c r="G1910" s="284"/>
      <c r="H1910" s="284"/>
      <c r="I1910" s="284"/>
      <c r="J1910" s="375"/>
      <c r="K1910" s="375"/>
      <c r="L1910" s="375"/>
      <c r="M1910" s="368"/>
      <c r="N1910" s="368"/>
      <c r="O1910" s="370"/>
      <c r="T1910" s="340"/>
      <c r="V1910" s="378"/>
      <c r="W1910" s="64" ph="1"/>
      <c r="X1910" s="241"/>
      <c r="Y1910" s="284"/>
      <c r="Z1910" s="207"/>
      <c r="AA1910" s="284"/>
      <c r="AB1910" s="284"/>
      <c r="AC1910" s="284"/>
      <c r="AD1910" s="284"/>
      <c r="AE1910" s="284"/>
      <c r="AF1910" s="284"/>
      <c r="AG1910" s="284"/>
    </row>
    <row r="1911" spans="1:33" ht="26.4">
      <c r="A1911" s="284"/>
      <c r="B1911" s="284"/>
      <c r="C1911" s="284"/>
      <c r="D1911" s="284"/>
      <c r="E1911" s="284"/>
      <c r="F1911" s="284"/>
      <c r="G1911" s="284"/>
      <c r="H1911" s="284"/>
      <c r="I1911" s="284"/>
      <c r="J1911" s="375"/>
      <c r="K1911" s="375"/>
      <c r="L1911" s="375"/>
      <c r="M1911" s="368"/>
      <c r="N1911" s="368"/>
      <c r="O1911" s="370"/>
      <c r="T1911" s="340"/>
      <c r="V1911" s="378"/>
      <c r="W1911" s="64" ph="1"/>
      <c r="X1911" s="241"/>
      <c r="Y1911" s="284"/>
      <c r="Z1911" s="207"/>
      <c r="AA1911" s="284"/>
      <c r="AB1911" s="284"/>
      <c r="AC1911" s="284"/>
      <c r="AD1911" s="284"/>
      <c r="AE1911" s="284"/>
      <c r="AF1911" s="284"/>
      <c r="AG1911" s="284"/>
    </row>
    <row r="1912" spans="1:33" ht="26.4">
      <c r="A1912" s="284"/>
      <c r="B1912" s="284"/>
      <c r="C1912" s="284"/>
      <c r="D1912" s="284"/>
      <c r="E1912" s="284"/>
      <c r="F1912" s="284"/>
      <c r="G1912" s="284"/>
      <c r="H1912" s="284"/>
      <c r="I1912" s="284"/>
      <c r="J1912" s="375"/>
      <c r="K1912" s="375"/>
      <c r="L1912" s="375"/>
      <c r="M1912" s="368"/>
      <c r="N1912" s="368"/>
      <c r="O1912" s="370"/>
      <c r="T1912" s="340"/>
      <c r="V1912" s="378"/>
      <c r="W1912" s="64" ph="1"/>
      <c r="X1912" s="241"/>
      <c r="Y1912" s="284"/>
      <c r="Z1912" s="207"/>
      <c r="AA1912" s="284"/>
      <c r="AB1912" s="284"/>
      <c r="AC1912" s="284"/>
      <c r="AD1912" s="284"/>
      <c r="AE1912" s="284"/>
      <c r="AF1912" s="284"/>
      <c r="AG1912" s="284"/>
    </row>
    <row r="1913" spans="1:33" ht="26.4">
      <c r="A1913" s="284"/>
      <c r="B1913" s="284"/>
      <c r="C1913" s="284"/>
      <c r="D1913" s="284"/>
      <c r="E1913" s="284"/>
      <c r="F1913" s="284"/>
      <c r="G1913" s="284"/>
      <c r="H1913" s="284"/>
      <c r="I1913" s="284"/>
      <c r="J1913" s="375"/>
      <c r="K1913" s="375"/>
      <c r="L1913" s="375"/>
      <c r="M1913" s="368"/>
      <c r="N1913" s="368"/>
      <c r="O1913" s="370"/>
      <c r="T1913" s="340"/>
      <c r="V1913" s="378"/>
      <c r="W1913" s="64" ph="1"/>
      <c r="X1913" s="241"/>
      <c r="Y1913" s="284"/>
      <c r="Z1913" s="207"/>
      <c r="AA1913" s="284"/>
      <c r="AB1913" s="284"/>
      <c r="AC1913" s="284"/>
      <c r="AD1913" s="284"/>
      <c r="AE1913" s="284"/>
      <c r="AF1913" s="284"/>
      <c r="AG1913" s="284"/>
    </row>
    <row r="1914" spans="1:33" ht="26.4">
      <c r="A1914" s="284"/>
      <c r="B1914" s="284"/>
      <c r="C1914" s="284"/>
      <c r="D1914" s="284"/>
      <c r="E1914" s="284"/>
      <c r="F1914" s="284"/>
      <c r="G1914" s="284"/>
      <c r="H1914" s="284"/>
      <c r="I1914" s="284"/>
      <c r="J1914" s="375"/>
      <c r="K1914" s="375"/>
      <c r="L1914" s="375"/>
      <c r="M1914" s="368"/>
      <c r="N1914" s="368"/>
      <c r="O1914" s="370"/>
      <c r="T1914" s="340"/>
      <c r="V1914" s="378"/>
      <c r="W1914" s="64" ph="1"/>
      <c r="X1914" s="241"/>
      <c r="Y1914" s="284"/>
      <c r="Z1914" s="207"/>
      <c r="AA1914" s="284"/>
      <c r="AB1914" s="284"/>
      <c r="AC1914" s="284"/>
      <c r="AD1914" s="284"/>
      <c r="AE1914" s="284"/>
      <c r="AF1914" s="284"/>
      <c r="AG1914" s="284"/>
    </row>
    <row r="1915" spans="1:33" ht="26.4">
      <c r="A1915" s="284"/>
      <c r="B1915" s="284"/>
      <c r="C1915" s="284"/>
      <c r="D1915" s="284"/>
      <c r="E1915" s="284"/>
      <c r="F1915" s="284"/>
      <c r="G1915" s="284"/>
      <c r="H1915" s="284"/>
      <c r="I1915" s="284"/>
      <c r="J1915" s="375"/>
      <c r="K1915" s="375"/>
      <c r="L1915" s="375"/>
      <c r="M1915" s="368"/>
      <c r="N1915" s="368"/>
      <c r="O1915" s="370"/>
      <c r="T1915" s="340"/>
      <c r="V1915" s="378"/>
      <c r="W1915" s="64" ph="1"/>
      <c r="X1915" s="241"/>
      <c r="Y1915" s="284"/>
      <c r="Z1915" s="207"/>
      <c r="AA1915" s="284"/>
      <c r="AB1915" s="284"/>
      <c r="AC1915" s="284"/>
      <c r="AD1915" s="284"/>
      <c r="AE1915" s="284"/>
      <c r="AF1915" s="284"/>
      <c r="AG1915" s="284"/>
    </row>
    <row r="1916" spans="1:33" ht="26.4">
      <c r="A1916" s="284"/>
      <c r="B1916" s="284"/>
      <c r="C1916" s="284"/>
      <c r="D1916" s="284"/>
      <c r="E1916" s="284"/>
      <c r="F1916" s="284"/>
      <c r="G1916" s="284"/>
      <c r="H1916" s="284"/>
      <c r="I1916" s="284"/>
      <c r="J1916" s="375"/>
      <c r="K1916" s="375"/>
      <c r="L1916" s="375"/>
      <c r="M1916" s="368"/>
      <c r="N1916" s="368"/>
      <c r="O1916" s="370"/>
      <c r="T1916" s="340"/>
      <c r="V1916" s="378"/>
      <c r="W1916" s="64" ph="1"/>
      <c r="X1916" s="241"/>
      <c r="Y1916" s="284"/>
      <c r="Z1916" s="207"/>
      <c r="AA1916" s="284"/>
      <c r="AB1916" s="284"/>
      <c r="AC1916" s="284"/>
      <c r="AD1916" s="284"/>
      <c r="AE1916" s="284"/>
      <c r="AF1916" s="284"/>
      <c r="AG1916" s="284"/>
    </row>
    <row r="1917" spans="1:33" ht="26.4">
      <c r="A1917" s="284"/>
      <c r="B1917" s="284"/>
      <c r="C1917" s="284"/>
      <c r="D1917" s="284"/>
      <c r="E1917" s="284"/>
      <c r="F1917" s="284"/>
      <c r="G1917" s="284"/>
      <c r="H1917" s="284"/>
      <c r="I1917" s="284"/>
      <c r="J1917" s="375"/>
      <c r="K1917" s="375"/>
      <c r="L1917" s="375"/>
      <c r="M1917" s="368"/>
      <c r="N1917" s="368"/>
      <c r="O1917" s="370"/>
      <c r="T1917" s="340"/>
      <c r="V1917" s="378"/>
      <c r="W1917" s="64" ph="1"/>
      <c r="X1917" s="241"/>
      <c r="Y1917" s="284"/>
      <c r="Z1917" s="207"/>
      <c r="AA1917" s="284"/>
      <c r="AB1917" s="284"/>
      <c r="AC1917" s="284"/>
      <c r="AD1917" s="284"/>
      <c r="AE1917" s="284"/>
      <c r="AF1917" s="284"/>
      <c r="AG1917" s="284"/>
    </row>
    <row r="1918" spans="1:33" ht="26.4">
      <c r="A1918" s="284"/>
      <c r="B1918" s="284"/>
      <c r="C1918" s="284"/>
      <c r="D1918" s="284"/>
      <c r="E1918" s="284"/>
      <c r="F1918" s="284"/>
      <c r="G1918" s="284"/>
      <c r="H1918" s="284"/>
      <c r="I1918" s="284"/>
      <c r="J1918" s="375"/>
      <c r="K1918" s="375"/>
      <c r="L1918" s="375"/>
      <c r="M1918" s="368"/>
      <c r="N1918" s="368"/>
      <c r="O1918" s="370"/>
      <c r="T1918" s="340"/>
      <c r="V1918" s="378"/>
      <c r="W1918" s="64" ph="1"/>
      <c r="X1918" s="241"/>
      <c r="Y1918" s="284"/>
      <c r="Z1918" s="207"/>
      <c r="AA1918" s="284"/>
      <c r="AB1918" s="284"/>
      <c r="AC1918" s="284"/>
      <c r="AD1918" s="284"/>
      <c r="AE1918" s="284"/>
      <c r="AF1918" s="284"/>
      <c r="AG1918" s="284"/>
    </row>
    <row r="1919" spans="1:33" ht="26.4">
      <c r="A1919" s="284"/>
      <c r="B1919" s="284"/>
      <c r="C1919" s="284"/>
      <c r="D1919" s="284"/>
      <c r="E1919" s="284"/>
      <c r="F1919" s="284"/>
      <c r="G1919" s="284"/>
      <c r="H1919" s="284"/>
      <c r="I1919" s="284"/>
      <c r="J1919" s="375"/>
      <c r="K1919" s="375"/>
      <c r="L1919" s="375"/>
      <c r="M1919" s="368"/>
      <c r="N1919" s="368"/>
      <c r="O1919" s="370"/>
      <c r="T1919" s="340"/>
      <c r="V1919" s="378"/>
      <c r="W1919" s="64" ph="1"/>
      <c r="X1919" s="241"/>
      <c r="Y1919" s="284"/>
      <c r="Z1919" s="207"/>
      <c r="AA1919" s="284"/>
      <c r="AB1919" s="284"/>
      <c r="AC1919" s="284"/>
      <c r="AD1919" s="284"/>
      <c r="AE1919" s="284"/>
      <c r="AF1919" s="284"/>
      <c r="AG1919" s="284"/>
    </row>
    <row r="1920" spans="1:33" ht="26.4">
      <c r="A1920" s="284"/>
      <c r="B1920" s="284"/>
      <c r="C1920" s="284"/>
      <c r="D1920" s="284"/>
      <c r="E1920" s="284"/>
      <c r="F1920" s="284"/>
      <c r="G1920" s="284"/>
      <c r="H1920" s="284"/>
      <c r="I1920" s="284"/>
      <c r="J1920" s="375"/>
      <c r="K1920" s="375"/>
      <c r="L1920" s="375"/>
      <c r="M1920" s="368"/>
      <c r="N1920" s="368"/>
      <c r="O1920" s="370"/>
      <c r="T1920" s="340"/>
      <c r="V1920" s="378"/>
      <c r="W1920" s="64" ph="1"/>
      <c r="X1920" s="241"/>
      <c r="Y1920" s="284"/>
      <c r="Z1920" s="207"/>
      <c r="AA1920" s="284"/>
      <c r="AB1920" s="284"/>
      <c r="AC1920" s="284"/>
      <c r="AD1920" s="284"/>
      <c r="AE1920" s="284"/>
      <c r="AF1920" s="284"/>
      <c r="AG1920" s="284"/>
    </row>
    <row r="1921" spans="1:33" ht="26.4">
      <c r="A1921" s="284"/>
      <c r="B1921" s="284"/>
      <c r="C1921" s="284"/>
      <c r="D1921" s="284"/>
      <c r="E1921" s="284"/>
      <c r="F1921" s="284"/>
      <c r="G1921" s="284"/>
      <c r="H1921" s="284"/>
      <c r="I1921" s="284"/>
      <c r="J1921" s="375"/>
      <c r="K1921" s="375"/>
      <c r="L1921" s="375"/>
      <c r="M1921" s="368"/>
      <c r="N1921" s="368"/>
      <c r="O1921" s="370"/>
      <c r="T1921" s="340"/>
      <c r="V1921" s="378"/>
      <c r="W1921" s="64" ph="1"/>
      <c r="X1921" s="241"/>
      <c r="Y1921" s="284"/>
      <c r="Z1921" s="207"/>
      <c r="AA1921" s="284"/>
      <c r="AB1921" s="284"/>
      <c r="AC1921" s="284"/>
      <c r="AD1921" s="284"/>
      <c r="AE1921" s="284"/>
      <c r="AF1921" s="284"/>
      <c r="AG1921" s="284"/>
    </row>
    <row r="1922" spans="1:33" ht="26.4">
      <c r="A1922" s="284"/>
      <c r="B1922" s="284"/>
      <c r="C1922" s="284"/>
      <c r="D1922" s="284"/>
      <c r="E1922" s="284"/>
      <c r="F1922" s="284"/>
      <c r="G1922" s="284"/>
      <c r="H1922" s="284"/>
      <c r="I1922" s="284"/>
      <c r="J1922" s="375"/>
      <c r="K1922" s="375"/>
      <c r="L1922" s="375"/>
      <c r="M1922" s="368"/>
      <c r="N1922" s="368"/>
      <c r="O1922" s="370"/>
      <c r="T1922" s="340"/>
      <c r="V1922" s="378"/>
      <c r="W1922" s="64" ph="1"/>
      <c r="X1922" s="241"/>
      <c r="Y1922" s="284"/>
      <c r="Z1922" s="207"/>
      <c r="AA1922" s="284"/>
      <c r="AB1922" s="284"/>
      <c r="AC1922" s="284"/>
      <c r="AD1922" s="284"/>
      <c r="AE1922" s="284"/>
      <c r="AF1922" s="284"/>
      <c r="AG1922" s="284"/>
    </row>
    <row r="1923" spans="1:33" ht="26.4">
      <c r="A1923" s="284"/>
      <c r="B1923" s="284"/>
      <c r="C1923" s="284"/>
      <c r="D1923" s="284"/>
      <c r="E1923" s="284"/>
      <c r="F1923" s="284"/>
      <c r="G1923" s="284"/>
      <c r="H1923" s="284"/>
      <c r="I1923" s="284"/>
      <c r="J1923" s="375"/>
      <c r="K1923" s="375"/>
      <c r="L1923" s="375"/>
      <c r="M1923" s="368"/>
      <c r="N1923" s="368"/>
      <c r="O1923" s="370"/>
      <c r="T1923" s="340"/>
      <c r="V1923" s="378"/>
      <c r="W1923" s="64" ph="1"/>
      <c r="X1923" s="241"/>
      <c r="Y1923" s="284"/>
      <c r="Z1923" s="207"/>
      <c r="AA1923" s="284"/>
      <c r="AB1923" s="284"/>
      <c r="AC1923" s="284"/>
      <c r="AD1923" s="284"/>
      <c r="AE1923" s="284"/>
      <c r="AF1923" s="284"/>
      <c r="AG1923" s="284"/>
    </row>
    <row r="1924" spans="1:33" ht="26.4">
      <c r="A1924" s="284"/>
      <c r="B1924" s="284"/>
      <c r="C1924" s="284"/>
      <c r="D1924" s="284"/>
      <c r="E1924" s="284"/>
      <c r="F1924" s="284"/>
      <c r="G1924" s="284"/>
      <c r="H1924" s="284"/>
      <c r="I1924" s="284"/>
      <c r="J1924" s="375"/>
      <c r="K1924" s="375"/>
      <c r="L1924" s="375"/>
      <c r="M1924" s="368"/>
      <c r="N1924" s="368"/>
      <c r="O1924" s="370"/>
      <c r="T1924" s="340"/>
      <c r="V1924" s="378"/>
      <c r="W1924" s="64" ph="1"/>
      <c r="X1924" s="241"/>
      <c r="Y1924" s="284"/>
      <c r="Z1924" s="207"/>
      <c r="AA1924" s="284"/>
      <c r="AB1924" s="284"/>
      <c r="AC1924" s="284"/>
      <c r="AD1924" s="284"/>
      <c r="AE1924" s="284"/>
      <c r="AF1924" s="284"/>
      <c r="AG1924" s="284"/>
    </row>
    <row r="1925" spans="1:33" ht="26.4">
      <c r="A1925" s="284"/>
      <c r="B1925" s="284"/>
      <c r="C1925" s="284"/>
      <c r="D1925" s="284"/>
      <c r="E1925" s="284"/>
      <c r="F1925" s="284"/>
      <c r="G1925" s="284"/>
      <c r="H1925" s="284"/>
      <c r="I1925" s="284"/>
      <c r="J1925" s="375"/>
      <c r="K1925" s="375"/>
      <c r="L1925" s="375"/>
      <c r="M1925" s="368"/>
      <c r="N1925" s="368"/>
      <c r="O1925" s="370"/>
      <c r="T1925" s="340"/>
      <c r="V1925" s="378"/>
      <c r="W1925" s="64" ph="1"/>
      <c r="X1925" s="241"/>
      <c r="Y1925" s="284"/>
      <c r="Z1925" s="207"/>
      <c r="AA1925" s="284"/>
      <c r="AB1925" s="284"/>
      <c r="AC1925" s="284"/>
      <c r="AD1925" s="284"/>
      <c r="AE1925" s="284"/>
      <c r="AF1925" s="284"/>
      <c r="AG1925" s="284"/>
    </row>
    <row r="1926" spans="1:33" ht="26.4">
      <c r="A1926" s="284"/>
      <c r="B1926" s="284"/>
      <c r="C1926" s="284"/>
      <c r="D1926" s="284"/>
      <c r="E1926" s="284"/>
      <c r="F1926" s="284"/>
      <c r="G1926" s="284"/>
      <c r="H1926" s="284"/>
      <c r="I1926" s="284"/>
      <c r="J1926" s="375"/>
      <c r="K1926" s="375"/>
      <c r="L1926" s="375"/>
      <c r="M1926" s="368"/>
      <c r="N1926" s="368"/>
      <c r="O1926" s="370"/>
      <c r="T1926" s="340"/>
      <c r="V1926" s="378"/>
      <c r="W1926" s="64" ph="1"/>
      <c r="X1926" s="241"/>
      <c r="Y1926" s="284"/>
      <c r="Z1926" s="207"/>
      <c r="AA1926" s="284"/>
      <c r="AB1926" s="284"/>
      <c r="AC1926" s="284"/>
      <c r="AD1926" s="284"/>
      <c r="AE1926" s="284"/>
      <c r="AF1926" s="284"/>
      <c r="AG1926" s="284"/>
    </row>
    <row r="1927" spans="1:33" ht="26.4">
      <c r="A1927" s="284"/>
      <c r="B1927" s="284"/>
      <c r="C1927" s="284"/>
      <c r="D1927" s="284"/>
      <c r="E1927" s="284"/>
      <c r="F1927" s="284"/>
      <c r="G1927" s="284"/>
      <c r="H1927" s="284"/>
      <c r="I1927" s="284"/>
      <c r="J1927" s="375"/>
      <c r="K1927" s="375"/>
      <c r="L1927" s="375"/>
      <c r="M1927" s="368"/>
      <c r="N1927" s="368"/>
      <c r="O1927" s="370"/>
      <c r="T1927" s="340"/>
      <c r="V1927" s="378"/>
      <c r="W1927" s="64" ph="1"/>
      <c r="X1927" s="241"/>
      <c r="Y1927" s="284"/>
      <c r="Z1927" s="207"/>
      <c r="AA1927" s="284"/>
      <c r="AB1927" s="284"/>
      <c r="AC1927" s="284"/>
      <c r="AD1927" s="284"/>
      <c r="AE1927" s="284"/>
      <c r="AF1927" s="284"/>
      <c r="AG1927" s="284"/>
    </row>
    <row r="1928" spans="1:33" ht="26.4">
      <c r="A1928" s="284"/>
      <c r="B1928" s="284"/>
      <c r="C1928" s="284"/>
      <c r="D1928" s="284"/>
      <c r="E1928" s="284"/>
      <c r="F1928" s="284"/>
      <c r="G1928" s="284"/>
      <c r="H1928" s="284"/>
      <c r="I1928" s="284"/>
      <c r="J1928" s="375"/>
      <c r="K1928" s="375"/>
      <c r="L1928" s="375"/>
      <c r="M1928" s="368"/>
      <c r="N1928" s="368"/>
      <c r="O1928" s="370"/>
      <c r="T1928" s="340"/>
      <c r="V1928" s="378"/>
      <c r="W1928" s="64" ph="1"/>
      <c r="X1928" s="241"/>
      <c r="Y1928" s="284"/>
      <c r="Z1928" s="207"/>
      <c r="AA1928" s="284"/>
      <c r="AB1928" s="284"/>
      <c r="AC1928" s="284"/>
      <c r="AD1928" s="284"/>
      <c r="AE1928" s="284"/>
      <c r="AF1928" s="284"/>
      <c r="AG1928" s="284"/>
    </row>
    <row r="1929" spans="1:33" ht="26.4">
      <c r="A1929" s="284"/>
      <c r="B1929" s="284"/>
      <c r="C1929" s="284"/>
      <c r="D1929" s="284"/>
      <c r="E1929" s="284"/>
      <c r="F1929" s="284"/>
      <c r="G1929" s="284"/>
      <c r="H1929" s="284"/>
      <c r="I1929" s="284"/>
      <c r="J1929" s="375"/>
      <c r="K1929" s="375"/>
      <c r="L1929" s="375"/>
      <c r="M1929" s="368"/>
      <c r="N1929" s="368"/>
      <c r="O1929" s="370"/>
      <c r="T1929" s="340"/>
      <c r="V1929" s="378"/>
      <c r="W1929" s="64" ph="1"/>
      <c r="X1929" s="241"/>
      <c r="Y1929" s="284"/>
      <c r="Z1929" s="207"/>
      <c r="AA1929" s="284"/>
      <c r="AB1929" s="284"/>
      <c r="AC1929" s="284"/>
      <c r="AD1929" s="284"/>
      <c r="AE1929" s="284"/>
      <c r="AF1929" s="284"/>
      <c r="AG1929" s="284"/>
    </row>
    <row r="1930" spans="1:33" ht="26.4">
      <c r="A1930" s="284"/>
      <c r="B1930" s="284"/>
      <c r="C1930" s="284"/>
      <c r="D1930" s="284"/>
      <c r="E1930" s="284"/>
      <c r="F1930" s="284"/>
      <c r="G1930" s="284"/>
      <c r="H1930" s="284"/>
      <c r="I1930" s="284"/>
      <c r="J1930" s="375"/>
      <c r="K1930" s="375"/>
      <c r="L1930" s="375"/>
      <c r="M1930" s="368"/>
      <c r="N1930" s="368"/>
      <c r="O1930" s="370"/>
      <c r="T1930" s="340"/>
      <c r="V1930" s="378"/>
      <c r="W1930" s="64" ph="1"/>
      <c r="X1930" s="241"/>
      <c r="Y1930" s="284"/>
      <c r="Z1930" s="207"/>
      <c r="AA1930" s="284"/>
      <c r="AB1930" s="284"/>
      <c r="AC1930" s="284"/>
      <c r="AD1930" s="284"/>
      <c r="AE1930" s="284"/>
      <c r="AF1930" s="284"/>
      <c r="AG1930" s="284"/>
    </row>
    <row r="1931" spans="1:33" ht="26.4">
      <c r="A1931" s="284"/>
      <c r="B1931" s="284"/>
      <c r="C1931" s="284"/>
      <c r="D1931" s="284"/>
      <c r="E1931" s="284"/>
      <c r="F1931" s="284"/>
      <c r="G1931" s="284"/>
      <c r="H1931" s="284"/>
      <c r="I1931" s="284"/>
      <c r="J1931" s="375"/>
      <c r="K1931" s="375"/>
      <c r="L1931" s="375"/>
      <c r="M1931" s="368"/>
      <c r="N1931" s="368"/>
      <c r="O1931" s="370"/>
      <c r="T1931" s="340"/>
      <c r="V1931" s="378"/>
      <c r="W1931" s="64" ph="1"/>
      <c r="X1931" s="241"/>
      <c r="Y1931" s="284"/>
      <c r="Z1931" s="207"/>
      <c r="AA1931" s="284"/>
      <c r="AB1931" s="284"/>
      <c r="AC1931" s="284"/>
      <c r="AD1931" s="284"/>
      <c r="AE1931" s="284"/>
      <c r="AF1931" s="284"/>
      <c r="AG1931" s="284"/>
    </row>
    <row r="1932" spans="1:33" ht="26.4">
      <c r="A1932" s="284"/>
      <c r="B1932" s="284"/>
      <c r="C1932" s="284"/>
      <c r="D1932" s="284"/>
      <c r="E1932" s="284"/>
      <c r="F1932" s="284"/>
      <c r="G1932" s="284"/>
      <c r="H1932" s="284"/>
      <c r="I1932" s="284"/>
      <c r="J1932" s="375"/>
      <c r="K1932" s="375"/>
      <c r="L1932" s="375"/>
      <c r="M1932" s="368"/>
      <c r="N1932" s="368"/>
      <c r="O1932" s="370"/>
      <c r="T1932" s="340"/>
      <c r="V1932" s="378"/>
      <c r="W1932" s="64" ph="1"/>
      <c r="X1932" s="241"/>
      <c r="Y1932" s="284"/>
      <c r="Z1932" s="207"/>
      <c r="AA1932" s="284"/>
      <c r="AB1932" s="284"/>
      <c r="AC1932" s="284"/>
      <c r="AD1932" s="284"/>
      <c r="AE1932" s="284"/>
      <c r="AF1932" s="284"/>
      <c r="AG1932" s="284"/>
    </row>
    <row r="1933" spans="1:33" ht="26.4">
      <c r="A1933" s="284"/>
      <c r="B1933" s="284"/>
      <c r="C1933" s="284"/>
      <c r="D1933" s="284"/>
      <c r="E1933" s="284"/>
      <c r="F1933" s="284"/>
      <c r="G1933" s="284"/>
      <c r="H1933" s="284"/>
      <c r="I1933" s="284"/>
      <c r="J1933" s="375"/>
      <c r="K1933" s="375"/>
      <c r="L1933" s="375"/>
      <c r="M1933" s="368"/>
      <c r="N1933" s="368"/>
      <c r="O1933" s="370"/>
      <c r="T1933" s="340"/>
      <c r="V1933" s="378"/>
      <c r="W1933" s="64" ph="1"/>
      <c r="X1933" s="241"/>
      <c r="Y1933" s="284"/>
      <c r="Z1933" s="207"/>
      <c r="AA1933" s="284"/>
      <c r="AB1933" s="284"/>
      <c r="AC1933" s="284"/>
      <c r="AD1933" s="284"/>
      <c r="AE1933" s="284"/>
      <c r="AF1933" s="284"/>
      <c r="AG1933" s="284"/>
    </row>
    <row r="1934" spans="1:33" ht="26.4">
      <c r="A1934" s="284"/>
      <c r="B1934" s="284"/>
      <c r="C1934" s="284"/>
      <c r="D1934" s="284"/>
      <c r="E1934" s="284"/>
      <c r="F1934" s="284"/>
      <c r="G1934" s="284"/>
      <c r="H1934" s="284"/>
      <c r="I1934" s="284"/>
      <c r="J1934" s="375"/>
      <c r="K1934" s="375"/>
      <c r="L1934" s="375"/>
      <c r="M1934" s="368"/>
      <c r="N1934" s="368"/>
      <c r="O1934" s="370"/>
      <c r="T1934" s="340"/>
      <c r="V1934" s="378"/>
      <c r="W1934" s="64" ph="1"/>
      <c r="X1934" s="241"/>
      <c r="Y1934" s="284"/>
      <c r="Z1934" s="207"/>
      <c r="AA1934" s="284"/>
      <c r="AB1934" s="284"/>
      <c r="AC1934" s="284"/>
      <c r="AD1934" s="284"/>
      <c r="AE1934" s="284"/>
      <c r="AF1934" s="284"/>
      <c r="AG1934" s="284"/>
    </row>
    <row r="1935" spans="1:33" ht="26.4">
      <c r="A1935" s="284"/>
      <c r="B1935" s="284"/>
      <c r="C1935" s="284"/>
      <c r="D1935" s="284"/>
      <c r="E1935" s="284"/>
      <c r="F1935" s="284"/>
      <c r="G1935" s="284"/>
      <c r="H1935" s="284"/>
      <c r="I1935" s="284"/>
      <c r="J1935" s="375"/>
      <c r="K1935" s="375"/>
      <c r="L1935" s="375"/>
      <c r="M1935" s="368"/>
      <c r="N1935" s="368"/>
      <c r="O1935" s="370"/>
      <c r="T1935" s="340"/>
      <c r="V1935" s="378"/>
      <c r="W1935" s="64" ph="1"/>
      <c r="X1935" s="241"/>
      <c r="Y1935" s="284"/>
      <c r="Z1935" s="207"/>
      <c r="AA1935" s="284"/>
      <c r="AB1935" s="284"/>
      <c r="AC1935" s="284"/>
      <c r="AD1935" s="284"/>
      <c r="AE1935" s="284"/>
      <c r="AF1935" s="284"/>
      <c r="AG1935" s="284"/>
    </row>
    <row r="1936" spans="1:33" ht="26.4">
      <c r="A1936" s="284"/>
      <c r="B1936" s="284"/>
      <c r="C1936" s="284"/>
      <c r="D1936" s="284"/>
      <c r="E1936" s="284"/>
      <c r="F1936" s="284"/>
      <c r="G1936" s="284"/>
      <c r="H1936" s="284"/>
      <c r="I1936" s="284"/>
      <c r="J1936" s="375"/>
      <c r="K1936" s="375"/>
      <c r="L1936" s="375"/>
      <c r="M1936" s="368"/>
      <c r="N1936" s="368"/>
      <c r="O1936" s="370"/>
      <c r="T1936" s="340"/>
      <c r="V1936" s="378"/>
      <c r="W1936" s="64" ph="1"/>
      <c r="X1936" s="241"/>
      <c r="Y1936" s="284"/>
      <c r="Z1936" s="207"/>
      <c r="AA1936" s="284"/>
      <c r="AB1936" s="284"/>
      <c r="AC1936" s="284"/>
      <c r="AD1936" s="284"/>
      <c r="AE1936" s="284"/>
      <c r="AF1936" s="284"/>
      <c r="AG1936" s="284"/>
    </row>
    <row r="1937" spans="1:33" ht="26.4">
      <c r="A1937" s="284"/>
      <c r="B1937" s="284"/>
      <c r="C1937" s="284"/>
      <c r="D1937" s="284"/>
      <c r="E1937" s="284"/>
      <c r="F1937" s="284"/>
      <c r="G1937" s="284"/>
      <c r="H1937" s="284"/>
      <c r="I1937" s="284"/>
      <c r="J1937" s="375"/>
      <c r="K1937" s="375"/>
      <c r="L1937" s="375"/>
      <c r="M1937" s="368"/>
      <c r="N1937" s="368"/>
      <c r="O1937" s="370"/>
      <c r="T1937" s="340"/>
      <c r="V1937" s="378"/>
      <c r="W1937" s="64" ph="1"/>
      <c r="X1937" s="241"/>
      <c r="Y1937" s="284"/>
      <c r="Z1937" s="207"/>
      <c r="AA1937" s="284"/>
      <c r="AB1937" s="284"/>
      <c r="AC1937" s="284"/>
      <c r="AD1937" s="284"/>
      <c r="AE1937" s="284"/>
      <c r="AF1937" s="284"/>
      <c r="AG1937" s="284"/>
    </row>
    <row r="1938" spans="1:33" ht="26.4">
      <c r="A1938" s="284"/>
      <c r="B1938" s="284"/>
      <c r="C1938" s="284"/>
      <c r="D1938" s="284"/>
      <c r="E1938" s="284"/>
      <c r="F1938" s="284"/>
      <c r="G1938" s="284"/>
      <c r="H1938" s="284"/>
      <c r="I1938" s="284"/>
      <c r="J1938" s="375"/>
      <c r="K1938" s="375"/>
      <c r="L1938" s="375"/>
      <c r="M1938" s="368"/>
      <c r="N1938" s="368"/>
      <c r="O1938" s="370"/>
      <c r="T1938" s="340"/>
      <c r="V1938" s="378"/>
      <c r="W1938" s="64" ph="1"/>
      <c r="X1938" s="241"/>
      <c r="Y1938" s="284"/>
      <c r="Z1938" s="207"/>
      <c r="AA1938" s="284"/>
      <c r="AB1938" s="284"/>
      <c r="AC1938" s="284"/>
      <c r="AD1938" s="284"/>
      <c r="AE1938" s="284"/>
      <c r="AF1938" s="284"/>
      <c r="AG1938" s="284"/>
    </row>
    <row r="1939" spans="1:33" ht="26.4">
      <c r="A1939" s="284"/>
      <c r="B1939" s="284"/>
      <c r="C1939" s="284"/>
      <c r="D1939" s="284"/>
      <c r="E1939" s="284"/>
      <c r="F1939" s="284"/>
      <c r="G1939" s="284"/>
      <c r="H1939" s="284"/>
      <c r="I1939" s="284"/>
      <c r="J1939" s="375"/>
      <c r="K1939" s="375"/>
      <c r="L1939" s="375"/>
      <c r="M1939" s="368"/>
      <c r="N1939" s="368"/>
      <c r="O1939" s="370"/>
      <c r="T1939" s="340"/>
      <c r="V1939" s="378"/>
      <c r="W1939" s="64" ph="1"/>
      <c r="X1939" s="241"/>
      <c r="Y1939" s="284"/>
      <c r="Z1939" s="207"/>
      <c r="AA1939" s="284"/>
      <c r="AB1939" s="284"/>
      <c r="AC1939" s="284"/>
      <c r="AD1939" s="284"/>
      <c r="AE1939" s="284"/>
      <c r="AF1939" s="284"/>
      <c r="AG1939" s="284"/>
    </row>
    <row r="1940" spans="1:33" ht="26.4">
      <c r="A1940" s="284"/>
      <c r="B1940" s="284"/>
      <c r="C1940" s="284"/>
      <c r="D1940" s="284"/>
      <c r="E1940" s="284"/>
      <c r="F1940" s="284"/>
      <c r="G1940" s="284"/>
      <c r="H1940" s="284"/>
      <c r="I1940" s="284"/>
      <c r="J1940" s="375"/>
      <c r="K1940" s="375"/>
      <c r="L1940" s="375"/>
      <c r="M1940" s="368"/>
      <c r="N1940" s="368"/>
      <c r="O1940" s="370"/>
      <c r="T1940" s="340"/>
      <c r="V1940" s="378"/>
      <c r="W1940" s="64" ph="1"/>
      <c r="X1940" s="241"/>
      <c r="Y1940" s="284"/>
      <c r="Z1940" s="207"/>
      <c r="AA1940" s="284"/>
      <c r="AB1940" s="284"/>
      <c r="AC1940" s="284"/>
      <c r="AD1940" s="284"/>
      <c r="AE1940" s="284"/>
      <c r="AF1940" s="284"/>
      <c r="AG1940" s="284"/>
    </row>
    <row r="1941" spans="1:33" ht="26.4">
      <c r="A1941" s="284"/>
      <c r="B1941" s="284"/>
      <c r="C1941" s="284"/>
      <c r="D1941" s="284"/>
      <c r="E1941" s="284"/>
      <c r="F1941" s="284"/>
      <c r="G1941" s="284"/>
      <c r="H1941" s="284"/>
      <c r="I1941" s="284"/>
      <c r="J1941" s="375"/>
      <c r="K1941" s="375"/>
      <c r="L1941" s="375"/>
      <c r="M1941" s="368"/>
      <c r="N1941" s="368"/>
      <c r="O1941" s="370"/>
      <c r="T1941" s="340"/>
      <c r="V1941" s="378"/>
      <c r="W1941" s="64" ph="1"/>
      <c r="X1941" s="241"/>
      <c r="Y1941" s="284"/>
      <c r="Z1941" s="207"/>
      <c r="AA1941" s="284"/>
      <c r="AB1941" s="284"/>
      <c r="AC1941" s="284"/>
      <c r="AD1941" s="284"/>
      <c r="AE1941" s="284"/>
      <c r="AF1941" s="284"/>
      <c r="AG1941" s="284"/>
    </row>
    <row r="1942" spans="1:33" ht="26.4">
      <c r="A1942" s="284"/>
      <c r="B1942" s="284"/>
      <c r="C1942" s="284"/>
      <c r="D1942" s="284"/>
      <c r="E1942" s="284"/>
      <c r="F1942" s="284"/>
      <c r="G1942" s="284"/>
      <c r="H1942" s="284"/>
      <c r="I1942" s="284"/>
      <c r="J1942" s="375"/>
      <c r="K1942" s="375"/>
      <c r="L1942" s="375"/>
      <c r="M1942" s="368"/>
      <c r="N1942" s="368"/>
      <c r="O1942" s="370"/>
      <c r="T1942" s="340"/>
      <c r="V1942" s="378"/>
      <c r="W1942" s="64" ph="1"/>
      <c r="X1942" s="241"/>
      <c r="Y1942" s="284"/>
      <c r="Z1942" s="207"/>
      <c r="AA1942" s="284"/>
      <c r="AB1942" s="284"/>
      <c r="AC1942" s="284"/>
      <c r="AD1942" s="284"/>
      <c r="AE1942" s="284"/>
      <c r="AF1942" s="284"/>
      <c r="AG1942" s="284"/>
    </row>
    <row r="1943" spans="1:33" ht="26.4">
      <c r="A1943" s="284"/>
      <c r="B1943" s="284"/>
      <c r="C1943" s="284"/>
      <c r="D1943" s="284"/>
      <c r="E1943" s="284"/>
      <c r="F1943" s="284"/>
      <c r="G1943" s="284"/>
      <c r="H1943" s="284"/>
      <c r="I1943" s="284"/>
      <c r="J1943" s="375"/>
      <c r="K1943" s="375"/>
      <c r="L1943" s="375"/>
      <c r="M1943" s="368"/>
      <c r="N1943" s="368"/>
      <c r="O1943" s="370"/>
      <c r="T1943" s="340"/>
      <c r="V1943" s="378"/>
      <c r="W1943" s="64" ph="1"/>
      <c r="X1943" s="241"/>
      <c r="Y1943" s="284"/>
      <c r="Z1943" s="207"/>
      <c r="AA1943" s="284"/>
      <c r="AB1943" s="284"/>
      <c r="AC1943" s="284"/>
      <c r="AD1943" s="284"/>
      <c r="AE1943" s="284"/>
      <c r="AF1943" s="284"/>
      <c r="AG1943" s="284"/>
    </row>
    <row r="1944" spans="1:33" ht="26.4">
      <c r="A1944" s="284"/>
      <c r="B1944" s="284"/>
      <c r="C1944" s="284"/>
      <c r="D1944" s="284"/>
      <c r="E1944" s="284"/>
      <c r="F1944" s="284"/>
      <c r="G1944" s="284"/>
      <c r="H1944" s="284"/>
      <c r="I1944" s="284"/>
      <c r="J1944" s="375"/>
      <c r="K1944" s="375"/>
      <c r="L1944" s="375"/>
      <c r="M1944" s="368"/>
      <c r="N1944" s="368"/>
      <c r="O1944" s="370"/>
      <c r="T1944" s="340"/>
      <c r="V1944" s="378"/>
      <c r="W1944" s="64" ph="1"/>
      <c r="X1944" s="241"/>
      <c r="Y1944" s="284"/>
      <c r="Z1944" s="207"/>
      <c r="AA1944" s="284"/>
      <c r="AB1944" s="284"/>
      <c r="AC1944" s="284"/>
      <c r="AD1944" s="284"/>
      <c r="AE1944" s="284"/>
      <c r="AF1944" s="284"/>
      <c r="AG1944" s="284"/>
    </row>
    <row r="1945" spans="1:33" ht="26.4">
      <c r="A1945" s="284"/>
      <c r="B1945" s="284"/>
      <c r="C1945" s="284"/>
      <c r="D1945" s="284"/>
      <c r="E1945" s="284"/>
      <c r="F1945" s="284"/>
      <c r="G1945" s="284"/>
      <c r="H1945" s="284"/>
      <c r="I1945" s="284"/>
      <c r="J1945" s="375"/>
      <c r="K1945" s="375"/>
      <c r="L1945" s="375"/>
      <c r="M1945" s="368"/>
      <c r="N1945" s="368"/>
      <c r="O1945" s="370"/>
      <c r="T1945" s="340"/>
      <c r="V1945" s="378"/>
      <c r="W1945" s="64" ph="1"/>
      <c r="X1945" s="241"/>
      <c r="Y1945" s="284"/>
      <c r="Z1945" s="207"/>
      <c r="AA1945" s="284"/>
      <c r="AB1945" s="284"/>
      <c r="AC1945" s="284"/>
      <c r="AD1945" s="284"/>
      <c r="AE1945" s="284"/>
      <c r="AF1945" s="284"/>
      <c r="AG1945" s="284"/>
    </row>
    <row r="1946" spans="1:33" ht="26.4">
      <c r="A1946" s="284"/>
      <c r="B1946" s="284"/>
      <c r="C1946" s="284"/>
      <c r="D1946" s="284"/>
      <c r="E1946" s="284"/>
      <c r="F1946" s="284"/>
      <c r="G1946" s="284"/>
      <c r="H1946" s="284"/>
      <c r="I1946" s="284"/>
      <c r="J1946" s="375"/>
      <c r="K1946" s="375"/>
      <c r="L1946" s="375"/>
      <c r="M1946" s="368"/>
      <c r="N1946" s="368"/>
      <c r="O1946" s="370"/>
      <c r="T1946" s="340"/>
      <c r="V1946" s="378"/>
      <c r="W1946" s="64" ph="1"/>
      <c r="X1946" s="241"/>
      <c r="Y1946" s="284"/>
      <c r="Z1946" s="207"/>
      <c r="AA1946" s="284"/>
      <c r="AB1946" s="284"/>
      <c r="AC1946" s="284"/>
      <c r="AD1946" s="284"/>
      <c r="AE1946" s="284"/>
      <c r="AF1946" s="284"/>
      <c r="AG1946" s="284"/>
    </row>
    <row r="1947" spans="1:33" ht="26.4">
      <c r="A1947" s="284"/>
      <c r="B1947" s="284"/>
      <c r="C1947" s="284"/>
      <c r="D1947" s="284"/>
      <c r="E1947" s="284"/>
      <c r="F1947" s="284"/>
      <c r="G1947" s="284"/>
      <c r="H1947" s="284"/>
      <c r="I1947" s="284"/>
      <c r="J1947" s="375"/>
      <c r="K1947" s="375"/>
      <c r="L1947" s="375"/>
      <c r="M1947" s="368"/>
      <c r="N1947" s="368"/>
      <c r="O1947" s="370"/>
      <c r="T1947" s="340"/>
      <c r="V1947" s="378"/>
      <c r="W1947" s="64" ph="1"/>
      <c r="X1947" s="241"/>
      <c r="Y1947" s="284"/>
      <c r="Z1947" s="207"/>
      <c r="AA1947" s="284"/>
      <c r="AB1947" s="284"/>
      <c r="AC1947" s="284"/>
      <c r="AD1947" s="284"/>
      <c r="AE1947" s="284"/>
      <c r="AF1947" s="284"/>
      <c r="AG1947" s="284"/>
    </row>
    <row r="1948" spans="1:33" ht="26.4">
      <c r="A1948" s="284"/>
      <c r="B1948" s="284"/>
      <c r="C1948" s="284"/>
      <c r="D1948" s="284"/>
      <c r="E1948" s="284"/>
      <c r="F1948" s="284"/>
      <c r="G1948" s="284"/>
      <c r="H1948" s="284"/>
      <c r="I1948" s="284"/>
      <c r="J1948" s="375"/>
      <c r="K1948" s="375"/>
      <c r="L1948" s="375"/>
      <c r="M1948" s="368"/>
      <c r="N1948" s="368"/>
      <c r="O1948" s="370"/>
      <c r="T1948" s="340"/>
      <c r="V1948" s="378"/>
      <c r="W1948" s="64" ph="1"/>
      <c r="X1948" s="241"/>
      <c r="Y1948" s="284"/>
      <c r="Z1948" s="207"/>
      <c r="AA1948" s="284"/>
      <c r="AB1948" s="284"/>
      <c r="AC1948" s="284"/>
      <c r="AD1948" s="284"/>
      <c r="AE1948" s="284"/>
      <c r="AF1948" s="284"/>
      <c r="AG1948" s="284"/>
    </row>
    <row r="1949" spans="1:33" ht="26.4">
      <c r="A1949" s="284"/>
      <c r="B1949" s="284"/>
      <c r="C1949" s="284"/>
      <c r="D1949" s="284"/>
      <c r="E1949" s="284"/>
      <c r="F1949" s="284"/>
      <c r="G1949" s="284"/>
      <c r="H1949" s="284"/>
      <c r="I1949" s="284"/>
      <c r="J1949" s="375"/>
      <c r="K1949" s="375"/>
      <c r="L1949" s="375"/>
      <c r="M1949" s="368"/>
      <c r="N1949" s="368"/>
      <c r="O1949" s="370"/>
      <c r="T1949" s="340"/>
      <c r="V1949" s="378"/>
      <c r="W1949" s="64" ph="1"/>
      <c r="X1949" s="241"/>
      <c r="Y1949" s="284"/>
      <c r="Z1949" s="207"/>
      <c r="AA1949" s="284"/>
      <c r="AB1949" s="284"/>
      <c r="AC1949" s="284"/>
      <c r="AD1949" s="284"/>
      <c r="AE1949" s="284"/>
      <c r="AF1949" s="284"/>
      <c r="AG1949" s="284"/>
    </row>
    <row r="1950" spans="1:33" ht="26.4">
      <c r="A1950" s="284"/>
      <c r="B1950" s="284"/>
      <c r="C1950" s="284"/>
      <c r="D1950" s="284"/>
      <c r="E1950" s="284"/>
      <c r="F1950" s="284"/>
      <c r="G1950" s="284"/>
      <c r="H1950" s="284"/>
      <c r="I1950" s="284"/>
      <c r="J1950" s="375"/>
      <c r="K1950" s="375"/>
      <c r="L1950" s="375"/>
      <c r="M1950" s="368"/>
      <c r="N1950" s="368"/>
      <c r="O1950" s="370"/>
      <c r="T1950" s="340"/>
      <c r="V1950" s="378"/>
      <c r="W1950" s="64" ph="1"/>
      <c r="X1950" s="241"/>
      <c r="Y1950" s="284"/>
      <c r="Z1950" s="207"/>
      <c r="AA1950" s="284"/>
      <c r="AB1950" s="284"/>
      <c r="AC1950" s="284"/>
      <c r="AD1950" s="284"/>
      <c r="AE1950" s="284"/>
      <c r="AF1950" s="284"/>
      <c r="AG1950" s="284"/>
    </row>
    <row r="1951" spans="1:33" ht="26.4">
      <c r="A1951" s="284"/>
      <c r="B1951" s="284"/>
      <c r="C1951" s="284"/>
      <c r="D1951" s="284"/>
      <c r="E1951" s="284"/>
      <c r="F1951" s="284"/>
      <c r="G1951" s="284"/>
      <c r="H1951" s="284"/>
      <c r="I1951" s="284"/>
      <c r="J1951" s="375"/>
      <c r="K1951" s="375"/>
      <c r="L1951" s="375"/>
      <c r="M1951" s="368"/>
      <c r="N1951" s="368"/>
      <c r="O1951" s="370"/>
      <c r="T1951" s="340"/>
      <c r="V1951" s="378"/>
      <c r="W1951" s="64" ph="1"/>
      <c r="X1951" s="241"/>
      <c r="Y1951" s="284"/>
      <c r="Z1951" s="207"/>
      <c r="AA1951" s="284"/>
      <c r="AB1951" s="284"/>
      <c r="AC1951" s="284"/>
      <c r="AD1951" s="284"/>
      <c r="AE1951" s="284"/>
      <c r="AF1951" s="284"/>
      <c r="AG1951" s="284"/>
    </row>
    <row r="1952" spans="1:33" ht="26.4">
      <c r="A1952" s="284"/>
      <c r="B1952" s="284"/>
      <c r="C1952" s="284"/>
      <c r="D1952" s="284"/>
      <c r="E1952" s="284"/>
      <c r="F1952" s="284"/>
      <c r="G1952" s="284"/>
      <c r="H1952" s="284"/>
      <c r="I1952" s="284"/>
      <c r="J1952" s="375"/>
      <c r="K1952" s="375"/>
      <c r="L1952" s="375"/>
      <c r="M1952" s="368"/>
      <c r="N1952" s="368"/>
      <c r="O1952" s="370"/>
      <c r="T1952" s="340"/>
      <c r="V1952" s="378"/>
      <c r="W1952" s="64" ph="1"/>
      <c r="X1952" s="241"/>
      <c r="Y1952" s="284"/>
      <c r="Z1952" s="207"/>
      <c r="AA1952" s="284"/>
      <c r="AB1952" s="284"/>
      <c r="AC1952" s="284"/>
      <c r="AD1952" s="284"/>
      <c r="AE1952" s="284"/>
      <c r="AF1952" s="284"/>
      <c r="AG1952" s="284"/>
    </row>
    <row r="1953" spans="1:33" ht="26.4">
      <c r="A1953" s="284"/>
      <c r="B1953" s="284"/>
      <c r="C1953" s="284"/>
      <c r="D1953" s="284"/>
      <c r="E1953" s="284"/>
      <c r="F1953" s="284"/>
      <c r="G1953" s="284"/>
      <c r="H1953" s="284"/>
      <c r="I1953" s="284"/>
      <c r="J1953" s="375"/>
      <c r="K1953" s="375"/>
      <c r="L1953" s="375"/>
      <c r="M1953" s="368"/>
      <c r="N1953" s="368"/>
      <c r="O1953" s="370"/>
      <c r="T1953" s="340"/>
      <c r="V1953" s="378"/>
      <c r="W1953" s="64" ph="1"/>
      <c r="X1953" s="241"/>
      <c r="Y1953" s="284"/>
      <c r="Z1953" s="207"/>
      <c r="AA1953" s="284"/>
      <c r="AB1953" s="284"/>
      <c r="AC1953" s="284"/>
      <c r="AD1953" s="284"/>
      <c r="AE1953" s="284"/>
      <c r="AF1953" s="284"/>
      <c r="AG1953" s="284"/>
    </row>
    <row r="1954" spans="1:33" ht="26.4">
      <c r="A1954" s="284"/>
      <c r="B1954" s="284"/>
      <c r="C1954" s="284"/>
      <c r="D1954" s="284"/>
      <c r="E1954" s="284"/>
      <c r="F1954" s="284"/>
      <c r="G1954" s="284"/>
      <c r="H1954" s="284"/>
      <c r="I1954" s="284"/>
      <c r="J1954" s="375"/>
      <c r="K1954" s="375"/>
      <c r="L1954" s="375"/>
      <c r="M1954" s="368"/>
      <c r="N1954" s="368"/>
      <c r="O1954" s="370"/>
      <c r="T1954" s="340"/>
      <c r="V1954" s="378"/>
      <c r="W1954" s="64" ph="1"/>
      <c r="X1954" s="241"/>
      <c r="Y1954" s="284"/>
      <c r="Z1954" s="207"/>
      <c r="AA1954" s="284"/>
      <c r="AB1954" s="284"/>
      <c r="AC1954" s="284"/>
      <c r="AD1954" s="284"/>
      <c r="AE1954" s="284"/>
      <c r="AF1954" s="284"/>
      <c r="AG1954" s="284"/>
    </row>
    <row r="1955" spans="1:33" ht="26.4">
      <c r="A1955" s="284"/>
      <c r="B1955" s="284"/>
      <c r="C1955" s="284"/>
      <c r="D1955" s="284"/>
      <c r="E1955" s="284"/>
      <c r="F1955" s="284"/>
      <c r="G1955" s="284"/>
      <c r="H1955" s="284"/>
      <c r="I1955" s="284"/>
      <c r="J1955" s="375"/>
      <c r="K1955" s="375"/>
      <c r="L1955" s="375"/>
      <c r="M1955" s="368"/>
      <c r="N1955" s="368"/>
      <c r="O1955" s="370"/>
      <c r="T1955" s="340"/>
      <c r="V1955" s="378"/>
      <c r="W1955" s="64" ph="1"/>
      <c r="X1955" s="241"/>
      <c r="Y1955" s="284"/>
      <c r="Z1955" s="207"/>
      <c r="AA1955" s="284"/>
      <c r="AB1955" s="284"/>
      <c r="AC1955" s="284"/>
      <c r="AD1955" s="284"/>
      <c r="AE1955" s="284"/>
      <c r="AF1955" s="284"/>
      <c r="AG1955" s="284"/>
    </row>
    <row r="1956" spans="1:33" ht="26.4">
      <c r="A1956" s="284"/>
      <c r="B1956" s="284"/>
      <c r="C1956" s="284"/>
      <c r="D1956" s="284"/>
      <c r="E1956" s="284"/>
      <c r="F1956" s="284"/>
      <c r="G1956" s="284"/>
      <c r="H1956" s="284"/>
      <c r="I1956" s="284"/>
      <c r="J1956" s="375"/>
      <c r="K1956" s="375"/>
      <c r="L1956" s="375"/>
      <c r="M1956" s="368"/>
      <c r="N1956" s="368"/>
      <c r="O1956" s="370"/>
      <c r="T1956" s="340"/>
      <c r="V1956" s="378"/>
      <c r="W1956" s="64" ph="1"/>
      <c r="X1956" s="241"/>
      <c r="Y1956" s="284"/>
      <c r="Z1956" s="207"/>
      <c r="AA1956" s="284"/>
      <c r="AB1956" s="284"/>
      <c r="AC1956" s="284"/>
      <c r="AD1956" s="284"/>
      <c r="AE1956" s="284"/>
      <c r="AF1956" s="284"/>
      <c r="AG1956" s="284"/>
    </row>
    <row r="1957" spans="1:33" ht="26.4">
      <c r="A1957" s="284"/>
      <c r="B1957" s="284"/>
      <c r="C1957" s="284"/>
      <c r="D1957" s="284"/>
      <c r="E1957" s="284"/>
      <c r="F1957" s="284"/>
      <c r="G1957" s="284"/>
      <c r="H1957" s="284"/>
      <c r="I1957" s="284"/>
      <c r="J1957" s="375"/>
      <c r="K1957" s="375"/>
      <c r="L1957" s="375"/>
      <c r="M1957" s="368"/>
      <c r="N1957" s="368"/>
      <c r="O1957" s="370"/>
      <c r="T1957" s="340"/>
      <c r="V1957" s="378"/>
      <c r="W1957" s="64" ph="1"/>
      <c r="X1957" s="241"/>
      <c r="Y1957" s="284"/>
      <c r="Z1957" s="207"/>
      <c r="AA1957" s="284"/>
      <c r="AB1957" s="284"/>
      <c r="AC1957" s="284"/>
      <c r="AD1957" s="284"/>
      <c r="AE1957" s="284"/>
      <c r="AF1957" s="284"/>
      <c r="AG1957" s="284"/>
    </row>
    <row r="1958" spans="1:33" ht="26.4">
      <c r="A1958" s="284"/>
      <c r="B1958" s="284"/>
      <c r="C1958" s="284"/>
      <c r="D1958" s="284"/>
      <c r="E1958" s="284"/>
      <c r="F1958" s="284"/>
      <c r="G1958" s="284"/>
      <c r="H1958" s="284"/>
      <c r="I1958" s="284"/>
      <c r="J1958" s="375"/>
      <c r="K1958" s="375"/>
      <c r="L1958" s="375"/>
      <c r="M1958" s="368"/>
      <c r="N1958" s="368"/>
      <c r="O1958" s="370"/>
      <c r="T1958" s="340"/>
      <c r="V1958" s="378"/>
      <c r="W1958" s="64" ph="1"/>
      <c r="X1958" s="241"/>
      <c r="Y1958" s="284"/>
      <c r="Z1958" s="207"/>
      <c r="AA1958" s="284"/>
      <c r="AB1958" s="284"/>
      <c r="AC1958" s="284"/>
      <c r="AD1958" s="284"/>
      <c r="AE1958" s="284"/>
      <c r="AF1958" s="284"/>
      <c r="AG1958" s="284"/>
    </row>
    <row r="1959" spans="1:33" ht="26.4">
      <c r="A1959" s="284"/>
      <c r="B1959" s="284"/>
      <c r="C1959" s="284"/>
      <c r="D1959" s="284"/>
      <c r="E1959" s="284"/>
      <c r="F1959" s="284"/>
      <c r="G1959" s="284"/>
      <c r="H1959" s="284"/>
      <c r="I1959" s="284"/>
      <c r="J1959" s="375"/>
      <c r="K1959" s="375"/>
      <c r="L1959" s="375"/>
      <c r="M1959" s="368"/>
      <c r="N1959" s="368"/>
      <c r="O1959" s="370"/>
      <c r="T1959" s="340"/>
      <c r="V1959" s="378"/>
      <c r="W1959" s="64" ph="1"/>
      <c r="X1959" s="241"/>
      <c r="Y1959" s="284"/>
      <c r="Z1959" s="207"/>
      <c r="AA1959" s="284"/>
      <c r="AB1959" s="284"/>
      <c r="AC1959" s="284"/>
      <c r="AD1959" s="284"/>
      <c r="AE1959" s="284"/>
      <c r="AF1959" s="284"/>
      <c r="AG1959" s="284"/>
    </row>
    <row r="1960" spans="1:33" ht="26.4">
      <c r="A1960" s="284"/>
      <c r="B1960" s="284"/>
      <c r="C1960" s="284"/>
      <c r="D1960" s="284"/>
      <c r="E1960" s="284"/>
      <c r="F1960" s="284"/>
      <c r="G1960" s="284"/>
      <c r="H1960" s="284"/>
      <c r="I1960" s="284"/>
      <c r="J1960" s="375"/>
      <c r="K1960" s="375"/>
      <c r="L1960" s="375"/>
      <c r="M1960" s="368"/>
      <c r="N1960" s="368"/>
      <c r="O1960" s="370"/>
      <c r="T1960" s="340"/>
      <c r="V1960" s="378"/>
      <c r="W1960" s="64" ph="1"/>
      <c r="X1960" s="241"/>
      <c r="Y1960" s="284"/>
      <c r="Z1960" s="207"/>
      <c r="AA1960" s="284"/>
      <c r="AB1960" s="284"/>
      <c r="AC1960" s="284"/>
      <c r="AD1960" s="284"/>
      <c r="AE1960" s="284"/>
      <c r="AF1960" s="284"/>
      <c r="AG1960" s="284"/>
    </row>
    <row r="1961" spans="1:33" ht="26.4">
      <c r="A1961" s="284"/>
      <c r="B1961" s="284"/>
      <c r="C1961" s="284"/>
      <c r="D1961" s="284"/>
      <c r="E1961" s="284"/>
      <c r="F1961" s="284"/>
      <c r="G1961" s="284"/>
      <c r="H1961" s="284"/>
      <c r="I1961" s="284"/>
      <c r="J1961" s="375"/>
      <c r="K1961" s="375"/>
      <c r="L1961" s="375"/>
      <c r="M1961" s="368"/>
      <c r="N1961" s="368"/>
      <c r="O1961" s="370"/>
      <c r="T1961" s="340"/>
      <c r="V1961" s="378"/>
      <c r="W1961" s="64" ph="1"/>
      <c r="X1961" s="241"/>
      <c r="Y1961" s="284"/>
      <c r="Z1961" s="207"/>
      <c r="AA1961" s="284"/>
      <c r="AB1961" s="284"/>
      <c r="AC1961" s="284"/>
      <c r="AD1961" s="284"/>
      <c r="AE1961" s="284"/>
      <c r="AF1961" s="284"/>
      <c r="AG1961" s="284"/>
    </row>
    <row r="1962" spans="1:33" ht="26.4">
      <c r="A1962" s="284"/>
      <c r="B1962" s="284"/>
      <c r="C1962" s="284"/>
      <c r="D1962" s="284"/>
      <c r="E1962" s="284"/>
      <c r="F1962" s="284"/>
      <c r="G1962" s="284"/>
      <c r="H1962" s="284"/>
      <c r="I1962" s="284"/>
      <c r="J1962" s="375"/>
      <c r="K1962" s="375"/>
      <c r="L1962" s="375"/>
      <c r="M1962" s="368"/>
      <c r="N1962" s="368"/>
      <c r="O1962" s="370"/>
      <c r="T1962" s="340"/>
      <c r="V1962" s="378"/>
      <c r="W1962" s="64" ph="1"/>
      <c r="X1962" s="241"/>
      <c r="Y1962" s="284"/>
      <c r="Z1962" s="207"/>
      <c r="AA1962" s="284"/>
      <c r="AB1962" s="284"/>
      <c r="AC1962" s="284"/>
      <c r="AD1962" s="284"/>
      <c r="AE1962" s="284"/>
      <c r="AF1962" s="284"/>
      <c r="AG1962" s="284"/>
    </row>
    <row r="1963" spans="1:33" ht="26.4">
      <c r="A1963" s="284"/>
      <c r="B1963" s="284"/>
      <c r="C1963" s="284"/>
      <c r="D1963" s="284"/>
      <c r="E1963" s="284"/>
      <c r="F1963" s="284"/>
      <c r="G1963" s="284"/>
      <c r="H1963" s="284"/>
      <c r="I1963" s="284"/>
      <c r="J1963" s="375"/>
      <c r="K1963" s="375"/>
      <c r="L1963" s="375"/>
      <c r="M1963" s="368"/>
      <c r="N1963" s="368"/>
      <c r="O1963" s="370"/>
      <c r="T1963" s="340"/>
      <c r="V1963" s="378"/>
      <c r="W1963" s="64" ph="1"/>
      <c r="X1963" s="241"/>
      <c r="Y1963" s="284"/>
      <c r="Z1963" s="207"/>
      <c r="AA1963" s="284"/>
      <c r="AB1963" s="284"/>
      <c r="AC1963" s="284"/>
      <c r="AD1963" s="284"/>
      <c r="AE1963" s="284"/>
      <c r="AF1963" s="284"/>
      <c r="AG1963" s="284"/>
    </row>
    <row r="1964" spans="1:33" ht="26.4">
      <c r="A1964" s="284"/>
      <c r="B1964" s="284"/>
      <c r="C1964" s="284"/>
      <c r="D1964" s="284"/>
      <c r="E1964" s="284"/>
      <c r="F1964" s="284"/>
      <c r="G1964" s="284"/>
      <c r="H1964" s="284"/>
      <c r="I1964" s="284"/>
      <c r="J1964" s="375"/>
      <c r="K1964" s="375"/>
      <c r="L1964" s="375"/>
      <c r="M1964" s="368"/>
      <c r="N1964" s="368"/>
      <c r="O1964" s="370"/>
      <c r="T1964" s="340"/>
      <c r="V1964" s="378"/>
      <c r="W1964" s="64" ph="1"/>
      <c r="X1964" s="241"/>
      <c r="Y1964" s="284"/>
      <c r="Z1964" s="207"/>
      <c r="AA1964" s="284"/>
      <c r="AB1964" s="284"/>
      <c r="AC1964" s="284"/>
      <c r="AD1964" s="284"/>
      <c r="AE1964" s="284"/>
      <c r="AF1964" s="284"/>
      <c r="AG1964" s="284"/>
    </row>
    <row r="1965" spans="1:33" ht="26.4">
      <c r="A1965" s="284"/>
      <c r="B1965" s="284"/>
      <c r="C1965" s="284"/>
      <c r="D1965" s="284"/>
      <c r="E1965" s="284"/>
      <c r="F1965" s="284"/>
      <c r="G1965" s="284"/>
      <c r="H1965" s="284"/>
      <c r="I1965" s="284"/>
      <c r="J1965" s="375"/>
      <c r="K1965" s="375"/>
      <c r="L1965" s="375"/>
      <c r="M1965" s="368"/>
      <c r="N1965" s="368"/>
      <c r="O1965" s="370"/>
      <c r="T1965" s="340"/>
      <c r="V1965" s="378"/>
      <c r="W1965" s="64" ph="1"/>
      <c r="X1965" s="241"/>
      <c r="Y1965" s="284"/>
      <c r="Z1965" s="207"/>
      <c r="AA1965" s="284"/>
      <c r="AB1965" s="284"/>
      <c r="AC1965" s="284"/>
      <c r="AD1965" s="284"/>
      <c r="AE1965" s="284"/>
      <c r="AF1965" s="284"/>
      <c r="AG1965" s="284"/>
    </row>
    <row r="1966" spans="1:33" ht="26.4">
      <c r="A1966" s="284"/>
      <c r="B1966" s="284"/>
      <c r="C1966" s="284"/>
      <c r="D1966" s="284"/>
      <c r="E1966" s="284"/>
      <c r="F1966" s="284"/>
      <c r="G1966" s="284"/>
      <c r="H1966" s="284"/>
      <c r="I1966" s="284"/>
      <c r="J1966" s="375"/>
      <c r="K1966" s="375"/>
      <c r="L1966" s="375"/>
      <c r="M1966" s="368"/>
      <c r="N1966" s="368"/>
      <c r="O1966" s="370"/>
      <c r="T1966" s="340"/>
      <c r="V1966" s="378"/>
      <c r="W1966" s="64" ph="1"/>
      <c r="X1966" s="241"/>
      <c r="Y1966" s="284"/>
      <c r="Z1966" s="207"/>
      <c r="AA1966" s="284"/>
      <c r="AB1966" s="284"/>
      <c r="AC1966" s="284"/>
      <c r="AD1966" s="284"/>
      <c r="AE1966" s="284"/>
      <c r="AF1966" s="284"/>
      <c r="AG1966" s="284"/>
    </row>
    <row r="1967" spans="1:33" ht="26.4">
      <c r="A1967" s="284"/>
      <c r="B1967" s="284"/>
      <c r="C1967" s="284"/>
      <c r="D1967" s="284"/>
      <c r="E1967" s="284"/>
      <c r="F1967" s="284"/>
      <c r="G1967" s="284"/>
      <c r="H1967" s="284"/>
      <c r="I1967" s="284"/>
      <c r="J1967" s="375"/>
      <c r="K1967" s="375"/>
      <c r="L1967" s="375"/>
      <c r="M1967" s="368"/>
      <c r="N1967" s="368"/>
      <c r="O1967" s="370"/>
      <c r="T1967" s="340"/>
      <c r="V1967" s="378"/>
      <c r="W1967" s="64" ph="1"/>
      <c r="X1967" s="241"/>
      <c r="Y1967" s="284"/>
      <c r="Z1967" s="207"/>
      <c r="AA1967" s="284"/>
      <c r="AB1967" s="284"/>
      <c r="AC1967" s="284"/>
      <c r="AD1967" s="284"/>
      <c r="AE1967" s="284"/>
      <c r="AF1967" s="284"/>
      <c r="AG1967" s="284"/>
    </row>
    <row r="1968" spans="1:33" ht="26.4">
      <c r="A1968" s="284"/>
      <c r="B1968" s="284"/>
      <c r="C1968" s="284"/>
      <c r="D1968" s="284"/>
      <c r="E1968" s="284"/>
      <c r="F1968" s="284"/>
      <c r="G1968" s="284"/>
      <c r="H1968" s="284"/>
      <c r="I1968" s="284"/>
      <c r="J1968" s="375"/>
      <c r="K1968" s="375"/>
      <c r="L1968" s="375"/>
      <c r="M1968" s="368"/>
      <c r="N1968" s="368"/>
      <c r="O1968" s="370"/>
      <c r="T1968" s="340"/>
      <c r="V1968" s="378"/>
      <c r="W1968" s="64" ph="1"/>
      <c r="X1968" s="241"/>
      <c r="Y1968" s="284"/>
      <c r="Z1968" s="207"/>
      <c r="AA1968" s="284"/>
      <c r="AB1968" s="284"/>
      <c r="AC1968" s="284"/>
      <c r="AD1968" s="284"/>
      <c r="AE1968" s="284"/>
      <c r="AF1968" s="284"/>
      <c r="AG1968" s="284"/>
    </row>
    <row r="1969" spans="1:33" ht="26.4">
      <c r="A1969" s="284"/>
      <c r="B1969" s="284"/>
      <c r="C1969" s="284"/>
      <c r="D1969" s="284"/>
      <c r="E1969" s="284"/>
      <c r="F1969" s="284"/>
      <c r="G1969" s="284"/>
      <c r="H1969" s="284"/>
      <c r="I1969" s="284"/>
      <c r="J1969" s="375"/>
      <c r="K1969" s="375"/>
      <c r="L1969" s="375"/>
      <c r="M1969" s="368"/>
      <c r="N1969" s="368"/>
      <c r="O1969" s="370"/>
      <c r="T1969" s="340"/>
      <c r="V1969" s="378"/>
      <c r="W1969" s="64" ph="1"/>
      <c r="X1969" s="241"/>
      <c r="Y1969" s="284"/>
      <c r="Z1969" s="207"/>
      <c r="AA1969" s="284"/>
      <c r="AB1969" s="284"/>
      <c r="AC1969" s="284"/>
      <c r="AD1969" s="284"/>
      <c r="AE1969" s="284"/>
      <c r="AF1969" s="284"/>
      <c r="AG1969" s="284"/>
    </row>
    <row r="1970" spans="1:33" ht="26.4">
      <c r="A1970" s="284"/>
      <c r="B1970" s="284"/>
      <c r="C1970" s="284"/>
      <c r="D1970" s="284"/>
      <c r="E1970" s="284"/>
      <c r="F1970" s="284"/>
      <c r="G1970" s="284"/>
      <c r="H1970" s="284"/>
      <c r="I1970" s="284"/>
      <c r="J1970" s="375"/>
      <c r="K1970" s="375"/>
      <c r="L1970" s="375"/>
      <c r="M1970" s="368"/>
      <c r="N1970" s="368"/>
      <c r="O1970" s="370"/>
      <c r="T1970" s="340"/>
      <c r="V1970" s="378"/>
      <c r="W1970" s="64" ph="1"/>
      <c r="X1970" s="241"/>
      <c r="Y1970" s="284"/>
      <c r="Z1970" s="207"/>
      <c r="AA1970" s="284"/>
      <c r="AB1970" s="284"/>
      <c r="AC1970" s="284"/>
      <c r="AD1970" s="284"/>
      <c r="AE1970" s="284"/>
      <c r="AF1970" s="284"/>
      <c r="AG1970" s="284"/>
    </row>
    <row r="1971" spans="1:33" ht="26.4">
      <c r="A1971" s="284"/>
      <c r="B1971" s="284"/>
      <c r="C1971" s="284"/>
      <c r="D1971" s="284"/>
      <c r="E1971" s="284"/>
      <c r="F1971" s="284"/>
      <c r="G1971" s="284"/>
      <c r="H1971" s="284"/>
      <c r="I1971" s="284"/>
      <c r="J1971" s="375"/>
      <c r="K1971" s="375"/>
      <c r="L1971" s="375"/>
      <c r="M1971" s="368"/>
      <c r="N1971" s="368"/>
      <c r="O1971" s="370"/>
      <c r="T1971" s="340"/>
      <c r="V1971" s="378"/>
      <c r="W1971" s="64" ph="1"/>
      <c r="X1971" s="241"/>
      <c r="Y1971" s="284"/>
      <c r="Z1971" s="207"/>
      <c r="AA1971" s="284"/>
      <c r="AB1971" s="284"/>
      <c r="AC1971" s="284"/>
      <c r="AD1971" s="284"/>
      <c r="AE1971" s="284"/>
      <c r="AF1971" s="284"/>
      <c r="AG1971" s="284"/>
    </row>
    <row r="1972" spans="1:33" ht="26.4">
      <c r="A1972" s="284"/>
      <c r="B1972" s="284"/>
      <c r="C1972" s="284"/>
      <c r="D1972" s="284"/>
      <c r="E1972" s="284"/>
      <c r="F1972" s="284"/>
      <c r="G1972" s="284"/>
      <c r="H1972" s="284"/>
      <c r="I1972" s="284"/>
      <c r="J1972" s="375"/>
      <c r="K1972" s="375"/>
      <c r="L1972" s="375"/>
      <c r="M1972" s="368"/>
      <c r="N1972" s="368"/>
      <c r="O1972" s="370"/>
      <c r="T1972" s="340"/>
      <c r="V1972" s="378"/>
      <c r="W1972" s="64" ph="1"/>
      <c r="X1972" s="241"/>
      <c r="Y1972" s="284"/>
      <c r="Z1972" s="207"/>
      <c r="AA1972" s="284"/>
      <c r="AB1972" s="284"/>
      <c r="AC1972" s="284"/>
      <c r="AD1972" s="284"/>
      <c r="AE1972" s="284"/>
      <c r="AF1972" s="284"/>
      <c r="AG1972" s="284"/>
    </row>
    <row r="1973" spans="1:33" ht="26.4">
      <c r="A1973" s="284"/>
      <c r="B1973" s="284"/>
      <c r="C1973" s="284"/>
      <c r="D1973" s="284"/>
      <c r="E1973" s="284"/>
      <c r="F1973" s="284"/>
      <c r="G1973" s="284"/>
      <c r="H1973" s="284"/>
      <c r="I1973" s="284"/>
      <c r="J1973" s="375"/>
      <c r="K1973" s="375"/>
      <c r="L1973" s="375"/>
      <c r="M1973" s="368"/>
      <c r="N1973" s="368"/>
      <c r="O1973" s="370"/>
      <c r="T1973" s="340"/>
      <c r="V1973" s="378"/>
      <c r="W1973" s="64" ph="1"/>
      <c r="X1973" s="241"/>
      <c r="Y1973" s="284"/>
      <c r="Z1973" s="207"/>
      <c r="AA1973" s="284"/>
      <c r="AB1973" s="284"/>
      <c r="AC1973" s="284"/>
      <c r="AD1973" s="284"/>
      <c r="AE1973" s="284"/>
      <c r="AF1973" s="284"/>
      <c r="AG1973" s="284"/>
    </row>
    <row r="1974" spans="1:33" ht="26.4">
      <c r="A1974" s="284"/>
      <c r="B1974" s="284"/>
      <c r="C1974" s="284"/>
      <c r="D1974" s="284"/>
      <c r="E1974" s="284"/>
      <c r="F1974" s="284"/>
      <c r="G1974" s="284"/>
      <c r="H1974" s="284"/>
      <c r="I1974" s="284"/>
      <c r="J1974" s="375"/>
      <c r="K1974" s="375"/>
      <c r="L1974" s="375"/>
      <c r="M1974" s="368"/>
      <c r="N1974" s="368"/>
      <c r="O1974" s="370"/>
      <c r="T1974" s="340"/>
      <c r="V1974" s="378"/>
      <c r="W1974" s="64" ph="1"/>
      <c r="X1974" s="241"/>
      <c r="Y1974" s="284"/>
      <c r="Z1974" s="207"/>
      <c r="AA1974" s="284"/>
      <c r="AB1974" s="284"/>
      <c r="AC1974" s="284"/>
      <c r="AD1974" s="284"/>
      <c r="AE1974" s="284"/>
      <c r="AF1974" s="284"/>
      <c r="AG1974" s="284"/>
    </row>
    <row r="1975" spans="1:33" ht="26.4">
      <c r="A1975" s="284"/>
      <c r="B1975" s="284"/>
      <c r="C1975" s="284"/>
      <c r="D1975" s="284"/>
      <c r="E1975" s="284"/>
      <c r="F1975" s="284"/>
      <c r="G1975" s="284"/>
      <c r="H1975" s="284"/>
      <c r="I1975" s="284"/>
      <c r="J1975" s="375"/>
      <c r="K1975" s="375"/>
      <c r="L1975" s="375"/>
      <c r="M1975" s="368"/>
      <c r="N1975" s="368"/>
      <c r="O1975" s="370"/>
      <c r="T1975" s="340"/>
      <c r="V1975" s="378"/>
      <c r="W1975" s="64" ph="1"/>
      <c r="X1975" s="241"/>
      <c r="Y1975" s="284"/>
      <c r="Z1975" s="207"/>
      <c r="AA1975" s="284"/>
      <c r="AB1975" s="284"/>
      <c r="AC1975" s="284"/>
      <c r="AD1975" s="284"/>
      <c r="AE1975" s="284"/>
      <c r="AF1975" s="284"/>
      <c r="AG1975" s="284"/>
    </row>
    <row r="1976" spans="1:33" ht="26.4">
      <c r="A1976" s="284"/>
      <c r="B1976" s="284"/>
      <c r="C1976" s="284"/>
      <c r="D1976" s="284"/>
      <c r="E1976" s="284"/>
      <c r="F1976" s="284"/>
      <c r="G1976" s="284"/>
      <c r="H1976" s="284"/>
      <c r="I1976" s="284"/>
      <c r="J1976" s="375"/>
      <c r="K1976" s="375"/>
      <c r="L1976" s="375"/>
      <c r="M1976" s="368"/>
      <c r="N1976" s="368"/>
      <c r="O1976" s="370"/>
      <c r="T1976" s="340"/>
      <c r="V1976" s="378"/>
      <c r="W1976" s="64" ph="1"/>
      <c r="X1976" s="241"/>
      <c r="Y1976" s="284"/>
      <c r="Z1976" s="207"/>
      <c r="AA1976" s="284"/>
      <c r="AB1976" s="284"/>
      <c r="AC1976" s="284"/>
      <c r="AD1976" s="284"/>
      <c r="AE1976" s="284"/>
      <c r="AF1976" s="284"/>
      <c r="AG1976" s="284"/>
    </row>
    <row r="1977" spans="1:33" ht="26.4">
      <c r="A1977" s="284"/>
      <c r="B1977" s="284"/>
      <c r="C1977" s="284"/>
      <c r="D1977" s="284"/>
      <c r="E1977" s="284"/>
      <c r="F1977" s="284"/>
      <c r="G1977" s="284"/>
      <c r="H1977" s="284"/>
      <c r="I1977" s="284"/>
      <c r="J1977" s="375"/>
      <c r="K1977" s="375"/>
      <c r="L1977" s="375"/>
      <c r="M1977" s="368"/>
      <c r="N1977" s="368"/>
      <c r="O1977" s="370"/>
      <c r="T1977" s="340"/>
      <c r="V1977" s="378"/>
      <c r="W1977" s="64" ph="1"/>
      <c r="X1977" s="241"/>
      <c r="Y1977" s="284"/>
      <c r="Z1977" s="207"/>
      <c r="AA1977" s="284"/>
      <c r="AB1977" s="284"/>
      <c r="AC1977" s="284"/>
      <c r="AD1977" s="284"/>
      <c r="AE1977" s="284"/>
      <c r="AF1977" s="284"/>
      <c r="AG1977" s="284"/>
    </row>
    <row r="1978" spans="1:33" ht="26.4">
      <c r="A1978" s="284"/>
      <c r="B1978" s="284"/>
      <c r="C1978" s="284"/>
      <c r="D1978" s="284"/>
      <c r="E1978" s="284"/>
      <c r="F1978" s="284"/>
      <c r="G1978" s="284"/>
      <c r="H1978" s="284"/>
      <c r="I1978" s="284"/>
      <c r="J1978" s="375"/>
      <c r="K1978" s="375"/>
      <c r="L1978" s="375"/>
      <c r="M1978" s="368"/>
      <c r="N1978" s="368"/>
      <c r="O1978" s="370"/>
      <c r="T1978" s="340"/>
      <c r="V1978" s="378"/>
      <c r="W1978" s="64" ph="1"/>
      <c r="X1978" s="241"/>
      <c r="Y1978" s="284"/>
      <c r="Z1978" s="207"/>
      <c r="AA1978" s="284"/>
      <c r="AB1978" s="284"/>
      <c r="AC1978" s="284"/>
      <c r="AD1978" s="284"/>
      <c r="AE1978" s="284"/>
      <c r="AF1978" s="284"/>
      <c r="AG1978" s="284"/>
    </row>
    <row r="1979" spans="1:33" ht="26.4">
      <c r="A1979" s="284"/>
      <c r="B1979" s="284"/>
      <c r="C1979" s="284"/>
      <c r="D1979" s="284"/>
      <c r="E1979" s="284"/>
      <c r="F1979" s="284"/>
      <c r="G1979" s="284"/>
      <c r="H1979" s="284"/>
      <c r="I1979" s="284"/>
      <c r="J1979" s="375"/>
      <c r="K1979" s="375"/>
      <c r="L1979" s="375"/>
      <c r="M1979" s="368"/>
      <c r="N1979" s="368"/>
      <c r="O1979" s="370"/>
      <c r="T1979" s="340"/>
      <c r="V1979" s="378"/>
      <c r="W1979" s="64" ph="1"/>
      <c r="X1979" s="241"/>
      <c r="Y1979" s="284"/>
      <c r="Z1979" s="207"/>
      <c r="AA1979" s="284"/>
      <c r="AB1979" s="284"/>
      <c r="AC1979" s="284"/>
      <c r="AD1979" s="284"/>
      <c r="AE1979" s="284"/>
      <c r="AF1979" s="284"/>
      <c r="AG1979" s="284"/>
    </row>
    <row r="1980" spans="1:33" ht="26.4">
      <c r="A1980" s="284"/>
      <c r="B1980" s="284"/>
      <c r="C1980" s="284"/>
      <c r="D1980" s="284"/>
      <c r="E1980" s="284"/>
      <c r="F1980" s="284"/>
      <c r="G1980" s="284"/>
      <c r="H1980" s="284"/>
      <c r="I1980" s="284"/>
      <c r="J1980" s="375"/>
      <c r="K1980" s="375"/>
      <c r="L1980" s="375"/>
      <c r="M1980" s="368"/>
      <c r="N1980" s="368"/>
      <c r="O1980" s="370"/>
      <c r="T1980" s="340"/>
      <c r="V1980" s="378"/>
      <c r="W1980" s="64" ph="1"/>
      <c r="X1980" s="241"/>
      <c r="Y1980" s="284"/>
      <c r="Z1980" s="207"/>
      <c r="AA1980" s="284"/>
      <c r="AB1980" s="284"/>
      <c r="AC1980" s="284"/>
      <c r="AD1980" s="284"/>
      <c r="AE1980" s="284"/>
      <c r="AF1980" s="284"/>
      <c r="AG1980" s="284"/>
    </row>
    <row r="1981" spans="1:33" ht="26.4">
      <c r="A1981" s="284"/>
      <c r="B1981" s="284"/>
      <c r="C1981" s="284"/>
      <c r="D1981" s="284"/>
      <c r="E1981" s="284"/>
      <c r="F1981" s="284"/>
      <c r="G1981" s="284"/>
      <c r="H1981" s="284"/>
      <c r="I1981" s="284"/>
      <c r="J1981" s="375"/>
      <c r="K1981" s="375"/>
      <c r="L1981" s="375"/>
      <c r="M1981" s="368"/>
      <c r="N1981" s="368"/>
      <c r="O1981" s="370"/>
      <c r="T1981" s="340"/>
      <c r="V1981" s="378"/>
      <c r="W1981" s="64" ph="1"/>
      <c r="X1981" s="241"/>
      <c r="Y1981" s="284"/>
      <c r="Z1981" s="207"/>
      <c r="AA1981" s="284"/>
      <c r="AB1981" s="284"/>
      <c r="AC1981" s="284"/>
      <c r="AD1981" s="284"/>
      <c r="AE1981" s="284"/>
      <c r="AF1981" s="284"/>
      <c r="AG1981" s="284"/>
    </row>
    <row r="1982" spans="1:33" ht="26.4">
      <c r="A1982" s="284"/>
      <c r="B1982" s="284"/>
      <c r="C1982" s="284"/>
      <c r="D1982" s="284"/>
      <c r="E1982" s="284"/>
      <c r="F1982" s="284"/>
      <c r="G1982" s="284"/>
      <c r="H1982" s="284"/>
      <c r="I1982" s="284"/>
      <c r="J1982" s="375"/>
      <c r="K1982" s="375"/>
      <c r="L1982" s="375"/>
      <c r="M1982" s="368"/>
      <c r="N1982" s="368"/>
      <c r="O1982" s="370"/>
      <c r="T1982" s="340"/>
      <c r="V1982" s="378"/>
      <c r="W1982" s="64" ph="1"/>
      <c r="X1982" s="241"/>
      <c r="Y1982" s="284"/>
      <c r="Z1982" s="207"/>
      <c r="AA1982" s="284"/>
      <c r="AB1982" s="284"/>
      <c r="AC1982" s="284"/>
      <c r="AD1982" s="284"/>
      <c r="AE1982" s="284"/>
      <c r="AF1982" s="284"/>
      <c r="AG1982" s="284"/>
    </row>
    <row r="1983" spans="1:33" ht="26.4">
      <c r="A1983" s="284"/>
      <c r="B1983" s="284"/>
      <c r="C1983" s="284"/>
      <c r="D1983" s="284"/>
      <c r="E1983" s="284"/>
      <c r="F1983" s="284"/>
      <c r="G1983" s="284"/>
      <c r="H1983" s="284"/>
      <c r="I1983" s="284"/>
      <c r="J1983" s="375"/>
      <c r="K1983" s="375"/>
      <c r="L1983" s="375"/>
      <c r="M1983" s="368"/>
      <c r="N1983" s="368"/>
      <c r="O1983" s="370"/>
      <c r="T1983" s="340"/>
      <c r="V1983" s="378"/>
      <c r="W1983" s="64" ph="1"/>
      <c r="X1983" s="241"/>
      <c r="Y1983" s="284"/>
      <c r="Z1983" s="207"/>
      <c r="AA1983" s="284"/>
      <c r="AB1983" s="284"/>
      <c r="AC1983" s="284"/>
      <c r="AD1983" s="284"/>
      <c r="AE1983" s="284"/>
      <c r="AF1983" s="284"/>
      <c r="AG1983" s="284"/>
    </row>
    <row r="1984" spans="1:33" ht="26.4">
      <c r="A1984" s="284"/>
      <c r="B1984" s="284"/>
      <c r="C1984" s="284"/>
      <c r="D1984" s="284"/>
      <c r="E1984" s="284"/>
      <c r="F1984" s="284"/>
      <c r="G1984" s="284"/>
      <c r="H1984" s="284"/>
      <c r="I1984" s="284"/>
      <c r="J1984" s="375"/>
      <c r="K1984" s="375"/>
      <c r="L1984" s="375"/>
      <c r="M1984" s="368"/>
      <c r="N1984" s="368"/>
      <c r="O1984" s="370"/>
      <c r="T1984" s="340"/>
      <c r="V1984" s="378"/>
      <c r="W1984" s="64" ph="1"/>
      <c r="X1984" s="241"/>
      <c r="Y1984" s="284"/>
      <c r="Z1984" s="207"/>
      <c r="AA1984" s="284"/>
      <c r="AB1984" s="284"/>
      <c r="AC1984" s="284"/>
      <c r="AD1984" s="284"/>
      <c r="AE1984" s="284"/>
      <c r="AF1984" s="284"/>
      <c r="AG1984" s="284"/>
    </row>
    <row r="1985" spans="1:33" ht="26.4">
      <c r="A1985" s="284"/>
      <c r="B1985" s="284"/>
      <c r="C1985" s="284"/>
      <c r="D1985" s="284"/>
      <c r="E1985" s="284"/>
      <c r="F1985" s="284"/>
      <c r="G1985" s="284"/>
      <c r="H1985" s="284"/>
      <c r="I1985" s="284"/>
      <c r="J1985" s="375"/>
      <c r="K1985" s="375"/>
      <c r="L1985" s="375"/>
      <c r="M1985" s="368"/>
      <c r="N1985" s="368"/>
      <c r="O1985" s="370"/>
      <c r="T1985" s="340"/>
      <c r="V1985" s="378"/>
      <c r="W1985" s="64" ph="1"/>
      <c r="X1985" s="241"/>
      <c r="Y1985" s="284"/>
      <c r="Z1985" s="207"/>
      <c r="AA1985" s="284"/>
      <c r="AB1985" s="284"/>
      <c r="AC1985" s="284"/>
      <c r="AD1985" s="284"/>
      <c r="AE1985" s="284"/>
      <c r="AF1985" s="284"/>
      <c r="AG1985" s="284"/>
    </row>
    <row r="1986" spans="1:33" ht="26.4">
      <c r="A1986" s="284"/>
      <c r="B1986" s="284"/>
      <c r="C1986" s="284"/>
      <c r="D1986" s="284"/>
      <c r="E1986" s="284"/>
      <c r="F1986" s="284"/>
      <c r="G1986" s="284"/>
      <c r="H1986" s="284"/>
      <c r="I1986" s="284"/>
      <c r="J1986" s="375"/>
      <c r="K1986" s="375"/>
      <c r="L1986" s="375"/>
      <c r="M1986" s="368"/>
      <c r="N1986" s="368"/>
      <c r="O1986" s="370"/>
      <c r="T1986" s="340"/>
      <c r="V1986" s="378"/>
      <c r="W1986" s="64" ph="1"/>
      <c r="X1986" s="241"/>
      <c r="Y1986" s="284"/>
      <c r="Z1986" s="207"/>
      <c r="AA1986" s="284"/>
      <c r="AB1986" s="284"/>
      <c r="AC1986" s="284"/>
      <c r="AD1986" s="284"/>
      <c r="AE1986" s="284"/>
      <c r="AF1986" s="284"/>
      <c r="AG1986" s="284"/>
    </row>
    <row r="1987" spans="1:33" ht="26.4">
      <c r="A1987" s="284"/>
      <c r="B1987" s="284"/>
      <c r="C1987" s="284"/>
      <c r="D1987" s="284"/>
      <c r="E1987" s="284"/>
      <c r="F1987" s="284"/>
      <c r="G1987" s="284"/>
      <c r="H1987" s="284"/>
      <c r="I1987" s="284"/>
      <c r="J1987" s="375"/>
      <c r="K1987" s="375"/>
      <c r="L1987" s="375"/>
      <c r="M1987" s="368"/>
      <c r="N1987" s="368"/>
      <c r="O1987" s="370"/>
      <c r="T1987" s="340"/>
      <c r="V1987" s="378"/>
      <c r="W1987" s="64" ph="1"/>
      <c r="X1987" s="241"/>
      <c r="Y1987" s="284"/>
      <c r="Z1987" s="207"/>
      <c r="AA1987" s="284"/>
      <c r="AB1987" s="284"/>
      <c r="AC1987" s="284"/>
      <c r="AD1987" s="284"/>
      <c r="AE1987" s="284"/>
      <c r="AF1987" s="284"/>
      <c r="AG1987" s="284"/>
    </row>
    <row r="1988" spans="1:33" ht="26.4">
      <c r="A1988" s="284"/>
      <c r="B1988" s="284"/>
      <c r="C1988" s="284"/>
      <c r="D1988" s="284"/>
      <c r="E1988" s="284"/>
      <c r="F1988" s="284"/>
      <c r="G1988" s="284"/>
      <c r="H1988" s="284"/>
      <c r="I1988" s="284"/>
      <c r="J1988" s="375"/>
      <c r="K1988" s="375"/>
      <c r="L1988" s="375"/>
      <c r="M1988" s="368"/>
      <c r="N1988" s="368"/>
      <c r="O1988" s="370"/>
      <c r="T1988" s="340"/>
      <c r="V1988" s="378"/>
      <c r="W1988" s="64" ph="1"/>
      <c r="X1988" s="241"/>
      <c r="Y1988" s="284"/>
      <c r="Z1988" s="207"/>
      <c r="AA1988" s="284"/>
      <c r="AB1988" s="284"/>
      <c r="AC1988" s="284"/>
      <c r="AD1988" s="284"/>
      <c r="AE1988" s="284"/>
      <c r="AF1988" s="284"/>
      <c r="AG1988" s="284"/>
    </row>
    <row r="1989" spans="1:33" ht="26.4">
      <c r="A1989" s="284"/>
      <c r="B1989" s="284"/>
      <c r="C1989" s="284"/>
      <c r="D1989" s="284"/>
      <c r="E1989" s="284"/>
      <c r="F1989" s="284"/>
      <c r="G1989" s="284"/>
      <c r="H1989" s="284"/>
      <c r="I1989" s="284"/>
      <c r="J1989" s="375"/>
      <c r="K1989" s="375"/>
      <c r="L1989" s="375"/>
      <c r="M1989" s="368"/>
      <c r="N1989" s="368"/>
      <c r="O1989" s="370"/>
      <c r="T1989" s="340"/>
      <c r="V1989" s="378"/>
      <c r="W1989" s="64" ph="1"/>
      <c r="X1989" s="241"/>
      <c r="Y1989" s="284"/>
      <c r="Z1989" s="207"/>
      <c r="AA1989" s="284"/>
      <c r="AB1989" s="284"/>
      <c r="AC1989" s="284"/>
      <c r="AD1989" s="284"/>
      <c r="AE1989" s="284"/>
      <c r="AF1989" s="284"/>
      <c r="AG1989" s="284"/>
    </row>
    <row r="1990" spans="1:33" ht="26.4">
      <c r="A1990" s="284"/>
      <c r="B1990" s="284"/>
      <c r="C1990" s="284"/>
      <c r="D1990" s="284"/>
      <c r="E1990" s="284"/>
      <c r="F1990" s="284"/>
      <c r="G1990" s="284"/>
      <c r="H1990" s="284"/>
      <c r="I1990" s="284"/>
      <c r="J1990" s="375"/>
      <c r="K1990" s="375"/>
      <c r="L1990" s="375"/>
      <c r="M1990" s="368"/>
      <c r="N1990" s="368"/>
      <c r="O1990" s="370"/>
      <c r="T1990" s="340"/>
      <c r="V1990" s="378"/>
      <c r="W1990" s="64" ph="1"/>
      <c r="X1990" s="241"/>
      <c r="Y1990" s="284"/>
      <c r="Z1990" s="207"/>
      <c r="AA1990" s="284"/>
      <c r="AB1990" s="284"/>
      <c r="AC1990" s="284"/>
      <c r="AD1990" s="284"/>
      <c r="AE1990" s="284"/>
      <c r="AF1990" s="284"/>
      <c r="AG1990" s="284"/>
    </row>
    <row r="1991" spans="1:33" ht="26.4">
      <c r="A1991" s="284"/>
      <c r="B1991" s="284"/>
      <c r="C1991" s="284"/>
      <c r="D1991" s="284"/>
      <c r="E1991" s="284"/>
      <c r="F1991" s="284"/>
      <c r="G1991" s="284"/>
      <c r="H1991" s="284"/>
      <c r="I1991" s="284"/>
      <c r="J1991" s="375"/>
      <c r="K1991" s="375"/>
      <c r="L1991" s="375"/>
      <c r="M1991" s="368"/>
      <c r="N1991" s="368"/>
      <c r="O1991" s="370"/>
      <c r="T1991" s="340"/>
      <c r="V1991" s="378"/>
      <c r="W1991" s="64" ph="1"/>
      <c r="X1991" s="241"/>
      <c r="Y1991" s="284"/>
      <c r="Z1991" s="207"/>
      <c r="AA1991" s="284"/>
      <c r="AB1991" s="284"/>
      <c r="AC1991" s="284"/>
      <c r="AD1991" s="284"/>
      <c r="AE1991" s="284"/>
      <c r="AF1991" s="284"/>
      <c r="AG1991" s="284"/>
    </row>
    <row r="1992" spans="1:33" ht="26.4">
      <c r="A1992" s="284"/>
      <c r="B1992" s="284"/>
      <c r="C1992" s="284"/>
      <c r="D1992" s="284"/>
      <c r="E1992" s="284"/>
      <c r="F1992" s="284"/>
      <c r="G1992" s="284"/>
      <c r="H1992" s="284"/>
      <c r="I1992" s="284"/>
      <c r="J1992" s="375"/>
      <c r="K1992" s="375"/>
      <c r="L1992" s="375"/>
      <c r="M1992" s="368"/>
      <c r="N1992" s="368"/>
      <c r="O1992" s="370"/>
      <c r="T1992" s="340"/>
      <c r="V1992" s="378"/>
      <c r="W1992" s="64" ph="1"/>
      <c r="X1992" s="241"/>
      <c r="Y1992" s="284"/>
      <c r="Z1992" s="207"/>
      <c r="AA1992" s="284"/>
      <c r="AB1992" s="284"/>
      <c r="AC1992" s="284"/>
      <c r="AD1992" s="284"/>
      <c r="AE1992" s="284"/>
      <c r="AF1992" s="284"/>
      <c r="AG1992" s="284"/>
    </row>
    <row r="1993" spans="1:33" ht="26.4">
      <c r="A1993" s="284"/>
      <c r="B1993" s="284"/>
      <c r="C1993" s="284"/>
      <c r="D1993" s="284"/>
      <c r="E1993" s="284"/>
      <c r="F1993" s="284"/>
      <c r="G1993" s="284"/>
      <c r="H1993" s="284"/>
      <c r="I1993" s="284"/>
      <c r="J1993" s="375"/>
      <c r="K1993" s="375"/>
      <c r="L1993" s="375"/>
      <c r="M1993" s="368"/>
      <c r="N1993" s="368"/>
      <c r="O1993" s="370"/>
      <c r="T1993" s="340"/>
      <c r="V1993" s="378"/>
      <c r="W1993" s="64" ph="1"/>
      <c r="X1993" s="241"/>
      <c r="Y1993" s="284"/>
      <c r="Z1993" s="207"/>
      <c r="AA1993" s="284"/>
      <c r="AB1993" s="284"/>
      <c r="AC1993" s="284"/>
      <c r="AD1993" s="284"/>
      <c r="AE1993" s="284"/>
      <c r="AF1993" s="284"/>
      <c r="AG1993" s="284"/>
    </row>
    <row r="1994" spans="1:33" ht="26.4">
      <c r="A1994" s="284"/>
      <c r="B1994" s="284"/>
      <c r="C1994" s="284"/>
      <c r="D1994" s="284"/>
      <c r="E1994" s="284"/>
      <c r="F1994" s="284"/>
      <c r="G1994" s="284"/>
      <c r="H1994" s="284"/>
      <c r="I1994" s="284"/>
      <c r="J1994" s="375"/>
      <c r="K1994" s="375"/>
      <c r="L1994" s="375"/>
      <c r="M1994" s="368"/>
      <c r="N1994" s="368"/>
      <c r="O1994" s="370"/>
      <c r="T1994" s="340"/>
      <c r="V1994" s="378"/>
      <c r="W1994" s="64" ph="1"/>
      <c r="X1994" s="241"/>
      <c r="Y1994" s="284"/>
      <c r="Z1994" s="207"/>
      <c r="AA1994" s="284"/>
      <c r="AB1994" s="284"/>
      <c r="AC1994" s="284"/>
      <c r="AD1994" s="284"/>
      <c r="AE1994" s="284"/>
      <c r="AF1994" s="284"/>
      <c r="AG1994" s="284"/>
    </row>
    <row r="1995" spans="1:33" ht="26.4">
      <c r="A1995" s="284"/>
      <c r="B1995" s="284"/>
      <c r="C1995" s="284"/>
      <c r="D1995" s="284"/>
      <c r="E1995" s="284"/>
      <c r="F1995" s="284"/>
      <c r="G1995" s="284"/>
      <c r="H1995" s="284"/>
      <c r="I1995" s="284"/>
      <c r="J1995" s="375"/>
      <c r="K1995" s="375"/>
      <c r="L1995" s="375"/>
      <c r="M1995" s="368"/>
      <c r="N1995" s="368"/>
      <c r="O1995" s="370"/>
      <c r="T1995" s="340"/>
      <c r="V1995" s="378"/>
      <c r="W1995" s="64" ph="1"/>
      <c r="X1995" s="241"/>
      <c r="Y1995" s="284"/>
      <c r="Z1995" s="207"/>
      <c r="AA1995" s="284"/>
      <c r="AB1995" s="284"/>
      <c r="AC1995" s="284"/>
      <c r="AD1995" s="284"/>
      <c r="AE1995" s="284"/>
      <c r="AF1995" s="284"/>
      <c r="AG1995" s="284"/>
    </row>
    <row r="1996" spans="1:33" ht="26.4">
      <c r="A1996" s="284"/>
      <c r="B1996" s="284"/>
      <c r="C1996" s="284"/>
      <c r="D1996" s="284"/>
      <c r="E1996" s="284"/>
      <c r="F1996" s="284"/>
      <c r="G1996" s="284"/>
      <c r="H1996" s="284"/>
      <c r="I1996" s="284"/>
      <c r="J1996" s="375"/>
      <c r="K1996" s="375"/>
      <c r="L1996" s="375"/>
      <c r="M1996" s="368"/>
      <c r="N1996" s="368"/>
      <c r="O1996" s="370"/>
      <c r="T1996" s="340"/>
      <c r="V1996" s="378"/>
      <c r="W1996" s="64" ph="1"/>
      <c r="X1996" s="241"/>
      <c r="Y1996" s="284"/>
      <c r="Z1996" s="207"/>
      <c r="AA1996" s="284"/>
      <c r="AB1996" s="284"/>
      <c r="AC1996" s="284"/>
      <c r="AD1996" s="284"/>
      <c r="AE1996" s="284"/>
      <c r="AF1996" s="284"/>
      <c r="AG1996" s="284"/>
    </row>
    <row r="1997" spans="1:33" ht="26.4">
      <c r="A1997" s="284"/>
      <c r="B1997" s="284"/>
      <c r="C1997" s="284"/>
      <c r="D1997" s="284"/>
      <c r="E1997" s="284"/>
      <c r="F1997" s="284"/>
      <c r="G1997" s="284"/>
      <c r="H1997" s="284"/>
      <c r="I1997" s="284"/>
      <c r="J1997" s="375"/>
      <c r="K1997" s="375"/>
      <c r="L1997" s="375"/>
      <c r="M1997" s="368"/>
      <c r="N1997" s="368"/>
      <c r="O1997" s="370"/>
      <c r="T1997" s="340"/>
      <c r="V1997" s="378"/>
      <c r="W1997" s="64" ph="1"/>
      <c r="X1997" s="241"/>
      <c r="Y1997" s="284"/>
      <c r="Z1997" s="207"/>
      <c r="AA1997" s="284"/>
      <c r="AB1997" s="284"/>
      <c r="AC1997" s="284"/>
      <c r="AD1997" s="284"/>
      <c r="AE1997" s="284"/>
      <c r="AF1997" s="284"/>
      <c r="AG1997" s="284"/>
    </row>
    <row r="1998" spans="1:33" ht="26.4">
      <c r="A1998" s="284"/>
      <c r="B1998" s="284"/>
      <c r="C1998" s="284"/>
      <c r="D1998" s="284"/>
      <c r="E1998" s="284"/>
      <c r="F1998" s="284"/>
      <c r="G1998" s="284"/>
      <c r="H1998" s="284"/>
      <c r="I1998" s="284"/>
      <c r="J1998" s="375"/>
      <c r="K1998" s="375"/>
      <c r="L1998" s="375"/>
      <c r="M1998" s="368"/>
      <c r="N1998" s="368"/>
      <c r="O1998" s="370"/>
      <c r="T1998" s="340"/>
      <c r="V1998" s="378"/>
      <c r="W1998" s="64" ph="1"/>
      <c r="X1998" s="241"/>
      <c r="Y1998" s="284"/>
      <c r="Z1998" s="207"/>
      <c r="AA1998" s="284"/>
      <c r="AB1998" s="284"/>
      <c r="AC1998" s="284"/>
      <c r="AD1998" s="284"/>
      <c r="AE1998" s="284"/>
      <c r="AF1998" s="284"/>
      <c r="AG1998" s="284"/>
    </row>
    <row r="1999" spans="1:33" ht="26.4">
      <c r="A1999" s="284"/>
      <c r="B1999" s="284"/>
      <c r="C1999" s="284"/>
      <c r="D1999" s="284"/>
      <c r="E1999" s="284"/>
      <c r="F1999" s="284"/>
      <c r="G1999" s="284"/>
      <c r="H1999" s="284"/>
      <c r="I1999" s="284"/>
      <c r="J1999" s="375"/>
      <c r="K1999" s="375"/>
      <c r="L1999" s="375"/>
      <c r="M1999" s="368"/>
      <c r="N1999" s="368"/>
      <c r="O1999" s="370"/>
      <c r="T1999" s="340"/>
      <c r="V1999" s="378"/>
      <c r="W1999" s="64" ph="1"/>
      <c r="X1999" s="241"/>
      <c r="Y1999" s="284"/>
      <c r="Z1999" s="207"/>
      <c r="AA1999" s="284"/>
      <c r="AB1999" s="284"/>
      <c r="AC1999" s="284"/>
      <c r="AD1999" s="284"/>
      <c r="AE1999" s="284"/>
      <c r="AF1999" s="284"/>
      <c r="AG1999" s="284"/>
    </row>
    <row r="2000" spans="1:33" ht="26.4">
      <c r="A2000" s="284"/>
      <c r="B2000" s="284"/>
      <c r="C2000" s="284"/>
      <c r="D2000" s="284"/>
      <c r="E2000" s="284"/>
      <c r="F2000" s="284"/>
      <c r="G2000" s="284"/>
      <c r="H2000" s="284"/>
      <c r="I2000" s="284"/>
      <c r="J2000" s="375"/>
      <c r="K2000" s="375"/>
      <c r="L2000" s="375"/>
      <c r="M2000" s="368"/>
      <c r="N2000" s="368"/>
      <c r="O2000" s="370"/>
      <c r="T2000" s="340"/>
      <c r="V2000" s="378"/>
      <c r="W2000" s="64" ph="1"/>
      <c r="X2000" s="241"/>
      <c r="Y2000" s="284"/>
      <c r="Z2000" s="207"/>
      <c r="AA2000" s="284"/>
      <c r="AB2000" s="284"/>
      <c r="AC2000" s="284"/>
      <c r="AD2000" s="284"/>
      <c r="AE2000" s="284"/>
      <c r="AF2000" s="284"/>
      <c r="AG2000" s="284"/>
    </row>
    <row r="2001" spans="1:33" ht="26.4">
      <c r="A2001" s="284"/>
      <c r="B2001" s="284"/>
      <c r="C2001" s="284"/>
      <c r="D2001" s="284"/>
      <c r="E2001" s="284"/>
      <c r="F2001" s="284"/>
      <c r="G2001" s="284"/>
      <c r="H2001" s="284"/>
      <c r="I2001" s="284"/>
      <c r="J2001" s="375"/>
      <c r="K2001" s="375"/>
      <c r="L2001" s="375"/>
      <c r="M2001" s="368"/>
      <c r="N2001" s="368"/>
      <c r="O2001" s="370"/>
      <c r="T2001" s="340"/>
      <c r="V2001" s="378"/>
      <c r="W2001" s="64" ph="1"/>
      <c r="X2001" s="241"/>
      <c r="Y2001" s="284"/>
      <c r="Z2001" s="207"/>
      <c r="AA2001" s="284"/>
      <c r="AB2001" s="284"/>
      <c r="AC2001" s="284"/>
      <c r="AD2001" s="284"/>
      <c r="AE2001" s="284"/>
      <c r="AF2001" s="284"/>
      <c r="AG2001" s="284"/>
    </row>
    <row r="2002" spans="1:33" ht="26.4">
      <c r="A2002" s="284"/>
      <c r="B2002" s="284"/>
      <c r="C2002" s="284"/>
      <c r="D2002" s="284"/>
      <c r="E2002" s="284"/>
      <c r="F2002" s="284"/>
      <c r="G2002" s="284"/>
      <c r="H2002" s="284"/>
      <c r="I2002" s="284"/>
      <c r="J2002" s="375"/>
      <c r="K2002" s="375"/>
      <c r="L2002" s="375"/>
      <c r="M2002" s="368"/>
      <c r="N2002" s="368"/>
      <c r="O2002" s="370"/>
      <c r="T2002" s="340"/>
      <c r="V2002" s="378"/>
      <c r="W2002" s="64" ph="1"/>
      <c r="X2002" s="241"/>
      <c r="Y2002" s="284"/>
      <c r="Z2002" s="207"/>
      <c r="AA2002" s="284"/>
      <c r="AB2002" s="284"/>
      <c r="AC2002" s="284"/>
      <c r="AD2002" s="284"/>
      <c r="AE2002" s="284"/>
      <c r="AF2002" s="284"/>
      <c r="AG2002" s="284"/>
    </row>
    <row r="2003" spans="1:33" ht="26.4">
      <c r="A2003" s="284"/>
      <c r="B2003" s="284"/>
      <c r="C2003" s="284"/>
      <c r="D2003" s="284"/>
      <c r="E2003" s="284"/>
      <c r="F2003" s="284"/>
      <c r="G2003" s="284"/>
      <c r="H2003" s="284"/>
      <c r="I2003" s="284"/>
      <c r="J2003" s="375"/>
      <c r="K2003" s="375"/>
      <c r="L2003" s="375"/>
      <c r="M2003" s="368"/>
      <c r="N2003" s="368"/>
      <c r="O2003" s="370"/>
      <c r="T2003" s="340"/>
      <c r="V2003" s="378"/>
      <c r="W2003" s="64" ph="1"/>
      <c r="X2003" s="241"/>
      <c r="Y2003" s="284"/>
      <c r="Z2003" s="207"/>
      <c r="AA2003" s="284"/>
      <c r="AB2003" s="284"/>
      <c r="AC2003" s="284"/>
      <c r="AD2003" s="284"/>
      <c r="AE2003" s="284"/>
      <c r="AF2003" s="284"/>
      <c r="AG2003" s="284"/>
    </row>
    <row r="2004" spans="1:33" ht="26.4">
      <c r="A2004" s="284"/>
      <c r="B2004" s="284"/>
      <c r="C2004" s="284"/>
      <c r="D2004" s="284"/>
      <c r="E2004" s="284"/>
      <c r="F2004" s="284"/>
      <c r="G2004" s="284"/>
      <c r="H2004" s="284"/>
      <c r="I2004" s="284"/>
      <c r="J2004" s="375"/>
      <c r="K2004" s="375"/>
      <c r="L2004" s="375"/>
      <c r="M2004" s="368"/>
      <c r="N2004" s="368"/>
      <c r="O2004" s="370"/>
      <c r="T2004" s="340"/>
      <c r="V2004" s="378"/>
      <c r="W2004" s="64" ph="1"/>
      <c r="X2004" s="241"/>
      <c r="Y2004" s="284"/>
      <c r="Z2004" s="207"/>
      <c r="AA2004" s="284"/>
      <c r="AB2004" s="284"/>
      <c r="AC2004" s="284"/>
      <c r="AD2004" s="284"/>
      <c r="AE2004" s="284"/>
      <c r="AF2004" s="284"/>
      <c r="AG2004" s="284"/>
    </row>
    <row r="2005" spans="1:33" ht="26.4">
      <c r="A2005" s="284"/>
      <c r="B2005" s="284"/>
      <c r="C2005" s="284"/>
      <c r="D2005" s="284"/>
      <c r="E2005" s="284"/>
      <c r="F2005" s="284"/>
      <c r="G2005" s="284"/>
      <c r="H2005" s="284"/>
      <c r="I2005" s="284"/>
      <c r="J2005" s="375"/>
      <c r="K2005" s="375"/>
      <c r="L2005" s="375"/>
      <c r="M2005" s="368"/>
      <c r="N2005" s="368"/>
      <c r="O2005" s="370"/>
      <c r="T2005" s="340"/>
      <c r="V2005" s="378"/>
      <c r="W2005" s="64" ph="1"/>
      <c r="X2005" s="241"/>
      <c r="Y2005" s="284"/>
      <c r="Z2005" s="207"/>
      <c r="AA2005" s="284"/>
      <c r="AB2005" s="284"/>
      <c r="AC2005" s="284"/>
      <c r="AD2005" s="284"/>
      <c r="AE2005" s="284"/>
      <c r="AF2005" s="284"/>
      <c r="AG2005" s="284"/>
    </row>
    <row r="2006" spans="1:33" ht="26.4">
      <c r="A2006" s="284"/>
      <c r="B2006" s="284"/>
      <c r="C2006" s="284"/>
      <c r="D2006" s="284"/>
      <c r="E2006" s="284"/>
      <c r="F2006" s="284"/>
      <c r="G2006" s="284"/>
      <c r="H2006" s="284"/>
      <c r="I2006" s="284"/>
      <c r="J2006" s="375"/>
      <c r="K2006" s="375"/>
      <c r="L2006" s="375"/>
      <c r="M2006" s="368"/>
      <c r="N2006" s="368"/>
      <c r="O2006" s="370"/>
      <c r="T2006" s="340"/>
      <c r="V2006" s="378"/>
      <c r="W2006" s="64" ph="1"/>
      <c r="X2006" s="241"/>
      <c r="Y2006" s="284"/>
      <c r="Z2006" s="207"/>
      <c r="AA2006" s="284"/>
      <c r="AB2006" s="284"/>
      <c r="AC2006" s="284"/>
      <c r="AD2006" s="284"/>
      <c r="AE2006" s="284"/>
      <c r="AF2006" s="284"/>
      <c r="AG2006" s="284"/>
    </row>
    <row r="2007" spans="1:33" ht="26.4">
      <c r="A2007" s="284"/>
      <c r="B2007" s="284"/>
      <c r="C2007" s="284"/>
      <c r="D2007" s="284"/>
      <c r="E2007" s="284"/>
      <c r="F2007" s="284"/>
      <c r="G2007" s="284"/>
      <c r="H2007" s="284"/>
      <c r="I2007" s="284"/>
      <c r="J2007" s="375"/>
      <c r="K2007" s="375"/>
      <c r="L2007" s="375"/>
      <c r="M2007" s="368"/>
      <c r="N2007" s="368"/>
      <c r="O2007" s="370"/>
      <c r="T2007" s="340"/>
      <c r="V2007" s="378"/>
      <c r="W2007" s="64" ph="1"/>
      <c r="X2007" s="241"/>
      <c r="Y2007" s="284"/>
      <c r="Z2007" s="207"/>
      <c r="AA2007" s="284"/>
      <c r="AB2007" s="284"/>
      <c r="AC2007" s="284"/>
      <c r="AD2007" s="284"/>
      <c r="AE2007" s="284"/>
      <c r="AF2007" s="284"/>
      <c r="AG2007" s="284"/>
    </row>
    <row r="2008" spans="1:33" ht="26.4">
      <c r="A2008" s="284"/>
      <c r="B2008" s="284"/>
      <c r="C2008" s="284"/>
      <c r="D2008" s="284"/>
      <c r="E2008" s="284"/>
      <c r="F2008" s="284"/>
      <c r="G2008" s="284"/>
      <c r="H2008" s="284"/>
      <c r="I2008" s="284"/>
      <c r="J2008" s="375"/>
      <c r="K2008" s="375"/>
      <c r="L2008" s="375"/>
      <c r="M2008" s="368"/>
      <c r="N2008" s="368"/>
      <c r="O2008" s="370"/>
      <c r="T2008" s="340"/>
      <c r="V2008" s="378"/>
      <c r="W2008" s="64" ph="1"/>
      <c r="X2008" s="241"/>
      <c r="Y2008" s="284"/>
      <c r="Z2008" s="207"/>
      <c r="AA2008" s="284"/>
      <c r="AB2008" s="284"/>
      <c r="AC2008" s="284"/>
      <c r="AD2008" s="284"/>
      <c r="AE2008" s="284"/>
      <c r="AF2008" s="284"/>
      <c r="AG2008" s="284"/>
    </row>
    <row r="2009" spans="1:33" ht="26.4">
      <c r="A2009" s="284"/>
      <c r="B2009" s="284"/>
      <c r="C2009" s="284"/>
      <c r="D2009" s="284"/>
      <c r="E2009" s="284"/>
      <c r="F2009" s="284"/>
      <c r="G2009" s="284"/>
      <c r="H2009" s="284"/>
      <c r="I2009" s="284"/>
      <c r="J2009" s="375"/>
      <c r="K2009" s="375"/>
      <c r="L2009" s="375"/>
      <c r="M2009" s="368"/>
      <c r="N2009" s="368"/>
      <c r="O2009" s="370"/>
      <c r="T2009" s="340"/>
      <c r="V2009" s="378"/>
      <c r="W2009" s="64" ph="1"/>
      <c r="X2009" s="241"/>
      <c r="Y2009" s="284"/>
      <c r="Z2009" s="207"/>
      <c r="AA2009" s="284"/>
      <c r="AB2009" s="284"/>
      <c r="AC2009" s="284"/>
      <c r="AD2009" s="284"/>
      <c r="AE2009" s="284"/>
      <c r="AF2009" s="284"/>
      <c r="AG2009" s="284"/>
    </row>
    <row r="2010" spans="1:33" ht="26.4">
      <c r="A2010" s="284"/>
      <c r="B2010" s="284"/>
      <c r="C2010" s="284"/>
      <c r="D2010" s="284"/>
      <c r="E2010" s="284"/>
      <c r="F2010" s="284"/>
      <c r="G2010" s="284"/>
      <c r="H2010" s="284"/>
      <c r="I2010" s="284"/>
      <c r="J2010" s="375"/>
      <c r="K2010" s="375"/>
      <c r="L2010" s="375"/>
      <c r="M2010" s="368"/>
      <c r="N2010" s="368"/>
      <c r="O2010" s="370"/>
      <c r="T2010" s="340"/>
      <c r="V2010" s="378"/>
      <c r="W2010" s="64" ph="1"/>
      <c r="X2010" s="241"/>
      <c r="Y2010" s="284"/>
      <c r="Z2010" s="207"/>
      <c r="AA2010" s="284"/>
      <c r="AB2010" s="284"/>
      <c r="AC2010" s="284"/>
      <c r="AD2010" s="284"/>
      <c r="AE2010" s="284"/>
      <c r="AF2010" s="284"/>
      <c r="AG2010" s="284"/>
    </row>
    <row r="2011" spans="1:33" ht="26.4">
      <c r="A2011" s="284"/>
      <c r="B2011" s="284"/>
      <c r="C2011" s="284"/>
      <c r="D2011" s="284"/>
      <c r="E2011" s="284"/>
      <c r="F2011" s="284"/>
      <c r="G2011" s="284"/>
      <c r="H2011" s="284"/>
      <c r="I2011" s="284"/>
      <c r="J2011" s="375"/>
      <c r="K2011" s="375"/>
      <c r="L2011" s="375"/>
      <c r="M2011" s="368"/>
      <c r="N2011" s="368"/>
      <c r="O2011" s="370"/>
      <c r="T2011" s="340"/>
      <c r="V2011" s="378"/>
      <c r="W2011" s="64" ph="1"/>
      <c r="X2011" s="241"/>
      <c r="Y2011" s="284"/>
      <c r="Z2011" s="207"/>
      <c r="AA2011" s="284"/>
      <c r="AB2011" s="284"/>
      <c r="AC2011" s="284"/>
      <c r="AD2011" s="284"/>
      <c r="AE2011" s="284"/>
      <c r="AF2011" s="284"/>
      <c r="AG2011" s="284"/>
    </row>
    <row r="2012" spans="1:33" ht="26.4">
      <c r="A2012" s="284"/>
      <c r="B2012" s="284"/>
      <c r="C2012" s="284"/>
      <c r="D2012" s="284"/>
      <c r="E2012" s="284"/>
      <c r="F2012" s="284"/>
      <c r="G2012" s="284"/>
      <c r="H2012" s="284"/>
      <c r="I2012" s="284"/>
      <c r="J2012" s="375"/>
      <c r="K2012" s="375"/>
      <c r="L2012" s="375"/>
      <c r="M2012" s="368"/>
      <c r="N2012" s="368"/>
      <c r="O2012" s="370"/>
      <c r="T2012" s="340"/>
      <c r="V2012" s="378"/>
      <c r="W2012" s="64" ph="1"/>
      <c r="X2012" s="241"/>
      <c r="Y2012" s="284"/>
      <c r="Z2012" s="207"/>
      <c r="AA2012" s="284"/>
      <c r="AB2012" s="284"/>
      <c r="AC2012" s="284"/>
      <c r="AD2012" s="284"/>
      <c r="AE2012" s="284"/>
      <c r="AF2012" s="284"/>
      <c r="AG2012" s="284"/>
    </row>
    <row r="2013" spans="1:33" ht="26.4">
      <c r="A2013" s="284"/>
      <c r="B2013" s="284"/>
      <c r="C2013" s="284"/>
      <c r="D2013" s="284"/>
      <c r="E2013" s="284"/>
      <c r="F2013" s="284"/>
      <c r="G2013" s="284"/>
      <c r="H2013" s="284"/>
      <c r="I2013" s="284"/>
      <c r="J2013" s="375"/>
      <c r="K2013" s="375"/>
      <c r="L2013" s="375"/>
      <c r="M2013" s="368"/>
      <c r="N2013" s="368"/>
      <c r="O2013" s="370"/>
      <c r="T2013" s="340"/>
      <c r="V2013" s="378"/>
      <c r="W2013" s="64" ph="1"/>
      <c r="X2013" s="241"/>
      <c r="Y2013" s="284"/>
      <c r="Z2013" s="207"/>
      <c r="AA2013" s="284"/>
      <c r="AB2013" s="284"/>
      <c r="AC2013" s="284"/>
      <c r="AD2013" s="284"/>
      <c r="AE2013" s="284"/>
      <c r="AF2013" s="284"/>
      <c r="AG2013" s="284"/>
    </row>
    <row r="2014" spans="1:33" ht="26.4">
      <c r="A2014" s="284"/>
      <c r="B2014" s="284"/>
      <c r="C2014" s="284"/>
      <c r="D2014" s="284"/>
      <c r="E2014" s="284"/>
      <c r="F2014" s="284"/>
      <c r="G2014" s="284"/>
      <c r="H2014" s="284"/>
      <c r="I2014" s="284"/>
      <c r="J2014" s="375"/>
      <c r="K2014" s="375"/>
      <c r="L2014" s="375"/>
      <c r="M2014" s="368"/>
      <c r="N2014" s="368"/>
      <c r="O2014" s="370"/>
      <c r="T2014" s="340"/>
      <c r="V2014" s="378"/>
      <c r="W2014" s="64" ph="1"/>
      <c r="X2014" s="241"/>
      <c r="Y2014" s="284"/>
      <c r="Z2014" s="207"/>
      <c r="AA2014" s="284"/>
      <c r="AB2014" s="284"/>
      <c r="AC2014" s="284"/>
      <c r="AD2014" s="284"/>
      <c r="AE2014" s="284"/>
      <c r="AF2014" s="284"/>
      <c r="AG2014" s="284"/>
    </row>
    <row r="2015" spans="1:33" ht="26.4">
      <c r="A2015" s="284"/>
      <c r="B2015" s="284"/>
      <c r="C2015" s="284"/>
      <c r="D2015" s="284"/>
      <c r="E2015" s="284"/>
      <c r="F2015" s="284"/>
      <c r="G2015" s="284"/>
      <c r="H2015" s="284"/>
      <c r="I2015" s="284"/>
      <c r="J2015" s="375"/>
      <c r="K2015" s="375"/>
      <c r="L2015" s="375"/>
      <c r="M2015" s="368"/>
      <c r="N2015" s="368"/>
      <c r="O2015" s="370"/>
      <c r="T2015" s="340"/>
      <c r="V2015" s="378"/>
      <c r="W2015" s="64" ph="1"/>
      <c r="X2015" s="241"/>
      <c r="Y2015" s="284"/>
      <c r="Z2015" s="207"/>
      <c r="AA2015" s="284"/>
      <c r="AB2015" s="284"/>
      <c r="AC2015" s="284"/>
      <c r="AD2015" s="284"/>
      <c r="AE2015" s="284"/>
      <c r="AF2015" s="284"/>
      <c r="AG2015" s="284"/>
    </row>
    <row r="2016" spans="1:33" ht="26.4">
      <c r="A2016" s="284"/>
      <c r="B2016" s="284"/>
      <c r="C2016" s="284"/>
      <c r="D2016" s="284"/>
      <c r="E2016" s="284"/>
      <c r="F2016" s="284"/>
      <c r="G2016" s="284"/>
      <c r="H2016" s="284"/>
      <c r="I2016" s="284"/>
      <c r="J2016" s="375"/>
      <c r="K2016" s="375"/>
      <c r="L2016" s="375"/>
      <c r="M2016" s="368"/>
      <c r="N2016" s="368"/>
      <c r="O2016" s="370"/>
      <c r="T2016" s="340"/>
      <c r="V2016" s="378"/>
      <c r="W2016" s="64" ph="1"/>
      <c r="X2016" s="241"/>
      <c r="Y2016" s="284"/>
      <c r="Z2016" s="207"/>
      <c r="AA2016" s="284"/>
      <c r="AB2016" s="284"/>
      <c r="AC2016" s="284"/>
      <c r="AD2016" s="284"/>
      <c r="AE2016" s="284"/>
      <c r="AF2016" s="284"/>
      <c r="AG2016" s="284"/>
    </row>
    <row r="2017" spans="1:33" ht="26.4">
      <c r="A2017" s="284"/>
      <c r="B2017" s="284"/>
      <c r="C2017" s="284"/>
      <c r="D2017" s="284"/>
      <c r="E2017" s="284"/>
      <c r="F2017" s="284"/>
      <c r="G2017" s="284"/>
      <c r="H2017" s="284"/>
      <c r="I2017" s="284"/>
      <c r="J2017" s="375"/>
      <c r="K2017" s="375"/>
      <c r="L2017" s="375"/>
      <c r="M2017" s="368"/>
      <c r="N2017" s="368"/>
      <c r="O2017" s="370"/>
      <c r="T2017" s="340"/>
      <c r="V2017" s="378"/>
      <c r="W2017" s="64" ph="1"/>
      <c r="X2017" s="241"/>
      <c r="Y2017" s="284"/>
      <c r="Z2017" s="207"/>
      <c r="AA2017" s="284"/>
      <c r="AB2017" s="284"/>
      <c r="AC2017" s="284"/>
      <c r="AD2017" s="284"/>
      <c r="AE2017" s="284"/>
      <c r="AF2017" s="284"/>
      <c r="AG2017" s="284"/>
    </row>
    <row r="2018" spans="1:33" ht="26.4">
      <c r="A2018" s="284"/>
      <c r="B2018" s="284"/>
      <c r="C2018" s="284"/>
      <c r="D2018" s="284"/>
      <c r="E2018" s="284"/>
      <c r="F2018" s="284"/>
      <c r="G2018" s="284"/>
      <c r="H2018" s="284"/>
      <c r="I2018" s="284"/>
      <c r="J2018" s="375"/>
      <c r="K2018" s="375"/>
      <c r="L2018" s="375"/>
      <c r="M2018" s="368"/>
      <c r="N2018" s="368"/>
      <c r="O2018" s="370"/>
      <c r="T2018" s="340"/>
      <c r="V2018" s="378"/>
      <c r="W2018" s="64" ph="1"/>
      <c r="X2018" s="241"/>
      <c r="Y2018" s="284"/>
      <c r="Z2018" s="207"/>
      <c r="AA2018" s="284"/>
      <c r="AB2018" s="284"/>
      <c r="AC2018" s="284"/>
      <c r="AD2018" s="284"/>
      <c r="AE2018" s="284"/>
      <c r="AF2018" s="284"/>
      <c r="AG2018" s="284"/>
    </row>
    <row r="2019" spans="1:33" ht="26.4">
      <c r="A2019" s="284"/>
      <c r="B2019" s="284"/>
      <c r="C2019" s="284"/>
      <c r="D2019" s="284"/>
      <c r="E2019" s="284"/>
      <c r="F2019" s="284"/>
      <c r="G2019" s="284"/>
      <c r="H2019" s="284"/>
      <c r="I2019" s="284"/>
      <c r="J2019" s="375"/>
      <c r="K2019" s="375"/>
      <c r="L2019" s="375"/>
      <c r="M2019" s="368"/>
      <c r="N2019" s="368"/>
      <c r="O2019" s="370"/>
      <c r="T2019" s="340"/>
      <c r="V2019" s="378"/>
      <c r="W2019" s="64" ph="1"/>
      <c r="X2019" s="241"/>
      <c r="Y2019" s="284"/>
      <c r="Z2019" s="207"/>
      <c r="AA2019" s="284"/>
      <c r="AB2019" s="284"/>
      <c r="AC2019" s="284"/>
      <c r="AD2019" s="284"/>
      <c r="AE2019" s="284"/>
      <c r="AF2019" s="284"/>
      <c r="AG2019" s="284"/>
    </row>
    <row r="2020" spans="1:33" ht="26.4">
      <c r="A2020" s="284"/>
      <c r="B2020" s="284"/>
      <c r="C2020" s="284"/>
      <c r="D2020" s="284"/>
      <c r="E2020" s="284"/>
      <c r="F2020" s="284"/>
      <c r="G2020" s="284"/>
      <c r="H2020" s="284"/>
      <c r="I2020" s="284"/>
      <c r="J2020" s="375"/>
      <c r="K2020" s="375"/>
      <c r="L2020" s="375"/>
      <c r="M2020" s="368"/>
      <c r="N2020" s="368"/>
      <c r="O2020" s="370"/>
      <c r="T2020" s="340"/>
      <c r="V2020" s="378"/>
      <c r="W2020" s="64" ph="1"/>
      <c r="X2020" s="241"/>
      <c r="Y2020" s="284"/>
      <c r="Z2020" s="207"/>
      <c r="AA2020" s="284"/>
      <c r="AB2020" s="284"/>
      <c r="AC2020" s="284"/>
      <c r="AD2020" s="284"/>
      <c r="AE2020" s="284"/>
      <c r="AF2020" s="284"/>
      <c r="AG2020" s="284"/>
    </row>
    <row r="2021" spans="1:33" ht="26.4">
      <c r="A2021" s="284"/>
      <c r="B2021" s="284"/>
      <c r="C2021" s="284"/>
      <c r="D2021" s="284"/>
      <c r="E2021" s="284"/>
      <c r="F2021" s="284"/>
      <c r="G2021" s="284"/>
      <c r="H2021" s="284"/>
      <c r="I2021" s="284"/>
      <c r="J2021" s="375"/>
      <c r="K2021" s="375"/>
      <c r="L2021" s="375"/>
      <c r="M2021" s="368"/>
      <c r="N2021" s="368"/>
      <c r="O2021" s="370"/>
      <c r="T2021" s="340"/>
      <c r="V2021" s="378"/>
      <c r="W2021" s="64" ph="1"/>
      <c r="X2021" s="241"/>
      <c r="Y2021" s="284"/>
      <c r="Z2021" s="207"/>
      <c r="AA2021" s="284"/>
      <c r="AB2021" s="284"/>
      <c r="AC2021" s="284"/>
      <c r="AD2021" s="284"/>
      <c r="AE2021" s="284"/>
      <c r="AF2021" s="284"/>
      <c r="AG2021" s="284"/>
    </row>
    <row r="2022" spans="1:33" ht="26.4">
      <c r="A2022" s="284"/>
      <c r="B2022" s="284"/>
      <c r="C2022" s="284"/>
      <c r="D2022" s="284"/>
      <c r="E2022" s="284"/>
      <c r="F2022" s="284"/>
      <c r="G2022" s="284"/>
      <c r="H2022" s="284"/>
      <c r="I2022" s="284"/>
      <c r="J2022" s="375"/>
      <c r="K2022" s="375"/>
      <c r="L2022" s="375"/>
      <c r="M2022" s="368"/>
      <c r="N2022" s="368"/>
      <c r="O2022" s="370"/>
      <c r="T2022" s="340"/>
      <c r="V2022" s="378"/>
      <c r="W2022" s="64" ph="1"/>
      <c r="X2022" s="241"/>
      <c r="Y2022" s="284"/>
      <c r="Z2022" s="207"/>
      <c r="AA2022" s="284"/>
      <c r="AB2022" s="284"/>
      <c r="AC2022" s="284"/>
      <c r="AD2022" s="284"/>
      <c r="AE2022" s="284"/>
      <c r="AF2022" s="284"/>
      <c r="AG2022" s="284"/>
    </row>
    <row r="2023" spans="1:33" ht="26.4">
      <c r="A2023" s="284"/>
      <c r="B2023" s="284"/>
      <c r="C2023" s="284"/>
      <c r="D2023" s="284"/>
      <c r="E2023" s="284"/>
      <c r="F2023" s="284"/>
      <c r="G2023" s="284"/>
      <c r="H2023" s="284"/>
      <c r="I2023" s="284"/>
      <c r="J2023" s="375"/>
      <c r="K2023" s="375"/>
      <c r="L2023" s="375"/>
      <c r="M2023" s="368"/>
      <c r="N2023" s="368"/>
      <c r="O2023" s="370"/>
      <c r="T2023" s="340"/>
      <c r="V2023" s="378"/>
      <c r="W2023" s="64" ph="1"/>
      <c r="X2023" s="241"/>
      <c r="Y2023" s="284"/>
      <c r="Z2023" s="207"/>
      <c r="AA2023" s="284"/>
      <c r="AB2023" s="284"/>
      <c r="AC2023" s="284"/>
      <c r="AD2023" s="284"/>
      <c r="AE2023" s="284"/>
      <c r="AF2023" s="284"/>
      <c r="AG2023" s="284"/>
    </row>
    <row r="2024" spans="1:33" ht="26.4">
      <c r="A2024" s="284"/>
      <c r="B2024" s="284"/>
      <c r="C2024" s="284"/>
      <c r="D2024" s="284"/>
      <c r="E2024" s="284"/>
      <c r="F2024" s="284"/>
      <c r="G2024" s="284"/>
      <c r="H2024" s="284"/>
      <c r="I2024" s="284"/>
      <c r="J2024" s="375"/>
      <c r="K2024" s="375"/>
      <c r="L2024" s="375"/>
      <c r="M2024" s="368"/>
      <c r="N2024" s="368"/>
      <c r="O2024" s="370"/>
      <c r="T2024" s="340"/>
      <c r="V2024" s="378"/>
      <c r="W2024" s="64" ph="1"/>
      <c r="X2024" s="241"/>
      <c r="Y2024" s="284"/>
      <c r="Z2024" s="207"/>
      <c r="AA2024" s="284"/>
      <c r="AB2024" s="284"/>
      <c r="AC2024" s="284"/>
      <c r="AD2024" s="284"/>
      <c r="AE2024" s="284"/>
      <c r="AF2024" s="284"/>
      <c r="AG2024" s="284"/>
    </row>
    <row r="2025" spans="1:33" ht="26.4">
      <c r="A2025" s="284"/>
      <c r="B2025" s="284"/>
      <c r="C2025" s="284"/>
      <c r="D2025" s="284"/>
      <c r="E2025" s="284"/>
      <c r="F2025" s="284"/>
      <c r="G2025" s="284"/>
      <c r="H2025" s="284"/>
      <c r="I2025" s="284"/>
      <c r="J2025" s="375"/>
      <c r="K2025" s="375"/>
      <c r="L2025" s="375"/>
      <c r="M2025" s="368"/>
      <c r="N2025" s="368"/>
      <c r="O2025" s="370"/>
      <c r="T2025" s="340"/>
      <c r="V2025" s="378"/>
      <c r="W2025" s="64" ph="1"/>
      <c r="X2025" s="241"/>
      <c r="Y2025" s="284"/>
      <c r="Z2025" s="207"/>
      <c r="AA2025" s="284"/>
      <c r="AB2025" s="284"/>
      <c r="AC2025" s="284"/>
      <c r="AD2025" s="284"/>
      <c r="AE2025" s="284"/>
      <c r="AF2025" s="284"/>
      <c r="AG2025" s="284"/>
    </row>
    <row r="2026" spans="1:33" ht="26.4">
      <c r="A2026" s="284"/>
      <c r="B2026" s="284"/>
      <c r="C2026" s="284"/>
      <c r="D2026" s="284"/>
      <c r="E2026" s="284"/>
      <c r="F2026" s="284"/>
      <c r="G2026" s="284"/>
      <c r="H2026" s="284"/>
      <c r="I2026" s="284"/>
      <c r="J2026" s="375"/>
      <c r="K2026" s="375"/>
      <c r="L2026" s="375"/>
      <c r="M2026" s="368"/>
      <c r="N2026" s="368"/>
      <c r="O2026" s="370"/>
      <c r="T2026" s="340"/>
      <c r="V2026" s="378"/>
      <c r="W2026" s="64" ph="1"/>
      <c r="X2026" s="241"/>
      <c r="Y2026" s="284"/>
      <c r="Z2026" s="207"/>
      <c r="AA2026" s="284"/>
      <c r="AB2026" s="284"/>
      <c r="AC2026" s="284"/>
      <c r="AD2026" s="284"/>
      <c r="AE2026" s="284"/>
      <c r="AF2026" s="284"/>
      <c r="AG2026" s="284"/>
    </row>
    <row r="2027" spans="1:33" ht="26.4">
      <c r="A2027" s="284"/>
      <c r="B2027" s="284"/>
      <c r="C2027" s="284"/>
      <c r="D2027" s="284"/>
      <c r="E2027" s="284"/>
      <c r="F2027" s="284"/>
      <c r="G2027" s="284"/>
      <c r="H2027" s="284"/>
      <c r="I2027" s="284"/>
      <c r="J2027" s="375"/>
      <c r="K2027" s="375"/>
      <c r="L2027" s="375"/>
      <c r="M2027" s="368"/>
      <c r="N2027" s="368"/>
      <c r="O2027" s="370"/>
      <c r="T2027" s="340"/>
      <c r="V2027" s="378"/>
      <c r="W2027" s="64" ph="1"/>
      <c r="X2027" s="241"/>
      <c r="Y2027" s="284"/>
      <c r="Z2027" s="207"/>
      <c r="AA2027" s="284"/>
      <c r="AB2027" s="284"/>
      <c r="AC2027" s="284"/>
      <c r="AD2027" s="284"/>
      <c r="AE2027" s="284"/>
      <c r="AF2027" s="284"/>
      <c r="AG2027" s="284"/>
    </row>
    <row r="2028" spans="1:33" ht="26.4">
      <c r="A2028" s="284"/>
      <c r="B2028" s="284"/>
      <c r="C2028" s="284"/>
      <c r="D2028" s="284"/>
      <c r="E2028" s="284"/>
      <c r="F2028" s="284"/>
      <c r="G2028" s="284"/>
      <c r="H2028" s="284"/>
      <c r="I2028" s="284"/>
      <c r="J2028" s="375"/>
      <c r="K2028" s="375"/>
      <c r="L2028" s="375"/>
      <c r="M2028" s="368"/>
      <c r="N2028" s="368"/>
      <c r="O2028" s="370"/>
      <c r="T2028" s="340"/>
      <c r="V2028" s="378"/>
      <c r="W2028" s="64" ph="1"/>
      <c r="X2028" s="241"/>
      <c r="Y2028" s="284"/>
      <c r="Z2028" s="207"/>
      <c r="AA2028" s="284"/>
      <c r="AB2028" s="284"/>
      <c r="AC2028" s="284"/>
      <c r="AD2028" s="284"/>
      <c r="AE2028" s="284"/>
      <c r="AF2028" s="284"/>
      <c r="AG2028" s="284"/>
    </row>
    <row r="2029" spans="1:33" ht="26.4">
      <c r="A2029" s="284"/>
      <c r="B2029" s="284"/>
      <c r="C2029" s="284"/>
      <c r="D2029" s="284"/>
      <c r="E2029" s="284"/>
      <c r="F2029" s="284"/>
      <c r="G2029" s="284"/>
      <c r="H2029" s="284"/>
      <c r="I2029" s="284"/>
      <c r="J2029" s="375"/>
      <c r="K2029" s="375"/>
      <c r="L2029" s="375"/>
      <c r="M2029" s="368"/>
      <c r="N2029" s="368"/>
      <c r="O2029" s="370"/>
      <c r="T2029" s="340"/>
      <c r="V2029" s="378"/>
      <c r="W2029" s="64" ph="1"/>
      <c r="X2029" s="241"/>
      <c r="Y2029" s="284"/>
      <c r="Z2029" s="207"/>
      <c r="AA2029" s="284"/>
      <c r="AB2029" s="284"/>
      <c r="AC2029" s="284"/>
      <c r="AD2029" s="284"/>
      <c r="AE2029" s="284"/>
      <c r="AF2029" s="284"/>
      <c r="AG2029" s="284"/>
    </row>
    <row r="2030" spans="1:33" ht="26.4">
      <c r="A2030" s="284"/>
      <c r="B2030" s="284"/>
      <c r="C2030" s="284"/>
      <c r="D2030" s="284"/>
      <c r="E2030" s="284"/>
      <c r="F2030" s="284"/>
      <c r="G2030" s="284"/>
      <c r="H2030" s="284"/>
      <c r="I2030" s="284"/>
      <c r="J2030" s="375"/>
      <c r="K2030" s="375"/>
      <c r="L2030" s="375"/>
      <c r="M2030" s="368"/>
      <c r="N2030" s="368"/>
      <c r="O2030" s="370"/>
      <c r="T2030" s="340"/>
      <c r="V2030" s="378"/>
      <c r="W2030" s="64" ph="1"/>
      <c r="X2030" s="241"/>
      <c r="Y2030" s="284"/>
      <c r="Z2030" s="207"/>
      <c r="AA2030" s="284"/>
      <c r="AB2030" s="284"/>
      <c r="AC2030" s="284"/>
      <c r="AD2030" s="284"/>
      <c r="AE2030" s="284"/>
      <c r="AF2030" s="284"/>
      <c r="AG2030" s="284"/>
    </row>
    <row r="2031" spans="1:33" ht="26.4">
      <c r="A2031" s="284"/>
      <c r="B2031" s="284"/>
      <c r="C2031" s="284"/>
      <c r="D2031" s="284"/>
      <c r="E2031" s="284"/>
      <c r="F2031" s="284"/>
      <c r="G2031" s="284"/>
      <c r="H2031" s="284"/>
      <c r="I2031" s="284"/>
      <c r="J2031" s="375"/>
      <c r="K2031" s="375"/>
      <c r="L2031" s="375"/>
      <c r="M2031" s="368"/>
      <c r="N2031" s="368"/>
      <c r="O2031" s="370"/>
      <c r="T2031" s="340"/>
      <c r="V2031" s="378"/>
      <c r="W2031" s="64" ph="1"/>
      <c r="X2031" s="241"/>
      <c r="Y2031" s="284"/>
      <c r="Z2031" s="207"/>
      <c r="AA2031" s="284"/>
      <c r="AB2031" s="284"/>
      <c r="AC2031" s="284"/>
      <c r="AD2031" s="284"/>
      <c r="AE2031" s="284"/>
      <c r="AF2031" s="284"/>
      <c r="AG2031" s="284"/>
    </row>
    <row r="2032" spans="1:33" ht="26.4">
      <c r="A2032" s="284"/>
      <c r="B2032" s="284"/>
      <c r="C2032" s="284"/>
      <c r="D2032" s="284"/>
      <c r="E2032" s="284"/>
      <c r="F2032" s="284"/>
      <c r="G2032" s="284"/>
      <c r="H2032" s="284"/>
      <c r="I2032" s="284"/>
      <c r="J2032" s="375"/>
      <c r="K2032" s="375"/>
      <c r="L2032" s="375"/>
      <c r="M2032" s="368"/>
      <c r="N2032" s="368"/>
      <c r="O2032" s="370"/>
      <c r="T2032" s="340"/>
      <c r="V2032" s="378"/>
      <c r="W2032" s="64" ph="1"/>
      <c r="X2032" s="241"/>
      <c r="Y2032" s="284"/>
      <c r="Z2032" s="207"/>
      <c r="AA2032" s="284"/>
      <c r="AB2032" s="284"/>
      <c r="AC2032" s="284"/>
      <c r="AD2032" s="284"/>
      <c r="AE2032" s="284"/>
      <c r="AF2032" s="284"/>
      <c r="AG2032" s="284"/>
    </row>
    <row r="2033" spans="1:33" ht="26.4">
      <c r="A2033" s="284"/>
      <c r="B2033" s="284"/>
      <c r="C2033" s="284"/>
      <c r="D2033" s="284"/>
      <c r="E2033" s="284"/>
      <c r="F2033" s="284"/>
      <c r="G2033" s="284"/>
      <c r="H2033" s="284"/>
      <c r="I2033" s="284"/>
      <c r="J2033" s="375"/>
      <c r="K2033" s="375"/>
      <c r="L2033" s="375"/>
      <c r="M2033" s="368"/>
      <c r="N2033" s="368"/>
      <c r="O2033" s="370"/>
      <c r="T2033" s="340"/>
      <c r="V2033" s="378"/>
      <c r="W2033" s="64" ph="1"/>
      <c r="X2033" s="241"/>
      <c r="Y2033" s="284"/>
      <c r="Z2033" s="207"/>
      <c r="AA2033" s="284"/>
      <c r="AB2033" s="284"/>
      <c r="AC2033" s="284"/>
      <c r="AD2033" s="284"/>
      <c r="AE2033" s="284"/>
      <c r="AF2033" s="284"/>
      <c r="AG2033" s="284"/>
    </row>
    <row r="2034" spans="1:33" ht="26.4">
      <c r="A2034" s="284"/>
      <c r="B2034" s="284"/>
      <c r="C2034" s="284"/>
      <c r="D2034" s="284"/>
      <c r="E2034" s="284"/>
      <c r="F2034" s="284"/>
      <c r="G2034" s="284"/>
      <c r="H2034" s="284"/>
      <c r="I2034" s="284"/>
      <c r="J2034" s="375"/>
      <c r="K2034" s="375"/>
      <c r="L2034" s="375"/>
      <c r="M2034" s="368"/>
      <c r="N2034" s="368"/>
      <c r="O2034" s="370"/>
      <c r="T2034" s="340"/>
      <c r="V2034" s="378"/>
      <c r="W2034" s="64" ph="1"/>
      <c r="X2034" s="241"/>
      <c r="Y2034" s="284"/>
      <c r="Z2034" s="207"/>
      <c r="AA2034" s="284"/>
      <c r="AB2034" s="284"/>
      <c r="AC2034" s="284"/>
      <c r="AD2034" s="284"/>
      <c r="AE2034" s="284"/>
      <c r="AF2034" s="284"/>
      <c r="AG2034" s="284"/>
    </row>
    <row r="2035" spans="1:33" ht="26.4">
      <c r="A2035" s="284"/>
      <c r="B2035" s="284"/>
      <c r="C2035" s="284"/>
      <c r="D2035" s="284"/>
      <c r="E2035" s="284"/>
      <c r="F2035" s="284"/>
      <c r="G2035" s="284"/>
      <c r="H2035" s="284"/>
      <c r="I2035" s="284"/>
      <c r="J2035" s="375"/>
      <c r="K2035" s="375"/>
      <c r="L2035" s="375"/>
      <c r="M2035" s="368"/>
      <c r="N2035" s="368"/>
      <c r="O2035" s="370"/>
      <c r="T2035" s="340"/>
      <c r="V2035" s="378"/>
      <c r="W2035" s="64" ph="1"/>
      <c r="X2035" s="241"/>
      <c r="Y2035" s="284"/>
      <c r="Z2035" s="207"/>
      <c r="AA2035" s="284"/>
      <c r="AB2035" s="284"/>
      <c r="AC2035" s="284"/>
      <c r="AD2035" s="284"/>
      <c r="AE2035" s="284"/>
      <c r="AF2035" s="284"/>
      <c r="AG2035" s="284"/>
    </row>
    <row r="2036" spans="1:33" ht="26.4">
      <c r="A2036" s="284"/>
      <c r="B2036" s="284"/>
      <c r="C2036" s="284"/>
      <c r="D2036" s="284"/>
      <c r="E2036" s="284"/>
      <c r="F2036" s="284"/>
      <c r="G2036" s="284"/>
      <c r="H2036" s="284"/>
      <c r="I2036" s="284"/>
      <c r="J2036" s="375"/>
      <c r="K2036" s="375"/>
      <c r="L2036" s="375"/>
      <c r="M2036" s="368"/>
      <c r="N2036" s="368"/>
      <c r="O2036" s="370"/>
      <c r="T2036" s="340"/>
      <c r="V2036" s="378"/>
      <c r="W2036" s="64" ph="1"/>
      <c r="X2036" s="241"/>
      <c r="Y2036" s="284"/>
      <c r="Z2036" s="207"/>
      <c r="AA2036" s="284"/>
      <c r="AB2036" s="284"/>
      <c r="AC2036" s="284"/>
      <c r="AD2036" s="284"/>
      <c r="AE2036" s="284"/>
      <c r="AF2036" s="284"/>
      <c r="AG2036" s="284"/>
    </row>
    <row r="2037" spans="1:33" ht="26.4">
      <c r="A2037" s="284"/>
      <c r="B2037" s="284"/>
      <c r="C2037" s="284"/>
      <c r="D2037" s="284"/>
      <c r="E2037" s="284"/>
      <c r="F2037" s="284"/>
      <c r="G2037" s="284"/>
      <c r="H2037" s="284"/>
      <c r="I2037" s="284"/>
      <c r="J2037" s="375"/>
      <c r="K2037" s="375"/>
      <c r="L2037" s="375"/>
      <c r="M2037" s="368"/>
      <c r="N2037" s="368"/>
      <c r="O2037" s="370"/>
      <c r="T2037" s="340"/>
      <c r="V2037" s="378"/>
      <c r="W2037" s="64" ph="1"/>
      <c r="X2037" s="241"/>
      <c r="Y2037" s="284"/>
      <c r="Z2037" s="207"/>
      <c r="AA2037" s="284"/>
      <c r="AB2037" s="284"/>
      <c r="AC2037" s="284"/>
      <c r="AD2037" s="284"/>
      <c r="AE2037" s="284"/>
      <c r="AF2037" s="284"/>
      <c r="AG2037" s="284"/>
    </row>
    <row r="2038" spans="1:33" ht="26.4">
      <c r="A2038" s="284"/>
      <c r="B2038" s="284"/>
      <c r="C2038" s="284"/>
      <c r="D2038" s="284"/>
      <c r="E2038" s="284"/>
      <c r="F2038" s="284"/>
      <c r="G2038" s="284"/>
      <c r="H2038" s="284"/>
      <c r="I2038" s="284"/>
      <c r="J2038" s="375"/>
      <c r="K2038" s="375"/>
      <c r="L2038" s="375"/>
      <c r="M2038" s="368"/>
      <c r="N2038" s="368"/>
      <c r="O2038" s="370"/>
      <c r="T2038" s="340"/>
      <c r="V2038" s="378"/>
      <c r="W2038" s="64" ph="1"/>
      <c r="X2038" s="241"/>
      <c r="Y2038" s="284"/>
      <c r="Z2038" s="207"/>
      <c r="AA2038" s="284"/>
      <c r="AB2038" s="284"/>
      <c r="AC2038" s="284"/>
      <c r="AD2038" s="284"/>
      <c r="AE2038" s="284"/>
      <c r="AF2038" s="284"/>
      <c r="AG2038" s="284"/>
    </row>
    <row r="2039" spans="1:33" ht="26.4">
      <c r="A2039" s="284"/>
      <c r="B2039" s="284"/>
      <c r="C2039" s="284"/>
      <c r="D2039" s="284"/>
      <c r="E2039" s="284"/>
      <c r="F2039" s="284"/>
      <c r="G2039" s="284"/>
      <c r="H2039" s="284"/>
      <c r="I2039" s="284"/>
      <c r="J2039" s="375"/>
      <c r="K2039" s="375"/>
      <c r="L2039" s="375"/>
      <c r="M2039" s="368"/>
      <c r="N2039" s="368"/>
      <c r="O2039" s="370"/>
      <c r="T2039" s="340"/>
      <c r="V2039" s="378"/>
      <c r="W2039" s="64" ph="1"/>
      <c r="X2039" s="241"/>
      <c r="Y2039" s="284"/>
      <c r="Z2039" s="207"/>
      <c r="AA2039" s="284"/>
      <c r="AB2039" s="284"/>
      <c r="AC2039" s="284"/>
      <c r="AD2039" s="284"/>
      <c r="AE2039" s="284"/>
      <c r="AF2039" s="284"/>
      <c r="AG2039" s="284"/>
    </row>
    <row r="2040" spans="1:33" ht="26.4">
      <c r="A2040" s="284"/>
      <c r="B2040" s="284"/>
      <c r="C2040" s="284"/>
      <c r="D2040" s="284"/>
      <c r="E2040" s="284"/>
      <c r="F2040" s="284"/>
      <c r="G2040" s="284"/>
      <c r="H2040" s="284"/>
      <c r="I2040" s="284"/>
      <c r="J2040" s="375"/>
      <c r="K2040" s="375"/>
      <c r="L2040" s="375"/>
      <c r="M2040" s="368"/>
      <c r="N2040" s="368"/>
      <c r="O2040" s="370"/>
      <c r="T2040" s="340"/>
      <c r="V2040" s="378"/>
      <c r="W2040" s="64" ph="1"/>
      <c r="X2040" s="241"/>
      <c r="Y2040" s="284"/>
      <c r="Z2040" s="207"/>
      <c r="AA2040" s="284"/>
      <c r="AB2040" s="284"/>
      <c r="AC2040" s="284"/>
      <c r="AD2040" s="284"/>
      <c r="AE2040" s="284"/>
      <c r="AF2040" s="284"/>
      <c r="AG2040" s="284"/>
    </row>
    <row r="2041" spans="1:33" ht="26.4">
      <c r="A2041" s="284"/>
      <c r="B2041" s="284"/>
      <c r="C2041" s="284"/>
      <c r="D2041" s="284"/>
      <c r="E2041" s="284"/>
      <c r="F2041" s="284"/>
      <c r="G2041" s="284"/>
      <c r="H2041" s="284"/>
      <c r="I2041" s="284"/>
      <c r="J2041" s="375"/>
      <c r="K2041" s="375"/>
      <c r="L2041" s="375"/>
      <c r="M2041" s="368"/>
      <c r="N2041" s="368"/>
      <c r="O2041" s="370"/>
      <c r="T2041" s="340"/>
      <c r="V2041" s="378"/>
      <c r="W2041" s="64" ph="1"/>
      <c r="X2041" s="241"/>
      <c r="Y2041" s="284"/>
      <c r="Z2041" s="207"/>
      <c r="AA2041" s="284"/>
      <c r="AB2041" s="284"/>
      <c r="AC2041" s="284"/>
      <c r="AD2041" s="284"/>
      <c r="AE2041" s="284"/>
      <c r="AF2041" s="284"/>
      <c r="AG2041" s="284"/>
    </row>
    <row r="2042" spans="1:33" ht="26.4">
      <c r="A2042" s="284"/>
      <c r="B2042" s="284"/>
      <c r="C2042" s="284"/>
      <c r="D2042" s="284"/>
      <c r="E2042" s="284"/>
      <c r="F2042" s="284"/>
      <c r="G2042" s="284"/>
      <c r="H2042" s="284"/>
      <c r="I2042" s="284"/>
      <c r="J2042" s="375"/>
      <c r="K2042" s="375"/>
      <c r="L2042" s="375"/>
      <c r="M2042" s="368"/>
      <c r="N2042" s="368"/>
      <c r="O2042" s="370"/>
      <c r="T2042" s="340"/>
      <c r="V2042" s="378"/>
      <c r="W2042" s="64" ph="1"/>
      <c r="X2042" s="241"/>
      <c r="Y2042" s="284"/>
      <c r="Z2042" s="207"/>
      <c r="AA2042" s="284"/>
      <c r="AB2042" s="284"/>
      <c r="AC2042" s="284"/>
      <c r="AD2042" s="284"/>
      <c r="AE2042" s="284"/>
      <c r="AF2042" s="284"/>
      <c r="AG2042" s="284"/>
    </row>
    <row r="2043" spans="1:33" ht="26.4">
      <c r="A2043" s="284"/>
      <c r="B2043" s="284"/>
      <c r="C2043" s="284"/>
      <c r="D2043" s="284"/>
      <c r="E2043" s="284"/>
      <c r="F2043" s="284"/>
      <c r="G2043" s="284"/>
      <c r="H2043" s="284"/>
      <c r="I2043" s="284"/>
      <c r="J2043" s="375"/>
      <c r="K2043" s="375"/>
      <c r="L2043" s="375"/>
      <c r="M2043" s="368"/>
      <c r="N2043" s="368"/>
      <c r="O2043" s="370"/>
      <c r="T2043" s="340"/>
      <c r="V2043" s="378"/>
      <c r="W2043" s="64" ph="1"/>
      <c r="X2043" s="241"/>
      <c r="Y2043" s="284"/>
      <c r="Z2043" s="207"/>
      <c r="AA2043" s="284"/>
      <c r="AB2043" s="284"/>
      <c r="AC2043" s="284"/>
      <c r="AD2043" s="284"/>
      <c r="AE2043" s="284"/>
      <c r="AF2043" s="284"/>
      <c r="AG2043" s="284"/>
    </row>
    <row r="2044" spans="1:33" ht="26.4">
      <c r="A2044" s="284"/>
      <c r="B2044" s="284"/>
      <c r="C2044" s="284"/>
      <c r="D2044" s="284"/>
      <c r="E2044" s="284"/>
      <c r="F2044" s="284"/>
      <c r="G2044" s="284"/>
      <c r="H2044" s="284"/>
      <c r="I2044" s="284"/>
      <c r="J2044" s="375"/>
      <c r="K2044" s="375"/>
      <c r="L2044" s="375"/>
      <c r="M2044" s="368"/>
      <c r="N2044" s="368"/>
      <c r="O2044" s="370"/>
      <c r="T2044" s="340"/>
      <c r="V2044" s="378"/>
      <c r="W2044" s="64" ph="1"/>
      <c r="X2044" s="241"/>
      <c r="Y2044" s="284"/>
      <c r="Z2044" s="207"/>
      <c r="AA2044" s="284"/>
      <c r="AB2044" s="284"/>
      <c r="AC2044" s="284"/>
      <c r="AD2044" s="284"/>
      <c r="AE2044" s="284"/>
      <c r="AF2044" s="284"/>
      <c r="AG2044" s="284"/>
    </row>
    <row r="2045" spans="1:33" ht="26.4">
      <c r="A2045" s="284"/>
      <c r="B2045" s="284"/>
      <c r="C2045" s="284"/>
      <c r="D2045" s="284"/>
      <c r="E2045" s="284"/>
      <c r="F2045" s="284"/>
      <c r="G2045" s="284"/>
      <c r="H2045" s="284"/>
      <c r="I2045" s="284"/>
      <c r="J2045" s="375"/>
      <c r="K2045" s="375"/>
      <c r="L2045" s="375"/>
      <c r="M2045" s="368"/>
      <c r="N2045" s="368"/>
      <c r="O2045" s="370"/>
      <c r="T2045" s="340"/>
      <c r="V2045" s="378"/>
      <c r="W2045" s="64" ph="1"/>
      <c r="X2045" s="241"/>
      <c r="Y2045" s="284"/>
      <c r="Z2045" s="207"/>
      <c r="AA2045" s="284"/>
      <c r="AB2045" s="284"/>
      <c r="AC2045" s="284"/>
      <c r="AD2045" s="284"/>
      <c r="AE2045" s="284"/>
      <c r="AF2045" s="284"/>
      <c r="AG2045" s="284"/>
    </row>
    <row r="2046" spans="1:33" ht="26.4">
      <c r="A2046" s="284"/>
      <c r="B2046" s="284"/>
      <c r="C2046" s="284"/>
      <c r="D2046" s="284"/>
      <c r="E2046" s="284"/>
      <c r="F2046" s="284"/>
      <c r="G2046" s="284"/>
      <c r="H2046" s="284"/>
      <c r="I2046" s="284"/>
      <c r="J2046" s="375"/>
      <c r="K2046" s="375"/>
      <c r="L2046" s="375"/>
      <c r="M2046" s="368"/>
      <c r="N2046" s="368"/>
      <c r="O2046" s="370"/>
      <c r="T2046" s="340"/>
      <c r="V2046" s="378"/>
      <c r="W2046" s="64" ph="1"/>
      <c r="X2046" s="241"/>
      <c r="Y2046" s="284"/>
      <c r="Z2046" s="207"/>
      <c r="AA2046" s="284"/>
      <c r="AB2046" s="284"/>
      <c r="AC2046" s="284"/>
      <c r="AD2046" s="284"/>
      <c r="AE2046" s="284"/>
      <c r="AF2046" s="284"/>
      <c r="AG2046" s="284"/>
    </row>
    <row r="2047" spans="1:33" ht="26.4">
      <c r="A2047" s="284"/>
      <c r="B2047" s="284"/>
      <c r="C2047" s="284"/>
      <c r="D2047" s="284"/>
      <c r="E2047" s="284"/>
      <c r="F2047" s="284"/>
      <c r="G2047" s="284"/>
      <c r="H2047" s="284"/>
      <c r="I2047" s="284"/>
      <c r="J2047" s="375"/>
      <c r="K2047" s="375"/>
      <c r="L2047" s="375"/>
      <c r="M2047" s="368"/>
      <c r="N2047" s="368"/>
      <c r="O2047" s="370"/>
      <c r="T2047" s="340"/>
      <c r="V2047" s="378"/>
      <c r="W2047" s="64" ph="1"/>
      <c r="X2047" s="241"/>
      <c r="Y2047" s="284"/>
      <c r="Z2047" s="207"/>
      <c r="AA2047" s="284"/>
      <c r="AB2047" s="284"/>
      <c r="AC2047" s="284"/>
      <c r="AD2047" s="284"/>
      <c r="AE2047" s="284"/>
      <c r="AF2047" s="284"/>
      <c r="AG2047" s="284"/>
    </row>
    <row r="2048" spans="1:33" ht="26.4">
      <c r="A2048" s="284"/>
      <c r="B2048" s="284"/>
      <c r="C2048" s="284"/>
      <c r="D2048" s="284"/>
      <c r="E2048" s="284"/>
      <c r="F2048" s="284"/>
      <c r="G2048" s="284"/>
      <c r="H2048" s="284"/>
      <c r="I2048" s="284"/>
      <c r="J2048" s="375"/>
      <c r="K2048" s="375"/>
      <c r="L2048" s="375"/>
      <c r="M2048" s="368"/>
      <c r="N2048" s="368"/>
      <c r="O2048" s="370"/>
      <c r="T2048" s="340"/>
      <c r="V2048" s="378"/>
      <c r="W2048" s="64" ph="1"/>
      <c r="X2048" s="241"/>
      <c r="Y2048" s="284"/>
      <c r="Z2048" s="207"/>
      <c r="AA2048" s="284"/>
      <c r="AB2048" s="284"/>
      <c r="AC2048" s="284"/>
      <c r="AD2048" s="284"/>
      <c r="AE2048" s="284"/>
      <c r="AF2048" s="284"/>
      <c r="AG2048" s="284"/>
    </row>
    <row r="2049" spans="1:33" ht="26.4">
      <c r="A2049" s="284"/>
      <c r="B2049" s="284"/>
      <c r="C2049" s="284"/>
      <c r="D2049" s="284"/>
      <c r="E2049" s="284"/>
      <c r="F2049" s="284"/>
      <c r="G2049" s="284"/>
      <c r="H2049" s="284"/>
      <c r="I2049" s="284"/>
      <c r="J2049" s="375"/>
      <c r="K2049" s="375"/>
      <c r="L2049" s="375"/>
      <c r="M2049" s="368"/>
      <c r="N2049" s="368"/>
      <c r="O2049" s="370"/>
      <c r="T2049" s="340"/>
      <c r="V2049" s="378"/>
      <c r="W2049" s="64" ph="1"/>
      <c r="X2049" s="241"/>
      <c r="Y2049" s="284"/>
      <c r="Z2049" s="207"/>
      <c r="AA2049" s="284"/>
      <c r="AB2049" s="284"/>
      <c r="AC2049" s="284"/>
      <c r="AD2049" s="284"/>
      <c r="AE2049" s="284"/>
      <c r="AF2049" s="284"/>
      <c r="AG2049" s="284"/>
    </row>
    <row r="2050" spans="1:33" ht="26.4">
      <c r="A2050" s="284"/>
      <c r="B2050" s="284"/>
      <c r="C2050" s="284"/>
      <c r="D2050" s="284"/>
      <c r="E2050" s="284"/>
      <c r="F2050" s="284"/>
      <c r="G2050" s="284"/>
      <c r="H2050" s="284"/>
      <c r="I2050" s="284"/>
      <c r="J2050" s="375"/>
      <c r="K2050" s="375"/>
      <c r="L2050" s="375"/>
      <c r="M2050" s="368"/>
      <c r="N2050" s="368"/>
      <c r="O2050" s="370"/>
      <c r="T2050" s="340"/>
      <c r="V2050" s="378"/>
      <c r="W2050" s="64" ph="1"/>
      <c r="X2050" s="241"/>
      <c r="Y2050" s="284"/>
      <c r="Z2050" s="207"/>
      <c r="AA2050" s="284"/>
      <c r="AB2050" s="284"/>
      <c r="AC2050" s="284"/>
      <c r="AD2050" s="284"/>
      <c r="AE2050" s="284"/>
      <c r="AF2050" s="284"/>
      <c r="AG2050" s="284"/>
    </row>
    <row r="2051" spans="1:33" ht="26.4">
      <c r="A2051" s="284"/>
      <c r="B2051" s="284"/>
      <c r="C2051" s="284"/>
      <c r="D2051" s="284"/>
      <c r="E2051" s="284"/>
      <c r="F2051" s="284"/>
      <c r="G2051" s="284"/>
      <c r="H2051" s="284"/>
      <c r="I2051" s="284"/>
      <c r="J2051" s="375"/>
      <c r="K2051" s="375"/>
      <c r="L2051" s="375"/>
      <c r="M2051" s="368"/>
      <c r="N2051" s="368"/>
      <c r="O2051" s="370"/>
      <c r="T2051" s="340"/>
      <c r="V2051" s="378"/>
      <c r="W2051" s="64" ph="1"/>
      <c r="X2051" s="241"/>
      <c r="Y2051" s="284"/>
      <c r="Z2051" s="207"/>
      <c r="AA2051" s="284"/>
      <c r="AB2051" s="284"/>
      <c r="AC2051" s="284"/>
      <c r="AD2051" s="284"/>
      <c r="AE2051" s="284"/>
      <c r="AF2051" s="284"/>
      <c r="AG2051" s="284"/>
    </row>
    <row r="2052" spans="1:33" ht="26.4">
      <c r="A2052" s="284"/>
      <c r="B2052" s="284"/>
      <c r="C2052" s="284"/>
      <c r="D2052" s="284"/>
      <c r="E2052" s="284"/>
      <c r="F2052" s="284"/>
      <c r="G2052" s="284"/>
      <c r="H2052" s="284"/>
      <c r="I2052" s="284"/>
      <c r="J2052" s="375"/>
      <c r="K2052" s="375"/>
      <c r="L2052" s="375"/>
      <c r="M2052" s="368"/>
      <c r="N2052" s="368"/>
      <c r="O2052" s="370"/>
      <c r="T2052" s="340"/>
      <c r="V2052" s="378"/>
      <c r="W2052" s="64" ph="1"/>
      <c r="X2052" s="241"/>
      <c r="Y2052" s="284"/>
      <c r="Z2052" s="207"/>
      <c r="AA2052" s="284"/>
      <c r="AB2052" s="284"/>
      <c r="AC2052" s="284"/>
      <c r="AD2052" s="284"/>
      <c r="AE2052" s="284"/>
      <c r="AF2052" s="284"/>
      <c r="AG2052" s="284"/>
    </row>
    <row r="2053" spans="1:33" ht="26.4">
      <c r="A2053" s="284"/>
      <c r="B2053" s="284"/>
      <c r="C2053" s="284"/>
      <c r="D2053" s="284"/>
      <c r="E2053" s="284"/>
      <c r="F2053" s="284"/>
      <c r="G2053" s="284"/>
      <c r="H2053" s="284"/>
      <c r="I2053" s="284"/>
      <c r="J2053" s="375"/>
      <c r="K2053" s="375"/>
      <c r="L2053" s="375"/>
      <c r="M2053" s="368"/>
      <c r="N2053" s="368"/>
      <c r="O2053" s="370"/>
      <c r="T2053" s="340"/>
      <c r="V2053" s="378"/>
      <c r="W2053" s="64" ph="1"/>
      <c r="X2053" s="241"/>
      <c r="Y2053" s="284"/>
      <c r="Z2053" s="207"/>
      <c r="AA2053" s="284"/>
      <c r="AB2053" s="284"/>
      <c r="AC2053" s="284"/>
      <c r="AD2053" s="284"/>
      <c r="AE2053" s="284"/>
      <c r="AF2053" s="284"/>
      <c r="AG2053" s="284"/>
    </row>
    <row r="2054" spans="1:33" ht="26.4">
      <c r="A2054" s="284"/>
      <c r="B2054" s="284"/>
      <c r="C2054" s="284"/>
      <c r="D2054" s="284"/>
      <c r="E2054" s="284"/>
      <c r="F2054" s="284"/>
      <c r="G2054" s="284"/>
      <c r="H2054" s="284"/>
      <c r="I2054" s="284"/>
      <c r="J2054" s="375"/>
      <c r="K2054" s="375"/>
      <c r="L2054" s="375"/>
      <c r="M2054" s="368"/>
      <c r="N2054" s="368"/>
      <c r="O2054" s="370"/>
      <c r="T2054" s="340"/>
      <c r="V2054" s="378"/>
      <c r="W2054" s="64" ph="1"/>
      <c r="X2054" s="241"/>
      <c r="Y2054" s="284"/>
      <c r="Z2054" s="207"/>
      <c r="AA2054" s="284"/>
      <c r="AB2054" s="284"/>
      <c r="AC2054" s="284"/>
      <c r="AD2054" s="284"/>
      <c r="AE2054" s="284"/>
      <c r="AF2054" s="284"/>
      <c r="AG2054" s="284"/>
    </row>
    <row r="2055" spans="1:33" ht="26.4">
      <c r="A2055" s="284"/>
      <c r="B2055" s="284"/>
      <c r="C2055" s="284"/>
      <c r="D2055" s="284"/>
      <c r="E2055" s="284"/>
      <c r="F2055" s="284"/>
      <c r="G2055" s="284"/>
      <c r="H2055" s="284"/>
      <c r="I2055" s="284"/>
      <c r="J2055" s="375"/>
      <c r="K2055" s="375"/>
      <c r="L2055" s="375"/>
      <c r="M2055" s="368"/>
      <c r="N2055" s="368"/>
      <c r="O2055" s="370"/>
      <c r="T2055" s="340"/>
      <c r="V2055" s="378"/>
      <c r="W2055" s="64" ph="1"/>
      <c r="X2055" s="241"/>
      <c r="Y2055" s="284"/>
      <c r="Z2055" s="207"/>
      <c r="AA2055" s="284"/>
      <c r="AB2055" s="284"/>
      <c r="AC2055" s="284"/>
      <c r="AD2055" s="284"/>
      <c r="AE2055" s="284"/>
      <c r="AF2055" s="284"/>
      <c r="AG2055" s="284"/>
    </row>
    <row r="2056" spans="1:33" ht="26.4">
      <c r="A2056" s="284"/>
      <c r="B2056" s="284"/>
      <c r="C2056" s="284"/>
      <c r="D2056" s="284"/>
      <c r="E2056" s="284"/>
      <c r="F2056" s="284"/>
      <c r="G2056" s="284"/>
      <c r="H2056" s="284"/>
      <c r="I2056" s="284"/>
      <c r="J2056" s="375"/>
      <c r="K2056" s="375"/>
      <c r="L2056" s="375"/>
      <c r="M2056" s="368"/>
      <c r="N2056" s="368"/>
      <c r="O2056" s="370"/>
      <c r="T2056" s="340"/>
      <c r="V2056" s="378"/>
      <c r="W2056" s="64" ph="1"/>
      <c r="X2056" s="241"/>
      <c r="Y2056" s="284"/>
      <c r="Z2056" s="207"/>
      <c r="AA2056" s="284"/>
      <c r="AB2056" s="284"/>
      <c r="AC2056" s="284"/>
      <c r="AD2056" s="284"/>
      <c r="AE2056" s="284"/>
      <c r="AF2056" s="284"/>
      <c r="AG2056" s="284"/>
    </row>
    <row r="2057" spans="1:33" ht="26.4">
      <c r="A2057" s="284"/>
      <c r="B2057" s="284"/>
      <c r="C2057" s="284"/>
      <c r="D2057" s="284"/>
      <c r="E2057" s="284"/>
      <c r="F2057" s="284"/>
      <c r="G2057" s="284"/>
      <c r="H2057" s="284"/>
      <c r="I2057" s="284"/>
      <c r="J2057" s="375"/>
      <c r="K2057" s="375"/>
      <c r="L2057" s="375"/>
      <c r="M2057" s="368"/>
      <c r="N2057" s="368"/>
      <c r="O2057" s="370"/>
      <c r="T2057" s="340"/>
      <c r="V2057" s="378"/>
      <c r="W2057" s="64" ph="1"/>
      <c r="X2057" s="241"/>
      <c r="Y2057" s="284"/>
      <c r="Z2057" s="207"/>
      <c r="AA2057" s="284"/>
      <c r="AB2057" s="284"/>
      <c r="AC2057" s="284"/>
      <c r="AD2057" s="284"/>
      <c r="AE2057" s="284"/>
      <c r="AF2057" s="284"/>
      <c r="AG2057" s="284"/>
    </row>
    <row r="2058" spans="1:33" ht="26.4">
      <c r="A2058" s="284"/>
      <c r="B2058" s="284"/>
      <c r="C2058" s="284"/>
      <c r="D2058" s="284"/>
      <c r="E2058" s="284"/>
      <c r="F2058" s="284"/>
      <c r="G2058" s="284"/>
      <c r="H2058" s="284"/>
      <c r="I2058" s="284"/>
      <c r="J2058" s="375"/>
      <c r="K2058" s="375"/>
      <c r="L2058" s="375"/>
      <c r="M2058" s="368"/>
      <c r="N2058" s="368"/>
      <c r="O2058" s="370"/>
      <c r="T2058" s="340"/>
      <c r="V2058" s="378"/>
      <c r="W2058" s="64" ph="1"/>
      <c r="X2058" s="241"/>
      <c r="Y2058" s="284"/>
      <c r="Z2058" s="207"/>
      <c r="AA2058" s="284"/>
      <c r="AB2058" s="284"/>
      <c r="AC2058" s="284"/>
      <c r="AD2058" s="284"/>
      <c r="AE2058" s="284"/>
      <c r="AF2058" s="284"/>
      <c r="AG2058" s="284"/>
    </row>
    <row r="2059" spans="1:33" ht="26.4">
      <c r="A2059" s="284"/>
      <c r="B2059" s="284"/>
      <c r="C2059" s="284"/>
      <c r="D2059" s="284"/>
      <c r="E2059" s="284"/>
      <c r="F2059" s="284"/>
      <c r="G2059" s="284"/>
      <c r="H2059" s="284"/>
      <c r="I2059" s="284"/>
      <c r="J2059" s="375"/>
      <c r="K2059" s="375"/>
      <c r="L2059" s="375"/>
      <c r="M2059" s="368"/>
      <c r="N2059" s="368"/>
      <c r="O2059" s="370"/>
      <c r="T2059" s="340"/>
      <c r="V2059" s="378"/>
      <c r="W2059" s="64" ph="1"/>
      <c r="X2059" s="241"/>
      <c r="Y2059" s="284"/>
      <c r="Z2059" s="207"/>
      <c r="AA2059" s="284"/>
      <c r="AB2059" s="284"/>
      <c r="AC2059" s="284"/>
      <c r="AD2059" s="284"/>
      <c r="AE2059" s="284"/>
      <c r="AF2059" s="284"/>
      <c r="AG2059" s="284"/>
    </row>
    <row r="2060" spans="1:33" ht="26.4">
      <c r="A2060" s="284"/>
      <c r="B2060" s="284"/>
      <c r="C2060" s="284"/>
      <c r="D2060" s="284"/>
      <c r="E2060" s="284"/>
      <c r="F2060" s="284"/>
      <c r="G2060" s="284"/>
      <c r="H2060" s="284"/>
      <c r="I2060" s="284"/>
      <c r="J2060" s="375"/>
      <c r="K2060" s="375"/>
      <c r="L2060" s="375"/>
      <c r="M2060" s="368"/>
      <c r="N2060" s="368"/>
      <c r="O2060" s="370"/>
      <c r="T2060" s="340"/>
      <c r="V2060" s="378"/>
      <c r="W2060" s="64" ph="1"/>
      <c r="X2060" s="241"/>
      <c r="Y2060" s="284"/>
      <c r="Z2060" s="207"/>
      <c r="AA2060" s="284"/>
      <c r="AB2060" s="284"/>
      <c r="AC2060" s="284"/>
      <c r="AD2060" s="284"/>
      <c r="AE2060" s="284"/>
      <c r="AF2060" s="284"/>
      <c r="AG2060" s="284"/>
    </row>
    <row r="2061" spans="1:33" ht="26.4">
      <c r="A2061" s="284"/>
      <c r="B2061" s="284"/>
      <c r="C2061" s="284"/>
      <c r="D2061" s="284"/>
      <c r="E2061" s="284"/>
      <c r="F2061" s="284"/>
      <c r="G2061" s="284"/>
      <c r="H2061" s="284"/>
      <c r="I2061" s="284"/>
      <c r="J2061" s="375"/>
      <c r="K2061" s="375"/>
      <c r="L2061" s="375"/>
      <c r="M2061" s="368"/>
      <c r="N2061" s="368"/>
      <c r="O2061" s="370"/>
      <c r="T2061" s="340"/>
      <c r="V2061" s="378"/>
      <c r="W2061" s="64" ph="1"/>
      <c r="X2061" s="241"/>
      <c r="Y2061" s="284"/>
      <c r="Z2061" s="207"/>
      <c r="AA2061" s="284"/>
      <c r="AB2061" s="284"/>
      <c r="AC2061" s="284"/>
      <c r="AD2061" s="284"/>
      <c r="AE2061" s="284"/>
      <c r="AF2061" s="284"/>
      <c r="AG2061" s="284"/>
    </row>
    <row r="2062" spans="1:33" ht="26.4">
      <c r="A2062" s="284"/>
      <c r="B2062" s="284"/>
      <c r="C2062" s="284"/>
      <c r="D2062" s="284"/>
      <c r="E2062" s="284"/>
      <c r="F2062" s="284"/>
      <c r="G2062" s="284"/>
      <c r="H2062" s="284"/>
      <c r="I2062" s="284"/>
      <c r="J2062" s="375"/>
      <c r="K2062" s="375"/>
      <c r="L2062" s="375"/>
      <c r="M2062" s="368"/>
      <c r="N2062" s="368"/>
      <c r="O2062" s="370"/>
      <c r="T2062" s="340"/>
      <c r="V2062" s="378"/>
      <c r="W2062" s="64" ph="1"/>
      <c r="X2062" s="241"/>
      <c r="Y2062" s="284"/>
      <c r="Z2062" s="207"/>
      <c r="AA2062" s="284"/>
      <c r="AB2062" s="284"/>
      <c r="AC2062" s="284"/>
      <c r="AD2062" s="284"/>
      <c r="AE2062" s="284"/>
      <c r="AF2062" s="284"/>
      <c r="AG2062" s="284"/>
    </row>
    <row r="2063" spans="1:33" ht="26.4">
      <c r="A2063" s="284"/>
      <c r="B2063" s="284"/>
      <c r="C2063" s="284"/>
      <c r="D2063" s="284"/>
      <c r="E2063" s="284"/>
      <c r="F2063" s="284"/>
      <c r="G2063" s="284"/>
      <c r="H2063" s="284"/>
      <c r="I2063" s="284"/>
      <c r="J2063" s="375"/>
      <c r="K2063" s="375"/>
      <c r="L2063" s="375"/>
      <c r="M2063" s="368"/>
      <c r="N2063" s="368"/>
      <c r="O2063" s="370"/>
      <c r="T2063" s="340"/>
      <c r="V2063" s="378"/>
      <c r="W2063" s="64" ph="1"/>
      <c r="X2063" s="241"/>
      <c r="Y2063" s="284"/>
      <c r="Z2063" s="207"/>
      <c r="AA2063" s="284"/>
      <c r="AB2063" s="284"/>
      <c r="AC2063" s="284"/>
      <c r="AD2063" s="284"/>
      <c r="AE2063" s="284"/>
      <c r="AF2063" s="284"/>
      <c r="AG2063" s="284"/>
    </row>
    <row r="2064" spans="1:33" ht="26.4">
      <c r="A2064" s="284"/>
      <c r="B2064" s="284"/>
      <c r="C2064" s="284"/>
      <c r="D2064" s="284"/>
      <c r="E2064" s="284"/>
      <c r="F2064" s="284"/>
      <c r="G2064" s="284"/>
      <c r="H2064" s="284"/>
      <c r="I2064" s="284"/>
      <c r="J2064" s="375"/>
      <c r="K2064" s="375"/>
      <c r="L2064" s="375"/>
      <c r="M2064" s="368"/>
      <c r="N2064" s="368"/>
      <c r="O2064" s="370"/>
      <c r="T2064" s="340"/>
      <c r="V2064" s="378"/>
      <c r="W2064" s="64" ph="1"/>
      <c r="X2064" s="241"/>
      <c r="Y2064" s="284"/>
      <c r="Z2064" s="207"/>
      <c r="AA2064" s="284"/>
      <c r="AB2064" s="284"/>
      <c r="AC2064" s="284"/>
      <c r="AD2064" s="284"/>
      <c r="AE2064" s="284"/>
      <c r="AF2064" s="284"/>
      <c r="AG2064" s="284"/>
    </row>
    <row r="2065" spans="1:33" ht="26.4">
      <c r="A2065" s="284"/>
      <c r="B2065" s="284"/>
      <c r="C2065" s="284"/>
      <c r="D2065" s="284"/>
      <c r="E2065" s="284"/>
      <c r="F2065" s="284"/>
      <c r="G2065" s="284"/>
      <c r="H2065" s="284"/>
      <c r="I2065" s="284"/>
      <c r="J2065" s="375"/>
      <c r="K2065" s="375"/>
      <c r="L2065" s="375"/>
      <c r="M2065" s="368"/>
      <c r="N2065" s="368"/>
      <c r="O2065" s="370"/>
      <c r="T2065" s="340"/>
      <c r="V2065" s="378"/>
      <c r="W2065" s="64" ph="1"/>
      <c r="X2065" s="241"/>
      <c r="Y2065" s="284"/>
      <c r="Z2065" s="207"/>
      <c r="AA2065" s="284"/>
      <c r="AB2065" s="284"/>
      <c r="AC2065" s="284"/>
      <c r="AD2065" s="284"/>
      <c r="AE2065" s="284"/>
      <c r="AF2065" s="284"/>
      <c r="AG2065" s="284"/>
    </row>
    <row r="2066" spans="1:33" ht="26.4">
      <c r="A2066" s="284"/>
      <c r="B2066" s="284"/>
      <c r="C2066" s="284"/>
      <c r="D2066" s="284"/>
      <c r="E2066" s="284"/>
      <c r="F2066" s="284"/>
      <c r="G2066" s="284"/>
      <c r="H2066" s="284"/>
      <c r="I2066" s="284"/>
      <c r="J2066" s="375"/>
      <c r="K2066" s="375"/>
      <c r="L2066" s="375"/>
      <c r="M2066" s="368"/>
      <c r="N2066" s="368"/>
      <c r="O2066" s="370"/>
      <c r="T2066" s="340"/>
      <c r="V2066" s="378"/>
      <c r="W2066" s="64" ph="1"/>
      <c r="X2066" s="241"/>
      <c r="Y2066" s="284"/>
      <c r="Z2066" s="207"/>
      <c r="AA2066" s="284"/>
      <c r="AB2066" s="284"/>
      <c r="AC2066" s="284"/>
      <c r="AD2066" s="284"/>
      <c r="AE2066" s="284"/>
      <c r="AF2066" s="284"/>
      <c r="AG2066" s="284"/>
    </row>
    <row r="2067" spans="1:33" ht="26.4">
      <c r="A2067" s="284"/>
      <c r="B2067" s="284"/>
      <c r="C2067" s="284"/>
      <c r="D2067" s="284"/>
      <c r="E2067" s="284"/>
      <c r="F2067" s="284"/>
      <c r="G2067" s="284"/>
      <c r="H2067" s="284"/>
      <c r="I2067" s="284"/>
      <c r="J2067" s="375"/>
      <c r="K2067" s="375"/>
      <c r="L2067" s="375"/>
      <c r="M2067" s="368"/>
      <c r="N2067" s="368"/>
      <c r="O2067" s="370"/>
      <c r="T2067" s="340"/>
      <c r="V2067" s="378"/>
      <c r="W2067" s="64" ph="1"/>
      <c r="X2067" s="241"/>
      <c r="Y2067" s="284"/>
      <c r="Z2067" s="207"/>
      <c r="AA2067" s="284"/>
      <c r="AB2067" s="284"/>
      <c r="AC2067" s="284"/>
      <c r="AD2067" s="284"/>
      <c r="AE2067" s="284"/>
      <c r="AF2067" s="284"/>
      <c r="AG2067" s="284"/>
    </row>
    <row r="2068" spans="1:33" ht="26.4">
      <c r="A2068" s="284"/>
      <c r="B2068" s="284"/>
      <c r="C2068" s="284"/>
      <c r="D2068" s="284"/>
      <c r="E2068" s="284"/>
      <c r="F2068" s="284"/>
      <c r="G2068" s="284"/>
      <c r="H2068" s="284"/>
      <c r="I2068" s="284"/>
      <c r="J2068" s="375"/>
      <c r="K2068" s="375"/>
      <c r="L2068" s="375"/>
      <c r="M2068" s="368"/>
      <c r="N2068" s="368"/>
      <c r="O2068" s="370"/>
      <c r="T2068" s="340"/>
      <c r="V2068" s="378"/>
      <c r="W2068" s="64" ph="1"/>
      <c r="X2068" s="241"/>
      <c r="Y2068" s="284"/>
      <c r="Z2068" s="207"/>
      <c r="AA2068" s="284"/>
      <c r="AB2068" s="284"/>
      <c r="AC2068" s="284"/>
      <c r="AD2068" s="284"/>
      <c r="AE2068" s="284"/>
      <c r="AF2068" s="284"/>
      <c r="AG2068" s="284"/>
    </row>
    <row r="2069" spans="1:33" ht="26.4">
      <c r="A2069" s="284"/>
      <c r="B2069" s="284"/>
      <c r="C2069" s="284"/>
      <c r="D2069" s="284"/>
      <c r="E2069" s="284"/>
      <c r="F2069" s="284"/>
      <c r="G2069" s="284"/>
      <c r="H2069" s="284"/>
      <c r="I2069" s="284"/>
      <c r="J2069" s="375"/>
      <c r="K2069" s="375"/>
      <c r="L2069" s="375"/>
      <c r="M2069" s="368"/>
      <c r="N2069" s="368"/>
      <c r="O2069" s="370"/>
      <c r="T2069" s="340"/>
      <c r="V2069" s="378"/>
      <c r="W2069" s="64" ph="1"/>
      <c r="X2069" s="241"/>
      <c r="Y2069" s="284"/>
      <c r="Z2069" s="207"/>
      <c r="AA2069" s="284"/>
      <c r="AB2069" s="284"/>
      <c r="AC2069" s="284"/>
      <c r="AD2069" s="284"/>
      <c r="AE2069" s="284"/>
      <c r="AF2069" s="284"/>
      <c r="AG2069" s="284"/>
    </row>
    <row r="2070" spans="1:33" ht="26.4">
      <c r="A2070" s="284"/>
      <c r="B2070" s="284"/>
      <c r="C2070" s="284"/>
      <c r="D2070" s="284"/>
      <c r="E2070" s="284"/>
      <c r="F2070" s="284"/>
      <c r="G2070" s="284"/>
      <c r="H2070" s="284"/>
      <c r="I2070" s="284"/>
      <c r="J2070" s="375"/>
      <c r="K2070" s="375"/>
      <c r="L2070" s="375"/>
      <c r="M2070" s="368"/>
      <c r="N2070" s="368"/>
      <c r="O2070" s="370"/>
      <c r="T2070" s="340"/>
      <c r="V2070" s="378"/>
      <c r="W2070" s="64" ph="1"/>
      <c r="X2070" s="241"/>
      <c r="Y2070" s="284"/>
      <c r="Z2070" s="207"/>
      <c r="AA2070" s="284"/>
      <c r="AB2070" s="284"/>
      <c r="AC2070" s="284"/>
      <c r="AD2070" s="284"/>
      <c r="AE2070" s="284"/>
      <c r="AF2070" s="284"/>
      <c r="AG2070" s="284"/>
    </row>
    <row r="2071" spans="1:33" ht="26.4">
      <c r="A2071" s="284"/>
      <c r="B2071" s="284"/>
      <c r="C2071" s="284"/>
      <c r="D2071" s="284"/>
      <c r="E2071" s="284"/>
      <c r="F2071" s="284"/>
      <c r="G2071" s="284"/>
      <c r="H2071" s="284"/>
      <c r="I2071" s="284"/>
      <c r="J2071" s="375"/>
      <c r="K2071" s="375"/>
      <c r="L2071" s="375"/>
      <c r="M2071" s="368"/>
      <c r="N2071" s="368"/>
      <c r="O2071" s="370"/>
      <c r="T2071" s="340"/>
      <c r="V2071" s="378"/>
      <c r="W2071" s="64" ph="1"/>
      <c r="X2071" s="241"/>
      <c r="Y2071" s="284"/>
      <c r="Z2071" s="207"/>
      <c r="AA2071" s="284"/>
      <c r="AB2071" s="284"/>
      <c r="AC2071" s="284"/>
      <c r="AD2071" s="284"/>
      <c r="AE2071" s="284"/>
      <c r="AF2071" s="284"/>
      <c r="AG2071" s="284"/>
    </row>
    <row r="2072" spans="1:33" ht="26.4">
      <c r="A2072" s="284"/>
      <c r="B2072" s="284"/>
      <c r="C2072" s="284"/>
      <c r="D2072" s="284"/>
      <c r="E2072" s="284"/>
      <c r="F2072" s="284"/>
      <c r="G2072" s="284"/>
      <c r="H2072" s="284"/>
      <c r="I2072" s="284"/>
      <c r="J2072" s="375"/>
      <c r="K2072" s="375"/>
      <c r="L2072" s="375"/>
      <c r="M2072" s="368"/>
      <c r="N2072" s="368"/>
      <c r="O2072" s="370"/>
      <c r="T2072" s="340"/>
      <c r="V2072" s="378"/>
      <c r="W2072" s="64" ph="1"/>
      <c r="X2072" s="241"/>
      <c r="Y2072" s="284"/>
      <c r="Z2072" s="207"/>
      <c r="AA2072" s="284"/>
      <c r="AB2072" s="284"/>
      <c r="AC2072" s="284"/>
      <c r="AD2072" s="284"/>
      <c r="AE2072" s="284"/>
      <c r="AF2072" s="284"/>
      <c r="AG2072" s="284"/>
    </row>
    <row r="2073" spans="1:33" ht="26.4">
      <c r="A2073" s="284"/>
      <c r="B2073" s="284"/>
      <c r="C2073" s="284"/>
      <c r="D2073" s="284"/>
      <c r="E2073" s="284"/>
      <c r="F2073" s="284"/>
      <c r="G2073" s="284"/>
      <c r="H2073" s="284"/>
      <c r="I2073" s="284"/>
      <c r="J2073" s="375"/>
      <c r="K2073" s="375"/>
      <c r="L2073" s="375"/>
      <c r="M2073" s="368"/>
      <c r="N2073" s="368"/>
      <c r="O2073" s="370"/>
      <c r="T2073" s="340"/>
      <c r="V2073" s="378"/>
      <c r="W2073" s="64" ph="1"/>
      <c r="X2073" s="241"/>
      <c r="Y2073" s="284"/>
      <c r="Z2073" s="207"/>
      <c r="AA2073" s="284"/>
      <c r="AB2073" s="284"/>
      <c r="AC2073" s="284"/>
      <c r="AD2073" s="284"/>
      <c r="AE2073" s="284"/>
      <c r="AF2073" s="284"/>
      <c r="AG2073" s="284"/>
    </row>
    <row r="2074" spans="1:33" ht="26.4">
      <c r="A2074" s="284"/>
      <c r="B2074" s="284"/>
      <c r="C2074" s="284"/>
      <c r="D2074" s="284"/>
      <c r="E2074" s="284"/>
      <c r="F2074" s="284"/>
      <c r="G2074" s="284"/>
      <c r="H2074" s="284"/>
      <c r="I2074" s="284"/>
      <c r="J2074" s="375"/>
      <c r="K2074" s="375"/>
      <c r="L2074" s="375"/>
      <c r="M2074" s="368"/>
      <c r="N2074" s="368"/>
      <c r="O2074" s="370"/>
      <c r="T2074" s="340"/>
      <c r="V2074" s="378"/>
      <c r="W2074" s="64" ph="1"/>
      <c r="X2074" s="241"/>
      <c r="Y2074" s="284"/>
      <c r="Z2074" s="207"/>
      <c r="AA2074" s="284"/>
      <c r="AB2074" s="284"/>
      <c r="AC2074" s="284"/>
      <c r="AD2074" s="284"/>
      <c r="AE2074" s="284"/>
      <c r="AF2074" s="284"/>
      <c r="AG2074" s="284"/>
    </row>
    <row r="2075" spans="1:33" ht="26.4">
      <c r="A2075" s="284"/>
      <c r="B2075" s="284"/>
      <c r="C2075" s="284"/>
      <c r="D2075" s="284"/>
      <c r="E2075" s="284"/>
      <c r="F2075" s="284"/>
      <c r="G2075" s="284"/>
      <c r="H2075" s="284"/>
      <c r="I2075" s="284"/>
      <c r="J2075" s="375"/>
      <c r="K2075" s="375"/>
      <c r="L2075" s="375"/>
      <c r="M2075" s="368"/>
      <c r="N2075" s="368"/>
      <c r="O2075" s="370"/>
      <c r="T2075" s="340"/>
      <c r="V2075" s="378"/>
      <c r="W2075" s="64" ph="1"/>
      <c r="X2075" s="241"/>
      <c r="Y2075" s="284"/>
      <c r="Z2075" s="207"/>
      <c r="AA2075" s="284"/>
      <c r="AB2075" s="284"/>
      <c r="AC2075" s="284"/>
      <c r="AD2075" s="284"/>
      <c r="AE2075" s="284"/>
      <c r="AF2075" s="284"/>
      <c r="AG2075" s="284"/>
    </row>
    <row r="2076" spans="1:33" ht="26.4">
      <c r="A2076" s="284"/>
      <c r="B2076" s="284"/>
      <c r="C2076" s="284"/>
      <c r="D2076" s="284"/>
      <c r="E2076" s="284"/>
      <c r="F2076" s="284"/>
      <c r="G2076" s="284"/>
      <c r="H2076" s="284"/>
      <c r="I2076" s="284"/>
      <c r="J2076" s="375"/>
      <c r="K2076" s="375"/>
      <c r="L2076" s="375"/>
      <c r="M2076" s="368"/>
      <c r="N2076" s="368"/>
      <c r="O2076" s="370"/>
      <c r="T2076" s="340"/>
      <c r="V2076" s="378"/>
      <c r="W2076" s="64" ph="1"/>
      <c r="X2076" s="241"/>
      <c r="Y2076" s="284"/>
      <c r="Z2076" s="207"/>
      <c r="AA2076" s="284"/>
      <c r="AB2076" s="284"/>
      <c r="AC2076" s="284"/>
      <c r="AD2076" s="284"/>
      <c r="AE2076" s="284"/>
      <c r="AF2076" s="284"/>
      <c r="AG2076" s="284"/>
    </row>
    <row r="2077" spans="1:33" ht="26.4">
      <c r="A2077" s="284"/>
      <c r="B2077" s="284"/>
      <c r="C2077" s="284"/>
      <c r="D2077" s="284"/>
      <c r="E2077" s="284"/>
      <c r="F2077" s="284"/>
      <c r="G2077" s="284"/>
      <c r="H2077" s="284"/>
      <c r="I2077" s="284"/>
      <c r="J2077" s="375"/>
      <c r="K2077" s="375"/>
      <c r="L2077" s="375"/>
      <c r="M2077" s="368"/>
      <c r="N2077" s="368"/>
      <c r="O2077" s="370"/>
      <c r="T2077" s="340"/>
      <c r="V2077" s="378"/>
      <c r="W2077" s="64" ph="1"/>
      <c r="X2077" s="241"/>
      <c r="Y2077" s="284"/>
      <c r="Z2077" s="207"/>
      <c r="AA2077" s="284"/>
      <c r="AB2077" s="284"/>
      <c r="AC2077" s="284"/>
      <c r="AD2077" s="284"/>
      <c r="AE2077" s="284"/>
      <c r="AF2077" s="284"/>
      <c r="AG2077" s="284"/>
    </row>
    <row r="2078" spans="1:33" ht="26.4">
      <c r="A2078" s="284"/>
      <c r="B2078" s="284"/>
      <c r="C2078" s="284"/>
      <c r="D2078" s="284"/>
      <c r="E2078" s="284"/>
      <c r="F2078" s="284"/>
      <c r="G2078" s="284"/>
      <c r="H2078" s="284"/>
      <c r="I2078" s="284"/>
      <c r="J2078" s="375"/>
      <c r="K2078" s="375"/>
      <c r="L2078" s="375"/>
      <c r="M2078" s="368"/>
      <c r="N2078" s="368"/>
      <c r="O2078" s="370"/>
      <c r="T2078" s="340"/>
      <c r="V2078" s="378"/>
      <c r="W2078" s="64" ph="1"/>
      <c r="X2078" s="241"/>
      <c r="Y2078" s="284"/>
      <c r="Z2078" s="207"/>
      <c r="AA2078" s="284"/>
      <c r="AB2078" s="284"/>
      <c r="AC2078" s="284"/>
      <c r="AD2078" s="284"/>
      <c r="AE2078" s="284"/>
      <c r="AF2078" s="284"/>
      <c r="AG2078" s="284"/>
    </row>
    <row r="2079" spans="1:33" ht="26.4">
      <c r="A2079" s="284"/>
      <c r="B2079" s="284"/>
      <c r="C2079" s="284"/>
      <c r="D2079" s="284"/>
      <c r="E2079" s="284"/>
      <c r="F2079" s="284"/>
      <c r="G2079" s="284"/>
      <c r="H2079" s="284"/>
      <c r="I2079" s="284"/>
      <c r="J2079" s="375"/>
      <c r="K2079" s="375"/>
      <c r="L2079" s="375"/>
      <c r="M2079" s="368"/>
      <c r="N2079" s="368"/>
      <c r="O2079" s="370"/>
      <c r="T2079" s="340"/>
      <c r="V2079" s="378"/>
      <c r="W2079" s="64" ph="1"/>
      <c r="X2079" s="241"/>
      <c r="Y2079" s="284"/>
      <c r="Z2079" s="207"/>
      <c r="AA2079" s="284"/>
      <c r="AB2079" s="284"/>
      <c r="AC2079" s="284"/>
      <c r="AD2079" s="284"/>
      <c r="AE2079" s="284"/>
      <c r="AF2079" s="284"/>
      <c r="AG2079" s="284"/>
    </row>
    <row r="2080" spans="1:33" ht="26.4">
      <c r="A2080" s="284"/>
      <c r="B2080" s="284"/>
      <c r="C2080" s="284"/>
      <c r="D2080" s="284"/>
      <c r="E2080" s="284"/>
      <c r="F2080" s="284"/>
      <c r="G2080" s="284"/>
      <c r="H2080" s="284"/>
      <c r="I2080" s="284"/>
      <c r="J2080" s="375"/>
      <c r="K2080" s="375"/>
      <c r="L2080" s="375"/>
      <c r="M2080" s="368"/>
      <c r="N2080" s="368"/>
      <c r="O2080" s="370"/>
      <c r="T2080" s="340"/>
      <c r="V2080" s="378"/>
      <c r="W2080" s="64" ph="1"/>
      <c r="X2080" s="241"/>
      <c r="Y2080" s="284"/>
      <c r="Z2080" s="207"/>
      <c r="AA2080" s="284"/>
      <c r="AB2080" s="284"/>
      <c r="AC2080" s="284"/>
      <c r="AD2080" s="284"/>
      <c r="AE2080" s="284"/>
      <c r="AF2080" s="284"/>
      <c r="AG2080" s="284"/>
    </row>
    <row r="2081" spans="1:33" ht="26.4">
      <c r="A2081" s="284"/>
      <c r="B2081" s="284"/>
      <c r="C2081" s="284"/>
      <c r="D2081" s="284"/>
      <c r="E2081" s="284"/>
      <c r="F2081" s="284"/>
      <c r="G2081" s="284"/>
      <c r="H2081" s="284"/>
      <c r="I2081" s="284"/>
      <c r="J2081" s="375"/>
      <c r="K2081" s="375"/>
      <c r="L2081" s="375"/>
      <c r="M2081" s="368"/>
      <c r="N2081" s="368"/>
      <c r="O2081" s="370"/>
      <c r="T2081" s="340"/>
      <c r="V2081" s="378"/>
      <c r="W2081" s="64" ph="1"/>
      <c r="X2081" s="241"/>
      <c r="Y2081" s="284"/>
      <c r="Z2081" s="207"/>
      <c r="AA2081" s="284"/>
      <c r="AB2081" s="284"/>
      <c r="AC2081" s="284"/>
      <c r="AD2081" s="284"/>
      <c r="AE2081" s="284"/>
      <c r="AF2081" s="284"/>
      <c r="AG2081" s="284"/>
    </row>
    <row r="2082" spans="1:33" ht="26.4">
      <c r="A2082" s="284"/>
      <c r="B2082" s="284"/>
      <c r="C2082" s="284"/>
      <c r="D2082" s="284"/>
      <c r="E2082" s="284"/>
      <c r="F2082" s="284"/>
      <c r="G2082" s="284"/>
      <c r="H2082" s="284"/>
      <c r="I2082" s="284"/>
      <c r="J2082" s="375"/>
      <c r="K2082" s="375"/>
      <c r="L2082" s="375"/>
      <c r="M2082" s="368"/>
      <c r="N2082" s="368"/>
      <c r="O2082" s="370"/>
      <c r="T2082" s="340"/>
      <c r="V2082" s="378"/>
      <c r="W2082" s="64" ph="1"/>
      <c r="X2082" s="241"/>
      <c r="Y2082" s="284"/>
      <c r="Z2082" s="207"/>
      <c r="AA2082" s="284"/>
      <c r="AB2082" s="284"/>
      <c r="AC2082" s="284"/>
      <c r="AD2082" s="284"/>
      <c r="AE2082" s="284"/>
      <c r="AF2082" s="284"/>
      <c r="AG2082" s="284"/>
    </row>
    <row r="2083" spans="1:33" ht="26.4">
      <c r="A2083" s="284"/>
      <c r="B2083" s="284"/>
      <c r="C2083" s="284"/>
      <c r="D2083" s="284"/>
      <c r="E2083" s="284"/>
      <c r="F2083" s="284"/>
      <c r="G2083" s="284"/>
      <c r="H2083" s="284"/>
      <c r="I2083" s="284"/>
      <c r="J2083" s="375"/>
      <c r="K2083" s="375"/>
      <c r="L2083" s="375"/>
      <c r="M2083" s="368"/>
      <c r="N2083" s="368"/>
      <c r="O2083" s="370"/>
      <c r="T2083" s="340"/>
      <c r="V2083" s="378"/>
      <c r="W2083" s="64" ph="1"/>
      <c r="X2083" s="241"/>
      <c r="Y2083" s="284"/>
      <c r="Z2083" s="207"/>
      <c r="AA2083" s="284"/>
      <c r="AB2083" s="284"/>
      <c r="AC2083" s="284"/>
      <c r="AD2083" s="284"/>
      <c r="AE2083" s="284"/>
      <c r="AF2083" s="284"/>
      <c r="AG2083" s="284"/>
    </row>
    <row r="2084" spans="1:33" ht="26.4">
      <c r="A2084" s="284"/>
      <c r="B2084" s="284"/>
      <c r="C2084" s="284"/>
      <c r="D2084" s="284"/>
      <c r="E2084" s="284"/>
      <c r="F2084" s="284"/>
      <c r="G2084" s="284"/>
      <c r="H2084" s="284"/>
      <c r="I2084" s="284"/>
      <c r="J2084" s="375"/>
      <c r="K2084" s="375"/>
      <c r="L2084" s="375"/>
      <c r="M2084" s="368"/>
      <c r="N2084" s="368"/>
      <c r="O2084" s="370"/>
      <c r="T2084" s="340"/>
      <c r="V2084" s="378"/>
      <c r="W2084" s="64" ph="1"/>
      <c r="X2084" s="241"/>
      <c r="Y2084" s="284"/>
      <c r="Z2084" s="207"/>
      <c r="AA2084" s="284"/>
      <c r="AB2084" s="284"/>
      <c r="AC2084" s="284"/>
      <c r="AD2084" s="284"/>
      <c r="AE2084" s="284"/>
      <c r="AF2084" s="284"/>
      <c r="AG2084" s="284"/>
    </row>
    <row r="2085" spans="1:33" ht="26.4">
      <c r="A2085" s="284"/>
      <c r="B2085" s="284"/>
      <c r="C2085" s="284"/>
      <c r="D2085" s="284"/>
      <c r="E2085" s="284"/>
      <c r="F2085" s="284"/>
      <c r="G2085" s="284"/>
      <c r="H2085" s="284"/>
      <c r="I2085" s="284"/>
      <c r="J2085" s="375"/>
      <c r="K2085" s="375"/>
      <c r="L2085" s="375"/>
      <c r="M2085" s="368"/>
      <c r="N2085" s="368"/>
      <c r="O2085" s="370"/>
      <c r="T2085" s="340"/>
      <c r="V2085" s="378"/>
      <c r="W2085" s="64" ph="1"/>
      <c r="X2085" s="241"/>
      <c r="Y2085" s="284"/>
      <c r="Z2085" s="207"/>
      <c r="AA2085" s="284"/>
      <c r="AB2085" s="284"/>
      <c r="AC2085" s="284"/>
      <c r="AD2085" s="284"/>
      <c r="AE2085" s="284"/>
      <c r="AF2085" s="284"/>
      <c r="AG2085" s="284"/>
    </row>
    <row r="2086" spans="1:33" ht="26.4">
      <c r="A2086" s="284"/>
      <c r="B2086" s="284"/>
      <c r="C2086" s="284"/>
      <c r="D2086" s="284"/>
      <c r="E2086" s="284"/>
      <c r="F2086" s="284"/>
      <c r="G2086" s="284"/>
      <c r="H2086" s="284"/>
      <c r="I2086" s="284"/>
      <c r="J2086" s="375"/>
      <c r="K2086" s="375"/>
      <c r="L2086" s="375"/>
      <c r="M2086" s="368"/>
      <c r="N2086" s="368"/>
      <c r="O2086" s="370"/>
      <c r="T2086" s="340"/>
      <c r="V2086" s="378"/>
      <c r="W2086" s="64" ph="1"/>
      <c r="X2086" s="241"/>
      <c r="Y2086" s="284"/>
      <c r="Z2086" s="207"/>
      <c r="AA2086" s="284"/>
      <c r="AB2086" s="284"/>
      <c r="AC2086" s="284"/>
      <c r="AD2086" s="284"/>
      <c r="AE2086" s="284"/>
      <c r="AF2086" s="284"/>
      <c r="AG2086" s="284"/>
    </row>
    <row r="2087" spans="1:33" ht="26.4">
      <c r="A2087" s="284"/>
      <c r="B2087" s="284"/>
      <c r="C2087" s="284"/>
      <c r="D2087" s="284"/>
      <c r="E2087" s="284"/>
      <c r="F2087" s="284"/>
      <c r="G2087" s="284"/>
      <c r="H2087" s="284"/>
      <c r="I2087" s="284"/>
      <c r="J2087" s="375"/>
      <c r="K2087" s="375"/>
      <c r="L2087" s="375"/>
      <c r="M2087" s="368"/>
      <c r="N2087" s="368"/>
      <c r="O2087" s="370"/>
      <c r="T2087" s="340"/>
      <c r="V2087" s="378"/>
      <c r="W2087" s="64" ph="1"/>
      <c r="X2087" s="241"/>
      <c r="Y2087" s="284"/>
      <c r="Z2087" s="207"/>
      <c r="AA2087" s="284"/>
      <c r="AB2087" s="284"/>
      <c r="AC2087" s="284"/>
      <c r="AD2087" s="284"/>
      <c r="AE2087" s="284"/>
      <c r="AF2087" s="284"/>
      <c r="AG2087" s="284"/>
    </row>
    <row r="2088" spans="1:33" ht="26.4">
      <c r="A2088" s="284"/>
      <c r="B2088" s="284"/>
      <c r="C2088" s="284"/>
      <c r="D2088" s="284"/>
      <c r="E2088" s="284"/>
      <c r="F2088" s="284"/>
      <c r="G2088" s="284"/>
      <c r="H2088" s="284"/>
      <c r="I2088" s="284"/>
      <c r="J2088" s="375"/>
      <c r="K2088" s="375"/>
      <c r="L2088" s="375"/>
      <c r="M2088" s="368"/>
      <c r="N2088" s="368"/>
      <c r="O2088" s="370"/>
      <c r="T2088" s="340"/>
      <c r="V2088" s="378"/>
      <c r="W2088" s="64" ph="1"/>
      <c r="X2088" s="241"/>
      <c r="Y2088" s="284"/>
      <c r="Z2088" s="207"/>
      <c r="AA2088" s="284"/>
      <c r="AB2088" s="284"/>
      <c r="AC2088" s="284"/>
      <c r="AD2088" s="284"/>
      <c r="AE2088" s="284"/>
      <c r="AF2088" s="284"/>
      <c r="AG2088" s="284"/>
    </row>
    <row r="2089" spans="1:33" ht="26.4">
      <c r="A2089" s="284"/>
      <c r="B2089" s="284"/>
      <c r="C2089" s="284"/>
      <c r="D2089" s="284"/>
      <c r="E2089" s="284"/>
      <c r="F2089" s="284"/>
      <c r="G2089" s="284"/>
      <c r="H2089" s="284"/>
      <c r="I2089" s="284"/>
      <c r="J2089" s="375"/>
      <c r="K2089" s="375"/>
      <c r="L2089" s="375"/>
      <c r="M2089" s="368"/>
      <c r="N2089" s="368"/>
      <c r="O2089" s="370"/>
      <c r="T2089" s="340"/>
      <c r="V2089" s="378"/>
      <c r="W2089" s="64" ph="1"/>
      <c r="X2089" s="241"/>
      <c r="Y2089" s="284"/>
      <c r="Z2089" s="207"/>
      <c r="AA2089" s="284"/>
      <c r="AB2089" s="284"/>
      <c r="AC2089" s="284"/>
      <c r="AD2089" s="284"/>
      <c r="AE2089" s="284"/>
      <c r="AF2089" s="284"/>
      <c r="AG2089" s="284"/>
    </row>
    <row r="2090" spans="1:33" ht="26.4">
      <c r="A2090" s="284"/>
      <c r="B2090" s="284"/>
      <c r="C2090" s="284"/>
      <c r="D2090" s="284"/>
      <c r="E2090" s="284"/>
      <c r="F2090" s="284"/>
      <c r="G2090" s="284"/>
      <c r="H2090" s="284"/>
      <c r="I2090" s="284"/>
      <c r="J2090" s="375"/>
      <c r="K2090" s="375"/>
      <c r="L2090" s="375"/>
      <c r="M2090" s="368"/>
      <c r="N2090" s="368"/>
      <c r="O2090" s="370"/>
      <c r="T2090" s="340"/>
      <c r="V2090" s="378"/>
      <c r="W2090" s="64" ph="1"/>
      <c r="X2090" s="241"/>
      <c r="Y2090" s="284"/>
      <c r="Z2090" s="207"/>
      <c r="AA2090" s="284"/>
      <c r="AB2090" s="284"/>
      <c r="AC2090" s="284"/>
      <c r="AD2090" s="284"/>
      <c r="AE2090" s="284"/>
      <c r="AF2090" s="284"/>
      <c r="AG2090" s="284"/>
    </row>
    <row r="2091" spans="1:33" ht="26.4">
      <c r="A2091" s="284"/>
      <c r="B2091" s="284"/>
      <c r="C2091" s="284"/>
      <c r="D2091" s="284"/>
      <c r="E2091" s="284"/>
      <c r="F2091" s="284"/>
      <c r="G2091" s="284"/>
      <c r="H2091" s="284"/>
      <c r="I2091" s="284"/>
      <c r="J2091" s="375"/>
      <c r="K2091" s="375"/>
      <c r="L2091" s="375"/>
      <c r="M2091" s="368"/>
      <c r="N2091" s="368"/>
      <c r="O2091" s="370"/>
      <c r="T2091" s="340"/>
      <c r="V2091" s="378"/>
      <c r="W2091" s="64" ph="1"/>
      <c r="X2091" s="241"/>
      <c r="Y2091" s="284"/>
      <c r="Z2091" s="207"/>
      <c r="AA2091" s="284"/>
      <c r="AB2091" s="284"/>
      <c r="AC2091" s="284"/>
      <c r="AD2091" s="284"/>
      <c r="AE2091" s="284"/>
      <c r="AF2091" s="284"/>
      <c r="AG2091" s="284"/>
    </row>
    <row r="2092" spans="1:33" ht="26.4">
      <c r="A2092" s="284"/>
      <c r="B2092" s="284"/>
      <c r="C2092" s="284"/>
      <c r="D2092" s="284"/>
      <c r="E2092" s="284"/>
      <c r="F2092" s="284"/>
      <c r="G2092" s="284"/>
      <c r="H2092" s="284"/>
      <c r="I2092" s="284"/>
      <c r="J2092" s="375"/>
      <c r="K2092" s="375"/>
      <c r="L2092" s="375"/>
      <c r="M2092" s="368"/>
      <c r="N2092" s="368"/>
      <c r="O2092" s="370"/>
      <c r="T2092" s="340"/>
      <c r="V2092" s="378"/>
      <c r="W2092" s="64" ph="1"/>
      <c r="X2092" s="241"/>
      <c r="Y2092" s="284"/>
      <c r="Z2092" s="207"/>
      <c r="AA2092" s="284"/>
      <c r="AB2092" s="284"/>
      <c r="AC2092" s="284"/>
      <c r="AD2092" s="284"/>
      <c r="AE2092" s="284"/>
      <c r="AF2092" s="284"/>
      <c r="AG2092" s="284"/>
    </row>
    <row r="2093" spans="1:33" ht="26.4">
      <c r="A2093" s="284"/>
      <c r="B2093" s="284"/>
      <c r="C2093" s="284"/>
      <c r="D2093" s="284"/>
      <c r="E2093" s="284"/>
      <c r="F2093" s="284"/>
      <c r="G2093" s="284"/>
      <c r="H2093" s="284"/>
      <c r="I2093" s="284"/>
      <c r="J2093" s="375"/>
      <c r="K2093" s="375"/>
      <c r="L2093" s="375"/>
      <c r="M2093" s="368"/>
      <c r="N2093" s="368"/>
      <c r="O2093" s="370"/>
      <c r="T2093" s="340"/>
      <c r="V2093" s="378"/>
      <c r="W2093" s="64" ph="1"/>
      <c r="X2093" s="241"/>
      <c r="Y2093" s="284"/>
      <c r="Z2093" s="207"/>
      <c r="AA2093" s="284"/>
      <c r="AB2093" s="284"/>
      <c r="AC2093" s="284"/>
      <c r="AD2093" s="284"/>
      <c r="AE2093" s="284"/>
      <c r="AF2093" s="284"/>
      <c r="AG2093" s="284"/>
    </row>
    <row r="2094" spans="1:33" ht="26.4">
      <c r="A2094" s="284"/>
      <c r="B2094" s="284"/>
      <c r="C2094" s="284"/>
      <c r="D2094" s="284"/>
      <c r="E2094" s="284"/>
      <c r="F2094" s="284"/>
      <c r="G2094" s="284"/>
      <c r="H2094" s="284"/>
      <c r="I2094" s="284"/>
      <c r="J2094" s="375"/>
      <c r="K2094" s="375"/>
      <c r="L2094" s="375"/>
      <c r="M2094" s="368"/>
      <c r="N2094" s="368"/>
      <c r="O2094" s="370"/>
      <c r="T2094" s="340"/>
      <c r="V2094" s="378"/>
      <c r="W2094" s="64" ph="1"/>
      <c r="X2094" s="241"/>
      <c r="Y2094" s="284"/>
      <c r="Z2094" s="207"/>
      <c r="AA2094" s="284"/>
      <c r="AB2094" s="284"/>
      <c r="AC2094" s="284"/>
      <c r="AD2094" s="284"/>
      <c r="AE2094" s="284"/>
      <c r="AF2094" s="284"/>
      <c r="AG2094" s="284"/>
    </row>
    <row r="2095" spans="1:33" ht="26.4">
      <c r="A2095" s="284"/>
      <c r="B2095" s="284"/>
      <c r="C2095" s="284"/>
      <c r="D2095" s="284"/>
      <c r="E2095" s="284"/>
      <c r="F2095" s="284"/>
      <c r="G2095" s="284"/>
      <c r="H2095" s="284"/>
      <c r="I2095" s="284"/>
      <c r="J2095" s="375"/>
      <c r="K2095" s="375"/>
      <c r="L2095" s="375"/>
      <c r="M2095" s="368"/>
      <c r="N2095" s="368"/>
      <c r="O2095" s="370"/>
      <c r="T2095" s="340"/>
      <c r="V2095" s="378"/>
      <c r="W2095" s="64" ph="1"/>
      <c r="X2095" s="241"/>
      <c r="Y2095" s="284"/>
      <c r="Z2095" s="207"/>
      <c r="AA2095" s="284"/>
      <c r="AB2095" s="284"/>
      <c r="AC2095" s="284"/>
      <c r="AD2095" s="284"/>
      <c r="AE2095" s="284"/>
      <c r="AF2095" s="284"/>
      <c r="AG2095" s="284"/>
    </row>
    <row r="2096" spans="1:33" ht="26.4">
      <c r="A2096" s="284"/>
      <c r="B2096" s="284"/>
      <c r="C2096" s="284"/>
      <c r="D2096" s="284"/>
      <c r="E2096" s="284"/>
      <c r="F2096" s="284"/>
      <c r="G2096" s="284"/>
      <c r="H2096" s="284"/>
      <c r="I2096" s="284"/>
      <c r="J2096" s="375"/>
      <c r="K2096" s="375"/>
      <c r="L2096" s="375"/>
      <c r="M2096" s="368"/>
      <c r="N2096" s="368"/>
      <c r="O2096" s="370"/>
      <c r="T2096" s="340"/>
      <c r="V2096" s="378"/>
      <c r="W2096" s="64" ph="1"/>
      <c r="X2096" s="241"/>
      <c r="Y2096" s="284"/>
      <c r="Z2096" s="207"/>
      <c r="AA2096" s="284"/>
      <c r="AB2096" s="284"/>
      <c r="AC2096" s="284"/>
      <c r="AD2096" s="284"/>
      <c r="AE2096" s="284"/>
      <c r="AF2096" s="284"/>
      <c r="AG2096" s="284"/>
    </row>
    <row r="2097" spans="1:33" ht="26.4">
      <c r="A2097" s="284"/>
      <c r="B2097" s="284"/>
      <c r="C2097" s="284"/>
      <c r="D2097" s="284"/>
      <c r="E2097" s="284"/>
      <c r="F2097" s="284"/>
      <c r="G2097" s="284"/>
      <c r="H2097" s="284"/>
      <c r="I2097" s="284"/>
      <c r="J2097" s="375"/>
      <c r="K2097" s="375"/>
      <c r="L2097" s="375"/>
      <c r="M2097" s="368"/>
      <c r="N2097" s="368"/>
      <c r="O2097" s="370"/>
      <c r="T2097" s="340"/>
      <c r="V2097" s="378"/>
      <c r="W2097" s="64" ph="1"/>
      <c r="X2097" s="241"/>
      <c r="Y2097" s="284"/>
      <c r="Z2097" s="207"/>
      <c r="AA2097" s="284"/>
      <c r="AB2097" s="284"/>
      <c r="AC2097" s="284"/>
      <c r="AD2097" s="284"/>
      <c r="AE2097" s="284"/>
      <c r="AF2097" s="284"/>
      <c r="AG2097" s="284"/>
    </row>
    <row r="2098" spans="1:33" ht="26.4">
      <c r="A2098" s="284"/>
      <c r="B2098" s="284"/>
      <c r="C2098" s="284"/>
      <c r="D2098" s="284"/>
      <c r="E2098" s="284"/>
      <c r="F2098" s="284"/>
      <c r="G2098" s="284"/>
      <c r="H2098" s="284"/>
      <c r="I2098" s="284"/>
      <c r="J2098" s="375"/>
      <c r="K2098" s="375"/>
      <c r="L2098" s="375"/>
      <c r="M2098" s="368"/>
      <c r="N2098" s="368"/>
      <c r="O2098" s="370"/>
      <c r="T2098" s="340"/>
      <c r="V2098" s="378"/>
      <c r="W2098" s="64" ph="1"/>
      <c r="X2098" s="241"/>
      <c r="Y2098" s="284"/>
      <c r="Z2098" s="207"/>
      <c r="AA2098" s="284"/>
      <c r="AB2098" s="284"/>
      <c r="AC2098" s="284"/>
      <c r="AD2098" s="284"/>
      <c r="AE2098" s="284"/>
      <c r="AF2098" s="284"/>
      <c r="AG2098" s="284"/>
    </row>
    <row r="2099" spans="1:33" ht="26.4">
      <c r="A2099" s="284"/>
      <c r="B2099" s="284"/>
      <c r="C2099" s="284"/>
      <c r="D2099" s="284"/>
      <c r="E2099" s="284"/>
      <c r="F2099" s="284"/>
      <c r="G2099" s="284"/>
      <c r="H2099" s="284"/>
      <c r="I2099" s="284"/>
      <c r="J2099" s="375"/>
      <c r="K2099" s="375"/>
      <c r="L2099" s="375"/>
      <c r="M2099" s="368"/>
      <c r="N2099" s="368"/>
      <c r="O2099" s="370"/>
      <c r="T2099" s="340"/>
      <c r="V2099" s="378"/>
      <c r="W2099" s="64" ph="1"/>
      <c r="X2099" s="241"/>
      <c r="Y2099" s="284"/>
      <c r="Z2099" s="207"/>
      <c r="AA2099" s="284"/>
      <c r="AB2099" s="284"/>
      <c r="AC2099" s="284"/>
      <c r="AD2099" s="284"/>
      <c r="AE2099" s="284"/>
      <c r="AF2099" s="284"/>
      <c r="AG2099" s="284"/>
    </row>
    <row r="2100" spans="1:33" ht="26.4">
      <c r="A2100" s="284"/>
      <c r="B2100" s="284"/>
      <c r="C2100" s="284"/>
      <c r="D2100" s="284"/>
      <c r="E2100" s="284"/>
      <c r="F2100" s="284"/>
      <c r="G2100" s="284"/>
      <c r="H2100" s="284"/>
      <c r="I2100" s="284"/>
      <c r="J2100" s="375"/>
      <c r="K2100" s="375"/>
      <c r="L2100" s="375"/>
      <c r="M2100" s="368"/>
      <c r="N2100" s="368"/>
      <c r="O2100" s="370"/>
      <c r="T2100" s="340"/>
      <c r="V2100" s="378"/>
      <c r="W2100" s="64" ph="1"/>
      <c r="X2100" s="241"/>
      <c r="Y2100" s="284"/>
      <c r="Z2100" s="207"/>
      <c r="AA2100" s="284"/>
      <c r="AB2100" s="284"/>
      <c r="AC2100" s="284"/>
      <c r="AD2100" s="284"/>
      <c r="AE2100" s="284"/>
      <c r="AF2100" s="284"/>
      <c r="AG2100" s="284"/>
    </row>
    <row r="2101" spans="1:33" ht="26.4">
      <c r="A2101" s="284"/>
      <c r="B2101" s="284"/>
      <c r="C2101" s="284"/>
      <c r="D2101" s="284"/>
      <c r="E2101" s="284"/>
      <c r="F2101" s="284"/>
      <c r="G2101" s="284"/>
      <c r="H2101" s="284"/>
      <c r="I2101" s="284"/>
      <c r="J2101" s="375"/>
      <c r="K2101" s="375"/>
      <c r="L2101" s="375"/>
      <c r="M2101" s="368"/>
      <c r="N2101" s="368"/>
      <c r="O2101" s="370"/>
      <c r="T2101" s="340"/>
      <c r="V2101" s="378"/>
      <c r="W2101" s="64" ph="1"/>
      <c r="X2101" s="241"/>
      <c r="Y2101" s="284"/>
      <c r="Z2101" s="207"/>
      <c r="AA2101" s="284"/>
      <c r="AB2101" s="284"/>
      <c r="AC2101" s="284"/>
      <c r="AD2101" s="284"/>
      <c r="AE2101" s="284"/>
      <c r="AF2101" s="284"/>
      <c r="AG2101" s="284"/>
    </row>
    <row r="2102" spans="1:33" ht="26.4">
      <c r="A2102" s="284"/>
      <c r="B2102" s="284"/>
      <c r="C2102" s="284"/>
      <c r="D2102" s="284"/>
      <c r="E2102" s="284"/>
      <c r="F2102" s="284"/>
      <c r="G2102" s="284"/>
      <c r="H2102" s="284"/>
      <c r="I2102" s="284"/>
      <c r="J2102" s="375"/>
      <c r="K2102" s="375"/>
      <c r="L2102" s="375"/>
      <c r="M2102" s="368"/>
      <c r="N2102" s="368"/>
      <c r="O2102" s="370"/>
      <c r="T2102" s="340"/>
      <c r="V2102" s="378"/>
      <c r="W2102" s="64" ph="1"/>
      <c r="X2102" s="241"/>
      <c r="Y2102" s="284"/>
      <c r="Z2102" s="207"/>
      <c r="AA2102" s="284"/>
      <c r="AB2102" s="284"/>
      <c r="AC2102" s="284"/>
      <c r="AD2102" s="284"/>
      <c r="AE2102" s="284"/>
      <c r="AF2102" s="284"/>
      <c r="AG2102" s="284"/>
    </row>
    <row r="2103" spans="1:33" ht="26.4">
      <c r="A2103" s="284"/>
      <c r="B2103" s="284"/>
      <c r="C2103" s="284"/>
      <c r="D2103" s="284"/>
      <c r="E2103" s="284"/>
      <c r="F2103" s="284"/>
      <c r="G2103" s="284"/>
      <c r="H2103" s="284"/>
      <c r="I2103" s="284"/>
      <c r="J2103" s="375"/>
      <c r="K2103" s="375"/>
      <c r="L2103" s="375"/>
      <c r="M2103" s="368"/>
      <c r="N2103" s="368"/>
      <c r="O2103" s="370"/>
      <c r="T2103" s="340"/>
      <c r="V2103" s="378"/>
      <c r="W2103" s="64" ph="1"/>
      <c r="X2103" s="241"/>
      <c r="Y2103" s="284"/>
      <c r="Z2103" s="207"/>
      <c r="AA2103" s="284"/>
      <c r="AB2103" s="284"/>
      <c r="AC2103" s="284"/>
      <c r="AD2103" s="284"/>
      <c r="AE2103" s="284"/>
      <c r="AF2103" s="284"/>
      <c r="AG2103" s="284"/>
    </row>
    <row r="2104" spans="1:33" ht="26.4">
      <c r="A2104" s="284"/>
      <c r="B2104" s="284"/>
      <c r="C2104" s="284"/>
      <c r="D2104" s="284"/>
      <c r="E2104" s="284"/>
      <c r="F2104" s="284"/>
      <c r="G2104" s="284"/>
      <c r="H2104" s="284"/>
      <c r="I2104" s="284"/>
      <c r="J2104" s="375"/>
      <c r="K2104" s="375"/>
      <c r="L2104" s="375"/>
      <c r="M2104" s="368"/>
      <c r="N2104" s="368"/>
      <c r="O2104" s="370"/>
      <c r="T2104" s="340"/>
      <c r="V2104" s="378"/>
      <c r="W2104" s="64" ph="1"/>
      <c r="X2104" s="241"/>
      <c r="Y2104" s="284"/>
      <c r="Z2104" s="207"/>
      <c r="AA2104" s="284"/>
      <c r="AB2104" s="284"/>
      <c r="AC2104" s="284"/>
      <c r="AD2104" s="284"/>
      <c r="AE2104" s="284"/>
      <c r="AF2104" s="284"/>
      <c r="AG2104" s="284"/>
    </row>
    <row r="2105" spans="1:33" ht="26.4">
      <c r="A2105" s="284"/>
      <c r="B2105" s="284"/>
      <c r="C2105" s="284"/>
      <c r="D2105" s="284"/>
      <c r="E2105" s="284"/>
      <c r="F2105" s="284"/>
      <c r="G2105" s="284"/>
      <c r="H2105" s="284"/>
      <c r="I2105" s="284"/>
      <c r="J2105" s="375"/>
      <c r="K2105" s="375"/>
      <c r="L2105" s="375"/>
      <c r="M2105" s="368"/>
      <c r="N2105" s="368"/>
      <c r="O2105" s="370"/>
      <c r="T2105" s="340"/>
      <c r="V2105" s="378"/>
      <c r="W2105" s="64" ph="1"/>
      <c r="X2105" s="241"/>
      <c r="Y2105" s="284"/>
      <c r="Z2105" s="207"/>
      <c r="AA2105" s="284"/>
      <c r="AB2105" s="284"/>
      <c r="AC2105" s="284"/>
      <c r="AD2105" s="284"/>
      <c r="AE2105" s="284"/>
      <c r="AF2105" s="284"/>
      <c r="AG2105" s="284"/>
    </row>
    <row r="2106" spans="1:33" ht="26.4">
      <c r="A2106" s="284"/>
      <c r="B2106" s="284"/>
      <c r="C2106" s="284"/>
      <c r="D2106" s="284"/>
      <c r="E2106" s="284"/>
      <c r="F2106" s="284"/>
      <c r="G2106" s="284"/>
      <c r="H2106" s="284"/>
      <c r="I2106" s="284"/>
      <c r="J2106" s="375"/>
      <c r="K2106" s="375"/>
      <c r="L2106" s="375"/>
      <c r="M2106" s="368"/>
      <c r="N2106" s="368"/>
      <c r="O2106" s="370"/>
      <c r="T2106" s="340"/>
      <c r="V2106" s="378"/>
      <c r="W2106" s="64" ph="1"/>
      <c r="X2106" s="241"/>
      <c r="Y2106" s="284"/>
      <c r="Z2106" s="207"/>
      <c r="AA2106" s="284"/>
      <c r="AB2106" s="284"/>
      <c r="AC2106" s="284"/>
      <c r="AD2106" s="284"/>
      <c r="AE2106" s="284"/>
      <c r="AF2106" s="284"/>
      <c r="AG2106" s="284"/>
    </row>
    <row r="2107" spans="1:33" ht="26.4">
      <c r="A2107" s="284"/>
      <c r="B2107" s="284"/>
      <c r="C2107" s="284"/>
      <c r="D2107" s="284"/>
      <c r="E2107" s="284"/>
      <c r="F2107" s="284"/>
      <c r="G2107" s="284"/>
      <c r="H2107" s="284"/>
      <c r="I2107" s="284"/>
      <c r="J2107" s="375"/>
      <c r="K2107" s="375"/>
      <c r="L2107" s="375"/>
      <c r="M2107" s="368"/>
      <c r="N2107" s="368"/>
      <c r="O2107" s="370"/>
      <c r="T2107" s="340"/>
      <c r="V2107" s="378"/>
      <c r="W2107" s="64" ph="1"/>
      <c r="X2107" s="241"/>
      <c r="Y2107" s="284"/>
      <c r="Z2107" s="207"/>
      <c r="AA2107" s="284"/>
      <c r="AB2107" s="284"/>
      <c r="AC2107" s="284"/>
      <c r="AD2107" s="284"/>
      <c r="AE2107" s="284"/>
      <c r="AF2107" s="284"/>
      <c r="AG2107" s="284"/>
    </row>
    <row r="2108" spans="1:33" ht="26.4">
      <c r="A2108" s="284"/>
      <c r="B2108" s="284"/>
      <c r="C2108" s="284"/>
      <c r="D2108" s="284"/>
      <c r="E2108" s="284"/>
      <c r="F2108" s="284"/>
      <c r="G2108" s="284"/>
      <c r="H2108" s="284"/>
      <c r="I2108" s="284"/>
      <c r="J2108" s="375"/>
      <c r="K2108" s="375"/>
      <c r="L2108" s="375"/>
      <c r="M2108" s="368"/>
      <c r="N2108" s="368"/>
      <c r="O2108" s="370"/>
      <c r="T2108" s="340"/>
      <c r="V2108" s="378"/>
      <c r="W2108" s="64" ph="1"/>
      <c r="X2108" s="241"/>
      <c r="Y2108" s="284"/>
      <c r="Z2108" s="207"/>
      <c r="AA2108" s="284"/>
      <c r="AB2108" s="284"/>
      <c r="AC2108" s="284"/>
      <c r="AD2108" s="284"/>
      <c r="AE2108" s="284"/>
      <c r="AF2108" s="284"/>
      <c r="AG2108" s="284"/>
    </row>
    <row r="2109" spans="1:33" ht="26.4">
      <c r="A2109" s="284"/>
      <c r="B2109" s="284"/>
      <c r="C2109" s="284"/>
      <c r="D2109" s="284"/>
      <c r="E2109" s="284"/>
      <c r="F2109" s="284"/>
      <c r="G2109" s="284"/>
      <c r="H2109" s="284"/>
      <c r="I2109" s="284"/>
      <c r="J2109" s="375"/>
      <c r="K2109" s="375"/>
      <c r="L2109" s="375"/>
      <c r="M2109" s="368"/>
      <c r="N2109" s="368"/>
      <c r="O2109" s="370"/>
      <c r="T2109" s="340"/>
      <c r="V2109" s="378"/>
      <c r="W2109" s="64" ph="1"/>
      <c r="X2109" s="241"/>
      <c r="Y2109" s="284"/>
      <c r="Z2109" s="207"/>
      <c r="AA2109" s="284"/>
      <c r="AB2109" s="284"/>
      <c r="AC2109" s="284"/>
      <c r="AD2109" s="284"/>
      <c r="AE2109" s="284"/>
      <c r="AF2109" s="284"/>
      <c r="AG2109" s="284"/>
    </row>
    <row r="2110" spans="1:33" ht="26.4">
      <c r="A2110" s="284"/>
      <c r="B2110" s="284"/>
      <c r="C2110" s="284"/>
      <c r="D2110" s="284"/>
      <c r="E2110" s="284"/>
      <c r="F2110" s="284"/>
      <c r="G2110" s="284"/>
      <c r="H2110" s="284"/>
      <c r="I2110" s="284"/>
      <c r="J2110" s="375"/>
      <c r="K2110" s="375"/>
      <c r="L2110" s="375"/>
      <c r="M2110" s="368"/>
      <c r="N2110" s="368"/>
      <c r="O2110" s="370"/>
      <c r="T2110" s="340"/>
      <c r="V2110" s="378"/>
      <c r="W2110" s="64" ph="1"/>
      <c r="X2110" s="241"/>
      <c r="Y2110" s="284"/>
      <c r="Z2110" s="207"/>
      <c r="AA2110" s="284"/>
      <c r="AB2110" s="284"/>
      <c r="AC2110" s="284"/>
      <c r="AD2110" s="284"/>
      <c r="AE2110" s="284"/>
      <c r="AF2110" s="284"/>
      <c r="AG2110" s="284"/>
    </row>
    <row r="2111" spans="1:33" ht="26.4">
      <c r="A2111" s="284"/>
      <c r="B2111" s="284"/>
      <c r="C2111" s="284"/>
      <c r="D2111" s="284"/>
      <c r="E2111" s="284"/>
      <c r="F2111" s="284"/>
      <c r="G2111" s="284"/>
      <c r="H2111" s="284"/>
      <c r="I2111" s="284"/>
      <c r="J2111" s="375"/>
      <c r="K2111" s="375"/>
      <c r="L2111" s="375"/>
      <c r="M2111" s="368"/>
      <c r="N2111" s="368"/>
      <c r="O2111" s="370"/>
      <c r="T2111" s="340"/>
      <c r="V2111" s="378"/>
      <c r="W2111" s="64" ph="1"/>
      <c r="X2111" s="241"/>
      <c r="Y2111" s="284"/>
      <c r="Z2111" s="207"/>
      <c r="AA2111" s="284"/>
      <c r="AB2111" s="284"/>
      <c r="AC2111" s="284"/>
      <c r="AD2111" s="284"/>
      <c r="AE2111" s="284"/>
      <c r="AF2111" s="284"/>
      <c r="AG2111" s="284"/>
    </row>
    <row r="2112" spans="1:33" ht="26.4">
      <c r="A2112" s="284"/>
      <c r="B2112" s="284"/>
      <c r="C2112" s="284"/>
      <c r="D2112" s="284"/>
      <c r="E2112" s="284"/>
      <c r="F2112" s="284"/>
      <c r="G2112" s="284"/>
      <c r="H2112" s="284"/>
      <c r="I2112" s="284"/>
      <c r="J2112" s="375"/>
      <c r="K2112" s="375"/>
      <c r="L2112" s="375"/>
      <c r="M2112" s="368"/>
      <c r="N2112" s="368"/>
      <c r="O2112" s="370"/>
      <c r="T2112" s="340"/>
      <c r="V2112" s="378"/>
      <c r="W2112" s="64" ph="1"/>
      <c r="X2112" s="241"/>
      <c r="Y2112" s="284"/>
      <c r="Z2112" s="207"/>
      <c r="AA2112" s="284"/>
      <c r="AB2112" s="284"/>
      <c r="AC2112" s="284"/>
      <c r="AD2112" s="284"/>
      <c r="AE2112" s="284"/>
      <c r="AF2112" s="284"/>
      <c r="AG2112" s="284"/>
    </row>
    <row r="2113" spans="1:33" ht="26.4">
      <c r="A2113" s="284"/>
      <c r="B2113" s="284"/>
      <c r="C2113" s="284"/>
      <c r="D2113" s="284"/>
      <c r="E2113" s="284"/>
      <c r="F2113" s="284"/>
      <c r="G2113" s="284"/>
      <c r="H2113" s="284"/>
      <c r="I2113" s="284"/>
      <c r="J2113" s="375"/>
      <c r="K2113" s="375"/>
      <c r="L2113" s="375"/>
      <c r="M2113" s="368"/>
      <c r="N2113" s="368"/>
      <c r="O2113" s="370"/>
      <c r="T2113" s="340"/>
      <c r="V2113" s="378"/>
      <c r="W2113" s="64" ph="1"/>
      <c r="X2113" s="241"/>
      <c r="Y2113" s="284"/>
      <c r="Z2113" s="207"/>
      <c r="AA2113" s="284"/>
      <c r="AB2113" s="284"/>
      <c r="AC2113" s="284"/>
      <c r="AD2113" s="284"/>
      <c r="AE2113" s="284"/>
      <c r="AF2113" s="284"/>
      <c r="AG2113" s="284"/>
    </row>
    <row r="2114" spans="1:33" ht="26.4">
      <c r="A2114" s="284"/>
      <c r="B2114" s="284"/>
      <c r="C2114" s="284"/>
      <c r="D2114" s="284"/>
      <c r="E2114" s="284"/>
      <c r="F2114" s="284"/>
      <c r="G2114" s="284"/>
      <c r="H2114" s="284"/>
      <c r="I2114" s="284"/>
      <c r="J2114" s="375"/>
      <c r="K2114" s="375"/>
      <c r="L2114" s="375"/>
      <c r="M2114" s="368"/>
      <c r="N2114" s="368"/>
      <c r="O2114" s="370"/>
      <c r="T2114" s="340"/>
      <c r="V2114" s="378"/>
      <c r="W2114" s="64" ph="1"/>
      <c r="X2114" s="241"/>
      <c r="Y2114" s="284"/>
      <c r="Z2114" s="207"/>
      <c r="AA2114" s="284"/>
      <c r="AB2114" s="284"/>
      <c r="AC2114" s="284"/>
      <c r="AD2114" s="284"/>
      <c r="AE2114" s="284"/>
      <c r="AF2114" s="284"/>
      <c r="AG2114" s="284"/>
    </row>
    <row r="2115" spans="1:33" ht="26.4">
      <c r="A2115" s="284"/>
      <c r="B2115" s="284"/>
      <c r="C2115" s="284"/>
      <c r="D2115" s="284"/>
      <c r="E2115" s="284"/>
      <c r="F2115" s="284"/>
      <c r="G2115" s="284"/>
      <c r="H2115" s="284"/>
      <c r="I2115" s="284"/>
      <c r="J2115" s="375"/>
      <c r="K2115" s="375"/>
      <c r="L2115" s="375"/>
      <c r="M2115" s="368"/>
      <c r="N2115" s="368"/>
      <c r="O2115" s="370"/>
      <c r="T2115" s="340"/>
      <c r="V2115" s="378"/>
      <c r="W2115" s="64" ph="1"/>
      <c r="X2115" s="241"/>
      <c r="Y2115" s="284"/>
      <c r="Z2115" s="207"/>
      <c r="AA2115" s="284"/>
      <c r="AB2115" s="284"/>
      <c r="AC2115" s="284"/>
      <c r="AD2115" s="284"/>
      <c r="AE2115" s="284"/>
      <c r="AF2115" s="284"/>
      <c r="AG2115" s="284"/>
    </row>
    <row r="2116" spans="1:33" ht="26.4">
      <c r="A2116" s="284"/>
      <c r="B2116" s="284"/>
      <c r="C2116" s="284"/>
      <c r="D2116" s="284"/>
      <c r="E2116" s="284"/>
      <c r="F2116" s="284"/>
      <c r="G2116" s="284"/>
      <c r="H2116" s="284"/>
      <c r="I2116" s="284"/>
      <c r="J2116" s="375"/>
      <c r="K2116" s="375"/>
      <c r="L2116" s="375"/>
      <c r="M2116" s="368"/>
      <c r="N2116" s="368"/>
      <c r="O2116" s="370"/>
      <c r="T2116" s="340"/>
      <c r="V2116" s="378"/>
      <c r="W2116" s="64" ph="1"/>
      <c r="X2116" s="241"/>
      <c r="Y2116" s="284"/>
      <c r="Z2116" s="207"/>
      <c r="AA2116" s="284"/>
      <c r="AB2116" s="284"/>
      <c r="AC2116" s="284"/>
      <c r="AD2116" s="284"/>
      <c r="AE2116" s="284"/>
      <c r="AF2116" s="284"/>
      <c r="AG2116" s="284"/>
    </row>
    <row r="2117" spans="1:33" ht="26.4">
      <c r="A2117" s="284"/>
      <c r="B2117" s="284"/>
      <c r="C2117" s="284"/>
      <c r="D2117" s="284"/>
      <c r="E2117" s="284"/>
      <c r="F2117" s="284"/>
      <c r="G2117" s="284"/>
      <c r="H2117" s="284"/>
      <c r="I2117" s="284"/>
      <c r="J2117" s="375"/>
      <c r="K2117" s="375"/>
      <c r="L2117" s="375"/>
      <c r="M2117" s="368"/>
      <c r="N2117" s="368"/>
      <c r="O2117" s="370"/>
      <c r="T2117" s="340"/>
      <c r="V2117" s="378"/>
      <c r="W2117" s="64" ph="1"/>
      <c r="X2117" s="241"/>
      <c r="Y2117" s="284"/>
      <c r="Z2117" s="207"/>
      <c r="AA2117" s="284"/>
      <c r="AB2117" s="284"/>
      <c r="AC2117" s="284"/>
      <c r="AD2117" s="284"/>
      <c r="AE2117" s="284"/>
      <c r="AF2117" s="284"/>
      <c r="AG2117" s="284"/>
    </row>
    <row r="2118" spans="1:33" ht="26.4">
      <c r="A2118" s="284"/>
      <c r="B2118" s="284"/>
      <c r="C2118" s="284"/>
      <c r="D2118" s="284"/>
      <c r="E2118" s="284"/>
      <c r="F2118" s="284"/>
      <c r="G2118" s="284"/>
      <c r="H2118" s="284"/>
      <c r="I2118" s="284"/>
      <c r="J2118" s="375"/>
      <c r="K2118" s="375"/>
      <c r="L2118" s="375"/>
      <c r="M2118" s="368"/>
      <c r="N2118" s="368"/>
      <c r="O2118" s="370"/>
      <c r="T2118" s="340"/>
      <c r="V2118" s="378"/>
      <c r="W2118" s="64" ph="1"/>
      <c r="X2118" s="241"/>
      <c r="Y2118" s="284"/>
      <c r="Z2118" s="207"/>
      <c r="AA2118" s="284"/>
      <c r="AB2118" s="284"/>
      <c r="AC2118" s="284"/>
      <c r="AD2118" s="284"/>
      <c r="AE2118" s="284"/>
      <c r="AF2118" s="284"/>
      <c r="AG2118" s="284"/>
    </row>
    <row r="2119" spans="1:33" ht="26.4">
      <c r="A2119" s="284"/>
      <c r="B2119" s="284"/>
      <c r="C2119" s="284"/>
      <c r="D2119" s="284"/>
      <c r="E2119" s="284"/>
      <c r="F2119" s="284"/>
      <c r="G2119" s="284"/>
      <c r="H2119" s="284"/>
      <c r="I2119" s="284"/>
      <c r="J2119" s="375"/>
      <c r="K2119" s="375"/>
      <c r="L2119" s="375"/>
      <c r="M2119" s="368"/>
      <c r="N2119" s="368"/>
      <c r="O2119" s="370"/>
      <c r="T2119" s="340"/>
      <c r="V2119" s="378"/>
      <c r="W2119" s="64" ph="1"/>
      <c r="X2119" s="241"/>
      <c r="Y2119" s="284"/>
      <c r="Z2119" s="207"/>
      <c r="AA2119" s="284"/>
      <c r="AB2119" s="284"/>
      <c r="AC2119" s="284"/>
      <c r="AD2119" s="284"/>
      <c r="AE2119" s="284"/>
      <c r="AF2119" s="284"/>
      <c r="AG2119" s="284"/>
    </row>
    <row r="2120" spans="1:33" ht="26.4">
      <c r="A2120" s="284"/>
      <c r="B2120" s="284"/>
      <c r="C2120" s="284"/>
      <c r="D2120" s="284"/>
      <c r="E2120" s="284"/>
      <c r="F2120" s="284"/>
      <c r="G2120" s="284"/>
      <c r="H2120" s="284"/>
      <c r="I2120" s="284"/>
      <c r="J2120" s="375"/>
      <c r="K2120" s="375"/>
      <c r="L2120" s="375"/>
      <c r="M2120" s="368"/>
      <c r="N2120" s="368"/>
      <c r="O2120" s="370"/>
      <c r="T2120" s="340"/>
      <c r="V2120" s="378"/>
      <c r="W2120" s="64" ph="1"/>
      <c r="X2120" s="241"/>
      <c r="Y2120" s="284"/>
      <c r="Z2120" s="207"/>
      <c r="AA2120" s="284"/>
      <c r="AB2120" s="284"/>
      <c r="AC2120" s="284"/>
      <c r="AD2120" s="284"/>
      <c r="AE2120" s="284"/>
      <c r="AF2120" s="284"/>
      <c r="AG2120" s="284"/>
    </row>
    <row r="2121" spans="1:33" ht="26.4">
      <c r="A2121" s="284"/>
      <c r="B2121" s="284"/>
      <c r="C2121" s="284"/>
      <c r="D2121" s="284"/>
      <c r="E2121" s="284"/>
      <c r="F2121" s="284"/>
      <c r="G2121" s="284"/>
      <c r="H2121" s="284"/>
      <c r="I2121" s="284"/>
      <c r="J2121" s="375"/>
      <c r="K2121" s="375"/>
      <c r="L2121" s="375"/>
      <c r="M2121" s="368"/>
      <c r="N2121" s="368"/>
      <c r="O2121" s="370"/>
      <c r="T2121" s="340"/>
      <c r="V2121" s="378"/>
      <c r="W2121" s="64" ph="1"/>
      <c r="X2121" s="241"/>
      <c r="Y2121" s="284"/>
      <c r="Z2121" s="207"/>
      <c r="AA2121" s="284"/>
      <c r="AB2121" s="284"/>
      <c r="AC2121" s="284"/>
      <c r="AD2121" s="284"/>
      <c r="AE2121" s="284"/>
      <c r="AF2121" s="284"/>
      <c r="AG2121" s="284"/>
    </row>
    <row r="2122" spans="1:33" ht="26.4">
      <c r="A2122" s="284"/>
      <c r="B2122" s="284"/>
      <c r="C2122" s="284"/>
      <c r="D2122" s="284"/>
      <c r="E2122" s="284"/>
      <c r="F2122" s="284"/>
      <c r="G2122" s="284"/>
      <c r="H2122" s="284"/>
      <c r="I2122" s="284"/>
      <c r="J2122" s="375"/>
      <c r="K2122" s="375"/>
      <c r="L2122" s="375"/>
      <c r="M2122" s="368"/>
      <c r="N2122" s="368"/>
      <c r="O2122" s="370"/>
      <c r="T2122" s="340"/>
      <c r="V2122" s="378"/>
      <c r="W2122" s="64" ph="1"/>
      <c r="X2122" s="241"/>
      <c r="Y2122" s="284"/>
      <c r="Z2122" s="207"/>
      <c r="AA2122" s="284"/>
      <c r="AB2122" s="284"/>
      <c r="AC2122" s="284"/>
      <c r="AD2122" s="284"/>
      <c r="AE2122" s="284"/>
      <c r="AF2122" s="284"/>
      <c r="AG2122" s="284"/>
    </row>
    <row r="2123" spans="1:33" ht="26.4">
      <c r="A2123" s="284"/>
      <c r="B2123" s="284"/>
      <c r="C2123" s="284"/>
      <c r="D2123" s="284"/>
      <c r="E2123" s="284"/>
      <c r="F2123" s="284"/>
      <c r="G2123" s="284"/>
      <c r="H2123" s="284"/>
      <c r="I2123" s="284"/>
      <c r="J2123" s="375"/>
      <c r="K2123" s="375"/>
      <c r="L2123" s="375"/>
      <c r="M2123" s="368"/>
      <c r="N2123" s="368"/>
      <c r="O2123" s="370"/>
      <c r="T2123" s="340"/>
      <c r="V2123" s="378"/>
      <c r="W2123" s="64" ph="1"/>
      <c r="X2123" s="241"/>
      <c r="Y2123" s="284"/>
      <c r="Z2123" s="207"/>
      <c r="AA2123" s="284"/>
      <c r="AB2123" s="284"/>
      <c r="AC2123" s="284"/>
      <c r="AD2123" s="284"/>
      <c r="AE2123" s="284"/>
      <c r="AF2123" s="284"/>
      <c r="AG2123" s="284"/>
    </row>
    <row r="2124" spans="1:33" ht="26.4">
      <c r="A2124" s="284"/>
      <c r="B2124" s="284"/>
      <c r="C2124" s="284"/>
      <c r="D2124" s="284"/>
      <c r="E2124" s="284"/>
      <c r="F2124" s="284"/>
      <c r="G2124" s="284"/>
      <c r="H2124" s="284"/>
      <c r="I2124" s="284"/>
      <c r="J2124" s="375"/>
      <c r="K2124" s="375"/>
      <c r="L2124" s="375"/>
      <c r="M2124" s="368"/>
      <c r="N2124" s="368"/>
      <c r="O2124" s="370"/>
      <c r="T2124" s="340"/>
      <c r="V2124" s="378"/>
      <c r="W2124" s="64" ph="1"/>
      <c r="X2124" s="241"/>
      <c r="Y2124" s="284"/>
      <c r="Z2124" s="207"/>
      <c r="AA2124" s="284"/>
      <c r="AB2124" s="284"/>
      <c r="AC2124" s="284"/>
      <c r="AD2124" s="284"/>
      <c r="AE2124" s="284"/>
      <c r="AF2124" s="284"/>
      <c r="AG2124" s="284"/>
    </row>
    <row r="2125" spans="1:33" ht="26.4">
      <c r="A2125" s="284"/>
      <c r="B2125" s="284"/>
      <c r="C2125" s="284"/>
      <c r="D2125" s="284"/>
      <c r="E2125" s="284"/>
      <c r="F2125" s="284"/>
      <c r="G2125" s="284"/>
      <c r="H2125" s="284"/>
      <c r="I2125" s="284"/>
      <c r="J2125" s="375"/>
      <c r="K2125" s="375"/>
      <c r="L2125" s="375"/>
      <c r="M2125" s="368"/>
      <c r="N2125" s="368"/>
      <c r="O2125" s="370"/>
      <c r="T2125" s="340"/>
      <c r="V2125" s="378"/>
      <c r="W2125" s="64" ph="1"/>
      <c r="X2125" s="241"/>
      <c r="Y2125" s="284"/>
      <c r="Z2125" s="207"/>
      <c r="AA2125" s="284"/>
      <c r="AB2125" s="284"/>
      <c r="AC2125" s="284"/>
      <c r="AD2125" s="284"/>
      <c r="AE2125" s="284"/>
      <c r="AF2125" s="284"/>
      <c r="AG2125" s="284"/>
    </row>
    <row r="2126" spans="1:33" ht="26.4">
      <c r="A2126" s="284"/>
      <c r="B2126" s="284"/>
      <c r="C2126" s="284"/>
      <c r="D2126" s="284"/>
      <c r="E2126" s="284"/>
      <c r="F2126" s="284"/>
      <c r="G2126" s="284"/>
      <c r="H2126" s="284"/>
      <c r="I2126" s="284"/>
      <c r="J2126" s="375"/>
      <c r="K2126" s="375"/>
      <c r="L2126" s="375"/>
      <c r="M2126" s="368"/>
      <c r="N2126" s="368"/>
      <c r="O2126" s="370"/>
      <c r="T2126" s="340"/>
      <c r="V2126" s="378"/>
      <c r="W2126" s="64" ph="1"/>
      <c r="X2126" s="241"/>
      <c r="Y2126" s="284"/>
      <c r="Z2126" s="207"/>
      <c r="AA2126" s="284"/>
      <c r="AB2126" s="284"/>
      <c r="AC2126" s="284"/>
      <c r="AD2126" s="284"/>
      <c r="AE2126" s="284"/>
      <c r="AF2126" s="284"/>
      <c r="AG2126" s="284"/>
    </row>
    <row r="2127" spans="1:33" ht="26.4">
      <c r="A2127" s="284"/>
      <c r="B2127" s="284"/>
      <c r="C2127" s="284"/>
      <c r="D2127" s="284"/>
      <c r="E2127" s="284"/>
      <c r="F2127" s="284"/>
      <c r="G2127" s="284"/>
      <c r="H2127" s="284"/>
      <c r="I2127" s="284"/>
      <c r="J2127" s="375"/>
      <c r="K2127" s="375"/>
      <c r="L2127" s="375"/>
      <c r="M2127" s="368"/>
      <c r="N2127" s="368"/>
      <c r="O2127" s="370"/>
      <c r="T2127" s="340"/>
      <c r="V2127" s="378"/>
      <c r="W2127" s="64" ph="1"/>
      <c r="X2127" s="241"/>
      <c r="Y2127" s="284"/>
      <c r="Z2127" s="207"/>
      <c r="AA2127" s="284"/>
      <c r="AB2127" s="284"/>
      <c r="AC2127" s="284"/>
      <c r="AD2127" s="284"/>
      <c r="AE2127" s="284"/>
      <c r="AF2127" s="284"/>
      <c r="AG2127" s="284"/>
    </row>
    <row r="2128" spans="1:33" ht="26.4">
      <c r="A2128" s="284"/>
      <c r="B2128" s="284"/>
      <c r="C2128" s="284"/>
      <c r="D2128" s="284"/>
      <c r="E2128" s="284"/>
      <c r="F2128" s="284"/>
      <c r="G2128" s="284"/>
      <c r="H2128" s="284"/>
      <c r="I2128" s="284"/>
      <c r="J2128" s="375"/>
      <c r="K2128" s="375"/>
      <c r="L2128" s="375"/>
      <c r="M2128" s="368"/>
      <c r="N2128" s="368"/>
      <c r="O2128" s="370"/>
      <c r="T2128" s="340"/>
      <c r="V2128" s="378"/>
      <c r="W2128" s="64" ph="1"/>
      <c r="X2128" s="241"/>
      <c r="Y2128" s="284"/>
      <c r="Z2128" s="207"/>
      <c r="AA2128" s="284"/>
      <c r="AB2128" s="284"/>
      <c r="AC2128" s="284"/>
      <c r="AD2128" s="284"/>
      <c r="AE2128" s="284"/>
      <c r="AF2128" s="284"/>
      <c r="AG2128" s="284"/>
    </row>
    <row r="2129" spans="1:33" ht="26.4">
      <c r="A2129" s="284"/>
      <c r="B2129" s="284"/>
      <c r="C2129" s="284"/>
      <c r="D2129" s="284"/>
      <c r="E2129" s="284"/>
      <c r="F2129" s="284"/>
      <c r="G2129" s="284"/>
      <c r="H2129" s="284"/>
      <c r="I2129" s="284"/>
      <c r="J2129" s="375"/>
      <c r="K2129" s="375"/>
      <c r="L2129" s="375"/>
      <c r="M2129" s="368"/>
      <c r="N2129" s="368"/>
      <c r="O2129" s="370"/>
      <c r="T2129" s="340"/>
      <c r="V2129" s="378"/>
      <c r="W2129" s="64" ph="1"/>
      <c r="X2129" s="241"/>
      <c r="Y2129" s="284"/>
      <c r="Z2129" s="207"/>
      <c r="AA2129" s="284"/>
      <c r="AB2129" s="284"/>
      <c r="AC2129" s="284"/>
      <c r="AD2129" s="284"/>
      <c r="AE2129" s="284"/>
      <c r="AF2129" s="284"/>
      <c r="AG2129" s="284"/>
    </row>
    <row r="2130" spans="1:33" ht="26.4">
      <c r="A2130" s="284"/>
      <c r="B2130" s="284"/>
      <c r="C2130" s="284"/>
      <c r="D2130" s="284"/>
      <c r="E2130" s="284"/>
      <c r="F2130" s="284"/>
      <c r="G2130" s="284"/>
      <c r="H2130" s="284"/>
      <c r="I2130" s="284"/>
      <c r="J2130" s="375"/>
      <c r="K2130" s="375"/>
      <c r="L2130" s="375"/>
      <c r="M2130" s="368"/>
      <c r="N2130" s="368"/>
      <c r="O2130" s="370"/>
      <c r="T2130" s="340"/>
      <c r="V2130" s="378"/>
      <c r="W2130" s="64" ph="1"/>
      <c r="X2130" s="241"/>
      <c r="Y2130" s="284"/>
      <c r="Z2130" s="207"/>
      <c r="AA2130" s="284"/>
      <c r="AB2130" s="284"/>
      <c r="AC2130" s="284"/>
      <c r="AD2130" s="284"/>
      <c r="AE2130" s="284"/>
      <c r="AF2130" s="284"/>
      <c r="AG2130" s="284"/>
    </row>
    <row r="2131" spans="1:33" ht="26.4">
      <c r="A2131" s="284"/>
      <c r="B2131" s="284"/>
      <c r="C2131" s="284"/>
      <c r="D2131" s="284"/>
      <c r="E2131" s="284"/>
      <c r="F2131" s="284"/>
      <c r="G2131" s="284"/>
      <c r="H2131" s="284"/>
      <c r="I2131" s="284"/>
      <c r="J2131" s="375"/>
      <c r="K2131" s="375"/>
      <c r="L2131" s="375"/>
      <c r="M2131" s="368"/>
      <c r="N2131" s="368"/>
      <c r="O2131" s="370"/>
      <c r="T2131" s="340"/>
      <c r="V2131" s="378"/>
      <c r="W2131" s="64" ph="1"/>
      <c r="X2131" s="241"/>
      <c r="Y2131" s="284"/>
      <c r="Z2131" s="207"/>
      <c r="AA2131" s="284"/>
      <c r="AB2131" s="284"/>
      <c r="AC2131" s="284"/>
      <c r="AD2131" s="284"/>
      <c r="AE2131" s="284"/>
      <c r="AF2131" s="284"/>
      <c r="AG2131" s="284"/>
    </row>
    <row r="2132" spans="1:33" ht="26.4">
      <c r="A2132" s="284"/>
      <c r="B2132" s="284"/>
      <c r="C2132" s="284"/>
      <c r="D2132" s="284"/>
      <c r="E2132" s="284"/>
      <c r="F2132" s="284"/>
      <c r="G2132" s="284"/>
      <c r="H2132" s="284"/>
      <c r="I2132" s="284"/>
      <c r="J2132" s="375"/>
      <c r="K2132" s="375"/>
      <c r="L2132" s="375"/>
      <c r="M2132" s="368"/>
      <c r="N2132" s="368"/>
      <c r="O2132" s="370"/>
      <c r="T2132" s="340"/>
      <c r="V2132" s="378"/>
      <c r="W2132" s="64" ph="1"/>
      <c r="X2132" s="241"/>
      <c r="Y2132" s="284"/>
      <c r="Z2132" s="207"/>
      <c r="AA2132" s="284"/>
      <c r="AB2132" s="284"/>
      <c r="AC2132" s="284"/>
      <c r="AD2132" s="284"/>
      <c r="AE2132" s="284"/>
      <c r="AF2132" s="284"/>
      <c r="AG2132" s="284"/>
    </row>
    <row r="2133" spans="1:33" ht="26.4">
      <c r="A2133" s="284"/>
      <c r="B2133" s="284"/>
      <c r="C2133" s="284"/>
      <c r="D2133" s="284"/>
      <c r="E2133" s="284"/>
      <c r="F2133" s="284"/>
      <c r="G2133" s="284"/>
      <c r="H2133" s="284"/>
      <c r="I2133" s="284"/>
      <c r="J2133" s="375"/>
      <c r="K2133" s="375"/>
      <c r="L2133" s="375"/>
      <c r="M2133" s="368"/>
      <c r="N2133" s="368"/>
      <c r="O2133" s="370"/>
      <c r="T2133" s="340"/>
      <c r="V2133" s="378"/>
      <c r="W2133" s="64" ph="1"/>
      <c r="X2133" s="241"/>
      <c r="Y2133" s="284"/>
      <c r="Z2133" s="207"/>
      <c r="AA2133" s="284"/>
      <c r="AB2133" s="284"/>
      <c r="AC2133" s="284"/>
      <c r="AD2133" s="284"/>
      <c r="AE2133" s="284"/>
      <c r="AF2133" s="284"/>
      <c r="AG2133" s="284"/>
    </row>
    <row r="2134" spans="1:33" ht="26.4">
      <c r="A2134" s="284"/>
      <c r="B2134" s="284"/>
      <c r="C2134" s="284"/>
      <c r="D2134" s="284"/>
      <c r="E2134" s="284"/>
      <c r="F2134" s="284"/>
      <c r="G2134" s="284"/>
      <c r="H2134" s="284"/>
      <c r="I2134" s="284"/>
      <c r="J2134" s="375"/>
      <c r="K2134" s="375"/>
      <c r="L2134" s="375"/>
      <c r="M2134" s="368"/>
      <c r="N2134" s="368"/>
      <c r="O2134" s="370"/>
      <c r="T2134" s="340"/>
      <c r="V2134" s="378"/>
      <c r="W2134" s="64" ph="1"/>
      <c r="X2134" s="241"/>
      <c r="Y2134" s="284"/>
      <c r="Z2134" s="207"/>
      <c r="AA2134" s="284"/>
      <c r="AB2134" s="284"/>
      <c r="AC2134" s="284"/>
      <c r="AD2134" s="284"/>
      <c r="AE2134" s="284"/>
      <c r="AF2134" s="284"/>
      <c r="AG2134" s="284"/>
    </row>
    <row r="2135" spans="1:33" ht="26.4">
      <c r="A2135" s="284"/>
      <c r="B2135" s="284"/>
      <c r="C2135" s="284"/>
      <c r="D2135" s="284"/>
      <c r="E2135" s="284"/>
      <c r="F2135" s="284"/>
      <c r="G2135" s="284"/>
      <c r="H2135" s="284"/>
      <c r="I2135" s="284"/>
      <c r="J2135" s="375"/>
      <c r="K2135" s="375"/>
      <c r="L2135" s="375"/>
      <c r="M2135" s="368"/>
      <c r="N2135" s="368"/>
      <c r="O2135" s="370"/>
      <c r="T2135" s="340"/>
      <c r="V2135" s="378"/>
      <c r="W2135" s="64" ph="1"/>
      <c r="X2135" s="241"/>
      <c r="Y2135" s="284"/>
      <c r="Z2135" s="207"/>
      <c r="AA2135" s="284"/>
      <c r="AB2135" s="284"/>
      <c r="AC2135" s="284"/>
      <c r="AD2135" s="284"/>
      <c r="AE2135" s="284"/>
      <c r="AF2135" s="284"/>
      <c r="AG2135" s="284"/>
    </row>
    <row r="2136" spans="1:33" ht="26.4">
      <c r="A2136" s="284"/>
      <c r="B2136" s="284"/>
      <c r="C2136" s="284"/>
      <c r="D2136" s="284"/>
      <c r="E2136" s="284"/>
      <c r="F2136" s="284"/>
      <c r="G2136" s="284"/>
      <c r="H2136" s="284"/>
      <c r="I2136" s="284"/>
      <c r="J2136" s="375"/>
      <c r="K2136" s="375"/>
      <c r="L2136" s="375"/>
      <c r="M2136" s="368"/>
      <c r="N2136" s="368"/>
      <c r="O2136" s="370"/>
      <c r="T2136" s="340"/>
      <c r="V2136" s="378"/>
      <c r="W2136" s="64" ph="1"/>
      <c r="X2136" s="241"/>
      <c r="Y2136" s="284"/>
      <c r="Z2136" s="207"/>
      <c r="AA2136" s="284"/>
      <c r="AB2136" s="284"/>
      <c r="AC2136" s="284"/>
      <c r="AD2136" s="284"/>
      <c r="AE2136" s="284"/>
      <c r="AF2136" s="284"/>
      <c r="AG2136" s="284"/>
    </row>
    <row r="2137" spans="1:33" ht="26.4">
      <c r="A2137" s="284"/>
      <c r="B2137" s="284"/>
      <c r="C2137" s="284"/>
      <c r="D2137" s="284"/>
      <c r="E2137" s="284"/>
      <c r="F2137" s="284"/>
      <c r="G2137" s="284"/>
      <c r="H2137" s="284"/>
      <c r="I2137" s="284"/>
      <c r="J2137" s="375"/>
      <c r="K2137" s="375"/>
      <c r="L2137" s="375"/>
      <c r="M2137" s="368"/>
      <c r="N2137" s="368"/>
      <c r="O2137" s="370"/>
      <c r="T2137" s="340"/>
      <c r="V2137" s="378"/>
      <c r="W2137" s="64" ph="1"/>
      <c r="X2137" s="241"/>
      <c r="Y2137" s="284"/>
      <c r="Z2137" s="207"/>
      <c r="AA2137" s="284"/>
      <c r="AB2137" s="284"/>
      <c r="AC2137" s="284"/>
      <c r="AD2137" s="284"/>
      <c r="AE2137" s="284"/>
      <c r="AF2137" s="284"/>
      <c r="AG2137" s="284"/>
    </row>
    <row r="2138" spans="1:33" ht="26.4">
      <c r="A2138" s="284"/>
      <c r="B2138" s="284"/>
      <c r="C2138" s="284"/>
      <c r="D2138" s="284"/>
      <c r="E2138" s="284"/>
      <c r="F2138" s="284"/>
      <c r="G2138" s="284"/>
      <c r="H2138" s="284"/>
      <c r="I2138" s="284"/>
      <c r="J2138" s="375"/>
      <c r="K2138" s="375"/>
      <c r="L2138" s="375"/>
      <c r="M2138" s="368"/>
      <c r="N2138" s="368"/>
      <c r="O2138" s="370"/>
      <c r="T2138" s="340"/>
      <c r="V2138" s="378"/>
      <c r="W2138" s="64" ph="1"/>
      <c r="X2138" s="241"/>
      <c r="Y2138" s="284"/>
      <c r="Z2138" s="207"/>
      <c r="AA2138" s="284"/>
      <c r="AB2138" s="284"/>
      <c r="AC2138" s="284"/>
      <c r="AD2138" s="284"/>
      <c r="AE2138" s="284"/>
      <c r="AF2138" s="284"/>
      <c r="AG2138" s="284"/>
    </row>
    <row r="2139" spans="1:33" ht="26.4">
      <c r="A2139" s="284"/>
      <c r="B2139" s="284"/>
      <c r="C2139" s="284"/>
      <c r="D2139" s="284"/>
      <c r="E2139" s="284"/>
      <c r="F2139" s="284"/>
      <c r="G2139" s="284"/>
      <c r="H2139" s="284"/>
      <c r="I2139" s="284"/>
      <c r="J2139" s="375"/>
      <c r="K2139" s="375"/>
      <c r="L2139" s="375"/>
      <c r="M2139" s="368"/>
      <c r="N2139" s="368"/>
      <c r="O2139" s="370"/>
      <c r="T2139" s="340"/>
      <c r="V2139" s="378"/>
      <c r="W2139" s="64" ph="1"/>
      <c r="X2139" s="241"/>
      <c r="Y2139" s="284"/>
      <c r="Z2139" s="207"/>
      <c r="AA2139" s="284"/>
      <c r="AB2139" s="284"/>
      <c r="AC2139" s="284"/>
      <c r="AD2139" s="284"/>
      <c r="AE2139" s="284"/>
      <c r="AF2139" s="284"/>
      <c r="AG2139" s="284"/>
    </row>
    <row r="2140" spans="1:33" ht="26.4">
      <c r="A2140" s="284"/>
      <c r="B2140" s="284"/>
      <c r="C2140" s="284"/>
      <c r="D2140" s="284"/>
      <c r="E2140" s="284"/>
      <c r="F2140" s="284"/>
      <c r="G2140" s="284"/>
      <c r="H2140" s="284"/>
      <c r="I2140" s="284"/>
      <c r="J2140" s="375"/>
      <c r="K2140" s="375"/>
      <c r="L2140" s="375"/>
      <c r="M2140" s="368"/>
      <c r="N2140" s="368"/>
      <c r="O2140" s="370"/>
      <c r="T2140" s="340"/>
      <c r="V2140" s="378"/>
      <c r="W2140" s="64" ph="1"/>
      <c r="X2140" s="241"/>
      <c r="Y2140" s="284"/>
      <c r="Z2140" s="207"/>
      <c r="AA2140" s="284"/>
      <c r="AB2140" s="284"/>
      <c r="AC2140" s="284"/>
      <c r="AD2140" s="284"/>
      <c r="AE2140" s="284"/>
      <c r="AF2140" s="284"/>
      <c r="AG2140" s="284"/>
    </row>
    <row r="2141" spans="1:33" ht="26.4">
      <c r="A2141" s="284"/>
      <c r="B2141" s="284"/>
      <c r="C2141" s="284"/>
      <c r="D2141" s="284"/>
      <c r="E2141" s="284"/>
      <c r="F2141" s="284"/>
      <c r="G2141" s="284"/>
      <c r="H2141" s="284"/>
      <c r="I2141" s="284"/>
      <c r="J2141" s="375"/>
      <c r="K2141" s="375"/>
      <c r="L2141" s="375"/>
      <c r="M2141" s="368"/>
      <c r="N2141" s="368"/>
      <c r="O2141" s="370"/>
      <c r="T2141" s="340"/>
      <c r="V2141" s="378"/>
      <c r="W2141" s="64" ph="1"/>
      <c r="X2141" s="241"/>
      <c r="Y2141" s="284"/>
      <c r="Z2141" s="207"/>
      <c r="AA2141" s="284"/>
      <c r="AB2141" s="284"/>
      <c r="AC2141" s="284"/>
      <c r="AD2141" s="284"/>
      <c r="AE2141" s="284"/>
      <c r="AF2141" s="284"/>
      <c r="AG2141" s="284"/>
    </row>
    <row r="2142" spans="1:33" ht="26.4">
      <c r="A2142" s="284"/>
      <c r="B2142" s="284"/>
      <c r="C2142" s="284"/>
      <c r="D2142" s="284"/>
      <c r="E2142" s="284"/>
      <c r="F2142" s="284"/>
      <c r="G2142" s="284"/>
      <c r="H2142" s="284"/>
      <c r="I2142" s="284"/>
      <c r="J2142" s="375"/>
      <c r="K2142" s="375"/>
      <c r="L2142" s="375"/>
      <c r="M2142" s="368"/>
      <c r="N2142" s="368"/>
      <c r="O2142" s="370"/>
      <c r="T2142" s="340"/>
      <c r="V2142" s="378"/>
      <c r="W2142" s="64" ph="1"/>
      <c r="X2142" s="241"/>
      <c r="Y2142" s="284"/>
      <c r="Z2142" s="207"/>
      <c r="AA2142" s="284"/>
      <c r="AB2142" s="284"/>
      <c r="AC2142" s="284"/>
      <c r="AD2142" s="284"/>
      <c r="AE2142" s="284"/>
      <c r="AF2142" s="284"/>
      <c r="AG2142" s="284"/>
    </row>
    <row r="2143" spans="1:33" ht="26.4">
      <c r="A2143" s="284"/>
      <c r="B2143" s="284"/>
      <c r="C2143" s="284"/>
      <c r="D2143" s="284"/>
      <c r="E2143" s="284"/>
      <c r="F2143" s="284"/>
      <c r="G2143" s="284"/>
      <c r="H2143" s="284"/>
      <c r="I2143" s="284"/>
      <c r="J2143" s="375"/>
      <c r="K2143" s="375"/>
      <c r="L2143" s="375"/>
      <c r="M2143" s="368"/>
      <c r="N2143" s="368"/>
      <c r="O2143" s="370"/>
      <c r="T2143" s="340"/>
      <c r="V2143" s="378"/>
      <c r="W2143" s="64" ph="1"/>
      <c r="X2143" s="241"/>
      <c r="Y2143" s="284"/>
      <c r="Z2143" s="207"/>
      <c r="AA2143" s="284"/>
      <c r="AB2143" s="284"/>
      <c r="AC2143" s="284"/>
      <c r="AD2143" s="284"/>
      <c r="AE2143" s="284"/>
      <c r="AF2143" s="284"/>
      <c r="AG2143" s="284"/>
    </row>
    <row r="2144" spans="1:33" ht="26.4">
      <c r="A2144" s="284"/>
      <c r="B2144" s="284"/>
      <c r="C2144" s="284"/>
      <c r="D2144" s="284"/>
      <c r="E2144" s="284"/>
      <c r="F2144" s="284"/>
      <c r="G2144" s="284"/>
      <c r="H2144" s="284"/>
      <c r="I2144" s="284"/>
      <c r="J2144" s="375"/>
      <c r="K2144" s="375"/>
      <c r="L2144" s="375"/>
      <c r="M2144" s="368"/>
      <c r="N2144" s="368"/>
      <c r="O2144" s="370"/>
      <c r="T2144" s="340"/>
      <c r="V2144" s="378"/>
      <c r="W2144" s="64" ph="1"/>
      <c r="X2144" s="241"/>
      <c r="Y2144" s="284"/>
      <c r="Z2144" s="207"/>
      <c r="AA2144" s="284"/>
      <c r="AB2144" s="284"/>
      <c r="AC2144" s="284"/>
      <c r="AD2144" s="284"/>
      <c r="AE2144" s="284"/>
      <c r="AF2144" s="284"/>
      <c r="AG2144" s="284"/>
    </row>
    <row r="2145" spans="1:33" ht="26.4">
      <c r="A2145" s="284"/>
      <c r="B2145" s="284"/>
      <c r="C2145" s="284"/>
      <c r="D2145" s="284"/>
      <c r="E2145" s="284"/>
      <c r="F2145" s="284"/>
      <c r="G2145" s="284"/>
      <c r="H2145" s="284"/>
      <c r="I2145" s="284"/>
      <c r="J2145" s="375"/>
      <c r="K2145" s="375"/>
      <c r="L2145" s="375"/>
      <c r="M2145" s="368"/>
      <c r="N2145" s="368"/>
      <c r="O2145" s="370"/>
      <c r="T2145" s="340"/>
      <c r="V2145" s="378"/>
      <c r="W2145" s="64" ph="1"/>
      <c r="X2145" s="241"/>
      <c r="Y2145" s="284"/>
      <c r="Z2145" s="207"/>
      <c r="AA2145" s="284"/>
      <c r="AB2145" s="284"/>
      <c r="AC2145" s="284"/>
      <c r="AD2145" s="284"/>
      <c r="AE2145" s="284"/>
      <c r="AF2145" s="284"/>
      <c r="AG2145" s="284"/>
    </row>
    <row r="2146" spans="1:33" ht="26.4">
      <c r="A2146" s="284"/>
      <c r="B2146" s="284"/>
      <c r="C2146" s="284"/>
      <c r="D2146" s="284"/>
      <c r="E2146" s="284"/>
      <c r="F2146" s="284"/>
      <c r="G2146" s="284"/>
      <c r="H2146" s="284"/>
      <c r="I2146" s="284"/>
      <c r="J2146" s="375"/>
      <c r="K2146" s="375"/>
      <c r="L2146" s="375"/>
      <c r="M2146" s="368"/>
      <c r="N2146" s="368"/>
      <c r="O2146" s="370"/>
      <c r="T2146" s="340"/>
      <c r="V2146" s="378"/>
      <c r="W2146" s="64" ph="1"/>
      <c r="X2146" s="241"/>
      <c r="Y2146" s="284"/>
      <c r="Z2146" s="207"/>
      <c r="AA2146" s="284"/>
      <c r="AB2146" s="284"/>
      <c r="AC2146" s="284"/>
      <c r="AD2146" s="284"/>
      <c r="AE2146" s="284"/>
      <c r="AF2146" s="284"/>
      <c r="AG2146" s="284"/>
    </row>
    <row r="2147" spans="1:33" ht="26.4">
      <c r="A2147" s="284"/>
      <c r="B2147" s="284"/>
      <c r="C2147" s="284"/>
      <c r="D2147" s="284"/>
      <c r="E2147" s="284"/>
      <c r="F2147" s="284"/>
      <c r="G2147" s="284"/>
      <c r="H2147" s="284"/>
      <c r="I2147" s="284"/>
      <c r="J2147" s="375"/>
      <c r="K2147" s="375"/>
      <c r="L2147" s="375"/>
      <c r="M2147" s="368"/>
      <c r="N2147" s="368"/>
      <c r="O2147" s="370"/>
      <c r="T2147" s="340"/>
      <c r="V2147" s="378"/>
      <c r="W2147" s="64" ph="1"/>
      <c r="X2147" s="241"/>
      <c r="Y2147" s="284"/>
      <c r="Z2147" s="207"/>
      <c r="AA2147" s="284"/>
      <c r="AB2147" s="284"/>
      <c r="AC2147" s="284"/>
      <c r="AD2147" s="284"/>
      <c r="AE2147" s="284"/>
      <c r="AF2147" s="284"/>
      <c r="AG2147" s="284"/>
    </row>
    <row r="2148" spans="1:33" ht="26.4">
      <c r="A2148" s="284"/>
      <c r="B2148" s="284"/>
      <c r="C2148" s="284"/>
      <c r="D2148" s="284"/>
      <c r="E2148" s="284"/>
      <c r="F2148" s="284"/>
      <c r="G2148" s="284"/>
      <c r="H2148" s="284"/>
      <c r="I2148" s="284"/>
      <c r="J2148" s="375"/>
      <c r="K2148" s="375"/>
      <c r="L2148" s="375"/>
      <c r="M2148" s="368"/>
      <c r="N2148" s="368"/>
      <c r="O2148" s="370"/>
      <c r="T2148" s="340"/>
      <c r="V2148" s="378"/>
      <c r="W2148" s="64" ph="1"/>
      <c r="X2148" s="241"/>
      <c r="Y2148" s="284"/>
      <c r="Z2148" s="207"/>
      <c r="AA2148" s="284"/>
      <c r="AB2148" s="284"/>
      <c r="AC2148" s="284"/>
      <c r="AD2148" s="284"/>
      <c r="AE2148" s="284"/>
      <c r="AF2148" s="284"/>
      <c r="AG2148" s="284"/>
    </row>
    <row r="2149" spans="1:33" ht="26.4">
      <c r="A2149" s="284"/>
      <c r="B2149" s="284"/>
      <c r="C2149" s="284"/>
      <c r="D2149" s="284"/>
      <c r="E2149" s="284"/>
      <c r="F2149" s="284"/>
      <c r="G2149" s="284"/>
      <c r="H2149" s="284"/>
      <c r="I2149" s="284"/>
      <c r="J2149" s="375"/>
      <c r="K2149" s="375"/>
      <c r="L2149" s="375"/>
      <c r="M2149" s="368"/>
      <c r="N2149" s="368"/>
      <c r="O2149" s="370"/>
      <c r="T2149" s="340"/>
      <c r="V2149" s="378"/>
      <c r="W2149" s="64" ph="1"/>
      <c r="X2149" s="241"/>
      <c r="Y2149" s="284"/>
      <c r="Z2149" s="207"/>
      <c r="AA2149" s="284"/>
      <c r="AB2149" s="284"/>
      <c r="AC2149" s="284"/>
      <c r="AD2149" s="284"/>
      <c r="AE2149" s="284"/>
      <c r="AF2149" s="284"/>
      <c r="AG2149" s="284"/>
    </row>
    <row r="2150" spans="1:33" ht="26.4">
      <c r="A2150" s="284"/>
      <c r="B2150" s="284"/>
      <c r="C2150" s="284"/>
      <c r="D2150" s="284"/>
      <c r="E2150" s="284"/>
      <c r="F2150" s="284"/>
      <c r="G2150" s="284"/>
      <c r="H2150" s="284"/>
      <c r="I2150" s="284"/>
      <c r="J2150" s="375"/>
      <c r="K2150" s="375"/>
      <c r="L2150" s="375"/>
      <c r="M2150" s="368"/>
      <c r="N2150" s="368"/>
      <c r="O2150" s="370"/>
      <c r="T2150" s="340"/>
      <c r="V2150" s="378"/>
      <c r="W2150" s="64" ph="1"/>
      <c r="X2150" s="241"/>
      <c r="Y2150" s="284"/>
      <c r="Z2150" s="207"/>
      <c r="AA2150" s="284"/>
      <c r="AB2150" s="284"/>
      <c r="AC2150" s="284"/>
      <c r="AD2150" s="284"/>
      <c r="AE2150" s="284"/>
      <c r="AF2150" s="284"/>
      <c r="AG2150" s="284"/>
    </row>
    <row r="2151" spans="1:33" ht="26.4">
      <c r="A2151" s="284"/>
      <c r="B2151" s="284"/>
      <c r="C2151" s="284"/>
      <c r="D2151" s="284"/>
      <c r="E2151" s="284"/>
      <c r="F2151" s="284"/>
      <c r="G2151" s="284"/>
      <c r="H2151" s="284"/>
      <c r="I2151" s="284"/>
      <c r="J2151" s="375"/>
      <c r="K2151" s="375"/>
      <c r="L2151" s="375"/>
      <c r="M2151" s="368"/>
      <c r="N2151" s="368"/>
      <c r="O2151" s="370"/>
      <c r="T2151" s="340"/>
      <c r="V2151" s="378"/>
      <c r="W2151" s="64" ph="1"/>
      <c r="X2151" s="241"/>
      <c r="Y2151" s="284"/>
      <c r="Z2151" s="207"/>
      <c r="AA2151" s="284"/>
      <c r="AB2151" s="284"/>
      <c r="AC2151" s="284"/>
      <c r="AD2151" s="284"/>
      <c r="AE2151" s="284"/>
      <c r="AF2151" s="284"/>
      <c r="AG2151" s="284"/>
    </row>
    <row r="2152" spans="1:33" ht="26.4">
      <c r="A2152" s="284"/>
      <c r="B2152" s="284"/>
      <c r="C2152" s="284"/>
      <c r="D2152" s="284"/>
      <c r="E2152" s="284"/>
      <c r="F2152" s="284"/>
      <c r="G2152" s="284"/>
      <c r="H2152" s="284"/>
      <c r="I2152" s="284"/>
      <c r="J2152" s="375"/>
      <c r="K2152" s="375"/>
      <c r="L2152" s="375"/>
      <c r="M2152" s="368"/>
      <c r="N2152" s="368"/>
      <c r="O2152" s="370"/>
      <c r="T2152" s="340"/>
      <c r="V2152" s="378"/>
      <c r="W2152" s="64" ph="1"/>
      <c r="X2152" s="241"/>
      <c r="Y2152" s="284"/>
      <c r="Z2152" s="207"/>
      <c r="AA2152" s="284"/>
      <c r="AB2152" s="284"/>
      <c r="AC2152" s="284"/>
      <c r="AD2152" s="284"/>
      <c r="AE2152" s="284"/>
      <c r="AF2152" s="284"/>
      <c r="AG2152" s="284"/>
    </row>
    <row r="2153" spans="1:33" ht="26.4">
      <c r="A2153" s="284"/>
      <c r="B2153" s="284"/>
      <c r="C2153" s="284"/>
      <c r="D2153" s="284"/>
      <c r="E2153" s="284"/>
      <c r="F2153" s="284"/>
      <c r="G2153" s="284"/>
      <c r="H2153" s="284"/>
      <c r="I2153" s="284"/>
      <c r="J2153" s="375"/>
      <c r="K2153" s="375"/>
      <c r="L2153" s="375"/>
      <c r="M2153" s="368"/>
      <c r="N2153" s="368"/>
      <c r="O2153" s="370"/>
      <c r="T2153" s="340"/>
      <c r="V2153" s="378"/>
      <c r="W2153" s="64" ph="1"/>
      <c r="X2153" s="241"/>
      <c r="Y2153" s="284"/>
      <c r="Z2153" s="207"/>
      <c r="AA2153" s="284"/>
      <c r="AB2153" s="284"/>
      <c r="AC2153" s="284"/>
      <c r="AD2153" s="284"/>
      <c r="AE2153" s="284"/>
      <c r="AF2153" s="284"/>
      <c r="AG2153" s="284"/>
    </row>
    <row r="2154" spans="1:33" ht="26.4">
      <c r="A2154" s="284"/>
      <c r="B2154" s="284"/>
      <c r="C2154" s="284"/>
      <c r="D2154" s="284"/>
      <c r="E2154" s="284"/>
      <c r="F2154" s="284"/>
      <c r="G2154" s="284"/>
      <c r="H2154" s="284"/>
      <c r="I2154" s="284"/>
      <c r="J2154" s="375"/>
      <c r="K2154" s="375"/>
      <c r="L2154" s="375"/>
      <c r="M2154" s="368"/>
      <c r="N2154" s="368"/>
      <c r="O2154" s="370"/>
      <c r="T2154" s="340"/>
      <c r="V2154" s="378"/>
      <c r="W2154" s="64" ph="1"/>
      <c r="X2154" s="241"/>
      <c r="Y2154" s="284"/>
      <c r="Z2154" s="207"/>
      <c r="AA2154" s="284"/>
      <c r="AB2154" s="284"/>
      <c r="AC2154" s="284"/>
      <c r="AD2154" s="284"/>
      <c r="AE2154" s="284"/>
      <c r="AF2154" s="284"/>
      <c r="AG2154" s="284"/>
    </row>
    <row r="2155" spans="1:33" ht="26.4">
      <c r="A2155" s="284"/>
      <c r="B2155" s="284"/>
      <c r="C2155" s="284"/>
      <c r="D2155" s="284"/>
      <c r="E2155" s="284"/>
      <c r="F2155" s="284"/>
      <c r="G2155" s="284"/>
      <c r="H2155" s="284"/>
      <c r="I2155" s="284"/>
      <c r="J2155" s="375"/>
      <c r="K2155" s="375"/>
      <c r="L2155" s="375"/>
      <c r="M2155" s="368"/>
      <c r="N2155" s="368"/>
      <c r="O2155" s="370"/>
      <c r="T2155" s="340"/>
      <c r="V2155" s="378"/>
      <c r="W2155" s="64" ph="1"/>
      <c r="X2155" s="241"/>
      <c r="Y2155" s="284"/>
      <c r="Z2155" s="207"/>
      <c r="AA2155" s="284"/>
      <c r="AB2155" s="284"/>
      <c r="AC2155" s="284"/>
      <c r="AD2155" s="284"/>
      <c r="AE2155" s="284"/>
      <c r="AF2155" s="284"/>
      <c r="AG2155" s="284"/>
    </row>
    <row r="2156" spans="1:33" ht="26.4">
      <c r="A2156" s="284"/>
      <c r="B2156" s="284"/>
      <c r="C2156" s="284"/>
      <c r="D2156" s="284"/>
      <c r="E2156" s="284"/>
      <c r="F2156" s="284"/>
      <c r="G2156" s="284"/>
      <c r="H2156" s="284"/>
      <c r="I2156" s="284"/>
      <c r="J2156" s="375"/>
      <c r="K2156" s="375"/>
      <c r="L2156" s="375"/>
      <c r="M2156" s="368"/>
      <c r="N2156" s="368"/>
      <c r="O2156" s="370"/>
      <c r="T2156" s="340"/>
      <c r="V2156" s="378"/>
      <c r="W2156" s="64" ph="1"/>
      <c r="X2156" s="241"/>
      <c r="Y2156" s="284"/>
      <c r="Z2156" s="207"/>
      <c r="AA2156" s="284"/>
      <c r="AB2156" s="284"/>
      <c r="AC2156" s="284"/>
      <c r="AD2156" s="284"/>
      <c r="AE2156" s="284"/>
      <c r="AF2156" s="284"/>
      <c r="AG2156" s="284"/>
    </row>
    <row r="2157" spans="1:33" ht="26.4">
      <c r="A2157" s="284"/>
      <c r="B2157" s="284"/>
      <c r="C2157" s="284"/>
      <c r="D2157" s="284"/>
      <c r="E2157" s="284"/>
      <c r="F2157" s="284"/>
      <c r="G2157" s="284"/>
      <c r="H2157" s="284"/>
      <c r="I2157" s="284"/>
      <c r="J2157" s="375"/>
      <c r="K2157" s="375"/>
      <c r="L2157" s="375"/>
      <c r="M2157" s="368"/>
      <c r="N2157" s="368"/>
      <c r="O2157" s="370"/>
      <c r="T2157" s="340"/>
      <c r="V2157" s="378"/>
      <c r="W2157" s="64" ph="1"/>
      <c r="X2157" s="241"/>
      <c r="Y2157" s="284"/>
      <c r="Z2157" s="207"/>
      <c r="AA2157" s="284"/>
      <c r="AB2157" s="284"/>
      <c r="AC2157" s="284"/>
      <c r="AD2157" s="284"/>
      <c r="AE2157" s="284"/>
      <c r="AF2157" s="284"/>
      <c r="AG2157" s="284"/>
    </row>
    <row r="2158" spans="1:33" ht="26.4">
      <c r="A2158" s="284"/>
      <c r="B2158" s="284"/>
      <c r="C2158" s="284"/>
      <c r="D2158" s="284"/>
      <c r="E2158" s="284"/>
      <c r="F2158" s="284"/>
      <c r="G2158" s="284"/>
      <c r="H2158" s="284"/>
      <c r="I2158" s="284"/>
      <c r="J2158" s="375"/>
      <c r="K2158" s="375"/>
      <c r="L2158" s="375"/>
      <c r="M2158" s="368"/>
      <c r="N2158" s="368"/>
      <c r="O2158" s="370"/>
      <c r="T2158" s="340"/>
      <c r="V2158" s="378"/>
      <c r="W2158" s="64" ph="1"/>
      <c r="X2158" s="241"/>
      <c r="Y2158" s="284"/>
      <c r="Z2158" s="207"/>
      <c r="AA2158" s="284"/>
      <c r="AB2158" s="284"/>
      <c r="AC2158" s="284"/>
      <c r="AD2158" s="284"/>
      <c r="AE2158" s="284"/>
      <c r="AF2158" s="284"/>
      <c r="AG2158" s="284"/>
    </row>
    <row r="2159" spans="1:33" ht="26.4">
      <c r="A2159" s="284"/>
      <c r="B2159" s="284"/>
      <c r="C2159" s="284"/>
      <c r="D2159" s="284"/>
      <c r="E2159" s="284"/>
      <c r="F2159" s="284"/>
      <c r="G2159" s="284"/>
      <c r="H2159" s="284"/>
      <c r="I2159" s="284"/>
      <c r="J2159" s="375"/>
      <c r="K2159" s="375"/>
      <c r="L2159" s="375"/>
      <c r="M2159" s="368"/>
      <c r="N2159" s="368"/>
      <c r="O2159" s="370"/>
      <c r="T2159" s="340"/>
      <c r="V2159" s="378"/>
      <c r="W2159" s="64" ph="1"/>
      <c r="X2159" s="241"/>
      <c r="Y2159" s="284"/>
      <c r="Z2159" s="207"/>
      <c r="AA2159" s="284"/>
      <c r="AB2159" s="284"/>
      <c r="AC2159" s="284"/>
      <c r="AD2159" s="284"/>
      <c r="AE2159" s="284"/>
      <c r="AF2159" s="284"/>
      <c r="AG2159" s="284"/>
    </row>
    <row r="2160" spans="1:33" ht="26.4">
      <c r="A2160" s="284"/>
      <c r="B2160" s="284"/>
      <c r="C2160" s="284"/>
      <c r="D2160" s="284"/>
      <c r="E2160" s="284"/>
      <c r="F2160" s="284"/>
      <c r="G2160" s="284"/>
      <c r="H2160" s="284"/>
      <c r="I2160" s="284"/>
      <c r="J2160" s="375"/>
      <c r="K2160" s="375"/>
      <c r="L2160" s="375"/>
      <c r="M2160" s="368"/>
      <c r="N2160" s="368"/>
      <c r="O2160" s="370"/>
      <c r="T2160" s="340"/>
      <c r="V2160" s="378"/>
      <c r="W2160" s="64" ph="1"/>
      <c r="X2160" s="241"/>
      <c r="Y2160" s="284"/>
      <c r="Z2160" s="207"/>
      <c r="AA2160" s="284"/>
      <c r="AB2160" s="284"/>
      <c r="AC2160" s="284"/>
      <c r="AD2160" s="284"/>
      <c r="AE2160" s="284"/>
      <c r="AF2160" s="284"/>
      <c r="AG2160" s="284"/>
    </row>
    <row r="2161" spans="1:33" ht="26.4">
      <c r="A2161" s="284"/>
      <c r="B2161" s="284"/>
      <c r="C2161" s="284"/>
      <c r="D2161" s="284"/>
      <c r="E2161" s="284"/>
      <c r="F2161" s="284"/>
      <c r="G2161" s="284"/>
      <c r="H2161" s="284"/>
      <c r="I2161" s="284"/>
      <c r="J2161" s="375"/>
      <c r="K2161" s="375"/>
      <c r="L2161" s="375"/>
      <c r="M2161" s="368"/>
      <c r="N2161" s="368"/>
      <c r="O2161" s="370"/>
      <c r="T2161" s="340"/>
      <c r="V2161" s="378"/>
      <c r="W2161" s="64" ph="1"/>
      <c r="X2161" s="241"/>
      <c r="Y2161" s="284"/>
      <c r="Z2161" s="207"/>
      <c r="AA2161" s="284"/>
      <c r="AB2161" s="284"/>
      <c r="AC2161" s="284"/>
      <c r="AD2161" s="284"/>
      <c r="AE2161" s="284"/>
      <c r="AF2161" s="284"/>
      <c r="AG2161" s="284"/>
    </row>
    <row r="2162" spans="1:33" ht="26.4">
      <c r="A2162" s="284"/>
      <c r="B2162" s="284"/>
      <c r="C2162" s="284"/>
      <c r="D2162" s="284"/>
      <c r="E2162" s="284"/>
      <c r="F2162" s="284"/>
      <c r="G2162" s="284"/>
      <c r="H2162" s="284"/>
      <c r="I2162" s="284"/>
      <c r="J2162" s="375"/>
      <c r="K2162" s="375"/>
      <c r="L2162" s="375"/>
      <c r="M2162" s="368"/>
      <c r="N2162" s="368"/>
      <c r="O2162" s="370"/>
      <c r="T2162" s="340"/>
      <c r="V2162" s="378"/>
      <c r="W2162" s="64" ph="1"/>
      <c r="X2162" s="241"/>
      <c r="Y2162" s="284"/>
      <c r="Z2162" s="207"/>
      <c r="AA2162" s="284"/>
      <c r="AB2162" s="284"/>
      <c r="AC2162" s="284"/>
      <c r="AD2162" s="284"/>
      <c r="AE2162" s="284"/>
      <c r="AF2162" s="284"/>
      <c r="AG2162" s="284"/>
    </row>
    <row r="2163" spans="1:33" ht="26.4">
      <c r="A2163" s="284"/>
      <c r="B2163" s="284"/>
      <c r="C2163" s="284"/>
      <c r="D2163" s="284"/>
      <c r="E2163" s="284"/>
      <c r="F2163" s="284"/>
      <c r="G2163" s="284"/>
      <c r="H2163" s="284"/>
      <c r="I2163" s="284"/>
      <c r="J2163" s="375"/>
      <c r="K2163" s="375"/>
      <c r="L2163" s="375"/>
      <c r="M2163" s="368"/>
      <c r="N2163" s="368"/>
      <c r="O2163" s="370"/>
      <c r="T2163" s="340"/>
      <c r="V2163" s="378"/>
      <c r="W2163" s="64" ph="1"/>
      <c r="X2163" s="241"/>
      <c r="Y2163" s="284"/>
      <c r="Z2163" s="207"/>
      <c r="AA2163" s="284"/>
      <c r="AB2163" s="284"/>
      <c r="AC2163" s="284"/>
      <c r="AD2163" s="284"/>
      <c r="AE2163" s="284"/>
      <c r="AF2163" s="284"/>
      <c r="AG2163" s="284"/>
    </row>
    <row r="2164" spans="1:33" ht="26.4">
      <c r="A2164" s="284"/>
      <c r="B2164" s="284"/>
      <c r="C2164" s="284"/>
      <c r="D2164" s="284"/>
      <c r="E2164" s="284"/>
      <c r="F2164" s="284"/>
      <c r="G2164" s="284"/>
      <c r="H2164" s="284"/>
      <c r="I2164" s="284"/>
      <c r="J2164" s="375"/>
      <c r="K2164" s="375"/>
      <c r="L2164" s="375"/>
      <c r="M2164" s="368"/>
      <c r="N2164" s="368"/>
      <c r="O2164" s="370"/>
      <c r="T2164" s="340"/>
      <c r="V2164" s="378"/>
      <c r="W2164" s="64" ph="1"/>
      <c r="X2164" s="241"/>
      <c r="Y2164" s="284"/>
      <c r="Z2164" s="207"/>
      <c r="AA2164" s="284"/>
      <c r="AB2164" s="284"/>
      <c r="AC2164" s="284"/>
      <c r="AD2164" s="284"/>
      <c r="AE2164" s="284"/>
      <c r="AF2164" s="284"/>
      <c r="AG2164" s="284"/>
    </row>
    <row r="2165" spans="1:33" ht="26.4">
      <c r="A2165" s="284"/>
      <c r="B2165" s="284"/>
      <c r="C2165" s="284"/>
      <c r="D2165" s="284"/>
      <c r="E2165" s="284"/>
      <c r="F2165" s="284"/>
      <c r="G2165" s="284"/>
      <c r="H2165" s="284"/>
      <c r="I2165" s="284"/>
      <c r="J2165" s="375"/>
      <c r="K2165" s="375"/>
      <c r="L2165" s="375"/>
      <c r="M2165" s="368"/>
      <c r="N2165" s="368"/>
      <c r="O2165" s="370"/>
      <c r="T2165" s="340"/>
      <c r="V2165" s="378"/>
      <c r="W2165" s="64" ph="1"/>
      <c r="X2165" s="241"/>
      <c r="Y2165" s="284"/>
      <c r="Z2165" s="207"/>
      <c r="AA2165" s="284"/>
      <c r="AB2165" s="284"/>
      <c r="AC2165" s="284"/>
      <c r="AD2165" s="284"/>
      <c r="AE2165" s="284"/>
      <c r="AF2165" s="284"/>
      <c r="AG2165" s="284"/>
    </row>
    <row r="2166" spans="1:33" ht="26.4">
      <c r="A2166" s="284"/>
      <c r="B2166" s="284"/>
      <c r="C2166" s="284"/>
      <c r="D2166" s="284"/>
      <c r="E2166" s="284"/>
      <c r="F2166" s="284"/>
      <c r="G2166" s="284"/>
      <c r="H2166" s="284"/>
      <c r="I2166" s="284"/>
      <c r="J2166" s="375"/>
      <c r="K2166" s="375"/>
      <c r="L2166" s="375"/>
      <c r="M2166" s="368"/>
      <c r="N2166" s="368"/>
      <c r="O2166" s="370"/>
      <c r="T2166" s="340"/>
      <c r="V2166" s="378"/>
      <c r="W2166" s="64" ph="1"/>
      <c r="X2166" s="241"/>
      <c r="Y2166" s="284"/>
      <c r="Z2166" s="207"/>
      <c r="AA2166" s="284"/>
      <c r="AB2166" s="284"/>
      <c r="AC2166" s="284"/>
      <c r="AD2166" s="284"/>
      <c r="AE2166" s="284"/>
      <c r="AF2166" s="284"/>
      <c r="AG2166" s="284"/>
    </row>
    <row r="2167" spans="1:33" ht="26.4">
      <c r="A2167" s="284"/>
      <c r="B2167" s="284"/>
      <c r="C2167" s="284"/>
      <c r="D2167" s="284"/>
      <c r="E2167" s="284"/>
      <c r="F2167" s="284"/>
      <c r="G2167" s="284"/>
      <c r="H2167" s="284"/>
      <c r="I2167" s="284"/>
      <c r="J2167" s="375"/>
      <c r="K2167" s="375"/>
      <c r="L2167" s="375"/>
      <c r="M2167" s="368"/>
      <c r="N2167" s="368"/>
      <c r="O2167" s="370"/>
      <c r="T2167" s="340"/>
      <c r="V2167" s="378"/>
      <c r="W2167" s="64" ph="1"/>
      <c r="X2167" s="241"/>
      <c r="Y2167" s="284"/>
      <c r="Z2167" s="207"/>
      <c r="AA2167" s="284"/>
      <c r="AB2167" s="284"/>
      <c r="AC2167" s="284"/>
      <c r="AD2167" s="284"/>
      <c r="AE2167" s="284"/>
      <c r="AF2167" s="284"/>
      <c r="AG2167" s="284"/>
    </row>
    <row r="2168" spans="1:33" ht="26.4">
      <c r="A2168" s="284"/>
      <c r="B2168" s="284"/>
      <c r="C2168" s="284"/>
      <c r="D2168" s="284"/>
      <c r="E2168" s="284"/>
      <c r="F2168" s="284"/>
      <c r="G2168" s="284"/>
      <c r="H2168" s="284"/>
      <c r="I2168" s="284"/>
      <c r="J2168" s="375"/>
      <c r="K2168" s="375"/>
      <c r="L2168" s="375"/>
      <c r="M2168" s="368"/>
      <c r="N2168" s="368"/>
      <c r="O2168" s="370"/>
      <c r="T2168" s="340"/>
      <c r="V2168" s="378"/>
      <c r="W2168" s="64" ph="1"/>
      <c r="X2168" s="241"/>
      <c r="Y2168" s="284"/>
      <c r="Z2168" s="207"/>
      <c r="AA2168" s="284"/>
      <c r="AB2168" s="284"/>
      <c r="AC2168" s="284"/>
      <c r="AD2168" s="284"/>
      <c r="AE2168" s="284"/>
      <c r="AF2168" s="284"/>
      <c r="AG2168" s="284"/>
    </row>
    <row r="2169" spans="1:33" ht="26.4">
      <c r="A2169" s="284"/>
      <c r="B2169" s="284"/>
      <c r="C2169" s="284"/>
      <c r="D2169" s="284"/>
      <c r="E2169" s="284"/>
      <c r="F2169" s="284"/>
      <c r="G2169" s="284"/>
      <c r="H2169" s="284"/>
      <c r="I2169" s="284"/>
      <c r="J2169" s="375"/>
      <c r="K2169" s="375"/>
      <c r="L2169" s="375"/>
      <c r="M2169" s="368"/>
      <c r="N2169" s="368"/>
      <c r="O2169" s="370"/>
      <c r="T2169" s="340"/>
      <c r="V2169" s="378"/>
      <c r="W2169" s="64" ph="1"/>
      <c r="X2169" s="241"/>
      <c r="Y2169" s="284"/>
      <c r="Z2169" s="207"/>
      <c r="AA2169" s="284"/>
      <c r="AB2169" s="284"/>
      <c r="AC2169" s="284"/>
      <c r="AD2169" s="284"/>
      <c r="AE2169" s="284"/>
      <c r="AF2169" s="284"/>
      <c r="AG2169" s="284"/>
    </row>
    <row r="2170" spans="1:33" ht="26.4">
      <c r="A2170" s="284"/>
      <c r="B2170" s="284"/>
      <c r="C2170" s="284"/>
      <c r="D2170" s="284"/>
      <c r="E2170" s="284"/>
      <c r="F2170" s="284"/>
      <c r="G2170" s="284"/>
      <c r="H2170" s="284"/>
      <c r="I2170" s="284"/>
      <c r="J2170" s="375"/>
      <c r="K2170" s="375"/>
      <c r="L2170" s="375"/>
      <c r="M2170" s="368"/>
      <c r="N2170" s="368"/>
      <c r="O2170" s="370"/>
      <c r="T2170" s="340"/>
      <c r="V2170" s="378"/>
      <c r="W2170" s="64" ph="1"/>
      <c r="X2170" s="241"/>
      <c r="Y2170" s="284"/>
      <c r="Z2170" s="207"/>
      <c r="AA2170" s="284"/>
      <c r="AB2170" s="284"/>
      <c r="AC2170" s="284"/>
      <c r="AD2170" s="284"/>
      <c r="AE2170" s="284"/>
      <c r="AF2170" s="284"/>
      <c r="AG2170" s="284"/>
    </row>
    <row r="2171" spans="1:33" ht="26.4">
      <c r="A2171" s="284"/>
      <c r="B2171" s="284"/>
      <c r="C2171" s="284"/>
      <c r="D2171" s="284"/>
      <c r="E2171" s="284"/>
      <c r="F2171" s="284"/>
      <c r="G2171" s="284"/>
      <c r="H2171" s="284"/>
      <c r="I2171" s="284"/>
      <c r="J2171" s="375"/>
      <c r="K2171" s="375"/>
      <c r="L2171" s="375"/>
      <c r="M2171" s="368"/>
      <c r="N2171" s="368"/>
      <c r="O2171" s="370"/>
      <c r="T2171" s="340"/>
      <c r="V2171" s="378"/>
      <c r="W2171" s="64" ph="1"/>
      <c r="X2171" s="241"/>
      <c r="Y2171" s="284"/>
      <c r="Z2171" s="207"/>
      <c r="AA2171" s="284"/>
      <c r="AB2171" s="284"/>
      <c r="AC2171" s="284"/>
      <c r="AD2171" s="284"/>
      <c r="AE2171" s="284"/>
      <c r="AF2171" s="284"/>
      <c r="AG2171" s="284"/>
    </row>
    <row r="2172" spans="1:33" ht="26.4">
      <c r="A2172" s="284"/>
      <c r="B2172" s="284"/>
      <c r="C2172" s="284"/>
      <c r="D2172" s="284"/>
      <c r="E2172" s="284"/>
      <c r="F2172" s="284"/>
      <c r="G2172" s="284"/>
      <c r="H2172" s="284"/>
      <c r="I2172" s="284"/>
      <c r="J2172" s="375"/>
      <c r="K2172" s="375"/>
      <c r="L2172" s="375"/>
      <c r="M2172" s="368"/>
      <c r="N2172" s="368"/>
      <c r="O2172" s="370"/>
      <c r="T2172" s="340"/>
      <c r="V2172" s="378"/>
      <c r="W2172" s="64" ph="1"/>
      <c r="X2172" s="241"/>
      <c r="Y2172" s="284"/>
      <c r="Z2172" s="207"/>
      <c r="AA2172" s="284"/>
      <c r="AB2172" s="284"/>
      <c r="AC2172" s="284"/>
      <c r="AD2172" s="284"/>
      <c r="AE2172" s="284"/>
      <c r="AF2172" s="284"/>
      <c r="AG2172" s="284"/>
    </row>
    <row r="2173" spans="1:33" ht="26.4">
      <c r="A2173" s="284"/>
      <c r="B2173" s="284"/>
      <c r="C2173" s="284"/>
      <c r="D2173" s="284"/>
      <c r="E2173" s="284"/>
      <c r="F2173" s="284"/>
      <c r="G2173" s="284"/>
      <c r="H2173" s="284"/>
      <c r="I2173" s="284"/>
      <c r="J2173" s="375"/>
      <c r="K2173" s="375"/>
      <c r="L2173" s="375"/>
      <c r="M2173" s="368"/>
      <c r="N2173" s="368"/>
      <c r="O2173" s="370"/>
      <c r="T2173" s="340"/>
      <c r="V2173" s="378"/>
      <c r="W2173" s="64" ph="1"/>
      <c r="X2173" s="241"/>
      <c r="Y2173" s="284"/>
      <c r="Z2173" s="207"/>
      <c r="AA2173" s="284"/>
      <c r="AB2173" s="284"/>
      <c r="AC2173" s="284"/>
      <c r="AD2173" s="284"/>
      <c r="AE2173" s="284"/>
      <c r="AF2173" s="284"/>
      <c r="AG2173" s="284"/>
    </row>
    <row r="2174" spans="1:33" ht="26.4">
      <c r="A2174" s="284"/>
      <c r="B2174" s="284"/>
      <c r="C2174" s="284"/>
      <c r="D2174" s="284"/>
      <c r="E2174" s="284"/>
      <c r="F2174" s="284"/>
      <c r="G2174" s="284"/>
      <c r="H2174" s="284"/>
      <c r="I2174" s="284"/>
      <c r="J2174" s="375"/>
      <c r="K2174" s="375"/>
      <c r="L2174" s="375"/>
      <c r="M2174" s="368"/>
      <c r="N2174" s="368"/>
      <c r="O2174" s="370"/>
      <c r="T2174" s="340"/>
      <c r="V2174" s="378"/>
      <c r="W2174" s="64" ph="1"/>
      <c r="X2174" s="241"/>
      <c r="Y2174" s="284"/>
      <c r="Z2174" s="207"/>
      <c r="AA2174" s="284"/>
      <c r="AB2174" s="284"/>
      <c r="AC2174" s="284"/>
      <c r="AD2174" s="284"/>
      <c r="AE2174" s="284"/>
      <c r="AF2174" s="284"/>
      <c r="AG2174" s="284"/>
    </row>
    <row r="2175" spans="1:33" ht="26.4">
      <c r="A2175" s="284"/>
      <c r="B2175" s="284"/>
      <c r="C2175" s="284"/>
      <c r="D2175" s="284"/>
      <c r="E2175" s="284"/>
      <c r="F2175" s="284"/>
      <c r="G2175" s="284"/>
      <c r="H2175" s="284"/>
      <c r="I2175" s="284"/>
      <c r="J2175" s="375"/>
      <c r="K2175" s="375"/>
      <c r="L2175" s="375"/>
      <c r="M2175" s="368"/>
      <c r="N2175" s="368"/>
      <c r="O2175" s="370"/>
      <c r="T2175" s="340"/>
      <c r="V2175" s="378"/>
      <c r="W2175" s="64" ph="1"/>
      <c r="X2175" s="241"/>
      <c r="Y2175" s="284"/>
      <c r="Z2175" s="207"/>
      <c r="AA2175" s="284"/>
      <c r="AB2175" s="284"/>
      <c r="AC2175" s="284"/>
      <c r="AD2175" s="284"/>
      <c r="AE2175" s="284"/>
      <c r="AF2175" s="284"/>
      <c r="AG2175" s="284"/>
    </row>
    <row r="2176" spans="1:33" ht="26.4">
      <c r="A2176" s="284"/>
      <c r="B2176" s="284"/>
      <c r="C2176" s="284"/>
      <c r="D2176" s="284"/>
      <c r="E2176" s="284"/>
      <c r="F2176" s="284"/>
      <c r="G2176" s="284"/>
      <c r="H2176" s="284"/>
      <c r="I2176" s="284"/>
      <c r="J2176" s="375"/>
      <c r="K2176" s="375"/>
      <c r="L2176" s="375"/>
      <c r="M2176" s="368"/>
      <c r="N2176" s="368"/>
      <c r="O2176" s="370"/>
      <c r="T2176" s="340"/>
      <c r="V2176" s="378"/>
      <c r="W2176" s="64" ph="1"/>
      <c r="X2176" s="241"/>
      <c r="Y2176" s="284"/>
      <c r="Z2176" s="207"/>
      <c r="AA2176" s="284"/>
      <c r="AB2176" s="284"/>
      <c r="AC2176" s="284"/>
      <c r="AD2176" s="284"/>
      <c r="AE2176" s="284"/>
      <c r="AF2176" s="284"/>
      <c r="AG2176" s="284"/>
    </row>
    <row r="2177" spans="1:33" ht="26.4">
      <c r="A2177" s="284"/>
      <c r="B2177" s="284"/>
      <c r="C2177" s="284"/>
      <c r="D2177" s="284"/>
      <c r="E2177" s="284"/>
      <c r="F2177" s="284"/>
      <c r="G2177" s="284"/>
      <c r="H2177" s="284"/>
      <c r="I2177" s="284"/>
      <c r="J2177" s="375"/>
      <c r="K2177" s="375"/>
      <c r="L2177" s="375"/>
      <c r="M2177" s="368"/>
      <c r="N2177" s="368"/>
      <c r="O2177" s="370"/>
      <c r="T2177" s="340"/>
      <c r="V2177" s="378"/>
      <c r="W2177" s="64" ph="1"/>
      <c r="X2177" s="241"/>
      <c r="Y2177" s="284"/>
      <c r="Z2177" s="207"/>
      <c r="AA2177" s="284"/>
      <c r="AB2177" s="284"/>
      <c r="AC2177" s="284"/>
      <c r="AD2177" s="284"/>
      <c r="AE2177" s="284"/>
      <c r="AF2177" s="284"/>
      <c r="AG2177" s="284"/>
    </row>
    <row r="2178" spans="1:33" ht="26.4">
      <c r="A2178" s="284"/>
      <c r="B2178" s="284"/>
      <c r="C2178" s="284"/>
      <c r="D2178" s="284"/>
      <c r="E2178" s="284"/>
      <c r="F2178" s="284"/>
      <c r="G2178" s="284"/>
      <c r="H2178" s="284"/>
      <c r="I2178" s="284"/>
      <c r="J2178" s="375"/>
      <c r="K2178" s="375"/>
      <c r="L2178" s="375"/>
      <c r="M2178" s="368"/>
      <c r="N2178" s="368"/>
      <c r="O2178" s="370"/>
      <c r="T2178" s="340"/>
      <c r="V2178" s="378"/>
      <c r="W2178" s="64" ph="1"/>
      <c r="X2178" s="241"/>
      <c r="Y2178" s="284"/>
      <c r="Z2178" s="207"/>
      <c r="AA2178" s="284"/>
      <c r="AB2178" s="284"/>
      <c r="AC2178" s="284"/>
      <c r="AD2178" s="284"/>
      <c r="AE2178" s="284"/>
      <c r="AF2178" s="284"/>
      <c r="AG2178" s="284"/>
    </row>
    <row r="2179" spans="1:33" ht="26.4">
      <c r="A2179" s="284"/>
      <c r="B2179" s="284"/>
      <c r="C2179" s="284"/>
      <c r="D2179" s="284"/>
      <c r="E2179" s="284"/>
      <c r="F2179" s="284"/>
      <c r="G2179" s="284"/>
      <c r="H2179" s="284"/>
      <c r="I2179" s="284"/>
      <c r="J2179" s="375"/>
      <c r="K2179" s="375"/>
      <c r="L2179" s="375"/>
      <c r="M2179" s="368"/>
      <c r="N2179" s="368"/>
      <c r="O2179" s="370"/>
      <c r="T2179" s="340"/>
      <c r="V2179" s="378"/>
      <c r="W2179" s="64" ph="1"/>
      <c r="X2179" s="241"/>
      <c r="Y2179" s="284"/>
      <c r="Z2179" s="207"/>
      <c r="AA2179" s="284"/>
      <c r="AB2179" s="284"/>
      <c r="AC2179" s="284"/>
      <c r="AD2179" s="284"/>
      <c r="AE2179" s="284"/>
      <c r="AF2179" s="284"/>
      <c r="AG2179" s="284"/>
    </row>
    <row r="2180" spans="1:33" ht="26.4">
      <c r="A2180" s="284"/>
      <c r="B2180" s="284"/>
      <c r="C2180" s="284"/>
      <c r="D2180" s="284"/>
      <c r="E2180" s="284"/>
      <c r="F2180" s="284"/>
      <c r="G2180" s="284"/>
      <c r="H2180" s="284"/>
      <c r="I2180" s="284"/>
      <c r="J2180" s="375"/>
      <c r="K2180" s="375"/>
      <c r="L2180" s="375"/>
      <c r="M2180" s="368"/>
      <c r="N2180" s="368"/>
      <c r="O2180" s="370"/>
      <c r="T2180" s="340"/>
      <c r="V2180" s="378"/>
      <c r="W2180" s="64" ph="1"/>
      <c r="X2180" s="241"/>
      <c r="Y2180" s="284"/>
      <c r="Z2180" s="207"/>
      <c r="AA2180" s="284"/>
      <c r="AB2180" s="284"/>
      <c r="AC2180" s="284"/>
      <c r="AD2180" s="284"/>
      <c r="AE2180" s="284"/>
      <c r="AF2180" s="284"/>
      <c r="AG2180" s="284"/>
    </row>
    <row r="2181" spans="1:33" ht="26.4">
      <c r="A2181" s="284"/>
      <c r="B2181" s="284"/>
      <c r="C2181" s="284"/>
      <c r="D2181" s="284"/>
      <c r="E2181" s="284"/>
      <c r="F2181" s="284"/>
      <c r="G2181" s="284"/>
      <c r="H2181" s="284"/>
      <c r="I2181" s="284"/>
      <c r="J2181" s="375"/>
      <c r="K2181" s="375"/>
      <c r="L2181" s="375"/>
      <c r="M2181" s="368"/>
      <c r="N2181" s="368"/>
      <c r="O2181" s="370"/>
      <c r="T2181" s="340"/>
      <c r="V2181" s="378"/>
      <c r="W2181" s="64" ph="1"/>
      <c r="X2181" s="241"/>
      <c r="Y2181" s="284"/>
      <c r="Z2181" s="207"/>
      <c r="AA2181" s="284"/>
      <c r="AB2181" s="284"/>
      <c r="AC2181" s="284"/>
      <c r="AD2181" s="284"/>
      <c r="AE2181" s="284"/>
      <c r="AF2181" s="284"/>
      <c r="AG2181" s="284"/>
    </row>
    <row r="2182" spans="1:33" ht="26.4">
      <c r="A2182" s="284"/>
      <c r="B2182" s="284"/>
      <c r="C2182" s="284"/>
      <c r="D2182" s="284"/>
      <c r="E2182" s="284"/>
      <c r="F2182" s="284"/>
      <c r="G2182" s="284"/>
      <c r="H2182" s="284"/>
      <c r="I2182" s="284"/>
      <c r="J2182" s="375"/>
      <c r="K2182" s="375"/>
      <c r="L2182" s="375"/>
      <c r="M2182" s="368"/>
      <c r="N2182" s="368"/>
      <c r="O2182" s="370"/>
      <c r="T2182" s="340"/>
      <c r="V2182" s="378"/>
      <c r="W2182" s="64" ph="1"/>
      <c r="X2182" s="241"/>
      <c r="Y2182" s="284"/>
      <c r="Z2182" s="207"/>
      <c r="AA2182" s="284"/>
      <c r="AB2182" s="284"/>
      <c r="AC2182" s="284"/>
      <c r="AD2182" s="284"/>
      <c r="AE2182" s="284"/>
      <c r="AF2182" s="284"/>
      <c r="AG2182" s="284"/>
    </row>
    <row r="2183" spans="1:33" ht="26.4">
      <c r="A2183" s="284"/>
      <c r="B2183" s="284"/>
      <c r="C2183" s="284"/>
      <c r="D2183" s="284"/>
      <c r="E2183" s="284"/>
      <c r="F2183" s="284"/>
      <c r="G2183" s="284"/>
      <c r="H2183" s="284"/>
      <c r="I2183" s="284"/>
      <c r="J2183" s="375"/>
      <c r="K2183" s="375"/>
      <c r="L2183" s="375"/>
      <c r="M2183" s="368"/>
      <c r="N2183" s="368"/>
      <c r="O2183" s="370"/>
      <c r="T2183" s="340"/>
      <c r="V2183" s="378"/>
      <c r="W2183" s="64" ph="1"/>
      <c r="X2183" s="241"/>
      <c r="Y2183" s="284"/>
      <c r="Z2183" s="207"/>
      <c r="AA2183" s="284"/>
      <c r="AB2183" s="284"/>
      <c r="AC2183" s="284"/>
      <c r="AD2183" s="284"/>
      <c r="AE2183" s="284"/>
      <c r="AF2183" s="284"/>
      <c r="AG2183" s="284"/>
    </row>
    <row r="2184" spans="1:33" ht="26.4">
      <c r="A2184" s="284"/>
      <c r="B2184" s="284"/>
      <c r="C2184" s="284"/>
      <c r="D2184" s="284"/>
      <c r="E2184" s="284"/>
      <c r="F2184" s="284"/>
      <c r="G2184" s="284"/>
      <c r="H2184" s="284"/>
      <c r="I2184" s="284"/>
      <c r="J2184" s="375"/>
      <c r="K2184" s="375"/>
      <c r="L2184" s="375"/>
      <c r="M2184" s="368"/>
      <c r="N2184" s="368"/>
      <c r="O2184" s="370"/>
      <c r="T2184" s="340"/>
      <c r="V2184" s="378"/>
      <c r="W2184" s="64" ph="1"/>
      <c r="X2184" s="241"/>
      <c r="Y2184" s="284"/>
      <c r="Z2184" s="207"/>
      <c r="AA2184" s="284"/>
      <c r="AB2184" s="284"/>
      <c r="AC2184" s="284"/>
      <c r="AD2184" s="284"/>
      <c r="AE2184" s="284"/>
      <c r="AF2184" s="284"/>
      <c r="AG2184" s="284"/>
    </row>
    <row r="2185" spans="1:33" ht="26.4">
      <c r="A2185" s="284"/>
      <c r="B2185" s="284"/>
      <c r="C2185" s="284"/>
      <c r="D2185" s="284"/>
      <c r="E2185" s="284"/>
      <c r="F2185" s="284"/>
      <c r="G2185" s="284"/>
      <c r="H2185" s="284"/>
      <c r="I2185" s="284"/>
      <c r="J2185" s="375"/>
      <c r="K2185" s="375"/>
      <c r="L2185" s="375"/>
      <c r="M2185" s="368"/>
      <c r="N2185" s="368"/>
      <c r="O2185" s="370"/>
      <c r="T2185" s="340"/>
      <c r="V2185" s="378"/>
      <c r="W2185" s="64" ph="1"/>
      <c r="X2185" s="241"/>
      <c r="Y2185" s="284"/>
      <c r="Z2185" s="207"/>
      <c r="AA2185" s="284"/>
      <c r="AB2185" s="284"/>
      <c r="AC2185" s="284"/>
      <c r="AD2185" s="284"/>
      <c r="AE2185" s="284"/>
      <c r="AF2185" s="284"/>
      <c r="AG2185" s="284"/>
    </row>
    <row r="2186" spans="1:33" ht="26.4">
      <c r="A2186" s="284"/>
      <c r="B2186" s="284"/>
      <c r="C2186" s="284"/>
      <c r="D2186" s="284"/>
      <c r="E2186" s="284"/>
      <c r="F2186" s="284"/>
      <c r="G2186" s="284"/>
      <c r="H2186" s="284"/>
      <c r="I2186" s="284"/>
      <c r="J2186" s="375"/>
      <c r="K2186" s="375"/>
      <c r="L2186" s="375"/>
      <c r="M2186" s="368"/>
      <c r="N2186" s="368"/>
      <c r="O2186" s="370"/>
      <c r="T2186" s="340"/>
      <c r="V2186" s="378"/>
      <c r="W2186" s="64" ph="1"/>
      <c r="X2186" s="241"/>
      <c r="Y2186" s="284"/>
      <c r="Z2186" s="207"/>
      <c r="AA2186" s="284"/>
      <c r="AB2186" s="284"/>
      <c r="AC2186" s="284"/>
      <c r="AD2186" s="284"/>
      <c r="AE2186" s="284"/>
      <c r="AF2186" s="284"/>
      <c r="AG2186" s="284"/>
    </row>
    <row r="2187" spans="1:33" ht="26.4">
      <c r="A2187" s="284"/>
      <c r="B2187" s="284"/>
      <c r="C2187" s="284"/>
      <c r="D2187" s="284"/>
      <c r="E2187" s="284"/>
      <c r="F2187" s="284"/>
      <c r="G2187" s="284"/>
      <c r="H2187" s="284"/>
      <c r="I2187" s="284"/>
      <c r="J2187" s="375"/>
      <c r="K2187" s="375"/>
      <c r="L2187" s="375"/>
      <c r="M2187" s="368"/>
      <c r="N2187" s="368"/>
      <c r="O2187" s="370"/>
      <c r="T2187" s="340"/>
      <c r="V2187" s="378"/>
      <c r="W2187" s="64" ph="1"/>
      <c r="X2187" s="241"/>
      <c r="Y2187" s="284"/>
      <c r="Z2187" s="207"/>
      <c r="AA2187" s="284"/>
      <c r="AB2187" s="284"/>
      <c r="AC2187" s="284"/>
      <c r="AD2187" s="284"/>
      <c r="AE2187" s="284"/>
      <c r="AF2187" s="284"/>
      <c r="AG2187" s="284"/>
    </row>
    <row r="2188" spans="1:33" ht="26.4">
      <c r="A2188" s="284"/>
      <c r="B2188" s="284"/>
      <c r="C2188" s="284"/>
      <c r="D2188" s="284"/>
      <c r="E2188" s="284"/>
      <c r="F2188" s="284"/>
      <c r="G2188" s="284"/>
      <c r="H2188" s="284"/>
      <c r="I2188" s="284"/>
      <c r="J2188" s="375"/>
      <c r="K2188" s="375"/>
      <c r="L2188" s="375"/>
      <c r="M2188" s="368"/>
      <c r="N2188" s="368"/>
      <c r="O2188" s="370"/>
      <c r="T2188" s="340"/>
      <c r="V2188" s="378"/>
      <c r="W2188" s="64" ph="1"/>
      <c r="X2188" s="241"/>
      <c r="Y2188" s="284"/>
      <c r="Z2188" s="207"/>
      <c r="AA2188" s="284"/>
      <c r="AB2188" s="284"/>
      <c r="AC2188" s="284"/>
      <c r="AD2188" s="284"/>
      <c r="AE2188" s="284"/>
      <c r="AF2188" s="284"/>
      <c r="AG2188" s="284"/>
    </row>
    <row r="2189" spans="1:33" ht="26.4">
      <c r="A2189" s="284"/>
      <c r="B2189" s="284"/>
      <c r="C2189" s="284"/>
      <c r="D2189" s="284"/>
      <c r="E2189" s="284"/>
      <c r="F2189" s="284"/>
      <c r="G2189" s="284"/>
      <c r="H2189" s="284"/>
      <c r="I2189" s="284"/>
      <c r="J2189" s="375"/>
      <c r="K2189" s="375"/>
      <c r="L2189" s="375"/>
      <c r="M2189" s="368"/>
      <c r="N2189" s="368"/>
      <c r="O2189" s="370"/>
      <c r="T2189" s="340"/>
      <c r="V2189" s="378"/>
      <c r="W2189" s="64" ph="1"/>
      <c r="X2189" s="241"/>
      <c r="Y2189" s="284"/>
      <c r="Z2189" s="207"/>
      <c r="AA2189" s="284"/>
      <c r="AB2189" s="284"/>
      <c r="AC2189" s="284"/>
      <c r="AD2189" s="284"/>
      <c r="AE2189" s="284"/>
      <c r="AF2189" s="284"/>
      <c r="AG2189" s="284"/>
    </row>
    <row r="2190" spans="1:33" ht="26.4">
      <c r="A2190" s="284"/>
      <c r="B2190" s="284"/>
      <c r="C2190" s="284"/>
      <c r="D2190" s="284"/>
      <c r="E2190" s="284"/>
      <c r="F2190" s="284"/>
      <c r="G2190" s="284"/>
      <c r="H2190" s="284"/>
      <c r="I2190" s="284"/>
      <c r="J2190" s="375"/>
      <c r="K2190" s="375"/>
      <c r="L2190" s="375"/>
      <c r="M2190" s="368"/>
      <c r="N2190" s="368"/>
      <c r="O2190" s="370"/>
      <c r="T2190" s="340"/>
      <c r="V2190" s="378"/>
      <c r="W2190" s="64" ph="1"/>
      <c r="X2190" s="241"/>
      <c r="Y2190" s="284"/>
      <c r="Z2190" s="207"/>
      <c r="AA2190" s="284"/>
      <c r="AB2190" s="284"/>
      <c r="AC2190" s="284"/>
      <c r="AD2190" s="284"/>
      <c r="AE2190" s="284"/>
      <c r="AF2190" s="284"/>
      <c r="AG2190" s="284"/>
    </row>
    <row r="2191" spans="1:33" ht="26.4">
      <c r="A2191" s="284"/>
      <c r="B2191" s="284"/>
      <c r="C2191" s="284"/>
      <c r="D2191" s="284"/>
      <c r="E2191" s="284"/>
      <c r="F2191" s="284"/>
      <c r="G2191" s="284"/>
      <c r="H2191" s="284"/>
      <c r="I2191" s="284"/>
      <c r="J2191" s="375"/>
      <c r="K2191" s="375"/>
      <c r="L2191" s="375"/>
      <c r="M2191" s="368"/>
      <c r="N2191" s="368"/>
      <c r="O2191" s="370"/>
      <c r="T2191" s="340"/>
      <c r="V2191" s="378"/>
      <c r="W2191" s="64" ph="1"/>
      <c r="X2191" s="241"/>
      <c r="Y2191" s="284"/>
      <c r="Z2191" s="207"/>
      <c r="AA2191" s="284"/>
      <c r="AB2191" s="284"/>
      <c r="AC2191" s="284"/>
      <c r="AD2191" s="284"/>
      <c r="AE2191" s="284"/>
      <c r="AF2191" s="284"/>
      <c r="AG2191" s="284"/>
    </row>
    <row r="2192" spans="1:33" ht="26.4">
      <c r="A2192" s="284"/>
      <c r="B2192" s="284"/>
      <c r="C2192" s="284"/>
      <c r="D2192" s="284"/>
      <c r="E2192" s="284"/>
      <c r="F2192" s="284"/>
      <c r="G2192" s="284"/>
      <c r="H2192" s="284"/>
      <c r="I2192" s="284"/>
      <c r="J2192" s="375"/>
      <c r="K2192" s="375"/>
      <c r="L2192" s="375"/>
      <c r="M2192" s="368"/>
      <c r="N2192" s="368"/>
      <c r="O2192" s="370"/>
      <c r="T2192" s="340"/>
      <c r="V2192" s="378"/>
      <c r="W2192" s="64" ph="1"/>
      <c r="X2192" s="241"/>
      <c r="Y2192" s="284"/>
      <c r="Z2192" s="207"/>
      <c r="AA2192" s="284"/>
      <c r="AB2192" s="284"/>
      <c r="AC2192" s="284"/>
      <c r="AD2192" s="284"/>
      <c r="AE2192" s="284"/>
      <c r="AF2192" s="284"/>
      <c r="AG2192" s="284"/>
    </row>
    <row r="2193" spans="1:33" ht="26.4">
      <c r="A2193" s="284"/>
      <c r="B2193" s="284"/>
      <c r="C2193" s="284"/>
      <c r="D2193" s="284"/>
      <c r="E2193" s="284"/>
      <c r="F2193" s="284"/>
      <c r="G2193" s="284"/>
      <c r="H2193" s="284"/>
      <c r="I2193" s="284"/>
      <c r="J2193" s="375"/>
      <c r="K2193" s="375"/>
      <c r="L2193" s="375"/>
      <c r="M2193" s="368"/>
      <c r="N2193" s="368"/>
      <c r="O2193" s="370"/>
      <c r="T2193" s="340"/>
      <c r="V2193" s="378"/>
      <c r="W2193" s="64" ph="1"/>
      <c r="X2193" s="241"/>
      <c r="Y2193" s="284"/>
      <c r="Z2193" s="207"/>
      <c r="AA2193" s="284"/>
      <c r="AB2193" s="284"/>
      <c r="AC2193" s="284"/>
      <c r="AD2193" s="284"/>
      <c r="AE2193" s="284"/>
      <c r="AF2193" s="284"/>
      <c r="AG2193" s="284"/>
    </row>
    <row r="2194" spans="1:33" ht="26.4">
      <c r="A2194" s="284"/>
      <c r="B2194" s="284"/>
      <c r="C2194" s="284"/>
      <c r="D2194" s="284"/>
      <c r="E2194" s="284"/>
      <c r="F2194" s="284"/>
      <c r="G2194" s="284"/>
      <c r="H2194" s="284"/>
      <c r="I2194" s="284"/>
      <c r="J2194" s="375"/>
      <c r="K2194" s="375"/>
      <c r="L2194" s="375"/>
      <c r="M2194" s="368"/>
      <c r="N2194" s="368"/>
      <c r="O2194" s="370"/>
      <c r="T2194" s="340"/>
      <c r="V2194" s="378"/>
      <c r="W2194" s="64" ph="1"/>
      <c r="X2194" s="241"/>
      <c r="Y2194" s="284"/>
      <c r="Z2194" s="207"/>
      <c r="AA2194" s="284"/>
      <c r="AB2194" s="284"/>
      <c r="AC2194" s="284"/>
      <c r="AD2194" s="284"/>
      <c r="AE2194" s="284"/>
      <c r="AF2194" s="284"/>
      <c r="AG2194" s="284"/>
    </row>
    <row r="2195" spans="1:33" ht="26.4">
      <c r="A2195" s="284"/>
      <c r="B2195" s="284"/>
      <c r="C2195" s="284"/>
      <c r="D2195" s="284"/>
      <c r="E2195" s="284"/>
      <c r="F2195" s="284"/>
      <c r="G2195" s="284"/>
      <c r="H2195" s="284"/>
      <c r="I2195" s="284"/>
      <c r="J2195" s="375"/>
      <c r="K2195" s="375"/>
      <c r="L2195" s="375"/>
      <c r="M2195" s="368"/>
      <c r="N2195" s="368"/>
      <c r="O2195" s="370"/>
      <c r="T2195" s="340"/>
      <c r="V2195" s="378"/>
      <c r="W2195" s="64" ph="1"/>
      <c r="X2195" s="241"/>
      <c r="Y2195" s="284"/>
      <c r="Z2195" s="207"/>
      <c r="AA2195" s="284"/>
      <c r="AB2195" s="284"/>
      <c r="AC2195" s="284"/>
      <c r="AD2195" s="284"/>
      <c r="AE2195" s="284"/>
      <c r="AF2195" s="284"/>
      <c r="AG2195" s="284"/>
    </row>
    <row r="2196" spans="1:33" ht="26.4">
      <c r="A2196" s="284"/>
      <c r="B2196" s="284"/>
      <c r="C2196" s="284"/>
      <c r="D2196" s="284"/>
      <c r="E2196" s="284"/>
      <c r="F2196" s="284"/>
      <c r="G2196" s="284"/>
      <c r="H2196" s="284"/>
      <c r="I2196" s="284"/>
      <c r="J2196" s="375"/>
      <c r="K2196" s="375"/>
      <c r="L2196" s="375"/>
      <c r="M2196" s="368"/>
      <c r="N2196" s="368"/>
      <c r="O2196" s="370"/>
      <c r="T2196" s="340"/>
      <c r="V2196" s="378"/>
      <c r="W2196" s="64" ph="1"/>
      <c r="X2196" s="241"/>
      <c r="Y2196" s="284"/>
      <c r="Z2196" s="207"/>
      <c r="AA2196" s="284"/>
      <c r="AB2196" s="284"/>
      <c r="AC2196" s="284"/>
      <c r="AD2196" s="284"/>
      <c r="AE2196" s="284"/>
      <c r="AF2196" s="284"/>
      <c r="AG2196" s="284"/>
    </row>
    <row r="2197" spans="1:33" ht="26.4">
      <c r="A2197" s="284"/>
      <c r="B2197" s="284"/>
      <c r="C2197" s="284"/>
      <c r="D2197" s="284"/>
      <c r="E2197" s="284"/>
      <c r="F2197" s="284"/>
      <c r="G2197" s="284"/>
      <c r="H2197" s="284"/>
      <c r="I2197" s="284"/>
      <c r="J2197" s="375"/>
      <c r="K2197" s="375"/>
      <c r="L2197" s="375"/>
      <c r="M2197" s="368"/>
      <c r="N2197" s="368"/>
      <c r="O2197" s="370"/>
      <c r="T2197" s="340"/>
      <c r="V2197" s="378"/>
      <c r="W2197" s="64" ph="1"/>
      <c r="X2197" s="241"/>
      <c r="Y2197" s="284"/>
      <c r="Z2197" s="207"/>
      <c r="AA2197" s="284"/>
      <c r="AB2197" s="284"/>
      <c r="AC2197" s="284"/>
      <c r="AD2197" s="284"/>
      <c r="AE2197" s="284"/>
      <c r="AF2197" s="284"/>
      <c r="AG2197" s="284"/>
    </row>
    <row r="2198" spans="1:33" ht="26.4">
      <c r="A2198" s="284"/>
      <c r="B2198" s="284"/>
      <c r="C2198" s="284"/>
      <c r="D2198" s="284"/>
      <c r="E2198" s="284"/>
      <c r="F2198" s="284"/>
      <c r="G2198" s="284"/>
      <c r="H2198" s="284"/>
      <c r="I2198" s="284"/>
      <c r="J2198" s="375"/>
      <c r="K2198" s="375"/>
      <c r="L2198" s="375"/>
      <c r="M2198" s="368"/>
      <c r="N2198" s="368"/>
      <c r="O2198" s="370"/>
      <c r="T2198" s="340"/>
      <c r="V2198" s="378"/>
      <c r="W2198" s="64" ph="1"/>
      <c r="X2198" s="241"/>
      <c r="Y2198" s="284"/>
      <c r="Z2198" s="207"/>
      <c r="AA2198" s="284"/>
      <c r="AB2198" s="284"/>
      <c r="AC2198" s="284"/>
      <c r="AD2198" s="284"/>
      <c r="AE2198" s="284"/>
      <c r="AF2198" s="284"/>
      <c r="AG2198" s="284"/>
    </row>
    <row r="2199" spans="1:33" ht="26.4">
      <c r="A2199" s="284"/>
      <c r="B2199" s="284"/>
      <c r="C2199" s="284"/>
      <c r="D2199" s="284"/>
      <c r="E2199" s="284"/>
      <c r="F2199" s="284"/>
      <c r="G2199" s="284"/>
      <c r="H2199" s="284"/>
      <c r="I2199" s="284"/>
      <c r="J2199" s="375"/>
      <c r="K2199" s="375"/>
      <c r="L2199" s="375"/>
      <c r="M2199" s="368"/>
      <c r="N2199" s="368"/>
      <c r="O2199" s="370"/>
      <c r="T2199" s="340"/>
      <c r="V2199" s="378"/>
      <c r="W2199" s="64" ph="1"/>
      <c r="X2199" s="241"/>
      <c r="Y2199" s="284"/>
      <c r="Z2199" s="207"/>
      <c r="AA2199" s="284"/>
      <c r="AB2199" s="284"/>
      <c r="AC2199" s="284"/>
      <c r="AD2199" s="284"/>
      <c r="AE2199" s="284"/>
      <c r="AF2199" s="284"/>
      <c r="AG2199" s="284"/>
    </row>
    <row r="2200" spans="1:33" ht="26.4">
      <c r="A2200" s="284"/>
      <c r="B2200" s="284"/>
      <c r="C2200" s="284"/>
      <c r="D2200" s="284"/>
      <c r="E2200" s="284"/>
      <c r="F2200" s="284"/>
      <c r="G2200" s="284"/>
      <c r="H2200" s="284"/>
      <c r="I2200" s="284"/>
      <c r="J2200" s="375"/>
      <c r="K2200" s="375"/>
      <c r="L2200" s="375"/>
      <c r="M2200" s="368"/>
      <c r="N2200" s="368"/>
      <c r="O2200" s="370"/>
      <c r="T2200" s="340"/>
      <c r="V2200" s="378"/>
      <c r="W2200" s="64" ph="1"/>
      <c r="X2200" s="241"/>
      <c r="Y2200" s="284"/>
      <c r="Z2200" s="207"/>
      <c r="AA2200" s="284"/>
      <c r="AB2200" s="284"/>
      <c r="AC2200" s="284"/>
      <c r="AD2200" s="284"/>
      <c r="AE2200" s="284"/>
      <c r="AF2200" s="284"/>
      <c r="AG2200" s="284"/>
    </row>
    <row r="2201" spans="1:33" ht="26.4">
      <c r="A2201" s="284"/>
      <c r="B2201" s="284"/>
      <c r="C2201" s="284"/>
      <c r="D2201" s="284"/>
      <c r="E2201" s="284"/>
      <c r="F2201" s="284"/>
      <c r="G2201" s="284"/>
      <c r="H2201" s="284"/>
      <c r="I2201" s="284"/>
      <c r="J2201" s="375"/>
      <c r="K2201" s="375"/>
      <c r="L2201" s="375"/>
      <c r="M2201" s="368"/>
      <c r="N2201" s="368"/>
      <c r="O2201" s="370"/>
      <c r="T2201" s="340"/>
      <c r="V2201" s="378"/>
      <c r="W2201" s="64" ph="1"/>
      <c r="X2201" s="241"/>
      <c r="Y2201" s="284"/>
      <c r="Z2201" s="207"/>
      <c r="AA2201" s="284"/>
      <c r="AB2201" s="284"/>
      <c r="AC2201" s="284"/>
      <c r="AD2201" s="284"/>
      <c r="AE2201" s="284"/>
      <c r="AF2201" s="284"/>
      <c r="AG2201" s="284"/>
    </row>
    <row r="2202" spans="1:33" ht="26.4">
      <c r="A2202" s="284"/>
      <c r="B2202" s="284"/>
      <c r="C2202" s="284"/>
      <c r="D2202" s="284"/>
      <c r="E2202" s="284"/>
      <c r="F2202" s="284"/>
      <c r="G2202" s="284"/>
      <c r="H2202" s="284"/>
      <c r="I2202" s="284"/>
      <c r="J2202" s="375"/>
      <c r="K2202" s="375"/>
      <c r="L2202" s="375"/>
      <c r="M2202" s="368"/>
      <c r="N2202" s="368"/>
      <c r="O2202" s="370"/>
      <c r="T2202" s="340"/>
      <c r="V2202" s="378"/>
      <c r="W2202" s="64" ph="1"/>
      <c r="X2202" s="241"/>
      <c r="Y2202" s="284"/>
      <c r="Z2202" s="207"/>
      <c r="AA2202" s="284"/>
      <c r="AB2202" s="284"/>
      <c r="AC2202" s="284"/>
      <c r="AD2202" s="284"/>
      <c r="AE2202" s="284"/>
      <c r="AF2202" s="284"/>
      <c r="AG2202" s="284"/>
    </row>
    <row r="2203" spans="1:33" ht="26.4">
      <c r="A2203" s="284"/>
      <c r="B2203" s="284"/>
      <c r="C2203" s="284"/>
      <c r="D2203" s="284"/>
      <c r="E2203" s="284"/>
      <c r="F2203" s="284"/>
      <c r="G2203" s="284"/>
      <c r="H2203" s="284"/>
      <c r="I2203" s="284"/>
      <c r="J2203" s="375"/>
      <c r="K2203" s="375"/>
      <c r="L2203" s="375"/>
      <c r="M2203" s="368"/>
      <c r="N2203" s="368"/>
      <c r="O2203" s="370"/>
      <c r="T2203" s="340"/>
      <c r="V2203" s="378"/>
      <c r="W2203" s="64" ph="1"/>
      <c r="X2203" s="241"/>
      <c r="Y2203" s="284"/>
      <c r="Z2203" s="207"/>
      <c r="AA2203" s="284"/>
      <c r="AB2203" s="284"/>
      <c r="AC2203" s="284"/>
      <c r="AD2203" s="284"/>
      <c r="AE2203" s="284"/>
      <c r="AF2203" s="284"/>
      <c r="AG2203" s="284"/>
    </row>
    <row r="2204" spans="1:33" ht="26.4">
      <c r="A2204" s="284"/>
      <c r="B2204" s="284"/>
      <c r="C2204" s="284"/>
      <c r="D2204" s="284"/>
      <c r="E2204" s="284"/>
      <c r="F2204" s="284"/>
      <c r="G2204" s="284"/>
      <c r="H2204" s="284"/>
      <c r="I2204" s="284"/>
      <c r="J2204" s="375"/>
      <c r="K2204" s="375"/>
      <c r="L2204" s="375"/>
      <c r="M2204" s="368"/>
      <c r="N2204" s="368"/>
      <c r="O2204" s="370"/>
      <c r="T2204" s="340"/>
      <c r="V2204" s="378"/>
      <c r="W2204" s="64" ph="1"/>
      <c r="X2204" s="241"/>
      <c r="Y2204" s="284"/>
      <c r="Z2204" s="207"/>
      <c r="AA2204" s="284"/>
      <c r="AB2204" s="284"/>
      <c r="AC2204" s="284"/>
      <c r="AD2204" s="284"/>
      <c r="AE2204" s="284"/>
      <c r="AF2204" s="284"/>
      <c r="AG2204" s="284"/>
    </row>
    <row r="2205" spans="1:33" ht="26.4">
      <c r="A2205" s="284"/>
      <c r="B2205" s="284"/>
      <c r="C2205" s="284"/>
      <c r="D2205" s="284"/>
      <c r="E2205" s="284"/>
      <c r="F2205" s="284"/>
      <c r="G2205" s="284"/>
      <c r="H2205" s="284"/>
      <c r="I2205" s="284"/>
      <c r="J2205" s="375"/>
      <c r="K2205" s="375"/>
      <c r="L2205" s="375"/>
      <c r="M2205" s="368"/>
      <c r="N2205" s="368"/>
      <c r="O2205" s="370"/>
      <c r="T2205" s="340"/>
      <c r="V2205" s="378"/>
      <c r="W2205" s="64" ph="1"/>
      <c r="X2205" s="241"/>
      <c r="Y2205" s="284"/>
      <c r="Z2205" s="207"/>
      <c r="AA2205" s="284"/>
      <c r="AB2205" s="284"/>
      <c r="AC2205" s="284"/>
      <c r="AD2205" s="284"/>
      <c r="AE2205" s="284"/>
      <c r="AF2205" s="284"/>
      <c r="AG2205" s="284"/>
    </row>
    <row r="2206" spans="1:33" ht="26.4">
      <c r="A2206" s="284"/>
      <c r="B2206" s="284"/>
      <c r="C2206" s="284"/>
      <c r="D2206" s="284"/>
      <c r="E2206" s="284"/>
      <c r="F2206" s="284"/>
      <c r="G2206" s="284"/>
      <c r="H2206" s="284"/>
      <c r="I2206" s="284"/>
      <c r="J2206" s="375"/>
      <c r="K2206" s="375"/>
      <c r="L2206" s="375"/>
      <c r="M2206" s="368"/>
      <c r="N2206" s="368"/>
      <c r="O2206" s="370"/>
      <c r="T2206" s="340"/>
      <c r="V2206" s="378"/>
      <c r="W2206" s="64" ph="1"/>
      <c r="X2206" s="241"/>
      <c r="Y2206" s="284"/>
      <c r="Z2206" s="207"/>
      <c r="AA2206" s="284"/>
      <c r="AB2206" s="284"/>
      <c r="AC2206" s="284"/>
      <c r="AD2206" s="284"/>
      <c r="AE2206" s="284"/>
      <c r="AF2206" s="284"/>
      <c r="AG2206" s="284"/>
    </row>
    <row r="2207" spans="1:33" ht="26.4">
      <c r="A2207" s="284"/>
      <c r="B2207" s="284"/>
      <c r="C2207" s="284"/>
      <c r="D2207" s="284"/>
      <c r="E2207" s="284"/>
      <c r="F2207" s="284"/>
      <c r="G2207" s="284"/>
      <c r="H2207" s="284"/>
      <c r="I2207" s="284"/>
      <c r="J2207" s="375"/>
      <c r="K2207" s="375"/>
      <c r="L2207" s="375"/>
      <c r="M2207" s="368"/>
      <c r="N2207" s="368"/>
      <c r="O2207" s="370"/>
      <c r="T2207" s="340"/>
      <c r="V2207" s="378"/>
      <c r="W2207" s="64" ph="1"/>
      <c r="X2207" s="241"/>
      <c r="Y2207" s="284"/>
      <c r="Z2207" s="207"/>
      <c r="AA2207" s="284"/>
      <c r="AB2207" s="284"/>
      <c r="AC2207" s="284"/>
      <c r="AD2207" s="284"/>
      <c r="AE2207" s="284"/>
      <c r="AF2207" s="284"/>
      <c r="AG2207" s="284"/>
    </row>
    <row r="2208" spans="1:33" ht="26.4">
      <c r="A2208" s="284"/>
      <c r="B2208" s="284"/>
      <c r="C2208" s="284"/>
      <c r="D2208" s="284"/>
      <c r="E2208" s="284"/>
      <c r="F2208" s="284"/>
      <c r="G2208" s="284"/>
      <c r="H2208" s="284"/>
      <c r="I2208" s="284"/>
      <c r="J2208" s="375"/>
      <c r="K2208" s="375"/>
      <c r="L2208" s="375"/>
      <c r="M2208" s="368"/>
      <c r="N2208" s="368"/>
      <c r="O2208" s="370"/>
      <c r="T2208" s="340"/>
      <c r="V2208" s="378"/>
      <c r="W2208" s="64" ph="1"/>
      <c r="X2208" s="241"/>
      <c r="Y2208" s="284"/>
      <c r="Z2208" s="207"/>
      <c r="AA2208" s="284"/>
      <c r="AB2208" s="284"/>
      <c r="AC2208" s="284"/>
      <c r="AD2208" s="284"/>
      <c r="AE2208" s="284"/>
      <c r="AF2208" s="284"/>
      <c r="AG2208" s="284"/>
    </row>
    <row r="2209" spans="1:33" ht="26.4">
      <c r="A2209" s="284"/>
      <c r="B2209" s="284"/>
      <c r="C2209" s="284"/>
      <c r="D2209" s="284"/>
      <c r="E2209" s="284"/>
      <c r="F2209" s="284"/>
      <c r="G2209" s="284"/>
      <c r="H2209" s="284"/>
      <c r="I2209" s="284"/>
      <c r="J2209" s="375"/>
      <c r="K2209" s="375"/>
      <c r="L2209" s="375"/>
      <c r="M2209" s="368"/>
      <c r="N2209" s="368"/>
      <c r="O2209" s="370"/>
      <c r="T2209" s="340"/>
      <c r="V2209" s="378"/>
      <c r="W2209" s="64" ph="1"/>
      <c r="X2209" s="241"/>
      <c r="Y2209" s="284"/>
      <c r="Z2209" s="207"/>
      <c r="AA2209" s="284"/>
      <c r="AB2209" s="284"/>
      <c r="AC2209" s="284"/>
      <c r="AD2209" s="284"/>
      <c r="AE2209" s="284"/>
      <c r="AF2209" s="284"/>
      <c r="AG2209" s="284"/>
    </row>
    <row r="2210" spans="1:33" ht="26.4">
      <c r="A2210" s="284"/>
      <c r="B2210" s="284"/>
      <c r="C2210" s="284"/>
      <c r="D2210" s="284"/>
      <c r="E2210" s="284"/>
      <c r="F2210" s="284"/>
      <c r="G2210" s="284"/>
      <c r="H2210" s="284"/>
      <c r="I2210" s="284"/>
      <c r="J2210" s="375"/>
      <c r="K2210" s="375"/>
      <c r="L2210" s="375"/>
      <c r="M2210" s="368"/>
      <c r="N2210" s="368"/>
      <c r="O2210" s="370"/>
      <c r="T2210" s="340"/>
      <c r="V2210" s="378"/>
      <c r="W2210" s="64" ph="1"/>
      <c r="X2210" s="241"/>
      <c r="Y2210" s="284"/>
      <c r="Z2210" s="207"/>
      <c r="AA2210" s="284"/>
      <c r="AB2210" s="284"/>
      <c r="AC2210" s="284"/>
      <c r="AD2210" s="284"/>
      <c r="AE2210" s="284"/>
      <c r="AF2210" s="284"/>
      <c r="AG2210" s="284"/>
    </row>
    <row r="2211" spans="1:33" ht="26.4">
      <c r="A2211" s="284"/>
      <c r="B2211" s="284"/>
      <c r="C2211" s="284"/>
      <c r="D2211" s="284"/>
      <c r="E2211" s="284"/>
      <c r="F2211" s="284"/>
      <c r="G2211" s="284"/>
      <c r="H2211" s="284"/>
      <c r="I2211" s="284"/>
      <c r="J2211" s="375"/>
      <c r="K2211" s="375"/>
      <c r="L2211" s="375"/>
      <c r="M2211" s="368"/>
      <c r="N2211" s="368"/>
      <c r="O2211" s="370"/>
      <c r="T2211" s="340"/>
      <c r="V2211" s="378"/>
      <c r="W2211" s="64" ph="1"/>
      <c r="X2211" s="241"/>
      <c r="Y2211" s="284"/>
      <c r="Z2211" s="207"/>
      <c r="AA2211" s="284"/>
      <c r="AB2211" s="284"/>
      <c r="AC2211" s="284"/>
      <c r="AD2211" s="284"/>
      <c r="AE2211" s="284"/>
      <c r="AF2211" s="284"/>
      <c r="AG2211" s="284"/>
    </row>
    <row r="2212" spans="1:33" ht="26.4">
      <c r="A2212" s="284"/>
      <c r="B2212" s="284"/>
      <c r="C2212" s="284"/>
      <c r="D2212" s="284"/>
      <c r="E2212" s="284"/>
      <c r="F2212" s="284"/>
      <c r="G2212" s="284"/>
      <c r="H2212" s="284"/>
      <c r="I2212" s="284"/>
      <c r="J2212" s="375"/>
      <c r="K2212" s="375"/>
      <c r="L2212" s="375"/>
      <c r="M2212" s="368"/>
      <c r="N2212" s="368"/>
      <c r="O2212" s="370"/>
      <c r="T2212" s="340"/>
      <c r="V2212" s="378"/>
      <c r="W2212" s="64" ph="1"/>
      <c r="X2212" s="241"/>
      <c r="Y2212" s="284"/>
      <c r="Z2212" s="207"/>
      <c r="AA2212" s="284"/>
      <c r="AB2212" s="284"/>
      <c r="AC2212" s="284"/>
      <c r="AD2212" s="284"/>
      <c r="AE2212" s="284"/>
      <c r="AF2212" s="284"/>
      <c r="AG2212" s="284"/>
    </row>
    <row r="2213" spans="1:33" ht="26.4">
      <c r="A2213" s="284"/>
      <c r="B2213" s="284"/>
      <c r="C2213" s="284"/>
      <c r="D2213" s="284"/>
      <c r="E2213" s="284"/>
      <c r="F2213" s="284"/>
      <c r="G2213" s="284"/>
      <c r="H2213" s="284"/>
      <c r="I2213" s="284"/>
      <c r="J2213" s="375"/>
      <c r="K2213" s="375"/>
      <c r="L2213" s="375"/>
      <c r="M2213" s="368"/>
      <c r="N2213" s="368"/>
      <c r="O2213" s="370"/>
      <c r="T2213" s="340"/>
      <c r="V2213" s="378"/>
      <c r="W2213" s="64" ph="1"/>
      <c r="X2213" s="241"/>
      <c r="Y2213" s="284"/>
      <c r="Z2213" s="207"/>
      <c r="AA2213" s="284"/>
      <c r="AB2213" s="284"/>
      <c r="AC2213" s="284"/>
      <c r="AD2213" s="284"/>
      <c r="AE2213" s="284"/>
      <c r="AF2213" s="284"/>
      <c r="AG2213" s="284"/>
    </row>
    <row r="2214" spans="1:33" ht="26.4">
      <c r="A2214" s="284"/>
      <c r="B2214" s="284"/>
      <c r="C2214" s="284"/>
      <c r="D2214" s="284"/>
      <c r="E2214" s="284"/>
      <c r="F2214" s="284"/>
      <c r="G2214" s="284"/>
      <c r="H2214" s="284"/>
      <c r="I2214" s="284"/>
      <c r="J2214" s="375"/>
      <c r="K2214" s="375"/>
      <c r="L2214" s="375"/>
      <c r="M2214" s="368"/>
      <c r="N2214" s="368"/>
      <c r="O2214" s="370"/>
      <c r="T2214" s="340"/>
      <c r="V2214" s="378"/>
      <c r="W2214" s="64" ph="1"/>
      <c r="X2214" s="241"/>
      <c r="Y2214" s="284"/>
      <c r="Z2214" s="207"/>
      <c r="AA2214" s="284"/>
      <c r="AB2214" s="284"/>
      <c r="AC2214" s="284"/>
      <c r="AD2214" s="284"/>
      <c r="AE2214" s="284"/>
      <c r="AF2214" s="284"/>
      <c r="AG2214" s="284"/>
    </row>
    <row r="2215" spans="1:33" ht="26.4">
      <c r="A2215" s="284"/>
      <c r="B2215" s="284"/>
      <c r="C2215" s="284"/>
      <c r="D2215" s="284"/>
      <c r="E2215" s="284"/>
      <c r="F2215" s="284"/>
      <c r="G2215" s="284"/>
      <c r="H2215" s="284"/>
      <c r="I2215" s="284"/>
      <c r="J2215" s="375"/>
      <c r="K2215" s="375"/>
      <c r="L2215" s="375"/>
      <c r="M2215" s="368"/>
      <c r="N2215" s="368"/>
      <c r="O2215" s="370"/>
      <c r="T2215" s="340"/>
      <c r="V2215" s="378"/>
      <c r="W2215" s="64" ph="1"/>
      <c r="X2215" s="241"/>
      <c r="Y2215" s="284"/>
      <c r="Z2215" s="207"/>
      <c r="AA2215" s="284"/>
      <c r="AB2215" s="284"/>
      <c r="AC2215" s="284"/>
      <c r="AD2215" s="284"/>
      <c r="AE2215" s="284"/>
      <c r="AF2215" s="284"/>
      <c r="AG2215" s="284"/>
    </row>
    <row r="2216" spans="1:33" ht="26.4">
      <c r="A2216" s="284"/>
      <c r="B2216" s="284"/>
      <c r="C2216" s="284"/>
      <c r="D2216" s="284"/>
      <c r="E2216" s="284"/>
      <c r="F2216" s="284"/>
      <c r="G2216" s="284"/>
      <c r="H2216" s="284"/>
      <c r="I2216" s="284"/>
      <c r="J2216" s="375"/>
      <c r="K2216" s="375"/>
      <c r="L2216" s="375"/>
      <c r="M2216" s="368"/>
      <c r="N2216" s="368"/>
      <c r="O2216" s="370"/>
      <c r="T2216" s="340"/>
      <c r="V2216" s="378"/>
      <c r="W2216" s="64" ph="1"/>
      <c r="X2216" s="241"/>
      <c r="Y2216" s="284"/>
      <c r="Z2216" s="207"/>
      <c r="AA2216" s="284"/>
      <c r="AB2216" s="284"/>
      <c r="AC2216" s="284"/>
      <c r="AD2216" s="284"/>
      <c r="AE2216" s="284"/>
      <c r="AF2216" s="284"/>
      <c r="AG2216" s="284"/>
    </row>
    <row r="2217" spans="1:33" ht="26.4">
      <c r="A2217" s="284"/>
      <c r="B2217" s="284"/>
      <c r="C2217" s="284"/>
      <c r="D2217" s="284"/>
      <c r="E2217" s="284"/>
      <c r="F2217" s="284"/>
      <c r="G2217" s="284"/>
      <c r="H2217" s="284"/>
      <c r="I2217" s="284"/>
      <c r="J2217" s="375"/>
      <c r="K2217" s="375"/>
      <c r="L2217" s="375"/>
      <c r="M2217" s="368"/>
      <c r="N2217" s="368"/>
      <c r="O2217" s="370"/>
      <c r="T2217" s="340"/>
      <c r="V2217" s="378"/>
      <c r="W2217" s="64" ph="1"/>
      <c r="X2217" s="241"/>
      <c r="Y2217" s="284"/>
      <c r="Z2217" s="207"/>
      <c r="AA2217" s="284"/>
      <c r="AB2217" s="284"/>
      <c r="AC2217" s="284"/>
      <c r="AD2217" s="284"/>
      <c r="AE2217" s="284"/>
      <c r="AF2217" s="284"/>
      <c r="AG2217" s="284"/>
    </row>
    <row r="2218" spans="1:33" ht="26.4">
      <c r="A2218" s="284"/>
      <c r="B2218" s="284"/>
      <c r="C2218" s="284"/>
      <c r="D2218" s="284"/>
      <c r="E2218" s="284"/>
      <c r="F2218" s="284"/>
      <c r="G2218" s="284"/>
      <c r="H2218" s="284"/>
      <c r="I2218" s="284"/>
      <c r="J2218" s="375"/>
      <c r="K2218" s="375"/>
      <c r="L2218" s="375"/>
      <c r="M2218" s="368"/>
      <c r="N2218" s="368"/>
      <c r="O2218" s="370"/>
      <c r="T2218" s="340"/>
      <c r="V2218" s="378"/>
      <c r="W2218" s="64" ph="1"/>
      <c r="X2218" s="241"/>
      <c r="Y2218" s="284"/>
      <c r="Z2218" s="207"/>
      <c r="AA2218" s="284"/>
      <c r="AB2218" s="284"/>
      <c r="AC2218" s="284"/>
      <c r="AD2218" s="284"/>
      <c r="AE2218" s="284"/>
      <c r="AF2218" s="284"/>
      <c r="AG2218" s="284"/>
    </row>
    <row r="2219" spans="1:33" ht="26.4">
      <c r="A2219" s="284"/>
      <c r="B2219" s="284"/>
      <c r="C2219" s="284"/>
      <c r="D2219" s="284"/>
      <c r="E2219" s="284"/>
      <c r="F2219" s="284"/>
      <c r="G2219" s="284"/>
      <c r="H2219" s="284"/>
      <c r="I2219" s="284"/>
      <c r="J2219" s="375"/>
      <c r="K2219" s="375"/>
      <c r="L2219" s="375"/>
      <c r="M2219" s="368"/>
      <c r="N2219" s="368"/>
      <c r="O2219" s="370"/>
      <c r="T2219" s="340"/>
      <c r="V2219" s="378"/>
      <c r="W2219" s="64" ph="1"/>
      <c r="X2219" s="241"/>
      <c r="Y2219" s="284"/>
      <c r="Z2219" s="207"/>
      <c r="AA2219" s="284"/>
      <c r="AB2219" s="284"/>
      <c r="AC2219" s="284"/>
      <c r="AD2219" s="284"/>
      <c r="AE2219" s="284"/>
      <c r="AF2219" s="284"/>
      <c r="AG2219" s="284"/>
    </row>
    <row r="2220" spans="1:33" ht="26.4">
      <c r="A2220" s="284"/>
      <c r="B2220" s="284"/>
      <c r="C2220" s="284"/>
      <c r="D2220" s="284"/>
      <c r="E2220" s="284"/>
      <c r="F2220" s="284"/>
      <c r="G2220" s="284"/>
      <c r="H2220" s="284"/>
      <c r="I2220" s="284"/>
      <c r="J2220" s="375"/>
      <c r="K2220" s="375"/>
      <c r="L2220" s="375"/>
      <c r="M2220" s="368"/>
      <c r="N2220" s="368"/>
      <c r="O2220" s="370"/>
      <c r="T2220" s="340"/>
      <c r="V2220" s="378"/>
      <c r="W2220" s="64" ph="1"/>
      <c r="X2220" s="241"/>
      <c r="Y2220" s="284"/>
      <c r="Z2220" s="207"/>
      <c r="AA2220" s="284"/>
      <c r="AB2220" s="284"/>
      <c r="AC2220" s="284"/>
      <c r="AD2220" s="284"/>
      <c r="AE2220" s="284"/>
      <c r="AF2220" s="284"/>
      <c r="AG2220" s="284"/>
    </row>
    <row r="2221" spans="1:33" ht="26.4">
      <c r="A2221" s="284"/>
      <c r="B2221" s="284"/>
      <c r="C2221" s="284"/>
      <c r="D2221" s="284"/>
      <c r="E2221" s="284"/>
      <c r="F2221" s="284"/>
      <c r="G2221" s="284"/>
      <c r="H2221" s="284"/>
      <c r="I2221" s="284"/>
      <c r="J2221" s="375"/>
      <c r="K2221" s="375"/>
      <c r="L2221" s="375"/>
      <c r="M2221" s="368"/>
      <c r="N2221" s="368"/>
      <c r="O2221" s="370"/>
      <c r="T2221" s="340"/>
      <c r="V2221" s="378"/>
      <c r="W2221" s="64" ph="1"/>
      <c r="X2221" s="241"/>
      <c r="Y2221" s="284"/>
      <c r="Z2221" s="207"/>
      <c r="AA2221" s="284"/>
      <c r="AB2221" s="284"/>
      <c r="AC2221" s="284"/>
      <c r="AD2221" s="284"/>
      <c r="AE2221" s="284"/>
      <c r="AF2221" s="284"/>
      <c r="AG2221" s="284"/>
    </row>
    <row r="2222" spans="1:33" ht="26.4">
      <c r="A2222" s="284"/>
      <c r="B2222" s="284"/>
      <c r="C2222" s="284"/>
      <c r="D2222" s="284"/>
      <c r="E2222" s="284"/>
      <c r="F2222" s="284"/>
      <c r="G2222" s="284"/>
      <c r="H2222" s="284"/>
      <c r="I2222" s="284"/>
      <c r="J2222" s="375"/>
      <c r="K2222" s="375"/>
      <c r="L2222" s="375"/>
      <c r="M2222" s="368"/>
      <c r="N2222" s="368"/>
      <c r="O2222" s="370"/>
      <c r="T2222" s="340"/>
      <c r="V2222" s="378"/>
      <c r="W2222" s="64" ph="1"/>
      <c r="X2222" s="241"/>
      <c r="Y2222" s="284"/>
      <c r="Z2222" s="207"/>
      <c r="AA2222" s="284"/>
      <c r="AB2222" s="284"/>
      <c r="AC2222" s="284"/>
      <c r="AD2222" s="284"/>
      <c r="AE2222" s="284"/>
      <c r="AF2222" s="284"/>
      <c r="AG2222" s="284"/>
    </row>
    <row r="2223" spans="1:33" ht="26.4">
      <c r="A2223" s="284"/>
      <c r="B2223" s="284"/>
      <c r="C2223" s="284"/>
      <c r="D2223" s="284"/>
      <c r="E2223" s="284"/>
      <c r="F2223" s="284"/>
      <c r="G2223" s="284"/>
      <c r="H2223" s="284"/>
      <c r="I2223" s="284"/>
      <c r="J2223" s="375"/>
      <c r="K2223" s="375"/>
      <c r="L2223" s="375"/>
      <c r="M2223" s="368"/>
      <c r="N2223" s="368"/>
      <c r="O2223" s="370"/>
      <c r="T2223" s="340"/>
      <c r="V2223" s="378"/>
      <c r="W2223" s="64" ph="1"/>
      <c r="X2223" s="241"/>
      <c r="Y2223" s="284"/>
      <c r="Z2223" s="207"/>
      <c r="AA2223" s="284"/>
      <c r="AB2223" s="284"/>
      <c r="AC2223" s="284"/>
      <c r="AD2223" s="284"/>
      <c r="AE2223" s="284"/>
      <c r="AF2223" s="284"/>
      <c r="AG2223" s="284"/>
    </row>
    <row r="2224" spans="1:33" ht="26.4">
      <c r="A2224" s="284"/>
      <c r="B2224" s="284"/>
      <c r="C2224" s="284"/>
      <c r="D2224" s="284"/>
      <c r="E2224" s="284"/>
      <c r="F2224" s="284"/>
      <c r="G2224" s="284"/>
      <c r="H2224" s="284"/>
      <c r="I2224" s="284"/>
      <c r="J2224" s="375"/>
      <c r="K2224" s="375"/>
      <c r="L2224" s="375"/>
      <c r="M2224" s="368"/>
      <c r="N2224" s="368"/>
      <c r="O2224" s="370"/>
      <c r="T2224" s="340"/>
      <c r="V2224" s="378"/>
      <c r="W2224" s="64" ph="1"/>
      <c r="X2224" s="241"/>
      <c r="Y2224" s="284"/>
      <c r="Z2224" s="207"/>
      <c r="AA2224" s="284"/>
      <c r="AB2224" s="284"/>
      <c r="AC2224" s="284"/>
      <c r="AD2224" s="284"/>
      <c r="AE2224" s="284"/>
      <c r="AF2224" s="284"/>
      <c r="AG2224" s="284"/>
    </row>
    <row r="2225" spans="1:33" ht="26.4">
      <c r="A2225" s="284"/>
      <c r="B2225" s="284"/>
      <c r="C2225" s="284"/>
      <c r="D2225" s="284"/>
      <c r="E2225" s="284"/>
      <c r="F2225" s="284"/>
      <c r="G2225" s="284"/>
      <c r="H2225" s="284"/>
      <c r="I2225" s="284"/>
      <c r="J2225" s="375"/>
      <c r="K2225" s="375"/>
      <c r="L2225" s="375"/>
      <c r="M2225" s="368"/>
      <c r="N2225" s="368"/>
      <c r="O2225" s="370"/>
      <c r="T2225" s="340"/>
      <c r="V2225" s="378"/>
      <c r="W2225" s="64" ph="1"/>
      <c r="X2225" s="241"/>
      <c r="Y2225" s="284"/>
      <c r="Z2225" s="207"/>
      <c r="AA2225" s="284"/>
      <c r="AB2225" s="284"/>
      <c r="AC2225" s="284"/>
      <c r="AD2225" s="284"/>
      <c r="AE2225" s="284"/>
      <c r="AF2225" s="284"/>
      <c r="AG2225" s="284"/>
    </row>
    <row r="2226" spans="1:33" ht="26.4">
      <c r="A2226" s="284"/>
      <c r="B2226" s="284"/>
      <c r="C2226" s="284"/>
      <c r="D2226" s="284"/>
      <c r="E2226" s="284"/>
      <c r="F2226" s="284"/>
      <c r="G2226" s="284"/>
      <c r="H2226" s="284"/>
      <c r="I2226" s="284"/>
      <c r="J2226" s="375"/>
      <c r="K2226" s="375"/>
      <c r="L2226" s="375"/>
      <c r="M2226" s="368"/>
      <c r="N2226" s="368"/>
      <c r="O2226" s="370"/>
      <c r="T2226" s="340"/>
      <c r="V2226" s="378"/>
      <c r="W2226" s="64" ph="1"/>
      <c r="X2226" s="241"/>
      <c r="Y2226" s="284"/>
      <c r="Z2226" s="207"/>
      <c r="AA2226" s="284"/>
      <c r="AB2226" s="284"/>
      <c r="AC2226" s="284"/>
      <c r="AD2226" s="284"/>
      <c r="AE2226" s="284"/>
      <c r="AF2226" s="284"/>
      <c r="AG2226" s="284"/>
    </row>
    <row r="2227" spans="1:33" ht="26.4">
      <c r="A2227" s="284"/>
      <c r="B2227" s="284"/>
      <c r="C2227" s="284"/>
      <c r="D2227" s="284"/>
      <c r="E2227" s="284"/>
      <c r="F2227" s="284"/>
      <c r="G2227" s="284"/>
      <c r="H2227" s="284"/>
      <c r="I2227" s="284"/>
      <c r="J2227" s="375"/>
      <c r="K2227" s="375"/>
      <c r="L2227" s="375"/>
      <c r="M2227" s="368"/>
      <c r="N2227" s="368"/>
      <c r="O2227" s="370"/>
      <c r="T2227" s="340"/>
      <c r="V2227" s="378"/>
      <c r="W2227" s="64" ph="1"/>
      <c r="X2227" s="241"/>
      <c r="Y2227" s="284"/>
      <c r="Z2227" s="207"/>
      <c r="AA2227" s="284"/>
      <c r="AB2227" s="284"/>
      <c r="AC2227" s="284"/>
      <c r="AD2227" s="284"/>
      <c r="AE2227" s="284"/>
      <c r="AF2227" s="284"/>
      <c r="AG2227" s="284"/>
    </row>
    <row r="2228" spans="1:33" ht="26.4">
      <c r="A2228" s="284"/>
      <c r="B2228" s="284"/>
      <c r="C2228" s="284"/>
      <c r="D2228" s="284"/>
      <c r="E2228" s="284"/>
      <c r="F2228" s="284"/>
      <c r="G2228" s="284"/>
      <c r="H2228" s="284"/>
      <c r="I2228" s="284"/>
      <c r="J2228" s="375"/>
      <c r="K2228" s="375"/>
      <c r="L2228" s="375"/>
      <c r="M2228" s="368"/>
      <c r="N2228" s="368"/>
      <c r="O2228" s="370"/>
      <c r="T2228" s="340"/>
      <c r="V2228" s="378"/>
      <c r="W2228" s="64" ph="1"/>
      <c r="X2228" s="241"/>
      <c r="Y2228" s="284"/>
      <c r="Z2228" s="207"/>
      <c r="AA2228" s="284"/>
      <c r="AB2228" s="284"/>
      <c r="AC2228" s="284"/>
      <c r="AD2228" s="284"/>
      <c r="AE2228" s="284"/>
      <c r="AF2228" s="284"/>
      <c r="AG2228" s="284"/>
    </row>
    <row r="2229" spans="1:33" ht="26.4">
      <c r="A2229" s="284"/>
      <c r="B2229" s="284"/>
      <c r="C2229" s="284"/>
      <c r="D2229" s="284"/>
      <c r="E2229" s="284"/>
      <c r="F2229" s="284"/>
      <c r="G2229" s="284"/>
      <c r="H2229" s="284"/>
      <c r="I2229" s="284"/>
      <c r="J2229" s="375"/>
      <c r="K2229" s="375"/>
      <c r="L2229" s="375"/>
      <c r="M2229" s="368"/>
      <c r="N2229" s="368"/>
      <c r="O2229" s="370"/>
      <c r="T2229" s="340"/>
      <c r="V2229" s="378"/>
      <c r="W2229" s="64" ph="1"/>
      <c r="X2229" s="241"/>
      <c r="Y2229" s="284"/>
      <c r="Z2229" s="207"/>
      <c r="AA2229" s="284"/>
      <c r="AB2229" s="284"/>
      <c r="AC2229" s="284"/>
      <c r="AD2229" s="284"/>
      <c r="AE2229" s="284"/>
      <c r="AF2229" s="284"/>
      <c r="AG2229" s="284"/>
    </row>
    <row r="2230" spans="1:33" ht="26.4">
      <c r="A2230" s="284"/>
      <c r="B2230" s="284"/>
      <c r="C2230" s="284"/>
      <c r="D2230" s="284"/>
      <c r="E2230" s="284"/>
      <c r="F2230" s="284"/>
      <c r="G2230" s="284"/>
      <c r="H2230" s="284"/>
      <c r="I2230" s="284"/>
      <c r="J2230" s="375"/>
      <c r="K2230" s="375"/>
      <c r="L2230" s="375"/>
      <c r="M2230" s="368"/>
      <c r="N2230" s="368"/>
      <c r="O2230" s="370"/>
      <c r="T2230" s="340"/>
      <c r="V2230" s="378"/>
      <c r="W2230" s="64" ph="1"/>
      <c r="X2230" s="241"/>
      <c r="Y2230" s="284"/>
      <c r="Z2230" s="207"/>
      <c r="AA2230" s="284"/>
      <c r="AB2230" s="284"/>
      <c r="AC2230" s="284"/>
      <c r="AD2230" s="284"/>
      <c r="AE2230" s="284"/>
      <c r="AF2230" s="284"/>
      <c r="AG2230" s="284"/>
    </row>
    <row r="2231" spans="1:33" ht="26.4">
      <c r="A2231" s="284"/>
      <c r="B2231" s="284"/>
      <c r="C2231" s="284"/>
      <c r="D2231" s="284"/>
      <c r="E2231" s="284"/>
      <c r="F2231" s="284"/>
      <c r="G2231" s="284"/>
      <c r="H2231" s="284"/>
      <c r="I2231" s="284"/>
      <c r="J2231" s="375"/>
      <c r="K2231" s="375"/>
      <c r="L2231" s="375"/>
      <c r="M2231" s="368"/>
      <c r="N2231" s="368"/>
      <c r="O2231" s="370"/>
      <c r="T2231" s="340"/>
      <c r="V2231" s="378"/>
      <c r="W2231" s="64" ph="1"/>
      <c r="X2231" s="241"/>
      <c r="Y2231" s="284"/>
      <c r="Z2231" s="207"/>
      <c r="AA2231" s="284"/>
      <c r="AB2231" s="284"/>
      <c r="AC2231" s="284"/>
      <c r="AD2231" s="284"/>
      <c r="AE2231" s="284"/>
      <c r="AF2231" s="284"/>
      <c r="AG2231" s="284"/>
    </row>
    <row r="2232" spans="1:33" ht="26.4">
      <c r="A2232" s="284"/>
      <c r="B2232" s="284"/>
      <c r="C2232" s="284"/>
      <c r="D2232" s="284"/>
      <c r="E2232" s="284"/>
      <c r="F2232" s="284"/>
      <c r="G2232" s="284"/>
      <c r="H2232" s="284"/>
      <c r="I2232" s="284"/>
      <c r="J2232" s="375"/>
      <c r="K2232" s="375"/>
      <c r="L2232" s="375"/>
      <c r="M2232" s="368"/>
      <c r="N2232" s="368"/>
      <c r="O2232" s="370"/>
      <c r="T2232" s="340"/>
      <c r="V2232" s="378"/>
      <c r="W2232" s="64" ph="1"/>
      <c r="X2232" s="241"/>
      <c r="Y2232" s="284"/>
      <c r="Z2232" s="207"/>
      <c r="AA2232" s="284"/>
      <c r="AB2232" s="284"/>
      <c r="AC2232" s="284"/>
      <c r="AD2232" s="284"/>
      <c r="AE2232" s="284"/>
      <c r="AF2232" s="284"/>
      <c r="AG2232" s="284"/>
    </row>
    <row r="2233" spans="1:33" ht="26.4">
      <c r="A2233" s="284"/>
      <c r="B2233" s="284"/>
      <c r="C2233" s="284"/>
      <c r="D2233" s="284"/>
      <c r="E2233" s="284"/>
      <c r="F2233" s="284"/>
      <c r="G2233" s="284"/>
      <c r="H2233" s="284"/>
      <c r="I2233" s="284"/>
      <c r="J2233" s="375"/>
      <c r="K2233" s="375"/>
      <c r="L2233" s="375"/>
      <c r="M2233" s="368"/>
      <c r="N2233" s="368"/>
      <c r="O2233" s="370"/>
      <c r="T2233" s="340"/>
      <c r="V2233" s="378"/>
      <c r="W2233" s="64" ph="1"/>
      <c r="X2233" s="241"/>
      <c r="Y2233" s="284"/>
      <c r="Z2233" s="207"/>
      <c r="AA2233" s="284"/>
      <c r="AB2233" s="284"/>
      <c r="AC2233" s="284"/>
      <c r="AD2233" s="284"/>
      <c r="AE2233" s="284"/>
      <c r="AF2233" s="284"/>
      <c r="AG2233" s="284"/>
    </row>
    <row r="2234" spans="1:33" ht="26.4">
      <c r="A2234" s="284"/>
      <c r="B2234" s="284"/>
      <c r="C2234" s="284"/>
      <c r="D2234" s="284"/>
      <c r="E2234" s="284"/>
      <c r="F2234" s="284"/>
      <c r="G2234" s="284"/>
      <c r="H2234" s="284"/>
      <c r="I2234" s="284"/>
      <c r="J2234" s="375"/>
      <c r="K2234" s="375"/>
      <c r="L2234" s="375"/>
      <c r="M2234" s="368"/>
      <c r="N2234" s="368"/>
      <c r="O2234" s="370"/>
      <c r="T2234" s="340"/>
      <c r="V2234" s="378"/>
      <c r="W2234" s="64" ph="1"/>
      <c r="X2234" s="241"/>
      <c r="Y2234" s="284"/>
      <c r="Z2234" s="207"/>
      <c r="AA2234" s="284"/>
      <c r="AB2234" s="284"/>
      <c r="AC2234" s="284"/>
      <c r="AD2234" s="284"/>
      <c r="AE2234" s="284"/>
      <c r="AF2234" s="284"/>
      <c r="AG2234" s="284"/>
    </row>
    <row r="2235" spans="1:33" ht="26.4">
      <c r="A2235" s="284"/>
      <c r="B2235" s="284"/>
      <c r="C2235" s="284"/>
      <c r="D2235" s="284"/>
      <c r="E2235" s="284"/>
      <c r="F2235" s="284"/>
      <c r="G2235" s="284"/>
      <c r="H2235" s="284"/>
      <c r="I2235" s="284"/>
      <c r="J2235" s="375"/>
      <c r="K2235" s="375"/>
      <c r="L2235" s="375"/>
      <c r="M2235" s="368"/>
      <c r="N2235" s="368"/>
      <c r="O2235" s="370"/>
      <c r="T2235" s="340"/>
      <c r="V2235" s="378"/>
      <c r="W2235" s="64" ph="1"/>
      <c r="X2235" s="241"/>
      <c r="Y2235" s="284"/>
      <c r="Z2235" s="207"/>
      <c r="AA2235" s="284"/>
      <c r="AB2235" s="284"/>
      <c r="AC2235" s="284"/>
      <c r="AD2235" s="284"/>
      <c r="AE2235" s="284"/>
      <c r="AF2235" s="284"/>
      <c r="AG2235" s="284"/>
    </row>
    <row r="2236" spans="1:33" ht="26.4">
      <c r="A2236" s="284"/>
      <c r="B2236" s="284"/>
      <c r="C2236" s="284"/>
      <c r="D2236" s="284"/>
      <c r="E2236" s="284"/>
      <c r="F2236" s="284"/>
      <c r="G2236" s="284"/>
      <c r="H2236" s="284"/>
      <c r="I2236" s="284"/>
      <c r="J2236" s="375"/>
      <c r="K2236" s="375"/>
      <c r="L2236" s="375"/>
      <c r="M2236" s="368"/>
      <c r="N2236" s="368"/>
      <c r="O2236" s="370"/>
      <c r="T2236" s="340"/>
      <c r="V2236" s="378"/>
      <c r="W2236" s="64" ph="1"/>
      <c r="X2236" s="241"/>
      <c r="Y2236" s="284"/>
      <c r="Z2236" s="207"/>
      <c r="AA2236" s="284"/>
      <c r="AB2236" s="284"/>
      <c r="AC2236" s="284"/>
      <c r="AD2236" s="284"/>
      <c r="AE2236" s="284"/>
      <c r="AF2236" s="284"/>
      <c r="AG2236" s="284"/>
    </row>
    <row r="2237" spans="1:33" ht="26.4">
      <c r="A2237" s="284"/>
      <c r="B2237" s="284"/>
      <c r="C2237" s="284"/>
      <c r="D2237" s="284"/>
      <c r="E2237" s="284"/>
      <c r="F2237" s="284"/>
      <c r="G2237" s="284"/>
      <c r="H2237" s="284"/>
      <c r="I2237" s="284"/>
      <c r="J2237" s="375"/>
      <c r="K2237" s="375"/>
      <c r="L2237" s="375"/>
      <c r="M2237" s="368"/>
      <c r="N2237" s="368"/>
      <c r="O2237" s="370"/>
      <c r="T2237" s="340"/>
      <c r="V2237" s="378"/>
      <c r="W2237" s="64" ph="1"/>
      <c r="X2237" s="241"/>
      <c r="Y2237" s="284"/>
      <c r="Z2237" s="207"/>
      <c r="AA2237" s="284"/>
      <c r="AB2237" s="284"/>
      <c r="AC2237" s="284"/>
      <c r="AD2237" s="284"/>
      <c r="AE2237" s="284"/>
      <c r="AF2237" s="284"/>
      <c r="AG2237" s="284"/>
    </row>
    <row r="2238" spans="1:33" ht="26.4">
      <c r="A2238" s="284"/>
      <c r="B2238" s="284"/>
      <c r="C2238" s="284"/>
      <c r="D2238" s="284"/>
      <c r="E2238" s="284"/>
      <c r="F2238" s="284"/>
      <c r="G2238" s="284"/>
      <c r="H2238" s="284"/>
      <c r="I2238" s="284"/>
      <c r="J2238" s="375"/>
      <c r="K2238" s="375"/>
      <c r="L2238" s="375"/>
      <c r="M2238" s="368"/>
      <c r="N2238" s="368"/>
      <c r="O2238" s="370"/>
      <c r="T2238" s="340"/>
      <c r="V2238" s="378"/>
      <c r="W2238" s="64" ph="1"/>
      <c r="X2238" s="241"/>
      <c r="Y2238" s="284"/>
      <c r="Z2238" s="207"/>
      <c r="AA2238" s="284"/>
      <c r="AB2238" s="284"/>
      <c r="AC2238" s="284"/>
      <c r="AD2238" s="284"/>
      <c r="AE2238" s="284"/>
      <c r="AF2238" s="284"/>
      <c r="AG2238" s="284"/>
    </row>
    <row r="2239" spans="1:33" ht="26.4">
      <c r="A2239" s="284"/>
      <c r="B2239" s="284"/>
      <c r="C2239" s="284"/>
      <c r="D2239" s="284"/>
      <c r="E2239" s="284"/>
      <c r="F2239" s="284"/>
      <c r="G2239" s="284"/>
      <c r="H2239" s="284"/>
      <c r="I2239" s="284"/>
      <c r="J2239" s="375"/>
      <c r="K2239" s="375"/>
      <c r="L2239" s="375"/>
      <c r="M2239" s="368"/>
      <c r="N2239" s="368"/>
      <c r="O2239" s="370"/>
      <c r="T2239" s="340"/>
      <c r="V2239" s="378"/>
      <c r="W2239" s="64" ph="1"/>
      <c r="X2239" s="241"/>
      <c r="Y2239" s="284"/>
      <c r="Z2239" s="207"/>
      <c r="AA2239" s="284"/>
      <c r="AB2239" s="284"/>
      <c r="AC2239" s="284"/>
      <c r="AD2239" s="284"/>
      <c r="AE2239" s="284"/>
      <c r="AF2239" s="284"/>
      <c r="AG2239" s="284"/>
    </row>
    <row r="2240" spans="1:33" ht="26.4">
      <c r="A2240" s="284"/>
      <c r="B2240" s="284"/>
      <c r="C2240" s="284"/>
      <c r="D2240" s="284"/>
      <c r="E2240" s="284"/>
      <c r="F2240" s="284"/>
      <c r="G2240" s="284"/>
      <c r="H2240" s="284"/>
      <c r="I2240" s="284"/>
      <c r="J2240" s="375"/>
      <c r="K2240" s="375"/>
      <c r="L2240" s="375"/>
      <c r="M2240" s="368"/>
      <c r="N2240" s="368"/>
      <c r="O2240" s="370"/>
      <c r="T2240" s="340"/>
      <c r="V2240" s="378"/>
      <c r="W2240" s="64" ph="1"/>
      <c r="X2240" s="241"/>
      <c r="Y2240" s="284"/>
      <c r="Z2240" s="207"/>
      <c r="AA2240" s="284"/>
      <c r="AB2240" s="284"/>
      <c r="AC2240" s="284"/>
      <c r="AD2240" s="284"/>
      <c r="AE2240" s="284"/>
      <c r="AF2240" s="284"/>
      <c r="AG2240" s="284"/>
    </row>
    <row r="2241" spans="1:33" ht="26.4">
      <c r="A2241" s="284"/>
      <c r="B2241" s="284"/>
      <c r="C2241" s="284"/>
      <c r="D2241" s="284"/>
      <c r="E2241" s="284"/>
      <c r="F2241" s="284"/>
      <c r="G2241" s="284"/>
      <c r="H2241" s="284"/>
      <c r="I2241" s="284"/>
      <c r="J2241" s="375"/>
      <c r="K2241" s="375"/>
      <c r="L2241" s="375"/>
      <c r="M2241" s="368"/>
      <c r="N2241" s="368"/>
      <c r="O2241" s="370"/>
      <c r="T2241" s="340"/>
      <c r="V2241" s="378"/>
      <c r="W2241" s="64" ph="1"/>
      <c r="X2241" s="241"/>
      <c r="Y2241" s="284"/>
      <c r="Z2241" s="207"/>
      <c r="AA2241" s="284"/>
      <c r="AB2241" s="284"/>
      <c r="AC2241" s="284"/>
      <c r="AD2241" s="284"/>
      <c r="AE2241" s="284"/>
      <c r="AF2241" s="284"/>
      <c r="AG2241" s="284"/>
    </row>
    <row r="2242" spans="1:33" ht="26.4">
      <c r="A2242" s="284"/>
      <c r="B2242" s="284"/>
      <c r="C2242" s="284"/>
      <c r="D2242" s="284"/>
      <c r="E2242" s="284"/>
      <c r="F2242" s="284"/>
      <c r="G2242" s="284"/>
      <c r="H2242" s="284"/>
      <c r="I2242" s="284"/>
      <c r="J2242" s="375"/>
      <c r="K2242" s="375"/>
      <c r="L2242" s="375"/>
      <c r="M2242" s="368"/>
      <c r="N2242" s="368"/>
      <c r="O2242" s="370"/>
      <c r="T2242" s="340"/>
      <c r="V2242" s="378"/>
      <c r="W2242" s="64" ph="1"/>
      <c r="X2242" s="241"/>
      <c r="Y2242" s="284"/>
      <c r="Z2242" s="207"/>
      <c r="AA2242" s="284"/>
      <c r="AB2242" s="284"/>
      <c r="AC2242" s="284"/>
      <c r="AD2242" s="284"/>
      <c r="AE2242" s="284"/>
      <c r="AF2242" s="284"/>
      <c r="AG2242" s="284"/>
    </row>
    <row r="2243" spans="1:33" ht="26.4">
      <c r="A2243" s="284"/>
      <c r="B2243" s="284"/>
      <c r="C2243" s="284"/>
      <c r="D2243" s="284"/>
      <c r="E2243" s="284"/>
      <c r="F2243" s="284"/>
      <c r="G2243" s="284"/>
      <c r="H2243" s="284"/>
      <c r="I2243" s="284"/>
      <c r="J2243" s="375"/>
      <c r="K2243" s="375"/>
      <c r="L2243" s="375"/>
      <c r="M2243" s="368"/>
      <c r="N2243" s="368"/>
      <c r="O2243" s="370"/>
      <c r="T2243" s="340"/>
      <c r="V2243" s="378"/>
      <c r="W2243" s="64" ph="1"/>
      <c r="X2243" s="241"/>
      <c r="Y2243" s="284"/>
      <c r="Z2243" s="207"/>
      <c r="AA2243" s="284"/>
      <c r="AB2243" s="284"/>
      <c r="AC2243" s="284"/>
      <c r="AD2243" s="284"/>
      <c r="AE2243" s="284"/>
      <c r="AF2243" s="284"/>
      <c r="AG2243" s="284"/>
    </row>
    <row r="2244" spans="1:33" ht="26.4">
      <c r="A2244" s="284"/>
      <c r="B2244" s="284"/>
      <c r="C2244" s="284"/>
      <c r="D2244" s="284"/>
      <c r="E2244" s="284"/>
      <c r="F2244" s="284"/>
      <c r="G2244" s="284"/>
      <c r="H2244" s="284"/>
      <c r="I2244" s="284"/>
      <c r="J2244" s="375"/>
      <c r="K2244" s="375"/>
      <c r="L2244" s="375"/>
      <c r="M2244" s="368"/>
      <c r="N2244" s="368"/>
      <c r="O2244" s="370"/>
      <c r="T2244" s="340"/>
      <c r="V2244" s="378"/>
      <c r="W2244" s="64" ph="1"/>
      <c r="X2244" s="241"/>
      <c r="Y2244" s="284"/>
      <c r="Z2244" s="207"/>
      <c r="AA2244" s="284"/>
      <c r="AB2244" s="284"/>
      <c r="AC2244" s="284"/>
      <c r="AD2244" s="284"/>
      <c r="AE2244" s="284"/>
      <c r="AF2244" s="284"/>
      <c r="AG2244" s="284"/>
    </row>
    <row r="2245" spans="1:33" ht="26.4">
      <c r="A2245" s="284"/>
      <c r="B2245" s="284"/>
      <c r="C2245" s="284"/>
      <c r="D2245" s="284"/>
      <c r="E2245" s="284"/>
      <c r="F2245" s="284"/>
      <c r="G2245" s="284"/>
      <c r="H2245" s="284"/>
      <c r="I2245" s="284"/>
      <c r="J2245" s="375"/>
      <c r="K2245" s="375"/>
      <c r="L2245" s="375"/>
      <c r="M2245" s="368"/>
      <c r="N2245" s="368"/>
      <c r="O2245" s="370"/>
      <c r="T2245" s="340"/>
      <c r="V2245" s="378"/>
      <c r="W2245" s="64" ph="1"/>
      <c r="X2245" s="241"/>
      <c r="Y2245" s="284"/>
      <c r="Z2245" s="207"/>
      <c r="AA2245" s="284"/>
      <c r="AB2245" s="284"/>
      <c r="AC2245" s="284"/>
      <c r="AD2245" s="284"/>
      <c r="AE2245" s="284"/>
      <c r="AF2245" s="284"/>
      <c r="AG2245" s="284"/>
    </row>
    <row r="2246" spans="1:33" ht="26.4">
      <c r="A2246" s="284"/>
      <c r="B2246" s="284"/>
      <c r="C2246" s="284"/>
      <c r="D2246" s="284"/>
      <c r="E2246" s="284"/>
      <c r="F2246" s="284"/>
      <c r="G2246" s="284"/>
      <c r="H2246" s="284"/>
      <c r="I2246" s="284"/>
      <c r="J2246" s="375"/>
      <c r="K2246" s="375"/>
      <c r="L2246" s="375"/>
      <c r="M2246" s="368"/>
      <c r="N2246" s="368"/>
      <c r="O2246" s="370"/>
      <c r="T2246" s="340"/>
      <c r="V2246" s="378"/>
      <c r="W2246" s="64" ph="1"/>
      <c r="X2246" s="241"/>
      <c r="Y2246" s="284"/>
      <c r="Z2246" s="207"/>
      <c r="AA2246" s="284"/>
      <c r="AB2246" s="284"/>
      <c r="AC2246" s="284"/>
      <c r="AD2246" s="284"/>
      <c r="AE2246" s="284"/>
      <c r="AF2246" s="284"/>
      <c r="AG2246" s="284"/>
    </row>
    <row r="2247" spans="1:33" ht="26.4">
      <c r="A2247" s="284"/>
      <c r="B2247" s="284"/>
      <c r="C2247" s="284"/>
      <c r="D2247" s="284"/>
      <c r="E2247" s="284"/>
      <c r="F2247" s="284"/>
      <c r="G2247" s="284"/>
      <c r="H2247" s="284"/>
      <c r="I2247" s="284"/>
      <c r="J2247" s="375"/>
      <c r="K2247" s="375"/>
      <c r="L2247" s="375"/>
      <c r="M2247" s="368"/>
      <c r="N2247" s="368"/>
      <c r="O2247" s="370"/>
      <c r="T2247" s="340"/>
      <c r="V2247" s="378"/>
      <c r="W2247" s="64" ph="1"/>
      <c r="X2247" s="241"/>
      <c r="Y2247" s="284"/>
      <c r="Z2247" s="207"/>
      <c r="AA2247" s="284"/>
      <c r="AB2247" s="284"/>
      <c r="AC2247" s="284"/>
      <c r="AD2247" s="284"/>
      <c r="AE2247" s="284"/>
      <c r="AF2247" s="284"/>
      <c r="AG2247" s="284"/>
    </row>
    <row r="2248" spans="1:33" ht="26.4">
      <c r="A2248" s="284"/>
      <c r="B2248" s="284"/>
      <c r="C2248" s="284"/>
      <c r="D2248" s="284"/>
      <c r="E2248" s="284"/>
      <c r="F2248" s="284"/>
      <c r="G2248" s="284"/>
      <c r="H2248" s="284"/>
      <c r="I2248" s="284"/>
      <c r="J2248" s="375"/>
      <c r="K2248" s="375"/>
      <c r="L2248" s="375"/>
      <c r="M2248" s="368"/>
      <c r="N2248" s="368"/>
      <c r="O2248" s="370"/>
      <c r="T2248" s="340"/>
      <c r="V2248" s="378"/>
      <c r="W2248" s="64" ph="1"/>
      <c r="X2248" s="241"/>
      <c r="Y2248" s="284"/>
      <c r="Z2248" s="207"/>
      <c r="AA2248" s="284"/>
      <c r="AB2248" s="284"/>
      <c r="AC2248" s="284"/>
      <c r="AD2248" s="284"/>
      <c r="AE2248" s="284"/>
      <c r="AF2248" s="284"/>
      <c r="AG2248" s="284"/>
    </row>
    <row r="2249" spans="1:33" ht="26.4">
      <c r="A2249" s="284"/>
      <c r="B2249" s="284"/>
      <c r="C2249" s="284"/>
      <c r="D2249" s="284"/>
      <c r="E2249" s="284"/>
      <c r="F2249" s="284"/>
      <c r="G2249" s="284"/>
      <c r="H2249" s="284"/>
      <c r="I2249" s="284"/>
      <c r="J2249" s="375"/>
      <c r="K2249" s="375"/>
      <c r="L2249" s="375"/>
      <c r="M2249" s="368"/>
      <c r="N2249" s="368"/>
      <c r="O2249" s="370"/>
      <c r="T2249" s="340"/>
      <c r="V2249" s="378"/>
      <c r="W2249" s="64" ph="1"/>
      <c r="X2249" s="241"/>
      <c r="Y2249" s="284"/>
      <c r="Z2249" s="207"/>
      <c r="AA2249" s="284"/>
      <c r="AB2249" s="284"/>
      <c r="AC2249" s="284"/>
      <c r="AD2249" s="284"/>
      <c r="AE2249" s="284"/>
      <c r="AF2249" s="284"/>
      <c r="AG2249" s="284"/>
    </row>
    <row r="2250" spans="1:33" ht="26.4">
      <c r="A2250" s="284"/>
      <c r="B2250" s="284"/>
      <c r="C2250" s="284"/>
      <c r="D2250" s="284"/>
      <c r="E2250" s="284"/>
      <c r="F2250" s="284"/>
      <c r="G2250" s="284"/>
      <c r="H2250" s="284"/>
      <c r="I2250" s="284"/>
      <c r="J2250" s="375"/>
      <c r="K2250" s="375"/>
      <c r="L2250" s="375"/>
      <c r="M2250" s="368"/>
      <c r="N2250" s="368"/>
      <c r="O2250" s="370"/>
      <c r="T2250" s="340"/>
      <c r="V2250" s="378"/>
      <c r="W2250" s="64" ph="1"/>
      <c r="X2250" s="241"/>
      <c r="Y2250" s="284"/>
      <c r="Z2250" s="207"/>
      <c r="AA2250" s="284"/>
      <c r="AB2250" s="284"/>
      <c r="AC2250" s="284"/>
      <c r="AD2250" s="284"/>
      <c r="AE2250" s="284"/>
      <c r="AF2250" s="284"/>
      <c r="AG2250" s="284"/>
    </row>
    <row r="2251" spans="1:33" ht="26.4">
      <c r="A2251" s="284"/>
      <c r="B2251" s="284"/>
      <c r="C2251" s="284"/>
      <c r="D2251" s="284"/>
      <c r="E2251" s="284"/>
      <c r="F2251" s="284"/>
      <c r="G2251" s="284"/>
      <c r="H2251" s="284"/>
      <c r="I2251" s="284"/>
      <c r="J2251" s="375"/>
      <c r="K2251" s="375"/>
      <c r="L2251" s="375"/>
      <c r="M2251" s="368"/>
      <c r="N2251" s="368"/>
      <c r="O2251" s="370"/>
      <c r="T2251" s="340"/>
      <c r="V2251" s="378"/>
      <c r="W2251" s="64" ph="1"/>
      <c r="X2251" s="241"/>
      <c r="Y2251" s="284"/>
      <c r="Z2251" s="207"/>
      <c r="AA2251" s="284"/>
      <c r="AB2251" s="284"/>
      <c r="AC2251" s="284"/>
      <c r="AD2251" s="284"/>
      <c r="AE2251" s="284"/>
      <c r="AF2251" s="284"/>
      <c r="AG2251" s="284"/>
    </row>
    <row r="2252" spans="1:33" ht="26.4">
      <c r="A2252" s="284"/>
      <c r="B2252" s="284"/>
      <c r="C2252" s="284"/>
      <c r="D2252" s="284"/>
      <c r="E2252" s="284"/>
      <c r="F2252" s="284"/>
      <c r="G2252" s="284"/>
      <c r="H2252" s="284"/>
      <c r="I2252" s="284"/>
      <c r="J2252" s="375"/>
      <c r="K2252" s="375"/>
      <c r="L2252" s="375"/>
      <c r="M2252" s="368"/>
      <c r="N2252" s="368"/>
      <c r="O2252" s="370"/>
      <c r="T2252" s="340"/>
      <c r="V2252" s="378"/>
      <c r="W2252" s="64" ph="1"/>
      <c r="X2252" s="241"/>
      <c r="Y2252" s="284"/>
      <c r="Z2252" s="207"/>
      <c r="AA2252" s="284"/>
      <c r="AB2252" s="284"/>
      <c r="AC2252" s="284"/>
      <c r="AD2252" s="284"/>
      <c r="AE2252" s="284"/>
      <c r="AF2252" s="284"/>
      <c r="AG2252" s="284"/>
    </row>
    <row r="2253" spans="1:33" ht="26.4">
      <c r="A2253" s="284"/>
      <c r="B2253" s="284"/>
      <c r="C2253" s="284"/>
      <c r="D2253" s="284"/>
      <c r="E2253" s="284"/>
      <c r="F2253" s="284"/>
      <c r="G2253" s="284"/>
      <c r="H2253" s="284"/>
      <c r="I2253" s="284"/>
      <c r="J2253" s="375"/>
      <c r="K2253" s="375"/>
      <c r="L2253" s="375"/>
      <c r="M2253" s="368"/>
      <c r="N2253" s="368"/>
      <c r="O2253" s="370"/>
      <c r="T2253" s="340"/>
      <c r="V2253" s="378"/>
      <c r="W2253" s="64" ph="1"/>
      <c r="X2253" s="241"/>
      <c r="Y2253" s="284"/>
      <c r="Z2253" s="207"/>
      <c r="AA2253" s="284"/>
      <c r="AB2253" s="284"/>
      <c r="AC2253" s="284"/>
      <c r="AD2253" s="284"/>
      <c r="AE2253" s="284"/>
      <c r="AF2253" s="284"/>
      <c r="AG2253" s="284"/>
    </row>
    <row r="2254" spans="1:33" ht="26.4">
      <c r="A2254" s="284"/>
      <c r="B2254" s="284"/>
      <c r="C2254" s="284"/>
      <c r="D2254" s="284"/>
      <c r="E2254" s="284"/>
      <c r="F2254" s="284"/>
      <c r="G2254" s="284"/>
      <c r="H2254" s="284"/>
      <c r="I2254" s="284"/>
      <c r="J2254" s="375"/>
      <c r="K2254" s="375"/>
      <c r="L2254" s="375"/>
      <c r="M2254" s="368"/>
      <c r="N2254" s="368"/>
      <c r="O2254" s="370"/>
      <c r="T2254" s="340"/>
      <c r="V2254" s="378"/>
      <c r="W2254" s="64" ph="1"/>
      <c r="X2254" s="241"/>
      <c r="Y2254" s="284"/>
      <c r="Z2254" s="207"/>
      <c r="AA2254" s="284"/>
      <c r="AB2254" s="284"/>
      <c r="AC2254" s="284"/>
      <c r="AD2254" s="284"/>
      <c r="AE2254" s="284"/>
      <c r="AF2254" s="284"/>
      <c r="AG2254" s="284"/>
    </row>
    <row r="2255" spans="1:33" ht="26.4">
      <c r="A2255" s="284"/>
      <c r="B2255" s="284"/>
      <c r="C2255" s="284"/>
      <c r="D2255" s="284"/>
      <c r="E2255" s="284"/>
      <c r="F2255" s="284"/>
      <c r="G2255" s="284"/>
      <c r="H2255" s="284"/>
      <c r="I2255" s="284"/>
      <c r="J2255" s="375"/>
      <c r="K2255" s="375"/>
      <c r="L2255" s="375"/>
      <c r="M2255" s="368"/>
      <c r="N2255" s="368"/>
      <c r="O2255" s="370"/>
      <c r="T2255" s="340"/>
      <c r="V2255" s="378"/>
      <c r="W2255" s="64" ph="1"/>
      <c r="X2255" s="241"/>
      <c r="Y2255" s="284"/>
      <c r="Z2255" s="207"/>
      <c r="AA2255" s="284"/>
      <c r="AB2255" s="284"/>
      <c r="AC2255" s="284"/>
      <c r="AD2255" s="284"/>
      <c r="AE2255" s="284"/>
      <c r="AF2255" s="284"/>
      <c r="AG2255" s="284"/>
    </row>
    <row r="2256" spans="1:33" ht="26.4">
      <c r="A2256" s="284"/>
      <c r="B2256" s="284"/>
      <c r="C2256" s="284"/>
      <c r="D2256" s="284"/>
      <c r="E2256" s="284"/>
      <c r="F2256" s="284"/>
      <c r="G2256" s="284"/>
      <c r="H2256" s="284"/>
      <c r="I2256" s="284"/>
      <c r="J2256" s="375"/>
      <c r="K2256" s="375"/>
      <c r="L2256" s="375"/>
      <c r="M2256" s="368"/>
      <c r="N2256" s="368"/>
      <c r="O2256" s="370"/>
      <c r="T2256" s="340"/>
      <c r="V2256" s="378"/>
      <c r="W2256" s="64" ph="1"/>
      <c r="X2256" s="241"/>
      <c r="Y2256" s="284"/>
      <c r="Z2256" s="207"/>
      <c r="AA2256" s="284"/>
      <c r="AB2256" s="284"/>
      <c r="AC2256" s="284"/>
      <c r="AD2256" s="284"/>
      <c r="AE2256" s="284"/>
      <c r="AF2256" s="284"/>
      <c r="AG2256" s="284"/>
    </row>
    <row r="2257" spans="1:33" ht="26.4">
      <c r="A2257" s="284"/>
      <c r="B2257" s="284"/>
      <c r="C2257" s="284"/>
      <c r="D2257" s="284"/>
      <c r="E2257" s="284"/>
      <c r="F2257" s="284"/>
      <c r="G2257" s="284"/>
      <c r="H2257" s="284"/>
      <c r="I2257" s="284"/>
      <c r="J2257" s="375"/>
      <c r="K2257" s="375"/>
      <c r="L2257" s="375"/>
      <c r="M2257" s="368"/>
      <c r="N2257" s="368"/>
      <c r="O2257" s="370"/>
      <c r="T2257" s="340"/>
      <c r="V2257" s="378"/>
      <c r="W2257" s="64" ph="1"/>
      <c r="X2257" s="241"/>
      <c r="Y2257" s="284"/>
      <c r="Z2257" s="207"/>
      <c r="AA2257" s="284"/>
      <c r="AB2257" s="284"/>
      <c r="AC2257" s="284"/>
      <c r="AD2257" s="284"/>
      <c r="AE2257" s="284"/>
      <c r="AF2257" s="284"/>
      <c r="AG2257" s="284"/>
    </row>
    <row r="2258" spans="1:33" ht="26.4">
      <c r="A2258" s="284"/>
      <c r="B2258" s="284"/>
      <c r="C2258" s="284"/>
      <c r="D2258" s="284"/>
      <c r="E2258" s="284"/>
      <c r="F2258" s="284"/>
      <c r="G2258" s="284"/>
      <c r="H2258" s="284"/>
      <c r="I2258" s="284"/>
      <c r="J2258" s="375"/>
      <c r="K2258" s="375"/>
      <c r="L2258" s="375"/>
      <c r="M2258" s="368"/>
      <c r="N2258" s="368"/>
      <c r="O2258" s="370"/>
      <c r="T2258" s="340"/>
      <c r="V2258" s="378"/>
      <c r="W2258" s="64" ph="1"/>
      <c r="X2258" s="241"/>
      <c r="Y2258" s="284"/>
      <c r="Z2258" s="207"/>
      <c r="AA2258" s="284"/>
      <c r="AB2258" s="284"/>
      <c r="AC2258" s="284"/>
      <c r="AD2258" s="284"/>
      <c r="AE2258" s="284"/>
      <c r="AF2258" s="284"/>
      <c r="AG2258" s="284"/>
    </row>
    <row r="2259" spans="1:33" ht="26.4">
      <c r="O2259" s="370"/>
      <c r="W2259" s="64" ph="1"/>
    </row>
    <row r="2260" spans="1:33" ht="26.4">
      <c r="O2260" s="370"/>
      <c r="W2260" s="64" ph="1"/>
    </row>
    <row r="2261" spans="1:33" ht="26.4">
      <c r="O2261" s="370"/>
      <c r="W2261" s="64" ph="1"/>
    </row>
    <row r="2262" spans="1:33" ht="26.4">
      <c r="O2262" s="370"/>
      <c r="W2262" s="64" ph="1"/>
    </row>
    <row r="2263" spans="1:33" ht="26.4">
      <c r="O2263" s="370"/>
      <c r="W2263" s="64" ph="1"/>
    </row>
    <row r="2264" spans="1:33" ht="26.4">
      <c r="O2264" s="370"/>
      <c r="W2264" s="64" ph="1"/>
    </row>
    <row r="2265" spans="1:33" ht="26.4">
      <c r="O2265" s="370"/>
      <c r="W2265" s="64" ph="1"/>
    </row>
    <row r="2266" spans="1:33" ht="26.4">
      <c r="O2266" s="370"/>
      <c r="W2266" s="64" ph="1"/>
    </row>
    <row r="2267" spans="1:33" ht="26.4">
      <c r="O2267" s="370"/>
      <c r="W2267" s="64" ph="1"/>
    </row>
    <row r="2268" spans="1:33" ht="26.4">
      <c r="O2268" s="370"/>
      <c r="W2268" s="64" ph="1"/>
    </row>
    <row r="2269" spans="1:33" ht="26.4">
      <c r="O2269" s="370"/>
      <c r="W2269" s="64" ph="1"/>
    </row>
    <row r="2270" spans="1:33" ht="26.4">
      <c r="O2270" s="370"/>
      <c r="W2270" s="64" ph="1"/>
    </row>
    <row r="2271" spans="1:33" ht="26.4">
      <c r="W2271" s="64" ph="1"/>
    </row>
    <row r="2272" spans="1:33" ht="26.4">
      <c r="W2272" s="64" ph="1"/>
    </row>
    <row r="2273" spans="23:23" ht="26.4">
      <c r="W2273" s="64" ph="1"/>
    </row>
    <row r="2274" spans="23:23" ht="26.4">
      <c r="W2274" s="64" ph="1"/>
    </row>
    <row r="2275" spans="23:23" ht="26.4">
      <c r="W2275" s="64" ph="1"/>
    </row>
    <row r="2276" spans="23:23" ht="26.4">
      <c r="W2276" s="64" ph="1"/>
    </row>
    <row r="2277" spans="23:23" ht="26.4">
      <c r="W2277" s="64" ph="1"/>
    </row>
    <row r="2278" spans="23:23" ht="26.4">
      <c r="W2278" s="64" ph="1"/>
    </row>
    <row r="2279" spans="23:23" ht="26.4">
      <c r="W2279" s="64" ph="1"/>
    </row>
    <row r="2280" spans="23:23" ht="26.4">
      <c r="W2280" s="64" ph="1"/>
    </row>
    <row r="2281" spans="23:23" ht="26.4">
      <c r="W2281" s="64" ph="1"/>
    </row>
    <row r="2282" spans="23:23" ht="26.4">
      <c r="W2282" s="64" ph="1"/>
    </row>
    <row r="2283" spans="23:23" ht="26.4">
      <c r="W2283" s="64" ph="1"/>
    </row>
    <row r="2284" spans="23:23" ht="26.4">
      <c r="W2284" s="64" ph="1"/>
    </row>
    <row r="2285" spans="23:23" ht="26.4">
      <c r="W2285" s="64" ph="1"/>
    </row>
    <row r="2286" spans="23:23" ht="26.4">
      <c r="W2286" s="64" ph="1"/>
    </row>
    <row r="2287" spans="23:23" ht="26.4">
      <c r="W2287" s="64" ph="1"/>
    </row>
    <row r="2288" spans="23:23" ht="26.4">
      <c r="W2288" s="64" ph="1"/>
    </row>
    <row r="2289" spans="23:23" ht="26.4">
      <c r="W2289" s="64" ph="1"/>
    </row>
    <row r="2290" spans="23:23" ht="26.4">
      <c r="W2290" s="64" ph="1"/>
    </row>
    <row r="2291" spans="23:23" ht="26.4">
      <c r="W2291" s="64" ph="1"/>
    </row>
    <row r="2292" spans="23:23" ht="26.4">
      <c r="W2292" s="64" ph="1"/>
    </row>
    <row r="2293" spans="23:23" ht="26.4">
      <c r="W2293" s="64" ph="1"/>
    </row>
    <row r="2294" spans="23:23" ht="26.4">
      <c r="W2294" s="64" ph="1"/>
    </row>
    <row r="2295" spans="23:23" ht="26.4">
      <c r="W2295" s="64" ph="1"/>
    </row>
    <row r="2296" spans="23:23" ht="26.4">
      <c r="W2296" s="64" ph="1"/>
    </row>
    <row r="2297" spans="23:23" ht="26.4">
      <c r="W2297" s="64" ph="1"/>
    </row>
    <row r="2298" spans="23:23" ht="26.4">
      <c r="W2298" s="64" ph="1"/>
    </row>
    <row r="2299" spans="23:23" ht="26.4">
      <c r="W2299" s="64" ph="1"/>
    </row>
    <row r="2300" spans="23:23" ht="26.4">
      <c r="W2300" s="64" ph="1"/>
    </row>
    <row r="2301" spans="23:23" ht="26.4">
      <c r="W2301" s="64" ph="1"/>
    </row>
    <row r="2302" spans="23:23" ht="26.4">
      <c r="W2302" s="64" ph="1"/>
    </row>
    <row r="2303" spans="23:23" ht="26.4">
      <c r="W2303" s="64" ph="1"/>
    </row>
    <row r="2304" spans="23:23" ht="26.4">
      <c r="W2304" s="64" ph="1"/>
    </row>
    <row r="2305" spans="23:23" ht="26.4">
      <c r="W2305" s="64" ph="1"/>
    </row>
    <row r="2306" spans="23:23" ht="26.4">
      <c r="W2306" s="64" ph="1"/>
    </row>
    <row r="2307" spans="23:23" ht="26.4">
      <c r="W2307" s="64" ph="1"/>
    </row>
    <row r="2308" spans="23:23" ht="26.4">
      <c r="W2308" s="64" ph="1"/>
    </row>
    <row r="2309" spans="23:23" ht="26.4">
      <c r="W2309" s="64" ph="1"/>
    </row>
    <row r="2310" spans="23:23" ht="26.4">
      <c r="W2310" s="64" ph="1"/>
    </row>
    <row r="2311" spans="23:23" ht="26.4">
      <c r="W2311" s="64" ph="1"/>
    </row>
    <row r="2312" spans="23:23" ht="26.4">
      <c r="W2312" s="64" ph="1"/>
    </row>
    <row r="2313" spans="23:23" ht="26.4">
      <c r="W2313" s="64" ph="1"/>
    </row>
    <row r="2314" spans="23:23" ht="26.4">
      <c r="W2314" s="64" ph="1"/>
    </row>
    <row r="2315" spans="23:23" ht="26.4">
      <c r="W2315" s="64" ph="1"/>
    </row>
    <row r="2316" spans="23:23" ht="26.4">
      <c r="W2316" s="64" ph="1"/>
    </row>
    <row r="2317" spans="23:23" ht="26.4">
      <c r="W2317" s="64" ph="1"/>
    </row>
    <row r="2318" spans="23:23" ht="26.4">
      <c r="W2318" s="64" ph="1"/>
    </row>
    <row r="2319" spans="23:23" ht="26.4">
      <c r="W2319" s="64" ph="1"/>
    </row>
    <row r="2320" spans="23:23" ht="26.4">
      <c r="W2320" s="64" ph="1"/>
    </row>
    <row r="2321" spans="23:23" ht="26.4">
      <c r="W2321" s="64" ph="1"/>
    </row>
    <row r="2322" spans="23:23" ht="26.4">
      <c r="W2322" s="64" ph="1"/>
    </row>
    <row r="2323" spans="23:23" ht="26.4">
      <c r="W2323" s="64" ph="1"/>
    </row>
    <row r="2324" spans="23:23" ht="26.4">
      <c r="W2324" s="64" ph="1"/>
    </row>
    <row r="2325" spans="23:23" ht="26.4">
      <c r="W2325" s="64" ph="1"/>
    </row>
    <row r="2326" spans="23:23" ht="26.4">
      <c r="W2326" s="64" ph="1"/>
    </row>
    <row r="2327" spans="23:23" ht="26.4">
      <c r="W2327" s="64" ph="1"/>
    </row>
    <row r="2328" spans="23:23" ht="26.4">
      <c r="W2328" s="64" ph="1"/>
    </row>
    <row r="2329" spans="23:23" ht="26.4">
      <c r="W2329" s="64" ph="1"/>
    </row>
    <row r="2330" spans="23:23" ht="26.4">
      <c r="W2330" s="64" ph="1"/>
    </row>
    <row r="2331" spans="23:23" ht="26.4">
      <c r="W2331" s="64" ph="1"/>
    </row>
    <row r="2332" spans="23:23" ht="26.4">
      <c r="W2332" s="64" ph="1"/>
    </row>
    <row r="2333" spans="23:23" ht="26.4">
      <c r="W2333" s="64" ph="1"/>
    </row>
    <row r="2334" spans="23:23" ht="26.4">
      <c r="W2334" s="64" ph="1"/>
    </row>
    <row r="2335" spans="23:23" ht="26.4">
      <c r="W2335" s="64" ph="1"/>
    </row>
    <row r="2336" spans="23:23" ht="26.4">
      <c r="W2336" s="64" ph="1"/>
    </row>
    <row r="2337" spans="23:23" ht="26.4">
      <c r="W2337" s="64" ph="1"/>
    </row>
    <row r="2338" spans="23:23" ht="26.4">
      <c r="W2338" s="64" ph="1"/>
    </row>
    <row r="2339" spans="23:23" ht="26.4">
      <c r="W2339" s="64" ph="1"/>
    </row>
    <row r="2340" spans="23:23" ht="26.4">
      <c r="W2340" s="64" ph="1"/>
    </row>
    <row r="2341" spans="23:23" ht="26.4">
      <c r="W2341" s="64" ph="1"/>
    </row>
    <row r="2342" spans="23:23" ht="26.4">
      <c r="W2342" s="64" ph="1"/>
    </row>
    <row r="2343" spans="23:23" ht="26.4">
      <c r="W2343" s="64" ph="1"/>
    </row>
    <row r="2344" spans="23:23" ht="26.4">
      <c r="W2344" s="64" ph="1"/>
    </row>
    <row r="2345" spans="23:23" ht="26.4">
      <c r="W2345" s="64" ph="1"/>
    </row>
    <row r="2346" spans="23:23" ht="26.4">
      <c r="W2346" s="64" ph="1"/>
    </row>
    <row r="2347" spans="23:23" ht="26.4">
      <c r="W2347" s="64" ph="1"/>
    </row>
    <row r="2348" spans="23:23" ht="26.4">
      <c r="W2348" s="64" ph="1"/>
    </row>
    <row r="2349" spans="23:23" ht="26.4">
      <c r="W2349" s="64" ph="1"/>
    </row>
    <row r="2350" spans="23:23" ht="26.4">
      <c r="W2350" s="64" ph="1"/>
    </row>
    <row r="2351" spans="23:23" ht="26.4">
      <c r="W2351" s="64" ph="1"/>
    </row>
    <row r="2352" spans="23:23" ht="26.4">
      <c r="W2352" s="64" ph="1"/>
    </row>
    <row r="2353" spans="23:23" ht="26.4">
      <c r="W2353" s="64" ph="1"/>
    </row>
    <row r="2354" spans="23:23" ht="26.4">
      <c r="W2354" s="64" ph="1"/>
    </row>
    <row r="2355" spans="23:23" ht="26.4">
      <c r="W2355" s="64" ph="1"/>
    </row>
    <row r="2356" spans="23:23" ht="26.4">
      <c r="W2356" s="64" ph="1"/>
    </row>
    <row r="2357" spans="23:23" ht="26.4">
      <c r="W2357" s="64" ph="1"/>
    </row>
    <row r="2358" spans="23:23" ht="26.4">
      <c r="W2358" s="64" ph="1"/>
    </row>
    <row r="2359" spans="23:23" ht="26.4">
      <c r="W2359" s="64" ph="1"/>
    </row>
    <row r="2360" spans="23:23" ht="26.4">
      <c r="W2360" s="64" ph="1"/>
    </row>
    <row r="2361" spans="23:23" ht="26.4">
      <c r="W2361" s="64" ph="1"/>
    </row>
    <row r="2362" spans="23:23" ht="26.4">
      <c r="W2362" s="64" ph="1"/>
    </row>
    <row r="2363" spans="23:23" ht="26.4">
      <c r="W2363" s="64" ph="1"/>
    </row>
    <row r="2364" spans="23:23" ht="26.4">
      <c r="W2364" s="64" ph="1"/>
    </row>
    <row r="2365" spans="23:23" ht="26.4">
      <c r="W2365" s="64" ph="1"/>
    </row>
    <row r="2366" spans="23:23" ht="26.4">
      <c r="W2366" s="64" ph="1"/>
    </row>
    <row r="2367" spans="23:23" ht="26.4">
      <c r="W2367" s="64" ph="1"/>
    </row>
    <row r="2368" spans="23:23" ht="26.4">
      <c r="W2368" s="64" ph="1"/>
    </row>
    <row r="2369" spans="23:23" ht="26.4">
      <c r="W2369" s="64" ph="1"/>
    </row>
    <row r="2370" spans="23:23" ht="26.4">
      <c r="W2370" s="64" ph="1"/>
    </row>
    <row r="2371" spans="23:23" ht="26.4">
      <c r="W2371" s="64" ph="1"/>
    </row>
    <row r="2372" spans="23:23" ht="26.4">
      <c r="W2372" s="64" ph="1"/>
    </row>
    <row r="2373" spans="23:23" ht="26.4">
      <c r="W2373" s="64" ph="1"/>
    </row>
    <row r="2374" spans="23:23" ht="26.4">
      <c r="W2374" s="64" ph="1"/>
    </row>
    <row r="2375" spans="23:23" ht="26.4">
      <c r="W2375" s="64" ph="1"/>
    </row>
    <row r="2376" spans="23:23" ht="26.4">
      <c r="W2376" s="64" ph="1"/>
    </row>
    <row r="2377" spans="23:23" ht="26.4">
      <c r="W2377" s="64" ph="1"/>
    </row>
    <row r="2378" spans="23:23" ht="26.4">
      <c r="W2378" s="64" ph="1"/>
    </row>
    <row r="2379" spans="23:23" ht="26.4">
      <c r="W2379" s="64" ph="1"/>
    </row>
    <row r="2380" spans="23:23" ht="26.4">
      <c r="W2380" s="64" ph="1"/>
    </row>
    <row r="2381" spans="23:23" ht="26.4">
      <c r="W2381" s="64" ph="1"/>
    </row>
    <row r="2382" spans="23:23" ht="26.4">
      <c r="W2382" s="64" ph="1"/>
    </row>
    <row r="2383" spans="23:23" ht="26.4">
      <c r="W2383" s="64" ph="1"/>
    </row>
    <row r="2384" spans="23:23" ht="26.4">
      <c r="W2384" s="64" ph="1"/>
    </row>
    <row r="2385" spans="23:23" ht="26.4">
      <c r="W2385" s="64" ph="1"/>
    </row>
    <row r="2386" spans="23:23" ht="26.4">
      <c r="W2386" s="64" ph="1"/>
    </row>
    <row r="2387" spans="23:23" ht="26.4">
      <c r="W2387" s="64" ph="1"/>
    </row>
    <row r="2388" spans="23:23" ht="26.4">
      <c r="W2388" s="64" ph="1"/>
    </row>
    <row r="2389" spans="23:23" ht="26.4">
      <c r="W2389" s="64" ph="1"/>
    </row>
    <row r="2390" spans="23:23" ht="26.4">
      <c r="W2390" s="64" ph="1"/>
    </row>
    <row r="2391" spans="23:23" ht="26.4">
      <c r="W2391" s="64" ph="1"/>
    </row>
    <row r="2392" spans="23:23" ht="26.4">
      <c r="W2392" s="64" ph="1"/>
    </row>
    <row r="2393" spans="23:23" ht="26.4">
      <c r="W2393" s="64" ph="1"/>
    </row>
    <row r="2394" spans="23:23" ht="26.4">
      <c r="W2394" s="64" ph="1"/>
    </row>
    <row r="2395" spans="23:23" ht="26.4">
      <c r="W2395" s="64" ph="1"/>
    </row>
    <row r="2396" spans="23:23" ht="26.4">
      <c r="W2396" s="64" ph="1"/>
    </row>
    <row r="2397" spans="23:23" ht="26.4">
      <c r="W2397" s="64" ph="1"/>
    </row>
    <row r="2398" spans="23:23" ht="26.4">
      <c r="W2398" s="64" ph="1"/>
    </row>
    <row r="2399" spans="23:23" ht="26.4">
      <c r="W2399" s="64" ph="1"/>
    </row>
    <row r="2400" spans="23:23" ht="26.4">
      <c r="W2400" s="64" ph="1"/>
    </row>
    <row r="2401" spans="23:23" ht="26.4">
      <c r="W2401" s="64" ph="1"/>
    </row>
    <row r="2402" spans="23:23" ht="26.4">
      <c r="W2402" s="64" ph="1"/>
    </row>
    <row r="2403" spans="23:23" ht="26.4">
      <c r="W2403" s="64" ph="1"/>
    </row>
    <row r="2404" spans="23:23" ht="26.4">
      <c r="W2404" s="64" ph="1"/>
    </row>
    <row r="2405" spans="23:23" ht="26.4">
      <c r="W2405" s="64" ph="1"/>
    </row>
    <row r="2406" spans="23:23" ht="26.4">
      <c r="W2406" s="64" ph="1"/>
    </row>
    <row r="2407" spans="23:23" ht="26.4">
      <c r="W2407" s="64" ph="1"/>
    </row>
    <row r="2408" spans="23:23" ht="26.4">
      <c r="W2408" s="64" ph="1"/>
    </row>
    <row r="2409" spans="23:23" ht="26.4">
      <c r="W2409" s="64" ph="1"/>
    </row>
    <row r="2410" spans="23:23" ht="26.4">
      <c r="W2410" s="64" ph="1"/>
    </row>
    <row r="2411" spans="23:23" ht="26.4">
      <c r="W2411" s="64" ph="1"/>
    </row>
    <row r="2412" spans="23:23" ht="26.4">
      <c r="W2412" s="64" ph="1"/>
    </row>
    <row r="2413" spans="23:23" ht="26.4">
      <c r="W2413" s="64" ph="1"/>
    </row>
    <row r="2414" spans="23:23" ht="26.4">
      <c r="W2414" s="64" ph="1"/>
    </row>
    <row r="2415" spans="23:23" ht="26.4">
      <c r="W2415" s="64" ph="1"/>
    </row>
    <row r="2416" spans="23:23" ht="26.4">
      <c r="W2416" s="64" ph="1"/>
    </row>
    <row r="2417" spans="23:23" ht="26.4">
      <c r="W2417" s="64" ph="1"/>
    </row>
    <row r="2418" spans="23:23" ht="26.4">
      <c r="W2418" s="64" ph="1"/>
    </row>
    <row r="2419" spans="23:23" ht="26.4">
      <c r="W2419" s="64" ph="1"/>
    </row>
    <row r="2420" spans="23:23" ht="26.4">
      <c r="W2420" s="64" ph="1"/>
    </row>
    <row r="2421" spans="23:23" ht="26.4">
      <c r="W2421" s="64" ph="1"/>
    </row>
    <row r="2422" spans="23:23" ht="26.4">
      <c r="W2422" s="64" ph="1"/>
    </row>
    <row r="2423" spans="23:23" ht="26.4">
      <c r="W2423" s="64" ph="1"/>
    </row>
    <row r="2424" spans="23:23" ht="26.4">
      <c r="W2424" s="64" ph="1"/>
    </row>
    <row r="2425" spans="23:23" ht="26.4">
      <c r="W2425" s="64" ph="1"/>
    </row>
    <row r="2426" spans="23:23" ht="26.4">
      <c r="W2426" s="64" ph="1"/>
    </row>
    <row r="2427" spans="23:23" ht="26.4">
      <c r="W2427" s="64" ph="1"/>
    </row>
    <row r="2428" spans="23:23" ht="26.4">
      <c r="W2428" s="64" ph="1"/>
    </row>
    <row r="2429" spans="23:23" ht="26.4">
      <c r="W2429" s="64" ph="1"/>
    </row>
    <row r="2430" spans="23:23" ht="26.4">
      <c r="W2430" s="64" ph="1"/>
    </row>
    <row r="2431" spans="23:23" ht="26.4">
      <c r="W2431" s="64" ph="1"/>
    </row>
    <row r="2432" spans="23:23" ht="26.4">
      <c r="W2432" s="64" ph="1"/>
    </row>
    <row r="2433" spans="23:23" ht="26.4">
      <c r="W2433" s="64" ph="1"/>
    </row>
    <row r="2434" spans="23:23" ht="26.4">
      <c r="W2434" s="64" ph="1"/>
    </row>
    <row r="2435" spans="23:23" ht="26.4">
      <c r="W2435" s="64" ph="1"/>
    </row>
    <row r="2436" spans="23:23" ht="26.4">
      <c r="W2436" s="64" ph="1"/>
    </row>
    <row r="2437" spans="23:23" ht="26.4">
      <c r="W2437" s="64" ph="1"/>
    </row>
    <row r="2438" spans="23:23" ht="26.4">
      <c r="W2438" s="64" ph="1"/>
    </row>
    <row r="2439" spans="23:23" ht="26.4">
      <c r="W2439" s="64" ph="1"/>
    </row>
    <row r="2440" spans="23:23" ht="26.4">
      <c r="W2440" s="64" ph="1"/>
    </row>
    <row r="2441" spans="23:23" ht="26.4">
      <c r="W2441" s="64" ph="1"/>
    </row>
    <row r="2442" spans="23:23" ht="26.4">
      <c r="W2442" s="64" ph="1"/>
    </row>
    <row r="2443" spans="23:23" ht="26.4">
      <c r="W2443" s="64" ph="1"/>
    </row>
    <row r="2444" spans="23:23" ht="26.4">
      <c r="W2444" s="64" ph="1"/>
    </row>
    <row r="2445" spans="23:23" ht="26.4">
      <c r="W2445" s="64" ph="1"/>
    </row>
    <row r="2446" spans="23:23" ht="26.4">
      <c r="W2446" s="64" ph="1"/>
    </row>
    <row r="2447" spans="23:23" ht="26.4">
      <c r="W2447" s="64" ph="1"/>
    </row>
    <row r="2448" spans="23:23" ht="26.4">
      <c r="W2448" s="64" ph="1"/>
    </row>
    <row r="2449" spans="23:23" ht="26.4">
      <c r="W2449" s="64" ph="1"/>
    </row>
    <row r="2450" spans="23:23" ht="26.4">
      <c r="W2450" s="64" ph="1"/>
    </row>
    <row r="2451" spans="23:23" ht="26.4">
      <c r="W2451" s="64" ph="1"/>
    </row>
    <row r="2452" spans="23:23" ht="26.4">
      <c r="W2452" s="64" ph="1"/>
    </row>
    <row r="2453" spans="23:23" ht="26.4">
      <c r="W2453" s="64" ph="1"/>
    </row>
    <row r="2454" spans="23:23" ht="26.4">
      <c r="W2454" s="64" ph="1"/>
    </row>
    <row r="2455" spans="23:23" ht="26.4">
      <c r="W2455" s="64" ph="1"/>
    </row>
    <row r="2456" spans="23:23" ht="26.4">
      <c r="W2456" s="64" ph="1"/>
    </row>
    <row r="2457" spans="23:23" ht="26.4">
      <c r="W2457" s="64" ph="1"/>
    </row>
    <row r="2458" spans="23:23" ht="26.4">
      <c r="W2458" s="64" ph="1"/>
    </row>
    <row r="2459" spans="23:23" ht="26.4">
      <c r="W2459" s="64" ph="1"/>
    </row>
    <row r="2460" spans="23:23" ht="26.4">
      <c r="W2460" s="64" ph="1"/>
    </row>
    <row r="2461" spans="23:23" ht="26.4">
      <c r="W2461" s="64" ph="1"/>
    </row>
    <row r="2462" spans="23:23" ht="26.4">
      <c r="W2462" s="64" ph="1"/>
    </row>
    <row r="2463" spans="23:23" ht="26.4">
      <c r="W2463" s="64" ph="1"/>
    </row>
    <row r="2464" spans="23:23" ht="26.4">
      <c r="W2464" s="64" ph="1"/>
    </row>
    <row r="2465" spans="23:23" ht="26.4">
      <c r="W2465" s="64" ph="1"/>
    </row>
    <row r="2466" spans="23:23" ht="26.4">
      <c r="W2466" s="64" ph="1"/>
    </row>
    <row r="2467" spans="23:23" ht="26.4">
      <c r="W2467" s="64" ph="1"/>
    </row>
    <row r="2468" spans="23:23" ht="26.4">
      <c r="W2468" s="64" ph="1"/>
    </row>
    <row r="2469" spans="23:23" ht="26.4">
      <c r="W2469" s="64" ph="1"/>
    </row>
    <row r="2470" spans="23:23" ht="26.4">
      <c r="W2470" s="64" ph="1"/>
    </row>
    <row r="2471" spans="23:23" ht="26.4">
      <c r="W2471" s="64" ph="1"/>
    </row>
    <row r="2472" spans="23:23" ht="26.4">
      <c r="W2472" s="64" ph="1"/>
    </row>
    <row r="2473" spans="23:23" ht="26.4">
      <c r="W2473" s="64" ph="1"/>
    </row>
    <row r="2474" spans="23:23" ht="26.4">
      <c r="W2474" s="64" ph="1"/>
    </row>
    <row r="2475" spans="23:23" ht="26.4">
      <c r="W2475" s="64" ph="1"/>
    </row>
    <row r="2476" spans="23:23" ht="26.4">
      <c r="W2476" s="64" ph="1"/>
    </row>
    <row r="2477" spans="23:23" ht="26.4">
      <c r="W2477" s="64" ph="1"/>
    </row>
    <row r="2478" spans="23:23" ht="26.4">
      <c r="W2478" s="64" ph="1"/>
    </row>
    <row r="2479" spans="23:23" ht="26.4">
      <c r="W2479" s="64" ph="1"/>
    </row>
    <row r="2480" spans="23:23" ht="26.4">
      <c r="W2480" s="64" ph="1"/>
    </row>
    <row r="2481" spans="23:23" ht="26.4">
      <c r="W2481" s="64" ph="1"/>
    </row>
    <row r="2482" spans="23:23" ht="26.4">
      <c r="W2482" s="64" ph="1"/>
    </row>
    <row r="2483" spans="23:23" ht="26.4">
      <c r="W2483" s="64" ph="1"/>
    </row>
    <row r="2484" spans="23:23" ht="26.4">
      <c r="W2484" s="64" ph="1"/>
    </row>
    <row r="2485" spans="23:23" ht="26.4">
      <c r="W2485" s="64" ph="1"/>
    </row>
    <row r="2486" spans="23:23" ht="26.4">
      <c r="W2486" s="64" ph="1"/>
    </row>
    <row r="2487" spans="23:23" ht="26.4">
      <c r="W2487" s="64" ph="1"/>
    </row>
    <row r="2488" spans="23:23" ht="26.4">
      <c r="W2488" s="64" ph="1"/>
    </row>
    <row r="2489" spans="23:23" ht="26.4">
      <c r="W2489" s="64" ph="1"/>
    </row>
    <row r="2490" spans="23:23" ht="26.4">
      <c r="W2490" s="64" ph="1"/>
    </row>
    <row r="2491" spans="23:23" ht="26.4">
      <c r="W2491" s="64" ph="1"/>
    </row>
    <row r="2492" spans="23:23" ht="26.4">
      <c r="W2492" s="64" ph="1"/>
    </row>
    <row r="2493" spans="23:23" ht="26.4">
      <c r="W2493" s="64" ph="1"/>
    </row>
    <row r="2494" spans="23:23" ht="26.4">
      <c r="W2494" s="64" ph="1"/>
    </row>
    <row r="2495" spans="23:23" ht="26.4">
      <c r="W2495" s="64" ph="1"/>
    </row>
    <row r="2496" spans="23:23" ht="26.4">
      <c r="W2496" s="64" ph="1"/>
    </row>
    <row r="2497" spans="23:23" ht="26.4">
      <c r="W2497" s="64" ph="1"/>
    </row>
    <row r="2498" spans="23:23" ht="26.4">
      <c r="W2498" s="64" ph="1"/>
    </row>
    <row r="2499" spans="23:23" ht="26.4">
      <c r="W2499" s="64" ph="1"/>
    </row>
    <row r="2500" spans="23:23" ht="26.4">
      <c r="W2500" s="64" ph="1"/>
    </row>
    <row r="2501" spans="23:23" ht="26.4">
      <c r="W2501" s="64" ph="1"/>
    </row>
    <row r="2502" spans="23:23" ht="26.4">
      <c r="W2502" s="64" ph="1"/>
    </row>
    <row r="2503" spans="23:23" ht="26.4">
      <c r="W2503" s="64" ph="1"/>
    </row>
    <row r="2504" spans="23:23" ht="26.4">
      <c r="W2504" s="64" ph="1"/>
    </row>
    <row r="2505" spans="23:23" ht="26.4">
      <c r="W2505" s="64" ph="1"/>
    </row>
    <row r="2506" spans="23:23" ht="26.4">
      <c r="W2506" s="64" ph="1"/>
    </row>
    <row r="2507" spans="23:23" ht="26.4">
      <c r="W2507" s="64" ph="1"/>
    </row>
    <row r="2508" spans="23:23" ht="26.4">
      <c r="W2508" s="64" ph="1"/>
    </row>
    <row r="2509" spans="23:23" ht="26.4">
      <c r="W2509" s="64" ph="1"/>
    </row>
    <row r="2510" spans="23:23" ht="26.4">
      <c r="W2510" s="64" ph="1"/>
    </row>
    <row r="2511" spans="23:23" ht="26.4">
      <c r="W2511" s="64" ph="1"/>
    </row>
    <row r="2512" spans="23:23" ht="26.4">
      <c r="W2512" s="64" ph="1"/>
    </row>
    <row r="2513" spans="23:23" ht="26.4">
      <c r="W2513" s="64" ph="1"/>
    </row>
    <row r="2514" spans="23:23" ht="26.4">
      <c r="W2514" s="64" ph="1"/>
    </row>
    <row r="2515" spans="23:23" ht="26.4">
      <c r="W2515" s="64" ph="1"/>
    </row>
    <row r="2516" spans="23:23" ht="26.4">
      <c r="W2516" s="64" ph="1"/>
    </row>
    <row r="2517" spans="23:23" ht="26.4">
      <c r="W2517" s="64" ph="1"/>
    </row>
    <row r="2518" spans="23:23" ht="26.4">
      <c r="W2518" s="64" ph="1"/>
    </row>
    <row r="2519" spans="23:23" ht="26.4">
      <c r="W2519" s="64" ph="1"/>
    </row>
    <row r="2520" spans="23:23" ht="26.4">
      <c r="W2520" s="64" ph="1"/>
    </row>
    <row r="2521" spans="23:23" ht="26.4">
      <c r="W2521" s="64" ph="1"/>
    </row>
    <row r="2522" spans="23:23" ht="26.4">
      <c r="W2522" s="64" ph="1"/>
    </row>
    <row r="2523" spans="23:23" ht="26.4">
      <c r="W2523" s="64" ph="1"/>
    </row>
    <row r="2524" spans="23:23" ht="26.4">
      <c r="W2524" s="64" ph="1"/>
    </row>
    <row r="2525" spans="23:23" ht="26.4">
      <c r="W2525" s="64" ph="1"/>
    </row>
    <row r="2526" spans="23:23" ht="26.4">
      <c r="W2526" s="64" ph="1"/>
    </row>
    <row r="2527" spans="23:23" ht="26.4">
      <c r="W2527" s="64" ph="1"/>
    </row>
    <row r="2528" spans="23:23" ht="26.4">
      <c r="W2528" s="64" ph="1"/>
    </row>
    <row r="2529" spans="23:23" ht="26.4">
      <c r="W2529" s="64" ph="1"/>
    </row>
    <row r="2530" spans="23:23" ht="26.4">
      <c r="W2530" s="64" ph="1"/>
    </row>
    <row r="2531" spans="23:23" ht="26.4">
      <c r="W2531" s="64" ph="1"/>
    </row>
    <row r="2532" spans="23:23" ht="26.4">
      <c r="W2532" s="64" ph="1"/>
    </row>
    <row r="2533" spans="23:23" ht="26.4">
      <c r="W2533" s="64" ph="1"/>
    </row>
    <row r="2534" spans="23:23" ht="26.4">
      <c r="W2534" s="64" ph="1"/>
    </row>
    <row r="2535" spans="23:23" ht="26.4">
      <c r="W2535" s="64" ph="1"/>
    </row>
    <row r="2536" spans="23:23" ht="26.4">
      <c r="W2536" s="64" ph="1"/>
    </row>
    <row r="2537" spans="23:23" ht="26.4">
      <c r="W2537" s="64" ph="1"/>
    </row>
    <row r="2538" spans="23:23" ht="26.4">
      <c r="W2538" s="64" ph="1"/>
    </row>
    <row r="2539" spans="23:23" ht="26.4">
      <c r="W2539" s="64" ph="1"/>
    </row>
    <row r="2540" spans="23:23" ht="26.4">
      <c r="W2540" s="64" ph="1"/>
    </row>
    <row r="2541" spans="23:23" ht="26.4">
      <c r="W2541" s="64" ph="1"/>
    </row>
    <row r="2542" spans="23:23" ht="26.4">
      <c r="W2542" s="64" ph="1"/>
    </row>
    <row r="2543" spans="23:23" ht="26.4">
      <c r="W2543" s="64" ph="1"/>
    </row>
    <row r="2544" spans="23:23" ht="26.4">
      <c r="W2544" s="64" ph="1"/>
    </row>
    <row r="2545" spans="23:23" ht="26.4">
      <c r="W2545" s="64" ph="1"/>
    </row>
    <row r="2546" spans="23:23" ht="26.4">
      <c r="W2546" s="64" ph="1"/>
    </row>
    <row r="2547" spans="23:23" ht="26.4">
      <c r="W2547" s="64" ph="1"/>
    </row>
    <row r="2548" spans="23:23" ht="26.4">
      <c r="W2548" s="64" ph="1"/>
    </row>
    <row r="2549" spans="23:23" ht="26.4">
      <c r="W2549" s="64" ph="1"/>
    </row>
    <row r="2550" spans="23:23" ht="26.4">
      <c r="W2550" s="64" ph="1"/>
    </row>
    <row r="2551" spans="23:23" ht="26.4">
      <c r="W2551" s="64" ph="1"/>
    </row>
    <row r="2552" spans="23:23" ht="26.4">
      <c r="W2552" s="64" ph="1"/>
    </row>
    <row r="2553" spans="23:23" ht="26.4">
      <c r="W2553" s="64" ph="1"/>
    </row>
    <row r="2554" spans="23:23" ht="26.4">
      <c r="W2554" s="64" ph="1"/>
    </row>
    <row r="2555" spans="23:23" ht="26.4">
      <c r="W2555" s="64" ph="1"/>
    </row>
    <row r="2556" spans="23:23" ht="26.4">
      <c r="W2556" s="64" ph="1"/>
    </row>
    <row r="2557" spans="23:23" ht="26.4">
      <c r="W2557" s="64" ph="1"/>
    </row>
    <row r="2558" spans="23:23" ht="26.4">
      <c r="W2558" s="64" ph="1"/>
    </row>
    <row r="2559" spans="23:23" ht="26.4">
      <c r="W2559" s="64" ph="1"/>
    </row>
    <row r="2560" spans="23:23" ht="26.4">
      <c r="W2560" s="64" ph="1"/>
    </row>
    <row r="2561" spans="23:23" ht="26.4">
      <c r="W2561" s="64" ph="1"/>
    </row>
    <row r="2562" spans="23:23" ht="26.4">
      <c r="W2562" s="64" ph="1"/>
    </row>
    <row r="2563" spans="23:23" ht="26.4">
      <c r="W2563" s="64" ph="1"/>
    </row>
    <row r="2564" spans="23:23" ht="26.4">
      <c r="W2564" s="64" ph="1"/>
    </row>
    <row r="2565" spans="23:23" ht="26.4">
      <c r="W2565" s="64" ph="1"/>
    </row>
    <row r="2566" spans="23:23" ht="26.4">
      <c r="W2566" s="64" ph="1"/>
    </row>
    <row r="2567" spans="23:23" ht="26.4">
      <c r="W2567" s="64" ph="1"/>
    </row>
    <row r="2568" spans="23:23" ht="26.4">
      <c r="W2568" s="64" ph="1"/>
    </row>
    <row r="2569" spans="23:23" ht="26.4">
      <c r="W2569" s="64" ph="1"/>
    </row>
    <row r="2570" spans="23:23" ht="26.4">
      <c r="W2570" s="64" ph="1"/>
    </row>
    <row r="2571" spans="23:23" ht="26.4">
      <c r="W2571" s="64" ph="1"/>
    </row>
    <row r="2572" spans="23:23" ht="26.4">
      <c r="W2572" s="64" ph="1"/>
    </row>
    <row r="2573" spans="23:23" ht="26.4">
      <c r="W2573" s="64" ph="1"/>
    </row>
    <row r="2574" spans="23:23" ht="26.4">
      <c r="W2574" s="64" ph="1"/>
    </row>
    <row r="2575" spans="23:23" ht="26.4">
      <c r="W2575" s="64" ph="1"/>
    </row>
    <row r="2576" spans="23:23" ht="26.4">
      <c r="W2576" s="64" ph="1"/>
    </row>
    <row r="2577" spans="23:23" ht="26.4">
      <c r="W2577" s="64" ph="1"/>
    </row>
    <row r="2578" spans="23:23" ht="26.4">
      <c r="W2578" s="64" ph="1"/>
    </row>
    <row r="2579" spans="23:23" ht="26.4">
      <c r="W2579" s="64" ph="1"/>
    </row>
    <row r="2580" spans="23:23" ht="26.4">
      <c r="W2580" s="64" ph="1"/>
    </row>
    <row r="2581" spans="23:23" ht="26.4">
      <c r="W2581" s="64" ph="1"/>
    </row>
    <row r="2582" spans="23:23" ht="26.4">
      <c r="W2582" s="64" ph="1"/>
    </row>
    <row r="2583" spans="23:23" ht="26.4">
      <c r="W2583" s="64" ph="1"/>
    </row>
    <row r="2584" spans="23:23" ht="26.4">
      <c r="W2584" s="64" ph="1"/>
    </row>
    <row r="2585" spans="23:23" ht="26.4">
      <c r="W2585" s="64" ph="1"/>
    </row>
    <row r="2586" spans="23:23" ht="26.4">
      <c r="W2586" s="64" ph="1"/>
    </row>
    <row r="2587" spans="23:23" ht="26.4">
      <c r="W2587" s="64" ph="1"/>
    </row>
    <row r="2588" spans="23:23" ht="26.4">
      <c r="W2588" s="64" ph="1"/>
    </row>
    <row r="2589" spans="23:23" ht="26.4">
      <c r="W2589" s="64" ph="1"/>
    </row>
    <row r="2590" spans="23:23" ht="26.4">
      <c r="W2590" s="64" ph="1"/>
    </row>
    <row r="2591" spans="23:23" ht="26.4">
      <c r="W2591" s="64" ph="1"/>
    </row>
    <row r="2592" spans="23:23" ht="26.4">
      <c r="W2592" s="64" ph="1"/>
    </row>
    <row r="2593" spans="23:23" ht="26.4">
      <c r="W2593" s="64" ph="1"/>
    </row>
    <row r="2594" spans="23:23" ht="26.4">
      <c r="W2594" s="64" ph="1"/>
    </row>
    <row r="2595" spans="23:23" ht="26.4">
      <c r="W2595" s="64" ph="1"/>
    </row>
    <row r="2596" spans="23:23" ht="26.4">
      <c r="W2596" s="64" ph="1"/>
    </row>
    <row r="2597" spans="23:23" ht="26.4">
      <c r="W2597" s="64" ph="1"/>
    </row>
    <row r="2598" spans="23:23" ht="26.4">
      <c r="W2598" s="64" ph="1"/>
    </row>
    <row r="2599" spans="23:23" ht="26.4">
      <c r="W2599" s="64" ph="1"/>
    </row>
    <row r="2600" spans="23:23" ht="26.4">
      <c r="W2600" s="64" ph="1"/>
    </row>
    <row r="2601" spans="23:23" ht="26.4">
      <c r="W2601" s="64" ph="1"/>
    </row>
    <row r="2602" spans="23:23" ht="26.4">
      <c r="W2602" s="64" ph="1"/>
    </row>
    <row r="2603" spans="23:23" ht="26.4">
      <c r="W2603" s="64" ph="1"/>
    </row>
    <row r="2604" spans="23:23" ht="26.4">
      <c r="W2604" s="64" ph="1"/>
    </row>
    <row r="2605" spans="23:23" ht="26.4">
      <c r="W2605" s="64" ph="1"/>
    </row>
    <row r="2606" spans="23:23" ht="26.4">
      <c r="W2606" s="64" ph="1"/>
    </row>
    <row r="2607" spans="23:23" ht="26.4">
      <c r="W2607" s="64" ph="1"/>
    </row>
    <row r="2608" spans="23:23" ht="26.4">
      <c r="W2608" s="64" ph="1"/>
    </row>
    <row r="2609" spans="23:23" ht="26.4">
      <c r="W2609" s="64" ph="1"/>
    </row>
    <row r="2610" spans="23:23" ht="26.4">
      <c r="W2610" s="64" ph="1"/>
    </row>
    <row r="2611" spans="23:23" ht="26.4">
      <c r="W2611" s="64" ph="1"/>
    </row>
    <row r="2612" spans="23:23" ht="26.4">
      <c r="W2612" s="64" ph="1"/>
    </row>
    <row r="2613" spans="23:23" ht="26.4">
      <c r="W2613" s="64" ph="1"/>
    </row>
    <row r="2614" spans="23:23" ht="26.4">
      <c r="W2614" s="64" ph="1"/>
    </row>
    <row r="2615" spans="23:23" ht="26.4">
      <c r="W2615" s="64" ph="1"/>
    </row>
    <row r="2616" spans="23:23" ht="26.4">
      <c r="W2616" s="64" ph="1"/>
    </row>
    <row r="2617" spans="23:23" ht="26.4">
      <c r="W2617" s="64" ph="1"/>
    </row>
    <row r="2618" spans="23:23" ht="26.4">
      <c r="W2618" s="64" ph="1"/>
    </row>
    <row r="2619" spans="23:23" ht="26.4">
      <c r="W2619" s="64" ph="1"/>
    </row>
    <row r="2620" spans="23:23" ht="26.4">
      <c r="W2620" s="64" ph="1"/>
    </row>
    <row r="2621" spans="23:23" ht="26.4">
      <c r="W2621" s="64" ph="1"/>
    </row>
    <row r="2622" spans="23:23" ht="26.4">
      <c r="W2622" s="64" ph="1"/>
    </row>
    <row r="2623" spans="23:23" ht="26.4">
      <c r="W2623" s="64" ph="1"/>
    </row>
    <row r="2624" spans="23:23" ht="26.4">
      <c r="W2624" s="64" ph="1"/>
    </row>
    <row r="2625" spans="23:23" ht="26.4">
      <c r="W2625" s="64" ph="1"/>
    </row>
    <row r="2626" spans="23:23" ht="26.4">
      <c r="W2626" s="64" ph="1"/>
    </row>
    <row r="2627" spans="23:23" ht="26.4">
      <c r="W2627" s="64" ph="1"/>
    </row>
    <row r="2628" spans="23:23" ht="26.4">
      <c r="W2628" s="64" ph="1"/>
    </row>
    <row r="2629" spans="23:23" ht="26.4">
      <c r="W2629" s="64" ph="1"/>
    </row>
    <row r="2630" spans="23:23" ht="26.4">
      <c r="W2630" s="64" ph="1"/>
    </row>
    <row r="2631" spans="23:23" ht="26.4">
      <c r="W2631" s="64" ph="1"/>
    </row>
    <row r="2632" spans="23:23" ht="26.4">
      <c r="W2632" s="64" ph="1"/>
    </row>
    <row r="2633" spans="23:23" ht="26.4">
      <c r="W2633" s="64" ph="1"/>
    </row>
    <row r="2634" spans="23:23" ht="26.4">
      <c r="W2634" s="64" ph="1"/>
    </row>
    <row r="2635" spans="23:23" ht="26.4">
      <c r="W2635" s="64" ph="1"/>
    </row>
    <row r="2636" spans="23:23" ht="26.4">
      <c r="W2636" s="64" ph="1"/>
    </row>
    <row r="2637" spans="23:23" ht="26.4">
      <c r="W2637" s="64" ph="1"/>
    </row>
    <row r="2638" spans="23:23" ht="26.4">
      <c r="W2638" s="64" ph="1"/>
    </row>
    <row r="2639" spans="23:23" ht="26.4">
      <c r="W2639" s="64" ph="1"/>
    </row>
    <row r="2640" spans="23:23" ht="26.4">
      <c r="W2640" s="64" ph="1"/>
    </row>
    <row r="2641" spans="23:23" ht="26.4">
      <c r="W2641" s="64" ph="1"/>
    </row>
    <row r="2642" spans="23:23" ht="26.4">
      <c r="W2642" s="64" ph="1"/>
    </row>
    <row r="2643" spans="23:23" ht="26.4">
      <c r="W2643" s="64" ph="1"/>
    </row>
    <row r="2644" spans="23:23" ht="26.4">
      <c r="W2644" s="64" ph="1"/>
    </row>
    <row r="2645" spans="23:23" ht="26.4">
      <c r="W2645" s="64" ph="1"/>
    </row>
    <row r="2646" spans="23:23" ht="26.4">
      <c r="W2646" s="64" ph="1"/>
    </row>
    <row r="2647" spans="23:23" ht="26.4">
      <c r="W2647" s="64" ph="1"/>
    </row>
    <row r="2648" spans="23:23" ht="26.4">
      <c r="W2648" s="64" ph="1"/>
    </row>
    <row r="2649" spans="23:23" ht="26.4">
      <c r="W2649" s="64" ph="1"/>
    </row>
    <row r="2650" spans="23:23" ht="26.4">
      <c r="W2650" s="64" ph="1"/>
    </row>
    <row r="2651" spans="23:23" ht="26.4">
      <c r="W2651" s="64" ph="1"/>
    </row>
    <row r="2652" spans="23:23" ht="26.4">
      <c r="W2652" s="64" ph="1"/>
    </row>
    <row r="2653" spans="23:23" ht="26.4">
      <c r="W2653" s="64" ph="1"/>
    </row>
    <row r="2654" spans="23:23" ht="26.4">
      <c r="W2654" s="64" ph="1"/>
    </row>
    <row r="2655" spans="23:23" ht="26.4">
      <c r="W2655" s="64" ph="1"/>
    </row>
    <row r="2656" spans="23:23" ht="26.4">
      <c r="W2656" s="64" ph="1"/>
    </row>
    <row r="2657" spans="23:23" ht="26.4">
      <c r="W2657" s="64" ph="1"/>
    </row>
    <row r="2658" spans="23:23" ht="26.4">
      <c r="W2658" s="64" ph="1"/>
    </row>
    <row r="2659" spans="23:23" ht="26.4">
      <c r="W2659" s="64" ph="1"/>
    </row>
    <row r="2660" spans="23:23" ht="26.4">
      <c r="W2660" s="64" ph="1"/>
    </row>
    <row r="2661" spans="23:23" ht="26.4">
      <c r="W2661" s="64" ph="1"/>
    </row>
    <row r="2662" spans="23:23" ht="26.4">
      <c r="W2662" s="64" ph="1"/>
    </row>
    <row r="2663" spans="23:23" ht="26.4">
      <c r="W2663" s="64" ph="1"/>
    </row>
    <row r="2664" spans="23:23" ht="26.4">
      <c r="W2664" s="64" ph="1"/>
    </row>
    <row r="2665" spans="23:23" ht="26.4">
      <c r="W2665" s="64" ph="1"/>
    </row>
    <row r="2666" spans="23:23" ht="26.4">
      <c r="W2666" s="64" ph="1"/>
    </row>
    <row r="2667" spans="23:23" ht="26.4">
      <c r="W2667" s="64" ph="1"/>
    </row>
    <row r="2668" spans="23:23" ht="26.4">
      <c r="W2668" s="64" ph="1"/>
    </row>
    <row r="2669" spans="23:23" ht="26.4">
      <c r="W2669" s="64" ph="1"/>
    </row>
    <row r="2670" spans="23:23" ht="26.4">
      <c r="W2670" s="64" ph="1"/>
    </row>
    <row r="2671" spans="23:23" ht="26.4">
      <c r="W2671" s="64" ph="1"/>
    </row>
    <row r="2672" spans="23:23" ht="26.4">
      <c r="W2672" s="64" ph="1"/>
    </row>
    <row r="2673" spans="23:23" ht="26.4">
      <c r="W2673" s="64" ph="1"/>
    </row>
    <row r="2674" spans="23:23" ht="26.4">
      <c r="W2674" s="64" ph="1"/>
    </row>
    <row r="2675" spans="23:23" ht="26.4">
      <c r="W2675" s="64" ph="1"/>
    </row>
    <row r="2676" spans="23:23" ht="26.4">
      <c r="W2676" s="64" ph="1"/>
    </row>
    <row r="2677" spans="23:23" ht="26.4">
      <c r="W2677" s="64" ph="1"/>
    </row>
    <row r="2678" spans="23:23" ht="26.4">
      <c r="W2678" s="64" ph="1"/>
    </row>
    <row r="2679" spans="23:23" ht="26.4">
      <c r="W2679" s="64" ph="1"/>
    </row>
    <row r="2680" spans="23:23" ht="26.4">
      <c r="W2680" s="64" ph="1"/>
    </row>
    <row r="2681" spans="23:23" ht="26.4">
      <c r="W2681" s="64" ph="1"/>
    </row>
    <row r="2682" spans="23:23" ht="26.4">
      <c r="W2682" s="64" ph="1"/>
    </row>
    <row r="2683" spans="23:23" ht="26.4">
      <c r="W2683" s="64" ph="1"/>
    </row>
    <row r="2684" spans="23:23" ht="26.4">
      <c r="W2684" s="64" ph="1"/>
    </row>
    <row r="2685" spans="23:23" ht="26.4">
      <c r="W2685" s="64" ph="1"/>
    </row>
    <row r="2686" spans="23:23" ht="26.4">
      <c r="W2686" s="64" ph="1"/>
    </row>
    <row r="2687" spans="23:23" ht="26.4">
      <c r="W2687" s="64" ph="1"/>
    </row>
    <row r="2688" spans="23:23" ht="26.4">
      <c r="W2688" s="64" ph="1"/>
    </row>
    <row r="2689" spans="23:23" ht="26.4">
      <c r="W2689" s="64" ph="1"/>
    </row>
    <row r="2690" spans="23:23" ht="26.4">
      <c r="W2690" s="64" ph="1"/>
    </row>
    <row r="2691" spans="23:23" ht="26.4">
      <c r="W2691" s="64" ph="1"/>
    </row>
    <row r="2692" spans="23:23" ht="26.4">
      <c r="W2692" s="64" ph="1"/>
    </row>
    <row r="2693" spans="23:23" ht="26.4">
      <c r="W2693" s="64" ph="1"/>
    </row>
    <row r="2694" spans="23:23" ht="26.4">
      <c r="W2694" s="64" ph="1"/>
    </row>
    <row r="2695" spans="23:23" ht="26.4">
      <c r="W2695" s="64" ph="1"/>
    </row>
    <row r="2696" spans="23:23" ht="26.4">
      <c r="W2696" s="64" ph="1"/>
    </row>
    <row r="2697" spans="23:23" ht="26.4">
      <c r="W2697" s="64" ph="1"/>
    </row>
    <row r="2698" spans="23:23" ht="26.4">
      <c r="W2698" s="64" ph="1"/>
    </row>
    <row r="2699" spans="23:23" ht="26.4">
      <c r="W2699" s="64" ph="1"/>
    </row>
    <row r="2700" spans="23:23" ht="26.4">
      <c r="W2700" s="64" ph="1"/>
    </row>
    <row r="2701" spans="23:23" ht="26.4">
      <c r="W2701" s="64" ph="1"/>
    </row>
    <row r="2702" spans="23:23" ht="26.4">
      <c r="W2702" s="64" ph="1"/>
    </row>
    <row r="2703" spans="23:23" ht="26.4">
      <c r="W2703" s="64" ph="1"/>
    </row>
    <row r="2704" spans="23:23" ht="26.4">
      <c r="W2704" s="64" ph="1"/>
    </row>
    <row r="2705" spans="23:23" ht="26.4">
      <c r="W2705" s="64" ph="1"/>
    </row>
    <row r="2706" spans="23:23" ht="26.4">
      <c r="W2706" s="64" ph="1"/>
    </row>
    <row r="2707" spans="23:23" ht="26.4">
      <c r="W2707" s="64" ph="1"/>
    </row>
    <row r="2708" spans="23:23" ht="26.4">
      <c r="W2708" s="64" ph="1"/>
    </row>
    <row r="2709" spans="23:23" ht="26.4">
      <c r="W2709" s="64" ph="1"/>
    </row>
    <row r="2710" spans="23:23" ht="26.4">
      <c r="W2710" s="64" ph="1"/>
    </row>
    <row r="2711" spans="23:23" ht="26.4">
      <c r="W2711" s="64" ph="1"/>
    </row>
    <row r="2712" spans="23:23" ht="26.4">
      <c r="W2712" s="64" ph="1"/>
    </row>
    <row r="2713" spans="23:23" ht="26.4">
      <c r="W2713" s="64" ph="1"/>
    </row>
    <row r="2714" spans="23:23" ht="26.4">
      <c r="W2714" s="64" ph="1"/>
    </row>
    <row r="2715" spans="23:23" ht="26.4">
      <c r="W2715" s="64" ph="1"/>
    </row>
    <row r="2716" spans="23:23" ht="26.4">
      <c r="W2716" s="64" ph="1"/>
    </row>
    <row r="2717" spans="23:23" ht="26.4">
      <c r="W2717" s="64" ph="1"/>
    </row>
    <row r="2718" spans="23:23" ht="26.4">
      <c r="W2718" s="64" ph="1"/>
    </row>
    <row r="2719" spans="23:23" ht="26.4">
      <c r="W2719" s="64" ph="1"/>
    </row>
    <row r="2720" spans="23:23" ht="26.4">
      <c r="W2720" s="64" ph="1"/>
    </row>
    <row r="2721" spans="23:23" ht="26.4">
      <c r="W2721" s="64" ph="1"/>
    </row>
    <row r="2722" spans="23:23" ht="26.4">
      <c r="W2722" s="64" ph="1"/>
    </row>
    <row r="2723" spans="23:23" ht="26.4">
      <c r="W2723" s="64" ph="1"/>
    </row>
    <row r="2724" spans="23:23" ht="26.4">
      <c r="W2724" s="64" ph="1"/>
    </row>
    <row r="2725" spans="23:23" ht="26.4">
      <c r="W2725" s="64" ph="1"/>
    </row>
    <row r="2726" spans="23:23" ht="26.4">
      <c r="W2726" s="64" ph="1"/>
    </row>
    <row r="2727" spans="23:23" ht="26.4">
      <c r="W2727" s="64" ph="1"/>
    </row>
    <row r="2728" spans="23:23" ht="26.4">
      <c r="W2728" s="64" ph="1"/>
    </row>
    <row r="2729" spans="23:23" ht="26.4">
      <c r="W2729" s="64" ph="1"/>
    </row>
    <row r="2730" spans="23:23" ht="26.4">
      <c r="W2730" s="64" ph="1"/>
    </row>
    <row r="2731" spans="23:23" ht="26.4">
      <c r="W2731" s="64" ph="1"/>
    </row>
    <row r="2732" spans="23:23" ht="26.4">
      <c r="W2732" s="64" ph="1"/>
    </row>
    <row r="2733" spans="23:23" ht="26.4">
      <c r="W2733" s="64" ph="1"/>
    </row>
    <row r="2734" spans="23:23" ht="26.4">
      <c r="W2734" s="64" ph="1"/>
    </row>
    <row r="2735" spans="23:23" ht="26.4">
      <c r="W2735" s="64" ph="1"/>
    </row>
    <row r="2736" spans="23:23" ht="26.4">
      <c r="W2736" s="64" ph="1"/>
    </row>
    <row r="2737" spans="23:23" ht="26.4">
      <c r="W2737" s="64" ph="1"/>
    </row>
    <row r="2738" spans="23:23" ht="26.4">
      <c r="W2738" s="64" ph="1"/>
    </row>
    <row r="2739" spans="23:23" ht="26.4">
      <c r="W2739" s="64" ph="1"/>
    </row>
    <row r="2740" spans="23:23" ht="26.4">
      <c r="W2740" s="64" ph="1"/>
    </row>
    <row r="2741" spans="23:23" ht="26.4">
      <c r="W2741" s="64" ph="1"/>
    </row>
    <row r="2742" spans="23:23" ht="26.4">
      <c r="W2742" s="64" ph="1"/>
    </row>
    <row r="2743" spans="23:23" ht="26.4">
      <c r="W2743" s="64" ph="1"/>
    </row>
    <row r="2744" spans="23:23" ht="26.4">
      <c r="W2744" s="64" ph="1"/>
    </row>
    <row r="2745" spans="23:23" ht="26.4">
      <c r="W2745" s="64" ph="1"/>
    </row>
    <row r="2746" spans="23:23" ht="26.4">
      <c r="W2746" s="64" ph="1"/>
    </row>
    <row r="2747" spans="23:23" ht="26.4">
      <c r="W2747" s="64" ph="1"/>
    </row>
    <row r="2748" spans="23:23" ht="26.4">
      <c r="W2748" s="64" ph="1"/>
    </row>
    <row r="2749" spans="23:23" ht="26.4">
      <c r="W2749" s="64" ph="1"/>
    </row>
    <row r="2750" spans="23:23" ht="26.4">
      <c r="W2750" s="64" ph="1"/>
    </row>
    <row r="2751" spans="23:23" ht="26.4">
      <c r="W2751" s="64" ph="1"/>
    </row>
    <row r="2752" spans="23:23" ht="26.4">
      <c r="W2752" s="64" ph="1"/>
    </row>
    <row r="2753" spans="23:23" ht="26.4">
      <c r="W2753" s="64" ph="1"/>
    </row>
    <row r="2754" spans="23:23" ht="26.4">
      <c r="W2754" s="64" ph="1"/>
    </row>
    <row r="2755" spans="23:23" ht="26.4">
      <c r="W2755" s="64" ph="1"/>
    </row>
    <row r="2756" spans="23:23" ht="26.4">
      <c r="W2756" s="64" ph="1"/>
    </row>
    <row r="2757" spans="23:23" ht="26.4">
      <c r="W2757" s="64" ph="1"/>
    </row>
    <row r="2758" spans="23:23" ht="26.4">
      <c r="W2758" s="64" ph="1"/>
    </row>
    <row r="2759" spans="23:23" ht="26.4">
      <c r="W2759" s="64" ph="1"/>
    </row>
    <row r="2760" spans="23:23" ht="26.4">
      <c r="W2760" s="64" ph="1"/>
    </row>
    <row r="2761" spans="23:23" ht="26.4">
      <c r="W2761" s="64" ph="1"/>
    </row>
    <row r="2762" spans="23:23" ht="26.4">
      <c r="W2762" s="64" ph="1"/>
    </row>
    <row r="2763" spans="23:23" ht="26.4">
      <c r="W2763" s="64" ph="1"/>
    </row>
    <row r="2764" spans="23:23" ht="26.4">
      <c r="W2764" s="64" ph="1"/>
    </row>
    <row r="2765" spans="23:23" ht="26.4">
      <c r="W2765" s="64" ph="1"/>
    </row>
    <row r="2766" spans="23:23" ht="26.4">
      <c r="W2766" s="64" ph="1"/>
    </row>
    <row r="2767" spans="23:23" ht="26.4">
      <c r="W2767" s="64" ph="1"/>
    </row>
    <row r="2768" spans="23:23" ht="26.4">
      <c r="W2768" s="64" ph="1"/>
    </row>
    <row r="2769" spans="23:23" ht="26.4">
      <c r="W2769" s="64" ph="1"/>
    </row>
    <row r="2770" spans="23:23" ht="26.4">
      <c r="W2770" s="64" ph="1"/>
    </row>
    <row r="2771" spans="23:23" ht="26.4">
      <c r="W2771" s="64" ph="1"/>
    </row>
    <row r="2772" spans="23:23" ht="26.4">
      <c r="W2772" s="64" ph="1"/>
    </row>
    <row r="2773" spans="23:23" ht="26.4">
      <c r="W2773" s="64" ph="1"/>
    </row>
    <row r="2774" spans="23:23" ht="26.4">
      <c r="W2774" s="64" ph="1"/>
    </row>
    <row r="2775" spans="23:23" ht="26.4">
      <c r="W2775" s="64" ph="1"/>
    </row>
    <row r="2776" spans="23:23" ht="26.4">
      <c r="W2776" s="64" ph="1"/>
    </row>
    <row r="2777" spans="23:23" ht="26.4">
      <c r="W2777" s="64" ph="1"/>
    </row>
    <row r="2778" spans="23:23" ht="26.4">
      <c r="W2778" s="64" ph="1"/>
    </row>
    <row r="2779" spans="23:23" ht="26.4">
      <c r="W2779" s="64" ph="1"/>
    </row>
    <row r="2780" spans="23:23" ht="26.4">
      <c r="W2780" s="64" ph="1"/>
    </row>
    <row r="2781" spans="23:23" ht="26.4">
      <c r="W2781" s="64" ph="1"/>
    </row>
    <row r="2782" spans="23:23" ht="26.4">
      <c r="W2782" s="64" ph="1"/>
    </row>
    <row r="2783" spans="23:23" ht="26.4">
      <c r="W2783" s="64" ph="1"/>
    </row>
    <row r="2784" spans="23:23" ht="26.4">
      <c r="W2784" s="64" ph="1"/>
    </row>
    <row r="2785" spans="23:23" ht="26.4">
      <c r="W2785" s="64" ph="1"/>
    </row>
    <row r="2786" spans="23:23" ht="26.4">
      <c r="W2786" s="64" ph="1"/>
    </row>
    <row r="2787" spans="23:23" ht="26.4">
      <c r="W2787" s="64" ph="1"/>
    </row>
    <row r="2788" spans="23:23" ht="26.4">
      <c r="W2788" s="64" ph="1"/>
    </row>
    <row r="2789" spans="23:23" ht="26.4">
      <c r="W2789" s="64" ph="1"/>
    </row>
    <row r="2790" spans="23:23" ht="26.4">
      <c r="W2790" s="64" ph="1"/>
    </row>
    <row r="2791" spans="23:23" ht="26.4">
      <c r="W2791" s="64" ph="1"/>
    </row>
    <row r="2792" spans="23:23" ht="26.4">
      <c r="W2792" s="64" ph="1"/>
    </row>
    <row r="2793" spans="23:23" ht="26.4">
      <c r="W2793" s="64" ph="1"/>
    </row>
    <row r="2794" spans="23:23" ht="26.4">
      <c r="W2794" s="64" ph="1"/>
    </row>
    <row r="2795" spans="23:23" ht="26.4">
      <c r="W2795" s="64" ph="1"/>
    </row>
    <row r="2796" spans="23:23" ht="26.4">
      <c r="W2796" s="64" ph="1"/>
    </row>
    <row r="2797" spans="23:23" ht="26.4">
      <c r="W2797" s="64" ph="1"/>
    </row>
    <row r="2798" spans="23:23" ht="26.4">
      <c r="W2798" s="64" ph="1"/>
    </row>
    <row r="2799" spans="23:23" ht="26.4">
      <c r="W2799" s="64" ph="1"/>
    </row>
    <row r="2800" spans="23:23" ht="26.4">
      <c r="W2800" s="64" ph="1"/>
    </row>
    <row r="2801" spans="23:23" ht="26.4">
      <c r="W2801" s="64" ph="1"/>
    </row>
    <row r="2802" spans="23:23" ht="26.4">
      <c r="W2802" s="64" ph="1"/>
    </row>
    <row r="2803" spans="23:23" ht="26.4">
      <c r="W2803" s="64" ph="1"/>
    </row>
    <row r="2804" spans="23:23" ht="26.4">
      <c r="W2804" s="64" ph="1"/>
    </row>
    <row r="2805" spans="23:23" ht="26.4">
      <c r="W2805" s="64" ph="1"/>
    </row>
    <row r="2806" spans="23:23" ht="26.4">
      <c r="W2806" s="64" ph="1"/>
    </row>
    <row r="2807" spans="23:23" ht="26.4">
      <c r="W2807" s="64" ph="1"/>
    </row>
    <row r="2808" spans="23:23" ht="26.4">
      <c r="W2808" s="64" ph="1"/>
    </row>
    <row r="2809" spans="23:23" ht="26.4">
      <c r="W2809" s="64" ph="1"/>
    </row>
    <row r="2810" spans="23:23" ht="26.4">
      <c r="W2810" s="64" ph="1"/>
    </row>
    <row r="2811" spans="23:23" ht="26.4">
      <c r="W2811" s="64" ph="1"/>
    </row>
    <row r="2812" spans="23:23" ht="26.4">
      <c r="W2812" s="64" ph="1"/>
    </row>
    <row r="2813" spans="23:23" ht="26.4">
      <c r="W2813" s="64" ph="1"/>
    </row>
    <row r="2814" spans="23:23" ht="26.4">
      <c r="W2814" s="64" ph="1"/>
    </row>
    <row r="2815" spans="23:23" ht="26.4">
      <c r="W2815" s="64" ph="1"/>
    </row>
    <row r="2816" spans="23:23" ht="26.4">
      <c r="W2816" s="64" ph="1"/>
    </row>
    <row r="2817" spans="23:23" ht="26.4">
      <c r="W2817" s="64" ph="1"/>
    </row>
    <row r="2818" spans="23:23" ht="26.4">
      <c r="W2818" s="64" ph="1"/>
    </row>
    <row r="2819" spans="23:23" ht="26.4">
      <c r="W2819" s="64" ph="1"/>
    </row>
    <row r="2820" spans="23:23" ht="26.4">
      <c r="W2820" s="64" ph="1"/>
    </row>
    <row r="2821" spans="23:23" ht="26.4">
      <c r="W2821" s="64" ph="1"/>
    </row>
    <row r="2822" spans="23:23" ht="26.4">
      <c r="W2822" s="64" ph="1"/>
    </row>
    <row r="2823" spans="23:23" ht="26.4">
      <c r="W2823" s="64" ph="1"/>
    </row>
    <row r="2824" spans="23:23" ht="26.4">
      <c r="W2824" s="64" ph="1"/>
    </row>
    <row r="2825" spans="23:23" ht="26.4">
      <c r="W2825" s="64" ph="1"/>
    </row>
    <row r="2826" spans="23:23" ht="26.4">
      <c r="W2826" s="64" ph="1"/>
    </row>
    <row r="2827" spans="23:23" ht="26.4">
      <c r="W2827" s="64" ph="1"/>
    </row>
    <row r="2828" spans="23:23" ht="26.4">
      <c r="W2828" s="64" ph="1"/>
    </row>
    <row r="2829" spans="23:23" ht="26.4">
      <c r="W2829" s="64" ph="1"/>
    </row>
    <row r="2830" spans="23:23" ht="26.4">
      <c r="W2830" s="64" ph="1"/>
    </row>
    <row r="2831" spans="23:23" ht="26.4">
      <c r="W2831" s="64" ph="1"/>
    </row>
    <row r="2832" spans="23:23" ht="26.4">
      <c r="W2832" s="64" ph="1"/>
    </row>
    <row r="2833" spans="23:23" ht="26.4">
      <c r="W2833" s="64" ph="1"/>
    </row>
    <row r="2834" spans="23:23" ht="26.4">
      <c r="W2834" s="64" ph="1"/>
    </row>
    <row r="2835" spans="23:23" ht="26.4">
      <c r="W2835" s="64" ph="1"/>
    </row>
    <row r="2836" spans="23:23" ht="26.4">
      <c r="W2836" s="64" ph="1"/>
    </row>
    <row r="2837" spans="23:23" ht="26.4">
      <c r="W2837" s="64" ph="1"/>
    </row>
    <row r="2838" spans="23:23" ht="26.4">
      <c r="W2838" s="64" ph="1"/>
    </row>
    <row r="2839" spans="23:23" ht="26.4">
      <c r="W2839" s="64" ph="1"/>
    </row>
    <row r="2840" spans="23:23" ht="26.4">
      <c r="W2840" s="64" ph="1"/>
    </row>
    <row r="2841" spans="23:23" ht="26.4">
      <c r="W2841" s="64" ph="1"/>
    </row>
    <row r="2842" spans="23:23" ht="26.4">
      <c r="W2842" s="64" ph="1"/>
    </row>
    <row r="2843" spans="23:23" ht="26.4">
      <c r="W2843" s="64" ph="1"/>
    </row>
    <row r="2844" spans="23:23" ht="26.4">
      <c r="W2844" s="64" ph="1"/>
    </row>
    <row r="2845" spans="23:23" ht="26.4">
      <c r="W2845" s="64" ph="1"/>
    </row>
    <row r="2846" spans="23:23" ht="26.4">
      <c r="W2846" s="64" ph="1"/>
    </row>
    <row r="2847" spans="23:23" ht="26.4">
      <c r="W2847" s="64" ph="1"/>
    </row>
    <row r="2848" spans="23:23" ht="26.4">
      <c r="W2848" s="64" ph="1"/>
    </row>
    <row r="2849" spans="23:23" ht="26.4">
      <c r="W2849" s="64" ph="1"/>
    </row>
    <row r="2850" spans="23:23" ht="26.4">
      <c r="W2850" s="64" ph="1"/>
    </row>
    <row r="2851" spans="23:23" ht="26.4">
      <c r="W2851" s="64" ph="1"/>
    </row>
    <row r="2852" spans="23:23" ht="26.4">
      <c r="W2852" s="64" ph="1"/>
    </row>
    <row r="2853" spans="23:23" ht="26.4">
      <c r="W2853" s="64" ph="1"/>
    </row>
    <row r="2854" spans="23:23" ht="26.4">
      <c r="W2854" s="64" ph="1"/>
    </row>
    <row r="2855" spans="23:23" ht="26.4">
      <c r="W2855" s="64" ph="1"/>
    </row>
    <row r="2856" spans="23:23" ht="26.4">
      <c r="W2856" s="64" ph="1"/>
    </row>
    <row r="2857" spans="23:23" ht="26.4">
      <c r="W2857" s="64" ph="1"/>
    </row>
    <row r="2858" spans="23:23" ht="26.4">
      <c r="W2858" s="64" ph="1"/>
    </row>
    <row r="2859" spans="23:23" ht="26.4">
      <c r="W2859" s="64" ph="1"/>
    </row>
    <row r="2860" spans="23:23" ht="26.4">
      <c r="W2860" s="64" ph="1"/>
    </row>
    <row r="2861" spans="23:23" ht="26.4">
      <c r="W2861" s="64" ph="1"/>
    </row>
    <row r="2862" spans="23:23" ht="26.4">
      <c r="W2862" s="64" ph="1"/>
    </row>
    <row r="2863" spans="23:23" ht="26.4">
      <c r="W2863" s="64" ph="1"/>
    </row>
    <row r="2864" spans="23:23" ht="26.4">
      <c r="W2864" s="64" ph="1"/>
    </row>
    <row r="2865" spans="23:23" ht="26.4">
      <c r="W2865" s="64" ph="1"/>
    </row>
    <row r="2866" spans="23:23" ht="26.4">
      <c r="W2866" s="64" ph="1"/>
    </row>
    <row r="2867" spans="23:23" ht="26.4">
      <c r="W2867" s="64" ph="1"/>
    </row>
    <row r="2868" spans="23:23" ht="26.4">
      <c r="W2868" s="64" ph="1"/>
    </row>
    <row r="2869" spans="23:23" ht="26.4">
      <c r="W2869" s="64" ph="1"/>
    </row>
    <row r="2870" spans="23:23" ht="26.4">
      <c r="W2870" s="64" ph="1"/>
    </row>
    <row r="2871" spans="23:23" ht="26.4">
      <c r="W2871" s="64" ph="1"/>
    </row>
    <row r="2872" spans="23:23" ht="26.4">
      <c r="W2872" s="64" ph="1"/>
    </row>
    <row r="2873" spans="23:23" ht="26.4">
      <c r="W2873" s="64" ph="1"/>
    </row>
    <row r="2874" spans="23:23" ht="26.4">
      <c r="W2874" s="64" ph="1"/>
    </row>
    <row r="2875" spans="23:23" ht="26.4">
      <c r="W2875" s="64" ph="1"/>
    </row>
    <row r="2876" spans="23:23" ht="26.4">
      <c r="W2876" s="64" ph="1"/>
    </row>
    <row r="2877" spans="23:23" ht="26.4">
      <c r="W2877" s="64" ph="1"/>
    </row>
    <row r="2878" spans="23:23" ht="26.4">
      <c r="W2878" s="64" ph="1"/>
    </row>
    <row r="2879" spans="23:23" ht="26.4">
      <c r="W2879" s="64" ph="1"/>
    </row>
    <row r="2880" spans="23:23" ht="26.4">
      <c r="W2880" s="64" ph="1"/>
    </row>
    <row r="2881" spans="23:23" ht="26.4">
      <c r="W2881" s="64" ph="1"/>
    </row>
    <row r="2882" spans="23:23" ht="26.4">
      <c r="W2882" s="64" ph="1"/>
    </row>
    <row r="2883" spans="23:23" ht="26.4">
      <c r="W2883" s="64" ph="1"/>
    </row>
    <row r="2884" spans="23:23" ht="26.4">
      <c r="W2884" s="64" ph="1"/>
    </row>
    <row r="2885" spans="23:23" ht="26.4">
      <c r="W2885" s="64" ph="1"/>
    </row>
    <row r="2886" spans="23:23" ht="26.4">
      <c r="W2886" s="64" ph="1"/>
    </row>
    <row r="2887" spans="23:23" ht="26.4">
      <c r="W2887" s="64" ph="1"/>
    </row>
    <row r="2888" spans="23:23" ht="26.4">
      <c r="W2888" s="64" ph="1"/>
    </row>
    <row r="2889" spans="23:23" ht="26.4">
      <c r="W2889" s="64" ph="1"/>
    </row>
    <row r="2890" spans="23:23" ht="26.4">
      <c r="W2890" s="64" ph="1"/>
    </row>
    <row r="2891" spans="23:23" ht="26.4">
      <c r="W2891" s="64" ph="1"/>
    </row>
    <row r="2892" spans="23:23" ht="26.4">
      <c r="W2892" s="64" ph="1"/>
    </row>
    <row r="2893" spans="23:23" ht="26.4">
      <c r="W2893" s="64" ph="1"/>
    </row>
    <row r="2894" spans="23:23" ht="26.4">
      <c r="W2894" s="64" ph="1"/>
    </row>
    <row r="2895" spans="23:23" ht="26.4">
      <c r="W2895" s="64" ph="1"/>
    </row>
    <row r="2896" spans="23:23" ht="26.4">
      <c r="W2896" s="64" ph="1"/>
    </row>
    <row r="2897" spans="23:23" ht="26.4">
      <c r="W2897" s="64" ph="1"/>
    </row>
    <row r="2898" spans="23:23" ht="26.4">
      <c r="W2898" s="64" ph="1"/>
    </row>
    <row r="2899" spans="23:23" ht="26.4">
      <c r="W2899" s="64" ph="1"/>
    </row>
    <row r="2900" spans="23:23" ht="26.4">
      <c r="W2900" s="64" ph="1"/>
    </row>
    <row r="2901" spans="23:23" ht="26.4">
      <c r="W2901" s="64" ph="1"/>
    </row>
    <row r="2902" spans="23:23" ht="26.4">
      <c r="W2902" s="64" ph="1"/>
    </row>
    <row r="2903" spans="23:23" ht="26.4">
      <c r="W2903" s="64" ph="1"/>
    </row>
    <row r="2904" spans="23:23" ht="26.4">
      <c r="W2904" s="64" ph="1"/>
    </row>
    <row r="2905" spans="23:23" ht="26.4">
      <c r="W2905" s="64" ph="1"/>
    </row>
    <row r="2906" spans="23:23" ht="26.4">
      <c r="W2906" s="64" ph="1"/>
    </row>
    <row r="2907" spans="23:23" ht="26.4">
      <c r="W2907" s="64" ph="1"/>
    </row>
    <row r="2908" spans="23:23" ht="26.4">
      <c r="W2908" s="64" ph="1"/>
    </row>
    <row r="2909" spans="23:23" ht="26.4">
      <c r="W2909" s="64" ph="1"/>
    </row>
    <row r="2910" spans="23:23" ht="26.4">
      <c r="W2910" s="64" ph="1"/>
    </row>
    <row r="2911" spans="23:23" ht="26.4">
      <c r="W2911" s="64" ph="1"/>
    </row>
    <row r="2912" spans="23:23" ht="26.4">
      <c r="W2912" s="64" ph="1"/>
    </row>
    <row r="2913" spans="23:23" ht="26.4">
      <c r="W2913" s="64" ph="1"/>
    </row>
    <row r="2914" spans="23:23" ht="26.4">
      <c r="W2914" s="64" ph="1"/>
    </row>
    <row r="2915" spans="23:23" ht="26.4">
      <c r="W2915" s="64" ph="1"/>
    </row>
    <row r="2916" spans="23:23" ht="26.4">
      <c r="W2916" s="64" ph="1"/>
    </row>
    <row r="2917" spans="23:23" ht="26.4">
      <c r="W2917" s="64" ph="1"/>
    </row>
    <row r="2918" spans="23:23" ht="26.4">
      <c r="W2918" s="64" ph="1"/>
    </row>
    <row r="2919" spans="23:23" ht="26.4">
      <c r="W2919" s="64" ph="1"/>
    </row>
    <row r="2920" spans="23:23" ht="26.4">
      <c r="W2920" s="64" ph="1"/>
    </row>
    <row r="2921" spans="23:23" ht="26.4">
      <c r="W2921" s="64" ph="1"/>
    </row>
    <row r="2922" spans="23:23" ht="26.4">
      <c r="W2922" s="64" ph="1"/>
    </row>
    <row r="2923" spans="23:23" ht="26.4">
      <c r="W2923" s="64" ph="1"/>
    </row>
    <row r="2924" spans="23:23" ht="26.4">
      <c r="W2924" s="64" ph="1"/>
    </row>
    <row r="2925" spans="23:23" ht="26.4">
      <c r="W2925" s="64" ph="1"/>
    </row>
    <row r="2926" spans="23:23" ht="26.4">
      <c r="W2926" s="64" ph="1"/>
    </row>
    <row r="2927" spans="23:23" ht="26.4">
      <c r="W2927" s="64" ph="1"/>
    </row>
    <row r="2928" spans="23:23" ht="26.4">
      <c r="W2928" s="64" ph="1"/>
    </row>
    <row r="2929" spans="23:23" ht="26.4">
      <c r="W2929" s="64" ph="1"/>
    </row>
    <row r="2930" spans="23:23" ht="26.4">
      <c r="W2930" s="64" ph="1"/>
    </row>
    <row r="2931" spans="23:23" ht="26.4">
      <c r="W2931" s="64" ph="1"/>
    </row>
    <row r="2932" spans="23:23" ht="26.4">
      <c r="W2932" s="64" ph="1"/>
    </row>
    <row r="2933" spans="23:23" ht="26.4">
      <c r="W2933" s="64" ph="1"/>
    </row>
    <row r="2934" spans="23:23" ht="26.4">
      <c r="W2934" s="64" ph="1"/>
    </row>
    <row r="2935" spans="23:23" ht="26.4">
      <c r="W2935" s="64" ph="1"/>
    </row>
    <row r="2936" spans="23:23" ht="26.4">
      <c r="W2936" s="64" ph="1"/>
    </row>
    <row r="2937" spans="23:23" ht="26.4">
      <c r="W2937" s="64" ph="1"/>
    </row>
    <row r="2938" spans="23:23" ht="26.4">
      <c r="W2938" s="64" ph="1"/>
    </row>
    <row r="2939" spans="23:23" ht="26.4">
      <c r="W2939" s="64" ph="1"/>
    </row>
    <row r="2940" spans="23:23" ht="26.4">
      <c r="W2940" s="64" ph="1"/>
    </row>
    <row r="2941" spans="23:23" ht="26.4">
      <c r="W2941" s="64" ph="1"/>
    </row>
    <row r="2942" spans="23:23" ht="26.4">
      <c r="W2942" s="64" ph="1"/>
    </row>
    <row r="2943" spans="23:23" ht="26.4">
      <c r="W2943" s="64" ph="1"/>
    </row>
    <row r="2944" spans="23:23" ht="26.4">
      <c r="W2944" s="64" ph="1"/>
    </row>
    <row r="2945" spans="23:23" ht="26.4">
      <c r="W2945" s="64" ph="1"/>
    </row>
    <row r="2946" spans="23:23" ht="26.4">
      <c r="W2946" s="64" ph="1"/>
    </row>
    <row r="2947" spans="23:23" ht="26.4">
      <c r="W2947" s="64" ph="1"/>
    </row>
    <row r="2948" spans="23:23" ht="26.4">
      <c r="W2948" s="64" ph="1"/>
    </row>
    <row r="2949" spans="23:23" ht="26.4">
      <c r="W2949" s="64" ph="1"/>
    </row>
    <row r="2950" spans="23:23" ht="26.4">
      <c r="W2950" s="64" ph="1"/>
    </row>
    <row r="2951" spans="23:23" ht="26.4">
      <c r="W2951" s="64" ph="1"/>
    </row>
    <row r="2952" spans="23:23" ht="26.4">
      <c r="W2952" s="64" ph="1"/>
    </row>
    <row r="2953" spans="23:23" ht="26.4">
      <c r="W2953" s="64" ph="1"/>
    </row>
    <row r="2954" spans="23:23" ht="26.4">
      <c r="W2954" s="64" ph="1"/>
    </row>
    <row r="2955" spans="23:23" ht="26.4">
      <c r="W2955" s="64" ph="1"/>
    </row>
    <row r="2956" spans="23:23" ht="26.4">
      <c r="W2956" s="64" ph="1"/>
    </row>
    <row r="2957" spans="23:23" ht="26.4">
      <c r="W2957" s="64" ph="1"/>
    </row>
    <row r="2958" spans="23:23" ht="26.4">
      <c r="W2958" s="64" ph="1"/>
    </row>
    <row r="2959" spans="23:23" ht="26.4">
      <c r="W2959" s="64" ph="1"/>
    </row>
    <row r="2960" spans="23:23" ht="26.4">
      <c r="W2960" s="64" ph="1"/>
    </row>
    <row r="2961" spans="23:23" ht="26.4">
      <c r="W2961" s="64" ph="1"/>
    </row>
    <row r="2962" spans="23:23" ht="26.4">
      <c r="W2962" s="64" ph="1"/>
    </row>
    <row r="2963" spans="23:23" ht="26.4">
      <c r="W2963" s="64" ph="1"/>
    </row>
    <row r="2964" spans="23:23" ht="26.4">
      <c r="W2964" s="64" ph="1"/>
    </row>
    <row r="2965" spans="23:23" ht="26.4">
      <c r="W2965" s="64" ph="1"/>
    </row>
    <row r="2966" spans="23:23" ht="26.4">
      <c r="W2966" s="64" ph="1"/>
    </row>
    <row r="2967" spans="23:23" ht="26.4">
      <c r="W2967" s="64" ph="1"/>
    </row>
    <row r="2968" spans="23:23" ht="26.4">
      <c r="W2968" s="64" ph="1"/>
    </row>
    <row r="2969" spans="23:23" ht="26.4">
      <c r="W2969" s="64" ph="1"/>
    </row>
    <row r="2970" spans="23:23" ht="26.4">
      <c r="W2970" s="64" ph="1"/>
    </row>
    <row r="2971" spans="23:23" ht="26.4">
      <c r="W2971" s="64" ph="1"/>
    </row>
    <row r="2972" spans="23:23" ht="26.4">
      <c r="W2972" s="64" ph="1"/>
    </row>
    <row r="2973" spans="23:23" ht="26.4">
      <c r="W2973" s="64" ph="1"/>
    </row>
    <row r="2974" spans="23:23" ht="26.4">
      <c r="W2974" s="64" ph="1"/>
    </row>
    <row r="2975" spans="23:23" ht="26.4">
      <c r="W2975" s="64" ph="1"/>
    </row>
    <row r="2976" spans="23:23" ht="26.4">
      <c r="W2976" s="64" ph="1"/>
    </row>
    <row r="2977" spans="23:23" ht="26.4">
      <c r="W2977" s="64" ph="1"/>
    </row>
    <row r="2978" spans="23:23" ht="26.4">
      <c r="W2978" s="64" ph="1"/>
    </row>
    <row r="2979" spans="23:23" ht="26.4">
      <c r="W2979" s="64" ph="1"/>
    </row>
    <row r="2980" spans="23:23" ht="26.4">
      <c r="W2980" s="64" ph="1"/>
    </row>
    <row r="2981" spans="23:23" ht="26.4">
      <c r="W2981" s="64" ph="1"/>
    </row>
    <row r="2982" spans="23:23" ht="26.4">
      <c r="W2982" s="64" ph="1"/>
    </row>
    <row r="2983" spans="23:23" ht="26.4">
      <c r="W2983" s="64" ph="1"/>
    </row>
    <row r="2984" spans="23:23" ht="26.4">
      <c r="W2984" s="64" ph="1"/>
    </row>
    <row r="2985" spans="23:23" ht="26.4">
      <c r="W2985" s="64" ph="1"/>
    </row>
    <row r="2986" spans="23:23" ht="26.4">
      <c r="W2986" s="64" ph="1"/>
    </row>
    <row r="2987" spans="23:23" ht="26.4">
      <c r="W2987" s="64" ph="1"/>
    </row>
    <row r="2988" spans="23:23" ht="26.4">
      <c r="W2988" s="64" ph="1"/>
    </row>
    <row r="2989" spans="23:23" ht="26.4">
      <c r="W2989" s="64" ph="1"/>
    </row>
    <row r="2990" spans="23:23" ht="26.4">
      <c r="W2990" s="64" ph="1"/>
    </row>
    <row r="2991" spans="23:23" ht="26.4">
      <c r="W2991" s="64" ph="1"/>
    </row>
    <row r="2992" spans="23:23" ht="26.4">
      <c r="W2992" s="64" ph="1"/>
    </row>
    <row r="2993" spans="23:23" ht="26.4">
      <c r="W2993" s="64" ph="1"/>
    </row>
    <row r="2994" spans="23:23" ht="26.4">
      <c r="W2994" s="64" ph="1"/>
    </row>
    <row r="2995" spans="23:23" ht="26.4">
      <c r="W2995" s="64" ph="1"/>
    </row>
    <row r="2996" spans="23:23" ht="26.4">
      <c r="W2996" s="64" ph="1"/>
    </row>
    <row r="2997" spans="23:23" ht="26.4">
      <c r="W2997" s="64" ph="1"/>
    </row>
    <row r="2998" spans="23:23" ht="26.4">
      <c r="W2998" s="64" ph="1"/>
    </row>
    <row r="2999" spans="23:23" ht="26.4">
      <c r="W2999" s="64" ph="1"/>
    </row>
    <row r="3000" spans="23:23" ht="26.4">
      <c r="W3000" s="64" ph="1"/>
    </row>
    <row r="3001" spans="23:23" ht="26.4">
      <c r="W3001" s="64" ph="1"/>
    </row>
    <row r="3002" spans="23:23" ht="26.4">
      <c r="W3002" s="64" ph="1"/>
    </row>
    <row r="3003" spans="23:23" ht="26.4">
      <c r="W3003" s="64" ph="1"/>
    </row>
    <row r="3004" spans="23:23" ht="26.4">
      <c r="W3004" s="64" ph="1"/>
    </row>
    <row r="3005" spans="23:23" ht="26.4">
      <c r="W3005" s="64" ph="1"/>
    </row>
    <row r="3006" spans="23:23" ht="26.4">
      <c r="W3006" s="64" ph="1"/>
    </row>
    <row r="3007" spans="23:23" ht="26.4">
      <c r="W3007" s="64" ph="1"/>
    </row>
    <row r="3008" spans="23:23" ht="26.4">
      <c r="W3008" s="64" ph="1"/>
    </row>
    <row r="3009" spans="23:23" ht="26.4">
      <c r="W3009" s="64" ph="1"/>
    </row>
    <row r="3010" spans="23:23" ht="26.4">
      <c r="W3010" s="64" ph="1"/>
    </row>
    <row r="3011" spans="23:23" ht="26.4">
      <c r="W3011" s="64" ph="1"/>
    </row>
    <row r="3012" spans="23:23" ht="26.4">
      <c r="W3012" s="64" ph="1"/>
    </row>
    <row r="3013" spans="23:23" ht="26.4">
      <c r="W3013" s="64" ph="1"/>
    </row>
    <row r="3014" spans="23:23" ht="26.4">
      <c r="W3014" s="64" ph="1"/>
    </row>
    <row r="3015" spans="23:23" ht="26.4">
      <c r="W3015" s="64" ph="1"/>
    </row>
    <row r="3016" spans="23:23" ht="26.4">
      <c r="W3016" s="64" ph="1"/>
    </row>
    <row r="3017" spans="23:23" ht="26.4">
      <c r="W3017" s="64" ph="1"/>
    </row>
    <row r="3018" spans="23:23" ht="26.4">
      <c r="W3018" s="64" ph="1"/>
    </row>
    <row r="3019" spans="23:23" ht="26.4">
      <c r="W3019" s="64" ph="1"/>
    </row>
    <row r="3020" spans="23:23" ht="26.4">
      <c r="W3020" s="64" ph="1"/>
    </row>
    <row r="3021" spans="23:23" ht="26.4">
      <c r="W3021" s="64" ph="1"/>
    </row>
    <row r="3022" spans="23:23" ht="26.4">
      <c r="W3022" s="64" ph="1"/>
    </row>
    <row r="3023" spans="23:23" ht="26.4">
      <c r="W3023" s="64" ph="1"/>
    </row>
    <row r="3024" spans="23:23" ht="26.4">
      <c r="W3024" s="64" ph="1"/>
    </row>
    <row r="3025" spans="23:23" ht="26.4">
      <c r="W3025" s="64" ph="1"/>
    </row>
    <row r="3026" spans="23:23" ht="26.4">
      <c r="W3026" s="64" ph="1"/>
    </row>
    <row r="3027" spans="23:23" ht="26.4">
      <c r="W3027" s="64" ph="1"/>
    </row>
    <row r="3028" spans="23:23" ht="26.4">
      <c r="W3028" s="64" ph="1"/>
    </row>
    <row r="3029" spans="23:23" ht="26.4">
      <c r="W3029" s="64" ph="1"/>
    </row>
    <row r="3030" spans="23:23" ht="26.4">
      <c r="W3030" s="64" ph="1"/>
    </row>
    <row r="3031" spans="23:23" ht="26.4">
      <c r="W3031" s="64" ph="1"/>
    </row>
    <row r="3032" spans="23:23" ht="26.4">
      <c r="W3032" s="64" ph="1"/>
    </row>
    <row r="3033" spans="23:23" ht="26.4">
      <c r="W3033" s="64" ph="1"/>
    </row>
    <row r="3034" spans="23:23" ht="26.4">
      <c r="W3034" s="64" ph="1"/>
    </row>
    <row r="3035" spans="23:23" ht="26.4">
      <c r="W3035" s="64" ph="1"/>
    </row>
    <row r="3036" spans="23:23" ht="26.4">
      <c r="W3036" s="64" ph="1"/>
    </row>
    <row r="3037" spans="23:23" ht="26.4">
      <c r="W3037" s="64" ph="1"/>
    </row>
    <row r="3038" spans="23:23" ht="26.4">
      <c r="W3038" s="64" ph="1"/>
    </row>
    <row r="3039" spans="23:23" ht="26.4">
      <c r="W3039" s="64" ph="1"/>
    </row>
    <row r="3040" spans="23:23" ht="26.4">
      <c r="W3040" s="64" ph="1"/>
    </row>
    <row r="3041" spans="23:23" ht="26.4">
      <c r="W3041" s="64" ph="1"/>
    </row>
    <row r="3042" spans="23:23" ht="26.4">
      <c r="W3042" s="64" ph="1"/>
    </row>
    <row r="3043" spans="23:23" ht="26.4">
      <c r="W3043" s="64" ph="1"/>
    </row>
    <row r="3044" spans="23:23" ht="26.4">
      <c r="W3044" s="64" ph="1"/>
    </row>
    <row r="3045" spans="23:23" ht="26.4">
      <c r="W3045" s="64" ph="1"/>
    </row>
    <row r="3046" spans="23:23" ht="26.4">
      <c r="W3046" s="64" ph="1"/>
    </row>
    <row r="3047" spans="23:23" ht="26.4">
      <c r="W3047" s="64" ph="1"/>
    </row>
    <row r="3048" spans="23:23" ht="26.4">
      <c r="W3048" s="64" ph="1"/>
    </row>
    <row r="3049" spans="23:23" ht="26.4">
      <c r="W3049" s="64" ph="1"/>
    </row>
    <row r="3050" spans="23:23" ht="26.4">
      <c r="W3050" s="64" ph="1"/>
    </row>
    <row r="3051" spans="23:23" ht="26.4">
      <c r="W3051" s="64" ph="1"/>
    </row>
    <row r="3052" spans="23:23" ht="26.4">
      <c r="W3052" s="64" ph="1"/>
    </row>
    <row r="3053" spans="23:23" ht="26.4">
      <c r="W3053" s="64" ph="1"/>
    </row>
    <row r="3054" spans="23:23" ht="26.4">
      <c r="W3054" s="64" ph="1"/>
    </row>
    <row r="3055" spans="23:23" ht="26.4">
      <c r="W3055" s="64" ph="1"/>
    </row>
    <row r="3056" spans="23:23" ht="26.4">
      <c r="W3056" s="64" ph="1"/>
    </row>
    <row r="3057" spans="23:23" ht="26.4">
      <c r="W3057" s="64" ph="1"/>
    </row>
    <row r="3058" spans="23:23" ht="26.4">
      <c r="W3058" s="64" ph="1"/>
    </row>
    <row r="3059" spans="23:23" ht="26.4">
      <c r="W3059" s="64" ph="1"/>
    </row>
    <row r="3060" spans="23:23" ht="26.4">
      <c r="W3060" s="64" ph="1"/>
    </row>
    <row r="3061" spans="23:23" ht="26.4">
      <c r="W3061" s="64" ph="1"/>
    </row>
    <row r="3062" spans="23:23" ht="26.4">
      <c r="W3062" s="64" ph="1"/>
    </row>
    <row r="3063" spans="23:23" ht="26.4">
      <c r="W3063" s="64" ph="1"/>
    </row>
    <row r="3064" spans="23:23" ht="26.4">
      <c r="W3064" s="64" ph="1"/>
    </row>
    <row r="3065" spans="23:23" ht="26.4">
      <c r="W3065" s="64" ph="1"/>
    </row>
    <row r="3066" spans="23:23" ht="26.4">
      <c r="W3066" s="64" ph="1"/>
    </row>
    <row r="3067" spans="23:23" ht="26.4">
      <c r="W3067" s="64" ph="1"/>
    </row>
    <row r="3068" spans="23:23" ht="26.4">
      <c r="W3068" s="64" ph="1"/>
    </row>
    <row r="3069" spans="23:23" ht="26.4">
      <c r="W3069" s="64" ph="1"/>
    </row>
    <row r="3070" spans="23:23" ht="26.4">
      <c r="W3070" s="64" ph="1"/>
    </row>
    <row r="3071" spans="23:23" ht="26.4">
      <c r="W3071" s="64" ph="1"/>
    </row>
    <row r="3072" spans="23:23" ht="26.4">
      <c r="W3072" s="64" ph="1"/>
    </row>
    <row r="3073" spans="23:23" ht="26.4">
      <c r="W3073" s="64" ph="1"/>
    </row>
    <row r="3074" spans="23:23" ht="26.4">
      <c r="W3074" s="64" ph="1"/>
    </row>
    <row r="3075" spans="23:23" ht="26.4">
      <c r="W3075" s="64" ph="1"/>
    </row>
    <row r="3076" spans="23:23" ht="26.4">
      <c r="W3076" s="64" ph="1"/>
    </row>
    <row r="3077" spans="23:23" ht="26.4">
      <c r="W3077" s="64" ph="1"/>
    </row>
    <row r="3078" spans="23:23" ht="26.4">
      <c r="W3078" s="64" ph="1"/>
    </row>
    <row r="3079" spans="23:23" ht="26.4">
      <c r="W3079" s="64" ph="1"/>
    </row>
    <row r="3080" spans="23:23" ht="26.4">
      <c r="W3080" s="64" ph="1"/>
    </row>
    <row r="3081" spans="23:23" ht="26.4">
      <c r="W3081" s="64" ph="1"/>
    </row>
    <row r="3082" spans="23:23" ht="26.4">
      <c r="W3082" s="64" ph="1"/>
    </row>
    <row r="3083" spans="23:23" ht="26.4">
      <c r="W3083" s="64" ph="1"/>
    </row>
    <row r="3084" spans="23:23" ht="26.4">
      <c r="W3084" s="64" ph="1"/>
    </row>
    <row r="3085" spans="23:23" ht="26.4">
      <c r="W3085" s="64" ph="1"/>
    </row>
    <row r="3086" spans="23:23" ht="26.4">
      <c r="W3086" s="64" ph="1"/>
    </row>
    <row r="3087" spans="23:23" ht="26.4">
      <c r="W3087" s="64" ph="1"/>
    </row>
    <row r="3088" spans="23:23" ht="26.4">
      <c r="W3088" s="64" ph="1"/>
    </row>
    <row r="3089" spans="23:23" ht="26.4">
      <c r="W3089" s="64" ph="1"/>
    </row>
    <row r="3090" spans="23:23" ht="26.4">
      <c r="W3090" s="64" ph="1"/>
    </row>
    <row r="3091" spans="23:23" ht="26.4">
      <c r="W3091" s="64" ph="1"/>
    </row>
    <row r="3092" spans="23:23" ht="26.4">
      <c r="W3092" s="64" ph="1"/>
    </row>
    <row r="3093" spans="23:23" ht="26.4">
      <c r="W3093" s="64" ph="1"/>
    </row>
    <row r="3094" spans="23:23" ht="26.4">
      <c r="W3094" s="64" ph="1"/>
    </row>
    <row r="3095" spans="23:23" ht="26.4">
      <c r="W3095" s="64" ph="1"/>
    </row>
    <row r="3096" spans="23:23" ht="26.4">
      <c r="W3096" s="64" ph="1"/>
    </row>
    <row r="3097" spans="23:23" ht="26.4">
      <c r="W3097" s="64" ph="1"/>
    </row>
    <row r="3098" spans="23:23" ht="26.4">
      <c r="W3098" s="64" ph="1"/>
    </row>
    <row r="3099" spans="23:23" ht="26.4">
      <c r="W3099" s="64" ph="1"/>
    </row>
    <row r="3100" spans="23:23" ht="26.4">
      <c r="W3100" s="64" ph="1"/>
    </row>
    <row r="3101" spans="23:23" ht="26.4">
      <c r="W3101" s="64" ph="1"/>
    </row>
    <row r="3102" spans="23:23" ht="26.4">
      <c r="W3102" s="64" ph="1"/>
    </row>
    <row r="3103" spans="23:23" ht="26.4">
      <c r="W3103" s="64" ph="1"/>
    </row>
    <row r="3104" spans="23:23" ht="26.4">
      <c r="W3104" s="64" ph="1"/>
    </row>
    <row r="3105" spans="23:23" ht="26.4">
      <c r="W3105" s="64" ph="1"/>
    </row>
    <row r="3106" spans="23:23" ht="26.4">
      <c r="W3106" s="64" ph="1"/>
    </row>
    <row r="3107" spans="23:23" ht="26.4">
      <c r="W3107" s="64" ph="1"/>
    </row>
    <row r="3108" spans="23:23" ht="26.4">
      <c r="W3108" s="64" ph="1"/>
    </row>
    <row r="3109" spans="23:23" ht="26.4">
      <c r="W3109" s="64" ph="1"/>
    </row>
    <row r="3110" spans="23:23" ht="26.4">
      <c r="W3110" s="64" ph="1"/>
    </row>
    <row r="3111" spans="23:23" ht="26.4">
      <c r="W3111" s="64" ph="1"/>
    </row>
    <row r="3112" spans="23:23" ht="26.4">
      <c r="W3112" s="64" ph="1"/>
    </row>
    <row r="3113" spans="23:23" ht="26.4">
      <c r="W3113" s="64" ph="1"/>
    </row>
    <row r="3114" spans="23:23" ht="26.4">
      <c r="W3114" s="64" ph="1"/>
    </row>
    <row r="3115" spans="23:23" ht="26.4">
      <c r="W3115" s="64" ph="1"/>
    </row>
    <row r="3116" spans="23:23" ht="26.4">
      <c r="W3116" s="64" ph="1"/>
    </row>
    <row r="3117" spans="23:23" ht="26.4">
      <c r="W3117" s="64" ph="1"/>
    </row>
    <row r="3118" spans="23:23" ht="26.4">
      <c r="W3118" s="64" ph="1"/>
    </row>
    <row r="3119" spans="23:23" ht="26.4">
      <c r="W3119" s="64" ph="1"/>
    </row>
    <row r="3120" spans="23:23" ht="26.4">
      <c r="W3120" s="64" ph="1"/>
    </row>
    <row r="3121" spans="23:23" ht="26.4">
      <c r="W3121" s="64" ph="1"/>
    </row>
    <row r="3122" spans="23:23" ht="26.4">
      <c r="W3122" s="64" ph="1"/>
    </row>
    <row r="3123" spans="23:23" ht="26.4">
      <c r="W3123" s="64" ph="1"/>
    </row>
    <row r="3124" spans="23:23" ht="26.4">
      <c r="W3124" s="64" ph="1"/>
    </row>
    <row r="3125" spans="23:23" ht="26.4">
      <c r="W3125" s="64" ph="1"/>
    </row>
    <row r="3126" spans="23:23" ht="26.4">
      <c r="W3126" s="64" ph="1"/>
    </row>
    <row r="3127" spans="23:23" ht="26.4">
      <c r="W3127" s="64" ph="1"/>
    </row>
    <row r="3128" spans="23:23" ht="26.4">
      <c r="W3128" s="64" ph="1"/>
    </row>
    <row r="3129" spans="23:23" ht="26.4">
      <c r="W3129" s="64" ph="1"/>
    </row>
    <row r="3130" spans="23:23" ht="26.4">
      <c r="W3130" s="64" ph="1"/>
    </row>
    <row r="3131" spans="23:23" ht="26.4">
      <c r="W3131" s="64" ph="1"/>
    </row>
    <row r="3132" spans="23:23" ht="26.4">
      <c r="W3132" s="64" ph="1"/>
    </row>
    <row r="3133" spans="23:23" ht="26.4">
      <c r="W3133" s="64" ph="1"/>
    </row>
    <row r="3134" spans="23:23" ht="26.4">
      <c r="W3134" s="64" ph="1"/>
    </row>
    <row r="3135" spans="23:23" ht="26.4">
      <c r="W3135" s="64" ph="1"/>
    </row>
    <row r="3136" spans="23:23" ht="26.4">
      <c r="W3136" s="64" ph="1"/>
    </row>
    <row r="3137" spans="23:23" ht="26.4">
      <c r="W3137" s="64" ph="1"/>
    </row>
    <row r="3138" spans="23:23" ht="26.4">
      <c r="W3138" s="64" ph="1"/>
    </row>
    <row r="3139" spans="23:23" ht="26.4">
      <c r="W3139" s="64" ph="1"/>
    </row>
    <row r="3140" spans="23:23" ht="26.4">
      <c r="W3140" s="64" ph="1"/>
    </row>
    <row r="3141" spans="23:23" ht="26.4">
      <c r="W3141" s="64" ph="1"/>
    </row>
    <row r="3142" spans="23:23" ht="26.4">
      <c r="W3142" s="64" ph="1"/>
    </row>
    <row r="3143" spans="23:23" ht="26.4">
      <c r="W3143" s="64" ph="1"/>
    </row>
    <row r="3144" spans="23:23" ht="26.4">
      <c r="W3144" s="64" ph="1"/>
    </row>
    <row r="3145" spans="23:23" ht="26.4">
      <c r="W3145" s="64" ph="1"/>
    </row>
    <row r="3146" spans="23:23" ht="26.4">
      <c r="W3146" s="64" ph="1"/>
    </row>
    <row r="3147" spans="23:23" ht="26.4">
      <c r="W3147" s="64" ph="1"/>
    </row>
    <row r="3148" spans="23:23" ht="26.4">
      <c r="W3148" s="64" ph="1"/>
    </row>
    <row r="3149" spans="23:23" ht="26.4">
      <c r="W3149" s="64" ph="1"/>
    </row>
    <row r="3150" spans="23:23" ht="26.4">
      <c r="W3150" s="64" ph="1"/>
    </row>
    <row r="3151" spans="23:23" ht="26.4">
      <c r="W3151" s="64" ph="1"/>
    </row>
    <row r="3152" spans="23:23" ht="26.4">
      <c r="W3152" s="64" ph="1"/>
    </row>
    <row r="3153" spans="23:23" ht="26.4">
      <c r="W3153" s="64" ph="1"/>
    </row>
    <row r="3154" spans="23:23" ht="26.4">
      <c r="W3154" s="64" ph="1"/>
    </row>
    <row r="3155" spans="23:23" ht="26.4">
      <c r="W3155" s="64" ph="1"/>
    </row>
    <row r="3156" spans="23:23" ht="26.4">
      <c r="W3156" s="64" ph="1"/>
    </row>
    <row r="3157" spans="23:23" ht="26.4">
      <c r="W3157" s="64" ph="1"/>
    </row>
    <row r="3158" spans="23:23" ht="26.4">
      <c r="W3158" s="64" ph="1"/>
    </row>
    <row r="3159" spans="23:23" ht="26.4">
      <c r="W3159" s="64" ph="1"/>
    </row>
    <row r="3160" spans="23:23" ht="26.4">
      <c r="W3160" s="64" ph="1"/>
    </row>
    <row r="3161" spans="23:23" ht="26.4">
      <c r="W3161" s="64" ph="1"/>
    </row>
    <row r="3162" spans="23:23" ht="26.4">
      <c r="W3162" s="64" ph="1"/>
    </row>
    <row r="3163" spans="23:23" ht="26.4">
      <c r="W3163" s="64" ph="1"/>
    </row>
    <row r="3164" spans="23:23" ht="26.4">
      <c r="W3164" s="64" ph="1"/>
    </row>
    <row r="3165" spans="23:23" ht="26.4">
      <c r="W3165" s="64" ph="1"/>
    </row>
    <row r="3166" spans="23:23" ht="26.4">
      <c r="W3166" s="64" ph="1"/>
    </row>
    <row r="3167" spans="23:23" ht="26.4">
      <c r="W3167" s="64" ph="1"/>
    </row>
    <row r="3168" spans="23:23" ht="26.4">
      <c r="W3168" s="64" ph="1"/>
    </row>
    <row r="3169" spans="23:23" ht="26.4">
      <c r="W3169" s="64" ph="1"/>
    </row>
    <row r="3170" spans="23:23" ht="26.4">
      <c r="W3170" s="64" ph="1"/>
    </row>
    <row r="3171" spans="23:23" ht="26.4">
      <c r="W3171" s="64" ph="1"/>
    </row>
    <row r="3172" spans="23:23" ht="26.4">
      <c r="W3172" s="64" ph="1"/>
    </row>
    <row r="3173" spans="23:23" ht="26.4">
      <c r="W3173" s="64" ph="1"/>
    </row>
    <row r="3174" spans="23:23" ht="26.4">
      <c r="W3174" s="64" ph="1"/>
    </row>
    <row r="3175" spans="23:23" ht="26.4">
      <c r="W3175" s="64" ph="1"/>
    </row>
    <row r="3176" spans="23:23" ht="26.4">
      <c r="W3176" s="64" ph="1"/>
    </row>
    <row r="3177" spans="23:23" ht="26.4">
      <c r="W3177" s="64" ph="1"/>
    </row>
    <row r="3178" spans="23:23" ht="26.4">
      <c r="W3178" s="64" ph="1"/>
    </row>
    <row r="3179" spans="23:23" ht="26.4">
      <c r="W3179" s="64" ph="1"/>
    </row>
    <row r="3180" spans="23:23" ht="26.4">
      <c r="W3180" s="64" ph="1"/>
    </row>
    <row r="3181" spans="23:23" ht="26.4">
      <c r="W3181" s="64" ph="1"/>
    </row>
    <row r="3182" spans="23:23" ht="26.4">
      <c r="W3182" s="64" ph="1"/>
    </row>
    <row r="3183" spans="23:23" ht="26.4">
      <c r="W3183" s="64" ph="1"/>
    </row>
    <row r="3184" spans="23:23" ht="26.4">
      <c r="W3184" s="64" ph="1"/>
    </row>
    <row r="3185" spans="23:23" ht="26.4">
      <c r="W3185" s="64" ph="1"/>
    </row>
    <row r="3186" spans="23:23" ht="26.4">
      <c r="W3186" s="64" ph="1"/>
    </row>
    <row r="3187" spans="23:23" ht="26.4">
      <c r="W3187" s="64" ph="1"/>
    </row>
    <row r="3188" spans="23:23" ht="26.4">
      <c r="W3188" s="64" ph="1"/>
    </row>
    <row r="3189" spans="23:23" ht="26.4">
      <c r="W3189" s="64" ph="1"/>
    </row>
    <row r="3190" spans="23:23" ht="26.4">
      <c r="W3190" s="64" ph="1"/>
    </row>
    <row r="3191" spans="23:23" ht="26.4">
      <c r="W3191" s="64" ph="1"/>
    </row>
    <row r="3192" spans="23:23" ht="26.4">
      <c r="W3192" s="64" ph="1"/>
    </row>
    <row r="3193" spans="23:23" ht="26.4">
      <c r="W3193" s="64" ph="1"/>
    </row>
    <row r="3194" spans="23:23" ht="26.4">
      <c r="W3194" s="64" ph="1"/>
    </row>
    <row r="3195" spans="23:23" ht="26.4">
      <c r="W3195" s="64" ph="1"/>
    </row>
    <row r="3196" spans="23:23" ht="26.4">
      <c r="W3196" s="64" ph="1"/>
    </row>
    <row r="3197" spans="23:23" ht="26.4">
      <c r="W3197" s="64" ph="1"/>
    </row>
    <row r="3198" spans="23:23" ht="26.4">
      <c r="W3198" s="64" ph="1"/>
    </row>
    <row r="3199" spans="23:23" ht="26.4">
      <c r="W3199" s="64" ph="1"/>
    </row>
    <row r="3200" spans="23:23" ht="26.4">
      <c r="W3200" s="64" ph="1"/>
    </row>
    <row r="3201" spans="23:23" ht="26.4">
      <c r="W3201" s="64" ph="1"/>
    </row>
    <row r="3202" spans="23:23" ht="26.4">
      <c r="W3202" s="64" ph="1"/>
    </row>
    <row r="3203" spans="23:23" ht="26.4">
      <c r="W3203" s="64" ph="1"/>
    </row>
    <row r="3204" spans="23:23" ht="26.4">
      <c r="W3204" s="64" ph="1"/>
    </row>
    <row r="3205" spans="23:23" ht="26.4">
      <c r="W3205" s="64" ph="1"/>
    </row>
    <row r="3206" spans="23:23" ht="26.4">
      <c r="W3206" s="64" ph="1"/>
    </row>
    <row r="3207" spans="23:23" ht="26.4">
      <c r="W3207" s="64" ph="1"/>
    </row>
    <row r="3208" spans="23:23" ht="26.4">
      <c r="W3208" s="64" ph="1"/>
    </row>
    <row r="3209" spans="23:23" ht="26.4">
      <c r="W3209" s="64" ph="1"/>
    </row>
    <row r="3210" spans="23:23" ht="26.4">
      <c r="W3210" s="64" ph="1"/>
    </row>
    <row r="3211" spans="23:23" ht="26.4">
      <c r="W3211" s="64" ph="1"/>
    </row>
    <row r="3212" spans="23:23" ht="26.4">
      <c r="W3212" s="64" ph="1"/>
    </row>
    <row r="3213" spans="23:23" ht="26.4">
      <c r="W3213" s="64" ph="1"/>
    </row>
    <row r="3214" spans="23:23" ht="26.4">
      <c r="W3214" s="64" ph="1"/>
    </row>
    <row r="3215" spans="23:23" ht="26.4">
      <c r="W3215" s="64" ph="1"/>
    </row>
    <row r="3216" spans="23:23" ht="26.4">
      <c r="W3216" s="64" ph="1"/>
    </row>
    <row r="3217" spans="23:23" ht="26.4">
      <c r="W3217" s="64" ph="1"/>
    </row>
    <row r="3218" spans="23:23" ht="26.4">
      <c r="W3218" s="64" ph="1"/>
    </row>
    <row r="3219" spans="23:23" ht="26.4">
      <c r="W3219" s="64" ph="1"/>
    </row>
    <row r="3220" spans="23:23" ht="26.4">
      <c r="W3220" s="64" ph="1"/>
    </row>
    <row r="3221" spans="23:23" ht="26.4">
      <c r="W3221" s="64" ph="1"/>
    </row>
    <row r="3222" spans="23:23" ht="26.4">
      <c r="W3222" s="64" ph="1"/>
    </row>
    <row r="3223" spans="23:23" ht="26.4">
      <c r="W3223" s="64" ph="1"/>
    </row>
    <row r="3224" spans="23:23" ht="26.4">
      <c r="W3224" s="64" ph="1"/>
    </row>
    <row r="3225" spans="23:23" ht="26.4">
      <c r="W3225" s="64" ph="1"/>
    </row>
    <row r="3226" spans="23:23" ht="26.4">
      <c r="W3226" s="64" ph="1"/>
    </row>
    <row r="3227" spans="23:23" ht="26.4">
      <c r="W3227" s="64" ph="1"/>
    </row>
    <row r="3228" spans="23:23" ht="26.4">
      <c r="W3228" s="64" ph="1"/>
    </row>
    <row r="3229" spans="23:23" ht="26.4">
      <c r="W3229" s="64" ph="1"/>
    </row>
    <row r="3230" spans="23:23" ht="26.4">
      <c r="W3230" s="64" ph="1"/>
    </row>
    <row r="3231" spans="23:23" ht="26.4">
      <c r="W3231" s="64" ph="1"/>
    </row>
    <row r="3232" spans="23:23" ht="26.4">
      <c r="W3232" s="64" ph="1"/>
    </row>
    <row r="3233" spans="23:23" ht="26.4">
      <c r="W3233" s="64" ph="1"/>
    </row>
    <row r="3234" spans="23:23" ht="26.4">
      <c r="W3234" s="64" ph="1"/>
    </row>
    <row r="3235" spans="23:23" ht="26.4">
      <c r="W3235" s="64" ph="1"/>
    </row>
    <row r="3236" spans="23:23" ht="26.4">
      <c r="W3236" s="64" ph="1"/>
    </row>
    <row r="3237" spans="23:23" ht="26.4">
      <c r="W3237" s="64" ph="1"/>
    </row>
    <row r="3238" spans="23:23" ht="26.4">
      <c r="W3238" s="64" ph="1"/>
    </row>
    <row r="3239" spans="23:23" ht="26.4">
      <c r="W3239" s="64" ph="1"/>
    </row>
    <row r="3240" spans="23:23" ht="26.4">
      <c r="W3240" s="64" ph="1"/>
    </row>
    <row r="3241" spans="23:23" ht="26.4">
      <c r="W3241" s="64" ph="1"/>
    </row>
    <row r="3242" spans="23:23" ht="26.4">
      <c r="W3242" s="64" ph="1"/>
    </row>
    <row r="3243" spans="23:23" ht="26.4">
      <c r="W3243" s="64" ph="1"/>
    </row>
    <row r="3244" spans="23:23" ht="26.4">
      <c r="W3244" s="64" ph="1"/>
    </row>
    <row r="3245" spans="23:23" ht="26.4">
      <c r="W3245" s="64" ph="1"/>
    </row>
    <row r="3246" spans="23:23" ht="26.4">
      <c r="W3246" s="64" ph="1"/>
    </row>
    <row r="3247" spans="23:23" ht="26.4">
      <c r="W3247" s="64" ph="1"/>
    </row>
    <row r="3248" spans="23:23" ht="26.4">
      <c r="W3248" s="64" ph="1"/>
    </row>
    <row r="3249" spans="23:23" ht="26.4">
      <c r="W3249" s="64" ph="1"/>
    </row>
    <row r="3250" spans="23:23" ht="26.4">
      <c r="W3250" s="64" ph="1"/>
    </row>
    <row r="3251" spans="23:23" ht="26.4">
      <c r="W3251" s="64" ph="1"/>
    </row>
    <row r="3252" spans="23:23" ht="26.4">
      <c r="W3252" s="64" ph="1"/>
    </row>
    <row r="3253" spans="23:23" ht="26.4">
      <c r="W3253" s="64" ph="1"/>
    </row>
    <row r="3254" spans="23:23" ht="26.4">
      <c r="W3254" s="64" ph="1"/>
    </row>
    <row r="3255" spans="23:23" ht="26.4">
      <c r="W3255" s="64" ph="1"/>
    </row>
    <row r="3256" spans="23:23" ht="26.4">
      <c r="W3256" s="64" ph="1"/>
    </row>
    <row r="3257" spans="23:23" ht="26.4">
      <c r="W3257" s="64" ph="1"/>
    </row>
    <row r="3258" spans="23:23" ht="26.4">
      <c r="W3258" s="64" ph="1"/>
    </row>
    <row r="3259" spans="23:23" ht="26.4">
      <c r="W3259" s="64" ph="1"/>
    </row>
    <row r="3260" spans="23:23" ht="26.4">
      <c r="W3260" s="64" ph="1"/>
    </row>
    <row r="3261" spans="23:23" ht="26.4">
      <c r="W3261" s="64" ph="1"/>
    </row>
    <row r="3262" spans="23:23" ht="26.4">
      <c r="W3262" s="64" ph="1"/>
    </row>
    <row r="3263" spans="23:23" ht="26.4">
      <c r="W3263" s="64" ph="1"/>
    </row>
    <row r="3264" spans="23:23" ht="26.4">
      <c r="W3264" s="64" ph="1"/>
    </row>
    <row r="3265" spans="23:23" ht="26.4">
      <c r="W3265" s="64" ph="1"/>
    </row>
    <row r="3266" spans="23:23" ht="26.4">
      <c r="W3266" s="64" ph="1"/>
    </row>
    <row r="3267" spans="23:23" ht="26.4">
      <c r="W3267" s="64" ph="1"/>
    </row>
    <row r="3268" spans="23:23" ht="26.4">
      <c r="W3268" s="64" ph="1"/>
    </row>
    <row r="3269" spans="23:23" ht="26.4">
      <c r="W3269" s="64" ph="1"/>
    </row>
    <row r="3270" spans="23:23" ht="26.4">
      <c r="W3270" s="64" ph="1"/>
    </row>
    <row r="3271" spans="23:23" ht="26.4">
      <c r="W3271" s="64" ph="1"/>
    </row>
    <row r="3272" spans="23:23" ht="26.4">
      <c r="W3272" s="64" ph="1"/>
    </row>
    <row r="3273" spans="23:23" ht="26.4">
      <c r="W3273" s="64" ph="1"/>
    </row>
    <row r="3274" spans="23:23" ht="26.4">
      <c r="W3274" s="64" ph="1"/>
    </row>
    <row r="3275" spans="23:23" ht="26.4">
      <c r="W3275" s="64" ph="1"/>
    </row>
    <row r="3276" spans="23:23" ht="26.4">
      <c r="W3276" s="64" ph="1"/>
    </row>
    <row r="3277" spans="23:23" ht="26.4">
      <c r="W3277" s="64" ph="1"/>
    </row>
    <row r="3278" spans="23:23" ht="26.4">
      <c r="W3278" s="64" ph="1"/>
    </row>
    <row r="3279" spans="23:23" ht="26.4">
      <c r="W3279" s="64" ph="1"/>
    </row>
    <row r="3280" spans="23:23" ht="26.4">
      <c r="W3280" s="64" ph="1"/>
    </row>
    <row r="3281" spans="23:23" ht="26.4">
      <c r="W3281" s="64" ph="1"/>
    </row>
    <row r="3282" spans="23:23" ht="26.4">
      <c r="W3282" s="64" ph="1"/>
    </row>
    <row r="3283" spans="23:23" ht="26.4">
      <c r="W3283" s="64" ph="1"/>
    </row>
    <row r="3284" spans="23:23" ht="26.4">
      <c r="W3284" s="64" ph="1"/>
    </row>
    <row r="3285" spans="23:23" ht="26.4">
      <c r="W3285" s="64" ph="1"/>
    </row>
    <row r="3286" spans="23:23" ht="26.4">
      <c r="W3286" s="64" ph="1"/>
    </row>
    <row r="3287" spans="23:23" ht="26.4">
      <c r="W3287" s="64" ph="1"/>
    </row>
    <row r="3288" spans="23:23" ht="26.4">
      <c r="W3288" s="64" ph="1"/>
    </row>
    <row r="3289" spans="23:23" ht="26.4">
      <c r="W3289" s="64" ph="1"/>
    </row>
    <row r="3290" spans="23:23" ht="26.4">
      <c r="W3290" s="64" ph="1"/>
    </row>
    <row r="3291" spans="23:23" ht="26.4">
      <c r="W3291" s="64" ph="1"/>
    </row>
    <row r="3292" spans="23:23" ht="26.4">
      <c r="W3292" s="64" ph="1"/>
    </row>
    <row r="3293" spans="23:23" ht="26.4">
      <c r="W3293" s="64" ph="1"/>
    </row>
    <row r="3294" spans="23:23" ht="26.4">
      <c r="W3294" s="64" ph="1"/>
    </row>
    <row r="3295" spans="23:23" ht="26.4">
      <c r="W3295" s="64" ph="1"/>
    </row>
    <row r="3296" spans="23:23" ht="26.4">
      <c r="W3296" s="64" ph="1"/>
    </row>
    <row r="3297" spans="23:23" ht="26.4">
      <c r="W3297" s="64" ph="1"/>
    </row>
    <row r="3298" spans="23:23" ht="26.4">
      <c r="W3298" s="64" ph="1"/>
    </row>
    <row r="3299" spans="23:23" ht="26.4">
      <c r="W3299" s="64" ph="1"/>
    </row>
    <row r="3300" spans="23:23" ht="26.4">
      <c r="W3300" s="64" ph="1"/>
    </row>
    <row r="3301" spans="23:23" ht="26.4">
      <c r="W3301" s="64" ph="1"/>
    </row>
    <row r="3302" spans="23:23" ht="26.4">
      <c r="W3302" s="64" ph="1"/>
    </row>
    <row r="3303" spans="23:23" ht="26.4">
      <c r="W3303" s="64" ph="1"/>
    </row>
    <row r="3304" spans="23:23" ht="26.4">
      <c r="W3304" s="64" ph="1"/>
    </row>
    <row r="3305" spans="23:23" ht="26.4">
      <c r="W3305" s="64" ph="1"/>
    </row>
    <row r="3306" spans="23:23" ht="26.4">
      <c r="W3306" s="64" ph="1"/>
    </row>
    <row r="3307" spans="23:23" ht="26.4">
      <c r="W3307" s="64" ph="1"/>
    </row>
    <row r="3308" spans="23:23" ht="26.4">
      <c r="W3308" s="64" ph="1"/>
    </row>
    <row r="3309" spans="23:23" ht="26.4">
      <c r="W3309" s="64" ph="1"/>
    </row>
    <row r="3310" spans="23:23" ht="26.4">
      <c r="W3310" s="64" ph="1"/>
    </row>
    <row r="3311" spans="23:23" ht="26.4">
      <c r="W3311" s="64" ph="1"/>
    </row>
    <row r="3312" spans="23:23" ht="26.4">
      <c r="W3312" s="64" ph="1"/>
    </row>
    <row r="3313" spans="23:23" ht="26.4">
      <c r="W3313" s="64" ph="1"/>
    </row>
    <row r="3314" spans="23:23" ht="26.4">
      <c r="W3314" s="64" ph="1"/>
    </row>
    <row r="3315" spans="23:23" ht="26.4">
      <c r="W3315" s="64" ph="1"/>
    </row>
    <row r="3316" spans="23:23" ht="26.4">
      <c r="W3316" s="64" ph="1"/>
    </row>
    <row r="3317" spans="23:23" ht="26.4">
      <c r="W3317" s="64" ph="1"/>
    </row>
    <row r="3318" spans="23:23" ht="26.4">
      <c r="W3318" s="64" ph="1"/>
    </row>
    <row r="3319" spans="23:23" ht="26.4">
      <c r="W3319" s="64" ph="1"/>
    </row>
    <row r="3320" spans="23:23" ht="26.4">
      <c r="W3320" s="64" ph="1"/>
    </row>
    <row r="3321" spans="23:23" ht="26.4">
      <c r="W3321" s="64" ph="1"/>
    </row>
    <row r="3322" spans="23:23" ht="26.4">
      <c r="W3322" s="64" ph="1"/>
    </row>
    <row r="3323" spans="23:23" ht="26.4">
      <c r="W3323" s="64" ph="1"/>
    </row>
    <row r="3324" spans="23:23" ht="26.4">
      <c r="W3324" s="64" ph="1"/>
    </row>
    <row r="3325" spans="23:23" ht="26.4">
      <c r="W3325" s="64" ph="1"/>
    </row>
    <row r="3326" spans="23:23" ht="26.4">
      <c r="W3326" s="64" ph="1"/>
    </row>
    <row r="3327" spans="23:23" ht="26.4">
      <c r="W3327" s="64" ph="1"/>
    </row>
    <row r="3328" spans="23:23" ht="26.4">
      <c r="W3328" s="64" ph="1"/>
    </row>
    <row r="3329" spans="23:23" ht="26.4">
      <c r="W3329" s="64" ph="1"/>
    </row>
    <row r="3330" spans="23:23" ht="26.4">
      <c r="W3330" s="64" ph="1"/>
    </row>
    <row r="3331" spans="23:23" ht="26.4">
      <c r="W3331" s="64" ph="1"/>
    </row>
    <row r="3332" spans="23:23" ht="26.4">
      <c r="W3332" s="64" ph="1"/>
    </row>
    <row r="3333" spans="23:23" ht="26.4">
      <c r="W3333" s="64" ph="1"/>
    </row>
    <row r="3334" spans="23:23" ht="26.4">
      <c r="W3334" s="64" ph="1"/>
    </row>
    <row r="3335" spans="23:23" ht="26.4">
      <c r="W3335" s="64" ph="1"/>
    </row>
    <row r="3336" spans="23:23" ht="26.4">
      <c r="W3336" s="64" ph="1"/>
    </row>
    <row r="3337" spans="23:23" ht="26.4">
      <c r="W3337" s="64" ph="1"/>
    </row>
    <row r="3338" spans="23:23" ht="26.4">
      <c r="W3338" s="64" ph="1"/>
    </row>
    <row r="3339" spans="23:23" ht="26.4">
      <c r="W3339" s="64" ph="1"/>
    </row>
    <row r="3340" spans="23:23" ht="26.4">
      <c r="W3340" s="64" ph="1"/>
    </row>
    <row r="3341" spans="23:23" ht="26.4">
      <c r="W3341" s="64" ph="1"/>
    </row>
    <row r="3342" spans="23:23" ht="26.4">
      <c r="W3342" s="64" ph="1"/>
    </row>
    <row r="3343" spans="23:23" ht="26.4">
      <c r="W3343" s="64" ph="1"/>
    </row>
    <row r="3344" spans="23:23" ht="26.4">
      <c r="W3344" s="64" ph="1"/>
    </row>
    <row r="3345" spans="23:23" ht="26.4">
      <c r="W3345" s="64" ph="1"/>
    </row>
    <row r="3346" spans="23:23" ht="26.4">
      <c r="W3346" s="64" ph="1"/>
    </row>
    <row r="3347" spans="23:23" ht="26.4">
      <c r="W3347" s="64" ph="1"/>
    </row>
    <row r="3348" spans="23:23" ht="26.4">
      <c r="W3348" s="64" ph="1"/>
    </row>
    <row r="3349" spans="23:23" ht="26.4">
      <c r="W3349" s="64" ph="1"/>
    </row>
    <row r="3350" spans="23:23" ht="26.4">
      <c r="W3350" s="64" ph="1"/>
    </row>
    <row r="3351" spans="23:23" ht="26.4">
      <c r="W3351" s="64" ph="1"/>
    </row>
    <row r="3352" spans="23:23" ht="26.4">
      <c r="W3352" s="64" ph="1"/>
    </row>
    <row r="3353" spans="23:23" ht="26.4">
      <c r="W3353" s="64" ph="1"/>
    </row>
    <row r="3354" spans="23:23" ht="26.4">
      <c r="W3354" s="64" ph="1"/>
    </row>
    <row r="3355" spans="23:23" ht="26.4">
      <c r="W3355" s="64" ph="1"/>
    </row>
    <row r="3356" spans="23:23" ht="26.4">
      <c r="W3356" s="64" ph="1"/>
    </row>
    <row r="3357" spans="23:23" ht="26.4">
      <c r="W3357" s="64" ph="1"/>
    </row>
    <row r="3358" spans="23:23" ht="26.4">
      <c r="W3358" s="64" ph="1"/>
    </row>
    <row r="3359" spans="23:23" ht="26.4">
      <c r="W3359" s="64" ph="1"/>
    </row>
    <row r="3360" spans="23:23" ht="26.4">
      <c r="W3360" s="64" ph="1"/>
    </row>
    <row r="3361" spans="23:23" ht="26.4">
      <c r="W3361" s="64" ph="1"/>
    </row>
    <row r="3362" spans="23:23" ht="26.4">
      <c r="W3362" s="64" ph="1"/>
    </row>
    <row r="3363" spans="23:23" ht="26.4">
      <c r="W3363" s="64" ph="1"/>
    </row>
    <row r="3364" spans="23:23" ht="26.4">
      <c r="W3364" s="64" ph="1"/>
    </row>
    <row r="3365" spans="23:23" ht="26.4">
      <c r="W3365" s="64" ph="1"/>
    </row>
    <row r="3366" spans="23:23" ht="26.4">
      <c r="W3366" s="64" ph="1"/>
    </row>
    <row r="3367" spans="23:23" ht="26.4">
      <c r="W3367" s="64" ph="1"/>
    </row>
    <row r="3368" spans="23:23" ht="26.4">
      <c r="W3368" s="64" ph="1"/>
    </row>
    <row r="3369" spans="23:23" ht="26.4">
      <c r="W3369" s="64" ph="1"/>
    </row>
    <row r="3370" spans="23:23" ht="26.4">
      <c r="W3370" s="64" ph="1"/>
    </row>
    <row r="3371" spans="23:23" ht="26.4">
      <c r="W3371" s="64" ph="1"/>
    </row>
    <row r="3372" spans="23:23" ht="26.4">
      <c r="W3372" s="64" ph="1"/>
    </row>
    <row r="3373" spans="23:23" ht="26.4">
      <c r="W3373" s="64" ph="1"/>
    </row>
    <row r="3374" spans="23:23" ht="26.4">
      <c r="W3374" s="64" ph="1"/>
    </row>
    <row r="3375" spans="23:23" ht="26.4">
      <c r="W3375" s="64" ph="1"/>
    </row>
    <row r="3376" spans="23:23" ht="26.4">
      <c r="W3376" s="64" ph="1"/>
    </row>
    <row r="3377" spans="23:23" ht="26.4">
      <c r="W3377" s="64" ph="1"/>
    </row>
    <row r="3378" spans="23:23" ht="26.4">
      <c r="W3378" s="64" ph="1"/>
    </row>
    <row r="3379" spans="23:23" ht="26.4">
      <c r="W3379" s="64" ph="1"/>
    </row>
    <row r="3380" spans="23:23" ht="26.4">
      <c r="W3380" s="64" ph="1"/>
    </row>
    <row r="3381" spans="23:23" ht="26.4">
      <c r="W3381" s="64" ph="1"/>
    </row>
    <row r="3382" spans="23:23" ht="26.4">
      <c r="W3382" s="64" ph="1"/>
    </row>
    <row r="3383" spans="23:23" ht="26.4">
      <c r="W3383" s="64" ph="1"/>
    </row>
    <row r="3384" spans="23:23" ht="26.4">
      <c r="W3384" s="64" ph="1"/>
    </row>
    <row r="3385" spans="23:23" ht="26.4">
      <c r="W3385" s="64" ph="1"/>
    </row>
    <row r="3386" spans="23:23" ht="26.4">
      <c r="W3386" s="64" ph="1"/>
    </row>
    <row r="3387" spans="23:23" ht="26.4">
      <c r="W3387" s="64" ph="1"/>
    </row>
    <row r="3388" spans="23:23" ht="26.4">
      <c r="W3388" s="64" ph="1"/>
    </row>
    <row r="3389" spans="23:23" ht="26.4">
      <c r="W3389" s="64" ph="1"/>
    </row>
    <row r="3390" spans="23:23" ht="26.4">
      <c r="W3390" s="64" ph="1"/>
    </row>
    <row r="3391" spans="23:23" ht="26.4">
      <c r="W3391" s="64" ph="1"/>
    </row>
    <row r="3392" spans="23:23" ht="26.4">
      <c r="W3392" s="64" ph="1"/>
    </row>
    <row r="3393" spans="23:23" ht="26.4">
      <c r="W3393" s="64" ph="1"/>
    </row>
    <row r="3394" spans="23:23" ht="26.4">
      <c r="W3394" s="64" ph="1"/>
    </row>
    <row r="3395" spans="23:23" ht="26.4">
      <c r="W3395" s="64" ph="1"/>
    </row>
    <row r="3396" spans="23:23" ht="26.4">
      <c r="W3396" s="64" ph="1"/>
    </row>
    <row r="3397" spans="23:23" ht="26.4">
      <c r="W3397" s="64" ph="1"/>
    </row>
    <row r="3398" spans="23:23" ht="26.4">
      <c r="W3398" s="64" ph="1"/>
    </row>
    <row r="3399" spans="23:23" ht="26.4">
      <c r="W3399" s="64" ph="1"/>
    </row>
    <row r="3400" spans="23:23" ht="26.4">
      <c r="W3400" s="64" ph="1"/>
    </row>
    <row r="3401" spans="23:23" ht="26.4">
      <c r="W3401" s="64" ph="1"/>
    </row>
    <row r="3402" spans="23:23" ht="26.4">
      <c r="W3402" s="64" ph="1"/>
    </row>
    <row r="3403" spans="23:23" ht="26.4">
      <c r="W3403" s="64" ph="1"/>
    </row>
    <row r="3404" spans="23:23" ht="26.4">
      <c r="W3404" s="64" ph="1"/>
    </row>
    <row r="3405" spans="23:23" ht="26.4">
      <c r="W3405" s="64" ph="1"/>
    </row>
    <row r="3406" spans="23:23" ht="26.4">
      <c r="W3406" s="64" ph="1"/>
    </row>
    <row r="3407" spans="23:23" ht="26.4">
      <c r="W3407" s="64" ph="1"/>
    </row>
    <row r="3408" spans="23:23" ht="26.4">
      <c r="W3408" s="64" ph="1"/>
    </row>
    <row r="3409" spans="23:23" ht="26.4">
      <c r="W3409" s="64" ph="1"/>
    </row>
    <row r="3410" spans="23:23" ht="26.4">
      <c r="W3410" s="64" ph="1"/>
    </row>
    <row r="3411" spans="23:23" ht="26.4">
      <c r="W3411" s="64" ph="1"/>
    </row>
    <row r="3412" spans="23:23" ht="26.4">
      <c r="W3412" s="64" ph="1"/>
    </row>
    <row r="3413" spans="23:23" ht="26.4">
      <c r="W3413" s="64" ph="1"/>
    </row>
    <row r="3414" spans="23:23" ht="26.4">
      <c r="W3414" s="64" ph="1"/>
    </row>
    <row r="3415" spans="23:23" ht="26.4">
      <c r="W3415" s="64" ph="1"/>
    </row>
    <row r="3416" spans="23:23" ht="26.4">
      <c r="W3416" s="64" ph="1"/>
    </row>
    <row r="3417" spans="23:23" ht="26.4">
      <c r="W3417" s="64" ph="1"/>
    </row>
    <row r="3418" spans="23:23" ht="26.4">
      <c r="W3418" s="64" ph="1"/>
    </row>
    <row r="3419" spans="23:23" ht="26.4">
      <c r="W3419" s="64" ph="1"/>
    </row>
    <row r="3420" spans="23:23" ht="26.4">
      <c r="W3420" s="64" ph="1"/>
    </row>
    <row r="3421" spans="23:23" ht="26.4">
      <c r="W3421" s="64" ph="1"/>
    </row>
    <row r="3422" spans="23:23" ht="26.4">
      <c r="W3422" s="64" ph="1"/>
    </row>
    <row r="3423" spans="23:23" ht="26.4">
      <c r="W3423" s="64" ph="1"/>
    </row>
    <row r="3424" spans="23:23" ht="26.4">
      <c r="W3424" s="64" ph="1"/>
    </row>
    <row r="3425" spans="23:23" ht="26.4">
      <c r="W3425" s="64" ph="1"/>
    </row>
    <row r="3426" spans="23:23" ht="26.4">
      <c r="W3426" s="64" ph="1"/>
    </row>
    <row r="3427" spans="23:23" ht="26.4">
      <c r="W3427" s="64" ph="1"/>
    </row>
    <row r="3428" spans="23:23" ht="26.4">
      <c r="W3428" s="64" ph="1"/>
    </row>
    <row r="3429" spans="23:23" ht="26.4">
      <c r="W3429" s="64" ph="1"/>
    </row>
    <row r="3430" spans="23:23" ht="26.4">
      <c r="W3430" s="64" ph="1"/>
    </row>
    <row r="3431" spans="23:23" ht="26.4">
      <c r="W3431" s="64" ph="1"/>
    </row>
    <row r="3432" spans="23:23" ht="26.4">
      <c r="W3432" s="64" ph="1"/>
    </row>
    <row r="3433" spans="23:23" ht="26.4">
      <c r="W3433" s="64" ph="1"/>
    </row>
    <row r="3434" spans="23:23" ht="26.4">
      <c r="W3434" s="64" ph="1"/>
    </row>
    <row r="3435" spans="23:23" ht="26.4">
      <c r="W3435" s="64" ph="1"/>
    </row>
    <row r="3436" spans="23:23" ht="26.4">
      <c r="W3436" s="64" ph="1"/>
    </row>
    <row r="3437" spans="23:23" ht="26.4">
      <c r="W3437" s="64" ph="1"/>
    </row>
    <row r="3438" spans="23:23" ht="26.4">
      <c r="W3438" s="64" ph="1"/>
    </row>
    <row r="3439" spans="23:23" ht="26.4">
      <c r="W3439" s="64" ph="1"/>
    </row>
    <row r="3440" spans="23:23" ht="26.4">
      <c r="W3440" s="64" ph="1"/>
    </row>
    <row r="3441" spans="23:23" ht="26.4">
      <c r="W3441" s="64" ph="1"/>
    </row>
    <row r="3442" spans="23:23" ht="26.4">
      <c r="W3442" s="64" ph="1"/>
    </row>
    <row r="3443" spans="23:23" ht="26.4">
      <c r="W3443" s="64" ph="1"/>
    </row>
    <row r="3444" spans="23:23" ht="26.4">
      <c r="W3444" s="64" ph="1"/>
    </row>
    <row r="3445" spans="23:23" ht="26.4">
      <c r="W3445" s="64" ph="1"/>
    </row>
    <row r="3446" spans="23:23" ht="26.4">
      <c r="W3446" s="64" ph="1"/>
    </row>
    <row r="3447" spans="23:23" ht="26.4">
      <c r="W3447" s="64" ph="1"/>
    </row>
    <row r="3448" spans="23:23" ht="26.4">
      <c r="W3448" s="64" ph="1"/>
    </row>
    <row r="3449" spans="23:23" ht="26.4">
      <c r="W3449" s="64" ph="1"/>
    </row>
    <row r="3450" spans="23:23" ht="26.4">
      <c r="W3450" s="64" ph="1"/>
    </row>
    <row r="3451" spans="23:23" ht="26.4">
      <c r="W3451" s="64" ph="1"/>
    </row>
    <row r="3452" spans="23:23" ht="26.4">
      <c r="W3452" s="64" ph="1"/>
    </row>
    <row r="3453" spans="23:23" ht="26.4">
      <c r="W3453" s="64" ph="1"/>
    </row>
    <row r="3454" spans="23:23" ht="26.4">
      <c r="W3454" s="64" ph="1"/>
    </row>
    <row r="3455" spans="23:23" ht="26.4">
      <c r="W3455" s="64" ph="1"/>
    </row>
    <row r="3456" spans="23:23" ht="26.4">
      <c r="W3456" s="64" ph="1"/>
    </row>
    <row r="3457" spans="23:23" ht="26.4">
      <c r="W3457" s="64" ph="1"/>
    </row>
    <row r="3458" spans="23:23" ht="26.4">
      <c r="W3458" s="64" ph="1"/>
    </row>
    <row r="3459" spans="23:23" ht="26.4">
      <c r="W3459" s="64" ph="1"/>
    </row>
    <row r="3460" spans="23:23" ht="26.4">
      <c r="W3460" s="64" ph="1"/>
    </row>
    <row r="3461" spans="23:23" ht="26.4">
      <c r="W3461" s="64" ph="1"/>
    </row>
    <row r="3462" spans="23:23" ht="26.4">
      <c r="W3462" s="64" ph="1"/>
    </row>
    <row r="3463" spans="23:23" ht="26.4">
      <c r="W3463" s="64" ph="1"/>
    </row>
    <row r="3464" spans="23:23" ht="26.4">
      <c r="W3464" s="64" ph="1"/>
    </row>
    <row r="3465" spans="23:23" ht="26.4">
      <c r="W3465" s="64" ph="1"/>
    </row>
    <row r="3466" spans="23:23" ht="26.4">
      <c r="W3466" s="64" ph="1"/>
    </row>
    <row r="3467" spans="23:23" ht="26.4">
      <c r="W3467" s="64" ph="1"/>
    </row>
    <row r="3468" spans="23:23" ht="26.4">
      <c r="W3468" s="64" ph="1"/>
    </row>
    <row r="3469" spans="23:23" ht="26.4">
      <c r="W3469" s="64" ph="1"/>
    </row>
    <row r="3470" spans="23:23" ht="26.4">
      <c r="W3470" s="64" ph="1"/>
    </row>
    <row r="3471" spans="23:23" ht="26.4">
      <c r="W3471" s="64" ph="1"/>
    </row>
    <row r="3472" spans="23:23" ht="26.4">
      <c r="W3472" s="64" ph="1"/>
    </row>
    <row r="3473" spans="23:23" ht="26.4">
      <c r="W3473" s="64" ph="1"/>
    </row>
    <row r="3474" spans="23:23" ht="26.4">
      <c r="W3474" s="64" ph="1"/>
    </row>
    <row r="3475" spans="23:23" ht="26.4">
      <c r="W3475" s="64" ph="1"/>
    </row>
    <row r="3476" spans="23:23" ht="26.4">
      <c r="W3476" s="64" ph="1"/>
    </row>
    <row r="3477" spans="23:23" ht="26.4">
      <c r="W3477" s="64" ph="1"/>
    </row>
    <row r="3478" spans="23:23" ht="26.4">
      <c r="W3478" s="64" ph="1"/>
    </row>
    <row r="3479" spans="23:23" ht="26.4">
      <c r="W3479" s="64" ph="1"/>
    </row>
    <row r="3480" spans="23:23" ht="26.4">
      <c r="W3480" s="64" ph="1"/>
    </row>
    <row r="3481" spans="23:23" ht="26.4">
      <c r="W3481" s="64" ph="1"/>
    </row>
    <row r="3482" spans="23:23" ht="26.4">
      <c r="W3482" s="64" ph="1"/>
    </row>
    <row r="3483" spans="23:23" ht="26.4">
      <c r="W3483" s="64" ph="1"/>
    </row>
    <row r="3484" spans="23:23" ht="26.4">
      <c r="W3484" s="64" ph="1"/>
    </row>
    <row r="3485" spans="23:23" ht="26.4">
      <c r="W3485" s="64" ph="1"/>
    </row>
    <row r="3486" spans="23:23" ht="26.4">
      <c r="W3486" s="64" ph="1"/>
    </row>
    <row r="3487" spans="23:23" ht="26.4">
      <c r="W3487" s="64" ph="1"/>
    </row>
    <row r="3488" spans="23:23" ht="26.4">
      <c r="W3488" s="64" ph="1"/>
    </row>
    <row r="3489" spans="23:23" ht="26.4">
      <c r="W3489" s="64" ph="1"/>
    </row>
    <row r="3490" spans="23:23" ht="26.4">
      <c r="W3490" s="64" ph="1"/>
    </row>
    <row r="3491" spans="23:23" ht="26.4">
      <c r="W3491" s="64" ph="1"/>
    </row>
    <row r="3492" spans="23:23" ht="26.4">
      <c r="W3492" s="64" ph="1"/>
    </row>
    <row r="3493" spans="23:23" ht="26.4">
      <c r="W3493" s="64" ph="1"/>
    </row>
    <row r="3494" spans="23:23" ht="26.4">
      <c r="W3494" s="64" ph="1"/>
    </row>
    <row r="3495" spans="23:23" ht="26.4">
      <c r="W3495" s="64" ph="1"/>
    </row>
    <row r="3496" spans="23:23" ht="26.4">
      <c r="W3496" s="64" ph="1"/>
    </row>
    <row r="3497" spans="23:23" ht="26.4">
      <c r="W3497" s="64" ph="1"/>
    </row>
    <row r="3498" spans="23:23" ht="26.4">
      <c r="W3498" s="64" ph="1"/>
    </row>
    <row r="3499" spans="23:23" ht="26.4">
      <c r="W3499" s="64" ph="1"/>
    </row>
    <row r="3500" spans="23:23" ht="26.4">
      <c r="W3500" s="64" ph="1"/>
    </row>
    <row r="3501" spans="23:23" ht="26.4">
      <c r="W3501" s="64" ph="1"/>
    </row>
    <row r="3502" spans="23:23" ht="26.4">
      <c r="W3502" s="64" ph="1"/>
    </row>
    <row r="3503" spans="23:23" ht="26.4">
      <c r="W3503" s="64" ph="1"/>
    </row>
    <row r="3504" spans="23:23" ht="26.4">
      <c r="W3504" s="64" ph="1"/>
    </row>
    <row r="3505" spans="23:23" ht="26.4">
      <c r="W3505" s="64" ph="1"/>
    </row>
    <row r="3506" spans="23:23" ht="26.4">
      <c r="W3506" s="64" ph="1"/>
    </row>
    <row r="3507" spans="23:23" ht="26.4">
      <c r="W3507" s="64" ph="1"/>
    </row>
    <row r="3508" spans="23:23" ht="26.4">
      <c r="W3508" s="64" ph="1"/>
    </row>
    <row r="3509" spans="23:23" ht="26.4">
      <c r="W3509" s="64" ph="1"/>
    </row>
    <row r="3510" spans="23:23" ht="26.4">
      <c r="W3510" s="64" ph="1"/>
    </row>
    <row r="3511" spans="23:23" ht="26.4">
      <c r="W3511" s="64" ph="1"/>
    </row>
    <row r="3512" spans="23:23" ht="26.4">
      <c r="W3512" s="64" ph="1"/>
    </row>
    <row r="3513" spans="23:23" ht="26.4">
      <c r="W3513" s="64" ph="1"/>
    </row>
    <row r="3514" spans="23:23" ht="26.4">
      <c r="W3514" s="64" ph="1"/>
    </row>
    <row r="3515" spans="23:23" ht="26.4">
      <c r="W3515" s="64" ph="1"/>
    </row>
    <row r="3516" spans="23:23" ht="26.4">
      <c r="W3516" s="64" ph="1"/>
    </row>
    <row r="3517" spans="23:23" ht="26.4">
      <c r="W3517" s="64" ph="1"/>
    </row>
    <row r="3518" spans="23:23" ht="26.4">
      <c r="W3518" s="64" ph="1"/>
    </row>
    <row r="3519" spans="23:23" ht="26.4">
      <c r="W3519" s="64" ph="1"/>
    </row>
    <row r="3520" spans="23:23" ht="26.4">
      <c r="W3520" s="64" ph="1"/>
    </row>
    <row r="3521" spans="23:23" ht="26.4">
      <c r="W3521" s="64" ph="1"/>
    </row>
    <row r="3522" spans="23:23" ht="26.4">
      <c r="W3522" s="64" ph="1"/>
    </row>
    <row r="3523" spans="23:23" ht="26.4">
      <c r="W3523" s="64" ph="1"/>
    </row>
    <row r="3524" spans="23:23" ht="26.4">
      <c r="W3524" s="64" ph="1"/>
    </row>
    <row r="3525" spans="23:23" ht="26.4">
      <c r="W3525" s="64" ph="1"/>
    </row>
    <row r="3526" spans="23:23" ht="26.4">
      <c r="W3526" s="64" ph="1"/>
    </row>
    <row r="3527" spans="23:23" ht="26.4">
      <c r="W3527" s="64" ph="1"/>
    </row>
    <row r="3528" spans="23:23" ht="26.4">
      <c r="W3528" s="64" ph="1"/>
    </row>
    <row r="3529" spans="23:23" ht="26.4">
      <c r="W3529" s="64" ph="1"/>
    </row>
    <row r="3530" spans="23:23" ht="26.4">
      <c r="W3530" s="64" ph="1"/>
    </row>
    <row r="3531" spans="23:23" ht="26.4">
      <c r="W3531" s="64" ph="1"/>
    </row>
    <row r="3532" spans="23:23" ht="26.4">
      <c r="W3532" s="64" ph="1"/>
    </row>
    <row r="3533" spans="23:23" ht="26.4">
      <c r="W3533" s="64" ph="1"/>
    </row>
    <row r="3534" spans="23:23" ht="26.4">
      <c r="W3534" s="64" ph="1"/>
    </row>
    <row r="3535" spans="23:23" ht="26.4">
      <c r="W3535" s="64" ph="1"/>
    </row>
    <row r="3536" spans="23:23" ht="26.4">
      <c r="W3536" s="64" ph="1"/>
    </row>
    <row r="3537" spans="23:23" ht="26.4">
      <c r="W3537" s="64" ph="1"/>
    </row>
    <row r="3538" spans="23:23" ht="26.4">
      <c r="W3538" s="64" ph="1"/>
    </row>
    <row r="3539" spans="23:23" ht="26.4">
      <c r="W3539" s="64" ph="1"/>
    </row>
    <row r="3540" spans="23:23" ht="26.4">
      <c r="W3540" s="64" ph="1"/>
    </row>
    <row r="3541" spans="23:23" ht="26.4">
      <c r="W3541" s="64" ph="1"/>
    </row>
    <row r="3542" spans="23:23" ht="26.4">
      <c r="W3542" s="64" ph="1"/>
    </row>
    <row r="3543" spans="23:23" ht="26.4">
      <c r="W3543" s="64" ph="1"/>
    </row>
    <row r="3544" spans="23:23" ht="26.4">
      <c r="W3544" s="64" ph="1"/>
    </row>
    <row r="3545" spans="23:23" ht="26.4">
      <c r="W3545" s="64" ph="1"/>
    </row>
    <row r="3546" spans="23:23" ht="26.4">
      <c r="W3546" s="64" ph="1"/>
    </row>
    <row r="3547" spans="23:23" ht="26.4">
      <c r="W3547" s="64" ph="1"/>
    </row>
    <row r="3548" spans="23:23" ht="26.4">
      <c r="W3548" s="64" ph="1"/>
    </row>
    <row r="3549" spans="23:23" ht="26.4">
      <c r="W3549" s="64" ph="1"/>
    </row>
    <row r="3550" spans="23:23" ht="26.4">
      <c r="W3550" s="64" ph="1"/>
    </row>
    <row r="3551" spans="23:23" ht="26.4">
      <c r="W3551" s="64" ph="1"/>
    </row>
    <row r="3552" spans="23:23" ht="26.4">
      <c r="W3552" s="64" ph="1"/>
    </row>
    <row r="3553" spans="23:23" ht="26.4">
      <c r="W3553" s="64" ph="1"/>
    </row>
    <row r="3554" spans="23:23" ht="26.4">
      <c r="W3554" s="64" ph="1"/>
    </row>
    <row r="3555" spans="23:23" ht="26.4">
      <c r="W3555" s="64" ph="1"/>
    </row>
    <row r="3556" spans="23:23" ht="26.4">
      <c r="W3556" s="64" ph="1"/>
    </row>
    <row r="3557" spans="23:23" ht="26.4">
      <c r="W3557" s="64" ph="1"/>
    </row>
    <row r="3558" spans="23:23" ht="26.4">
      <c r="W3558" s="64" ph="1"/>
    </row>
    <row r="3559" spans="23:23" ht="26.4">
      <c r="W3559" s="64" ph="1"/>
    </row>
    <row r="3560" spans="23:23" ht="26.4">
      <c r="W3560" s="64" ph="1"/>
    </row>
    <row r="3561" spans="23:23" ht="26.4">
      <c r="W3561" s="64" ph="1"/>
    </row>
    <row r="3562" spans="23:23" ht="26.4">
      <c r="W3562" s="64" ph="1"/>
    </row>
    <row r="3563" spans="23:23" ht="26.4">
      <c r="W3563" s="64" ph="1"/>
    </row>
    <row r="3564" spans="23:23" ht="26.4">
      <c r="W3564" s="64" ph="1"/>
    </row>
    <row r="3565" spans="23:23" ht="26.4">
      <c r="W3565" s="64" ph="1"/>
    </row>
    <row r="3566" spans="23:23" ht="26.4">
      <c r="W3566" s="64" ph="1"/>
    </row>
    <row r="3567" spans="23:23" ht="26.4">
      <c r="W3567" s="64" ph="1"/>
    </row>
    <row r="3568" spans="23:23" ht="26.4">
      <c r="W3568" s="64" ph="1"/>
    </row>
    <row r="3569" spans="23:23" ht="26.4">
      <c r="W3569" s="64" ph="1"/>
    </row>
    <row r="3570" spans="23:23" ht="26.4">
      <c r="W3570" s="64" ph="1"/>
    </row>
    <row r="3571" spans="23:23" ht="26.4">
      <c r="W3571" s="64" ph="1"/>
    </row>
    <row r="3572" spans="23:23" ht="26.4">
      <c r="W3572" s="64" ph="1"/>
    </row>
    <row r="3573" spans="23:23" ht="26.4">
      <c r="W3573" s="64" ph="1"/>
    </row>
    <row r="3574" spans="23:23" ht="26.4">
      <c r="W3574" s="64" ph="1"/>
    </row>
    <row r="3575" spans="23:23" ht="26.4">
      <c r="W3575" s="64" ph="1"/>
    </row>
    <row r="3576" spans="23:23" ht="26.4">
      <c r="W3576" s="64" ph="1"/>
    </row>
    <row r="3577" spans="23:23" ht="26.4">
      <c r="W3577" s="64" ph="1"/>
    </row>
    <row r="3578" spans="23:23" ht="26.4">
      <c r="W3578" s="64" ph="1"/>
    </row>
    <row r="3579" spans="23:23" ht="26.4">
      <c r="W3579" s="64" ph="1"/>
    </row>
    <row r="3580" spans="23:23" ht="26.4">
      <c r="W3580" s="64" ph="1"/>
    </row>
    <row r="3581" spans="23:23" ht="26.4">
      <c r="W3581" s="64" ph="1"/>
    </row>
    <row r="3582" spans="23:23" ht="26.4">
      <c r="W3582" s="64" ph="1"/>
    </row>
    <row r="3583" spans="23:23" ht="26.4">
      <c r="W3583" s="64" ph="1"/>
    </row>
    <row r="3584" spans="23:23" ht="26.4">
      <c r="W3584" s="64" ph="1"/>
    </row>
    <row r="3585" spans="23:23" ht="26.4">
      <c r="W3585" s="64" ph="1"/>
    </row>
    <row r="3586" spans="23:23" ht="26.4">
      <c r="W3586" s="64" ph="1"/>
    </row>
    <row r="3587" spans="23:23" ht="26.4">
      <c r="W3587" s="64" ph="1"/>
    </row>
    <row r="3588" spans="23:23" ht="26.4">
      <c r="W3588" s="64" ph="1"/>
    </row>
    <row r="3589" spans="23:23" ht="26.4">
      <c r="W3589" s="64" ph="1"/>
    </row>
    <row r="3590" spans="23:23" ht="26.4">
      <c r="W3590" s="64" ph="1"/>
    </row>
    <row r="3591" spans="23:23" ht="26.4">
      <c r="W3591" s="64" ph="1"/>
    </row>
    <row r="3592" spans="23:23" ht="26.4">
      <c r="W3592" s="64" ph="1"/>
    </row>
    <row r="3593" spans="23:23" ht="26.4">
      <c r="W3593" s="64" ph="1"/>
    </row>
    <row r="3594" spans="23:23" ht="26.4">
      <c r="W3594" s="64" ph="1"/>
    </row>
    <row r="3595" spans="23:23" ht="26.4">
      <c r="W3595" s="64" ph="1"/>
    </row>
    <row r="3596" spans="23:23" ht="26.4">
      <c r="W3596" s="64" ph="1"/>
    </row>
    <row r="3597" spans="23:23" ht="26.4">
      <c r="W3597" s="64" ph="1"/>
    </row>
    <row r="3598" spans="23:23" ht="26.4">
      <c r="W3598" s="64" ph="1"/>
    </row>
    <row r="3599" spans="23:23" ht="26.4">
      <c r="W3599" s="64" ph="1"/>
    </row>
    <row r="3600" spans="23:23" ht="26.4">
      <c r="W3600" s="64" ph="1"/>
    </row>
    <row r="3601" spans="23:23" ht="26.4">
      <c r="W3601" s="64" ph="1"/>
    </row>
    <row r="3602" spans="23:23" ht="26.4">
      <c r="W3602" s="64" ph="1"/>
    </row>
    <row r="3603" spans="23:23" ht="26.4">
      <c r="W3603" s="64" ph="1"/>
    </row>
    <row r="3604" spans="23:23" ht="26.4">
      <c r="W3604" s="64" ph="1"/>
    </row>
    <row r="3605" spans="23:23" ht="26.4">
      <c r="W3605" s="64" ph="1"/>
    </row>
    <row r="3606" spans="23:23" ht="26.4">
      <c r="W3606" s="64" ph="1"/>
    </row>
    <row r="3607" spans="23:23" ht="26.4">
      <c r="W3607" s="64" ph="1"/>
    </row>
    <row r="3608" spans="23:23" ht="26.4">
      <c r="W3608" s="64" ph="1"/>
    </row>
    <row r="3609" spans="23:23" ht="26.4">
      <c r="W3609" s="64" ph="1"/>
    </row>
    <row r="3610" spans="23:23" ht="26.4">
      <c r="W3610" s="64" ph="1"/>
    </row>
    <row r="3611" spans="23:23" ht="26.4">
      <c r="W3611" s="64" ph="1"/>
    </row>
    <row r="3612" spans="23:23" ht="26.4">
      <c r="W3612" s="64" ph="1"/>
    </row>
    <row r="3613" spans="23:23" ht="26.4">
      <c r="W3613" s="64" ph="1"/>
    </row>
    <row r="3614" spans="23:23" ht="26.4">
      <c r="W3614" s="64" ph="1"/>
    </row>
    <row r="3615" spans="23:23" ht="26.4">
      <c r="W3615" s="64" ph="1"/>
    </row>
    <row r="3616" spans="23:23" ht="26.4">
      <c r="W3616" s="64" ph="1"/>
    </row>
    <row r="3617" spans="23:23" ht="26.4">
      <c r="W3617" s="64" ph="1"/>
    </row>
    <row r="3618" spans="23:23" ht="26.4">
      <c r="W3618" s="64" ph="1"/>
    </row>
    <row r="3619" spans="23:23" ht="26.4">
      <c r="W3619" s="64" ph="1"/>
    </row>
    <row r="3620" spans="23:23" ht="26.4">
      <c r="W3620" s="64" ph="1"/>
    </row>
    <row r="3621" spans="23:23" ht="26.4">
      <c r="W3621" s="64" ph="1"/>
    </row>
    <row r="3622" spans="23:23" ht="26.4">
      <c r="W3622" s="64" ph="1"/>
    </row>
    <row r="3623" spans="23:23" ht="26.4">
      <c r="W3623" s="64" ph="1"/>
    </row>
    <row r="3624" spans="23:23" ht="26.4">
      <c r="W3624" s="64" ph="1"/>
    </row>
    <row r="3625" spans="23:23" ht="26.4">
      <c r="W3625" s="64" ph="1"/>
    </row>
    <row r="3626" spans="23:23" ht="26.4">
      <c r="W3626" s="64" ph="1"/>
    </row>
    <row r="3627" spans="23:23" ht="26.4">
      <c r="W3627" s="64" ph="1"/>
    </row>
    <row r="3628" spans="23:23" ht="26.4">
      <c r="W3628" s="64" ph="1"/>
    </row>
    <row r="3629" spans="23:23" ht="26.4">
      <c r="W3629" s="64" ph="1"/>
    </row>
    <row r="3630" spans="23:23" ht="26.4">
      <c r="W3630" s="64" ph="1"/>
    </row>
    <row r="3631" spans="23:23" ht="26.4">
      <c r="W3631" s="64" ph="1"/>
    </row>
    <row r="3632" spans="23:23" ht="26.4">
      <c r="W3632" s="64" ph="1"/>
    </row>
    <row r="3633" spans="23:23" ht="26.4">
      <c r="W3633" s="64" ph="1"/>
    </row>
    <row r="3634" spans="23:23" ht="26.4">
      <c r="W3634" s="64" ph="1"/>
    </row>
    <row r="3635" spans="23:23" ht="26.4">
      <c r="W3635" s="64" ph="1"/>
    </row>
    <row r="3636" spans="23:23" ht="26.4">
      <c r="W3636" s="64" ph="1"/>
    </row>
    <row r="3637" spans="23:23" ht="26.4">
      <c r="W3637" s="64" ph="1"/>
    </row>
    <row r="3638" spans="23:23" ht="26.4">
      <c r="W3638" s="64" ph="1"/>
    </row>
    <row r="3639" spans="23:23" ht="26.4">
      <c r="W3639" s="64" ph="1"/>
    </row>
    <row r="3640" spans="23:23" ht="26.4">
      <c r="W3640" s="64" ph="1"/>
    </row>
    <row r="3641" spans="23:23" ht="26.4">
      <c r="W3641" s="64" ph="1"/>
    </row>
    <row r="3642" spans="23:23" ht="26.4">
      <c r="W3642" s="64" ph="1"/>
    </row>
    <row r="3643" spans="23:23" ht="26.4">
      <c r="W3643" s="64" ph="1"/>
    </row>
    <row r="3644" spans="23:23" ht="26.4">
      <c r="W3644" s="64" ph="1"/>
    </row>
    <row r="3645" spans="23:23" ht="26.4">
      <c r="W3645" s="64" ph="1"/>
    </row>
    <row r="3646" spans="23:23" ht="26.4">
      <c r="W3646" s="64" ph="1"/>
    </row>
    <row r="3647" spans="23:23" ht="26.4">
      <c r="W3647" s="64" ph="1"/>
    </row>
    <row r="3648" spans="23:23" ht="26.4">
      <c r="W3648" s="64" ph="1"/>
    </row>
    <row r="3649" spans="23:23" ht="26.4">
      <c r="W3649" s="64" ph="1"/>
    </row>
    <row r="3650" spans="23:23" ht="26.4">
      <c r="W3650" s="64" ph="1"/>
    </row>
    <row r="3651" spans="23:23" ht="26.4">
      <c r="W3651" s="64" ph="1"/>
    </row>
    <row r="3652" spans="23:23" ht="26.4">
      <c r="W3652" s="64" ph="1"/>
    </row>
    <row r="3653" spans="23:23" ht="26.4">
      <c r="W3653" s="64" ph="1"/>
    </row>
    <row r="3654" spans="23:23" ht="26.4">
      <c r="W3654" s="64" ph="1"/>
    </row>
    <row r="3655" spans="23:23" ht="26.4">
      <c r="W3655" s="64" ph="1"/>
    </row>
    <row r="3656" spans="23:23" ht="26.4">
      <c r="W3656" s="64" ph="1"/>
    </row>
    <row r="3657" spans="23:23" ht="26.4">
      <c r="W3657" s="64" ph="1"/>
    </row>
    <row r="3658" spans="23:23" ht="26.4">
      <c r="W3658" s="64" ph="1"/>
    </row>
    <row r="3659" spans="23:23" ht="26.4">
      <c r="W3659" s="64" ph="1"/>
    </row>
    <row r="3660" spans="23:23" ht="26.4">
      <c r="W3660" s="64" ph="1"/>
    </row>
    <row r="3661" spans="23:23" ht="26.4">
      <c r="W3661" s="64" ph="1"/>
    </row>
    <row r="3662" spans="23:23" ht="26.4">
      <c r="W3662" s="64" ph="1"/>
    </row>
    <row r="3663" spans="23:23" ht="26.4">
      <c r="W3663" s="64" ph="1"/>
    </row>
    <row r="3664" spans="23:23" ht="26.4">
      <c r="W3664" s="64" ph="1"/>
    </row>
    <row r="3665" spans="23:23" ht="26.4">
      <c r="W3665" s="64" ph="1"/>
    </row>
    <row r="3666" spans="23:23" ht="26.4">
      <c r="W3666" s="64" ph="1"/>
    </row>
    <row r="3667" spans="23:23" ht="26.4">
      <c r="W3667" s="64" ph="1"/>
    </row>
    <row r="3668" spans="23:23" ht="26.4">
      <c r="W3668" s="64" ph="1"/>
    </row>
    <row r="3669" spans="23:23" ht="26.4">
      <c r="W3669" s="64" ph="1"/>
    </row>
    <row r="3670" spans="23:23" ht="26.4">
      <c r="W3670" s="64" ph="1"/>
    </row>
    <row r="3671" spans="23:23" ht="26.4">
      <c r="W3671" s="64" ph="1"/>
    </row>
    <row r="3672" spans="23:23" ht="26.4">
      <c r="W3672" s="64" ph="1"/>
    </row>
    <row r="3673" spans="23:23" ht="26.4">
      <c r="W3673" s="64" ph="1"/>
    </row>
    <row r="3674" spans="23:23" ht="26.4">
      <c r="W3674" s="64" ph="1"/>
    </row>
    <row r="3675" spans="23:23" ht="26.4">
      <c r="W3675" s="64" ph="1"/>
    </row>
    <row r="3676" spans="23:23" ht="26.4">
      <c r="W3676" s="64" ph="1"/>
    </row>
    <row r="3677" spans="23:23" ht="26.4">
      <c r="W3677" s="64" ph="1"/>
    </row>
    <row r="3678" spans="23:23" ht="26.4">
      <c r="W3678" s="64" ph="1"/>
    </row>
    <row r="3679" spans="23:23" ht="26.4">
      <c r="W3679" s="64" ph="1"/>
    </row>
    <row r="3680" spans="23:23" ht="26.4">
      <c r="W3680" s="64" ph="1"/>
    </row>
    <row r="3681" spans="23:23" ht="26.4">
      <c r="W3681" s="64" ph="1"/>
    </row>
    <row r="3682" spans="23:23" ht="26.4">
      <c r="W3682" s="64" ph="1"/>
    </row>
    <row r="3683" spans="23:23" ht="26.4">
      <c r="W3683" s="64" ph="1"/>
    </row>
    <row r="3684" spans="23:23" ht="26.4">
      <c r="W3684" s="64" ph="1"/>
    </row>
    <row r="3685" spans="23:23" ht="26.4">
      <c r="W3685" s="64" ph="1"/>
    </row>
    <row r="3686" spans="23:23" ht="26.4">
      <c r="W3686" s="64" ph="1"/>
    </row>
    <row r="3687" spans="23:23" ht="26.4">
      <c r="W3687" s="64" ph="1"/>
    </row>
    <row r="3688" spans="23:23" ht="26.4">
      <c r="W3688" s="64" ph="1"/>
    </row>
    <row r="3689" spans="23:23" ht="26.4">
      <c r="W3689" s="64" ph="1"/>
    </row>
    <row r="3690" spans="23:23" ht="26.4">
      <c r="W3690" s="64" ph="1"/>
    </row>
    <row r="3691" spans="23:23" ht="26.4">
      <c r="W3691" s="64" ph="1"/>
    </row>
    <row r="3692" spans="23:23" ht="26.4">
      <c r="W3692" s="64" ph="1"/>
    </row>
    <row r="3693" spans="23:23" ht="26.4">
      <c r="W3693" s="64" ph="1"/>
    </row>
    <row r="3694" spans="23:23" ht="26.4">
      <c r="W3694" s="64" ph="1"/>
    </row>
    <row r="3695" spans="23:23" ht="26.4">
      <c r="W3695" s="64" ph="1"/>
    </row>
    <row r="3696" spans="23:23" ht="26.4">
      <c r="W3696" s="64" ph="1"/>
    </row>
    <row r="3697" spans="23:23" ht="26.4">
      <c r="W3697" s="64" ph="1"/>
    </row>
    <row r="3698" spans="23:23" ht="26.4">
      <c r="W3698" s="64" ph="1"/>
    </row>
    <row r="3699" spans="23:23" ht="26.4">
      <c r="W3699" s="64" ph="1"/>
    </row>
    <row r="3700" spans="23:23" ht="26.4">
      <c r="W3700" s="64" ph="1"/>
    </row>
    <row r="3701" spans="23:23" ht="26.4">
      <c r="W3701" s="64" ph="1"/>
    </row>
    <row r="3702" spans="23:23" ht="26.4">
      <c r="W3702" s="64" ph="1"/>
    </row>
    <row r="3703" spans="23:23" ht="26.4">
      <c r="W3703" s="64" ph="1"/>
    </row>
    <row r="3704" spans="23:23" ht="26.4">
      <c r="W3704" s="64" ph="1"/>
    </row>
    <row r="3705" spans="23:23" ht="26.4">
      <c r="W3705" s="64" ph="1"/>
    </row>
    <row r="3706" spans="23:23" ht="26.4">
      <c r="W3706" s="64" ph="1"/>
    </row>
    <row r="3707" spans="23:23" ht="26.4">
      <c r="W3707" s="64" ph="1"/>
    </row>
    <row r="3708" spans="23:23" ht="26.4">
      <c r="W3708" s="64" ph="1"/>
    </row>
    <row r="3709" spans="23:23" ht="26.4">
      <c r="W3709" s="64" ph="1"/>
    </row>
    <row r="3710" spans="23:23" ht="26.4">
      <c r="W3710" s="64" ph="1"/>
    </row>
    <row r="3711" spans="23:23" ht="26.4">
      <c r="W3711" s="64" ph="1"/>
    </row>
    <row r="3712" spans="23:23" ht="26.4">
      <c r="W3712" s="64" ph="1"/>
    </row>
    <row r="3713" spans="23:23" ht="26.4">
      <c r="W3713" s="64" ph="1"/>
    </row>
    <row r="3714" spans="23:23" ht="26.4">
      <c r="W3714" s="64" ph="1"/>
    </row>
    <row r="3715" spans="23:23" ht="26.4">
      <c r="W3715" s="64" ph="1"/>
    </row>
    <row r="3716" spans="23:23" ht="26.4">
      <c r="W3716" s="64" ph="1"/>
    </row>
    <row r="3717" spans="23:23" ht="26.4">
      <c r="W3717" s="64" ph="1"/>
    </row>
    <row r="3718" spans="23:23" ht="26.4">
      <c r="W3718" s="64" ph="1"/>
    </row>
    <row r="3719" spans="23:23" ht="26.4">
      <c r="W3719" s="64" ph="1"/>
    </row>
    <row r="3720" spans="23:23" ht="26.4">
      <c r="W3720" s="64" ph="1"/>
    </row>
    <row r="3721" spans="23:23" ht="26.4">
      <c r="W3721" s="64" ph="1"/>
    </row>
    <row r="3722" spans="23:23" ht="26.4">
      <c r="W3722" s="64" ph="1"/>
    </row>
    <row r="3723" spans="23:23" ht="26.4">
      <c r="W3723" s="64" ph="1"/>
    </row>
    <row r="3724" spans="23:23" ht="26.4">
      <c r="W3724" s="64" ph="1"/>
    </row>
    <row r="3725" spans="23:23" ht="26.4">
      <c r="W3725" s="64" ph="1"/>
    </row>
    <row r="3726" spans="23:23" ht="26.4">
      <c r="W3726" s="64" ph="1"/>
    </row>
    <row r="3727" spans="23:23" ht="26.4">
      <c r="W3727" s="64" ph="1"/>
    </row>
    <row r="3728" spans="23:23" ht="26.4">
      <c r="W3728" s="64" ph="1"/>
    </row>
    <row r="3729" spans="23:23" ht="26.4">
      <c r="W3729" s="64" ph="1"/>
    </row>
    <row r="3730" spans="23:23" ht="26.4">
      <c r="W3730" s="64" ph="1"/>
    </row>
    <row r="3731" spans="23:23" ht="26.4">
      <c r="W3731" s="64" ph="1"/>
    </row>
    <row r="3732" spans="23:23" ht="26.4">
      <c r="W3732" s="64" ph="1"/>
    </row>
    <row r="3733" spans="23:23" ht="26.4">
      <c r="W3733" s="64" ph="1"/>
    </row>
    <row r="3734" spans="23:23" ht="26.4">
      <c r="W3734" s="64" ph="1"/>
    </row>
    <row r="3735" spans="23:23" ht="26.4">
      <c r="W3735" s="64" ph="1"/>
    </row>
    <row r="3736" spans="23:23" ht="26.4">
      <c r="W3736" s="64" ph="1"/>
    </row>
    <row r="3737" spans="23:23" ht="26.4">
      <c r="W3737" s="64" ph="1"/>
    </row>
    <row r="3738" spans="23:23" ht="26.4">
      <c r="W3738" s="64" ph="1"/>
    </row>
    <row r="3739" spans="23:23" ht="26.4">
      <c r="W3739" s="64" ph="1"/>
    </row>
    <row r="3740" spans="23:23" ht="26.4">
      <c r="W3740" s="64" ph="1"/>
    </row>
    <row r="3741" spans="23:23" ht="26.4">
      <c r="W3741" s="64" ph="1"/>
    </row>
    <row r="3742" spans="23:23" ht="26.4">
      <c r="W3742" s="64" ph="1"/>
    </row>
    <row r="3743" spans="23:23" ht="26.4">
      <c r="W3743" s="64" ph="1"/>
    </row>
    <row r="3744" spans="23:23" ht="26.4">
      <c r="W3744" s="64" ph="1"/>
    </row>
    <row r="3745" spans="23:23" ht="26.4">
      <c r="W3745" s="64" ph="1"/>
    </row>
    <row r="3746" spans="23:23" ht="26.4">
      <c r="W3746" s="64" ph="1"/>
    </row>
    <row r="3747" spans="23:23" ht="26.4">
      <c r="W3747" s="64" ph="1"/>
    </row>
    <row r="3748" spans="23:23" ht="26.4">
      <c r="W3748" s="64" ph="1"/>
    </row>
    <row r="3749" spans="23:23" ht="26.4">
      <c r="W3749" s="64" ph="1"/>
    </row>
    <row r="3750" spans="23:23" ht="26.4">
      <c r="W3750" s="64" ph="1"/>
    </row>
    <row r="3751" spans="23:23" ht="26.4">
      <c r="W3751" s="64" ph="1"/>
    </row>
    <row r="3752" spans="23:23" ht="26.4">
      <c r="W3752" s="64" ph="1"/>
    </row>
    <row r="3753" spans="23:23" ht="26.4">
      <c r="W3753" s="64" ph="1"/>
    </row>
    <row r="3754" spans="23:23" ht="26.4">
      <c r="W3754" s="64" ph="1"/>
    </row>
    <row r="3755" spans="23:23" ht="26.4">
      <c r="W3755" s="64" ph="1"/>
    </row>
    <row r="3756" spans="23:23" ht="26.4">
      <c r="W3756" s="64" ph="1"/>
    </row>
    <row r="3757" spans="23:23" ht="26.4">
      <c r="W3757" s="64" ph="1"/>
    </row>
    <row r="3758" spans="23:23" ht="26.4">
      <c r="W3758" s="64" ph="1"/>
    </row>
    <row r="3759" spans="23:23" ht="26.4">
      <c r="W3759" s="64" ph="1"/>
    </row>
    <row r="3760" spans="23:23" ht="26.4">
      <c r="W3760" s="64" ph="1"/>
    </row>
    <row r="3761" spans="23:23" ht="26.4">
      <c r="W3761" s="64" ph="1"/>
    </row>
    <row r="3762" spans="23:23" ht="26.4">
      <c r="W3762" s="64" ph="1"/>
    </row>
    <row r="3763" spans="23:23" ht="26.4">
      <c r="W3763" s="64" ph="1"/>
    </row>
    <row r="3764" spans="23:23" ht="26.4">
      <c r="W3764" s="64" ph="1"/>
    </row>
    <row r="3765" spans="23:23" ht="26.4">
      <c r="W3765" s="64" ph="1"/>
    </row>
    <row r="3766" spans="23:23" ht="26.4">
      <c r="W3766" s="64" ph="1"/>
    </row>
    <row r="3767" spans="23:23" ht="26.4">
      <c r="W3767" s="64" ph="1"/>
    </row>
    <row r="3768" spans="23:23" ht="26.4">
      <c r="W3768" s="64" ph="1"/>
    </row>
    <row r="3769" spans="23:23" ht="26.4">
      <c r="W3769" s="64" ph="1"/>
    </row>
    <row r="3770" spans="23:23" ht="26.4">
      <c r="W3770" s="64" ph="1"/>
    </row>
    <row r="3771" spans="23:23" ht="26.4">
      <c r="W3771" s="64" ph="1"/>
    </row>
    <row r="3772" spans="23:23" ht="26.4">
      <c r="W3772" s="64" ph="1"/>
    </row>
    <row r="3773" spans="23:23" ht="26.4">
      <c r="W3773" s="64" ph="1"/>
    </row>
    <row r="3774" spans="23:23" ht="26.4">
      <c r="W3774" s="64" ph="1"/>
    </row>
    <row r="3775" spans="23:23" ht="26.4">
      <c r="W3775" s="64" ph="1"/>
    </row>
    <row r="3776" spans="23:23" ht="26.4">
      <c r="W3776" s="64" ph="1"/>
    </row>
    <row r="3777" spans="23:23" ht="26.4">
      <c r="W3777" s="64" ph="1"/>
    </row>
    <row r="3778" spans="23:23" ht="26.4">
      <c r="W3778" s="64" ph="1"/>
    </row>
    <row r="3779" spans="23:23" ht="26.4">
      <c r="W3779" s="64" ph="1"/>
    </row>
    <row r="3780" spans="23:23" ht="26.4">
      <c r="W3780" s="64" ph="1"/>
    </row>
    <row r="3781" spans="23:23" ht="26.4">
      <c r="W3781" s="64" ph="1"/>
    </row>
    <row r="3782" spans="23:23" ht="26.4">
      <c r="W3782" s="64" ph="1"/>
    </row>
    <row r="3783" spans="23:23" ht="26.4">
      <c r="W3783" s="64" ph="1"/>
    </row>
    <row r="3784" spans="23:23" ht="26.4">
      <c r="W3784" s="64" ph="1"/>
    </row>
    <row r="3785" spans="23:23" ht="26.4">
      <c r="W3785" s="64" ph="1"/>
    </row>
    <row r="3786" spans="23:23" ht="26.4">
      <c r="W3786" s="64" ph="1"/>
    </row>
    <row r="3787" spans="23:23" ht="26.4">
      <c r="W3787" s="64" ph="1"/>
    </row>
    <row r="3788" spans="23:23" ht="26.4">
      <c r="W3788" s="64" ph="1"/>
    </row>
    <row r="3789" spans="23:23" ht="26.4">
      <c r="W3789" s="64" ph="1"/>
    </row>
    <row r="3790" spans="23:23" ht="26.4">
      <c r="W3790" s="64" ph="1"/>
    </row>
    <row r="3791" spans="23:23" ht="26.4">
      <c r="W3791" s="64" ph="1"/>
    </row>
    <row r="3792" spans="23:23" ht="26.4">
      <c r="W3792" s="64" ph="1"/>
    </row>
    <row r="3793" spans="23:23" ht="26.4">
      <c r="W3793" s="64" ph="1"/>
    </row>
    <row r="3794" spans="23:23" ht="26.4">
      <c r="W3794" s="64" ph="1"/>
    </row>
    <row r="3795" spans="23:23" ht="26.4">
      <c r="W3795" s="64" ph="1"/>
    </row>
    <row r="3796" spans="23:23" ht="26.4">
      <c r="W3796" s="64" ph="1"/>
    </row>
    <row r="3797" spans="23:23" ht="26.4">
      <c r="W3797" s="64" ph="1"/>
    </row>
    <row r="3798" spans="23:23" ht="26.4">
      <c r="W3798" s="64" ph="1"/>
    </row>
    <row r="3799" spans="23:23" ht="26.4">
      <c r="W3799" s="64" ph="1"/>
    </row>
    <row r="3800" spans="23:23" ht="26.4">
      <c r="W3800" s="64" ph="1"/>
    </row>
    <row r="3801" spans="23:23" ht="26.4">
      <c r="W3801" s="64" ph="1"/>
    </row>
    <row r="3802" spans="23:23" ht="26.4">
      <c r="W3802" s="64" ph="1"/>
    </row>
    <row r="3803" spans="23:23" ht="26.4">
      <c r="W3803" s="64" ph="1"/>
    </row>
    <row r="3804" spans="23:23" ht="26.4">
      <c r="W3804" s="64" ph="1"/>
    </row>
    <row r="3805" spans="23:23" ht="26.4">
      <c r="W3805" s="64" ph="1"/>
    </row>
    <row r="3806" spans="23:23" ht="26.4">
      <c r="W3806" s="64" ph="1"/>
    </row>
    <row r="3807" spans="23:23" ht="26.4">
      <c r="W3807" s="64" ph="1"/>
    </row>
    <row r="3808" spans="23:23" ht="26.4">
      <c r="W3808" s="64" ph="1"/>
    </row>
    <row r="3809" spans="23:23" ht="26.4">
      <c r="W3809" s="64" ph="1"/>
    </row>
    <row r="3810" spans="23:23" ht="26.4">
      <c r="W3810" s="64" ph="1"/>
    </row>
    <row r="3811" spans="23:23" ht="26.4">
      <c r="W3811" s="64" ph="1"/>
    </row>
    <row r="3812" spans="23:23" ht="26.4">
      <c r="W3812" s="64" ph="1"/>
    </row>
    <row r="3813" spans="23:23" ht="26.4">
      <c r="W3813" s="64" ph="1"/>
    </row>
    <row r="3814" spans="23:23" ht="26.4">
      <c r="W3814" s="64" ph="1"/>
    </row>
    <row r="3815" spans="23:23" ht="26.4">
      <c r="W3815" s="64" ph="1"/>
    </row>
    <row r="3816" spans="23:23" ht="26.4">
      <c r="W3816" s="64" ph="1"/>
    </row>
    <row r="3817" spans="23:23" ht="26.4">
      <c r="W3817" s="64" ph="1"/>
    </row>
    <row r="3818" spans="23:23" ht="26.4">
      <c r="W3818" s="64" ph="1"/>
    </row>
    <row r="3819" spans="23:23" ht="26.4">
      <c r="W3819" s="64" ph="1"/>
    </row>
    <row r="3820" spans="23:23" ht="26.4">
      <c r="W3820" s="64" ph="1"/>
    </row>
    <row r="3821" spans="23:23" ht="26.4">
      <c r="W3821" s="64" ph="1"/>
    </row>
    <row r="3822" spans="23:23" ht="26.4">
      <c r="W3822" s="64" ph="1"/>
    </row>
    <row r="3823" spans="23:23" ht="26.4">
      <c r="W3823" s="64" ph="1"/>
    </row>
    <row r="3824" spans="23:23" ht="26.4">
      <c r="W3824" s="64" ph="1"/>
    </row>
    <row r="3825" spans="23:23" ht="26.4">
      <c r="W3825" s="64" ph="1"/>
    </row>
    <row r="3826" spans="23:23" ht="26.4">
      <c r="W3826" s="64" ph="1"/>
    </row>
    <row r="3827" spans="23:23" ht="26.4">
      <c r="W3827" s="64" ph="1"/>
    </row>
    <row r="3828" spans="23:23" ht="26.4">
      <c r="W3828" s="64" ph="1"/>
    </row>
    <row r="3829" spans="23:23" ht="26.4">
      <c r="W3829" s="64" ph="1"/>
    </row>
    <row r="3830" spans="23:23" ht="26.4">
      <c r="W3830" s="64" ph="1"/>
    </row>
    <row r="3831" spans="23:23" ht="26.4">
      <c r="W3831" s="64" ph="1"/>
    </row>
    <row r="3832" spans="23:23" ht="26.4">
      <c r="W3832" s="64" ph="1"/>
    </row>
    <row r="3833" spans="23:23" ht="26.4">
      <c r="W3833" s="64" ph="1"/>
    </row>
    <row r="3834" spans="23:23" ht="26.4">
      <c r="W3834" s="64" ph="1"/>
    </row>
    <row r="3835" spans="23:23" ht="26.4">
      <c r="W3835" s="64" ph="1"/>
    </row>
    <row r="3836" spans="23:23" ht="26.4">
      <c r="W3836" s="64" ph="1"/>
    </row>
    <row r="3837" spans="23:23" ht="26.4">
      <c r="W3837" s="64" ph="1"/>
    </row>
    <row r="3838" spans="23:23" ht="26.4">
      <c r="W3838" s="64" ph="1"/>
    </row>
    <row r="3839" spans="23:23" ht="26.4">
      <c r="W3839" s="64" ph="1"/>
    </row>
    <row r="3840" spans="23:23" ht="26.4">
      <c r="W3840" s="64" ph="1"/>
    </row>
    <row r="3841" spans="23:23" ht="26.4">
      <c r="W3841" s="64" ph="1"/>
    </row>
    <row r="3842" spans="23:23" ht="26.4">
      <c r="W3842" s="64" ph="1"/>
    </row>
    <row r="3843" spans="23:23" ht="26.4">
      <c r="W3843" s="64" ph="1"/>
    </row>
    <row r="3844" spans="23:23" ht="26.4">
      <c r="W3844" s="64" ph="1"/>
    </row>
    <row r="3845" spans="23:23" ht="26.4">
      <c r="W3845" s="64" ph="1"/>
    </row>
    <row r="3846" spans="23:23" ht="26.4">
      <c r="W3846" s="64" ph="1"/>
    </row>
    <row r="3847" spans="23:23" ht="26.4">
      <c r="W3847" s="64" ph="1"/>
    </row>
    <row r="3848" spans="23:23" ht="26.4">
      <c r="W3848" s="64" ph="1"/>
    </row>
    <row r="3849" spans="23:23" ht="26.4">
      <c r="W3849" s="64" ph="1"/>
    </row>
    <row r="3850" spans="23:23" ht="26.4">
      <c r="W3850" s="64" ph="1"/>
    </row>
    <row r="3851" spans="23:23" ht="26.4">
      <c r="W3851" s="64" ph="1"/>
    </row>
    <row r="3852" spans="23:23" ht="26.4">
      <c r="W3852" s="64" ph="1"/>
    </row>
    <row r="3853" spans="23:23" ht="26.4">
      <c r="W3853" s="64" ph="1"/>
    </row>
    <row r="3854" spans="23:23" ht="26.4">
      <c r="W3854" s="64" ph="1"/>
    </row>
    <row r="3855" spans="23:23" ht="26.4">
      <c r="W3855" s="64" ph="1"/>
    </row>
    <row r="3856" spans="23:23" ht="26.4">
      <c r="W3856" s="64" ph="1"/>
    </row>
    <row r="3857" spans="23:23" ht="26.4">
      <c r="W3857" s="64" ph="1"/>
    </row>
    <row r="3858" spans="23:23" ht="26.4">
      <c r="W3858" s="64" ph="1"/>
    </row>
    <row r="3859" spans="23:23" ht="26.4">
      <c r="W3859" s="64" ph="1"/>
    </row>
    <row r="3860" spans="23:23" ht="26.4">
      <c r="W3860" s="64" ph="1"/>
    </row>
    <row r="3861" spans="23:23" ht="26.4">
      <c r="W3861" s="64" ph="1"/>
    </row>
    <row r="3862" spans="23:23" ht="26.4">
      <c r="W3862" s="64" ph="1"/>
    </row>
    <row r="3863" spans="23:23" ht="26.4">
      <c r="W3863" s="64" ph="1"/>
    </row>
    <row r="3864" spans="23:23" ht="26.4">
      <c r="W3864" s="64" ph="1"/>
    </row>
    <row r="3865" spans="23:23" ht="26.4">
      <c r="W3865" s="64" ph="1"/>
    </row>
    <row r="3866" spans="23:23" ht="26.4">
      <c r="W3866" s="64" ph="1"/>
    </row>
    <row r="3867" spans="23:23" ht="26.4">
      <c r="W3867" s="64" ph="1"/>
    </row>
    <row r="3868" spans="23:23" ht="26.4">
      <c r="W3868" s="64" ph="1"/>
    </row>
    <row r="3869" spans="23:23" ht="26.4">
      <c r="W3869" s="64" ph="1"/>
    </row>
    <row r="3870" spans="23:23" ht="26.4">
      <c r="W3870" s="64" ph="1"/>
    </row>
    <row r="3871" spans="23:23" ht="26.4">
      <c r="W3871" s="64" ph="1"/>
    </row>
    <row r="3872" spans="23:23" ht="26.4">
      <c r="W3872" s="64" ph="1"/>
    </row>
    <row r="3873" spans="23:23" ht="26.4">
      <c r="W3873" s="64" ph="1"/>
    </row>
    <row r="3874" spans="23:23" ht="26.4">
      <c r="W3874" s="64" ph="1"/>
    </row>
    <row r="3875" spans="23:23" ht="26.4">
      <c r="W3875" s="64" ph="1"/>
    </row>
    <row r="3876" spans="23:23" ht="26.4">
      <c r="W3876" s="64" ph="1"/>
    </row>
    <row r="3877" spans="23:23" ht="26.4">
      <c r="W3877" s="64" ph="1"/>
    </row>
    <row r="3878" spans="23:23" ht="26.4">
      <c r="W3878" s="64" ph="1"/>
    </row>
    <row r="3879" spans="23:23" ht="26.4">
      <c r="W3879" s="64" ph="1"/>
    </row>
    <row r="3880" spans="23:23" ht="26.4">
      <c r="W3880" s="64" ph="1"/>
    </row>
    <row r="3881" spans="23:23" ht="26.4">
      <c r="W3881" s="64" ph="1"/>
    </row>
    <row r="3882" spans="23:23" ht="26.4">
      <c r="W3882" s="64" ph="1"/>
    </row>
    <row r="3883" spans="23:23" ht="26.4">
      <c r="W3883" s="64" ph="1"/>
    </row>
    <row r="3884" spans="23:23" ht="26.4">
      <c r="W3884" s="64" ph="1"/>
    </row>
    <row r="3885" spans="23:23" ht="26.4">
      <c r="W3885" s="64" ph="1"/>
    </row>
    <row r="3886" spans="23:23" ht="26.4">
      <c r="W3886" s="64" ph="1"/>
    </row>
    <row r="3887" spans="23:23" ht="26.4">
      <c r="W3887" s="64" ph="1"/>
    </row>
    <row r="3888" spans="23:23" ht="26.4">
      <c r="W3888" s="64" ph="1"/>
    </row>
    <row r="3889" spans="23:23" ht="26.4">
      <c r="W3889" s="64" ph="1"/>
    </row>
    <row r="3890" spans="23:23" ht="26.4">
      <c r="W3890" s="64" ph="1"/>
    </row>
    <row r="3891" spans="23:23" ht="26.4">
      <c r="W3891" s="64" ph="1"/>
    </row>
    <row r="3892" spans="23:23" ht="26.4">
      <c r="W3892" s="64" ph="1"/>
    </row>
    <row r="3893" spans="23:23" ht="26.4">
      <c r="W3893" s="64" ph="1"/>
    </row>
    <row r="3894" spans="23:23" ht="26.4">
      <c r="W3894" s="64" ph="1"/>
    </row>
    <row r="3895" spans="23:23" ht="26.4">
      <c r="W3895" s="64" ph="1"/>
    </row>
    <row r="3896" spans="23:23" ht="26.4">
      <c r="W3896" s="64" ph="1"/>
    </row>
    <row r="3897" spans="23:23" ht="26.4">
      <c r="W3897" s="64" ph="1"/>
    </row>
    <row r="3898" spans="23:23" ht="26.4">
      <c r="W3898" s="64" ph="1"/>
    </row>
    <row r="3899" spans="23:23" ht="26.4">
      <c r="W3899" s="64" ph="1"/>
    </row>
    <row r="3900" spans="23:23" ht="26.4">
      <c r="W3900" s="64" ph="1"/>
    </row>
    <row r="3901" spans="23:23" ht="26.4">
      <c r="W3901" s="64" ph="1"/>
    </row>
    <row r="3902" spans="23:23" ht="26.4">
      <c r="W3902" s="64" ph="1"/>
    </row>
    <row r="3903" spans="23:23" ht="26.4">
      <c r="W3903" s="64" ph="1"/>
    </row>
    <row r="3904" spans="23:23" ht="26.4">
      <c r="W3904" s="64" ph="1"/>
    </row>
    <row r="3905" spans="23:23" ht="26.4">
      <c r="W3905" s="64" ph="1"/>
    </row>
    <row r="3906" spans="23:23" ht="26.4">
      <c r="W3906" s="64" ph="1"/>
    </row>
    <row r="3907" spans="23:23" ht="26.4">
      <c r="W3907" s="64" ph="1"/>
    </row>
    <row r="3908" spans="23:23" ht="26.4">
      <c r="W3908" s="64" ph="1"/>
    </row>
    <row r="3909" spans="23:23" ht="26.4">
      <c r="W3909" s="64" ph="1"/>
    </row>
    <row r="3910" spans="23:23" ht="26.4">
      <c r="W3910" s="64" ph="1"/>
    </row>
    <row r="3911" spans="23:23" ht="26.4">
      <c r="W3911" s="64" ph="1"/>
    </row>
    <row r="3912" spans="23:23" ht="26.4">
      <c r="W3912" s="64" ph="1"/>
    </row>
    <row r="3913" spans="23:23" ht="26.4">
      <c r="W3913" s="64" ph="1"/>
    </row>
    <row r="3914" spans="23:23" ht="26.4">
      <c r="W3914" s="64" ph="1"/>
    </row>
    <row r="3915" spans="23:23" ht="26.4">
      <c r="W3915" s="64" ph="1"/>
    </row>
    <row r="3916" spans="23:23" ht="26.4">
      <c r="W3916" s="64" ph="1"/>
    </row>
    <row r="3917" spans="23:23" ht="26.4">
      <c r="W3917" s="64" ph="1"/>
    </row>
    <row r="3918" spans="23:23" ht="26.4">
      <c r="W3918" s="64" ph="1"/>
    </row>
    <row r="3919" spans="23:23" ht="26.4">
      <c r="W3919" s="64" ph="1"/>
    </row>
    <row r="3920" spans="23:23" ht="26.4">
      <c r="W3920" s="64" ph="1"/>
    </row>
    <row r="3921" spans="23:23" ht="26.4">
      <c r="W3921" s="64" ph="1"/>
    </row>
    <row r="3922" spans="23:23" ht="26.4">
      <c r="W3922" s="64" ph="1"/>
    </row>
    <row r="3923" spans="23:23" ht="26.4">
      <c r="W3923" s="64" ph="1"/>
    </row>
    <row r="3924" spans="23:23" ht="26.4">
      <c r="W3924" s="64" ph="1"/>
    </row>
    <row r="3925" spans="23:23" ht="26.4">
      <c r="W3925" s="64" ph="1"/>
    </row>
    <row r="3926" spans="23:23" ht="26.4">
      <c r="W3926" s="64" ph="1"/>
    </row>
    <row r="3927" spans="23:23" ht="26.4">
      <c r="W3927" s="64" ph="1"/>
    </row>
    <row r="3928" spans="23:23" ht="26.4">
      <c r="W3928" s="64" ph="1"/>
    </row>
    <row r="3929" spans="23:23" ht="26.4">
      <c r="W3929" s="64" ph="1"/>
    </row>
    <row r="3930" spans="23:23" ht="26.4">
      <c r="W3930" s="64" ph="1"/>
    </row>
    <row r="3931" spans="23:23" ht="26.4">
      <c r="W3931" s="64" ph="1"/>
    </row>
    <row r="3932" spans="23:23" ht="26.4">
      <c r="W3932" s="64" ph="1"/>
    </row>
    <row r="3933" spans="23:23" ht="26.4">
      <c r="W3933" s="64" ph="1"/>
    </row>
    <row r="3934" spans="23:23" ht="26.4">
      <c r="W3934" s="64" ph="1"/>
    </row>
    <row r="3935" spans="23:23" ht="26.4">
      <c r="W3935" s="64" ph="1"/>
    </row>
    <row r="3936" spans="23:23" ht="26.4">
      <c r="W3936" s="64" ph="1"/>
    </row>
    <row r="3937" spans="23:23" ht="26.4">
      <c r="W3937" s="64" ph="1"/>
    </row>
    <row r="3938" spans="23:23" ht="26.4">
      <c r="W3938" s="64" ph="1"/>
    </row>
    <row r="3939" spans="23:23" ht="26.4">
      <c r="W3939" s="64" ph="1"/>
    </row>
    <row r="3940" spans="23:23" ht="26.4">
      <c r="W3940" s="64" ph="1"/>
    </row>
    <row r="3941" spans="23:23" ht="26.4">
      <c r="W3941" s="64" ph="1"/>
    </row>
    <row r="3942" spans="23:23" ht="26.4">
      <c r="W3942" s="64" ph="1"/>
    </row>
    <row r="3943" spans="23:23" ht="26.4">
      <c r="W3943" s="64" ph="1"/>
    </row>
    <row r="3944" spans="23:23" ht="26.4">
      <c r="W3944" s="64" ph="1"/>
    </row>
    <row r="3945" spans="23:23" ht="26.4">
      <c r="W3945" s="64" ph="1"/>
    </row>
    <row r="3946" spans="23:23" ht="26.4">
      <c r="W3946" s="64" ph="1"/>
    </row>
    <row r="3947" spans="23:23" ht="26.4">
      <c r="W3947" s="64" ph="1"/>
    </row>
    <row r="3948" spans="23:23" ht="26.4">
      <c r="W3948" s="64" ph="1"/>
    </row>
    <row r="3949" spans="23:23" ht="26.4">
      <c r="W3949" s="64" ph="1"/>
    </row>
    <row r="3950" spans="23:23" ht="26.4">
      <c r="W3950" s="64" ph="1"/>
    </row>
    <row r="3951" spans="23:23" ht="26.4">
      <c r="W3951" s="64" ph="1"/>
    </row>
    <row r="3952" spans="23:23" ht="26.4">
      <c r="W3952" s="64" ph="1"/>
    </row>
    <row r="3953" spans="23:23" ht="26.4">
      <c r="W3953" s="64" ph="1"/>
    </row>
    <row r="3954" spans="23:23" ht="26.4">
      <c r="W3954" s="64" ph="1"/>
    </row>
    <row r="3955" spans="23:23" ht="26.4">
      <c r="W3955" s="64" ph="1"/>
    </row>
    <row r="3956" spans="23:23" ht="26.4">
      <c r="W3956" s="64" ph="1"/>
    </row>
    <row r="3957" spans="23:23" ht="26.4">
      <c r="W3957" s="64" ph="1"/>
    </row>
    <row r="3958" spans="23:23" ht="26.4">
      <c r="W3958" s="64" ph="1"/>
    </row>
    <row r="3959" spans="23:23" ht="26.4">
      <c r="W3959" s="64" ph="1"/>
    </row>
    <row r="3960" spans="23:23" ht="26.4">
      <c r="W3960" s="64" ph="1"/>
    </row>
    <row r="3961" spans="23:23" ht="26.4">
      <c r="W3961" s="64" ph="1"/>
    </row>
    <row r="3962" spans="23:23" ht="26.4">
      <c r="W3962" s="64" ph="1"/>
    </row>
    <row r="3963" spans="23:23" ht="26.4">
      <c r="W3963" s="64" ph="1"/>
    </row>
    <row r="3964" spans="23:23" ht="26.4">
      <c r="W3964" s="64" ph="1"/>
    </row>
    <row r="3965" spans="23:23" ht="26.4">
      <c r="W3965" s="64" ph="1"/>
    </row>
    <row r="3966" spans="23:23" ht="26.4">
      <c r="W3966" s="64" ph="1"/>
    </row>
    <row r="3967" spans="23:23" ht="26.4">
      <c r="W3967" s="64" ph="1"/>
    </row>
    <row r="3968" spans="23:23" ht="26.4">
      <c r="W3968" s="64" ph="1"/>
    </row>
    <row r="3969" spans="23:23" ht="26.4">
      <c r="W3969" s="64" ph="1"/>
    </row>
    <row r="3970" spans="23:23" ht="26.4">
      <c r="W3970" s="64" ph="1"/>
    </row>
    <row r="3971" spans="23:23" ht="26.4">
      <c r="W3971" s="64" ph="1"/>
    </row>
    <row r="3972" spans="23:23" ht="26.4">
      <c r="W3972" s="64" ph="1"/>
    </row>
    <row r="3973" spans="23:23" ht="26.4">
      <c r="W3973" s="64" ph="1"/>
    </row>
    <row r="3974" spans="23:23" ht="26.4">
      <c r="W3974" s="64" ph="1"/>
    </row>
    <row r="3975" spans="23:23" ht="26.4">
      <c r="W3975" s="64" ph="1"/>
    </row>
    <row r="3976" spans="23:23" ht="26.4">
      <c r="W3976" s="64" ph="1"/>
    </row>
    <row r="3977" spans="23:23" ht="26.4">
      <c r="W3977" s="64" ph="1"/>
    </row>
    <row r="3978" spans="23:23" ht="26.4">
      <c r="W3978" s="64" ph="1"/>
    </row>
    <row r="3979" spans="23:23" ht="26.4">
      <c r="W3979" s="64" ph="1"/>
    </row>
    <row r="3980" spans="23:23" ht="26.4">
      <c r="W3980" s="64" ph="1"/>
    </row>
    <row r="3981" spans="23:23" ht="26.4">
      <c r="W3981" s="64" ph="1"/>
    </row>
    <row r="3982" spans="23:23" ht="26.4">
      <c r="W3982" s="64" ph="1"/>
    </row>
    <row r="3983" spans="23:23" ht="26.4">
      <c r="W3983" s="64" ph="1"/>
    </row>
    <row r="3984" spans="23:23" ht="26.4">
      <c r="W3984" s="64" ph="1"/>
    </row>
    <row r="3985" spans="23:23" ht="26.4">
      <c r="W3985" s="64" ph="1"/>
    </row>
    <row r="3986" spans="23:23" ht="26.4">
      <c r="W3986" s="64" ph="1"/>
    </row>
    <row r="3987" spans="23:23" ht="26.4">
      <c r="W3987" s="64" ph="1"/>
    </row>
    <row r="3988" spans="23:23" ht="26.4">
      <c r="W3988" s="64" ph="1"/>
    </row>
    <row r="3989" spans="23:23" ht="26.4">
      <c r="W3989" s="64" ph="1"/>
    </row>
    <row r="3990" spans="23:23" ht="26.4">
      <c r="W3990" s="64" ph="1"/>
    </row>
    <row r="3991" spans="23:23" ht="26.4">
      <c r="W3991" s="64" ph="1"/>
    </row>
    <row r="3992" spans="23:23" ht="26.4">
      <c r="W3992" s="64" ph="1"/>
    </row>
    <row r="3993" spans="23:23" ht="26.4">
      <c r="W3993" s="64" ph="1"/>
    </row>
    <row r="3994" spans="23:23" ht="26.4">
      <c r="W3994" s="64" ph="1"/>
    </row>
    <row r="3995" spans="23:23" ht="26.4">
      <c r="W3995" s="64" ph="1"/>
    </row>
    <row r="3996" spans="23:23" ht="26.4">
      <c r="W3996" s="64" ph="1"/>
    </row>
    <row r="3997" spans="23:23" ht="26.4">
      <c r="W3997" s="64" ph="1"/>
    </row>
    <row r="3998" spans="23:23" ht="26.4">
      <c r="W3998" s="64" ph="1"/>
    </row>
    <row r="3999" spans="23:23" ht="26.4">
      <c r="W3999" s="64" ph="1"/>
    </row>
    <row r="4000" spans="23:23" ht="26.4">
      <c r="W4000" s="64" ph="1"/>
    </row>
    <row r="4001" spans="23:23" ht="26.4">
      <c r="W4001" s="64" ph="1"/>
    </row>
    <row r="4002" spans="23:23" ht="26.4">
      <c r="W4002" s="64" ph="1"/>
    </row>
    <row r="4003" spans="23:23" ht="26.4">
      <c r="W4003" s="64" ph="1"/>
    </row>
    <row r="4004" spans="23:23" ht="26.4">
      <c r="W4004" s="64" ph="1"/>
    </row>
    <row r="4005" spans="23:23" ht="26.4">
      <c r="W4005" s="64" ph="1"/>
    </row>
    <row r="4006" spans="23:23" ht="26.4">
      <c r="W4006" s="64" ph="1"/>
    </row>
    <row r="4007" spans="23:23" ht="26.4">
      <c r="W4007" s="64" ph="1"/>
    </row>
    <row r="4008" spans="23:23" ht="26.4">
      <c r="W4008" s="64" ph="1"/>
    </row>
    <row r="4009" spans="23:23" ht="26.4">
      <c r="W4009" s="64" ph="1"/>
    </row>
    <row r="4010" spans="23:23" ht="26.4">
      <c r="W4010" s="64" ph="1"/>
    </row>
    <row r="4011" spans="23:23" ht="26.4">
      <c r="W4011" s="64" ph="1"/>
    </row>
    <row r="4012" spans="23:23" ht="26.4">
      <c r="W4012" s="64" ph="1"/>
    </row>
    <row r="4013" spans="23:23" ht="26.4">
      <c r="W4013" s="64" ph="1"/>
    </row>
    <row r="4014" spans="23:23" ht="26.4">
      <c r="W4014" s="64" ph="1"/>
    </row>
    <row r="4015" spans="23:23" ht="26.4">
      <c r="W4015" s="64" ph="1"/>
    </row>
    <row r="4016" spans="23:23" ht="26.4">
      <c r="W4016" s="64" ph="1"/>
    </row>
    <row r="4017" spans="23:23" ht="26.4">
      <c r="W4017" s="64" ph="1"/>
    </row>
    <row r="4018" spans="23:23" ht="26.4">
      <c r="W4018" s="64" ph="1"/>
    </row>
    <row r="4019" spans="23:23" ht="26.4">
      <c r="W4019" s="64" ph="1"/>
    </row>
    <row r="4020" spans="23:23" ht="26.4">
      <c r="W4020" s="64" ph="1"/>
    </row>
    <row r="4021" spans="23:23" ht="26.4">
      <c r="W4021" s="64" ph="1"/>
    </row>
    <row r="4022" spans="23:23" ht="26.4">
      <c r="W4022" s="64" ph="1"/>
    </row>
    <row r="4023" spans="23:23" ht="26.4">
      <c r="W4023" s="64" ph="1"/>
    </row>
    <row r="4024" spans="23:23" ht="26.4">
      <c r="W4024" s="64" ph="1"/>
    </row>
    <row r="4025" spans="23:23" ht="26.4">
      <c r="W4025" s="64" ph="1"/>
    </row>
    <row r="4026" spans="23:23" ht="26.4">
      <c r="W4026" s="64" ph="1"/>
    </row>
    <row r="4027" spans="23:23" ht="26.4">
      <c r="W4027" s="64" ph="1"/>
    </row>
    <row r="4028" spans="23:23" ht="26.4">
      <c r="W4028" s="64" ph="1"/>
    </row>
    <row r="4029" spans="23:23" ht="26.4">
      <c r="W4029" s="64" ph="1"/>
    </row>
    <row r="4030" spans="23:23" ht="26.4">
      <c r="W4030" s="64" ph="1"/>
    </row>
    <row r="4031" spans="23:23" ht="26.4">
      <c r="W4031" s="64" ph="1"/>
    </row>
    <row r="4032" spans="23:23" ht="26.4">
      <c r="W4032" s="64" ph="1"/>
    </row>
    <row r="4033" spans="23:23" ht="26.4">
      <c r="W4033" s="64" ph="1"/>
    </row>
    <row r="4034" spans="23:23" ht="26.4">
      <c r="W4034" s="64" ph="1"/>
    </row>
    <row r="4035" spans="23:23" ht="26.4">
      <c r="W4035" s="64" ph="1"/>
    </row>
    <row r="4036" spans="23:23" ht="26.4">
      <c r="W4036" s="64" ph="1"/>
    </row>
    <row r="4037" spans="23:23" ht="26.4">
      <c r="W4037" s="64" ph="1"/>
    </row>
    <row r="4038" spans="23:23" ht="26.4">
      <c r="W4038" s="64" ph="1"/>
    </row>
    <row r="4039" spans="23:23" ht="26.4">
      <c r="W4039" s="64" ph="1"/>
    </row>
    <row r="4040" spans="23:23" ht="26.4">
      <c r="W4040" s="64" ph="1"/>
    </row>
    <row r="4041" spans="23:23" ht="26.4">
      <c r="W4041" s="64" ph="1"/>
    </row>
    <row r="4042" spans="23:23" ht="26.4">
      <c r="W4042" s="64" ph="1"/>
    </row>
    <row r="4043" spans="23:23" ht="26.4">
      <c r="W4043" s="64" ph="1"/>
    </row>
    <row r="4044" spans="23:23" ht="26.4">
      <c r="W4044" s="64" ph="1"/>
    </row>
    <row r="4045" spans="23:23" ht="26.4">
      <c r="W4045" s="64" ph="1"/>
    </row>
    <row r="4046" spans="23:23" ht="26.4">
      <c r="W4046" s="64" ph="1"/>
    </row>
    <row r="4047" spans="23:23" ht="26.4">
      <c r="W4047" s="64" ph="1"/>
    </row>
    <row r="4048" spans="23:23" ht="26.4">
      <c r="W4048" s="64" ph="1"/>
    </row>
    <row r="4049" spans="23:23" ht="26.4">
      <c r="W4049" s="64" ph="1"/>
    </row>
    <row r="4050" spans="23:23" ht="26.4">
      <c r="W4050" s="64" ph="1"/>
    </row>
    <row r="4051" spans="23:23" ht="26.4">
      <c r="W4051" s="64" ph="1"/>
    </row>
    <row r="4052" spans="23:23" ht="26.4">
      <c r="W4052" s="64" ph="1"/>
    </row>
    <row r="4053" spans="23:23" ht="26.4">
      <c r="W4053" s="64" ph="1"/>
    </row>
    <row r="4054" spans="23:23" ht="26.4">
      <c r="W4054" s="64" ph="1"/>
    </row>
    <row r="4055" spans="23:23" ht="26.4">
      <c r="W4055" s="64" ph="1"/>
    </row>
    <row r="4056" spans="23:23" ht="26.4">
      <c r="W4056" s="64" ph="1"/>
    </row>
    <row r="4057" spans="23:23" ht="26.4">
      <c r="W4057" s="64" ph="1"/>
    </row>
    <row r="4058" spans="23:23" ht="26.4">
      <c r="W4058" s="64" ph="1"/>
    </row>
    <row r="4059" spans="23:23" ht="26.4">
      <c r="W4059" s="64" ph="1"/>
    </row>
    <row r="4060" spans="23:23" ht="26.4">
      <c r="W4060" s="64" ph="1"/>
    </row>
    <row r="4061" spans="23:23" ht="26.4">
      <c r="W4061" s="64" ph="1"/>
    </row>
    <row r="4062" spans="23:23" ht="26.4">
      <c r="W4062" s="64" ph="1"/>
    </row>
    <row r="4063" spans="23:23" ht="26.4">
      <c r="W4063" s="64" ph="1"/>
    </row>
    <row r="4064" spans="23:23" ht="26.4">
      <c r="W4064" s="64" ph="1"/>
    </row>
    <row r="4065" spans="23:23" ht="26.4">
      <c r="W4065" s="64" ph="1"/>
    </row>
    <row r="4066" spans="23:23" ht="26.4">
      <c r="W4066" s="64" ph="1"/>
    </row>
    <row r="4067" spans="23:23" ht="26.4">
      <c r="W4067" s="64" ph="1"/>
    </row>
    <row r="4068" spans="23:23" ht="26.4">
      <c r="W4068" s="64" ph="1"/>
    </row>
    <row r="4069" spans="23:23" ht="26.4">
      <c r="W4069" s="64" ph="1"/>
    </row>
    <row r="4070" spans="23:23" ht="26.4">
      <c r="W4070" s="64" ph="1"/>
    </row>
    <row r="4071" spans="23:23" ht="26.4">
      <c r="W4071" s="64" ph="1"/>
    </row>
    <row r="4072" spans="23:23" ht="26.4">
      <c r="W4072" s="64" ph="1"/>
    </row>
    <row r="4073" spans="23:23" ht="26.4">
      <c r="W4073" s="64" ph="1"/>
    </row>
    <row r="4074" spans="23:23" ht="26.4">
      <c r="W4074" s="64" ph="1"/>
    </row>
    <row r="4075" spans="23:23" ht="26.4">
      <c r="W4075" s="64" ph="1"/>
    </row>
    <row r="4076" spans="23:23" ht="26.4">
      <c r="W4076" s="64" ph="1"/>
    </row>
    <row r="4077" spans="23:23" ht="26.4">
      <c r="W4077" s="64" ph="1"/>
    </row>
    <row r="4078" spans="23:23" ht="26.4">
      <c r="W4078" s="64" ph="1"/>
    </row>
    <row r="4079" spans="23:23" ht="26.4">
      <c r="W4079" s="64" ph="1"/>
    </row>
    <row r="4080" spans="23:23" ht="26.4">
      <c r="W4080" s="64" ph="1"/>
    </row>
    <row r="4081" spans="23:23" ht="26.4">
      <c r="W4081" s="64" ph="1"/>
    </row>
    <row r="4082" spans="23:23" ht="26.4">
      <c r="W4082" s="64" ph="1"/>
    </row>
    <row r="4083" spans="23:23" ht="26.4">
      <c r="W4083" s="64" ph="1"/>
    </row>
    <row r="4084" spans="23:23" ht="26.4">
      <c r="W4084" s="64" ph="1"/>
    </row>
    <row r="4085" spans="23:23" ht="26.4">
      <c r="W4085" s="64" ph="1"/>
    </row>
    <row r="4086" spans="23:23" ht="26.4">
      <c r="W4086" s="64" ph="1"/>
    </row>
    <row r="4087" spans="23:23" ht="26.4">
      <c r="W4087" s="64" ph="1"/>
    </row>
    <row r="4088" spans="23:23" ht="26.4">
      <c r="W4088" s="64" ph="1"/>
    </row>
    <row r="4089" spans="23:23" ht="26.4">
      <c r="W4089" s="64" ph="1"/>
    </row>
    <row r="4090" spans="23:23" ht="26.4">
      <c r="W4090" s="64" ph="1"/>
    </row>
    <row r="4091" spans="23:23" ht="26.4">
      <c r="W4091" s="64" ph="1"/>
    </row>
    <row r="4092" spans="23:23" ht="26.4">
      <c r="W4092" s="64" ph="1"/>
    </row>
    <row r="4093" spans="23:23" ht="26.4">
      <c r="W4093" s="64" ph="1"/>
    </row>
    <row r="4094" spans="23:23" ht="26.4">
      <c r="W4094" s="64" ph="1"/>
    </row>
    <row r="4095" spans="23:23" ht="26.4">
      <c r="W4095" s="64" ph="1"/>
    </row>
    <row r="4096" spans="23:23" ht="26.4">
      <c r="W4096" s="64" ph="1"/>
    </row>
    <row r="4097" spans="23:23" ht="26.4">
      <c r="W4097" s="64" ph="1"/>
    </row>
    <row r="4098" spans="23:23" ht="26.4">
      <c r="W4098" s="64" ph="1"/>
    </row>
    <row r="4099" spans="23:23" ht="26.4">
      <c r="W4099" s="64" ph="1"/>
    </row>
    <row r="4100" spans="23:23" ht="26.4">
      <c r="W4100" s="64" ph="1"/>
    </row>
    <row r="4101" spans="23:23" ht="26.4">
      <c r="W4101" s="64" ph="1"/>
    </row>
    <row r="4102" spans="23:23" ht="26.4">
      <c r="W4102" s="64" ph="1"/>
    </row>
    <row r="4103" spans="23:23" ht="26.4">
      <c r="W4103" s="64" ph="1"/>
    </row>
    <row r="4104" spans="23:23" ht="26.4">
      <c r="W4104" s="64" ph="1"/>
    </row>
    <row r="4105" spans="23:23" ht="26.4">
      <c r="W4105" s="64" ph="1"/>
    </row>
    <row r="4106" spans="23:23" ht="26.4">
      <c r="W4106" s="64" ph="1"/>
    </row>
    <row r="4107" spans="23:23" ht="26.4">
      <c r="W4107" s="64" ph="1"/>
    </row>
    <row r="4108" spans="23:23" ht="26.4">
      <c r="W4108" s="64" ph="1"/>
    </row>
    <row r="4109" spans="23:23" ht="26.4">
      <c r="W4109" s="64" ph="1"/>
    </row>
    <row r="4110" spans="23:23" ht="26.4">
      <c r="W4110" s="64" ph="1"/>
    </row>
    <row r="4111" spans="23:23" ht="26.4">
      <c r="W4111" s="64" ph="1"/>
    </row>
    <row r="4112" spans="23:23" ht="26.4">
      <c r="W4112" s="64" ph="1"/>
    </row>
    <row r="4113" spans="23:23" ht="26.4">
      <c r="W4113" s="64" ph="1"/>
    </row>
    <row r="4114" spans="23:23" ht="26.4">
      <c r="W4114" s="64" ph="1"/>
    </row>
    <row r="4115" spans="23:23" ht="26.4">
      <c r="W4115" s="64" ph="1"/>
    </row>
    <row r="4116" spans="23:23" ht="26.4">
      <c r="W4116" s="64" ph="1"/>
    </row>
    <row r="4117" spans="23:23" ht="26.4">
      <c r="W4117" s="64" ph="1"/>
    </row>
    <row r="4118" spans="23:23" ht="26.4">
      <c r="W4118" s="64" ph="1"/>
    </row>
    <row r="4119" spans="23:23" ht="26.4">
      <c r="W4119" s="64" ph="1"/>
    </row>
    <row r="4120" spans="23:23" ht="26.4">
      <c r="W4120" s="64" ph="1"/>
    </row>
    <row r="4121" spans="23:23" ht="26.4">
      <c r="W4121" s="64" ph="1"/>
    </row>
    <row r="4122" spans="23:23" ht="26.4">
      <c r="W4122" s="64" ph="1"/>
    </row>
    <row r="4123" spans="23:23" ht="26.4">
      <c r="W4123" s="64" ph="1"/>
    </row>
    <row r="4124" spans="23:23" ht="26.4">
      <c r="W4124" s="64" ph="1"/>
    </row>
    <row r="4125" spans="23:23" ht="26.4">
      <c r="W4125" s="64" ph="1"/>
    </row>
    <row r="4126" spans="23:23" ht="26.4">
      <c r="W4126" s="64" ph="1"/>
    </row>
    <row r="4127" spans="23:23" ht="26.4">
      <c r="W4127" s="64" ph="1"/>
    </row>
    <row r="4128" spans="23:23" ht="26.4">
      <c r="W4128" s="64" ph="1"/>
    </row>
    <row r="4129" spans="23:23" ht="26.4">
      <c r="W4129" s="64" ph="1"/>
    </row>
    <row r="4130" spans="23:23" ht="26.4">
      <c r="W4130" s="64" ph="1"/>
    </row>
    <row r="4131" spans="23:23" ht="26.4">
      <c r="W4131" s="64" ph="1"/>
    </row>
    <row r="4132" spans="23:23" ht="26.4">
      <c r="W4132" s="64" ph="1"/>
    </row>
    <row r="4133" spans="23:23" ht="26.4">
      <c r="W4133" s="64" ph="1"/>
    </row>
    <row r="4134" spans="23:23" ht="26.4">
      <c r="W4134" s="64" ph="1"/>
    </row>
    <row r="4135" spans="23:23" ht="26.4">
      <c r="W4135" s="64" ph="1"/>
    </row>
    <row r="4136" spans="23:23" ht="26.4">
      <c r="W4136" s="64" ph="1"/>
    </row>
    <row r="4137" spans="23:23" ht="26.4">
      <c r="W4137" s="64" ph="1"/>
    </row>
    <row r="4138" spans="23:23" ht="26.4">
      <c r="W4138" s="64" ph="1"/>
    </row>
    <row r="4139" spans="23:23" ht="26.4">
      <c r="W4139" s="64" ph="1"/>
    </row>
    <row r="4140" spans="23:23" ht="26.4">
      <c r="W4140" s="64" ph="1"/>
    </row>
    <row r="4141" spans="23:23" ht="26.4">
      <c r="W4141" s="64" ph="1"/>
    </row>
    <row r="4142" spans="23:23" ht="26.4">
      <c r="W4142" s="64" ph="1"/>
    </row>
    <row r="4143" spans="23:23" ht="26.4">
      <c r="W4143" s="64" ph="1"/>
    </row>
    <row r="4144" spans="23:23" ht="26.4">
      <c r="W4144" s="64" ph="1"/>
    </row>
    <row r="4145" spans="23:23" ht="26.4">
      <c r="W4145" s="64" ph="1"/>
    </row>
    <row r="4146" spans="23:23" ht="26.4">
      <c r="W4146" s="64" ph="1"/>
    </row>
    <row r="4147" spans="23:23" ht="26.4">
      <c r="W4147" s="64" ph="1"/>
    </row>
    <row r="4148" spans="23:23" ht="26.4">
      <c r="W4148" s="64" ph="1"/>
    </row>
    <row r="4149" spans="23:23" ht="26.4">
      <c r="W4149" s="64" ph="1"/>
    </row>
    <row r="4150" spans="23:23" ht="26.4">
      <c r="W4150" s="64" ph="1"/>
    </row>
    <row r="4151" spans="23:23" ht="26.4">
      <c r="W4151" s="64" ph="1"/>
    </row>
    <row r="4152" spans="23:23" ht="26.4">
      <c r="W4152" s="64" ph="1"/>
    </row>
    <row r="4153" spans="23:23" ht="26.4">
      <c r="W4153" s="64" ph="1"/>
    </row>
    <row r="4154" spans="23:23" ht="26.4">
      <c r="W4154" s="64" ph="1"/>
    </row>
    <row r="4155" spans="23:23" ht="26.4">
      <c r="W4155" s="64" ph="1"/>
    </row>
    <row r="4156" spans="23:23" ht="26.4">
      <c r="W4156" s="64" ph="1"/>
    </row>
    <row r="4157" spans="23:23" ht="26.4">
      <c r="W4157" s="64" ph="1"/>
    </row>
    <row r="4158" spans="23:23" ht="26.4">
      <c r="W4158" s="64" ph="1"/>
    </row>
    <row r="4159" spans="23:23" ht="26.4">
      <c r="W4159" s="64" ph="1"/>
    </row>
    <row r="4160" spans="23:23" ht="26.4">
      <c r="W4160" s="64" ph="1"/>
    </row>
    <row r="4161" spans="23:23" ht="26.4">
      <c r="W4161" s="64" ph="1"/>
    </row>
    <row r="4162" spans="23:23" ht="26.4">
      <c r="W4162" s="64" ph="1"/>
    </row>
    <row r="4163" spans="23:23" ht="26.4">
      <c r="W4163" s="64" ph="1"/>
    </row>
    <row r="4164" spans="23:23" ht="26.4">
      <c r="W4164" s="64" ph="1"/>
    </row>
    <row r="4165" spans="23:23" ht="26.4">
      <c r="W4165" s="64" ph="1"/>
    </row>
    <row r="4166" spans="23:23" ht="26.4">
      <c r="W4166" s="64" ph="1"/>
    </row>
    <row r="4167" spans="23:23" ht="26.4">
      <c r="W4167" s="64" ph="1"/>
    </row>
    <row r="4168" spans="23:23" ht="26.4">
      <c r="W4168" s="64" ph="1"/>
    </row>
    <row r="4169" spans="23:23" ht="26.4">
      <c r="W4169" s="64" ph="1"/>
    </row>
    <row r="4170" spans="23:23" ht="26.4">
      <c r="W4170" s="64" ph="1"/>
    </row>
    <row r="4171" spans="23:23" ht="26.4">
      <c r="W4171" s="64" ph="1"/>
    </row>
    <row r="4172" spans="23:23" ht="26.4">
      <c r="W4172" s="64" ph="1"/>
    </row>
    <row r="4173" spans="23:23" ht="26.4">
      <c r="W4173" s="64" ph="1"/>
    </row>
    <row r="4174" spans="23:23" ht="26.4">
      <c r="W4174" s="64" ph="1"/>
    </row>
    <row r="4175" spans="23:23" ht="26.4">
      <c r="W4175" s="64" ph="1"/>
    </row>
    <row r="4176" spans="23:23" ht="26.4">
      <c r="W4176" s="64" ph="1"/>
    </row>
    <row r="4177" spans="23:23" ht="26.4">
      <c r="W4177" s="64" ph="1"/>
    </row>
    <row r="4178" spans="23:23" ht="26.4">
      <c r="W4178" s="64" ph="1"/>
    </row>
    <row r="4179" spans="23:23" ht="26.4">
      <c r="W4179" s="64" ph="1"/>
    </row>
    <row r="4180" spans="23:23" ht="26.4">
      <c r="W4180" s="64" ph="1"/>
    </row>
    <row r="4181" spans="23:23" ht="26.4">
      <c r="W4181" s="64" ph="1"/>
    </row>
    <row r="4182" spans="23:23" ht="26.4">
      <c r="W4182" s="64" ph="1"/>
    </row>
    <row r="4183" spans="23:23" ht="26.4">
      <c r="W4183" s="64" ph="1"/>
    </row>
    <row r="4184" spans="23:23" ht="26.4">
      <c r="W4184" s="64" ph="1"/>
    </row>
    <row r="4185" spans="23:23" ht="26.4">
      <c r="W4185" s="64" ph="1"/>
    </row>
    <row r="4186" spans="23:23" ht="26.4">
      <c r="W4186" s="64" ph="1"/>
    </row>
    <row r="4187" spans="23:23" ht="26.4">
      <c r="W4187" s="64" ph="1"/>
    </row>
    <row r="4188" spans="23:23" ht="26.4">
      <c r="W4188" s="64" ph="1"/>
    </row>
    <row r="4189" spans="23:23" ht="26.4">
      <c r="W4189" s="64" ph="1"/>
    </row>
    <row r="4190" spans="23:23" ht="26.4">
      <c r="W4190" s="64" ph="1"/>
    </row>
    <row r="4191" spans="23:23" ht="26.4">
      <c r="W4191" s="64" ph="1"/>
    </row>
    <row r="4192" spans="23:23" ht="26.4">
      <c r="W4192" s="64" ph="1"/>
    </row>
    <row r="4193" spans="23:23" ht="26.4">
      <c r="W4193" s="64" ph="1"/>
    </row>
    <row r="4194" spans="23:23" ht="26.4">
      <c r="W4194" s="64" ph="1"/>
    </row>
    <row r="4195" spans="23:23" ht="26.4">
      <c r="W4195" s="64" ph="1"/>
    </row>
    <row r="4196" spans="23:23" ht="26.4">
      <c r="W4196" s="64" ph="1"/>
    </row>
    <row r="4197" spans="23:23" ht="26.4">
      <c r="W4197" s="64" ph="1"/>
    </row>
    <row r="4198" spans="23:23" ht="26.4">
      <c r="W4198" s="64" ph="1"/>
    </row>
    <row r="4199" spans="23:23" ht="26.4">
      <c r="W4199" s="64" ph="1"/>
    </row>
    <row r="4200" spans="23:23" ht="26.4">
      <c r="W4200" s="64" ph="1"/>
    </row>
    <row r="4201" spans="23:23" ht="26.4">
      <c r="W4201" s="64" ph="1"/>
    </row>
    <row r="4202" spans="23:23" ht="26.4">
      <c r="W4202" s="64" ph="1"/>
    </row>
    <row r="4203" spans="23:23" ht="26.4">
      <c r="W4203" s="64" ph="1"/>
    </row>
    <row r="4204" spans="23:23" ht="26.4">
      <c r="W4204" s="64" ph="1"/>
    </row>
    <row r="4205" spans="23:23" ht="26.4">
      <c r="W4205" s="64" ph="1"/>
    </row>
    <row r="4206" spans="23:23" ht="26.4">
      <c r="W4206" s="64" ph="1"/>
    </row>
    <row r="4207" spans="23:23" ht="26.4">
      <c r="W4207" s="64" ph="1"/>
    </row>
    <row r="4208" spans="23:23" ht="26.4">
      <c r="W4208" s="64" ph="1"/>
    </row>
    <row r="4209" spans="23:23" ht="26.4">
      <c r="W4209" s="64" ph="1"/>
    </row>
    <row r="4210" spans="23:23" ht="26.4">
      <c r="W4210" s="64" ph="1"/>
    </row>
    <row r="4211" spans="23:23" ht="26.4">
      <c r="W4211" s="64" ph="1"/>
    </row>
    <row r="4212" spans="23:23" ht="26.4">
      <c r="W4212" s="64" ph="1"/>
    </row>
    <row r="4213" spans="23:23" ht="26.4">
      <c r="W4213" s="64" ph="1"/>
    </row>
    <row r="4214" spans="23:23" ht="26.4">
      <c r="W4214" s="64" ph="1"/>
    </row>
    <row r="4215" spans="23:23" ht="26.4">
      <c r="W4215" s="64" ph="1"/>
    </row>
    <row r="4216" spans="23:23" ht="26.4">
      <c r="W4216" s="64" ph="1"/>
    </row>
    <row r="4217" spans="23:23" ht="26.4">
      <c r="W4217" s="64" ph="1"/>
    </row>
    <row r="4218" spans="23:23" ht="26.4">
      <c r="W4218" s="64" ph="1"/>
    </row>
    <row r="4219" spans="23:23" ht="26.4">
      <c r="W4219" s="64" ph="1"/>
    </row>
    <row r="4220" spans="23:23" ht="26.4">
      <c r="W4220" s="64" ph="1"/>
    </row>
    <row r="4221" spans="23:23" ht="26.4">
      <c r="W4221" s="64" ph="1"/>
    </row>
    <row r="4222" spans="23:23" ht="26.4">
      <c r="W4222" s="64" ph="1"/>
    </row>
    <row r="4223" spans="23:23" ht="26.4">
      <c r="W4223" s="64" ph="1"/>
    </row>
    <row r="4224" spans="23:23" ht="26.4">
      <c r="W4224" s="64" ph="1"/>
    </row>
    <row r="4225" spans="23:23" ht="26.4">
      <c r="W4225" s="64" ph="1"/>
    </row>
    <row r="4226" spans="23:23" ht="26.4">
      <c r="W4226" s="64" ph="1"/>
    </row>
    <row r="4227" spans="23:23" ht="26.4">
      <c r="W4227" s="64" ph="1"/>
    </row>
    <row r="4228" spans="23:23" ht="26.4">
      <c r="W4228" s="64" ph="1"/>
    </row>
    <row r="4229" spans="23:23" ht="26.4">
      <c r="W4229" s="64" ph="1"/>
    </row>
    <row r="4230" spans="23:23" ht="26.4">
      <c r="W4230" s="64" ph="1"/>
    </row>
    <row r="4231" spans="23:23" ht="26.4">
      <c r="W4231" s="64" ph="1"/>
    </row>
    <row r="4232" spans="23:23" ht="26.4">
      <c r="W4232" s="64" ph="1"/>
    </row>
    <row r="4233" spans="23:23" ht="26.4">
      <c r="W4233" s="64" ph="1"/>
    </row>
    <row r="4234" spans="23:23" ht="26.4">
      <c r="W4234" s="64" ph="1"/>
    </row>
    <row r="4235" spans="23:23" ht="26.4">
      <c r="W4235" s="64" ph="1"/>
    </row>
    <row r="4236" spans="23:23" ht="26.4">
      <c r="W4236" s="64" ph="1"/>
    </row>
    <row r="4237" spans="23:23" ht="26.4">
      <c r="W4237" s="64" ph="1"/>
    </row>
    <row r="4238" spans="23:23" ht="26.4">
      <c r="W4238" s="64" ph="1"/>
    </row>
    <row r="4239" spans="23:23" ht="26.4">
      <c r="W4239" s="64" ph="1"/>
    </row>
    <row r="4240" spans="23:23" ht="26.4">
      <c r="W4240" s="64" ph="1"/>
    </row>
    <row r="4241" spans="23:23" ht="26.4">
      <c r="W4241" s="64" ph="1"/>
    </row>
    <row r="4242" spans="23:23" ht="26.4">
      <c r="W4242" s="64" ph="1"/>
    </row>
    <row r="4243" spans="23:23" ht="26.4">
      <c r="W4243" s="64" ph="1"/>
    </row>
    <row r="4244" spans="23:23" ht="26.4">
      <c r="W4244" s="64" ph="1"/>
    </row>
    <row r="4245" spans="23:23" ht="26.4">
      <c r="W4245" s="64" ph="1"/>
    </row>
    <row r="4246" spans="23:23" ht="26.4">
      <c r="W4246" s="64" ph="1"/>
    </row>
    <row r="4247" spans="23:23" ht="26.4">
      <c r="W4247" s="64" ph="1"/>
    </row>
    <row r="4248" spans="23:23" ht="26.4">
      <c r="W4248" s="64" ph="1"/>
    </row>
    <row r="4249" spans="23:23" ht="26.4">
      <c r="W4249" s="64" ph="1"/>
    </row>
    <row r="4250" spans="23:23" ht="26.4">
      <c r="W4250" s="64" ph="1"/>
    </row>
    <row r="4251" spans="23:23" ht="26.4">
      <c r="W4251" s="64" ph="1"/>
    </row>
    <row r="4252" spans="23:23" ht="26.4">
      <c r="W4252" s="64" ph="1"/>
    </row>
    <row r="4253" spans="23:23" ht="26.4">
      <c r="W4253" s="64" ph="1"/>
    </row>
    <row r="4254" spans="23:23" ht="26.4">
      <c r="W4254" s="64" ph="1"/>
    </row>
    <row r="4255" spans="23:23" ht="26.4">
      <c r="W4255" s="64" ph="1"/>
    </row>
    <row r="4256" spans="23:23" ht="26.4">
      <c r="W4256" s="64" ph="1"/>
    </row>
    <row r="4257" spans="23:23" ht="26.4">
      <c r="W4257" s="64" ph="1"/>
    </row>
    <row r="4258" spans="23:23" ht="26.4">
      <c r="W4258" s="64" ph="1"/>
    </row>
    <row r="4259" spans="23:23" ht="26.4">
      <c r="W4259" s="64" ph="1"/>
    </row>
    <row r="4260" spans="23:23" ht="26.4">
      <c r="W4260" s="64" ph="1"/>
    </row>
    <row r="4261" spans="23:23" ht="26.4">
      <c r="W4261" s="64" ph="1"/>
    </row>
    <row r="4262" spans="23:23" ht="26.4">
      <c r="W4262" s="64" ph="1"/>
    </row>
    <row r="4263" spans="23:23" ht="26.4">
      <c r="W4263" s="64" ph="1"/>
    </row>
    <row r="4264" spans="23:23" ht="26.4">
      <c r="W4264" s="64" ph="1"/>
    </row>
    <row r="4265" spans="23:23" ht="26.4">
      <c r="W4265" s="64" ph="1"/>
    </row>
    <row r="4266" spans="23:23" ht="26.4">
      <c r="W4266" s="64" ph="1"/>
    </row>
    <row r="4267" spans="23:23" ht="26.4">
      <c r="W4267" s="64" ph="1"/>
    </row>
    <row r="4268" spans="23:23" ht="26.4">
      <c r="W4268" s="64" ph="1"/>
    </row>
    <row r="4269" spans="23:23" ht="26.4">
      <c r="W4269" s="64" ph="1"/>
    </row>
    <row r="4270" spans="23:23" ht="26.4">
      <c r="W4270" s="64" ph="1"/>
    </row>
    <row r="4271" spans="23:23" ht="26.4">
      <c r="W4271" s="64" ph="1"/>
    </row>
    <row r="4272" spans="23:23" ht="26.4">
      <c r="W4272" s="64" ph="1"/>
    </row>
    <row r="4273" spans="23:23" ht="26.4">
      <c r="W4273" s="64" ph="1"/>
    </row>
    <row r="4274" spans="23:23" ht="26.4">
      <c r="W4274" s="64" ph="1"/>
    </row>
    <row r="4275" spans="23:23" ht="26.4">
      <c r="W4275" s="64" ph="1"/>
    </row>
    <row r="4276" spans="23:23" ht="26.4">
      <c r="W4276" s="64" ph="1"/>
    </row>
    <row r="4277" spans="23:23" ht="26.4">
      <c r="W4277" s="64" ph="1"/>
    </row>
    <row r="4278" spans="23:23" ht="26.4">
      <c r="W4278" s="64" ph="1"/>
    </row>
    <row r="4279" spans="23:23" ht="26.4">
      <c r="W4279" s="64" ph="1"/>
    </row>
    <row r="4280" spans="23:23" ht="26.4">
      <c r="W4280" s="64" ph="1"/>
    </row>
    <row r="4281" spans="23:23" ht="26.4">
      <c r="W4281" s="64" ph="1"/>
    </row>
    <row r="4282" spans="23:23" ht="26.4">
      <c r="W4282" s="64" ph="1"/>
    </row>
    <row r="4283" spans="23:23" ht="26.4">
      <c r="W4283" s="64" ph="1"/>
    </row>
    <row r="4284" spans="23:23" ht="26.4">
      <c r="W4284" s="64" ph="1"/>
    </row>
    <row r="4285" spans="23:23" ht="26.4">
      <c r="W4285" s="64" ph="1"/>
    </row>
    <row r="4286" spans="23:23" ht="26.4">
      <c r="W4286" s="64" ph="1"/>
    </row>
    <row r="4287" spans="23:23" ht="26.4">
      <c r="W4287" s="64" ph="1"/>
    </row>
    <row r="4288" spans="23:23" ht="26.4">
      <c r="W4288" s="64" ph="1"/>
    </row>
    <row r="4289" spans="23:23" ht="26.4">
      <c r="W4289" s="64" ph="1"/>
    </row>
    <row r="4290" spans="23:23" ht="26.4">
      <c r="W4290" s="64" ph="1"/>
    </row>
    <row r="4291" spans="23:23" ht="26.4">
      <c r="W4291" s="64" ph="1"/>
    </row>
    <row r="4292" spans="23:23" ht="26.4">
      <c r="W4292" s="64" ph="1"/>
    </row>
    <row r="4293" spans="23:23" ht="26.4">
      <c r="W4293" s="64" ph="1"/>
    </row>
    <row r="4294" spans="23:23" ht="26.4">
      <c r="W4294" s="64" ph="1"/>
    </row>
    <row r="4295" spans="23:23" ht="26.4">
      <c r="W4295" s="64" ph="1"/>
    </row>
    <row r="4296" spans="23:23" ht="26.4">
      <c r="W4296" s="64" ph="1"/>
    </row>
    <row r="4297" spans="23:23" ht="26.4">
      <c r="W4297" s="64" ph="1"/>
    </row>
    <row r="4298" spans="23:23" ht="26.4">
      <c r="W4298" s="64" ph="1"/>
    </row>
    <row r="4299" spans="23:23" ht="26.4">
      <c r="W4299" s="64" ph="1"/>
    </row>
    <row r="4300" spans="23:23" ht="26.4">
      <c r="W4300" s="64" ph="1"/>
    </row>
    <row r="4301" spans="23:23" ht="26.4">
      <c r="W4301" s="64" ph="1"/>
    </row>
    <row r="4302" spans="23:23" ht="26.4">
      <c r="W4302" s="64" ph="1"/>
    </row>
    <row r="4303" spans="23:23" ht="26.4">
      <c r="W4303" s="64" ph="1"/>
    </row>
    <row r="4304" spans="23:23" ht="26.4">
      <c r="W4304" s="64" ph="1"/>
    </row>
    <row r="4305" spans="23:23" ht="26.4">
      <c r="W4305" s="64" ph="1"/>
    </row>
    <row r="4306" spans="23:23" ht="26.4">
      <c r="W4306" s="64" ph="1"/>
    </row>
    <row r="4307" spans="23:23" ht="26.4">
      <c r="W4307" s="64" ph="1"/>
    </row>
    <row r="4308" spans="23:23" ht="26.4">
      <c r="W4308" s="64" ph="1"/>
    </row>
    <row r="4309" spans="23:23" ht="26.4">
      <c r="W4309" s="64" ph="1"/>
    </row>
    <row r="4310" spans="23:23" ht="26.4">
      <c r="W4310" s="64" ph="1"/>
    </row>
    <row r="4311" spans="23:23" ht="26.4">
      <c r="W4311" s="64" ph="1"/>
    </row>
    <row r="4312" spans="23:23" ht="26.4">
      <c r="W4312" s="64" ph="1"/>
    </row>
    <row r="4313" spans="23:23" ht="26.4">
      <c r="W4313" s="64" ph="1"/>
    </row>
    <row r="4314" spans="23:23" ht="26.4">
      <c r="W4314" s="64" ph="1"/>
    </row>
    <row r="4315" spans="23:23" ht="26.4">
      <c r="W4315" s="64" ph="1"/>
    </row>
    <row r="4316" spans="23:23" ht="26.4">
      <c r="W4316" s="64" ph="1"/>
    </row>
    <row r="4317" spans="23:23" ht="26.4">
      <c r="W4317" s="64" ph="1"/>
    </row>
    <row r="4318" spans="23:23" ht="26.4">
      <c r="W4318" s="64" ph="1"/>
    </row>
    <row r="4319" spans="23:23" ht="26.4">
      <c r="W4319" s="64" ph="1"/>
    </row>
    <row r="4320" spans="23:23" ht="26.4">
      <c r="W4320" s="64" ph="1"/>
    </row>
    <row r="4321" spans="23:23" ht="26.4">
      <c r="W4321" s="64" ph="1"/>
    </row>
    <row r="4322" spans="23:23" ht="26.4">
      <c r="W4322" s="64" ph="1"/>
    </row>
    <row r="4323" spans="23:23" ht="26.4">
      <c r="W4323" s="64" ph="1"/>
    </row>
    <row r="4324" spans="23:23" ht="26.4">
      <c r="W4324" s="64" ph="1"/>
    </row>
    <row r="4325" spans="23:23" ht="26.4">
      <c r="W4325" s="64" ph="1"/>
    </row>
    <row r="4326" spans="23:23" ht="26.4">
      <c r="W4326" s="64" ph="1"/>
    </row>
    <row r="4327" spans="23:23" ht="26.4">
      <c r="W4327" s="64" ph="1"/>
    </row>
    <row r="4328" spans="23:23" ht="26.4">
      <c r="W4328" s="64" ph="1"/>
    </row>
    <row r="4329" spans="23:23" ht="26.4">
      <c r="W4329" s="64" ph="1"/>
    </row>
    <row r="4330" spans="23:23" ht="26.4">
      <c r="W4330" s="64" ph="1"/>
    </row>
    <row r="4331" spans="23:23" ht="26.4">
      <c r="W4331" s="64" ph="1"/>
    </row>
    <row r="4332" spans="23:23" ht="26.4">
      <c r="W4332" s="64" ph="1"/>
    </row>
    <row r="4333" spans="23:23" ht="26.4">
      <c r="W4333" s="64" ph="1"/>
    </row>
    <row r="4334" spans="23:23" ht="26.4">
      <c r="W4334" s="64" ph="1"/>
    </row>
    <row r="4335" spans="23:23" ht="26.4">
      <c r="W4335" s="64" ph="1"/>
    </row>
    <row r="4336" spans="23:23" ht="26.4">
      <c r="W4336" s="64" ph="1"/>
    </row>
    <row r="4337" spans="23:23" ht="26.4">
      <c r="W4337" s="64" ph="1"/>
    </row>
    <row r="4338" spans="23:23" ht="26.4">
      <c r="W4338" s="64" ph="1"/>
    </row>
    <row r="4339" spans="23:23" ht="26.4">
      <c r="W4339" s="64" ph="1"/>
    </row>
    <row r="4340" spans="23:23" ht="26.4">
      <c r="W4340" s="64" ph="1"/>
    </row>
    <row r="4341" spans="23:23" ht="26.4">
      <c r="W4341" s="64" ph="1"/>
    </row>
    <row r="4342" spans="23:23" ht="26.4">
      <c r="W4342" s="64" ph="1"/>
    </row>
    <row r="4343" spans="23:23" ht="26.4">
      <c r="W4343" s="64" ph="1"/>
    </row>
    <row r="4344" spans="23:23" ht="26.4">
      <c r="W4344" s="64" ph="1"/>
    </row>
    <row r="4345" spans="23:23" ht="26.4">
      <c r="W4345" s="64" ph="1"/>
    </row>
    <row r="4346" spans="23:23" ht="26.4">
      <c r="W4346" s="64" ph="1"/>
    </row>
    <row r="4347" spans="23:23" ht="26.4">
      <c r="W4347" s="64" ph="1"/>
    </row>
    <row r="4348" spans="23:23" ht="26.4">
      <c r="W4348" s="64" ph="1"/>
    </row>
    <row r="4349" spans="23:23" ht="26.4">
      <c r="W4349" s="64" ph="1"/>
    </row>
    <row r="4350" spans="23:23" ht="26.4">
      <c r="W4350" s="64" ph="1"/>
    </row>
    <row r="4351" spans="23:23" ht="26.4">
      <c r="W4351" s="64" ph="1"/>
    </row>
    <row r="4352" spans="23:23" ht="26.4">
      <c r="W4352" s="64" ph="1"/>
    </row>
    <row r="4353" spans="23:23" ht="26.4">
      <c r="W4353" s="64" ph="1"/>
    </row>
    <row r="4354" spans="23:23" ht="26.4">
      <c r="W4354" s="64" ph="1"/>
    </row>
    <row r="4355" spans="23:23" ht="26.4">
      <c r="W4355" s="64" ph="1"/>
    </row>
    <row r="4356" spans="23:23" ht="26.4">
      <c r="W4356" s="64" ph="1"/>
    </row>
    <row r="4357" spans="23:23" ht="26.4">
      <c r="W4357" s="64" ph="1"/>
    </row>
    <row r="4358" spans="23:23" ht="26.4">
      <c r="W4358" s="64" ph="1"/>
    </row>
    <row r="4359" spans="23:23" ht="26.4">
      <c r="W4359" s="64" ph="1"/>
    </row>
    <row r="4360" spans="23:23" ht="26.4">
      <c r="W4360" s="64" ph="1"/>
    </row>
    <row r="4361" spans="23:23" ht="26.4">
      <c r="W4361" s="64" ph="1"/>
    </row>
    <row r="4362" spans="23:23" ht="26.4">
      <c r="W4362" s="64" ph="1"/>
    </row>
    <row r="4363" spans="23:23" ht="26.4">
      <c r="W4363" s="64" ph="1"/>
    </row>
    <row r="4364" spans="23:23" ht="26.4">
      <c r="W4364" s="64" ph="1"/>
    </row>
    <row r="4365" spans="23:23" ht="26.4">
      <c r="W4365" s="64" ph="1"/>
    </row>
    <row r="4366" spans="23:23" ht="26.4">
      <c r="W4366" s="64" ph="1"/>
    </row>
    <row r="4367" spans="23:23" ht="26.4">
      <c r="W4367" s="64" ph="1"/>
    </row>
    <row r="4368" spans="23:23" ht="26.4">
      <c r="W4368" s="64" ph="1"/>
    </row>
    <row r="4369" spans="23:23" ht="26.4">
      <c r="W4369" s="64" ph="1"/>
    </row>
    <row r="4370" spans="23:23" ht="26.4">
      <c r="W4370" s="64" ph="1"/>
    </row>
    <row r="4371" spans="23:23" ht="26.4">
      <c r="W4371" s="64" ph="1"/>
    </row>
    <row r="4372" spans="23:23" ht="26.4">
      <c r="W4372" s="64" ph="1"/>
    </row>
    <row r="4373" spans="23:23" ht="26.4">
      <c r="W4373" s="64" ph="1"/>
    </row>
    <row r="4374" spans="23:23" ht="26.4">
      <c r="W4374" s="64" ph="1"/>
    </row>
    <row r="4375" spans="23:23" ht="26.4">
      <c r="W4375" s="64" ph="1"/>
    </row>
    <row r="4376" spans="23:23" ht="26.4">
      <c r="W4376" s="64" ph="1"/>
    </row>
    <row r="4377" spans="23:23" ht="26.4">
      <c r="W4377" s="64" ph="1"/>
    </row>
    <row r="4378" spans="23:23" ht="26.4">
      <c r="W4378" s="64" ph="1"/>
    </row>
    <row r="4379" spans="23:23" ht="26.4">
      <c r="W4379" s="64" ph="1"/>
    </row>
    <row r="4380" spans="23:23" ht="26.4">
      <c r="W4380" s="64" ph="1"/>
    </row>
    <row r="4381" spans="23:23" ht="26.4">
      <c r="W4381" s="64" ph="1"/>
    </row>
    <row r="4382" spans="23:23" ht="26.4">
      <c r="W4382" s="64" ph="1"/>
    </row>
    <row r="4383" spans="23:23" ht="26.4">
      <c r="W4383" s="64" ph="1"/>
    </row>
    <row r="4384" spans="23:23" ht="26.4">
      <c r="W4384" s="64" ph="1"/>
    </row>
    <row r="4385" spans="23:23" ht="26.4">
      <c r="W4385" s="64" ph="1"/>
    </row>
    <row r="4386" spans="23:23" ht="26.4">
      <c r="W4386" s="64" ph="1"/>
    </row>
    <row r="4387" spans="23:23" ht="26.4">
      <c r="W4387" s="64" ph="1"/>
    </row>
    <row r="4388" spans="23:23" ht="26.4">
      <c r="W4388" s="64" ph="1"/>
    </row>
    <row r="4389" spans="23:23" ht="26.4">
      <c r="W4389" s="64" ph="1"/>
    </row>
    <row r="4390" spans="23:23" ht="26.4">
      <c r="W4390" s="64" ph="1"/>
    </row>
    <row r="4391" spans="23:23" ht="26.4">
      <c r="W4391" s="64" ph="1"/>
    </row>
    <row r="4392" spans="23:23" ht="26.4">
      <c r="W4392" s="64" ph="1"/>
    </row>
    <row r="4393" spans="23:23" ht="26.4">
      <c r="W4393" s="64" ph="1"/>
    </row>
    <row r="4394" spans="23:23" ht="26.4">
      <c r="W4394" s="64" ph="1"/>
    </row>
    <row r="4395" spans="23:23" ht="26.4">
      <c r="W4395" s="64" ph="1"/>
    </row>
    <row r="4396" spans="23:23" ht="26.4">
      <c r="W4396" s="64" ph="1"/>
    </row>
    <row r="4397" spans="23:23" ht="26.4">
      <c r="W4397" s="64" ph="1"/>
    </row>
    <row r="4398" spans="23:23" ht="26.4">
      <c r="W4398" s="64" ph="1"/>
    </row>
    <row r="4399" spans="23:23" ht="26.4">
      <c r="W4399" s="64" ph="1"/>
    </row>
    <row r="4400" spans="23:23" ht="26.4">
      <c r="W4400" s="64" ph="1"/>
    </row>
    <row r="4401" spans="23:23" ht="26.4">
      <c r="W4401" s="64" ph="1"/>
    </row>
    <row r="4402" spans="23:23" ht="26.4">
      <c r="W4402" s="64" ph="1"/>
    </row>
    <row r="4403" spans="23:23" ht="26.4">
      <c r="W4403" s="64" ph="1"/>
    </row>
    <row r="4404" spans="23:23" ht="26.4">
      <c r="W4404" s="64" ph="1"/>
    </row>
    <row r="4405" spans="23:23" ht="26.4">
      <c r="W4405" s="64" ph="1"/>
    </row>
    <row r="4406" spans="23:23" ht="26.4">
      <c r="W4406" s="64" ph="1"/>
    </row>
    <row r="4407" spans="23:23" ht="26.4">
      <c r="W4407" s="64" ph="1"/>
    </row>
    <row r="4408" spans="23:23" ht="26.4">
      <c r="W4408" s="64" ph="1"/>
    </row>
    <row r="4409" spans="23:23" ht="26.4">
      <c r="W4409" s="64" ph="1"/>
    </row>
    <row r="4410" spans="23:23" ht="26.4">
      <c r="W4410" s="64" ph="1"/>
    </row>
    <row r="4411" spans="23:23" ht="26.4">
      <c r="W4411" s="64" ph="1"/>
    </row>
    <row r="4412" spans="23:23" ht="26.4">
      <c r="W4412" s="64" ph="1"/>
    </row>
    <row r="4413" spans="23:23" ht="26.4">
      <c r="W4413" s="64" ph="1"/>
    </row>
    <row r="4414" spans="23:23" ht="26.4">
      <c r="W4414" s="64" ph="1"/>
    </row>
    <row r="4415" spans="23:23" ht="26.4">
      <c r="W4415" s="64" ph="1"/>
    </row>
    <row r="4416" spans="23:23" ht="26.4">
      <c r="W4416" s="64" ph="1"/>
    </row>
    <row r="4417" spans="23:23" ht="26.4">
      <c r="W4417" s="64" ph="1"/>
    </row>
    <row r="4418" spans="23:23" ht="26.4">
      <c r="W4418" s="64" ph="1"/>
    </row>
    <row r="4419" spans="23:23" ht="26.4">
      <c r="W4419" s="64" ph="1"/>
    </row>
    <row r="4420" spans="23:23" ht="26.4">
      <c r="W4420" s="64" ph="1"/>
    </row>
    <row r="4421" spans="23:23" ht="26.4">
      <c r="W4421" s="64" ph="1"/>
    </row>
    <row r="4422" spans="23:23" ht="26.4">
      <c r="W4422" s="64" ph="1"/>
    </row>
    <row r="4423" spans="23:23" ht="26.4">
      <c r="W4423" s="64" ph="1"/>
    </row>
    <row r="4424" spans="23:23" ht="26.4">
      <c r="W4424" s="64" ph="1"/>
    </row>
    <row r="4425" spans="23:23" ht="26.4">
      <c r="W4425" s="64" ph="1"/>
    </row>
    <row r="4426" spans="23:23" ht="26.4">
      <c r="W4426" s="64" ph="1"/>
    </row>
    <row r="4427" spans="23:23" ht="26.4">
      <c r="W4427" s="64" ph="1"/>
    </row>
    <row r="4428" spans="23:23" ht="26.4">
      <c r="W4428" s="64" ph="1"/>
    </row>
    <row r="4429" spans="23:23" ht="26.4">
      <c r="W4429" s="64" ph="1"/>
    </row>
    <row r="4430" spans="23:23" ht="26.4">
      <c r="W4430" s="64" ph="1"/>
    </row>
    <row r="4431" spans="23:23" ht="26.4">
      <c r="W4431" s="64" ph="1"/>
    </row>
    <row r="4432" spans="23:23" ht="26.4">
      <c r="W4432" s="64" ph="1"/>
    </row>
    <row r="4433" spans="23:23" ht="26.4">
      <c r="W4433" s="64" ph="1"/>
    </row>
    <row r="4434" spans="23:23" ht="26.4">
      <c r="W4434" s="64" ph="1"/>
    </row>
    <row r="4435" spans="23:23" ht="26.4">
      <c r="W4435" s="64" ph="1"/>
    </row>
    <row r="4436" spans="23:23" ht="26.4">
      <c r="W4436" s="64" ph="1"/>
    </row>
    <row r="4437" spans="23:23" ht="26.4">
      <c r="W4437" s="64" ph="1"/>
    </row>
    <row r="4438" spans="23:23" ht="26.4">
      <c r="W4438" s="64" ph="1"/>
    </row>
    <row r="4439" spans="23:23" ht="26.4">
      <c r="W4439" s="64" ph="1"/>
    </row>
    <row r="4440" spans="23:23" ht="26.4">
      <c r="W4440" s="64" ph="1"/>
    </row>
    <row r="4441" spans="23:23" ht="26.4">
      <c r="W4441" s="64" ph="1"/>
    </row>
    <row r="4442" spans="23:23" ht="26.4">
      <c r="W4442" s="64" ph="1"/>
    </row>
    <row r="4443" spans="23:23" ht="26.4">
      <c r="W4443" s="64" ph="1"/>
    </row>
    <row r="4444" spans="23:23" ht="26.4">
      <c r="W4444" s="64" ph="1"/>
    </row>
    <row r="4445" spans="23:23" ht="26.4">
      <c r="W4445" s="64" ph="1"/>
    </row>
    <row r="4446" spans="23:23" ht="26.4">
      <c r="W4446" s="64" ph="1"/>
    </row>
    <row r="4447" spans="23:23" ht="26.4">
      <c r="W4447" s="64" ph="1"/>
    </row>
    <row r="4448" spans="23:23" ht="26.4">
      <c r="W4448" s="64" ph="1"/>
    </row>
    <row r="4449" spans="23:23" ht="26.4">
      <c r="W4449" s="64" ph="1"/>
    </row>
    <row r="4450" spans="23:23" ht="26.4">
      <c r="W4450" s="64" ph="1"/>
    </row>
    <row r="4451" spans="23:23" ht="26.4">
      <c r="W4451" s="64" ph="1"/>
    </row>
    <row r="4452" spans="23:23" ht="26.4">
      <c r="W4452" s="64" ph="1"/>
    </row>
    <row r="4453" spans="23:23" ht="26.4">
      <c r="W4453" s="64" ph="1"/>
    </row>
    <row r="4454" spans="23:23" ht="26.4">
      <c r="W4454" s="64" ph="1"/>
    </row>
    <row r="4455" spans="23:23" ht="26.4">
      <c r="W4455" s="64" ph="1"/>
    </row>
    <row r="4456" spans="23:23" ht="26.4">
      <c r="W4456" s="64" ph="1"/>
    </row>
    <row r="4457" spans="23:23" ht="26.4">
      <c r="W4457" s="64" ph="1"/>
    </row>
    <row r="4458" spans="23:23" ht="26.4">
      <c r="W4458" s="64" ph="1"/>
    </row>
    <row r="4459" spans="23:23" ht="26.4">
      <c r="W4459" s="64" ph="1"/>
    </row>
    <row r="4460" spans="23:23" ht="26.4">
      <c r="W4460" s="64" ph="1"/>
    </row>
    <row r="4461" spans="23:23" ht="26.4">
      <c r="W4461" s="64" ph="1"/>
    </row>
    <row r="4462" spans="23:23" ht="26.4">
      <c r="W4462" s="64" ph="1"/>
    </row>
    <row r="4463" spans="23:23" ht="26.4">
      <c r="W4463" s="64" ph="1"/>
    </row>
    <row r="4464" spans="23:23" ht="26.4">
      <c r="W4464" s="64" ph="1"/>
    </row>
    <row r="4465" spans="23:23" ht="26.4">
      <c r="W4465" s="64" ph="1"/>
    </row>
    <row r="4466" spans="23:23" ht="26.4">
      <c r="W4466" s="64" ph="1"/>
    </row>
    <row r="4467" spans="23:23" ht="26.4">
      <c r="W4467" s="64" ph="1"/>
    </row>
    <row r="4468" spans="23:23" ht="26.4">
      <c r="W4468" s="64" ph="1"/>
    </row>
    <row r="4469" spans="23:23" ht="26.4">
      <c r="W4469" s="64" ph="1"/>
    </row>
    <row r="4470" spans="23:23" ht="26.4">
      <c r="W4470" s="64" ph="1"/>
    </row>
    <row r="4471" spans="23:23" ht="26.4">
      <c r="W4471" s="64" ph="1"/>
    </row>
    <row r="4472" spans="23:23" ht="26.4">
      <c r="W4472" s="64" ph="1"/>
    </row>
    <row r="4473" spans="23:23" ht="26.4">
      <c r="W4473" s="64" ph="1"/>
    </row>
    <row r="4474" spans="23:23" ht="26.4">
      <c r="W4474" s="64" ph="1"/>
    </row>
    <row r="4475" spans="23:23" ht="26.4">
      <c r="W4475" s="64" ph="1"/>
    </row>
    <row r="4476" spans="23:23" ht="26.4">
      <c r="W4476" s="64" ph="1"/>
    </row>
    <row r="4477" spans="23:23" ht="26.4">
      <c r="W4477" s="64" ph="1"/>
    </row>
    <row r="4478" spans="23:23" ht="26.4">
      <c r="W4478" s="64" ph="1"/>
    </row>
    <row r="4479" spans="23:23" ht="26.4">
      <c r="W4479" s="64" ph="1"/>
    </row>
    <row r="4480" spans="23:23" ht="26.4">
      <c r="W4480" s="64" ph="1"/>
    </row>
    <row r="4481" spans="23:23" ht="26.4">
      <c r="W4481" s="64" ph="1"/>
    </row>
    <row r="4482" spans="23:23" ht="26.4">
      <c r="W4482" s="64" ph="1"/>
    </row>
    <row r="4483" spans="23:23" ht="26.4">
      <c r="W4483" s="64" ph="1"/>
    </row>
    <row r="4484" spans="23:23" ht="26.4">
      <c r="W4484" s="64" ph="1"/>
    </row>
    <row r="4485" spans="23:23" ht="26.4">
      <c r="W4485" s="64" ph="1"/>
    </row>
    <row r="4486" spans="23:23" ht="26.4">
      <c r="W4486" s="64" ph="1"/>
    </row>
    <row r="4487" spans="23:23" ht="26.4">
      <c r="W4487" s="64" ph="1"/>
    </row>
    <row r="4488" spans="23:23" ht="26.4">
      <c r="W4488" s="64" ph="1"/>
    </row>
    <row r="4489" spans="23:23" ht="26.4">
      <c r="W4489" s="64" ph="1"/>
    </row>
    <row r="4490" spans="23:23" ht="26.4">
      <c r="W4490" s="64" ph="1"/>
    </row>
    <row r="4491" spans="23:23" ht="26.4">
      <c r="W4491" s="64" ph="1"/>
    </row>
    <row r="4492" spans="23:23" ht="26.4">
      <c r="W4492" s="64" ph="1"/>
    </row>
    <row r="4493" spans="23:23" ht="26.4">
      <c r="W4493" s="64" ph="1"/>
    </row>
    <row r="4494" spans="23:23" ht="26.4">
      <c r="W4494" s="64" ph="1"/>
    </row>
    <row r="4495" spans="23:23" ht="26.4">
      <c r="W4495" s="64" ph="1"/>
    </row>
    <row r="4496" spans="23:23" ht="26.4">
      <c r="W4496" s="64" ph="1"/>
    </row>
    <row r="4497" spans="23:23" ht="26.4">
      <c r="W4497" s="64" ph="1"/>
    </row>
    <row r="4498" spans="23:23" ht="26.4">
      <c r="W4498" s="64" ph="1"/>
    </row>
    <row r="4499" spans="23:23" ht="26.4">
      <c r="W4499" s="64" ph="1"/>
    </row>
    <row r="4500" spans="23:23" ht="26.4">
      <c r="W4500" s="64" ph="1"/>
    </row>
    <row r="4501" spans="23:23" ht="26.4">
      <c r="W4501" s="64" ph="1"/>
    </row>
    <row r="4502" spans="23:23" ht="26.4">
      <c r="W4502" s="64" ph="1"/>
    </row>
    <row r="4503" spans="23:23" ht="26.4">
      <c r="W4503" s="64" ph="1"/>
    </row>
    <row r="4504" spans="23:23" ht="26.4">
      <c r="W4504" s="64" ph="1"/>
    </row>
    <row r="4505" spans="23:23" ht="26.4">
      <c r="W4505" s="64" ph="1"/>
    </row>
    <row r="4506" spans="23:23" ht="26.4">
      <c r="W4506" s="64" ph="1"/>
    </row>
    <row r="4507" spans="23:23" ht="26.4">
      <c r="W4507" s="64" ph="1"/>
    </row>
    <row r="4508" spans="23:23" ht="26.4">
      <c r="W4508" s="64" ph="1"/>
    </row>
    <row r="4509" spans="23:23" ht="26.4">
      <c r="W4509" s="64" ph="1"/>
    </row>
    <row r="4510" spans="23:23" ht="26.4">
      <c r="W4510" s="64" ph="1"/>
    </row>
    <row r="4511" spans="23:23" ht="26.4">
      <c r="W4511" s="64" ph="1"/>
    </row>
    <row r="4512" spans="23:23" ht="26.4">
      <c r="W4512" s="64" ph="1"/>
    </row>
    <row r="4513" spans="23:23" ht="26.4">
      <c r="W4513" s="64" ph="1"/>
    </row>
    <row r="4514" spans="23:23" ht="26.4">
      <c r="W4514" s="64" ph="1"/>
    </row>
    <row r="4515" spans="23:23" ht="26.4">
      <c r="W4515" s="64" ph="1"/>
    </row>
    <row r="4516" spans="23:23" ht="26.4">
      <c r="W4516" s="64" ph="1"/>
    </row>
    <row r="4517" spans="23:23" ht="26.4">
      <c r="W4517" s="64" ph="1"/>
    </row>
    <row r="4518" spans="23:23" ht="26.4">
      <c r="W4518" s="64" ph="1"/>
    </row>
    <row r="4519" spans="23:23" ht="26.4">
      <c r="W4519" s="64" ph="1"/>
    </row>
    <row r="4520" spans="23:23" ht="26.4">
      <c r="W4520" s="64" ph="1"/>
    </row>
    <row r="4521" spans="23:23" ht="26.4">
      <c r="W4521" s="64" ph="1"/>
    </row>
    <row r="4522" spans="23:23" ht="26.4">
      <c r="W4522" s="64" ph="1"/>
    </row>
    <row r="4523" spans="23:23" ht="26.4">
      <c r="W4523" s="64" ph="1"/>
    </row>
    <row r="4524" spans="23:23" ht="26.4">
      <c r="W4524" s="64" ph="1"/>
    </row>
    <row r="4525" spans="23:23" ht="26.4">
      <c r="W4525" s="64" ph="1"/>
    </row>
    <row r="4526" spans="23:23" ht="26.4">
      <c r="W4526" s="64" ph="1"/>
    </row>
    <row r="4527" spans="23:23" ht="26.4">
      <c r="W4527" s="64" ph="1"/>
    </row>
    <row r="4528" spans="23:23" ht="26.4">
      <c r="W4528" s="64" ph="1"/>
    </row>
    <row r="4529" spans="23:23" ht="26.4">
      <c r="W4529" s="64" ph="1"/>
    </row>
    <row r="4530" spans="23:23" ht="26.4">
      <c r="W4530" s="64" ph="1"/>
    </row>
    <row r="4531" spans="23:23" ht="26.4">
      <c r="W4531" s="64" ph="1"/>
    </row>
    <row r="4532" spans="23:23" ht="26.4">
      <c r="W4532" s="64" ph="1"/>
    </row>
    <row r="4533" spans="23:23" ht="26.4">
      <c r="W4533" s="64" ph="1"/>
    </row>
    <row r="4534" spans="23:23" ht="26.4">
      <c r="W4534" s="64" ph="1"/>
    </row>
    <row r="4535" spans="23:23" ht="26.4">
      <c r="W4535" s="64" ph="1"/>
    </row>
    <row r="4536" spans="23:23" ht="26.4">
      <c r="W4536" s="64" ph="1"/>
    </row>
    <row r="4537" spans="23:23" ht="26.4">
      <c r="W4537" s="64" ph="1"/>
    </row>
    <row r="4538" spans="23:23" ht="26.4">
      <c r="W4538" s="64" ph="1"/>
    </row>
    <row r="4539" spans="23:23" ht="26.4">
      <c r="W4539" s="64" ph="1"/>
    </row>
    <row r="4540" spans="23:23" ht="26.4">
      <c r="W4540" s="64" ph="1"/>
    </row>
    <row r="4541" spans="23:23" ht="26.4">
      <c r="W4541" s="64" ph="1"/>
    </row>
    <row r="4542" spans="23:23" ht="26.4">
      <c r="W4542" s="64" ph="1"/>
    </row>
    <row r="4543" spans="23:23" ht="26.4">
      <c r="W4543" s="64" ph="1"/>
    </row>
    <row r="4544" spans="23:23" ht="26.4">
      <c r="W4544" s="64" ph="1"/>
    </row>
    <row r="4545" spans="23:23" ht="26.4">
      <c r="W4545" s="64" ph="1"/>
    </row>
    <row r="4546" spans="23:23" ht="26.4">
      <c r="W4546" s="64" ph="1"/>
    </row>
    <row r="4547" spans="23:23" ht="26.4">
      <c r="W4547" s="64" ph="1"/>
    </row>
    <row r="4548" spans="23:23" ht="26.4">
      <c r="W4548" s="64" ph="1"/>
    </row>
    <row r="4549" spans="23:23" ht="26.4">
      <c r="W4549" s="64" ph="1"/>
    </row>
    <row r="4550" spans="23:23" ht="26.4">
      <c r="W4550" s="64" ph="1"/>
    </row>
    <row r="4551" spans="23:23" ht="26.4">
      <c r="W4551" s="64" ph="1"/>
    </row>
    <row r="4552" spans="23:23" ht="26.4">
      <c r="W4552" s="64" ph="1"/>
    </row>
    <row r="4553" spans="23:23" ht="26.4">
      <c r="W4553" s="64" ph="1"/>
    </row>
    <row r="4554" spans="23:23" ht="26.4">
      <c r="W4554" s="64" ph="1"/>
    </row>
    <row r="4555" spans="23:23" ht="26.4">
      <c r="W4555" s="64" ph="1"/>
    </row>
    <row r="4556" spans="23:23" ht="26.4">
      <c r="W4556" s="64" ph="1"/>
    </row>
    <row r="4557" spans="23:23" ht="26.4">
      <c r="W4557" s="64" ph="1"/>
    </row>
    <row r="4558" spans="23:23" ht="26.4">
      <c r="W4558" s="64" ph="1"/>
    </row>
    <row r="4559" spans="23:23" ht="26.4">
      <c r="W4559" s="64" ph="1"/>
    </row>
    <row r="4560" spans="23:23" ht="26.4">
      <c r="W4560" s="64" ph="1"/>
    </row>
    <row r="4561" spans="23:23" ht="26.4">
      <c r="W4561" s="64" ph="1"/>
    </row>
    <row r="4562" spans="23:23" ht="26.4">
      <c r="W4562" s="64" ph="1"/>
    </row>
    <row r="4563" spans="23:23" ht="26.4">
      <c r="W4563" s="64" ph="1"/>
    </row>
    <row r="4564" spans="23:23" ht="26.4">
      <c r="W4564" s="64" ph="1"/>
    </row>
    <row r="4565" spans="23:23" ht="26.4">
      <c r="W4565" s="64" ph="1"/>
    </row>
    <row r="4566" spans="23:23" ht="26.4">
      <c r="W4566" s="64" ph="1"/>
    </row>
    <row r="4567" spans="23:23" ht="26.4">
      <c r="W4567" s="64" ph="1"/>
    </row>
    <row r="4568" spans="23:23" ht="26.4">
      <c r="W4568" s="64" ph="1"/>
    </row>
    <row r="4569" spans="23:23" ht="26.4">
      <c r="W4569" s="64" ph="1"/>
    </row>
    <row r="4570" spans="23:23" ht="26.4">
      <c r="W4570" s="64" ph="1"/>
    </row>
    <row r="4571" spans="23:23" ht="26.4">
      <c r="W4571" s="64" ph="1"/>
    </row>
    <row r="4572" spans="23:23" ht="26.4">
      <c r="W4572" s="64" ph="1"/>
    </row>
    <row r="4573" spans="23:23" ht="26.4">
      <c r="W4573" s="64" ph="1"/>
    </row>
    <row r="4574" spans="23:23" ht="26.4">
      <c r="W4574" s="64" ph="1"/>
    </row>
    <row r="4575" spans="23:23" ht="26.4">
      <c r="W4575" s="64" ph="1"/>
    </row>
    <row r="4576" spans="23:23" ht="26.4">
      <c r="W4576" s="64" ph="1"/>
    </row>
    <row r="4577" spans="23:23" ht="26.4">
      <c r="W4577" s="64" ph="1"/>
    </row>
    <row r="4578" spans="23:23" ht="26.4">
      <c r="W4578" s="64" ph="1"/>
    </row>
    <row r="4579" spans="23:23" ht="26.4">
      <c r="W4579" s="64" ph="1"/>
    </row>
    <row r="4580" spans="23:23" ht="26.4">
      <c r="W4580" s="64" ph="1"/>
    </row>
    <row r="4581" spans="23:23" ht="26.4">
      <c r="W4581" s="64" ph="1"/>
    </row>
    <row r="4582" spans="23:23" ht="26.4">
      <c r="W4582" s="64" ph="1"/>
    </row>
    <row r="4583" spans="23:23" ht="26.4">
      <c r="W4583" s="64" ph="1"/>
    </row>
    <row r="4584" spans="23:23" ht="26.4">
      <c r="W4584" s="64" ph="1"/>
    </row>
    <row r="4585" spans="23:23" ht="26.4">
      <c r="W4585" s="64" ph="1"/>
    </row>
    <row r="4586" spans="23:23" ht="26.4">
      <c r="W4586" s="64" ph="1"/>
    </row>
    <row r="4587" spans="23:23" ht="26.4">
      <c r="W4587" s="64" ph="1"/>
    </row>
    <row r="4588" spans="23:23" ht="26.4">
      <c r="W4588" s="64" ph="1"/>
    </row>
    <row r="4589" spans="23:23" ht="26.4">
      <c r="W4589" s="64" ph="1"/>
    </row>
    <row r="4590" spans="23:23" ht="26.4">
      <c r="W4590" s="64" ph="1"/>
    </row>
    <row r="4591" spans="23:23" ht="26.4">
      <c r="W4591" s="64" ph="1"/>
    </row>
    <row r="4592" spans="23:23" ht="26.4">
      <c r="W4592" s="64" ph="1"/>
    </row>
    <row r="4593" spans="23:23" ht="26.4">
      <c r="W4593" s="64" ph="1"/>
    </row>
    <row r="4594" spans="23:23" ht="26.4">
      <c r="W4594" s="64" ph="1"/>
    </row>
    <row r="4595" spans="23:23" ht="26.4">
      <c r="W4595" s="64" ph="1"/>
    </row>
    <row r="4596" spans="23:23" ht="26.4">
      <c r="W4596" s="64" ph="1"/>
    </row>
    <row r="4597" spans="23:23" ht="26.4">
      <c r="W4597" s="64" ph="1"/>
    </row>
    <row r="4598" spans="23:23" ht="26.4">
      <c r="W4598" s="64" ph="1"/>
    </row>
    <row r="4599" spans="23:23" ht="26.4">
      <c r="W4599" s="64" ph="1"/>
    </row>
    <row r="4600" spans="23:23" ht="26.4">
      <c r="W4600" s="64" ph="1"/>
    </row>
    <row r="4601" spans="23:23" ht="26.4">
      <c r="W4601" s="64" ph="1"/>
    </row>
    <row r="4602" spans="23:23" ht="26.4">
      <c r="W4602" s="64" ph="1"/>
    </row>
    <row r="4603" spans="23:23" ht="26.4">
      <c r="W4603" s="64" ph="1"/>
    </row>
    <row r="4604" spans="23:23" ht="26.4">
      <c r="W4604" s="64" ph="1"/>
    </row>
    <row r="4605" spans="23:23" ht="26.4">
      <c r="W4605" s="64" ph="1"/>
    </row>
    <row r="4606" spans="23:23" ht="26.4">
      <c r="W4606" s="64" ph="1"/>
    </row>
    <row r="4607" spans="23:23" ht="26.4">
      <c r="W4607" s="64" ph="1"/>
    </row>
    <row r="4608" spans="23:23" ht="26.4">
      <c r="W4608" s="64" ph="1"/>
    </row>
    <row r="4609" spans="23:23" ht="26.4">
      <c r="W4609" s="64" ph="1"/>
    </row>
    <row r="4610" spans="23:23" ht="26.4">
      <c r="W4610" s="64" ph="1"/>
    </row>
    <row r="4611" spans="23:23" ht="26.4">
      <c r="W4611" s="64" ph="1"/>
    </row>
    <row r="4612" spans="23:23" ht="26.4">
      <c r="W4612" s="64" ph="1"/>
    </row>
    <row r="4613" spans="23:23" ht="26.4">
      <c r="W4613" s="64" ph="1"/>
    </row>
    <row r="4614" spans="23:23" ht="26.4">
      <c r="W4614" s="64" ph="1"/>
    </row>
    <row r="4615" spans="23:23" ht="26.4">
      <c r="W4615" s="64" ph="1"/>
    </row>
    <row r="4616" spans="23:23" ht="26.4">
      <c r="W4616" s="64" ph="1"/>
    </row>
    <row r="4617" spans="23:23" ht="26.4">
      <c r="W4617" s="64" ph="1"/>
    </row>
    <row r="4618" spans="23:23" ht="26.4">
      <c r="W4618" s="64" ph="1"/>
    </row>
    <row r="4619" spans="23:23" ht="26.4">
      <c r="W4619" s="64" ph="1"/>
    </row>
    <row r="4620" spans="23:23" ht="26.4">
      <c r="W4620" s="64" ph="1"/>
    </row>
    <row r="4621" spans="23:23" ht="26.4">
      <c r="W4621" s="64" ph="1"/>
    </row>
    <row r="4622" spans="23:23" ht="26.4">
      <c r="W4622" s="64" ph="1"/>
    </row>
    <row r="4623" spans="23:23" ht="26.4">
      <c r="W4623" s="64" ph="1"/>
    </row>
    <row r="4624" spans="23:23" ht="26.4">
      <c r="W4624" s="64" ph="1"/>
    </row>
    <row r="4625" spans="23:23" ht="26.4">
      <c r="W4625" s="64" ph="1"/>
    </row>
    <row r="4626" spans="23:23" ht="26.4">
      <c r="W4626" s="64" ph="1"/>
    </row>
    <row r="4627" spans="23:23" ht="26.4">
      <c r="W4627" s="64" ph="1"/>
    </row>
    <row r="4628" spans="23:23" ht="26.4">
      <c r="W4628" s="64" ph="1"/>
    </row>
    <row r="4629" spans="23:23" ht="26.4">
      <c r="W4629" s="64" ph="1"/>
    </row>
    <row r="4630" spans="23:23" ht="26.4">
      <c r="W4630" s="64" ph="1"/>
    </row>
    <row r="4631" spans="23:23" ht="26.4">
      <c r="W4631" s="64" ph="1"/>
    </row>
    <row r="4632" spans="23:23" ht="26.4">
      <c r="W4632" s="64" ph="1"/>
    </row>
    <row r="4633" spans="23:23" ht="26.4">
      <c r="W4633" s="64" ph="1"/>
    </row>
    <row r="4634" spans="23:23" ht="26.4">
      <c r="W4634" s="64" ph="1"/>
    </row>
    <row r="4635" spans="23:23" ht="26.4">
      <c r="W4635" s="64" ph="1"/>
    </row>
    <row r="4636" spans="23:23" ht="26.4">
      <c r="W4636" s="64" ph="1"/>
    </row>
    <row r="4637" spans="23:23" ht="26.4">
      <c r="W4637" s="64" ph="1"/>
    </row>
    <row r="4638" spans="23:23" ht="26.4">
      <c r="W4638" s="64" ph="1"/>
    </row>
    <row r="4639" spans="23:23" ht="26.4">
      <c r="W4639" s="64" ph="1"/>
    </row>
    <row r="4640" spans="23:23" ht="26.4">
      <c r="W4640" s="64" ph="1"/>
    </row>
    <row r="4641" spans="23:23" ht="26.4">
      <c r="W4641" s="64" ph="1"/>
    </row>
    <row r="4642" spans="23:23" ht="26.4">
      <c r="W4642" s="64" ph="1"/>
    </row>
    <row r="4643" spans="23:23" ht="26.4">
      <c r="W4643" s="64" ph="1"/>
    </row>
    <row r="4644" spans="23:23" ht="26.4">
      <c r="W4644" s="64" ph="1"/>
    </row>
    <row r="4645" spans="23:23" ht="26.4">
      <c r="W4645" s="64" ph="1"/>
    </row>
    <row r="4646" spans="23:23" ht="26.4">
      <c r="W4646" s="64" ph="1"/>
    </row>
    <row r="4647" spans="23:23" ht="26.4">
      <c r="W4647" s="64" ph="1"/>
    </row>
    <row r="4648" spans="23:23" ht="26.4">
      <c r="W4648" s="64" ph="1"/>
    </row>
    <row r="4649" spans="23:23" ht="26.4">
      <c r="W4649" s="64" ph="1"/>
    </row>
    <row r="4650" spans="23:23" ht="26.4">
      <c r="W4650" s="64" ph="1"/>
    </row>
    <row r="4651" spans="23:23" ht="26.4">
      <c r="W4651" s="64" ph="1"/>
    </row>
    <row r="4652" spans="23:23" ht="26.4">
      <c r="W4652" s="64" ph="1"/>
    </row>
    <row r="4653" spans="23:23" ht="26.4">
      <c r="W4653" s="64" ph="1"/>
    </row>
    <row r="4654" spans="23:23" ht="26.4">
      <c r="W4654" s="64" ph="1"/>
    </row>
    <row r="4655" spans="23:23" ht="26.4">
      <c r="W4655" s="64" ph="1"/>
    </row>
    <row r="4656" spans="23:23" ht="26.4">
      <c r="W4656" s="64" ph="1"/>
    </row>
    <row r="4657" spans="23:23" ht="26.4">
      <c r="W4657" s="64" ph="1"/>
    </row>
    <row r="4658" spans="23:23" ht="26.4">
      <c r="W4658" s="64" ph="1"/>
    </row>
    <row r="4659" spans="23:23" ht="26.4">
      <c r="W4659" s="64" ph="1"/>
    </row>
    <row r="4660" spans="23:23" ht="26.4">
      <c r="W4660" s="64" ph="1"/>
    </row>
    <row r="4661" spans="23:23" ht="26.4">
      <c r="W4661" s="64" ph="1"/>
    </row>
    <row r="4662" spans="23:23" ht="26.4">
      <c r="W4662" s="64" ph="1"/>
    </row>
    <row r="4663" spans="23:23" ht="26.4">
      <c r="W4663" s="64" ph="1"/>
    </row>
    <row r="4664" spans="23:23" ht="26.4">
      <c r="W4664" s="64" ph="1"/>
    </row>
    <row r="4665" spans="23:23" ht="26.4">
      <c r="W4665" s="64" ph="1"/>
    </row>
    <row r="4666" spans="23:23" ht="26.4">
      <c r="W4666" s="64" ph="1"/>
    </row>
    <row r="4667" spans="23:23" ht="26.4">
      <c r="W4667" s="64" ph="1"/>
    </row>
    <row r="4668" spans="23:23" ht="26.4">
      <c r="W4668" s="64" ph="1"/>
    </row>
    <row r="4669" spans="23:23" ht="26.4">
      <c r="W4669" s="64" ph="1"/>
    </row>
    <row r="4670" spans="23:23" ht="26.4">
      <c r="W4670" s="64" ph="1"/>
    </row>
    <row r="4671" spans="23:23" ht="26.4">
      <c r="W4671" s="64" ph="1"/>
    </row>
    <row r="4672" spans="23:23" ht="26.4">
      <c r="W4672" s="64" ph="1"/>
    </row>
    <row r="4673" spans="23:23" ht="26.4">
      <c r="W4673" s="64" ph="1"/>
    </row>
    <row r="4674" spans="23:23" ht="26.4">
      <c r="W4674" s="64" ph="1"/>
    </row>
    <row r="4675" spans="23:23" ht="26.4">
      <c r="W4675" s="64" ph="1"/>
    </row>
    <row r="4676" spans="23:23" ht="26.4">
      <c r="W4676" s="64" ph="1"/>
    </row>
    <row r="4677" spans="23:23" ht="26.4">
      <c r="W4677" s="64" ph="1"/>
    </row>
    <row r="4678" spans="23:23" ht="26.4">
      <c r="W4678" s="64" ph="1"/>
    </row>
    <row r="4679" spans="23:23" ht="26.4">
      <c r="W4679" s="64" ph="1"/>
    </row>
    <row r="4680" spans="23:23" ht="26.4">
      <c r="W4680" s="64" ph="1"/>
    </row>
    <row r="4681" spans="23:23" ht="26.4">
      <c r="W4681" s="64" ph="1"/>
    </row>
    <row r="4682" spans="23:23" ht="26.4">
      <c r="W4682" s="64" ph="1"/>
    </row>
    <row r="4683" spans="23:23" ht="26.4">
      <c r="W4683" s="64" ph="1"/>
    </row>
    <row r="4684" spans="23:23" ht="26.4">
      <c r="W4684" s="64" ph="1"/>
    </row>
    <row r="4685" spans="23:23" ht="26.4">
      <c r="W4685" s="64" ph="1"/>
    </row>
    <row r="4686" spans="23:23" ht="26.4">
      <c r="W4686" s="64" ph="1"/>
    </row>
    <row r="4687" spans="23:23" ht="26.4">
      <c r="W4687" s="64" ph="1"/>
    </row>
    <row r="4688" spans="23:23" ht="26.4">
      <c r="W4688" s="64" ph="1"/>
    </row>
    <row r="4689" spans="23:23" ht="26.4">
      <c r="W4689" s="64" ph="1"/>
    </row>
    <row r="4690" spans="23:23" ht="26.4">
      <c r="W4690" s="64" ph="1"/>
    </row>
    <row r="4691" spans="23:23" ht="26.4">
      <c r="W4691" s="64" ph="1"/>
    </row>
    <row r="4692" spans="23:23" ht="26.4">
      <c r="W4692" s="64" ph="1"/>
    </row>
    <row r="4693" spans="23:23" ht="26.4">
      <c r="W4693" s="64" ph="1"/>
    </row>
    <row r="4694" spans="23:23" ht="26.4">
      <c r="W4694" s="64" ph="1"/>
    </row>
    <row r="4695" spans="23:23" ht="26.4">
      <c r="W4695" s="64" ph="1"/>
    </row>
    <row r="4696" spans="23:23" ht="26.4">
      <c r="W4696" s="64" ph="1"/>
    </row>
    <row r="4697" spans="23:23" ht="26.4">
      <c r="W4697" s="64" ph="1"/>
    </row>
    <row r="4698" spans="23:23" ht="26.4">
      <c r="W4698" s="64" ph="1"/>
    </row>
    <row r="4699" spans="23:23" ht="26.4">
      <c r="W4699" s="64" ph="1"/>
    </row>
    <row r="4700" spans="23:23" ht="26.4">
      <c r="W4700" s="64" ph="1"/>
    </row>
    <row r="4701" spans="23:23" ht="26.4">
      <c r="W4701" s="64" ph="1"/>
    </row>
    <row r="4702" spans="23:23" ht="26.4">
      <c r="W4702" s="64" ph="1"/>
    </row>
    <row r="4703" spans="23:23" ht="26.4">
      <c r="W4703" s="64" ph="1"/>
    </row>
    <row r="4704" spans="23:23" ht="26.4">
      <c r="W4704" s="64" ph="1"/>
    </row>
    <row r="4705" spans="23:23" ht="26.4">
      <c r="W4705" s="64" ph="1"/>
    </row>
    <row r="4706" spans="23:23" ht="26.4">
      <c r="W4706" s="64" ph="1"/>
    </row>
    <row r="4707" spans="23:23" ht="26.4">
      <c r="W4707" s="64" ph="1"/>
    </row>
    <row r="4708" spans="23:23" ht="26.4">
      <c r="W4708" s="64" ph="1"/>
    </row>
    <row r="4709" spans="23:23" ht="26.4">
      <c r="W4709" s="64" ph="1"/>
    </row>
    <row r="4710" spans="23:23" ht="26.4">
      <c r="W4710" s="64" ph="1"/>
    </row>
    <row r="4711" spans="23:23" ht="26.4">
      <c r="W4711" s="64" ph="1"/>
    </row>
    <row r="4712" spans="23:23" ht="26.4">
      <c r="W4712" s="64" ph="1"/>
    </row>
    <row r="4713" spans="23:23" ht="26.4">
      <c r="W4713" s="64" ph="1"/>
    </row>
    <row r="4714" spans="23:23" ht="26.4">
      <c r="W4714" s="64" ph="1"/>
    </row>
    <row r="4715" spans="23:23" ht="26.4">
      <c r="W4715" s="64" ph="1"/>
    </row>
    <row r="4716" spans="23:23" ht="26.4">
      <c r="W4716" s="64" ph="1"/>
    </row>
    <row r="4717" spans="23:23" ht="26.4">
      <c r="W4717" s="64" ph="1"/>
    </row>
    <row r="4718" spans="23:23" ht="26.4">
      <c r="W4718" s="64" ph="1"/>
    </row>
    <row r="4719" spans="23:23" ht="26.4">
      <c r="W4719" s="64" ph="1"/>
    </row>
    <row r="4720" spans="23:23" ht="26.4">
      <c r="W4720" s="64" ph="1"/>
    </row>
    <row r="4721" spans="23:23" ht="26.4">
      <c r="W4721" s="64" ph="1"/>
    </row>
    <row r="4722" spans="23:23" ht="26.4">
      <c r="W4722" s="64" ph="1"/>
    </row>
    <row r="4723" spans="23:23" ht="26.4">
      <c r="W4723" s="64" ph="1"/>
    </row>
    <row r="4724" spans="23:23" ht="26.4">
      <c r="W4724" s="64" ph="1"/>
    </row>
    <row r="4725" spans="23:23" ht="26.4">
      <c r="W4725" s="64" ph="1"/>
    </row>
    <row r="4726" spans="23:23" ht="26.4">
      <c r="W4726" s="64" ph="1"/>
    </row>
    <row r="4727" spans="23:23" ht="26.4">
      <c r="W4727" s="64" ph="1"/>
    </row>
    <row r="4728" spans="23:23" ht="26.4">
      <c r="W4728" s="64" ph="1"/>
    </row>
    <row r="4729" spans="23:23" ht="26.4">
      <c r="W4729" s="64" ph="1"/>
    </row>
    <row r="4730" spans="23:23" ht="26.4">
      <c r="W4730" s="64" ph="1"/>
    </row>
    <row r="4731" spans="23:23" ht="26.4">
      <c r="W4731" s="64" ph="1"/>
    </row>
    <row r="4732" spans="23:23" ht="26.4">
      <c r="W4732" s="64" ph="1"/>
    </row>
    <row r="4733" spans="23:23" ht="26.4">
      <c r="W4733" s="64" ph="1"/>
    </row>
    <row r="4734" spans="23:23" ht="26.4">
      <c r="W4734" s="64" ph="1"/>
    </row>
    <row r="4735" spans="23:23" ht="26.4">
      <c r="W4735" s="64" ph="1"/>
    </row>
    <row r="4736" spans="23:23" ht="26.4">
      <c r="W4736" s="64" ph="1"/>
    </row>
    <row r="4737" spans="23:23" ht="26.4">
      <c r="W4737" s="64" ph="1"/>
    </row>
    <row r="4738" spans="23:23" ht="26.4">
      <c r="W4738" s="64" ph="1"/>
    </row>
    <row r="4739" spans="23:23" ht="26.4">
      <c r="W4739" s="64" ph="1"/>
    </row>
    <row r="4740" spans="23:23" ht="26.4">
      <c r="W4740" s="64" ph="1"/>
    </row>
    <row r="4741" spans="23:23" ht="26.4">
      <c r="W4741" s="64" ph="1"/>
    </row>
    <row r="4742" spans="23:23" ht="26.4">
      <c r="W4742" s="64" ph="1"/>
    </row>
    <row r="4743" spans="23:23" ht="26.4">
      <c r="W4743" s="64" ph="1"/>
    </row>
    <row r="4744" spans="23:23" ht="26.4">
      <c r="W4744" s="64" ph="1"/>
    </row>
    <row r="4745" spans="23:23" ht="26.4">
      <c r="W4745" s="64" ph="1"/>
    </row>
    <row r="4746" spans="23:23" ht="26.4">
      <c r="W4746" s="64" ph="1"/>
    </row>
    <row r="4747" spans="23:23" ht="26.4">
      <c r="W4747" s="64" ph="1"/>
    </row>
    <row r="4748" spans="23:23" ht="26.4">
      <c r="W4748" s="64" ph="1"/>
    </row>
    <row r="4749" spans="23:23" ht="26.4">
      <c r="W4749" s="64" ph="1"/>
    </row>
    <row r="4750" spans="23:23" ht="26.4">
      <c r="W4750" s="64" ph="1"/>
    </row>
    <row r="4751" spans="23:23" ht="26.4">
      <c r="W4751" s="64" ph="1"/>
    </row>
    <row r="4752" spans="23:23" ht="26.4">
      <c r="W4752" s="64" ph="1"/>
    </row>
    <row r="4753" spans="23:23" ht="26.4">
      <c r="W4753" s="64" ph="1"/>
    </row>
    <row r="4754" spans="23:23" ht="26.4">
      <c r="W4754" s="64" ph="1"/>
    </row>
    <row r="4755" spans="23:23" ht="26.4">
      <c r="W4755" s="64" ph="1"/>
    </row>
    <row r="4756" spans="23:23" ht="26.4">
      <c r="W4756" s="64" ph="1"/>
    </row>
    <row r="4757" spans="23:23" ht="26.4">
      <c r="W4757" s="64" ph="1"/>
    </row>
    <row r="4758" spans="23:23" ht="26.4">
      <c r="W4758" s="64" ph="1"/>
    </row>
    <row r="4759" spans="23:23" ht="26.4">
      <c r="W4759" s="64" ph="1"/>
    </row>
    <row r="4760" spans="23:23" ht="26.4">
      <c r="W4760" s="64" ph="1"/>
    </row>
    <row r="4761" spans="23:23" ht="26.4">
      <c r="W4761" s="64" ph="1"/>
    </row>
    <row r="4762" spans="23:23" ht="26.4">
      <c r="W4762" s="64" ph="1"/>
    </row>
    <row r="4763" spans="23:23" ht="26.4">
      <c r="W4763" s="64" ph="1"/>
    </row>
    <row r="4764" spans="23:23" ht="26.4">
      <c r="W4764" s="64" ph="1"/>
    </row>
    <row r="4765" spans="23:23" ht="26.4">
      <c r="W4765" s="64" ph="1"/>
    </row>
    <row r="4766" spans="23:23" ht="26.4">
      <c r="W4766" s="64" ph="1"/>
    </row>
    <row r="4767" spans="23:23" ht="26.4">
      <c r="W4767" s="64" ph="1"/>
    </row>
    <row r="4768" spans="23:23" ht="26.4">
      <c r="W4768" s="64" ph="1"/>
    </row>
    <row r="4769" spans="23:23" ht="26.4">
      <c r="W4769" s="64" ph="1"/>
    </row>
    <row r="4770" spans="23:23" ht="26.4">
      <c r="W4770" s="64" ph="1"/>
    </row>
    <row r="4771" spans="23:23" ht="26.4">
      <c r="W4771" s="64" ph="1"/>
    </row>
    <row r="4772" spans="23:23" ht="26.4">
      <c r="W4772" s="64" ph="1"/>
    </row>
    <row r="4773" spans="23:23" ht="26.4">
      <c r="W4773" s="64" ph="1"/>
    </row>
    <row r="4774" spans="23:23" ht="26.4">
      <c r="W4774" s="64" ph="1"/>
    </row>
    <row r="4775" spans="23:23" ht="26.4">
      <c r="W4775" s="64" ph="1"/>
    </row>
    <row r="4776" spans="23:23" ht="26.4">
      <c r="W4776" s="64" ph="1"/>
    </row>
    <row r="4777" spans="23:23" ht="26.4">
      <c r="W4777" s="64" ph="1"/>
    </row>
    <row r="4778" spans="23:23" ht="26.4">
      <c r="W4778" s="64" ph="1"/>
    </row>
    <row r="4779" spans="23:23" ht="26.4">
      <c r="W4779" s="64" ph="1"/>
    </row>
    <row r="4780" spans="23:23" ht="26.4">
      <c r="W4780" s="64" ph="1"/>
    </row>
    <row r="4781" spans="23:23" ht="26.4">
      <c r="W4781" s="64" ph="1"/>
    </row>
    <row r="4782" spans="23:23" ht="26.4">
      <c r="W4782" s="64" ph="1"/>
    </row>
    <row r="4783" spans="23:23" ht="26.4">
      <c r="W4783" s="64" ph="1"/>
    </row>
    <row r="4784" spans="23:23" ht="26.4">
      <c r="W4784" s="64" ph="1"/>
    </row>
    <row r="4785" spans="23:23" ht="26.4">
      <c r="W4785" s="64" ph="1"/>
    </row>
    <row r="4786" spans="23:23" ht="26.4">
      <c r="W4786" s="64" ph="1"/>
    </row>
    <row r="4787" spans="23:23" ht="26.4">
      <c r="W4787" s="64" ph="1"/>
    </row>
    <row r="4788" spans="23:23" ht="26.4">
      <c r="W4788" s="64" ph="1"/>
    </row>
    <row r="4789" spans="23:23" ht="26.4">
      <c r="W4789" s="64" ph="1"/>
    </row>
    <row r="4790" spans="23:23" ht="26.4">
      <c r="W4790" s="64" ph="1"/>
    </row>
    <row r="4791" spans="23:23" ht="26.4">
      <c r="W4791" s="64" ph="1"/>
    </row>
    <row r="4792" spans="23:23" ht="26.4">
      <c r="W4792" s="64" ph="1"/>
    </row>
    <row r="4793" spans="23:23" ht="26.4">
      <c r="W4793" s="64" ph="1"/>
    </row>
    <row r="4794" spans="23:23" ht="26.4">
      <c r="W4794" s="64" ph="1"/>
    </row>
    <row r="4795" spans="23:23" ht="26.4">
      <c r="W4795" s="64" ph="1"/>
    </row>
    <row r="4796" spans="23:23" ht="26.4">
      <c r="W4796" s="64" ph="1"/>
    </row>
    <row r="4797" spans="23:23" ht="26.4">
      <c r="W4797" s="64" ph="1"/>
    </row>
    <row r="4798" spans="23:23" ht="26.4">
      <c r="W4798" s="64" ph="1"/>
    </row>
    <row r="4799" spans="23:23" ht="26.4">
      <c r="W4799" s="64" ph="1"/>
    </row>
    <row r="4800" spans="23:23" ht="26.4">
      <c r="W4800" s="64" ph="1"/>
    </row>
    <row r="4801" spans="23:23" ht="26.4">
      <c r="W4801" s="64" ph="1"/>
    </row>
    <row r="4802" spans="23:23" ht="26.4">
      <c r="W4802" s="64" ph="1"/>
    </row>
    <row r="4803" spans="23:23" ht="26.4">
      <c r="W4803" s="64" ph="1"/>
    </row>
    <row r="4804" spans="23:23" ht="26.4">
      <c r="W4804" s="64" ph="1"/>
    </row>
    <row r="4805" spans="23:23" ht="26.4">
      <c r="W4805" s="64" ph="1"/>
    </row>
    <row r="4806" spans="23:23" ht="26.4">
      <c r="W4806" s="64" ph="1"/>
    </row>
    <row r="4807" spans="23:23" ht="26.4">
      <c r="W4807" s="64" ph="1"/>
    </row>
    <row r="4808" spans="23:23" ht="26.4">
      <c r="W4808" s="64" ph="1"/>
    </row>
    <row r="4809" spans="23:23" ht="26.4">
      <c r="W4809" s="64" ph="1"/>
    </row>
    <row r="4810" spans="23:23" ht="26.4">
      <c r="W4810" s="64" ph="1"/>
    </row>
    <row r="4811" spans="23:23" ht="26.4">
      <c r="W4811" s="64" ph="1"/>
    </row>
    <row r="4812" spans="23:23" ht="26.4">
      <c r="W4812" s="64" ph="1"/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T4807"/>
  <sheetViews>
    <sheetView workbookViewId="0">
      <selection activeCell="L30" sqref="L30"/>
    </sheetView>
  </sheetViews>
  <sheetFormatPr defaultColWidth="9.125" defaultRowHeight="16.2"/>
  <cols>
    <col min="1" max="1" width="5.75" style="135" customWidth="1"/>
    <col min="2" max="5" width="5.75" style="97" customWidth="1"/>
    <col min="6" max="6" width="8.75" style="66" customWidth="1"/>
    <col min="7" max="7" width="7.75" style="20" customWidth="1"/>
    <col min="8" max="8" width="5.75" style="13" customWidth="1"/>
    <col min="9" max="9" width="9.75" style="10" customWidth="1"/>
    <col min="10" max="10" width="6.75" style="32" customWidth="1"/>
    <col min="11" max="11" width="6.75" style="367" customWidth="1"/>
    <col min="12" max="12" width="6.75" style="77" customWidth="1"/>
    <col min="13" max="13" width="6.75" style="365" customWidth="1"/>
    <col min="14" max="14" width="7.75" style="367" customWidth="1"/>
    <col min="15" max="15" width="7.75" style="343" customWidth="1"/>
    <col min="16" max="16" width="5.75" style="166" customWidth="1"/>
    <col min="17" max="17" width="4.75" style="109" customWidth="1"/>
    <col min="18" max="18" width="4.75" style="31" customWidth="1"/>
    <col min="19" max="19" width="4.75" style="51" customWidth="1"/>
    <col min="20" max="20" width="5.75" style="339" customWidth="1"/>
    <col min="21" max="21" width="2.75" style="329" customWidth="1"/>
    <col min="22" max="22" width="6.75" style="371" customWidth="1"/>
    <col min="23" max="23" width="7.75" style="64" customWidth="1"/>
    <col min="24" max="24" width="7.75" style="240" customWidth="1"/>
    <col min="25" max="25" width="9.75" style="285" customWidth="1"/>
    <col min="26" max="26" width="9.75" style="72" customWidth="1"/>
    <col min="27" max="27" width="9.75" style="61" customWidth="1"/>
    <col min="28" max="28" width="8.75" style="12" customWidth="1"/>
    <col min="29" max="29" width="6.75" style="104" customWidth="1"/>
    <col min="30" max="30" width="8.75" style="10" customWidth="1"/>
    <col min="31" max="31" width="11.75" style="89" customWidth="1"/>
    <col min="32" max="32" width="11.75" style="88" customWidth="1"/>
    <col min="33" max="33" width="3.75" style="82" customWidth="1"/>
    <col min="34" max="34" width="3.75" style="284" customWidth="1"/>
    <col min="35" max="35" width="2.75" style="129" customWidth="1"/>
    <col min="36" max="36" width="2.75" style="264" customWidth="1"/>
    <col min="37" max="37" width="7.75" style="252" customWidth="1"/>
    <col min="38" max="38" width="7.75" style="266" customWidth="1"/>
    <col min="39" max="40" width="7.75" style="284" customWidth="1"/>
    <col min="41" max="16384" width="9.125" style="284"/>
  </cols>
  <sheetData>
    <row r="1" spans="1:46">
      <c r="A1" s="135" t="s">
        <v>2552</v>
      </c>
      <c r="B1" s="96" t="s">
        <v>2331</v>
      </c>
      <c r="C1" s="96" t="s">
        <v>2332</v>
      </c>
      <c r="D1" s="96" t="s">
        <v>2333</v>
      </c>
      <c r="E1" s="96" t="s">
        <v>2334</v>
      </c>
      <c r="F1" s="9" t="s">
        <v>1709</v>
      </c>
      <c r="G1" s="27" t="s">
        <v>5626</v>
      </c>
      <c r="H1" s="56" t="s">
        <v>578</v>
      </c>
      <c r="I1" s="51" t="s">
        <v>6829</v>
      </c>
      <c r="J1" s="364" t="s">
        <v>2189</v>
      </c>
      <c r="K1" s="364" t="s">
        <v>1820</v>
      </c>
      <c r="L1" s="364" t="s">
        <v>515</v>
      </c>
      <c r="M1" s="364" t="s">
        <v>1699</v>
      </c>
      <c r="N1" s="364" t="s">
        <v>6633</v>
      </c>
      <c r="O1" s="343" t="s">
        <v>6634</v>
      </c>
      <c r="P1" s="83" t="s">
        <v>5279</v>
      </c>
      <c r="Q1" s="326" t="s">
        <v>5514</v>
      </c>
      <c r="R1" s="31" t="s">
        <v>6596</v>
      </c>
      <c r="S1" s="51" t="s">
        <v>6597</v>
      </c>
      <c r="T1" s="338" t="s">
        <v>5627</v>
      </c>
      <c r="U1" s="330" t="s">
        <v>6537</v>
      </c>
      <c r="V1" s="377" t="s">
        <v>6616</v>
      </c>
      <c r="W1" s="11" t="s">
        <v>127</v>
      </c>
      <c r="X1" s="71" t="s">
        <v>6626</v>
      </c>
      <c r="Y1" s="29" t="s">
        <v>6688</v>
      </c>
      <c r="Z1" s="18" t="s">
        <v>2113</v>
      </c>
      <c r="AA1" s="15" t="s">
        <v>8</v>
      </c>
      <c r="AB1" s="22" t="s">
        <v>4</v>
      </c>
      <c r="AC1" s="26" t="s">
        <v>211</v>
      </c>
      <c r="AD1" s="51" t="s">
        <v>6829</v>
      </c>
      <c r="AE1" s="56" t="s">
        <v>5568</v>
      </c>
      <c r="AF1" s="114" t="s">
        <v>5575</v>
      </c>
      <c r="AG1" s="33" t="s">
        <v>1827</v>
      </c>
      <c r="AH1" s="262" t="s">
        <v>6777</v>
      </c>
      <c r="AI1" s="284"/>
      <c r="AK1" s="9" t="s">
        <v>6666</v>
      </c>
      <c r="AL1" s="5" t="s">
        <v>6667</v>
      </c>
      <c r="AM1" s="51" t="s">
        <v>5339</v>
      </c>
      <c r="AN1" s="276" t="s">
        <v>6665</v>
      </c>
    </row>
    <row r="2" spans="1:46">
      <c r="B2" s="96"/>
      <c r="C2" s="96"/>
      <c r="D2" s="96"/>
      <c r="E2" s="96"/>
      <c r="F2" s="9"/>
      <c r="G2" s="27"/>
      <c r="H2" s="56"/>
      <c r="I2" s="51"/>
      <c r="J2" s="364"/>
      <c r="K2" s="364"/>
      <c r="L2" s="364"/>
      <c r="M2" s="364"/>
      <c r="N2" s="364"/>
      <c r="P2" s="83"/>
      <c r="Q2" s="326"/>
      <c r="T2" s="338"/>
      <c r="U2" s="330"/>
      <c r="V2" s="377"/>
      <c r="W2" s="11"/>
      <c r="X2" s="71"/>
      <c r="Y2" s="29"/>
      <c r="Z2" s="18"/>
      <c r="AA2" s="15"/>
      <c r="AB2" s="22"/>
      <c r="AC2" s="26"/>
      <c r="AD2" s="51"/>
      <c r="AE2" s="56"/>
      <c r="AF2" s="114"/>
      <c r="AG2" s="33"/>
      <c r="AH2" s="262"/>
      <c r="AI2" s="284"/>
      <c r="AK2" s="9"/>
      <c r="AL2" s="5"/>
      <c r="AM2" s="51"/>
      <c r="AN2" s="276"/>
    </row>
    <row r="3" spans="1:46">
      <c r="A3" s="135" t="s">
        <v>3107</v>
      </c>
      <c r="B3" s="85">
        <v>-66</v>
      </c>
      <c r="C3" s="85">
        <v>-67</v>
      </c>
      <c r="D3" s="84">
        <v>33</v>
      </c>
      <c r="E3" s="85">
        <v>-17</v>
      </c>
      <c r="F3" s="59">
        <v>16.88</v>
      </c>
      <c r="G3" s="84">
        <v>6538</v>
      </c>
      <c r="H3" s="9" t="s">
        <v>559</v>
      </c>
      <c r="I3" s="17" t="s">
        <v>794</v>
      </c>
      <c r="J3" s="77">
        <v>10.039999999999999</v>
      </c>
      <c r="K3" s="77">
        <v>4.54</v>
      </c>
      <c r="L3" s="77">
        <v>28.43</v>
      </c>
      <c r="M3" s="77">
        <v>13.45</v>
      </c>
      <c r="N3" s="365">
        <f t="shared" ref="N3" si="0">J3+K3+L3+M3</f>
        <v>56.459999999999994</v>
      </c>
      <c r="O3" s="343">
        <f t="shared" ref="O3" si="1">J3+M3</f>
        <v>23.49</v>
      </c>
      <c r="P3" s="195">
        <v>1</v>
      </c>
      <c r="Q3" s="326">
        <v>2</v>
      </c>
      <c r="R3" s="111">
        <v>11</v>
      </c>
      <c r="S3" s="51">
        <v>10</v>
      </c>
      <c r="T3" s="339">
        <f t="shared" ref="T3" si="2">SUM(P3:S3)</f>
        <v>24</v>
      </c>
      <c r="U3" s="329" t="s">
        <v>6539</v>
      </c>
      <c r="V3" s="77">
        <v>3.12</v>
      </c>
      <c r="W3" s="69">
        <v>7</v>
      </c>
      <c r="X3" s="100">
        <v>5.16</v>
      </c>
      <c r="Y3" s="37" t="str">
        <f>RTD("money.excel",,"6538","Price")</f>
        <v>無資料</v>
      </c>
      <c r="Z3" s="69">
        <v>94.6</v>
      </c>
      <c r="AA3" s="16" t="e">
        <f t="shared" ref="AA3" si="3">Y3-Z3</f>
        <v>#VALUE!</v>
      </c>
      <c r="AB3" s="3" t="e">
        <f t="shared" ref="AB3" si="4">AA3/Z3</f>
        <v>#VALUE!</v>
      </c>
      <c r="AC3" s="177" t="s">
        <v>6822</v>
      </c>
      <c r="AD3" s="17" t="s">
        <v>794</v>
      </c>
      <c r="AE3" s="89">
        <v>44557</v>
      </c>
      <c r="AG3" s="34">
        <f t="shared" ref="AG3" si="5">AF3-AE3</f>
        <v>-44557</v>
      </c>
      <c r="AH3" s="63" t="s">
        <v>2640</v>
      </c>
      <c r="AI3" s="131"/>
      <c r="AK3" s="66">
        <f t="shared" ref="AK3" si="6">AM3/(A3*10000)</f>
        <v>0</v>
      </c>
      <c r="AL3" s="174">
        <f t="shared" ref="AL3" si="7">AN3/(A3*10000)</f>
        <v>0</v>
      </c>
      <c r="AM3" s="346">
        <f>RTD("money.excel",,$G3,"PredictVolume")</f>
        <v>0</v>
      </c>
      <c r="AN3" s="272">
        <f>RTD("money.excel",,$G3,"CumulativeVolume")</f>
        <v>0</v>
      </c>
    </row>
    <row r="4" spans="1:46">
      <c r="B4" s="84"/>
      <c r="C4" s="84"/>
      <c r="D4" s="85"/>
      <c r="E4" s="85"/>
      <c r="F4" s="59"/>
      <c r="G4" s="85"/>
      <c r="H4" s="213"/>
      <c r="I4" s="17"/>
      <c r="J4" s="77"/>
      <c r="K4" s="77"/>
      <c r="M4" s="371"/>
      <c r="N4" s="365"/>
      <c r="O4" s="369"/>
      <c r="P4" s="195"/>
      <c r="Q4" s="326"/>
      <c r="R4" s="111"/>
      <c r="V4" s="77"/>
      <c r="W4" s="69"/>
      <c r="X4" s="59"/>
      <c r="Y4" s="37"/>
      <c r="Z4" s="69"/>
      <c r="AA4" s="16"/>
      <c r="AB4" s="3"/>
      <c r="AC4" s="177"/>
      <c r="AD4" s="17"/>
      <c r="AG4" s="34"/>
      <c r="AH4" s="63"/>
      <c r="AI4" s="284"/>
      <c r="AK4" s="66"/>
      <c r="AL4" s="174"/>
      <c r="AM4" s="346"/>
      <c r="AN4" s="272"/>
    </row>
    <row r="5" spans="1:46">
      <c r="A5" s="263"/>
      <c r="B5" s="182"/>
      <c r="C5" s="182"/>
      <c r="D5" s="182"/>
      <c r="E5" s="182"/>
      <c r="F5" s="183"/>
      <c r="G5" s="184"/>
      <c r="H5" s="186"/>
      <c r="I5" s="185"/>
      <c r="J5" s="366"/>
      <c r="K5" s="366"/>
      <c r="L5" s="372"/>
      <c r="M5" s="373"/>
      <c r="N5" s="366">
        <v>130</v>
      </c>
      <c r="O5" s="369">
        <v>80</v>
      </c>
      <c r="V5" s="371" t="s">
        <v>6622</v>
      </c>
      <c r="W5" s="183"/>
      <c r="X5" s="4" t="s">
        <v>2189</v>
      </c>
      <c r="Y5" s="4" t="s">
        <v>1820</v>
      </c>
      <c r="Z5" s="11" t="s">
        <v>515</v>
      </c>
      <c r="AA5" s="189"/>
      <c r="AB5" s="190"/>
      <c r="AC5" s="263" t="s">
        <v>5311</v>
      </c>
      <c r="AD5" s="185"/>
      <c r="AF5" s="194"/>
      <c r="AG5" s="192">
        <f t="shared" ref="AG5" si="8">AF5-AE5</f>
        <v>0</v>
      </c>
      <c r="AH5" s="263" t="s">
        <v>6635</v>
      </c>
      <c r="AI5" s="131"/>
      <c r="AL5" s="265"/>
      <c r="AM5" s="287"/>
      <c r="AN5" s="287"/>
      <c r="AO5" s="287"/>
      <c r="AQ5" s="287"/>
      <c r="AR5" s="287"/>
      <c r="AS5" s="287"/>
      <c r="AT5" s="287"/>
    </row>
    <row r="6" spans="1:46">
      <c r="A6" s="135" t="s">
        <v>2552</v>
      </c>
      <c r="B6" s="96" t="s">
        <v>2331</v>
      </c>
      <c r="C6" s="96" t="s">
        <v>2332</v>
      </c>
      <c r="D6" s="96" t="s">
        <v>2333</v>
      </c>
      <c r="E6" s="96" t="s">
        <v>2334</v>
      </c>
      <c r="F6" s="9" t="s">
        <v>1709</v>
      </c>
      <c r="G6" s="27" t="s">
        <v>5626</v>
      </c>
      <c r="H6" s="56" t="s">
        <v>578</v>
      </c>
      <c r="I6" s="51" t="s">
        <v>6829</v>
      </c>
      <c r="J6" s="364" t="s">
        <v>2189</v>
      </c>
      <c r="K6" s="364" t="s">
        <v>1820</v>
      </c>
      <c r="L6" s="364" t="s">
        <v>515</v>
      </c>
      <c r="M6" s="364" t="s">
        <v>1699</v>
      </c>
      <c r="N6" s="364" t="s">
        <v>6633</v>
      </c>
      <c r="O6" s="343" t="s">
        <v>6634</v>
      </c>
      <c r="P6" s="83" t="s">
        <v>5279</v>
      </c>
      <c r="Q6" s="326" t="s">
        <v>5514</v>
      </c>
      <c r="R6" s="31" t="s">
        <v>6596</v>
      </c>
      <c r="S6" s="51" t="s">
        <v>6597</v>
      </c>
      <c r="T6" s="338" t="s">
        <v>5627</v>
      </c>
      <c r="U6" s="330" t="s">
        <v>6537</v>
      </c>
      <c r="V6" s="377" t="s">
        <v>6616</v>
      </c>
      <c r="W6" s="11" t="s">
        <v>127</v>
      </c>
      <c r="X6" s="71" t="s">
        <v>6626</v>
      </c>
      <c r="Y6" s="29" t="s">
        <v>6688</v>
      </c>
      <c r="Z6" s="18" t="s">
        <v>2113</v>
      </c>
      <c r="AA6" s="15" t="s">
        <v>8</v>
      </c>
      <c r="AB6" s="22" t="s">
        <v>4</v>
      </c>
      <c r="AC6" s="26" t="s">
        <v>211</v>
      </c>
      <c r="AD6" s="51" t="s">
        <v>6829</v>
      </c>
      <c r="AE6" s="56" t="s">
        <v>5568</v>
      </c>
      <c r="AF6" s="114" t="s">
        <v>5575</v>
      </c>
      <c r="AG6" s="33" t="s">
        <v>1827</v>
      </c>
      <c r="AH6" s="262" t="s">
        <v>6777</v>
      </c>
      <c r="AI6" s="131"/>
      <c r="AK6" s="9" t="s">
        <v>6666</v>
      </c>
      <c r="AL6" s="5" t="s">
        <v>6667</v>
      </c>
      <c r="AM6" s="51" t="s">
        <v>5339</v>
      </c>
      <c r="AN6" s="276" t="s">
        <v>6665</v>
      </c>
    </row>
    <row r="7" spans="1:46">
      <c r="B7" s="96"/>
      <c r="C7" s="96"/>
      <c r="D7" s="96"/>
      <c r="E7" s="96"/>
      <c r="F7" s="9"/>
      <c r="G7" s="27"/>
      <c r="H7" s="56"/>
      <c r="I7" s="31"/>
      <c r="J7" s="364"/>
      <c r="K7" s="364"/>
      <c r="L7" s="364"/>
      <c r="M7" s="364"/>
      <c r="N7" s="364"/>
      <c r="P7" s="83"/>
      <c r="Q7" s="326"/>
      <c r="T7" s="338"/>
      <c r="U7" s="330"/>
      <c r="V7" s="377"/>
      <c r="W7" s="11"/>
      <c r="X7" s="71"/>
      <c r="Y7" s="29"/>
      <c r="Z7" s="18"/>
      <c r="AA7" s="15"/>
      <c r="AB7" s="22"/>
      <c r="AC7" s="26"/>
      <c r="AD7" s="31"/>
      <c r="AE7" s="56"/>
      <c r="AF7" s="114"/>
      <c r="AG7" s="33"/>
      <c r="AH7" s="262"/>
      <c r="AI7" s="284"/>
      <c r="AK7" s="131"/>
      <c r="AL7" s="264"/>
    </row>
    <row r="8" spans="1:46">
      <c r="AI8" s="131"/>
    </row>
    <row r="9" spans="1:46">
      <c r="AI9" s="131"/>
    </row>
    <row r="10" spans="1:46">
      <c r="AI10" s="131"/>
    </row>
    <row r="11" spans="1:46">
      <c r="AI11" s="131"/>
    </row>
    <row r="12" spans="1:46">
      <c r="AI12" s="131"/>
    </row>
    <row r="13" spans="1:46">
      <c r="AI13" s="131"/>
    </row>
    <row r="14" spans="1:46">
      <c r="AI14" s="128"/>
    </row>
    <row r="15" spans="1:46">
      <c r="AI15" s="131"/>
    </row>
    <row r="16" spans="1:46">
      <c r="AI16" s="284"/>
    </row>
    <row r="17" spans="35:35">
      <c r="AI17" s="131"/>
    </row>
    <row r="18" spans="35:35">
      <c r="AI18" s="131"/>
    </row>
    <row r="19" spans="35:35">
      <c r="AI19" s="284"/>
    </row>
    <row r="20" spans="35:35">
      <c r="AI20" s="131"/>
    </row>
    <row r="21" spans="35:35">
      <c r="AI21" s="131"/>
    </row>
    <row r="22" spans="35:35">
      <c r="AI22" s="131"/>
    </row>
    <row r="23" spans="35:35">
      <c r="AI23" s="131"/>
    </row>
    <row r="24" spans="35:35">
      <c r="AI24" s="131"/>
    </row>
    <row r="25" spans="35:35">
      <c r="AI25" s="284"/>
    </row>
    <row r="28" spans="35:35">
      <c r="AI28" s="284"/>
    </row>
    <row r="29" spans="35:35">
      <c r="AI29" s="131"/>
    </row>
    <row r="30" spans="35:35">
      <c r="AI30" s="131"/>
    </row>
    <row r="31" spans="35:35">
      <c r="AI31" s="131"/>
    </row>
    <row r="32" spans="35:35">
      <c r="AI32" s="131"/>
    </row>
    <row r="33" spans="35:35">
      <c r="AI33" s="131"/>
    </row>
    <row r="34" spans="35:35">
      <c r="AI34" s="284"/>
    </row>
    <row r="35" spans="35:35">
      <c r="AI35" s="131"/>
    </row>
    <row r="36" spans="35:35">
      <c r="AI36" s="131"/>
    </row>
    <row r="37" spans="35:35">
      <c r="AI37" s="131"/>
    </row>
    <row r="38" spans="35:35">
      <c r="AI38" s="131"/>
    </row>
    <row r="39" spans="35:35">
      <c r="AI39" s="284"/>
    </row>
    <row r="40" spans="35:35">
      <c r="AI40" s="131"/>
    </row>
    <row r="41" spans="35:35">
      <c r="AI41" s="131"/>
    </row>
    <row r="42" spans="35:35">
      <c r="AI42" s="131"/>
    </row>
    <row r="43" spans="35:35">
      <c r="AI43" s="284"/>
    </row>
    <row r="44" spans="35:35">
      <c r="AI44" s="131"/>
    </row>
    <row r="45" spans="35:35">
      <c r="AI45" s="131"/>
    </row>
    <row r="46" spans="35:35">
      <c r="AI46" s="131"/>
    </row>
    <row r="47" spans="35:35">
      <c r="AI47" s="131"/>
    </row>
    <row r="48" spans="35:35">
      <c r="AI48" s="131"/>
    </row>
    <row r="49" spans="35:35">
      <c r="AI49" s="284"/>
    </row>
    <row r="50" spans="35:35">
      <c r="AI50" s="284"/>
    </row>
    <row r="51" spans="35:35">
      <c r="AI51" s="131"/>
    </row>
    <row r="52" spans="35:35">
      <c r="AI52" s="131"/>
    </row>
    <row r="53" spans="35:35">
      <c r="AI53" s="131"/>
    </row>
    <row r="54" spans="35:35">
      <c r="AI54" s="131"/>
    </row>
    <row r="55" spans="35:35">
      <c r="AI55" s="131"/>
    </row>
    <row r="56" spans="35:35">
      <c r="AI56" s="131"/>
    </row>
    <row r="57" spans="35:35">
      <c r="AI57" s="131"/>
    </row>
    <row r="58" spans="35:35">
      <c r="AI58" s="131"/>
    </row>
    <row r="59" spans="35:35">
      <c r="AI59" s="131"/>
    </row>
    <row r="61" spans="35:35">
      <c r="AI61" s="131"/>
    </row>
    <row r="62" spans="35:35">
      <c r="AI62" s="131"/>
    </row>
    <row r="63" spans="35:35">
      <c r="AI63" s="131"/>
    </row>
    <row r="64" spans="35:35">
      <c r="AI64" s="284"/>
    </row>
    <row r="65" spans="35:35">
      <c r="AI65" s="131"/>
    </row>
    <row r="66" spans="35:35">
      <c r="AI66" s="284"/>
    </row>
    <row r="67" spans="35:35">
      <c r="AI67" s="131"/>
    </row>
    <row r="68" spans="35:35">
      <c r="AI68" s="284"/>
    </row>
    <row r="69" spans="35:35">
      <c r="AI69" s="131"/>
    </row>
    <row r="70" spans="35:35">
      <c r="AI70" s="131"/>
    </row>
    <row r="71" spans="35:35">
      <c r="AI71" s="131"/>
    </row>
    <row r="72" spans="35:35">
      <c r="AI72" s="131"/>
    </row>
    <row r="73" spans="35:35">
      <c r="AI73" s="131"/>
    </row>
    <row r="74" spans="35:35">
      <c r="AI74" s="131"/>
    </row>
    <row r="75" spans="35:35">
      <c r="AI75" s="131"/>
    </row>
    <row r="76" spans="35:35">
      <c r="AI76" s="131"/>
    </row>
    <row r="77" spans="35:35">
      <c r="AI77" s="131"/>
    </row>
    <row r="78" spans="35:35">
      <c r="AI78" s="284"/>
    </row>
    <row r="79" spans="35:35">
      <c r="AI79" s="131"/>
    </row>
    <row r="80" spans="35:35">
      <c r="AI80" s="131"/>
    </row>
    <row r="81" spans="35:35">
      <c r="AI81" s="131"/>
    </row>
    <row r="82" spans="35:35">
      <c r="AI82" s="131"/>
    </row>
    <row r="83" spans="35:35">
      <c r="AI83" s="131"/>
    </row>
    <row r="84" spans="35:35">
      <c r="AI84" s="284"/>
    </row>
    <row r="85" spans="35:35">
      <c r="AI85" s="131"/>
    </row>
    <row r="86" spans="35:35">
      <c r="AI86" s="131"/>
    </row>
    <row r="87" spans="35:35">
      <c r="AI87" s="284"/>
    </row>
    <row r="88" spans="35:35">
      <c r="AI88" s="131"/>
    </row>
    <row r="89" spans="35:35">
      <c r="AI89" s="131"/>
    </row>
    <row r="90" spans="35:35">
      <c r="AI90" s="131"/>
    </row>
    <row r="91" spans="35:35">
      <c r="AI91" s="131"/>
    </row>
    <row r="92" spans="35:35">
      <c r="AI92" s="131"/>
    </row>
    <row r="93" spans="35:35">
      <c r="AI93" s="131"/>
    </row>
    <row r="94" spans="35:35">
      <c r="AI94" s="131"/>
    </row>
    <row r="95" spans="35:35">
      <c r="AI95" s="131"/>
    </row>
    <row r="96" spans="35:35">
      <c r="AI96" s="131"/>
    </row>
    <row r="97" spans="35:35">
      <c r="AI97" s="131"/>
    </row>
    <row r="98" spans="35:35">
      <c r="AI98" s="131"/>
    </row>
    <row r="99" spans="35:35">
      <c r="AI99" s="131"/>
    </row>
    <row r="100" spans="35:35">
      <c r="AI100" s="131"/>
    </row>
    <row r="101" spans="35:35">
      <c r="AI101" s="131"/>
    </row>
    <row r="102" spans="35:35">
      <c r="AI102" s="131"/>
    </row>
    <row r="103" spans="35:35">
      <c r="AI103" s="131"/>
    </row>
    <row r="104" spans="35:35">
      <c r="AI104" s="131"/>
    </row>
    <row r="105" spans="35:35">
      <c r="AI105" s="131"/>
    </row>
    <row r="106" spans="35:35">
      <c r="AI106" s="131"/>
    </row>
    <row r="107" spans="35:35">
      <c r="AI107" s="131"/>
    </row>
    <row r="108" spans="35:35">
      <c r="AI108" s="131"/>
    </row>
    <row r="109" spans="35:35">
      <c r="AI109" s="131"/>
    </row>
    <row r="110" spans="35:35">
      <c r="AI110" s="131"/>
    </row>
    <row r="111" spans="35:35">
      <c r="AI111" s="131"/>
    </row>
    <row r="112" spans="35:35">
      <c r="AI112" s="131"/>
    </row>
    <row r="113" spans="35:35">
      <c r="AI113" s="131"/>
    </row>
    <row r="114" spans="35:35">
      <c r="AI114" s="131"/>
    </row>
    <row r="115" spans="35:35">
      <c r="AI115" s="131"/>
    </row>
    <row r="116" spans="35:35">
      <c r="AI116" s="131"/>
    </row>
    <row r="117" spans="35:35">
      <c r="AI117" s="131"/>
    </row>
    <row r="118" spans="35:35">
      <c r="AI118" s="131"/>
    </row>
    <row r="119" spans="35:35">
      <c r="AI119" s="131"/>
    </row>
    <row r="120" spans="35:35">
      <c r="AI120" s="131"/>
    </row>
    <row r="121" spans="35:35">
      <c r="AI121" s="131"/>
    </row>
    <row r="122" spans="35:35">
      <c r="AI122" s="131"/>
    </row>
    <row r="123" spans="35:35">
      <c r="AI123" s="131"/>
    </row>
    <row r="124" spans="35:35">
      <c r="AI124" s="284"/>
    </row>
    <row r="125" spans="35:35">
      <c r="AI125" s="131"/>
    </row>
    <row r="126" spans="35:35">
      <c r="AI126" s="131"/>
    </row>
    <row r="127" spans="35:35">
      <c r="AI127" s="131"/>
    </row>
    <row r="128" spans="35:35">
      <c r="AI128" s="131"/>
    </row>
    <row r="129" spans="35:35">
      <c r="AI129" s="131"/>
    </row>
    <row r="130" spans="35:35">
      <c r="AI130" s="131"/>
    </row>
    <row r="131" spans="35:35">
      <c r="AI131" s="131"/>
    </row>
    <row r="132" spans="35:35">
      <c r="AI132" s="131"/>
    </row>
    <row r="133" spans="35:35">
      <c r="AI133" s="131"/>
    </row>
    <row r="134" spans="35:35">
      <c r="AI134" s="131"/>
    </row>
    <row r="135" spans="35:35">
      <c r="AI135" s="131"/>
    </row>
    <row r="136" spans="35:35">
      <c r="AI136" s="131"/>
    </row>
    <row r="137" spans="35:35">
      <c r="AI137" s="131"/>
    </row>
    <row r="138" spans="35:35">
      <c r="AI138" s="131"/>
    </row>
    <row r="139" spans="35:35">
      <c r="AI139" s="131"/>
    </row>
    <row r="140" spans="35:35">
      <c r="AI140" s="131"/>
    </row>
    <row r="141" spans="35:35">
      <c r="AI141" s="131"/>
    </row>
    <row r="142" spans="35:35">
      <c r="AI142" s="131"/>
    </row>
    <row r="143" spans="35:35">
      <c r="AI143" s="131"/>
    </row>
    <row r="144" spans="35:35">
      <c r="AI144" s="131"/>
    </row>
    <row r="145" spans="35:35">
      <c r="AI145" s="131"/>
    </row>
    <row r="146" spans="35:35">
      <c r="AI146" s="131"/>
    </row>
    <row r="147" spans="35:35">
      <c r="AI147" s="131"/>
    </row>
    <row r="148" spans="35:35">
      <c r="AI148" s="131"/>
    </row>
    <row r="149" spans="35:35">
      <c r="AI149" s="131"/>
    </row>
    <row r="150" spans="35:35">
      <c r="AI150" s="131"/>
    </row>
    <row r="151" spans="35:35">
      <c r="AI151" s="131"/>
    </row>
    <row r="152" spans="35:35">
      <c r="AI152" s="131"/>
    </row>
    <row r="154" spans="35:35">
      <c r="AI154" s="131"/>
    </row>
    <row r="155" spans="35:35">
      <c r="AI155" s="131"/>
    </row>
    <row r="156" spans="35:35">
      <c r="AI156" s="131"/>
    </row>
    <row r="157" spans="35:35">
      <c r="AI157" s="131"/>
    </row>
    <row r="158" spans="35:35">
      <c r="AI158" s="131"/>
    </row>
    <row r="160" spans="35:35">
      <c r="AI160" s="131"/>
    </row>
    <row r="161" spans="35:35">
      <c r="AI161" s="131"/>
    </row>
    <row r="162" spans="35:35">
      <c r="AI162" s="131"/>
    </row>
    <row r="163" spans="35:35">
      <c r="AI163" s="131"/>
    </row>
    <row r="164" spans="35:35">
      <c r="AI164" s="131"/>
    </row>
    <row r="165" spans="35:35">
      <c r="AI165" s="131"/>
    </row>
    <row r="166" spans="35:35">
      <c r="AI166" s="131"/>
    </row>
    <row r="167" spans="35:35">
      <c r="AI167" s="131"/>
    </row>
    <row r="168" spans="35:35">
      <c r="AI168" s="131"/>
    </row>
    <row r="169" spans="35:35">
      <c r="AI169" s="131"/>
    </row>
    <row r="170" spans="35:35">
      <c r="AI170" s="131"/>
    </row>
    <row r="171" spans="35:35">
      <c r="AI171" s="284"/>
    </row>
    <row r="172" spans="35:35">
      <c r="AI172" s="131"/>
    </row>
    <row r="174" spans="35:35">
      <c r="AI174" s="131"/>
    </row>
    <row r="175" spans="35:35">
      <c r="AI175" s="131"/>
    </row>
    <row r="176" spans="35:35">
      <c r="AI176" s="131"/>
    </row>
    <row r="177" spans="35:35">
      <c r="AI177" s="131"/>
    </row>
    <row r="178" spans="35:35">
      <c r="AI178" s="131"/>
    </row>
    <row r="179" spans="35:35">
      <c r="AI179" s="131"/>
    </row>
    <row r="180" spans="35:35">
      <c r="AI180" s="131"/>
    </row>
    <row r="181" spans="35:35">
      <c r="AI181" s="131"/>
    </row>
    <row r="182" spans="35:35">
      <c r="AI182" s="131"/>
    </row>
    <row r="183" spans="35:35">
      <c r="AI183" s="131"/>
    </row>
    <row r="184" spans="35:35">
      <c r="AI184" s="131"/>
    </row>
    <row r="186" spans="35:35">
      <c r="AI186" s="131"/>
    </row>
    <row r="187" spans="35:35">
      <c r="AI187" s="131"/>
    </row>
    <row r="188" spans="35:35">
      <c r="AI188" s="131"/>
    </row>
    <row r="189" spans="35:35">
      <c r="AI189" s="131"/>
    </row>
    <row r="190" spans="35:35">
      <c r="AI190" s="131"/>
    </row>
    <row r="191" spans="35:35">
      <c r="AI191" s="131"/>
    </row>
    <row r="192" spans="35:35">
      <c r="AI192" s="131"/>
    </row>
    <row r="193" spans="35:35">
      <c r="AI193" s="131"/>
    </row>
    <row r="194" spans="35:35">
      <c r="AI194" s="131"/>
    </row>
    <row r="195" spans="35:35">
      <c r="AI195" s="131"/>
    </row>
    <row r="196" spans="35:35">
      <c r="AI196" s="131"/>
    </row>
    <row r="197" spans="35:35">
      <c r="AI197" s="131"/>
    </row>
    <row r="198" spans="35:35">
      <c r="AI198" s="131"/>
    </row>
    <row r="199" spans="35:35">
      <c r="AI199" s="131"/>
    </row>
    <row r="200" spans="35:35">
      <c r="AI200" s="131"/>
    </row>
    <row r="201" spans="35:35">
      <c r="AI201" s="131"/>
    </row>
    <row r="202" spans="35:35">
      <c r="AI202" s="131"/>
    </row>
    <row r="203" spans="35:35">
      <c r="AI203" s="131"/>
    </row>
    <row r="204" spans="35:35">
      <c r="AI204" s="131"/>
    </row>
    <row r="205" spans="35:35">
      <c r="AI205" s="131"/>
    </row>
    <row r="206" spans="35:35">
      <c r="AI206" s="131"/>
    </row>
    <row r="207" spans="35:35">
      <c r="AI207" s="131"/>
    </row>
    <row r="208" spans="35:35">
      <c r="AI208" s="131"/>
    </row>
    <row r="209" spans="35:35">
      <c r="AI209" s="131"/>
    </row>
    <row r="210" spans="35:35">
      <c r="AI210" s="131"/>
    </row>
    <row r="211" spans="35:35">
      <c r="AI211" s="131"/>
    </row>
    <row r="212" spans="35:35">
      <c r="AI212" s="131"/>
    </row>
    <row r="213" spans="35:35">
      <c r="AI213" s="131"/>
    </row>
    <row r="214" spans="35:35">
      <c r="AI214" s="131"/>
    </row>
    <row r="215" spans="35:35">
      <c r="AI215" s="131"/>
    </row>
    <row r="216" spans="35:35">
      <c r="AI216" s="131"/>
    </row>
    <row r="217" spans="35:35">
      <c r="AI217" s="131"/>
    </row>
    <row r="218" spans="35:35">
      <c r="AI218" s="131"/>
    </row>
    <row r="219" spans="35:35">
      <c r="AI219" s="131"/>
    </row>
    <row r="220" spans="35:35">
      <c r="AI220" s="131"/>
    </row>
    <row r="221" spans="35:35">
      <c r="AI221" s="131"/>
    </row>
    <row r="222" spans="35:35">
      <c r="AI222" s="131"/>
    </row>
    <row r="223" spans="35:35">
      <c r="AI223" s="131"/>
    </row>
    <row r="224" spans="35:35">
      <c r="AI224" s="131"/>
    </row>
    <row r="225" spans="35:35">
      <c r="AI225" s="131"/>
    </row>
    <row r="226" spans="35:35">
      <c r="AI226" s="131"/>
    </row>
    <row r="227" spans="35:35">
      <c r="AI227" s="131"/>
    </row>
    <row r="228" spans="35:35">
      <c r="AI228" s="131"/>
    </row>
    <row r="229" spans="35:35">
      <c r="AI229" s="131"/>
    </row>
    <row r="230" spans="35:35">
      <c r="AI230" s="131"/>
    </row>
    <row r="231" spans="35:35">
      <c r="AI231" s="131"/>
    </row>
    <row r="232" spans="35:35">
      <c r="AI232" s="131"/>
    </row>
    <row r="233" spans="35:35">
      <c r="AI233" s="131"/>
    </row>
    <row r="234" spans="35:35">
      <c r="AI234" s="131"/>
    </row>
    <row r="235" spans="35:35">
      <c r="AI235" s="131"/>
    </row>
    <row r="236" spans="35:35">
      <c r="AI236" s="131"/>
    </row>
    <row r="237" spans="35:35">
      <c r="AI237" s="131"/>
    </row>
    <row r="238" spans="35:35">
      <c r="AI238" s="131"/>
    </row>
    <row r="239" spans="35:35">
      <c r="AI239" s="131"/>
    </row>
    <row r="240" spans="35:35">
      <c r="AI240" s="131"/>
    </row>
    <row r="241" spans="35:35">
      <c r="AI241" s="131"/>
    </row>
    <row r="242" spans="35:35">
      <c r="AI242" s="131"/>
    </row>
    <row r="243" spans="35:35">
      <c r="AI243" s="131"/>
    </row>
    <row r="244" spans="35:35">
      <c r="AI244" s="131"/>
    </row>
    <row r="245" spans="35:35">
      <c r="AI245" s="131"/>
    </row>
    <row r="246" spans="35:35">
      <c r="AI246" s="131"/>
    </row>
    <row r="247" spans="35:35">
      <c r="AI247" s="284"/>
    </row>
    <row r="248" spans="35:35">
      <c r="AI248" s="131"/>
    </row>
    <row r="249" spans="35:35">
      <c r="AI249" s="131"/>
    </row>
    <row r="250" spans="35:35">
      <c r="AI250" s="131"/>
    </row>
    <row r="251" spans="35:35">
      <c r="AI251" s="131"/>
    </row>
    <row r="252" spans="35:35">
      <c r="AI252" s="131"/>
    </row>
    <row r="253" spans="35:35">
      <c r="AI253" s="131"/>
    </row>
    <row r="254" spans="35:35">
      <c r="AI254" s="131"/>
    </row>
    <row r="255" spans="35:35">
      <c r="AI255" s="52"/>
    </row>
    <row r="256" spans="35:35">
      <c r="AI256" s="131"/>
    </row>
    <row r="257" spans="35:35">
      <c r="AI257" s="131"/>
    </row>
    <row r="258" spans="35:35">
      <c r="AI258" s="131"/>
    </row>
    <row r="259" spans="35:35">
      <c r="AI259" s="131"/>
    </row>
    <row r="260" spans="35:35">
      <c r="AI260" s="131"/>
    </row>
    <row r="261" spans="35:35">
      <c r="AI261" s="131"/>
    </row>
    <row r="262" spans="35:35">
      <c r="AI262" s="131"/>
    </row>
    <row r="263" spans="35:35">
      <c r="AI263" s="131"/>
    </row>
    <row r="264" spans="35:35">
      <c r="AI264" s="131"/>
    </row>
    <row r="265" spans="35:35">
      <c r="AI265" s="131"/>
    </row>
    <row r="266" spans="35:35">
      <c r="AI266" s="131"/>
    </row>
    <row r="267" spans="35:35">
      <c r="AI267" s="131"/>
    </row>
    <row r="268" spans="35:35">
      <c r="AI268" s="131"/>
    </row>
    <row r="269" spans="35:35">
      <c r="AI269" s="131"/>
    </row>
    <row r="270" spans="35:35">
      <c r="AI270" s="131"/>
    </row>
    <row r="271" spans="35:35">
      <c r="AI271" s="131"/>
    </row>
    <row r="272" spans="35:35">
      <c r="AI272" s="131"/>
    </row>
    <row r="273" spans="35:35">
      <c r="AI273" s="131"/>
    </row>
    <row r="274" spans="35:35">
      <c r="AI274" s="131"/>
    </row>
    <row r="275" spans="35:35">
      <c r="AI275" s="131"/>
    </row>
    <row r="276" spans="35:35">
      <c r="AI276" s="131"/>
    </row>
    <row r="277" spans="35:35">
      <c r="AI277" s="131"/>
    </row>
    <row r="278" spans="35:35">
      <c r="AI278" s="131"/>
    </row>
    <row r="279" spans="35:35">
      <c r="AI279" s="131"/>
    </row>
    <row r="280" spans="35:35">
      <c r="AI280" s="131"/>
    </row>
    <row r="281" spans="35:35">
      <c r="AI281" s="131"/>
    </row>
    <row r="282" spans="35:35">
      <c r="AI282" s="131"/>
    </row>
    <row r="283" spans="35:35">
      <c r="AI283" s="131"/>
    </row>
    <row r="284" spans="35:35">
      <c r="AI284" s="131"/>
    </row>
    <row r="285" spans="35:35">
      <c r="AI285" s="284"/>
    </row>
    <row r="286" spans="35:35">
      <c r="AI286" s="131"/>
    </row>
    <row r="288" spans="35:35">
      <c r="AI288" s="131"/>
    </row>
    <row r="289" spans="35:35">
      <c r="AI289" s="131"/>
    </row>
    <row r="290" spans="35:35">
      <c r="AI290" s="131"/>
    </row>
    <row r="291" spans="35:35">
      <c r="AI291" s="131"/>
    </row>
    <row r="292" spans="35:35">
      <c r="AI292" s="131"/>
    </row>
    <row r="293" spans="35:35">
      <c r="AI293" s="131"/>
    </row>
    <row r="294" spans="35:35">
      <c r="AI294" s="131"/>
    </row>
    <row r="295" spans="35:35">
      <c r="AI295" s="131"/>
    </row>
    <row r="296" spans="35:35">
      <c r="AI296" s="131"/>
    </row>
    <row r="297" spans="35:35">
      <c r="AI297" s="131"/>
    </row>
    <row r="298" spans="35:35">
      <c r="AI298" s="131"/>
    </row>
    <row r="299" spans="35:35">
      <c r="AI299" s="131"/>
    </row>
    <row r="300" spans="35:35">
      <c r="AI300" s="131"/>
    </row>
    <row r="301" spans="35:35">
      <c r="AI301" s="131"/>
    </row>
    <row r="302" spans="35:35">
      <c r="AI302" s="131"/>
    </row>
    <row r="303" spans="35:35">
      <c r="AI303" s="284"/>
    </row>
    <row r="304" spans="35:35">
      <c r="AI304" s="131"/>
    </row>
    <row r="305" spans="35:35">
      <c r="AI305" s="131"/>
    </row>
    <row r="306" spans="35:35">
      <c r="AI306" s="131"/>
    </row>
    <row r="307" spans="35:35">
      <c r="AI307" s="131"/>
    </row>
    <row r="308" spans="35:35">
      <c r="AI308" s="131"/>
    </row>
    <row r="309" spans="35:35">
      <c r="AI309" s="131"/>
    </row>
    <row r="310" spans="35:35">
      <c r="AI310" s="131"/>
    </row>
    <row r="311" spans="35:35">
      <c r="AI311" s="131"/>
    </row>
    <row r="312" spans="35:35">
      <c r="AI312" s="131"/>
    </row>
    <row r="313" spans="35:35">
      <c r="AI313" s="131"/>
    </row>
    <row r="314" spans="35:35">
      <c r="AI314" s="131"/>
    </row>
    <row r="315" spans="35:35">
      <c r="AI315" s="131"/>
    </row>
    <row r="316" spans="35:35">
      <c r="AI316" s="131"/>
    </row>
    <row r="317" spans="35:35">
      <c r="AI317" s="131"/>
    </row>
    <row r="318" spans="35:35">
      <c r="AI318" s="131"/>
    </row>
    <row r="319" spans="35:35">
      <c r="AI319" s="131"/>
    </row>
    <row r="320" spans="35:35">
      <c r="AI320" s="131"/>
    </row>
    <row r="321" spans="35:35">
      <c r="AI321" s="131"/>
    </row>
    <row r="322" spans="35:35">
      <c r="AI322" s="131"/>
    </row>
    <row r="323" spans="35:35">
      <c r="AI323" s="131"/>
    </row>
    <row r="324" spans="35:35">
      <c r="AI324" s="131"/>
    </row>
    <row r="325" spans="35:35">
      <c r="AI325" s="131"/>
    </row>
    <row r="326" spans="35:35">
      <c r="AI326" s="131"/>
    </row>
    <row r="327" spans="35:35">
      <c r="AI327" s="131"/>
    </row>
    <row r="328" spans="35:35">
      <c r="AI328" s="131"/>
    </row>
    <row r="329" spans="35:35">
      <c r="AI329" s="131"/>
    </row>
    <row r="330" spans="35:35">
      <c r="AI330" s="131"/>
    </row>
    <row r="331" spans="35:35">
      <c r="AI331" s="284"/>
    </row>
    <row r="332" spans="35:35">
      <c r="AI332" s="131"/>
    </row>
    <row r="333" spans="35:35">
      <c r="AI333" s="131"/>
    </row>
    <row r="334" spans="35:35">
      <c r="AI334" s="131"/>
    </row>
    <row r="335" spans="35:35">
      <c r="AI335" s="131"/>
    </row>
    <row r="336" spans="35:35">
      <c r="AI336" s="131"/>
    </row>
    <row r="337" spans="35:35">
      <c r="AI337" s="131"/>
    </row>
    <row r="338" spans="35:35">
      <c r="AI338" s="131"/>
    </row>
    <row r="339" spans="35:35">
      <c r="AI339" s="131"/>
    </row>
    <row r="340" spans="35:35">
      <c r="AI340" s="131"/>
    </row>
    <row r="341" spans="35:35">
      <c r="AI341" s="131"/>
    </row>
    <row r="342" spans="35:35">
      <c r="AI342" s="131"/>
    </row>
    <row r="343" spans="35:35">
      <c r="AI343" s="131"/>
    </row>
    <row r="344" spans="35:35">
      <c r="AI344" s="131"/>
    </row>
    <row r="345" spans="35:35">
      <c r="AI345" s="131"/>
    </row>
    <row r="346" spans="35:35">
      <c r="AI346" s="131"/>
    </row>
    <row r="347" spans="35:35">
      <c r="AI347" s="131"/>
    </row>
    <row r="348" spans="35:35">
      <c r="AI348" s="131"/>
    </row>
    <row r="349" spans="35:35">
      <c r="AI349" s="284"/>
    </row>
    <row r="350" spans="35:35">
      <c r="AI350" s="131"/>
    </row>
    <row r="351" spans="35:35">
      <c r="AI351" s="284"/>
    </row>
    <row r="352" spans="35:35">
      <c r="AI352" s="131"/>
    </row>
    <row r="353" spans="35:35">
      <c r="AI353" s="131"/>
    </row>
    <row r="354" spans="35:35">
      <c r="AI354" s="131"/>
    </row>
    <row r="355" spans="35:35">
      <c r="AI355" s="131"/>
    </row>
    <row r="356" spans="35:35">
      <c r="AI356" s="131"/>
    </row>
    <row r="357" spans="35:35">
      <c r="AI357" s="131"/>
    </row>
    <row r="358" spans="35:35">
      <c r="AI358" s="131"/>
    </row>
    <row r="359" spans="35:35">
      <c r="AI359" s="131"/>
    </row>
    <row r="360" spans="35:35">
      <c r="AI360" s="131"/>
    </row>
    <row r="361" spans="35:35">
      <c r="AI361" s="131"/>
    </row>
    <row r="362" spans="35:35">
      <c r="AI362" s="131"/>
    </row>
    <row r="363" spans="35:35">
      <c r="AI363" s="131"/>
    </row>
    <row r="364" spans="35:35">
      <c r="AI364" s="131"/>
    </row>
    <row r="365" spans="35:35">
      <c r="AI365" s="131"/>
    </row>
    <row r="366" spans="35:35">
      <c r="AI366" s="131"/>
    </row>
    <row r="367" spans="35:35">
      <c r="AI367" s="131"/>
    </row>
    <row r="368" spans="35:35">
      <c r="AI368" s="131"/>
    </row>
    <row r="369" spans="35:35">
      <c r="AI369" s="131"/>
    </row>
    <row r="370" spans="35:35">
      <c r="AI370" s="131"/>
    </row>
    <row r="371" spans="35:35">
      <c r="AI371" s="131"/>
    </row>
    <row r="372" spans="35:35">
      <c r="AI372" s="131"/>
    </row>
    <row r="373" spans="35:35">
      <c r="AI373" s="131"/>
    </row>
    <row r="374" spans="35:35">
      <c r="AI374" s="131"/>
    </row>
    <row r="375" spans="35:35">
      <c r="AI375" s="131"/>
    </row>
    <row r="376" spans="35:35">
      <c r="AI376" s="131"/>
    </row>
    <row r="377" spans="35:35">
      <c r="AI377" s="131"/>
    </row>
    <row r="378" spans="35:35">
      <c r="AI378" s="131"/>
    </row>
    <row r="379" spans="35:35">
      <c r="AI379" s="131"/>
    </row>
    <row r="380" spans="35:35">
      <c r="AI380" s="131"/>
    </row>
    <row r="381" spans="35:35">
      <c r="AI381" s="131"/>
    </row>
    <row r="382" spans="35:35">
      <c r="AI382" s="131"/>
    </row>
    <row r="383" spans="35:35">
      <c r="AI383" s="131"/>
    </row>
    <row r="384" spans="35:35">
      <c r="AI384" s="131"/>
    </row>
    <row r="385" spans="35:35">
      <c r="AI385" s="131"/>
    </row>
    <row r="386" spans="35:35">
      <c r="AI386" s="284"/>
    </row>
    <row r="387" spans="35:35">
      <c r="AI387" s="131"/>
    </row>
    <row r="388" spans="35:35">
      <c r="AI388" s="131"/>
    </row>
    <row r="389" spans="35:35">
      <c r="AI389" s="131"/>
    </row>
    <row r="390" spans="35:35">
      <c r="AI390" s="131"/>
    </row>
    <row r="391" spans="35:35">
      <c r="AI391" s="131"/>
    </row>
    <row r="392" spans="35:35">
      <c r="AI392" s="131"/>
    </row>
    <row r="393" spans="35:35">
      <c r="AI393" s="131"/>
    </row>
    <row r="394" spans="35:35">
      <c r="AI394" s="131"/>
    </row>
    <row r="395" spans="35:35">
      <c r="AI395" s="131"/>
    </row>
    <row r="396" spans="35:35">
      <c r="AI396" s="131"/>
    </row>
    <row r="397" spans="35:35">
      <c r="AI397" s="131"/>
    </row>
    <row r="398" spans="35:35">
      <c r="AI398" s="131"/>
    </row>
    <row r="399" spans="35:35">
      <c r="AI399" s="131"/>
    </row>
    <row r="400" spans="35:35">
      <c r="AI400" s="131"/>
    </row>
    <row r="401" spans="35:35">
      <c r="AI401" s="131"/>
    </row>
    <row r="402" spans="35:35">
      <c r="AI402" s="131"/>
    </row>
    <row r="403" spans="35:35">
      <c r="AI403" s="131"/>
    </row>
    <row r="404" spans="35:35">
      <c r="AI404" s="131"/>
    </row>
    <row r="405" spans="35:35">
      <c r="AI405" s="131"/>
    </row>
    <row r="406" spans="35:35">
      <c r="AI406" s="131"/>
    </row>
    <row r="407" spans="35:35">
      <c r="AI407" s="131"/>
    </row>
    <row r="408" spans="35:35">
      <c r="AI408" s="131"/>
    </row>
    <row r="409" spans="35:35">
      <c r="AI409" s="131"/>
    </row>
    <row r="410" spans="35:35">
      <c r="AI410" s="131"/>
    </row>
    <row r="411" spans="35:35">
      <c r="AI411" s="131"/>
    </row>
    <row r="412" spans="35:35">
      <c r="AI412" s="131"/>
    </row>
    <row r="413" spans="35:35">
      <c r="AI413" s="131"/>
    </row>
    <row r="414" spans="35:35">
      <c r="AI414" s="131"/>
    </row>
    <row r="415" spans="35:35">
      <c r="AI415" s="131"/>
    </row>
    <row r="416" spans="35:35">
      <c r="AI416" s="131"/>
    </row>
    <row r="417" spans="35:35">
      <c r="AI417" s="131"/>
    </row>
    <row r="418" spans="35:35">
      <c r="AI418" s="131"/>
    </row>
    <row r="419" spans="35:35">
      <c r="AI419" s="131"/>
    </row>
    <row r="420" spans="35:35">
      <c r="AI420" s="131"/>
    </row>
    <row r="421" spans="35:35">
      <c r="AI421" s="131"/>
    </row>
    <row r="422" spans="35:35">
      <c r="AI422" s="131"/>
    </row>
    <row r="423" spans="35:35">
      <c r="AI423" s="131"/>
    </row>
    <row r="424" spans="35:35">
      <c r="AI424" s="131"/>
    </row>
    <row r="425" spans="35:35">
      <c r="AI425" s="131"/>
    </row>
    <row r="426" spans="35:35">
      <c r="AI426" s="131"/>
    </row>
    <row r="427" spans="35:35">
      <c r="AI427" s="131"/>
    </row>
    <row r="428" spans="35:35">
      <c r="AI428" s="131"/>
    </row>
    <row r="429" spans="35:35">
      <c r="AI429" s="131"/>
    </row>
    <row r="430" spans="35:35">
      <c r="AI430" s="131"/>
    </row>
    <row r="431" spans="35:35">
      <c r="AI431" s="286"/>
    </row>
    <row r="432" spans="35:35">
      <c r="AI432" s="131"/>
    </row>
    <row r="433" spans="35:35">
      <c r="AI433" s="131"/>
    </row>
    <row r="434" spans="35:35">
      <c r="AI434" s="131"/>
    </row>
    <row r="435" spans="35:35">
      <c r="AI435" s="131"/>
    </row>
    <row r="436" spans="35:35">
      <c r="AI436" s="131"/>
    </row>
    <row r="437" spans="35:35">
      <c r="AI437" s="131"/>
    </row>
    <row r="438" spans="35:35">
      <c r="AI438" s="131"/>
    </row>
    <row r="439" spans="35:35">
      <c r="AI439" s="131"/>
    </row>
    <row r="440" spans="35:35">
      <c r="AI440" s="131"/>
    </row>
    <row r="441" spans="35:35">
      <c r="AI441" s="131"/>
    </row>
    <row r="442" spans="35:35">
      <c r="AI442" s="131"/>
    </row>
    <row r="443" spans="35:35">
      <c r="AI443" s="131"/>
    </row>
    <row r="444" spans="35:35">
      <c r="AI444" s="131"/>
    </row>
    <row r="445" spans="35:35">
      <c r="AI445" s="131"/>
    </row>
    <row r="446" spans="35:35">
      <c r="AI446" s="131"/>
    </row>
    <row r="447" spans="35:35">
      <c r="AI447" s="131"/>
    </row>
    <row r="448" spans="35:35">
      <c r="AI448" s="131"/>
    </row>
    <row r="449" spans="35:35">
      <c r="AI449" s="131"/>
    </row>
    <row r="450" spans="35:35">
      <c r="AI450" s="131"/>
    </row>
    <row r="451" spans="35:35">
      <c r="AI451" s="131"/>
    </row>
    <row r="452" spans="35:35">
      <c r="AI452" s="131"/>
    </row>
    <row r="453" spans="35:35">
      <c r="AI453" s="131"/>
    </row>
    <row r="454" spans="35:35">
      <c r="AI454" s="131"/>
    </row>
    <row r="455" spans="35:35">
      <c r="AI455" s="131"/>
    </row>
    <row r="456" spans="35:35">
      <c r="AI456" s="131"/>
    </row>
    <row r="457" spans="35:35">
      <c r="AI457" s="131"/>
    </row>
    <row r="458" spans="35:35">
      <c r="AI458" s="131"/>
    </row>
    <row r="459" spans="35:35">
      <c r="AI459" s="131"/>
    </row>
    <row r="460" spans="35:35">
      <c r="AI460" s="131"/>
    </row>
    <row r="461" spans="35:35">
      <c r="AI461" s="131"/>
    </row>
    <row r="462" spans="35:35">
      <c r="AI462" s="131"/>
    </row>
    <row r="463" spans="35:35">
      <c r="AI463" s="131"/>
    </row>
    <row r="464" spans="35:35">
      <c r="AI464" s="131"/>
    </row>
    <row r="465" spans="35:35">
      <c r="AI465" s="131"/>
    </row>
    <row r="466" spans="35:35">
      <c r="AI466" s="131"/>
    </row>
    <row r="467" spans="35:35">
      <c r="AI467" s="131"/>
    </row>
    <row r="468" spans="35:35">
      <c r="AI468" s="131"/>
    </row>
    <row r="469" spans="35:35">
      <c r="AI469" s="131"/>
    </row>
    <row r="470" spans="35:35">
      <c r="AI470" s="131"/>
    </row>
    <row r="471" spans="35:35">
      <c r="AI471" s="131"/>
    </row>
    <row r="472" spans="35:35">
      <c r="AI472" s="34"/>
    </row>
    <row r="473" spans="35:35">
      <c r="AI473" s="131"/>
    </row>
    <row r="474" spans="35:35">
      <c r="AI474" s="131"/>
    </row>
    <row r="475" spans="35:35">
      <c r="AI475" s="284"/>
    </row>
    <row r="476" spans="35:35">
      <c r="AI476" s="131"/>
    </row>
    <row r="477" spans="35:35">
      <c r="AI477" s="131"/>
    </row>
    <row r="478" spans="35:35">
      <c r="AI478" s="131"/>
    </row>
    <row r="479" spans="35:35">
      <c r="AI479" s="131"/>
    </row>
    <row r="480" spans="35:35">
      <c r="AI480" s="131"/>
    </row>
    <row r="481" spans="35:35">
      <c r="AI481" s="284"/>
    </row>
    <row r="482" spans="35:35">
      <c r="AI482" s="131"/>
    </row>
    <row r="483" spans="35:35">
      <c r="AI483" s="131"/>
    </row>
    <row r="484" spans="35:35">
      <c r="AI484" s="131"/>
    </row>
    <row r="485" spans="35:35">
      <c r="AI485" s="131"/>
    </row>
    <row r="486" spans="35:35">
      <c r="AI486" s="131"/>
    </row>
    <row r="487" spans="35:35">
      <c r="AI487" s="131"/>
    </row>
    <row r="488" spans="35:35">
      <c r="AI488" s="131"/>
    </row>
    <row r="489" spans="35:35">
      <c r="AI489" s="131"/>
    </row>
    <row r="490" spans="35:35">
      <c r="AI490" s="131"/>
    </row>
    <row r="491" spans="35:35">
      <c r="AI491" s="131"/>
    </row>
    <row r="492" spans="35:35">
      <c r="AI492" s="284"/>
    </row>
    <row r="493" spans="35:35">
      <c r="AI493" s="131"/>
    </row>
    <row r="494" spans="35:35">
      <c r="AI494" s="131"/>
    </row>
    <row r="495" spans="35:35">
      <c r="AI495" s="131"/>
    </row>
    <row r="496" spans="35:35">
      <c r="AI496" s="131"/>
    </row>
    <row r="497" spans="35:35">
      <c r="AI497" s="131"/>
    </row>
    <row r="498" spans="35:35">
      <c r="AI498" s="131"/>
    </row>
    <row r="499" spans="35:35">
      <c r="AI499" s="131"/>
    </row>
    <row r="500" spans="35:35">
      <c r="AI500" s="131"/>
    </row>
    <row r="501" spans="35:35">
      <c r="AI501" s="131"/>
    </row>
    <row r="502" spans="35:35">
      <c r="AI502" s="284"/>
    </row>
    <row r="503" spans="35:35">
      <c r="AI503" s="131"/>
    </row>
    <row r="504" spans="35:35">
      <c r="AI504" s="131"/>
    </row>
    <row r="505" spans="35:35">
      <c r="AI505" s="131"/>
    </row>
    <row r="506" spans="35:35">
      <c r="AI506" s="131"/>
    </row>
    <row r="507" spans="35:35">
      <c r="AI507" s="131"/>
    </row>
    <row r="508" spans="35:35">
      <c r="AI508" s="131"/>
    </row>
    <row r="509" spans="35:35">
      <c r="AI509" s="131"/>
    </row>
    <row r="510" spans="35:35">
      <c r="AI510" s="284"/>
    </row>
    <row r="511" spans="35:35">
      <c r="AI511" s="131"/>
    </row>
    <row r="512" spans="35:35">
      <c r="AI512" s="131"/>
    </row>
    <row r="513" spans="35:35">
      <c r="AI513" s="131"/>
    </row>
    <row r="514" spans="35:35">
      <c r="AI514" s="131"/>
    </row>
    <row r="515" spans="35:35">
      <c r="AI515" s="131"/>
    </row>
    <row r="516" spans="35:35">
      <c r="AI516" s="131"/>
    </row>
    <row r="517" spans="35:35">
      <c r="AI517" s="131"/>
    </row>
    <row r="518" spans="35:35">
      <c r="AI518" s="131"/>
    </row>
    <row r="519" spans="35:35">
      <c r="AI519" s="131"/>
    </row>
    <row r="520" spans="35:35">
      <c r="AI520" s="284"/>
    </row>
    <row r="521" spans="35:35">
      <c r="AI521" s="131"/>
    </row>
    <row r="522" spans="35:35">
      <c r="AI522" s="131"/>
    </row>
    <row r="523" spans="35:35">
      <c r="AI523" s="131"/>
    </row>
    <row r="524" spans="35:35">
      <c r="AI524" s="131"/>
    </row>
    <row r="525" spans="35:35">
      <c r="AI525" s="131"/>
    </row>
    <row r="526" spans="35:35">
      <c r="AI526" s="131"/>
    </row>
    <row r="527" spans="35:35">
      <c r="AI527" s="131"/>
    </row>
    <row r="528" spans="35:35">
      <c r="AI528" s="131"/>
    </row>
    <row r="529" spans="35:35">
      <c r="AI529" s="131"/>
    </row>
    <row r="530" spans="35:35">
      <c r="AI530" s="131"/>
    </row>
    <row r="531" spans="35:35">
      <c r="AI531" s="131"/>
    </row>
    <row r="532" spans="35:35">
      <c r="AI532" s="131"/>
    </row>
    <row r="533" spans="35:35">
      <c r="AI533" s="131"/>
    </row>
    <row r="534" spans="35:35">
      <c r="AI534" s="131"/>
    </row>
    <row r="535" spans="35:35">
      <c r="AI535" s="131"/>
    </row>
    <row r="536" spans="35:35">
      <c r="AI536" s="131"/>
    </row>
    <row r="537" spans="35:35">
      <c r="AI537" s="131"/>
    </row>
    <row r="538" spans="35:35">
      <c r="AI538" s="131"/>
    </row>
    <row r="539" spans="35:35">
      <c r="AI539" s="131"/>
    </row>
    <row r="540" spans="35:35">
      <c r="AI540" s="131"/>
    </row>
    <row r="541" spans="35:35">
      <c r="AI541" s="284"/>
    </row>
    <row r="542" spans="35:35">
      <c r="AI542" s="131"/>
    </row>
    <row r="543" spans="35:35">
      <c r="AI543" s="131"/>
    </row>
    <row r="544" spans="35:35">
      <c r="AI544" s="131"/>
    </row>
    <row r="546" spans="35:35">
      <c r="AI546" s="131"/>
    </row>
    <row r="547" spans="35:35">
      <c r="AI547" s="131"/>
    </row>
    <row r="548" spans="35:35">
      <c r="AI548" s="131"/>
    </row>
    <row r="549" spans="35:35">
      <c r="AI549" s="131"/>
    </row>
    <row r="550" spans="35:35">
      <c r="AI550" s="131"/>
    </row>
    <row r="551" spans="35:35">
      <c r="AI551" s="131"/>
    </row>
    <row r="552" spans="35:35">
      <c r="AI552" s="131"/>
    </row>
    <row r="553" spans="35:35">
      <c r="AI553" s="131"/>
    </row>
    <row r="554" spans="35:35">
      <c r="AI554" s="284"/>
    </row>
    <row r="555" spans="35:35">
      <c r="AI555" s="131"/>
    </row>
    <row r="556" spans="35:35">
      <c r="AI556" s="131"/>
    </row>
    <row r="557" spans="35:35">
      <c r="AI557" s="131"/>
    </row>
    <row r="558" spans="35:35">
      <c r="AI558" s="284"/>
    </row>
    <row r="559" spans="35:35">
      <c r="AI559" s="131"/>
    </row>
    <row r="560" spans="35:35">
      <c r="AI560" s="131"/>
    </row>
    <row r="561" spans="35:35">
      <c r="AI561" s="131"/>
    </row>
    <row r="562" spans="35:35">
      <c r="AI562" s="131"/>
    </row>
    <row r="563" spans="35:35">
      <c r="AI563" s="131"/>
    </row>
    <row r="564" spans="35:35">
      <c r="AI564" s="131"/>
    </row>
    <row r="565" spans="35:35">
      <c r="AI565" s="131"/>
    </row>
    <row r="566" spans="35:35">
      <c r="AI566" s="131"/>
    </row>
    <row r="567" spans="35:35">
      <c r="AI567" s="131"/>
    </row>
    <row r="568" spans="35:35">
      <c r="AI568" s="131"/>
    </row>
    <row r="569" spans="35:35">
      <c r="AI569" s="131"/>
    </row>
    <row r="570" spans="35:35">
      <c r="AI570" s="131"/>
    </row>
    <row r="571" spans="35:35">
      <c r="AI571" s="131"/>
    </row>
    <row r="572" spans="35:35">
      <c r="AI572" s="131"/>
    </row>
    <row r="573" spans="35:35">
      <c r="AI573" s="131"/>
    </row>
    <row r="574" spans="35:35">
      <c r="AI574" s="131"/>
    </row>
    <row r="575" spans="35:35">
      <c r="AI575" s="131"/>
    </row>
    <row r="576" spans="35:35">
      <c r="AI576" s="131"/>
    </row>
    <row r="577" spans="35:35">
      <c r="AI577" s="131"/>
    </row>
    <row r="578" spans="35:35">
      <c r="AI578" s="131"/>
    </row>
    <row r="579" spans="35:35">
      <c r="AI579" s="131"/>
    </row>
    <row r="580" spans="35:35">
      <c r="AI580" s="131"/>
    </row>
    <row r="581" spans="35:35">
      <c r="AI581" s="131"/>
    </row>
    <row r="582" spans="35:35">
      <c r="AI582" s="131"/>
    </row>
    <row r="583" spans="35:35">
      <c r="AI583" s="131"/>
    </row>
    <row r="584" spans="35:35">
      <c r="AI584" s="131"/>
    </row>
    <row r="585" spans="35:35">
      <c r="AI585" s="131"/>
    </row>
    <row r="586" spans="35:35">
      <c r="AI586" s="131"/>
    </row>
    <row r="587" spans="35:35">
      <c r="AI587" s="131"/>
    </row>
    <row r="588" spans="35:35">
      <c r="AI588" s="131"/>
    </row>
    <row r="589" spans="35:35">
      <c r="AI589" s="131"/>
    </row>
    <row r="590" spans="35:35">
      <c r="AI590" s="131"/>
    </row>
    <row r="591" spans="35:35">
      <c r="AI591" s="131"/>
    </row>
    <row r="592" spans="35:35">
      <c r="AI592" s="131"/>
    </row>
    <row r="593" spans="35:35">
      <c r="AI593" s="131"/>
    </row>
    <row r="594" spans="35:35">
      <c r="AI594" s="131"/>
    </row>
    <row r="595" spans="35:35">
      <c r="AI595" s="131"/>
    </row>
    <row r="596" spans="35:35">
      <c r="AI596" s="131"/>
    </row>
    <row r="597" spans="35:35">
      <c r="AI597" s="131"/>
    </row>
    <row r="598" spans="35:35">
      <c r="AI598" s="131"/>
    </row>
    <row r="599" spans="35:35">
      <c r="AI599" s="131"/>
    </row>
    <row r="600" spans="35:35">
      <c r="AI600" s="131"/>
    </row>
    <row r="601" spans="35:35">
      <c r="AI601" s="131"/>
    </row>
    <row r="602" spans="35:35">
      <c r="AI602" s="131"/>
    </row>
    <row r="603" spans="35:35">
      <c r="AI603" s="28"/>
    </row>
    <row r="604" spans="35:35">
      <c r="AI604" s="131"/>
    </row>
    <row r="605" spans="35:35">
      <c r="AI605" s="131"/>
    </row>
    <row r="606" spans="35:35">
      <c r="AI606" s="131"/>
    </row>
    <row r="607" spans="35:35">
      <c r="AI607" s="131"/>
    </row>
    <row r="608" spans="35:35">
      <c r="AI608" s="131"/>
    </row>
    <row r="609" spans="35:35">
      <c r="AI609" s="131"/>
    </row>
    <row r="610" spans="35:35">
      <c r="AI610" s="131"/>
    </row>
    <row r="611" spans="35:35">
      <c r="AI611" s="131"/>
    </row>
    <row r="612" spans="35:35">
      <c r="AI612" s="131"/>
    </row>
    <row r="613" spans="35:35">
      <c r="AI613" s="131"/>
    </row>
    <row r="614" spans="35:35">
      <c r="AI614" s="131"/>
    </row>
    <row r="615" spans="35:35">
      <c r="AI615" s="131"/>
    </row>
    <row r="616" spans="35:35">
      <c r="AI616" s="131"/>
    </row>
    <row r="617" spans="35:35">
      <c r="AI617" s="131"/>
    </row>
    <row r="618" spans="35:35">
      <c r="AI618" s="131"/>
    </row>
    <row r="619" spans="35:35">
      <c r="AI619" s="131"/>
    </row>
    <row r="620" spans="35:35">
      <c r="AI620" s="131"/>
    </row>
    <row r="621" spans="35:35">
      <c r="AI621" s="131"/>
    </row>
    <row r="622" spans="35:35">
      <c r="AI622" s="131"/>
    </row>
    <row r="623" spans="35:35">
      <c r="AI623" s="131"/>
    </row>
    <row r="624" spans="35:35">
      <c r="AI624" s="131"/>
    </row>
    <row r="625" spans="35:35">
      <c r="AI625" s="131"/>
    </row>
    <row r="626" spans="35:35">
      <c r="AI626" s="131"/>
    </row>
    <row r="627" spans="35:35">
      <c r="AI627" s="131"/>
    </row>
    <row r="628" spans="35:35">
      <c r="AI628" s="131"/>
    </row>
    <row r="629" spans="35:35">
      <c r="AI629" s="131"/>
    </row>
    <row r="630" spans="35:35">
      <c r="AI630" s="131"/>
    </row>
    <row r="631" spans="35:35">
      <c r="AI631" s="131"/>
    </row>
    <row r="632" spans="35:35">
      <c r="AI632" s="131"/>
    </row>
    <row r="633" spans="35:35">
      <c r="AI633" s="131"/>
    </row>
    <row r="634" spans="35:35">
      <c r="AI634" s="131"/>
    </row>
    <row r="635" spans="35:35">
      <c r="AI635" s="131"/>
    </row>
    <row r="636" spans="35:35">
      <c r="AI636" s="284"/>
    </row>
    <row r="637" spans="35:35">
      <c r="AI637" s="284"/>
    </row>
    <row r="638" spans="35:35">
      <c r="AI638" s="131"/>
    </row>
    <row r="639" spans="35:35">
      <c r="AI639" s="131"/>
    </row>
    <row r="640" spans="35:35">
      <c r="AI640" s="131"/>
    </row>
    <row r="641" spans="35:35">
      <c r="AI641" s="131"/>
    </row>
    <row r="642" spans="35:35">
      <c r="AI642" s="131"/>
    </row>
    <row r="643" spans="35:35">
      <c r="AI643" s="131"/>
    </row>
    <row r="644" spans="35:35">
      <c r="AI644" s="131"/>
    </row>
    <row r="645" spans="35:35">
      <c r="AI645" s="131"/>
    </row>
    <row r="646" spans="35:35">
      <c r="AI646" s="131"/>
    </row>
    <row r="647" spans="35:35">
      <c r="AI647" s="131"/>
    </row>
    <row r="648" spans="35:35">
      <c r="AI648" s="131"/>
    </row>
    <row r="649" spans="35:35">
      <c r="AI649" s="131"/>
    </row>
    <row r="650" spans="35:35">
      <c r="AI650" s="131"/>
    </row>
    <row r="651" spans="35:35">
      <c r="AI651" s="131"/>
    </row>
    <row r="652" spans="35:35">
      <c r="AI652" s="131"/>
    </row>
    <row r="653" spans="35:35">
      <c r="AI653" s="131"/>
    </row>
    <row r="654" spans="35:35">
      <c r="AI654" s="131"/>
    </row>
    <row r="655" spans="35:35">
      <c r="AI655" s="131"/>
    </row>
    <row r="656" spans="35:35">
      <c r="AI656" s="131"/>
    </row>
    <row r="657" spans="35:35">
      <c r="AI657" s="131"/>
    </row>
    <row r="658" spans="35:35">
      <c r="AI658" s="131"/>
    </row>
    <row r="659" spans="35:35">
      <c r="AI659" s="131"/>
    </row>
    <row r="660" spans="35:35">
      <c r="AI660" s="131"/>
    </row>
    <row r="661" spans="35:35">
      <c r="AI661" s="131"/>
    </row>
    <row r="662" spans="35:35">
      <c r="AI662" s="131"/>
    </row>
    <row r="663" spans="35:35">
      <c r="AI663" s="131"/>
    </row>
    <row r="664" spans="35:35">
      <c r="AI664" s="131"/>
    </row>
    <row r="665" spans="35:35">
      <c r="AI665" s="131"/>
    </row>
    <row r="666" spans="35:35">
      <c r="AI666" s="131"/>
    </row>
    <row r="667" spans="35:35">
      <c r="AI667" s="131"/>
    </row>
    <row r="668" spans="35:35">
      <c r="AI668" s="131"/>
    </row>
    <row r="669" spans="35:35">
      <c r="AI669" s="131"/>
    </row>
    <row r="670" spans="35:35">
      <c r="AI670" s="131"/>
    </row>
    <row r="671" spans="35:35">
      <c r="AI671" s="131"/>
    </row>
    <row r="672" spans="35:35">
      <c r="AI672" s="131"/>
    </row>
    <row r="673" spans="35:35">
      <c r="AI673" s="131"/>
    </row>
    <row r="674" spans="35:35">
      <c r="AI674" s="131"/>
    </row>
    <row r="675" spans="35:35">
      <c r="AI675" s="131"/>
    </row>
    <row r="676" spans="35:35">
      <c r="AI676" s="284"/>
    </row>
    <row r="677" spans="35:35">
      <c r="AI677" s="131"/>
    </row>
    <row r="678" spans="35:35">
      <c r="AI678" s="131"/>
    </row>
    <row r="679" spans="35:35">
      <c r="AI679" s="131"/>
    </row>
    <row r="680" spans="35:35">
      <c r="AI680" s="131"/>
    </row>
    <row r="681" spans="35:35">
      <c r="AI681" s="131"/>
    </row>
    <row r="682" spans="35:35">
      <c r="AI682" s="131"/>
    </row>
    <row r="683" spans="35:35">
      <c r="AI683" s="131"/>
    </row>
    <row r="684" spans="35:35">
      <c r="AI684" s="131"/>
    </row>
    <row r="685" spans="35:35">
      <c r="AI685" s="131"/>
    </row>
    <row r="686" spans="35:35">
      <c r="AI686" s="131"/>
    </row>
    <row r="687" spans="35:35">
      <c r="AI687" s="131"/>
    </row>
    <row r="688" spans="35:35">
      <c r="AI688" s="131"/>
    </row>
    <row r="689" spans="35:35">
      <c r="AI689" s="131"/>
    </row>
    <row r="690" spans="35:35">
      <c r="AI690" s="131"/>
    </row>
    <row r="691" spans="35:35">
      <c r="AI691" s="131"/>
    </row>
    <row r="692" spans="35:35">
      <c r="AI692" s="131"/>
    </row>
    <row r="693" spans="35:35">
      <c r="AI693" s="131"/>
    </row>
    <row r="694" spans="35:35">
      <c r="AI694" s="131"/>
    </row>
    <row r="695" spans="35:35">
      <c r="AI695" s="131"/>
    </row>
    <row r="696" spans="35:35">
      <c r="AI696" s="131"/>
    </row>
    <row r="697" spans="35:35">
      <c r="AI697" s="131"/>
    </row>
    <row r="698" spans="35:35">
      <c r="AI698" s="131"/>
    </row>
    <row r="699" spans="35:35">
      <c r="AI699" s="131"/>
    </row>
    <row r="700" spans="35:35">
      <c r="AI700" s="131"/>
    </row>
    <row r="701" spans="35:35">
      <c r="AI701" s="131"/>
    </row>
    <row r="702" spans="35:35">
      <c r="AI702" s="131"/>
    </row>
    <row r="703" spans="35:35">
      <c r="AI703" s="131"/>
    </row>
    <row r="704" spans="35:35">
      <c r="AI704" s="131"/>
    </row>
    <row r="705" spans="35:35">
      <c r="AI705" s="131"/>
    </row>
    <row r="706" spans="35:35">
      <c r="AI706" s="131"/>
    </row>
    <row r="707" spans="35:35">
      <c r="AI707" s="131"/>
    </row>
    <row r="708" spans="35:35">
      <c r="AI708" s="131"/>
    </row>
    <row r="709" spans="35:35">
      <c r="AI709" s="131"/>
    </row>
    <row r="710" spans="35:35">
      <c r="AI710" s="131"/>
    </row>
    <row r="711" spans="35:35">
      <c r="AI711" s="131"/>
    </row>
    <row r="712" spans="35:35">
      <c r="AI712" s="131"/>
    </row>
    <row r="713" spans="35:35">
      <c r="AI713" s="131"/>
    </row>
    <row r="714" spans="35:35">
      <c r="AI714" s="131"/>
    </row>
    <row r="715" spans="35:35">
      <c r="AI715" s="131"/>
    </row>
    <row r="716" spans="35:35">
      <c r="AI716" s="131"/>
    </row>
    <row r="717" spans="35:35">
      <c r="AI717" s="131"/>
    </row>
    <row r="718" spans="35:35">
      <c r="AI718" s="131"/>
    </row>
    <row r="719" spans="35:35">
      <c r="AI719" s="131"/>
    </row>
    <row r="720" spans="35:35">
      <c r="AI720" s="131"/>
    </row>
    <row r="721" spans="35:35">
      <c r="AI721" s="131"/>
    </row>
    <row r="722" spans="35:35">
      <c r="AI722" s="131"/>
    </row>
    <row r="723" spans="35:35">
      <c r="AI723" s="131"/>
    </row>
    <row r="724" spans="35:35">
      <c r="AI724" s="131"/>
    </row>
    <row r="725" spans="35:35">
      <c r="AI725" s="131"/>
    </row>
    <row r="726" spans="35:35">
      <c r="AI726" s="131"/>
    </row>
    <row r="727" spans="35:35">
      <c r="AI727" s="131"/>
    </row>
    <row r="728" spans="35:35">
      <c r="AI728" s="131"/>
    </row>
    <row r="729" spans="35:35">
      <c r="AI729" s="131"/>
    </row>
    <row r="730" spans="35:35">
      <c r="AI730" s="131"/>
    </row>
    <row r="731" spans="35:35">
      <c r="AI731" s="131"/>
    </row>
    <row r="732" spans="35:35">
      <c r="AI732" s="131"/>
    </row>
    <row r="733" spans="35:35">
      <c r="AI733" s="131"/>
    </row>
    <row r="734" spans="35:35">
      <c r="AI734" s="284"/>
    </row>
    <row r="735" spans="35:35">
      <c r="AI735" s="131"/>
    </row>
    <row r="736" spans="35:35">
      <c r="AI736" s="131"/>
    </row>
    <row r="737" spans="35:35">
      <c r="AI737" s="131"/>
    </row>
    <row r="738" spans="35:35">
      <c r="AI738" s="131"/>
    </row>
    <row r="739" spans="35:35">
      <c r="AI739" s="131"/>
    </row>
    <row r="740" spans="35:35">
      <c r="AI740" s="131"/>
    </row>
    <row r="741" spans="35:35">
      <c r="AI741" s="131"/>
    </row>
    <row r="742" spans="35:35">
      <c r="AI742" s="131"/>
    </row>
    <row r="743" spans="35:35">
      <c r="AI743" s="131"/>
    </row>
    <row r="744" spans="35:35">
      <c r="AI744" s="131"/>
    </row>
    <row r="745" spans="35:35">
      <c r="AI745" s="131"/>
    </row>
    <row r="746" spans="35:35">
      <c r="AI746" s="131"/>
    </row>
    <row r="747" spans="35:35">
      <c r="AI747" s="131"/>
    </row>
    <row r="748" spans="35:35">
      <c r="AI748" s="131"/>
    </row>
    <row r="749" spans="35:35">
      <c r="AI749" s="131"/>
    </row>
    <row r="750" spans="35:35">
      <c r="AI750" s="131"/>
    </row>
    <row r="751" spans="35:35">
      <c r="AI751" s="131"/>
    </row>
    <row r="752" spans="35:35">
      <c r="AI752" s="131"/>
    </row>
    <row r="753" spans="35:35">
      <c r="AI753" s="131"/>
    </row>
    <row r="754" spans="35:35">
      <c r="AI754" s="131"/>
    </row>
    <row r="755" spans="35:35">
      <c r="AI755" s="131"/>
    </row>
    <row r="756" spans="35:35">
      <c r="AI756" s="131"/>
    </row>
    <row r="757" spans="35:35">
      <c r="AI757" s="131"/>
    </row>
    <row r="758" spans="35:35">
      <c r="AI758" s="131"/>
    </row>
    <row r="759" spans="35:35">
      <c r="AI759" s="131"/>
    </row>
    <row r="760" spans="35:35">
      <c r="AI760" s="131"/>
    </row>
    <row r="761" spans="35:35">
      <c r="AI761" s="131"/>
    </row>
    <row r="762" spans="35:35">
      <c r="AI762" s="131"/>
    </row>
    <row r="763" spans="35:35">
      <c r="AI763" s="131"/>
    </row>
    <row r="764" spans="35:35">
      <c r="AI764" s="131"/>
    </row>
    <row r="765" spans="35:35">
      <c r="AI765" s="131"/>
    </row>
    <row r="766" spans="35:35">
      <c r="AI766" s="131"/>
    </row>
    <row r="767" spans="35:35">
      <c r="AI767" s="131"/>
    </row>
    <row r="768" spans="35:35">
      <c r="AI768" s="131"/>
    </row>
    <row r="769" spans="35:35">
      <c r="AI769" s="131"/>
    </row>
    <row r="770" spans="35:35">
      <c r="AI770" s="131"/>
    </row>
    <row r="771" spans="35:35">
      <c r="AI771" s="131"/>
    </row>
    <row r="772" spans="35:35">
      <c r="AI772" s="131"/>
    </row>
    <row r="773" spans="35:35">
      <c r="AI773" s="131"/>
    </row>
    <row r="774" spans="35:35">
      <c r="AI774" s="131"/>
    </row>
    <row r="775" spans="35:35">
      <c r="AI775" s="131"/>
    </row>
    <row r="776" spans="35:35">
      <c r="AI776" s="131"/>
    </row>
    <row r="777" spans="35:35">
      <c r="AI777" s="131"/>
    </row>
    <row r="778" spans="35:35">
      <c r="AI778" s="131"/>
    </row>
    <row r="779" spans="35:35">
      <c r="AI779" s="131"/>
    </row>
    <row r="780" spans="35:35">
      <c r="AI780" s="131"/>
    </row>
    <row r="781" spans="35:35">
      <c r="AI781" s="131"/>
    </row>
    <row r="782" spans="35:35">
      <c r="AI782" s="131"/>
    </row>
    <row r="783" spans="35:35">
      <c r="AI783" s="131"/>
    </row>
    <row r="784" spans="35:35">
      <c r="AI784" s="131"/>
    </row>
    <row r="785" spans="35:35">
      <c r="AI785" s="131"/>
    </row>
    <row r="786" spans="35:35">
      <c r="AI786" s="131"/>
    </row>
    <row r="787" spans="35:35">
      <c r="AI787" s="131"/>
    </row>
    <row r="788" spans="35:35">
      <c r="AI788" s="131"/>
    </row>
    <row r="789" spans="35:35">
      <c r="AI789" s="131"/>
    </row>
    <row r="790" spans="35:35">
      <c r="AI790" s="131"/>
    </row>
    <row r="791" spans="35:35">
      <c r="AI791" s="284"/>
    </row>
    <row r="792" spans="35:35">
      <c r="AI792" s="131"/>
    </row>
    <row r="793" spans="35:35">
      <c r="AI793" s="131"/>
    </row>
    <row r="794" spans="35:35">
      <c r="AI794" s="131"/>
    </row>
    <row r="795" spans="35:35">
      <c r="AI795" s="131"/>
    </row>
    <row r="796" spans="35:35">
      <c r="AI796" s="131"/>
    </row>
    <row r="797" spans="35:35">
      <c r="AI797" s="131"/>
    </row>
    <row r="798" spans="35:35">
      <c r="AI798" s="131"/>
    </row>
    <row r="799" spans="35:35">
      <c r="AI799" s="131"/>
    </row>
    <row r="800" spans="35:35">
      <c r="AI800" s="131"/>
    </row>
    <row r="801" spans="35:35">
      <c r="AI801" s="131"/>
    </row>
    <row r="802" spans="35:35">
      <c r="AI802" s="131"/>
    </row>
    <row r="803" spans="35:35">
      <c r="AI803" s="131"/>
    </row>
    <row r="804" spans="35:35">
      <c r="AI804" s="131"/>
    </row>
    <row r="805" spans="35:35">
      <c r="AI805" s="131"/>
    </row>
    <row r="806" spans="35:35">
      <c r="AI806" s="131"/>
    </row>
    <row r="807" spans="35:35">
      <c r="AI807" s="131"/>
    </row>
    <row r="808" spans="35:35">
      <c r="AI808" s="131"/>
    </row>
    <row r="809" spans="35:35">
      <c r="AI809" s="131"/>
    </row>
    <row r="810" spans="35:35">
      <c r="AI810" s="131"/>
    </row>
    <row r="811" spans="35:35">
      <c r="AI811" s="131"/>
    </row>
    <row r="812" spans="35:35">
      <c r="AI812" s="131"/>
    </row>
    <row r="813" spans="35:35">
      <c r="AI813" s="131"/>
    </row>
    <row r="814" spans="35:35">
      <c r="AI814" s="131"/>
    </row>
    <row r="815" spans="35:35">
      <c r="AI815" s="131"/>
    </row>
    <row r="816" spans="35:35">
      <c r="AI816" s="131"/>
    </row>
    <row r="817" spans="35:35">
      <c r="AI817" s="131"/>
    </row>
    <row r="818" spans="35:35">
      <c r="AI818" s="131"/>
    </row>
    <row r="819" spans="35:35">
      <c r="AI819" s="253"/>
    </row>
    <row r="820" spans="35:35">
      <c r="AI820" s="131"/>
    </row>
    <row r="821" spans="35:35">
      <c r="AI821" s="131"/>
    </row>
    <row r="822" spans="35:35">
      <c r="AI822" s="131"/>
    </row>
    <row r="823" spans="35:35">
      <c r="AI823" s="131"/>
    </row>
    <row r="824" spans="35:35">
      <c r="AI824" s="131"/>
    </row>
    <row r="825" spans="35:35">
      <c r="AI825" s="131"/>
    </row>
    <row r="826" spans="35:35">
      <c r="AI826" s="131"/>
    </row>
    <row r="827" spans="35:35">
      <c r="AI827" s="131"/>
    </row>
    <row r="828" spans="35:35">
      <c r="AI828" s="131"/>
    </row>
    <row r="829" spans="35:35">
      <c r="AI829" s="131"/>
    </row>
    <row r="830" spans="35:35">
      <c r="AI830" s="131"/>
    </row>
    <row r="831" spans="35:35">
      <c r="AI831" s="131"/>
    </row>
    <row r="832" spans="35:35">
      <c r="AI832" s="131"/>
    </row>
    <row r="833" spans="35:35">
      <c r="AI833" s="284"/>
    </row>
    <row r="834" spans="35:35">
      <c r="AI834" s="131"/>
    </row>
    <row r="835" spans="35:35">
      <c r="AI835" s="131"/>
    </row>
    <row r="836" spans="35:35">
      <c r="AI836" s="131"/>
    </row>
    <row r="837" spans="35:35">
      <c r="AI837" s="131"/>
    </row>
    <row r="838" spans="35:35">
      <c r="AI838" s="131"/>
    </row>
    <row r="839" spans="35:35">
      <c r="AI839" s="131"/>
    </row>
    <row r="840" spans="35:35">
      <c r="AI840" s="131"/>
    </row>
    <row r="841" spans="35:35">
      <c r="AI841" s="131"/>
    </row>
    <row r="843" spans="35:35">
      <c r="AI843" s="131"/>
    </row>
    <row r="844" spans="35:35">
      <c r="AI844" s="131"/>
    </row>
    <row r="845" spans="35:35">
      <c r="AI845" s="284"/>
    </row>
    <row r="846" spans="35:35">
      <c r="AI846" s="131"/>
    </row>
    <row r="847" spans="35:35">
      <c r="AI847" s="284"/>
    </row>
    <row r="848" spans="35:35">
      <c r="AI848" s="131"/>
    </row>
    <row r="849" spans="35:35">
      <c r="AI849" s="131"/>
    </row>
    <row r="850" spans="35:35">
      <c r="AI850" s="131"/>
    </row>
    <row r="851" spans="35:35">
      <c r="AI851" s="284"/>
    </row>
    <row r="852" spans="35:35">
      <c r="AI852" s="128"/>
    </row>
    <row r="854" spans="35:35">
      <c r="AI854" s="131"/>
    </row>
    <row r="855" spans="35:35">
      <c r="AI855" s="284"/>
    </row>
    <row r="856" spans="35:35">
      <c r="AI856" s="131"/>
    </row>
    <row r="857" spans="35:35">
      <c r="AI857" s="131"/>
    </row>
    <row r="858" spans="35:35">
      <c r="AI858" s="284"/>
    </row>
    <row r="859" spans="35:35">
      <c r="AI859" s="131"/>
    </row>
    <row r="860" spans="35:35">
      <c r="AI860" s="131"/>
    </row>
    <row r="861" spans="35:35">
      <c r="AI861" s="131"/>
    </row>
    <row r="862" spans="35:35">
      <c r="AI862" s="131"/>
    </row>
    <row r="863" spans="35:35">
      <c r="AI863" s="131"/>
    </row>
    <row r="864" spans="35:35">
      <c r="AI864" s="284"/>
    </row>
    <row r="865" spans="35:35">
      <c r="AI865" s="131"/>
    </row>
    <row r="866" spans="35:35">
      <c r="AI866" s="131"/>
    </row>
    <row r="867" spans="35:35">
      <c r="AI867" s="131"/>
    </row>
    <row r="868" spans="35:35">
      <c r="AI868" s="131"/>
    </row>
    <row r="870" spans="35:35">
      <c r="AI870" s="284"/>
    </row>
    <row r="871" spans="35:35">
      <c r="AI871" s="131"/>
    </row>
    <row r="872" spans="35:35">
      <c r="AI872" s="131"/>
    </row>
    <row r="873" spans="35:35">
      <c r="AI873" s="131"/>
    </row>
    <row r="874" spans="35:35">
      <c r="AI874" s="131"/>
    </row>
    <row r="875" spans="35:35">
      <c r="AI875" s="131"/>
    </row>
    <row r="876" spans="35:35">
      <c r="AI876" s="131"/>
    </row>
    <row r="877" spans="35:35">
      <c r="AI877" s="131"/>
    </row>
    <row r="878" spans="35:35">
      <c r="AI878" s="131"/>
    </row>
    <row r="879" spans="35:35">
      <c r="AI879" s="27"/>
    </row>
    <row r="880" spans="35:35">
      <c r="AI880" s="131"/>
    </row>
    <row r="881" spans="35:35">
      <c r="AI881" s="131"/>
    </row>
    <row r="882" spans="35:35">
      <c r="AI882" s="131"/>
    </row>
    <row r="883" spans="35:35">
      <c r="AI883" s="131"/>
    </row>
    <row r="884" spans="35:35">
      <c r="AI884" s="131"/>
    </row>
    <row r="885" spans="35:35">
      <c r="AI885" s="131"/>
    </row>
    <row r="886" spans="35:35">
      <c r="AI886" s="131"/>
    </row>
    <row r="887" spans="35:35">
      <c r="AI887" s="284"/>
    </row>
    <row r="888" spans="35:35">
      <c r="AI888" s="131"/>
    </row>
    <row r="889" spans="35:35">
      <c r="AI889" s="131"/>
    </row>
    <row r="890" spans="35:35">
      <c r="AI890" s="131"/>
    </row>
    <row r="891" spans="35:35">
      <c r="AI891" s="131"/>
    </row>
    <row r="892" spans="35:35">
      <c r="AI892" s="131"/>
    </row>
    <row r="893" spans="35:35">
      <c r="AI893" s="131"/>
    </row>
    <row r="894" spans="35:35">
      <c r="AI894" s="284"/>
    </row>
    <row r="895" spans="35:35">
      <c r="AI895" s="131"/>
    </row>
    <row r="896" spans="35:35">
      <c r="AI896" s="131"/>
    </row>
    <row r="897" spans="35:35">
      <c r="AI897" s="131"/>
    </row>
    <row r="898" spans="35:35">
      <c r="AI898" s="131"/>
    </row>
    <row r="899" spans="35:35">
      <c r="AI899" s="131"/>
    </row>
    <row r="900" spans="35:35">
      <c r="AI900" s="131"/>
    </row>
    <row r="901" spans="35:35">
      <c r="AI901" s="131"/>
    </row>
    <row r="902" spans="35:35">
      <c r="AI902" s="284"/>
    </row>
    <row r="903" spans="35:35">
      <c r="AI903" s="131"/>
    </row>
    <row r="904" spans="35:35">
      <c r="AI904" s="131"/>
    </row>
    <row r="905" spans="35:35">
      <c r="AI905" s="131"/>
    </row>
    <row r="906" spans="35:35">
      <c r="AI906" s="131"/>
    </row>
    <row r="907" spans="35:35">
      <c r="AI907" s="131"/>
    </row>
    <row r="908" spans="35:35">
      <c r="AI908" s="131"/>
    </row>
    <row r="909" spans="35:35">
      <c r="AI909" s="131"/>
    </row>
    <row r="910" spans="35:35">
      <c r="AI910" s="131"/>
    </row>
    <row r="911" spans="35:35">
      <c r="AI911" s="131"/>
    </row>
    <row r="912" spans="35:35">
      <c r="AI912" s="128"/>
    </row>
    <row r="913" spans="35:35">
      <c r="AI913" s="128"/>
    </row>
    <row r="914" spans="35:35">
      <c r="AI914" s="131"/>
    </row>
    <row r="915" spans="35:35">
      <c r="AI915" s="131"/>
    </row>
    <row r="916" spans="35:35">
      <c r="AI916" s="131"/>
    </row>
    <row r="917" spans="35:35">
      <c r="AI917" s="131"/>
    </row>
    <row r="918" spans="35:35">
      <c r="AI918" s="131"/>
    </row>
    <row r="919" spans="35:35">
      <c r="AI919" s="131"/>
    </row>
    <row r="920" spans="35:35">
      <c r="AI920" s="131"/>
    </row>
    <row r="921" spans="35:35">
      <c r="AI921" s="131"/>
    </row>
    <row r="922" spans="35:35">
      <c r="AI922" s="131"/>
    </row>
    <row r="923" spans="35:35">
      <c r="AI923" s="131"/>
    </row>
    <row r="924" spans="35:35">
      <c r="AI924" s="131"/>
    </row>
    <row r="925" spans="35:35">
      <c r="AI925" s="284"/>
    </row>
    <row r="926" spans="35:35">
      <c r="AI926" s="131"/>
    </row>
    <row r="927" spans="35:35">
      <c r="AI927" s="131"/>
    </row>
    <row r="928" spans="35:35">
      <c r="AI928" s="284"/>
    </row>
    <row r="929" spans="35:35">
      <c r="AI929" s="131"/>
    </row>
    <row r="930" spans="35:35">
      <c r="AI930" s="131"/>
    </row>
    <row r="931" spans="35:35">
      <c r="AI931" s="131"/>
    </row>
    <row r="932" spans="35:35">
      <c r="AI932" s="44"/>
    </row>
    <row r="934" spans="35:35">
      <c r="AI934" s="131"/>
    </row>
    <row r="935" spans="35:35">
      <c r="AI935" s="131"/>
    </row>
    <row r="936" spans="35:35">
      <c r="AI936" s="131"/>
    </row>
    <row r="937" spans="35:35">
      <c r="AI937" s="131"/>
    </row>
    <row r="938" spans="35:35">
      <c r="AI938" s="131"/>
    </row>
    <row r="939" spans="35:35">
      <c r="AI939" s="131"/>
    </row>
    <row r="940" spans="35:35">
      <c r="AI940" s="131"/>
    </row>
    <row r="941" spans="35:35">
      <c r="AI941" s="131"/>
    </row>
    <row r="942" spans="35:35">
      <c r="AI942" s="128"/>
    </row>
    <row r="943" spans="35:35">
      <c r="AI943" s="131"/>
    </row>
    <row r="944" spans="35:35">
      <c r="AI944" s="131"/>
    </row>
    <row r="945" spans="35:35">
      <c r="AI945" s="131"/>
    </row>
    <row r="946" spans="35:35">
      <c r="AI946" s="131"/>
    </row>
    <row r="947" spans="35:35">
      <c r="AI947" s="131"/>
    </row>
    <row r="948" spans="35:35">
      <c r="AI948" s="131"/>
    </row>
    <row r="949" spans="35:35">
      <c r="AI949" s="131"/>
    </row>
    <row r="950" spans="35:35">
      <c r="AI950" s="131"/>
    </row>
    <row r="952" spans="35:35">
      <c r="AI952" s="131"/>
    </row>
    <row r="953" spans="35:35">
      <c r="AI953" s="131"/>
    </row>
    <row r="954" spans="35:35">
      <c r="AI954" s="131"/>
    </row>
    <row r="955" spans="35:35">
      <c r="AI955" s="131"/>
    </row>
    <row r="956" spans="35:35">
      <c r="AI956" s="284"/>
    </row>
    <row r="957" spans="35:35">
      <c r="AI957" s="131"/>
    </row>
    <row r="958" spans="35:35">
      <c r="AI958" s="131"/>
    </row>
    <row r="959" spans="35:35">
      <c r="AI959" s="131"/>
    </row>
    <row r="960" spans="35:35">
      <c r="AI960" s="131"/>
    </row>
    <row r="961" spans="35:35">
      <c r="AI961" s="131"/>
    </row>
    <row r="962" spans="35:35">
      <c r="AI962" s="131"/>
    </row>
    <row r="963" spans="35:35">
      <c r="AI963" s="128"/>
    </row>
    <row r="964" spans="35:35">
      <c r="AI964" s="131"/>
    </row>
    <row r="965" spans="35:35">
      <c r="AI965" s="284"/>
    </row>
    <row r="966" spans="35:35">
      <c r="AI966" s="131"/>
    </row>
    <row r="967" spans="35:35">
      <c r="AI967" s="131"/>
    </row>
    <row r="968" spans="35:35">
      <c r="AI968" s="131"/>
    </row>
    <row r="969" spans="35:35">
      <c r="AI969" s="131"/>
    </row>
    <row r="970" spans="35:35">
      <c r="AI970" s="131"/>
    </row>
    <row r="971" spans="35:35">
      <c r="AI971" s="131"/>
    </row>
    <row r="972" spans="35:35">
      <c r="AI972" s="131"/>
    </row>
    <row r="973" spans="35:35">
      <c r="AI973" s="131"/>
    </row>
    <row r="974" spans="35:35">
      <c r="AI974" s="131"/>
    </row>
    <row r="975" spans="35:35">
      <c r="AI975" s="131"/>
    </row>
    <row r="976" spans="35:35">
      <c r="AI976" s="131"/>
    </row>
    <row r="977" spans="35:35">
      <c r="AI977" s="131"/>
    </row>
    <row r="978" spans="35:35">
      <c r="AI978" s="131"/>
    </row>
    <row r="979" spans="35:35">
      <c r="AI979" s="131"/>
    </row>
    <row r="980" spans="35:35">
      <c r="AI980" s="131"/>
    </row>
    <row r="981" spans="35:35">
      <c r="AI981" s="131"/>
    </row>
    <row r="982" spans="35:35">
      <c r="AI982" s="131"/>
    </row>
    <row r="983" spans="35:35">
      <c r="AI983" s="131"/>
    </row>
    <row r="984" spans="35:35">
      <c r="AI984" s="128"/>
    </row>
    <row r="985" spans="35:35">
      <c r="AI985" s="131"/>
    </row>
    <row r="986" spans="35:35">
      <c r="AI986" s="131"/>
    </row>
    <row r="987" spans="35:35">
      <c r="AI987" s="131"/>
    </row>
    <row r="988" spans="35:35">
      <c r="AI988" s="131"/>
    </row>
    <row r="989" spans="35:35">
      <c r="AI989" s="131"/>
    </row>
    <row r="990" spans="35:35">
      <c r="AI990" s="28"/>
    </row>
    <row r="991" spans="35:35">
      <c r="AI991" s="128"/>
    </row>
    <row r="992" spans="35:35">
      <c r="AI992" s="284"/>
    </row>
    <row r="993" spans="35:35">
      <c r="AI993" s="284"/>
    </row>
    <row r="994" spans="35:35">
      <c r="AI994" s="131"/>
    </row>
    <row r="995" spans="35:35">
      <c r="AI995" s="128"/>
    </row>
    <row r="996" spans="35:35">
      <c r="AI996" s="131"/>
    </row>
    <row r="997" spans="35:35">
      <c r="AI997" s="131"/>
    </row>
    <row r="998" spans="35:35">
      <c r="AI998" s="131"/>
    </row>
    <row r="999" spans="35:35">
      <c r="AI999" s="44"/>
    </row>
    <row r="1000" spans="35:35">
      <c r="AI1000" s="131"/>
    </row>
    <row r="1002" spans="35:35">
      <c r="AI1002" s="131"/>
    </row>
    <row r="1003" spans="35:35">
      <c r="AI1003" s="128"/>
    </row>
    <row r="1004" spans="35:35">
      <c r="AI1004" s="131"/>
    </row>
    <row r="1005" spans="35:35">
      <c r="AI1005" s="131"/>
    </row>
    <row r="1006" spans="35:35">
      <c r="AI1006" s="128"/>
    </row>
    <row r="1007" spans="35:35">
      <c r="AI1007" s="131"/>
    </row>
    <row r="1008" spans="35:35">
      <c r="AI1008" s="131"/>
    </row>
    <row r="1009" spans="35:36">
      <c r="AI1009" s="131"/>
    </row>
    <row r="1010" spans="35:36">
      <c r="AI1010" s="131"/>
    </row>
    <row r="1011" spans="35:36">
      <c r="AI1011" s="131"/>
    </row>
    <row r="1012" spans="35:36">
      <c r="AI1012" s="131"/>
    </row>
    <row r="1013" spans="35:36">
      <c r="AI1013" s="131"/>
    </row>
    <row r="1014" spans="35:36">
      <c r="AI1014" s="131"/>
    </row>
    <row r="1015" spans="35:36">
      <c r="AI1015" s="131"/>
    </row>
    <row r="1016" spans="35:36">
      <c r="AI1016" s="131"/>
    </row>
    <row r="1017" spans="35:36">
      <c r="AI1017" s="284"/>
    </row>
    <row r="1018" spans="35:36">
      <c r="AI1018" s="131"/>
    </row>
    <row r="1019" spans="35:36">
      <c r="AI1019" s="131"/>
    </row>
    <row r="1020" spans="35:36">
      <c r="AI1020" s="131"/>
    </row>
    <row r="1021" spans="35:36">
      <c r="AI1021" s="131"/>
    </row>
    <row r="1022" spans="35:36">
      <c r="AI1022" s="131"/>
      <c r="AJ1022" s="264" t="s">
        <v>5277</v>
      </c>
    </row>
    <row r="1023" spans="35:36">
      <c r="AI1023" s="131"/>
    </row>
    <row r="1024" spans="35:36">
      <c r="AI1024" s="128"/>
    </row>
    <row r="1025" spans="35:35">
      <c r="AI1025" s="131"/>
    </row>
    <row r="1026" spans="35:35">
      <c r="AI1026" s="131"/>
    </row>
    <row r="1027" spans="35:35">
      <c r="AI1027" s="131"/>
    </row>
    <row r="1028" spans="35:35">
      <c r="AI1028" s="131"/>
    </row>
    <row r="1029" spans="35:35">
      <c r="AI1029" s="284"/>
    </row>
    <row r="1031" spans="35:35">
      <c r="AI1031" s="131"/>
    </row>
    <row r="1032" spans="35:35">
      <c r="AI1032" s="131"/>
    </row>
    <row r="1033" spans="35:35">
      <c r="AI1033" s="131"/>
    </row>
    <row r="1034" spans="35:35">
      <c r="AI1034" s="28"/>
    </row>
    <row r="1035" spans="35:35">
      <c r="AI1035" s="131"/>
    </row>
    <row r="1036" spans="35:35">
      <c r="AI1036" s="284"/>
    </row>
    <row r="1037" spans="35:35">
      <c r="AI1037" s="128"/>
    </row>
    <row r="1038" spans="35:35">
      <c r="AI1038" s="131"/>
    </row>
    <row r="1039" spans="35:35">
      <c r="AI1039" s="131"/>
    </row>
    <row r="1040" spans="35:35">
      <c r="AI1040" s="131"/>
    </row>
    <row r="1041" spans="35:35">
      <c r="AI1041" s="131"/>
    </row>
    <row r="1042" spans="35:35">
      <c r="AI1042" s="131"/>
    </row>
    <row r="1043" spans="35:35">
      <c r="AI1043" s="131"/>
    </row>
    <row r="1044" spans="35:35">
      <c r="AI1044" s="131"/>
    </row>
    <row r="1045" spans="35:35">
      <c r="AI1045" s="131"/>
    </row>
    <row r="1046" spans="35:35">
      <c r="AI1046" s="131"/>
    </row>
    <row r="1047" spans="35:35">
      <c r="AI1047" s="131"/>
    </row>
    <row r="1048" spans="35:35">
      <c r="AI1048" s="131"/>
    </row>
    <row r="1049" spans="35:35">
      <c r="AI1049" s="131"/>
    </row>
    <row r="1050" spans="35:35">
      <c r="AI1050" s="131"/>
    </row>
    <row r="1051" spans="35:35">
      <c r="AI1051" s="284"/>
    </row>
    <row r="1053" spans="35:35">
      <c r="AI1053" s="131"/>
    </row>
    <row r="1054" spans="35:35">
      <c r="AI1054" s="131"/>
    </row>
    <row r="1055" spans="35:35">
      <c r="AI1055" s="131"/>
    </row>
    <row r="1056" spans="35:35">
      <c r="AI1056" s="131"/>
    </row>
    <row r="1057" spans="35:35">
      <c r="AI1057" s="131"/>
    </row>
    <row r="1058" spans="35:35">
      <c r="AI1058" s="131"/>
    </row>
    <row r="1059" spans="35:35">
      <c r="AI1059" s="131"/>
    </row>
    <row r="1060" spans="35:35">
      <c r="AI1060" s="131"/>
    </row>
    <row r="1061" spans="35:35">
      <c r="AI1061" s="131"/>
    </row>
    <row r="1062" spans="35:35">
      <c r="AI1062" s="131"/>
    </row>
    <row r="1063" spans="35:35">
      <c r="AI1063" s="131"/>
    </row>
    <row r="1064" spans="35:35">
      <c r="AI1064" s="131"/>
    </row>
    <row r="1065" spans="35:35">
      <c r="AI1065" s="131"/>
    </row>
    <row r="1066" spans="35:35">
      <c r="AI1066" s="131"/>
    </row>
    <row r="1068" spans="35:35">
      <c r="AI1068" s="131"/>
    </row>
    <row r="1069" spans="35:35">
      <c r="AI1069" s="128"/>
    </row>
    <row r="1070" spans="35:35">
      <c r="AI1070" s="131"/>
    </row>
    <row r="1071" spans="35:35">
      <c r="AI1071" s="131"/>
    </row>
    <row r="1072" spans="35:35">
      <c r="AI1072" s="131"/>
    </row>
    <row r="1073" spans="35:35">
      <c r="AI1073" s="131"/>
    </row>
    <row r="1074" spans="35:35">
      <c r="AI1074" s="131"/>
    </row>
    <row r="1075" spans="35:35">
      <c r="AI1075" s="131"/>
    </row>
    <row r="1077" spans="35:35">
      <c r="AI1077" s="131"/>
    </row>
    <row r="1078" spans="35:35">
      <c r="AI1078" s="131"/>
    </row>
    <row r="1079" spans="35:35">
      <c r="AI1079" s="131"/>
    </row>
    <row r="1080" spans="35:35">
      <c r="AI1080" s="131"/>
    </row>
    <row r="1081" spans="35:35">
      <c r="AI1081" s="131"/>
    </row>
    <row r="1082" spans="35:35">
      <c r="AI1082" s="131"/>
    </row>
    <row r="1083" spans="35:35">
      <c r="AI1083" s="131"/>
    </row>
    <row r="1084" spans="35:35">
      <c r="AI1084" s="131"/>
    </row>
    <row r="1085" spans="35:35">
      <c r="AI1085" s="131"/>
    </row>
    <row r="1086" spans="35:35">
      <c r="AI1086" s="128"/>
    </row>
    <row r="1087" spans="35:35">
      <c r="AI1087" s="131"/>
    </row>
    <row r="1088" spans="35:35">
      <c r="AI1088" s="131"/>
    </row>
    <row r="1089" spans="35:35">
      <c r="AI1089" s="131"/>
    </row>
    <row r="1091" spans="35:35">
      <c r="AI1091" s="131"/>
    </row>
    <row r="1092" spans="35:35">
      <c r="AI1092" s="131"/>
    </row>
    <row r="1093" spans="35:35">
      <c r="AI1093" s="284"/>
    </row>
    <row r="1094" spans="35:35">
      <c r="AI1094" s="131"/>
    </row>
    <row r="1095" spans="35:35">
      <c r="AI1095" s="284"/>
    </row>
    <row r="1096" spans="35:35">
      <c r="AI1096" s="131"/>
    </row>
    <row r="1097" spans="35:35">
      <c r="AI1097" s="131"/>
    </row>
    <row r="1098" spans="35:35">
      <c r="AI1098" s="131"/>
    </row>
    <row r="1099" spans="35:35">
      <c r="AI1099" s="284"/>
    </row>
    <row r="1100" spans="35:35">
      <c r="AI1100" s="284"/>
    </row>
    <row r="1101" spans="35:35">
      <c r="AI1101" s="131"/>
    </row>
    <row r="1102" spans="35:35">
      <c r="AI1102" s="131"/>
    </row>
    <row r="1103" spans="35:35">
      <c r="AI1103" s="131"/>
    </row>
    <row r="1104" spans="35:35">
      <c r="AI1104" s="131"/>
    </row>
    <row r="1105" spans="35:35">
      <c r="AI1105" s="284"/>
    </row>
    <row r="1106" spans="35:35">
      <c r="AI1106" s="131"/>
    </row>
    <row r="1107" spans="35:35">
      <c r="AI1107" s="284"/>
    </row>
    <row r="1108" spans="35:35">
      <c r="AI1108" s="131"/>
    </row>
    <row r="1109" spans="35:35">
      <c r="AI1109" s="284"/>
    </row>
    <row r="1110" spans="35:35">
      <c r="AI1110" s="131"/>
    </row>
    <row r="1111" spans="35:35">
      <c r="AI1111" s="131"/>
    </row>
    <row r="1112" spans="35:35">
      <c r="AI1112" s="131"/>
    </row>
    <row r="1113" spans="35:35">
      <c r="AI1113" s="131"/>
    </row>
    <row r="1114" spans="35:35">
      <c r="AI1114" s="131"/>
    </row>
    <row r="1115" spans="35:35">
      <c r="AI1115" s="131"/>
    </row>
    <row r="1116" spans="35:35">
      <c r="AI1116" s="131"/>
    </row>
    <row r="1117" spans="35:35">
      <c r="AI1117" s="131"/>
    </row>
    <row r="1118" spans="35:35">
      <c r="AI1118" s="131"/>
    </row>
    <row r="1119" spans="35:35">
      <c r="AI1119" s="131"/>
    </row>
    <row r="1120" spans="35:35">
      <c r="AI1120" s="131"/>
    </row>
    <row r="1121" spans="35:35">
      <c r="AI1121" s="131"/>
    </row>
    <row r="1122" spans="35:35">
      <c r="AI1122" s="131"/>
    </row>
    <row r="1123" spans="35:35">
      <c r="AI1123" s="131"/>
    </row>
    <row r="1124" spans="35:35">
      <c r="AI1124" s="131"/>
    </row>
    <row r="1125" spans="35:35">
      <c r="AI1125" s="131"/>
    </row>
    <row r="1126" spans="35:35">
      <c r="AI1126" s="284"/>
    </row>
    <row r="1127" spans="35:35">
      <c r="AI1127" s="131"/>
    </row>
    <row r="1128" spans="35:35">
      <c r="AI1128" s="131"/>
    </row>
    <row r="1129" spans="35:35">
      <c r="AI1129" s="131"/>
    </row>
    <row r="1130" spans="35:35">
      <c r="AI1130" s="131"/>
    </row>
    <row r="1131" spans="35:35">
      <c r="AI1131" s="131"/>
    </row>
    <row r="1132" spans="35:35">
      <c r="AI1132" s="131"/>
    </row>
    <row r="1133" spans="35:35">
      <c r="AI1133" s="131"/>
    </row>
    <row r="1134" spans="35:35">
      <c r="AI1134" s="284"/>
    </row>
    <row r="1135" spans="35:35">
      <c r="AI1135" s="131"/>
    </row>
    <row r="1136" spans="35:35">
      <c r="AI1136" s="131"/>
    </row>
    <row r="1137" spans="35:35">
      <c r="AI1137" s="131"/>
    </row>
    <row r="1138" spans="35:35">
      <c r="AI1138" s="131"/>
    </row>
    <row r="1139" spans="35:35">
      <c r="AI1139" s="131"/>
    </row>
    <row r="1140" spans="35:35">
      <c r="AI1140" s="131"/>
    </row>
    <row r="1141" spans="35:35">
      <c r="AI1141" s="131"/>
    </row>
    <row r="1142" spans="35:35">
      <c r="AI1142" s="131"/>
    </row>
    <row r="1143" spans="35:35">
      <c r="AI1143" s="131"/>
    </row>
    <row r="1144" spans="35:35">
      <c r="AI1144" s="131"/>
    </row>
    <row r="1145" spans="35:35">
      <c r="AI1145" s="128"/>
    </row>
    <row r="1146" spans="35:35">
      <c r="AI1146" s="131"/>
    </row>
    <row r="1147" spans="35:35">
      <c r="AI1147" s="131"/>
    </row>
    <row r="1148" spans="35:35">
      <c r="AI1148" s="284"/>
    </row>
    <row r="1149" spans="35:35">
      <c r="AI1149" s="131"/>
    </row>
    <row r="1150" spans="35:35">
      <c r="AI1150" s="131"/>
    </row>
    <row r="1151" spans="35:35">
      <c r="AI1151" s="131"/>
    </row>
    <row r="1152" spans="35:35">
      <c r="AI1152" s="131"/>
    </row>
    <row r="1153" spans="35:35">
      <c r="AI1153" s="131"/>
    </row>
    <row r="1154" spans="35:35">
      <c r="AI1154" s="131"/>
    </row>
    <row r="1155" spans="35:35">
      <c r="AI1155" s="131"/>
    </row>
    <row r="1156" spans="35:35">
      <c r="AI1156" s="284"/>
    </row>
    <row r="1157" spans="35:35">
      <c r="AI1157" s="284"/>
    </row>
    <row r="1158" spans="35:35">
      <c r="AI1158" s="131"/>
    </row>
    <row r="1159" spans="35:35">
      <c r="AI1159" s="284"/>
    </row>
    <row r="1160" spans="35:35">
      <c r="AI1160" s="131"/>
    </row>
    <row r="1161" spans="35:35">
      <c r="AI1161" s="131"/>
    </row>
    <row r="1162" spans="35:35">
      <c r="AI1162" s="131"/>
    </row>
    <row r="1163" spans="35:35">
      <c r="AI1163" s="131"/>
    </row>
    <row r="1164" spans="35:35">
      <c r="AI1164" s="131"/>
    </row>
    <row r="1165" spans="35:35">
      <c r="AI1165" s="131"/>
    </row>
    <row r="1166" spans="35:35">
      <c r="AI1166" s="131"/>
    </row>
    <row r="1167" spans="35:35">
      <c r="AI1167" s="284"/>
    </row>
    <row r="1168" spans="35:35">
      <c r="AI1168" s="131"/>
    </row>
    <row r="1169" spans="35:35">
      <c r="AI1169" s="131"/>
    </row>
    <row r="1170" spans="35:35">
      <c r="AI1170" s="131"/>
    </row>
    <row r="1171" spans="35:35">
      <c r="AI1171" s="131"/>
    </row>
    <row r="1172" spans="35:35">
      <c r="AI1172" s="131"/>
    </row>
    <row r="1173" spans="35:35">
      <c r="AI1173" s="131"/>
    </row>
    <row r="1174" spans="35:35">
      <c r="AI1174" s="131"/>
    </row>
    <row r="1175" spans="35:35">
      <c r="AI1175" s="131"/>
    </row>
    <row r="1176" spans="35:35">
      <c r="AI1176" s="131"/>
    </row>
    <row r="1177" spans="35:35">
      <c r="AI1177" s="131"/>
    </row>
    <row r="1178" spans="35:35">
      <c r="AI1178" s="131"/>
    </row>
    <row r="1179" spans="35:35">
      <c r="AI1179" s="132"/>
    </row>
    <row r="1180" spans="35:35">
      <c r="AI1180" s="131"/>
    </row>
    <row r="1181" spans="35:35">
      <c r="AI1181" s="131"/>
    </row>
    <row r="1182" spans="35:35">
      <c r="AI1182" s="131"/>
    </row>
    <row r="1183" spans="35:35">
      <c r="AI1183" s="131"/>
    </row>
    <row r="1184" spans="35:35">
      <c r="AI1184" s="131"/>
    </row>
    <row r="1185" spans="35:35">
      <c r="AI1185" s="131"/>
    </row>
    <row r="1186" spans="35:35">
      <c r="AI1186" s="131"/>
    </row>
    <row r="1187" spans="35:35">
      <c r="AI1187" s="284"/>
    </row>
    <row r="1188" spans="35:35">
      <c r="AI1188" s="131"/>
    </row>
    <row r="1189" spans="35:35">
      <c r="AI1189" s="131"/>
    </row>
    <row r="1190" spans="35:35">
      <c r="AI1190" s="131"/>
    </row>
    <row r="1191" spans="35:35">
      <c r="AI1191" s="131"/>
    </row>
    <row r="1192" spans="35:35">
      <c r="AI1192" s="131"/>
    </row>
    <row r="1193" spans="35:35">
      <c r="AI1193" s="131"/>
    </row>
    <row r="1194" spans="35:35">
      <c r="AI1194" s="131"/>
    </row>
    <row r="1195" spans="35:35">
      <c r="AI1195" s="131"/>
    </row>
    <row r="1196" spans="35:35">
      <c r="AI1196" s="131"/>
    </row>
    <row r="1197" spans="35:35">
      <c r="AI1197" s="131"/>
    </row>
    <row r="1198" spans="35:35">
      <c r="AI1198" s="131"/>
    </row>
    <row r="1199" spans="35:35">
      <c r="AI1199" s="131"/>
    </row>
    <row r="1200" spans="35:35">
      <c r="AI1200" s="131"/>
    </row>
    <row r="1201" spans="35:35">
      <c r="AI1201" s="131"/>
    </row>
    <row r="1202" spans="35:35">
      <c r="AI1202" s="284"/>
    </row>
    <row r="1203" spans="35:35">
      <c r="AI1203" s="284"/>
    </row>
    <row r="1204" spans="35:35">
      <c r="AI1204" s="131"/>
    </row>
    <row r="1205" spans="35:35">
      <c r="AI1205" s="131"/>
    </row>
    <row r="1206" spans="35:35">
      <c r="AI1206" s="131"/>
    </row>
    <row r="1207" spans="35:35">
      <c r="AI1207" s="131"/>
    </row>
    <row r="1208" spans="35:35">
      <c r="AI1208" s="131"/>
    </row>
    <row r="1209" spans="35:35">
      <c r="AI1209" s="131"/>
    </row>
    <row r="1210" spans="35:35">
      <c r="AI1210" s="131"/>
    </row>
    <row r="1211" spans="35:35">
      <c r="AI1211" s="131"/>
    </row>
    <row r="1212" spans="35:35">
      <c r="AI1212" s="131"/>
    </row>
    <row r="1213" spans="35:35">
      <c r="AI1213" s="284"/>
    </row>
    <row r="1214" spans="35:35">
      <c r="AI1214" s="131"/>
    </row>
    <row r="1215" spans="35:35">
      <c r="AI1215" s="131"/>
    </row>
    <row r="1216" spans="35:35">
      <c r="AI1216" s="131"/>
    </row>
    <row r="1217" spans="35:35">
      <c r="AI1217" s="131"/>
    </row>
    <row r="1218" spans="35:35">
      <c r="AI1218" s="131"/>
    </row>
    <row r="1219" spans="35:35">
      <c r="AI1219" s="131"/>
    </row>
    <row r="1220" spans="35:35">
      <c r="AI1220" s="128"/>
    </row>
    <row r="1221" spans="35:35">
      <c r="AI1221" s="131"/>
    </row>
    <row r="1223" spans="35:35">
      <c r="AI1223" s="131"/>
    </row>
    <row r="1224" spans="35:35">
      <c r="AI1224" s="284"/>
    </row>
    <row r="1225" spans="35:35">
      <c r="AI1225" s="131"/>
    </row>
    <row r="1226" spans="35:35">
      <c r="AI1226" s="131"/>
    </row>
    <row r="1227" spans="35:35">
      <c r="AI1227" s="131"/>
    </row>
    <row r="1228" spans="35:35">
      <c r="AI1228" s="131"/>
    </row>
    <row r="1229" spans="35:35">
      <c r="AI1229" s="131"/>
    </row>
    <row r="1230" spans="35:35">
      <c r="AI1230" s="131"/>
    </row>
    <row r="1231" spans="35:35">
      <c r="AI1231" s="131"/>
    </row>
    <row r="1232" spans="35:35">
      <c r="AI1232" s="131"/>
    </row>
    <row r="1233" spans="1:35">
      <c r="AI1233" s="131"/>
    </row>
    <row r="1234" spans="1:35">
      <c r="AI1234" s="131"/>
    </row>
    <row r="1235" spans="1:35">
      <c r="AI1235" s="131"/>
    </row>
    <row r="1236" spans="1:35">
      <c r="AI1236" s="131"/>
    </row>
    <row r="1237" spans="1:35">
      <c r="AI1237" s="131"/>
    </row>
    <row r="1238" spans="1:35">
      <c r="AI1238" s="131"/>
    </row>
    <row r="1239" spans="1:35">
      <c r="AI1239" s="131"/>
    </row>
    <row r="1240" spans="1:35">
      <c r="AI1240" s="131"/>
    </row>
    <row r="1241" spans="1:35">
      <c r="AI1241" s="131"/>
    </row>
    <row r="1242" spans="1:35">
      <c r="AI1242" s="131"/>
    </row>
    <row r="1243" spans="1:35">
      <c r="AI1243" s="131"/>
    </row>
    <row r="1244" spans="1:35" ht="26.4">
      <c r="A1244" s="284"/>
      <c r="B1244" s="284"/>
      <c r="C1244" s="284"/>
      <c r="D1244" s="284"/>
      <c r="E1244" s="284"/>
      <c r="F1244" s="284"/>
      <c r="H1244" s="284"/>
      <c r="I1244" s="284"/>
      <c r="J1244" s="375"/>
      <c r="K1244" s="375"/>
      <c r="L1244" s="375"/>
      <c r="M1244" s="368"/>
      <c r="N1244" s="368"/>
      <c r="T1244" s="340"/>
      <c r="V1244" s="378"/>
      <c r="W1244" s="64" ph="1"/>
      <c r="X1244" s="241"/>
      <c r="AA1244" s="284"/>
      <c r="AB1244" s="284"/>
      <c r="AC1244" s="284"/>
      <c r="AD1244" s="284"/>
      <c r="AE1244" s="284"/>
      <c r="AF1244" s="284"/>
      <c r="AG1244" s="8"/>
      <c r="AI1244" s="131"/>
    </row>
    <row r="1245" spans="1:35">
      <c r="A1245" s="284"/>
      <c r="Y1245" s="284"/>
      <c r="Z1245" s="207"/>
      <c r="AI1245" s="131"/>
    </row>
    <row r="1246" spans="1:35">
      <c r="AI1246" s="131"/>
    </row>
    <row r="1247" spans="1:35">
      <c r="AI1247" s="131"/>
    </row>
    <row r="1249" spans="1:35">
      <c r="AI1249" s="131"/>
    </row>
    <row r="1250" spans="1:35">
      <c r="AI1250" s="131"/>
    </row>
    <row r="1251" spans="1:35">
      <c r="A1251" s="284"/>
      <c r="G1251" s="284"/>
      <c r="AI1251" s="131"/>
    </row>
    <row r="1252" spans="1:35">
      <c r="AI1252" s="131"/>
    </row>
    <row r="1253" spans="1:35">
      <c r="AI1253" s="131"/>
    </row>
    <row r="1254" spans="1:35" ht="26.4">
      <c r="A1254" s="284"/>
      <c r="B1254" s="284"/>
      <c r="C1254" s="284"/>
      <c r="D1254" s="284"/>
      <c r="E1254" s="284"/>
      <c r="F1254" s="284"/>
      <c r="H1254" s="284"/>
      <c r="I1254" s="284"/>
      <c r="J1254" s="375"/>
      <c r="K1254" s="375"/>
      <c r="L1254" s="375"/>
      <c r="M1254" s="368"/>
      <c r="N1254" s="368"/>
      <c r="T1254" s="340"/>
      <c r="V1254" s="378"/>
      <c r="W1254" s="64" ph="1"/>
      <c r="X1254" s="241"/>
      <c r="AA1254" s="284"/>
      <c r="AB1254" s="284"/>
      <c r="AC1254" s="284"/>
      <c r="AD1254" s="284"/>
      <c r="AE1254" s="284"/>
      <c r="AF1254" s="284"/>
      <c r="AG1254" s="8"/>
      <c r="AI1254" s="131"/>
    </row>
    <row r="1255" spans="1:35">
      <c r="A1255" s="284"/>
      <c r="Y1255" s="284"/>
      <c r="Z1255" s="207"/>
      <c r="AI1255" s="131"/>
    </row>
    <row r="1256" spans="1:35">
      <c r="O1256" s="370"/>
      <c r="AI1256" s="131"/>
    </row>
    <row r="1257" spans="1:35">
      <c r="AI1257" s="52"/>
    </row>
    <row r="1258" spans="1:35" ht="26.4">
      <c r="A1258" s="284"/>
      <c r="B1258" s="284"/>
      <c r="C1258" s="284"/>
      <c r="D1258" s="284"/>
      <c r="E1258" s="284"/>
      <c r="F1258" s="284"/>
      <c r="H1258" s="284"/>
      <c r="I1258" s="284"/>
      <c r="J1258" s="375"/>
      <c r="K1258" s="375"/>
      <c r="L1258" s="375"/>
      <c r="M1258" s="368"/>
      <c r="N1258" s="368"/>
      <c r="T1258" s="340"/>
      <c r="V1258" s="378"/>
      <c r="W1258" s="64" ph="1"/>
      <c r="X1258" s="241"/>
      <c r="AA1258" s="284"/>
      <c r="AB1258" s="284"/>
      <c r="AC1258" s="284"/>
      <c r="AD1258" s="284"/>
      <c r="AE1258" s="284"/>
      <c r="AF1258" s="284"/>
      <c r="AG1258" s="8"/>
      <c r="AI1258" s="131"/>
    </row>
    <row r="1259" spans="1:35">
      <c r="A1259" s="284"/>
      <c r="Y1259" s="284"/>
      <c r="Z1259" s="207"/>
      <c r="AI1259" s="131"/>
    </row>
    <row r="1260" spans="1:35">
      <c r="AI1260" s="131"/>
    </row>
    <row r="1261" spans="1:35">
      <c r="A1261" s="284"/>
      <c r="G1261" s="284"/>
      <c r="AI1261" s="131"/>
    </row>
    <row r="1262" spans="1:35">
      <c r="AI1262" s="131"/>
    </row>
    <row r="1263" spans="1:35" ht="26.4">
      <c r="A1263" s="284"/>
      <c r="B1263" s="284"/>
      <c r="C1263" s="284"/>
      <c r="D1263" s="284"/>
      <c r="E1263" s="284"/>
      <c r="F1263" s="284"/>
      <c r="H1263" s="284"/>
      <c r="I1263" s="284"/>
      <c r="J1263" s="375"/>
      <c r="K1263" s="375"/>
      <c r="L1263" s="375"/>
      <c r="M1263" s="368"/>
      <c r="N1263" s="368"/>
      <c r="T1263" s="340"/>
      <c r="V1263" s="378"/>
      <c r="W1263" s="64" ph="1"/>
      <c r="X1263" s="241"/>
      <c r="AA1263" s="284"/>
      <c r="AB1263" s="284"/>
      <c r="AC1263" s="284"/>
      <c r="AD1263" s="284"/>
      <c r="AE1263" s="284"/>
      <c r="AF1263" s="284"/>
      <c r="AG1263" s="8"/>
      <c r="AI1263" s="131"/>
    </row>
    <row r="1264" spans="1:35" ht="26.4">
      <c r="A1264" s="284"/>
      <c r="B1264" s="284"/>
      <c r="C1264" s="284"/>
      <c r="D1264" s="284"/>
      <c r="E1264" s="284"/>
      <c r="F1264" s="284"/>
      <c r="H1264" s="284"/>
      <c r="I1264" s="284"/>
      <c r="J1264" s="375"/>
      <c r="K1264" s="375"/>
      <c r="L1264" s="375"/>
      <c r="M1264" s="368"/>
      <c r="N1264" s="368"/>
      <c r="T1264" s="340"/>
      <c r="V1264" s="378"/>
      <c r="W1264" s="64" ph="1"/>
      <c r="X1264" s="241"/>
      <c r="Y1264" s="284"/>
      <c r="Z1264" s="207"/>
      <c r="AA1264" s="284"/>
      <c r="AB1264" s="284"/>
      <c r="AC1264" s="284"/>
      <c r="AD1264" s="284"/>
      <c r="AE1264" s="284"/>
      <c r="AF1264" s="284"/>
      <c r="AG1264" s="8"/>
      <c r="AI1264" s="131"/>
    </row>
    <row r="1265" spans="1:35" ht="26.4">
      <c r="A1265" s="284"/>
      <c r="B1265" s="284"/>
      <c r="C1265" s="284"/>
      <c r="D1265" s="284"/>
      <c r="E1265" s="284"/>
      <c r="F1265" s="284"/>
      <c r="G1265" s="284"/>
      <c r="H1265" s="284"/>
      <c r="I1265" s="284"/>
      <c r="J1265" s="375"/>
      <c r="K1265" s="375"/>
      <c r="L1265" s="375"/>
      <c r="M1265" s="368"/>
      <c r="N1265" s="368"/>
      <c r="T1265" s="340"/>
      <c r="V1265" s="378"/>
      <c r="W1265" s="64" ph="1"/>
      <c r="X1265" s="241"/>
      <c r="Y1265" s="284"/>
      <c r="Z1265" s="207"/>
      <c r="AA1265" s="284"/>
      <c r="AB1265" s="284"/>
      <c r="AC1265" s="284"/>
      <c r="AD1265" s="284"/>
      <c r="AE1265" s="284"/>
      <c r="AF1265" s="284"/>
      <c r="AG1265" s="8"/>
      <c r="AI1265" s="131"/>
    </row>
    <row r="1266" spans="1:35">
      <c r="A1266" s="284"/>
      <c r="O1266" s="370"/>
      <c r="Y1266" s="284"/>
      <c r="Z1266" s="207"/>
      <c r="AI1266" s="131"/>
    </row>
    <row r="1267" spans="1:35" ht="26.4">
      <c r="A1267" s="284"/>
      <c r="B1267" s="284"/>
      <c r="C1267" s="284"/>
      <c r="D1267" s="284"/>
      <c r="E1267" s="284"/>
      <c r="F1267" s="284"/>
      <c r="H1267" s="284"/>
      <c r="I1267" s="284"/>
      <c r="J1267" s="375"/>
      <c r="K1267" s="375"/>
      <c r="L1267" s="375"/>
      <c r="M1267" s="368"/>
      <c r="N1267" s="368"/>
      <c r="T1267" s="340"/>
      <c r="V1267" s="378"/>
      <c r="W1267" s="64" ph="1"/>
      <c r="X1267" s="241"/>
      <c r="AA1267" s="284"/>
      <c r="AB1267" s="284"/>
      <c r="AC1267" s="284"/>
      <c r="AD1267" s="284"/>
      <c r="AE1267" s="284"/>
      <c r="AF1267" s="284"/>
      <c r="AG1267" s="8"/>
      <c r="AI1267" s="131"/>
    </row>
    <row r="1268" spans="1:35" ht="26.4">
      <c r="A1268" s="284"/>
      <c r="B1268" s="284"/>
      <c r="C1268" s="284"/>
      <c r="D1268" s="284"/>
      <c r="E1268" s="284"/>
      <c r="F1268" s="284"/>
      <c r="H1268" s="284"/>
      <c r="I1268" s="284"/>
      <c r="J1268" s="375"/>
      <c r="K1268" s="375"/>
      <c r="L1268" s="375"/>
      <c r="M1268" s="368"/>
      <c r="N1268" s="368"/>
      <c r="T1268" s="340"/>
      <c r="V1268" s="378"/>
      <c r="W1268" s="64" ph="1"/>
      <c r="X1268" s="241"/>
      <c r="Y1268" s="284"/>
      <c r="Z1268" s="207"/>
      <c r="AA1268" s="284"/>
      <c r="AB1268" s="284"/>
      <c r="AC1268" s="284"/>
      <c r="AD1268" s="284"/>
      <c r="AE1268" s="284"/>
      <c r="AF1268" s="284"/>
      <c r="AG1268" s="8"/>
      <c r="AI1268" s="284"/>
    </row>
    <row r="1269" spans="1:35">
      <c r="A1269" s="284"/>
      <c r="Y1269" s="284"/>
      <c r="Z1269" s="207"/>
      <c r="AI1269" s="27"/>
    </row>
    <row r="1270" spans="1:35" ht="26.4">
      <c r="A1270" s="284"/>
      <c r="B1270" s="284"/>
      <c r="C1270" s="284"/>
      <c r="D1270" s="284"/>
      <c r="E1270" s="284"/>
      <c r="F1270" s="284"/>
      <c r="G1270" s="284"/>
      <c r="H1270" s="284"/>
      <c r="I1270" s="284"/>
      <c r="J1270" s="375"/>
      <c r="K1270" s="375"/>
      <c r="L1270" s="375"/>
      <c r="M1270" s="368"/>
      <c r="N1270" s="368"/>
      <c r="O1270" s="370"/>
      <c r="T1270" s="340"/>
      <c r="V1270" s="378"/>
      <c r="W1270" s="64" ph="1"/>
      <c r="X1270" s="241"/>
      <c r="AA1270" s="284"/>
      <c r="AB1270" s="284"/>
      <c r="AC1270" s="284"/>
      <c r="AD1270" s="284"/>
      <c r="AE1270" s="284"/>
      <c r="AF1270" s="284"/>
      <c r="AG1270" s="8"/>
      <c r="AI1270" s="284"/>
    </row>
    <row r="1271" spans="1:35">
      <c r="A1271" s="284"/>
      <c r="G1271" s="284"/>
      <c r="Y1271" s="284"/>
      <c r="Z1271" s="207"/>
      <c r="AI1271" s="131"/>
    </row>
    <row r="1272" spans="1:35" ht="26.4">
      <c r="A1272" s="284"/>
      <c r="B1272" s="284"/>
      <c r="C1272" s="284"/>
      <c r="D1272" s="284"/>
      <c r="E1272" s="284"/>
      <c r="F1272" s="284"/>
      <c r="G1272" s="284"/>
      <c r="H1272" s="284"/>
      <c r="I1272" s="284"/>
      <c r="J1272" s="375"/>
      <c r="K1272" s="375"/>
      <c r="L1272" s="375"/>
      <c r="M1272" s="368"/>
      <c r="N1272" s="368"/>
      <c r="T1272" s="340"/>
      <c r="V1272" s="378"/>
      <c r="W1272" s="64" ph="1"/>
      <c r="X1272" s="241"/>
      <c r="AA1272" s="284"/>
      <c r="AB1272" s="284"/>
      <c r="AC1272" s="284"/>
      <c r="AD1272" s="284"/>
      <c r="AE1272" s="284"/>
      <c r="AF1272" s="284"/>
      <c r="AG1272" s="8"/>
      <c r="AI1272" s="131"/>
    </row>
    <row r="1273" spans="1:35" ht="26.4">
      <c r="A1273" s="284"/>
      <c r="B1273" s="284"/>
      <c r="C1273" s="284"/>
      <c r="D1273" s="284"/>
      <c r="E1273" s="284"/>
      <c r="F1273" s="284"/>
      <c r="H1273" s="284"/>
      <c r="I1273" s="284"/>
      <c r="J1273" s="375"/>
      <c r="K1273" s="375"/>
      <c r="L1273" s="375"/>
      <c r="M1273" s="368"/>
      <c r="N1273" s="368"/>
      <c r="T1273" s="340"/>
      <c r="V1273" s="378"/>
      <c r="W1273" s="64" ph="1"/>
      <c r="X1273" s="241"/>
      <c r="Y1273" s="284"/>
      <c r="Z1273" s="207"/>
      <c r="AA1273" s="284"/>
      <c r="AB1273" s="284"/>
      <c r="AC1273" s="284"/>
      <c r="AD1273" s="284"/>
      <c r="AE1273" s="284"/>
      <c r="AF1273" s="284"/>
      <c r="AG1273" s="8"/>
      <c r="AI1273" s="131"/>
    </row>
    <row r="1274" spans="1:35" ht="26.4">
      <c r="A1274" s="284"/>
      <c r="B1274" s="284"/>
      <c r="C1274" s="284"/>
      <c r="D1274" s="284"/>
      <c r="E1274" s="284"/>
      <c r="F1274" s="284"/>
      <c r="G1274" s="284"/>
      <c r="H1274" s="284"/>
      <c r="I1274" s="284"/>
      <c r="J1274" s="375"/>
      <c r="K1274" s="375"/>
      <c r="L1274" s="375"/>
      <c r="M1274" s="368"/>
      <c r="N1274" s="368"/>
      <c r="T1274" s="340"/>
      <c r="V1274" s="378"/>
      <c r="W1274" s="64" ph="1"/>
      <c r="X1274" s="241"/>
      <c r="Y1274" s="284"/>
      <c r="Z1274" s="207"/>
      <c r="AA1274" s="284"/>
      <c r="AB1274" s="284"/>
      <c r="AC1274" s="284"/>
      <c r="AD1274" s="284"/>
      <c r="AE1274" s="284"/>
      <c r="AF1274" s="284"/>
      <c r="AG1274" s="8"/>
      <c r="AI1274" s="131"/>
    </row>
    <row r="1275" spans="1:35" ht="26.4">
      <c r="A1275" s="284"/>
      <c r="B1275" s="284"/>
      <c r="C1275" s="284"/>
      <c r="D1275" s="284"/>
      <c r="E1275" s="284"/>
      <c r="F1275" s="284"/>
      <c r="G1275" s="284"/>
      <c r="H1275" s="284"/>
      <c r="I1275" s="284"/>
      <c r="J1275" s="375"/>
      <c r="K1275" s="375"/>
      <c r="L1275" s="375"/>
      <c r="M1275" s="368"/>
      <c r="N1275" s="368"/>
      <c r="O1275" s="370"/>
      <c r="T1275" s="340"/>
      <c r="V1275" s="378"/>
      <c r="W1275" s="64" ph="1"/>
      <c r="X1275" s="241"/>
      <c r="Y1275" s="284"/>
      <c r="Z1275" s="207"/>
      <c r="AA1275" s="284"/>
      <c r="AB1275" s="284"/>
      <c r="AC1275" s="284"/>
      <c r="AD1275" s="284"/>
      <c r="AE1275" s="284"/>
      <c r="AF1275" s="284"/>
      <c r="AG1275" s="8"/>
      <c r="AI1275" s="131"/>
    </row>
    <row r="1276" spans="1:35" ht="26.4">
      <c r="A1276" s="284"/>
      <c r="B1276" s="284"/>
      <c r="C1276" s="284"/>
      <c r="D1276" s="284"/>
      <c r="E1276" s="284"/>
      <c r="F1276" s="284"/>
      <c r="H1276" s="284"/>
      <c r="I1276" s="284"/>
      <c r="J1276" s="375"/>
      <c r="K1276" s="375"/>
      <c r="L1276" s="375"/>
      <c r="M1276" s="368"/>
      <c r="N1276" s="368"/>
      <c r="O1276" s="370"/>
      <c r="T1276" s="340"/>
      <c r="V1276" s="378"/>
      <c r="W1276" s="64" ph="1"/>
      <c r="X1276" s="241"/>
      <c r="Y1276" s="284"/>
      <c r="Z1276" s="207"/>
      <c r="AA1276" s="284"/>
      <c r="AB1276" s="284"/>
      <c r="AC1276" s="284"/>
      <c r="AD1276" s="284"/>
      <c r="AE1276" s="284"/>
      <c r="AF1276" s="284"/>
      <c r="AG1276" s="8"/>
      <c r="AI1276" s="131"/>
    </row>
    <row r="1277" spans="1:35" ht="26.4">
      <c r="A1277" s="284"/>
      <c r="B1277" s="284"/>
      <c r="C1277" s="284"/>
      <c r="D1277" s="284"/>
      <c r="E1277" s="284"/>
      <c r="F1277" s="284"/>
      <c r="G1277" s="284"/>
      <c r="H1277" s="284"/>
      <c r="I1277" s="284"/>
      <c r="J1277" s="375"/>
      <c r="K1277" s="375"/>
      <c r="L1277" s="375"/>
      <c r="M1277" s="368"/>
      <c r="N1277" s="368"/>
      <c r="O1277" s="370"/>
      <c r="T1277" s="340"/>
      <c r="V1277" s="378"/>
      <c r="W1277" s="64" ph="1"/>
      <c r="X1277" s="241"/>
      <c r="Y1277" s="284"/>
      <c r="Z1277" s="207"/>
      <c r="AA1277" s="284"/>
      <c r="AB1277" s="284"/>
      <c r="AC1277" s="284"/>
      <c r="AD1277" s="284"/>
      <c r="AE1277" s="284"/>
      <c r="AF1277" s="284"/>
      <c r="AG1277" s="8"/>
      <c r="AI1277" s="131"/>
    </row>
    <row r="1278" spans="1:35" ht="26.4">
      <c r="A1278" s="284"/>
      <c r="B1278" s="284"/>
      <c r="C1278" s="284"/>
      <c r="D1278" s="284"/>
      <c r="E1278" s="284"/>
      <c r="F1278" s="284"/>
      <c r="H1278" s="284"/>
      <c r="I1278" s="284"/>
      <c r="J1278" s="375"/>
      <c r="K1278" s="375"/>
      <c r="L1278" s="375"/>
      <c r="M1278" s="368"/>
      <c r="N1278" s="368"/>
      <c r="T1278" s="340"/>
      <c r="V1278" s="378"/>
      <c r="W1278" s="64" ph="1"/>
      <c r="X1278" s="241"/>
      <c r="Y1278" s="284"/>
      <c r="Z1278" s="207"/>
      <c r="AA1278" s="284"/>
      <c r="AB1278" s="284"/>
      <c r="AC1278" s="284"/>
      <c r="AD1278" s="284"/>
      <c r="AE1278" s="284"/>
      <c r="AF1278" s="284"/>
      <c r="AG1278" s="8"/>
      <c r="AI1278" s="131"/>
    </row>
    <row r="1279" spans="1:35" ht="26.4">
      <c r="A1279" s="284"/>
      <c r="B1279" s="284"/>
      <c r="C1279" s="284"/>
      <c r="D1279" s="284"/>
      <c r="E1279" s="284"/>
      <c r="F1279" s="284"/>
      <c r="G1279" s="284"/>
      <c r="H1279" s="284"/>
      <c r="I1279" s="284"/>
      <c r="J1279" s="375"/>
      <c r="K1279" s="375"/>
      <c r="L1279" s="375"/>
      <c r="M1279" s="368"/>
      <c r="N1279" s="368"/>
      <c r="O1279" s="370"/>
      <c r="T1279" s="340"/>
      <c r="V1279" s="378"/>
      <c r="W1279" s="64" ph="1"/>
      <c r="X1279" s="241"/>
      <c r="Y1279" s="284"/>
      <c r="Z1279" s="207"/>
      <c r="AA1279" s="284"/>
      <c r="AB1279" s="284"/>
      <c r="AC1279" s="284"/>
      <c r="AD1279" s="284"/>
      <c r="AE1279" s="284"/>
      <c r="AF1279" s="284"/>
      <c r="AG1279" s="8"/>
      <c r="AI1279" s="131"/>
    </row>
    <row r="1280" spans="1:35" ht="26.4">
      <c r="A1280" s="284"/>
      <c r="G1280" s="284"/>
      <c r="O1280" s="370"/>
      <c r="W1280" s="64" ph="1"/>
      <c r="Y1280" s="284"/>
      <c r="Z1280" s="207"/>
      <c r="AI1280" s="131"/>
    </row>
    <row r="1281" spans="1:35" ht="26.4">
      <c r="A1281" s="284"/>
      <c r="G1281" s="284"/>
      <c r="W1281" s="64" ph="1"/>
      <c r="AI1281" s="131"/>
    </row>
    <row r="1282" spans="1:35">
      <c r="A1282" s="284"/>
      <c r="G1282" s="284"/>
      <c r="O1282" s="370"/>
      <c r="AI1282" s="131"/>
    </row>
    <row r="1283" spans="1:35" ht="26.4">
      <c r="A1283" s="284"/>
      <c r="G1283" s="284"/>
      <c r="W1283" s="64" ph="1"/>
      <c r="AI1283" s="131"/>
    </row>
    <row r="1284" spans="1:35" ht="26.4">
      <c r="A1284" s="284"/>
      <c r="G1284" s="284"/>
      <c r="O1284" s="370"/>
      <c r="W1284" s="64" ph="1"/>
      <c r="AI1284" s="131"/>
    </row>
    <row r="1285" spans="1:35" ht="26.4">
      <c r="A1285" s="284"/>
      <c r="G1285" s="284"/>
      <c r="O1285" s="370"/>
      <c r="W1285" s="64" ph="1"/>
      <c r="AI1285" s="131"/>
    </row>
    <row r="1286" spans="1:35" ht="26.4">
      <c r="A1286" s="284"/>
      <c r="G1286" s="284"/>
      <c r="O1286" s="370"/>
      <c r="W1286" s="64" ph="1"/>
      <c r="AI1286" s="131"/>
    </row>
    <row r="1287" spans="1:35" ht="26.4">
      <c r="A1287" s="284"/>
      <c r="O1287" s="370"/>
      <c r="W1287" s="64" ph="1"/>
      <c r="AI1287" s="131"/>
    </row>
    <row r="1288" spans="1:35" ht="26.4">
      <c r="A1288" s="284"/>
      <c r="B1288" s="284"/>
      <c r="C1288" s="284"/>
      <c r="D1288" s="284"/>
      <c r="E1288" s="284"/>
      <c r="F1288" s="284"/>
      <c r="G1288" s="284"/>
      <c r="H1288" s="284"/>
      <c r="I1288" s="284"/>
      <c r="J1288" s="375"/>
      <c r="K1288" s="375"/>
      <c r="L1288" s="375"/>
      <c r="M1288" s="368"/>
      <c r="N1288" s="368"/>
      <c r="O1288" s="370"/>
      <c r="T1288" s="340"/>
      <c r="V1288" s="378"/>
      <c r="W1288" s="64" ph="1"/>
      <c r="X1288" s="241"/>
      <c r="Y1288" s="284"/>
      <c r="Z1288" s="207"/>
      <c r="AA1288" s="284"/>
      <c r="AB1288" s="284"/>
      <c r="AC1288" s="284"/>
      <c r="AD1288" s="284"/>
      <c r="AE1288" s="284"/>
      <c r="AF1288" s="284"/>
      <c r="AG1288" s="284"/>
      <c r="AI1288" s="131"/>
    </row>
    <row r="1289" spans="1:35" ht="26.4">
      <c r="A1289" s="284"/>
      <c r="B1289" s="284"/>
      <c r="C1289" s="284"/>
      <c r="D1289" s="284"/>
      <c r="E1289" s="284"/>
      <c r="F1289" s="284"/>
      <c r="G1289" s="284"/>
      <c r="H1289" s="284"/>
      <c r="I1289" s="284"/>
      <c r="J1289" s="375"/>
      <c r="K1289" s="375"/>
      <c r="L1289" s="375"/>
      <c r="M1289" s="368"/>
      <c r="N1289" s="368"/>
      <c r="O1289" s="370"/>
      <c r="T1289" s="340"/>
      <c r="V1289" s="378"/>
      <c r="W1289" s="64" ph="1"/>
      <c r="X1289" s="241"/>
      <c r="Y1289" s="284"/>
      <c r="Z1289" s="207"/>
      <c r="AA1289" s="284"/>
      <c r="AB1289" s="284"/>
      <c r="AC1289" s="284"/>
      <c r="AD1289" s="284"/>
      <c r="AE1289" s="284"/>
      <c r="AF1289" s="284"/>
      <c r="AG1289" s="284"/>
      <c r="AI1289" s="131"/>
    </row>
    <row r="1290" spans="1:35" ht="26.4">
      <c r="A1290" s="284"/>
      <c r="B1290" s="284"/>
      <c r="C1290" s="284"/>
      <c r="D1290" s="284"/>
      <c r="E1290" s="284"/>
      <c r="F1290" s="284"/>
      <c r="G1290" s="284"/>
      <c r="H1290" s="284"/>
      <c r="I1290" s="284"/>
      <c r="J1290" s="375"/>
      <c r="K1290" s="375"/>
      <c r="L1290" s="375"/>
      <c r="M1290" s="368"/>
      <c r="N1290" s="368"/>
      <c r="O1290" s="370"/>
      <c r="T1290" s="340"/>
      <c r="V1290" s="378"/>
      <c r="W1290" s="64" ph="1"/>
      <c r="X1290" s="241"/>
      <c r="Y1290" s="284"/>
      <c r="Z1290" s="207"/>
      <c r="AA1290" s="284"/>
      <c r="AB1290" s="284"/>
      <c r="AC1290" s="284"/>
      <c r="AD1290" s="284"/>
      <c r="AE1290" s="284"/>
      <c r="AF1290" s="284"/>
      <c r="AG1290" s="284"/>
      <c r="AI1290" s="131"/>
    </row>
    <row r="1291" spans="1:35">
      <c r="O1291" s="370"/>
      <c r="AI1291" s="131"/>
    </row>
    <row r="1292" spans="1:35" ht="26.4">
      <c r="A1292" s="284"/>
      <c r="B1292" s="284"/>
      <c r="C1292" s="284"/>
      <c r="D1292" s="284"/>
      <c r="E1292" s="284"/>
      <c r="F1292" s="284"/>
      <c r="G1292" s="284"/>
      <c r="H1292" s="284"/>
      <c r="I1292" s="284"/>
      <c r="J1292" s="375"/>
      <c r="K1292" s="375"/>
      <c r="L1292" s="375"/>
      <c r="M1292" s="368"/>
      <c r="N1292" s="368"/>
      <c r="T1292" s="340"/>
      <c r="V1292" s="378"/>
      <c r="W1292" s="64" ph="1"/>
      <c r="X1292" s="241"/>
      <c r="Y1292" s="284"/>
      <c r="Z1292" s="207"/>
      <c r="AA1292" s="284"/>
      <c r="AB1292" s="284"/>
      <c r="AC1292" s="284"/>
      <c r="AD1292" s="284"/>
      <c r="AE1292" s="284"/>
      <c r="AF1292" s="284"/>
      <c r="AG1292" s="284"/>
      <c r="AI1292" s="284"/>
    </row>
    <row r="1293" spans="1:35" ht="26.4">
      <c r="A1293" s="284"/>
      <c r="B1293" s="284"/>
      <c r="C1293" s="284"/>
      <c r="D1293" s="284"/>
      <c r="E1293" s="284"/>
      <c r="F1293" s="284"/>
      <c r="G1293" s="284"/>
      <c r="H1293" s="284"/>
      <c r="I1293" s="284"/>
      <c r="J1293" s="375"/>
      <c r="K1293" s="375"/>
      <c r="L1293" s="375"/>
      <c r="M1293" s="368"/>
      <c r="N1293" s="368"/>
      <c r="T1293" s="340"/>
      <c r="V1293" s="378"/>
      <c r="W1293" s="64" ph="1"/>
      <c r="X1293" s="241"/>
      <c r="Y1293" s="284"/>
      <c r="Z1293" s="207"/>
      <c r="AA1293" s="284"/>
      <c r="AB1293" s="284"/>
      <c r="AC1293" s="284"/>
      <c r="AD1293" s="284"/>
      <c r="AE1293" s="284"/>
      <c r="AF1293" s="284"/>
      <c r="AG1293" s="284"/>
      <c r="AI1293" s="284"/>
    </row>
    <row r="1294" spans="1:35" ht="26.4">
      <c r="A1294" s="284"/>
      <c r="B1294" s="284"/>
      <c r="C1294" s="284"/>
      <c r="D1294" s="284"/>
      <c r="E1294" s="284"/>
      <c r="F1294" s="284"/>
      <c r="G1294" s="284"/>
      <c r="H1294" s="284"/>
      <c r="I1294" s="284"/>
      <c r="J1294" s="375"/>
      <c r="K1294" s="375"/>
      <c r="L1294" s="375"/>
      <c r="M1294" s="368"/>
      <c r="N1294" s="368"/>
      <c r="T1294" s="340"/>
      <c r="V1294" s="378"/>
      <c r="W1294" s="64" ph="1"/>
      <c r="X1294" s="241"/>
      <c r="Y1294" s="284"/>
      <c r="Z1294" s="207"/>
      <c r="AA1294" s="284"/>
      <c r="AB1294" s="284"/>
      <c r="AC1294" s="284"/>
      <c r="AD1294" s="284"/>
      <c r="AE1294" s="284"/>
      <c r="AF1294" s="284"/>
      <c r="AG1294" s="284"/>
      <c r="AI1294" s="28"/>
    </row>
    <row r="1295" spans="1:35" ht="26.4">
      <c r="A1295" s="284"/>
      <c r="B1295" s="284"/>
      <c r="C1295" s="284"/>
      <c r="D1295" s="284"/>
      <c r="E1295" s="284"/>
      <c r="F1295" s="284"/>
      <c r="G1295" s="284"/>
      <c r="H1295" s="284"/>
      <c r="I1295" s="284"/>
      <c r="J1295" s="375"/>
      <c r="K1295" s="375"/>
      <c r="L1295" s="375"/>
      <c r="M1295" s="368"/>
      <c r="N1295" s="368"/>
      <c r="T1295" s="340"/>
      <c r="V1295" s="378"/>
      <c r="W1295" s="64" ph="1"/>
      <c r="X1295" s="241"/>
      <c r="Y1295" s="284"/>
      <c r="Z1295" s="207"/>
      <c r="AA1295" s="284"/>
      <c r="AB1295" s="284"/>
      <c r="AC1295" s="284"/>
      <c r="AD1295" s="284"/>
      <c r="AE1295" s="284"/>
      <c r="AF1295" s="284"/>
      <c r="AG1295" s="284"/>
      <c r="AI1295" s="131"/>
    </row>
    <row r="1296" spans="1:35">
      <c r="AI1296" s="131"/>
    </row>
    <row r="1297" spans="15:35">
      <c r="AI1297" s="131"/>
    </row>
    <row r="1298" spans="15:35">
      <c r="AI1298" s="131"/>
    </row>
    <row r="1299" spans="15:35">
      <c r="AI1299" s="131"/>
    </row>
    <row r="1300" spans="15:35">
      <c r="O1300" s="370"/>
      <c r="AI1300" s="131"/>
    </row>
    <row r="1301" spans="15:35">
      <c r="O1301" s="370"/>
      <c r="AI1301" s="131"/>
    </row>
    <row r="1302" spans="15:35">
      <c r="O1302" s="370"/>
      <c r="AI1302" s="131"/>
    </row>
    <row r="1303" spans="15:35">
      <c r="AI1303" s="131"/>
    </row>
    <row r="1304" spans="15:35">
      <c r="O1304" s="370"/>
      <c r="AI1304" s="131"/>
    </row>
    <row r="1305" spans="15:35">
      <c r="O1305" s="370"/>
      <c r="AI1305" s="131"/>
    </row>
    <row r="1306" spans="15:35">
      <c r="O1306" s="370"/>
      <c r="AI1306" s="131"/>
    </row>
    <row r="1307" spans="15:35">
      <c r="O1307" s="370"/>
      <c r="AI1307" s="131"/>
    </row>
    <row r="1308" spans="15:35">
      <c r="AI1308" s="284"/>
    </row>
    <row r="1309" spans="15:35">
      <c r="AI1309" s="131"/>
    </row>
    <row r="1310" spans="15:35">
      <c r="AI1310" s="131"/>
    </row>
    <row r="1311" spans="15:35">
      <c r="AI1311" s="131"/>
    </row>
    <row r="1312" spans="15:35">
      <c r="AI1312" s="131"/>
    </row>
    <row r="1313" spans="35:35">
      <c r="AI1313" s="131"/>
    </row>
    <row r="1314" spans="35:35">
      <c r="AI1314" s="131"/>
    </row>
    <row r="1315" spans="35:35">
      <c r="AI1315" s="131"/>
    </row>
    <row r="1316" spans="35:35">
      <c r="AI1316" s="131"/>
    </row>
    <row r="1317" spans="35:35">
      <c r="AI1317" s="131"/>
    </row>
    <row r="1318" spans="35:35">
      <c r="AI1318" s="131"/>
    </row>
    <row r="1319" spans="35:35">
      <c r="AI1319" s="131"/>
    </row>
    <row r="1320" spans="35:35">
      <c r="AI1320" s="28"/>
    </row>
    <row r="1321" spans="35:35">
      <c r="AI1321" s="131"/>
    </row>
    <row r="1322" spans="35:35">
      <c r="AI1322" s="131"/>
    </row>
    <row r="1323" spans="35:35">
      <c r="AI1323" s="131"/>
    </row>
    <row r="1324" spans="35:35">
      <c r="AI1324" s="131"/>
    </row>
    <row r="1325" spans="35:35">
      <c r="AI1325" s="131"/>
    </row>
    <row r="1326" spans="35:35">
      <c r="AI1326" s="131"/>
    </row>
    <row r="1327" spans="35:35">
      <c r="AI1327" s="128"/>
    </row>
    <row r="1328" spans="35:35">
      <c r="AI1328" s="131"/>
    </row>
    <row r="1329" spans="35:35">
      <c r="AI1329" s="131"/>
    </row>
    <row r="1330" spans="35:35">
      <c r="AI1330" s="131"/>
    </row>
    <row r="1331" spans="35:35">
      <c r="AI1331" s="131"/>
    </row>
    <row r="1332" spans="35:35">
      <c r="AI1332" s="131"/>
    </row>
    <row r="1333" spans="35:35">
      <c r="AI1333" s="131"/>
    </row>
    <row r="1334" spans="35:35">
      <c r="AI1334" s="131"/>
    </row>
    <row r="1335" spans="35:35">
      <c r="AI1335" s="131"/>
    </row>
    <row r="1336" spans="35:35">
      <c r="AI1336" s="131"/>
    </row>
    <row r="1337" spans="35:35">
      <c r="AI1337" s="131"/>
    </row>
    <row r="1338" spans="35:35">
      <c r="AI1338" s="131"/>
    </row>
    <row r="1339" spans="35:35">
      <c r="AI1339" s="131"/>
    </row>
    <row r="1340" spans="35:35">
      <c r="AI1340" s="131"/>
    </row>
    <row r="1341" spans="35:35">
      <c r="AI1341" s="131"/>
    </row>
    <row r="1342" spans="35:35">
      <c r="AI1342" s="131"/>
    </row>
    <row r="1343" spans="35:35">
      <c r="AI1343" s="131"/>
    </row>
    <row r="1344" spans="35:35">
      <c r="AI1344" s="131"/>
    </row>
    <row r="1345" spans="35:35">
      <c r="AI1345" s="131"/>
    </row>
    <row r="1346" spans="35:35">
      <c r="AI1346" s="131"/>
    </row>
    <row r="1347" spans="35:35">
      <c r="AI1347" s="131"/>
    </row>
    <row r="1348" spans="35:35">
      <c r="AI1348" s="131"/>
    </row>
    <row r="1349" spans="35:35">
      <c r="AI1349" s="131"/>
    </row>
    <row r="1350" spans="35:35">
      <c r="AI1350" s="131"/>
    </row>
    <row r="1351" spans="35:35">
      <c r="AI1351" s="131"/>
    </row>
    <row r="1352" spans="35:35">
      <c r="AI1352" s="131"/>
    </row>
    <row r="1353" spans="35:35">
      <c r="AI1353" s="131"/>
    </row>
    <row r="1354" spans="35:35">
      <c r="AI1354" s="131"/>
    </row>
    <row r="1355" spans="35:35">
      <c r="AI1355" s="131"/>
    </row>
    <row r="1356" spans="35:35">
      <c r="AI1356" s="131"/>
    </row>
    <row r="1357" spans="35:35">
      <c r="AI1357" s="131"/>
    </row>
    <row r="1358" spans="35:35">
      <c r="AI1358" s="131"/>
    </row>
    <row r="1359" spans="35:35">
      <c r="AI1359" s="131"/>
    </row>
    <row r="1360" spans="35:35">
      <c r="AI1360" s="131"/>
    </row>
    <row r="1361" spans="35:35">
      <c r="AI1361" s="131"/>
    </row>
    <row r="1362" spans="35:35">
      <c r="AI1362" s="131"/>
    </row>
    <row r="1363" spans="35:35">
      <c r="AI1363" s="131"/>
    </row>
    <row r="1364" spans="35:35">
      <c r="AI1364" s="131"/>
    </row>
    <row r="1365" spans="35:35">
      <c r="AI1365" s="131"/>
    </row>
    <row r="1366" spans="35:35">
      <c r="AI1366" s="131"/>
    </row>
    <row r="1367" spans="35:35">
      <c r="AI1367" s="284"/>
    </row>
    <row r="1368" spans="35:35">
      <c r="AI1368" s="131"/>
    </row>
    <row r="1369" spans="35:35">
      <c r="AI1369" s="131"/>
    </row>
    <row r="1370" spans="35:35">
      <c r="AI1370" s="131"/>
    </row>
    <row r="1371" spans="35:35">
      <c r="AI1371" s="131"/>
    </row>
    <row r="1372" spans="35:35">
      <c r="AI1372" s="286"/>
    </row>
    <row r="1373" spans="35:35">
      <c r="AI1373" s="131"/>
    </row>
    <row r="1374" spans="35:35">
      <c r="AI1374" s="131"/>
    </row>
    <row r="1375" spans="35:35">
      <c r="AI1375" s="131"/>
    </row>
    <row r="1376" spans="35:35">
      <c r="AI1376" s="131"/>
    </row>
    <row r="1377" spans="35:35">
      <c r="AI1377" s="131"/>
    </row>
    <row r="1378" spans="35:35">
      <c r="AI1378" s="131"/>
    </row>
    <row r="1379" spans="35:35">
      <c r="AI1379" s="236"/>
    </row>
    <row r="1380" spans="35:35">
      <c r="AI1380" s="131"/>
    </row>
    <row r="1381" spans="35:35">
      <c r="AI1381" s="131"/>
    </row>
    <row r="1382" spans="35:35">
      <c r="AI1382" s="131"/>
    </row>
    <row r="1383" spans="35:35">
      <c r="AI1383" s="131"/>
    </row>
    <row r="1384" spans="35:35">
      <c r="AI1384" s="131"/>
    </row>
    <row r="1385" spans="35:35">
      <c r="AI1385" s="131"/>
    </row>
    <row r="1386" spans="35:35">
      <c r="AI1386" s="131"/>
    </row>
    <row r="1387" spans="35:35">
      <c r="AI1387" s="131"/>
    </row>
    <row r="1388" spans="35:35">
      <c r="AI1388" s="131"/>
    </row>
    <row r="1389" spans="35:35">
      <c r="AI1389" s="131"/>
    </row>
    <row r="1390" spans="35:35">
      <c r="AI1390" s="284"/>
    </row>
    <row r="1391" spans="35:35">
      <c r="AI1391" s="131"/>
    </row>
    <row r="1392" spans="35:35">
      <c r="AI1392" s="131"/>
    </row>
    <row r="1393" spans="35:35">
      <c r="AI1393" s="131"/>
    </row>
    <row r="1394" spans="35:35">
      <c r="AI1394" s="131"/>
    </row>
    <row r="1395" spans="35:35">
      <c r="AI1395" s="131"/>
    </row>
    <row r="1396" spans="35:35">
      <c r="AI1396" s="131"/>
    </row>
    <row r="1397" spans="35:35">
      <c r="AI1397" s="131"/>
    </row>
    <row r="1398" spans="35:35">
      <c r="AI1398" s="131"/>
    </row>
    <row r="1399" spans="35:35">
      <c r="AI1399" s="131"/>
    </row>
    <row r="1400" spans="35:35">
      <c r="AI1400" s="131"/>
    </row>
    <row r="1401" spans="35:35">
      <c r="AI1401" s="131"/>
    </row>
    <row r="1402" spans="35:35">
      <c r="AI1402" s="284"/>
    </row>
    <row r="1403" spans="35:35">
      <c r="AI1403" s="131"/>
    </row>
    <row r="1404" spans="35:35">
      <c r="AI1404" s="28"/>
    </row>
    <row r="1405" spans="35:35">
      <c r="AI1405" s="284"/>
    </row>
    <row r="1406" spans="35:35">
      <c r="AI1406" s="131"/>
    </row>
    <row r="1407" spans="35:35">
      <c r="AI1407" s="131"/>
    </row>
    <row r="1408" spans="35:35">
      <c r="AI1408" s="131"/>
    </row>
    <row r="1409" spans="1:35">
      <c r="AI1409" s="131"/>
    </row>
    <row r="1410" spans="1:35">
      <c r="AI1410" s="284"/>
    </row>
    <row r="1411" spans="1:35">
      <c r="AI1411" s="131"/>
    </row>
    <row r="1412" spans="1:35">
      <c r="AI1412" s="131"/>
    </row>
    <row r="1413" spans="1:35">
      <c r="AI1413" s="131"/>
    </row>
    <row r="1414" spans="1:35">
      <c r="AI1414" s="131"/>
    </row>
    <row r="1415" spans="1:35">
      <c r="AI1415" s="131"/>
    </row>
    <row r="1416" spans="1:35">
      <c r="AI1416" s="131"/>
    </row>
    <row r="1417" spans="1:35">
      <c r="AI1417" s="131"/>
    </row>
    <row r="1418" spans="1:35">
      <c r="AI1418" s="131"/>
    </row>
    <row r="1419" spans="1:35">
      <c r="AI1419" s="131"/>
    </row>
    <row r="1420" spans="1:35">
      <c r="AI1420" s="131"/>
    </row>
    <row r="1421" spans="1:35" ht="26.4">
      <c r="A1421" s="284"/>
      <c r="B1421" s="284"/>
      <c r="C1421" s="284"/>
      <c r="D1421" s="284"/>
      <c r="E1421" s="284"/>
      <c r="F1421" s="284"/>
      <c r="G1421" s="284"/>
      <c r="H1421" s="284"/>
      <c r="I1421" s="284"/>
      <c r="J1421" s="375"/>
      <c r="K1421" s="375"/>
      <c r="L1421" s="375"/>
      <c r="M1421" s="368"/>
      <c r="N1421" s="368"/>
      <c r="T1421" s="340"/>
      <c r="V1421" s="378"/>
      <c r="W1421" s="64" ph="1"/>
      <c r="X1421" s="241"/>
      <c r="Y1421" s="284"/>
      <c r="Z1421" s="207"/>
      <c r="AA1421" s="284"/>
      <c r="AB1421" s="284"/>
      <c r="AC1421" s="284"/>
      <c r="AD1421" s="284"/>
      <c r="AE1421" s="284"/>
      <c r="AF1421" s="284"/>
      <c r="AG1421" s="284"/>
      <c r="AI1421" s="131"/>
    </row>
    <row r="1422" spans="1:35">
      <c r="AI1422" s="131"/>
    </row>
    <row r="1423" spans="1:35">
      <c r="AI1423" s="131"/>
    </row>
    <row r="1424" spans="1:35">
      <c r="AI1424" s="131"/>
    </row>
    <row r="1425" spans="1:35">
      <c r="AI1425" s="131"/>
    </row>
    <row r="1426" spans="1:35">
      <c r="AI1426" s="131"/>
    </row>
    <row r="1427" spans="1:35">
      <c r="AI1427" s="131"/>
    </row>
    <row r="1428" spans="1:35">
      <c r="AI1428" s="131"/>
    </row>
    <row r="1429" spans="1:35">
      <c r="AI1429" s="131"/>
    </row>
    <row r="1430" spans="1:35">
      <c r="AI1430" s="284"/>
    </row>
    <row r="1431" spans="1:35" ht="26.4">
      <c r="A1431" s="284"/>
      <c r="B1431" s="284"/>
      <c r="C1431" s="284"/>
      <c r="D1431" s="284"/>
      <c r="E1431" s="284"/>
      <c r="F1431" s="284"/>
      <c r="G1431" s="284"/>
      <c r="H1431" s="284"/>
      <c r="I1431" s="284"/>
      <c r="J1431" s="375"/>
      <c r="K1431" s="375"/>
      <c r="L1431" s="375"/>
      <c r="M1431" s="368"/>
      <c r="N1431" s="368"/>
      <c r="T1431" s="340"/>
      <c r="V1431" s="378"/>
      <c r="W1431" s="64" ph="1"/>
      <c r="X1431" s="241"/>
      <c r="Y1431" s="284"/>
      <c r="Z1431" s="207"/>
      <c r="AA1431" s="284"/>
      <c r="AB1431" s="284"/>
      <c r="AC1431" s="284"/>
      <c r="AD1431" s="284"/>
      <c r="AE1431" s="284"/>
      <c r="AF1431" s="284"/>
      <c r="AG1431" s="284"/>
      <c r="AI1431" s="131"/>
    </row>
    <row r="1432" spans="1:35">
      <c r="AI1432" s="131"/>
    </row>
    <row r="1433" spans="1:35">
      <c r="O1433" s="370"/>
      <c r="AI1433" s="131"/>
    </row>
    <row r="1434" spans="1:35">
      <c r="AI1434" s="131"/>
    </row>
    <row r="1435" spans="1:35" ht="26.4">
      <c r="A1435" s="284"/>
      <c r="B1435" s="284"/>
      <c r="C1435" s="284"/>
      <c r="D1435" s="284"/>
      <c r="E1435" s="284"/>
      <c r="F1435" s="284"/>
      <c r="G1435" s="284"/>
      <c r="H1435" s="284"/>
      <c r="I1435" s="284"/>
      <c r="J1435" s="375"/>
      <c r="K1435" s="375"/>
      <c r="L1435" s="375"/>
      <c r="M1435" s="368"/>
      <c r="N1435" s="368"/>
      <c r="T1435" s="340"/>
      <c r="V1435" s="378"/>
      <c r="W1435" s="64" ph="1"/>
      <c r="X1435" s="241"/>
      <c r="Y1435" s="284"/>
      <c r="Z1435" s="207"/>
      <c r="AA1435" s="284"/>
      <c r="AB1435" s="284"/>
      <c r="AC1435" s="284"/>
      <c r="AD1435" s="284"/>
      <c r="AE1435" s="284"/>
      <c r="AF1435" s="284"/>
      <c r="AG1435" s="284"/>
      <c r="AI1435" s="131"/>
    </row>
    <row r="1436" spans="1:35">
      <c r="AI1436" s="131"/>
    </row>
    <row r="1437" spans="1:35">
      <c r="AI1437" s="131"/>
    </row>
    <row r="1438" spans="1:35">
      <c r="AI1438" s="131"/>
    </row>
    <row r="1439" spans="1:35">
      <c r="AI1439" s="131"/>
    </row>
    <row r="1440" spans="1:35" ht="26.4">
      <c r="A1440" s="284"/>
      <c r="B1440" s="284"/>
      <c r="C1440" s="284"/>
      <c r="D1440" s="284"/>
      <c r="E1440" s="284"/>
      <c r="F1440" s="284"/>
      <c r="G1440" s="284"/>
      <c r="H1440" s="284"/>
      <c r="I1440" s="284"/>
      <c r="J1440" s="375"/>
      <c r="K1440" s="375"/>
      <c r="L1440" s="375"/>
      <c r="M1440" s="368"/>
      <c r="N1440" s="368"/>
      <c r="T1440" s="340"/>
      <c r="V1440" s="378"/>
      <c r="W1440" s="64" ph="1"/>
      <c r="X1440" s="241"/>
      <c r="Y1440" s="284"/>
      <c r="Z1440" s="207"/>
      <c r="AA1440" s="284"/>
      <c r="AB1440" s="284"/>
      <c r="AC1440" s="284"/>
      <c r="AD1440" s="284"/>
      <c r="AE1440" s="284"/>
      <c r="AF1440" s="284"/>
      <c r="AG1440" s="284"/>
      <c r="AI1440" s="131"/>
    </row>
    <row r="1441" spans="1:35" ht="26.4">
      <c r="A1441" s="284"/>
      <c r="B1441" s="284"/>
      <c r="C1441" s="284"/>
      <c r="D1441" s="284"/>
      <c r="E1441" s="284"/>
      <c r="F1441" s="284"/>
      <c r="G1441" s="284"/>
      <c r="H1441" s="284"/>
      <c r="I1441" s="284"/>
      <c r="J1441" s="375"/>
      <c r="K1441" s="375"/>
      <c r="L1441" s="375"/>
      <c r="M1441" s="368"/>
      <c r="N1441" s="368"/>
      <c r="T1441" s="340"/>
      <c r="V1441" s="378"/>
      <c r="W1441" s="64" ph="1"/>
      <c r="X1441" s="241"/>
      <c r="Y1441" s="284"/>
      <c r="Z1441" s="207"/>
      <c r="AA1441" s="284"/>
      <c r="AB1441" s="284"/>
      <c r="AC1441" s="284"/>
      <c r="AD1441" s="284"/>
      <c r="AE1441" s="284"/>
      <c r="AF1441" s="284"/>
      <c r="AG1441" s="284"/>
      <c r="AI1441" s="131"/>
    </row>
    <row r="1442" spans="1:35" ht="26.4">
      <c r="A1442" s="284"/>
      <c r="B1442" s="284"/>
      <c r="C1442" s="284"/>
      <c r="D1442" s="284"/>
      <c r="E1442" s="284"/>
      <c r="F1442" s="284"/>
      <c r="G1442" s="284"/>
      <c r="H1442" s="284"/>
      <c r="I1442" s="284"/>
      <c r="J1442" s="375"/>
      <c r="K1442" s="375"/>
      <c r="L1442" s="375"/>
      <c r="M1442" s="368"/>
      <c r="N1442" s="368"/>
      <c r="T1442" s="340"/>
      <c r="V1442" s="378"/>
      <c r="W1442" s="64" ph="1"/>
      <c r="X1442" s="241"/>
      <c r="Y1442" s="284"/>
      <c r="Z1442" s="207"/>
      <c r="AA1442" s="284"/>
      <c r="AB1442" s="284"/>
      <c r="AC1442" s="284"/>
      <c r="AD1442" s="284"/>
      <c r="AE1442" s="284"/>
      <c r="AF1442" s="284"/>
      <c r="AG1442" s="284"/>
      <c r="AI1442" s="131"/>
    </row>
    <row r="1443" spans="1:35">
      <c r="O1443" s="370"/>
      <c r="AI1443" s="131"/>
    </row>
    <row r="1444" spans="1:35" ht="26.4">
      <c r="A1444" s="284"/>
      <c r="B1444" s="284"/>
      <c r="C1444" s="284"/>
      <c r="D1444" s="284"/>
      <c r="E1444" s="284"/>
      <c r="F1444" s="284"/>
      <c r="G1444" s="284"/>
      <c r="H1444" s="284"/>
      <c r="I1444" s="284"/>
      <c r="J1444" s="375"/>
      <c r="K1444" s="375"/>
      <c r="L1444" s="375"/>
      <c r="M1444" s="368"/>
      <c r="N1444" s="368"/>
      <c r="T1444" s="340"/>
      <c r="V1444" s="378"/>
      <c r="W1444" s="64" ph="1"/>
      <c r="X1444" s="241"/>
      <c r="Y1444" s="284"/>
      <c r="Z1444" s="207"/>
      <c r="AA1444" s="284"/>
      <c r="AB1444" s="284"/>
      <c r="AC1444" s="284"/>
      <c r="AD1444" s="284"/>
      <c r="AE1444" s="284"/>
      <c r="AF1444" s="284"/>
      <c r="AG1444" s="284"/>
      <c r="AI1444" s="131"/>
    </row>
    <row r="1445" spans="1:35" ht="26.4">
      <c r="A1445" s="284"/>
      <c r="B1445" s="284"/>
      <c r="C1445" s="284"/>
      <c r="D1445" s="284"/>
      <c r="E1445" s="284"/>
      <c r="F1445" s="284"/>
      <c r="G1445" s="284"/>
      <c r="H1445" s="284"/>
      <c r="I1445" s="284"/>
      <c r="J1445" s="375"/>
      <c r="K1445" s="375"/>
      <c r="L1445" s="375"/>
      <c r="M1445" s="368"/>
      <c r="N1445" s="368"/>
      <c r="T1445" s="340"/>
      <c r="V1445" s="378"/>
      <c r="W1445" s="64" ph="1"/>
      <c r="X1445" s="241"/>
      <c r="Y1445" s="284"/>
      <c r="Z1445" s="207"/>
      <c r="AA1445" s="284"/>
      <c r="AB1445" s="284"/>
      <c r="AC1445" s="284"/>
      <c r="AD1445" s="284"/>
      <c r="AE1445" s="284"/>
      <c r="AF1445" s="284"/>
      <c r="AG1445" s="284"/>
      <c r="AI1445" s="131"/>
    </row>
    <row r="1446" spans="1:35">
      <c r="AI1446" s="131"/>
    </row>
    <row r="1447" spans="1:35" ht="26.4">
      <c r="A1447" s="284"/>
      <c r="B1447" s="284"/>
      <c r="C1447" s="284"/>
      <c r="D1447" s="284"/>
      <c r="E1447" s="284"/>
      <c r="F1447" s="284"/>
      <c r="G1447" s="284"/>
      <c r="H1447" s="284"/>
      <c r="I1447" s="284"/>
      <c r="J1447" s="375"/>
      <c r="K1447" s="375"/>
      <c r="L1447" s="375"/>
      <c r="M1447" s="368"/>
      <c r="N1447" s="368"/>
      <c r="O1447" s="370"/>
      <c r="T1447" s="340"/>
      <c r="V1447" s="378"/>
      <c r="W1447" s="64" ph="1"/>
      <c r="X1447" s="241"/>
      <c r="Y1447" s="284"/>
      <c r="Z1447" s="207"/>
      <c r="AA1447" s="284"/>
      <c r="AB1447" s="284"/>
      <c r="AC1447" s="284"/>
      <c r="AD1447" s="284"/>
      <c r="AE1447" s="284"/>
      <c r="AF1447" s="284"/>
      <c r="AG1447" s="284"/>
      <c r="AI1447" s="131"/>
    </row>
    <row r="1448" spans="1:35">
      <c r="AI1448" s="131"/>
    </row>
    <row r="1449" spans="1:35" ht="26.4">
      <c r="A1449" s="284"/>
      <c r="B1449" s="284"/>
      <c r="C1449" s="284"/>
      <c r="D1449" s="284"/>
      <c r="E1449" s="284"/>
      <c r="F1449" s="284"/>
      <c r="G1449" s="284"/>
      <c r="H1449" s="284"/>
      <c r="I1449" s="284"/>
      <c r="J1449" s="375"/>
      <c r="K1449" s="375"/>
      <c r="L1449" s="375"/>
      <c r="M1449" s="368"/>
      <c r="N1449" s="368"/>
      <c r="T1449" s="340"/>
      <c r="V1449" s="378"/>
      <c r="W1449" s="64" ph="1"/>
      <c r="X1449" s="241"/>
      <c r="Y1449" s="284"/>
      <c r="Z1449" s="207"/>
      <c r="AA1449" s="284"/>
      <c r="AB1449" s="284"/>
      <c r="AC1449" s="284"/>
      <c r="AD1449" s="284"/>
      <c r="AE1449" s="284"/>
      <c r="AF1449" s="284"/>
      <c r="AG1449" s="284"/>
      <c r="AI1449" s="131"/>
    </row>
    <row r="1450" spans="1:35" ht="26.4">
      <c r="A1450" s="284"/>
      <c r="B1450" s="284"/>
      <c r="C1450" s="284"/>
      <c r="D1450" s="284"/>
      <c r="E1450" s="284"/>
      <c r="F1450" s="284"/>
      <c r="G1450" s="284"/>
      <c r="H1450" s="284"/>
      <c r="I1450" s="284"/>
      <c r="J1450" s="375"/>
      <c r="K1450" s="375"/>
      <c r="L1450" s="375"/>
      <c r="M1450" s="368"/>
      <c r="N1450" s="368"/>
      <c r="T1450" s="340"/>
      <c r="V1450" s="378"/>
      <c r="W1450" s="64" ph="1"/>
      <c r="X1450" s="241"/>
      <c r="Y1450" s="284"/>
      <c r="Z1450" s="207"/>
      <c r="AA1450" s="284"/>
      <c r="AB1450" s="284"/>
      <c r="AC1450" s="284"/>
      <c r="AD1450" s="284"/>
      <c r="AE1450" s="284"/>
      <c r="AF1450" s="284"/>
      <c r="AG1450" s="284"/>
      <c r="AI1450" s="131"/>
    </row>
    <row r="1451" spans="1:35" ht="26.4">
      <c r="A1451" s="284"/>
      <c r="B1451" s="284"/>
      <c r="C1451" s="284"/>
      <c r="D1451" s="284"/>
      <c r="E1451" s="284"/>
      <c r="F1451" s="284"/>
      <c r="G1451" s="284"/>
      <c r="H1451" s="284"/>
      <c r="I1451" s="284"/>
      <c r="J1451" s="375"/>
      <c r="K1451" s="375"/>
      <c r="L1451" s="375"/>
      <c r="M1451" s="368"/>
      <c r="N1451" s="368"/>
      <c r="T1451" s="340"/>
      <c r="V1451" s="378"/>
      <c r="W1451" s="64" ph="1"/>
      <c r="X1451" s="241"/>
      <c r="Y1451" s="284"/>
      <c r="Z1451" s="207"/>
      <c r="AA1451" s="284"/>
      <c r="AB1451" s="284"/>
      <c r="AC1451" s="284"/>
      <c r="AD1451" s="284"/>
      <c r="AE1451" s="284"/>
      <c r="AF1451" s="284"/>
      <c r="AG1451" s="284"/>
      <c r="AI1451" s="131"/>
    </row>
    <row r="1452" spans="1:35" ht="26.4">
      <c r="A1452" s="284"/>
      <c r="B1452" s="284"/>
      <c r="C1452" s="284"/>
      <c r="D1452" s="284"/>
      <c r="E1452" s="284"/>
      <c r="F1452" s="284"/>
      <c r="G1452" s="284"/>
      <c r="H1452" s="284"/>
      <c r="I1452" s="284"/>
      <c r="J1452" s="375"/>
      <c r="K1452" s="375"/>
      <c r="L1452" s="375"/>
      <c r="M1452" s="368"/>
      <c r="N1452" s="368"/>
      <c r="O1452" s="370"/>
      <c r="T1452" s="340"/>
      <c r="V1452" s="378"/>
      <c r="W1452" s="64" ph="1"/>
      <c r="X1452" s="241"/>
      <c r="Y1452" s="284"/>
      <c r="Z1452" s="207"/>
      <c r="AA1452" s="284"/>
      <c r="AB1452" s="284"/>
      <c r="AC1452" s="284"/>
      <c r="AD1452" s="284"/>
      <c r="AE1452" s="284"/>
      <c r="AF1452" s="284"/>
      <c r="AG1452" s="284"/>
      <c r="AI1452" s="131"/>
    </row>
    <row r="1453" spans="1:35" ht="26.4">
      <c r="A1453" s="284"/>
      <c r="B1453" s="284"/>
      <c r="C1453" s="284"/>
      <c r="D1453" s="284"/>
      <c r="E1453" s="284"/>
      <c r="F1453" s="284"/>
      <c r="G1453" s="284"/>
      <c r="H1453" s="284"/>
      <c r="I1453" s="284"/>
      <c r="J1453" s="375"/>
      <c r="K1453" s="375"/>
      <c r="L1453" s="375"/>
      <c r="M1453" s="368"/>
      <c r="N1453" s="368"/>
      <c r="O1453" s="370"/>
      <c r="T1453" s="340"/>
      <c r="V1453" s="378"/>
      <c r="W1453" s="64" ph="1"/>
      <c r="X1453" s="241"/>
      <c r="Y1453" s="284"/>
      <c r="Z1453" s="207"/>
      <c r="AA1453" s="284"/>
      <c r="AB1453" s="284"/>
      <c r="AC1453" s="284"/>
      <c r="AD1453" s="284"/>
      <c r="AE1453" s="284"/>
      <c r="AF1453" s="284"/>
      <c r="AG1453" s="284"/>
      <c r="AI1453" s="131"/>
    </row>
    <row r="1454" spans="1:35" ht="26.4">
      <c r="A1454" s="284"/>
      <c r="B1454" s="284"/>
      <c r="C1454" s="284"/>
      <c r="D1454" s="284"/>
      <c r="E1454" s="284"/>
      <c r="F1454" s="284"/>
      <c r="G1454" s="284"/>
      <c r="H1454" s="284"/>
      <c r="I1454" s="284"/>
      <c r="J1454" s="375"/>
      <c r="K1454" s="375"/>
      <c r="L1454" s="375"/>
      <c r="M1454" s="368"/>
      <c r="N1454" s="368"/>
      <c r="O1454" s="370"/>
      <c r="T1454" s="340"/>
      <c r="V1454" s="378"/>
      <c r="W1454" s="64" ph="1"/>
      <c r="X1454" s="241"/>
      <c r="Y1454" s="284"/>
      <c r="Z1454" s="207"/>
      <c r="AA1454" s="284"/>
      <c r="AB1454" s="284"/>
      <c r="AC1454" s="284"/>
      <c r="AD1454" s="284"/>
      <c r="AE1454" s="284"/>
      <c r="AF1454" s="284"/>
      <c r="AG1454" s="284"/>
      <c r="AI1454" s="131"/>
    </row>
    <row r="1455" spans="1:35" ht="26.4">
      <c r="A1455" s="284"/>
      <c r="B1455" s="284"/>
      <c r="C1455" s="284"/>
      <c r="D1455" s="284"/>
      <c r="E1455" s="284"/>
      <c r="F1455" s="284"/>
      <c r="G1455" s="284"/>
      <c r="H1455" s="284"/>
      <c r="I1455" s="284"/>
      <c r="J1455" s="375"/>
      <c r="K1455" s="375"/>
      <c r="L1455" s="375"/>
      <c r="M1455" s="368"/>
      <c r="N1455" s="368"/>
      <c r="T1455" s="340"/>
      <c r="V1455" s="378"/>
      <c r="W1455" s="64" ph="1"/>
      <c r="X1455" s="241"/>
      <c r="Y1455" s="284"/>
      <c r="Z1455" s="207"/>
      <c r="AA1455" s="284"/>
      <c r="AB1455" s="284"/>
      <c r="AC1455" s="284"/>
      <c r="AD1455" s="284"/>
      <c r="AE1455" s="284"/>
      <c r="AF1455" s="284"/>
      <c r="AG1455" s="284"/>
      <c r="AI1455" s="131"/>
    </row>
    <row r="1456" spans="1:35" ht="26.4">
      <c r="A1456" s="284"/>
      <c r="B1456" s="284"/>
      <c r="C1456" s="284"/>
      <c r="D1456" s="284"/>
      <c r="E1456" s="284"/>
      <c r="F1456" s="284"/>
      <c r="G1456" s="284"/>
      <c r="H1456" s="284"/>
      <c r="I1456" s="284"/>
      <c r="J1456" s="375"/>
      <c r="K1456" s="375"/>
      <c r="L1456" s="375"/>
      <c r="M1456" s="368"/>
      <c r="N1456" s="368"/>
      <c r="O1456" s="370"/>
      <c r="T1456" s="340"/>
      <c r="V1456" s="378"/>
      <c r="W1456" s="64" ph="1"/>
      <c r="X1456" s="241"/>
      <c r="Y1456" s="284"/>
      <c r="Z1456" s="207"/>
      <c r="AA1456" s="284"/>
      <c r="AB1456" s="284"/>
      <c r="AC1456" s="284"/>
      <c r="AD1456" s="284"/>
      <c r="AE1456" s="284"/>
      <c r="AF1456" s="284"/>
      <c r="AG1456" s="284"/>
      <c r="AI1456" s="131"/>
    </row>
    <row r="1457" spans="1:35" ht="26.4">
      <c r="A1457" s="284"/>
      <c r="B1457" s="284"/>
      <c r="C1457" s="284"/>
      <c r="D1457" s="284"/>
      <c r="E1457" s="284"/>
      <c r="F1457" s="284"/>
      <c r="G1457" s="284"/>
      <c r="H1457" s="284"/>
      <c r="I1457" s="284"/>
      <c r="J1457" s="375"/>
      <c r="K1457" s="375"/>
      <c r="L1457" s="375"/>
      <c r="M1457" s="368"/>
      <c r="N1457" s="368"/>
      <c r="O1457" s="370"/>
      <c r="T1457" s="340"/>
      <c r="V1457" s="378"/>
      <c r="W1457" s="64" ph="1"/>
      <c r="X1457" s="241"/>
      <c r="Y1457" s="284"/>
      <c r="Z1457" s="207"/>
      <c r="AA1457" s="284"/>
      <c r="AB1457" s="284"/>
      <c r="AC1457" s="284"/>
      <c r="AD1457" s="284"/>
      <c r="AE1457" s="284"/>
      <c r="AF1457" s="284"/>
      <c r="AG1457" s="284"/>
      <c r="AI1457" s="131"/>
    </row>
    <row r="1458" spans="1:35" ht="26.4">
      <c r="A1458" s="284"/>
      <c r="B1458" s="284"/>
      <c r="C1458" s="284"/>
      <c r="D1458" s="284"/>
      <c r="E1458" s="284"/>
      <c r="F1458" s="284"/>
      <c r="G1458" s="284"/>
      <c r="H1458" s="284"/>
      <c r="I1458" s="284"/>
      <c r="J1458" s="375"/>
      <c r="K1458" s="375"/>
      <c r="L1458" s="375"/>
      <c r="M1458" s="368"/>
      <c r="N1458" s="368"/>
      <c r="T1458" s="340"/>
      <c r="V1458" s="378"/>
      <c r="W1458" s="64" ph="1"/>
      <c r="X1458" s="241"/>
      <c r="Y1458" s="284"/>
      <c r="Z1458" s="207"/>
      <c r="AA1458" s="284"/>
      <c r="AB1458" s="284"/>
      <c r="AC1458" s="284"/>
      <c r="AD1458" s="284"/>
      <c r="AE1458" s="284"/>
      <c r="AF1458" s="284"/>
      <c r="AG1458" s="284"/>
      <c r="AI1458" s="131"/>
    </row>
    <row r="1459" spans="1:35">
      <c r="O1459" s="370"/>
      <c r="AI1459" s="131"/>
    </row>
    <row r="1460" spans="1:35" ht="26.4">
      <c r="A1460" s="284"/>
      <c r="B1460" s="284"/>
      <c r="C1460" s="284"/>
      <c r="D1460" s="284"/>
      <c r="E1460" s="284"/>
      <c r="F1460" s="284"/>
      <c r="G1460" s="284"/>
      <c r="H1460" s="284"/>
      <c r="I1460" s="284"/>
      <c r="J1460" s="375"/>
      <c r="K1460" s="375"/>
      <c r="L1460" s="375"/>
      <c r="M1460" s="368"/>
      <c r="N1460" s="368"/>
      <c r="T1460" s="340"/>
      <c r="V1460" s="378"/>
      <c r="W1460" s="64" ph="1"/>
      <c r="X1460" s="241"/>
      <c r="Y1460" s="284"/>
      <c r="Z1460" s="207"/>
      <c r="AA1460" s="284"/>
      <c r="AB1460" s="284"/>
      <c r="AC1460" s="284"/>
      <c r="AD1460" s="284"/>
      <c r="AE1460" s="284"/>
      <c r="AF1460" s="284"/>
      <c r="AG1460" s="284"/>
      <c r="AI1460" s="131"/>
    </row>
    <row r="1461" spans="1:35" ht="26.4">
      <c r="A1461" s="284"/>
      <c r="B1461" s="284"/>
      <c r="C1461" s="284"/>
      <c r="D1461" s="284"/>
      <c r="E1461" s="284"/>
      <c r="F1461" s="284"/>
      <c r="G1461" s="284"/>
      <c r="H1461" s="284"/>
      <c r="I1461" s="284"/>
      <c r="J1461" s="375"/>
      <c r="K1461" s="375"/>
      <c r="L1461" s="375"/>
      <c r="M1461" s="368"/>
      <c r="N1461" s="368"/>
      <c r="O1461" s="370"/>
      <c r="T1461" s="340"/>
      <c r="V1461" s="378"/>
      <c r="W1461" s="64" ph="1"/>
      <c r="X1461" s="241"/>
      <c r="Y1461" s="284"/>
      <c r="Z1461" s="207"/>
      <c r="AA1461" s="284"/>
      <c r="AB1461" s="284"/>
      <c r="AC1461" s="284"/>
      <c r="AD1461" s="284"/>
      <c r="AE1461" s="284"/>
      <c r="AF1461" s="284"/>
      <c r="AG1461" s="284"/>
      <c r="AI1461" s="131"/>
    </row>
    <row r="1462" spans="1:35" ht="26.4">
      <c r="A1462" s="284"/>
      <c r="B1462" s="284"/>
      <c r="C1462" s="284"/>
      <c r="D1462" s="284"/>
      <c r="E1462" s="284"/>
      <c r="F1462" s="284"/>
      <c r="G1462" s="284"/>
      <c r="H1462" s="284"/>
      <c r="I1462" s="284"/>
      <c r="J1462" s="375"/>
      <c r="K1462" s="375"/>
      <c r="L1462" s="375"/>
      <c r="M1462" s="368"/>
      <c r="N1462" s="368"/>
      <c r="O1462" s="370"/>
      <c r="T1462" s="340"/>
      <c r="V1462" s="378"/>
      <c r="W1462" s="64" ph="1"/>
      <c r="X1462" s="241"/>
      <c r="Y1462" s="284"/>
      <c r="Z1462" s="207"/>
      <c r="AA1462" s="284"/>
      <c r="AB1462" s="284"/>
      <c r="AC1462" s="284"/>
      <c r="AD1462" s="284"/>
      <c r="AE1462" s="284"/>
      <c r="AF1462" s="284"/>
      <c r="AG1462" s="284"/>
      <c r="AI1462" s="131"/>
    </row>
    <row r="1463" spans="1:35" ht="26.4">
      <c r="A1463" s="284"/>
      <c r="B1463" s="284"/>
      <c r="C1463" s="284"/>
      <c r="D1463" s="284"/>
      <c r="E1463" s="284"/>
      <c r="F1463" s="284"/>
      <c r="G1463" s="284"/>
      <c r="H1463" s="284"/>
      <c r="I1463" s="284"/>
      <c r="J1463" s="375"/>
      <c r="K1463" s="375"/>
      <c r="L1463" s="375"/>
      <c r="M1463" s="368"/>
      <c r="N1463" s="368"/>
      <c r="O1463" s="370"/>
      <c r="T1463" s="340"/>
      <c r="V1463" s="378"/>
      <c r="W1463" s="64" ph="1"/>
      <c r="X1463" s="241"/>
      <c r="Y1463" s="284"/>
      <c r="Z1463" s="207"/>
      <c r="AA1463" s="284"/>
      <c r="AB1463" s="284"/>
      <c r="AC1463" s="284"/>
      <c r="AD1463" s="284"/>
      <c r="AE1463" s="284"/>
      <c r="AF1463" s="284"/>
      <c r="AG1463" s="284"/>
      <c r="AI1463" s="131"/>
    </row>
    <row r="1464" spans="1:35" ht="26.4">
      <c r="A1464" s="284"/>
      <c r="B1464" s="284"/>
      <c r="C1464" s="284"/>
      <c r="D1464" s="284"/>
      <c r="E1464" s="284"/>
      <c r="F1464" s="284"/>
      <c r="G1464" s="284"/>
      <c r="H1464" s="284"/>
      <c r="I1464" s="284"/>
      <c r="J1464" s="375"/>
      <c r="K1464" s="375"/>
      <c r="L1464" s="375"/>
      <c r="M1464" s="368"/>
      <c r="N1464" s="368"/>
      <c r="O1464" s="370"/>
      <c r="T1464" s="340"/>
      <c r="V1464" s="378"/>
      <c r="W1464" s="64" ph="1"/>
      <c r="X1464" s="241"/>
      <c r="Y1464" s="284"/>
      <c r="Z1464" s="207"/>
      <c r="AA1464" s="284"/>
      <c r="AB1464" s="284"/>
      <c r="AC1464" s="284"/>
      <c r="AD1464" s="284"/>
      <c r="AE1464" s="284"/>
      <c r="AF1464" s="284"/>
      <c r="AG1464" s="284"/>
      <c r="AI1464" s="131"/>
    </row>
    <row r="1465" spans="1:35" ht="26.4">
      <c r="A1465" s="284"/>
      <c r="B1465" s="284"/>
      <c r="C1465" s="284"/>
      <c r="D1465" s="284"/>
      <c r="E1465" s="284"/>
      <c r="F1465" s="284"/>
      <c r="G1465" s="284"/>
      <c r="H1465" s="284"/>
      <c r="I1465" s="284"/>
      <c r="J1465" s="375"/>
      <c r="K1465" s="375"/>
      <c r="L1465" s="375"/>
      <c r="M1465" s="368"/>
      <c r="N1465" s="368"/>
      <c r="O1465" s="370"/>
      <c r="T1465" s="340"/>
      <c r="V1465" s="378"/>
      <c r="W1465" s="64" ph="1"/>
      <c r="X1465" s="241"/>
      <c r="Y1465" s="284"/>
      <c r="Z1465" s="207"/>
      <c r="AA1465" s="284"/>
      <c r="AB1465" s="284"/>
      <c r="AC1465" s="284"/>
      <c r="AD1465" s="284"/>
      <c r="AE1465" s="284"/>
      <c r="AF1465" s="284"/>
      <c r="AG1465" s="284"/>
      <c r="AI1465" s="131"/>
    </row>
    <row r="1466" spans="1:35" ht="26.4">
      <c r="A1466" s="284"/>
      <c r="B1466" s="284"/>
      <c r="C1466" s="284"/>
      <c r="D1466" s="284"/>
      <c r="E1466" s="284"/>
      <c r="F1466" s="284"/>
      <c r="G1466" s="284"/>
      <c r="H1466" s="284"/>
      <c r="I1466" s="284"/>
      <c r="J1466" s="375"/>
      <c r="K1466" s="375"/>
      <c r="L1466" s="375"/>
      <c r="M1466" s="368"/>
      <c r="N1466" s="368"/>
      <c r="O1466" s="370"/>
      <c r="T1466" s="340"/>
      <c r="V1466" s="378"/>
      <c r="W1466" s="64" ph="1"/>
      <c r="X1466" s="241"/>
      <c r="Y1466" s="284"/>
      <c r="Z1466" s="207"/>
      <c r="AA1466" s="284"/>
      <c r="AB1466" s="284"/>
      <c r="AC1466" s="284"/>
      <c r="AD1466" s="284"/>
      <c r="AE1466" s="284"/>
      <c r="AF1466" s="284"/>
      <c r="AG1466" s="284"/>
      <c r="AI1466" s="131"/>
    </row>
    <row r="1467" spans="1:35" ht="26.4">
      <c r="A1467" s="284"/>
      <c r="B1467" s="284"/>
      <c r="C1467" s="284"/>
      <c r="D1467" s="284"/>
      <c r="E1467" s="284"/>
      <c r="F1467" s="284"/>
      <c r="G1467" s="284"/>
      <c r="H1467" s="284"/>
      <c r="I1467" s="284"/>
      <c r="J1467" s="375"/>
      <c r="K1467" s="375"/>
      <c r="L1467" s="375"/>
      <c r="M1467" s="368"/>
      <c r="N1467" s="368"/>
      <c r="O1467" s="370"/>
      <c r="T1467" s="340"/>
      <c r="V1467" s="378"/>
      <c r="W1467" s="64" ph="1"/>
      <c r="X1467" s="241"/>
      <c r="Y1467" s="284"/>
      <c r="Z1467" s="207"/>
      <c r="AA1467" s="284"/>
      <c r="AB1467" s="284"/>
      <c r="AC1467" s="284"/>
      <c r="AD1467" s="284"/>
      <c r="AE1467" s="284"/>
      <c r="AF1467" s="284"/>
      <c r="AG1467" s="284"/>
      <c r="AI1467" s="131"/>
    </row>
    <row r="1468" spans="1:35">
      <c r="O1468" s="370"/>
      <c r="AI1468" s="131"/>
    </row>
    <row r="1469" spans="1:35" ht="26.4">
      <c r="A1469" s="284"/>
      <c r="B1469" s="284"/>
      <c r="C1469" s="284"/>
      <c r="D1469" s="284"/>
      <c r="E1469" s="284"/>
      <c r="F1469" s="284"/>
      <c r="G1469" s="284"/>
      <c r="H1469" s="284"/>
      <c r="I1469" s="284"/>
      <c r="J1469" s="375"/>
      <c r="K1469" s="375"/>
      <c r="L1469" s="375"/>
      <c r="M1469" s="368"/>
      <c r="N1469" s="368"/>
      <c r="O1469" s="370"/>
      <c r="T1469" s="340"/>
      <c r="V1469" s="378"/>
      <c r="W1469" s="64" ph="1"/>
      <c r="X1469" s="241"/>
      <c r="Y1469" s="284"/>
      <c r="Z1469" s="207"/>
      <c r="AA1469" s="284"/>
      <c r="AB1469" s="284"/>
      <c r="AC1469" s="284"/>
      <c r="AD1469" s="284"/>
      <c r="AE1469" s="284"/>
      <c r="AF1469" s="284"/>
      <c r="AG1469" s="284"/>
      <c r="AI1469" s="284"/>
    </row>
    <row r="1470" spans="1:35" ht="26.4">
      <c r="A1470" s="284"/>
      <c r="B1470" s="284"/>
      <c r="C1470" s="284"/>
      <c r="D1470" s="284"/>
      <c r="E1470" s="284"/>
      <c r="F1470" s="284"/>
      <c r="G1470" s="284"/>
      <c r="H1470" s="284"/>
      <c r="I1470" s="284"/>
      <c r="J1470" s="375"/>
      <c r="K1470" s="375"/>
      <c r="L1470" s="375"/>
      <c r="M1470" s="368"/>
      <c r="N1470" s="368"/>
      <c r="O1470" s="370"/>
      <c r="T1470" s="340"/>
      <c r="V1470" s="378"/>
      <c r="W1470" s="64" ph="1"/>
      <c r="X1470" s="241"/>
      <c r="Y1470" s="284"/>
      <c r="Z1470" s="207"/>
      <c r="AA1470" s="284"/>
      <c r="AB1470" s="284"/>
      <c r="AC1470" s="284"/>
      <c r="AD1470" s="284"/>
      <c r="AE1470" s="284"/>
      <c r="AF1470" s="284"/>
      <c r="AG1470" s="284"/>
      <c r="AI1470" s="131"/>
    </row>
    <row r="1471" spans="1:35" ht="26.4">
      <c r="A1471" s="284"/>
      <c r="B1471" s="284"/>
      <c r="C1471" s="284"/>
      <c r="D1471" s="284"/>
      <c r="E1471" s="284"/>
      <c r="F1471" s="284"/>
      <c r="G1471" s="284"/>
      <c r="H1471" s="284"/>
      <c r="I1471" s="284"/>
      <c r="J1471" s="375"/>
      <c r="K1471" s="375"/>
      <c r="L1471" s="375"/>
      <c r="M1471" s="368"/>
      <c r="N1471" s="368"/>
      <c r="T1471" s="340"/>
      <c r="V1471" s="378"/>
      <c r="W1471" s="64" ph="1"/>
      <c r="X1471" s="241"/>
      <c r="Y1471" s="284"/>
      <c r="Z1471" s="207"/>
      <c r="AA1471" s="284"/>
      <c r="AB1471" s="284"/>
      <c r="AC1471" s="284"/>
      <c r="AD1471" s="284"/>
      <c r="AE1471" s="284"/>
      <c r="AF1471" s="284"/>
      <c r="AG1471" s="284"/>
      <c r="AI1471" s="131"/>
    </row>
    <row r="1472" spans="1:35" ht="26.4">
      <c r="A1472" s="284"/>
      <c r="B1472" s="284"/>
      <c r="C1472" s="284"/>
      <c r="D1472" s="284"/>
      <c r="E1472" s="284"/>
      <c r="F1472" s="284"/>
      <c r="G1472" s="284"/>
      <c r="H1472" s="284"/>
      <c r="I1472" s="284"/>
      <c r="J1472" s="375"/>
      <c r="K1472" s="375"/>
      <c r="L1472" s="375"/>
      <c r="M1472" s="368"/>
      <c r="N1472" s="368"/>
      <c r="O1472" s="370"/>
      <c r="T1472" s="340"/>
      <c r="V1472" s="378"/>
      <c r="W1472" s="64" ph="1"/>
      <c r="X1472" s="241"/>
      <c r="Y1472" s="284"/>
      <c r="Z1472" s="207"/>
      <c r="AA1472" s="284"/>
      <c r="AB1472" s="284"/>
      <c r="AC1472" s="284"/>
      <c r="AD1472" s="284"/>
      <c r="AE1472" s="284"/>
      <c r="AF1472" s="284"/>
      <c r="AG1472" s="284"/>
      <c r="AI1472" s="131"/>
    </row>
    <row r="1473" spans="1:35" ht="26.4">
      <c r="A1473" s="284"/>
      <c r="B1473" s="284"/>
      <c r="C1473" s="284"/>
      <c r="D1473" s="284"/>
      <c r="E1473" s="284"/>
      <c r="F1473" s="284"/>
      <c r="G1473" s="284"/>
      <c r="H1473" s="284"/>
      <c r="I1473" s="284"/>
      <c r="J1473" s="375"/>
      <c r="K1473" s="375"/>
      <c r="L1473" s="375"/>
      <c r="M1473" s="368"/>
      <c r="N1473" s="368"/>
      <c r="O1473" s="370"/>
      <c r="T1473" s="340"/>
      <c r="V1473" s="378"/>
      <c r="W1473" s="64" ph="1"/>
      <c r="X1473" s="241"/>
      <c r="Y1473" s="284"/>
      <c r="Z1473" s="207"/>
      <c r="AA1473" s="284"/>
      <c r="AB1473" s="284"/>
      <c r="AC1473" s="284"/>
      <c r="AD1473" s="284"/>
      <c r="AE1473" s="284"/>
      <c r="AF1473" s="284"/>
      <c r="AG1473" s="284"/>
      <c r="AI1473" s="131"/>
    </row>
    <row r="1474" spans="1:35" ht="26.4">
      <c r="A1474" s="284"/>
      <c r="B1474" s="284"/>
      <c r="C1474" s="284"/>
      <c r="D1474" s="284"/>
      <c r="E1474" s="284"/>
      <c r="F1474" s="284"/>
      <c r="G1474" s="284"/>
      <c r="H1474" s="284"/>
      <c r="I1474" s="284"/>
      <c r="J1474" s="375"/>
      <c r="K1474" s="375"/>
      <c r="L1474" s="375"/>
      <c r="M1474" s="368"/>
      <c r="N1474" s="368"/>
      <c r="O1474" s="370"/>
      <c r="T1474" s="340"/>
      <c r="V1474" s="378"/>
      <c r="W1474" s="64" ph="1"/>
      <c r="X1474" s="241"/>
      <c r="Y1474" s="284"/>
      <c r="Z1474" s="207"/>
      <c r="AA1474" s="284"/>
      <c r="AB1474" s="284"/>
      <c r="AC1474" s="284"/>
      <c r="AD1474" s="284"/>
      <c r="AE1474" s="284"/>
      <c r="AF1474" s="284"/>
      <c r="AG1474" s="284"/>
      <c r="AI1474" s="131"/>
    </row>
    <row r="1475" spans="1:35" ht="26.4">
      <c r="A1475" s="284"/>
      <c r="B1475" s="284"/>
      <c r="C1475" s="284"/>
      <c r="D1475" s="284"/>
      <c r="E1475" s="284"/>
      <c r="F1475" s="284"/>
      <c r="G1475" s="284"/>
      <c r="H1475" s="284"/>
      <c r="I1475" s="284"/>
      <c r="J1475" s="375"/>
      <c r="K1475" s="375"/>
      <c r="L1475" s="375"/>
      <c r="M1475" s="368"/>
      <c r="N1475" s="368"/>
      <c r="O1475" s="370"/>
      <c r="T1475" s="340"/>
      <c r="V1475" s="378"/>
      <c r="W1475" s="64" ph="1"/>
      <c r="X1475" s="241"/>
      <c r="Y1475" s="284"/>
      <c r="Z1475" s="207"/>
      <c r="AA1475" s="284"/>
      <c r="AB1475" s="284"/>
      <c r="AC1475" s="284"/>
      <c r="AD1475" s="284"/>
      <c r="AE1475" s="284"/>
      <c r="AF1475" s="284"/>
      <c r="AG1475" s="284"/>
      <c r="AI1475" s="131"/>
    </row>
    <row r="1476" spans="1:35" ht="26.4">
      <c r="A1476" s="284"/>
      <c r="B1476" s="284"/>
      <c r="C1476" s="284"/>
      <c r="D1476" s="284"/>
      <c r="E1476" s="284"/>
      <c r="F1476" s="284"/>
      <c r="G1476" s="284"/>
      <c r="H1476" s="284"/>
      <c r="I1476" s="284"/>
      <c r="J1476" s="375"/>
      <c r="K1476" s="375"/>
      <c r="L1476" s="375"/>
      <c r="M1476" s="368"/>
      <c r="N1476" s="368"/>
      <c r="O1476" s="370"/>
      <c r="T1476" s="340"/>
      <c r="V1476" s="378"/>
      <c r="W1476" s="64" ph="1"/>
      <c r="X1476" s="241"/>
      <c r="Y1476" s="284"/>
      <c r="Z1476" s="207"/>
      <c r="AA1476" s="284"/>
      <c r="AB1476" s="284"/>
      <c r="AC1476" s="284"/>
      <c r="AD1476" s="284"/>
      <c r="AE1476" s="284"/>
      <c r="AF1476" s="284"/>
      <c r="AG1476" s="284"/>
      <c r="AI1476" s="131"/>
    </row>
    <row r="1477" spans="1:35" ht="26.4">
      <c r="A1477" s="284"/>
      <c r="B1477" s="284"/>
      <c r="C1477" s="284"/>
      <c r="D1477" s="284"/>
      <c r="E1477" s="284"/>
      <c r="F1477" s="284"/>
      <c r="G1477" s="284"/>
      <c r="H1477" s="284"/>
      <c r="I1477" s="284"/>
      <c r="J1477" s="375"/>
      <c r="K1477" s="375"/>
      <c r="L1477" s="375"/>
      <c r="M1477" s="368"/>
      <c r="N1477" s="368"/>
      <c r="O1477" s="370"/>
      <c r="T1477" s="340"/>
      <c r="V1477" s="378"/>
      <c r="W1477" s="64" ph="1"/>
      <c r="X1477" s="241"/>
      <c r="Y1477" s="284"/>
      <c r="Z1477" s="207"/>
      <c r="AA1477" s="284"/>
      <c r="AB1477" s="284"/>
      <c r="AC1477" s="284"/>
      <c r="AD1477" s="284"/>
      <c r="AE1477" s="284"/>
      <c r="AF1477" s="284"/>
      <c r="AG1477" s="284"/>
      <c r="AI1477" s="131"/>
    </row>
    <row r="1478" spans="1:35" ht="26.4">
      <c r="A1478" s="284"/>
      <c r="B1478" s="284"/>
      <c r="C1478" s="284"/>
      <c r="D1478" s="284"/>
      <c r="E1478" s="284"/>
      <c r="F1478" s="284"/>
      <c r="G1478" s="284"/>
      <c r="H1478" s="284"/>
      <c r="I1478" s="284"/>
      <c r="J1478" s="375"/>
      <c r="K1478" s="375"/>
      <c r="L1478" s="375"/>
      <c r="M1478" s="368"/>
      <c r="N1478" s="368"/>
      <c r="O1478" s="370"/>
      <c r="T1478" s="340"/>
      <c r="V1478" s="378"/>
      <c r="W1478" s="64" ph="1"/>
      <c r="X1478" s="241"/>
      <c r="Y1478" s="284"/>
      <c r="Z1478" s="207"/>
      <c r="AA1478" s="284"/>
      <c r="AB1478" s="284"/>
      <c r="AC1478" s="284"/>
      <c r="AD1478" s="284"/>
      <c r="AE1478" s="284"/>
      <c r="AF1478" s="284"/>
      <c r="AG1478" s="284"/>
      <c r="AI1478" s="131"/>
    </row>
    <row r="1479" spans="1:35" ht="26.4">
      <c r="A1479" s="284"/>
      <c r="B1479" s="284"/>
      <c r="C1479" s="284"/>
      <c r="D1479" s="284"/>
      <c r="E1479" s="284"/>
      <c r="F1479" s="284"/>
      <c r="G1479" s="284"/>
      <c r="H1479" s="284"/>
      <c r="I1479" s="284"/>
      <c r="J1479" s="375"/>
      <c r="K1479" s="375"/>
      <c r="L1479" s="375"/>
      <c r="M1479" s="368"/>
      <c r="N1479" s="368"/>
      <c r="O1479" s="370"/>
      <c r="T1479" s="340"/>
      <c r="V1479" s="378"/>
      <c r="W1479" s="64" ph="1"/>
      <c r="X1479" s="241"/>
      <c r="Y1479" s="284"/>
      <c r="Z1479" s="207"/>
      <c r="AA1479" s="284"/>
      <c r="AB1479" s="284"/>
      <c r="AC1479" s="284"/>
      <c r="AD1479" s="284"/>
      <c r="AE1479" s="284"/>
      <c r="AF1479" s="284"/>
      <c r="AG1479" s="284"/>
      <c r="AI1479" s="131"/>
    </row>
    <row r="1480" spans="1:35">
      <c r="AI1480" s="131"/>
    </row>
    <row r="1481" spans="1:35" ht="26.4">
      <c r="A1481" s="284"/>
      <c r="B1481" s="284"/>
      <c r="C1481" s="284"/>
      <c r="D1481" s="284"/>
      <c r="E1481" s="284"/>
      <c r="F1481" s="284"/>
      <c r="G1481" s="284"/>
      <c r="H1481" s="284"/>
      <c r="I1481" s="284"/>
      <c r="J1481" s="375"/>
      <c r="K1481" s="375"/>
      <c r="L1481" s="375"/>
      <c r="M1481" s="368"/>
      <c r="N1481" s="368"/>
      <c r="O1481" s="370"/>
      <c r="T1481" s="340"/>
      <c r="V1481" s="378"/>
      <c r="W1481" s="64" ph="1"/>
      <c r="X1481" s="241"/>
      <c r="Y1481" s="284"/>
      <c r="Z1481" s="207"/>
      <c r="AA1481" s="284"/>
      <c r="AB1481" s="284"/>
      <c r="AC1481" s="284"/>
      <c r="AD1481" s="284"/>
      <c r="AE1481" s="284"/>
      <c r="AF1481" s="284"/>
      <c r="AG1481" s="284"/>
      <c r="AI1481" s="131"/>
    </row>
    <row r="1482" spans="1:35" ht="26.4">
      <c r="A1482" s="284"/>
      <c r="B1482" s="284"/>
      <c r="C1482" s="284"/>
      <c r="D1482" s="284"/>
      <c r="E1482" s="284"/>
      <c r="F1482" s="284"/>
      <c r="G1482" s="284"/>
      <c r="H1482" s="284"/>
      <c r="I1482" s="284"/>
      <c r="J1482" s="375"/>
      <c r="K1482" s="375"/>
      <c r="L1482" s="375"/>
      <c r="M1482" s="368"/>
      <c r="N1482" s="368"/>
      <c r="O1482" s="370"/>
      <c r="T1482" s="340"/>
      <c r="V1482" s="378"/>
      <c r="W1482" s="64" ph="1"/>
      <c r="X1482" s="241"/>
      <c r="Y1482" s="284"/>
      <c r="Z1482" s="207"/>
      <c r="AA1482" s="284"/>
      <c r="AB1482" s="284"/>
      <c r="AC1482" s="284"/>
      <c r="AD1482" s="284"/>
      <c r="AE1482" s="284"/>
      <c r="AF1482" s="284"/>
      <c r="AG1482" s="284"/>
      <c r="AI1482" s="131"/>
    </row>
    <row r="1483" spans="1:35" ht="26.4">
      <c r="A1483" s="284"/>
      <c r="B1483" s="284"/>
      <c r="C1483" s="284"/>
      <c r="D1483" s="284"/>
      <c r="E1483" s="284"/>
      <c r="F1483" s="284"/>
      <c r="G1483" s="284"/>
      <c r="H1483" s="284"/>
      <c r="I1483" s="284"/>
      <c r="J1483" s="375"/>
      <c r="K1483" s="375"/>
      <c r="L1483" s="375"/>
      <c r="M1483" s="368"/>
      <c r="N1483" s="368"/>
      <c r="O1483" s="370"/>
      <c r="T1483" s="340"/>
      <c r="V1483" s="378"/>
      <c r="W1483" s="64" ph="1"/>
      <c r="X1483" s="241"/>
      <c r="Y1483" s="284"/>
      <c r="Z1483" s="207"/>
      <c r="AA1483" s="284"/>
      <c r="AB1483" s="284"/>
      <c r="AC1483" s="284"/>
      <c r="AD1483" s="284"/>
      <c r="AE1483" s="284"/>
      <c r="AF1483" s="284"/>
      <c r="AG1483" s="284"/>
      <c r="AI1483" s="131"/>
    </row>
    <row r="1484" spans="1:35" ht="26.4">
      <c r="A1484" s="284"/>
      <c r="B1484" s="284"/>
      <c r="C1484" s="284"/>
      <c r="D1484" s="284"/>
      <c r="E1484" s="284"/>
      <c r="F1484" s="284"/>
      <c r="G1484" s="284"/>
      <c r="H1484" s="284"/>
      <c r="I1484" s="284"/>
      <c r="J1484" s="375"/>
      <c r="K1484" s="375"/>
      <c r="L1484" s="375"/>
      <c r="M1484" s="368"/>
      <c r="N1484" s="368"/>
      <c r="O1484" s="370"/>
      <c r="T1484" s="340"/>
      <c r="V1484" s="378"/>
      <c r="W1484" s="64" ph="1"/>
      <c r="X1484" s="241"/>
      <c r="Y1484" s="284"/>
      <c r="Z1484" s="207"/>
      <c r="AA1484" s="284"/>
      <c r="AB1484" s="284"/>
      <c r="AC1484" s="284"/>
      <c r="AD1484" s="284"/>
      <c r="AE1484" s="284"/>
      <c r="AF1484" s="284"/>
      <c r="AG1484" s="284"/>
      <c r="AI1484" s="131"/>
    </row>
    <row r="1485" spans="1:35" ht="26.4">
      <c r="A1485" s="284"/>
      <c r="B1485" s="284"/>
      <c r="C1485" s="284"/>
      <c r="D1485" s="284"/>
      <c r="E1485" s="284"/>
      <c r="F1485" s="284"/>
      <c r="G1485" s="284"/>
      <c r="H1485" s="284"/>
      <c r="I1485" s="284"/>
      <c r="J1485" s="375"/>
      <c r="K1485" s="375"/>
      <c r="L1485" s="375"/>
      <c r="M1485" s="368"/>
      <c r="N1485" s="368"/>
      <c r="O1485" s="370"/>
      <c r="T1485" s="340"/>
      <c r="V1485" s="378"/>
      <c r="W1485" s="64" ph="1"/>
      <c r="X1485" s="241"/>
      <c r="Y1485" s="284"/>
      <c r="Z1485" s="207"/>
      <c r="AA1485" s="284"/>
      <c r="AB1485" s="284"/>
      <c r="AC1485" s="284"/>
      <c r="AD1485" s="284"/>
      <c r="AE1485" s="284"/>
      <c r="AF1485" s="284"/>
      <c r="AG1485" s="284"/>
      <c r="AI1485" s="131"/>
    </row>
    <row r="1486" spans="1:35" ht="26.4">
      <c r="A1486" s="284"/>
      <c r="B1486" s="284"/>
      <c r="C1486" s="284"/>
      <c r="D1486" s="284"/>
      <c r="E1486" s="284"/>
      <c r="F1486" s="284"/>
      <c r="G1486" s="284"/>
      <c r="H1486" s="284"/>
      <c r="I1486" s="284"/>
      <c r="J1486" s="375"/>
      <c r="K1486" s="375"/>
      <c r="L1486" s="375"/>
      <c r="M1486" s="368"/>
      <c r="N1486" s="368"/>
      <c r="O1486" s="370"/>
      <c r="T1486" s="340"/>
      <c r="V1486" s="378"/>
      <c r="W1486" s="64" ph="1"/>
      <c r="X1486" s="241"/>
      <c r="Y1486" s="284"/>
      <c r="Z1486" s="207"/>
      <c r="AA1486" s="284"/>
      <c r="AB1486" s="284"/>
      <c r="AC1486" s="284"/>
      <c r="AD1486" s="284"/>
      <c r="AE1486" s="284"/>
      <c r="AF1486" s="284"/>
      <c r="AG1486" s="284"/>
      <c r="AI1486" s="131"/>
    </row>
    <row r="1487" spans="1:35" ht="26.4">
      <c r="A1487" s="284"/>
      <c r="B1487" s="284"/>
      <c r="C1487" s="284"/>
      <c r="D1487" s="284"/>
      <c r="E1487" s="284"/>
      <c r="F1487" s="284"/>
      <c r="G1487" s="284"/>
      <c r="H1487" s="284"/>
      <c r="I1487" s="284"/>
      <c r="J1487" s="375"/>
      <c r="K1487" s="375"/>
      <c r="L1487" s="375"/>
      <c r="M1487" s="368"/>
      <c r="N1487" s="368"/>
      <c r="O1487" s="370"/>
      <c r="T1487" s="340"/>
      <c r="V1487" s="378"/>
      <c r="W1487" s="64" ph="1"/>
      <c r="X1487" s="241"/>
      <c r="Y1487" s="284"/>
      <c r="Z1487" s="207"/>
      <c r="AA1487" s="284"/>
      <c r="AB1487" s="284"/>
      <c r="AC1487" s="284"/>
      <c r="AD1487" s="284"/>
      <c r="AE1487" s="284"/>
      <c r="AF1487" s="284"/>
      <c r="AG1487" s="284"/>
      <c r="AI1487" s="131"/>
    </row>
    <row r="1488" spans="1:35" ht="26.4">
      <c r="A1488" s="284"/>
      <c r="B1488" s="284"/>
      <c r="C1488" s="284"/>
      <c r="D1488" s="284"/>
      <c r="E1488" s="284"/>
      <c r="F1488" s="284"/>
      <c r="G1488" s="284"/>
      <c r="H1488" s="284"/>
      <c r="I1488" s="284"/>
      <c r="J1488" s="375"/>
      <c r="K1488" s="375"/>
      <c r="L1488" s="375"/>
      <c r="M1488" s="368"/>
      <c r="N1488" s="368"/>
      <c r="O1488" s="370"/>
      <c r="T1488" s="340"/>
      <c r="V1488" s="378"/>
      <c r="W1488" s="64" ph="1"/>
      <c r="X1488" s="241"/>
      <c r="Y1488" s="284"/>
      <c r="Z1488" s="207"/>
      <c r="AA1488" s="284"/>
      <c r="AB1488" s="284"/>
      <c r="AC1488" s="284"/>
      <c r="AD1488" s="284"/>
      <c r="AE1488" s="284"/>
      <c r="AF1488" s="284"/>
      <c r="AG1488" s="284"/>
      <c r="AI1488" s="131"/>
    </row>
    <row r="1489" spans="1:35">
      <c r="O1489" s="370"/>
      <c r="AI1489" s="131"/>
    </row>
    <row r="1490" spans="1:35" ht="26.4">
      <c r="A1490" s="284"/>
      <c r="B1490" s="284"/>
      <c r="C1490" s="284"/>
      <c r="D1490" s="284"/>
      <c r="E1490" s="284"/>
      <c r="F1490" s="284"/>
      <c r="G1490" s="284"/>
      <c r="H1490" s="284"/>
      <c r="I1490" s="284"/>
      <c r="J1490" s="375"/>
      <c r="K1490" s="375"/>
      <c r="L1490" s="375"/>
      <c r="M1490" s="368"/>
      <c r="N1490" s="368"/>
      <c r="O1490" s="370"/>
      <c r="T1490" s="340"/>
      <c r="V1490" s="378"/>
      <c r="W1490" s="64" ph="1"/>
      <c r="X1490" s="241"/>
      <c r="Y1490" s="284"/>
      <c r="Z1490" s="207"/>
      <c r="AA1490" s="284"/>
      <c r="AB1490" s="284"/>
      <c r="AC1490" s="284"/>
      <c r="AD1490" s="284"/>
      <c r="AE1490" s="284"/>
      <c r="AF1490" s="284"/>
      <c r="AG1490" s="284"/>
      <c r="AI1490" s="131"/>
    </row>
    <row r="1491" spans="1:35" ht="26.4">
      <c r="A1491" s="284"/>
      <c r="B1491" s="284"/>
      <c r="C1491" s="284"/>
      <c r="D1491" s="284"/>
      <c r="E1491" s="284"/>
      <c r="F1491" s="284"/>
      <c r="G1491" s="284"/>
      <c r="H1491" s="284"/>
      <c r="I1491" s="284"/>
      <c r="J1491" s="375"/>
      <c r="K1491" s="375"/>
      <c r="L1491" s="375"/>
      <c r="M1491" s="368"/>
      <c r="N1491" s="368"/>
      <c r="O1491" s="370"/>
      <c r="T1491" s="340"/>
      <c r="V1491" s="378"/>
      <c r="W1491" s="64" ph="1"/>
      <c r="X1491" s="241"/>
      <c r="Y1491" s="284"/>
      <c r="Z1491" s="207"/>
      <c r="AA1491" s="284"/>
      <c r="AB1491" s="284"/>
      <c r="AC1491" s="284"/>
      <c r="AD1491" s="284"/>
      <c r="AE1491" s="284"/>
      <c r="AF1491" s="284"/>
      <c r="AG1491" s="284"/>
      <c r="AI1491" s="131"/>
    </row>
    <row r="1492" spans="1:35" ht="26.4">
      <c r="A1492" s="284"/>
      <c r="B1492" s="284"/>
      <c r="C1492" s="284"/>
      <c r="D1492" s="284"/>
      <c r="E1492" s="284"/>
      <c r="F1492" s="284"/>
      <c r="G1492" s="284"/>
      <c r="H1492" s="284"/>
      <c r="I1492" s="284"/>
      <c r="J1492" s="375"/>
      <c r="K1492" s="375"/>
      <c r="L1492" s="375"/>
      <c r="M1492" s="368"/>
      <c r="N1492" s="368"/>
      <c r="T1492" s="340"/>
      <c r="V1492" s="378"/>
      <c r="W1492" s="64" ph="1"/>
      <c r="X1492" s="241"/>
      <c r="Y1492" s="284"/>
      <c r="Z1492" s="207"/>
      <c r="AA1492" s="284"/>
      <c r="AB1492" s="284"/>
      <c r="AC1492" s="284"/>
      <c r="AD1492" s="284"/>
      <c r="AE1492" s="284"/>
      <c r="AF1492" s="284"/>
      <c r="AG1492" s="284"/>
      <c r="AI1492" s="131"/>
    </row>
    <row r="1493" spans="1:35" ht="26.4">
      <c r="A1493" s="284"/>
      <c r="B1493" s="284"/>
      <c r="C1493" s="284"/>
      <c r="D1493" s="284"/>
      <c r="E1493" s="284"/>
      <c r="F1493" s="284"/>
      <c r="G1493" s="284"/>
      <c r="H1493" s="284"/>
      <c r="I1493" s="284"/>
      <c r="J1493" s="375"/>
      <c r="K1493" s="375"/>
      <c r="L1493" s="375"/>
      <c r="M1493" s="368"/>
      <c r="N1493" s="368"/>
      <c r="O1493" s="370"/>
      <c r="T1493" s="340"/>
      <c r="V1493" s="378"/>
      <c r="W1493" s="64" ph="1"/>
      <c r="X1493" s="241"/>
      <c r="Y1493" s="284"/>
      <c r="Z1493" s="207"/>
      <c r="AA1493" s="284"/>
      <c r="AB1493" s="284"/>
      <c r="AC1493" s="284"/>
      <c r="AD1493" s="284"/>
      <c r="AE1493" s="284"/>
      <c r="AF1493" s="284"/>
      <c r="AG1493" s="284"/>
      <c r="AI1493" s="131"/>
    </row>
    <row r="1494" spans="1:35" ht="26.4">
      <c r="A1494" s="284"/>
      <c r="B1494" s="284"/>
      <c r="C1494" s="284"/>
      <c r="D1494" s="284"/>
      <c r="E1494" s="284"/>
      <c r="F1494" s="284"/>
      <c r="G1494" s="284"/>
      <c r="H1494" s="284"/>
      <c r="I1494" s="284"/>
      <c r="J1494" s="375"/>
      <c r="K1494" s="375"/>
      <c r="L1494" s="375"/>
      <c r="M1494" s="368"/>
      <c r="N1494" s="368"/>
      <c r="O1494" s="370"/>
      <c r="T1494" s="340"/>
      <c r="V1494" s="378"/>
      <c r="W1494" s="64" ph="1"/>
      <c r="X1494" s="241"/>
      <c r="Y1494" s="284"/>
      <c r="Z1494" s="207"/>
      <c r="AA1494" s="284"/>
      <c r="AB1494" s="284"/>
      <c r="AC1494" s="284"/>
      <c r="AD1494" s="284"/>
      <c r="AE1494" s="284"/>
      <c r="AF1494" s="284"/>
      <c r="AG1494" s="284"/>
      <c r="AI1494" s="131"/>
    </row>
    <row r="1495" spans="1:35" ht="26.4">
      <c r="A1495" s="284"/>
      <c r="B1495" s="284"/>
      <c r="C1495" s="284"/>
      <c r="D1495" s="284"/>
      <c r="E1495" s="284"/>
      <c r="F1495" s="284"/>
      <c r="G1495" s="284"/>
      <c r="H1495" s="284"/>
      <c r="I1495" s="284"/>
      <c r="J1495" s="375"/>
      <c r="K1495" s="375"/>
      <c r="L1495" s="375"/>
      <c r="M1495" s="368"/>
      <c r="N1495" s="368"/>
      <c r="O1495" s="370"/>
      <c r="T1495" s="340"/>
      <c r="V1495" s="378"/>
      <c r="W1495" s="64" ph="1"/>
      <c r="X1495" s="241"/>
      <c r="Y1495" s="284"/>
      <c r="Z1495" s="207"/>
      <c r="AA1495" s="284"/>
      <c r="AB1495" s="284"/>
      <c r="AC1495" s="284"/>
      <c r="AD1495" s="284"/>
      <c r="AE1495" s="284"/>
      <c r="AF1495" s="284"/>
      <c r="AG1495" s="284"/>
      <c r="AI1495" s="131"/>
    </row>
    <row r="1496" spans="1:35" ht="26.4">
      <c r="A1496" s="284"/>
      <c r="B1496" s="284"/>
      <c r="C1496" s="284"/>
      <c r="D1496" s="284"/>
      <c r="E1496" s="284"/>
      <c r="F1496" s="284"/>
      <c r="G1496" s="284"/>
      <c r="H1496" s="284"/>
      <c r="I1496" s="284"/>
      <c r="J1496" s="375"/>
      <c r="K1496" s="375"/>
      <c r="L1496" s="375"/>
      <c r="M1496" s="368"/>
      <c r="N1496" s="368"/>
      <c r="O1496" s="370"/>
      <c r="T1496" s="340"/>
      <c r="V1496" s="378"/>
      <c r="W1496" s="64" ph="1"/>
      <c r="X1496" s="241"/>
      <c r="Y1496" s="284"/>
      <c r="Z1496" s="207"/>
      <c r="AA1496" s="284"/>
      <c r="AB1496" s="284"/>
      <c r="AC1496" s="284"/>
      <c r="AD1496" s="284"/>
      <c r="AE1496" s="284"/>
      <c r="AF1496" s="284"/>
      <c r="AG1496" s="284"/>
      <c r="AI1496" s="131"/>
    </row>
    <row r="1497" spans="1:35" ht="26.4">
      <c r="A1497" s="284"/>
      <c r="B1497" s="284"/>
      <c r="C1497" s="284"/>
      <c r="D1497" s="284"/>
      <c r="E1497" s="284"/>
      <c r="F1497" s="284"/>
      <c r="G1497" s="284"/>
      <c r="H1497" s="284"/>
      <c r="I1497" s="284"/>
      <c r="J1497" s="375"/>
      <c r="K1497" s="375"/>
      <c r="L1497" s="375"/>
      <c r="M1497" s="368"/>
      <c r="N1497" s="368"/>
      <c r="O1497" s="370"/>
      <c r="T1497" s="340"/>
      <c r="V1497" s="378"/>
      <c r="W1497" s="64" ph="1"/>
      <c r="X1497" s="241"/>
      <c r="Y1497" s="284"/>
      <c r="Z1497" s="207"/>
      <c r="AA1497" s="284"/>
      <c r="AB1497" s="284"/>
      <c r="AC1497" s="284"/>
      <c r="AD1497" s="284"/>
      <c r="AE1497" s="284"/>
      <c r="AF1497" s="284"/>
      <c r="AG1497" s="284"/>
      <c r="AI1497" s="131"/>
    </row>
    <row r="1498" spans="1:35" ht="26.4">
      <c r="A1498" s="284"/>
      <c r="B1498" s="284"/>
      <c r="C1498" s="284"/>
      <c r="D1498" s="284"/>
      <c r="E1498" s="284"/>
      <c r="F1498" s="284"/>
      <c r="G1498" s="284"/>
      <c r="H1498" s="284"/>
      <c r="I1498" s="284"/>
      <c r="J1498" s="375"/>
      <c r="K1498" s="375"/>
      <c r="L1498" s="375"/>
      <c r="M1498" s="368"/>
      <c r="N1498" s="368"/>
      <c r="O1498" s="370"/>
      <c r="T1498" s="340"/>
      <c r="V1498" s="378"/>
      <c r="W1498" s="64" ph="1"/>
      <c r="X1498" s="241"/>
      <c r="Y1498" s="284"/>
      <c r="Z1498" s="207"/>
      <c r="AA1498" s="284"/>
      <c r="AB1498" s="284"/>
      <c r="AC1498" s="284"/>
      <c r="AD1498" s="284"/>
      <c r="AE1498" s="284"/>
      <c r="AF1498" s="284"/>
      <c r="AG1498" s="284"/>
      <c r="AI1498" s="131"/>
    </row>
    <row r="1499" spans="1:35" ht="26.4">
      <c r="A1499" s="284"/>
      <c r="B1499" s="284"/>
      <c r="C1499" s="284"/>
      <c r="D1499" s="284"/>
      <c r="E1499" s="284"/>
      <c r="F1499" s="284"/>
      <c r="G1499" s="284"/>
      <c r="H1499" s="284"/>
      <c r="I1499" s="284"/>
      <c r="J1499" s="375"/>
      <c r="K1499" s="375"/>
      <c r="L1499" s="375"/>
      <c r="M1499" s="368"/>
      <c r="N1499" s="368"/>
      <c r="O1499" s="370"/>
      <c r="T1499" s="340"/>
      <c r="V1499" s="378"/>
      <c r="W1499" s="64" ph="1"/>
      <c r="X1499" s="241"/>
      <c r="Y1499" s="284"/>
      <c r="Z1499" s="207"/>
      <c r="AA1499" s="284"/>
      <c r="AB1499" s="284"/>
      <c r="AC1499" s="284"/>
      <c r="AD1499" s="284"/>
      <c r="AE1499" s="284"/>
      <c r="AF1499" s="284"/>
      <c r="AG1499" s="284"/>
      <c r="AI1499" s="131"/>
    </row>
    <row r="1500" spans="1:35" ht="26.4">
      <c r="A1500" s="284"/>
      <c r="B1500" s="284"/>
      <c r="C1500" s="284"/>
      <c r="D1500" s="284"/>
      <c r="E1500" s="284"/>
      <c r="F1500" s="284"/>
      <c r="G1500" s="284"/>
      <c r="H1500" s="284"/>
      <c r="I1500" s="284"/>
      <c r="J1500" s="375"/>
      <c r="K1500" s="375"/>
      <c r="L1500" s="375"/>
      <c r="M1500" s="368"/>
      <c r="N1500" s="368"/>
      <c r="O1500" s="370"/>
      <c r="T1500" s="340"/>
      <c r="V1500" s="378"/>
      <c r="W1500" s="64" ph="1"/>
      <c r="X1500" s="241"/>
      <c r="Y1500" s="284"/>
      <c r="Z1500" s="207"/>
      <c r="AA1500" s="284"/>
      <c r="AB1500" s="284"/>
      <c r="AC1500" s="284"/>
      <c r="AD1500" s="284"/>
      <c r="AE1500" s="284"/>
      <c r="AF1500" s="284"/>
      <c r="AG1500" s="284"/>
      <c r="AI1500" s="131"/>
    </row>
    <row r="1501" spans="1:35" ht="26.4">
      <c r="A1501" s="284"/>
      <c r="B1501" s="284"/>
      <c r="C1501" s="284"/>
      <c r="D1501" s="284"/>
      <c r="E1501" s="284"/>
      <c r="F1501" s="284"/>
      <c r="G1501" s="284"/>
      <c r="H1501" s="284"/>
      <c r="I1501" s="284"/>
      <c r="J1501" s="375"/>
      <c r="K1501" s="375"/>
      <c r="L1501" s="375"/>
      <c r="M1501" s="368"/>
      <c r="N1501" s="368"/>
      <c r="T1501" s="340"/>
      <c r="V1501" s="378"/>
      <c r="W1501" s="64" ph="1"/>
      <c r="X1501" s="241"/>
      <c r="Y1501" s="284"/>
      <c r="Z1501" s="207"/>
      <c r="AA1501" s="284"/>
      <c r="AB1501" s="284"/>
      <c r="AC1501" s="284"/>
      <c r="AD1501" s="284"/>
      <c r="AE1501" s="284"/>
      <c r="AF1501" s="284"/>
      <c r="AG1501" s="284"/>
      <c r="AI1501" s="131"/>
    </row>
    <row r="1502" spans="1:35" ht="26.4">
      <c r="A1502" s="284"/>
      <c r="B1502" s="284"/>
      <c r="C1502" s="284"/>
      <c r="D1502" s="284"/>
      <c r="E1502" s="284"/>
      <c r="F1502" s="284"/>
      <c r="G1502" s="284"/>
      <c r="H1502" s="284"/>
      <c r="I1502" s="284"/>
      <c r="J1502" s="375"/>
      <c r="K1502" s="375"/>
      <c r="L1502" s="375"/>
      <c r="M1502" s="368"/>
      <c r="N1502" s="368"/>
      <c r="O1502" s="370"/>
      <c r="T1502" s="340"/>
      <c r="V1502" s="378"/>
      <c r="W1502" s="64" ph="1"/>
      <c r="X1502" s="241"/>
      <c r="Y1502" s="284"/>
      <c r="Z1502" s="207"/>
      <c r="AA1502" s="284"/>
      <c r="AB1502" s="284"/>
      <c r="AC1502" s="284"/>
      <c r="AD1502" s="284"/>
      <c r="AE1502" s="284"/>
      <c r="AF1502" s="284"/>
      <c r="AG1502" s="284"/>
      <c r="AI1502" s="128"/>
    </row>
    <row r="1503" spans="1:35" ht="26.4">
      <c r="A1503" s="284"/>
      <c r="B1503" s="284"/>
      <c r="C1503" s="284"/>
      <c r="D1503" s="284"/>
      <c r="E1503" s="284"/>
      <c r="F1503" s="284"/>
      <c r="G1503" s="284"/>
      <c r="H1503" s="284"/>
      <c r="I1503" s="284"/>
      <c r="J1503" s="375"/>
      <c r="K1503" s="375"/>
      <c r="L1503" s="375"/>
      <c r="M1503" s="368"/>
      <c r="N1503" s="368"/>
      <c r="O1503" s="370"/>
      <c r="T1503" s="340"/>
      <c r="V1503" s="378"/>
      <c r="W1503" s="64" ph="1"/>
      <c r="X1503" s="241"/>
      <c r="Y1503" s="284"/>
      <c r="Z1503" s="207"/>
      <c r="AA1503" s="284"/>
      <c r="AB1503" s="284"/>
      <c r="AC1503" s="284"/>
      <c r="AD1503" s="284"/>
      <c r="AE1503" s="284"/>
      <c r="AF1503" s="284"/>
      <c r="AG1503" s="284"/>
      <c r="AI1503" s="131"/>
    </row>
    <row r="1504" spans="1:35" ht="26.4">
      <c r="A1504" s="284"/>
      <c r="B1504" s="284"/>
      <c r="C1504" s="284"/>
      <c r="D1504" s="284"/>
      <c r="E1504" s="284"/>
      <c r="F1504" s="284"/>
      <c r="G1504" s="284"/>
      <c r="H1504" s="284"/>
      <c r="I1504" s="284"/>
      <c r="J1504" s="375"/>
      <c r="K1504" s="375"/>
      <c r="L1504" s="375"/>
      <c r="M1504" s="368"/>
      <c r="N1504" s="368"/>
      <c r="O1504" s="370"/>
      <c r="T1504" s="340"/>
      <c r="V1504" s="378"/>
      <c r="W1504" s="64" ph="1"/>
      <c r="X1504" s="241"/>
      <c r="Y1504" s="284"/>
      <c r="Z1504" s="207"/>
      <c r="AA1504" s="284"/>
      <c r="AB1504" s="284"/>
      <c r="AC1504" s="284"/>
      <c r="AD1504" s="284"/>
      <c r="AE1504" s="284"/>
      <c r="AF1504" s="284"/>
      <c r="AG1504" s="284"/>
      <c r="AI1504" s="131"/>
    </row>
    <row r="1505" spans="1:35" ht="26.4">
      <c r="A1505" s="284"/>
      <c r="B1505" s="284"/>
      <c r="C1505" s="284"/>
      <c r="D1505" s="284"/>
      <c r="E1505" s="284"/>
      <c r="F1505" s="284"/>
      <c r="G1505" s="284"/>
      <c r="H1505" s="284"/>
      <c r="I1505" s="284"/>
      <c r="J1505" s="375"/>
      <c r="K1505" s="375"/>
      <c r="L1505" s="375"/>
      <c r="M1505" s="368"/>
      <c r="N1505" s="368"/>
      <c r="O1505" s="370"/>
      <c r="T1505" s="340"/>
      <c r="V1505" s="378"/>
      <c r="W1505" s="64" ph="1"/>
      <c r="X1505" s="241"/>
      <c r="Y1505" s="284"/>
      <c r="Z1505" s="207"/>
      <c r="AA1505" s="284"/>
      <c r="AB1505" s="284"/>
      <c r="AC1505" s="284"/>
      <c r="AD1505" s="284"/>
      <c r="AE1505" s="284"/>
      <c r="AF1505" s="284"/>
      <c r="AG1505" s="284"/>
      <c r="AI1505" s="131"/>
    </row>
    <row r="1506" spans="1:35" ht="26.4">
      <c r="A1506" s="284"/>
      <c r="B1506" s="284"/>
      <c r="C1506" s="284"/>
      <c r="D1506" s="284"/>
      <c r="E1506" s="284"/>
      <c r="F1506" s="284"/>
      <c r="G1506" s="284"/>
      <c r="H1506" s="284"/>
      <c r="I1506" s="284"/>
      <c r="J1506" s="375"/>
      <c r="K1506" s="375"/>
      <c r="L1506" s="375"/>
      <c r="M1506" s="368"/>
      <c r="N1506" s="368"/>
      <c r="O1506" s="370"/>
      <c r="T1506" s="340"/>
      <c r="V1506" s="378"/>
      <c r="W1506" s="64" ph="1"/>
      <c r="X1506" s="241"/>
      <c r="Y1506" s="284"/>
      <c r="Z1506" s="207"/>
      <c r="AA1506" s="284"/>
      <c r="AB1506" s="284"/>
      <c r="AC1506" s="284"/>
      <c r="AD1506" s="284"/>
      <c r="AE1506" s="284"/>
      <c r="AF1506" s="284"/>
      <c r="AG1506" s="284"/>
      <c r="AI1506" s="131"/>
    </row>
    <row r="1507" spans="1:35" ht="26.4">
      <c r="A1507" s="284"/>
      <c r="B1507" s="284"/>
      <c r="C1507" s="284"/>
      <c r="D1507" s="284"/>
      <c r="E1507" s="284"/>
      <c r="F1507" s="284"/>
      <c r="G1507" s="284"/>
      <c r="H1507" s="284"/>
      <c r="I1507" s="284"/>
      <c r="J1507" s="375"/>
      <c r="K1507" s="375"/>
      <c r="L1507" s="375"/>
      <c r="M1507" s="368"/>
      <c r="N1507" s="368"/>
      <c r="O1507" s="370"/>
      <c r="T1507" s="340"/>
      <c r="V1507" s="378"/>
      <c r="W1507" s="64" ph="1"/>
      <c r="X1507" s="241"/>
      <c r="Y1507" s="284"/>
      <c r="Z1507" s="207"/>
      <c r="AA1507" s="284"/>
      <c r="AB1507" s="284"/>
      <c r="AC1507" s="284"/>
      <c r="AD1507" s="284"/>
      <c r="AE1507" s="284"/>
      <c r="AF1507" s="284"/>
      <c r="AG1507" s="284"/>
      <c r="AI1507" s="131"/>
    </row>
    <row r="1508" spans="1:35" ht="26.4">
      <c r="A1508" s="284"/>
      <c r="B1508" s="284"/>
      <c r="C1508" s="284"/>
      <c r="D1508" s="284"/>
      <c r="E1508" s="284"/>
      <c r="F1508" s="284"/>
      <c r="G1508" s="284"/>
      <c r="H1508" s="284"/>
      <c r="I1508" s="284"/>
      <c r="J1508" s="375"/>
      <c r="K1508" s="375"/>
      <c r="L1508" s="375"/>
      <c r="M1508" s="368"/>
      <c r="N1508" s="368"/>
      <c r="O1508" s="370"/>
      <c r="T1508" s="340"/>
      <c r="V1508" s="378"/>
      <c r="W1508" s="64" ph="1"/>
      <c r="X1508" s="241"/>
      <c r="Y1508" s="284"/>
      <c r="Z1508" s="207"/>
      <c r="AA1508" s="284"/>
      <c r="AB1508" s="284"/>
      <c r="AC1508" s="284"/>
      <c r="AD1508" s="284"/>
      <c r="AE1508" s="284"/>
      <c r="AF1508" s="284"/>
      <c r="AG1508" s="284"/>
      <c r="AI1508" s="131"/>
    </row>
    <row r="1509" spans="1:35" ht="26.4">
      <c r="A1509" s="284"/>
      <c r="B1509" s="284"/>
      <c r="C1509" s="284"/>
      <c r="D1509" s="284"/>
      <c r="E1509" s="284"/>
      <c r="F1509" s="284"/>
      <c r="G1509" s="284"/>
      <c r="H1509" s="284"/>
      <c r="I1509" s="284"/>
      <c r="J1509" s="375"/>
      <c r="K1509" s="375"/>
      <c r="L1509" s="375"/>
      <c r="M1509" s="368"/>
      <c r="N1509" s="368"/>
      <c r="O1509" s="370"/>
      <c r="T1509" s="340"/>
      <c r="V1509" s="378"/>
      <c r="W1509" s="64" ph="1"/>
      <c r="X1509" s="241"/>
      <c r="Y1509" s="284"/>
      <c r="Z1509" s="207"/>
      <c r="AA1509" s="284"/>
      <c r="AB1509" s="284"/>
      <c r="AC1509" s="284"/>
      <c r="AD1509" s="284"/>
      <c r="AE1509" s="284"/>
      <c r="AF1509" s="284"/>
      <c r="AG1509" s="284"/>
      <c r="AI1509" s="131"/>
    </row>
    <row r="1510" spans="1:35" ht="26.4">
      <c r="A1510" s="284"/>
      <c r="B1510" s="284"/>
      <c r="C1510" s="284"/>
      <c r="D1510" s="284"/>
      <c r="E1510" s="284"/>
      <c r="F1510" s="284"/>
      <c r="G1510" s="284"/>
      <c r="H1510" s="284"/>
      <c r="I1510" s="284"/>
      <c r="J1510" s="375"/>
      <c r="K1510" s="375"/>
      <c r="L1510" s="375"/>
      <c r="M1510" s="368"/>
      <c r="N1510" s="368"/>
      <c r="O1510" s="370"/>
      <c r="T1510" s="340"/>
      <c r="V1510" s="378"/>
      <c r="W1510" s="64" ph="1"/>
      <c r="X1510" s="241"/>
      <c r="Y1510" s="284"/>
      <c r="Z1510" s="207"/>
      <c r="AA1510" s="284"/>
      <c r="AB1510" s="284"/>
      <c r="AC1510" s="284"/>
      <c r="AD1510" s="284"/>
      <c r="AE1510" s="284"/>
      <c r="AF1510" s="284"/>
      <c r="AG1510" s="284"/>
      <c r="AI1510" s="131"/>
    </row>
    <row r="1511" spans="1:35" ht="26.4">
      <c r="A1511" s="284"/>
      <c r="B1511" s="284"/>
      <c r="C1511" s="284"/>
      <c r="D1511" s="284"/>
      <c r="E1511" s="284"/>
      <c r="F1511" s="284"/>
      <c r="G1511" s="284"/>
      <c r="H1511" s="284"/>
      <c r="I1511" s="284"/>
      <c r="J1511" s="375"/>
      <c r="K1511" s="375"/>
      <c r="L1511" s="375"/>
      <c r="M1511" s="368"/>
      <c r="N1511" s="368"/>
      <c r="O1511" s="370"/>
      <c r="T1511" s="340"/>
      <c r="V1511" s="378"/>
      <c r="W1511" s="64" ph="1"/>
      <c r="X1511" s="241"/>
      <c r="Y1511" s="284"/>
      <c r="Z1511" s="207"/>
      <c r="AA1511" s="284"/>
      <c r="AB1511" s="284"/>
      <c r="AC1511" s="284"/>
      <c r="AD1511" s="284"/>
      <c r="AE1511" s="284"/>
      <c r="AF1511" s="284"/>
      <c r="AG1511" s="284"/>
      <c r="AI1511" s="131"/>
    </row>
    <row r="1512" spans="1:35" ht="26.4">
      <c r="A1512" s="284"/>
      <c r="B1512" s="284"/>
      <c r="C1512" s="284"/>
      <c r="D1512" s="284"/>
      <c r="E1512" s="284"/>
      <c r="F1512" s="284"/>
      <c r="G1512" s="284"/>
      <c r="H1512" s="284"/>
      <c r="I1512" s="284"/>
      <c r="J1512" s="375"/>
      <c r="K1512" s="375"/>
      <c r="L1512" s="375"/>
      <c r="M1512" s="368"/>
      <c r="N1512" s="368"/>
      <c r="O1512" s="370"/>
      <c r="T1512" s="340"/>
      <c r="V1512" s="378"/>
      <c r="W1512" s="64" ph="1"/>
      <c r="X1512" s="241"/>
      <c r="Y1512" s="284"/>
      <c r="Z1512" s="207"/>
      <c r="AA1512" s="284"/>
      <c r="AB1512" s="284"/>
      <c r="AC1512" s="284"/>
      <c r="AD1512" s="284"/>
      <c r="AE1512" s="284"/>
      <c r="AF1512" s="284"/>
      <c r="AG1512" s="284"/>
      <c r="AI1512" s="131"/>
    </row>
    <row r="1513" spans="1:35" ht="26.4">
      <c r="A1513" s="284"/>
      <c r="B1513" s="284"/>
      <c r="C1513" s="284"/>
      <c r="D1513" s="284"/>
      <c r="E1513" s="284"/>
      <c r="F1513" s="284"/>
      <c r="G1513" s="284"/>
      <c r="H1513" s="284"/>
      <c r="I1513" s="284"/>
      <c r="J1513" s="375"/>
      <c r="K1513" s="375"/>
      <c r="L1513" s="375"/>
      <c r="M1513" s="368"/>
      <c r="N1513" s="368"/>
      <c r="O1513" s="370"/>
      <c r="T1513" s="340"/>
      <c r="V1513" s="378"/>
      <c r="W1513" s="64" ph="1"/>
      <c r="X1513" s="241"/>
      <c r="Y1513" s="284"/>
      <c r="Z1513" s="207"/>
      <c r="AA1513" s="284"/>
      <c r="AB1513" s="284"/>
      <c r="AC1513" s="284"/>
      <c r="AD1513" s="284"/>
      <c r="AE1513" s="284"/>
      <c r="AF1513" s="284"/>
      <c r="AG1513" s="284"/>
      <c r="AI1513" s="131"/>
    </row>
    <row r="1514" spans="1:35" ht="26.4">
      <c r="A1514" s="284"/>
      <c r="B1514" s="284"/>
      <c r="C1514" s="284"/>
      <c r="D1514" s="284"/>
      <c r="E1514" s="284"/>
      <c r="F1514" s="284"/>
      <c r="G1514" s="284"/>
      <c r="H1514" s="284"/>
      <c r="I1514" s="284"/>
      <c r="J1514" s="375"/>
      <c r="K1514" s="375"/>
      <c r="L1514" s="375"/>
      <c r="M1514" s="368"/>
      <c r="N1514" s="368"/>
      <c r="O1514" s="370"/>
      <c r="T1514" s="340"/>
      <c r="V1514" s="378"/>
      <c r="W1514" s="64" ph="1"/>
      <c r="X1514" s="241"/>
      <c r="Y1514" s="284"/>
      <c r="Z1514" s="207"/>
      <c r="AA1514" s="284"/>
      <c r="AB1514" s="284"/>
      <c r="AC1514" s="284"/>
      <c r="AD1514" s="284"/>
      <c r="AE1514" s="284"/>
      <c r="AF1514" s="284"/>
      <c r="AG1514" s="284"/>
      <c r="AI1514" s="131"/>
    </row>
    <row r="1515" spans="1:35" ht="26.4">
      <c r="A1515" s="284"/>
      <c r="B1515" s="284"/>
      <c r="C1515" s="284"/>
      <c r="D1515" s="284"/>
      <c r="E1515" s="284"/>
      <c r="F1515" s="284"/>
      <c r="G1515" s="284"/>
      <c r="H1515" s="284"/>
      <c r="I1515" s="284"/>
      <c r="J1515" s="375"/>
      <c r="K1515" s="375"/>
      <c r="L1515" s="375"/>
      <c r="M1515" s="368"/>
      <c r="N1515" s="368"/>
      <c r="O1515" s="370"/>
      <c r="T1515" s="340"/>
      <c r="V1515" s="378"/>
      <c r="W1515" s="64" ph="1"/>
      <c r="X1515" s="241"/>
      <c r="Y1515" s="284"/>
      <c r="Z1515" s="207"/>
      <c r="AA1515" s="284"/>
      <c r="AB1515" s="284"/>
      <c r="AC1515" s="284"/>
      <c r="AD1515" s="284"/>
      <c r="AE1515" s="284"/>
      <c r="AF1515" s="284"/>
      <c r="AG1515" s="284"/>
      <c r="AI1515" s="131"/>
    </row>
    <row r="1516" spans="1:35" ht="26.4">
      <c r="A1516" s="284"/>
      <c r="B1516" s="284"/>
      <c r="C1516" s="284"/>
      <c r="D1516" s="284"/>
      <c r="E1516" s="284"/>
      <c r="F1516" s="284"/>
      <c r="G1516" s="284"/>
      <c r="H1516" s="284"/>
      <c r="I1516" s="284"/>
      <c r="J1516" s="375"/>
      <c r="K1516" s="375"/>
      <c r="L1516" s="375"/>
      <c r="M1516" s="368"/>
      <c r="N1516" s="368"/>
      <c r="O1516" s="370"/>
      <c r="T1516" s="340"/>
      <c r="V1516" s="378"/>
      <c r="W1516" s="64" ph="1"/>
      <c r="X1516" s="241"/>
      <c r="Y1516" s="284"/>
      <c r="Z1516" s="207"/>
      <c r="AA1516" s="284"/>
      <c r="AB1516" s="284"/>
      <c r="AC1516" s="284"/>
      <c r="AD1516" s="284"/>
      <c r="AE1516" s="284"/>
      <c r="AF1516" s="284"/>
      <c r="AG1516" s="284"/>
      <c r="AI1516" s="284"/>
    </row>
    <row r="1517" spans="1:35" ht="26.4">
      <c r="A1517" s="284"/>
      <c r="B1517" s="284"/>
      <c r="C1517" s="284"/>
      <c r="D1517" s="284"/>
      <c r="E1517" s="284"/>
      <c r="F1517" s="284"/>
      <c r="G1517" s="284"/>
      <c r="H1517" s="284"/>
      <c r="I1517" s="284"/>
      <c r="J1517" s="375"/>
      <c r="K1517" s="375"/>
      <c r="L1517" s="375"/>
      <c r="M1517" s="368"/>
      <c r="N1517" s="368"/>
      <c r="O1517" s="370"/>
      <c r="T1517" s="340"/>
      <c r="V1517" s="378"/>
      <c r="W1517" s="64" ph="1"/>
      <c r="X1517" s="241"/>
      <c r="Y1517" s="284"/>
      <c r="Z1517" s="207"/>
      <c r="AA1517" s="284"/>
      <c r="AB1517" s="284"/>
      <c r="AC1517" s="284"/>
      <c r="AD1517" s="284"/>
      <c r="AE1517" s="284"/>
      <c r="AF1517" s="284"/>
      <c r="AG1517" s="284"/>
      <c r="AI1517" s="131"/>
    </row>
    <row r="1518" spans="1:35" ht="26.4">
      <c r="A1518" s="284"/>
      <c r="B1518" s="284"/>
      <c r="C1518" s="284"/>
      <c r="D1518" s="284"/>
      <c r="E1518" s="284"/>
      <c r="F1518" s="284"/>
      <c r="G1518" s="284"/>
      <c r="H1518" s="284"/>
      <c r="I1518" s="284"/>
      <c r="J1518" s="375"/>
      <c r="K1518" s="375"/>
      <c r="L1518" s="375"/>
      <c r="M1518" s="368"/>
      <c r="N1518" s="368"/>
      <c r="O1518" s="370"/>
      <c r="T1518" s="340"/>
      <c r="V1518" s="378"/>
      <c r="W1518" s="64" ph="1"/>
      <c r="X1518" s="241"/>
      <c r="Y1518" s="284"/>
      <c r="Z1518" s="207"/>
      <c r="AA1518" s="284"/>
      <c r="AB1518" s="284"/>
      <c r="AC1518" s="284"/>
      <c r="AD1518" s="284"/>
      <c r="AE1518" s="284"/>
      <c r="AF1518" s="284"/>
      <c r="AG1518" s="284"/>
      <c r="AI1518" s="131"/>
    </row>
    <row r="1519" spans="1:35" ht="26.4">
      <c r="A1519" s="284"/>
      <c r="B1519" s="284"/>
      <c r="C1519" s="284"/>
      <c r="D1519" s="284"/>
      <c r="E1519" s="284"/>
      <c r="F1519" s="284"/>
      <c r="G1519" s="284"/>
      <c r="H1519" s="284"/>
      <c r="I1519" s="284"/>
      <c r="J1519" s="375"/>
      <c r="K1519" s="375"/>
      <c r="L1519" s="375"/>
      <c r="M1519" s="368"/>
      <c r="N1519" s="368"/>
      <c r="O1519" s="370"/>
      <c r="T1519" s="340"/>
      <c r="V1519" s="378"/>
      <c r="W1519" s="64" ph="1"/>
      <c r="X1519" s="241"/>
      <c r="Y1519" s="284"/>
      <c r="Z1519" s="207"/>
      <c r="AA1519" s="284"/>
      <c r="AB1519" s="284"/>
      <c r="AC1519" s="284"/>
      <c r="AD1519" s="284"/>
      <c r="AE1519" s="284"/>
      <c r="AF1519" s="284"/>
      <c r="AG1519" s="284"/>
      <c r="AI1519" s="131"/>
    </row>
    <row r="1520" spans="1:35" ht="26.4">
      <c r="A1520" s="284"/>
      <c r="B1520" s="284"/>
      <c r="C1520" s="284"/>
      <c r="D1520" s="284"/>
      <c r="E1520" s="284"/>
      <c r="F1520" s="284"/>
      <c r="G1520" s="284"/>
      <c r="H1520" s="284"/>
      <c r="I1520" s="284"/>
      <c r="J1520" s="375"/>
      <c r="K1520" s="375"/>
      <c r="L1520" s="375"/>
      <c r="M1520" s="368"/>
      <c r="N1520" s="368"/>
      <c r="O1520" s="370"/>
      <c r="T1520" s="340"/>
      <c r="V1520" s="378"/>
      <c r="W1520" s="64" ph="1"/>
      <c r="X1520" s="241"/>
      <c r="Y1520" s="284"/>
      <c r="Z1520" s="207"/>
      <c r="AA1520" s="284"/>
      <c r="AB1520" s="284"/>
      <c r="AC1520" s="284"/>
      <c r="AD1520" s="284"/>
      <c r="AE1520" s="284"/>
      <c r="AF1520" s="284"/>
      <c r="AG1520" s="284"/>
      <c r="AI1520" s="131"/>
    </row>
    <row r="1521" spans="1:35" ht="26.4">
      <c r="A1521" s="284"/>
      <c r="B1521" s="284"/>
      <c r="C1521" s="284"/>
      <c r="D1521" s="284"/>
      <c r="E1521" s="284"/>
      <c r="F1521" s="284"/>
      <c r="G1521" s="284"/>
      <c r="H1521" s="284"/>
      <c r="I1521" s="284"/>
      <c r="J1521" s="375"/>
      <c r="K1521" s="375"/>
      <c r="L1521" s="375"/>
      <c r="M1521" s="368"/>
      <c r="N1521" s="368"/>
      <c r="O1521" s="370"/>
      <c r="T1521" s="340"/>
      <c r="V1521" s="378"/>
      <c r="W1521" s="64" ph="1"/>
      <c r="X1521" s="241"/>
      <c r="Y1521" s="284"/>
      <c r="Z1521" s="207"/>
      <c r="AA1521" s="284"/>
      <c r="AB1521" s="284"/>
      <c r="AC1521" s="284"/>
      <c r="AD1521" s="284"/>
      <c r="AE1521" s="284"/>
      <c r="AF1521" s="284"/>
      <c r="AG1521" s="284"/>
      <c r="AI1521" s="131"/>
    </row>
    <row r="1522" spans="1:35" ht="26.4">
      <c r="A1522" s="284"/>
      <c r="B1522" s="284"/>
      <c r="C1522" s="284"/>
      <c r="D1522" s="284"/>
      <c r="E1522" s="284"/>
      <c r="F1522" s="284"/>
      <c r="G1522" s="284"/>
      <c r="H1522" s="284"/>
      <c r="I1522" s="284"/>
      <c r="J1522" s="375"/>
      <c r="K1522" s="375"/>
      <c r="L1522" s="375"/>
      <c r="M1522" s="368"/>
      <c r="N1522" s="368"/>
      <c r="O1522" s="370"/>
      <c r="T1522" s="340"/>
      <c r="V1522" s="378"/>
      <c r="W1522" s="64" ph="1"/>
      <c r="X1522" s="241"/>
      <c r="Y1522" s="284"/>
      <c r="Z1522" s="207"/>
      <c r="AA1522" s="284"/>
      <c r="AB1522" s="284"/>
      <c r="AC1522" s="284"/>
      <c r="AD1522" s="284"/>
      <c r="AE1522" s="284"/>
      <c r="AF1522" s="284"/>
      <c r="AG1522" s="284"/>
      <c r="AI1522" s="131"/>
    </row>
    <row r="1523" spans="1:35" ht="26.4">
      <c r="A1523" s="284"/>
      <c r="B1523" s="284"/>
      <c r="C1523" s="284"/>
      <c r="D1523" s="284"/>
      <c r="E1523" s="284"/>
      <c r="F1523" s="284"/>
      <c r="G1523" s="284"/>
      <c r="H1523" s="284"/>
      <c r="I1523" s="284"/>
      <c r="J1523" s="375"/>
      <c r="K1523" s="375"/>
      <c r="L1523" s="375"/>
      <c r="M1523" s="368"/>
      <c r="N1523" s="368"/>
      <c r="O1523" s="370"/>
      <c r="T1523" s="340"/>
      <c r="V1523" s="378"/>
      <c r="W1523" s="64" ph="1"/>
      <c r="X1523" s="241"/>
      <c r="Y1523" s="284"/>
      <c r="Z1523" s="207"/>
      <c r="AA1523" s="284"/>
      <c r="AB1523" s="284"/>
      <c r="AC1523" s="284"/>
      <c r="AD1523" s="284"/>
      <c r="AE1523" s="284"/>
      <c r="AF1523" s="284"/>
      <c r="AG1523" s="284"/>
      <c r="AI1523" s="131"/>
    </row>
    <row r="1524" spans="1:35" ht="26.4">
      <c r="A1524" s="284"/>
      <c r="B1524" s="284"/>
      <c r="C1524" s="284"/>
      <c r="D1524" s="284"/>
      <c r="E1524" s="284"/>
      <c r="F1524" s="284"/>
      <c r="G1524" s="284"/>
      <c r="H1524" s="284"/>
      <c r="I1524" s="284"/>
      <c r="J1524" s="375"/>
      <c r="K1524" s="375"/>
      <c r="L1524" s="375"/>
      <c r="M1524" s="368"/>
      <c r="N1524" s="368"/>
      <c r="O1524" s="370"/>
      <c r="T1524" s="340"/>
      <c r="V1524" s="378"/>
      <c r="W1524" s="64" ph="1"/>
      <c r="X1524" s="241"/>
      <c r="Y1524" s="284"/>
      <c r="Z1524" s="207"/>
      <c r="AA1524" s="284"/>
      <c r="AB1524" s="284"/>
      <c r="AC1524" s="284"/>
      <c r="AD1524" s="284"/>
      <c r="AE1524" s="284"/>
      <c r="AF1524" s="284"/>
      <c r="AG1524" s="284"/>
      <c r="AI1524" s="131"/>
    </row>
    <row r="1525" spans="1:35" ht="26.4">
      <c r="A1525" s="284"/>
      <c r="B1525" s="284"/>
      <c r="C1525" s="284"/>
      <c r="D1525" s="284"/>
      <c r="E1525" s="284"/>
      <c r="F1525" s="284"/>
      <c r="G1525" s="284"/>
      <c r="H1525" s="284"/>
      <c r="I1525" s="284"/>
      <c r="J1525" s="375"/>
      <c r="K1525" s="375"/>
      <c r="L1525" s="375"/>
      <c r="M1525" s="368"/>
      <c r="N1525" s="368"/>
      <c r="O1525" s="370"/>
      <c r="T1525" s="340"/>
      <c r="V1525" s="378"/>
      <c r="W1525" s="64" ph="1"/>
      <c r="X1525" s="241"/>
      <c r="Y1525" s="284"/>
      <c r="Z1525" s="207"/>
      <c r="AA1525" s="284"/>
      <c r="AB1525" s="284"/>
      <c r="AC1525" s="284"/>
      <c r="AD1525" s="284"/>
      <c r="AE1525" s="284"/>
      <c r="AF1525" s="284"/>
      <c r="AG1525" s="284"/>
      <c r="AI1525" s="131"/>
    </row>
    <row r="1526" spans="1:35" ht="26.4">
      <c r="A1526" s="284"/>
      <c r="B1526" s="284"/>
      <c r="C1526" s="284"/>
      <c r="D1526" s="284"/>
      <c r="E1526" s="284"/>
      <c r="F1526" s="284"/>
      <c r="G1526" s="284"/>
      <c r="H1526" s="284"/>
      <c r="I1526" s="284"/>
      <c r="J1526" s="375"/>
      <c r="K1526" s="375"/>
      <c r="L1526" s="375"/>
      <c r="M1526" s="368"/>
      <c r="N1526" s="368"/>
      <c r="O1526" s="370"/>
      <c r="T1526" s="340"/>
      <c r="V1526" s="378"/>
      <c r="W1526" s="64" ph="1"/>
      <c r="X1526" s="241"/>
      <c r="Y1526" s="284"/>
      <c r="Z1526" s="207"/>
      <c r="AA1526" s="284"/>
      <c r="AB1526" s="284"/>
      <c r="AC1526" s="284"/>
      <c r="AD1526" s="284"/>
      <c r="AE1526" s="284"/>
      <c r="AF1526" s="284"/>
      <c r="AG1526" s="284"/>
      <c r="AI1526" s="131"/>
    </row>
    <row r="1527" spans="1:35" ht="26.4">
      <c r="A1527" s="284"/>
      <c r="B1527" s="284"/>
      <c r="C1527" s="284"/>
      <c r="D1527" s="284"/>
      <c r="E1527" s="284"/>
      <c r="F1527" s="284"/>
      <c r="G1527" s="284"/>
      <c r="H1527" s="284"/>
      <c r="I1527" s="284"/>
      <c r="J1527" s="375"/>
      <c r="K1527" s="375"/>
      <c r="L1527" s="375"/>
      <c r="M1527" s="368"/>
      <c r="N1527" s="368"/>
      <c r="O1527" s="370"/>
      <c r="T1527" s="340"/>
      <c r="V1527" s="378"/>
      <c r="W1527" s="64" ph="1"/>
      <c r="X1527" s="241"/>
      <c r="Y1527" s="284"/>
      <c r="Z1527" s="207"/>
      <c r="AA1527" s="284"/>
      <c r="AB1527" s="284"/>
      <c r="AC1527" s="284"/>
      <c r="AD1527" s="284"/>
      <c r="AE1527" s="284"/>
      <c r="AF1527" s="284"/>
      <c r="AG1527" s="284"/>
      <c r="AI1527" s="131"/>
    </row>
    <row r="1528" spans="1:35" ht="26.4">
      <c r="A1528" s="284"/>
      <c r="B1528" s="284"/>
      <c r="C1528" s="284"/>
      <c r="D1528" s="284"/>
      <c r="E1528" s="284"/>
      <c r="F1528" s="284"/>
      <c r="G1528" s="284"/>
      <c r="H1528" s="284"/>
      <c r="I1528" s="284"/>
      <c r="J1528" s="375"/>
      <c r="K1528" s="375"/>
      <c r="L1528" s="375"/>
      <c r="M1528" s="368"/>
      <c r="N1528" s="368"/>
      <c r="O1528" s="370"/>
      <c r="T1528" s="340"/>
      <c r="V1528" s="378"/>
      <c r="W1528" s="64" ph="1"/>
      <c r="X1528" s="241"/>
      <c r="Y1528" s="284"/>
      <c r="Z1528" s="207"/>
      <c r="AA1528" s="284"/>
      <c r="AB1528" s="284"/>
      <c r="AC1528" s="284"/>
      <c r="AD1528" s="284"/>
      <c r="AE1528" s="284"/>
      <c r="AF1528" s="284"/>
      <c r="AG1528" s="284"/>
      <c r="AI1528" s="131"/>
    </row>
    <row r="1529" spans="1:35" ht="26.4">
      <c r="A1529" s="284"/>
      <c r="B1529" s="284"/>
      <c r="C1529" s="284"/>
      <c r="D1529" s="284"/>
      <c r="E1529" s="284"/>
      <c r="F1529" s="284"/>
      <c r="G1529" s="284"/>
      <c r="H1529" s="284"/>
      <c r="I1529" s="284"/>
      <c r="J1529" s="375"/>
      <c r="K1529" s="375"/>
      <c r="L1529" s="375"/>
      <c r="M1529" s="368"/>
      <c r="N1529" s="368"/>
      <c r="O1529" s="370"/>
      <c r="T1529" s="340"/>
      <c r="V1529" s="378"/>
      <c r="W1529" s="64" ph="1"/>
      <c r="X1529" s="241"/>
      <c r="Y1529" s="284"/>
      <c r="Z1529" s="207"/>
      <c r="AA1529" s="284"/>
      <c r="AB1529" s="284"/>
      <c r="AC1529" s="284"/>
      <c r="AD1529" s="284"/>
      <c r="AE1529" s="284"/>
      <c r="AF1529" s="284"/>
      <c r="AG1529" s="284"/>
      <c r="AI1529" s="131"/>
    </row>
    <row r="1530" spans="1:35" ht="26.4">
      <c r="A1530" s="284"/>
      <c r="B1530" s="284"/>
      <c r="C1530" s="284"/>
      <c r="D1530" s="284"/>
      <c r="E1530" s="284"/>
      <c r="F1530" s="284"/>
      <c r="G1530" s="284"/>
      <c r="H1530" s="284"/>
      <c r="I1530" s="284"/>
      <c r="J1530" s="375"/>
      <c r="K1530" s="375"/>
      <c r="L1530" s="375"/>
      <c r="M1530" s="368"/>
      <c r="N1530" s="368"/>
      <c r="O1530" s="370"/>
      <c r="T1530" s="340"/>
      <c r="V1530" s="378"/>
      <c r="W1530" s="64" ph="1"/>
      <c r="X1530" s="241"/>
      <c r="Y1530" s="284"/>
      <c r="Z1530" s="207"/>
      <c r="AA1530" s="284"/>
      <c r="AB1530" s="284"/>
      <c r="AC1530" s="284"/>
      <c r="AD1530" s="284"/>
      <c r="AE1530" s="284"/>
      <c r="AF1530" s="284"/>
      <c r="AG1530" s="284"/>
      <c r="AI1530" s="131"/>
    </row>
    <row r="1531" spans="1:35" ht="26.4">
      <c r="A1531" s="284"/>
      <c r="B1531" s="284"/>
      <c r="C1531" s="284"/>
      <c r="D1531" s="284"/>
      <c r="E1531" s="284"/>
      <c r="F1531" s="284"/>
      <c r="G1531" s="284"/>
      <c r="H1531" s="284"/>
      <c r="I1531" s="284"/>
      <c r="J1531" s="375"/>
      <c r="K1531" s="375"/>
      <c r="L1531" s="375"/>
      <c r="M1531" s="368"/>
      <c r="N1531" s="368"/>
      <c r="O1531" s="370"/>
      <c r="T1531" s="340"/>
      <c r="V1531" s="378"/>
      <c r="W1531" s="64" ph="1"/>
      <c r="X1531" s="241"/>
      <c r="Y1531" s="284"/>
      <c r="Z1531" s="207"/>
      <c r="AA1531" s="284"/>
      <c r="AB1531" s="284"/>
      <c r="AC1531" s="284"/>
      <c r="AD1531" s="284"/>
      <c r="AE1531" s="284"/>
      <c r="AF1531" s="284"/>
      <c r="AG1531" s="284"/>
      <c r="AI1531" s="28"/>
    </row>
    <row r="1532" spans="1:35" ht="26.4">
      <c r="A1532" s="284"/>
      <c r="B1532" s="284"/>
      <c r="C1532" s="284"/>
      <c r="D1532" s="284"/>
      <c r="E1532" s="284"/>
      <c r="F1532" s="284"/>
      <c r="G1532" s="284"/>
      <c r="H1532" s="284"/>
      <c r="I1532" s="284"/>
      <c r="J1532" s="375"/>
      <c r="K1532" s="375"/>
      <c r="L1532" s="375"/>
      <c r="M1532" s="368"/>
      <c r="N1532" s="368"/>
      <c r="O1532" s="370"/>
      <c r="T1532" s="340"/>
      <c r="V1532" s="378"/>
      <c r="W1532" s="64" ph="1"/>
      <c r="X1532" s="241"/>
      <c r="Y1532" s="284"/>
      <c r="Z1532" s="207"/>
      <c r="AA1532" s="284"/>
      <c r="AB1532" s="284"/>
      <c r="AC1532" s="284"/>
      <c r="AD1532" s="284"/>
      <c r="AE1532" s="284"/>
      <c r="AF1532" s="284"/>
      <c r="AG1532" s="284"/>
      <c r="AI1532" s="131"/>
    </row>
    <row r="1533" spans="1:35" ht="26.4">
      <c r="A1533" s="284"/>
      <c r="B1533" s="284"/>
      <c r="C1533" s="284"/>
      <c r="D1533" s="284"/>
      <c r="E1533" s="284"/>
      <c r="F1533" s="284"/>
      <c r="G1533" s="284"/>
      <c r="H1533" s="284"/>
      <c r="I1533" s="284"/>
      <c r="J1533" s="375"/>
      <c r="K1533" s="375"/>
      <c r="L1533" s="375"/>
      <c r="M1533" s="368"/>
      <c r="N1533" s="368"/>
      <c r="O1533" s="370"/>
      <c r="T1533" s="340"/>
      <c r="V1533" s="378"/>
      <c r="W1533" s="64" ph="1"/>
      <c r="X1533" s="241"/>
      <c r="Y1533" s="284"/>
      <c r="Z1533" s="207"/>
      <c r="AA1533" s="284"/>
      <c r="AB1533" s="284"/>
      <c r="AC1533" s="284"/>
      <c r="AD1533" s="284"/>
      <c r="AE1533" s="284"/>
      <c r="AF1533" s="284"/>
      <c r="AG1533" s="284"/>
      <c r="AI1533" s="131"/>
    </row>
    <row r="1534" spans="1:35" ht="26.4">
      <c r="A1534" s="284"/>
      <c r="B1534" s="284"/>
      <c r="C1534" s="284"/>
      <c r="D1534" s="284"/>
      <c r="E1534" s="284"/>
      <c r="F1534" s="284"/>
      <c r="G1534" s="284"/>
      <c r="H1534" s="284"/>
      <c r="I1534" s="284"/>
      <c r="J1534" s="375"/>
      <c r="K1534" s="375"/>
      <c r="L1534" s="375"/>
      <c r="M1534" s="368"/>
      <c r="N1534" s="368"/>
      <c r="O1534" s="370"/>
      <c r="T1534" s="340"/>
      <c r="V1534" s="378"/>
      <c r="W1534" s="64" ph="1"/>
      <c r="X1534" s="241"/>
      <c r="Y1534" s="284"/>
      <c r="Z1534" s="207"/>
      <c r="AA1534" s="284"/>
      <c r="AB1534" s="284"/>
      <c r="AC1534" s="284"/>
      <c r="AD1534" s="284"/>
      <c r="AE1534" s="284"/>
      <c r="AF1534" s="284"/>
      <c r="AG1534" s="284"/>
      <c r="AI1534" s="131"/>
    </row>
    <row r="1535" spans="1:35" ht="26.4">
      <c r="A1535" s="284"/>
      <c r="B1535" s="284"/>
      <c r="C1535" s="284"/>
      <c r="D1535" s="284"/>
      <c r="E1535" s="284"/>
      <c r="F1535" s="284"/>
      <c r="G1535" s="284"/>
      <c r="H1535" s="284"/>
      <c r="I1535" s="284"/>
      <c r="J1535" s="375"/>
      <c r="K1535" s="375"/>
      <c r="L1535" s="375"/>
      <c r="M1535" s="368"/>
      <c r="N1535" s="368"/>
      <c r="O1535" s="370"/>
      <c r="T1535" s="340"/>
      <c r="V1535" s="378"/>
      <c r="W1535" s="64" ph="1"/>
      <c r="X1535" s="241"/>
      <c r="Y1535" s="284"/>
      <c r="Z1535" s="207"/>
      <c r="AA1535" s="284"/>
      <c r="AB1535" s="284"/>
      <c r="AC1535" s="284"/>
      <c r="AD1535" s="284"/>
      <c r="AE1535" s="284"/>
      <c r="AF1535" s="284"/>
      <c r="AG1535" s="284"/>
      <c r="AI1535" s="131"/>
    </row>
    <row r="1536" spans="1:35" ht="26.4">
      <c r="A1536" s="284"/>
      <c r="B1536" s="284"/>
      <c r="C1536" s="284"/>
      <c r="D1536" s="284"/>
      <c r="E1536" s="284"/>
      <c r="F1536" s="284"/>
      <c r="G1536" s="284"/>
      <c r="H1536" s="284"/>
      <c r="I1536" s="284"/>
      <c r="J1536" s="375"/>
      <c r="K1536" s="375"/>
      <c r="L1536" s="375"/>
      <c r="M1536" s="368"/>
      <c r="N1536" s="368"/>
      <c r="O1536" s="370"/>
      <c r="T1536" s="340"/>
      <c r="V1536" s="378"/>
      <c r="W1536" s="64" ph="1"/>
      <c r="X1536" s="241"/>
      <c r="Y1536" s="284"/>
      <c r="Z1536" s="207"/>
      <c r="AA1536" s="284"/>
      <c r="AB1536" s="284"/>
      <c r="AC1536" s="284"/>
      <c r="AD1536" s="284"/>
      <c r="AE1536" s="284"/>
      <c r="AF1536" s="284"/>
      <c r="AG1536" s="284"/>
      <c r="AI1536" s="131"/>
    </row>
    <row r="1537" spans="1:35" ht="26.4">
      <c r="A1537" s="284"/>
      <c r="B1537" s="284"/>
      <c r="C1537" s="284"/>
      <c r="D1537" s="284"/>
      <c r="E1537" s="284"/>
      <c r="F1537" s="284"/>
      <c r="G1537" s="284"/>
      <c r="H1537" s="284"/>
      <c r="I1537" s="284"/>
      <c r="J1537" s="375"/>
      <c r="K1537" s="375"/>
      <c r="L1537" s="375"/>
      <c r="M1537" s="368"/>
      <c r="N1537" s="368"/>
      <c r="O1537" s="370"/>
      <c r="T1537" s="340"/>
      <c r="V1537" s="378"/>
      <c r="W1537" s="64" ph="1"/>
      <c r="X1537" s="241"/>
      <c r="Y1537" s="284"/>
      <c r="Z1537" s="207"/>
      <c r="AA1537" s="284"/>
      <c r="AB1537" s="284"/>
      <c r="AC1537" s="284"/>
      <c r="AD1537" s="284"/>
      <c r="AE1537" s="284"/>
      <c r="AF1537" s="284"/>
      <c r="AG1537" s="284"/>
      <c r="AI1537" s="131"/>
    </row>
    <row r="1538" spans="1:35" ht="26.4">
      <c r="A1538" s="284"/>
      <c r="B1538" s="284"/>
      <c r="C1538" s="284"/>
      <c r="D1538" s="284"/>
      <c r="E1538" s="284"/>
      <c r="F1538" s="284"/>
      <c r="G1538" s="284"/>
      <c r="H1538" s="284"/>
      <c r="I1538" s="284"/>
      <c r="J1538" s="375"/>
      <c r="K1538" s="375"/>
      <c r="L1538" s="375"/>
      <c r="M1538" s="368"/>
      <c r="N1538" s="368"/>
      <c r="O1538" s="370"/>
      <c r="T1538" s="340"/>
      <c r="V1538" s="378"/>
      <c r="W1538" s="64" ph="1"/>
      <c r="X1538" s="241"/>
      <c r="Y1538" s="284"/>
      <c r="Z1538" s="207"/>
      <c r="AA1538" s="284"/>
      <c r="AB1538" s="284"/>
      <c r="AC1538" s="284"/>
      <c r="AD1538" s="284"/>
      <c r="AE1538" s="284"/>
      <c r="AF1538" s="284"/>
      <c r="AG1538" s="284"/>
      <c r="AI1538" s="131"/>
    </row>
    <row r="1539" spans="1:35" ht="26.4">
      <c r="A1539" s="284"/>
      <c r="B1539" s="284"/>
      <c r="C1539" s="284"/>
      <c r="D1539" s="284"/>
      <c r="E1539" s="284"/>
      <c r="F1539" s="284"/>
      <c r="G1539" s="284"/>
      <c r="H1539" s="284"/>
      <c r="I1539" s="284"/>
      <c r="J1539" s="375"/>
      <c r="K1539" s="375"/>
      <c r="L1539" s="375"/>
      <c r="M1539" s="368"/>
      <c r="N1539" s="368"/>
      <c r="O1539" s="370"/>
      <c r="T1539" s="340"/>
      <c r="V1539" s="378"/>
      <c r="W1539" s="64" ph="1"/>
      <c r="X1539" s="241"/>
      <c r="Y1539" s="284"/>
      <c r="Z1539" s="207"/>
      <c r="AA1539" s="284"/>
      <c r="AB1539" s="284"/>
      <c r="AC1539" s="284"/>
      <c r="AD1539" s="284"/>
      <c r="AE1539" s="284"/>
      <c r="AF1539" s="284"/>
      <c r="AG1539" s="284"/>
      <c r="AI1539" s="131"/>
    </row>
    <row r="1540" spans="1:35" ht="26.4">
      <c r="A1540" s="284"/>
      <c r="B1540" s="284"/>
      <c r="C1540" s="284"/>
      <c r="D1540" s="284"/>
      <c r="E1540" s="284"/>
      <c r="F1540" s="284"/>
      <c r="G1540" s="284"/>
      <c r="H1540" s="284"/>
      <c r="I1540" s="284"/>
      <c r="J1540" s="375"/>
      <c r="K1540" s="375"/>
      <c r="L1540" s="375"/>
      <c r="M1540" s="368"/>
      <c r="N1540" s="368"/>
      <c r="O1540" s="370"/>
      <c r="T1540" s="340"/>
      <c r="V1540" s="378"/>
      <c r="W1540" s="64" ph="1"/>
      <c r="X1540" s="241"/>
      <c r="Y1540" s="284"/>
      <c r="Z1540" s="207"/>
      <c r="AA1540" s="284"/>
      <c r="AB1540" s="284"/>
      <c r="AC1540" s="284"/>
      <c r="AD1540" s="284"/>
      <c r="AE1540" s="284"/>
      <c r="AF1540" s="284"/>
      <c r="AG1540" s="284"/>
      <c r="AI1540" s="131"/>
    </row>
    <row r="1541" spans="1:35" ht="26.4">
      <c r="A1541" s="284"/>
      <c r="B1541" s="284"/>
      <c r="C1541" s="284"/>
      <c r="D1541" s="284"/>
      <c r="E1541" s="284"/>
      <c r="F1541" s="284"/>
      <c r="G1541" s="284"/>
      <c r="H1541" s="284"/>
      <c r="I1541" s="284"/>
      <c r="J1541" s="375"/>
      <c r="K1541" s="375"/>
      <c r="L1541" s="375"/>
      <c r="M1541" s="368"/>
      <c r="N1541" s="368"/>
      <c r="O1541" s="370"/>
      <c r="T1541" s="340"/>
      <c r="V1541" s="378"/>
      <c r="W1541" s="64" ph="1"/>
      <c r="X1541" s="241"/>
      <c r="Y1541" s="284"/>
      <c r="Z1541" s="207"/>
      <c r="AA1541" s="284"/>
      <c r="AB1541" s="284"/>
      <c r="AC1541" s="284"/>
      <c r="AD1541" s="284"/>
      <c r="AE1541" s="284"/>
      <c r="AF1541" s="284"/>
      <c r="AG1541" s="284"/>
      <c r="AI1541" s="131"/>
    </row>
    <row r="1542" spans="1:35" ht="26.4">
      <c r="A1542" s="284"/>
      <c r="B1542" s="284"/>
      <c r="C1542" s="284"/>
      <c r="D1542" s="284"/>
      <c r="E1542" s="284"/>
      <c r="F1542" s="284"/>
      <c r="G1542" s="284"/>
      <c r="H1542" s="284"/>
      <c r="I1542" s="284"/>
      <c r="J1542" s="375"/>
      <c r="K1542" s="375"/>
      <c r="L1542" s="375"/>
      <c r="M1542" s="368"/>
      <c r="N1542" s="368"/>
      <c r="O1542" s="370"/>
      <c r="T1542" s="340"/>
      <c r="V1542" s="378"/>
      <c r="W1542" s="64" ph="1"/>
      <c r="X1542" s="241"/>
      <c r="Y1542" s="284"/>
      <c r="Z1542" s="207"/>
      <c r="AA1542" s="284"/>
      <c r="AB1542" s="284"/>
      <c r="AC1542" s="284"/>
      <c r="AD1542" s="284"/>
      <c r="AE1542" s="284"/>
      <c r="AF1542" s="284"/>
      <c r="AG1542" s="284"/>
      <c r="AI1542" s="131"/>
    </row>
    <row r="1543" spans="1:35" ht="26.4">
      <c r="A1543" s="284"/>
      <c r="B1543" s="284"/>
      <c r="C1543" s="284"/>
      <c r="D1543" s="284"/>
      <c r="E1543" s="284"/>
      <c r="F1543" s="284"/>
      <c r="G1543" s="284"/>
      <c r="H1543" s="284"/>
      <c r="I1543" s="284"/>
      <c r="J1543" s="375"/>
      <c r="K1543" s="375"/>
      <c r="L1543" s="375"/>
      <c r="M1543" s="368"/>
      <c r="N1543" s="368"/>
      <c r="O1543" s="370"/>
      <c r="T1543" s="340"/>
      <c r="V1543" s="378"/>
      <c r="W1543" s="64" ph="1"/>
      <c r="X1543" s="241"/>
      <c r="Y1543" s="284"/>
      <c r="Z1543" s="207"/>
      <c r="AA1543" s="284"/>
      <c r="AB1543" s="284"/>
      <c r="AC1543" s="284"/>
      <c r="AD1543" s="284"/>
      <c r="AE1543" s="284"/>
      <c r="AF1543" s="284"/>
      <c r="AG1543" s="284"/>
      <c r="AI1543" s="131"/>
    </row>
    <row r="1544" spans="1:35" ht="26.4">
      <c r="A1544" s="284"/>
      <c r="B1544" s="284"/>
      <c r="C1544" s="284"/>
      <c r="D1544" s="284"/>
      <c r="E1544" s="284"/>
      <c r="F1544" s="284"/>
      <c r="G1544" s="284"/>
      <c r="H1544" s="284"/>
      <c r="I1544" s="284"/>
      <c r="J1544" s="375"/>
      <c r="K1544" s="375"/>
      <c r="L1544" s="375"/>
      <c r="M1544" s="368"/>
      <c r="N1544" s="368"/>
      <c r="O1544" s="370"/>
      <c r="T1544" s="340"/>
      <c r="V1544" s="378"/>
      <c r="W1544" s="64" ph="1"/>
      <c r="X1544" s="241"/>
      <c r="Y1544" s="284"/>
      <c r="Z1544" s="207"/>
      <c r="AA1544" s="284"/>
      <c r="AB1544" s="284"/>
      <c r="AC1544" s="284"/>
      <c r="AD1544" s="284"/>
      <c r="AE1544" s="284"/>
      <c r="AF1544" s="284"/>
      <c r="AG1544" s="284"/>
      <c r="AI1544" s="131"/>
    </row>
    <row r="1545" spans="1:35" ht="26.4">
      <c r="A1545" s="284"/>
      <c r="B1545" s="284"/>
      <c r="C1545" s="284"/>
      <c r="D1545" s="284"/>
      <c r="E1545" s="284"/>
      <c r="F1545" s="284"/>
      <c r="G1545" s="284"/>
      <c r="H1545" s="284"/>
      <c r="I1545" s="284"/>
      <c r="J1545" s="375"/>
      <c r="K1545" s="375"/>
      <c r="L1545" s="375"/>
      <c r="M1545" s="368"/>
      <c r="N1545" s="368"/>
      <c r="O1545" s="370"/>
      <c r="T1545" s="340"/>
      <c r="V1545" s="378"/>
      <c r="W1545" s="64" ph="1"/>
      <c r="X1545" s="241"/>
      <c r="Y1545" s="284"/>
      <c r="Z1545" s="207"/>
      <c r="AA1545" s="284"/>
      <c r="AB1545" s="284"/>
      <c r="AC1545" s="284"/>
      <c r="AD1545" s="284"/>
      <c r="AE1545" s="284"/>
      <c r="AF1545" s="284"/>
      <c r="AG1545" s="284"/>
      <c r="AI1545" s="284"/>
    </row>
    <row r="1546" spans="1:35" ht="26.4">
      <c r="A1546" s="284"/>
      <c r="B1546" s="284"/>
      <c r="C1546" s="284"/>
      <c r="D1546" s="284"/>
      <c r="E1546" s="284"/>
      <c r="F1546" s="284"/>
      <c r="G1546" s="284"/>
      <c r="H1546" s="284"/>
      <c r="I1546" s="284"/>
      <c r="J1546" s="375"/>
      <c r="K1546" s="375"/>
      <c r="L1546" s="375"/>
      <c r="M1546" s="368"/>
      <c r="N1546" s="368"/>
      <c r="O1546" s="370"/>
      <c r="T1546" s="340"/>
      <c r="V1546" s="378"/>
      <c r="W1546" s="64" ph="1"/>
      <c r="X1546" s="241"/>
      <c r="Y1546" s="284"/>
      <c r="Z1546" s="207"/>
      <c r="AA1546" s="284"/>
      <c r="AB1546" s="284"/>
      <c r="AC1546" s="284"/>
      <c r="AD1546" s="284"/>
      <c r="AE1546" s="284"/>
      <c r="AF1546" s="284"/>
      <c r="AG1546" s="284"/>
      <c r="AI1546" s="131"/>
    </row>
    <row r="1547" spans="1:35" ht="26.4">
      <c r="A1547" s="284"/>
      <c r="B1547" s="284"/>
      <c r="C1547" s="284"/>
      <c r="D1547" s="284"/>
      <c r="E1547" s="284"/>
      <c r="F1547" s="284"/>
      <c r="G1547" s="284"/>
      <c r="H1547" s="284"/>
      <c r="I1547" s="284"/>
      <c r="J1547" s="375"/>
      <c r="K1547" s="375"/>
      <c r="L1547" s="375"/>
      <c r="M1547" s="368"/>
      <c r="N1547" s="368"/>
      <c r="O1547" s="370"/>
      <c r="T1547" s="340"/>
      <c r="V1547" s="378"/>
      <c r="W1547" s="64" ph="1"/>
      <c r="X1547" s="241"/>
      <c r="Y1547" s="284"/>
      <c r="Z1547" s="207"/>
      <c r="AA1547" s="284"/>
      <c r="AB1547" s="284"/>
      <c r="AC1547" s="284"/>
      <c r="AD1547" s="284"/>
      <c r="AE1547" s="284"/>
      <c r="AF1547" s="284"/>
      <c r="AG1547" s="284"/>
      <c r="AI1547" s="131"/>
    </row>
    <row r="1548" spans="1:35" ht="26.4">
      <c r="A1548" s="284"/>
      <c r="B1548" s="284"/>
      <c r="C1548" s="284"/>
      <c r="D1548" s="284"/>
      <c r="E1548" s="284"/>
      <c r="F1548" s="284"/>
      <c r="G1548" s="284"/>
      <c r="H1548" s="284"/>
      <c r="I1548" s="284"/>
      <c r="J1548" s="375"/>
      <c r="K1548" s="375"/>
      <c r="L1548" s="375"/>
      <c r="M1548" s="368"/>
      <c r="N1548" s="368"/>
      <c r="O1548" s="370"/>
      <c r="T1548" s="340"/>
      <c r="V1548" s="378"/>
      <c r="W1548" s="64" ph="1"/>
      <c r="X1548" s="241"/>
      <c r="Y1548" s="284"/>
      <c r="Z1548" s="207"/>
      <c r="AA1548" s="284"/>
      <c r="AB1548" s="284"/>
      <c r="AC1548" s="284"/>
      <c r="AD1548" s="284"/>
      <c r="AE1548" s="284"/>
      <c r="AF1548" s="284"/>
      <c r="AG1548" s="284"/>
      <c r="AI1548" s="131"/>
    </row>
    <row r="1549" spans="1:35" ht="26.4">
      <c r="A1549" s="284"/>
      <c r="B1549" s="284"/>
      <c r="C1549" s="284"/>
      <c r="D1549" s="284"/>
      <c r="E1549" s="284"/>
      <c r="F1549" s="284"/>
      <c r="G1549" s="284"/>
      <c r="H1549" s="284"/>
      <c r="I1549" s="284"/>
      <c r="J1549" s="375"/>
      <c r="K1549" s="375"/>
      <c r="L1549" s="375"/>
      <c r="M1549" s="368"/>
      <c r="N1549" s="368"/>
      <c r="O1549" s="370"/>
      <c r="T1549" s="340"/>
      <c r="V1549" s="378"/>
      <c r="W1549" s="64" ph="1"/>
      <c r="X1549" s="241"/>
      <c r="Y1549" s="284"/>
      <c r="Z1549" s="207"/>
      <c r="AA1549" s="284"/>
      <c r="AB1549" s="284"/>
      <c r="AC1549" s="284"/>
      <c r="AD1549" s="284"/>
      <c r="AE1549" s="284"/>
      <c r="AF1549" s="284"/>
      <c r="AG1549" s="284"/>
      <c r="AI1549" s="131"/>
    </row>
    <row r="1550" spans="1:35" ht="26.4">
      <c r="A1550" s="284"/>
      <c r="B1550" s="284"/>
      <c r="C1550" s="284"/>
      <c r="D1550" s="284"/>
      <c r="E1550" s="284"/>
      <c r="F1550" s="284"/>
      <c r="G1550" s="284"/>
      <c r="H1550" s="284"/>
      <c r="I1550" s="284"/>
      <c r="J1550" s="375"/>
      <c r="K1550" s="375"/>
      <c r="L1550" s="375"/>
      <c r="M1550" s="368"/>
      <c r="N1550" s="368"/>
      <c r="O1550" s="370"/>
      <c r="T1550" s="340"/>
      <c r="V1550" s="378"/>
      <c r="W1550" s="64" ph="1"/>
      <c r="X1550" s="241"/>
      <c r="Y1550" s="284"/>
      <c r="Z1550" s="207"/>
      <c r="AA1550" s="284"/>
      <c r="AB1550" s="284"/>
      <c r="AC1550" s="284"/>
      <c r="AD1550" s="284"/>
      <c r="AE1550" s="284"/>
      <c r="AF1550" s="284"/>
      <c r="AG1550" s="284"/>
      <c r="AI1550" s="131"/>
    </row>
    <row r="1551" spans="1:35" ht="26.4">
      <c r="A1551" s="284"/>
      <c r="B1551" s="284"/>
      <c r="C1551" s="284"/>
      <c r="D1551" s="284"/>
      <c r="E1551" s="284"/>
      <c r="F1551" s="284"/>
      <c r="G1551" s="284"/>
      <c r="H1551" s="284"/>
      <c r="I1551" s="284"/>
      <c r="J1551" s="375"/>
      <c r="K1551" s="375"/>
      <c r="L1551" s="375"/>
      <c r="M1551" s="368"/>
      <c r="N1551" s="368"/>
      <c r="O1551" s="370"/>
      <c r="T1551" s="340"/>
      <c r="V1551" s="378"/>
      <c r="W1551" s="64" ph="1"/>
      <c r="X1551" s="241"/>
      <c r="Y1551" s="284"/>
      <c r="Z1551" s="207"/>
      <c r="AA1551" s="284"/>
      <c r="AB1551" s="284"/>
      <c r="AC1551" s="284"/>
      <c r="AD1551" s="284"/>
      <c r="AE1551" s="284"/>
      <c r="AF1551" s="284"/>
      <c r="AG1551" s="284"/>
      <c r="AI1551" s="131"/>
    </row>
    <row r="1552" spans="1:35" ht="26.4">
      <c r="A1552" s="284"/>
      <c r="B1552" s="284"/>
      <c r="C1552" s="284"/>
      <c r="D1552" s="284"/>
      <c r="E1552" s="284"/>
      <c r="F1552" s="284"/>
      <c r="G1552" s="284"/>
      <c r="H1552" s="284"/>
      <c r="I1552" s="284"/>
      <c r="J1552" s="375"/>
      <c r="K1552" s="375"/>
      <c r="L1552" s="375"/>
      <c r="M1552" s="368"/>
      <c r="N1552" s="368"/>
      <c r="O1552" s="370"/>
      <c r="T1552" s="340"/>
      <c r="V1552" s="378"/>
      <c r="W1552" s="64" ph="1"/>
      <c r="X1552" s="241"/>
      <c r="Y1552" s="284"/>
      <c r="Z1552" s="207"/>
      <c r="AA1552" s="284"/>
      <c r="AB1552" s="284"/>
      <c r="AC1552" s="284"/>
      <c r="AD1552" s="284"/>
      <c r="AE1552" s="284"/>
      <c r="AF1552" s="284"/>
      <c r="AG1552" s="284"/>
      <c r="AI1552" s="131"/>
    </row>
    <row r="1553" spans="1:35" ht="26.4">
      <c r="A1553" s="284"/>
      <c r="B1553" s="284"/>
      <c r="C1553" s="284"/>
      <c r="D1553" s="284"/>
      <c r="E1553" s="284"/>
      <c r="F1553" s="284"/>
      <c r="G1553" s="284"/>
      <c r="H1553" s="284"/>
      <c r="I1553" s="284"/>
      <c r="J1553" s="375"/>
      <c r="K1553" s="375"/>
      <c r="L1553" s="375"/>
      <c r="M1553" s="368"/>
      <c r="N1553" s="368"/>
      <c r="O1553" s="370"/>
      <c r="T1553" s="340"/>
      <c r="V1553" s="378"/>
      <c r="W1553" s="64" ph="1"/>
      <c r="X1553" s="241"/>
      <c r="Y1553" s="284"/>
      <c r="Z1553" s="207"/>
      <c r="AA1553" s="284"/>
      <c r="AB1553" s="284"/>
      <c r="AC1553" s="284"/>
      <c r="AD1553" s="284"/>
      <c r="AE1553" s="284"/>
      <c r="AF1553" s="284"/>
      <c r="AG1553" s="284"/>
      <c r="AI1553" s="131"/>
    </row>
    <row r="1554" spans="1:35" ht="26.4">
      <c r="A1554" s="284"/>
      <c r="B1554" s="284"/>
      <c r="C1554" s="284"/>
      <c r="D1554" s="284"/>
      <c r="E1554" s="284"/>
      <c r="F1554" s="284"/>
      <c r="G1554" s="284"/>
      <c r="H1554" s="284"/>
      <c r="I1554" s="284"/>
      <c r="J1554" s="375"/>
      <c r="K1554" s="375"/>
      <c r="L1554" s="375"/>
      <c r="M1554" s="368"/>
      <c r="N1554" s="368"/>
      <c r="O1554" s="370"/>
      <c r="T1554" s="340"/>
      <c r="V1554" s="378"/>
      <c r="W1554" s="64" ph="1"/>
      <c r="X1554" s="241"/>
      <c r="Y1554" s="284"/>
      <c r="Z1554" s="207"/>
      <c r="AA1554" s="284"/>
      <c r="AB1554" s="284"/>
      <c r="AC1554" s="284"/>
      <c r="AD1554" s="284"/>
      <c r="AE1554" s="284"/>
      <c r="AF1554" s="284"/>
      <c r="AG1554" s="284"/>
      <c r="AI1554" s="131"/>
    </row>
    <row r="1555" spans="1:35" ht="26.4">
      <c r="A1555" s="284"/>
      <c r="B1555" s="284"/>
      <c r="C1555" s="284"/>
      <c r="D1555" s="284"/>
      <c r="E1555" s="284"/>
      <c r="F1555" s="284"/>
      <c r="G1555" s="284"/>
      <c r="H1555" s="284"/>
      <c r="I1555" s="284"/>
      <c r="J1555" s="375"/>
      <c r="K1555" s="375"/>
      <c r="L1555" s="375"/>
      <c r="M1555" s="368"/>
      <c r="N1555" s="368"/>
      <c r="O1555" s="370"/>
      <c r="T1555" s="340"/>
      <c r="V1555" s="378"/>
      <c r="W1555" s="64" ph="1"/>
      <c r="X1555" s="241"/>
      <c r="Y1555" s="284"/>
      <c r="Z1555" s="207"/>
      <c r="AA1555" s="284"/>
      <c r="AB1555" s="284"/>
      <c r="AC1555" s="284"/>
      <c r="AD1555" s="284"/>
      <c r="AE1555" s="284"/>
      <c r="AF1555" s="284"/>
      <c r="AG1555" s="284"/>
      <c r="AI1555" s="131"/>
    </row>
    <row r="1556" spans="1:35" ht="26.4">
      <c r="A1556" s="284"/>
      <c r="B1556" s="284"/>
      <c r="C1556" s="284"/>
      <c r="D1556" s="284"/>
      <c r="E1556" s="284"/>
      <c r="F1556" s="284"/>
      <c r="G1556" s="284"/>
      <c r="H1556" s="284"/>
      <c r="I1556" s="284"/>
      <c r="J1556" s="375"/>
      <c r="K1556" s="375"/>
      <c r="L1556" s="375"/>
      <c r="M1556" s="368"/>
      <c r="N1556" s="368"/>
      <c r="O1556" s="370"/>
      <c r="T1556" s="340"/>
      <c r="V1556" s="378"/>
      <c r="W1556" s="64" ph="1"/>
      <c r="X1556" s="241"/>
      <c r="Y1556" s="284"/>
      <c r="Z1556" s="207"/>
      <c r="AA1556" s="284"/>
      <c r="AB1556" s="284"/>
      <c r="AC1556" s="284"/>
      <c r="AD1556" s="284"/>
      <c r="AE1556" s="284"/>
      <c r="AF1556" s="284"/>
      <c r="AG1556" s="284"/>
      <c r="AI1556" s="284"/>
    </row>
    <row r="1557" spans="1:35" ht="26.4">
      <c r="A1557" s="284"/>
      <c r="B1557" s="284"/>
      <c r="C1557" s="284"/>
      <c r="D1557" s="284"/>
      <c r="E1557" s="284"/>
      <c r="F1557" s="284"/>
      <c r="G1557" s="284"/>
      <c r="H1557" s="284"/>
      <c r="I1557" s="284"/>
      <c r="J1557" s="375"/>
      <c r="K1557" s="375"/>
      <c r="L1557" s="375"/>
      <c r="M1557" s="368"/>
      <c r="N1557" s="368"/>
      <c r="O1557" s="370"/>
      <c r="T1557" s="340"/>
      <c r="V1557" s="378"/>
      <c r="W1557" s="64" ph="1"/>
      <c r="X1557" s="241"/>
      <c r="Y1557" s="284"/>
      <c r="Z1557" s="207"/>
      <c r="AA1557" s="284"/>
      <c r="AB1557" s="284"/>
      <c r="AC1557" s="284"/>
      <c r="AD1557" s="284"/>
      <c r="AE1557" s="284"/>
      <c r="AF1557" s="284"/>
      <c r="AG1557" s="284"/>
      <c r="AI1557" s="131"/>
    </row>
    <row r="1558" spans="1:35" ht="26.4">
      <c r="A1558" s="284"/>
      <c r="B1558" s="284"/>
      <c r="C1558" s="284"/>
      <c r="D1558" s="284"/>
      <c r="E1558" s="284"/>
      <c r="F1558" s="284"/>
      <c r="G1558" s="284"/>
      <c r="H1558" s="284"/>
      <c r="I1558" s="284"/>
      <c r="J1558" s="375"/>
      <c r="K1558" s="375"/>
      <c r="L1558" s="375"/>
      <c r="M1558" s="368"/>
      <c r="N1558" s="368"/>
      <c r="O1558" s="370"/>
      <c r="T1558" s="340"/>
      <c r="V1558" s="378"/>
      <c r="W1558" s="64" ph="1"/>
      <c r="X1558" s="241"/>
      <c r="Y1558" s="284"/>
      <c r="Z1558" s="207"/>
      <c r="AA1558" s="284"/>
      <c r="AB1558" s="284"/>
      <c r="AC1558" s="284"/>
      <c r="AD1558" s="284"/>
      <c r="AE1558" s="284"/>
      <c r="AF1558" s="284"/>
      <c r="AG1558" s="284"/>
      <c r="AI1558" s="131"/>
    </row>
    <row r="1559" spans="1:35" ht="26.4">
      <c r="A1559" s="284"/>
      <c r="B1559" s="284"/>
      <c r="C1559" s="284"/>
      <c r="D1559" s="284"/>
      <c r="E1559" s="284"/>
      <c r="F1559" s="284"/>
      <c r="G1559" s="284"/>
      <c r="H1559" s="284"/>
      <c r="I1559" s="284"/>
      <c r="J1559" s="375"/>
      <c r="K1559" s="375"/>
      <c r="L1559" s="375"/>
      <c r="M1559" s="368"/>
      <c r="N1559" s="368"/>
      <c r="O1559" s="370"/>
      <c r="T1559" s="340"/>
      <c r="V1559" s="378"/>
      <c r="W1559" s="64" ph="1"/>
      <c r="X1559" s="241"/>
      <c r="Y1559" s="284"/>
      <c r="Z1559" s="207"/>
      <c r="AA1559" s="284"/>
      <c r="AB1559" s="284"/>
      <c r="AC1559" s="284"/>
      <c r="AD1559" s="284"/>
      <c r="AE1559" s="284"/>
      <c r="AF1559" s="284"/>
      <c r="AG1559" s="284"/>
      <c r="AI1559" s="284"/>
    </row>
    <row r="1560" spans="1:35" ht="26.4">
      <c r="A1560" s="284"/>
      <c r="B1560" s="284"/>
      <c r="C1560" s="284"/>
      <c r="D1560" s="284"/>
      <c r="E1560" s="284"/>
      <c r="F1560" s="284"/>
      <c r="G1560" s="284"/>
      <c r="H1560" s="284"/>
      <c r="I1560" s="284"/>
      <c r="J1560" s="375"/>
      <c r="K1560" s="375"/>
      <c r="L1560" s="375"/>
      <c r="M1560" s="368"/>
      <c r="N1560" s="368"/>
      <c r="O1560" s="370"/>
      <c r="T1560" s="340"/>
      <c r="V1560" s="378"/>
      <c r="W1560" s="64" ph="1"/>
      <c r="X1560" s="241"/>
      <c r="Y1560" s="284"/>
      <c r="Z1560" s="207"/>
      <c r="AA1560" s="284"/>
      <c r="AB1560" s="284"/>
      <c r="AC1560" s="284"/>
      <c r="AD1560" s="284"/>
      <c r="AE1560" s="284"/>
      <c r="AF1560" s="284"/>
      <c r="AG1560" s="284"/>
      <c r="AI1560" s="131"/>
    </row>
    <row r="1561" spans="1:35" ht="26.4">
      <c r="A1561" s="284"/>
      <c r="B1561" s="284"/>
      <c r="C1561" s="284"/>
      <c r="D1561" s="284"/>
      <c r="E1561" s="284"/>
      <c r="F1561" s="284"/>
      <c r="G1561" s="284"/>
      <c r="H1561" s="284"/>
      <c r="I1561" s="284"/>
      <c r="J1561" s="375"/>
      <c r="K1561" s="375"/>
      <c r="L1561" s="375"/>
      <c r="M1561" s="368"/>
      <c r="N1561" s="368"/>
      <c r="O1561" s="370"/>
      <c r="T1561" s="340"/>
      <c r="V1561" s="378"/>
      <c r="W1561" s="64" ph="1"/>
      <c r="X1561" s="241"/>
      <c r="Y1561" s="284"/>
      <c r="Z1561" s="207"/>
      <c r="AA1561" s="284"/>
      <c r="AB1561" s="284"/>
      <c r="AC1561" s="284"/>
      <c r="AD1561" s="284"/>
      <c r="AE1561" s="284"/>
      <c r="AF1561" s="284"/>
      <c r="AG1561" s="284"/>
      <c r="AI1561" s="131"/>
    </row>
    <row r="1562" spans="1:35" ht="26.4">
      <c r="A1562" s="284"/>
      <c r="B1562" s="284"/>
      <c r="C1562" s="284"/>
      <c r="D1562" s="284"/>
      <c r="E1562" s="284"/>
      <c r="F1562" s="284"/>
      <c r="G1562" s="284"/>
      <c r="H1562" s="284"/>
      <c r="I1562" s="284"/>
      <c r="J1562" s="375"/>
      <c r="K1562" s="375"/>
      <c r="L1562" s="375"/>
      <c r="M1562" s="368"/>
      <c r="N1562" s="368"/>
      <c r="O1562" s="370"/>
      <c r="T1562" s="340"/>
      <c r="V1562" s="378"/>
      <c r="W1562" s="64" ph="1"/>
      <c r="X1562" s="241"/>
      <c r="Y1562" s="284"/>
      <c r="Z1562" s="207"/>
      <c r="AA1562" s="284"/>
      <c r="AB1562" s="284"/>
      <c r="AC1562" s="284"/>
      <c r="AD1562" s="284"/>
      <c r="AE1562" s="284"/>
      <c r="AF1562" s="284"/>
      <c r="AG1562" s="284"/>
      <c r="AI1562" s="131"/>
    </row>
    <row r="1563" spans="1:35" ht="26.4">
      <c r="A1563" s="284"/>
      <c r="B1563" s="284"/>
      <c r="C1563" s="284"/>
      <c r="D1563" s="284"/>
      <c r="E1563" s="284"/>
      <c r="F1563" s="284"/>
      <c r="G1563" s="284"/>
      <c r="H1563" s="284"/>
      <c r="I1563" s="284"/>
      <c r="J1563" s="375"/>
      <c r="K1563" s="375"/>
      <c r="L1563" s="375"/>
      <c r="M1563" s="368"/>
      <c r="N1563" s="368"/>
      <c r="O1563" s="370"/>
      <c r="T1563" s="340"/>
      <c r="V1563" s="378"/>
      <c r="W1563" s="64" ph="1"/>
      <c r="X1563" s="241"/>
      <c r="Y1563" s="284"/>
      <c r="Z1563" s="207"/>
      <c r="AA1563" s="284"/>
      <c r="AB1563" s="284"/>
      <c r="AC1563" s="284"/>
      <c r="AD1563" s="284"/>
      <c r="AE1563" s="284"/>
      <c r="AF1563" s="284"/>
      <c r="AG1563" s="284"/>
      <c r="AI1563" s="131"/>
    </row>
    <row r="1564" spans="1:35" ht="26.4">
      <c r="A1564" s="284"/>
      <c r="B1564" s="284"/>
      <c r="C1564" s="284"/>
      <c r="D1564" s="284"/>
      <c r="E1564" s="284"/>
      <c r="F1564" s="284"/>
      <c r="G1564" s="284"/>
      <c r="H1564" s="284"/>
      <c r="I1564" s="284"/>
      <c r="J1564" s="375"/>
      <c r="K1564" s="375"/>
      <c r="L1564" s="375"/>
      <c r="M1564" s="368"/>
      <c r="N1564" s="368"/>
      <c r="O1564" s="370"/>
      <c r="T1564" s="340"/>
      <c r="V1564" s="378"/>
      <c r="W1564" s="64" ph="1"/>
      <c r="X1564" s="241"/>
      <c r="Y1564" s="284"/>
      <c r="Z1564" s="207"/>
      <c r="AA1564" s="284"/>
      <c r="AB1564" s="284"/>
      <c r="AC1564" s="284"/>
      <c r="AD1564" s="284"/>
      <c r="AE1564" s="284"/>
      <c r="AF1564" s="284"/>
      <c r="AG1564" s="284"/>
      <c r="AI1564" s="131"/>
    </row>
    <row r="1565" spans="1:35" ht="26.4">
      <c r="A1565" s="284"/>
      <c r="B1565" s="284"/>
      <c r="C1565" s="284"/>
      <c r="D1565" s="284"/>
      <c r="E1565" s="284"/>
      <c r="F1565" s="284"/>
      <c r="G1565" s="284"/>
      <c r="H1565" s="284"/>
      <c r="I1565" s="284"/>
      <c r="J1565" s="375"/>
      <c r="K1565" s="375"/>
      <c r="L1565" s="375"/>
      <c r="M1565" s="368"/>
      <c r="N1565" s="368"/>
      <c r="O1565" s="370"/>
      <c r="T1565" s="340"/>
      <c r="V1565" s="378"/>
      <c r="W1565" s="64" ph="1"/>
      <c r="X1565" s="241"/>
      <c r="Y1565" s="284"/>
      <c r="Z1565" s="207"/>
      <c r="AA1565" s="284"/>
      <c r="AB1565" s="284"/>
      <c r="AC1565" s="284"/>
      <c r="AD1565" s="284"/>
      <c r="AE1565" s="284"/>
      <c r="AF1565" s="284"/>
      <c r="AG1565" s="284"/>
      <c r="AI1565" s="131"/>
    </row>
    <row r="1566" spans="1:35" ht="26.4">
      <c r="A1566" s="284"/>
      <c r="B1566" s="284"/>
      <c r="C1566" s="284"/>
      <c r="D1566" s="284"/>
      <c r="E1566" s="284"/>
      <c r="F1566" s="284"/>
      <c r="G1566" s="284"/>
      <c r="H1566" s="284"/>
      <c r="I1566" s="284"/>
      <c r="J1566" s="375"/>
      <c r="K1566" s="375"/>
      <c r="L1566" s="375"/>
      <c r="M1566" s="368"/>
      <c r="N1566" s="368"/>
      <c r="O1566" s="370"/>
      <c r="T1566" s="340"/>
      <c r="V1566" s="378"/>
      <c r="W1566" s="64" ph="1"/>
      <c r="X1566" s="241"/>
      <c r="Y1566" s="284"/>
      <c r="Z1566" s="207"/>
      <c r="AA1566" s="284"/>
      <c r="AB1566" s="284"/>
      <c r="AC1566" s="284"/>
      <c r="AD1566" s="284"/>
      <c r="AE1566" s="284"/>
      <c r="AF1566" s="284"/>
      <c r="AG1566" s="284"/>
      <c r="AI1566" s="131"/>
    </row>
    <row r="1567" spans="1:35" ht="26.4">
      <c r="A1567" s="284"/>
      <c r="B1567" s="284"/>
      <c r="C1567" s="284"/>
      <c r="D1567" s="284"/>
      <c r="E1567" s="284"/>
      <c r="F1567" s="284"/>
      <c r="G1567" s="284"/>
      <c r="H1567" s="284"/>
      <c r="I1567" s="284"/>
      <c r="J1567" s="375"/>
      <c r="K1567" s="375"/>
      <c r="L1567" s="375"/>
      <c r="M1567" s="368"/>
      <c r="N1567" s="368"/>
      <c r="O1567" s="370"/>
      <c r="T1567" s="340"/>
      <c r="V1567" s="378"/>
      <c r="W1567" s="64" ph="1"/>
      <c r="X1567" s="241"/>
      <c r="Y1567" s="284"/>
      <c r="Z1567" s="207"/>
      <c r="AA1567" s="284"/>
      <c r="AB1567" s="284"/>
      <c r="AC1567" s="284"/>
      <c r="AD1567" s="284"/>
      <c r="AE1567" s="284"/>
      <c r="AF1567" s="284"/>
      <c r="AG1567" s="284"/>
      <c r="AI1567" s="131"/>
    </row>
    <row r="1568" spans="1:35" ht="26.4">
      <c r="A1568" s="284"/>
      <c r="B1568" s="284"/>
      <c r="C1568" s="284"/>
      <c r="D1568" s="284"/>
      <c r="E1568" s="284"/>
      <c r="F1568" s="284"/>
      <c r="G1568" s="284"/>
      <c r="H1568" s="284"/>
      <c r="I1568" s="284"/>
      <c r="J1568" s="375"/>
      <c r="K1568" s="375"/>
      <c r="L1568" s="375"/>
      <c r="M1568" s="368"/>
      <c r="N1568" s="368"/>
      <c r="O1568" s="370"/>
      <c r="T1568" s="340"/>
      <c r="V1568" s="378"/>
      <c r="W1568" s="64" ph="1"/>
      <c r="X1568" s="241"/>
      <c r="Y1568" s="284"/>
      <c r="Z1568" s="207"/>
      <c r="AA1568" s="284"/>
      <c r="AB1568" s="284"/>
      <c r="AC1568" s="284"/>
      <c r="AD1568" s="284"/>
      <c r="AE1568" s="284"/>
      <c r="AF1568" s="284"/>
      <c r="AG1568" s="284"/>
      <c r="AI1568" s="131"/>
    </row>
    <row r="1569" spans="1:35" ht="26.4">
      <c r="A1569" s="284"/>
      <c r="B1569" s="284"/>
      <c r="C1569" s="284"/>
      <c r="D1569" s="284"/>
      <c r="E1569" s="284"/>
      <c r="F1569" s="284"/>
      <c r="G1569" s="284"/>
      <c r="H1569" s="284"/>
      <c r="I1569" s="284"/>
      <c r="J1569" s="375"/>
      <c r="K1569" s="375"/>
      <c r="L1569" s="375"/>
      <c r="M1569" s="368"/>
      <c r="N1569" s="368"/>
      <c r="O1569" s="370"/>
      <c r="T1569" s="340"/>
      <c r="V1569" s="378"/>
      <c r="W1569" s="64" ph="1"/>
      <c r="X1569" s="241"/>
      <c r="Y1569" s="284"/>
      <c r="Z1569" s="207"/>
      <c r="AA1569" s="284"/>
      <c r="AB1569" s="284"/>
      <c r="AC1569" s="284"/>
      <c r="AD1569" s="284"/>
      <c r="AE1569" s="284"/>
      <c r="AF1569" s="284"/>
      <c r="AG1569" s="284"/>
      <c r="AI1569" s="131"/>
    </row>
    <row r="1570" spans="1:35" ht="26.4">
      <c r="A1570" s="284"/>
      <c r="B1570" s="284"/>
      <c r="C1570" s="284"/>
      <c r="D1570" s="284"/>
      <c r="E1570" s="284"/>
      <c r="F1570" s="284"/>
      <c r="G1570" s="284"/>
      <c r="H1570" s="284"/>
      <c r="I1570" s="284"/>
      <c r="J1570" s="375"/>
      <c r="K1570" s="375"/>
      <c r="L1570" s="375"/>
      <c r="M1570" s="368"/>
      <c r="N1570" s="368"/>
      <c r="O1570" s="370"/>
      <c r="T1570" s="340"/>
      <c r="V1570" s="378"/>
      <c r="W1570" s="64" ph="1"/>
      <c r="X1570" s="241"/>
      <c r="Y1570" s="284"/>
      <c r="Z1570" s="207"/>
      <c r="AA1570" s="284"/>
      <c r="AB1570" s="284"/>
      <c r="AC1570" s="284"/>
      <c r="AD1570" s="284"/>
      <c r="AE1570" s="284"/>
      <c r="AF1570" s="284"/>
      <c r="AG1570" s="284"/>
      <c r="AI1570" s="131"/>
    </row>
    <row r="1571" spans="1:35" ht="26.4">
      <c r="A1571" s="284"/>
      <c r="B1571" s="284"/>
      <c r="C1571" s="284"/>
      <c r="D1571" s="284"/>
      <c r="E1571" s="284"/>
      <c r="F1571" s="284"/>
      <c r="G1571" s="284"/>
      <c r="H1571" s="284"/>
      <c r="I1571" s="284"/>
      <c r="J1571" s="375"/>
      <c r="K1571" s="375"/>
      <c r="L1571" s="375"/>
      <c r="M1571" s="368"/>
      <c r="N1571" s="368"/>
      <c r="O1571" s="370"/>
      <c r="T1571" s="340"/>
      <c r="V1571" s="378"/>
      <c r="W1571" s="64" ph="1"/>
      <c r="X1571" s="241"/>
      <c r="Y1571" s="284"/>
      <c r="Z1571" s="207"/>
      <c r="AA1571" s="284"/>
      <c r="AB1571" s="284"/>
      <c r="AC1571" s="284"/>
      <c r="AD1571" s="284"/>
      <c r="AE1571" s="284"/>
      <c r="AF1571" s="284"/>
      <c r="AG1571" s="284"/>
      <c r="AI1571" s="131"/>
    </row>
    <row r="1572" spans="1:35" ht="26.4">
      <c r="A1572" s="284"/>
      <c r="B1572" s="284"/>
      <c r="C1572" s="284"/>
      <c r="D1572" s="284"/>
      <c r="E1572" s="284"/>
      <c r="F1572" s="284"/>
      <c r="G1572" s="284"/>
      <c r="H1572" s="284"/>
      <c r="I1572" s="284"/>
      <c r="J1572" s="375"/>
      <c r="K1572" s="375"/>
      <c r="L1572" s="375"/>
      <c r="M1572" s="368"/>
      <c r="N1572" s="368"/>
      <c r="O1572" s="370"/>
      <c r="T1572" s="340"/>
      <c r="V1572" s="378"/>
      <c r="W1572" s="64" ph="1"/>
      <c r="X1572" s="241"/>
      <c r="Y1572" s="284"/>
      <c r="Z1572" s="207"/>
      <c r="AA1572" s="284"/>
      <c r="AB1572" s="284"/>
      <c r="AC1572" s="284"/>
      <c r="AD1572" s="284"/>
      <c r="AE1572" s="284"/>
      <c r="AF1572" s="284"/>
      <c r="AG1572" s="284"/>
      <c r="AI1572" s="131"/>
    </row>
    <row r="1573" spans="1:35" ht="26.4">
      <c r="A1573" s="284"/>
      <c r="B1573" s="284"/>
      <c r="C1573" s="284"/>
      <c r="D1573" s="284"/>
      <c r="E1573" s="284"/>
      <c r="F1573" s="284"/>
      <c r="G1573" s="284"/>
      <c r="H1573" s="284"/>
      <c r="I1573" s="284"/>
      <c r="J1573" s="375"/>
      <c r="K1573" s="375"/>
      <c r="L1573" s="375"/>
      <c r="M1573" s="368"/>
      <c r="N1573" s="368"/>
      <c r="O1573" s="370"/>
      <c r="T1573" s="340"/>
      <c r="V1573" s="378"/>
      <c r="W1573" s="64" ph="1"/>
      <c r="X1573" s="241"/>
      <c r="Y1573" s="284"/>
      <c r="Z1573" s="207"/>
      <c r="AA1573" s="284"/>
      <c r="AB1573" s="284"/>
      <c r="AC1573" s="284"/>
      <c r="AD1573" s="284"/>
      <c r="AE1573" s="284"/>
      <c r="AF1573" s="284"/>
      <c r="AG1573" s="284"/>
      <c r="AI1573" s="131"/>
    </row>
    <row r="1574" spans="1:35" ht="26.4">
      <c r="A1574" s="284"/>
      <c r="B1574" s="284"/>
      <c r="C1574" s="284"/>
      <c r="D1574" s="284"/>
      <c r="E1574" s="284"/>
      <c r="F1574" s="284"/>
      <c r="G1574" s="284"/>
      <c r="H1574" s="284"/>
      <c r="I1574" s="284"/>
      <c r="J1574" s="375"/>
      <c r="K1574" s="375"/>
      <c r="L1574" s="375"/>
      <c r="M1574" s="368"/>
      <c r="N1574" s="368"/>
      <c r="O1574" s="370"/>
      <c r="T1574" s="340"/>
      <c r="V1574" s="378"/>
      <c r="W1574" s="64" ph="1"/>
      <c r="X1574" s="241"/>
      <c r="Y1574" s="284"/>
      <c r="Z1574" s="207"/>
      <c r="AA1574" s="284"/>
      <c r="AB1574" s="284"/>
      <c r="AC1574" s="284"/>
      <c r="AD1574" s="284"/>
      <c r="AE1574" s="284"/>
      <c r="AF1574" s="284"/>
      <c r="AG1574" s="284"/>
      <c r="AI1574" s="131"/>
    </row>
    <row r="1575" spans="1:35" ht="26.4">
      <c r="A1575" s="284"/>
      <c r="B1575" s="284"/>
      <c r="C1575" s="284"/>
      <c r="D1575" s="284"/>
      <c r="E1575" s="284"/>
      <c r="F1575" s="284"/>
      <c r="G1575" s="284"/>
      <c r="H1575" s="284"/>
      <c r="I1575" s="284"/>
      <c r="J1575" s="375"/>
      <c r="K1575" s="375"/>
      <c r="L1575" s="375"/>
      <c r="M1575" s="368"/>
      <c r="N1575" s="368"/>
      <c r="O1575" s="370"/>
      <c r="T1575" s="340"/>
      <c r="V1575" s="378"/>
      <c r="W1575" s="64" ph="1"/>
      <c r="X1575" s="241"/>
      <c r="Y1575" s="284"/>
      <c r="Z1575" s="207"/>
      <c r="AA1575" s="284"/>
      <c r="AB1575" s="284"/>
      <c r="AC1575" s="284"/>
      <c r="AD1575" s="284"/>
      <c r="AE1575" s="284"/>
      <c r="AF1575" s="284"/>
      <c r="AG1575" s="284"/>
      <c r="AI1575" s="131"/>
    </row>
    <row r="1576" spans="1:35" ht="26.4">
      <c r="A1576" s="284"/>
      <c r="B1576" s="284"/>
      <c r="C1576" s="284"/>
      <c r="D1576" s="284"/>
      <c r="E1576" s="284"/>
      <c r="F1576" s="284"/>
      <c r="G1576" s="284"/>
      <c r="H1576" s="284"/>
      <c r="I1576" s="284"/>
      <c r="J1576" s="375"/>
      <c r="K1576" s="375"/>
      <c r="L1576" s="375"/>
      <c r="M1576" s="368"/>
      <c r="N1576" s="368"/>
      <c r="O1576" s="370"/>
      <c r="T1576" s="340"/>
      <c r="V1576" s="378"/>
      <c r="W1576" s="64" ph="1"/>
      <c r="X1576" s="241"/>
      <c r="Y1576" s="284"/>
      <c r="Z1576" s="207"/>
      <c r="AA1576" s="284"/>
      <c r="AB1576" s="284"/>
      <c r="AC1576" s="284"/>
      <c r="AD1576" s="284"/>
      <c r="AE1576" s="284"/>
      <c r="AF1576" s="284"/>
      <c r="AG1576" s="284"/>
      <c r="AI1576" s="131"/>
    </row>
    <row r="1577" spans="1:35" ht="26.4">
      <c r="A1577" s="284"/>
      <c r="B1577" s="284"/>
      <c r="C1577" s="284"/>
      <c r="D1577" s="284"/>
      <c r="E1577" s="284"/>
      <c r="F1577" s="284"/>
      <c r="G1577" s="284"/>
      <c r="H1577" s="284"/>
      <c r="I1577" s="284"/>
      <c r="J1577" s="375"/>
      <c r="K1577" s="375"/>
      <c r="L1577" s="375"/>
      <c r="M1577" s="368"/>
      <c r="N1577" s="368"/>
      <c r="O1577" s="370"/>
      <c r="T1577" s="340"/>
      <c r="V1577" s="378"/>
      <c r="W1577" s="64" ph="1"/>
      <c r="X1577" s="241"/>
      <c r="Y1577" s="284"/>
      <c r="Z1577" s="207"/>
      <c r="AA1577" s="284"/>
      <c r="AB1577" s="284"/>
      <c r="AC1577" s="284"/>
      <c r="AD1577" s="284"/>
      <c r="AE1577" s="284"/>
      <c r="AF1577" s="284"/>
      <c r="AG1577" s="284"/>
      <c r="AI1577" s="131"/>
    </row>
    <row r="1578" spans="1:35" ht="26.4">
      <c r="A1578" s="284"/>
      <c r="B1578" s="284"/>
      <c r="C1578" s="284"/>
      <c r="D1578" s="284"/>
      <c r="E1578" s="284"/>
      <c r="F1578" s="284"/>
      <c r="G1578" s="284"/>
      <c r="H1578" s="284"/>
      <c r="I1578" s="284"/>
      <c r="J1578" s="375"/>
      <c r="K1578" s="375"/>
      <c r="L1578" s="375"/>
      <c r="M1578" s="368"/>
      <c r="N1578" s="368"/>
      <c r="O1578" s="370"/>
      <c r="T1578" s="340"/>
      <c r="V1578" s="378"/>
      <c r="W1578" s="64" ph="1"/>
      <c r="X1578" s="241"/>
      <c r="Y1578" s="284"/>
      <c r="Z1578" s="207"/>
      <c r="AA1578" s="284"/>
      <c r="AB1578" s="284"/>
      <c r="AC1578" s="284"/>
      <c r="AD1578" s="284"/>
      <c r="AE1578" s="284"/>
      <c r="AF1578" s="284"/>
      <c r="AG1578" s="284"/>
      <c r="AI1578" s="131"/>
    </row>
    <row r="1579" spans="1:35" ht="26.4">
      <c r="A1579" s="284"/>
      <c r="B1579" s="284"/>
      <c r="C1579" s="284"/>
      <c r="D1579" s="284"/>
      <c r="E1579" s="284"/>
      <c r="F1579" s="284"/>
      <c r="G1579" s="284"/>
      <c r="H1579" s="284"/>
      <c r="I1579" s="284"/>
      <c r="J1579" s="375"/>
      <c r="K1579" s="375"/>
      <c r="L1579" s="375"/>
      <c r="M1579" s="368"/>
      <c r="N1579" s="368"/>
      <c r="O1579" s="370"/>
      <c r="T1579" s="340"/>
      <c r="V1579" s="378"/>
      <c r="W1579" s="64" ph="1"/>
      <c r="X1579" s="241"/>
      <c r="Y1579" s="284"/>
      <c r="Z1579" s="207"/>
      <c r="AA1579" s="284"/>
      <c r="AB1579" s="284"/>
      <c r="AC1579" s="284"/>
      <c r="AD1579" s="284"/>
      <c r="AE1579" s="284"/>
      <c r="AF1579" s="284"/>
      <c r="AG1579" s="284"/>
      <c r="AI1579" s="131"/>
    </row>
    <row r="1580" spans="1:35" ht="26.4">
      <c r="A1580" s="284"/>
      <c r="B1580" s="284"/>
      <c r="C1580" s="284"/>
      <c r="D1580" s="284"/>
      <c r="E1580" s="284"/>
      <c r="F1580" s="284"/>
      <c r="G1580" s="284"/>
      <c r="H1580" s="284"/>
      <c r="I1580" s="284"/>
      <c r="J1580" s="375"/>
      <c r="K1580" s="375"/>
      <c r="L1580" s="375"/>
      <c r="M1580" s="368"/>
      <c r="N1580" s="368"/>
      <c r="O1580" s="370"/>
      <c r="T1580" s="340"/>
      <c r="V1580" s="378"/>
      <c r="W1580" s="64" ph="1"/>
      <c r="X1580" s="241"/>
      <c r="Y1580" s="284"/>
      <c r="Z1580" s="207"/>
      <c r="AA1580" s="284"/>
      <c r="AB1580" s="284"/>
      <c r="AC1580" s="284"/>
      <c r="AD1580" s="284"/>
      <c r="AE1580" s="284"/>
      <c r="AF1580" s="284"/>
      <c r="AG1580" s="284"/>
      <c r="AI1580" s="131"/>
    </row>
    <row r="1581" spans="1:35" ht="26.4">
      <c r="A1581" s="284"/>
      <c r="B1581" s="284"/>
      <c r="C1581" s="284"/>
      <c r="D1581" s="284"/>
      <c r="E1581" s="284"/>
      <c r="F1581" s="284"/>
      <c r="G1581" s="284"/>
      <c r="H1581" s="284"/>
      <c r="I1581" s="284"/>
      <c r="J1581" s="375"/>
      <c r="K1581" s="375"/>
      <c r="L1581" s="375"/>
      <c r="M1581" s="368"/>
      <c r="N1581" s="368"/>
      <c r="O1581" s="370"/>
      <c r="T1581" s="340"/>
      <c r="V1581" s="378"/>
      <c r="W1581" s="64" ph="1"/>
      <c r="X1581" s="241"/>
      <c r="Y1581" s="284"/>
      <c r="Z1581" s="207"/>
      <c r="AA1581" s="284"/>
      <c r="AB1581" s="284"/>
      <c r="AC1581" s="284"/>
      <c r="AD1581" s="284"/>
      <c r="AE1581" s="284"/>
      <c r="AF1581" s="284"/>
      <c r="AG1581" s="284"/>
      <c r="AI1581" s="131"/>
    </row>
    <row r="1582" spans="1:35" ht="26.4">
      <c r="A1582" s="284"/>
      <c r="B1582" s="284"/>
      <c r="C1582" s="284"/>
      <c r="D1582" s="284"/>
      <c r="E1582" s="284"/>
      <c r="F1582" s="284"/>
      <c r="G1582" s="284"/>
      <c r="H1582" s="284"/>
      <c r="I1582" s="284"/>
      <c r="J1582" s="375"/>
      <c r="K1582" s="375"/>
      <c r="L1582" s="375"/>
      <c r="M1582" s="368"/>
      <c r="N1582" s="368"/>
      <c r="O1582" s="370"/>
      <c r="T1582" s="340"/>
      <c r="V1582" s="378"/>
      <c r="W1582" s="64" ph="1"/>
      <c r="X1582" s="241"/>
      <c r="Y1582" s="284"/>
      <c r="Z1582" s="207"/>
      <c r="AA1582" s="284"/>
      <c r="AB1582" s="284"/>
      <c r="AC1582" s="284"/>
      <c r="AD1582" s="284"/>
      <c r="AE1582" s="284"/>
      <c r="AF1582" s="284"/>
      <c r="AG1582" s="284"/>
      <c r="AI1582" s="284"/>
    </row>
    <row r="1583" spans="1:35" ht="26.4">
      <c r="A1583" s="284"/>
      <c r="B1583" s="284"/>
      <c r="C1583" s="284"/>
      <c r="D1583" s="284"/>
      <c r="E1583" s="284"/>
      <c r="F1583" s="284"/>
      <c r="G1583" s="284"/>
      <c r="H1583" s="284"/>
      <c r="I1583" s="284"/>
      <c r="J1583" s="375"/>
      <c r="K1583" s="375"/>
      <c r="L1583" s="375"/>
      <c r="M1583" s="368"/>
      <c r="N1583" s="368"/>
      <c r="O1583" s="370"/>
      <c r="T1583" s="340"/>
      <c r="V1583" s="378"/>
      <c r="W1583" s="64" ph="1"/>
      <c r="X1583" s="241"/>
      <c r="Y1583" s="284"/>
      <c r="Z1583" s="207"/>
      <c r="AA1583" s="284"/>
      <c r="AB1583" s="284"/>
      <c r="AC1583" s="284"/>
      <c r="AD1583" s="284"/>
      <c r="AE1583" s="284"/>
      <c r="AF1583" s="284"/>
      <c r="AG1583" s="284"/>
      <c r="AI1583" s="131"/>
    </row>
    <row r="1584" spans="1:35" ht="26.4">
      <c r="A1584" s="284"/>
      <c r="B1584" s="284"/>
      <c r="C1584" s="284"/>
      <c r="D1584" s="284"/>
      <c r="E1584" s="284"/>
      <c r="F1584" s="284"/>
      <c r="G1584" s="284"/>
      <c r="H1584" s="284"/>
      <c r="I1584" s="284"/>
      <c r="J1584" s="375"/>
      <c r="K1584" s="375"/>
      <c r="L1584" s="375"/>
      <c r="M1584" s="368"/>
      <c r="N1584" s="368"/>
      <c r="O1584" s="370"/>
      <c r="T1584" s="340"/>
      <c r="V1584" s="378"/>
      <c r="W1584" s="64" ph="1"/>
      <c r="X1584" s="241"/>
      <c r="Y1584" s="284"/>
      <c r="Z1584" s="207"/>
      <c r="AA1584" s="284"/>
      <c r="AB1584" s="284"/>
      <c r="AC1584" s="284"/>
      <c r="AD1584" s="284"/>
      <c r="AE1584" s="284"/>
      <c r="AF1584" s="284"/>
      <c r="AG1584" s="284"/>
      <c r="AI1584" s="131"/>
    </row>
    <row r="1585" spans="1:35" ht="26.4">
      <c r="A1585" s="284"/>
      <c r="B1585" s="284"/>
      <c r="C1585" s="284"/>
      <c r="D1585" s="284"/>
      <c r="E1585" s="284"/>
      <c r="F1585" s="284"/>
      <c r="G1585" s="284"/>
      <c r="H1585" s="284"/>
      <c r="I1585" s="284"/>
      <c r="J1585" s="375"/>
      <c r="K1585" s="375"/>
      <c r="L1585" s="375"/>
      <c r="M1585" s="368"/>
      <c r="N1585" s="368"/>
      <c r="O1585" s="370"/>
      <c r="T1585" s="340"/>
      <c r="V1585" s="378"/>
      <c r="W1585" s="64" ph="1"/>
      <c r="X1585" s="241"/>
      <c r="Y1585" s="284"/>
      <c r="Z1585" s="207"/>
      <c r="AA1585" s="284"/>
      <c r="AB1585" s="284"/>
      <c r="AC1585" s="284"/>
      <c r="AD1585" s="284"/>
      <c r="AE1585" s="284"/>
      <c r="AF1585" s="284"/>
      <c r="AG1585" s="284"/>
      <c r="AI1585" s="131"/>
    </row>
    <row r="1586" spans="1:35" ht="26.4">
      <c r="A1586" s="284"/>
      <c r="B1586" s="284"/>
      <c r="C1586" s="284"/>
      <c r="D1586" s="284"/>
      <c r="E1586" s="284"/>
      <c r="F1586" s="284"/>
      <c r="G1586" s="284"/>
      <c r="H1586" s="284"/>
      <c r="I1586" s="284"/>
      <c r="J1586" s="375"/>
      <c r="K1586" s="375"/>
      <c r="L1586" s="375"/>
      <c r="M1586" s="368"/>
      <c r="N1586" s="368"/>
      <c r="O1586" s="370"/>
      <c r="T1586" s="340"/>
      <c r="V1586" s="378"/>
      <c r="W1586" s="64" ph="1"/>
      <c r="X1586" s="241"/>
      <c r="Y1586" s="284"/>
      <c r="Z1586" s="207"/>
      <c r="AA1586" s="284"/>
      <c r="AB1586" s="284"/>
      <c r="AC1586" s="284"/>
      <c r="AD1586" s="284"/>
      <c r="AE1586" s="284"/>
      <c r="AF1586" s="284"/>
      <c r="AG1586" s="284"/>
      <c r="AI1586" s="131"/>
    </row>
    <row r="1587" spans="1:35" ht="26.4">
      <c r="A1587" s="284"/>
      <c r="B1587" s="284"/>
      <c r="C1587" s="284"/>
      <c r="D1587" s="284"/>
      <c r="E1587" s="284"/>
      <c r="F1587" s="284"/>
      <c r="G1587" s="284"/>
      <c r="H1587" s="284"/>
      <c r="I1587" s="284"/>
      <c r="J1587" s="375"/>
      <c r="K1587" s="375"/>
      <c r="L1587" s="375"/>
      <c r="M1587" s="368"/>
      <c r="N1587" s="368"/>
      <c r="O1587" s="370"/>
      <c r="T1587" s="340"/>
      <c r="V1587" s="378"/>
      <c r="W1587" s="64" ph="1"/>
      <c r="X1587" s="241"/>
      <c r="Y1587" s="284"/>
      <c r="Z1587" s="207"/>
      <c r="AA1587" s="284"/>
      <c r="AB1587" s="284"/>
      <c r="AC1587" s="284"/>
      <c r="AD1587" s="284"/>
      <c r="AE1587" s="284"/>
      <c r="AF1587" s="284"/>
      <c r="AG1587" s="284"/>
      <c r="AI1587" s="131"/>
    </row>
    <row r="1588" spans="1:35" ht="26.4">
      <c r="A1588" s="284"/>
      <c r="B1588" s="284"/>
      <c r="C1588" s="284"/>
      <c r="D1588" s="284"/>
      <c r="E1588" s="284"/>
      <c r="F1588" s="284"/>
      <c r="G1588" s="284"/>
      <c r="H1588" s="284"/>
      <c r="I1588" s="284"/>
      <c r="J1588" s="375"/>
      <c r="K1588" s="375"/>
      <c r="L1588" s="375"/>
      <c r="M1588" s="368"/>
      <c r="N1588" s="368"/>
      <c r="O1588" s="370"/>
      <c r="T1588" s="340"/>
      <c r="V1588" s="378"/>
      <c r="W1588" s="64" ph="1"/>
      <c r="X1588" s="241"/>
      <c r="Y1588" s="284"/>
      <c r="Z1588" s="207"/>
      <c r="AA1588" s="284"/>
      <c r="AB1588" s="284"/>
      <c r="AC1588" s="284"/>
      <c r="AD1588" s="284"/>
      <c r="AE1588" s="284"/>
      <c r="AF1588" s="284"/>
      <c r="AG1588" s="284"/>
      <c r="AI1588" s="131"/>
    </row>
    <row r="1589" spans="1:35" ht="26.4">
      <c r="A1589" s="284"/>
      <c r="B1589" s="284"/>
      <c r="C1589" s="284"/>
      <c r="D1589" s="284"/>
      <c r="E1589" s="284"/>
      <c r="F1589" s="284"/>
      <c r="G1589" s="284"/>
      <c r="H1589" s="284"/>
      <c r="I1589" s="284"/>
      <c r="J1589" s="375"/>
      <c r="K1589" s="375"/>
      <c r="L1589" s="375"/>
      <c r="M1589" s="368"/>
      <c r="N1589" s="368"/>
      <c r="O1589" s="370"/>
      <c r="T1589" s="340"/>
      <c r="V1589" s="378"/>
      <c r="W1589" s="64" ph="1"/>
      <c r="X1589" s="241"/>
      <c r="Y1589" s="284"/>
      <c r="Z1589" s="207"/>
      <c r="AA1589" s="284"/>
      <c r="AB1589" s="284"/>
      <c r="AC1589" s="284"/>
      <c r="AD1589" s="284"/>
      <c r="AE1589" s="284"/>
      <c r="AF1589" s="284"/>
      <c r="AG1589" s="284"/>
      <c r="AI1589" s="131"/>
    </row>
    <row r="1590" spans="1:35" ht="26.4">
      <c r="A1590" s="284"/>
      <c r="B1590" s="284"/>
      <c r="C1590" s="284"/>
      <c r="D1590" s="284"/>
      <c r="E1590" s="284"/>
      <c r="F1590" s="284"/>
      <c r="G1590" s="284"/>
      <c r="H1590" s="284"/>
      <c r="I1590" s="284"/>
      <c r="J1590" s="375"/>
      <c r="K1590" s="375"/>
      <c r="L1590" s="375"/>
      <c r="M1590" s="368"/>
      <c r="N1590" s="368"/>
      <c r="O1590" s="370"/>
      <c r="T1590" s="340"/>
      <c r="V1590" s="378"/>
      <c r="W1590" s="64" ph="1"/>
      <c r="X1590" s="241"/>
      <c r="Y1590" s="284"/>
      <c r="Z1590" s="207"/>
      <c r="AA1590" s="284"/>
      <c r="AB1590" s="284"/>
      <c r="AC1590" s="284"/>
      <c r="AD1590" s="284"/>
      <c r="AE1590" s="284"/>
      <c r="AF1590" s="284"/>
      <c r="AG1590" s="284"/>
      <c r="AI1590" s="131"/>
    </row>
    <row r="1591" spans="1:35" ht="26.4">
      <c r="A1591" s="284"/>
      <c r="B1591" s="284"/>
      <c r="C1591" s="284"/>
      <c r="D1591" s="284"/>
      <c r="E1591" s="284"/>
      <c r="F1591" s="284"/>
      <c r="G1591" s="284"/>
      <c r="H1591" s="284"/>
      <c r="I1591" s="284"/>
      <c r="J1591" s="375"/>
      <c r="K1591" s="375"/>
      <c r="L1591" s="375"/>
      <c r="M1591" s="368"/>
      <c r="N1591" s="368"/>
      <c r="O1591" s="370"/>
      <c r="T1591" s="340"/>
      <c r="V1591" s="378"/>
      <c r="W1591" s="64" ph="1"/>
      <c r="X1591" s="241"/>
      <c r="Y1591" s="284"/>
      <c r="Z1591" s="207"/>
      <c r="AA1591" s="284"/>
      <c r="AB1591" s="284"/>
      <c r="AC1591" s="284"/>
      <c r="AD1591" s="284"/>
      <c r="AE1591" s="284"/>
      <c r="AF1591" s="284"/>
      <c r="AG1591" s="284"/>
      <c r="AI1591" s="131"/>
    </row>
    <row r="1592" spans="1:35" ht="26.4">
      <c r="A1592" s="284"/>
      <c r="B1592" s="284"/>
      <c r="C1592" s="284"/>
      <c r="D1592" s="284"/>
      <c r="E1592" s="284"/>
      <c r="F1592" s="284"/>
      <c r="G1592" s="284"/>
      <c r="H1592" s="284"/>
      <c r="I1592" s="284"/>
      <c r="J1592" s="375"/>
      <c r="K1592" s="375"/>
      <c r="L1592" s="375"/>
      <c r="M1592" s="368"/>
      <c r="N1592" s="368"/>
      <c r="O1592" s="370"/>
      <c r="T1592" s="340"/>
      <c r="V1592" s="378"/>
      <c r="W1592" s="64" ph="1"/>
      <c r="X1592" s="241"/>
      <c r="Y1592" s="284"/>
      <c r="Z1592" s="207"/>
      <c r="AA1592" s="284"/>
      <c r="AB1592" s="284"/>
      <c r="AC1592" s="284"/>
      <c r="AD1592" s="284"/>
      <c r="AE1592" s="284"/>
      <c r="AF1592" s="284"/>
      <c r="AG1592" s="284"/>
      <c r="AI1592" s="131"/>
    </row>
    <row r="1593" spans="1:35" ht="26.4">
      <c r="A1593" s="284"/>
      <c r="B1593" s="284"/>
      <c r="C1593" s="284"/>
      <c r="D1593" s="284"/>
      <c r="E1593" s="284"/>
      <c r="F1593" s="284"/>
      <c r="G1593" s="284"/>
      <c r="H1593" s="284"/>
      <c r="I1593" s="284"/>
      <c r="J1593" s="375"/>
      <c r="K1593" s="375"/>
      <c r="L1593" s="375"/>
      <c r="M1593" s="368"/>
      <c r="N1593" s="368"/>
      <c r="O1593" s="370"/>
      <c r="T1593" s="340"/>
      <c r="V1593" s="378"/>
      <c r="W1593" s="64" ph="1"/>
      <c r="X1593" s="241"/>
      <c r="Y1593" s="284"/>
      <c r="Z1593" s="207"/>
      <c r="AA1593" s="284"/>
      <c r="AB1593" s="284"/>
      <c r="AC1593" s="284"/>
      <c r="AD1593" s="284"/>
      <c r="AE1593" s="284"/>
      <c r="AF1593" s="284"/>
      <c r="AG1593" s="284"/>
      <c r="AI1593" s="131"/>
    </row>
    <row r="1594" spans="1:35" ht="26.4">
      <c r="A1594" s="284"/>
      <c r="B1594" s="284"/>
      <c r="C1594" s="284"/>
      <c r="D1594" s="284"/>
      <c r="E1594" s="284"/>
      <c r="F1594" s="284"/>
      <c r="G1594" s="284"/>
      <c r="H1594" s="284"/>
      <c r="I1594" s="284"/>
      <c r="J1594" s="375"/>
      <c r="K1594" s="375"/>
      <c r="L1594" s="375"/>
      <c r="M1594" s="368"/>
      <c r="N1594" s="368"/>
      <c r="O1594" s="370"/>
      <c r="T1594" s="340"/>
      <c r="V1594" s="378"/>
      <c r="W1594" s="64" ph="1"/>
      <c r="X1594" s="241"/>
      <c r="Y1594" s="284"/>
      <c r="Z1594" s="207"/>
      <c r="AA1594" s="284"/>
      <c r="AB1594" s="284"/>
      <c r="AC1594" s="284"/>
      <c r="AD1594" s="284"/>
      <c r="AE1594" s="284"/>
      <c r="AF1594" s="284"/>
      <c r="AG1594" s="284"/>
      <c r="AI1594" s="131"/>
    </row>
    <row r="1595" spans="1:35" ht="26.4">
      <c r="A1595" s="284"/>
      <c r="B1595" s="284"/>
      <c r="C1595" s="284"/>
      <c r="D1595" s="284"/>
      <c r="E1595" s="284"/>
      <c r="F1595" s="284"/>
      <c r="G1595" s="284"/>
      <c r="H1595" s="284"/>
      <c r="I1595" s="284"/>
      <c r="J1595" s="375"/>
      <c r="K1595" s="375"/>
      <c r="L1595" s="375"/>
      <c r="M1595" s="368"/>
      <c r="N1595" s="368"/>
      <c r="O1595" s="370"/>
      <c r="T1595" s="340"/>
      <c r="V1595" s="378"/>
      <c r="W1595" s="64" ph="1"/>
      <c r="X1595" s="241"/>
      <c r="Y1595" s="284"/>
      <c r="Z1595" s="207"/>
      <c r="AA1595" s="284"/>
      <c r="AB1595" s="284"/>
      <c r="AC1595" s="284"/>
      <c r="AD1595" s="284"/>
      <c r="AE1595" s="284"/>
      <c r="AF1595" s="284"/>
      <c r="AG1595" s="284"/>
      <c r="AI1595" s="131"/>
    </row>
    <row r="1596" spans="1:35" ht="26.4">
      <c r="A1596" s="284"/>
      <c r="B1596" s="284"/>
      <c r="C1596" s="284"/>
      <c r="D1596" s="284"/>
      <c r="E1596" s="284"/>
      <c r="F1596" s="284"/>
      <c r="G1596" s="284"/>
      <c r="H1596" s="284"/>
      <c r="I1596" s="284"/>
      <c r="J1596" s="375"/>
      <c r="K1596" s="375"/>
      <c r="L1596" s="375"/>
      <c r="M1596" s="368"/>
      <c r="N1596" s="368"/>
      <c r="O1596" s="370"/>
      <c r="T1596" s="340"/>
      <c r="V1596" s="378"/>
      <c r="W1596" s="64" ph="1"/>
      <c r="X1596" s="241"/>
      <c r="Y1596" s="284"/>
      <c r="Z1596" s="207"/>
      <c r="AA1596" s="284"/>
      <c r="AB1596" s="284"/>
      <c r="AC1596" s="284"/>
      <c r="AD1596" s="284"/>
      <c r="AE1596" s="284"/>
      <c r="AF1596" s="284"/>
      <c r="AG1596" s="284"/>
      <c r="AI1596" s="131"/>
    </row>
    <row r="1597" spans="1:35" ht="26.4">
      <c r="A1597" s="284"/>
      <c r="B1597" s="284"/>
      <c r="C1597" s="284"/>
      <c r="D1597" s="284"/>
      <c r="E1597" s="284"/>
      <c r="F1597" s="284"/>
      <c r="G1597" s="284"/>
      <c r="H1597" s="284"/>
      <c r="I1597" s="284"/>
      <c r="J1597" s="375"/>
      <c r="K1597" s="375"/>
      <c r="L1597" s="375"/>
      <c r="M1597" s="368"/>
      <c r="N1597" s="368"/>
      <c r="O1597" s="370"/>
      <c r="T1597" s="340"/>
      <c r="V1597" s="378"/>
      <c r="W1597" s="64" ph="1"/>
      <c r="X1597" s="241"/>
      <c r="Y1597" s="284"/>
      <c r="Z1597" s="207"/>
      <c r="AA1597" s="284"/>
      <c r="AB1597" s="284"/>
      <c r="AC1597" s="284"/>
      <c r="AD1597" s="284"/>
      <c r="AE1597" s="284"/>
      <c r="AF1597" s="284"/>
      <c r="AG1597" s="284"/>
      <c r="AI1597" s="131"/>
    </row>
    <row r="1598" spans="1:35" ht="26.4">
      <c r="A1598" s="284"/>
      <c r="B1598" s="284"/>
      <c r="C1598" s="284"/>
      <c r="D1598" s="284"/>
      <c r="E1598" s="284"/>
      <c r="F1598" s="284"/>
      <c r="G1598" s="284"/>
      <c r="H1598" s="284"/>
      <c r="I1598" s="284"/>
      <c r="J1598" s="375"/>
      <c r="K1598" s="375"/>
      <c r="L1598" s="375"/>
      <c r="M1598" s="368"/>
      <c r="N1598" s="368"/>
      <c r="O1598" s="370"/>
      <c r="T1598" s="340"/>
      <c r="V1598" s="378"/>
      <c r="W1598" s="64" ph="1"/>
      <c r="X1598" s="241"/>
      <c r="Y1598" s="284"/>
      <c r="Z1598" s="207"/>
      <c r="AA1598" s="284"/>
      <c r="AB1598" s="284"/>
      <c r="AC1598" s="284"/>
      <c r="AD1598" s="284"/>
      <c r="AE1598" s="284"/>
      <c r="AF1598" s="284"/>
      <c r="AG1598" s="284"/>
      <c r="AI1598" s="131"/>
    </row>
    <row r="1599" spans="1:35" ht="26.4">
      <c r="A1599" s="284"/>
      <c r="B1599" s="284"/>
      <c r="C1599" s="284"/>
      <c r="D1599" s="284"/>
      <c r="E1599" s="284"/>
      <c r="F1599" s="284"/>
      <c r="G1599" s="284"/>
      <c r="H1599" s="284"/>
      <c r="I1599" s="284"/>
      <c r="J1599" s="375"/>
      <c r="K1599" s="375"/>
      <c r="L1599" s="375"/>
      <c r="M1599" s="368"/>
      <c r="N1599" s="368"/>
      <c r="O1599" s="370"/>
      <c r="T1599" s="340"/>
      <c r="V1599" s="378"/>
      <c r="W1599" s="64" ph="1"/>
      <c r="X1599" s="241"/>
      <c r="Y1599" s="284"/>
      <c r="Z1599" s="207"/>
      <c r="AA1599" s="284"/>
      <c r="AB1599" s="284"/>
      <c r="AC1599" s="284"/>
      <c r="AD1599" s="284"/>
      <c r="AE1599" s="284"/>
      <c r="AF1599" s="284"/>
      <c r="AG1599" s="284"/>
      <c r="AI1599" s="131"/>
    </row>
    <row r="1600" spans="1:35" ht="26.4">
      <c r="A1600" s="284"/>
      <c r="B1600" s="284"/>
      <c r="C1600" s="284"/>
      <c r="D1600" s="284"/>
      <c r="E1600" s="284"/>
      <c r="F1600" s="284"/>
      <c r="G1600" s="284"/>
      <c r="H1600" s="284"/>
      <c r="I1600" s="284"/>
      <c r="J1600" s="375"/>
      <c r="K1600" s="375"/>
      <c r="L1600" s="375"/>
      <c r="M1600" s="368"/>
      <c r="N1600" s="368"/>
      <c r="O1600" s="370"/>
      <c r="T1600" s="340"/>
      <c r="V1600" s="378"/>
      <c r="W1600" s="64" ph="1"/>
      <c r="X1600" s="241"/>
      <c r="Y1600" s="284"/>
      <c r="Z1600" s="207"/>
      <c r="AA1600" s="284"/>
      <c r="AB1600" s="284"/>
      <c r="AC1600" s="284"/>
      <c r="AD1600" s="284"/>
      <c r="AE1600" s="284"/>
      <c r="AF1600" s="284"/>
      <c r="AG1600" s="284"/>
      <c r="AI1600" s="131"/>
    </row>
    <row r="1601" spans="1:35" ht="26.4">
      <c r="A1601" s="284"/>
      <c r="B1601" s="284"/>
      <c r="C1601" s="284"/>
      <c r="D1601" s="284"/>
      <c r="E1601" s="284"/>
      <c r="F1601" s="284"/>
      <c r="G1601" s="284"/>
      <c r="H1601" s="284"/>
      <c r="I1601" s="284"/>
      <c r="J1601" s="375"/>
      <c r="K1601" s="375"/>
      <c r="L1601" s="375"/>
      <c r="M1601" s="368"/>
      <c r="N1601" s="368"/>
      <c r="O1601" s="370"/>
      <c r="T1601" s="340"/>
      <c r="V1601" s="378"/>
      <c r="W1601" s="64" ph="1"/>
      <c r="X1601" s="241"/>
      <c r="Y1601" s="284"/>
      <c r="Z1601" s="207"/>
      <c r="AA1601" s="284"/>
      <c r="AB1601" s="284"/>
      <c r="AC1601" s="284"/>
      <c r="AD1601" s="284"/>
      <c r="AE1601" s="284"/>
      <c r="AF1601" s="284"/>
      <c r="AG1601" s="284"/>
      <c r="AI1601" s="131"/>
    </row>
    <row r="1602" spans="1:35" ht="26.4">
      <c r="A1602" s="284"/>
      <c r="B1602" s="284"/>
      <c r="C1602" s="284"/>
      <c r="D1602" s="284"/>
      <c r="E1602" s="284"/>
      <c r="F1602" s="284"/>
      <c r="G1602" s="284"/>
      <c r="H1602" s="284"/>
      <c r="I1602" s="284"/>
      <c r="J1602" s="375"/>
      <c r="K1602" s="375"/>
      <c r="L1602" s="375"/>
      <c r="M1602" s="368"/>
      <c r="N1602" s="368"/>
      <c r="O1602" s="370"/>
      <c r="T1602" s="340"/>
      <c r="V1602" s="378"/>
      <c r="W1602" s="64" ph="1"/>
      <c r="X1602" s="241"/>
      <c r="Y1602" s="284"/>
      <c r="Z1602" s="207"/>
      <c r="AA1602" s="284"/>
      <c r="AB1602" s="284"/>
      <c r="AC1602" s="284"/>
      <c r="AD1602" s="284"/>
      <c r="AE1602" s="284"/>
      <c r="AF1602" s="284"/>
      <c r="AG1602" s="284"/>
      <c r="AI1602" s="131"/>
    </row>
    <row r="1603" spans="1:35" ht="26.4">
      <c r="A1603" s="284"/>
      <c r="B1603" s="284"/>
      <c r="C1603" s="284"/>
      <c r="D1603" s="284"/>
      <c r="E1603" s="284"/>
      <c r="F1603" s="284"/>
      <c r="G1603" s="284"/>
      <c r="H1603" s="284"/>
      <c r="I1603" s="284"/>
      <c r="J1603" s="375"/>
      <c r="K1603" s="375"/>
      <c r="L1603" s="375"/>
      <c r="M1603" s="368"/>
      <c r="N1603" s="368"/>
      <c r="O1603" s="370"/>
      <c r="T1603" s="340"/>
      <c r="V1603" s="378"/>
      <c r="W1603" s="64" ph="1"/>
      <c r="X1603" s="241"/>
      <c r="Y1603" s="284"/>
      <c r="Z1603" s="207"/>
      <c r="AA1603" s="284"/>
      <c r="AB1603" s="284"/>
      <c r="AC1603" s="284"/>
      <c r="AD1603" s="284"/>
      <c r="AE1603" s="284"/>
      <c r="AF1603" s="284"/>
      <c r="AG1603" s="284"/>
      <c r="AI1603" s="131"/>
    </row>
    <row r="1604" spans="1:35" ht="26.4">
      <c r="A1604" s="284"/>
      <c r="B1604" s="284"/>
      <c r="C1604" s="284"/>
      <c r="D1604" s="284"/>
      <c r="E1604" s="284"/>
      <c r="F1604" s="284"/>
      <c r="G1604" s="284"/>
      <c r="H1604" s="284"/>
      <c r="I1604" s="284"/>
      <c r="J1604" s="375"/>
      <c r="K1604" s="375"/>
      <c r="L1604" s="375"/>
      <c r="M1604" s="368"/>
      <c r="N1604" s="368"/>
      <c r="O1604" s="370"/>
      <c r="T1604" s="340"/>
      <c r="V1604" s="378"/>
      <c r="W1604" s="64" ph="1"/>
      <c r="X1604" s="241"/>
      <c r="Y1604" s="284"/>
      <c r="Z1604" s="207"/>
      <c r="AA1604" s="284"/>
      <c r="AB1604" s="284"/>
      <c r="AC1604" s="284"/>
      <c r="AD1604" s="284"/>
      <c r="AE1604" s="284"/>
      <c r="AF1604" s="284"/>
      <c r="AG1604" s="284"/>
      <c r="AI1604" s="131"/>
    </row>
    <row r="1605" spans="1:35" ht="26.4">
      <c r="A1605" s="284"/>
      <c r="B1605" s="284"/>
      <c r="C1605" s="284"/>
      <c r="D1605" s="284"/>
      <c r="E1605" s="284"/>
      <c r="F1605" s="284"/>
      <c r="G1605" s="284"/>
      <c r="H1605" s="284"/>
      <c r="I1605" s="284"/>
      <c r="J1605" s="375"/>
      <c r="K1605" s="375"/>
      <c r="L1605" s="375"/>
      <c r="M1605" s="368"/>
      <c r="N1605" s="368"/>
      <c r="O1605" s="370"/>
      <c r="T1605" s="340"/>
      <c r="V1605" s="378"/>
      <c r="W1605" s="64" ph="1"/>
      <c r="X1605" s="241"/>
      <c r="Y1605" s="284"/>
      <c r="Z1605" s="207"/>
      <c r="AA1605" s="284"/>
      <c r="AB1605" s="284"/>
      <c r="AC1605" s="284"/>
      <c r="AD1605" s="284"/>
      <c r="AE1605" s="284"/>
      <c r="AF1605" s="284"/>
      <c r="AG1605" s="284"/>
      <c r="AI1605" s="131"/>
    </row>
    <row r="1606" spans="1:35" ht="26.4">
      <c r="A1606" s="284"/>
      <c r="B1606" s="284"/>
      <c r="C1606" s="284"/>
      <c r="D1606" s="284"/>
      <c r="E1606" s="284"/>
      <c r="F1606" s="284"/>
      <c r="G1606" s="284"/>
      <c r="H1606" s="284"/>
      <c r="I1606" s="284"/>
      <c r="J1606" s="375"/>
      <c r="K1606" s="375"/>
      <c r="L1606" s="375"/>
      <c r="M1606" s="368"/>
      <c r="N1606" s="368"/>
      <c r="O1606" s="370"/>
      <c r="T1606" s="340"/>
      <c r="V1606" s="378"/>
      <c r="W1606" s="64" ph="1"/>
      <c r="X1606" s="241"/>
      <c r="Y1606" s="284"/>
      <c r="Z1606" s="207"/>
      <c r="AA1606" s="284"/>
      <c r="AB1606" s="284"/>
      <c r="AC1606" s="284"/>
      <c r="AD1606" s="284"/>
      <c r="AE1606" s="284"/>
      <c r="AF1606" s="284"/>
      <c r="AG1606" s="284"/>
      <c r="AI1606" s="131"/>
    </row>
    <row r="1607" spans="1:35" ht="26.4">
      <c r="A1607" s="284"/>
      <c r="B1607" s="284"/>
      <c r="C1607" s="284"/>
      <c r="D1607" s="284"/>
      <c r="E1607" s="284"/>
      <c r="F1607" s="284"/>
      <c r="G1607" s="284"/>
      <c r="H1607" s="284"/>
      <c r="I1607" s="284"/>
      <c r="J1607" s="375"/>
      <c r="K1607" s="375"/>
      <c r="L1607" s="375"/>
      <c r="M1607" s="368"/>
      <c r="N1607" s="368"/>
      <c r="O1607" s="370"/>
      <c r="T1607" s="340"/>
      <c r="V1607" s="378"/>
      <c r="W1607" s="64" ph="1"/>
      <c r="X1607" s="241"/>
      <c r="Y1607" s="284"/>
      <c r="Z1607" s="207"/>
      <c r="AA1607" s="284"/>
      <c r="AB1607" s="284"/>
      <c r="AC1607" s="284"/>
      <c r="AD1607" s="284"/>
      <c r="AE1607" s="284"/>
      <c r="AF1607" s="284"/>
      <c r="AG1607" s="284"/>
      <c r="AI1607" s="131"/>
    </row>
    <row r="1608" spans="1:35" ht="26.4">
      <c r="A1608" s="284"/>
      <c r="B1608" s="284"/>
      <c r="C1608" s="284"/>
      <c r="D1608" s="284"/>
      <c r="E1608" s="284"/>
      <c r="F1608" s="284"/>
      <c r="G1608" s="284"/>
      <c r="H1608" s="284"/>
      <c r="I1608" s="284"/>
      <c r="J1608" s="375"/>
      <c r="K1608" s="375"/>
      <c r="L1608" s="375"/>
      <c r="M1608" s="368"/>
      <c r="N1608" s="368"/>
      <c r="O1608" s="370"/>
      <c r="T1608" s="340"/>
      <c r="V1608" s="378"/>
      <c r="W1608" s="64" ph="1"/>
      <c r="X1608" s="241"/>
      <c r="Y1608" s="284"/>
      <c r="Z1608" s="207"/>
      <c r="AA1608" s="284"/>
      <c r="AB1608" s="284"/>
      <c r="AC1608" s="284"/>
      <c r="AD1608" s="284"/>
      <c r="AE1608" s="284"/>
      <c r="AF1608" s="284"/>
      <c r="AG1608" s="284"/>
      <c r="AI1608" s="131"/>
    </row>
    <row r="1609" spans="1:35" ht="26.4">
      <c r="A1609" s="284"/>
      <c r="B1609" s="284"/>
      <c r="C1609" s="284"/>
      <c r="D1609" s="284"/>
      <c r="E1609" s="284"/>
      <c r="F1609" s="284"/>
      <c r="G1609" s="284"/>
      <c r="H1609" s="284"/>
      <c r="I1609" s="284"/>
      <c r="J1609" s="375"/>
      <c r="K1609" s="375"/>
      <c r="L1609" s="375"/>
      <c r="M1609" s="368"/>
      <c r="N1609" s="368"/>
      <c r="O1609" s="370"/>
      <c r="T1609" s="340"/>
      <c r="V1609" s="378"/>
      <c r="W1609" s="64" ph="1"/>
      <c r="X1609" s="241"/>
      <c r="Y1609" s="284"/>
      <c r="Z1609" s="207"/>
      <c r="AA1609" s="284"/>
      <c r="AB1609" s="284"/>
      <c r="AC1609" s="284"/>
      <c r="AD1609" s="284"/>
      <c r="AE1609" s="284"/>
      <c r="AF1609" s="284"/>
      <c r="AG1609" s="284"/>
      <c r="AI1609" s="131"/>
    </row>
    <row r="1610" spans="1:35" ht="26.4">
      <c r="A1610" s="284"/>
      <c r="B1610" s="284"/>
      <c r="C1610" s="284"/>
      <c r="D1610" s="284"/>
      <c r="E1610" s="284"/>
      <c r="F1610" s="284"/>
      <c r="G1610" s="284"/>
      <c r="H1610" s="284"/>
      <c r="I1610" s="284"/>
      <c r="J1610" s="375"/>
      <c r="K1610" s="375"/>
      <c r="L1610" s="375"/>
      <c r="M1610" s="368"/>
      <c r="N1610" s="368"/>
      <c r="O1610" s="370"/>
      <c r="T1610" s="340"/>
      <c r="V1610" s="378"/>
      <c r="W1610" s="64" ph="1"/>
      <c r="X1610" s="241"/>
      <c r="Y1610" s="284"/>
      <c r="Z1610" s="207"/>
      <c r="AA1610" s="284"/>
      <c r="AB1610" s="284"/>
      <c r="AC1610" s="284"/>
      <c r="AD1610" s="284"/>
      <c r="AE1610" s="284"/>
      <c r="AF1610" s="284"/>
      <c r="AG1610" s="284"/>
      <c r="AI1610" s="131"/>
    </row>
    <row r="1611" spans="1:35" ht="26.4">
      <c r="A1611" s="284"/>
      <c r="B1611" s="284"/>
      <c r="C1611" s="284"/>
      <c r="D1611" s="284"/>
      <c r="E1611" s="284"/>
      <c r="F1611" s="284"/>
      <c r="G1611" s="284"/>
      <c r="H1611" s="284"/>
      <c r="I1611" s="284"/>
      <c r="J1611" s="375"/>
      <c r="K1611" s="375"/>
      <c r="L1611" s="375"/>
      <c r="M1611" s="368"/>
      <c r="N1611" s="368"/>
      <c r="O1611" s="370"/>
      <c r="T1611" s="340"/>
      <c r="V1611" s="378"/>
      <c r="W1611" s="64" ph="1"/>
      <c r="X1611" s="241"/>
      <c r="Y1611" s="284"/>
      <c r="Z1611" s="207"/>
      <c r="AA1611" s="284"/>
      <c r="AB1611" s="284"/>
      <c r="AC1611" s="284"/>
      <c r="AD1611" s="284"/>
      <c r="AE1611" s="284"/>
      <c r="AF1611" s="284"/>
      <c r="AG1611" s="284"/>
      <c r="AI1611" s="131"/>
    </row>
    <row r="1612" spans="1:35" ht="26.4">
      <c r="A1612" s="284"/>
      <c r="B1612" s="284"/>
      <c r="C1612" s="284"/>
      <c r="D1612" s="284"/>
      <c r="E1612" s="284"/>
      <c r="F1612" s="284"/>
      <c r="G1612" s="284"/>
      <c r="H1612" s="284"/>
      <c r="I1612" s="284"/>
      <c r="J1612" s="375"/>
      <c r="K1612" s="375"/>
      <c r="L1612" s="375"/>
      <c r="M1612" s="368"/>
      <c r="N1612" s="368"/>
      <c r="O1612" s="370"/>
      <c r="T1612" s="340"/>
      <c r="V1612" s="378"/>
      <c r="W1612" s="64" ph="1"/>
      <c r="X1612" s="241"/>
      <c r="Y1612" s="284"/>
      <c r="Z1612" s="207"/>
      <c r="AA1612" s="284"/>
      <c r="AB1612" s="284"/>
      <c r="AC1612" s="284"/>
      <c r="AD1612" s="284"/>
      <c r="AE1612" s="284"/>
      <c r="AF1612" s="284"/>
      <c r="AG1612" s="284"/>
      <c r="AI1612" s="131"/>
    </row>
    <row r="1613" spans="1:35" ht="26.4">
      <c r="A1613" s="284"/>
      <c r="B1613" s="284"/>
      <c r="C1613" s="284"/>
      <c r="D1613" s="284"/>
      <c r="E1613" s="284"/>
      <c r="F1613" s="284"/>
      <c r="G1613" s="284"/>
      <c r="H1613" s="284"/>
      <c r="I1613" s="284"/>
      <c r="J1613" s="375"/>
      <c r="K1613" s="375"/>
      <c r="L1613" s="375"/>
      <c r="M1613" s="368"/>
      <c r="N1613" s="368"/>
      <c r="O1613" s="370"/>
      <c r="T1613" s="340"/>
      <c r="V1613" s="378"/>
      <c r="W1613" s="64" ph="1"/>
      <c r="X1613" s="241"/>
      <c r="Y1613" s="284"/>
      <c r="Z1613" s="207"/>
      <c r="AA1613" s="284"/>
      <c r="AB1613" s="284"/>
      <c r="AC1613" s="284"/>
      <c r="AD1613" s="284"/>
      <c r="AE1613" s="284"/>
      <c r="AF1613" s="284"/>
      <c r="AG1613" s="284"/>
      <c r="AI1613" s="131"/>
    </row>
    <row r="1614" spans="1:35" ht="26.4">
      <c r="A1614" s="284"/>
      <c r="B1614" s="284"/>
      <c r="C1614" s="284"/>
      <c r="D1614" s="284"/>
      <c r="E1614" s="284"/>
      <c r="F1614" s="284"/>
      <c r="G1614" s="284"/>
      <c r="H1614" s="284"/>
      <c r="I1614" s="284"/>
      <c r="J1614" s="375"/>
      <c r="K1614" s="375"/>
      <c r="L1614" s="375"/>
      <c r="M1614" s="368"/>
      <c r="N1614" s="368"/>
      <c r="O1614" s="370"/>
      <c r="T1614" s="340"/>
      <c r="V1614" s="378"/>
      <c r="W1614" s="64" ph="1"/>
      <c r="X1614" s="241"/>
      <c r="Y1614" s="284"/>
      <c r="Z1614" s="207"/>
      <c r="AA1614" s="284"/>
      <c r="AB1614" s="284"/>
      <c r="AC1614" s="284"/>
      <c r="AD1614" s="284"/>
      <c r="AE1614" s="284"/>
      <c r="AF1614" s="284"/>
      <c r="AG1614" s="284"/>
      <c r="AI1614" s="131"/>
    </row>
    <row r="1615" spans="1:35" ht="26.4">
      <c r="A1615" s="284"/>
      <c r="B1615" s="284"/>
      <c r="C1615" s="284"/>
      <c r="D1615" s="284"/>
      <c r="E1615" s="284"/>
      <c r="F1615" s="284"/>
      <c r="G1615" s="284"/>
      <c r="H1615" s="284"/>
      <c r="I1615" s="284"/>
      <c r="J1615" s="375"/>
      <c r="K1615" s="375"/>
      <c r="L1615" s="375"/>
      <c r="M1615" s="368"/>
      <c r="N1615" s="368"/>
      <c r="O1615" s="370"/>
      <c r="T1615" s="340"/>
      <c r="V1615" s="378"/>
      <c r="W1615" s="64" ph="1"/>
      <c r="X1615" s="241"/>
      <c r="Y1615" s="284"/>
      <c r="Z1615" s="207"/>
      <c r="AA1615" s="284"/>
      <c r="AB1615" s="284"/>
      <c r="AC1615" s="284"/>
      <c r="AD1615" s="284"/>
      <c r="AE1615" s="284"/>
      <c r="AF1615" s="284"/>
      <c r="AG1615" s="284"/>
      <c r="AI1615" s="284"/>
    </row>
    <row r="1616" spans="1:35" ht="26.4">
      <c r="A1616" s="284"/>
      <c r="B1616" s="284"/>
      <c r="C1616" s="284"/>
      <c r="D1616" s="284"/>
      <c r="E1616" s="284"/>
      <c r="F1616" s="284"/>
      <c r="G1616" s="284"/>
      <c r="H1616" s="284"/>
      <c r="I1616" s="284"/>
      <c r="J1616" s="375"/>
      <c r="K1616" s="375"/>
      <c r="L1616" s="375"/>
      <c r="M1616" s="368"/>
      <c r="N1616" s="368"/>
      <c r="O1616" s="370"/>
      <c r="T1616" s="340"/>
      <c r="V1616" s="378"/>
      <c r="W1616" s="64" ph="1"/>
      <c r="X1616" s="241"/>
      <c r="Y1616" s="284"/>
      <c r="Z1616" s="207"/>
      <c r="AA1616" s="284"/>
      <c r="AB1616" s="284"/>
      <c r="AC1616" s="284"/>
      <c r="AD1616" s="284"/>
      <c r="AE1616" s="284"/>
      <c r="AF1616" s="284"/>
      <c r="AG1616" s="284"/>
      <c r="AI1616" s="284"/>
    </row>
    <row r="1617" spans="1:35" ht="26.4">
      <c r="A1617" s="284"/>
      <c r="B1617" s="284"/>
      <c r="C1617" s="284"/>
      <c r="D1617" s="284"/>
      <c r="E1617" s="284"/>
      <c r="F1617" s="284"/>
      <c r="G1617" s="284"/>
      <c r="H1617" s="284"/>
      <c r="I1617" s="284"/>
      <c r="J1617" s="375"/>
      <c r="K1617" s="375"/>
      <c r="L1617" s="375"/>
      <c r="M1617" s="368"/>
      <c r="N1617" s="368"/>
      <c r="O1617" s="370"/>
      <c r="T1617" s="340"/>
      <c r="V1617" s="378"/>
      <c r="W1617" s="64" ph="1"/>
      <c r="X1617" s="241"/>
      <c r="Y1617" s="284"/>
      <c r="Z1617" s="207"/>
      <c r="AA1617" s="284"/>
      <c r="AB1617" s="284"/>
      <c r="AC1617" s="284"/>
      <c r="AD1617" s="284"/>
      <c r="AE1617" s="284"/>
      <c r="AF1617" s="284"/>
      <c r="AG1617" s="284"/>
      <c r="AI1617" s="131"/>
    </row>
    <row r="1618" spans="1:35" ht="26.4">
      <c r="A1618" s="284"/>
      <c r="B1618" s="284"/>
      <c r="C1618" s="284"/>
      <c r="D1618" s="284"/>
      <c r="E1618" s="284"/>
      <c r="F1618" s="284"/>
      <c r="G1618" s="284"/>
      <c r="H1618" s="284"/>
      <c r="I1618" s="284"/>
      <c r="J1618" s="375"/>
      <c r="K1618" s="375"/>
      <c r="L1618" s="375"/>
      <c r="M1618" s="368"/>
      <c r="N1618" s="368"/>
      <c r="O1618" s="370"/>
      <c r="T1618" s="340"/>
      <c r="V1618" s="378"/>
      <c r="W1618" s="64" ph="1"/>
      <c r="X1618" s="241"/>
      <c r="Y1618" s="284"/>
      <c r="Z1618" s="207"/>
      <c r="AA1618" s="284"/>
      <c r="AB1618" s="284"/>
      <c r="AC1618" s="284"/>
      <c r="AD1618" s="284"/>
      <c r="AE1618" s="284"/>
      <c r="AF1618" s="284"/>
      <c r="AG1618" s="284"/>
      <c r="AI1618" s="131"/>
    </row>
    <row r="1619" spans="1:35" ht="26.4">
      <c r="A1619" s="284"/>
      <c r="B1619" s="284"/>
      <c r="C1619" s="284"/>
      <c r="D1619" s="284"/>
      <c r="E1619" s="284"/>
      <c r="F1619" s="284"/>
      <c r="G1619" s="284"/>
      <c r="H1619" s="284"/>
      <c r="I1619" s="284"/>
      <c r="J1619" s="375"/>
      <c r="K1619" s="375"/>
      <c r="L1619" s="375"/>
      <c r="M1619" s="368"/>
      <c r="N1619" s="368"/>
      <c r="O1619" s="370"/>
      <c r="T1619" s="340"/>
      <c r="V1619" s="378"/>
      <c r="W1619" s="64" ph="1"/>
      <c r="X1619" s="241"/>
      <c r="Y1619" s="284"/>
      <c r="Z1619" s="207"/>
      <c r="AA1619" s="284"/>
      <c r="AB1619" s="284"/>
      <c r="AC1619" s="284"/>
      <c r="AD1619" s="284"/>
      <c r="AE1619" s="284"/>
      <c r="AF1619" s="284"/>
      <c r="AG1619" s="284"/>
      <c r="AI1619" s="131"/>
    </row>
    <row r="1620" spans="1:35" ht="26.4">
      <c r="A1620" s="284"/>
      <c r="B1620" s="284"/>
      <c r="C1620" s="284"/>
      <c r="D1620" s="284"/>
      <c r="E1620" s="284"/>
      <c r="F1620" s="284"/>
      <c r="G1620" s="284"/>
      <c r="H1620" s="284"/>
      <c r="I1620" s="284"/>
      <c r="J1620" s="375"/>
      <c r="K1620" s="375"/>
      <c r="L1620" s="375"/>
      <c r="M1620" s="368"/>
      <c r="N1620" s="368"/>
      <c r="O1620" s="370"/>
      <c r="T1620" s="340"/>
      <c r="V1620" s="378"/>
      <c r="W1620" s="64" ph="1"/>
      <c r="X1620" s="241"/>
      <c r="Y1620" s="284"/>
      <c r="Z1620" s="207"/>
      <c r="AA1620" s="284"/>
      <c r="AB1620" s="284"/>
      <c r="AC1620" s="284"/>
      <c r="AD1620" s="284"/>
      <c r="AE1620" s="284"/>
      <c r="AF1620" s="284"/>
      <c r="AG1620" s="284"/>
      <c r="AI1620" s="131"/>
    </row>
    <row r="1621" spans="1:35" ht="26.4">
      <c r="A1621" s="284"/>
      <c r="B1621" s="284"/>
      <c r="C1621" s="284"/>
      <c r="D1621" s="284"/>
      <c r="E1621" s="284"/>
      <c r="F1621" s="284"/>
      <c r="G1621" s="284"/>
      <c r="H1621" s="284"/>
      <c r="I1621" s="284"/>
      <c r="J1621" s="375"/>
      <c r="K1621" s="375"/>
      <c r="L1621" s="375"/>
      <c r="M1621" s="368"/>
      <c r="N1621" s="368"/>
      <c r="O1621" s="370"/>
      <c r="T1621" s="340"/>
      <c r="V1621" s="378"/>
      <c r="W1621" s="64" ph="1"/>
      <c r="X1621" s="241"/>
      <c r="Y1621" s="284"/>
      <c r="Z1621" s="207"/>
      <c r="AA1621" s="284"/>
      <c r="AB1621" s="284"/>
      <c r="AC1621" s="284"/>
      <c r="AD1621" s="284"/>
      <c r="AE1621" s="284"/>
      <c r="AF1621" s="284"/>
      <c r="AG1621" s="284"/>
      <c r="AI1621" s="131"/>
    </row>
    <row r="1622" spans="1:35" ht="26.4">
      <c r="A1622" s="284"/>
      <c r="B1622" s="284"/>
      <c r="C1622" s="284"/>
      <c r="D1622" s="284"/>
      <c r="E1622" s="284"/>
      <c r="F1622" s="284"/>
      <c r="G1622" s="284"/>
      <c r="H1622" s="284"/>
      <c r="I1622" s="284"/>
      <c r="J1622" s="375"/>
      <c r="K1622" s="375"/>
      <c r="L1622" s="375"/>
      <c r="M1622" s="368"/>
      <c r="N1622" s="368"/>
      <c r="O1622" s="370"/>
      <c r="T1622" s="340"/>
      <c r="V1622" s="378"/>
      <c r="W1622" s="64" ph="1"/>
      <c r="X1622" s="241"/>
      <c r="Y1622" s="284"/>
      <c r="Z1622" s="207"/>
      <c r="AA1622" s="284"/>
      <c r="AB1622" s="284"/>
      <c r="AC1622" s="284"/>
      <c r="AD1622" s="284"/>
      <c r="AE1622" s="284"/>
      <c r="AF1622" s="284"/>
      <c r="AG1622" s="284"/>
      <c r="AI1622" s="131"/>
    </row>
    <row r="1623" spans="1:35" ht="26.4">
      <c r="A1623" s="284"/>
      <c r="B1623" s="284"/>
      <c r="C1623" s="284"/>
      <c r="D1623" s="284"/>
      <c r="E1623" s="284"/>
      <c r="F1623" s="284"/>
      <c r="G1623" s="284"/>
      <c r="H1623" s="284"/>
      <c r="I1623" s="284"/>
      <c r="J1623" s="375"/>
      <c r="K1623" s="375"/>
      <c r="L1623" s="375"/>
      <c r="M1623" s="368"/>
      <c r="N1623" s="368"/>
      <c r="O1623" s="370"/>
      <c r="T1623" s="340"/>
      <c r="V1623" s="378"/>
      <c r="W1623" s="64" ph="1"/>
      <c r="X1623" s="241"/>
      <c r="Y1623" s="284"/>
      <c r="Z1623" s="207"/>
      <c r="AA1623" s="284"/>
      <c r="AB1623" s="284"/>
      <c r="AC1623" s="284"/>
      <c r="AD1623" s="284"/>
      <c r="AE1623" s="284"/>
      <c r="AF1623" s="284"/>
      <c r="AG1623" s="284"/>
      <c r="AI1623" s="131"/>
    </row>
    <row r="1624" spans="1:35" ht="26.4">
      <c r="A1624" s="284"/>
      <c r="B1624" s="284"/>
      <c r="C1624" s="284"/>
      <c r="D1624" s="284"/>
      <c r="E1624" s="284"/>
      <c r="F1624" s="284"/>
      <c r="G1624" s="284"/>
      <c r="H1624" s="284"/>
      <c r="I1624" s="284"/>
      <c r="J1624" s="375"/>
      <c r="K1624" s="375"/>
      <c r="L1624" s="375"/>
      <c r="M1624" s="368"/>
      <c r="N1624" s="368"/>
      <c r="O1624" s="370"/>
      <c r="T1624" s="340"/>
      <c r="V1624" s="378"/>
      <c r="W1624" s="64" ph="1"/>
      <c r="X1624" s="241"/>
      <c r="Y1624" s="284"/>
      <c r="Z1624" s="207"/>
      <c r="AA1624" s="284"/>
      <c r="AB1624" s="284"/>
      <c r="AC1624" s="284"/>
      <c r="AD1624" s="284"/>
      <c r="AE1624" s="284"/>
      <c r="AF1624" s="284"/>
      <c r="AG1624" s="284"/>
      <c r="AI1624" s="131"/>
    </row>
    <row r="1625" spans="1:35" ht="26.4">
      <c r="A1625" s="284"/>
      <c r="B1625" s="284"/>
      <c r="C1625" s="284"/>
      <c r="D1625" s="284"/>
      <c r="E1625" s="284"/>
      <c r="F1625" s="284"/>
      <c r="G1625" s="284"/>
      <c r="H1625" s="284"/>
      <c r="I1625" s="284"/>
      <c r="J1625" s="375"/>
      <c r="K1625" s="375"/>
      <c r="L1625" s="375"/>
      <c r="M1625" s="368"/>
      <c r="N1625" s="368"/>
      <c r="O1625" s="370"/>
      <c r="T1625" s="340"/>
      <c r="V1625" s="378"/>
      <c r="W1625" s="64" ph="1"/>
      <c r="X1625" s="241"/>
      <c r="Y1625" s="284"/>
      <c r="Z1625" s="207"/>
      <c r="AA1625" s="284"/>
      <c r="AB1625" s="284"/>
      <c r="AC1625" s="284"/>
      <c r="AD1625" s="284"/>
      <c r="AE1625" s="284"/>
      <c r="AF1625" s="284"/>
      <c r="AG1625" s="284"/>
      <c r="AI1625" s="284"/>
    </row>
    <row r="1626" spans="1:35" ht="26.4">
      <c r="A1626" s="284"/>
      <c r="B1626" s="284"/>
      <c r="C1626" s="284"/>
      <c r="D1626" s="284"/>
      <c r="E1626" s="284"/>
      <c r="F1626" s="284"/>
      <c r="G1626" s="284"/>
      <c r="H1626" s="284"/>
      <c r="I1626" s="284"/>
      <c r="J1626" s="375"/>
      <c r="K1626" s="375"/>
      <c r="L1626" s="375"/>
      <c r="M1626" s="368"/>
      <c r="N1626" s="368"/>
      <c r="O1626" s="370"/>
      <c r="T1626" s="340"/>
      <c r="V1626" s="378"/>
      <c r="W1626" s="64" ph="1"/>
      <c r="X1626" s="241"/>
      <c r="Y1626" s="284"/>
      <c r="Z1626" s="207"/>
      <c r="AA1626" s="284"/>
      <c r="AB1626" s="284"/>
      <c r="AC1626" s="284"/>
      <c r="AD1626" s="284"/>
      <c r="AE1626" s="284"/>
      <c r="AF1626" s="284"/>
      <c r="AG1626" s="284"/>
      <c r="AI1626" s="131"/>
    </row>
    <row r="1627" spans="1:35" ht="26.4">
      <c r="A1627" s="284"/>
      <c r="B1627" s="284"/>
      <c r="C1627" s="284"/>
      <c r="D1627" s="284"/>
      <c r="E1627" s="284"/>
      <c r="F1627" s="284"/>
      <c r="G1627" s="284"/>
      <c r="H1627" s="284"/>
      <c r="I1627" s="284"/>
      <c r="J1627" s="375"/>
      <c r="K1627" s="375"/>
      <c r="L1627" s="375"/>
      <c r="M1627" s="368"/>
      <c r="N1627" s="368"/>
      <c r="O1627" s="370"/>
      <c r="T1627" s="340"/>
      <c r="V1627" s="378"/>
      <c r="W1627" s="64" ph="1"/>
      <c r="X1627" s="241"/>
      <c r="Y1627" s="284"/>
      <c r="Z1627" s="207"/>
      <c r="AA1627" s="284"/>
      <c r="AB1627" s="284"/>
      <c r="AC1627" s="284"/>
      <c r="AD1627" s="284"/>
      <c r="AE1627" s="284"/>
      <c r="AF1627" s="284"/>
      <c r="AG1627" s="284"/>
      <c r="AI1627" s="131"/>
    </row>
    <row r="1628" spans="1:35" ht="26.4">
      <c r="A1628" s="284"/>
      <c r="B1628" s="284"/>
      <c r="C1628" s="284"/>
      <c r="D1628" s="284"/>
      <c r="E1628" s="284"/>
      <c r="F1628" s="284"/>
      <c r="G1628" s="284"/>
      <c r="H1628" s="284"/>
      <c r="I1628" s="284"/>
      <c r="J1628" s="375"/>
      <c r="K1628" s="375"/>
      <c r="L1628" s="375"/>
      <c r="M1628" s="368"/>
      <c r="N1628" s="368"/>
      <c r="O1628" s="370"/>
      <c r="T1628" s="340"/>
      <c r="V1628" s="378"/>
      <c r="W1628" s="64" ph="1"/>
      <c r="X1628" s="241"/>
      <c r="Y1628" s="284"/>
      <c r="Z1628" s="207"/>
      <c r="AA1628" s="284"/>
      <c r="AB1628" s="284"/>
      <c r="AC1628" s="284"/>
      <c r="AD1628" s="284"/>
      <c r="AE1628" s="284"/>
      <c r="AF1628" s="284"/>
      <c r="AG1628" s="284"/>
      <c r="AI1628" s="131"/>
    </row>
    <row r="1629" spans="1:35" ht="26.4">
      <c r="A1629" s="284"/>
      <c r="B1629" s="284"/>
      <c r="C1629" s="284"/>
      <c r="D1629" s="284"/>
      <c r="E1629" s="284"/>
      <c r="F1629" s="284"/>
      <c r="G1629" s="284"/>
      <c r="H1629" s="284"/>
      <c r="I1629" s="284"/>
      <c r="J1629" s="375"/>
      <c r="K1629" s="375"/>
      <c r="L1629" s="375"/>
      <c r="M1629" s="368"/>
      <c r="N1629" s="368"/>
      <c r="O1629" s="370"/>
      <c r="T1629" s="340"/>
      <c r="V1629" s="378"/>
      <c r="W1629" s="64" ph="1"/>
      <c r="X1629" s="241"/>
      <c r="Y1629" s="284"/>
      <c r="Z1629" s="207"/>
      <c r="AA1629" s="284"/>
      <c r="AB1629" s="284"/>
      <c r="AC1629" s="284"/>
      <c r="AD1629" s="284"/>
      <c r="AE1629" s="284"/>
      <c r="AF1629" s="284"/>
      <c r="AG1629" s="284"/>
      <c r="AI1629" s="131"/>
    </row>
    <row r="1630" spans="1:35" ht="26.4">
      <c r="A1630" s="284"/>
      <c r="B1630" s="284"/>
      <c r="C1630" s="284"/>
      <c r="D1630" s="284"/>
      <c r="E1630" s="284"/>
      <c r="F1630" s="284"/>
      <c r="G1630" s="284"/>
      <c r="H1630" s="284"/>
      <c r="I1630" s="284"/>
      <c r="J1630" s="375"/>
      <c r="K1630" s="375"/>
      <c r="L1630" s="375"/>
      <c r="M1630" s="368"/>
      <c r="N1630" s="368"/>
      <c r="O1630" s="370"/>
      <c r="T1630" s="340"/>
      <c r="V1630" s="378"/>
      <c r="W1630" s="64" ph="1"/>
      <c r="X1630" s="241"/>
      <c r="Y1630" s="284"/>
      <c r="Z1630" s="207"/>
      <c r="AA1630" s="284"/>
      <c r="AB1630" s="284"/>
      <c r="AC1630" s="284"/>
      <c r="AD1630" s="284"/>
      <c r="AE1630" s="284"/>
      <c r="AF1630" s="284"/>
      <c r="AG1630" s="284"/>
      <c r="AI1630" s="131"/>
    </row>
    <row r="1631" spans="1:35" ht="26.4">
      <c r="A1631" s="284"/>
      <c r="B1631" s="284"/>
      <c r="C1631" s="284"/>
      <c r="D1631" s="284"/>
      <c r="E1631" s="284"/>
      <c r="F1631" s="284"/>
      <c r="G1631" s="284"/>
      <c r="H1631" s="284"/>
      <c r="I1631" s="284"/>
      <c r="J1631" s="375"/>
      <c r="K1631" s="375"/>
      <c r="L1631" s="375"/>
      <c r="M1631" s="368"/>
      <c r="N1631" s="368"/>
      <c r="O1631" s="370"/>
      <c r="T1631" s="340"/>
      <c r="V1631" s="378"/>
      <c r="W1631" s="64" ph="1"/>
      <c r="X1631" s="241"/>
      <c r="Y1631" s="284"/>
      <c r="Z1631" s="207"/>
      <c r="AA1631" s="284"/>
      <c r="AB1631" s="284"/>
      <c r="AC1631" s="284"/>
      <c r="AD1631" s="284"/>
      <c r="AE1631" s="284"/>
      <c r="AF1631" s="284"/>
      <c r="AG1631" s="284"/>
      <c r="AI1631" s="131"/>
    </row>
    <row r="1632" spans="1:35" ht="26.4">
      <c r="A1632" s="284"/>
      <c r="B1632" s="284"/>
      <c r="C1632" s="284"/>
      <c r="D1632" s="284"/>
      <c r="E1632" s="284"/>
      <c r="F1632" s="284"/>
      <c r="G1632" s="284"/>
      <c r="H1632" s="284"/>
      <c r="I1632" s="284"/>
      <c r="J1632" s="375"/>
      <c r="K1632" s="375"/>
      <c r="L1632" s="375"/>
      <c r="M1632" s="368"/>
      <c r="N1632" s="368"/>
      <c r="O1632" s="370"/>
      <c r="T1632" s="340"/>
      <c r="V1632" s="378"/>
      <c r="W1632" s="64" ph="1"/>
      <c r="X1632" s="241"/>
      <c r="Y1632" s="284"/>
      <c r="Z1632" s="207"/>
      <c r="AA1632" s="284"/>
      <c r="AB1632" s="284"/>
      <c r="AC1632" s="284"/>
      <c r="AD1632" s="284"/>
      <c r="AE1632" s="284"/>
      <c r="AF1632" s="284"/>
      <c r="AG1632" s="284"/>
      <c r="AI1632" s="131"/>
    </row>
    <row r="1633" spans="1:35" ht="26.4">
      <c r="A1633" s="284"/>
      <c r="B1633" s="284"/>
      <c r="C1633" s="284"/>
      <c r="D1633" s="284"/>
      <c r="E1633" s="284"/>
      <c r="F1633" s="284"/>
      <c r="G1633" s="284"/>
      <c r="H1633" s="284"/>
      <c r="I1633" s="284"/>
      <c r="J1633" s="375"/>
      <c r="K1633" s="375"/>
      <c r="L1633" s="375"/>
      <c r="M1633" s="368"/>
      <c r="N1633" s="368"/>
      <c r="O1633" s="370"/>
      <c r="T1633" s="340"/>
      <c r="V1633" s="378"/>
      <c r="W1633" s="64" ph="1"/>
      <c r="X1633" s="241"/>
      <c r="Y1633" s="284"/>
      <c r="Z1633" s="207"/>
      <c r="AA1633" s="284"/>
      <c r="AB1633" s="284"/>
      <c r="AC1633" s="284"/>
      <c r="AD1633" s="284"/>
      <c r="AE1633" s="284"/>
      <c r="AF1633" s="284"/>
      <c r="AG1633" s="284"/>
      <c r="AI1633" s="131"/>
    </row>
    <row r="1634" spans="1:35" ht="26.4">
      <c r="A1634" s="284"/>
      <c r="B1634" s="284"/>
      <c r="C1634" s="284"/>
      <c r="D1634" s="284"/>
      <c r="E1634" s="284"/>
      <c r="F1634" s="284"/>
      <c r="G1634" s="284"/>
      <c r="H1634" s="284"/>
      <c r="I1634" s="284"/>
      <c r="J1634" s="375"/>
      <c r="K1634" s="375"/>
      <c r="L1634" s="375"/>
      <c r="M1634" s="368"/>
      <c r="N1634" s="368"/>
      <c r="O1634" s="370"/>
      <c r="T1634" s="340"/>
      <c r="V1634" s="378"/>
      <c r="W1634" s="64" ph="1"/>
      <c r="X1634" s="241"/>
      <c r="Y1634" s="284"/>
      <c r="Z1634" s="207"/>
      <c r="AA1634" s="284"/>
      <c r="AB1634" s="284"/>
      <c r="AC1634" s="284"/>
      <c r="AD1634" s="284"/>
      <c r="AE1634" s="284"/>
      <c r="AF1634" s="284"/>
      <c r="AG1634" s="284"/>
      <c r="AI1634" s="131"/>
    </row>
    <row r="1635" spans="1:35" ht="26.4">
      <c r="A1635" s="284"/>
      <c r="B1635" s="284"/>
      <c r="C1635" s="284"/>
      <c r="D1635" s="284"/>
      <c r="E1635" s="284"/>
      <c r="F1635" s="284"/>
      <c r="G1635" s="284"/>
      <c r="H1635" s="284"/>
      <c r="I1635" s="284"/>
      <c r="J1635" s="375"/>
      <c r="K1635" s="375"/>
      <c r="L1635" s="375"/>
      <c r="M1635" s="368"/>
      <c r="N1635" s="368"/>
      <c r="O1635" s="370"/>
      <c r="T1635" s="340"/>
      <c r="V1635" s="378"/>
      <c r="W1635" s="64" ph="1"/>
      <c r="X1635" s="241"/>
      <c r="Y1635" s="284"/>
      <c r="Z1635" s="207"/>
      <c r="AA1635" s="284"/>
      <c r="AB1635" s="284"/>
      <c r="AC1635" s="284"/>
      <c r="AD1635" s="284"/>
      <c r="AE1635" s="284"/>
      <c r="AF1635" s="284"/>
      <c r="AG1635" s="284"/>
      <c r="AI1635" s="284"/>
    </row>
    <row r="1636" spans="1:35" ht="26.4">
      <c r="A1636" s="284"/>
      <c r="B1636" s="284"/>
      <c r="C1636" s="284"/>
      <c r="D1636" s="284"/>
      <c r="E1636" s="284"/>
      <c r="F1636" s="284"/>
      <c r="G1636" s="284"/>
      <c r="H1636" s="284"/>
      <c r="I1636" s="284"/>
      <c r="J1636" s="375"/>
      <c r="K1636" s="375"/>
      <c r="L1636" s="375"/>
      <c r="M1636" s="368"/>
      <c r="N1636" s="368"/>
      <c r="O1636" s="370"/>
      <c r="T1636" s="340"/>
      <c r="V1636" s="378"/>
      <c r="W1636" s="64" ph="1"/>
      <c r="X1636" s="241"/>
      <c r="Y1636" s="284"/>
      <c r="Z1636" s="207"/>
      <c r="AA1636" s="284"/>
      <c r="AB1636" s="284"/>
      <c r="AC1636" s="284"/>
      <c r="AD1636" s="284"/>
      <c r="AE1636" s="284"/>
      <c r="AF1636" s="284"/>
      <c r="AG1636" s="284"/>
      <c r="AI1636" s="131"/>
    </row>
    <row r="1637" spans="1:35" ht="26.4">
      <c r="A1637" s="284"/>
      <c r="B1637" s="284"/>
      <c r="C1637" s="284"/>
      <c r="D1637" s="284"/>
      <c r="E1637" s="284"/>
      <c r="F1637" s="284"/>
      <c r="G1637" s="284"/>
      <c r="H1637" s="284"/>
      <c r="I1637" s="284"/>
      <c r="J1637" s="375"/>
      <c r="K1637" s="375"/>
      <c r="L1637" s="375"/>
      <c r="M1637" s="368"/>
      <c r="N1637" s="368"/>
      <c r="O1637" s="370"/>
      <c r="T1637" s="340"/>
      <c r="V1637" s="378"/>
      <c r="W1637" s="64" ph="1"/>
      <c r="X1637" s="241"/>
      <c r="Y1637" s="284"/>
      <c r="Z1637" s="207"/>
      <c r="AA1637" s="284"/>
      <c r="AB1637" s="284"/>
      <c r="AC1637" s="284"/>
      <c r="AD1637" s="284"/>
      <c r="AE1637" s="284"/>
      <c r="AF1637" s="284"/>
      <c r="AG1637" s="284"/>
      <c r="AI1637" s="131"/>
    </row>
    <row r="1638" spans="1:35" ht="26.4">
      <c r="A1638" s="284"/>
      <c r="B1638" s="284"/>
      <c r="C1638" s="284"/>
      <c r="D1638" s="284"/>
      <c r="E1638" s="284"/>
      <c r="F1638" s="284"/>
      <c r="G1638" s="284"/>
      <c r="H1638" s="284"/>
      <c r="I1638" s="284"/>
      <c r="J1638" s="375"/>
      <c r="K1638" s="375"/>
      <c r="L1638" s="375"/>
      <c r="M1638" s="368"/>
      <c r="N1638" s="368"/>
      <c r="O1638" s="370"/>
      <c r="T1638" s="340"/>
      <c r="V1638" s="378"/>
      <c r="W1638" s="64" ph="1"/>
      <c r="X1638" s="241"/>
      <c r="Y1638" s="284"/>
      <c r="Z1638" s="207"/>
      <c r="AA1638" s="284"/>
      <c r="AB1638" s="284"/>
      <c r="AC1638" s="284"/>
      <c r="AD1638" s="284"/>
      <c r="AE1638" s="284"/>
      <c r="AF1638" s="284"/>
      <c r="AG1638" s="284"/>
      <c r="AI1638" s="131"/>
    </row>
    <row r="1639" spans="1:35" ht="26.4">
      <c r="A1639" s="284"/>
      <c r="B1639" s="284"/>
      <c r="C1639" s="284"/>
      <c r="D1639" s="284"/>
      <c r="E1639" s="284"/>
      <c r="F1639" s="284"/>
      <c r="G1639" s="284"/>
      <c r="H1639" s="284"/>
      <c r="I1639" s="284"/>
      <c r="J1639" s="375"/>
      <c r="K1639" s="375"/>
      <c r="L1639" s="375"/>
      <c r="M1639" s="368"/>
      <c r="N1639" s="368"/>
      <c r="O1639" s="370"/>
      <c r="T1639" s="340"/>
      <c r="V1639" s="378"/>
      <c r="W1639" s="64" ph="1"/>
      <c r="X1639" s="241"/>
      <c r="Y1639" s="284"/>
      <c r="Z1639" s="207"/>
      <c r="AA1639" s="284"/>
      <c r="AB1639" s="284"/>
      <c r="AC1639" s="284"/>
      <c r="AD1639" s="284"/>
      <c r="AE1639" s="284"/>
      <c r="AF1639" s="284"/>
      <c r="AG1639" s="284"/>
      <c r="AI1639" s="284"/>
    </row>
    <row r="1640" spans="1:35" ht="26.4">
      <c r="A1640" s="284"/>
      <c r="B1640" s="284"/>
      <c r="C1640" s="284"/>
      <c r="D1640" s="284"/>
      <c r="E1640" s="284"/>
      <c r="F1640" s="284"/>
      <c r="G1640" s="284"/>
      <c r="H1640" s="284"/>
      <c r="I1640" s="284"/>
      <c r="J1640" s="375"/>
      <c r="K1640" s="375"/>
      <c r="L1640" s="375"/>
      <c r="M1640" s="368"/>
      <c r="N1640" s="368"/>
      <c r="O1640" s="370"/>
      <c r="T1640" s="340"/>
      <c r="V1640" s="378"/>
      <c r="W1640" s="64" ph="1"/>
      <c r="X1640" s="241"/>
      <c r="Y1640" s="284"/>
      <c r="Z1640" s="207"/>
      <c r="AA1640" s="284"/>
      <c r="AB1640" s="284"/>
      <c r="AC1640" s="284"/>
      <c r="AD1640" s="284"/>
      <c r="AE1640" s="284"/>
      <c r="AF1640" s="284"/>
      <c r="AG1640" s="284"/>
      <c r="AI1640" s="131"/>
    </row>
    <row r="1641" spans="1:35" ht="26.4">
      <c r="A1641" s="284"/>
      <c r="B1641" s="284"/>
      <c r="C1641" s="284"/>
      <c r="D1641" s="284"/>
      <c r="E1641" s="284"/>
      <c r="F1641" s="284"/>
      <c r="G1641" s="284"/>
      <c r="H1641" s="284"/>
      <c r="I1641" s="284"/>
      <c r="J1641" s="375"/>
      <c r="K1641" s="375"/>
      <c r="L1641" s="375"/>
      <c r="M1641" s="368"/>
      <c r="N1641" s="368"/>
      <c r="O1641" s="370"/>
      <c r="T1641" s="340"/>
      <c r="V1641" s="378"/>
      <c r="W1641" s="64" ph="1"/>
      <c r="X1641" s="241"/>
      <c r="Y1641" s="284"/>
      <c r="Z1641" s="207"/>
      <c r="AA1641" s="284"/>
      <c r="AB1641" s="284"/>
      <c r="AC1641" s="284"/>
      <c r="AD1641" s="284"/>
      <c r="AE1641" s="284"/>
      <c r="AF1641" s="284"/>
      <c r="AG1641" s="284"/>
      <c r="AI1641" s="131"/>
    </row>
    <row r="1642" spans="1:35" ht="26.4">
      <c r="A1642" s="284"/>
      <c r="B1642" s="284"/>
      <c r="C1642" s="284"/>
      <c r="D1642" s="284"/>
      <c r="E1642" s="284"/>
      <c r="F1642" s="284"/>
      <c r="G1642" s="284"/>
      <c r="H1642" s="284"/>
      <c r="I1642" s="284"/>
      <c r="J1642" s="375"/>
      <c r="K1642" s="375"/>
      <c r="L1642" s="375"/>
      <c r="M1642" s="368"/>
      <c r="N1642" s="368"/>
      <c r="O1642" s="370"/>
      <c r="T1642" s="340"/>
      <c r="V1642" s="378"/>
      <c r="W1642" s="64" ph="1"/>
      <c r="X1642" s="241"/>
      <c r="Y1642" s="284"/>
      <c r="Z1642" s="207"/>
      <c r="AA1642" s="284"/>
      <c r="AB1642" s="284"/>
      <c r="AC1642" s="284"/>
      <c r="AD1642" s="284"/>
      <c r="AE1642" s="284"/>
      <c r="AF1642" s="284"/>
      <c r="AG1642" s="284"/>
      <c r="AI1642" s="131"/>
    </row>
    <row r="1643" spans="1:35" ht="26.4">
      <c r="A1643" s="284"/>
      <c r="B1643" s="284"/>
      <c r="C1643" s="284"/>
      <c r="D1643" s="284"/>
      <c r="E1643" s="284"/>
      <c r="F1643" s="284"/>
      <c r="G1643" s="284"/>
      <c r="H1643" s="284"/>
      <c r="I1643" s="284"/>
      <c r="J1643" s="375"/>
      <c r="K1643" s="375"/>
      <c r="L1643" s="375"/>
      <c r="M1643" s="368"/>
      <c r="N1643" s="368"/>
      <c r="O1643" s="370"/>
      <c r="T1643" s="340"/>
      <c r="V1643" s="378"/>
      <c r="W1643" s="64" ph="1"/>
      <c r="X1643" s="241"/>
      <c r="Y1643" s="284"/>
      <c r="Z1643" s="207"/>
      <c r="AA1643" s="284"/>
      <c r="AB1643" s="284"/>
      <c r="AC1643" s="284"/>
      <c r="AD1643" s="284"/>
      <c r="AE1643" s="284"/>
      <c r="AF1643" s="284"/>
      <c r="AG1643" s="284"/>
      <c r="AI1643" s="131"/>
    </row>
    <row r="1644" spans="1:35" ht="26.4">
      <c r="A1644" s="284"/>
      <c r="B1644" s="284"/>
      <c r="C1644" s="284"/>
      <c r="D1644" s="284"/>
      <c r="E1644" s="284"/>
      <c r="F1644" s="284"/>
      <c r="G1644" s="284"/>
      <c r="H1644" s="284"/>
      <c r="I1644" s="284"/>
      <c r="J1644" s="375"/>
      <c r="K1644" s="375"/>
      <c r="L1644" s="375"/>
      <c r="M1644" s="368"/>
      <c r="N1644" s="368"/>
      <c r="O1644" s="370"/>
      <c r="T1644" s="340"/>
      <c r="V1644" s="378"/>
      <c r="W1644" s="64" ph="1"/>
      <c r="X1644" s="241"/>
      <c r="Y1644" s="284"/>
      <c r="Z1644" s="207"/>
      <c r="AA1644" s="284"/>
      <c r="AB1644" s="284"/>
      <c r="AC1644" s="284"/>
      <c r="AD1644" s="284"/>
      <c r="AE1644" s="284"/>
      <c r="AF1644" s="284"/>
      <c r="AG1644" s="284"/>
      <c r="AI1644" s="131"/>
    </row>
    <row r="1645" spans="1:35" ht="26.4">
      <c r="A1645" s="284"/>
      <c r="B1645" s="284"/>
      <c r="C1645" s="284"/>
      <c r="D1645" s="284"/>
      <c r="E1645" s="284"/>
      <c r="F1645" s="284"/>
      <c r="G1645" s="284"/>
      <c r="H1645" s="284"/>
      <c r="I1645" s="284"/>
      <c r="J1645" s="375"/>
      <c r="K1645" s="375"/>
      <c r="L1645" s="375"/>
      <c r="M1645" s="368"/>
      <c r="N1645" s="368"/>
      <c r="O1645" s="370"/>
      <c r="T1645" s="340"/>
      <c r="V1645" s="378"/>
      <c r="W1645" s="64" ph="1"/>
      <c r="X1645" s="241"/>
      <c r="Y1645" s="284"/>
      <c r="Z1645" s="207"/>
      <c r="AA1645" s="284"/>
      <c r="AB1645" s="284"/>
      <c r="AC1645" s="284"/>
      <c r="AD1645" s="284"/>
      <c r="AE1645" s="284"/>
      <c r="AF1645" s="284"/>
      <c r="AG1645" s="284"/>
      <c r="AI1645" s="131"/>
    </row>
    <row r="1646" spans="1:35" ht="26.4">
      <c r="A1646" s="284"/>
      <c r="B1646" s="284"/>
      <c r="C1646" s="284"/>
      <c r="D1646" s="284"/>
      <c r="E1646" s="284"/>
      <c r="F1646" s="284"/>
      <c r="G1646" s="284"/>
      <c r="H1646" s="284"/>
      <c r="I1646" s="284"/>
      <c r="J1646" s="375"/>
      <c r="K1646" s="375"/>
      <c r="L1646" s="375"/>
      <c r="M1646" s="368"/>
      <c r="N1646" s="368"/>
      <c r="O1646" s="370"/>
      <c r="T1646" s="340"/>
      <c r="V1646" s="378"/>
      <c r="W1646" s="64" ph="1"/>
      <c r="X1646" s="241"/>
      <c r="Y1646" s="284"/>
      <c r="Z1646" s="207"/>
      <c r="AA1646" s="284"/>
      <c r="AB1646" s="284"/>
      <c r="AC1646" s="284"/>
      <c r="AD1646" s="284"/>
      <c r="AE1646" s="284"/>
      <c r="AF1646" s="284"/>
      <c r="AG1646" s="284"/>
      <c r="AI1646" s="131"/>
    </row>
    <row r="1647" spans="1:35" ht="26.4">
      <c r="A1647" s="284"/>
      <c r="B1647" s="284"/>
      <c r="C1647" s="284"/>
      <c r="D1647" s="284"/>
      <c r="E1647" s="284"/>
      <c r="F1647" s="284"/>
      <c r="G1647" s="284"/>
      <c r="H1647" s="284"/>
      <c r="I1647" s="284"/>
      <c r="J1647" s="375"/>
      <c r="K1647" s="375"/>
      <c r="L1647" s="375"/>
      <c r="M1647" s="368"/>
      <c r="N1647" s="368"/>
      <c r="O1647" s="370"/>
      <c r="T1647" s="340"/>
      <c r="V1647" s="378"/>
      <c r="W1647" s="64" ph="1"/>
      <c r="X1647" s="241"/>
      <c r="Y1647" s="284"/>
      <c r="Z1647" s="207"/>
      <c r="AA1647" s="284"/>
      <c r="AB1647" s="284"/>
      <c r="AC1647" s="284"/>
      <c r="AD1647" s="284"/>
      <c r="AE1647" s="284"/>
      <c r="AF1647" s="284"/>
      <c r="AG1647" s="284"/>
      <c r="AI1647" s="131"/>
    </row>
    <row r="1648" spans="1:35" ht="26.4">
      <c r="A1648" s="284"/>
      <c r="B1648" s="284"/>
      <c r="C1648" s="284"/>
      <c r="D1648" s="284"/>
      <c r="E1648" s="284"/>
      <c r="F1648" s="284"/>
      <c r="G1648" s="284"/>
      <c r="H1648" s="284"/>
      <c r="I1648" s="284"/>
      <c r="J1648" s="375"/>
      <c r="K1648" s="375"/>
      <c r="L1648" s="375"/>
      <c r="M1648" s="368"/>
      <c r="N1648" s="368"/>
      <c r="O1648" s="370"/>
      <c r="T1648" s="340"/>
      <c r="V1648" s="378"/>
      <c r="W1648" s="64" ph="1"/>
      <c r="X1648" s="241"/>
      <c r="Y1648" s="284"/>
      <c r="Z1648" s="207"/>
      <c r="AA1648" s="284"/>
      <c r="AB1648" s="284"/>
      <c r="AC1648" s="284"/>
      <c r="AD1648" s="284"/>
      <c r="AE1648" s="284"/>
      <c r="AF1648" s="284"/>
      <c r="AG1648" s="284"/>
      <c r="AI1648" s="131"/>
    </row>
    <row r="1649" spans="1:35" ht="26.4">
      <c r="A1649" s="284"/>
      <c r="B1649" s="284"/>
      <c r="C1649" s="284"/>
      <c r="D1649" s="284"/>
      <c r="E1649" s="284"/>
      <c r="F1649" s="284"/>
      <c r="G1649" s="284"/>
      <c r="H1649" s="284"/>
      <c r="I1649" s="284"/>
      <c r="J1649" s="375"/>
      <c r="K1649" s="375"/>
      <c r="L1649" s="375"/>
      <c r="M1649" s="368"/>
      <c r="N1649" s="368"/>
      <c r="O1649" s="370"/>
      <c r="T1649" s="340"/>
      <c r="V1649" s="378"/>
      <c r="W1649" s="64" ph="1"/>
      <c r="X1649" s="241"/>
      <c r="Y1649" s="284"/>
      <c r="Z1649" s="207"/>
      <c r="AA1649" s="284"/>
      <c r="AB1649" s="284"/>
      <c r="AC1649" s="284"/>
      <c r="AD1649" s="284"/>
      <c r="AE1649" s="284"/>
      <c r="AF1649" s="284"/>
      <c r="AG1649" s="284"/>
      <c r="AI1649" s="131"/>
    </row>
    <row r="1650" spans="1:35" ht="26.4">
      <c r="A1650" s="284"/>
      <c r="B1650" s="284"/>
      <c r="C1650" s="284"/>
      <c r="D1650" s="284"/>
      <c r="E1650" s="284"/>
      <c r="F1650" s="284"/>
      <c r="G1650" s="284"/>
      <c r="H1650" s="284"/>
      <c r="I1650" s="284"/>
      <c r="J1650" s="375"/>
      <c r="K1650" s="375"/>
      <c r="L1650" s="375"/>
      <c r="M1650" s="368"/>
      <c r="N1650" s="368"/>
      <c r="O1650" s="370"/>
      <c r="T1650" s="340"/>
      <c r="V1650" s="378"/>
      <c r="W1650" s="64" ph="1"/>
      <c r="X1650" s="241"/>
      <c r="Y1650" s="284"/>
      <c r="Z1650" s="207"/>
      <c r="AA1650" s="284"/>
      <c r="AB1650" s="284"/>
      <c r="AC1650" s="284"/>
      <c r="AD1650" s="284"/>
      <c r="AE1650" s="284"/>
      <c r="AF1650" s="284"/>
      <c r="AG1650" s="284"/>
      <c r="AI1650" s="131"/>
    </row>
    <row r="1651" spans="1:35" ht="26.4">
      <c r="A1651" s="284"/>
      <c r="B1651" s="284"/>
      <c r="C1651" s="284"/>
      <c r="D1651" s="284"/>
      <c r="E1651" s="284"/>
      <c r="F1651" s="284"/>
      <c r="G1651" s="284"/>
      <c r="H1651" s="284"/>
      <c r="I1651" s="284"/>
      <c r="J1651" s="375"/>
      <c r="K1651" s="375"/>
      <c r="L1651" s="375"/>
      <c r="M1651" s="368"/>
      <c r="N1651" s="368"/>
      <c r="O1651" s="370"/>
      <c r="T1651" s="340"/>
      <c r="V1651" s="378"/>
      <c r="W1651" s="64" ph="1"/>
      <c r="X1651" s="241"/>
      <c r="Y1651" s="284"/>
      <c r="Z1651" s="207"/>
      <c r="AA1651" s="284"/>
      <c r="AB1651" s="284"/>
      <c r="AC1651" s="284"/>
      <c r="AD1651" s="284"/>
      <c r="AE1651" s="284"/>
      <c r="AF1651" s="284"/>
      <c r="AG1651" s="284"/>
      <c r="AI1651" s="131"/>
    </row>
    <row r="1652" spans="1:35" ht="26.4">
      <c r="A1652" s="284"/>
      <c r="B1652" s="284"/>
      <c r="C1652" s="284"/>
      <c r="D1652" s="284"/>
      <c r="E1652" s="284"/>
      <c r="F1652" s="284"/>
      <c r="G1652" s="284"/>
      <c r="H1652" s="284"/>
      <c r="I1652" s="284"/>
      <c r="J1652" s="375"/>
      <c r="K1652" s="375"/>
      <c r="L1652" s="375"/>
      <c r="M1652" s="368"/>
      <c r="N1652" s="368"/>
      <c r="O1652" s="370"/>
      <c r="T1652" s="340"/>
      <c r="V1652" s="378"/>
      <c r="W1652" s="64" ph="1"/>
      <c r="X1652" s="241"/>
      <c r="Y1652" s="284"/>
      <c r="Z1652" s="207"/>
      <c r="AA1652" s="284"/>
      <c r="AB1652" s="284"/>
      <c r="AC1652" s="284"/>
      <c r="AD1652" s="284"/>
      <c r="AE1652" s="284"/>
      <c r="AF1652" s="284"/>
      <c r="AG1652" s="284"/>
      <c r="AI1652" s="131"/>
    </row>
    <row r="1653" spans="1:35" ht="26.4">
      <c r="A1653" s="284"/>
      <c r="B1653" s="284"/>
      <c r="C1653" s="284"/>
      <c r="D1653" s="284"/>
      <c r="E1653" s="284"/>
      <c r="F1653" s="284"/>
      <c r="G1653" s="284"/>
      <c r="H1653" s="284"/>
      <c r="I1653" s="284"/>
      <c r="J1653" s="375"/>
      <c r="K1653" s="375"/>
      <c r="L1653" s="375"/>
      <c r="M1653" s="368"/>
      <c r="N1653" s="368"/>
      <c r="O1653" s="370"/>
      <c r="T1653" s="340"/>
      <c r="V1653" s="378"/>
      <c r="W1653" s="64" ph="1"/>
      <c r="X1653" s="241"/>
      <c r="Y1653" s="284"/>
      <c r="Z1653" s="207"/>
      <c r="AA1653" s="284"/>
      <c r="AB1653" s="284"/>
      <c r="AC1653" s="284"/>
      <c r="AD1653" s="284"/>
      <c r="AE1653" s="284"/>
      <c r="AF1653" s="284"/>
      <c r="AG1653" s="284"/>
      <c r="AI1653" s="131"/>
    </row>
    <row r="1654" spans="1:35" ht="26.4">
      <c r="A1654" s="284"/>
      <c r="B1654" s="284"/>
      <c r="C1654" s="284"/>
      <c r="D1654" s="284"/>
      <c r="E1654" s="284"/>
      <c r="F1654" s="284"/>
      <c r="G1654" s="284"/>
      <c r="H1654" s="284"/>
      <c r="I1654" s="284"/>
      <c r="J1654" s="375"/>
      <c r="K1654" s="375"/>
      <c r="L1654" s="375"/>
      <c r="M1654" s="368"/>
      <c r="N1654" s="368"/>
      <c r="O1654" s="370"/>
      <c r="T1654" s="340"/>
      <c r="V1654" s="378"/>
      <c r="W1654" s="64" ph="1"/>
      <c r="X1654" s="241"/>
      <c r="Y1654" s="284"/>
      <c r="Z1654" s="207"/>
      <c r="AA1654" s="284"/>
      <c r="AB1654" s="284"/>
      <c r="AC1654" s="284"/>
      <c r="AD1654" s="284"/>
      <c r="AE1654" s="284"/>
      <c r="AF1654" s="284"/>
      <c r="AG1654" s="284"/>
      <c r="AI1654" s="131"/>
    </row>
    <row r="1655" spans="1:35" ht="26.4">
      <c r="A1655" s="284"/>
      <c r="B1655" s="284"/>
      <c r="C1655" s="284"/>
      <c r="D1655" s="284"/>
      <c r="E1655" s="284"/>
      <c r="F1655" s="284"/>
      <c r="G1655" s="284"/>
      <c r="H1655" s="284"/>
      <c r="I1655" s="284"/>
      <c r="J1655" s="375"/>
      <c r="K1655" s="375"/>
      <c r="L1655" s="375"/>
      <c r="M1655" s="368"/>
      <c r="N1655" s="368"/>
      <c r="O1655" s="370"/>
      <c r="T1655" s="340"/>
      <c r="V1655" s="378"/>
      <c r="W1655" s="64" ph="1"/>
      <c r="X1655" s="241"/>
      <c r="Y1655" s="284"/>
      <c r="Z1655" s="207"/>
      <c r="AA1655" s="284"/>
      <c r="AB1655" s="284"/>
      <c r="AC1655" s="284"/>
      <c r="AD1655" s="284"/>
      <c r="AE1655" s="284"/>
      <c r="AF1655" s="284"/>
      <c r="AG1655" s="284"/>
      <c r="AI1655" s="131"/>
    </row>
    <row r="1656" spans="1:35" ht="26.4">
      <c r="A1656" s="284"/>
      <c r="B1656" s="284"/>
      <c r="C1656" s="284"/>
      <c r="D1656" s="284"/>
      <c r="E1656" s="284"/>
      <c r="F1656" s="284"/>
      <c r="G1656" s="284"/>
      <c r="H1656" s="284"/>
      <c r="I1656" s="284"/>
      <c r="J1656" s="375"/>
      <c r="K1656" s="375"/>
      <c r="L1656" s="375"/>
      <c r="M1656" s="368"/>
      <c r="N1656" s="368"/>
      <c r="O1656" s="370"/>
      <c r="T1656" s="340"/>
      <c r="V1656" s="378"/>
      <c r="W1656" s="64" ph="1"/>
      <c r="X1656" s="241"/>
      <c r="Y1656" s="284"/>
      <c r="Z1656" s="207"/>
      <c r="AA1656" s="284"/>
      <c r="AB1656" s="284"/>
      <c r="AC1656" s="284"/>
      <c r="AD1656" s="284"/>
      <c r="AE1656" s="284"/>
      <c r="AF1656" s="284"/>
      <c r="AG1656" s="284"/>
      <c r="AI1656" s="131"/>
    </row>
    <row r="1657" spans="1:35" ht="26.4">
      <c r="A1657" s="284"/>
      <c r="B1657" s="284"/>
      <c r="C1657" s="284"/>
      <c r="D1657" s="284"/>
      <c r="E1657" s="284"/>
      <c r="F1657" s="284"/>
      <c r="G1657" s="284"/>
      <c r="H1657" s="284"/>
      <c r="I1657" s="284"/>
      <c r="J1657" s="375"/>
      <c r="K1657" s="375"/>
      <c r="L1657" s="375"/>
      <c r="M1657" s="368"/>
      <c r="N1657" s="368"/>
      <c r="O1657" s="370"/>
      <c r="T1657" s="340"/>
      <c r="V1657" s="378"/>
      <c r="W1657" s="64" ph="1"/>
      <c r="X1657" s="241"/>
      <c r="Y1657" s="284"/>
      <c r="Z1657" s="207"/>
      <c r="AA1657" s="284"/>
      <c r="AB1657" s="284"/>
      <c r="AC1657" s="284"/>
      <c r="AD1657" s="284"/>
      <c r="AE1657" s="284"/>
      <c r="AF1657" s="284"/>
      <c r="AG1657" s="284"/>
      <c r="AI1657" s="131"/>
    </row>
    <row r="1658" spans="1:35" ht="26.4">
      <c r="A1658" s="284"/>
      <c r="B1658" s="284"/>
      <c r="C1658" s="284"/>
      <c r="D1658" s="284"/>
      <c r="E1658" s="284"/>
      <c r="F1658" s="284"/>
      <c r="G1658" s="284"/>
      <c r="H1658" s="284"/>
      <c r="I1658" s="284"/>
      <c r="J1658" s="375"/>
      <c r="K1658" s="375"/>
      <c r="L1658" s="375"/>
      <c r="M1658" s="368"/>
      <c r="N1658" s="368"/>
      <c r="O1658" s="370"/>
      <c r="T1658" s="340"/>
      <c r="V1658" s="378"/>
      <c r="W1658" s="64" ph="1"/>
      <c r="X1658" s="241"/>
      <c r="Y1658" s="284"/>
      <c r="Z1658" s="207"/>
      <c r="AA1658" s="284"/>
      <c r="AB1658" s="284"/>
      <c r="AC1658" s="284"/>
      <c r="AD1658" s="284"/>
      <c r="AE1658" s="284"/>
      <c r="AF1658" s="284"/>
      <c r="AG1658" s="284"/>
      <c r="AI1658" s="131"/>
    </row>
    <row r="1659" spans="1:35" ht="26.4">
      <c r="A1659" s="284"/>
      <c r="B1659" s="284"/>
      <c r="C1659" s="284"/>
      <c r="D1659" s="284"/>
      <c r="E1659" s="284"/>
      <c r="F1659" s="284"/>
      <c r="G1659" s="284"/>
      <c r="H1659" s="284"/>
      <c r="I1659" s="284"/>
      <c r="J1659" s="375"/>
      <c r="K1659" s="375"/>
      <c r="L1659" s="375"/>
      <c r="M1659" s="368"/>
      <c r="N1659" s="368"/>
      <c r="O1659" s="370"/>
      <c r="T1659" s="340"/>
      <c r="V1659" s="378"/>
      <c r="W1659" s="64" ph="1"/>
      <c r="X1659" s="241"/>
      <c r="Y1659" s="284"/>
      <c r="Z1659" s="207"/>
      <c r="AA1659" s="284"/>
      <c r="AB1659" s="284"/>
      <c r="AC1659" s="284"/>
      <c r="AD1659" s="284"/>
      <c r="AE1659" s="284"/>
      <c r="AF1659" s="284"/>
      <c r="AG1659" s="284"/>
      <c r="AI1659" s="131"/>
    </row>
    <row r="1660" spans="1:35" ht="26.4">
      <c r="A1660" s="284"/>
      <c r="B1660" s="284"/>
      <c r="C1660" s="284"/>
      <c r="D1660" s="284"/>
      <c r="E1660" s="284"/>
      <c r="F1660" s="284"/>
      <c r="G1660" s="284"/>
      <c r="H1660" s="284"/>
      <c r="I1660" s="284"/>
      <c r="J1660" s="375"/>
      <c r="K1660" s="375"/>
      <c r="L1660" s="375"/>
      <c r="M1660" s="368"/>
      <c r="N1660" s="368"/>
      <c r="O1660" s="370"/>
      <c r="T1660" s="340"/>
      <c r="V1660" s="378"/>
      <c r="W1660" s="64" ph="1"/>
      <c r="X1660" s="241"/>
      <c r="Y1660" s="284"/>
      <c r="Z1660" s="207"/>
      <c r="AA1660" s="284"/>
      <c r="AB1660" s="284"/>
      <c r="AC1660" s="284"/>
      <c r="AD1660" s="284"/>
      <c r="AE1660" s="284"/>
      <c r="AF1660" s="284"/>
      <c r="AG1660" s="284"/>
      <c r="AI1660" s="131"/>
    </row>
    <row r="1661" spans="1:35" ht="26.4">
      <c r="A1661" s="284"/>
      <c r="B1661" s="284"/>
      <c r="C1661" s="284"/>
      <c r="D1661" s="284"/>
      <c r="E1661" s="284"/>
      <c r="F1661" s="284"/>
      <c r="G1661" s="284"/>
      <c r="H1661" s="284"/>
      <c r="I1661" s="284"/>
      <c r="J1661" s="375"/>
      <c r="K1661" s="375"/>
      <c r="L1661" s="375"/>
      <c r="M1661" s="368"/>
      <c r="N1661" s="368"/>
      <c r="O1661" s="370"/>
      <c r="T1661" s="340"/>
      <c r="V1661" s="378"/>
      <c r="W1661" s="64" ph="1"/>
      <c r="X1661" s="241"/>
      <c r="Y1661" s="284"/>
      <c r="Z1661" s="207"/>
      <c r="AA1661" s="284"/>
      <c r="AB1661" s="284"/>
      <c r="AC1661" s="284"/>
      <c r="AD1661" s="284"/>
      <c r="AE1661" s="284"/>
      <c r="AF1661" s="284"/>
      <c r="AG1661" s="284"/>
    </row>
    <row r="1662" spans="1:35" ht="26.4">
      <c r="A1662" s="284"/>
      <c r="B1662" s="284"/>
      <c r="C1662" s="284"/>
      <c r="D1662" s="284"/>
      <c r="E1662" s="284"/>
      <c r="F1662" s="284"/>
      <c r="G1662" s="284"/>
      <c r="H1662" s="284"/>
      <c r="I1662" s="284"/>
      <c r="J1662" s="375"/>
      <c r="K1662" s="375"/>
      <c r="L1662" s="375"/>
      <c r="M1662" s="368"/>
      <c r="N1662" s="368"/>
      <c r="O1662" s="370"/>
      <c r="T1662" s="340"/>
      <c r="V1662" s="378"/>
      <c r="W1662" s="64" ph="1"/>
      <c r="X1662" s="241"/>
      <c r="Y1662" s="284"/>
      <c r="Z1662" s="207"/>
      <c r="AA1662" s="284"/>
      <c r="AB1662" s="284"/>
      <c r="AC1662" s="284"/>
      <c r="AD1662" s="284"/>
      <c r="AE1662" s="284"/>
      <c r="AF1662" s="284"/>
      <c r="AG1662" s="284"/>
      <c r="AI1662" s="131"/>
    </row>
    <row r="1663" spans="1:35" ht="26.4">
      <c r="A1663" s="284"/>
      <c r="B1663" s="284"/>
      <c r="C1663" s="284"/>
      <c r="D1663" s="284"/>
      <c r="E1663" s="284"/>
      <c r="F1663" s="284"/>
      <c r="G1663" s="284"/>
      <c r="H1663" s="284"/>
      <c r="I1663" s="284"/>
      <c r="J1663" s="375"/>
      <c r="K1663" s="375"/>
      <c r="L1663" s="375"/>
      <c r="M1663" s="368"/>
      <c r="N1663" s="368"/>
      <c r="O1663" s="370"/>
      <c r="T1663" s="340"/>
      <c r="V1663" s="378"/>
      <c r="W1663" s="64" ph="1"/>
      <c r="X1663" s="241"/>
      <c r="Y1663" s="284"/>
      <c r="Z1663" s="207"/>
      <c r="AA1663" s="284"/>
      <c r="AB1663" s="284"/>
      <c r="AC1663" s="284"/>
      <c r="AD1663" s="284"/>
      <c r="AE1663" s="284"/>
      <c r="AF1663" s="284"/>
      <c r="AG1663" s="284"/>
      <c r="AI1663" s="131"/>
    </row>
    <row r="1664" spans="1:35" ht="26.4">
      <c r="A1664" s="284"/>
      <c r="B1664" s="284"/>
      <c r="C1664" s="284"/>
      <c r="D1664" s="284"/>
      <c r="E1664" s="284"/>
      <c r="F1664" s="284"/>
      <c r="G1664" s="284"/>
      <c r="H1664" s="284"/>
      <c r="I1664" s="284"/>
      <c r="J1664" s="375"/>
      <c r="K1664" s="375"/>
      <c r="L1664" s="375"/>
      <c r="M1664" s="368"/>
      <c r="N1664" s="368"/>
      <c r="O1664" s="370"/>
      <c r="T1664" s="340"/>
      <c r="V1664" s="378"/>
      <c r="W1664" s="64" ph="1"/>
      <c r="X1664" s="241"/>
      <c r="Y1664" s="284"/>
      <c r="Z1664" s="207"/>
      <c r="AA1664" s="284"/>
      <c r="AB1664" s="284"/>
      <c r="AC1664" s="284"/>
      <c r="AD1664" s="284"/>
      <c r="AE1664" s="284"/>
      <c r="AF1664" s="284"/>
      <c r="AG1664" s="284"/>
      <c r="AI1664" s="131"/>
    </row>
    <row r="1665" spans="1:35" ht="26.4">
      <c r="A1665" s="284"/>
      <c r="B1665" s="284"/>
      <c r="C1665" s="284"/>
      <c r="D1665" s="284"/>
      <c r="E1665" s="284"/>
      <c r="F1665" s="284"/>
      <c r="G1665" s="284"/>
      <c r="H1665" s="284"/>
      <c r="I1665" s="284"/>
      <c r="J1665" s="375"/>
      <c r="K1665" s="375"/>
      <c r="L1665" s="375"/>
      <c r="M1665" s="368"/>
      <c r="N1665" s="368"/>
      <c r="O1665" s="370"/>
      <c r="T1665" s="340"/>
      <c r="V1665" s="378"/>
      <c r="W1665" s="64" ph="1"/>
      <c r="X1665" s="241"/>
      <c r="Y1665" s="284"/>
      <c r="Z1665" s="207"/>
      <c r="AA1665" s="284"/>
      <c r="AB1665" s="284"/>
      <c r="AC1665" s="284"/>
      <c r="AD1665" s="284"/>
      <c r="AE1665" s="284"/>
      <c r="AF1665" s="284"/>
      <c r="AG1665" s="284"/>
      <c r="AI1665" s="131"/>
    </row>
    <row r="1666" spans="1:35" ht="26.4">
      <c r="A1666" s="284"/>
      <c r="B1666" s="284"/>
      <c r="C1666" s="284"/>
      <c r="D1666" s="284"/>
      <c r="E1666" s="284"/>
      <c r="F1666" s="284"/>
      <c r="G1666" s="284"/>
      <c r="H1666" s="284"/>
      <c r="I1666" s="284"/>
      <c r="J1666" s="375"/>
      <c r="K1666" s="375"/>
      <c r="L1666" s="375"/>
      <c r="M1666" s="368"/>
      <c r="N1666" s="368"/>
      <c r="O1666" s="370"/>
      <c r="T1666" s="340"/>
      <c r="V1666" s="378"/>
      <c r="W1666" s="64" ph="1"/>
      <c r="X1666" s="241"/>
      <c r="Y1666" s="284"/>
      <c r="Z1666" s="207"/>
      <c r="AA1666" s="284"/>
      <c r="AB1666" s="284"/>
      <c r="AC1666" s="284"/>
      <c r="AD1666" s="284"/>
      <c r="AE1666" s="284"/>
      <c r="AF1666" s="284"/>
      <c r="AG1666" s="284"/>
      <c r="AI1666" s="131"/>
    </row>
    <row r="1667" spans="1:35" ht="26.4">
      <c r="A1667" s="284"/>
      <c r="B1667" s="284"/>
      <c r="C1667" s="284"/>
      <c r="D1667" s="284"/>
      <c r="E1667" s="284"/>
      <c r="F1667" s="284"/>
      <c r="G1667" s="284"/>
      <c r="H1667" s="284"/>
      <c r="I1667" s="284"/>
      <c r="J1667" s="375"/>
      <c r="K1667" s="375"/>
      <c r="L1667" s="375"/>
      <c r="M1667" s="368"/>
      <c r="N1667" s="368"/>
      <c r="O1667" s="370"/>
      <c r="T1667" s="340"/>
      <c r="V1667" s="378"/>
      <c r="W1667" s="64" ph="1"/>
      <c r="X1667" s="241"/>
      <c r="Y1667" s="284"/>
      <c r="Z1667" s="207"/>
      <c r="AA1667" s="284"/>
      <c r="AB1667" s="284"/>
      <c r="AC1667" s="284"/>
      <c r="AD1667" s="284"/>
      <c r="AE1667" s="284"/>
      <c r="AF1667" s="284"/>
      <c r="AG1667" s="284"/>
      <c r="AI1667" s="131"/>
    </row>
    <row r="1668" spans="1:35" ht="26.4">
      <c r="A1668" s="284"/>
      <c r="B1668" s="284"/>
      <c r="C1668" s="284"/>
      <c r="D1668" s="284"/>
      <c r="E1668" s="284"/>
      <c r="F1668" s="284"/>
      <c r="G1668" s="284"/>
      <c r="H1668" s="284"/>
      <c r="I1668" s="284"/>
      <c r="J1668" s="375"/>
      <c r="K1668" s="375"/>
      <c r="L1668" s="375"/>
      <c r="M1668" s="368"/>
      <c r="N1668" s="368"/>
      <c r="O1668" s="370"/>
      <c r="T1668" s="340"/>
      <c r="V1668" s="378"/>
      <c r="W1668" s="64" ph="1"/>
      <c r="X1668" s="241"/>
      <c r="Y1668" s="284"/>
      <c r="Z1668" s="207"/>
      <c r="AA1668" s="284"/>
      <c r="AB1668" s="284"/>
      <c r="AC1668" s="284"/>
      <c r="AD1668" s="284"/>
      <c r="AE1668" s="284"/>
      <c r="AF1668" s="284"/>
      <c r="AG1668" s="284"/>
      <c r="AI1668" s="131"/>
    </row>
    <row r="1669" spans="1:35" ht="26.4">
      <c r="A1669" s="284"/>
      <c r="B1669" s="284"/>
      <c r="C1669" s="284"/>
      <c r="D1669" s="284"/>
      <c r="E1669" s="284"/>
      <c r="F1669" s="284"/>
      <c r="G1669" s="284"/>
      <c r="H1669" s="284"/>
      <c r="I1669" s="284"/>
      <c r="J1669" s="375"/>
      <c r="K1669" s="375"/>
      <c r="L1669" s="375"/>
      <c r="M1669" s="368"/>
      <c r="N1669" s="368"/>
      <c r="O1669" s="370"/>
      <c r="T1669" s="340"/>
      <c r="V1669" s="378"/>
      <c r="W1669" s="64" ph="1"/>
      <c r="X1669" s="241"/>
      <c r="Y1669" s="284"/>
      <c r="Z1669" s="207"/>
      <c r="AA1669" s="284"/>
      <c r="AB1669" s="284"/>
      <c r="AC1669" s="284"/>
      <c r="AD1669" s="284"/>
      <c r="AE1669" s="284"/>
      <c r="AF1669" s="284"/>
      <c r="AG1669" s="284"/>
      <c r="AI1669" s="131"/>
    </row>
    <row r="1670" spans="1:35" ht="26.4">
      <c r="A1670" s="284"/>
      <c r="B1670" s="284"/>
      <c r="C1670" s="284"/>
      <c r="D1670" s="284"/>
      <c r="E1670" s="284"/>
      <c r="F1670" s="284"/>
      <c r="G1670" s="284"/>
      <c r="H1670" s="284"/>
      <c r="I1670" s="284"/>
      <c r="J1670" s="375"/>
      <c r="K1670" s="375"/>
      <c r="L1670" s="375"/>
      <c r="M1670" s="368"/>
      <c r="N1670" s="368"/>
      <c r="O1670" s="370"/>
      <c r="T1670" s="340"/>
      <c r="V1670" s="378"/>
      <c r="W1670" s="64" ph="1"/>
      <c r="X1670" s="241"/>
      <c r="Y1670" s="284"/>
      <c r="Z1670" s="207"/>
      <c r="AA1670" s="284"/>
      <c r="AB1670" s="284"/>
      <c r="AC1670" s="284"/>
      <c r="AD1670" s="284"/>
      <c r="AE1670" s="284"/>
      <c r="AF1670" s="284"/>
      <c r="AG1670" s="284"/>
      <c r="AI1670" s="131"/>
    </row>
    <row r="1671" spans="1:35" ht="26.4">
      <c r="A1671" s="284"/>
      <c r="B1671" s="284"/>
      <c r="C1671" s="284"/>
      <c r="D1671" s="284"/>
      <c r="E1671" s="284"/>
      <c r="F1671" s="284"/>
      <c r="G1671" s="284"/>
      <c r="H1671" s="284"/>
      <c r="I1671" s="284"/>
      <c r="J1671" s="375"/>
      <c r="K1671" s="375"/>
      <c r="L1671" s="375"/>
      <c r="M1671" s="368"/>
      <c r="N1671" s="368"/>
      <c r="O1671" s="370"/>
      <c r="T1671" s="340"/>
      <c r="V1671" s="378"/>
      <c r="W1671" s="64" ph="1"/>
      <c r="X1671" s="241"/>
      <c r="Y1671" s="284"/>
      <c r="Z1671" s="207"/>
      <c r="AA1671" s="284"/>
      <c r="AB1671" s="284"/>
      <c r="AC1671" s="284"/>
      <c r="AD1671" s="284"/>
      <c r="AE1671" s="284"/>
      <c r="AF1671" s="284"/>
      <c r="AG1671" s="284"/>
      <c r="AI1671" s="131"/>
    </row>
    <row r="1672" spans="1:35" ht="26.4">
      <c r="A1672" s="284"/>
      <c r="B1672" s="284"/>
      <c r="C1672" s="284"/>
      <c r="D1672" s="284"/>
      <c r="E1672" s="284"/>
      <c r="F1672" s="284"/>
      <c r="G1672" s="284"/>
      <c r="H1672" s="284"/>
      <c r="I1672" s="284"/>
      <c r="J1672" s="375"/>
      <c r="K1672" s="375"/>
      <c r="L1672" s="375"/>
      <c r="M1672" s="368"/>
      <c r="N1672" s="368"/>
      <c r="O1672" s="370"/>
      <c r="T1672" s="340"/>
      <c r="V1672" s="378"/>
      <c r="W1672" s="64" ph="1"/>
      <c r="X1672" s="241"/>
      <c r="Y1672" s="284"/>
      <c r="Z1672" s="207"/>
      <c r="AA1672" s="284"/>
      <c r="AB1672" s="284"/>
      <c r="AC1672" s="284"/>
      <c r="AD1672" s="284"/>
      <c r="AE1672" s="284"/>
      <c r="AF1672" s="284"/>
      <c r="AG1672" s="284"/>
      <c r="AI1672" s="131"/>
    </row>
    <row r="1673" spans="1:35" ht="26.4">
      <c r="A1673" s="284"/>
      <c r="B1673" s="284"/>
      <c r="C1673" s="284"/>
      <c r="D1673" s="284"/>
      <c r="E1673" s="284"/>
      <c r="F1673" s="284"/>
      <c r="G1673" s="284"/>
      <c r="H1673" s="284"/>
      <c r="I1673" s="284"/>
      <c r="J1673" s="375"/>
      <c r="K1673" s="375"/>
      <c r="L1673" s="375"/>
      <c r="M1673" s="368"/>
      <c r="N1673" s="368"/>
      <c r="O1673" s="370"/>
      <c r="T1673" s="340"/>
      <c r="V1673" s="378"/>
      <c r="W1673" s="64" ph="1"/>
      <c r="X1673" s="241"/>
      <c r="Y1673" s="284"/>
      <c r="Z1673" s="207"/>
      <c r="AA1673" s="284"/>
      <c r="AB1673" s="284"/>
      <c r="AC1673" s="284"/>
      <c r="AD1673" s="284"/>
      <c r="AE1673" s="284"/>
      <c r="AF1673" s="284"/>
      <c r="AG1673" s="284"/>
      <c r="AI1673" s="131"/>
    </row>
    <row r="1674" spans="1:35" ht="26.4">
      <c r="A1674" s="284"/>
      <c r="B1674" s="284"/>
      <c r="C1674" s="284"/>
      <c r="D1674" s="284"/>
      <c r="E1674" s="284"/>
      <c r="F1674" s="284"/>
      <c r="G1674" s="284"/>
      <c r="H1674" s="284"/>
      <c r="I1674" s="284"/>
      <c r="J1674" s="375"/>
      <c r="K1674" s="375"/>
      <c r="L1674" s="375"/>
      <c r="M1674" s="368"/>
      <c r="N1674" s="368"/>
      <c r="O1674" s="370"/>
      <c r="T1674" s="340"/>
      <c r="V1674" s="378"/>
      <c r="W1674" s="64" ph="1"/>
      <c r="X1674" s="241"/>
      <c r="Y1674" s="284"/>
      <c r="Z1674" s="207"/>
      <c r="AA1674" s="284"/>
      <c r="AB1674" s="284"/>
      <c r="AC1674" s="284"/>
      <c r="AD1674" s="284"/>
      <c r="AE1674" s="284"/>
      <c r="AF1674" s="284"/>
      <c r="AG1674" s="284"/>
      <c r="AI1674" s="131"/>
    </row>
    <row r="1675" spans="1:35" ht="26.4">
      <c r="A1675" s="284"/>
      <c r="B1675" s="284"/>
      <c r="C1675" s="284"/>
      <c r="D1675" s="284"/>
      <c r="E1675" s="284"/>
      <c r="F1675" s="284"/>
      <c r="G1675" s="284"/>
      <c r="H1675" s="284"/>
      <c r="I1675" s="284"/>
      <c r="J1675" s="375"/>
      <c r="K1675" s="375"/>
      <c r="L1675" s="375"/>
      <c r="M1675" s="368"/>
      <c r="N1675" s="368"/>
      <c r="O1675" s="370"/>
      <c r="T1675" s="340"/>
      <c r="V1675" s="378"/>
      <c r="W1675" s="64" ph="1"/>
      <c r="X1675" s="241"/>
      <c r="Y1675" s="284"/>
      <c r="Z1675" s="207"/>
      <c r="AA1675" s="284"/>
      <c r="AB1675" s="284"/>
      <c r="AC1675" s="284"/>
      <c r="AD1675" s="284"/>
      <c r="AE1675" s="284"/>
      <c r="AF1675" s="284"/>
      <c r="AG1675" s="284"/>
      <c r="AI1675" s="131"/>
    </row>
    <row r="1676" spans="1:35" ht="26.4">
      <c r="A1676" s="284"/>
      <c r="B1676" s="284"/>
      <c r="C1676" s="284"/>
      <c r="D1676" s="284"/>
      <c r="E1676" s="284"/>
      <c r="F1676" s="284"/>
      <c r="G1676" s="284"/>
      <c r="H1676" s="284"/>
      <c r="I1676" s="284"/>
      <c r="J1676" s="375"/>
      <c r="K1676" s="375"/>
      <c r="L1676" s="375"/>
      <c r="M1676" s="368"/>
      <c r="N1676" s="368"/>
      <c r="O1676" s="370"/>
      <c r="T1676" s="340"/>
      <c r="V1676" s="378"/>
      <c r="W1676" s="64" ph="1"/>
      <c r="X1676" s="241"/>
      <c r="Y1676" s="284"/>
      <c r="Z1676" s="207"/>
      <c r="AA1676" s="284"/>
      <c r="AB1676" s="284"/>
      <c r="AC1676" s="284"/>
      <c r="AD1676" s="284"/>
      <c r="AE1676" s="284"/>
      <c r="AF1676" s="284"/>
      <c r="AG1676" s="284"/>
      <c r="AI1676" s="131"/>
    </row>
    <row r="1677" spans="1:35" ht="26.4">
      <c r="A1677" s="284"/>
      <c r="B1677" s="284"/>
      <c r="C1677" s="284"/>
      <c r="D1677" s="284"/>
      <c r="E1677" s="284"/>
      <c r="F1677" s="284"/>
      <c r="G1677" s="284"/>
      <c r="H1677" s="284"/>
      <c r="I1677" s="284"/>
      <c r="J1677" s="375"/>
      <c r="K1677" s="375"/>
      <c r="L1677" s="375"/>
      <c r="M1677" s="368"/>
      <c r="N1677" s="368"/>
      <c r="O1677" s="370"/>
      <c r="T1677" s="340"/>
      <c r="V1677" s="378"/>
      <c r="W1677" s="64" ph="1"/>
      <c r="X1677" s="241"/>
      <c r="Y1677" s="284"/>
      <c r="Z1677" s="207"/>
      <c r="AA1677" s="284"/>
      <c r="AB1677" s="284"/>
      <c r="AC1677" s="284"/>
      <c r="AD1677" s="284"/>
      <c r="AE1677" s="284"/>
      <c r="AF1677" s="284"/>
      <c r="AG1677" s="284"/>
      <c r="AI1677" s="131"/>
    </row>
    <row r="1678" spans="1:35" ht="26.4">
      <c r="A1678" s="284"/>
      <c r="B1678" s="284"/>
      <c r="C1678" s="284"/>
      <c r="D1678" s="284"/>
      <c r="E1678" s="284"/>
      <c r="F1678" s="284"/>
      <c r="G1678" s="284"/>
      <c r="H1678" s="284"/>
      <c r="I1678" s="284"/>
      <c r="J1678" s="375"/>
      <c r="K1678" s="375"/>
      <c r="L1678" s="375"/>
      <c r="M1678" s="368"/>
      <c r="N1678" s="368"/>
      <c r="O1678" s="370"/>
      <c r="T1678" s="340"/>
      <c r="V1678" s="378"/>
      <c r="W1678" s="64" ph="1"/>
      <c r="X1678" s="241"/>
      <c r="Y1678" s="284"/>
      <c r="Z1678" s="207"/>
      <c r="AA1678" s="284"/>
      <c r="AB1678" s="284"/>
      <c r="AC1678" s="284"/>
      <c r="AD1678" s="284"/>
      <c r="AE1678" s="284"/>
      <c r="AF1678" s="284"/>
      <c r="AG1678" s="284"/>
      <c r="AI1678" s="131"/>
    </row>
    <row r="1679" spans="1:35" ht="26.4">
      <c r="A1679" s="284"/>
      <c r="B1679" s="284"/>
      <c r="C1679" s="284"/>
      <c r="D1679" s="284"/>
      <c r="E1679" s="284"/>
      <c r="F1679" s="284"/>
      <c r="G1679" s="284"/>
      <c r="H1679" s="284"/>
      <c r="I1679" s="284"/>
      <c r="J1679" s="375"/>
      <c r="K1679" s="375"/>
      <c r="L1679" s="375"/>
      <c r="M1679" s="368"/>
      <c r="N1679" s="368"/>
      <c r="O1679" s="370"/>
      <c r="T1679" s="340"/>
      <c r="V1679" s="378"/>
      <c r="W1679" s="64" ph="1"/>
      <c r="X1679" s="241"/>
      <c r="Y1679" s="284"/>
      <c r="Z1679" s="207"/>
      <c r="AA1679" s="284"/>
      <c r="AB1679" s="284"/>
      <c r="AC1679" s="284"/>
      <c r="AD1679" s="284"/>
      <c r="AE1679" s="284"/>
      <c r="AF1679" s="284"/>
      <c r="AG1679" s="284"/>
      <c r="AI1679" s="131"/>
    </row>
    <row r="1680" spans="1:35" ht="26.4">
      <c r="A1680" s="284"/>
      <c r="B1680" s="284"/>
      <c r="C1680" s="284"/>
      <c r="D1680" s="284"/>
      <c r="E1680" s="284"/>
      <c r="F1680" s="284"/>
      <c r="G1680" s="284"/>
      <c r="H1680" s="284"/>
      <c r="I1680" s="284"/>
      <c r="J1680" s="375"/>
      <c r="K1680" s="375"/>
      <c r="L1680" s="375"/>
      <c r="M1680" s="368"/>
      <c r="N1680" s="368"/>
      <c r="O1680" s="370"/>
      <c r="T1680" s="340"/>
      <c r="V1680" s="378"/>
      <c r="W1680" s="64" ph="1"/>
      <c r="X1680" s="241"/>
      <c r="Y1680" s="284"/>
      <c r="Z1680" s="207"/>
      <c r="AA1680" s="284"/>
      <c r="AB1680" s="284"/>
      <c r="AC1680" s="284"/>
      <c r="AD1680" s="284"/>
      <c r="AE1680" s="284"/>
      <c r="AF1680" s="284"/>
      <c r="AG1680" s="284"/>
      <c r="AI1680" s="131"/>
    </row>
    <row r="1681" spans="1:35" ht="26.4">
      <c r="A1681" s="284"/>
      <c r="B1681" s="284"/>
      <c r="C1681" s="284"/>
      <c r="D1681" s="284"/>
      <c r="E1681" s="284"/>
      <c r="F1681" s="284"/>
      <c r="G1681" s="284"/>
      <c r="H1681" s="284"/>
      <c r="I1681" s="284"/>
      <c r="J1681" s="375"/>
      <c r="K1681" s="375"/>
      <c r="L1681" s="375"/>
      <c r="M1681" s="368"/>
      <c r="N1681" s="368"/>
      <c r="O1681" s="370"/>
      <c r="T1681" s="340"/>
      <c r="V1681" s="378"/>
      <c r="W1681" s="64" ph="1"/>
      <c r="X1681" s="241"/>
      <c r="Y1681" s="284"/>
      <c r="Z1681" s="207"/>
      <c r="AA1681" s="284"/>
      <c r="AB1681" s="284"/>
      <c r="AC1681" s="284"/>
      <c r="AD1681" s="284"/>
      <c r="AE1681" s="284"/>
      <c r="AF1681" s="284"/>
      <c r="AG1681" s="284"/>
      <c r="AI1681" s="131"/>
    </row>
    <row r="1682" spans="1:35" ht="26.4">
      <c r="A1682" s="284"/>
      <c r="B1682" s="284"/>
      <c r="C1682" s="284"/>
      <c r="D1682" s="284"/>
      <c r="E1682" s="284"/>
      <c r="F1682" s="284"/>
      <c r="G1682" s="284"/>
      <c r="H1682" s="284"/>
      <c r="I1682" s="284"/>
      <c r="J1682" s="375"/>
      <c r="K1682" s="375"/>
      <c r="L1682" s="375"/>
      <c r="M1682" s="368"/>
      <c r="N1682" s="368"/>
      <c r="O1682" s="370"/>
      <c r="T1682" s="340"/>
      <c r="V1682" s="378"/>
      <c r="W1682" s="64" ph="1"/>
      <c r="X1682" s="241"/>
      <c r="Y1682" s="284"/>
      <c r="Z1682" s="207"/>
      <c r="AA1682" s="284"/>
      <c r="AB1682" s="284"/>
      <c r="AC1682" s="284"/>
      <c r="AD1682" s="284"/>
      <c r="AE1682" s="284"/>
      <c r="AF1682" s="284"/>
      <c r="AG1682" s="284"/>
      <c r="AI1682" s="131"/>
    </row>
    <row r="1683" spans="1:35" ht="26.4">
      <c r="A1683" s="284"/>
      <c r="B1683" s="284"/>
      <c r="C1683" s="284"/>
      <c r="D1683" s="284"/>
      <c r="E1683" s="284"/>
      <c r="F1683" s="284"/>
      <c r="G1683" s="284"/>
      <c r="H1683" s="284"/>
      <c r="I1683" s="284"/>
      <c r="J1683" s="375"/>
      <c r="K1683" s="375"/>
      <c r="L1683" s="375"/>
      <c r="M1683" s="368"/>
      <c r="N1683" s="368"/>
      <c r="O1683" s="370"/>
      <c r="T1683" s="340"/>
      <c r="V1683" s="378"/>
      <c r="W1683" s="64" ph="1"/>
      <c r="X1683" s="241"/>
      <c r="Y1683" s="284"/>
      <c r="Z1683" s="207"/>
      <c r="AA1683" s="284"/>
      <c r="AB1683" s="284"/>
      <c r="AC1683" s="284"/>
      <c r="AD1683" s="284"/>
      <c r="AE1683" s="284"/>
      <c r="AF1683" s="284"/>
      <c r="AG1683" s="284"/>
      <c r="AI1683" s="131"/>
    </row>
    <row r="1684" spans="1:35" ht="26.4">
      <c r="A1684" s="284"/>
      <c r="B1684" s="284"/>
      <c r="C1684" s="284"/>
      <c r="D1684" s="284"/>
      <c r="E1684" s="284"/>
      <c r="F1684" s="284"/>
      <c r="G1684" s="284"/>
      <c r="H1684" s="284"/>
      <c r="I1684" s="284"/>
      <c r="J1684" s="375"/>
      <c r="K1684" s="375"/>
      <c r="L1684" s="375"/>
      <c r="M1684" s="368"/>
      <c r="N1684" s="368"/>
      <c r="O1684" s="370"/>
      <c r="T1684" s="340"/>
      <c r="V1684" s="378"/>
      <c r="W1684" s="64" ph="1"/>
      <c r="X1684" s="241"/>
      <c r="Y1684" s="284"/>
      <c r="Z1684" s="207"/>
      <c r="AA1684" s="284"/>
      <c r="AB1684" s="284"/>
      <c r="AC1684" s="284"/>
      <c r="AD1684" s="284"/>
      <c r="AE1684" s="284"/>
      <c r="AF1684" s="284"/>
      <c r="AG1684" s="284"/>
      <c r="AI1684" s="131"/>
    </row>
    <row r="1685" spans="1:35" ht="26.4">
      <c r="A1685" s="284"/>
      <c r="B1685" s="284"/>
      <c r="C1685" s="284"/>
      <c r="D1685" s="284"/>
      <c r="E1685" s="284"/>
      <c r="F1685" s="284"/>
      <c r="G1685" s="284"/>
      <c r="H1685" s="284"/>
      <c r="I1685" s="284"/>
      <c r="J1685" s="375"/>
      <c r="K1685" s="375"/>
      <c r="L1685" s="375"/>
      <c r="M1685" s="368"/>
      <c r="N1685" s="368"/>
      <c r="O1685" s="370"/>
      <c r="T1685" s="340"/>
      <c r="V1685" s="378"/>
      <c r="W1685" s="64" ph="1"/>
      <c r="X1685" s="241"/>
      <c r="Y1685" s="284"/>
      <c r="Z1685" s="207"/>
      <c r="AA1685" s="284"/>
      <c r="AB1685" s="284"/>
      <c r="AC1685" s="284"/>
      <c r="AD1685" s="284"/>
      <c r="AE1685" s="284"/>
      <c r="AF1685" s="284"/>
      <c r="AG1685" s="284"/>
      <c r="AI1685" s="131"/>
    </row>
    <row r="1686" spans="1:35" ht="26.4">
      <c r="A1686" s="284"/>
      <c r="B1686" s="284"/>
      <c r="C1686" s="284"/>
      <c r="D1686" s="284"/>
      <c r="E1686" s="284"/>
      <c r="F1686" s="284"/>
      <c r="G1686" s="284"/>
      <c r="H1686" s="284"/>
      <c r="I1686" s="284"/>
      <c r="J1686" s="375"/>
      <c r="K1686" s="375"/>
      <c r="L1686" s="375"/>
      <c r="M1686" s="368"/>
      <c r="N1686" s="368"/>
      <c r="O1686" s="370"/>
      <c r="T1686" s="340"/>
      <c r="V1686" s="378"/>
      <c r="W1686" s="64" ph="1"/>
      <c r="X1686" s="241"/>
      <c r="Y1686" s="284"/>
      <c r="Z1686" s="207"/>
      <c r="AA1686" s="284"/>
      <c r="AB1686" s="284"/>
      <c r="AC1686" s="284"/>
      <c r="AD1686" s="284"/>
      <c r="AE1686" s="284"/>
      <c r="AF1686" s="284"/>
      <c r="AG1686" s="284"/>
      <c r="AI1686" s="131"/>
    </row>
    <row r="1687" spans="1:35" ht="26.4">
      <c r="A1687" s="284"/>
      <c r="B1687" s="284"/>
      <c r="C1687" s="284"/>
      <c r="D1687" s="284"/>
      <c r="E1687" s="284"/>
      <c r="F1687" s="284"/>
      <c r="G1687" s="284"/>
      <c r="H1687" s="284"/>
      <c r="I1687" s="284"/>
      <c r="J1687" s="375"/>
      <c r="K1687" s="375"/>
      <c r="L1687" s="375"/>
      <c r="M1687" s="368"/>
      <c r="N1687" s="368"/>
      <c r="O1687" s="370"/>
      <c r="T1687" s="340"/>
      <c r="V1687" s="378"/>
      <c r="W1687" s="64" ph="1"/>
      <c r="X1687" s="241"/>
      <c r="Y1687" s="284"/>
      <c r="Z1687" s="207"/>
      <c r="AA1687" s="284"/>
      <c r="AB1687" s="284"/>
      <c r="AC1687" s="284"/>
      <c r="AD1687" s="284"/>
      <c r="AE1687" s="284"/>
      <c r="AF1687" s="284"/>
      <c r="AG1687" s="284"/>
      <c r="AI1687" s="131"/>
    </row>
    <row r="1688" spans="1:35" ht="26.4">
      <c r="A1688" s="284"/>
      <c r="B1688" s="284"/>
      <c r="C1688" s="284"/>
      <c r="D1688" s="284"/>
      <c r="E1688" s="284"/>
      <c r="F1688" s="284"/>
      <c r="G1688" s="284"/>
      <c r="H1688" s="284"/>
      <c r="I1688" s="284"/>
      <c r="J1688" s="375"/>
      <c r="K1688" s="375"/>
      <c r="L1688" s="375"/>
      <c r="M1688" s="368"/>
      <c r="N1688" s="368"/>
      <c r="O1688" s="370"/>
      <c r="T1688" s="340"/>
      <c r="V1688" s="378"/>
      <c r="W1688" s="64" ph="1"/>
      <c r="X1688" s="241"/>
      <c r="Y1688" s="284"/>
      <c r="Z1688" s="207"/>
      <c r="AA1688" s="284"/>
      <c r="AB1688" s="284"/>
      <c r="AC1688" s="284"/>
      <c r="AD1688" s="284"/>
      <c r="AE1688" s="284"/>
      <c r="AF1688" s="284"/>
      <c r="AG1688" s="284"/>
      <c r="AI1688" s="131"/>
    </row>
    <row r="1689" spans="1:35" ht="26.4">
      <c r="A1689" s="284"/>
      <c r="B1689" s="284"/>
      <c r="C1689" s="284"/>
      <c r="D1689" s="284"/>
      <c r="E1689" s="284"/>
      <c r="F1689" s="284"/>
      <c r="G1689" s="284"/>
      <c r="H1689" s="284"/>
      <c r="I1689" s="284"/>
      <c r="J1689" s="375"/>
      <c r="K1689" s="375"/>
      <c r="L1689" s="375"/>
      <c r="M1689" s="368"/>
      <c r="N1689" s="368"/>
      <c r="O1689" s="370"/>
      <c r="T1689" s="340"/>
      <c r="V1689" s="378"/>
      <c r="W1689" s="64" ph="1"/>
      <c r="X1689" s="241"/>
      <c r="Y1689" s="284"/>
      <c r="Z1689" s="207"/>
      <c r="AA1689" s="284"/>
      <c r="AB1689" s="284"/>
      <c r="AC1689" s="284"/>
      <c r="AD1689" s="284"/>
      <c r="AE1689" s="284"/>
      <c r="AF1689" s="284"/>
      <c r="AG1689" s="284"/>
      <c r="AI1689" s="131"/>
    </row>
    <row r="1690" spans="1:35" ht="26.4">
      <c r="A1690" s="284"/>
      <c r="B1690" s="284"/>
      <c r="C1690" s="284"/>
      <c r="D1690" s="284"/>
      <c r="E1690" s="284"/>
      <c r="F1690" s="284"/>
      <c r="G1690" s="284"/>
      <c r="H1690" s="284"/>
      <c r="I1690" s="284"/>
      <c r="J1690" s="375"/>
      <c r="K1690" s="375"/>
      <c r="L1690" s="375"/>
      <c r="M1690" s="368"/>
      <c r="N1690" s="368"/>
      <c r="O1690" s="370"/>
      <c r="T1690" s="340"/>
      <c r="V1690" s="378"/>
      <c r="W1690" s="64" ph="1"/>
      <c r="X1690" s="241"/>
      <c r="Y1690" s="284"/>
      <c r="Z1690" s="207"/>
      <c r="AA1690" s="284"/>
      <c r="AB1690" s="284"/>
      <c r="AC1690" s="284"/>
      <c r="AD1690" s="284"/>
      <c r="AE1690" s="284"/>
      <c r="AF1690" s="284"/>
      <c r="AG1690" s="284"/>
      <c r="AI1690" s="131"/>
    </row>
    <row r="1691" spans="1:35" ht="26.4">
      <c r="A1691" s="284"/>
      <c r="B1691" s="284"/>
      <c r="C1691" s="284"/>
      <c r="D1691" s="284"/>
      <c r="E1691" s="284"/>
      <c r="F1691" s="284"/>
      <c r="G1691" s="284"/>
      <c r="H1691" s="284"/>
      <c r="I1691" s="284"/>
      <c r="J1691" s="375"/>
      <c r="K1691" s="375"/>
      <c r="L1691" s="375"/>
      <c r="M1691" s="368"/>
      <c r="N1691" s="368"/>
      <c r="O1691" s="370"/>
      <c r="T1691" s="340"/>
      <c r="V1691" s="378"/>
      <c r="W1691" s="64" ph="1"/>
      <c r="X1691" s="241"/>
      <c r="Y1691" s="284"/>
      <c r="Z1691" s="207"/>
      <c r="AA1691" s="284"/>
      <c r="AB1691" s="284"/>
      <c r="AC1691" s="284"/>
      <c r="AD1691" s="284"/>
      <c r="AE1691" s="284"/>
      <c r="AF1691" s="284"/>
      <c r="AG1691" s="284"/>
      <c r="AI1691" s="131"/>
    </row>
    <row r="1692" spans="1:35" ht="26.4">
      <c r="A1692" s="284"/>
      <c r="B1692" s="284"/>
      <c r="C1692" s="284"/>
      <c r="D1692" s="284"/>
      <c r="E1692" s="284"/>
      <c r="F1692" s="284"/>
      <c r="G1692" s="284"/>
      <c r="H1692" s="284"/>
      <c r="I1692" s="284"/>
      <c r="J1692" s="375"/>
      <c r="K1692" s="375"/>
      <c r="L1692" s="375"/>
      <c r="M1692" s="368"/>
      <c r="N1692" s="368"/>
      <c r="O1692" s="370"/>
      <c r="T1692" s="340"/>
      <c r="V1692" s="378"/>
      <c r="W1692" s="64" ph="1"/>
      <c r="X1692" s="241"/>
      <c r="Y1692" s="284"/>
      <c r="Z1692" s="207"/>
      <c r="AA1692" s="284"/>
      <c r="AB1692" s="284"/>
      <c r="AC1692" s="284"/>
      <c r="AD1692" s="284"/>
      <c r="AE1692" s="284"/>
      <c r="AF1692" s="284"/>
      <c r="AG1692" s="284"/>
      <c r="AI1692" s="131"/>
    </row>
    <row r="1693" spans="1:35" ht="26.4">
      <c r="A1693" s="284"/>
      <c r="B1693" s="284"/>
      <c r="C1693" s="284"/>
      <c r="D1693" s="284"/>
      <c r="E1693" s="284"/>
      <c r="F1693" s="284"/>
      <c r="G1693" s="284"/>
      <c r="H1693" s="284"/>
      <c r="I1693" s="284"/>
      <c r="J1693" s="375"/>
      <c r="K1693" s="375"/>
      <c r="L1693" s="375"/>
      <c r="M1693" s="368"/>
      <c r="N1693" s="368"/>
      <c r="O1693" s="370"/>
      <c r="T1693" s="340"/>
      <c r="V1693" s="378"/>
      <c r="W1693" s="64" ph="1"/>
      <c r="X1693" s="241"/>
      <c r="Y1693" s="284"/>
      <c r="Z1693" s="207"/>
      <c r="AA1693" s="284"/>
      <c r="AB1693" s="284"/>
      <c r="AC1693" s="284"/>
      <c r="AD1693" s="284"/>
      <c r="AE1693" s="284"/>
      <c r="AF1693" s="284"/>
      <c r="AG1693" s="284"/>
      <c r="AI1693" s="131"/>
    </row>
    <row r="1694" spans="1:35" ht="26.4">
      <c r="A1694" s="284"/>
      <c r="B1694" s="284"/>
      <c r="C1694" s="284"/>
      <c r="D1694" s="284"/>
      <c r="E1694" s="284"/>
      <c r="F1694" s="284"/>
      <c r="G1694" s="284"/>
      <c r="H1694" s="284"/>
      <c r="I1694" s="284"/>
      <c r="J1694" s="375"/>
      <c r="K1694" s="375"/>
      <c r="L1694" s="375"/>
      <c r="M1694" s="368"/>
      <c r="N1694" s="368"/>
      <c r="O1694" s="370"/>
      <c r="T1694" s="340"/>
      <c r="V1694" s="378"/>
      <c r="W1694" s="64" ph="1"/>
      <c r="X1694" s="241"/>
      <c r="Y1694" s="284"/>
      <c r="Z1694" s="207"/>
      <c r="AA1694" s="284"/>
      <c r="AB1694" s="284"/>
      <c r="AC1694" s="284"/>
      <c r="AD1694" s="284"/>
      <c r="AE1694" s="284"/>
      <c r="AF1694" s="284"/>
      <c r="AG1694" s="284"/>
      <c r="AI1694" s="131"/>
    </row>
    <row r="1695" spans="1:35" ht="26.4">
      <c r="A1695" s="284"/>
      <c r="B1695" s="284"/>
      <c r="C1695" s="284"/>
      <c r="D1695" s="284"/>
      <c r="E1695" s="284"/>
      <c r="F1695" s="284"/>
      <c r="G1695" s="284"/>
      <c r="H1695" s="284"/>
      <c r="I1695" s="284"/>
      <c r="J1695" s="375"/>
      <c r="K1695" s="375"/>
      <c r="L1695" s="375"/>
      <c r="M1695" s="368"/>
      <c r="N1695" s="368"/>
      <c r="O1695" s="370"/>
      <c r="T1695" s="340"/>
      <c r="V1695" s="378"/>
      <c r="W1695" s="64" ph="1"/>
      <c r="X1695" s="241"/>
      <c r="Y1695" s="284"/>
      <c r="Z1695" s="207"/>
      <c r="AA1695" s="284"/>
      <c r="AB1695" s="284"/>
      <c r="AC1695" s="284"/>
      <c r="AD1695" s="284"/>
      <c r="AE1695" s="284"/>
      <c r="AF1695" s="284"/>
      <c r="AG1695" s="284"/>
      <c r="AI1695" s="131"/>
    </row>
    <row r="1696" spans="1:35" ht="26.4">
      <c r="A1696" s="284"/>
      <c r="B1696" s="284"/>
      <c r="C1696" s="284"/>
      <c r="D1696" s="284"/>
      <c r="E1696" s="284"/>
      <c r="F1696" s="284"/>
      <c r="G1696" s="284"/>
      <c r="H1696" s="284"/>
      <c r="I1696" s="284"/>
      <c r="J1696" s="375"/>
      <c r="K1696" s="375"/>
      <c r="L1696" s="375"/>
      <c r="M1696" s="368"/>
      <c r="N1696" s="368"/>
      <c r="O1696" s="370"/>
      <c r="T1696" s="340"/>
      <c r="V1696" s="378"/>
      <c r="W1696" s="64" ph="1"/>
      <c r="X1696" s="241"/>
      <c r="Y1696" s="284"/>
      <c r="Z1696" s="207"/>
      <c r="AA1696" s="284"/>
      <c r="AB1696" s="284"/>
      <c r="AC1696" s="284"/>
      <c r="AD1696" s="284"/>
      <c r="AE1696" s="284"/>
      <c r="AF1696" s="284"/>
      <c r="AG1696" s="284"/>
      <c r="AI1696" s="131"/>
    </row>
    <row r="1697" spans="1:35" ht="26.4">
      <c r="A1697" s="284"/>
      <c r="B1697" s="284"/>
      <c r="C1697" s="284"/>
      <c r="D1697" s="284"/>
      <c r="E1697" s="284"/>
      <c r="F1697" s="284"/>
      <c r="G1697" s="284"/>
      <c r="H1697" s="284"/>
      <c r="I1697" s="284"/>
      <c r="J1697" s="375"/>
      <c r="K1697" s="375"/>
      <c r="L1697" s="375"/>
      <c r="M1697" s="368"/>
      <c r="N1697" s="368"/>
      <c r="O1697" s="370"/>
      <c r="T1697" s="340"/>
      <c r="V1697" s="378"/>
      <c r="W1697" s="64" ph="1"/>
      <c r="X1697" s="241"/>
      <c r="Y1697" s="284"/>
      <c r="Z1697" s="207"/>
      <c r="AA1697" s="284"/>
      <c r="AB1697" s="284"/>
      <c r="AC1697" s="284"/>
      <c r="AD1697" s="284"/>
      <c r="AE1697" s="284"/>
      <c r="AF1697" s="284"/>
      <c r="AG1697" s="284"/>
      <c r="AI1697" s="131"/>
    </row>
    <row r="1698" spans="1:35" ht="26.4">
      <c r="A1698" s="284"/>
      <c r="B1698" s="284"/>
      <c r="C1698" s="284"/>
      <c r="D1698" s="284"/>
      <c r="E1698" s="284"/>
      <c r="F1698" s="284"/>
      <c r="G1698" s="284"/>
      <c r="H1698" s="284"/>
      <c r="I1698" s="284"/>
      <c r="J1698" s="375"/>
      <c r="K1698" s="375"/>
      <c r="L1698" s="375"/>
      <c r="M1698" s="368"/>
      <c r="N1698" s="368"/>
      <c r="O1698" s="370"/>
      <c r="T1698" s="340"/>
      <c r="V1698" s="378"/>
      <c r="W1698" s="64" ph="1"/>
      <c r="X1698" s="241"/>
      <c r="Y1698" s="284"/>
      <c r="Z1698" s="207"/>
      <c r="AA1698" s="284"/>
      <c r="AB1698" s="284"/>
      <c r="AC1698" s="284"/>
      <c r="AD1698" s="284"/>
      <c r="AE1698" s="284"/>
      <c r="AF1698" s="284"/>
      <c r="AG1698" s="284"/>
      <c r="AI1698" s="131"/>
    </row>
    <row r="1699" spans="1:35" ht="26.4">
      <c r="A1699" s="284"/>
      <c r="B1699" s="284"/>
      <c r="C1699" s="284"/>
      <c r="D1699" s="284"/>
      <c r="E1699" s="284"/>
      <c r="F1699" s="284"/>
      <c r="G1699" s="284"/>
      <c r="H1699" s="284"/>
      <c r="I1699" s="284"/>
      <c r="J1699" s="375"/>
      <c r="K1699" s="375"/>
      <c r="L1699" s="375"/>
      <c r="M1699" s="368"/>
      <c r="N1699" s="368"/>
      <c r="O1699" s="370"/>
      <c r="T1699" s="340"/>
      <c r="V1699" s="378"/>
      <c r="W1699" s="64" ph="1"/>
      <c r="X1699" s="241"/>
      <c r="Y1699" s="284"/>
      <c r="Z1699" s="207"/>
      <c r="AA1699" s="284"/>
      <c r="AB1699" s="284"/>
      <c r="AC1699" s="284"/>
      <c r="AD1699" s="284"/>
      <c r="AE1699" s="284"/>
      <c r="AF1699" s="284"/>
      <c r="AG1699" s="284"/>
      <c r="AI1699" s="131"/>
    </row>
    <row r="1700" spans="1:35" ht="26.4">
      <c r="A1700" s="284"/>
      <c r="B1700" s="284"/>
      <c r="C1700" s="284"/>
      <c r="D1700" s="284"/>
      <c r="E1700" s="284"/>
      <c r="F1700" s="284"/>
      <c r="G1700" s="284"/>
      <c r="H1700" s="284"/>
      <c r="I1700" s="284"/>
      <c r="J1700" s="375"/>
      <c r="K1700" s="375"/>
      <c r="L1700" s="375"/>
      <c r="M1700" s="368"/>
      <c r="N1700" s="368"/>
      <c r="O1700" s="370"/>
      <c r="T1700" s="340"/>
      <c r="V1700" s="378"/>
      <c r="W1700" s="64" ph="1"/>
      <c r="X1700" s="241"/>
      <c r="Y1700" s="284"/>
      <c r="Z1700" s="207"/>
      <c r="AA1700" s="284"/>
      <c r="AB1700" s="284"/>
      <c r="AC1700" s="284"/>
      <c r="AD1700" s="284"/>
      <c r="AE1700" s="284"/>
      <c r="AF1700" s="284"/>
      <c r="AG1700" s="284"/>
      <c r="AI1700" s="131"/>
    </row>
    <row r="1701" spans="1:35" ht="26.4">
      <c r="A1701" s="284"/>
      <c r="B1701" s="284"/>
      <c r="C1701" s="284"/>
      <c r="D1701" s="284"/>
      <c r="E1701" s="284"/>
      <c r="F1701" s="284"/>
      <c r="G1701" s="284"/>
      <c r="H1701" s="284"/>
      <c r="I1701" s="284"/>
      <c r="J1701" s="375"/>
      <c r="K1701" s="375"/>
      <c r="L1701" s="375"/>
      <c r="M1701" s="368"/>
      <c r="N1701" s="368"/>
      <c r="O1701" s="370"/>
      <c r="T1701" s="340"/>
      <c r="V1701" s="378"/>
      <c r="W1701" s="64" ph="1"/>
      <c r="X1701" s="241"/>
      <c r="Y1701" s="284"/>
      <c r="Z1701" s="207"/>
      <c r="AA1701" s="284"/>
      <c r="AB1701" s="284"/>
      <c r="AC1701" s="284"/>
      <c r="AD1701" s="284"/>
      <c r="AE1701" s="284"/>
      <c r="AF1701" s="284"/>
      <c r="AG1701" s="284"/>
      <c r="AI1701" s="131"/>
    </row>
    <row r="1702" spans="1:35" ht="26.4">
      <c r="A1702" s="284"/>
      <c r="B1702" s="284"/>
      <c r="C1702" s="284"/>
      <c r="D1702" s="284"/>
      <c r="E1702" s="284"/>
      <c r="F1702" s="284"/>
      <c r="G1702" s="284"/>
      <c r="H1702" s="284"/>
      <c r="I1702" s="284"/>
      <c r="J1702" s="375"/>
      <c r="K1702" s="375"/>
      <c r="L1702" s="375"/>
      <c r="M1702" s="368"/>
      <c r="N1702" s="368"/>
      <c r="O1702" s="370"/>
      <c r="T1702" s="340"/>
      <c r="V1702" s="378"/>
      <c r="W1702" s="64" ph="1"/>
      <c r="X1702" s="241"/>
      <c r="Y1702" s="284"/>
      <c r="Z1702" s="207"/>
      <c r="AA1702" s="284"/>
      <c r="AB1702" s="284"/>
      <c r="AC1702" s="284"/>
      <c r="AD1702" s="284"/>
      <c r="AE1702" s="284"/>
      <c r="AF1702" s="284"/>
      <c r="AG1702" s="284"/>
      <c r="AI1702" s="131"/>
    </row>
    <row r="1703" spans="1:35" ht="26.4">
      <c r="A1703" s="284"/>
      <c r="B1703" s="284"/>
      <c r="C1703" s="284"/>
      <c r="D1703" s="284"/>
      <c r="E1703" s="284"/>
      <c r="F1703" s="284"/>
      <c r="G1703" s="284"/>
      <c r="H1703" s="284"/>
      <c r="I1703" s="284"/>
      <c r="J1703" s="375"/>
      <c r="K1703" s="375"/>
      <c r="L1703" s="375"/>
      <c r="M1703" s="368"/>
      <c r="N1703" s="368"/>
      <c r="O1703" s="370"/>
      <c r="T1703" s="340"/>
      <c r="V1703" s="378"/>
      <c r="W1703" s="64" ph="1"/>
      <c r="X1703" s="241"/>
      <c r="Y1703" s="284"/>
      <c r="Z1703" s="207"/>
      <c r="AA1703" s="284"/>
      <c r="AB1703" s="284"/>
      <c r="AC1703" s="284"/>
      <c r="AD1703" s="284"/>
      <c r="AE1703" s="284"/>
      <c r="AF1703" s="284"/>
      <c r="AG1703" s="284"/>
      <c r="AI1703" s="131"/>
    </row>
    <row r="1704" spans="1:35" ht="26.4">
      <c r="A1704" s="284"/>
      <c r="B1704" s="284"/>
      <c r="C1704" s="284"/>
      <c r="D1704" s="284"/>
      <c r="E1704" s="284"/>
      <c r="F1704" s="284"/>
      <c r="G1704" s="284"/>
      <c r="H1704" s="284"/>
      <c r="I1704" s="284"/>
      <c r="J1704" s="375"/>
      <c r="K1704" s="375"/>
      <c r="L1704" s="375"/>
      <c r="M1704" s="368"/>
      <c r="N1704" s="368"/>
      <c r="O1704" s="370"/>
      <c r="T1704" s="340"/>
      <c r="V1704" s="378"/>
      <c r="W1704" s="64" ph="1"/>
      <c r="X1704" s="241"/>
      <c r="Y1704" s="284"/>
      <c r="Z1704" s="207"/>
      <c r="AA1704" s="284"/>
      <c r="AB1704" s="284"/>
      <c r="AC1704" s="284"/>
      <c r="AD1704" s="284"/>
      <c r="AE1704" s="284"/>
      <c r="AF1704" s="284"/>
      <c r="AG1704" s="284"/>
      <c r="AI1704" s="131"/>
    </row>
    <row r="1705" spans="1:35" ht="26.4">
      <c r="A1705" s="284"/>
      <c r="B1705" s="284"/>
      <c r="C1705" s="284"/>
      <c r="D1705" s="284"/>
      <c r="E1705" s="284"/>
      <c r="F1705" s="284"/>
      <c r="G1705" s="284"/>
      <c r="H1705" s="284"/>
      <c r="I1705" s="284"/>
      <c r="J1705" s="375"/>
      <c r="K1705" s="375"/>
      <c r="L1705" s="375"/>
      <c r="M1705" s="368"/>
      <c r="N1705" s="368"/>
      <c r="O1705" s="370"/>
      <c r="T1705" s="340"/>
      <c r="V1705" s="378"/>
      <c r="W1705" s="64" ph="1"/>
      <c r="X1705" s="241"/>
      <c r="Y1705" s="284"/>
      <c r="Z1705" s="207"/>
      <c r="AA1705" s="284"/>
      <c r="AB1705" s="284"/>
      <c r="AC1705" s="284"/>
      <c r="AD1705" s="284"/>
      <c r="AE1705" s="284"/>
      <c r="AF1705" s="284"/>
      <c r="AG1705" s="284"/>
      <c r="AI1705" s="131"/>
    </row>
    <row r="1706" spans="1:35" ht="26.4">
      <c r="A1706" s="284"/>
      <c r="B1706" s="284"/>
      <c r="C1706" s="284"/>
      <c r="D1706" s="284"/>
      <c r="E1706" s="284"/>
      <c r="F1706" s="284"/>
      <c r="G1706" s="284"/>
      <c r="H1706" s="284"/>
      <c r="I1706" s="284"/>
      <c r="J1706" s="375"/>
      <c r="K1706" s="375"/>
      <c r="L1706" s="375"/>
      <c r="M1706" s="368"/>
      <c r="N1706" s="368"/>
      <c r="O1706" s="370"/>
      <c r="T1706" s="340"/>
      <c r="V1706" s="378"/>
      <c r="W1706" s="64" ph="1"/>
      <c r="X1706" s="241"/>
      <c r="Y1706" s="284"/>
      <c r="Z1706" s="207"/>
      <c r="AA1706" s="284"/>
      <c r="AB1706" s="284"/>
      <c r="AC1706" s="284"/>
      <c r="AD1706" s="284"/>
      <c r="AE1706" s="284"/>
      <c r="AF1706" s="284"/>
      <c r="AG1706" s="284"/>
      <c r="AI1706" s="284"/>
    </row>
    <row r="1707" spans="1:35" ht="26.4">
      <c r="A1707" s="284"/>
      <c r="B1707" s="284"/>
      <c r="C1707" s="284"/>
      <c r="D1707" s="284"/>
      <c r="E1707" s="284"/>
      <c r="F1707" s="284"/>
      <c r="G1707" s="284"/>
      <c r="H1707" s="284"/>
      <c r="I1707" s="284"/>
      <c r="J1707" s="375"/>
      <c r="K1707" s="375"/>
      <c r="L1707" s="375"/>
      <c r="M1707" s="368"/>
      <c r="N1707" s="368"/>
      <c r="O1707" s="370"/>
      <c r="T1707" s="340"/>
      <c r="V1707" s="378"/>
      <c r="W1707" s="64" ph="1"/>
      <c r="X1707" s="241"/>
      <c r="Y1707" s="284"/>
      <c r="Z1707" s="207"/>
      <c r="AA1707" s="284"/>
      <c r="AB1707" s="284"/>
      <c r="AC1707" s="284"/>
      <c r="AD1707" s="284"/>
      <c r="AE1707" s="284"/>
      <c r="AF1707" s="284"/>
      <c r="AG1707" s="284"/>
      <c r="AI1707" s="131"/>
    </row>
    <row r="1708" spans="1:35" ht="26.4">
      <c r="A1708" s="284"/>
      <c r="B1708" s="284"/>
      <c r="C1708" s="284"/>
      <c r="D1708" s="284"/>
      <c r="E1708" s="284"/>
      <c r="F1708" s="284"/>
      <c r="G1708" s="284"/>
      <c r="H1708" s="284"/>
      <c r="I1708" s="284"/>
      <c r="J1708" s="375"/>
      <c r="K1708" s="375"/>
      <c r="L1708" s="375"/>
      <c r="M1708" s="368"/>
      <c r="N1708" s="368"/>
      <c r="O1708" s="370"/>
      <c r="T1708" s="340"/>
      <c r="V1708" s="378"/>
      <c r="W1708" s="64" ph="1"/>
      <c r="X1708" s="241"/>
      <c r="Y1708" s="284"/>
      <c r="Z1708" s="207"/>
      <c r="AA1708" s="284"/>
      <c r="AB1708" s="284"/>
      <c r="AC1708" s="284"/>
      <c r="AD1708" s="284"/>
      <c r="AE1708" s="284"/>
      <c r="AF1708" s="284"/>
      <c r="AG1708" s="284"/>
      <c r="AI1708" s="131"/>
    </row>
    <row r="1709" spans="1:35" ht="26.4">
      <c r="A1709" s="284"/>
      <c r="B1709" s="284"/>
      <c r="C1709" s="284"/>
      <c r="D1709" s="284"/>
      <c r="E1709" s="284"/>
      <c r="F1709" s="284"/>
      <c r="G1709" s="284"/>
      <c r="H1709" s="284"/>
      <c r="I1709" s="284"/>
      <c r="J1709" s="375"/>
      <c r="K1709" s="375"/>
      <c r="L1709" s="375"/>
      <c r="M1709" s="368"/>
      <c r="N1709" s="368"/>
      <c r="O1709" s="370"/>
      <c r="T1709" s="340"/>
      <c r="V1709" s="378"/>
      <c r="W1709" s="64" ph="1"/>
      <c r="X1709" s="241"/>
      <c r="Y1709" s="284"/>
      <c r="Z1709" s="207"/>
      <c r="AA1709" s="284"/>
      <c r="AB1709" s="284"/>
      <c r="AC1709" s="284"/>
      <c r="AD1709" s="284"/>
      <c r="AE1709" s="284"/>
      <c r="AF1709" s="284"/>
      <c r="AG1709" s="284"/>
      <c r="AI1709" s="131"/>
    </row>
    <row r="1710" spans="1:35" ht="26.4">
      <c r="A1710" s="284"/>
      <c r="B1710" s="284"/>
      <c r="C1710" s="284"/>
      <c r="D1710" s="284"/>
      <c r="E1710" s="284"/>
      <c r="F1710" s="284"/>
      <c r="G1710" s="284"/>
      <c r="H1710" s="284"/>
      <c r="I1710" s="284"/>
      <c r="J1710" s="375"/>
      <c r="K1710" s="375"/>
      <c r="L1710" s="375"/>
      <c r="M1710" s="368"/>
      <c r="N1710" s="368"/>
      <c r="O1710" s="370"/>
      <c r="T1710" s="340"/>
      <c r="V1710" s="378"/>
      <c r="W1710" s="64" ph="1"/>
      <c r="X1710" s="241"/>
      <c r="Y1710" s="284"/>
      <c r="Z1710" s="207"/>
      <c r="AA1710" s="284"/>
      <c r="AB1710" s="284"/>
      <c r="AC1710" s="284"/>
      <c r="AD1710" s="284"/>
      <c r="AE1710" s="284"/>
      <c r="AF1710" s="284"/>
      <c r="AG1710" s="284"/>
      <c r="AI1710" s="131"/>
    </row>
    <row r="1711" spans="1:35" ht="26.4">
      <c r="A1711" s="284"/>
      <c r="B1711" s="284"/>
      <c r="C1711" s="284"/>
      <c r="D1711" s="284"/>
      <c r="E1711" s="284"/>
      <c r="F1711" s="284"/>
      <c r="G1711" s="284"/>
      <c r="H1711" s="284"/>
      <c r="I1711" s="284"/>
      <c r="J1711" s="375"/>
      <c r="K1711" s="375"/>
      <c r="L1711" s="375"/>
      <c r="M1711" s="368"/>
      <c r="N1711" s="368"/>
      <c r="O1711" s="370"/>
      <c r="T1711" s="340"/>
      <c r="V1711" s="378"/>
      <c r="W1711" s="64" ph="1"/>
      <c r="X1711" s="241"/>
      <c r="Y1711" s="284"/>
      <c r="Z1711" s="207"/>
      <c r="AA1711" s="284"/>
      <c r="AB1711" s="284"/>
      <c r="AC1711" s="284"/>
      <c r="AD1711" s="284"/>
      <c r="AE1711" s="284"/>
      <c r="AF1711" s="284"/>
      <c r="AG1711" s="284"/>
      <c r="AI1711" s="131"/>
    </row>
    <row r="1712" spans="1:35" ht="26.4">
      <c r="A1712" s="284"/>
      <c r="B1712" s="284"/>
      <c r="C1712" s="284"/>
      <c r="D1712" s="284"/>
      <c r="E1712" s="284"/>
      <c r="F1712" s="284"/>
      <c r="G1712" s="284"/>
      <c r="H1712" s="284"/>
      <c r="I1712" s="284"/>
      <c r="J1712" s="375"/>
      <c r="K1712" s="375"/>
      <c r="L1712" s="375"/>
      <c r="M1712" s="368"/>
      <c r="N1712" s="368"/>
      <c r="O1712" s="370"/>
      <c r="T1712" s="340"/>
      <c r="V1712" s="378"/>
      <c r="W1712" s="64" ph="1"/>
      <c r="X1712" s="241"/>
      <c r="Y1712" s="284"/>
      <c r="Z1712" s="207"/>
      <c r="AA1712" s="284"/>
      <c r="AB1712" s="284"/>
      <c r="AC1712" s="284"/>
      <c r="AD1712" s="284"/>
      <c r="AE1712" s="284"/>
      <c r="AF1712" s="284"/>
      <c r="AG1712" s="284"/>
      <c r="AI1712" s="131"/>
    </row>
    <row r="1713" spans="1:35" ht="26.4">
      <c r="A1713" s="284"/>
      <c r="B1713" s="284"/>
      <c r="C1713" s="284"/>
      <c r="D1713" s="284"/>
      <c r="E1713" s="284"/>
      <c r="F1713" s="284"/>
      <c r="G1713" s="284"/>
      <c r="H1713" s="284"/>
      <c r="I1713" s="284"/>
      <c r="J1713" s="375"/>
      <c r="K1713" s="375"/>
      <c r="L1713" s="375"/>
      <c r="M1713" s="368"/>
      <c r="N1713" s="368"/>
      <c r="O1713" s="370"/>
      <c r="T1713" s="340"/>
      <c r="V1713" s="378"/>
      <c r="W1713" s="64" ph="1"/>
      <c r="X1713" s="241"/>
      <c r="Y1713" s="284"/>
      <c r="Z1713" s="207"/>
      <c r="AA1713" s="284"/>
      <c r="AB1713" s="284"/>
      <c r="AC1713" s="284"/>
      <c r="AD1713" s="284"/>
      <c r="AE1713" s="284"/>
      <c r="AF1713" s="284"/>
      <c r="AG1713" s="284"/>
      <c r="AI1713" s="131"/>
    </row>
    <row r="1714" spans="1:35" ht="26.4">
      <c r="A1714" s="284"/>
      <c r="B1714" s="284"/>
      <c r="C1714" s="284"/>
      <c r="D1714" s="284"/>
      <c r="E1714" s="284"/>
      <c r="F1714" s="284"/>
      <c r="G1714" s="284"/>
      <c r="H1714" s="284"/>
      <c r="I1714" s="284"/>
      <c r="J1714" s="375"/>
      <c r="K1714" s="375"/>
      <c r="L1714" s="375"/>
      <c r="M1714" s="368"/>
      <c r="N1714" s="368"/>
      <c r="O1714" s="370"/>
      <c r="T1714" s="340"/>
      <c r="V1714" s="378"/>
      <c r="W1714" s="64" ph="1"/>
      <c r="X1714" s="241"/>
      <c r="Y1714" s="284"/>
      <c r="Z1714" s="207"/>
      <c r="AA1714" s="284"/>
      <c r="AB1714" s="284"/>
      <c r="AC1714" s="284"/>
      <c r="AD1714" s="284"/>
      <c r="AE1714" s="284"/>
      <c r="AF1714" s="284"/>
      <c r="AG1714" s="284"/>
      <c r="AI1714" s="131"/>
    </row>
    <row r="1715" spans="1:35" ht="26.4">
      <c r="A1715" s="284"/>
      <c r="B1715" s="284"/>
      <c r="C1715" s="284"/>
      <c r="D1715" s="284"/>
      <c r="E1715" s="284"/>
      <c r="F1715" s="284"/>
      <c r="G1715" s="284"/>
      <c r="H1715" s="284"/>
      <c r="I1715" s="284"/>
      <c r="J1715" s="375"/>
      <c r="K1715" s="375"/>
      <c r="L1715" s="375"/>
      <c r="M1715" s="368"/>
      <c r="N1715" s="368"/>
      <c r="O1715" s="370"/>
      <c r="T1715" s="340"/>
      <c r="V1715" s="378"/>
      <c r="W1715" s="64" ph="1"/>
      <c r="X1715" s="241"/>
      <c r="Y1715" s="284"/>
      <c r="Z1715" s="207"/>
      <c r="AA1715" s="284"/>
      <c r="AB1715" s="284"/>
      <c r="AC1715" s="284"/>
      <c r="AD1715" s="284"/>
      <c r="AE1715" s="284"/>
      <c r="AF1715" s="284"/>
      <c r="AG1715" s="284"/>
      <c r="AI1715" s="131"/>
    </row>
    <row r="1716" spans="1:35" ht="26.4">
      <c r="A1716" s="284"/>
      <c r="B1716" s="284"/>
      <c r="C1716" s="284"/>
      <c r="D1716" s="284"/>
      <c r="E1716" s="284"/>
      <c r="F1716" s="284"/>
      <c r="G1716" s="284"/>
      <c r="H1716" s="284"/>
      <c r="I1716" s="284"/>
      <c r="J1716" s="375"/>
      <c r="K1716" s="375"/>
      <c r="L1716" s="375"/>
      <c r="M1716" s="368"/>
      <c r="N1716" s="368"/>
      <c r="O1716" s="370"/>
      <c r="T1716" s="340"/>
      <c r="V1716" s="378"/>
      <c r="W1716" s="64" ph="1"/>
      <c r="X1716" s="241"/>
      <c r="Y1716" s="284"/>
      <c r="Z1716" s="207"/>
      <c r="AA1716" s="284"/>
      <c r="AB1716" s="284"/>
      <c r="AC1716" s="284"/>
      <c r="AD1716" s="284"/>
      <c r="AE1716" s="284"/>
      <c r="AF1716" s="284"/>
      <c r="AG1716" s="284"/>
      <c r="AI1716" s="131"/>
    </row>
    <row r="1717" spans="1:35" ht="26.4">
      <c r="A1717" s="284"/>
      <c r="B1717" s="284"/>
      <c r="C1717" s="284"/>
      <c r="D1717" s="284"/>
      <c r="E1717" s="284"/>
      <c r="F1717" s="284"/>
      <c r="G1717" s="284"/>
      <c r="H1717" s="284"/>
      <c r="I1717" s="284"/>
      <c r="J1717" s="375"/>
      <c r="K1717" s="375"/>
      <c r="L1717" s="375"/>
      <c r="M1717" s="368"/>
      <c r="N1717" s="368"/>
      <c r="O1717" s="370"/>
      <c r="T1717" s="340"/>
      <c r="V1717" s="378"/>
      <c r="W1717" s="64" ph="1"/>
      <c r="X1717" s="241"/>
      <c r="Y1717" s="284"/>
      <c r="Z1717" s="207"/>
      <c r="AA1717" s="284"/>
      <c r="AB1717" s="284"/>
      <c r="AC1717" s="284"/>
      <c r="AD1717" s="284"/>
      <c r="AE1717" s="284"/>
      <c r="AF1717" s="284"/>
      <c r="AG1717" s="284"/>
      <c r="AI1717" s="131"/>
    </row>
    <row r="1718" spans="1:35" ht="26.4">
      <c r="A1718" s="284"/>
      <c r="B1718" s="284"/>
      <c r="C1718" s="284"/>
      <c r="D1718" s="284"/>
      <c r="E1718" s="284"/>
      <c r="F1718" s="284"/>
      <c r="G1718" s="284"/>
      <c r="H1718" s="284"/>
      <c r="I1718" s="284"/>
      <c r="J1718" s="375"/>
      <c r="K1718" s="375"/>
      <c r="L1718" s="375"/>
      <c r="M1718" s="368"/>
      <c r="N1718" s="368"/>
      <c r="O1718" s="370"/>
      <c r="T1718" s="340"/>
      <c r="V1718" s="378"/>
      <c r="W1718" s="64" ph="1"/>
      <c r="X1718" s="241"/>
      <c r="Y1718" s="284"/>
      <c r="Z1718" s="207"/>
      <c r="AA1718" s="284"/>
      <c r="AB1718" s="284"/>
      <c r="AC1718" s="284"/>
      <c r="AD1718" s="284"/>
      <c r="AE1718" s="284"/>
      <c r="AF1718" s="284"/>
      <c r="AG1718" s="284"/>
      <c r="AI1718" s="131"/>
    </row>
    <row r="1719" spans="1:35" ht="26.4">
      <c r="A1719" s="284"/>
      <c r="B1719" s="284"/>
      <c r="C1719" s="284"/>
      <c r="D1719" s="284"/>
      <c r="E1719" s="284"/>
      <c r="F1719" s="284"/>
      <c r="G1719" s="284"/>
      <c r="H1719" s="284"/>
      <c r="I1719" s="284"/>
      <c r="J1719" s="375"/>
      <c r="K1719" s="375"/>
      <c r="L1719" s="375"/>
      <c r="M1719" s="368"/>
      <c r="N1719" s="368"/>
      <c r="O1719" s="370"/>
      <c r="T1719" s="340"/>
      <c r="V1719" s="378"/>
      <c r="W1719" s="64" ph="1"/>
      <c r="X1719" s="241"/>
      <c r="Y1719" s="284"/>
      <c r="Z1719" s="207"/>
      <c r="AA1719" s="284"/>
      <c r="AB1719" s="284"/>
      <c r="AC1719" s="284"/>
      <c r="AD1719" s="284"/>
      <c r="AE1719" s="284"/>
      <c r="AF1719" s="284"/>
      <c r="AG1719" s="284"/>
      <c r="AI1719" s="131"/>
    </row>
    <row r="1720" spans="1:35" ht="26.4">
      <c r="A1720" s="284"/>
      <c r="B1720" s="284"/>
      <c r="C1720" s="284"/>
      <c r="D1720" s="284"/>
      <c r="E1720" s="284"/>
      <c r="F1720" s="284"/>
      <c r="G1720" s="284"/>
      <c r="H1720" s="284"/>
      <c r="I1720" s="284"/>
      <c r="J1720" s="375"/>
      <c r="K1720" s="375"/>
      <c r="L1720" s="375"/>
      <c r="M1720" s="368"/>
      <c r="N1720" s="368"/>
      <c r="O1720" s="370"/>
      <c r="T1720" s="340"/>
      <c r="V1720" s="378"/>
      <c r="W1720" s="64" ph="1"/>
      <c r="X1720" s="241"/>
      <c r="Y1720" s="284"/>
      <c r="Z1720" s="207"/>
      <c r="AA1720" s="284"/>
      <c r="AB1720" s="284"/>
      <c r="AC1720" s="284"/>
      <c r="AD1720" s="284"/>
      <c r="AE1720" s="284"/>
      <c r="AF1720" s="284"/>
      <c r="AG1720" s="284"/>
      <c r="AI1720" s="131"/>
    </row>
    <row r="1721" spans="1:35" ht="26.4">
      <c r="A1721" s="284"/>
      <c r="B1721" s="284"/>
      <c r="C1721" s="284"/>
      <c r="D1721" s="284"/>
      <c r="E1721" s="284"/>
      <c r="F1721" s="284"/>
      <c r="G1721" s="284"/>
      <c r="H1721" s="284"/>
      <c r="I1721" s="284"/>
      <c r="J1721" s="375"/>
      <c r="K1721" s="375"/>
      <c r="L1721" s="375"/>
      <c r="M1721" s="368"/>
      <c r="N1721" s="368"/>
      <c r="O1721" s="370"/>
      <c r="T1721" s="340"/>
      <c r="V1721" s="378"/>
      <c r="W1721" s="64" ph="1"/>
      <c r="X1721" s="241"/>
      <c r="Y1721" s="284"/>
      <c r="Z1721" s="207"/>
      <c r="AA1721" s="284"/>
      <c r="AB1721" s="284"/>
      <c r="AC1721" s="284"/>
      <c r="AD1721" s="284"/>
      <c r="AE1721" s="284"/>
      <c r="AF1721" s="284"/>
      <c r="AG1721" s="284"/>
      <c r="AI1721" s="131"/>
    </row>
    <row r="1722" spans="1:35" ht="26.4">
      <c r="A1722" s="284"/>
      <c r="B1722" s="284"/>
      <c r="C1722" s="284"/>
      <c r="D1722" s="284"/>
      <c r="E1722" s="284"/>
      <c r="F1722" s="284"/>
      <c r="G1722" s="284"/>
      <c r="H1722" s="284"/>
      <c r="I1722" s="284"/>
      <c r="J1722" s="375"/>
      <c r="K1722" s="375"/>
      <c r="L1722" s="375"/>
      <c r="M1722" s="368"/>
      <c r="N1722" s="368"/>
      <c r="O1722" s="370"/>
      <c r="T1722" s="340"/>
      <c r="V1722" s="378"/>
      <c r="W1722" s="64" ph="1"/>
      <c r="X1722" s="241"/>
      <c r="Y1722" s="284"/>
      <c r="Z1722" s="207"/>
      <c r="AA1722" s="284"/>
      <c r="AB1722" s="284"/>
      <c r="AC1722" s="284"/>
      <c r="AD1722" s="284"/>
      <c r="AE1722" s="284"/>
      <c r="AF1722" s="284"/>
      <c r="AG1722" s="284"/>
      <c r="AI1722" s="131"/>
    </row>
    <row r="1723" spans="1:35" ht="26.4">
      <c r="A1723" s="284"/>
      <c r="B1723" s="284"/>
      <c r="C1723" s="284"/>
      <c r="D1723" s="284"/>
      <c r="E1723" s="284"/>
      <c r="F1723" s="284"/>
      <c r="G1723" s="284"/>
      <c r="H1723" s="284"/>
      <c r="I1723" s="284"/>
      <c r="J1723" s="375"/>
      <c r="K1723" s="375"/>
      <c r="L1723" s="375"/>
      <c r="M1723" s="368"/>
      <c r="N1723" s="368"/>
      <c r="O1723" s="370"/>
      <c r="T1723" s="340"/>
      <c r="V1723" s="378"/>
      <c r="W1723" s="64" ph="1"/>
      <c r="X1723" s="241"/>
      <c r="Y1723" s="284"/>
      <c r="Z1723" s="207"/>
      <c r="AA1723" s="284"/>
      <c r="AB1723" s="284"/>
      <c r="AC1723" s="284"/>
      <c r="AD1723" s="284"/>
      <c r="AE1723" s="284"/>
      <c r="AF1723" s="284"/>
      <c r="AG1723" s="284"/>
      <c r="AI1723" s="131"/>
    </row>
    <row r="1724" spans="1:35" ht="26.4">
      <c r="A1724" s="284"/>
      <c r="B1724" s="284"/>
      <c r="C1724" s="284"/>
      <c r="D1724" s="284"/>
      <c r="E1724" s="284"/>
      <c r="F1724" s="284"/>
      <c r="G1724" s="284"/>
      <c r="H1724" s="284"/>
      <c r="I1724" s="284"/>
      <c r="J1724" s="375"/>
      <c r="K1724" s="375"/>
      <c r="L1724" s="375"/>
      <c r="M1724" s="368"/>
      <c r="N1724" s="368"/>
      <c r="O1724" s="370"/>
      <c r="T1724" s="340"/>
      <c r="V1724" s="378"/>
      <c r="W1724" s="64" ph="1"/>
      <c r="X1724" s="241"/>
      <c r="Y1724" s="284"/>
      <c r="Z1724" s="207"/>
      <c r="AA1724" s="284"/>
      <c r="AB1724" s="284"/>
      <c r="AC1724" s="284"/>
      <c r="AD1724" s="284"/>
      <c r="AE1724" s="284"/>
      <c r="AF1724" s="284"/>
      <c r="AG1724" s="284"/>
      <c r="AI1724" s="131"/>
    </row>
    <row r="1725" spans="1:35" ht="26.4">
      <c r="A1725" s="284"/>
      <c r="B1725" s="284"/>
      <c r="C1725" s="284"/>
      <c r="D1725" s="284"/>
      <c r="E1725" s="284"/>
      <c r="F1725" s="284"/>
      <c r="G1725" s="284"/>
      <c r="H1725" s="284"/>
      <c r="I1725" s="284"/>
      <c r="J1725" s="375"/>
      <c r="K1725" s="375"/>
      <c r="L1725" s="375"/>
      <c r="M1725" s="368"/>
      <c r="N1725" s="368"/>
      <c r="O1725" s="370"/>
      <c r="T1725" s="340"/>
      <c r="V1725" s="378"/>
      <c r="W1725" s="64" ph="1"/>
      <c r="X1725" s="241"/>
      <c r="Y1725" s="284"/>
      <c r="Z1725" s="207"/>
      <c r="AA1725" s="284"/>
      <c r="AB1725" s="284"/>
      <c r="AC1725" s="284"/>
      <c r="AD1725" s="284"/>
      <c r="AE1725" s="284"/>
      <c r="AF1725" s="284"/>
      <c r="AG1725" s="284"/>
      <c r="AI1725" s="131"/>
    </row>
    <row r="1726" spans="1:35" ht="26.4">
      <c r="A1726" s="284"/>
      <c r="B1726" s="284"/>
      <c r="C1726" s="284"/>
      <c r="D1726" s="284"/>
      <c r="E1726" s="284"/>
      <c r="F1726" s="284"/>
      <c r="G1726" s="284"/>
      <c r="H1726" s="284"/>
      <c r="I1726" s="284"/>
      <c r="J1726" s="375"/>
      <c r="K1726" s="375"/>
      <c r="L1726" s="375"/>
      <c r="M1726" s="368"/>
      <c r="N1726" s="368"/>
      <c r="O1726" s="370"/>
      <c r="T1726" s="340"/>
      <c r="V1726" s="378"/>
      <c r="W1726" s="64" ph="1"/>
      <c r="X1726" s="241"/>
      <c r="Y1726" s="284"/>
      <c r="Z1726" s="207"/>
      <c r="AA1726" s="284"/>
      <c r="AB1726" s="284"/>
      <c r="AC1726" s="284"/>
      <c r="AD1726" s="284"/>
      <c r="AE1726" s="284"/>
      <c r="AF1726" s="284"/>
      <c r="AG1726" s="284"/>
      <c r="AI1726" s="131"/>
    </row>
    <row r="1727" spans="1:35" ht="26.4">
      <c r="A1727" s="284"/>
      <c r="B1727" s="284"/>
      <c r="C1727" s="284"/>
      <c r="D1727" s="284"/>
      <c r="E1727" s="284"/>
      <c r="F1727" s="284"/>
      <c r="G1727" s="284"/>
      <c r="H1727" s="284"/>
      <c r="I1727" s="284"/>
      <c r="J1727" s="375"/>
      <c r="K1727" s="375"/>
      <c r="L1727" s="375"/>
      <c r="M1727" s="368"/>
      <c r="N1727" s="368"/>
      <c r="O1727" s="370"/>
      <c r="T1727" s="340"/>
      <c r="V1727" s="378"/>
      <c r="W1727" s="64" ph="1"/>
      <c r="X1727" s="241"/>
      <c r="Y1727" s="284"/>
      <c r="Z1727" s="207"/>
      <c r="AA1727" s="284"/>
      <c r="AB1727" s="284"/>
      <c r="AC1727" s="284"/>
      <c r="AD1727" s="284"/>
      <c r="AE1727" s="284"/>
      <c r="AF1727" s="284"/>
      <c r="AG1727" s="284"/>
      <c r="AI1727" s="131"/>
    </row>
    <row r="1728" spans="1:35" ht="26.4">
      <c r="A1728" s="284"/>
      <c r="B1728" s="284"/>
      <c r="C1728" s="284"/>
      <c r="D1728" s="284"/>
      <c r="E1728" s="284"/>
      <c r="F1728" s="284"/>
      <c r="G1728" s="284"/>
      <c r="H1728" s="284"/>
      <c r="I1728" s="284"/>
      <c r="J1728" s="375"/>
      <c r="K1728" s="375"/>
      <c r="L1728" s="375"/>
      <c r="M1728" s="368"/>
      <c r="N1728" s="368"/>
      <c r="O1728" s="370"/>
      <c r="T1728" s="340"/>
      <c r="V1728" s="378"/>
      <c r="W1728" s="64" ph="1"/>
      <c r="X1728" s="241"/>
      <c r="Y1728" s="284"/>
      <c r="Z1728" s="207"/>
      <c r="AA1728" s="284"/>
      <c r="AB1728" s="284"/>
      <c r="AC1728" s="284"/>
      <c r="AD1728" s="284"/>
      <c r="AE1728" s="284"/>
      <c r="AF1728" s="284"/>
      <c r="AG1728" s="284"/>
      <c r="AI1728" s="131"/>
    </row>
    <row r="1729" spans="1:35" ht="26.4">
      <c r="A1729" s="284"/>
      <c r="B1729" s="284"/>
      <c r="C1729" s="284"/>
      <c r="D1729" s="284"/>
      <c r="E1729" s="284"/>
      <c r="F1729" s="284"/>
      <c r="G1729" s="284"/>
      <c r="H1729" s="284"/>
      <c r="I1729" s="284"/>
      <c r="J1729" s="375"/>
      <c r="K1729" s="375"/>
      <c r="L1729" s="375"/>
      <c r="M1729" s="368"/>
      <c r="N1729" s="368"/>
      <c r="O1729" s="370"/>
      <c r="T1729" s="340"/>
      <c r="V1729" s="378"/>
      <c r="W1729" s="64" ph="1"/>
      <c r="X1729" s="241"/>
      <c r="Y1729" s="284"/>
      <c r="Z1729" s="207"/>
      <c r="AA1729" s="284"/>
      <c r="AB1729" s="284"/>
      <c r="AC1729" s="284"/>
      <c r="AD1729" s="284"/>
      <c r="AE1729" s="284"/>
      <c r="AF1729" s="284"/>
      <c r="AG1729" s="284"/>
      <c r="AI1729" s="131"/>
    </row>
    <row r="1730" spans="1:35" ht="26.4">
      <c r="A1730" s="284"/>
      <c r="B1730" s="284"/>
      <c r="C1730" s="284"/>
      <c r="D1730" s="284"/>
      <c r="E1730" s="284"/>
      <c r="F1730" s="284"/>
      <c r="G1730" s="284"/>
      <c r="H1730" s="284"/>
      <c r="I1730" s="284"/>
      <c r="J1730" s="375"/>
      <c r="K1730" s="375"/>
      <c r="L1730" s="375"/>
      <c r="M1730" s="368"/>
      <c r="N1730" s="368"/>
      <c r="O1730" s="370"/>
      <c r="T1730" s="340"/>
      <c r="V1730" s="378"/>
      <c r="W1730" s="64" ph="1"/>
      <c r="X1730" s="241"/>
      <c r="Y1730" s="284"/>
      <c r="Z1730" s="207"/>
      <c r="AA1730" s="284"/>
      <c r="AB1730" s="284"/>
      <c r="AC1730" s="284"/>
      <c r="AD1730" s="284"/>
      <c r="AE1730" s="284"/>
      <c r="AF1730" s="284"/>
      <c r="AG1730" s="284"/>
      <c r="AI1730" s="131"/>
    </row>
    <row r="1731" spans="1:35" ht="26.4">
      <c r="A1731" s="284"/>
      <c r="B1731" s="284"/>
      <c r="C1731" s="284"/>
      <c r="D1731" s="284"/>
      <c r="E1731" s="284"/>
      <c r="F1731" s="284"/>
      <c r="G1731" s="284"/>
      <c r="H1731" s="284"/>
      <c r="I1731" s="284"/>
      <c r="J1731" s="375"/>
      <c r="K1731" s="375"/>
      <c r="L1731" s="375"/>
      <c r="M1731" s="368"/>
      <c r="N1731" s="368"/>
      <c r="O1731" s="370"/>
      <c r="T1731" s="340"/>
      <c r="V1731" s="378"/>
      <c r="W1731" s="64" ph="1"/>
      <c r="X1731" s="241"/>
      <c r="Y1731" s="284"/>
      <c r="Z1731" s="207"/>
      <c r="AA1731" s="284"/>
      <c r="AB1731" s="284"/>
      <c r="AC1731" s="284"/>
      <c r="AD1731" s="284"/>
      <c r="AE1731" s="284"/>
      <c r="AF1731" s="284"/>
      <c r="AG1731" s="284"/>
      <c r="AI1731" s="131"/>
    </row>
    <row r="1732" spans="1:35" ht="26.4">
      <c r="A1732" s="284"/>
      <c r="B1732" s="284"/>
      <c r="C1732" s="284"/>
      <c r="D1732" s="284"/>
      <c r="E1732" s="284"/>
      <c r="F1732" s="284"/>
      <c r="G1732" s="284"/>
      <c r="H1732" s="284"/>
      <c r="I1732" s="284"/>
      <c r="J1732" s="375"/>
      <c r="K1732" s="375"/>
      <c r="L1732" s="375"/>
      <c r="M1732" s="368"/>
      <c r="N1732" s="368"/>
      <c r="O1732" s="370"/>
      <c r="T1732" s="340"/>
      <c r="V1732" s="378"/>
      <c r="W1732" s="64" ph="1"/>
      <c r="X1732" s="241"/>
      <c r="Y1732" s="284"/>
      <c r="Z1732" s="207"/>
      <c r="AA1732" s="284"/>
      <c r="AB1732" s="284"/>
      <c r="AC1732" s="284"/>
      <c r="AD1732" s="284"/>
      <c r="AE1732" s="284"/>
      <c r="AF1732" s="284"/>
      <c r="AG1732" s="284"/>
      <c r="AI1732" s="131"/>
    </row>
    <row r="1733" spans="1:35" ht="26.4">
      <c r="A1733" s="284"/>
      <c r="B1733" s="284"/>
      <c r="C1733" s="284"/>
      <c r="D1733" s="284"/>
      <c r="E1733" s="284"/>
      <c r="F1733" s="284"/>
      <c r="G1733" s="284"/>
      <c r="H1733" s="284"/>
      <c r="I1733" s="284"/>
      <c r="J1733" s="375"/>
      <c r="K1733" s="375"/>
      <c r="L1733" s="375"/>
      <c r="M1733" s="368"/>
      <c r="N1733" s="368"/>
      <c r="O1733" s="370"/>
      <c r="T1733" s="340"/>
      <c r="V1733" s="378"/>
      <c r="W1733" s="64" ph="1"/>
      <c r="X1733" s="241"/>
      <c r="Y1733" s="284"/>
      <c r="Z1733" s="207"/>
      <c r="AA1733" s="284"/>
      <c r="AB1733" s="284"/>
      <c r="AC1733" s="284"/>
      <c r="AD1733" s="284"/>
      <c r="AE1733" s="284"/>
      <c r="AF1733" s="284"/>
      <c r="AG1733" s="284"/>
      <c r="AI1733" s="131"/>
    </row>
    <row r="1734" spans="1:35" ht="26.4">
      <c r="A1734" s="284"/>
      <c r="B1734" s="284"/>
      <c r="C1734" s="284"/>
      <c r="D1734" s="284"/>
      <c r="E1734" s="284"/>
      <c r="F1734" s="284"/>
      <c r="G1734" s="284"/>
      <c r="H1734" s="284"/>
      <c r="I1734" s="284"/>
      <c r="J1734" s="375"/>
      <c r="K1734" s="375"/>
      <c r="L1734" s="375"/>
      <c r="M1734" s="368"/>
      <c r="N1734" s="368"/>
      <c r="O1734" s="370"/>
      <c r="T1734" s="340"/>
      <c r="V1734" s="378"/>
      <c r="W1734" s="64" ph="1"/>
      <c r="X1734" s="241"/>
      <c r="Y1734" s="284"/>
      <c r="Z1734" s="207"/>
      <c r="AA1734" s="284"/>
      <c r="AB1734" s="284"/>
      <c r="AC1734" s="284"/>
      <c r="AD1734" s="284"/>
      <c r="AE1734" s="284"/>
      <c r="AF1734" s="284"/>
      <c r="AG1734" s="284"/>
      <c r="AI1734" s="131"/>
    </row>
    <row r="1735" spans="1:35" ht="26.4">
      <c r="A1735" s="284"/>
      <c r="B1735" s="284"/>
      <c r="C1735" s="284"/>
      <c r="D1735" s="284"/>
      <c r="E1735" s="284"/>
      <c r="F1735" s="284"/>
      <c r="G1735" s="284"/>
      <c r="H1735" s="284"/>
      <c r="I1735" s="284"/>
      <c r="J1735" s="375"/>
      <c r="K1735" s="375"/>
      <c r="L1735" s="375"/>
      <c r="M1735" s="368"/>
      <c r="N1735" s="368"/>
      <c r="O1735" s="370"/>
      <c r="T1735" s="340"/>
      <c r="V1735" s="378"/>
      <c r="W1735" s="64" ph="1"/>
      <c r="X1735" s="241"/>
      <c r="Y1735" s="284"/>
      <c r="Z1735" s="207"/>
      <c r="AA1735" s="284"/>
      <c r="AB1735" s="284"/>
      <c r="AC1735" s="284"/>
      <c r="AD1735" s="284"/>
      <c r="AE1735" s="284"/>
      <c r="AF1735" s="284"/>
      <c r="AG1735" s="284"/>
      <c r="AI1735" s="131"/>
    </row>
    <row r="1736" spans="1:35" ht="26.4">
      <c r="A1736" s="284"/>
      <c r="B1736" s="284"/>
      <c r="C1736" s="284"/>
      <c r="D1736" s="284"/>
      <c r="E1736" s="284"/>
      <c r="F1736" s="284"/>
      <c r="G1736" s="284"/>
      <c r="H1736" s="284"/>
      <c r="I1736" s="284"/>
      <c r="J1736" s="375"/>
      <c r="K1736" s="375"/>
      <c r="L1736" s="375"/>
      <c r="M1736" s="368"/>
      <c r="N1736" s="368"/>
      <c r="O1736" s="370"/>
      <c r="T1736" s="340"/>
      <c r="V1736" s="378"/>
      <c r="W1736" s="64" ph="1"/>
      <c r="X1736" s="241"/>
      <c r="Y1736" s="284"/>
      <c r="Z1736" s="207"/>
      <c r="AA1736" s="284"/>
      <c r="AB1736" s="284"/>
      <c r="AC1736" s="284"/>
      <c r="AD1736" s="284"/>
      <c r="AE1736" s="284"/>
      <c r="AF1736" s="284"/>
      <c r="AG1736" s="284"/>
      <c r="AI1736" s="131"/>
    </row>
    <row r="1737" spans="1:35" ht="26.4">
      <c r="A1737" s="284"/>
      <c r="B1737" s="284"/>
      <c r="C1737" s="284"/>
      <c r="D1737" s="284"/>
      <c r="E1737" s="284"/>
      <c r="F1737" s="284"/>
      <c r="G1737" s="284"/>
      <c r="H1737" s="284"/>
      <c r="I1737" s="284"/>
      <c r="J1737" s="375"/>
      <c r="K1737" s="375"/>
      <c r="L1737" s="375"/>
      <c r="M1737" s="368"/>
      <c r="N1737" s="368"/>
      <c r="O1737" s="370"/>
      <c r="T1737" s="340"/>
      <c r="V1737" s="378"/>
      <c r="W1737" s="64" ph="1"/>
      <c r="X1737" s="241"/>
      <c r="Y1737" s="284"/>
      <c r="Z1737" s="207"/>
      <c r="AA1737" s="284"/>
      <c r="AB1737" s="284"/>
      <c r="AC1737" s="284"/>
      <c r="AD1737" s="284"/>
      <c r="AE1737" s="284"/>
      <c r="AF1737" s="284"/>
      <c r="AG1737" s="284"/>
      <c r="AI1737" s="131"/>
    </row>
    <row r="1738" spans="1:35" ht="26.4">
      <c r="A1738" s="284"/>
      <c r="B1738" s="284"/>
      <c r="C1738" s="284"/>
      <c r="D1738" s="284"/>
      <c r="E1738" s="284"/>
      <c r="F1738" s="284"/>
      <c r="G1738" s="284"/>
      <c r="H1738" s="284"/>
      <c r="I1738" s="284"/>
      <c r="J1738" s="375"/>
      <c r="K1738" s="375"/>
      <c r="L1738" s="375"/>
      <c r="M1738" s="368"/>
      <c r="N1738" s="368"/>
      <c r="O1738" s="370"/>
      <c r="T1738" s="340"/>
      <c r="V1738" s="378"/>
      <c r="W1738" s="64" ph="1"/>
      <c r="X1738" s="241"/>
      <c r="Y1738" s="284"/>
      <c r="Z1738" s="207"/>
      <c r="AA1738" s="284"/>
      <c r="AB1738" s="284"/>
      <c r="AC1738" s="284"/>
      <c r="AD1738" s="284"/>
      <c r="AE1738" s="284"/>
      <c r="AF1738" s="284"/>
      <c r="AG1738" s="284"/>
      <c r="AI1738" s="131"/>
    </row>
    <row r="1739" spans="1:35" ht="26.4">
      <c r="A1739" s="284"/>
      <c r="B1739" s="284"/>
      <c r="C1739" s="284"/>
      <c r="D1739" s="284"/>
      <c r="E1739" s="284"/>
      <c r="F1739" s="284"/>
      <c r="G1739" s="284"/>
      <c r="H1739" s="284"/>
      <c r="I1739" s="284"/>
      <c r="J1739" s="375"/>
      <c r="K1739" s="375"/>
      <c r="L1739" s="375"/>
      <c r="M1739" s="368"/>
      <c r="N1739" s="368"/>
      <c r="O1739" s="370"/>
      <c r="T1739" s="340"/>
      <c r="V1739" s="378"/>
      <c r="W1739" s="64" ph="1"/>
      <c r="X1739" s="241"/>
      <c r="Y1739" s="284"/>
      <c r="Z1739" s="207"/>
      <c r="AA1739" s="284"/>
      <c r="AB1739" s="284"/>
      <c r="AC1739" s="284"/>
      <c r="AD1739" s="284"/>
      <c r="AE1739" s="284"/>
      <c r="AF1739" s="284"/>
      <c r="AG1739" s="284"/>
      <c r="AI1739" s="131"/>
    </row>
    <row r="1740" spans="1:35" ht="26.4">
      <c r="A1740" s="284"/>
      <c r="B1740" s="284"/>
      <c r="C1740" s="284"/>
      <c r="D1740" s="284"/>
      <c r="E1740" s="284"/>
      <c r="F1740" s="284"/>
      <c r="G1740" s="284"/>
      <c r="H1740" s="284"/>
      <c r="I1740" s="284"/>
      <c r="J1740" s="375"/>
      <c r="K1740" s="375"/>
      <c r="L1740" s="375"/>
      <c r="M1740" s="368"/>
      <c r="N1740" s="368"/>
      <c r="O1740" s="370"/>
      <c r="T1740" s="340"/>
      <c r="V1740" s="378"/>
      <c r="W1740" s="64" ph="1"/>
      <c r="X1740" s="241"/>
      <c r="Y1740" s="284"/>
      <c r="Z1740" s="207"/>
      <c r="AA1740" s="284"/>
      <c r="AB1740" s="284"/>
      <c r="AC1740" s="284"/>
      <c r="AD1740" s="284"/>
      <c r="AE1740" s="284"/>
      <c r="AF1740" s="284"/>
      <c r="AG1740" s="284"/>
      <c r="AI1740" s="131"/>
    </row>
    <row r="1741" spans="1:35" ht="26.4">
      <c r="A1741" s="284"/>
      <c r="B1741" s="284"/>
      <c r="C1741" s="284"/>
      <c r="D1741" s="284"/>
      <c r="E1741" s="284"/>
      <c r="F1741" s="284"/>
      <c r="G1741" s="284"/>
      <c r="H1741" s="284"/>
      <c r="I1741" s="284"/>
      <c r="J1741" s="375"/>
      <c r="K1741" s="375"/>
      <c r="L1741" s="375"/>
      <c r="M1741" s="368"/>
      <c r="N1741" s="368"/>
      <c r="O1741" s="370"/>
      <c r="T1741" s="340"/>
      <c r="V1741" s="378"/>
      <c r="W1741" s="64" ph="1"/>
      <c r="X1741" s="241"/>
      <c r="Y1741" s="284"/>
      <c r="Z1741" s="207"/>
      <c r="AA1741" s="284"/>
      <c r="AB1741" s="284"/>
      <c r="AC1741" s="284"/>
      <c r="AD1741" s="284"/>
      <c r="AE1741" s="284"/>
      <c r="AF1741" s="284"/>
      <c r="AG1741" s="284"/>
      <c r="AI1741" s="131"/>
    </row>
    <row r="1742" spans="1:35" ht="26.4">
      <c r="A1742" s="284"/>
      <c r="B1742" s="284"/>
      <c r="C1742" s="284"/>
      <c r="D1742" s="284"/>
      <c r="E1742" s="284"/>
      <c r="F1742" s="284"/>
      <c r="G1742" s="284"/>
      <c r="H1742" s="284"/>
      <c r="I1742" s="284"/>
      <c r="J1742" s="375"/>
      <c r="K1742" s="375"/>
      <c r="L1742" s="375"/>
      <c r="M1742" s="368"/>
      <c r="N1742" s="368"/>
      <c r="O1742" s="370"/>
      <c r="T1742" s="340"/>
      <c r="V1742" s="378"/>
      <c r="W1742" s="64" ph="1"/>
      <c r="X1742" s="241"/>
      <c r="Y1742" s="284"/>
      <c r="Z1742" s="207"/>
      <c r="AA1742" s="284"/>
      <c r="AB1742" s="284"/>
      <c r="AC1742" s="284"/>
      <c r="AD1742" s="284"/>
      <c r="AE1742" s="284"/>
      <c r="AF1742" s="284"/>
      <c r="AG1742" s="284"/>
      <c r="AI1742" s="131"/>
    </row>
    <row r="1743" spans="1:35" ht="26.4">
      <c r="A1743" s="284"/>
      <c r="B1743" s="284"/>
      <c r="C1743" s="284"/>
      <c r="D1743" s="284"/>
      <c r="E1743" s="284"/>
      <c r="F1743" s="284"/>
      <c r="G1743" s="284"/>
      <c r="H1743" s="284"/>
      <c r="I1743" s="284"/>
      <c r="J1743" s="375"/>
      <c r="K1743" s="375"/>
      <c r="L1743" s="375"/>
      <c r="M1743" s="368"/>
      <c r="N1743" s="368"/>
      <c r="O1743" s="370"/>
      <c r="T1743" s="340"/>
      <c r="V1743" s="378"/>
      <c r="W1743" s="64" ph="1"/>
      <c r="X1743" s="241"/>
      <c r="Y1743" s="284"/>
      <c r="Z1743" s="207"/>
      <c r="AA1743" s="284"/>
      <c r="AB1743" s="284"/>
      <c r="AC1743" s="284"/>
      <c r="AD1743" s="284"/>
      <c r="AE1743" s="284"/>
      <c r="AF1743" s="284"/>
      <c r="AG1743" s="284"/>
      <c r="AI1743" s="131"/>
    </row>
    <row r="1744" spans="1:35" ht="26.4">
      <c r="A1744" s="284"/>
      <c r="B1744" s="284"/>
      <c r="C1744" s="284"/>
      <c r="D1744" s="284"/>
      <c r="E1744" s="284"/>
      <c r="F1744" s="284"/>
      <c r="G1744" s="284"/>
      <c r="H1744" s="284"/>
      <c r="I1744" s="284"/>
      <c r="J1744" s="375"/>
      <c r="K1744" s="375"/>
      <c r="L1744" s="375"/>
      <c r="M1744" s="368"/>
      <c r="N1744" s="368"/>
      <c r="O1744" s="370"/>
      <c r="T1744" s="340"/>
      <c r="V1744" s="378"/>
      <c r="W1744" s="64" ph="1"/>
      <c r="X1744" s="241"/>
      <c r="Y1744" s="284"/>
      <c r="Z1744" s="207"/>
      <c r="AA1744" s="284"/>
      <c r="AB1744" s="284"/>
      <c r="AC1744" s="284"/>
      <c r="AD1744" s="284"/>
      <c r="AE1744" s="284"/>
      <c r="AF1744" s="284"/>
      <c r="AG1744" s="284"/>
      <c r="AI1744" s="131"/>
    </row>
    <row r="1745" spans="1:35" ht="26.4">
      <c r="A1745" s="284"/>
      <c r="B1745" s="284"/>
      <c r="C1745" s="284"/>
      <c r="D1745" s="284"/>
      <c r="E1745" s="284"/>
      <c r="F1745" s="284"/>
      <c r="G1745" s="284"/>
      <c r="H1745" s="284"/>
      <c r="I1745" s="284"/>
      <c r="J1745" s="375"/>
      <c r="K1745" s="375"/>
      <c r="L1745" s="375"/>
      <c r="M1745" s="368"/>
      <c r="N1745" s="368"/>
      <c r="O1745" s="370"/>
      <c r="T1745" s="340"/>
      <c r="V1745" s="378"/>
      <c r="W1745" s="64" ph="1"/>
      <c r="X1745" s="241"/>
      <c r="Y1745" s="284"/>
      <c r="Z1745" s="207"/>
      <c r="AA1745" s="284"/>
      <c r="AB1745" s="284"/>
      <c r="AC1745" s="284"/>
      <c r="AD1745" s="284"/>
      <c r="AE1745" s="284"/>
      <c r="AF1745" s="284"/>
      <c r="AG1745" s="284"/>
      <c r="AI1745" s="131"/>
    </row>
    <row r="1746" spans="1:35" ht="26.4">
      <c r="A1746" s="284"/>
      <c r="B1746" s="284"/>
      <c r="C1746" s="284"/>
      <c r="D1746" s="284"/>
      <c r="E1746" s="284"/>
      <c r="F1746" s="284"/>
      <c r="G1746" s="284"/>
      <c r="H1746" s="284"/>
      <c r="I1746" s="284"/>
      <c r="J1746" s="375"/>
      <c r="K1746" s="375"/>
      <c r="L1746" s="375"/>
      <c r="M1746" s="368"/>
      <c r="N1746" s="368"/>
      <c r="O1746" s="370"/>
      <c r="T1746" s="340"/>
      <c r="V1746" s="378"/>
      <c r="W1746" s="64" ph="1"/>
      <c r="X1746" s="241"/>
      <c r="Y1746" s="284"/>
      <c r="Z1746" s="207"/>
      <c r="AA1746" s="284"/>
      <c r="AB1746" s="284"/>
      <c r="AC1746" s="284"/>
      <c r="AD1746" s="284"/>
      <c r="AE1746" s="284"/>
      <c r="AF1746" s="284"/>
      <c r="AG1746" s="284"/>
      <c r="AI1746" s="131"/>
    </row>
    <row r="1747" spans="1:35" ht="26.4">
      <c r="A1747" s="284"/>
      <c r="B1747" s="284"/>
      <c r="C1747" s="284"/>
      <c r="D1747" s="284"/>
      <c r="E1747" s="284"/>
      <c r="F1747" s="284"/>
      <c r="G1747" s="284"/>
      <c r="H1747" s="284"/>
      <c r="I1747" s="284"/>
      <c r="J1747" s="375"/>
      <c r="K1747" s="375"/>
      <c r="L1747" s="375"/>
      <c r="M1747" s="368"/>
      <c r="N1747" s="368"/>
      <c r="O1747" s="370"/>
      <c r="T1747" s="340"/>
      <c r="V1747" s="378"/>
      <c r="W1747" s="64" ph="1"/>
      <c r="X1747" s="241"/>
      <c r="Y1747" s="284"/>
      <c r="Z1747" s="207"/>
      <c r="AA1747" s="284"/>
      <c r="AB1747" s="284"/>
      <c r="AC1747" s="284"/>
      <c r="AD1747" s="284"/>
      <c r="AE1747" s="284"/>
      <c r="AF1747" s="284"/>
      <c r="AG1747" s="284"/>
      <c r="AI1747" s="131"/>
    </row>
    <row r="1748" spans="1:35" ht="26.4">
      <c r="A1748" s="284"/>
      <c r="B1748" s="284"/>
      <c r="C1748" s="284"/>
      <c r="D1748" s="284"/>
      <c r="E1748" s="284"/>
      <c r="F1748" s="284"/>
      <c r="G1748" s="284"/>
      <c r="H1748" s="284"/>
      <c r="I1748" s="284"/>
      <c r="J1748" s="375"/>
      <c r="K1748" s="375"/>
      <c r="L1748" s="375"/>
      <c r="M1748" s="368"/>
      <c r="N1748" s="368"/>
      <c r="O1748" s="370"/>
      <c r="T1748" s="340"/>
      <c r="V1748" s="378"/>
      <c r="W1748" s="64" ph="1"/>
      <c r="X1748" s="241"/>
      <c r="Y1748" s="284"/>
      <c r="Z1748" s="207"/>
      <c r="AA1748" s="284"/>
      <c r="AB1748" s="284"/>
      <c r="AC1748" s="284"/>
      <c r="AD1748" s="284"/>
      <c r="AE1748" s="284"/>
      <c r="AF1748" s="284"/>
      <c r="AG1748" s="284"/>
      <c r="AI1748" s="131"/>
    </row>
    <row r="1749" spans="1:35" ht="26.4">
      <c r="A1749" s="284"/>
      <c r="B1749" s="284"/>
      <c r="C1749" s="284"/>
      <c r="D1749" s="284"/>
      <c r="E1749" s="284"/>
      <c r="F1749" s="284"/>
      <c r="G1749" s="284"/>
      <c r="H1749" s="284"/>
      <c r="I1749" s="284"/>
      <c r="J1749" s="375"/>
      <c r="K1749" s="375"/>
      <c r="L1749" s="375"/>
      <c r="M1749" s="368"/>
      <c r="N1749" s="368"/>
      <c r="O1749" s="370"/>
      <c r="T1749" s="340"/>
      <c r="V1749" s="378"/>
      <c r="W1749" s="64" ph="1"/>
      <c r="X1749" s="241"/>
      <c r="Y1749" s="284"/>
      <c r="Z1749" s="207"/>
      <c r="AA1749" s="284"/>
      <c r="AB1749" s="284"/>
      <c r="AC1749" s="284"/>
      <c r="AD1749" s="284"/>
      <c r="AE1749" s="284"/>
      <c r="AF1749" s="284"/>
      <c r="AG1749" s="284"/>
      <c r="AI1749" s="284"/>
    </row>
    <row r="1750" spans="1:35" ht="26.4">
      <c r="A1750" s="284"/>
      <c r="B1750" s="284"/>
      <c r="C1750" s="284"/>
      <c r="D1750" s="284"/>
      <c r="E1750" s="284"/>
      <c r="F1750" s="284"/>
      <c r="G1750" s="284"/>
      <c r="H1750" s="284"/>
      <c r="I1750" s="284"/>
      <c r="J1750" s="375"/>
      <c r="K1750" s="375"/>
      <c r="L1750" s="375"/>
      <c r="M1750" s="368"/>
      <c r="N1750" s="368"/>
      <c r="O1750" s="370"/>
      <c r="T1750" s="340"/>
      <c r="V1750" s="378"/>
      <c r="W1750" s="64" ph="1"/>
      <c r="X1750" s="241"/>
      <c r="Y1750" s="284"/>
      <c r="Z1750" s="207"/>
      <c r="AA1750" s="284"/>
      <c r="AB1750" s="284"/>
      <c r="AC1750" s="284"/>
      <c r="AD1750" s="284"/>
      <c r="AE1750" s="284"/>
      <c r="AF1750" s="284"/>
      <c r="AG1750" s="284"/>
      <c r="AI1750" s="284"/>
    </row>
    <row r="1751" spans="1:35" ht="26.4">
      <c r="A1751" s="284"/>
      <c r="B1751" s="284"/>
      <c r="C1751" s="284"/>
      <c r="D1751" s="284"/>
      <c r="E1751" s="284"/>
      <c r="F1751" s="284"/>
      <c r="G1751" s="284"/>
      <c r="H1751" s="284"/>
      <c r="I1751" s="284"/>
      <c r="J1751" s="375"/>
      <c r="K1751" s="375"/>
      <c r="L1751" s="375"/>
      <c r="M1751" s="368"/>
      <c r="N1751" s="368"/>
      <c r="O1751" s="370"/>
      <c r="T1751" s="340"/>
      <c r="V1751" s="378"/>
      <c r="W1751" s="64" ph="1"/>
      <c r="X1751" s="241"/>
      <c r="Y1751" s="284"/>
      <c r="Z1751" s="207"/>
      <c r="AA1751" s="284"/>
      <c r="AB1751" s="284"/>
      <c r="AC1751" s="284"/>
      <c r="AD1751" s="284"/>
      <c r="AE1751" s="284"/>
      <c r="AF1751" s="284"/>
      <c r="AG1751" s="284"/>
      <c r="AI1751" s="131"/>
    </row>
    <row r="1752" spans="1:35" ht="26.4">
      <c r="A1752" s="284"/>
      <c r="B1752" s="284"/>
      <c r="C1752" s="284"/>
      <c r="D1752" s="284"/>
      <c r="E1752" s="284"/>
      <c r="F1752" s="284"/>
      <c r="G1752" s="284"/>
      <c r="H1752" s="284"/>
      <c r="I1752" s="284"/>
      <c r="J1752" s="375"/>
      <c r="K1752" s="375"/>
      <c r="L1752" s="375"/>
      <c r="M1752" s="368"/>
      <c r="N1752" s="368"/>
      <c r="O1752" s="370"/>
      <c r="T1752" s="340"/>
      <c r="V1752" s="378"/>
      <c r="W1752" s="64" ph="1"/>
      <c r="X1752" s="241"/>
      <c r="Y1752" s="284"/>
      <c r="Z1752" s="207"/>
      <c r="AA1752" s="284"/>
      <c r="AB1752" s="284"/>
      <c r="AC1752" s="284"/>
      <c r="AD1752" s="284"/>
      <c r="AE1752" s="284"/>
      <c r="AF1752" s="284"/>
      <c r="AG1752" s="284"/>
      <c r="AI1752" s="131"/>
    </row>
    <row r="1753" spans="1:35" ht="26.4">
      <c r="A1753" s="284"/>
      <c r="B1753" s="284"/>
      <c r="C1753" s="284"/>
      <c r="D1753" s="284"/>
      <c r="E1753" s="284"/>
      <c r="F1753" s="284"/>
      <c r="G1753" s="284"/>
      <c r="H1753" s="284"/>
      <c r="I1753" s="284"/>
      <c r="J1753" s="375"/>
      <c r="K1753" s="375"/>
      <c r="L1753" s="375"/>
      <c r="M1753" s="368"/>
      <c r="N1753" s="368"/>
      <c r="O1753" s="370"/>
      <c r="T1753" s="340"/>
      <c r="V1753" s="378"/>
      <c r="W1753" s="64" ph="1"/>
      <c r="X1753" s="241"/>
      <c r="Y1753" s="284"/>
      <c r="Z1753" s="207"/>
      <c r="AA1753" s="284"/>
      <c r="AB1753" s="284"/>
      <c r="AC1753" s="284"/>
      <c r="AD1753" s="284"/>
      <c r="AE1753" s="284"/>
      <c r="AF1753" s="284"/>
      <c r="AG1753" s="284"/>
      <c r="AI1753" s="131"/>
    </row>
    <row r="1754" spans="1:35" ht="26.4">
      <c r="A1754" s="284"/>
      <c r="B1754" s="284"/>
      <c r="C1754" s="284"/>
      <c r="D1754" s="284"/>
      <c r="E1754" s="284"/>
      <c r="F1754" s="284"/>
      <c r="G1754" s="284"/>
      <c r="H1754" s="284"/>
      <c r="I1754" s="284"/>
      <c r="J1754" s="375"/>
      <c r="K1754" s="375"/>
      <c r="L1754" s="375"/>
      <c r="M1754" s="368"/>
      <c r="N1754" s="368"/>
      <c r="O1754" s="370"/>
      <c r="T1754" s="340"/>
      <c r="V1754" s="378"/>
      <c r="W1754" s="64" ph="1"/>
      <c r="X1754" s="241"/>
      <c r="Y1754" s="284"/>
      <c r="Z1754" s="207"/>
      <c r="AA1754" s="284"/>
      <c r="AB1754" s="284"/>
      <c r="AC1754" s="284"/>
      <c r="AD1754" s="284"/>
      <c r="AE1754" s="284"/>
      <c r="AF1754" s="284"/>
      <c r="AG1754" s="284"/>
      <c r="AI1754" s="131"/>
    </row>
    <row r="1755" spans="1:35" ht="26.4">
      <c r="A1755" s="284"/>
      <c r="B1755" s="284"/>
      <c r="C1755" s="284"/>
      <c r="D1755" s="284"/>
      <c r="E1755" s="284"/>
      <c r="F1755" s="284"/>
      <c r="G1755" s="284"/>
      <c r="H1755" s="284"/>
      <c r="I1755" s="284"/>
      <c r="J1755" s="375"/>
      <c r="K1755" s="375"/>
      <c r="L1755" s="375"/>
      <c r="M1755" s="368"/>
      <c r="N1755" s="368"/>
      <c r="O1755" s="370"/>
      <c r="T1755" s="340"/>
      <c r="V1755" s="378"/>
      <c r="W1755" s="64" ph="1"/>
      <c r="X1755" s="241"/>
      <c r="Y1755" s="284"/>
      <c r="Z1755" s="207"/>
      <c r="AA1755" s="284"/>
      <c r="AB1755" s="284"/>
      <c r="AC1755" s="284"/>
      <c r="AD1755" s="284"/>
      <c r="AE1755" s="284"/>
      <c r="AF1755" s="284"/>
      <c r="AG1755" s="284"/>
      <c r="AI1755" s="131"/>
    </row>
    <row r="1756" spans="1:35" ht="26.4">
      <c r="A1756" s="284"/>
      <c r="B1756" s="284"/>
      <c r="C1756" s="284"/>
      <c r="D1756" s="284"/>
      <c r="E1756" s="284"/>
      <c r="F1756" s="284"/>
      <c r="G1756" s="284"/>
      <c r="H1756" s="284"/>
      <c r="I1756" s="284"/>
      <c r="J1756" s="375"/>
      <c r="K1756" s="375"/>
      <c r="L1756" s="375"/>
      <c r="M1756" s="368"/>
      <c r="N1756" s="368"/>
      <c r="O1756" s="370"/>
      <c r="T1756" s="340"/>
      <c r="V1756" s="378"/>
      <c r="W1756" s="64" ph="1"/>
      <c r="X1756" s="241"/>
      <c r="Y1756" s="284"/>
      <c r="Z1756" s="207"/>
      <c r="AA1756" s="284"/>
      <c r="AB1756" s="284"/>
      <c r="AC1756" s="284"/>
      <c r="AD1756" s="284"/>
      <c r="AE1756" s="284"/>
      <c r="AF1756" s="284"/>
      <c r="AG1756" s="284"/>
      <c r="AI1756" s="131"/>
    </row>
    <row r="1757" spans="1:35" ht="26.4">
      <c r="A1757" s="284"/>
      <c r="B1757" s="284"/>
      <c r="C1757" s="284"/>
      <c r="D1757" s="284"/>
      <c r="E1757" s="284"/>
      <c r="F1757" s="284"/>
      <c r="G1757" s="284"/>
      <c r="H1757" s="284"/>
      <c r="I1757" s="284"/>
      <c r="J1757" s="375"/>
      <c r="K1757" s="375"/>
      <c r="L1757" s="375"/>
      <c r="M1757" s="368"/>
      <c r="N1757" s="368"/>
      <c r="O1757" s="370"/>
      <c r="T1757" s="340"/>
      <c r="V1757" s="378"/>
      <c r="W1757" s="64" ph="1"/>
      <c r="X1757" s="241"/>
      <c r="Y1757" s="284"/>
      <c r="Z1757" s="207"/>
      <c r="AA1757" s="284"/>
      <c r="AB1757" s="284"/>
      <c r="AC1757" s="284"/>
      <c r="AD1757" s="284"/>
      <c r="AE1757" s="284"/>
      <c r="AF1757" s="284"/>
      <c r="AG1757" s="284"/>
      <c r="AI1757" s="131"/>
    </row>
    <row r="1758" spans="1:35" ht="26.4">
      <c r="A1758" s="284"/>
      <c r="B1758" s="284"/>
      <c r="C1758" s="284"/>
      <c r="D1758" s="284"/>
      <c r="E1758" s="284"/>
      <c r="F1758" s="284"/>
      <c r="G1758" s="284"/>
      <c r="H1758" s="284"/>
      <c r="I1758" s="284"/>
      <c r="J1758" s="375"/>
      <c r="K1758" s="375"/>
      <c r="L1758" s="375"/>
      <c r="M1758" s="368"/>
      <c r="N1758" s="368"/>
      <c r="O1758" s="370"/>
      <c r="T1758" s="340"/>
      <c r="V1758" s="378"/>
      <c r="W1758" s="64" ph="1"/>
      <c r="X1758" s="241"/>
      <c r="Y1758" s="284"/>
      <c r="Z1758" s="207"/>
      <c r="AA1758" s="284"/>
      <c r="AB1758" s="284"/>
      <c r="AC1758" s="284"/>
      <c r="AD1758" s="284"/>
      <c r="AE1758" s="284"/>
      <c r="AF1758" s="284"/>
      <c r="AG1758" s="284"/>
      <c r="AI1758" s="131"/>
    </row>
    <row r="1759" spans="1:35" ht="26.4">
      <c r="A1759" s="284"/>
      <c r="B1759" s="284"/>
      <c r="C1759" s="284"/>
      <c r="D1759" s="284"/>
      <c r="E1759" s="284"/>
      <c r="F1759" s="284"/>
      <c r="G1759" s="284"/>
      <c r="H1759" s="284"/>
      <c r="I1759" s="284"/>
      <c r="J1759" s="375"/>
      <c r="K1759" s="375"/>
      <c r="L1759" s="375"/>
      <c r="M1759" s="368"/>
      <c r="N1759" s="368"/>
      <c r="O1759" s="370"/>
      <c r="T1759" s="340"/>
      <c r="V1759" s="378"/>
      <c r="W1759" s="64" ph="1"/>
      <c r="X1759" s="241"/>
      <c r="Y1759" s="284"/>
      <c r="Z1759" s="207"/>
      <c r="AA1759" s="284"/>
      <c r="AB1759" s="284"/>
      <c r="AC1759" s="284"/>
      <c r="AD1759" s="284"/>
      <c r="AE1759" s="284"/>
      <c r="AF1759" s="284"/>
      <c r="AG1759" s="284"/>
      <c r="AI1759" s="131"/>
    </row>
    <row r="1760" spans="1:35" ht="26.4">
      <c r="A1760" s="284"/>
      <c r="B1760" s="284"/>
      <c r="C1760" s="284"/>
      <c r="D1760" s="284"/>
      <c r="E1760" s="284"/>
      <c r="F1760" s="284"/>
      <c r="G1760" s="284"/>
      <c r="H1760" s="284"/>
      <c r="I1760" s="284"/>
      <c r="J1760" s="375"/>
      <c r="K1760" s="375"/>
      <c r="L1760" s="375"/>
      <c r="M1760" s="368"/>
      <c r="N1760" s="368"/>
      <c r="O1760" s="370"/>
      <c r="T1760" s="340"/>
      <c r="V1760" s="378"/>
      <c r="W1760" s="64" ph="1"/>
      <c r="X1760" s="241"/>
      <c r="Y1760" s="284"/>
      <c r="Z1760" s="207"/>
      <c r="AA1760" s="284"/>
      <c r="AB1760" s="284"/>
      <c r="AC1760" s="284"/>
      <c r="AD1760" s="284"/>
      <c r="AE1760" s="284"/>
      <c r="AF1760" s="284"/>
      <c r="AG1760" s="284"/>
      <c r="AI1760" s="131"/>
    </row>
    <row r="1761" spans="1:35" ht="26.4">
      <c r="A1761" s="284"/>
      <c r="B1761" s="284"/>
      <c r="C1761" s="284"/>
      <c r="D1761" s="284"/>
      <c r="E1761" s="284"/>
      <c r="F1761" s="284"/>
      <c r="G1761" s="284"/>
      <c r="H1761" s="284"/>
      <c r="I1761" s="284"/>
      <c r="J1761" s="375"/>
      <c r="K1761" s="375"/>
      <c r="L1761" s="375"/>
      <c r="M1761" s="368"/>
      <c r="N1761" s="368"/>
      <c r="O1761" s="370"/>
      <c r="T1761" s="340"/>
      <c r="V1761" s="378"/>
      <c r="W1761" s="64" ph="1"/>
      <c r="X1761" s="241"/>
      <c r="Y1761" s="284"/>
      <c r="Z1761" s="207"/>
      <c r="AA1761" s="284"/>
      <c r="AB1761" s="284"/>
      <c r="AC1761" s="284"/>
      <c r="AD1761" s="284"/>
      <c r="AE1761" s="284"/>
      <c r="AF1761" s="284"/>
      <c r="AG1761" s="284"/>
      <c r="AI1761" s="131"/>
    </row>
    <row r="1762" spans="1:35" ht="26.4">
      <c r="A1762" s="284"/>
      <c r="B1762" s="284"/>
      <c r="C1762" s="284"/>
      <c r="D1762" s="284"/>
      <c r="E1762" s="284"/>
      <c r="F1762" s="284"/>
      <c r="G1762" s="284"/>
      <c r="H1762" s="284"/>
      <c r="I1762" s="284"/>
      <c r="J1762" s="375"/>
      <c r="K1762" s="375"/>
      <c r="L1762" s="375"/>
      <c r="M1762" s="368"/>
      <c r="N1762" s="368"/>
      <c r="O1762" s="370"/>
      <c r="T1762" s="340"/>
      <c r="V1762" s="378"/>
      <c r="W1762" s="64" ph="1"/>
      <c r="X1762" s="241"/>
      <c r="Y1762" s="284"/>
      <c r="Z1762" s="207"/>
      <c r="AA1762" s="284"/>
      <c r="AB1762" s="284"/>
      <c r="AC1762" s="284"/>
      <c r="AD1762" s="284"/>
      <c r="AE1762" s="284"/>
      <c r="AF1762" s="284"/>
      <c r="AG1762" s="284"/>
      <c r="AI1762" s="131"/>
    </row>
    <row r="1763" spans="1:35" ht="26.4">
      <c r="A1763" s="284"/>
      <c r="B1763" s="284"/>
      <c r="C1763" s="284"/>
      <c r="D1763" s="284"/>
      <c r="E1763" s="284"/>
      <c r="F1763" s="284"/>
      <c r="G1763" s="284"/>
      <c r="H1763" s="284"/>
      <c r="I1763" s="284"/>
      <c r="J1763" s="375"/>
      <c r="K1763" s="375"/>
      <c r="L1763" s="375"/>
      <c r="M1763" s="368"/>
      <c r="N1763" s="368"/>
      <c r="O1763" s="370"/>
      <c r="T1763" s="340"/>
      <c r="V1763" s="378"/>
      <c r="W1763" s="64" ph="1"/>
      <c r="X1763" s="241"/>
      <c r="Y1763" s="284"/>
      <c r="Z1763" s="207"/>
      <c r="AA1763" s="284"/>
      <c r="AB1763" s="284"/>
      <c r="AC1763" s="284"/>
      <c r="AD1763" s="284"/>
      <c r="AE1763" s="284"/>
      <c r="AF1763" s="284"/>
      <c r="AG1763" s="284"/>
      <c r="AI1763" s="284"/>
    </row>
    <row r="1764" spans="1:35" ht="26.4">
      <c r="A1764" s="284"/>
      <c r="B1764" s="284"/>
      <c r="C1764" s="284"/>
      <c r="D1764" s="284"/>
      <c r="E1764" s="284"/>
      <c r="F1764" s="284"/>
      <c r="G1764" s="284"/>
      <c r="H1764" s="284"/>
      <c r="I1764" s="284"/>
      <c r="J1764" s="375"/>
      <c r="K1764" s="375"/>
      <c r="L1764" s="375"/>
      <c r="M1764" s="368"/>
      <c r="N1764" s="368"/>
      <c r="O1764" s="370"/>
      <c r="T1764" s="340"/>
      <c r="V1764" s="378"/>
      <c r="W1764" s="64" ph="1"/>
      <c r="X1764" s="241"/>
      <c r="Y1764" s="284"/>
      <c r="Z1764" s="207"/>
      <c r="AA1764" s="284"/>
      <c r="AB1764" s="284"/>
      <c r="AC1764" s="284"/>
      <c r="AD1764" s="284"/>
      <c r="AE1764" s="284"/>
      <c r="AF1764" s="284"/>
      <c r="AG1764" s="284"/>
      <c r="AI1764" s="131"/>
    </row>
    <row r="1765" spans="1:35" ht="26.4">
      <c r="A1765" s="284"/>
      <c r="B1765" s="284"/>
      <c r="C1765" s="284"/>
      <c r="D1765" s="284"/>
      <c r="E1765" s="284"/>
      <c r="F1765" s="284"/>
      <c r="G1765" s="284"/>
      <c r="H1765" s="284"/>
      <c r="I1765" s="284"/>
      <c r="J1765" s="375"/>
      <c r="K1765" s="375"/>
      <c r="L1765" s="375"/>
      <c r="M1765" s="368"/>
      <c r="N1765" s="368"/>
      <c r="O1765" s="370"/>
      <c r="T1765" s="340"/>
      <c r="V1765" s="378"/>
      <c r="W1765" s="64" ph="1"/>
      <c r="X1765" s="241"/>
      <c r="Y1765" s="284"/>
      <c r="Z1765" s="207"/>
      <c r="AA1765" s="284"/>
      <c r="AB1765" s="284"/>
      <c r="AC1765" s="284"/>
      <c r="AD1765" s="284"/>
      <c r="AE1765" s="284"/>
      <c r="AF1765" s="284"/>
      <c r="AG1765" s="284"/>
      <c r="AI1765" s="131"/>
    </row>
    <row r="1766" spans="1:35" ht="26.4">
      <c r="A1766" s="284"/>
      <c r="B1766" s="284"/>
      <c r="C1766" s="284"/>
      <c r="D1766" s="284"/>
      <c r="E1766" s="284"/>
      <c r="F1766" s="284"/>
      <c r="G1766" s="284"/>
      <c r="H1766" s="284"/>
      <c r="I1766" s="284"/>
      <c r="J1766" s="375"/>
      <c r="K1766" s="375"/>
      <c r="L1766" s="375"/>
      <c r="M1766" s="368"/>
      <c r="N1766" s="368"/>
      <c r="O1766" s="370"/>
      <c r="T1766" s="340"/>
      <c r="V1766" s="378"/>
      <c r="W1766" s="64" ph="1"/>
      <c r="X1766" s="241"/>
      <c r="Y1766" s="284"/>
      <c r="Z1766" s="207"/>
      <c r="AA1766" s="284"/>
      <c r="AB1766" s="284"/>
      <c r="AC1766" s="284"/>
      <c r="AD1766" s="284"/>
      <c r="AE1766" s="284"/>
      <c r="AF1766" s="284"/>
      <c r="AG1766" s="284"/>
      <c r="AI1766" s="131"/>
    </row>
    <row r="1767" spans="1:35" ht="26.4">
      <c r="A1767" s="284"/>
      <c r="B1767" s="284"/>
      <c r="C1767" s="284"/>
      <c r="D1767" s="284"/>
      <c r="E1767" s="284"/>
      <c r="F1767" s="284"/>
      <c r="G1767" s="284"/>
      <c r="H1767" s="284"/>
      <c r="I1767" s="284"/>
      <c r="J1767" s="375"/>
      <c r="K1767" s="375"/>
      <c r="L1767" s="375"/>
      <c r="M1767" s="368"/>
      <c r="N1767" s="368"/>
      <c r="O1767" s="370"/>
      <c r="T1767" s="340"/>
      <c r="V1767" s="378"/>
      <c r="W1767" s="64" ph="1"/>
      <c r="X1767" s="241"/>
      <c r="Y1767" s="284"/>
      <c r="Z1767" s="207"/>
      <c r="AA1767" s="284"/>
      <c r="AB1767" s="284"/>
      <c r="AC1767" s="284"/>
      <c r="AD1767" s="284"/>
      <c r="AE1767" s="284"/>
      <c r="AF1767" s="284"/>
      <c r="AG1767" s="284"/>
      <c r="AI1767" s="131"/>
    </row>
    <row r="1768" spans="1:35" ht="26.4">
      <c r="A1768" s="284"/>
      <c r="B1768" s="284"/>
      <c r="C1768" s="284"/>
      <c r="D1768" s="284"/>
      <c r="E1768" s="284"/>
      <c r="F1768" s="284"/>
      <c r="G1768" s="284"/>
      <c r="H1768" s="284"/>
      <c r="I1768" s="284"/>
      <c r="J1768" s="375"/>
      <c r="K1768" s="375"/>
      <c r="L1768" s="375"/>
      <c r="M1768" s="368"/>
      <c r="N1768" s="368"/>
      <c r="O1768" s="370"/>
      <c r="T1768" s="340"/>
      <c r="V1768" s="378"/>
      <c r="W1768" s="64" ph="1"/>
      <c r="X1768" s="241"/>
      <c r="Y1768" s="284"/>
      <c r="Z1768" s="207"/>
      <c r="AA1768" s="284"/>
      <c r="AB1768" s="284"/>
      <c r="AC1768" s="284"/>
      <c r="AD1768" s="284"/>
      <c r="AE1768" s="284"/>
      <c r="AF1768" s="284"/>
      <c r="AG1768" s="284"/>
      <c r="AI1768" s="131"/>
    </row>
    <row r="1769" spans="1:35" ht="26.4">
      <c r="A1769" s="284"/>
      <c r="B1769" s="284"/>
      <c r="C1769" s="284"/>
      <c r="D1769" s="284"/>
      <c r="E1769" s="284"/>
      <c r="F1769" s="284"/>
      <c r="G1769" s="284"/>
      <c r="H1769" s="284"/>
      <c r="I1769" s="284"/>
      <c r="J1769" s="375"/>
      <c r="K1769" s="375"/>
      <c r="L1769" s="375"/>
      <c r="M1769" s="368"/>
      <c r="N1769" s="368"/>
      <c r="O1769" s="370"/>
      <c r="T1769" s="340"/>
      <c r="V1769" s="378"/>
      <c r="W1769" s="64" ph="1"/>
      <c r="X1769" s="241"/>
      <c r="Y1769" s="284"/>
      <c r="Z1769" s="207"/>
      <c r="AA1769" s="284"/>
      <c r="AB1769" s="284"/>
      <c r="AC1769" s="284"/>
      <c r="AD1769" s="284"/>
      <c r="AE1769" s="284"/>
      <c r="AF1769" s="284"/>
      <c r="AG1769" s="284"/>
      <c r="AI1769" s="131"/>
    </row>
    <row r="1770" spans="1:35" ht="26.4">
      <c r="A1770" s="284"/>
      <c r="B1770" s="284"/>
      <c r="C1770" s="284"/>
      <c r="D1770" s="284"/>
      <c r="E1770" s="284"/>
      <c r="F1770" s="284"/>
      <c r="G1770" s="284"/>
      <c r="H1770" s="284"/>
      <c r="I1770" s="284"/>
      <c r="J1770" s="375"/>
      <c r="K1770" s="375"/>
      <c r="L1770" s="375"/>
      <c r="M1770" s="368"/>
      <c r="N1770" s="368"/>
      <c r="O1770" s="370"/>
      <c r="T1770" s="340"/>
      <c r="V1770" s="378"/>
      <c r="W1770" s="64" ph="1"/>
      <c r="X1770" s="241"/>
      <c r="Y1770" s="284"/>
      <c r="Z1770" s="207"/>
      <c r="AA1770" s="284"/>
      <c r="AB1770" s="284"/>
      <c r="AC1770" s="284"/>
      <c r="AD1770" s="284"/>
      <c r="AE1770" s="284"/>
      <c r="AF1770" s="284"/>
      <c r="AG1770" s="284"/>
      <c r="AI1770" s="52"/>
    </row>
    <row r="1771" spans="1:35" ht="26.4">
      <c r="A1771" s="284"/>
      <c r="B1771" s="284"/>
      <c r="C1771" s="284"/>
      <c r="D1771" s="284"/>
      <c r="E1771" s="284"/>
      <c r="F1771" s="284"/>
      <c r="G1771" s="284"/>
      <c r="H1771" s="284"/>
      <c r="I1771" s="284"/>
      <c r="J1771" s="375"/>
      <c r="K1771" s="375"/>
      <c r="L1771" s="375"/>
      <c r="M1771" s="368"/>
      <c r="N1771" s="368"/>
      <c r="O1771" s="370"/>
      <c r="T1771" s="340"/>
      <c r="V1771" s="378"/>
      <c r="W1771" s="64" ph="1"/>
      <c r="X1771" s="241"/>
      <c r="Y1771" s="284"/>
      <c r="Z1771" s="207"/>
      <c r="AA1771" s="284"/>
      <c r="AB1771" s="284"/>
      <c r="AC1771" s="284"/>
      <c r="AD1771" s="284"/>
      <c r="AE1771" s="284"/>
      <c r="AF1771" s="284"/>
      <c r="AG1771" s="284"/>
      <c r="AI1771" s="131"/>
    </row>
    <row r="1772" spans="1:35" ht="26.4">
      <c r="A1772" s="284"/>
      <c r="B1772" s="284"/>
      <c r="C1772" s="284"/>
      <c r="D1772" s="284"/>
      <c r="E1772" s="284"/>
      <c r="F1772" s="284"/>
      <c r="G1772" s="284"/>
      <c r="H1772" s="284"/>
      <c r="I1772" s="284"/>
      <c r="J1772" s="375"/>
      <c r="K1772" s="375"/>
      <c r="L1772" s="375"/>
      <c r="M1772" s="368"/>
      <c r="N1772" s="368"/>
      <c r="O1772" s="370"/>
      <c r="T1772" s="340"/>
      <c r="V1772" s="378"/>
      <c r="W1772" s="64" ph="1"/>
      <c r="X1772" s="241"/>
      <c r="Y1772" s="284"/>
      <c r="Z1772" s="207"/>
      <c r="AA1772" s="284"/>
      <c r="AB1772" s="284"/>
      <c r="AC1772" s="284"/>
      <c r="AD1772" s="284"/>
      <c r="AE1772" s="284"/>
      <c r="AF1772" s="284"/>
      <c r="AG1772" s="284"/>
      <c r="AI1772" s="131"/>
    </row>
    <row r="1773" spans="1:35" ht="26.4">
      <c r="A1773" s="284"/>
      <c r="B1773" s="284"/>
      <c r="C1773" s="284"/>
      <c r="D1773" s="284"/>
      <c r="E1773" s="284"/>
      <c r="F1773" s="284"/>
      <c r="G1773" s="284"/>
      <c r="H1773" s="284"/>
      <c r="I1773" s="284"/>
      <c r="J1773" s="375"/>
      <c r="K1773" s="375"/>
      <c r="L1773" s="375"/>
      <c r="M1773" s="368"/>
      <c r="N1773" s="368"/>
      <c r="O1773" s="370"/>
      <c r="T1773" s="340"/>
      <c r="V1773" s="378"/>
      <c r="W1773" s="64" ph="1"/>
      <c r="X1773" s="241"/>
      <c r="Y1773" s="284"/>
      <c r="Z1773" s="207"/>
      <c r="AA1773" s="284"/>
      <c r="AB1773" s="284"/>
      <c r="AC1773" s="284"/>
      <c r="AD1773" s="284"/>
      <c r="AE1773" s="284"/>
      <c r="AF1773" s="284"/>
      <c r="AG1773" s="284"/>
      <c r="AI1773" s="131"/>
    </row>
    <row r="1774" spans="1:35" ht="26.4">
      <c r="A1774" s="284"/>
      <c r="B1774" s="284"/>
      <c r="C1774" s="284"/>
      <c r="D1774" s="284"/>
      <c r="E1774" s="284"/>
      <c r="F1774" s="284"/>
      <c r="G1774" s="284"/>
      <c r="H1774" s="284"/>
      <c r="I1774" s="284"/>
      <c r="J1774" s="375"/>
      <c r="K1774" s="375"/>
      <c r="L1774" s="375"/>
      <c r="M1774" s="368"/>
      <c r="N1774" s="368"/>
      <c r="O1774" s="370"/>
      <c r="T1774" s="340"/>
      <c r="V1774" s="378"/>
      <c r="W1774" s="64" ph="1"/>
      <c r="X1774" s="241"/>
      <c r="Y1774" s="284"/>
      <c r="Z1774" s="207"/>
      <c r="AA1774" s="284"/>
      <c r="AB1774" s="284"/>
      <c r="AC1774" s="284"/>
      <c r="AD1774" s="284"/>
      <c r="AE1774" s="284"/>
      <c r="AF1774" s="284"/>
      <c r="AG1774" s="284"/>
      <c r="AI1774" s="131"/>
    </row>
    <row r="1775" spans="1:35" ht="26.4">
      <c r="A1775" s="284"/>
      <c r="B1775" s="284"/>
      <c r="C1775" s="284"/>
      <c r="D1775" s="284"/>
      <c r="E1775" s="284"/>
      <c r="F1775" s="284"/>
      <c r="G1775" s="284"/>
      <c r="H1775" s="284"/>
      <c r="I1775" s="284"/>
      <c r="J1775" s="375"/>
      <c r="K1775" s="375"/>
      <c r="L1775" s="375"/>
      <c r="M1775" s="368"/>
      <c r="N1775" s="368"/>
      <c r="O1775" s="370"/>
      <c r="T1775" s="340"/>
      <c r="V1775" s="378"/>
      <c r="W1775" s="64" ph="1"/>
      <c r="X1775" s="241"/>
      <c r="Y1775" s="284"/>
      <c r="Z1775" s="207"/>
      <c r="AA1775" s="284"/>
      <c r="AB1775" s="284"/>
      <c r="AC1775" s="284"/>
      <c r="AD1775" s="284"/>
      <c r="AE1775" s="284"/>
      <c r="AF1775" s="284"/>
      <c r="AG1775" s="284"/>
      <c r="AI1775" s="131"/>
    </row>
    <row r="1776" spans="1:35" ht="26.4">
      <c r="A1776" s="284"/>
      <c r="B1776" s="284"/>
      <c r="C1776" s="284"/>
      <c r="D1776" s="284"/>
      <c r="E1776" s="284"/>
      <c r="F1776" s="284"/>
      <c r="G1776" s="284"/>
      <c r="H1776" s="284"/>
      <c r="I1776" s="284"/>
      <c r="J1776" s="375"/>
      <c r="K1776" s="375"/>
      <c r="L1776" s="375"/>
      <c r="M1776" s="368"/>
      <c r="N1776" s="368"/>
      <c r="O1776" s="370"/>
      <c r="T1776" s="340"/>
      <c r="V1776" s="378"/>
      <c r="W1776" s="64" ph="1"/>
      <c r="X1776" s="241"/>
      <c r="Y1776" s="284"/>
      <c r="Z1776" s="207"/>
      <c r="AA1776" s="284"/>
      <c r="AB1776" s="284"/>
      <c r="AC1776" s="284"/>
      <c r="AD1776" s="284"/>
      <c r="AE1776" s="284"/>
      <c r="AF1776" s="284"/>
      <c r="AG1776" s="284"/>
      <c r="AI1776" s="131"/>
    </row>
    <row r="1777" spans="1:35" ht="26.4">
      <c r="A1777" s="284"/>
      <c r="B1777" s="284"/>
      <c r="C1777" s="284"/>
      <c r="D1777" s="284"/>
      <c r="E1777" s="284"/>
      <c r="F1777" s="284"/>
      <c r="G1777" s="284"/>
      <c r="H1777" s="284"/>
      <c r="I1777" s="284"/>
      <c r="J1777" s="375"/>
      <c r="K1777" s="375"/>
      <c r="L1777" s="375"/>
      <c r="M1777" s="368"/>
      <c r="N1777" s="368"/>
      <c r="O1777" s="370"/>
      <c r="T1777" s="340"/>
      <c r="V1777" s="378"/>
      <c r="W1777" s="64" ph="1"/>
      <c r="X1777" s="241"/>
      <c r="Y1777" s="284"/>
      <c r="Z1777" s="207"/>
      <c r="AA1777" s="284"/>
      <c r="AB1777" s="284"/>
      <c r="AC1777" s="284"/>
      <c r="AD1777" s="284"/>
      <c r="AE1777" s="284"/>
      <c r="AF1777" s="284"/>
      <c r="AG1777" s="284"/>
      <c r="AI1777" s="131"/>
    </row>
    <row r="1778" spans="1:35" ht="26.4">
      <c r="A1778" s="284"/>
      <c r="B1778" s="284"/>
      <c r="C1778" s="284"/>
      <c r="D1778" s="284"/>
      <c r="E1778" s="284"/>
      <c r="F1778" s="284"/>
      <c r="G1778" s="284"/>
      <c r="H1778" s="284"/>
      <c r="I1778" s="284"/>
      <c r="J1778" s="375"/>
      <c r="K1778" s="375"/>
      <c r="L1778" s="375"/>
      <c r="M1778" s="368"/>
      <c r="N1778" s="368"/>
      <c r="O1778" s="370"/>
      <c r="T1778" s="340"/>
      <c r="V1778" s="378"/>
      <c r="W1778" s="64" ph="1"/>
      <c r="X1778" s="241"/>
      <c r="Y1778" s="284"/>
      <c r="Z1778" s="207"/>
      <c r="AA1778" s="284"/>
      <c r="AB1778" s="284"/>
      <c r="AC1778" s="284"/>
      <c r="AD1778" s="284"/>
      <c r="AE1778" s="284"/>
      <c r="AF1778" s="284"/>
      <c r="AG1778" s="284"/>
      <c r="AI1778" s="131"/>
    </row>
    <row r="1779" spans="1:35" ht="26.4">
      <c r="A1779" s="284"/>
      <c r="B1779" s="284"/>
      <c r="C1779" s="284"/>
      <c r="D1779" s="284"/>
      <c r="E1779" s="284"/>
      <c r="F1779" s="284"/>
      <c r="G1779" s="284"/>
      <c r="H1779" s="284"/>
      <c r="I1779" s="284"/>
      <c r="J1779" s="375"/>
      <c r="K1779" s="375"/>
      <c r="L1779" s="375"/>
      <c r="M1779" s="368"/>
      <c r="N1779" s="368"/>
      <c r="O1779" s="370"/>
      <c r="T1779" s="340"/>
      <c r="V1779" s="378"/>
      <c r="W1779" s="64" ph="1"/>
      <c r="X1779" s="241"/>
      <c r="Y1779" s="284"/>
      <c r="Z1779" s="207"/>
      <c r="AA1779" s="284"/>
      <c r="AB1779" s="284"/>
      <c r="AC1779" s="284"/>
      <c r="AD1779" s="284"/>
      <c r="AE1779" s="284"/>
      <c r="AF1779" s="284"/>
      <c r="AG1779" s="284"/>
      <c r="AI1779" s="131"/>
    </row>
    <row r="1780" spans="1:35" ht="26.4">
      <c r="A1780" s="284"/>
      <c r="B1780" s="284"/>
      <c r="C1780" s="284"/>
      <c r="D1780" s="284"/>
      <c r="E1780" s="284"/>
      <c r="F1780" s="284"/>
      <c r="G1780" s="284"/>
      <c r="H1780" s="284"/>
      <c r="I1780" s="284"/>
      <c r="J1780" s="375"/>
      <c r="K1780" s="375"/>
      <c r="L1780" s="375"/>
      <c r="M1780" s="368"/>
      <c r="N1780" s="368"/>
      <c r="O1780" s="370"/>
      <c r="T1780" s="340"/>
      <c r="V1780" s="378"/>
      <c r="W1780" s="64" ph="1"/>
      <c r="X1780" s="241"/>
      <c r="Y1780" s="284"/>
      <c r="Z1780" s="207"/>
      <c r="AA1780" s="284"/>
      <c r="AB1780" s="284"/>
      <c r="AC1780" s="284"/>
      <c r="AD1780" s="284"/>
      <c r="AE1780" s="284"/>
      <c r="AF1780" s="284"/>
      <c r="AG1780" s="284"/>
      <c r="AI1780" s="131"/>
    </row>
    <row r="1781" spans="1:35" ht="26.4">
      <c r="A1781" s="284"/>
      <c r="B1781" s="284"/>
      <c r="C1781" s="284"/>
      <c r="D1781" s="284"/>
      <c r="E1781" s="284"/>
      <c r="F1781" s="284"/>
      <c r="G1781" s="284"/>
      <c r="H1781" s="284"/>
      <c r="I1781" s="284"/>
      <c r="J1781" s="375"/>
      <c r="K1781" s="375"/>
      <c r="L1781" s="375"/>
      <c r="M1781" s="368"/>
      <c r="N1781" s="368"/>
      <c r="O1781" s="370"/>
      <c r="T1781" s="340"/>
      <c r="V1781" s="378"/>
      <c r="W1781" s="64" ph="1"/>
      <c r="X1781" s="241"/>
      <c r="Y1781" s="284"/>
      <c r="Z1781" s="207"/>
      <c r="AA1781" s="284"/>
      <c r="AB1781" s="284"/>
      <c r="AC1781" s="284"/>
      <c r="AD1781" s="284"/>
      <c r="AE1781" s="284"/>
      <c r="AF1781" s="284"/>
      <c r="AG1781" s="284"/>
      <c r="AI1781" s="131"/>
    </row>
    <row r="1782" spans="1:35" ht="26.4">
      <c r="A1782" s="284"/>
      <c r="B1782" s="284"/>
      <c r="C1782" s="284"/>
      <c r="D1782" s="284"/>
      <c r="E1782" s="284"/>
      <c r="F1782" s="284"/>
      <c r="G1782" s="284"/>
      <c r="H1782" s="284"/>
      <c r="I1782" s="284"/>
      <c r="J1782" s="375"/>
      <c r="K1782" s="375"/>
      <c r="L1782" s="375"/>
      <c r="M1782" s="368"/>
      <c r="N1782" s="368"/>
      <c r="O1782" s="370"/>
      <c r="T1782" s="340"/>
      <c r="V1782" s="378"/>
      <c r="W1782" s="64" ph="1"/>
      <c r="X1782" s="241"/>
      <c r="Y1782" s="284"/>
      <c r="Z1782" s="207"/>
      <c r="AA1782" s="284"/>
      <c r="AB1782" s="284"/>
      <c r="AC1782" s="284"/>
      <c r="AD1782" s="284"/>
      <c r="AE1782" s="284"/>
      <c r="AF1782" s="284"/>
      <c r="AG1782" s="284"/>
      <c r="AI1782" s="131"/>
    </row>
    <row r="1783" spans="1:35" ht="26.4">
      <c r="A1783" s="284"/>
      <c r="B1783" s="284"/>
      <c r="C1783" s="284"/>
      <c r="D1783" s="284"/>
      <c r="E1783" s="284"/>
      <c r="F1783" s="284"/>
      <c r="G1783" s="284"/>
      <c r="H1783" s="284"/>
      <c r="I1783" s="284"/>
      <c r="J1783" s="375"/>
      <c r="K1783" s="375"/>
      <c r="L1783" s="375"/>
      <c r="M1783" s="368"/>
      <c r="N1783" s="368"/>
      <c r="O1783" s="370"/>
      <c r="T1783" s="340"/>
      <c r="V1783" s="378"/>
      <c r="W1783" s="64" ph="1"/>
      <c r="X1783" s="241"/>
      <c r="Y1783" s="284"/>
      <c r="Z1783" s="207"/>
      <c r="AA1783" s="284"/>
      <c r="AB1783" s="284"/>
      <c r="AC1783" s="284"/>
      <c r="AD1783" s="284"/>
      <c r="AE1783" s="284"/>
      <c r="AF1783" s="284"/>
      <c r="AG1783" s="284"/>
      <c r="AI1783" s="131"/>
    </row>
    <row r="1784" spans="1:35" ht="26.4">
      <c r="A1784" s="284"/>
      <c r="B1784" s="284"/>
      <c r="C1784" s="284"/>
      <c r="D1784" s="284"/>
      <c r="E1784" s="284"/>
      <c r="F1784" s="284"/>
      <c r="G1784" s="284"/>
      <c r="H1784" s="284"/>
      <c r="I1784" s="284"/>
      <c r="J1784" s="375"/>
      <c r="K1784" s="375"/>
      <c r="L1784" s="375"/>
      <c r="M1784" s="368"/>
      <c r="N1784" s="368"/>
      <c r="O1784" s="370"/>
      <c r="T1784" s="340"/>
      <c r="V1784" s="378"/>
      <c r="W1784" s="64" ph="1"/>
      <c r="X1784" s="241"/>
      <c r="Y1784" s="284"/>
      <c r="Z1784" s="207"/>
      <c r="AA1784" s="284"/>
      <c r="AB1784" s="284"/>
      <c r="AC1784" s="284"/>
      <c r="AD1784" s="284"/>
      <c r="AE1784" s="284"/>
      <c r="AF1784" s="284"/>
      <c r="AG1784" s="284"/>
      <c r="AI1784" s="131"/>
    </row>
    <row r="1785" spans="1:35" ht="26.4">
      <c r="A1785" s="284"/>
      <c r="B1785" s="284"/>
      <c r="C1785" s="284"/>
      <c r="D1785" s="284"/>
      <c r="E1785" s="284"/>
      <c r="F1785" s="284"/>
      <c r="G1785" s="284"/>
      <c r="H1785" s="284"/>
      <c r="I1785" s="284"/>
      <c r="J1785" s="375"/>
      <c r="K1785" s="375"/>
      <c r="L1785" s="375"/>
      <c r="M1785" s="368"/>
      <c r="N1785" s="368"/>
      <c r="O1785" s="370"/>
      <c r="T1785" s="340"/>
      <c r="V1785" s="378"/>
      <c r="W1785" s="64" ph="1"/>
      <c r="X1785" s="241"/>
      <c r="Y1785" s="284"/>
      <c r="Z1785" s="207"/>
      <c r="AA1785" s="284"/>
      <c r="AB1785" s="284"/>
      <c r="AC1785" s="284"/>
      <c r="AD1785" s="284"/>
      <c r="AE1785" s="284"/>
      <c r="AF1785" s="284"/>
      <c r="AG1785" s="284"/>
      <c r="AI1785" s="131"/>
    </row>
    <row r="1786" spans="1:35" ht="26.4">
      <c r="A1786" s="284"/>
      <c r="B1786" s="284"/>
      <c r="C1786" s="284"/>
      <c r="D1786" s="284"/>
      <c r="E1786" s="284"/>
      <c r="F1786" s="284"/>
      <c r="G1786" s="284"/>
      <c r="H1786" s="284"/>
      <c r="I1786" s="284"/>
      <c r="J1786" s="375"/>
      <c r="K1786" s="375"/>
      <c r="L1786" s="375"/>
      <c r="M1786" s="368"/>
      <c r="N1786" s="368"/>
      <c r="O1786" s="370"/>
      <c r="T1786" s="340"/>
      <c r="V1786" s="378"/>
      <c r="W1786" s="64" ph="1"/>
      <c r="X1786" s="241"/>
      <c r="Y1786" s="284"/>
      <c r="Z1786" s="207"/>
      <c r="AA1786" s="284"/>
      <c r="AB1786" s="284"/>
      <c r="AC1786" s="284"/>
      <c r="AD1786" s="284"/>
      <c r="AE1786" s="284"/>
      <c r="AF1786" s="284"/>
      <c r="AG1786" s="284"/>
      <c r="AI1786" s="131"/>
    </row>
    <row r="1787" spans="1:35" ht="26.4">
      <c r="A1787" s="284"/>
      <c r="B1787" s="284"/>
      <c r="C1787" s="284"/>
      <c r="D1787" s="284"/>
      <c r="E1787" s="284"/>
      <c r="F1787" s="284"/>
      <c r="G1787" s="284"/>
      <c r="H1787" s="284"/>
      <c r="I1787" s="284"/>
      <c r="J1787" s="375"/>
      <c r="K1787" s="375"/>
      <c r="L1787" s="375"/>
      <c r="M1787" s="368"/>
      <c r="N1787" s="368"/>
      <c r="O1787" s="370"/>
      <c r="T1787" s="340"/>
      <c r="V1787" s="378"/>
      <c r="W1787" s="64" ph="1"/>
      <c r="X1787" s="241"/>
      <c r="Y1787" s="284"/>
      <c r="Z1787" s="207"/>
      <c r="AA1787" s="284"/>
      <c r="AB1787" s="284"/>
      <c r="AC1787" s="284"/>
      <c r="AD1787" s="284"/>
      <c r="AE1787" s="284"/>
      <c r="AF1787" s="284"/>
      <c r="AG1787" s="284"/>
      <c r="AI1787" s="131"/>
    </row>
    <row r="1788" spans="1:35" ht="26.4">
      <c r="A1788" s="284"/>
      <c r="B1788" s="284"/>
      <c r="C1788" s="284"/>
      <c r="D1788" s="284"/>
      <c r="E1788" s="284"/>
      <c r="F1788" s="284"/>
      <c r="G1788" s="284"/>
      <c r="H1788" s="284"/>
      <c r="I1788" s="284"/>
      <c r="J1788" s="375"/>
      <c r="K1788" s="375"/>
      <c r="L1788" s="375"/>
      <c r="M1788" s="368"/>
      <c r="N1788" s="368"/>
      <c r="O1788" s="370"/>
      <c r="T1788" s="340"/>
      <c r="V1788" s="378"/>
      <c r="W1788" s="64" ph="1"/>
      <c r="X1788" s="241"/>
      <c r="Y1788" s="284"/>
      <c r="Z1788" s="207"/>
      <c r="AA1788" s="284"/>
      <c r="AB1788" s="284"/>
      <c r="AC1788" s="284"/>
      <c r="AD1788" s="284"/>
      <c r="AE1788" s="284"/>
      <c r="AF1788" s="284"/>
      <c r="AG1788" s="284"/>
      <c r="AI1788" s="131"/>
    </row>
    <row r="1789" spans="1:35" ht="26.4">
      <c r="A1789" s="284"/>
      <c r="B1789" s="284"/>
      <c r="C1789" s="284"/>
      <c r="D1789" s="284"/>
      <c r="E1789" s="284"/>
      <c r="F1789" s="284"/>
      <c r="G1789" s="284"/>
      <c r="H1789" s="284"/>
      <c r="I1789" s="284"/>
      <c r="J1789" s="375"/>
      <c r="K1789" s="375"/>
      <c r="L1789" s="375"/>
      <c r="M1789" s="368"/>
      <c r="N1789" s="368"/>
      <c r="O1789" s="370"/>
      <c r="T1789" s="340"/>
      <c r="V1789" s="378"/>
      <c r="W1789" s="64" ph="1"/>
      <c r="X1789" s="241"/>
      <c r="Y1789" s="284"/>
      <c r="Z1789" s="207"/>
      <c r="AA1789" s="284"/>
      <c r="AB1789" s="284"/>
      <c r="AC1789" s="284"/>
      <c r="AD1789" s="284"/>
      <c r="AE1789" s="284"/>
      <c r="AF1789" s="284"/>
      <c r="AG1789" s="284"/>
      <c r="AI1789" s="131"/>
    </row>
    <row r="1790" spans="1:35" ht="26.4">
      <c r="A1790" s="284"/>
      <c r="B1790" s="284"/>
      <c r="C1790" s="284"/>
      <c r="D1790" s="284"/>
      <c r="E1790" s="284"/>
      <c r="F1790" s="284"/>
      <c r="G1790" s="284"/>
      <c r="H1790" s="284"/>
      <c r="I1790" s="284"/>
      <c r="J1790" s="375"/>
      <c r="K1790" s="375"/>
      <c r="L1790" s="375"/>
      <c r="M1790" s="368"/>
      <c r="N1790" s="368"/>
      <c r="O1790" s="370"/>
      <c r="T1790" s="340"/>
      <c r="V1790" s="378"/>
      <c r="W1790" s="64" ph="1"/>
      <c r="X1790" s="241"/>
      <c r="Y1790" s="284"/>
      <c r="Z1790" s="207"/>
      <c r="AA1790" s="284"/>
      <c r="AB1790" s="284"/>
      <c r="AC1790" s="284"/>
      <c r="AD1790" s="284"/>
      <c r="AE1790" s="284"/>
      <c r="AF1790" s="284"/>
      <c r="AG1790" s="284"/>
      <c r="AI1790" s="131"/>
    </row>
    <row r="1791" spans="1:35" ht="26.4">
      <c r="A1791" s="284"/>
      <c r="B1791" s="284"/>
      <c r="C1791" s="284"/>
      <c r="D1791" s="284"/>
      <c r="E1791" s="284"/>
      <c r="F1791" s="284"/>
      <c r="G1791" s="284"/>
      <c r="H1791" s="284"/>
      <c r="I1791" s="284"/>
      <c r="J1791" s="375"/>
      <c r="K1791" s="375"/>
      <c r="L1791" s="375"/>
      <c r="M1791" s="368"/>
      <c r="N1791" s="368"/>
      <c r="O1791" s="370"/>
      <c r="T1791" s="340"/>
      <c r="V1791" s="378"/>
      <c r="W1791" s="64" ph="1"/>
      <c r="X1791" s="241"/>
      <c r="Y1791" s="284"/>
      <c r="Z1791" s="207"/>
      <c r="AA1791" s="284"/>
      <c r="AB1791" s="284"/>
      <c r="AC1791" s="284"/>
      <c r="AD1791" s="284"/>
      <c r="AE1791" s="284"/>
      <c r="AF1791" s="284"/>
      <c r="AG1791" s="284"/>
      <c r="AI1791" s="131"/>
    </row>
    <row r="1792" spans="1:35" ht="26.4">
      <c r="A1792" s="284"/>
      <c r="B1792" s="284"/>
      <c r="C1792" s="284"/>
      <c r="D1792" s="284"/>
      <c r="E1792" s="284"/>
      <c r="F1792" s="284"/>
      <c r="G1792" s="284"/>
      <c r="H1792" s="284"/>
      <c r="I1792" s="284"/>
      <c r="J1792" s="375"/>
      <c r="K1792" s="375"/>
      <c r="L1792" s="375"/>
      <c r="M1792" s="368"/>
      <c r="N1792" s="368"/>
      <c r="O1792" s="370"/>
      <c r="T1792" s="340"/>
      <c r="V1792" s="378"/>
      <c r="W1792" s="64" ph="1"/>
      <c r="X1792" s="241"/>
      <c r="Y1792" s="284"/>
      <c r="Z1792" s="207"/>
      <c r="AA1792" s="284"/>
      <c r="AB1792" s="284"/>
      <c r="AC1792" s="284"/>
      <c r="AD1792" s="284"/>
      <c r="AE1792" s="284"/>
      <c r="AF1792" s="284"/>
      <c r="AG1792" s="284"/>
      <c r="AI1792" s="131"/>
    </row>
    <row r="1793" spans="1:35" ht="26.4">
      <c r="A1793" s="284"/>
      <c r="B1793" s="284"/>
      <c r="C1793" s="284"/>
      <c r="D1793" s="284"/>
      <c r="E1793" s="284"/>
      <c r="F1793" s="284"/>
      <c r="G1793" s="284"/>
      <c r="H1793" s="284"/>
      <c r="I1793" s="284"/>
      <c r="J1793" s="375"/>
      <c r="K1793" s="375"/>
      <c r="L1793" s="375"/>
      <c r="M1793" s="368"/>
      <c r="N1793" s="368"/>
      <c r="O1793" s="370"/>
      <c r="T1793" s="340"/>
      <c r="V1793" s="378"/>
      <c r="W1793" s="64" ph="1"/>
      <c r="X1793" s="241"/>
      <c r="Y1793" s="284"/>
      <c r="Z1793" s="207"/>
      <c r="AA1793" s="284"/>
      <c r="AB1793" s="284"/>
      <c r="AC1793" s="284"/>
      <c r="AD1793" s="284"/>
      <c r="AE1793" s="284"/>
      <c r="AF1793" s="284"/>
      <c r="AG1793" s="284"/>
      <c r="AI1793" s="131"/>
    </row>
    <row r="1794" spans="1:35" ht="26.4">
      <c r="A1794" s="284"/>
      <c r="B1794" s="284"/>
      <c r="C1794" s="284"/>
      <c r="D1794" s="284"/>
      <c r="E1794" s="284"/>
      <c r="F1794" s="284"/>
      <c r="G1794" s="284"/>
      <c r="H1794" s="284"/>
      <c r="I1794" s="284"/>
      <c r="J1794" s="375"/>
      <c r="K1794" s="375"/>
      <c r="L1794" s="375"/>
      <c r="M1794" s="368"/>
      <c r="N1794" s="368"/>
      <c r="O1794" s="370"/>
      <c r="T1794" s="340"/>
      <c r="V1794" s="378"/>
      <c r="W1794" s="64" ph="1"/>
      <c r="X1794" s="241"/>
      <c r="Y1794" s="284"/>
      <c r="Z1794" s="207"/>
      <c r="AA1794" s="284"/>
      <c r="AB1794" s="284"/>
      <c r="AC1794" s="284"/>
      <c r="AD1794" s="284"/>
      <c r="AE1794" s="284"/>
      <c r="AF1794" s="284"/>
      <c r="AG1794" s="284"/>
      <c r="AI1794" s="131"/>
    </row>
    <row r="1795" spans="1:35" ht="26.4">
      <c r="A1795" s="284"/>
      <c r="B1795" s="284"/>
      <c r="C1795" s="284"/>
      <c r="D1795" s="284"/>
      <c r="E1795" s="284"/>
      <c r="F1795" s="284"/>
      <c r="G1795" s="284"/>
      <c r="H1795" s="284"/>
      <c r="I1795" s="284"/>
      <c r="J1795" s="375"/>
      <c r="K1795" s="375"/>
      <c r="L1795" s="375"/>
      <c r="M1795" s="368"/>
      <c r="N1795" s="368"/>
      <c r="O1795" s="370"/>
      <c r="T1795" s="340"/>
      <c r="V1795" s="378"/>
      <c r="W1795" s="64" ph="1"/>
      <c r="X1795" s="241"/>
      <c r="Y1795" s="284"/>
      <c r="Z1795" s="207"/>
      <c r="AA1795" s="284"/>
      <c r="AB1795" s="284"/>
      <c r="AC1795" s="284"/>
      <c r="AD1795" s="284"/>
      <c r="AE1795" s="284"/>
      <c r="AF1795" s="284"/>
      <c r="AG1795" s="284"/>
      <c r="AI1795" s="131"/>
    </row>
    <row r="1796" spans="1:35" ht="26.4">
      <c r="A1796" s="284"/>
      <c r="B1796" s="284"/>
      <c r="C1796" s="284"/>
      <c r="D1796" s="284"/>
      <c r="E1796" s="284"/>
      <c r="F1796" s="284"/>
      <c r="G1796" s="284"/>
      <c r="H1796" s="284"/>
      <c r="I1796" s="284"/>
      <c r="J1796" s="375"/>
      <c r="K1796" s="375"/>
      <c r="L1796" s="375"/>
      <c r="M1796" s="368"/>
      <c r="N1796" s="368"/>
      <c r="O1796" s="370"/>
      <c r="T1796" s="340"/>
      <c r="V1796" s="378"/>
      <c r="W1796" s="64" ph="1"/>
      <c r="X1796" s="241"/>
      <c r="Y1796" s="284"/>
      <c r="Z1796" s="207"/>
      <c r="AA1796" s="284"/>
      <c r="AB1796" s="284"/>
      <c r="AC1796" s="284"/>
      <c r="AD1796" s="284"/>
      <c r="AE1796" s="284"/>
      <c r="AF1796" s="284"/>
      <c r="AG1796" s="284"/>
      <c r="AI1796" s="131"/>
    </row>
    <row r="1797" spans="1:35" ht="26.4">
      <c r="A1797" s="284"/>
      <c r="B1797" s="284"/>
      <c r="C1797" s="284"/>
      <c r="D1797" s="284"/>
      <c r="E1797" s="284"/>
      <c r="F1797" s="284"/>
      <c r="G1797" s="284"/>
      <c r="H1797" s="284"/>
      <c r="I1797" s="284"/>
      <c r="J1797" s="375"/>
      <c r="K1797" s="375"/>
      <c r="L1797" s="375"/>
      <c r="M1797" s="368"/>
      <c r="N1797" s="368"/>
      <c r="O1797" s="370"/>
      <c r="T1797" s="340"/>
      <c r="V1797" s="378"/>
      <c r="W1797" s="64" ph="1"/>
      <c r="X1797" s="241"/>
      <c r="Y1797" s="284"/>
      <c r="Z1797" s="207"/>
      <c r="AA1797" s="284"/>
      <c r="AB1797" s="284"/>
      <c r="AC1797" s="284"/>
      <c r="AD1797" s="284"/>
      <c r="AE1797" s="284"/>
      <c r="AF1797" s="284"/>
      <c r="AG1797" s="284"/>
      <c r="AI1797" s="131"/>
    </row>
    <row r="1798" spans="1:35" ht="26.4">
      <c r="A1798" s="284"/>
      <c r="B1798" s="284"/>
      <c r="C1798" s="284"/>
      <c r="D1798" s="284"/>
      <c r="E1798" s="284"/>
      <c r="F1798" s="284"/>
      <c r="G1798" s="284"/>
      <c r="H1798" s="284"/>
      <c r="I1798" s="284"/>
      <c r="J1798" s="375"/>
      <c r="K1798" s="375"/>
      <c r="L1798" s="375"/>
      <c r="M1798" s="368"/>
      <c r="N1798" s="368"/>
      <c r="O1798" s="370"/>
      <c r="T1798" s="340"/>
      <c r="V1798" s="378"/>
      <c r="W1798" s="64" ph="1"/>
      <c r="X1798" s="241"/>
      <c r="Y1798" s="284"/>
      <c r="Z1798" s="207"/>
      <c r="AA1798" s="284"/>
      <c r="AB1798" s="284"/>
      <c r="AC1798" s="284"/>
      <c r="AD1798" s="284"/>
      <c r="AE1798" s="284"/>
      <c r="AF1798" s="284"/>
      <c r="AG1798" s="284"/>
      <c r="AI1798" s="131"/>
    </row>
    <row r="1799" spans="1:35" ht="26.4">
      <c r="A1799" s="284"/>
      <c r="B1799" s="284"/>
      <c r="C1799" s="284"/>
      <c r="D1799" s="284"/>
      <c r="E1799" s="284"/>
      <c r="F1799" s="284"/>
      <c r="G1799" s="284"/>
      <c r="H1799" s="284"/>
      <c r="I1799" s="284"/>
      <c r="J1799" s="375"/>
      <c r="K1799" s="375"/>
      <c r="L1799" s="375"/>
      <c r="M1799" s="368"/>
      <c r="N1799" s="368"/>
      <c r="O1799" s="370"/>
      <c r="T1799" s="340"/>
      <c r="V1799" s="378"/>
      <c r="W1799" s="64" ph="1"/>
      <c r="X1799" s="241"/>
      <c r="Y1799" s="284"/>
      <c r="Z1799" s="207"/>
      <c r="AA1799" s="284"/>
      <c r="AB1799" s="284"/>
      <c r="AC1799" s="284"/>
      <c r="AD1799" s="284"/>
      <c r="AE1799" s="284"/>
      <c r="AF1799" s="284"/>
      <c r="AG1799" s="284"/>
      <c r="AI1799" s="131"/>
    </row>
    <row r="1800" spans="1:35" ht="26.4">
      <c r="A1800" s="284"/>
      <c r="B1800" s="284"/>
      <c r="C1800" s="284"/>
      <c r="D1800" s="284"/>
      <c r="E1800" s="284"/>
      <c r="F1800" s="284"/>
      <c r="G1800" s="284"/>
      <c r="H1800" s="284"/>
      <c r="I1800" s="284"/>
      <c r="J1800" s="375"/>
      <c r="K1800" s="375"/>
      <c r="L1800" s="375"/>
      <c r="M1800" s="368"/>
      <c r="N1800" s="368"/>
      <c r="O1800" s="370"/>
      <c r="T1800" s="340"/>
      <c r="V1800" s="378"/>
      <c r="W1800" s="64" ph="1"/>
      <c r="X1800" s="241"/>
      <c r="Y1800" s="284"/>
      <c r="Z1800" s="207"/>
      <c r="AA1800" s="284"/>
      <c r="AB1800" s="284"/>
      <c r="AC1800" s="284"/>
      <c r="AD1800" s="284"/>
      <c r="AE1800" s="284"/>
      <c r="AF1800" s="284"/>
      <c r="AG1800" s="284"/>
      <c r="AI1800" s="131"/>
    </row>
    <row r="1801" spans="1:35" ht="26.4">
      <c r="A1801" s="284"/>
      <c r="B1801" s="284"/>
      <c r="C1801" s="284"/>
      <c r="D1801" s="284"/>
      <c r="E1801" s="284"/>
      <c r="F1801" s="284"/>
      <c r="G1801" s="284"/>
      <c r="H1801" s="284"/>
      <c r="I1801" s="284"/>
      <c r="J1801" s="375"/>
      <c r="K1801" s="375"/>
      <c r="L1801" s="375"/>
      <c r="M1801" s="368"/>
      <c r="N1801" s="368"/>
      <c r="O1801" s="370"/>
      <c r="T1801" s="340"/>
      <c r="V1801" s="378"/>
      <c r="W1801" s="64" ph="1"/>
      <c r="X1801" s="241"/>
      <c r="Y1801" s="284"/>
      <c r="Z1801" s="207"/>
      <c r="AA1801" s="284"/>
      <c r="AB1801" s="284"/>
      <c r="AC1801" s="284"/>
      <c r="AD1801" s="284"/>
      <c r="AE1801" s="284"/>
      <c r="AF1801" s="284"/>
      <c r="AG1801" s="284"/>
      <c r="AI1801" s="131"/>
    </row>
    <row r="1802" spans="1:35" ht="26.4">
      <c r="A1802" s="284"/>
      <c r="B1802" s="284"/>
      <c r="C1802" s="284"/>
      <c r="D1802" s="284"/>
      <c r="E1802" s="284"/>
      <c r="F1802" s="284"/>
      <c r="G1802" s="284"/>
      <c r="H1802" s="284"/>
      <c r="I1802" s="284"/>
      <c r="J1802" s="375"/>
      <c r="K1802" s="375"/>
      <c r="L1802" s="375"/>
      <c r="M1802" s="368"/>
      <c r="N1802" s="368"/>
      <c r="O1802" s="370"/>
      <c r="T1802" s="340"/>
      <c r="V1802" s="378"/>
      <c r="W1802" s="64" ph="1"/>
      <c r="X1802" s="241"/>
      <c r="Y1802" s="284"/>
      <c r="Z1802" s="207"/>
      <c r="AA1802" s="284"/>
      <c r="AB1802" s="284"/>
      <c r="AC1802" s="284"/>
      <c r="AD1802" s="284"/>
      <c r="AE1802" s="284"/>
      <c r="AF1802" s="284"/>
      <c r="AG1802" s="284"/>
      <c r="AI1802" s="131"/>
    </row>
    <row r="1803" spans="1:35" ht="26.4">
      <c r="A1803" s="284"/>
      <c r="B1803" s="284"/>
      <c r="C1803" s="284"/>
      <c r="D1803" s="284"/>
      <c r="E1803" s="284"/>
      <c r="F1803" s="284"/>
      <c r="G1803" s="284"/>
      <c r="H1803" s="284"/>
      <c r="I1803" s="284"/>
      <c r="J1803" s="375"/>
      <c r="K1803" s="375"/>
      <c r="L1803" s="375"/>
      <c r="M1803" s="368"/>
      <c r="N1803" s="368"/>
      <c r="O1803" s="370"/>
      <c r="T1803" s="340"/>
      <c r="V1803" s="378"/>
      <c r="W1803" s="64" ph="1"/>
      <c r="X1803" s="241"/>
      <c r="Y1803" s="284"/>
      <c r="Z1803" s="207"/>
      <c r="AA1803" s="284"/>
      <c r="AB1803" s="284"/>
      <c r="AC1803" s="284"/>
      <c r="AD1803" s="284"/>
      <c r="AE1803" s="284"/>
      <c r="AF1803" s="284"/>
      <c r="AG1803" s="284"/>
      <c r="AI1803" s="128"/>
    </row>
    <row r="1804" spans="1:35" ht="26.4">
      <c r="A1804" s="284"/>
      <c r="B1804" s="284"/>
      <c r="C1804" s="284"/>
      <c r="D1804" s="284"/>
      <c r="E1804" s="284"/>
      <c r="F1804" s="284"/>
      <c r="G1804" s="284"/>
      <c r="H1804" s="284"/>
      <c r="I1804" s="284"/>
      <c r="J1804" s="375"/>
      <c r="K1804" s="375"/>
      <c r="L1804" s="375"/>
      <c r="M1804" s="368"/>
      <c r="N1804" s="368"/>
      <c r="O1804" s="370"/>
      <c r="T1804" s="340"/>
      <c r="V1804" s="378"/>
      <c r="W1804" s="64" ph="1"/>
      <c r="X1804" s="241"/>
      <c r="Y1804" s="284"/>
      <c r="Z1804" s="207"/>
      <c r="AA1804" s="284"/>
      <c r="AB1804" s="284"/>
      <c r="AC1804" s="284"/>
      <c r="AD1804" s="284"/>
      <c r="AE1804" s="284"/>
      <c r="AF1804" s="284"/>
      <c r="AG1804" s="284"/>
      <c r="AI1804" s="131"/>
    </row>
    <row r="1805" spans="1:35" ht="26.4">
      <c r="A1805" s="284"/>
      <c r="B1805" s="284"/>
      <c r="C1805" s="284"/>
      <c r="D1805" s="284"/>
      <c r="E1805" s="284"/>
      <c r="F1805" s="284"/>
      <c r="G1805" s="284"/>
      <c r="H1805" s="284"/>
      <c r="I1805" s="284"/>
      <c r="J1805" s="375"/>
      <c r="K1805" s="375"/>
      <c r="L1805" s="375"/>
      <c r="M1805" s="368"/>
      <c r="N1805" s="368"/>
      <c r="O1805" s="370"/>
      <c r="T1805" s="340"/>
      <c r="V1805" s="378"/>
      <c r="W1805" s="64" ph="1"/>
      <c r="X1805" s="241"/>
      <c r="Y1805" s="284"/>
      <c r="Z1805" s="207"/>
      <c r="AA1805" s="284"/>
      <c r="AB1805" s="284"/>
      <c r="AC1805" s="284"/>
      <c r="AD1805" s="284"/>
      <c r="AE1805" s="284"/>
      <c r="AF1805" s="284"/>
      <c r="AG1805" s="284"/>
      <c r="AI1805" s="131"/>
    </row>
    <row r="1806" spans="1:35" ht="26.4">
      <c r="A1806" s="284"/>
      <c r="B1806" s="284"/>
      <c r="C1806" s="284"/>
      <c r="D1806" s="284"/>
      <c r="E1806" s="284"/>
      <c r="F1806" s="284"/>
      <c r="G1806" s="284"/>
      <c r="H1806" s="284"/>
      <c r="I1806" s="284"/>
      <c r="J1806" s="375"/>
      <c r="K1806" s="375"/>
      <c r="L1806" s="375"/>
      <c r="M1806" s="368"/>
      <c r="N1806" s="368"/>
      <c r="O1806" s="370"/>
      <c r="T1806" s="340"/>
      <c r="V1806" s="378"/>
      <c r="W1806" s="64" ph="1"/>
      <c r="X1806" s="241"/>
      <c r="Y1806" s="284"/>
      <c r="Z1806" s="207"/>
      <c r="AA1806" s="284"/>
      <c r="AB1806" s="284"/>
      <c r="AC1806" s="284"/>
      <c r="AD1806" s="284"/>
      <c r="AE1806" s="284"/>
      <c r="AF1806" s="284"/>
      <c r="AG1806" s="284"/>
      <c r="AI1806" s="131"/>
    </row>
    <row r="1807" spans="1:35" ht="26.4">
      <c r="A1807" s="284"/>
      <c r="B1807" s="284"/>
      <c r="C1807" s="284"/>
      <c r="D1807" s="284"/>
      <c r="E1807" s="284"/>
      <c r="F1807" s="284"/>
      <c r="G1807" s="284"/>
      <c r="H1807" s="284"/>
      <c r="I1807" s="284"/>
      <c r="J1807" s="375"/>
      <c r="K1807" s="375"/>
      <c r="L1807" s="375"/>
      <c r="M1807" s="368"/>
      <c r="N1807" s="368"/>
      <c r="O1807" s="370"/>
      <c r="T1807" s="340"/>
      <c r="V1807" s="378"/>
      <c r="W1807" s="64" ph="1"/>
      <c r="X1807" s="241"/>
      <c r="Y1807" s="284"/>
      <c r="Z1807" s="207"/>
      <c r="AA1807" s="284"/>
      <c r="AB1807" s="284"/>
      <c r="AC1807" s="284"/>
      <c r="AD1807" s="284"/>
      <c r="AE1807" s="284"/>
      <c r="AF1807" s="284"/>
      <c r="AG1807" s="284"/>
      <c r="AI1807" s="131"/>
    </row>
    <row r="1808" spans="1:35" ht="26.4">
      <c r="A1808" s="284"/>
      <c r="B1808" s="284"/>
      <c r="C1808" s="284"/>
      <c r="D1808" s="284"/>
      <c r="E1808" s="284"/>
      <c r="F1808" s="284"/>
      <c r="G1808" s="284"/>
      <c r="H1808" s="284"/>
      <c r="I1808" s="284"/>
      <c r="J1808" s="375"/>
      <c r="K1808" s="375"/>
      <c r="L1808" s="375"/>
      <c r="M1808" s="368"/>
      <c r="N1808" s="368"/>
      <c r="O1808" s="370"/>
      <c r="T1808" s="340"/>
      <c r="V1808" s="378"/>
      <c r="W1808" s="64" ph="1"/>
      <c r="X1808" s="241"/>
      <c r="Y1808" s="284"/>
      <c r="Z1808" s="207"/>
      <c r="AA1808" s="284"/>
      <c r="AB1808" s="284"/>
      <c r="AC1808" s="284"/>
      <c r="AD1808" s="284"/>
      <c r="AE1808" s="284"/>
      <c r="AF1808" s="284"/>
      <c r="AG1808" s="284"/>
      <c r="AI1808" s="131"/>
    </row>
    <row r="1809" spans="1:35" ht="26.4">
      <c r="A1809" s="284"/>
      <c r="B1809" s="284"/>
      <c r="C1809" s="284"/>
      <c r="D1809" s="284"/>
      <c r="E1809" s="284"/>
      <c r="F1809" s="284"/>
      <c r="G1809" s="284"/>
      <c r="H1809" s="284"/>
      <c r="I1809" s="284"/>
      <c r="J1809" s="375"/>
      <c r="K1809" s="375"/>
      <c r="L1809" s="375"/>
      <c r="M1809" s="368"/>
      <c r="N1809" s="368"/>
      <c r="O1809" s="370"/>
      <c r="T1809" s="340"/>
      <c r="V1809" s="378"/>
      <c r="W1809" s="64" ph="1"/>
      <c r="X1809" s="241"/>
      <c r="Y1809" s="284"/>
      <c r="Z1809" s="207"/>
      <c r="AA1809" s="284"/>
      <c r="AB1809" s="284"/>
      <c r="AC1809" s="284"/>
      <c r="AD1809" s="284"/>
      <c r="AE1809" s="284"/>
      <c r="AF1809" s="284"/>
      <c r="AG1809" s="284"/>
      <c r="AI1809" s="131"/>
    </row>
    <row r="1810" spans="1:35" ht="26.4">
      <c r="A1810" s="284"/>
      <c r="B1810" s="284"/>
      <c r="C1810" s="284"/>
      <c r="D1810" s="284"/>
      <c r="E1810" s="284"/>
      <c r="F1810" s="284"/>
      <c r="G1810" s="284"/>
      <c r="H1810" s="284"/>
      <c r="I1810" s="284"/>
      <c r="J1810" s="375"/>
      <c r="K1810" s="375"/>
      <c r="L1810" s="375"/>
      <c r="M1810" s="368"/>
      <c r="N1810" s="368"/>
      <c r="O1810" s="370"/>
      <c r="T1810" s="340"/>
      <c r="V1810" s="378"/>
      <c r="W1810" s="64" ph="1"/>
      <c r="X1810" s="241"/>
      <c r="Y1810" s="284"/>
      <c r="Z1810" s="207"/>
      <c r="AA1810" s="284"/>
      <c r="AB1810" s="284"/>
      <c r="AC1810" s="284"/>
      <c r="AD1810" s="284"/>
      <c r="AE1810" s="284"/>
      <c r="AF1810" s="284"/>
      <c r="AG1810" s="284"/>
      <c r="AI1810" s="131"/>
    </row>
    <row r="1811" spans="1:35" ht="26.4">
      <c r="A1811" s="284"/>
      <c r="B1811" s="284"/>
      <c r="C1811" s="284"/>
      <c r="D1811" s="284"/>
      <c r="E1811" s="284"/>
      <c r="F1811" s="284"/>
      <c r="G1811" s="284"/>
      <c r="H1811" s="284"/>
      <c r="I1811" s="284"/>
      <c r="J1811" s="375"/>
      <c r="K1811" s="375"/>
      <c r="L1811" s="375"/>
      <c r="M1811" s="368"/>
      <c r="N1811" s="368"/>
      <c r="O1811" s="370"/>
      <c r="T1811" s="340"/>
      <c r="V1811" s="378"/>
      <c r="W1811" s="64" ph="1"/>
      <c r="X1811" s="241"/>
      <c r="Y1811" s="284"/>
      <c r="Z1811" s="207"/>
      <c r="AA1811" s="284"/>
      <c r="AB1811" s="284"/>
      <c r="AC1811" s="284"/>
      <c r="AD1811" s="284"/>
      <c r="AE1811" s="284"/>
      <c r="AF1811" s="284"/>
      <c r="AG1811" s="284"/>
      <c r="AI1811" s="131"/>
    </row>
    <row r="1812" spans="1:35" ht="26.4">
      <c r="A1812" s="284"/>
      <c r="B1812" s="284"/>
      <c r="C1812" s="284"/>
      <c r="D1812" s="284"/>
      <c r="E1812" s="284"/>
      <c r="F1812" s="284"/>
      <c r="G1812" s="284"/>
      <c r="H1812" s="284"/>
      <c r="I1812" s="284"/>
      <c r="J1812" s="375"/>
      <c r="K1812" s="375"/>
      <c r="L1812" s="375"/>
      <c r="M1812" s="368"/>
      <c r="N1812" s="368"/>
      <c r="O1812" s="370"/>
      <c r="T1812" s="340"/>
      <c r="V1812" s="378"/>
      <c r="W1812" s="64" ph="1"/>
      <c r="X1812" s="241"/>
      <c r="Y1812" s="284"/>
      <c r="Z1812" s="207"/>
      <c r="AA1812" s="284"/>
      <c r="AB1812" s="284"/>
      <c r="AC1812" s="284"/>
      <c r="AD1812" s="284"/>
      <c r="AE1812" s="284"/>
      <c r="AF1812" s="284"/>
      <c r="AG1812" s="284"/>
      <c r="AI1812" s="131"/>
    </row>
    <row r="1813" spans="1:35" ht="26.4">
      <c r="A1813" s="284"/>
      <c r="B1813" s="284"/>
      <c r="C1813" s="284"/>
      <c r="D1813" s="284"/>
      <c r="E1813" s="284"/>
      <c r="F1813" s="284"/>
      <c r="G1813" s="284"/>
      <c r="H1813" s="284"/>
      <c r="I1813" s="284"/>
      <c r="J1813" s="375"/>
      <c r="K1813" s="375"/>
      <c r="L1813" s="375"/>
      <c r="M1813" s="368"/>
      <c r="N1813" s="368"/>
      <c r="O1813" s="370"/>
      <c r="T1813" s="340"/>
      <c r="V1813" s="378"/>
      <c r="W1813" s="64" ph="1"/>
      <c r="X1813" s="241"/>
      <c r="Y1813" s="284"/>
      <c r="Z1813" s="207"/>
      <c r="AA1813" s="284"/>
      <c r="AB1813" s="284"/>
      <c r="AC1813" s="284"/>
      <c r="AD1813" s="284"/>
      <c r="AE1813" s="284"/>
      <c r="AF1813" s="284"/>
      <c r="AG1813" s="284"/>
      <c r="AI1813" s="131"/>
    </row>
    <row r="1814" spans="1:35" ht="26.4">
      <c r="A1814" s="284"/>
      <c r="B1814" s="284"/>
      <c r="C1814" s="284"/>
      <c r="D1814" s="284"/>
      <c r="E1814" s="284"/>
      <c r="F1814" s="284"/>
      <c r="G1814" s="284"/>
      <c r="H1814" s="284"/>
      <c r="I1814" s="284"/>
      <c r="J1814" s="375"/>
      <c r="K1814" s="375"/>
      <c r="L1814" s="375"/>
      <c r="M1814" s="368"/>
      <c r="N1814" s="368"/>
      <c r="O1814" s="370"/>
      <c r="T1814" s="340"/>
      <c r="V1814" s="378"/>
      <c r="W1814" s="64" ph="1"/>
      <c r="X1814" s="241"/>
      <c r="Y1814" s="284"/>
      <c r="Z1814" s="207"/>
      <c r="AA1814" s="284"/>
      <c r="AB1814" s="284"/>
      <c r="AC1814" s="284"/>
      <c r="AD1814" s="284"/>
      <c r="AE1814" s="284"/>
      <c r="AF1814" s="284"/>
      <c r="AG1814" s="284"/>
      <c r="AI1814" s="131"/>
    </row>
    <row r="1815" spans="1:35" ht="26.4">
      <c r="A1815" s="284"/>
      <c r="B1815" s="284"/>
      <c r="C1815" s="284"/>
      <c r="D1815" s="284"/>
      <c r="E1815" s="284"/>
      <c r="F1815" s="284"/>
      <c r="G1815" s="284"/>
      <c r="H1815" s="284"/>
      <c r="I1815" s="284"/>
      <c r="J1815" s="375"/>
      <c r="K1815" s="375"/>
      <c r="L1815" s="375"/>
      <c r="M1815" s="368"/>
      <c r="N1815" s="368"/>
      <c r="O1815" s="370"/>
      <c r="T1815" s="340"/>
      <c r="V1815" s="378"/>
      <c r="W1815" s="64" ph="1"/>
      <c r="X1815" s="241"/>
      <c r="Y1815" s="284"/>
      <c r="Z1815" s="207"/>
      <c r="AA1815" s="284"/>
      <c r="AB1815" s="284"/>
      <c r="AC1815" s="284"/>
      <c r="AD1815" s="284"/>
      <c r="AE1815" s="284"/>
      <c r="AF1815" s="284"/>
      <c r="AG1815" s="284"/>
      <c r="AI1815" s="131"/>
    </row>
    <row r="1816" spans="1:35" ht="26.4">
      <c r="A1816" s="284"/>
      <c r="B1816" s="284"/>
      <c r="C1816" s="284"/>
      <c r="D1816" s="284"/>
      <c r="E1816" s="284"/>
      <c r="F1816" s="284"/>
      <c r="G1816" s="284"/>
      <c r="H1816" s="284"/>
      <c r="I1816" s="284"/>
      <c r="J1816" s="375"/>
      <c r="K1816" s="375"/>
      <c r="L1816" s="375"/>
      <c r="M1816" s="368"/>
      <c r="N1816" s="368"/>
      <c r="O1816" s="370"/>
      <c r="T1816" s="340"/>
      <c r="V1816" s="378"/>
      <c r="W1816" s="64" ph="1"/>
      <c r="X1816" s="241"/>
      <c r="Y1816" s="284"/>
      <c r="Z1816" s="207"/>
      <c r="AA1816" s="284"/>
      <c r="AB1816" s="284"/>
      <c r="AC1816" s="284"/>
      <c r="AD1816" s="284"/>
      <c r="AE1816" s="284"/>
      <c r="AF1816" s="284"/>
      <c r="AG1816" s="284"/>
      <c r="AI1816" s="131"/>
    </row>
    <row r="1817" spans="1:35" ht="26.4">
      <c r="A1817" s="284"/>
      <c r="B1817" s="284"/>
      <c r="C1817" s="284"/>
      <c r="D1817" s="284"/>
      <c r="E1817" s="284"/>
      <c r="F1817" s="284"/>
      <c r="G1817" s="284"/>
      <c r="H1817" s="284"/>
      <c r="I1817" s="284"/>
      <c r="J1817" s="375"/>
      <c r="K1817" s="375"/>
      <c r="L1817" s="375"/>
      <c r="M1817" s="368"/>
      <c r="N1817" s="368"/>
      <c r="O1817" s="370"/>
      <c r="T1817" s="340"/>
      <c r="V1817" s="378"/>
      <c r="W1817" s="64" ph="1"/>
      <c r="X1817" s="241"/>
      <c r="Y1817" s="284"/>
      <c r="Z1817" s="207"/>
      <c r="AA1817" s="284"/>
      <c r="AB1817" s="284"/>
      <c r="AC1817" s="284"/>
      <c r="AD1817" s="284"/>
      <c r="AE1817" s="284"/>
      <c r="AF1817" s="284"/>
      <c r="AG1817" s="284"/>
      <c r="AI1817" s="131"/>
    </row>
    <row r="1818" spans="1:35" ht="26.4">
      <c r="A1818" s="284"/>
      <c r="B1818" s="284"/>
      <c r="C1818" s="284"/>
      <c r="D1818" s="284"/>
      <c r="E1818" s="284"/>
      <c r="F1818" s="284"/>
      <c r="G1818" s="284"/>
      <c r="H1818" s="284"/>
      <c r="I1818" s="284"/>
      <c r="J1818" s="375"/>
      <c r="K1818" s="375"/>
      <c r="L1818" s="375"/>
      <c r="M1818" s="368"/>
      <c r="N1818" s="368"/>
      <c r="O1818" s="370"/>
      <c r="T1818" s="340"/>
      <c r="V1818" s="378"/>
      <c r="W1818" s="64" ph="1"/>
      <c r="X1818" s="241"/>
      <c r="Y1818" s="284"/>
      <c r="Z1818" s="207"/>
      <c r="AA1818" s="284"/>
      <c r="AB1818" s="284"/>
      <c r="AC1818" s="284"/>
      <c r="AD1818" s="284"/>
      <c r="AE1818" s="284"/>
      <c r="AF1818" s="284"/>
      <c r="AG1818" s="284"/>
      <c r="AI1818" s="131"/>
    </row>
    <row r="1819" spans="1:35" ht="26.4">
      <c r="A1819" s="284"/>
      <c r="B1819" s="284"/>
      <c r="C1819" s="284"/>
      <c r="D1819" s="284"/>
      <c r="E1819" s="284"/>
      <c r="F1819" s="284"/>
      <c r="G1819" s="284"/>
      <c r="H1819" s="284"/>
      <c r="I1819" s="284"/>
      <c r="J1819" s="375"/>
      <c r="K1819" s="375"/>
      <c r="L1819" s="375"/>
      <c r="M1819" s="368"/>
      <c r="N1819" s="368"/>
      <c r="O1819" s="370"/>
      <c r="T1819" s="340"/>
      <c r="V1819" s="378"/>
      <c r="W1819" s="64" ph="1"/>
      <c r="X1819" s="241"/>
      <c r="Y1819" s="284"/>
      <c r="Z1819" s="207"/>
      <c r="AA1819" s="284"/>
      <c r="AB1819" s="284"/>
      <c r="AC1819" s="284"/>
      <c r="AD1819" s="284"/>
      <c r="AE1819" s="284"/>
      <c r="AF1819" s="284"/>
      <c r="AG1819" s="284"/>
      <c r="AI1819" s="131"/>
    </row>
    <row r="1820" spans="1:35" ht="26.4">
      <c r="A1820" s="284"/>
      <c r="B1820" s="284"/>
      <c r="C1820" s="284"/>
      <c r="D1820" s="284"/>
      <c r="E1820" s="284"/>
      <c r="F1820" s="284"/>
      <c r="G1820" s="284"/>
      <c r="H1820" s="284"/>
      <c r="I1820" s="284"/>
      <c r="J1820" s="375"/>
      <c r="K1820" s="375"/>
      <c r="L1820" s="375"/>
      <c r="M1820" s="368"/>
      <c r="N1820" s="368"/>
      <c r="O1820" s="370"/>
      <c r="T1820" s="340"/>
      <c r="V1820" s="378"/>
      <c r="W1820" s="64" ph="1"/>
      <c r="X1820" s="241"/>
      <c r="Y1820" s="284"/>
      <c r="Z1820" s="207"/>
      <c r="AA1820" s="284"/>
      <c r="AB1820" s="284"/>
      <c r="AC1820" s="284"/>
      <c r="AD1820" s="284"/>
      <c r="AE1820" s="284"/>
      <c r="AF1820" s="284"/>
      <c r="AG1820" s="284"/>
      <c r="AI1820" s="131"/>
    </row>
    <row r="1821" spans="1:35" ht="26.4">
      <c r="A1821" s="284"/>
      <c r="B1821" s="284"/>
      <c r="C1821" s="284"/>
      <c r="D1821" s="284"/>
      <c r="E1821" s="284"/>
      <c r="F1821" s="284"/>
      <c r="G1821" s="284"/>
      <c r="H1821" s="284"/>
      <c r="I1821" s="284"/>
      <c r="J1821" s="375"/>
      <c r="K1821" s="375"/>
      <c r="L1821" s="375"/>
      <c r="M1821" s="368"/>
      <c r="N1821" s="368"/>
      <c r="O1821" s="370"/>
      <c r="T1821" s="340"/>
      <c r="V1821" s="378"/>
      <c r="W1821" s="64" ph="1"/>
      <c r="X1821" s="241"/>
      <c r="Y1821" s="284"/>
      <c r="Z1821" s="207"/>
      <c r="AA1821" s="284"/>
      <c r="AB1821" s="284"/>
      <c r="AC1821" s="284"/>
      <c r="AD1821" s="284"/>
      <c r="AE1821" s="284"/>
      <c r="AF1821" s="284"/>
      <c r="AG1821" s="284"/>
      <c r="AI1821" s="131"/>
    </row>
    <row r="1822" spans="1:35" ht="26.4">
      <c r="A1822" s="284"/>
      <c r="B1822" s="284"/>
      <c r="C1822" s="284"/>
      <c r="D1822" s="284"/>
      <c r="E1822" s="284"/>
      <c r="F1822" s="284"/>
      <c r="G1822" s="284"/>
      <c r="H1822" s="284"/>
      <c r="I1822" s="284"/>
      <c r="J1822" s="375"/>
      <c r="K1822" s="375"/>
      <c r="L1822" s="375"/>
      <c r="M1822" s="368"/>
      <c r="N1822" s="368"/>
      <c r="O1822" s="370"/>
      <c r="T1822" s="340"/>
      <c r="V1822" s="378"/>
      <c r="W1822" s="64" ph="1"/>
      <c r="X1822" s="241"/>
      <c r="Y1822" s="284"/>
      <c r="Z1822" s="207"/>
      <c r="AA1822" s="284"/>
      <c r="AB1822" s="284"/>
      <c r="AC1822" s="284"/>
      <c r="AD1822" s="284"/>
      <c r="AE1822" s="284"/>
      <c r="AF1822" s="284"/>
      <c r="AG1822" s="284"/>
      <c r="AI1822" s="131"/>
    </row>
    <row r="1823" spans="1:35" ht="26.4">
      <c r="A1823" s="284"/>
      <c r="B1823" s="284"/>
      <c r="C1823" s="284"/>
      <c r="D1823" s="284"/>
      <c r="E1823" s="284"/>
      <c r="F1823" s="284"/>
      <c r="G1823" s="284"/>
      <c r="H1823" s="284"/>
      <c r="I1823" s="284"/>
      <c r="J1823" s="375"/>
      <c r="K1823" s="375"/>
      <c r="L1823" s="375"/>
      <c r="M1823" s="368"/>
      <c r="N1823" s="368"/>
      <c r="O1823" s="370"/>
      <c r="T1823" s="340"/>
      <c r="V1823" s="378"/>
      <c r="W1823" s="64" ph="1"/>
      <c r="X1823" s="241"/>
      <c r="Y1823" s="284"/>
      <c r="Z1823" s="207"/>
      <c r="AA1823" s="284"/>
      <c r="AB1823" s="284"/>
      <c r="AC1823" s="284"/>
      <c r="AD1823" s="284"/>
      <c r="AE1823" s="284"/>
      <c r="AF1823" s="284"/>
      <c r="AG1823" s="284"/>
      <c r="AI1823" s="131"/>
    </row>
    <row r="1824" spans="1:35" ht="26.4">
      <c r="A1824" s="284"/>
      <c r="B1824" s="284"/>
      <c r="C1824" s="284"/>
      <c r="D1824" s="284"/>
      <c r="E1824" s="284"/>
      <c r="F1824" s="284"/>
      <c r="G1824" s="284"/>
      <c r="H1824" s="284"/>
      <c r="I1824" s="284"/>
      <c r="J1824" s="375"/>
      <c r="K1824" s="375"/>
      <c r="L1824" s="375"/>
      <c r="M1824" s="368"/>
      <c r="N1824" s="368"/>
      <c r="O1824" s="370"/>
      <c r="T1824" s="340"/>
      <c r="V1824" s="378"/>
      <c r="W1824" s="64" ph="1"/>
      <c r="X1824" s="241"/>
      <c r="Y1824" s="284"/>
      <c r="Z1824" s="207"/>
      <c r="AA1824" s="284"/>
      <c r="AB1824" s="284"/>
      <c r="AC1824" s="284"/>
      <c r="AD1824" s="284"/>
      <c r="AE1824" s="284"/>
      <c r="AF1824" s="284"/>
      <c r="AG1824" s="284"/>
      <c r="AI1824" s="131"/>
    </row>
    <row r="1825" spans="1:35" ht="26.4">
      <c r="A1825" s="284"/>
      <c r="B1825" s="284"/>
      <c r="C1825" s="284"/>
      <c r="D1825" s="284"/>
      <c r="E1825" s="284"/>
      <c r="F1825" s="284"/>
      <c r="G1825" s="284"/>
      <c r="H1825" s="284"/>
      <c r="I1825" s="284"/>
      <c r="J1825" s="375"/>
      <c r="K1825" s="375"/>
      <c r="L1825" s="375"/>
      <c r="M1825" s="368"/>
      <c r="N1825" s="368"/>
      <c r="O1825" s="370"/>
      <c r="T1825" s="340"/>
      <c r="V1825" s="378"/>
      <c r="W1825" s="64" ph="1"/>
      <c r="X1825" s="241"/>
      <c r="Y1825" s="284"/>
      <c r="Z1825" s="207"/>
      <c r="AA1825" s="284"/>
      <c r="AB1825" s="284"/>
      <c r="AC1825" s="284"/>
      <c r="AD1825" s="284"/>
      <c r="AE1825" s="284"/>
      <c r="AF1825" s="284"/>
      <c r="AG1825" s="284"/>
      <c r="AI1825" s="131"/>
    </row>
    <row r="1826" spans="1:35" ht="26.4">
      <c r="A1826" s="284"/>
      <c r="B1826" s="284"/>
      <c r="C1826" s="284"/>
      <c r="D1826" s="284"/>
      <c r="E1826" s="284"/>
      <c r="F1826" s="284"/>
      <c r="G1826" s="284"/>
      <c r="H1826" s="284"/>
      <c r="I1826" s="284"/>
      <c r="J1826" s="375"/>
      <c r="K1826" s="375"/>
      <c r="L1826" s="375"/>
      <c r="M1826" s="368"/>
      <c r="N1826" s="368"/>
      <c r="O1826" s="370"/>
      <c r="T1826" s="340"/>
      <c r="V1826" s="378"/>
      <c r="W1826" s="64" ph="1"/>
      <c r="X1826" s="241"/>
      <c r="Y1826" s="284"/>
      <c r="Z1826" s="207"/>
      <c r="AA1826" s="284"/>
      <c r="AB1826" s="284"/>
      <c r="AC1826" s="284"/>
      <c r="AD1826" s="284"/>
      <c r="AE1826" s="284"/>
      <c r="AF1826" s="284"/>
      <c r="AG1826" s="284"/>
      <c r="AI1826" s="131"/>
    </row>
    <row r="1827" spans="1:35" ht="26.4">
      <c r="A1827" s="284"/>
      <c r="B1827" s="284"/>
      <c r="C1827" s="284"/>
      <c r="D1827" s="284"/>
      <c r="E1827" s="284"/>
      <c r="F1827" s="284"/>
      <c r="G1827" s="284"/>
      <c r="H1827" s="284"/>
      <c r="I1827" s="284"/>
      <c r="J1827" s="375"/>
      <c r="K1827" s="375"/>
      <c r="L1827" s="375"/>
      <c r="M1827" s="368"/>
      <c r="N1827" s="368"/>
      <c r="O1827" s="370"/>
      <c r="T1827" s="340"/>
      <c r="V1827" s="378"/>
      <c r="W1827" s="64" ph="1"/>
      <c r="X1827" s="241"/>
      <c r="Y1827" s="284"/>
      <c r="Z1827" s="207"/>
      <c r="AA1827" s="284"/>
      <c r="AB1827" s="284"/>
      <c r="AC1827" s="284"/>
      <c r="AD1827" s="284"/>
      <c r="AE1827" s="284"/>
      <c r="AF1827" s="284"/>
      <c r="AG1827" s="284"/>
      <c r="AI1827" s="284"/>
    </row>
    <row r="1828" spans="1:35" ht="26.4">
      <c r="A1828" s="284"/>
      <c r="B1828" s="284"/>
      <c r="C1828" s="284"/>
      <c r="D1828" s="284"/>
      <c r="E1828" s="284"/>
      <c r="F1828" s="284"/>
      <c r="G1828" s="284"/>
      <c r="H1828" s="284"/>
      <c r="I1828" s="284"/>
      <c r="J1828" s="375"/>
      <c r="K1828" s="375"/>
      <c r="L1828" s="375"/>
      <c r="M1828" s="368"/>
      <c r="N1828" s="368"/>
      <c r="O1828" s="370"/>
      <c r="T1828" s="340"/>
      <c r="V1828" s="378"/>
      <c r="W1828" s="64" ph="1"/>
      <c r="X1828" s="241"/>
      <c r="Y1828" s="284"/>
      <c r="Z1828" s="207"/>
      <c r="AA1828" s="284"/>
      <c r="AB1828" s="284"/>
      <c r="AC1828" s="284"/>
      <c r="AD1828" s="284"/>
      <c r="AE1828" s="284"/>
      <c r="AF1828" s="284"/>
      <c r="AG1828" s="284"/>
      <c r="AI1828" s="131"/>
    </row>
    <row r="1829" spans="1:35" ht="26.4">
      <c r="A1829" s="284"/>
      <c r="B1829" s="284"/>
      <c r="C1829" s="284"/>
      <c r="D1829" s="284"/>
      <c r="E1829" s="284"/>
      <c r="F1829" s="284"/>
      <c r="G1829" s="284"/>
      <c r="H1829" s="284"/>
      <c r="I1829" s="284"/>
      <c r="J1829" s="375"/>
      <c r="K1829" s="375"/>
      <c r="L1829" s="375"/>
      <c r="M1829" s="368"/>
      <c r="N1829" s="368"/>
      <c r="O1829" s="370"/>
      <c r="T1829" s="340"/>
      <c r="V1829" s="378"/>
      <c r="W1829" s="64" ph="1"/>
      <c r="X1829" s="241"/>
      <c r="Y1829" s="284"/>
      <c r="Z1829" s="207"/>
      <c r="AA1829" s="284"/>
      <c r="AB1829" s="284"/>
      <c r="AC1829" s="284"/>
      <c r="AD1829" s="284"/>
      <c r="AE1829" s="284"/>
      <c r="AF1829" s="284"/>
      <c r="AG1829" s="284"/>
      <c r="AI1829" s="131"/>
    </row>
    <row r="1830" spans="1:35" ht="26.4">
      <c r="A1830" s="284"/>
      <c r="B1830" s="284"/>
      <c r="C1830" s="284"/>
      <c r="D1830" s="284"/>
      <c r="E1830" s="284"/>
      <c r="F1830" s="284"/>
      <c r="G1830" s="284"/>
      <c r="H1830" s="284"/>
      <c r="I1830" s="284"/>
      <c r="J1830" s="375"/>
      <c r="K1830" s="375"/>
      <c r="L1830" s="375"/>
      <c r="M1830" s="368"/>
      <c r="N1830" s="368"/>
      <c r="O1830" s="370"/>
      <c r="T1830" s="340"/>
      <c r="V1830" s="378"/>
      <c r="W1830" s="64" ph="1"/>
      <c r="X1830" s="241"/>
      <c r="Y1830" s="284"/>
      <c r="Z1830" s="207"/>
      <c r="AA1830" s="284"/>
      <c r="AB1830" s="284"/>
      <c r="AC1830" s="284"/>
      <c r="AD1830" s="284"/>
      <c r="AE1830" s="284"/>
      <c r="AF1830" s="284"/>
      <c r="AG1830" s="284"/>
      <c r="AI1830" s="131"/>
    </row>
    <row r="1831" spans="1:35" ht="26.4">
      <c r="A1831" s="284"/>
      <c r="B1831" s="284"/>
      <c r="C1831" s="284"/>
      <c r="D1831" s="284"/>
      <c r="E1831" s="284"/>
      <c r="F1831" s="284"/>
      <c r="G1831" s="284"/>
      <c r="H1831" s="284"/>
      <c r="I1831" s="284"/>
      <c r="J1831" s="375"/>
      <c r="K1831" s="375"/>
      <c r="L1831" s="375"/>
      <c r="M1831" s="368"/>
      <c r="N1831" s="368"/>
      <c r="O1831" s="370"/>
      <c r="T1831" s="340"/>
      <c r="V1831" s="378"/>
      <c r="W1831" s="64" ph="1"/>
      <c r="X1831" s="241"/>
      <c r="Y1831" s="284"/>
      <c r="Z1831" s="207"/>
      <c r="AA1831" s="284"/>
      <c r="AB1831" s="284"/>
      <c r="AC1831" s="284"/>
      <c r="AD1831" s="284"/>
      <c r="AE1831" s="284"/>
      <c r="AF1831" s="284"/>
      <c r="AG1831" s="284"/>
      <c r="AI1831" s="131"/>
    </row>
    <row r="1832" spans="1:35" ht="26.4">
      <c r="A1832" s="284"/>
      <c r="B1832" s="284"/>
      <c r="C1832" s="284"/>
      <c r="D1832" s="284"/>
      <c r="E1832" s="284"/>
      <c r="F1832" s="284"/>
      <c r="G1832" s="284"/>
      <c r="H1832" s="284"/>
      <c r="I1832" s="284"/>
      <c r="J1832" s="375"/>
      <c r="K1832" s="375"/>
      <c r="L1832" s="375"/>
      <c r="M1832" s="368"/>
      <c r="N1832" s="368"/>
      <c r="O1832" s="370"/>
      <c r="T1832" s="340"/>
      <c r="V1832" s="378"/>
      <c r="W1832" s="64" ph="1"/>
      <c r="X1832" s="241"/>
      <c r="Y1832" s="284"/>
      <c r="Z1832" s="207"/>
      <c r="AA1832" s="284"/>
      <c r="AB1832" s="284"/>
      <c r="AC1832" s="284"/>
      <c r="AD1832" s="284"/>
      <c r="AE1832" s="284"/>
      <c r="AF1832" s="284"/>
      <c r="AG1832" s="284"/>
      <c r="AI1832" s="284"/>
    </row>
    <row r="1833" spans="1:35" ht="26.4">
      <c r="A1833" s="284"/>
      <c r="B1833" s="284"/>
      <c r="C1833" s="284"/>
      <c r="D1833" s="284"/>
      <c r="E1833" s="284"/>
      <c r="F1833" s="284"/>
      <c r="G1833" s="284"/>
      <c r="H1833" s="284"/>
      <c r="I1833" s="284"/>
      <c r="J1833" s="375"/>
      <c r="K1833" s="375"/>
      <c r="L1833" s="375"/>
      <c r="M1833" s="368"/>
      <c r="N1833" s="368"/>
      <c r="O1833" s="370"/>
      <c r="T1833" s="340"/>
      <c r="V1833" s="378"/>
      <c r="W1833" s="64" ph="1"/>
      <c r="X1833" s="241"/>
      <c r="Y1833" s="284"/>
      <c r="Z1833" s="207"/>
      <c r="AA1833" s="284"/>
      <c r="AB1833" s="284"/>
      <c r="AC1833" s="284"/>
      <c r="AD1833" s="284"/>
      <c r="AE1833" s="284"/>
      <c r="AF1833" s="284"/>
      <c r="AG1833" s="284"/>
      <c r="AI1833" s="131"/>
    </row>
    <row r="1834" spans="1:35" ht="26.4">
      <c r="A1834" s="284"/>
      <c r="B1834" s="284"/>
      <c r="C1834" s="284"/>
      <c r="D1834" s="284"/>
      <c r="E1834" s="284"/>
      <c r="F1834" s="284"/>
      <c r="G1834" s="284"/>
      <c r="H1834" s="284"/>
      <c r="I1834" s="284"/>
      <c r="J1834" s="375"/>
      <c r="K1834" s="375"/>
      <c r="L1834" s="375"/>
      <c r="M1834" s="368"/>
      <c r="N1834" s="368"/>
      <c r="O1834" s="370"/>
      <c r="T1834" s="340"/>
      <c r="V1834" s="378"/>
      <c r="W1834" s="64" ph="1"/>
      <c r="X1834" s="241"/>
      <c r="Y1834" s="284"/>
      <c r="Z1834" s="207"/>
      <c r="AA1834" s="284"/>
      <c r="AB1834" s="284"/>
      <c r="AC1834" s="284"/>
      <c r="AD1834" s="284"/>
      <c r="AE1834" s="284"/>
      <c r="AF1834" s="284"/>
      <c r="AG1834" s="284"/>
      <c r="AI1834" s="131"/>
    </row>
    <row r="1835" spans="1:35" ht="26.4">
      <c r="A1835" s="284"/>
      <c r="B1835" s="284"/>
      <c r="C1835" s="284"/>
      <c r="D1835" s="284"/>
      <c r="E1835" s="284"/>
      <c r="F1835" s="284"/>
      <c r="G1835" s="284"/>
      <c r="H1835" s="284"/>
      <c r="I1835" s="284"/>
      <c r="J1835" s="375"/>
      <c r="K1835" s="375"/>
      <c r="L1835" s="375"/>
      <c r="M1835" s="368"/>
      <c r="N1835" s="368"/>
      <c r="O1835" s="370"/>
      <c r="T1835" s="340"/>
      <c r="V1835" s="378"/>
      <c r="W1835" s="64" ph="1"/>
      <c r="X1835" s="241"/>
      <c r="Y1835" s="284"/>
      <c r="Z1835" s="207"/>
      <c r="AA1835" s="284"/>
      <c r="AB1835" s="284"/>
      <c r="AC1835" s="284"/>
      <c r="AD1835" s="284"/>
      <c r="AE1835" s="284"/>
      <c r="AF1835" s="284"/>
      <c r="AG1835" s="284"/>
      <c r="AI1835" s="131"/>
    </row>
    <row r="1836" spans="1:35" ht="26.4">
      <c r="A1836" s="284"/>
      <c r="B1836" s="284"/>
      <c r="C1836" s="284"/>
      <c r="D1836" s="284"/>
      <c r="E1836" s="284"/>
      <c r="F1836" s="284"/>
      <c r="G1836" s="284"/>
      <c r="H1836" s="284"/>
      <c r="I1836" s="284"/>
      <c r="J1836" s="375"/>
      <c r="K1836" s="375"/>
      <c r="L1836" s="375"/>
      <c r="M1836" s="368"/>
      <c r="N1836" s="368"/>
      <c r="O1836" s="370"/>
      <c r="T1836" s="340"/>
      <c r="V1836" s="378"/>
      <c r="W1836" s="64" ph="1"/>
      <c r="X1836" s="241"/>
      <c r="Y1836" s="284"/>
      <c r="Z1836" s="207"/>
      <c r="AA1836" s="284"/>
      <c r="AB1836" s="284"/>
      <c r="AC1836" s="284"/>
      <c r="AD1836" s="284"/>
      <c r="AE1836" s="284"/>
      <c r="AF1836" s="284"/>
      <c r="AG1836" s="284"/>
      <c r="AI1836" s="131"/>
    </row>
    <row r="1837" spans="1:35" ht="26.4">
      <c r="A1837" s="284"/>
      <c r="B1837" s="284"/>
      <c r="C1837" s="284"/>
      <c r="D1837" s="284"/>
      <c r="E1837" s="284"/>
      <c r="F1837" s="284"/>
      <c r="G1837" s="284"/>
      <c r="H1837" s="284"/>
      <c r="I1837" s="284"/>
      <c r="J1837" s="375"/>
      <c r="K1837" s="375"/>
      <c r="L1837" s="375"/>
      <c r="M1837" s="368"/>
      <c r="N1837" s="368"/>
      <c r="O1837" s="370"/>
      <c r="T1837" s="340"/>
      <c r="V1837" s="378"/>
      <c r="W1837" s="64" ph="1"/>
      <c r="X1837" s="241"/>
      <c r="Y1837" s="284"/>
      <c r="Z1837" s="207"/>
      <c r="AA1837" s="284"/>
      <c r="AB1837" s="284"/>
      <c r="AC1837" s="284"/>
      <c r="AD1837" s="284"/>
      <c r="AE1837" s="284"/>
      <c r="AF1837" s="284"/>
      <c r="AG1837" s="284"/>
      <c r="AI1837" s="131"/>
    </row>
    <row r="1838" spans="1:35" ht="26.4">
      <c r="A1838" s="284"/>
      <c r="B1838" s="284"/>
      <c r="C1838" s="284"/>
      <c r="D1838" s="284"/>
      <c r="E1838" s="284"/>
      <c r="F1838" s="284"/>
      <c r="G1838" s="284"/>
      <c r="H1838" s="284"/>
      <c r="I1838" s="284"/>
      <c r="J1838" s="375"/>
      <c r="K1838" s="375"/>
      <c r="L1838" s="375"/>
      <c r="M1838" s="368"/>
      <c r="N1838" s="368"/>
      <c r="O1838" s="370"/>
      <c r="T1838" s="340"/>
      <c r="V1838" s="378"/>
      <c r="W1838" s="64" ph="1"/>
      <c r="X1838" s="241"/>
      <c r="Y1838" s="284"/>
      <c r="Z1838" s="207"/>
      <c r="AA1838" s="284"/>
      <c r="AB1838" s="284"/>
      <c r="AC1838" s="284"/>
      <c r="AD1838" s="284"/>
      <c r="AE1838" s="284"/>
      <c r="AF1838" s="284"/>
      <c r="AG1838" s="284"/>
      <c r="AI1838" s="131"/>
    </row>
    <row r="1839" spans="1:35" ht="26.4">
      <c r="A1839" s="284"/>
      <c r="B1839" s="284"/>
      <c r="C1839" s="284"/>
      <c r="D1839" s="284"/>
      <c r="E1839" s="284"/>
      <c r="F1839" s="284"/>
      <c r="G1839" s="284"/>
      <c r="H1839" s="284"/>
      <c r="I1839" s="284"/>
      <c r="J1839" s="375"/>
      <c r="K1839" s="375"/>
      <c r="L1839" s="375"/>
      <c r="M1839" s="368"/>
      <c r="N1839" s="368"/>
      <c r="O1839" s="370"/>
      <c r="T1839" s="340"/>
      <c r="V1839" s="378"/>
      <c r="W1839" s="64" ph="1"/>
      <c r="X1839" s="241"/>
      <c r="Y1839" s="284"/>
      <c r="Z1839" s="207"/>
      <c r="AA1839" s="284"/>
      <c r="AB1839" s="284"/>
      <c r="AC1839" s="284"/>
      <c r="AD1839" s="284"/>
      <c r="AE1839" s="284"/>
      <c r="AF1839" s="284"/>
      <c r="AG1839" s="284"/>
      <c r="AI1839" s="131"/>
    </row>
    <row r="1840" spans="1:35" ht="26.4">
      <c r="A1840" s="284"/>
      <c r="B1840" s="284"/>
      <c r="C1840" s="284"/>
      <c r="D1840" s="284"/>
      <c r="E1840" s="284"/>
      <c r="F1840" s="284"/>
      <c r="G1840" s="284"/>
      <c r="H1840" s="284"/>
      <c r="I1840" s="284"/>
      <c r="J1840" s="375"/>
      <c r="K1840" s="375"/>
      <c r="L1840" s="375"/>
      <c r="M1840" s="368"/>
      <c r="N1840" s="368"/>
      <c r="O1840" s="370"/>
      <c r="T1840" s="340"/>
      <c r="V1840" s="378"/>
      <c r="W1840" s="64" ph="1"/>
      <c r="X1840" s="241"/>
      <c r="Y1840" s="284"/>
      <c r="Z1840" s="207"/>
      <c r="AA1840" s="284"/>
      <c r="AB1840" s="284"/>
      <c r="AC1840" s="284"/>
      <c r="AD1840" s="284"/>
      <c r="AE1840" s="284"/>
      <c r="AF1840" s="284"/>
      <c r="AG1840" s="284"/>
      <c r="AI1840" s="131"/>
    </row>
    <row r="1841" spans="1:35" ht="26.4">
      <c r="A1841" s="284"/>
      <c r="B1841" s="284"/>
      <c r="C1841" s="284"/>
      <c r="D1841" s="284"/>
      <c r="E1841" s="284"/>
      <c r="F1841" s="284"/>
      <c r="G1841" s="284"/>
      <c r="H1841" s="284"/>
      <c r="I1841" s="284"/>
      <c r="J1841" s="375"/>
      <c r="K1841" s="375"/>
      <c r="L1841" s="375"/>
      <c r="M1841" s="368"/>
      <c r="N1841" s="368"/>
      <c r="O1841" s="370"/>
      <c r="T1841" s="340"/>
      <c r="V1841" s="378"/>
      <c r="W1841" s="64" ph="1"/>
      <c r="X1841" s="241"/>
      <c r="Y1841" s="284"/>
      <c r="Z1841" s="207"/>
      <c r="AA1841" s="284"/>
      <c r="AB1841" s="284"/>
      <c r="AC1841" s="284"/>
      <c r="AD1841" s="284"/>
      <c r="AE1841" s="284"/>
      <c r="AF1841" s="284"/>
      <c r="AG1841" s="284"/>
      <c r="AI1841" s="131"/>
    </row>
    <row r="1842" spans="1:35" ht="26.4">
      <c r="A1842" s="284"/>
      <c r="B1842" s="284"/>
      <c r="C1842" s="284"/>
      <c r="D1842" s="284"/>
      <c r="E1842" s="284"/>
      <c r="F1842" s="284"/>
      <c r="G1842" s="284"/>
      <c r="H1842" s="284"/>
      <c r="I1842" s="284"/>
      <c r="J1842" s="375"/>
      <c r="K1842" s="375"/>
      <c r="L1842" s="375"/>
      <c r="M1842" s="368"/>
      <c r="N1842" s="368"/>
      <c r="O1842" s="370"/>
      <c r="T1842" s="340"/>
      <c r="V1842" s="378"/>
      <c r="W1842" s="64" ph="1"/>
      <c r="X1842" s="241"/>
      <c r="Y1842" s="284"/>
      <c r="Z1842" s="207"/>
      <c r="AA1842" s="284"/>
      <c r="AB1842" s="284"/>
      <c r="AC1842" s="284"/>
      <c r="AD1842" s="284"/>
      <c r="AE1842" s="284"/>
      <c r="AF1842" s="284"/>
      <c r="AG1842" s="284"/>
      <c r="AI1842" s="131"/>
    </row>
    <row r="1843" spans="1:35" ht="26.4">
      <c r="A1843" s="284"/>
      <c r="B1843" s="284"/>
      <c r="C1843" s="284"/>
      <c r="D1843" s="284"/>
      <c r="E1843" s="284"/>
      <c r="F1843" s="284"/>
      <c r="G1843" s="284"/>
      <c r="H1843" s="284"/>
      <c r="I1843" s="284"/>
      <c r="J1843" s="375"/>
      <c r="K1843" s="375"/>
      <c r="L1843" s="375"/>
      <c r="M1843" s="368"/>
      <c r="N1843" s="368"/>
      <c r="O1843" s="370"/>
      <c r="T1843" s="340"/>
      <c r="V1843" s="378"/>
      <c r="W1843" s="64" ph="1"/>
      <c r="X1843" s="241"/>
      <c r="Y1843" s="284"/>
      <c r="Z1843" s="207"/>
      <c r="AA1843" s="284"/>
      <c r="AB1843" s="284"/>
      <c r="AC1843" s="284"/>
      <c r="AD1843" s="284"/>
      <c r="AE1843" s="284"/>
      <c r="AF1843" s="284"/>
      <c r="AG1843" s="284"/>
      <c r="AI1843" s="131"/>
    </row>
    <row r="1844" spans="1:35" ht="26.4">
      <c r="A1844" s="284"/>
      <c r="B1844" s="284"/>
      <c r="C1844" s="284"/>
      <c r="D1844" s="284"/>
      <c r="E1844" s="284"/>
      <c r="F1844" s="284"/>
      <c r="G1844" s="284"/>
      <c r="H1844" s="284"/>
      <c r="I1844" s="284"/>
      <c r="J1844" s="375"/>
      <c r="K1844" s="375"/>
      <c r="L1844" s="375"/>
      <c r="M1844" s="368"/>
      <c r="N1844" s="368"/>
      <c r="O1844" s="370"/>
      <c r="T1844" s="340"/>
      <c r="V1844" s="378"/>
      <c r="W1844" s="64" ph="1"/>
      <c r="X1844" s="241"/>
      <c r="Y1844" s="284"/>
      <c r="Z1844" s="207"/>
      <c r="AA1844" s="284"/>
      <c r="AB1844" s="284"/>
      <c r="AC1844" s="284"/>
      <c r="AD1844" s="284"/>
      <c r="AE1844" s="284"/>
      <c r="AF1844" s="284"/>
      <c r="AG1844" s="284"/>
      <c r="AI1844" s="284"/>
    </row>
    <row r="1845" spans="1:35" ht="26.4">
      <c r="A1845" s="284"/>
      <c r="B1845" s="284"/>
      <c r="C1845" s="284"/>
      <c r="D1845" s="284"/>
      <c r="E1845" s="284"/>
      <c r="F1845" s="284"/>
      <c r="G1845" s="284"/>
      <c r="H1845" s="284"/>
      <c r="I1845" s="284"/>
      <c r="J1845" s="375"/>
      <c r="K1845" s="375"/>
      <c r="L1845" s="375"/>
      <c r="M1845" s="368"/>
      <c r="N1845" s="368"/>
      <c r="O1845" s="370"/>
      <c r="T1845" s="340"/>
      <c r="V1845" s="378"/>
      <c r="W1845" s="64" ph="1"/>
      <c r="X1845" s="241"/>
      <c r="Y1845" s="284"/>
      <c r="Z1845" s="207"/>
      <c r="AA1845" s="284"/>
      <c r="AB1845" s="284"/>
      <c r="AC1845" s="284"/>
      <c r="AD1845" s="284"/>
      <c r="AE1845" s="284"/>
      <c r="AF1845" s="284"/>
      <c r="AG1845" s="284"/>
      <c r="AI1845" s="284"/>
    </row>
    <row r="1846" spans="1:35" ht="26.4">
      <c r="A1846" s="284"/>
      <c r="B1846" s="284"/>
      <c r="C1846" s="284"/>
      <c r="D1846" s="284"/>
      <c r="E1846" s="284"/>
      <c r="F1846" s="284"/>
      <c r="G1846" s="284"/>
      <c r="H1846" s="284"/>
      <c r="I1846" s="284"/>
      <c r="J1846" s="375"/>
      <c r="K1846" s="375"/>
      <c r="L1846" s="375"/>
      <c r="M1846" s="368"/>
      <c r="N1846" s="368"/>
      <c r="O1846" s="370"/>
      <c r="T1846" s="340"/>
      <c r="V1846" s="378"/>
      <c r="W1846" s="64" ph="1"/>
      <c r="X1846" s="241"/>
      <c r="Y1846" s="284"/>
      <c r="Z1846" s="207"/>
      <c r="AA1846" s="284"/>
      <c r="AB1846" s="284"/>
      <c r="AC1846" s="284"/>
      <c r="AD1846" s="284"/>
      <c r="AE1846" s="284"/>
      <c r="AF1846" s="284"/>
      <c r="AG1846" s="284"/>
      <c r="AI1846" s="284"/>
    </row>
    <row r="1847" spans="1:35" ht="26.4">
      <c r="A1847" s="284"/>
      <c r="B1847" s="284"/>
      <c r="C1847" s="284"/>
      <c r="D1847" s="284"/>
      <c r="E1847" s="284"/>
      <c r="F1847" s="284"/>
      <c r="G1847" s="284"/>
      <c r="H1847" s="284"/>
      <c r="I1847" s="284"/>
      <c r="J1847" s="375"/>
      <c r="K1847" s="375"/>
      <c r="L1847" s="375"/>
      <c r="M1847" s="368"/>
      <c r="N1847" s="368"/>
      <c r="O1847" s="370"/>
      <c r="T1847" s="340"/>
      <c r="V1847" s="378"/>
      <c r="W1847" s="64" ph="1"/>
      <c r="X1847" s="241"/>
      <c r="Y1847" s="284"/>
      <c r="Z1847" s="207"/>
      <c r="AA1847" s="284"/>
      <c r="AB1847" s="284"/>
      <c r="AC1847" s="284"/>
      <c r="AD1847" s="284"/>
      <c r="AE1847" s="284"/>
      <c r="AF1847" s="284"/>
      <c r="AG1847" s="284"/>
      <c r="AI1847" s="284"/>
    </row>
    <row r="1848" spans="1:35" ht="26.4">
      <c r="A1848" s="284"/>
      <c r="B1848" s="284"/>
      <c r="C1848" s="284"/>
      <c r="D1848" s="284"/>
      <c r="E1848" s="284"/>
      <c r="F1848" s="284"/>
      <c r="G1848" s="284"/>
      <c r="H1848" s="284"/>
      <c r="I1848" s="284"/>
      <c r="J1848" s="375"/>
      <c r="K1848" s="375"/>
      <c r="L1848" s="375"/>
      <c r="M1848" s="368"/>
      <c r="N1848" s="368"/>
      <c r="O1848" s="370"/>
      <c r="T1848" s="340"/>
      <c r="V1848" s="378"/>
      <c r="W1848" s="64" ph="1"/>
      <c r="X1848" s="241"/>
      <c r="Y1848" s="284"/>
      <c r="Z1848" s="207"/>
      <c r="AA1848" s="284"/>
      <c r="AB1848" s="284"/>
      <c r="AC1848" s="284"/>
      <c r="AD1848" s="284"/>
      <c r="AE1848" s="284"/>
      <c r="AF1848" s="284"/>
      <c r="AG1848" s="284"/>
      <c r="AI1848" s="284"/>
    </row>
    <row r="1849" spans="1:35" ht="26.4">
      <c r="A1849" s="284"/>
      <c r="B1849" s="284"/>
      <c r="C1849" s="284"/>
      <c r="D1849" s="284"/>
      <c r="E1849" s="284"/>
      <c r="F1849" s="284"/>
      <c r="G1849" s="284"/>
      <c r="H1849" s="284"/>
      <c r="I1849" s="284"/>
      <c r="J1849" s="375"/>
      <c r="K1849" s="375"/>
      <c r="L1849" s="375"/>
      <c r="M1849" s="368"/>
      <c r="N1849" s="368"/>
      <c r="O1849" s="370"/>
      <c r="T1849" s="340"/>
      <c r="V1849" s="378"/>
      <c r="W1849" s="64" ph="1"/>
      <c r="X1849" s="241"/>
      <c r="Y1849" s="284"/>
      <c r="Z1849" s="207"/>
      <c r="AA1849" s="284"/>
      <c r="AB1849" s="284"/>
      <c r="AC1849" s="284"/>
      <c r="AD1849" s="284"/>
      <c r="AE1849" s="284"/>
      <c r="AF1849" s="284"/>
      <c r="AG1849" s="284"/>
      <c r="AI1849" s="284"/>
    </row>
    <row r="1850" spans="1:35" ht="26.4">
      <c r="A1850" s="284"/>
      <c r="B1850" s="284"/>
      <c r="C1850" s="284"/>
      <c r="D1850" s="284"/>
      <c r="E1850" s="284"/>
      <c r="F1850" s="284"/>
      <c r="G1850" s="284"/>
      <c r="H1850" s="284"/>
      <c r="I1850" s="284"/>
      <c r="J1850" s="375"/>
      <c r="K1850" s="375"/>
      <c r="L1850" s="375"/>
      <c r="M1850" s="368"/>
      <c r="N1850" s="368"/>
      <c r="O1850" s="370"/>
      <c r="T1850" s="340"/>
      <c r="V1850" s="378"/>
      <c r="W1850" s="64" ph="1"/>
      <c r="X1850" s="241"/>
      <c r="Y1850" s="284"/>
      <c r="Z1850" s="207"/>
      <c r="AA1850" s="284"/>
      <c r="AB1850" s="284"/>
      <c r="AC1850" s="284"/>
      <c r="AD1850" s="284"/>
      <c r="AE1850" s="284"/>
      <c r="AF1850" s="284"/>
      <c r="AG1850" s="284"/>
      <c r="AI1850" s="284"/>
    </row>
    <row r="1851" spans="1:35" ht="26.4">
      <c r="A1851" s="284"/>
      <c r="B1851" s="284"/>
      <c r="C1851" s="284"/>
      <c r="D1851" s="284"/>
      <c r="E1851" s="284"/>
      <c r="F1851" s="284"/>
      <c r="G1851" s="284"/>
      <c r="H1851" s="284"/>
      <c r="I1851" s="284"/>
      <c r="J1851" s="375"/>
      <c r="K1851" s="375"/>
      <c r="L1851" s="375"/>
      <c r="M1851" s="368"/>
      <c r="N1851" s="368"/>
      <c r="O1851" s="370"/>
      <c r="T1851" s="340"/>
      <c r="V1851" s="378"/>
      <c r="W1851" s="64" ph="1"/>
      <c r="X1851" s="241"/>
      <c r="Y1851" s="284"/>
      <c r="Z1851" s="207"/>
      <c r="AA1851" s="284"/>
      <c r="AB1851" s="284"/>
      <c r="AC1851" s="284"/>
      <c r="AD1851" s="284"/>
      <c r="AE1851" s="284"/>
      <c r="AF1851" s="284"/>
      <c r="AG1851" s="284"/>
      <c r="AI1851" s="284"/>
    </row>
    <row r="1852" spans="1:35" ht="26.4">
      <c r="A1852" s="284"/>
      <c r="B1852" s="284"/>
      <c r="C1852" s="284"/>
      <c r="D1852" s="284"/>
      <c r="E1852" s="284"/>
      <c r="F1852" s="284"/>
      <c r="G1852" s="284"/>
      <c r="H1852" s="284"/>
      <c r="I1852" s="284"/>
      <c r="J1852" s="375"/>
      <c r="K1852" s="375"/>
      <c r="L1852" s="375"/>
      <c r="M1852" s="368"/>
      <c r="N1852" s="368"/>
      <c r="O1852" s="370"/>
      <c r="T1852" s="340"/>
      <c r="V1852" s="378"/>
      <c r="W1852" s="64" ph="1"/>
      <c r="X1852" s="241"/>
      <c r="Y1852" s="284"/>
      <c r="Z1852" s="207"/>
      <c r="AA1852" s="284"/>
      <c r="AB1852" s="284"/>
      <c r="AC1852" s="284"/>
      <c r="AD1852" s="284"/>
      <c r="AE1852" s="284"/>
      <c r="AF1852" s="284"/>
      <c r="AG1852" s="284"/>
      <c r="AI1852" s="284"/>
    </row>
    <row r="1853" spans="1:35" ht="26.4">
      <c r="A1853" s="284"/>
      <c r="B1853" s="284"/>
      <c r="C1853" s="284"/>
      <c r="D1853" s="284"/>
      <c r="E1853" s="284"/>
      <c r="F1853" s="284"/>
      <c r="G1853" s="284"/>
      <c r="H1853" s="284"/>
      <c r="I1853" s="284"/>
      <c r="J1853" s="375"/>
      <c r="K1853" s="375"/>
      <c r="L1853" s="375"/>
      <c r="M1853" s="368"/>
      <c r="N1853" s="368"/>
      <c r="O1853" s="370"/>
      <c r="T1853" s="340"/>
      <c r="V1853" s="378"/>
      <c r="W1853" s="64" ph="1"/>
      <c r="X1853" s="241"/>
      <c r="Y1853" s="284"/>
      <c r="Z1853" s="207"/>
      <c r="AA1853" s="284"/>
      <c r="AB1853" s="284"/>
      <c r="AC1853" s="284"/>
      <c r="AD1853" s="284"/>
      <c r="AE1853" s="284"/>
      <c r="AF1853" s="284"/>
      <c r="AG1853" s="284"/>
      <c r="AI1853" s="131"/>
    </row>
    <row r="1854" spans="1:35" ht="26.4">
      <c r="A1854" s="284"/>
      <c r="B1854" s="284"/>
      <c r="C1854" s="284"/>
      <c r="D1854" s="284"/>
      <c r="E1854" s="284"/>
      <c r="F1854" s="284"/>
      <c r="G1854" s="284"/>
      <c r="H1854" s="284"/>
      <c r="I1854" s="284"/>
      <c r="J1854" s="375"/>
      <c r="K1854" s="375"/>
      <c r="L1854" s="375"/>
      <c r="M1854" s="368"/>
      <c r="N1854" s="368"/>
      <c r="O1854" s="370"/>
      <c r="T1854" s="340"/>
      <c r="V1854" s="378"/>
      <c r="W1854" s="64" ph="1"/>
      <c r="X1854" s="241"/>
      <c r="Y1854" s="284"/>
      <c r="Z1854" s="207"/>
      <c r="AA1854" s="284"/>
      <c r="AB1854" s="284"/>
      <c r="AC1854" s="284"/>
      <c r="AD1854" s="284"/>
      <c r="AE1854" s="284"/>
      <c r="AF1854" s="284"/>
      <c r="AG1854" s="284"/>
      <c r="AI1854" s="284"/>
    </row>
    <row r="1855" spans="1:35" ht="26.4">
      <c r="A1855" s="284"/>
      <c r="B1855" s="284"/>
      <c r="C1855" s="284"/>
      <c r="D1855" s="284"/>
      <c r="E1855" s="284"/>
      <c r="F1855" s="284"/>
      <c r="G1855" s="284"/>
      <c r="H1855" s="284"/>
      <c r="I1855" s="284"/>
      <c r="J1855" s="375"/>
      <c r="K1855" s="375"/>
      <c r="L1855" s="375"/>
      <c r="M1855" s="368"/>
      <c r="N1855" s="368"/>
      <c r="O1855" s="370"/>
      <c r="T1855" s="340"/>
      <c r="V1855" s="378"/>
      <c r="W1855" s="64" ph="1"/>
      <c r="X1855" s="241"/>
      <c r="Y1855" s="284"/>
      <c r="Z1855" s="207"/>
      <c r="AA1855" s="284"/>
      <c r="AB1855" s="284"/>
      <c r="AC1855" s="284"/>
      <c r="AD1855" s="284"/>
      <c r="AE1855" s="284"/>
      <c r="AF1855" s="284"/>
      <c r="AG1855" s="284"/>
      <c r="AI1855" s="284"/>
    </row>
    <row r="1856" spans="1:35" ht="26.4">
      <c r="A1856" s="284"/>
      <c r="B1856" s="284"/>
      <c r="C1856" s="284"/>
      <c r="D1856" s="284"/>
      <c r="E1856" s="284"/>
      <c r="F1856" s="284"/>
      <c r="G1856" s="284"/>
      <c r="H1856" s="284"/>
      <c r="I1856" s="284"/>
      <c r="J1856" s="375"/>
      <c r="K1856" s="375"/>
      <c r="L1856" s="375"/>
      <c r="M1856" s="368"/>
      <c r="N1856" s="368"/>
      <c r="O1856" s="370"/>
      <c r="T1856" s="340"/>
      <c r="V1856" s="378"/>
      <c r="W1856" s="64" ph="1"/>
      <c r="X1856" s="241"/>
      <c r="Y1856" s="284"/>
      <c r="Z1856" s="207"/>
      <c r="AA1856" s="284"/>
      <c r="AB1856" s="284"/>
      <c r="AC1856" s="284"/>
      <c r="AD1856" s="284"/>
      <c r="AE1856" s="284"/>
      <c r="AF1856" s="284"/>
      <c r="AG1856" s="284"/>
      <c r="AI1856" s="284"/>
    </row>
    <row r="1857" spans="1:35" ht="26.4">
      <c r="A1857" s="284"/>
      <c r="B1857" s="284"/>
      <c r="C1857" s="284"/>
      <c r="D1857" s="284"/>
      <c r="E1857" s="284"/>
      <c r="F1857" s="284"/>
      <c r="G1857" s="284"/>
      <c r="H1857" s="284"/>
      <c r="I1857" s="284"/>
      <c r="J1857" s="375"/>
      <c r="K1857" s="375"/>
      <c r="L1857" s="375"/>
      <c r="M1857" s="368"/>
      <c r="N1857" s="368"/>
      <c r="O1857" s="370"/>
      <c r="T1857" s="340"/>
      <c r="V1857" s="378"/>
      <c r="W1857" s="64" ph="1"/>
      <c r="X1857" s="241"/>
      <c r="Y1857" s="284"/>
      <c r="Z1857" s="207"/>
      <c r="AA1857" s="284"/>
      <c r="AB1857" s="284"/>
      <c r="AC1857" s="284"/>
      <c r="AD1857" s="284"/>
      <c r="AE1857" s="284"/>
      <c r="AF1857" s="284"/>
      <c r="AG1857" s="284"/>
      <c r="AI1857" s="131"/>
    </row>
    <row r="1858" spans="1:35" ht="26.4">
      <c r="A1858" s="284"/>
      <c r="B1858" s="284"/>
      <c r="C1858" s="284"/>
      <c r="D1858" s="284"/>
      <c r="E1858" s="284"/>
      <c r="F1858" s="284"/>
      <c r="G1858" s="284"/>
      <c r="H1858" s="284"/>
      <c r="I1858" s="284"/>
      <c r="J1858" s="375"/>
      <c r="K1858" s="375"/>
      <c r="L1858" s="375"/>
      <c r="M1858" s="368"/>
      <c r="N1858" s="368"/>
      <c r="O1858" s="370"/>
      <c r="T1858" s="340"/>
      <c r="V1858" s="378"/>
      <c r="W1858" s="64" ph="1"/>
      <c r="X1858" s="241"/>
      <c r="Y1858" s="284"/>
      <c r="Z1858" s="207"/>
      <c r="AA1858" s="284"/>
      <c r="AB1858" s="284"/>
      <c r="AC1858" s="284"/>
      <c r="AD1858" s="284"/>
      <c r="AE1858" s="284"/>
      <c r="AF1858" s="284"/>
      <c r="AG1858" s="284"/>
      <c r="AI1858" s="284"/>
    </row>
    <row r="1859" spans="1:35" ht="26.4">
      <c r="A1859" s="284"/>
      <c r="B1859" s="284"/>
      <c r="C1859" s="284"/>
      <c r="D1859" s="284"/>
      <c r="E1859" s="284"/>
      <c r="F1859" s="284"/>
      <c r="G1859" s="284"/>
      <c r="H1859" s="284"/>
      <c r="I1859" s="284"/>
      <c r="J1859" s="375"/>
      <c r="K1859" s="375"/>
      <c r="L1859" s="375"/>
      <c r="M1859" s="368"/>
      <c r="N1859" s="368"/>
      <c r="O1859" s="370"/>
      <c r="T1859" s="340"/>
      <c r="V1859" s="378"/>
      <c r="W1859" s="64" ph="1"/>
      <c r="X1859" s="241"/>
      <c r="Y1859" s="284"/>
      <c r="Z1859" s="207"/>
      <c r="AA1859" s="284"/>
      <c r="AB1859" s="284"/>
      <c r="AC1859" s="284"/>
      <c r="AD1859" s="284"/>
      <c r="AE1859" s="284"/>
      <c r="AF1859" s="284"/>
      <c r="AG1859" s="284"/>
      <c r="AI1859" s="284"/>
    </row>
    <row r="1860" spans="1:35" ht="26.4">
      <c r="A1860" s="284"/>
      <c r="B1860" s="284"/>
      <c r="C1860" s="284"/>
      <c r="D1860" s="284"/>
      <c r="E1860" s="284"/>
      <c r="F1860" s="284"/>
      <c r="G1860" s="284"/>
      <c r="H1860" s="284"/>
      <c r="I1860" s="284"/>
      <c r="J1860" s="375"/>
      <c r="K1860" s="375"/>
      <c r="L1860" s="375"/>
      <c r="M1860" s="368"/>
      <c r="N1860" s="368"/>
      <c r="O1860" s="370"/>
      <c r="T1860" s="340"/>
      <c r="V1860" s="378"/>
      <c r="W1860" s="64" ph="1"/>
      <c r="X1860" s="241"/>
      <c r="Y1860" s="284"/>
      <c r="Z1860" s="207"/>
      <c r="AA1860" s="284"/>
      <c r="AB1860" s="284"/>
      <c r="AC1860" s="284"/>
      <c r="AD1860" s="284"/>
      <c r="AE1860" s="284"/>
      <c r="AF1860" s="284"/>
      <c r="AG1860" s="284"/>
      <c r="AI1860" s="131"/>
    </row>
    <row r="1861" spans="1:35" ht="26.4">
      <c r="A1861" s="284"/>
      <c r="B1861" s="284"/>
      <c r="C1861" s="284"/>
      <c r="D1861" s="284"/>
      <c r="E1861" s="284"/>
      <c r="F1861" s="284"/>
      <c r="G1861" s="284"/>
      <c r="H1861" s="284"/>
      <c r="I1861" s="284"/>
      <c r="J1861" s="375"/>
      <c r="K1861" s="375"/>
      <c r="L1861" s="375"/>
      <c r="M1861" s="368"/>
      <c r="N1861" s="368"/>
      <c r="O1861" s="370"/>
      <c r="T1861" s="340"/>
      <c r="V1861" s="378"/>
      <c r="W1861" s="64" ph="1"/>
      <c r="X1861" s="241"/>
      <c r="Y1861" s="284"/>
      <c r="Z1861" s="207"/>
      <c r="AA1861" s="284"/>
      <c r="AB1861" s="284"/>
      <c r="AC1861" s="284"/>
      <c r="AD1861" s="284"/>
      <c r="AE1861" s="284"/>
      <c r="AF1861" s="284"/>
      <c r="AG1861" s="284"/>
      <c r="AI1861" s="131"/>
    </row>
    <row r="1862" spans="1:35" ht="26.4">
      <c r="A1862" s="284"/>
      <c r="B1862" s="284"/>
      <c r="C1862" s="284"/>
      <c r="D1862" s="284"/>
      <c r="E1862" s="284"/>
      <c r="F1862" s="284"/>
      <c r="G1862" s="284"/>
      <c r="H1862" s="284"/>
      <c r="I1862" s="284"/>
      <c r="J1862" s="375"/>
      <c r="K1862" s="375"/>
      <c r="L1862" s="375"/>
      <c r="M1862" s="368"/>
      <c r="N1862" s="368"/>
      <c r="O1862" s="370"/>
      <c r="T1862" s="340"/>
      <c r="V1862" s="378"/>
      <c r="W1862" s="64" ph="1"/>
      <c r="X1862" s="241"/>
      <c r="Y1862" s="284"/>
      <c r="Z1862" s="207"/>
      <c r="AA1862" s="284"/>
      <c r="AB1862" s="284"/>
      <c r="AC1862" s="284"/>
      <c r="AD1862" s="284"/>
      <c r="AE1862" s="284"/>
      <c r="AF1862" s="284"/>
      <c r="AG1862" s="284"/>
    </row>
    <row r="1863" spans="1:35" ht="26.4">
      <c r="A1863" s="284"/>
      <c r="B1863" s="284"/>
      <c r="C1863" s="284"/>
      <c r="D1863" s="284"/>
      <c r="E1863" s="284"/>
      <c r="F1863" s="284"/>
      <c r="G1863" s="284"/>
      <c r="H1863" s="284"/>
      <c r="I1863" s="284"/>
      <c r="J1863" s="375"/>
      <c r="K1863" s="375"/>
      <c r="L1863" s="375"/>
      <c r="M1863" s="368"/>
      <c r="N1863" s="368"/>
      <c r="O1863" s="370"/>
      <c r="T1863" s="340"/>
      <c r="V1863" s="378"/>
      <c r="W1863" s="64" ph="1"/>
      <c r="X1863" s="241"/>
      <c r="Y1863" s="284"/>
      <c r="Z1863" s="207"/>
      <c r="AA1863" s="284"/>
      <c r="AB1863" s="284"/>
      <c r="AC1863" s="284"/>
      <c r="AD1863" s="284"/>
      <c r="AE1863" s="284"/>
      <c r="AF1863" s="284"/>
      <c r="AG1863" s="284"/>
    </row>
    <row r="1864" spans="1:35" ht="26.4">
      <c r="A1864" s="284"/>
      <c r="B1864" s="284"/>
      <c r="C1864" s="284"/>
      <c r="D1864" s="284"/>
      <c r="E1864" s="284"/>
      <c r="F1864" s="284"/>
      <c r="G1864" s="284"/>
      <c r="H1864" s="284"/>
      <c r="I1864" s="284"/>
      <c r="J1864" s="375"/>
      <c r="K1864" s="375"/>
      <c r="L1864" s="375"/>
      <c r="M1864" s="368"/>
      <c r="N1864" s="368"/>
      <c r="O1864" s="370"/>
      <c r="T1864" s="340"/>
      <c r="V1864" s="378"/>
      <c r="W1864" s="64" ph="1"/>
      <c r="X1864" s="241"/>
      <c r="Y1864" s="284"/>
      <c r="Z1864" s="207"/>
      <c r="AA1864" s="284"/>
      <c r="AB1864" s="284"/>
      <c r="AC1864" s="284"/>
      <c r="AD1864" s="284"/>
      <c r="AE1864" s="284"/>
      <c r="AF1864" s="284"/>
      <c r="AG1864" s="284"/>
    </row>
    <row r="1865" spans="1:35" ht="26.4">
      <c r="A1865" s="284"/>
      <c r="B1865" s="284"/>
      <c r="C1865" s="284"/>
      <c r="D1865" s="284"/>
      <c r="E1865" s="284"/>
      <c r="F1865" s="284"/>
      <c r="G1865" s="284"/>
      <c r="H1865" s="284"/>
      <c r="I1865" s="284"/>
      <c r="J1865" s="375"/>
      <c r="K1865" s="375"/>
      <c r="L1865" s="375"/>
      <c r="M1865" s="368"/>
      <c r="N1865" s="368"/>
      <c r="O1865" s="370"/>
      <c r="T1865" s="340"/>
      <c r="V1865" s="378"/>
      <c r="W1865" s="64" ph="1"/>
      <c r="X1865" s="241"/>
      <c r="Y1865" s="284"/>
      <c r="Z1865" s="207"/>
      <c r="AA1865" s="284"/>
      <c r="AB1865" s="284"/>
      <c r="AC1865" s="284"/>
      <c r="AD1865" s="284"/>
      <c r="AE1865" s="284"/>
      <c r="AF1865" s="284"/>
      <c r="AG1865" s="284"/>
    </row>
    <row r="1866" spans="1:35" ht="26.4">
      <c r="A1866" s="284"/>
      <c r="B1866" s="284"/>
      <c r="C1866" s="284"/>
      <c r="D1866" s="284"/>
      <c r="E1866" s="284"/>
      <c r="F1866" s="284"/>
      <c r="G1866" s="284"/>
      <c r="H1866" s="284"/>
      <c r="I1866" s="284"/>
      <c r="J1866" s="375"/>
      <c r="K1866" s="375"/>
      <c r="L1866" s="375"/>
      <c r="M1866" s="368"/>
      <c r="N1866" s="368"/>
      <c r="O1866" s="370"/>
      <c r="T1866" s="340"/>
      <c r="V1866" s="378"/>
      <c r="W1866" s="64" ph="1"/>
      <c r="X1866" s="241"/>
      <c r="Y1866" s="284"/>
      <c r="Z1866" s="207"/>
      <c r="AA1866" s="284"/>
      <c r="AB1866" s="284"/>
      <c r="AC1866" s="284"/>
      <c r="AD1866" s="284"/>
      <c r="AE1866" s="284"/>
      <c r="AF1866" s="284"/>
      <c r="AG1866" s="284"/>
    </row>
    <row r="1867" spans="1:35" ht="26.4">
      <c r="A1867" s="284"/>
      <c r="B1867" s="284"/>
      <c r="C1867" s="284"/>
      <c r="D1867" s="284"/>
      <c r="E1867" s="284"/>
      <c r="F1867" s="284"/>
      <c r="G1867" s="284"/>
      <c r="H1867" s="284"/>
      <c r="I1867" s="284"/>
      <c r="J1867" s="375"/>
      <c r="K1867" s="375"/>
      <c r="L1867" s="375"/>
      <c r="M1867" s="368"/>
      <c r="N1867" s="368"/>
      <c r="O1867" s="370"/>
      <c r="T1867" s="340"/>
      <c r="V1867" s="378"/>
      <c r="W1867" s="64" ph="1"/>
      <c r="X1867" s="241"/>
      <c r="Y1867" s="284"/>
      <c r="Z1867" s="207"/>
      <c r="AA1867" s="284"/>
      <c r="AB1867" s="284"/>
      <c r="AC1867" s="284"/>
      <c r="AD1867" s="284"/>
      <c r="AE1867" s="284"/>
      <c r="AF1867" s="284"/>
      <c r="AG1867" s="284"/>
    </row>
    <row r="1868" spans="1:35" ht="26.4">
      <c r="A1868" s="284"/>
      <c r="B1868" s="284"/>
      <c r="C1868" s="284"/>
      <c r="D1868" s="284"/>
      <c r="E1868" s="284"/>
      <c r="F1868" s="284"/>
      <c r="G1868" s="284"/>
      <c r="H1868" s="284"/>
      <c r="I1868" s="284"/>
      <c r="J1868" s="375"/>
      <c r="K1868" s="375"/>
      <c r="L1868" s="375"/>
      <c r="M1868" s="368"/>
      <c r="N1868" s="368"/>
      <c r="O1868" s="370"/>
      <c r="T1868" s="340"/>
      <c r="V1868" s="378"/>
      <c r="W1868" s="64" ph="1"/>
      <c r="X1868" s="241"/>
      <c r="Y1868" s="284"/>
      <c r="Z1868" s="207"/>
      <c r="AA1868" s="284"/>
      <c r="AB1868" s="284"/>
      <c r="AC1868" s="284"/>
      <c r="AD1868" s="284"/>
      <c r="AE1868" s="284"/>
      <c r="AF1868" s="284"/>
      <c r="AG1868" s="284"/>
    </row>
    <row r="1869" spans="1:35" ht="26.4">
      <c r="A1869" s="284"/>
      <c r="B1869" s="284"/>
      <c r="C1869" s="284"/>
      <c r="D1869" s="284"/>
      <c r="E1869" s="284"/>
      <c r="F1869" s="284"/>
      <c r="G1869" s="284"/>
      <c r="H1869" s="284"/>
      <c r="I1869" s="284"/>
      <c r="J1869" s="375"/>
      <c r="K1869" s="375"/>
      <c r="L1869" s="375"/>
      <c r="M1869" s="368"/>
      <c r="N1869" s="368"/>
      <c r="O1869" s="370"/>
      <c r="T1869" s="340"/>
      <c r="V1869" s="378"/>
      <c r="W1869" s="64" ph="1"/>
      <c r="X1869" s="241"/>
      <c r="Y1869" s="284"/>
      <c r="Z1869" s="207"/>
      <c r="AA1869" s="284"/>
      <c r="AB1869" s="284"/>
      <c r="AC1869" s="284"/>
      <c r="AD1869" s="284"/>
      <c r="AE1869" s="284"/>
      <c r="AF1869" s="284"/>
      <c r="AG1869" s="284"/>
    </row>
    <row r="1870" spans="1:35" ht="26.4">
      <c r="A1870" s="284"/>
      <c r="B1870" s="284"/>
      <c r="C1870" s="284"/>
      <c r="D1870" s="284"/>
      <c r="E1870" s="284"/>
      <c r="F1870" s="284"/>
      <c r="G1870" s="284"/>
      <c r="H1870" s="284"/>
      <c r="I1870" s="284"/>
      <c r="J1870" s="375"/>
      <c r="K1870" s="375"/>
      <c r="L1870" s="375"/>
      <c r="M1870" s="368"/>
      <c r="N1870" s="368"/>
      <c r="O1870" s="370"/>
      <c r="T1870" s="340"/>
      <c r="V1870" s="378"/>
      <c r="W1870" s="64" ph="1"/>
      <c r="X1870" s="241"/>
      <c r="Y1870" s="284"/>
      <c r="Z1870" s="207"/>
      <c r="AA1870" s="284"/>
      <c r="AB1870" s="284"/>
      <c r="AC1870" s="284"/>
      <c r="AD1870" s="284"/>
      <c r="AE1870" s="284"/>
      <c r="AF1870" s="284"/>
      <c r="AG1870" s="284"/>
    </row>
    <row r="1871" spans="1:35" ht="26.4">
      <c r="A1871" s="284"/>
      <c r="B1871" s="284"/>
      <c r="C1871" s="284"/>
      <c r="D1871" s="284"/>
      <c r="E1871" s="284"/>
      <c r="F1871" s="284"/>
      <c r="G1871" s="284"/>
      <c r="H1871" s="284"/>
      <c r="I1871" s="284"/>
      <c r="J1871" s="375"/>
      <c r="K1871" s="375"/>
      <c r="L1871" s="375"/>
      <c r="M1871" s="368"/>
      <c r="N1871" s="368"/>
      <c r="O1871" s="370"/>
      <c r="T1871" s="340"/>
      <c r="V1871" s="378"/>
      <c r="W1871" s="64" ph="1"/>
      <c r="X1871" s="241"/>
      <c r="Y1871" s="284"/>
      <c r="Z1871" s="207"/>
      <c r="AA1871" s="284"/>
      <c r="AB1871" s="284"/>
      <c r="AC1871" s="284"/>
      <c r="AD1871" s="284"/>
      <c r="AE1871" s="284"/>
      <c r="AF1871" s="284"/>
      <c r="AG1871" s="284"/>
    </row>
    <row r="1872" spans="1:35" ht="26.4">
      <c r="A1872" s="284"/>
      <c r="B1872" s="284"/>
      <c r="C1872" s="284"/>
      <c r="D1872" s="284"/>
      <c r="E1872" s="284"/>
      <c r="F1872" s="284"/>
      <c r="G1872" s="284"/>
      <c r="H1872" s="284"/>
      <c r="I1872" s="284"/>
      <c r="J1872" s="375"/>
      <c r="K1872" s="375"/>
      <c r="L1872" s="375"/>
      <c r="M1872" s="368"/>
      <c r="N1872" s="368"/>
      <c r="O1872" s="370"/>
      <c r="T1872" s="340"/>
      <c r="V1872" s="378"/>
      <c r="W1872" s="64" ph="1"/>
      <c r="X1872" s="241"/>
      <c r="Y1872" s="284"/>
      <c r="Z1872" s="207"/>
      <c r="AA1872" s="284"/>
      <c r="AB1872" s="284"/>
      <c r="AC1872" s="284"/>
      <c r="AD1872" s="284"/>
      <c r="AE1872" s="284"/>
      <c r="AF1872" s="284"/>
      <c r="AG1872" s="284"/>
    </row>
    <row r="1873" spans="1:33" ht="26.4">
      <c r="A1873" s="284"/>
      <c r="B1873" s="284"/>
      <c r="C1873" s="284"/>
      <c r="D1873" s="284"/>
      <c r="E1873" s="284"/>
      <c r="F1873" s="284"/>
      <c r="G1873" s="284"/>
      <c r="H1873" s="284"/>
      <c r="I1873" s="284"/>
      <c r="J1873" s="375"/>
      <c r="K1873" s="375"/>
      <c r="L1873" s="375"/>
      <c r="M1873" s="368"/>
      <c r="N1873" s="368"/>
      <c r="O1873" s="370"/>
      <c r="T1873" s="340"/>
      <c r="V1873" s="378"/>
      <c r="W1873" s="64" ph="1"/>
      <c r="X1873" s="241"/>
      <c r="Y1873" s="284"/>
      <c r="Z1873" s="207"/>
      <c r="AA1873" s="284"/>
      <c r="AB1873" s="284"/>
      <c r="AC1873" s="284"/>
      <c r="AD1873" s="284"/>
      <c r="AE1873" s="284"/>
      <c r="AF1873" s="284"/>
      <c r="AG1873" s="284"/>
    </row>
    <row r="1874" spans="1:33" ht="26.4">
      <c r="A1874" s="284"/>
      <c r="B1874" s="284"/>
      <c r="C1874" s="284"/>
      <c r="D1874" s="284"/>
      <c r="E1874" s="284"/>
      <c r="F1874" s="284"/>
      <c r="G1874" s="284"/>
      <c r="H1874" s="284"/>
      <c r="I1874" s="284"/>
      <c r="J1874" s="375"/>
      <c r="K1874" s="375"/>
      <c r="L1874" s="375"/>
      <c r="M1874" s="368"/>
      <c r="N1874" s="368"/>
      <c r="O1874" s="370"/>
      <c r="T1874" s="340"/>
      <c r="V1874" s="378"/>
      <c r="W1874" s="64" ph="1"/>
      <c r="X1874" s="241"/>
      <c r="Y1874" s="284"/>
      <c r="Z1874" s="207"/>
      <c r="AA1874" s="284"/>
      <c r="AB1874" s="284"/>
      <c r="AC1874" s="284"/>
      <c r="AD1874" s="284"/>
      <c r="AE1874" s="284"/>
      <c r="AF1874" s="284"/>
      <c r="AG1874" s="284"/>
    </row>
    <row r="1875" spans="1:33" ht="26.4">
      <c r="A1875" s="284"/>
      <c r="B1875" s="284"/>
      <c r="C1875" s="284"/>
      <c r="D1875" s="284"/>
      <c r="E1875" s="284"/>
      <c r="F1875" s="284"/>
      <c r="G1875" s="284"/>
      <c r="H1875" s="284"/>
      <c r="I1875" s="284"/>
      <c r="J1875" s="375"/>
      <c r="K1875" s="375"/>
      <c r="L1875" s="375"/>
      <c r="M1875" s="368"/>
      <c r="N1875" s="368"/>
      <c r="O1875" s="370"/>
      <c r="T1875" s="340"/>
      <c r="V1875" s="378"/>
      <c r="W1875" s="64" ph="1"/>
      <c r="X1875" s="241"/>
      <c r="Y1875" s="284"/>
      <c r="Z1875" s="207"/>
      <c r="AA1875" s="284"/>
      <c r="AB1875" s="284"/>
      <c r="AC1875" s="284"/>
      <c r="AD1875" s="284"/>
      <c r="AE1875" s="284"/>
      <c r="AF1875" s="284"/>
      <c r="AG1875" s="284"/>
    </row>
    <row r="1876" spans="1:33" ht="26.4">
      <c r="A1876" s="284"/>
      <c r="B1876" s="284"/>
      <c r="C1876" s="284"/>
      <c r="D1876" s="284"/>
      <c r="E1876" s="284"/>
      <c r="F1876" s="284"/>
      <c r="G1876" s="284"/>
      <c r="H1876" s="284"/>
      <c r="I1876" s="284"/>
      <c r="J1876" s="375"/>
      <c r="K1876" s="375"/>
      <c r="L1876" s="375"/>
      <c r="M1876" s="368"/>
      <c r="N1876" s="368"/>
      <c r="O1876" s="370"/>
      <c r="T1876" s="340"/>
      <c r="V1876" s="378"/>
      <c r="W1876" s="64" ph="1"/>
      <c r="X1876" s="241"/>
      <c r="Y1876" s="284"/>
      <c r="Z1876" s="207"/>
      <c r="AA1876" s="284"/>
      <c r="AB1876" s="284"/>
      <c r="AC1876" s="284"/>
      <c r="AD1876" s="284"/>
      <c r="AE1876" s="284"/>
      <c r="AF1876" s="284"/>
      <c r="AG1876" s="284"/>
    </row>
    <row r="1877" spans="1:33" ht="26.4">
      <c r="A1877" s="284"/>
      <c r="B1877" s="284"/>
      <c r="C1877" s="284"/>
      <c r="D1877" s="284"/>
      <c r="E1877" s="284"/>
      <c r="F1877" s="284"/>
      <c r="G1877" s="284"/>
      <c r="H1877" s="284"/>
      <c r="I1877" s="284"/>
      <c r="J1877" s="375"/>
      <c r="K1877" s="375"/>
      <c r="L1877" s="375"/>
      <c r="M1877" s="368"/>
      <c r="N1877" s="368"/>
      <c r="O1877" s="370"/>
      <c r="T1877" s="340"/>
      <c r="V1877" s="378"/>
      <c r="W1877" s="64" ph="1"/>
      <c r="X1877" s="241"/>
      <c r="Y1877" s="284"/>
      <c r="Z1877" s="207"/>
      <c r="AA1877" s="284"/>
      <c r="AB1877" s="284"/>
      <c r="AC1877" s="284"/>
      <c r="AD1877" s="284"/>
      <c r="AE1877" s="284"/>
      <c r="AF1877" s="284"/>
      <c r="AG1877" s="284"/>
    </row>
    <row r="1878" spans="1:33" ht="26.4">
      <c r="A1878" s="284"/>
      <c r="B1878" s="284"/>
      <c r="C1878" s="284"/>
      <c r="D1878" s="284"/>
      <c r="E1878" s="284"/>
      <c r="F1878" s="284"/>
      <c r="G1878" s="284"/>
      <c r="H1878" s="284"/>
      <c r="I1878" s="284"/>
      <c r="J1878" s="375"/>
      <c r="K1878" s="375"/>
      <c r="L1878" s="375"/>
      <c r="M1878" s="368"/>
      <c r="N1878" s="368"/>
      <c r="O1878" s="370"/>
      <c r="T1878" s="340"/>
      <c r="V1878" s="378"/>
      <c r="W1878" s="64" ph="1"/>
      <c r="X1878" s="241"/>
      <c r="Y1878" s="284"/>
      <c r="Z1878" s="207"/>
      <c r="AA1878" s="284"/>
      <c r="AB1878" s="284"/>
      <c r="AC1878" s="284"/>
      <c r="AD1878" s="284"/>
      <c r="AE1878" s="284"/>
      <c r="AF1878" s="284"/>
      <c r="AG1878" s="284"/>
    </row>
    <row r="1879" spans="1:33" ht="26.4">
      <c r="A1879" s="284"/>
      <c r="B1879" s="284"/>
      <c r="C1879" s="284"/>
      <c r="D1879" s="284"/>
      <c r="E1879" s="284"/>
      <c r="F1879" s="284"/>
      <c r="G1879" s="284"/>
      <c r="H1879" s="284"/>
      <c r="I1879" s="284"/>
      <c r="J1879" s="375"/>
      <c r="K1879" s="375"/>
      <c r="L1879" s="375"/>
      <c r="M1879" s="368"/>
      <c r="N1879" s="368"/>
      <c r="O1879" s="370"/>
      <c r="T1879" s="340"/>
      <c r="V1879" s="378"/>
      <c r="W1879" s="64" ph="1"/>
      <c r="X1879" s="241"/>
      <c r="Y1879" s="284"/>
      <c r="Z1879" s="207"/>
      <c r="AA1879" s="284"/>
      <c r="AB1879" s="284"/>
      <c r="AC1879" s="284"/>
      <c r="AD1879" s="284"/>
      <c r="AE1879" s="284"/>
      <c r="AF1879" s="284"/>
      <c r="AG1879" s="284"/>
    </row>
    <row r="1880" spans="1:33" ht="26.4">
      <c r="A1880" s="284"/>
      <c r="B1880" s="284"/>
      <c r="C1880" s="284"/>
      <c r="D1880" s="284"/>
      <c r="E1880" s="284"/>
      <c r="F1880" s="284"/>
      <c r="G1880" s="284"/>
      <c r="H1880" s="284"/>
      <c r="I1880" s="284"/>
      <c r="J1880" s="375"/>
      <c r="K1880" s="375"/>
      <c r="L1880" s="375"/>
      <c r="M1880" s="368"/>
      <c r="N1880" s="368"/>
      <c r="O1880" s="370"/>
      <c r="T1880" s="340"/>
      <c r="V1880" s="378"/>
      <c r="W1880" s="64" ph="1"/>
      <c r="X1880" s="241"/>
      <c r="Y1880" s="284"/>
      <c r="Z1880" s="207"/>
      <c r="AA1880" s="284"/>
      <c r="AB1880" s="284"/>
      <c r="AC1880" s="284"/>
      <c r="AD1880" s="284"/>
      <c r="AE1880" s="284"/>
      <c r="AF1880" s="284"/>
      <c r="AG1880" s="284"/>
    </row>
    <row r="1881" spans="1:33" ht="26.4">
      <c r="A1881" s="284"/>
      <c r="B1881" s="284"/>
      <c r="C1881" s="284"/>
      <c r="D1881" s="284"/>
      <c r="E1881" s="284"/>
      <c r="F1881" s="284"/>
      <c r="G1881" s="284"/>
      <c r="H1881" s="284"/>
      <c r="I1881" s="284"/>
      <c r="J1881" s="375"/>
      <c r="K1881" s="375"/>
      <c r="L1881" s="375"/>
      <c r="M1881" s="368"/>
      <c r="N1881" s="368"/>
      <c r="O1881" s="370"/>
      <c r="T1881" s="340"/>
      <c r="V1881" s="378"/>
      <c r="W1881" s="64" ph="1"/>
      <c r="X1881" s="241"/>
      <c r="Y1881" s="284"/>
      <c r="Z1881" s="207"/>
      <c r="AA1881" s="284"/>
      <c r="AB1881" s="284"/>
      <c r="AC1881" s="284"/>
      <c r="AD1881" s="284"/>
      <c r="AE1881" s="284"/>
      <c r="AF1881" s="284"/>
      <c r="AG1881" s="284"/>
    </row>
    <row r="1882" spans="1:33" ht="26.4">
      <c r="A1882" s="284"/>
      <c r="B1882" s="284"/>
      <c r="C1882" s="284"/>
      <c r="D1882" s="284"/>
      <c r="E1882" s="284"/>
      <c r="F1882" s="284"/>
      <c r="G1882" s="284"/>
      <c r="H1882" s="284"/>
      <c r="I1882" s="284"/>
      <c r="J1882" s="375"/>
      <c r="K1882" s="375"/>
      <c r="L1882" s="375"/>
      <c r="M1882" s="368"/>
      <c r="N1882" s="368"/>
      <c r="O1882" s="370"/>
      <c r="T1882" s="340"/>
      <c r="V1882" s="378"/>
      <c r="W1882" s="64" ph="1"/>
      <c r="X1882" s="241"/>
      <c r="Y1882" s="284"/>
      <c r="Z1882" s="207"/>
      <c r="AA1882" s="284"/>
      <c r="AB1882" s="284"/>
      <c r="AC1882" s="284"/>
      <c r="AD1882" s="284"/>
      <c r="AE1882" s="284"/>
      <c r="AF1882" s="284"/>
      <c r="AG1882" s="284"/>
    </row>
    <row r="1883" spans="1:33" ht="26.4">
      <c r="A1883" s="284"/>
      <c r="B1883" s="284"/>
      <c r="C1883" s="284"/>
      <c r="D1883" s="284"/>
      <c r="E1883" s="284"/>
      <c r="F1883" s="284"/>
      <c r="G1883" s="284"/>
      <c r="H1883" s="284"/>
      <c r="I1883" s="284"/>
      <c r="J1883" s="375"/>
      <c r="K1883" s="375"/>
      <c r="L1883" s="375"/>
      <c r="M1883" s="368"/>
      <c r="N1883" s="368"/>
      <c r="O1883" s="370"/>
      <c r="T1883" s="340"/>
      <c r="V1883" s="378"/>
      <c r="W1883" s="64" ph="1"/>
      <c r="X1883" s="241"/>
      <c r="Y1883" s="284"/>
      <c r="Z1883" s="207"/>
      <c r="AA1883" s="284"/>
      <c r="AB1883" s="284"/>
      <c r="AC1883" s="284"/>
      <c r="AD1883" s="284"/>
      <c r="AE1883" s="284"/>
      <c r="AF1883" s="284"/>
      <c r="AG1883" s="284"/>
    </row>
    <row r="1884" spans="1:33" ht="26.4">
      <c r="A1884" s="284"/>
      <c r="B1884" s="284"/>
      <c r="C1884" s="284"/>
      <c r="D1884" s="284"/>
      <c r="E1884" s="284"/>
      <c r="F1884" s="284"/>
      <c r="G1884" s="284"/>
      <c r="H1884" s="284"/>
      <c r="I1884" s="284"/>
      <c r="J1884" s="375"/>
      <c r="K1884" s="375"/>
      <c r="L1884" s="375"/>
      <c r="M1884" s="368"/>
      <c r="N1884" s="368"/>
      <c r="O1884" s="370"/>
      <c r="T1884" s="340"/>
      <c r="V1884" s="378"/>
      <c r="W1884" s="64" ph="1"/>
      <c r="X1884" s="241"/>
      <c r="Y1884" s="284"/>
      <c r="Z1884" s="207"/>
      <c r="AA1884" s="284"/>
      <c r="AB1884" s="284"/>
      <c r="AC1884" s="284"/>
      <c r="AD1884" s="284"/>
      <c r="AE1884" s="284"/>
      <c r="AF1884" s="284"/>
      <c r="AG1884" s="284"/>
    </row>
    <row r="1885" spans="1:33" ht="26.4">
      <c r="A1885" s="284"/>
      <c r="B1885" s="284"/>
      <c r="C1885" s="284"/>
      <c r="D1885" s="284"/>
      <c r="E1885" s="284"/>
      <c r="F1885" s="284"/>
      <c r="G1885" s="284"/>
      <c r="H1885" s="284"/>
      <c r="I1885" s="284"/>
      <c r="J1885" s="375"/>
      <c r="K1885" s="375"/>
      <c r="L1885" s="375"/>
      <c r="M1885" s="368"/>
      <c r="N1885" s="368"/>
      <c r="O1885" s="370"/>
      <c r="T1885" s="340"/>
      <c r="V1885" s="378"/>
      <c r="W1885" s="64" ph="1"/>
      <c r="X1885" s="241"/>
      <c r="Y1885" s="284"/>
      <c r="Z1885" s="207"/>
      <c r="AA1885" s="284"/>
      <c r="AB1885" s="284"/>
      <c r="AC1885" s="284"/>
      <c r="AD1885" s="284"/>
      <c r="AE1885" s="284"/>
      <c r="AF1885" s="284"/>
      <c r="AG1885" s="284"/>
    </row>
    <row r="1886" spans="1:33" ht="26.4">
      <c r="A1886" s="284"/>
      <c r="B1886" s="284"/>
      <c r="C1886" s="284"/>
      <c r="D1886" s="284"/>
      <c r="E1886" s="284"/>
      <c r="F1886" s="284"/>
      <c r="G1886" s="284"/>
      <c r="H1886" s="284"/>
      <c r="I1886" s="284"/>
      <c r="J1886" s="375"/>
      <c r="K1886" s="375"/>
      <c r="L1886" s="375"/>
      <c r="M1886" s="368"/>
      <c r="N1886" s="368"/>
      <c r="O1886" s="370"/>
      <c r="T1886" s="340"/>
      <c r="V1886" s="378"/>
      <c r="W1886" s="64" ph="1"/>
      <c r="X1886" s="241"/>
      <c r="Y1886" s="284"/>
      <c r="Z1886" s="207"/>
      <c r="AA1886" s="284"/>
      <c r="AB1886" s="284"/>
      <c r="AC1886" s="284"/>
      <c r="AD1886" s="284"/>
      <c r="AE1886" s="284"/>
      <c r="AF1886" s="284"/>
      <c r="AG1886" s="284"/>
    </row>
    <row r="1887" spans="1:33" ht="26.4">
      <c r="A1887" s="284"/>
      <c r="B1887" s="284"/>
      <c r="C1887" s="284"/>
      <c r="D1887" s="284"/>
      <c r="E1887" s="284"/>
      <c r="F1887" s="284"/>
      <c r="G1887" s="284"/>
      <c r="H1887" s="284"/>
      <c r="I1887" s="284"/>
      <c r="J1887" s="375"/>
      <c r="K1887" s="375"/>
      <c r="L1887" s="375"/>
      <c r="M1887" s="368"/>
      <c r="N1887" s="368"/>
      <c r="O1887" s="370"/>
      <c r="T1887" s="340"/>
      <c r="V1887" s="378"/>
      <c r="W1887" s="64" ph="1"/>
      <c r="X1887" s="241"/>
      <c r="Y1887" s="284"/>
      <c r="Z1887" s="207"/>
      <c r="AA1887" s="284"/>
      <c r="AB1887" s="284"/>
      <c r="AC1887" s="284"/>
      <c r="AD1887" s="284"/>
      <c r="AE1887" s="284"/>
      <c r="AF1887" s="284"/>
      <c r="AG1887" s="284"/>
    </row>
    <row r="1888" spans="1:33" ht="26.4">
      <c r="A1888" s="284"/>
      <c r="B1888" s="284"/>
      <c r="C1888" s="284"/>
      <c r="D1888" s="284"/>
      <c r="E1888" s="284"/>
      <c r="F1888" s="284"/>
      <c r="G1888" s="284"/>
      <c r="H1888" s="284"/>
      <c r="I1888" s="284"/>
      <c r="J1888" s="375"/>
      <c r="K1888" s="375"/>
      <c r="L1888" s="375"/>
      <c r="M1888" s="368"/>
      <c r="N1888" s="368"/>
      <c r="O1888" s="370"/>
      <c r="T1888" s="340"/>
      <c r="V1888" s="378"/>
      <c r="W1888" s="64" ph="1"/>
      <c r="X1888" s="241"/>
      <c r="Y1888" s="284"/>
      <c r="Z1888" s="207"/>
      <c r="AA1888" s="284"/>
      <c r="AB1888" s="284"/>
      <c r="AC1888" s="284"/>
      <c r="AD1888" s="284"/>
      <c r="AE1888" s="284"/>
      <c r="AF1888" s="284"/>
      <c r="AG1888" s="284"/>
    </row>
    <row r="1889" spans="1:33" ht="26.4">
      <c r="A1889" s="284"/>
      <c r="B1889" s="284"/>
      <c r="C1889" s="284"/>
      <c r="D1889" s="284"/>
      <c r="E1889" s="284"/>
      <c r="F1889" s="284"/>
      <c r="G1889" s="284"/>
      <c r="H1889" s="284"/>
      <c r="I1889" s="284"/>
      <c r="J1889" s="375"/>
      <c r="K1889" s="375"/>
      <c r="L1889" s="375"/>
      <c r="M1889" s="368"/>
      <c r="N1889" s="368"/>
      <c r="O1889" s="370"/>
      <c r="T1889" s="340"/>
      <c r="V1889" s="378"/>
      <c r="W1889" s="64" ph="1"/>
      <c r="X1889" s="241"/>
      <c r="Y1889" s="284"/>
      <c r="Z1889" s="207"/>
      <c r="AA1889" s="284"/>
      <c r="AB1889" s="284"/>
      <c r="AC1889" s="284"/>
      <c r="AD1889" s="284"/>
      <c r="AE1889" s="284"/>
      <c r="AF1889" s="284"/>
      <c r="AG1889" s="284"/>
    </row>
    <row r="1890" spans="1:33" ht="26.4">
      <c r="A1890" s="284"/>
      <c r="B1890" s="284"/>
      <c r="C1890" s="284"/>
      <c r="D1890" s="284"/>
      <c r="E1890" s="284"/>
      <c r="F1890" s="284"/>
      <c r="G1890" s="284"/>
      <c r="H1890" s="284"/>
      <c r="I1890" s="284"/>
      <c r="J1890" s="375"/>
      <c r="K1890" s="375"/>
      <c r="L1890" s="375"/>
      <c r="M1890" s="368"/>
      <c r="N1890" s="368"/>
      <c r="O1890" s="370"/>
      <c r="T1890" s="340"/>
      <c r="V1890" s="378"/>
      <c r="W1890" s="64" ph="1"/>
      <c r="X1890" s="241"/>
      <c r="Y1890" s="284"/>
      <c r="Z1890" s="207"/>
      <c r="AA1890" s="284"/>
      <c r="AB1890" s="284"/>
      <c r="AC1890" s="284"/>
      <c r="AD1890" s="284"/>
      <c r="AE1890" s="284"/>
      <c r="AF1890" s="284"/>
      <c r="AG1890" s="284"/>
    </row>
    <row r="1891" spans="1:33" ht="26.4">
      <c r="A1891" s="284"/>
      <c r="B1891" s="284"/>
      <c r="C1891" s="284"/>
      <c r="D1891" s="284"/>
      <c r="E1891" s="284"/>
      <c r="F1891" s="284"/>
      <c r="G1891" s="284"/>
      <c r="H1891" s="284"/>
      <c r="I1891" s="284"/>
      <c r="J1891" s="375"/>
      <c r="K1891" s="375"/>
      <c r="L1891" s="375"/>
      <c r="M1891" s="368"/>
      <c r="N1891" s="368"/>
      <c r="O1891" s="370"/>
      <c r="T1891" s="340"/>
      <c r="V1891" s="378"/>
      <c r="W1891" s="64" ph="1"/>
      <c r="X1891" s="241"/>
      <c r="Y1891" s="284"/>
      <c r="Z1891" s="207"/>
      <c r="AA1891" s="284"/>
      <c r="AB1891" s="284"/>
      <c r="AC1891" s="284"/>
      <c r="AD1891" s="284"/>
      <c r="AE1891" s="284"/>
      <c r="AF1891" s="284"/>
      <c r="AG1891" s="284"/>
    </row>
    <row r="1892" spans="1:33" ht="26.4">
      <c r="A1892" s="284"/>
      <c r="B1892" s="284"/>
      <c r="C1892" s="284"/>
      <c r="D1892" s="284"/>
      <c r="E1892" s="284"/>
      <c r="F1892" s="284"/>
      <c r="G1892" s="284"/>
      <c r="H1892" s="284"/>
      <c r="I1892" s="284"/>
      <c r="J1892" s="375"/>
      <c r="K1892" s="375"/>
      <c r="L1892" s="375"/>
      <c r="M1892" s="368"/>
      <c r="N1892" s="368"/>
      <c r="O1892" s="370"/>
      <c r="T1892" s="340"/>
      <c r="V1892" s="378"/>
      <c r="W1892" s="64" ph="1"/>
      <c r="X1892" s="241"/>
      <c r="Y1892" s="284"/>
      <c r="Z1892" s="207"/>
      <c r="AA1892" s="284"/>
      <c r="AB1892" s="284"/>
      <c r="AC1892" s="284"/>
      <c r="AD1892" s="284"/>
      <c r="AE1892" s="284"/>
      <c r="AF1892" s="284"/>
      <c r="AG1892" s="284"/>
    </row>
    <row r="1893" spans="1:33" ht="26.4">
      <c r="A1893" s="284"/>
      <c r="B1893" s="284"/>
      <c r="C1893" s="284"/>
      <c r="D1893" s="284"/>
      <c r="E1893" s="284"/>
      <c r="F1893" s="284"/>
      <c r="G1893" s="284"/>
      <c r="H1893" s="284"/>
      <c r="I1893" s="284"/>
      <c r="J1893" s="375"/>
      <c r="K1893" s="375"/>
      <c r="L1893" s="375"/>
      <c r="M1893" s="368"/>
      <c r="N1893" s="368"/>
      <c r="O1893" s="370"/>
      <c r="T1893" s="340"/>
      <c r="V1893" s="378"/>
      <c r="W1893" s="64" ph="1"/>
      <c r="X1893" s="241"/>
      <c r="Y1893" s="284"/>
      <c r="Z1893" s="207"/>
      <c r="AA1893" s="284"/>
      <c r="AB1893" s="284"/>
      <c r="AC1893" s="284"/>
      <c r="AD1893" s="284"/>
      <c r="AE1893" s="284"/>
      <c r="AF1893" s="284"/>
      <c r="AG1893" s="284"/>
    </row>
    <row r="1894" spans="1:33" ht="26.4">
      <c r="A1894" s="284"/>
      <c r="B1894" s="284"/>
      <c r="C1894" s="284"/>
      <c r="D1894" s="284"/>
      <c r="E1894" s="284"/>
      <c r="F1894" s="284"/>
      <c r="G1894" s="284"/>
      <c r="H1894" s="284"/>
      <c r="I1894" s="284"/>
      <c r="J1894" s="375"/>
      <c r="K1894" s="375"/>
      <c r="L1894" s="375"/>
      <c r="M1894" s="368"/>
      <c r="N1894" s="368"/>
      <c r="O1894" s="370"/>
      <c r="T1894" s="340"/>
      <c r="V1894" s="378"/>
      <c r="W1894" s="64" ph="1"/>
      <c r="X1894" s="241"/>
      <c r="Y1894" s="284"/>
      <c r="Z1894" s="207"/>
      <c r="AA1894" s="284"/>
      <c r="AB1894" s="284"/>
      <c r="AC1894" s="284"/>
      <c r="AD1894" s="284"/>
      <c r="AE1894" s="284"/>
      <c r="AF1894" s="284"/>
      <c r="AG1894" s="284"/>
    </row>
    <row r="1895" spans="1:33" ht="26.4">
      <c r="A1895" s="284"/>
      <c r="B1895" s="284"/>
      <c r="C1895" s="284"/>
      <c r="D1895" s="284"/>
      <c r="E1895" s="284"/>
      <c r="F1895" s="284"/>
      <c r="G1895" s="284"/>
      <c r="H1895" s="284"/>
      <c r="I1895" s="284"/>
      <c r="J1895" s="375"/>
      <c r="K1895" s="375"/>
      <c r="L1895" s="375"/>
      <c r="M1895" s="368"/>
      <c r="N1895" s="368"/>
      <c r="O1895" s="370"/>
      <c r="T1895" s="340"/>
      <c r="V1895" s="378"/>
      <c r="W1895" s="64" ph="1"/>
      <c r="X1895" s="241"/>
      <c r="Y1895" s="284"/>
      <c r="Z1895" s="207"/>
      <c r="AA1895" s="284"/>
      <c r="AB1895" s="284"/>
      <c r="AC1895" s="284"/>
      <c r="AD1895" s="284"/>
      <c r="AE1895" s="284"/>
      <c r="AF1895" s="284"/>
      <c r="AG1895" s="284"/>
    </row>
    <row r="1896" spans="1:33" ht="26.4">
      <c r="A1896" s="284"/>
      <c r="B1896" s="284"/>
      <c r="C1896" s="284"/>
      <c r="D1896" s="284"/>
      <c r="E1896" s="284"/>
      <c r="F1896" s="284"/>
      <c r="G1896" s="284"/>
      <c r="H1896" s="284"/>
      <c r="I1896" s="284"/>
      <c r="J1896" s="375"/>
      <c r="K1896" s="375"/>
      <c r="L1896" s="375"/>
      <c r="M1896" s="368"/>
      <c r="N1896" s="368"/>
      <c r="O1896" s="370"/>
      <c r="T1896" s="340"/>
      <c r="V1896" s="378"/>
      <c r="W1896" s="64" ph="1"/>
      <c r="X1896" s="241"/>
      <c r="Y1896" s="284"/>
      <c r="Z1896" s="207"/>
      <c r="AA1896" s="284"/>
      <c r="AB1896" s="284"/>
      <c r="AC1896" s="284"/>
      <c r="AD1896" s="284"/>
      <c r="AE1896" s="284"/>
      <c r="AF1896" s="284"/>
      <c r="AG1896" s="284"/>
    </row>
    <row r="1897" spans="1:33" ht="26.4">
      <c r="A1897" s="284"/>
      <c r="B1897" s="284"/>
      <c r="C1897" s="284"/>
      <c r="D1897" s="284"/>
      <c r="E1897" s="284"/>
      <c r="F1897" s="284"/>
      <c r="G1897" s="284"/>
      <c r="H1897" s="284"/>
      <c r="I1897" s="284"/>
      <c r="J1897" s="375"/>
      <c r="K1897" s="375"/>
      <c r="L1897" s="375"/>
      <c r="M1897" s="368"/>
      <c r="N1897" s="368"/>
      <c r="O1897" s="370"/>
      <c r="T1897" s="340"/>
      <c r="V1897" s="378"/>
      <c r="W1897" s="64" ph="1"/>
      <c r="X1897" s="241"/>
      <c r="Y1897" s="284"/>
      <c r="Z1897" s="207"/>
      <c r="AA1897" s="284"/>
      <c r="AB1897" s="284"/>
      <c r="AC1897" s="284"/>
      <c r="AD1897" s="284"/>
      <c r="AE1897" s="284"/>
      <c r="AF1897" s="284"/>
      <c r="AG1897" s="284"/>
    </row>
    <row r="1898" spans="1:33" ht="26.4">
      <c r="A1898" s="284"/>
      <c r="B1898" s="284"/>
      <c r="C1898" s="284"/>
      <c r="D1898" s="284"/>
      <c r="E1898" s="284"/>
      <c r="F1898" s="284"/>
      <c r="G1898" s="284"/>
      <c r="H1898" s="284"/>
      <c r="I1898" s="284"/>
      <c r="J1898" s="375"/>
      <c r="K1898" s="375"/>
      <c r="L1898" s="375"/>
      <c r="M1898" s="368"/>
      <c r="N1898" s="368"/>
      <c r="O1898" s="370"/>
      <c r="T1898" s="340"/>
      <c r="V1898" s="378"/>
      <c r="W1898" s="64" ph="1"/>
      <c r="X1898" s="241"/>
      <c r="Y1898" s="284"/>
      <c r="Z1898" s="207"/>
      <c r="AA1898" s="284"/>
      <c r="AB1898" s="284"/>
      <c r="AC1898" s="284"/>
      <c r="AD1898" s="284"/>
      <c r="AE1898" s="284"/>
      <c r="AF1898" s="284"/>
      <c r="AG1898" s="284"/>
    </row>
    <row r="1899" spans="1:33" ht="26.4">
      <c r="A1899" s="284"/>
      <c r="B1899" s="284"/>
      <c r="C1899" s="284"/>
      <c r="D1899" s="284"/>
      <c r="E1899" s="284"/>
      <c r="F1899" s="284"/>
      <c r="G1899" s="284"/>
      <c r="H1899" s="284"/>
      <c r="I1899" s="284"/>
      <c r="J1899" s="375"/>
      <c r="K1899" s="375"/>
      <c r="L1899" s="375"/>
      <c r="M1899" s="368"/>
      <c r="N1899" s="368"/>
      <c r="O1899" s="370"/>
      <c r="T1899" s="340"/>
      <c r="V1899" s="378"/>
      <c r="W1899" s="64" ph="1"/>
      <c r="X1899" s="241"/>
      <c r="Y1899" s="284"/>
      <c r="Z1899" s="207"/>
      <c r="AA1899" s="284"/>
      <c r="AB1899" s="284"/>
      <c r="AC1899" s="284"/>
      <c r="AD1899" s="284"/>
      <c r="AE1899" s="284"/>
      <c r="AF1899" s="284"/>
      <c r="AG1899" s="284"/>
    </row>
    <row r="1900" spans="1:33" ht="26.4">
      <c r="A1900" s="284"/>
      <c r="B1900" s="284"/>
      <c r="C1900" s="284"/>
      <c r="D1900" s="284"/>
      <c r="E1900" s="284"/>
      <c r="F1900" s="284"/>
      <c r="G1900" s="284"/>
      <c r="H1900" s="284"/>
      <c r="I1900" s="284"/>
      <c r="J1900" s="375"/>
      <c r="K1900" s="375"/>
      <c r="L1900" s="375"/>
      <c r="M1900" s="368"/>
      <c r="N1900" s="368"/>
      <c r="O1900" s="370"/>
      <c r="T1900" s="340"/>
      <c r="V1900" s="378"/>
      <c r="W1900" s="64" ph="1"/>
      <c r="X1900" s="241"/>
      <c r="Y1900" s="284"/>
      <c r="Z1900" s="207"/>
      <c r="AA1900" s="284"/>
      <c r="AB1900" s="284"/>
      <c r="AC1900" s="284"/>
      <c r="AD1900" s="284"/>
      <c r="AE1900" s="284"/>
      <c r="AF1900" s="284"/>
      <c r="AG1900" s="284"/>
    </row>
    <row r="1901" spans="1:33" ht="26.4">
      <c r="A1901" s="284"/>
      <c r="B1901" s="284"/>
      <c r="C1901" s="284"/>
      <c r="D1901" s="284"/>
      <c r="E1901" s="284"/>
      <c r="F1901" s="284"/>
      <c r="G1901" s="284"/>
      <c r="H1901" s="284"/>
      <c r="I1901" s="284"/>
      <c r="J1901" s="375"/>
      <c r="K1901" s="375"/>
      <c r="L1901" s="375"/>
      <c r="M1901" s="368"/>
      <c r="N1901" s="368"/>
      <c r="O1901" s="370"/>
      <c r="T1901" s="340"/>
      <c r="V1901" s="378"/>
      <c r="W1901" s="64" ph="1"/>
      <c r="X1901" s="241"/>
      <c r="Y1901" s="284"/>
      <c r="Z1901" s="207"/>
      <c r="AA1901" s="284"/>
      <c r="AB1901" s="284"/>
      <c r="AC1901" s="284"/>
      <c r="AD1901" s="284"/>
      <c r="AE1901" s="284"/>
      <c r="AF1901" s="284"/>
      <c r="AG1901" s="284"/>
    </row>
    <row r="1902" spans="1:33" ht="26.4">
      <c r="A1902" s="284"/>
      <c r="B1902" s="284"/>
      <c r="C1902" s="284"/>
      <c r="D1902" s="284"/>
      <c r="E1902" s="284"/>
      <c r="F1902" s="284"/>
      <c r="G1902" s="284"/>
      <c r="H1902" s="284"/>
      <c r="I1902" s="284"/>
      <c r="J1902" s="375"/>
      <c r="K1902" s="375"/>
      <c r="L1902" s="375"/>
      <c r="M1902" s="368"/>
      <c r="N1902" s="368"/>
      <c r="O1902" s="370"/>
      <c r="T1902" s="340"/>
      <c r="V1902" s="378"/>
      <c r="W1902" s="64" ph="1"/>
      <c r="X1902" s="241"/>
      <c r="Y1902" s="284"/>
      <c r="Z1902" s="207"/>
      <c r="AA1902" s="284"/>
      <c r="AB1902" s="284"/>
      <c r="AC1902" s="284"/>
      <c r="AD1902" s="284"/>
      <c r="AE1902" s="284"/>
      <c r="AF1902" s="284"/>
      <c r="AG1902" s="284"/>
    </row>
    <row r="1903" spans="1:33" ht="26.4">
      <c r="A1903" s="284"/>
      <c r="B1903" s="284"/>
      <c r="C1903" s="284"/>
      <c r="D1903" s="284"/>
      <c r="E1903" s="284"/>
      <c r="F1903" s="284"/>
      <c r="G1903" s="284"/>
      <c r="H1903" s="284"/>
      <c r="I1903" s="284"/>
      <c r="J1903" s="375"/>
      <c r="K1903" s="375"/>
      <c r="L1903" s="375"/>
      <c r="M1903" s="368"/>
      <c r="N1903" s="368"/>
      <c r="O1903" s="370"/>
      <c r="T1903" s="340"/>
      <c r="V1903" s="378"/>
      <c r="W1903" s="64" ph="1"/>
      <c r="X1903" s="241"/>
      <c r="Y1903" s="284"/>
      <c r="Z1903" s="207"/>
      <c r="AA1903" s="284"/>
      <c r="AB1903" s="284"/>
      <c r="AC1903" s="284"/>
      <c r="AD1903" s="284"/>
      <c r="AE1903" s="284"/>
      <c r="AF1903" s="284"/>
      <c r="AG1903" s="284"/>
    </row>
    <row r="1904" spans="1:33" ht="26.4">
      <c r="A1904" s="284"/>
      <c r="B1904" s="284"/>
      <c r="C1904" s="284"/>
      <c r="D1904" s="284"/>
      <c r="E1904" s="284"/>
      <c r="F1904" s="284"/>
      <c r="G1904" s="284"/>
      <c r="H1904" s="284"/>
      <c r="I1904" s="284"/>
      <c r="J1904" s="375"/>
      <c r="K1904" s="375"/>
      <c r="L1904" s="375"/>
      <c r="M1904" s="368"/>
      <c r="N1904" s="368"/>
      <c r="O1904" s="370"/>
      <c r="T1904" s="340"/>
      <c r="V1904" s="378"/>
      <c r="W1904" s="64" ph="1"/>
      <c r="X1904" s="241"/>
      <c r="Y1904" s="284"/>
      <c r="Z1904" s="207"/>
      <c r="AA1904" s="284"/>
      <c r="AB1904" s="284"/>
      <c r="AC1904" s="284"/>
      <c r="AD1904" s="284"/>
      <c r="AE1904" s="284"/>
      <c r="AF1904" s="284"/>
      <c r="AG1904" s="284"/>
    </row>
    <row r="1905" spans="1:33" ht="26.4">
      <c r="A1905" s="284"/>
      <c r="B1905" s="284"/>
      <c r="C1905" s="284"/>
      <c r="D1905" s="284"/>
      <c r="E1905" s="284"/>
      <c r="F1905" s="284"/>
      <c r="G1905" s="284"/>
      <c r="H1905" s="284"/>
      <c r="I1905" s="284"/>
      <c r="J1905" s="375"/>
      <c r="K1905" s="375"/>
      <c r="L1905" s="375"/>
      <c r="M1905" s="368"/>
      <c r="N1905" s="368"/>
      <c r="O1905" s="370"/>
      <c r="T1905" s="340"/>
      <c r="V1905" s="378"/>
      <c r="W1905" s="64" ph="1"/>
      <c r="X1905" s="241"/>
      <c r="Y1905" s="284"/>
      <c r="Z1905" s="207"/>
      <c r="AA1905" s="284"/>
      <c r="AB1905" s="284"/>
      <c r="AC1905" s="284"/>
      <c r="AD1905" s="284"/>
      <c r="AE1905" s="284"/>
      <c r="AF1905" s="284"/>
      <c r="AG1905" s="284"/>
    </row>
    <row r="1906" spans="1:33" ht="26.4">
      <c r="A1906" s="284"/>
      <c r="B1906" s="284"/>
      <c r="C1906" s="284"/>
      <c r="D1906" s="284"/>
      <c r="E1906" s="284"/>
      <c r="F1906" s="284"/>
      <c r="G1906" s="284"/>
      <c r="H1906" s="284"/>
      <c r="I1906" s="284"/>
      <c r="J1906" s="375"/>
      <c r="K1906" s="375"/>
      <c r="L1906" s="375"/>
      <c r="M1906" s="368"/>
      <c r="N1906" s="368"/>
      <c r="O1906" s="370"/>
      <c r="T1906" s="340"/>
      <c r="V1906" s="378"/>
      <c r="W1906" s="64" ph="1"/>
      <c r="X1906" s="241"/>
      <c r="Y1906" s="284"/>
      <c r="Z1906" s="207"/>
      <c r="AA1906" s="284"/>
      <c r="AB1906" s="284"/>
      <c r="AC1906" s="284"/>
      <c r="AD1906" s="284"/>
      <c r="AE1906" s="284"/>
      <c r="AF1906" s="284"/>
      <c r="AG1906" s="284"/>
    </row>
    <row r="1907" spans="1:33" ht="26.4">
      <c r="A1907" s="284"/>
      <c r="B1907" s="284"/>
      <c r="C1907" s="284"/>
      <c r="D1907" s="284"/>
      <c r="E1907" s="284"/>
      <c r="F1907" s="284"/>
      <c r="G1907" s="284"/>
      <c r="H1907" s="284"/>
      <c r="I1907" s="284"/>
      <c r="J1907" s="375"/>
      <c r="K1907" s="375"/>
      <c r="L1907" s="375"/>
      <c r="M1907" s="368"/>
      <c r="N1907" s="368"/>
      <c r="O1907" s="370"/>
      <c r="T1907" s="340"/>
      <c r="V1907" s="378"/>
      <c r="W1907" s="64" ph="1"/>
      <c r="X1907" s="241"/>
      <c r="Y1907" s="284"/>
      <c r="Z1907" s="207"/>
      <c r="AA1907" s="284"/>
      <c r="AB1907" s="284"/>
      <c r="AC1907" s="284"/>
      <c r="AD1907" s="284"/>
      <c r="AE1907" s="284"/>
      <c r="AF1907" s="284"/>
      <c r="AG1907" s="284"/>
    </row>
    <row r="1908" spans="1:33" ht="26.4">
      <c r="A1908" s="284"/>
      <c r="B1908" s="284"/>
      <c r="C1908" s="284"/>
      <c r="D1908" s="284"/>
      <c r="E1908" s="284"/>
      <c r="F1908" s="284"/>
      <c r="G1908" s="284"/>
      <c r="H1908" s="284"/>
      <c r="I1908" s="284"/>
      <c r="J1908" s="375"/>
      <c r="K1908" s="375"/>
      <c r="L1908" s="375"/>
      <c r="M1908" s="368"/>
      <c r="N1908" s="368"/>
      <c r="O1908" s="370"/>
      <c r="T1908" s="340"/>
      <c r="V1908" s="378"/>
      <c r="W1908" s="64" ph="1"/>
      <c r="X1908" s="241"/>
      <c r="Y1908" s="284"/>
      <c r="Z1908" s="207"/>
      <c r="AA1908" s="284"/>
      <c r="AB1908" s="284"/>
      <c r="AC1908" s="284"/>
      <c r="AD1908" s="284"/>
      <c r="AE1908" s="284"/>
      <c r="AF1908" s="284"/>
      <c r="AG1908" s="284"/>
    </row>
    <row r="1909" spans="1:33" ht="26.4">
      <c r="A1909" s="284"/>
      <c r="B1909" s="284"/>
      <c r="C1909" s="284"/>
      <c r="D1909" s="284"/>
      <c r="E1909" s="284"/>
      <c r="F1909" s="284"/>
      <c r="G1909" s="284"/>
      <c r="H1909" s="284"/>
      <c r="I1909" s="284"/>
      <c r="J1909" s="375"/>
      <c r="K1909" s="375"/>
      <c r="L1909" s="375"/>
      <c r="M1909" s="368"/>
      <c r="N1909" s="368"/>
      <c r="O1909" s="370"/>
      <c r="T1909" s="340"/>
      <c r="V1909" s="378"/>
      <c r="W1909" s="64" ph="1"/>
      <c r="X1909" s="241"/>
      <c r="Y1909" s="284"/>
      <c r="Z1909" s="207"/>
      <c r="AA1909" s="284"/>
      <c r="AB1909" s="284"/>
      <c r="AC1909" s="284"/>
      <c r="AD1909" s="284"/>
      <c r="AE1909" s="284"/>
      <c r="AF1909" s="284"/>
      <c r="AG1909" s="284"/>
    </row>
    <row r="1910" spans="1:33" ht="26.4">
      <c r="A1910" s="284"/>
      <c r="B1910" s="284"/>
      <c r="C1910" s="284"/>
      <c r="D1910" s="284"/>
      <c r="E1910" s="284"/>
      <c r="F1910" s="284"/>
      <c r="G1910" s="284"/>
      <c r="H1910" s="284"/>
      <c r="I1910" s="284"/>
      <c r="J1910" s="375"/>
      <c r="K1910" s="375"/>
      <c r="L1910" s="375"/>
      <c r="M1910" s="368"/>
      <c r="N1910" s="368"/>
      <c r="O1910" s="370"/>
      <c r="T1910" s="340"/>
      <c r="V1910" s="378"/>
      <c r="W1910" s="64" ph="1"/>
      <c r="X1910" s="241"/>
      <c r="Y1910" s="284"/>
      <c r="Z1910" s="207"/>
      <c r="AA1910" s="284"/>
      <c r="AB1910" s="284"/>
      <c r="AC1910" s="284"/>
      <c r="AD1910" s="284"/>
      <c r="AE1910" s="284"/>
      <c r="AF1910" s="284"/>
      <c r="AG1910" s="284"/>
    </row>
    <row r="1911" spans="1:33" ht="26.4">
      <c r="A1911" s="284"/>
      <c r="B1911" s="284"/>
      <c r="C1911" s="284"/>
      <c r="D1911" s="284"/>
      <c r="E1911" s="284"/>
      <c r="F1911" s="284"/>
      <c r="G1911" s="284"/>
      <c r="H1911" s="284"/>
      <c r="I1911" s="284"/>
      <c r="J1911" s="375"/>
      <c r="K1911" s="375"/>
      <c r="L1911" s="375"/>
      <c r="M1911" s="368"/>
      <c r="N1911" s="368"/>
      <c r="O1911" s="370"/>
      <c r="T1911" s="340"/>
      <c r="V1911" s="378"/>
      <c r="W1911" s="64" ph="1"/>
      <c r="X1911" s="241"/>
      <c r="Y1911" s="284"/>
      <c r="Z1911" s="207"/>
      <c r="AA1911" s="284"/>
      <c r="AB1911" s="284"/>
      <c r="AC1911" s="284"/>
      <c r="AD1911" s="284"/>
      <c r="AE1911" s="284"/>
      <c r="AF1911" s="284"/>
      <c r="AG1911" s="284"/>
    </row>
    <row r="1912" spans="1:33" ht="26.4">
      <c r="A1912" s="284"/>
      <c r="B1912" s="284"/>
      <c r="C1912" s="284"/>
      <c r="D1912" s="284"/>
      <c r="E1912" s="284"/>
      <c r="F1912" s="284"/>
      <c r="G1912" s="284"/>
      <c r="H1912" s="284"/>
      <c r="I1912" s="284"/>
      <c r="J1912" s="375"/>
      <c r="K1912" s="375"/>
      <c r="L1912" s="375"/>
      <c r="M1912" s="368"/>
      <c r="N1912" s="368"/>
      <c r="O1912" s="370"/>
      <c r="T1912" s="340"/>
      <c r="V1912" s="378"/>
      <c r="W1912" s="64" ph="1"/>
      <c r="X1912" s="241"/>
      <c r="Y1912" s="284"/>
      <c r="Z1912" s="207"/>
      <c r="AA1912" s="284"/>
      <c r="AB1912" s="284"/>
      <c r="AC1912" s="284"/>
      <c r="AD1912" s="284"/>
      <c r="AE1912" s="284"/>
      <c r="AF1912" s="284"/>
      <c r="AG1912" s="284"/>
    </row>
    <row r="1913" spans="1:33" ht="26.4">
      <c r="A1913" s="284"/>
      <c r="B1913" s="284"/>
      <c r="C1913" s="284"/>
      <c r="D1913" s="284"/>
      <c r="E1913" s="284"/>
      <c r="F1913" s="284"/>
      <c r="G1913" s="284"/>
      <c r="H1913" s="284"/>
      <c r="I1913" s="284"/>
      <c r="J1913" s="375"/>
      <c r="K1913" s="375"/>
      <c r="L1913" s="375"/>
      <c r="M1913" s="368"/>
      <c r="N1913" s="368"/>
      <c r="O1913" s="370"/>
      <c r="T1913" s="340"/>
      <c r="V1913" s="378"/>
      <c r="W1913" s="64" ph="1"/>
      <c r="X1913" s="241"/>
      <c r="Y1913" s="284"/>
      <c r="Z1913" s="207"/>
      <c r="AA1913" s="284"/>
      <c r="AB1913" s="284"/>
      <c r="AC1913" s="284"/>
      <c r="AD1913" s="284"/>
      <c r="AE1913" s="284"/>
      <c r="AF1913" s="284"/>
      <c r="AG1913" s="284"/>
    </row>
    <row r="1914" spans="1:33" ht="26.4">
      <c r="A1914" s="284"/>
      <c r="B1914" s="284"/>
      <c r="C1914" s="284"/>
      <c r="D1914" s="284"/>
      <c r="E1914" s="284"/>
      <c r="F1914" s="284"/>
      <c r="G1914" s="284"/>
      <c r="H1914" s="284"/>
      <c r="I1914" s="284"/>
      <c r="J1914" s="375"/>
      <c r="K1914" s="375"/>
      <c r="L1914" s="375"/>
      <c r="M1914" s="368"/>
      <c r="N1914" s="368"/>
      <c r="O1914" s="370"/>
      <c r="T1914" s="340"/>
      <c r="V1914" s="378"/>
      <c r="W1914" s="64" ph="1"/>
      <c r="X1914" s="241"/>
      <c r="Y1914" s="284"/>
      <c r="Z1914" s="207"/>
      <c r="AA1914" s="284"/>
      <c r="AB1914" s="284"/>
      <c r="AC1914" s="284"/>
      <c r="AD1914" s="284"/>
      <c r="AE1914" s="284"/>
      <c r="AF1914" s="284"/>
      <c r="AG1914" s="284"/>
    </row>
    <row r="1915" spans="1:33" ht="26.4">
      <c r="A1915" s="284"/>
      <c r="B1915" s="284"/>
      <c r="C1915" s="284"/>
      <c r="D1915" s="284"/>
      <c r="E1915" s="284"/>
      <c r="F1915" s="284"/>
      <c r="G1915" s="284"/>
      <c r="H1915" s="284"/>
      <c r="I1915" s="284"/>
      <c r="J1915" s="375"/>
      <c r="K1915" s="375"/>
      <c r="L1915" s="375"/>
      <c r="M1915" s="368"/>
      <c r="N1915" s="368"/>
      <c r="O1915" s="370"/>
      <c r="T1915" s="340"/>
      <c r="V1915" s="378"/>
      <c r="W1915" s="64" ph="1"/>
      <c r="X1915" s="241"/>
      <c r="Y1915" s="284"/>
      <c r="Z1915" s="207"/>
      <c r="AA1915" s="284"/>
      <c r="AB1915" s="284"/>
      <c r="AC1915" s="284"/>
      <c r="AD1915" s="284"/>
      <c r="AE1915" s="284"/>
      <c r="AF1915" s="284"/>
      <c r="AG1915" s="284"/>
    </row>
    <row r="1916" spans="1:33" ht="26.4">
      <c r="A1916" s="284"/>
      <c r="B1916" s="284"/>
      <c r="C1916" s="284"/>
      <c r="D1916" s="284"/>
      <c r="E1916" s="284"/>
      <c r="F1916" s="284"/>
      <c r="G1916" s="284"/>
      <c r="H1916" s="284"/>
      <c r="I1916" s="284"/>
      <c r="J1916" s="375"/>
      <c r="K1916" s="375"/>
      <c r="L1916" s="375"/>
      <c r="M1916" s="368"/>
      <c r="N1916" s="368"/>
      <c r="O1916" s="370"/>
      <c r="T1916" s="340"/>
      <c r="V1916" s="378"/>
      <c r="W1916" s="64" ph="1"/>
      <c r="X1916" s="241"/>
      <c r="Y1916" s="284"/>
      <c r="Z1916" s="207"/>
      <c r="AA1916" s="284"/>
      <c r="AB1916" s="284"/>
      <c r="AC1916" s="284"/>
      <c r="AD1916" s="284"/>
      <c r="AE1916" s="284"/>
      <c r="AF1916" s="284"/>
      <c r="AG1916" s="284"/>
    </row>
    <row r="1917" spans="1:33" ht="26.4">
      <c r="A1917" s="284"/>
      <c r="B1917" s="284"/>
      <c r="C1917" s="284"/>
      <c r="D1917" s="284"/>
      <c r="E1917" s="284"/>
      <c r="F1917" s="284"/>
      <c r="G1917" s="284"/>
      <c r="H1917" s="284"/>
      <c r="I1917" s="284"/>
      <c r="J1917" s="375"/>
      <c r="K1917" s="375"/>
      <c r="L1917" s="375"/>
      <c r="M1917" s="368"/>
      <c r="N1917" s="368"/>
      <c r="O1917" s="370"/>
      <c r="T1917" s="340"/>
      <c r="V1917" s="378"/>
      <c r="W1917" s="64" ph="1"/>
      <c r="X1917" s="241"/>
      <c r="Y1917" s="284"/>
      <c r="Z1917" s="207"/>
      <c r="AA1917" s="284"/>
      <c r="AB1917" s="284"/>
      <c r="AC1917" s="284"/>
      <c r="AD1917" s="284"/>
      <c r="AE1917" s="284"/>
      <c r="AF1917" s="284"/>
      <c r="AG1917" s="284"/>
    </row>
    <row r="1918" spans="1:33" ht="26.4">
      <c r="A1918" s="284"/>
      <c r="B1918" s="284"/>
      <c r="C1918" s="284"/>
      <c r="D1918" s="284"/>
      <c r="E1918" s="284"/>
      <c r="F1918" s="284"/>
      <c r="G1918" s="284"/>
      <c r="H1918" s="284"/>
      <c r="I1918" s="284"/>
      <c r="J1918" s="375"/>
      <c r="K1918" s="375"/>
      <c r="L1918" s="375"/>
      <c r="M1918" s="368"/>
      <c r="N1918" s="368"/>
      <c r="O1918" s="370"/>
      <c r="T1918" s="340"/>
      <c r="V1918" s="378"/>
      <c r="W1918" s="64" ph="1"/>
      <c r="X1918" s="241"/>
      <c r="Y1918" s="284"/>
      <c r="Z1918" s="207"/>
      <c r="AA1918" s="284"/>
      <c r="AB1918" s="284"/>
      <c r="AC1918" s="284"/>
      <c r="AD1918" s="284"/>
      <c r="AE1918" s="284"/>
      <c r="AF1918" s="284"/>
      <c r="AG1918" s="284"/>
    </row>
    <row r="1919" spans="1:33" ht="26.4">
      <c r="A1919" s="284"/>
      <c r="B1919" s="284"/>
      <c r="C1919" s="284"/>
      <c r="D1919" s="284"/>
      <c r="E1919" s="284"/>
      <c r="F1919" s="284"/>
      <c r="G1919" s="284"/>
      <c r="H1919" s="284"/>
      <c r="I1919" s="284"/>
      <c r="J1919" s="375"/>
      <c r="K1919" s="375"/>
      <c r="L1919" s="375"/>
      <c r="M1919" s="368"/>
      <c r="N1919" s="368"/>
      <c r="O1919" s="370"/>
      <c r="T1919" s="340"/>
      <c r="V1919" s="378"/>
      <c r="W1919" s="64" ph="1"/>
      <c r="X1919" s="241"/>
      <c r="Y1919" s="284"/>
      <c r="Z1919" s="207"/>
      <c r="AA1919" s="284"/>
      <c r="AB1919" s="284"/>
      <c r="AC1919" s="284"/>
      <c r="AD1919" s="284"/>
      <c r="AE1919" s="284"/>
      <c r="AF1919" s="284"/>
      <c r="AG1919" s="284"/>
    </row>
    <row r="1920" spans="1:33" ht="26.4">
      <c r="A1920" s="284"/>
      <c r="B1920" s="284"/>
      <c r="C1920" s="284"/>
      <c r="D1920" s="284"/>
      <c r="E1920" s="284"/>
      <c r="F1920" s="284"/>
      <c r="G1920" s="284"/>
      <c r="H1920" s="284"/>
      <c r="I1920" s="284"/>
      <c r="J1920" s="375"/>
      <c r="K1920" s="375"/>
      <c r="L1920" s="375"/>
      <c r="M1920" s="368"/>
      <c r="N1920" s="368"/>
      <c r="O1920" s="370"/>
      <c r="T1920" s="340"/>
      <c r="V1920" s="378"/>
      <c r="W1920" s="64" ph="1"/>
      <c r="X1920" s="241"/>
      <c r="Y1920" s="284"/>
      <c r="Z1920" s="207"/>
      <c r="AA1920" s="284"/>
      <c r="AB1920" s="284"/>
      <c r="AC1920" s="284"/>
      <c r="AD1920" s="284"/>
      <c r="AE1920" s="284"/>
      <c r="AF1920" s="284"/>
      <c r="AG1920" s="284"/>
    </row>
    <row r="1921" spans="1:33" ht="26.4">
      <c r="A1921" s="284"/>
      <c r="B1921" s="284"/>
      <c r="C1921" s="284"/>
      <c r="D1921" s="284"/>
      <c r="E1921" s="284"/>
      <c r="F1921" s="284"/>
      <c r="G1921" s="284"/>
      <c r="H1921" s="284"/>
      <c r="I1921" s="284"/>
      <c r="J1921" s="375"/>
      <c r="K1921" s="375"/>
      <c r="L1921" s="375"/>
      <c r="M1921" s="368"/>
      <c r="N1921" s="368"/>
      <c r="O1921" s="370"/>
      <c r="T1921" s="340"/>
      <c r="V1921" s="378"/>
      <c r="W1921" s="64" ph="1"/>
      <c r="X1921" s="241"/>
      <c r="Y1921" s="284"/>
      <c r="Z1921" s="207"/>
      <c r="AA1921" s="284"/>
      <c r="AB1921" s="284"/>
      <c r="AC1921" s="284"/>
      <c r="AD1921" s="284"/>
      <c r="AE1921" s="284"/>
      <c r="AF1921" s="284"/>
      <c r="AG1921" s="284"/>
    </row>
    <row r="1922" spans="1:33" ht="26.4">
      <c r="A1922" s="284"/>
      <c r="B1922" s="284"/>
      <c r="C1922" s="284"/>
      <c r="D1922" s="284"/>
      <c r="E1922" s="284"/>
      <c r="F1922" s="284"/>
      <c r="G1922" s="284"/>
      <c r="H1922" s="284"/>
      <c r="I1922" s="284"/>
      <c r="J1922" s="375"/>
      <c r="K1922" s="375"/>
      <c r="L1922" s="375"/>
      <c r="M1922" s="368"/>
      <c r="N1922" s="368"/>
      <c r="O1922" s="370"/>
      <c r="T1922" s="340"/>
      <c r="V1922" s="378"/>
      <c r="W1922" s="64" ph="1"/>
      <c r="X1922" s="241"/>
      <c r="Y1922" s="284"/>
      <c r="Z1922" s="207"/>
      <c r="AA1922" s="284"/>
      <c r="AB1922" s="284"/>
      <c r="AC1922" s="284"/>
      <c r="AD1922" s="284"/>
      <c r="AE1922" s="284"/>
      <c r="AF1922" s="284"/>
      <c r="AG1922" s="284"/>
    </row>
    <row r="1923" spans="1:33" ht="26.4">
      <c r="A1923" s="284"/>
      <c r="B1923" s="284"/>
      <c r="C1923" s="284"/>
      <c r="D1923" s="284"/>
      <c r="E1923" s="284"/>
      <c r="F1923" s="284"/>
      <c r="G1923" s="284"/>
      <c r="H1923" s="284"/>
      <c r="I1923" s="284"/>
      <c r="J1923" s="375"/>
      <c r="K1923" s="375"/>
      <c r="L1923" s="375"/>
      <c r="M1923" s="368"/>
      <c r="N1923" s="368"/>
      <c r="O1923" s="370"/>
      <c r="T1923" s="340"/>
      <c r="V1923" s="378"/>
      <c r="W1923" s="64" ph="1"/>
      <c r="X1923" s="241"/>
      <c r="Y1923" s="284"/>
      <c r="Z1923" s="207"/>
      <c r="AA1923" s="284"/>
      <c r="AB1923" s="284"/>
      <c r="AC1923" s="284"/>
      <c r="AD1923" s="284"/>
      <c r="AE1923" s="284"/>
      <c r="AF1923" s="284"/>
      <c r="AG1923" s="284"/>
    </row>
    <row r="1924" spans="1:33" ht="26.4">
      <c r="A1924" s="284"/>
      <c r="B1924" s="284"/>
      <c r="C1924" s="284"/>
      <c r="D1924" s="284"/>
      <c r="E1924" s="284"/>
      <c r="F1924" s="284"/>
      <c r="G1924" s="284"/>
      <c r="H1924" s="284"/>
      <c r="I1924" s="284"/>
      <c r="J1924" s="375"/>
      <c r="K1924" s="375"/>
      <c r="L1924" s="375"/>
      <c r="M1924" s="368"/>
      <c r="N1924" s="368"/>
      <c r="O1924" s="370"/>
      <c r="T1924" s="340"/>
      <c r="V1924" s="378"/>
      <c r="W1924" s="64" ph="1"/>
      <c r="X1924" s="241"/>
      <c r="Y1924" s="284"/>
      <c r="Z1924" s="207"/>
      <c r="AA1924" s="284"/>
      <c r="AB1924" s="284"/>
      <c r="AC1924" s="284"/>
      <c r="AD1924" s="284"/>
      <c r="AE1924" s="284"/>
      <c r="AF1924" s="284"/>
      <c r="AG1924" s="284"/>
    </row>
    <row r="1925" spans="1:33" ht="26.4">
      <c r="A1925" s="284"/>
      <c r="B1925" s="284"/>
      <c r="C1925" s="284"/>
      <c r="D1925" s="284"/>
      <c r="E1925" s="284"/>
      <c r="F1925" s="284"/>
      <c r="G1925" s="284"/>
      <c r="H1925" s="284"/>
      <c r="I1925" s="284"/>
      <c r="J1925" s="375"/>
      <c r="K1925" s="375"/>
      <c r="L1925" s="375"/>
      <c r="M1925" s="368"/>
      <c r="N1925" s="368"/>
      <c r="O1925" s="370"/>
      <c r="T1925" s="340"/>
      <c r="V1925" s="378"/>
      <c r="W1925" s="64" ph="1"/>
      <c r="X1925" s="241"/>
      <c r="Y1925" s="284"/>
      <c r="Z1925" s="207"/>
      <c r="AA1925" s="284"/>
      <c r="AB1925" s="284"/>
      <c r="AC1925" s="284"/>
      <c r="AD1925" s="284"/>
      <c r="AE1925" s="284"/>
      <c r="AF1925" s="284"/>
      <c r="AG1925" s="284"/>
    </row>
    <row r="1926" spans="1:33" ht="26.4">
      <c r="A1926" s="284"/>
      <c r="B1926" s="284"/>
      <c r="C1926" s="284"/>
      <c r="D1926" s="284"/>
      <c r="E1926" s="284"/>
      <c r="F1926" s="284"/>
      <c r="G1926" s="284"/>
      <c r="H1926" s="284"/>
      <c r="I1926" s="284"/>
      <c r="J1926" s="375"/>
      <c r="K1926" s="375"/>
      <c r="L1926" s="375"/>
      <c r="M1926" s="368"/>
      <c r="N1926" s="368"/>
      <c r="O1926" s="370"/>
      <c r="T1926" s="340"/>
      <c r="V1926" s="378"/>
      <c r="W1926" s="64" ph="1"/>
      <c r="X1926" s="241"/>
      <c r="Y1926" s="284"/>
      <c r="Z1926" s="207"/>
      <c r="AA1926" s="284"/>
      <c r="AB1926" s="284"/>
      <c r="AC1926" s="284"/>
      <c r="AD1926" s="284"/>
      <c r="AE1926" s="284"/>
      <c r="AF1926" s="284"/>
      <c r="AG1926" s="284"/>
    </row>
    <row r="1927" spans="1:33" ht="26.4">
      <c r="A1927" s="284"/>
      <c r="B1927" s="284"/>
      <c r="C1927" s="284"/>
      <c r="D1927" s="284"/>
      <c r="E1927" s="284"/>
      <c r="F1927" s="284"/>
      <c r="G1927" s="284"/>
      <c r="H1927" s="284"/>
      <c r="I1927" s="284"/>
      <c r="J1927" s="375"/>
      <c r="K1927" s="375"/>
      <c r="L1927" s="375"/>
      <c r="M1927" s="368"/>
      <c r="N1927" s="368"/>
      <c r="O1927" s="370"/>
      <c r="T1927" s="340"/>
      <c r="V1927" s="378"/>
      <c r="W1927" s="64" ph="1"/>
      <c r="X1927" s="241"/>
      <c r="Y1927" s="284"/>
      <c r="Z1927" s="207"/>
      <c r="AA1927" s="284"/>
      <c r="AB1927" s="284"/>
      <c r="AC1927" s="284"/>
      <c r="AD1927" s="284"/>
      <c r="AE1927" s="284"/>
      <c r="AF1927" s="284"/>
      <c r="AG1927" s="284"/>
    </row>
    <row r="1928" spans="1:33" ht="26.4">
      <c r="A1928" s="284"/>
      <c r="B1928" s="284"/>
      <c r="C1928" s="284"/>
      <c r="D1928" s="284"/>
      <c r="E1928" s="284"/>
      <c r="F1928" s="284"/>
      <c r="G1928" s="284"/>
      <c r="H1928" s="284"/>
      <c r="I1928" s="284"/>
      <c r="J1928" s="375"/>
      <c r="K1928" s="375"/>
      <c r="L1928" s="375"/>
      <c r="M1928" s="368"/>
      <c r="N1928" s="368"/>
      <c r="O1928" s="370"/>
      <c r="T1928" s="340"/>
      <c r="V1928" s="378"/>
      <c r="W1928" s="64" ph="1"/>
      <c r="X1928" s="241"/>
      <c r="Y1928" s="284"/>
      <c r="Z1928" s="207"/>
      <c r="AA1928" s="284"/>
      <c r="AB1928" s="284"/>
      <c r="AC1928" s="284"/>
      <c r="AD1928" s="284"/>
      <c r="AE1928" s="284"/>
      <c r="AF1928" s="284"/>
      <c r="AG1928" s="284"/>
    </row>
    <row r="1929" spans="1:33" ht="26.4">
      <c r="A1929" s="284"/>
      <c r="B1929" s="284"/>
      <c r="C1929" s="284"/>
      <c r="D1929" s="284"/>
      <c r="E1929" s="284"/>
      <c r="F1929" s="284"/>
      <c r="G1929" s="284"/>
      <c r="H1929" s="284"/>
      <c r="I1929" s="284"/>
      <c r="J1929" s="375"/>
      <c r="K1929" s="375"/>
      <c r="L1929" s="375"/>
      <c r="M1929" s="368"/>
      <c r="N1929" s="368"/>
      <c r="O1929" s="370"/>
      <c r="T1929" s="340"/>
      <c r="V1929" s="378"/>
      <c r="W1929" s="64" ph="1"/>
      <c r="X1929" s="241"/>
      <c r="Y1929" s="284"/>
      <c r="Z1929" s="207"/>
      <c r="AA1929" s="284"/>
      <c r="AB1929" s="284"/>
      <c r="AC1929" s="284"/>
      <c r="AD1929" s="284"/>
      <c r="AE1929" s="284"/>
      <c r="AF1929" s="284"/>
      <c r="AG1929" s="284"/>
    </row>
    <row r="1930" spans="1:33" ht="26.4">
      <c r="A1930" s="284"/>
      <c r="B1930" s="284"/>
      <c r="C1930" s="284"/>
      <c r="D1930" s="284"/>
      <c r="E1930" s="284"/>
      <c r="F1930" s="284"/>
      <c r="G1930" s="284"/>
      <c r="H1930" s="284"/>
      <c r="I1930" s="284"/>
      <c r="J1930" s="375"/>
      <c r="K1930" s="375"/>
      <c r="L1930" s="375"/>
      <c r="M1930" s="368"/>
      <c r="N1930" s="368"/>
      <c r="O1930" s="370"/>
      <c r="T1930" s="340"/>
      <c r="V1930" s="378"/>
      <c r="W1930" s="64" ph="1"/>
      <c r="X1930" s="241"/>
      <c r="Y1930" s="284"/>
      <c r="Z1930" s="207"/>
      <c r="AA1930" s="284"/>
      <c r="AB1930" s="284"/>
      <c r="AC1930" s="284"/>
      <c r="AD1930" s="284"/>
      <c r="AE1930" s="284"/>
      <c r="AF1930" s="284"/>
      <c r="AG1930" s="284"/>
    </row>
    <row r="1931" spans="1:33" ht="26.4">
      <c r="A1931" s="284"/>
      <c r="B1931" s="284"/>
      <c r="C1931" s="284"/>
      <c r="D1931" s="284"/>
      <c r="E1931" s="284"/>
      <c r="F1931" s="284"/>
      <c r="G1931" s="284"/>
      <c r="H1931" s="284"/>
      <c r="I1931" s="284"/>
      <c r="J1931" s="375"/>
      <c r="K1931" s="375"/>
      <c r="L1931" s="375"/>
      <c r="M1931" s="368"/>
      <c r="N1931" s="368"/>
      <c r="O1931" s="370"/>
      <c r="T1931" s="340"/>
      <c r="V1931" s="378"/>
      <c r="W1931" s="64" ph="1"/>
      <c r="X1931" s="241"/>
      <c r="Y1931" s="284"/>
      <c r="Z1931" s="207"/>
      <c r="AA1931" s="284"/>
      <c r="AB1931" s="284"/>
      <c r="AC1931" s="284"/>
      <c r="AD1931" s="284"/>
      <c r="AE1931" s="284"/>
      <c r="AF1931" s="284"/>
      <c r="AG1931" s="284"/>
    </row>
    <row r="1932" spans="1:33" ht="26.4">
      <c r="A1932" s="284"/>
      <c r="B1932" s="284"/>
      <c r="C1932" s="284"/>
      <c r="D1932" s="284"/>
      <c r="E1932" s="284"/>
      <c r="F1932" s="284"/>
      <c r="G1932" s="284"/>
      <c r="H1932" s="284"/>
      <c r="I1932" s="284"/>
      <c r="J1932" s="375"/>
      <c r="K1932" s="375"/>
      <c r="L1932" s="375"/>
      <c r="M1932" s="368"/>
      <c r="N1932" s="368"/>
      <c r="O1932" s="370"/>
      <c r="T1932" s="340"/>
      <c r="V1932" s="378"/>
      <c r="W1932" s="64" ph="1"/>
      <c r="X1932" s="241"/>
      <c r="Y1932" s="284"/>
      <c r="Z1932" s="207"/>
      <c r="AA1932" s="284"/>
      <c r="AB1932" s="284"/>
      <c r="AC1932" s="284"/>
      <c r="AD1932" s="284"/>
      <c r="AE1932" s="284"/>
      <c r="AF1932" s="284"/>
      <c r="AG1932" s="284"/>
    </row>
    <row r="1933" spans="1:33" ht="26.4">
      <c r="A1933" s="284"/>
      <c r="B1933" s="284"/>
      <c r="C1933" s="284"/>
      <c r="D1933" s="284"/>
      <c r="E1933" s="284"/>
      <c r="F1933" s="284"/>
      <c r="G1933" s="284"/>
      <c r="H1933" s="284"/>
      <c r="I1933" s="284"/>
      <c r="J1933" s="375"/>
      <c r="K1933" s="375"/>
      <c r="L1933" s="375"/>
      <c r="M1933" s="368"/>
      <c r="N1933" s="368"/>
      <c r="O1933" s="370"/>
      <c r="T1933" s="340"/>
      <c r="V1933" s="378"/>
      <c r="W1933" s="64" ph="1"/>
      <c r="X1933" s="241"/>
      <c r="Y1933" s="284"/>
      <c r="Z1933" s="207"/>
      <c r="AA1933" s="284"/>
      <c r="AB1933" s="284"/>
      <c r="AC1933" s="284"/>
      <c r="AD1933" s="284"/>
      <c r="AE1933" s="284"/>
      <c r="AF1933" s="284"/>
      <c r="AG1933" s="284"/>
    </row>
    <row r="1934" spans="1:33" ht="26.4">
      <c r="A1934" s="284"/>
      <c r="B1934" s="284"/>
      <c r="C1934" s="284"/>
      <c r="D1934" s="284"/>
      <c r="E1934" s="284"/>
      <c r="F1934" s="284"/>
      <c r="G1934" s="284"/>
      <c r="H1934" s="284"/>
      <c r="I1934" s="284"/>
      <c r="J1934" s="375"/>
      <c r="K1934" s="375"/>
      <c r="L1934" s="375"/>
      <c r="M1934" s="368"/>
      <c r="N1934" s="368"/>
      <c r="O1934" s="370"/>
      <c r="T1934" s="340"/>
      <c r="V1934" s="378"/>
      <c r="W1934" s="64" ph="1"/>
      <c r="X1934" s="241"/>
      <c r="Y1934" s="284"/>
      <c r="Z1934" s="207"/>
      <c r="AA1934" s="284"/>
      <c r="AB1934" s="284"/>
      <c r="AC1934" s="284"/>
      <c r="AD1934" s="284"/>
      <c r="AE1934" s="284"/>
      <c r="AF1934" s="284"/>
      <c r="AG1934" s="284"/>
    </row>
    <row r="1935" spans="1:33" ht="26.4">
      <c r="A1935" s="284"/>
      <c r="B1935" s="284"/>
      <c r="C1935" s="284"/>
      <c r="D1935" s="284"/>
      <c r="E1935" s="284"/>
      <c r="F1935" s="284"/>
      <c r="G1935" s="284"/>
      <c r="H1935" s="284"/>
      <c r="I1935" s="284"/>
      <c r="J1935" s="375"/>
      <c r="K1935" s="375"/>
      <c r="L1935" s="375"/>
      <c r="M1935" s="368"/>
      <c r="N1935" s="368"/>
      <c r="O1935" s="370"/>
      <c r="T1935" s="340"/>
      <c r="V1935" s="378"/>
      <c r="W1935" s="64" ph="1"/>
      <c r="X1935" s="241"/>
      <c r="Y1935" s="284"/>
      <c r="Z1935" s="207"/>
      <c r="AA1935" s="284"/>
      <c r="AB1935" s="284"/>
      <c r="AC1935" s="284"/>
      <c r="AD1935" s="284"/>
      <c r="AE1935" s="284"/>
      <c r="AF1935" s="284"/>
      <c r="AG1935" s="284"/>
    </row>
    <row r="1936" spans="1:33" ht="26.4">
      <c r="A1936" s="284"/>
      <c r="B1936" s="284"/>
      <c r="C1936" s="284"/>
      <c r="D1936" s="284"/>
      <c r="E1936" s="284"/>
      <c r="F1936" s="284"/>
      <c r="G1936" s="284"/>
      <c r="H1936" s="284"/>
      <c r="I1936" s="284"/>
      <c r="J1936" s="375"/>
      <c r="K1936" s="375"/>
      <c r="L1936" s="375"/>
      <c r="M1936" s="368"/>
      <c r="N1936" s="368"/>
      <c r="O1936" s="370"/>
      <c r="T1936" s="340"/>
      <c r="V1936" s="378"/>
      <c r="W1936" s="64" ph="1"/>
      <c r="X1936" s="241"/>
      <c r="Y1936" s="284"/>
      <c r="Z1936" s="207"/>
      <c r="AA1936" s="284"/>
      <c r="AB1936" s="284"/>
      <c r="AC1936" s="284"/>
      <c r="AD1936" s="284"/>
      <c r="AE1936" s="284"/>
      <c r="AF1936" s="284"/>
      <c r="AG1936" s="284"/>
    </row>
    <row r="1937" spans="1:33" ht="26.4">
      <c r="A1937" s="284"/>
      <c r="B1937" s="284"/>
      <c r="C1937" s="284"/>
      <c r="D1937" s="284"/>
      <c r="E1937" s="284"/>
      <c r="F1937" s="284"/>
      <c r="G1937" s="284"/>
      <c r="H1937" s="284"/>
      <c r="I1937" s="284"/>
      <c r="J1937" s="375"/>
      <c r="K1937" s="375"/>
      <c r="L1937" s="375"/>
      <c r="M1937" s="368"/>
      <c r="N1937" s="368"/>
      <c r="O1937" s="370"/>
      <c r="T1937" s="340"/>
      <c r="V1937" s="378"/>
      <c r="W1937" s="64" ph="1"/>
      <c r="X1937" s="241"/>
      <c r="Y1937" s="284"/>
      <c r="Z1937" s="207"/>
      <c r="AA1937" s="284"/>
      <c r="AB1937" s="284"/>
      <c r="AC1937" s="284"/>
      <c r="AD1937" s="284"/>
      <c r="AE1937" s="284"/>
      <c r="AF1937" s="284"/>
      <c r="AG1937" s="284"/>
    </row>
    <row r="1938" spans="1:33" ht="26.4">
      <c r="A1938" s="284"/>
      <c r="B1938" s="284"/>
      <c r="C1938" s="284"/>
      <c r="D1938" s="284"/>
      <c r="E1938" s="284"/>
      <c r="F1938" s="284"/>
      <c r="G1938" s="284"/>
      <c r="H1938" s="284"/>
      <c r="I1938" s="284"/>
      <c r="J1938" s="375"/>
      <c r="K1938" s="375"/>
      <c r="L1938" s="375"/>
      <c r="M1938" s="368"/>
      <c r="N1938" s="368"/>
      <c r="O1938" s="370"/>
      <c r="T1938" s="340"/>
      <c r="V1938" s="378"/>
      <c r="W1938" s="64" ph="1"/>
      <c r="X1938" s="241"/>
      <c r="Y1938" s="284"/>
      <c r="Z1938" s="207"/>
      <c r="AA1938" s="284"/>
      <c r="AB1938" s="284"/>
      <c r="AC1938" s="284"/>
      <c r="AD1938" s="284"/>
      <c r="AE1938" s="284"/>
      <c r="AF1938" s="284"/>
      <c r="AG1938" s="284"/>
    </row>
    <row r="1939" spans="1:33" ht="26.4">
      <c r="A1939" s="284"/>
      <c r="B1939" s="284"/>
      <c r="C1939" s="284"/>
      <c r="D1939" s="284"/>
      <c r="E1939" s="284"/>
      <c r="F1939" s="284"/>
      <c r="G1939" s="284"/>
      <c r="H1939" s="284"/>
      <c r="I1939" s="284"/>
      <c r="J1939" s="375"/>
      <c r="K1939" s="375"/>
      <c r="L1939" s="375"/>
      <c r="M1939" s="368"/>
      <c r="N1939" s="368"/>
      <c r="O1939" s="370"/>
      <c r="T1939" s="340"/>
      <c r="V1939" s="378"/>
      <c r="W1939" s="64" ph="1"/>
      <c r="X1939" s="241"/>
      <c r="Y1939" s="284"/>
      <c r="Z1939" s="207"/>
      <c r="AA1939" s="284"/>
      <c r="AB1939" s="284"/>
      <c r="AC1939" s="284"/>
      <c r="AD1939" s="284"/>
      <c r="AE1939" s="284"/>
      <c r="AF1939" s="284"/>
      <c r="AG1939" s="284"/>
    </row>
    <row r="1940" spans="1:33" ht="26.4">
      <c r="A1940" s="284"/>
      <c r="B1940" s="284"/>
      <c r="C1940" s="284"/>
      <c r="D1940" s="284"/>
      <c r="E1940" s="284"/>
      <c r="F1940" s="284"/>
      <c r="G1940" s="284"/>
      <c r="H1940" s="284"/>
      <c r="I1940" s="284"/>
      <c r="J1940" s="375"/>
      <c r="K1940" s="375"/>
      <c r="L1940" s="375"/>
      <c r="M1940" s="368"/>
      <c r="N1940" s="368"/>
      <c r="O1940" s="370"/>
      <c r="T1940" s="340"/>
      <c r="V1940" s="378"/>
      <c r="W1940" s="64" ph="1"/>
      <c r="X1940" s="241"/>
      <c r="Y1940" s="284"/>
      <c r="Z1940" s="207"/>
      <c r="AA1940" s="284"/>
      <c r="AB1940" s="284"/>
      <c r="AC1940" s="284"/>
      <c r="AD1940" s="284"/>
      <c r="AE1940" s="284"/>
      <c r="AF1940" s="284"/>
      <c r="AG1940" s="284"/>
    </row>
    <row r="1941" spans="1:33" ht="26.4">
      <c r="A1941" s="284"/>
      <c r="B1941" s="284"/>
      <c r="C1941" s="284"/>
      <c r="D1941" s="284"/>
      <c r="E1941" s="284"/>
      <c r="F1941" s="284"/>
      <c r="G1941" s="284"/>
      <c r="H1941" s="284"/>
      <c r="I1941" s="284"/>
      <c r="J1941" s="375"/>
      <c r="K1941" s="375"/>
      <c r="L1941" s="375"/>
      <c r="M1941" s="368"/>
      <c r="N1941" s="368"/>
      <c r="O1941" s="370"/>
      <c r="T1941" s="340"/>
      <c r="V1941" s="378"/>
      <c r="W1941" s="64" ph="1"/>
      <c r="X1941" s="241"/>
      <c r="Y1941" s="284"/>
      <c r="Z1941" s="207"/>
      <c r="AA1941" s="284"/>
      <c r="AB1941" s="284"/>
      <c r="AC1941" s="284"/>
      <c r="AD1941" s="284"/>
      <c r="AE1941" s="284"/>
      <c r="AF1941" s="284"/>
      <c r="AG1941" s="284"/>
    </row>
    <row r="1942" spans="1:33" ht="26.4">
      <c r="A1942" s="284"/>
      <c r="B1942" s="284"/>
      <c r="C1942" s="284"/>
      <c r="D1942" s="284"/>
      <c r="E1942" s="284"/>
      <c r="F1942" s="284"/>
      <c r="G1942" s="284"/>
      <c r="H1942" s="284"/>
      <c r="I1942" s="284"/>
      <c r="J1942" s="375"/>
      <c r="K1942" s="375"/>
      <c r="L1942" s="375"/>
      <c r="M1942" s="368"/>
      <c r="N1942" s="368"/>
      <c r="O1942" s="370"/>
      <c r="T1942" s="340"/>
      <c r="V1942" s="378"/>
      <c r="W1942" s="64" ph="1"/>
      <c r="X1942" s="241"/>
      <c r="Y1942" s="284"/>
      <c r="Z1942" s="207"/>
      <c r="AA1942" s="284"/>
      <c r="AB1942" s="284"/>
      <c r="AC1942" s="284"/>
      <c r="AD1942" s="284"/>
      <c r="AE1942" s="284"/>
      <c r="AF1942" s="284"/>
      <c r="AG1942" s="284"/>
    </row>
    <row r="1943" spans="1:33" ht="26.4">
      <c r="A1943" s="284"/>
      <c r="B1943" s="284"/>
      <c r="C1943" s="284"/>
      <c r="D1943" s="284"/>
      <c r="E1943" s="284"/>
      <c r="F1943" s="284"/>
      <c r="G1943" s="284"/>
      <c r="H1943" s="284"/>
      <c r="I1943" s="284"/>
      <c r="J1943" s="375"/>
      <c r="K1943" s="375"/>
      <c r="L1943" s="375"/>
      <c r="M1943" s="368"/>
      <c r="N1943" s="368"/>
      <c r="O1943" s="370"/>
      <c r="T1943" s="340"/>
      <c r="V1943" s="378"/>
      <c r="W1943" s="64" ph="1"/>
      <c r="X1943" s="241"/>
      <c r="Y1943" s="284"/>
      <c r="Z1943" s="207"/>
      <c r="AA1943" s="284"/>
      <c r="AB1943" s="284"/>
      <c r="AC1943" s="284"/>
      <c r="AD1943" s="284"/>
      <c r="AE1943" s="284"/>
      <c r="AF1943" s="284"/>
      <c r="AG1943" s="284"/>
    </row>
    <row r="1944" spans="1:33" ht="26.4">
      <c r="A1944" s="284"/>
      <c r="B1944" s="284"/>
      <c r="C1944" s="284"/>
      <c r="D1944" s="284"/>
      <c r="E1944" s="284"/>
      <c r="F1944" s="284"/>
      <c r="G1944" s="284"/>
      <c r="H1944" s="284"/>
      <c r="I1944" s="284"/>
      <c r="J1944" s="375"/>
      <c r="K1944" s="375"/>
      <c r="L1944" s="375"/>
      <c r="M1944" s="368"/>
      <c r="N1944" s="368"/>
      <c r="O1944" s="370"/>
      <c r="T1944" s="340"/>
      <c r="V1944" s="378"/>
      <c r="W1944" s="64" ph="1"/>
      <c r="X1944" s="241"/>
      <c r="Y1944" s="284"/>
      <c r="Z1944" s="207"/>
      <c r="AA1944" s="284"/>
      <c r="AB1944" s="284"/>
      <c r="AC1944" s="284"/>
      <c r="AD1944" s="284"/>
      <c r="AE1944" s="284"/>
      <c r="AF1944" s="284"/>
      <c r="AG1944" s="284"/>
    </row>
    <row r="1945" spans="1:33" ht="26.4">
      <c r="A1945" s="284"/>
      <c r="B1945" s="284"/>
      <c r="C1945" s="284"/>
      <c r="D1945" s="284"/>
      <c r="E1945" s="284"/>
      <c r="F1945" s="284"/>
      <c r="G1945" s="284"/>
      <c r="H1945" s="284"/>
      <c r="I1945" s="284"/>
      <c r="J1945" s="375"/>
      <c r="K1945" s="375"/>
      <c r="L1945" s="375"/>
      <c r="M1945" s="368"/>
      <c r="N1945" s="368"/>
      <c r="O1945" s="370"/>
      <c r="T1945" s="340"/>
      <c r="V1945" s="378"/>
      <c r="W1945" s="64" ph="1"/>
      <c r="X1945" s="241"/>
      <c r="Y1945" s="284"/>
      <c r="Z1945" s="207"/>
      <c r="AA1945" s="284"/>
      <c r="AB1945" s="284"/>
      <c r="AC1945" s="284"/>
      <c r="AD1945" s="284"/>
      <c r="AE1945" s="284"/>
      <c r="AF1945" s="284"/>
      <c r="AG1945" s="284"/>
    </row>
    <row r="1946" spans="1:33" ht="26.4">
      <c r="A1946" s="284"/>
      <c r="B1946" s="284"/>
      <c r="C1946" s="284"/>
      <c r="D1946" s="284"/>
      <c r="E1946" s="284"/>
      <c r="F1946" s="284"/>
      <c r="G1946" s="284"/>
      <c r="H1946" s="284"/>
      <c r="I1946" s="284"/>
      <c r="J1946" s="375"/>
      <c r="K1946" s="375"/>
      <c r="L1946" s="375"/>
      <c r="M1946" s="368"/>
      <c r="N1946" s="368"/>
      <c r="O1946" s="370"/>
      <c r="T1946" s="340"/>
      <c r="V1946" s="378"/>
      <c r="W1946" s="64" ph="1"/>
      <c r="X1946" s="241"/>
      <c r="Y1946" s="284"/>
      <c r="Z1946" s="207"/>
      <c r="AA1946" s="284"/>
      <c r="AB1946" s="284"/>
      <c r="AC1946" s="284"/>
      <c r="AD1946" s="284"/>
      <c r="AE1946" s="284"/>
      <c r="AF1946" s="284"/>
      <c r="AG1946" s="284"/>
    </row>
    <row r="1947" spans="1:33" ht="26.4">
      <c r="A1947" s="284"/>
      <c r="B1947" s="284"/>
      <c r="C1947" s="284"/>
      <c r="D1947" s="284"/>
      <c r="E1947" s="284"/>
      <c r="F1947" s="284"/>
      <c r="G1947" s="284"/>
      <c r="H1947" s="284"/>
      <c r="I1947" s="284"/>
      <c r="J1947" s="375"/>
      <c r="K1947" s="375"/>
      <c r="L1947" s="375"/>
      <c r="M1947" s="368"/>
      <c r="N1947" s="368"/>
      <c r="O1947" s="370"/>
      <c r="T1947" s="340"/>
      <c r="V1947" s="378"/>
      <c r="W1947" s="64" ph="1"/>
      <c r="X1947" s="241"/>
      <c r="Y1947" s="284"/>
      <c r="Z1947" s="207"/>
      <c r="AA1947" s="284"/>
      <c r="AB1947" s="284"/>
      <c r="AC1947" s="284"/>
      <c r="AD1947" s="284"/>
      <c r="AE1947" s="284"/>
      <c r="AF1947" s="284"/>
      <c r="AG1947" s="284"/>
    </row>
    <row r="1948" spans="1:33" ht="26.4">
      <c r="A1948" s="284"/>
      <c r="B1948" s="284"/>
      <c r="C1948" s="284"/>
      <c r="D1948" s="284"/>
      <c r="E1948" s="284"/>
      <c r="F1948" s="284"/>
      <c r="G1948" s="284"/>
      <c r="H1948" s="284"/>
      <c r="I1948" s="284"/>
      <c r="J1948" s="375"/>
      <c r="K1948" s="375"/>
      <c r="L1948" s="375"/>
      <c r="M1948" s="368"/>
      <c r="N1948" s="368"/>
      <c r="O1948" s="370"/>
      <c r="T1948" s="340"/>
      <c r="V1948" s="378"/>
      <c r="W1948" s="64" ph="1"/>
      <c r="X1948" s="241"/>
      <c r="Y1948" s="284"/>
      <c r="Z1948" s="207"/>
      <c r="AA1948" s="284"/>
      <c r="AB1948" s="284"/>
      <c r="AC1948" s="284"/>
      <c r="AD1948" s="284"/>
      <c r="AE1948" s="284"/>
      <c r="AF1948" s="284"/>
      <c r="AG1948" s="284"/>
    </row>
    <row r="1949" spans="1:33" ht="26.4">
      <c r="A1949" s="284"/>
      <c r="B1949" s="284"/>
      <c r="C1949" s="284"/>
      <c r="D1949" s="284"/>
      <c r="E1949" s="284"/>
      <c r="F1949" s="284"/>
      <c r="G1949" s="284"/>
      <c r="H1949" s="284"/>
      <c r="I1949" s="284"/>
      <c r="J1949" s="375"/>
      <c r="K1949" s="375"/>
      <c r="L1949" s="375"/>
      <c r="M1949" s="368"/>
      <c r="N1949" s="368"/>
      <c r="O1949" s="370"/>
      <c r="T1949" s="340"/>
      <c r="V1949" s="378"/>
      <c r="W1949" s="64" ph="1"/>
      <c r="X1949" s="241"/>
      <c r="Y1949" s="284"/>
      <c r="Z1949" s="207"/>
      <c r="AA1949" s="284"/>
      <c r="AB1949" s="284"/>
      <c r="AC1949" s="284"/>
      <c r="AD1949" s="284"/>
      <c r="AE1949" s="284"/>
      <c r="AF1949" s="284"/>
      <c r="AG1949" s="284"/>
    </row>
    <row r="1950" spans="1:33" ht="26.4">
      <c r="A1950" s="284"/>
      <c r="B1950" s="284"/>
      <c r="C1950" s="284"/>
      <c r="D1950" s="284"/>
      <c r="E1950" s="284"/>
      <c r="F1950" s="284"/>
      <c r="G1950" s="284"/>
      <c r="H1950" s="284"/>
      <c r="I1950" s="284"/>
      <c r="J1950" s="375"/>
      <c r="K1950" s="375"/>
      <c r="L1950" s="375"/>
      <c r="M1950" s="368"/>
      <c r="N1950" s="368"/>
      <c r="O1950" s="370"/>
      <c r="T1950" s="340"/>
      <c r="V1950" s="378"/>
      <c r="W1950" s="64" ph="1"/>
      <c r="X1950" s="241"/>
      <c r="Y1950" s="284"/>
      <c r="Z1950" s="207"/>
      <c r="AA1950" s="284"/>
      <c r="AB1950" s="284"/>
      <c r="AC1950" s="284"/>
      <c r="AD1950" s="284"/>
      <c r="AE1950" s="284"/>
      <c r="AF1950" s="284"/>
      <c r="AG1950" s="284"/>
    </row>
    <row r="1951" spans="1:33" ht="26.4">
      <c r="A1951" s="284"/>
      <c r="B1951" s="284"/>
      <c r="C1951" s="284"/>
      <c r="D1951" s="284"/>
      <c r="E1951" s="284"/>
      <c r="F1951" s="284"/>
      <c r="G1951" s="284"/>
      <c r="H1951" s="284"/>
      <c r="I1951" s="284"/>
      <c r="J1951" s="375"/>
      <c r="K1951" s="375"/>
      <c r="L1951" s="375"/>
      <c r="M1951" s="368"/>
      <c r="N1951" s="368"/>
      <c r="O1951" s="370"/>
      <c r="T1951" s="340"/>
      <c r="V1951" s="378"/>
      <c r="W1951" s="64" ph="1"/>
      <c r="X1951" s="241"/>
      <c r="Y1951" s="284"/>
      <c r="Z1951" s="207"/>
      <c r="AA1951" s="284"/>
      <c r="AB1951" s="284"/>
      <c r="AC1951" s="284"/>
      <c r="AD1951" s="284"/>
      <c r="AE1951" s="284"/>
      <c r="AF1951" s="284"/>
      <c r="AG1951" s="284"/>
    </row>
    <row r="1952" spans="1:33" ht="26.4">
      <c r="A1952" s="284"/>
      <c r="B1952" s="284"/>
      <c r="C1952" s="284"/>
      <c r="D1952" s="284"/>
      <c r="E1952" s="284"/>
      <c r="F1952" s="284"/>
      <c r="G1952" s="284"/>
      <c r="H1952" s="284"/>
      <c r="I1952" s="284"/>
      <c r="J1952" s="375"/>
      <c r="K1952" s="375"/>
      <c r="L1952" s="375"/>
      <c r="M1952" s="368"/>
      <c r="N1952" s="368"/>
      <c r="O1952" s="370"/>
      <c r="T1952" s="340"/>
      <c r="V1952" s="378"/>
      <c r="W1952" s="64" ph="1"/>
      <c r="X1952" s="241"/>
      <c r="Y1952" s="284"/>
      <c r="Z1952" s="207"/>
      <c r="AA1952" s="284"/>
      <c r="AB1952" s="284"/>
      <c r="AC1952" s="284"/>
      <c r="AD1952" s="284"/>
      <c r="AE1952" s="284"/>
      <c r="AF1952" s="284"/>
      <c r="AG1952" s="284"/>
    </row>
    <row r="1953" spans="1:33" ht="26.4">
      <c r="A1953" s="284"/>
      <c r="B1953" s="284"/>
      <c r="C1953" s="284"/>
      <c r="D1953" s="284"/>
      <c r="E1953" s="284"/>
      <c r="F1953" s="284"/>
      <c r="G1953" s="284"/>
      <c r="H1953" s="284"/>
      <c r="I1953" s="284"/>
      <c r="J1953" s="375"/>
      <c r="K1953" s="375"/>
      <c r="L1953" s="375"/>
      <c r="M1953" s="368"/>
      <c r="N1953" s="368"/>
      <c r="O1953" s="370"/>
      <c r="T1953" s="340"/>
      <c r="V1953" s="378"/>
      <c r="W1953" s="64" ph="1"/>
      <c r="X1953" s="241"/>
      <c r="Y1953" s="284"/>
      <c r="Z1953" s="207"/>
      <c r="AA1953" s="284"/>
      <c r="AB1953" s="284"/>
      <c r="AC1953" s="284"/>
      <c r="AD1953" s="284"/>
      <c r="AE1953" s="284"/>
      <c r="AF1953" s="284"/>
      <c r="AG1953" s="284"/>
    </row>
    <row r="1954" spans="1:33" ht="26.4">
      <c r="A1954" s="284"/>
      <c r="B1954" s="284"/>
      <c r="C1954" s="284"/>
      <c r="D1954" s="284"/>
      <c r="E1954" s="284"/>
      <c r="F1954" s="284"/>
      <c r="G1954" s="284"/>
      <c r="H1954" s="284"/>
      <c r="I1954" s="284"/>
      <c r="J1954" s="375"/>
      <c r="K1954" s="375"/>
      <c r="L1954" s="375"/>
      <c r="M1954" s="368"/>
      <c r="N1954" s="368"/>
      <c r="O1954" s="370"/>
      <c r="T1954" s="340"/>
      <c r="V1954" s="378"/>
      <c r="W1954" s="64" ph="1"/>
      <c r="X1954" s="241"/>
      <c r="Y1954" s="284"/>
      <c r="Z1954" s="207"/>
      <c r="AA1954" s="284"/>
      <c r="AB1954" s="284"/>
      <c r="AC1954" s="284"/>
      <c r="AD1954" s="284"/>
      <c r="AE1954" s="284"/>
      <c r="AF1954" s="284"/>
      <c r="AG1954" s="284"/>
    </row>
    <row r="1955" spans="1:33" ht="26.4">
      <c r="A1955" s="284"/>
      <c r="B1955" s="284"/>
      <c r="C1955" s="284"/>
      <c r="D1955" s="284"/>
      <c r="E1955" s="284"/>
      <c r="F1955" s="284"/>
      <c r="G1955" s="284"/>
      <c r="H1955" s="284"/>
      <c r="I1955" s="284"/>
      <c r="J1955" s="375"/>
      <c r="K1955" s="375"/>
      <c r="L1955" s="375"/>
      <c r="M1955" s="368"/>
      <c r="N1955" s="368"/>
      <c r="O1955" s="370"/>
      <c r="T1955" s="340"/>
      <c r="V1955" s="378"/>
      <c r="W1955" s="64" ph="1"/>
      <c r="X1955" s="241"/>
      <c r="Y1955" s="284"/>
      <c r="Z1955" s="207"/>
      <c r="AA1955" s="284"/>
      <c r="AB1955" s="284"/>
      <c r="AC1955" s="284"/>
      <c r="AD1955" s="284"/>
      <c r="AE1955" s="284"/>
      <c r="AF1955" s="284"/>
      <c r="AG1955" s="284"/>
    </row>
    <row r="1956" spans="1:33" ht="26.4">
      <c r="A1956" s="284"/>
      <c r="B1956" s="284"/>
      <c r="C1956" s="284"/>
      <c r="D1956" s="284"/>
      <c r="E1956" s="284"/>
      <c r="F1956" s="284"/>
      <c r="G1956" s="284"/>
      <c r="H1956" s="284"/>
      <c r="I1956" s="284"/>
      <c r="J1956" s="375"/>
      <c r="K1956" s="375"/>
      <c r="L1956" s="375"/>
      <c r="M1956" s="368"/>
      <c r="N1956" s="368"/>
      <c r="O1956" s="370"/>
      <c r="T1956" s="340"/>
      <c r="V1956" s="378"/>
      <c r="W1956" s="64" ph="1"/>
      <c r="X1956" s="241"/>
      <c r="Y1956" s="284"/>
      <c r="Z1956" s="207"/>
      <c r="AA1956" s="284"/>
      <c r="AB1956" s="284"/>
      <c r="AC1956" s="284"/>
      <c r="AD1956" s="284"/>
      <c r="AE1956" s="284"/>
      <c r="AF1956" s="284"/>
      <c r="AG1956" s="284"/>
    </row>
    <row r="1957" spans="1:33" ht="26.4">
      <c r="A1957" s="284"/>
      <c r="B1957" s="284"/>
      <c r="C1957" s="284"/>
      <c r="D1957" s="284"/>
      <c r="E1957" s="284"/>
      <c r="F1957" s="284"/>
      <c r="G1957" s="284"/>
      <c r="H1957" s="284"/>
      <c r="I1957" s="284"/>
      <c r="J1957" s="375"/>
      <c r="K1957" s="375"/>
      <c r="L1957" s="375"/>
      <c r="M1957" s="368"/>
      <c r="N1957" s="368"/>
      <c r="O1957" s="370"/>
      <c r="T1957" s="340"/>
      <c r="V1957" s="378"/>
      <c r="W1957" s="64" ph="1"/>
      <c r="X1957" s="241"/>
      <c r="Y1957" s="284"/>
      <c r="Z1957" s="207"/>
      <c r="AA1957" s="284"/>
      <c r="AB1957" s="284"/>
      <c r="AC1957" s="284"/>
      <c r="AD1957" s="284"/>
      <c r="AE1957" s="284"/>
      <c r="AF1957" s="284"/>
      <c r="AG1957" s="284"/>
    </row>
    <row r="1958" spans="1:33" ht="26.4">
      <c r="A1958" s="284"/>
      <c r="B1958" s="284"/>
      <c r="C1958" s="284"/>
      <c r="D1958" s="284"/>
      <c r="E1958" s="284"/>
      <c r="F1958" s="284"/>
      <c r="G1958" s="284"/>
      <c r="H1958" s="284"/>
      <c r="I1958" s="284"/>
      <c r="J1958" s="375"/>
      <c r="K1958" s="375"/>
      <c r="L1958" s="375"/>
      <c r="M1958" s="368"/>
      <c r="N1958" s="368"/>
      <c r="O1958" s="370"/>
      <c r="T1958" s="340"/>
      <c r="V1958" s="378"/>
      <c r="W1958" s="64" ph="1"/>
      <c r="X1958" s="241"/>
      <c r="Y1958" s="284"/>
      <c r="Z1958" s="207"/>
      <c r="AA1958" s="284"/>
      <c r="AB1958" s="284"/>
      <c r="AC1958" s="284"/>
      <c r="AD1958" s="284"/>
      <c r="AE1958" s="284"/>
      <c r="AF1958" s="284"/>
      <c r="AG1958" s="284"/>
    </row>
    <row r="1959" spans="1:33" ht="26.4">
      <c r="A1959" s="284"/>
      <c r="B1959" s="284"/>
      <c r="C1959" s="284"/>
      <c r="D1959" s="284"/>
      <c r="E1959" s="284"/>
      <c r="F1959" s="284"/>
      <c r="G1959" s="284"/>
      <c r="H1959" s="284"/>
      <c r="I1959" s="284"/>
      <c r="J1959" s="375"/>
      <c r="K1959" s="375"/>
      <c r="L1959" s="375"/>
      <c r="M1959" s="368"/>
      <c r="N1959" s="368"/>
      <c r="O1959" s="370"/>
      <c r="T1959" s="340"/>
      <c r="V1959" s="378"/>
      <c r="W1959" s="64" ph="1"/>
      <c r="X1959" s="241"/>
      <c r="Y1959" s="284"/>
      <c r="Z1959" s="207"/>
      <c r="AA1959" s="284"/>
      <c r="AB1959" s="284"/>
      <c r="AC1959" s="284"/>
      <c r="AD1959" s="284"/>
      <c r="AE1959" s="284"/>
      <c r="AF1959" s="284"/>
      <c r="AG1959" s="284"/>
    </row>
    <row r="1960" spans="1:33" ht="26.4">
      <c r="A1960" s="284"/>
      <c r="B1960" s="284"/>
      <c r="C1960" s="284"/>
      <c r="D1960" s="284"/>
      <c r="E1960" s="284"/>
      <c r="F1960" s="284"/>
      <c r="G1960" s="284"/>
      <c r="H1960" s="284"/>
      <c r="I1960" s="284"/>
      <c r="J1960" s="375"/>
      <c r="K1960" s="375"/>
      <c r="L1960" s="375"/>
      <c r="M1960" s="368"/>
      <c r="N1960" s="368"/>
      <c r="O1960" s="370"/>
      <c r="T1960" s="340"/>
      <c r="V1960" s="378"/>
      <c r="W1960" s="64" ph="1"/>
      <c r="X1960" s="241"/>
      <c r="Y1960" s="284"/>
      <c r="Z1960" s="207"/>
      <c r="AA1960" s="284"/>
      <c r="AB1960" s="284"/>
      <c r="AC1960" s="284"/>
      <c r="AD1960" s="284"/>
      <c r="AE1960" s="284"/>
      <c r="AF1960" s="284"/>
      <c r="AG1960" s="284"/>
    </row>
    <row r="1961" spans="1:33" ht="26.4">
      <c r="A1961" s="284"/>
      <c r="B1961" s="284"/>
      <c r="C1961" s="284"/>
      <c r="D1961" s="284"/>
      <c r="E1961" s="284"/>
      <c r="F1961" s="284"/>
      <c r="G1961" s="284"/>
      <c r="H1961" s="284"/>
      <c r="I1961" s="284"/>
      <c r="J1961" s="375"/>
      <c r="K1961" s="375"/>
      <c r="L1961" s="375"/>
      <c r="M1961" s="368"/>
      <c r="N1961" s="368"/>
      <c r="O1961" s="370"/>
      <c r="T1961" s="340"/>
      <c r="V1961" s="378"/>
      <c r="W1961" s="64" ph="1"/>
      <c r="X1961" s="241"/>
      <c r="Y1961" s="284"/>
      <c r="Z1961" s="207"/>
      <c r="AA1961" s="284"/>
      <c r="AB1961" s="284"/>
      <c r="AC1961" s="284"/>
      <c r="AD1961" s="284"/>
      <c r="AE1961" s="284"/>
      <c r="AF1961" s="284"/>
      <c r="AG1961" s="284"/>
    </row>
    <row r="1962" spans="1:33" ht="26.4">
      <c r="A1962" s="284"/>
      <c r="B1962" s="284"/>
      <c r="C1962" s="284"/>
      <c r="D1962" s="284"/>
      <c r="E1962" s="284"/>
      <c r="F1962" s="284"/>
      <c r="G1962" s="284"/>
      <c r="H1962" s="284"/>
      <c r="I1962" s="284"/>
      <c r="J1962" s="375"/>
      <c r="K1962" s="375"/>
      <c r="L1962" s="375"/>
      <c r="M1962" s="368"/>
      <c r="N1962" s="368"/>
      <c r="O1962" s="370"/>
      <c r="T1962" s="340"/>
      <c r="V1962" s="378"/>
      <c r="W1962" s="64" ph="1"/>
      <c r="X1962" s="241"/>
      <c r="Y1962" s="284"/>
      <c r="Z1962" s="207"/>
      <c r="AA1962" s="284"/>
      <c r="AB1962" s="284"/>
      <c r="AC1962" s="284"/>
      <c r="AD1962" s="284"/>
      <c r="AE1962" s="284"/>
      <c r="AF1962" s="284"/>
      <c r="AG1962" s="284"/>
    </row>
    <row r="1963" spans="1:33" ht="26.4">
      <c r="A1963" s="284"/>
      <c r="B1963" s="284"/>
      <c r="C1963" s="284"/>
      <c r="D1963" s="284"/>
      <c r="E1963" s="284"/>
      <c r="F1963" s="284"/>
      <c r="G1963" s="284"/>
      <c r="H1963" s="284"/>
      <c r="I1963" s="284"/>
      <c r="J1963" s="375"/>
      <c r="K1963" s="375"/>
      <c r="L1963" s="375"/>
      <c r="M1963" s="368"/>
      <c r="N1963" s="368"/>
      <c r="O1963" s="370"/>
      <c r="T1963" s="340"/>
      <c r="V1963" s="378"/>
      <c r="W1963" s="64" ph="1"/>
      <c r="X1963" s="241"/>
      <c r="Y1963" s="284"/>
      <c r="Z1963" s="207"/>
      <c r="AA1963" s="284"/>
      <c r="AB1963" s="284"/>
      <c r="AC1963" s="284"/>
      <c r="AD1963" s="284"/>
      <c r="AE1963" s="284"/>
      <c r="AF1963" s="284"/>
      <c r="AG1963" s="284"/>
    </row>
    <row r="1964" spans="1:33" ht="26.4">
      <c r="A1964" s="284"/>
      <c r="B1964" s="284"/>
      <c r="C1964" s="284"/>
      <c r="D1964" s="284"/>
      <c r="E1964" s="284"/>
      <c r="F1964" s="284"/>
      <c r="G1964" s="284"/>
      <c r="H1964" s="284"/>
      <c r="I1964" s="284"/>
      <c r="J1964" s="375"/>
      <c r="K1964" s="375"/>
      <c r="L1964" s="375"/>
      <c r="M1964" s="368"/>
      <c r="N1964" s="368"/>
      <c r="O1964" s="370"/>
      <c r="T1964" s="340"/>
      <c r="V1964" s="378"/>
      <c r="W1964" s="64" ph="1"/>
      <c r="X1964" s="241"/>
      <c r="Y1964" s="284"/>
      <c r="Z1964" s="207"/>
      <c r="AA1964" s="284"/>
      <c r="AB1964" s="284"/>
      <c r="AC1964" s="284"/>
      <c r="AD1964" s="284"/>
      <c r="AE1964" s="284"/>
      <c r="AF1964" s="284"/>
      <c r="AG1964" s="284"/>
    </row>
    <row r="1965" spans="1:33" ht="26.4">
      <c r="A1965" s="284"/>
      <c r="B1965" s="284"/>
      <c r="C1965" s="284"/>
      <c r="D1965" s="284"/>
      <c r="E1965" s="284"/>
      <c r="F1965" s="284"/>
      <c r="G1965" s="284"/>
      <c r="H1965" s="284"/>
      <c r="I1965" s="284"/>
      <c r="J1965" s="375"/>
      <c r="K1965" s="375"/>
      <c r="L1965" s="375"/>
      <c r="M1965" s="368"/>
      <c r="N1965" s="368"/>
      <c r="O1965" s="370"/>
      <c r="T1965" s="340"/>
      <c r="V1965" s="378"/>
      <c r="W1965" s="64" ph="1"/>
      <c r="X1965" s="241"/>
      <c r="Y1965" s="284"/>
      <c r="Z1965" s="207"/>
      <c r="AA1965" s="284"/>
      <c r="AB1965" s="284"/>
      <c r="AC1965" s="284"/>
      <c r="AD1965" s="284"/>
      <c r="AE1965" s="284"/>
      <c r="AF1965" s="284"/>
      <c r="AG1965" s="284"/>
    </row>
    <row r="1966" spans="1:33" ht="26.4">
      <c r="A1966" s="284"/>
      <c r="B1966" s="284"/>
      <c r="C1966" s="284"/>
      <c r="D1966" s="284"/>
      <c r="E1966" s="284"/>
      <c r="F1966" s="284"/>
      <c r="G1966" s="284"/>
      <c r="H1966" s="284"/>
      <c r="I1966" s="284"/>
      <c r="J1966" s="375"/>
      <c r="K1966" s="375"/>
      <c r="L1966" s="375"/>
      <c r="M1966" s="368"/>
      <c r="N1966" s="368"/>
      <c r="O1966" s="370"/>
      <c r="T1966" s="340"/>
      <c r="V1966" s="378"/>
      <c r="W1966" s="64" ph="1"/>
      <c r="X1966" s="241"/>
      <c r="Y1966" s="284"/>
      <c r="Z1966" s="207"/>
      <c r="AA1966" s="284"/>
      <c r="AB1966" s="284"/>
      <c r="AC1966" s="284"/>
      <c r="AD1966" s="284"/>
      <c r="AE1966" s="284"/>
      <c r="AF1966" s="284"/>
      <c r="AG1966" s="284"/>
    </row>
    <row r="1967" spans="1:33" ht="26.4">
      <c r="A1967" s="284"/>
      <c r="B1967" s="284"/>
      <c r="C1967" s="284"/>
      <c r="D1967" s="284"/>
      <c r="E1967" s="284"/>
      <c r="F1967" s="284"/>
      <c r="G1967" s="284"/>
      <c r="H1967" s="284"/>
      <c r="I1967" s="284"/>
      <c r="J1967" s="375"/>
      <c r="K1967" s="375"/>
      <c r="L1967" s="375"/>
      <c r="M1967" s="368"/>
      <c r="N1967" s="368"/>
      <c r="O1967" s="370"/>
      <c r="T1967" s="340"/>
      <c r="V1967" s="378"/>
      <c r="W1967" s="64" ph="1"/>
      <c r="X1967" s="241"/>
      <c r="Y1967" s="284"/>
      <c r="Z1967" s="207"/>
      <c r="AA1967" s="284"/>
      <c r="AB1967" s="284"/>
      <c r="AC1967" s="284"/>
      <c r="AD1967" s="284"/>
      <c r="AE1967" s="284"/>
      <c r="AF1967" s="284"/>
      <c r="AG1967" s="284"/>
    </row>
    <row r="1968" spans="1:33" ht="26.4">
      <c r="A1968" s="284"/>
      <c r="B1968" s="284"/>
      <c r="C1968" s="284"/>
      <c r="D1968" s="284"/>
      <c r="E1968" s="284"/>
      <c r="F1968" s="284"/>
      <c r="G1968" s="284"/>
      <c r="H1968" s="284"/>
      <c r="I1968" s="284"/>
      <c r="J1968" s="375"/>
      <c r="K1968" s="375"/>
      <c r="L1968" s="375"/>
      <c r="M1968" s="368"/>
      <c r="N1968" s="368"/>
      <c r="O1968" s="370"/>
      <c r="T1968" s="340"/>
      <c r="V1968" s="378"/>
      <c r="W1968" s="64" ph="1"/>
      <c r="X1968" s="241"/>
      <c r="Y1968" s="284"/>
      <c r="Z1968" s="207"/>
      <c r="AA1968" s="284"/>
      <c r="AB1968" s="284"/>
      <c r="AC1968" s="284"/>
      <c r="AD1968" s="284"/>
      <c r="AE1968" s="284"/>
      <c r="AF1968" s="284"/>
      <c r="AG1968" s="284"/>
    </row>
    <row r="1969" spans="1:33" ht="26.4">
      <c r="A1969" s="284"/>
      <c r="B1969" s="284"/>
      <c r="C1969" s="284"/>
      <c r="D1969" s="284"/>
      <c r="E1969" s="284"/>
      <c r="F1969" s="284"/>
      <c r="G1969" s="284"/>
      <c r="H1969" s="284"/>
      <c r="I1969" s="284"/>
      <c r="J1969" s="375"/>
      <c r="K1969" s="375"/>
      <c r="L1969" s="375"/>
      <c r="M1969" s="368"/>
      <c r="N1969" s="368"/>
      <c r="O1969" s="370"/>
      <c r="T1969" s="340"/>
      <c r="V1969" s="378"/>
      <c r="W1969" s="64" ph="1"/>
      <c r="X1969" s="241"/>
      <c r="Y1969" s="284"/>
      <c r="Z1969" s="207"/>
      <c r="AA1969" s="284"/>
      <c r="AB1969" s="284"/>
      <c r="AC1969" s="284"/>
      <c r="AD1969" s="284"/>
      <c r="AE1969" s="284"/>
      <c r="AF1969" s="284"/>
      <c r="AG1969" s="284"/>
    </row>
    <row r="1970" spans="1:33" ht="26.4">
      <c r="A1970" s="284"/>
      <c r="B1970" s="284"/>
      <c r="C1970" s="284"/>
      <c r="D1970" s="284"/>
      <c r="E1970" s="284"/>
      <c r="F1970" s="284"/>
      <c r="G1970" s="284"/>
      <c r="H1970" s="284"/>
      <c r="I1970" s="284"/>
      <c r="J1970" s="375"/>
      <c r="K1970" s="375"/>
      <c r="L1970" s="375"/>
      <c r="M1970" s="368"/>
      <c r="N1970" s="368"/>
      <c r="O1970" s="370"/>
      <c r="T1970" s="340"/>
      <c r="V1970" s="378"/>
      <c r="W1970" s="64" ph="1"/>
      <c r="X1970" s="241"/>
      <c r="Y1970" s="284"/>
      <c r="Z1970" s="207"/>
      <c r="AA1970" s="284"/>
      <c r="AB1970" s="284"/>
      <c r="AC1970" s="284"/>
      <c r="AD1970" s="284"/>
      <c r="AE1970" s="284"/>
      <c r="AF1970" s="284"/>
      <c r="AG1970" s="284"/>
    </row>
    <row r="1971" spans="1:33" ht="26.4">
      <c r="A1971" s="284"/>
      <c r="B1971" s="284"/>
      <c r="C1971" s="284"/>
      <c r="D1971" s="284"/>
      <c r="E1971" s="284"/>
      <c r="F1971" s="284"/>
      <c r="G1971" s="284"/>
      <c r="H1971" s="284"/>
      <c r="I1971" s="284"/>
      <c r="J1971" s="375"/>
      <c r="K1971" s="375"/>
      <c r="L1971" s="375"/>
      <c r="M1971" s="368"/>
      <c r="N1971" s="368"/>
      <c r="O1971" s="370"/>
      <c r="T1971" s="340"/>
      <c r="V1971" s="378"/>
      <c r="W1971" s="64" ph="1"/>
      <c r="X1971" s="241"/>
      <c r="Y1971" s="284"/>
      <c r="Z1971" s="207"/>
      <c r="AA1971" s="284"/>
      <c r="AB1971" s="284"/>
      <c r="AC1971" s="284"/>
      <c r="AD1971" s="284"/>
      <c r="AE1971" s="284"/>
      <c r="AF1971" s="284"/>
      <c r="AG1971" s="284"/>
    </row>
    <row r="1972" spans="1:33" ht="26.4">
      <c r="A1972" s="284"/>
      <c r="B1972" s="284"/>
      <c r="C1972" s="284"/>
      <c r="D1972" s="284"/>
      <c r="E1972" s="284"/>
      <c r="F1972" s="284"/>
      <c r="G1972" s="284"/>
      <c r="H1972" s="284"/>
      <c r="I1972" s="284"/>
      <c r="J1972" s="375"/>
      <c r="K1972" s="375"/>
      <c r="L1972" s="375"/>
      <c r="M1972" s="368"/>
      <c r="N1972" s="368"/>
      <c r="O1972" s="370"/>
      <c r="T1972" s="340"/>
      <c r="V1972" s="378"/>
      <c r="W1972" s="64" ph="1"/>
      <c r="X1972" s="241"/>
      <c r="Y1972" s="284"/>
      <c r="Z1972" s="207"/>
      <c r="AA1972" s="284"/>
      <c r="AB1972" s="284"/>
      <c r="AC1972" s="284"/>
      <c r="AD1972" s="284"/>
      <c r="AE1972" s="284"/>
      <c r="AF1972" s="284"/>
      <c r="AG1972" s="284"/>
    </row>
    <row r="1973" spans="1:33" ht="26.4">
      <c r="A1973" s="284"/>
      <c r="B1973" s="284"/>
      <c r="C1973" s="284"/>
      <c r="D1973" s="284"/>
      <c r="E1973" s="284"/>
      <c r="F1973" s="284"/>
      <c r="G1973" s="284"/>
      <c r="H1973" s="284"/>
      <c r="I1973" s="284"/>
      <c r="J1973" s="375"/>
      <c r="K1973" s="375"/>
      <c r="L1973" s="375"/>
      <c r="M1973" s="368"/>
      <c r="N1973" s="368"/>
      <c r="O1973" s="370"/>
      <c r="T1973" s="340"/>
      <c r="V1973" s="378"/>
      <c r="W1973" s="64" ph="1"/>
      <c r="X1973" s="241"/>
      <c r="Y1973" s="284"/>
      <c r="Z1973" s="207"/>
      <c r="AA1973" s="284"/>
      <c r="AB1973" s="284"/>
      <c r="AC1973" s="284"/>
      <c r="AD1973" s="284"/>
      <c r="AE1973" s="284"/>
      <c r="AF1973" s="284"/>
      <c r="AG1973" s="284"/>
    </row>
    <row r="1974" spans="1:33" ht="26.4">
      <c r="A1974" s="284"/>
      <c r="B1974" s="284"/>
      <c r="C1974" s="284"/>
      <c r="D1974" s="284"/>
      <c r="E1974" s="284"/>
      <c r="F1974" s="284"/>
      <c r="G1974" s="284"/>
      <c r="H1974" s="284"/>
      <c r="I1974" s="284"/>
      <c r="J1974" s="375"/>
      <c r="K1974" s="375"/>
      <c r="L1974" s="375"/>
      <c r="M1974" s="368"/>
      <c r="N1974" s="368"/>
      <c r="O1974" s="370"/>
      <c r="T1974" s="340"/>
      <c r="V1974" s="378"/>
      <c r="W1974" s="64" ph="1"/>
      <c r="X1974" s="241"/>
      <c r="Y1974" s="284"/>
      <c r="Z1974" s="207"/>
      <c r="AA1974" s="284"/>
      <c r="AB1974" s="284"/>
      <c r="AC1974" s="284"/>
      <c r="AD1974" s="284"/>
      <c r="AE1974" s="284"/>
      <c r="AF1974" s="284"/>
      <c r="AG1974" s="284"/>
    </row>
    <row r="1975" spans="1:33" ht="26.4">
      <c r="A1975" s="284"/>
      <c r="B1975" s="284"/>
      <c r="C1975" s="284"/>
      <c r="D1975" s="284"/>
      <c r="E1975" s="284"/>
      <c r="F1975" s="284"/>
      <c r="G1975" s="284"/>
      <c r="H1975" s="284"/>
      <c r="I1975" s="284"/>
      <c r="J1975" s="375"/>
      <c r="K1975" s="375"/>
      <c r="L1975" s="375"/>
      <c r="M1975" s="368"/>
      <c r="N1975" s="368"/>
      <c r="O1975" s="370"/>
      <c r="T1975" s="340"/>
      <c r="V1975" s="378"/>
      <c r="W1975" s="64" ph="1"/>
      <c r="X1975" s="241"/>
      <c r="Y1975" s="284"/>
      <c r="Z1975" s="207"/>
      <c r="AA1975" s="284"/>
      <c r="AB1975" s="284"/>
      <c r="AC1975" s="284"/>
      <c r="AD1975" s="284"/>
      <c r="AE1975" s="284"/>
      <c r="AF1975" s="284"/>
      <c r="AG1975" s="284"/>
    </row>
    <row r="1976" spans="1:33" ht="26.4">
      <c r="A1976" s="284"/>
      <c r="B1976" s="284"/>
      <c r="C1976" s="284"/>
      <c r="D1976" s="284"/>
      <c r="E1976" s="284"/>
      <c r="F1976" s="284"/>
      <c r="G1976" s="284"/>
      <c r="H1976" s="284"/>
      <c r="I1976" s="284"/>
      <c r="J1976" s="375"/>
      <c r="K1976" s="375"/>
      <c r="L1976" s="375"/>
      <c r="M1976" s="368"/>
      <c r="N1976" s="368"/>
      <c r="O1976" s="370"/>
      <c r="T1976" s="340"/>
      <c r="V1976" s="378"/>
      <c r="W1976" s="64" ph="1"/>
      <c r="X1976" s="241"/>
      <c r="Y1976" s="284"/>
      <c r="Z1976" s="207"/>
      <c r="AA1976" s="284"/>
      <c r="AB1976" s="284"/>
      <c r="AC1976" s="284"/>
      <c r="AD1976" s="284"/>
      <c r="AE1976" s="284"/>
      <c r="AF1976" s="284"/>
      <c r="AG1976" s="284"/>
    </row>
    <row r="1977" spans="1:33" ht="26.4">
      <c r="A1977" s="284"/>
      <c r="B1977" s="284"/>
      <c r="C1977" s="284"/>
      <c r="D1977" s="284"/>
      <c r="E1977" s="284"/>
      <c r="F1977" s="284"/>
      <c r="G1977" s="284"/>
      <c r="H1977" s="284"/>
      <c r="I1977" s="284"/>
      <c r="J1977" s="375"/>
      <c r="K1977" s="375"/>
      <c r="L1977" s="375"/>
      <c r="M1977" s="368"/>
      <c r="N1977" s="368"/>
      <c r="O1977" s="370"/>
      <c r="T1977" s="340"/>
      <c r="V1977" s="378"/>
      <c r="W1977" s="64" ph="1"/>
      <c r="X1977" s="241"/>
      <c r="Y1977" s="284"/>
      <c r="Z1977" s="207"/>
      <c r="AA1977" s="284"/>
      <c r="AB1977" s="284"/>
      <c r="AC1977" s="284"/>
      <c r="AD1977" s="284"/>
      <c r="AE1977" s="284"/>
      <c r="AF1977" s="284"/>
      <c r="AG1977" s="284"/>
    </row>
    <row r="1978" spans="1:33" ht="26.4">
      <c r="A1978" s="284"/>
      <c r="B1978" s="284"/>
      <c r="C1978" s="284"/>
      <c r="D1978" s="284"/>
      <c r="E1978" s="284"/>
      <c r="F1978" s="284"/>
      <c r="G1978" s="284"/>
      <c r="H1978" s="284"/>
      <c r="I1978" s="284"/>
      <c r="J1978" s="375"/>
      <c r="K1978" s="375"/>
      <c r="L1978" s="375"/>
      <c r="M1978" s="368"/>
      <c r="N1978" s="368"/>
      <c r="O1978" s="370"/>
      <c r="T1978" s="340"/>
      <c r="V1978" s="378"/>
      <c r="W1978" s="64" ph="1"/>
      <c r="X1978" s="241"/>
      <c r="Y1978" s="284"/>
      <c r="Z1978" s="207"/>
      <c r="AA1978" s="284"/>
      <c r="AB1978" s="284"/>
      <c r="AC1978" s="284"/>
      <c r="AD1978" s="284"/>
      <c r="AE1978" s="284"/>
      <c r="AF1978" s="284"/>
      <c r="AG1978" s="284"/>
    </row>
    <row r="1979" spans="1:33" ht="26.4">
      <c r="A1979" s="284"/>
      <c r="B1979" s="284"/>
      <c r="C1979" s="284"/>
      <c r="D1979" s="284"/>
      <c r="E1979" s="284"/>
      <c r="F1979" s="284"/>
      <c r="G1979" s="284"/>
      <c r="H1979" s="284"/>
      <c r="I1979" s="284"/>
      <c r="J1979" s="375"/>
      <c r="K1979" s="375"/>
      <c r="L1979" s="375"/>
      <c r="M1979" s="368"/>
      <c r="N1979" s="368"/>
      <c r="O1979" s="370"/>
      <c r="T1979" s="340"/>
      <c r="V1979" s="378"/>
      <c r="W1979" s="64" ph="1"/>
      <c r="X1979" s="241"/>
      <c r="Y1979" s="284"/>
      <c r="Z1979" s="207"/>
      <c r="AA1979" s="284"/>
      <c r="AB1979" s="284"/>
      <c r="AC1979" s="284"/>
      <c r="AD1979" s="284"/>
      <c r="AE1979" s="284"/>
      <c r="AF1979" s="284"/>
      <c r="AG1979" s="284"/>
    </row>
    <row r="1980" spans="1:33" ht="26.4">
      <c r="A1980" s="284"/>
      <c r="B1980" s="284"/>
      <c r="C1980" s="284"/>
      <c r="D1980" s="284"/>
      <c r="E1980" s="284"/>
      <c r="F1980" s="284"/>
      <c r="G1980" s="284"/>
      <c r="H1980" s="284"/>
      <c r="I1980" s="284"/>
      <c r="J1980" s="375"/>
      <c r="K1980" s="375"/>
      <c r="L1980" s="375"/>
      <c r="M1980" s="368"/>
      <c r="N1980" s="368"/>
      <c r="O1980" s="370"/>
      <c r="T1980" s="340"/>
      <c r="V1980" s="378"/>
      <c r="W1980" s="64" ph="1"/>
      <c r="X1980" s="241"/>
      <c r="Y1980" s="284"/>
      <c r="Z1980" s="207"/>
      <c r="AA1980" s="284"/>
      <c r="AB1980" s="284"/>
      <c r="AC1980" s="284"/>
      <c r="AD1980" s="284"/>
      <c r="AE1980" s="284"/>
      <c r="AF1980" s="284"/>
      <c r="AG1980" s="284"/>
    </row>
    <row r="1981" spans="1:33" ht="26.4">
      <c r="A1981" s="284"/>
      <c r="B1981" s="284"/>
      <c r="C1981" s="284"/>
      <c r="D1981" s="284"/>
      <c r="E1981" s="284"/>
      <c r="F1981" s="284"/>
      <c r="G1981" s="284"/>
      <c r="H1981" s="284"/>
      <c r="I1981" s="284"/>
      <c r="J1981" s="375"/>
      <c r="K1981" s="375"/>
      <c r="L1981" s="375"/>
      <c r="M1981" s="368"/>
      <c r="N1981" s="368"/>
      <c r="O1981" s="370"/>
      <c r="T1981" s="340"/>
      <c r="V1981" s="378"/>
      <c r="W1981" s="64" ph="1"/>
      <c r="X1981" s="241"/>
      <c r="Y1981" s="284"/>
      <c r="Z1981" s="207"/>
      <c r="AA1981" s="284"/>
      <c r="AB1981" s="284"/>
      <c r="AC1981" s="284"/>
      <c r="AD1981" s="284"/>
      <c r="AE1981" s="284"/>
      <c r="AF1981" s="284"/>
      <c r="AG1981" s="284"/>
    </row>
    <row r="1982" spans="1:33" ht="26.4">
      <c r="A1982" s="284"/>
      <c r="B1982" s="284"/>
      <c r="C1982" s="284"/>
      <c r="D1982" s="284"/>
      <c r="E1982" s="284"/>
      <c r="F1982" s="284"/>
      <c r="G1982" s="284"/>
      <c r="H1982" s="284"/>
      <c r="I1982" s="284"/>
      <c r="J1982" s="375"/>
      <c r="K1982" s="375"/>
      <c r="L1982" s="375"/>
      <c r="M1982" s="368"/>
      <c r="N1982" s="368"/>
      <c r="O1982" s="370"/>
      <c r="T1982" s="340"/>
      <c r="V1982" s="378"/>
      <c r="W1982" s="64" ph="1"/>
      <c r="X1982" s="241"/>
      <c r="Y1982" s="284"/>
      <c r="Z1982" s="207"/>
      <c r="AA1982" s="284"/>
      <c r="AB1982" s="284"/>
      <c r="AC1982" s="284"/>
      <c r="AD1982" s="284"/>
      <c r="AE1982" s="284"/>
      <c r="AF1982" s="284"/>
      <c r="AG1982" s="284"/>
    </row>
    <row r="1983" spans="1:33" ht="26.4">
      <c r="A1983" s="284"/>
      <c r="B1983" s="284"/>
      <c r="C1983" s="284"/>
      <c r="D1983" s="284"/>
      <c r="E1983" s="284"/>
      <c r="F1983" s="284"/>
      <c r="G1983" s="284"/>
      <c r="H1983" s="284"/>
      <c r="I1983" s="284"/>
      <c r="J1983" s="375"/>
      <c r="K1983" s="375"/>
      <c r="L1983" s="375"/>
      <c r="M1983" s="368"/>
      <c r="N1983" s="368"/>
      <c r="O1983" s="370"/>
      <c r="T1983" s="340"/>
      <c r="V1983" s="378"/>
      <c r="W1983" s="64" ph="1"/>
      <c r="X1983" s="241"/>
      <c r="Y1983" s="284"/>
      <c r="Z1983" s="207"/>
      <c r="AA1983" s="284"/>
      <c r="AB1983" s="284"/>
      <c r="AC1983" s="284"/>
      <c r="AD1983" s="284"/>
      <c r="AE1983" s="284"/>
      <c r="AF1983" s="284"/>
      <c r="AG1983" s="284"/>
    </row>
    <row r="1984" spans="1:33" ht="26.4">
      <c r="A1984" s="284"/>
      <c r="B1984" s="284"/>
      <c r="C1984" s="284"/>
      <c r="D1984" s="284"/>
      <c r="E1984" s="284"/>
      <c r="F1984" s="284"/>
      <c r="G1984" s="284"/>
      <c r="H1984" s="284"/>
      <c r="I1984" s="284"/>
      <c r="J1984" s="375"/>
      <c r="K1984" s="375"/>
      <c r="L1984" s="375"/>
      <c r="M1984" s="368"/>
      <c r="N1984" s="368"/>
      <c r="O1984" s="370"/>
      <c r="T1984" s="340"/>
      <c r="V1984" s="378"/>
      <c r="W1984" s="64" ph="1"/>
      <c r="X1984" s="241"/>
      <c r="Y1984" s="284"/>
      <c r="Z1984" s="207"/>
      <c r="AA1984" s="284"/>
      <c r="AB1984" s="284"/>
      <c r="AC1984" s="284"/>
      <c r="AD1984" s="284"/>
      <c r="AE1984" s="284"/>
      <c r="AF1984" s="284"/>
      <c r="AG1984" s="284"/>
    </row>
    <row r="1985" spans="1:33" ht="26.4">
      <c r="A1985" s="284"/>
      <c r="B1985" s="284"/>
      <c r="C1985" s="284"/>
      <c r="D1985" s="284"/>
      <c r="E1985" s="284"/>
      <c r="F1985" s="284"/>
      <c r="G1985" s="284"/>
      <c r="H1985" s="284"/>
      <c r="I1985" s="284"/>
      <c r="J1985" s="375"/>
      <c r="K1985" s="375"/>
      <c r="L1985" s="375"/>
      <c r="M1985" s="368"/>
      <c r="N1985" s="368"/>
      <c r="O1985" s="370"/>
      <c r="T1985" s="340"/>
      <c r="V1985" s="378"/>
      <c r="W1985" s="64" ph="1"/>
      <c r="X1985" s="241"/>
      <c r="Y1985" s="284"/>
      <c r="Z1985" s="207"/>
      <c r="AA1985" s="284"/>
      <c r="AB1985" s="284"/>
      <c r="AC1985" s="284"/>
      <c r="AD1985" s="284"/>
      <c r="AE1985" s="284"/>
      <c r="AF1985" s="284"/>
      <c r="AG1985" s="284"/>
    </row>
    <row r="1986" spans="1:33" ht="26.4">
      <c r="A1986" s="284"/>
      <c r="B1986" s="284"/>
      <c r="C1986" s="284"/>
      <c r="D1986" s="284"/>
      <c r="E1986" s="284"/>
      <c r="F1986" s="284"/>
      <c r="G1986" s="284"/>
      <c r="H1986" s="284"/>
      <c r="I1986" s="284"/>
      <c r="J1986" s="375"/>
      <c r="K1986" s="375"/>
      <c r="L1986" s="375"/>
      <c r="M1986" s="368"/>
      <c r="N1986" s="368"/>
      <c r="O1986" s="370"/>
      <c r="T1986" s="340"/>
      <c r="V1986" s="378"/>
      <c r="W1986" s="64" ph="1"/>
      <c r="X1986" s="241"/>
      <c r="Y1986" s="284"/>
      <c r="Z1986" s="207"/>
      <c r="AA1986" s="284"/>
      <c r="AB1986" s="284"/>
      <c r="AC1986" s="284"/>
      <c r="AD1986" s="284"/>
      <c r="AE1986" s="284"/>
      <c r="AF1986" s="284"/>
      <c r="AG1986" s="284"/>
    </row>
    <row r="1987" spans="1:33" ht="26.4">
      <c r="A1987" s="284"/>
      <c r="B1987" s="284"/>
      <c r="C1987" s="284"/>
      <c r="D1987" s="284"/>
      <c r="E1987" s="284"/>
      <c r="F1987" s="284"/>
      <c r="G1987" s="284"/>
      <c r="H1987" s="284"/>
      <c r="I1987" s="284"/>
      <c r="J1987" s="375"/>
      <c r="K1987" s="375"/>
      <c r="L1987" s="375"/>
      <c r="M1987" s="368"/>
      <c r="N1987" s="368"/>
      <c r="O1987" s="370"/>
      <c r="T1987" s="340"/>
      <c r="V1987" s="378"/>
      <c r="W1987" s="64" ph="1"/>
      <c r="X1987" s="241"/>
      <c r="Y1987" s="284"/>
      <c r="Z1987" s="207"/>
      <c r="AA1987" s="284"/>
      <c r="AB1987" s="284"/>
      <c r="AC1987" s="284"/>
      <c r="AD1987" s="284"/>
      <c r="AE1987" s="284"/>
      <c r="AF1987" s="284"/>
      <c r="AG1987" s="284"/>
    </row>
    <row r="1988" spans="1:33" ht="26.4">
      <c r="A1988" s="284"/>
      <c r="B1988" s="284"/>
      <c r="C1988" s="284"/>
      <c r="D1988" s="284"/>
      <c r="E1988" s="284"/>
      <c r="F1988" s="284"/>
      <c r="G1988" s="284"/>
      <c r="H1988" s="284"/>
      <c r="I1988" s="284"/>
      <c r="J1988" s="375"/>
      <c r="K1988" s="375"/>
      <c r="L1988" s="375"/>
      <c r="M1988" s="368"/>
      <c r="N1988" s="368"/>
      <c r="O1988" s="370"/>
      <c r="T1988" s="340"/>
      <c r="V1988" s="378"/>
      <c r="W1988" s="64" ph="1"/>
      <c r="X1988" s="241"/>
      <c r="Y1988" s="284"/>
      <c r="Z1988" s="207"/>
      <c r="AA1988" s="284"/>
      <c r="AB1988" s="284"/>
      <c r="AC1988" s="284"/>
      <c r="AD1988" s="284"/>
      <c r="AE1988" s="284"/>
      <c r="AF1988" s="284"/>
      <c r="AG1988" s="284"/>
    </row>
    <row r="1989" spans="1:33" ht="26.4">
      <c r="A1989" s="284"/>
      <c r="B1989" s="284"/>
      <c r="C1989" s="284"/>
      <c r="D1989" s="284"/>
      <c r="E1989" s="284"/>
      <c r="F1989" s="284"/>
      <c r="G1989" s="284"/>
      <c r="H1989" s="284"/>
      <c r="I1989" s="284"/>
      <c r="J1989" s="375"/>
      <c r="K1989" s="375"/>
      <c r="L1989" s="375"/>
      <c r="M1989" s="368"/>
      <c r="N1989" s="368"/>
      <c r="O1989" s="370"/>
      <c r="T1989" s="340"/>
      <c r="V1989" s="378"/>
      <c r="W1989" s="64" ph="1"/>
      <c r="X1989" s="241"/>
      <c r="Y1989" s="284"/>
      <c r="Z1989" s="207"/>
      <c r="AA1989" s="284"/>
      <c r="AB1989" s="284"/>
      <c r="AC1989" s="284"/>
      <c r="AD1989" s="284"/>
      <c r="AE1989" s="284"/>
      <c r="AF1989" s="284"/>
      <c r="AG1989" s="284"/>
    </row>
    <row r="1990" spans="1:33" ht="26.4">
      <c r="A1990" s="284"/>
      <c r="B1990" s="284"/>
      <c r="C1990" s="284"/>
      <c r="D1990" s="284"/>
      <c r="E1990" s="284"/>
      <c r="F1990" s="284"/>
      <c r="G1990" s="284"/>
      <c r="H1990" s="284"/>
      <c r="I1990" s="284"/>
      <c r="J1990" s="375"/>
      <c r="K1990" s="375"/>
      <c r="L1990" s="375"/>
      <c r="M1990" s="368"/>
      <c r="N1990" s="368"/>
      <c r="O1990" s="370"/>
      <c r="T1990" s="340"/>
      <c r="V1990" s="378"/>
      <c r="W1990" s="64" ph="1"/>
      <c r="X1990" s="241"/>
      <c r="Y1990" s="284"/>
      <c r="Z1990" s="207"/>
      <c r="AA1990" s="284"/>
      <c r="AB1990" s="284"/>
      <c r="AC1990" s="284"/>
      <c r="AD1990" s="284"/>
      <c r="AE1990" s="284"/>
      <c r="AF1990" s="284"/>
      <c r="AG1990" s="284"/>
    </row>
    <row r="1991" spans="1:33" ht="26.4">
      <c r="A1991" s="284"/>
      <c r="B1991" s="284"/>
      <c r="C1991" s="284"/>
      <c r="D1991" s="284"/>
      <c r="E1991" s="284"/>
      <c r="F1991" s="284"/>
      <c r="G1991" s="284"/>
      <c r="H1991" s="284"/>
      <c r="I1991" s="284"/>
      <c r="J1991" s="375"/>
      <c r="K1991" s="375"/>
      <c r="L1991" s="375"/>
      <c r="M1991" s="368"/>
      <c r="N1991" s="368"/>
      <c r="O1991" s="370"/>
      <c r="T1991" s="340"/>
      <c r="V1991" s="378"/>
      <c r="W1991" s="64" ph="1"/>
      <c r="X1991" s="241"/>
      <c r="Y1991" s="284"/>
      <c r="Z1991" s="207"/>
      <c r="AA1991" s="284"/>
      <c r="AB1991" s="284"/>
      <c r="AC1991" s="284"/>
      <c r="AD1991" s="284"/>
      <c r="AE1991" s="284"/>
      <c r="AF1991" s="284"/>
      <c r="AG1991" s="284"/>
    </row>
    <row r="1992" spans="1:33" ht="26.4">
      <c r="A1992" s="284"/>
      <c r="B1992" s="284"/>
      <c r="C1992" s="284"/>
      <c r="D1992" s="284"/>
      <c r="E1992" s="284"/>
      <c r="F1992" s="284"/>
      <c r="G1992" s="284"/>
      <c r="H1992" s="284"/>
      <c r="I1992" s="284"/>
      <c r="J1992" s="375"/>
      <c r="K1992" s="375"/>
      <c r="L1992" s="375"/>
      <c r="M1992" s="368"/>
      <c r="N1992" s="368"/>
      <c r="O1992" s="370"/>
      <c r="T1992" s="340"/>
      <c r="V1992" s="378"/>
      <c r="W1992" s="64" ph="1"/>
      <c r="X1992" s="241"/>
      <c r="Y1992" s="284"/>
      <c r="Z1992" s="207"/>
      <c r="AA1992" s="284"/>
      <c r="AB1992" s="284"/>
      <c r="AC1992" s="284"/>
      <c r="AD1992" s="284"/>
      <c r="AE1992" s="284"/>
      <c r="AF1992" s="284"/>
      <c r="AG1992" s="284"/>
    </row>
    <row r="1993" spans="1:33" ht="26.4">
      <c r="A1993" s="284"/>
      <c r="B1993" s="284"/>
      <c r="C1993" s="284"/>
      <c r="D1993" s="284"/>
      <c r="E1993" s="284"/>
      <c r="F1993" s="284"/>
      <c r="G1993" s="284"/>
      <c r="H1993" s="284"/>
      <c r="I1993" s="284"/>
      <c r="J1993" s="375"/>
      <c r="K1993" s="375"/>
      <c r="L1993" s="375"/>
      <c r="M1993" s="368"/>
      <c r="N1993" s="368"/>
      <c r="O1993" s="370"/>
      <c r="T1993" s="340"/>
      <c r="V1993" s="378"/>
      <c r="W1993" s="64" ph="1"/>
      <c r="X1993" s="241"/>
      <c r="Y1993" s="284"/>
      <c r="Z1993" s="207"/>
      <c r="AA1993" s="284"/>
      <c r="AB1993" s="284"/>
      <c r="AC1993" s="284"/>
      <c r="AD1993" s="284"/>
      <c r="AE1993" s="284"/>
      <c r="AF1993" s="284"/>
      <c r="AG1993" s="284"/>
    </row>
    <row r="1994" spans="1:33" ht="26.4">
      <c r="A1994" s="284"/>
      <c r="B1994" s="284"/>
      <c r="C1994" s="284"/>
      <c r="D1994" s="284"/>
      <c r="E1994" s="284"/>
      <c r="F1994" s="284"/>
      <c r="G1994" s="284"/>
      <c r="H1994" s="284"/>
      <c r="I1994" s="284"/>
      <c r="J1994" s="375"/>
      <c r="K1994" s="375"/>
      <c r="L1994" s="375"/>
      <c r="M1994" s="368"/>
      <c r="N1994" s="368"/>
      <c r="O1994" s="370"/>
      <c r="T1994" s="340"/>
      <c r="V1994" s="378"/>
      <c r="W1994" s="64" ph="1"/>
      <c r="X1994" s="241"/>
      <c r="Y1994" s="284"/>
      <c r="Z1994" s="207"/>
      <c r="AA1994" s="284"/>
      <c r="AB1994" s="284"/>
      <c r="AC1994" s="284"/>
      <c r="AD1994" s="284"/>
      <c r="AE1994" s="284"/>
      <c r="AF1994" s="284"/>
      <c r="AG1994" s="284"/>
    </row>
    <row r="1995" spans="1:33" ht="26.4">
      <c r="A1995" s="284"/>
      <c r="B1995" s="284"/>
      <c r="C1995" s="284"/>
      <c r="D1995" s="284"/>
      <c r="E1995" s="284"/>
      <c r="F1995" s="284"/>
      <c r="G1995" s="284"/>
      <c r="H1995" s="284"/>
      <c r="I1995" s="284"/>
      <c r="J1995" s="375"/>
      <c r="K1995" s="375"/>
      <c r="L1995" s="375"/>
      <c r="M1995" s="368"/>
      <c r="N1995" s="368"/>
      <c r="O1995" s="370"/>
      <c r="T1995" s="340"/>
      <c r="V1995" s="378"/>
      <c r="W1995" s="64" ph="1"/>
      <c r="X1995" s="241"/>
      <c r="Y1995" s="284"/>
      <c r="Z1995" s="207"/>
      <c r="AA1995" s="284"/>
      <c r="AB1995" s="284"/>
      <c r="AC1995" s="284"/>
      <c r="AD1995" s="284"/>
      <c r="AE1995" s="284"/>
      <c r="AF1995" s="284"/>
      <c r="AG1995" s="284"/>
    </row>
    <row r="1996" spans="1:33" ht="26.4">
      <c r="A1996" s="284"/>
      <c r="B1996" s="284"/>
      <c r="C1996" s="284"/>
      <c r="D1996" s="284"/>
      <c r="E1996" s="284"/>
      <c r="F1996" s="284"/>
      <c r="G1996" s="284"/>
      <c r="H1996" s="284"/>
      <c r="I1996" s="284"/>
      <c r="J1996" s="375"/>
      <c r="K1996" s="375"/>
      <c r="L1996" s="375"/>
      <c r="M1996" s="368"/>
      <c r="N1996" s="368"/>
      <c r="O1996" s="370"/>
      <c r="T1996" s="340"/>
      <c r="V1996" s="378"/>
      <c r="W1996" s="64" ph="1"/>
      <c r="X1996" s="241"/>
      <c r="Y1996" s="284"/>
      <c r="Z1996" s="207"/>
      <c r="AA1996" s="284"/>
      <c r="AB1996" s="284"/>
      <c r="AC1996" s="284"/>
      <c r="AD1996" s="284"/>
      <c r="AE1996" s="284"/>
      <c r="AF1996" s="284"/>
      <c r="AG1996" s="284"/>
    </row>
    <row r="1997" spans="1:33" ht="26.4">
      <c r="A1997" s="284"/>
      <c r="B1997" s="284"/>
      <c r="C1997" s="284"/>
      <c r="D1997" s="284"/>
      <c r="E1997" s="284"/>
      <c r="F1997" s="284"/>
      <c r="G1997" s="284"/>
      <c r="H1997" s="284"/>
      <c r="I1997" s="284"/>
      <c r="J1997" s="375"/>
      <c r="K1997" s="375"/>
      <c r="L1997" s="375"/>
      <c r="M1997" s="368"/>
      <c r="N1997" s="368"/>
      <c r="O1997" s="370"/>
      <c r="T1997" s="340"/>
      <c r="V1997" s="378"/>
      <c r="W1997" s="64" ph="1"/>
      <c r="X1997" s="241"/>
      <c r="Y1997" s="284"/>
      <c r="Z1997" s="207"/>
      <c r="AA1997" s="284"/>
      <c r="AB1997" s="284"/>
      <c r="AC1997" s="284"/>
      <c r="AD1997" s="284"/>
      <c r="AE1997" s="284"/>
      <c r="AF1997" s="284"/>
      <c r="AG1997" s="284"/>
    </row>
    <row r="1998" spans="1:33" ht="26.4">
      <c r="A1998" s="284"/>
      <c r="B1998" s="284"/>
      <c r="C1998" s="284"/>
      <c r="D1998" s="284"/>
      <c r="E1998" s="284"/>
      <c r="F1998" s="284"/>
      <c r="G1998" s="284"/>
      <c r="H1998" s="284"/>
      <c r="I1998" s="284"/>
      <c r="J1998" s="375"/>
      <c r="K1998" s="375"/>
      <c r="L1998" s="375"/>
      <c r="M1998" s="368"/>
      <c r="N1998" s="368"/>
      <c r="O1998" s="370"/>
      <c r="T1998" s="340"/>
      <c r="V1998" s="378"/>
      <c r="W1998" s="64" ph="1"/>
      <c r="X1998" s="241"/>
      <c r="Y1998" s="284"/>
      <c r="Z1998" s="207"/>
      <c r="AA1998" s="284"/>
      <c r="AB1998" s="284"/>
      <c r="AC1998" s="284"/>
      <c r="AD1998" s="284"/>
      <c r="AE1998" s="284"/>
      <c r="AF1998" s="284"/>
      <c r="AG1998" s="284"/>
    </row>
    <row r="1999" spans="1:33" ht="26.4">
      <c r="A1999" s="284"/>
      <c r="B1999" s="284"/>
      <c r="C1999" s="284"/>
      <c r="D1999" s="284"/>
      <c r="E1999" s="284"/>
      <c r="F1999" s="284"/>
      <c r="G1999" s="284"/>
      <c r="H1999" s="284"/>
      <c r="I1999" s="284"/>
      <c r="J1999" s="375"/>
      <c r="K1999" s="375"/>
      <c r="L1999" s="375"/>
      <c r="M1999" s="368"/>
      <c r="N1999" s="368"/>
      <c r="O1999" s="370"/>
      <c r="T1999" s="340"/>
      <c r="V1999" s="378"/>
      <c r="W1999" s="64" ph="1"/>
      <c r="X1999" s="241"/>
      <c r="Y1999" s="284"/>
      <c r="Z1999" s="207"/>
      <c r="AA1999" s="284"/>
      <c r="AB1999" s="284"/>
      <c r="AC1999" s="284"/>
      <c r="AD1999" s="284"/>
      <c r="AE1999" s="284"/>
      <c r="AF1999" s="284"/>
      <c r="AG1999" s="284"/>
    </row>
    <row r="2000" spans="1:33" ht="26.4">
      <c r="A2000" s="284"/>
      <c r="B2000" s="284"/>
      <c r="C2000" s="284"/>
      <c r="D2000" s="284"/>
      <c r="E2000" s="284"/>
      <c r="F2000" s="284"/>
      <c r="G2000" s="284"/>
      <c r="H2000" s="284"/>
      <c r="I2000" s="284"/>
      <c r="J2000" s="375"/>
      <c r="K2000" s="375"/>
      <c r="L2000" s="375"/>
      <c r="M2000" s="368"/>
      <c r="N2000" s="368"/>
      <c r="O2000" s="370"/>
      <c r="T2000" s="340"/>
      <c r="V2000" s="378"/>
      <c r="W2000" s="64" ph="1"/>
      <c r="X2000" s="241"/>
      <c r="Y2000" s="284"/>
      <c r="Z2000" s="207"/>
      <c r="AA2000" s="284"/>
      <c r="AB2000" s="284"/>
      <c r="AC2000" s="284"/>
      <c r="AD2000" s="284"/>
      <c r="AE2000" s="284"/>
      <c r="AF2000" s="284"/>
      <c r="AG2000" s="284"/>
    </row>
    <row r="2001" spans="1:33" ht="26.4">
      <c r="A2001" s="284"/>
      <c r="B2001" s="284"/>
      <c r="C2001" s="284"/>
      <c r="D2001" s="284"/>
      <c r="E2001" s="284"/>
      <c r="F2001" s="284"/>
      <c r="G2001" s="284"/>
      <c r="H2001" s="284"/>
      <c r="I2001" s="284"/>
      <c r="J2001" s="375"/>
      <c r="K2001" s="375"/>
      <c r="L2001" s="375"/>
      <c r="M2001" s="368"/>
      <c r="N2001" s="368"/>
      <c r="O2001" s="370"/>
      <c r="T2001" s="340"/>
      <c r="V2001" s="378"/>
      <c r="W2001" s="64" ph="1"/>
      <c r="X2001" s="241"/>
      <c r="Y2001" s="284"/>
      <c r="Z2001" s="207"/>
      <c r="AA2001" s="284"/>
      <c r="AB2001" s="284"/>
      <c r="AC2001" s="284"/>
      <c r="AD2001" s="284"/>
      <c r="AE2001" s="284"/>
      <c r="AF2001" s="284"/>
      <c r="AG2001" s="284"/>
    </row>
    <row r="2002" spans="1:33" ht="26.4">
      <c r="A2002" s="284"/>
      <c r="B2002" s="284"/>
      <c r="C2002" s="284"/>
      <c r="D2002" s="284"/>
      <c r="E2002" s="284"/>
      <c r="F2002" s="284"/>
      <c r="G2002" s="284"/>
      <c r="H2002" s="284"/>
      <c r="I2002" s="284"/>
      <c r="J2002" s="375"/>
      <c r="K2002" s="375"/>
      <c r="L2002" s="375"/>
      <c r="M2002" s="368"/>
      <c r="N2002" s="368"/>
      <c r="O2002" s="370"/>
      <c r="T2002" s="340"/>
      <c r="V2002" s="378"/>
      <c r="W2002" s="64" ph="1"/>
      <c r="X2002" s="241"/>
      <c r="Y2002" s="284"/>
      <c r="Z2002" s="207"/>
      <c r="AA2002" s="284"/>
      <c r="AB2002" s="284"/>
      <c r="AC2002" s="284"/>
      <c r="AD2002" s="284"/>
      <c r="AE2002" s="284"/>
      <c r="AF2002" s="284"/>
      <c r="AG2002" s="284"/>
    </row>
    <row r="2003" spans="1:33" ht="26.4">
      <c r="A2003" s="284"/>
      <c r="B2003" s="284"/>
      <c r="C2003" s="284"/>
      <c r="D2003" s="284"/>
      <c r="E2003" s="284"/>
      <c r="F2003" s="284"/>
      <c r="G2003" s="284"/>
      <c r="H2003" s="284"/>
      <c r="I2003" s="284"/>
      <c r="J2003" s="375"/>
      <c r="K2003" s="375"/>
      <c r="L2003" s="375"/>
      <c r="M2003" s="368"/>
      <c r="N2003" s="368"/>
      <c r="O2003" s="370"/>
      <c r="T2003" s="340"/>
      <c r="V2003" s="378"/>
      <c r="W2003" s="64" ph="1"/>
      <c r="X2003" s="241"/>
      <c r="Y2003" s="284"/>
      <c r="Z2003" s="207"/>
      <c r="AA2003" s="284"/>
      <c r="AB2003" s="284"/>
      <c r="AC2003" s="284"/>
      <c r="AD2003" s="284"/>
      <c r="AE2003" s="284"/>
      <c r="AF2003" s="284"/>
      <c r="AG2003" s="284"/>
    </row>
    <row r="2004" spans="1:33" ht="26.4">
      <c r="A2004" s="284"/>
      <c r="B2004" s="284"/>
      <c r="C2004" s="284"/>
      <c r="D2004" s="284"/>
      <c r="E2004" s="284"/>
      <c r="F2004" s="284"/>
      <c r="G2004" s="284"/>
      <c r="H2004" s="284"/>
      <c r="I2004" s="284"/>
      <c r="J2004" s="375"/>
      <c r="K2004" s="375"/>
      <c r="L2004" s="375"/>
      <c r="M2004" s="368"/>
      <c r="N2004" s="368"/>
      <c r="O2004" s="370"/>
      <c r="T2004" s="340"/>
      <c r="V2004" s="378"/>
      <c r="W2004" s="64" ph="1"/>
      <c r="X2004" s="241"/>
      <c r="Y2004" s="284"/>
      <c r="Z2004" s="207"/>
      <c r="AA2004" s="284"/>
      <c r="AB2004" s="284"/>
      <c r="AC2004" s="284"/>
      <c r="AD2004" s="284"/>
      <c r="AE2004" s="284"/>
      <c r="AF2004" s="284"/>
      <c r="AG2004" s="284"/>
    </row>
    <row r="2005" spans="1:33" ht="26.4">
      <c r="A2005" s="284"/>
      <c r="B2005" s="284"/>
      <c r="C2005" s="284"/>
      <c r="D2005" s="284"/>
      <c r="E2005" s="284"/>
      <c r="F2005" s="284"/>
      <c r="G2005" s="284"/>
      <c r="H2005" s="284"/>
      <c r="I2005" s="284"/>
      <c r="J2005" s="375"/>
      <c r="K2005" s="375"/>
      <c r="L2005" s="375"/>
      <c r="M2005" s="368"/>
      <c r="N2005" s="368"/>
      <c r="O2005" s="370"/>
      <c r="T2005" s="340"/>
      <c r="V2005" s="378"/>
      <c r="W2005" s="64" ph="1"/>
      <c r="X2005" s="241"/>
      <c r="Y2005" s="284"/>
      <c r="Z2005" s="207"/>
      <c r="AA2005" s="284"/>
      <c r="AB2005" s="284"/>
      <c r="AC2005" s="284"/>
      <c r="AD2005" s="284"/>
      <c r="AE2005" s="284"/>
      <c r="AF2005" s="284"/>
      <c r="AG2005" s="284"/>
    </row>
    <row r="2006" spans="1:33" ht="26.4">
      <c r="A2006" s="284"/>
      <c r="B2006" s="284"/>
      <c r="C2006" s="284"/>
      <c r="D2006" s="284"/>
      <c r="E2006" s="284"/>
      <c r="F2006" s="284"/>
      <c r="G2006" s="284"/>
      <c r="H2006" s="284"/>
      <c r="I2006" s="284"/>
      <c r="J2006" s="375"/>
      <c r="K2006" s="375"/>
      <c r="L2006" s="375"/>
      <c r="M2006" s="368"/>
      <c r="N2006" s="368"/>
      <c r="O2006" s="370"/>
      <c r="T2006" s="340"/>
      <c r="V2006" s="378"/>
      <c r="W2006" s="64" ph="1"/>
      <c r="X2006" s="241"/>
      <c r="Y2006" s="284"/>
      <c r="Z2006" s="207"/>
      <c r="AA2006" s="284"/>
      <c r="AB2006" s="284"/>
      <c r="AC2006" s="284"/>
      <c r="AD2006" s="284"/>
      <c r="AE2006" s="284"/>
      <c r="AF2006" s="284"/>
      <c r="AG2006" s="284"/>
    </row>
    <row r="2007" spans="1:33" ht="26.4">
      <c r="A2007" s="284"/>
      <c r="B2007" s="284"/>
      <c r="C2007" s="284"/>
      <c r="D2007" s="284"/>
      <c r="E2007" s="284"/>
      <c r="F2007" s="284"/>
      <c r="G2007" s="284"/>
      <c r="H2007" s="284"/>
      <c r="I2007" s="284"/>
      <c r="J2007" s="375"/>
      <c r="K2007" s="375"/>
      <c r="L2007" s="375"/>
      <c r="M2007" s="368"/>
      <c r="N2007" s="368"/>
      <c r="O2007" s="370"/>
      <c r="T2007" s="340"/>
      <c r="V2007" s="378"/>
      <c r="W2007" s="64" ph="1"/>
      <c r="X2007" s="241"/>
      <c r="Y2007" s="284"/>
      <c r="Z2007" s="207"/>
      <c r="AA2007" s="284"/>
      <c r="AB2007" s="284"/>
      <c r="AC2007" s="284"/>
      <c r="AD2007" s="284"/>
      <c r="AE2007" s="284"/>
      <c r="AF2007" s="284"/>
      <c r="AG2007" s="284"/>
    </row>
    <row r="2008" spans="1:33" ht="26.4">
      <c r="A2008" s="284"/>
      <c r="B2008" s="284"/>
      <c r="C2008" s="284"/>
      <c r="D2008" s="284"/>
      <c r="E2008" s="284"/>
      <c r="F2008" s="284"/>
      <c r="G2008" s="284"/>
      <c r="H2008" s="284"/>
      <c r="I2008" s="284"/>
      <c r="J2008" s="375"/>
      <c r="K2008" s="375"/>
      <c r="L2008" s="375"/>
      <c r="M2008" s="368"/>
      <c r="N2008" s="368"/>
      <c r="O2008" s="370"/>
      <c r="T2008" s="340"/>
      <c r="V2008" s="378"/>
      <c r="W2008" s="64" ph="1"/>
      <c r="X2008" s="241"/>
      <c r="Y2008" s="284"/>
      <c r="Z2008" s="207"/>
      <c r="AA2008" s="284"/>
      <c r="AB2008" s="284"/>
      <c r="AC2008" s="284"/>
      <c r="AD2008" s="284"/>
      <c r="AE2008" s="284"/>
      <c r="AF2008" s="284"/>
      <c r="AG2008" s="284"/>
    </row>
    <row r="2009" spans="1:33" ht="26.4">
      <c r="A2009" s="284"/>
      <c r="B2009" s="284"/>
      <c r="C2009" s="284"/>
      <c r="D2009" s="284"/>
      <c r="E2009" s="284"/>
      <c r="F2009" s="284"/>
      <c r="G2009" s="284"/>
      <c r="H2009" s="284"/>
      <c r="I2009" s="284"/>
      <c r="J2009" s="375"/>
      <c r="K2009" s="375"/>
      <c r="L2009" s="375"/>
      <c r="M2009" s="368"/>
      <c r="N2009" s="368"/>
      <c r="O2009" s="370"/>
      <c r="T2009" s="340"/>
      <c r="V2009" s="378"/>
      <c r="W2009" s="64" ph="1"/>
      <c r="X2009" s="241"/>
      <c r="Y2009" s="284"/>
      <c r="Z2009" s="207"/>
      <c r="AA2009" s="284"/>
      <c r="AB2009" s="284"/>
      <c r="AC2009" s="284"/>
      <c r="AD2009" s="284"/>
      <c r="AE2009" s="284"/>
      <c r="AF2009" s="284"/>
      <c r="AG2009" s="284"/>
    </row>
    <row r="2010" spans="1:33" ht="26.4">
      <c r="A2010" s="284"/>
      <c r="B2010" s="284"/>
      <c r="C2010" s="284"/>
      <c r="D2010" s="284"/>
      <c r="E2010" s="284"/>
      <c r="F2010" s="284"/>
      <c r="G2010" s="284"/>
      <c r="H2010" s="284"/>
      <c r="I2010" s="284"/>
      <c r="J2010" s="375"/>
      <c r="K2010" s="375"/>
      <c r="L2010" s="375"/>
      <c r="M2010" s="368"/>
      <c r="N2010" s="368"/>
      <c r="O2010" s="370"/>
      <c r="T2010" s="340"/>
      <c r="V2010" s="378"/>
      <c r="W2010" s="64" ph="1"/>
      <c r="X2010" s="241"/>
      <c r="Y2010" s="284"/>
      <c r="Z2010" s="207"/>
      <c r="AA2010" s="284"/>
      <c r="AB2010" s="284"/>
      <c r="AC2010" s="284"/>
      <c r="AD2010" s="284"/>
      <c r="AE2010" s="284"/>
      <c r="AF2010" s="284"/>
      <c r="AG2010" s="284"/>
    </row>
    <row r="2011" spans="1:33" ht="26.4">
      <c r="A2011" s="284"/>
      <c r="B2011" s="284"/>
      <c r="C2011" s="284"/>
      <c r="D2011" s="284"/>
      <c r="E2011" s="284"/>
      <c r="F2011" s="284"/>
      <c r="G2011" s="284"/>
      <c r="H2011" s="284"/>
      <c r="I2011" s="284"/>
      <c r="J2011" s="375"/>
      <c r="K2011" s="375"/>
      <c r="L2011" s="375"/>
      <c r="M2011" s="368"/>
      <c r="N2011" s="368"/>
      <c r="O2011" s="370"/>
      <c r="T2011" s="340"/>
      <c r="V2011" s="378"/>
      <c r="W2011" s="64" ph="1"/>
      <c r="X2011" s="241"/>
      <c r="Y2011" s="284"/>
      <c r="Z2011" s="207"/>
      <c r="AA2011" s="284"/>
      <c r="AB2011" s="284"/>
      <c r="AC2011" s="284"/>
      <c r="AD2011" s="284"/>
      <c r="AE2011" s="284"/>
      <c r="AF2011" s="284"/>
      <c r="AG2011" s="284"/>
    </row>
    <row r="2012" spans="1:33" ht="26.4">
      <c r="A2012" s="284"/>
      <c r="B2012" s="284"/>
      <c r="C2012" s="284"/>
      <c r="D2012" s="284"/>
      <c r="E2012" s="284"/>
      <c r="F2012" s="284"/>
      <c r="G2012" s="284"/>
      <c r="H2012" s="284"/>
      <c r="I2012" s="284"/>
      <c r="J2012" s="375"/>
      <c r="K2012" s="375"/>
      <c r="L2012" s="375"/>
      <c r="M2012" s="368"/>
      <c r="N2012" s="368"/>
      <c r="O2012" s="370"/>
      <c r="T2012" s="340"/>
      <c r="V2012" s="378"/>
      <c r="W2012" s="64" ph="1"/>
      <c r="X2012" s="241"/>
      <c r="Y2012" s="284"/>
      <c r="Z2012" s="207"/>
      <c r="AA2012" s="284"/>
      <c r="AB2012" s="284"/>
      <c r="AC2012" s="284"/>
      <c r="AD2012" s="284"/>
      <c r="AE2012" s="284"/>
      <c r="AF2012" s="284"/>
      <c r="AG2012" s="284"/>
    </row>
    <row r="2013" spans="1:33" ht="26.4">
      <c r="A2013" s="284"/>
      <c r="B2013" s="284"/>
      <c r="C2013" s="284"/>
      <c r="D2013" s="284"/>
      <c r="E2013" s="284"/>
      <c r="F2013" s="284"/>
      <c r="G2013" s="284"/>
      <c r="H2013" s="284"/>
      <c r="I2013" s="284"/>
      <c r="J2013" s="375"/>
      <c r="K2013" s="375"/>
      <c r="L2013" s="375"/>
      <c r="M2013" s="368"/>
      <c r="N2013" s="368"/>
      <c r="O2013" s="370"/>
      <c r="T2013" s="340"/>
      <c r="V2013" s="378"/>
      <c r="W2013" s="64" ph="1"/>
      <c r="X2013" s="241"/>
      <c r="Y2013" s="284"/>
      <c r="Z2013" s="207"/>
      <c r="AA2013" s="284"/>
      <c r="AB2013" s="284"/>
      <c r="AC2013" s="284"/>
      <c r="AD2013" s="284"/>
      <c r="AE2013" s="284"/>
      <c r="AF2013" s="284"/>
      <c r="AG2013" s="284"/>
    </row>
    <row r="2014" spans="1:33" ht="26.4">
      <c r="A2014" s="284"/>
      <c r="B2014" s="284"/>
      <c r="C2014" s="284"/>
      <c r="D2014" s="284"/>
      <c r="E2014" s="284"/>
      <c r="F2014" s="284"/>
      <c r="G2014" s="284"/>
      <c r="H2014" s="284"/>
      <c r="I2014" s="284"/>
      <c r="J2014" s="375"/>
      <c r="K2014" s="375"/>
      <c r="L2014" s="375"/>
      <c r="M2014" s="368"/>
      <c r="N2014" s="368"/>
      <c r="O2014" s="370"/>
      <c r="T2014" s="340"/>
      <c r="V2014" s="378"/>
      <c r="W2014" s="64" ph="1"/>
      <c r="X2014" s="241"/>
      <c r="Y2014" s="284"/>
      <c r="Z2014" s="207"/>
      <c r="AA2014" s="284"/>
      <c r="AB2014" s="284"/>
      <c r="AC2014" s="284"/>
      <c r="AD2014" s="284"/>
      <c r="AE2014" s="284"/>
      <c r="AF2014" s="284"/>
      <c r="AG2014" s="284"/>
    </row>
    <row r="2015" spans="1:33" ht="26.4">
      <c r="A2015" s="284"/>
      <c r="B2015" s="284"/>
      <c r="C2015" s="284"/>
      <c r="D2015" s="284"/>
      <c r="E2015" s="284"/>
      <c r="F2015" s="284"/>
      <c r="G2015" s="284"/>
      <c r="H2015" s="284"/>
      <c r="I2015" s="284"/>
      <c r="J2015" s="375"/>
      <c r="K2015" s="375"/>
      <c r="L2015" s="375"/>
      <c r="M2015" s="368"/>
      <c r="N2015" s="368"/>
      <c r="O2015" s="370"/>
      <c r="T2015" s="340"/>
      <c r="V2015" s="378"/>
      <c r="W2015" s="64" ph="1"/>
      <c r="X2015" s="241"/>
      <c r="Y2015" s="284"/>
      <c r="Z2015" s="207"/>
      <c r="AA2015" s="284"/>
      <c r="AB2015" s="284"/>
      <c r="AC2015" s="284"/>
      <c r="AD2015" s="284"/>
      <c r="AE2015" s="284"/>
      <c r="AF2015" s="284"/>
      <c r="AG2015" s="284"/>
    </row>
    <row r="2016" spans="1:33" ht="26.4">
      <c r="A2016" s="284"/>
      <c r="B2016" s="284"/>
      <c r="C2016" s="284"/>
      <c r="D2016" s="284"/>
      <c r="E2016" s="284"/>
      <c r="F2016" s="284"/>
      <c r="G2016" s="284"/>
      <c r="H2016" s="284"/>
      <c r="I2016" s="284"/>
      <c r="J2016" s="375"/>
      <c r="K2016" s="375"/>
      <c r="L2016" s="375"/>
      <c r="M2016" s="368"/>
      <c r="N2016" s="368"/>
      <c r="O2016" s="370"/>
      <c r="T2016" s="340"/>
      <c r="V2016" s="378"/>
      <c r="W2016" s="64" ph="1"/>
      <c r="X2016" s="241"/>
      <c r="Y2016" s="284"/>
      <c r="Z2016" s="207"/>
      <c r="AA2016" s="284"/>
      <c r="AB2016" s="284"/>
      <c r="AC2016" s="284"/>
      <c r="AD2016" s="284"/>
      <c r="AE2016" s="284"/>
      <c r="AF2016" s="284"/>
      <c r="AG2016" s="284"/>
    </row>
    <row r="2017" spans="1:33" ht="26.4">
      <c r="A2017" s="284"/>
      <c r="B2017" s="284"/>
      <c r="C2017" s="284"/>
      <c r="D2017" s="284"/>
      <c r="E2017" s="284"/>
      <c r="F2017" s="284"/>
      <c r="G2017" s="284"/>
      <c r="H2017" s="284"/>
      <c r="I2017" s="284"/>
      <c r="J2017" s="375"/>
      <c r="K2017" s="375"/>
      <c r="L2017" s="375"/>
      <c r="M2017" s="368"/>
      <c r="N2017" s="368"/>
      <c r="O2017" s="370"/>
      <c r="T2017" s="340"/>
      <c r="V2017" s="378"/>
      <c r="W2017" s="64" ph="1"/>
      <c r="X2017" s="241"/>
      <c r="Y2017" s="284"/>
      <c r="Z2017" s="207"/>
      <c r="AA2017" s="284"/>
      <c r="AB2017" s="284"/>
      <c r="AC2017" s="284"/>
      <c r="AD2017" s="284"/>
      <c r="AE2017" s="284"/>
      <c r="AF2017" s="284"/>
      <c r="AG2017" s="284"/>
    </row>
    <row r="2018" spans="1:33" ht="26.4">
      <c r="A2018" s="284"/>
      <c r="B2018" s="284"/>
      <c r="C2018" s="284"/>
      <c r="D2018" s="284"/>
      <c r="E2018" s="284"/>
      <c r="F2018" s="284"/>
      <c r="G2018" s="284"/>
      <c r="H2018" s="284"/>
      <c r="I2018" s="284"/>
      <c r="J2018" s="375"/>
      <c r="K2018" s="375"/>
      <c r="L2018" s="375"/>
      <c r="M2018" s="368"/>
      <c r="N2018" s="368"/>
      <c r="O2018" s="370"/>
      <c r="T2018" s="340"/>
      <c r="V2018" s="378"/>
      <c r="W2018" s="64" ph="1"/>
      <c r="X2018" s="241"/>
      <c r="Y2018" s="284"/>
      <c r="Z2018" s="207"/>
      <c r="AA2018" s="284"/>
      <c r="AB2018" s="284"/>
      <c r="AC2018" s="284"/>
      <c r="AD2018" s="284"/>
      <c r="AE2018" s="284"/>
      <c r="AF2018" s="284"/>
      <c r="AG2018" s="284"/>
    </row>
    <row r="2019" spans="1:33" ht="26.4">
      <c r="A2019" s="284"/>
      <c r="B2019" s="284"/>
      <c r="C2019" s="284"/>
      <c r="D2019" s="284"/>
      <c r="E2019" s="284"/>
      <c r="F2019" s="284"/>
      <c r="G2019" s="284"/>
      <c r="H2019" s="284"/>
      <c r="I2019" s="284"/>
      <c r="J2019" s="375"/>
      <c r="K2019" s="375"/>
      <c r="L2019" s="375"/>
      <c r="M2019" s="368"/>
      <c r="N2019" s="368"/>
      <c r="O2019" s="370"/>
      <c r="T2019" s="340"/>
      <c r="V2019" s="378"/>
      <c r="W2019" s="64" ph="1"/>
      <c r="X2019" s="241"/>
      <c r="Y2019" s="284"/>
      <c r="Z2019" s="207"/>
      <c r="AA2019" s="284"/>
      <c r="AB2019" s="284"/>
      <c r="AC2019" s="284"/>
      <c r="AD2019" s="284"/>
      <c r="AE2019" s="284"/>
      <c r="AF2019" s="284"/>
      <c r="AG2019" s="284"/>
    </row>
    <row r="2020" spans="1:33" ht="26.4">
      <c r="A2020" s="284"/>
      <c r="B2020" s="284"/>
      <c r="C2020" s="284"/>
      <c r="D2020" s="284"/>
      <c r="E2020" s="284"/>
      <c r="F2020" s="284"/>
      <c r="G2020" s="284"/>
      <c r="H2020" s="284"/>
      <c r="I2020" s="284"/>
      <c r="J2020" s="375"/>
      <c r="K2020" s="375"/>
      <c r="L2020" s="375"/>
      <c r="M2020" s="368"/>
      <c r="N2020" s="368"/>
      <c r="O2020" s="370"/>
      <c r="T2020" s="340"/>
      <c r="V2020" s="378"/>
      <c r="W2020" s="64" ph="1"/>
      <c r="X2020" s="241"/>
      <c r="Y2020" s="284"/>
      <c r="Z2020" s="207"/>
      <c r="AA2020" s="284"/>
      <c r="AB2020" s="284"/>
      <c r="AC2020" s="284"/>
      <c r="AD2020" s="284"/>
      <c r="AE2020" s="284"/>
      <c r="AF2020" s="284"/>
      <c r="AG2020" s="284"/>
    </row>
    <row r="2021" spans="1:33" ht="26.4">
      <c r="A2021" s="284"/>
      <c r="B2021" s="284"/>
      <c r="C2021" s="284"/>
      <c r="D2021" s="284"/>
      <c r="E2021" s="284"/>
      <c r="F2021" s="284"/>
      <c r="G2021" s="284"/>
      <c r="H2021" s="284"/>
      <c r="I2021" s="284"/>
      <c r="J2021" s="375"/>
      <c r="K2021" s="375"/>
      <c r="L2021" s="375"/>
      <c r="M2021" s="368"/>
      <c r="N2021" s="368"/>
      <c r="O2021" s="370"/>
      <c r="T2021" s="340"/>
      <c r="V2021" s="378"/>
      <c r="W2021" s="64" ph="1"/>
      <c r="X2021" s="241"/>
      <c r="Y2021" s="284"/>
      <c r="Z2021" s="207"/>
      <c r="AA2021" s="284"/>
      <c r="AB2021" s="284"/>
      <c r="AC2021" s="284"/>
      <c r="AD2021" s="284"/>
      <c r="AE2021" s="284"/>
      <c r="AF2021" s="284"/>
      <c r="AG2021" s="284"/>
    </row>
    <row r="2022" spans="1:33" ht="26.4">
      <c r="A2022" s="284"/>
      <c r="B2022" s="284"/>
      <c r="C2022" s="284"/>
      <c r="D2022" s="284"/>
      <c r="E2022" s="284"/>
      <c r="F2022" s="284"/>
      <c r="G2022" s="284"/>
      <c r="H2022" s="284"/>
      <c r="I2022" s="284"/>
      <c r="J2022" s="375"/>
      <c r="K2022" s="375"/>
      <c r="L2022" s="375"/>
      <c r="M2022" s="368"/>
      <c r="N2022" s="368"/>
      <c r="O2022" s="370"/>
      <c r="T2022" s="340"/>
      <c r="V2022" s="378"/>
      <c r="W2022" s="64" ph="1"/>
      <c r="X2022" s="241"/>
      <c r="Y2022" s="284"/>
      <c r="Z2022" s="207"/>
      <c r="AA2022" s="284"/>
      <c r="AB2022" s="284"/>
      <c r="AC2022" s="284"/>
      <c r="AD2022" s="284"/>
      <c r="AE2022" s="284"/>
      <c r="AF2022" s="284"/>
      <c r="AG2022" s="284"/>
    </row>
    <row r="2023" spans="1:33" ht="26.4">
      <c r="A2023" s="284"/>
      <c r="B2023" s="284"/>
      <c r="C2023" s="284"/>
      <c r="D2023" s="284"/>
      <c r="E2023" s="284"/>
      <c r="F2023" s="284"/>
      <c r="G2023" s="284"/>
      <c r="H2023" s="284"/>
      <c r="I2023" s="284"/>
      <c r="J2023" s="375"/>
      <c r="K2023" s="375"/>
      <c r="L2023" s="375"/>
      <c r="M2023" s="368"/>
      <c r="N2023" s="368"/>
      <c r="O2023" s="370"/>
      <c r="T2023" s="340"/>
      <c r="V2023" s="378"/>
      <c r="W2023" s="64" ph="1"/>
      <c r="X2023" s="241"/>
      <c r="Y2023" s="284"/>
      <c r="Z2023" s="207"/>
      <c r="AA2023" s="284"/>
      <c r="AB2023" s="284"/>
      <c r="AC2023" s="284"/>
      <c r="AD2023" s="284"/>
      <c r="AE2023" s="284"/>
      <c r="AF2023" s="284"/>
      <c r="AG2023" s="284"/>
    </row>
    <row r="2024" spans="1:33" ht="26.4">
      <c r="A2024" s="284"/>
      <c r="B2024" s="284"/>
      <c r="C2024" s="284"/>
      <c r="D2024" s="284"/>
      <c r="E2024" s="284"/>
      <c r="F2024" s="284"/>
      <c r="G2024" s="284"/>
      <c r="H2024" s="284"/>
      <c r="I2024" s="284"/>
      <c r="J2024" s="375"/>
      <c r="K2024" s="375"/>
      <c r="L2024" s="375"/>
      <c r="M2024" s="368"/>
      <c r="N2024" s="368"/>
      <c r="O2024" s="370"/>
      <c r="T2024" s="340"/>
      <c r="V2024" s="378"/>
      <c r="W2024" s="64" ph="1"/>
      <c r="X2024" s="241"/>
      <c r="Y2024" s="284"/>
      <c r="Z2024" s="207"/>
      <c r="AA2024" s="284"/>
      <c r="AB2024" s="284"/>
      <c r="AC2024" s="284"/>
      <c r="AD2024" s="284"/>
      <c r="AE2024" s="284"/>
      <c r="AF2024" s="284"/>
      <c r="AG2024" s="284"/>
    </row>
    <row r="2025" spans="1:33" ht="26.4">
      <c r="A2025" s="284"/>
      <c r="B2025" s="284"/>
      <c r="C2025" s="284"/>
      <c r="D2025" s="284"/>
      <c r="E2025" s="284"/>
      <c r="F2025" s="284"/>
      <c r="G2025" s="284"/>
      <c r="H2025" s="284"/>
      <c r="I2025" s="284"/>
      <c r="J2025" s="375"/>
      <c r="K2025" s="375"/>
      <c r="L2025" s="375"/>
      <c r="M2025" s="368"/>
      <c r="N2025" s="368"/>
      <c r="O2025" s="370"/>
      <c r="T2025" s="340"/>
      <c r="V2025" s="378"/>
      <c r="W2025" s="64" ph="1"/>
      <c r="X2025" s="241"/>
      <c r="Y2025" s="284"/>
      <c r="Z2025" s="207"/>
      <c r="AA2025" s="284"/>
      <c r="AB2025" s="284"/>
      <c r="AC2025" s="284"/>
      <c r="AD2025" s="284"/>
      <c r="AE2025" s="284"/>
      <c r="AF2025" s="284"/>
      <c r="AG2025" s="284"/>
    </row>
    <row r="2026" spans="1:33" ht="26.4">
      <c r="A2026" s="284"/>
      <c r="B2026" s="284"/>
      <c r="C2026" s="284"/>
      <c r="D2026" s="284"/>
      <c r="E2026" s="284"/>
      <c r="F2026" s="284"/>
      <c r="G2026" s="284"/>
      <c r="H2026" s="284"/>
      <c r="I2026" s="284"/>
      <c r="J2026" s="375"/>
      <c r="K2026" s="375"/>
      <c r="L2026" s="375"/>
      <c r="M2026" s="368"/>
      <c r="N2026" s="368"/>
      <c r="O2026" s="370"/>
      <c r="T2026" s="340"/>
      <c r="V2026" s="378"/>
      <c r="W2026" s="64" ph="1"/>
      <c r="X2026" s="241"/>
      <c r="Y2026" s="284"/>
      <c r="Z2026" s="207"/>
      <c r="AA2026" s="284"/>
      <c r="AB2026" s="284"/>
      <c r="AC2026" s="284"/>
      <c r="AD2026" s="284"/>
      <c r="AE2026" s="284"/>
      <c r="AF2026" s="284"/>
      <c r="AG2026" s="284"/>
    </row>
    <row r="2027" spans="1:33" ht="26.4">
      <c r="A2027" s="284"/>
      <c r="B2027" s="284"/>
      <c r="C2027" s="284"/>
      <c r="D2027" s="284"/>
      <c r="E2027" s="284"/>
      <c r="F2027" s="284"/>
      <c r="G2027" s="284"/>
      <c r="H2027" s="284"/>
      <c r="I2027" s="284"/>
      <c r="J2027" s="375"/>
      <c r="K2027" s="375"/>
      <c r="L2027" s="375"/>
      <c r="M2027" s="368"/>
      <c r="N2027" s="368"/>
      <c r="O2027" s="370"/>
      <c r="T2027" s="340"/>
      <c r="V2027" s="378"/>
      <c r="W2027" s="64" ph="1"/>
      <c r="X2027" s="241"/>
      <c r="Y2027" s="284"/>
      <c r="Z2027" s="207"/>
      <c r="AA2027" s="284"/>
      <c r="AB2027" s="284"/>
      <c r="AC2027" s="284"/>
      <c r="AD2027" s="284"/>
      <c r="AE2027" s="284"/>
      <c r="AF2027" s="284"/>
      <c r="AG2027" s="284"/>
    </row>
    <row r="2028" spans="1:33" ht="26.4">
      <c r="A2028" s="284"/>
      <c r="B2028" s="284"/>
      <c r="C2028" s="284"/>
      <c r="D2028" s="284"/>
      <c r="E2028" s="284"/>
      <c r="F2028" s="284"/>
      <c r="G2028" s="284"/>
      <c r="H2028" s="284"/>
      <c r="I2028" s="284"/>
      <c r="J2028" s="375"/>
      <c r="K2028" s="375"/>
      <c r="L2028" s="375"/>
      <c r="M2028" s="368"/>
      <c r="N2028" s="368"/>
      <c r="O2028" s="370"/>
      <c r="T2028" s="340"/>
      <c r="V2028" s="378"/>
      <c r="W2028" s="64" ph="1"/>
      <c r="X2028" s="241"/>
      <c r="Y2028" s="284"/>
      <c r="Z2028" s="207"/>
      <c r="AA2028" s="284"/>
      <c r="AB2028" s="284"/>
      <c r="AC2028" s="284"/>
      <c r="AD2028" s="284"/>
      <c r="AE2028" s="284"/>
      <c r="AF2028" s="284"/>
      <c r="AG2028" s="284"/>
    </row>
    <row r="2029" spans="1:33" ht="26.4">
      <c r="A2029" s="284"/>
      <c r="B2029" s="284"/>
      <c r="C2029" s="284"/>
      <c r="D2029" s="284"/>
      <c r="E2029" s="284"/>
      <c r="F2029" s="284"/>
      <c r="G2029" s="284"/>
      <c r="H2029" s="284"/>
      <c r="I2029" s="284"/>
      <c r="J2029" s="375"/>
      <c r="K2029" s="375"/>
      <c r="L2029" s="375"/>
      <c r="M2029" s="368"/>
      <c r="N2029" s="368"/>
      <c r="O2029" s="370"/>
      <c r="T2029" s="340"/>
      <c r="V2029" s="378"/>
      <c r="W2029" s="64" ph="1"/>
      <c r="X2029" s="241"/>
      <c r="Y2029" s="284"/>
      <c r="Z2029" s="207"/>
      <c r="AA2029" s="284"/>
      <c r="AB2029" s="284"/>
      <c r="AC2029" s="284"/>
      <c r="AD2029" s="284"/>
      <c r="AE2029" s="284"/>
      <c r="AF2029" s="284"/>
      <c r="AG2029" s="284"/>
    </row>
    <row r="2030" spans="1:33" ht="26.4">
      <c r="A2030" s="284"/>
      <c r="B2030" s="284"/>
      <c r="C2030" s="284"/>
      <c r="D2030" s="284"/>
      <c r="E2030" s="284"/>
      <c r="F2030" s="284"/>
      <c r="G2030" s="284"/>
      <c r="H2030" s="284"/>
      <c r="I2030" s="284"/>
      <c r="J2030" s="375"/>
      <c r="K2030" s="375"/>
      <c r="L2030" s="375"/>
      <c r="M2030" s="368"/>
      <c r="N2030" s="368"/>
      <c r="O2030" s="370"/>
      <c r="T2030" s="340"/>
      <c r="V2030" s="378"/>
      <c r="W2030" s="64" ph="1"/>
      <c r="X2030" s="241"/>
      <c r="Y2030" s="284"/>
      <c r="Z2030" s="207"/>
      <c r="AA2030" s="284"/>
      <c r="AB2030" s="284"/>
      <c r="AC2030" s="284"/>
      <c r="AD2030" s="284"/>
      <c r="AE2030" s="284"/>
      <c r="AF2030" s="284"/>
      <c r="AG2030" s="284"/>
    </row>
    <row r="2031" spans="1:33" ht="26.4">
      <c r="A2031" s="284"/>
      <c r="B2031" s="284"/>
      <c r="C2031" s="284"/>
      <c r="D2031" s="284"/>
      <c r="E2031" s="284"/>
      <c r="F2031" s="284"/>
      <c r="G2031" s="284"/>
      <c r="H2031" s="284"/>
      <c r="I2031" s="284"/>
      <c r="J2031" s="375"/>
      <c r="K2031" s="375"/>
      <c r="L2031" s="375"/>
      <c r="M2031" s="368"/>
      <c r="N2031" s="368"/>
      <c r="O2031" s="370"/>
      <c r="T2031" s="340"/>
      <c r="V2031" s="378"/>
      <c r="W2031" s="64" ph="1"/>
      <c r="X2031" s="241"/>
      <c r="Y2031" s="284"/>
      <c r="Z2031" s="207"/>
      <c r="AA2031" s="284"/>
      <c r="AB2031" s="284"/>
      <c r="AC2031" s="284"/>
      <c r="AD2031" s="284"/>
      <c r="AE2031" s="284"/>
      <c r="AF2031" s="284"/>
      <c r="AG2031" s="284"/>
    </row>
    <row r="2032" spans="1:33" ht="26.4">
      <c r="A2032" s="284"/>
      <c r="B2032" s="284"/>
      <c r="C2032" s="284"/>
      <c r="D2032" s="284"/>
      <c r="E2032" s="284"/>
      <c r="F2032" s="284"/>
      <c r="G2032" s="284"/>
      <c r="H2032" s="284"/>
      <c r="I2032" s="284"/>
      <c r="J2032" s="375"/>
      <c r="K2032" s="375"/>
      <c r="L2032" s="375"/>
      <c r="M2032" s="368"/>
      <c r="N2032" s="368"/>
      <c r="O2032" s="370"/>
      <c r="T2032" s="340"/>
      <c r="V2032" s="378"/>
      <c r="W2032" s="64" ph="1"/>
      <c r="X2032" s="241"/>
      <c r="Y2032" s="284"/>
      <c r="Z2032" s="207"/>
      <c r="AA2032" s="284"/>
      <c r="AB2032" s="284"/>
      <c r="AC2032" s="284"/>
      <c r="AD2032" s="284"/>
      <c r="AE2032" s="284"/>
      <c r="AF2032" s="284"/>
      <c r="AG2032" s="284"/>
    </row>
    <row r="2033" spans="1:33" ht="26.4">
      <c r="A2033" s="284"/>
      <c r="B2033" s="284"/>
      <c r="C2033" s="284"/>
      <c r="D2033" s="284"/>
      <c r="E2033" s="284"/>
      <c r="F2033" s="284"/>
      <c r="G2033" s="284"/>
      <c r="H2033" s="284"/>
      <c r="I2033" s="284"/>
      <c r="J2033" s="375"/>
      <c r="K2033" s="375"/>
      <c r="L2033" s="375"/>
      <c r="M2033" s="368"/>
      <c r="N2033" s="368"/>
      <c r="O2033" s="370"/>
      <c r="T2033" s="340"/>
      <c r="V2033" s="378"/>
      <c r="W2033" s="64" ph="1"/>
      <c r="X2033" s="241"/>
      <c r="Y2033" s="284"/>
      <c r="Z2033" s="207"/>
      <c r="AA2033" s="284"/>
      <c r="AB2033" s="284"/>
      <c r="AC2033" s="284"/>
      <c r="AD2033" s="284"/>
      <c r="AE2033" s="284"/>
      <c r="AF2033" s="284"/>
      <c r="AG2033" s="284"/>
    </row>
    <row r="2034" spans="1:33" ht="26.4">
      <c r="A2034" s="284"/>
      <c r="B2034" s="284"/>
      <c r="C2034" s="284"/>
      <c r="D2034" s="284"/>
      <c r="E2034" s="284"/>
      <c r="F2034" s="284"/>
      <c r="G2034" s="284"/>
      <c r="H2034" s="284"/>
      <c r="I2034" s="284"/>
      <c r="J2034" s="375"/>
      <c r="K2034" s="375"/>
      <c r="L2034" s="375"/>
      <c r="M2034" s="368"/>
      <c r="N2034" s="368"/>
      <c r="O2034" s="370"/>
      <c r="T2034" s="340"/>
      <c r="V2034" s="378"/>
      <c r="W2034" s="64" ph="1"/>
      <c r="X2034" s="241"/>
      <c r="Y2034" s="284"/>
      <c r="Z2034" s="207"/>
      <c r="AA2034" s="284"/>
      <c r="AB2034" s="284"/>
      <c r="AC2034" s="284"/>
      <c r="AD2034" s="284"/>
      <c r="AE2034" s="284"/>
      <c r="AF2034" s="284"/>
      <c r="AG2034" s="284"/>
    </row>
    <row r="2035" spans="1:33" ht="26.4">
      <c r="A2035" s="284"/>
      <c r="B2035" s="284"/>
      <c r="C2035" s="284"/>
      <c r="D2035" s="284"/>
      <c r="E2035" s="284"/>
      <c r="F2035" s="284"/>
      <c r="G2035" s="284"/>
      <c r="H2035" s="284"/>
      <c r="I2035" s="284"/>
      <c r="J2035" s="375"/>
      <c r="K2035" s="375"/>
      <c r="L2035" s="375"/>
      <c r="M2035" s="368"/>
      <c r="N2035" s="368"/>
      <c r="O2035" s="370"/>
      <c r="T2035" s="340"/>
      <c r="V2035" s="378"/>
      <c r="W2035" s="64" ph="1"/>
      <c r="X2035" s="241"/>
      <c r="Y2035" s="284"/>
      <c r="Z2035" s="207"/>
      <c r="AA2035" s="284"/>
      <c r="AB2035" s="284"/>
      <c r="AC2035" s="284"/>
      <c r="AD2035" s="284"/>
      <c r="AE2035" s="284"/>
      <c r="AF2035" s="284"/>
      <c r="AG2035" s="284"/>
    </row>
    <row r="2036" spans="1:33" ht="26.4">
      <c r="A2036" s="284"/>
      <c r="B2036" s="284"/>
      <c r="C2036" s="284"/>
      <c r="D2036" s="284"/>
      <c r="E2036" s="284"/>
      <c r="F2036" s="284"/>
      <c r="G2036" s="284"/>
      <c r="H2036" s="284"/>
      <c r="I2036" s="284"/>
      <c r="J2036" s="375"/>
      <c r="K2036" s="375"/>
      <c r="L2036" s="375"/>
      <c r="M2036" s="368"/>
      <c r="N2036" s="368"/>
      <c r="O2036" s="370"/>
      <c r="T2036" s="340"/>
      <c r="V2036" s="378"/>
      <c r="W2036" s="64" ph="1"/>
      <c r="X2036" s="241"/>
      <c r="Y2036" s="284"/>
      <c r="Z2036" s="207"/>
      <c r="AA2036" s="284"/>
      <c r="AB2036" s="284"/>
      <c r="AC2036" s="284"/>
      <c r="AD2036" s="284"/>
      <c r="AE2036" s="284"/>
      <c r="AF2036" s="284"/>
      <c r="AG2036" s="284"/>
    </row>
    <row r="2037" spans="1:33" ht="26.4">
      <c r="A2037" s="284"/>
      <c r="B2037" s="284"/>
      <c r="C2037" s="284"/>
      <c r="D2037" s="284"/>
      <c r="E2037" s="284"/>
      <c r="F2037" s="284"/>
      <c r="G2037" s="284"/>
      <c r="H2037" s="284"/>
      <c r="I2037" s="284"/>
      <c r="J2037" s="375"/>
      <c r="K2037" s="375"/>
      <c r="L2037" s="375"/>
      <c r="M2037" s="368"/>
      <c r="N2037" s="368"/>
      <c r="O2037" s="370"/>
      <c r="T2037" s="340"/>
      <c r="V2037" s="378"/>
      <c r="W2037" s="64" ph="1"/>
      <c r="X2037" s="241"/>
      <c r="Y2037" s="284"/>
      <c r="Z2037" s="207"/>
      <c r="AA2037" s="284"/>
      <c r="AB2037" s="284"/>
      <c r="AC2037" s="284"/>
      <c r="AD2037" s="284"/>
      <c r="AE2037" s="284"/>
      <c r="AF2037" s="284"/>
      <c r="AG2037" s="284"/>
    </row>
    <row r="2038" spans="1:33" ht="26.4">
      <c r="A2038" s="284"/>
      <c r="B2038" s="284"/>
      <c r="C2038" s="284"/>
      <c r="D2038" s="284"/>
      <c r="E2038" s="284"/>
      <c r="F2038" s="284"/>
      <c r="G2038" s="284"/>
      <c r="H2038" s="284"/>
      <c r="I2038" s="284"/>
      <c r="J2038" s="375"/>
      <c r="K2038" s="375"/>
      <c r="L2038" s="375"/>
      <c r="M2038" s="368"/>
      <c r="N2038" s="368"/>
      <c r="O2038" s="370"/>
      <c r="T2038" s="340"/>
      <c r="V2038" s="378"/>
      <c r="W2038" s="64" ph="1"/>
      <c r="X2038" s="241"/>
      <c r="Y2038" s="284"/>
      <c r="Z2038" s="207"/>
      <c r="AA2038" s="284"/>
      <c r="AB2038" s="284"/>
      <c r="AC2038" s="284"/>
      <c r="AD2038" s="284"/>
      <c r="AE2038" s="284"/>
      <c r="AF2038" s="284"/>
      <c r="AG2038" s="284"/>
    </row>
    <row r="2039" spans="1:33" ht="26.4">
      <c r="A2039" s="284"/>
      <c r="B2039" s="284"/>
      <c r="C2039" s="284"/>
      <c r="D2039" s="284"/>
      <c r="E2039" s="284"/>
      <c r="F2039" s="284"/>
      <c r="G2039" s="284"/>
      <c r="H2039" s="284"/>
      <c r="I2039" s="284"/>
      <c r="J2039" s="375"/>
      <c r="K2039" s="375"/>
      <c r="L2039" s="375"/>
      <c r="M2039" s="368"/>
      <c r="N2039" s="368"/>
      <c r="O2039" s="370"/>
      <c r="T2039" s="340"/>
      <c r="V2039" s="378"/>
      <c r="W2039" s="64" ph="1"/>
      <c r="X2039" s="241"/>
      <c r="Y2039" s="284"/>
      <c r="Z2039" s="207"/>
      <c r="AA2039" s="284"/>
      <c r="AB2039" s="284"/>
      <c r="AC2039" s="284"/>
      <c r="AD2039" s="284"/>
      <c r="AE2039" s="284"/>
      <c r="AF2039" s="284"/>
      <c r="AG2039" s="284"/>
    </row>
    <row r="2040" spans="1:33" ht="26.4">
      <c r="A2040" s="284"/>
      <c r="B2040" s="284"/>
      <c r="C2040" s="284"/>
      <c r="D2040" s="284"/>
      <c r="E2040" s="284"/>
      <c r="F2040" s="284"/>
      <c r="G2040" s="284"/>
      <c r="H2040" s="284"/>
      <c r="I2040" s="284"/>
      <c r="J2040" s="375"/>
      <c r="K2040" s="375"/>
      <c r="L2040" s="375"/>
      <c r="M2040" s="368"/>
      <c r="N2040" s="368"/>
      <c r="O2040" s="370"/>
      <c r="T2040" s="340"/>
      <c r="V2040" s="378"/>
      <c r="W2040" s="64" ph="1"/>
      <c r="X2040" s="241"/>
      <c r="Y2040" s="284"/>
      <c r="Z2040" s="207"/>
      <c r="AA2040" s="284"/>
      <c r="AB2040" s="284"/>
      <c r="AC2040" s="284"/>
      <c r="AD2040" s="284"/>
      <c r="AE2040" s="284"/>
      <c r="AF2040" s="284"/>
      <c r="AG2040" s="284"/>
    </row>
    <row r="2041" spans="1:33" ht="26.4">
      <c r="A2041" s="284"/>
      <c r="B2041" s="284"/>
      <c r="C2041" s="284"/>
      <c r="D2041" s="284"/>
      <c r="E2041" s="284"/>
      <c r="F2041" s="284"/>
      <c r="G2041" s="284"/>
      <c r="H2041" s="284"/>
      <c r="I2041" s="284"/>
      <c r="J2041" s="375"/>
      <c r="K2041" s="375"/>
      <c r="L2041" s="375"/>
      <c r="M2041" s="368"/>
      <c r="N2041" s="368"/>
      <c r="O2041" s="370"/>
      <c r="T2041" s="340"/>
      <c r="V2041" s="378"/>
      <c r="W2041" s="64" ph="1"/>
      <c r="X2041" s="241"/>
      <c r="Y2041" s="284"/>
      <c r="Z2041" s="207"/>
      <c r="AA2041" s="284"/>
      <c r="AB2041" s="284"/>
      <c r="AC2041" s="284"/>
      <c r="AD2041" s="284"/>
      <c r="AE2041" s="284"/>
      <c r="AF2041" s="284"/>
      <c r="AG2041" s="284"/>
    </row>
    <row r="2042" spans="1:33" ht="26.4">
      <c r="A2042" s="284"/>
      <c r="B2042" s="284"/>
      <c r="C2042" s="284"/>
      <c r="D2042" s="284"/>
      <c r="E2042" s="284"/>
      <c r="F2042" s="284"/>
      <c r="G2042" s="284"/>
      <c r="H2042" s="284"/>
      <c r="I2042" s="284"/>
      <c r="J2042" s="375"/>
      <c r="K2042" s="375"/>
      <c r="L2042" s="375"/>
      <c r="M2042" s="368"/>
      <c r="N2042" s="368"/>
      <c r="O2042" s="370"/>
      <c r="T2042" s="340"/>
      <c r="V2042" s="378"/>
      <c r="W2042" s="64" ph="1"/>
      <c r="X2042" s="241"/>
      <c r="Y2042" s="284"/>
      <c r="Z2042" s="207"/>
      <c r="AA2042" s="284"/>
      <c r="AB2042" s="284"/>
      <c r="AC2042" s="284"/>
      <c r="AD2042" s="284"/>
      <c r="AE2042" s="284"/>
      <c r="AF2042" s="284"/>
      <c r="AG2042" s="284"/>
    </row>
    <row r="2043" spans="1:33" ht="26.4">
      <c r="A2043" s="284"/>
      <c r="B2043" s="284"/>
      <c r="C2043" s="284"/>
      <c r="D2043" s="284"/>
      <c r="E2043" s="284"/>
      <c r="F2043" s="284"/>
      <c r="G2043" s="284"/>
      <c r="H2043" s="284"/>
      <c r="I2043" s="284"/>
      <c r="J2043" s="375"/>
      <c r="K2043" s="375"/>
      <c r="L2043" s="375"/>
      <c r="M2043" s="368"/>
      <c r="N2043" s="368"/>
      <c r="O2043" s="370"/>
      <c r="T2043" s="340"/>
      <c r="V2043" s="378"/>
      <c r="W2043" s="64" ph="1"/>
      <c r="X2043" s="241"/>
      <c r="Y2043" s="284"/>
      <c r="Z2043" s="207"/>
      <c r="AA2043" s="284"/>
      <c r="AB2043" s="284"/>
      <c r="AC2043" s="284"/>
      <c r="AD2043" s="284"/>
      <c r="AE2043" s="284"/>
      <c r="AF2043" s="284"/>
      <c r="AG2043" s="284"/>
    </row>
    <row r="2044" spans="1:33" ht="26.4">
      <c r="A2044" s="284"/>
      <c r="B2044" s="284"/>
      <c r="C2044" s="284"/>
      <c r="D2044" s="284"/>
      <c r="E2044" s="284"/>
      <c r="F2044" s="284"/>
      <c r="G2044" s="284"/>
      <c r="H2044" s="284"/>
      <c r="I2044" s="284"/>
      <c r="J2044" s="375"/>
      <c r="K2044" s="375"/>
      <c r="L2044" s="375"/>
      <c r="M2044" s="368"/>
      <c r="N2044" s="368"/>
      <c r="O2044" s="370"/>
      <c r="T2044" s="340"/>
      <c r="V2044" s="378"/>
      <c r="W2044" s="64" ph="1"/>
      <c r="X2044" s="241"/>
      <c r="Y2044" s="284"/>
      <c r="Z2044" s="207"/>
      <c r="AA2044" s="284"/>
      <c r="AB2044" s="284"/>
      <c r="AC2044" s="284"/>
      <c r="AD2044" s="284"/>
      <c r="AE2044" s="284"/>
      <c r="AF2044" s="284"/>
      <c r="AG2044" s="284"/>
    </row>
    <row r="2045" spans="1:33" ht="26.4">
      <c r="A2045" s="284"/>
      <c r="B2045" s="284"/>
      <c r="C2045" s="284"/>
      <c r="D2045" s="284"/>
      <c r="E2045" s="284"/>
      <c r="F2045" s="284"/>
      <c r="G2045" s="284"/>
      <c r="H2045" s="284"/>
      <c r="I2045" s="284"/>
      <c r="J2045" s="375"/>
      <c r="K2045" s="375"/>
      <c r="L2045" s="375"/>
      <c r="M2045" s="368"/>
      <c r="N2045" s="368"/>
      <c r="O2045" s="370"/>
      <c r="T2045" s="340"/>
      <c r="V2045" s="378"/>
      <c r="W2045" s="64" ph="1"/>
      <c r="X2045" s="241"/>
      <c r="Y2045" s="284"/>
      <c r="Z2045" s="207"/>
      <c r="AA2045" s="284"/>
      <c r="AB2045" s="284"/>
      <c r="AC2045" s="284"/>
      <c r="AD2045" s="284"/>
      <c r="AE2045" s="284"/>
      <c r="AF2045" s="284"/>
      <c r="AG2045" s="284"/>
    </row>
    <row r="2046" spans="1:33" ht="26.4">
      <c r="A2046" s="284"/>
      <c r="B2046" s="284"/>
      <c r="C2046" s="284"/>
      <c r="D2046" s="284"/>
      <c r="E2046" s="284"/>
      <c r="F2046" s="284"/>
      <c r="G2046" s="284"/>
      <c r="H2046" s="284"/>
      <c r="I2046" s="284"/>
      <c r="J2046" s="375"/>
      <c r="K2046" s="375"/>
      <c r="L2046" s="375"/>
      <c r="M2046" s="368"/>
      <c r="N2046" s="368"/>
      <c r="O2046" s="370"/>
      <c r="T2046" s="340"/>
      <c r="V2046" s="378"/>
      <c r="W2046" s="64" ph="1"/>
      <c r="X2046" s="241"/>
      <c r="Y2046" s="284"/>
      <c r="Z2046" s="207"/>
      <c r="AA2046" s="284"/>
      <c r="AB2046" s="284"/>
      <c r="AC2046" s="284"/>
      <c r="AD2046" s="284"/>
      <c r="AE2046" s="284"/>
      <c r="AF2046" s="284"/>
      <c r="AG2046" s="284"/>
    </row>
    <row r="2047" spans="1:33" ht="26.4">
      <c r="A2047" s="284"/>
      <c r="B2047" s="284"/>
      <c r="C2047" s="284"/>
      <c r="D2047" s="284"/>
      <c r="E2047" s="284"/>
      <c r="F2047" s="284"/>
      <c r="G2047" s="284"/>
      <c r="H2047" s="284"/>
      <c r="I2047" s="284"/>
      <c r="J2047" s="375"/>
      <c r="K2047" s="375"/>
      <c r="L2047" s="375"/>
      <c r="M2047" s="368"/>
      <c r="N2047" s="368"/>
      <c r="O2047" s="370"/>
      <c r="T2047" s="340"/>
      <c r="V2047" s="378"/>
      <c r="W2047" s="64" ph="1"/>
      <c r="X2047" s="241"/>
      <c r="Y2047" s="284"/>
      <c r="Z2047" s="207"/>
      <c r="AA2047" s="284"/>
      <c r="AB2047" s="284"/>
      <c r="AC2047" s="284"/>
      <c r="AD2047" s="284"/>
      <c r="AE2047" s="284"/>
      <c r="AF2047" s="284"/>
      <c r="AG2047" s="284"/>
    </row>
    <row r="2048" spans="1:33" ht="26.4">
      <c r="A2048" s="284"/>
      <c r="B2048" s="284"/>
      <c r="C2048" s="284"/>
      <c r="D2048" s="284"/>
      <c r="E2048" s="284"/>
      <c r="F2048" s="284"/>
      <c r="G2048" s="284"/>
      <c r="H2048" s="284"/>
      <c r="I2048" s="284"/>
      <c r="J2048" s="375"/>
      <c r="K2048" s="375"/>
      <c r="L2048" s="375"/>
      <c r="M2048" s="368"/>
      <c r="N2048" s="368"/>
      <c r="O2048" s="370"/>
      <c r="T2048" s="340"/>
      <c r="V2048" s="378"/>
      <c r="W2048" s="64" ph="1"/>
      <c r="X2048" s="241"/>
      <c r="Y2048" s="284"/>
      <c r="Z2048" s="207"/>
      <c r="AA2048" s="284"/>
      <c r="AB2048" s="284"/>
      <c r="AC2048" s="284"/>
      <c r="AD2048" s="284"/>
      <c r="AE2048" s="284"/>
      <c r="AF2048" s="284"/>
      <c r="AG2048" s="284"/>
    </row>
    <row r="2049" spans="1:33" ht="26.4">
      <c r="A2049" s="284"/>
      <c r="B2049" s="284"/>
      <c r="C2049" s="284"/>
      <c r="D2049" s="284"/>
      <c r="E2049" s="284"/>
      <c r="F2049" s="284"/>
      <c r="G2049" s="284"/>
      <c r="H2049" s="284"/>
      <c r="I2049" s="284"/>
      <c r="J2049" s="375"/>
      <c r="K2049" s="375"/>
      <c r="L2049" s="375"/>
      <c r="M2049" s="368"/>
      <c r="N2049" s="368"/>
      <c r="O2049" s="370"/>
      <c r="T2049" s="340"/>
      <c r="V2049" s="378"/>
      <c r="W2049" s="64" ph="1"/>
      <c r="X2049" s="241"/>
      <c r="Y2049" s="284"/>
      <c r="Z2049" s="207"/>
      <c r="AA2049" s="284"/>
      <c r="AB2049" s="284"/>
      <c r="AC2049" s="284"/>
      <c r="AD2049" s="284"/>
      <c r="AE2049" s="284"/>
      <c r="AF2049" s="284"/>
      <c r="AG2049" s="284"/>
    </row>
    <row r="2050" spans="1:33" ht="26.4">
      <c r="A2050" s="284"/>
      <c r="B2050" s="284"/>
      <c r="C2050" s="284"/>
      <c r="D2050" s="284"/>
      <c r="E2050" s="284"/>
      <c r="F2050" s="284"/>
      <c r="G2050" s="284"/>
      <c r="H2050" s="284"/>
      <c r="I2050" s="284"/>
      <c r="J2050" s="375"/>
      <c r="K2050" s="375"/>
      <c r="L2050" s="375"/>
      <c r="M2050" s="368"/>
      <c r="N2050" s="368"/>
      <c r="O2050" s="370"/>
      <c r="T2050" s="340"/>
      <c r="V2050" s="378"/>
      <c r="W2050" s="64" ph="1"/>
      <c r="X2050" s="241"/>
      <c r="Y2050" s="284"/>
      <c r="Z2050" s="207"/>
      <c r="AA2050" s="284"/>
      <c r="AB2050" s="284"/>
      <c r="AC2050" s="284"/>
      <c r="AD2050" s="284"/>
      <c r="AE2050" s="284"/>
      <c r="AF2050" s="284"/>
      <c r="AG2050" s="284"/>
    </row>
    <row r="2051" spans="1:33" ht="26.4">
      <c r="A2051" s="284"/>
      <c r="B2051" s="284"/>
      <c r="C2051" s="284"/>
      <c r="D2051" s="284"/>
      <c r="E2051" s="284"/>
      <c r="F2051" s="284"/>
      <c r="G2051" s="284"/>
      <c r="H2051" s="284"/>
      <c r="I2051" s="284"/>
      <c r="J2051" s="375"/>
      <c r="K2051" s="375"/>
      <c r="L2051" s="375"/>
      <c r="M2051" s="368"/>
      <c r="N2051" s="368"/>
      <c r="O2051" s="370"/>
      <c r="T2051" s="340"/>
      <c r="V2051" s="378"/>
      <c r="W2051" s="64" ph="1"/>
      <c r="X2051" s="241"/>
      <c r="Y2051" s="284"/>
      <c r="Z2051" s="207"/>
      <c r="AA2051" s="284"/>
      <c r="AB2051" s="284"/>
      <c r="AC2051" s="284"/>
      <c r="AD2051" s="284"/>
      <c r="AE2051" s="284"/>
      <c r="AF2051" s="284"/>
      <c r="AG2051" s="284"/>
    </row>
    <row r="2052" spans="1:33" ht="26.4">
      <c r="A2052" s="284"/>
      <c r="B2052" s="284"/>
      <c r="C2052" s="284"/>
      <c r="D2052" s="284"/>
      <c r="E2052" s="284"/>
      <c r="F2052" s="284"/>
      <c r="G2052" s="284"/>
      <c r="H2052" s="284"/>
      <c r="I2052" s="284"/>
      <c r="J2052" s="375"/>
      <c r="K2052" s="375"/>
      <c r="L2052" s="375"/>
      <c r="M2052" s="368"/>
      <c r="N2052" s="368"/>
      <c r="O2052" s="370"/>
      <c r="T2052" s="340"/>
      <c r="V2052" s="378"/>
      <c r="W2052" s="64" ph="1"/>
      <c r="X2052" s="241"/>
      <c r="Y2052" s="284"/>
      <c r="Z2052" s="207"/>
      <c r="AA2052" s="284"/>
      <c r="AB2052" s="284"/>
      <c r="AC2052" s="284"/>
      <c r="AD2052" s="284"/>
      <c r="AE2052" s="284"/>
      <c r="AF2052" s="284"/>
      <c r="AG2052" s="284"/>
    </row>
    <row r="2053" spans="1:33" ht="26.4">
      <c r="A2053" s="284"/>
      <c r="B2053" s="284"/>
      <c r="C2053" s="284"/>
      <c r="D2053" s="284"/>
      <c r="E2053" s="284"/>
      <c r="F2053" s="284"/>
      <c r="G2053" s="284"/>
      <c r="H2053" s="284"/>
      <c r="I2053" s="284"/>
      <c r="J2053" s="375"/>
      <c r="K2053" s="375"/>
      <c r="L2053" s="375"/>
      <c r="M2053" s="368"/>
      <c r="N2053" s="368"/>
      <c r="O2053" s="370"/>
      <c r="T2053" s="340"/>
      <c r="V2053" s="378"/>
      <c r="W2053" s="64" ph="1"/>
      <c r="X2053" s="241"/>
      <c r="Y2053" s="284"/>
      <c r="Z2053" s="207"/>
      <c r="AA2053" s="284"/>
      <c r="AB2053" s="284"/>
      <c r="AC2053" s="284"/>
      <c r="AD2053" s="284"/>
      <c r="AE2053" s="284"/>
      <c r="AF2053" s="284"/>
      <c r="AG2053" s="284"/>
    </row>
    <row r="2054" spans="1:33" ht="26.4">
      <c r="A2054" s="284"/>
      <c r="B2054" s="284"/>
      <c r="C2054" s="284"/>
      <c r="D2054" s="284"/>
      <c r="E2054" s="284"/>
      <c r="F2054" s="284"/>
      <c r="G2054" s="284"/>
      <c r="H2054" s="284"/>
      <c r="I2054" s="284"/>
      <c r="J2054" s="375"/>
      <c r="K2054" s="375"/>
      <c r="L2054" s="375"/>
      <c r="M2054" s="368"/>
      <c r="N2054" s="368"/>
      <c r="O2054" s="370"/>
      <c r="T2054" s="340"/>
      <c r="V2054" s="378"/>
      <c r="W2054" s="64" ph="1"/>
      <c r="X2054" s="241"/>
      <c r="Y2054" s="284"/>
      <c r="Z2054" s="207"/>
      <c r="AA2054" s="284"/>
      <c r="AB2054" s="284"/>
      <c r="AC2054" s="284"/>
      <c r="AD2054" s="284"/>
      <c r="AE2054" s="284"/>
      <c r="AF2054" s="284"/>
      <c r="AG2054" s="284"/>
    </row>
    <row r="2055" spans="1:33" ht="26.4">
      <c r="A2055" s="284"/>
      <c r="B2055" s="284"/>
      <c r="C2055" s="284"/>
      <c r="D2055" s="284"/>
      <c r="E2055" s="284"/>
      <c r="F2055" s="284"/>
      <c r="G2055" s="284"/>
      <c r="H2055" s="284"/>
      <c r="I2055" s="284"/>
      <c r="J2055" s="375"/>
      <c r="K2055" s="375"/>
      <c r="L2055" s="375"/>
      <c r="M2055" s="368"/>
      <c r="N2055" s="368"/>
      <c r="O2055" s="370"/>
      <c r="T2055" s="340"/>
      <c r="V2055" s="378"/>
      <c r="W2055" s="64" ph="1"/>
      <c r="X2055" s="241"/>
      <c r="Y2055" s="284"/>
      <c r="Z2055" s="207"/>
      <c r="AA2055" s="284"/>
      <c r="AB2055" s="284"/>
      <c r="AC2055" s="284"/>
      <c r="AD2055" s="284"/>
      <c r="AE2055" s="284"/>
      <c r="AF2055" s="284"/>
      <c r="AG2055" s="284"/>
    </row>
    <row r="2056" spans="1:33" ht="26.4">
      <c r="A2056" s="284"/>
      <c r="B2056" s="284"/>
      <c r="C2056" s="284"/>
      <c r="D2056" s="284"/>
      <c r="E2056" s="284"/>
      <c r="F2056" s="284"/>
      <c r="G2056" s="284"/>
      <c r="H2056" s="284"/>
      <c r="I2056" s="284"/>
      <c r="J2056" s="375"/>
      <c r="K2056" s="375"/>
      <c r="L2056" s="375"/>
      <c r="M2056" s="368"/>
      <c r="N2056" s="368"/>
      <c r="O2056" s="370"/>
      <c r="T2056" s="340"/>
      <c r="V2056" s="378"/>
      <c r="W2056" s="64" ph="1"/>
      <c r="X2056" s="241"/>
      <c r="Y2056" s="284"/>
      <c r="Z2056" s="207"/>
      <c r="AA2056" s="284"/>
      <c r="AB2056" s="284"/>
      <c r="AC2056" s="284"/>
      <c r="AD2056" s="284"/>
      <c r="AE2056" s="284"/>
      <c r="AF2056" s="284"/>
      <c r="AG2056" s="284"/>
    </row>
    <row r="2057" spans="1:33" ht="26.4">
      <c r="A2057" s="284"/>
      <c r="B2057" s="284"/>
      <c r="C2057" s="284"/>
      <c r="D2057" s="284"/>
      <c r="E2057" s="284"/>
      <c r="F2057" s="284"/>
      <c r="G2057" s="284"/>
      <c r="H2057" s="284"/>
      <c r="I2057" s="284"/>
      <c r="J2057" s="375"/>
      <c r="K2057" s="375"/>
      <c r="L2057" s="375"/>
      <c r="M2057" s="368"/>
      <c r="N2057" s="368"/>
      <c r="O2057" s="370"/>
      <c r="T2057" s="340"/>
      <c r="V2057" s="378"/>
      <c r="W2057" s="64" ph="1"/>
      <c r="X2057" s="241"/>
      <c r="Y2057" s="284"/>
      <c r="Z2057" s="207"/>
      <c r="AA2057" s="284"/>
      <c r="AB2057" s="284"/>
      <c r="AC2057" s="284"/>
      <c r="AD2057" s="284"/>
      <c r="AE2057" s="284"/>
      <c r="AF2057" s="284"/>
      <c r="AG2057" s="284"/>
    </row>
    <row r="2058" spans="1:33" ht="26.4">
      <c r="A2058" s="284"/>
      <c r="B2058" s="284"/>
      <c r="C2058" s="284"/>
      <c r="D2058" s="284"/>
      <c r="E2058" s="284"/>
      <c r="F2058" s="284"/>
      <c r="G2058" s="284"/>
      <c r="H2058" s="284"/>
      <c r="I2058" s="284"/>
      <c r="J2058" s="375"/>
      <c r="K2058" s="375"/>
      <c r="L2058" s="375"/>
      <c r="M2058" s="368"/>
      <c r="N2058" s="368"/>
      <c r="O2058" s="370"/>
      <c r="T2058" s="340"/>
      <c r="V2058" s="378"/>
      <c r="W2058" s="64" ph="1"/>
      <c r="X2058" s="241"/>
      <c r="Y2058" s="284"/>
      <c r="Z2058" s="207"/>
      <c r="AA2058" s="284"/>
      <c r="AB2058" s="284"/>
      <c r="AC2058" s="284"/>
      <c r="AD2058" s="284"/>
      <c r="AE2058" s="284"/>
      <c r="AF2058" s="284"/>
      <c r="AG2058" s="284"/>
    </row>
    <row r="2059" spans="1:33" ht="26.4">
      <c r="A2059" s="284"/>
      <c r="B2059" s="284"/>
      <c r="C2059" s="284"/>
      <c r="D2059" s="284"/>
      <c r="E2059" s="284"/>
      <c r="F2059" s="284"/>
      <c r="G2059" s="284"/>
      <c r="H2059" s="284"/>
      <c r="I2059" s="284"/>
      <c r="J2059" s="375"/>
      <c r="K2059" s="375"/>
      <c r="L2059" s="375"/>
      <c r="M2059" s="368"/>
      <c r="N2059" s="368"/>
      <c r="O2059" s="370"/>
      <c r="T2059" s="340"/>
      <c r="V2059" s="378"/>
      <c r="W2059" s="64" ph="1"/>
      <c r="X2059" s="241"/>
      <c r="Y2059" s="284"/>
      <c r="Z2059" s="207"/>
      <c r="AA2059" s="284"/>
      <c r="AB2059" s="284"/>
      <c r="AC2059" s="284"/>
      <c r="AD2059" s="284"/>
      <c r="AE2059" s="284"/>
      <c r="AF2059" s="284"/>
      <c r="AG2059" s="284"/>
    </row>
    <row r="2060" spans="1:33" ht="26.4">
      <c r="A2060" s="284"/>
      <c r="B2060" s="284"/>
      <c r="C2060" s="284"/>
      <c r="D2060" s="284"/>
      <c r="E2060" s="284"/>
      <c r="F2060" s="284"/>
      <c r="G2060" s="284"/>
      <c r="H2060" s="284"/>
      <c r="I2060" s="284"/>
      <c r="J2060" s="375"/>
      <c r="K2060" s="375"/>
      <c r="L2060" s="375"/>
      <c r="M2060" s="368"/>
      <c r="N2060" s="368"/>
      <c r="O2060" s="370"/>
      <c r="T2060" s="340"/>
      <c r="V2060" s="378"/>
      <c r="W2060" s="64" ph="1"/>
      <c r="X2060" s="241"/>
      <c r="Y2060" s="284"/>
      <c r="Z2060" s="207"/>
      <c r="AA2060" s="284"/>
      <c r="AB2060" s="284"/>
      <c r="AC2060" s="284"/>
      <c r="AD2060" s="284"/>
      <c r="AE2060" s="284"/>
      <c r="AF2060" s="284"/>
      <c r="AG2060" s="284"/>
    </row>
    <row r="2061" spans="1:33" ht="26.4">
      <c r="A2061" s="284"/>
      <c r="B2061" s="284"/>
      <c r="C2061" s="284"/>
      <c r="D2061" s="284"/>
      <c r="E2061" s="284"/>
      <c r="F2061" s="284"/>
      <c r="G2061" s="284"/>
      <c r="H2061" s="284"/>
      <c r="I2061" s="284"/>
      <c r="J2061" s="375"/>
      <c r="K2061" s="375"/>
      <c r="L2061" s="375"/>
      <c r="M2061" s="368"/>
      <c r="N2061" s="368"/>
      <c r="O2061" s="370"/>
      <c r="T2061" s="340"/>
      <c r="V2061" s="378"/>
      <c r="W2061" s="64" ph="1"/>
      <c r="X2061" s="241"/>
      <c r="Y2061" s="284"/>
      <c r="Z2061" s="207"/>
      <c r="AA2061" s="284"/>
      <c r="AB2061" s="284"/>
      <c r="AC2061" s="284"/>
      <c r="AD2061" s="284"/>
      <c r="AE2061" s="284"/>
      <c r="AF2061" s="284"/>
      <c r="AG2061" s="284"/>
    </row>
    <row r="2062" spans="1:33" ht="26.4">
      <c r="A2062" s="284"/>
      <c r="B2062" s="284"/>
      <c r="C2062" s="284"/>
      <c r="D2062" s="284"/>
      <c r="E2062" s="284"/>
      <c r="F2062" s="284"/>
      <c r="G2062" s="284"/>
      <c r="H2062" s="284"/>
      <c r="I2062" s="284"/>
      <c r="J2062" s="375"/>
      <c r="K2062" s="375"/>
      <c r="L2062" s="375"/>
      <c r="M2062" s="368"/>
      <c r="N2062" s="368"/>
      <c r="O2062" s="370"/>
      <c r="T2062" s="340"/>
      <c r="V2062" s="378"/>
      <c r="W2062" s="64" ph="1"/>
      <c r="X2062" s="241"/>
      <c r="Y2062" s="284"/>
      <c r="Z2062" s="207"/>
      <c r="AA2062" s="284"/>
      <c r="AB2062" s="284"/>
      <c r="AC2062" s="284"/>
      <c r="AD2062" s="284"/>
      <c r="AE2062" s="284"/>
      <c r="AF2062" s="284"/>
      <c r="AG2062" s="284"/>
    </row>
    <row r="2063" spans="1:33" ht="26.4">
      <c r="A2063" s="284"/>
      <c r="B2063" s="284"/>
      <c r="C2063" s="284"/>
      <c r="D2063" s="284"/>
      <c r="E2063" s="284"/>
      <c r="F2063" s="284"/>
      <c r="G2063" s="284"/>
      <c r="H2063" s="284"/>
      <c r="I2063" s="284"/>
      <c r="J2063" s="375"/>
      <c r="K2063" s="375"/>
      <c r="L2063" s="375"/>
      <c r="M2063" s="368"/>
      <c r="N2063" s="368"/>
      <c r="O2063" s="370"/>
      <c r="T2063" s="340"/>
      <c r="V2063" s="378"/>
      <c r="W2063" s="64" ph="1"/>
      <c r="X2063" s="241"/>
      <c r="Y2063" s="284"/>
      <c r="Z2063" s="207"/>
      <c r="AA2063" s="284"/>
      <c r="AB2063" s="284"/>
      <c r="AC2063" s="284"/>
      <c r="AD2063" s="284"/>
      <c r="AE2063" s="284"/>
      <c r="AF2063" s="284"/>
      <c r="AG2063" s="284"/>
    </row>
    <row r="2064" spans="1:33" ht="26.4">
      <c r="A2064" s="284"/>
      <c r="B2064" s="284"/>
      <c r="C2064" s="284"/>
      <c r="D2064" s="284"/>
      <c r="E2064" s="284"/>
      <c r="F2064" s="284"/>
      <c r="G2064" s="284"/>
      <c r="H2064" s="284"/>
      <c r="I2064" s="284"/>
      <c r="J2064" s="375"/>
      <c r="K2064" s="375"/>
      <c r="L2064" s="375"/>
      <c r="M2064" s="368"/>
      <c r="N2064" s="368"/>
      <c r="O2064" s="370"/>
      <c r="T2064" s="340"/>
      <c r="V2064" s="378"/>
      <c r="W2064" s="64" ph="1"/>
      <c r="X2064" s="241"/>
      <c r="Y2064" s="284"/>
      <c r="Z2064" s="207"/>
      <c r="AA2064" s="284"/>
      <c r="AB2064" s="284"/>
      <c r="AC2064" s="284"/>
      <c r="AD2064" s="284"/>
      <c r="AE2064" s="284"/>
      <c r="AF2064" s="284"/>
      <c r="AG2064" s="284"/>
    </row>
    <row r="2065" spans="1:33" ht="26.4">
      <c r="A2065" s="284"/>
      <c r="B2065" s="284"/>
      <c r="C2065" s="284"/>
      <c r="D2065" s="284"/>
      <c r="E2065" s="284"/>
      <c r="F2065" s="284"/>
      <c r="G2065" s="284"/>
      <c r="H2065" s="284"/>
      <c r="I2065" s="284"/>
      <c r="J2065" s="375"/>
      <c r="K2065" s="375"/>
      <c r="L2065" s="375"/>
      <c r="M2065" s="368"/>
      <c r="N2065" s="368"/>
      <c r="O2065" s="370"/>
      <c r="T2065" s="340"/>
      <c r="V2065" s="378"/>
      <c r="W2065" s="64" ph="1"/>
      <c r="X2065" s="241"/>
      <c r="Y2065" s="284"/>
      <c r="Z2065" s="207"/>
      <c r="AA2065" s="284"/>
      <c r="AB2065" s="284"/>
      <c r="AC2065" s="284"/>
      <c r="AD2065" s="284"/>
      <c r="AE2065" s="284"/>
      <c r="AF2065" s="284"/>
      <c r="AG2065" s="284"/>
    </row>
    <row r="2066" spans="1:33" ht="26.4">
      <c r="A2066" s="284"/>
      <c r="B2066" s="284"/>
      <c r="C2066" s="284"/>
      <c r="D2066" s="284"/>
      <c r="E2066" s="284"/>
      <c r="F2066" s="284"/>
      <c r="G2066" s="284"/>
      <c r="H2066" s="284"/>
      <c r="I2066" s="284"/>
      <c r="J2066" s="375"/>
      <c r="K2066" s="375"/>
      <c r="L2066" s="375"/>
      <c r="M2066" s="368"/>
      <c r="N2066" s="368"/>
      <c r="O2066" s="370"/>
      <c r="T2066" s="340"/>
      <c r="V2066" s="378"/>
      <c r="W2066" s="64" ph="1"/>
      <c r="X2066" s="241"/>
      <c r="Y2066" s="284"/>
      <c r="Z2066" s="207"/>
      <c r="AA2066" s="284"/>
      <c r="AB2066" s="284"/>
      <c r="AC2066" s="284"/>
      <c r="AD2066" s="284"/>
      <c r="AE2066" s="284"/>
      <c r="AF2066" s="284"/>
      <c r="AG2066" s="284"/>
    </row>
    <row r="2067" spans="1:33" ht="26.4">
      <c r="A2067" s="284"/>
      <c r="B2067" s="284"/>
      <c r="C2067" s="284"/>
      <c r="D2067" s="284"/>
      <c r="E2067" s="284"/>
      <c r="F2067" s="284"/>
      <c r="G2067" s="284"/>
      <c r="H2067" s="284"/>
      <c r="I2067" s="284"/>
      <c r="J2067" s="375"/>
      <c r="K2067" s="375"/>
      <c r="L2067" s="375"/>
      <c r="M2067" s="368"/>
      <c r="N2067" s="368"/>
      <c r="O2067" s="370"/>
      <c r="T2067" s="340"/>
      <c r="V2067" s="378"/>
      <c r="W2067" s="64" ph="1"/>
      <c r="X2067" s="241"/>
      <c r="Y2067" s="284"/>
      <c r="Z2067" s="207"/>
      <c r="AA2067" s="284"/>
      <c r="AB2067" s="284"/>
      <c r="AC2067" s="284"/>
      <c r="AD2067" s="284"/>
      <c r="AE2067" s="284"/>
      <c r="AF2067" s="284"/>
      <c r="AG2067" s="284"/>
    </row>
    <row r="2068" spans="1:33" ht="26.4">
      <c r="A2068" s="284"/>
      <c r="B2068" s="284"/>
      <c r="C2068" s="284"/>
      <c r="D2068" s="284"/>
      <c r="E2068" s="284"/>
      <c r="F2068" s="284"/>
      <c r="G2068" s="284"/>
      <c r="H2068" s="284"/>
      <c r="I2068" s="284"/>
      <c r="J2068" s="375"/>
      <c r="K2068" s="375"/>
      <c r="L2068" s="375"/>
      <c r="M2068" s="368"/>
      <c r="N2068" s="368"/>
      <c r="O2068" s="370"/>
      <c r="T2068" s="340"/>
      <c r="V2068" s="378"/>
      <c r="W2068" s="64" ph="1"/>
      <c r="X2068" s="241"/>
      <c r="Y2068" s="284"/>
      <c r="Z2068" s="207"/>
      <c r="AA2068" s="284"/>
      <c r="AB2068" s="284"/>
      <c r="AC2068" s="284"/>
      <c r="AD2068" s="284"/>
      <c r="AE2068" s="284"/>
      <c r="AF2068" s="284"/>
      <c r="AG2068" s="284"/>
    </row>
    <row r="2069" spans="1:33" ht="26.4">
      <c r="A2069" s="284"/>
      <c r="B2069" s="284"/>
      <c r="C2069" s="284"/>
      <c r="D2069" s="284"/>
      <c r="E2069" s="284"/>
      <c r="F2069" s="284"/>
      <c r="G2069" s="284"/>
      <c r="H2069" s="284"/>
      <c r="I2069" s="284"/>
      <c r="J2069" s="375"/>
      <c r="K2069" s="375"/>
      <c r="L2069" s="375"/>
      <c r="M2069" s="368"/>
      <c r="N2069" s="368"/>
      <c r="O2069" s="370"/>
      <c r="T2069" s="340"/>
      <c r="V2069" s="378"/>
      <c r="W2069" s="64" ph="1"/>
      <c r="X2069" s="241"/>
      <c r="Y2069" s="284"/>
      <c r="Z2069" s="207"/>
      <c r="AA2069" s="284"/>
      <c r="AB2069" s="284"/>
      <c r="AC2069" s="284"/>
      <c r="AD2069" s="284"/>
      <c r="AE2069" s="284"/>
      <c r="AF2069" s="284"/>
      <c r="AG2069" s="284"/>
    </row>
    <row r="2070" spans="1:33" ht="26.4">
      <c r="A2070" s="284"/>
      <c r="B2070" s="284"/>
      <c r="C2070" s="284"/>
      <c r="D2070" s="284"/>
      <c r="E2070" s="284"/>
      <c r="F2070" s="284"/>
      <c r="G2070" s="284"/>
      <c r="H2070" s="284"/>
      <c r="I2070" s="284"/>
      <c r="J2070" s="375"/>
      <c r="K2070" s="375"/>
      <c r="L2070" s="375"/>
      <c r="M2070" s="368"/>
      <c r="N2070" s="368"/>
      <c r="O2070" s="370"/>
      <c r="T2070" s="340"/>
      <c r="V2070" s="378"/>
      <c r="W2070" s="64" ph="1"/>
      <c r="X2070" s="241"/>
      <c r="Y2070" s="284"/>
      <c r="Z2070" s="207"/>
      <c r="AA2070" s="284"/>
      <c r="AB2070" s="284"/>
      <c r="AC2070" s="284"/>
      <c r="AD2070" s="284"/>
      <c r="AE2070" s="284"/>
      <c r="AF2070" s="284"/>
      <c r="AG2070" s="284"/>
    </row>
    <row r="2071" spans="1:33" ht="26.4">
      <c r="A2071" s="284"/>
      <c r="B2071" s="284"/>
      <c r="C2071" s="284"/>
      <c r="D2071" s="284"/>
      <c r="E2071" s="284"/>
      <c r="F2071" s="284"/>
      <c r="G2071" s="284"/>
      <c r="H2071" s="284"/>
      <c r="I2071" s="284"/>
      <c r="J2071" s="375"/>
      <c r="K2071" s="375"/>
      <c r="L2071" s="375"/>
      <c r="M2071" s="368"/>
      <c r="N2071" s="368"/>
      <c r="O2071" s="370"/>
      <c r="T2071" s="340"/>
      <c r="V2071" s="378"/>
      <c r="W2071" s="64" ph="1"/>
      <c r="X2071" s="241"/>
      <c r="Y2071" s="284"/>
      <c r="Z2071" s="207"/>
      <c r="AA2071" s="284"/>
      <c r="AB2071" s="284"/>
      <c r="AC2071" s="284"/>
      <c r="AD2071" s="284"/>
      <c r="AE2071" s="284"/>
      <c r="AF2071" s="284"/>
      <c r="AG2071" s="284"/>
    </row>
    <row r="2072" spans="1:33" ht="26.4">
      <c r="A2072" s="284"/>
      <c r="B2072" s="284"/>
      <c r="C2072" s="284"/>
      <c r="D2072" s="284"/>
      <c r="E2072" s="284"/>
      <c r="F2072" s="284"/>
      <c r="G2072" s="284"/>
      <c r="H2072" s="284"/>
      <c r="I2072" s="284"/>
      <c r="J2072" s="375"/>
      <c r="K2072" s="375"/>
      <c r="L2072" s="375"/>
      <c r="M2072" s="368"/>
      <c r="N2072" s="368"/>
      <c r="O2072" s="370"/>
      <c r="T2072" s="340"/>
      <c r="V2072" s="378"/>
      <c r="W2072" s="64" ph="1"/>
      <c r="X2072" s="241"/>
      <c r="Y2072" s="284"/>
      <c r="Z2072" s="207"/>
      <c r="AA2072" s="284"/>
      <c r="AB2072" s="284"/>
      <c r="AC2072" s="284"/>
      <c r="AD2072" s="284"/>
      <c r="AE2072" s="284"/>
      <c r="AF2072" s="284"/>
      <c r="AG2072" s="284"/>
    </row>
    <row r="2073" spans="1:33" ht="26.4">
      <c r="A2073" s="284"/>
      <c r="B2073" s="284"/>
      <c r="C2073" s="284"/>
      <c r="D2073" s="284"/>
      <c r="E2073" s="284"/>
      <c r="F2073" s="284"/>
      <c r="G2073" s="284"/>
      <c r="H2073" s="284"/>
      <c r="I2073" s="284"/>
      <c r="J2073" s="375"/>
      <c r="K2073" s="375"/>
      <c r="L2073" s="375"/>
      <c r="M2073" s="368"/>
      <c r="N2073" s="368"/>
      <c r="O2073" s="370"/>
      <c r="T2073" s="340"/>
      <c r="V2073" s="378"/>
      <c r="W2073" s="64" ph="1"/>
      <c r="X2073" s="241"/>
      <c r="Y2073" s="284"/>
      <c r="Z2073" s="207"/>
      <c r="AA2073" s="284"/>
      <c r="AB2073" s="284"/>
      <c r="AC2073" s="284"/>
      <c r="AD2073" s="284"/>
      <c r="AE2073" s="284"/>
      <c r="AF2073" s="284"/>
      <c r="AG2073" s="284"/>
    </row>
    <row r="2074" spans="1:33" ht="26.4">
      <c r="A2074" s="284"/>
      <c r="B2074" s="284"/>
      <c r="C2074" s="284"/>
      <c r="D2074" s="284"/>
      <c r="E2074" s="284"/>
      <c r="F2074" s="284"/>
      <c r="G2074" s="284"/>
      <c r="H2074" s="284"/>
      <c r="I2074" s="284"/>
      <c r="J2074" s="375"/>
      <c r="K2074" s="375"/>
      <c r="L2074" s="375"/>
      <c r="M2074" s="368"/>
      <c r="N2074" s="368"/>
      <c r="O2074" s="370"/>
      <c r="T2074" s="340"/>
      <c r="V2074" s="378"/>
      <c r="W2074" s="64" ph="1"/>
      <c r="X2074" s="241"/>
      <c r="Y2074" s="284"/>
      <c r="Z2074" s="207"/>
      <c r="AA2074" s="284"/>
      <c r="AB2074" s="284"/>
      <c r="AC2074" s="284"/>
      <c r="AD2074" s="284"/>
      <c r="AE2074" s="284"/>
      <c r="AF2074" s="284"/>
      <c r="AG2074" s="284"/>
    </row>
    <row r="2075" spans="1:33" ht="26.4">
      <c r="A2075" s="284"/>
      <c r="B2075" s="284"/>
      <c r="C2075" s="284"/>
      <c r="D2075" s="284"/>
      <c r="E2075" s="284"/>
      <c r="F2075" s="284"/>
      <c r="G2075" s="284"/>
      <c r="H2075" s="284"/>
      <c r="I2075" s="284"/>
      <c r="J2075" s="375"/>
      <c r="K2075" s="375"/>
      <c r="L2075" s="375"/>
      <c r="M2075" s="368"/>
      <c r="N2075" s="368"/>
      <c r="O2075" s="370"/>
      <c r="T2075" s="340"/>
      <c r="V2075" s="378"/>
      <c r="W2075" s="64" ph="1"/>
      <c r="X2075" s="241"/>
      <c r="Y2075" s="284"/>
      <c r="Z2075" s="207"/>
      <c r="AA2075" s="284"/>
      <c r="AB2075" s="284"/>
      <c r="AC2075" s="284"/>
      <c r="AD2075" s="284"/>
      <c r="AE2075" s="284"/>
      <c r="AF2075" s="284"/>
      <c r="AG2075" s="284"/>
    </row>
    <row r="2076" spans="1:33" ht="26.4">
      <c r="A2076" s="284"/>
      <c r="B2076" s="284"/>
      <c r="C2076" s="284"/>
      <c r="D2076" s="284"/>
      <c r="E2076" s="284"/>
      <c r="F2076" s="284"/>
      <c r="G2076" s="284"/>
      <c r="H2076" s="284"/>
      <c r="I2076" s="284"/>
      <c r="J2076" s="375"/>
      <c r="K2076" s="375"/>
      <c r="L2076" s="375"/>
      <c r="M2076" s="368"/>
      <c r="N2076" s="368"/>
      <c r="O2076" s="370"/>
      <c r="T2076" s="340"/>
      <c r="V2076" s="378"/>
      <c r="W2076" s="64" ph="1"/>
      <c r="X2076" s="241"/>
      <c r="Y2076" s="284"/>
      <c r="Z2076" s="207"/>
      <c r="AA2076" s="284"/>
      <c r="AB2076" s="284"/>
      <c r="AC2076" s="284"/>
      <c r="AD2076" s="284"/>
      <c r="AE2076" s="284"/>
      <c r="AF2076" s="284"/>
      <c r="AG2076" s="284"/>
    </row>
    <row r="2077" spans="1:33" ht="26.4">
      <c r="A2077" s="284"/>
      <c r="B2077" s="284"/>
      <c r="C2077" s="284"/>
      <c r="D2077" s="284"/>
      <c r="E2077" s="284"/>
      <c r="F2077" s="284"/>
      <c r="G2077" s="284"/>
      <c r="H2077" s="284"/>
      <c r="I2077" s="284"/>
      <c r="J2077" s="375"/>
      <c r="K2077" s="375"/>
      <c r="L2077" s="375"/>
      <c r="M2077" s="368"/>
      <c r="N2077" s="368"/>
      <c r="O2077" s="370"/>
      <c r="T2077" s="340"/>
      <c r="V2077" s="378"/>
      <c r="W2077" s="64" ph="1"/>
      <c r="X2077" s="241"/>
      <c r="Y2077" s="284"/>
      <c r="Z2077" s="207"/>
      <c r="AA2077" s="284"/>
      <c r="AB2077" s="284"/>
      <c r="AC2077" s="284"/>
      <c r="AD2077" s="284"/>
      <c r="AE2077" s="284"/>
      <c r="AF2077" s="284"/>
      <c r="AG2077" s="284"/>
    </row>
    <row r="2078" spans="1:33" ht="26.4">
      <c r="A2078" s="284"/>
      <c r="B2078" s="284"/>
      <c r="C2078" s="284"/>
      <c r="D2078" s="284"/>
      <c r="E2078" s="284"/>
      <c r="F2078" s="284"/>
      <c r="G2078" s="284"/>
      <c r="H2078" s="284"/>
      <c r="I2078" s="284"/>
      <c r="J2078" s="375"/>
      <c r="K2078" s="375"/>
      <c r="L2078" s="375"/>
      <c r="M2078" s="368"/>
      <c r="N2078" s="368"/>
      <c r="O2078" s="370"/>
      <c r="T2078" s="340"/>
      <c r="V2078" s="378"/>
      <c r="W2078" s="64" ph="1"/>
      <c r="X2078" s="241"/>
      <c r="Y2078" s="284"/>
      <c r="Z2078" s="207"/>
      <c r="AA2078" s="284"/>
      <c r="AB2078" s="284"/>
      <c r="AC2078" s="284"/>
      <c r="AD2078" s="284"/>
      <c r="AE2078" s="284"/>
      <c r="AF2078" s="284"/>
      <c r="AG2078" s="284"/>
    </row>
    <row r="2079" spans="1:33" ht="26.4">
      <c r="A2079" s="284"/>
      <c r="B2079" s="284"/>
      <c r="C2079" s="284"/>
      <c r="D2079" s="284"/>
      <c r="E2079" s="284"/>
      <c r="F2079" s="284"/>
      <c r="G2079" s="284"/>
      <c r="H2079" s="284"/>
      <c r="I2079" s="284"/>
      <c r="J2079" s="375"/>
      <c r="K2079" s="375"/>
      <c r="L2079" s="375"/>
      <c r="M2079" s="368"/>
      <c r="N2079" s="368"/>
      <c r="O2079" s="370"/>
      <c r="T2079" s="340"/>
      <c r="V2079" s="378"/>
      <c r="W2079" s="64" ph="1"/>
      <c r="X2079" s="241"/>
      <c r="Y2079" s="284"/>
      <c r="Z2079" s="207"/>
      <c r="AA2079" s="284"/>
      <c r="AB2079" s="284"/>
      <c r="AC2079" s="284"/>
      <c r="AD2079" s="284"/>
      <c r="AE2079" s="284"/>
      <c r="AF2079" s="284"/>
      <c r="AG2079" s="284"/>
    </row>
    <row r="2080" spans="1:33" ht="26.4">
      <c r="A2080" s="284"/>
      <c r="B2080" s="284"/>
      <c r="C2080" s="284"/>
      <c r="D2080" s="284"/>
      <c r="E2080" s="284"/>
      <c r="F2080" s="284"/>
      <c r="G2080" s="284"/>
      <c r="H2080" s="284"/>
      <c r="I2080" s="284"/>
      <c r="J2080" s="375"/>
      <c r="K2080" s="375"/>
      <c r="L2080" s="375"/>
      <c r="M2080" s="368"/>
      <c r="N2080" s="368"/>
      <c r="O2080" s="370"/>
      <c r="T2080" s="340"/>
      <c r="V2080" s="378"/>
      <c r="W2080" s="64" ph="1"/>
      <c r="X2080" s="241"/>
      <c r="Y2080" s="284"/>
      <c r="Z2080" s="207"/>
      <c r="AA2080" s="284"/>
      <c r="AB2080" s="284"/>
      <c r="AC2080" s="284"/>
      <c r="AD2080" s="284"/>
      <c r="AE2080" s="284"/>
      <c r="AF2080" s="284"/>
      <c r="AG2080" s="284"/>
    </row>
    <row r="2081" spans="1:33" ht="26.4">
      <c r="A2081" s="284"/>
      <c r="B2081" s="284"/>
      <c r="C2081" s="284"/>
      <c r="D2081" s="284"/>
      <c r="E2081" s="284"/>
      <c r="F2081" s="284"/>
      <c r="G2081" s="284"/>
      <c r="H2081" s="284"/>
      <c r="I2081" s="284"/>
      <c r="J2081" s="375"/>
      <c r="K2081" s="375"/>
      <c r="L2081" s="375"/>
      <c r="M2081" s="368"/>
      <c r="N2081" s="368"/>
      <c r="O2081" s="370"/>
      <c r="T2081" s="340"/>
      <c r="V2081" s="378"/>
      <c r="W2081" s="64" ph="1"/>
      <c r="X2081" s="241"/>
      <c r="Y2081" s="284"/>
      <c r="Z2081" s="207"/>
      <c r="AA2081" s="284"/>
      <c r="AB2081" s="284"/>
      <c r="AC2081" s="284"/>
      <c r="AD2081" s="284"/>
      <c r="AE2081" s="284"/>
      <c r="AF2081" s="284"/>
      <c r="AG2081" s="284"/>
    </row>
    <row r="2082" spans="1:33" ht="26.4">
      <c r="A2082" s="284"/>
      <c r="B2082" s="284"/>
      <c r="C2082" s="284"/>
      <c r="D2082" s="284"/>
      <c r="E2082" s="284"/>
      <c r="F2082" s="284"/>
      <c r="G2082" s="284"/>
      <c r="H2082" s="284"/>
      <c r="I2082" s="284"/>
      <c r="J2082" s="375"/>
      <c r="K2082" s="375"/>
      <c r="L2082" s="375"/>
      <c r="M2082" s="368"/>
      <c r="N2082" s="368"/>
      <c r="O2082" s="370"/>
      <c r="T2082" s="340"/>
      <c r="V2082" s="378"/>
      <c r="W2082" s="64" ph="1"/>
      <c r="X2082" s="241"/>
      <c r="Y2082" s="284"/>
      <c r="Z2082" s="207"/>
      <c r="AA2082" s="284"/>
      <c r="AB2082" s="284"/>
      <c r="AC2082" s="284"/>
      <c r="AD2082" s="284"/>
      <c r="AE2082" s="284"/>
      <c r="AF2082" s="284"/>
      <c r="AG2082" s="284"/>
    </row>
    <row r="2083" spans="1:33" ht="26.4">
      <c r="A2083" s="284"/>
      <c r="B2083" s="284"/>
      <c r="C2083" s="284"/>
      <c r="D2083" s="284"/>
      <c r="E2083" s="284"/>
      <c r="F2083" s="284"/>
      <c r="G2083" s="284"/>
      <c r="H2083" s="284"/>
      <c r="I2083" s="284"/>
      <c r="J2083" s="375"/>
      <c r="K2083" s="375"/>
      <c r="L2083" s="375"/>
      <c r="M2083" s="368"/>
      <c r="N2083" s="368"/>
      <c r="O2083" s="370"/>
      <c r="T2083" s="340"/>
      <c r="V2083" s="378"/>
      <c r="W2083" s="64" ph="1"/>
      <c r="X2083" s="241"/>
      <c r="Y2083" s="284"/>
      <c r="Z2083" s="207"/>
      <c r="AA2083" s="284"/>
      <c r="AB2083" s="284"/>
      <c r="AC2083" s="284"/>
      <c r="AD2083" s="284"/>
      <c r="AE2083" s="284"/>
      <c r="AF2083" s="284"/>
      <c r="AG2083" s="284"/>
    </row>
    <row r="2084" spans="1:33" ht="26.4">
      <c r="A2084" s="284"/>
      <c r="B2084" s="284"/>
      <c r="C2084" s="284"/>
      <c r="D2084" s="284"/>
      <c r="E2084" s="284"/>
      <c r="F2084" s="284"/>
      <c r="G2084" s="284"/>
      <c r="H2084" s="284"/>
      <c r="I2084" s="284"/>
      <c r="J2084" s="375"/>
      <c r="K2084" s="375"/>
      <c r="L2084" s="375"/>
      <c r="M2084" s="368"/>
      <c r="N2084" s="368"/>
      <c r="O2084" s="370"/>
      <c r="T2084" s="340"/>
      <c r="V2084" s="378"/>
      <c r="W2084" s="64" ph="1"/>
      <c r="X2084" s="241"/>
      <c r="Y2084" s="284"/>
      <c r="Z2084" s="207"/>
      <c r="AA2084" s="284"/>
      <c r="AB2084" s="284"/>
      <c r="AC2084" s="284"/>
      <c r="AD2084" s="284"/>
      <c r="AE2084" s="284"/>
      <c r="AF2084" s="284"/>
      <c r="AG2084" s="284"/>
    </row>
    <row r="2085" spans="1:33" ht="26.4">
      <c r="A2085" s="284"/>
      <c r="B2085" s="284"/>
      <c r="C2085" s="284"/>
      <c r="D2085" s="284"/>
      <c r="E2085" s="284"/>
      <c r="F2085" s="284"/>
      <c r="G2085" s="284"/>
      <c r="H2085" s="284"/>
      <c r="I2085" s="284"/>
      <c r="J2085" s="375"/>
      <c r="K2085" s="375"/>
      <c r="L2085" s="375"/>
      <c r="M2085" s="368"/>
      <c r="N2085" s="368"/>
      <c r="O2085" s="370"/>
      <c r="T2085" s="340"/>
      <c r="V2085" s="378"/>
      <c r="W2085" s="64" ph="1"/>
      <c r="X2085" s="241"/>
      <c r="Y2085" s="284"/>
      <c r="Z2085" s="207"/>
      <c r="AA2085" s="284"/>
      <c r="AB2085" s="284"/>
      <c r="AC2085" s="284"/>
      <c r="AD2085" s="284"/>
      <c r="AE2085" s="284"/>
      <c r="AF2085" s="284"/>
      <c r="AG2085" s="284"/>
    </row>
    <row r="2086" spans="1:33" ht="26.4">
      <c r="A2086" s="284"/>
      <c r="B2086" s="284"/>
      <c r="C2086" s="284"/>
      <c r="D2086" s="284"/>
      <c r="E2086" s="284"/>
      <c r="F2086" s="284"/>
      <c r="G2086" s="284"/>
      <c r="H2086" s="284"/>
      <c r="I2086" s="284"/>
      <c r="J2086" s="375"/>
      <c r="K2086" s="375"/>
      <c r="L2086" s="375"/>
      <c r="M2086" s="368"/>
      <c r="N2086" s="368"/>
      <c r="O2086" s="370"/>
      <c r="T2086" s="340"/>
      <c r="V2086" s="378"/>
      <c r="W2086" s="64" ph="1"/>
      <c r="X2086" s="241"/>
      <c r="Y2086" s="284"/>
      <c r="Z2086" s="207"/>
      <c r="AA2086" s="284"/>
      <c r="AB2086" s="284"/>
      <c r="AC2086" s="284"/>
      <c r="AD2086" s="284"/>
      <c r="AE2086" s="284"/>
      <c r="AF2086" s="284"/>
      <c r="AG2086" s="284"/>
    </row>
    <row r="2087" spans="1:33" ht="26.4">
      <c r="A2087" s="284"/>
      <c r="B2087" s="284"/>
      <c r="C2087" s="284"/>
      <c r="D2087" s="284"/>
      <c r="E2087" s="284"/>
      <c r="F2087" s="284"/>
      <c r="G2087" s="284"/>
      <c r="H2087" s="284"/>
      <c r="I2087" s="284"/>
      <c r="J2087" s="375"/>
      <c r="K2087" s="375"/>
      <c r="L2087" s="375"/>
      <c r="M2087" s="368"/>
      <c r="N2087" s="368"/>
      <c r="O2087" s="370"/>
      <c r="T2087" s="340"/>
      <c r="V2087" s="378"/>
      <c r="W2087" s="64" ph="1"/>
      <c r="X2087" s="241"/>
      <c r="Y2087" s="284"/>
      <c r="Z2087" s="207"/>
      <c r="AA2087" s="284"/>
      <c r="AB2087" s="284"/>
      <c r="AC2087" s="284"/>
      <c r="AD2087" s="284"/>
      <c r="AE2087" s="284"/>
      <c r="AF2087" s="284"/>
      <c r="AG2087" s="284"/>
    </row>
    <row r="2088" spans="1:33" ht="26.4">
      <c r="A2088" s="284"/>
      <c r="B2088" s="284"/>
      <c r="C2088" s="284"/>
      <c r="D2088" s="284"/>
      <c r="E2088" s="284"/>
      <c r="F2088" s="284"/>
      <c r="G2088" s="284"/>
      <c r="H2088" s="284"/>
      <c r="I2088" s="284"/>
      <c r="J2088" s="375"/>
      <c r="K2088" s="375"/>
      <c r="L2088" s="375"/>
      <c r="M2088" s="368"/>
      <c r="N2088" s="368"/>
      <c r="O2088" s="370"/>
      <c r="T2088" s="340"/>
      <c r="V2088" s="378"/>
      <c r="W2088" s="64" ph="1"/>
      <c r="X2088" s="241"/>
      <c r="Y2088" s="284"/>
      <c r="Z2088" s="207"/>
      <c r="AA2088" s="284"/>
      <c r="AB2088" s="284"/>
      <c r="AC2088" s="284"/>
      <c r="AD2088" s="284"/>
      <c r="AE2088" s="284"/>
      <c r="AF2088" s="284"/>
      <c r="AG2088" s="284"/>
    </row>
    <row r="2089" spans="1:33" ht="26.4">
      <c r="A2089" s="284"/>
      <c r="B2089" s="284"/>
      <c r="C2089" s="284"/>
      <c r="D2089" s="284"/>
      <c r="E2089" s="284"/>
      <c r="F2089" s="284"/>
      <c r="G2089" s="284"/>
      <c r="H2089" s="284"/>
      <c r="I2089" s="284"/>
      <c r="J2089" s="375"/>
      <c r="K2089" s="375"/>
      <c r="L2089" s="375"/>
      <c r="M2089" s="368"/>
      <c r="N2089" s="368"/>
      <c r="O2089" s="370"/>
      <c r="T2089" s="340"/>
      <c r="V2089" s="378"/>
      <c r="W2089" s="64" ph="1"/>
      <c r="X2089" s="241"/>
      <c r="Y2089" s="284"/>
      <c r="Z2089" s="207"/>
      <c r="AA2089" s="284"/>
      <c r="AB2089" s="284"/>
      <c r="AC2089" s="284"/>
      <c r="AD2089" s="284"/>
      <c r="AE2089" s="284"/>
      <c r="AF2089" s="284"/>
      <c r="AG2089" s="284"/>
    </row>
    <row r="2090" spans="1:33" ht="26.4">
      <c r="A2090" s="284"/>
      <c r="B2090" s="284"/>
      <c r="C2090" s="284"/>
      <c r="D2090" s="284"/>
      <c r="E2090" s="284"/>
      <c r="F2090" s="284"/>
      <c r="G2090" s="284"/>
      <c r="H2090" s="284"/>
      <c r="I2090" s="284"/>
      <c r="J2090" s="375"/>
      <c r="K2090" s="375"/>
      <c r="L2090" s="375"/>
      <c r="M2090" s="368"/>
      <c r="N2090" s="368"/>
      <c r="O2090" s="370"/>
      <c r="T2090" s="340"/>
      <c r="V2090" s="378"/>
      <c r="W2090" s="64" ph="1"/>
      <c r="X2090" s="241"/>
      <c r="Y2090" s="284"/>
      <c r="Z2090" s="207"/>
      <c r="AA2090" s="284"/>
      <c r="AB2090" s="284"/>
      <c r="AC2090" s="284"/>
      <c r="AD2090" s="284"/>
      <c r="AE2090" s="284"/>
      <c r="AF2090" s="284"/>
      <c r="AG2090" s="284"/>
    </row>
    <row r="2091" spans="1:33" ht="26.4">
      <c r="A2091" s="284"/>
      <c r="B2091" s="284"/>
      <c r="C2091" s="284"/>
      <c r="D2091" s="284"/>
      <c r="E2091" s="284"/>
      <c r="F2091" s="284"/>
      <c r="G2091" s="284"/>
      <c r="H2091" s="284"/>
      <c r="I2091" s="284"/>
      <c r="J2091" s="375"/>
      <c r="K2091" s="375"/>
      <c r="L2091" s="375"/>
      <c r="M2091" s="368"/>
      <c r="N2091" s="368"/>
      <c r="O2091" s="370"/>
      <c r="T2091" s="340"/>
      <c r="V2091" s="378"/>
      <c r="W2091" s="64" ph="1"/>
      <c r="X2091" s="241"/>
      <c r="Y2091" s="284"/>
      <c r="Z2091" s="207"/>
      <c r="AA2091" s="284"/>
      <c r="AB2091" s="284"/>
      <c r="AC2091" s="284"/>
      <c r="AD2091" s="284"/>
      <c r="AE2091" s="284"/>
      <c r="AF2091" s="284"/>
      <c r="AG2091" s="284"/>
    </row>
    <row r="2092" spans="1:33" ht="26.4">
      <c r="A2092" s="284"/>
      <c r="B2092" s="284"/>
      <c r="C2092" s="284"/>
      <c r="D2092" s="284"/>
      <c r="E2092" s="284"/>
      <c r="F2092" s="284"/>
      <c r="G2092" s="284"/>
      <c r="H2092" s="284"/>
      <c r="I2092" s="284"/>
      <c r="J2092" s="375"/>
      <c r="K2092" s="375"/>
      <c r="L2092" s="375"/>
      <c r="M2092" s="368"/>
      <c r="N2092" s="368"/>
      <c r="O2092" s="370"/>
      <c r="T2092" s="340"/>
      <c r="V2092" s="378"/>
      <c r="W2092" s="64" ph="1"/>
      <c r="X2092" s="241"/>
      <c r="Y2092" s="284"/>
      <c r="Z2092" s="207"/>
      <c r="AA2092" s="284"/>
      <c r="AB2092" s="284"/>
      <c r="AC2092" s="284"/>
      <c r="AD2092" s="284"/>
      <c r="AE2092" s="284"/>
      <c r="AF2092" s="284"/>
      <c r="AG2092" s="284"/>
    </row>
    <row r="2093" spans="1:33" ht="26.4">
      <c r="A2093" s="284"/>
      <c r="B2093" s="284"/>
      <c r="C2093" s="284"/>
      <c r="D2093" s="284"/>
      <c r="E2093" s="284"/>
      <c r="F2093" s="284"/>
      <c r="G2093" s="284"/>
      <c r="H2093" s="284"/>
      <c r="I2093" s="284"/>
      <c r="J2093" s="375"/>
      <c r="K2093" s="375"/>
      <c r="L2093" s="375"/>
      <c r="M2093" s="368"/>
      <c r="N2093" s="368"/>
      <c r="O2093" s="370"/>
      <c r="T2093" s="340"/>
      <c r="V2093" s="378"/>
      <c r="W2093" s="64" ph="1"/>
      <c r="X2093" s="241"/>
      <c r="Y2093" s="284"/>
      <c r="Z2093" s="207"/>
      <c r="AA2093" s="284"/>
      <c r="AB2093" s="284"/>
      <c r="AC2093" s="284"/>
      <c r="AD2093" s="284"/>
      <c r="AE2093" s="284"/>
      <c r="AF2093" s="284"/>
      <c r="AG2093" s="284"/>
    </row>
    <row r="2094" spans="1:33" ht="26.4">
      <c r="A2094" s="284"/>
      <c r="B2094" s="284"/>
      <c r="C2094" s="284"/>
      <c r="D2094" s="284"/>
      <c r="E2094" s="284"/>
      <c r="F2094" s="284"/>
      <c r="G2094" s="284"/>
      <c r="H2094" s="284"/>
      <c r="I2094" s="284"/>
      <c r="J2094" s="375"/>
      <c r="K2094" s="375"/>
      <c r="L2094" s="375"/>
      <c r="M2094" s="368"/>
      <c r="N2094" s="368"/>
      <c r="O2094" s="370"/>
      <c r="T2094" s="340"/>
      <c r="V2094" s="378"/>
      <c r="W2094" s="64" ph="1"/>
      <c r="X2094" s="241"/>
      <c r="Y2094" s="284"/>
      <c r="Z2094" s="207"/>
      <c r="AA2094" s="284"/>
      <c r="AB2094" s="284"/>
      <c r="AC2094" s="284"/>
      <c r="AD2094" s="284"/>
      <c r="AE2094" s="284"/>
      <c r="AF2094" s="284"/>
      <c r="AG2094" s="284"/>
    </row>
    <row r="2095" spans="1:33" ht="26.4">
      <c r="A2095" s="284"/>
      <c r="B2095" s="284"/>
      <c r="C2095" s="284"/>
      <c r="D2095" s="284"/>
      <c r="E2095" s="284"/>
      <c r="F2095" s="284"/>
      <c r="G2095" s="284"/>
      <c r="H2095" s="284"/>
      <c r="I2095" s="284"/>
      <c r="J2095" s="375"/>
      <c r="K2095" s="375"/>
      <c r="L2095" s="375"/>
      <c r="M2095" s="368"/>
      <c r="N2095" s="368"/>
      <c r="O2095" s="370"/>
      <c r="T2095" s="340"/>
      <c r="V2095" s="378"/>
      <c r="W2095" s="64" ph="1"/>
      <c r="X2095" s="241"/>
      <c r="Y2095" s="284"/>
      <c r="Z2095" s="207"/>
      <c r="AA2095" s="284"/>
      <c r="AB2095" s="284"/>
      <c r="AC2095" s="284"/>
      <c r="AD2095" s="284"/>
      <c r="AE2095" s="284"/>
      <c r="AF2095" s="284"/>
      <c r="AG2095" s="284"/>
    </row>
    <row r="2096" spans="1:33" ht="26.4">
      <c r="A2096" s="284"/>
      <c r="B2096" s="284"/>
      <c r="C2096" s="284"/>
      <c r="D2096" s="284"/>
      <c r="E2096" s="284"/>
      <c r="F2096" s="284"/>
      <c r="G2096" s="284"/>
      <c r="H2096" s="284"/>
      <c r="I2096" s="284"/>
      <c r="J2096" s="375"/>
      <c r="K2096" s="375"/>
      <c r="L2096" s="375"/>
      <c r="M2096" s="368"/>
      <c r="N2096" s="368"/>
      <c r="O2096" s="370"/>
      <c r="T2096" s="340"/>
      <c r="V2096" s="378"/>
      <c r="W2096" s="64" ph="1"/>
      <c r="X2096" s="241"/>
      <c r="Y2096" s="284"/>
      <c r="Z2096" s="207"/>
      <c r="AA2096" s="284"/>
      <c r="AB2096" s="284"/>
      <c r="AC2096" s="284"/>
      <c r="AD2096" s="284"/>
      <c r="AE2096" s="284"/>
      <c r="AF2096" s="284"/>
      <c r="AG2096" s="284"/>
    </row>
    <row r="2097" spans="1:33" ht="26.4">
      <c r="A2097" s="284"/>
      <c r="B2097" s="284"/>
      <c r="C2097" s="284"/>
      <c r="D2097" s="284"/>
      <c r="E2097" s="284"/>
      <c r="F2097" s="284"/>
      <c r="G2097" s="284"/>
      <c r="H2097" s="284"/>
      <c r="I2097" s="284"/>
      <c r="J2097" s="375"/>
      <c r="K2097" s="375"/>
      <c r="L2097" s="375"/>
      <c r="M2097" s="368"/>
      <c r="N2097" s="368"/>
      <c r="O2097" s="370"/>
      <c r="T2097" s="340"/>
      <c r="V2097" s="378"/>
      <c r="W2097" s="64" ph="1"/>
      <c r="X2097" s="241"/>
      <c r="Y2097" s="284"/>
      <c r="Z2097" s="207"/>
      <c r="AA2097" s="284"/>
      <c r="AB2097" s="284"/>
      <c r="AC2097" s="284"/>
      <c r="AD2097" s="284"/>
      <c r="AE2097" s="284"/>
      <c r="AF2097" s="284"/>
      <c r="AG2097" s="284"/>
    </row>
    <row r="2098" spans="1:33" ht="26.4">
      <c r="A2098" s="284"/>
      <c r="B2098" s="284"/>
      <c r="C2098" s="284"/>
      <c r="D2098" s="284"/>
      <c r="E2098" s="284"/>
      <c r="F2098" s="284"/>
      <c r="G2098" s="284"/>
      <c r="H2098" s="284"/>
      <c r="I2098" s="284"/>
      <c r="J2098" s="375"/>
      <c r="K2098" s="375"/>
      <c r="L2098" s="375"/>
      <c r="M2098" s="368"/>
      <c r="N2098" s="368"/>
      <c r="O2098" s="370"/>
      <c r="T2098" s="340"/>
      <c r="V2098" s="378"/>
      <c r="W2098" s="64" ph="1"/>
      <c r="X2098" s="241"/>
      <c r="Y2098" s="284"/>
      <c r="Z2098" s="207"/>
      <c r="AA2098" s="284"/>
      <c r="AB2098" s="284"/>
      <c r="AC2098" s="284"/>
      <c r="AD2098" s="284"/>
      <c r="AE2098" s="284"/>
      <c r="AF2098" s="284"/>
      <c r="AG2098" s="284"/>
    </row>
    <row r="2099" spans="1:33" ht="26.4">
      <c r="A2099" s="284"/>
      <c r="B2099" s="284"/>
      <c r="C2099" s="284"/>
      <c r="D2099" s="284"/>
      <c r="E2099" s="284"/>
      <c r="F2099" s="284"/>
      <c r="G2099" s="284"/>
      <c r="H2099" s="284"/>
      <c r="I2099" s="284"/>
      <c r="J2099" s="375"/>
      <c r="K2099" s="375"/>
      <c r="L2099" s="375"/>
      <c r="M2099" s="368"/>
      <c r="N2099" s="368"/>
      <c r="O2099" s="370"/>
      <c r="T2099" s="340"/>
      <c r="V2099" s="378"/>
      <c r="W2099" s="64" ph="1"/>
      <c r="X2099" s="241"/>
      <c r="Y2099" s="284"/>
      <c r="Z2099" s="207"/>
      <c r="AA2099" s="284"/>
      <c r="AB2099" s="284"/>
      <c r="AC2099" s="284"/>
      <c r="AD2099" s="284"/>
      <c r="AE2099" s="284"/>
      <c r="AF2099" s="284"/>
      <c r="AG2099" s="284"/>
    </row>
    <row r="2100" spans="1:33" ht="26.4">
      <c r="A2100" s="284"/>
      <c r="B2100" s="284"/>
      <c r="C2100" s="284"/>
      <c r="D2100" s="284"/>
      <c r="E2100" s="284"/>
      <c r="F2100" s="284"/>
      <c r="G2100" s="284"/>
      <c r="H2100" s="284"/>
      <c r="I2100" s="284"/>
      <c r="J2100" s="375"/>
      <c r="K2100" s="375"/>
      <c r="L2100" s="375"/>
      <c r="M2100" s="368"/>
      <c r="N2100" s="368"/>
      <c r="O2100" s="370"/>
      <c r="T2100" s="340"/>
      <c r="V2100" s="378"/>
      <c r="W2100" s="64" ph="1"/>
      <c r="X2100" s="241"/>
      <c r="Y2100" s="284"/>
      <c r="Z2100" s="207"/>
      <c r="AA2100" s="284"/>
      <c r="AB2100" s="284"/>
      <c r="AC2100" s="284"/>
      <c r="AD2100" s="284"/>
      <c r="AE2100" s="284"/>
      <c r="AF2100" s="284"/>
      <c r="AG2100" s="284"/>
    </row>
    <row r="2101" spans="1:33" ht="26.4">
      <c r="A2101" s="284"/>
      <c r="B2101" s="284"/>
      <c r="C2101" s="284"/>
      <c r="D2101" s="284"/>
      <c r="E2101" s="284"/>
      <c r="F2101" s="284"/>
      <c r="G2101" s="284"/>
      <c r="H2101" s="284"/>
      <c r="I2101" s="284"/>
      <c r="J2101" s="375"/>
      <c r="K2101" s="375"/>
      <c r="L2101" s="375"/>
      <c r="M2101" s="368"/>
      <c r="N2101" s="368"/>
      <c r="O2101" s="370"/>
      <c r="T2101" s="340"/>
      <c r="V2101" s="378"/>
      <c r="W2101" s="64" ph="1"/>
      <c r="X2101" s="241"/>
      <c r="Y2101" s="284"/>
      <c r="Z2101" s="207"/>
      <c r="AA2101" s="284"/>
      <c r="AB2101" s="284"/>
      <c r="AC2101" s="284"/>
      <c r="AD2101" s="284"/>
      <c r="AE2101" s="284"/>
      <c r="AF2101" s="284"/>
      <c r="AG2101" s="284"/>
    </row>
    <row r="2102" spans="1:33" ht="26.4">
      <c r="A2102" s="284"/>
      <c r="B2102" s="284"/>
      <c r="C2102" s="284"/>
      <c r="D2102" s="284"/>
      <c r="E2102" s="284"/>
      <c r="F2102" s="284"/>
      <c r="G2102" s="284"/>
      <c r="H2102" s="284"/>
      <c r="I2102" s="284"/>
      <c r="J2102" s="375"/>
      <c r="K2102" s="375"/>
      <c r="L2102" s="375"/>
      <c r="M2102" s="368"/>
      <c r="N2102" s="368"/>
      <c r="O2102" s="370"/>
      <c r="T2102" s="340"/>
      <c r="V2102" s="378"/>
      <c r="W2102" s="64" ph="1"/>
      <c r="X2102" s="241"/>
      <c r="Y2102" s="284"/>
      <c r="Z2102" s="207"/>
      <c r="AA2102" s="284"/>
      <c r="AB2102" s="284"/>
      <c r="AC2102" s="284"/>
      <c r="AD2102" s="284"/>
      <c r="AE2102" s="284"/>
      <c r="AF2102" s="284"/>
      <c r="AG2102" s="284"/>
    </row>
    <row r="2103" spans="1:33" ht="26.4">
      <c r="A2103" s="284"/>
      <c r="B2103" s="284"/>
      <c r="C2103" s="284"/>
      <c r="D2103" s="284"/>
      <c r="E2103" s="284"/>
      <c r="F2103" s="284"/>
      <c r="G2103" s="284"/>
      <c r="H2103" s="284"/>
      <c r="I2103" s="284"/>
      <c r="J2103" s="375"/>
      <c r="K2103" s="375"/>
      <c r="L2103" s="375"/>
      <c r="M2103" s="368"/>
      <c r="N2103" s="368"/>
      <c r="O2103" s="370"/>
      <c r="T2103" s="340"/>
      <c r="V2103" s="378"/>
      <c r="W2103" s="64" ph="1"/>
      <c r="X2103" s="241"/>
      <c r="Y2103" s="284"/>
      <c r="Z2103" s="207"/>
      <c r="AA2103" s="284"/>
      <c r="AB2103" s="284"/>
      <c r="AC2103" s="284"/>
      <c r="AD2103" s="284"/>
      <c r="AE2103" s="284"/>
      <c r="AF2103" s="284"/>
      <c r="AG2103" s="284"/>
    </row>
    <row r="2104" spans="1:33" ht="26.4">
      <c r="A2104" s="284"/>
      <c r="B2104" s="284"/>
      <c r="C2104" s="284"/>
      <c r="D2104" s="284"/>
      <c r="E2104" s="284"/>
      <c r="F2104" s="284"/>
      <c r="G2104" s="284"/>
      <c r="H2104" s="284"/>
      <c r="I2104" s="284"/>
      <c r="J2104" s="375"/>
      <c r="K2104" s="375"/>
      <c r="L2104" s="375"/>
      <c r="M2104" s="368"/>
      <c r="N2104" s="368"/>
      <c r="O2104" s="370"/>
      <c r="T2104" s="340"/>
      <c r="V2104" s="378"/>
      <c r="W2104" s="64" ph="1"/>
      <c r="X2104" s="241"/>
      <c r="Y2104" s="284"/>
      <c r="Z2104" s="207"/>
      <c r="AA2104" s="284"/>
      <c r="AB2104" s="284"/>
      <c r="AC2104" s="284"/>
      <c r="AD2104" s="284"/>
      <c r="AE2104" s="284"/>
      <c r="AF2104" s="284"/>
      <c r="AG2104" s="284"/>
    </row>
    <row r="2105" spans="1:33" ht="26.4">
      <c r="A2105" s="284"/>
      <c r="B2105" s="284"/>
      <c r="C2105" s="284"/>
      <c r="D2105" s="284"/>
      <c r="E2105" s="284"/>
      <c r="F2105" s="284"/>
      <c r="G2105" s="284"/>
      <c r="H2105" s="284"/>
      <c r="I2105" s="284"/>
      <c r="J2105" s="375"/>
      <c r="K2105" s="375"/>
      <c r="L2105" s="375"/>
      <c r="M2105" s="368"/>
      <c r="N2105" s="368"/>
      <c r="O2105" s="370"/>
      <c r="T2105" s="340"/>
      <c r="V2105" s="378"/>
      <c r="W2105" s="64" ph="1"/>
      <c r="X2105" s="241"/>
      <c r="Y2105" s="284"/>
      <c r="Z2105" s="207"/>
      <c r="AA2105" s="284"/>
      <c r="AB2105" s="284"/>
      <c r="AC2105" s="284"/>
      <c r="AD2105" s="284"/>
      <c r="AE2105" s="284"/>
      <c r="AF2105" s="284"/>
      <c r="AG2105" s="284"/>
    </row>
    <row r="2106" spans="1:33" ht="26.4">
      <c r="A2106" s="284"/>
      <c r="B2106" s="284"/>
      <c r="C2106" s="284"/>
      <c r="D2106" s="284"/>
      <c r="E2106" s="284"/>
      <c r="F2106" s="284"/>
      <c r="G2106" s="284"/>
      <c r="H2106" s="284"/>
      <c r="I2106" s="284"/>
      <c r="J2106" s="375"/>
      <c r="K2106" s="375"/>
      <c r="L2106" s="375"/>
      <c r="M2106" s="368"/>
      <c r="N2106" s="368"/>
      <c r="O2106" s="370"/>
      <c r="T2106" s="340"/>
      <c r="V2106" s="378"/>
      <c r="W2106" s="64" ph="1"/>
      <c r="X2106" s="241"/>
      <c r="Y2106" s="284"/>
      <c r="Z2106" s="207"/>
      <c r="AA2106" s="284"/>
      <c r="AB2106" s="284"/>
      <c r="AC2106" s="284"/>
      <c r="AD2106" s="284"/>
      <c r="AE2106" s="284"/>
      <c r="AF2106" s="284"/>
      <c r="AG2106" s="284"/>
    </row>
    <row r="2107" spans="1:33" ht="26.4">
      <c r="A2107" s="284"/>
      <c r="B2107" s="284"/>
      <c r="C2107" s="284"/>
      <c r="D2107" s="284"/>
      <c r="E2107" s="284"/>
      <c r="F2107" s="284"/>
      <c r="G2107" s="284"/>
      <c r="H2107" s="284"/>
      <c r="I2107" s="284"/>
      <c r="J2107" s="375"/>
      <c r="K2107" s="375"/>
      <c r="L2107" s="375"/>
      <c r="M2107" s="368"/>
      <c r="N2107" s="368"/>
      <c r="O2107" s="370"/>
      <c r="T2107" s="340"/>
      <c r="V2107" s="378"/>
      <c r="W2107" s="64" ph="1"/>
      <c r="X2107" s="241"/>
      <c r="Y2107" s="284"/>
      <c r="Z2107" s="207"/>
      <c r="AA2107" s="284"/>
      <c r="AB2107" s="284"/>
      <c r="AC2107" s="284"/>
      <c r="AD2107" s="284"/>
      <c r="AE2107" s="284"/>
      <c r="AF2107" s="284"/>
      <c r="AG2107" s="284"/>
    </row>
    <row r="2108" spans="1:33" ht="26.4">
      <c r="A2108" s="284"/>
      <c r="B2108" s="284"/>
      <c r="C2108" s="284"/>
      <c r="D2108" s="284"/>
      <c r="E2108" s="284"/>
      <c r="F2108" s="284"/>
      <c r="G2108" s="284"/>
      <c r="H2108" s="284"/>
      <c r="I2108" s="284"/>
      <c r="J2108" s="375"/>
      <c r="K2108" s="375"/>
      <c r="L2108" s="375"/>
      <c r="M2108" s="368"/>
      <c r="N2108" s="368"/>
      <c r="O2108" s="370"/>
      <c r="T2108" s="340"/>
      <c r="V2108" s="378"/>
      <c r="W2108" s="64" ph="1"/>
      <c r="X2108" s="241"/>
      <c r="Y2108" s="284"/>
      <c r="Z2108" s="207"/>
      <c r="AA2108" s="284"/>
      <c r="AB2108" s="284"/>
      <c r="AC2108" s="284"/>
      <c r="AD2108" s="284"/>
      <c r="AE2108" s="284"/>
      <c r="AF2108" s="284"/>
      <c r="AG2108" s="284"/>
    </row>
    <row r="2109" spans="1:33" ht="26.4">
      <c r="A2109" s="284"/>
      <c r="B2109" s="284"/>
      <c r="C2109" s="284"/>
      <c r="D2109" s="284"/>
      <c r="E2109" s="284"/>
      <c r="F2109" s="284"/>
      <c r="G2109" s="284"/>
      <c r="H2109" s="284"/>
      <c r="I2109" s="284"/>
      <c r="J2109" s="375"/>
      <c r="K2109" s="375"/>
      <c r="L2109" s="375"/>
      <c r="M2109" s="368"/>
      <c r="N2109" s="368"/>
      <c r="O2109" s="370"/>
      <c r="T2109" s="340"/>
      <c r="V2109" s="378"/>
      <c r="W2109" s="64" ph="1"/>
      <c r="X2109" s="241"/>
      <c r="Y2109" s="284"/>
      <c r="Z2109" s="207"/>
      <c r="AA2109" s="284"/>
      <c r="AB2109" s="284"/>
      <c r="AC2109" s="284"/>
      <c r="AD2109" s="284"/>
      <c r="AE2109" s="284"/>
      <c r="AF2109" s="284"/>
      <c r="AG2109" s="284"/>
    </row>
    <row r="2110" spans="1:33" ht="26.4">
      <c r="A2110" s="284"/>
      <c r="B2110" s="284"/>
      <c r="C2110" s="284"/>
      <c r="D2110" s="284"/>
      <c r="E2110" s="284"/>
      <c r="F2110" s="284"/>
      <c r="G2110" s="284"/>
      <c r="H2110" s="284"/>
      <c r="I2110" s="284"/>
      <c r="J2110" s="375"/>
      <c r="K2110" s="375"/>
      <c r="L2110" s="375"/>
      <c r="M2110" s="368"/>
      <c r="N2110" s="368"/>
      <c r="O2110" s="370"/>
      <c r="T2110" s="340"/>
      <c r="V2110" s="378"/>
      <c r="W2110" s="64" ph="1"/>
      <c r="X2110" s="241"/>
      <c r="Y2110" s="284"/>
      <c r="Z2110" s="207"/>
      <c r="AA2110" s="284"/>
      <c r="AB2110" s="284"/>
      <c r="AC2110" s="284"/>
      <c r="AD2110" s="284"/>
      <c r="AE2110" s="284"/>
      <c r="AF2110" s="284"/>
      <c r="AG2110" s="284"/>
    </row>
    <row r="2111" spans="1:33" ht="26.4">
      <c r="A2111" s="284"/>
      <c r="B2111" s="284"/>
      <c r="C2111" s="284"/>
      <c r="D2111" s="284"/>
      <c r="E2111" s="284"/>
      <c r="F2111" s="284"/>
      <c r="G2111" s="284"/>
      <c r="H2111" s="284"/>
      <c r="I2111" s="284"/>
      <c r="J2111" s="375"/>
      <c r="K2111" s="375"/>
      <c r="L2111" s="375"/>
      <c r="M2111" s="368"/>
      <c r="N2111" s="368"/>
      <c r="O2111" s="370"/>
      <c r="T2111" s="340"/>
      <c r="V2111" s="378"/>
      <c r="W2111" s="64" ph="1"/>
      <c r="X2111" s="241"/>
      <c r="Y2111" s="284"/>
      <c r="Z2111" s="207"/>
      <c r="AA2111" s="284"/>
      <c r="AB2111" s="284"/>
      <c r="AC2111" s="284"/>
      <c r="AD2111" s="284"/>
      <c r="AE2111" s="284"/>
      <c r="AF2111" s="284"/>
      <c r="AG2111" s="284"/>
    </row>
    <row r="2112" spans="1:33" ht="26.4">
      <c r="A2112" s="284"/>
      <c r="B2112" s="284"/>
      <c r="C2112" s="284"/>
      <c r="D2112" s="284"/>
      <c r="E2112" s="284"/>
      <c r="F2112" s="284"/>
      <c r="G2112" s="284"/>
      <c r="H2112" s="284"/>
      <c r="I2112" s="284"/>
      <c r="J2112" s="375"/>
      <c r="K2112" s="375"/>
      <c r="L2112" s="375"/>
      <c r="M2112" s="368"/>
      <c r="N2112" s="368"/>
      <c r="O2112" s="370"/>
      <c r="T2112" s="340"/>
      <c r="V2112" s="378"/>
      <c r="W2112" s="64" ph="1"/>
      <c r="X2112" s="241"/>
      <c r="Y2112" s="284"/>
      <c r="Z2112" s="207"/>
      <c r="AA2112" s="284"/>
      <c r="AB2112" s="284"/>
      <c r="AC2112" s="284"/>
      <c r="AD2112" s="284"/>
      <c r="AE2112" s="284"/>
      <c r="AF2112" s="284"/>
      <c r="AG2112" s="284"/>
    </row>
    <row r="2113" spans="1:33" ht="26.4">
      <c r="A2113" s="284"/>
      <c r="B2113" s="284"/>
      <c r="C2113" s="284"/>
      <c r="D2113" s="284"/>
      <c r="E2113" s="284"/>
      <c r="F2113" s="284"/>
      <c r="G2113" s="284"/>
      <c r="H2113" s="284"/>
      <c r="I2113" s="284"/>
      <c r="J2113" s="375"/>
      <c r="K2113" s="375"/>
      <c r="L2113" s="375"/>
      <c r="M2113" s="368"/>
      <c r="N2113" s="368"/>
      <c r="O2113" s="370"/>
      <c r="T2113" s="340"/>
      <c r="V2113" s="378"/>
      <c r="W2113" s="64" ph="1"/>
      <c r="X2113" s="241"/>
      <c r="Y2113" s="284"/>
      <c r="Z2113" s="207"/>
      <c r="AA2113" s="284"/>
      <c r="AB2113" s="284"/>
      <c r="AC2113" s="284"/>
      <c r="AD2113" s="284"/>
      <c r="AE2113" s="284"/>
      <c r="AF2113" s="284"/>
      <c r="AG2113" s="284"/>
    </row>
    <row r="2114" spans="1:33" ht="26.4">
      <c r="A2114" s="284"/>
      <c r="B2114" s="284"/>
      <c r="C2114" s="284"/>
      <c r="D2114" s="284"/>
      <c r="E2114" s="284"/>
      <c r="F2114" s="284"/>
      <c r="G2114" s="284"/>
      <c r="H2114" s="284"/>
      <c r="I2114" s="284"/>
      <c r="J2114" s="375"/>
      <c r="K2114" s="375"/>
      <c r="L2114" s="375"/>
      <c r="M2114" s="368"/>
      <c r="N2114" s="368"/>
      <c r="O2114" s="370"/>
      <c r="T2114" s="340"/>
      <c r="V2114" s="378"/>
      <c r="W2114" s="64" ph="1"/>
      <c r="X2114" s="241"/>
      <c r="Y2114" s="284"/>
      <c r="Z2114" s="207"/>
      <c r="AA2114" s="284"/>
      <c r="AB2114" s="284"/>
      <c r="AC2114" s="284"/>
      <c r="AD2114" s="284"/>
      <c r="AE2114" s="284"/>
      <c r="AF2114" s="284"/>
      <c r="AG2114" s="284"/>
    </row>
    <row r="2115" spans="1:33" ht="26.4">
      <c r="A2115" s="284"/>
      <c r="B2115" s="284"/>
      <c r="C2115" s="284"/>
      <c r="D2115" s="284"/>
      <c r="E2115" s="284"/>
      <c r="F2115" s="284"/>
      <c r="G2115" s="284"/>
      <c r="H2115" s="284"/>
      <c r="I2115" s="284"/>
      <c r="J2115" s="375"/>
      <c r="K2115" s="375"/>
      <c r="L2115" s="375"/>
      <c r="M2115" s="368"/>
      <c r="N2115" s="368"/>
      <c r="O2115" s="370"/>
      <c r="T2115" s="340"/>
      <c r="V2115" s="378"/>
      <c r="W2115" s="64" ph="1"/>
      <c r="X2115" s="241"/>
      <c r="Y2115" s="284"/>
      <c r="Z2115" s="207"/>
      <c r="AA2115" s="284"/>
      <c r="AB2115" s="284"/>
      <c r="AC2115" s="284"/>
      <c r="AD2115" s="284"/>
      <c r="AE2115" s="284"/>
      <c r="AF2115" s="284"/>
      <c r="AG2115" s="284"/>
    </row>
    <row r="2116" spans="1:33" ht="26.4">
      <c r="A2116" s="284"/>
      <c r="B2116" s="284"/>
      <c r="C2116" s="284"/>
      <c r="D2116" s="284"/>
      <c r="E2116" s="284"/>
      <c r="F2116" s="284"/>
      <c r="G2116" s="284"/>
      <c r="H2116" s="284"/>
      <c r="I2116" s="284"/>
      <c r="J2116" s="375"/>
      <c r="K2116" s="375"/>
      <c r="L2116" s="375"/>
      <c r="M2116" s="368"/>
      <c r="N2116" s="368"/>
      <c r="O2116" s="370"/>
      <c r="T2116" s="340"/>
      <c r="V2116" s="378"/>
      <c r="W2116" s="64" ph="1"/>
      <c r="X2116" s="241"/>
      <c r="Y2116" s="284"/>
      <c r="Z2116" s="207"/>
      <c r="AA2116" s="284"/>
      <c r="AB2116" s="284"/>
      <c r="AC2116" s="284"/>
      <c r="AD2116" s="284"/>
      <c r="AE2116" s="284"/>
      <c r="AF2116" s="284"/>
      <c r="AG2116" s="284"/>
    </row>
    <row r="2117" spans="1:33" ht="26.4">
      <c r="A2117" s="284"/>
      <c r="B2117" s="284"/>
      <c r="C2117" s="284"/>
      <c r="D2117" s="284"/>
      <c r="E2117" s="284"/>
      <c r="F2117" s="284"/>
      <c r="G2117" s="284"/>
      <c r="H2117" s="284"/>
      <c r="I2117" s="284"/>
      <c r="J2117" s="375"/>
      <c r="K2117" s="375"/>
      <c r="L2117" s="375"/>
      <c r="M2117" s="368"/>
      <c r="N2117" s="368"/>
      <c r="O2117" s="370"/>
      <c r="T2117" s="340"/>
      <c r="V2117" s="378"/>
      <c r="W2117" s="64" ph="1"/>
      <c r="X2117" s="241"/>
      <c r="Y2117" s="284"/>
      <c r="Z2117" s="207"/>
      <c r="AA2117" s="284"/>
      <c r="AB2117" s="284"/>
      <c r="AC2117" s="284"/>
      <c r="AD2117" s="284"/>
      <c r="AE2117" s="284"/>
      <c r="AF2117" s="284"/>
      <c r="AG2117" s="284"/>
    </row>
    <row r="2118" spans="1:33" ht="26.4">
      <c r="A2118" s="284"/>
      <c r="B2118" s="284"/>
      <c r="C2118" s="284"/>
      <c r="D2118" s="284"/>
      <c r="E2118" s="284"/>
      <c r="F2118" s="284"/>
      <c r="G2118" s="284"/>
      <c r="H2118" s="284"/>
      <c r="I2118" s="284"/>
      <c r="J2118" s="375"/>
      <c r="K2118" s="375"/>
      <c r="L2118" s="375"/>
      <c r="M2118" s="368"/>
      <c r="N2118" s="368"/>
      <c r="O2118" s="370"/>
      <c r="T2118" s="340"/>
      <c r="V2118" s="378"/>
      <c r="W2118" s="64" ph="1"/>
      <c r="X2118" s="241"/>
      <c r="Y2118" s="284"/>
      <c r="Z2118" s="207"/>
      <c r="AA2118" s="284"/>
      <c r="AB2118" s="284"/>
      <c r="AC2118" s="284"/>
      <c r="AD2118" s="284"/>
      <c r="AE2118" s="284"/>
      <c r="AF2118" s="284"/>
      <c r="AG2118" s="284"/>
    </row>
    <row r="2119" spans="1:33" ht="26.4">
      <c r="A2119" s="284"/>
      <c r="B2119" s="284"/>
      <c r="C2119" s="284"/>
      <c r="D2119" s="284"/>
      <c r="E2119" s="284"/>
      <c r="F2119" s="284"/>
      <c r="G2119" s="284"/>
      <c r="H2119" s="284"/>
      <c r="I2119" s="284"/>
      <c r="J2119" s="375"/>
      <c r="K2119" s="375"/>
      <c r="L2119" s="375"/>
      <c r="M2119" s="368"/>
      <c r="N2119" s="368"/>
      <c r="O2119" s="370"/>
      <c r="T2119" s="340"/>
      <c r="V2119" s="378"/>
      <c r="W2119" s="64" ph="1"/>
      <c r="X2119" s="241"/>
      <c r="Y2119" s="284"/>
      <c r="Z2119" s="207"/>
      <c r="AA2119" s="284"/>
      <c r="AB2119" s="284"/>
      <c r="AC2119" s="284"/>
      <c r="AD2119" s="284"/>
      <c r="AE2119" s="284"/>
      <c r="AF2119" s="284"/>
      <c r="AG2119" s="284"/>
    </row>
    <row r="2120" spans="1:33" ht="26.4">
      <c r="A2120" s="284"/>
      <c r="B2120" s="284"/>
      <c r="C2120" s="284"/>
      <c r="D2120" s="284"/>
      <c r="E2120" s="284"/>
      <c r="F2120" s="284"/>
      <c r="G2120" s="284"/>
      <c r="H2120" s="284"/>
      <c r="I2120" s="284"/>
      <c r="J2120" s="375"/>
      <c r="K2120" s="375"/>
      <c r="L2120" s="375"/>
      <c r="M2120" s="368"/>
      <c r="N2120" s="368"/>
      <c r="O2120" s="370"/>
      <c r="T2120" s="340"/>
      <c r="V2120" s="378"/>
      <c r="W2120" s="64" ph="1"/>
      <c r="X2120" s="241"/>
      <c r="Y2120" s="284"/>
      <c r="Z2120" s="207"/>
      <c r="AA2120" s="284"/>
      <c r="AB2120" s="284"/>
      <c r="AC2120" s="284"/>
      <c r="AD2120" s="284"/>
      <c r="AE2120" s="284"/>
      <c r="AF2120" s="284"/>
      <c r="AG2120" s="284"/>
    </row>
    <row r="2121" spans="1:33" ht="26.4">
      <c r="A2121" s="284"/>
      <c r="B2121" s="284"/>
      <c r="C2121" s="284"/>
      <c r="D2121" s="284"/>
      <c r="E2121" s="284"/>
      <c r="F2121" s="284"/>
      <c r="G2121" s="284"/>
      <c r="H2121" s="284"/>
      <c r="I2121" s="284"/>
      <c r="J2121" s="375"/>
      <c r="K2121" s="375"/>
      <c r="L2121" s="375"/>
      <c r="M2121" s="368"/>
      <c r="N2121" s="368"/>
      <c r="O2121" s="370"/>
      <c r="T2121" s="340"/>
      <c r="V2121" s="378"/>
      <c r="W2121" s="64" ph="1"/>
      <c r="X2121" s="241"/>
      <c r="Y2121" s="284"/>
      <c r="Z2121" s="207"/>
      <c r="AA2121" s="284"/>
      <c r="AB2121" s="284"/>
      <c r="AC2121" s="284"/>
      <c r="AD2121" s="284"/>
      <c r="AE2121" s="284"/>
      <c r="AF2121" s="284"/>
      <c r="AG2121" s="284"/>
    </row>
    <row r="2122" spans="1:33" ht="26.4">
      <c r="A2122" s="284"/>
      <c r="B2122" s="284"/>
      <c r="C2122" s="284"/>
      <c r="D2122" s="284"/>
      <c r="E2122" s="284"/>
      <c r="F2122" s="284"/>
      <c r="G2122" s="284"/>
      <c r="H2122" s="284"/>
      <c r="I2122" s="284"/>
      <c r="J2122" s="375"/>
      <c r="K2122" s="375"/>
      <c r="L2122" s="375"/>
      <c r="M2122" s="368"/>
      <c r="N2122" s="368"/>
      <c r="O2122" s="370"/>
      <c r="T2122" s="340"/>
      <c r="V2122" s="378"/>
      <c r="W2122" s="64" ph="1"/>
      <c r="X2122" s="241"/>
      <c r="Y2122" s="284"/>
      <c r="Z2122" s="207"/>
      <c r="AA2122" s="284"/>
      <c r="AB2122" s="284"/>
      <c r="AC2122" s="284"/>
      <c r="AD2122" s="284"/>
      <c r="AE2122" s="284"/>
      <c r="AF2122" s="284"/>
      <c r="AG2122" s="284"/>
    </row>
    <row r="2123" spans="1:33" ht="26.4">
      <c r="A2123" s="284"/>
      <c r="B2123" s="284"/>
      <c r="C2123" s="284"/>
      <c r="D2123" s="284"/>
      <c r="E2123" s="284"/>
      <c r="F2123" s="284"/>
      <c r="G2123" s="284"/>
      <c r="H2123" s="284"/>
      <c r="I2123" s="284"/>
      <c r="J2123" s="375"/>
      <c r="K2123" s="375"/>
      <c r="L2123" s="375"/>
      <c r="M2123" s="368"/>
      <c r="N2123" s="368"/>
      <c r="O2123" s="370"/>
      <c r="T2123" s="340"/>
      <c r="V2123" s="378"/>
      <c r="W2123" s="64" ph="1"/>
      <c r="X2123" s="241"/>
      <c r="Y2123" s="284"/>
      <c r="Z2123" s="207"/>
      <c r="AA2123" s="284"/>
      <c r="AB2123" s="284"/>
      <c r="AC2123" s="284"/>
      <c r="AD2123" s="284"/>
      <c r="AE2123" s="284"/>
      <c r="AF2123" s="284"/>
      <c r="AG2123" s="284"/>
    </row>
    <row r="2124" spans="1:33" ht="26.4">
      <c r="A2124" s="284"/>
      <c r="B2124" s="284"/>
      <c r="C2124" s="284"/>
      <c r="D2124" s="284"/>
      <c r="E2124" s="284"/>
      <c r="F2124" s="284"/>
      <c r="G2124" s="284"/>
      <c r="H2124" s="284"/>
      <c r="I2124" s="284"/>
      <c r="J2124" s="375"/>
      <c r="K2124" s="375"/>
      <c r="L2124" s="375"/>
      <c r="M2124" s="368"/>
      <c r="N2124" s="368"/>
      <c r="O2124" s="370"/>
      <c r="T2124" s="340"/>
      <c r="V2124" s="378"/>
      <c r="W2124" s="64" ph="1"/>
      <c r="X2124" s="241"/>
      <c r="Y2124" s="284"/>
      <c r="Z2124" s="207"/>
      <c r="AA2124" s="284"/>
      <c r="AB2124" s="284"/>
      <c r="AC2124" s="284"/>
      <c r="AD2124" s="284"/>
      <c r="AE2124" s="284"/>
      <c r="AF2124" s="284"/>
      <c r="AG2124" s="284"/>
    </row>
    <row r="2125" spans="1:33" ht="26.4">
      <c r="A2125" s="284"/>
      <c r="B2125" s="284"/>
      <c r="C2125" s="284"/>
      <c r="D2125" s="284"/>
      <c r="E2125" s="284"/>
      <c r="F2125" s="284"/>
      <c r="G2125" s="284"/>
      <c r="H2125" s="284"/>
      <c r="I2125" s="284"/>
      <c r="J2125" s="375"/>
      <c r="K2125" s="375"/>
      <c r="L2125" s="375"/>
      <c r="M2125" s="368"/>
      <c r="N2125" s="368"/>
      <c r="O2125" s="370"/>
      <c r="T2125" s="340"/>
      <c r="V2125" s="378"/>
      <c r="W2125" s="64" ph="1"/>
      <c r="X2125" s="241"/>
      <c r="Y2125" s="284"/>
      <c r="Z2125" s="207"/>
      <c r="AA2125" s="284"/>
      <c r="AB2125" s="284"/>
      <c r="AC2125" s="284"/>
      <c r="AD2125" s="284"/>
      <c r="AE2125" s="284"/>
      <c r="AF2125" s="284"/>
      <c r="AG2125" s="284"/>
    </row>
    <row r="2126" spans="1:33" ht="26.4">
      <c r="A2126" s="284"/>
      <c r="B2126" s="284"/>
      <c r="C2126" s="284"/>
      <c r="D2126" s="284"/>
      <c r="E2126" s="284"/>
      <c r="F2126" s="284"/>
      <c r="G2126" s="284"/>
      <c r="H2126" s="284"/>
      <c r="I2126" s="284"/>
      <c r="J2126" s="375"/>
      <c r="K2126" s="375"/>
      <c r="L2126" s="375"/>
      <c r="M2126" s="368"/>
      <c r="N2126" s="368"/>
      <c r="O2126" s="370"/>
      <c r="T2126" s="340"/>
      <c r="V2126" s="378"/>
      <c r="W2126" s="64" ph="1"/>
      <c r="X2126" s="241"/>
      <c r="Y2126" s="284"/>
      <c r="Z2126" s="207"/>
      <c r="AA2126" s="284"/>
      <c r="AB2126" s="284"/>
      <c r="AC2126" s="284"/>
      <c r="AD2126" s="284"/>
      <c r="AE2126" s="284"/>
      <c r="AF2126" s="284"/>
      <c r="AG2126" s="284"/>
    </row>
    <row r="2127" spans="1:33" ht="26.4">
      <c r="A2127" s="284"/>
      <c r="B2127" s="284"/>
      <c r="C2127" s="284"/>
      <c r="D2127" s="284"/>
      <c r="E2127" s="284"/>
      <c r="F2127" s="284"/>
      <c r="G2127" s="284"/>
      <c r="H2127" s="284"/>
      <c r="I2127" s="284"/>
      <c r="J2127" s="375"/>
      <c r="K2127" s="375"/>
      <c r="L2127" s="375"/>
      <c r="M2127" s="368"/>
      <c r="N2127" s="368"/>
      <c r="O2127" s="370"/>
      <c r="T2127" s="340"/>
      <c r="V2127" s="378"/>
      <c r="W2127" s="64" ph="1"/>
      <c r="X2127" s="241"/>
      <c r="Y2127" s="284"/>
      <c r="Z2127" s="207"/>
      <c r="AA2127" s="284"/>
      <c r="AB2127" s="284"/>
      <c r="AC2127" s="284"/>
      <c r="AD2127" s="284"/>
      <c r="AE2127" s="284"/>
      <c r="AF2127" s="284"/>
      <c r="AG2127" s="284"/>
    </row>
    <row r="2128" spans="1:33" ht="26.4">
      <c r="A2128" s="284"/>
      <c r="B2128" s="284"/>
      <c r="C2128" s="284"/>
      <c r="D2128" s="284"/>
      <c r="E2128" s="284"/>
      <c r="F2128" s="284"/>
      <c r="G2128" s="284"/>
      <c r="H2128" s="284"/>
      <c r="I2128" s="284"/>
      <c r="J2128" s="375"/>
      <c r="K2128" s="375"/>
      <c r="L2128" s="375"/>
      <c r="M2128" s="368"/>
      <c r="N2128" s="368"/>
      <c r="O2128" s="370"/>
      <c r="T2128" s="340"/>
      <c r="V2128" s="378"/>
      <c r="W2128" s="64" ph="1"/>
      <c r="X2128" s="241"/>
      <c r="Y2128" s="284"/>
      <c r="Z2128" s="207"/>
      <c r="AA2128" s="284"/>
      <c r="AB2128" s="284"/>
      <c r="AC2128" s="284"/>
      <c r="AD2128" s="284"/>
      <c r="AE2128" s="284"/>
      <c r="AF2128" s="284"/>
      <c r="AG2128" s="284"/>
    </row>
    <row r="2129" spans="1:33" ht="26.4">
      <c r="A2129" s="284"/>
      <c r="B2129" s="284"/>
      <c r="C2129" s="284"/>
      <c r="D2129" s="284"/>
      <c r="E2129" s="284"/>
      <c r="F2129" s="284"/>
      <c r="G2129" s="284"/>
      <c r="H2129" s="284"/>
      <c r="I2129" s="284"/>
      <c r="J2129" s="375"/>
      <c r="K2129" s="375"/>
      <c r="L2129" s="375"/>
      <c r="M2129" s="368"/>
      <c r="N2129" s="368"/>
      <c r="O2129" s="370"/>
      <c r="T2129" s="340"/>
      <c r="V2129" s="378"/>
      <c r="W2129" s="64" ph="1"/>
      <c r="X2129" s="241"/>
      <c r="Y2129" s="284"/>
      <c r="Z2129" s="207"/>
      <c r="AA2129" s="284"/>
      <c r="AB2129" s="284"/>
      <c r="AC2129" s="284"/>
      <c r="AD2129" s="284"/>
      <c r="AE2129" s="284"/>
      <c r="AF2129" s="284"/>
      <c r="AG2129" s="284"/>
    </row>
    <row r="2130" spans="1:33" ht="26.4">
      <c r="A2130" s="284"/>
      <c r="B2130" s="284"/>
      <c r="C2130" s="284"/>
      <c r="D2130" s="284"/>
      <c r="E2130" s="284"/>
      <c r="F2130" s="284"/>
      <c r="G2130" s="284"/>
      <c r="H2130" s="284"/>
      <c r="I2130" s="284"/>
      <c r="J2130" s="375"/>
      <c r="K2130" s="375"/>
      <c r="L2130" s="375"/>
      <c r="M2130" s="368"/>
      <c r="N2130" s="368"/>
      <c r="O2130" s="370"/>
      <c r="T2130" s="340"/>
      <c r="V2130" s="378"/>
      <c r="W2130" s="64" ph="1"/>
      <c r="X2130" s="241"/>
      <c r="Y2130" s="284"/>
      <c r="Z2130" s="207"/>
      <c r="AA2130" s="284"/>
      <c r="AB2130" s="284"/>
      <c r="AC2130" s="284"/>
      <c r="AD2130" s="284"/>
      <c r="AE2130" s="284"/>
      <c r="AF2130" s="284"/>
      <c r="AG2130" s="284"/>
    </row>
    <row r="2131" spans="1:33" ht="26.4">
      <c r="A2131" s="284"/>
      <c r="B2131" s="284"/>
      <c r="C2131" s="284"/>
      <c r="D2131" s="284"/>
      <c r="E2131" s="284"/>
      <c r="F2131" s="284"/>
      <c r="G2131" s="284"/>
      <c r="H2131" s="284"/>
      <c r="I2131" s="284"/>
      <c r="J2131" s="375"/>
      <c r="K2131" s="375"/>
      <c r="L2131" s="375"/>
      <c r="M2131" s="368"/>
      <c r="N2131" s="368"/>
      <c r="O2131" s="370"/>
      <c r="T2131" s="340"/>
      <c r="V2131" s="378"/>
      <c r="W2131" s="64" ph="1"/>
      <c r="X2131" s="241"/>
      <c r="Y2131" s="284"/>
      <c r="Z2131" s="207"/>
      <c r="AA2131" s="284"/>
      <c r="AB2131" s="284"/>
      <c r="AC2131" s="284"/>
      <c r="AD2131" s="284"/>
      <c r="AE2131" s="284"/>
      <c r="AF2131" s="284"/>
      <c r="AG2131" s="284"/>
    </row>
    <row r="2132" spans="1:33" ht="26.4">
      <c r="A2132" s="284"/>
      <c r="B2132" s="284"/>
      <c r="C2132" s="284"/>
      <c r="D2132" s="284"/>
      <c r="E2132" s="284"/>
      <c r="F2132" s="284"/>
      <c r="G2132" s="284"/>
      <c r="H2132" s="284"/>
      <c r="I2132" s="284"/>
      <c r="J2132" s="375"/>
      <c r="K2132" s="375"/>
      <c r="L2132" s="375"/>
      <c r="M2132" s="368"/>
      <c r="N2132" s="368"/>
      <c r="O2132" s="370"/>
      <c r="T2132" s="340"/>
      <c r="V2132" s="378"/>
      <c r="W2132" s="64" ph="1"/>
      <c r="X2132" s="241"/>
      <c r="Y2132" s="284"/>
      <c r="Z2132" s="207"/>
      <c r="AA2132" s="284"/>
      <c r="AB2132" s="284"/>
      <c r="AC2132" s="284"/>
      <c r="AD2132" s="284"/>
      <c r="AE2132" s="284"/>
      <c r="AF2132" s="284"/>
      <c r="AG2132" s="284"/>
    </row>
    <row r="2133" spans="1:33" ht="26.4">
      <c r="A2133" s="284"/>
      <c r="B2133" s="284"/>
      <c r="C2133" s="284"/>
      <c r="D2133" s="284"/>
      <c r="E2133" s="284"/>
      <c r="F2133" s="284"/>
      <c r="G2133" s="284"/>
      <c r="H2133" s="284"/>
      <c r="I2133" s="284"/>
      <c r="J2133" s="375"/>
      <c r="K2133" s="375"/>
      <c r="L2133" s="375"/>
      <c r="M2133" s="368"/>
      <c r="N2133" s="368"/>
      <c r="O2133" s="370"/>
      <c r="T2133" s="340"/>
      <c r="V2133" s="378"/>
      <c r="W2133" s="64" ph="1"/>
      <c r="X2133" s="241"/>
      <c r="Y2133" s="284"/>
      <c r="Z2133" s="207"/>
      <c r="AA2133" s="284"/>
      <c r="AB2133" s="284"/>
      <c r="AC2133" s="284"/>
      <c r="AD2133" s="284"/>
      <c r="AE2133" s="284"/>
      <c r="AF2133" s="284"/>
      <c r="AG2133" s="284"/>
    </row>
    <row r="2134" spans="1:33" ht="26.4">
      <c r="A2134" s="284"/>
      <c r="B2134" s="284"/>
      <c r="C2134" s="284"/>
      <c r="D2134" s="284"/>
      <c r="E2134" s="284"/>
      <c r="F2134" s="284"/>
      <c r="G2134" s="284"/>
      <c r="H2134" s="284"/>
      <c r="I2134" s="284"/>
      <c r="J2134" s="375"/>
      <c r="K2134" s="375"/>
      <c r="L2134" s="375"/>
      <c r="M2134" s="368"/>
      <c r="N2134" s="368"/>
      <c r="O2134" s="370"/>
      <c r="T2134" s="340"/>
      <c r="V2134" s="378"/>
      <c r="W2134" s="64" ph="1"/>
      <c r="X2134" s="241"/>
      <c r="Y2134" s="284"/>
      <c r="Z2134" s="207"/>
      <c r="AA2134" s="284"/>
      <c r="AB2134" s="284"/>
      <c r="AC2134" s="284"/>
      <c r="AD2134" s="284"/>
      <c r="AE2134" s="284"/>
      <c r="AF2134" s="284"/>
      <c r="AG2134" s="284"/>
    </row>
    <row r="2135" spans="1:33" ht="26.4">
      <c r="A2135" s="284"/>
      <c r="B2135" s="284"/>
      <c r="C2135" s="284"/>
      <c r="D2135" s="284"/>
      <c r="E2135" s="284"/>
      <c r="F2135" s="284"/>
      <c r="G2135" s="284"/>
      <c r="H2135" s="284"/>
      <c r="I2135" s="284"/>
      <c r="J2135" s="375"/>
      <c r="K2135" s="375"/>
      <c r="L2135" s="375"/>
      <c r="M2135" s="368"/>
      <c r="N2135" s="368"/>
      <c r="O2135" s="370"/>
      <c r="T2135" s="340"/>
      <c r="V2135" s="378"/>
      <c r="W2135" s="64" ph="1"/>
      <c r="X2135" s="241"/>
      <c r="Y2135" s="284"/>
      <c r="Z2135" s="207"/>
      <c r="AA2135" s="284"/>
      <c r="AB2135" s="284"/>
      <c r="AC2135" s="284"/>
      <c r="AD2135" s="284"/>
      <c r="AE2135" s="284"/>
      <c r="AF2135" s="284"/>
      <c r="AG2135" s="284"/>
    </row>
    <row r="2136" spans="1:33" ht="26.4">
      <c r="A2136" s="284"/>
      <c r="B2136" s="284"/>
      <c r="C2136" s="284"/>
      <c r="D2136" s="284"/>
      <c r="E2136" s="284"/>
      <c r="F2136" s="284"/>
      <c r="G2136" s="284"/>
      <c r="H2136" s="284"/>
      <c r="I2136" s="284"/>
      <c r="J2136" s="375"/>
      <c r="K2136" s="375"/>
      <c r="L2136" s="375"/>
      <c r="M2136" s="368"/>
      <c r="N2136" s="368"/>
      <c r="O2136" s="370"/>
      <c r="T2136" s="340"/>
      <c r="V2136" s="378"/>
      <c r="W2136" s="64" ph="1"/>
      <c r="X2136" s="241"/>
      <c r="Y2136" s="284"/>
      <c r="Z2136" s="207"/>
      <c r="AA2136" s="284"/>
      <c r="AB2136" s="284"/>
      <c r="AC2136" s="284"/>
      <c r="AD2136" s="284"/>
      <c r="AE2136" s="284"/>
      <c r="AF2136" s="284"/>
      <c r="AG2136" s="284"/>
    </row>
    <row r="2137" spans="1:33" ht="26.4">
      <c r="A2137" s="284"/>
      <c r="B2137" s="284"/>
      <c r="C2137" s="284"/>
      <c r="D2137" s="284"/>
      <c r="E2137" s="284"/>
      <c r="F2137" s="284"/>
      <c r="G2137" s="284"/>
      <c r="H2137" s="284"/>
      <c r="I2137" s="284"/>
      <c r="J2137" s="375"/>
      <c r="K2137" s="375"/>
      <c r="L2137" s="375"/>
      <c r="M2137" s="368"/>
      <c r="N2137" s="368"/>
      <c r="O2137" s="370"/>
      <c r="T2137" s="340"/>
      <c r="V2137" s="378"/>
      <c r="W2137" s="64" ph="1"/>
      <c r="X2137" s="241"/>
      <c r="Y2137" s="284"/>
      <c r="Z2137" s="207"/>
      <c r="AA2137" s="284"/>
      <c r="AB2137" s="284"/>
      <c r="AC2137" s="284"/>
      <c r="AD2137" s="284"/>
      <c r="AE2137" s="284"/>
      <c r="AF2137" s="284"/>
      <c r="AG2137" s="284"/>
    </row>
    <row r="2138" spans="1:33" ht="26.4">
      <c r="A2138" s="284"/>
      <c r="B2138" s="284"/>
      <c r="C2138" s="284"/>
      <c r="D2138" s="284"/>
      <c r="E2138" s="284"/>
      <c r="F2138" s="284"/>
      <c r="G2138" s="284"/>
      <c r="H2138" s="284"/>
      <c r="I2138" s="284"/>
      <c r="J2138" s="375"/>
      <c r="K2138" s="375"/>
      <c r="L2138" s="375"/>
      <c r="M2138" s="368"/>
      <c r="N2138" s="368"/>
      <c r="O2138" s="370"/>
      <c r="T2138" s="340"/>
      <c r="V2138" s="378"/>
      <c r="W2138" s="64" ph="1"/>
      <c r="X2138" s="241"/>
      <c r="Y2138" s="284"/>
      <c r="Z2138" s="207"/>
      <c r="AA2138" s="284"/>
      <c r="AB2138" s="284"/>
      <c r="AC2138" s="284"/>
      <c r="AD2138" s="284"/>
      <c r="AE2138" s="284"/>
      <c r="AF2138" s="284"/>
      <c r="AG2138" s="284"/>
    </row>
    <row r="2139" spans="1:33" ht="26.4">
      <c r="A2139" s="284"/>
      <c r="B2139" s="284"/>
      <c r="C2139" s="284"/>
      <c r="D2139" s="284"/>
      <c r="E2139" s="284"/>
      <c r="F2139" s="284"/>
      <c r="G2139" s="284"/>
      <c r="H2139" s="284"/>
      <c r="I2139" s="284"/>
      <c r="J2139" s="375"/>
      <c r="K2139" s="375"/>
      <c r="L2139" s="375"/>
      <c r="M2139" s="368"/>
      <c r="N2139" s="368"/>
      <c r="O2139" s="370"/>
      <c r="T2139" s="340"/>
      <c r="V2139" s="378"/>
      <c r="W2139" s="64" ph="1"/>
      <c r="X2139" s="241"/>
      <c r="Y2139" s="284"/>
      <c r="Z2139" s="207"/>
      <c r="AA2139" s="284"/>
      <c r="AB2139" s="284"/>
      <c r="AC2139" s="284"/>
      <c r="AD2139" s="284"/>
      <c r="AE2139" s="284"/>
      <c r="AF2139" s="284"/>
      <c r="AG2139" s="284"/>
    </row>
    <row r="2140" spans="1:33" ht="26.4">
      <c r="A2140" s="284"/>
      <c r="B2140" s="284"/>
      <c r="C2140" s="284"/>
      <c r="D2140" s="284"/>
      <c r="E2140" s="284"/>
      <c r="F2140" s="284"/>
      <c r="G2140" s="284"/>
      <c r="H2140" s="284"/>
      <c r="I2140" s="284"/>
      <c r="J2140" s="375"/>
      <c r="K2140" s="375"/>
      <c r="L2140" s="375"/>
      <c r="M2140" s="368"/>
      <c r="N2140" s="368"/>
      <c r="O2140" s="370"/>
      <c r="T2140" s="340"/>
      <c r="V2140" s="378"/>
      <c r="W2140" s="64" ph="1"/>
      <c r="X2140" s="241"/>
      <c r="Y2140" s="284"/>
      <c r="Z2140" s="207"/>
      <c r="AA2140" s="284"/>
      <c r="AB2140" s="284"/>
      <c r="AC2140" s="284"/>
      <c r="AD2140" s="284"/>
      <c r="AE2140" s="284"/>
      <c r="AF2140" s="284"/>
      <c r="AG2140" s="284"/>
    </row>
    <row r="2141" spans="1:33" ht="26.4">
      <c r="A2141" s="284"/>
      <c r="B2141" s="284"/>
      <c r="C2141" s="284"/>
      <c r="D2141" s="284"/>
      <c r="E2141" s="284"/>
      <c r="F2141" s="284"/>
      <c r="G2141" s="284"/>
      <c r="H2141" s="284"/>
      <c r="I2141" s="284"/>
      <c r="J2141" s="375"/>
      <c r="K2141" s="375"/>
      <c r="L2141" s="375"/>
      <c r="M2141" s="368"/>
      <c r="N2141" s="368"/>
      <c r="O2141" s="370"/>
      <c r="T2141" s="340"/>
      <c r="V2141" s="378"/>
      <c r="W2141" s="64" ph="1"/>
      <c r="X2141" s="241"/>
      <c r="Y2141" s="284"/>
      <c r="Z2141" s="207"/>
      <c r="AA2141" s="284"/>
      <c r="AB2141" s="284"/>
      <c r="AC2141" s="284"/>
      <c r="AD2141" s="284"/>
      <c r="AE2141" s="284"/>
      <c r="AF2141" s="284"/>
      <c r="AG2141" s="284"/>
    </row>
    <row r="2142" spans="1:33" ht="26.4">
      <c r="A2142" s="284"/>
      <c r="B2142" s="284"/>
      <c r="C2142" s="284"/>
      <c r="D2142" s="284"/>
      <c r="E2142" s="284"/>
      <c r="F2142" s="284"/>
      <c r="G2142" s="284"/>
      <c r="H2142" s="284"/>
      <c r="I2142" s="284"/>
      <c r="J2142" s="375"/>
      <c r="K2142" s="375"/>
      <c r="L2142" s="375"/>
      <c r="M2142" s="368"/>
      <c r="N2142" s="368"/>
      <c r="O2142" s="370"/>
      <c r="T2142" s="340"/>
      <c r="V2142" s="378"/>
      <c r="W2142" s="64" ph="1"/>
      <c r="X2142" s="241"/>
      <c r="Y2142" s="284"/>
      <c r="Z2142" s="207"/>
      <c r="AA2142" s="284"/>
      <c r="AB2142" s="284"/>
      <c r="AC2142" s="284"/>
      <c r="AD2142" s="284"/>
      <c r="AE2142" s="284"/>
      <c r="AF2142" s="284"/>
      <c r="AG2142" s="284"/>
    </row>
    <row r="2143" spans="1:33" ht="26.4">
      <c r="A2143" s="284"/>
      <c r="B2143" s="284"/>
      <c r="C2143" s="284"/>
      <c r="D2143" s="284"/>
      <c r="E2143" s="284"/>
      <c r="F2143" s="284"/>
      <c r="G2143" s="284"/>
      <c r="H2143" s="284"/>
      <c r="I2143" s="284"/>
      <c r="J2143" s="375"/>
      <c r="K2143" s="375"/>
      <c r="L2143" s="375"/>
      <c r="M2143" s="368"/>
      <c r="N2143" s="368"/>
      <c r="O2143" s="370"/>
      <c r="T2143" s="340"/>
      <c r="V2143" s="378"/>
      <c r="W2143" s="64" ph="1"/>
      <c r="X2143" s="241"/>
      <c r="Y2143" s="284"/>
      <c r="Z2143" s="207"/>
      <c r="AA2143" s="284"/>
      <c r="AB2143" s="284"/>
      <c r="AC2143" s="284"/>
      <c r="AD2143" s="284"/>
      <c r="AE2143" s="284"/>
      <c r="AF2143" s="284"/>
      <c r="AG2143" s="284"/>
    </row>
    <row r="2144" spans="1:33" ht="26.4">
      <c r="A2144" s="284"/>
      <c r="B2144" s="284"/>
      <c r="C2144" s="284"/>
      <c r="D2144" s="284"/>
      <c r="E2144" s="284"/>
      <c r="F2144" s="284"/>
      <c r="G2144" s="284"/>
      <c r="H2144" s="284"/>
      <c r="I2144" s="284"/>
      <c r="J2144" s="375"/>
      <c r="K2144" s="375"/>
      <c r="L2144" s="375"/>
      <c r="M2144" s="368"/>
      <c r="N2144" s="368"/>
      <c r="O2144" s="370"/>
      <c r="T2144" s="340"/>
      <c r="V2144" s="378"/>
      <c r="W2144" s="64" ph="1"/>
      <c r="X2144" s="241"/>
      <c r="Y2144" s="284"/>
      <c r="Z2144" s="207"/>
      <c r="AA2144" s="284"/>
      <c r="AB2144" s="284"/>
      <c r="AC2144" s="284"/>
      <c r="AD2144" s="284"/>
      <c r="AE2144" s="284"/>
      <c r="AF2144" s="284"/>
      <c r="AG2144" s="284"/>
    </row>
    <row r="2145" spans="1:33" ht="26.4">
      <c r="A2145" s="284"/>
      <c r="B2145" s="284"/>
      <c r="C2145" s="284"/>
      <c r="D2145" s="284"/>
      <c r="E2145" s="284"/>
      <c r="F2145" s="284"/>
      <c r="G2145" s="284"/>
      <c r="H2145" s="284"/>
      <c r="I2145" s="284"/>
      <c r="J2145" s="375"/>
      <c r="K2145" s="375"/>
      <c r="L2145" s="375"/>
      <c r="M2145" s="368"/>
      <c r="N2145" s="368"/>
      <c r="O2145" s="370"/>
      <c r="T2145" s="340"/>
      <c r="V2145" s="378"/>
      <c r="W2145" s="64" ph="1"/>
      <c r="X2145" s="241"/>
      <c r="Y2145" s="284"/>
      <c r="Z2145" s="207"/>
      <c r="AA2145" s="284"/>
      <c r="AB2145" s="284"/>
      <c r="AC2145" s="284"/>
      <c r="AD2145" s="284"/>
      <c r="AE2145" s="284"/>
      <c r="AF2145" s="284"/>
      <c r="AG2145" s="284"/>
    </row>
    <row r="2146" spans="1:33" ht="26.4">
      <c r="A2146" s="284"/>
      <c r="B2146" s="284"/>
      <c r="C2146" s="284"/>
      <c r="D2146" s="284"/>
      <c r="E2146" s="284"/>
      <c r="F2146" s="284"/>
      <c r="G2146" s="284"/>
      <c r="H2146" s="284"/>
      <c r="I2146" s="284"/>
      <c r="J2146" s="375"/>
      <c r="K2146" s="375"/>
      <c r="L2146" s="375"/>
      <c r="M2146" s="368"/>
      <c r="N2146" s="368"/>
      <c r="O2146" s="370"/>
      <c r="T2146" s="340"/>
      <c r="V2146" s="378"/>
      <c r="W2146" s="64" ph="1"/>
      <c r="X2146" s="241"/>
      <c r="Y2146" s="284"/>
      <c r="Z2146" s="207"/>
      <c r="AA2146" s="284"/>
      <c r="AB2146" s="284"/>
      <c r="AC2146" s="284"/>
      <c r="AD2146" s="284"/>
      <c r="AE2146" s="284"/>
      <c r="AF2146" s="284"/>
      <c r="AG2146" s="284"/>
    </row>
    <row r="2147" spans="1:33" ht="26.4">
      <c r="A2147" s="284"/>
      <c r="B2147" s="284"/>
      <c r="C2147" s="284"/>
      <c r="D2147" s="284"/>
      <c r="E2147" s="284"/>
      <c r="F2147" s="284"/>
      <c r="G2147" s="284"/>
      <c r="H2147" s="284"/>
      <c r="I2147" s="284"/>
      <c r="J2147" s="375"/>
      <c r="K2147" s="375"/>
      <c r="L2147" s="375"/>
      <c r="M2147" s="368"/>
      <c r="N2147" s="368"/>
      <c r="O2147" s="370"/>
      <c r="T2147" s="340"/>
      <c r="V2147" s="378"/>
      <c r="W2147" s="64" ph="1"/>
      <c r="X2147" s="241"/>
      <c r="Y2147" s="284"/>
      <c r="Z2147" s="207"/>
      <c r="AA2147" s="284"/>
      <c r="AB2147" s="284"/>
      <c r="AC2147" s="284"/>
      <c r="AD2147" s="284"/>
      <c r="AE2147" s="284"/>
      <c r="AF2147" s="284"/>
      <c r="AG2147" s="284"/>
    </row>
    <row r="2148" spans="1:33" ht="26.4">
      <c r="A2148" s="284"/>
      <c r="B2148" s="284"/>
      <c r="C2148" s="284"/>
      <c r="D2148" s="284"/>
      <c r="E2148" s="284"/>
      <c r="F2148" s="284"/>
      <c r="G2148" s="284"/>
      <c r="H2148" s="284"/>
      <c r="I2148" s="284"/>
      <c r="J2148" s="375"/>
      <c r="K2148" s="375"/>
      <c r="L2148" s="375"/>
      <c r="M2148" s="368"/>
      <c r="N2148" s="368"/>
      <c r="O2148" s="370"/>
      <c r="T2148" s="340"/>
      <c r="V2148" s="378"/>
      <c r="W2148" s="64" ph="1"/>
      <c r="X2148" s="241"/>
      <c r="Y2148" s="284"/>
      <c r="Z2148" s="207"/>
      <c r="AA2148" s="284"/>
      <c r="AB2148" s="284"/>
      <c r="AC2148" s="284"/>
      <c r="AD2148" s="284"/>
      <c r="AE2148" s="284"/>
      <c r="AF2148" s="284"/>
      <c r="AG2148" s="284"/>
    </row>
    <row r="2149" spans="1:33" ht="26.4">
      <c r="A2149" s="284"/>
      <c r="B2149" s="284"/>
      <c r="C2149" s="284"/>
      <c r="D2149" s="284"/>
      <c r="E2149" s="284"/>
      <c r="F2149" s="284"/>
      <c r="G2149" s="284"/>
      <c r="H2149" s="284"/>
      <c r="I2149" s="284"/>
      <c r="J2149" s="375"/>
      <c r="K2149" s="375"/>
      <c r="L2149" s="375"/>
      <c r="M2149" s="368"/>
      <c r="N2149" s="368"/>
      <c r="O2149" s="370"/>
      <c r="T2149" s="340"/>
      <c r="V2149" s="378"/>
      <c r="W2149" s="64" ph="1"/>
      <c r="X2149" s="241"/>
      <c r="Y2149" s="284"/>
      <c r="Z2149" s="207"/>
      <c r="AA2149" s="284"/>
      <c r="AB2149" s="284"/>
      <c r="AC2149" s="284"/>
      <c r="AD2149" s="284"/>
      <c r="AE2149" s="284"/>
      <c r="AF2149" s="284"/>
      <c r="AG2149" s="284"/>
    </row>
    <row r="2150" spans="1:33" ht="26.4">
      <c r="A2150" s="284"/>
      <c r="B2150" s="284"/>
      <c r="C2150" s="284"/>
      <c r="D2150" s="284"/>
      <c r="E2150" s="284"/>
      <c r="F2150" s="284"/>
      <c r="G2150" s="284"/>
      <c r="H2150" s="284"/>
      <c r="I2150" s="284"/>
      <c r="J2150" s="375"/>
      <c r="K2150" s="375"/>
      <c r="L2150" s="375"/>
      <c r="M2150" s="368"/>
      <c r="N2150" s="368"/>
      <c r="O2150" s="370"/>
      <c r="T2150" s="340"/>
      <c r="V2150" s="378"/>
      <c r="W2150" s="64" ph="1"/>
      <c r="X2150" s="241"/>
      <c r="Y2150" s="284"/>
      <c r="Z2150" s="207"/>
      <c r="AA2150" s="284"/>
      <c r="AB2150" s="284"/>
      <c r="AC2150" s="284"/>
      <c r="AD2150" s="284"/>
      <c r="AE2150" s="284"/>
      <c r="AF2150" s="284"/>
      <c r="AG2150" s="284"/>
    </row>
    <row r="2151" spans="1:33" ht="26.4">
      <c r="A2151" s="284"/>
      <c r="B2151" s="284"/>
      <c r="C2151" s="284"/>
      <c r="D2151" s="284"/>
      <c r="E2151" s="284"/>
      <c r="F2151" s="284"/>
      <c r="G2151" s="284"/>
      <c r="H2151" s="284"/>
      <c r="I2151" s="284"/>
      <c r="J2151" s="375"/>
      <c r="K2151" s="375"/>
      <c r="L2151" s="375"/>
      <c r="M2151" s="368"/>
      <c r="N2151" s="368"/>
      <c r="O2151" s="370"/>
      <c r="T2151" s="340"/>
      <c r="V2151" s="378"/>
      <c r="W2151" s="64" ph="1"/>
      <c r="X2151" s="241"/>
      <c r="Y2151" s="284"/>
      <c r="Z2151" s="207"/>
      <c r="AA2151" s="284"/>
      <c r="AB2151" s="284"/>
      <c r="AC2151" s="284"/>
      <c r="AD2151" s="284"/>
      <c r="AE2151" s="284"/>
      <c r="AF2151" s="284"/>
      <c r="AG2151" s="284"/>
    </row>
    <row r="2152" spans="1:33" ht="26.4">
      <c r="A2152" s="284"/>
      <c r="B2152" s="284"/>
      <c r="C2152" s="284"/>
      <c r="D2152" s="284"/>
      <c r="E2152" s="284"/>
      <c r="F2152" s="284"/>
      <c r="G2152" s="284"/>
      <c r="H2152" s="284"/>
      <c r="I2152" s="284"/>
      <c r="J2152" s="375"/>
      <c r="K2152" s="375"/>
      <c r="L2152" s="375"/>
      <c r="M2152" s="368"/>
      <c r="N2152" s="368"/>
      <c r="O2152" s="370"/>
      <c r="T2152" s="340"/>
      <c r="V2152" s="378"/>
      <c r="W2152" s="64" ph="1"/>
      <c r="X2152" s="241"/>
      <c r="Y2152" s="284"/>
      <c r="Z2152" s="207"/>
      <c r="AA2152" s="284"/>
      <c r="AB2152" s="284"/>
      <c r="AC2152" s="284"/>
      <c r="AD2152" s="284"/>
      <c r="AE2152" s="284"/>
      <c r="AF2152" s="284"/>
      <c r="AG2152" s="284"/>
    </row>
    <row r="2153" spans="1:33" ht="26.4">
      <c r="A2153" s="284"/>
      <c r="B2153" s="284"/>
      <c r="C2153" s="284"/>
      <c r="D2153" s="284"/>
      <c r="E2153" s="284"/>
      <c r="F2153" s="284"/>
      <c r="G2153" s="284"/>
      <c r="H2153" s="284"/>
      <c r="I2153" s="284"/>
      <c r="J2153" s="375"/>
      <c r="K2153" s="375"/>
      <c r="L2153" s="375"/>
      <c r="M2153" s="368"/>
      <c r="N2153" s="368"/>
      <c r="O2153" s="370"/>
      <c r="T2153" s="340"/>
      <c r="V2153" s="378"/>
      <c r="W2153" s="64" ph="1"/>
      <c r="X2153" s="241"/>
      <c r="Y2153" s="284"/>
      <c r="Z2153" s="207"/>
      <c r="AA2153" s="284"/>
      <c r="AB2153" s="284"/>
      <c r="AC2153" s="284"/>
      <c r="AD2153" s="284"/>
      <c r="AE2153" s="284"/>
      <c r="AF2153" s="284"/>
      <c r="AG2153" s="284"/>
    </row>
    <row r="2154" spans="1:33" ht="26.4">
      <c r="A2154" s="284"/>
      <c r="B2154" s="284"/>
      <c r="C2154" s="284"/>
      <c r="D2154" s="284"/>
      <c r="E2154" s="284"/>
      <c r="F2154" s="284"/>
      <c r="G2154" s="284"/>
      <c r="H2154" s="284"/>
      <c r="I2154" s="284"/>
      <c r="J2154" s="375"/>
      <c r="K2154" s="375"/>
      <c r="L2154" s="375"/>
      <c r="M2154" s="368"/>
      <c r="N2154" s="368"/>
      <c r="O2154" s="370"/>
      <c r="T2154" s="340"/>
      <c r="V2154" s="378"/>
      <c r="W2154" s="64" ph="1"/>
      <c r="X2154" s="241"/>
      <c r="Y2154" s="284"/>
      <c r="Z2154" s="207"/>
      <c r="AA2154" s="284"/>
      <c r="AB2154" s="284"/>
      <c r="AC2154" s="284"/>
      <c r="AD2154" s="284"/>
      <c r="AE2154" s="284"/>
      <c r="AF2154" s="284"/>
      <c r="AG2154" s="284"/>
    </row>
    <row r="2155" spans="1:33" ht="26.4">
      <c r="A2155" s="284"/>
      <c r="B2155" s="284"/>
      <c r="C2155" s="284"/>
      <c r="D2155" s="284"/>
      <c r="E2155" s="284"/>
      <c r="F2155" s="284"/>
      <c r="G2155" s="284"/>
      <c r="H2155" s="284"/>
      <c r="I2155" s="284"/>
      <c r="J2155" s="375"/>
      <c r="K2155" s="375"/>
      <c r="L2155" s="375"/>
      <c r="M2155" s="368"/>
      <c r="N2155" s="368"/>
      <c r="O2155" s="370"/>
      <c r="T2155" s="340"/>
      <c r="V2155" s="378"/>
      <c r="W2155" s="64" ph="1"/>
      <c r="X2155" s="241"/>
      <c r="Y2155" s="284"/>
      <c r="Z2155" s="207"/>
      <c r="AA2155" s="284"/>
      <c r="AB2155" s="284"/>
      <c r="AC2155" s="284"/>
      <c r="AD2155" s="284"/>
      <c r="AE2155" s="284"/>
      <c r="AF2155" s="284"/>
      <c r="AG2155" s="284"/>
    </row>
    <row r="2156" spans="1:33" ht="26.4">
      <c r="A2156" s="284"/>
      <c r="B2156" s="284"/>
      <c r="C2156" s="284"/>
      <c r="D2156" s="284"/>
      <c r="E2156" s="284"/>
      <c r="F2156" s="284"/>
      <c r="G2156" s="284"/>
      <c r="H2156" s="284"/>
      <c r="I2156" s="284"/>
      <c r="J2156" s="375"/>
      <c r="K2156" s="375"/>
      <c r="L2156" s="375"/>
      <c r="M2156" s="368"/>
      <c r="N2156" s="368"/>
      <c r="O2156" s="370"/>
      <c r="T2156" s="340"/>
      <c r="V2156" s="378"/>
      <c r="W2156" s="64" ph="1"/>
      <c r="X2156" s="241"/>
      <c r="Y2156" s="284"/>
      <c r="Z2156" s="207"/>
      <c r="AA2156" s="284"/>
      <c r="AB2156" s="284"/>
      <c r="AC2156" s="284"/>
      <c r="AD2156" s="284"/>
      <c r="AE2156" s="284"/>
      <c r="AF2156" s="284"/>
      <c r="AG2156" s="284"/>
    </row>
    <row r="2157" spans="1:33" ht="26.4">
      <c r="A2157" s="284"/>
      <c r="B2157" s="284"/>
      <c r="C2157" s="284"/>
      <c r="D2157" s="284"/>
      <c r="E2157" s="284"/>
      <c r="F2157" s="284"/>
      <c r="G2157" s="284"/>
      <c r="H2157" s="284"/>
      <c r="I2157" s="284"/>
      <c r="J2157" s="375"/>
      <c r="K2157" s="375"/>
      <c r="L2157" s="375"/>
      <c r="M2157" s="368"/>
      <c r="N2157" s="368"/>
      <c r="O2157" s="370"/>
      <c r="T2157" s="340"/>
      <c r="V2157" s="378"/>
      <c r="W2157" s="64" ph="1"/>
      <c r="X2157" s="241"/>
      <c r="Y2157" s="284"/>
      <c r="Z2157" s="207"/>
      <c r="AA2157" s="284"/>
      <c r="AB2157" s="284"/>
      <c r="AC2157" s="284"/>
      <c r="AD2157" s="284"/>
      <c r="AE2157" s="284"/>
      <c r="AF2157" s="284"/>
      <c r="AG2157" s="284"/>
    </row>
    <row r="2158" spans="1:33" ht="26.4">
      <c r="A2158" s="284"/>
      <c r="B2158" s="284"/>
      <c r="C2158" s="284"/>
      <c r="D2158" s="284"/>
      <c r="E2158" s="284"/>
      <c r="F2158" s="284"/>
      <c r="G2158" s="284"/>
      <c r="H2158" s="284"/>
      <c r="I2158" s="284"/>
      <c r="J2158" s="375"/>
      <c r="K2158" s="375"/>
      <c r="L2158" s="375"/>
      <c r="M2158" s="368"/>
      <c r="N2158" s="368"/>
      <c r="O2158" s="370"/>
      <c r="T2158" s="340"/>
      <c r="V2158" s="378"/>
      <c r="W2158" s="64" ph="1"/>
      <c r="X2158" s="241"/>
      <c r="Y2158" s="284"/>
      <c r="Z2158" s="207"/>
      <c r="AA2158" s="284"/>
      <c r="AB2158" s="284"/>
      <c r="AC2158" s="284"/>
      <c r="AD2158" s="284"/>
      <c r="AE2158" s="284"/>
      <c r="AF2158" s="284"/>
      <c r="AG2158" s="284"/>
    </row>
    <row r="2159" spans="1:33" ht="26.4">
      <c r="A2159" s="284"/>
      <c r="B2159" s="284"/>
      <c r="C2159" s="284"/>
      <c r="D2159" s="284"/>
      <c r="E2159" s="284"/>
      <c r="F2159" s="284"/>
      <c r="G2159" s="284"/>
      <c r="H2159" s="284"/>
      <c r="I2159" s="284"/>
      <c r="J2159" s="375"/>
      <c r="K2159" s="375"/>
      <c r="L2159" s="375"/>
      <c r="M2159" s="368"/>
      <c r="N2159" s="368"/>
      <c r="O2159" s="370"/>
      <c r="T2159" s="340"/>
      <c r="V2159" s="378"/>
      <c r="W2159" s="64" ph="1"/>
      <c r="X2159" s="241"/>
      <c r="Y2159" s="284"/>
      <c r="Z2159" s="207"/>
      <c r="AA2159" s="284"/>
      <c r="AB2159" s="284"/>
      <c r="AC2159" s="284"/>
      <c r="AD2159" s="284"/>
      <c r="AE2159" s="284"/>
      <c r="AF2159" s="284"/>
      <c r="AG2159" s="284"/>
    </row>
    <row r="2160" spans="1:33" ht="26.4">
      <c r="A2160" s="284"/>
      <c r="B2160" s="284"/>
      <c r="C2160" s="284"/>
      <c r="D2160" s="284"/>
      <c r="E2160" s="284"/>
      <c r="F2160" s="284"/>
      <c r="G2160" s="284"/>
      <c r="H2160" s="284"/>
      <c r="I2160" s="284"/>
      <c r="J2160" s="375"/>
      <c r="K2160" s="375"/>
      <c r="L2160" s="375"/>
      <c r="M2160" s="368"/>
      <c r="N2160" s="368"/>
      <c r="O2160" s="370"/>
      <c r="T2160" s="340"/>
      <c r="V2160" s="378"/>
      <c r="W2160" s="64" ph="1"/>
      <c r="X2160" s="241"/>
      <c r="Y2160" s="284"/>
      <c r="Z2160" s="207"/>
      <c r="AA2160" s="284"/>
      <c r="AB2160" s="284"/>
      <c r="AC2160" s="284"/>
      <c r="AD2160" s="284"/>
      <c r="AE2160" s="284"/>
      <c r="AF2160" s="284"/>
      <c r="AG2160" s="284"/>
    </row>
    <row r="2161" spans="1:33" ht="26.4">
      <c r="A2161" s="284"/>
      <c r="B2161" s="284"/>
      <c r="C2161" s="284"/>
      <c r="D2161" s="284"/>
      <c r="E2161" s="284"/>
      <c r="F2161" s="284"/>
      <c r="G2161" s="284"/>
      <c r="H2161" s="284"/>
      <c r="I2161" s="284"/>
      <c r="J2161" s="375"/>
      <c r="K2161" s="375"/>
      <c r="L2161" s="375"/>
      <c r="M2161" s="368"/>
      <c r="N2161" s="368"/>
      <c r="O2161" s="370"/>
      <c r="T2161" s="340"/>
      <c r="V2161" s="378"/>
      <c r="W2161" s="64" ph="1"/>
      <c r="X2161" s="241"/>
      <c r="Y2161" s="284"/>
      <c r="Z2161" s="207"/>
      <c r="AA2161" s="284"/>
      <c r="AB2161" s="284"/>
      <c r="AC2161" s="284"/>
      <c r="AD2161" s="284"/>
      <c r="AE2161" s="284"/>
      <c r="AF2161" s="284"/>
      <c r="AG2161" s="284"/>
    </row>
    <row r="2162" spans="1:33" ht="26.4">
      <c r="A2162" s="284"/>
      <c r="B2162" s="284"/>
      <c r="C2162" s="284"/>
      <c r="D2162" s="284"/>
      <c r="E2162" s="284"/>
      <c r="F2162" s="284"/>
      <c r="G2162" s="284"/>
      <c r="H2162" s="284"/>
      <c r="I2162" s="284"/>
      <c r="J2162" s="375"/>
      <c r="K2162" s="375"/>
      <c r="L2162" s="375"/>
      <c r="M2162" s="368"/>
      <c r="N2162" s="368"/>
      <c r="O2162" s="370"/>
      <c r="T2162" s="340"/>
      <c r="V2162" s="378"/>
      <c r="W2162" s="64" ph="1"/>
      <c r="X2162" s="241"/>
      <c r="Y2162" s="284"/>
      <c r="Z2162" s="207"/>
      <c r="AA2162" s="284"/>
      <c r="AB2162" s="284"/>
      <c r="AC2162" s="284"/>
      <c r="AD2162" s="284"/>
      <c r="AE2162" s="284"/>
      <c r="AF2162" s="284"/>
      <c r="AG2162" s="284"/>
    </row>
    <row r="2163" spans="1:33" ht="26.4">
      <c r="A2163" s="284"/>
      <c r="B2163" s="284"/>
      <c r="C2163" s="284"/>
      <c r="D2163" s="284"/>
      <c r="E2163" s="284"/>
      <c r="F2163" s="284"/>
      <c r="G2163" s="284"/>
      <c r="H2163" s="284"/>
      <c r="I2163" s="284"/>
      <c r="J2163" s="375"/>
      <c r="K2163" s="375"/>
      <c r="L2163" s="375"/>
      <c r="M2163" s="368"/>
      <c r="N2163" s="368"/>
      <c r="O2163" s="370"/>
      <c r="T2163" s="340"/>
      <c r="V2163" s="378"/>
      <c r="W2163" s="64" ph="1"/>
      <c r="X2163" s="241"/>
      <c r="Y2163" s="284"/>
      <c r="Z2163" s="207"/>
      <c r="AA2163" s="284"/>
      <c r="AB2163" s="284"/>
      <c r="AC2163" s="284"/>
      <c r="AD2163" s="284"/>
      <c r="AE2163" s="284"/>
      <c r="AF2163" s="284"/>
      <c r="AG2163" s="284"/>
    </row>
    <row r="2164" spans="1:33" ht="26.4">
      <c r="A2164" s="284"/>
      <c r="B2164" s="284"/>
      <c r="C2164" s="284"/>
      <c r="D2164" s="284"/>
      <c r="E2164" s="284"/>
      <c r="F2164" s="284"/>
      <c r="G2164" s="284"/>
      <c r="H2164" s="284"/>
      <c r="I2164" s="284"/>
      <c r="J2164" s="375"/>
      <c r="K2164" s="375"/>
      <c r="L2164" s="375"/>
      <c r="M2164" s="368"/>
      <c r="N2164" s="368"/>
      <c r="O2164" s="370"/>
      <c r="T2164" s="340"/>
      <c r="V2164" s="378"/>
      <c r="W2164" s="64" ph="1"/>
      <c r="X2164" s="241"/>
      <c r="Y2164" s="284"/>
      <c r="Z2164" s="207"/>
      <c r="AA2164" s="284"/>
      <c r="AB2164" s="284"/>
      <c r="AC2164" s="284"/>
      <c r="AD2164" s="284"/>
      <c r="AE2164" s="284"/>
      <c r="AF2164" s="284"/>
      <c r="AG2164" s="284"/>
    </row>
    <row r="2165" spans="1:33" ht="26.4">
      <c r="A2165" s="284"/>
      <c r="B2165" s="284"/>
      <c r="C2165" s="284"/>
      <c r="D2165" s="284"/>
      <c r="E2165" s="284"/>
      <c r="F2165" s="284"/>
      <c r="G2165" s="284"/>
      <c r="H2165" s="284"/>
      <c r="I2165" s="284"/>
      <c r="J2165" s="375"/>
      <c r="K2165" s="375"/>
      <c r="L2165" s="375"/>
      <c r="M2165" s="368"/>
      <c r="N2165" s="368"/>
      <c r="O2165" s="370"/>
      <c r="T2165" s="340"/>
      <c r="V2165" s="378"/>
      <c r="W2165" s="64" ph="1"/>
      <c r="X2165" s="241"/>
      <c r="Y2165" s="284"/>
      <c r="Z2165" s="207"/>
      <c r="AA2165" s="284"/>
      <c r="AB2165" s="284"/>
      <c r="AC2165" s="284"/>
      <c r="AD2165" s="284"/>
      <c r="AE2165" s="284"/>
      <c r="AF2165" s="284"/>
      <c r="AG2165" s="284"/>
    </row>
    <row r="2166" spans="1:33" ht="26.4">
      <c r="A2166" s="284"/>
      <c r="B2166" s="284"/>
      <c r="C2166" s="284"/>
      <c r="D2166" s="284"/>
      <c r="E2166" s="284"/>
      <c r="F2166" s="284"/>
      <c r="G2166" s="284"/>
      <c r="H2166" s="284"/>
      <c r="I2166" s="284"/>
      <c r="J2166" s="375"/>
      <c r="K2166" s="375"/>
      <c r="L2166" s="375"/>
      <c r="M2166" s="368"/>
      <c r="N2166" s="368"/>
      <c r="O2166" s="370"/>
      <c r="T2166" s="340"/>
      <c r="V2166" s="378"/>
      <c r="W2166" s="64" ph="1"/>
      <c r="X2166" s="241"/>
      <c r="Y2166" s="284"/>
      <c r="Z2166" s="207"/>
      <c r="AA2166" s="284"/>
      <c r="AB2166" s="284"/>
      <c r="AC2166" s="284"/>
      <c r="AD2166" s="284"/>
      <c r="AE2166" s="284"/>
      <c r="AF2166" s="284"/>
      <c r="AG2166" s="284"/>
    </row>
    <row r="2167" spans="1:33" ht="26.4">
      <c r="A2167" s="284"/>
      <c r="B2167" s="284"/>
      <c r="C2167" s="284"/>
      <c r="D2167" s="284"/>
      <c r="E2167" s="284"/>
      <c r="F2167" s="284"/>
      <c r="G2167" s="284"/>
      <c r="H2167" s="284"/>
      <c r="I2167" s="284"/>
      <c r="J2167" s="375"/>
      <c r="K2167" s="375"/>
      <c r="L2167" s="375"/>
      <c r="M2167" s="368"/>
      <c r="N2167" s="368"/>
      <c r="O2167" s="370"/>
      <c r="T2167" s="340"/>
      <c r="V2167" s="378"/>
      <c r="W2167" s="64" ph="1"/>
      <c r="X2167" s="241"/>
      <c r="Y2167" s="284"/>
      <c r="Z2167" s="207"/>
      <c r="AA2167" s="284"/>
      <c r="AB2167" s="284"/>
      <c r="AC2167" s="284"/>
      <c r="AD2167" s="284"/>
      <c r="AE2167" s="284"/>
      <c r="AF2167" s="284"/>
      <c r="AG2167" s="284"/>
    </row>
    <row r="2168" spans="1:33" ht="26.4">
      <c r="A2168" s="284"/>
      <c r="B2168" s="284"/>
      <c r="C2168" s="284"/>
      <c r="D2168" s="284"/>
      <c r="E2168" s="284"/>
      <c r="F2168" s="284"/>
      <c r="G2168" s="284"/>
      <c r="H2168" s="284"/>
      <c r="I2168" s="284"/>
      <c r="J2168" s="375"/>
      <c r="K2168" s="375"/>
      <c r="L2168" s="375"/>
      <c r="M2168" s="368"/>
      <c r="N2168" s="368"/>
      <c r="O2168" s="370"/>
      <c r="T2168" s="340"/>
      <c r="V2168" s="378"/>
      <c r="W2168" s="64" ph="1"/>
      <c r="X2168" s="241"/>
      <c r="Y2168" s="284"/>
      <c r="Z2168" s="207"/>
      <c r="AA2168" s="284"/>
      <c r="AB2168" s="284"/>
      <c r="AC2168" s="284"/>
      <c r="AD2168" s="284"/>
      <c r="AE2168" s="284"/>
      <c r="AF2168" s="284"/>
      <c r="AG2168" s="284"/>
    </row>
    <row r="2169" spans="1:33" ht="26.4">
      <c r="A2169" s="284"/>
      <c r="B2169" s="284"/>
      <c r="C2169" s="284"/>
      <c r="D2169" s="284"/>
      <c r="E2169" s="284"/>
      <c r="F2169" s="284"/>
      <c r="G2169" s="284"/>
      <c r="H2169" s="284"/>
      <c r="I2169" s="284"/>
      <c r="J2169" s="375"/>
      <c r="K2169" s="375"/>
      <c r="L2169" s="375"/>
      <c r="M2169" s="368"/>
      <c r="N2169" s="368"/>
      <c r="O2169" s="370"/>
      <c r="T2169" s="340"/>
      <c r="V2169" s="378"/>
      <c r="W2169" s="64" ph="1"/>
      <c r="X2169" s="241"/>
      <c r="Y2169" s="284"/>
      <c r="Z2169" s="207"/>
      <c r="AA2169" s="284"/>
      <c r="AB2169" s="284"/>
      <c r="AC2169" s="284"/>
      <c r="AD2169" s="284"/>
      <c r="AE2169" s="284"/>
      <c r="AF2169" s="284"/>
      <c r="AG2169" s="284"/>
    </row>
    <row r="2170" spans="1:33" ht="26.4">
      <c r="A2170" s="284"/>
      <c r="B2170" s="284"/>
      <c r="C2170" s="284"/>
      <c r="D2170" s="284"/>
      <c r="E2170" s="284"/>
      <c r="F2170" s="284"/>
      <c r="G2170" s="284"/>
      <c r="H2170" s="284"/>
      <c r="I2170" s="284"/>
      <c r="J2170" s="375"/>
      <c r="K2170" s="375"/>
      <c r="L2170" s="375"/>
      <c r="M2170" s="368"/>
      <c r="N2170" s="368"/>
      <c r="O2170" s="370"/>
      <c r="T2170" s="340"/>
      <c r="V2170" s="378"/>
      <c r="W2170" s="64" ph="1"/>
      <c r="X2170" s="241"/>
      <c r="Y2170" s="284"/>
      <c r="Z2170" s="207"/>
      <c r="AA2170" s="284"/>
      <c r="AB2170" s="284"/>
      <c r="AC2170" s="284"/>
      <c r="AD2170" s="284"/>
      <c r="AE2170" s="284"/>
      <c r="AF2170" s="284"/>
      <c r="AG2170" s="284"/>
    </row>
    <row r="2171" spans="1:33" ht="26.4">
      <c r="A2171" s="284"/>
      <c r="B2171" s="284"/>
      <c r="C2171" s="284"/>
      <c r="D2171" s="284"/>
      <c r="E2171" s="284"/>
      <c r="F2171" s="284"/>
      <c r="G2171" s="284"/>
      <c r="H2171" s="284"/>
      <c r="I2171" s="284"/>
      <c r="J2171" s="375"/>
      <c r="K2171" s="375"/>
      <c r="L2171" s="375"/>
      <c r="M2171" s="368"/>
      <c r="N2171" s="368"/>
      <c r="O2171" s="370"/>
      <c r="T2171" s="340"/>
      <c r="V2171" s="378"/>
      <c r="W2171" s="64" ph="1"/>
      <c r="X2171" s="241"/>
      <c r="Y2171" s="284"/>
      <c r="Z2171" s="207"/>
      <c r="AA2171" s="284"/>
      <c r="AB2171" s="284"/>
      <c r="AC2171" s="284"/>
      <c r="AD2171" s="284"/>
      <c r="AE2171" s="284"/>
      <c r="AF2171" s="284"/>
      <c r="AG2171" s="284"/>
    </row>
    <row r="2172" spans="1:33" ht="26.4">
      <c r="A2172" s="284"/>
      <c r="B2172" s="284"/>
      <c r="C2172" s="284"/>
      <c r="D2172" s="284"/>
      <c r="E2172" s="284"/>
      <c r="F2172" s="284"/>
      <c r="G2172" s="284"/>
      <c r="H2172" s="284"/>
      <c r="I2172" s="284"/>
      <c r="J2172" s="375"/>
      <c r="K2172" s="375"/>
      <c r="L2172" s="375"/>
      <c r="M2172" s="368"/>
      <c r="N2172" s="368"/>
      <c r="O2172" s="370"/>
      <c r="T2172" s="340"/>
      <c r="V2172" s="378"/>
      <c r="W2172" s="64" ph="1"/>
      <c r="X2172" s="241"/>
      <c r="Y2172" s="284"/>
      <c r="Z2172" s="207"/>
      <c r="AA2172" s="284"/>
      <c r="AB2172" s="284"/>
      <c r="AC2172" s="284"/>
      <c r="AD2172" s="284"/>
      <c r="AE2172" s="284"/>
      <c r="AF2172" s="284"/>
      <c r="AG2172" s="284"/>
    </row>
    <row r="2173" spans="1:33" ht="26.4">
      <c r="A2173" s="284"/>
      <c r="B2173" s="284"/>
      <c r="C2173" s="284"/>
      <c r="D2173" s="284"/>
      <c r="E2173" s="284"/>
      <c r="F2173" s="284"/>
      <c r="G2173" s="284"/>
      <c r="H2173" s="284"/>
      <c r="I2173" s="284"/>
      <c r="J2173" s="375"/>
      <c r="K2173" s="375"/>
      <c r="L2173" s="375"/>
      <c r="M2173" s="368"/>
      <c r="N2173" s="368"/>
      <c r="O2173" s="370"/>
      <c r="T2173" s="340"/>
      <c r="V2173" s="378"/>
      <c r="W2173" s="64" ph="1"/>
      <c r="X2173" s="241"/>
      <c r="Y2173" s="284"/>
      <c r="Z2173" s="207"/>
      <c r="AA2173" s="284"/>
      <c r="AB2173" s="284"/>
      <c r="AC2173" s="284"/>
      <c r="AD2173" s="284"/>
      <c r="AE2173" s="284"/>
      <c r="AF2173" s="284"/>
      <c r="AG2173" s="284"/>
    </row>
    <row r="2174" spans="1:33" ht="26.4">
      <c r="A2174" s="284"/>
      <c r="B2174" s="284"/>
      <c r="C2174" s="284"/>
      <c r="D2174" s="284"/>
      <c r="E2174" s="284"/>
      <c r="F2174" s="284"/>
      <c r="G2174" s="284"/>
      <c r="H2174" s="284"/>
      <c r="I2174" s="284"/>
      <c r="J2174" s="375"/>
      <c r="K2174" s="375"/>
      <c r="L2174" s="375"/>
      <c r="M2174" s="368"/>
      <c r="N2174" s="368"/>
      <c r="O2174" s="370"/>
      <c r="T2174" s="340"/>
      <c r="V2174" s="378"/>
      <c r="W2174" s="64" ph="1"/>
      <c r="X2174" s="241"/>
      <c r="Y2174" s="284"/>
      <c r="Z2174" s="207"/>
      <c r="AA2174" s="284"/>
      <c r="AB2174" s="284"/>
      <c r="AC2174" s="284"/>
      <c r="AD2174" s="284"/>
      <c r="AE2174" s="284"/>
      <c r="AF2174" s="284"/>
      <c r="AG2174" s="284"/>
    </row>
    <row r="2175" spans="1:33" ht="26.4">
      <c r="A2175" s="284"/>
      <c r="B2175" s="284"/>
      <c r="C2175" s="284"/>
      <c r="D2175" s="284"/>
      <c r="E2175" s="284"/>
      <c r="F2175" s="284"/>
      <c r="G2175" s="284"/>
      <c r="H2175" s="284"/>
      <c r="I2175" s="284"/>
      <c r="J2175" s="375"/>
      <c r="K2175" s="375"/>
      <c r="L2175" s="375"/>
      <c r="M2175" s="368"/>
      <c r="N2175" s="368"/>
      <c r="O2175" s="370"/>
      <c r="T2175" s="340"/>
      <c r="V2175" s="378"/>
      <c r="W2175" s="64" ph="1"/>
      <c r="X2175" s="241"/>
      <c r="Y2175" s="284"/>
      <c r="Z2175" s="207"/>
      <c r="AA2175" s="284"/>
      <c r="AB2175" s="284"/>
      <c r="AC2175" s="284"/>
      <c r="AD2175" s="284"/>
      <c r="AE2175" s="284"/>
      <c r="AF2175" s="284"/>
      <c r="AG2175" s="284"/>
    </row>
    <row r="2176" spans="1:33" ht="26.4">
      <c r="A2176" s="284"/>
      <c r="B2176" s="284"/>
      <c r="C2176" s="284"/>
      <c r="D2176" s="284"/>
      <c r="E2176" s="284"/>
      <c r="F2176" s="284"/>
      <c r="G2176" s="284"/>
      <c r="H2176" s="284"/>
      <c r="I2176" s="284"/>
      <c r="J2176" s="375"/>
      <c r="K2176" s="375"/>
      <c r="L2176" s="375"/>
      <c r="M2176" s="368"/>
      <c r="N2176" s="368"/>
      <c r="O2176" s="370"/>
      <c r="T2176" s="340"/>
      <c r="V2176" s="378"/>
      <c r="W2176" s="64" ph="1"/>
      <c r="X2176" s="241"/>
      <c r="Y2176" s="284"/>
      <c r="Z2176" s="207"/>
      <c r="AA2176" s="284"/>
      <c r="AB2176" s="284"/>
      <c r="AC2176" s="284"/>
      <c r="AD2176" s="284"/>
      <c r="AE2176" s="284"/>
      <c r="AF2176" s="284"/>
      <c r="AG2176" s="284"/>
    </row>
    <row r="2177" spans="1:33" ht="26.4">
      <c r="A2177" s="284"/>
      <c r="B2177" s="284"/>
      <c r="C2177" s="284"/>
      <c r="D2177" s="284"/>
      <c r="E2177" s="284"/>
      <c r="F2177" s="284"/>
      <c r="G2177" s="284"/>
      <c r="H2177" s="284"/>
      <c r="I2177" s="284"/>
      <c r="J2177" s="375"/>
      <c r="K2177" s="375"/>
      <c r="L2177" s="375"/>
      <c r="M2177" s="368"/>
      <c r="N2177" s="368"/>
      <c r="O2177" s="370"/>
      <c r="T2177" s="340"/>
      <c r="V2177" s="378"/>
      <c r="W2177" s="64" ph="1"/>
      <c r="X2177" s="241"/>
      <c r="Y2177" s="284"/>
      <c r="Z2177" s="207"/>
      <c r="AA2177" s="284"/>
      <c r="AB2177" s="284"/>
      <c r="AC2177" s="284"/>
      <c r="AD2177" s="284"/>
      <c r="AE2177" s="284"/>
      <c r="AF2177" s="284"/>
      <c r="AG2177" s="284"/>
    </row>
    <row r="2178" spans="1:33" ht="26.4">
      <c r="A2178" s="284"/>
      <c r="B2178" s="284"/>
      <c r="C2178" s="284"/>
      <c r="D2178" s="284"/>
      <c r="E2178" s="284"/>
      <c r="F2178" s="284"/>
      <c r="G2178" s="284"/>
      <c r="H2178" s="284"/>
      <c r="I2178" s="284"/>
      <c r="J2178" s="375"/>
      <c r="K2178" s="375"/>
      <c r="L2178" s="375"/>
      <c r="M2178" s="368"/>
      <c r="N2178" s="368"/>
      <c r="O2178" s="370"/>
      <c r="T2178" s="340"/>
      <c r="V2178" s="378"/>
      <c r="W2178" s="64" ph="1"/>
      <c r="X2178" s="241"/>
      <c r="Y2178" s="284"/>
      <c r="Z2178" s="207"/>
      <c r="AA2178" s="284"/>
      <c r="AB2178" s="284"/>
      <c r="AC2178" s="284"/>
      <c r="AD2178" s="284"/>
      <c r="AE2178" s="284"/>
      <c r="AF2178" s="284"/>
      <c r="AG2178" s="284"/>
    </row>
    <row r="2179" spans="1:33" ht="26.4">
      <c r="A2179" s="284"/>
      <c r="B2179" s="284"/>
      <c r="C2179" s="284"/>
      <c r="D2179" s="284"/>
      <c r="E2179" s="284"/>
      <c r="F2179" s="284"/>
      <c r="G2179" s="284"/>
      <c r="H2179" s="284"/>
      <c r="I2179" s="284"/>
      <c r="J2179" s="375"/>
      <c r="K2179" s="375"/>
      <c r="L2179" s="375"/>
      <c r="M2179" s="368"/>
      <c r="N2179" s="368"/>
      <c r="O2179" s="370"/>
      <c r="T2179" s="340"/>
      <c r="V2179" s="378"/>
      <c r="W2179" s="64" ph="1"/>
      <c r="X2179" s="241"/>
      <c r="Y2179" s="284"/>
      <c r="Z2179" s="207"/>
      <c r="AA2179" s="284"/>
      <c r="AB2179" s="284"/>
      <c r="AC2179" s="284"/>
      <c r="AD2179" s="284"/>
      <c r="AE2179" s="284"/>
      <c r="AF2179" s="284"/>
      <c r="AG2179" s="284"/>
    </row>
    <row r="2180" spans="1:33" ht="26.4">
      <c r="A2180" s="284"/>
      <c r="B2180" s="284"/>
      <c r="C2180" s="284"/>
      <c r="D2180" s="284"/>
      <c r="E2180" s="284"/>
      <c r="F2180" s="284"/>
      <c r="G2180" s="284"/>
      <c r="H2180" s="284"/>
      <c r="I2180" s="284"/>
      <c r="J2180" s="375"/>
      <c r="K2180" s="375"/>
      <c r="L2180" s="375"/>
      <c r="M2180" s="368"/>
      <c r="N2180" s="368"/>
      <c r="O2180" s="370"/>
      <c r="T2180" s="340"/>
      <c r="V2180" s="378"/>
      <c r="W2180" s="64" ph="1"/>
      <c r="X2180" s="241"/>
      <c r="Y2180" s="284"/>
      <c r="Z2180" s="207"/>
      <c r="AA2180" s="284"/>
      <c r="AB2180" s="284"/>
      <c r="AC2180" s="284"/>
      <c r="AD2180" s="284"/>
      <c r="AE2180" s="284"/>
      <c r="AF2180" s="284"/>
      <c r="AG2180" s="284"/>
    </row>
    <row r="2181" spans="1:33" ht="26.4">
      <c r="A2181" s="284"/>
      <c r="B2181" s="284"/>
      <c r="C2181" s="284"/>
      <c r="D2181" s="284"/>
      <c r="E2181" s="284"/>
      <c r="F2181" s="284"/>
      <c r="G2181" s="284"/>
      <c r="H2181" s="284"/>
      <c r="I2181" s="284"/>
      <c r="J2181" s="375"/>
      <c r="K2181" s="375"/>
      <c r="L2181" s="375"/>
      <c r="M2181" s="368"/>
      <c r="N2181" s="368"/>
      <c r="O2181" s="370"/>
      <c r="T2181" s="340"/>
      <c r="V2181" s="378"/>
      <c r="W2181" s="64" ph="1"/>
      <c r="X2181" s="241"/>
      <c r="Y2181" s="284"/>
      <c r="Z2181" s="207"/>
      <c r="AA2181" s="284"/>
      <c r="AB2181" s="284"/>
      <c r="AC2181" s="284"/>
      <c r="AD2181" s="284"/>
      <c r="AE2181" s="284"/>
      <c r="AF2181" s="284"/>
      <c r="AG2181" s="284"/>
    </row>
    <row r="2182" spans="1:33" ht="26.4">
      <c r="A2182" s="284"/>
      <c r="B2182" s="284"/>
      <c r="C2182" s="284"/>
      <c r="D2182" s="284"/>
      <c r="E2182" s="284"/>
      <c r="F2182" s="284"/>
      <c r="G2182" s="284"/>
      <c r="H2182" s="284"/>
      <c r="I2182" s="284"/>
      <c r="J2182" s="375"/>
      <c r="K2182" s="375"/>
      <c r="L2182" s="375"/>
      <c r="M2182" s="368"/>
      <c r="N2182" s="368"/>
      <c r="O2182" s="370"/>
      <c r="T2182" s="340"/>
      <c r="V2182" s="378"/>
      <c r="W2182" s="64" ph="1"/>
      <c r="X2182" s="241"/>
      <c r="Y2182" s="284"/>
      <c r="Z2182" s="207"/>
      <c r="AA2182" s="284"/>
      <c r="AB2182" s="284"/>
      <c r="AC2182" s="284"/>
      <c r="AD2182" s="284"/>
      <c r="AE2182" s="284"/>
      <c r="AF2182" s="284"/>
      <c r="AG2182" s="284"/>
    </row>
    <row r="2183" spans="1:33" ht="26.4">
      <c r="A2183" s="284"/>
      <c r="B2183" s="284"/>
      <c r="C2183" s="284"/>
      <c r="D2183" s="284"/>
      <c r="E2183" s="284"/>
      <c r="F2183" s="284"/>
      <c r="G2183" s="284"/>
      <c r="H2183" s="284"/>
      <c r="I2183" s="284"/>
      <c r="J2183" s="375"/>
      <c r="K2183" s="375"/>
      <c r="L2183" s="375"/>
      <c r="M2183" s="368"/>
      <c r="N2183" s="368"/>
      <c r="O2183" s="370"/>
      <c r="T2183" s="340"/>
      <c r="V2183" s="378"/>
      <c r="W2183" s="64" ph="1"/>
      <c r="X2183" s="241"/>
      <c r="Y2183" s="284"/>
      <c r="Z2183" s="207"/>
      <c r="AA2183" s="284"/>
      <c r="AB2183" s="284"/>
      <c r="AC2183" s="284"/>
      <c r="AD2183" s="284"/>
      <c r="AE2183" s="284"/>
      <c r="AF2183" s="284"/>
      <c r="AG2183" s="284"/>
    </row>
    <row r="2184" spans="1:33" ht="26.4">
      <c r="A2184" s="284"/>
      <c r="B2184" s="284"/>
      <c r="C2184" s="284"/>
      <c r="D2184" s="284"/>
      <c r="E2184" s="284"/>
      <c r="F2184" s="284"/>
      <c r="G2184" s="284"/>
      <c r="H2184" s="284"/>
      <c r="I2184" s="284"/>
      <c r="J2184" s="375"/>
      <c r="K2184" s="375"/>
      <c r="L2184" s="375"/>
      <c r="M2184" s="368"/>
      <c r="N2184" s="368"/>
      <c r="O2184" s="370"/>
      <c r="T2184" s="340"/>
      <c r="V2184" s="378"/>
      <c r="W2184" s="64" ph="1"/>
      <c r="X2184" s="241"/>
      <c r="Y2184" s="284"/>
      <c r="Z2184" s="207"/>
      <c r="AA2184" s="284"/>
      <c r="AB2184" s="284"/>
      <c r="AC2184" s="284"/>
      <c r="AD2184" s="284"/>
      <c r="AE2184" s="284"/>
      <c r="AF2184" s="284"/>
      <c r="AG2184" s="284"/>
    </row>
    <row r="2185" spans="1:33" ht="26.4">
      <c r="A2185" s="284"/>
      <c r="B2185" s="284"/>
      <c r="C2185" s="284"/>
      <c r="D2185" s="284"/>
      <c r="E2185" s="284"/>
      <c r="F2185" s="284"/>
      <c r="G2185" s="284"/>
      <c r="H2185" s="284"/>
      <c r="I2185" s="284"/>
      <c r="J2185" s="375"/>
      <c r="K2185" s="375"/>
      <c r="L2185" s="375"/>
      <c r="M2185" s="368"/>
      <c r="N2185" s="368"/>
      <c r="O2185" s="370"/>
      <c r="T2185" s="340"/>
      <c r="V2185" s="378"/>
      <c r="W2185" s="64" ph="1"/>
      <c r="X2185" s="241"/>
      <c r="Y2185" s="284"/>
      <c r="Z2185" s="207"/>
      <c r="AA2185" s="284"/>
      <c r="AB2185" s="284"/>
      <c r="AC2185" s="284"/>
      <c r="AD2185" s="284"/>
      <c r="AE2185" s="284"/>
      <c r="AF2185" s="284"/>
      <c r="AG2185" s="284"/>
    </row>
    <row r="2186" spans="1:33" ht="26.4">
      <c r="A2186" s="284"/>
      <c r="B2186" s="284"/>
      <c r="C2186" s="284"/>
      <c r="D2186" s="284"/>
      <c r="E2186" s="284"/>
      <c r="F2186" s="284"/>
      <c r="G2186" s="284"/>
      <c r="H2186" s="284"/>
      <c r="I2186" s="284"/>
      <c r="J2186" s="375"/>
      <c r="K2186" s="375"/>
      <c r="L2186" s="375"/>
      <c r="M2186" s="368"/>
      <c r="N2186" s="368"/>
      <c r="O2186" s="370"/>
      <c r="T2186" s="340"/>
      <c r="V2186" s="378"/>
      <c r="W2186" s="64" ph="1"/>
      <c r="X2186" s="241"/>
      <c r="Y2186" s="284"/>
      <c r="Z2186" s="207"/>
      <c r="AA2186" s="284"/>
      <c r="AB2186" s="284"/>
      <c r="AC2186" s="284"/>
      <c r="AD2186" s="284"/>
      <c r="AE2186" s="284"/>
      <c r="AF2186" s="284"/>
      <c r="AG2186" s="284"/>
    </row>
    <row r="2187" spans="1:33" ht="26.4">
      <c r="A2187" s="284"/>
      <c r="B2187" s="284"/>
      <c r="C2187" s="284"/>
      <c r="D2187" s="284"/>
      <c r="E2187" s="284"/>
      <c r="F2187" s="284"/>
      <c r="G2187" s="284"/>
      <c r="H2187" s="284"/>
      <c r="I2187" s="284"/>
      <c r="J2187" s="375"/>
      <c r="K2187" s="375"/>
      <c r="L2187" s="375"/>
      <c r="M2187" s="368"/>
      <c r="N2187" s="368"/>
      <c r="O2187" s="370"/>
      <c r="T2187" s="340"/>
      <c r="V2187" s="378"/>
      <c r="W2187" s="64" ph="1"/>
      <c r="X2187" s="241"/>
      <c r="Y2187" s="284"/>
      <c r="Z2187" s="207"/>
      <c r="AA2187" s="284"/>
      <c r="AB2187" s="284"/>
      <c r="AC2187" s="284"/>
      <c r="AD2187" s="284"/>
      <c r="AE2187" s="284"/>
      <c r="AF2187" s="284"/>
      <c r="AG2187" s="284"/>
    </row>
    <row r="2188" spans="1:33" ht="26.4">
      <c r="A2188" s="284"/>
      <c r="B2188" s="284"/>
      <c r="C2188" s="284"/>
      <c r="D2188" s="284"/>
      <c r="E2188" s="284"/>
      <c r="F2188" s="284"/>
      <c r="G2188" s="284"/>
      <c r="H2188" s="284"/>
      <c r="I2188" s="284"/>
      <c r="J2188" s="375"/>
      <c r="K2188" s="375"/>
      <c r="L2188" s="375"/>
      <c r="M2188" s="368"/>
      <c r="N2188" s="368"/>
      <c r="O2188" s="370"/>
      <c r="T2188" s="340"/>
      <c r="V2188" s="378"/>
      <c r="W2188" s="64" ph="1"/>
      <c r="X2188" s="241"/>
      <c r="Y2188" s="284"/>
      <c r="Z2188" s="207"/>
      <c r="AA2188" s="284"/>
      <c r="AB2188" s="284"/>
      <c r="AC2188" s="284"/>
      <c r="AD2188" s="284"/>
      <c r="AE2188" s="284"/>
      <c r="AF2188" s="284"/>
      <c r="AG2188" s="284"/>
    </row>
    <row r="2189" spans="1:33" ht="26.4">
      <c r="A2189" s="284"/>
      <c r="B2189" s="284"/>
      <c r="C2189" s="284"/>
      <c r="D2189" s="284"/>
      <c r="E2189" s="284"/>
      <c r="F2189" s="284"/>
      <c r="G2189" s="284"/>
      <c r="H2189" s="284"/>
      <c r="I2189" s="284"/>
      <c r="J2189" s="375"/>
      <c r="K2189" s="375"/>
      <c r="L2189" s="375"/>
      <c r="M2189" s="368"/>
      <c r="N2189" s="368"/>
      <c r="O2189" s="370"/>
      <c r="T2189" s="340"/>
      <c r="V2189" s="378"/>
      <c r="W2189" s="64" ph="1"/>
      <c r="X2189" s="241"/>
      <c r="Y2189" s="284"/>
      <c r="Z2189" s="207"/>
      <c r="AA2189" s="284"/>
      <c r="AB2189" s="284"/>
      <c r="AC2189" s="284"/>
      <c r="AD2189" s="284"/>
      <c r="AE2189" s="284"/>
      <c r="AF2189" s="284"/>
      <c r="AG2189" s="284"/>
    </row>
    <row r="2190" spans="1:33" ht="26.4">
      <c r="A2190" s="284"/>
      <c r="B2190" s="284"/>
      <c r="C2190" s="284"/>
      <c r="D2190" s="284"/>
      <c r="E2190" s="284"/>
      <c r="F2190" s="284"/>
      <c r="G2190" s="284"/>
      <c r="H2190" s="284"/>
      <c r="I2190" s="284"/>
      <c r="J2190" s="375"/>
      <c r="K2190" s="375"/>
      <c r="L2190" s="375"/>
      <c r="M2190" s="368"/>
      <c r="N2190" s="368"/>
      <c r="O2190" s="370"/>
      <c r="T2190" s="340"/>
      <c r="V2190" s="378"/>
      <c r="W2190" s="64" ph="1"/>
      <c r="X2190" s="241"/>
      <c r="Y2190" s="284"/>
      <c r="Z2190" s="207"/>
      <c r="AA2190" s="284"/>
      <c r="AB2190" s="284"/>
      <c r="AC2190" s="284"/>
      <c r="AD2190" s="284"/>
      <c r="AE2190" s="284"/>
      <c r="AF2190" s="284"/>
      <c r="AG2190" s="284"/>
    </row>
    <row r="2191" spans="1:33" ht="26.4">
      <c r="A2191" s="284"/>
      <c r="B2191" s="284"/>
      <c r="C2191" s="284"/>
      <c r="D2191" s="284"/>
      <c r="E2191" s="284"/>
      <c r="F2191" s="284"/>
      <c r="G2191" s="284"/>
      <c r="H2191" s="284"/>
      <c r="I2191" s="284"/>
      <c r="J2191" s="375"/>
      <c r="K2191" s="375"/>
      <c r="L2191" s="375"/>
      <c r="M2191" s="368"/>
      <c r="N2191" s="368"/>
      <c r="O2191" s="370"/>
      <c r="T2191" s="340"/>
      <c r="V2191" s="378"/>
      <c r="W2191" s="64" ph="1"/>
      <c r="X2191" s="241"/>
      <c r="Y2191" s="284"/>
      <c r="Z2191" s="207"/>
      <c r="AA2191" s="284"/>
      <c r="AB2191" s="284"/>
      <c r="AC2191" s="284"/>
      <c r="AD2191" s="284"/>
      <c r="AE2191" s="284"/>
      <c r="AF2191" s="284"/>
      <c r="AG2191" s="284"/>
    </row>
    <row r="2192" spans="1:33" ht="26.4">
      <c r="A2192" s="284"/>
      <c r="B2192" s="284"/>
      <c r="C2192" s="284"/>
      <c r="D2192" s="284"/>
      <c r="E2192" s="284"/>
      <c r="F2192" s="284"/>
      <c r="G2192" s="284"/>
      <c r="H2192" s="284"/>
      <c r="I2192" s="284"/>
      <c r="J2192" s="375"/>
      <c r="K2192" s="375"/>
      <c r="L2192" s="375"/>
      <c r="M2192" s="368"/>
      <c r="N2192" s="368"/>
      <c r="O2192" s="370"/>
      <c r="T2192" s="340"/>
      <c r="V2192" s="378"/>
      <c r="W2192" s="64" ph="1"/>
      <c r="X2192" s="241"/>
      <c r="Y2192" s="284"/>
      <c r="Z2192" s="207"/>
      <c r="AA2192" s="284"/>
      <c r="AB2192" s="284"/>
      <c r="AC2192" s="284"/>
      <c r="AD2192" s="284"/>
      <c r="AE2192" s="284"/>
      <c r="AF2192" s="284"/>
      <c r="AG2192" s="284"/>
    </row>
    <row r="2193" spans="1:33" ht="26.4">
      <c r="A2193" s="284"/>
      <c r="B2193" s="284"/>
      <c r="C2193" s="284"/>
      <c r="D2193" s="284"/>
      <c r="E2193" s="284"/>
      <c r="F2193" s="284"/>
      <c r="G2193" s="284"/>
      <c r="H2193" s="284"/>
      <c r="I2193" s="284"/>
      <c r="J2193" s="375"/>
      <c r="K2193" s="375"/>
      <c r="L2193" s="375"/>
      <c r="M2193" s="368"/>
      <c r="N2193" s="368"/>
      <c r="O2193" s="370"/>
      <c r="T2193" s="340"/>
      <c r="V2193" s="378"/>
      <c r="W2193" s="64" ph="1"/>
      <c r="X2193" s="241"/>
      <c r="Y2193" s="284"/>
      <c r="Z2193" s="207"/>
      <c r="AA2193" s="284"/>
      <c r="AB2193" s="284"/>
      <c r="AC2193" s="284"/>
      <c r="AD2193" s="284"/>
      <c r="AE2193" s="284"/>
      <c r="AF2193" s="284"/>
      <c r="AG2193" s="284"/>
    </row>
    <row r="2194" spans="1:33" ht="26.4">
      <c r="A2194" s="284"/>
      <c r="B2194" s="284"/>
      <c r="C2194" s="284"/>
      <c r="D2194" s="284"/>
      <c r="E2194" s="284"/>
      <c r="F2194" s="284"/>
      <c r="G2194" s="284"/>
      <c r="H2194" s="284"/>
      <c r="I2194" s="284"/>
      <c r="J2194" s="375"/>
      <c r="K2194" s="375"/>
      <c r="L2194" s="375"/>
      <c r="M2194" s="368"/>
      <c r="N2194" s="368"/>
      <c r="O2194" s="370"/>
      <c r="T2194" s="340"/>
      <c r="V2194" s="378"/>
      <c r="W2194" s="64" ph="1"/>
      <c r="X2194" s="241"/>
      <c r="Y2194" s="284"/>
      <c r="Z2194" s="207"/>
      <c r="AA2194" s="284"/>
      <c r="AB2194" s="284"/>
      <c r="AC2194" s="284"/>
      <c r="AD2194" s="284"/>
      <c r="AE2194" s="284"/>
      <c r="AF2194" s="284"/>
      <c r="AG2194" s="284"/>
    </row>
    <row r="2195" spans="1:33" ht="26.4">
      <c r="A2195" s="284"/>
      <c r="B2195" s="284"/>
      <c r="C2195" s="284"/>
      <c r="D2195" s="284"/>
      <c r="E2195" s="284"/>
      <c r="F2195" s="284"/>
      <c r="G2195" s="284"/>
      <c r="H2195" s="284"/>
      <c r="I2195" s="284"/>
      <c r="J2195" s="375"/>
      <c r="K2195" s="375"/>
      <c r="L2195" s="375"/>
      <c r="M2195" s="368"/>
      <c r="N2195" s="368"/>
      <c r="O2195" s="370"/>
      <c r="T2195" s="340"/>
      <c r="V2195" s="378"/>
      <c r="W2195" s="64" ph="1"/>
      <c r="X2195" s="241"/>
      <c r="Y2195" s="284"/>
      <c r="Z2195" s="207"/>
      <c r="AA2195" s="284"/>
      <c r="AB2195" s="284"/>
      <c r="AC2195" s="284"/>
      <c r="AD2195" s="284"/>
      <c r="AE2195" s="284"/>
      <c r="AF2195" s="284"/>
      <c r="AG2195" s="284"/>
    </row>
    <row r="2196" spans="1:33" ht="26.4">
      <c r="A2196" s="284"/>
      <c r="B2196" s="284"/>
      <c r="C2196" s="284"/>
      <c r="D2196" s="284"/>
      <c r="E2196" s="284"/>
      <c r="F2196" s="284"/>
      <c r="G2196" s="284"/>
      <c r="H2196" s="284"/>
      <c r="I2196" s="284"/>
      <c r="J2196" s="375"/>
      <c r="K2196" s="375"/>
      <c r="L2196" s="375"/>
      <c r="M2196" s="368"/>
      <c r="N2196" s="368"/>
      <c r="O2196" s="370"/>
      <c r="T2196" s="340"/>
      <c r="V2196" s="378"/>
      <c r="W2196" s="64" ph="1"/>
      <c r="X2196" s="241"/>
      <c r="Y2196" s="284"/>
      <c r="Z2196" s="207"/>
      <c r="AA2196" s="284"/>
      <c r="AB2196" s="284"/>
      <c r="AC2196" s="284"/>
      <c r="AD2196" s="284"/>
      <c r="AE2196" s="284"/>
      <c r="AF2196" s="284"/>
      <c r="AG2196" s="284"/>
    </row>
    <row r="2197" spans="1:33" ht="26.4">
      <c r="A2197" s="284"/>
      <c r="B2197" s="284"/>
      <c r="C2197" s="284"/>
      <c r="D2197" s="284"/>
      <c r="E2197" s="284"/>
      <c r="F2197" s="284"/>
      <c r="G2197" s="284"/>
      <c r="H2197" s="284"/>
      <c r="I2197" s="284"/>
      <c r="J2197" s="375"/>
      <c r="K2197" s="375"/>
      <c r="L2197" s="375"/>
      <c r="M2197" s="368"/>
      <c r="N2197" s="368"/>
      <c r="O2197" s="370"/>
      <c r="T2197" s="340"/>
      <c r="V2197" s="378"/>
      <c r="W2197" s="64" ph="1"/>
      <c r="X2197" s="241"/>
      <c r="Y2197" s="284"/>
      <c r="Z2197" s="207"/>
      <c r="AA2197" s="284"/>
      <c r="AB2197" s="284"/>
      <c r="AC2197" s="284"/>
      <c r="AD2197" s="284"/>
      <c r="AE2197" s="284"/>
      <c r="AF2197" s="284"/>
      <c r="AG2197" s="284"/>
    </row>
    <row r="2198" spans="1:33" ht="26.4">
      <c r="A2198" s="284"/>
      <c r="B2198" s="284"/>
      <c r="C2198" s="284"/>
      <c r="D2198" s="284"/>
      <c r="E2198" s="284"/>
      <c r="F2198" s="284"/>
      <c r="G2198" s="284"/>
      <c r="H2198" s="284"/>
      <c r="I2198" s="284"/>
      <c r="J2198" s="375"/>
      <c r="K2198" s="375"/>
      <c r="L2198" s="375"/>
      <c r="M2198" s="368"/>
      <c r="N2198" s="368"/>
      <c r="O2198" s="370"/>
      <c r="T2198" s="340"/>
      <c r="V2198" s="378"/>
      <c r="W2198" s="64" ph="1"/>
      <c r="X2198" s="241"/>
      <c r="Y2198" s="284"/>
      <c r="Z2198" s="207"/>
      <c r="AA2198" s="284"/>
      <c r="AB2198" s="284"/>
      <c r="AC2198" s="284"/>
      <c r="AD2198" s="284"/>
      <c r="AE2198" s="284"/>
      <c r="AF2198" s="284"/>
      <c r="AG2198" s="284"/>
    </row>
    <row r="2199" spans="1:33" ht="26.4">
      <c r="A2199" s="284"/>
      <c r="B2199" s="284"/>
      <c r="C2199" s="284"/>
      <c r="D2199" s="284"/>
      <c r="E2199" s="284"/>
      <c r="F2199" s="284"/>
      <c r="G2199" s="284"/>
      <c r="H2199" s="284"/>
      <c r="I2199" s="284"/>
      <c r="J2199" s="375"/>
      <c r="K2199" s="375"/>
      <c r="L2199" s="375"/>
      <c r="M2199" s="368"/>
      <c r="N2199" s="368"/>
      <c r="O2199" s="370"/>
      <c r="T2199" s="340"/>
      <c r="V2199" s="378"/>
      <c r="W2199" s="64" ph="1"/>
      <c r="X2199" s="241"/>
      <c r="Y2199" s="284"/>
      <c r="Z2199" s="207"/>
      <c r="AA2199" s="284"/>
      <c r="AB2199" s="284"/>
      <c r="AC2199" s="284"/>
      <c r="AD2199" s="284"/>
      <c r="AE2199" s="284"/>
      <c r="AF2199" s="284"/>
      <c r="AG2199" s="284"/>
    </row>
    <row r="2200" spans="1:33" ht="26.4">
      <c r="A2200" s="284"/>
      <c r="B2200" s="284"/>
      <c r="C2200" s="284"/>
      <c r="D2200" s="284"/>
      <c r="E2200" s="284"/>
      <c r="F2200" s="284"/>
      <c r="G2200" s="284"/>
      <c r="H2200" s="284"/>
      <c r="I2200" s="284"/>
      <c r="J2200" s="375"/>
      <c r="K2200" s="375"/>
      <c r="L2200" s="375"/>
      <c r="M2200" s="368"/>
      <c r="N2200" s="368"/>
      <c r="O2200" s="370"/>
      <c r="T2200" s="340"/>
      <c r="V2200" s="378"/>
      <c r="W2200" s="64" ph="1"/>
      <c r="X2200" s="241"/>
      <c r="Y2200" s="284"/>
      <c r="Z2200" s="207"/>
      <c r="AA2200" s="284"/>
      <c r="AB2200" s="284"/>
      <c r="AC2200" s="284"/>
      <c r="AD2200" s="284"/>
      <c r="AE2200" s="284"/>
      <c r="AF2200" s="284"/>
      <c r="AG2200" s="284"/>
    </row>
    <row r="2201" spans="1:33" ht="26.4">
      <c r="A2201" s="284"/>
      <c r="B2201" s="284"/>
      <c r="C2201" s="284"/>
      <c r="D2201" s="284"/>
      <c r="E2201" s="284"/>
      <c r="F2201" s="284"/>
      <c r="G2201" s="284"/>
      <c r="H2201" s="284"/>
      <c r="I2201" s="284"/>
      <c r="J2201" s="375"/>
      <c r="K2201" s="375"/>
      <c r="L2201" s="375"/>
      <c r="M2201" s="368"/>
      <c r="N2201" s="368"/>
      <c r="O2201" s="370"/>
      <c r="T2201" s="340"/>
      <c r="V2201" s="378"/>
      <c r="W2201" s="64" ph="1"/>
      <c r="X2201" s="241"/>
      <c r="Y2201" s="284"/>
      <c r="Z2201" s="207"/>
      <c r="AA2201" s="284"/>
      <c r="AB2201" s="284"/>
      <c r="AC2201" s="284"/>
      <c r="AD2201" s="284"/>
      <c r="AE2201" s="284"/>
      <c r="AF2201" s="284"/>
      <c r="AG2201" s="284"/>
    </row>
    <row r="2202" spans="1:33" ht="26.4">
      <c r="A2202" s="284"/>
      <c r="B2202" s="284"/>
      <c r="C2202" s="284"/>
      <c r="D2202" s="284"/>
      <c r="E2202" s="284"/>
      <c r="F2202" s="284"/>
      <c r="G2202" s="284"/>
      <c r="H2202" s="284"/>
      <c r="I2202" s="284"/>
      <c r="J2202" s="375"/>
      <c r="K2202" s="375"/>
      <c r="L2202" s="375"/>
      <c r="M2202" s="368"/>
      <c r="N2202" s="368"/>
      <c r="O2202" s="370"/>
      <c r="T2202" s="340"/>
      <c r="V2202" s="378"/>
      <c r="W2202" s="64" ph="1"/>
      <c r="X2202" s="241"/>
      <c r="Y2202" s="284"/>
      <c r="Z2202" s="207"/>
      <c r="AA2202" s="284"/>
      <c r="AB2202" s="284"/>
      <c r="AC2202" s="284"/>
      <c r="AD2202" s="284"/>
      <c r="AE2202" s="284"/>
      <c r="AF2202" s="284"/>
      <c r="AG2202" s="284"/>
    </row>
    <row r="2203" spans="1:33" ht="26.4">
      <c r="A2203" s="284"/>
      <c r="B2203" s="284"/>
      <c r="C2203" s="284"/>
      <c r="D2203" s="284"/>
      <c r="E2203" s="284"/>
      <c r="F2203" s="284"/>
      <c r="G2203" s="284"/>
      <c r="H2203" s="284"/>
      <c r="I2203" s="284"/>
      <c r="J2203" s="375"/>
      <c r="K2203" s="375"/>
      <c r="L2203" s="375"/>
      <c r="M2203" s="368"/>
      <c r="N2203" s="368"/>
      <c r="O2203" s="370"/>
      <c r="T2203" s="340"/>
      <c r="V2203" s="378"/>
      <c r="W2203" s="64" ph="1"/>
      <c r="X2203" s="241"/>
      <c r="Y2203" s="284"/>
      <c r="Z2203" s="207"/>
      <c r="AA2203" s="284"/>
      <c r="AB2203" s="284"/>
      <c r="AC2203" s="284"/>
      <c r="AD2203" s="284"/>
      <c r="AE2203" s="284"/>
      <c r="AF2203" s="284"/>
      <c r="AG2203" s="284"/>
    </row>
    <row r="2204" spans="1:33" ht="26.4">
      <c r="A2204" s="284"/>
      <c r="B2204" s="284"/>
      <c r="C2204" s="284"/>
      <c r="D2204" s="284"/>
      <c r="E2204" s="284"/>
      <c r="F2204" s="284"/>
      <c r="G2204" s="284"/>
      <c r="H2204" s="284"/>
      <c r="I2204" s="284"/>
      <c r="J2204" s="375"/>
      <c r="K2204" s="375"/>
      <c r="L2204" s="375"/>
      <c r="M2204" s="368"/>
      <c r="N2204" s="368"/>
      <c r="O2204" s="370"/>
      <c r="T2204" s="340"/>
      <c r="V2204" s="378"/>
      <c r="W2204" s="64" ph="1"/>
      <c r="X2204" s="241"/>
      <c r="Y2204" s="284"/>
      <c r="Z2204" s="207"/>
      <c r="AA2204" s="284"/>
      <c r="AB2204" s="284"/>
      <c r="AC2204" s="284"/>
      <c r="AD2204" s="284"/>
      <c r="AE2204" s="284"/>
      <c r="AF2204" s="284"/>
      <c r="AG2204" s="284"/>
    </row>
    <row r="2205" spans="1:33" ht="26.4">
      <c r="A2205" s="284"/>
      <c r="B2205" s="284"/>
      <c r="C2205" s="284"/>
      <c r="D2205" s="284"/>
      <c r="E2205" s="284"/>
      <c r="F2205" s="284"/>
      <c r="G2205" s="284"/>
      <c r="H2205" s="284"/>
      <c r="I2205" s="284"/>
      <c r="J2205" s="375"/>
      <c r="K2205" s="375"/>
      <c r="L2205" s="375"/>
      <c r="M2205" s="368"/>
      <c r="N2205" s="368"/>
      <c r="O2205" s="370"/>
      <c r="T2205" s="340"/>
      <c r="V2205" s="378"/>
      <c r="W2205" s="64" ph="1"/>
      <c r="X2205" s="241"/>
      <c r="Y2205" s="284"/>
      <c r="Z2205" s="207"/>
      <c r="AA2205" s="284"/>
      <c r="AB2205" s="284"/>
      <c r="AC2205" s="284"/>
      <c r="AD2205" s="284"/>
      <c r="AE2205" s="284"/>
      <c r="AF2205" s="284"/>
      <c r="AG2205" s="284"/>
    </row>
    <row r="2206" spans="1:33" ht="26.4">
      <c r="A2206" s="284"/>
      <c r="B2206" s="284"/>
      <c r="C2206" s="284"/>
      <c r="D2206" s="284"/>
      <c r="E2206" s="284"/>
      <c r="F2206" s="284"/>
      <c r="G2206" s="284"/>
      <c r="H2206" s="284"/>
      <c r="I2206" s="284"/>
      <c r="J2206" s="375"/>
      <c r="K2206" s="375"/>
      <c r="L2206" s="375"/>
      <c r="M2206" s="368"/>
      <c r="N2206" s="368"/>
      <c r="O2206" s="370"/>
      <c r="T2206" s="340"/>
      <c r="V2206" s="378"/>
      <c r="W2206" s="64" ph="1"/>
      <c r="X2206" s="241"/>
      <c r="Y2206" s="284"/>
      <c r="Z2206" s="207"/>
      <c r="AA2206" s="284"/>
      <c r="AB2206" s="284"/>
      <c r="AC2206" s="284"/>
      <c r="AD2206" s="284"/>
      <c r="AE2206" s="284"/>
      <c r="AF2206" s="284"/>
      <c r="AG2206" s="284"/>
    </row>
    <row r="2207" spans="1:33" ht="26.4">
      <c r="A2207" s="284"/>
      <c r="B2207" s="284"/>
      <c r="C2207" s="284"/>
      <c r="D2207" s="284"/>
      <c r="E2207" s="284"/>
      <c r="F2207" s="284"/>
      <c r="G2207" s="284"/>
      <c r="H2207" s="284"/>
      <c r="I2207" s="284"/>
      <c r="J2207" s="375"/>
      <c r="K2207" s="375"/>
      <c r="L2207" s="375"/>
      <c r="M2207" s="368"/>
      <c r="N2207" s="368"/>
      <c r="O2207" s="370"/>
      <c r="T2207" s="340"/>
      <c r="V2207" s="378"/>
      <c r="W2207" s="64" ph="1"/>
      <c r="X2207" s="241"/>
      <c r="Y2207" s="284"/>
      <c r="Z2207" s="207"/>
      <c r="AA2207" s="284"/>
      <c r="AB2207" s="284"/>
      <c r="AC2207" s="284"/>
      <c r="AD2207" s="284"/>
      <c r="AE2207" s="284"/>
      <c r="AF2207" s="284"/>
      <c r="AG2207" s="284"/>
    </row>
    <row r="2208" spans="1:33" ht="26.4">
      <c r="A2208" s="284"/>
      <c r="B2208" s="284"/>
      <c r="C2208" s="284"/>
      <c r="D2208" s="284"/>
      <c r="E2208" s="284"/>
      <c r="F2208" s="284"/>
      <c r="G2208" s="284"/>
      <c r="H2208" s="284"/>
      <c r="I2208" s="284"/>
      <c r="J2208" s="375"/>
      <c r="K2208" s="375"/>
      <c r="L2208" s="375"/>
      <c r="M2208" s="368"/>
      <c r="N2208" s="368"/>
      <c r="O2208" s="370"/>
      <c r="T2208" s="340"/>
      <c r="V2208" s="378"/>
      <c r="W2208" s="64" ph="1"/>
      <c r="X2208" s="241"/>
      <c r="Y2208" s="284"/>
      <c r="Z2208" s="207"/>
      <c r="AA2208" s="284"/>
      <c r="AB2208" s="284"/>
      <c r="AC2208" s="284"/>
      <c r="AD2208" s="284"/>
      <c r="AE2208" s="284"/>
      <c r="AF2208" s="284"/>
      <c r="AG2208" s="284"/>
    </row>
    <row r="2209" spans="1:33" ht="26.4">
      <c r="A2209" s="284"/>
      <c r="B2209" s="284"/>
      <c r="C2209" s="284"/>
      <c r="D2209" s="284"/>
      <c r="E2209" s="284"/>
      <c r="F2209" s="284"/>
      <c r="G2209" s="284"/>
      <c r="H2209" s="284"/>
      <c r="I2209" s="284"/>
      <c r="J2209" s="375"/>
      <c r="K2209" s="375"/>
      <c r="L2209" s="375"/>
      <c r="M2209" s="368"/>
      <c r="N2209" s="368"/>
      <c r="O2209" s="370"/>
      <c r="T2209" s="340"/>
      <c r="V2209" s="378"/>
      <c r="W2209" s="64" ph="1"/>
      <c r="X2209" s="241"/>
      <c r="Y2209" s="284"/>
      <c r="Z2209" s="207"/>
      <c r="AA2209" s="284"/>
      <c r="AB2209" s="284"/>
      <c r="AC2209" s="284"/>
      <c r="AD2209" s="284"/>
      <c r="AE2209" s="284"/>
      <c r="AF2209" s="284"/>
      <c r="AG2209" s="284"/>
    </row>
    <row r="2210" spans="1:33" ht="26.4">
      <c r="A2210" s="284"/>
      <c r="B2210" s="284"/>
      <c r="C2210" s="284"/>
      <c r="D2210" s="284"/>
      <c r="E2210" s="284"/>
      <c r="F2210" s="284"/>
      <c r="G2210" s="284"/>
      <c r="H2210" s="284"/>
      <c r="I2210" s="284"/>
      <c r="J2210" s="375"/>
      <c r="K2210" s="375"/>
      <c r="L2210" s="375"/>
      <c r="M2210" s="368"/>
      <c r="N2210" s="368"/>
      <c r="O2210" s="370"/>
      <c r="T2210" s="340"/>
      <c r="V2210" s="378"/>
      <c r="W2210" s="64" ph="1"/>
      <c r="X2210" s="241"/>
      <c r="Y2210" s="284"/>
      <c r="Z2210" s="207"/>
      <c r="AA2210" s="284"/>
      <c r="AB2210" s="284"/>
      <c r="AC2210" s="284"/>
      <c r="AD2210" s="284"/>
      <c r="AE2210" s="284"/>
      <c r="AF2210" s="284"/>
      <c r="AG2210" s="284"/>
    </row>
    <row r="2211" spans="1:33" ht="26.4">
      <c r="A2211" s="284"/>
      <c r="B2211" s="284"/>
      <c r="C2211" s="284"/>
      <c r="D2211" s="284"/>
      <c r="E2211" s="284"/>
      <c r="F2211" s="284"/>
      <c r="G2211" s="284"/>
      <c r="H2211" s="284"/>
      <c r="I2211" s="284"/>
      <c r="J2211" s="375"/>
      <c r="K2211" s="375"/>
      <c r="L2211" s="375"/>
      <c r="M2211" s="368"/>
      <c r="N2211" s="368"/>
      <c r="O2211" s="370"/>
      <c r="T2211" s="340"/>
      <c r="V2211" s="378"/>
      <c r="W2211" s="64" ph="1"/>
      <c r="X2211" s="241"/>
      <c r="Y2211" s="284"/>
      <c r="Z2211" s="207"/>
      <c r="AA2211" s="284"/>
      <c r="AB2211" s="284"/>
      <c r="AC2211" s="284"/>
      <c r="AD2211" s="284"/>
      <c r="AE2211" s="284"/>
      <c r="AF2211" s="284"/>
      <c r="AG2211" s="284"/>
    </row>
    <row r="2212" spans="1:33" ht="26.4">
      <c r="A2212" s="284"/>
      <c r="B2212" s="284"/>
      <c r="C2212" s="284"/>
      <c r="D2212" s="284"/>
      <c r="E2212" s="284"/>
      <c r="F2212" s="284"/>
      <c r="G2212" s="284"/>
      <c r="H2212" s="284"/>
      <c r="I2212" s="284"/>
      <c r="J2212" s="375"/>
      <c r="K2212" s="375"/>
      <c r="L2212" s="375"/>
      <c r="M2212" s="368"/>
      <c r="N2212" s="368"/>
      <c r="O2212" s="370"/>
      <c r="T2212" s="340"/>
      <c r="V2212" s="378"/>
      <c r="W2212" s="64" ph="1"/>
      <c r="X2212" s="241"/>
      <c r="Y2212" s="284"/>
      <c r="Z2212" s="207"/>
      <c r="AA2212" s="284"/>
      <c r="AB2212" s="284"/>
      <c r="AC2212" s="284"/>
      <c r="AD2212" s="284"/>
      <c r="AE2212" s="284"/>
      <c r="AF2212" s="284"/>
      <c r="AG2212" s="284"/>
    </row>
    <row r="2213" spans="1:33" ht="26.4">
      <c r="A2213" s="284"/>
      <c r="B2213" s="284"/>
      <c r="C2213" s="284"/>
      <c r="D2213" s="284"/>
      <c r="E2213" s="284"/>
      <c r="F2213" s="284"/>
      <c r="G2213" s="284"/>
      <c r="H2213" s="284"/>
      <c r="I2213" s="284"/>
      <c r="J2213" s="375"/>
      <c r="K2213" s="375"/>
      <c r="L2213" s="375"/>
      <c r="M2213" s="368"/>
      <c r="N2213" s="368"/>
      <c r="O2213" s="370"/>
      <c r="T2213" s="340"/>
      <c r="V2213" s="378"/>
      <c r="W2213" s="64" ph="1"/>
      <c r="X2213" s="241"/>
      <c r="Y2213" s="284"/>
      <c r="Z2213" s="207"/>
      <c r="AA2213" s="284"/>
      <c r="AB2213" s="284"/>
      <c r="AC2213" s="284"/>
      <c r="AD2213" s="284"/>
      <c r="AE2213" s="284"/>
      <c r="AF2213" s="284"/>
      <c r="AG2213" s="284"/>
    </row>
    <row r="2214" spans="1:33" ht="26.4">
      <c r="A2214" s="284"/>
      <c r="B2214" s="284"/>
      <c r="C2214" s="284"/>
      <c r="D2214" s="284"/>
      <c r="E2214" s="284"/>
      <c r="F2214" s="284"/>
      <c r="G2214" s="284"/>
      <c r="H2214" s="284"/>
      <c r="I2214" s="284"/>
      <c r="J2214" s="375"/>
      <c r="K2214" s="375"/>
      <c r="L2214" s="375"/>
      <c r="M2214" s="368"/>
      <c r="N2214" s="368"/>
      <c r="O2214" s="370"/>
      <c r="T2214" s="340"/>
      <c r="V2214" s="378"/>
      <c r="W2214" s="64" ph="1"/>
      <c r="X2214" s="241"/>
      <c r="Y2214" s="284"/>
      <c r="Z2214" s="207"/>
      <c r="AA2214" s="284"/>
      <c r="AB2214" s="284"/>
      <c r="AC2214" s="284"/>
      <c r="AD2214" s="284"/>
      <c r="AE2214" s="284"/>
      <c r="AF2214" s="284"/>
      <c r="AG2214" s="284"/>
    </row>
    <row r="2215" spans="1:33" ht="26.4">
      <c r="A2215" s="284"/>
      <c r="B2215" s="284"/>
      <c r="C2215" s="284"/>
      <c r="D2215" s="284"/>
      <c r="E2215" s="284"/>
      <c r="F2215" s="284"/>
      <c r="G2215" s="284"/>
      <c r="H2215" s="284"/>
      <c r="I2215" s="284"/>
      <c r="J2215" s="375"/>
      <c r="K2215" s="375"/>
      <c r="L2215" s="375"/>
      <c r="M2215" s="368"/>
      <c r="N2215" s="368"/>
      <c r="O2215" s="370"/>
      <c r="T2215" s="340"/>
      <c r="V2215" s="378"/>
      <c r="W2215" s="64" ph="1"/>
      <c r="X2215" s="241"/>
      <c r="Y2215" s="284"/>
      <c r="Z2215" s="207"/>
      <c r="AA2215" s="284"/>
      <c r="AB2215" s="284"/>
      <c r="AC2215" s="284"/>
      <c r="AD2215" s="284"/>
      <c r="AE2215" s="284"/>
      <c r="AF2215" s="284"/>
      <c r="AG2215" s="284"/>
    </row>
    <row r="2216" spans="1:33" ht="26.4">
      <c r="A2216" s="284"/>
      <c r="B2216" s="284"/>
      <c r="C2216" s="284"/>
      <c r="D2216" s="284"/>
      <c r="E2216" s="284"/>
      <c r="F2216" s="284"/>
      <c r="G2216" s="284"/>
      <c r="H2216" s="284"/>
      <c r="I2216" s="284"/>
      <c r="J2216" s="375"/>
      <c r="K2216" s="375"/>
      <c r="L2216" s="375"/>
      <c r="M2216" s="368"/>
      <c r="N2216" s="368"/>
      <c r="O2216" s="370"/>
      <c r="T2216" s="340"/>
      <c r="V2216" s="378"/>
      <c r="W2216" s="64" ph="1"/>
      <c r="X2216" s="241"/>
      <c r="Y2216" s="284"/>
      <c r="Z2216" s="207"/>
      <c r="AA2216" s="284"/>
      <c r="AB2216" s="284"/>
      <c r="AC2216" s="284"/>
      <c r="AD2216" s="284"/>
      <c r="AE2216" s="284"/>
      <c r="AF2216" s="284"/>
      <c r="AG2216" s="284"/>
    </row>
    <row r="2217" spans="1:33" ht="26.4">
      <c r="A2217" s="284"/>
      <c r="B2217" s="284"/>
      <c r="C2217" s="284"/>
      <c r="D2217" s="284"/>
      <c r="E2217" s="284"/>
      <c r="F2217" s="284"/>
      <c r="G2217" s="284"/>
      <c r="H2217" s="284"/>
      <c r="I2217" s="284"/>
      <c r="J2217" s="375"/>
      <c r="K2217" s="375"/>
      <c r="L2217" s="375"/>
      <c r="M2217" s="368"/>
      <c r="N2217" s="368"/>
      <c r="O2217" s="370"/>
      <c r="T2217" s="340"/>
      <c r="V2217" s="378"/>
      <c r="W2217" s="64" ph="1"/>
      <c r="X2217" s="241"/>
      <c r="Y2217" s="284"/>
      <c r="Z2217" s="207"/>
      <c r="AA2217" s="284"/>
      <c r="AB2217" s="284"/>
      <c r="AC2217" s="284"/>
      <c r="AD2217" s="284"/>
      <c r="AE2217" s="284"/>
      <c r="AF2217" s="284"/>
      <c r="AG2217" s="284"/>
    </row>
    <row r="2218" spans="1:33" ht="26.4">
      <c r="A2218" s="284"/>
      <c r="B2218" s="284"/>
      <c r="C2218" s="284"/>
      <c r="D2218" s="284"/>
      <c r="E2218" s="284"/>
      <c r="F2218" s="284"/>
      <c r="G2218" s="284"/>
      <c r="H2218" s="284"/>
      <c r="I2218" s="284"/>
      <c r="J2218" s="375"/>
      <c r="K2218" s="375"/>
      <c r="L2218" s="375"/>
      <c r="M2218" s="368"/>
      <c r="N2218" s="368"/>
      <c r="O2218" s="370"/>
      <c r="T2218" s="340"/>
      <c r="V2218" s="378"/>
      <c r="W2218" s="64" ph="1"/>
      <c r="X2218" s="241"/>
      <c r="Y2218" s="284"/>
      <c r="Z2218" s="207"/>
      <c r="AA2218" s="284"/>
      <c r="AB2218" s="284"/>
      <c r="AC2218" s="284"/>
      <c r="AD2218" s="284"/>
      <c r="AE2218" s="284"/>
      <c r="AF2218" s="284"/>
      <c r="AG2218" s="284"/>
    </row>
    <row r="2219" spans="1:33" ht="26.4">
      <c r="A2219" s="284"/>
      <c r="B2219" s="284"/>
      <c r="C2219" s="284"/>
      <c r="D2219" s="284"/>
      <c r="E2219" s="284"/>
      <c r="F2219" s="284"/>
      <c r="G2219" s="284"/>
      <c r="H2219" s="284"/>
      <c r="I2219" s="284"/>
      <c r="J2219" s="375"/>
      <c r="K2219" s="375"/>
      <c r="L2219" s="375"/>
      <c r="M2219" s="368"/>
      <c r="N2219" s="368"/>
      <c r="O2219" s="370"/>
      <c r="T2219" s="340"/>
      <c r="V2219" s="378"/>
      <c r="W2219" s="64" ph="1"/>
      <c r="X2219" s="241"/>
      <c r="Y2219" s="284"/>
      <c r="Z2219" s="207"/>
      <c r="AA2219" s="284"/>
      <c r="AB2219" s="284"/>
      <c r="AC2219" s="284"/>
      <c r="AD2219" s="284"/>
      <c r="AE2219" s="284"/>
      <c r="AF2219" s="284"/>
      <c r="AG2219" s="284"/>
    </row>
    <row r="2220" spans="1:33" ht="26.4">
      <c r="A2220" s="284"/>
      <c r="B2220" s="284"/>
      <c r="C2220" s="284"/>
      <c r="D2220" s="284"/>
      <c r="E2220" s="284"/>
      <c r="F2220" s="284"/>
      <c r="G2220" s="284"/>
      <c r="H2220" s="284"/>
      <c r="I2220" s="284"/>
      <c r="J2220" s="375"/>
      <c r="K2220" s="375"/>
      <c r="L2220" s="375"/>
      <c r="M2220" s="368"/>
      <c r="N2220" s="368"/>
      <c r="O2220" s="370"/>
      <c r="T2220" s="340"/>
      <c r="V2220" s="378"/>
      <c r="W2220" s="64" ph="1"/>
      <c r="X2220" s="241"/>
      <c r="Y2220" s="284"/>
      <c r="Z2220" s="207"/>
      <c r="AA2220" s="284"/>
      <c r="AB2220" s="284"/>
      <c r="AC2220" s="284"/>
      <c r="AD2220" s="284"/>
      <c r="AE2220" s="284"/>
      <c r="AF2220" s="284"/>
      <c r="AG2220" s="284"/>
    </row>
    <row r="2221" spans="1:33" ht="26.4">
      <c r="A2221" s="284"/>
      <c r="B2221" s="284"/>
      <c r="C2221" s="284"/>
      <c r="D2221" s="284"/>
      <c r="E2221" s="284"/>
      <c r="F2221" s="284"/>
      <c r="G2221" s="284"/>
      <c r="H2221" s="284"/>
      <c r="I2221" s="284"/>
      <c r="J2221" s="375"/>
      <c r="K2221" s="375"/>
      <c r="L2221" s="375"/>
      <c r="M2221" s="368"/>
      <c r="N2221" s="368"/>
      <c r="O2221" s="370"/>
      <c r="T2221" s="340"/>
      <c r="V2221" s="378"/>
      <c r="W2221" s="64" ph="1"/>
      <c r="X2221" s="241"/>
      <c r="Y2221" s="284"/>
      <c r="Z2221" s="207"/>
      <c r="AA2221" s="284"/>
      <c r="AB2221" s="284"/>
      <c r="AC2221" s="284"/>
      <c r="AD2221" s="284"/>
      <c r="AE2221" s="284"/>
      <c r="AF2221" s="284"/>
      <c r="AG2221" s="284"/>
    </row>
    <row r="2222" spans="1:33" ht="26.4">
      <c r="A2222" s="284"/>
      <c r="B2222" s="284"/>
      <c r="C2222" s="284"/>
      <c r="D2222" s="284"/>
      <c r="E2222" s="284"/>
      <c r="F2222" s="284"/>
      <c r="G2222" s="284"/>
      <c r="H2222" s="284"/>
      <c r="I2222" s="284"/>
      <c r="J2222" s="375"/>
      <c r="K2222" s="375"/>
      <c r="L2222" s="375"/>
      <c r="M2222" s="368"/>
      <c r="N2222" s="368"/>
      <c r="O2222" s="370"/>
      <c r="T2222" s="340"/>
      <c r="V2222" s="378"/>
      <c r="W2222" s="64" ph="1"/>
      <c r="X2222" s="241"/>
      <c r="Y2222" s="284"/>
      <c r="Z2222" s="207"/>
      <c r="AA2222" s="284"/>
      <c r="AB2222" s="284"/>
      <c r="AC2222" s="284"/>
      <c r="AD2222" s="284"/>
      <c r="AE2222" s="284"/>
      <c r="AF2222" s="284"/>
      <c r="AG2222" s="284"/>
    </row>
    <row r="2223" spans="1:33" ht="26.4">
      <c r="A2223" s="284"/>
      <c r="B2223" s="284"/>
      <c r="C2223" s="284"/>
      <c r="D2223" s="284"/>
      <c r="E2223" s="284"/>
      <c r="F2223" s="284"/>
      <c r="G2223" s="284"/>
      <c r="H2223" s="284"/>
      <c r="I2223" s="284"/>
      <c r="J2223" s="375"/>
      <c r="K2223" s="375"/>
      <c r="L2223" s="375"/>
      <c r="M2223" s="368"/>
      <c r="N2223" s="368"/>
      <c r="O2223" s="370"/>
      <c r="T2223" s="340"/>
      <c r="V2223" s="378"/>
      <c r="W2223" s="64" ph="1"/>
      <c r="X2223" s="241"/>
      <c r="Y2223" s="284"/>
      <c r="Z2223" s="207"/>
      <c r="AA2223" s="284"/>
      <c r="AB2223" s="284"/>
      <c r="AC2223" s="284"/>
      <c r="AD2223" s="284"/>
      <c r="AE2223" s="284"/>
      <c r="AF2223" s="284"/>
      <c r="AG2223" s="284"/>
    </row>
    <row r="2224" spans="1:33" ht="26.4">
      <c r="A2224" s="284"/>
      <c r="B2224" s="284"/>
      <c r="C2224" s="284"/>
      <c r="D2224" s="284"/>
      <c r="E2224" s="284"/>
      <c r="F2224" s="284"/>
      <c r="G2224" s="284"/>
      <c r="H2224" s="284"/>
      <c r="I2224" s="284"/>
      <c r="J2224" s="375"/>
      <c r="K2224" s="375"/>
      <c r="L2224" s="375"/>
      <c r="M2224" s="368"/>
      <c r="N2224" s="368"/>
      <c r="O2224" s="370"/>
      <c r="T2224" s="340"/>
      <c r="V2224" s="378"/>
      <c r="W2224" s="64" ph="1"/>
      <c r="X2224" s="241"/>
      <c r="Y2224" s="284"/>
      <c r="Z2224" s="207"/>
      <c r="AA2224" s="284"/>
      <c r="AB2224" s="284"/>
      <c r="AC2224" s="284"/>
      <c r="AD2224" s="284"/>
      <c r="AE2224" s="284"/>
      <c r="AF2224" s="284"/>
      <c r="AG2224" s="284"/>
    </row>
    <row r="2225" spans="1:33" ht="26.4">
      <c r="A2225" s="284"/>
      <c r="B2225" s="284"/>
      <c r="C2225" s="284"/>
      <c r="D2225" s="284"/>
      <c r="E2225" s="284"/>
      <c r="F2225" s="284"/>
      <c r="G2225" s="284"/>
      <c r="H2225" s="284"/>
      <c r="I2225" s="284"/>
      <c r="J2225" s="375"/>
      <c r="K2225" s="375"/>
      <c r="L2225" s="375"/>
      <c r="M2225" s="368"/>
      <c r="N2225" s="368"/>
      <c r="O2225" s="370"/>
      <c r="T2225" s="340"/>
      <c r="V2225" s="378"/>
      <c r="W2225" s="64" ph="1"/>
      <c r="X2225" s="241"/>
      <c r="Y2225" s="284"/>
      <c r="Z2225" s="207"/>
      <c r="AA2225" s="284"/>
      <c r="AB2225" s="284"/>
      <c r="AC2225" s="284"/>
      <c r="AD2225" s="284"/>
      <c r="AE2225" s="284"/>
      <c r="AF2225" s="284"/>
      <c r="AG2225" s="284"/>
    </row>
    <row r="2226" spans="1:33" ht="26.4">
      <c r="A2226" s="284"/>
      <c r="B2226" s="284"/>
      <c r="C2226" s="284"/>
      <c r="D2226" s="284"/>
      <c r="E2226" s="284"/>
      <c r="F2226" s="284"/>
      <c r="G2226" s="284"/>
      <c r="H2226" s="284"/>
      <c r="I2226" s="284"/>
      <c r="J2226" s="375"/>
      <c r="K2226" s="375"/>
      <c r="L2226" s="375"/>
      <c r="M2226" s="368"/>
      <c r="N2226" s="368"/>
      <c r="O2226" s="370"/>
      <c r="T2226" s="340"/>
      <c r="V2226" s="378"/>
      <c r="W2226" s="64" ph="1"/>
      <c r="X2226" s="241"/>
      <c r="Y2226" s="284"/>
      <c r="Z2226" s="207"/>
      <c r="AA2226" s="284"/>
      <c r="AB2226" s="284"/>
      <c r="AC2226" s="284"/>
      <c r="AD2226" s="284"/>
      <c r="AE2226" s="284"/>
      <c r="AF2226" s="284"/>
      <c r="AG2226" s="284"/>
    </row>
    <row r="2227" spans="1:33" ht="26.4">
      <c r="A2227" s="284"/>
      <c r="B2227" s="284"/>
      <c r="C2227" s="284"/>
      <c r="D2227" s="284"/>
      <c r="E2227" s="284"/>
      <c r="F2227" s="284"/>
      <c r="G2227" s="284"/>
      <c r="H2227" s="284"/>
      <c r="I2227" s="284"/>
      <c r="J2227" s="375"/>
      <c r="K2227" s="375"/>
      <c r="L2227" s="375"/>
      <c r="M2227" s="368"/>
      <c r="N2227" s="368"/>
      <c r="O2227" s="370"/>
      <c r="T2227" s="340"/>
      <c r="V2227" s="378"/>
      <c r="W2227" s="64" ph="1"/>
      <c r="X2227" s="241"/>
      <c r="Y2227" s="284"/>
      <c r="Z2227" s="207"/>
      <c r="AA2227" s="284"/>
      <c r="AB2227" s="284"/>
      <c r="AC2227" s="284"/>
      <c r="AD2227" s="284"/>
      <c r="AE2227" s="284"/>
      <c r="AF2227" s="284"/>
      <c r="AG2227" s="284"/>
    </row>
    <row r="2228" spans="1:33" ht="26.4">
      <c r="A2228" s="284"/>
      <c r="B2228" s="284"/>
      <c r="C2228" s="284"/>
      <c r="D2228" s="284"/>
      <c r="E2228" s="284"/>
      <c r="F2228" s="284"/>
      <c r="G2228" s="284"/>
      <c r="H2228" s="284"/>
      <c r="I2228" s="284"/>
      <c r="J2228" s="375"/>
      <c r="K2228" s="375"/>
      <c r="L2228" s="375"/>
      <c r="M2228" s="368"/>
      <c r="N2228" s="368"/>
      <c r="O2228" s="370"/>
      <c r="T2228" s="340"/>
      <c r="V2228" s="378"/>
      <c r="W2228" s="64" ph="1"/>
      <c r="X2228" s="241"/>
      <c r="Y2228" s="284"/>
      <c r="Z2228" s="207"/>
      <c r="AA2228" s="284"/>
      <c r="AB2228" s="284"/>
      <c r="AC2228" s="284"/>
      <c r="AD2228" s="284"/>
      <c r="AE2228" s="284"/>
      <c r="AF2228" s="284"/>
      <c r="AG2228" s="284"/>
    </row>
    <row r="2229" spans="1:33" ht="26.4">
      <c r="A2229" s="284"/>
      <c r="B2229" s="284"/>
      <c r="C2229" s="284"/>
      <c r="D2229" s="284"/>
      <c r="E2229" s="284"/>
      <c r="F2229" s="284"/>
      <c r="G2229" s="284"/>
      <c r="H2229" s="284"/>
      <c r="I2229" s="284"/>
      <c r="J2229" s="375"/>
      <c r="K2229" s="375"/>
      <c r="L2229" s="375"/>
      <c r="M2229" s="368"/>
      <c r="N2229" s="368"/>
      <c r="O2229" s="370"/>
      <c r="T2229" s="340"/>
      <c r="V2229" s="378"/>
      <c r="W2229" s="64" ph="1"/>
      <c r="X2229" s="241"/>
      <c r="Y2229" s="284"/>
      <c r="Z2229" s="207"/>
      <c r="AA2229" s="284"/>
      <c r="AB2229" s="284"/>
      <c r="AC2229" s="284"/>
      <c r="AD2229" s="284"/>
      <c r="AE2229" s="284"/>
      <c r="AF2229" s="284"/>
      <c r="AG2229" s="284"/>
    </row>
    <row r="2230" spans="1:33" ht="26.4">
      <c r="A2230" s="284"/>
      <c r="B2230" s="284"/>
      <c r="C2230" s="284"/>
      <c r="D2230" s="284"/>
      <c r="E2230" s="284"/>
      <c r="F2230" s="284"/>
      <c r="G2230" s="284"/>
      <c r="H2230" s="284"/>
      <c r="I2230" s="284"/>
      <c r="J2230" s="375"/>
      <c r="K2230" s="375"/>
      <c r="L2230" s="375"/>
      <c r="M2230" s="368"/>
      <c r="N2230" s="368"/>
      <c r="O2230" s="370"/>
      <c r="T2230" s="340"/>
      <c r="V2230" s="378"/>
      <c r="W2230" s="64" ph="1"/>
      <c r="X2230" s="241"/>
      <c r="Y2230" s="284"/>
      <c r="Z2230" s="207"/>
      <c r="AA2230" s="284"/>
      <c r="AB2230" s="284"/>
      <c r="AC2230" s="284"/>
      <c r="AD2230" s="284"/>
      <c r="AE2230" s="284"/>
      <c r="AF2230" s="284"/>
      <c r="AG2230" s="284"/>
    </row>
    <row r="2231" spans="1:33" ht="26.4">
      <c r="A2231" s="284"/>
      <c r="B2231" s="284"/>
      <c r="C2231" s="284"/>
      <c r="D2231" s="284"/>
      <c r="E2231" s="284"/>
      <c r="F2231" s="284"/>
      <c r="G2231" s="284"/>
      <c r="H2231" s="284"/>
      <c r="I2231" s="284"/>
      <c r="J2231" s="375"/>
      <c r="K2231" s="375"/>
      <c r="L2231" s="375"/>
      <c r="M2231" s="368"/>
      <c r="N2231" s="368"/>
      <c r="O2231" s="370"/>
      <c r="T2231" s="340"/>
      <c r="V2231" s="378"/>
      <c r="W2231" s="64" ph="1"/>
      <c r="X2231" s="241"/>
      <c r="Y2231" s="284"/>
      <c r="Z2231" s="207"/>
      <c r="AA2231" s="284"/>
      <c r="AB2231" s="284"/>
      <c r="AC2231" s="284"/>
      <c r="AD2231" s="284"/>
      <c r="AE2231" s="284"/>
      <c r="AF2231" s="284"/>
      <c r="AG2231" s="284"/>
    </row>
    <row r="2232" spans="1:33" ht="26.4">
      <c r="A2232" s="284"/>
      <c r="B2232" s="284"/>
      <c r="C2232" s="284"/>
      <c r="D2232" s="284"/>
      <c r="E2232" s="284"/>
      <c r="F2232" s="284"/>
      <c r="G2232" s="284"/>
      <c r="H2232" s="284"/>
      <c r="I2232" s="284"/>
      <c r="J2232" s="375"/>
      <c r="K2232" s="375"/>
      <c r="L2232" s="375"/>
      <c r="M2232" s="368"/>
      <c r="N2232" s="368"/>
      <c r="O2232" s="370"/>
      <c r="T2232" s="340"/>
      <c r="V2232" s="378"/>
      <c r="W2232" s="64" ph="1"/>
      <c r="X2232" s="241"/>
      <c r="Y2232" s="284"/>
      <c r="Z2232" s="207"/>
      <c r="AA2232" s="284"/>
      <c r="AB2232" s="284"/>
      <c r="AC2232" s="284"/>
      <c r="AD2232" s="284"/>
      <c r="AE2232" s="284"/>
      <c r="AF2232" s="284"/>
      <c r="AG2232" s="284"/>
    </row>
    <row r="2233" spans="1:33" ht="26.4">
      <c r="A2233" s="284"/>
      <c r="B2233" s="284"/>
      <c r="C2233" s="284"/>
      <c r="D2233" s="284"/>
      <c r="E2233" s="284"/>
      <c r="F2233" s="284"/>
      <c r="G2233" s="284"/>
      <c r="H2233" s="284"/>
      <c r="I2233" s="284"/>
      <c r="J2233" s="375"/>
      <c r="K2233" s="375"/>
      <c r="L2233" s="375"/>
      <c r="M2233" s="368"/>
      <c r="N2233" s="368"/>
      <c r="O2233" s="370"/>
      <c r="T2233" s="340"/>
      <c r="V2233" s="378"/>
      <c r="W2233" s="64" ph="1"/>
      <c r="X2233" s="241"/>
      <c r="Y2233" s="284"/>
      <c r="Z2233" s="207"/>
      <c r="AA2233" s="284"/>
      <c r="AB2233" s="284"/>
      <c r="AC2233" s="284"/>
      <c r="AD2233" s="284"/>
      <c r="AE2233" s="284"/>
      <c r="AF2233" s="284"/>
      <c r="AG2233" s="284"/>
    </row>
    <row r="2234" spans="1:33" ht="26.4">
      <c r="A2234" s="284"/>
      <c r="B2234" s="284"/>
      <c r="C2234" s="284"/>
      <c r="D2234" s="284"/>
      <c r="E2234" s="284"/>
      <c r="F2234" s="284"/>
      <c r="G2234" s="284"/>
      <c r="H2234" s="284"/>
      <c r="I2234" s="284"/>
      <c r="J2234" s="375"/>
      <c r="K2234" s="375"/>
      <c r="L2234" s="375"/>
      <c r="M2234" s="368"/>
      <c r="N2234" s="368"/>
      <c r="O2234" s="370"/>
      <c r="T2234" s="340"/>
      <c r="V2234" s="378"/>
      <c r="W2234" s="64" ph="1"/>
      <c r="X2234" s="241"/>
      <c r="Y2234" s="284"/>
      <c r="Z2234" s="207"/>
      <c r="AA2234" s="284"/>
      <c r="AB2234" s="284"/>
      <c r="AC2234" s="284"/>
      <c r="AD2234" s="284"/>
      <c r="AE2234" s="284"/>
      <c r="AF2234" s="284"/>
      <c r="AG2234" s="284"/>
    </row>
    <row r="2235" spans="1:33" ht="26.4">
      <c r="A2235" s="284"/>
      <c r="B2235" s="284"/>
      <c r="C2235" s="284"/>
      <c r="D2235" s="284"/>
      <c r="E2235" s="284"/>
      <c r="F2235" s="284"/>
      <c r="G2235" s="284"/>
      <c r="H2235" s="284"/>
      <c r="I2235" s="284"/>
      <c r="J2235" s="375"/>
      <c r="K2235" s="375"/>
      <c r="L2235" s="375"/>
      <c r="M2235" s="368"/>
      <c r="N2235" s="368"/>
      <c r="O2235" s="370"/>
      <c r="T2235" s="340"/>
      <c r="V2235" s="378"/>
      <c r="W2235" s="64" ph="1"/>
      <c r="X2235" s="241"/>
      <c r="Y2235" s="284"/>
      <c r="Z2235" s="207"/>
      <c r="AA2235" s="284"/>
      <c r="AB2235" s="284"/>
      <c r="AC2235" s="284"/>
      <c r="AD2235" s="284"/>
      <c r="AE2235" s="284"/>
      <c r="AF2235" s="284"/>
      <c r="AG2235" s="284"/>
    </row>
    <row r="2236" spans="1:33" ht="26.4">
      <c r="A2236" s="284"/>
      <c r="B2236" s="284"/>
      <c r="C2236" s="284"/>
      <c r="D2236" s="284"/>
      <c r="E2236" s="284"/>
      <c r="F2236" s="284"/>
      <c r="G2236" s="284"/>
      <c r="H2236" s="284"/>
      <c r="I2236" s="284"/>
      <c r="J2236" s="375"/>
      <c r="K2236" s="375"/>
      <c r="L2236" s="375"/>
      <c r="M2236" s="368"/>
      <c r="N2236" s="368"/>
      <c r="O2236" s="370"/>
      <c r="T2236" s="340"/>
      <c r="V2236" s="378"/>
      <c r="W2236" s="64" ph="1"/>
      <c r="X2236" s="241"/>
      <c r="Y2236" s="284"/>
      <c r="Z2236" s="207"/>
      <c r="AA2236" s="284"/>
      <c r="AB2236" s="284"/>
      <c r="AC2236" s="284"/>
      <c r="AD2236" s="284"/>
      <c r="AE2236" s="284"/>
      <c r="AF2236" s="284"/>
      <c r="AG2236" s="284"/>
    </row>
    <row r="2237" spans="1:33" ht="26.4">
      <c r="A2237" s="284"/>
      <c r="B2237" s="284"/>
      <c r="C2237" s="284"/>
      <c r="D2237" s="284"/>
      <c r="E2237" s="284"/>
      <c r="F2237" s="284"/>
      <c r="G2237" s="284"/>
      <c r="H2237" s="284"/>
      <c r="I2237" s="284"/>
      <c r="J2237" s="375"/>
      <c r="K2237" s="375"/>
      <c r="L2237" s="375"/>
      <c r="M2237" s="368"/>
      <c r="N2237" s="368"/>
      <c r="O2237" s="370"/>
      <c r="T2237" s="340"/>
      <c r="V2237" s="378"/>
      <c r="W2237" s="64" ph="1"/>
      <c r="X2237" s="241"/>
      <c r="Y2237" s="284"/>
      <c r="Z2237" s="207"/>
      <c r="AA2237" s="284"/>
      <c r="AB2237" s="284"/>
      <c r="AC2237" s="284"/>
      <c r="AD2237" s="284"/>
      <c r="AE2237" s="284"/>
      <c r="AF2237" s="284"/>
      <c r="AG2237" s="284"/>
    </row>
    <row r="2238" spans="1:33" ht="26.4">
      <c r="A2238" s="284"/>
      <c r="B2238" s="284"/>
      <c r="C2238" s="284"/>
      <c r="D2238" s="284"/>
      <c r="E2238" s="284"/>
      <c r="F2238" s="284"/>
      <c r="G2238" s="284"/>
      <c r="H2238" s="284"/>
      <c r="I2238" s="284"/>
      <c r="J2238" s="375"/>
      <c r="K2238" s="375"/>
      <c r="L2238" s="375"/>
      <c r="M2238" s="368"/>
      <c r="N2238" s="368"/>
      <c r="O2238" s="370"/>
      <c r="T2238" s="340"/>
      <c r="V2238" s="378"/>
      <c r="W2238" s="64" ph="1"/>
      <c r="X2238" s="241"/>
      <c r="Y2238" s="284"/>
      <c r="Z2238" s="207"/>
      <c r="AA2238" s="284"/>
      <c r="AB2238" s="284"/>
      <c r="AC2238" s="284"/>
      <c r="AD2238" s="284"/>
      <c r="AE2238" s="284"/>
      <c r="AF2238" s="284"/>
      <c r="AG2238" s="284"/>
    </row>
    <row r="2239" spans="1:33" ht="26.4">
      <c r="A2239" s="284"/>
      <c r="B2239" s="284"/>
      <c r="C2239" s="284"/>
      <c r="D2239" s="284"/>
      <c r="E2239" s="284"/>
      <c r="F2239" s="284"/>
      <c r="G2239" s="284"/>
      <c r="H2239" s="284"/>
      <c r="I2239" s="284"/>
      <c r="J2239" s="375"/>
      <c r="K2239" s="375"/>
      <c r="L2239" s="375"/>
      <c r="M2239" s="368"/>
      <c r="N2239" s="368"/>
      <c r="O2239" s="370"/>
      <c r="T2239" s="340"/>
      <c r="V2239" s="378"/>
      <c r="W2239" s="64" ph="1"/>
      <c r="X2239" s="241"/>
      <c r="Y2239" s="284"/>
      <c r="Z2239" s="207"/>
      <c r="AA2239" s="284"/>
      <c r="AB2239" s="284"/>
      <c r="AC2239" s="284"/>
      <c r="AD2239" s="284"/>
      <c r="AE2239" s="284"/>
      <c r="AF2239" s="284"/>
      <c r="AG2239" s="284"/>
    </row>
    <row r="2240" spans="1:33" ht="26.4">
      <c r="A2240" s="284"/>
      <c r="B2240" s="284"/>
      <c r="C2240" s="284"/>
      <c r="D2240" s="284"/>
      <c r="E2240" s="284"/>
      <c r="F2240" s="284"/>
      <c r="G2240" s="284"/>
      <c r="H2240" s="284"/>
      <c r="I2240" s="284"/>
      <c r="J2240" s="375"/>
      <c r="K2240" s="375"/>
      <c r="L2240" s="375"/>
      <c r="M2240" s="368"/>
      <c r="N2240" s="368"/>
      <c r="O2240" s="370"/>
      <c r="T2240" s="340"/>
      <c r="V2240" s="378"/>
      <c r="W2240" s="64" ph="1"/>
      <c r="X2240" s="241"/>
      <c r="Y2240" s="284"/>
      <c r="Z2240" s="207"/>
      <c r="AA2240" s="284"/>
      <c r="AB2240" s="284"/>
      <c r="AC2240" s="284"/>
      <c r="AD2240" s="284"/>
      <c r="AE2240" s="284"/>
      <c r="AF2240" s="284"/>
      <c r="AG2240" s="284"/>
    </row>
    <row r="2241" spans="1:33" ht="26.4">
      <c r="A2241" s="284"/>
      <c r="B2241" s="284"/>
      <c r="C2241" s="284"/>
      <c r="D2241" s="284"/>
      <c r="E2241" s="284"/>
      <c r="F2241" s="284"/>
      <c r="G2241" s="284"/>
      <c r="H2241" s="284"/>
      <c r="I2241" s="284"/>
      <c r="J2241" s="375"/>
      <c r="K2241" s="375"/>
      <c r="L2241" s="375"/>
      <c r="M2241" s="368"/>
      <c r="N2241" s="368"/>
      <c r="O2241" s="370"/>
      <c r="T2241" s="340"/>
      <c r="V2241" s="378"/>
      <c r="W2241" s="64" ph="1"/>
      <c r="X2241" s="241"/>
      <c r="Y2241" s="284"/>
      <c r="Z2241" s="207"/>
      <c r="AA2241" s="284"/>
      <c r="AB2241" s="284"/>
      <c r="AC2241" s="284"/>
      <c r="AD2241" s="284"/>
      <c r="AE2241" s="284"/>
      <c r="AF2241" s="284"/>
      <c r="AG2241" s="284"/>
    </row>
    <row r="2242" spans="1:33" ht="26.4">
      <c r="A2242" s="284"/>
      <c r="B2242" s="284"/>
      <c r="C2242" s="284"/>
      <c r="D2242" s="284"/>
      <c r="E2242" s="284"/>
      <c r="F2242" s="284"/>
      <c r="G2242" s="284"/>
      <c r="H2242" s="284"/>
      <c r="I2242" s="284"/>
      <c r="J2242" s="375"/>
      <c r="K2242" s="375"/>
      <c r="L2242" s="375"/>
      <c r="M2242" s="368"/>
      <c r="N2242" s="368"/>
      <c r="O2242" s="370"/>
      <c r="T2242" s="340"/>
      <c r="V2242" s="378"/>
      <c r="W2242" s="64" ph="1"/>
      <c r="X2242" s="241"/>
      <c r="Y2242" s="284"/>
      <c r="Z2242" s="207"/>
      <c r="AA2242" s="284"/>
      <c r="AB2242" s="284"/>
      <c r="AC2242" s="284"/>
      <c r="AD2242" s="284"/>
      <c r="AE2242" s="284"/>
      <c r="AF2242" s="284"/>
      <c r="AG2242" s="284"/>
    </row>
    <row r="2243" spans="1:33" ht="26.4">
      <c r="A2243" s="284"/>
      <c r="B2243" s="284"/>
      <c r="C2243" s="284"/>
      <c r="D2243" s="284"/>
      <c r="E2243" s="284"/>
      <c r="F2243" s="284"/>
      <c r="G2243" s="284"/>
      <c r="H2243" s="284"/>
      <c r="I2243" s="284"/>
      <c r="J2243" s="375"/>
      <c r="K2243" s="375"/>
      <c r="L2243" s="375"/>
      <c r="M2243" s="368"/>
      <c r="N2243" s="368"/>
      <c r="O2243" s="370"/>
      <c r="T2243" s="340"/>
      <c r="V2243" s="378"/>
      <c r="W2243" s="64" ph="1"/>
      <c r="X2243" s="241"/>
      <c r="Y2243" s="284"/>
      <c r="Z2243" s="207"/>
      <c r="AA2243" s="284"/>
      <c r="AB2243" s="284"/>
      <c r="AC2243" s="284"/>
      <c r="AD2243" s="284"/>
      <c r="AE2243" s="284"/>
      <c r="AF2243" s="284"/>
      <c r="AG2243" s="284"/>
    </row>
    <row r="2244" spans="1:33" ht="26.4">
      <c r="A2244" s="284"/>
      <c r="B2244" s="284"/>
      <c r="C2244" s="284"/>
      <c r="D2244" s="284"/>
      <c r="E2244" s="284"/>
      <c r="F2244" s="284"/>
      <c r="G2244" s="284"/>
      <c r="H2244" s="284"/>
      <c r="I2244" s="284"/>
      <c r="J2244" s="375"/>
      <c r="K2244" s="375"/>
      <c r="L2244" s="375"/>
      <c r="M2244" s="368"/>
      <c r="N2244" s="368"/>
      <c r="O2244" s="370"/>
      <c r="T2244" s="340"/>
      <c r="V2244" s="378"/>
      <c r="W2244" s="64" ph="1"/>
      <c r="X2244" s="241"/>
      <c r="Y2244" s="284"/>
      <c r="Z2244" s="207"/>
      <c r="AA2244" s="284"/>
      <c r="AB2244" s="284"/>
      <c r="AC2244" s="284"/>
      <c r="AD2244" s="284"/>
      <c r="AE2244" s="284"/>
      <c r="AF2244" s="284"/>
      <c r="AG2244" s="284"/>
    </row>
    <row r="2245" spans="1:33" ht="26.4">
      <c r="A2245" s="284"/>
      <c r="B2245" s="284"/>
      <c r="C2245" s="284"/>
      <c r="D2245" s="284"/>
      <c r="E2245" s="284"/>
      <c r="F2245" s="284"/>
      <c r="G2245" s="284"/>
      <c r="H2245" s="284"/>
      <c r="I2245" s="284"/>
      <c r="J2245" s="375"/>
      <c r="K2245" s="375"/>
      <c r="L2245" s="375"/>
      <c r="M2245" s="368"/>
      <c r="N2245" s="368"/>
      <c r="O2245" s="370"/>
      <c r="T2245" s="340"/>
      <c r="V2245" s="378"/>
      <c r="W2245" s="64" ph="1"/>
      <c r="X2245" s="241"/>
      <c r="Y2245" s="284"/>
      <c r="Z2245" s="207"/>
      <c r="AA2245" s="284"/>
      <c r="AB2245" s="284"/>
      <c r="AC2245" s="284"/>
      <c r="AD2245" s="284"/>
      <c r="AE2245" s="284"/>
      <c r="AF2245" s="284"/>
      <c r="AG2245" s="284"/>
    </row>
    <row r="2246" spans="1:33" ht="26.4">
      <c r="A2246" s="284"/>
      <c r="B2246" s="284"/>
      <c r="C2246" s="284"/>
      <c r="D2246" s="284"/>
      <c r="E2246" s="284"/>
      <c r="F2246" s="284"/>
      <c r="G2246" s="284"/>
      <c r="H2246" s="284"/>
      <c r="I2246" s="284"/>
      <c r="J2246" s="375"/>
      <c r="K2246" s="375"/>
      <c r="L2246" s="375"/>
      <c r="M2246" s="368"/>
      <c r="N2246" s="368"/>
      <c r="O2246" s="370"/>
      <c r="T2246" s="340"/>
      <c r="V2246" s="378"/>
      <c r="W2246" s="64" ph="1"/>
      <c r="X2246" s="241"/>
      <c r="Y2246" s="284"/>
      <c r="Z2246" s="207"/>
      <c r="AA2246" s="284"/>
      <c r="AB2246" s="284"/>
      <c r="AC2246" s="284"/>
      <c r="AD2246" s="284"/>
      <c r="AE2246" s="284"/>
      <c r="AF2246" s="284"/>
      <c r="AG2246" s="284"/>
    </row>
    <row r="2247" spans="1:33" ht="26.4">
      <c r="A2247" s="284"/>
      <c r="B2247" s="284"/>
      <c r="C2247" s="284"/>
      <c r="D2247" s="284"/>
      <c r="E2247" s="284"/>
      <c r="F2247" s="284"/>
      <c r="G2247" s="284"/>
      <c r="H2247" s="284"/>
      <c r="I2247" s="284"/>
      <c r="J2247" s="375"/>
      <c r="K2247" s="375"/>
      <c r="L2247" s="375"/>
      <c r="M2247" s="368"/>
      <c r="N2247" s="368"/>
      <c r="O2247" s="370"/>
      <c r="T2247" s="340"/>
      <c r="V2247" s="378"/>
      <c r="W2247" s="64" ph="1"/>
      <c r="X2247" s="241"/>
      <c r="Y2247" s="284"/>
      <c r="Z2247" s="207"/>
      <c r="AA2247" s="284"/>
      <c r="AB2247" s="284"/>
      <c r="AC2247" s="284"/>
      <c r="AD2247" s="284"/>
      <c r="AE2247" s="284"/>
      <c r="AF2247" s="284"/>
      <c r="AG2247" s="284"/>
    </row>
    <row r="2248" spans="1:33" ht="26.4">
      <c r="A2248" s="284"/>
      <c r="B2248" s="284"/>
      <c r="C2248" s="284"/>
      <c r="D2248" s="284"/>
      <c r="E2248" s="284"/>
      <c r="F2248" s="284"/>
      <c r="G2248" s="284"/>
      <c r="H2248" s="284"/>
      <c r="I2248" s="284"/>
      <c r="J2248" s="375"/>
      <c r="K2248" s="375"/>
      <c r="L2248" s="375"/>
      <c r="M2248" s="368"/>
      <c r="N2248" s="368"/>
      <c r="O2248" s="370"/>
      <c r="T2248" s="340"/>
      <c r="V2248" s="378"/>
      <c r="W2248" s="64" ph="1"/>
      <c r="X2248" s="241"/>
      <c r="Y2248" s="284"/>
      <c r="Z2248" s="207"/>
      <c r="AA2248" s="284"/>
      <c r="AB2248" s="284"/>
      <c r="AC2248" s="284"/>
      <c r="AD2248" s="284"/>
      <c r="AE2248" s="284"/>
      <c r="AF2248" s="284"/>
      <c r="AG2248" s="284"/>
    </row>
    <row r="2249" spans="1:33" ht="26.4">
      <c r="A2249" s="284"/>
      <c r="B2249" s="284"/>
      <c r="C2249" s="284"/>
      <c r="D2249" s="284"/>
      <c r="E2249" s="284"/>
      <c r="F2249" s="284"/>
      <c r="G2249" s="284"/>
      <c r="H2249" s="284"/>
      <c r="I2249" s="284"/>
      <c r="J2249" s="375"/>
      <c r="K2249" s="375"/>
      <c r="L2249" s="375"/>
      <c r="M2249" s="368"/>
      <c r="N2249" s="368"/>
      <c r="O2249" s="370"/>
      <c r="T2249" s="340"/>
      <c r="V2249" s="378"/>
      <c r="W2249" s="64" ph="1"/>
      <c r="X2249" s="241"/>
      <c r="Y2249" s="284"/>
      <c r="Z2249" s="207"/>
      <c r="AA2249" s="284"/>
      <c r="AB2249" s="284"/>
      <c r="AC2249" s="284"/>
      <c r="AD2249" s="284"/>
      <c r="AE2249" s="284"/>
      <c r="AF2249" s="284"/>
      <c r="AG2249" s="284"/>
    </row>
    <row r="2250" spans="1:33" ht="26.4">
      <c r="A2250" s="284"/>
      <c r="B2250" s="284"/>
      <c r="C2250" s="284"/>
      <c r="D2250" s="284"/>
      <c r="E2250" s="284"/>
      <c r="F2250" s="284"/>
      <c r="G2250" s="284"/>
      <c r="H2250" s="284"/>
      <c r="I2250" s="284"/>
      <c r="J2250" s="375"/>
      <c r="K2250" s="375"/>
      <c r="L2250" s="375"/>
      <c r="M2250" s="368"/>
      <c r="N2250" s="368"/>
      <c r="O2250" s="370"/>
      <c r="T2250" s="340"/>
      <c r="V2250" s="378"/>
      <c r="W2250" s="64" ph="1"/>
      <c r="X2250" s="241"/>
      <c r="Y2250" s="284"/>
      <c r="Z2250" s="207"/>
      <c r="AA2250" s="284"/>
      <c r="AB2250" s="284"/>
      <c r="AC2250" s="284"/>
      <c r="AD2250" s="284"/>
      <c r="AE2250" s="284"/>
      <c r="AF2250" s="284"/>
      <c r="AG2250" s="284"/>
    </row>
    <row r="2251" spans="1:33" ht="26.4">
      <c r="A2251" s="284"/>
      <c r="B2251" s="284"/>
      <c r="C2251" s="284"/>
      <c r="D2251" s="284"/>
      <c r="E2251" s="284"/>
      <c r="F2251" s="284"/>
      <c r="G2251" s="284"/>
      <c r="H2251" s="284"/>
      <c r="I2251" s="284"/>
      <c r="J2251" s="375"/>
      <c r="K2251" s="375"/>
      <c r="L2251" s="375"/>
      <c r="M2251" s="368"/>
      <c r="N2251" s="368"/>
      <c r="O2251" s="370"/>
      <c r="T2251" s="340"/>
      <c r="V2251" s="378"/>
      <c r="W2251" s="64" ph="1"/>
      <c r="X2251" s="241"/>
      <c r="Y2251" s="284"/>
      <c r="Z2251" s="207"/>
      <c r="AA2251" s="284"/>
      <c r="AB2251" s="284"/>
      <c r="AC2251" s="284"/>
      <c r="AD2251" s="284"/>
      <c r="AE2251" s="284"/>
      <c r="AF2251" s="284"/>
      <c r="AG2251" s="284"/>
    </row>
    <row r="2252" spans="1:33" ht="26.4">
      <c r="A2252" s="284"/>
      <c r="B2252" s="284"/>
      <c r="C2252" s="284"/>
      <c r="D2252" s="284"/>
      <c r="E2252" s="284"/>
      <c r="F2252" s="284"/>
      <c r="G2252" s="284"/>
      <c r="H2252" s="284"/>
      <c r="I2252" s="284"/>
      <c r="J2252" s="375"/>
      <c r="K2252" s="375"/>
      <c r="L2252" s="375"/>
      <c r="M2252" s="368"/>
      <c r="N2252" s="368"/>
      <c r="O2252" s="370"/>
      <c r="T2252" s="340"/>
      <c r="V2252" s="378"/>
      <c r="W2252" s="64" ph="1"/>
      <c r="X2252" s="241"/>
      <c r="Y2252" s="284"/>
      <c r="Z2252" s="207"/>
      <c r="AA2252" s="284"/>
      <c r="AB2252" s="284"/>
      <c r="AC2252" s="284"/>
      <c r="AD2252" s="284"/>
      <c r="AE2252" s="284"/>
      <c r="AF2252" s="284"/>
      <c r="AG2252" s="284"/>
    </row>
    <row r="2253" spans="1:33" ht="26.4">
      <c r="A2253" s="284"/>
      <c r="B2253" s="284"/>
      <c r="C2253" s="284"/>
      <c r="D2253" s="284"/>
      <c r="E2253" s="284"/>
      <c r="F2253" s="284"/>
      <c r="G2253" s="284"/>
      <c r="H2253" s="284"/>
      <c r="I2253" s="284"/>
      <c r="J2253" s="375"/>
      <c r="K2253" s="375"/>
      <c r="L2253" s="375"/>
      <c r="M2253" s="368"/>
      <c r="N2253" s="368"/>
      <c r="O2253" s="370"/>
      <c r="T2253" s="340"/>
      <c r="V2253" s="378"/>
      <c r="W2253" s="64" ph="1"/>
      <c r="X2253" s="241"/>
      <c r="Y2253" s="284"/>
      <c r="Z2253" s="207"/>
      <c r="AA2253" s="284"/>
      <c r="AB2253" s="284"/>
      <c r="AC2253" s="284"/>
      <c r="AD2253" s="284"/>
      <c r="AE2253" s="284"/>
      <c r="AF2253" s="284"/>
      <c r="AG2253" s="284"/>
    </row>
    <row r="2254" spans="1:33" ht="26.4">
      <c r="A2254" s="284"/>
      <c r="B2254" s="284"/>
      <c r="C2254" s="284"/>
      <c r="D2254" s="284"/>
      <c r="E2254" s="284"/>
      <c r="F2254" s="284"/>
      <c r="G2254" s="284"/>
      <c r="H2254" s="284"/>
      <c r="I2254" s="284"/>
      <c r="J2254" s="375"/>
      <c r="K2254" s="375"/>
      <c r="L2254" s="375"/>
      <c r="M2254" s="368"/>
      <c r="N2254" s="368"/>
      <c r="O2254" s="370"/>
      <c r="T2254" s="340"/>
      <c r="V2254" s="378"/>
      <c r="W2254" s="64" ph="1"/>
      <c r="X2254" s="241"/>
      <c r="Y2254" s="284"/>
      <c r="Z2254" s="207"/>
      <c r="AA2254" s="284"/>
      <c r="AB2254" s="284"/>
      <c r="AC2254" s="284"/>
      <c r="AD2254" s="284"/>
      <c r="AE2254" s="284"/>
      <c r="AF2254" s="284"/>
      <c r="AG2254" s="284"/>
    </row>
    <row r="2255" spans="1:33" ht="26.4">
      <c r="A2255" s="284"/>
      <c r="B2255" s="284"/>
      <c r="C2255" s="284"/>
      <c r="D2255" s="284"/>
      <c r="E2255" s="284"/>
      <c r="F2255" s="284"/>
      <c r="G2255" s="284"/>
      <c r="H2255" s="284"/>
      <c r="I2255" s="284"/>
      <c r="J2255" s="375"/>
      <c r="K2255" s="375"/>
      <c r="L2255" s="375"/>
      <c r="M2255" s="368"/>
      <c r="N2255" s="368"/>
      <c r="O2255" s="370"/>
      <c r="T2255" s="340"/>
      <c r="V2255" s="378"/>
      <c r="W2255" s="64" ph="1"/>
      <c r="X2255" s="241"/>
      <c r="Y2255" s="284"/>
      <c r="Z2255" s="207"/>
      <c r="AA2255" s="284"/>
      <c r="AB2255" s="284"/>
      <c r="AC2255" s="284"/>
      <c r="AD2255" s="284"/>
      <c r="AE2255" s="284"/>
      <c r="AF2255" s="284"/>
      <c r="AG2255" s="284"/>
    </row>
    <row r="2256" spans="1:33" ht="26.4">
      <c r="A2256" s="284"/>
      <c r="B2256" s="284"/>
      <c r="C2256" s="284"/>
      <c r="D2256" s="284"/>
      <c r="E2256" s="284"/>
      <c r="F2256" s="284"/>
      <c r="G2256" s="284"/>
      <c r="H2256" s="284"/>
      <c r="I2256" s="284"/>
      <c r="J2256" s="375"/>
      <c r="K2256" s="375"/>
      <c r="L2256" s="375"/>
      <c r="M2256" s="368"/>
      <c r="N2256" s="368"/>
      <c r="O2256" s="370"/>
      <c r="T2256" s="340"/>
      <c r="V2256" s="378"/>
      <c r="W2256" s="64" ph="1"/>
      <c r="X2256" s="241"/>
      <c r="Y2256" s="284"/>
      <c r="Z2256" s="207"/>
      <c r="AA2256" s="284"/>
      <c r="AB2256" s="284"/>
      <c r="AC2256" s="284"/>
      <c r="AD2256" s="284"/>
      <c r="AE2256" s="284"/>
      <c r="AF2256" s="284"/>
      <c r="AG2256" s="284"/>
    </row>
    <row r="2257" spans="15:23" ht="26.4">
      <c r="O2257" s="370"/>
      <c r="W2257" s="64" ph="1"/>
    </row>
    <row r="2258" spans="15:23" ht="26.4">
      <c r="O2258" s="370"/>
      <c r="W2258" s="64" ph="1"/>
    </row>
    <row r="2259" spans="15:23" ht="26.4">
      <c r="O2259" s="370"/>
      <c r="W2259" s="64" ph="1"/>
    </row>
    <row r="2260" spans="15:23" ht="26.4">
      <c r="O2260" s="370"/>
      <c r="W2260" s="64" ph="1"/>
    </row>
    <row r="2261" spans="15:23" ht="26.4">
      <c r="O2261" s="370"/>
      <c r="W2261" s="64" ph="1"/>
    </row>
    <row r="2262" spans="15:23" ht="26.4">
      <c r="O2262" s="370"/>
      <c r="W2262" s="64" ph="1"/>
    </row>
    <row r="2263" spans="15:23" ht="26.4">
      <c r="O2263" s="370"/>
      <c r="W2263" s="64" ph="1"/>
    </row>
    <row r="2264" spans="15:23" ht="26.4">
      <c r="O2264" s="370"/>
      <c r="W2264" s="64" ph="1"/>
    </row>
    <row r="2265" spans="15:23" ht="26.4">
      <c r="O2265" s="370"/>
      <c r="W2265" s="64" ph="1"/>
    </row>
    <row r="2266" spans="15:23" ht="26.4">
      <c r="O2266" s="370"/>
      <c r="W2266" s="64" ph="1"/>
    </row>
    <row r="2267" spans="15:23" ht="26.4">
      <c r="O2267" s="370"/>
      <c r="W2267" s="64" ph="1"/>
    </row>
    <row r="2268" spans="15:23" ht="26.4">
      <c r="O2268" s="370"/>
      <c r="W2268" s="64" ph="1"/>
    </row>
    <row r="2269" spans="15:23" ht="26.4">
      <c r="W2269" s="64" ph="1"/>
    </row>
    <row r="2270" spans="15:23" ht="26.4">
      <c r="W2270" s="64" ph="1"/>
    </row>
    <row r="2271" spans="15:23" ht="26.4">
      <c r="W2271" s="64" ph="1"/>
    </row>
    <row r="2272" spans="15:23" ht="26.4">
      <c r="W2272" s="64" ph="1"/>
    </row>
    <row r="2273" spans="23:23" ht="26.4">
      <c r="W2273" s="64" ph="1"/>
    </row>
    <row r="2274" spans="23:23" ht="26.4">
      <c r="W2274" s="64" ph="1"/>
    </row>
    <row r="2275" spans="23:23" ht="26.4">
      <c r="W2275" s="64" ph="1"/>
    </row>
    <row r="2276" spans="23:23" ht="26.4">
      <c r="W2276" s="64" ph="1"/>
    </row>
    <row r="2277" spans="23:23" ht="26.4">
      <c r="W2277" s="64" ph="1"/>
    </row>
    <row r="2278" spans="23:23" ht="26.4">
      <c r="W2278" s="64" ph="1"/>
    </row>
    <row r="2279" spans="23:23" ht="26.4">
      <c r="W2279" s="64" ph="1"/>
    </row>
    <row r="2280" spans="23:23" ht="26.4">
      <c r="W2280" s="64" ph="1"/>
    </row>
    <row r="2281" spans="23:23" ht="26.4">
      <c r="W2281" s="64" ph="1"/>
    </row>
    <row r="2282" spans="23:23" ht="26.4">
      <c r="W2282" s="64" ph="1"/>
    </row>
    <row r="2283" spans="23:23" ht="26.4">
      <c r="W2283" s="64" ph="1"/>
    </row>
    <row r="2284" spans="23:23" ht="26.4">
      <c r="W2284" s="64" ph="1"/>
    </row>
    <row r="2285" spans="23:23" ht="26.4">
      <c r="W2285" s="64" ph="1"/>
    </row>
    <row r="2286" spans="23:23" ht="26.4">
      <c r="W2286" s="64" ph="1"/>
    </row>
    <row r="2287" spans="23:23" ht="26.4">
      <c r="W2287" s="64" ph="1"/>
    </row>
    <row r="2288" spans="23:23" ht="26.4">
      <c r="W2288" s="64" ph="1"/>
    </row>
    <row r="2289" spans="23:23" ht="26.4">
      <c r="W2289" s="64" ph="1"/>
    </row>
    <row r="2290" spans="23:23" ht="26.4">
      <c r="W2290" s="64" ph="1"/>
    </row>
    <row r="2291" spans="23:23" ht="26.4">
      <c r="W2291" s="64" ph="1"/>
    </row>
    <row r="2292" spans="23:23" ht="26.4">
      <c r="W2292" s="64" ph="1"/>
    </row>
    <row r="2293" spans="23:23" ht="26.4">
      <c r="W2293" s="64" ph="1"/>
    </row>
    <row r="2294" spans="23:23" ht="26.4">
      <c r="W2294" s="64" ph="1"/>
    </row>
    <row r="2295" spans="23:23" ht="26.4">
      <c r="W2295" s="64" ph="1"/>
    </row>
    <row r="2296" spans="23:23" ht="26.4">
      <c r="W2296" s="64" ph="1"/>
    </row>
    <row r="2297" spans="23:23" ht="26.4">
      <c r="W2297" s="64" ph="1"/>
    </row>
    <row r="2298" spans="23:23" ht="26.4">
      <c r="W2298" s="64" ph="1"/>
    </row>
    <row r="2299" spans="23:23" ht="26.4">
      <c r="W2299" s="64" ph="1"/>
    </row>
    <row r="2300" spans="23:23" ht="26.4">
      <c r="W2300" s="64" ph="1"/>
    </row>
    <row r="2301" spans="23:23" ht="26.4">
      <c r="W2301" s="64" ph="1"/>
    </row>
    <row r="2302" spans="23:23" ht="26.4">
      <c r="W2302" s="64" ph="1"/>
    </row>
    <row r="2303" spans="23:23" ht="26.4">
      <c r="W2303" s="64" ph="1"/>
    </row>
    <row r="2304" spans="23:23" ht="26.4">
      <c r="W2304" s="64" ph="1"/>
    </row>
    <row r="2305" spans="23:23" ht="26.4">
      <c r="W2305" s="64" ph="1"/>
    </row>
    <row r="2306" spans="23:23" ht="26.4">
      <c r="W2306" s="64" ph="1"/>
    </row>
    <row r="2307" spans="23:23" ht="26.4">
      <c r="W2307" s="64" ph="1"/>
    </row>
    <row r="2308" spans="23:23" ht="26.4">
      <c r="W2308" s="64" ph="1"/>
    </row>
    <row r="2309" spans="23:23" ht="26.4">
      <c r="W2309" s="64" ph="1"/>
    </row>
    <row r="2310" spans="23:23" ht="26.4">
      <c r="W2310" s="64" ph="1"/>
    </row>
    <row r="2311" spans="23:23" ht="26.4">
      <c r="W2311" s="64" ph="1"/>
    </row>
    <row r="2312" spans="23:23" ht="26.4">
      <c r="W2312" s="64" ph="1"/>
    </row>
    <row r="2313" spans="23:23" ht="26.4">
      <c r="W2313" s="64" ph="1"/>
    </row>
    <row r="2314" spans="23:23" ht="26.4">
      <c r="W2314" s="64" ph="1"/>
    </row>
    <row r="2315" spans="23:23" ht="26.4">
      <c r="W2315" s="64" ph="1"/>
    </row>
    <row r="2316" spans="23:23" ht="26.4">
      <c r="W2316" s="64" ph="1"/>
    </row>
    <row r="2317" spans="23:23" ht="26.4">
      <c r="W2317" s="64" ph="1"/>
    </row>
    <row r="2318" spans="23:23" ht="26.4">
      <c r="W2318" s="64" ph="1"/>
    </row>
    <row r="2319" spans="23:23" ht="26.4">
      <c r="W2319" s="64" ph="1"/>
    </row>
    <row r="2320" spans="23:23" ht="26.4">
      <c r="W2320" s="64" ph="1"/>
    </row>
    <row r="2321" spans="23:23" ht="26.4">
      <c r="W2321" s="64" ph="1"/>
    </row>
    <row r="2322" spans="23:23" ht="26.4">
      <c r="W2322" s="64" ph="1"/>
    </row>
    <row r="2323" spans="23:23" ht="26.4">
      <c r="W2323" s="64" ph="1"/>
    </row>
    <row r="2324" spans="23:23" ht="26.4">
      <c r="W2324" s="64" ph="1"/>
    </row>
    <row r="2325" spans="23:23" ht="26.4">
      <c r="W2325" s="64" ph="1"/>
    </row>
    <row r="2326" spans="23:23" ht="26.4">
      <c r="W2326" s="64" ph="1"/>
    </row>
    <row r="2327" spans="23:23" ht="26.4">
      <c r="W2327" s="64" ph="1"/>
    </row>
    <row r="2328" spans="23:23" ht="26.4">
      <c r="W2328" s="64" ph="1"/>
    </row>
    <row r="2329" spans="23:23" ht="26.4">
      <c r="W2329" s="64" ph="1"/>
    </row>
    <row r="2330" spans="23:23" ht="26.4">
      <c r="W2330" s="64" ph="1"/>
    </row>
    <row r="2331" spans="23:23" ht="26.4">
      <c r="W2331" s="64" ph="1"/>
    </row>
    <row r="2332" spans="23:23" ht="26.4">
      <c r="W2332" s="64" ph="1"/>
    </row>
    <row r="2333" spans="23:23" ht="26.4">
      <c r="W2333" s="64" ph="1"/>
    </row>
    <row r="2334" spans="23:23" ht="26.4">
      <c r="W2334" s="64" ph="1"/>
    </row>
    <row r="2335" spans="23:23" ht="26.4">
      <c r="W2335" s="64" ph="1"/>
    </row>
    <row r="2336" spans="23:23" ht="26.4">
      <c r="W2336" s="64" ph="1"/>
    </row>
    <row r="2337" spans="23:23" ht="26.4">
      <c r="W2337" s="64" ph="1"/>
    </row>
    <row r="2338" spans="23:23" ht="26.4">
      <c r="W2338" s="64" ph="1"/>
    </row>
    <row r="2339" spans="23:23" ht="26.4">
      <c r="W2339" s="64" ph="1"/>
    </row>
    <row r="2340" spans="23:23" ht="26.4">
      <c r="W2340" s="64" ph="1"/>
    </row>
    <row r="2341" spans="23:23" ht="26.4">
      <c r="W2341" s="64" ph="1"/>
    </row>
    <row r="2342" spans="23:23" ht="26.4">
      <c r="W2342" s="64" ph="1"/>
    </row>
    <row r="2343" spans="23:23" ht="26.4">
      <c r="W2343" s="64" ph="1"/>
    </row>
    <row r="2344" spans="23:23" ht="26.4">
      <c r="W2344" s="64" ph="1"/>
    </row>
    <row r="2345" spans="23:23" ht="26.4">
      <c r="W2345" s="64" ph="1"/>
    </row>
    <row r="2346" spans="23:23" ht="26.4">
      <c r="W2346" s="64" ph="1"/>
    </row>
    <row r="2347" spans="23:23" ht="26.4">
      <c r="W2347" s="64" ph="1"/>
    </row>
    <row r="2348" spans="23:23" ht="26.4">
      <c r="W2348" s="64" ph="1"/>
    </row>
    <row r="2349" spans="23:23" ht="26.4">
      <c r="W2349" s="64" ph="1"/>
    </row>
    <row r="2350" spans="23:23" ht="26.4">
      <c r="W2350" s="64" ph="1"/>
    </row>
    <row r="2351" spans="23:23" ht="26.4">
      <c r="W2351" s="64" ph="1"/>
    </row>
    <row r="2352" spans="23:23" ht="26.4">
      <c r="W2352" s="64" ph="1"/>
    </row>
    <row r="2353" spans="23:23" ht="26.4">
      <c r="W2353" s="64" ph="1"/>
    </row>
    <row r="2354" spans="23:23" ht="26.4">
      <c r="W2354" s="64" ph="1"/>
    </row>
    <row r="2355" spans="23:23" ht="26.4">
      <c r="W2355" s="64" ph="1"/>
    </row>
    <row r="2356" spans="23:23" ht="26.4">
      <c r="W2356" s="64" ph="1"/>
    </row>
    <row r="2357" spans="23:23" ht="26.4">
      <c r="W2357" s="64" ph="1"/>
    </row>
    <row r="2358" spans="23:23" ht="26.4">
      <c r="W2358" s="64" ph="1"/>
    </row>
    <row r="2359" spans="23:23" ht="26.4">
      <c r="W2359" s="64" ph="1"/>
    </row>
    <row r="2360" spans="23:23" ht="26.4">
      <c r="W2360" s="64" ph="1"/>
    </row>
    <row r="2361" spans="23:23" ht="26.4">
      <c r="W2361" s="64" ph="1"/>
    </row>
    <row r="2362" spans="23:23" ht="26.4">
      <c r="W2362" s="64" ph="1"/>
    </row>
    <row r="2363" spans="23:23" ht="26.4">
      <c r="W2363" s="64" ph="1"/>
    </row>
    <row r="2364" spans="23:23" ht="26.4">
      <c r="W2364" s="64" ph="1"/>
    </row>
    <row r="2365" spans="23:23" ht="26.4">
      <c r="W2365" s="64" ph="1"/>
    </row>
    <row r="2366" spans="23:23" ht="26.4">
      <c r="W2366" s="64" ph="1"/>
    </row>
    <row r="2367" spans="23:23" ht="26.4">
      <c r="W2367" s="64" ph="1"/>
    </row>
    <row r="2368" spans="23:23" ht="26.4">
      <c r="W2368" s="64" ph="1"/>
    </row>
    <row r="2369" spans="23:23" ht="26.4">
      <c r="W2369" s="64" ph="1"/>
    </row>
    <row r="2370" spans="23:23" ht="26.4">
      <c r="W2370" s="64" ph="1"/>
    </row>
    <row r="2371" spans="23:23" ht="26.4">
      <c r="W2371" s="64" ph="1"/>
    </row>
    <row r="2372" spans="23:23" ht="26.4">
      <c r="W2372" s="64" ph="1"/>
    </row>
    <row r="2373" spans="23:23" ht="26.4">
      <c r="W2373" s="64" ph="1"/>
    </row>
    <row r="2374" spans="23:23" ht="26.4">
      <c r="W2374" s="64" ph="1"/>
    </row>
    <row r="2375" spans="23:23" ht="26.4">
      <c r="W2375" s="64" ph="1"/>
    </row>
    <row r="2376" spans="23:23" ht="26.4">
      <c r="W2376" s="64" ph="1"/>
    </row>
    <row r="2377" spans="23:23" ht="26.4">
      <c r="W2377" s="64" ph="1"/>
    </row>
    <row r="2378" spans="23:23" ht="26.4">
      <c r="W2378" s="64" ph="1"/>
    </row>
    <row r="2379" spans="23:23" ht="26.4">
      <c r="W2379" s="64" ph="1"/>
    </row>
    <row r="2380" spans="23:23" ht="26.4">
      <c r="W2380" s="64" ph="1"/>
    </row>
    <row r="2381" spans="23:23" ht="26.4">
      <c r="W2381" s="64" ph="1"/>
    </row>
    <row r="2382" spans="23:23" ht="26.4">
      <c r="W2382" s="64" ph="1"/>
    </row>
    <row r="2383" spans="23:23" ht="26.4">
      <c r="W2383" s="64" ph="1"/>
    </row>
    <row r="2384" spans="23:23" ht="26.4">
      <c r="W2384" s="64" ph="1"/>
    </row>
    <row r="2385" spans="23:23" ht="26.4">
      <c r="W2385" s="64" ph="1"/>
    </row>
    <row r="2386" spans="23:23" ht="26.4">
      <c r="W2386" s="64" ph="1"/>
    </row>
    <row r="2387" spans="23:23" ht="26.4">
      <c r="W2387" s="64" ph="1"/>
    </row>
    <row r="2388" spans="23:23" ht="26.4">
      <c r="W2388" s="64" ph="1"/>
    </row>
    <row r="2389" spans="23:23" ht="26.4">
      <c r="W2389" s="64" ph="1"/>
    </row>
    <row r="2390" spans="23:23" ht="26.4">
      <c r="W2390" s="64" ph="1"/>
    </row>
    <row r="2391" spans="23:23" ht="26.4">
      <c r="W2391" s="64" ph="1"/>
    </row>
    <row r="2392" spans="23:23" ht="26.4">
      <c r="W2392" s="64" ph="1"/>
    </row>
    <row r="2393" spans="23:23" ht="26.4">
      <c r="W2393" s="64" ph="1"/>
    </row>
    <row r="2394" spans="23:23" ht="26.4">
      <c r="W2394" s="64" ph="1"/>
    </row>
    <row r="2395" spans="23:23" ht="26.4">
      <c r="W2395" s="64" ph="1"/>
    </row>
    <row r="2396" spans="23:23" ht="26.4">
      <c r="W2396" s="64" ph="1"/>
    </row>
    <row r="2397" spans="23:23" ht="26.4">
      <c r="W2397" s="64" ph="1"/>
    </row>
    <row r="2398" spans="23:23" ht="26.4">
      <c r="W2398" s="64" ph="1"/>
    </row>
    <row r="2399" spans="23:23" ht="26.4">
      <c r="W2399" s="64" ph="1"/>
    </row>
    <row r="2400" spans="23:23" ht="26.4">
      <c r="W2400" s="64" ph="1"/>
    </row>
    <row r="2401" spans="23:23" ht="26.4">
      <c r="W2401" s="64" ph="1"/>
    </row>
    <row r="2402" spans="23:23" ht="26.4">
      <c r="W2402" s="64" ph="1"/>
    </row>
    <row r="2403" spans="23:23" ht="26.4">
      <c r="W2403" s="64" ph="1"/>
    </row>
    <row r="2404" spans="23:23" ht="26.4">
      <c r="W2404" s="64" ph="1"/>
    </row>
    <row r="2405" spans="23:23" ht="26.4">
      <c r="W2405" s="64" ph="1"/>
    </row>
    <row r="2406" spans="23:23" ht="26.4">
      <c r="W2406" s="64" ph="1"/>
    </row>
    <row r="2407" spans="23:23" ht="26.4">
      <c r="W2407" s="64" ph="1"/>
    </row>
    <row r="2408" spans="23:23" ht="26.4">
      <c r="W2408" s="64" ph="1"/>
    </row>
    <row r="2409" spans="23:23" ht="26.4">
      <c r="W2409" s="64" ph="1"/>
    </row>
    <row r="2410" spans="23:23" ht="26.4">
      <c r="W2410" s="64" ph="1"/>
    </row>
    <row r="2411" spans="23:23" ht="26.4">
      <c r="W2411" s="64" ph="1"/>
    </row>
    <row r="2412" spans="23:23" ht="26.4">
      <c r="W2412" s="64" ph="1"/>
    </row>
    <row r="2413" spans="23:23" ht="26.4">
      <c r="W2413" s="64" ph="1"/>
    </row>
    <row r="2414" spans="23:23" ht="26.4">
      <c r="W2414" s="64" ph="1"/>
    </row>
    <row r="2415" spans="23:23" ht="26.4">
      <c r="W2415" s="64" ph="1"/>
    </row>
    <row r="2416" spans="23:23" ht="26.4">
      <c r="W2416" s="64" ph="1"/>
    </row>
    <row r="2417" spans="23:23" ht="26.4">
      <c r="W2417" s="64" ph="1"/>
    </row>
    <row r="2418" spans="23:23" ht="26.4">
      <c r="W2418" s="64" ph="1"/>
    </row>
    <row r="2419" spans="23:23" ht="26.4">
      <c r="W2419" s="64" ph="1"/>
    </row>
    <row r="2420" spans="23:23" ht="26.4">
      <c r="W2420" s="64" ph="1"/>
    </row>
    <row r="2421" spans="23:23" ht="26.4">
      <c r="W2421" s="64" ph="1"/>
    </row>
    <row r="2422" spans="23:23" ht="26.4">
      <c r="W2422" s="64" ph="1"/>
    </row>
    <row r="2423" spans="23:23" ht="26.4">
      <c r="W2423" s="64" ph="1"/>
    </row>
    <row r="2424" spans="23:23" ht="26.4">
      <c r="W2424" s="64" ph="1"/>
    </row>
    <row r="2425" spans="23:23" ht="26.4">
      <c r="W2425" s="64" ph="1"/>
    </row>
    <row r="2426" spans="23:23" ht="26.4">
      <c r="W2426" s="64" ph="1"/>
    </row>
    <row r="2427" spans="23:23" ht="26.4">
      <c r="W2427" s="64" ph="1"/>
    </row>
    <row r="2428" spans="23:23" ht="26.4">
      <c r="W2428" s="64" ph="1"/>
    </row>
    <row r="2429" spans="23:23" ht="26.4">
      <c r="W2429" s="64" ph="1"/>
    </row>
    <row r="2430" spans="23:23" ht="26.4">
      <c r="W2430" s="64" ph="1"/>
    </row>
    <row r="2431" spans="23:23" ht="26.4">
      <c r="W2431" s="64" ph="1"/>
    </row>
    <row r="2432" spans="23:23" ht="26.4">
      <c r="W2432" s="64" ph="1"/>
    </row>
    <row r="2433" spans="23:23" ht="26.4">
      <c r="W2433" s="64" ph="1"/>
    </row>
    <row r="2434" spans="23:23" ht="26.4">
      <c r="W2434" s="64" ph="1"/>
    </row>
    <row r="2435" spans="23:23" ht="26.4">
      <c r="W2435" s="64" ph="1"/>
    </row>
    <row r="2436" spans="23:23" ht="26.4">
      <c r="W2436" s="64" ph="1"/>
    </row>
    <row r="2437" spans="23:23" ht="26.4">
      <c r="W2437" s="64" ph="1"/>
    </row>
    <row r="2438" spans="23:23" ht="26.4">
      <c r="W2438" s="64" ph="1"/>
    </row>
    <row r="2439" spans="23:23" ht="26.4">
      <c r="W2439" s="64" ph="1"/>
    </row>
    <row r="2440" spans="23:23" ht="26.4">
      <c r="W2440" s="64" ph="1"/>
    </row>
    <row r="2441" spans="23:23" ht="26.4">
      <c r="W2441" s="64" ph="1"/>
    </row>
    <row r="2442" spans="23:23" ht="26.4">
      <c r="W2442" s="64" ph="1"/>
    </row>
    <row r="2443" spans="23:23" ht="26.4">
      <c r="W2443" s="64" ph="1"/>
    </row>
    <row r="2444" spans="23:23" ht="26.4">
      <c r="W2444" s="64" ph="1"/>
    </row>
    <row r="2445" spans="23:23" ht="26.4">
      <c r="W2445" s="64" ph="1"/>
    </row>
    <row r="2446" spans="23:23" ht="26.4">
      <c r="W2446" s="64" ph="1"/>
    </row>
    <row r="2447" spans="23:23" ht="26.4">
      <c r="W2447" s="64" ph="1"/>
    </row>
    <row r="2448" spans="23:23" ht="26.4">
      <c r="W2448" s="64" ph="1"/>
    </row>
    <row r="2449" spans="23:23" ht="26.4">
      <c r="W2449" s="64" ph="1"/>
    </row>
    <row r="2450" spans="23:23" ht="26.4">
      <c r="W2450" s="64" ph="1"/>
    </row>
    <row r="2451" spans="23:23" ht="26.4">
      <c r="W2451" s="64" ph="1"/>
    </row>
    <row r="2452" spans="23:23" ht="26.4">
      <c r="W2452" s="64" ph="1"/>
    </row>
    <row r="2453" spans="23:23" ht="26.4">
      <c r="W2453" s="64" ph="1"/>
    </row>
    <row r="2454" spans="23:23" ht="26.4">
      <c r="W2454" s="64" ph="1"/>
    </row>
    <row r="2455" spans="23:23" ht="26.4">
      <c r="W2455" s="64" ph="1"/>
    </row>
    <row r="2456" spans="23:23" ht="26.4">
      <c r="W2456" s="64" ph="1"/>
    </row>
    <row r="2457" spans="23:23" ht="26.4">
      <c r="W2457" s="64" ph="1"/>
    </row>
    <row r="2458" spans="23:23" ht="26.4">
      <c r="W2458" s="64" ph="1"/>
    </row>
    <row r="2459" spans="23:23" ht="26.4">
      <c r="W2459" s="64" ph="1"/>
    </row>
    <row r="2460" spans="23:23" ht="26.4">
      <c r="W2460" s="64" ph="1"/>
    </row>
    <row r="2461" spans="23:23" ht="26.4">
      <c r="W2461" s="64" ph="1"/>
    </row>
    <row r="2462" spans="23:23" ht="26.4">
      <c r="W2462" s="64" ph="1"/>
    </row>
    <row r="2463" spans="23:23" ht="26.4">
      <c r="W2463" s="64" ph="1"/>
    </row>
    <row r="2464" spans="23:23" ht="26.4">
      <c r="W2464" s="64" ph="1"/>
    </row>
    <row r="2465" spans="23:23" ht="26.4">
      <c r="W2465" s="64" ph="1"/>
    </row>
    <row r="2466" spans="23:23" ht="26.4">
      <c r="W2466" s="64" ph="1"/>
    </row>
    <row r="2467" spans="23:23" ht="26.4">
      <c r="W2467" s="64" ph="1"/>
    </row>
    <row r="2468" spans="23:23" ht="26.4">
      <c r="W2468" s="64" ph="1"/>
    </row>
    <row r="2469" spans="23:23" ht="26.4">
      <c r="W2469" s="64" ph="1"/>
    </row>
    <row r="2470" spans="23:23" ht="26.4">
      <c r="W2470" s="64" ph="1"/>
    </row>
    <row r="2471" spans="23:23" ht="26.4">
      <c r="W2471" s="64" ph="1"/>
    </row>
    <row r="2472" spans="23:23" ht="26.4">
      <c r="W2472" s="64" ph="1"/>
    </row>
    <row r="2473" spans="23:23" ht="26.4">
      <c r="W2473" s="64" ph="1"/>
    </row>
    <row r="2474" spans="23:23" ht="26.4">
      <c r="W2474" s="64" ph="1"/>
    </row>
    <row r="2475" spans="23:23" ht="26.4">
      <c r="W2475" s="64" ph="1"/>
    </row>
    <row r="2476" spans="23:23" ht="26.4">
      <c r="W2476" s="64" ph="1"/>
    </row>
    <row r="2477" spans="23:23" ht="26.4">
      <c r="W2477" s="64" ph="1"/>
    </row>
    <row r="2478" spans="23:23" ht="26.4">
      <c r="W2478" s="64" ph="1"/>
    </row>
    <row r="2479" spans="23:23" ht="26.4">
      <c r="W2479" s="64" ph="1"/>
    </row>
    <row r="2480" spans="23:23" ht="26.4">
      <c r="W2480" s="64" ph="1"/>
    </row>
    <row r="2481" spans="23:23" ht="26.4">
      <c r="W2481" s="64" ph="1"/>
    </row>
    <row r="2482" spans="23:23" ht="26.4">
      <c r="W2482" s="64" ph="1"/>
    </row>
    <row r="2483" spans="23:23" ht="26.4">
      <c r="W2483" s="64" ph="1"/>
    </row>
    <row r="2484" spans="23:23" ht="26.4">
      <c r="W2484" s="64" ph="1"/>
    </row>
    <row r="2485" spans="23:23" ht="26.4">
      <c r="W2485" s="64" ph="1"/>
    </row>
    <row r="2486" spans="23:23" ht="26.4">
      <c r="W2486" s="64" ph="1"/>
    </row>
    <row r="2487" spans="23:23" ht="26.4">
      <c r="W2487" s="64" ph="1"/>
    </row>
    <row r="2488" spans="23:23" ht="26.4">
      <c r="W2488" s="64" ph="1"/>
    </row>
    <row r="2489" spans="23:23" ht="26.4">
      <c r="W2489" s="64" ph="1"/>
    </row>
    <row r="2490" spans="23:23" ht="26.4">
      <c r="W2490" s="64" ph="1"/>
    </row>
    <row r="2491" spans="23:23" ht="26.4">
      <c r="W2491" s="64" ph="1"/>
    </row>
    <row r="2492" spans="23:23" ht="26.4">
      <c r="W2492" s="64" ph="1"/>
    </row>
    <row r="2493" spans="23:23" ht="26.4">
      <c r="W2493" s="64" ph="1"/>
    </row>
    <row r="2494" spans="23:23" ht="26.4">
      <c r="W2494" s="64" ph="1"/>
    </row>
    <row r="2495" spans="23:23" ht="26.4">
      <c r="W2495" s="64" ph="1"/>
    </row>
    <row r="2496" spans="23:23" ht="26.4">
      <c r="W2496" s="64" ph="1"/>
    </row>
    <row r="2497" spans="23:23" ht="26.4">
      <c r="W2497" s="64" ph="1"/>
    </row>
    <row r="2498" spans="23:23" ht="26.4">
      <c r="W2498" s="64" ph="1"/>
    </row>
    <row r="2499" spans="23:23" ht="26.4">
      <c r="W2499" s="64" ph="1"/>
    </row>
    <row r="2500" spans="23:23" ht="26.4">
      <c r="W2500" s="64" ph="1"/>
    </row>
    <row r="2501" spans="23:23" ht="26.4">
      <c r="W2501" s="64" ph="1"/>
    </row>
    <row r="2502" spans="23:23" ht="26.4">
      <c r="W2502" s="64" ph="1"/>
    </row>
    <row r="2503" spans="23:23" ht="26.4">
      <c r="W2503" s="64" ph="1"/>
    </row>
    <row r="2504" spans="23:23" ht="26.4">
      <c r="W2504" s="64" ph="1"/>
    </row>
    <row r="2505" spans="23:23" ht="26.4">
      <c r="W2505" s="64" ph="1"/>
    </row>
    <row r="2506" spans="23:23" ht="26.4">
      <c r="W2506" s="64" ph="1"/>
    </row>
    <row r="2507" spans="23:23" ht="26.4">
      <c r="W2507" s="64" ph="1"/>
    </row>
    <row r="2508" spans="23:23" ht="26.4">
      <c r="W2508" s="64" ph="1"/>
    </row>
    <row r="2509" spans="23:23" ht="26.4">
      <c r="W2509" s="64" ph="1"/>
    </row>
    <row r="2510" spans="23:23" ht="26.4">
      <c r="W2510" s="64" ph="1"/>
    </row>
    <row r="2511" spans="23:23" ht="26.4">
      <c r="W2511" s="64" ph="1"/>
    </row>
    <row r="2512" spans="23:23" ht="26.4">
      <c r="W2512" s="64" ph="1"/>
    </row>
    <row r="2513" spans="23:23" ht="26.4">
      <c r="W2513" s="64" ph="1"/>
    </row>
    <row r="2514" spans="23:23" ht="26.4">
      <c r="W2514" s="64" ph="1"/>
    </row>
    <row r="2515" spans="23:23" ht="26.4">
      <c r="W2515" s="64" ph="1"/>
    </row>
    <row r="2516" spans="23:23" ht="26.4">
      <c r="W2516" s="64" ph="1"/>
    </row>
    <row r="2517" spans="23:23" ht="26.4">
      <c r="W2517" s="64" ph="1"/>
    </row>
    <row r="2518" spans="23:23" ht="26.4">
      <c r="W2518" s="64" ph="1"/>
    </row>
    <row r="2519" spans="23:23" ht="26.4">
      <c r="W2519" s="64" ph="1"/>
    </row>
    <row r="2520" spans="23:23" ht="26.4">
      <c r="W2520" s="64" ph="1"/>
    </row>
    <row r="2521" spans="23:23" ht="26.4">
      <c r="W2521" s="64" ph="1"/>
    </row>
    <row r="2522" spans="23:23" ht="26.4">
      <c r="W2522" s="64" ph="1"/>
    </row>
    <row r="2523" spans="23:23" ht="26.4">
      <c r="W2523" s="64" ph="1"/>
    </row>
    <row r="2524" spans="23:23" ht="26.4">
      <c r="W2524" s="64" ph="1"/>
    </row>
    <row r="2525" spans="23:23" ht="26.4">
      <c r="W2525" s="64" ph="1"/>
    </row>
    <row r="2526" spans="23:23" ht="26.4">
      <c r="W2526" s="64" ph="1"/>
    </row>
    <row r="2527" spans="23:23" ht="26.4">
      <c r="W2527" s="64" ph="1"/>
    </row>
    <row r="2528" spans="23:23" ht="26.4">
      <c r="W2528" s="64" ph="1"/>
    </row>
    <row r="2529" spans="23:23" ht="26.4">
      <c r="W2529" s="64" ph="1"/>
    </row>
    <row r="2530" spans="23:23" ht="26.4">
      <c r="W2530" s="64" ph="1"/>
    </row>
    <row r="2531" spans="23:23" ht="26.4">
      <c r="W2531" s="64" ph="1"/>
    </row>
    <row r="2532" spans="23:23" ht="26.4">
      <c r="W2532" s="64" ph="1"/>
    </row>
    <row r="2533" spans="23:23" ht="26.4">
      <c r="W2533" s="64" ph="1"/>
    </row>
    <row r="2534" spans="23:23" ht="26.4">
      <c r="W2534" s="64" ph="1"/>
    </row>
    <row r="2535" spans="23:23" ht="26.4">
      <c r="W2535" s="64" ph="1"/>
    </row>
    <row r="2536" spans="23:23" ht="26.4">
      <c r="W2536" s="64" ph="1"/>
    </row>
    <row r="2537" spans="23:23" ht="26.4">
      <c r="W2537" s="64" ph="1"/>
    </row>
    <row r="2538" spans="23:23" ht="26.4">
      <c r="W2538" s="64" ph="1"/>
    </row>
    <row r="2539" spans="23:23" ht="26.4">
      <c r="W2539" s="64" ph="1"/>
    </row>
    <row r="2540" spans="23:23" ht="26.4">
      <c r="W2540" s="64" ph="1"/>
    </row>
    <row r="2541" spans="23:23" ht="26.4">
      <c r="W2541" s="64" ph="1"/>
    </row>
    <row r="2542" spans="23:23" ht="26.4">
      <c r="W2542" s="64" ph="1"/>
    </row>
    <row r="2543" spans="23:23" ht="26.4">
      <c r="W2543" s="64" ph="1"/>
    </row>
    <row r="2544" spans="23:23" ht="26.4">
      <c r="W2544" s="64" ph="1"/>
    </row>
    <row r="2545" spans="23:23" ht="26.4">
      <c r="W2545" s="64" ph="1"/>
    </row>
    <row r="2546" spans="23:23" ht="26.4">
      <c r="W2546" s="64" ph="1"/>
    </row>
    <row r="2547" spans="23:23" ht="26.4">
      <c r="W2547" s="64" ph="1"/>
    </row>
    <row r="2548" spans="23:23" ht="26.4">
      <c r="W2548" s="64" ph="1"/>
    </row>
    <row r="2549" spans="23:23" ht="26.4">
      <c r="W2549" s="64" ph="1"/>
    </row>
    <row r="2550" spans="23:23" ht="26.4">
      <c r="W2550" s="64" ph="1"/>
    </row>
    <row r="2551" spans="23:23" ht="26.4">
      <c r="W2551" s="64" ph="1"/>
    </row>
    <row r="2552" spans="23:23" ht="26.4">
      <c r="W2552" s="64" ph="1"/>
    </row>
    <row r="2553" spans="23:23" ht="26.4">
      <c r="W2553" s="64" ph="1"/>
    </row>
    <row r="2554" spans="23:23" ht="26.4">
      <c r="W2554" s="64" ph="1"/>
    </row>
    <row r="2555" spans="23:23" ht="26.4">
      <c r="W2555" s="64" ph="1"/>
    </row>
    <row r="2556" spans="23:23" ht="26.4">
      <c r="W2556" s="64" ph="1"/>
    </row>
    <row r="2557" spans="23:23" ht="26.4">
      <c r="W2557" s="64" ph="1"/>
    </row>
    <row r="2558" spans="23:23" ht="26.4">
      <c r="W2558" s="64" ph="1"/>
    </row>
    <row r="2559" spans="23:23" ht="26.4">
      <c r="W2559" s="64" ph="1"/>
    </row>
    <row r="2560" spans="23:23" ht="26.4">
      <c r="W2560" s="64" ph="1"/>
    </row>
    <row r="2561" spans="23:23" ht="26.4">
      <c r="W2561" s="64" ph="1"/>
    </row>
    <row r="2562" spans="23:23" ht="26.4">
      <c r="W2562" s="64" ph="1"/>
    </row>
    <row r="2563" spans="23:23" ht="26.4">
      <c r="W2563" s="64" ph="1"/>
    </row>
    <row r="2564" spans="23:23" ht="26.4">
      <c r="W2564" s="64" ph="1"/>
    </row>
    <row r="2565" spans="23:23" ht="26.4">
      <c r="W2565" s="64" ph="1"/>
    </row>
    <row r="2566" spans="23:23" ht="26.4">
      <c r="W2566" s="64" ph="1"/>
    </row>
    <row r="2567" spans="23:23" ht="26.4">
      <c r="W2567" s="64" ph="1"/>
    </row>
    <row r="2568" spans="23:23" ht="26.4">
      <c r="W2568" s="64" ph="1"/>
    </row>
    <row r="2569" spans="23:23" ht="26.4">
      <c r="W2569" s="64" ph="1"/>
    </row>
    <row r="2570" spans="23:23" ht="26.4">
      <c r="W2570" s="64" ph="1"/>
    </row>
    <row r="2571" spans="23:23" ht="26.4">
      <c r="W2571" s="64" ph="1"/>
    </row>
    <row r="2572" spans="23:23" ht="26.4">
      <c r="W2572" s="64" ph="1"/>
    </row>
    <row r="2573" spans="23:23" ht="26.4">
      <c r="W2573" s="64" ph="1"/>
    </row>
    <row r="2574" spans="23:23" ht="26.4">
      <c r="W2574" s="64" ph="1"/>
    </row>
    <row r="2575" spans="23:23" ht="26.4">
      <c r="W2575" s="64" ph="1"/>
    </row>
    <row r="2576" spans="23:23" ht="26.4">
      <c r="W2576" s="64" ph="1"/>
    </row>
    <row r="2577" spans="23:23" ht="26.4">
      <c r="W2577" s="64" ph="1"/>
    </row>
    <row r="2578" spans="23:23" ht="26.4">
      <c r="W2578" s="64" ph="1"/>
    </row>
    <row r="2579" spans="23:23" ht="26.4">
      <c r="W2579" s="64" ph="1"/>
    </row>
    <row r="2580" spans="23:23" ht="26.4">
      <c r="W2580" s="64" ph="1"/>
    </row>
    <row r="2581" spans="23:23" ht="26.4">
      <c r="W2581" s="64" ph="1"/>
    </row>
    <row r="2582" spans="23:23" ht="26.4">
      <c r="W2582" s="64" ph="1"/>
    </row>
    <row r="2583" spans="23:23" ht="26.4">
      <c r="W2583" s="64" ph="1"/>
    </row>
    <row r="2584" spans="23:23" ht="26.4">
      <c r="W2584" s="64" ph="1"/>
    </row>
    <row r="2585" spans="23:23" ht="26.4">
      <c r="W2585" s="64" ph="1"/>
    </row>
    <row r="2586" spans="23:23" ht="26.4">
      <c r="W2586" s="64" ph="1"/>
    </row>
    <row r="2587" spans="23:23" ht="26.4">
      <c r="W2587" s="64" ph="1"/>
    </row>
    <row r="2588" spans="23:23" ht="26.4">
      <c r="W2588" s="64" ph="1"/>
    </row>
    <row r="2589" spans="23:23" ht="26.4">
      <c r="W2589" s="64" ph="1"/>
    </row>
    <row r="2590" spans="23:23" ht="26.4">
      <c r="W2590" s="64" ph="1"/>
    </row>
    <row r="2591" spans="23:23" ht="26.4">
      <c r="W2591" s="64" ph="1"/>
    </row>
    <row r="2592" spans="23:23" ht="26.4">
      <c r="W2592" s="64" ph="1"/>
    </row>
    <row r="2593" spans="23:23" ht="26.4">
      <c r="W2593" s="64" ph="1"/>
    </row>
    <row r="2594" spans="23:23" ht="26.4">
      <c r="W2594" s="64" ph="1"/>
    </row>
    <row r="2595" spans="23:23" ht="26.4">
      <c r="W2595" s="64" ph="1"/>
    </row>
    <row r="2596" spans="23:23" ht="26.4">
      <c r="W2596" s="64" ph="1"/>
    </row>
    <row r="2597" spans="23:23" ht="26.4">
      <c r="W2597" s="64" ph="1"/>
    </row>
    <row r="2598" spans="23:23" ht="26.4">
      <c r="W2598" s="64" ph="1"/>
    </row>
    <row r="2599" spans="23:23" ht="26.4">
      <c r="W2599" s="64" ph="1"/>
    </row>
    <row r="2600" spans="23:23" ht="26.4">
      <c r="W2600" s="64" ph="1"/>
    </row>
    <row r="2601" spans="23:23" ht="26.4">
      <c r="W2601" s="64" ph="1"/>
    </row>
    <row r="2602" spans="23:23" ht="26.4">
      <c r="W2602" s="64" ph="1"/>
    </row>
    <row r="2603" spans="23:23" ht="26.4">
      <c r="W2603" s="64" ph="1"/>
    </row>
    <row r="2604" spans="23:23" ht="26.4">
      <c r="W2604" s="64" ph="1"/>
    </row>
    <row r="2605" spans="23:23" ht="26.4">
      <c r="W2605" s="64" ph="1"/>
    </row>
    <row r="2606" spans="23:23" ht="26.4">
      <c r="W2606" s="64" ph="1"/>
    </row>
    <row r="2607" spans="23:23" ht="26.4">
      <c r="W2607" s="64" ph="1"/>
    </row>
    <row r="2608" spans="23:23" ht="26.4">
      <c r="W2608" s="64" ph="1"/>
    </row>
    <row r="2609" spans="23:23" ht="26.4">
      <c r="W2609" s="64" ph="1"/>
    </row>
    <row r="2610" spans="23:23" ht="26.4">
      <c r="W2610" s="64" ph="1"/>
    </row>
    <row r="2611" spans="23:23" ht="26.4">
      <c r="W2611" s="64" ph="1"/>
    </row>
    <row r="2612" spans="23:23" ht="26.4">
      <c r="W2612" s="64" ph="1"/>
    </row>
    <row r="2613" spans="23:23" ht="26.4">
      <c r="W2613" s="64" ph="1"/>
    </row>
    <row r="2614" spans="23:23" ht="26.4">
      <c r="W2614" s="64" ph="1"/>
    </row>
    <row r="2615" spans="23:23" ht="26.4">
      <c r="W2615" s="64" ph="1"/>
    </row>
    <row r="2616" spans="23:23" ht="26.4">
      <c r="W2616" s="64" ph="1"/>
    </row>
    <row r="2617" spans="23:23" ht="26.4">
      <c r="W2617" s="64" ph="1"/>
    </row>
    <row r="2618" spans="23:23" ht="26.4">
      <c r="W2618" s="64" ph="1"/>
    </row>
    <row r="2619" spans="23:23" ht="26.4">
      <c r="W2619" s="64" ph="1"/>
    </row>
    <row r="2620" spans="23:23" ht="26.4">
      <c r="W2620" s="64" ph="1"/>
    </row>
    <row r="2621" spans="23:23" ht="26.4">
      <c r="W2621" s="64" ph="1"/>
    </row>
    <row r="2622" spans="23:23" ht="26.4">
      <c r="W2622" s="64" ph="1"/>
    </row>
    <row r="2623" spans="23:23" ht="26.4">
      <c r="W2623" s="64" ph="1"/>
    </row>
    <row r="2624" spans="23:23" ht="26.4">
      <c r="W2624" s="64" ph="1"/>
    </row>
    <row r="2625" spans="23:23" ht="26.4">
      <c r="W2625" s="64" ph="1"/>
    </row>
    <row r="2626" spans="23:23" ht="26.4">
      <c r="W2626" s="64" ph="1"/>
    </row>
    <row r="2627" spans="23:23" ht="26.4">
      <c r="W2627" s="64" ph="1"/>
    </row>
    <row r="2628" spans="23:23" ht="26.4">
      <c r="W2628" s="64" ph="1"/>
    </row>
    <row r="2629" spans="23:23" ht="26.4">
      <c r="W2629" s="64" ph="1"/>
    </row>
    <row r="2630" spans="23:23" ht="26.4">
      <c r="W2630" s="64" ph="1"/>
    </row>
    <row r="2631" spans="23:23" ht="26.4">
      <c r="W2631" s="64" ph="1"/>
    </row>
    <row r="2632" spans="23:23" ht="26.4">
      <c r="W2632" s="64" ph="1"/>
    </row>
    <row r="2633" spans="23:23" ht="26.4">
      <c r="W2633" s="64" ph="1"/>
    </row>
    <row r="2634" spans="23:23" ht="26.4">
      <c r="W2634" s="64" ph="1"/>
    </row>
    <row r="2635" spans="23:23" ht="26.4">
      <c r="W2635" s="64" ph="1"/>
    </row>
    <row r="2636" spans="23:23" ht="26.4">
      <c r="W2636" s="64" ph="1"/>
    </row>
    <row r="2637" spans="23:23" ht="26.4">
      <c r="W2637" s="64" ph="1"/>
    </row>
    <row r="2638" spans="23:23" ht="26.4">
      <c r="W2638" s="64" ph="1"/>
    </row>
    <row r="2639" spans="23:23" ht="26.4">
      <c r="W2639" s="64" ph="1"/>
    </row>
    <row r="2640" spans="23:23" ht="26.4">
      <c r="W2640" s="64" ph="1"/>
    </row>
    <row r="2641" spans="23:23" ht="26.4">
      <c r="W2641" s="64" ph="1"/>
    </row>
    <row r="2642" spans="23:23" ht="26.4">
      <c r="W2642" s="64" ph="1"/>
    </row>
    <row r="2643" spans="23:23" ht="26.4">
      <c r="W2643" s="64" ph="1"/>
    </row>
    <row r="2644" spans="23:23" ht="26.4">
      <c r="W2644" s="64" ph="1"/>
    </row>
    <row r="2645" spans="23:23" ht="26.4">
      <c r="W2645" s="64" ph="1"/>
    </row>
    <row r="2646" spans="23:23" ht="26.4">
      <c r="W2646" s="64" ph="1"/>
    </row>
    <row r="2647" spans="23:23" ht="26.4">
      <c r="W2647" s="64" ph="1"/>
    </row>
    <row r="2648" spans="23:23" ht="26.4">
      <c r="W2648" s="64" ph="1"/>
    </row>
    <row r="2649" spans="23:23" ht="26.4">
      <c r="W2649" s="64" ph="1"/>
    </row>
    <row r="2650" spans="23:23" ht="26.4">
      <c r="W2650" s="64" ph="1"/>
    </row>
    <row r="2651" spans="23:23" ht="26.4">
      <c r="W2651" s="64" ph="1"/>
    </row>
    <row r="2652" spans="23:23" ht="26.4">
      <c r="W2652" s="64" ph="1"/>
    </row>
    <row r="2653" spans="23:23" ht="26.4">
      <c r="W2653" s="64" ph="1"/>
    </row>
    <row r="2654" spans="23:23" ht="26.4">
      <c r="W2654" s="64" ph="1"/>
    </row>
    <row r="2655" spans="23:23" ht="26.4">
      <c r="W2655" s="64" ph="1"/>
    </row>
    <row r="2656" spans="23:23" ht="26.4">
      <c r="W2656" s="64" ph="1"/>
    </row>
    <row r="2657" spans="23:23" ht="26.4">
      <c r="W2657" s="64" ph="1"/>
    </row>
    <row r="2658" spans="23:23" ht="26.4">
      <c r="W2658" s="64" ph="1"/>
    </row>
    <row r="2659" spans="23:23" ht="26.4">
      <c r="W2659" s="64" ph="1"/>
    </row>
    <row r="2660" spans="23:23" ht="26.4">
      <c r="W2660" s="64" ph="1"/>
    </row>
    <row r="2661" spans="23:23" ht="26.4">
      <c r="W2661" s="64" ph="1"/>
    </row>
    <row r="2662" spans="23:23" ht="26.4">
      <c r="W2662" s="64" ph="1"/>
    </row>
    <row r="2663" spans="23:23" ht="26.4">
      <c r="W2663" s="64" ph="1"/>
    </row>
    <row r="2664" spans="23:23" ht="26.4">
      <c r="W2664" s="64" ph="1"/>
    </row>
    <row r="2665" spans="23:23" ht="26.4">
      <c r="W2665" s="64" ph="1"/>
    </row>
    <row r="2666" spans="23:23" ht="26.4">
      <c r="W2666" s="64" ph="1"/>
    </row>
    <row r="2667" spans="23:23" ht="26.4">
      <c r="W2667" s="64" ph="1"/>
    </row>
    <row r="2668" spans="23:23" ht="26.4">
      <c r="W2668" s="64" ph="1"/>
    </row>
    <row r="2669" spans="23:23" ht="26.4">
      <c r="W2669" s="64" ph="1"/>
    </row>
    <row r="2670" spans="23:23" ht="26.4">
      <c r="W2670" s="64" ph="1"/>
    </row>
    <row r="2671" spans="23:23" ht="26.4">
      <c r="W2671" s="64" ph="1"/>
    </row>
    <row r="2672" spans="23:23" ht="26.4">
      <c r="W2672" s="64" ph="1"/>
    </row>
    <row r="2673" spans="23:23" ht="26.4">
      <c r="W2673" s="64" ph="1"/>
    </row>
    <row r="2674" spans="23:23" ht="26.4">
      <c r="W2674" s="64" ph="1"/>
    </row>
    <row r="2675" spans="23:23" ht="26.4">
      <c r="W2675" s="64" ph="1"/>
    </row>
    <row r="2676" spans="23:23" ht="26.4">
      <c r="W2676" s="64" ph="1"/>
    </row>
    <row r="2677" spans="23:23" ht="26.4">
      <c r="W2677" s="64" ph="1"/>
    </row>
    <row r="2678" spans="23:23" ht="26.4">
      <c r="W2678" s="64" ph="1"/>
    </row>
    <row r="2679" spans="23:23" ht="26.4">
      <c r="W2679" s="64" ph="1"/>
    </row>
    <row r="2680" spans="23:23" ht="26.4">
      <c r="W2680" s="64" ph="1"/>
    </row>
    <row r="2681" spans="23:23" ht="26.4">
      <c r="W2681" s="64" ph="1"/>
    </row>
    <row r="2682" spans="23:23" ht="26.4">
      <c r="W2682" s="64" ph="1"/>
    </row>
    <row r="2683" spans="23:23" ht="26.4">
      <c r="W2683" s="64" ph="1"/>
    </row>
    <row r="2684" spans="23:23" ht="26.4">
      <c r="W2684" s="64" ph="1"/>
    </row>
    <row r="2685" spans="23:23" ht="26.4">
      <c r="W2685" s="64" ph="1"/>
    </row>
    <row r="2686" spans="23:23" ht="26.4">
      <c r="W2686" s="64" ph="1"/>
    </row>
    <row r="2687" spans="23:23" ht="26.4">
      <c r="W2687" s="64" ph="1"/>
    </row>
    <row r="2688" spans="23:23" ht="26.4">
      <c r="W2688" s="64" ph="1"/>
    </row>
    <row r="2689" spans="23:23" ht="26.4">
      <c r="W2689" s="64" ph="1"/>
    </row>
    <row r="2690" spans="23:23" ht="26.4">
      <c r="W2690" s="64" ph="1"/>
    </row>
    <row r="2691" spans="23:23" ht="26.4">
      <c r="W2691" s="64" ph="1"/>
    </row>
    <row r="2692" spans="23:23" ht="26.4">
      <c r="W2692" s="64" ph="1"/>
    </row>
    <row r="2693" spans="23:23" ht="26.4">
      <c r="W2693" s="64" ph="1"/>
    </row>
    <row r="2694" spans="23:23" ht="26.4">
      <c r="W2694" s="64" ph="1"/>
    </row>
    <row r="2695" spans="23:23" ht="26.4">
      <c r="W2695" s="64" ph="1"/>
    </row>
    <row r="2696" spans="23:23" ht="26.4">
      <c r="W2696" s="64" ph="1"/>
    </row>
    <row r="2697" spans="23:23" ht="26.4">
      <c r="W2697" s="64" ph="1"/>
    </row>
    <row r="2698" spans="23:23" ht="26.4">
      <c r="W2698" s="64" ph="1"/>
    </row>
    <row r="2699" spans="23:23" ht="26.4">
      <c r="W2699" s="64" ph="1"/>
    </row>
    <row r="2700" spans="23:23" ht="26.4">
      <c r="W2700" s="64" ph="1"/>
    </row>
    <row r="2701" spans="23:23" ht="26.4">
      <c r="W2701" s="64" ph="1"/>
    </row>
    <row r="2702" spans="23:23" ht="26.4">
      <c r="W2702" s="64" ph="1"/>
    </row>
    <row r="2703" spans="23:23" ht="26.4">
      <c r="W2703" s="64" ph="1"/>
    </row>
    <row r="2704" spans="23:23" ht="26.4">
      <c r="W2704" s="64" ph="1"/>
    </row>
    <row r="2705" spans="23:23" ht="26.4">
      <c r="W2705" s="64" ph="1"/>
    </row>
    <row r="2706" spans="23:23" ht="26.4">
      <c r="W2706" s="64" ph="1"/>
    </row>
    <row r="2707" spans="23:23" ht="26.4">
      <c r="W2707" s="64" ph="1"/>
    </row>
    <row r="2708" spans="23:23" ht="26.4">
      <c r="W2708" s="64" ph="1"/>
    </row>
    <row r="2709" spans="23:23" ht="26.4">
      <c r="W2709" s="64" ph="1"/>
    </row>
    <row r="2710" spans="23:23" ht="26.4">
      <c r="W2710" s="64" ph="1"/>
    </row>
    <row r="2711" spans="23:23" ht="26.4">
      <c r="W2711" s="64" ph="1"/>
    </row>
    <row r="2712" spans="23:23" ht="26.4">
      <c r="W2712" s="64" ph="1"/>
    </row>
    <row r="2713" spans="23:23" ht="26.4">
      <c r="W2713" s="64" ph="1"/>
    </row>
    <row r="2714" spans="23:23" ht="26.4">
      <c r="W2714" s="64" ph="1"/>
    </row>
    <row r="2715" spans="23:23" ht="26.4">
      <c r="W2715" s="64" ph="1"/>
    </row>
    <row r="2716" spans="23:23" ht="26.4">
      <c r="W2716" s="64" ph="1"/>
    </row>
    <row r="2717" spans="23:23" ht="26.4">
      <c r="W2717" s="64" ph="1"/>
    </row>
    <row r="2718" spans="23:23" ht="26.4">
      <c r="W2718" s="64" ph="1"/>
    </row>
    <row r="2719" spans="23:23" ht="26.4">
      <c r="W2719" s="64" ph="1"/>
    </row>
    <row r="2720" spans="23:23" ht="26.4">
      <c r="W2720" s="64" ph="1"/>
    </row>
    <row r="2721" spans="23:23" ht="26.4">
      <c r="W2721" s="64" ph="1"/>
    </row>
    <row r="2722" spans="23:23" ht="26.4">
      <c r="W2722" s="64" ph="1"/>
    </row>
    <row r="2723" spans="23:23" ht="26.4">
      <c r="W2723" s="64" ph="1"/>
    </row>
    <row r="2724" spans="23:23" ht="26.4">
      <c r="W2724" s="64" ph="1"/>
    </row>
    <row r="2725" spans="23:23" ht="26.4">
      <c r="W2725" s="64" ph="1"/>
    </row>
    <row r="2726" spans="23:23" ht="26.4">
      <c r="W2726" s="64" ph="1"/>
    </row>
    <row r="2727" spans="23:23" ht="26.4">
      <c r="W2727" s="64" ph="1"/>
    </row>
    <row r="2728" spans="23:23" ht="26.4">
      <c r="W2728" s="64" ph="1"/>
    </row>
    <row r="2729" spans="23:23" ht="26.4">
      <c r="W2729" s="64" ph="1"/>
    </row>
    <row r="2730" spans="23:23" ht="26.4">
      <c r="W2730" s="64" ph="1"/>
    </row>
    <row r="2731" spans="23:23" ht="26.4">
      <c r="W2731" s="64" ph="1"/>
    </row>
    <row r="2732" spans="23:23" ht="26.4">
      <c r="W2732" s="64" ph="1"/>
    </row>
    <row r="2733" spans="23:23" ht="26.4">
      <c r="W2733" s="64" ph="1"/>
    </row>
    <row r="2734" spans="23:23" ht="26.4">
      <c r="W2734" s="64" ph="1"/>
    </row>
    <row r="2735" spans="23:23" ht="26.4">
      <c r="W2735" s="64" ph="1"/>
    </row>
    <row r="2736" spans="23:23" ht="26.4">
      <c r="W2736" s="64" ph="1"/>
    </row>
    <row r="2737" spans="23:23" ht="26.4">
      <c r="W2737" s="64" ph="1"/>
    </row>
    <row r="2738" spans="23:23" ht="26.4">
      <c r="W2738" s="64" ph="1"/>
    </row>
    <row r="2739" spans="23:23" ht="26.4">
      <c r="W2739" s="64" ph="1"/>
    </row>
    <row r="2740" spans="23:23" ht="26.4">
      <c r="W2740" s="64" ph="1"/>
    </row>
    <row r="2741" spans="23:23" ht="26.4">
      <c r="W2741" s="64" ph="1"/>
    </row>
    <row r="2742" spans="23:23" ht="26.4">
      <c r="W2742" s="64" ph="1"/>
    </row>
    <row r="2743" spans="23:23" ht="26.4">
      <c r="W2743" s="64" ph="1"/>
    </row>
    <row r="2744" spans="23:23" ht="26.4">
      <c r="W2744" s="64" ph="1"/>
    </row>
    <row r="2745" spans="23:23" ht="26.4">
      <c r="W2745" s="64" ph="1"/>
    </row>
    <row r="2746" spans="23:23" ht="26.4">
      <c r="W2746" s="64" ph="1"/>
    </row>
    <row r="2747" spans="23:23" ht="26.4">
      <c r="W2747" s="64" ph="1"/>
    </row>
    <row r="2748" spans="23:23" ht="26.4">
      <c r="W2748" s="64" ph="1"/>
    </row>
    <row r="2749" spans="23:23" ht="26.4">
      <c r="W2749" s="64" ph="1"/>
    </row>
    <row r="2750" spans="23:23" ht="26.4">
      <c r="W2750" s="64" ph="1"/>
    </row>
    <row r="2751" spans="23:23" ht="26.4">
      <c r="W2751" s="64" ph="1"/>
    </row>
    <row r="2752" spans="23:23" ht="26.4">
      <c r="W2752" s="64" ph="1"/>
    </row>
    <row r="2753" spans="23:23" ht="26.4">
      <c r="W2753" s="64" ph="1"/>
    </row>
    <row r="2754" spans="23:23" ht="26.4">
      <c r="W2754" s="64" ph="1"/>
    </row>
    <row r="2755" spans="23:23" ht="26.4">
      <c r="W2755" s="64" ph="1"/>
    </row>
    <row r="2756" spans="23:23" ht="26.4">
      <c r="W2756" s="64" ph="1"/>
    </row>
    <row r="2757" spans="23:23" ht="26.4">
      <c r="W2757" s="64" ph="1"/>
    </row>
    <row r="2758" spans="23:23" ht="26.4">
      <c r="W2758" s="64" ph="1"/>
    </row>
    <row r="2759" spans="23:23" ht="26.4">
      <c r="W2759" s="64" ph="1"/>
    </row>
    <row r="2760" spans="23:23" ht="26.4">
      <c r="W2760" s="64" ph="1"/>
    </row>
    <row r="2761" spans="23:23" ht="26.4">
      <c r="W2761" s="64" ph="1"/>
    </row>
    <row r="2762" spans="23:23" ht="26.4">
      <c r="W2762" s="64" ph="1"/>
    </row>
    <row r="2763" spans="23:23" ht="26.4">
      <c r="W2763" s="64" ph="1"/>
    </row>
    <row r="2764" spans="23:23" ht="26.4">
      <c r="W2764" s="64" ph="1"/>
    </row>
    <row r="2765" spans="23:23" ht="26.4">
      <c r="W2765" s="64" ph="1"/>
    </row>
    <row r="2766" spans="23:23" ht="26.4">
      <c r="W2766" s="64" ph="1"/>
    </row>
    <row r="2767" spans="23:23" ht="26.4">
      <c r="W2767" s="64" ph="1"/>
    </row>
    <row r="2768" spans="23:23" ht="26.4">
      <c r="W2768" s="64" ph="1"/>
    </row>
    <row r="2769" spans="23:23" ht="26.4">
      <c r="W2769" s="64" ph="1"/>
    </row>
    <row r="2770" spans="23:23" ht="26.4">
      <c r="W2770" s="64" ph="1"/>
    </row>
    <row r="2771" spans="23:23" ht="26.4">
      <c r="W2771" s="64" ph="1"/>
    </row>
    <row r="2772" spans="23:23" ht="26.4">
      <c r="W2772" s="64" ph="1"/>
    </row>
    <row r="2773" spans="23:23" ht="26.4">
      <c r="W2773" s="64" ph="1"/>
    </row>
    <row r="2774" spans="23:23" ht="26.4">
      <c r="W2774" s="64" ph="1"/>
    </row>
    <row r="2775" spans="23:23" ht="26.4">
      <c r="W2775" s="64" ph="1"/>
    </row>
    <row r="2776" spans="23:23" ht="26.4">
      <c r="W2776" s="64" ph="1"/>
    </row>
    <row r="2777" spans="23:23" ht="26.4">
      <c r="W2777" s="64" ph="1"/>
    </row>
    <row r="2778" spans="23:23" ht="26.4">
      <c r="W2778" s="64" ph="1"/>
    </row>
    <row r="2779" spans="23:23" ht="26.4">
      <c r="W2779" s="64" ph="1"/>
    </row>
    <row r="2780" spans="23:23" ht="26.4">
      <c r="W2780" s="64" ph="1"/>
    </row>
    <row r="2781" spans="23:23" ht="26.4">
      <c r="W2781" s="64" ph="1"/>
    </row>
    <row r="2782" spans="23:23" ht="26.4">
      <c r="W2782" s="64" ph="1"/>
    </row>
    <row r="2783" spans="23:23" ht="26.4">
      <c r="W2783" s="64" ph="1"/>
    </row>
    <row r="2784" spans="23:23" ht="26.4">
      <c r="W2784" s="64" ph="1"/>
    </row>
    <row r="2785" spans="23:23" ht="26.4">
      <c r="W2785" s="64" ph="1"/>
    </row>
    <row r="2786" spans="23:23" ht="26.4">
      <c r="W2786" s="64" ph="1"/>
    </row>
    <row r="2787" spans="23:23" ht="26.4">
      <c r="W2787" s="64" ph="1"/>
    </row>
    <row r="2788" spans="23:23" ht="26.4">
      <c r="W2788" s="64" ph="1"/>
    </row>
    <row r="2789" spans="23:23" ht="26.4">
      <c r="W2789" s="64" ph="1"/>
    </row>
    <row r="2790" spans="23:23" ht="26.4">
      <c r="W2790" s="64" ph="1"/>
    </row>
    <row r="2791" spans="23:23" ht="26.4">
      <c r="W2791" s="64" ph="1"/>
    </row>
    <row r="2792" spans="23:23" ht="26.4">
      <c r="W2792" s="64" ph="1"/>
    </row>
    <row r="2793" spans="23:23" ht="26.4">
      <c r="W2793" s="64" ph="1"/>
    </row>
    <row r="2794" spans="23:23" ht="26.4">
      <c r="W2794" s="64" ph="1"/>
    </row>
    <row r="2795" spans="23:23" ht="26.4">
      <c r="W2795" s="64" ph="1"/>
    </row>
    <row r="2796" spans="23:23" ht="26.4">
      <c r="W2796" s="64" ph="1"/>
    </row>
    <row r="2797" spans="23:23" ht="26.4">
      <c r="W2797" s="64" ph="1"/>
    </row>
    <row r="2798" spans="23:23" ht="26.4">
      <c r="W2798" s="64" ph="1"/>
    </row>
    <row r="2799" spans="23:23" ht="26.4">
      <c r="W2799" s="64" ph="1"/>
    </row>
    <row r="2800" spans="23:23" ht="26.4">
      <c r="W2800" s="64" ph="1"/>
    </row>
    <row r="2801" spans="23:23" ht="26.4">
      <c r="W2801" s="64" ph="1"/>
    </row>
    <row r="2802" spans="23:23" ht="26.4">
      <c r="W2802" s="64" ph="1"/>
    </row>
    <row r="2803" spans="23:23" ht="26.4">
      <c r="W2803" s="64" ph="1"/>
    </row>
    <row r="2804" spans="23:23" ht="26.4">
      <c r="W2804" s="64" ph="1"/>
    </row>
    <row r="2805" spans="23:23" ht="26.4">
      <c r="W2805" s="64" ph="1"/>
    </row>
    <row r="2806" spans="23:23" ht="26.4">
      <c r="W2806" s="64" ph="1"/>
    </row>
    <row r="2807" spans="23:23" ht="26.4">
      <c r="W2807" s="64" ph="1"/>
    </row>
    <row r="2808" spans="23:23" ht="26.4">
      <c r="W2808" s="64" ph="1"/>
    </row>
    <row r="2809" spans="23:23" ht="26.4">
      <c r="W2809" s="64" ph="1"/>
    </row>
    <row r="2810" spans="23:23" ht="26.4">
      <c r="W2810" s="64" ph="1"/>
    </row>
    <row r="2811" spans="23:23" ht="26.4">
      <c r="W2811" s="64" ph="1"/>
    </row>
    <row r="2812" spans="23:23" ht="26.4">
      <c r="W2812" s="64" ph="1"/>
    </row>
    <row r="2813" spans="23:23" ht="26.4">
      <c r="W2813" s="64" ph="1"/>
    </row>
    <row r="2814" spans="23:23" ht="26.4">
      <c r="W2814" s="64" ph="1"/>
    </row>
    <row r="2815" spans="23:23" ht="26.4">
      <c r="W2815" s="64" ph="1"/>
    </row>
    <row r="2816" spans="23:23" ht="26.4">
      <c r="W2816" s="64" ph="1"/>
    </row>
    <row r="2817" spans="23:23" ht="26.4">
      <c r="W2817" s="64" ph="1"/>
    </row>
    <row r="2818" spans="23:23" ht="26.4">
      <c r="W2818" s="64" ph="1"/>
    </row>
    <row r="2819" spans="23:23" ht="26.4">
      <c r="W2819" s="64" ph="1"/>
    </row>
    <row r="2820" spans="23:23" ht="26.4">
      <c r="W2820" s="64" ph="1"/>
    </row>
    <row r="2821" spans="23:23" ht="26.4">
      <c r="W2821" s="64" ph="1"/>
    </row>
    <row r="2822" spans="23:23" ht="26.4">
      <c r="W2822" s="64" ph="1"/>
    </row>
    <row r="2823" spans="23:23" ht="26.4">
      <c r="W2823" s="64" ph="1"/>
    </row>
    <row r="2824" spans="23:23" ht="26.4">
      <c r="W2824" s="64" ph="1"/>
    </row>
    <row r="2825" spans="23:23" ht="26.4">
      <c r="W2825" s="64" ph="1"/>
    </row>
    <row r="2826" spans="23:23" ht="26.4">
      <c r="W2826" s="64" ph="1"/>
    </row>
    <row r="2827" spans="23:23" ht="26.4">
      <c r="W2827" s="64" ph="1"/>
    </row>
    <row r="2828" spans="23:23" ht="26.4">
      <c r="W2828" s="64" ph="1"/>
    </row>
    <row r="2829" spans="23:23" ht="26.4">
      <c r="W2829" s="64" ph="1"/>
    </row>
    <row r="2830" spans="23:23" ht="26.4">
      <c r="W2830" s="64" ph="1"/>
    </row>
    <row r="2831" spans="23:23" ht="26.4">
      <c r="W2831" s="64" ph="1"/>
    </row>
    <row r="2832" spans="23:23" ht="26.4">
      <c r="W2832" s="64" ph="1"/>
    </row>
    <row r="2833" spans="23:23" ht="26.4">
      <c r="W2833" s="64" ph="1"/>
    </row>
    <row r="2834" spans="23:23" ht="26.4">
      <c r="W2834" s="64" ph="1"/>
    </row>
    <row r="2835" spans="23:23" ht="26.4">
      <c r="W2835" s="64" ph="1"/>
    </row>
    <row r="2836" spans="23:23" ht="26.4">
      <c r="W2836" s="64" ph="1"/>
    </row>
    <row r="2837" spans="23:23" ht="26.4">
      <c r="W2837" s="64" ph="1"/>
    </row>
    <row r="2838" spans="23:23" ht="26.4">
      <c r="W2838" s="64" ph="1"/>
    </row>
    <row r="2839" spans="23:23" ht="26.4">
      <c r="W2839" s="64" ph="1"/>
    </row>
    <row r="2840" spans="23:23" ht="26.4">
      <c r="W2840" s="64" ph="1"/>
    </row>
    <row r="2841" spans="23:23" ht="26.4">
      <c r="W2841" s="64" ph="1"/>
    </row>
    <row r="2842" spans="23:23" ht="26.4">
      <c r="W2842" s="64" ph="1"/>
    </row>
    <row r="2843" spans="23:23" ht="26.4">
      <c r="W2843" s="64" ph="1"/>
    </row>
    <row r="2844" spans="23:23" ht="26.4">
      <c r="W2844" s="64" ph="1"/>
    </row>
    <row r="2845" spans="23:23" ht="26.4">
      <c r="W2845" s="64" ph="1"/>
    </row>
    <row r="2846" spans="23:23" ht="26.4">
      <c r="W2846" s="64" ph="1"/>
    </row>
    <row r="2847" spans="23:23" ht="26.4">
      <c r="W2847" s="64" ph="1"/>
    </row>
    <row r="2848" spans="23:23" ht="26.4">
      <c r="W2848" s="64" ph="1"/>
    </row>
    <row r="2849" spans="23:23" ht="26.4">
      <c r="W2849" s="64" ph="1"/>
    </row>
    <row r="2850" spans="23:23" ht="26.4">
      <c r="W2850" s="64" ph="1"/>
    </row>
    <row r="2851" spans="23:23" ht="26.4">
      <c r="W2851" s="64" ph="1"/>
    </row>
    <row r="2852" spans="23:23" ht="26.4">
      <c r="W2852" s="64" ph="1"/>
    </row>
    <row r="2853" spans="23:23" ht="26.4">
      <c r="W2853" s="64" ph="1"/>
    </row>
    <row r="2854" spans="23:23" ht="26.4">
      <c r="W2854" s="64" ph="1"/>
    </row>
    <row r="2855" spans="23:23" ht="26.4">
      <c r="W2855" s="64" ph="1"/>
    </row>
    <row r="2856" spans="23:23" ht="26.4">
      <c r="W2856" s="64" ph="1"/>
    </row>
    <row r="2857" spans="23:23" ht="26.4">
      <c r="W2857" s="64" ph="1"/>
    </row>
    <row r="2858" spans="23:23" ht="26.4">
      <c r="W2858" s="64" ph="1"/>
    </row>
    <row r="2859" spans="23:23" ht="26.4">
      <c r="W2859" s="64" ph="1"/>
    </row>
    <row r="2860" spans="23:23" ht="26.4">
      <c r="W2860" s="64" ph="1"/>
    </row>
    <row r="2861" spans="23:23" ht="26.4">
      <c r="W2861" s="64" ph="1"/>
    </row>
    <row r="2862" spans="23:23" ht="26.4">
      <c r="W2862" s="64" ph="1"/>
    </row>
    <row r="2863" spans="23:23" ht="26.4">
      <c r="W2863" s="64" ph="1"/>
    </row>
    <row r="2864" spans="23:23" ht="26.4">
      <c r="W2864" s="64" ph="1"/>
    </row>
    <row r="2865" spans="23:23" ht="26.4">
      <c r="W2865" s="64" ph="1"/>
    </row>
    <row r="2866" spans="23:23" ht="26.4">
      <c r="W2866" s="64" ph="1"/>
    </row>
    <row r="2867" spans="23:23" ht="26.4">
      <c r="W2867" s="64" ph="1"/>
    </row>
    <row r="2868" spans="23:23" ht="26.4">
      <c r="W2868" s="64" ph="1"/>
    </row>
    <row r="2869" spans="23:23" ht="26.4">
      <c r="W2869" s="64" ph="1"/>
    </row>
    <row r="2870" spans="23:23" ht="26.4">
      <c r="W2870" s="64" ph="1"/>
    </row>
    <row r="2871" spans="23:23" ht="26.4">
      <c r="W2871" s="64" ph="1"/>
    </row>
    <row r="2872" spans="23:23" ht="26.4">
      <c r="W2872" s="64" ph="1"/>
    </row>
    <row r="2873" spans="23:23" ht="26.4">
      <c r="W2873" s="64" ph="1"/>
    </row>
    <row r="2874" spans="23:23" ht="26.4">
      <c r="W2874" s="64" ph="1"/>
    </row>
    <row r="2875" spans="23:23" ht="26.4">
      <c r="W2875" s="64" ph="1"/>
    </row>
    <row r="2876" spans="23:23" ht="26.4">
      <c r="W2876" s="64" ph="1"/>
    </row>
    <row r="2877" spans="23:23" ht="26.4">
      <c r="W2877" s="64" ph="1"/>
    </row>
    <row r="2878" spans="23:23" ht="26.4">
      <c r="W2878" s="64" ph="1"/>
    </row>
    <row r="2879" spans="23:23" ht="26.4">
      <c r="W2879" s="64" ph="1"/>
    </row>
    <row r="2880" spans="23:23" ht="26.4">
      <c r="W2880" s="64" ph="1"/>
    </row>
    <row r="2881" spans="23:23" ht="26.4">
      <c r="W2881" s="64" ph="1"/>
    </row>
    <row r="2882" spans="23:23" ht="26.4">
      <c r="W2882" s="64" ph="1"/>
    </row>
    <row r="2883" spans="23:23" ht="26.4">
      <c r="W2883" s="64" ph="1"/>
    </row>
    <row r="2884" spans="23:23" ht="26.4">
      <c r="W2884" s="64" ph="1"/>
    </row>
    <row r="2885" spans="23:23" ht="26.4">
      <c r="W2885" s="64" ph="1"/>
    </row>
    <row r="2886" spans="23:23" ht="26.4">
      <c r="W2886" s="64" ph="1"/>
    </row>
    <row r="2887" spans="23:23" ht="26.4">
      <c r="W2887" s="64" ph="1"/>
    </row>
    <row r="2888" spans="23:23" ht="26.4">
      <c r="W2888" s="64" ph="1"/>
    </row>
    <row r="2889" spans="23:23" ht="26.4">
      <c r="W2889" s="64" ph="1"/>
    </row>
    <row r="2890" spans="23:23" ht="26.4">
      <c r="W2890" s="64" ph="1"/>
    </row>
    <row r="2891" spans="23:23" ht="26.4">
      <c r="W2891" s="64" ph="1"/>
    </row>
    <row r="2892" spans="23:23" ht="26.4">
      <c r="W2892" s="64" ph="1"/>
    </row>
    <row r="2893" spans="23:23" ht="26.4">
      <c r="W2893" s="64" ph="1"/>
    </row>
    <row r="2894" spans="23:23" ht="26.4">
      <c r="W2894" s="64" ph="1"/>
    </row>
    <row r="2895" spans="23:23" ht="26.4">
      <c r="W2895" s="64" ph="1"/>
    </row>
    <row r="2896" spans="23:23" ht="26.4">
      <c r="W2896" s="64" ph="1"/>
    </row>
    <row r="2897" spans="23:23" ht="26.4">
      <c r="W2897" s="64" ph="1"/>
    </row>
    <row r="2898" spans="23:23" ht="26.4">
      <c r="W2898" s="64" ph="1"/>
    </row>
    <row r="2899" spans="23:23" ht="26.4">
      <c r="W2899" s="64" ph="1"/>
    </row>
    <row r="2900" spans="23:23" ht="26.4">
      <c r="W2900" s="64" ph="1"/>
    </row>
    <row r="2901" spans="23:23" ht="26.4">
      <c r="W2901" s="64" ph="1"/>
    </row>
    <row r="2902" spans="23:23" ht="26.4">
      <c r="W2902" s="64" ph="1"/>
    </row>
    <row r="2903" spans="23:23" ht="26.4">
      <c r="W2903" s="64" ph="1"/>
    </row>
    <row r="2904" spans="23:23" ht="26.4">
      <c r="W2904" s="64" ph="1"/>
    </row>
    <row r="2905" spans="23:23" ht="26.4">
      <c r="W2905" s="64" ph="1"/>
    </row>
    <row r="2906" spans="23:23" ht="26.4">
      <c r="W2906" s="64" ph="1"/>
    </row>
    <row r="2907" spans="23:23" ht="26.4">
      <c r="W2907" s="64" ph="1"/>
    </row>
    <row r="2908" spans="23:23" ht="26.4">
      <c r="W2908" s="64" ph="1"/>
    </row>
    <row r="2909" spans="23:23" ht="26.4">
      <c r="W2909" s="64" ph="1"/>
    </row>
    <row r="2910" spans="23:23" ht="26.4">
      <c r="W2910" s="64" ph="1"/>
    </row>
    <row r="2911" spans="23:23" ht="26.4">
      <c r="W2911" s="64" ph="1"/>
    </row>
    <row r="2912" spans="23:23" ht="26.4">
      <c r="W2912" s="64" ph="1"/>
    </row>
    <row r="2913" spans="23:23" ht="26.4">
      <c r="W2913" s="64" ph="1"/>
    </row>
    <row r="2914" spans="23:23" ht="26.4">
      <c r="W2914" s="64" ph="1"/>
    </row>
    <row r="2915" spans="23:23" ht="26.4">
      <c r="W2915" s="64" ph="1"/>
    </row>
    <row r="2916" spans="23:23" ht="26.4">
      <c r="W2916" s="64" ph="1"/>
    </row>
    <row r="2917" spans="23:23" ht="26.4">
      <c r="W2917" s="64" ph="1"/>
    </row>
    <row r="2918" spans="23:23" ht="26.4">
      <c r="W2918" s="64" ph="1"/>
    </row>
    <row r="2919" spans="23:23" ht="26.4">
      <c r="W2919" s="64" ph="1"/>
    </row>
    <row r="2920" spans="23:23" ht="26.4">
      <c r="W2920" s="64" ph="1"/>
    </row>
    <row r="2921" spans="23:23" ht="26.4">
      <c r="W2921" s="64" ph="1"/>
    </row>
    <row r="2922" spans="23:23" ht="26.4">
      <c r="W2922" s="64" ph="1"/>
    </row>
    <row r="2923" spans="23:23" ht="26.4">
      <c r="W2923" s="64" ph="1"/>
    </row>
    <row r="2924" spans="23:23" ht="26.4">
      <c r="W2924" s="64" ph="1"/>
    </row>
    <row r="2925" spans="23:23" ht="26.4">
      <c r="W2925" s="64" ph="1"/>
    </row>
    <row r="2926" spans="23:23" ht="26.4">
      <c r="W2926" s="64" ph="1"/>
    </row>
    <row r="2927" spans="23:23" ht="26.4">
      <c r="W2927" s="64" ph="1"/>
    </row>
    <row r="2928" spans="23:23" ht="26.4">
      <c r="W2928" s="64" ph="1"/>
    </row>
    <row r="2929" spans="23:23" ht="26.4">
      <c r="W2929" s="64" ph="1"/>
    </row>
    <row r="2930" spans="23:23" ht="26.4">
      <c r="W2930" s="64" ph="1"/>
    </row>
    <row r="2931" spans="23:23" ht="26.4">
      <c r="W2931" s="64" ph="1"/>
    </row>
    <row r="2932" spans="23:23" ht="26.4">
      <c r="W2932" s="64" ph="1"/>
    </row>
    <row r="2933" spans="23:23" ht="26.4">
      <c r="W2933" s="64" ph="1"/>
    </row>
    <row r="2934" spans="23:23" ht="26.4">
      <c r="W2934" s="64" ph="1"/>
    </row>
    <row r="2935" spans="23:23" ht="26.4">
      <c r="W2935" s="64" ph="1"/>
    </row>
    <row r="2936" spans="23:23" ht="26.4">
      <c r="W2936" s="64" ph="1"/>
    </row>
    <row r="2937" spans="23:23" ht="26.4">
      <c r="W2937" s="64" ph="1"/>
    </row>
    <row r="2938" spans="23:23" ht="26.4">
      <c r="W2938" s="64" ph="1"/>
    </row>
    <row r="2939" spans="23:23" ht="26.4">
      <c r="W2939" s="64" ph="1"/>
    </row>
    <row r="2940" spans="23:23" ht="26.4">
      <c r="W2940" s="64" ph="1"/>
    </row>
    <row r="2941" spans="23:23" ht="26.4">
      <c r="W2941" s="64" ph="1"/>
    </row>
    <row r="2942" spans="23:23" ht="26.4">
      <c r="W2942" s="64" ph="1"/>
    </row>
    <row r="2943" spans="23:23" ht="26.4">
      <c r="W2943" s="64" ph="1"/>
    </row>
    <row r="2944" spans="23:23" ht="26.4">
      <c r="W2944" s="64" ph="1"/>
    </row>
    <row r="2945" spans="23:23" ht="26.4">
      <c r="W2945" s="64" ph="1"/>
    </row>
    <row r="2946" spans="23:23" ht="26.4">
      <c r="W2946" s="64" ph="1"/>
    </row>
    <row r="2947" spans="23:23" ht="26.4">
      <c r="W2947" s="64" ph="1"/>
    </row>
    <row r="2948" spans="23:23" ht="26.4">
      <c r="W2948" s="64" ph="1"/>
    </row>
    <row r="2949" spans="23:23" ht="26.4">
      <c r="W2949" s="64" ph="1"/>
    </row>
    <row r="2950" spans="23:23" ht="26.4">
      <c r="W2950" s="64" ph="1"/>
    </row>
    <row r="2951" spans="23:23" ht="26.4">
      <c r="W2951" s="64" ph="1"/>
    </row>
    <row r="2952" spans="23:23" ht="26.4">
      <c r="W2952" s="64" ph="1"/>
    </row>
    <row r="2953" spans="23:23" ht="26.4">
      <c r="W2953" s="64" ph="1"/>
    </row>
    <row r="2954" spans="23:23" ht="26.4">
      <c r="W2954" s="64" ph="1"/>
    </row>
    <row r="2955" spans="23:23" ht="26.4">
      <c r="W2955" s="64" ph="1"/>
    </row>
    <row r="2956" spans="23:23" ht="26.4">
      <c r="W2956" s="64" ph="1"/>
    </row>
    <row r="2957" spans="23:23" ht="26.4">
      <c r="W2957" s="64" ph="1"/>
    </row>
    <row r="2958" spans="23:23" ht="26.4">
      <c r="W2958" s="64" ph="1"/>
    </row>
    <row r="2959" spans="23:23" ht="26.4">
      <c r="W2959" s="64" ph="1"/>
    </row>
    <row r="2960" spans="23:23" ht="26.4">
      <c r="W2960" s="64" ph="1"/>
    </row>
    <row r="2961" spans="23:23" ht="26.4">
      <c r="W2961" s="64" ph="1"/>
    </row>
    <row r="2962" spans="23:23" ht="26.4">
      <c r="W2962" s="64" ph="1"/>
    </row>
    <row r="2963" spans="23:23" ht="26.4">
      <c r="W2963" s="64" ph="1"/>
    </row>
    <row r="2964" spans="23:23" ht="26.4">
      <c r="W2964" s="64" ph="1"/>
    </row>
    <row r="2965" spans="23:23" ht="26.4">
      <c r="W2965" s="64" ph="1"/>
    </row>
    <row r="2966" spans="23:23" ht="26.4">
      <c r="W2966" s="64" ph="1"/>
    </row>
    <row r="2967" spans="23:23" ht="26.4">
      <c r="W2967" s="64" ph="1"/>
    </row>
    <row r="2968" spans="23:23" ht="26.4">
      <c r="W2968" s="64" ph="1"/>
    </row>
    <row r="2969" spans="23:23" ht="26.4">
      <c r="W2969" s="64" ph="1"/>
    </row>
    <row r="2970" spans="23:23" ht="26.4">
      <c r="W2970" s="64" ph="1"/>
    </row>
    <row r="2971" spans="23:23" ht="26.4">
      <c r="W2971" s="64" ph="1"/>
    </row>
    <row r="2972" spans="23:23" ht="26.4">
      <c r="W2972" s="64" ph="1"/>
    </row>
    <row r="2973" spans="23:23" ht="26.4">
      <c r="W2973" s="64" ph="1"/>
    </row>
    <row r="2974" spans="23:23" ht="26.4">
      <c r="W2974" s="64" ph="1"/>
    </row>
    <row r="2975" spans="23:23" ht="26.4">
      <c r="W2975" s="64" ph="1"/>
    </row>
    <row r="2976" spans="23:23" ht="26.4">
      <c r="W2976" s="64" ph="1"/>
    </row>
    <row r="2977" spans="23:23" ht="26.4">
      <c r="W2977" s="64" ph="1"/>
    </row>
    <row r="2978" spans="23:23" ht="26.4">
      <c r="W2978" s="64" ph="1"/>
    </row>
    <row r="2979" spans="23:23" ht="26.4">
      <c r="W2979" s="64" ph="1"/>
    </row>
    <row r="2980" spans="23:23" ht="26.4">
      <c r="W2980" s="64" ph="1"/>
    </row>
    <row r="2981" spans="23:23" ht="26.4">
      <c r="W2981" s="64" ph="1"/>
    </row>
    <row r="2982" spans="23:23" ht="26.4">
      <c r="W2982" s="64" ph="1"/>
    </row>
    <row r="2983" spans="23:23" ht="26.4">
      <c r="W2983" s="64" ph="1"/>
    </row>
    <row r="2984" spans="23:23" ht="26.4">
      <c r="W2984" s="64" ph="1"/>
    </row>
    <row r="2985" spans="23:23" ht="26.4">
      <c r="W2985" s="64" ph="1"/>
    </row>
    <row r="2986" spans="23:23" ht="26.4">
      <c r="W2986" s="64" ph="1"/>
    </row>
    <row r="2987" spans="23:23" ht="26.4">
      <c r="W2987" s="64" ph="1"/>
    </row>
    <row r="2988" spans="23:23" ht="26.4">
      <c r="W2988" s="64" ph="1"/>
    </row>
    <row r="2989" spans="23:23" ht="26.4">
      <c r="W2989" s="64" ph="1"/>
    </row>
    <row r="2990" spans="23:23" ht="26.4">
      <c r="W2990" s="64" ph="1"/>
    </row>
    <row r="2991" spans="23:23" ht="26.4">
      <c r="W2991" s="64" ph="1"/>
    </row>
    <row r="2992" spans="23:23" ht="26.4">
      <c r="W2992" s="64" ph="1"/>
    </row>
    <row r="2993" spans="23:23" ht="26.4">
      <c r="W2993" s="64" ph="1"/>
    </row>
    <row r="2994" spans="23:23" ht="26.4">
      <c r="W2994" s="64" ph="1"/>
    </row>
    <row r="2995" spans="23:23" ht="26.4">
      <c r="W2995" s="64" ph="1"/>
    </row>
    <row r="2996" spans="23:23" ht="26.4">
      <c r="W2996" s="64" ph="1"/>
    </row>
    <row r="2997" spans="23:23" ht="26.4">
      <c r="W2997" s="64" ph="1"/>
    </row>
    <row r="2998" spans="23:23" ht="26.4">
      <c r="W2998" s="64" ph="1"/>
    </row>
    <row r="2999" spans="23:23" ht="26.4">
      <c r="W2999" s="64" ph="1"/>
    </row>
    <row r="3000" spans="23:23" ht="26.4">
      <c r="W3000" s="64" ph="1"/>
    </row>
    <row r="3001" spans="23:23" ht="26.4">
      <c r="W3001" s="64" ph="1"/>
    </row>
    <row r="3002" spans="23:23" ht="26.4">
      <c r="W3002" s="64" ph="1"/>
    </row>
    <row r="3003" spans="23:23" ht="26.4">
      <c r="W3003" s="64" ph="1"/>
    </row>
    <row r="3004" spans="23:23" ht="26.4">
      <c r="W3004" s="64" ph="1"/>
    </row>
    <row r="3005" spans="23:23" ht="26.4">
      <c r="W3005" s="64" ph="1"/>
    </row>
    <row r="3006" spans="23:23" ht="26.4">
      <c r="W3006" s="64" ph="1"/>
    </row>
    <row r="3007" spans="23:23" ht="26.4">
      <c r="W3007" s="64" ph="1"/>
    </row>
    <row r="3008" spans="23:23" ht="26.4">
      <c r="W3008" s="64" ph="1"/>
    </row>
    <row r="3009" spans="23:23" ht="26.4">
      <c r="W3009" s="64" ph="1"/>
    </row>
    <row r="3010" spans="23:23" ht="26.4">
      <c r="W3010" s="64" ph="1"/>
    </row>
    <row r="3011" spans="23:23" ht="26.4">
      <c r="W3011" s="64" ph="1"/>
    </row>
    <row r="3012" spans="23:23" ht="26.4">
      <c r="W3012" s="64" ph="1"/>
    </row>
    <row r="3013" spans="23:23" ht="26.4">
      <c r="W3013" s="64" ph="1"/>
    </row>
    <row r="3014" spans="23:23" ht="26.4">
      <c r="W3014" s="64" ph="1"/>
    </row>
    <row r="3015" spans="23:23" ht="26.4">
      <c r="W3015" s="64" ph="1"/>
    </row>
    <row r="3016" spans="23:23" ht="26.4">
      <c r="W3016" s="64" ph="1"/>
    </row>
    <row r="3017" spans="23:23" ht="26.4">
      <c r="W3017" s="64" ph="1"/>
    </row>
    <row r="3018" spans="23:23" ht="26.4">
      <c r="W3018" s="64" ph="1"/>
    </row>
    <row r="3019" spans="23:23" ht="26.4">
      <c r="W3019" s="64" ph="1"/>
    </row>
    <row r="3020" spans="23:23" ht="26.4">
      <c r="W3020" s="64" ph="1"/>
    </row>
    <row r="3021" spans="23:23" ht="26.4">
      <c r="W3021" s="64" ph="1"/>
    </row>
    <row r="3022" spans="23:23" ht="26.4">
      <c r="W3022" s="64" ph="1"/>
    </row>
    <row r="3023" spans="23:23" ht="26.4">
      <c r="W3023" s="64" ph="1"/>
    </row>
    <row r="3024" spans="23:23" ht="26.4">
      <c r="W3024" s="64" ph="1"/>
    </row>
    <row r="3025" spans="23:23" ht="26.4">
      <c r="W3025" s="64" ph="1"/>
    </row>
    <row r="3026" spans="23:23" ht="26.4">
      <c r="W3026" s="64" ph="1"/>
    </row>
    <row r="3027" spans="23:23" ht="26.4">
      <c r="W3027" s="64" ph="1"/>
    </row>
    <row r="3028" spans="23:23" ht="26.4">
      <c r="W3028" s="64" ph="1"/>
    </row>
    <row r="3029" spans="23:23" ht="26.4">
      <c r="W3029" s="64" ph="1"/>
    </row>
    <row r="3030" spans="23:23" ht="26.4">
      <c r="W3030" s="64" ph="1"/>
    </row>
    <row r="3031" spans="23:23" ht="26.4">
      <c r="W3031" s="64" ph="1"/>
    </row>
    <row r="3032" spans="23:23" ht="26.4">
      <c r="W3032" s="64" ph="1"/>
    </row>
    <row r="3033" spans="23:23" ht="26.4">
      <c r="W3033" s="64" ph="1"/>
    </row>
    <row r="3034" spans="23:23" ht="26.4">
      <c r="W3034" s="64" ph="1"/>
    </row>
    <row r="3035" spans="23:23" ht="26.4">
      <c r="W3035" s="64" ph="1"/>
    </row>
    <row r="3036" spans="23:23" ht="26.4">
      <c r="W3036" s="64" ph="1"/>
    </row>
    <row r="3037" spans="23:23" ht="26.4">
      <c r="W3037" s="64" ph="1"/>
    </row>
    <row r="3038" spans="23:23" ht="26.4">
      <c r="W3038" s="64" ph="1"/>
    </row>
    <row r="3039" spans="23:23" ht="26.4">
      <c r="W3039" s="64" ph="1"/>
    </row>
    <row r="3040" spans="23:23" ht="26.4">
      <c r="W3040" s="64" ph="1"/>
    </row>
    <row r="3041" spans="23:23" ht="26.4">
      <c r="W3041" s="64" ph="1"/>
    </row>
    <row r="3042" spans="23:23" ht="26.4">
      <c r="W3042" s="64" ph="1"/>
    </row>
    <row r="3043" spans="23:23" ht="26.4">
      <c r="W3043" s="64" ph="1"/>
    </row>
    <row r="3044" spans="23:23" ht="26.4">
      <c r="W3044" s="64" ph="1"/>
    </row>
    <row r="3045" spans="23:23" ht="26.4">
      <c r="W3045" s="64" ph="1"/>
    </row>
    <row r="3046" spans="23:23" ht="26.4">
      <c r="W3046" s="64" ph="1"/>
    </row>
    <row r="3047" spans="23:23" ht="26.4">
      <c r="W3047" s="64" ph="1"/>
    </row>
    <row r="3048" spans="23:23" ht="26.4">
      <c r="W3048" s="64" ph="1"/>
    </row>
    <row r="3049" spans="23:23" ht="26.4">
      <c r="W3049" s="64" ph="1"/>
    </row>
    <row r="3050" spans="23:23" ht="26.4">
      <c r="W3050" s="64" ph="1"/>
    </row>
    <row r="3051" spans="23:23" ht="26.4">
      <c r="W3051" s="64" ph="1"/>
    </row>
    <row r="3052" spans="23:23" ht="26.4">
      <c r="W3052" s="64" ph="1"/>
    </row>
    <row r="3053" spans="23:23" ht="26.4">
      <c r="W3053" s="64" ph="1"/>
    </row>
    <row r="3054" spans="23:23" ht="26.4">
      <c r="W3054" s="64" ph="1"/>
    </row>
    <row r="3055" spans="23:23" ht="26.4">
      <c r="W3055" s="64" ph="1"/>
    </row>
    <row r="3056" spans="23:23" ht="26.4">
      <c r="W3056" s="64" ph="1"/>
    </row>
    <row r="3057" spans="23:23" ht="26.4">
      <c r="W3057" s="64" ph="1"/>
    </row>
    <row r="3058" spans="23:23" ht="26.4">
      <c r="W3058" s="64" ph="1"/>
    </row>
    <row r="3059" spans="23:23" ht="26.4">
      <c r="W3059" s="64" ph="1"/>
    </row>
    <row r="3060" spans="23:23" ht="26.4">
      <c r="W3060" s="64" ph="1"/>
    </row>
    <row r="3061" spans="23:23" ht="26.4">
      <c r="W3061" s="64" ph="1"/>
    </row>
    <row r="3062" spans="23:23" ht="26.4">
      <c r="W3062" s="64" ph="1"/>
    </row>
    <row r="3063" spans="23:23" ht="26.4">
      <c r="W3063" s="64" ph="1"/>
    </row>
    <row r="3064" spans="23:23" ht="26.4">
      <c r="W3064" s="64" ph="1"/>
    </row>
    <row r="3065" spans="23:23" ht="26.4">
      <c r="W3065" s="64" ph="1"/>
    </row>
    <row r="3066" spans="23:23" ht="26.4">
      <c r="W3066" s="64" ph="1"/>
    </row>
    <row r="3067" spans="23:23" ht="26.4">
      <c r="W3067" s="64" ph="1"/>
    </row>
    <row r="3068" spans="23:23" ht="26.4">
      <c r="W3068" s="64" ph="1"/>
    </row>
    <row r="3069" spans="23:23" ht="26.4">
      <c r="W3069" s="64" ph="1"/>
    </row>
    <row r="3070" spans="23:23" ht="26.4">
      <c r="W3070" s="64" ph="1"/>
    </row>
    <row r="3071" spans="23:23" ht="26.4">
      <c r="W3071" s="64" ph="1"/>
    </row>
    <row r="3072" spans="23:23" ht="26.4">
      <c r="W3072" s="64" ph="1"/>
    </row>
    <row r="3073" spans="23:23" ht="26.4">
      <c r="W3073" s="64" ph="1"/>
    </row>
    <row r="3074" spans="23:23" ht="26.4">
      <c r="W3074" s="64" ph="1"/>
    </row>
    <row r="3075" spans="23:23" ht="26.4">
      <c r="W3075" s="64" ph="1"/>
    </row>
    <row r="3076" spans="23:23" ht="26.4">
      <c r="W3076" s="64" ph="1"/>
    </row>
    <row r="3077" spans="23:23" ht="26.4">
      <c r="W3077" s="64" ph="1"/>
    </row>
    <row r="3078" spans="23:23" ht="26.4">
      <c r="W3078" s="64" ph="1"/>
    </row>
    <row r="3079" spans="23:23" ht="26.4">
      <c r="W3079" s="64" ph="1"/>
    </row>
    <row r="3080" spans="23:23" ht="26.4">
      <c r="W3080" s="64" ph="1"/>
    </row>
    <row r="3081" spans="23:23" ht="26.4">
      <c r="W3081" s="64" ph="1"/>
    </row>
    <row r="3082" spans="23:23" ht="26.4">
      <c r="W3082" s="64" ph="1"/>
    </row>
    <row r="3083" spans="23:23" ht="26.4">
      <c r="W3083" s="64" ph="1"/>
    </row>
    <row r="3084" spans="23:23" ht="26.4">
      <c r="W3084" s="64" ph="1"/>
    </row>
    <row r="3085" spans="23:23" ht="26.4">
      <c r="W3085" s="64" ph="1"/>
    </row>
    <row r="3086" spans="23:23" ht="26.4">
      <c r="W3086" s="64" ph="1"/>
    </row>
    <row r="3087" spans="23:23" ht="26.4">
      <c r="W3087" s="64" ph="1"/>
    </row>
    <row r="3088" spans="23:23" ht="26.4">
      <c r="W3088" s="64" ph="1"/>
    </row>
    <row r="3089" spans="23:23" ht="26.4">
      <c r="W3089" s="64" ph="1"/>
    </row>
    <row r="3090" spans="23:23" ht="26.4">
      <c r="W3090" s="64" ph="1"/>
    </row>
    <row r="3091" spans="23:23" ht="26.4">
      <c r="W3091" s="64" ph="1"/>
    </row>
    <row r="3092" spans="23:23" ht="26.4">
      <c r="W3092" s="64" ph="1"/>
    </row>
    <row r="3093" spans="23:23" ht="26.4">
      <c r="W3093" s="64" ph="1"/>
    </row>
    <row r="3094" spans="23:23" ht="26.4">
      <c r="W3094" s="64" ph="1"/>
    </row>
    <row r="3095" spans="23:23" ht="26.4">
      <c r="W3095" s="64" ph="1"/>
    </row>
    <row r="3096" spans="23:23" ht="26.4">
      <c r="W3096" s="64" ph="1"/>
    </row>
    <row r="3097" spans="23:23" ht="26.4">
      <c r="W3097" s="64" ph="1"/>
    </row>
    <row r="3098" spans="23:23" ht="26.4">
      <c r="W3098" s="64" ph="1"/>
    </row>
    <row r="3099" spans="23:23" ht="26.4">
      <c r="W3099" s="64" ph="1"/>
    </row>
    <row r="3100" spans="23:23" ht="26.4">
      <c r="W3100" s="64" ph="1"/>
    </row>
    <row r="3101" spans="23:23" ht="26.4">
      <c r="W3101" s="64" ph="1"/>
    </row>
    <row r="3102" spans="23:23" ht="26.4">
      <c r="W3102" s="64" ph="1"/>
    </row>
    <row r="3103" spans="23:23" ht="26.4">
      <c r="W3103" s="64" ph="1"/>
    </row>
    <row r="3104" spans="23:23" ht="26.4">
      <c r="W3104" s="64" ph="1"/>
    </row>
    <row r="3105" spans="23:23" ht="26.4">
      <c r="W3105" s="64" ph="1"/>
    </row>
    <row r="3106" spans="23:23" ht="26.4">
      <c r="W3106" s="64" ph="1"/>
    </row>
    <row r="3107" spans="23:23" ht="26.4">
      <c r="W3107" s="64" ph="1"/>
    </row>
    <row r="3108" spans="23:23" ht="26.4">
      <c r="W3108" s="64" ph="1"/>
    </row>
    <row r="3109" spans="23:23" ht="26.4">
      <c r="W3109" s="64" ph="1"/>
    </row>
    <row r="3110" spans="23:23" ht="26.4">
      <c r="W3110" s="64" ph="1"/>
    </row>
    <row r="3111" spans="23:23" ht="26.4">
      <c r="W3111" s="64" ph="1"/>
    </row>
    <row r="3112" spans="23:23" ht="26.4">
      <c r="W3112" s="64" ph="1"/>
    </row>
    <row r="3113" spans="23:23" ht="26.4">
      <c r="W3113" s="64" ph="1"/>
    </row>
    <row r="3114" spans="23:23" ht="26.4">
      <c r="W3114" s="64" ph="1"/>
    </row>
    <row r="3115" spans="23:23" ht="26.4">
      <c r="W3115" s="64" ph="1"/>
    </row>
    <row r="3116" spans="23:23" ht="26.4">
      <c r="W3116" s="64" ph="1"/>
    </row>
    <row r="3117" spans="23:23" ht="26.4">
      <c r="W3117" s="64" ph="1"/>
    </row>
    <row r="3118" spans="23:23" ht="26.4">
      <c r="W3118" s="64" ph="1"/>
    </row>
    <row r="3119" spans="23:23" ht="26.4">
      <c r="W3119" s="64" ph="1"/>
    </row>
    <row r="3120" spans="23:23" ht="26.4">
      <c r="W3120" s="64" ph="1"/>
    </row>
    <row r="3121" spans="23:23" ht="26.4">
      <c r="W3121" s="64" ph="1"/>
    </row>
    <row r="3122" spans="23:23" ht="26.4">
      <c r="W3122" s="64" ph="1"/>
    </row>
    <row r="3123" spans="23:23" ht="26.4">
      <c r="W3123" s="64" ph="1"/>
    </row>
    <row r="3124" spans="23:23" ht="26.4">
      <c r="W3124" s="64" ph="1"/>
    </row>
    <row r="3125" spans="23:23" ht="26.4">
      <c r="W3125" s="64" ph="1"/>
    </row>
    <row r="3126" spans="23:23" ht="26.4">
      <c r="W3126" s="64" ph="1"/>
    </row>
    <row r="3127" spans="23:23" ht="26.4">
      <c r="W3127" s="64" ph="1"/>
    </row>
    <row r="3128" spans="23:23" ht="26.4">
      <c r="W3128" s="64" ph="1"/>
    </row>
    <row r="3129" spans="23:23" ht="26.4">
      <c r="W3129" s="64" ph="1"/>
    </row>
    <row r="3130" spans="23:23" ht="26.4">
      <c r="W3130" s="64" ph="1"/>
    </row>
    <row r="3131" spans="23:23" ht="26.4">
      <c r="W3131" s="64" ph="1"/>
    </row>
    <row r="3132" spans="23:23" ht="26.4">
      <c r="W3132" s="64" ph="1"/>
    </row>
    <row r="3133" spans="23:23" ht="26.4">
      <c r="W3133" s="64" ph="1"/>
    </row>
    <row r="3134" spans="23:23" ht="26.4">
      <c r="W3134" s="64" ph="1"/>
    </row>
    <row r="3135" spans="23:23" ht="26.4">
      <c r="W3135" s="64" ph="1"/>
    </row>
    <row r="3136" spans="23:23" ht="26.4">
      <c r="W3136" s="64" ph="1"/>
    </row>
    <row r="3137" spans="23:23" ht="26.4">
      <c r="W3137" s="64" ph="1"/>
    </row>
    <row r="3138" spans="23:23" ht="26.4">
      <c r="W3138" s="64" ph="1"/>
    </row>
    <row r="3139" spans="23:23" ht="26.4">
      <c r="W3139" s="64" ph="1"/>
    </row>
    <row r="3140" spans="23:23" ht="26.4">
      <c r="W3140" s="64" ph="1"/>
    </row>
    <row r="3141" spans="23:23" ht="26.4">
      <c r="W3141" s="64" ph="1"/>
    </row>
    <row r="3142" spans="23:23" ht="26.4">
      <c r="W3142" s="64" ph="1"/>
    </row>
    <row r="3143" spans="23:23" ht="26.4">
      <c r="W3143" s="64" ph="1"/>
    </row>
    <row r="3144" spans="23:23" ht="26.4">
      <c r="W3144" s="64" ph="1"/>
    </row>
    <row r="3145" spans="23:23" ht="26.4">
      <c r="W3145" s="64" ph="1"/>
    </row>
    <row r="3146" spans="23:23" ht="26.4">
      <c r="W3146" s="64" ph="1"/>
    </row>
    <row r="3147" spans="23:23" ht="26.4">
      <c r="W3147" s="64" ph="1"/>
    </row>
    <row r="3148" spans="23:23" ht="26.4">
      <c r="W3148" s="64" ph="1"/>
    </row>
    <row r="3149" spans="23:23" ht="26.4">
      <c r="W3149" s="64" ph="1"/>
    </row>
    <row r="3150" spans="23:23" ht="26.4">
      <c r="W3150" s="64" ph="1"/>
    </row>
    <row r="3151" spans="23:23" ht="26.4">
      <c r="W3151" s="64" ph="1"/>
    </row>
    <row r="3152" spans="23:23" ht="26.4">
      <c r="W3152" s="64" ph="1"/>
    </row>
    <row r="3153" spans="23:23" ht="26.4">
      <c r="W3153" s="64" ph="1"/>
    </row>
    <row r="3154" spans="23:23" ht="26.4">
      <c r="W3154" s="64" ph="1"/>
    </row>
    <row r="3155" spans="23:23" ht="26.4">
      <c r="W3155" s="64" ph="1"/>
    </row>
    <row r="3156" spans="23:23" ht="26.4">
      <c r="W3156" s="64" ph="1"/>
    </row>
    <row r="3157" spans="23:23" ht="26.4">
      <c r="W3157" s="64" ph="1"/>
    </row>
    <row r="3158" spans="23:23" ht="26.4">
      <c r="W3158" s="64" ph="1"/>
    </row>
    <row r="3159" spans="23:23" ht="26.4">
      <c r="W3159" s="64" ph="1"/>
    </row>
    <row r="3160" spans="23:23" ht="26.4">
      <c r="W3160" s="64" ph="1"/>
    </row>
    <row r="3161" spans="23:23" ht="26.4">
      <c r="W3161" s="64" ph="1"/>
    </row>
    <row r="3162" spans="23:23" ht="26.4">
      <c r="W3162" s="64" ph="1"/>
    </row>
    <row r="3163" spans="23:23" ht="26.4">
      <c r="W3163" s="64" ph="1"/>
    </row>
    <row r="3164" spans="23:23" ht="26.4">
      <c r="W3164" s="64" ph="1"/>
    </row>
    <row r="3165" spans="23:23" ht="26.4">
      <c r="W3165" s="64" ph="1"/>
    </row>
    <row r="3166" spans="23:23" ht="26.4">
      <c r="W3166" s="64" ph="1"/>
    </row>
    <row r="3167" spans="23:23" ht="26.4">
      <c r="W3167" s="64" ph="1"/>
    </row>
    <row r="3168" spans="23:23" ht="26.4">
      <c r="W3168" s="64" ph="1"/>
    </row>
    <row r="3169" spans="23:23" ht="26.4">
      <c r="W3169" s="64" ph="1"/>
    </row>
    <row r="3170" spans="23:23" ht="26.4">
      <c r="W3170" s="64" ph="1"/>
    </row>
    <row r="3171" spans="23:23" ht="26.4">
      <c r="W3171" s="64" ph="1"/>
    </row>
    <row r="3172" spans="23:23" ht="26.4">
      <c r="W3172" s="64" ph="1"/>
    </row>
    <row r="3173" spans="23:23" ht="26.4">
      <c r="W3173" s="64" ph="1"/>
    </row>
    <row r="3174" spans="23:23" ht="26.4">
      <c r="W3174" s="64" ph="1"/>
    </row>
    <row r="3175" spans="23:23" ht="26.4">
      <c r="W3175" s="64" ph="1"/>
    </row>
    <row r="3176" spans="23:23" ht="26.4">
      <c r="W3176" s="64" ph="1"/>
    </row>
    <row r="3177" spans="23:23" ht="26.4">
      <c r="W3177" s="64" ph="1"/>
    </row>
    <row r="3178" spans="23:23" ht="26.4">
      <c r="W3178" s="64" ph="1"/>
    </row>
    <row r="3179" spans="23:23" ht="26.4">
      <c r="W3179" s="64" ph="1"/>
    </row>
    <row r="3180" spans="23:23" ht="26.4">
      <c r="W3180" s="64" ph="1"/>
    </row>
    <row r="3181" spans="23:23" ht="26.4">
      <c r="W3181" s="64" ph="1"/>
    </row>
    <row r="3182" spans="23:23" ht="26.4">
      <c r="W3182" s="64" ph="1"/>
    </row>
    <row r="3183" spans="23:23" ht="26.4">
      <c r="W3183" s="64" ph="1"/>
    </row>
    <row r="3184" spans="23:23" ht="26.4">
      <c r="W3184" s="64" ph="1"/>
    </row>
    <row r="3185" spans="23:23" ht="26.4">
      <c r="W3185" s="64" ph="1"/>
    </row>
    <row r="3186" spans="23:23" ht="26.4">
      <c r="W3186" s="64" ph="1"/>
    </row>
    <row r="3187" spans="23:23" ht="26.4">
      <c r="W3187" s="64" ph="1"/>
    </row>
    <row r="3188" spans="23:23" ht="26.4">
      <c r="W3188" s="64" ph="1"/>
    </row>
    <row r="3189" spans="23:23" ht="26.4">
      <c r="W3189" s="64" ph="1"/>
    </row>
    <row r="3190" spans="23:23" ht="26.4">
      <c r="W3190" s="64" ph="1"/>
    </row>
    <row r="3191" spans="23:23" ht="26.4">
      <c r="W3191" s="64" ph="1"/>
    </row>
    <row r="3192" spans="23:23" ht="26.4">
      <c r="W3192" s="64" ph="1"/>
    </row>
    <row r="3193" spans="23:23" ht="26.4">
      <c r="W3193" s="64" ph="1"/>
    </row>
    <row r="3194" spans="23:23" ht="26.4">
      <c r="W3194" s="64" ph="1"/>
    </row>
    <row r="3195" spans="23:23" ht="26.4">
      <c r="W3195" s="64" ph="1"/>
    </row>
    <row r="3196" spans="23:23" ht="26.4">
      <c r="W3196" s="64" ph="1"/>
    </row>
    <row r="3197" spans="23:23" ht="26.4">
      <c r="W3197" s="64" ph="1"/>
    </row>
    <row r="3198" spans="23:23" ht="26.4">
      <c r="W3198" s="64" ph="1"/>
    </row>
    <row r="3199" spans="23:23" ht="26.4">
      <c r="W3199" s="64" ph="1"/>
    </row>
    <row r="3200" spans="23:23" ht="26.4">
      <c r="W3200" s="64" ph="1"/>
    </row>
    <row r="3201" spans="23:23" ht="26.4">
      <c r="W3201" s="64" ph="1"/>
    </row>
    <row r="3202" spans="23:23" ht="26.4">
      <c r="W3202" s="64" ph="1"/>
    </row>
    <row r="3203" spans="23:23" ht="26.4">
      <c r="W3203" s="64" ph="1"/>
    </row>
    <row r="3204" spans="23:23" ht="26.4">
      <c r="W3204" s="64" ph="1"/>
    </row>
    <row r="3205" spans="23:23" ht="26.4">
      <c r="W3205" s="64" ph="1"/>
    </row>
    <row r="3206" spans="23:23" ht="26.4">
      <c r="W3206" s="64" ph="1"/>
    </row>
    <row r="3207" spans="23:23" ht="26.4">
      <c r="W3207" s="64" ph="1"/>
    </row>
    <row r="3208" spans="23:23" ht="26.4">
      <c r="W3208" s="64" ph="1"/>
    </row>
    <row r="3209" spans="23:23" ht="26.4">
      <c r="W3209" s="64" ph="1"/>
    </row>
    <row r="3210" spans="23:23" ht="26.4">
      <c r="W3210" s="64" ph="1"/>
    </row>
    <row r="3211" spans="23:23" ht="26.4">
      <c r="W3211" s="64" ph="1"/>
    </row>
    <row r="3212" spans="23:23" ht="26.4">
      <c r="W3212" s="64" ph="1"/>
    </row>
    <row r="3213" spans="23:23" ht="26.4">
      <c r="W3213" s="64" ph="1"/>
    </row>
    <row r="3214" spans="23:23" ht="26.4">
      <c r="W3214" s="64" ph="1"/>
    </row>
    <row r="3215" spans="23:23" ht="26.4">
      <c r="W3215" s="64" ph="1"/>
    </row>
    <row r="3216" spans="23:23" ht="26.4">
      <c r="W3216" s="64" ph="1"/>
    </row>
    <row r="3217" spans="23:23" ht="26.4">
      <c r="W3217" s="64" ph="1"/>
    </row>
    <row r="3218" spans="23:23" ht="26.4">
      <c r="W3218" s="64" ph="1"/>
    </row>
    <row r="3219" spans="23:23" ht="26.4">
      <c r="W3219" s="64" ph="1"/>
    </row>
    <row r="3220" spans="23:23" ht="26.4">
      <c r="W3220" s="64" ph="1"/>
    </row>
    <row r="3221" spans="23:23" ht="26.4">
      <c r="W3221" s="64" ph="1"/>
    </row>
    <row r="3222" spans="23:23" ht="26.4">
      <c r="W3222" s="64" ph="1"/>
    </row>
    <row r="3223" spans="23:23" ht="26.4">
      <c r="W3223" s="64" ph="1"/>
    </row>
    <row r="3224" spans="23:23" ht="26.4">
      <c r="W3224" s="64" ph="1"/>
    </row>
    <row r="3225" spans="23:23" ht="26.4">
      <c r="W3225" s="64" ph="1"/>
    </row>
    <row r="3226" spans="23:23" ht="26.4">
      <c r="W3226" s="64" ph="1"/>
    </row>
    <row r="3227" spans="23:23" ht="26.4">
      <c r="W3227" s="64" ph="1"/>
    </row>
    <row r="3228" spans="23:23" ht="26.4">
      <c r="W3228" s="64" ph="1"/>
    </row>
    <row r="3229" spans="23:23" ht="26.4">
      <c r="W3229" s="64" ph="1"/>
    </row>
    <row r="3230" spans="23:23" ht="26.4">
      <c r="W3230" s="64" ph="1"/>
    </row>
    <row r="3231" spans="23:23" ht="26.4">
      <c r="W3231" s="64" ph="1"/>
    </row>
    <row r="3232" spans="23:23" ht="26.4">
      <c r="W3232" s="64" ph="1"/>
    </row>
    <row r="3233" spans="23:23" ht="26.4">
      <c r="W3233" s="64" ph="1"/>
    </row>
    <row r="3234" spans="23:23" ht="26.4">
      <c r="W3234" s="64" ph="1"/>
    </row>
    <row r="3235" spans="23:23" ht="26.4">
      <c r="W3235" s="64" ph="1"/>
    </row>
    <row r="3236" spans="23:23" ht="26.4">
      <c r="W3236" s="64" ph="1"/>
    </row>
    <row r="3237" spans="23:23" ht="26.4">
      <c r="W3237" s="64" ph="1"/>
    </row>
    <row r="3238" spans="23:23" ht="26.4">
      <c r="W3238" s="64" ph="1"/>
    </row>
    <row r="3239" spans="23:23" ht="26.4">
      <c r="W3239" s="64" ph="1"/>
    </row>
    <row r="3240" spans="23:23" ht="26.4">
      <c r="W3240" s="64" ph="1"/>
    </row>
    <row r="3241" spans="23:23" ht="26.4">
      <c r="W3241" s="64" ph="1"/>
    </row>
    <row r="3242" spans="23:23" ht="26.4">
      <c r="W3242" s="64" ph="1"/>
    </row>
    <row r="3243" spans="23:23" ht="26.4">
      <c r="W3243" s="64" ph="1"/>
    </row>
    <row r="3244" spans="23:23" ht="26.4">
      <c r="W3244" s="64" ph="1"/>
    </row>
    <row r="3245" spans="23:23" ht="26.4">
      <c r="W3245" s="64" ph="1"/>
    </row>
    <row r="3246" spans="23:23" ht="26.4">
      <c r="W3246" s="64" ph="1"/>
    </row>
    <row r="3247" spans="23:23" ht="26.4">
      <c r="W3247" s="64" ph="1"/>
    </row>
    <row r="3248" spans="23:23" ht="26.4">
      <c r="W3248" s="64" ph="1"/>
    </row>
    <row r="3249" spans="23:23" ht="26.4">
      <c r="W3249" s="64" ph="1"/>
    </row>
    <row r="3250" spans="23:23" ht="26.4">
      <c r="W3250" s="64" ph="1"/>
    </row>
    <row r="3251" spans="23:23" ht="26.4">
      <c r="W3251" s="64" ph="1"/>
    </row>
    <row r="3252" spans="23:23" ht="26.4">
      <c r="W3252" s="64" ph="1"/>
    </row>
    <row r="3253" spans="23:23" ht="26.4">
      <c r="W3253" s="64" ph="1"/>
    </row>
    <row r="3254" spans="23:23" ht="26.4">
      <c r="W3254" s="64" ph="1"/>
    </row>
    <row r="3255" spans="23:23" ht="26.4">
      <c r="W3255" s="64" ph="1"/>
    </row>
    <row r="3256" spans="23:23" ht="26.4">
      <c r="W3256" s="64" ph="1"/>
    </row>
    <row r="3257" spans="23:23" ht="26.4">
      <c r="W3257" s="64" ph="1"/>
    </row>
    <row r="3258" spans="23:23" ht="26.4">
      <c r="W3258" s="64" ph="1"/>
    </row>
    <row r="3259" spans="23:23" ht="26.4">
      <c r="W3259" s="64" ph="1"/>
    </row>
    <row r="3260" spans="23:23" ht="26.4">
      <c r="W3260" s="64" ph="1"/>
    </row>
    <row r="3261" spans="23:23" ht="26.4">
      <c r="W3261" s="64" ph="1"/>
    </row>
    <row r="3262" spans="23:23" ht="26.4">
      <c r="W3262" s="64" ph="1"/>
    </row>
    <row r="3263" spans="23:23" ht="26.4">
      <c r="W3263" s="64" ph="1"/>
    </row>
    <row r="3264" spans="23:23" ht="26.4">
      <c r="W3264" s="64" ph="1"/>
    </row>
    <row r="3265" spans="23:23" ht="26.4">
      <c r="W3265" s="64" ph="1"/>
    </row>
    <row r="3266" spans="23:23" ht="26.4">
      <c r="W3266" s="64" ph="1"/>
    </row>
    <row r="3267" spans="23:23" ht="26.4">
      <c r="W3267" s="64" ph="1"/>
    </row>
    <row r="3268" spans="23:23" ht="26.4">
      <c r="W3268" s="64" ph="1"/>
    </row>
    <row r="3269" spans="23:23" ht="26.4">
      <c r="W3269" s="64" ph="1"/>
    </row>
    <row r="3270" spans="23:23" ht="26.4">
      <c r="W3270" s="64" ph="1"/>
    </row>
    <row r="3271" spans="23:23" ht="26.4">
      <c r="W3271" s="64" ph="1"/>
    </row>
    <row r="3272" spans="23:23" ht="26.4">
      <c r="W3272" s="64" ph="1"/>
    </row>
    <row r="3273" spans="23:23" ht="26.4">
      <c r="W3273" s="64" ph="1"/>
    </row>
    <row r="3274" spans="23:23" ht="26.4">
      <c r="W3274" s="64" ph="1"/>
    </row>
    <row r="3275" spans="23:23" ht="26.4">
      <c r="W3275" s="64" ph="1"/>
    </row>
    <row r="3276" spans="23:23" ht="26.4">
      <c r="W3276" s="64" ph="1"/>
    </row>
    <row r="3277" spans="23:23" ht="26.4">
      <c r="W3277" s="64" ph="1"/>
    </row>
    <row r="3278" spans="23:23" ht="26.4">
      <c r="W3278" s="64" ph="1"/>
    </row>
    <row r="3279" spans="23:23" ht="26.4">
      <c r="W3279" s="64" ph="1"/>
    </row>
    <row r="3280" spans="23:23" ht="26.4">
      <c r="W3280" s="64" ph="1"/>
    </row>
    <row r="3281" spans="23:23" ht="26.4">
      <c r="W3281" s="64" ph="1"/>
    </row>
    <row r="3282" spans="23:23" ht="26.4">
      <c r="W3282" s="64" ph="1"/>
    </row>
    <row r="3283" spans="23:23" ht="26.4">
      <c r="W3283" s="64" ph="1"/>
    </row>
    <row r="3284" spans="23:23" ht="26.4">
      <c r="W3284" s="64" ph="1"/>
    </row>
    <row r="3285" spans="23:23" ht="26.4">
      <c r="W3285" s="64" ph="1"/>
    </row>
    <row r="3286" spans="23:23" ht="26.4">
      <c r="W3286" s="64" ph="1"/>
    </row>
    <row r="3287" spans="23:23" ht="26.4">
      <c r="W3287" s="64" ph="1"/>
    </row>
    <row r="3288" spans="23:23" ht="26.4">
      <c r="W3288" s="64" ph="1"/>
    </row>
    <row r="3289" spans="23:23" ht="26.4">
      <c r="W3289" s="64" ph="1"/>
    </row>
    <row r="3290" spans="23:23" ht="26.4">
      <c r="W3290" s="64" ph="1"/>
    </row>
    <row r="3291" spans="23:23" ht="26.4">
      <c r="W3291" s="64" ph="1"/>
    </row>
    <row r="3292" spans="23:23" ht="26.4">
      <c r="W3292" s="64" ph="1"/>
    </row>
    <row r="3293" spans="23:23" ht="26.4">
      <c r="W3293" s="64" ph="1"/>
    </row>
    <row r="3294" spans="23:23" ht="26.4">
      <c r="W3294" s="64" ph="1"/>
    </row>
    <row r="3295" spans="23:23" ht="26.4">
      <c r="W3295" s="64" ph="1"/>
    </row>
    <row r="3296" spans="23:23" ht="26.4">
      <c r="W3296" s="64" ph="1"/>
    </row>
    <row r="3297" spans="23:23" ht="26.4">
      <c r="W3297" s="64" ph="1"/>
    </row>
    <row r="3298" spans="23:23" ht="26.4">
      <c r="W3298" s="64" ph="1"/>
    </row>
    <row r="3299" spans="23:23" ht="26.4">
      <c r="W3299" s="64" ph="1"/>
    </row>
    <row r="3300" spans="23:23" ht="26.4">
      <c r="W3300" s="64" ph="1"/>
    </row>
    <row r="3301" spans="23:23" ht="26.4">
      <c r="W3301" s="64" ph="1"/>
    </row>
    <row r="3302" spans="23:23" ht="26.4">
      <c r="W3302" s="64" ph="1"/>
    </row>
    <row r="3303" spans="23:23" ht="26.4">
      <c r="W3303" s="64" ph="1"/>
    </row>
    <row r="3304" spans="23:23" ht="26.4">
      <c r="W3304" s="64" ph="1"/>
    </row>
    <row r="3305" spans="23:23" ht="26.4">
      <c r="W3305" s="64" ph="1"/>
    </row>
    <row r="3306" spans="23:23" ht="26.4">
      <c r="W3306" s="64" ph="1"/>
    </row>
    <row r="3307" spans="23:23" ht="26.4">
      <c r="W3307" s="64" ph="1"/>
    </row>
    <row r="3308" spans="23:23" ht="26.4">
      <c r="W3308" s="64" ph="1"/>
    </row>
    <row r="3309" spans="23:23" ht="26.4">
      <c r="W3309" s="64" ph="1"/>
    </row>
    <row r="3310" spans="23:23" ht="26.4">
      <c r="W3310" s="64" ph="1"/>
    </row>
    <row r="3311" spans="23:23" ht="26.4">
      <c r="W3311" s="64" ph="1"/>
    </row>
    <row r="3312" spans="23:23" ht="26.4">
      <c r="W3312" s="64" ph="1"/>
    </row>
    <row r="3313" spans="23:23" ht="26.4">
      <c r="W3313" s="64" ph="1"/>
    </row>
    <row r="3314" spans="23:23" ht="26.4">
      <c r="W3314" s="64" ph="1"/>
    </row>
    <row r="3315" spans="23:23" ht="26.4">
      <c r="W3315" s="64" ph="1"/>
    </row>
    <row r="3316" spans="23:23" ht="26.4">
      <c r="W3316" s="64" ph="1"/>
    </row>
    <row r="3317" spans="23:23" ht="26.4">
      <c r="W3317" s="64" ph="1"/>
    </row>
    <row r="3318" spans="23:23" ht="26.4">
      <c r="W3318" s="64" ph="1"/>
    </row>
    <row r="3319" spans="23:23" ht="26.4">
      <c r="W3319" s="64" ph="1"/>
    </row>
    <row r="3320" spans="23:23" ht="26.4">
      <c r="W3320" s="64" ph="1"/>
    </row>
    <row r="3321" spans="23:23" ht="26.4">
      <c r="W3321" s="64" ph="1"/>
    </row>
    <row r="3322" spans="23:23" ht="26.4">
      <c r="W3322" s="64" ph="1"/>
    </row>
    <row r="3323" spans="23:23" ht="26.4">
      <c r="W3323" s="64" ph="1"/>
    </row>
    <row r="3324" spans="23:23" ht="26.4">
      <c r="W3324" s="64" ph="1"/>
    </row>
    <row r="3325" spans="23:23" ht="26.4">
      <c r="W3325" s="64" ph="1"/>
    </row>
    <row r="3326" spans="23:23" ht="26.4">
      <c r="W3326" s="64" ph="1"/>
    </row>
    <row r="3327" spans="23:23" ht="26.4">
      <c r="W3327" s="64" ph="1"/>
    </row>
    <row r="3328" spans="23:23" ht="26.4">
      <c r="W3328" s="64" ph="1"/>
    </row>
    <row r="3329" spans="23:23" ht="26.4">
      <c r="W3329" s="64" ph="1"/>
    </row>
    <row r="3330" spans="23:23" ht="26.4">
      <c r="W3330" s="64" ph="1"/>
    </row>
    <row r="3331" spans="23:23" ht="26.4">
      <c r="W3331" s="64" ph="1"/>
    </row>
    <row r="3332" spans="23:23" ht="26.4">
      <c r="W3332" s="64" ph="1"/>
    </row>
    <row r="3333" spans="23:23" ht="26.4">
      <c r="W3333" s="64" ph="1"/>
    </row>
    <row r="3334" spans="23:23" ht="26.4">
      <c r="W3334" s="64" ph="1"/>
    </row>
    <row r="3335" spans="23:23" ht="26.4">
      <c r="W3335" s="64" ph="1"/>
    </row>
    <row r="3336" spans="23:23" ht="26.4">
      <c r="W3336" s="64" ph="1"/>
    </row>
    <row r="3337" spans="23:23" ht="26.4">
      <c r="W3337" s="64" ph="1"/>
    </row>
    <row r="3338" spans="23:23" ht="26.4">
      <c r="W3338" s="64" ph="1"/>
    </row>
    <row r="3339" spans="23:23" ht="26.4">
      <c r="W3339" s="64" ph="1"/>
    </row>
    <row r="3340" spans="23:23" ht="26.4">
      <c r="W3340" s="64" ph="1"/>
    </row>
    <row r="3341" spans="23:23" ht="26.4">
      <c r="W3341" s="64" ph="1"/>
    </row>
    <row r="3342" spans="23:23" ht="26.4">
      <c r="W3342" s="64" ph="1"/>
    </row>
    <row r="3343" spans="23:23" ht="26.4">
      <c r="W3343" s="64" ph="1"/>
    </row>
    <row r="3344" spans="23:23" ht="26.4">
      <c r="W3344" s="64" ph="1"/>
    </row>
    <row r="3345" spans="23:23" ht="26.4">
      <c r="W3345" s="64" ph="1"/>
    </row>
    <row r="3346" spans="23:23" ht="26.4">
      <c r="W3346" s="64" ph="1"/>
    </row>
    <row r="3347" spans="23:23" ht="26.4">
      <c r="W3347" s="64" ph="1"/>
    </row>
    <row r="3348" spans="23:23" ht="26.4">
      <c r="W3348" s="64" ph="1"/>
    </row>
    <row r="3349" spans="23:23" ht="26.4">
      <c r="W3349" s="64" ph="1"/>
    </row>
    <row r="3350" spans="23:23" ht="26.4">
      <c r="W3350" s="64" ph="1"/>
    </row>
    <row r="3351" spans="23:23" ht="26.4">
      <c r="W3351" s="64" ph="1"/>
    </row>
    <row r="3352" spans="23:23" ht="26.4">
      <c r="W3352" s="64" ph="1"/>
    </row>
    <row r="3353" spans="23:23" ht="26.4">
      <c r="W3353" s="64" ph="1"/>
    </row>
    <row r="3354" spans="23:23" ht="26.4">
      <c r="W3354" s="64" ph="1"/>
    </row>
    <row r="3355" spans="23:23" ht="26.4">
      <c r="W3355" s="64" ph="1"/>
    </row>
    <row r="3356" spans="23:23" ht="26.4">
      <c r="W3356" s="64" ph="1"/>
    </row>
    <row r="3357" spans="23:23" ht="26.4">
      <c r="W3357" s="64" ph="1"/>
    </row>
    <row r="3358" spans="23:23" ht="26.4">
      <c r="W3358" s="64" ph="1"/>
    </row>
    <row r="3359" spans="23:23" ht="26.4">
      <c r="W3359" s="64" ph="1"/>
    </row>
    <row r="3360" spans="23:23" ht="26.4">
      <c r="W3360" s="64" ph="1"/>
    </row>
    <row r="3361" spans="23:23" ht="26.4">
      <c r="W3361" s="64" ph="1"/>
    </row>
    <row r="3362" spans="23:23" ht="26.4">
      <c r="W3362" s="64" ph="1"/>
    </row>
    <row r="3363" spans="23:23" ht="26.4">
      <c r="W3363" s="64" ph="1"/>
    </row>
    <row r="3364" spans="23:23" ht="26.4">
      <c r="W3364" s="64" ph="1"/>
    </row>
    <row r="3365" spans="23:23" ht="26.4">
      <c r="W3365" s="64" ph="1"/>
    </row>
    <row r="3366" spans="23:23" ht="26.4">
      <c r="W3366" s="64" ph="1"/>
    </row>
    <row r="3367" spans="23:23" ht="26.4">
      <c r="W3367" s="64" ph="1"/>
    </row>
    <row r="3368" spans="23:23" ht="26.4">
      <c r="W3368" s="64" ph="1"/>
    </row>
    <row r="3369" spans="23:23" ht="26.4">
      <c r="W3369" s="64" ph="1"/>
    </row>
    <row r="3370" spans="23:23" ht="26.4">
      <c r="W3370" s="64" ph="1"/>
    </row>
    <row r="3371" spans="23:23" ht="26.4">
      <c r="W3371" s="64" ph="1"/>
    </row>
    <row r="3372" spans="23:23" ht="26.4">
      <c r="W3372" s="64" ph="1"/>
    </row>
    <row r="3373" spans="23:23" ht="26.4">
      <c r="W3373" s="64" ph="1"/>
    </row>
    <row r="3374" spans="23:23" ht="26.4">
      <c r="W3374" s="64" ph="1"/>
    </row>
    <row r="3375" spans="23:23" ht="26.4">
      <c r="W3375" s="64" ph="1"/>
    </row>
    <row r="3376" spans="23:23" ht="26.4">
      <c r="W3376" s="64" ph="1"/>
    </row>
    <row r="3377" spans="23:23" ht="26.4">
      <c r="W3377" s="64" ph="1"/>
    </row>
    <row r="3378" spans="23:23" ht="26.4">
      <c r="W3378" s="64" ph="1"/>
    </row>
    <row r="3379" spans="23:23" ht="26.4">
      <c r="W3379" s="64" ph="1"/>
    </row>
    <row r="3380" spans="23:23" ht="26.4">
      <c r="W3380" s="64" ph="1"/>
    </row>
    <row r="3381" spans="23:23" ht="26.4">
      <c r="W3381" s="64" ph="1"/>
    </row>
    <row r="3382" spans="23:23" ht="26.4">
      <c r="W3382" s="64" ph="1"/>
    </row>
    <row r="3383" spans="23:23" ht="26.4">
      <c r="W3383" s="64" ph="1"/>
    </row>
    <row r="3384" spans="23:23" ht="26.4">
      <c r="W3384" s="64" ph="1"/>
    </row>
    <row r="3385" spans="23:23" ht="26.4">
      <c r="W3385" s="64" ph="1"/>
    </row>
    <row r="3386" spans="23:23" ht="26.4">
      <c r="W3386" s="64" ph="1"/>
    </row>
    <row r="3387" spans="23:23" ht="26.4">
      <c r="W3387" s="64" ph="1"/>
    </row>
    <row r="3388" spans="23:23" ht="26.4">
      <c r="W3388" s="64" ph="1"/>
    </row>
    <row r="3389" spans="23:23" ht="26.4">
      <c r="W3389" s="64" ph="1"/>
    </row>
    <row r="3390" spans="23:23" ht="26.4">
      <c r="W3390" s="64" ph="1"/>
    </row>
    <row r="3391" spans="23:23" ht="26.4">
      <c r="W3391" s="64" ph="1"/>
    </row>
    <row r="3392" spans="23:23" ht="26.4">
      <c r="W3392" s="64" ph="1"/>
    </row>
    <row r="3393" spans="23:23" ht="26.4">
      <c r="W3393" s="64" ph="1"/>
    </row>
    <row r="3394" spans="23:23" ht="26.4">
      <c r="W3394" s="64" ph="1"/>
    </row>
    <row r="3395" spans="23:23" ht="26.4">
      <c r="W3395" s="64" ph="1"/>
    </row>
    <row r="3396" spans="23:23" ht="26.4">
      <c r="W3396" s="64" ph="1"/>
    </row>
    <row r="3397" spans="23:23" ht="26.4">
      <c r="W3397" s="64" ph="1"/>
    </row>
    <row r="3398" spans="23:23" ht="26.4">
      <c r="W3398" s="64" ph="1"/>
    </row>
    <row r="3399" spans="23:23" ht="26.4">
      <c r="W3399" s="64" ph="1"/>
    </row>
    <row r="3400" spans="23:23" ht="26.4">
      <c r="W3400" s="64" ph="1"/>
    </row>
    <row r="3401" spans="23:23" ht="26.4">
      <c r="W3401" s="64" ph="1"/>
    </row>
    <row r="3402" spans="23:23" ht="26.4">
      <c r="W3402" s="64" ph="1"/>
    </row>
    <row r="3403" spans="23:23" ht="26.4">
      <c r="W3403" s="64" ph="1"/>
    </row>
    <row r="3404" spans="23:23" ht="26.4">
      <c r="W3404" s="64" ph="1"/>
    </row>
    <row r="3405" spans="23:23" ht="26.4">
      <c r="W3405" s="64" ph="1"/>
    </row>
    <row r="3406" spans="23:23" ht="26.4">
      <c r="W3406" s="64" ph="1"/>
    </row>
    <row r="3407" spans="23:23" ht="26.4">
      <c r="W3407" s="64" ph="1"/>
    </row>
    <row r="3408" spans="23:23" ht="26.4">
      <c r="W3408" s="64" ph="1"/>
    </row>
    <row r="3409" spans="23:23" ht="26.4">
      <c r="W3409" s="64" ph="1"/>
    </row>
    <row r="3410" spans="23:23" ht="26.4">
      <c r="W3410" s="64" ph="1"/>
    </row>
    <row r="3411" spans="23:23" ht="26.4">
      <c r="W3411" s="64" ph="1"/>
    </row>
    <row r="3412" spans="23:23" ht="26.4">
      <c r="W3412" s="64" ph="1"/>
    </row>
    <row r="3413" spans="23:23" ht="26.4">
      <c r="W3413" s="64" ph="1"/>
    </row>
    <row r="3414" spans="23:23" ht="26.4">
      <c r="W3414" s="64" ph="1"/>
    </row>
    <row r="3415" spans="23:23" ht="26.4">
      <c r="W3415" s="64" ph="1"/>
    </row>
    <row r="3416" spans="23:23" ht="26.4">
      <c r="W3416" s="64" ph="1"/>
    </row>
    <row r="3417" spans="23:23" ht="26.4">
      <c r="W3417" s="64" ph="1"/>
    </row>
    <row r="3418" spans="23:23" ht="26.4">
      <c r="W3418" s="64" ph="1"/>
    </row>
    <row r="3419" spans="23:23" ht="26.4">
      <c r="W3419" s="64" ph="1"/>
    </row>
    <row r="3420" spans="23:23" ht="26.4">
      <c r="W3420" s="64" ph="1"/>
    </row>
    <row r="3421" spans="23:23" ht="26.4">
      <c r="W3421" s="64" ph="1"/>
    </row>
    <row r="3422" spans="23:23" ht="26.4">
      <c r="W3422" s="64" ph="1"/>
    </row>
    <row r="3423" spans="23:23" ht="26.4">
      <c r="W3423" s="64" ph="1"/>
    </row>
    <row r="3424" spans="23:23" ht="26.4">
      <c r="W3424" s="64" ph="1"/>
    </row>
    <row r="3425" spans="23:23" ht="26.4">
      <c r="W3425" s="64" ph="1"/>
    </row>
    <row r="3426" spans="23:23" ht="26.4">
      <c r="W3426" s="64" ph="1"/>
    </row>
    <row r="3427" spans="23:23" ht="26.4">
      <c r="W3427" s="64" ph="1"/>
    </row>
    <row r="3428" spans="23:23" ht="26.4">
      <c r="W3428" s="64" ph="1"/>
    </row>
    <row r="3429" spans="23:23" ht="26.4">
      <c r="W3429" s="64" ph="1"/>
    </row>
    <row r="3430" spans="23:23" ht="26.4">
      <c r="W3430" s="64" ph="1"/>
    </row>
    <row r="3431" spans="23:23" ht="26.4">
      <c r="W3431" s="64" ph="1"/>
    </row>
    <row r="3432" spans="23:23" ht="26.4">
      <c r="W3432" s="64" ph="1"/>
    </row>
    <row r="3433" spans="23:23" ht="26.4">
      <c r="W3433" s="64" ph="1"/>
    </row>
    <row r="3434" spans="23:23" ht="26.4">
      <c r="W3434" s="64" ph="1"/>
    </row>
    <row r="3435" spans="23:23" ht="26.4">
      <c r="W3435" s="64" ph="1"/>
    </row>
    <row r="3436" spans="23:23" ht="26.4">
      <c r="W3436" s="64" ph="1"/>
    </row>
    <row r="3437" spans="23:23" ht="26.4">
      <c r="W3437" s="64" ph="1"/>
    </row>
    <row r="3438" spans="23:23" ht="26.4">
      <c r="W3438" s="64" ph="1"/>
    </row>
    <row r="3439" spans="23:23" ht="26.4">
      <c r="W3439" s="64" ph="1"/>
    </row>
    <row r="3440" spans="23:23" ht="26.4">
      <c r="W3440" s="64" ph="1"/>
    </row>
    <row r="3441" spans="23:23" ht="26.4">
      <c r="W3441" s="64" ph="1"/>
    </row>
    <row r="3442" spans="23:23" ht="26.4">
      <c r="W3442" s="64" ph="1"/>
    </row>
    <row r="3443" spans="23:23" ht="26.4">
      <c r="W3443" s="64" ph="1"/>
    </row>
    <row r="3444" spans="23:23" ht="26.4">
      <c r="W3444" s="64" ph="1"/>
    </row>
    <row r="3445" spans="23:23" ht="26.4">
      <c r="W3445" s="64" ph="1"/>
    </row>
    <row r="3446" spans="23:23" ht="26.4">
      <c r="W3446" s="64" ph="1"/>
    </row>
    <row r="3447" spans="23:23" ht="26.4">
      <c r="W3447" s="64" ph="1"/>
    </row>
    <row r="3448" spans="23:23" ht="26.4">
      <c r="W3448" s="64" ph="1"/>
    </row>
    <row r="3449" spans="23:23" ht="26.4">
      <c r="W3449" s="64" ph="1"/>
    </row>
    <row r="3450" spans="23:23" ht="26.4">
      <c r="W3450" s="64" ph="1"/>
    </row>
    <row r="3451" spans="23:23" ht="26.4">
      <c r="W3451" s="64" ph="1"/>
    </row>
    <row r="3452" spans="23:23" ht="26.4">
      <c r="W3452" s="64" ph="1"/>
    </row>
    <row r="3453" spans="23:23" ht="26.4">
      <c r="W3453" s="64" ph="1"/>
    </row>
    <row r="3454" spans="23:23" ht="26.4">
      <c r="W3454" s="64" ph="1"/>
    </row>
    <row r="3455" spans="23:23" ht="26.4">
      <c r="W3455" s="64" ph="1"/>
    </row>
    <row r="3456" spans="23:23" ht="26.4">
      <c r="W3456" s="64" ph="1"/>
    </row>
    <row r="3457" spans="23:23" ht="26.4">
      <c r="W3457" s="64" ph="1"/>
    </row>
    <row r="3458" spans="23:23" ht="26.4">
      <c r="W3458" s="64" ph="1"/>
    </row>
    <row r="3459" spans="23:23" ht="26.4">
      <c r="W3459" s="64" ph="1"/>
    </row>
    <row r="3460" spans="23:23" ht="26.4">
      <c r="W3460" s="64" ph="1"/>
    </row>
    <row r="3461" spans="23:23" ht="26.4">
      <c r="W3461" s="64" ph="1"/>
    </row>
    <row r="3462" spans="23:23" ht="26.4">
      <c r="W3462" s="64" ph="1"/>
    </row>
    <row r="3463" spans="23:23" ht="26.4">
      <c r="W3463" s="64" ph="1"/>
    </row>
    <row r="3464" spans="23:23" ht="26.4">
      <c r="W3464" s="64" ph="1"/>
    </row>
    <row r="3465" spans="23:23" ht="26.4">
      <c r="W3465" s="64" ph="1"/>
    </row>
    <row r="3466" spans="23:23" ht="26.4">
      <c r="W3466" s="64" ph="1"/>
    </row>
    <row r="3467" spans="23:23" ht="26.4">
      <c r="W3467" s="64" ph="1"/>
    </row>
    <row r="3468" spans="23:23" ht="26.4">
      <c r="W3468" s="64" ph="1"/>
    </row>
    <row r="3469" spans="23:23" ht="26.4">
      <c r="W3469" s="64" ph="1"/>
    </row>
    <row r="3470" spans="23:23" ht="26.4">
      <c r="W3470" s="64" ph="1"/>
    </row>
    <row r="3471" spans="23:23" ht="26.4">
      <c r="W3471" s="64" ph="1"/>
    </row>
    <row r="3472" spans="23:23" ht="26.4">
      <c r="W3472" s="64" ph="1"/>
    </row>
    <row r="3473" spans="23:23" ht="26.4">
      <c r="W3473" s="64" ph="1"/>
    </row>
    <row r="3474" spans="23:23" ht="26.4">
      <c r="W3474" s="64" ph="1"/>
    </row>
    <row r="3475" spans="23:23" ht="26.4">
      <c r="W3475" s="64" ph="1"/>
    </row>
    <row r="3476" spans="23:23" ht="26.4">
      <c r="W3476" s="64" ph="1"/>
    </row>
    <row r="3477" spans="23:23" ht="26.4">
      <c r="W3477" s="64" ph="1"/>
    </row>
    <row r="3478" spans="23:23" ht="26.4">
      <c r="W3478" s="64" ph="1"/>
    </row>
    <row r="3479" spans="23:23" ht="26.4">
      <c r="W3479" s="64" ph="1"/>
    </row>
    <row r="3480" spans="23:23" ht="26.4">
      <c r="W3480" s="64" ph="1"/>
    </row>
    <row r="3481" spans="23:23" ht="26.4">
      <c r="W3481" s="64" ph="1"/>
    </row>
    <row r="3482" spans="23:23" ht="26.4">
      <c r="W3482" s="64" ph="1"/>
    </row>
    <row r="3483" spans="23:23" ht="26.4">
      <c r="W3483" s="64" ph="1"/>
    </row>
    <row r="3484" spans="23:23" ht="26.4">
      <c r="W3484" s="64" ph="1"/>
    </row>
    <row r="3485" spans="23:23" ht="26.4">
      <c r="W3485" s="64" ph="1"/>
    </row>
    <row r="3486" spans="23:23" ht="26.4">
      <c r="W3486" s="64" ph="1"/>
    </row>
    <row r="3487" spans="23:23" ht="26.4">
      <c r="W3487" s="64" ph="1"/>
    </row>
    <row r="3488" spans="23:23" ht="26.4">
      <c r="W3488" s="64" ph="1"/>
    </row>
    <row r="3489" spans="23:23" ht="26.4">
      <c r="W3489" s="64" ph="1"/>
    </row>
    <row r="3490" spans="23:23" ht="26.4">
      <c r="W3490" s="64" ph="1"/>
    </row>
    <row r="3491" spans="23:23" ht="26.4">
      <c r="W3491" s="64" ph="1"/>
    </row>
    <row r="3492" spans="23:23" ht="26.4">
      <c r="W3492" s="64" ph="1"/>
    </row>
    <row r="3493" spans="23:23" ht="26.4">
      <c r="W3493" s="64" ph="1"/>
    </row>
    <row r="3494" spans="23:23" ht="26.4">
      <c r="W3494" s="64" ph="1"/>
    </row>
    <row r="3495" spans="23:23" ht="26.4">
      <c r="W3495" s="64" ph="1"/>
    </row>
    <row r="3496" spans="23:23" ht="26.4">
      <c r="W3496" s="64" ph="1"/>
    </row>
    <row r="3497" spans="23:23" ht="26.4">
      <c r="W3497" s="64" ph="1"/>
    </row>
    <row r="3498" spans="23:23" ht="26.4">
      <c r="W3498" s="64" ph="1"/>
    </row>
    <row r="3499" spans="23:23" ht="26.4">
      <c r="W3499" s="64" ph="1"/>
    </row>
    <row r="3500" spans="23:23" ht="26.4">
      <c r="W3500" s="64" ph="1"/>
    </row>
    <row r="3501" spans="23:23" ht="26.4">
      <c r="W3501" s="64" ph="1"/>
    </row>
    <row r="3502" spans="23:23" ht="26.4">
      <c r="W3502" s="64" ph="1"/>
    </row>
    <row r="3503" spans="23:23" ht="26.4">
      <c r="W3503" s="64" ph="1"/>
    </row>
    <row r="3504" spans="23:23" ht="26.4">
      <c r="W3504" s="64" ph="1"/>
    </row>
    <row r="3505" spans="23:23" ht="26.4">
      <c r="W3505" s="64" ph="1"/>
    </row>
    <row r="3506" spans="23:23" ht="26.4">
      <c r="W3506" s="64" ph="1"/>
    </row>
    <row r="3507" spans="23:23" ht="26.4">
      <c r="W3507" s="64" ph="1"/>
    </row>
    <row r="3508" spans="23:23" ht="26.4">
      <c r="W3508" s="64" ph="1"/>
    </row>
    <row r="3509" spans="23:23" ht="26.4">
      <c r="W3509" s="64" ph="1"/>
    </row>
    <row r="3510" spans="23:23" ht="26.4">
      <c r="W3510" s="64" ph="1"/>
    </row>
    <row r="3511" spans="23:23" ht="26.4">
      <c r="W3511" s="64" ph="1"/>
    </row>
    <row r="3512" spans="23:23" ht="26.4">
      <c r="W3512" s="64" ph="1"/>
    </row>
    <row r="3513" spans="23:23" ht="26.4">
      <c r="W3513" s="64" ph="1"/>
    </row>
    <row r="3514" spans="23:23" ht="26.4">
      <c r="W3514" s="64" ph="1"/>
    </row>
    <row r="3515" spans="23:23" ht="26.4">
      <c r="W3515" s="64" ph="1"/>
    </row>
    <row r="3516" spans="23:23" ht="26.4">
      <c r="W3516" s="64" ph="1"/>
    </row>
    <row r="3517" spans="23:23" ht="26.4">
      <c r="W3517" s="64" ph="1"/>
    </row>
    <row r="3518" spans="23:23" ht="26.4">
      <c r="W3518" s="64" ph="1"/>
    </row>
    <row r="3519" spans="23:23" ht="26.4">
      <c r="W3519" s="64" ph="1"/>
    </row>
    <row r="3520" spans="23:23" ht="26.4">
      <c r="W3520" s="64" ph="1"/>
    </row>
    <row r="3521" spans="23:23" ht="26.4">
      <c r="W3521" s="64" ph="1"/>
    </row>
    <row r="3522" spans="23:23" ht="26.4">
      <c r="W3522" s="64" ph="1"/>
    </row>
    <row r="3523" spans="23:23" ht="26.4">
      <c r="W3523" s="64" ph="1"/>
    </row>
    <row r="3524" spans="23:23" ht="26.4">
      <c r="W3524" s="64" ph="1"/>
    </row>
    <row r="3525" spans="23:23" ht="26.4">
      <c r="W3525" s="64" ph="1"/>
    </row>
    <row r="3526" spans="23:23" ht="26.4">
      <c r="W3526" s="64" ph="1"/>
    </row>
    <row r="3527" spans="23:23" ht="26.4">
      <c r="W3527" s="64" ph="1"/>
    </row>
    <row r="3528" spans="23:23" ht="26.4">
      <c r="W3528" s="64" ph="1"/>
    </row>
    <row r="3529" spans="23:23" ht="26.4">
      <c r="W3529" s="64" ph="1"/>
    </row>
    <row r="3530" spans="23:23" ht="26.4">
      <c r="W3530" s="64" ph="1"/>
    </row>
    <row r="3531" spans="23:23" ht="26.4">
      <c r="W3531" s="64" ph="1"/>
    </row>
    <row r="3532" spans="23:23" ht="26.4">
      <c r="W3532" s="64" ph="1"/>
    </row>
    <row r="3533" spans="23:23" ht="26.4">
      <c r="W3533" s="64" ph="1"/>
    </row>
    <row r="3534" spans="23:23" ht="26.4">
      <c r="W3534" s="64" ph="1"/>
    </row>
    <row r="3535" spans="23:23" ht="26.4">
      <c r="W3535" s="64" ph="1"/>
    </row>
    <row r="3536" spans="23:23" ht="26.4">
      <c r="W3536" s="64" ph="1"/>
    </row>
    <row r="3537" spans="23:23" ht="26.4">
      <c r="W3537" s="64" ph="1"/>
    </row>
    <row r="3538" spans="23:23" ht="26.4">
      <c r="W3538" s="64" ph="1"/>
    </row>
    <row r="3539" spans="23:23" ht="26.4">
      <c r="W3539" s="64" ph="1"/>
    </row>
    <row r="3540" spans="23:23" ht="26.4">
      <c r="W3540" s="64" ph="1"/>
    </row>
    <row r="3541" spans="23:23" ht="26.4">
      <c r="W3541" s="64" ph="1"/>
    </row>
    <row r="3542" spans="23:23" ht="26.4">
      <c r="W3542" s="64" ph="1"/>
    </row>
    <row r="3543" spans="23:23" ht="26.4">
      <c r="W3543" s="64" ph="1"/>
    </row>
    <row r="3544" spans="23:23" ht="26.4">
      <c r="W3544" s="64" ph="1"/>
    </row>
    <row r="3545" spans="23:23" ht="26.4">
      <c r="W3545" s="64" ph="1"/>
    </row>
    <row r="3546" spans="23:23" ht="26.4">
      <c r="W3546" s="64" ph="1"/>
    </row>
    <row r="3547" spans="23:23" ht="26.4">
      <c r="W3547" s="64" ph="1"/>
    </row>
    <row r="3548" spans="23:23" ht="26.4">
      <c r="W3548" s="64" ph="1"/>
    </row>
    <row r="3549" spans="23:23" ht="26.4">
      <c r="W3549" s="64" ph="1"/>
    </row>
    <row r="3550" spans="23:23" ht="26.4">
      <c r="W3550" s="64" ph="1"/>
    </row>
    <row r="3551" spans="23:23" ht="26.4">
      <c r="W3551" s="64" ph="1"/>
    </row>
    <row r="3552" spans="23:23" ht="26.4">
      <c r="W3552" s="64" ph="1"/>
    </row>
    <row r="3553" spans="23:23" ht="26.4">
      <c r="W3553" s="64" ph="1"/>
    </row>
    <row r="3554" spans="23:23" ht="26.4">
      <c r="W3554" s="64" ph="1"/>
    </row>
    <row r="3555" spans="23:23" ht="26.4">
      <c r="W3555" s="64" ph="1"/>
    </row>
    <row r="3556" spans="23:23" ht="26.4">
      <c r="W3556" s="64" ph="1"/>
    </row>
    <row r="3557" spans="23:23" ht="26.4">
      <c r="W3557" s="64" ph="1"/>
    </row>
    <row r="3558" spans="23:23" ht="26.4">
      <c r="W3558" s="64" ph="1"/>
    </row>
    <row r="3559" spans="23:23" ht="26.4">
      <c r="W3559" s="64" ph="1"/>
    </row>
    <row r="3560" spans="23:23" ht="26.4">
      <c r="W3560" s="64" ph="1"/>
    </row>
    <row r="3561" spans="23:23" ht="26.4">
      <c r="W3561" s="64" ph="1"/>
    </row>
    <row r="3562" spans="23:23" ht="26.4">
      <c r="W3562" s="64" ph="1"/>
    </row>
    <row r="3563" spans="23:23" ht="26.4">
      <c r="W3563" s="64" ph="1"/>
    </row>
    <row r="3564" spans="23:23" ht="26.4">
      <c r="W3564" s="64" ph="1"/>
    </row>
    <row r="3565" spans="23:23" ht="26.4">
      <c r="W3565" s="64" ph="1"/>
    </row>
    <row r="3566" spans="23:23" ht="26.4">
      <c r="W3566" s="64" ph="1"/>
    </row>
    <row r="3567" spans="23:23" ht="26.4">
      <c r="W3567" s="64" ph="1"/>
    </row>
    <row r="3568" spans="23:23" ht="26.4">
      <c r="W3568" s="64" ph="1"/>
    </row>
    <row r="3569" spans="23:23" ht="26.4">
      <c r="W3569" s="64" ph="1"/>
    </row>
    <row r="3570" spans="23:23" ht="26.4">
      <c r="W3570" s="64" ph="1"/>
    </row>
    <row r="3571" spans="23:23" ht="26.4">
      <c r="W3571" s="64" ph="1"/>
    </row>
    <row r="3572" spans="23:23" ht="26.4">
      <c r="W3572" s="64" ph="1"/>
    </row>
    <row r="3573" spans="23:23" ht="26.4">
      <c r="W3573" s="64" ph="1"/>
    </row>
    <row r="3574" spans="23:23" ht="26.4">
      <c r="W3574" s="64" ph="1"/>
    </row>
    <row r="3575" spans="23:23" ht="26.4">
      <c r="W3575" s="64" ph="1"/>
    </row>
    <row r="3576" spans="23:23" ht="26.4">
      <c r="W3576" s="64" ph="1"/>
    </row>
    <row r="3577" spans="23:23" ht="26.4">
      <c r="W3577" s="64" ph="1"/>
    </row>
    <row r="3578" spans="23:23" ht="26.4">
      <c r="W3578" s="64" ph="1"/>
    </row>
    <row r="3579" spans="23:23" ht="26.4">
      <c r="W3579" s="64" ph="1"/>
    </row>
    <row r="3580" spans="23:23" ht="26.4">
      <c r="W3580" s="64" ph="1"/>
    </row>
    <row r="3581" spans="23:23" ht="26.4">
      <c r="W3581" s="64" ph="1"/>
    </row>
    <row r="3582" spans="23:23" ht="26.4">
      <c r="W3582" s="64" ph="1"/>
    </row>
    <row r="3583" spans="23:23" ht="26.4">
      <c r="W3583" s="64" ph="1"/>
    </row>
    <row r="3584" spans="23:23" ht="26.4">
      <c r="W3584" s="64" ph="1"/>
    </row>
    <row r="3585" spans="23:23" ht="26.4">
      <c r="W3585" s="64" ph="1"/>
    </row>
    <row r="3586" spans="23:23" ht="26.4">
      <c r="W3586" s="64" ph="1"/>
    </row>
    <row r="3587" spans="23:23" ht="26.4">
      <c r="W3587" s="64" ph="1"/>
    </row>
    <row r="3588" spans="23:23" ht="26.4">
      <c r="W3588" s="64" ph="1"/>
    </row>
    <row r="3589" spans="23:23" ht="26.4">
      <c r="W3589" s="64" ph="1"/>
    </row>
    <row r="3590" spans="23:23" ht="26.4">
      <c r="W3590" s="64" ph="1"/>
    </row>
    <row r="3591" spans="23:23" ht="26.4">
      <c r="W3591" s="64" ph="1"/>
    </row>
    <row r="3592" spans="23:23" ht="26.4">
      <c r="W3592" s="64" ph="1"/>
    </row>
    <row r="3593" spans="23:23" ht="26.4">
      <c r="W3593" s="64" ph="1"/>
    </row>
    <row r="3594" spans="23:23" ht="26.4">
      <c r="W3594" s="64" ph="1"/>
    </row>
    <row r="3595" spans="23:23" ht="26.4">
      <c r="W3595" s="64" ph="1"/>
    </row>
    <row r="3596" spans="23:23" ht="26.4">
      <c r="W3596" s="64" ph="1"/>
    </row>
    <row r="3597" spans="23:23" ht="26.4">
      <c r="W3597" s="64" ph="1"/>
    </row>
    <row r="3598" spans="23:23" ht="26.4">
      <c r="W3598" s="64" ph="1"/>
    </row>
    <row r="3599" spans="23:23" ht="26.4">
      <c r="W3599" s="64" ph="1"/>
    </row>
    <row r="3600" spans="23:23" ht="26.4">
      <c r="W3600" s="64" ph="1"/>
    </row>
    <row r="3601" spans="23:23" ht="26.4">
      <c r="W3601" s="64" ph="1"/>
    </row>
    <row r="3602" spans="23:23" ht="26.4">
      <c r="W3602" s="64" ph="1"/>
    </row>
    <row r="3603" spans="23:23" ht="26.4">
      <c r="W3603" s="64" ph="1"/>
    </row>
    <row r="3604" spans="23:23" ht="26.4">
      <c r="W3604" s="64" ph="1"/>
    </row>
    <row r="3605" spans="23:23" ht="26.4">
      <c r="W3605" s="64" ph="1"/>
    </row>
    <row r="3606" spans="23:23" ht="26.4">
      <c r="W3606" s="64" ph="1"/>
    </row>
    <row r="3607" spans="23:23" ht="26.4">
      <c r="W3607" s="64" ph="1"/>
    </row>
    <row r="3608" spans="23:23" ht="26.4">
      <c r="W3608" s="64" ph="1"/>
    </row>
    <row r="3609" spans="23:23" ht="26.4">
      <c r="W3609" s="64" ph="1"/>
    </row>
    <row r="3610" spans="23:23" ht="26.4">
      <c r="W3610" s="64" ph="1"/>
    </row>
    <row r="3611" spans="23:23" ht="26.4">
      <c r="W3611" s="64" ph="1"/>
    </row>
    <row r="3612" spans="23:23" ht="26.4">
      <c r="W3612" s="64" ph="1"/>
    </row>
    <row r="3613" spans="23:23" ht="26.4">
      <c r="W3613" s="64" ph="1"/>
    </row>
    <row r="3614" spans="23:23" ht="26.4">
      <c r="W3614" s="64" ph="1"/>
    </row>
    <row r="3615" spans="23:23" ht="26.4">
      <c r="W3615" s="64" ph="1"/>
    </row>
    <row r="3616" spans="23:23" ht="26.4">
      <c r="W3616" s="64" ph="1"/>
    </row>
    <row r="3617" spans="23:23" ht="26.4">
      <c r="W3617" s="64" ph="1"/>
    </row>
    <row r="3618" spans="23:23" ht="26.4">
      <c r="W3618" s="64" ph="1"/>
    </row>
    <row r="3619" spans="23:23" ht="26.4">
      <c r="W3619" s="64" ph="1"/>
    </row>
    <row r="3620" spans="23:23" ht="26.4">
      <c r="W3620" s="64" ph="1"/>
    </row>
    <row r="3621" spans="23:23" ht="26.4">
      <c r="W3621" s="64" ph="1"/>
    </row>
    <row r="3622" spans="23:23" ht="26.4">
      <c r="W3622" s="64" ph="1"/>
    </row>
    <row r="3623" spans="23:23" ht="26.4">
      <c r="W3623" s="64" ph="1"/>
    </row>
    <row r="3624" spans="23:23" ht="26.4">
      <c r="W3624" s="64" ph="1"/>
    </row>
    <row r="3625" spans="23:23" ht="26.4">
      <c r="W3625" s="64" ph="1"/>
    </row>
    <row r="3626" spans="23:23" ht="26.4">
      <c r="W3626" s="64" ph="1"/>
    </row>
    <row r="3627" spans="23:23" ht="26.4">
      <c r="W3627" s="64" ph="1"/>
    </row>
    <row r="3628" spans="23:23" ht="26.4">
      <c r="W3628" s="64" ph="1"/>
    </row>
    <row r="3629" spans="23:23" ht="26.4">
      <c r="W3629" s="64" ph="1"/>
    </row>
    <row r="3630" spans="23:23" ht="26.4">
      <c r="W3630" s="64" ph="1"/>
    </row>
    <row r="3631" spans="23:23" ht="26.4">
      <c r="W3631" s="64" ph="1"/>
    </row>
    <row r="3632" spans="23:23" ht="26.4">
      <c r="W3632" s="64" ph="1"/>
    </row>
    <row r="3633" spans="23:23" ht="26.4">
      <c r="W3633" s="64" ph="1"/>
    </row>
    <row r="3634" spans="23:23" ht="26.4">
      <c r="W3634" s="64" ph="1"/>
    </row>
    <row r="3635" spans="23:23" ht="26.4">
      <c r="W3635" s="64" ph="1"/>
    </row>
    <row r="3636" spans="23:23" ht="26.4">
      <c r="W3636" s="64" ph="1"/>
    </row>
    <row r="3637" spans="23:23" ht="26.4">
      <c r="W3637" s="64" ph="1"/>
    </row>
    <row r="3638" spans="23:23" ht="26.4">
      <c r="W3638" s="64" ph="1"/>
    </row>
    <row r="3639" spans="23:23" ht="26.4">
      <c r="W3639" s="64" ph="1"/>
    </row>
    <row r="3640" spans="23:23" ht="26.4">
      <c r="W3640" s="64" ph="1"/>
    </row>
    <row r="3641" spans="23:23" ht="26.4">
      <c r="W3641" s="64" ph="1"/>
    </row>
    <row r="3642" spans="23:23" ht="26.4">
      <c r="W3642" s="64" ph="1"/>
    </row>
    <row r="3643" spans="23:23" ht="26.4">
      <c r="W3643" s="64" ph="1"/>
    </row>
    <row r="3644" spans="23:23" ht="26.4">
      <c r="W3644" s="64" ph="1"/>
    </row>
    <row r="3645" spans="23:23" ht="26.4">
      <c r="W3645" s="64" ph="1"/>
    </row>
    <row r="3646" spans="23:23" ht="26.4">
      <c r="W3646" s="64" ph="1"/>
    </row>
    <row r="3647" spans="23:23" ht="26.4">
      <c r="W3647" s="64" ph="1"/>
    </row>
    <row r="3648" spans="23:23" ht="26.4">
      <c r="W3648" s="64" ph="1"/>
    </row>
    <row r="3649" spans="23:23" ht="26.4">
      <c r="W3649" s="64" ph="1"/>
    </row>
    <row r="3650" spans="23:23" ht="26.4">
      <c r="W3650" s="64" ph="1"/>
    </row>
    <row r="3651" spans="23:23" ht="26.4">
      <c r="W3651" s="64" ph="1"/>
    </row>
    <row r="3652" spans="23:23" ht="26.4">
      <c r="W3652" s="64" ph="1"/>
    </row>
    <row r="3653" spans="23:23" ht="26.4">
      <c r="W3653" s="64" ph="1"/>
    </row>
    <row r="3654" spans="23:23" ht="26.4">
      <c r="W3654" s="64" ph="1"/>
    </row>
    <row r="3655" spans="23:23" ht="26.4">
      <c r="W3655" s="64" ph="1"/>
    </row>
    <row r="3656" spans="23:23" ht="26.4">
      <c r="W3656" s="64" ph="1"/>
    </row>
    <row r="3657" spans="23:23" ht="26.4">
      <c r="W3657" s="64" ph="1"/>
    </row>
    <row r="3658" spans="23:23" ht="26.4">
      <c r="W3658" s="64" ph="1"/>
    </row>
    <row r="3659" spans="23:23" ht="26.4">
      <c r="W3659" s="64" ph="1"/>
    </row>
    <row r="3660" spans="23:23" ht="26.4">
      <c r="W3660" s="64" ph="1"/>
    </row>
    <row r="3661" spans="23:23" ht="26.4">
      <c r="W3661" s="64" ph="1"/>
    </row>
    <row r="3662" spans="23:23" ht="26.4">
      <c r="W3662" s="64" ph="1"/>
    </row>
    <row r="3663" spans="23:23" ht="26.4">
      <c r="W3663" s="64" ph="1"/>
    </row>
    <row r="3664" spans="23:23" ht="26.4">
      <c r="W3664" s="64" ph="1"/>
    </row>
    <row r="3665" spans="23:23" ht="26.4">
      <c r="W3665" s="64" ph="1"/>
    </row>
    <row r="3666" spans="23:23" ht="26.4">
      <c r="W3666" s="64" ph="1"/>
    </row>
    <row r="3667" spans="23:23" ht="26.4">
      <c r="W3667" s="64" ph="1"/>
    </row>
    <row r="3668" spans="23:23" ht="26.4">
      <c r="W3668" s="64" ph="1"/>
    </row>
    <row r="3669" spans="23:23" ht="26.4">
      <c r="W3669" s="64" ph="1"/>
    </row>
    <row r="3670" spans="23:23" ht="26.4">
      <c r="W3670" s="64" ph="1"/>
    </row>
    <row r="3671" spans="23:23" ht="26.4">
      <c r="W3671" s="64" ph="1"/>
    </row>
    <row r="3672" spans="23:23" ht="26.4">
      <c r="W3672" s="64" ph="1"/>
    </row>
    <row r="3673" spans="23:23" ht="26.4">
      <c r="W3673" s="64" ph="1"/>
    </row>
    <row r="3674" spans="23:23" ht="26.4">
      <c r="W3674" s="64" ph="1"/>
    </row>
    <row r="3675" spans="23:23" ht="26.4">
      <c r="W3675" s="64" ph="1"/>
    </row>
    <row r="3676" spans="23:23" ht="26.4">
      <c r="W3676" s="64" ph="1"/>
    </row>
    <row r="3677" spans="23:23" ht="26.4">
      <c r="W3677" s="64" ph="1"/>
    </row>
    <row r="3678" spans="23:23" ht="26.4">
      <c r="W3678" s="64" ph="1"/>
    </row>
    <row r="3679" spans="23:23" ht="26.4">
      <c r="W3679" s="64" ph="1"/>
    </row>
    <row r="3680" spans="23:23" ht="26.4">
      <c r="W3680" s="64" ph="1"/>
    </row>
    <row r="3681" spans="23:23" ht="26.4">
      <c r="W3681" s="64" ph="1"/>
    </row>
    <row r="3682" spans="23:23" ht="26.4">
      <c r="W3682" s="64" ph="1"/>
    </row>
    <row r="3683" spans="23:23" ht="26.4">
      <c r="W3683" s="64" ph="1"/>
    </row>
    <row r="3684" spans="23:23" ht="26.4">
      <c r="W3684" s="64" ph="1"/>
    </row>
    <row r="3685" spans="23:23" ht="26.4">
      <c r="W3685" s="64" ph="1"/>
    </row>
    <row r="3686" spans="23:23" ht="26.4">
      <c r="W3686" s="64" ph="1"/>
    </row>
    <row r="3687" spans="23:23" ht="26.4">
      <c r="W3687" s="64" ph="1"/>
    </row>
    <row r="3688" spans="23:23" ht="26.4">
      <c r="W3688" s="64" ph="1"/>
    </row>
    <row r="3689" spans="23:23" ht="26.4">
      <c r="W3689" s="64" ph="1"/>
    </row>
    <row r="3690" spans="23:23" ht="26.4">
      <c r="W3690" s="64" ph="1"/>
    </row>
    <row r="3691" spans="23:23" ht="26.4">
      <c r="W3691" s="64" ph="1"/>
    </row>
    <row r="3692" spans="23:23" ht="26.4">
      <c r="W3692" s="64" ph="1"/>
    </row>
    <row r="3693" spans="23:23" ht="26.4">
      <c r="W3693" s="64" ph="1"/>
    </row>
    <row r="3694" spans="23:23" ht="26.4">
      <c r="W3694" s="64" ph="1"/>
    </row>
    <row r="3695" spans="23:23" ht="26.4">
      <c r="W3695" s="64" ph="1"/>
    </row>
    <row r="3696" spans="23:23" ht="26.4">
      <c r="W3696" s="64" ph="1"/>
    </row>
    <row r="3697" spans="23:23" ht="26.4">
      <c r="W3697" s="64" ph="1"/>
    </row>
    <row r="3698" spans="23:23" ht="26.4">
      <c r="W3698" s="64" ph="1"/>
    </row>
    <row r="3699" spans="23:23" ht="26.4">
      <c r="W3699" s="64" ph="1"/>
    </row>
    <row r="3700" spans="23:23" ht="26.4">
      <c r="W3700" s="64" ph="1"/>
    </row>
    <row r="3701" spans="23:23" ht="26.4">
      <c r="W3701" s="64" ph="1"/>
    </row>
    <row r="3702" spans="23:23" ht="26.4">
      <c r="W3702" s="64" ph="1"/>
    </row>
    <row r="3703" spans="23:23" ht="26.4">
      <c r="W3703" s="64" ph="1"/>
    </row>
    <row r="3704" spans="23:23" ht="26.4">
      <c r="W3704" s="64" ph="1"/>
    </row>
    <row r="3705" spans="23:23" ht="26.4">
      <c r="W3705" s="64" ph="1"/>
    </row>
    <row r="3706" spans="23:23" ht="26.4">
      <c r="W3706" s="64" ph="1"/>
    </row>
    <row r="3707" spans="23:23" ht="26.4">
      <c r="W3707" s="64" ph="1"/>
    </row>
    <row r="3708" spans="23:23" ht="26.4">
      <c r="W3708" s="64" ph="1"/>
    </row>
    <row r="3709" spans="23:23" ht="26.4">
      <c r="W3709" s="64" ph="1"/>
    </row>
    <row r="3710" spans="23:23" ht="26.4">
      <c r="W3710" s="64" ph="1"/>
    </row>
    <row r="3711" spans="23:23" ht="26.4">
      <c r="W3711" s="64" ph="1"/>
    </row>
    <row r="3712" spans="23:23" ht="26.4">
      <c r="W3712" s="64" ph="1"/>
    </row>
    <row r="3713" spans="23:23" ht="26.4">
      <c r="W3713" s="64" ph="1"/>
    </row>
    <row r="3714" spans="23:23" ht="26.4">
      <c r="W3714" s="64" ph="1"/>
    </row>
    <row r="3715" spans="23:23" ht="26.4">
      <c r="W3715" s="64" ph="1"/>
    </row>
    <row r="3716" spans="23:23" ht="26.4">
      <c r="W3716" s="64" ph="1"/>
    </row>
    <row r="3717" spans="23:23" ht="26.4">
      <c r="W3717" s="64" ph="1"/>
    </row>
    <row r="3718" spans="23:23" ht="26.4">
      <c r="W3718" s="64" ph="1"/>
    </row>
    <row r="3719" spans="23:23" ht="26.4">
      <c r="W3719" s="64" ph="1"/>
    </row>
    <row r="3720" spans="23:23" ht="26.4">
      <c r="W3720" s="64" ph="1"/>
    </row>
    <row r="3721" spans="23:23" ht="26.4">
      <c r="W3721" s="64" ph="1"/>
    </row>
    <row r="3722" spans="23:23" ht="26.4">
      <c r="W3722" s="64" ph="1"/>
    </row>
    <row r="3723" spans="23:23" ht="26.4">
      <c r="W3723" s="64" ph="1"/>
    </row>
    <row r="3724" spans="23:23" ht="26.4">
      <c r="W3724" s="64" ph="1"/>
    </row>
    <row r="3725" spans="23:23" ht="26.4">
      <c r="W3725" s="64" ph="1"/>
    </row>
    <row r="3726" spans="23:23" ht="26.4">
      <c r="W3726" s="64" ph="1"/>
    </row>
    <row r="3727" spans="23:23" ht="26.4">
      <c r="W3727" s="64" ph="1"/>
    </row>
    <row r="3728" spans="23:23" ht="26.4">
      <c r="W3728" s="64" ph="1"/>
    </row>
    <row r="3729" spans="23:23" ht="26.4">
      <c r="W3729" s="64" ph="1"/>
    </row>
    <row r="3730" spans="23:23" ht="26.4">
      <c r="W3730" s="64" ph="1"/>
    </row>
    <row r="3731" spans="23:23" ht="26.4">
      <c r="W3731" s="64" ph="1"/>
    </row>
    <row r="3732" spans="23:23" ht="26.4">
      <c r="W3732" s="64" ph="1"/>
    </row>
    <row r="3733" spans="23:23" ht="26.4">
      <c r="W3733" s="64" ph="1"/>
    </row>
    <row r="3734" spans="23:23" ht="26.4">
      <c r="W3734" s="64" ph="1"/>
    </row>
    <row r="3735" spans="23:23" ht="26.4">
      <c r="W3735" s="64" ph="1"/>
    </row>
    <row r="3736" spans="23:23" ht="26.4">
      <c r="W3736" s="64" ph="1"/>
    </row>
    <row r="3737" spans="23:23" ht="26.4">
      <c r="W3737" s="64" ph="1"/>
    </row>
    <row r="3738" spans="23:23" ht="26.4">
      <c r="W3738" s="64" ph="1"/>
    </row>
    <row r="3739" spans="23:23" ht="26.4">
      <c r="W3739" s="64" ph="1"/>
    </row>
    <row r="3740" spans="23:23" ht="26.4">
      <c r="W3740" s="64" ph="1"/>
    </row>
    <row r="3741" spans="23:23" ht="26.4">
      <c r="W3741" s="64" ph="1"/>
    </row>
    <row r="3742" spans="23:23" ht="26.4">
      <c r="W3742" s="64" ph="1"/>
    </row>
    <row r="3743" spans="23:23" ht="26.4">
      <c r="W3743" s="64" ph="1"/>
    </row>
    <row r="3744" spans="23:23" ht="26.4">
      <c r="W3744" s="64" ph="1"/>
    </row>
    <row r="3745" spans="23:23" ht="26.4">
      <c r="W3745" s="64" ph="1"/>
    </row>
    <row r="3746" spans="23:23" ht="26.4">
      <c r="W3746" s="64" ph="1"/>
    </row>
    <row r="3747" spans="23:23" ht="26.4">
      <c r="W3747" s="64" ph="1"/>
    </row>
    <row r="3748" spans="23:23" ht="26.4">
      <c r="W3748" s="64" ph="1"/>
    </row>
    <row r="3749" spans="23:23" ht="26.4">
      <c r="W3749" s="64" ph="1"/>
    </row>
    <row r="3750" spans="23:23" ht="26.4">
      <c r="W3750" s="64" ph="1"/>
    </row>
    <row r="3751" spans="23:23" ht="26.4">
      <c r="W3751" s="64" ph="1"/>
    </row>
    <row r="3752" spans="23:23" ht="26.4">
      <c r="W3752" s="64" ph="1"/>
    </row>
    <row r="3753" spans="23:23" ht="26.4">
      <c r="W3753" s="64" ph="1"/>
    </row>
    <row r="3754" spans="23:23" ht="26.4">
      <c r="W3754" s="64" ph="1"/>
    </row>
    <row r="3755" spans="23:23" ht="26.4">
      <c r="W3755" s="64" ph="1"/>
    </row>
    <row r="3756" spans="23:23" ht="26.4">
      <c r="W3756" s="64" ph="1"/>
    </row>
    <row r="3757" spans="23:23" ht="26.4">
      <c r="W3757" s="64" ph="1"/>
    </row>
    <row r="3758" spans="23:23" ht="26.4">
      <c r="W3758" s="64" ph="1"/>
    </row>
    <row r="3759" spans="23:23" ht="26.4">
      <c r="W3759" s="64" ph="1"/>
    </row>
    <row r="3760" spans="23:23" ht="26.4">
      <c r="W3760" s="64" ph="1"/>
    </row>
    <row r="3761" spans="23:23" ht="26.4">
      <c r="W3761" s="64" ph="1"/>
    </row>
    <row r="3762" spans="23:23" ht="26.4">
      <c r="W3762" s="64" ph="1"/>
    </row>
    <row r="3763" spans="23:23" ht="26.4">
      <c r="W3763" s="64" ph="1"/>
    </row>
    <row r="3764" spans="23:23" ht="26.4">
      <c r="W3764" s="64" ph="1"/>
    </row>
    <row r="3765" spans="23:23" ht="26.4">
      <c r="W3765" s="64" ph="1"/>
    </row>
    <row r="3766" spans="23:23" ht="26.4">
      <c r="W3766" s="64" ph="1"/>
    </row>
    <row r="3767" spans="23:23" ht="26.4">
      <c r="W3767" s="64" ph="1"/>
    </row>
    <row r="3768" spans="23:23" ht="26.4">
      <c r="W3768" s="64" ph="1"/>
    </row>
    <row r="3769" spans="23:23" ht="26.4">
      <c r="W3769" s="64" ph="1"/>
    </row>
    <row r="3770" spans="23:23" ht="26.4">
      <c r="W3770" s="64" ph="1"/>
    </row>
    <row r="3771" spans="23:23" ht="26.4">
      <c r="W3771" s="64" ph="1"/>
    </row>
    <row r="3772" spans="23:23" ht="26.4">
      <c r="W3772" s="64" ph="1"/>
    </row>
    <row r="3773" spans="23:23" ht="26.4">
      <c r="W3773" s="64" ph="1"/>
    </row>
    <row r="3774" spans="23:23" ht="26.4">
      <c r="W3774" s="64" ph="1"/>
    </row>
    <row r="3775" spans="23:23" ht="26.4">
      <c r="W3775" s="64" ph="1"/>
    </row>
    <row r="3776" spans="23:23" ht="26.4">
      <c r="W3776" s="64" ph="1"/>
    </row>
    <row r="3777" spans="23:23" ht="26.4">
      <c r="W3777" s="64" ph="1"/>
    </row>
    <row r="3778" spans="23:23" ht="26.4">
      <c r="W3778" s="64" ph="1"/>
    </row>
    <row r="3779" spans="23:23" ht="26.4">
      <c r="W3779" s="64" ph="1"/>
    </row>
    <row r="3780" spans="23:23" ht="26.4">
      <c r="W3780" s="64" ph="1"/>
    </row>
    <row r="3781" spans="23:23" ht="26.4">
      <c r="W3781" s="64" ph="1"/>
    </row>
    <row r="3782" spans="23:23" ht="26.4">
      <c r="W3782" s="64" ph="1"/>
    </row>
    <row r="3783" spans="23:23" ht="26.4">
      <c r="W3783" s="64" ph="1"/>
    </row>
    <row r="3784" spans="23:23" ht="26.4">
      <c r="W3784" s="64" ph="1"/>
    </row>
    <row r="3785" spans="23:23" ht="26.4">
      <c r="W3785" s="64" ph="1"/>
    </row>
    <row r="3786" spans="23:23" ht="26.4">
      <c r="W3786" s="64" ph="1"/>
    </row>
    <row r="3787" spans="23:23" ht="26.4">
      <c r="W3787" s="64" ph="1"/>
    </row>
    <row r="3788" spans="23:23" ht="26.4">
      <c r="W3788" s="64" ph="1"/>
    </row>
    <row r="3789" spans="23:23" ht="26.4">
      <c r="W3789" s="64" ph="1"/>
    </row>
    <row r="3790" spans="23:23" ht="26.4">
      <c r="W3790" s="64" ph="1"/>
    </row>
    <row r="3791" spans="23:23" ht="26.4">
      <c r="W3791" s="64" ph="1"/>
    </row>
    <row r="3792" spans="23:23" ht="26.4">
      <c r="W3792" s="64" ph="1"/>
    </row>
    <row r="3793" spans="23:23" ht="26.4">
      <c r="W3793" s="64" ph="1"/>
    </row>
    <row r="3794" spans="23:23" ht="26.4">
      <c r="W3794" s="64" ph="1"/>
    </row>
    <row r="3795" spans="23:23" ht="26.4">
      <c r="W3795" s="64" ph="1"/>
    </row>
    <row r="3796" spans="23:23" ht="26.4">
      <c r="W3796" s="64" ph="1"/>
    </row>
    <row r="3797" spans="23:23" ht="26.4">
      <c r="W3797" s="64" ph="1"/>
    </row>
    <row r="3798" spans="23:23" ht="26.4">
      <c r="W3798" s="64" ph="1"/>
    </row>
    <row r="3799" spans="23:23" ht="26.4">
      <c r="W3799" s="64" ph="1"/>
    </row>
    <row r="3800" spans="23:23" ht="26.4">
      <c r="W3800" s="64" ph="1"/>
    </row>
    <row r="3801" spans="23:23" ht="26.4">
      <c r="W3801" s="64" ph="1"/>
    </row>
    <row r="3802" spans="23:23" ht="26.4">
      <c r="W3802" s="64" ph="1"/>
    </row>
    <row r="3803" spans="23:23" ht="26.4">
      <c r="W3803" s="64" ph="1"/>
    </row>
    <row r="3804" spans="23:23" ht="26.4">
      <c r="W3804" s="64" ph="1"/>
    </row>
    <row r="3805" spans="23:23" ht="26.4">
      <c r="W3805" s="64" ph="1"/>
    </row>
    <row r="3806" spans="23:23" ht="26.4">
      <c r="W3806" s="64" ph="1"/>
    </row>
    <row r="3807" spans="23:23" ht="26.4">
      <c r="W3807" s="64" ph="1"/>
    </row>
    <row r="3808" spans="23:23" ht="26.4">
      <c r="W3808" s="64" ph="1"/>
    </row>
    <row r="3809" spans="23:23" ht="26.4">
      <c r="W3809" s="64" ph="1"/>
    </row>
    <row r="3810" spans="23:23" ht="26.4">
      <c r="W3810" s="64" ph="1"/>
    </row>
    <row r="3811" spans="23:23" ht="26.4">
      <c r="W3811" s="64" ph="1"/>
    </row>
    <row r="3812" spans="23:23" ht="26.4">
      <c r="W3812" s="64" ph="1"/>
    </row>
    <row r="3813" spans="23:23" ht="26.4">
      <c r="W3813" s="64" ph="1"/>
    </row>
    <row r="3814" spans="23:23" ht="26.4">
      <c r="W3814" s="64" ph="1"/>
    </row>
    <row r="3815" spans="23:23" ht="26.4">
      <c r="W3815" s="64" ph="1"/>
    </row>
    <row r="3816" spans="23:23" ht="26.4">
      <c r="W3816" s="64" ph="1"/>
    </row>
    <row r="3817" spans="23:23" ht="26.4">
      <c r="W3817" s="64" ph="1"/>
    </row>
    <row r="3818" spans="23:23" ht="26.4">
      <c r="W3818" s="64" ph="1"/>
    </row>
    <row r="3819" spans="23:23" ht="26.4">
      <c r="W3819" s="64" ph="1"/>
    </row>
    <row r="3820" spans="23:23" ht="26.4">
      <c r="W3820" s="64" ph="1"/>
    </row>
    <row r="3821" spans="23:23" ht="26.4">
      <c r="W3821" s="64" ph="1"/>
    </row>
    <row r="3822" spans="23:23" ht="26.4">
      <c r="W3822" s="64" ph="1"/>
    </row>
    <row r="3823" spans="23:23" ht="26.4">
      <c r="W3823" s="64" ph="1"/>
    </row>
    <row r="3824" spans="23:23" ht="26.4">
      <c r="W3824" s="64" ph="1"/>
    </row>
    <row r="3825" spans="23:23" ht="26.4">
      <c r="W3825" s="64" ph="1"/>
    </row>
    <row r="3826" spans="23:23" ht="26.4">
      <c r="W3826" s="64" ph="1"/>
    </row>
    <row r="3827" spans="23:23" ht="26.4">
      <c r="W3827" s="64" ph="1"/>
    </row>
    <row r="3828" spans="23:23" ht="26.4">
      <c r="W3828" s="64" ph="1"/>
    </row>
    <row r="3829" spans="23:23" ht="26.4">
      <c r="W3829" s="64" ph="1"/>
    </row>
    <row r="3830" spans="23:23" ht="26.4">
      <c r="W3830" s="64" ph="1"/>
    </row>
    <row r="3831" spans="23:23" ht="26.4">
      <c r="W3831" s="64" ph="1"/>
    </row>
    <row r="3832" spans="23:23" ht="26.4">
      <c r="W3832" s="64" ph="1"/>
    </row>
    <row r="3833" spans="23:23" ht="26.4">
      <c r="W3833" s="64" ph="1"/>
    </row>
    <row r="3834" spans="23:23" ht="26.4">
      <c r="W3834" s="64" ph="1"/>
    </row>
    <row r="3835" spans="23:23" ht="26.4">
      <c r="W3835" s="64" ph="1"/>
    </row>
    <row r="3836" spans="23:23" ht="26.4">
      <c r="W3836" s="64" ph="1"/>
    </row>
    <row r="3837" spans="23:23" ht="26.4">
      <c r="W3837" s="64" ph="1"/>
    </row>
    <row r="3838" spans="23:23" ht="26.4">
      <c r="W3838" s="64" ph="1"/>
    </row>
    <row r="3839" spans="23:23" ht="26.4">
      <c r="W3839" s="64" ph="1"/>
    </row>
    <row r="3840" spans="23:23" ht="26.4">
      <c r="W3840" s="64" ph="1"/>
    </row>
    <row r="3841" spans="23:23" ht="26.4">
      <c r="W3841" s="64" ph="1"/>
    </row>
    <row r="3842" spans="23:23" ht="26.4">
      <c r="W3842" s="64" ph="1"/>
    </row>
    <row r="3843" spans="23:23" ht="26.4">
      <c r="W3843" s="64" ph="1"/>
    </row>
    <row r="3844" spans="23:23" ht="26.4">
      <c r="W3844" s="64" ph="1"/>
    </row>
    <row r="3845" spans="23:23" ht="26.4">
      <c r="W3845" s="64" ph="1"/>
    </row>
    <row r="3846" spans="23:23" ht="26.4">
      <c r="W3846" s="64" ph="1"/>
    </row>
    <row r="3847" spans="23:23" ht="26.4">
      <c r="W3847" s="64" ph="1"/>
    </row>
    <row r="3848" spans="23:23" ht="26.4">
      <c r="W3848" s="64" ph="1"/>
    </row>
    <row r="3849" spans="23:23" ht="26.4">
      <c r="W3849" s="64" ph="1"/>
    </row>
    <row r="3850" spans="23:23" ht="26.4">
      <c r="W3850" s="64" ph="1"/>
    </row>
    <row r="3851" spans="23:23" ht="26.4">
      <c r="W3851" s="64" ph="1"/>
    </row>
    <row r="3852" spans="23:23" ht="26.4">
      <c r="W3852" s="64" ph="1"/>
    </row>
    <row r="3853" spans="23:23" ht="26.4">
      <c r="W3853" s="64" ph="1"/>
    </row>
    <row r="3854" spans="23:23" ht="26.4">
      <c r="W3854" s="64" ph="1"/>
    </row>
    <row r="3855" spans="23:23" ht="26.4">
      <c r="W3855" s="64" ph="1"/>
    </row>
    <row r="3856" spans="23:23" ht="26.4">
      <c r="W3856" s="64" ph="1"/>
    </row>
    <row r="3857" spans="23:23" ht="26.4">
      <c r="W3857" s="64" ph="1"/>
    </row>
    <row r="3858" spans="23:23" ht="26.4">
      <c r="W3858" s="64" ph="1"/>
    </row>
    <row r="3859" spans="23:23" ht="26.4">
      <c r="W3859" s="64" ph="1"/>
    </row>
    <row r="3860" spans="23:23" ht="26.4">
      <c r="W3860" s="64" ph="1"/>
    </row>
    <row r="3861" spans="23:23" ht="26.4">
      <c r="W3861" s="64" ph="1"/>
    </row>
    <row r="3862" spans="23:23" ht="26.4">
      <c r="W3862" s="64" ph="1"/>
    </row>
    <row r="3863" spans="23:23" ht="26.4">
      <c r="W3863" s="64" ph="1"/>
    </row>
    <row r="3864" spans="23:23" ht="26.4">
      <c r="W3864" s="64" ph="1"/>
    </row>
    <row r="3865" spans="23:23" ht="26.4">
      <c r="W3865" s="64" ph="1"/>
    </row>
    <row r="3866" spans="23:23" ht="26.4">
      <c r="W3866" s="64" ph="1"/>
    </row>
    <row r="3867" spans="23:23" ht="26.4">
      <c r="W3867" s="64" ph="1"/>
    </row>
    <row r="3868" spans="23:23" ht="26.4">
      <c r="W3868" s="64" ph="1"/>
    </row>
    <row r="3869" spans="23:23" ht="26.4">
      <c r="W3869" s="64" ph="1"/>
    </row>
    <row r="3870" spans="23:23" ht="26.4">
      <c r="W3870" s="64" ph="1"/>
    </row>
    <row r="3871" spans="23:23" ht="26.4">
      <c r="W3871" s="64" ph="1"/>
    </row>
    <row r="3872" spans="23:23" ht="26.4">
      <c r="W3872" s="64" ph="1"/>
    </row>
    <row r="3873" spans="23:23" ht="26.4">
      <c r="W3873" s="64" ph="1"/>
    </row>
    <row r="3874" spans="23:23" ht="26.4">
      <c r="W3874" s="64" ph="1"/>
    </row>
    <row r="3875" spans="23:23" ht="26.4">
      <c r="W3875" s="64" ph="1"/>
    </row>
    <row r="3876" spans="23:23" ht="26.4">
      <c r="W3876" s="64" ph="1"/>
    </row>
    <row r="3877" spans="23:23" ht="26.4">
      <c r="W3877" s="64" ph="1"/>
    </row>
    <row r="3878" spans="23:23" ht="26.4">
      <c r="W3878" s="64" ph="1"/>
    </row>
    <row r="3879" spans="23:23" ht="26.4">
      <c r="W3879" s="64" ph="1"/>
    </row>
    <row r="3880" spans="23:23" ht="26.4">
      <c r="W3880" s="64" ph="1"/>
    </row>
    <row r="3881" spans="23:23" ht="26.4">
      <c r="W3881" s="64" ph="1"/>
    </row>
    <row r="3882" spans="23:23" ht="26.4">
      <c r="W3882" s="64" ph="1"/>
    </row>
    <row r="3883" spans="23:23" ht="26.4">
      <c r="W3883" s="64" ph="1"/>
    </row>
    <row r="3884" spans="23:23" ht="26.4">
      <c r="W3884" s="64" ph="1"/>
    </row>
    <row r="3885" spans="23:23" ht="26.4">
      <c r="W3885" s="64" ph="1"/>
    </row>
    <row r="3886" spans="23:23" ht="26.4">
      <c r="W3886" s="64" ph="1"/>
    </row>
    <row r="3887" spans="23:23" ht="26.4">
      <c r="W3887" s="64" ph="1"/>
    </row>
    <row r="3888" spans="23:23" ht="26.4">
      <c r="W3888" s="64" ph="1"/>
    </row>
    <row r="3889" spans="23:23" ht="26.4">
      <c r="W3889" s="64" ph="1"/>
    </row>
    <row r="3890" spans="23:23" ht="26.4">
      <c r="W3890" s="64" ph="1"/>
    </row>
    <row r="3891" spans="23:23" ht="26.4">
      <c r="W3891" s="64" ph="1"/>
    </row>
    <row r="3892" spans="23:23" ht="26.4">
      <c r="W3892" s="64" ph="1"/>
    </row>
    <row r="3893" spans="23:23" ht="26.4">
      <c r="W3893" s="64" ph="1"/>
    </row>
    <row r="3894" spans="23:23" ht="26.4">
      <c r="W3894" s="64" ph="1"/>
    </row>
    <row r="3895" spans="23:23" ht="26.4">
      <c r="W3895" s="64" ph="1"/>
    </row>
    <row r="3896" spans="23:23" ht="26.4">
      <c r="W3896" s="64" ph="1"/>
    </row>
    <row r="3897" spans="23:23" ht="26.4">
      <c r="W3897" s="64" ph="1"/>
    </row>
    <row r="3898" spans="23:23" ht="26.4">
      <c r="W3898" s="64" ph="1"/>
    </row>
    <row r="3899" spans="23:23" ht="26.4">
      <c r="W3899" s="64" ph="1"/>
    </row>
    <row r="3900" spans="23:23" ht="26.4">
      <c r="W3900" s="64" ph="1"/>
    </row>
    <row r="3901" spans="23:23" ht="26.4">
      <c r="W3901" s="64" ph="1"/>
    </row>
    <row r="3902" spans="23:23" ht="26.4">
      <c r="W3902" s="64" ph="1"/>
    </row>
    <row r="3903" spans="23:23" ht="26.4">
      <c r="W3903" s="64" ph="1"/>
    </row>
    <row r="3904" spans="23:23" ht="26.4">
      <c r="W3904" s="64" ph="1"/>
    </row>
    <row r="3905" spans="23:23" ht="26.4">
      <c r="W3905" s="64" ph="1"/>
    </row>
    <row r="3906" spans="23:23" ht="26.4">
      <c r="W3906" s="64" ph="1"/>
    </row>
    <row r="3907" spans="23:23" ht="26.4">
      <c r="W3907" s="64" ph="1"/>
    </row>
    <row r="3908" spans="23:23" ht="26.4">
      <c r="W3908" s="64" ph="1"/>
    </row>
    <row r="3909" spans="23:23" ht="26.4">
      <c r="W3909" s="64" ph="1"/>
    </row>
    <row r="3910" spans="23:23" ht="26.4">
      <c r="W3910" s="64" ph="1"/>
    </row>
    <row r="3911" spans="23:23" ht="26.4">
      <c r="W3911" s="64" ph="1"/>
    </row>
    <row r="3912" spans="23:23" ht="26.4">
      <c r="W3912" s="64" ph="1"/>
    </row>
    <row r="3913" spans="23:23" ht="26.4">
      <c r="W3913" s="64" ph="1"/>
    </row>
    <row r="3914" spans="23:23" ht="26.4">
      <c r="W3914" s="64" ph="1"/>
    </row>
    <row r="3915" spans="23:23" ht="26.4">
      <c r="W3915" s="64" ph="1"/>
    </row>
    <row r="3916" spans="23:23" ht="26.4">
      <c r="W3916" s="64" ph="1"/>
    </row>
    <row r="3917" spans="23:23" ht="26.4">
      <c r="W3917" s="64" ph="1"/>
    </row>
    <row r="3918" spans="23:23" ht="26.4">
      <c r="W3918" s="64" ph="1"/>
    </row>
    <row r="3919" spans="23:23" ht="26.4">
      <c r="W3919" s="64" ph="1"/>
    </row>
    <row r="3920" spans="23:23" ht="26.4">
      <c r="W3920" s="64" ph="1"/>
    </row>
    <row r="3921" spans="23:23" ht="26.4">
      <c r="W3921" s="64" ph="1"/>
    </row>
    <row r="3922" spans="23:23" ht="26.4">
      <c r="W3922" s="64" ph="1"/>
    </row>
    <row r="3923" spans="23:23" ht="26.4">
      <c r="W3923" s="64" ph="1"/>
    </row>
    <row r="3924" spans="23:23" ht="26.4">
      <c r="W3924" s="64" ph="1"/>
    </row>
    <row r="3925" spans="23:23" ht="26.4">
      <c r="W3925" s="64" ph="1"/>
    </row>
    <row r="3926" spans="23:23" ht="26.4">
      <c r="W3926" s="64" ph="1"/>
    </row>
    <row r="3927" spans="23:23" ht="26.4">
      <c r="W3927" s="64" ph="1"/>
    </row>
    <row r="3928" spans="23:23" ht="26.4">
      <c r="W3928" s="64" ph="1"/>
    </row>
    <row r="3929" spans="23:23" ht="26.4">
      <c r="W3929" s="64" ph="1"/>
    </row>
    <row r="3930" spans="23:23" ht="26.4">
      <c r="W3930" s="64" ph="1"/>
    </row>
    <row r="3931" spans="23:23" ht="26.4">
      <c r="W3931" s="64" ph="1"/>
    </row>
    <row r="3932" spans="23:23" ht="26.4">
      <c r="W3932" s="64" ph="1"/>
    </row>
    <row r="3933" spans="23:23" ht="26.4">
      <c r="W3933" s="64" ph="1"/>
    </row>
    <row r="3934" spans="23:23" ht="26.4">
      <c r="W3934" s="64" ph="1"/>
    </row>
    <row r="3935" spans="23:23" ht="26.4">
      <c r="W3935" s="64" ph="1"/>
    </row>
    <row r="3936" spans="23:23" ht="26.4">
      <c r="W3936" s="64" ph="1"/>
    </row>
    <row r="3937" spans="23:23" ht="26.4">
      <c r="W3937" s="64" ph="1"/>
    </row>
    <row r="3938" spans="23:23" ht="26.4">
      <c r="W3938" s="64" ph="1"/>
    </row>
    <row r="3939" spans="23:23" ht="26.4">
      <c r="W3939" s="64" ph="1"/>
    </row>
    <row r="3940" spans="23:23" ht="26.4">
      <c r="W3940" s="64" ph="1"/>
    </row>
    <row r="3941" spans="23:23" ht="26.4">
      <c r="W3941" s="64" ph="1"/>
    </row>
    <row r="3942" spans="23:23" ht="26.4">
      <c r="W3942" s="64" ph="1"/>
    </row>
    <row r="3943" spans="23:23" ht="26.4">
      <c r="W3943" s="64" ph="1"/>
    </row>
    <row r="3944" spans="23:23" ht="26.4">
      <c r="W3944" s="64" ph="1"/>
    </row>
    <row r="3945" spans="23:23" ht="26.4">
      <c r="W3945" s="64" ph="1"/>
    </row>
    <row r="3946" spans="23:23" ht="26.4">
      <c r="W3946" s="64" ph="1"/>
    </row>
    <row r="3947" spans="23:23" ht="26.4">
      <c r="W3947" s="64" ph="1"/>
    </row>
    <row r="3948" spans="23:23" ht="26.4">
      <c r="W3948" s="64" ph="1"/>
    </row>
    <row r="3949" spans="23:23" ht="26.4">
      <c r="W3949" s="64" ph="1"/>
    </row>
    <row r="3950" spans="23:23" ht="26.4">
      <c r="W3950" s="64" ph="1"/>
    </row>
    <row r="3951" spans="23:23" ht="26.4">
      <c r="W3951" s="64" ph="1"/>
    </row>
    <row r="3952" spans="23:23" ht="26.4">
      <c r="W3952" s="64" ph="1"/>
    </row>
    <row r="3953" spans="23:23" ht="26.4">
      <c r="W3953" s="64" ph="1"/>
    </row>
    <row r="3954" spans="23:23" ht="26.4">
      <c r="W3954" s="64" ph="1"/>
    </row>
    <row r="3955" spans="23:23" ht="26.4">
      <c r="W3955" s="64" ph="1"/>
    </row>
    <row r="3956" spans="23:23" ht="26.4">
      <c r="W3956" s="64" ph="1"/>
    </row>
    <row r="3957" spans="23:23" ht="26.4">
      <c r="W3957" s="64" ph="1"/>
    </row>
    <row r="3958" spans="23:23" ht="26.4">
      <c r="W3958" s="64" ph="1"/>
    </row>
    <row r="3959" spans="23:23" ht="26.4">
      <c r="W3959" s="64" ph="1"/>
    </row>
    <row r="3960" spans="23:23" ht="26.4">
      <c r="W3960" s="64" ph="1"/>
    </row>
    <row r="3961" spans="23:23" ht="26.4">
      <c r="W3961" s="64" ph="1"/>
    </row>
    <row r="3962" spans="23:23" ht="26.4">
      <c r="W3962" s="64" ph="1"/>
    </row>
    <row r="3963" spans="23:23" ht="26.4">
      <c r="W3963" s="64" ph="1"/>
    </row>
    <row r="3964" spans="23:23" ht="26.4">
      <c r="W3964" s="64" ph="1"/>
    </row>
    <row r="3965" spans="23:23" ht="26.4">
      <c r="W3965" s="64" ph="1"/>
    </row>
    <row r="3966" spans="23:23" ht="26.4">
      <c r="W3966" s="64" ph="1"/>
    </row>
    <row r="3967" spans="23:23" ht="26.4">
      <c r="W3967" s="64" ph="1"/>
    </row>
    <row r="3968" spans="23:23" ht="26.4">
      <c r="W3968" s="64" ph="1"/>
    </row>
    <row r="3969" spans="23:23" ht="26.4">
      <c r="W3969" s="64" ph="1"/>
    </row>
    <row r="3970" spans="23:23" ht="26.4">
      <c r="W3970" s="64" ph="1"/>
    </row>
    <row r="3971" spans="23:23" ht="26.4">
      <c r="W3971" s="64" ph="1"/>
    </row>
    <row r="3972" spans="23:23" ht="26.4">
      <c r="W3972" s="64" ph="1"/>
    </row>
    <row r="3973" spans="23:23" ht="26.4">
      <c r="W3973" s="64" ph="1"/>
    </row>
    <row r="3974" spans="23:23" ht="26.4">
      <c r="W3974" s="64" ph="1"/>
    </row>
    <row r="3975" spans="23:23" ht="26.4">
      <c r="W3975" s="64" ph="1"/>
    </row>
    <row r="3976" spans="23:23" ht="26.4">
      <c r="W3976" s="64" ph="1"/>
    </row>
    <row r="3977" spans="23:23" ht="26.4">
      <c r="W3977" s="64" ph="1"/>
    </row>
    <row r="3978" spans="23:23" ht="26.4">
      <c r="W3978" s="64" ph="1"/>
    </row>
    <row r="3979" spans="23:23" ht="26.4">
      <c r="W3979" s="64" ph="1"/>
    </row>
    <row r="3980" spans="23:23" ht="26.4">
      <c r="W3980" s="64" ph="1"/>
    </row>
    <row r="3981" spans="23:23" ht="26.4">
      <c r="W3981" s="64" ph="1"/>
    </row>
    <row r="3982" spans="23:23" ht="26.4">
      <c r="W3982" s="64" ph="1"/>
    </row>
    <row r="3983" spans="23:23" ht="26.4">
      <c r="W3983" s="64" ph="1"/>
    </row>
    <row r="3984" spans="23:23" ht="26.4">
      <c r="W3984" s="64" ph="1"/>
    </row>
    <row r="3985" spans="23:23" ht="26.4">
      <c r="W3985" s="64" ph="1"/>
    </row>
    <row r="3986" spans="23:23" ht="26.4">
      <c r="W3986" s="64" ph="1"/>
    </row>
    <row r="3987" spans="23:23" ht="26.4">
      <c r="W3987" s="64" ph="1"/>
    </row>
    <row r="3988" spans="23:23" ht="26.4">
      <c r="W3988" s="64" ph="1"/>
    </row>
    <row r="3989" spans="23:23" ht="26.4">
      <c r="W3989" s="64" ph="1"/>
    </row>
    <row r="3990" spans="23:23" ht="26.4">
      <c r="W3990" s="64" ph="1"/>
    </row>
    <row r="3991" spans="23:23" ht="26.4">
      <c r="W3991" s="64" ph="1"/>
    </row>
    <row r="3992" spans="23:23" ht="26.4">
      <c r="W3992" s="64" ph="1"/>
    </row>
    <row r="3993" spans="23:23" ht="26.4">
      <c r="W3993" s="64" ph="1"/>
    </row>
    <row r="3994" spans="23:23" ht="26.4">
      <c r="W3994" s="64" ph="1"/>
    </row>
    <row r="3995" spans="23:23" ht="26.4">
      <c r="W3995" s="64" ph="1"/>
    </row>
    <row r="3996" spans="23:23" ht="26.4">
      <c r="W3996" s="64" ph="1"/>
    </row>
    <row r="3997" spans="23:23" ht="26.4">
      <c r="W3997" s="64" ph="1"/>
    </row>
    <row r="3998" spans="23:23" ht="26.4">
      <c r="W3998" s="64" ph="1"/>
    </row>
    <row r="3999" spans="23:23" ht="26.4">
      <c r="W3999" s="64" ph="1"/>
    </row>
    <row r="4000" spans="23:23" ht="26.4">
      <c r="W4000" s="64" ph="1"/>
    </row>
    <row r="4001" spans="23:23" ht="26.4">
      <c r="W4001" s="64" ph="1"/>
    </row>
    <row r="4002" spans="23:23" ht="26.4">
      <c r="W4002" s="64" ph="1"/>
    </row>
    <row r="4003" spans="23:23" ht="26.4">
      <c r="W4003" s="64" ph="1"/>
    </row>
    <row r="4004" spans="23:23" ht="26.4">
      <c r="W4004" s="64" ph="1"/>
    </row>
    <row r="4005" spans="23:23" ht="26.4">
      <c r="W4005" s="64" ph="1"/>
    </row>
    <row r="4006" spans="23:23" ht="26.4">
      <c r="W4006" s="64" ph="1"/>
    </row>
    <row r="4007" spans="23:23" ht="26.4">
      <c r="W4007" s="64" ph="1"/>
    </row>
    <row r="4008" spans="23:23" ht="26.4">
      <c r="W4008" s="64" ph="1"/>
    </row>
    <row r="4009" spans="23:23" ht="26.4">
      <c r="W4009" s="64" ph="1"/>
    </row>
    <row r="4010" spans="23:23" ht="26.4">
      <c r="W4010" s="64" ph="1"/>
    </row>
    <row r="4011" spans="23:23" ht="26.4">
      <c r="W4011" s="64" ph="1"/>
    </row>
    <row r="4012" spans="23:23" ht="26.4">
      <c r="W4012" s="64" ph="1"/>
    </row>
    <row r="4013" spans="23:23" ht="26.4">
      <c r="W4013" s="64" ph="1"/>
    </row>
    <row r="4014" spans="23:23" ht="26.4">
      <c r="W4014" s="64" ph="1"/>
    </row>
    <row r="4015" spans="23:23" ht="26.4">
      <c r="W4015" s="64" ph="1"/>
    </row>
    <row r="4016" spans="23:23" ht="26.4">
      <c r="W4016" s="64" ph="1"/>
    </row>
    <row r="4017" spans="23:23" ht="26.4">
      <c r="W4017" s="64" ph="1"/>
    </row>
    <row r="4018" spans="23:23" ht="26.4">
      <c r="W4018" s="64" ph="1"/>
    </row>
    <row r="4019" spans="23:23" ht="26.4">
      <c r="W4019" s="64" ph="1"/>
    </row>
    <row r="4020" spans="23:23" ht="26.4">
      <c r="W4020" s="64" ph="1"/>
    </row>
    <row r="4021" spans="23:23" ht="26.4">
      <c r="W4021" s="64" ph="1"/>
    </row>
    <row r="4022" spans="23:23" ht="26.4">
      <c r="W4022" s="64" ph="1"/>
    </row>
    <row r="4023" spans="23:23" ht="26.4">
      <c r="W4023" s="64" ph="1"/>
    </row>
    <row r="4024" spans="23:23" ht="26.4">
      <c r="W4024" s="64" ph="1"/>
    </row>
    <row r="4025" spans="23:23" ht="26.4">
      <c r="W4025" s="64" ph="1"/>
    </row>
    <row r="4026" spans="23:23" ht="26.4">
      <c r="W4026" s="64" ph="1"/>
    </row>
    <row r="4027" spans="23:23" ht="26.4">
      <c r="W4027" s="64" ph="1"/>
    </row>
    <row r="4028" spans="23:23" ht="26.4">
      <c r="W4028" s="64" ph="1"/>
    </row>
    <row r="4029" spans="23:23" ht="26.4">
      <c r="W4029" s="64" ph="1"/>
    </row>
    <row r="4030" spans="23:23" ht="26.4">
      <c r="W4030" s="64" ph="1"/>
    </row>
    <row r="4031" spans="23:23" ht="26.4">
      <c r="W4031" s="64" ph="1"/>
    </row>
    <row r="4032" spans="23:23" ht="26.4">
      <c r="W4032" s="64" ph="1"/>
    </row>
    <row r="4033" spans="23:23" ht="26.4">
      <c r="W4033" s="64" ph="1"/>
    </row>
    <row r="4034" spans="23:23" ht="26.4">
      <c r="W4034" s="64" ph="1"/>
    </row>
    <row r="4035" spans="23:23" ht="26.4">
      <c r="W4035" s="64" ph="1"/>
    </row>
    <row r="4036" spans="23:23" ht="26.4">
      <c r="W4036" s="64" ph="1"/>
    </row>
    <row r="4037" spans="23:23" ht="26.4">
      <c r="W4037" s="64" ph="1"/>
    </row>
    <row r="4038" spans="23:23" ht="26.4">
      <c r="W4038" s="64" ph="1"/>
    </row>
    <row r="4039" spans="23:23" ht="26.4">
      <c r="W4039" s="64" ph="1"/>
    </row>
    <row r="4040" spans="23:23" ht="26.4">
      <c r="W4040" s="64" ph="1"/>
    </row>
    <row r="4041" spans="23:23" ht="26.4">
      <c r="W4041" s="64" ph="1"/>
    </row>
    <row r="4042" spans="23:23" ht="26.4">
      <c r="W4042" s="64" ph="1"/>
    </row>
    <row r="4043" spans="23:23" ht="26.4">
      <c r="W4043" s="64" ph="1"/>
    </row>
    <row r="4044" spans="23:23" ht="26.4">
      <c r="W4044" s="64" ph="1"/>
    </row>
    <row r="4045" spans="23:23" ht="26.4">
      <c r="W4045" s="64" ph="1"/>
    </row>
    <row r="4046" spans="23:23" ht="26.4">
      <c r="W4046" s="64" ph="1"/>
    </row>
    <row r="4047" spans="23:23" ht="26.4">
      <c r="W4047" s="64" ph="1"/>
    </row>
    <row r="4048" spans="23:23" ht="26.4">
      <c r="W4048" s="64" ph="1"/>
    </row>
    <row r="4049" spans="23:23" ht="26.4">
      <c r="W4049" s="64" ph="1"/>
    </row>
    <row r="4050" spans="23:23" ht="26.4">
      <c r="W4050" s="64" ph="1"/>
    </row>
    <row r="4051" spans="23:23" ht="26.4">
      <c r="W4051" s="64" ph="1"/>
    </row>
    <row r="4052" spans="23:23" ht="26.4">
      <c r="W4052" s="64" ph="1"/>
    </row>
    <row r="4053" spans="23:23" ht="26.4">
      <c r="W4053" s="64" ph="1"/>
    </row>
    <row r="4054" spans="23:23" ht="26.4">
      <c r="W4054" s="64" ph="1"/>
    </row>
    <row r="4055" spans="23:23" ht="26.4">
      <c r="W4055" s="64" ph="1"/>
    </row>
    <row r="4056" spans="23:23" ht="26.4">
      <c r="W4056" s="64" ph="1"/>
    </row>
    <row r="4057" spans="23:23" ht="26.4">
      <c r="W4057" s="64" ph="1"/>
    </row>
    <row r="4058" spans="23:23" ht="26.4">
      <c r="W4058" s="64" ph="1"/>
    </row>
    <row r="4059" spans="23:23" ht="26.4">
      <c r="W4059" s="64" ph="1"/>
    </row>
    <row r="4060" spans="23:23" ht="26.4">
      <c r="W4060" s="64" ph="1"/>
    </row>
    <row r="4061" spans="23:23" ht="26.4">
      <c r="W4061" s="64" ph="1"/>
    </row>
    <row r="4062" spans="23:23" ht="26.4">
      <c r="W4062" s="64" ph="1"/>
    </row>
    <row r="4063" spans="23:23" ht="26.4">
      <c r="W4063" s="64" ph="1"/>
    </row>
    <row r="4064" spans="23:23" ht="26.4">
      <c r="W4064" s="64" ph="1"/>
    </row>
    <row r="4065" spans="23:23" ht="26.4">
      <c r="W4065" s="64" ph="1"/>
    </row>
    <row r="4066" spans="23:23" ht="26.4">
      <c r="W4066" s="64" ph="1"/>
    </row>
    <row r="4067" spans="23:23" ht="26.4">
      <c r="W4067" s="64" ph="1"/>
    </row>
    <row r="4068" spans="23:23" ht="26.4">
      <c r="W4068" s="64" ph="1"/>
    </row>
    <row r="4069" spans="23:23" ht="26.4">
      <c r="W4069" s="64" ph="1"/>
    </row>
    <row r="4070" spans="23:23" ht="26.4">
      <c r="W4070" s="64" ph="1"/>
    </row>
    <row r="4071" spans="23:23" ht="26.4">
      <c r="W4071" s="64" ph="1"/>
    </row>
    <row r="4072" spans="23:23" ht="26.4">
      <c r="W4072" s="64" ph="1"/>
    </row>
    <row r="4073" spans="23:23" ht="26.4">
      <c r="W4073" s="64" ph="1"/>
    </row>
    <row r="4074" spans="23:23" ht="26.4">
      <c r="W4074" s="64" ph="1"/>
    </row>
    <row r="4075" spans="23:23" ht="26.4">
      <c r="W4075" s="64" ph="1"/>
    </row>
    <row r="4076" spans="23:23" ht="26.4">
      <c r="W4076" s="64" ph="1"/>
    </row>
    <row r="4077" spans="23:23" ht="26.4">
      <c r="W4077" s="64" ph="1"/>
    </row>
    <row r="4078" spans="23:23" ht="26.4">
      <c r="W4078" s="64" ph="1"/>
    </row>
    <row r="4079" spans="23:23" ht="26.4">
      <c r="W4079" s="64" ph="1"/>
    </row>
    <row r="4080" spans="23:23" ht="26.4">
      <c r="W4080" s="64" ph="1"/>
    </row>
    <row r="4081" spans="23:23" ht="26.4">
      <c r="W4081" s="64" ph="1"/>
    </row>
    <row r="4082" spans="23:23" ht="26.4">
      <c r="W4082" s="64" ph="1"/>
    </row>
    <row r="4083" spans="23:23" ht="26.4">
      <c r="W4083" s="64" ph="1"/>
    </row>
    <row r="4084" spans="23:23" ht="26.4">
      <c r="W4084" s="64" ph="1"/>
    </row>
    <row r="4085" spans="23:23" ht="26.4">
      <c r="W4085" s="64" ph="1"/>
    </row>
    <row r="4086" spans="23:23" ht="26.4">
      <c r="W4086" s="64" ph="1"/>
    </row>
    <row r="4087" spans="23:23" ht="26.4">
      <c r="W4087" s="64" ph="1"/>
    </row>
    <row r="4088" spans="23:23" ht="26.4">
      <c r="W4088" s="64" ph="1"/>
    </row>
    <row r="4089" spans="23:23" ht="26.4">
      <c r="W4089" s="64" ph="1"/>
    </row>
    <row r="4090" spans="23:23" ht="26.4">
      <c r="W4090" s="64" ph="1"/>
    </row>
    <row r="4091" spans="23:23" ht="26.4">
      <c r="W4091" s="64" ph="1"/>
    </row>
    <row r="4092" spans="23:23" ht="26.4">
      <c r="W4092" s="64" ph="1"/>
    </row>
    <row r="4093" spans="23:23" ht="26.4">
      <c r="W4093" s="64" ph="1"/>
    </row>
    <row r="4094" spans="23:23" ht="26.4">
      <c r="W4094" s="64" ph="1"/>
    </row>
    <row r="4095" spans="23:23" ht="26.4">
      <c r="W4095" s="64" ph="1"/>
    </row>
    <row r="4096" spans="23:23" ht="26.4">
      <c r="W4096" s="64" ph="1"/>
    </row>
    <row r="4097" spans="23:23" ht="26.4">
      <c r="W4097" s="64" ph="1"/>
    </row>
    <row r="4098" spans="23:23" ht="26.4">
      <c r="W4098" s="64" ph="1"/>
    </row>
    <row r="4099" spans="23:23" ht="26.4">
      <c r="W4099" s="64" ph="1"/>
    </row>
    <row r="4100" spans="23:23" ht="26.4">
      <c r="W4100" s="64" ph="1"/>
    </row>
    <row r="4101" spans="23:23" ht="26.4">
      <c r="W4101" s="64" ph="1"/>
    </row>
    <row r="4102" spans="23:23" ht="26.4">
      <c r="W4102" s="64" ph="1"/>
    </row>
    <row r="4103" spans="23:23" ht="26.4">
      <c r="W4103" s="64" ph="1"/>
    </row>
    <row r="4104" spans="23:23" ht="26.4">
      <c r="W4104" s="64" ph="1"/>
    </row>
    <row r="4105" spans="23:23" ht="26.4">
      <c r="W4105" s="64" ph="1"/>
    </row>
    <row r="4106" spans="23:23" ht="26.4">
      <c r="W4106" s="64" ph="1"/>
    </row>
    <row r="4107" spans="23:23" ht="26.4">
      <c r="W4107" s="64" ph="1"/>
    </row>
    <row r="4108" spans="23:23" ht="26.4">
      <c r="W4108" s="64" ph="1"/>
    </row>
    <row r="4109" spans="23:23" ht="26.4">
      <c r="W4109" s="64" ph="1"/>
    </row>
    <row r="4110" spans="23:23" ht="26.4">
      <c r="W4110" s="64" ph="1"/>
    </row>
    <row r="4111" spans="23:23" ht="26.4">
      <c r="W4111" s="64" ph="1"/>
    </row>
    <row r="4112" spans="23:23" ht="26.4">
      <c r="W4112" s="64" ph="1"/>
    </row>
    <row r="4113" spans="23:23" ht="26.4">
      <c r="W4113" s="64" ph="1"/>
    </row>
    <row r="4114" spans="23:23" ht="26.4">
      <c r="W4114" s="64" ph="1"/>
    </row>
    <row r="4115" spans="23:23" ht="26.4">
      <c r="W4115" s="64" ph="1"/>
    </row>
    <row r="4116" spans="23:23" ht="26.4">
      <c r="W4116" s="64" ph="1"/>
    </row>
    <row r="4117" spans="23:23" ht="26.4">
      <c r="W4117" s="64" ph="1"/>
    </row>
    <row r="4118" spans="23:23" ht="26.4">
      <c r="W4118" s="64" ph="1"/>
    </row>
    <row r="4119" spans="23:23" ht="26.4">
      <c r="W4119" s="64" ph="1"/>
    </row>
    <row r="4120" spans="23:23" ht="26.4">
      <c r="W4120" s="64" ph="1"/>
    </row>
    <row r="4121" spans="23:23" ht="26.4">
      <c r="W4121" s="64" ph="1"/>
    </row>
    <row r="4122" spans="23:23" ht="26.4">
      <c r="W4122" s="64" ph="1"/>
    </row>
    <row r="4123" spans="23:23" ht="26.4">
      <c r="W4123" s="64" ph="1"/>
    </row>
    <row r="4124" spans="23:23" ht="26.4">
      <c r="W4124" s="64" ph="1"/>
    </row>
    <row r="4125" spans="23:23" ht="26.4">
      <c r="W4125" s="64" ph="1"/>
    </row>
    <row r="4126" spans="23:23" ht="26.4">
      <c r="W4126" s="64" ph="1"/>
    </row>
    <row r="4127" spans="23:23" ht="26.4">
      <c r="W4127" s="64" ph="1"/>
    </row>
    <row r="4128" spans="23:23" ht="26.4">
      <c r="W4128" s="64" ph="1"/>
    </row>
    <row r="4129" spans="23:23" ht="26.4">
      <c r="W4129" s="64" ph="1"/>
    </row>
    <row r="4130" spans="23:23" ht="26.4">
      <c r="W4130" s="64" ph="1"/>
    </row>
    <row r="4131" spans="23:23" ht="26.4">
      <c r="W4131" s="64" ph="1"/>
    </row>
    <row r="4132" spans="23:23" ht="26.4">
      <c r="W4132" s="64" ph="1"/>
    </row>
    <row r="4133" spans="23:23" ht="26.4">
      <c r="W4133" s="64" ph="1"/>
    </row>
    <row r="4134" spans="23:23" ht="26.4">
      <c r="W4134" s="64" ph="1"/>
    </row>
    <row r="4135" spans="23:23" ht="26.4">
      <c r="W4135" s="64" ph="1"/>
    </row>
    <row r="4136" spans="23:23" ht="26.4">
      <c r="W4136" s="64" ph="1"/>
    </row>
    <row r="4137" spans="23:23" ht="26.4">
      <c r="W4137" s="64" ph="1"/>
    </row>
    <row r="4138" spans="23:23" ht="26.4">
      <c r="W4138" s="64" ph="1"/>
    </row>
    <row r="4139" spans="23:23" ht="26.4">
      <c r="W4139" s="64" ph="1"/>
    </row>
    <row r="4140" spans="23:23" ht="26.4">
      <c r="W4140" s="64" ph="1"/>
    </row>
    <row r="4141" spans="23:23" ht="26.4">
      <c r="W4141" s="64" ph="1"/>
    </row>
    <row r="4142" spans="23:23" ht="26.4">
      <c r="W4142" s="64" ph="1"/>
    </row>
    <row r="4143" spans="23:23" ht="26.4">
      <c r="W4143" s="64" ph="1"/>
    </row>
    <row r="4144" spans="23:23" ht="26.4">
      <c r="W4144" s="64" ph="1"/>
    </row>
    <row r="4145" spans="23:23" ht="26.4">
      <c r="W4145" s="64" ph="1"/>
    </row>
    <row r="4146" spans="23:23" ht="26.4">
      <c r="W4146" s="64" ph="1"/>
    </row>
    <row r="4147" spans="23:23" ht="26.4">
      <c r="W4147" s="64" ph="1"/>
    </row>
    <row r="4148" spans="23:23" ht="26.4">
      <c r="W4148" s="64" ph="1"/>
    </row>
    <row r="4149" spans="23:23" ht="26.4">
      <c r="W4149" s="64" ph="1"/>
    </row>
    <row r="4150" spans="23:23" ht="26.4">
      <c r="W4150" s="64" ph="1"/>
    </row>
    <row r="4151" spans="23:23" ht="26.4">
      <c r="W4151" s="64" ph="1"/>
    </row>
    <row r="4152" spans="23:23" ht="26.4">
      <c r="W4152" s="64" ph="1"/>
    </row>
    <row r="4153" spans="23:23" ht="26.4">
      <c r="W4153" s="64" ph="1"/>
    </row>
    <row r="4154" spans="23:23" ht="26.4">
      <c r="W4154" s="64" ph="1"/>
    </row>
    <row r="4155" spans="23:23" ht="26.4">
      <c r="W4155" s="64" ph="1"/>
    </row>
    <row r="4156" spans="23:23" ht="26.4">
      <c r="W4156" s="64" ph="1"/>
    </row>
    <row r="4157" spans="23:23" ht="26.4">
      <c r="W4157" s="64" ph="1"/>
    </row>
    <row r="4158" spans="23:23" ht="26.4">
      <c r="W4158" s="64" ph="1"/>
    </row>
    <row r="4159" spans="23:23" ht="26.4">
      <c r="W4159" s="64" ph="1"/>
    </row>
    <row r="4160" spans="23:23" ht="26.4">
      <c r="W4160" s="64" ph="1"/>
    </row>
    <row r="4161" spans="23:23" ht="26.4">
      <c r="W4161" s="64" ph="1"/>
    </row>
    <row r="4162" spans="23:23" ht="26.4">
      <c r="W4162" s="64" ph="1"/>
    </row>
    <row r="4163" spans="23:23" ht="26.4">
      <c r="W4163" s="64" ph="1"/>
    </row>
    <row r="4164" spans="23:23" ht="26.4">
      <c r="W4164" s="64" ph="1"/>
    </row>
    <row r="4165" spans="23:23" ht="26.4">
      <c r="W4165" s="64" ph="1"/>
    </row>
    <row r="4166" spans="23:23" ht="26.4">
      <c r="W4166" s="64" ph="1"/>
    </row>
    <row r="4167" spans="23:23" ht="26.4">
      <c r="W4167" s="64" ph="1"/>
    </row>
    <row r="4168" spans="23:23" ht="26.4">
      <c r="W4168" s="64" ph="1"/>
    </row>
    <row r="4169" spans="23:23" ht="26.4">
      <c r="W4169" s="64" ph="1"/>
    </row>
    <row r="4170" spans="23:23" ht="26.4">
      <c r="W4170" s="64" ph="1"/>
    </row>
    <row r="4171" spans="23:23" ht="26.4">
      <c r="W4171" s="64" ph="1"/>
    </row>
    <row r="4172" spans="23:23" ht="26.4">
      <c r="W4172" s="64" ph="1"/>
    </row>
    <row r="4173" spans="23:23" ht="26.4">
      <c r="W4173" s="64" ph="1"/>
    </row>
    <row r="4174" spans="23:23" ht="26.4">
      <c r="W4174" s="64" ph="1"/>
    </row>
    <row r="4175" spans="23:23" ht="26.4">
      <c r="W4175" s="64" ph="1"/>
    </row>
    <row r="4176" spans="23:23" ht="26.4">
      <c r="W4176" s="64" ph="1"/>
    </row>
    <row r="4177" spans="23:23" ht="26.4">
      <c r="W4177" s="64" ph="1"/>
    </row>
    <row r="4178" spans="23:23" ht="26.4">
      <c r="W4178" s="64" ph="1"/>
    </row>
    <row r="4179" spans="23:23" ht="26.4">
      <c r="W4179" s="64" ph="1"/>
    </row>
    <row r="4180" spans="23:23" ht="26.4">
      <c r="W4180" s="64" ph="1"/>
    </row>
    <row r="4181" spans="23:23" ht="26.4">
      <c r="W4181" s="64" ph="1"/>
    </row>
    <row r="4182" spans="23:23" ht="26.4">
      <c r="W4182" s="64" ph="1"/>
    </row>
    <row r="4183" spans="23:23" ht="26.4">
      <c r="W4183" s="64" ph="1"/>
    </row>
    <row r="4184" spans="23:23" ht="26.4">
      <c r="W4184" s="64" ph="1"/>
    </row>
    <row r="4185" spans="23:23" ht="26.4">
      <c r="W4185" s="64" ph="1"/>
    </row>
    <row r="4186" spans="23:23" ht="26.4">
      <c r="W4186" s="64" ph="1"/>
    </row>
    <row r="4187" spans="23:23" ht="26.4">
      <c r="W4187" s="64" ph="1"/>
    </row>
    <row r="4188" spans="23:23" ht="26.4">
      <c r="W4188" s="64" ph="1"/>
    </row>
    <row r="4189" spans="23:23" ht="26.4">
      <c r="W4189" s="64" ph="1"/>
    </row>
    <row r="4190" spans="23:23" ht="26.4">
      <c r="W4190" s="64" ph="1"/>
    </row>
    <row r="4191" spans="23:23" ht="26.4">
      <c r="W4191" s="64" ph="1"/>
    </row>
    <row r="4192" spans="23:23" ht="26.4">
      <c r="W4192" s="64" ph="1"/>
    </row>
    <row r="4193" spans="23:23" ht="26.4">
      <c r="W4193" s="64" ph="1"/>
    </row>
    <row r="4194" spans="23:23" ht="26.4">
      <c r="W4194" s="64" ph="1"/>
    </row>
    <row r="4195" spans="23:23" ht="26.4">
      <c r="W4195" s="64" ph="1"/>
    </row>
    <row r="4196" spans="23:23" ht="26.4">
      <c r="W4196" s="64" ph="1"/>
    </row>
    <row r="4197" spans="23:23" ht="26.4">
      <c r="W4197" s="64" ph="1"/>
    </row>
    <row r="4198" spans="23:23" ht="26.4">
      <c r="W4198" s="64" ph="1"/>
    </row>
    <row r="4199" spans="23:23" ht="26.4">
      <c r="W4199" s="64" ph="1"/>
    </row>
    <row r="4200" spans="23:23" ht="26.4">
      <c r="W4200" s="64" ph="1"/>
    </row>
    <row r="4201" spans="23:23" ht="26.4">
      <c r="W4201" s="64" ph="1"/>
    </row>
    <row r="4202" spans="23:23" ht="26.4">
      <c r="W4202" s="64" ph="1"/>
    </row>
    <row r="4203" spans="23:23" ht="26.4">
      <c r="W4203" s="64" ph="1"/>
    </row>
    <row r="4204" spans="23:23" ht="26.4">
      <c r="W4204" s="64" ph="1"/>
    </row>
    <row r="4205" spans="23:23" ht="26.4">
      <c r="W4205" s="64" ph="1"/>
    </row>
    <row r="4206" spans="23:23" ht="26.4">
      <c r="W4206" s="64" ph="1"/>
    </row>
    <row r="4207" spans="23:23" ht="26.4">
      <c r="W4207" s="64" ph="1"/>
    </row>
    <row r="4208" spans="23:23" ht="26.4">
      <c r="W4208" s="64" ph="1"/>
    </row>
    <row r="4209" spans="23:23" ht="26.4">
      <c r="W4209" s="64" ph="1"/>
    </row>
    <row r="4210" spans="23:23" ht="26.4">
      <c r="W4210" s="64" ph="1"/>
    </row>
    <row r="4211" spans="23:23" ht="26.4">
      <c r="W4211" s="64" ph="1"/>
    </row>
    <row r="4212" spans="23:23" ht="26.4">
      <c r="W4212" s="64" ph="1"/>
    </row>
    <row r="4213" spans="23:23" ht="26.4">
      <c r="W4213" s="64" ph="1"/>
    </row>
    <row r="4214" spans="23:23" ht="26.4">
      <c r="W4214" s="64" ph="1"/>
    </row>
    <row r="4215" spans="23:23" ht="26.4">
      <c r="W4215" s="64" ph="1"/>
    </row>
    <row r="4216" spans="23:23" ht="26.4">
      <c r="W4216" s="64" ph="1"/>
    </row>
    <row r="4217" spans="23:23" ht="26.4">
      <c r="W4217" s="64" ph="1"/>
    </row>
    <row r="4218" spans="23:23" ht="26.4">
      <c r="W4218" s="64" ph="1"/>
    </row>
    <row r="4219" spans="23:23" ht="26.4">
      <c r="W4219" s="64" ph="1"/>
    </row>
    <row r="4220" spans="23:23" ht="26.4">
      <c r="W4220" s="64" ph="1"/>
    </row>
    <row r="4221" spans="23:23" ht="26.4">
      <c r="W4221" s="64" ph="1"/>
    </row>
    <row r="4222" spans="23:23" ht="26.4">
      <c r="W4222" s="64" ph="1"/>
    </row>
    <row r="4223" spans="23:23" ht="26.4">
      <c r="W4223" s="64" ph="1"/>
    </row>
    <row r="4224" spans="23:23" ht="26.4">
      <c r="W4224" s="64" ph="1"/>
    </row>
    <row r="4225" spans="23:23" ht="26.4">
      <c r="W4225" s="64" ph="1"/>
    </row>
    <row r="4226" spans="23:23" ht="26.4">
      <c r="W4226" s="64" ph="1"/>
    </row>
    <row r="4227" spans="23:23" ht="26.4">
      <c r="W4227" s="64" ph="1"/>
    </row>
    <row r="4228" spans="23:23" ht="26.4">
      <c r="W4228" s="64" ph="1"/>
    </row>
    <row r="4229" spans="23:23" ht="26.4">
      <c r="W4229" s="64" ph="1"/>
    </row>
    <row r="4230" spans="23:23" ht="26.4">
      <c r="W4230" s="64" ph="1"/>
    </row>
    <row r="4231" spans="23:23" ht="26.4">
      <c r="W4231" s="64" ph="1"/>
    </row>
    <row r="4232" spans="23:23" ht="26.4">
      <c r="W4232" s="64" ph="1"/>
    </row>
    <row r="4233" spans="23:23" ht="26.4">
      <c r="W4233" s="64" ph="1"/>
    </row>
    <row r="4234" spans="23:23" ht="26.4">
      <c r="W4234" s="64" ph="1"/>
    </row>
    <row r="4235" spans="23:23" ht="26.4">
      <c r="W4235" s="64" ph="1"/>
    </row>
    <row r="4236" spans="23:23" ht="26.4">
      <c r="W4236" s="64" ph="1"/>
    </row>
    <row r="4237" spans="23:23" ht="26.4">
      <c r="W4237" s="64" ph="1"/>
    </row>
    <row r="4238" spans="23:23" ht="26.4">
      <c r="W4238" s="64" ph="1"/>
    </row>
    <row r="4239" spans="23:23" ht="26.4">
      <c r="W4239" s="64" ph="1"/>
    </row>
    <row r="4240" spans="23:23" ht="26.4">
      <c r="W4240" s="64" ph="1"/>
    </row>
    <row r="4241" spans="23:23" ht="26.4">
      <c r="W4241" s="64" ph="1"/>
    </row>
    <row r="4242" spans="23:23" ht="26.4">
      <c r="W4242" s="64" ph="1"/>
    </row>
    <row r="4243" spans="23:23" ht="26.4">
      <c r="W4243" s="64" ph="1"/>
    </row>
    <row r="4244" spans="23:23" ht="26.4">
      <c r="W4244" s="64" ph="1"/>
    </row>
    <row r="4245" spans="23:23" ht="26.4">
      <c r="W4245" s="64" ph="1"/>
    </row>
    <row r="4246" spans="23:23" ht="26.4">
      <c r="W4246" s="64" ph="1"/>
    </row>
    <row r="4247" spans="23:23" ht="26.4">
      <c r="W4247" s="64" ph="1"/>
    </row>
    <row r="4248" spans="23:23" ht="26.4">
      <c r="W4248" s="64" ph="1"/>
    </row>
    <row r="4249" spans="23:23" ht="26.4">
      <c r="W4249" s="64" ph="1"/>
    </row>
    <row r="4250" spans="23:23" ht="26.4">
      <c r="W4250" s="64" ph="1"/>
    </row>
    <row r="4251" spans="23:23" ht="26.4">
      <c r="W4251" s="64" ph="1"/>
    </row>
    <row r="4252" spans="23:23" ht="26.4">
      <c r="W4252" s="64" ph="1"/>
    </row>
    <row r="4253" spans="23:23" ht="26.4">
      <c r="W4253" s="64" ph="1"/>
    </row>
    <row r="4254" spans="23:23" ht="26.4">
      <c r="W4254" s="64" ph="1"/>
    </row>
    <row r="4255" spans="23:23" ht="26.4">
      <c r="W4255" s="64" ph="1"/>
    </row>
    <row r="4256" spans="23:23" ht="26.4">
      <c r="W4256" s="64" ph="1"/>
    </row>
    <row r="4257" spans="23:23" ht="26.4">
      <c r="W4257" s="64" ph="1"/>
    </row>
    <row r="4258" spans="23:23" ht="26.4">
      <c r="W4258" s="64" ph="1"/>
    </row>
    <row r="4259" spans="23:23" ht="26.4">
      <c r="W4259" s="64" ph="1"/>
    </row>
    <row r="4260" spans="23:23" ht="26.4">
      <c r="W4260" s="64" ph="1"/>
    </row>
    <row r="4261" spans="23:23" ht="26.4">
      <c r="W4261" s="64" ph="1"/>
    </row>
    <row r="4262" spans="23:23" ht="26.4">
      <c r="W4262" s="64" ph="1"/>
    </row>
    <row r="4263" spans="23:23" ht="26.4">
      <c r="W4263" s="64" ph="1"/>
    </row>
    <row r="4264" spans="23:23" ht="26.4">
      <c r="W4264" s="64" ph="1"/>
    </row>
    <row r="4265" spans="23:23" ht="26.4">
      <c r="W4265" s="64" ph="1"/>
    </row>
    <row r="4266" spans="23:23" ht="26.4">
      <c r="W4266" s="64" ph="1"/>
    </row>
    <row r="4267" spans="23:23" ht="26.4">
      <c r="W4267" s="64" ph="1"/>
    </row>
    <row r="4268" spans="23:23" ht="26.4">
      <c r="W4268" s="64" ph="1"/>
    </row>
    <row r="4269" spans="23:23" ht="26.4">
      <c r="W4269" s="64" ph="1"/>
    </row>
    <row r="4270" spans="23:23" ht="26.4">
      <c r="W4270" s="64" ph="1"/>
    </row>
    <row r="4271" spans="23:23" ht="26.4">
      <c r="W4271" s="64" ph="1"/>
    </row>
    <row r="4272" spans="23:23" ht="26.4">
      <c r="W4272" s="64" ph="1"/>
    </row>
    <row r="4273" spans="23:23" ht="26.4">
      <c r="W4273" s="64" ph="1"/>
    </row>
    <row r="4274" spans="23:23" ht="26.4">
      <c r="W4274" s="64" ph="1"/>
    </row>
    <row r="4275" spans="23:23" ht="26.4">
      <c r="W4275" s="64" ph="1"/>
    </row>
    <row r="4276" spans="23:23" ht="26.4">
      <c r="W4276" s="64" ph="1"/>
    </row>
    <row r="4277" spans="23:23" ht="26.4">
      <c r="W4277" s="64" ph="1"/>
    </row>
    <row r="4278" spans="23:23" ht="26.4">
      <c r="W4278" s="64" ph="1"/>
    </row>
    <row r="4279" spans="23:23" ht="26.4">
      <c r="W4279" s="64" ph="1"/>
    </row>
    <row r="4280" spans="23:23" ht="26.4">
      <c r="W4280" s="64" ph="1"/>
    </row>
    <row r="4281" spans="23:23" ht="26.4">
      <c r="W4281" s="64" ph="1"/>
    </row>
    <row r="4282" spans="23:23" ht="26.4">
      <c r="W4282" s="64" ph="1"/>
    </row>
    <row r="4283" spans="23:23" ht="26.4">
      <c r="W4283" s="64" ph="1"/>
    </row>
    <row r="4284" spans="23:23" ht="26.4">
      <c r="W4284" s="64" ph="1"/>
    </row>
    <row r="4285" spans="23:23" ht="26.4">
      <c r="W4285" s="64" ph="1"/>
    </row>
    <row r="4286" spans="23:23" ht="26.4">
      <c r="W4286" s="64" ph="1"/>
    </row>
    <row r="4287" spans="23:23" ht="26.4">
      <c r="W4287" s="64" ph="1"/>
    </row>
    <row r="4288" spans="23:23" ht="26.4">
      <c r="W4288" s="64" ph="1"/>
    </row>
    <row r="4289" spans="23:23" ht="26.4">
      <c r="W4289" s="64" ph="1"/>
    </row>
    <row r="4290" spans="23:23" ht="26.4">
      <c r="W4290" s="64" ph="1"/>
    </row>
    <row r="4291" spans="23:23" ht="26.4">
      <c r="W4291" s="64" ph="1"/>
    </row>
    <row r="4292" spans="23:23" ht="26.4">
      <c r="W4292" s="64" ph="1"/>
    </row>
    <row r="4293" spans="23:23" ht="26.4">
      <c r="W4293" s="64" ph="1"/>
    </row>
    <row r="4294" spans="23:23" ht="26.4">
      <c r="W4294" s="64" ph="1"/>
    </row>
    <row r="4295" spans="23:23" ht="26.4">
      <c r="W4295" s="64" ph="1"/>
    </row>
    <row r="4296" spans="23:23" ht="26.4">
      <c r="W4296" s="64" ph="1"/>
    </row>
    <row r="4297" spans="23:23" ht="26.4">
      <c r="W4297" s="64" ph="1"/>
    </row>
    <row r="4298" spans="23:23" ht="26.4">
      <c r="W4298" s="64" ph="1"/>
    </row>
    <row r="4299" spans="23:23" ht="26.4">
      <c r="W4299" s="64" ph="1"/>
    </row>
    <row r="4300" spans="23:23" ht="26.4">
      <c r="W4300" s="64" ph="1"/>
    </row>
    <row r="4301" spans="23:23" ht="26.4">
      <c r="W4301" s="64" ph="1"/>
    </row>
    <row r="4302" spans="23:23" ht="26.4">
      <c r="W4302" s="64" ph="1"/>
    </row>
    <row r="4303" spans="23:23" ht="26.4">
      <c r="W4303" s="64" ph="1"/>
    </row>
    <row r="4304" spans="23:23" ht="26.4">
      <c r="W4304" s="64" ph="1"/>
    </row>
    <row r="4305" spans="23:23" ht="26.4">
      <c r="W4305" s="64" ph="1"/>
    </row>
    <row r="4306" spans="23:23" ht="26.4">
      <c r="W4306" s="64" ph="1"/>
    </row>
    <row r="4307" spans="23:23" ht="26.4">
      <c r="W4307" s="64" ph="1"/>
    </row>
    <row r="4308" spans="23:23" ht="26.4">
      <c r="W4308" s="64" ph="1"/>
    </row>
    <row r="4309" spans="23:23" ht="26.4">
      <c r="W4309" s="64" ph="1"/>
    </row>
    <row r="4310" spans="23:23" ht="26.4">
      <c r="W4310" s="64" ph="1"/>
    </row>
    <row r="4311" spans="23:23" ht="26.4">
      <c r="W4311" s="64" ph="1"/>
    </row>
    <row r="4312" spans="23:23" ht="26.4">
      <c r="W4312" s="64" ph="1"/>
    </row>
    <row r="4313" spans="23:23" ht="26.4">
      <c r="W4313" s="64" ph="1"/>
    </row>
    <row r="4314" spans="23:23" ht="26.4">
      <c r="W4314" s="64" ph="1"/>
    </row>
    <row r="4315" spans="23:23" ht="26.4">
      <c r="W4315" s="64" ph="1"/>
    </row>
    <row r="4316" spans="23:23" ht="26.4">
      <c r="W4316" s="64" ph="1"/>
    </row>
    <row r="4317" spans="23:23" ht="26.4">
      <c r="W4317" s="64" ph="1"/>
    </row>
    <row r="4318" spans="23:23" ht="26.4">
      <c r="W4318" s="64" ph="1"/>
    </row>
    <row r="4319" spans="23:23" ht="26.4">
      <c r="W4319" s="64" ph="1"/>
    </row>
    <row r="4320" spans="23:23" ht="26.4">
      <c r="W4320" s="64" ph="1"/>
    </row>
    <row r="4321" spans="23:23" ht="26.4">
      <c r="W4321" s="64" ph="1"/>
    </row>
    <row r="4322" spans="23:23" ht="26.4">
      <c r="W4322" s="64" ph="1"/>
    </row>
    <row r="4323" spans="23:23" ht="26.4">
      <c r="W4323" s="64" ph="1"/>
    </row>
    <row r="4324" spans="23:23" ht="26.4">
      <c r="W4324" s="64" ph="1"/>
    </row>
    <row r="4325" spans="23:23" ht="26.4">
      <c r="W4325" s="64" ph="1"/>
    </row>
    <row r="4326" spans="23:23" ht="26.4">
      <c r="W4326" s="64" ph="1"/>
    </row>
    <row r="4327" spans="23:23" ht="26.4">
      <c r="W4327" s="64" ph="1"/>
    </row>
    <row r="4328" spans="23:23" ht="26.4">
      <c r="W4328" s="64" ph="1"/>
    </row>
    <row r="4329" spans="23:23" ht="26.4">
      <c r="W4329" s="64" ph="1"/>
    </row>
    <row r="4330" spans="23:23" ht="26.4">
      <c r="W4330" s="64" ph="1"/>
    </row>
    <row r="4331" spans="23:23" ht="26.4">
      <c r="W4331" s="64" ph="1"/>
    </row>
    <row r="4332" spans="23:23" ht="26.4">
      <c r="W4332" s="64" ph="1"/>
    </row>
    <row r="4333" spans="23:23" ht="26.4">
      <c r="W4333" s="64" ph="1"/>
    </row>
    <row r="4334" spans="23:23" ht="26.4">
      <c r="W4334" s="64" ph="1"/>
    </row>
    <row r="4335" spans="23:23" ht="26.4">
      <c r="W4335" s="64" ph="1"/>
    </row>
    <row r="4336" spans="23:23" ht="26.4">
      <c r="W4336" s="64" ph="1"/>
    </row>
    <row r="4337" spans="23:23" ht="26.4">
      <c r="W4337" s="64" ph="1"/>
    </row>
    <row r="4338" spans="23:23" ht="26.4">
      <c r="W4338" s="64" ph="1"/>
    </row>
    <row r="4339" spans="23:23" ht="26.4">
      <c r="W4339" s="64" ph="1"/>
    </row>
    <row r="4340" spans="23:23" ht="26.4">
      <c r="W4340" s="64" ph="1"/>
    </row>
    <row r="4341" spans="23:23" ht="26.4">
      <c r="W4341" s="64" ph="1"/>
    </row>
    <row r="4342" spans="23:23" ht="26.4">
      <c r="W4342" s="64" ph="1"/>
    </row>
    <row r="4343" spans="23:23" ht="26.4">
      <c r="W4343" s="64" ph="1"/>
    </row>
    <row r="4344" spans="23:23" ht="26.4">
      <c r="W4344" s="64" ph="1"/>
    </row>
    <row r="4345" spans="23:23" ht="26.4">
      <c r="W4345" s="64" ph="1"/>
    </row>
    <row r="4346" spans="23:23" ht="26.4">
      <c r="W4346" s="64" ph="1"/>
    </row>
    <row r="4347" spans="23:23" ht="26.4">
      <c r="W4347" s="64" ph="1"/>
    </row>
    <row r="4348" spans="23:23" ht="26.4">
      <c r="W4348" s="64" ph="1"/>
    </row>
    <row r="4349" spans="23:23" ht="26.4">
      <c r="W4349" s="64" ph="1"/>
    </row>
    <row r="4350" spans="23:23" ht="26.4">
      <c r="W4350" s="64" ph="1"/>
    </row>
    <row r="4351" spans="23:23" ht="26.4">
      <c r="W4351" s="64" ph="1"/>
    </row>
    <row r="4352" spans="23:23" ht="26.4">
      <c r="W4352" s="64" ph="1"/>
    </row>
    <row r="4353" spans="23:23" ht="26.4">
      <c r="W4353" s="64" ph="1"/>
    </row>
    <row r="4354" spans="23:23" ht="26.4">
      <c r="W4354" s="64" ph="1"/>
    </row>
    <row r="4355" spans="23:23" ht="26.4">
      <c r="W4355" s="64" ph="1"/>
    </row>
    <row r="4356" spans="23:23" ht="26.4">
      <c r="W4356" s="64" ph="1"/>
    </row>
    <row r="4357" spans="23:23" ht="26.4">
      <c r="W4357" s="64" ph="1"/>
    </row>
    <row r="4358" spans="23:23" ht="26.4">
      <c r="W4358" s="64" ph="1"/>
    </row>
    <row r="4359" spans="23:23" ht="26.4">
      <c r="W4359" s="64" ph="1"/>
    </row>
    <row r="4360" spans="23:23" ht="26.4">
      <c r="W4360" s="64" ph="1"/>
    </row>
    <row r="4361" spans="23:23" ht="26.4">
      <c r="W4361" s="64" ph="1"/>
    </row>
    <row r="4362" spans="23:23" ht="26.4">
      <c r="W4362" s="64" ph="1"/>
    </row>
    <row r="4363" spans="23:23" ht="26.4">
      <c r="W4363" s="64" ph="1"/>
    </row>
    <row r="4364" spans="23:23" ht="26.4">
      <c r="W4364" s="64" ph="1"/>
    </row>
    <row r="4365" spans="23:23" ht="26.4">
      <c r="W4365" s="64" ph="1"/>
    </row>
    <row r="4366" spans="23:23" ht="26.4">
      <c r="W4366" s="64" ph="1"/>
    </row>
    <row r="4367" spans="23:23" ht="26.4">
      <c r="W4367" s="64" ph="1"/>
    </row>
    <row r="4368" spans="23:23" ht="26.4">
      <c r="W4368" s="64" ph="1"/>
    </row>
    <row r="4369" spans="23:23" ht="26.4">
      <c r="W4369" s="64" ph="1"/>
    </row>
    <row r="4370" spans="23:23" ht="26.4">
      <c r="W4370" s="64" ph="1"/>
    </row>
    <row r="4371" spans="23:23" ht="26.4">
      <c r="W4371" s="64" ph="1"/>
    </row>
    <row r="4372" spans="23:23" ht="26.4">
      <c r="W4372" s="64" ph="1"/>
    </row>
    <row r="4373" spans="23:23" ht="26.4">
      <c r="W4373" s="64" ph="1"/>
    </row>
    <row r="4374" spans="23:23" ht="26.4">
      <c r="W4374" s="64" ph="1"/>
    </row>
    <row r="4375" spans="23:23" ht="26.4">
      <c r="W4375" s="64" ph="1"/>
    </row>
    <row r="4376" spans="23:23" ht="26.4">
      <c r="W4376" s="64" ph="1"/>
    </row>
    <row r="4377" spans="23:23" ht="26.4">
      <c r="W4377" s="64" ph="1"/>
    </row>
    <row r="4378" spans="23:23" ht="26.4">
      <c r="W4378" s="64" ph="1"/>
    </row>
    <row r="4379" spans="23:23" ht="26.4">
      <c r="W4379" s="64" ph="1"/>
    </row>
    <row r="4380" spans="23:23" ht="26.4">
      <c r="W4380" s="64" ph="1"/>
    </row>
    <row r="4381" spans="23:23" ht="26.4">
      <c r="W4381" s="64" ph="1"/>
    </row>
    <row r="4382" spans="23:23" ht="26.4">
      <c r="W4382" s="64" ph="1"/>
    </row>
    <row r="4383" spans="23:23" ht="26.4">
      <c r="W4383" s="64" ph="1"/>
    </row>
    <row r="4384" spans="23:23" ht="26.4">
      <c r="W4384" s="64" ph="1"/>
    </row>
    <row r="4385" spans="23:23" ht="26.4">
      <c r="W4385" s="64" ph="1"/>
    </row>
    <row r="4386" spans="23:23" ht="26.4">
      <c r="W4386" s="64" ph="1"/>
    </row>
    <row r="4387" spans="23:23" ht="26.4">
      <c r="W4387" s="64" ph="1"/>
    </row>
    <row r="4388" spans="23:23" ht="26.4">
      <c r="W4388" s="64" ph="1"/>
    </row>
    <row r="4389" spans="23:23" ht="26.4">
      <c r="W4389" s="64" ph="1"/>
    </row>
    <row r="4390" spans="23:23" ht="26.4">
      <c r="W4390" s="64" ph="1"/>
    </row>
    <row r="4391" spans="23:23" ht="26.4">
      <c r="W4391" s="64" ph="1"/>
    </row>
    <row r="4392" spans="23:23" ht="26.4">
      <c r="W4392" s="64" ph="1"/>
    </row>
    <row r="4393" spans="23:23" ht="26.4">
      <c r="W4393" s="64" ph="1"/>
    </row>
    <row r="4394" spans="23:23" ht="26.4">
      <c r="W4394" s="64" ph="1"/>
    </row>
    <row r="4395" spans="23:23" ht="26.4">
      <c r="W4395" s="64" ph="1"/>
    </row>
    <row r="4396" spans="23:23" ht="26.4">
      <c r="W4396" s="64" ph="1"/>
    </row>
    <row r="4397" spans="23:23" ht="26.4">
      <c r="W4397" s="64" ph="1"/>
    </row>
    <row r="4398" spans="23:23" ht="26.4">
      <c r="W4398" s="64" ph="1"/>
    </row>
    <row r="4399" spans="23:23" ht="26.4">
      <c r="W4399" s="64" ph="1"/>
    </row>
    <row r="4400" spans="23:23" ht="26.4">
      <c r="W4400" s="64" ph="1"/>
    </row>
    <row r="4401" spans="23:23" ht="26.4">
      <c r="W4401" s="64" ph="1"/>
    </row>
    <row r="4402" spans="23:23" ht="26.4">
      <c r="W4402" s="64" ph="1"/>
    </row>
    <row r="4403" spans="23:23" ht="26.4">
      <c r="W4403" s="64" ph="1"/>
    </row>
    <row r="4404" spans="23:23" ht="26.4">
      <c r="W4404" s="64" ph="1"/>
    </row>
    <row r="4405" spans="23:23" ht="26.4">
      <c r="W4405" s="64" ph="1"/>
    </row>
    <row r="4406" spans="23:23" ht="26.4">
      <c r="W4406" s="64" ph="1"/>
    </row>
    <row r="4407" spans="23:23" ht="26.4">
      <c r="W4407" s="64" ph="1"/>
    </row>
    <row r="4408" spans="23:23" ht="26.4">
      <c r="W4408" s="64" ph="1"/>
    </row>
    <row r="4409" spans="23:23" ht="26.4">
      <c r="W4409" s="64" ph="1"/>
    </row>
    <row r="4410" spans="23:23" ht="26.4">
      <c r="W4410" s="64" ph="1"/>
    </row>
    <row r="4411" spans="23:23" ht="26.4">
      <c r="W4411" s="64" ph="1"/>
    </row>
    <row r="4412" spans="23:23" ht="26.4">
      <c r="W4412" s="64" ph="1"/>
    </row>
    <row r="4413" spans="23:23" ht="26.4">
      <c r="W4413" s="64" ph="1"/>
    </row>
    <row r="4414" spans="23:23" ht="26.4">
      <c r="W4414" s="64" ph="1"/>
    </row>
    <row r="4415" spans="23:23" ht="26.4">
      <c r="W4415" s="64" ph="1"/>
    </row>
    <row r="4416" spans="23:23" ht="26.4">
      <c r="W4416" s="64" ph="1"/>
    </row>
    <row r="4417" spans="23:23" ht="26.4">
      <c r="W4417" s="64" ph="1"/>
    </row>
    <row r="4418" spans="23:23" ht="26.4">
      <c r="W4418" s="64" ph="1"/>
    </row>
    <row r="4419" spans="23:23" ht="26.4">
      <c r="W4419" s="64" ph="1"/>
    </row>
    <row r="4420" spans="23:23" ht="26.4">
      <c r="W4420" s="64" ph="1"/>
    </row>
    <row r="4421" spans="23:23" ht="26.4">
      <c r="W4421" s="64" ph="1"/>
    </row>
    <row r="4422" spans="23:23" ht="26.4">
      <c r="W4422" s="64" ph="1"/>
    </row>
    <row r="4423" spans="23:23" ht="26.4">
      <c r="W4423" s="64" ph="1"/>
    </row>
    <row r="4424" spans="23:23" ht="26.4">
      <c r="W4424" s="64" ph="1"/>
    </row>
    <row r="4425" spans="23:23" ht="26.4">
      <c r="W4425" s="64" ph="1"/>
    </row>
    <row r="4426" spans="23:23" ht="26.4">
      <c r="W4426" s="64" ph="1"/>
    </row>
    <row r="4427" spans="23:23" ht="26.4">
      <c r="W4427" s="64" ph="1"/>
    </row>
    <row r="4428" spans="23:23" ht="26.4">
      <c r="W4428" s="64" ph="1"/>
    </row>
    <row r="4429" spans="23:23" ht="26.4">
      <c r="W4429" s="64" ph="1"/>
    </row>
    <row r="4430" spans="23:23" ht="26.4">
      <c r="W4430" s="64" ph="1"/>
    </row>
    <row r="4431" spans="23:23" ht="26.4">
      <c r="W4431" s="64" ph="1"/>
    </row>
    <row r="4432" spans="23:23" ht="26.4">
      <c r="W4432" s="64" ph="1"/>
    </row>
    <row r="4433" spans="23:23" ht="26.4">
      <c r="W4433" s="64" ph="1"/>
    </row>
    <row r="4434" spans="23:23" ht="26.4">
      <c r="W4434" s="64" ph="1"/>
    </row>
    <row r="4435" spans="23:23" ht="26.4">
      <c r="W4435" s="64" ph="1"/>
    </row>
    <row r="4436" spans="23:23" ht="26.4">
      <c r="W4436" s="64" ph="1"/>
    </row>
    <row r="4437" spans="23:23" ht="26.4">
      <c r="W4437" s="64" ph="1"/>
    </row>
    <row r="4438" spans="23:23" ht="26.4">
      <c r="W4438" s="64" ph="1"/>
    </row>
    <row r="4439" spans="23:23" ht="26.4">
      <c r="W4439" s="64" ph="1"/>
    </row>
    <row r="4440" spans="23:23" ht="26.4">
      <c r="W4440" s="64" ph="1"/>
    </row>
    <row r="4441" spans="23:23" ht="26.4">
      <c r="W4441" s="64" ph="1"/>
    </row>
    <row r="4442" spans="23:23" ht="26.4">
      <c r="W4442" s="64" ph="1"/>
    </row>
    <row r="4443" spans="23:23" ht="26.4">
      <c r="W4443" s="64" ph="1"/>
    </row>
    <row r="4444" spans="23:23" ht="26.4">
      <c r="W4444" s="64" ph="1"/>
    </row>
    <row r="4445" spans="23:23" ht="26.4">
      <c r="W4445" s="64" ph="1"/>
    </row>
    <row r="4446" spans="23:23" ht="26.4">
      <c r="W4446" s="64" ph="1"/>
    </row>
    <row r="4447" spans="23:23" ht="26.4">
      <c r="W4447" s="64" ph="1"/>
    </row>
    <row r="4448" spans="23:23" ht="26.4">
      <c r="W4448" s="64" ph="1"/>
    </row>
    <row r="4449" spans="23:23" ht="26.4">
      <c r="W4449" s="64" ph="1"/>
    </row>
    <row r="4450" spans="23:23" ht="26.4">
      <c r="W4450" s="64" ph="1"/>
    </row>
    <row r="4451" spans="23:23" ht="26.4">
      <c r="W4451" s="64" ph="1"/>
    </row>
    <row r="4452" spans="23:23" ht="26.4">
      <c r="W4452" s="64" ph="1"/>
    </row>
    <row r="4453" spans="23:23" ht="26.4">
      <c r="W4453" s="64" ph="1"/>
    </row>
    <row r="4454" spans="23:23" ht="26.4">
      <c r="W4454" s="64" ph="1"/>
    </row>
    <row r="4455" spans="23:23" ht="26.4">
      <c r="W4455" s="64" ph="1"/>
    </row>
    <row r="4456" spans="23:23" ht="26.4">
      <c r="W4456" s="64" ph="1"/>
    </row>
    <row r="4457" spans="23:23" ht="26.4">
      <c r="W4457" s="64" ph="1"/>
    </row>
    <row r="4458" spans="23:23" ht="26.4">
      <c r="W4458" s="64" ph="1"/>
    </row>
    <row r="4459" spans="23:23" ht="26.4">
      <c r="W4459" s="64" ph="1"/>
    </row>
    <row r="4460" spans="23:23" ht="26.4">
      <c r="W4460" s="64" ph="1"/>
    </row>
    <row r="4461" spans="23:23" ht="26.4">
      <c r="W4461" s="64" ph="1"/>
    </row>
    <row r="4462" spans="23:23" ht="26.4">
      <c r="W4462" s="64" ph="1"/>
    </row>
    <row r="4463" spans="23:23" ht="26.4">
      <c r="W4463" s="64" ph="1"/>
    </row>
    <row r="4464" spans="23:23" ht="26.4">
      <c r="W4464" s="64" ph="1"/>
    </row>
    <row r="4465" spans="23:23" ht="26.4">
      <c r="W4465" s="64" ph="1"/>
    </row>
    <row r="4466" spans="23:23" ht="26.4">
      <c r="W4466" s="64" ph="1"/>
    </row>
    <row r="4467" spans="23:23" ht="26.4">
      <c r="W4467" s="64" ph="1"/>
    </row>
    <row r="4468" spans="23:23" ht="26.4">
      <c r="W4468" s="64" ph="1"/>
    </row>
    <row r="4469" spans="23:23" ht="26.4">
      <c r="W4469" s="64" ph="1"/>
    </row>
    <row r="4470" spans="23:23" ht="26.4">
      <c r="W4470" s="64" ph="1"/>
    </row>
    <row r="4471" spans="23:23" ht="26.4">
      <c r="W4471" s="64" ph="1"/>
    </row>
    <row r="4472" spans="23:23" ht="26.4">
      <c r="W4472" s="64" ph="1"/>
    </row>
    <row r="4473" spans="23:23" ht="26.4">
      <c r="W4473" s="64" ph="1"/>
    </row>
    <row r="4474" spans="23:23" ht="26.4">
      <c r="W4474" s="64" ph="1"/>
    </row>
    <row r="4475" spans="23:23" ht="26.4">
      <c r="W4475" s="64" ph="1"/>
    </row>
    <row r="4476" spans="23:23" ht="26.4">
      <c r="W4476" s="64" ph="1"/>
    </row>
    <row r="4477" spans="23:23" ht="26.4">
      <c r="W4477" s="64" ph="1"/>
    </row>
    <row r="4478" spans="23:23" ht="26.4">
      <c r="W4478" s="64" ph="1"/>
    </row>
    <row r="4479" spans="23:23" ht="26.4">
      <c r="W4479" s="64" ph="1"/>
    </row>
    <row r="4480" spans="23:23" ht="26.4">
      <c r="W4480" s="64" ph="1"/>
    </row>
    <row r="4481" spans="23:23" ht="26.4">
      <c r="W4481" s="64" ph="1"/>
    </row>
    <row r="4482" spans="23:23" ht="26.4">
      <c r="W4482" s="64" ph="1"/>
    </row>
    <row r="4483" spans="23:23" ht="26.4">
      <c r="W4483" s="64" ph="1"/>
    </row>
    <row r="4484" spans="23:23" ht="26.4">
      <c r="W4484" s="64" ph="1"/>
    </row>
    <row r="4485" spans="23:23" ht="26.4">
      <c r="W4485" s="64" ph="1"/>
    </row>
    <row r="4486" spans="23:23" ht="26.4">
      <c r="W4486" s="64" ph="1"/>
    </row>
    <row r="4487" spans="23:23" ht="26.4">
      <c r="W4487" s="64" ph="1"/>
    </row>
    <row r="4488" spans="23:23" ht="26.4">
      <c r="W4488" s="64" ph="1"/>
    </row>
    <row r="4489" spans="23:23" ht="26.4">
      <c r="W4489" s="64" ph="1"/>
    </row>
    <row r="4490" spans="23:23" ht="26.4">
      <c r="W4490" s="64" ph="1"/>
    </row>
    <row r="4491" spans="23:23" ht="26.4">
      <c r="W4491" s="64" ph="1"/>
    </row>
    <row r="4492" spans="23:23" ht="26.4">
      <c r="W4492" s="64" ph="1"/>
    </row>
    <row r="4493" spans="23:23" ht="26.4">
      <c r="W4493" s="64" ph="1"/>
    </row>
    <row r="4494" spans="23:23" ht="26.4">
      <c r="W4494" s="64" ph="1"/>
    </row>
    <row r="4495" spans="23:23" ht="26.4">
      <c r="W4495" s="64" ph="1"/>
    </row>
    <row r="4496" spans="23:23" ht="26.4">
      <c r="W4496" s="64" ph="1"/>
    </row>
    <row r="4497" spans="23:23" ht="26.4">
      <c r="W4497" s="64" ph="1"/>
    </row>
    <row r="4498" spans="23:23" ht="26.4">
      <c r="W4498" s="64" ph="1"/>
    </row>
    <row r="4499" spans="23:23" ht="26.4">
      <c r="W4499" s="64" ph="1"/>
    </row>
    <row r="4500" spans="23:23" ht="26.4">
      <c r="W4500" s="64" ph="1"/>
    </row>
    <row r="4501" spans="23:23" ht="26.4">
      <c r="W4501" s="64" ph="1"/>
    </row>
    <row r="4502" spans="23:23" ht="26.4">
      <c r="W4502" s="64" ph="1"/>
    </row>
    <row r="4503" spans="23:23" ht="26.4">
      <c r="W4503" s="64" ph="1"/>
    </row>
    <row r="4504" spans="23:23" ht="26.4">
      <c r="W4504" s="64" ph="1"/>
    </row>
    <row r="4505" spans="23:23" ht="26.4">
      <c r="W4505" s="64" ph="1"/>
    </row>
    <row r="4506" spans="23:23" ht="26.4">
      <c r="W4506" s="64" ph="1"/>
    </row>
    <row r="4507" spans="23:23" ht="26.4">
      <c r="W4507" s="64" ph="1"/>
    </row>
    <row r="4508" spans="23:23" ht="26.4">
      <c r="W4508" s="64" ph="1"/>
    </row>
    <row r="4509" spans="23:23" ht="26.4">
      <c r="W4509" s="64" ph="1"/>
    </row>
    <row r="4510" spans="23:23" ht="26.4">
      <c r="W4510" s="64" ph="1"/>
    </row>
    <row r="4511" spans="23:23" ht="26.4">
      <c r="W4511" s="64" ph="1"/>
    </row>
    <row r="4512" spans="23:23" ht="26.4">
      <c r="W4512" s="64" ph="1"/>
    </row>
    <row r="4513" spans="23:23" ht="26.4">
      <c r="W4513" s="64" ph="1"/>
    </row>
    <row r="4514" spans="23:23" ht="26.4">
      <c r="W4514" s="64" ph="1"/>
    </row>
    <row r="4515" spans="23:23" ht="26.4">
      <c r="W4515" s="64" ph="1"/>
    </row>
    <row r="4516" spans="23:23" ht="26.4">
      <c r="W4516" s="64" ph="1"/>
    </row>
    <row r="4517" spans="23:23" ht="26.4">
      <c r="W4517" s="64" ph="1"/>
    </row>
    <row r="4518" spans="23:23" ht="26.4">
      <c r="W4518" s="64" ph="1"/>
    </row>
    <row r="4519" spans="23:23" ht="26.4">
      <c r="W4519" s="64" ph="1"/>
    </row>
    <row r="4520" spans="23:23" ht="26.4">
      <c r="W4520" s="64" ph="1"/>
    </row>
    <row r="4521" spans="23:23" ht="26.4">
      <c r="W4521" s="64" ph="1"/>
    </row>
    <row r="4522" spans="23:23" ht="26.4">
      <c r="W4522" s="64" ph="1"/>
    </row>
    <row r="4523" spans="23:23" ht="26.4">
      <c r="W4523" s="64" ph="1"/>
    </row>
    <row r="4524" spans="23:23" ht="26.4">
      <c r="W4524" s="64" ph="1"/>
    </row>
    <row r="4525" spans="23:23" ht="26.4">
      <c r="W4525" s="64" ph="1"/>
    </row>
    <row r="4526" spans="23:23" ht="26.4">
      <c r="W4526" s="64" ph="1"/>
    </row>
    <row r="4527" spans="23:23" ht="26.4">
      <c r="W4527" s="64" ph="1"/>
    </row>
    <row r="4528" spans="23:23" ht="26.4">
      <c r="W4528" s="64" ph="1"/>
    </row>
    <row r="4529" spans="23:23" ht="26.4">
      <c r="W4529" s="64" ph="1"/>
    </row>
    <row r="4530" spans="23:23" ht="26.4">
      <c r="W4530" s="64" ph="1"/>
    </row>
    <row r="4531" spans="23:23" ht="26.4">
      <c r="W4531" s="64" ph="1"/>
    </row>
    <row r="4532" spans="23:23" ht="26.4">
      <c r="W4532" s="64" ph="1"/>
    </row>
    <row r="4533" spans="23:23" ht="26.4">
      <c r="W4533" s="64" ph="1"/>
    </row>
    <row r="4534" spans="23:23" ht="26.4">
      <c r="W4534" s="64" ph="1"/>
    </row>
    <row r="4535" spans="23:23" ht="26.4">
      <c r="W4535" s="64" ph="1"/>
    </row>
    <row r="4536" spans="23:23" ht="26.4">
      <c r="W4536" s="64" ph="1"/>
    </row>
    <row r="4537" spans="23:23" ht="26.4">
      <c r="W4537" s="64" ph="1"/>
    </row>
    <row r="4538" spans="23:23" ht="26.4">
      <c r="W4538" s="64" ph="1"/>
    </row>
    <row r="4539" spans="23:23" ht="26.4">
      <c r="W4539" s="64" ph="1"/>
    </row>
    <row r="4540" spans="23:23" ht="26.4">
      <c r="W4540" s="64" ph="1"/>
    </row>
    <row r="4541" spans="23:23" ht="26.4">
      <c r="W4541" s="64" ph="1"/>
    </row>
    <row r="4542" spans="23:23" ht="26.4">
      <c r="W4542" s="64" ph="1"/>
    </row>
    <row r="4543" spans="23:23" ht="26.4">
      <c r="W4543" s="64" ph="1"/>
    </row>
    <row r="4544" spans="23:23" ht="26.4">
      <c r="W4544" s="64" ph="1"/>
    </row>
    <row r="4545" spans="23:23" ht="26.4">
      <c r="W4545" s="64" ph="1"/>
    </row>
    <row r="4546" spans="23:23" ht="26.4">
      <c r="W4546" s="64" ph="1"/>
    </row>
    <row r="4547" spans="23:23" ht="26.4">
      <c r="W4547" s="64" ph="1"/>
    </row>
    <row r="4548" spans="23:23" ht="26.4">
      <c r="W4548" s="64" ph="1"/>
    </row>
    <row r="4549" spans="23:23" ht="26.4">
      <c r="W4549" s="64" ph="1"/>
    </row>
    <row r="4550" spans="23:23" ht="26.4">
      <c r="W4550" s="64" ph="1"/>
    </row>
    <row r="4551" spans="23:23" ht="26.4">
      <c r="W4551" s="64" ph="1"/>
    </row>
    <row r="4552" spans="23:23" ht="26.4">
      <c r="W4552" s="64" ph="1"/>
    </row>
    <row r="4553" spans="23:23" ht="26.4">
      <c r="W4553" s="64" ph="1"/>
    </row>
    <row r="4554" spans="23:23" ht="26.4">
      <c r="W4554" s="64" ph="1"/>
    </row>
    <row r="4555" spans="23:23" ht="26.4">
      <c r="W4555" s="64" ph="1"/>
    </row>
    <row r="4556" spans="23:23" ht="26.4">
      <c r="W4556" s="64" ph="1"/>
    </row>
    <row r="4557" spans="23:23" ht="26.4">
      <c r="W4557" s="64" ph="1"/>
    </row>
    <row r="4558" spans="23:23" ht="26.4">
      <c r="W4558" s="64" ph="1"/>
    </row>
    <row r="4559" spans="23:23" ht="26.4">
      <c r="W4559" s="64" ph="1"/>
    </row>
    <row r="4560" spans="23:23" ht="26.4">
      <c r="W4560" s="64" ph="1"/>
    </row>
    <row r="4561" spans="23:23" ht="26.4">
      <c r="W4561" s="64" ph="1"/>
    </row>
    <row r="4562" spans="23:23" ht="26.4">
      <c r="W4562" s="64" ph="1"/>
    </row>
    <row r="4563" spans="23:23" ht="26.4">
      <c r="W4563" s="64" ph="1"/>
    </row>
    <row r="4564" spans="23:23" ht="26.4">
      <c r="W4564" s="64" ph="1"/>
    </row>
    <row r="4565" spans="23:23" ht="26.4">
      <c r="W4565" s="64" ph="1"/>
    </row>
    <row r="4566" spans="23:23" ht="26.4">
      <c r="W4566" s="64" ph="1"/>
    </row>
    <row r="4567" spans="23:23" ht="26.4">
      <c r="W4567" s="64" ph="1"/>
    </row>
    <row r="4568" spans="23:23" ht="26.4">
      <c r="W4568" s="64" ph="1"/>
    </row>
    <row r="4569" spans="23:23" ht="26.4">
      <c r="W4569" s="64" ph="1"/>
    </row>
    <row r="4570" spans="23:23" ht="26.4">
      <c r="W4570" s="64" ph="1"/>
    </row>
    <row r="4571" spans="23:23" ht="26.4">
      <c r="W4571" s="64" ph="1"/>
    </row>
    <row r="4572" spans="23:23" ht="26.4">
      <c r="W4572" s="64" ph="1"/>
    </row>
    <row r="4573" spans="23:23" ht="26.4">
      <c r="W4573" s="64" ph="1"/>
    </row>
    <row r="4574" spans="23:23" ht="26.4">
      <c r="W4574" s="64" ph="1"/>
    </row>
    <row r="4575" spans="23:23" ht="26.4">
      <c r="W4575" s="64" ph="1"/>
    </row>
    <row r="4576" spans="23:23" ht="26.4">
      <c r="W4576" s="64" ph="1"/>
    </row>
    <row r="4577" spans="23:23" ht="26.4">
      <c r="W4577" s="64" ph="1"/>
    </row>
    <row r="4578" spans="23:23" ht="26.4">
      <c r="W4578" s="64" ph="1"/>
    </row>
    <row r="4579" spans="23:23" ht="26.4">
      <c r="W4579" s="64" ph="1"/>
    </row>
    <row r="4580" spans="23:23" ht="26.4">
      <c r="W4580" s="64" ph="1"/>
    </row>
    <row r="4581" spans="23:23" ht="26.4">
      <c r="W4581" s="64" ph="1"/>
    </row>
    <row r="4582" spans="23:23" ht="26.4">
      <c r="W4582" s="64" ph="1"/>
    </row>
    <row r="4583" spans="23:23" ht="26.4">
      <c r="W4583" s="64" ph="1"/>
    </row>
    <row r="4584" spans="23:23" ht="26.4">
      <c r="W4584" s="64" ph="1"/>
    </row>
    <row r="4585" spans="23:23" ht="26.4">
      <c r="W4585" s="64" ph="1"/>
    </row>
    <row r="4586" spans="23:23" ht="26.4">
      <c r="W4586" s="64" ph="1"/>
    </row>
    <row r="4587" spans="23:23" ht="26.4">
      <c r="W4587" s="64" ph="1"/>
    </row>
    <row r="4588" spans="23:23" ht="26.4">
      <c r="W4588" s="64" ph="1"/>
    </row>
    <row r="4589" spans="23:23" ht="26.4">
      <c r="W4589" s="64" ph="1"/>
    </row>
    <row r="4590" spans="23:23" ht="26.4">
      <c r="W4590" s="64" ph="1"/>
    </row>
    <row r="4591" spans="23:23" ht="26.4">
      <c r="W4591" s="64" ph="1"/>
    </row>
    <row r="4592" spans="23:23" ht="26.4">
      <c r="W4592" s="64" ph="1"/>
    </row>
    <row r="4593" spans="23:23" ht="26.4">
      <c r="W4593" s="64" ph="1"/>
    </row>
    <row r="4594" spans="23:23" ht="26.4">
      <c r="W4594" s="64" ph="1"/>
    </row>
    <row r="4595" spans="23:23" ht="26.4">
      <c r="W4595" s="64" ph="1"/>
    </row>
    <row r="4596" spans="23:23" ht="26.4">
      <c r="W4596" s="64" ph="1"/>
    </row>
    <row r="4597" spans="23:23" ht="26.4">
      <c r="W4597" s="64" ph="1"/>
    </row>
    <row r="4598" spans="23:23" ht="26.4">
      <c r="W4598" s="64" ph="1"/>
    </row>
    <row r="4599" spans="23:23" ht="26.4">
      <c r="W4599" s="64" ph="1"/>
    </row>
    <row r="4600" spans="23:23" ht="26.4">
      <c r="W4600" s="64" ph="1"/>
    </row>
    <row r="4601" spans="23:23" ht="26.4">
      <c r="W4601" s="64" ph="1"/>
    </row>
    <row r="4602" spans="23:23" ht="26.4">
      <c r="W4602" s="64" ph="1"/>
    </row>
    <row r="4603" spans="23:23" ht="26.4">
      <c r="W4603" s="64" ph="1"/>
    </row>
    <row r="4604" spans="23:23" ht="26.4">
      <c r="W4604" s="64" ph="1"/>
    </row>
    <row r="4605" spans="23:23" ht="26.4">
      <c r="W4605" s="64" ph="1"/>
    </row>
    <row r="4606" spans="23:23" ht="26.4">
      <c r="W4606" s="64" ph="1"/>
    </row>
    <row r="4607" spans="23:23" ht="26.4">
      <c r="W4607" s="64" ph="1"/>
    </row>
    <row r="4608" spans="23:23" ht="26.4">
      <c r="W4608" s="64" ph="1"/>
    </row>
    <row r="4609" spans="23:23" ht="26.4">
      <c r="W4609" s="64" ph="1"/>
    </row>
    <row r="4610" spans="23:23" ht="26.4">
      <c r="W4610" s="64" ph="1"/>
    </row>
    <row r="4611" spans="23:23" ht="26.4">
      <c r="W4611" s="64" ph="1"/>
    </row>
    <row r="4612" spans="23:23" ht="26.4">
      <c r="W4612" s="64" ph="1"/>
    </row>
    <row r="4613" spans="23:23" ht="26.4">
      <c r="W4613" s="64" ph="1"/>
    </row>
    <row r="4614" spans="23:23" ht="26.4">
      <c r="W4614" s="64" ph="1"/>
    </row>
    <row r="4615" spans="23:23" ht="26.4">
      <c r="W4615" s="64" ph="1"/>
    </row>
    <row r="4616" spans="23:23" ht="26.4">
      <c r="W4616" s="64" ph="1"/>
    </row>
    <row r="4617" spans="23:23" ht="26.4">
      <c r="W4617" s="64" ph="1"/>
    </row>
    <row r="4618" spans="23:23" ht="26.4">
      <c r="W4618" s="64" ph="1"/>
    </row>
    <row r="4619" spans="23:23" ht="26.4">
      <c r="W4619" s="64" ph="1"/>
    </row>
    <row r="4620" spans="23:23" ht="26.4">
      <c r="W4620" s="64" ph="1"/>
    </row>
    <row r="4621" spans="23:23" ht="26.4">
      <c r="W4621" s="64" ph="1"/>
    </row>
    <row r="4622" spans="23:23" ht="26.4">
      <c r="W4622" s="64" ph="1"/>
    </row>
    <row r="4623" spans="23:23" ht="26.4">
      <c r="W4623" s="64" ph="1"/>
    </row>
    <row r="4624" spans="23:23" ht="26.4">
      <c r="W4624" s="64" ph="1"/>
    </row>
    <row r="4625" spans="23:23" ht="26.4">
      <c r="W4625" s="64" ph="1"/>
    </row>
    <row r="4626" spans="23:23" ht="26.4">
      <c r="W4626" s="64" ph="1"/>
    </row>
    <row r="4627" spans="23:23" ht="26.4">
      <c r="W4627" s="64" ph="1"/>
    </row>
    <row r="4628" spans="23:23" ht="26.4">
      <c r="W4628" s="64" ph="1"/>
    </row>
    <row r="4629" spans="23:23" ht="26.4">
      <c r="W4629" s="64" ph="1"/>
    </row>
    <row r="4630" spans="23:23" ht="26.4">
      <c r="W4630" s="64" ph="1"/>
    </row>
    <row r="4631" spans="23:23" ht="26.4">
      <c r="W4631" s="64" ph="1"/>
    </row>
    <row r="4632" spans="23:23" ht="26.4">
      <c r="W4632" s="64" ph="1"/>
    </row>
    <row r="4633" spans="23:23" ht="26.4">
      <c r="W4633" s="64" ph="1"/>
    </row>
    <row r="4634" spans="23:23" ht="26.4">
      <c r="W4634" s="64" ph="1"/>
    </row>
    <row r="4635" spans="23:23" ht="26.4">
      <c r="W4635" s="64" ph="1"/>
    </row>
    <row r="4636" spans="23:23" ht="26.4">
      <c r="W4636" s="64" ph="1"/>
    </row>
    <row r="4637" spans="23:23" ht="26.4">
      <c r="W4637" s="64" ph="1"/>
    </row>
    <row r="4638" spans="23:23" ht="26.4">
      <c r="W4638" s="64" ph="1"/>
    </row>
    <row r="4639" spans="23:23" ht="26.4">
      <c r="W4639" s="64" ph="1"/>
    </row>
    <row r="4640" spans="23:23" ht="26.4">
      <c r="W4640" s="64" ph="1"/>
    </row>
    <row r="4641" spans="23:23" ht="26.4">
      <c r="W4641" s="64" ph="1"/>
    </row>
    <row r="4642" spans="23:23" ht="26.4">
      <c r="W4642" s="64" ph="1"/>
    </row>
    <row r="4643" spans="23:23" ht="26.4">
      <c r="W4643" s="64" ph="1"/>
    </row>
    <row r="4644" spans="23:23" ht="26.4">
      <c r="W4644" s="64" ph="1"/>
    </row>
    <row r="4645" spans="23:23" ht="26.4">
      <c r="W4645" s="64" ph="1"/>
    </row>
    <row r="4646" spans="23:23" ht="26.4">
      <c r="W4646" s="64" ph="1"/>
    </row>
    <row r="4647" spans="23:23" ht="26.4">
      <c r="W4647" s="64" ph="1"/>
    </row>
    <row r="4648" spans="23:23" ht="26.4">
      <c r="W4648" s="64" ph="1"/>
    </row>
    <row r="4649" spans="23:23" ht="26.4">
      <c r="W4649" s="64" ph="1"/>
    </row>
    <row r="4650" spans="23:23" ht="26.4">
      <c r="W4650" s="64" ph="1"/>
    </row>
    <row r="4651" spans="23:23" ht="26.4">
      <c r="W4651" s="64" ph="1"/>
    </row>
    <row r="4652" spans="23:23" ht="26.4">
      <c r="W4652" s="64" ph="1"/>
    </row>
    <row r="4653" spans="23:23" ht="26.4">
      <c r="W4653" s="64" ph="1"/>
    </row>
    <row r="4654" spans="23:23" ht="26.4">
      <c r="W4654" s="64" ph="1"/>
    </row>
    <row r="4655" spans="23:23" ht="26.4">
      <c r="W4655" s="64" ph="1"/>
    </row>
    <row r="4656" spans="23:23" ht="26.4">
      <c r="W4656" s="64" ph="1"/>
    </row>
    <row r="4657" spans="23:23" ht="26.4">
      <c r="W4657" s="64" ph="1"/>
    </row>
    <row r="4658" spans="23:23" ht="26.4">
      <c r="W4658" s="64" ph="1"/>
    </row>
    <row r="4659" spans="23:23" ht="26.4">
      <c r="W4659" s="64" ph="1"/>
    </row>
    <row r="4660" spans="23:23" ht="26.4">
      <c r="W4660" s="64" ph="1"/>
    </row>
    <row r="4661" spans="23:23" ht="26.4">
      <c r="W4661" s="64" ph="1"/>
    </row>
    <row r="4662" spans="23:23" ht="26.4">
      <c r="W4662" s="64" ph="1"/>
    </row>
    <row r="4663" spans="23:23" ht="26.4">
      <c r="W4663" s="64" ph="1"/>
    </row>
    <row r="4664" spans="23:23" ht="26.4">
      <c r="W4664" s="64" ph="1"/>
    </row>
    <row r="4665" spans="23:23" ht="26.4">
      <c r="W4665" s="64" ph="1"/>
    </row>
    <row r="4666" spans="23:23" ht="26.4">
      <c r="W4666" s="64" ph="1"/>
    </row>
    <row r="4667" spans="23:23" ht="26.4">
      <c r="W4667" s="64" ph="1"/>
    </row>
    <row r="4668" spans="23:23" ht="26.4">
      <c r="W4668" s="64" ph="1"/>
    </row>
    <row r="4669" spans="23:23" ht="26.4">
      <c r="W4669" s="64" ph="1"/>
    </row>
    <row r="4670" spans="23:23" ht="26.4">
      <c r="W4670" s="64" ph="1"/>
    </row>
    <row r="4671" spans="23:23" ht="26.4">
      <c r="W4671" s="64" ph="1"/>
    </row>
    <row r="4672" spans="23:23" ht="26.4">
      <c r="W4672" s="64" ph="1"/>
    </row>
    <row r="4673" spans="23:23" ht="26.4">
      <c r="W4673" s="64" ph="1"/>
    </row>
    <row r="4674" spans="23:23" ht="26.4">
      <c r="W4674" s="64" ph="1"/>
    </row>
    <row r="4675" spans="23:23" ht="26.4">
      <c r="W4675" s="64" ph="1"/>
    </row>
    <row r="4676" spans="23:23" ht="26.4">
      <c r="W4676" s="64" ph="1"/>
    </row>
    <row r="4677" spans="23:23" ht="26.4">
      <c r="W4677" s="64" ph="1"/>
    </row>
    <row r="4678" spans="23:23" ht="26.4">
      <c r="W4678" s="64" ph="1"/>
    </row>
    <row r="4679" spans="23:23" ht="26.4">
      <c r="W4679" s="64" ph="1"/>
    </row>
    <row r="4680" spans="23:23" ht="26.4">
      <c r="W4680" s="64" ph="1"/>
    </row>
    <row r="4681" spans="23:23" ht="26.4">
      <c r="W4681" s="64" ph="1"/>
    </row>
    <row r="4682" spans="23:23" ht="26.4">
      <c r="W4682" s="64" ph="1"/>
    </row>
    <row r="4683" spans="23:23" ht="26.4">
      <c r="W4683" s="64" ph="1"/>
    </row>
    <row r="4684" spans="23:23" ht="26.4">
      <c r="W4684" s="64" ph="1"/>
    </row>
    <row r="4685" spans="23:23" ht="26.4">
      <c r="W4685" s="64" ph="1"/>
    </row>
    <row r="4686" spans="23:23" ht="26.4">
      <c r="W4686" s="64" ph="1"/>
    </row>
    <row r="4687" spans="23:23" ht="26.4">
      <c r="W4687" s="64" ph="1"/>
    </row>
    <row r="4688" spans="23:23" ht="26.4">
      <c r="W4688" s="64" ph="1"/>
    </row>
    <row r="4689" spans="23:23" ht="26.4">
      <c r="W4689" s="64" ph="1"/>
    </row>
    <row r="4690" spans="23:23" ht="26.4">
      <c r="W4690" s="64" ph="1"/>
    </row>
    <row r="4691" spans="23:23" ht="26.4">
      <c r="W4691" s="64" ph="1"/>
    </row>
    <row r="4692" spans="23:23" ht="26.4">
      <c r="W4692" s="64" ph="1"/>
    </row>
    <row r="4693" spans="23:23" ht="26.4">
      <c r="W4693" s="64" ph="1"/>
    </row>
    <row r="4694" spans="23:23" ht="26.4">
      <c r="W4694" s="64" ph="1"/>
    </row>
    <row r="4695" spans="23:23" ht="26.4">
      <c r="W4695" s="64" ph="1"/>
    </row>
    <row r="4696" spans="23:23" ht="26.4">
      <c r="W4696" s="64" ph="1"/>
    </row>
    <row r="4697" spans="23:23" ht="26.4">
      <c r="W4697" s="64" ph="1"/>
    </row>
    <row r="4698" spans="23:23" ht="26.4">
      <c r="W4698" s="64" ph="1"/>
    </row>
    <row r="4699" spans="23:23" ht="26.4">
      <c r="W4699" s="64" ph="1"/>
    </row>
    <row r="4700" spans="23:23" ht="26.4">
      <c r="W4700" s="64" ph="1"/>
    </row>
    <row r="4701" spans="23:23" ht="26.4">
      <c r="W4701" s="64" ph="1"/>
    </row>
    <row r="4702" spans="23:23" ht="26.4">
      <c r="W4702" s="64" ph="1"/>
    </row>
    <row r="4703" spans="23:23" ht="26.4">
      <c r="W4703" s="64" ph="1"/>
    </row>
    <row r="4704" spans="23:23" ht="26.4">
      <c r="W4704" s="64" ph="1"/>
    </row>
    <row r="4705" spans="23:23" ht="26.4">
      <c r="W4705" s="64" ph="1"/>
    </row>
    <row r="4706" spans="23:23" ht="26.4">
      <c r="W4706" s="64" ph="1"/>
    </row>
    <row r="4707" spans="23:23" ht="26.4">
      <c r="W4707" s="64" ph="1"/>
    </row>
    <row r="4708" spans="23:23" ht="26.4">
      <c r="W4708" s="64" ph="1"/>
    </row>
    <row r="4709" spans="23:23" ht="26.4">
      <c r="W4709" s="64" ph="1"/>
    </row>
    <row r="4710" spans="23:23" ht="26.4">
      <c r="W4710" s="64" ph="1"/>
    </row>
    <row r="4711" spans="23:23" ht="26.4">
      <c r="W4711" s="64" ph="1"/>
    </row>
    <row r="4712" spans="23:23" ht="26.4">
      <c r="W4712" s="64" ph="1"/>
    </row>
    <row r="4713" spans="23:23" ht="26.4">
      <c r="W4713" s="64" ph="1"/>
    </row>
    <row r="4714" spans="23:23" ht="26.4">
      <c r="W4714" s="64" ph="1"/>
    </row>
    <row r="4715" spans="23:23" ht="26.4">
      <c r="W4715" s="64" ph="1"/>
    </row>
    <row r="4716" spans="23:23" ht="26.4">
      <c r="W4716" s="64" ph="1"/>
    </row>
    <row r="4717" spans="23:23" ht="26.4">
      <c r="W4717" s="64" ph="1"/>
    </row>
    <row r="4718" spans="23:23" ht="26.4">
      <c r="W4718" s="64" ph="1"/>
    </row>
    <row r="4719" spans="23:23" ht="26.4">
      <c r="W4719" s="64" ph="1"/>
    </row>
    <row r="4720" spans="23:23" ht="26.4">
      <c r="W4720" s="64" ph="1"/>
    </row>
    <row r="4721" spans="23:23" ht="26.4">
      <c r="W4721" s="64" ph="1"/>
    </row>
    <row r="4722" spans="23:23" ht="26.4">
      <c r="W4722" s="64" ph="1"/>
    </row>
    <row r="4723" spans="23:23" ht="26.4">
      <c r="W4723" s="64" ph="1"/>
    </row>
    <row r="4724" spans="23:23" ht="26.4">
      <c r="W4724" s="64" ph="1"/>
    </row>
    <row r="4725" spans="23:23" ht="26.4">
      <c r="W4725" s="64" ph="1"/>
    </row>
    <row r="4726" spans="23:23" ht="26.4">
      <c r="W4726" s="64" ph="1"/>
    </row>
    <row r="4727" spans="23:23" ht="26.4">
      <c r="W4727" s="64" ph="1"/>
    </row>
    <row r="4728" spans="23:23" ht="26.4">
      <c r="W4728" s="64" ph="1"/>
    </row>
    <row r="4729" spans="23:23" ht="26.4">
      <c r="W4729" s="64" ph="1"/>
    </row>
    <row r="4730" spans="23:23" ht="26.4">
      <c r="W4730" s="64" ph="1"/>
    </row>
    <row r="4731" spans="23:23" ht="26.4">
      <c r="W4731" s="64" ph="1"/>
    </row>
    <row r="4732" spans="23:23" ht="26.4">
      <c r="W4732" s="64" ph="1"/>
    </row>
    <row r="4733" spans="23:23" ht="26.4">
      <c r="W4733" s="64" ph="1"/>
    </row>
    <row r="4734" spans="23:23" ht="26.4">
      <c r="W4734" s="64" ph="1"/>
    </row>
    <row r="4735" spans="23:23" ht="26.4">
      <c r="W4735" s="64" ph="1"/>
    </row>
    <row r="4736" spans="23:23" ht="26.4">
      <c r="W4736" s="64" ph="1"/>
    </row>
    <row r="4737" spans="23:23" ht="26.4">
      <c r="W4737" s="64" ph="1"/>
    </row>
    <row r="4738" spans="23:23" ht="26.4">
      <c r="W4738" s="64" ph="1"/>
    </row>
    <row r="4739" spans="23:23" ht="26.4">
      <c r="W4739" s="64" ph="1"/>
    </row>
    <row r="4740" spans="23:23" ht="26.4">
      <c r="W4740" s="64" ph="1"/>
    </row>
    <row r="4741" spans="23:23" ht="26.4">
      <c r="W4741" s="64" ph="1"/>
    </row>
    <row r="4742" spans="23:23" ht="26.4">
      <c r="W4742" s="64" ph="1"/>
    </row>
    <row r="4743" spans="23:23" ht="26.4">
      <c r="W4743" s="64" ph="1"/>
    </row>
    <row r="4744" spans="23:23" ht="26.4">
      <c r="W4744" s="64" ph="1"/>
    </row>
    <row r="4745" spans="23:23" ht="26.4">
      <c r="W4745" s="64" ph="1"/>
    </row>
    <row r="4746" spans="23:23" ht="26.4">
      <c r="W4746" s="64" ph="1"/>
    </row>
    <row r="4747" spans="23:23" ht="26.4">
      <c r="W4747" s="64" ph="1"/>
    </row>
    <row r="4748" spans="23:23" ht="26.4">
      <c r="W4748" s="64" ph="1"/>
    </row>
    <row r="4749" spans="23:23" ht="26.4">
      <c r="W4749" s="64" ph="1"/>
    </row>
    <row r="4750" spans="23:23" ht="26.4">
      <c r="W4750" s="64" ph="1"/>
    </row>
    <row r="4751" spans="23:23" ht="26.4">
      <c r="W4751" s="64" ph="1"/>
    </row>
    <row r="4752" spans="23:23" ht="26.4">
      <c r="W4752" s="64" ph="1"/>
    </row>
    <row r="4753" spans="23:23" ht="26.4">
      <c r="W4753" s="64" ph="1"/>
    </row>
    <row r="4754" spans="23:23" ht="26.4">
      <c r="W4754" s="64" ph="1"/>
    </row>
    <row r="4755" spans="23:23" ht="26.4">
      <c r="W4755" s="64" ph="1"/>
    </row>
    <row r="4756" spans="23:23" ht="26.4">
      <c r="W4756" s="64" ph="1"/>
    </row>
    <row r="4757" spans="23:23" ht="26.4">
      <c r="W4757" s="64" ph="1"/>
    </row>
    <row r="4758" spans="23:23" ht="26.4">
      <c r="W4758" s="64" ph="1"/>
    </row>
    <row r="4759" spans="23:23" ht="26.4">
      <c r="W4759" s="64" ph="1"/>
    </row>
    <row r="4760" spans="23:23" ht="26.4">
      <c r="W4760" s="64" ph="1"/>
    </row>
    <row r="4761" spans="23:23" ht="26.4">
      <c r="W4761" s="64" ph="1"/>
    </row>
    <row r="4762" spans="23:23" ht="26.4">
      <c r="W4762" s="64" ph="1"/>
    </row>
    <row r="4763" spans="23:23" ht="26.4">
      <c r="W4763" s="64" ph="1"/>
    </row>
    <row r="4764" spans="23:23" ht="26.4">
      <c r="W4764" s="64" ph="1"/>
    </row>
    <row r="4765" spans="23:23" ht="26.4">
      <c r="W4765" s="64" ph="1"/>
    </row>
    <row r="4766" spans="23:23" ht="26.4">
      <c r="W4766" s="64" ph="1"/>
    </row>
    <row r="4767" spans="23:23" ht="26.4">
      <c r="W4767" s="64" ph="1"/>
    </row>
    <row r="4768" spans="23:23" ht="26.4">
      <c r="W4768" s="64" ph="1"/>
    </row>
    <row r="4769" spans="23:23" ht="26.4">
      <c r="W4769" s="64" ph="1"/>
    </row>
    <row r="4770" spans="23:23" ht="26.4">
      <c r="W4770" s="64" ph="1"/>
    </row>
    <row r="4771" spans="23:23" ht="26.4">
      <c r="W4771" s="64" ph="1"/>
    </row>
    <row r="4772" spans="23:23" ht="26.4">
      <c r="W4772" s="64" ph="1"/>
    </row>
    <row r="4773" spans="23:23" ht="26.4">
      <c r="W4773" s="64" ph="1"/>
    </row>
    <row r="4774" spans="23:23" ht="26.4">
      <c r="W4774" s="64" ph="1"/>
    </row>
    <row r="4775" spans="23:23" ht="26.4">
      <c r="W4775" s="64" ph="1"/>
    </row>
    <row r="4776" spans="23:23" ht="26.4">
      <c r="W4776" s="64" ph="1"/>
    </row>
    <row r="4777" spans="23:23" ht="26.4">
      <c r="W4777" s="64" ph="1"/>
    </row>
    <row r="4778" spans="23:23" ht="26.4">
      <c r="W4778" s="64" ph="1"/>
    </row>
    <row r="4779" spans="23:23" ht="26.4">
      <c r="W4779" s="64" ph="1"/>
    </row>
    <row r="4780" spans="23:23" ht="26.4">
      <c r="W4780" s="64" ph="1"/>
    </row>
    <row r="4781" spans="23:23" ht="26.4">
      <c r="W4781" s="64" ph="1"/>
    </row>
    <row r="4782" spans="23:23" ht="26.4">
      <c r="W4782" s="64" ph="1"/>
    </row>
    <row r="4783" spans="23:23" ht="26.4">
      <c r="W4783" s="64" ph="1"/>
    </row>
    <row r="4784" spans="23:23" ht="26.4">
      <c r="W4784" s="64" ph="1"/>
    </row>
    <row r="4785" spans="23:23" ht="26.4">
      <c r="W4785" s="64" ph="1"/>
    </row>
    <row r="4786" spans="23:23" ht="26.4">
      <c r="W4786" s="64" ph="1"/>
    </row>
    <row r="4787" spans="23:23" ht="26.4">
      <c r="W4787" s="64" ph="1"/>
    </row>
    <row r="4788" spans="23:23" ht="26.4">
      <c r="W4788" s="64" ph="1"/>
    </row>
    <row r="4789" spans="23:23" ht="26.4">
      <c r="W4789" s="64" ph="1"/>
    </row>
    <row r="4790" spans="23:23" ht="26.4">
      <c r="W4790" s="64" ph="1"/>
    </row>
    <row r="4791" spans="23:23" ht="26.4">
      <c r="W4791" s="64" ph="1"/>
    </row>
    <row r="4792" spans="23:23" ht="26.4">
      <c r="W4792" s="64" ph="1"/>
    </row>
    <row r="4793" spans="23:23" ht="26.4">
      <c r="W4793" s="64" ph="1"/>
    </row>
    <row r="4794" spans="23:23" ht="26.4">
      <c r="W4794" s="64" ph="1"/>
    </row>
    <row r="4795" spans="23:23" ht="26.4">
      <c r="W4795" s="64" ph="1"/>
    </row>
    <row r="4796" spans="23:23" ht="26.4">
      <c r="W4796" s="64" ph="1"/>
    </row>
    <row r="4797" spans="23:23" ht="26.4">
      <c r="W4797" s="64" ph="1"/>
    </row>
    <row r="4798" spans="23:23" ht="26.4">
      <c r="W4798" s="64" ph="1"/>
    </row>
    <row r="4799" spans="23:23" ht="26.4">
      <c r="W4799" s="64" ph="1"/>
    </row>
    <row r="4800" spans="23:23" ht="26.4">
      <c r="W4800" s="64" ph="1"/>
    </row>
    <row r="4801" spans="23:23" ht="26.4">
      <c r="W4801" s="64" ph="1"/>
    </row>
    <row r="4802" spans="23:23" ht="26.4">
      <c r="W4802" s="64" ph="1"/>
    </row>
    <row r="4803" spans="23:23" ht="26.4">
      <c r="W4803" s="64" ph="1"/>
    </row>
    <row r="4804" spans="23:23" ht="26.4">
      <c r="W4804" s="64" ph="1"/>
    </row>
    <row r="4805" spans="23:23" ht="26.4">
      <c r="W4805" s="64" ph="1"/>
    </row>
    <row r="4806" spans="23:23" ht="26.4">
      <c r="W4806" s="64" ph="1"/>
    </row>
    <row r="4807" spans="23:23" ht="26.4">
      <c r="W4807" s="64" ph="1"/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T4812"/>
  <sheetViews>
    <sheetView workbookViewId="0">
      <selection activeCell="H2" sqref="H2"/>
    </sheetView>
  </sheetViews>
  <sheetFormatPr defaultColWidth="9.125" defaultRowHeight="16.2"/>
  <cols>
    <col min="1" max="1" width="5.75" style="135" customWidth="1"/>
    <col min="2" max="5" width="5.75" style="97" customWidth="1"/>
    <col min="6" max="6" width="8.75" style="66" customWidth="1"/>
    <col min="7" max="7" width="7.75" style="20" customWidth="1"/>
    <col min="8" max="8" width="5.75" style="13" customWidth="1"/>
    <col min="9" max="9" width="9.75" style="10" customWidth="1"/>
    <col min="10" max="10" width="6.75" style="32" customWidth="1"/>
    <col min="11" max="11" width="6.75" style="367" customWidth="1"/>
    <col min="12" max="12" width="6.75" style="77" customWidth="1"/>
    <col min="13" max="13" width="6.75" style="365" customWidth="1"/>
    <col min="14" max="14" width="7.75" style="367" customWidth="1"/>
    <col min="15" max="15" width="7.75" style="343" customWidth="1"/>
    <col min="16" max="16" width="5.75" style="166" customWidth="1"/>
    <col min="17" max="17" width="4.75" style="109" customWidth="1"/>
    <col min="18" max="18" width="4.75" style="31" customWidth="1"/>
    <col min="19" max="19" width="4.75" style="51" customWidth="1"/>
    <col min="20" max="20" width="5.75" style="339" customWidth="1"/>
    <col min="21" max="21" width="2.75" style="329" customWidth="1"/>
    <col min="22" max="22" width="6.75" style="371" customWidth="1"/>
    <col min="23" max="23" width="7.75" style="64" customWidth="1"/>
    <col min="24" max="24" width="7.75" style="240" customWidth="1"/>
    <col min="25" max="25" width="9.75" style="285" customWidth="1"/>
    <col min="26" max="26" width="9.75" style="72" customWidth="1"/>
    <col min="27" max="27" width="9.75" style="61" customWidth="1"/>
    <col min="28" max="28" width="8.75" style="12" customWidth="1"/>
    <col min="29" max="29" width="6.75" style="104" customWidth="1"/>
    <col min="30" max="30" width="8.75" style="10" customWidth="1"/>
    <col min="31" max="31" width="11.75" style="89" customWidth="1"/>
    <col min="32" max="32" width="11.75" style="88" customWidth="1"/>
    <col min="33" max="33" width="3.75" style="82" customWidth="1"/>
    <col min="34" max="34" width="3.75" style="284" customWidth="1"/>
    <col min="35" max="35" width="2.75" style="129" customWidth="1"/>
    <col min="36" max="36" width="2.75" style="264" customWidth="1"/>
    <col min="37" max="37" width="7.75" style="252" customWidth="1"/>
    <col min="38" max="38" width="7.75" style="266" customWidth="1"/>
    <col min="39" max="40" width="7.75" style="284" customWidth="1"/>
    <col min="41" max="16384" width="9.125" style="284"/>
  </cols>
  <sheetData>
    <row r="1" spans="1:44">
      <c r="A1" s="135" t="s">
        <v>2552</v>
      </c>
      <c r="B1" s="96" t="s">
        <v>2331</v>
      </c>
      <c r="C1" s="96" t="s">
        <v>2332</v>
      </c>
      <c r="D1" s="96" t="s">
        <v>2333</v>
      </c>
      <c r="E1" s="96" t="s">
        <v>2334</v>
      </c>
      <c r="F1" s="9" t="s">
        <v>1709</v>
      </c>
      <c r="G1" s="27" t="s">
        <v>5626</v>
      </c>
      <c r="H1" s="56" t="s">
        <v>578</v>
      </c>
      <c r="I1" s="5" t="s">
        <v>6793</v>
      </c>
      <c r="J1" s="364" t="s">
        <v>2189</v>
      </c>
      <c r="K1" s="364" t="s">
        <v>1820</v>
      </c>
      <c r="L1" s="364" t="s">
        <v>515</v>
      </c>
      <c r="M1" s="364" t="s">
        <v>1699</v>
      </c>
      <c r="N1" s="364" t="s">
        <v>6633</v>
      </c>
      <c r="O1" s="343" t="s">
        <v>6634</v>
      </c>
      <c r="P1" s="83" t="s">
        <v>5279</v>
      </c>
      <c r="Q1" s="326" t="s">
        <v>5514</v>
      </c>
      <c r="R1" s="31" t="s">
        <v>6596</v>
      </c>
      <c r="S1" s="51" t="s">
        <v>6597</v>
      </c>
      <c r="T1" s="338" t="s">
        <v>5627</v>
      </c>
      <c r="U1" s="330" t="s">
        <v>6537</v>
      </c>
      <c r="V1" s="377" t="s">
        <v>6616</v>
      </c>
      <c r="W1" s="11" t="s">
        <v>127</v>
      </c>
      <c r="X1" s="71" t="s">
        <v>6626</v>
      </c>
      <c r="Y1" s="29" t="s">
        <v>6688</v>
      </c>
      <c r="Z1" s="18" t="s">
        <v>2113</v>
      </c>
      <c r="AA1" s="15" t="s">
        <v>3598</v>
      </c>
      <c r="AB1" s="22" t="s">
        <v>2199</v>
      </c>
      <c r="AC1" s="26" t="s">
        <v>211</v>
      </c>
      <c r="AD1" s="5" t="s">
        <v>6793</v>
      </c>
      <c r="AE1" s="56" t="s">
        <v>5568</v>
      </c>
      <c r="AF1" s="114" t="s">
        <v>5575</v>
      </c>
      <c r="AG1" s="33" t="s">
        <v>1827</v>
      </c>
      <c r="AH1" s="262" t="s">
        <v>6777</v>
      </c>
      <c r="AI1" s="284"/>
      <c r="AK1" s="9" t="s">
        <v>6666</v>
      </c>
      <c r="AL1" s="5" t="s">
        <v>6667</v>
      </c>
      <c r="AM1" s="51" t="s">
        <v>5339</v>
      </c>
      <c r="AN1" s="276" t="s">
        <v>6665</v>
      </c>
    </row>
    <row r="2" spans="1:44">
      <c r="A2" s="135" t="s">
        <v>2631</v>
      </c>
      <c r="B2" s="84">
        <v>239</v>
      </c>
      <c r="C2" s="84">
        <v>250</v>
      </c>
      <c r="D2" s="85">
        <v>-75</v>
      </c>
      <c r="E2" s="85">
        <v>-78</v>
      </c>
      <c r="F2" s="59">
        <v>55.97</v>
      </c>
      <c r="G2" s="85">
        <v>6582</v>
      </c>
      <c r="H2" s="5" t="s">
        <v>549</v>
      </c>
      <c r="I2" s="23" t="s">
        <v>1557</v>
      </c>
      <c r="J2" s="371">
        <v>78.349999999999994</v>
      </c>
      <c r="K2" s="77">
        <v>17.579999999999998</v>
      </c>
      <c r="L2" s="371">
        <v>4.0199999999999996</v>
      </c>
      <c r="M2" s="371">
        <v>50.77</v>
      </c>
      <c r="N2" s="77">
        <f t="shared" ref="N2" si="0">J2+K2+L2+M2</f>
        <v>150.72</v>
      </c>
      <c r="O2" s="369">
        <f t="shared" ref="O2" si="1">J2+M2</f>
        <v>129.12</v>
      </c>
      <c r="P2" s="195">
        <v>14</v>
      </c>
      <c r="Q2" s="326">
        <v>8</v>
      </c>
      <c r="R2" s="111">
        <v>19</v>
      </c>
      <c r="S2" s="51">
        <v>19</v>
      </c>
      <c r="T2" s="339">
        <f t="shared" ref="T2" si="2">SUM(P2:S2)</f>
        <v>60</v>
      </c>
      <c r="U2" s="329" t="s">
        <v>6538</v>
      </c>
      <c r="V2" s="371">
        <v>1.1100000000000001</v>
      </c>
      <c r="W2" s="69">
        <v>10</v>
      </c>
      <c r="X2" s="59">
        <v>38.15</v>
      </c>
      <c r="Y2" s="37" t="str">
        <f>RTD("money.excel",,"6582","Price")</f>
        <v>無資料</v>
      </c>
      <c r="Z2" s="69"/>
      <c r="AA2" s="16" t="e">
        <f t="shared" ref="AA2" si="3">Y2-Z2</f>
        <v>#VALUE!</v>
      </c>
      <c r="AB2" s="3" t="e">
        <f t="shared" ref="AB2" si="4">AA2/Z2</f>
        <v>#VALUE!</v>
      </c>
      <c r="AC2" s="177" t="s">
        <v>6923</v>
      </c>
      <c r="AD2" s="23" t="s">
        <v>1557</v>
      </c>
      <c r="AE2" s="89">
        <v>44559</v>
      </c>
      <c r="AG2" s="34">
        <f t="shared" ref="AG2" si="5">AF2-AE2</f>
        <v>-44559</v>
      </c>
      <c r="AH2" s="63" t="s">
        <v>4000</v>
      </c>
      <c r="AI2" s="52"/>
      <c r="AK2" s="66">
        <f t="shared" ref="AK2" si="6">AM2/(A2*10000)</f>
        <v>0</v>
      </c>
      <c r="AL2" s="174">
        <f t="shared" ref="AL2" si="7">AN2/(A2*10000)</f>
        <v>0</v>
      </c>
      <c r="AM2" s="346">
        <f>RTD("money.excel",,$G2,"PredictVolume")</f>
        <v>0</v>
      </c>
      <c r="AN2" s="272">
        <f>RTD("money.excel",,$G2,"CumulativeVolume")</f>
        <v>0</v>
      </c>
      <c r="AO2" s="19"/>
      <c r="AP2" s="19"/>
      <c r="AQ2" s="19"/>
      <c r="AR2" s="19"/>
    </row>
    <row r="3" spans="1:44">
      <c r="B3" s="96"/>
      <c r="C3" s="96"/>
      <c r="D3" s="96"/>
      <c r="E3" s="96"/>
      <c r="F3" s="9"/>
      <c r="G3" s="27"/>
      <c r="H3" s="56"/>
      <c r="I3" s="5"/>
      <c r="J3" s="364"/>
      <c r="K3" s="364"/>
      <c r="L3" s="364"/>
      <c r="M3" s="364"/>
      <c r="N3" s="364"/>
      <c r="P3" s="83"/>
      <c r="Q3" s="326"/>
      <c r="T3" s="338"/>
      <c r="U3" s="330"/>
      <c r="V3" s="377"/>
      <c r="W3" s="11"/>
      <c r="X3" s="71"/>
      <c r="Y3" s="29"/>
      <c r="Z3" s="18"/>
      <c r="AA3" s="15"/>
      <c r="AB3" s="22"/>
      <c r="AC3" s="26"/>
      <c r="AD3" s="5"/>
      <c r="AE3" s="56"/>
      <c r="AF3" s="114"/>
      <c r="AG3" s="33"/>
      <c r="AH3" s="262"/>
      <c r="AI3" s="284"/>
      <c r="AK3" s="9"/>
      <c r="AL3" s="5"/>
      <c r="AM3" s="51"/>
      <c r="AN3" s="276"/>
    </row>
    <row r="4" spans="1:44">
      <c r="A4" s="135" t="s">
        <v>2631</v>
      </c>
      <c r="B4" s="84">
        <v>239</v>
      </c>
      <c r="C4" s="84">
        <v>250</v>
      </c>
      <c r="D4" s="85">
        <v>-75</v>
      </c>
      <c r="E4" s="85">
        <v>-78</v>
      </c>
      <c r="F4" s="59">
        <v>55.97</v>
      </c>
      <c r="G4" s="85">
        <v>6582</v>
      </c>
      <c r="H4" s="5" t="s">
        <v>549</v>
      </c>
      <c r="I4" s="23" t="s">
        <v>1557</v>
      </c>
      <c r="J4" s="371">
        <v>78.349999999999994</v>
      </c>
      <c r="K4" s="77">
        <v>17.5</v>
      </c>
      <c r="L4" s="371">
        <v>4.53</v>
      </c>
      <c r="M4" s="371">
        <v>50.77</v>
      </c>
      <c r="N4" s="77">
        <f>J4+K4+L4+M4</f>
        <v>151.15</v>
      </c>
      <c r="O4" s="369">
        <f>J4+M4</f>
        <v>129.12</v>
      </c>
      <c r="P4" s="195">
        <v>14</v>
      </c>
      <c r="Q4" s="326">
        <v>8</v>
      </c>
      <c r="R4" s="111">
        <v>19</v>
      </c>
      <c r="S4" s="51">
        <v>19</v>
      </c>
      <c r="T4" s="339">
        <f t="shared" ref="T4" si="8">SUM(P4:S4)</f>
        <v>60</v>
      </c>
      <c r="U4" s="329" t="s">
        <v>6538</v>
      </c>
      <c r="V4" s="371">
        <v>1.08</v>
      </c>
      <c r="W4" s="69">
        <v>10</v>
      </c>
      <c r="X4" s="59">
        <v>38.15</v>
      </c>
      <c r="Y4" s="37" t="str">
        <f>RTD("money.excel",,"6582","Price")</f>
        <v>無資料</v>
      </c>
      <c r="Z4" s="69">
        <v>164</v>
      </c>
      <c r="AA4" s="16" t="e">
        <f>Y4-Z4</f>
        <v>#VALUE!</v>
      </c>
      <c r="AB4" s="3" t="e">
        <f>AA4/Z4</f>
        <v>#VALUE!</v>
      </c>
      <c r="AC4" s="177" t="s">
        <v>6906</v>
      </c>
      <c r="AD4" s="23" t="s">
        <v>1557</v>
      </c>
      <c r="AE4" s="89">
        <v>44558</v>
      </c>
      <c r="AG4" s="34">
        <f>AF4-AE4</f>
        <v>-44558</v>
      </c>
      <c r="AH4" s="63" t="s">
        <v>4000</v>
      </c>
      <c r="AI4" s="52"/>
      <c r="AK4" s="66">
        <f>AM4/(A4*10000)</f>
        <v>0</v>
      </c>
      <c r="AL4" s="174">
        <f>AN4/(A4*10000)</f>
        <v>0</v>
      </c>
      <c r="AM4" s="346">
        <f>RTD("money.excel",,$G4,"PredictVolume")</f>
        <v>0</v>
      </c>
      <c r="AN4" s="272">
        <f>RTD("money.excel",,$G4,"CumulativeVolume")</f>
        <v>0</v>
      </c>
      <c r="AO4" s="19"/>
      <c r="AP4" s="19"/>
      <c r="AQ4" s="19"/>
      <c r="AR4" s="19"/>
    </row>
    <row r="5" spans="1:44">
      <c r="A5" s="135" t="s">
        <v>2855</v>
      </c>
      <c r="B5" s="85">
        <v>-70</v>
      </c>
      <c r="C5" s="85">
        <v>-66</v>
      </c>
      <c r="D5" s="84">
        <v>3</v>
      </c>
      <c r="E5" s="85">
        <v>-51</v>
      </c>
      <c r="F5" s="59">
        <v>12.06</v>
      </c>
      <c r="G5" s="84">
        <v>2417</v>
      </c>
      <c r="H5" s="212" t="s">
        <v>561</v>
      </c>
      <c r="I5" s="23" t="s">
        <v>876</v>
      </c>
      <c r="J5" s="77">
        <v>32.18</v>
      </c>
      <c r="K5" s="77">
        <v>3.36</v>
      </c>
      <c r="L5" s="77">
        <v>22.06</v>
      </c>
      <c r="M5" s="371">
        <v>22.72</v>
      </c>
      <c r="N5" s="365">
        <f t="shared" ref="N5" si="9">J5+K5+L5+M5</f>
        <v>80.319999999999993</v>
      </c>
      <c r="O5" s="343">
        <f t="shared" ref="O5" si="10">J5+M5</f>
        <v>54.9</v>
      </c>
      <c r="P5" s="195">
        <v>5</v>
      </c>
      <c r="Q5" s="326">
        <v>31</v>
      </c>
      <c r="R5" s="111">
        <v>28</v>
      </c>
      <c r="S5" s="51">
        <v>18</v>
      </c>
      <c r="T5" s="339">
        <f t="shared" ref="T5" si="11">SUM(P5:S5)</f>
        <v>82</v>
      </c>
      <c r="U5" s="329" t="s">
        <v>6540</v>
      </c>
      <c r="V5" s="77">
        <v>2.78</v>
      </c>
      <c r="W5" s="35">
        <v>2</v>
      </c>
      <c r="X5" s="100">
        <v>2.09</v>
      </c>
      <c r="Y5" s="37" t="str">
        <f>RTD("money.excel",,"2417","Price")</f>
        <v>無資料</v>
      </c>
      <c r="Z5" s="69">
        <v>32.799999999999997</v>
      </c>
      <c r="AA5" s="16" t="e">
        <f t="shared" ref="AA5" si="12">Y5-Z5</f>
        <v>#VALUE!</v>
      </c>
      <c r="AB5" s="3" t="e">
        <f t="shared" ref="AB5" si="13">AA5/Z5</f>
        <v>#VALUE!</v>
      </c>
      <c r="AC5" s="177" t="s">
        <v>6904</v>
      </c>
      <c r="AD5" s="23" t="s">
        <v>876</v>
      </c>
      <c r="AE5" s="89">
        <v>44558</v>
      </c>
      <c r="AG5" s="34">
        <f t="shared" ref="AG5" si="14">AF5-AE5</f>
        <v>-44558</v>
      </c>
      <c r="AH5" s="63" t="s">
        <v>3857</v>
      </c>
      <c r="AI5" s="131"/>
      <c r="AK5" s="66">
        <f t="shared" ref="AK5" si="15">AM5/(A5*10000)</f>
        <v>0</v>
      </c>
      <c r="AL5" s="174">
        <f t="shared" ref="AL5" si="16">AN5/(A5*10000)</f>
        <v>0</v>
      </c>
      <c r="AM5" s="346">
        <f>RTD("money.excel",,$G5,"PredictVolume")</f>
        <v>0</v>
      </c>
      <c r="AN5" s="272">
        <f>RTD("money.excel",,$G5,"CumulativeVolume")</f>
        <v>0</v>
      </c>
    </row>
    <row r="6" spans="1:44">
      <c r="A6" s="151" t="s">
        <v>2496</v>
      </c>
      <c r="B6" s="85">
        <v>-35</v>
      </c>
      <c r="C6" s="85">
        <v>-58</v>
      </c>
      <c r="D6" s="85">
        <v>-4</v>
      </c>
      <c r="E6" s="84">
        <v>10</v>
      </c>
      <c r="F6" s="7">
        <v>3.26</v>
      </c>
      <c r="G6" s="84">
        <v>1732</v>
      </c>
      <c r="H6" s="9" t="s">
        <v>6836</v>
      </c>
      <c r="I6" s="23" t="s">
        <v>1333</v>
      </c>
      <c r="J6" s="371">
        <v>44.33</v>
      </c>
      <c r="K6" s="371">
        <v>2.86</v>
      </c>
      <c r="L6" s="371">
        <v>20.81</v>
      </c>
      <c r="M6" s="371">
        <v>28.64</v>
      </c>
      <c r="N6" s="365">
        <f t="shared" ref="N6:N8" si="17">J6+K6+L6+M6</f>
        <v>96.64</v>
      </c>
      <c r="O6" s="343">
        <f t="shared" ref="O6:O8" si="18">J6+M6</f>
        <v>72.97</v>
      </c>
      <c r="P6" s="195">
        <v>2</v>
      </c>
      <c r="Q6" s="326">
        <v>26</v>
      </c>
      <c r="R6" s="111">
        <v>30</v>
      </c>
      <c r="S6" s="51">
        <v>33</v>
      </c>
      <c r="T6" s="339">
        <f>SUM(P6:S6)</f>
        <v>91</v>
      </c>
      <c r="U6" s="329" t="s">
        <v>6538</v>
      </c>
      <c r="V6" s="371">
        <v>3.06</v>
      </c>
      <c r="W6" s="35">
        <v>0.5</v>
      </c>
      <c r="X6" s="100">
        <v>0.7</v>
      </c>
      <c r="Y6" s="37" t="str">
        <f>RTD("money.excel",,"1732","Price")</f>
        <v>無資料</v>
      </c>
      <c r="Z6" s="69">
        <v>33.35</v>
      </c>
      <c r="AA6" s="16" t="e">
        <f t="shared" ref="AA6:AA8" si="19">Y6-Z6</f>
        <v>#VALUE!</v>
      </c>
      <c r="AB6" s="3" t="e">
        <f t="shared" ref="AB6:AB8" si="20">AA6/Z6</f>
        <v>#VALUE!</v>
      </c>
      <c r="AC6" s="177" t="s">
        <v>6834</v>
      </c>
      <c r="AD6" s="23" t="s">
        <v>1333</v>
      </c>
      <c r="AE6" s="89">
        <v>44554</v>
      </c>
      <c r="AG6" s="34">
        <f t="shared" ref="AG6:AG8" si="21">AF6-AE6</f>
        <v>-44554</v>
      </c>
      <c r="AH6" s="44" t="s">
        <v>2277</v>
      </c>
      <c r="AI6" s="131"/>
      <c r="AK6" s="66">
        <f t="shared" ref="AK6:AK8" si="22">AM6/(A6*10000)</f>
        <v>0</v>
      </c>
      <c r="AL6" s="174">
        <f t="shared" ref="AL6:AL8" si="23">AN6/(A6*10000)</f>
        <v>0</v>
      </c>
      <c r="AM6" s="346">
        <f>RTD("money.excel",,$G6,"PredictVolume")</f>
        <v>0</v>
      </c>
      <c r="AN6" s="272">
        <f>RTD("money.excel",,$G6,"CumulativeVolume")</f>
        <v>0</v>
      </c>
    </row>
    <row r="7" spans="1:44">
      <c r="A7" s="135" t="s">
        <v>2726</v>
      </c>
      <c r="B7" s="84">
        <v>5</v>
      </c>
      <c r="C7" s="85">
        <v>-8</v>
      </c>
      <c r="D7" s="85">
        <v>-5</v>
      </c>
      <c r="E7" s="85">
        <v>-44</v>
      </c>
      <c r="F7" s="59">
        <v>20.440000000000001</v>
      </c>
      <c r="G7" s="84">
        <v>3669</v>
      </c>
      <c r="H7" s="9" t="s">
        <v>557</v>
      </c>
      <c r="I7" s="23" t="s">
        <v>1723</v>
      </c>
      <c r="J7" s="371">
        <v>54.51</v>
      </c>
      <c r="K7" s="77">
        <v>1.55</v>
      </c>
      <c r="L7" s="77">
        <v>15.31</v>
      </c>
      <c r="M7" s="371">
        <v>36.6</v>
      </c>
      <c r="N7" s="365">
        <f t="shared" si="17"/>
        <v>107.97</v>
      </c>
      <c r="O7" s="369">
        <f t="shared" si="18"/>
        <v>91.11</v>
      </c>
      <c r="P7" s="195">
        <v>9</v>
      </c>
      <c r="Q7" s="326">
        <v>9</v>
      </c>
      <c r="R7" s="111">
        <v>26</v>
      </c>
      <c r="S7" s="51">
        <v>15</v>
      </c>
      <c r="T7" s="339">
        <f t="shared" ref="T7:T8" si="24">SUM(P7:S7)</f>
        <v>59</v>
      </c>
      <c r="U7" s="329" t="s">
        <v>6539</v>
      </c>
      <c r="V7" s="77">
        <v>2.4300000000000002</v>
      </c>
      <c r="W7" s="69">
        <v>5</v>
      </c>
      <c r="X7" s="59">
        <v>8.8000000000000007</v>
      </c>
      <c r="Y7" s="37" t="str">
        <f>RTD("money.excel",,"3669","Price")</f>
        <v>無資料</v>
      </c>
      <c r="Z7" s="69">
        <v>60.8</v>
      </c>
      <c r="AA7" s="16" t="e">
        <f t="shared" si="19"/>
        <v>#VALUE!</v>
      </c>
      <c r="AB7" s="3" t="e">
        <f t="shared" si="20"/>
        <v>#VALUE!</v>
      </c>
      <c r="AC7" s="177" t="s">
        <v>6823</v>
      </c>
      <c r="AD7" s="23" t="s">
        <v>1723</v>
      </c>
      <c r="AE7" s="89">
        <v>44554</v>
      </c>
      <c r="AG7" s="34">
        <f t="shared" si="21"/>
        <v>-44554</v>
      </c>
      <c r="AH7" s="126" t="s">
        <v>3012</v>
      </c>
      <c r="AI7" s="131"/>
      <c r="AK7" s="66">
        <f t="shared" si="22"/>
        <v>0</v>
      </c>
      <c r="AL7" s="174">
        <f t="shared" si="23"/>
        <v>0</v>
      </c>
      <c r="AM7" s="346">
        <f>RTD("money.excel",,$G7,"PredictVolume")</f>
        <v>0</v>
      </c>
      <c r="AN7" s="272">
        <f>RTD("money.excel",,$G7,"CumulativeVolume")</f>
        <v>0</v>
      </c>
    </row>
    <row r="8" spans="1:44">
      <c r="A8" s="135" t="s">
        <v>2855</v>
      </c>
      <c r="B8" s="85">
        <v>-70</v>
      </c>
      <c r="C8" s="85">
        <v>-66</v>
      </c>
      <c r="D8" s="84">
        <v>3</v>
      </c>
      <c r="E8" s="85">
        <v>-51</v>
      </c>
      <c r="F8" s="59">
        <v>12.06</v>
      </c>
      <c r="G8" s="84">
        <v>2417</v>
      </c>
      <c r="H8" s="212" t="s">
        <v>561</v>
      </c>
      <c r="I8" s="23" t="s">
        <v>876</v>
      </c>
      <c r="J8" s="77">
        <v>32.18</v>
      </c>
      <c r="K8" s="371">
        <v>2.92</v>
      </c>
      <c r="L8" s="77">
        <v>20.34</v>
      </c>
      <c r="M8" s="371">
        <v>22.72</v>
      </c>
      <c r="N8" s="365">
        <f t="shared" si="17"/>
        <v>78.16</v>
      </c>
      <c r="O8" s="343">
        <f t="shared" si="18"/>
        <v>54.9</v>
      </c>
      <c r="P8" s="195">
        <v>5</v>
      </c>
      <c r="Q8" s="326">
        <v>30</v>
      </c>
      <c r="R8" s="111">
        <v>28</v>
      </c>
      <c r="S8" s="51">
        <v>17</v>
      </c>
      <c r="T8" s="339">
        <f t="shared" si="24"/>
        <v>80</v>
      </c>
      <c r="U8" s="329" t="s">
        <v>6833</v>
      </c>
      <c r="V8" s="371">
        <v>2.1</v>
      </c>
      <c r="W8" s="35">
        <v>2</v>
      </c>
      <c r="X8" s="100">
        <v>2.09</v>
      </c>
      <c r="Y8" s="37" t="str">
        <f>RTD("money.excel",,"2417","Price")</f>
        <v>無資料</v>
      </c>
      <c r="Z8" s="69">
        <v>30.5</v>
      </c>
      <c r="AA8" s="16" t="e">
        <f t="shared" si="19"/>
        <v>#VALUE!</v>
      </c>
      <c r="AB8" s="3" t="e">
        <f t="shared" si="20"/>
        <v>#VALUE!</v>
      </c>
      <c r="AC8" s="177" t="s">
        <v>6835</v>
      </c>
      <c r="AD8" s="23" t="s">
        <v>876</v>
      </c>
      <c r="AE8" s="89">
        <v>44554</v>
      </c>
      <c r="AG8" s="34">
        <f t="shared" si="21"/>
        <v>-44554</v>
      </c>
      <c r="AH8" s="63" t="s">
        <v>3857</v>
      </c>
      <c r="AI8" s="131"/>
      <c r="AK8" s="66">
        <f t="shared" si="22"/>
        <v>0</v>
      </c>
      <c r="AL8" s="174">
        <f t="shared" si="23"/>
        <v>0</v>
      </c>
      <c r="AM8" s="346">
        <f>RTD("money.excel",,$G8,"PredictVolume")</f>
        <v>0</v>
      </c>
      <c r="AN8" s="272">
        <f>RTD("money.excel",,$G8,"CumulativeVolume")</f>
        <v>0</v>
      </c>
    </row>
    <row r="9" spans="1:44">
      <c r="A9" s="135" t="s">
        <v>3107</v>
      </c>
      <c r="B9" s="85">
        <v>-66</v>
      </c>
      <c r="C9" s="85">
        <v>-67</v>
      </c>
      <c r="D9" s="84">
        <v>33</v>
      </c>
      <c r="E9" s="85">
        <v>-17</v>
      </c>
      <c r="F9" s="59">
        <v>16.88</v>
      </c>
      <c r="G9" s="84">
        <v>6538</v>
      </c>
      <c r="H9" s="9" t="s">
        <v>559</v>
      </c>
      <c r="I9" s="17" t="s">
        <v>794</v>
      </c>
      <c r="J9" s="77">
        <v>10.039999999999999</v>
      </c>
      <c r="K9" s="77">
        <v>4.59</v>
      </c>
      <c r="L9" s="77">
        <v>28.11</v>
      </c>
      <c r="M9" s="77">
        <v>13.45</v>
      </c>
      <c r="N9" s="365">
        <f t="shared" ref="N9" si="25">J9+K9+L9+M9</f>
        <v>56.19</v>
      </c>
      <c r="O9" s="343">
        <f t="shared" ref="O9" si="26">J9+M9</f>
        <v>23.49</v>
      </c>
      <c r="P9" s="195">
        <v>1</v>
      </c>
      <c r="Q9" s="326">
        <v>1</v>
      </c>
      <c r="R9" s="111">
        <v>10</v>
      </c>
      <c r="S9" s="51">
        <v>9</v>
      </c>
      <c r="T9" s="339">
        <f t="shared" ref="T9" si="27">SUM(P9:S9)</f>
        <v>21</v>
      </c>
      <c r="U9" s="329" t="s">
        <v>6539</v>
      </c>
      <c r="V9" s="77">
        <v>3.18</v>
      </c>
      <c r="W9" s="69">
        <v>7</v>
      </c>
      <c r="X9" s="100">
        <v>5.16</v>
      </c>
      <c r="Y9" s="37" t="str">
        <f>RTD("money.excel",,"6538","Price")</f>
        <v>無資料</v>
      </c>
      <c r="Z9" s="69">
        <v>94.9</v>
      </c>
      <c r="AA9" s="16" t="e">
        <f t="shared" ref="AA9" si="28">Y9-Z9</f>
        <v>#VALUE!</v>
      </c>
      <c r="AB9" s="3" t="e">
        <f t="shared" ref="AB9" si="29">AA9/Z9</f>
        <v>#VALUE!</v>
      </c>
      <c r="AC9" s="177" t="s">
        <v>6808</v>
      </c>
      <c r="AD9" s="17" t="s">
        <v>794</v>
      </c>
      <c r="AE9" s="89">
        <v>44553</v>
      </c>
      <c r="AG9" s="34">
        <f t="shared" ref="AG9" si="30">AF9-AE9</f>
        <v>-44553</v>
      </c>
      <c r="AH9" s="63" t="s">
        <v>2640</v>
      </c>
      <c r="AI9" s="131"/>
      <c r="AK9" s="66">
        <f t="shared" ref="AK9" si="31">AM9/(A9*10000)</f>
        <v>0</v>
      </c>
      <c r="AL9" s="174">
        <f t="shared" ref="AL9" si="32">AN9/(A9*10000)</f>
        <v>0</v>
      </c>
      <c r="AM9" s="346">
        <f>RTD("money.excel",,$G9,"PredictVolume")</f>
        <v>0</v>
      </c>
      <c r="AN9" s="272">
        <f>RTD("money.excel",,$G9,"CumulativeVolume")</f>
        <v>0</v>
      </c>
    </row>
    <row r="10" spans="1:44">
      <c r="A10" s="135" t="s">
        <v>2726</v>
      </c>
      <c r="B10" s="84">
        <v>5</v>
      </c>
      <c r="C10" s="85">
        <v>-8</v>
      </c>
      <c r="D10" s="85">
        <v>-5</v>
      </c>
      <c r="E10" s="85">
        <v>-44</v>
      </c>
      <c r="F10" s="59">
        <v>20.440000000000001</v>
      </c>
      <c r="G10" s="84">
        <v>3669</v>
      </c>
      <c r="H10" s="9" t="s">
        <v>557</v>
      </c>
      <c r="I10" s="23" t="s">
        <v>1723</v>
      </c>
      <c r="J10" s="371">
        <v>54.51</v>
      </c>
      <c r="K10" s="77">
        <v>1.41</v>
      </c>
      <c r="L10" s="77">
        <v>16.97</v>
      </c>
      <c r="M10" s="371">
        <v>36.6</v>
      </c>
      <c r="N10" s="365">
        <f t="shared" ref="N10:N11" si="33">J10+K10+L10+M10</f>
        <v>109.48999999999998</v>
      </c>
      <c r="O10" s="369">
        <f t="shared" ref="O10:O11" si="34">J10+M10</f>
        <v>91.11</v>
      </c>
      <c r="P10" s="195">
        <v>8</v>
      </c>
      <c r="Q10" s="326">
        <v>9</v>
      </c>
      <c r="R10" s="111">
        <v>25</v>
      </c>
      <c r="S10" s="51">
        <v>14</v>
      </c>
      <c r="T10" s="339">
        <f t="shared" ref="T10" si="35">SUM(P10:S10)</f>
        <v>56</v>
      </c>
      <c r="U10" s="329" t="s">
        <v>6539</v>
      </c>
      <c r="V10" s="371">
        <v>2.34</v>
      </c>
      <c r="W10" s="69">
        <v>5</v>
      </c>
      <c r="X10" s="59">
        <v>8.8000000000000007</v>
      </c>
      <c r="Y10" s="37" t="str">
        <f>RTD("money.excel",,"3669","Price")</f>
        <v>無資料</v>
      </c>
      <c r="Z10" s="69">
        <v>61.2</v>
      </c>
      <c r="AA10" s="16" t="e">
        <f t="shared" ref="AA10:AA11" si="36">Y10-Z10</f>
        <v>#VALUE!</v>
      </c>
      <c r="AB10" s="3" t="e">
        <f t="shared" ref="AB10:AB11" si="37">AA10/Z10</f>
        <v>#VALUE!</v>
      </c>
      <c r="AC10" s="177" t="s">
        <v>6795</v>
      </c>
      <c r="AD10" s="23" t="s">
        <v>1723</v>
      </c>
      <c r="AE10" s="89">
        <v>44553</v>
      </c>
      <c r="AG10" s="34">
        <f t="shared" ref="AG10:AG11" si="38">AF10-AE10</f>
        <v>-44553</v>
      </c>
      <c r="AH10" s="126" t="s">
        <v>3012</v>
      </c>
      <c r="AI10" s="131"/>
      <c r="AK10" s="66">
        <f t="shared" ref="AK10:AK11" si="39">AM10/(A10*10000)</f>
        <v>0</v>
      </c>
      <c r="AL10" s="174">
        <f t="shared" ref="AL10:AL11" si="40">AN10/(A10*10000)</f>
        <v>0</v>
      </c>
      <c r="AM10" s="346">
        <f>RTD("money.excel",,$G10,"PredictVolume")</f>
        <v>0</v>
      </c>
      <c r="AN10" s="272">
        <f>RTD("money.excel",,$G10,"CumulativeVolume")</f>
        <v>0</v>
      </c>
    </row>
    <row r="11" spans="1:44">
      <c r="A11" s="151" t="s">
        <v>2496</v>
      </c>
      <c r="B11" s="85">
        <v>-35</v>
      </c>
      <c r="C11" s="85">
        <v>-58</v>
      </c>
      <c r="D11" s="85">
        <v>-4</v>
      </c>
      <c r="E11" s="84">
        <v>10</v>
      </c>
      <c r="F11" s="7">
        <v>3.26</v>
      </c>
      <c r="G11" s="84">
        <v>1732</v>
      </c>
      <c r="H11" s="9" t="s">
        <v>1308</v>
      </c>
      <c r="I11" s="23" t="s">
        <v>1333</v>
      </c>
      <c r="J11" s="371">
        <v>44.33</v>
      </c>
      <c r="K11" s="371">
        <v>2.78</v>
      </c>
      <c r="L11" s="371">
        <v>21.87</v>
      </c>
      <c r="M11" s="371">
        <v>28.64</v>
      </c>
      <c r="N11" s="365">
        <f t="shared" si="33"/>
        <v>97.62</v>
      </c>
      <c r="O11" s="343">
        <f t="shared" si="34"/>
        <v>72.97</v>
      </c>
      <c r="P11" s="195">
        <v>2</v>
      </c>
      <c r="Q11" s="326">
        <v>25</v>
      </c>
      <c r="R11" s="111">
        <v>30</v>
      </c>
      <c r="S11" s="51">
        <v>33</v>
      </c>
      <c r="T11" s="339">
        <f>SUM(P11:S11)</f>
        <v>90</v>
      </c>
      <c r="U11" s="329" t="s">
        <v>6538</v>
      </c>
      <c r="V11" s="371">
        <v>3.18</v>
      </c>
      <c r="W11" s="35">
        <v>0.5</v>
      </c>
      <c r="X11" s="100">
        <v>0.7</v>
      </c>
      <c r="Y11" s="37" t="str">
        <f>RTD("money.excel",,"1732","Price")</f>
        <v>無資料</v>
      </c>
      <c r="Z11" s="69">
        <v>32.9</v>
      </c>
      <c r="AA11" s="16" t="e">
        <f t="shared" si="36"/>
        <v>#VALUE!</v>
      </c>
      <c r="AB11" s="3" t="e">
        <f t="shared" si="37"/>
        <v>#VALUE!</v>
      </c>
      <c r="AC11" s="177" t="s">
        <v>5405</v>
      </c>
      <c r="AD11" s="23" t="s">
        <v>1333</v>
      </c>
      <c r="AE11" s="89">
        <v>44553</v>
      </c>
      <c r="AG11" s="34">
        <f t="shared" si="38"/>
        <v>-44553</v>
      </c>
      <c r="AH11" s="44" t="s">
        <v>2277</v>
      </c>
      <c r="AI11" s="131"/>
      <c r="AK11" s="66">
        <f t="shared" si="39"/>
        <v>0</v>
      </c>
      <c r="AL11" s="174">
        <f t="shared" si="40"/>
        <v>0</v>
      </c>
      <c r="AM11" s="346">
        <f>RTD("money.excel",,$G11,"PredictVolume")</f>
        <v>0</v>
      </c>
      <c r="AN11" s="272">
        <f>RTD("money.excel",,$G11,"CumulativeVolume")</f>
        <v>0</v>
      </c>
    </row>
    <row r="12" spans="1:44">
      <c r="A12" s="135" t="s">
        <v>2930</v>
      </c>
      <c r="B12" s="85">
        <v>-81</v>
      </c>
      <c r="C12" s="85">
        <v>-79</v>
      </c>
      <c r="D12" s="84">
        <v>0</v>
      </c>
      <c r="E12" s="85">
        <v>-83</v>
      </c>
      <c r="F12" s="59">
        <v>35.44</v>
      </c>
      <c r="G12" s="84">
        <v>1325</v>
      </c>
      <c r="H12" s="9" t="s">
        <v>542</v>
      </c>
      <c r="I12" s="23" t="s">
        <v>1089</v>
      </c>
      <c r="J12" s="371">
        <v>41.25</v>
      </c>
      <c r="K12" s="371">
        <v>8.06</v>
      </c>
      <c r="L12" s="371">
        <v>19.3</v>
      </c>
      <c r="M12" s="371">
        <v>32.81</v>
      </c>
      <c r="N12" s="365">
        <f t="shared" ref="N12:N13" si="41">J12+K12+L12+M12</f>
        <v>101.42</v>
      </c>
      <c r="O12" s="343">
        <f t="shared" ref="O12:O13" si="42">J12+M12</f>
        <v>74.06</v>
      </c>
      <c r="P12" s="195">
        <v>11</v>
      </c>
      <c r="Q12" s="326">
        <v>21</v>
      </c>
      <c r="R12" s="111">
        <v>32</v>
      </c>
      <c r="S12" s="51">
        <v>28</v>
      </c>
      <c r="T12" s="339">
        <f>SUM(P12:S12)</f>
        <v>92</v>
      </c>
      <c r="U12" s="329" t="s">
        <v>6538</v>
      </c>
      <c r="V12" s="77">
        <v>4.59</v>
      </c>
      <c r="W12" s="69">
        <v>12</v>
      </c>
      <c r="X12" s="100">
        <v>9.64</v>
      </c>
      <c r="Y12" s="37" t="str">
        <f>RTD("money.excel",,"1325","Price")</f>
        <v>無資料</v>
      </c>
      <c r="Z12" s="69">
        <v>44.95</v>
      </c>
      <c r="AA12" s="16" t="e">
        <f>Y12-Z12</f>
        <v>#VALUE!</v>
      </c>
      <c r="AB12" s="3" t="e">
        <f>AA12/Z12</f>
        <v>#VALUE!</v>
      </c>
      <c r="AC12" s="177" t="s">
        <v>6796</v>
      </c>
      <c r="AD12" s="23" t="s">
        <v>1089</v>
      </c>
      <c r="AE12" s="89">
        <v>44552</v>
      </c>
      <c r="AG12" s="34">
        <f>AF12-AE12</f>
        <v>-44552</v>
      </c>
      <c r="AH12" s="63" t="s">
        <v>3994</v>
      </c>
      <c r="AI12" s="131"/>
      <c r="AK12" s="66">
        <f t="shared" ref="AK12:AK13" si="43">AM12/(A12*10000)</f>
        <v>0</v>
      </c>
      <c r="AL12" s="174">
        <f t="shared" ref="AL12:AL13" si="44">AN12/(A12*10000)</f>
        <v>0</v>
      </c>
      <c r="AM12" s="346">
        <f>RTD("money.excel",,$G12,"PredictVolume")</f>
        <v>0</v>
      </c>
      <c r="AN12" s="272">
        <f>RTD("money.excel",,$G12,"CumulativeVolume")</f>
        <v>0</v>
      </c>
    </row>
    <row r="13" spans="1:44">
      <c r="A13" s="135" t="s">
        <v>2631</v>
      </c>
      <c r="B13" s="84">
        <v>239</v>
      </c>
      <c r="C13" s="84">
        <v>250</v>
      </c>
      <c r="D13" s="85">
        <v>-75</v>
      </c>
      <c r="E13" s="85">
        <v>-78</v>
      </c>
      <c r="F13" s="59">
        <v>55.97</v>
      </c>
      <c r="G13" s="85">
        <v>6582</v>
      </c>
      <c r="H13" s="5" t="s">
        <v>549</v>
      </c>
      <c r="I13" s="23" t="s">
        <v>1557</v>
      </c>
      <c r="J13" s="371">
        <v>78.349999999999994</v>
      </c>
      <c r="K13" s="77">
        <v>17.46</v>
      </c>
      <c r="L13" s="371">
        <v>5.3</v>
      </c>
      <c r="M13" s="371">
        <v>50.77</v>
      </c>
      <c r="N13" s="77">
        <f t="shared" si="41"/>
        <v>151.88</v>
      </c>
      <c r="O13" s="369">
        <f t="shared" si="42"/>
        <v>129.12</v>
      </c>
      <c r="P13" s="195">
        <v>14</v>
      </c>
      <c r="Q13" s="326">
        <v>8</v>
      </c>
      <c r="R13" s="111">
        <v>19</v>
      </c>
      <c r="S13" s="51">
        <v>19</v>
      </c>
      <c r="T13" s="339">
        <f t="shared" ref="T13" si="45">SUM(P13:S13)</f>
        <v>60</v>
      </c>
      <c r="U13" s="329" t="s">
        <v>6538</v>
      </c>
      <c r="V13" s="77">
        <v>1.08</v>
      </c>
      <c r="W13" s="69">
        <v>10</v>
      </c>
      <c r="X13" s="59">
        <v>38.15</v>
      </c>
      <c r="Y13" s="37" t="str">
        <f>RTD("money.excel",,"6582","Price")</f>
        <v>無資料</v>
      </c>
      <c r="Z13" s="69">
        <v>164.5</v>
      </c>
      <c r="AA13" s="16" t="e">
        <f t="shared" ref="AA13" si="46">Y13-Z13</f>
        <v>#VALUE!</v>
      </c>
      <c r="AB13" s="3" t="e">
        <f t="shared" ref="AB13" si="47">AA13/Z13</f>
        <v>#VALUE!</v>
      </c>
      <c r="AC13" s="177" t="s">
        <v>6797</v>
      </c>
      <c r="AD13" s="23" t="s">
        <v>1557</v>
      </c>
      <c r="AE13" s="89">
        <v>44552</v>
      </c>
      <c r="AG13" s="34">
        <f t="shared" ref="AG13" si="48">AF13-AE13</f>
        <v>-44552</v>
      </c>
      <c r="AH13" s="63" t="s">
        <v>4000</v>
      </c>
      <c r="AI13" s="131"/>
      <c r="AK13" s="66">
        <f t="shared" si="43"/>
        <v>0</v>
      </c>
      <c r="AL13" s="174">
        <f t="shared" si="44"/>
        <v>0</v>
      </c>
      <c r="AM13" s="346">
        <f>RTD("money.excel",,$G13,"PredictVolume")</f>
        <v>0</v>
      </c>
      <c r="AN13" s="272">
        <f>RTD("money.excel",,$G13,"CumulativeVolume")</f>
        <v>0</v>
      </c>
    </row>
    <row r="14" spans="1:44">
      <c r="A14" s="151" t="s">
        <v>2496</v>
      </c>
      <c r="B14" s="85">
        <v>-35</v>
      </c>
      <c r="C14" s="85">
        <v>-58</v>
      </c>
      <c r="D14" s="85">
        <v>-4</v>
      </c>
      <c r="E14" s="84">
        <v>10</v>
      </c>
      <c r="F14" s="7">
        <v>3.26</v>
      </c>
      <c r="G14" s="84">
        <v>1732</v>
      </c>
      <c r="H14" s="9" t="s">
        <v>1308</v>
      </c>
      <c r="I14" s="23" t="s">
        <v>1333</v>
      </c>
      <c r="J14" s="371">
        <v>44.33</v>
      </c>
      <c r="K14" s="371">
        <v>2.78</v>
      </c>
      <c r="L14" s="371">
        <v>21.87</v>
      </c>
      <c r="M14" s="371">
        <v>28.64</v>
      </c>
      <c r="N14" s="365">
        <f t="shared" ref="N14" si="49">J14+K14+L14+M14</f>
        <v>97.62</v>
      </c>
      <c r="O14" s="343">
        <f t="shared" ref="O14" si="50">J14+M14</f>
        <v>72.97</v>
      </c>
      <c r="P14" s="195">
        <v>2</v>
      </c>
      <c r="Q14" s="326">
        <v>25</v>
      </c>
      <c r="R14" s="111">
        <v>30</v>
      </c>
      <c r="S14" s="51">
        <v>33</v>
      </c>
      <c r="T14" s="339">
        <f>SUM(P14:S14)</f>
        <v>90</v>
      </c>
      <c r="U14" s="329" t="s">
        <v>6538</v>
      </c>
      <c r="V14" s="371">
        <v>2.87</v>
      </c>
      <c r="W14" s="35">
        <v>0.5</v>
      </c>
      <c r="X14" s="100">
        <v>0.7</v>
      </c>
      <c r="Y14" s="37" t="str">
        <f>RTD("money.excel",,"1732","Price")</f>
        <v>無資料</v>
      </c>
      <c r="Z14" s="69">
        <v>32.450000000000003</v>
      </c>
      <c r="AA14" s="16" t="e">
        <f t="shared" ref="AA14" si="51">Y14-Z14</f>
        <v>#VALUE!</v>
      </c>
      <c r="AB14" s="3" t="e">
        <f t="shared" ref="AB14" si="52">AA14/Z14</f>
        <v>#VALUE!</v>
      </c>
      <c r="AC14" s="177" t="s">
        <v>6776</v>
      </c>
      <c r="AD14" s="23" t="s">
        <v>1333</v>
      </c>
      <c r="AE14" s="89">
        <v>44552</v>
      </c>
      <c r="AG14" s="34">
        <f t="shared" ref="AG14" si="53">AF14-AE14</f>
        <v>-44552</v>
      </c>
      <c r="AH14" s="44" t="s">
        <v>2277</v>
      </c>
      <c r="AI14" s="131"/>
      <c r="AK14" s="66"/>
      <c r="AL14" s="174"/>
      <c r="AM14" s="346"/>
      <c r="AN14" s="272"/>
    </row>
    <row r="15" spans="1:44">
      <c r="A15" s="151" t="s">
        <v>2499</v>
      </c>
      <c r="B15" s="85">
        <v>-82</v>
      </c>
      <c r="C15" s="85">
        <v>-86</v>
      </c>
      <c r="D15" s="85">
        <v>-32</v>
      </c>
      <c r="E15" s="85">
        <v>-39</v>
      </c>
      <c r="F15" s="7">
        <v>1.01</v>
      </c>
      <c r="G15" s="85">
        <v>3708</v>
      </c>
      <c r="H15" s="5" t="s">
        <v>1308</v>
      </c>
      <c r="I15" s="23" t="s">
        <v>528</v>
      </c>
      <c r="J15" s="77">
        <v>38.159999999999997</v>
      </c>
      <c r="K15" s="371">
        <v>8.3699999999999992</v>
      </c>
      <c r="L15" s="77">
        <v>29.63</v>
      </c>
      <c r="M15" s="371">
        <v>10.039999999999999</v>
      </c>
      <c r="N15" s="365">
        <f t="shared" ref="N15" si="54">J15+K15+L15+M15</f>
        <v>86.199999999999989</v>
      </c>
      <c r="O15" s="343">
        <f t="shared" ref="O15" si="55">J15+M15</f>
        <v>48.199999999999996</v>
      </c>
      <c r="P15" s="195">
        <v>12</v>
      </c>
      <c r="Q15" s="326">
        <v>21</v>
      </c>
      <c r="R15" s="111">
        <v>24</v>
      </c>
      <c r="S15" s="51">
        <v>22</v>
      </c>
      <c r="T15" s="339">
        <f t="shared" ref="T15" si="56">SUM(P15:S15)</f>
        <v>79</v>
      </c>
      <c r="U15" s="329" t="s">
        <v>6539</v>
      </c>
      <c r="V15" s="371">
        <v>6.23</v>
      </c>
      <c r="W15" s="69">
        <v>3.5</v>
      </c>
      <c r="X15" s="100">
        <v>2.09</v>
      </c>
      <c r="Y15" s="37" t="str">
        <f>RTD("money.excel",,"3708","Price")</f>
        <v>無資料</v>
      </c>
      <c r="Z15" s="69">
        <v>93</v>
      </c>
      <c r="AA15" s="16" t="e">
        <f>Y15-Z15</f>
        <v>#VALUE!</v>
      </c>
      <c r="AB15" s="3" t="e">
        <f>AA15/Z15</f>
        <v>#VALUE!</v>
      </c>
      <c r="AC15" s="177" t="s">
        <v>6776</v>
      </c>
      <c r="AD15" s="23" t="s">
        <v>528</v>
      </c>
      <c r="AE15" s="89">
        <v>44552</v>
      </c>
      <c r="AG15" s="34">
        <f>AF15-AE15</f>
        <v>-44552</v>
      </c>
      <c r="AH15" s="44" t="s">
        <v>4388</v>
      </c>
      <c r="AI15" s="131"/>
      <c r="AK15" s="66"/>
      <c r="AL15" s="174"/>
      <c r="AM15" s="346"/>
      <c r="AN15" s="272"/>
    </row>
    <row r="16" spans="1:44">
      <c r="A16" s="151" t="s">
        <v>2496</v>
      </c>
      <c r="B16" s="85">
        <v>-35</v>
      </c>
      <c r="C16" s="85">
        <v>-58</v>
      </c>
      <c r="D16" s="85">
        <v>-4</v>
      </c>
      <c r="E16" s="84">
        <v>10</v>
      </c>
      <c r="F16" s="7">
        <v>3.26</v>
      </c>
      <c r="G16" s="84">
        <v>1732</v>
      </c>
      <c r="H16" s="9" t="s">
        <v>1308</v>
      </c>
      <c r="I16" s="23" t="s">
        <v>1333</v>
      </c>
      <c r="J16" s="371">
        <v>44.33</v>
      </c>
      <c r="K16" s="371">
        <v>2.85</v>
      </c>
      <c r="L16" s="371">
        <v>22.8</v>
      </c>
      <c r="M16" s="371">
        <v>28.64</v>
      </c>
      <c r="N16" s="365">
        <f t="shared" ref="N16:N17" si="57">J16+K16+L16+M16</f>
        <v>98.62</v>
      </c>
      <c r="O16" s="343">
        <f t="shared" ref="O16:O17" si="58">J16+M16</f>
        <v>72.97</v>
      </c>
      <c r="P16" s="195">
        <v>2</v>
      </c>
      <c r="Q16" s="326">
        <v>25</v>
      </c>
      <c r="R16" s="111">
        <v>30</v>
      </c>
      <c r="S16" s="51">
        <v>33</v>
      </c>
      <c r="T16" s="339">
        <f>SUM(P16:S16)</f>
        <v>90</v>
      </c>
      <c r="U16" s="329" t="s">
        <v>6538</v>
      </c>
      <c r="V16" s="371">
        <v>2.92</v>
      </c>
      <c r="W16" s="35">
        <v>0.5</v>
      </c>
      <c r="X16" s="100">
        <v>0.7</v>
      </c>
      <c r="Y16" s="37" t="str">
        <f>RTD("money.excel",,"1732","Price")</f>
        <v>無資料</v>
      </c>
      <c r="Z16" s="69">
        <v>32.1</v>
      </c>
      <c r="AA16" s="16" t="e">
        <f t="shared" ref="AA16" si="59">Y16-Z16</f>
        <v>#VALUE!</v>
      </c>
      <c r="AB16" s="3" t="e">
        <f t="shared" ref="AB16" si="60">AA16/Z16</f>
        <v>#VALUE!</v>
      </c>
      <c r="AC16" s="177" t="s">
        <v>6752</v>
      </c>
      <c r="AD16" s="23" t="s">
        <v>1333</v>
      </c>
      <c r="AE16" s="89">
        <v>44551</v>
      </c>
      <c r="AG16" s="34">
        <f t="shared" ref="AG16" si="61">AF16-AE16</f>
        <v>-44551</v>
      </c>
      <c r="AH16" s="44" t="s">
        <v>2277</v>
      </c>
      <c r="AI16" s="131"/>
      <c r="AK16" s="131"/>
      <c r="AL16" s="264"/>
    </row>
    <row r="17" spans="1:46">
      <c r="A17" s="151" t="s">
        <v>2499</v>
      </c>
      <c r="B17" s="85">
        <v>-82</v>
      </c>
      <c r="C17" s="85">
        <v>-86</v>
      </c>
      <c r="D17" s="85">
        <v>-32</v>
      </c>
      <c r="E17" s="85">
        <v>-39</v>
      </c>
      <c r="F17" s="7">
        <v>1.01</v>
      </c>
      <c r="G17" s="85">
        <v>3708</v>
      </c>
      <c r="H17" s="5" t="s">
        <v>1308</v>
      </c>
      <c r="I17" s="23" t="s">
        <v>528</v>
      </c>
      <c r="J17" s="77">
        <v>38.159999999999997</v>
      </c>
      <c r="K17" s="371">
        <v>8.4499999999999993</v>
      </c>
      <c r="L17" s="77">
        <v>29.47</v>
      </c>
      <c r="M17" s="371">
        <v>10.039999999999999</v>
      </c>
      <c r="N17" s="365">
        <f t="shared" si="57"/>
        <v>86.12</v>
      </c>
      <c r="O17" s="343">
        <f t="shared" si="58"/>
        <v>48.199999999999996</v>
      </c>
      <c r="P17" s="195">
        <v>12</v>
      </c>
      <c r="Q17" s="326">
        <v>21</v>
      </c>
      <c r="R17" s="111">
        <v>24</v>
      </c>
      <c r="S17" s="51">
        <v>22</v>
      </c>
      <c r="T17" s="339">
        <f t="shared" ref="T17" si="62">SUM(P17:S17)</f>
        <v>79</v>
      </c>
      <c r="U17" s="329" t="s">
        <v>6539</v>
      </c>
      <c r="V17" s="77">
        <v>6.25</v>
      </c>
      <c r="W17" s="69">
        <v>3.5</v>
      </c>
      <c r="X17" s="100">
        <v>2.09</v>
      </c>
      <c r="Y17" s="37" t="str">
        <f>RTD("money.excel",,"3708","Price")</f>
        <v>無資料</v>
      </c>
      <c r="Z17" s="69">
        <v>93.6</v>
      </c>
      <c r="AA17" s="16" t="e">
        <f>Y17-Z17</f>
        <v>#VALUE!</v>
      </c>
      <c r="AB17" s="3" t="e">
        <f>AA17/Z17</f>
        <v>#VALUE!</v>
      </c>
      <c r="AC17" s="177" t="s">
        <v>6751</v>
      </c>
      <c r="AD17" s="23" t="s">
        <v>528</v>
      </c>
      <c r="AE17" s="89">
        <v>44551</v>
      </c>
      <c r="AG17" s="34">
        <f>AF17-AE17</f>
        <v>-44551</v>
      </c>
      <c r="AH17" s="44" t="s">
        <v>4388</v>
      </c>
      <c r="AI17" s="131"/>
      <c r="AK17" s="131"/>
      <c r="AL17" s="264"/>
    </row>
    <row r="18" spans="1:46">
      <c r="A18" s="151" t="s">
        <v>2632</v>
      </c>
      <c r="B18" s="85">
        <v>-85</v>
      </c>
      <c r="C18" s="85">
        <v>-75</v>
      </c>
      <c r="D18" s="85">
        <v>-1</v>
      </c>
      <c r="E18" s="85">
        <v>-15</v>
      </c>
      <c r="F18" s="7">
        <v>5.15</v>
      </c>
      <c r="G18" s="84">
        <v>9919</v>
      </c>
      <c r="H18" s="9" t="s">
        <v>429</v>
      </c>
      <c r="I18" s="23" t="s">
        <v>1250</v>
      </c>
      <c r="J18" s="77">
        <v>43.3</v>
      </c>
      <c r="K18" s="371">
        <v>3.88</v>
      </c>
      <c r="L18" s="77">
        <v>12.36</v>
      </c>
      <c r="M18" s="371">
        <v>27.12</v>
      </c>
      <c r="N18" s="365">
        <f>K18+J18+L18+M18</f>
        <v>86.66</v>
      </c>
      <c r="O18" s="343">
        <f t="shared" ref="O18:O29" si="63">J18+M18</f>
        <v>70.42</v>
      </c>
      <c r="P18" s="195">
        <v>8</v>
      </c>
      <c r="Q18" s="326">
        <v>1</v>
      </c>
      <c r="R18" s="111">
        <v>1</v>
      </c>
      <c r="S18" s="51">
        <v>4</v>
      </c>
      <c r="T18" s="339">
        <f>SUM(P18:S18)</f>
        <v>14</v>
      </c>
      <c r="U18" s="329" t="s">
        <v>6538</v>
      </c>
      <c r="V18" s="371">
        <v>3.56</v>
      </c>
      <c r="W18" s="46">
        <v>3</v>
      </c>
      <c r="X18" s="100">
        <v>1.51</v>
      </c>
      <c r="Y18" s="37" t="str">
        <f>RTD("money.excel",,"9919","Price")</f>
        <v>無資料</v>
      </c>
      <c r="Z18" s="69">
        <v>25.1</v>
      </c>
      <c r="AA18" s="16" t="e">
        <f t="shared" ref="AA18" si="64">Y18-Z18</f>
        <v>#VALUE!</v>
      </c>
      <c r="AB18" s="3" t="e">
        <f t="shared" ref="AB18" si="65">AA18/Z18</f>
        <v>#VALUE!</v>
      </c>
      <c r="AC18" s="105" t="s">
        <v>6600</v>
      </c>
      <c r="AD18" s="23" t="s">
        <v>1250</v>
      </c>
      <c r="AE18" s="89">
        <v>44540</v>
      </c>
      <c r="AG18" s="34">
        <f t="shared" ref="AG18" si="66">AF18-AE18</f>
        <v>-44540</v>
      </c>
      <c r="AH18" s="44" t="s">
        <v>4001</v>
      </c>
      <c r="AI18" s="131"/>
      <c r="AK18" s="131"/>
      <c r="AL18" s="264"/>
    </row>
    <row r="19" spans="1:46">
      <c r="A19" s="135" t="s">
        <v>3192</v>
      </c>
      <c r="B19" s="85">
        <v>-37</v>
      </c>
      <c r="C19" s="85">
        <v>-40</v>
      </c>
      <c r="D19" s="84">
        <v>46</v>
      </c>
      <c r="E19" s="84">
        <v>5</v>
      </c>
      <c r="F19" s="59">
        <v>12.63</v>
      </c>
      <c r="G19" s="85">
        <v>2404</v>
      </c>
      <c r="H19" s="5" t="s">
        <v>5322</v>
      </c>
      <c r="I19" s="23" t="s">
        <v>934</v>
      </c>
      <c r="J19" s="371">
        <v>36.15</v>
      </c>
      <c r="K19" s="371">
        <v>29</v>
      </c>
      <c r="L19" s="77">
        <v>4.6500000000000004</v>
      </c>
      <c r="M19" s="371">
        <v>9.1</v>
      </c>
      <c r="N19" s="365">
        <f t="shared" ref="N19:N29" si="67">K19+J19+L19+M19</f>
        <v>78.900000000000006</v>
      </c>
      <c r="O19" s="343">
        <f t="shared" si="63"/>
        <v>45.25</v>
      </c>
      <c r="P19" s="195">
        <v>29</v>
      </c>
      <c r="Q19" s="326">
        <v>1</v>
      </c>
      <c r="R19" s="111">
        <v>0</v>
      </c>
      <c r="S19" s="51">
        <v>6</v>
      </c>
      <c r="T19" s="339">
        <f t="shared" ref="T19:T29" si="68">SUM(P19:S19)</f>
        <v>36</v>
      </c>
      <c r="U19" s="329" t="s">
        <v>6562</v>
      </c>
      <c r="V19" s="77">
        <v>3.97</v>
      </c>
      <c r="W19" s="46">
        <v>17</v>
      </c>
      <c r="X19" s="100">
        <v>14.98</v>
      </c>
      <c r="Y19" s="37" t="str">
        <f>RTD("money.excel",,"2404","Price")</f>
        <v>無資料</v>
      </c>
      <c r="Z19" s="69">
        <v>173</v>
      </c>
      <c r="AA19" s="16" t="e">
        <f t="shared" ref="AA19:AA20" si="69">Y19-Z19</f>
        <v>#VALUE!</v>
      </c>
      <c r="AB19" s="3" t="e">
        <f t="shared" ref="AB19:AB20" si="70">AA19/Z19</f>
        <v>#VALUE!</v>
      </c>
      <c r="AC19" s="105" t="s">
        <v>6563</v>
      </c>
      <c r="AD19" s="23" t="s">
        <v>934</v>
      </c>
      <c r="AE19" s="89">
        <v>44537</v>
      </c>
      <c r="AG19" s="34">
        <f t="shared" ref="AG19:AG20" si="71">AF19-AE19</f>
        <v>-44537</v>
      </c>
      <c r="AH19" s="63" t="s">
        <v>2168</v>
      </c>
      <c r="AI19" s="131"/>
    </row>
    <row r="20" spans="1:46">
      <c r="A20" s="135" t="s">
        <v>6506</v>
      </c>
      <c r="B20" s="85">
        <v>-32</v>
      </c>
      <c r="C20" s="85">
        <v>-32</v>
      </c>
      <c r="D20" s="84">
        <v>63</v>
      </c>
      <c r="E20" s="85">
        <v>-40</v>
      </c>
      <c r="F20" s="59">
        <v>22.79</v>
      </c>
      <c r="G20" s="85">
        <v>1777</v>
      </c>
      <c r="H20" s="203" t="s">
        <v>560</v>
      </c>
      <c r="I20" s="17" t="s">
        <v>263</v>
      </c>
      <c r="J20" s="371">
        <v>46.7</v>
      </c>
      <c r="K20" s="77">
        <v>0.17</v>
      </c>
      <c r="L20" s="371">
        <v>2.4900000000000002</v>
      </c>
      <c r="M20" s="77">
        <v>29.77</v>
      </c>
      <c r="N20" s="365">
        <f t="shared" si="67"/>
        <v>79.13000000000001</v>
      </c>
      <c r="O20" s="343">
        <f t="shared" si="63"/>
        <v>76.47</v>
      </c>
      <c r="P20" s="195">
        <v>0</v>
      </c>
      <c r="Q20" s="326" t="str">
        <f>IFERROR(VLOOKUP($G20,主力整理!$A$2:$G$2301,6,0),"0")</f>
        <v>0</v>
      </c>
      <c r="R20" s="111">
        <v>0</v>
      </c>
      <c r="S20" s="51">
        <v>0</v>
      </c>
      <c r="T20" s="339">
        <f t="shared" si="68"/>
        <v>0</v>
      </c>
      <c r="U20" s="329" t="s">
        <v>6561</v>
      </c>
      <c r="V20" s="371">
        <v>0.33</v>
      </c>
      <c r="W20" s="46">
        <v>4</v>
      </c>
      <c r="X20" s="100">
        <v>4.57</v>
      </c>
      <c r="Y20" s="37" t="str">
        <f>RTD("money.excel",,"1777","Price")</f>
        <v>無資料</v>
      </c>
      <c r="Z20" s="69">
        <v>66.2</v>
      </c>
      <c r="AA20" s="16" t="e">
        <f t="shared" si="69"/>
        <v>#VALUE!</v>
      </c>
      <c r="AB20" s="3" t="e">
        <f t="shared" si="70"/>
        <v>#VALUE!</v>
      </c>
      <c r="AC20" s="105" t="s">
        <v>6564</v>
      </c>
      <c r="AD20" s="17" t="s">
        <v>263</v>
      </c>
      <c r="AE20" s="89">
        <v>44537</v>
      </c>
      <c r="AG20" s="34">
        <f t="shared" si="71"/>
        <v>-44537</v>
      </c>
      <c r="AH20" s="126" t="s">
        <v>3874</v>
      </c>
      <c r="AI20" s="284"/>
      <c r="AK20" s="131"/>
      <c r="AL20" s="264"/>
    </row>
    <row r="21" spans="1:46">
      <c r="A21" s="135" t="s">
        <v>3240</v>
      </c>
      <c r="B21" s="85">
        <v>-84</v>
      </c>
      <c r="C21" s="85">
        <v>-83</v>
      </c>
      <c r="D21" s="84">
        <v>5</v>
      </c>
      <c r="E21" s="85">
        <v>-79</v>
      </c>
      <c r="F21" s="59">
        <v>16.57</v>
      </c>
      <c r="G21" s="84">
        <v>3373</v>
      </c>
      <c r="H21" s="9" t="s">
        <v>5322</v>
      </c>
      <c r="I21" s="17" t="s">
        <v>911</v>
      </c>
      <c r="J21" s="77">
        <v>24.24</v>
      </c>
      <c r="K21" s="371">
        <v>5.48</v>
      </c>
      <c r="L21" s="371">
        <v>16.510000000000002</v>
      </c>
      <c r="M21" s="371">
        <v>25.74</v>
      </c>
      <c r="N21" s="365">
        <f t="shared" si="67"/>
        <v>71.97</v>
      </c>
      <c r="O21" s="343">
        <f t="shared" si="63"/>
        <v>49.98</v>
      </c>
      <c r="P21" s="195">
        <v>0</v>
      </c>
      <c r="Q21" s="326" t="str">
        <f>IFERROR(VLOOKUP($G21,主力整理!$A$2:$G$2301,6,0),"0")</f>
        <v>0</v>
      </c>
      <c r="R21" s="111">
        <v>4</v>
      </c>
      <c r="S21" s="51">
        <v>0</v>
      </c>
      <c r="T21" s="339">
        <f t="shared" si="68"/>
        <v>4</v>
      </c>
      <c r="V21" s="371">
        <v>3.87</v>
      </c>
      <c r="W21" s="46">
        <v>10</v>
      </c>
      <c r="X21" s="100">
        <v>4.6500000000000004</v>
      </c>
      <c r="Y21" s="37" t="str">
        <f>RTD("money.excel",,"3373","Price")</f>
        <v>無資料</v>
      </c>
      <c r="Z21" s="69">
        <v>38.049999999999997</v>
      </c>
      <c r="AA21" s="16" t="e">
        <f t="shared" ref="AA21:AA23" si="72">Y21-Z21</f>
        <v>#VALUE!</v>
      </c>
      <c r="AB21" s="3" t="e">
        <f t="shared" ref="AB21:AB23" si="73">AA21/Z21</f>
        <v>#VALUE!</v>
      </c>
      <c r="AC21" s="107" t="s">
        <v>6520</v>
      </c>
      <c r="AD21" s="17" t="s">
        <v>911</v>
      </c>
      <c r="AE21" s="89">
        <v>44530</v>
      </c>
      <c r="AG21" s="34">
        <f t="shared" ref="AG21:AG23" si="74">AF21-AE21</f>
        <v>-44530</v>
      </c>
      <c r="AH21" s="63" t="s">
        <v>4956</v>
      </c>
      <c r="AI21" s="131"/>
      <c r="AL21" s="265"/>
      <c r="AM21" s="287"/>
      <c r="AN21" s="287"/>
    </row>
    <row r="22" spans="1:46">
      <c r="A22" s="151" t="s">
        <v>2632</v>
      </c>
      <c r="B22" s="85">
        <v>-85</v>
      </c>
      <c r="C22" s="85">
        <v>-75</v>
      </c>
      <c r="D22" s="85">
        <v>-10</v>
      </c>
      <c r="E22" s="85">
        <v>-22</v>
      </c>
      <c r="F22" s="7">
        <v>5.15</v>
      </c>
      <c r="G22" s="84">
        <v>9919</v>
      </c>
      <c r="H22" s="9" t="s">
        <v>429</v>
      </c>
      <c r="I22" s="23" t="s">
        <v>1250</v>
      </c>
      <c r="J22" s="77">
        <v>42.77</v>
      </c>
      <c r="K22" s="371">
        <v>3.75</v>
      </c>
      <c r="L22" s="77">
        <v>11.52</v>
      </c>
      <c r="M22" s="371">
        <v>27.12</v>
      </c>
      <c r="N22" s="365">
        <f t="shared" si="67"/>
        <v>85.160000000000011</v>
      </c>
      <c r="O22" s="343">
        <f t="shared" si="63"/>
        <v>69.89</v>
      </c>
      <c r="P22" s="195">
        <v>8</v>
      </c>
      <c r="Q22" s="326">
        <v>1</v>
      </c>
      <c r="R22" s="111">
        <v>13</v>
      </c>
      <c r="S22" s="51">
        <v>4</v>
      </c>
      <c r="T22" s="339">
        <f t="shared" si="68"/>
        <v>26</v>
      </c>
      <c r="V22" s="371">
        <v>3.56</v>
      </c>
      <c r="W22" s="46">
        <v>3</v>
      </c>
      <c r="X22" s="100">
        <v>1.51</v>
      </c>
      <c r="Y22" s="37" t="str">
        <f>RTD("money.excel",,"9919","Price")</f>
        <v>無資料</v>
      </c>
      <c r="Z22" s="69">
        <v>25.35</v>
      </c>
      <c r="AA22" s="16" t="e">
        <f t="shared" si="72"/>
        <v>#VALUE!</v>
      </c>
      <c r="AB22" s="3" t="e">
        <f t="shared" si="73"/>
        <v>#VALUE!</v>
      </c>
      <c r="AC22" s="105" t="s">
        <v>6521</v>
      </c>
      <c r="AD22" s="23" t="s">
        <v>1250</v>
      </c>
      <c r="AE22" s="89">
        <v>44530</v>
      </c>
      <c r="AG22" s="34">
        <f t="shared" si="74"/>
        <v>-44530</v>
      </c>
      <c r="AH22" s="44" t="s">
        <v>4001</v>
      </c>
      <c r="AI22" s="131"/>
    </row>
    <row r="23" spans="1:46">
      <c r="A23" s="135" t="s">
        <v>6506</v>
      </c>
      <c r="B23" s="85">
        <v>-32</v>
      </c>
      <c r="C23" s="85">
        <v>-32</v>
      </c>
      <c r="D23" s="85">
        <v>-56</v>
      </c>
      <c r="E23" s="85">
        <v>-57</v>
      </c>
      <c r="F23" s="59">
        <v>22.79</v>
      </c>
      <c r="G23" s="85">
        <v>1777</v>
      </c>
      <c r="H23" s="203" t="s">
        <v>560</v>
      </c>
      <c r="I23" s="17" t="s">
        <v>263</v>
      </c>
      <c r="J23" s="371">
        <v>47.35</v>
      </c>
      <c r="K23" s="77">
        <v>0.16</v>
      </c>
      <c r="L23" s="77">
        <v>2.44</v>
      </c>
      <c r="M23" s="77">
        <v>29.77</v>
      </c>
      <c r="N23" s="365">
        <f t="shared" si="67"/>
        <v>79.72</v>
      </c>
      <c r="O23" s="343">
        <f t="shared" si="63"/>
        <v>77.12</v>
      </c>
      <c r="P23" s="195">
        <v>0</v>
      </c>
      <c r="Q23" s="326" t="str">
        <f>IFERROR(VLOOKUP($G23,主力整理!$A$2:$G$2301,6,0),"0")</f>
        <v>0</v>
      </c>
      <c r="R23" s="111">
        <v>1</v>
      </c>
      <c r="S23" s="51">
        <v>0</v>
      </c>
      <c r="T23" s="339">
        <f t="shared" si="68"/>
        <v>1</v>
      </c>
      <c r="V23" s="371">
        <v>0.33</v>
      </c>
      <c r="W23" s="69">
        <v>4</v>
      </c>
      <c r="X23" s="100">
        <v>4.57</v>
      </c>
      <c r="Y23" s="37" t="str">
        <f>RTD("money.excel",,"1777","Price")</f>
        <v>無資料</v>
      </c>
      <c r="Z23" s="69">
        <v>66.2</v>
      </c>
      <c r="AA23" s="16" t="e">
        <f t="shared" si="72"/>
        <v>#VALUE!</v>
      </c>
      <c r="AB23" s="3" t="e">
        <f t="shared" si="73"/>
        <v>#VALUE!</v>
      </c>
      <c r="AC23" s="107" t="s">
        <v>6522</v>
      </c>
      <c r="AD23" s="17" t="s">
        <v>263</v>
      </c>
      <c r="AE23" s="89">
        <v>44530</v>
      </c>
      <c r="AG23" s="34">
        <f t="shared" si="74"/>
        <v>-44530</v>
      </c>
      <c r="AH23" s="126" t="s">
        <v>3874</v>
      </c>
      <c r="AI23" s="131"/>
      <c r="AK23" s="131"/>
      <c r="AL23" s="264"/>
    </row>
    <row r="24" spans="1:46">
      <c r="A24" s="135" t="s">
        <v>3240</v>
      </c>
      <c r="B24" s="85">
        <v>-84</v>
      </c>
      <c r="C24" s="85">
        <v>-83</v>
      </c>
      <c r="D24" s="84">
        <v>5</v>
      </c>
      <c r="E24" s="85">
        <v>-79</v>
      </c>
      <c r="F24" s="59">
        <v>16.57</v>
      </c>
      <c r="G24" s="84">
        <v>3373</v>
      </c>
      <c r="H24" s="9" t="s">
        <v>5322</v>
      </c>
      <c r="I24" s="17" t="s">
        <v>911</v>
      </c>
      <c r="J24" s="77">
        <v>24.24</v>
      </c>
      <c r="K24" s="77">
        <v>5.83</v>
      </c>
      <c r="L24" s="77">
        <v>19.260000000000002</v>
      </c>
      <c r="M24" s="371">
        <v>25.74</v>
      </c>
      <c r="N24" s="365">
        <f t="shared" si="67"/>
        <v>75.069999999999993</v>
      </c>
      <c r="O24" s="343">
        <f t="shared" si="63"/>
        <v>49.98</v>
      </c>
      <c r="P24" s="195">
        <v>0</v>
      </c>
      <c r="Q24" s="326" t="str">
        <f>IFERROR(VLOOKUP($G24,主力整理!$A$2:$G$2301,6,0),"0")</f>
        <v>0</v>
      </c>
      <c r="R24" s="111">
        <v>3</v>
      </c>
      <c r="S24" s="51">
        <v>0</v>
      </c>
      <c r="T24" s="339">
        <f t="shared" si="68"/>
        <v>3</v>
      </c>
      <c r="V24" s="371">
        <v>3.87</v>
      </c>
      <c r="W24" s="46">
        <v>10</v>
      </c>
      <c r="X24" s="100">
        <v>4.6500000000000004</v>
      </c>
      <c r="Y24" s="37" t="str">
        <f>RTD("money.excel",,"3373","Price")</f>
        <v>無資料</v>
      </c>
      <c r="Z24" s="69">
        <v>37.950000000000003</v>
      </c>
      <c r="AA24" s="16" t="e">
        <f t="shared" ref="AA24:AA25" si="75">Y24-Z24</f>
        <v>#VALUE!</v>
      </c>
      <c r="AB24" s="3" t="e">
        <f t="shared" ref="AB24:AB25" si="76">AA24/Z24</f>
        <v>#VALUE!</v>
      </c>
      <c r="AC24" s="107" t="s">
        <v>6499</v>
      </c>
      <c r="AD24" s="17" t="s">
        <v>911</v>
      </c>
      <c r="AE24" s="89">
        <v>44529</v>
      </c>
      <c r="AG24" s="34">
        <f t="shared" ref="AG24:AG25" si="77">AF24-AE24</f>
        <v>-44529</v>
      </c>
      <c r="AH24" s="63" t="s">
        <v>4956</v>
      </c>
      <c r="AI24" s="131"/>
    </row>
    <row r="25" spans="1:46">
      <c r="A25" s="151" t="s">
        <v>2632</v>
      </c>
      <c r="B25" s="85">
        <v>-85</v>
      </c>
      <c r="C25" s="85">
        <v>-75</v>
      </c>
      <c r="D25" s="85">
        <v>-10</v>
      </c>
      <c r="E25" s="85">
        <v>-22</v>
      </c>
      <c r="F25" s="7">
        <v>5.15</v>
      </c>
      <c r="G25" s="84">
        <v>9919</v>
      </c>
      <c r="H25" s="9" t="s">
        <v>429</v>
      </c>
      <c r="I25" s="23" t="s">
        <v>1250</v>
      </c>
      <c r="J25" s="77">
        <v>42.77</v>
      </c>
      <c r="K25" s="371">
        <v>3.87</v>
      </c>
      <c r="L25" s="371">
        <v>10.58</v>
      </c>
      <c r="M25" s="371">
        <v>27.12</v>
      </c>
      <c r="N25" s="365">
        <f t="shared" si="67"/>
        <v>84.34</v>
      </c>
      <c r="O25" s="343">
        <f t="shared" si="63"/>
        <v>69.89</v>
      </c>
      <c r="P25" s="195">
        <v>8</v>
      </c>
      <c r="Q25" s="326">
        <v>1</v>
      </c>
      <c r="R25" s="111">
        <v>12</v>
      </c>
      <c r="S25" s="51">
        <v>4</v>
      </c>
      <c r="T25" s="339">
        <f t="shared" si="68"/>
        <v>25</v>
      </c>
      <c r="V25" s="371">
        <v>3.56</v>
      </c>
      <c r="W25" s="46">
        <v>3</v>
      </c>
      <c r="X25" s="100">
        <v>1.51</v>
      </c>
      <c r="Y25" s="37" t="str">
        <f>RTD("money.excel",,"9919","Price")</f>
        <v>無資料</v>
      </c>
      <c r="Z25" s="69">
        <v>24.85</v>
      </c>
      <c r="AA25" s="16" t="e">
        <f t="shared" si="75"/>
        <v>#VALUE!</v>
      </c>
      <c r="AB25" s="3" t="e">
        <f t="shared" si="76"/>
        <v>#VALUE!</v>
      </c>
      <c r="AC25" s="105" t="s">
        <v>6509</v>
      </c>
      <c r="AD25" s="23" t="s">
        <v>1250</v>
      </c>
      <c r="AE25" s="89">
        <v>44529</v>
      </c>
      <c r="AG25" s="34">
        <f t="shared" si="77"/>
        <v>-44529</v>
      </c>
      <c r="AH25" s="44" t="s">
        <v>4001</v>
      </c>
      <c r="AI25" s="131"/>
    </row>
    <row r="26" spans="1:46">
      <c r="A26" s="135" t="s">
        <v>3192</v>
      </c>
      <c r="B26" s="85">
        <v>-37</v>
      </c>
      <c r="C26" s="85">
        <v>-40</v>
      </c>
      <c r="D26" s="84">
        <v>46</v>
      </c>
      <c r="E26" s="84">
        <v>5</v>
      </c>
      <c r="F26" s="59">
        <v>12.63</v>
      </c>
      <c r="G26" s="85">
        <v>2404</v>
      </c>
      <c r="H26" s="5" t="s">
        <v>5322</v>
      </c>
      <c r="I26" s="23" t="s">
        <v>934</v>
      </c>
      <c r="J26" s="371">
        <v>37.520000000000003</v>
      </c>
      <c r="K26" s="371">
        <v>29.48</v>
      </c>
      <c r="L26" s="77">
        <v>4.54</v>
      </c>
      <c r="M26" s="371">
        <v>9.1</v>
      </c>
      <c r="N26" s="365">
        <f t="shared" si="67"/>
        <v>80.64</v>
      </c>
      <c r="O26" s="343">
        <f t="shared" si="63"/>
        <v>46.620000000000005</v>
      </c>
      <c r="P26" s="195">
        <v>29</v>
      </c>
      <c r="Q26" s="326">
        <v>1</v>
      </c>
      <c r="R26" s="111">
        <v>2</v>
      </c>
      <c r="S26" s="51">
        <v>9</v>
      </c>
      <c r="T26" s="339">
        <f t="shared" si="68"/>
        <v>41</v>
      </c>
      <c r="V26" s="77">
        <v>3.97</v>
      </c>
      <c r="W26" s="46">
        <v>17</v>
      </c>
      <c r="X26" s="100">
        <v>14.98</v>
      </c>
      <c r="Y26" s="37" t="str">
        <f>RTD("money.excel",,"2404","Price")</f>
        <v>無資料</v>
      </c>
      <c r="Z26" s="69">
        <v>177.5</v>
      </c>
      <c r="AA26" s="16" t="e">
        <f t="shared" ref="AA26" si="78">Y26-Z26</f>
        <v>#VALUE!</v>
      </c>
      <c r="AB26" s="3" t="e">
        <f t="shared" ref="AB26" si="79">AA26/Z26</f>
        <v>#VALUE!</v>
      </c>
      <c r="AC26" s="105" t="s">
        <v>6500</v>
      </c>
      <c r="AD26" s="23" t="s">
        <v>934</v>
      </c>
      <c r="AE26" s="89">
        <v>44526</v>
      </c>
      <c r="AG26" s="34">
        <f t="shared" ref="AG26" si="80">AF26-AE26</f>
        <v>-44526</v>
      </c>
      <c r="AH26" s="63" t="s">
        <v>2168</v>
      </c>
      <c r="AI26" s="131"/>
    </row>
    <row r="27" spans="1:46">
      <c r="A27" s="135" t="s">
        <v>3192</v>
      </c>
      <c r="B27" s="85">
        <v>-37</v>
      </c>
      <c r="C27" s="85">
        <v>-40</v>
      </c>
      <c r="D27" s="84">
        <v>46</v>
      </c>
      <c r="E27" s="84">
        <v>5</v>
      </c>
      <c r="F27" s="59">
        <v>12.63</v>
      </c>
      <c r="G27" s="85">
        <v>2404</v>
      </c>
      <c r="H27" s="9" t="s">
        <v>5322</v>
      </c>
      <c r="I27" s="23" t="s">
        <v>934</v>
      </c>
      <c r="J27" s="371">
        <v>37.729999999999997</v>
      </c>
      <c r="K27" s="371">
        <v>29.78</v>
      </c>
      <c r="L27" s="77">
        <v>4.4800000000000004</v>
      </c>
      <c r="M27" s="371">
        <v>9.1</v>
      </c>
      <c r="N27" s="365">
        <f t="shared" si="67"/>
        <v>81.089999999999989</v>
      </c>
      <c r="O27" s="343">
        <f t="shared" si="63"/>
        <v>46.83</v>
      </c>
      <c r="P27" s="195">
        <v>29</v>
      </c>
      <c r="Q27" s="326">
        <v>1</v>
      </c>
      <c r="R27" s="111">
        <v>2</v>
      </c>
      <c r="S27" s="51">
        <v>9</v>
      </c>
      <c r="T27" s="339">
        <f t="shared" si="68"/>
        <v>41</v>
      </c>
      <c r="V27" s="77">
        <v>3.97</v>
      </c>
      <c r="W27" s="46">
        <v>17</v>
      </c>
      <c r="X27" s="100">
        <v>14.98</v>
      </c>
      <c r="Y27" s="37" t="str">
        <f>RTD("money.excel",,"2404","Price")</f>
        <v>無資料</v>
      </c>
      <c r="Z27" s="69">
        <v>178.5</v>
      </c>
      <c r="AA27" s="16" t="e">
        <f t="shared" ref="AA27" si="81">Y27-Z27</f>
        <v>#VALUE!</v>
      </c>
      <c r="AB27" s="3" t="e">
        <f t="shared" ref="AB27" si="82">AA27/Z27</f>
        <v>#VALUE!</v>
      </c>
      <c r="AC27" s="105" t="s">
        <v>6483</v>
      </c>
      <c r="AD27" s="23" t="s">
        <v>934</v>
      </c>
      <c r="AE27" s="89">
        <v>44524</v>
      </c>
      <c r="AG27" s="34">
        <f t="shared" ref="AG27" si="83">AF27-AE27</f>
        <v>-44524</v>
      </c>
      <c r="AH27" s="63" t="s">
        <v>2168</v>
      </c>
      <c r="AI27" s="131"/>
    </row>
    <row r="28" spans="1:46">
      <c r="A28" s="151" t="s">
        <v>2754</v>
      </c>
      <c r="B28" s="84">
        <v>22</v>
      </c>
      <c r="C28" s="85">
        <v>-17</v>
      </c>
      <c r="D28" s="84">
        <v>0</v>
      </c>
      <c r="E28" s="84">
        <v>15</v>
      </c>
      <c r="F28" s="7">
        <v>-7.15</v>
      </c>
      <c r="G28" s="84">
        <v>6136</v>
      </c>
      <c r="H28" s="9" t="s">
        <v>563</v>
      </c>
      <c r="I28" s="23" t="s">
        <v>998</v>
      </c>
      <c r="J28" s="371">
        <v>19.329999999999998</v>
      </c>
      <c r="K28" s="371">
        <v>4.1399999999999997</v>
      </c>
      <c r="L28" s="371">
        <v>16.760000000000002</v>
      </c>
      <c r="M28" s="371">
        <v>7.89</v>
      </c>
      <c r="N28" s="365">
        <f t="shared" si="67"/>
        <v>48.120000000000005</v>
      </c>
      <c r="O28" s="343">
        <f t="shared" si="63"/>
        <v>27.22</v>
      </c>
      <c r="P28" s="195">
        <v>0</v>
      </c>
      <c r="Q28" s="326">
        <v>1</v>
      </c>
      <c r="R28" s="111">
        <v>2</v>
      </c>
      <c r="S28" s="51">
        <v>0</v>
      </c>
      <c r="T28" s="339">
        <f t="shared" si="68"/>
        <v>3</v>
      </c>
      <c r="V28" s="77">
        <v>0.56000000000000005</v>
      </c>
      <c r="W28" s="73">
        <v>1.1000000000000001</v>
      </c>
      <c r="X28" s="100">
        <v>0.61</v>
      </c>
      <c r="Y28" s="37" t="str">
        <f>RTD("money.excel",,"6136","Price")</f>
        <v>無資料</v>
      </c>
      <c r="Z28" s="69">
        <v>19.149999999999999</v>
      </c>
      <c r="AA28" s="16" t="e">
        <f t="shared" ref="AA28" si="84">Y28-Z28</f>
        <v>#VALUE!</v>
      </c>
      <c r="AB28" s="3" t="e">
        <f t="shared" ref="AB28" si="85">AA28/Z28</f>
        <v>#VALUE!</v>
      </c>
      <c r="AC28" s="107" t="s">
        <v>6469</v>
      </c>
      <c r="AD28" s="23" t="s">
        <v>998</v>
      </c>
      <c r="AE28" s="89">
        <v>44522</v>
      </c>
      <c r="AG28" s="34">
        <f t="shared" ref="AG28" si="86">AF28-AE28</f>
        <v>-44522</v>
      </c>
      <c r="AH28" s="44" t="s">
        <v>4291</v>
      </c>
      <c r="AI28" s="284"/>
    </row>
    <row r="29" spans="1:46">
      <c r="A29" s="151" t="s">
        <v>2754</v>
      </c>
      <c r="B29" s="84">
        <v>22</v>
      </c>
      <c r="C29" s="85">
        <v>-17</v>
      </c>
      <c r="D29" s="84">
        <v>0</v>
      </c>
      <c r="E29" s="84">
        <v>15</v>
      </c>
      <c r="F29" s="7">
        <v>-7.15</v>
      </c>
      <c r="G29" s="84">
        <v>6136</v>
      </c>
      <c r="H29" s="9" t="s">
        <v>563</v>
      </c>
      <c r="I29" s="23" t="s">
        <v>998</v>
      </c>
      <c r="J29" s="371">
        <v>19.329999999999998</v>
      </c>
      <c r="K29" s="77">
        <v>4.28</v>
      </c>
      <c r="L29" s="77">
        <v>20.72</v>
      </c>
      <c r="M29" s="371">
        <v>7.89</v>
      </c>
      <c r="N29" s="365">
        <f t="shared" si="67"/>
        <v>52.22</v>
      </c>
      <c r="O29" s="343">
        <f t="shared" si="63"/>
        <v>27.22</v>
      </c>
      <c r="P29" s="195">
        <v>0</v>
      </c>
      <c r="Q29" s="326">
        <v>1</v>
      </c>
      <c r="R29" s="111">
        <v>2</v>
      </c>
      <c r="S29" s="51">
        <v>0</v>
      </c>
      <c r="T29" s="339">
        <f t="shared" si="68"/>
        <v>3</v>
      </c>
      <c r="V29" s="77">
        <v>0.56000000000000005</v>
      </c>
      <c r="W29" s="35">
        <v>1.1000000000000001</v>
      </c>
      <c r="X29" s="100">
        <v>0.61</v>
      </c>
      <c r="Y29" s="37" t="str">
        <f>RTD("money.excel",,"6136","Price")</f>
        <v>無資料</v>
      </c>
      <c r="Z29" s="69">
        <v>20.2</v>
      </c>
      <c r="AA29" s="16" t="e">
        <f t="shared" ref="AA29" si="87">Y29-Z29</f>
        <v>#VALUE!</v>
      </c>
      <c r="AB29" s="3" t="e">
        <f t="shared" ref="AB29" si="88">AA29/Z29</f>
        <v>#VALUE!</v>
      </c>
      <c r="AC29" s="107" t="s">
        <v>6469</v>
      </c>
      <c r="AD29" s="23" t="s">
        <v>998</v>
      </c>
      <c r="AE29" s="89">
        <v>44519</v>
      </c>
      <c r="AG29" s="34">
        <f t="shared" ref="AG29" si="89">AF29-AE29</f>
        <v>-44519</v>
      </c>
      <c r="AH29" s="44" t="s">
        <v>4291</v>
      </c>
      <c r="AI29" s="131"/>
    </row>
    <row r="30" spans="1:46">
      <c r="A30" s="151"/>
      <c r="B30" s="96"/>
      <c r="C30" s="96"/>
      <c r="D30" s="96"/>
      <c r="E30" s="96"/>
      <c r="F30" s="7"/>
      <c r="G30" s="84"/>
      <c r="H30" s="4"/>
      <c r="I30" s="23"/>
      <c r="J30" s="77"/>
      <c r="K30" s="77"/>
      <c r="N30" s="365"/>
      <c r="P30" s="195"/>
      <c r="Q30" s="326"/>
      <c r="R30" s="111"/>
      <c r="W30" s="69"/>
      <c r="X30" s="100"/>
      <c r="Y30" s="14"/>
      <c r="Z30" s="69"/>
      <c r="AA30" s="16"/>
      <c r="AB30" s="3"/>
      <c r="AC30" s="105"/>
      <c r="AD30" s="23"/>
      <c r="AG30" s="34"/>
      <c r="AH30" s="44"/>
      <c r="AI30" s="131"/>
    </row>
    <row r="31" spans="1:46">
      <c r="B31" s="182"/>
      <c r="C31" s="182"/>
      <c r="D31" s="182"/>
      <c r="E31" s="182"/>
      <c r="F31" s="183"/>
      <c r="G31" s="184"/>
      <c r="H31" s="186"/>
      <c r="I31" s="185"/>
      <c r="J31" s="366"/>
      <c r="K31" s="366"/>
      <c r="L31" s="372"/>
      <c r="M31" s="373"/>
      <c r="N31" s="366">
        <v>130</v>
      </c>
      <c r="O31" s="369">
        <v>80</v>
      </c>
      <c r="V31" s="371" t="s">
        <v>6623</v>
      </c>
      <c r="W31" s="183"/>
      <c r="X31" s="4" t="s">
        <v>2189</v>
      </c>
      <c r="Y31" s="4" t="s">
        <v>1820</v>
      </c>
      <c r="Z31" s="11" t="s">
        <v>515</v>
      </c>
      <c r="AA31" s="189"/>
      <c r="AB31" s="190"/>
      <c r="AC31" s="263" t="s">
        <v>5311</v>
      </c>
      <c r="AD31" s="185"/>
      <c r="AF31" s="194"/>
      <c r="AG31" s="192">
        <f t="shared" ref="AG31" si="90">AF31-AE31</f>
        <v>0</v>
      </c>
      <c r="AH31" s="263" t="s">
        <v>6635</v>
      </c>
      <c r="AI31" s="284"/>
      <c r="AO31" s="287"/>
      <c r="AQ31" s="287"/>
      <c r="AR31" s="287"/>
      <c r="AS31" s="287"/>
      <c r="AT31" s="287"/>
    </row>
    <row r="32" spans="1:46">
      <c r="A32" s="135" t="s">
        <v>2552</v>
      </c>
      <c r="B32" s="96" t="s">
        <v>2331</v>
      </c>
      <c r="C32" s="96" t="s">
        <v>2332</v>
      </c>
      <c r="D32" s="96" t="s">
        <v>2333</v>
      </c>
      <c r="E32" s="96" t="s">
        <v>2334</v>
      </c>
      <c r="F32" s="9" t="s">
        <v>1709</v>
      </c>
      <c r="G32" s="27" t="s">
        <v>5626</v>
      </c>
      <c r="H32" s="56" t="s">
        <v>578</v>
      </c>
      <c r="I32" s="5" t="s">
        <v>6793</v>
      </c>
      <c r="J32" s="364" t="s">
        <v>2189</v>
      </c>
      <c r="K32" s="364" t="s">
        <v>1820</v>
      </c>
      <c r="L32" s="364" t="s">
        <v>515</v>
      </c>
      <c r="M32" s="364" t="s">
        <v>1699</v>
      </c>
      <c r="N32" s="364" t="s">
        <v>6633</v>
      </c>
      <c r="O32" s="343" t="s">
        <v>6634</v>
      </c>
      <c r="P32" s="83" t="s">
        <v>5279</v>
      </c>
      <c r="Q32" s="326" t="s">
        <v>5514</v>
      </c>
      <c r="R32" s="31" t="s">
        <v>6596</v>
      </c>
      <c r="S32" s="51" t="s">
        <v>6597</v>
      </c>
      <c r="T32" s="338" t="s">
        <v>5627</v>
      </c>
      <c r="U32" s="330" t="s">
        <v>6537</v>
      </c>
      <c r="V32" s="377" t="s">
        <v>6616</v>
      </c>
      <c r="W32" s="11" t="s">
        <v>127</v>
      </c>
      <c r="X32" s="71" t="s">
        <v>6626</v>
      </c>
      <c r="Y32" s="29" t="s">
        <v>6688</v>
      </c>
      <c r="Z32" s="18" t="s">
        <v>2113</v>
      </c>
      <c r="AA32" s="15" t="s">
        <v>3598</v>
      </c>
      <c r="AB32" s="22" t="s">
        <v>2199</v>
      </c>
      <c r="AC32" s="26" t="s">
        <v>211</v>
      </c>
      <c r="AD32" s="5" t="s">
        <v>6793</v>
      </c>
      <c r="AE32" s="56" t="s">
        <v>5568</v>
      </c>
      <c r="AF32" s="114" t="s">
        <v>5575</v>
      </c>
      <c r="AG32" s="33" t="s">
        <v>1827</v>
      </c>
      <c r="AH32" s="262" t="s">
        <v>6777</v>
      </c>
      <c r="AI32" s="131"/>
      <c r="AK32" s="9" t="s">
        <v>6666</v>
      </c>
      <c r="AL32" s="5" t="s">
        <v>6667</v>
      </c>
      <c r="AM32" s="51" t="s">
        <v>5339</v>
      </c>
      <c r="AN32" s="276" t="s">
        <v>6665</v>
      </c>
    </row>
    <row r="33" spans="1:35">
      <c r="B33" s="96"/>
      <c r="C33" s="96"/>
      <c r="D33" s="96"/>
      <c r="E33" s="96"/>
      <c r="F33" s="9"/>
      <c r="G33" s="27"/>
      <c r="H33" s="56"/>
      <c r="I33" s="5"/>
      <c r="J33" s="364"/>
      <c r="K33" s="364"/>
      <c r="L33" s="364"/>
      <c r="M33" s="364"/>
      <c r="N33" s="364"/>
      <c r="P33" s="83"/>
      <c r="Q33" s="326"/>
      <c r="T33" s="338"/>
      <c r="U33" s="330"/>
      <c r="V33" s="377"/>
      <c r="W33" s="11"/>
      <c r="X33" s="71"/>
      <c r="Y33" s="29"/>
      <c r="Z33" s="18"/>
      <c r="AA33" s="15"/>
      <c r="AB33" s="22"/>
      <c r="AC33" s="26"/>
      <c r="AD33" s="5"/>
      <c r="AE33" s="56"/>
      <c r="AF33" s="114"/>
      <c r="AG33" s="33"/>
      <c r="AH33" s="262"/>
      <c r="AI33" s="131"/>
    </row>
    <row r="34" spans="1:35">
      <c r="A34" s="135" t="s">
        <v>2473</v>
      </c>
      <c r="B34" s="84">
        <v>85</v>
      </c>
      <c r="C34" s="84">
        <v>58</v>
      </c>
      <c r="D34" s="85">
        <v>-15</v>
      </c>
      <c r="E34" s="85">
        <v>-2</v>
      </c>
      <c r="F34" s="59">
        <v>31.99</v>
      </c>
      <c r="G34" s="84">
        <v>2458</v>
      </c>
      <c r="H34" s="9" t="s">
        <v>558</v>
      </c>
      <c r="I34" s="23" t="s">
        <v>113</v>
      </c>
      <c r="J34" s="77">
        <v>45.59</v>
      </c>
      <c r="K34" s="77">
        <v>34.049999999999997</v>
      </c>
      <c r="L34" s="371">
        <v>8.2799999999999994</v>
      </c>
      <c r="M34" s="77">
        <v>5.97</v>
      </c>
      <c r="N34" s="365">
        <f t="shared" ref="N34:N39" si="91">K34+J34+L34+M34</f>
        <v>93.89</v>
      </c>
      <c r="O34" s="343">
        <f t="shared" ref="O34:O39" si="92">J34+M34</f>
        <v>51.56</v>
      </c>
      <c r="P34" s="195">
        <v>44</v>
      </c>
      <c r="Q34" s="326">
        <v>23</v>
      </c>
      <c r="R34" s="111">
        <v>1</v>
      </c>
      <c r="S34" s="51">
        <v>14</v>
      </c>
      <c r="T34" s="339">
        <f>SUM(P34:S34)</f>
        <v>82</v>
      </c>
      <c r="V34" s="77">
        <v>7.42</v>
      </c>
      <c r="W34" s="46">
        <v>9</v>
      </c>
      <c r="X34" s="100">
        <v>17.100000000000001</v>
      </c>
      <c r="Y34" s="37">
        <v>165.5</v>
      </c>
      <c r="Z34" s="69">
        <v>164.5</v>
      </c>
      <c r="AA34" s="16">
        <f>Y34-Z34</f>
        <v>1</v>
      </c>
      <c r="AB34" s="66">
        <f>AA34/Z34</f>
        <v>6.0790273556231003E-3</v>
      </c>
      <c r="AC34" s="105" t="s">
        <v>6501</v>
      </c>
      <c r="AD34" s="23" t="s">
        <v>113</v>
      </c>
      <c r="AE34" s="89">
        <v>44526</v>
      </c>
      <c r="AF34" s="88">
        <v>44558</v>
      </c>
      <c r="AG34" s="34">
        <f>AF34-AE34</f>
        <v>32</v>
      </c>
      <c r="AH34" s="126" t="s">
        <v>3725</v>
      </c>
      <c r="AI34" s="128"/>
    </row>
    <row r="35" spans="1:35">
      <c r="A35" s="135" t="s">
        <v>2631</v>
      </c>
      <c r="B35" s="84">
        <v>38</v>
      </c>
      <c r="C35" s="84">
        <v>53</v>
      </c>
      <c r="D35" s="84">
        <v>71</v>
      </c>
      <c r="E35" s="84">
        <v>146</v>
      </c>
      <c r="F35" s="59">
        <v>44.29</v>
      </c>
      <c r="G35" s="84">
        <v>2348</v>
      </c>
      <c r="H35" s="9" t="s">
        <v>429</v>
      </c>
      <c r="I35" s="23" t="s">
        <v>1224</v>
      </c>
      <c r="J35" s="77">
        <v>72.48</v>
      </c>
      <c r="K35" s="77">
        <v>2.4</v>
      </c>
      <c r="L35" s="77">
        <v>6.61</v>
      </c>
      <c r="M35" s="371">
        <v>54.11</v>
      </c>
      <c r="N35" s="77">
        <f t="shared" si="91"/>
        <v>135.60000000000002</v>
      </c>
      <c r="O35" s="369">
        <f t="shared" si="92"/>
        <v>126.59</v>
      </c>
      <c r="P35" s="195">
        <v>7</v>
      </c>
      <c r="Q35" s="326">
        <v>0</v>
      </c>
      <c r="R35" s="111">
        <v>0</v>
      </c>
      <c r="S35" s="51">
        <v>0</v>
      </c>
      <c r="T35" s="339">
        <f>SUM(P35:S35)</f>
        <v>7</v>
      </c>
      <c r="U35" s="329" t="s">
        <v>6601</v>
      </c>
      <c r="V35" s="371">
        <v>0.83</v>
      </c>
      <c r="W35" s="69">
        <v>8</v>
      </c>
      <c r="X35" s="100">
        <v>16.97</v>
      </c>
      <c r="Y35" s="37">
        <v>112</v>
      </c>
      <c r="Z35" s="69">
        <v>112.5</v>
      </c>
      <c r="AA35" s="16">
        <f t="shared" ref="AA35" si="93">Y35-Z35</f>
        <v>-0.5</v>
      </c>
      <c r="AB35" s="80">
        <f t="shared" ref="AB35" si="94">AA35/Z35</f>
        <v>-4.4444444444444444E-3</v>
      </c>
      <c r="AC35" s="105" t="s">
        <v>6602</v>
      </c>
      <c r="AD35" s="23" t="s">
        <v>1224</v>
      </c>
      <c r="AE35" s="89">
        <v>44540</v>
      </c>
      <c r="AF35" s="88">
        <v>44545</v>
      </c>
      <c r="AG35" s="34">
        <f t="shared" ref="AG35" si="95">AF35-AE35</f>
        <v>5</v>
      </c>
      <c r="AH35" s="63" t="s">
        <v>3785</v>
      </c>
      <c r="AI35" s="131"/>
    </row>
    <row r="36" spans="1:35">
      <c r="A36" s="135" t="s">
        <v>3025</v>
      </c>
      <c r="B36" s="85">
        <v>-28</v>
      </c>
      <c r="C36" s="85">
        <v>-37</v>
      </c>
      <c r="D36" s="85">
        <v>-10</v>
      </c>
      <c r="E36" s="85">
        <v>-54</v>
      </c>
      <c r="F36" s="59">
        <v>21.9</v>
      </c>
      <c r="G36" s="85">
        <v>2474</v>
      </c>
      <c r="H36" s="213" t="s">
        <v>5322</v>
      </c>
      <c r="I36" s="23" t="s">
        <v>502</v>
      </c>
      <c r="J36" s="371">
        <v>58.99</v>
      </c>
      <c r="K36" s="371">
        <v>47.8</v>
      </c>
      <c r="L36" s="77">
        <v>5.25</v>
      </c>
      <c r="M36" s="77">
        <v>4.17</v>
      </c>
      <c r="N36" s="365">
        <f t="shared" si="91"/>
        <v>116.21</v>
      </c>
      <c r="O36" s="343">
        <f t="shared" si="92"/>
        <v>63.160000000000004</v>
      </c>
      <c r="P36" s="195">
        <v>37</v>
      </c>
      <c r="Q36" s="326">
        <v>18</v>
      </c>
      <c r="R36" s="111">
        <v>0</v>
      </c>
      <c r="S36" s="51">
        <v>7</v>
      </c>
      <c r="T36" s="339">
        <f>SUM(P36:S36)</f>
        <v>62</v>
      </c>
      <c r="V36" s="156">
        <v>3.82</v>
      </c>
      <c r="W36" s="46">
        <v>12</v>
      </c>
      <c r="X36" s="59">
        <v>25.03</v>
      </c>
      <c r="Y36" s="14">
        <v>153.5</v>
      </c>
      <c r="Z36" s="69">
        <v>151.5</v>
      </c>
      <c r="AA36" s="16">
        <f>Y36-Z36</f>
        <v>2</v>
      </c>
      <c r="AB36" s="66">
        <f>AA36/Z36</f>
        <v>1.3201320132013201E-2</v>
      </c>
      <c r="AC36" s="105" t="s">
        <v>5512</v>
      </c>
      <c r="AD36" s="23" t="s">
        <v>502</v>
      </c>
      <c r="AE36" s="89">
        <v>44530</v>
      </c>
      <c r="AF36" s="88">
        <v>44545</v>
      </c>
      <c r="AG36" s="34">
        <f>AF36-AE36</f>
        <v>15</v>
      </c>
      <c r="AH36" s="126" t="s">
        <v>3794</v>
      </c>
      <c r="AI36" s="131"/>
    </row>
    <row r="37" spans="1:35">
      <c r="A37" s="151" t="s">
        <v>6598</v>
      </c>
      <c r="B37" s="84">
        <v>21</v>
      </c>
      <c r="C37" s="84"/>
      <c r="D37" s="84">
        <v>7</v>
      </c>
      <c r="E37" s="84">
        <v>23</v>
      </c>
      <c r="F37" s="7"/>
      <c r="G37" s="84">
        <v>2812</v>
      </c>
      <c r="H37" s="18" t="s">
        <v>553</v>
      </c>
      <c r="I37" s="23" t="s">
        <v>257</v>
      </c>
      <c r="J37" s="371">
        <v>61.51</v>
      </c>
      <c r="K37" s="77">
        <v>11.1</v>
      </c>
      <c r="L37" s="77">
        <v>0.18</v>
      </c>
      <c r="M37" s="77">
        <v>3.46</v>
      </c>
      <c r="N37" s="365">
        <f t="shared" si="91"/>
        <v>76.25</v>
      </c>
      <c r="O37" s="343">
        <f t="shared" si="92"/>
        <v>64.97</v>
      </c>
      <c r="P37" s="195">
        <v>0</v>
      </c>
      <c r="Q37" s="326">
        <v>9</v>
      </c>
      <c r="R37" s="111">
        <v>0</v>
      </c>
      <c r="S37" s="51">
        <v>0</v>
      </c>
      <c r="T37" s="339">
        <f t="shared" ref="T37:T42" si="96">SUM(P37:S37)</f>
        <v>9</v>
      </c>
      <c r="U37" s="329" t="s">
        <v>6601</v>
      </c>
      <c r="V37" s="371">
        <v>0.5</v>
      </c>
      <c r="W37" s="35">
        <v>0.69</v>
      </c>
      <c r="X37" s="100">
        <v>1.1299999999999999</v>
      </c>
      <c r="Y37" s="37">
        <v>12</v>
      </c>
      <c r="Z37" s="69">
        <v>12.05</v>
      </c>
      <c r="AA37" s="16">
        <f>Y37-Z37</f>
        <v>-5.0000000000000711E-2</v>
      </c>
      <c r="AB37" s="80">
        <f>AA37/Z37</f>
        <v>-4.1493775933610548E-3</v>
      </c>
      <c r="AC37" s="105" t="s">
        <v>6603</v>
      </c>
      <c r="AD37" s="23" t="s">
        <v>257</v>
      </c>
      <c r="AE37" s="89">
        <v>44540</v>
      </c>
      <c r="AF37" s="88">
        <v>44544</v>
      </c>
      <c r="AG37" s="34">
        <f>AF37-AE37</f>
        <v>4</v>
      </c>
      <c r="AH37" s="125" t="s">
        <v>2150</v>
      </c>
      <c r="AI37" s="131"/>
    </row>
    <row r="38" spans="1:35">
      <c r="A38" s="151" t="s">
        <v>6305</v>
      </c>
      <c r="B38" s="85">
        <v>-43</v>
      </c>
      <c r="C38" s="85">
        <v>-33</v>
      </c>
      <c r="D38" s="84">
        <v>3</v>
      </c>
      <c r="E38" s="85">
        <v>-34</v>
      </c>
      <c r="F38" s="7">
        <v>9.76</v>
      </c>
      <c r="G38" s="85">
        <v>3540</v>
      </c>
      <c r="H38" s="154" t="s">
        <v>1815</v>
      </c>
      <c r="I38" s="17" t="s">
        <v>337</v>
      </c>
      <c r="J38" s="371">
        <v>26.15</v>
      </c>
      <c r="K38" s="371">
        <v>1.57</v>
      </c>
      <c r="L38" s="77">
        <v>14</v>
      </c>
      <c r="M38" s="371">
        <v>16.239999999999998</v>
      </c>
      <c r="N38" s="365">
        <f t="shared" si="91"/>
        <v>57.959999999999994</v>
      </c>
      <c r="O38" s="343">
        <f t="shared" si="92"/>
        <v>42.39</v>
      </c>
      <c r="P38" s="195">
        <v>2</v>
      </c>
      <c r="Q38" s="326" t="str">
        <f>IFERROR(VLOOKUP($G38,主力整理!$A$2:$G$2301,6,0),"0")</f>
        <v>0</v>
      </c>
      <c r="R38" s="111">
        <v>14</v>
      </c>
      <c r="S38" s="51">
        <v>6</v>
      </c>
      <c r="T38" s="339">
        <f t="shared" si="96"/>
        <v>22</v>
      </c>
      <c r="V38" s="371">
        <v>1.71</v>
      </c>
      <c r="W38" s="69">
        <v>4.49</v>
      </c>
      <c r="X38" s="100">
        <v>4.72</v>
      </c>
      <c r="Y38" s="37">
        <v>39.1</v>
      </c>
      <c r="Z38" s="69">
        <v>39.5</v>
      </c>
      <c r="AA38" s="16">
        <f>Y38-Z38</f>
        <v>-0.39999999999999858</v>
      </c>
      <c r="AB38" s="80">
        <f>AA38/Z38</f>
        <v>-1.0126582278480976E-2</v>
      </c>
      <c r="AC38" s="107" t="s">
        <v>6462</v>
      </c>
      <c r="AD38" s="17" t="s">
        <v>337</v>
      </c>
      <c r="AE38" s="89">
        <v>44519</v>
      </c>
      <c r="AF38" s="88">
        <v>44543</v>
      </c>
      <c r="AG38" s="34">
        <f>AF38-AE38</f>
        <v>24</v>
      </c>
      <c r="AH38" s="125" t="s">
        <v>6461</v>
      </c>
      <c r="AI38" s="284"/>
    </row>
    <row r="39" spans="1:35">
      <c r="A39" s="135" t="s">
        <v>2930</v>
      </c>
      <c r="B39" s="85">
        <v>-81</v>
      </c>
      <c r="C39" s="85">
        <v>-79</v>
      </c>
      <c r="D39" s="85">
        <v>-4</v>
      </c>
      <c r="E39" s="85">
        <v>-89</v>
      </c>
      <c r="F39" s="59">
        <v>35.44</v>
      </c>
      <c r="G39" s="84">
        <v>1325</v>
      </c>
      <c r="H39" s="9" t="s">
        <v>5284</v>
      </c>
      <c r="I39" s="23" t="s">
        <v>1089</v>
      </c>
      <c r="J39" s="371">
        <v>41.39</v>
      </c>
      <c r="K39" s="371">
        <v>8.89</v>
      </c>
      <c r="L39" s="77">
        <v>18.760000000000002</v>
      </c>
      <c r="M39" s="371">
        <v>32.81</v>
      </c>
      <c r="N39" s="365">
        <f t="shared" si="91"/>
        <v>101.85000000000001</v>
      </c>
      <c r="O39" s="343">
        <f t="shared" si="92"/>
        <v>74.2</v>
      </c>
      <c r="P39" s="195">
        <v>11</v>
      </c>
      <c r="Q39" s="326">
        <v>5</v>
      </c>
      <c r="R39" s="111">
        <v>14</v>
      </c>
      <c r="S39" s="51">
        <v>1</v>
      </c>
      <c r="T39" s="339">
        <f t="shared" si="96"/>
        <v>31</v>
      </c>
      <c r="V39" s="156">
        <v>4.7699999999999996</v>
      </c>
      <c r="W39" s="46">
        <v>12</v>
      </c>
      <c r="X39" s="100">
        <v>9.64</v>
      </c>
      <c r="Y39" s="37">
        <v>46.8</v>
      </c>
      <c r="Z39" s="69">
        <v>46.7</v>
      </c>
      <c r="AA39" s="16">
        <f>Y39-Z39</f>
        <v>9.9999999999994316E-2</v>
      </c>
      <c r="AB39" s="66">
        <f>AA39/Z39</f>
        <v>2.1413276231262166E-3</v>
      </c>
      <c r="AC39" s="105" t="s">
        <v>6519</v>
      </c>
      <c r="AD39" s="23" t="s">
        <v>1089</v>
      </c>
      <c r="AE39" s="89">
        <v>44530</v>
      </c>
      <c r="AF39" s="88">
        <v>44536</v>
      </c>
      <c r="AG39" s="34">
        <f>AF39-AE39</f>
        <v>6</v>
      </c>
      <c r="AH39" s="63" t="s">
        <v>3994</v>
      </c>
    </row>
    <row r="40" spans="1:35">
      <c r="A40" s="151" t="s">
        <v>5604</v>
      </c>
      <c r="B40" s="84">
        <v>13</v>
      </c>
      <c r="C40" s="84">
        <v>13</v>
      </c>
      <c r="D40" s="85">
        <v>-3</v>
      </c>
      <c r="E40" s="84">
        <v>10</v>
      </c>
      <c r="F40" s="7">
        <v>8.7200000000000006</v>
      </c>
      <c r="G40" s="84">
        <v>8104</v>
      </c>
      <c r="H40" s="9" t="s">
        <v>557</v>
      </c>
      <c r="I40" s="23" t="s">
        <v>2729</v>
      </c>
      <c r="J40" s="371">
        <v>52.93</v>
      </c>
      <c r="K40" s="371">
        <v>1.22</v>
      </c>
      <c r="L40" s="77">
        <v>12.87</v>
      </c>
      <c r="N40" s="365">
        <f t="shared" ref="N40" si="97">K40+J40+L40</f>
        <v>67.02</v>
      </c>
      <c r="P40" s="195">
        <v>7</v>
      </c>
      <c r="Q40" s="326">
        <v>1</v>
      </c>
      <c r="R40" s="111">
        <v>1</v>
      </c>
      <c r="S40" s="51">
        <v>0</v>
      </c>
      <c r="T40" s="339">
        <f t="shared" si="96"/>
        <v>9</v>
      </c>
      <c r="U40" s="329" t="s">
        <v>6539</v>
      </c>
      <c r="V40" s="371">
        <v>31.63</v>
      </c>
      <c r="W40" s="46">
        <v>2.99</v>
      </c>
      <c r="X40" s="59">
        <v>3.26</v>
      </c>
      <c r="Y40" s="37">
        <v>69</v>
      </c>
      <c r="Z40" s="69">
        <v>54.1</v>
      </c>
      <c r="AA40" s="16">
        <f t="shared" ref="AA40" si="98">Y40-Z40</f>
        <v>14.899999999999999</v>
      </c>
      <c r="AB40" s="66">
        <f t="shared" ref="AB40" si="99">AA40/Z40</f>
        <v>0.2754158964879852</v>
      </c>
      <c r="AC40" s="105" t="s">
        <v>6542</v>
      </c>
      <c r="AD40" s="23" t="s">
        <v>2729</v>
      </c>
      <c r="AE40" s="89">
        <v>44533</v>
      </c>
      <c r="AF40" s="88">
        <v>44539</v>
      </c>
      <c r="AG40" s="34">
        <f t="shared" ref="AG40" si="100">AF40-AE40</f>
        <v>6</v>
      </c>
      <c r="AH40" s="125" t="s">
        <v>2730</v>
      </c>
    </row>
    <row r="41" spans="1:35">
      <c r="A41" s="151" t="s">
        <v>3233</v>
      </c>
      <c r="B41" s="85">
        <v>-68</v>
      </c>
      <c r="C41" s="85">
        <v>-4</v>
      </c>
      <c r="D41" s="85">
        <v>-4</v>
      </c>
      <c r="E41" s="84">
        <v>6</v>
      </c>
      <c r="F41" s="7">
        <v>2.09</v>
      </c>
      <c r="G41" s="84">
        <v>4906</v>
      </c>
      <c r="H41" s="9" t="s">
        <v>563</v>
      </c>
      <c r="I41" s="23" t="s">
        <v>351</v>
      </c>
      <c r="J41" s="371">
        <v>15.98</v>
      </c>
      <c r="K41" s="371">
        <v>5.62</v>
      </c>
      <c r="L41" s="77">
        <v>15.15</v>
      </c>
      <c r="N41" s="365">
        <f>K41+J41+L41</f>
        <v>36.75</v>
      </c>
      <c r="P41" s="195">
        <v>3</v>
      </c>
      <c r="Q41" s="326">
        <v>6</v>
      </c>
      <c r="R41" s="111">
        <v>3</v>
      </c>
      <c r="S41" s="51">
        <v>2</v>
      </c>
      <c r="T41" s="339">
        <f t="shared" si="96"/>
        <v>14</v>
      </c>
      <c r="V41" s="371">
        <v>18.239999999999998</v>
      </c>
      <c r="W41" s="73">
        <v>1.96</v>
      </c>
      <c r="X41" s="100">
        <v>1.46</v>
      </c>
      <c r="Y41" s="37">
        <v>28.7</v>
      </c>
      <c r="Z41" s="69">
        <v>28.25</v>
      </c>
      <c r="AA41" s="16">
        <f>Y41-Z41</f>
        <v>0.44999999999999929</v>
      </c>
      <c r="AB41" s="66">
        <f>AA41/Z41</f>
        <v>1.5929203539822984E-2</v>
      </c>
      <c r="AC41" s="107" t="s">
        <v>6463</v>
      </c>
      <c r="AD41" s="23" t="s">
        <v>351</v>
      </c>
      <c r="AE41" s="89">
        <v>44519</v>
      </c>
      <c r="AF41" s="88">
        <v>44537</v>
      </c>
      <c r="AG41" s="34">
        <f>AF41-AE41</f>
        <v>18</v>
      </c>
      <c r="AH41" s="127" t="s">
        <v>3299</v>
      </c>
      <c r="AI41" s="284"/>
    </row>
    <row r="42" spans="1:35">
      <c r="A42" s="135" t="s">
        <v>3401</v>
      </c>
      <c r="B42" s="84">
        <v>60</v>
      </c>
      <c r="C42" s="84">
        <v>61</v>
      </c>
      <c r="D42" s="85">
        <v>-1</v>
      </c>
      <c r="E42" s="84">
        <v>80</v>
      </c>
      <c r="F42" s="59">
        <v>35.53</v>
      </c>
      <c r="G42" s="84">
        <v>6523</v>
      </c>
      <c r="H42" s="9" t="s">
        <v>560</v>
      </c>
      <c r="I42" s="17" t="s">
        <v>1152</v>
      </c>
      <c r="J42" s="371">
        <v>64.05</v>
      </c>
      <c r="K42" s="77">
        <v>10.72</v>
      </c>
      <c r="L42" s="77">
        <v>11.31</v>
      </c>
      <c r="N42" s="365">
        <f>K42+J42+L42</f>
        <v>86.08</v>
      </c>
      <c r="P42" s="195">
        <v>1</v>
      </c>
      <c r="Q42" s="326" t="str">
        <f>IFERROR(VLOOKUP($G42,主力整理!$A$2:$G$2301,6,0),"0")</f>
        <v>0</v>
      </c>
      <c r="R42" s="111">
        <v>4</v>
      </c>
      <c r="S42" s="51">
        <v>0</v>
      </c>
      <c r="T42" s="339">
        <f t="shared" si="96"/>
        <v>5</v>
      </c>
      <c r="V42" s="371">
        <v>39.72</v>
      </c>
      <c r="W42" s="46">
        <v>5.22</v>
      </c>
      <c r="X42" s="59">
        <v>16.45</v>
      </c>
      <c r="Y42" s="37">
        <v>144</v>
      </c>
      <c r="Z42" s="69">
        <f>148.5-5.2</f>
        <v>143.30000000000001</v>
      </c>
      <c r="AA42" s="16">
        <f>Y42-Z42</f>
        <v>0.69999999999998863</v>
      </c>
      <c r="AB42" s="66">
        <f>AA42/Z42</f>
        <v>4.8848569434751469E-3</v>
      </c>
      <c r="AC42" s="107" t="s">
        <v>6469</v>
      </c>
      <c r="AD42" s="17" t="s">
        <v>1152</v>
      </c>
      <c r="AE42" s="89">
        <v>44522</v>
      </c>
      <c r="AF42" s="88">
        <v>44532</v>
      </c>
      <c r="AG42" s="34">
        <f>AF42-AE42</f>
        <v>10</v>
      </c>
      <c r="AH42" s="63" t="s">
        <v>3902</v>
      </c>
      <c r="AI42" s="131"/>
    </row>
    <row r="43" spans="1:35">
      <c r="A43" s="151"/>
      <c r="B43" s="85"/>
      <c r="C43" s="84"/>
      <c r="D43" s="85"/>
      <c r="E43" s="85"/>
      <c r="F43" s="7"/>
      <c r="G43" s="85"/>
      <c r="H43" s="5"/>
      <c r="I43" s="23"/>
      <c r="J43" s="371"/>
      <c r="K43" s="371"/>
      <c r="L43" s="371"/>
      <c r="N43" s="365"/>
      <c r="P43" s="195"/>
      <c r="Q43" s="326"/>
      <c r="R43" s="111"/>
      <c r="W43" s="69"/>
      <c r="X43" s="59"/>
      <c r="Y43" s="37"/>
      <c r="Z43" s="69"/>
      <c r="AA43" s="16"/>
      <c r="AB43" s="66"/>
      <c r="AC43" s="105"/>
      <c r="AD43" s="23"/>
      <c r="AG43" s="34"/>
      <c r="AH43" s="44"/>
      <c r="AI43" s="131"/>
    </row>
    <row r="44" spans="1:35">
      <c r="B44" s="84"/>
      <c r="C44" s="84"/>
      <c r="D44" s="84"/>
      <c r="E44" s="84"/>
      <c r="F44" s="59"/>
      <c r="G44" s="84"/>
      <c r="H44" s="9"/>
      <c r="I44" s="23"/>
      <c r="J44" s="371"/>
      <c r="K44" s="371"/>
      <c r="L44" s="371"/>
      <c r="N44" s="365"/>
      <c r="P44" s="195"/>
      <c r="Q44" s="326"/>
      <c r="R44" s="111"/>
      <c r="W44" s="69"/>
      <c r="X44" s="100"/>
      <c r="Y44" s="37"/>
      <c r="Z44" s="69"/>
      <c r="AA44" s="16"/>
      <c r="AB44" s="66"/>
      <c r="AC44" s="105"/>
      <c r="AD44" s="23"/>
      <c r="AG44" s="34"/>
      <c r="AH44" s="63"/>
      <c r="AI44" s="131"/>
    </row>
    <row r="45" spans="1:35">
      <c r="A45" s="151"/>
      <c r="B45" s="84"/>
      <c r="C45" s="84"/>
      <c r="D45" s="85"/>
      <c r="E45" s="84"/>
      <c r="F45" s="7"/>
      <c r="G45" s="85"/>
      <c r="H45" s="19"/>
      <c r="I45" s="23"/>
      <c r="J45" s="371"/>
      <c r="K45" s="371"/>
      <c r="L45" s="371"/>
      <c r="N45" s="365"/>
      <c r="P45" s="195"/>
      <c r="Q45" s="326"/>
      <c r="R45" s="111"/>
      <c r="W45" s="35"/>
      <c r="X45" s="59"/>
      <c r="Y45" s="37"/>
      <c r="Z45" s="69"/>
      <c r="AA45" s="16"/>
      <c r="AB45" s="66"/>
      <c r="AC45" s="107"/>
      <c r="AD45" s="23"/>
      <c r="AG45" s="34"/>
      <c r="AH45" s="125"/>
      <c r="AI45" s="131"/>
    </row>
    <row r="46" spans="1:35">
      <c r="B46" s="84"/>
      <c r="C46" s="84"/>
      <c r="D46" s="85"/>
      <c r="E46" s="84"/>
      <c r="F46" s="59"/>
      <c r="G46" s="85"/>
      <c r="H46" s="5"/>
      <c r="I46" s="23"/>
      <c r="J46" s="371"/>
      <c r="K46" s="371"/>
      <c r="L46" s="371"/>
      <c r="N46" s="365"/>
      <c r="P46" s="195"/>
      <c r="Q46" s="326"/>
      <c r="R46" s="111"/>
      <c r="W46" s="46"/>
      <c r="X46" s="59"/>
      <c r="Y46" s="37"/>
      <c r="Z46" s="69"/>
      <c r="AA46" s="16"/>
      <c r="AB46" s="66"/>
      <c r="AC46" s="105"/>
      <c r="AD46" s="23"/>
      <c r="AG46" s="34"/>
      <c r="AH46" s="126"/>
      <c r="AI46" s="131"/>
    </row>
    <row r="47" spans="1:35">
      <c r="B47" s="84"/>
      <c r="C47" s="84"/>
      <c r="D47" s="84"/>
      <c r="E47" s="84"/>
      <c r="F47" s="59"/>
      <c r="G47" s="85"/>
      <c r="H47" s="5"/>
      <c r="I47" s="17"/>
      <c r="J47" s="371"/>
      <c r="K47" s="371"/>
      <c r="L47" s="371"/>
      <c r="N47" s="365"/>
      <c r="P47" s="195"/>
      <c r="Q47" s="326"/>
      <c r="R47" s="111"/>
      <c r="W47" s="69"/>
      <c r="X47" s="100"/>
      <c r="Y47" s="37"/>
      <c r="Z47" s="69"/>
      <c r="AA47" s="16"/>
      <c r="AB47" s="66"/>
      <c r="AC47" s="105"/>
      <c r="AD47" s="17"/>
      <c r="AG47" s="34"/>
      <c r="AH47" s="126"/>
      <c r="AI47" s="284"/>
    </row>
    <row r="48" spans="1:35">
      <c r="A48" s="151"/>
      <c r="B48" s="84"/>
      <c r="C48" s="84"/>
      <c r="D48" s="84"/>
      <c r="E48" s="84"/>
      <c r="F48" s="7"/>
      <c r="G48" s="85"/>
      <c r="H48" s="216"/>
      <c r="I48" s="23"/>
      <c r="J48" s="371"/>
      <c r="K48" s="371"/>
      <c r="L48" s="371"/>
      <c r="N48" s="365"/>
      <c r="P48" s="195"/>
      <c r="Q48" s="326"/>
      <c r="R48" s="111"/>
      <c r="W48" s="69"/>
      <c r="X48" s="59"/>
      <c r="Y48" s="37"/>
      <c r="Z48" s="69"/>
      <c r="AA48" s="16"/>
      <c r="AB48" s="66"/>
      <c r="AC48" s="105"/>
      <c r="AD48" s="23"/>
      <c r="AG48" s="34"/>
      <c r="AH48" s="125"/>
      <c r="AI48" s="131"/>
    </row>
    <row r="49" spans="1:42">
      <c r="A49" s="151"/>
      <c r="B49" s="84"/>
      <c r="C49" s="84"/>
      <c r="D49" s="84"/>
      <c r="E49" s="84"/>
      <c r="F49" s="7"/>
      <c r="G49" s="85"/>
      <c r="H49" s="5"/>
      <c r="I49" s="23"/>
      <c r="J49" s="371"/>
      <c r="K49" s="371"/>
      <c r="L49" s="371"/>
      <c r="N49" s="365"/>
      <c r="P49" s="195"/>
      <c r="Q49" s="326"/>
      <c r="R49" s="111"/>
      <c r="W49" s="69"/>
      <c r="X49" s="100"/>
      <c r="Y49" s="37"/>
      <c r="Z49" s="69"/>
      <c r="AA49" s="16"/>
      <c r="AB49" s="66"/>
      <c r="AC49" s="105"/>
      <c r="AD49" s="23"/>
      <c r="AG49" s="34"/>
      <c r="AH49" s="125"/>
      <c r="AI49" s="131"/>
    </row>
    <row r="50" spans="1:42">
      <c r="A50" s="151"/>
      <c r="B50" s="84"/>
      <c r="C50" s="84"/>
      <c r="D50" s="84"/>
      <c r="E50" s="84"/>
      <c r="F50" s="7"/>
      <c r="G50" s="85"/>
      <c r="H50" s="268"/>
      <c r="I50" s="23"/>
      <c r="J50" s="371"/>
      <c r="K50" s="371"/>
      <c r="L50" s="371"/>
      <c r="N50" s="365"/>
      <c r="P50" s="195"/>
      <c r="Q50" s="326"/>
      <c r="R50" s="111"/>
      <c r="W50" s="46"/>
      <c r="X50" s="100"/>
      <c r="Y50" s="37"/>
      <c r="Z50" s="69"/>
      <c r="AA50" s="16"/>
      <c r="AB50" s="66"/>
      <c r="AC50" s="105"/>
      <c r="AD50" s="23"/>
      <c r="AG50" s="34"/>
      <c r="AH50" s="125"/>
      <c r="AI50" s="131"/>
      <c r="AO50" s="34"/>
      <c r="AP50" s="34"/>
    </row>
    <row r="51" spans="1:42">
      <c r="B51" s="96"/>
      <c r="C51" s="96"/>
      <c r="D51" s="96"/>
      <c r="E51" s="96"/>
      <c r="F51" s="9"/>
      <c r="G51" s="27"/>
      <c r="H51" s="56"/>
      <c r="I51" s="9"/>
      <c r="J51" s="364"/>
      <c r="K51" s="364"/>
      <c r="L51" s="364"/>
      <c r="M51" s="364"/>
      <c r="N51" s="364"/>
      <c r="P51" s="83"/>
      <c r="Q51" s="326"/>
      <c r="R51" s="111"/>
      <c r="T51" s="338"/>
      <c r="V51" s="377"/>
      <c r="W51" s="11"/>
      <c r="X51" s="71"/>
      <c r="Y51" s="29"/>
      <c r="Z51" s="18"/>
      <c r="AA51" s="15"/>
      <c r="AB51" s="22"/>
      <c r="AC51" s="26"/>
      <c r="AD51" s="9"/>
      <c r="AE51" s="56"/>
      <c r="AF51" s="114"/>
      <c r="AG51" s="33"/>
      <c r="AH51" s="44"/>
      <c r="AI51" s="131"/>
    </row>
    <row r="52" spans="1:42">
      <c r="B52" s="84"/>
      <c r="C52" s="84"/>
      <c r="D52" s="85"/>
      <c r="E52" s="84"/>
      <c r="F52" s="59"/>
      <c r="G52" s="85"/>
      <c r="H52" s="212"/>
      <c r="I52" s="23"/>
      <c r="J52" s="77"/>
      <c r="K52" s="77"/>
      <c r="L52" s="371"/>
      <c r="N52" s="365"/>
      <c r="P52" s="195"/>
      <c r="Q52" s="326"/>
      <c r="R52" s="111"/>
      <c r="W52" s="69"/>
      <c r="X52" s="59"/>
      <c r="Y52" s="14"/>
      <c r="Z52" s="69"/>
      <c r="AA52" s="16"/>
      <c r="AB52" s="66"/>
      <c r="AC52" s="105"/>
      <c r="AD52" s="23"/>
      <c r="AG52" s="34"/>
      <c r="AH52" s="63"/>
      <c r="AI52" s="284"/>
    </row>
    <row r="53" spans="1:42">
      <c r="B53" s="84"/>
      <c r="C53" s="84"/>
      <c r="D53" s="84"/>
      <c r="E53" s="85"/>
      <c r="F53" s="59"/>
      <c r="G53" s="58"/>
      <c r="H53" s="9"/>
      <c r="I53" s="17"/>
      <c r="J53" s="371"/>
      <c r="K53" s="371"/>
      <c r="N53" s="365"/>
      <c r="P53" s="232"/>
      <c r="W53" s="46"/>
      <c r="X53" s="100"/>
      <c r="Y53" s="37"/>
      <c r="Z53" s="69"/>
      <c r="AA53" s="16"/>
      <c r="AB53" s="66"/>
      <c r="AC53" s="107"/>
      <c r="AD53" s="17"/>
      <c r="AG53" s="34"/>
      <c r="AH53" s="63"/>
      <c r="AI53" s="131"/>
    </row>
    <row r="54" spans="1:42">
      <c r="AI54" s="131"/>
    </row>
    <row r="55" spans="1:42">
      <c r="AI55" s="131"/>
    </row>
    <row r="56" spans="1:42">
      <c r="AI56" s="284"/>
    </row>
    <row r="57" spans="1:42">
      <c r="AI57" s="131"/>
    </row>
    <row r="58" spans="1:42">
      <c r="AI58" s="131"/>
    </row>
    <row r="59" spans="1:42">
      <c r="AI59" s="131"/>
    </row>
    <row r="60" spans="1:42">
      <c r="AI60" s="131"/>
    </row>
    <row r="61" spans="1:42">
      <c r="AI61" s="131"/>
    </row>
    <row r="62" spans="1:42">
      <c r="AI62" s="284"/>
    </row>
    <row r="63" spans="1:42">
      <c r="AI63" s="284"/>
    </row>
    <row r="64" spans="1:42">
      <c r="AI64" s="131"/>
    </row>
    <row r="65" spans="35:35">
      <c r="AI65" s="131"/>
    </row>
    <row r="66" spans="35:35">
      <c r="AI66" s="131"/>
    </row>
    <row r="67" spans="35:35">
      <c r="AI67" s="131"/>
    </row>
    <row r="68" spans="35:35">
      <c r="AI68" s="131"/>
    </row>
    <row r="69" spans="35:35">
      <c r="AI69" s="131"/>
    </row>
    <row r="70" spans="35:35">
      <c r="AI70" s="131"/>
    </row>
    <row r="71" spans="35:35">
      <c r="AI71" s="131"/>
    </row>
    <row r="72" spans="35:35">
      <c r="AI72" s="131"/>
    </row>
    <row r="74" spans="35:35">
      <c r="AI74" s="131"/>
    </row>
    <row r="75" spans="35:35">
      <c r="AI75" s="131"/>
    </row>
    <row r="76" spans="35:35">
      <c r="AI76" s="131"/>
    </row>
    <row r="77" spans="35:35">
      <c r="AI77" s="284"/>
    </row>
    <row r="78" spans="35:35">
      <c r="AI78" s="131"/>
    </row>
    <row r="79" spans="35:35">
      <c r="AI79" s="284"/>
    </row>
    <row r="80" spans="35:35">
      <c r="AI80" s="131"/>
    </row>
    <row r="81" spans="35:35">
      <c r="AI81" s="284"/>
    </row>
    <row r="82" spans="35:35">
      <c r="AI82" s="131"/>
    </row>
    <row r="83" spans="35:35">
      <c r="AI83" s="131"/>
    </row>
    <row r="84" spans="35:35">
      <c r="AI84" s="131"/>
    </row>
    <row r="85" spans="35:35">
      <c r="AI85" s="131"/>
    </row>
    <row r="86" spans="35:35">
      <c r="AI86" s="131"/>
    </row>
    <row r="87" spans="35:35">
      <c r="AI87" s="131"/>
    </row>
    <row r="88" spans="35:35">
      <c r="AI88" s="131"/>
    </row>
    <row r="89" spans="35:35">
      <c r="AI89" s="131"/>
    </row>
    <row r="90" spans="35:35">
      <c r="AI90" s="131"/>
    </row>
    <row r="91" spans="35:35">
      <c r="AI91" s="284"/>
    </row>
    <row r="92" spans="35:35">
      <c r="AI92" s="131"/>
    </row>
    <row r="93" spans="35:35">
      <c r="AI93" s="131"/>
    </row>
    <row r="94" spans="35:35">
      <c r="AI94" s="131"/>
    </row>
    <row r="95" spans="35:35">
      <c r="AI95" s="131"/>
    </row>
    <row r="96" spans="35:35">
      <c r="AI96" s="131"/>
    </row>
    <row r="97" spans="35:35">
      <c r="AI97" s="284"/>
    </row>
    <row r="98" spans="35:35">
      <c r="AI98" s="131"/>
    </row>
    <row r="99" spans="35:35">
      <c r="AI99" s="131"/>
    </row>
    <row r="100" spans="35:35">
      <c r="AI100" s="284"/>
    </row>
    <row r="101" spans="35:35">
      <c r="AI101" s="131"/>
    </row>
    <row r="102" spans="35:35">
      <c r="AI102" s="131"/>
    </row>
    <row r="103" spans="35:35">
      <c r="AI103" s="131"/>
    </row>
    <row r="104" spans="35:35">
      <c r="AI104" s="131"/>
    </row>
    <row r="105" spans="35:35">
      <c r="AI105" s="131"/>
    </row>
    <row r="106" spans="35:35">
      <c r="AI106" s="131"/>
    </row>
    <row r="107" spans="35:35">
      <c r="AI107" s="131"/>
    </row>
    <row r="108" spans="35:35">
      <c r="AI108" s="131"/>
    </row>
    <row r="109" spans="35:35">
      <c r="AI109" s="131"/>
    </row>
    <row r="110" spans="35:35">
      <c r="AI110" s="131"/>
    </row>
    <row r="111" spans="35:35">
      <c r="AI111" s="131"/>
    </row>
    <row r="112" spans="35:35">
      <c r="AI112" s="131"/>
    </row>
    <row r="113" spans="35:35">
      <c r="AI113" s="131"/>
    </row>
    <row r="114" spans="35:35">
      <c r="AI114" s="131"/>
    </row>
    <row r="115" spans="35:35">
      <c r="AI115" s="131"/>
    </row>
    <row r="116" spans="35:35">
      <c r="AI116" s="131"/>
    </row>
    <row r="117" spans="35:35">
      <c r="AI117" s="131"/>
    </row>
    <row r="118" spans="35:35">
      <c r="AI118" s="131"/>
    </row>
    <row r="119" spans="35:35">
      <c r="AI119" s="131"/>
    </row>
    <row r="120" spans="35:35">
      <c r="AI120" s="131"/>
    </row>
    <row r="121" spans="35:35">
      <c r="AI121" s="131"/>
    </row>
    <row r="122" spans="35:35">
      <c r="AI122" s="131"/>
    </row>
    <row r="123" spans="35:35">
      <c r="AI123" s="131"/>
    </row>
    <row r="124" spans="35:35">
      <c r="AI124" s="131"/>
    </row>
    <row r="125" spans="35:35">
      <c r="AI125" s="131"/>
    </row>
    <row r="126" spans="35:35">
      <c r="AI126" s="131"/>
    </row>
    <row r="127" spans="35:35">
      <c r="AI127" s="131"/>
    </row>
    <row r="128" spans="35:35">
      <c r="AI128" s="131"/>
    </row>
    <row r="129" spans="35:35">
      <c r="AI129" s="131"/>
    </row>
    <row r="130" spans="35:35">
      <c r="AI130" s="131"/>
    </row>
    <row r="131" spans="35:35">
      <c r="AI131" s="131"/>
    </row>
    <row r="132" spans="35:35">
      <c r="AI132" s="131"/>
    </row>
    <row r="133" spans="35:35">
      <c r="AI133" s="131"/>
    </row>
    <row r="134" spans="35:35">
      <c r="AI134" s="131"/>
    </row>
    <row r="135" spans="35:35">
      <c r="AI135" s="131"/>
    </row>
    <row r="136" spans="35:35">
      <c r="AI136" s="131"/>
    </row>
    <row r="137" spans="35:35">
      <c r="AI137" s="284"/>
    </row>
    <row r="138" spans="35:35">
      <c r="AI138" s="131"/>
    </row>
    <row r="139" spans="35:35">
      <c r="AI139" s="131"/>
    </row>
    <row r="140" spans="35:35">
      <c r="AI140" s="131"/>
    </row>
    <row r="141" spans="35:35">
      <c r="AI141" s="131"/>
    </row>
    <row r="142" spans="35:35">
      <c r="AI142" s="131"/>
    </row>
    <row r="143" spans="35:35">
      <c r="AI143" s="131"/>
    </row>
    <row r="144" spans="35:35">
      <c r="AI144" s="131"/>
    </row>
    <row r="145" spans="35:35">
      <c r="AI145" s="131"/>
    </row>
    <row r="146" spans="35:35">
      <c r="AI146" s="131"/>
    </row>
    <row r="147" spans="35:35">
      <c r="AI147" s="131"/>
    </row>
    <row r="148" spans="35:35">
      <c r="AI148" s="131"/>
    </row>
    <row r="149" spans="35:35">
      <c r="AI149" s="131"/>
    </row>
    <row r="150" spans="35:35">
      <c r="AI150" s="131"/>
    </row>
    <row r="151" spans="35:35">
      <c r="AI151" s="131"/>
    </row>
    <row r="152" spans="35:35">
      <c r="AI152" s="131"/>
    </row>
    <row r="153" spans="35:35">
      <c r="AI153" s="131"/>
    </row>
    <row r="154" spans="35:35">
      <c r="AI154" s="131"/>
    </row>
    <row r="155" spans="35:35">
      <c r="AI155" s="131"/>
    </row>
    <row r="156" spans="35:35">
      <c r="AI156" s="131"/>
    </row>
    <row r="157" spans="35:35">
      <c r="AI157" s="131"/>
    </row>
    <row r="158" spans="35:35">
      <c r="AI158" s="131"/>
    </row>
    <row r="159" spans="35:35">
      <c r="AI159" s="131"/>
    </row>
    <row r="160" spans="35:35">
      <c r="AI160" s="131"/>
    </row>
    <row r="161" spans="35:35">
      <c r="AI161" s="131"/>
    </row>
    <row r="162" spans="35:35">
      <c r="AI162" s="131"/>
    </row>
    <row r="163" spans="35:35">
      <c r="AI163" s="131"/>
    </row>
    <row r="164" spans="35:35">
      <c r="AI164" s="131"/>
    </row>
    <row r="165" spans="35:35">
      <c r="AI165" s="131"/>
    </row>
    <row r="167" spans="35:35">
      <c r="AI167" s="131"/>
    </row>
    <row r="168" spans="35:35">
      <c r="AI168" s="131"/>
    </row>
    <row r="169" spans="35:35">
      <c r="AI169" s="131"/>
    </row>
    <row r="170" spans="35:35">
      <c r="AI170" s="131"/>
    </row>
    <row r="171" spans="35:35">
      <c r="AI171" s="131"/>
    </row>
    <row r="173" spans="35:35">
      <c r="AI173" s="131"/>
    </row>
    <row r="174" spans="35:35">
      <c r="AI174" s="131"/>
    </row>
    <row r="175" spans="35:35">
      <c r="AI175" s="131"/>
    </row>
    <row r="176" spans="35:35">
      <c r="AI176" s="131"/>
    </row>
    <row r="177" spans="35:35">
      <c r="AI177" s="131"/>
    </row>
    <row r="178" spans="35:35">
      <c r="AI178" s="131"/>
    </row>
    <row r="179" spans="35:35">
      <c r="AI179" s="131"/>
    </row>
    <row r="180" spans="35:35">
      <c r="AI180" s="131"/>
    </row>
    <row r="181" spans="35:35">
      <c r="AI181" s="131"/>
    </row>
    <row r="182" spans="35:35">
      <c r="AI182" s="131"/>
    </row>
    <row r="183" spans="35:35">
      <c r="AI183" s="131"/>
    </row>
    <row r="184" spans="35:35">
      <c r="AI184" s="284"/>
    </row>
    <row r="185" spans="35:35">
      <c r="AI185" s="131"/>
    </row>
    <row r="187" spans="35:35">
      <c r="AI187" s="131"/>
    </row>
    <row r="188" spans="35:35">
      <c r="AI188" s="131"/>
    </row>
    <row r="189" spans="35:35">
      <c r="AI189" s="131"/>
    </row>
    <row r="190" spans="35:35">
      <c r="AI190" s="131"/>
    </row>
    <row r="191" spans="35:35">
      <c r="AI191" s="131"/>
    </row>
    <row r="192" spans="35:35">
      <c r="AI192" s="131"/>
    </row>
    <row r="193" spans="35:35">
      <c r="AI193" s="131"/>
    </row>
    <row r="194" spans="35:35">
      <c r="AI194" s="131"/>
    </row>
    <row r="195" spans="35:35">
      <c r="AI195" s="131"/>
    </row>
    <row r="196" spans="35:35">
      <c r="AI196" s="131"/>
    </row>
    <row r="197" spans="35:35">
      <c r="AI197" s="131"/>
    </row>
    <row r="199" spans="35:35">
      <c r="AI199" s="131"/>
    </row>
    <row r="200" spans="35:35">
      <c r="AI200" s="131"/>
    </row>
    <row r="201" spans="35:35">
      <c r="AI201" s="131"/>
    </row>
    <row r="202" spans="35:35">
      <c r="AI202" s="131"/>
    </row>
    <row r="203" spans="35:35">
      <c r="AI203" s="131"/>
    </row>
    <row r="204" spans="35:35">
      <c r="AI204" s="131"/>
    </row>
    <row r="205" spans="35:35">
      <c r="AI205" s="131"/>
    </row>
    <row r="206" spans="35:35">
      <c r="AI206" s="131"/>
    </row>
    <row r="207" spans="35:35">
      <c r="AI207" s="131"/>
    </row>
    <row r="208" spans="35:35">
      <c r="AI208" s="131"/>
    </row>
    <row r="209" spans="35:35">
      <c r="AI209" s="131"/>
    </row>
    <row r="210" spans="35:35">
      <c r="AI210" s="131"/>
    </row>
    <row r="211" spans="35:35">
      <c r="AI211" s="131"/>
    </row>
    <row r="212" spans="35:35">
      <c r="AI212" s="131"/>
    </row>
    <row r="213" spans="35:35">
      <c r="AI213" s="131"/>
    </row>
    <row r="214" spans="35:35">
      <c r="AI214" s="131"/>
    </row>
    <row r="215" spans="35:35">
      <c r="AI215" s="131"/>
    </row>
    <row r="216" spans="35:35">
      <c r="AI216" s="131"/>
    </row>
    <row r="217" spans="35:35">
      <c r="AI217" s="131"/>
    </row>
    <row r="218" spans="35:35">
      <c r="AI218" s="131"/>
    </row>
    <row r="219" spans="35:35">
      <c r="AI219" s="131"/>
    </row>
    <row r="220" spans="35:35">
      <c r="AI220" s="131"/>
    </row>
    <row r="221" spans="35:35">
      <c r="AI221" s="131"/>
    </row>
    <row r="222" spans="35:35">
      <c r="AI222" s="131"/>
    </row>
    <row r="223" spans="35:35">
      <c r="AI223" s="131"/>
    </row>
    <row r="224" spans="35:35">
      <c r="AI224" s="131"/>
    </row>
    <row r="225" spans="35:35">
      <c r="AI225" s="131"/>
    </row>
    <row r="226" spans="35:35">
      <c r="AI226" s="131"/>
    </row>
    <row r="227" spans="35:35">
      <c r="AI227" s="131"/>
    </row>
    <row r="228" spans="35:35">
      <c r="AI228" s="131"/>
    </row>
    <row r="229" spans="35:35">
      <c r="AI229" s="131"/>
    </row>
    <row r="230" spans="35:35">
      <c r="AI230" s="131"/>
    </row>
    <row r="231" spans="35:35">
      <c r="AI231" s="131"/>
    </row>
    <row r="232" spans="35:35">
      <c r="AI232" s="131"/>
    </row>
    <row r="233" spans="35:35">
      <c r="AI233" s="131"/>
    </row>
    <row r="234" spans="35:35">
      <c r="AI234" s="131"/>
    </row>
    <row r="235" spans="35:35">
      <c r="AI235" s="131"/>
    </row>
    <row r="236" spans="35:35">
      <c r="AI236" s="131"/>
    </row>
    <row r="237" spans="35:35">
      <c r="AI237" s="131"/>
    </row>
    <row r="238" spans="35:35">
      <c r="AI238" s="131"/>
    </row>
    <row r="239" spans="35:35">
      <c r="AI239" s="131"/>
    </row>
    <row r="240" spans="35:35">
      <c r="AI240" s="131"/>
    </row>
    <row r="241" spans="35:35">
      <c r="AI241" s="131"/>
    </row>
    <row r="242" spans="35:35">
      <c r="AI242" s="131"/>
    </row>
    <row r="243" spans="35:35">
      <c r="AI243" s="131"/>
    </row>
    <row r="244" spans="35:35">
      <c r="AI244" s="131"/>
    </row>
    <row r="245" spans="35:35">
      <c r="AI245" s="131"/>
    </row>
    <row r="246" spans="35:35">
      <c r="AI246" s="131"/>
    </row>
    <row r="247" spans="35:35">
      <c r="AI247" s="131"/>
    </row>
    <row r="248" spans="35:35">
      <c r="AI248" s="131"/>
    </row>
    <row r="249" spans="35:35">
      <c r="AI249" s="131"/>
    </row>
    <row r="250" spans="35:35">
      <c r="AI250" s="131"/>
    </row>
    <row r="251" spans="35:35">
      <c r="AI251" s="131"/>
    </row>
    <row r="252" spans="35:35">
      <c r="AI252" s="131"/>
    </row>
    <row r="253" spans="35:35">
      <c r="AI253" s="131"/>
    </row>
    <row r="254" spans="35:35">
      <c r="AI254" s="131"/>
    </row>
    <row r="255" spans="35:35">
      <c r="AI255" s="131"/>
    </row>
    <row r="256" spans="35:35">
      <c r="AI256" s="131"/>
    </row>
    <row r="257" spans="35:35">
      <c r="AI257" s="131"/>
    </row>
    <row r="258" spans="35:35">
      <c r="AI258" s="131"/>
    </row>
    <row r="259" spans="35:35">
      <c r="AI259" s="131"/>
    </row>
    <row r="260" spans="35:35">
      <c r="AI260" s="284"/>
    </row>
    <row r="261" spans="35:35">
      <c r="AI261" s="131"/>
    </row>
    <row r="262" spans="35:35">
      <c r="AI262" s="131"/>
    </row>
    <row r="263" spans="35:35">
      <c r="AI263" s="131"/>
    </row>
    <row r="264" spans="35:35">
      <c r="AI264" s="131"/>
    </row>
    <row r="265" spans="35:35">
      <c r="AI265" s="131"/>
    </row>
    <row r="266" spans="35:35">
      <c r="AI266" s="131"/>
    </row>
    <row r="267" spans="35:35">
      <c r="AI267" s="131"/>
    </row>
    <row r="268" spans="35:35">
      <c r="AI268" s="52"/>
    </row>
    <row r="269" spans="35:35">
      <c r="AI269" s="131"/>
    </row>
    <row r="270" spans="35:35">
      <c r="AI270" s="131"/>
    </row>
    <row r="271" spans="35:35">
      <c r="AI271" s="131"/>
    </row>
    <row r="272" spans="35:35">
      <c r="AI272" s="131"/>
    </row>
    <row r="273" spans="35:35">
      <c r="AI273" s="131"/>
    </row>
    <row r="274" spans="35:35">
      <c r="AI274" s="131"/>
    </row>
    <row r="275" spans="35:35">
      <c r="AI275" s="131"/>
    </row>
    <row r="276" spans="35:35">
      <c r="AI276" s="131"/>
    </row>
    <row r="277" spans="35:35">
      <c r="AI277" s="131"/>
    </row>
    <row r="278" spans="35:35">
      <c r="AI278" s="131"/>
    </row>
    <row r="279" spans="35:35">
      <c r="AI279" s="131"/>
    </row>
    <row r="280" spans="35:35">
      <c r="AI280" s="131"/>
    </row>
    <row r="281" spans="35:35">
      <c r="AI281" s="131"/>
    </row>
    <row r="282" spans="35:35">
      <c r="AI282" s="131"/>
    </row>
    <row r="283" spans="35:35">
      <c r="AI283" s="131"/>
    </row>
    <row r="284" spans="35:35">
      <c r="AI284" s="131"/>
    </row>
    <row r="285" spans="35:35">
      <c r="AI285" s="131"/>
    </row>
    <row r="286" spans="35:35">
      <c r="AI286" s="131"/>
    </row>
    <row r="287" spans="35:35">
      <c r="AI287" s="131"/>
    </row>
    <row r="288" spans="35:35">
      <c r="AI288" s="131"/>
    </row>
    <row r="289" spans="35:35">
      <c r="AI289" s="131"/>
    </row>
    <row r="290" spans="35:35">
      <c r="AI290" s="131"/>
    </row>
    <row r="291" spans="35:35">
      <c r="AI291" s="131"/>
    </row>
    <row r="292" spans="35:35">
      <c r="AI292" s="131"/>
    </row>
    <row r="293" spans="35:35">
      <c r="AI293" s="131"/>
    </row>
    <row r="294" spans="35:35">
      <c r="AI294" s="131"/>
    </row>
    <row r="295" spans="35:35">
      <c r="AI295" s="131"/>
    </row>
    <row r="296" spans="35:35">
      <c r="AI296" s="131"/>
    </row>
    <row r="297" spans="35:35">
      <c r="AI297" s="131"/>
    </row>
    <row r="298" spans="35:35">
      <c r="AI298" s="284"/>
    </row>
    <row r="299" spans="35:35">
      <c r="AI299" s="131"/>
    </row>
    <row r="301" spans="35:35">
      <c r="AI301" s="131"/>
    </row>
    <row r="302" spans="35:35">
      <c r="AI302" s="131"/>
    </row>
    <row r="303" spans="35:35">
      <c r="AI303" s="131"/>
    </row>
    <row r="304" spans="35:35">
      <c r="AI304" s="131"/>
    </row>
    <row r="305" spans="35:35">
      <c r="AI305" s="131"/>
    </row>
    <row r="306" spans="35:35">
      <c r="AI306" s="131"/>
    </row>
    <row r="307" spans="35:35">
      <c r="AI307" s="131"/>
    </row>
    <row r="308" spans="35:35">
      <c r="AI308" s="131"/>
    </row>
    <row r="309" spans="35:35">
      <c r="AI309" s="131"/>
    </row>
    <row r="310" spans="35:35">
      <c r="AI310" s="131"/>
    </row>
    <row r="311" spans="35:35">
      <c r="AI311" s="131"/>
    </row>
    <row r="312" spans="35:35">
      <c r="AI312" s="131"/>
    </row>
    <row r="313" spans="35:35">
      <c r="AI313" s="131"/>
    </row>
    <row r="314" spans="35:35">
      <c r="AI314" s="131"/>
    </row>
    <row r="315" spans="35:35">
      <c r="AI315" s="131"/>
    </row>
    <row r="316" spans="35:35">
      <c r="AI316" s="284"/>
    </row>
    <row r="317" spans="35:35">
      <c r="AI317" s="131"/>
    </row>
    <row r="318" spans="35:35">
      <c r="AI318" s="131"/>
    </row>
    <row r="319" spans="35:35">
      <c r="AI319" s="131"/>
    </row>
    <row r="320" spans="35:35">
      <c r="AI320" s="131"/>
    </row>
    <row r="321" spans="35:35">
      <c r="AI321" s="131"/>
    </row>
    <row r="322" spans="35:35">
      <c r="AI322" s="131"/>
    </row>
    <row r="323" spans="35:35">
      <c r="AI323" s="131"/>
    </row>
    <row r="324" spans="35:35">
      <c r="AI324" s="131"/>
    </row>
    <row r="325" spans="35:35">
      <c r="AI325" s="131"/>
    </row>
    <row r="326" spans="35:35">
      <c r="AI326" s="131"/>
    </row>
    <row r="327" spans="35:35">
      <c r="AI327" s="131"/>
    </row>
    <row r="328" spans="35:35">
      <c r="AI328" s="131"/>
    </row>
    <row r="329" spans="35:35">
      <c r="AI329" s="131"/>
    </row>
    <row r="330" spans="35:35">
      <c r="AI330" s="131"/>
    </row>
    <row r="331" spans="35:35">
      <c r="AI331" s="131"/>
    </row>
    <row r="332" spans="35:35">
      <c r="AI332" s="131"/>
    </row>
    <row r="333" spans="35:35">
      <c r="AI333" s="131"/>
    </row>
    <row r="334" spans="35:35">
      <c r="AI334" s="131"/>
    </row>
    <row r="335" spans="35:35">
      <c r="AI335" s="131"/>
    </row>
    <row r="336" spans="35:35">
      <c r="AI336" s="131"/>
    </row>
    <row r="337" spans="35:35">
      <c r="AI337" s="131"/>
    </row>
    <row r="338" spans="35:35">
      <c r="AI338" s="131"/>
    </row>
    <row r="339" spans="35:35">
      <c r="AI339" s="131"/>
    </row>
    <row r="340" spans="35:35">
      <c r="AI340" s="131"/>
    </row>
    <row r="341" spans="35:35">
      <c r="AI341" s="131"/>
    </row>
    <row r="342" spans="35:35">
      <c r="AI342" s="131"/>
    </row>
    <row r="343" spans="35:35">
      <c r="AI343" s="131"/>
    </row>
    <row r="344" spans="35:35">
      <c r="AI344" s="284"/>
    </row>
    <row r="345" spans="35:35">
      <c r="AI345" s="131"/>
    </row>
    <row r="346" spans="35:35">
      <c r="AI346" s="131"/>
    </row>
    <row r="347" spans="35:35">
      <c r="AI347" s="131"/>
    </row>
    <row r="348" spans="35:35">
      <c r="AI348" s="131"/>
    </row>
    <row r="349" spans="35:35">
      <c r="AI349" s="131"/>
    </row>
    <row r="350" spans="35:35">
      <c r="AI350" s="131"/>
    </row>
    <row r="351" spans="35:35">
      <c r="AI351" s="131"/>
    </row>
    <row r="352" spans="35:35">
      <c r="AI352" s="131"/>
    </row>
    <row r="353" spans="35:35">
      <c r="AI353" s="131"/>
    </row>
    <row r="354" spans="35:35">
      <c r="AI354" s="131"/>
    </row>
    <row r="355" spans="35:35">
      <c r="AI355" s="131"/>
    </row>
    <row r="356" spans="35:35">
      <c r="AI356" s="131"/>
    </row>
    <row r="357" spans="35:35">
      <c r="AI357" s="131"/>
    </row>
    <row r="358" spans="35:35">
      <c r="AI358" s="131"/>
    </row>
    <row r="359" spans="35:35">
      <c r="AI359" s="131"/>
    </row>
    <row r="360" spans="35:35">
      <c r="AI360" s="131"/>
    </row>
    <row r="361" spans="35:35">
      <c r="AI361" s="131"/>
    </row>
    <row r="362" spans="35:35">
      <c r="AI362" s="284"/>
    </row>
    <row r="363" spans="35:35">
      <c r="AI363" s="131"/>
    </row>
    <row r="364" spans="35:35">
      <c r="AI364" s="284"/>
    </row>
    <row r="365" spans="35:35">
      <c r="AI365" s="131"/>
    </row>
    <row r="366" spans="35:35">
      <c r="AI366" s="131"/>
    </row>
    <row r="367" spans="35:35">
      <c r="AI367" s="131"/>
    </row>
    <row r="368" spans="35:35">
      <c r="AI368" s="131"/>
    </row>
    <row r="369" spans="35:35">
      <c r="AI369" s="131"/>
    </row>
    <row r="370" spans="35:35">
      <c r="AI370" s="131"/>
    </row>
    <row r="371" spans="35:35">
      <c r="AI371" s="131"/>
    </row>
    <row r="372" spans="35:35">
      <c r="AI372" s="131"/>
    </row>
    <row r="373" spans="35:35">
      <c r="AI373" s="131"/>
    </row>
    <row r="374" spans="35:35">
      <c r="AI374" s="131"/>
    </row>
    <row r="375" spans="35:35">
      <c r="AI375" s="131"/>
    </row>
    <row r="376" spans="35:35">
      <c r="AI376" s="131"/>
    </row>
    <row r="377" spans="35:35">
      <c r="AI377" s="131"/>
    </row>
    <row r="378" spans="35:35">
      <c r="AI378" s="131"/>
    </row>
    <row r="379" spans="35:35">
      <c r="AI379" s="131"/>
    </row>
    <row r="380" spans="35:35">
      <c r="AI380" s="131"/>
    </row>
    <row r="381" spans="35:35">
      <c r="AI381" s="131"/>
    </row>
    <row r="382" spans="35:35">
      <c r="AI382" s="131"/>
    </row>
    <row r="383" spans="35:35">
      <c r="AI383" s="131"/>
    </row>
    <row r="384" spans="35:35">
      <c r="AI384" s="131"/>
    </row>
    <row r="385" spans="35:35">
      <c r="AI385" s="131"/>
    </row>
    <row r="386" spans="35:35">
      <c r="AI386" s="131"/>
    </row>
    <row r="387" spans="35:35">
      <c r="AI387" s="131"/>
    </row>
    <row r="388" spans="35:35">
      <c r="AI388" s="131"/>
    </row>
    <row r="389" spans="35:35">
      <c r="AI389" s="131"/>
    </row>
    <row r="390" spans="35:35">
      <c r="AI390" s="131"/>
    </row>
    <row r="391" spans="35:35">
      <c r="AI391" s="131"/>
    </row>
    <row r="392" spans="35:35">
      <c r="AI392" s="131"/>
    </row>
    <row r="393" spans="35:35">
      <c r="AI393" s="131"/>
    </row>
    <row r="394" spans="35:35">
      <c r="AI394" s="131"/>
    </row>
    <row r="395" spans="35:35">
      <c r="AI395" s="131"/>
    </row>
    <row r="396" spans="35:35">
      <c r="AI396" s="131"/>
    </row>
    <row r="397" spans="35:35">
      <c r="AI397" s="131"/>
    </row>
    <row r="398" spans="35:35">
      <c r="AI398" s="131"/>
    </row>
    <row r="399" spans="35:35">
      <c r="AI399" s="284"/>
    </row>
    <row r="400" spans="35:35">
      <c r="AI400" s="131"/>
    </row>
    <row r="401" spans="35:35">
      <c r="AI401" s="131"/>
    </row>
    <row r="402" spans="35:35">
      <c r="AI402" s="131"/>
    </row>
    <row r="403" spans="35:35">
      <c r="AI403" s="131"/>
    </row>
    <row r="404" spans="35:35">
      <c r="AI404" s="131"/>
    </row>
    <row r="405" spans="35:35">
      <c r="AI405" s="131"/>
    </row>
    <row r="406" spans="35:35">
      <c r="AI406" s="131"/>
    </row>
    <row r="407" spans="35:35">
      <c r="AI407" s="131"/>
    </row>
    <row r="408" spans="35:35">
      <c r="AI408" s="131"/>
    </row>
    <row r="409" spans="35:35">
      <c r="AI409" s="131"/>
    </row>
    <row r="410" spans="35:35">
      <c r="AI410" s="131"/>
    </row>
    <row r="411" spans="35:35">
      <c r="AI411" s="131"/>
    </row>
    <row r="412" spans="35:35">
      <c r="AI412" s="131"/>
    </row>
    <row r="413" spans="35:35">
      <c r="AI413" s="131"/>
    </row>
    <row r="414" spans="35:35">
      <c r="AI414" s="131"/>
    </row>
    <row r="415" spans="35:35">
      <c r="AI415" s="131"/>
    </row>
    <row r="416" spans="35:35">
      <c r="AI416" s="131"/>
    </row>
    <row r="417" spans="35:35">
      <c r="AI417" s="131"/>
    </row>
    <row r="418" spans="35:35">
      <c r="AI418" s="131"/>
    </row>
    <row r="419" spans="35:35">
      <c r="AI419" s="131"/>
    </row>
    <row r="420" spans="35:35">
      <c r="AI420" s="131"/>
    </row>
    <row r="421" spans="35:35">
      <c r="AI421" s="131"/>
    </row>
    <row r="422" spans="35:35">
      <c r="AI422" s="131"/>
    </row>
    <row r="423" spans="35:35">
      <c r="AI423" s="131"/>
    </row>
    <row r="424" spans="35:35">
      <c r="AI424" s="131"/>
    </row>
    <row r="425" spans="35:35">
      <c r="AI425" s="131"/>
    </row>
    <row r="426" spans="35:35">
      <c r="AI426" s="131"/>
    </row>
    <row r="427" spans="35:35">
      <c r="AI427" s="131"/>
    </row>
    <row r="428" spans="35:35">
      <c r="AI428" s="131"/>
    </row>
    <row r="429" spans="35:35">
      <c r="AI429" s="131"/>
    </row>
    <row r="430" spans="35:35">
      <c r="AI430" s="131"/>
    </row>
    <row r="431" spans="35:35">
      <c r="AI431" s="131"/>
    </row>
    <row r="432" spans="35:35">
      <c r="AI432" s="131"/>
    </row>
    <row r="433" spans="35:35">
      <c r="AI433" s="131"/>
    </row>
    <row r="434" spans="35:35">
      <c r="AI434" s="131"/>
    </row>
    <row r="435" spans="35:35">
      <c r="AI435" s="131"/>
    </row>
    <row r="436" spans="35:35">
      <c r="AI436" s="131"/>
    </row>
    <row r="437" spans="35:35">
      <c r="AI437" s="131"/>
    </row>
    <row r="438" spans="35:35">
      <c r="AI438" s="131"/>
    </row>
    <row r="439" spans="35:35">
      <c r="AI439" s="131"/>
    </row>
    <row r="440" spans="35:35">
      <c r="AI440" s="131"/>
    </row>
    <row r="441" spans="35:35">
      <c r="AI441" s="131"/>
    </row>
    <row r="442" spans="35:35">
      <c r="AI442" s="131"/>
    </row>
    <row r="443" spans="35:35">
      <c r="AI443" s="131"/>
    </row>
    <row r="444" spans="35:35">
      <c r="AI444" s="286"/>
    </row>
    <row r="445" spans="35:35">
      <c r="AI445" s="131"/>
    </row>
    <row r="446" spans="35:35">
      <c r="AI446" s="131"/>
    </row>
    <row r="447" spans="35:35">
      <c r="AI447" s="131"/>
    </row>
    <row r="448" spans="35:35">
      <c r="AI448" s="131"/>
    </row>
    <row r="449" spans="35:35">
      <c r="AI449" s="131"/>
    </row>
    <row r="450" spans="35:35">
      <c r="AI450" s="131"/>
    </row>
    <row r="451" spans="35:35">
      <c r="AI451" s="131"/>
    </row>
    <row r="452" spans="35:35">
      <c r="AI452" s="131"/>
    </row>
    <row r="453" spans="35:35">
      <c r="AI453" s="131"/>
    </row>
    <row r="454" spans="35:35">
      <c r="AI454" s="131"/>
    </row>
    <row r="455" spans="35:35">
      <c r="AI455" s="131"/>
    </row>
    <row r="456" spans="35:35">
      <c r="AI456" s="131"/>
    </row>
    <row r="457" spans="35:35">
      <c r="AI457" s="131"/>
    </row>
    <row r="458" spans="35:35">
      <c r="AI458" s="131"/>
    </row>
    <row r="459" spans="35:35">
      <c r="AI459" s="131"/>
    </row>
    <row r="460" spans="35:35">
      <c r="AI460" s="131"/>
    </row>
    <row r="461" spans="35:35">
      <c r="AI461" s="131"/>
    </row>
    <row r="462" spans="35:35">
      <c r="AI462" s="131"/>
    </row>
    <row r="463" spans="35:35">
      <c r="AI463" s="131"/>
    </row>
    <row r="464" spans="35:35">
      <c r="AI464" s="131"/>
    </row>
    <row r="465" spans="35:35">
      <c r="AI465" s="131"/>
    </row>
    <row r="466" spans="35:35">
      <c r="AI466" s="131"/>
    </row>
    <row r="467" spans="35:35">
      <c r="AI467" s="131"/>
    </row>
    <row r="468" spans="35:35">
      <c r="AI468" s="131"/>
    </row>
    <row r="469" spans="35:35">
      <c r="AI469" s="131"/>
    </row>
    <row r="470" spans="35:35">
      <c r="AI470" s="131"/>
    </row>
    <row r="471" spans="35:35">
      <c r="AI471" s="131"/>
    </row>
    <row r="472" spans="35:35">
      <c r="AI472" s="131"/>
    </row>
    <row r="473" spans="35:35">
      <c r="AI473" s="131"/>
    </row>
    <row r="474" spans="35:35">
      <c r="AI474" s="131"/>
    </row>
    <row r="475" spans="35:35">
      <c r="AI475" s="131"/>
    </row>
    <row r="476" spans="35:35">
      <c r="AI476" s="131"/>
    </row>
    <row r="477" spans="35:35">
      <c r="AI477" s="131"/>
    </row>
    <row r="478" spans="35:35">
      <c r="AI478" s="131"/>
    </row>
    <row r="479" spans="35:35">
      <c r="AI479" s="131"/>
    </row>
    <row r="480" spans="35:35">
      <c r="AI480" s="131"/>
    </row>
    <row r="481" spans="35:35">
      <c r="AI481" s="131"/>
    </row>
    <row r="482" spans="35:35">
      <c r="AI482" s="131"/>
    </row>
    <row r="483" spans="35:35">
      <c r="AI483" s="131"/>
    </row>
    <row r="484" spans="35:35">
      <c r="AI484" s="131"/>
    </row>
    <row r="485" spans="35:35">
      <c r="AI485" s="34"/>
    </row>
    <row r="486" spans="35:35">
      <c r="AI486" s="131"/>
    </row>
    <row r="487" spans="35:35">
      <c r="AI487" s="131"/>
    </row>
    <row r="488" spans="35:35">
      <c r="AI488" s="284"/>
    </row>
    <row r="489" spans="35:35">
      <c r="AI489" s="131"/>
    </row>
    <row r="490" spans="35:35">
      <c r="AI490" s="131"/>
    </row>
    <row r="491" spans="35:35">
      <c r="AI491" s="131"/>
    </row>
    <row r="492" spans="35:35">
      <c r="AI492" s="131"/>
    </row>
    <row r="493" spans="35:35">
      <c r="AI493" s="131"/>
    </row>
    <row r="494" spans="35:35">
      <c r="AI494" s="284"/>
    </row>
    <row r="495" spans="35:35">
      <c r="AI495" s="131"/>
    </row>
    <row r="496" spans="35:35">
      <c r="AI496" s="131"/>
    </row>
    <row r="497" spans="35:35">
      <c r="AI497" s="131"/>
    </row>
    <row r="498" spans="35:35">
      <c r="AI498" s="131"/>
    </row>
    <row r="499" spans="35:35">
      <c r="AI499" s="131"/>
    </row>
    <row r="500" spans="35:35">
      <c r="AI500" s="131"/>
    </row>
    <row r="501" spans="35:35">
      <c r="AI501" s="131"/>
    </row>
    <row r="502" spans="35:35">
      <c r="AI502" s="131"/>
    </row>
    <row r="503" spans="35:35">
      <c r="AI503" s="131"/>
    </row>
    <row r="504" spans="35:35">
      <c r="AI504" s="131"/>
    </row>
    <row r="505" spans="35:35">
      <c r="AI505" s="284"/>
    </row>
    <row r="506" spans="35:35">
      <c r="AI506" s="131"/>
    </row>
    <row r="507" spans="35:35">
      <c r="AI507" s="131"/>
    </row>
    <row r="508" spans="35:35">
      <c r="AI508" s="131"/>
    </row>
    <row r="509" spans="35:35">
      <c r="AI509" s="131"/>
    </row>
    <row r="510" spans="35:35">
      <c r="AI510" s="131"/>
    </row>
    <row r="511" spans="35:35">
      <c r="AI511" s="131"/>
    </row>
    <row r="512" spans="35:35">
      <c r="AI512" s="131"/>
    </row>
    <row r="513" spans="35:35">
      <c r="AI513" s="131"/>
    </row>
    <row r="514" spans="35:35">
      <c r="AI514" s="131"/>
    </row>
    <row r="515" spans="35:35">
      <c r="AI515" s="284"/>
    </row>
    <row r="516" spans="35:35">
      <c r="AI516" s="131"/>
    </row>
    <row r="517" spans="35:35">
      <c r="AI517" s="131"/>
    </row>
    <row r="518" spans="35:35">
      <c r="AI518" s="131"/>
    </row>
    <row r="519" spans="35:35">
      <c r="AI519" s="131"/>
    </row>
    <row r="520" spans="35:35">
      <c r="AI520" s="131"/>
    </row>
    <row r="521" spans="35:35">
      <c r="AI521" s="131"/>
    </row>
    <row r="522" spans="35:35">
      <c r="AI522" s="131"/>
    </row>
    <row r="523" spans="35:35">
      <c r="AI523" s="284"/>
    </row>
    <row r="524" spans="35:35">
      <c r="AI524" s="131"/>
    </row>
    <row r="525" spans="35:35">
      <c r="AI525" s="131"/>
    </row>
    <row r="526" spans="35:35">
      <c r="AI526" s="131"/>
    </row>
    <row r="527" spans="35:35">
      <c r="AI527" s="131"/>
    </row>
    <row r="528" spans="35:35">
      <c r="AI528" s="131"/>
    </row>
    <row r="529" spans="35:35">
      <c r="AI529" s="131"/>
    </row>
    <row r="530" spans="35:35">
      <c r="AI530" s="131"/>
    </row>
    <row r="531" spans="35:35">
      <c r="AI531" s="131"/>
    </row>
    <row r="532" spans="35:35">
      <c r="AI532" s="131"/>
    </row>
    <row r="533" spans="35:35">
      <c r="AI533" s="284"/>
    </row>
    <row r="534" spans="35:35">
      <c r="AI534" s="131"/>
    </row>
    <row r="535" spans="35:35">
      <c r="AI535" s="131"/>
    </row>
    <row r="536" spans="35:35">
      <c r="AI536" s="131"/>
    </row>
    <row r="537" spans="35:35">
      <c r="AI537" s="131"/>
    </row>
    <row r="538" spans="35:35">
      <c r="AI538" s="131"/>
    </row>
    <row r="539" spans="35:35">
      <c r="AI539" s="131"/>
    </row>
    <row r="540" spans="35:35">
      <c r="AI540" s="131"/>
    </row>
    <row r="541" spans="35:35">
      <c r="AI541" s="131"/>
    </row>
    <row r="542" spans="35:35">
      <c r="AI542" s="131"/>
    </row>
    <row r="543" spans="35:35">
      <c r="AI543" s="131"/>
    </row>
    <row r="544" spans="35:35">
      <c r="AI544" s="131"/>
    </row>
    <row r="545" spans="35:35">
      <c r="AI545" s="131"/>
    </row>
    <row r="546" spans="35:35">
      <c r="AI546" s="131"/>
    </row>
    <row r="547" spans="35:35">
      <c r="AI547" s="131"/>
    </row>
    <row r="548" spans="35:35">
      <c r="AI548" s="131"/>
    </row>
    <row r="549" spans="35:35">
      <c r="AI549" s="131"/>
    </row>
    <row r="550" spans="35:35">
      <c r="AI550" s="131"/>
    </row>
    <row r="551" spans="35:35">
      <c r="AI551" s="131"/>
    </row>
    <row r="552" spans="35:35">
      <c r="AI552" s="131"/>
    </row>
    <row r="553" spans="35:35">
      <c r="AI553" s="131"/>
    </row>
    <row r="554" spans="35:35">
      <c r="AI554" s="284"/>
    </row>
    <row r="555" spans="35:35">
      <c r="AI555" s="131"/>
    </row>
    <row r="556" spans="35:35">
      <c r="AI556" s="131"/>
    </row>
    <row r="557" spans="35:35">
      <c r="AI557" s="131"/>
    </row>
    <row r="559" spans="35:35">
      <c r="AI559" s="131"/>
    </row>
    <row r="560" spans="35:35">
      <c r="AI560" s="131"/>
    </row>
    <row r="561" spans="35:35">
      <c r="AI561" s="131"/>
    </row>
    <row r="562" spans="35:35">
      <c r="AI562" s="131"/>
    </row>
    <row r="563" spans="35:35">
      <c r="AI563" s="131"/>
    </row>
    <row r="564" spans="35:35">
      <c r="AI564" s="131"/>
    </row>
    <row r="565" spans="35:35">
      <c r="AI565" s="131"/>
    </row>
    <row r="566" spans="35:35">
      <c r="AI566" s="131"/>
    </row>
    <row r="567" spans="35:35">
      <c r="AI567" s="284"/>
    </row>
    <row r="568" spans="35:35">
      <c r="AI568" s="131"/>
    </row>
    <row r="569" spans="35:35">
      <c r="AI569" s="131"/>
    </row>
    <row r="570" spans="35:35">
      <c r="AI570" s="131"/>
    </row>
    <row r="571" spans="35:35">
      <c r="AI571" s="284"/>
    </row>
    <row r="572" spans="35:35">
      <c r="AI572" s="131"/>
    </row>
    <row r="573" spans="35:35">
      <c r="AI573" s="131"/>
    </row>
    <row r="574" spans="35:35">
      <c r="AI574" s="131"/>
    </row>
    <row r="575" spans="35:35">
      <c r="AI575" s="131"/>
    </row>
    <row r="576" spans="35:35">
      <c r="AI576" s="131"/>
    </row>
    <row r="577" spans="35:35">
      <c r="AI577" s="131"/>
    </row>
    <row r="578" spans="35:35">
      <c r="AI578" s="131"/>
    </row>
    <row r="579" spans="35:35">
      <c r="AI579" s="131"/>
    </row>
    <row r="580" spans="35:35">
      <c r="AI580" s="131"/>
    </row>
    <row r="581" spans="35:35">
      <c r="AI581" s="131"/>
    </row>
    <row r="582" spans="35:35">
      <c r="AI582" s="131"/>
    </row>
    <row r="583" spans="35:35">
      <c r="AI583" s="131"/>
    </row>
    <row r="584" spans="35:35">
      <c r="AI584" s="131"/>
    </row>
    <row r="585" spans="35:35">
      <c r="AI585" s="131"/>
    </row>
    <row r="586" spans="35:35">
      <c r="AI586" s="131"/>
    </row>
    <row r="587" spans="35:35">
      <c r="AI587" s="131"/>
    </row>
    <row r="588" spans="35:35">
      <c r="AI588" s="131"/>
    </row>
    <row r="589" spans="35:35">
      <c r="AI589" s="131"/>
    </row>
    <row r="590" spans="35:35">
      <c r="AI590" s="131"/>
    </row>
    <row r="591" spans="35:35">
      <c r="AI591" s="131"/>
    </row>
    <row r="592" spans="35:35">
      <c r="AI592" s="131"/>
    </row>
    <row r="593" spans="35:35">
      <c r="AI593" s="131"/>
    </row>
    <row r="594" spans="35:35">
      <c r="AI594" s="131"/>
    </row>
    <row r="595" spans="35:35">
      <c r="AI595" s="131"/>
    </row>
    <row r="596" spans="35:35">
      <c r="AI596" s="131"/>
    </row>
    <row r="597" spans="35:35">
      <c r="AI597" s="131"/>
    </row>
    <row r="598" spans="35:35">
      <c r="AI598" s="131"/>
    </row>
    <row r="599" spans="35:35">
      <c r="AI599" s="131"/>
    </row>
    <row r="600" spans="35:35">
      <c r="AI600" s="131"/>
    </row>
    <row r="601" spans="35:35">
      <c r="AI601" s="131"/>
    </row>
    <row r="602" spans="35:35">
      <c r="AI602" s="131"/>
    </row>
    <row r="603" spans="35:35">
      <c r="AI603" s="131"/>
    </row>
    <row r="604" spans="35:35">
      <c r="AI604" s="131"/>
    </row>
    <row r="605" spans="35:35">
      <c r="AI605" s="131"/>
    </row>
    <row r="606" spans="35:35">
      <c r="AI606" s="131"/>
    </row>
    <row r="607" spans="35:35">
      <c r="AI607" s="131"/>
    </row>
    <row r="608" spans="35:35">
      <c r="AI608" s="131"/>
    </row>
    <row r="609" spans="35:35">
      <c r="AI609" s="131"/>
    </row>
    <row r="610" spans="35:35">
      <c r="AI610" s="131"/>
    </row>
    <row r="611" spans="35:35">
      <c r="AI611" s="131"/>
    </row>
    <row r="612" spans="35:35">
      <c r="AI612" s="131"/>
    </row>
    <row r="613" spans="35:35">
      <c r="AI613" s="131"/>
    </row>
    <row r="614" spans="35:35">
      <c r="AI614" s="131"/>
    </row>
    <row r="615" spans="35:35">
      <c r="AI615" s="131"/>
    </row>
    <row r="616" spans="35:35">
      <c r="AI616" s="28"/>
    </row>
    <row r="617" spans="35:35">
      <c r="AI617" s="131"/>
    </row>
    <row r="618" spans="35:35">
      <c r="AI618" s="131"/>
    </row>
    <row r="619" spans="35:35">
      <c r="AI619" s="131"/>
    </row>
    <row r="620" spans="35:35">
      <c r="AI620" s="131"/>
    </row>
    <row r="621" spans="35:35">
      <c r="AI621" s="131"/>
    </row>
    <row r="622" spans="35:35">
      <c r="AI622" s="131"/>
    </row>
    <row r="623" spans="35:35">
      <c r="AI623" s="131"/>
    </row>
    <row r="624" spans="35:35">
      <c r="AI624" s="131"/>
    </row>
    <row r="625" spans="35:35">
      <c r="AI625" s="131"/>
    </row>
    <row r="626" spans="35:35">
      <c r="AI626" s="131"/>
    </row>
    <row r="627" spans="35:35">
      <c r="AI627" s="131"/>
    </row>
    <row r="628" spans="35:35">
      <c r="AI628" s="131"/>
    </row>
    <row r="629" spans="35:35">
      <c r="AI629" s="131"/>
    </row>
    <row r="630" spans="35:35">
      <c r="AI630" s="131"/>
    </row>
    <row r="631" spans="35:35">
      <c r="AI631" s="131"/>
    </row>
    <row r="632" spans="35:35">
      <c r="AI632" s="131"/>
    </row>
    <row r="633" spans="35:35">
      <c r="AI633" s="131"/>
    </row>
    <row r="634" spans="35:35">
      <c r="AI634" s="131"/>
    </row>
    <row r="635" spans="35:35">
      <c r="AI635" s="131"/>
    </row>
    <row r="636" spans="35:35">
      <c r="AI636" s="131"/>
    </row>
    <row r="637" spans="35:35">
      <c r="AI637" s="131"/>
    </row>
    <row r="638" spans="35:35">
      <c r="AI638" s="131"/>
    </row>
    <row r="639" spans="35:35">
      <c r="AI639" s="131"/>
    </row>
    <row r="640" spans="35:35">
      <c r="AI640" s="131"/>
    </row>
    <row r="641" spans="35:35">
      <c r="AI641" s="131"/>
    </row>
    <row r="642" spans="35:35">
      <c r="AI642" s="131"/>
    </row>
    <row r="643" spans="35:35">
      <c r="AI643" s="131"/>
    </row>
    <row r="644" spans="35:35">
      <c r="AI644" s="131"/>
    </row>
    <row r="645" spans="35:35">
      <c r="AI645" s="131"/>
    </row>
    <row r="646" spans="35:35">
      <c r="AI646" s="131"/>
    </row>
    <row r="647" spans="35:35">
      <c r="AI647" s="131"/>
    </row>
    <row r="648" spans="35:35">
      <c r="AI648" s="131"/>
    </row>
    <row r="649" spans="35:35">
      <c r="AI649" s="284"/>
    </row>
    <row r="650" spans="35:35">
      <c r="AI650" s="284"/>
    </row>
    <row r="651" spans="35:35">
      <c r="AI651" s="131"/>
    </row>
    <row r="652" spans="35:35">
      <c r="AI652" s="131"/>
    </row>
    <row r="653" spans="35:35">
      <c r="AI653" s="131"/>
    </row>
    <row r="654" spans="35:35">
      <c r="AI654" s="131"/>
    </row>
    <row r="655" spans="35:35">
      <c r="AI655" s="131"/>
    </row>
    <row r="656" spans="35:35">
      <c r="AI656" s="131"/>
    </row>
    <row r="657" spans="35:35">
      <c r="AI657" s="131"/>
    </row>
    <row r="658" spans="35:35">
      <c r="AI658" s="131"/>
    </row>
    <row r="659" spans="35:35">
      <c r="AI659" s="131"/>
    </row>
    <row r="660" spans="35:35">
      <c r="AI660" s="131"/>
    </row>
    <row r="661" spans="35:35">
      <c r="AI661" s="131"/>
    </row>
    <row r="662" spans="35:35">
      <c r="AI662" s="131"/>
    </row>
    <row r="663" spans="35:35">
      <c r="AI663" s="131"/>
    </row>
    <row r="664" spans="35:35">
      <c r="AI664" s="131"/>
    </row>
    <row r="665" spans="35:35">
      <c r="AI665" s="131"/>
    </row>
    <row r="666" spans="35:35">
      <c r="AI666" s="131"/>
    </row>
    <row r="667" spans="35:35">
      <c r="AI667" s="131"/>
    </row>
    <row r="668" spans="35:35">
      <c r="AI668" s="131"/>
    </row>
    <row r="669" spans="35:35">
      <c r="AI669" s="131"/>
    </row>
    <row r="670" spans="35:35">
      <c r="AI670" s="131"/>
    </row>
    <row r="671" spans="35:35">
      <c r="AI671" s="131"/>
    </row>
    <row r="672" spans="35:35">
      <c r="AI672" s="131"/>
    </row>
    <row r="673" spans="35:35">
      <c r="AI673" s="131"/>
    </row>
    <row r="674" spans="35:35">
      <c r="AI674" s="131"/>
    </row>
    <row r="675" spans="35:35">
      <c r="AI675" s="131"/>
    </row>
    <row r="676" spans="35:35">
      <c r="AI676" s="131"/>
    </row>
    <row r="677" spans="35:35">
      <c r="AI677" s="131"/>
    </row>
    <row r="678" spans="35:35">
      <c r="AI678" s="131"/>
    </row>
    <row r="679" spans="35:35">
      <c r="AI679" s="131"/>
    </row>
    <row r="680" spans="35:35">
      <c r="AI680" s="131"/>
    </row>
    <row r="681" spans="35:35">
      <c r="AI681" s="131"/>
    </row>
    <row r="682" spans="35:35">
      <c r="AI682" s="131"/>
    </row>
    <row r="683" spans="35:35">
      <c r="AI683" s="131"/>
    </row>
    <row r="684" spans="35:35">
      <c r="AI684" s="131"/>
    </row>
    <row r="685" spans="35:35">
      <c r="AI685" s="131"/>
    </row>
    <row r="686" spans="35:35">
      <c r="AI686" s="131"/>
    </row>
    <row r="687" spans="35:35">
      <c r="AI687" s="131"/>
    </row>
    <row r="688" spans="35:35">
      <c r="AI688" s="131"/>
    </row>
    <row r="689" spans="35:35">
      <c r="AI689" s="284"/>
    </row>
    <row r="690" spans="35:35">
      <c r="AI690" s="131"/>
    </row>
    <row r="691" spans="35:35">
      <c r="AI691" s="131"/>
    </row>
    <row r="692" spans="35:35">
      <c r="AI692" s="131"/>
    </row>
    <row r="693" spans="35:35">
      <c r="AI693" s="131"/>
    </row>
    <row r="694" spans="35:35">
      <c r="AI694" s="131"/>
    </row>
    <row r="695" spans="35:35">
      <c r="AI695" s="131"/>
    </row>
    <row r="696" spans="35:35">
      <c r="AI696" s="131"/>
    </row>
    <row r="697" spans="35:35">
      <c r="AI697" s="131"/>
    </row>
    <row r="698" spans="35:35">
      <c r="AI698" s="131"/>
    </row>
    <row r="699" spans="35:35">
      <c r="AI699" s="131"/>
    </row>
    <row r="700" spans="35:35">
      <c r="AI700" s="131"/>
    </row>
    <row r="701" spans="35:35">
      <c r="AI701" s="131"/>
    </row>
    <row r="702" spans="35:35">
      <c r="AI702" s="131"/>
    </row>
    <row r="703" spans="35:35">
      <c r="AI703" s="131"/>
    </row>
    <row r="704" spans="35:35">
      <c r="AI704" s="131"/>
    </row>
    <row r="705" spans="35:35">
      <c r="AI705" s="131"/>
    </row>
    <row r="706" spans="35:35">
      <c r="AI706" s="131"/>
    </row>
    <row r="707" spans="35:35">
      <c r="AI707" s="131"/>
    </row>
    <row r="708" spans="35:35">
      <c r="AI708" s="131"/>
    </row>
    <row r="709" spans="35:35">
      <c r="AI709" s="131"/>
    </row>
    <row r="710" spans="35:35">
      <c r="AI710" s="131"/>
    </row>
    <row r="711" spans="35:35">
      <c r="AI711" s="131"/>
    </row>
    <row r="712" spans="35:35">
      <c r="AI712" s="131"/>
    </row>
    <row r="713" spans="35:35">
      <c r="AI713" s="131"/>
    </row>
    <row r="714" spans="35:35">
      <c r="AI714" s="131"/>
    </row>
    <row r="715" spans="35:35">
      <c r="AI715" s="131"/>
    </row>
    <row r="716" spans="35:35">
      <c r="AI716" s="131"/>
    </row>
    <row r="717" spans="35:35">
      <c r="AI717" s="131"/>
    </row>
    <row r="718" spans="35:35">
      <c r="AI718" s="131"/>
    </row>
    <row r="719" spans="35:35">
      <c r="AI719" s="131"/>
    </row>
    <row r="720" spans="35:35">
      <c r="AI720" s="131"/>
    </row>
    <row r="721" spans="35:35">
      <c r="AI721" s="131"/>
    </row>
    <row r="722" spans="35:35">
      <c r="AI722" s="131"/>
    </row>
    <row r="723" spans="35:35">
      <c r="AI723" s="131"/>
    </row>
    <row r="724" spans="35:35">
      <c r="AI724" s="131"/>
    </row>
    <row r="725" spans="35:35">
      <c r="AI725" s="131"/>
    </row>
    <row r="726" spans="35:35">
      <c r="AI726" s="131"/>
    </row>
    <row r="727" spans="35:35">
      <c r="AI727" s="131"/>
    </row>
    <row r="728" spans="35:35">
      <c r="AI728" s="131"/>
    </row>
    <row r="729" spans="35:35">
      <c r="AI729" s="131"/>
    </row>
    <row r="730" spans="35:35">
      <c r="AI730" s="131"/>
    </row>
    <row r="731" spans="35:35">
      <c r="AI731" s="131"/>
    </row>
    <row r="732" spans="35:35">
      <c r="AI732" s="131"/>
    </row>
    <row r="733" spans="35:35">
      <c r="AI733" s="131"/>
    </row>
    <row r="734" spans="35:35">
      <c r="AI734" s="131"/>
    </row>
    <row r="735" spans="35:35">
      <c r="AI735" s="131"/>
    </row>
    <row r="736" spans="35:35">
      <c r="AI736" s="131"/>
    </row>
    <row r="737" spans="35:35">
      <c r="AI737" s="131"/>
    </row>
    <row r="738" spans="35:35">
      <c r="AI738" s="131"/>
    </row>
    <row r="739" spans="35:35">
      <c r="AI739" s="131"/>
    </row>
    <row r="740" spans="35:35">
      <c r="AI740" s="131"/>
    </row>
    <row r="741" spans="35:35">
      <c r="AI741" s="131"/>
    </row>
    <row r="742" spans="35:35">
      <c r="AI742" s="131"/>
    </row>
    <row r="743" spans="35:35">
      <c r="AI743" s="131"/>
    </row>
    <row r="744" spans="35:35">
      <c r="AI744" s="131"/>
    </row>
    <row r="745" spans="35:35">
      <c r="AI745" s="131"/>
    </row>
    <row r="746" spans="35:35">
      <c r="AI746" s="131"/>
    </row>
    <row r="747" spans="35:35">
      <c r="AI747" s="284"/>
    </row>
    <row r="748" spans="35:35">
      <c r="AI748" s="131"/>
    </row>
    <row r="749" spans="35:35">
      <c r="AI749" s="131"/>
    </row>
    <row r="750" spans="35:35">
      <c r="AI750" s="131"/>
    </row>
    <row r="751" spans="35:35">
      <c r="AI751" s="131"/>
    </row>
    <row r="752" spans="35:35">
      <c r="AI752" s="131"/>
    </row>
    <row r="753" spans="35:35">
      <c r="AI753" s="131"/>
    </row>
    <row r="754" spans="35:35">
      <c r="AI754" s="131"/>
    </row>
    <row r="755" spans="35:35">
      <c r="AI755" s="131"/>
    </row>
    <row r="756" spans="35:35">
      <c r="AI756" s="131"/>
    </row>
    <row r="757" spans="35:35">
      <c r="AI757" s="131"/>
    </row>
    <row r="758" spans="35:35">
      <c r="AI758" s="131"/>
    </row>
    <row r="759" spans="35:35">
      <c r="AI759" s="131"/>
    </row>
    <row r="760" spans="35:35">
      <c r="AI760" s="131"/>
    </row>
    <row r="761" spans="35:35">
      <c r="AI761" s="131"/>
    </row>
    <row r="762" spans="35:35">
      <c r="AI762" s="131"/>
    </row>
    <row r="763" spans="35:35">
      <c r="AI763" s="131"/>
    </row>
    <row r="764" spans="35:35">
      <c r="AI764" s="131"/>
    </row>
    <row r="765" spans="35:35">
      <c r="AI765" s="131"/>
    </row>
    <row r="766" spans="35:35">
      <c r="AI766" s="131"/>
    </row>
    <row r="767" spans="35:35">
      <c r="AI767" s="131"/>
    </row>
    <row r="768" spans="35:35">
      <c r="AI768" s="131"/>
    </row>
    <row r="769" spans="35:35">
      <c r="AI769" s="131"/>
    </row>
    <row r="770" spans="35:35">
      <c r="AI770" s="131"/>
    </row>
    <row r="771" spans="35:35">
      <c r="AI771" s="131"/>
    </row>
    <row r="772" spans="35:35">
      <c r="AI772" s="131"/>
    </row>
    <row r="773" spans="35:35">
      <c r="AI773" s="131"/>
    </row>
    <row r="774" spans="35:35">
      <c r="AI774" s="131"/>
    </row>
    <row r="775" spans="35:35">
      <c r="AI775" s="131"/>
    </row>
    <row r="776" spans="35:35">
      <c r="AI776" s="131"/>
    </row>
    <row r="777" spans="35:35">
      <c r="AI777" s="131"/>
    </row>
    <row r="778" spans="35:35">
      <c r="AI778" s="131"/>
    </row>
    <row r="779" spans="35:35">
      <c r="AI779" s="131"/>
    </row>
    <row r="780" spans="35:35">
      <c r="AI780" s="131"/>
    </row>
    <row r="781" spans="35:35">
      <c r="AI781" s="131"/>
    </row>
    <row r="782" spans="35:35">
      <c r="AI782" s="131"/>
    </row>
    <row r="783" spans="35:35">
      <c r="AI783" s="131"/>
    </row>
    <row r="784" spans="35:35">
      <c r="AI784" s="131"/>
    </row>
    <row r="785" spans="35:35">
      <c r="AI785" s="131"/>
    </row>
    <row r="786" spans="35:35">
      <c r="AI786" s="131"/>
    </row>
    <row r="787" spans="35:35">
      <c r="AI787" s="131"/>
    </row>
    <row r="788" spans="35:35">
      <c r="AI788" s="131"/>
    </row>
    <row r="789" spans="35:35">
      <c r="AI789" s="131"/>
    </row>
    <row r="790" spans="35:35">
      <c r="AI790" s="131"/>
    </row>
    <row r="791" spans="35:35">
      <c r="AI791" s="131"/>
    </row>
    <row r="792" spans="35:35">
      <c r="AI792" s="131"/>
    </row>
    <row r="793" spans="35:35">
      <c r="AI793" s="131"/>
    </row>
    <row r="794" spans="35:35">
      <c r="AI794" s="131"/>
    </row>
    <row r="795" spans="35:35">
      <c r="AI795" s="131"/>
    </row>
    <row r="796" spans="35:35">
      <c r="AI796" s="131"/>
    </row>
    <row r="797" spans="35:35">
      <c r="AI797" s="131"/>
    </row>
    <row r="798" spans="35:35">
      <c r="AI798" s="131"/>
    </row>
    <row r="799" spans="35:35">
      <c r="AI799" s="131"/>
    </row>
    <row r="800" spans="35:35">
      <c r="AI800" s="131"/>
    </row>
    <row r="801" spans="35:35">
      <c r="AI801" s="131"/>
    </row>
    <row r="802" spans="35:35">
      <c r="AI802" s="131"/>
    </row>
    <row r="803" spans="35:35">
      <c r="AI803" s="131"/>
    </row>
    <row r="804" spans="35:35">
      <c r="AI804" s="284"/>
    </row>
    <row r="805" spans="35:35">
      <c r="AI805" s="131"/>
    </row>
    <row r="806" spans="35:35">
      <c r="AI806" s="131"/>
    </row>
    <row r="807" spans="35:35">
      <c r="AI807" s="131"/>
    </row>
    <row r="808" spans="35:35">
      <c r="AI808" s="131"/>
    </row>
    <row r="809" spans="35:35">
      <c r="AI809" s="131"/>
    </row>
    <row r="810" spans="35:35">
      <c r="AI810" s="131"/>
    </row>
    <row r="811" spans="35:35">
      <c r="AI811" s="131"/>
    </row>
    <row r="812" spans="35:35">
      <c r="AI812" s="131"/>
    </row>
    <row r="813" spans="35:35">
      <c r="AI813" s="131"/>
    </row>
    <row r="814" spans="35:35">
      <c r="AI814" s="131"/>
    </row>
    <row r="815" spans="35:35">
      <c r="AI815" s="131"/>
    </row>
    <row r="816" spans="35:35">
      <c r="AI816" s="131"/>
    </row>
    <row r="817" spans="35:35">
      <c r="AI817" s="131"/>
    </row>
    <row r="818" spans="35:35">
      <c r="AI818" s="131"/>
    </row>
    <row r="819" spans="35:35">
      <c r="AI819" s="131"/>
    </row>
    <row r="820" spans="35:35">
      <c r="AI820" s="131"/>
    </row>
    <row r="821" spans="35:35">
      <c r="AI821" s="131"/>
    </row>
    <row r="822" spans="35:35">
      <c r="AI822" s="131"/>
    </row>
    <row r="823" spans="35:35">
      <c r="AI823" s="131"/>
    </row>
    <row r="824" spans="35:35">
      <c r="AI824" s="131"/>
    </row>
    <row r="825" spans="35:35">
      <c r="AI825" s="131"/>
    </row>
    <row r="826" spans="35:35">
      <c r="AI826" s="131"/>
    </row>
    <row r="827" spans="35:35">
      <c r="AI827" s="131"/>
    </row>
    <row r="828" spans="35:35">
      <c r="AI828" s="131"/>
    </row>
    <row r="829" spans="35:35">
      <c r="AI829" s="131"/>
    </row>
    <row r="830" spans="35:35">
      <c r="AI830" s="131"/>
    </row>
    <row r="831" spans="35:35">
      <c r="AI831" s="131"/>
    </row>
    <row r="832" spans="35:35">
      <c r="AI832" s="253"/>
    </row>
    <row r="833" spans="35:35">
      <c r="AI833" s="131"/>
    </row>
    <row r="834" spans="35:35">
      <c r="AI834" s="131"/>
    </row>
    <row r="835" spans="35:35">
      <c r="AI835" s="131"/>
    </row>
    <row r="836" spans="35:35">
      <c r="AI836" s="131"/>
    </row>
    <row r="837" spans="35:35">
      <c r="AI837" s="131"/>
    </row>
    <row r="838" spans="35:35">
      <c r="AI838" s="131"/>
    </row>
    <row r="839" spans="35:35">
      <c r="AI839" s="131"/>
    </row>
    <row r="840" spans="35:35">
      <c r="AI840" s="131"/>
    </row>
    <row r="841" spans="35:35">
      <c r="AI841" s="131"/>
    </row>
    <row r="842" spans="35:35">
      <c r="AI842" s="131"/>
    </row>
    <row r="843" spans="35:35">
      <c r="AI843" s="131"/>
    </row>
    <row r="844" spans="35:35">
      <c r="AI844" s="131"/>
    </row>
    <row r="845" spans="35:35">
      <c r="AI845" s="131"/>
    </row>
    <row r="846" spans="35:35">
      <c r="AI846" s="284"/>
    </row>
    <row r="847" spans="35:35">
      <c r="AI847" s="131"/>
    </row>
    <row r="848" spans="35:35">
      <c r="AI848" s="131"/>
    </row>
    <row r="849" spans="35:35">
      <c r="AI849" s="131"/>
    </row>
    <row r="850" spans="35:35">
      <c r="AI850" s="131"/>
    </row>
    <row r="851" spans="35:35">
      <c r="AI851" s="131"/>
    </row>
    <row r="852" spans="35:35">
      <c r="AI852" s="131"/>
    </row>
    <row r="853" spans="35:35">
      <c r="AI853" s="131"/>
    </row>
    <row r="854" spans="35:35">
      <c r="AI854" s="131"/>
    </row>
    <row r="856" spans="35:35">
      <c r="AI856" s="131"/>
    </row>
    <row r="857" spans="35:35">
      <c r="AI857" s="131"/>
    </row>
    <row r="858" spans="35:35">
      <c r="AI858" s="284"/>
    </row>
    <row r="859" spans="35:35">
      <c r="AI859" s="131"/>
    </row>
    <row r="860" spans="35:35">
      <c r="AI860" s="284"/>
    </row>
    <row r="861" spans="35:35">
      <c r="AI861" s="131"/>
    </row>
    <row r="862" spans="35:35">
      <c r="AI862" s="131"/>
    </row>
    <row r="863" spans="35:35">
      <c r="AI863" s="131"/>
    </row>
    <row r="864" spans="35:35">
      <c r="AI864" s="284"/>
    </row>
    <row r="865" spans="35:35">
      <c r="AI865" s="128"/>
    </row>
    <row r="867" spans="35:35">
      <c r="AI867" s="131"/>
    </row>
    <row r="868" spans="35:35">
      <c r="AI868" s="284"/>
    </row>
    <row r="869" spans="35:35">
      <c r="AI869" s="131"/>
    </row>
    <row r="870" spans="35:35">
      <c r="AI870" s="131"/>
    </row>
    <row r="871" spans="35:35">
      <c r="AI871" s="284"/>
    </row>
    <row r="872" spans="35:35">
      <c r="AI872" s="131"/>
    </row>
    <row r="873" spans="35:35">
      <c r="AI873" s="131"/>
    </row>
    <row r="874" spans="35:35">
      <c r="AI874" s="131"/>
    </row>
    <row r="875" spans="35:35">
      <c r="AI875" s="131"/>
    </row>
    <row r="876" spans="35:35">
      <c r="AI876" s="131"/>
    </row>
    <row r="877" spans="35:35">
      <c r="AI877" s="284"/>
    </row>
    <row r="878" spans="35:35">
      <c r="AI878" s="131"/>
    </row>
    <row r="879" spans="35:35">
      <c r="AI879" s="131"/>
    </row>
    <row r="880" spans="35:35">
      <c r="AI880" s="131"/>
    </row>
    <row r="881" spans="35:35">
      <c r="AI881" s="131"/>
    </row>
    <row r="883" spans="35:35">
      <c r="AI883" s="284"/>
    </row>
    <row r="884" spans="35:35">
      <c r="AI884" s="131"/>
    </row>
    <row r="885" spans="35:35">
      <c r="AI885" s="131"/>
    </row>
    <row r="886" spans="35:35">
      <c r="AI886" s="131"/>
    </row>
    <row r="887" spans="35:35">
      <c r="AI887" s="131"/>
    </row>
    <row r="888" spans="35:35">
      <c r="AI888" s="131"/>
    </row>
    <row r="889" spans="35:35">
      <c r="AI889" s="131"/>
    </row>
    <row r="890" spans="35:35">
      <c r="AI890" s="131"/>
    </row>
    <row r="891" spans="35:35">
      <c r="AI891" s="131"/>
    </row>
    <row r="892" spans="35:35">
      <c r="AI892" s="27"/>
    </row>
    <row r="893" spans="35:35">
      <c r="AI893" s="131"/>
    </row>
    <row r="894" spans="35:35">
      <c r="AI894" s="131"/>
    </row>
    <row r="895" spans="35:35">
      <c r="AI895" s="131"/>
    </row>
    <row r="896" spans="35:35">
      <c r="AI896" s="131"/>
    </row>
    <row r="897" spans="35:35">
      <c r="AI897" s="131"/>
    </row>
    <row r="898" spans="35:35">
      <c r="AI898" s="131"/>
    </row>
    <row r="899" spans="35:35">
      <c r="AI899" s="131"/>
    </row>
    <row r="900" spans="35:35">
      <c r="AI900" s="284"/>
    </row>
    <row r="901" spans="35:35">
      <c r="AI901" s="131"/>
    </row>
    <row r="902" spans="35:35">
      <c r="AI902" s="131"/>
    </row>
    <row r="903" spans="35:35">
      <c r="AI903" s="131"/>
    </row>
    <row r="904" spans="35:35">
      <c r="AI904" s="131"/>
    </row>
    <row r="905" spans="35:35">
      <c r="AI905" s="131"/>
    </row>
    <row r="906" spans="35:35">
      <c r="AI906" s="131"/>
    </row>
    <row r="907" spans="35:35">
      <c r="AI907" s="284"/>
    </row>
    <row r="908" spans="35:35">
      <c r="AI908" s="131"/>
    </row>
    <row r="909" spans="35:35">
      <c r="AI909" s="131"/>
    </row>
    <row r="910" spans="35:35">
      <c r="AI910" s="131"/>
    </row>
    <row r="911" spans="35:35">
      <c r="AI911" s="131"/>
    </row>
    <row r="912" spans="35:35">
      <c r="AI912" s="131"/>
    </row>
    <row r="913" spans="35:35">
      <c r="AI913" s="131"/>
    </row>
    <row r="914" spans="35:35">
      <c r="AI914" s="131"/>
    </row>
    <row r="915" spans="35:35">
      <c r="AI915" s="284"/>
    </row>
    <row r="916" spans="35:35">
      <c r="AI916" s="131"/>
    </row>
    <row r="917" spans="35:35">
      <c r="AI917" s="131"/>
    </row>
    <row r="918" spans="35:35">
      <c r="AI918" s="131"/>
    </row>
    <row r="919" spans="35:35">
      <c r="AI919" s="131"/>
    </row>
    <row r="920" spans="35:35">
      <c r="AI920" s="131"/>
    </row>
    <row r="921" spans="35:35">
      <c r="AI921" s="131"/>
    </row>
    <row r="922" spans="35:35">
      <c r="AI922" s="131"/>
    </row>
    <row r="923" spans="35:35">
      <c r="AI923" s="131"/>
    </row>
    <row r="924" spans="35:35">
      <c r="AI924" s="131"/>
    </row>
    <row r="925" spans="35:35">
      <c r="AI925" s="128"/>
    </row>
    <row r="926" spans="35:35">
      <c r="AI926" s="128"/>
    </row>
    <row r="927" spans="35:35">
      <c r="AI927" s="131"/>
    </row>
    <row r="928" spans="35:35">
      <c r="AI928" s="131"/>
    </row>
    <row r="929" spans="35:35">
      <c r="AI929" s="131"/>
    </row>
    <row r="930" spans="35:35">
      <c r="AI930" s="131"/>
    </row>
    <row r="931" spans="35:35">
      <c r="AI931" s="131"/>
    </row>
    <row r="932" spans="35:35">
      <c r="AI932" s="131"/>
    </row>
    <row r="933" spans="35:35">
      <c r="AI933" s="131"/>
    </row>
    <row r="934" spans="35:35">
      <c r="AI934" s="131"/>
    </row>
    <row r="935" spans="35:35">
      <c r="AI935" s="131"/>
    </row>
    <row r="936" spans="35:35">
      <c r="AI936" s="131"/>
    </row>
    <row r="937" spans="35:35">
      <c r="AI937" s="131"/>
    </row>
    <row r="938" spans="35:35">
      <c r="AI938" s="284"/>
    </row>
    <row r="939" spans="35:35">
      <c r="AI939" s="131"/>
    </row>
    <row r="940" spans="35:35">
      <c r="AI940" s="131"/>
    </row>
    <row r="941" spans="35:35">
      <c r="AI941" s="284"/>
    </row>
    <row r="942" spans="35:35">
      <c r="AI942" s="131"/>
    </row>
    <row r="943" spans="35:35">
      <c r="AI943" s="131"/>
    </row>
    <row r="944" spans="35:35">
      <c r="AI944" s="131"/>
    </row>
    <row r="945" spans="35:35">
      <c r="AI945" s="44"/>
    </row>
    <row r="947" spans="35:35">
      <c r="AI947" s="131"/>
    </row>
    <row r="948" spans="35:35">
      <c r="AI948" s="131"/>
    </row>
    <row r="949" spans="35:35">
      <c r="AI949" s="131"/>
    </row>
    <row r="950" spans="35:35">
      <c r="AI950" s="131"/>
    </row>
    <row r="951" spans="35:35">
      <c r="AI951" s="131"/>
    </row>
    <row r="952" spans="35:35">
      <c r="AI952" s="131"/>
    </row>
    <row r="953" spans="35:35">
      <c r="AI953" s="131"/>
    </row>
    <row r="954" spans="35:35">
      <c r="AI954" s="131"/>
    </row>
    <row r="955" spans="35:35">
      <c r="AI955" s="128"/>
    </row>
    <row r="956" spans="35:35">
      <c r="AI956" s="131"/>
    </row>
    <row r="957" spans="35:35">
      <c r="AI957" s="131"/>
    </row>
    <row r="958" spans="35:35">
      <c r="AI958" s="131"/>
    </row>
    <row r="959" spans="35:35">
      <c r="AI959" s="131"/>
    </row>
    <row r="960" spans="35:35">
      <c r="AI960" s="131"/>
    </row>
    <row r="961" spans="35:35">
      <c r="AI961" s="131"/>
    </row>
    <row r="962" spans="35:35">
      <c r="AI962" s="131"/>
    </row>
    <row r="963" spans="35:35">
      <c r="AI963" s="131"/>
    </row>
    <row r="965" spans="35:35">
      <c r="AI965" s="131"/>
    </row>
    <row r="966" spans="35:35">
      <c r="AI966" s="131"/>
    </row>
    <row r="967" spans="35:35">
      <c r="AI967" s="131"/>
    </row>
    <row r="968" spans="35:35">
      <c r="AI968" s="131"/>
    </row>
    <row r="969" spans="35:35">
      <c r="AI969" s="284"/>
    </row>
    <row r="970" spans="35:35">
      <c r="AI970" s="131"/>
    </row>
    <row r="971" spans="35:35">
      <c r="AI971" s="131"/>
    </row>
    <row r="972" spans="35:35">
      <c r="AI972" s="131"/>
    </row>
    <row r="973" spans="35:35">
      <c r="AI973" s="131"/>
    </row>
    <row r="974" spans="35:35">
      <c r="AI974" s="131"/>
    </row>
    <row r="975" spans="35:35">
      <c r="AI975" s="131"/>
    </row>
    <row r="976" spans="35:35">
      <c r="AI976" s="128"/>
    </row>
    <row r="977" spans="35:35">
      <c r="AI977" s="131"/>
    </row>
    <row r="978" spans="35:35">
      <c r="AI978" s="284"/>
    </row>
    <row r="979" spans="35:35">
      <c r="AI979" s="131"/>
    </row>
    <row r="980" spans="35:35">
      <c r="AI980" s="131"/>
    </row>
    <row r="981" spans="35:35">
      <c r="AI981" s="131"/>
    </row>
    <row r="982" spans="35:35">
      <c r="AI982" s="131"/>
    </row>
    <row r="983" spans="35:35">
      <c r="AI983" s="131"/>
    </row>
    <row r="984" spans="35:35">
      <c r="AI984" s="131"/>
    </row>
    <row r="985" spans="35:35">
      <c r="AI985" s="131"/>
    </row>
    <row r="986" spans="35:35">
      <c r="AI986" s="131"/>
    </row>
    <row r="987" spans="35:35">
      <c r="AI987" s="131"/>
    </row>
    <row r="988" spans="35:35">
      <c r="AI988" s="131"/>
    </row>
    <row r="989" spans="35:35">
      <c r="AI989" s="131"/>
    </row>
    <row r="990" spans="35:35">
      <c r="AI990" s="131"/>
    </row>
    <row r="991" spans="35:35">
      <c r="AI991" s="131"/>
    </row>
    <row r="992" spans="35:35">
      <c r="AI992" s="131"/>
    </row>
    <row r="993" spans="35:35">
      <c r="AI993" s="131"/>
    </row>
    <row r="994" spans="35:35">
      <c r="AI994" s="131"/>
    </row>
    <row r="995" spans="35:35">
      <c r="AI995" s="131"/>
    </row>
    <row r="996" spans="35:35">
      <c r="AI996" s="131"/>
    </row>
    <row r="997" spans="35:35">
      <c r="AI997" s="128"/>
    </row>
    <row r="998" spans="35:35">
      <c r="AI998" s="131"/>
    </row>
    <row r="999" spans="35:35">
      <c r="AI999" s="131"/>
    </row>
    <row r="1000" spans="35:35">
      <c r="AI1000" s="131"/>
    </row>
    <row r="1001" spans="35:35">
      <c r="AI1001" s="131"/>
    </row>
    <row r="1002" spans="35:35">
      <c r="AI1002" s="131"/>
    </row>
    <row r="1003" spans="35:35">
      <c r="AI1003" s="28"/>
    </row>
    <row r="1004" spans="35:35">
      <c r="AI1004" s="128"/>
    </row>
    <row r="1005" spans="35:35">
      <c r="AI1005" s="284"/>
    </row>
    <row r="1006" spans="35:35">
      <c r="AI1006" s="284"/>
    </row>
    <row r="1007" spans="35:35">
      <c r="AI1007" s="131"/>
    </row>
    <row r="1008" spans="35:35">
      <c r="AI1008" s="128"/>
    </row>
    <row r="1009" spans="35:35">
      <c r="AI1009" s="131"/>
    </row>
    <row r="1010" spans="35:35">
      <c r="AI1010" s="131"/>
    </row>
    <row r="1011" spans="35:35">
      <c r="AI1011" s="131"/>
    </row>
    <row r="1012" spans="35:35">
      <c r="AI1012" s="44"/>
    </row>
    <row r="1013" spans="35:35">
      <c r="AI1013" s="131"/>
    </row>
    <row r="1015" spans="35:35">
      <c r="AI1015" s="131"/>
    </row>
    <row r="1016" spans="35:35">
      <c r="AI1016" s="128"/>
    </row>
    <row r="1017" spans="35:35">
      <c r="AI1017" s="131"/>
    </row>
    <row r="1018" spans="35:35">
      <c r="AI1018" s="131"/>
    </row>
    <row r="1019" spans="35:35">
      <c r="AI1019" s="128"/>
    </row>
    <row r="1020" spans="35:35">
      <c r="AI1020" s="131"/>
    </row>
    <row r="1021" spans="35:35">
      <c r="AI1021" s="131"/>
    </row>
    <row r="1022" spans="35:35">
      <c r="AI1022" s="131"/>
    </row>
    <row r="1023" spans="35:35">
      <c r="AI1023" s="131"/>
    </row>
    <row r="1024" spans="35:35">
      <c r="AI1024" s="131"/>
    </row>
    <row r="1025" spans="35:36">
      <c r="AI1025" s="131"/>
    </row>
    <row r="1026" spans="35:36">
      <c r="AI1026" s="131"/>
    </row>
    <row r="1027" spans="35:36">
      <c r="AI1027" s="131"/>
    </row>
    <row r="1028" spans="35:36">
      <c r="AI1028" s="131"/>
    </row>
    <row r="1029" spans="35:36">
      <c r="AI1029" s="131"/>
    </row>
    <row r="1030" spans="35:36">
      <c r="AI1030" s="284"/>
    </row>
    <row r="1031" spans="35:36">
      <c r="AI1031" s="131"/>
    </row>
    <row r="1032" spans="35:36">
      <c r="AI1032" s="131"/>
    </row>
    <row r="1033" spans="35:36">
      <c r="AI1033" s="131"/>
    </row>
    <row r="1034" spans="35:36">
      <c r="AI1034" s="131"/>
    </row>
    <row r="1035" spans="35:36">
      <c r="AI1035" s="131"/>
      <c r="AJ1035" s="264" t="s">
        <v>5277</v>
      </c>
    </row>
    <row r="1036" spans="35:36">
      <c r="AI1036" s="131"/>
    </row>
    <row r="1037" spans="35:36">
      <c r="AI1037" s="128"/>
    </row>
    <row r="1038" spans="35:36">
      <c r="AI1038" s="131"/>
    </row>
    <row r="1039" spans="35:36">
      <c r="AI1039" s="131"/>
    </row>
    <row r="1040" spans="35:36">
      <c r="AI1040" s="131"/>
    </row>
    <row r="1041" spans="35:35">
      <c r="AI1041" s="131"/>
    </row>
    <row r="1042" spans="35:35">
      <c r="AI1042" s="284"/>
    </row>
    <row r="1044" spans="35:35">
      <c r="AI1044" s="131"/>
    </row>
    <row r="1045" spans="35:35">
      <c r="AI1045" s="131"/>
    </row>
    <row r="1046" spans="35:35">
      <c r="AI1046" s="131"/>
    </row>
    <row r="1047" spans="35:35">
      <c r="AI1047" s="28"/>
    </row>
    <row r="1048" spans="35:35">
      <c r="AI1048" s="131"/>
    </row>
    <row r="1049" spans="35:35">
      <c r="AI1049" s="284"/>
    </row>
    <row r="1050" spans="35:35">
      <c r="AI1050" s="128"/>
    </row>
    <row r="1051" spans="35:35">
      <c r="AI1051" s="131"/>
    </row>
    <row r="1052" spans="35:35">
      <c r="AI1052" s="131"/>
    </row>
    <row r="1053" spans="35:35">
      <c r="AI1053" s="131"/>
    </row>
    <row r="1054" spans="35:35">
      <c r="AI1054" s="131"/>
    </row>
    <row r="1055" spans="35:35">
      <c r="AI1055" s="131"/>
    </row>
    <row r="1056" spans="35:35">
      <c r="AI1056" s="131"/>
    </row>
    <row r="1057" spans="35:35">
      <c r="AI1057" s="131"/>
    </row>
    <row r="1058" spans="35:35">
      <c r="AI1058" s="131"/>
    </row>
    <row r="1059" spans="35:35">
      <c r="AI1059" s="131"/>
    </row>
    <row r="1060" spans="35:35">
      <c r="AI1060" s="131"/>
    </row>
    <row r="1061" spans="35:35">
      <c r="AI1061" s="131"/>
    </row>
    <row r="1062" spans="35:35">
      <c r="AI1062" s="131"/>
    </row>
    <row r="1063" spans="35:35">
      <c r="AI1063" s="131"/>
    </row>
    <row r="1064" spans="35:35">
      <c r="AI1064" s="284"/>
    </row>
    <row r="1066" spans="35:35">
      <c r="AI1066" s="131"/>
    </row>
    <row r="1067" spans="35:35">
      <c r="AI1067" s="131"/>
    </row>
    <row r="1068" spans="35:35">
      <c r="AI1068" s="131"/>
    </row>
    <row r="1069" spans="35:35">
      <c r="AI1069" s="131"/>
    </row>
    <row r="1070" spans="35:35">
      <c r="AI1070" s="131"/>
    </row>
    <row r="1071" spans="35:35">
      <c r="AI1071" s="131"/>
    </row>
    <row r="1072" spans="35:35">
      <c r="AI1072" s="131"/>
    </row>
    <row r="1073" spans="35:35">
      <c r="AI1073" s="131"/>
    </row>
    <row r="1074" spans="35:35">
      <c r="AI1074" s="131"/>
    </row>
    <row r="1075" spans="35:35">
      <c r="AI1075" s="131"/>
    </row>
    <row r="1076" spans="35:35">
      <c r="AI1076" s="131"/>
    </row>
    <row r="1077" spans="35:35">
      <c r="AI1077" s="131"/>
    </row>
    <row r="1078" spans="35:35">
      <c r="AI1078" s="131"/>
    </row>
    <row r="1079" spans="35:35">
      <c r="AI1079" s="131"/>
    </row>
    <row r="1081" spans="35:35">
      <c r="AI1081" s="131"/>
    </row>
    <row r="1082" spans="35:35">
      <c r="AI1082" s="128"/>
    </row>
    <row r="1083" spans="35:35">
      <c r="AI1083" s="131"/>
    </row>
    <row r="1084" spans="35:35">
      <c r="AI1084" s="131"/>
    </row>
    <row r="1085" spans="35:35">
      <c r="AI1085" s="131"/>
    </row>
    <row r="1086" spans="35:35">
      <c r="AI1086" s="131"/>
    </row>
    <row r="1087" spans="35:35">
      <c r="AI1087" s="131"/>
    </row>
    <row r="1088" spans="35:35">
      <c r="AI1088" s="131"/>
    </row>
    <row r="1090" spans="35:35">
      <c r="AI1090" s="131"/>
    </row>
    <row r="1091" spans="35:35">
      <c r="AI1091" s="131"/>
    </row>
    <row r="1092" spans="35:35">
      <c r="AI1092" s="131"/>
    </row>
    <row r="1093" spans="35:35">
      <c r="AI1093" s="131"/>
    </row>
    <row r="1094" spans="35:35">
      <c r="AI1094" s="131"/>
    </row>
    <row r="1095" spans="35:35">
      <c r="AI1095" s="131"/>
    </row>
    <row r="1096" spans="35:35">
      <c r="AI1096" s="131"/>
    </row>
    <row r="1097" spans="35:35">
      <c r="AI1097" s="131"/>
    </row>
    <row r="1098" spans="35:35">
      <c r="AI1098" s="131"/>
    </row>
    <row r="1099" spans="35:35">
      <c r="AI1099" s="128"/>
    </row>
    <row r="1100" spans="35:35">
      <c r="AI1100" s="131"/>
    </row>
    <row r="1101" spans="35:35">
      <c r="AI1101" s="131"/>
    </row>
    <row r="1102" spans="35:35">
      <c r="AI1102" s="131"/>
    </row>
    <row r="1104" spans="35:35">
      <c r="AI1104" s="131"/>
    </row>
    <row r="1105" spans="35:35">
      <c r="AI1105" s="131"/>
    </row>
    <row r="1106" spans="35:35">
      <c r="AI1106" s="284"/>
    </row>
    <row r="1107" spans="35:35">
      <c r="AI1107" s="131"/>
    </row>
    <row r="1108" spans="35:35">
      <c r="AI1108" s="284"/>
    </row>
    <row r="1109" spans="35:35">
      <c r="AI1109" s="131"/>
    </row>
    <row r="1110" spans="35:35">
      <c r="AI1110" s="131"/>
    </row>
    <row r="1111" spans="35:35">
      <c r="AI1111" s="131"/>
    </row>
    <row r="1112" spans="35:35">
      <c r="AI1112" s="284"/>
    </row>
    <row r="1113" spans="35:35">
      <c r="AI1113" s="284"/>
    </row>
    <row r="1114" spans="35:35">
      <c r="AI1114" s="131"/>
    </row>
    <row r="1115" spans="35:35">
      <c r="AI1115" s="131"/>
    </row>
    <row r="1116" spans="35:35">
      <c r="AI1116" s="131"/>
    </row>
    <row r="1117" spans="35:35">
      <c r="AI1117" s="131"/>
    </row>
    <row r="1118" spans="35:35">
      <c r="AI1118" s="284"/>
    </row>
    <row r="1119" spans="35:35">
      <c r="AI1119" s="131"/>
    </row>
    <row r="1120" spans="35:35">
      <c r="AI1120" s="284"/>
    </row>
    <row r="1121" spans="35:35">
      <c r="AI1121" s="131"/>
    </row>
    <row r="1122" spans="35:35">
      <c r="AI1122" s="284"/>
    </row>
    <row r="1123" spans="35:35">
      <c r="AI1123" s="131"/>
    </row>
    <row r="1124" spans="35:35">
      <c r="AI1124" s="131"/>
    </row>
    <row r="1125" spans="35:35">
      <c r="AI1125" s="131"/>
    </row>
    <row r="1126" spans="35:35">
      <c r="AI1126" s="131"/>
    </row>
    <row r="1127" spans="35:35">
      <c r="AI1127" s="131"/>
    </row>
    <row r="1128" spans="35:35">
      <c r="AI1128" s="131"/>
    </row>
    <row r="1129" spans="35:35">
      <c r="AI1129" s="131"/>
    </row>
    <row r="1130" spans="35:35">
      <c r="AI1130" s="131"/>
    </row>
    <row r="1131" spans="35:35">
      <c r="AI1131" s="131"/>
    </row>
    <row r="1132" spans="35:35">
      <c r="AI1132" s="131"/>
    </row>
    <row r="1133" spans="35:35">
      <c r="AI1133" s="131"/>
    </row>
    <row r="1134" spans="35:35">
      <c r="AI1134" s="131"/>
    </row>
    <row r="1135" spans="35:35">
      <c r="AI1135" s="131"/>
    </row>
    <row r="1136" spans="35:35">
      <c r="AI1136" s="131"/>
    </row>
    <row r="1137" spans="35:35">
      <c r="AI1137" s="131"/>
    </row>
    <row r="1138" spans="35:35">
      <c r="AI1138" s="131"/>
    </row>
    <row r="1139" spans="35:35">
      <c r="AI1139" s="284"/>
    </row>
    <row r="1140" spans="35:35">
      <c r="AI1140" s="131"/>
    </row>
    <row r="1141" spans="35:35">
      <c r="AI1141" s="131"/>
    </row>
    <row r="1142" spans="35:35">
      <c r="AI1142" s="131"/>
    </row>
    <row r="1143" spans="35:35">
      <c r="AI1143" s="131"/>
    </row>
    <row r="1144" spans="35:35">
      <c r="AI1144" s="131"/>
    </row>
    <row r="1145" spans="35:35">
      <c r="AI1145" s="131"/>
    </row>
    <row r="1146" spans="35:35">
      <c r="AI1146" s="131"/>
    </row>
    <row r="1147" spans="35:35">
      <c r="AI1147" s="284"/>
    </row>
    <row r="1148" spans="35:35">
      <c r="AI1148" s="131"/>
    </row>
    <row r="1149" spans="35:35">
      <c r="AI1149" s="131"/>
    </row>
    <row r="1150" spans="35:35">
      <c r="AI1150" s="131"/>
    </row>
    <row r="1151" spans="35:35">
      <c r="AI1151" s="131"/>
    </row>
    <row r="1152" spans="35:35">
      <c r="AI1152" s="131"/>
    </row>
    <row r="1153" spans="35:35">
      <c r="AI1153" s="131"/>
    </row>
    <row r="1154" spans="35:35">
      <c r="AI1154" s="131"/>
    </row>
    <row r="1155" spans="35:35">
      <c r="AI1155" s="131"/>
    </row>
    <row r="1156" spans="35:35">
      <c r="AI1156" s="131"/>
    </row>
    <row r="1157" spans="35:35">
      <c r="AI1157" s="131"/>
    </row>
    <row r="1158" spans="35:35">
      <c r="AI1158" s="128"/>
    </row>
    <row r="1159" spans="35:35">
      <c r="AI1159" s="131"/>
    </row>
    <row r="1160" spans="35:35">
      <c r="AI1160" s="131"/>
    </row>
    <row r="1161" spans="35:35">
      <c r="AI1161" s="284"/>
    </row>
    <row r="1162" spans="35:35">
      <c r="AI1162" s="131"/>
    </row>
    <row r="1163" spans="35:35">
      <c r="AI1163" s="131"/>
    </row>
    <row r="1164" spans="35:35">
      <c r="AI1164" s="131"/>
    </row>
    <row r="1165" spans="35:35">
      <c r="AI1165" s="131"/>
    </row>
    <row r="1166" spans="35:35">
      <c r="AI1166" s="131"/>
    </row>
    <row r="1167" spans="35:35">
      <c r="AI1167" s="131"/>
    </row>
    <row r="1168" spans="35:35">
      <c r="AI1168" s="131"/>
    </row>
    <row r="1169" spans="35:35">
      <c r="AI1169" s="284"/>
    </row>
    <row r="1170" spans="35:35">
      <c r="AI1170" s="284"/>
    </row>
    <row r="1171" spans="35:35">
      <c r="AI1171" s="131"/>
    </row>
    <row r="1172" spans="35:35">
      <c r="AI1172" s="284"/>
    </row>
    <row r="1173" spans="35:35">
      <c r="AI1173" s="131"/>
    </row>
    <row r="1174" spans="35:35">
      <c r="AI1174" s="131"/>
    </row>
    <row r="1175" spans="35:35">
      <c r="AI1175" s="131"/>
    </row>
    <row r="1176" spans="35:35">
      <c r="AI1176" s="131"/>
    </row>
    <row r="1177" spans="35:35">
      <c r="AI1177" s="131"/>
    </row>
    <row r="1178" spans="35:35">
      <c r="AI1178" s="131"/>
    </row>
    <row r="1179" spans="35:35">
      <c r="AI1179" s="131"/>
    </row>
    <row r="1180" spans="35:35">
      <c r="AI1180" s="284"/>
    </row>
    <row r="1181" spans="35:35">
      <c r="AI1181" s="131"/>
    </row>
    <row r="1182" spans="35:35">
      <c r="AI1182" s="131"/>
    </row>
    <row r="1183" spans="35:35">
      <c r="AI1183" s="131"/>
    </row>
    <row r="1184" spans="35:35">
      <c r="AI1184" s="131"/>
    </row>
    <row r="1185" spans="35:35">
      <c r="AI1185" s="131"/>
    </row>
    <row r="1186" spans="35:35">
      <c r="AI1186" s="131"/>
    </row>
    <row r="1187" spans="35:35">
      <c r="AI1187" s="131"/>
    </row>
    <row r="1188" spans="35:35">
      <c r="AI1188" s="131"/>
    </row>
    <row r="1189" spans="35:35">
      <c r="AI1189" s="131"/>
    </row>
    <row r="1190" spans="35:35">
      <c r="AI1190" s="131"/>
    </row>
    <row r="1191" spans="35:35">
      <c r="AI1191" s="131"/>
    </row>
    <row r="1192" spans="35:35">
      <c r="AI1192" s="132"/>
    </row>
    <row r="1193" spans="35:35">
      <c r="AI1193" s="131"/>
    </row>
    <row r="1194" spans="35:35">
      <c r="AI1194" s="131"/>
    </row>
    <row r="1195" spans="35:35">
      <c r="AI1195" s="131"/>
    </row>
    <row r="1196" spans="35:35">
      <c r="AI1196" s="131"/>
    </row>
    <row r="1197" spans="35:35">
      <c r="AI1197" s="131"/>
    </row>
    <row r="1198" spans="35:35">
      <c r="AI1198" s="131"/>
    </row>
    <row r="1199" spans="35:35">
      <c r="AI1199" s="131"/>
    </row>
    <row r="1200" spans="35:35">
      <c r="AI1200" s="284"/>
    </row>
    <row r="1201" spans="35:35">
      <c r="AI1201" s="131"/>
    </row>
    <row r="1202" spans="35:35">
      <c r="AI1202" s="131"/>
    </row>
    <row r="1203" spans="35:35">
      <c r="AI1203" s="131"/>
    </row>
    <row r="1204" spans="35:35">
      <c r="AI1204" s="131"/>
    </row>
    <row r="1205" spans="35:35">
      <c r="AI1205" s="131"/>
    </row>
    <row r="1206" spans="35:35">
      <c r="AI1206" s="131"/>
    </row>
    <row r="1207" spans="35:35">
      <c r="AI1207" s="131"/>
    </row>
    <row r="1208" spans="35:35">
      <c r="AI1208" s="131"/>
    </row>
    <row r="1209" spans="35:35">
      <c r="AI1209" s="131"/>
    </row>
    <row r="1210" spans="35:35">
      <c r="AI1210" s="131"/>
    </row>
    <row r="1211" spans="35:35">
      <c r="AI1211" s="131"/>
    </row>
    <row r="1212" spans="35:35">
      <c r="AI1212" s="131"/>
    </row>
    <row r="1213" spans="35:35">
      <c r="AI1213" s="131"/>
    </row>
    <row r="1214" spans="35:35">
      <c r="AI1214" s="131"/>
    </row>
    <row r="1215" spans="35:35">
      <c r="AI1215" s="284"/>
    </row>
    <row r="1216" spans="35:35">
      <c r="AI1216" s="284"/>
    </row>
    <row r="1217" spans="35:35">
      <c r="AI1217" s="131"/>
    </row>
    <row r="1218" spans="35:35">
      <c r="AI1218" s="131"/>
    </row>
    <row r="1219" spans="35:35">
      <c r="AI1219" s="131"/>
    </row>
    <row r="1220" spans="35:35">
      <c r="AI1220" s="131"/>
    </row>
    <row r="1221" spans="35:35">
      <c r="AI1221" s="131"/>
    </row>
    <row r="1222" spans="35:35">
      <c r="AI1222" s="131"/>
    </row>
    <row r="1223" spans="35:35">
      <c r="AI1223" s="131"/>
    </row>
    <row r="1224" spans="35:35">
      <c r="AI1224" s="131"/>
    </row>
    <row r="1225" spans="35:35">
      <c r="AI1225" s="131"/>
    </row>
    <row r="1226" spans="35:35">
      <c r="AI1226" s="284"/>
    </row>
    <row r="1227" spans="35:35">
      <c r="AI1227" s="131"/>
    </row>
    <row r="1228" spans="35:35">
      <c r="AI1228" s="131"/>
    </row>
    <row r="1229" spans="35:35">
      <c r="AI1229" s="131"/>
    </row>
    <row r="1230" spans="35:35">
      <c r="AI1230" s="131"/>
    </row>
    <row r="1231" spans="35:35">
      <c r="AI1231" s="131"/>
    </row>
    <row r="1232" spans="35:35">
      <c r="AI1232" s="131"/>
    </row>
    <row r="1233" spans="35:35">
      <c r="AI1233" s="128"/>
    </row>
    <row r="1234" spans="35:35">
      <c r="AI1234" s="131"/>
    </row>
    <row r="1236" spans="35:35">
      <c r="AI1236" s="131"/>
    </row>
    <row r="1237" spans="35:35">
      <c r="AI1237" s="284"/>
    </row>
    <row r="1238" spans="35:35">
      <c r="AI1238" s="131"/>
    </row>
    <row r="1239" spans="35:35">
      <c r="AI1239" s="131"/>
    </row>
    <row r="1240" spans="35:35">
      <c r="AI1240" s="131"/>
    </row>
    <row r="1241" spans="35:35">
      <c r="AI1241" s="131"/>
    </row>
    <row r="1242" spans="35:35">
      <c r="AI1242" s="131"/>
    </row>
    <row r="1243" spans="35:35">
      <c r="AI1243" s="131"/>
    </row>
    <row r="1244" spans="35:35">
      <c r="AI1244" s="131"/>
    </row>
    <row r="1245" spans="35:35">
      <c r="AI1245" s="131"/>
    </row>
    <row r="1246" spans="35:35">
      <c r="AI1246" s="131"/>
    </row>
    <row r="1247" spans="35:35">
      <c r="AI1247" s="131"/>
    </row>
    <row r="1248" spans="35:35">
      <c r="AI1248" s="131"/>
    </row>
    <row r="1249" spans="35:35">
      <c r="AI1249" s="131"/>
    </row>
    <row r="1250" spans="35:35">
      <c r="AI1250" s="131"/>
    </row>
    <row r="1251" spans="35:35">
      <c r="AI1251" s="131"/>
    </row>
    <row r="1252" spans="35:35">
      <c r="AI1252" s="131"/>
    </row>
    <row r="1253" spans="35:35">
      <c r="AI1253" s="131"/>
    </row>
    <row r="1254" spans="35:35">
      <c r="AI1254" s="131"/>
    </row>
    <row r="1255" spans="35:35">
      <c r="AI1255" s="131"/>
    </row>
    <row r="1256" spans="35:35">
      <c r="AI1256" s="131"/>
    </row>
    <row r="1257" spans="35:35">
      <c r="AI1257" s="131"/>
    </row>
    <row r="1258" spans="35:35">
      <c r="AI1258" s="131"/>
    </row>
    <row r="1259" spans="35:35">
      <c r="AI1259" s="131"/>
    </row>
    <row r="1260" spans="35:35">
      <c r="AI1260" s="131"/>
    </row>
    <row r="1262" spans="35:35">
      <c r="AI1262" s="131"/>
    </row>
    <row r="1263" spans="35:35">
      <c r="AI1263" s="131"/>
    </row>
    <row r="1264" spans="35:35">
      <c r="AI1264" s="131"/>
    </row>
    <row r="1265" spans="35:35">
      <c r="AI1265" s="131"/>
    </row>
    <row r="1266" spans="35:35">
      <c r="AI1266" s="131"/>
    </row>
    <row r="1267" spans="35:35">
      <c r="AI1267" s="131"/>
    </row>
    <row r="1268" spans="35:35">
      <c r="AI1268" s="131"/>
    </row>
    <row r="1269" spans="35:35">
      <c r="AI1269" s="131"/>
    </row>
    <row r="1270" spans="35:35">
      <c r="AI1270" s="52"/>
    </row>
    <row r="1271" spans="35:35">
      <c r="AI1271" s="131"/>
    </row>
    <row r="1272" spans="35:35">
      <c r="AI1272" s="131"/>
    </row>
    <row r="1273" spans="35:35">
      <c r="AI1273" s="131"/>
    </row>
    <row r="1274" spans="35:35">
      <c r="AI1274" s="131"/>
    </row>
    <row r="1275" spans="35:35">
      <c r="AI1275" s="131"/>
    </row>
    <row r="1276" spans="35:35">
      <c r="AI1276" s="131"/>
    </row>
    <row r="1277" spans="35:35">
      <c r="AI1277" s="131"/>
    </row>
    <row r="1278" spans="35:35">
      <c r="AI1278" s="131"/>
    </row>
    <row r="1279" spans="35:35">
      <c r="AI1279" s="131"/>
    </row>
    <row r="1280" spans="35:35">
      <c r="AI1280" s="131"/>
    </row>
    <row r="1281" spans="1:35">
      <c r="AI1281" s="284"/>
    </row>
    <row r="1282" spans="1:35">
      <c r="AI1282" s="27"/>
    </row>
    <row r="1283" spans="1:35">
      <c r="AI1283" s="284"/>
    </row>
    <row r="1284" spans="1:35">
      <c r="AI1284" s="131"/>
    </row>
    <row r="1285" spans="1:35">
      <c r="AI1285" s="131"/>
    </row>
    <row r="1286" spans="1:35">
      <c r="AI1286" s="131"/>
    </row>
    <row r="1287" spans="1:35">
      <c r="AI1287" s="131"/>
    </row>
    <row r="1288" spans="1:35">
      <c r="AI1288" s="131"/>
    </row>
    <row r="1289" spans="1:35">
      <c r="AI1289" s="131"/>
    </row>
    <row r="1290" spans="1:35">
      <c r="AI1290" s="131"/>
    </row>
    <row r="1291" spans="1:35" ht="26.4">
      <c r="A1291" s="284"/>
      <c r="B1291" s="284"/>
      <c r="C1291" s="284"/>
      <c r="D1291" s="284"/>
      <c r="E1291" s="284"/>
      <c r="F1291" s="284"/>
      <c r="H1291" s="284"/>
      <c r="I1291" s="284"/>
      <c r="J1291" s="375"/>
      <c r="K1291" s="375"/>
      <c r="L1291" s="375"/>
      <c r="M1291" s="368"/>
      <c r="N1291" s="368"/>
      <c r="T1291" s="340"/>
      <c r="V1291" s="378"/>
      <c r="W1291" s="64" ph="1"/>
      <c r="X1291" s="241"/>
      <c r="AA1291" s="284"/>
      <c r="AB1291" s="284"/>
      <c r="AC1291" s="284"/>
      <c r="AD1291" s="284"/>
      <c r="AE1291" s="284"/>
      <c r="AF1291" s="284"/>
      <c r="AG1291" s="8"/>
      <c r="AI1291" s="131"/>
    </row>
    <row r="1292" spans="1:35">
      <c r="A1292" s="284"/>
      <c r="Y1292" s="284"/>
      <c r="Z1292" s="207"/>
      <c r="AI1292" s="131"/>
    </row>
    <row r="1293" spans="1:35">
      <c r="O1293" s="370"/>
      <c r="AI1293" s="131"/>
    </row>
    <row r="1294" spans="1:35">
      <c r="AI1294" s="131"/>
    </row>
    <row r="1295" spans="1:35">
      <c r="AI1295" s="131"/>
    </row>
    <row r="1296" spans="1:35">
      <c r="AI1296" s="131"/>
    </row>
    <row r="1297" spans="1:35">
      <c r="AI1297" s="131"/>
    </row>
    <row r="1298" spans="1:35">
      <c r="A1298" s="284"/>
      <c r="G1298" s="284"/>
      <c r="AI1298" s="131"/>
    </row>
    <row r="1299" spans="1:35">
      <c r="AI1299" s="131"/>
    </row>
    <row r="1300" spans="1:35">
      <c r="AI1300" s="131"/>
    </row>
    <row r="1301" spans="1:35" ht="26.4">
      <c r="A1301" s="284"/>
      <c r="B1301" s="284"/>
      <c r="C1301" s="284"/>
      <c r="D1301" s="284"/>
      <c r="E1301" s="284"/>
      <c r="F1301" s="284"/>
      <c r="H1301" s="284"/>
      <c r="I1301" s="284"/>
      <c r="J1301" s="375"/>
      <c r="K1301" s="375"/>
      <c r="L1301" s="375"/>
      <c r="M1301" s="368"/>
      <c r="N1301" s="368"/>
      <c r="T1301" s="340"/>
      <c r="V1301" s="378"/>
      <c r="W1301" s="64" ph="1"/>
      <c r="X1301" s="241"/>
      <c r="AA1301" s="284"/>
      <c r="AB1301" s="284"/>
      <c r="AC1301" s="284"/>
      <c r="AD1301" s="284"/>
      <c r="AE1301" s="284"/>
      <c r="AF1301" s="284"/>
      <c r="AG1301" s="8"/>
      <c r="AI1301" s="131"/>
    </row>
    <row r="1302" spans="1:35">
      <c r="A1302" s="284"/>
      <c r="Y1302" s="284"/>
      <c r="Z1302" s="207"/>
      <c r="AI1302" s="131"/>
    </row>
    <row r="1303" spans="1:35">
      <c r="O1303" s="370"/>
      <c r="AI1303" s="131"/>
    </row>
    <row r="1304" spans="1:35">
      <c r="AI1304" s="131"/>
    </row>
    <row r="1305" spans="1:35" ht="26.4">
      <c r="A1305" s="284"/>
      <c r="B1305" s="284"/>
      <c r="C1305" s="284"/>
      <c r="D1305" s="284"/>
      <c r="E1305" s="284"/>
      <c r="F1305" s="284"/>
      <c r="H1305" s="284"/>
      <c r="I1305" s="284"/>
      <c r="J1305" s="375"/>
      <c r="K1305" s="375"/>
      <c r="L1305" s="375"/>
      <c r="M1305" s="368"/>
      <c r="N1305" s="368"/>
      <c r="T1305" s="340"/>
      <c r="V1305" s="378"/>
      <c r="W1305" s="64" ph="1"/>
      <c r="X1305" s="241"/>
      <c r="AA1305" s="284"/>
      <c r="AB1305" s="284"/>
      <c r="AC1305" s="284"/>
      <c r="AD1305" s="284"/>
      <c r="AE1305" s="284"/>
      <c r="AF1305" s="284"/>
      <c r="AG1305" s="8"/>
      <c r="AI1305" s="284"/>
    </row>
    <row r="1306" spans="1:35">
      <c r="A1306" s="284"/>
      <c r="Y1306" s="284"/>
      <c r="Z1306" s="207"/>
      <c r="AI1306" s="284"/>
    </row>
    <row r="1307" spans="1:35">
      <c r="O1307" s="370"/>
      <c r="AI1307" s="28"/>
    </row>
    <row r="1308" spans="1:35">
      <c r="A1308" s="284"/>
      <c r="G1308" s="284"/>
      <c r="AI1308" s="131"/>
    </row>
    <row r="1309" spans="1:35">
      <c r="AI1309" s="131"/>
    </row>
    <row r="1310" spans="1:35" ht="26.4">
      <c r="A1310" s="284"/>
      <c r="B1310" s="284"/>
      <c r="C1310" s="284"/>
      <c r="D1310" s="284"/>
      <c r="E1310" s="284"/>
      <c r="F1310" s="284"/>
      <c r="H1310" s="284"/>
      <c r="I1310" s="284"/>
      <c r="J1310" s="375"/>
      <c r="K1310" s="375"/>
      <c r="L1310" s="375"/>
      <c r="M1310" s="368"/>
      <c r="N1310" s="368"/>
      <c r="T1310" s="340"/>
      <c r="V1310" s="378"/>
      <c r="W1310" s="64" ph="1"/>
      <c r="X1310" s="241"/>
      <c r="AA1310" s="284"/>
      <c r="AB1310" s="284"/>
      <c r="AC1310" s="284"/>
      <c r="AD1310" s="284"/>
      <c r="AE1310" s="284"/>
      <c r="AF1310" s="284"/>
      <c r="AG1310" s="8"/>
      <c r="AI1310" s="131"/>
    </row>
    <row r="1311" spans="1:35" ht="26.4">
      <c r="A1311" s="284"/>
      <c r="B1311" s="284"/>
      <c r="C1311" s="284"/>
      <c r="D1311" s="284"/>
      <c r="E1311" s="284"/>
      <c r="F1311" s="284"/>
      <c r="H1311" s="284"/>
      <c r="I1311" s="284"/>
      <c r="J1311" s="375"/>
      <c r="K1311" s="375"/>
      <c r="L1311" s="375"/>
      <c r="M1311" s="368"/>
      <c r="N1311" s="368"/>
      <c r="T1311" s="340"/>
      <c r="V1311" s="378"/>
      <c r="W1311" s="64" ph="1"/>
      <c r="X1311" s="241"/>
      <c r="Y1311" s="284"/>
      <c r="Z1311" s="207"/>
      <c r="AA1311" s="284"/>
      <c r="AB1311" s="284"/>
      <c r="AC1311" s="284"/>
      <c r="AD1311" s="284"/>
      <c r="AE1311" s="284"/>
      <c r="AF1311" s="284"/>
      <c r="AG1311" s="8"/>
      <c r="AI1311" s="131"/>
    </row>
    <row r="1312" spans="1:35" ht="26.4">
      <c r="A1312" s="284"/>
      <c r="B1312" s="284"/>
      <c r="C1312" s="284"/>
      <c r="D1312" s="284"/>
      <c r="E1312" s="284"/>
      <c r="F1312" s="284"/>
      <c r="G1312" s="284"/>
      <c r="H1312" s="284"/>
      <c r="I1312" s="284"/>
      <c r="J1312" s="375"/>
      <c r="K1312" s="375"/>
      <c r="L1312" s="375"/>
      <c r="M1312" s="368"/>
      <c r="N1312" s="368"/>
      <c r="O1312" s="370"/>
      <c r="T1312" s="340"/>
      <c r="V1312" s="378"/>
      <c r="W1312" s="64" ph="1"/>
      <c r="X1312" s="241"/>
      <c r="Y1312" s="284"/>
      <c r="Z1312" s="207"/>
      <c r="AA1312" s="284"/>
      <c r="AB1312" s="284"/>
      <c r="AC1312" s="284"/>
      <c r="AD1312" s="284"/>
      <c r="AE1312" s="284"/>
      <c r="AF1312" s="284"/>
      <c r="AG1312" s="8"/>
      <c r="AI1312" s="131"/>
    </row>
    <row r="1313" spans="1:35">
      <c r="A1313" s="284"/>
      <c r="O1313" s="370"/>
      <c r="Y1313" s="284"/>
      <c r="Z1313" s="207"/>
      <c r="AI1313" s="131"/>
    </row>
    <row r="1314" spans="1:35" ht="26.4">
      <c r="A1314" s="284"/>
      <c r="B1314" s="284"/>
      <c r="C1314" s="284"/>
      <c r="D1314" s="284"/>
      <c r="E1314" s="284"/>
      <c r="F1314" s="284"/>
      <c r="H1314" s="284"/>
      <c r="I1314" s="284"/>
      <c r="J1314" s="375"/>
      <c r="K1314" s="375"/>
      <c r="L1314" s="375"/>
      <c r="M1314" s="368"/>
      <c r="N1314" s="368"/>
      <c r="O1314" s="370"/>
      <c r="T1314" s="340"/>
      <c r="V1314" s="378"/>
      <c r="W1314" s="64" ph="1"/>
      <c r="X1314" s="241"/>
      <c r="AA1314" s="284"/>
      <c r="AB1314" s="284"/>
      <c r="AC1314" s="284"/>
      <c r="AD1314" s="284"/>
      <c r="AE1314" s="284"/>
      <c r="AF1314" s="284"/>
      <c r="AG1314" s="8"/>
      <c r="AI1314" s="131"/>
    </row>
    <row r="1315" spans="1:35" ht="26.4">
      <c r="A1315" s="284"/>
      <c r="B1315" s="284"/>
      <c r="C1315" s="284"/>
      <c r="D1315" s="284"/>
      <c r="E1315" s="284"/>
      <c r="F1315" s="284"/>
      <c r="H1315" s="284"/>
      <c r="I1315" s="284"/>
      <c r="J1315" s="375"/>
      <c r="K1315" s="375"/>
      <c r="L1315" s="375"/>
      <c r="M1315" s="368"/>
      <c r="N1315" s="368"/>
      <c r="T1315" s="340"/>
      <c r="V1315" s="378"/>
      <c r="W1315" s="64" ph="1"/>
      <c r="X1315" s="241"/>
      <c r="Y1315" s="284"/>
      <c r="Z1315" s="207"/>
      <c r="AA1315" s="284"/>
      <c r="AB1315" s="284"/>
      <c r="AC1315" s="284"/>
      <c r="AD1315" s="284"/>
      <c r="AE1315" s="284"/>
      <c r="AF1315" s="284"/>
      <c r="AG1315" s="8"/>
      <c r="AI1315" s="131"/>
    </row>
    <row r="1316" spans="1:35">
      <c r="A1316" s="284"/>
      <c r="O1316" s="370"/>
      <c r="Y1316" s="284"/>
      <c r="Z1316" s="207"/>
      <c r="AI1316" s="131"/>
    </row>
    <row r="1317" spans="1:35" ht="26.4">
      <c r="A1317" s="284"/>
      <c r="B1317" s="284"/>
      <c r="C1317" s="284"/>
      <c r="D1317" s="284"/>
      <c r="E1317" s="284"/>
      <c r="F1317" s="284"/>
      <c r="G1317" s="284"/>
      <c r="H1317" s="284"/>
      <c r="I1317" s="284"/>
      <c r="J1317" s="375"/>
      <c r="K1317" s="375"/>
      <c r="L1317" s="375"/>
      <c r="M1317" s="368"/>
      <c r="N1317" s="368"/>
      <c r="O1317" s="370"/>
      <c r="T1317" s="340"/>
      <c r="V1317" s="378"/>
      <c r="W1317" s="64" ph="1"/>
      <c r="X1317" s="241"/>
      <c r="AA1317" s="284"/>
      <c r="AB1317" s="284"/>
      <c r="AC1317" s="284"/>
      <c r="AD1317" s="284"/>
      <c r="AE1317" s="284"/>
      <c r="AF1317" s="284"/>
      <c r="AG1317" s="8"/>
      <c r="AI1317" s="131"/>
    </row>
    <row r="1318" spans="1:35">
      <c r="A1318" s="284"/>
      <c r="G1318" s="284"/>
      <c r="Y1318" s="284"/>
      <c r="Z1318" s="207"/>
      <c r="AI1318" s="131"/>
    </row>
    <row r="1319" spans="1:35" ht="26.4">
      <c r="A1319" s="284"/>
      <c r="B1319" s="284"/>
      <c r="C1319" s="284"/>
      <c r="D1319" s="284"/>
      <c r="E1319" s="284"/>
      <c r="F1319" s="284"/>
      <c r="G1319" s="284"/>
      <c r="H1319" s="284"/>
      <c r="I1319" s="284"/>
      <c r="J1319" s="375"/>
      <c r="K1319" s="375"/>
      <c r="L1319" s="375"/>
      <c r="M1319" s="368"/>
      <c r="N1319" s="368"/>
      <c r="O1319" s="370"/>
      <c r="T1319" s="340"/>
      <c r="V1319" s="378"/>
      <c r="W1319" s="64" ph="1"/>
      <c r="X1319" s="241"/>
      <c r="AA1319" s="284"/>
      <c r="AB1319" s="284"/>
      <c r="AC1319" s="284"/>
      <c r="AD1319" s="284"/>
      <c r="AE1319" s="284"/>
      <c r="AF1319" s="284"/>
      <c r="AG1319" s="8"/>
      <c r="AI1319" s="131"/>
    </row>
    <row r="1320" spans="1:35" ht="26.4">
      <c r="A1320" s="284"/>
      <c r="B1320" s="284"/>
      <c r="C1320" s="284"/>
      <c r="D1320" s="284"/>
      <c r="E1320" s="284"/>
      <c r="F1320" s="284"/>
      <c r="H1320" s="284"/>
      <c r="I1320" s="284"/>
      <c r="J1320" s="375"/>
      <c r="K1320" s="375"/>
      <c r="L1320" s="375"/>
      <c r="M1320" s="368"/>
      <c r="N1320" s="368"/>
      <c r="T1320" s="340"/>
      <c r="V1320" s="378"/>
      <c r="W1320" s="64" ph="1"/>
      <c r="X1320" s="241"/>
      <c r="Y1320" s="284"/>
      <c r="Z1320" s="207"/>
      <c r="AA1320" s="284"/>
      <c r="AB1320" s="284"/>
      <c r="AC1320" s="284"/>
      <c r="AD1320" s="284"/>
      <c r="AE1320" s="284"/>
      <c r="AF1320" s="284"/>
      <c r="AG1320" s="8"/>
      <c r="AI1320" s="131"/>
    </row>
    <row r="1321" spans="1:35" ht="26.4">
      <c r="A1321" s="284"/>
      <c r="B1321" s="284"/>
      <c r="C1321" s="284"/>
      <c r="D1321" s="284"/>
      <c r="E1321" s="284"/>
      <c r="F1321" s="284"/>
      <c r="G1321" s="284"/>
      <c r="H1321" s="284"/>
      <c r="I1321" s="284"/>
      <c r="J1321" s="375"/>
      <c r="K1321" s="375"/>
      <c r="L1321" s="375"/>
      <c r="M1321" s="368"/>
      <c r="N1321" s="368"/>
      <c r="O1321" s="370"/>
      <c r="T1321" s="340"/>
      <c r="V1321" s="378"/>
      <c r="W1321" s="64" ph="1"/>
      <c r="X1321" s="241"/>
      <c r="Y1321" s="284"/>
      <c r="Z1321" s="207"/>
      <c r="AA1321" s="284"/>
      <c r="AB1321" s="284"/>
      <c r="AC1321" s="284"/>
      <c r="AD1321" s="284"/>
      <c r="AE1321" s="284"/>
      <c r="AF1321" s="284"/>
      <c r="AG1321" s="8"/>
      <c r="AI1321" s="284"/>
    </row>
    <row r="1322" spans="1:35" ht="26.4">
      <c r="A1322" s="284"/>
      <c r="B1322" s="284"/>
      <c r="C1322" s="284"/>
      <c r="D1322" s="284"/>
      <c r="E1322" s="284"/>
      <c r="F1322" s="284"/>
      <c r="G1322" s="284"/>
      <c r="H1322" s="284"/>
      <c r="I1322" s="284"/>
      <c r="J1322" s="375"/>
      <c r="K1322" s="375"/>
      <c r="L1322" s="375"/>
      <c r="M1322" s="368"/>
      <c r="N1322" s="368"/>
      <c r="O1322" s="370"/>
      <c r="T1322" s="340"/>
      <c r="V1322" s="378"/>
      <c r="W1322" s="64" ph="1"/>
      <c r="X1322" s="241"/>
      <c r="Y1322" s="284"/>
      <c r="Z1322" s="207"/>
      <c r="AA1322" s="284"/>
      <c r="AB1322" s="284"/>
      <c r="AC1322" s="284"/>
      <c r="AD1322" s="284"/>
      <c r="AE1322" s="284"/>
      <c r="AF1322" s="284"/>
      <c r="AG1322" s="8"/>
      <c r="AI1322" s="131"/>
    </row>
    <row r="1323" spans="1:35" ht="26.4">
      <c r="A1323" s="284"/>
      <c r="B1323" s="284"/>
      <c r="C1323" s="284"/>
      <c r="D1323" s="284"/>
      <c r="E1323" s="284"/>
      <c r="F1323" s="284"/>
      <c r="H1323" s="284"/>
      <c r="I1323" s="284"/>
      <c r="J1323" s="375"/>
      <c r="K1323" s="375"/>
      <c r="L1323" s="375"/>
      <c r="M1323" s="368"/>
      <c r="N1323" s="368"/>
      <c r="O1323" s="370"/>
      <c r="T1323" s="340"/>
      <c r="V1323" s="378"/>
      <c r="W1323" s="64" ph="1"/>
      <c r="X1323" s="241"/>
      <c r="Y1323" s="284"/>
      <c r="Z1323" s="207"/>
      <c r="AA1323" s="284"/>
      <c r="AB1323" s="284"/>
      <c r="AC1323" s="284"/>
      <c r="AD1323" s="284"/>
      <c r="AE1323" s="284"/>
      <c r="AF1323" s="284"/>
      <c r="AG1323" s="8"/>
      <c r="AI1323" s="131"/>
    </row>
    <row r="1324" spans="1:35" ht="26.4">
      <c r="A1324" s="284"/>
      <c r="B1324" s="284"/>
      <c r="C1324" s="284"/>
      <c r="D1324" s="284"/>
      <c r="E1324" s="284"/>
      <c r="F1324" s="284"/>
      <c r="G1324" s="284"/>
      <c r="H1324" s="284"/>
      <c r="I1324" s="284"/>
      <c r="J1324" s="375"/>
      <c r="K1324" s="375"/>
      <c r="L1324" s="375"/>
      <c r="M1324" s="368"/>
      <c r="N1324" s="368"/>
      <c r="O1324" s="370"/>
      <c r="T1324" s="340"/>
      <c r="V1324" s="378"/>
      <c r="W1324" s="64" ph="1"/>
      <c r="X1324" s="241"/>
      <c r="Y1324" s="284"/>
      <c r="Z1324" s="207"/>
      <c r="AA1324" s="284"/>
      <c r="AB1324" s="284"/>
      <c r="AC1324" s="284"/>
      <c r="AD1324" s="284"/>
      <c r="AE1324" s="284"/>
      <c r="AF1324" s="284"/>
      <c r="AG1324" s="8"/>
      <c r="AI1324" s="131"/>
    </row>
    <row r="1325" spans="1:35" ht="26.4">
      <c r="A1325" s="284"/>
      <c r="B1325" s="284"/>
      <c r="C1325" s="284"/>
      <c r="D1325" s="284"/>
      <c r="E1325" s="284"/>
      <c r="F1325" s="284"/>
      <c r="H1325" s="284"/>
      <c r="I1325" s="284"/>
      <c r="J1325" s="375"/>
      <c r="K1325" s="375"/>
      <c r="L1325" s="375"/>
      <c r="M1325" s="368"/>
      <c r="N1325" s="368"/>
      <c r="O1325" s="370"/>
      <c r="T1325" s="340"/>
      <c r="V1325" s="378"/>
      <c r="W1325" s="64" ph="1"/>
      <c r="X1325" s="241"/>
      <c r="Y1325" s="284"/>
      <c r="Z1325" s="207"/>
      <c r="AA1325" s="284"/>
      <c r="AB1325" s="284"/>
      <c r="AC1325" s="284"/>
      <c r="AD1325" s="284"/>
      <c r="AE1325" s="284"/>
      <c r="AF1325" s="284"/>
      <c r="AG1325" s="8"/>
      <c r="AI1325" s="131"/>
    </row>
    <row r="1326" spans="1:35" ht="26.4">
      <c r="A1326" s="284"/>
      <c r="B1326" s="284"/>
      <c r="C1326" s="284"/>
      <c r="D1326" s="284"/>
      <c r="E1326" s="284"/>
      <c r="F1326" s="284"/>
      <c r="G1326" s="284"/>
      <c r="H1326" s="284"/>
      <c r="I1326" s="284"/>
      <c r="J1326" s="375"/>
      <c r="K1326" s="375"/>
      <c r="L1326" s="375"/>
      <c r="M1326" s="368"/>
      <c r="N1326" s="368"/>
      <c r="O1326" s="370"/>
      <c r="T1326" s="340"/>
      <c r="V1326" s="378"/>
      <c r="W1326" s="64" ph="1"/>
      <c r="X1326" s="241"/>
      <c r="Y1326" s="284"/>
      <c r="Z1326" s="207"/>
      <c r="AA1326" s="284"/>
      <c r="AB1326" s="284"/>
      <c r="AC1326" s="284"/>
      <c r="AD1326" s="284"/>
      <c r="AE1326" s="284"/>
      <c r="AF1326" s="284"/>
      <c r="AG1326" s="8"/>
      <c r="AI1326" s="131"/>
    </row>
    <row r="1327" spans="1:35" ht="26.4">
      <c r="A1327" s="284"/>
      <c r="G1327" s="284"/>
      <c r="O1327" s="370"/>
      <c r="W1327" s="64" ph="1"/>
      <c r="Y1327" s="284"/>
      <c r="Z1327" s="207"/>
      <c r="AI1327" s="131"/>
    </row>
    <row r="1328" spans="1:35" ht="26.4">
      <c r="A1328" s="284"/>
      <c r="G1328" s="284"/>
      <c r="O1328" s="370"/>
      <c r="W1328" s="64" ph="1"/>
      <c r="AI1328" s="131"/>
    </row>
    <row r="1329" spans="1:35">
      <c r="A1329" s="284"/>
      <c r="G1329" s="284"/>
      <c r="AI1329" s="131"/>
    </row>
    <row r="1330" spans="1:35" ht="26.4">
      <c r="A1330" s="284"/>
      <c r="G1330" s="284"/>
      <c r="W1330" s="64" ph="1"/>
      <c r="AI1330" s="131"/>
    </row>
    <row r="1331" spans="1:35" ht="26.4">
      <c r="A1331" s="284"/>
      <c r="G1331" s="284"/>
      <c r="W1331" s="64" ph="1"/>
      <c r="AI1331" s="131"/>
    </row>
    <row r="1332" spans="1:35" ht="26.4">
      <c r="A1332" s="284"/>
      <c r="G1332" s="284"/>
      <c r="W1332" s="64" ph="1"/>
      <c r="AI1332" s="131"/>
    </row>
    <row r="1333" spans="1:35" ht="26.4">
      <c r="A1333" s="284"/>
      <c r="G1333" s="284"/>
      <c r="W1333" s="64" ph="1"/>
      <c r="AI1333" s="28"/>
    </row>
    <row r="1334" spans="1:35" ht="26.4">
      <c r="A1334" s="284"/>
      <c r="W1334" s="64" ph="1"/>
      <c r="AI1334" s="131"/>
    </row>
    <row r="1335" spans="1:35" ht="26.4">
      <c r="A1335" s="284"/>
      <c r="B1335" s="284"/>
      <c r="C1335" s="284"/>
      <c r="D1335" s="284"/>
      <c r="E1335" s="284"/>
      <c r="F1335" s="284"/>
      <c r="G1335" s="284"/>
      <c r="H1335" s="284"/>
      <c r="I1335" s="284"/>
      <c r="J1335" s="375"/>
      <c r="K1335" s="375"/>
      <c r="L1335" s="375"/>
      <c r="M1335" s="368"/>
      <c r="N1335" s="368"/>
      <c r="T1335" s="340"/>
      <c r="V1335" s="378"/>
      <c r="W1335" s="64" ph="1"/>
      <c r="X1335" s="241"/>
      <c r="Y1335" s="284"/>
      <c r="Z1335" s="207"/>
      <c r="AA1335" s="284"/>
      <c r="AB1335" s="284"/>
      <c r="AC1335" s="284"/>
      <c r="AD1335" s="284"/>
      <c r="AE1335" s="284"/>
      <c r="AF1335" s="284"/>
      <c r="AG1335" s="284"/>
      <c r="AI1335" s="131"/>
    </row>
    <row r="1336" spans="1:35" ht="26.4">
      <c r="A1336" s="284"/>
      <c r="B1336" s="284"/>
      <c r="C1336" s="284"/>
      <c r="D1336" s="284"/>
      <c r="E1336" s="284"/>
      <c r="F1336" s="284"/>
      <c r="G1336" s="284"/>
      <c r="H1336" s="284"/>
      <c r="I1336" s="284"/>
      <c r="J1336" s="375"/>
      <c r="K1336" s="375"/>
      <c r="L1336" s="375"/>
      <c r="M1336" s="368"/>
      <c r="N1336" s="368"/>
      <c r="T1336" s="340"/>
      <c r="V1336" s="378"/>
      <c r="W1336" s="64" ph="1"/>
      <c r="X1336" s="241"/>
      <c r="Y1336" s="284"/>
      <c r="Z1336" s="207"/>
      <c r="AA1336" s="284"/>
      <c r="AB1336" s="284"/>
      <c r="AC1336" s="284"/>
      <c r="AD1336" s="284"/>
      <c r="AE1336" s="284"/>
      <c r="AF1336" s="284"/>
      <c r="AG1336" s="284"/>
      <c r="AI1336" s="131"/>
    </row>
    <row r="1337" spans="1:35" ht="26.4">
      <c r="A1337" s="284"/>
      <c r="B1337" s="284"/>
      <c r="C1337" s="284"/>
      <c r="D1337" s="284"/>
      <c r="E1337" s="284"/>
      <c r="F1337" s="284"/>
      <c r="G1337" s="284"/>
      <c r="H1337" s="284"/>
      <c r="I1337" s="284"/>
      <c r="J1337" s="375"/>
      <c r="K1337" s="375"/>
      <c r="L1337" s="375"/>
      <c r="M1337" s="368"/>
      <c r="N1337" s="368"/>
      <c r="O1337" s="370"/>
      <c r="T1337" s="340"/>
      <c r="V1337" s="378"/>
      <c r="W1337" s="64" ph="1"/>
      <c r="X1337" s="241"/>
      <c r="Y1337" s="284"/>
      <c r="Z1337" s="207"/>
      <c r="AA1337" s="284"/>
      <c r="AB1337" s="284"/>
      <c r="AC1337" s="284"/>
      <c r="AD1337" s="284"/>
      <c r="AE1337" s="284"/>
      <c r="AF1337" s="284"/>
      <c r="AG1337" s="284"/>
      <c r="AI1337" s="131"/>
    </row>
    <row r="1338" spans="1:35">
      <c r="O1338" s="370"/>
      <c r="AI1338" s="131"/>
    </row>
    <row r="1339" spans="1:35" ht="26.4">
      <c r="A1339" s="284"/>
      <c r="B1339" s="284"/>
      <c r="C1339" s="284"/>
      <c r="D1339" s="284"/>
      <c r="E1339" s="284"/>
      <c r="F1339" s="284"/>
      <c r="G1339" s="284"/>
      <c r="H1339" s="284"/>
      <c r="I1339" s="284"/>
      <c r="J1339" s="375"/>
      <c r="K1339" s="375"/>
      <c r="L1339" s="375"/>
      <c r="M1339" s="368"/>
      <c r="N1339" s="368"/>
      <c r="O1339" s="370"/>
      <c r="T1339" s="340"/>
      <c r="V1339" s="378"/>
      <c r="W1339" s="64" ph="1"/>
      <c r="X1339" s="241"/>
      <c r="Y1339" s="284"/>
      <c r="Z1339" s="207"/>
      <c r="AA1339" s="284"/>
      <c r="AB1339" s="284"/>
      <c r="AC1339" s="284"/>
      <c r="AD1339" s="284"/>
      <c r="AE1339" s="284"/>
      <c r="AF1339" s="284"/>
      <c r="AG1339" s="284"/>
      <c r="AI1339" s="131"/>
    </row>
    <row r="1340" spans="1:35" ht="26.4">
      <c r="A1340" s="284"/>
      <c r="B1340" s="284"/>
      <c r="C1340" s="284"/>
      <c r="D1340" s="284"/>
      <c r="E1340" s="284"/>
      <c r="F1340" s="284"/>
      <c r="G1340" s="284"/>
      <c r="H1340" s="284"/>
      <c r="I1340" s="284"/>
      <c r="J1340" s="375"/>
      <c r="K1340" s="375"/>
      <c r="L1340" s="375"/>
      <c r="M1340" s="368"/>
      <c r="N1340" s="368"/>
      <c r="T1340" s="340"/>
      <c r="V1340" s="378"/>
      <c r="W1340" s="64" ph="1"/>
      <c r="X1340" s="241"/>
      <c r="Y1340" s="284"/>
      <c r="Z1340" s="207"/>
      <c r="AA1340" s="284"/>
      <c r="AB1340" s="284"/>
      <c r="AC1340" s="284"/>
      <c r="AD1340" s="284"/>
      <c r="AE1340" s="284"/>
      <c r="AF1340" s="284"/>
      <c r="AG1340" s="284"/>
      <c r="AI1340" s="128"/>
    </row>
    <row r="1341" spans="1:35" ht="26.4">
      <c r="A1341" s="284"/>
      <c r="B1341" s="284"/>
      <c r="C1341" s="284"/>
      <c r="D1341" s="284"/>
      <c r="E1341" s="284"/>
      <c r="F1341" s="284"/>
      <c r="G1341" s="284"/>
      <c r="H1341" s="284"/>
      <c r="I1341" s="284"/>
      <c r="J1341" s="375"/>
      <c r="K1341" s="375"/>
      <c r="L1341" s="375"/>
      <c r="M1341" s="368"/>
      <c r="N1341" s="368"/>
      <c r="O1341" s="370"/>
      <c r="T1341" s="340"/>
      <c r="V1341" s="378"/>
      <c r="W1341" s="64" ph="1"/>
      <c r="X1341" s="241"/>
      <c r="Y1341" s="284"/>
      <c r="Z1341" s="207"/>
      <c r="AA1341" s="284"/>
      <c r="AB1341" s="284"/>
      <c r="AC1341" s="284"/>
      <c r="AD1341" s="284"/>
      <c r="AE1341" s="284"/>
      <c r="AF1341" s="284"/>
      <c r="AG1341" s="284"/>
      <c r="AI1341" s="131"/>
    </row>
    <row r="1342" spans="1:35" ht="26.4">
      <c r="A1342" s="284"/>
      <c r="B1342" s="284"/>
      <c r="C1342" s="284"/>
      <c r="D1342" s="284"/>
      <c r="E1342" s="284"/>
      <c r="F1342" s="284"/>
      <c r="G1342" s="284"/>
      <c r="H1342" s="284"/>
      <c r="I1342" s="284"/>
      <c r="J1342" s="375"/>
      <c r="K1342" s="375"/>
      <c r="L1342" s="375"/>
      <c r="M1342" s="368"/>
      <c r="N1342" s="368"/>
      <c r="O1342" s="370"/>
      <c r="T1342" s="340"/>
      <c r="V1342" s="378"/>
      <c r="W1342" s="64" ph="1"/>
      <c r="X1342" s="241"/>
      <c r="Y1342" s="284"/>
      <c r="Z1342" s="207"/>
      <c r="AA1342" s="284"/>
      <c r="AB1342" s="284"/>
      <c r="AC1342" s="284"/>
      <c r="AD1342" s="284"/>
      <c r="AE1342" s="284"/>
      <c r="AF1342" s="284"/>
      <c r="AG1342" s="284"/>
      <c r="AI1342" s="131"/>
    </row>
    <row r="1343" spans="1:35">
      <c r="O1343" s="370"/>
      <c r="AI1343" s="131"/>
    </row>
    <row r="1344" spans="1:35">
      <c r="O1344" s="370"/>
      <c r="AI1344" s="131"/>
    </row>
    <row r="1345" spans="35:35">
      <c r="AI1345" s="131"/>
    </row>
    <row r="1346" spans="35:35">
      <c r="AI1346" s="131"/>
    </row>
    <row r="1347" spans="35:35">
      <c r="AI1347" s="131"/>
    </row>
    <row r="1348" spans="35:35">
      <c r="AI1348" s="131"/>
    </row>
    <row r="1349" spans="35:35">
      <c r="AI1349" s="131"/>
    </row>
    <row r="1350" spans="35:35">
      <c r="AI1350" s="131"/>
    </row>
    <row r="1351" spans="35:35">
      <c r="AI1351" s="131"/>
    </row>
    <row r="1352" spans="35:35">
      <c r="AI1352" s="131"/>
    </row>
    <row r="1353" spans="35:35">
      <c r="AI1353" s="131"/>
    </row>
    <row r="1354" spans="35:35">
      <c r="AI1354" s="131"/>
    </row>
    <row r="1355" spans="35:35">
      <c r="AI1355" s="131"/>
    </row>
    <row r="1356" spans="35:35">
      <c r="AI1356" s="131"/>
    </row>
    <row r="1357" spans="35:35">
      <c r="AI1357" s="131"/>
    </row>
    <row r="1358" spans="35:35">
      <c r="AI1358" s="131"/>
    </row>
    <row r="1359" spans="35:35">
      <c r="AI1359" s="131"/>
    </row>
    <row r="1360" spans="35:35">
      <c r="AI1360" s="131"/>
    </row>
    <row r="1361" spans="35:35">
      <c r="AI1361" s="131"/>
    </row>
    <row r="1362" spans="35:35">
      <c r="AI1362" s="131"/>
    </row>
    <row r="1363" spans="35:35">
      <c r="AI1363" s="131"/>
    </row>
    <row r="1364" spans="35:35">
      <c r="AI1364" s="131"/>
    </row>
    <row r="1365" spans="35:35">
      <c r="AI1365" s="131"/>
    </row>
    <row r="1366" spans="35:35">
      <c r="AI1366" s="131"/>
    </row>
    <row r="1367" spans="35:35">
      <c r="AI1367" s="131"/>
    </row>
    <row r="1368" spans="35:35">
      <c r="AI1368" s="131"/>
    </row>
    <row r="1369" spans="35:35">
      <c r="AI1369" s="131"/>
    </row>
    <row r="1370" spans="35:35">
      <c r="AI1370" s="131"/>
    </row>
    <row r="1371" spans="35:35">
      <c r="AI1371" s="131"/>
    </row>
    <row r="1372" spans="35:35">
      <c r="AI1372" s="131"/>
    </row>
    <row r="1373" spans="35:35">
      <c r="AI1373" s="131"/>
    </row>
    <row r="1374" spans="35:35">
      <c r="AI1374" s="131"/>
    </row>
    <row r="1375" spans="35:35">
      <c r="AI1375" s="131"/>
    </row>
    <row r="1376" spans="35:35">
      <c r="AI1376" s="131"/>
    </row>
    <row r="1377" spans="35:35">
      <c r="AI1377" s="131"/>
    </row>
    <row r="1378" spans="35:35">
      <c r="AI1378" s="131"/>
    </row>
    <row r="1379" spans="35:35">
      <c r="AI1379" s="131"/>
    </row>
    <row r="1380" spans="35:35">
      <c r="AI1380" s="284"/>
    </row>
    <row r="1381" spans="35:35">
      <c r="AI1381" s="131"/>
    </row>
    <row r="1382" spans="35:35">
      <c r="AI1382" s="131"/>
    </row>
    <row r="1383" spans="35:35">
      <c r="AI1383" s="131"/>
    </row>
    <row r="1384" spans="35:35">
      <c r="AI1384" s="131"/>
    </row>
    <row r="1385" spans="35:35">
      <c r="AI1385" s="286"/>
    </row>
    <row r="1386" spans="35:35">
      <c r="AI1386" s="131"/>
    </row>
    <row r="1387" spans="35:35">
      <c r="AI1387" s="131"/>
    </row>
    <row r="1388" spans="35:35">
      <c r="AI1388" s="131"/>
    </row>
    <row r="1389" spans="35:35">
      <c r="AI1389" s="131"/>
    </row>
    <row r="1390" spans="35:35">
      <c r="AI1390" s="131"/>
    </row>
    <row r="1391" spans="35:35">
      <c r="AI1391" s="131"/>
    </row>
    <row r="1392" spans="35:35">
      <c r="AI1392" s="236"/>
    </row>
    <row r="1393" spans="35:35">
      <c r="AI1393" s="131"/>
    </row>
    <row r="1394" spans="35:35">
      <c r="AI1394" s="131"/>
    </row>
    <row r="1395" spans="35:35">
      <c r="AI1395" s="131"/>
    </row>
    <row r="1396" spans="35:35">
      <c r="AI1396" s="131"/>
    </row>
    <row r="1397" spans="35:35">
      <c r="AI1397" s="131"/>
    </row>
    <row r="1398" spans="35:35">
      <c r="AI1398" s="131"/>
    </row>
    <row r="1399" spans="35:35">
      <c r="AI1399" s="131"/>
    </row>
    <row r="1400" spans="35:35">
      <c r="AI1400" s="131"/>
    </row>
    <row r="1401" spans="35:35">
      <c r="AI1401" s="131"/>
    </row>
    <row r="1402" spans="35:35">
      <c r="AI1402" s="131"/>
    </row>
    <row r="1403" spans="35:35">
      <c r="AI1403" s="284"/>
    </row>
    <row r="1404" spans="35:35">
      <c r="AI1404" s="131"/>
    </row>
    <row r="1405" spans="35:35">
      <c r="AI1405" s="131"/>
    </row>
    <row r="1406" spans="35:35">
      <c r="AI1406" s="131"/>
    </row>
    <row r="1407" spans="35:35">
      <c r="AI1407" s="131"/>
    </row>
    <row r="1408" spans="35:35">
      <c r="AI1408" s="131"/>
    </row>
    <row r="1409" spans="35:35">
      <c r="AI1409" s="131"/>
    </row>
    <row r="1410" spans="35:35">
      <c r="AI1410" s="131"/>
    </row>
    <row r="1411" spans="35:35">
      <c r="AI1411" s="131"/>
    </row>
    <row r="1412" spans="35:35">
      <c r="AI1412" s="131"/>
    </row>
    <row r="1413" spans="35:35">
      <c r="AI1413" s="131"/>
    </row>
    <row r="1414" spans="35:35">
      <c r="AI1414" s="131"/>
    </row>
    <row r="1415" spans="35:35">
      <c r="AI1415" s="284"/>
    </row>
    <row r="1416" spans="35:35">
      <c r="AI1416" s="131"/>
    </row>
    <row r="1417" spans="35:35">
      <c r="AI1417" s="28"/>
    </row>
    <row r="1418" spans="35:35">
      <c r="AI1418" s="284"/>
    </row>
    <row r="1419" spans="35:35">
      <c r="AI1419" s="131"/>
    </row>
    <row r="1420" spans="35:35">
      <c r="AI1420" s="131"/>
    </row>
    <row r="1421" spans="35:35">
      <c r="AI1421" s="131"/>
    </row>
    <row r="1422" spans="35:35">
      <c r="AI1422" s="131"/>
    </row>
    <row r="1423" spans="35:35">
      <c r="AI1423" s="284"/>
    </row>
    <row r="1424" spans="35:35">
      <c r="AI1424" s="131"/>
    </row>
    <row r="1425" spans="35:35">
      <c r="AI1425" s="131"/>
    </row>
    <row r="1426" spans="35:35">
      <c r="AI1426" s="131"/>
    </row>
    <row r="1427" spans="35:35">
      <c r="AI1427" s="131"/>
    </row>
    <row r="1428" spans="35:35">
      <c r="AI1428" s="131"/>
    </row>
    <row r="1429" spans="35:35">
      <c r="AI1429" s="131"/>
    </row>
    <row r="1430" spans="35:35">
      <c r="AI1430" s="131"/>
    </row>
    <row r="1431" spans="35:35">
      <c r="AI1431" s="131"/>
    </row>
    <row r="1432" spans="35:35">
      <c r="AI1432" s="131"/>
    </row>
    <row r="1433" spans="35:35">
      <c r="AI1433" s="131"/>
    </row>
    <row r="1434" spans="35:35">
      <c r="AI1434" s="131"/>
    </row>
    <row r="1435" spans="35:35">
      <c r="AI1435" s="131"/>
    </row>
    <row r="1436" spans="35:35">
      <c r="AI1436" s="131"/>
    </row>
    <row r="1437" spans="35:35">
      <c r="AI1437" s="131"/>
    </row>
    <row r="1438" spans="35:35">
      <c r="AI1438" s="131"/>
    </row>
    <row r="1439" spans="35:35">
      <c r="AI1439" s="131"/>
    </row>
    <row r="1440" spans="35:35">
      <c r="AI1440" s="131"/>
    </row>
    <row r="1441" spans="35:35">
      <c r="AI1441" s="131"/>
    </row>
    <row r="1442" spans="35:35">
      <c r="AI1442" s="131"/>
    </row>
    <row r="1443" spans="35:35">
      <c r="AI1443" s="284"/>
    </row>
    <row r="1444" spans="35:35">
      <c r="AI1444" s="131"/>
    </row>
    <row r="1445" spans="35:35">
      <c r="AI1445" s="131"/>
    </row>
    <row r="1446" spans="35:35">
      <c r="AI1446" s="131"/>
    </row>
    <row r="1447" spans="35:35">
      <c r="AI1447" s="131"/>
    </row>
    <row r="1448" spans="35:35">
      <c r="AI1448" s="131"/>
    </row>
    <row r="1449" spans="35:35">
      <c r="AI1449" s="131"/>
    </row>
    <row r="1450" spans="35:35">
      <c r="AI1450" s="131"/>
    </row>
    <row r="1451" spans="35:35">
      <c r="AI1451" s="131"/>
    </row>
    <row r="1452" spans="35:35">
      <c r="AI1452" s="131"/>
    </row>
    <row r="1453" spans="35:35">
      <c r="AI1453" s="131"/>
    </row>
    <row r="1454" spans="35:35">
      <c r="AI1454" s="131"/>
    </row>
    <row r="1455" spans="35:35">
      <c r="AI1455" s="131"/>
    </row>
    <row r="1456" spans="35:35">
      <c r="AI1456" s="131"/>
    </row>
    <row r="1457" spans="1:35">
      <c r="AI1457" s="131"/>
    </row>
    <row r="1458" spans="1:35">
      <c r="AI1458" s="131"/>
    </row>
    <row r="1459" spans="1:35">
      <c r="AI1459" s="131"/>
    </row>
    <row r="1460" spans="1:35">
      <c r="AI1460" s="131"/>
    </row>
    <row r="1461" spans="1:35">
      <c r="AI1461" s="131"/>
    </row>
    <row r="1462" spans="1:35">
      <c r="AI1462" s="131"/>
    </row>
    <row r="1463" spans="1:35">
      <c r="AI1463" s="131"/>
    </row>
    <row r="1464" spans="1:35">
      <c r="AI1464" s="131"/>
    </row>
    <row r="1465" spans="1:35">
      <c r="AI1465" s="131"/>
    </row>
    <row r="1466" spans="1:35">
      <c r="AI1466" s="131"/>
    </row>
    <row r="1467" spans="1:35">
      <c r="AI1467" s="131"/>
    </row>
    <row r="1468" spans="1:35" ht="26.4">
      <c r="A1468" s="284"/>
      <c r="B1468" s="284"/>
      <c r="C1468" s="284"/>
      <c r="D1468" s="284"/>
      <c r="E1468" s="284"/>
      <c r="F1468" s="284"/>
      <c r="G1468" s="284"/>
      <c r="H1468" s="284"/>
      <c r="I1468" s="284"/>
      <c r="J1468" s="375"/>
      <c r="K1468" s="375"/>
      <c r="L1468" s="375"/>
      <c r="M1468" s="368"/>
      <c r="N1468" s="368"/>
      <c r="T1468" s="340"/>
      <c r="V1468" s="378"/>
      <c r="W1468" s="64" ph="1"/>
      <c r="X1468" s="241"/>
      <c r="Y1468" s="284"/>
      <c r="Z1468" s="207"/>
      <c r="AA1468" s="284"/>
      <c r="AB1468" s="284"/>
      <c r="AC1468" s="284"/>
      <c r="AD1468" s="284"/>
      <c r="AE1468" s="284"/>
      <c r="AF1468" s="284"/>
      <c r="AG1468" s="284"/>
      <c r="AI1468" s="131"/>
    </row>
    <row r="1469" spans="1:35">
      <c r="AI1469" s="131"/>
    </row>
    <row r="1470" spans="1:35">
      <c r="O1470" s="370"/>
      <c r="AI1470" s="131"/>
    </row>
    <row r="1471" spans="1:35">
      <c r="AI1471" s="131"/>
    </row>
    <row r="1472" spans="1:35">
      <c r="AI1472" s="131"/>
    </row>
    <row r="1473" spans="1:35">
      <c r="AI1473" s="131"/>
    </row>
    <row r="1474" spans="1:35">
      <c r="AI1474" s="131"/>
    </row>
    <row r="1475" spans="1:35">
      <c r="AI1475" s="131"/>
    </row>
    <row r="1476" spans="1:35">
      <c r="AI1476" s="131"/>
    </row>
    <row r="1477" spans="1:35">
      <c r="AI1477" s="131"/>
    </row>
    <row r="1478" spans="1:35" ht="26.4">
      <c r="A1478" s="284"/>
      <c r="B1478" s="284"/>
      <c r="C1478" s="284"/>
      <c r="D1478" s="284"/>
      <c r="E1478" s="284"/>
      <c r="F1478" s="284"/>
      <c r="G1478" s="284"/>
      <c r="H1478" s="284"/>
      <c r="I1478" s="284"/>
      <c r="J1478" s="375"/>
      <c r="K1478" s="375"/>
      <c r="L1478" s="375"/>
      <c r="M1478" s="368"/>
      <c r="N1478" s="368"/>
      <c r="T1478" s="340"/>
      <c r="V1478" s="378"/>
      <c r="W1478" s="64" ph="1"/>
      <c r="X1478" s="241"/>
      <c r="Y1478" s="284"/>
      <c r="Z1478" s="207"/>
      <c r="AA1478" s="284"/>
      <c r="AB1478" s="284"/>
      <c r="AC1478" s="284"/>
      <c r="AD1478" s="284"/>
      <c r="AE1478" s="284"/>
      <c r="AF1478" s="284"/>
      <c r="AG1478" s="284"/>
      <c r="AI1478" s="131"/>
    </row>
    <row r="1479" spans="1:35">
      <c r="AI1479" s="131"/>
    </row>
    <row r="1480" spans="1:35">
      <c r="O1480" s="370"/>
      <c r="AI1480" s="131"/>
    </row>
    <row r="1481" spans="1:35">
      <c r="AI1481" s="131"/>
    </row>
    <row r="1482" spans="1:35" ht="26.4">
      <c r="A1482" s="284"/>
      <c r="B1482" s="284"/>
      <c r="C1482" s="284"/>
      <c r="D1482" s="284"/>
      <c r="E1482" s="284"/>
      <c r="F1482" s="284"/>
      <c r="G1482" s="284"/>
      <c r="H1482" s="284"/>
      <c r="I1482" s="284"/>
      <c r="J1482" s="375"/>
      <c r="K1482" s="375"/>
      <c r="L1482" s="375"/>
      <c r="M1482" s="368"/>
      <c r="N1482" s="368"/>
      <c r="T1482" s="340"/>
      <c r="V1482" s="378"/>
      <c r="W1482" s="64" ph="1"/>
      <c r="X1482" s="241"/>
      <c r="Y1482" s="284"/>
      <c r="Z1482" s="207"/>
      <c r="AA1482" s="284"/>
      <c r="AB1482" s="284"/>
      <c r="AC1482" s="284"/>
      <c r="AD1482" s="284"/>
      <c r="AE1482" s="284"/>
      <c r="AF1482" s="284"/>
      <c r="AG1482" s="284"/>
      <c r="AI1482" s="284"/>
    </row>
    <row r="1483" spans="1:35">
      <c r="AI1483" s="131"/>
    </row>
    <row r="1484" spans="1:35">
      <c r="O1484" s="370"/>
      <c r="AI1484" s="131"/>
    </row>
    <row r="1485" spans="1:35">
      <c r="AI1485" s="131"/>
    </row>
    <row r="1486" spans="1:35">
      <c r="AI1486" s="131"/>
    </row>
    <row r="1487" spans="1:35" ht="26.4">
      <c r="A1487" s="284"/>
      <c r="B1487" s="284"/>
      <c r="C1487" s="284"/>
      <c r="D1487" s="284"/>
      <c r="E1487" s="284"/>
      <c r="F1487" s="284"/>
      <c r="G1487" s="284"/>
      <c r="H1487" s="284"/>
      <c r="I1487" s="284"/>
      <c r="J1487" s="375"/>
      <c r="K1487" s="375"/>
      <c r="L1487" s="375"/>
      <c r="M1487" s="368"/>
      <c r="N1487" s="368"/>
      <c r="T1487" s="340"/>
      <c r="V1487" s="378"/>
      <c r="W1487" s="64" ph="1"/>
      <c r="X1487" s="241"/>
      <c r="Y1487" s="284"/>
      <c r="Z1487" s="207"/>
      <c r="AA1487" s="284"/>
      <c r="AB1487" s="284"/>
      <c r="AC1487" s="284"/>
      <c r="AD1487" s="284"/>
      <c r="AE1487" s="284"/>
      <c r="AF1487" s="284"/>
      <c r="AG1487" s="284"/>
      <c r="AI1487" s="131"/>
    </row>
    <row r="1488" spans="1:35" ht="26.4">
      <c r="A1488" s="284"/>
      <c r="B1488" s="284"/>
      <c r="C1488" s="284"/>
      <c r="D1488" s="284"/>
      <c r="E1488" s="284"/>
      <c r="F1488" s="284"/>
      <c r="G1488" s="284"/>
      <c r="H1488" s="284"/>
      <c r="I1488" s="284"/>
      <c r="J1488" s="375"/>
      <c r="K1488" s="375"/>
      <c r="L1488" s="375"/>
      <c r="M1488" s="368"/>
      <c r="N1488" s="368"/>
      <c r="T1488" s="340"/>
      <c r="V1488" s="378"/>
      <c r="W1488" s="64" ph="1"/>
      <c r="X1488" s="241"/>
      <c r="Y1488" s="284"/>
      <c r="Z1488" s="207"/>
      <c r="AA1488" s="284"/>
      <c r="AB1488" s="284"/>
      <c r="AC1488" s="284"/>
      <c r="AD1488" s="284"/>
      <c r="AE1488" s="284"/>
      <c r="AF1488" s="284"/>
      <c r="AG1488" s="284"/>
      <c r="AI1488" s="131"/>
    </row>
    <row r="1489" spans="1:35" ht="26.4">
      <c r="A1489" s="284"/>
      <c r="B1489" s="284"/>
      <c r="C1489" s="284"/>
      <c r="D1489" s="284"/>
      <c r="E1489" s="284"/>
      <c r="F1489" s="284"/>
      <c r="G1489" s="284"/>
      <c r="H1489" s="284"/>
      <c r="I1489" s="284"/>
      <c r="J1489" s="375"/>
      <c r="K1489" s="375"/>
      <c r="L1489" s="375"/>
      <c r="M1489" s="368"/>
      <c r="N1489" s="368"/>
      <c r="O1489" s="370"/>
      <c r="T1489" s="340"/>
      <c r="V1489" s="378"/>
      <c r="W1489" s="64" ph="1"/>
      <c r="X1489" s="241"/>
      <c r="Y1489" s="284"/>
      <c r="Z1489" s="207"/>
      <c r="AA1489" s="284"/>
      <c r="AB1489" s="284"/>
      <c r="AC1489" s="284"/>
      <c r="AD1489" s="284"/>
      <c r="AE1489" s="284"/>
      <c r="AF1489" s="284"/>
      <c r="AG1489" s="284"/>
      <c r="AI1489" s="131"/>
    </row>
    <row r="1490" spans="1:35">
      <c r="O1490" s="370"/>
      <c r="AI1490" s="131"/>
    </row>
    <row r="1491" spans="1:35" ht="26.4">
      <c r="A1491" s="284"/>
      <c r="B1491" s="284"/>
      <c r="C1491" s="284"/>
      <c r="D1491" s="284"/>
      <c r="E1491" s="284"/>
      <c r="F1491" s="284"/>
      <c r="G1491" s="284"/>
      <c r="H1491" s="284"/>
      <c r="I1491" s="284"/>
      <c r="J1491" s="375"/>
      <c r="K1491" s="375"/>
      <c r="L1491" s="375"/>
      <c r="M1491" s="368"/>
      <c r="N1491" s="368"/>
      <c r="O1491" s="370"/>
      <c r="T1491" s="340"/>
      <c r="V1491" s="378"/>
      <c r="W1491" s="64" ph="1"/>
      <c r="X1491" s="241"/>
      <c r="Y1491" s="284"/>
      <c r="Z1491" s="207"/>
      <c r="AA1491" s="284"/>
      <c r="AB1491" s="284"/>
      <c r="AC1491" s="284"/>
      <c r="AD1491" s="284"/>
      <c r="AE1491" s="284"/>
      <c r="AF1491" s="284"/>
      <c r="AG1491" s="284"/>
      <c r="AI1491" s="131"/>
    </row>
    <row r="1492" spans="1:35" ht="26.4">
      <c r="A1492" s="284"/>
      <c r="B1492" s="284"/>
      <c r="C1492" s="284"/>
      <c r="D1492" s="284"/>
      <c r="E1492" s="284"/>
      <c r="F1492" s="284"/>
      <c r="G1492" s="284"/>
      <c r="H1492" s="284"/>
      <c r="I1492" s="284"/>
      <c r="J1492" s="375"/>
      <c r="K1492" s="375"/>
      <c r="L1492" s="375"/>
      <c r="M1492" s="368"/>
      <c r="N1492" s="368"/>
      <c r="T1492" s="340"/>
      <c r="V1492" s="378"/>
      <c r="W1492" s="64" ph="1"/>
      <c r="X1492" s="241"/>
      <c r="Y1492" s="284"/>
      <c r="Z1492" s="207"/>
      <c r="AA1492" s="284"/>
      <c r="AB1492" s="284"/>
      <c r="AC1492" s="284"/>
      <c r="AD1492" s="284"/>
      <c r="AE1492" s="284"/>
      <c r="AF1492" s="284"/>
      <c r="AG1492" s="284"/>
      <c r="AI1492" s="131"/>
    </row>
    <row r="1493" spans="1:35">
      <c r="O1493" s="370"/>
      <c r="AI1493" s="131"/>
    </row>
    <row r="1494" spans="1:35" ht="26.4">
      <c r="A1494" s="284"/>
      <c r="B1494" s="284"/>
      <c r="C1494" s="284"/>
      <c r="D1494" s="284"/>
      <c r="E1494" s="284"/>
      <c r="F1494" s="284"/>
      <c r="G1494" s="284"/>
      <c r="H1494" s="284"/>
      <c r="I1494" s="284"/>
      <c r="J1494" s="375"/>
      <c r="K1494" s="375"/>
      <c r="L1494" s="375"/>
      <c r="M1494" s="368"/>
      <c r="N1494" s="368"/>
      <c r="O1494" s="370"/>
      <c r="T1494" s="340"/>
      <c r="V1494" s="378"/>
      <c r="W1494" s="64" ph="1"/>
      <c r="X1494" s="241"/>
      <c r="Y1494" s="284"/>
      <c r="Z1494" s="207"/>
      <c r="AA1494" s="284"/>
      <c r="AB1494" s="284"/>
      <c r="AC1494" s="284"/>
      <c r="AD1494" s="284"/>
      <c r="AE1494" s="284"/>
      <c r="AF1494" s="284"/>
      <c r="AG1494" s="284"/>
      <c r="AI1494" s="131"/>
    </row>
    <row r="1495" spans="1:35">
      <c r="AI1495" s="131"/>
    </row>
    <row r="1496" spans="1:35" ht="26.4">
      <c r="A1496" s="284"/>
      <c r="B1496" s="284"/>
      <c r="C1496" s="284"/>
      <c r="D1496" s="284"/>
      <c r="E1496" s="284"/>
      <c r="F1496" s="284"/>
      <c r="G1496" s="284"/>
      <c r="H1496" s="284"/>
      <c r="I1496" s="284"/>
      <c r="J1496" s="375"/>
      <c r="K1496" s="375"/>
      <c r="L1496" s="375"/>
      <c r="M1496" s="368"/>
      <c r="N1496" s="368"/>
      <c r="O1496" s="370"/>
      <c r="T1496" s="340"/>
      <c r="V1496" s="378"/>
      <c r="W1496" s="64" ph="1"/>
      <c r="X1496" s="241"/>
      <c r="Y1496" s="284"/>
      <c r="Z1496" s="207"/>
      <c r="AA1496" s="284"/>
      <c r="AB1496" s="284"/>
      <c r="AC1496" s="284"/>
      <c r="AD1496" s="284"/>
      <c r="AE1496" s="284"/>
      <c r="AF1496" s="284"/>
      <c r="AG1496" s="284"/>
      <c r="AI1496" s="131"/>
    </row>
    <row r="1497" spans="1:35" ht="26.4">
      <c r="A1497" s="284"/>
      <c r="B1497" s="284"/>
      <c r="C1497" s="284"/>
      <c r="D1497" s="284"/>
      <c r="E1497" s="284"/>
      <c r="F1497" s="284"/>
      <c r="G1497" s="284"/>
      <c r="H1497" s="284"/>
      <c r="I1497" s="284"/>
      <c r="J1497" s="375"/>
      <c r="K1497" s="375"/>
      <c r="L1497" s="375"/>
      <c r="M1497" s="368"/>
      <c r="N1497" s="368"/>
      <c r="T1497" s="340"/>
      <c r="V1497" s="378"/>
      <c r="W1497" s="64" ph="1"/>
      <c r="X1497" s="241"/>
      <c r="Y1497" s="284"/>
      <c r="Z1497" s="207"/>
      <c r="AA1497" s="284"/>
      <c r="AB1497" s="284"/>
      <c r="AC1497" s="284"/>
      <c r="AD1497" s="284"/>
      <c r="AE1497" s="284"/>
      <c r="AF1497" s="284"/>
      <c r="AG1497" s="284"/>
      <c r="AI1497" s="131"/>
    </row>
    <row r="1498" spans="1:35" ht="26.4">
      <c r="A1498" s="284"/>
      <c r="B1498" s="284"/>
      <c r="C1498" s="284"/>
      <c r="D1498" s="284"/>
      <c r="E1498" s="284"/>
      <c r="F1498" s="284"/>
      <c r="G1498" s="284"/>
      <c r="H1498" s="284"/>
      <c r="I1498" s="284"/>
      <c r="J1498" s="375"/>
      <c r="K1498" s="375"/>
      <c r="L1498" s="375"/>
      <c r="M1498" s="368"/>
      <c r="N1498" s="368"/>
      <c r="O1498" s="370"/>
      <c r="T1498" s="340"/>
      <c r="V1498" s="378"/>
      <c r="W1498" s="64" ph="1"/>
      <c r="X1498" s="241"/>
      <c r="Y1498" s="284"/>
      <c r="Z1498" s="207"/>
      <c r="AA1498" s="284"/>
      <c r="AB1498" s="284"/>
      <c r="AC1498" s="284"/>
      <c r="AD1498" s="284"/>
      <c r="AE1498" s="284"/>
      <c r="AF1498" s="284"/>
      <c r="AG1498" s="284"/>
      <c r="AI1498" s="131"/>
    </row>
    <row r="1499" spans="1:35" ht="26.4">
      <c r="A1499" s="284"/>
      <c r="B1499" s="284"/>
      <c r="C1499" s="284"/>
      <c r="D1499" s="284"/>
      <c r="E1499" s="284"/>
      <c r="F1499" s="284"/>
      <c r="G1499" s="284"/>
      <c r="H1499" s="284"/>
      <c r="I1499" s="284"/>
      <c r="J1499" s="375"/>
      <c r="K1499" s="375"/>
      <c r="L1499" s="375"/>
      <c r="M1499" s="368"/>
      <c r="N1499" s="368"/>
      <c r="O1499" s="370"/>
      <c r="T1499" s="340"/>
      <c r="V1499" s="378"/>
      <c r="W1499" s="64" ph="1"/>
      <c r="X1499" s="241"/>
      <c r="Y1499" s="284"/>
      <c r="Z1499" s="207"/>
      <c r="AA1499" s="284"/>
      <c r="AB1499" s="284"/>
      <c r="AC1499" s="284"/>
      <c r="AD1499" s="284"/>
      <c r="AE1499" s="284"/>
      <c r="AF1499" s="284"/>
      <c r="AG1499" s="284"/>
      <c r="AI1499" s="131"/>
    </row>
    <row r="1500" spans="1:35" ht="26.4">
      <c r="A1500" s="284"/>
      <c r="B1500" s="284"/>
      <c r="C1500" s="284"/>
      <c r="D1500" s="284"/>
      <c r="E1500" s="284"/>
      <c r="F1500" s="284"/>
      <c r="G1500" s="284"/>
      <c r="H1500" s="284"/>
      <c r="I1500" s="284"/>
      <c r="J1500" s="375"/>
      <c r="K1500" s="375"/>
      <c r="L1500" s="375"/>
      <c r="M1500" s="368"/>
      <c r="N1500" s="368"/>
      <c r="O1500" s="370"/>
      <c r="T1500" s="340"/>
      <c r="V1500" s="378"/>
      <c r="W1500" s="64" ph="1"/>
      <c r="X1500" s="241"/>
      <c r="Y1500" s="284"/>
      <c r="Z1500" s="207"/>
      <c r="AA1500" s="284"/>
      <c r="AB1500" s="284"/>
      <c r="AC1500" s="284"/>
      <c r="AD1500" s="284"/>
      <c r="AE1500" s="284"/>
      <c r="AF1500" s="284"/>
      <c r="AG1500" s="284"/>
      <c r="AI1500" s="131"/>
    </row>
    <row r="1501" spans="1:35" ht="26.4">
      <c r="A1501" s="284"/>
      <c r="B1501" s="284"/>
      <c r="C1501" s="284"/>
      <c r="D1501" s="284"/>
      <c r="E1501" s="284"/>
      <c r="F1501" s="284"/>
      <c r="G1501" s="284"/>
      <c r="H1501" s="284"/>
      <c r="I1501" s="284"/>
      <c r="J1501" s="375"/>
      <c r="K1501" s="375"/>
      <c r="L1501" s="375"/>
      <c r="M1501" s="368"/>
      <c r="N1501" s="368"/>
      <c r="O1501" s="370"/>
      <c r="T1501" s="340"/>
      <c r="V1501" s="378"/>
      <c r="W1501" s="64" ph="1"/>
      <c r="X1501" s="241"/>
      <c r="Y1501" s="284"/>
      <c r="Z1501" s="207"/>
      <c r="AA1501" s="284"/>
      <c r="AB1501" s="284"/>
      <c r="AC1501" s="284"/>
      <c r="AD1501" s="284"/>
      <c r="AE1501" s="284"/>
      <c r="AF1501" s="284"/>
      <c r="AG1501" s="284"/>
      <c r="AI1501" s="131"/>
    </row>
    <row r="1502" spans="1:35" ht="26.4">
      <c r="A1502" s="284"/>
      <c r="B1502" s="284"/>
      <c r="C1502" s="284"/>
      <c r="D1502" s="284"/>
      <c r="E1502" s="284"/>
      <c r="F1502" s="284"/>
      <c r="G1502" s="284"/>
      <c r="H1502" s="284"/>
      <c r="I1502" s="284"/>
      <c r="J1502" s="375"/>
      <c r="K1502" s="375"/>
      <c r="L1502" s="375"/>
      <c r="M1502" s="368"/>
      <c r="N1502" s="368"/>
      <c r="O1502" s="370"/>
      <c r="T1502" s="340"/>
      <c r="V1502" s="378"/>
      <c r="W1502" s="64" ph="1"/>
      <c r="X1502" s="241"/>
      <c r="Y1502" s="284"/>
      <c r="Z1502" s="207"/>
      <c r="AA1502" s="284"/>
      <c r="AB1502" s="284"/>
      <c r="AC1502" s="284"/>
      <c r="AD1502" s="284"/>
      <c r="AE1502" s="284"/>
      <c r="AF1502" s="284"/>
      <c r="AG1502" s="284"/>
      <c r="AI1502" s="131"/>
    </row>
    <row r="1503" spans="1:35" ht="26.4">
      <c r="A1503" s="284"/>
      <c r="B1503" s="284"/>
      <c r="C1503" s="284"/>
      <c r="D1503" s="284"/>
      <c r="E1503" s="284"/>
      <c r="F1503" s="284"/>
      <c r="G1503" s="284"/>
      <c r="H1503" s="284"/>
      <c r="I1503" s="284"/>
      <c r="J1503" s="375"/>
      <c r="K1503" s="375"/>
      <c r="L1503" s="375"/>
      <c r="M1503" s="368"/>
      <c r="N1503" s="368"/>
      <c r="O1503" s="370"/>
      <c r="T1503" s="340"/>
      <c r="V1503" s="378"/>
      <c r="W1503" s="64" ph="1"/>
      <c r="X1503" s="241"/>
      <c r="Y1503" s="284"/>
      <c r="Z1503" s="207"/>
      <c r="AA1503" s="284"/>
      <c r="AB1503" s="284"/>
      <c r="AC1503" s="284"/>
      <c r="AD1503" s="284"/>
      <c r="AE1503" s="284"/>
      <c r="AF1503" s="284"/>
      <c r="AG1503" s="284"/>
      <c r="AI1503" s="131"/>
    </row>
    <row r="1504" spans="1:35" ht="26.4">
      <c r="A1504" s="284"/>
      <c r="B1504" s="284"/>
      <c r="C1504" s="284"/>
      <c r="D1504" s="284"/>
      <c r="E1504" s="284"/>
      <c r="F1504" s="284"/>
      <c r="G1504" s="284"/>
      <c r="H1504" s="284"/>
      <c r="I1504" s="284"/>
      <c r="J1504" s="375"/>
      <c r="K1504" s="375"/>
      <c r="L1504" s="375"/>
      <c r="M1504" s="368"/>
      <c r="N1504" s="368"/>
      <c r="O1504" s="370"/>
      <c r="T1504" s="340"/>
      <c r="V1504" s="378"/>
      <c r="W1504" s="64" ph="1"/>
      <c r="X1504" s="241"/>
      <c r="Y1504" s="284"/>
      <c r="Z1504" s="207"/>
      <c r="AA1504" s="284"/>
      <c r="AB1504" s="284"/>
      <c r="AC1504" s="284"/>
      <c r="AD1504" s="284"/>
      <c r="AE1504" s="284"/>
      <c r="AF1504" s="284"/>
      <c r="AG1504" s="284"/>
      <c r="AI1504" s="131"/>
    </row>
    <row r="1505" spans="1:35" ht="26.4">
      <c r="A1505" s="284"/>
      <c r="B1505" s="284"/>
      <c r="C1505" s="284"/>
      <c r="D1505" s="284"/>
      <c r="E1505" s="284"/>
      <c r="F1505" s="284"/>
      <c r="G1505" s="284"/>
      <c r="H1505" s="284"/>
      <c r="I1505" s="284"/>
      <c r="J1505" s="375"/>
      <c r="K1505" s="375"/>
      <c r="L1505" s="375"/>
      <c r="M1505" s="368"/>
      <c r="N1505" s="368"/>
      <c r="O1505" s="370"/>
      <c r="T1505" s="340"/>
      <c r="V1505" s="378"/>
      <c r="W1505" s="64" ph="1"/>
      <c r="X1505" s="241"/>
      <c r="Y1505" s="284"/>
      <c r="Z1505" s="207"/>
      <c r="AA1505" s="284"/>
      <c r="AB1505" s="284"/>
      <c r="AC1505" s="284"/>
      <c r="AD1505" s="284"/>
      <c r="AE1505" s="284"/>
      <c r="AF1505" s="284"/>
      <c r="AG1505" s="284"/>
      <c r="AI1505" s="131"/>
    </row>
    <row r="1506" spans="1:35">
      <c r="O1506" s="370"/>
      <c r="AI1506" s="131"/>
    </row>
    <row r="1507" spans="1:35" ht="26.4">
      <c r="A1507" s="284"/>
      <c r="B1507" s="284"/>
      <c r="C1507" s="284"/>
      <c r="D1507" s="284"/>
      <c r="E1507" s="284"/>
      <c r="F1507" s="284"/>
      <c r="G1507" s="284"/>
      <c r="H1507" s="284"/>
      <c r="I1507" s="284"/>
      <c r="J1507" s="375"/>
      <c r="K1507" s="375"/>
      <c r="L1507" s="375"/>
      <c r="M1507" s="368"/>
      <c r="N1507" s="368"/>
      <c r="O1507" s="370"/>
      <c r="T1507" s="340"/>
      <c r="V1507" s="378"/>
      <c r="W1507" s="64" ph="1"/>
      <c r="X1507" s="241"/>
      <c r="Y1507" s="284"/>
      <c r="Z1507" s="207"/>
      <c r="AA1507" s="284"/>
      <c r="AB1507" s="284"/>
      <c r="AC1507" s="284"/>
      <c r="AD1507" s="284"/>
      <c r="AE1507" s="284"/>
      <c r="AF1507" s="284"/>
      <c r="AG1507" s="284"/>
      <c r="AI1507" s="131"/>
    </row>
    <row r="1508" spans="1:35" ht="26.4">
      <c r="A1508" s="284"/>
      <c r="B1508" s="284"/>
      <c r="C1508" s="284"/>
      <c r="D1508" s="284"/>
      <c r="E1508" s="284"/>
      <c r="F1508" s="284"/>
      <c r="G1508" s="284"/>
      <c r="H1508" s="284"/>
      <c r="I1508" s="284"/>
      <c r="J1508" s="375"/>
      <c r="K1508" s="375"/>
      <c r="L1508" s="375"/>
      <c r="M1508" s="368"/>
      <c r="N1508" s="368"/>
      <c r="T1508" s="340"/>
      <c r="V1508" s="378"/>
      <c r="W1508" s="64" ph="1"/>
      <c r="X1508" s="241"/>
      <c r="Y1508" s="284"/>
      <c r="Z1508" s="207"/>
      <c r="AA1508" s="284"/>
      <c r="AB1508" s="284"/>
      <c r="AC1508" s="284"/>
      <c r="AD1508" s="284"/>
      <c r="AE1508" s="284"/>
      <c r="AF1508" s="284"/>
      <c r="AG1508" s="284"/>
      <c r="AI1508" s="131"/>
    </row>
    <row r="1509" spans="1:35" ht="26.4">
      <c r="A1509" s="284"/>
      <c r="B1509" s="284"/>
      <c r="C1509" s="284"/>
      <c r="D1509" s="284"/>
      <c r="E1509" s="284"/>
      <c r="F1509" s="284"/>
      <c r="G1509" s="284"/>
      <c r="H1509" s="284"/>
      <c r="I1509" s="284"/>
      <c r="J1509" s="375"/>
      <c r="K1509" s="375"/>
      <c r="L1509" s="375"/>
      <c r="M1509" s="368"/>
      <c r="N1509" s="368"/>
      <c r="O1509" s="370"/>
      <c r="T1509" s="340"/>
      <c r="V1509" s="378"/>
      <c r="W1509" s="64" ph="1"/>
      <c r="X1509" s="241"/>
      <c r="Y1509" s="284"/>
      <c r="Z1509" s="207"/>
      <c r="AA1509" s="284"/>
      <c r="AB1509" s="284"/>
      <c r="AC1509" s="284"/>
      <c r="AD1509" s="284"/>
      <c r="AE1509" s="284"/>
      <c r="AF1509" s="284"/>
      <c r="AG1509" s="284"/>
      <c r="AI1509" s="131"/>
    </row>
    <row r="1510" spans="1:35" ht="26.4">
      <c r="A1510" s="284"/>
      <c r="B1510" s="284"/>
      <c r="C1510" s="284"/>
      <c r="D1510" s="284"/>
      <c r="E1510" s="284"/>
      <c r="F1510" s="284"/>
      <c r="G1510" s="284"/>
      <c r="H1510" s="284"/>
      <c r="I1510" s="284"/>
      <c r="J1510" s="375"/>
      <c r="K1510" s="375"/>
      <c r="L1510" s="375"/>
      <c r="M1510" s="368"/>
      <c r="N1510" s="368"/>
      <c r="O1510" s="370"/>
      <c r="T1510" s="340"/>
      <c r="V1510" s="378"/>
      <c r="W1510" s="64" ph="1"/>
      <c r="X1510" s="241"/>
      <c r="Y1510" s="284"/>
      <c r="Z1510" s="207"/>
      <c r="AA1510" s="284"/>
      <c r="AB1510" s="284"/>
      <c r="AC1510" s="284"/>
      <c r="AD1510" s="284"/>
      <c r="AE1510" s="284"/>
      <c r="AF1510" s="284"/>
      <c r="AG1510" s="284"/>
      <c r="AI1510" s="131"/>
    </row>
    <row r="1511" spans="1:35" ht="26.4">
      <c r="A1511" s="284"/>
      <c r="B1511" s="284"/>
      <c r="C1511" s="284"/>
      <c r="D1511" s="284"/>
      <c r="E1511" s="284"/>
      <c r="F1511" s="284"/>
      <c r="G1511" s="284"/>
      <c r="H1511" s="284"/>
      <c r="I1511" s="284"/>
      <c r="J1511" s="375"/>
      <c r="K1511" s="375"/>
      <c r="L1511" s="375"/>
      <c r="M1511" s="368"/>
      <c r="N1511" s="368"/>
      <c r="O1511" s="370"/>
      <c r="T1511" s="340"/>
      <c r="V1511" s="378"/>
      <c r="W1511" s="64" ph="1"/>
      <c r="X1511" s="241"/>
      <c r="Y1511" s="284"/>
      <c r="Z1511" s="207"/>
      <c r="AA1511" s="284"/>
      <c r="AB1511" s="284"/>
      <c r="AC1511" s="284"/>
      <c r="AD1511" s="284"/>
      <c r="AE1511" s="284"/>
      <c r="AF1511" s="284"/>
      <c r="AG1511" s="284"/>
      <c r="AI1511" s="131"/>
    </row>
    <row r="1512" spans="1:35" ht="26.4">
      <c r="A1512" s="284"/>
      <c r="B1512" s="284"/>
      <c r="C1512" s="284"/>
      <c r="D1512" s="284"/>
      <c r="E1512" s="284"/>
      <c r="F1512" s="284"/>
      <c r="G1512" s="284"/>
      <c r="H1512" s="284"/>
      <c r="I1512" s="284"/>
      <c r="J1512" s="375"/>
      <c r="K1512" s="375"/>
      <c r="L1512" s="375"/>
      <c r="M1512" s="368"/>
      <c r="N1512" s="368"/>
      <c r="O1512" s="370"/>
      <c r="T1512" s="340"/>
      <c r="V1512" s="378"/>
      <c r="W1512" s="64" ph="1"/>
      <c r="X1512" s="241"/>
      <c r="Y1512" s="284"/>
      <c r="Z1512" s="207"/>
      <c r="AA1512" s="284"/>
      <c r="AB1512" s="284"/>
      <c r="AC1512" s="284"/>
      <c r="AD1512" s="284"/>
      <c r="AE1512" s="284"/>
      <c r="AF1512" s="284"/>
      <c r="AG1512" s="284"/>
      <c r="AI1512" s="131"/>
    </row>
    <row r="1513" spans="1:35" ht="26.4">
      <c r="A1513" s="284"/>
      <c r="B1513" s="284"/>
      <c r="C1513" s="284"/>
      <c r="D1513" s="284"/>
      <c r="E1513" s="284"/>
      <c r="F1513" s="284"/>
      <c r="G1513" s="284"/>
      <c r="H1513" s="284"/>
      <c r="I1513" s="284"/>
      <c r="J1513" s="375"/>
      <c r="K1513" s="375"/>
      <c r="L1513" s="375"/>
      <c r="M1513" s="368"/>
      <c r="N1513" s="368"/>
      <c r="O1513" s="370"/>
      <c r="T1513" s="340"/>
      <c r="V1513" s="378"/>
      <c r="W1513" s="64" ph="1"/>
      <c r="X1513" s="241"/>
      <c r="Y1513" s="284"/>
      <c r="Z1513" s="207"/>
      <c r="AA1513" s="284"/>
      <c r="AB1513" s="284"/>
      <c r="AC1513" s="284"/>
      <c r="AD1513" s="284"/>
      <c r="AE1513" s="284"/>
      <c r="AF1513" s="284"/>
      <c r="AG1513" s="284"/>
      <c r="AI1513" s="131"/>
    </row>
    <row r="1514" spans="1:35" ht="26.4">
      <c r="A1514" s="284"/>
      <c r="B1514" s="284"/>
      <c r="C1514" s="284"/>
      <c r="D1514" s="284"/>
      <c r="E1514" s="284"/>
      <c r="F1514" s="284"/>
      <c r="G1514" s="284"/>
      <c r="H1514" s="284"/>
      <c r="I1514" s="284"/>
      <c r="J1514" s="375"/>
      <c r="K1514" s="375"/>
      <c r="L1514" s="375"/>
      <c r="M1514" s="368"/>
      <c r="N1514" s="368"/>
      <c r="O1514" s="370"/>
      <c r="T1514" s="340"/>
      <c r="V1514" s="378"/>
      <c r="W1514" s="64" ph="1"/>
      <c r="X1514" s="241"/>
      <c r="Y1514" s="284"/>
      <c r="Z1514" s="207"/>
      <c r="AA1514" s="284"/>
      <c r="AB1514" s="284"/>
      <c r="AC1514" s="284"/>
      <c r="AD1514" s="284"/>
      <c r="AE1514" s="284"/>
      <c r="AF1514" s="284"/>
      <c r="AG1514" s="284"/>
      <c r="AI1514" s="131"/>
    </row>
    <row r="1515" spans="1:35">
      <c r="O1515" s="370"/>
      <c r="AI1515" s="128"/>
    </row>
    <row r="1516" spans="1:35" ht="26.4">
      <c r="A1516" s="284"/>
      <c r="B1516" s="284"/>
      <c r="C1516" s="284"/>
      <c r="D1516" s="284"/>
      <c r="E1516" s="284"/>
      <c r="F1516" s="284"/>
      <c r="G1516" s="284"/>
      <c r="H1516" s="284"/>
      <c r="I1516" s="284"/>
      <c r="J1516" s="375"/>
      <c r="K1516" s="375"/>
      <c r="L1516" s="375"/>
      <c r="M1516" s="368"/>
      <c r="N1516" s="368"/>
      <c r="O1516" s="370"/>
      <c r="T1516" s="340"/>
      <c r="V1516" s="378"/>
      <c r="W1516" s="64" ph="1"/>
      <c r="X1516" s="241"/>
      <c r="Y1516" s="284"/>
      <c r="Z1516" s="207"/>
      <c r="AA1516" s="284"/>
      <c r="AB1516" s="284"/>
      <c r="AC1516" s="284"/>
      <c r="AD1516" s="284"/>
      <c r="AE1516" s="284"/>
      <c r="AF1516" s="284"/>
      <c r="AG1516" s="284"/>
      <c r="AI1516" s="131"/>
    </row>
    <row r="1517" spans="1:35" ht="26.4">
      <c r="A1517" s="284"/>
      <c r="B1517" s="284"/>
      <c r="C1517" s="284"/>
      <c r="D1517" s="284"/>
      <c r="E1517" s="284"/>
      <c r="F1517" s="284"/>
      <c r="G1517" s="284"/>
      <c r="H1517" s="284"/>
      <c r="I1517" s="284"/>
      <c r="J1517" s="375"/>
      <c r="K1517" s="375"/>
      <c r="L1517" s="375"/>
      <c r="M1517" s="368"/>
      <c r="N1517" s="368"/>
      <c r="T1517" s="340"/>
      <c r="V1517" s="378"/>
      <c r="W1517" s="64" ph="1"/>
      <c r="X1517" s="241"/>
      <c r="Y1517" s="284"/>
      <c r="Z1517" s="207"/>
      <c r="AA1517" s="284"/>
      <c r="AB1517" s="284"/>
      <c r="AC1517" s="284"/>
      <c r="AD1517" s="284"/>
      <c r="AE1517" s="284"/>
      <c r="AF1517" s="284"/>
      <c r="AG1517" s="284"/>
      <c r="AI1517" s="131"/>
    </row>
    <row r="1518" spans="1:35" ht="26.4">
      <c r="A1518" s="284"/>
      <c r="B1518" s="284"/>
      <c r="C1518" s="284"/>
      <c r="D1518" s="284"/>
      <c r="E1518" s="284"/>
      <c r="F1518" s="284"/>
      <c r="G1518" s="284"/>
      <c r="H1518" s="284"/>
      <c r="I1518" s="284"/>
      <c r="J1518" s="375"/>
      <c r="K1518" s="375"/>
      <c r="L1518" s="375"/>
      <c r="M1518" s="368"/>
      <c r="N1518" s="368"/>
      <c r="O1518" s="370"/>
      <c r="T1518" s="340"/>
      <c r="V1518" s="378"/>
      <c r="W1518" s="64" ph="1"/>
      <c r="X1518" s="241"/>
      <c r="Y1518" s="284"/>
      <c r="Z1518" s="207"/>
      <c r="AA1518" s="284"/>
      <c r="AB1518" s="284"/>
      <c r="AC1518" s="284"/>
      <c r="AD1518" s="284"/>
      <c r="AE1518" s="284"/>
      <c r="AF1518" s="284"/>
      <c r="AG1518" s="284"/>
      <c r="AI1518" s="131"/>
    </row>
    <row r="1519" spans="1:35" ht="26.4">
      <c r="A1519" s="284"/>
      <c r="B1519" s="284"/>
      <c r="C1519" s="284"/>
      <c r="D1519" s="284"/>
      <c r="E1519" s="284"/>
      <c r="F1519" s="284"/>
      <c r="G1519" s="284"/>
      <c r="H1519" s="284"/>
      <c r="I1519" s="284"/>
      <c r="J1519" s="375"/>
      <c r="K1519" s="375"/>
      <c r="L1519" s="375"/>
      <c r="M1519" s="368"/>
      <c r="N1519" s="368"/>
      <c r="O1519" s="370"/>
      <c r="T1519" s="340"/>
      <c r="V1519" s="378"/>
      <c r="W1519" s="64" ph="1"/>
      <c r="X1519" s="241"/>
      <c r="Y1519" s="284"/>
      <c r="Z1519" s="207"/>
      <c r="AA1519" s="284"/>
      <c r="AB1519" s="284"/>
      <c r="AC1519" s="284"/>
      <c r="AD1519" s="284"/>
      <c r="AE1519" s="284"/>
      <c r="AF1519" s="284"/>
      <c r="AG1519" s="284"/>
      <c r="AI1519" s="131"/>
    </row>
    <row r="1520" spans="1:35" ht="26.4">
      <c r="A1520" s="284"/>
      <c r="B1520" s="284"/>
      <c r="C1520" s="284"/>
      <c r="D1520" s="284"/>
      <c r="E1520" s="284"/>
      <c r="F1520" s="284"/>
      <c r="G1520" s="284"/>
      <c r="H1520" s="284"/>
      <c r="I1520" s="284"/>
      <c r="J1520" s="375"/>
      <c r="K1520" s="375"/>
      <c r="L1520" s="375"/>
      <c r="M1520" s="368"/>
      <c r="N1520" s="368"/>
      <c r="O1520" s="370"/>
      <c r="T1520" s="340"/>
      <c r="V1520" s="378"/>
      <c r="W1520" s="64" ph="1"/>
      <c r="X1520" s="241"/>
      <c r="Y1520" s="284"/>
      <c r="Z1520" s="207"/>
      <c r="AA1520" s="284"/>
      <c r="AB1520" s="284"/>
      <c r="AC1520" s="284"/>
      <c r="AD1520" s="284"/>
      <c r="AE1520" s="284"/>
      <c r="AF1520" s="284"/>
      <c r="AG1520" s="284"/>
      <c r="AI1520" s="131"/>
    </row>
    <row r="1521" spans="1:35" ht="26.4">
      <c r="A1521" s="284"/>
      <c r="B1521" s="284"/>
      <c r="C1521" s="284"/>
      <c r="D1521" s="284"/>
      <c r="E1521" s="284"/>
      <c r="F1521" s="284"/>
      <c r="G1521" s="284"/>
      <c r="H1521" s="284"/>
      <c r="I1521" s="284"/>
      <c r="J1521" s="375"/>
      <c r="K1521" s="375"/>
      <c r="L1521" s="375"/>
      <c r="M1521" s="368"/>
      <c r="N1521" s="368"/>
      <c r="O1521" s="370"/>
      <c r="T1521" s="340"/>
      <c r="V1521" s="378"/>
      <c r="W1521" s="64" ph="1"/>
      <c r="X1521" s="241"/>
      <c r="Y1521" s="284"/>
      <c r="Z1521" s="207"/>
      <c r="AA1521" s="284"/>
      <c r="AB1521" s="284"/>
      <c r="AC1521" s="284"/>
      <c r="AD1521" s="284"/>
      <c r="AE1521" s="284"/>
      <c r="AF1521" s="284"/>
      <c r="AG1521" s="284"/>
      <c r="AI1521" s="131"/>
    </row>
    <row r="1522" spans="1:35" ht="26.4">
      <c r="A1522" s="284"/>
      <c r="B1522" s="284"/>
      <c r="C1522" s="284"/>
      <c r="D1522" s="284"/>
      <c r="E1522" s="284"/>
      <c r="F1522" s="284"/>
      <c r="G1522" s="284"/>
      <c r="H1522" s="284"/>
      <c r="I1522" s="284"/>
      <c r="J1522" s="375"/>
      <c r="K1522" s="375"/>
      <c r="L1522" s="375"/>
      <c r="M1522" s="368"/>
      <c r="N1522" s="368"/>
      <c r="O1522" s="370"/>
      <c r="T1522" s="340"/>
      <c r="V1522" s="378"/>
      <c r="W1522" s="64" ph="1"/>
      <c r="X1522" s="241"/>
      <c r="Y1522" s="284"/>
      <c r="Z1522" s="207"/>
      <c r="AA1522" s="284"/>
      <c r="AB1522" s="284"/>
      <c r="AC1522" s="284"/>
      <c r="AD1522" s="284"/>
      <c r="AE1522" s="284"/>
      <c r="AF1522" s="284"/>
      <c r="AG1522" s="284"/>
      <c r="AI1522" s="131"/>
    </row>
    <row r="1523" spans="1:35" ht="26.4">
      <c r="A1523" s="284"/>
      <c r="B1523" s="284"/>
      <c r="C1523" s="284"/>
      <c r="D1523" s="284"/>
      <c r="E1523" s="284"/>
      <c r="F1523" s="284"/>
      <c r="G1523" s="284"/>
      <c r="H1523" s="284"/>
      <c r="I1523" s="284"/>
      <c r="J1523" s="375"/>
      <c r="K1523" s="375"/>
      <c r="L1523" s="375"/>
      <c r="M1523" s="368"/>
      <c r="N1523" s="368"/>
      <c r="O1523" s="370"/>
      <c r="T1523" s="340"/>
      <c r="V1523" s="378"/>
      <c r="W1523" s="64" ph="1"/>
      <c r="X1523" s="241"/>
      <c r="Y1523" s="284"/>
      <c r="Z1523" s="207"/>
      <c r="AA1523" s="284"/>
      <c r="AB1523" s="284"/>
      <c r="AC1523" s="284"/>
      <c r="AD1523" s="284"/>
      <c r="AE1523" s="284"/>
      <c r="AF1523" s="284"/>
      <c r="AG1523" s="284"/>
      <c r="AI1523" s="131"/>
    </row>
    <row r="1524" spans="1:35" ht="26.4">
      <c r="A1524" s="284"/>
      <c r="B1524" s="284"/>
      <c r="C1524" s="284"/>
      <c r="D1524" s="284"/>
      <c r="E1524" s="284"/>
      <c r="F1524" s="284"/>
      <c r="G1524" s="284"/>
      <c r="H1524" s="284"/>
      <c r="I1524" s="284"/>
      <c r="J1524" s="375"/>
      <c r="K1524" s="375"/>
      <c r="L1524" s="375"/>
      <c r="M1524" s="368"/>
      <c r="N1524" s="368"/>
      <c r="O1524" s="370"/>
      <c r="T1524" s="340"/>
      <c r="V1524" s="378"/>
      <c r="W1524" s="64" ph="1"/>
      <c r="X1524" s="241"/>
      <c r="Y1524" s="284"/>
      <c r="Z1524" s="207"/>
      <c r="AA1524" s="284"/>
      <c r="AB1524" s="284"/>
      <c r="AC1524" s="284"/>
      <c r="AD1524" s="284"/>
      <c r="AE1524" s="284"/>
      <c r="AF1524" s="284"/>
      <c r="AG1524" s="284"/>
      <c r="AI1524" s="131"/>
    </row>
    <row r="1525" spans="1:35" ht="26.4">
      <c r="A1525" s="284"/>
      <c r="B1525" s="284"/>
      <c r="C1525" s="284"/>
      <c r="D1525" s="284"/>
      <c r="E1525" s="284"/>
      <c r="F1525" s="284"/>
      <c r="G1525" s="284"/>
      <c r="H1525" s="284"/>
      <c r="I1525" s="284"/>
      <c r="J1525" s="375"/>
      <c r="K1525" s="375"/>
      <c r="L1525" s="375"/>
      <c r="M1525" s="368"/>
      <c r="N1525" s="368"/>
      <c r="O1525" s="370"/>
      <c r="T1525" s="340"/>
      <c r="V1525" s="378"/>
      <c r="W1525" s="64" ph="1"/>
      <c r="X1525" s="241"/>
      <c r="Y1525" s="284"/>
      <c r="Z1525" s="207"/>
      <c r="AA1525" s="284"/>
      <c r="AB1525" s="284"/>
      <c r="AC1525" s="284"/>
      <c r="AD1525" s="284"/>
      <c r="AE1525" s="284"/>
      <c r="AF1525" s="284"/>
      <c r="AG1525" s="284"/>
      <c r="AI1525" s="131"/>
    </row>
    <row r="1526" spans="1:35" ht="26.4">
      <c r="A1526" s="284"/>
      <c r="B1526" s="284"/>
      <c r="C1526" s="284"/>
      <c r="D1526" s="284"/>
      <c r="E1526" s="284"/>
      <c r="F1526" s="284"/>
      <c r="G1526" s="284"/>
      <c r="H1526" s="284"/>
      <c r="I1526" s="284"/>
      <c r="J1526" s="375"/>
      <c r="K1526" s="375"/>
      <c r="L1526" s="375"/>
      <c r="M1526" s="368"/>
      <c r="N1526" s="368"/>
      <c r="O1526" s="370"/>
      <c r="T1526" s="340"/>
      <c r="V1526" s="378"/>
      <c r="W1526" s="64" ph="1"/>
      <c r="X1526" s="241"/>
      <c r="Y1526" s="284"/>
      <c r="Z1526" s="207"/>
      <c r="AA1526" s="284"/>
      <c r="AB1526" s="284"/>
      <c r="AC1526" s="284"/>
      <c r="AD1526" s="284"/>
      <c r="AE1526" s="284"/>
      <c r="AF1526" s="284"/>
      <c r="AG1526" s="284"/>
      <c r="AI1526" s="131"/>
    </row>
    <row r="1527" spans="1:35">
      <c r="O1527" s="370"/>
      <c r="AI1527" s="131"/>
    </row>
    <row r="1528" spans="1:35" ht="26.4">
      <c r="A1528" s="284"/>
      <c r="B1528" s="284"/>
      <c r="C1528" s="284"/>
      <c r="D1528" s="284"/>
      <c r="E1528" s="284"/>
      <c r="F1528" s="284"/>
      <c r="G1528" s="284"/>
      <c r="H1528" s="284"/>
      <c r="I1528" s="284"/>
      <c r="J1528" s="375"/>
      <c r="K1528" s="375"/>
      <c r="L1528" s="375"/>
      <c r="M1528" s="368"/>
      <c r="N1528" s="368"/>
      <c r="O1528" s="370"/>
      <c r="T1528" s="340"/>
      <c r="V1528" s="378"/>
      <c r="W1528" s="64" ph="1"/>
      <c r="X1528" s="241"/>
      <c r="Y1528" s="284"/>
      <c r="Z1528" s="207"/>
      <c r="AA1528" s="284"/>
      <c r="AB1528" s="284"/>
      <c r="AC1528" s="284"/>
      <c r="AD1528" s="284"/>
      <c r="AE1528" s="284"/>
      <c r="AF1528" s="284"/>
      <c r="AG1528" s="284"/>
      <c r="AI1528" s="131"/>
    </row>
    <row r="1529" spans="1:35" ht="26.4">
      <c r="A1529" s="284"/>
      <c r="B1529" s="284"/>
      <c r="C1529" s="284"/>
      <c r="D1529" s="284"/>
      <c r="E1529" s="284"/>
      <c r="F1529" s="284"/>
      <c r="G1529" s="284"/>
      <c r="H1529" s="284"/>
      <c r="I1529" s="284"/>
      <c r="J1529" s="375"/>
      <c r="K1529" s="375"/>
      <c r="L1529" s="375"/>
      <c r="M1529" s="368"/>
      <c r="N1529" s="368"/>
      <c r="T1529" s="340"/>
      <c r="V1529" s="378"/>
      <c r="W1529" s="64" ph="1"/>
      <c r="X1529" s="241"/>
      <c r="Y1529" s="284"/>
      <c r="Z1529" s="207"/>
      <c r="AA1529" s="284"/>
      <c r="AB1529" s="284"/>
      <c r="AC1529" s="284"/>
      <c r="AD1529" s="284"/>
      <c r="AE1529" s="284"/>
      <c r="AF1529" s="284"/>
      <c r="AG1529" s="284"/>
      <c r="AI1529" s="284"/>
    </row>
    <row r="1530" spans="1:35" ht="26.4">
      <c r="A1530" s="284"/>
      <c r="B1530" s="284"/>
      <c r="C1530" s="284"/>
      <c r="D1530" s="284"/>
      <c r="E1530" s="284"/>
      <c r="F1530" s="284"/>
      <c r="G1530" s="284"/>
      <c r="H1530" s="284"/>
      <c r="I1530" s="284"/>
      <c r="J1530" s="375"/>
      <c r="K1530" s="375"/>
      <c r="L1530" s="375"/>
      <c r="M1530" s="368"/>
      <c r="N1530" s="368"/>
      <c r="O1530" s="370"/>
      <c r="T1530" s="340"/>
      <c r="V1530" s="378"/>
      <c r="W1530" s="64" ph="1"/>
      <c r="X1530" s="241"/>
      <c r="Y1530" s="284"/>
      <c r="Z1530" s="207"/>
      <c r="AA1530" s="284"/>
      <c r="AB1530" s="284"/>
      <c r="AC1530" s="284"/>
      <c r="AD1530" s="284"/>
      <c r="AE1530" s="284"/>
      <c r="AF1530" s="284"/>
      <c r="AG1530" s="284"/>
      <c r="AI1530" s="131"/>
    </row>
    <row r="1531" spans="1:35" ht="26.4">
      <c r="A1531" s="284"/>
      <c r="B1531" s="284"/>
      <c r="C1531" s="284"/>
      <c r="D1531" s="284"/>
      <c r="E1531" s="284"/>
      <c r="F1531" s="284"/>
      <c r="G1531" s="284"/>
      <c r="H1531" s="284"/>
      <c r="I1531" s="284"/>
      <c r="J1531" s="375"/>
      <c r="K1531" s="375"/>
      <c r="L1531" s="375"/>
      <c r="M1531" s="368"/>
      <c r="N1531" s="368"/>
      <c r="O1531" s="370"/>
      <c r="T1531" s="340"/>
      <c r="V1531" s="378"/>
      <c r="W1531" s="64" ph="1"/>
      <c r="X1531" s="241"/>
      <c r="Y1531" s="284"/>
      <c r="Z1531" s="207"/>
      <c r="AA1531" s="284"/>
      <c r="AB1531" s="284"/>
      <c r="AC1531" s="284"/>
      <c r="AD1531" s="284"/>
      <c r="AE1531" s="284"/>
      <c r="AF1531" s="284"/>
      <c r="AG1531" s="284"/>
      <c r="AI1531" s="131"/>
    </row>
    <row r="1532" spans="1:35" ht="26.4">
      <c r="A1532" s="284"/>
      <c r="B1532" s="284"/>
      <c r="C1532" s="284"/>
      <c r="D1532" s="284"/>
      <c r="E1532" s="284"/>
      <c r="F1532" s="284"/>
      <c r="G1532" s="284"/>
      <c r="H1532" s="284"/>
      <c r="I1532" s="284"/>
      <c r="J1532" s="375"/>
      <c r="K1532" s="375"/>
      <c r="L1532" s="375"/>
      <c r="M1532" s="368"/>
      <c r="N1532" s="368"/>
      <c r="O1532" s="370"/>
      <c r="T1532" s="340"/>
      <c r="V1532" s="378"/>
      <c r="W1532" s="64" ph="1"/>
      <c r="X1532" s="241"/>
      <c r="Y1532" s="284"/>
      <c r="Z1532" s="207"/>
      <c r="AA1532" s="284"/>
      <c r="AB1532" s="284"/>
      <c r="AC1532" s="284"/>
      <c r="AD1532" s="284"/>
      <c r="AE1532" s="284"/>
      <c r="AF1532" s="284"/>
      <c r="AG1532" s="284"/>
      <c r="AI1532" s="131"/>
    </row>
    <row r="1533" spans="1:35" ht="26.4">
      <c r="A1533" s="284"/>
      <c r="B1533" s="284"/>
      <c r="C1533" s="284"/>
      <c r="D1533" s="284"/>
      <c r="E1533" s="284"/>
      <c r="F1533" s="284"/>
      <c r="G1533" s="284"/>
      <c r="H1533" s="284"/>
      <c r="I1533" s="284"/>
      <c r="J1533" s="375"/>
      <c r="K1533" s="375"/>
      <c r="L1533" s="375"/>
      <c r="M1533" s="368"/>
      <c r="N1533" s="368"/>
      <c r="O1533" s="370"/>
      <c r="T1533" s="340"/>
      <c r="V1533" s="378"/>
      <c r="W1533" s="64" ph="1"/>
      <c r="X1533" s="241"/>
      <c r="Y1533" s="284"/>
      <c r="Z1533" s="207"/>
      <c r="AA1533" s="284"/>
      <c r="AB1533" s="284"/>
      <c r="AC1533" s="284"/>
      <c r="AD1533" s="284"/>
      <c r="AE1533" s="284"/>
      <c r="AF1533" s="284"/>
      <c r="AG1533" s="284"/>
      <c r="AI1533" s="131"/>
    </row>
    <row r="1534" spans="1:35" ht="26.4">
      <c r="A1534" s="284"/>
      <c r="B1534" s="284"/>
      <c r="C1534" s="284"/>
      <c r="D1534" s="284"/>
      <c r="E1534" s="284"/>
      <c r="F1534" s="284"/>
      <c r="G1534" s="284"/>
      <c r="H1534" s="284"/>
      <c r="I1534" s="284"/>
      <c r="J1534" s="375"/>
      <c r="K1534" s="375"/>
      <c r="L1534" s="375"/>
      <c r="M1534" s="368"/>
      <c r="N1534" s="368"/>
      <c r="O1534" s="370"/>
      <c r="T1534" s="340"/>
      <c r="V1534" s="378"/>
      <c r="W1534" s="64" ph="1"/>
      <c r="X1534" s="241"/>
      <c r="Y1534" s="284"/>
      <c r="Z1534" s="207"/>
      <c r="AA1534" s="284"/>
      <c r="AB1534" s="284"/>
      <c r="AC1534" s="284"/>
      <c r="AD1534" s="284"/>
      <c r="AE1534" s="284"/>
      <c r="AF1534" s="284"/>
      <c r="AG1534" s="284"/>
      <c r="AI1534" s="131"/>
    </row>
    <row r="1535" spans="1:35" ht="26.4">
      <c r="A1535" s="284"/>
      <c r="B1535" s="284"/>
      <c r="C1535" s="284"/>
      <c r="D1535" s="284"/>
      <c r="E1535" s="284"/>
      <c r="F1535" s="284"/>
      <c r="G1535" s="284"/>
      <c r="H1535" s="284"/>
      <c r="I1535" s="284"/>
      <c r="J1535" s="375"/>
      <c r="K1535" s="375"/>
      <c r="L1535" s="375"/>
      <c r="M1535" s="368"/>
      <c r="N1535" s="368"/>
      <c r="O1535" s="370"/>
      <c r="T1535" s="340"/>
      <c r="V1535" s="378"/>
      <c r="W1535" s="64" ph="1"/>
      <c r="X1535" s="241"/>
      <c r="Y1535" s="284"/>
      <c r="Z1535" s="207"/>
      <c r="AA1535" s="284"/>
      <c r="AB1535" s="284"/>
      <c r="AC1535" s="284"/>
      <c r="AD1535" s="284"/>
      <c r="AE1535" s="284"/>
      <c r="AF1535" s="284"/>
      <c r="AG1535" s="284"/>
      <c r="AI1535" s="131"/>
    </row>
    <row r="1536" spans="1:35">
      <c r="O1536" s="370"/>
      <c r="AI1536" s="131"/>
    </row>
    <row r="1537" spans="1:35" ht="26.4">
      <c r="A1537" s="284"/>
      <c r="B1537" s="284"/>
      <c r="C1537" s="284"/>
      <c r="D1537" s="284"/>
      <c r="E1537" s="284"/>
      <c r="F1537" s="284"/>
      <c r="G1537" s="284"/>
      <c r="H1537" s="284"/>
      <c r="I1537" s="284"/>
      <c r="J1537" s="375"/>
      <c r="K1537" s="375"/>
      <c r="L1537" s="375"/>
      <c r="M1537" s="368"/>
      <c r="N1537" s="368"/>
      <c r="O1537" s="370"/>
      <c r="T1537" s="340"/>
      <c r="V1537" s="378"/>
      <c r="W1537" s="64" ph="1"/>
      <c r="X1537" s="241"/>
      <c r="Y1537" s="284"/>
      <c r="Z1537" s="207"/>
      <c r="AA1537" s="284"/>
      <c r="AB1537" s="284"/>
      <c r="AC1537" s="284"/>
      <c r="AD1537" s="284"/>
      <c r="AE1537" s="284"/>
      <c r="AF1537" s="284"/>
      <c r="AG1537" s="284"/>
      <c r="AI1537" s="131"/>
    </row>
    <row r="1538" spans="1:35" ht="26.4">
      <c r="A1538" s="284"/>
      <c r="B1538" s="284"/>
      <c r="C1538" s="284"/>
      <c r="D1538" s="284"/>
      <c r="E1538" s="284"/>
      <c r="F1538" s="284"/>
      <c r="G1538" s="284"/>
      <c r="H1538" s="284"/>
      <c r="I1538" s="284"/>
      <c r="J1538" s="375"/>
      <c r="K1538" s="375"/>
      <c r="L1538" s="375"/>
      <c r="M1538" s="368"/>
      <c r="N1538" s="368"/>
      <c r="T1538" s="340"/>
      <c r="V1538" s="378"/>
      <c r="W1538" s="64" ph="1"/>
      <c r="X1538" s="241"/>
      <c r="Y1538" s="284"/>
      <c r="Z1538" s="207"/>
      <c r="AA1538" s="284"/>
      <c r="AB1538" s="284"/>
      <c r="AC1538" s="284"/>
      <c r="AD1538" s="284"/>
      <c r="AE1538" s="284"/>
      <c r="AF1538" s="284"/>
      <c r="AG1538" s="284"/>
      <c r="AI1538" s="131"/>
    </row>
    <row r="1539" spans="1:35" ht="26.4">
      <c r="A1539" s="284"/>
      <c r="B1539" s="284"/>
      <c r="C1539" s="284"/>
      <c r="D1539" s="284"/>
      <c r="E1539" s="284"/>
      <c r="F1539" s="284"/>
      <c r="G1539" s="284"/>
      <c r="H1539" s="284"/>
      <c r="I1539" s="284"/>
      <c r="J1539" s="375"/>
      <c r="K1539" s="375"/>
      <c r="L1539" s="375"/>
      <c r="M1539" s="368"/>
      <c r="N1539" s="368"/>
      <c r="O1539" s="370"/>
      <c r="T1539" s="340"/>
      <c r="V1539" s="378"/>
      <c r="W1539" s="64" ph="1"/>
      <c r="X1539" s="241"/>
      <c r="Y1539" s="284"/>
      <c r="Z1539" s="207"/>
      <c r="AA1539" s="284"/>
      <c r="AB1539" s="284"/>
      <c r="AC1539" s="284"/>
      <c r="AD1539" s="284"/>
      <c r="AE1539" s="284"/>
      <c r="AF1539" s="284"/>
      <c r="AG1539" s="284"/>
      <c r="AI1539" s="131"/>
    </row>
    <row r="1540" spans="1:35" ht="26.4">
      <c r="A1540" s="284"/>
      <c r="B1540" s="284"/>
      <c r="C1540" s="284"/>
      <c r="D1540" s="284"/>
      <c r="E1540" s="284"/>
      <c r="F1540" s="284"/>
      <c r="G1540" s="284"/>
      <c r="H1540" s="284"/>
      <c r="I1540" s="284"/>
      <c r="J1540" s="375"/>
      <c r="K1540" s="375"/>
      <c r="L1540" s="375"/>
      <c r="M1540" s="368"/>
      <c r="N1540" s="368"/>
      <c r="O1540" s="370"/>
      <c r="T1540" s="340"/>
      <c r="V1540" s="378"/>
      <c r="W1540" s="64" ph="1"/>
      <c r="X1540" s="241"/>
      <c r="Y1540" s="284"/>
      <c r="Z1540" s="207"/>
      <c r="AA1540" s="284"/>
      <c r="AB1540" s="284"/>
      <c r="AC1540" s="284"/>
      <c r="AD1540" s="284"/>
      <c r="AE1540" s="284"/>
      <c r="AF1540" s="284"/>
      <c r="AG1540" s="284"/>
      <c r="AI1540" s="131"/>
    </row>
    <row r="1541" spans="1:35" ht="26.4">
      <c r="A1541" s="284"/>
      <c r="B1541" s="284"/>
      <c r="C1541" s="284"/>
      <c r="D1541" s="284"/>
      <c r="E1541" s="284"/>
      <c r="F1541" s="284"/>
      <c r="G1541" s="284"/>
      <c r="H1541" s="284"/>
      <c r="I1541" s="284"/>
      <c r="J1541" s="375"/>
      <c r="K1541" s="375"/>
      <c r="L1541" s="375"/>
      <c r="M1541" s="368"/>
      <c r="N1541" s="368"/>
      <c r="O1541" s="370"/>
      <c r="T1541" s="340"/>
      <c r="V1541" s="378"/>
      <c r="W1541" s="64" ph="1"/>
      <c r="X1541" s="241"/>
      <c r="Y1541" s="284"/>
      <c r="Z1541" s="207"/>
      <c r="AA1541" s="284"/>
      <c r="AB1541" s="284"/>
      <c r="AC1541" s="284"/>
      <c r="AD1541" s="284"/>
      <c r="AE1541" s="284"/>
      <c r="AF1541" s="284"/>
      <c r="AG1541" s="284"/>
      <c r="AI1541" s="131"/>
    </row>
    <row r="1542" spans="1:35" ht="26.4">
      <c r="A1542" s="284"/>
      <c r="B1542" s="284"/>
      <c r="C1542" s="284"/>
      <c r="D1542" s="284"/>
      <c r="E1542" s="284"/>
      <c r="F1542" s="284"/>
      <c r="G1542" s="284"/>
      <c r="H1542" s="284"/>
      <c r="I1542" s="284"/>
      <c r="J1542" s="375"/>
      <c r="K1542" s="375"/>
      <c r="L1542" s="375"/>
      <c r="M1542" s="368"/>
      <c r="N1542" s="368"/>
      <c r="O1542" s="370"/>
      <c r="T1542" s="340"/>
      <c r="V1542" s="378"/>
      <c r="W1542" s="64" ph="1"/>
      <c r="X1542" s="241"/>
      <c r="Y1542" s="284"/>
      <c r="Z1542" s="207"/>
      <c r="AA1542" s="284"/>
      <c r="AB1542" s="284"/>
      <c r="AC1542" s="284"/>
      <c r="AD1542" s="284"/>
      <c r="AE1542" s="284"/>
      <c r="AF1542" s="284"/>
      <c r="AG1542" s="284"/>
      <c r="AI1542" s="131"/>
    </row>
    <row r="1543" spans="1:35" ht="26.4">
      <c r="A1543" s="284"/>
      <c r="B1543" s="284"/>
      <c r="C1543" s="284"/>
      <c r="D1543" s="284"/>
      <c r="E1543" s="284"/>
      <c r="F1543" s="284"/>
      <c r="G1543" s="284"/>
      <c r="H1543" s="284"/>
      <c r="I1543" s="284"/>
      <c r="J1543" s="375"/>
      <c r="K1543" s="375"/>
      <c r="L1543" s="375"/>
      <c r="M1543" s="368"/>
      <c r="N1543" s="368"/>
      <c r="O1543" s="370"/>
      <c r="T1543" s="340"/>
      <c r="V1543" s="378"/>
      <c r="W1543" s="64" ph="1"/>
      <c r="X1543" s="241"/>
      <c r="Y1543" s="284"/>
      <c r="Z1543" s="207"/>
      <c r="AA1543" s="284"/>
      <c r="AB1543" s="284"/>
      <c r="AC1543" s="284"/>
      <c r="AD1543" s="284"/>
      <c r="AE1543" s="284"/>
      <c r="AF1543" s="284"/>
      <c r="AG1543" s="284"/>
      <c r="AI1543" s="131"/>
    </row>
    <row r="1544" spans="1:35" ht="26.4">
      <c r="A1544" s="284"/>
      <c r="B1544" s="284"/>
      <c r="C1544" s="284"/>
      <c r="D1544" s="284"/>
      <c r="E1544" s="284"/>
      <c r="F1544" s="284"/>
      <c r="G1544" s="284"/>
      <c r="H1544" s="284"/>
      <c r="I1544" s="284"/>
      <c r="J1544" s="375"/>
      <c r="K1544" s="375"/>
      <c r="L1544" s="375"/>
      <c r="M1544" s="368"/>
      <c r="N1544" s="368"/>
      <c r="O1544" s="370"/>
      <c r="T1544" s="340"/>
      <c r="V1544" s="378"/>
      <c r="W1544" s="64" ph="1"/>
      <c r="X1544" s="241"/>
      <c r="Y1544" s="284"/>
      <c r="Z1544" s="207"/>
      <c r="AA1544" s="284"/>
      <c r="AB1544" s="284"/>
      <c r="AC1544" s="284"/>
      <c r="AD1544" s="284"/>
      <c r="AE1544" s="284"/>
      <c r="AF1544" s="284"/>
      <c r="AG1544" s="284"/>
      <c r="AI1544" s="28"/>
    </row>
    <row r="1545" spans="1:35" ht="26.4">
      <c r="A1545" s="284"/>
      <c r="B1545" s="284"/>
      <c r="C1545" s="284"/>
      <c r="D1545" s="284"/>
      <c r="E1545" s="284"/>
      <c r="F1545" s="284"/>
      <c r="G1545" s="284"/>
      <c r="H1545" s="284"/>
      <c r="I1545" s="284"/>
      <c r="J1545" s="375"/>
      <c r="K1545" s="375"/>
      <c r="L1545" s="375"/>
      <c r="M1545" s="368"/>
      <c r="N1545" s="368"/>
      <c r="O1545" s="370"/>
      <c r="T1545" s="340"/>
      <c r="V1545" s="378"/>
      <c r="W1545" s="64" ph="1"/>
      <c r="X1545" s="241"/>
      <c r="Y1545" s="284"/>
      <c r="Z1545" s="207"/>
      <c r="AA1545" s="284"/>
      <c r="AB1545" s="284"/>
      <c r="AC1545" s="284"/>
      <c r="AD1545" s="284"/>
      <c r="AE1545" s="284"/>
      <c r="AF1545" s="284"/>
      <c r="AG1545" s="284"/>
      <c r="AI1545" s="131"/>
    </row>
    <row r="1546" spans="1:35" ht="26.4">
      <c r="A1546" s="284"/>
      <c r="B1546" s="284"/>
      <c r="C1546" s="284"/>
      <c r="D1546" s="284"/>
      <c r="E1546" s="284"/>
      <c r="F1546" s="284"/>
      <c r="G1546" s="284"/>
      <c r="H1546" s="284"/>
      <c r="I1546" s="284"/>
      <c r="J1546" s="375"/>
      <c r="K1546" s="375"/>
      <c r="L1546" s="375"/>
      <c r="M1546" s="368"/>
      <c r="N1546" s="368"/>
      <c r="O1546" s="370"/>
      <c r="T1546" s="340"/>
      <c r="V1546" s="378"/>
      <c r="W1546" s="64" ph="1"/>
      <c r="X1546" s="241"/>
      <c r="Y1546" s="284"/>
      <c r="Z1546" s="207"/>
      <c r="AA1546" s="284"/>
      <c r="AB1546" s="284"/>
      <c r="AC1546" s="284"/>
      <c r="AD1546" s="284"/>
      <c r="AE1546" s="284"/>
      <c r="AF1546" s="284"/>
      <c r="AG1546" s="284"/>
      <c r="AI1546" s="131"/>
    </row>
    <row r="1547" spans="1:35" ht="26.4">
      <c r="A1547" s="284"/>
      <c r="B1547" s="284"/>
      <c r="C1547" s="284"/>
      <c r="D1547" s="284"/>
      <c r="E1547" s="284"/>
      <c r="F1547" s="284"/>
      <c r="G1547" s="284"/>
      <c r="H1547" s="284"/>
      <c r="I1547" s="284"/>
      <c r="J1547" s="375"/>
      <c r="K1547" s="375"/>
      <c r="L1547" s="375"/>
      <c r="M1547" s="368"/>
      <c r="N1547" s="368"/>
      <c r="O1547" s="370"/>
      <c r="T1547" s="340"/>
      <c r="V1547" s="378"/>
      <c r="W1547" s="64" ph="1"/>
      <c r="X1547" s="241"/>
      <c r="Y1547" s="284"/>
      <c r="Z1547" s="207"/>
      <c r="AA1547" s="284"/>
      <c r="AB1547" s="284"/>
      <c r="AC1547" s="284"/>
      <c r="AD1547" s="284"/>
      <c r="AE1547" s="284"/>
      <c r="AF1547" s="284"/>
      <c r="AG1547" s="284"/>
      <c r="AI1547" s="131"/>
    </row>
    <row r="1548" spans="1:35" ht="26.4">
      <c r="A1548" s="284"/>
      <c r="B1548" s="284"/>
      <c r="C1548" s="284"/>
      <c r="D1548" s="284"/>
      <c r="E1548" s="284"/>
      <c r="F1548" s="284"/>
      <c r="G1548" s="284"/>
      <c r="H1548" s="284"/>
      <c r="I1548" s="284"/>
      <c r="J1548" s="375"/>
      <c r="K1548" s="375"/>
      <c r="L1548" s="375"/>
      <c r="M1548" s="368"/>
      <c r="N1548" s="368"/>
      <c r="O1548" s="370"/>
      <c r="T1548" s="340"/>
      <c r="V1548" s="378"/>
      <c r="W1548" s="64" ph="1"/>
      <c r="X1548" s="241"/>
      <c r="Y1548" s="284"/>
      <c r="Z1548" s="207"/>
      <c r="AA1548" s="284"/>
      <c r="AB1548" s="284"/>
      <c r="AC1548" s="284"/>
      <c r="AD1548" s="284"/>
      <c r="AE1548" s="284"/>
      <c r="AF1548" s="284"/>
      <c r="AG1548" s="284"/>
      <c r="AI1548" s="131"/>
    </row>
    <row r="1549" spans="1:35" ht="26.4">
      <c r="A1549" s="284"/>
      <c r="B1549" s="284"/>
      <c r="C1549" s="284"/>
      <c r="D1549" s="284"/>
      <c r="E1549" s="284"/>
      <c r="F1549" s="284"/>
      <c r="G1549" s="284"/>
      <c r="H1549" s="284"/>
      <c r="I1549" s="284"/>
      <c r="J1549" s="375"/>
      <c r="K1549" s="375"/>
      <c r="L1549" s="375"/>
      <c r="M1549" s="368"/>
      <c r="N1549" s="368"/>
      <c r="O1549" s="370"/>
      <c r="T1549" s="340"/>
      <c r="V1549" s="378"/>
      <c r="W1549" s="64" ph="1"/>
      <c r="X1549" s="241"/>
      <c r="Y1549" s="284"/>
      <c r="Z1549" s="207"/>
      <c r="AA1549" s="284"/>
      <c r="AB1549" s="284"/>
      <c r="AC1549" s="284"/>
      <c r="AD1549" s="284"/>
      <c r="AE1549" s="284"/>
      <c r="AF1549" s="284"/>
      <c r="AG1549" s="284"/>
      <c r="AI1549" s="131"/>
    </row>
    <row r="1550" spans="1:35" ht="26.4">
      <c r="A1550" s="284"/>
      <c r="B1550" s="284"/>
      <c r="C1550" s="284"/>
      <c r="D1550" s="284"/>
      <c r="E1550" s="284"/>
      <c r="F1550" s="284"/>
      <c r="G1550" s="284"/>
      <c r="H1550" s="284"/>
      <c r="I1550" s="284"/>
      <c r="J1550" s="375"/>
      <c r="K1550" s="375"/>
      <c r="L1550" s="375"/>
      <c r="M1550" s="368"/>
      <c r="N1550" s="368"/>
      <c r="O1550" s="370"/>
      <c r="T1550" s="340"/>
      <c r="V1550" s="378"/>
      <c r="W1550" s="64" ph="1"/>
      <c r="X1550" s="241"/>
      <c r="Y1550" s="284"/>
      <c r="Z1550" s="207"/>
      <c r="AA1550" s="284"/>
      <c r="AB1550" s="284"/>
      <c r="AC1550" s="284"/>
      <c r="AD1550" s="284"/>
      <c r="AE1550" s="284"/>
      <c r="AF1550" s="284"/>
      <c r="AG1550" s="284"/>
      <c r="AI1550" s="131"/>
    </row>
    <row r="1551" spans="1:35" ht="26.4">
      <c r="A1551" s="284"/>
      <c r="B1551" s="284"/>
      <c r="C1551" s="284"/>
      <c r="D1551" s="284"/>
      <c r="E1551" s="284"/>
      <c r="F1551" s="284"/>
      <c r="G1551" s="284"/>
      <c r="H1551" s="284"/>
      <c r="I1551" s="284"/>
      <c r="J1551" s="375"/>
      <c r="K1551" s="375"/>
      <c r="L1551" s="375"/>
      <c r="M1551" s="368"/>
      <c r="N1551" s="368"/>
      <c r="O1551" s="370"/>
      <c r="T1551" s="340"/>
      <c r="V1551" s="378"/>
      <c r="W1551" s="64" ph="1"/>
      <c r="X1551" s="241"/>
      <c r="Y1551" s="284"/>
      <c r="Z1551" s="207"/>
      <c r="AA1551" s="284"/>
      <c r="AB1551" s="284"/>
      <c r="AC1551" s="284"/>
      <c r="AD1551" s="284"/>
      <c r="AE1551" s="284"/>
      <c r="AF1551" s="284"/>
      <c r="AG1551" s="284"/>
      <c r="AI1551" s="131"/>
    </row>
    <row r="1552" spans="1:35" ht="26.4">
      <c r="A1552" s="284"/>
      <c r="B1552" s="284"/>
      <c r="C1552" s="284"/>
      <c r="D1552" s="284"/>
      <c r="E1552" s="284"/>
      <c r="F1552" s="284"/>
      <c r="G1552" s="284"/>
      <c r="H1552" s="284"/>
      <c r="I1552" s="284"/>
      <c r="J1552" s="375"/>
      <c r="K1552" s="375"/>
      <c r="L1552" s="375"/>
      <c r="M1552" s="368"/>
      <c r="N1552" s="368"/>
      <c r="O1552" s="370"/>
      <c r="T1552" s="340"/>
      <c r="V1552" s="378"/>
      <c r="W1552" s="64" ph="1"/>
      <c r="X1552" s="241"/>
      <c r="Y1552" s="284"/>
      <c r="Z1552" s="207"/>
      <c r="AA1552" s="284"/>
      <c r="AB1552" s="284"/>
      <c r="AC1552" s="284"/>
      <c r="AD1552" s="284"/>
      <c r="AE1552" s="284"/>
      <c r="AF1552" s="284"/>
      <c r="AG1552" s="284"/>
      <c r="AI1552" s="131"/>
    </row>
    <row r="1553" spans="1:35" ht="26.4">
      <c r="A1553" s="284"/>
      <c r="B1553" s="284"/>
      <c r="C1553" s="284"/>
      <c r="D1553" s="284"/>
      <c r="E1553" s="284"/>
      <c r="F1553" s="284"/>
      <c r="G1553" s="284"/>
      <c r="H1553" s="284"/>
      <c r="I1553" s="284"/>
      <c r="J1553" s="375"/>
      <c r="K1553" s="375"/>
      <c r="L1553" s="375"/>
      <c r="M1553" s="368"/>
      <c r="N1553" s="368"/>
      <c r="O1553" s="370"/>
      <c r="T1553" s="340"/>
      <c r="V1553" s="378"/>
      <c r="W1553" s="64" ph="1"/>
      <c r="X1553" s="241"/>
      <c r="Y1553" s="284"/>
      <c r="Z1553" s="207"/>
      <c r="AA1553" s="284"/>
      <c r="AB1553" s="284"/>
      <c r="AC1553" s="284"/>
      <c r="AD1553" s="284"/>
      <c r="AE1553" s="284"/>
      <c r="AF1553" s="284"/>
      <c r="AG1553" s="284"/>
      <c r="AI1553" s="131"/>
    </row>
    <row r="1554" spans="1:35" ht="26.4">
      <c r="A1554" s="284"/>
      <c r="B1554" s="284"/>
      <c r="C1554" s="284"/>
      <c r="D1554" s="284"/>
      <c r="E1554" s="284"/>
      <c r="F1554" s="284"/>
      <c r="G1554" s="284"/>
      <c r="H1554" s="284"/>
      <c r="I1554" s="284"/>
      <c r="J1554" s="375"/>
      <c r="K1554" s="375"/>
      <c r="L1554" s="375"/>
      <c r="M1554" s="368"/>
      <c r="N1554" s="368"/>
      <c r="O1554" s="370"/>
      <c r="T1554" s="340"/>
      <c r="V1554" s="378"/>
      <c r="W1554" s="64" ph="1"/>
      <c r="X1554" s="241"/>
      <c r="Y1554" s="284"/>
      <c r="Z1554" s="207"/>
      <c r="AA1554" s="284"/>
      <c r="AB1554" s="284"/>
      <c r="AC1554" s="284"/>
      <c r="AD1554" s="284"/>
      <c r="AE1554" s="284"/>
      <c r="AF1554" s="284"/>
      <c r="AG1554" s="284"/>
      <c r="AI1554" s="131"/>
    </row>
    <row r="1555" spans="1:35" ht="26.4">
      <c r="A1555" s="284"/>
      <c r="B1555" s="284"/>
      <c r="C1555" s="284"/>
      <c r="D1555" s="284"/>
      <c r="E1555" s="284"/>
      <c r="F1555" s="284"/>
      <c r="G1555" s="284"/>
      <c r="H1555" s="284"/>
      <c r="I1555" s="284"/>
      <c r="J1555" s="375"/>
      <c r="K1555" s="375"/>
      <c r="L1555" s="375"/>
      <c r="M1555" s="368"/>
      <c r="N1555" s="368"/>
      <c r="O1555" s="370"/>
      <c r="T1555" s="340"/>
      <c r="V1555" s="378"/>
      <c r="W1555" s="64" ph="1"/>
      <c r="X1555" s="241"/>
      <c r="Y1555" s="284"/>
      <c r="Z1555" s="207"/>
      <c r="AA1555" s="284"/>
      <c r="AB1555" s="284"/>
      <c r="AC1555" s="284"/>
      <c r="AD1555" s="284"/>
      <c r="AE1555" s="284"/>
      <c r="AF1555" s="284"/>
      <c r="AG1555" s="284"/>
      <c r="AI1555" s="131"/>
    </row>
    <row r="1556" spans="1:35" ht="26.4">
      <c r="A1556" s="284"/>
      <c r="B1556" s="284"/>
      <c r="C1556" s="284"/>
      <c r="D1556" s="284"/>
      <c r="E1556" s="284"/>
      <c r="F1556" s="284"/>
      <c r="G1556" s="284"/>
      <c r="H1556" s="284"/>
      <c r="I1556" s="284"/>
      <c r="J1556" s="375"/>
      <c r="K1556" s="375"/>
      <c r="L1556" s="375"/>
      <c r="M1556" s="368"/>
      <c r="N1556" s="368"/>
      <c r="O1556" s="370"/>
      <c r="T1556" s="340"/>
      <c r="V1556" s="378"/>
      <c r="W1556" s="64" ph="1"/>
      <c r="X1556" s="241"/>
      <c r="Y1556" s="284"/>
      <c r="Z1556" s="207"/>
      <c r="AA1556" s="284"/>
      <c r="AB1556" s="284"/>
      <c r="AC1556" s="284"/>
      <c r="AD1556" s="284"/>
      <c r="AE1556" s="284"/>
      <c r="AF1556" s="284"/>
      <c r="AG1556" s="284"/>
      <c r="AI1556" s="131"/>
    </row>
    <row r="1557" spans="1:35" ht="26.4">
      <c r="A1557" s="284"/>
      <c r="B1557" s="284"/>
      <c r="C1557" s="284"/>
      <c r="D1557" s="284"/>
      <c r="E1557" s="284"/>
      <c r="F1557" s="284"/>
      <c r="G1557" s="284"/>
      <c r="H1557" s="284"/>
      <c r="I1557" s="284"/>
      <c r="J1557" s="375"/>
      <c r="K1557" s="375"/>
      <c r="L1557" s="375"/>
      <c r="M1557" s="368"/>
      <c r="N1557" s="368"/>
      <c r="O1557" s="370"/>
      <c r="T1557" s="340"/>
      <c r="V1557" s="378"/>
      <c r="W1557" s="64" ph="1"/>
      <c r="X1557" s="241"/>
      <c r="Y1557" s="284"/>
      <c r="Z1557" s="207"/>
      <c r="AA1557" s="284"/>
      <c r="AB1557" s="284"/>
      <c r="AC1557" s="284"/>
      <c r="AD1557" s="284"/>
      <c r="AE1557" s="284"/>
      <c r="AF1557" s="284"/>
      <c r="AG1557" s="284"/>
      <c r="AI1557" s="131"/>
    </row>
    <row r="1558" spans="1:35" ht="26.4">
      <c r="A1558" s="284"/>
      <c r="B1558" s="284"/>
      <c r="C1558" s="284"/>
      <c r="D1558" s="284"/>
      <c r="E1558" s="284"/>
      <c r="F1558" s="284"/>
      <c r="G1558" s="284"/>
      <c r="H1558" s="284"/>
      <c r="I1558" s="284"/>
      <c r="J1558" s="375"/>
      <c r="K1558" s="375"/>
      <c r="L1558" s="375"/>
      <c r="M1558" s="368"/>
      <c r="N1558" s="368"/>
      <c r="O1558" s="370"/>
      <c r="T1558" s="340"/>
      <c r="V1558" s="378"/>
      <c r="W1558" s="64" ph="1"/>
      <c r="X1558" s="241"/>
      <c r="Y1558" s="284"/>
      <c r="Z1558" s="207"/>
      <c r="AA1558" s="284"/>
      <c r="AB1558" s="284"/>
      <c r="AC1558" s="284"/>
      <c r="AD1558" s="284"/>
      <c r="AE1558" s="284"/>
      <c r="AF1558" s="284"/>
      <c r="AG1558" s="284"/>
      <c r="AI1558" s="284"/>
    </row>
    <row r="1559" spans="1:35" ht="26.4">
      <c r="A1559" s="284"/>
      <c r="B1559" s="284"/>
      <c r="C1559" s="284"/>
      <c r="D1559" s="284"/>
      <c r="E1559" s="284"/>
      <c r="F1559" s="284"/>
      <c r="G1559" s="284"/>
      <c r="H1559" s="284"/>
      <c r="I1559" s="284"/>
      <c r="J1559" s="375"/>
      <c r="K1559" s="375"/>
      <c r="L1559" s="375"/>
      <c r="M1559" s="368"/>
      <c r="N1559" s="368"/>
      <c r="O1559" s="370"/>
      <c r="T1559" s="340"/>
      <c r="V1559" s="378"/>
      <c r="W1559" s="64" ph="1"/>
      <c r="X1559" s="241"/>
      <c r="Y1559" s="284"/>
      <c r="Z1559" s="207"/>
      <c r="AA1559" s="284"/>
      <c r="AB1559" s="284"/>
      <c r="AC1559" s="284"/>
      <c r="AD1559" s="284"/>
      <c r="AE1559" s="284"/>
      <c r="AF1559" s="284"/>
      <c r="AG1559" s="284"/>
      <c r="AI1559" s="131"/>
    </row>
    <row r="1560" spans="1:35" ht="26.4">
      <c r="A1560" s="284"/>
      <c r="B1560" s="284"/>
      <c r="C1560" s="284"/>
      <c r="D1560" s="284"/>
      <c r="E1560" s="284"/>
      <c r="F1560" s="284"/>
      <c r="G1560" s="284"/>
      <c r="H1560" s="284"/>
      <c r="I1560" s="284"/>
      <c r="J1560" s="375"/>
      <c r="K1560" s="375"/>
      <c r="L1560" s="375"/>
      <c r="M1560" s="368"/>
      <c r="N1560" s="368"/>
      <c r="O1560" s="370"/>
      <c r="T1560" s="340"/>
      <c r="V1560" s="378"/>
      <c r="W1560" s="64" ph="1"/>
      <c r="X1560" s="241"/>
      <c r="Y1560" s="284"/>
      <c r="Z1560" s="207"/>
      <c r="AA1560" s="284"/>
      <c r="AB1560" s="284"/>
      <c r="AC1560" s="284"/>
      <c r="AD1560" s="284"/>
      <c r="AE1560" s="284"/>
      <c r="AF1560" s="284"/>
      <c r="AG1560" s="284"/>
      <c r="AI1560" s="131"/>
    </row>
    <row r="1561" spans="1:35" ht="26.4">
      <c r="A1561" s="284"/>
      <c r="B1561" s="284"/>
      <c r="C1561" s="284"/>
      <c r="D1561" s="284"/>
      <c r="E1561" s="284"/>
      <c r="F1561" s="284"/>
      <c r="G1561" s="284"/>
      <c r="H1561" s="284"/>
      <c r="I1561" s="284"/>
      <c r="J1561" s="375"/>
      <c r="K1561" s="375"/>
      <c r="L1561" s="375"/>
      <c r="M1561" s="368"/>
      <c r="N1561" s="368"/>
      <c r="O1561" s="370"/>
      <c r="T1561" s="340"/>
      <c r="V1561" s="378"/>
      <c r="W1561" s="64" ph="1"/>
      <c r="X1561" s="241"/>
      <c r="Y1561" s="284"/>
      <c r="Z1561" s="207"/>
      <c r="AA1561" s="284"/>
      <c r="AB1561" s="284"/>
      <c r="AC1561" s="284"/>
      <c r="AD1561" s="284"/>
      <c r="AE1561" s="284"/>
      <c r="AF1561" s="284"/>
      <c r="AG1561" s="284"/>
      <c r="AI1561" s="131"/>
    </row>
    <row r="1562" spans="1:35" ht="26.4">
      <c r="A1562" s="284"/>
      <c r="B1562" s="284"/>
      <c r="C1562" s="284"/>
      <c r="D1562" s="284"/>
      <c r="E1562" s="284"/>
      <c r="F1562" s="284"/>
      <c r="G1562" s="284"/>
      <c r="H1562" s="284"/>
      <c r="I1562" s="284"/>
      <c r="J1562" s="375"/>
      <c r="K1562" s="375"/>
      <c r="L1562" s="375"/>
      <c r="M1562" s="368"/>
      <c r="N1562" s="368"/>
      <c r="O1562" s="370"/>
      <c r="T1562" s="340"/>
      <c r="V1562" s="378"/>
      <c r="W1562" s="64" ph="1"/>
      <c r="X1562" s="241"/>
      <c r="Y1562" s="284"/>
      <c r="Z1562" s="207"/>
      <c r="AA1562" s="284"/>
      <c r="AB1562" s="284"/>
      <c r="AC1562" s="284"/>
      <c r="AD1562" s="284"/>
      <c r="AE1562" s="284"/>
      <c r="AF1562" s="284"/>
      <c r="AG1562" s="284"/>
      <c r="AI1562" s="131"/>
    </row>
    <row r="1563" spans="1:35" ht="26.4">
      <c r="A1563" s="284"/>
      <c r="B1563" s="284"/>
      <c r="C1563" s="284"/>
      <c r="D1563" s="284"/>
      <c r="E1563" s="284"/>
      <c r="F1563" s="284"/>
      <c r="G1563" s="284"/>
      <c r="H1563" s="284"/>
      <c r="I1563" s="284"/>
      <c r="J1563" s="375"/>
      <c r="K1563" s="375"/>
      <c r="L1563" s="375"/>
      <c r="M1563" s="368"/>
      <c r="N1563" s="368"/>
      <c r="O1563" s="370"/>
      <c r="T1563" s="340"/>
      <c r="V1563" s="378"/>
      <c r="W1563" s="64" ph="1"/>
      <c r="X1563" s="241"/>
      <c r="Y1563" s="284"/>
      <c r="Z1563" s="207"/>
      <c r="AA1563" s="284"/>
      <c r="AB1563" s="284"/>
      <c r="AC1563" s="284"/>
      <c r="AD1563" s="284"/>
      <c r="AE1563" s="284"/>
      <c r="AF1563" s="284"/>
      <c r="AG1563" s="284"/>
      <c r="AI1563" s="131"/>
    </row>
    <row r="1564" spans="1:35" ht="26.4">
      <c r="A1564" s="284"/>
      <c r="B1564" s="284"/>
      <c r="C1564" s="284"/>
      <c r="D1564" s="284"/>
      <c r="E1564" s="284"/>
      <c r="F1564" s="284"/>
      <c r="G1564" s="284"/>
      <c r="H1564" s="284"/>
      <c r="I1564" s="284"/>
      <c r="J1564" s="375"/>
      <c r="K1564" s="375"/>
      <c r="L1564" s="375"/>
      <c r="M1564" s="368"/>
      <c r="N1564" s="368"/>
      <c r="O1564" s="370"/>
      <c r="T1564" s="340"/>
      <c r="V1564" s="378"/>
      <c r="W1564" s="64" ph="1"/>
      <c r="X1564" s="241"/>
      <c r="Y1564" s="284"/>
      <c r="Z1564" s="207"/>
      <c r="AA1564" s="284"/>
      <c r="AB1564" s="284"/>
      <c r="AC1564" s="284"/>
      <c r="AD1564" s="284"/>
      <c r="AE1564" s="284"/>
      <c r="AF1564" s="284"/>
      <c r="AG1564" s="284"/>
      <c r="AI1564" s="131"/>
    </row>
    <row r="1565" spans="1:35" ht="26.4">
      <c r="A1565" s="284"/>
      <c r="B1565" s="284"/>
      <c r="C1565" s="284"/>
      <c r="D1565" s="284"/>
      <c r="E1565" s="284"/>
      <c r="F1565" s="284"/>
      <c r="G1565" s="284"/>
      <c r="H1565" s="284"/>
      <c r="I1565" s="284"/>
      <c r="J1565" s="375"/>
      <c r="K1565" s="375"/>
      <c r="L1565" s="375"/>
      <c r="M1565" s="368"/>
      <c r="N1565" s="368"/>
      <c r="O1565" s="370"/>
      <c r="T1565" s="340"/>
      <c r="V1565" s="378"/>
      <c r="W1565" s="64" ph="1"/>
      <c r="X1565" s="241"/>
      <c r="Y1565" s="284"/>
      <c r="Z1565" s="207"/>
      <c r="AA1565" s="284"/>
      <c r="AB1565" s="284"/>
      <c r="AC1565" s="284"/>
      <c r="AD1565" s="284"/>
      <c r="AE1565" s="284"/>
      <c r="AF1565" s="284"/>
      <c r="AG1565" s="284"/>
      <c r="AI1565" s="131"/>
    </row>
    <row r="1566" spans="1:35" ht="26.4">
      <c r="A1566" s="284"/>
      <c r="B1566" s="284"/>
      <c r="C1566" s="284"/>
      <c r="D1566" s="284"/>
      <c r="E1566" s="284"/>
      <c r="F1566" s="284"/>
      <c r="G1566" s="284"/>
      <c r="H1566" s="284"/>
      <c r="I1566" s="284"/>
      <c r="J1566" s="375"/>
      <c r="K1566" s="375"/>
      <c r="L1566" s="375"/>
      <c r="M1566" s="368"/>
      <c r="N1566" s="368"/>
      <c r="O1566" s="370"/>
      <c r="T1566" s="340"/>
      <c r="V1566" s="378"/>
      <c r="W1566" s="64" ph="1"/>
      <c r="X1566" s="241"/>
      <c r="Y1566" s="284"/>
      <c r="Z1566" s="207"/>
      <c r="AA1566" s="284"/>
      <c r="AB1566" s="284"/>
      <c r="AC1566" s="284"/>
      <c r="AD1566" s="284"/>
      <c r="AE1566" s="284"/>
      <c r="AF1566" s="284"/>
      <c r="AG1566" s="284"/>
      <c r="AI1566" s="131"/>
    </row>
    <row r="1567" spans="1:35" ht="26.4">
      <c r="A1567" s="284"/>
      <c r="B1567" s="284"/>
      <c r="C1567" s="284"/>
      <c r="D1567" s="284"/>
      <c r="E1567" s="284"/>
      <c r="F1567" s="284"/>
      <c r="G1567" s="284"/>
      <c r="H1567" s="284"/>
      <c r="I1567" s="284"/>
      <c r="J1567" s="375"/>
      <c r="K1567" s="375"/>
      <c r="L1567" s="375"/>
      <c r="M1567" s="368"/>
      <c r="N1567" s="368"/>
      <c r="O1567" s="370"/>
      <c r="T1567" s="340"/>
      <c r="V1567" s="378"/>
      <c r="W1567" s="64" ph="1"/>
      <c r="X1567" s="241"/>
      <c r="Y1567" s="284"/>
      <c r="Z1567" s="207"/>
      <c r="AA1567" s="284"/>
      <c r="AB1567" s="284"/>
      <c r="AC1567" s="284"/>
      <c r="AD1567" s="284"/>
      <c r="AE1567" s="284"/>
      <c r="AF1567" s="284"/>
      <c r="AG1567" s="284"/>
      <c r="AI1567" s="131"/>
    </row>
    <row r="1568" spans="1:35" ht="26.4">
      <c r="A1568" s="284"/>
      <c r="B1568" s="284"/>
      <c r="C1568" s="284"/>
      <c r="D1568" s="284"/>
      <c r="E1568" s="284"/>
      <c r="F1568" s="284"/>
      <c r="G1568" s="284"/>
      <c r="H1568" s="284"/>
      <c r="I1568" s="284"/>
      <c r="J1568" s="375"/>
      <c r="K1568" s="375"/>
      <c r="L1568" s="375"/>
      <c r="M1568" s="368"/>
      <c r="N1568" s="368"/>
      <c r="O1568" s="370"/>
      <c r="T1568" s="340"/>
      <c r="V1568" s="378"/>
      <c r="W1568" s="64" ph="1"/>
      <c r="X1568" s="241"/>
      <c r="Y1568" s="284"/>
      <c r="Z1568" s="207"/>
      <c r="AA1568" s="284"/>
      <c r="AB1568" s="284"/>
      <c r="AC1568" s="284"/>
      <c r="AD1568" s="284"/>
      <c r="AE1568" s="284"/>
      <c r="AF1568" s="284"/>
      <c r="AG1568" s="284"/>
      <c r="AI1568" s="131"/>
    </row>
    <row r="1569" spans="1:35" ht="26.4">
      <c r="A1569" s="284"/>
      <c r="B1569" s="284"/>
      <c r="C1569" s="284"/>
      <c r="D1569" s="284"/>
      <c r="E1569" s="284"/>
      <c r="F1569" s="284"/>
      <c r="G1569" s="284"/>
      <c r="H1569" s="284"/>
      <c r="I1569" s="284"/>
      <c r="J1569" s="375"/>
      <c r="K1569" s="375"/>
      <c r="L1569" s="375"/>
      <c r="M1569" s="368"/>
      <c r="N1569" s="368"/>
      <c r="O1569" s="370"/>
      <c r="T1569" s="340"/>
      <c r="V1569" s="378"/>
      <c r="W1569" s="64" ph="1"/>
      <c r="X1569" s="241"/>
      <c r="Y1569" s="284"/>
      <c r="Z1569" s="207"/>
      <c r="AA1569" s="284"/>
      <c r="AB1569" s="284"/>
      <c r="AC1569" s="284"/>
      <c r="AD1569" s="284"/>
      <c r="AE1569" s="284"/>
      <c r="AF1569" s="284"/>
      <c r="AG1569" s="284"/>
      <c r="AI1569" s="284"/>
    </row>
    <row r="1570" spans="1:35" ht="26.4">
      <c r="A1570" s="284"/>
      <c r="B1570" s="284"/>
      <c r="C1570" s="284"/>
      <c r="D1570" s="284"/>
      <c r="E1570" s="284"/>
      <c r="F1570" s="284"/>
      <c r="G1570" s="284"/>
      <c r="H1570" s="284"/>
      <c r="I1570" s="284"/>
      <c r="J1570" s="375"/>
      <c r="K1570" s="375"/>
      <c r="L1570" s="375"/>
      <c r="M1570" s="368"/>
      <c r="N1570" s="368"/>
      <c r="O1570" s="370"/>
      <c r="T1570" s="340"/>
      <c r="V1570" s="378"/>
      <c r="W1570" s="64" ph="1"/>
      <c r="X1570" s="241"/>
      <c r="Y1570" s="284"/>
      <c r="Z1570" s="207"/>
      <c r="AA1570" s="284"/>
      <c r="AB1570" s="284"/>
      <c r="AC1570" s="284"/>
      <c r="AD1570" s="284"/>
      <c r="AE1570" s="284"/>
      <c r="AF1570" s="284"/>
      <c r="AG1570" s="284"/>
      <c r="AI1570" s="131"/>
    </row>
    <row r="1571" spans="1:35" ht="26.4">
      <c r="A1571" s="284"/>
      <c r="B1571" s="284"/>
      <c r="C1571" s="284"/>
      <c r="D1571" s="284"/>
      <c r="E1571" s="284"/>
      <c r="F1571" s="284"/>
      <c r="G1571" s="284"/>
      <c r="H1571" s="284"/>
      <c r="I1571" s="284"/>
      <c r="J1571" s="375"/>
      <c r="K1571" s="375"/>
      <c r="L1571" s="375"/>
      <c r="M1571" s="368"/>
      <c r="N1571" s="368"/>
      <c r="O1571" s="370"/>
      <c r="T1571" s="340"/>
      <c r="V1571" s="378"/>
      <c r="W1571" s="64" ph="1"/>
      <c r="X1571" s="241"/>
      <c r="Y1571" s="284"/>
      <c r="Z1571" s="207"/>
      <c r="AA1571" s="284"/>
      <c r="AB1571" s="284"/>
      <c r="AC1571" s="284"/>
      <c r="AD1571" s="284"/>
      <c r="AE1571" s="284"/>
      <c r="AF1571" s="284"/>
      <c r="AG1571" s="284"/>
      <c r="AI1571" s="131"/>
    </row>
    <row r="1572" spans="1:35" ht="26.4">
      <c r="A1572" s="284"/>
      <c r="B1572" s="284"/>
      <c r="C1572" s="284"/>
      <c r="D1572" s="284"/>
      <c r="E1572" s="284"/>
      <c r="F1572" s="284"/>
      <c r="G1572" s="284"/>
      <c r="H1572" s="284"/>
      <c r="I1572" s="284"/>
      <c r="J1572" s="375"/>
      <c r="K1572" s="375"/>
      <c r="L1572" s="375"/>
      <c r="M1572" s="368"/>
      <c r="N1572" s="368"/>
      <c r="O1572" s="370"/>
      <c r="T1572" s="340"/>
      <c r="V1572" s="378"/>
      <c r="W1572" s="64" ph="1"/>
      <c r="X1572" s="241"/>
      <c r="Y1572" s="284"/>
      <c r="Z1572" s="207"/>
      <c r="AA1572" s="284"/>
      <c r="AB1572" s="284"/>
      <c r="AC1572" s="284"/>
      <c r="AD1572" s="284"/>
      <c r="AE1572" s="284"/>
      <c r="AF1572" s="284"/>
      <c r="AG1572" s="284"/>
      <c r="AI1572" s="284"/>
    </row>
    <row r="1573" spans="1:35" ht="26.4">
      <c r="A1573" s="284"/>
      <c r="B1573" s="284"/>
      <c r="C1573" s="284"/>
      <c r="D1573" s="284"/>
      <c r="E1573" s="284"/>
      <c r="F1573" s="284"/>
      <c r="G1573" s="284"/>
      <c r="H1573" s="284"/>
      <c r="I1573" s="284"/>
      <c r="J1573" s="375"/>
      <c r="K1573" s="375"/>
      <c r="L1573" s="375"/>
      <c r="M1573" s="368"/>
      <c r="N1573" s="368"/>
      <c r="O1573" s="370"/>
      <c r="T1573" s="340"/>
      <c r="V1573" s="378"/>
      <c r="W1573" s="64" ph="1"/>
      <c r="X1573" s="241"/>
      <c r="Y1573" s="284"/>
      <c r="Z1573" s="207"/>
      <c r="AA1573" s="284"/>
      <c r="AB1573" s="284"/>
      <c r="AC1573" s="284"/>
      <c r="AD1573" s="284"/>
      <c r="AE1573" s="284"/>
      <c r="AF1573" s="284"/>
      <c r="AG1573" s="284"/>
      <c r="AI1573" s="131"/>
    </row>
    <row r="1574" spans="1:35" ht="26.4">
      <c r="A1574" s="284"/>
      <c r="B1574" s="284"/>
      <c r="C1574" s="284"/>
      <c r="D1574" s="284"/>
      <c r="E1574" s="284"/>
      <c r="F1574" s="284"/>
      <c r="G1574" s="284"/>
      <c r="H1574" s="284"/>
      <c r="I1574" s="284"/>
      <c r="J1574" s="375"/>
      <c r="K1574" s="375"/>
      <c r="L1574" s="375"/>
      <c r="M1574" s="368"/>
      <c r="N1574" s="368"/>
      <c r="O1574" s="370"/>
      <c r="T1574" s="340"/>
      <c r="V1574" s="378"/>
      <c r="W1574" s="64" ph="1"/>
      <c r="X1574" s="241"/>
      <c r="Y1574" s="284"/>
      <c r="Z1574" s="207"/>
      <c r="AA1574" s="284"/>
      <c r="AB1574" s="284"/>
      <c r="AC1574" s="284"/>
      <c r="AD1574" s="284"/>
      <c r="AE1574" s="284"/>
      <c r="AF1574" s="284"/>
      <c r="AG1574" s="284"/>
      <c r="AI1574" s="131"/>
    </row>
    <row r="1575" spans="1:35" ht="26.4">
      <c r="A1575" s="284"/>
      <c r="B1575" s="284"/>
      <c r="C1575" s="284"/>
      <c r="D1575" s="284"/>
      <c r="E1575" s="284"/>
      <c r="F1575" s="284"/>
      <c r="G1575" s="284"/>
      <c r="H1575" s="284"/>
      <c r="I1575" s="284"/>
      <c r="J1575" s="375"/>
      <c r="K1575" s="375"/>
      <c r="L1575" s="375"/>
      <c r="M1575" s="368"/>
      <c r="N1575" s="368"/>
      <c r="O1575" s="370"/>
      <c r="T1575" s="340"/>
      <c r="V1575" s="378"/>
      <c r="W1575" s="64" ph="1"/>
      <c r="X1575" s="241"/>
      <c r="Y1575" s="284"/>
      <c r="Z1575" s="207"/>
      <c r="AA1575" s="284"/>
      <c r="AB1575" s="284"/>
      <c r="AC1575" s="284"/>
      <c r="AD1575" s="284"/>
      <c r="AE1575" s="284"/>
      <c r="AF1575" s="284"/>
      <c r="AG1575" s="284"/>
      <c r="AI1575" s="131"/>
    </row>
    <row r="1576" spans="1:35" ht="26.4">
      <c r="A1576" s="284"/>
      <c r="B1576" s="284"/>
      <c r="C1576" s="284"/>
      <c r="D1576" s="284"/>
      <c r="E1576" s="284"/>
      <c r="F1576" s="284"/>
      <c r="G1576" s="284"/>
      <c r="H1576" s="284"/>
      <c r="I1576" s="284"/>
      <c r="J1576" s="375"/>
      <c r="K1576" s="375"/>
      <c r="L1576" s="375"/>
      <c r="M1576" s="368"/>
      <c r="N1576" s="368"/>
      <c r="O1576" s="370"/>
      <c r="T1576" s="340"/>
      <c r="V1576" s="378"/>
      <c r="W1576" s="64" ph="1"/>
      <c r="X1576" s="241"/>
      <c r="Y1576" s="284"/>
      <c r="Z1576" s="207"/>
      <c r="AA1576" s="284"/>
      <c r="AB1576" s="284"/>
      <c r="AC1576" s="284"/>
      <c r="AD1576" s="284"/>
      <c r="AE1576" s="284"/>
      <c r="AF1576" s="284"/>
      <c r="AG1576" s="284"/>
      <c r="AI1576" s="131"/>
    </row>
    <row r="1577" spans="1:35" ht="26.4">
      <c r="A1577" s="284"/>
      <c r="B1577" s="284"/>
      <c r="C1577" s="284"/>
      <c r="D1577" s="284"/>
      <c r="E1577" s="284"/>
      <c r="F1577" s="284"/>
      <c r="G1577" s="284"/>
      <c r="H1577" s="284"/>
      <c r="I1577" s="284"/>
      <c r="J1577" s="375"/>
      <c r="K1577" s="375"/>
      <c r="L1577" s="375"/>
      <c r="M1577" s="368"/>
      <c r="N1577" s="368"/>
      <c r="O1577" s="370"/>
      <c r="T1577" s="340"/>
      <c r="V1577" s="378"/>
      <c r="W1577" s="64" ph="1"/>
      <c r="X1577" s="241"/>
      <c r="Y1577" s="284"/>
      <c r="Z1577" s="207"/>
      <c r="AA1577" s="284"/>
      <c r="AB1577" s="284"/>
      <c r="AC1577" s="284"/>
      <c r="AD1577" s="284"/>
      <c r="AE1577" s="284"/>
      <c r="AF1577" s="284"/>
      <c r="AG1577" s="284"/>
      <c r="AI1577" s="131"/>
    </row>
    <row r="1578" spans="1:35" ht="26.4">
      <c r="A1578" s="284"/>
      <c r="B1578" s="284"/>
      <c r="C1578" s="284"/>
      <c r="D1578" s="284"/>
      <c r="E1578" s="284"/>
      <c r="F1578" s="284"/>
      <c r="G1578" s="284"/>
      <c r="H1578" s="284"/>
      <c r="I1578" s="284"/>
      <c r="J1578" s="375"/>
      <c r="K1578" s="375"/>
      <c r="L1578" s="375"/>
      <c r="M1578" s="368"/>
      <c r="N1578" s="368"/>
      <c r="O1578" s="370"/>
      <c r="T1578" s="340"/>
      <c r="V1578" s="378"/>
      <c r="W1578" s="64" ph="1"/>
      <c r="X1578" s="241"/>
      <c r="Y1578" s="284"/>
      <c r="Z1578" s="207"/>
      <c r="AA1578" s="284"/>
      <c r="AB1578" s="284"/>
      <c r="AC1578" s="284"/>
      <c r="AD1578" s="284"/>
      <c r="AE1578" s="284"/>
      <c r="AF1578" s="284"/>
      <c r="AG1578" s="284"/>
      <c r="AI1578" s="131"/>
    </row>
    <row r="1579" spans="1:35" ht="26.4">
      <c r="A1579" s="284"/>
      <c r="B1579" s="284"/>
      <c r="C1579" s="284"/>
      <c r="D1579" s="284"/>
      <c r="E1579" s="284"/>
      <c r="F1579" s="284"/>
      <c r="G1579" s="284"/>
      <c r="H1579" s="284"/>
      <c r="I1579" s="284"/>
      <c r="J1579" s="375"/>
      <c r="K1579" s="375"/>
      <c r="L1579" s="375"/>
      <c r="M1579" s="368"/>
      <c r="N1579" s="368"/>
      <c r="O1579" s="370"/>
      <c r="T1579" s="340"/>
      <c r="V1579" s="378"/>
      <c r="W1579" s="64" ph="1"/>
      <c r="X1579" s="241"/>
      <c r="Y1579" s="284"/>
      <c r="Z1579" s="207"/>
      <c r="AA1579" s="284"/>
      <c r="AB1579" s="284"/>
      <c r="AC1579" s="284"/>
      <c r="AD1579" s="284"/>
      <c r="AE1579" s="284"/>
      <c r="AF1579" s="284"/>
      <c r="AG1579" s="284"/>
      <c r="AI1579" s="131"/>
    </row>
    <row r="1580" spans="1:35" ht="26.4">
      <c r="A1580" s="284"/>
      <c r="B1580" s="284"/>
      <c r="C1580" s="284"/>
      <c r="D1580" s="284"/>
      <c r="E1580" s="284"/>
      <c r="F1580" s="284"/>
      <c r="G1580" s="284"/>
      <c r="H1580" s="284"/>
      <c r="I1580" s="284"/>
      <c r="J1580" s="375"/>
      <c r="K1580" s="375"/>
      <c r="L1580" s="375"/>
      <c r="M1580" s="368"/>
      <c r="N1580" s="368"/>
      <c r="O1580" s="370"/>
      <c r="T1580" s="340"/>
      <c r="V1580" s="378"/>
      <c r="W1580" s="64" ph="1"/>
      <c r="X1580" s="241"/>
      <c r="Y1580" s="284"/>
      <c r="Z1580" s="207"/>
      <c r="AA1580" s="284"/>
      <c r="AB1580" s="284"/>
      <c r="AC1580" s="284"/>
      <c r="AD1580" s="284"/>
      <c r="AE1580" s="284"/>
      <c r="AF1580" s="284"/>
      <c r="AG1580" s="284"/>
      <c r="AI1580" s="131"/>
    </row>
    <row r="1581" spans="1:35" ht="26.4">
      <c r="A1581" s="284"/>
      <c r="B1581" s="284"/>
      <c r="C1581" s="284"/>
      <c r="D1581" s="284"/>
      <c r="E1581" s="284"/>
      <c r="F1581" s="284"/>
      <c r="G1581" s="284"/>
      <c r="H1581" s="284"/>
      <c r="I1581" s="284"/>
      <c r="J1581" s="375"/>
      <c r="K1581" s="375"/>
      <c r="L1581" s="375"/>
      <c r="M1581" s="368"/>
      <c r="N1581" s="368"/>
      <c r="O1581" s="370"/>
      <c r="T1581" s="340"/>
      <c r="V1581" s="378"/>
      <c r="W1581" s="64" ph="1"/>
      <c r="X1581" s="241"/>
      <c r="Y1581" s="284"/>
      <c r="Z1581" s="207"/>
      <c r="AA1581" s="284"/>
      <c r="AB1581" s="284"/>
      <c r="AC1581" s="284"/>
      <c r="AD1581" s="284"/>
      <c r="AE1581" s="284"/>
      <c r="AF1581" s="284"/>
      <c r="AG1581" s="284"/>
      <c r="AI1581" s="131"/>
    </row>
    <row r="1582" spans="1:35" ht="26.4">
      <c r="A1582" s="284"/>
      <c r="B1582" s="284"/>
      <c r="C1582" s="284"/>
      <c r="D1582" s="284"/>
      <c r="E1582" s="284"/>
      <c r="F1582" s="284"/>
      <c r="G1582" s="284"/>
      <c r="H1582" s="284"/>
      <c r="I1582" s="284"/>
      <c r="J1582" s="375"/>
      <c r="K1582" s="375"/>
      <c r="L1582" s="375"/>
      <c r="M1582" s="368"/>
      <c r="N1582" s="368"/>
      <c r="O1582" s="370"/>
      <c r="T1582" s="340"/>
      <c r="V1582" s="378"/>
      <c r="W1582" s="64" ph="1"/>
      <c r="X1582" s="241"/>
      <c r="Y1582" s="284"/>
      <c r="Z1582" s="207"/>
      <c r="AA1582" s="284"/>
      <c r="AB1582" s="284"/>
      <c r="AC1582" s="284"/>
      <c r="AD1582" s="284"/>
      <c r="AE1582" s="284"/>
      <c r="AF1582" s="284"/>
      <c r="AG1582" s="284"/>
      <c r="AI1582" s="131"/>
    </row>
    <row r="1583" spans="1:35" ht="26.4">
      <c r="A1583" s="284"/>
      <c r="B1583" s="284"/>
      <c r="C1583" s="284"/>
      <c r="D1583" s="284"/>
      <c r="E1583" s="284"/>
      <c r="F1583" s="284"/>
      <c r="G1583" s="284"/>
      <c r="H1583" s="284"/>
      <c r="I1583" s="284"/>
      <c r="J1583" s="375"/>
      <c r="K1583" s="375"/>
      <c r="L1583" s="375"/>
      <c r="M1583" s="368"/>
      <c r="N1583" s="368"/>
      <c r="O1583" s="370"/>
      <c r="T1583" s="340"/>
      <c r="V1583" s="378"/>
      <c r="W1583" s="64" ph="1"/>
      <c r="X1583" s="241"/>
      <c r="Y1583" s="284"/>
      <c r="Z1583" s="207"/>
      <c r="AA1583" s="284"/>
      <c r="AB1583" s="284"/>
      <c r="AC1583" s="284"/>
      <c r="AD1583" s="284"/>
      <c r="AE1583" s="284"/>
      <c r="AF1583" s="284"/>
      <c r="AG1583" s="284"/>
      <c r="AI1583" s="131"/>
    </row>
    <row r="1584" spans="1:35" ht="26.4">
      <c r="A1584" s="284"/>
      <c r="B1584" s="284"/>
      <c r="C1584" s="284"/>
      <c r="D1584" s="284"/>
      <c r="E1584" s="284"/>
      <c r="F1584" s="284"/>
      <c r="G1584" s="284"/>
      <c r="H1584" s="284"/>
      <c r="I1584" s="284"/>
      <c r="J1584" s="375"/>
      <c r="K1584" s="375"/>
      <c r="L1584" s="375"/>
      <c r="M1584" s="368"/>
      <c r="N1584" s="368"/>
      <c r="O1584" s="370"/>
      <c r="T1584" s="340"/>
      <c r="V1584" s="378"/>
      <c r="W1584" s="64" ph="1"/>
      <c r="X1584" s="241"/>
      <c r="Y1584" s="284"/>
      <c r="Z1584" s="207"/>
      <c r="AA1584" s="284"/>
      <c r="AB1584" s="284"/>
      <c r="AC1584" s="284"/>
      <c r="AD1584" s="284"/>
      <c r="AE1584" s="284"/>
      <c r="AF1584" s="284"/>
      <c r="AG1584" s="284"/>
      <c r="AI1584" s="131"/>
    </row>
    <row r="1585" spans="1:35" ht="26.4">
      <c r="A1585" s="284"/>
      <c r="B1585" s="284"/>
      <c r="C1585" s="284"/>
      <c r="D1585" s="284"/>
      <c r="E1585" s="284"/>
      <c r="F1585" s="284"/>
      <c r="G1585" s="284"/>
      <c r="H1585" s="284"/>
      <c r="I1585" s="284"/>
      <c r="J1585" s="375"/>
      <c r="K1585" s="375"/>
      <c r="L1585" s="375"/>
      <c r="M1585" s="368"/>
      <c r="N1585" s="368"/>
      <c r="O1585" s="370"/>
      <c r="T1585" s="340"/>
      <c r="V1585" s="378"/>
      <c r="W1585" s="64" ph="1"/>
      <c r="X1585" s="241"/>
      <c r="Y1585" s="284"/>
      <c r="Z1585" s="207"/>
      <c r="AA1585" s="284"/>
      <c r="AB1585" s="284"/>
      <c r="AC1585" s="284"/>
      <c r="AD1585" s="284"/>
      <c r="AE1585" s="284"/>
      <c r="AF1585" s="284"/>
      <c r="AG1585" s="284"/>
      <c r="AI1585" s="131"/>
    </row>
    <row r="1586" spans="1:35" ht="26.4">
      <c r="A1586" s="284"/>
      <c r="B1586" s="284"/>
      <c r="C1586" s="284"/>
      <c r="D1586" s="284"/>
      <c r="E1586" s="284"/>
      <c r="F1586" s="284"/>
      <c r="G1586" s="284"/>
      <c r="H1586" s="284"/>
      <c r="I1586" s="284"/>
      <c r="J1586" s="375"/>
      <c r="K1586" s="375"/>
      <c r="L1586" s="375"/>
      <c r="M1586" s="368"/>
      <c r="N1586" s="368"/>
      <c r="O1586" s="370"/>
      <c r="T1586" s="340"/>
      <c r="V1586" s="378"/>
      <c r="W1586" s="64" ph="1"/>
      <c r="X1586" s="241"/>
      <c r="Y1586" s="284"/>
      <c r="Z1586" s="207"/>
      <c r="AA1586" s="284"/>
      <c r="AB1586" s="284"/>
      <c r="AC1586" s="284"/>
      <c r="AD1586" s="284"/>
      <c r="AE1586" s="284"/>
      <c r="AF1586" s="284"/>
      <c r="AG1586" s="284"/>
      <c r="AI1586" s="131"/>
    </row>
    <row r="1587" spans="1:35" ht="26.4">
      <c r="A1587" s="284"/>
      <c r="B1587" s="284"/>
      <c r="C1587" s="284"/>
      <c r="D1587" s="284"/>
      <c r="E1587" s="284"/>
      <c r="F1587" s="284"/>
      <c r="G1587" s="284"/>
      <c r="H1587" s="284"/>
      <c r="I1587" s="284"/>
      <c r="J1587" s="375"/>
      <c r="K1587" s="375"/>
      <c r="L1587" s="375"/>
      <c r="M1587" s="368"/>
      <c r="N1587" s="368"/>
      <c r="O1587" s="370"/>
      <c r="T1587" s="340"/>
      <c r="V1587" s="378"/>
      <c r="W1587" s="64" ph="1"/>
      <c r="X1587" s="241"/>
      <c r="Y1587" s="284"/>
      <c r="Z1587" s="207"/>
      <c r="AA1587" s="284"/>
      <c r="AB1587" s="284"/>
      <c r="AC1587" s="284"/>
      <c r="AD1587" s="284"/>
      <c r="AE1587" s="284"/>
      <c r="AF1587" s="284"/>
      <c r="AG1587" s="284"/>
      <c r="AI1587" s="131"/>
    </row>
    <row r="1588" spans="1:35" ht="26.4">
      <c r="A1588" s="284"/>
      <c r="B1588" s="284"/>
      <c r="C1588" s="284"/>
      <c r="D1588" s="284"/>
      <c r="E1588" s="284"/>
      <c r="F1588" s="284"/>
      <c r="G1588" s="284"/>
      <c r="H1588" s="284"/>
      <c r="I1588" s="284"/>
      <c r="J1588" s="375"/>
      <c r="K1588" s="375"/>
      <c r="L1588" s="375"/>
      <c r="M1588" s="368"/>
      <c r="N1588" s="368"/>
      <c r="O1588" s="370"/>
      <c r="T1588" s="340"/>
      <c r="V1588" s="378"/>
      <c r="W1588" s="64" ph="1"/>
      <c r="X1588" s="241"/>
      <c r="Y1588" s="284"/>
      <c r="Z1588" s="207"/>
      <c r="AA1588" s="284"/>
      <c r="AB1588" s="284"/>
      <c r="AC1588" s="284"/>
      <c r="AD1588" s="284"/>
      <c r="AE1588" s="284"/>
      <c r="AF1588" s="284"/>
      <c r="AG1588" s="284"/>
      <c r="AI1588" s="131"/>
    </row>
    <row r="1589" spans="1:35" ht="26.4">
      <c r="A1589" s="284"/>
      <c r="B1589" s="284"/>
      <c r="C1589" s="284"/>
      <c r="D1589" s="284"/>
      <c r="E1589" s="284"/>
      <c r="F1589" s="284"/>
      <c r="G1589" s="284"/>
      <c r="H1589" s="284"/>
      <c r="I1589" s="284"/>
      <c r="J1589" s="375"/>
      <c r="K1589" s="375"/>
      <c r="L1589" s="375"/>
      <c r="M1589" s="368"/>
      <c r="N1589" s="368"/>
      <c r="O1589" s="370"/>
      <c r="T1589" s="340"/>
      <c r="V1589" s="378"/>
      <c r="W1589" s="64" ph="1"/>
      <c r="X1589" s="241"/>
      <c r="Y1589" s="284"/>
      <c r="Z1589" s="207"/>
      <c r="AA1589" s="284"/>
      <c r="AB1589" s="284"/>
      <c r="AC1589" s="284"/>
      <c r="AD1589" s="284"/>
      <c r="AE1589" s="284"/>
      <c r="AF1589" s="284"/>
      <c r="AG1589" s="284"/>
      <c r="AI1589" s="131"/>
    </row>
    <row r="1590" spans="1:35" ht="26.4">
      <c r="A1590" s="284"/>
      <c r="B1590" s="284"/>
      <c r="C1590" s="284"/>
      <c r="D1590" s="284"/>
      <c r="E1590" s="284"/>
      <c r="F1590" s="284"/>
      <c r="G1590" s="284"/>
      <c r="H1590" s="284"/>
      <c r="I1590" s="284"/>
      <c r="J1590" s="375"/>
      <c r="K1590" s="375"/>
      <c r="L1590" s="375"/>
      <c r="M1590" s="368"/>
      <c r="N1590" s="368"/>
      <c r="O1590" s="370"/>
      <c r="T1590" s="340"/>
      <c r="V1590" s="378"/>
      <c r="W1590" s="64" ph="1"/>
      <c r="X1590" s="241"/>
      <c r="Y1590" s="284"/>
      <c r="Z1590" s="207"/>
      <c r="AA1590" s="284"/>
      <c r="AB1590" s="284"/>
      <c r="AC1590" s="284"/>
      <c r="AD1590" s="284"/>
      <c r="AE1590" s="284"/>
      <c r="AF1590" s="284"/>
      <c r="AG1590" s="284"/>
      <c r="AI1590" s="131"/>
    </row>
    <row r="1591" spans="1:35" ht="26.4">
      <c r="A1591" s="284"/>
      <c r="B1591" s="284"/>
      <c r="C1591" s="284"/>
      <c r="D1591" s="284"/>
      <c r="E1591" s="284"/>
      <c r="F1591" s="284"/>
      <c r="G1591" s="284"/>
      <c r="H1591" s="284"/>
      <c r="I1591" s="284"/>
      <c r="J1591" s="375"/>
      <c r="K1591" s="375"/>
      <c r="L1591" s="375"/>
      <c r="M1591" s="368"/>
      <c r="N1591" s="368"/>
      <c r="O1591" s="370"/>
      <c r="T1591" s="340"/>
      <c r="V1591" s="378"/>
      <c r="W1591" s="64" ph="1"/>
      <c r="X1591" s="241"/>
      <c r="Y1591" s="284"/>
      <c r="Z1591" s="207"/>
      <c r="AA1591" s="284"/>
      <c r="AB1591" s="284"/>
      <c r="AC1591" s="284"/>
      <c r="AD1591" s="284"/>
      <c r="AE1591" s="284"/>
      <c r="AF1591" s="284"/>
      <c r="AG1591" s="284"/>
      <c r="AI1591" s="131"/>
    </row>
    <row r="1592" spans="1:35" ht="26.4">
      <c r="A1592" s="284"/>
      <c r="B1592" s="284"/>
      <c r="C1592" s="284"/>
      <c r="D1592" s="284"/>
      <c r="E1592" s="284"/>
      <c r="F1592" s="284"/>
      <c r="G1592" s="284"/>
      <c r="H1592" s="284"/>
      <c r="I1592" s="284"/>
      <c r="J1592" s="375"/>
      <c r="K1592" s="375"/>
      <c r="L1592" s="375"/>
      <c r="M1592" s="368"/>
      <c r="N1592" s="368"/>
      <c r="O1592" s="370"/>
      <c r="T1592" s="340"/>
      <c r="V1592" s="378"/>
      <c r="W1592" s="64" ph="1"/>
      <c r="X1592" s="241"/>
      <c r="Y1592" s="284"/>
      <c r="Z1592" s="207"/>
      <c r="AA1592" s="284"/>
      <c r="AB1592" s="284"/>
      <c r="AC1592" s="284"/>
      <c r="AD1592" s="284"/>
      <c r="AE1592" s="284"/>
      <c r="AF1592" s="284"/>
      <c r="AG1592" s="284"/>
      <c r="AI1592" s="131"/>
    </row>
    <row r="1593" spans="1:35" ht="26.4">
      <c r="A1593" s="284"/>
      <c r="B1593" s="284"/>
      <c r="C1593" s="284"/>
      <c r="D1593" s="284"/>
      <c r="E1593" s="284"/>
      <c r="F1593" s="284"/>
      <c r="G1593" s="284"/>
      <c r="H1593" s="284"/>
      <c r="I1593" s="284"/>
      <c r="J1593" s="375"/>
      <c r="K1593" s="375"/>
      <c r="L1593" s="375"/>
      <c r="M1593" s="368"/>
      <c r="N1593" s="368"/>
      <c r="O1593" s="370"/>
      <c r="T1593" s="340"/>
      <c r="V1593" s="378"/>
      <c r="W1593" s="64" ph="1"/>
      <c r="X1593" s="241"/>
      <c r="Y1593" s="284"/>
      <c r="Z1593" s="207"/>
      <c r="AA1593" s="284"/>
      <c r="AB1593" s="284"/>
      <c r="AC1593" s="284"/>
      <c r="AD1593" s="284"/>
      <c r="AE1593" s="284"/>
      <c r="AF1593" s="284"/>
      <c r="AG1593" s="284"/>
      <c r="AI1593" s="131"/>
    </row>
    <row r="1594" spans="1:35" ht="26.4">
      <c r="A1594" s="284"/>
      <c r="B1594" s="284"/>
      <c r="C1594" s="284"/>
      <c r="D1594" s="284"/>
      <c r="E1594" s="284"/>
      <c r="F1594" s="284"/>
      <c r="G1594" s="284"/>
      <c r="H1594" s="284"/>
      <c r="I1594" s="284"/>
      <c r="J1594" s="375"/>
      <c r="K1594" s="375"/>
      <c r="L1594" s="375"/>
      <c r="M1594" s="368"/>
      <c r="N1594" s="368"/>
      <c r="O1594" s="370"/>
      <c r="T1594" s="340"/>
      <c r="V1594" s="378"/>
      <c r="W1594" s="64" ph="1"/>
      <c r="X1594" s="241"/>
      <c r="Y1594" s="284"/>
      <c r="Z1594" s="207"/>
      <c r="AA1594" s="284"/>
      <c r="AB1594" s="284"/>
      <c r="AC1594" s="284"/>
      <c r="AD1594" s="284"/>
      <c r="AE1594" s="284"/>
      <c r="AF1594" s="284"/>
      <c r="AG1594" s="284"/>
      <c r="AI1594" s="131"/>
    </row>
    <row r="1595" spans="1:35" ht="26.4">
      <c r="A1595" s="284"/>
      <c r="B1595" s="284"/>
      <c r="C1595" s="284"/>
      <c r="D1595" s="284"/>
      <c r="E1595" s="284"/>
      <c r="F1595" s="284"/>
      <c r="G1595" s="284"/>
      <c r="H1595" s="284"/>
      <c r="I1595" s="284"/>
      <c r="J1595" s="375"/>
      <c r="K1595" s="375"/>
      <c r="L1595" s="375"/>
      <c r="M1595" s="368"/>
      <c r="N1595" s="368"/>
      <c r="O1595" s="370"/>
      <c r="T1595" s="340"/>
      <c r="V1595" s="378"/>
      <c r="W1595" s="64" ph="1"/>
      <c r="X1595" s="241"/>
      <c r="Y1595" s="284"/>
      <c r="Z1595" s="207"/>
      <c r="AA1595" s="284"/>
      <c r="AB1595" s="284"/>
      <c r="AC1595" s="284"/>
      <c r="AD1595" s="284"/>
      <c r="AE1595" s="284"/>
      <c r="AF1595" s="284"/>
      <c r="AG1595" s="284"/>
      <c r="AI1595" s="284"/>
    </row>
    <row r="1596" spans="1:35" ht="26.4">
      <c r="A1596" s="284"/>
      <c r="B1596" s="284"/>
      <c r="C1596" s="284"/>
      <c r="D1596" s="284"/>
      <c r="E1596" s="284"/>
      <c r="F1596" s="284"/>
      <c r="G1596" s="284"/>
      <c r="H1596" s="284"/>
      <c r="I1596" s="284"/>
      <c r="J1596" s="375"/>
      <c r="K1596" s="375"/>
      <c r="L1596" s="375"/>
      <c r="M1596" s="368"/>
      <c r="N1596" s="368"/>
      <c r="O1596" s="370"/>
      <c r="T1596" s="340"/>
      <c r="V1596" s="378"/>
      <c r="W1596" s="64" ph="1"/>
      <c r="X1596" s="241"/>
      <c r="Y1596" s="284"/>
      <c r="Z1596" s="207"/>
      <c r="AA1596" s="284"/>
      <c r="AB1596" s="284"/>
      <c r="AC1596" s="284"/>
      <c r="AD1596" s="284"/>
      <c r="AE1596" s="284"/>
      <c r="AF1596" s="284"/>
      <c r="AG1596" s="284"/>
      <c r="AI1596" s="131"/>
    </row>
    <row r="1597" spans="1:35" ht="26.4">
      <c r="A1597" s="284"/>
      <c r="B1597" s="284"/>
      <c r="C1597" s="284"/>
      <c r="D1597" s="284"/>
      <c r="E1597" s="284"/>
      <c r="F1597" s="284"/>
      <c r="G1597" s="284"/>
      <c r="H1597" s="284"/>
      <c r="I1597" s="284"/>
      <c r="J1597" s="375"/>
      <c r="K1597" s="375"/>
      <c r="L1597" s="375"/>
      <c r="M1597" s="368"/>
      <c r="N1597" s="368"/>
      <c r="O1597" s="370"/>
      <c r="T1597" s="340"/>
      <c r="V1597" s="378"/>
      <c r="W1597" s="64" ph="1"/>
      <c r="X1597" s="241"/>
      <c r="Y1597" s="284"/>
      <c r="Z1597" s="207"/>
      <c r="AA1597" s="284"/>
      <c r="AB1597" s="284"/>
      <c r="AC1597" s="284"/>
      <c r="AD1597" s="284"/>
      <c r="AE1597" s="284"/>
      <c r="AF1597" s="284"/>
      <c r="AG1597" s="284"/>
      <c r="AI1597" s="131"/>
    </row>
    <row r="1598" spans="1:35" ht="26.4">
      <c r="A1598" s="284"/>
      <c r="B1598" s="284"/>
      <c r="C1598" s="284"/>
      <c r="D1598" s="284"/>
      <c r="E1598" s="284"/>
      <c r="F1598" s="284"/>
      <c r="G1598" s="284"/>
      <c r="H1598" s="284"/>
      <c r="I1598" s="284"/>
      <c r="J1598" s="375"/>
      <c r="K1598" s="375"/>
      <c r="L1598" s="375"/>
      <c r="M1598" s="368"/>
      <c r="N1598" s="368"/>
      <c r="O1598" s="370"/>
      <c r="T1598" s="340"/>
      <c r="V1598" s="378"/>
      <c r="W1598" s="64" ph="1"/>
      <c r="X1598" s="241"/>
      <c r="Y1598" s="284"/>
      <c r="Z1598" s="207"/>
      <c r="AA1598" s="284"/>
      <c r="AB1598" s="284"/>
      <c r="AC1598" s="284"/>
      <c r="AD1598" s="284"/>
      <c r="AE1598" s="284"/>
      <c r="AF1598" s="284"/>
      <c r="AG1598" s="284"/>
      <c r="AI1598" s="131"/>
    </row>
    <row r="1599" spans="1:35" ht="26.4">
      <c r="A1599" s="284"/>
      <c r="B1599" s="284"/>
      <c r="C1599" s="284"/>
      <c r="D1599" s="284"/>
      <c r="E1599" s="284"/>
      <c r="F1599" s="284"/>
      <c r="G1599" s="284"/>
      <c r="H1599" s="284"/>
      <c r="I1599" s="284"/>
      <c r="J1599" s="375"/>
      <c r="K1599" s="375"/>
      <c r="L1599" s="375"/>
      <c r="M1599" s="368"/>
      <c r="N1599" s="368"/>
      <c r="O1599" s="370"/>
      <c r="T1599" s="340"/>
      <c r="V1599" s="378"/>
      <c r="W1599" s="64" ph="1"/>
      <c r="X1599" s="241"/>
      <c r="Y1599" s="284"/>
      <c r="Z1599" s="207"/>
      <c r="AA1599" s="284"/>
      <c r="AB1599" s="284"/>
      <c r="AC1599" s="284"/>
      <c r="AD1599" s="284"/>
      <c r="AE1599" s="284"/>
      <c r="AF1599" s="284"/>
      <c r="AG1599" s="284"/>
      <c r="AI1599" s="131"/>
    </row>
    <row r="1600" spans="1:35" ht="26.4">
      <c r="A1600" s="284"/>
      <c r="B1600" s="284"/>
      <c r="C1600" s="284"/>
      <c r="D1600" s="284"/>
      <c r="E1600" s="284"/>
      <c r="F1600" s="284"/>
      <c r="G1600" s="284"/>
      <c r="H1600" s="284"/>
      <c r="I1600" s="284"/>
      <c r="J1600" s="375"/>
      <c r="K1600" s="375"/>
      <c r="L1600" s="375"/>
      <c r="M1600" s="368"/>
      <c r="N1600" s="368"/>
      <c r="O1600" s="370"/>
      <c r="T1600" s="340"/>
      <c r="V1600" s="378"/>
      <c r="W1600" s="64" ph="1"/>
      <c r="X1600" s="241"/>
      <c r="Y1600" s="284"/>
      <c r="Z1600" s="207"/>
      <c r="AA1600" s="284"/>
      <c r="AB1600" s="284"/>
      <c r="AC1600" s="284"/>
      <c r="AD1600" s="284"/>
      <c r="AE1600" s="284"/>
      <c r="AF1600" s="284"/>
      <c r="AG1600" s="284"/>
      <c r="AI1600" s="131"/>
    </row>
    <row r="1601" spans="1:35" ht="26.4">
      <c r="A1601" s="284"/>
      <c r="B1601" s="284"/>
      <c r="C1601" s="284"/>
      <c r="D1601" s="284"/>
      <c r="E1601" s="284"/>
      <c r="F1601" s="284"/>
      <c r="G1601" s="284"/>
      <c r="H1601" s="284"/>
      <c r="I1601" s="284"/>
      <c r="J1601" s="375"/>
      <c r="K1601" s="375"/>
      <c r="L1601" s="375"/>
      <c r="M1601" s="368"/>
      <c r="N1601" s="368"/>
      <c r="O1601" s="370"/>
      <c r="T1601" s="340"/>
      <c r="V1601" s="378"/>
      <c r="W1601" s="64" ph="1"/>
      <c r="X1601" s="241"/>
      <c r="Y1601" s="284"/>
      <c r="Z1601" s="207"/>
      <c r="AA1601" s="284"/>
      <c r="AB1601" s="284"/>
      <c r="AC1601" s="284"/>
      <c r="AD1601" s="284"/>
      <c r="AE1601" s="284"/>
      <c r="AF1601" s="284"/>
      <c r="AG1601" s="284"/>
      <c r="AI1601" s="131"/>
    </row>
    <row r="1602" spans="1:35" ht="26.4">
      <c r="A1602" s="284"/>
      <c r="B1602" s="284"/>
      <c r="C1602" s="284"/>
      <c r="D1602" s="284"/>
      <c r="E1602" s="284"/>
      <c r="F1602" s="284"/>
      <c r="G1602" s="284"/>
      <c r="H1602" s="284"/>
      <c r="I1602" s="284"/>
      <c r="J1602" s="375"/>
      <c r="K1602" s="375"/>
      <c r="L1602" s="375"/>
      <c r="M1602" s="368"/>
      <c r="N1602" s="368"/>
      <c r="O1602" s="370"/>
      <c r="T1602" s="340"/>
      <c r="V1602" s="378"/>
      <c r="W1602" s="64" ph="1"/>
      <c r="X1602" s="241"/>
      <c r="Y1602" s="284"/>
      <c r="Z1602" s="207"/>
      <c r="AA1602" s="284"/>
      <c r="AB1602" s="284"/>
      <c r="AC1602" s="284"/>
      <c r="AD1602" s="284"/>
      <c r="AE1602" s="284"/>
      <c r="AF1602" s="284"/>
      <c r="AG1602" s="284"/>
      <c r="AI1602" s="131"/>
    </row>
    <row r="1603" spans="1:35" ht="26.4">
      <c r="A1603" s="284"/>
      <c r="B1603" s="284"/>
      <c r="C1603" s="284"/>
      <c r="D1603" s="284"/>
      <c r="E1603" s="284"/>
      <c r="F1603" s="284"/>
      <c r="G1603" s="284"/>
      <c r="H1603" s="284"/>
      <c r="I1603" s="284"/>
      <c r="J1603" s="375"/>
      <c r="K1603" s="375"/>
      <c r="L1603" s="375"/>
      <c r="M1603" s="368"/>
      <c r="N1603" s="368"/>
      <c r="O1603" s="370"/>
      <c r="T1603" s="340"/>
      <c r="V1603" s="378"/>
      <c r="W1603" s="64" ph="1"/>
      <c r="X1603" s="241"/>
      <c r="Y1603" s="284"/>
      <c r="Z1603" s="207"/>
      <c r="AA1603" s="284"/>
      <c r="AB1603" s="284"/>
      <c r="AC1603" s="284"/>
      <c r="AD1603" s="284"/>
      <c r="AE1603" s="284"/>
      <c r="AF1603" s="284"/>
      <c r="AG1603" s="284"/>
      <c r="AI1603" s="131"/>
    </row>
    <row r="1604" spans="1:35" ht="26.4">
      <c r="A1604" s="284"/>
      <c r="B1604" s="284"/>
      <c r="C1604" s="284"/>
      <c r="D1604" s="284"/>
      <c r="E1604" s="284"/>
      <c r="F1604" s="284"/>
      <c r="G1604" s="284"/>
      <c r="H1604" s="284"/>
      <c r="I1604" s="284"/>
      <c r="J1604" s="375"/>
      <c r="K1604" s="375"/>
      <c r="L1604" s="375"/>
      <c r="M1604" s="368"/>
      <c r="N1604" s="368"/>
      <c r="O1604" s="370"/>
      <c r="T1604" s="340"/>
      <c r="V1604" s="378"/>
      <c r="W1604" s="64" ph="1"/>
      <c r="X1604" s="241"/>
      <c r="Y1604" s="284"/>
      <c r="Z1604" s="207"/>
      <c r="AA1604" s="284"/>
      <c r="AB1604" s="284"/>
      <c r="AC1604" s="284"/>
      <c r="AD1604" s="284"/>
      <c r="AE1604" s="284"/>
      <c r="AF1604" s="284"/>
      <c r="AG1604" s="284"/>
      <c r="AI1604" s="131"/>
    </row>
    <row r="1605" spans="1:35" ht="26.4">
      <c r="A1605" s="284"/>
      <c r="B1605" s="284"/>
      <c r="C1605" s="284"/>
      <c r="D1605" s="284"/>
      <c r="E1605" s="284"/>
      <c r="F1605" s="284"/>
      <c r="G1605" s="284"/>
      <c r="H1605" s="284"/>
      <c r="I1605" s="284"/>
      <c r="J1605" s="375"/>
      <c r="K1605" s="375"/>
      <c r="L1605" s="375"/>
      <c r="M1605" s="368"/>
      <c r="N1605" s="368"/>
      <c r="O1605" s="370"/>
      <c r="T1605" s="340"/>
      <c r="V1605" s="378"/>
      <c r="W1605" s="64" ph="1"/>
      <c r="X1605" s="241"/>
      <c r="Y1605" s="284"/>
      <c r="Z1605" s="207"/>
      <c r="AA1605" s="284"/>
      <c r="AB1605" s="284"/>
      <c r="AC1605" s="284"/>
      <c r="AD1605" s="284"/>
      <c r="AE1605" s="284"/>
      <c r="AF1605" s="284"/>
      <c r="AG1605" s="284"/>
      <c r="AI1605" s="131"/>
    </row>
    <row r="1606" spans="1:35" ht="26.4">
      <c r="A1606" s="284"/>
      <c r="B1606" s="284"/>
      <c r="C1606" s="284"/>
      <c r="D1606" s="284"/>
      <c r="E1606" s="284"/>
      <c r="F1606" s="284"/>
      <c r="G1606" s="284"/>
      <c r="H1606" s="284"/>
      <c r="I1606" s="284"/>
      <c r="J1606" s="375"/>
      <c r="K1606" s="375"/>
      <c r="L1606" s="375"/>
      <c r="M1606" s="368"/>
      <c r="N1606" s="368"/>
      <c r="O1606" s="370"/>
      <c r="T1606" s="340"/>
      <c r="V1606" s="378"/>
      <c r="W1606" s="64" ph="1"/>
      <c r="X1606" s="241"/>
      <c r="Y1606" s="284"/>
      <c r="Z1606" s="207"/>
      <c r="AA1606" s="284"/>
      <c r="AB1606" s="284"/>
      <c r="AC1606" s="284"/>
      <c r="AD1606" s="284"/>
      <c r="AE1606" s="284"/>
      <c r="AF1606" s="284"/>
      <c r="AG1606" s="284"/>
      <c r="AI1606" s="131"/>
    </row>
    <row r="1607" spans="1:35" ht="26.4">
      <c r="A1607" s="284"/>
      <c r="B1607" s="284"/>
      <c r="C1607" s="284"/>
      <c r="D1607" s="284"/>
      <c r="E1607" s="284"/>
      <c r="F1607" s="284"/>
      <c r="G1607" s="284"/>
      <c r="H1607" s="284"/>
      <c r="I1607" s="284"/>
      <c r="J1607" s="375"/>
      <c r="K1607" s="375"/>
      <c r="L1607" s="375"/>
      <c r="M1607" s="368"/>
      <c r="N1607" s="368"/>
      <c r="O1607" s="370"/>
      <c r="T1607" s="340"/>
      <c r="V1607" s="378"/>
      <c r="W1607" s="64" ph="1"/>
      <c r="X1607" s="241"/>
      <c r="Y1607" s="284"/>
      <c r="Z1607" s="207"/>
      <c r="AA1607" s="284"/>
      <c r="AB1607" s="284"/>
      <c r="AC1607" s="284"/>
      <c r="AD1607" s="284"/>
      <c r="AE1607" s="284"/>
      <c r="AF1607" s="284"/>
      <c r="AG1607" s="284"/>
      <c r="AI1607" s="131"/>
    </row>
    <row r="1608" spans="1:35" ht="26.4">
      <c r="A1608" s="284"/>
      <c r="B1608" s="284"/>
      <c r="C1608" s="284"/>
      <c r="D1608" s="284"/>
      <c r="E1608" s="284"/>
      <c r="F1608" s="284"/>
      <c r="G1608" s="284"/>
      <c r="H1608" s="284"/>
      <c r="I1608" s="284"/>
      <c r="J1608" s="375"/>
      <c r="K1608" s="375"/>
      <c r="L1608" s="375"/>
      <c r="M1608" s="368"/>
      <c r="N1608" s="368"/>
      <c r="O1608" s="370"/>
      <c r="T1608" s="340"/>
      <c r="V1608" s="378"/>
      <c r="W1608" s="64" ph="1"/>
      <c r="X1608" s="241"/>
      <c r="Y1608" s="284"/>
      <c r="Z1608" s="207"/>
      <c r="AA1608" s="284"/>
      <c r="AB1608" s="284"/>
      <c r="AC1608" s="284"/>
      <c r="AD1608" s="284"/>
      <c r="AE1608" s="284"/>
      <c r="AF1608" s="284"/>
      <c r="AG1608" s="284"/>
      <c r="AI1608" s="131"/>
    </row>
    <row r="1609" spans="1:35" ht="26.4">
      <c r="A1609" s="284"/>
      <c r="B1609" s="284"/>
      <c r="C1609" s="284"/>
      <c r="D1609" s="284"/>
      <c r="E1609" s="284"/>
      <c r="F1609" s="284"/>
      <c r="G1609" s="284"/>
      <c r="H1609" s="284"/>
      <c r="I1609" s="284"/>
      <c r="J1609" s="375"/>
      <c r="K1609" s="375"/>
      <c r="L1609" s="375"/>
      <c r="M1609" s="368"/>
      <c r="N1609" s="368"/>
      <c r="O1609" s="370"/>
      <c r="T1609" s="340"/>
      <c r="V1609" s="378"/>
      <c r="W1609" s="64" ph="1"/>
      <c r="X1609" s="241"/>
      <c r="Y1609" s="284"/>
      <c r="Z1609" s="207"/>
      <c r="AA1609" s="284"/>
      <c r="AB1609" s="284"/>
      <c r="AC1609" s="284"/>
      <c r="AD1609" s="284"/>
      <c r="AE1609" s="284"/>
      <c r="AF1609" s="284"/>
      <c r="AG1609" s="284"/>
      <c r="AI1609" s="131"/>
    </row>
    <row r="1610" spans="1:35" ht="26.4">
      <c r="A1610" s="284"/>
      <c r="B1610" s="284"/>
      <c r="C1610" s="284"/>
      <c r="D1610" s="284"/>
      <c r="E1610" s="284"/>
      <c r="F1610" s="284"/>
      <c r="G1610" s="284"/>
      <c r="H1610" s="284"/>
      <c r="I1610" s="284"/>
      <c r="J1610" s="375"/>
      <c r="K1610" s="375"/>
      <c r="L1610" s="375"/>
      <c r="M1610" s="368"/>
      <c r="N1610" s="368"/>
      <c r="O1610" s="370"/>
      <c r="T1610" s="340"/>
      <c r="V1610" s="378"/>
      <c r="W1610" s="64" ph="1"/>
      <c r="X1610" s="241"/>
      <c r="Y1610" s="284"/>
      <c r="Z1610" s="207"/>
      <c r="AA1610" s="284"/>
      <c r="AB1610" s="284"/>
      <c r="AC1610" s="284"/>
      <c r="AD1610" s="284"/>
      <c r="AE1610" s="284"/>
      <c r="AF1610" s="284"/>
      <c r="AG1610" s="284"/>
      <c r="AI1610" s="131"/>
    </row>
    <row r="1611" spans="1:35" ht="26.4">
      <c r="A1611" s="284"/>
      <c r="B1611" s="284"/>
      <c r="C1611" s="284"/>
      <c r="D1611" s="284"/>
      <c r="E1611" s="284"/>
      <c r="F1611" s="284"/>
      <c r="G1611" s="284"/>
      <c r="H1611" s="284"/>
      <c r="I1611" s="284"/>
      <c r="J1611" s="375"/>
      <c r="K1611" s="375"/>
      <c r="L1611" s="375"/>
      <c r="M1611" s="368"/>
      <c r="N1611" s="368"/>
      <c r="O1611" s="370"/>
      <c r="T1611" s="340"/>
      <c r="V1611" s="378"/>
      <c r="W1611" s="64" ph="1"/>
      <c r="X1611" s="241"/>
      <c r="Y1611" s="284"/>
      <c r="Z1611" s="207"/>
      <c r="AA1611" s="284"/>
      <c r="AB1611" s="284"/>
      <c r="AC1611" s="284"/>
      <c r="AD1611" s="284"/>
      <c r="AE1611" s="284"/>
      <c r="AF1611" s="284"/>
      <c r="AG1611" s="284"/>
      <c r="AI1611" s="131"/>
    </row>
    <row r="1612" spans="1:35" ht="26.4">
      <c r="A1612" s="284"/>
      <c r="B1612" s="284"/>
      <c r="C1612" s="284"/>
      <c r="D1612" s="284"/>
      <c r="E1612" s="284"/>
      <c r="F1612" s="284"/>
      <c r="G1612" s="284"/>
      <c r="H1612" s="284"/>
      <c r="I1612" s="284"/>
      <c r="J1612" s="375"/>
      <c r="K1612" s="375"/>
      <c r="L1612" s="375"/>
      <c r="M1612" s="368"/>
      <c r="N1612" s="368"/>
      <c r="O1612" s="370"/>
      <c r="T1612" s="340"/>
      <c r="V1612" s="378"/>
      <c r="W1612" s="64" ph="1"/>
      <c r="X1612" s="241"/>
      <c r="Y1612" s="284"/>
      <c r="Z1612" s="207"/>
      <c r="AA1612" s="284"/>
      <c r="AB1612" s="284"/>
      <c r="AC1612" s="284"/>
      <c r="AD1612" s="284"/>
      <c r="AE1612" s="284"/>
      <c r="AF1612" s="284"/>
      <c r="AG1612" s="284"/>
      <c r="AI1612" s="131"/>
    </row>
    <row r="1613" spans="1:35" ht="26.4">
      <c r="A1613" s="284"/>
      <c r="B1613" s="284"/>
      <c r="C1613" s="284"/>
      <c r="D1613" s="284"/>
      <c r="E1613" s="284"/>
      <c r="F1613" s="284"/>
      <c r="G1613" s="284"/>
      <c r="H1613" s="284"/>
      <c r="I1613" s="284"/>
      <c r="J1613" s="375"/>
      <c r="K1613" s="375"/>
      <c r="L1613" s="375"/>
      <c r="M1613" s="368"/>
      <c r="N1613" s="368"/>
      <c r="O1613" s="370"/>
      <c r="T1613" s="340"/>
      <c r="V1613" s="378"/>
      <c r="W1613" s="64" ph="1"/>
      <c r="X1613" s="241"/>
      <c r="Y1613" s="284"/>
      <c r="Z1613" s="207"/>
      <c r="AA1613" s="284"/>
      <c r="AB1613" s="284"/>
      <c r="AC1613" s="284"/>
      <c r="AD1613" s="284"/>
      <c r="AE1613" s="284"/>
      <c r="AF1613" s="284"/>
      <c r="AG1613" s="284"/>
      <c r="AI1613" s="131"/>
    </row>
    <row r="1614" spans="1:35" ht="26.4">
      <c r="A1614" s="284"/>
      <c r="B1614" s="284"/>
      <c r="C1614" s="284"/>
      <c r="D1614" s="284"/>
      <c r="E1614" s="284"/>
      <c r="F1614" s="284"/>
      <c r="G1614" s="284"/>
      <c r="H1614" s="284"/>
      <c r="I1614" s="284"/>
      <c r="J1614" s="375"/>
      <c r="K1614" s="375"/>
      <c r="L1614" s="375"/>
      <c r="M1614" s="368"/>
      <c r="N1614" s="368"/>
      <c r="O1614" s="370"/>
      <c r="T1614" s="340"/>
      <c r="V1614" s="378"/>
      <c r="W1614" s="64" ph="1"/>
      <c r="X1614" s="241"/>
      <c r="Y1614" s="284"/>
      <c r="Z1614" s="207"/>
      <c r="AA1614" s="284"/>
      <c r="AB1614" s="284"/>
      <c r="AC1614" s="284"/>
      <c r="AD1614" s="284"/>
      <c r="AE1614" s="284"/>
      <c r="AF1614" s="284"/>
      <c r="AG1614" s="284"/>
      <c r="AI1614" s="131"/>
    </row>
    <row r="1615" spans="1:35" ht="26.4">
      <c r="A1615" s="284"/>
      <c r="B1615" s="284"/>
      <c r="C1615" s="284"/>
      <c r="D1615" s="284"/>
      <c r="E1615" s="284"/>
      <c r="F1615" s="284"/>
      <c r="G1615" s="284"/>
      <c r="H1615" s="284"/>
      <c r="I1615" s="284"/>
      <c r="J1615" s="375"/>
      <c r="K1615" s="375"/>
      <c r="L1615" s="375"/>
      <c r="M1615" s="368"/>
      <c r="N1615" s="368"/>
      <c r="O1615" s="370"/>
      <c r="T1615" s="340"/>
      <c r="V1615" s="378"/>
      <c r="W1615" s="64" ph="1"/>
      <c r="X1615" s="241"/>
      <c r="Y1615" s="284"/>
      <c r="Z1615" s="207"/>
      <c r="AA1615" s="284"/>
      <c r="AB1615" s="284"/>
      <c r="AC1615" s="284"/>
      <c r="AD1615" s="284"/>
      <c r="AE1615" s="284"/>
      <c r="AF1615" s="284"/>
      <c r="AG1615" s="284"/>
      <c r="AI1615" s="131"/>
    </row>
    <row r="1616" spans="1:35" ht="26.4">
      <c r="A1616" s="284"/>
      <c r="B1616" s="284"/>
      <c r="C1616" s="284"/>
      <c r="D1616" s="284"/>
      <c r="E1616" s="284"/>
      <c r="F1616" s="284"/>
      <c r="G1616" s="284"/>
      <c r="H1616" s="284"/>
      <c r="I1616" s="284"/>
      <c r="J1616" s="375"/>
      <c r="K1616" s="375"/>
      <c r="L1616" s="375"/>
      <c r="M1616" s="368"/>
      <c r="N1616" s="368"/>
      <c r="O1616" s="370"/>
      <c r="T1616" s="340"/>
      <c r="V1616" s="378"/>
      <c r="W1616" s="64" ph="1"/>
      <c r="X1616" s="241"/>
      <c r="Y1616" s="284"/>
      <c r="Z1616" s="207"/>
      <c r="AA1616" s="284"/>
      <c r="AB1616" s="284"/>
      <c r="AC1616" s="284"/>
      <c r="AD1616" s="284"/>
      <c r="AE1616" s="284"/>
      <c r="AF1616" s="284"/>
      <c r="AG1616" s="284"/>
      <c r="AI1616" s="131"/>
    </row>
    <row r="1617" spans="1:35" ht="26.4">
      <c r="A1617" s="284"/>
      <c r="B1617" s="284"/>
      <c r="C1617" s="284"/>
      <c r="D1617" s="284"/>
      <c r="E1617" s="284"/>
      <c r="F1617" s="284"/>
      <c r="G1617" s="284"/>
      <c r="H1617" s="284"/>
      <c r="I1617" s="284"/>
      <c r="J1617" s="375"/>
      <c r="K1617" s="375"/>
      <c r="L1617" s="375"/>
      <c r="M1617" s="368"/>
      <c r="N1617" s="368"/>
      <c r="O1617" s="370"/>
      <c r="T1617" s="340"/>
      <c r="V1617" s="378"/>
      <c r="W1617" s="64" ph="1"/>
      <c r="X1617" s="241"/>
      <c r="Y1617" s="284"/>
      <c r="Z1617" s="207"/>
      <c r="AA1617" s="284"/>
      <c r="AB1617" s="284"/>
      <c r="AC1617" s="284"/>
      <c r="AD1617" s="284"/>
      <c r="AE1617" s="284"/>
      <c r="AF1617" s="284"/>
      <c r="AG1617" s="284"/>
      <c r="AI1617" s="131"/>
    </row>
    <row r="1618" spans="1:35" ht="26.4">
      <c r="A1618" s="284"/>
      <c r="B1618" s="284"/>
      <c r="C1618" s="284"/>
      <c r="D1618" s="284"/>
      <c r="E1618" s="284"/>
      <c r="F1618" s="284"/>
      <c r="G1618" s="284"/>
      <c r="H1618" s="284"/>
      <c r="I1618" s="284"/>
      <c r="J1618" s="375"/>
      <c r="K1618" s="375"/>
      <c r="L1618" s="375"/>
      <c r="M1618" s="368"/>
      <c r="N1618" s="368"/>
      <c r="O1618" s="370"/>
      <c r="T1618" s="340"/>
      <c r="V1618" s="378"/>
      <c r="W1618" s="64" ph="1"/>
      <c r="X1618" s="241"/>
      <c r="Y1618" s="284"/>
      <c r="Z1618" s="207"/>
      <c r="AA1618" s="284"/>
      <c r="AB1618" s="284"/>
      <c r="AC1618" s="284"/>
      <c r="AD1618" s="284"/>
      <c r="AE1618" s="284"/>
      <c r="AF1618" s="284"/>
      <c r="AG1618" s="284"/>
      <c r="AI1618" s="131"/>
    </row>
    <row r="1619" spans="1:35" ht="26.4">
      <c r="A1619" s="284"/>
      <c r="B1619" s="284"/>
      <c r="C1619" s="284"/>
      <c r="D1619" s="284"/>
      <c r="E1619" s="284"/>
      <c r="F1619" s="284"/>
      <c r="G1619" s="284"/>
      <c r="H1619" s="284"/>
      <c r="I1619" s="284"/>
      <c r="J1619" s="375"/>
      <c r="K1619" s="375"/>
      <c r="L1619" s="375"/>
      <c r="M1619" s="368"/>
      <c r="N1619" s="368"/>
      <c r="O1619" s="370"/>
      <c r="T1619" s="340"/>
      <c r="V1619" s="378"/>
      <c r="W1619" s="64" ph="1"/>
      <c r="X1619" s="241"/>
      <c r="Y1619" s="284"/>
      <c r="Z1619" s="207"/>
      <c r="AA1619" s="284"/>
      <c r="AB1619" s="284"/>
      <c r="AC1619" s="284"/>
      <c r="AD1619" s="284"/>
      <c r="AE1619" s="284"/>
      <c r="AF1619" s="284"/>
      <c r="AG1619" s="284"/>
      <c r="AI1619" s="131"/>
    </row>
    <row r="1620" spans="1:35" ht="26.4">
      <c r="A1620" s="284"/>
      <c r="B1620" s="284"/>
      <c r="C1620" s="284"/>
      <c r="D1620" s="284"/>
      <c r="E1620" s="284"/>
      <c r="F1620" s="284"/>
      <c r="G1620" s="284"/>
      <c r="H1620" s="284"/>
      <c r="I1620" s="284"/>
      <c r="J1620" s="375"/>
      <c r="K1620" s="375"/>
      <c r="L1620" s="375"/>
      <c r="M1620" s="368"/>
      <c r="N1620" s="368"/>
      <c r="O1620" s="370"/>
      <c r="T1620" s="340"/>
      <c r="V1620" s="378"/>
      <c r="W1620" s="64" ph="1"/>
      <c r="X1620" s="241"/>
      <c r="Y1620" s="284"/>
      <c r="Z1620" s="207"/>
      <c r="AA1620" s="284"/>
      <c r="AB1620" s="284"/>
      <c r="AC1620" s="284"/>
      <c r="AD1620" s="284"/>
      <c r="AE1620" s="284"/>
      <c r="AF1620" s="284"/>
      <c r="AG1620" s="284"/>
      <c r="AI1620" s="131"/>
    </row>
    <row r="1621" spans="1:35" ht="26.4">
      <c r="A1621" s="284"/>
      <c r="B1621" s="284"/>
      <c r="C1621" s="284"/>
      <c r="D1621" s="284"/>
      <c r="E1621" s="284"/>
      <c r="F1621" s="284"/>
      <c r="G1621" s="284"/>
      <c r="H1621" s="284"/>
      <c r="I1621" s="284"/>
      <c r="J1621" s="375"/>
      <c r="K1621" s="375"/>
      <c r="L1621" s="375"/>
      <c r="M1621" s="368"/>
      <c r="N1621" s="368"/>
      <c r="O1621" s="370"/>
      <c r="T1621" s="340"/>
      <c r="V1621" s="378"/>
      <c r="W1621" s="64" ph="1"/>
      <c r="X1621" s="241"/>
      <c r="Y1621" s="284"/>
      <c r="Z1621" s="207"/>
      <c r="AA1621" s="284"/>
      <c r="AB1621" s="284"/>
      <c r="AC1621" s="284"/>
      <c r="AD1621" s="284"/>
      <c r="AE1621" s="284"/>
      <c r="AF1621" s="284"/>
      <c r="AG1621" s="284"/>
      <c r="AI1621" s="131"/>
    </row>
    <row r="1622" spans="1:35" ht="26.4">
      <c r="A1622" s="284"/>
      <c r="B1622" s="284"/>
      <c r="C1622" s="284"/>
      <c r="D1622" s="284"/>
      <c r="E1622" s="284"/>
      <c r="F1622" s="284"/>
      <c r="G1622" s="284"/>
      <c r="H1622" s="284"/>
      <c r="I1622" s="284"/>
      <c r="J1622" s="375"/>
      <c r="K1622" s="375"/>
      <c r="L1622" s="375"/>
      <c r="M1622" s="368"/>
      <c r="N1622" s="368"/>
      <c r="O1622" s="370"/>
      <c r="T1622" s="340"/>
      <c r="V1622" s="378"/>
      <c r="W1622" s="64" ph="1"/>
      <c r="X1622" s="241"/>
      <c r="Y1622" s="284"/>
      <c r="Z1622" s="207"/>
      <c r="AA1622" s="284"/>
      <c r="AB1622" s="284"/>
      <c r="AC1622" s="284"/>
      <c r="AD1622" s="284"/>
      <c r="AE1622" s="284"/>
      <c r="AF1622" s="284"/>
      <c r="AG1622" s="284"/>
      <c r="AI1622" s="131"/>
    </row>
    <row r="1623" spans="1:35" ht="26.4">
      <c r="A1623" s="284"/>
      <c r="B1623" s="284"/>
      <c r="C1623" s="284"/>
      <c r="D1623" s="284"/>
      <c r="E1623" s="284"/>
      <c r="F1623" s="284"/>
      <c r="G1623" s="284"/>
      <c r="H1623" s="284"/>
      <c r="I1623" s="284"/>
      <c r="J1623" s="375"/>
      <c r="K1623" s="375"/>
      <c r="L1623" s="375"/>
      <c r="M1623" s="368"/>
      <c r="N1623" s="368"/>
      <c r="O1623" s="370"/>
      <c r="T1623" s="340"/>
      <c r="V1623" s="378"/>
      <c r="W1623" s="64" ph="1"/>
      <c r="X1623" s="241"/>
      <c r="Y1623" s="284"/>
      <c r="Z1623" s="207"/>
      <c r="AA1623" s="284"/>
      <c r="AB1623" s="284"/>
      <c r="AC1623" s="284"/>
      <c r="AD1623" s="284"/>
      <c r="AE1623" s="284"/>
      <c r="AF1623" s="284"/>
      <c r="AG1623" s="284"/>
      <c r="AI1623" s="131"/>
    </row>
    <row r="1624" spans="1:35" ht="26.4">
      <c r="A1624" s="284"/>
      <c r="B1624" s="284"/>
      <c r="C1624" s="284"/>
      <c r="D1624" s="284"/>
      <c r="E1624" s="284"/>
      <c r="F1624" s="284"/>
      <c r="G1624" s="284"/>
      <c r="H1624" s="284"/>
      <c r="I1624" s="284"/>
      <c r="J1624" s="375"/>
      <c r="K1624" s="375"/>
      <c r="L1624" s="375"/>
      <c r="M1624" s="368"/>
      <c r="N1624" s="368"/>
      <c r="O1624" s="370"/>
      <c r="T1624" s="340"/>
      <c r="V1624" s="378"/>
      <c r="W1624" s="64" ph="1"/>
      <c r="X1624" s="241"/>
      <c r="Y1624" s="284"/>
      <c r="Z1624" s="207"/>
      <c r="AA1624" s="284"/>
      <c r="AB1624" s="284"/>
      <c r="AC1624" s="284"/>
      <c r="AD1624" s="284"/>
      <c r="AE1624" s="284"/>
      <c r="AF1624" s="284"/>
      <c r="AG1624" s="284"/>
      <c r="AI1624" s="131"/>
    </row>
    <row r="1625" spans="1:35" ht="26.4">
      <c r="A1625" s="284"/>
      <c r="B1625" s="284"/>
      <c r="C1625" s="284"/>
      <c r="D1625" s="284"/>
      <c r="E1625" s="284"/>
      <c r="F1625" s="284"/>
      <c r="G1625" s="284"/>
      <c r="H1625" s="284"/>
      <c r="I1625" s="284"/>
      <c r="J1625" s="375"/>
      <c r="K1625" s="375"/>
      <c r="L1625" s="375"/>
      <c r="M1625" s="368"/>
      <c r="N1625" s="368"/>
      <c r="O1625" s="370"/>
      <c r="T1625" s="340"/>
      <c r="V1625" s="378"/>
      <c r="W1625" s="64" ph="1"/>
      <c r="X1625" s="241"/>
      <c r="Y1625" s="284"/>
      <c r="Z1625" s="207"/>
      <c r="AA1625" s="284"/>
      <c r="AB1625" s="284"/>
      <c r="AC1625" s="284"/>
      <c r="AD1625" s="284"/>
      <c r="AE1625" s="284"/>
      <c r="AF1625" s="284"/>
      <c r="AG1625" s="284"/>
      <c r="AI1625" s="131"/>
    </row>
    <row r="1626" spans="1:35" ht="26.4">
      <c r="A1626" s="284"/>
      <c r="B1626" s="284"/>
      <c r="C1626" s="284"/>
      <c r="D1626" s="284"/>
      <c r="E1626" s="284"/>
      <c r="F1626" s="284"/>
      <c r="G1626" s="284"/>
      <c r="H1626" s="284"/>
      <c r="I1626" s="284"/>
      <c r="J1626" s="375"/>
      <c r="K1626" s="375"/>
      <c r="L1626" s="375"/>
      <c r="M1626" s="368"/>
      <c r="N1626" s="368"/>
      <c r="O1626" s="370"/>
      <c r="T1626" s="340"/>
      <c r="V1626" s="378"/>
      <c r="W1626" s="64" ph="1"/>
      <c r="X1626" s="241"/>
      <c r="Y1626" s="284"/>
      <c r="Z1626" s="207"/>
      <c r="AA1626" s="284"/>
      <c r="AB1626" s="284"/>
      <c r="AC1626" s="284"/>
      <c r="AD1626" s="284"/>
      <c r="AE1626" s="284"/>
      <c r="AF1626" s="284"/>
      <c r="AG1626" s="284"/>
      <c r="AI1626" s="131"/>
    </row>
    <row r="1627" spans="1:35" ht="26.4">
      <c r="A1627" s="284"/>
      <c r="B1627" s="284"/>
      <c r="C1627" s="284"/>
      <c r="D1627" s="284"/>
      <c r="E1627" s="284"/>
      <c r="F1627" s="284"/>
      <c r="G1627" s="284"/>
      <c r="H1627" s="284"/>
      <c r="I1627" s="284"/>
      <c r="J1627" s="375"/>
      <c r="K1627" s="375"/>
      <c r="L1627" s="375"/>
      <c r="M1627" s="368"/>
      <c r="N1627" s="368"/>
      <c r="O1627" s="370"/>
      <c r="T1627" s="340"/>
      <c r="V1627" s="378"/>
      <c r="W1627" s="64" ph="1"/>
      <c r="X1627" s="241"/>
      <c r="Y1627" s="284"/>
      <c r="Z1627" s="207"/>
      <c r="AA1627" s="284"/>
      <c r="AB1627" s="284"/>
      <c r="AC1627" s="284"/>
      <c r="AD1627" s="284"/>
      <c r="AE1627" s="284"/>
      <c r="AF1627" s="284"/>
      <c r="AG1627" s="284"/>
      <c r="AI1627" s="131"/>
    </row>
    <row r="1628" spans="1:35" ht="26.4">
      <c r="A1628" s="284"/>
      <c r="B1628" s="284"/>
      <c r="C1628" s="284"/>
      <c r="D1628" s="284"/>
      <c r="E1628" s="284"/>
      <c r="F1628" s="284"/>
      <c r="G1628" s="284"/>
      <c r="H1628" s="284"/>
      <c r="I1628" s="284"/>
      <c r="J1628" s="375"/>
      <c r="K1628" s="375"/>
      <c r="L1628" s="375"/>
      <c r="M1628" s="368"/>
      <c r="N1628" s="368"/>
      <c r="O1628" s="370"/>
      <c r="T1628" s="340"/>
      <c r="V1628" s="378"/>
      <c r="W1628" s="64" ph="1"/>
      <c r="X1628" s="241"/>
      <c r="Y1628" s="284"/>
      <c r="Z1628" s="207"/>
      <c r="AA1628" s="284"/>
      <c r="AB1628" s="284"/>
      <c r="AC1628" s="284"/>
      <c r="AD1628" s="284"/>
      <c r="AE1628" s="284"/>
      <c r="AF1628" s="284"/>
      <c r="AG1628" s="284"/>
      <c r="AI1628" s="284"/>
    </row>
    <row r="1629" spans="1:35" ht="26.4">
      <c r="A1629" s="284"/>
      <c r="B1629" s="284"/>
      <c r="C1629" s="284"/>
      <c r="D1629" s="284"/>
      <c r="E1629" s="284"/>
      <c r="F1629" s="284"/>
      <c r="G1629" s="284"/>
      <c r="H1629" s="284"/>
      <c r="I1629" s="284"/>
      <c r="J1629" s="375"/>
      <c r="K1629" s="375"/>
      <c r="L1629" s="375"/>
      <c r="M1629" s="368"/>
      <c r="N1629" s="368"/>
      <c r="O1629" s="370"/>
      <c r="T1629" s="340"/>
      <c r="V1629" s="378"/>
      <c r="W1629" s="64" ph="1"/>
      <c r="X1629" s="241"/>
      <c r="Y1629" s="284"/>
      <c r="Z1629" s="207"/>
      <c r="AA1629" s="284"/>
      <c r="AB1629" s="284"/>
      <c r="AC1629" s="284"/>
      <c r="AD1629" s="284"/>
      <c r="AE1629" s="284"/>
      <c r="AF1629" s="284"/>
      <c r="AG1629" s="284"/>
      <c r="AI1629" s="284"/>
    </row>
    <row r="1630" spans="1:35" ht="26.4">
      <c r="A1630" s="284"/>
      <c r="B1630" s="284"/>
      <c r="C1630" s="284"/>
      <c r="D1630" s="284"/>
      <c r="E1630" s="284"/>
      <c r="F1630" s="284"/>
      <c r="G1630" s="284"/>
      <c r="H1630" s="284"/>
      <c r="I1630" s="284"/>
      <c r="J1630" s="375"/>
      <c r="K1630" s="375"/>
      <c r="L1630" s="375"/>
      <c r="M1630" s="368"/>
      <c r="N1630" s="368"/>
      <c r="O1630" s="370"/>
      <c r="T1630" s="340"/>
      <c r="V1630" s="378"/>
      <c r="W1630" s="64" ph="1"/>
      <c r="X1630" s="241"/>
      <c r="Y1630" s="284"/>
      <c r="Z1630" s="207"/>
      <c r="AA1630" s="284"/>
      <c r="AB1630" s="284"/>
      <c r="AC1630" s="284"/>
      <c r="AD1630" s="284"/>
      <c r="AE1630" s="284"/>
      <c r="AF1630" s="284"/>
      <c r="AG1630" s="284"/>
      <c r="AI1630" s="131"/>
    </row>
    <row r="1631" spans="1:35" ht="26.4">
      <c r="A1631" s="284"/>
      <c r="B1631" s="284"/>
      <c r="C1631" s="284"/>
      <c r="D1631" s="284"/>
      <c r="E1631" s="284"/>
      <c r="F1631" s="284"/>
      <c r="G1631" s="284"/>
      <c r="H1631" s="284"/>
      <c r="I1631" s="284"/>
      <c r="J1631" s="375"/>
      <c r="K1631" s="375"/>
      <c r="L1631" s="375"/>
      <c r="M1631" s="368"/>
      <c r="N1631" s="368"/>
      <c r="O1631" s="370"/>
      <c r="T1631" s="340"/>
      <c r="V1631" s="378"/>
      <c r="W1631" s="64" ph="1"/>
      <c r="X1631" s="241"/>
      <c r="Y1631" s="284"/>
      <c r="Z1631" s="207"/>
      <c r="AA1631" s="284"/>
      <c r="AB1631" s="284"/>
      <c r="AC1631" s="284"/>
      <c r="AD1631" s="284"/>
      <c r="AE1631" s="284"/>
      <c r="AF1631" s="284"/>
      <c r="AG1631" s="284"/>
      <c r="AI1631" s="131"/>
    </row>
    <row r="1632" spans="1:35" ht="26.4">
      <c r="A1632" s="284"/>
      <c r="B1632" s="284"/>
      <c r="C1632" s="284"/>
      <c r="D1632" s="284"/>
      <c r="E1632" s="284"/>
      <c r="F1632" s="284"/>
      <c r="G1632" s="284"/>
      <c r="H1632" s="284"/>
      <c r="I1632" s="284"/>
      <c r="J1632" s="375"/>
      <c r="K1632" s="375"/>
      <c r="L1632" s="375"/>
      <c r="M1632" s="368"/>
      <c r="N1632" s="368"/>
      <c r="O1632" s="370"/>
      <c r="T1632" s="340"/>
      <c r="V1632" s="378"/>
      <c r="W1632" s="64" ph="1"/>
      <c r="X1632" s="241"/>
      <c r="Y1632" s="284"/>
      <c r="Z1632" s="207"/>
      <c r="AA1632" s="284"/>
      <c r="AB1632" s="284"/>
      <c r="AC1632" s="284"/>
      <c r="AD1632" s="284"/>
      <c r="AE1632" s="284"/>
      <c r="AF1632" s="284"/>
      <c r="AG1632" s="284"/>
      <c r="AI1632" s="131"/>
    </row>
    <row r="1633" spans="1:35" ht="26.4">
      <c r="A1633" s="284"/>
      <c r="B1633" s="284"/>
      <c r="C1633" s="284"/>
      <c r="D1633" s="284"/>
      <c r="E1633" s="284"/>
      <c r="F1633" s="284"/>
      <c r="G1633" s="284"/>
      <c r="H1633" s="284"/>
      <c r="I1633" s="284"/>
      <c r="J1633" s="375"/>
      <c r="K1633" s="375"/>
      <c r="L1633" s="375"/>
      <c r="M1633" s="368"/>
      <c r="N1633" s="368"/>
      <c r="O1633" s="370"/>
      <c r="T1633" s="340"/>
      <c r="V1633" s="378"/>
      <c r="W1633" s="64" ph="1"/>
      <c r="X1633" s="241"/>
      <c r="Y1633" s="284"/>
      <c r="Z1633" s="207"/>
      <c r="AA1633" s="284"/>
      <c r="AB1633" s="284"/>
      <c r="AC1633" s="284"/>
      <c r="AD1633" s="284"/>
      <c r="AE1633" s="284"/>
      <c r="AF1633" s="284"/>
      <c r="AG1633" s="284"/>
      <c r="AI1633" s="131"/>
    </row>
    <row r="1634" spans="1:35" ht="26.4">
      <c r="A1634" s="284"/>
      <c r="B1634" s="284"/>
      <c r="C1634" s="284"/>
      <c r="D1634" s="284"/>
      <c r="E1634" s="284"/>
      <c r="F1634" s="284"/>
      <c r="G1634" s="284"/>
      <c r="H1634" s="284"/>
      <c r="I1634" s="284"/>
      <c r="J1634" s="375"/>
      <c r="K1634" s="375"/>
      <c r="L1634" s="375"/>
      <c r="M1634" s="368"/>
      <c r="N1634" s="368"/>
      <c r="O1634" s="370"/>
      <c r="T1634" s="340"/>
      <c r="V1634" s="378"/>
      <c r="W1634" s="64" ph="1"/>
      <c r="X1634" s="241"/>
      <c r="Y1634" s="284"/>
      <c r="Z1634" s="207"/>
      <c r="AA1634" s="284"/>
      <c r="AB1634" s="284"/>
      <c r="AC1634" s="284"/>
      <c r="AD1634" s="284"/>
      <c r="AE1634" s="284"/>
      <c r="AF1634" s="284"/>
      <c r="AG1634" s="284"/>
      <c r="AI1634" s="131"/>
    </row>
    <row r="1635" spans="1:35" ht="26.4">
      <c r="A1635" s="284"/>
      <c r="B1635" s="284"/>
      <c r="C1635" s="284"/>
      <c r="D1635" s="284"/>
      <c r="E1635" s="284"/>
      <c r="F1635" s="284"/>
      <c r="G1635" s="284"/>
      <c r="H1635" s="284"/>
      <c r="I1635" s="284"/>
      <c r="J1635" s="375"/>
      <c r="K1635" s="375"/>
      <c r="L1635" s="375"/>
      <c r="M1635" s="368"/>
      <c r="N1635" s="368"/>
      <c r="O1635" s="370"/>
      <c r="T1635" s="340"/>
      <c r="V1635" s="378"/>
      <c r="W1635" s="64" ph="1"/>
      <c r="X1635" s="241"/>
      <c r="Y1635" s="284"/>
      <c r="Z1635" s="207"/>
      <c r="AA1635" s="284"/>
      <c r="AB1635" s="284"/>
      <c r="AC1635" s="284"/>
      <c r="AD1635" s="284"/>
      <c r="AE1635" s="284"/>
      <c r="AF1635" s="284"/>
      <c r="AG1635" s="284"/>
      <c r="AI1635" s="131"/>
    </row>
    <row r="1636" spans="1:35" ht="26.4">
      <c r="A1636" s="284"/>
      <c r="B1636" s="284"/>
      <c r="C1636" s="284"/>
      <c r="D1636" s="284"/>
      <c r="E1636" s="284"/>
      <c r="F1636" s="284"/>
      <c r="G1636" s="284"/>
      <c r="H1636" s="284"/>
      <c r="I1636" s="284"/>
      <c r="J1636" s="375"/>
      <c r="K1636" s="375"/>
      <c r="L1636" s="375"/>
      <c r="M1636" s="368"/>
      <c r="N1636" s="368"/>
      <c r="O1636" s="370"/>
      <c r="T1636" s="340"/>
      <c r="V1636" s="378"/>
      <c r="W1636" s="64" ph="1"/>
      <c r="X1636" s="241"/>
      <c r="Y1636" s="284"/>
      <c r="Z1636" s="207"/>
      <c r="AA1636" s="284"/>
      <c r="AB1636" s="284"/>
      <c r="AC1636" s="284"/>
      <c r="AD1636" s="284"/>
      <c r="AE1636" s="284"/>
      <c r="AF1636" s="284"/>
      <c r="AG1636" s="284"/>
      <c r="AI1636" s="131"/>
    </row>
    <row r="1637" spans="1:35" ht="26.4">
      <c r="A1637" s="284"/>
      <c r="B1637" s="284"/>
      <c r="C1637" s="284"/>
      <c r="D1637" s="284"/>
      <c r="E1637" s="284"/>
      <c r="F1637" s="284"/>
      <c r="G1637" s="284"/>
      <c r="H1637" s="284"/>
      <c r="I1637" s="284"/>
      <c r="J1637" s="375"/>
      <c r="K1637" s="375"/>
      <c r="L1637" s="375"/>
      <c r="M1637" s="368"/>
      <c r="N1637" s="368"/>
      <c r="O1637" s="370"/>
      <c r="T1637" s="340"/>
      <c r="V1637" s="378"/>
      <c r="W1637" s="64" ph="1"/>
      <c r="X1637" s="241"/>
      <c r="Y1637" s="284"/>
      <c r="Z1637" s="207"/>
      <c r="AA1637" s="284"/>
      <c r="AB1637" s="284"/>
      <c r="AC1637" s="284"/>
      <c r="AD1637" s="284"/>
      <c r="AE1637" s="284"/>
      <c r="AF1637" s="284"/>
      <c r="AG1637" s="284"/>
      <c r="AI1637" s="131"/>
    </row>
    <row r="1638" spans="1:35" ht="26.4">
      <c r="A1638" s="284"/>
      <c r="B1638" s="284"/>
      <c r="C1638" s="284"/>
      <c r="D1638" s="284"/>
      <c r="E1638" s="284"/>
      <c r="F1638" s="284"/>
      <c r="G1638" s="284"/>
      <c r="H1638" s="284"/>
      <c r="I1638" s="284"/>
      <c r="J1638" s="375"/>
      <c r="K1638" s="375"/>
      <c r="L1638" s="375"/>
      <c r="M1638" s="368"/>
      <c r="N1638" s="368"/>
      <c r="O1638" s="370"/>
      <c r="T1638" s="340"/>
      <c r="V1638" s="378"/>
      <c r="W1638" s="64" ph="1"/>
      <c r="X1638" s="241"/>
      <c r="Y1638" s="284"/>
      <c r="Z1638" s="207"/>
      <c r="AA1638" s="284"/>
      <c r="AB1638" s="284"/>
      <c r="AC1638" s="284"/>
      <c r="AD1638" s="284"/>
      <c r="AE1638" s="284"/>
      <c r="AF1638" s="284"/>
      <c r="AG1638" s="284"/>
      <c r="AI1638" s="284"/>
    </row>
    <row r="1639" spans="1:35" ht="26.4">
      <c r="A1639" s="284"/>
      <c r="B1639" s="284"/>
      <c r="C1639" s="284"/>
      <c r="D1639" s="284"/>
      <c r="E1639" s="284"/>
      <c r="F1639" s="284"/>
      <c r="G1639" s="284"/>
      <c r="H1639" s="284"/>
      <c r="I1639" s="284"/>
      <c r="J1639" s="375"/>
      <c r="K1639" s="375"/>
      <c r="L1639" s="375"/>
      <c r="M1639" s="368"/>
      <c r="N1639" s="368"/>
      <c r="O1639" s="370"/>
      <c r="T1639" s="340"/>
      <c r="V1639" s="378"/>
      <c r="W1639" s="64" ph="1"/>
      <c r="X1639" s="241"/>
      <c r="Y1639" s="284"/>
      <c r="Z1639" s="207"/>
      <c r="AA1639" s="284"/>
      <c r="AB1639" s="284"/>
      <c r="AC1639" s="284"/>
      <c r="AD1639" s="284"/>
      <c r="AE1639" s="284"/>
      <c r="AF1639" s="284"/>
      <c r="AG1639" s="284"/>
      <c r="AI1639" s="131"/>
    </row>
    <row r="1640" spans="1:35" ht="26.4">
      <c r="A1640" s="284"/>
      <c r="B1640" s="284"/>
      <c r="C1640" s="284"/>
      <c r="D1640" s="284"/>
      <c r="E1640" s="284"/>
      <c r="F1640" s="284"/>
      <c r="G1640" s="284"/>
      <c r="H1640" s="284"/>
      <c r="I1640" s="284"/>
      <c r="J1640" s="375"/>
      <c r="K1640" s="375"/>
      <c r="L1640" s="375"/>
      <c r="M1640" s="368"/>
      <c r="N1640" s="368"/>
      <c r="O1640" s="370"/>
      <c r="T1640" s="340"/>
      <c r="V1640" s="378"/>
      <c r="W1640" s="64" ph="1"/>
      <c r="X1640" s="241"/>
      <c r="Y1640" s="284"/>
      <c r="Z1640" s="207"/>
      <c r="AA1640" s="284"/>
      <c r="AB1640" s="284"/>
      <c r="AC1640" s="284"/>
      <c r="AD1640" s="284"/>
      <c r="AE1640" s="284"/>
      <c r="AF1640" s="284"/>
      <c r="AG1640" s="284"/>
      <c r="AI1640" s="131"/>
    </row>
    <row r="1641" spans="1:35" ht="26.4">
      <c r="A1641" s="284"/>
      <c r="B1641" s="284"/>
      <c r="C1641" s="284"/>
      <c r="D1641" s="284"/>
      <c r="E1641" s="284"/>
      <c r="F1641" s="284"/>
      <c r="G1641" s="284"/>
      <c r="H1641" s="284"/>
      <c r="I1641" s="284"/>
      <c r="J1641" s="375"/>
      <c r="K1641" s="375"/>
      <c r="L1641" s="375"/>
      <c r="M1641" s="368"/>
      <c r="N1641" s="368"/>
      <c r="O1641" s="370"/>
      <c r="T1641" s="340"/>
      <c r="V1641" s="378"/>
      <c r="W1641" s="64" ph="1"/>
      <c r="X1641" s="241"/>
      <c r="Y1641" s="284"/>
      <c r="Z1641" s="207"/>
      <c r="AA1641" s="284"/>
      <c r="AB1641" s="284"/>
      <c r="AC1641" s="284"/>
      <c r="AD1641" s="284"/>
      <c r="AE1641" s="284"/>
      <c r="AF1641" s="284"/>
      <c r="AG1641" s="284"/>
      <c r="AI1641" s="131"/>
    </row>
    <row r="1642" spans="1:35" ht="26.4">
      <c r="A1642" s="284"/>
      <c r="B1642" s="284"/>
      <c r="C1642" s="284"/>
      <c r="D1642" s="284"/>
      <c r="E1642" s="284"/>
      <c r="F1642" s="284"/>
      <c r="G1642" s="284"/>
      <c r="H1642" s="284"/>
      <c r="I1642" s="284"/>
      <c r="J1642" s="375"/>
      <c r="K1642" s="375"/>
      <c r="L1642" s="375"/>
      <c r="M1642" s="368"/>
      <c r="N1642" s="368"/>
      <c r="O1642" s="370"/>
      <c r="T1642" s="340"/>
      <c r="V1642" s="378"/>
      <c r="W1642" s="64" ph="1"/>
      <c r="X1642" s="241"/>
      <c r="Y1642" s="284"/>
      <c r="Z1642" s="207"/>
      <c r="AA1642" s="284"/>
      <c r="AB1642" s="284"/>
      <c r="AC1642" s="284"/>
      <c r="AD1642" s="284"/>
      <c r="AE1642" s="284"/>
      <c r="AF1642" s="284"/>
      <c r="AG1642" s="284"/>
      <c r="AI1642" s="131"/>
    </row>
    <row r="1643" spans="1:35" ht="26.4">
      <c r="A1643" s="284"/>
      <c r="B1643" s="284"/>
      <c r="C1643" s="284"/>
      <c r="D1643" s="284"/>
      <c r="E1643" s="284"/>
      <c r="F1643" s="284"/>
      <c r="G1643" s="284"/>
      <c r="H1643" s="284"/>
      <c r="I1643" s="284"/>
      <c r="J1643" s="375"/>
      <c r="K1643" s="375"/>
      <c r="L1643" s="375"/>
      <c r="M1643" s="368"/>
      <c r="N1643" s="368"/>
      <c r="O1643" s="370"/>
      <c r="T1643" s="340"/>
      <c r="V1643" s="378"/>
      <c r="W1643" s="64" ph="1"/>
      <c r="X1643" s="241"/>
      <c r="Y1643" s="284"/>
      <c r="Z1643" s="207"/>
      <c r="AA1643" s="284"/>
      <c r="AB1643" s="284"/>
      <c r="AC1643" s="284"/>
      <c r="AD1643" s="284"/>
      <c r="AE1643" s="284"/>
      <c r="AF1643" s="284"/>
      <c r="AG1643" s="284"/>
      <c r="AI1643" s="131"/>
    </row>
    <row r="1644" spans="1:35" ht="26.4">
      <c r="A1644" s="284"/>
      <c r="B1644" s="284"/>
      <c r="C1644" s="284"/>
      <c r="D1644" s="284"/>
      <c r="E1644" s="284"/>
      <c r="F1644" s="284"/>
      <c r="G1644" s="284"/>
      <c r="H1644" s="284"/>
      <c r="I1644" s="284"/>
      <c r="J1644" s="375"/>
      <c r="K1644" s="375"/>
      <c r="L1644" s="375"/>
      <c r="M1644" s="368"/>
      <c r="N1644" s="368"/>
      <c r="O1644" s="370"/>
      <c r="T1644" s="340"/>
      <c r="V1644" s="378"/>
      <c r="W1644" s="64" ph="1"/>
      <c r="X1644" s="241"/>
      <c r="Y1644" s="284"/>
      <c r="Z1644" s="207"/>
      <c r="AA1644" s="284"/>
      <c r="AB1644" s="284"/>
      <c r="AC1644" s="284"/>
      <c r="AD1644" s="284"/>
      <c r="AE1644" s="284"/>
      <c r="AF1644" s="284"/>
      <c r="AG1644" s="284"/>
      <c r="AI1644" s="131"/>
    </row>
    <row r="1645" spans="1:35" ht="26.4">
      <c r="A1645" s="284"/>
      <c r="B1645" s="284"/>
      <c r="C1645" s="284"/>
      <c r="D1645" s="284"/>
      <c r="E1645" s="284"/>
      <c r="F1645" s="284"/>
      <c r="G1645" s="284"/>
      <c r="H1645" s="284"/>
      <c r="I1645" s="284"/>
      <c r="J1645" s="375"/>
      <c r="K1645" s="375"/>
      <c r="L1645" s="375"/>
      <c r="M1645" s="368"/>
      <c r="N1645" s="368"/>
      <c r="O1645" s="370"/>
      <c r="T1645" s="340"/>
      <c r="V1645" s="378"/>
      <c r="W1645" s="64" ph="1"/>
      <c r="X1645" s="241"/>
      <c r="Y1645" s="284"/>
      <c r="Z1645" s="207"/>
      <c r="AA1645" s="284"/>
      <c r="AB1645" s="284"/>
      <c r="AC1645" s="284"/>
      <c r="AD1645" s="284"/>
      <c r="AE1645" s="284"/>
      <c r="AF1645" s="284"/>
      <c r="AG1645" s="284"/>
      <c r="AI1645" s="131"/>
    </row>
    <row r="1646" spans="1:35" ht="26.4">
      <c r="A1646" s="284"/>
      <c r="B1646" s="284"/>
      <c r="C1646" s="284"/>
      <c r="D1646" s="284"/>
      <c r="E1646" s="284"/>
      <c r="F1646" s="284"/>
      <c r="G1646" s="284"/>
      <c r="H1646" s="284"/>
      <c r="I1646" s="284"/>
      <c r="J1646" s="375"/>
      <c r="K1646" s="375"/>
      <c r="L1646" s="375"/>
      <c r="M1646" s="368"/>
      <c r="N1646" s="368"/>
      <c r="O1646" s="370"/>
      <c r="T1646" s="340"/>
      <c r="V1646" s="378"/>
      <c r="W1646" s="64" ph="1"/>
      <c r="X1646" s="241"/>
      <c r="Y1646" s="284"/>
      <c r="Z1646" s="207"/>
      <c r="AA1646" s="284"/>
      <c r="AB1646" s="284"/>
      <c r="AC1646" s="284"/>
      <c r="AD1646" s="284"/>
      <c r="AE1646" s="284"/>
      <c r="AF1646" s="284"/>
      <c r="AG1646" s="284"/>
      <c r="AI1646" s="131"/>
    </row>
    <row r="1647" spans="1:35" ht="26.4">
      <c r="A1647" s="284"/>
      <c r="B1647" s="284"/>
      <c r="C1647" s="284"/>
      <c r="D1647" s="284"/>
      <c r="E1647" s="284"/>
      <c r="F1647" s="284"/>
      <c r="G1647" s="284"/>
      <c r="H1647" s="284"/>
      <c r="I1647" s="284"/>
      <c r="J1647" s="375"/>
      <c r="K1647" s="375"/>
      <c r="L1647" s="375"/>
      <c r="M1647" s="368"/>
      <c r="N1647" s="368"/>
      <c r="O1647" s="370"/>
      <c r="T1647" s="340"/>
      <c r="V1647" s="378"/>
      <c r="W1647" s="64" ph="1"/>
      <c r="X1647" s="241"/>
      <c r="Y1647" s="284"/>
      <c r="Z1647" s="207"/>
      <c r="AA1647" s="284"/>
      <c r="AB1647" s="284"/>
      <c r="AC1647" s="284"/>
      <c r="AD1647" s="284"/>
      <c r="AE1647" s="284"/>
      <c r="AF1647" s="284"/>
      <c r="AG1647" s="284"/>
      <c r="AI1647" s="131"/>
    </row>
    <row r="1648" spans="1:35" ht="26.4">
      <c r="A1648" s="284"/>
      <c r="B1648" s="284"/>
      <c r="C1648" s="284"/>
      <c r="D1648" s="284"/>
      <c r="E1648" s="284"/>
      <c r="F1648" s="284"/>
      <c r="G1648" s="284"/>
      <c r="H1648" s="284"/>
      <c r="I1648" s="284"/>
      <c r="J1648" s="375"/>
      <c r="K1648" s="375"/>
      <c r="L1648" s="375"/>
      <c r="M1648" s="368"/>
      <c r="N1648" s="368"/>
      <c r="O1648" s="370"/>
      <c r="T1648" s="340"/>
      <c r="V1648" s="378"/>
      <c r="W1648" s="64" ph="1"/>
      <c r="X1648" s="241"/>
      <c r="Y1648" s="284"/>
      <c r="Z1648" s="207"/>
      <c r="AA1648" s="284"/>
      <c r="AB1648" s="284"/>
      <c r="AC1648" s="284"/>
      <c r="AD1648" s="284"/>
      <c r="AE1648" s="284"/>
      <c r="AF1648" s="284"/>
      <c r="AG1648" s="284"/>
      <c r="AI1648" s="284"/>
    </row>
    <row r="1649" spans="1:35" ht="26.4">
      <c r="A1649" s="284"/>
      <c r="B1649" s="284"/>
      <c r="C1649" s="284"/>
      <c r="D1649" s="284"/>
      <c r="E1649" s="284"/>
      <c r="F1649" s="284"/>
      <c r="G1649" s="284"/>
      <c r="H1649" s="284"/>
      <c r="I1649" s="284"/>
      <c r="J1649" s="375"/>
      <c r="K1649" s="375"/>
      <c r="L1649" s="375"/>
      <c r="M1649" s="368"/>
      <c r="N1649" s="368"/>
      <c r="O1649" s="370"/>
      <c r="T1649" s="340"/>
      <c r="V1649" s="378"/>
      <c r="W1649" s="64" ph="1"/>
      <c r="X1649" s="241"/>
      <c r="Y1649" s="284"/>
      <c r="Z1649" s="207"/>
      <c r="AA1649" s="284"/>
      <c r="AB1649" s="284"/>
      <c r="AC1649" s="284"/>
      <c r="AD1649" s="284"/>
      <c r="AE1649" s="284"/>
      <c r="AF1649" s="284"/>
      <c r="AG1649" s="284"/>
      <c r="AI1649" s="131"/>
    </row>
    <row r="1650" spans="1:35" ht="26.4">
      <c r="A1650" s="284"/>
      <c r="B1650" s="284"/>
      <c r="C1650" s="284"/>
      <c r="D1650" s="284"/>
      <c r="E1650" s="284"/>
      <c r="F1650" s="284"/>
      <c r="G1650" s="284"/>
      <c r="H1650" s="284"/>
      <c r="I1650" s="284"/>
      <c r="J1650" s="375"/>
      <c r="K1650" s="375"/>
      <c r="L1650" s="375"/>
      <c r="M1650" s="368"/>
      <c r="N1650" s="368"/>
      <c r="O1650" s="370"/>
      <c r="T1650" s="340"/>
      <c r="V1650" s="378"/>
      <c r="W1650" s="64" ph="1"/>
      <c r="X1650" s="241"/>
      <c r="Y1650" s="284"/>
      <c r="Z1650" s="207"/>
      <c r="AA1650" s="284"/>
      <c r="AB1650" s="284"/>
      <c r="AC1650" s="284"/>
      <c r="AD1650" s="284"/>
      <c r="AE1650" s="284"/>
      <c r="AF1650" s="284"/>
      <c r="AG1650" s="284"/>
      <c r="AI1650" s="131"/>
    </row>
    <row r="1651" spans="1:35" ht="26.4">
      <c r="A1651" s="284"/>
      <c r="B1651" s="284"/>
      <c r="C1651" s="284"/>
      <c r="D1651" s="284"/>
      <c r="E1651" s="284"/>
      <c r="F1651" s="284"/>
      <c r="G1651" s="284"/>
      <c r="H1651" s="284"/>
      <c r="I1651" s="284"/>
      <c r="J1651" s="375"/>
      <c r="K1651" s="375"/>
      <c r="L1651" s="375"/>
      <c r="M1651" s="368"/>
      <c r="N1651" s="368"/>
      <c r="O1651" s="370"/>
      <c r="T1651" s="340"/>
      <c r="V1651" s="378"/>
      <c r="W1651" s="64" ph="1"/>
      <c r="X1651" s="241"/>
      <c r="Y1651" s="284"/>
      <c r="Z1651" s="207"/>
      <c r="AA1651" s="284"/>
      <c r="AB1651" s="284"/>
      <c r="AC1651" s="284"/>
      <c r="AD1651" s="284"/>
      <c r="AE1651" s="284"/>
      <c r="AF1651" s="284"/>
      <c r="AG1651" s="284"/>
      <c r="AI1651" s="131"/>
    </row>
    <row r="1652" spans="1:35" ht="26.4">
      <c r="A1652" s="284"/>
      <c r="B1652" s="284"/>
      <c r="C1652" s="284"/>
      <c r="D1652" s="284"/>
      <c r="E1652" s="284"/>
      <c r="F1652" s="284"/>
      <c r="G1652" s="284"/>
      <c r="H1652" s="284"/>
      <c r="I1652" s="284"/>
      <c r="J1652" s="375"/>
      <c r="K1652" s="375"/>
      <c r="L1652" s="375"/>
      <c r="M1652" s="368"/>
      <c r="N1652" s="368"/>
      <c r="O1652" s="370"/>
      <c r="T1652" s="340"/>
      <c r="V1652" s="378"/>
      <c r="W1652" s="64" ph="1"/>
      <c r="X1652" s="241"/>
      <c r="Y1652" s="284"/>
      <c r="Z1652" s="207"/>
      <c r="AA1652" s="284"/>
      <c r="AB1652" s="284"/>
      <c r="AC1652" s="284"/>
      <c r="AD1652" s="284"/>
      <c r="AE1652" s="284"/>
      <c r="AF1652" s="284"/>
      <c r="AG1652" s="284"/>
      <c r="AI1652" s="284"/>
    </row>
    <row r="1653" spans="1:35" ht="26.4">
      <c r="A1653" s="284"/>
      <c r="B1653" s="284"/>
      <c r="C1653" s="284"/>
      <c r="D1653" s="284"/>
      <c r="E1653" s="284"/>
      <c r="F1653" s="284"/>
      <c r="G1653" s="284"/>
      <c r="H1653" s="284"/>
      <c r="I1653" s="284"/>
      <c r="J1653" s="375"/>
      <c r="K1653" s="375"/>
      <c r="L1653" s="375"/>
      <c r="M1653" s="368"/>
      <c r="N1653" s="368"/>
      <c r="O1653" s="370"/>
      <c r="T1653" s="340"/>
      <c r="V1653" s="378"/>
      <c r="W1653" s="64" ph="1"/>
      <c r="X1653" s="241"/>
      <c r="Y1653" s="284"/>
      <c r="Z1653" s="207"/>
      <c r="AA1653" s="284"/>
      <c r="AB1653" s="284"/>
      <c r="AC1653" s="284"/>
      <c r="AD1653" s="284"/>
      <c r="AE1653" s="284"/>
      <c r="AF1653" s="284"/>
      <c r="AG1653" s="284"/>
      <c r="AI1653" s="131"/>
    </row>
    <row r="1654" spans="1:35" ht="26.4">
      <c r="A1654" s="284"/>
      <c r="B1654" s="284"/>
      <c r="C1654" s="284"/>
      <c r="D1654" s="284"/>
      <c r="E1654" s="284"/>
      <c r="F1654" s="284"/>
      <c r="G1654" s="284"/>
      <c r="H1654" s="284"/>
      <c r="I1654" s="284"/>
      <c r="J1654" s="375"/>
      <c r="K1654" s="375"/>
      <c r="L1654" s="375"/>
      <c r="M1654" s="368"/>
      <c r="N1654" s="368"/>
      <c r="O1654" s="370"/>
      <c r="T1654" s="340"/>
      <c r="V1654" s="378"/>
      <c r="W1654" s="64" ph="1"/>
      <c r="X1654" s="241"/>
      <c r="Y1654" s="284"/>
      <c r="Z1654" s="207"/>
      <c r="AA1654" s="284"/>
      <c r="AB1654" s="284"/>
      <c r="AC1654" s="284"/>
      <c r="AD1654" s="284"/>
      <c r="AE1654" s="284"/>
      <c r="AF1654" s="284"/>
      <c r="AG1654" s="284"/>
      <c r="AI1654" s="131"/>
    </row>
    <row r="1655" spans="1:35" ht="26.4">
      <c r="A1655" s="284"/>
      <c r="B1655" s="284"/>
      <c r="C1655" s="284"/>
      <c r="D1655" s="284"/>
      <c r="E1655" s="284"/>
      <c r="F1655" s="284"/>
      <c r="G1655" s="284"/>
      <c r="H1655" s="284"/>
      <c r="I1655" s="284"/>
      <c r="J1655" s="375"/>
      <c r="K1655" s="375"/>
      <c r="L1655" s="375"/>
      <c r="M1655" s="368"/>
      <c r="N1655" s="368"/>
      <c r="O1655" s="370"/>
      <c r="T1655" s="340"/>
      <c r="V1655" s="378"/>
      <c r="W1655" s="64" ph="1"/>
      <c r="X1655" s="241"/>
      <c r="Y1655" s="284"/>
      <c r="Z1655" s="207"/>
      <c r="AA1655" s="284"/>
      <c r="AB1655" s="284"/>
      <c r="AC1655" s="284"/>
      <c r="AD1655" s="284"/>
      <c r="AE1655" s="284"/>
      <c r="AF1655" s="284"/>
      <c r="AG1655" s="284"/>
      <c r="AI1655" s="131"/>
    </row>
    <row r="1656" spans="1:35" ht="26.4">
      <c r="A1656" s="284"/>
      <c r="B1656" s="284"/>
      <c r="C1656" s="284"/>
      <c r="D1656" s="284"/>
      <c r="E1656" s="284"/>
      <c r="F1656" s="284"/>
      <c r="G1656" s="284"/>
      <c r="H1656" s="284"/>
      <c r="I1656" s="284"/>
      <c r="J1656" s="375"/>
      <c r="K1656" s="375"/>
      <c r="L1656" s="375"/>
      <c r="M1656" s="368"/>
      <c r="N1656" s="368"/>
      <c r="O1656" s="370"/>
      <c r="T1656" s="340"/>
      <c r="V1656" s="378"/>
      <c r="W1656" s="64" ph="1"/>
      <c r="X1656" s="241"/>
      <c r="Y1656" s="284"/>
      <c r="Z1656" s="207"/>
      <c r="AA1656" s="284"/>
      <c r="AB1656" s="284"/>
      <c r="AC1656" s="284"/>
      <c r="AD1656" s="284"/>
      <c r="AE1656" s="284"/>
      <c r="AF1656" s="284"/>
      <c r="AG1656" s="284"/>
      <c r="AI1656" s="131"/>
    </row>
    <row r="1657" spans="1:35" ht="26.4">
      <c r="A1657" s="284"/>
      <c r="B1657" s="284"/>
      <c r="C1657" s="284"/>
      <c r="D1657" s="284"/>
      <c r="E1657" s="284"/>
      <c r="F1657" s="284"/>
      <c r="G1657" s="284"/>
      <c r="H1657" s="284"/>
      <c r="I1657" s="284"/>
      <c r="J1657" s="375"/>
      <c r="K1657" s="375"/>
      <c r="L1657" s="375"/>
      <c r="M1657" s="368"/>
      <c r="N1657" s="368"/>
      <c r="O1657" s="370"/>
      <c r="T1657" s="340"/>
      <c r="V1657" s="378"/>
      <c r="W1657" s="64" ph="1"/>
      <c r="X1657" s="241"/>
      <c r="Y1657" s="284"/>
      <c r="Z1657" s="207"/>
      <c r="AA1657" s="284"/>
      <c r="AB1657" s="284"/>
      <c r="AC1657" s="284"/>
      <c r="AD1657" s="284"/>
      <c r="AE1657" s="284"/>
      <c r="AF1657" s="284"/>
      <c r="AG1657" s="284"/>
      <c r="AI1657" s="131"/>
    </row>
    <row r="1658" spans="1:35" ht="26.4">
      <c r="A1658" s="284"/>
      <c r="B1658" s="284"/>
      <c r="C1658" s="284"/>
      <c r="D1658" s="284"/>
      <c r="E1658" s="284"/>
      <c r="F1658" s="284"/>
      <c r="G1658" s="284"/>
      <c r="H1658" s="284"/>
      <c r="I1658" s="284"/>
      <c r="J1658" s="375"/>
      <c r="K1658" s="375"/>
      <c r="L1658" s="375"/>
      <c r="M1658" s="368"/>
      <c r="N1658" s="368"/>
      <c r="O1658" s="370"/>
      <c r="T1658" s="340"/>
      <c r="V1658" s="378"/>
      <c r="W1658" s="64" ph="1"/>
      <c r="X1658" s="241"/>
      <c r="Y1658" s="284"/>
      <c r="Z1658" s="207"/>
      <c r="AA1658" s="284"/>
      <c r="AB1658" s="284"/>
      <c r="AC1658" s="284"/>
      <c r="AD1658" s="284"/>
      <c r="AE1658" s="284"/>
      <c r="AF1658" s="284"/>
      <c r="AG1658" s="284"/>
      <c r="AI1658" s="131"/>
    </row>
    <row r="1659" spans="1:35" ht="26.4">
      <c r="A1659" s="284"/>
      <c r="B1659" s="284"/>
      <c r="C1659" s="284"/>
      <c r="D1659" s="284"/>
      <c r="E1659" s="284"/>
      <c r="F1659" s="284"/>
      <c r="G1659" s="284"/>
      <c r="H1659" s="284"/>
      <c r="I1659" s="284"/>
      <c r="J1659" s="375"/>
      <c r="K1659" s="375"/>
      <c r="L1659" s="375"/>
      <c r="M1659" s="368"/>
      <c r="N1659" s="368"/>
      <c r="O1659" s="370"/>
      <c r="T1659" s="340"/>
      <c r="V1659" s="378"/>
      <c r="W1659" s="64" ph="1"/>
      <c r="X1659" s="241"/>
      <c r="Y1659" s="284"/>
      <c r="Z1659" s="207"/>
      <c r="AA1659" s="284"/>
      <c r="AB1659" s="284"/>
      <c r="AC1659" s="284"/>
      <c r="AD1659" s="284"/>
      <c r="AE1659" s="284"/>
      <c r="AF1659" s="284"/>
      <c r="AG1659" s="284"/>
      <c r="AI1659" s="131"/>
    </row>
    <row r="1660" spans="1:35" ht="26.4">
      <c r="A1660" s="284"/>
      <c r="B1660" s="284"/>
      <c r="C1660" s="284"/>
      <c r="D1660" s="284"/>
      <c r="E1660" s="284"/>
      <c r="F1660" s="284"/>
      <c r="G1660" s="284"/>
      <c r="H1660" s="284"/>
      <c r="I1660" s="284"/>
      <c r="J1660" s="375"/>
      <c r="K1660" s="375"/>
      <c r="L1660" s="375"/>
      <c r="M1660" s="368"/>
      <c r="N1660" s="368"/>
      <c r="O1660" s="370"/>
      <c r="T1660" s="340"/>
      <c r="V1660" s="378"/>
      <c r="W1660" s="64" ph="1"/>
      <c r="X1660" s="241"/>
      <c r="Y1660" s="284"/>
      <c r="Z1660" s="207"/>
      <c r="AA1660" s="284"/>
      <c r="AB1660" s="284"/>
      <c r="AC1660" s="284"/>
      <c r="AD1660" s="284"/>
      <c r="AE1660" s="284"/>
      <c r="AF1660" s="284"/>
      <c r="AG1660" s="284"/>
      <c r="AI1660" s="131"/>
    </row>
    <row r="1661" spans="1:35" ht="26.4">
      <c r="A1661" s="284"/>
      <c r="B1661" s="284"/>
      <c r="C1661" s="284"/>
      <c r="D1661" s="284"/>
      <c r="E1661" s="284"/>
      <c r="F1661" s="284"/>
      <c r="G1661" s="284"/>
      <c r="H1661" s="284"/>
      <c r="I1661" s="284"/>
      <c r="J1661" s="375"/>
      <c r="K1661" s="375"/>
      <c r="L1661" s="375"/>
      <c r="M1661" s="368"/>
      <c r="N1661" s="368"/>
      <c r="O1661" s="370"/>
      <c r="T1661" s="340"/>
      <c r="V1661" s="378"/>
      <c r="W1661" s="64" ph="1"/>
      <c r="X1661" s="241"/>
      <c r="Y1661" s="284"/>
      <c r="Z1661" s="207"/>
      <c r="AA1661" s="284"/>
      <c r="AB1661" s="284"/>
      <c r="AC1661" s="284"/>
      <c r="AD1661" s="284"/>
      <c r="AE1661" s="284"/>
      <c r="AF1661" s="284"/>
      <c r="AG1661" s="284"/>
      <c r="AI1661" s="131"/>
    </row>
    <row r="1662" spans="1:35" ht="26.4">
      <c r="A1662" s="284"/>
      <c r="B1662" s="284"/>
      <c r="C1662" s="284"/>
      <c r="D1662" s="284"/>
      <c r="E1662" s="284"/>
      <c r="F1662" s="284"/>
      <c r="G1662" s="284"/>
      <c r="H1662" s="284"/>
      <c r="I1662" s="284"/>
      <c r="J1662" s="375"/>
      <c r="K1662" s="375"/>
      <c r="L1662" s="375"/>
      <c r="M1662" s="368"/>
      <c r="N1662" s="368"/>
      <c r="O1662" s="370"/>
      <c r="T1662" s="340"/>
      <c r="V1662" s="378"/>
      <c r="W1662" s="64" ph="1"/>
      <c r="X1662" s="241"/>
      <c r="Y1662" s="284"/>
      <c r="Z1662" s="207"/>
      <c r="AA1662" s="284"/>
      <c r="AB1662" s="284"/>
      <c r="AC1662" s="284"/>
      <c r="AD1662" s="284"/>
      <c r="AE1662" s="284"/>
      <c r="AF1662" s="284"/>
      <c r="AG1662" s="284"/>
      <c r="AI1662" s="131"/>
    </row>
    <row r="1663" spans="1:35" ht="26.4">
      <c r="A1663" s="284"/>
      <c r="B1663" s="284"/>
      <c r="C1663" s="284"/>
      <c r="D1663" s="284"/>
      <c r="E1663" s="284"/>
      <c r="F1663" s="284"/>
      <c r="G1663" s="284"/>
      <c r="H1663" s="284"/>
      <c r="I1663" s="284"/>
      <c r="J1663" s="375"/>
      <c r="K1663" s="375"/>
      <c r="L1663" s="375"/>
      <c r="M1663" s="368"/>
      <c r="N1663" s="368"/>
      <c r="O1663" s="370"/>
      <c r="T1663" s="340"/>
      <c r="V1663" s="378"/>
      <c r="W1663" s="64" ph="1"/>
      <c r="X1663" s="241"/>
      <c r="Y1663" s="284"/>
      <c r="Z1663" s="207"/>
      <c r="AA1663" s="284"/>
      <c r="AB1663" s="284"/>
      <c r="AC1663" s="284"/>
      <c r="AD1663" s="284"/>
      <c r="AE1663" s="284"/>
      <c r="AF1663" s="284"/>
      <c r="AG1663" s="284"/>
      <c r="AI1663" s="131"/>
    </row>
    <row r="1664" spans="1:35" ht="26.4">
      <c r="A1664" s="284"/>
      <c r="B1664" s="284"/>
      <c r="C1664" s="284"/>
      <c r="D1664" s="284"/>
      <c r="E1664" s="284"/>
      <c r="F1664" s="284"/>
      <c r="G1664" s="284"/>
      <c r="H1664" s="284"/>
      <c r="I1664" s="284"/>
      <c r="J1664" s="375"/>
      <c r="K1664" s="375"/>
      <c r="L1664" s="375"/>
      <c r="M1664" s="368"/>
      <c r="N1664" s="368"/>
      <c r="O1664" s="370"/>
      <c r="T1664" s="340"/>
      <c r="V1664" s="378"/>
      <c r="W1664" s="64" ph="1"/>
      <c r="X1664" s="241"/>
      <c r="Y1664" s="284"/>
      <c r="Z1664" s="207"/>
      <c r="AA1664" s="284"/>
      <c r="AB1664" s="284"/>
      <c r="AC1664" s="284"/>
      <c r="AD1664" s="284"/>
      <c r="AE1664" s="284"/>
      <c r="AF1664" s="284"/>
      <c r="AG1664" s="284"/>
      <c r="AI1664" s="131"/>
    </row>
    <row r="1665" spans="1:35" ht="26.4">
      <c r="A1665" s="284"/>
      <c r="B1665" s="284"/>
      <c r="C1665" s="284"/>
      <c r="D1665" s="284"/>
      <c r="E1665" s="284"/>
      <c r="F1665" s="284"/>
      <c r="G1665" s="284"/>
      <c r="H1665" s="284"/>
      <c r="I1665" s="284"/>
      <c r="J1665" s="375"/>
      <c r="K1665" s="375"/>
      <c r="L1665" s="375"/>
      <c r="M1665" s="368"/>
      <c r="N1665" s="368"/>
      <c r="O1665" s="370"/>
      <c r="T1665" s="340"/>
      <c r="V1665" s="378"/>
      <c r="W1665" s="64" ph="1"/>
      <c r="X1665" s="241"/>
      <c r="Y1665" s="284"/>
      <c r="Z1665" s="207"/>
      <c r="AA1665" s="284"/>
      <c r="AB1665" s="284"/>
      <c r="AC1665" s="284"/>
      <c r="AD1665" s="284"/>
      <c r="AE1665" s="284"/>
      <c r="AF1665" s="284"/>
      <c r="AG1665" s="284"/>
      <c r="AI1665" s="131"/>
    </row>
    <row r="1666" spans="1:35" ht="26.4">
      <c r="A1666" s="284"/>
      <c r="B1666" s="284"/>
      <c r="C1666" s="284"/>
      <c r="D1666" s="284"/>
      <c r="E1666" s="284"/>
      <c r="F1666" s="284"/>
      <c r="G1666" s="284"/>
      <c r="H1666" s="284"/>
      <c r="I1666" s="284"/>
      <c r="J1666" s="375"/>
      <c r="K1666" s="375"/>
      <c r="L1666" s="375"/>
      <c r="M1666" s="368"/>
      <c r="N1666" s="368"/>
      <c r="O1666" s="370"/>
      <c r="T1666" s="340"/>
      <c r="V1666" s="378"/>
      <c r="W1666" s="64" ph="1"/>
      <c r="X1666" s="241"/>
      <c r="Y1666" s="284"/>
      <c r="Z1666" s="207"/>
      <c r="AA1666" s="284"/>
      <c r="AB1666" s="284"/>
      <c r="AC1666" s="284"/>
      <c r="AD1666" s="284"/>
      <c r="AE1666" s="284"/>
      <c r="AF1666" s="284"/>
      <c r="AG1666" s="284"/>
      <c r="AI1666" s="131"/>
    </row>
    <row r="1667" spans="1:35" ht="26.4">
      <c r="A1667" s="284"/>
      <c r="B1667" s="284"/>
      <c r="C1667" s="284"/>
      <c r="D1667" s="284"/>
      <c r="E1667" s="284"/>
      <c r="F1667" s="284"/>
      <c r="G1667" s="284"/>
      <c r="H1667" s="284"/>
      <c r="I1667" s="284"/>
      <c r="J1667" s="375"/>
      <c r="K1667" s="375"/>
      <c r="L1667" s="375"/>
      <c r="M1667" s="368"/>
      <c r="N1667" s="368"/>
      <c r="O1667" s="370"/>
      <c r="T1667" s="340"/>
      <c r="V1667" s="378"/>
      <c r="W1667" s="64" ph="1"/>
      <c r="X1667" s="241"/>
      <c r="Y1667" s="284"/>
      <c r="Z1667" s="207"/>
      <c r="AA1667" s="284"/>
      <c r="AB1667" s="284"/>
      <c r="AC1667" s="284"/>
      <c r="AD1667" s="284"/>
      <c r="AE1667" s="284"/>
      <c r="AF1667" s="284"/>
      <c r="AG1667" s="284"/>
      <c r="AI1667" s="131"/>
    </row>
    <row r="1668" spans="1:35" ht="26.4">
      <c r="A1668" s="284"/>
      <c r="B1668" s="284"/>
      <c r="C1668" s="284"/>
      <c r="D1668" s="284"/>
      <c r="E1668" s="284"/>
      <c r="F1668" s="284"/>
      <c r="G1668" s="284"/>
      <c r="H1668" s="284"/>
      <c r="I1668" s="284"/>
      <c r="J1668" s="375"/>
      <c r="K1668" s="375"/>
      <c r="L1668" s="375"/>
      <c r="M1668" s="368"/>
      <c r="N1668" s="368"/>
      <c r="O1668" s="370"/>
      <c r="T1668" s="340"/>
      <c r="V1668" s="378"/>
      <c r="W1668" s="64" ph="1"/>
      <c r="X1668" s="241"/>
      <c r="Y1668" s="284"/>
      <c r="Z1668" s="207"/>
      <c r="AA1668" s="284"/>
      <c r="AB1668" s="284"/>
      <c r="AC1668" s="284"/>
      <c r="AD1668" s="284"/>
      <c r="AE1668" s="284"/>
      <c r="AF1668" s="284"/>
      <c r="AG1668" s="284"/>
      <c r="AI1668" s="131"/>
    </row>
    <row r="1669" spans="1:35" ht="26.4">
      <c r="A1669" s="284"/>
      <c r="B1669" s="284"/>
      <c r="C1669" s="284"/>
      <c r="D1669" s="284"/>
      <c r="E1669" s="284"/>
      <c r="F1669" s="284"/>
      <c r="G1669" s="284"/>
      <c r="H1669" s="284"/>
      <c r="I1669" s="284"/>
      <c r="J1669" s="375"/>
      <c r="K1669" s="375"/>
      <c r="L1669" s="375"/>
      <c r="M1669" s="368"/>
      <c r="N1669" s="368"/>
      <c r="O1669" s="370"/>
      <c r="T1669" s="340"/>
      <c r="V1669" s="378"/>
      <c r="W1669" s="64" ph="1"/>
      <c r="X1669" s="241"/>
      <c r="Y1669" s="284"/>
      <c r="Z1669" s="207"/>
      <c r="AA1669" s="284"/>
      <c r="AB1669" s="284"/>
      <c r="AC1669" s="284"/>
      <c r="AD1669" s="284"/>
      <c r="AE1669" s="284"/>
      <c r="AF1669" s="284"/>
      <c r="AG1669" s="284"/>
      <c r="AI1669" s="131"/>
    </row>
    <row r="1670" spans="1:35" ht="26.4">
      <c r="A1670" s="284"/>
      <c r="B1670" s="284"/>
      <c r="C1670" s="284"/>
      <c r="D1670" s="284"/>
      <c r="E1670" s="284"/>
      <c r="F1670" s="284"/>
      <c r="G1670" s="284"/>
      <c r="H1670" s="284"/>
      <c r="I1670" s="284"/>
      <c r="J1670" s="375"/>
      <c r="K1670" s="375"/>
      <c r="L1670" s="375"/>
      <c r="M1670" s="368"/>
      <c r="N1670" s="368"/>
      <c r="O1670" s="370"/>
      <c r="T1670" s="340"/>
      <c r="V1670" s="378"/>
      <c r="W1670" s="64" ph="1"/>
      <c r="X1670" s="241"/>
      <c r="Y1670" s="284"/>
      <c r="Z1670" s="207"/>
      <c r="AA1670" s="284"/>
      <c r="AB1670" s="284"/>
      <c r="AC1670" s="284"/>
      <c r="AD1670" s="284"/>
      <c r="AE1670" s="284"/>
      <c r="AF1670" s="284"/>
      <c r="AG1670" s="284"/>
      <c r="AI1670" s="131"/>
    </row>
    <row r="1671" spans="1:35" ht="26.4">
      <c r="A1671" s="284"/>
      <c r="B1671" s="284"/>
      <c r="C1671" s="284"/>
      <c r="D1671" s="284"/>
      <c r="E1671" s="284"/>
      <c r="F1671" s="284"/>
      <c r="G1671" s="284"/>
      <c r="H1671" s="284"/>
      <c r="I1671" s="284"/>
      <c r="J1671" s="375"/>
      <c r="K1671" s="375"/>
      <c r="L1671" s="375"/>
      <c r="M1671" s="368"/>
      <c r="N1671" s="368"/>
      <c r="O1671" s="370"/>
      <c r="T1671" s="340"/>
      <c r="V1671" s="378"/>
      <c r="W1671" s="64" ph="1"/>
      <c r="X1671" s="241"/>
      <c r="Y1671" s="284"/>
      <c r="Z1671" s="207"/>
      <c r="AA1671" s="284"/>
      <c r="AB1671" s="284"/>
      <c r="AC1671" s="284"/>
      <c r="AD1671" s="284"/>
      <c r="AE1671" s="284"/>
      <c r="AF1671" s="284"/>
      <c r="AG1671" s="284"/>
      <c r="AI1671" s="131"/>
    </row>
    <row r="1672" spans="1:35" ht="26.4">
      <c r="A1672" s="284"/>
      <c r="B1672" s="284"/>
      <c r="C1672" s="284"/>
      <c r="D1672" s="284"/>
      <c r="E1672" s="284"/>
      <c r="F1672" s="284"/>
      <c r="G1672" s="284"/>
      <c r="H1672" s="284"/>
      <c r="I1672" s="284"/>
      <c r="J1672" s="375"/>
      <c r="K1672" s="375"/>
      <c r="L1672" s="375"/>
      <c r="M1672" s="368"/>
      <c r="N1672" s="368"/>
      <c r="O1672" s="370"/>
      <c r="T1672" s="340"/>
      <c r="V1672" s="378"/>
      <c r="W1672" s="64" ph="1"/>
      <c r="X1672" s="241"/>
      <c r="Y1672" s="284"/>
      <c r="Z1672" s="207"/>
      <c r="AA1672" s="284"/>
      <c r="AB1672" s="284"/>
      <c r="AC1672" s="284"/>
      <c r="AD1672" s="284"/>
      <c r="AE1672" s="284"/>
      <c r="AF1672" s="284"/>
      <c r="AG1672" s="284"/>
      <c r="AI1672" s="131"/>
    </row>
    <row r="1673" spans="1:35" ht="26.4">
      <c r="A1673" s="284"/>
      <c r="B1673" s="284"/>
      <c r="C1673" s="284"/>
      <c r="D1673" s="284"/>
      <c r="E1673" s="284"/>
      <c r="F1673" s="284"/>
      <c r="G1673" s="284"/>
      <c r="H1673" s="284"/>
      <c r="I1673" s="284"/>
      <c r="J1673" s="375"/>
      <c r="K1673" s="375"/>
      <c r="L1673" s="375"/>
      <c r="M1673" s="368"/>
      <c r="N1673" s="368"/>
      <c r="O1673" s="370"/>
      <c r="T1673" s="340"/>
      <c r="V1673" s="378"/>
      <c r="W1673" s="64" ph="1"/>
      <c r="X1673" s="241"/>
      <c r="Y1673" s="284"/>
      <c r="Z1673" s="207"/>
      <c r="AA1673" s="284"/>
      <c r="AB1673" s="284"/>
      <c r="AC1673" s="284"/>
      <c r="AD1673" s="284"/>
      <c r="AE1673" s="284"/>
      <c r="AF1673" s="284"/>
      <c r="AG1673" s="284"/>
      <c r="AI1673" s="131"/>
    </row>
    <row r="1674" spans="1:35" ht="26.4">
      <c r="A1674" s="284"/>
      <c r="B1674" s="284"/>
      <c r="C1674" s="284"/>
      <c r="D1674" s="284"/>
      <c r="E1674" s="284"/>
      <c r="F1674" s="284"/>
      <c r="G1674" s="284"/>
      <c r="H1674" s="284"/>
      <c r="I1674" s="284"/>
      <c r="J1674" s="375"/>
      <c r="K1674" s="375"/>
      <c r="L1674" s="375"/>
      <c r="M1674" s="368"/>
      <c r="N1674" s="368"/>
      <c r="O1674" s="370"/>
      <c r="T1674" s="340"/>
      <c r="V1674" s="378"/>
      <c r="W1674" s="64" ph="1"/>
      <c r="X1674" s="241"/>
      <c r="Y1674" s="284"/>
      <c r="Z1674" s="207"/>
      <c r="AA1674" s="284"/>
      <c r="AB1674" s="284"/>
      <c r="AC1674" s="284"/>
      <c r="AD1674" s="284"/>
      <c r="AE1674" s="284"/>
      <c r="AF1674" s="284"/>
      <c r="AG1674" s="284"/>
    </row>
    <row r="1675" spans="1:35" ht="26.4">
      <c r="A1675" s="284"/>
      <c r="B1675" s="284"/>
      <c r="C1675" s="284"/>
      <c r="D1675" s="284"/>
      <c r="E1675" s="284"/>
      <c r="F1675" s="284"/>
      <c r="G1675" s="284"/>
      <c r="H1675" s="284"/>
      <c r="I1675" s="284"/>
      <c r="J1675" s="375"/>
      <c r="K1675" s="375"/>
      <c r="L1675" s="375"/>
      <c r="M1675" s="368"/>
      <c r="N1675" s="368"/>
      <c r="O1675" s="370"/>
      <c r="T1675" s="340"/>
      <c r="V1675" s="378"/>
      <c r="W1675" s="64" ph="1"/>
      <c r="X1675" s="241"/>
      <c r="Y1675" s="284"/>
      <c r="Z1675" s="207"/>
      <c r="AA1675" s="284"/>
      <c r="AB1675" s="284"/>
      <c r="AC1675" s="284"/>
      <c r="AD1675" s="284"/>
      <c r="AE1675" s="284"/>
      <c r="AF1675" s="284"/>
      <c r="AG1675" s="284"/>
      <c r="AI1675" s="131"/>
    </row>
    <row r="1676" spans="1:35" ht="26.4">
      <c r="A1676" s="284"/>
      <c r="B1676" s="284"/>
      <c r="C1676" s="284"/>
      <c r="D1676" s="284"/>
      <c r="E1676" s="284"/>
      <c r="F1676" s="284"/>
      <c r="G1676" s="284"/>
      <c r="H1676" s="284"/>
      <c r="I1676" s="284"/>
      <c r="J1676" s="375"/>
      <c r="K1676" s="375"/>
      <c r="L1676" s="375"/>
      <c r="M1676" s="368"/>
      <c r="N1676" s="368"/>
      <c r="O1676" s="370"/>
      <c r="T1676" s="340"/>
      <c r="V1676" s="378"/>
      <c r="W1676" s="64" ph="1"/>
      <c r="X1676" s="241"/>
      <c r="Y1676" s="284"/>
      <c r="Z1676" s="207"/>
      <c r="AA1676" s="284"/>
      <c r="AB1676" s="284"/>
      <c r="AC1676" s="284"/>
      <c r="AD1676" s="284"/>
      <c r="AE1676" s="284"/>
      <c r="AF1676" s="284"/>
      <c r="AG1676" s="284"/>
      <c r="AI1676" s="131"/>
    </row>
    <row r="1677" spans="1:35" ht="26.4">
      <c r="A1677" s="284"/>
      <c r="B1677" s="284"/>
      <c r="C1677" s="284"/>
      <c r="D1677" s="284"/>
      <c r="E1677" s="284"/>
      <c r="F1677" s="284"/>
      <c r="G1677" s="284"/>
      <c r="H1677" s="284"/>
      <c r="I1677" s="284"/>
      <c r="J1677" s="375"/>
      <c r="K1677" s="375"/>
      <c r="L1677" s="375"/>
      <c r="M1677" s="368"/>
      <c r="N1677" s="368"/>
      <c r="O1677" s="370"/>
      <c r="T1677" s="340"/>
      <c r="V1677" s="378"/>
      <c r="W1677" s="64" ph="1"/>
      <c r="X1677" s="241"/>
      <c r="Y1677" s="284"/>
      <c r="Z1677" s="207"/>
      <c r="AA1677" s="284"/>
      <c r="AB1677" s="284"/>
      <c r="AC1677" s="284"/>
      <c r="AD1677" s="284"/>
      <c r="AE1677" s="284"/>
      <c r="AF1677" s="284"/>
      <c r="AG1677" s="284"/>
      <c r="AI1677" s="131"/>
    </row>
    <row r="1678" spans="1:35" ht="26.4">
      <c r="A1678" s="284"/>
      <c r="B1678" s="284"/>
      <c r="C1678" s="284"/>
      <c r="D1678" s="284"/>
      <c r="E1678" s="284"/>
      <c r="F1678" s="284"/>
      <c r="G1678" s="284"/>
      <c r="H1678" s="284"/>
      <c r="I1678" s="284"/>
      <c r="J1678" s="375"/>
      <c r="K1678" s="375"/>
      <c r="L1678" s="375"/>
      <c r="M1678" s="368"/>
      <c r="N1678" s="368"/>
      <c r="O1678" s="370"/>
      <c r="T1678" s="340"/>
      <c r="V1678" s="378"/>
      <c r="W1678" s="64" ph="1"/>
      <c r="X1678" s="241"/>
      <c r="Y1678" s="284"/>
      <c r="Z1678" s="207"/>
      <c r="AA1678" s="284"/>
      <c r="AB1678" s="284"/>
      <c r="AC1678" s="284"/>
      <c r="AD1678" s="284"/>
      <c r="AE1678" s="284"/>
      <c r="AF1678" s="284"/>
      <c r="AG1678" s="284"/>
      <c r="AI1678" s="131"/>
    </row>
    <row r="1679" spans="1:35" ht="26.4">
      <c r="A1679" s="284"/>
      <c r="B1679" s="284"/>
      <c r="C1679" s="284"/>
      <c r="D1679" s="284"/>
      <c r="E1679" s="284"/>
      <c r="F1679" s="284"/>
      <c r="G1679" s="284"/>
      <c r="H1679" s="284"/>
      <c r="I1679" s="284"/>
      <c r="J1679" s="375"/>
      <c r="K1679" s="375"/>
      <c r="L1679" s="375"/>
      <c r="M1679" s="368"/>
      <c r="N1679" s="368"/>
      <c r="O1679" s="370"/>
      <c r="T1679" s="340"/>
      <c r="V1679" s="378"/>
      <c r="W1679" s="64" ph="1"/>
      <c r="X1679" s="241"/>
      <c r="Y1679" s="284"/>
      <c r="Z1679" s="207"/>
      <c r="AA1679" s="284"/>
      <c r="AB1679" s="284"/>
      <c r="AC1679" s="284"/>
      <c r="AD1679" s="284"/>
      <c r="AE1679" s="284"/>
      <c r="AF1679" s="284"/>
      <c r="AG1679" s="284"/>
      <c r="AI1679" s="131"/>
    </row>
    <row r="1680" spans="1:35" ht="26.4">
      <c r="A1680" s="284"/>
      <c r="B1680" s="284"/>
      <c r="C1680" s="284"/>
      <c r="D1680" s="284"/>
      <c r="E1680" s="284"/>
      <c r="F1680" s="284"/>
      <c r="G1680" s="284"/>
      <c r="H1680" s="284"/>
      <c r="I1680" s="284"/>
      <c r="J1680" s="375"/>
      <c r="K1680" s="375"/>
      <c r="L1680" s="375"/>
      <c r="M1680" s="368"/>
      <c r="N1680" s="368"/>
      <c r="O1680" s="370"/>
      <c r="T1680" s="340"/>
      <c r="V1680" s="378"/>
      <c r="W1680" s="64" ph="1"/>
      <c r="X1680" s="241"/>
      <c r="Y1680" s="284"/>
      <c r="Z1680" s="207"/>
      <c r="AA1680" s="284"/>
      <c r="AB1680" s="284"/>
      <c r="AC1680" s="284"/>
      <c r="AD1680" s="284"/>
      <c r="AE1680" s="284"/>
      <c r="AF1680" s="284"/>
      <c r="AG1680" s="284"/>
      <c r="AI1680" s="131"/>
    </row>
    <row r="1681" spans="1:35" ht="26.4">
      <c r="A1681" s="284"/>
      <c r="B1681" s="284"/>
      <c r="C1681" s="284"/>
      <c r="D1681" s="284"/>
      <c r="E1681" s="284"/>
      <c r="F1681" s="284"/>
      <c r="G1681" s="284"/>
      <c r="H1681" s="284"/>
      <c r="I1681" s="284"/>
      <c r="J1681" s="375"/>
      <c r="K1681" s="375"/>
      <c r="L1681" s="375"/>
      <c r="M1681" s="368"/>
      <c r="N1681" s="368"/>
      <c r="O1681" s="370"/>
      <c r="T1681" s="340"/>
      <c r="V1681" s="378"/>
      <c r="W1681" s="64" ph="1"/>
      <c r="X1681" s="241"/>
      <c r="Y1681" s="284"/>
      <c r="Z1681" s="207"/>
      <c r="AA1681" s="284"/>
      <c r="AB1681" s="284"/>
      <c r="AC1681" s="284"/>
      <c r="AD1681" s="284"/>
      <c r="AE1681" s="284"/>
      <c r="AF1681" s="284"/>
      <c r="AG1681" s="284"/>
      <c r="AI1681" s="131"/>
    </row>
    <row r="1682" spans="1:35" ht="26.4">
      <c r="A1682" s="284"/>
      <c r="B1682" s="284"/>
      <c r="C1682" s="284"/>
      <c r="D1682" s="284"/>
      <c r="E1682" s="284"/>
      <c r="F1682" s="284"/>
      <c r="G1682" s="284"/>
      <c r="H1682" s="284"/>
      <c r="I1682" s="284"/>
      <c r="J1682" s="375"/>
      <c r="K1682" s="375"/>
      <c r="L1682" s="375"/>
      <c r="M1682" s="368"/>
      <c r="N1682" s="368"/>
      <c r="O1682" s="370"/>
      <c r="T1682" s="340"/>
      <c r="V1682" s="378"/>
      <c r="W1682" s="64" ph="1"/>
      <c r="X1682" s="241"/>
      <c r="Y1682" s="284"/>
      <c r="Z1682" s="207"/>
      <c r="AA1682" s="284"/>
      <c r="AB1682" s="284"/>
      <c r="AC1682" s="284"/>
      <c r="AD1682" s="284"/>
      <c r="AE1682" s="284"/>
      <c r="AF1682" s="284"/>
      <c r="AG1682" s="284"/>
      <c r="AI1682" s="131"/>
    </row>
    <row r="1683" spans="1:35" ht="26.4">
      <c r="A1683" s="284"/>
      <c r="B1683" s="284"/>
      <c r="C1683" s="284"/>
      <c r="D1683" s="284"/>
      <c r="E1683" s="284"/>
      <c r="F1683" s="284"/>
      <c r="G1683" s="284"/>
      <c r="H1683" s="284"/>
      <c r="I1683" s="284"/>
      <c r="J1683" s="375"/>
      <c r="K1683" s="375"/>
      <c r="L1683" s="375"/>
      <c r="M1683" s="368"/>
      <c r="N1683" s="368"/>
      <c r="O1683" s="370"/>
      <c r="T1683" s="340"/>
      <c r="V1683" s="378"/>
      <c r="W1683" s="64" ph="1"/>
      <c r="X1683" s="241"/>
      <c r="Y1683" s="284"/>
      <c r="Z1683" s="207"/>
      <c r="AA1683" s="284"/>
      <c r="AB1683" s="284"/>
      <c r="AC1683" s="284"/>
      <c r="AD1683" s="284"/>
      <c r="AE1683" s="284"/>
      <c r="AF1683" s="284"/>
      <c r="AG1683" s="284"/>
      <c r="AI1683" s="131"/>
    </row>
    <row r="1684" spans="1:35" ht="26.4">
      <c r="A1684" s="284"/>
      <c r="B1684" s="284"/>
      <c r="C1684" s="284"/>
      <c r="D1684" s="284"/>
      <c r="E1684" s="284"/>
      <c r="F1684" s="284"/>
      <c r="G1684" s="284"/>
      <c r="H1684" s="284"/>
      <c r="I1684" s="284"/>
      <c r="J1684" s="375"/>
      <c r="K1684" s="375"/>
      <c r="L1684" s="375"/>
      <c r="M1684" s="368"/>
      <c r="N1684" s="368"/>
      <c r="O1684" s="370"/>
      <c r="T1684" s="340"/>
      <c r="V1684" s="378"/>
      <c r="W1684" s="64" ph="1"/>
      <c r="X1684" s="241"/>
      <c r="Y1684" s="284"/>
      <c r="Z1684" s="207"/>
      <c r="AA1684" s="284"/>
      <c r="AB1684" s="284"/>
      <c r="AC1684" s="284"/>
      <c r="AD1684" s="284"/>
      <c r="AE1684" s="284"/>
      <c r="AF1684" s="284"/>
      <c r="AG1684" s="284"/>
      <c r="AI1684" s="131"/>
    </row>
    <row r="1685" spans="1:35" ht="26.4">
      <c r="A1685" s="284"/>
      <c r="B1685" s="284"/>
      <c r="C1685" s="284"/>
      <c r="D1685" s="284"/>
      <c r="E1685" s="284"/>
      <c r="F1685" s="284"/>
      <c r="G1685" s="284"/>
      <c r="H1685" s="284"/>
      <c r="I1685" s="284"/>
      <c r="J1685" s="375"/>
      <c r="K1685" s="375"/>
      <c r="L1685" s="375"/>
      <c r="M1685" s="368"/>
      <c r="N1685" s="368"/>
      <c r="O1685" s="370"/>
      <c r="T1685" s="340"/>
      <c r="V1685" s="378"/>
      <c r="W1685" s="64" ph="1"/>
      <c r="X1685" s="241"/>
      <c r="Y1685" s="284"/>
      <c r="Z1685" s="207"/>
      <c r="AA1685" s="284"/>
      <c r="AB1685" s="284"/>
      <c r="AC1685" s="284"/>
      <c r="AD1685" s="284"/>
      <c r="AE1685" s="284"/>
      <c r="AF1685" s="284"/>
      <c r="AG1685" s="284"/>
      <c r="AI1685" s="131"/>
    </row>
    <row r="1686" spans="1:35" ht="26.4">
      <c r="A1686" s="284"/>
      <c r="B1686" s="284"/>
      <c r="C1686" s="284"/>
      <c r="D1686" s="284"/>
      <c r="E1686" s="284"/>
      <c r="F1686" s="284"/>
      <c r="G1686" s="284"/>
      <c r="H1686" s="284"/>
      <c r="I1686" s="284"/>
      <c r="J1686" s="375"/>
      <c r="K1686" s="375"/>
      <c r="L1686" s="375"/>
      <c r="M1686" s="368"/>
      <c r="N1686" s="368"/>
      <c r="O1686" s="370"/>
      <c r="T1686" s="340"/>
      <c r="V1686" s="378"/>
      <c r="W1686" s="64" ph="1"/>
      <c r="X1686" s="241"/>
      <c r="Y1686" s="284"/>
      <c r="Z1686" s="207"/>
      <c r="AA1686" s="284"/>
      <c r="AB1686" s="284"/>
      <c r="AC1686" s="284"/>
      <c r="AD1686" s="284"/>
      <c r="AE1686" s="284"/>
      <c r="AF1686" s="284"/>
      <c r="AG1686" s="284"/>
      <c r="AI1686" s="131"/>
    </row>
    <row r="1687" spans="1:35" ht="26.4">
      <c r="A1687" s="284"/>
      <c r="B1687" s="284"/>
      <c r="C1687" s="284"/>
      <c r="D1687" s="284"/>
      <c r="E1687" s="284"/>
      <c r="F1687" s="284"/>
      <c r="G1687" s="284"/>
      <c r="H1687" s="284"/>
      <c r="I1687" s="284"/>
      <c r="J1687" s="375"/>
      <c r="K1687" s="375"/>
      <c r="L1687" s="375"/>
      <c r="M1687" s="368"/>
      <c r="N1687" s="368"/>
      <c r="O1687" s="370"/>
      <c r="T1687" s="340"/>
      <c r="V1687" s="378"/>
      <c r="W1687" s="64" ph="1"/>
      <c r="X1687" s="241"/>
      <c r="Y1687" s="284"/>
      <c r="Z1687" s="207"/>
      <c r="AA1687" s="284"/>
      <c r="AB1687" s="284"/>
      <c r="AC1687" s="284"/>
      <c r="AD1687" s="284"/>
      <c r="AE1687" s="284"/>
      <c r="AF1687" s="284"/>
      <c r="AG1687" s="284"/>
      <c r="AI1687" s="131"/>
    </row>
    <row r="1688" spans="1:35" ht="26.4">
      <c r="A1688" s="284"/>
      <c r="B1688" s="284"/>
      <c r="C1688" s="284"/>
      <c r="D1688" s="284"/>
      <c r="E1688" s="284"/>
      <c r="F1688" s="284"/>
      <c r="G1688" s="284"/>
      <c r="H1688" s="284"/>
      <c r="I1688" s="284"/>
      <c r="J1688" s="375"/>
      <c r="K1688" s="375"/>
      <c r="L1688" s="375"/>
      <c r="M1688" s="368"/>
      <c r="N1688" s="368"/>
      <c r="O1688" s="370"/>
      <c r="T1688" s="340"/>
      <c r="V1688" s="378"/>
      <c r="W1688" s="64" ph="1"/>
      <c r="X1688" s="241"/>
      <c r="Y1688" s="284"/>
      <c r="Z1688" s="207"/>
      <c r="AA1688" s="284"/>
      <c r="AB1688" s="284"/>
      <c r="AC1688" s="284"/>
      <c r="AD1688" s="284"/>
      <c r="AE1688" s="284"/>
      <c r="AF1688" s="284"/>
      <c r="AG1688" s="284"/>
      <c r="AI1688" s="131"/>
    </row>
    <row r="1689" spans="1:35" ht="26.4">
      <c r="A1689" s="284"/>
      <c r="B1689" s="284"/>
      <c r="C1689" s="284"/>
      <c r="D1689" s="284"/>
      <c r="E1689" s="284"/>
      <c r="F1689" s="284"/>
      <c r="G1689" s="284"/>
      <c r="H1689" s="284"/>
      <c r="I1689" s="284"/>
      <c r="J1689" s="375"/>
      <c r="K1689" s="375"/>
      <c r="L1689" s="375"/>
      <c r="M1689" s="368"/>
      <c r="N1689" s="368"/>
      <c r="O1689" s="370"/>
      <c r="T1689" s="340"/>
      <c r="V1689" s="378"/>
      <c r="W1689" s="64" ph="1"/>
      <c r="X1689" s="241"/>
      <c r="Y1689" s="284"/>
      <c r="Z1689" s="207"/>
      <c r="AA1689" s="284"/>
      <c r="AB1689" s="284"/>
      <c r="AC1689" s="284"/>
      <c r="AD1689" s="284"/>
      <c r="AE1689" s="284"/>
      <c r="AF1689" s="284"/>
      <c r="AG1689" s="284"/>
      <c r="AI1689" s="131"/>
    </row>
    <row r="1690" spans="1:35" ht="26.4">
      <c r="A1690" s="284"/>
      <c r="B1690" s="284"/>
      <c r="C1690" s="284"/>
      <c r="D1690" s="284"/>
      <c r="E1690" s="284"/>
      <c r="F1690" s="284"/>
      <c r="G1690" s="284"/>
      <c r="H1690" s="284"/>
      <c r="I1690" s="284"/>
      <c r="J1690" s="375"/>
      <c r="K1690" s="375"/>
      <c r="L1690" s="375"/>
      <c r="M1690" s="368"/>
      <c r="N1690" s="368"/>
      <c r="O1690" s="370"/>
      <c r="T1690" s="340"/>
      <c r="V1690" s="378"/>
      <c r="W1690" s="64" ph="1"/>
      <c r="X1690" s="241"/>
      <c r="Y1690" s="284"/>
      <c r="Z1690" s="207"/>
      <c r="AA1690" s="284"/>
      <c r="AB1690" s="284"/>
      <c r="AC1690" s="284"/>
      <c r="AD1690" s="284"/>
      <c r="AE1690" s="284"/>
      <c r="AF1690" s="284"/>
      <c r="AG1690" s="284"/>
      <c r="AI1690" s="131"/>
    </row>
    <row r="1691" spans="1:35" ht="26.4">
      <c r="A1691" s="284"/>
      <c r="B1691" s="284"/>
      <c r="C1691" s="284"/>
      <c r="D1691" s="284"/>
      <c r="E1691" s="284"/>
      <c r="F1691" s="284"/>
      <c r="G1691" s="284"/>
      <c r="H1691" s="284"/>
      <c r="I1691" s="284"/>
      <c r="J1691" s="375"/>
      <c r="K1691" s="375"/>
      <c r="L1691" s="375"/>
      <c r="M1691" s="368"/>
      <c r="N1691" s="368"/>
      <c r="O1691" s="370"/>
      <c r="T1691" s="340"/>
      <c r="V1691" s="378"/>
      <c r="W1691" s="64" ph="1"/>
      <c r="X1691" s="241"/>
      <c r="Y1691" s="284"/>
      <c r="Z1691" s="207"/>
      <c r="AA1691" s="284"/>
      <c r="AB1691" s="284"/>
      <c r="AC1691" s="284"/>
      <c r="AD1691" s="284"/>
      <c r="AE1691" s="284"/>
      <c r="AF1691" s="284"/>
      <c r="AG1691" s="284"/>
      <c r="AI1691" s="131"/>
    </row>
    <row r="1692" spans="1:35" ht="26.4">
      <c r="A1692" s="284"/>
      <c r="B1692" s="284"/>
      <c r="C1692" s="284"/>
      <c r="D1692" s="284"/>
      <c r="E1692" s="284"/>
      <c r="F1692" s="284"/>
      <c r="G1692" s="284"/>
      <c r="H1692" s="284"/>
      <c r="I1692" s="284"/>
      <c r="J1692" s="375"/>
      <c r="K1692" s="375"/>
      <c r="L1692" s="375"/>
      <c r="M1692" s="368"/>
      <c r="N1692" s="368"/>
      <c r="O1692" s="370"/>
      <c r="T1692" s="340"/>
      <c r="V1692" s="378"/>
      <c r="W1692" s="64" ph="1"/>
      <c r="X1692" s="241"/>
      <c r="Y1692" s="284"/>
      <c r="Z1692" s="207"/>
      <c r="AA1692" s="284"/>
      <c r="AB1692" s="284"/>
      <c r="AC1692" s="284"/>
      <c r="AD1692" s="284"/>
      <c r="AE1692" s="284"/>
      <c r="AF1692" s="284"/>
      <c r="AG1692" s="284"/>
      <c r="AI1692" s="131"/>
    </row>
    <row r="1693" spans="1:35" ht="26.4">
      <c r="A1693" s="284"/>
      <c r="B1693" s="284"/>
      <c r="C1693" s="284"/>
      <c r="D1693" s="284"/>
      <c r="E1693" s="284"/>
      <c r="F1693" s="284"/>
      <c r="G1693" s="284"/>
      <c r="H1693" s="284"/>
      <c r="I1693" s="284"/>
      <c r="J1693" s="375"/>
      <c r="K1693" s="375"/>
      <c r="L1693" s="375"/>
      <c r="M1693" s="368"/>
      <c r="N1693" s="368"/>
      <c r="O1693" s="370"/>
      <c r="T1693" s="340"/>
      <c r="V1693" s="378"/>
      <c r="W1693" s="64" ph="1"/>
      <c r="X1693" s="241"/>
      <c r="Y1693" s="284"/>
      <c r="Z1693" s="207"/>
      <c r="AA1693" s="284"/>
      <c r="AB1693" s="284"/>
      <c r="AC1693" s="284"/>
      <c r="AD1693" s="284"/>
      <c r="AE1693" s="284"/>
      <c r="AF1693" s="284"/>
      <c r="AG1693" s="284"/>
      <c r="AI1693" s="131"/>
    </row>
    <row r="1694" spans="1:35" ht="26.4">
      <c r="A1694" s="284"/>
      <c r="B1694" s="284"/>
      <c r="C1694" s="284"/>
      <c r="D1694" s="284"/>
      <c r="E1694" s="284"/>
      <c r="F1694" s="284"/>
      <c r="G1694" s="284"/>
      <c r="H1694" s="284"/>
      <c r="I1694" s="284"/>
      <c r="J1694" s="375"/>
      <c r="K1694" s="375"/>
      <c r="L1694" s="375"/>
      <c r="M1694" s="368"/>
      <c r="N1694" s="368"/>
      <c r="O1694" s="370"/>
      <c r="T1694" s="340"/>
      <c r="V1694" s="378"/>
      <c r="W1694" s="64" ph="1"/>
      <c r="X1694" s="241"/>
      <c r="Y1694" s="284"/>
      <c r="Z1694" s="207"/>
      <c r="AA1694" s="284"/>
      <c r="AB1694" s="284"/>
      <c r="AC1694" s="284"/>
      <c r="AD1694" s="284"/>
      <c r="AE1694" s="284"/>
      <c r="AF1694" s="284"/>
      <c r="AG1694" s="284"/>
      <c r="AI1694" s="131"/>
    </row>
    <row r="1695" spans="1:35" ht="26.4">
      <c r="A1695" s="284"/>
      <c r="B1695" s="284"/>
      <c r="C1695" s="284"/>
      <c r="D1695" s="284"/>
      <c r="E1695" s="284"/>
      <c r="F1695" s="284"/>
      <c r="G1695" s="284"/>
      <c r="H1695" s="284"/>
      <c r="I1695" s="284"/>
      <c r="J1695" s="375"/>
      <c r="K1695" s="375"/>
      <c r="L1695" s="375"/>
      <c r="M1695" s="368"/>
      <c r="N1695" s="368"/>
      <c r="O1695" s="370"/>
      <c r="T1695" s="340"/>
      <c r="V1695" s="378"/>
      <c r="W1695" s="64" ph="1"/>
      <c r="X1695" s="241"/>
      <c r="Y1695" s="284"/>
      <c r="Z1695" s="207"/>
      <c r="AA1695" s="284"/>
      <c r="AB1695" s="284"/>
      <c r="AC1695" s="284"/>
      <c r="AD1695" s="284"/>
      <c r="AE1695" s="284"/>
      <c r="AF1695" s="284"/>
      <c r="AG1695" s="284"/>
      <c r="AI1695" s="131"/>
    </row>
    <row r="1696" spans="1:35" ht="26.4">
      <c r="A1696" s="284"/>
      <c r="B1696" s="284"/>
      <c r="C1696" s="284"/>
      <c r="D1696" s="284"/>
      <c r="E1696" s="284"/>
      <c r="F1696" s="284"/>
      <c r="G1696" s="284"/>
      <c r="H1696" s="284"/>
      <c r="I1696" s="284"/>
      <c r="J1696" s="375"/>
      <c r="K1696" s="375"/>
      <c r="L1696" s="375"/>
      <c r="M1696" s="368"/>
      <c r="N1696" s="368"/>
      <c r="O1696" s="370"/>
      <c r="T1696" s="340"/>
      <c r="V1696" s="378"/>
      <c r="W1696" s="64" ph="1"/>
      <c r="X1696" s="241"/>
      <c r="Y1696" s="284"/>
      <c r="Z1696" s="207"/>
      <c r="AA1696" s="284"/>
      <c r="AB1696" s="284"/>
      <c r="AC1696" s="284"/>
      <c r="AD1696" s="284"/>
      <c r="AE1696" s="284"/>
      <c r="AF1696" s="284"/>
      <c r="AG1696" s="284"/>
      <c r="AI1696" s="131"/>
    </row>
    <row r="1697" spans="1:35" ht="26.4">
      <c r="A1697" s="284"/>
      <c r="B1697" s="284"/>
      <c r="C1697" s="284"/>
      <c r="D1697" s="284"/>
      <c r="E1697" s="284"/>
      <c r="F1697" s="284"/>
      <c r="G1697" s="284"/>
      <c r="H1697" s="284"/>
      <c r="I1697" s="284"/>
      <c r="J1697" s="375"/>
      <c r="K1697" s="375"/>
      <c r="L1697" s="375"/>
      <c r="M1697" s="368"/>
      <c r="N1697" s="368"/>
      <c r="O1697" s="370"/>
      <c r="T1697" s="340"/>
      <c r="V1697" s="378"/>
      <c r="W1697" s="64" ph="1"/>
      <c r="X1697" s="241"/>
      <c r="Y1697" s="284"/>
      <c r="Z1697" s="207"/>
      <c r="AA1697" s="284"/>
      <c r="AB1697" s="284"/>
      <c r="AC1697" s="284"/>
      <c r="AD1697" s="284"/>
      <c r="AE1697" s="284"/>
      <c r="AF1697" s="284"/>
      <c r="AG1697" s="284"/>
      <c r="AI1697" s="131"/>
    </row>
    <row r="1698" spans="1:35" ht="26.4">
      <c r="A1698" s="284"/>
      <c r="B1698" s="284"/>
      <c r="C1698" s="284"/>
      <c r="D1698" s="284"/>
      <c r="E1698" s="284"/>
      <c r="F1698" s="284"/>
      <c r="G1698" s="284"/>
      <c r="H1698" s="284"/>
      <c r="I1698" s="284"/>
      <c r="J1698" s="375"/>
      <c r="K1698" s="375"/>
      <c r="L1698" s="375"/>
      <c r="M1698" s="368"/>
      <c r="N1698" s="368"/>
      <c r="O1698" s="370"/>
      <c r="T1698" s="340"/>
      <c r="V1698" s="378"/>
      <c r="W1698" s="64" ph="1"/>
      <c r="X1698" s="241"/>
      <c r="Y1698" s="284"/>
      <c r="Z1698" s="207"/>
      <c r="AA1698" s="284"/>
      <c r="AB1698" s="284"/>
      <c r="AC1698" s="284"/>
      <c r="AD1698" s="284"/>
      <c r="AE1698" s="284"/>
      <c r="AF1698" s="284"/>
      <c r="AG1698" s="284"/>
      <c r="AI1698" s="131"/>
    </row>
    <row r="1699" spans="1:35" ht="26.4">
      <c r="A1699" s="284"/>
      <c r="B1699" s="284"/>
      <c r="C1699" s="284"/>
      <c r="D1699" s="284"/>
      <c r="E1699" s="284"/>
      <c r="F1699" s="284"/>
      <c r="G1699" s="284"/>
      <c r="H1699" s="284"/>
      <c r="I1699" s="284"/>
      <c r="J1699" s="375"/>
      <c r="K1699" s="375"/>
      <c r="L1699" s="375"/>
      <c r="M1699" s="368"/>
      <c r="N1699" s="368"/>
      <c r="O1699" s="370"/>
      <c r="T1699" s="340"/>
      <c r="V1699" s="378"/>
      <c r="W1699" s="64" ph="1"/>
      <c r="X1699" s="241"/>
      <c r="Y1699" s="284"/>
      <c r="Z1699" s="207"/>
      <c r="AA1699" s="284"/>
      <c r="AB1699" s="284"/>
      <c r="AC1699" s="284"/>
      <c r="AD1699" s="284"/>
      <c r="AE1699" s="284"/>
      <c r="AF1699" s="284"/>
      <c r="AG1699" s="284"/>
      <c r="AI1699" s="131"/>
    </row>
    <row r="1700" spans="1:35" ht="26.4">
      <c r="A1700" s="284"/>
      <c r="B1700" s="284"/>
      <c r="C1700" s="284"/>
      <c r="D1700" s="284"/>
      <c r="E1700" s="284"/>
      <c r="F1700" s="284"/>
      <c r="G1700" s="284"/>
      <c r="H1700" s="284"/>
      <c r="I1700" s="284"/>
      <c r="J1700" s="375"/>
      <c r="K1700" s="375"/>
      <c r="L1700" s="375"/>
      <c r="M1700" s="368"/>
      <c r="N1700" s="368"/>
      <c r="O1700" s="370"/>
      <c r="T1700" s="340"/>
      <c r="V1700" s="378"/>
      <c r="W1700" s="64" ph="1"/>
      <c r="X1700" s="241"/>
      <c r="Y1700" s="284"/>
      <c r="Z1700" s="207"/>
      <c r="AA1700" s="284"/>
      <c r="AB1700" s="284"/>
      <c r="AC1700" s="284"/>
      <c r="AD1700" s="284"/>
      <c r="AE1700" s="284"/>
      <c r="AF1700" s="284"/>
      <c r="AG1700" s="284"/>
      <c r="AI1700" s="131"/>
    </row>
    <row r="1701" spans="1:35" ht="26.4">
      <c r="A1701" s="284"/>
      <c r="B1701" s="284"/>
      <c r="C1701" s="284"/>
      <c r="D1701" s="284"/>
      <c r="E1701" s="284"/>
      <c r="F1701" s="284"/>
      <c r="G1701" s="284"/>
      <c r="H1701" s="284"/>
      <c r="I1701" s="284"/>
      <c r="J1701" s="375"/>
      <c r="K1701" s="375"/>
      <c r="L1701" s="375"/>
      <c r="M1701" s="368"/>
      <c r="N1701" s="368"/>
      <c r="O1701" s="370"/>
      <c r="T1701" s="340"/>
      <c r="V1701" s="378"/>
      <c r="W1701" s="64" ph="1"/>
      <c r="X1701" s="241"/>
      <c r="Y1701" s="284"/>
      <c r="Z1701" s="207"/>
      <c r="AA1701" s="284"/>
      <c r="AB1701" s="284"/>
      <c r="AC1701" s="284"/>
      <c r="AD1701" s="284"/>
      <c r="AE1701" s="284"/>
      <c r="AF1701" s="284"/>
      <c r="AG1701" s="284"/>
      <c r="AI1701" s="131"/>
    </row>
    <row r="1702" spans="1:35" ht="26.4">
      <c r="A1702" s="284"/>
      <c r="B1702" s="284"/>
      <c r="C1702" s="284"/>
      <c r="D1702" s="284"/>
      <c r="E1702" s="284"/>
      <c r="F1702" s="284"/>
      <c r="G1702" s="284"/>
      <c r="H1702" s="284"/>
      <c r="I1702" s="284"/>
      <c r="J1702" s="375"/>
      <c r="K1702" s="375"/>
      <c r="L1702" s="375"/>
      <c r="M1702" s="368"/>
      <c r="N1702" s="368"/>
      <c r="O1702" s="370"/>
      <c r="T1702" s="340"/>
      <c r="V1702" s="378"/>
      <c r="W1702" s="64" ph="1"/>
      <c r="X1702" s="241"/>
      <c r="Y1702" s="284"/>
      <c r="Z1702" s="207"/>
      <c r="AA1702" s="284"/>
      <c r="AB1702" s="284"/>
      <c r="AC1702" s="284"/>
      <c r="AD1702" s="284"/>
      <c r="AE1702" s="284"/>
      <c r="AF1702" s="284"/>
      <c r="AG1702" s="284"/>
      <c r="AI1702" s="131"/>
    </row>
    <row r="1703" spans="1:35" ht="26.4">
      <c r="A1703" s="284"/>
      <c r="B1703" s="284"/>
      <c r="C1703" s="284"/>
      <c r="D1703" s="284"/>
      <c r="E1703" s="284"/>
      <c r="F1703" s="284"/>
      <c r="G1703" s="284"/>
      <c r="H1703" s="284"/>
      <c r="I1703" s="284"/>
      <c r="J1703" s="375"/>
      <c r="K1703" s="375"/>
      <c r="L1703" s="375"/>
      <c r="M1703" s="368"/>
      <c r="N1703" s="368"/>
      <c r="O1703" s="370"/>
      <c r="T1703" s="340"/>
      <c r="V1703" s="378"/>
      <c r="W1703" s="64" ph="1"/>
      <c r="X1703" s="241"/>
      <c r="Y1703" s="284"/>
      <c r="Z1703" s="207"/>
      <c r="AA1703" s="284"/>
      <c r="AB1703" s="284"/>
      <c r="AC1703" s="284"/>
      <c r="AD1703" s="284"/>
      <c r="AE1703" s="284"/>
      <c r="AF1703" s="284"/>
      <c r="AG1703" s="284"/>
      <c r="AI1703" s="131"/>
    </row>
    <row r="1704" spans="1:35" ht="26.4">
      <c r="A1704" s="284"/>
      <c r="B1704" s="284"/>
      <c r="C1704" s="284"/>
      <c r="D1704" s="284"/>
      <c r="E1704" s="284"/>
      <c r="F1704" s="284"/>
      <c r="G1704" s="284"/>
      <c r="H1704" s="284"/>
      <c r="I1704" s="284"/>
      <c r="J1704" s="375"/>
      <c r="K1704" s="375"/>
      <c r="L1704" s="375"/>
      <c r="M1704" s="368"/>
      <c r="N1704" s="368"/>
      <c r="O1704" s="370"/>
      <c r="T1704" s="340"/>
      <c r="V1704" s="378"/>
      <c r="W1704" s="64" ph="1"/>
      <c r="X1704" s="241"/>
      <c r="Y1704" s="284"/>
      <c r="Z1704" s="207"/>
      <c r="AA1704" s="284"/>
      <c r="AB1704" s="284"/>
      <c r="AC1704" s="284"/>
      <c r="AD1704" s="284"/>
      <c r="AE1704" s="284"/>
      <c r="AF1704" s="284"/>
      <c r="AG1704" s="284"/>
      <c r="AI1704" s="131"/>
    </row>
    <row r="1705" spans="1:35" ht="26.4">
      <c r="A1705" s="284"/>
      <c r="B1705" s="284"/>
      <c r="C1705" s="284"/>
      <c r="D1705" s="284"/>
      <c r="E1705" s="284"/>
      <c r="F1705" s="284"/>
      <c r="G1705" s="284"/>
      <c r="H1705" s="284"/>
      <c r="I1705" s="284"/>
      <c r="J1705" s="375"/>
      <c r="K1705" s="375"/>
      <c r="L1705" s="375"/>
      <c r="M1705" s="368"/>
      <c r="N1705" s="368"/>
      <c r="O1705" s="370"/>
      <c r="T1705" s="340"/>
      <c r="V1705" s="378"/>
      <c r="W1705" s="64" ph="1"/>
      <c r="X1705" s="241"/>
      <c r="Y1705" s="284"/>
      <c r="Z1705" s="207"/>
      <c r="AA1705" s="284"/>
      <c r="AB1705" s="284"/>
      <c r="AC1705" s="284"/>
      <c r="AD1705" s="284"/>
      <c r="AE1705" s="284"/>
      <c r="AF1705" s="284"/>
      <c r="AG1705" s="284"/>
      <c r="AI1705" s="131"/>
    </row>
    <row r="1706" spans="1:35" ht="26.4">
      <c r="A1706" s="284"/>
      <c r="B1706" s="284"/>
      <c r="C1706" s="284"/>
      <c r="D1706" s="284"/>
      <c r="E1706" s="284"/>
      <c r="F1706" s="284"/>
      <c r="G1706" s="284"/>
      <c r="H1706" s="284"/>
      <c r="I1706" s="284"/>
      <c r="J1706" s="375"/>
      <c r="K1706" s="375"/>
      <c r="L1706" s="375"/>
      <c r="M1706" s="368"/>
      <c r="N1706" s="368"/>
      <c r="O1706" s="370"/>
      <c r="T1706" s="340"/>
      <c r="V1706" s="378"/>
      <c r="W1706" s="64" ph="1"/>
      <c r="X1706" s="241"/>
      <c r="Y1706" s="284"/>
      <c r="Z1706" s="207"/>
      <c r="AA1706" s="284"/>
      <c r="AB1706" s="284"/>
      <c r="AC1706" s="284"/>
      <c r="AD1706" s="284"/>
      <c r="AE1706" s="284"/>
      <c r="AF1706" s="284"/>
      <c r="AG1706" s="284"/>
      <c r="AI1706" s="131"/>
    </row>
    <row r="1707" spans="1:35" ht="26.4">
      <c r="A1707" s="284"/>
      <c r="B1707" s="284"/>
      <c r="C1707" s="284"/>
      <c r="D1707" s="284"/>
      <c r="E1707" s="284"/>
      <c r="F1707" s="284"/>
      <c r="G1707" s="284"/>
      <c r="H1707" s="284"/>
      <c r="I1707" s="284"/>
      <c r="J1707" s="375"/>
      <c r="K1707" s="375"/>
      <c r="L1707" s="375"/>
      <c r="M1707" s="368"/>
      <c r="N1707" s="368"/>
      <c r="O1707" s="370"/>
      <c r="T1707" s="340"/>
      <c r="V1707" s="378"/>
      <c r="W1707" s="64" ph="1"/>
      <c r="X1707" s="241"/>
      <c r="Y1707" s="284"/>
      <c r="Z1707" s="207"/>
      <c r="AA1707" s="284"/>
      <c r="AB1707" s="284"/>
      <c r="AC1707" s="284"/>
      <c r="AD1707" s="284"/>
      <c r="AE1707" s="284"/>
      <c r="AF1707" s="284"/>
      <c r="AG1707" s="284"/>
      <c r="AI1707" s="131"/>
    </row>
    <row r="1708" spans="1:35" ht="26.4">
      <c r="A1708" s="284"/>
      <c r="B1708" s="284"/>
      <c r="C1708" s="284"/>
      <c r="D1708" s="284"/>
      <c r="E1708" s="284"/>
      <c r="F1708" s="284"/>
      <c r="G1708" s="284"/>
      <c r="H1708" s="284"/>
      <c r="I1708" s="284"/>
      <c r="J1708" s="375"/>
      <c r="K1708" s="375"/>
      <c r="L1708" s="375"/>
      <c r="M1708" s="368"/>
      <c r="N1708" s="368"/>
      <c r="O1708" s="370"/>
      <c r="T1708" s="340"/>
      <c r="V1708" s="378"/>
      <c r="W1708" s="64" ph="1"/>
      <c r="X1708" s="241"/>
      <c r="Y1708" s="284"/>
      <c r="Z1708" s="207"/>
      <c r="AA1708" s="284"/>
      <c r="AB1708" s="284"/>
      <c r="AC1708" s="284"/>
      <c r="AD1708" s="284"/>
      <c r="AE1708" s="284"/>
      <c r="AF1708" s="284"/>
      <c r="AG1708" s="284"/>
      <c r="AI1708" s="131"/>
    </row>
    <row r="1709" spans="1:35" ht="26.4">
      <c r="A1709" s="284"/>
      <c r="B1709" s="284"/>
      <c r="C1709" s="284"/>
      <c r="D1709" s="284"/>
      <c r="E1709" s="284"/>
      <c r="F1709" s="284"/>
      <c r="G1709" s="284"/>
      <c r="H1709" s="284"/>
      <c r="I1709" s="284"/>
      <c r="J1709" s="375"/>
      <c r="K1709" s="375"/>
      <c r="L1709" s="375"/>
      <c r="M1709" s="368"/>
      <c r="N1709" s="368"/>
      <c r="O1709" s="370"/>
      <c r="T1709" s="340"/>
      <c r="V1709" s="378"/>
      <c r="W1709" s="64" ph="1"/>
      <c r="X1709" s="241"/>
      <c r="Y1709" s="284"/>
      <c r="Z1709" s="207"/>
      <c r="AA1709" s="284"/>
      <c r="AB1709" s="284"/>
      <c r="AC1709" s="284"/>
      <c r="AD1709" s="284"/>
      <c r="AE1709" s="284"/>
      <c r="AF1709" s="284"/>
      <c r="AG1709" s="284"/>
      <c r="AI1709" s="131"/>
    </row>
    <row r="1710" spans="1:35" ht="26.4">
      <c r="A1710" s="284"/>
      <c r="B1710" s="284"/>
      <c r="C1710" s="284"/>
      <c r="D1710" s="284"/>
      <c r="E1710" s="284"/>
      <c r="F1710" s="284"/>
      <c r="G1710" s="284"/>
      <c r="H1710" s="284"/>
      <c r="I1710" s="284"/>
      <c r="J1710" s="375"/>
      <c r="K1710" s="375"/>
      <c r="L1710" s="375"/>
      <c r="M1710" s="368"/>
      <c r="N1710" s="368"/>
      <c r="O1710" s="370"/>
      <c r="T1710" s="340"/>
      <c r="V1710" s="378"/>
      <c r="W1710" s="64" ph="1"/>
      <c r="X1710" s="241"/>
      <c r="Y1710" s="284"/>
      <c r="Z1710" s="207"/>
      <c r="AA1710" s="284"/>
      <c r="AB1710" s="284"/>
      <c r="AC1710" s="284"/>
      <c r="AD1710" s="284"/>
      <c r="AE1710" s="284"/>
      <c r="AF1710" s="284"/>
      <c r="AG1710" s="284"/>
      <c r="AI1710" s="131"/>
    </row>
    <row r="1711" spans="1:35" ht="26.4">
      <c r="A1711" s="284"/>
      <c r="B1711" s="284"/>
      <c r="C1711" s="284"/>
      <c r="D1711" s="284"/>
      <c r="E1711" s="284"/>
      <c r="F1711" s="284"/>
      <c r="G1711" s="284"/>
      <c r="H1711" s="284"/>
      <c r="I1711" s="284"/>
      <c r="J1711" s="375"/>
      <c r="K1711" s="375"/>
      <c r="L1711" s="375"/>
      <c r="M1711" s="368"/>
      <c r="N1711" s="368"/>
      <c r="O1711" s="370"/>
      <c r="T1711" s="340"/>
      <c r="V1711" s="378"/>
      <c r="W1711" s="64" ph="1"/>
      <c r="X1711" s="241"/>
      <c r="Y1711" s="284"/>
      <c r="Z1711" s="207"/>
      <c r="AA1711" s="284"/>
      <c r="AB1711" s="284"/>
      <c r="AC1711" s="284"/>
      <c r="AD1711" s="284"/>
      <c r="AE1711" s="284"/>
      <c r="AF1711" s="284"/>
      <c r="AG1711" s="284"/>
      <c r="AI1711" s="131"/>
    </row>
    <row r="1712" spans="1:35" ht="26.4">
      <c r="A1712" s="284"/>
      <c r="B1712" s="284"/>
      <c r="C1712" s="284"/>
      <c r="D1712" s="284"/>
      <c r="E1712" s="284"/>
      <c r="F1712" s="284"/>
      <c r="G1712" s="284"/>
      <c r="H1712" s="284"/>
      <c r="I1712" s="284"/>
      <c r="J1712" s="375"/>
      <c r="K1712" s="375"/>
      <c r="L1712" s="375"/>
      <c r="M1712" s="368"/>
      <c r="N1712" s="368"/>
      <c r="O1712" s="370"/>
      <c r="T1712" s="340"/>
      <c r="V1712" s="378"/>
      <c r="W1712" s="64" ph="1"/>
      <c r="X1712" s="241"/>
      <c r="Y1712" s="284"/>
      <c r="Z1712" s="207"/>
      <c r="AA1712" s="284"/>
      <c r="AB1712" s="284"/>
      <c r="AC1712" s="284"/>
      <c r="AD1712" s="284"/>
      <c r="AE1712" s="284"/>
      <c r="AF1712" s="284"/>
      <c r="AG1712" s="284"/>
      <c r="AI1712" s="131"/>
    </row>
    <row r="1713" spans="1:35" ht="26.4">
      <c r="A1713" s="284"/>
      <c r="B1713" s="284"/>
      <c r="C1713" s="284"/>
      <c r="D1713" s="284"/>
      <c r="E1713" s="284"/>
      <c r="F1713" s="284"/>
      <c r="G1713" s="284"/>
      <c r="H1713" s="284"/>
      <c r="I1713" s="284"/>
      <c r="J1713" s="375"/>
      <c r="K1713" s="375"/>
      <c r="L1713" s="375"/>
      <c r="M1713" s="368"/>
      <c r="N1713" s="368"/>
      <c r="O1713" s="370"/>
      <c r="T1713" s="340"/>
      <c r="V1713" s="378"/>
      <c r="W1713" s="64" ph="1"/>
      <c r="X1713" s="241"/>
      <c r="Y1713" s="284"/>
      <c r="Z1713" s="207"/>
      <c r="AA1713" s="284"/>
      <c r="AB1713" s="284"/>
      <c r="AC1713" s="284"/>
      <c r="AD1713" s="284"/>
      <c r="AE1713" s="284"/>
      <c r="AF1713" s="284"/>
      <c r="AG1713" s="284"/>
      <c r="AI1713" s="131"/>
    </row>
    <row r="1714" spans="1:35" ht="26.4">
      <c r="A1714" s="284"/>
      <c r="B1714" s="284"/>
      <c r="C1714" s="284"/>
      <c r="D1714" s="284"/>
      <c r="E1714" s="284"/>
      <c r="F1714" s="284"/>
      <c r="G1714" s="284"/>
      <c r="H1714" s="284"/>
      <c r="I1714" s="284"/>
      <c r="J1714" s="375"/>
      <c r="K1714" s="375"/>
      <c r="L1714" s="375"/>
      <c r="M1714" s="368"/>
      <c r="N1714" s="368"/>
      <c r="O1714" s="370"/>
      <c r="T1714" s="340"/>
      <c r="V1714" s="378"/>
      <c r="W1714" s="64" ph="1"/>
      <c r="X1714" s="241"/>
      <c r="Y1714" s="284"/>
      <c r="Z1714" s="207"/>
      <c r="AA1714" s="284"/>
      <c r="AB1714" s="284"/>
      <c r="AC1714" s="284"/>
      <c r="AD1714" s="284"/>
      <c r="AE1714" s="284"/>
      <c r="AF1714" s="284"/>
      <c r="AG1714" s="284"/>
      <c r="AI1714" s="131"/>
    </row>
    <row r="1715" spans="1:35" ht="26.4">
      <c r="A1715" s="284"/>
      <c r="B1715" s="284"/>
      <c r="C1715" s="284"/>
      <c r="D1715" s="284"/>
      <c r="E1715" s="284"/>
      <c r="F1715" s="284"/>
      <c r="G1715" s="284"/>
      <c r="H1715" s="284"/>
      <c r="I1715" s="284"/>
      <c r="J1715" s="375"/>
      <c r="K1715" s="375"/>
      <c r="L1715" s="375"/>
      <c r="M1715" s="368"/>
      <c r="N1715" s="368"/>
      <c r="O1715" s="370"/>
      <c r="T1715" s="340"/>
      <c r="V1715" s="378"/>
      <c r="W1715" s="64" ph="1"/>
      <c r="X1715" s="241"/>
      <c r="Y1715" s="284"/>
      <c r="Z1715" s="207"/>
      <c r="AA1715" s="284"/>
      <c r="AB1715" s="284"/>
      <c r="AC1715" s="284"/>
      <c r="AD1715" s="284"/>
      <c r="AE1715" s="284"/>
      <c r="AF1715" s="284"/>
      <c r="AG1715" s="284"/>
      <c r="AI1715" s="131"/>
    </row>
    <row r="1716" spans="1:35" ht="26.4">
      <c r="A1716" s="284"/>
      <c r="B1716" s="284"/>
      <c r="C1716" s="284"/>
      <c r="D1716" s="284"/>
      <c r="E1716" s="284"/>
      <c r="F1716" s="284"/>
      <c r="G1716" s="284"/>
      <c r="H1716" s="284"/>
      <c r="I1716" s="284"/>
      <c r="J1716" s="375"/>
      <c r="K1716" s="375"/>
      <c r="L1716" s="375"/>
      <c r="M1716" s="368"/>
      <c r="N1716" s="368"/>
      <c r="O1716" s="370"/>
      <c r="T1716" s="340"/>
      <c r="V1716" s="378"/>
      <c r="W1716" s="64" ph="1"/>
      <c r="X1716" s="241"/>
      <c r="Y1716" s="284"/>
      <c r="Z1716" s="207"/>
      <c r="AA1716" s="284"/>
      <c r="AB1716" s="284"/>
      <c r="AC1716" s="284"/>
      <c r="AD1716" s="284"/>
      <c r="AE1716" s="284"/>
      <c r="AF1716" s="284"/>
      <c r="AG1716" s="284"/>
      <c r="AI1716" s="131"/>
    </row>
    <row r="1717" spans="1:35" ht="26.4">
      <c r="A1717" s="284"/>
      <c r="B1717" s="284"/>
      <c r="C1717" s="284"/>
      <c r="D1717" s="284"/>
      <c r="E1717" s="284"/>
      <c r="F1717" s="284"/>
      <c r="G1717" s="284"/>
      <c r="H1717" s="284"/>
      <c r="I1717" s="284"/>
      <c r="J1717" s="375"/>
      <c r="K1717" s="375"/>
      <c r="L1717" s="375"/>
      <c r="M1717" s="368"/>
      <c r="N1717" s="368"/>
      <c r="O1717" s="370"/>
      <c r="T1717" s="340"/>
      <c r="V1717" s="378"/>
      <c r="W1717" s="64" ph="1"/>
      <c r="X1717" s="241"/>
      <c r="Y1717" s="284"/>
      <c r="Z1717" s="207"/>
      <c r="AA1717" s="284"/>
      <c r="AB1717" s="284"/>
      <c r="AC1717" s="284"/>
      <c r="AD1717" s="284"/>
      <c r="AE1717" s="284"/>
      <c r="AF1717" s="284"/>
      <c r="AG1717" s="284"/>
      <c r="AI1717" s="131"/>
    </row>
    <row r="1718" spans="1:35" ht="26.4">
      <c r="A1718" s="284"/>
      <c r="B1718" s="284"/>
      <c r="C1718" s="284"/>
      <c r="D1718" s="284"/>
      <c r="E1718" s="284"/>
      <c r="F1718" s="284"/>
      <c r="G1718" s="284"/>
      <c r="H1718" s="284"/>
      <c r="I1718" s="284"/>
      <c r="J1718" s="375"/>
      <c r="K1718" s="375"/>
      <c r="L1718" s="375"/>
      <c r="M1718" s="368"/>
      <c r="N1718" s="368"/>
      <c r="O1718" s="370"/>
      <c r="T1718" s="340"/>
      <c r="V1718" s="378"/>
      <c r="W1718" s="64" ph="1"/>
      <c r="X1718" s="241"/>
      <c r="Y1718" s="284"/>
      <c r="Z1718" s="207"/>
      <c r="AA1718" s="284"/>
      <c r="AB1718" s="284"/>
      <c r="AC1718" s="284"/>
      <c r="AD1718" s="284"/>
      <c r="AE1718" s="284"/>
      <c r="AF1718" s="284"/>
      <c r="AG1718" s="284"/>
      <c r="AI1718" s="131"/>
    </row>
    <row r="1719" spans="1:35" ht="26.4">
      <c r="A1719" s="284"/>
      <c r="B1719" s="284"/>
      <c r="C1719" s="284"/>
      <c r="D1719" s="284"/>
      <c r="E1719" s="284"/>
      <c r="F1719" s="284"/>
      <c r="G1719" s="284"/>
      <c r="H1719" s="284"/>
      <c r="I1719" s="284"/>
      <c r="J1719" s="375"/>
      <c r="K1719" s="375"/>
      <c r="L1719" s="375"/>
      <c r="M1719" s="368"/>
      <c r="N1719" s="368"/>
      <c r="O1719" s="370"/>
      <c r="T1719" s="340"/>
      <c r="V1719" s="378"/>
      <c r="W1719" s="64" ph="1"/>
      <c r="X1719" s="241"/>
      <c r="Y1719" s="284"/>
      <c r="Z1719" s="207"/>
      <c r="AA1719" s="284"/>
      <c r="AB1719" s="284"/>
      <c r="AC1719" s="284"/>
      <c r="AD1719" s="284"/>
      <c r="AE1719" s="284"/>
      <c r="AF1719" s="284"/>
      <c r="AG1719" s="284"/>
      <c r="AI1719" s="284"/>
    </row>
    <row r="1720" spans="1:35" ht="26.4">
      <c r="A1720" s="284"/>
      <c r="B1720" s="284"/>
      <c r="C1720" s="284"/>
      <c r="D1720" s="284"/>
      <c r="E1720" s="284"/>
      <c r="F1720" s="284"/>
      <c r="G1720" s="284"/>
      <c r="H1720" s="284"/>
      <c r="I1720" s="284"/>
      <c r="J1720" s="375"/>
      <c r="K1720" s="375"/>
      <c r="L1720" s="375"/>
      <c r="M1720" s="368"/>
      <c r="N1720" s="368"/>
      <c r="O1720" s="370"/>
      <c r="T1720" s="340"/>
      <c r="V1720" s="378"/>
      <c r="W1720" s="64" ph="1"/>
      <c r="X1720" s="241"/>
      <c r="Y1720" s="284"/>
      <c r="Z1720" s="207"/>
      <c r="AA1720" s="284"/>
      <c r="AB1720" s="284"/>
      <c r="AC1720" s="284"/>
      <c r="AD1720" s="284"/>
      <c r="AE1720" s="284"/>
      <c r="AF1720" s="284"/>
      <c r="AG1720" s="284"/>
      <c r="AI1720" s="131"/>
    </row>
    <row r="1721" spans="1:35" ht="26.4">
      <c r="A1721" s="284"/>
      <c r="B1721" s="284"/>
      <c r="C1721" s="284"/>
      <c r="D1721" s="284"/>
      <c r="E1721" s="284"/>
      <c r="F1721" s="284"/>
      <c r="G1721" s="284"/>
      <c r="H1721" s="284"/>
      <c r="I1721" s="284"/>
      <c r="J1721" s="375"/>
      <c r="K1721" s="375"/>
      <c r="L1721" s="375"/>
      <c r="M1721" s="368"/>
      <c r="N1721" s="368"/>
      <c r="O1721" s="370"/>
      <c r="T1721" s="340"/>
      <c r="V1721" s="378"/>
      <c r="W1721" s="64" ph="1"/>
      <c r="X1721" s="241"/>
      <c r="Y1721" s="284"/>
      <c r="Z1721" s="207"/>
      <c r="AA1721" s="284"/>
      <c r="AB1721" s="284"/>
      <c r="AC1721" s="284"/>
      <c r="AD1721" s="284"/>
      <c r="AE1721" s="284"/>
      <c r="AF1721" s="284"/>
      <c r="AG1721" s="284"/>
      <c r="AI1721" s="131"/>
    </row>
    <row r="1722" spans="1:35" ht="26.4">
      <c r="A1722" s="284"/>
      <c r="B1722" s="284"/>
      <c r="C1722" s="284"/>
      <c r="D1722" s="284"/>
      <c r="E1722" s="284"/>
      <c r="F1722" s="284"/>
      <c r="G1722" s="284"/>
      <c r="H1722" s="284"/>
      <c r="I1722" s="284"/>
      <c r="J1722" s="375"/>
      <c r="K1722" s="375"/>
      <c r="L1722" s="375"/>
      <c r="M1722" s="368"/>
      <c r="N1722" s="368"/>
      <c r="O1722" s="370"/>
      <c r="T1722" s="340"/>
      <c r="V1722" s="378"/>
      <c r="W1722" s="64" ph="1"/>
      <c r="X1722" s="241"/>
      <c r="Y1722" s="284"/>
      <c r="Z1722" s="207"/>
      <c r="AA1722" s="284"/>
      <c r="AB1722" s="284"/>
      <c r="AC1722" s="284"/>
      <c r="AD1722" s="284"/>
      <c r="AE1722" s="284"/>
      <c r="AF1722" s="284"/>
      <c r="AG1722" s="284"/>
      <c r="AI1722" s="131"/>
    </row>
    <row r="1723" spans="1:35" ht="26.4">
      <c r="A1723" s="284"/>
      <c r="B1723" s="284"/>
      <c r="C1723" s="284"/>
      <c r="D1723" s="284"/>
      <c r="E1723" s="284"/>
      <c r="F1723" s="284"/>
      <c r="G1723" s="284"/>
      <c r="H1723" s="284"/>
      <c r="I1723" s="284"/>
      <c r="J1723" s="375"/>
      <c r="K1723" s="375"/>
      <c r="L1723" s="375"/>
      <c r="M1723" s="368"/>
      <c r="N1723" s="368"/>
      <c r="O1723" s="370"/>
      <c r="T1723" s="340"/>
      <c r="V1723" s="378"/>
      <c r="W1723" s="64" ph="1"/>
      <c r="X1723" s="241"/>
      <c r="Y1723" s="284"/>
      <c r="Z1723" s="207"/>
      <c r="AA1723" s="284"/>
      <c r="AB1723" s="284"/>
      <c r="AC1723" s="284"/>
      <c r="AD1723" s="284"/>
      <c r="AE1723" s="284"/>
      <c r="AF1723" s="284"/>
      <c r="AG1723" s="284"/>
      <c r="AI1723" s="131"/>
    </row>
    <row r="1724" spans="1:35" ht="26.4">
      <c r="A1724" s="284"/>
      <c r="B1724" s="284"/>
      <c r="C1724" s="284"/>
      <c r="D1724" s="284"/>
      <c r="E1724" s="284"/>
      <c r="F1724" s="284"/>
      <c r="G1724" s="284"/>
      <c r="H1724" s="284"/>
      <c r="I1724" s="284"/>
      <c r="J1724" s="375"/>
      <c r="K1724" s="375"/>
      <c r="L1724" s="375"/>
      <c r="M1724" s="368"/>
      <c r="N1724" s="368"/>
      <c r="O1724" s="370"/>
      <c r="T1724" s="340"/>
      <c r="V1724" s="378"/>
      <c r="W1724" s="64" ph="1"/>
      <c r="X1724" s="241"/>
      <c r="Y1724" s="284"/>
      <c r="Z1724" s="207"/>
      <c r="AA1724" s="284"/>
      <c r="AB1724" s="284"/>
      <c r="AC1724" s="284"/>
      <c r="AD1724" s="284"/>
      <c r="AE1724" s="284"/>
      <c r="AF1724" s="284"/>
      <c r="AG1724" s="284"/>
      <c r="AI1724" s="131"/>
    </row>
    <row r="1725" spans="1:35" ht="26.4">
      <c r="A1725" s="284"/>
      <c r="B1725" s="284"/>
      <c r="C1725" s="284"/>
      <c r="D1725" s="284"/>
      <c r="E1725" s="284"/>
      <c r="F1725" s="284"/>
      <c r="G1725" s="284"/>
      <c r="H1725" s="284"/>
      <c r="I1725" s="284"/>
      <c r="J1725" s="375"/>
      <c r="K1725" s="375"/>
      <c r="L1725" s="375"/>
      <c r="M1725" s="368"/>
      <c r="N1725" s="368"/>
      <c r="O1725" s="370"/>
      <c r="T1725" s="340"/>
      <c r="V1725" s="378"/>
      <c r="W1725" s="64" ph="1"/>
      <c r="X1725" s="241"/>
      <c r="Y1725" s="284"/>
      <c r="Z1725" s="207"/>
      <c r="AA1725" s="284"/>
      <c r="AB1725" s="284"/>
      <c r="AC1725" s="284"/>
      <c r="AD1725" s="284"/>
      <c r="AE1725" s="284"/>
      <c r="AF1725" s="284"/>
      <c r="AG1725" s="284"/>
      <c r="AI1725" s="131"/>
    </row>
    <row r="1726" spans="1:35" ht="26.4">
      <c r="A1726" s="284"/>
      <c r="B1726" s="284"/>
      <c r="C1726" s="284"/>
      <c r="D1726" s="284"/>
      <c r="E1726" s="284"/>
      <c r="F1726" s="284"/>
      <c r="G1726" s="284"/>
      <c r="H1726" s="284"/>
      <c r="I1726" s="284"/>
      <c r="J1726" s="375"/>
      <c r="K1726" s="375"/>
      <c r="L1726" s="375"/>
      <c r="M1726" s="368"/>
      <c r="N1726" s="368"/>
      <c r="O1726" s="370"/>
      <c r="T1726" s="340"/>
      <c r="V1726" s="378"/>
      <c r="W1726" s="64" ph="1"/>
      <c r="X1726" s="241"/>
      <c r="Y1726" s="284"/>
      <c r="Z1726" s="207"/>
      <c r="AA1726" s="284"/>
      <c r="AB1726" s="284"/>
      <c r="AC1726" s="284"/>
      <c r="AD1726" s="284"/>
      <c r="AE1726" s="284"/>
      <c r="AF1726" s="284"/>
      <c r="AG1726" s="284"/>
      <c r="AI1726" s="131"/>
    </row>
    <row r="1727" spans="1:35" ht="26.4">
      <c r="A1727" s="284"/>
      <c r="B1727" s="284"/>
      <c r="C1727" s="284"/>
      <c r="D1727" s="284"/>
      <c r="E1727" s="284"/>
      <c r="F1727" s="284"/>
      <c r="G1727" s="284"/>
      <c r="H1727" s="284"/>
      <c r="I1727" s="284"/>
      <c r="J1727" s="375"/>
      <c r="K1727" s="375"/>
      <c r="L1727" s="375"/>
      <c r="M1727" s="368"/>
      <c r="N1727" s="368"/>
      <c r="O1727" s="370"/>
      <c r="T1727" s="340"/>
      <c r="V1727" s="378"/>
      <c r="W1727" s="64" ph="1"/>
      <c r="X1727" s="241"/>
      <c r="Y1727" s="284"/>
      <c r="Z1727" s="207"/>
      <c r="AA1727" s="284"/>
      <c r="AB1727" s="284"/>
      <c r="AC1727" s="284"/>
      <c r="AD1727" s="284"/>
      <c r="AE1727" s="284"/>
      <c r="AF1727" s="284"/>
      <c r="AG1727" s="284"/>
      <c r="AI1727" s="131"/>
    </row>
    <row r="1728" spans="1:35" ht="26.4">
      <c r="A1728" s="284"/>
      <c r="B1728" s="284"/>
      <c r="C1728" s="284"/>
      <c r="D1728" s="284"/>
      <c r="E1728" s="284"/>
      <c r="F1728" s="284"/>
      <c r="G1728" s="284"/>
      <c r="H1728" s="284"/>
      <c r="I1728" s="284"/>
      <c r="J1728" s="375"/>
      <c r="K1728" s="375"/>
      <c r="L1728" s="375"/>
      <c r="M1728" s="368"/>
      <c r="N1728" s="368"/>
      <c r="O1728" s="370"/>
      <c r="T1728" s="340"/>
      <c r="V1728" s="378"/>
      <c r="W1728" s="64" ph="1"/>
      <c r="X1728" s="241"/>
      <c r="Y1728" s="284"/>
      <c r="Z1728" s="207"/>
      <c r="AA1728" s="284"/>
      <c r="AB1728" s="284"/>
      <c r="AC1728" s="284"/>
      <c r="AD1728" s="284"/>
      <c r="AE1728" s="284"/>
      <c r="AF1728" s="284"/>
      <c r="AG1728" s="284"/>
      <c r="AI1728" s="131"/>
    </row>
    <row r="1729" spans="1:35" ht="26.4">
      <c r="A1729" s="284"/>
      <c r="B1729" s="284"/>
      <c r="C1729" s="284"/>
      <c r="D1729" s="284"/>
      <c r="E1729" s="284"/>
      <c r="F1729" s="284"/>
      <c r="G1729" s="284"/>
      <c r="H1729" s="284"/>
      <c r="I1729" s="284"/>
      <c r="J1729" s="375"/>
      <c r="K1729" s="375"/>
      <c r="L1729" s="375"/>
      <c r="M1729" s="368"/>
      <c r="N1729" s="368"/>
      <c r="O1729" s="370"/>
      <c r="T1729" s="340"/>
      <c r="V1729" s="378"/>
      <c r="W1729" s="64" ph="1"/>
      <c r="X1729" s="241"/>
      <c r="Y1729" s="284"/>
      <c r="Z1729" s="207"/>
      <c r="AA1729" s="284"/>
      <c r="AB1729" s="284"/>
      <c r="AC1729" s="284"/>
      <c r="AD1729" s="284"/>
      <c r="AE1729" s="284"/>
      <c r="AF1729" s="284"/>
      <c r="AG1729" s="284"/>
      <c r="AI1729" s="131"/>
    </row>
    <row r="1730" spans="1:35" ht="26.4">
      <c r="A1730" s="284"/>
      <c r="B1730" s="284"/>
      <c r="C1730" s="284"/>
      <c r="D1730" s="284"/>
      <c r="E1730" s="284"/>
      <c r="F1730" s="284"/>
      <c r="G1730" s="284"/>
      <c r="H1730" s="284"/>
      <c r="I1730" s="284"/>
      <c r="J1730" s="375"/>
      <c r="K1730" s="375"/>
      <c r="L1730" s="375"/>
      <c r="M1730" s="368"/>
      <c r="N1730" s="368"/>
      <c r="O1730" s="370"/>
      <c r="T1730" s="340"/>
      <c r="V1730" s="378"/>
      <c r="W1730" s="64" ph="1"/>
      <c r="X1730" s="241"/>
      <c r="Y1730" s="284"/>
      <c r="Z1730" s="207"/>
      <c r="AA1730" s="284"/>
      <c r="AB1730" s="284"/>
      <c r="AC1730" s="284"/>
      <c r="AD1730" s="284"/>
      <c r="AE1730" s="284"/>
      <c r="AF1730" s="284"/>
      <c r="AG1730" s="284"/>
      <c r="AI1730" s="131"/>
    </row>
    <row r="1731" spans="1:35" ht="26.4">
      <c r="A1731" s="284"/>
      <c r="B1731" s="284"/>
      <c r="C1731" s="284"/>
      <c r="D1731" s="284"/>
      <c r="E1731" s="284"/>
      <c r="F1731" s="284"/>
      <c r="G1731" s="284"/>
      <c r="H1731" s="284"/>
      <c r="I1731" s="284"/>
      <c r="J1731" s="375"/>
      <c r="K1731" s="375"/>
      <c r="L1731" s="375"/>
      <c r="M1731" s="368"/>
      <c r="N1731" s="368"/>
      <c r="O1731" s="370"/>
      <c r="T1731" s="340"/>
      <c r="V1731" s="378"/>
      <c r="W1731" s="64" ph="1"/>
      <c r="X1731" s="241"/>
      <c r="Y1731" s="284"/>
      <c r="Z1731" s="207"/>
      <c r="AA1731" s="284"/>
      <c r="AB1731" s="284"/>
      <c r="AC1731" s="284"/>
      <c r="AD1731" s="284"/>
      <c r="AE1731" s="284"/>
      <c r="AF1731" s="284"/>
      <c r="AG1731" s="284"/>
      <c r="AI1731" s="131"/>
    </row>
    <row r="1732" spans="1:35" ht="26.4">
      <c r="A1732" s="284"/>
      <c r="B1732" s="284"/>
      <c r="C1732" s="284"/>
      <c r="D1732" s="284"/>
      <c r="E1732" s="284"/>
      <c r="F1732" s="284"/>
      <c r="G1732" s="284"/>
      <c r="H1732" s="284"/>
      <c r="I1732" s="284"/>
      <c r="J1732" s="375"/>
      <c r="K1732" s="375"/>
      <c r="L1732" s="375"/>
      <c r="M1732" s="368"/>
      <c r="N1732" s="368"/>
      <c r="O1732" s="370"/>
      <c r="T1732" s="340"/>
      <c r="V1732" s="378"/>
      <c r="W1732" s="64" ph="1"/>
      <c r="X1732" s="241"/>
      <c r="Y1732" s="284"/>
      <c r="Z1732" s="207"/>
      <c r="AA1732" s="284"/>
      <c r="AB1732" s="284"/>
      <c r="AC1732" s="284"/>
      <c r="AD1732" s="284"/>
      <c r="AE1732" s="284"/>
      <c r="AF1732" s="284"/>
      <c r="AG1732" s="284"/>
      <c r="AI1732" s="131"/>
    </row>
    <row r="1733" spans="1:35" ht="26.4">
      <c r="A1733" s="284"/>
      <c r="B1733" s="284"/>
      <c r="C1733" s="284"/>
      <c r="D1733" s="284"/>
      <c r="E1733" s="284"/>
      <c r="F1733" s="284"/>
      <c r="G1733" s="284"/>
      <c r="H1733" s="284"/>
      <c r="I1733" s="284"/>
      <c r="J1733" s="375"/>
      <c r="K1733" s="375"/>
      <c r="L1733" s="375"/>
      <c r="M1733" s="368"/>
      <c r="N1733" s="368"/>
      <c r="O1733" s="370"/>
      <c r="T1733" s="340"/>
      <c r="V1733" s="378"/>
      <c r="W1733" s="64" ph="1"/>
      <c r="X1733" s="241"/>
      <c r="Y1733" s="284"/>
      <c r="Z1733" s="207"/>
      <c r="AA1733" s="284"/>
      <c r="AB1733" s="284"/>
      <c r="AC1733" s="284"/>
      <c r="AD1733" s="284"/>
      <c r="AE1733" s="284"/>
      <c r="AF1733" s="284"/>
      <c r="AG1733" s="284"/>
      <c r="AI1733" s="131"/>
    </row>
    <row r="1734" spans="1:35" ht="26.4">
      <c r="A1734" s="284"/>
      <c r="B1734" s="284"/>
      <c r="C1734" s="284"/>
      <c r="D1734" s="284"/>
      <c r="E1734" s="284"/>
      <c r="F1734" s="284"/>
      <c r="G1734" s="284"/>
      <c r="H1734" s="284"/>
      <c r="I1734" s="284"/>
      <c r="J1734" s="375"/>
      <c r="K1734" s="375"/>
      <c r="L1734" s="375"/>
      <c r="M1734" s="368"/>
      <c r="N1734" s="368"/>
      <c r="O1734" s="370"/>
      <c r="T1734" s="340"/>
      <c r="V1734" s="378"/>
      <c r="W1734" s="64" ph="1"/>
      <c r="X1734" s="241"/>
      <c r="Y1734" s="284"/>
      <c r="Z1734" s="207"/>
      <c r="AA1734" s="284"/>
      <c r="AB1734" s="284"/>
      <c r="AC1734" s="284"/>
      <c r="AD1734" s="284"/>
      <c r="AE1734" s="284"/>
      <c r="AF1734" s="284"/>
      <c r="AG1734" s="284"/>
      <c r="AI1734" s="131"/>
    </row>
    <row r="1735" spans="1:35" ht="26.4">
      <c r="A1735" s="284"/>
      <c r="B1735" s="284"/>
      <c r="C1735" s="284"/>
      <c r="D1735" s="284"/>
      <c r="E1735" s="284"/>
      <c r="F1735" s="284"/>
      <c r="G1735" s="284"/>
      <c r="H1735" s="284"/>
      <c r="I1735" s="284"/>
      <c r="J1735" s="375"/>
      <c r="K1735" s="375"/>
      <c r="L1735" s="375"/>
      <c r="M1735" s="368"/>
      <c r="N1735" s="368"/>
      <c r="O1735" s="370"/>
      <c r="T1735" s="340"/>
      <c r="V1735" s="378"/>
      <c r="W1735" s="64" ph="1"/>
      <c r="X1735" s="241"/>
      <c r="Y1735" s="284"/>
      <c r="Z1735" s="207"/>
      <c r="AA1735" s="284"/>
      <c r="AB1735" s="284"/>
      <c r="AC1735" s="284"/>
      <c r="AD1735" s="284"/>
      <c r="AE1735" s="284"/>
      <c r="AF1735" s="284"/>
      <c r="AG1735" s="284"/>
      <c r="AI1735" s="131"/>
    </row>
    <row r="1736" spans="1:35" ht="26.4">
      <c r="A1736" s="284"/>
      <c r="B1736" s="284"/>
      <c r="C1736" s="284"/>
      <c r="D1736" s="284"/>
      <c r="E1736" s="284"/>
      <c r="F1736" s="284"/>
      <c r="G1736" s="284"/>
      <c r="H1736" s="284"/>
      <c r="I1736" s="284"/>
      <c r="J1736" s="375"/>
      <c r="K1736" s="375"/>
      <c r="L1736" s="375"/>
      <c r="M1736" s="368"/>
      <c r="N1736" s="368"/>
      <c r="O1736" s="370"/>
      <c r="T1736" s="340"/>
      <c r="V1736" s="378"/>
      <c r="W1736" s="64" ph="1"/>
      <c r="X1736" s="241"/>
      <c r="Y1736" s="284"/>
      <c r="Z1736" s="207"/>
      <c r="AA1736" s="284"/>
      <c r="AB1736" s="284"/>
      <c r="AC1736" s="284"/>
      <c r="AD1736" s="284"/>
      <c r="AE1736" s="284"/>
      <c r="AF1736" s="284"/>
      <c r="AG1736" s="284"/>
      <c r="AI1736" s="131"/>
    </row>
    <row r="1737" spans="1:35" ht="26.4">
      <c r="A1737" s="284"/>
      <c r="B1737" s="284"/>
      <c r="C1737" s="284"/>
      <c r="D1737" s="284"/>
      <c r="E1737" s="284"/>
      <c r="F1737" s="284"/>
      <c r="G1737" s="284"/>
      <c r="H1737" s="284"/>
      <c r="I1737" s="284"/>
      <c r="J1737" s="375"/>
      <c r="K1737" s="375"/>
      <c r="L1737" s="375"/>
      <c r="M1737" s="368"/>
      <c r="N1737" s="368"/>
      <c r="O1737" s="370"/>
      <c r="T1737" s="340"/>
      <c r="V1737" s="378"/>
      <c r="W1737" s="64" ph="1"/>
      <c r="X1737" s="241"/>
      <c r="Y1737" s="284"/>
      <c r="Z1737" s="207"/>
      <c r="AA1737" s="284"/>
      <c r="AB1737" s="284"/>
      <c r="AC1737" s="284"/>
      <c r="AD1737" s="284"/>
      <c r="AE1737" s="284"/>
      <c r="AF1737" s="284"/>
      <c r="AG1737" s="284"/>
      <c r="AI1737" s="131"/>
    </row>
    <row r="1738" spans="1:35" ht="26.4">
      <c r="A1738" s="284"/>
      <c r="B1738" s="284"/>
      <c r="C1738" s="284"/>
      <c r="D1738" s="284"/>
      <c r="E1738" s="284"/>
      <c r="F1738" s="284"/>
      <c r="G1738" s="284"/>
      <c r="H1738" s="284"/>
      <c r="I1738" s="284"/>
      <c r="J1738" s="375"/>
      <c r="K1738" s="375"/>
      <c r="L1738" s="375"/>
      <c r="M1738" s="368"/>
      <c r="N1738" s="368"/>
      <c r="O1738" s="370"/>
      <c r="T1738" s="340"/>
      <c r="V1738" s="378"/>
      <c r="W1738" s="64" ph="1"/>
      <c r="X1738" s="241"/>
      <c r="Y1738" s="284"/>
      <c r="Z1738" s="207"/>
      <c r="AA1738" s="284"/>
      <c r="AB1738" s="284"/>
      <c r="AC1738" s="284"/>
      <c r="AD1738" s="284"/>
      <c r="AE1738" s="284"/>
      <c r="AF1738" s="284"/>
      <c r="AG1738" s="284"/>
      <c r="AI1738" s="131"/>
    </row>
    <row r="1739" spans="1:35" ht="26.4">
      <c r="A1739" s="284"/>
      <c r="B1739" s="284"/>
      <c r="C1739" s="284"/>
      <c r="D1739" s="284"/>
      <c r="E1739" s="284"/>
      <c r="F1739" s="284"/>
      <c r="G1739" s="284"/>
      <c r="H1739" s="284"/>
      <c r="I1739" s="284"/>
      <c r="J1739" s="375"/>
      <c r="K1739" s="375"/>
      <c r="L1739" s="375"/>
      <c r="M1739" s="368"/>
      <c r="N1739" s="368"/>
      <c r="O1739" s="370"/>
      <c r="T1739" s="340"/>
      <c r="V1739" s="378"/>
      <c r="W1739" s="64" ph="1"/>
      <c r="X1739" s="241"/>
      <c r="Y1739" s="284"/>
      <c r="Z1739" s="207"/>
      <c r="AA1739" s="284"/>
      <c r="AB1739" s="284"/>
      <c r="AC1739" s="284"/>
      <c r="AD1739" s="284"/>
      <c r="AE1739" s="284"/>
      <c r="AF1739" s="284"/>
      <c r="AG1739" s="284"/>
      <c r="AI1739" s="131"/>
    </row>
    <row r="1740" spans="1:35" ht="26.4">
      <c r="A1740" s="284"/>
      <c r="B1740" s="284"/>
      <c r="C1740" s="284"/>
      <c r="D1740" s="284"/>
      <c r="E1740" s="284"/>
      <c r="F1740" s="284"/>
      <c r="G1740" s="284"/>
      <c r="H1740" s="284"/>
      <c r="I1740" s="284"/>
      <c r="J1740" s="375"/>
      <c r="K1740" s="375"/>
      <c r="L1740" s="375"/>
      <c r="M1740" s="368"/>
      <c r="N1740" s="368"/>
      <c r="O1740" s="370"/>
      <c r="T1740" s="340"/>
      <c r="V1740" s="378"/>
      <c r="W1740" s="64" ph="1"/>
      <c r="X1740" s="241"/>
      <c r="Y1740" s="284"/>
      <c r="Z1740" s="207"/>
      <c r="AA1740" s="284"/>
      <c r="AB1740" s="284"/>
      <c r="AC1740" s="284"/>
      <c r="AD1740" s="284"/>
      <c r="AE1740" s="284"/>
      <c r="AF1740" s="284"/>
      <c r="AG1740" s="284"/>
      <c r="AI1740" s="131"/>
    </row>
    <row r="1741" spans="1:35" ht="26.4">
      <c r="A1741" s="284"/>
      <c r="B1741" s="284"/>
      <c r="C1741" s="284"/>
      <c r="D1741" s="284"/>
      <c r="E1741" s="284"/>
      <c r="F1741" s="284"/>
      <c r="G1741" s="284"/>
      <c r="H1741" s="284"/>
      <c r="I1741" s="284"/>
      <c r="J1741" s="375"/>
      <c r="K1741" s="375"/>
      <c r="L1741" s="375"/>
      <c r="M1741" s="368"/>
      <c r="N1741" s="368"/>
      <c r="O1741" s="370"/>
      <c r="T1741" s="340"/>
      <c r="V1741" s="378"/>
      <c r="W1741" s="64" ph="1"/>
      <c r="X1741" s="241"/>
      <c r="Y1741" s="284"/>
      <c r="Z1741" s="207"/>
      <c r="AA1741" s="284"/>
      <c r="AB1741" s="284"/>
      <c r="AC1741" s="284"/>
      <c r="AD1741" s="284"/>
      <c r="AE1741" s="284"/>
      <c r="AF1741" s="284"/>
      <c r="AG1741" s="284"/>
      <c r="AI1741" s="131"/>
    </row>
    <row r="1742" spans="1:35" ht="26.4">
      <c r="A1742" s="284"/>
      <c r="B1742" s="284"/>
      <c r="C1742" s="284"/>
      <c r="D1742" s="284"/>
      <c r="E1742" s="284"/>
      <c r="F1742" s="284"/>
      <c r="G1742" s="284"/>
      <c r="H1742" s="284"/>
      <c r="I1742" s="284"/>
      <c r="J1742" s="375"/>
      <c r="K1742" s="375"/>
      <c r="L1742" s="375"/>
      <c r="M1742" s="368"/>
      <c r="N1742" s="368"/>
      <c r="O1742" s="370"/>
      <c r="T1742" s="340"/>
      <c r="V1742" s="378"/>
      <c r="W1742" s="64" ph="1"/>
      <c r="X1742" s="241"/>
      <c r="Y1742" s="284"/>
      <c r="Z1742" s="207"/>
      <c r="AA1742" s="284"/>
      <c r="AB1742" s="284"/>
      <c r="AC1742" s="284"/>
      <c r="AD1742" s="284"/>
      <c r="AE1742" s="284"/>
      <c r="AF1742" s="284"/>
      <c r="AG1742" s="284"/>
      <c r="AI1742" s="131"/>
    </row>
    <row r="1743" spans="1:35" ht="26.4">
      <c r="A1743" s="284"/>
      <c r="B1743" s="284"/>
      <c r="C1743" s="284"/>
      <c r="D1743" s="284"/>
      <c r="E1743" s="284"/>
      <c r="F1743" s="284"/>
      <c r="G1743" s="284"/>
      <c r="H1743" s="284"/>
      <c r="I1743" s="284"/>
      <c r="J1743" s="375"/>
      <c r="K1743" s="375"/>
      <c r="L1743" s="375"/>
      <c r="M1743" s="368"/>
      <c r="N1743" s="368"/>
      <c r="O1743" s="370"/>
      <c r="T1743" s="340"/>
      <c r="V1743" s="378"/>
      <c r="W1743" s="64" ph="1"/>
      <c r="X1743" s="241"/>
      <c r="Y1743" s="284"/>
      <c r="Z1743" s="207"/>
      <c r="AA1743" s="284"/>
      <c r="AB1743" s="284"/>
      <c r="AC1743" s="284"/>
      <c r="AD1743" s="284"/>
      <c r="AE1743" s="284"/>
      <c r="AF1743" s="284"/>
      <c r="AG1743" s="284"/>
      <c r="AI1743" s="131"/>
    </row>
    <row r="1744" spans="1:35" ht="26.4">
      <c r="A1744" s="284"/>
      <c r="B1744" s="284"/>
      <c r="C1744" s="284"/>
      <c r="D1744" s="284"/>
      <c r="E1744" s="284"/>
      <c r="F1744" s="284"/>
      <c r="G1744" s="284"/>
      <c r="H1744" s="284"/>
      <c r="I1744" s="284"/>
      <c r="J1744" s="375"/>
      <c r="K1744" s="375"/>
      <c r="L1744" s="375"/>
      <c r="M1744" s="368"/>
      <c r="N1744" s="368"/>
      <c r="O1744" s="370"/>
      <c r="T1744" s="340"/>
      <c r="V1744" s="378"/>
      <c r="W1744" s="64" ph="1"/>
      <c r="X1744" s="241"/>
      <c r="Y1744" s="284"/>
      <c r="Z1744" s="207"/>
      <c r="AA1744" s="284"/>
      <c r="AB1744" s="284"/>
      <c r="AC1744" s="284"/>
      <c r="AD1744" s="284"/>
      <c r="AE1744" s="284"/>
      <c r="AF1744" s="284"/>
      <c r="AG1744" s="284"/>
      <c r="AI1744" s="131"/>
    </row>
    <row r="1745" spans="1:35" ht="26.4">
      <c r="A1745" s="284"/>
      <c r="B1745" s="284"/>
      <c r="C1745" s="284"/>
      <c r="D1745" s="284"/>
      <c r="E1745" s="284"/>
      <c r="F1745" s="284"/>
      <c r="G1745" s="284"/>
      <c r="H1745" s="284"/>
      <c r="I1745" s="284"/>
      <c r="J1745" s="375"/>
      <c r="K1745" s="375"/>
      <c r="L1745" s="375"/>
      <c r="M1745" s="368"/>
      <c r="N1745" s="368"/>
      <c r="O1745" s="370"/>
      <c r="T1745" s="340"/>
      <c r="V1745" s="378"/>
      <c r="W1745" s="64" ph="1"/>
      <c r="X1745" s="241"/>
      <c r="Y1745" s="284"/>
      <c r="Z1745" s="207"/>
      <c r="AA1745" s="284"/>
      <c r="AB1745" s="284"/>
      <c r="AC1745" s="284"/>
      <c r="AD1745" s="284"/>
      <c r="AE1745" s="284"/>
      <c r="AF1745" s="284"/>
      <c r="AG1745" s="284"/>
      <c r="AI1745" s="131"/>
    </row>
    <row r="1746" spans="1:35" ht="26.4">
      <c r="A1746" s="284"/>
      <c r="B1746" s="284"/>
      <c r="C1746" s="284"/>
      <c r="D1746" s="284"/>
      <c r="E1746" s="284"/>
      <c r="F1746" s="284"/>
      <c r="G1746" s="284"/>
      <c r="H1746" s="284"/>
      <c r="I1746" s="284"/>
      <c r="J1746" s="375"/>
      <c r="K1746" s="375"/>
      <c r="L1746" s="375"/>
      <c r="M1746" s="368"/>
      <c r="N1746" s="368"/>
      <c r="O1746" s="370"/>
      <c r="T1746" s="340"/>
      <c r="V1746" s="378"/>
      <c r="W1746" s="64" ph="1"/>
      <c r="X1746" s="241"/>
      <c r="Y1746" s="284"/>
      <c r="Z1746" s="207"/>
      <c r="AA1746" s="284"/>
      <c r="AB1746" s="284"/>
      <c r="AC1746" s="284"/>
      <c r="AD1746" s="284"/>
      <c r="AE1746" s="284"/>
      <c r="AF1746" s="284"/>
      <c r="AG1746" s="284"/>
      <c r="AI1746" s="131"/>
    </row>
    <row r="1747" spans="1:35" ht="26.4">
      <c r="A1747" s="284"/>
      <c r="B1747" s="284"/>
      <c r="C1747" s="284"/>
      <c r="D1747" s="284"/>
      <c r="E1747" s="284"/>
      <c r="F1747" s="284"/>
      <c r="G1747" s="284"/>
      <c r="H1747" s="284"/>
      <c r="I1747" s="284"/>
      <c r="J1747" s="375"/>
      <c r="K1747" s="375"/>
      <c r="L1747" s="375"/>
      <c r="M1747" s="368"/>
      <c r="N1747" s="368"/>
      <c r="O1747" s="370"/>
      <c r="T1747" s="340"/>
      <c r="V1747" s="378"/>
      <c r="W1747" s="64" ph="1"/>
      <c r="X1747" s="241"/>
      <c r="Y1747" s="284"/>
      <c r="Z1747" s="207"/>
      <c r="AA1747" s="284"/>
      <c r="AB1747" s="284"/>
      <c r="AC1747" s="284"/>
      <c r="AD1747" s="284"/>
      <c r="AE1747" s="284"/>
      <c r="AF1747" s="284"/>
      <c r="AG1747" s="284"/>
      <c r="AI1747" s="131"/>
    </row>
    <row r="1748" spans="1:35" ht="26.4">
      <c r="A1748" s="284"/>
      <c r="B1748" s="284"/>
      <c r="C1748" s="284"/>
      <c r="D1748" s="284"/>
      <c r="E1748" s="284"/>
      <c r="F1748" s="284"/>
      <c r="G1748" s="284"/>
      <c r="H1748" s="284"/>
      <c r="I1748" s="284"/>
      <c r="J1748" s="375"/>
      <c r="K1748" s="375"/>
      <c r="L1748" s="375"/>
      <c r="M1748" s="368"/>
      <c r="N1748" s="368"/>
      <c r="O1748" s="370"/>
      <c r="T1748" s="340"/>
      <c r="V1748" s="378"/>
      <c r="W1748" s="64" ph="1"/>
      <c r="X1748" s="241"/>
      <c r="Y1748" s="284"/>
      <c r="Z1748" s="207"/>
      <c r="AA1748" s="284"/>
      <c r="AB1748" s="284"/>
      <c r="AC1748" s="284"/>
      <c r="AD1748" s="284"/>
      <c r="AE1748" s="284"/>
      <c r="AF1748" s="284"/>
      <c r="AG1748" s="284"/>
      <c r="AI1748" s="131"/>
    </row>
    <row r="1749" spans="1:35" ht="26.4">
      <c r="A1749" s="284"/>
      <c r="B1749" s="284"/>
      <c r="C1749" s="284"/>
      <c r="D1749" s="284"/>
      <c r="E1749" s="284"/>
      <c r="F1749" s="284"/>
      <c r="G1749" s="284"/>
      <c r="H1749" s="284"/>
      <c r="I1749" s="284"/>
      <c r="J1749" s="375"/>
      <c r="K1749" s="375"/>
      <c r="L1749" s="375"/>
      <c r="M1749" s="368"/>
      <c r="N1749" s="368"/>
      <c r="O1749" s="370"/>
      <c r="T1749" s="340"/>
      <c r="V1749" s="378"/>
      <c r="W1749" s="64" ph="1"/>
      <c r="X1749" s="241"/>
      <c r="Y1749" s="284"/>
      <c r="Z1749" s="207"/>
      <c r="AA1749" s="284"/>
      <c r="AB1749" s="284"/>
      <c r="AC1749" s="284"/>
      <c r="AD1749" s="284"/>
      <c r="AE1749" s="284"/>
      <c r="AF1749" s="284"/>
      <c r="AG1749" s="284"/>
      <c r="AI1749" s="131"/>
    </row>
    <row r="1750" spans="1:35" ht="26.4">
      <c r="A1750" s="284"/>
      <c r="B1750" s="284"/>
      <c r="C1750" s="284"/>
      <c r="D1750" s="284"/>
      <c r="E1750" s="284"/>
      <c r="F1750" s="284"/>
      <c r="G1750" s="284"/>
      <c r="H1750" s="284"/>
      <c r="I1750" s="284"/>
      <c r="J1750" s="375"/>
      <c r="K1750" s="375"/>
      <c r="L1750" s="375"/>
      <c r="M1750" s="368"/>
      <c r="N1750" s="368"/>
      <c r="O1750" s="370"/>
      <c r="T1750" s="340"/>
      <c r="V1750" s="378"/>
      <c r="W1750" s="64" ph="1"/>
      <c r="X1750" s="241"/>
      <c r="Y1750" s="284"/>
      <c r="Z1750" s="207"/>
      <c r="AA1750" s="284"/>
      <c r="AB1750" s="284"/>
      <c r="AC1750" s="284"/>
      <c r="AD1750" s="284"/>
      <c r="AE1750" s="284"/>
      <c r="AF1750" s="284"/>
      <c r="AG1750" s="284"/>
      <c r="AI1750" s="131"/>
    </row>
    <row r="1751" spans="1:35" ht="26.4">
      <c r="A1751" s="284"/>
      <c r="B1751" s="284"/>
      <c r="C1751" s="284"/>
      <c r="D1751" s="284"/>
      <c r="E1751" s="284"/>
      <c r="F1751" s="284"/>
      <c r="G1751" s="284"/>
      <c r="H1751" s="284"/>
      <c r="I1751" s="284"/>
      <c r="J1751" s="375"/>
      <c r="K1751" s="375"/>
      <c r="L1751" s="375"/>
      <c r="M1751" s="368"/>
      <c r="N1751" s="368"/>
      <c r="O1751" s="370"/>
      <c r="T1751" s="340"/>
      <c r="V1751" s="378"/>
      <c r="W1751" s="64" ph="1"/>
      <c r="X1751" s="241"/>
      <c r="Y1751" s="284"/>
      <c r="Z1751" s="207"/>
      <c r="AA1751" s="284"/>
      <c r="AB1751" s="284"/>
      <c r="AC1751" s="284"/>
      <c r="AD1751" s="284"/>
      <c r="AE1751" s="284"/>
      <c r="AF1751" s="284"/>
      <c r="AG1751" s="284"/>
      <c r="AI1751" s="131"/>
    </row>
    <row r="1752" spans="1:35" ht="26.4">
      <c r="A1752" s="284"/>
      <c r="B1752" s="284"/>
      <c r="C1752" s="284"/>
      <c r="D1752" s="284"/>
      <c r="E1752" s="284"/>
      <c r="F1752" s="284"/>
      <c r="G1752" s="284"/>
      <c r="H1752" s="284"/>
      <c r="I1752" s="284"/>
      <c r="J1752" s="375"/>
      <c r="K1752" s="375"/>
      <c r="L1752" s="375"/>
      <c r="M1752" s="368"/>
      <c r="N1752" s="368"/>
      <c r="O1752" s="370"/>
      <c r="T1752" s="340"/>
      <c r="V1752" s="378"/>
      <c r="W1752" s="64" ph="1"/>
      <c r="X1752" s="241"/>
      <c r="Y1752" s="284"/>
      <c r="Z1752" s="207"/>
      <c r="AA1752" s="284"/>
      <c r="AB1752" s="284"/>
      <c r="AC1752" s="284"/>
      <c r="AD1752" s="284"/>
      <c r="AE1752" s="284"/>
      <c r="AF1752" s="284"/>
      <c r="AG1752" s="284"/>
      <c r="AI1752" s="131"/>
    </row>
    <row r="1753" spans="1:35" ht="26.4">
      <c r="A1753" s="284"/>
      <c r="B1753" s="284"/>
      <c r="C1753" s="284"/>
      <c r="D1753" s="284"/>
      <c r="E1753" s="284"/>
      <c r="F1753" s="284"/>
      <c r="G1753" s="284"/>
      <c r="H1753" s="284"/>
      <c r="I1753" s="284"/>
      <c r="J1753" s="375"/>
      <c r="K1753" s="375"/>
      <c r="L1753" s="375"/>
      <c r="M1753" s="368"/>
      <c r="N1753" s="368"/>
      <c r="O1753" s="370"/>
      <c r="T1753" s="340"/>
      <c r="V1753" s="378"/>
      <c r="W1753" s="64" ph="1"/>
      <c r="X1753" s="241"/>
      <c r="Y1753" s="284"/>
      <c r="Z1753" s="207"/>
      <c r="AA1753" s="284"/>
      <c r="AB1753" s="284"/>
      <c r="AC1753" s="284"/>
      <c r="AD1753" s="284"/>
      <c r="AE1753" s="284"/>
      <c r="AF1753" s="284"/>
      <c r="AG1753" s="284"/>
      <c r="AI1753" s="131"/>
    </row>
    <row r="1754" spans="1:35" ht="26.4">
      <c r="A1754" s="284"/>
      <c r="B1754" s="284"/>
      <c r="C1754" s="284"/>
      <c r="D1754" s="284"/>
      <c r="E1754" s="284"/>
      <c r="F1754" s="284"/>
      <c r="G1754" s="284"/>
      <c r="H1754" s="284"/>
      <c r="I1754" s="284"/>
      <c r="J1754" s="375"/>
      <c r="K1754" s="375"/>
      <c r="L1754" s="375"/>
      <c r="M1754" s="368"/>
      <c r="N1754" s="368"/>
      <c r="O1754" s="370"/>
      <c r="T1754" s="340"/>
      <c r="V1754" s="378"/>
      <c r="W1754" s="64" ph="1"/>
      <c r="X1754" s="241"/>
      <c r="Y1754" s="284"/>
      <c r="Z1754" s="207"/>
      <c r="AA1754" s="284"/>
      <c r="AB1754" s="284"/>
      <c r="AC1754" s="284"/>
      <c r="AD1754" s="284"/>
      <c r="AE1754" s="284"/>
      <c r="AF1754" s="284"/>
      <c r="AG1754" s="284"/>
      <c r="AI1754" s="131"/>
    </row>
    <row r="1755" spans="1:35" ht="26.4">
      <c r="A1755" s="284"/>
      <c r="B1755" s="284"/>
      <c r="C1755" s="284"/>
      <c r="D1755" s="284"/>
      <c r="E1755" s="284"/>
      <c r="F1755" s="284"/>
      <c r="G1755" s="284"/>
      <c r="H1755" s="284"/>
      <c r="I1755" s="284"/>
      <c r="J1755" s="375"/>
      <c r="K1755" s="375"/>
      <c r="L1755" s="375"/>
      <c r="M1755" s="368"/>
      <c r="N1755" s="368"/>
      <c r="O1755" s="370"/>
      <c r="T1755" s="340"/>
      <c r="V1755" s="378"/>
      <c r="W1755" s="64" ph="1"/>
      <c r="X1755" s="241"/>
      <c r="Y1755" s="284"/>
      <c r="Z1755" s="207"/>
      <c r="AA1755" s="284"/>
      <c r="AB1755" s="284"/>
      <c r="AC1755" s="284"/>
      <c r="AD1755" s="284"/>
      <c r="AE1755" s="284"/>
      <c r="AF1755" s="284"/>
      <c r="AG1755" s="284"/>
      <c r="AI1755" s="131"/>
    </row>
    <row r="1756" spans="1:35" ht="26.4">
      <c r="A1756" s="284"/>
      <c r="B1756" s="284"/>
      <c r="C1756" s="284"/>
      <c r="D1756" s="284"/>
      <c r="E1756" s="284"/>
      <c r="F1756" s="284"/>
      <c r="G1756" s="284"/>
      <c r="H1756" s="284"/>
      <c r="I1756" s="284"/>
      <c r="J1756" s="375"/>
      <c r="K1756" s="375"/>
      <c r="L1756" s="375"/>
      <c r="M1756" s="368"/>
      <c r="N1756" s="368"/>
      <c r="O1756" s="370"/>
      <c r="T1756" s="340"/>
      <c r="V1756" s="378"/>
      <c r="W1756" s="64" ph="1"/>
      <c r="X1756" s="241"/>
      <c r="Y1756" s="284"/>
      <c r="Z1756" s="207"/>
      <c r="AA1756" s="284"/>
      <c r="AB1756" s="284"/>
      <c r="AC1756" s="284"/>
      <c r="AD1756" s="284"/>
      <c r="AE1756" s="284"/>
      <c r="AF1756" s="284"/>
      <c r="AG1756" s="284"/>
      <c r="AI1756" s="131"/>
    </row>
    <row r="1757" spans="1:35" ht="26.4">
      <c r="A1757" s="284"/>
      <c r="B1757" s="284"/>
      <c r="C1757" s="284"/>
      <c r="D1757" s="284"/>
      <c r="E1757" s="284"/>
      <c r="F1757" s="284"/>
      <c r="G1757" s="284"/>
      <c r="H1757" s="284"/>
      <c r="I1757" s="284"/>
      <c r="J1757" s="375"/>
      <c r="K1757" s="375"/>
      <c r="L1757" s="375"/>
      <c r="M1757" s="368"/>
      <c r="N1757" s="368"/>
      <c r="O1757" s="370"/>
      <c r="T1757" s="340"/>
      <c r="V1757" s="378"/>
      <c r="W1757" s="64" ph="1"/>
      <c r="X1757" s="241"/>
      <c r="Y1757" s="284"/>
      <c r="Z1757" s="207"/>
      <c r="AA1757" s="284"/>
      <c r="AB1757" s="284"/>
      <c r="AC1757" s="284"/>
      <c r="AD1757" s="284"/>
      <c r="AE1757" s="284"/>
      <c r="AF1757" s="284"/>
      <c r="AG1757" s="284"/>
      <c r="AI1757" s="131"/>
    </row>
    <row r="1758" spans="1:35" ht="26.4">
      <c r="A1758" s="284"/>
      <c r="B1758" s="284"/>
      <c r="C1758" s="284"/>
      <c r="D1758" s="284"/>
      <c r="E1758" s="284"/>
      <c r="F1758" s="284"/>
      <c r="G1758" s="284"/>
      <c r="H1758" s="284"/>
      <c r="I1758" s="284"/>
      <c r="J1758" s="375"/>
      <c r="K1758" s="375"/>
      <c r="L1758" s="375"/>
      <c r="M1758" s="368"/>
      <c r="N1758" s="368"/>
      <c r="O1758" s="370"/>
      <c r="T1758" s="340"/>
      <c r="V1758" s="378"/>
      <c r="W1758" s="64" ph="1"/>
      <c r="X1758" s="241"/>
      <c r="Y1758" s="284"/>
      <c r="Z1758" s="207"/>
      <c r="AA1758" s="284"/>
      <c r="AB1758" s="284"/>
      <c r="AC1758" s="284"/>
      <c r="AD1758" s="284"/>
      <c r="AE1758" s="284"/>
      <c r="AF1758" s="284"/>
      <c r="AG1758" s="284"/>
      <c r="AI1758" s="131"/>
    </row>
    <row r="1759" spans="1:35" ht="26.4">
      <c r="A1759" s="284"/>
      <c r="B1759" s="284"/>
      <c r="C1759" s="284"/>
      <c r="D1759" s="284"/>
      <c r="E1759" s="284"/>
      <c r="F1759" s="284"/>
      <c r="G1759" s="284"/>
      <c r="H1759" s="284"/>
      <c r="I1759" s="284"/>
      <c r="J1759" s="375"/>
      <c r="K1759" s="375"/>
      <c r="L1759" s="375"/>
      <c r="M1759" s="368"/>
      <c r="N1759" s="368"/>
      <c r="O1759" s="370"/>
      <c r="T1759" s="340"/>
      <c r="V1759" s="378"/>
      <c r="W1759" s="64" ph="1"/>
      <c r="X1759" s="241"/>
      <c r="Y1759" s="284"/>
      <c r="Z1759" s="207"/>
      <c r="AA1759" s="284"/>
      <c r="AB1759" s="284"/>
      <c r="AC1759" s="284"/>
      <c r="AD1759" s="284"/>
      <c r="AE1759" s="284"/>
      <c r="AF1759" s="284"/>
      <c r="AG1759" s="284"/>
      <c r="AI1759" s="131"/>
    </row>
    <row r="1760" spans="1:35" ht="26.4">
      <c r="A1760" s="284"/>
      <c r="B1760" s="284"/>
      <c r="C1760" s="284"/>
      <c r="D1760" s="284"/>
      <c r="E1760" s="284"/>
      <c r="F1760" s="284"/>
      <c r="G1760" s="284"/>
      <c r="H1760" s="284"/>
      <c r="I1760" s="284"/>
      <c r="J1760" s="375"/>
      <c r="K1760" s="375"/>
      <c r="L1760" s="375"/>
      <c r="M1760" s="368"/>
      <c r="N1760" s="368"/>
      <c r="O1760" s="370"/>
      <c r="T1760" s="340"/>
      <c r="V1760" s="378"/>
      <c r="W1760" s="64" ph="1"/>
      <c r="X1760" s="241"/>
      <c r="Y1760" s="284"/>
      <c r="Z1760" s="207"/>
      <c r="AA1760" s="284"/>
      <c r="AB1760" s="284"/>
      <c r="AC1760" s="284"/>
      <c r="AD1760" s="284"/>
      <c r="AE1760" s="284"/>
      <c r="AF1760" s="284"/>
      <c r="AG1760" s="284"/>
      <c r="AI1760" s="131"/>
    </row>
    <row r="1761" spans="1:35" ht="26.4">
      <c r="A1761" s="284"/>
      <c r="B1761" s="284"/>
      <c r="C1761" s="284"/>
      <c r="D1761" s="284"/>
      <c r="E1761" s="284"/>
      <c r="F1761" s="284"/>
      <c r="G1761" s="284"/>
      <c r="H1761" s="284"/>
      <c r="I1761" s="284"/>
      <c r="J1761" s="375"/>
      <c r="K1761" s="375"/>
      <c r="L1761" s="375"/>
      <c r="M1761" s="368"/>
      <c r="N1761" s="368"/>
      <c r="O1761" s="370"/>
      <c r="T1761" s="340"/>
      <c r="V1761" s="378"/>
      <c r="W1761" s="64" ph="1"/>
      <c r="X1761" s="241"/>
      <c r="Y1761" s="284"/>
      <c r="Z1761" s="207"/>
      <c r="AA1761" s="284"/>
      <c r="AB1761" s="284"/>
      <c r="AC1761" s="284"/>
      <c r="AD1761" s="284"/>
      <c r="AE1761" s="284"/>
      <c r="AF1761" s="284"/>
      <c r="AG1761" s="284"/>
      <c r="AI1761" s="131"/>
    </row>
    <row r="1762" spans="1:35" ht="26.4">
      <c r="A1762" s="284"/>
      <c r="B1762" s="284"/>
      <c r="C1762" s="284"/>
      <c r="D1762" s="284"/>
      <c r="E1762" s="284"/>
      <c r="F1762" s="284"/>
      <c r="G1762" s="284"/>
      <c r="H1762" s="284"/>
      <c r="I1762" s="284"/>
      <c r="J1762" s="375"/>
      <c r="K1762" s="375"/>
      <c r="L1762" s="375"/>
      <c r="M1762" s="368"/>
      <c r="N1762" s="368"/>
      <c r="O1762" s="370"/>
      <c r="T1762" s="340"/>
      <c r="V1762" s="378"/>
      <c r="W1762" s="64" ph="1"/>
      <c r="X1762" s="241"/>
      <c r="Y1762" s="284"/>
      <c r="Z1762" s="207"/>
      <c r="AA1762" s="284"/>
      <c r="AB1762" s="284"/>
      <c r="AC1762" s="284"/>
      <c r="AD1762" s="284"/>
      <c r="AE1762" s="284"/>
      <c r="AF1762" s="284"/>
      <c r="AG1762" s="284"/>
      <c r="AI1762" s="284"/>
    </row>
    <row r="1763" spans="1:35" ht="26.4">
      <c r="A1763" s="284"/>
      <c r="B1763" s="284"/>
      <c r="C1763" s="284"/>
      <c r="D1763" s="284"/>
      <c r="E1763" s="284"/>
      <c r="F1763" s="284"/>
      <c r="G1763" s="284"/>
      <c r="H1763" s="284"/>
      <c r="I1763" s="284"/>
      <c r="J1763" s="375"/>
      <c r="K1763" s="375"/>
      <c r="L1763" s="375"/>
      <c r="M1763" s="368"/>
      <c r="N1763" s="368"/>
      <c r="O1763" s="370"/>
      <c r="T1763" s="340"/>
      <c r="V1763" s="378"/>
      <c r="W1763" s="64" ph="1"/>
      <c r="X1763" s="241"/>
      <c r="Y1763" s="284"/>
      <c r="Z1763" s="207"/>
      <c r="AA1763" s="284"/>
      <c r="AB1763" s="284"/>
      <c r="AC1763" s="284"/>
      <c r="AD1763" s="284"/>
      <c r="AE1763" s="284"/>
      <c r="AF1763" s="284"/>
      <c r="AG1763" s="284"/>
      <c r="AI1763" s="284"/>
    </row>
    <row r="1764" spans="1:35" ht="26.4">
      <c r="A1764" s="284"/>
      <c r="B1764" s="284"/>
      <c r="C1764" s="284"/>
      <c r="D1764" s="284"/>
      <c r="E1764" s="284"/>
      <c r="F1764" s="284"/>
      <c r="G1764" s="284"/>
      <c r="H1764" s="284"/>
      <c r="I1764" s="284"/>
      <c r="J1764" s="375"/>
      <c r="K1764" s="375"/>
      <c r="L1764" s="375"/>
      <c r="M1764" s="368"/>
      <c r="N1764" s="368"/>
      <c r="O1764" s="370"/>
      <c r="T1764" s="340"/>
      <c r="V1764" s="378"/>
      <c r="W1764" s="64" ph="1"/>
      <c r="X1764" s="241"/>
      <c r="Y1764" s="284"/>
      <c r="Z1764" s="207"/>
      <c r="AA1764" s="284"/>
      <c r="AB1764" s="284"/>
      <c r="AC1764" s="284"/>
      <c r="AD1764" s="284"/>
      <c r="AE1764" s="284"/>
      <c r="AF1764" s="284"/>
      <c r="AG1764" s="284"/>
      <c r="AI1764" s="131"/>
    </row>
    <row r="1765" spans="1:35" ht="26.4">
      <c r="A1765" s="284"/>
      <c r="B1765" s="284"/>
      <c r="C1765" s="284"/>
      <c r="D1765" s="284"/>
      <c r="E1765" s="284"/>
      <c r="F1765" s="284"/>
      <c r="G1765" s="284"/>
      <c r="H1765" s="284"/>
      <c r="I1765" s="284"/>
      <c r="J1765" s="375"/>
      <c r="K1765" s="375"/>
      <c r="L1765" s="375"/>
      <c r="M1765" s="368"/>
      <c r="N1765" s="368"/>
      <c r="O1765" s="370"/>
      <c r="T1765" s="340"/>
      <c r="V1765" s="378"/>
      <c r="W1765" s="64" ph="1"/>
      <c r="X1765" s="241"/>
      <c r="Y1765" s="284"/>
      <c r="Z1765" s="207"/>
      <c r="AA1765" s="284"/>
      <c r="AB1765" s="284"/>
      <c r="AC1765" s="284"/>
      <c r="AD1765" s="284"/>
      <c r="AE1765" s="284"/>
      <c r="AF1765" s="284"/>
      <c r="AG1765" s="284"/>
      <c r="AI1765" s="131"/>
    </row>
    <row r="1766" spans="1:35" ht="26.4">
      <c r="A1766" s="284"/>
      <c r="B1766" s="284"/>
      <c r="C1766" s="284"/>
      <c r="D1766" s="284"/>
      <c r="E1766" s="284"/>
      <c r="F1766" s="284"/>
      <c r="G1766" s="284"/>
      <c r="H1766" s="284"/>
      <c r="I1766" s="284"/>
      <c r="J1766" s="375"/>
      <c r="K1766" s="375"/>
      <c r="L1766" s="375"/>
      <c r="M1766" s="368"/>
      <c r="N1766" s="368"/>
      <c r="O1766" s="370"/>
      <c r="T1766" s="340"/>
      <c r="V1766" s="378"/>
      <c r="W1766" s="64" ph="1"/>
      <c r="X1766" s="241"/>
      <c r="Y1766" s="284"/>
      <c r="Z1766" s="207"/>
      <c r="AA1766" s="284"/>
      <c r="AB1766" s="284"/>
      <c r="AC1766" s="284"/>
      <c r="AD1766" s="284"/>
      <c r="AE1766" s="284"/>
      <c r="AF1766" s="284"/>
      <c r="AG1766" s="284"/>
      <c r="AI1766" s="131"/>
    </row>
    <row r="1767" spans="1:35" ht="26.4">
      <c r="A1767" s="284"/>
      <c r="B1767" s="284"/>
      <c r="C1767" s="284"/>
      <c r="D1767" s="284"/>
      <c r="E1767" s="284"/>
      <c r="F1767" s="284"/>
      <c r="G1767" s="284"/>
      <c r="H1767" s="284"/>
      <c r="I1767" s="284"/>
      <c r="J1767" s="375"/>
      <c r="K1767" s="375"/>
      <c r="L1767" s="375"/>
      <c r="M1767" s="368"/>
      <c r="N1767" s="368"/>
      <c r="O1767" s="370"/>
      <c r="T1767" s="340"/>
      <c r="V1767" s="378"/>
      <c r="W1767" s="64" ph="1"/>
      <c r="X1767" s="241"/>
      <c r="Y1767" s="284"/>
      <c r="Z1767" s="207"/>
      <c r="AA1767" s="284"/>
      <c r="AB1767" s="284"/>
      <c r="AC1767" s="284"/>
      <c r="AD1767" s="284"/>
      <c r="AE1767" s="284"/>
      <c r="AF1767" s="284"/>
      <c r="AG1767" s="284"/>
      <c r="AI1767" s="131"/>
    </row>
    <row r="1768" spans="1:35" ht="26.4">
      <c r="A1768" s="284"/>
      <c r="B1768" s="284"/>
      <c r="C1768" s="284"/>
      <c r="D1768" s="284"/>
      <c r="E1768" s="284"/>
      <c r="F1768" s="284"/>
      <c r="G1768" s="284"/>
      <c r="H1768" s="284"/>
      <c r="I1768" s="284"/>
      <c r="J1768" s="375"/>
      <c r="K1768" s="375"/>
      <c r="L1768" s="375"/>
      <c r="M1768" s="368"/>
      <c r="N1768" s="368"/>
      <c r="O1768" s="370"/>
      <c r="T1768" s="340"/>
      <c r="V1768" s="378"/>
      <c r="W1768" s="64" ph="1"/>
      <c r="X1768" s="241"/>
      <c r="Y1768" s="284"/>
      <c r="Z1768" s="207"/>
      <c r="AA1768" s="284"/>
      <c r="AB1768" s="284"/>
      <c r="AC1768" s="284"/>
      <c r="AD1768" s="284"/>
      <c r="AE1768" s="284"/>
      <c r="AF1768" s="284"/>
      <c r="AG1768" s="284"/>
      <c r="AI1768" s="131"/>
    </row>
    <row r="1769" spans="1:35" ht="26.4">
      <c r="A1769" s="284"/>
      <c r="B1769" s="284"/>
      <c r="C1769" s="284"/>
      <c r="D1769" s="284"/>
      <c r="E1769" s="284"/>
      <c r="F1769" s="284"/>
      <c r="G1769" s="284"/>
      <c r="H1769" s="284"/>
      <c r="I1769" s="284"/>
      <c r="J1769" s="375"/>
      <c r="K1769" s="375"/>
      <c r="L1769" s="375"/>
      <c r="M1769" s="368"/>
      <c r="N1769" s="368"/>
      <c r="O1769" s="370"/>
      <c r="T1769" s="340"/>
      <c r="V1769" s="378"/>
      <c r="W1769" s="64" ph="1"/>
      <c r="X1769" s="241"/>
      <c r="Y1769" s="284"/>
      <c r="Z1769" s="207"/>
      <c r="AA1769" s="284"/>
      <c r="AB1769" s="284"/>
      <c r="AC1769" s="284"/>
      <c r="AD1769" s="284"/>
      <c r="AE1769" s="284"/>
      <c r="AF1769" s="284"/>
      <c r="AG1769" s="284"/>
      <c r="AI1769" s="131"/>
    </row>
    <row r="1770" spans="1:35" ht="26.4">
      <c r="A1770" s="284"/>
      <c r="B1770" s="284"/>
      <c r="C1770" s="284"/>
      <c r="D1770" s="284"/>
      <c r="E1770" s="284"/>
      <c r="F1770" s="284"/>
      <c r="G1770" s="284"/>
      <c r="H1770" s="284"/>
      <c r="I1770" s="284"/>
      <c r="J1770" s="375"/>
      <c r="K1770" s="375"/>
      <c r="L1770" s="375"/>
      <c r="M1770" s="368"/>
      <c r="N1770" s="368"/>
      <c r="O1770" s="370"/>
      <c r="T1770" s="340"/>
      <c r="V1770" s="378"/>
      <c r="W1770" s="64" ph="1"/>
      <c r="X1770" s="241"/>
      <c r="Y1770" s="284"/>
      <c r="Z1770" s="207"/>
      <c r="AA1770" s="284"/>
      <c r="AB1770" s="284"/>
      <c r="AC1770" s="284"/>
      <c r="AD1770" s="284"/>
      <c r="AE1770" s="284"/>
      <c r="AF1770" s="284"/>
      <c r="AG1770" s="284"/>
      <c r="AI1770" s="131"/>
    </row>
    <row r="1771" spans="1:35" ht="26.4">
      <c r="A1771" s="284"/>
      <c r="B1771" s="284"/>
      <c r="C1771" s="284"/>
      <c r="D1771" s="284"/>
      <c r="E1771" s="284"/>
      <c r="F1771" s="284"/>
      <c r="G1771" s="284"/>
      <c r="H1771" s="284"/>
      <c r="I1771" s="284"/>
      <c r="J1771" s="375"/>
      <c r="K1771" s="375"/>
      <c r="L1771" s="375"/>
      <c r="M1771" s="368"/>
      <c r="N1771" s="368"/>
      <c r="O1771" s="370"/>
      <c r="T1771" s="340"/>
      <c r="V1771" s="378"/>
      <c r="W1771" s="64" ph="1"/>
      <c r="X1771" s="241"/>
      <c r="Y1771" s="284"/>
      <c r="Z1771" s="207"/>
      <c r="AA1771" s="284"/>
      <c r="AB1771" s="284"/>
      <c r="AC1771" s="284"/>
      <c r="AD1771" s="284"/>
      <c r="AE1771" s="284"/>
      <c r="AF1771" s="284"/>
      <c r="AG1771" s="284"/>
      <c r="AI1771" s="131"/>
    </row>
    <row r="1772" spans="1:35" ht="26.4">
      <c r="A1772" s="284"/>
      <c r="B1772" s="284"/>
      <c r="C1772" s="284"/>
      <c r="D1772" s="284"/>
      <c r="E1772" s="284"/>
      <c r="F1772" s="284"/>
      <c r="G1772" s="284"/>
      <c r="H1772" s="284"/>
      <c r="I1772" s="284"/>
      <c r="J1772" s="375"/>
      <c r="K1772" s="375"/>
      <c r="L1772" s="375"/>
      <c r="M1772" s="368"/>
      <c r="N1772" s="368"/>
      <c r="O1772" s="370"/>
      <c r="T1772" s="340"/>
      <c r="V1772" s="378"/>
      <c r="W1772" s="64" ph="1"/>
      <c r="X1772" s="241"/>
      <c r="Y1772" s="284"/>
      <c r="Z1772" s="207"/>
      <c r="AA1772" s="284"/>
      <c r="AB1772" s="284"/>
      <c r="AC1772" s="284"/>
      <c r="AD1772" s="284"/>
      <c r="AE1772" s="284"/>
      <c r="AF1772" s="284"/>
      <c r="AG1772" s="284"/>
      <c r="AI1772" s="131"/>
    </row>
    <row r="1773" spans="1:35" ht="26.4">
      <c r="A1773" s="284"/>
      <c r="B1773" s="284"/>
      <c r="C1773" s="284"/>
      <c r="D1773" s="284"/>
      <c r="E1773" s="284"/>
      <c r="F1773" s="284"/>
      <c r="G1773" s="284"/>
      <c r="H1773" s="284"/>
      <c r="I1773" s="284"/>
      <c r="J1773" s="375"/>
      <c r="K1773" s="375"/>
      <c r="L1773" s="375"/>
      <c r="M1773" s="368"/>
      <c r="N1773" s="368"/>
      <c r="O1773" s="370"/>
      <c r="T1773" s="340"/>
      <c r="V1773" s="378"/>
      <c r="W1773" s="64" ph="1"/>
      <c r="X1773" s="241"/>
      <c r="Y1773" s="284"/>
      <c r="Z1773" s="207"/>
      <c r="AA1773" s="284"/>
      <c r="AB1773" s="284"/>
      <c r="AC1773" s="284"/>
      <c r="AD1773" s="284"/>
      <c r="AE1773" s="284"/>
      <c r="AF1773" s="284"/>
      <c r="AG1773" s="284"/>
      <c r="AI1773" s="131"/>
    </row>
    <row r="1774" spans="1:35" ht="26.4">
      <c r="A1774" s="284"/>
      <c r="B1774" s="284"/>
      <c r="C1774" s="284"/>
      <c r="D1774" s="284"/>
      <c r="E1774" s="284"/>
      <c r="F1774" s="284"/>
      <c r="G1774" s="284"/>
      <c r="H1774" s="284"/>
      <c r="I1774" s="284"/>
      <c r="J1774" s="375"/>
      <c r="K1774" s="375"/>
      <c r="L1774" s="375"/>
      <c r="M1774" s="368"/>
      <c r="N1774" s="368"/>
      <c r="O1774" s="370"/>
      <c r="T1774" s="340"/>
      <c r="V1774" s="378"/>
      <c r="W1774" s="64" ph="1"/>
      <c r="X1774" s="241"/>
      <c r="Y1774" s="284"/>
      <c r="Z1774" s="207"/>
      <c r="AA1774" s="284"/>
      <c r="AB1774" s="284"/>
      <c r="AC1774" s="284"/>
      <c r="AD1774" s="284"/>
      <c r="AE1774" s="284"/>
      <c r="AF1774" s="284"/>
      <c r="AG1774" s="284"/>
      <c r="AI1774" s="131"/>
    </row>
    <row r="1775" spans="1:35" ht="26.4">
      <c r="A1775" s="284"/>
      <c r="B1775" s="284"/>
      <c r="C1775" s="284"/>
      <c r="D1775" s="284"/>
      <c r="E1775" s="284"/>
      <c r="F1775" s="284"/>
      <c r="G1775" s="284"/>
      <c r="H1775" s="284"/>
      <c r="I1775" s="284"/>
      <c r="J1775" s="375"/>
      <c r="K1775" s="375"/>
      <c r="L1775" s="375"/>
      <c r="M1775" s="368"/>
      <c r="N1775" s="368"/>
      <c r="O1775" s="370"/>
      <c r="T1775" s="340"/>
      <c r="V1775" s="378"/>
      <c r="W1775" s="64" ph="1"/>
      <c r="X1775" s="241"/>
      <c r="Y1775" s="284"/>
      <c r="Z1775" s="207"/>
      <c r="AA1775" s="284"/>
      <c r="AB1775" s="284"/>
      <c r="AC1775" s="284"/>
      <c r="AD1775" s="284"/>
      <c r="AE1775" s="284"/>
      <c r="AF1775" s="284"/>
      <c r="AG1775" s="284"/>
      <c r="AI1775" s="131"/>
    </row>
    <row r="1776" spans="1:35" ht="26.4">
      <c r="A1776" s="284"/>
      <c r="B1776" s="284"/>
      <c r="C1776" s="284"/>
      <c r="D1776" s="284"/>
      <c r="E1776" s="284"/>
      <c r="F1776" s="284"/>
      <c r="G1776" s="284"/>
      <c r="H1776" s="284"/>
      <c r="I1776" s="284"/>
      <c r="J1776" s="375"/>
      <c r="K1776" s="375"/>
      <c r="L1776" s="375"/>
      <c r="M1776" s="368"/>
      <c r="N1776" s="368"/>
      <c r="O1776" s="370"/>
      <c r="T1776" s="340"/>
      <c r="V1776" s="378"/>
      <c r="W1776" s="64" ph="1"/>
      <c r="X1776" s="241"/>
      <c r="Y1776" s="284"/>
      <c r="Z1776" s="207"/>
      <c r="AA1776" s="284"/>
      <c r="AB1776" s="284"/>
      <c r="AC1776" s="284"/>
      <c r="AD1776" s="284"/>
      <c r="AE1776" s="284"/>
      <c r="AF1776" s="284"/>
      <c r="AG1776" s="284"/>
      <c r="AI1776" s="284"/>
    </row>
    <row r="1777" spans="1:35" ht="26.4">
      <c r="A1777" s="284"/>
      <c r="B1777" s="284"/>
      <c r="C1777" s="284"/>
      <c r="D1777" s="284"/>
      <c r="E1777" s="284"/>
      <c r="F1777" s="284"/>
      <c r="G1777" s="284"/>
      <c r="H1777" s="284"/>
      <c r="I1777" s="284"/>
      <c r="J1777" s="375"/>
      <c r="K1777" s="375"/>
      <c r="L1777" s="375"/>
      <c r="M1777" s="368"/>
      <c r="N1777" s="368"/>
      <c r="O1777" s="370"/>
      <c r="T1777" s="340"/>
      <c r="V1777" s="378"/>
      <c r="W1777" s="64" ph="1"/>
      <c r="X1777" s="241"/>
      <c r="Y1777" s="284"/>
      <c r="Z1777" s="207"/>
      <c r="AA1777" s="284"/>
      <c r="AB1777" s="284"/>
      <c r="AC1777" s="284"/>
      <c r="AD1777" s="284"/>
      <c r="AE1777" s="284"/>
      <c r="AF1777" s="284"/>
      <c r="AG1777" s="284"/>
      <c r="AI1777" s="131"/>
    </row>
    <row r="1778" spans="1:35" ht="26.4">
      <c r="A1778" s="284"/>
      <c r="B1778" s="284"/>
      <c r="C1778" s="284"/>
      <c r="D1778" s="284"/>
      <c r="E1778" s="284"/>
      <c r="F1778" s="284"/>
      <c r="G1778" s="284"/>
      <c r="H1778" s="284"/>
      <c r="I1778" s="284"/>
      <c r="J1778" s="375"/>
      <c r="K1778" s="375"/>
      <c r="L1778" s="375"/>
      <c r="M1778" s="368"/>
      <c r="N1778" s="368"/>
      <c r="O1778" s="370"/>
      <c r="T1778" s="340"/>
      <c r="V1778" s="378"/>
      <c r="W1778" s="64" ph="1"/>
      <c r="X1778" s="241"/>
      <c r="Y1778" s="284"/>
      <c r="Z1778" s="207"/>
      <c r="AA1778" s="284"/>
      <c r="AB1778" s="284"/>
      <c r="AC1778" s="284"/>
      <c r="AD1778" s="284"/>
      <c r="AE1778" s="284"/>
      <c r="AF1778" s="284"/>
      <c r="AG1778" s="284"/>
      <c r="AI1778" s="131"/>
    </row>
    <row r="1779" spans="1:35" ht="26.4">
      <c r="A1779" s="284"/>
      <c r="B1779" s="284"/>
      <c r="C1779" s="284"/>
      <c r="D1779" s="284"/>
      <c r="E1779" s="284"/>
      <c r="F1779" s="284"/>
      <c r="G1779" s="284"/>
      <c r="H1779" s="284"/>
      <c r="I1779" s="284"/>
      <c r="J1779" s="375"/>
      <c r="K1779" s="375"/>
      <c r="L1779" s="375"/>
      <c r="M1779" s="368"/>
      <c r="N1779" s="368"/>
      <c r="O1779" s="370"/>
      <c r="T1779" s="340"/>
      <c r="V1779" s="378"/>
      <c r="W1779" s="64" ph="1"/>
      <c r="X1779" s="241"/>
      <c r="Y1779" s="284"/>
      <c r="Z1779" s="207"/>
      <c r="AA1779" s="284"/>
      <c r="AB1779" s="284"/>
      <c r="AC1779" s="284"/>
      <c r="AD1779" s="284"/>
      <c r="AE1779" s="284"/>
      <c r="AF1779" s="284"/>
      <c r="AG1779" s="284"/>
      <c r="AI1779" s="131"/>
    </row>
    <row r="1780" spans="1:35" ht="26.4">
      <c r="A1780" s="284"/>
      <c r="B1780" s="284"/>
      <c r="C1780" s="284"/>
      <c r="D1780" s="284"/>
      <c r="E1780" s="284"/>
      <c r="F1780" s="284"/>
      <c r="G1780" s="284"/>
      <c r="H1780" s="284"/>
      <c r="I1780" s="284"/>
      <c r="J1780" s="375"/>
      <c r="K1780" s="375"/>
      <c r="L1780" s="375"/>
      <c r="M1780" s="368"/>
      <c r="N1780" s="368"/>
      <c r="O1780" s="370"/>
      <c r="T1780" s="340"/>
      <c r="V1780" s="378"/>
      <c r="W1780" s="64" ph="1"/>
      <c r="X1780" s="241"/>
      <c r="Y1780" s="284"/>
      <c r="Z1780" s="207"/>
      <c r="AA1780" s="284"/>
      <c r="AB1780" s="284"/>
      <c r="AC1780" s="284"/>
      <c r="AD1780" s="284"/>
      <c r="AE1780" s="284"/>
      <c r="AF1780" s="284"/>
      <c r="AG1780" s="284"/>
      <c r="AI1780" s="131"/>
    </row>
    <row r="1781" spans="1:35" ht="26.4">
      <c r="A1781" s="284"/>
      <c r="B1781" s="284"/>
      <c r="C1781" s="284"/>
      <c r="D1781" s="284"/>
      <c r="E1781" s="284"/>
      <c r="F1781" s="284"/>
      <c r="G1781" s="284"/>
      <c r="H1781" s="284"/>
      <c r="I1781" s="284"/>
      <c r="J1781" s="375"/>
      <c r="K1781" s="375"/>
      <c r="L1781" s="375"/>
      <c r="M1781" s="368"/>
      <c r="N1781" s="368"/>
      <c r="O1781" s="370"/>
      <c r="T1781" s="340"/>
      <c r="V1781" s="378"/>
      <c r="W1781" s="64" ph="1"/>
      <c r="X1781" s="241"/>
      <c r="Y1781" s="284"/>
      <c r="Z1781" s="207"/>
      <c r="AA1781" s="284"/>
      <c r="AB1781" s="284"/>
      <c r="AC1781" s="284"/>
      <c r="AD1781" s="284"/>
      <c r="AE1781" s="284"/>
      <c r="AF1781" s="284"/>
      <c r="AG1781" s="284"/>
      <c r="AI1781" s="131"/>
    </row>
    <row r="1782" spans="1:35" ht="26.4">
      <c r="A1782" s="284"/>
      <c r="B1782" s="284"/>
      <c r="C1782" s="284"/>
      <c r="D1782" s="284"/>
      <c r="E1782" s="284"/>
      <c r="F1782" s="284"/>
      <c r="G1782" s="284"/>
      <c r="H1782" s="284"/>
      <c r="I1782" s="284"/>
      <c r="J1782" s="375"/>
      <c r="K1782" s="375"/>
      <c r="L1782" s="375"/>
      <c r="M1782" s="368"/>
      <c r="N1782" s="368"/>
      <c r="O1782" s="370"/>
      <c r="T1782" s="340"/>
      <c r="V1782" s="378"/>
      <c r="W1782" s="64" ph="1"/>
      <c r="X1782" s="241"/>
      <c r="Y1782" s="284"/>
      <c r="Z1782" s="207"/>
      <c r="AA1782" s="284"/>
      <c r="AB1782" s="284"/>
      <c r="AC1782" s="284"/>
      <c r="AD1782" s="284"/>
      <c r="AE1782" s="284"/>
      <c r="AF1782" s="284"/>
      <c r="AG1782" s="284"/>
      <c r="AI1782" s="131"/>
    </row>
    <row r="1783" spans="1:35" ht="26.4">
      <c r="A1783" s="284"/>
      <c r="B1783" s="284"/>
      <c r="C1783" s="284"/>
      <c r="D1783" s="284"/>
      <c r="E1783" s="284"/>
      <c r="F1783" s="284"/>
      <c r="G1783" s="284"/>
      <c r="H1783" s="284"/>
      <c r="I1783" s="284"/>
      <c r="J1783" s="375"/>
      <c r="K1783" s="375"/>
      <c r="L1783" s="375"/>
      <c r="M1783" s="368"/>
      <c r="N1783" s="368"/>
      <c r="O1783" s="370"/>
      <c r="T1783" s="340"/>
      <c r="V1783" s="378"/>
      <c r="W1783" s="64" ph="1"/>
      <c r="X1783" s="241"/>
      <c r="Y1783" s="284"/>
      <c r="Z1783" s="207"/>
      <c r="AA1783" s="284"/>
      <c r="AB1783" s="284"/>
      <c r="AC1783" s="284"/>
      <c r="AD1783" s="284"/>
      <c r="AE1783" s="284"/>
      <c r="AF1783" s="284"/>
      <c r="AG1783" s="284"/>
      <c r="AI1783" s="52"/>
    </row>
    <row r="1784" spans="1:35" ht="26.4">
      <c r="A1784" s="284"/>
      <c r="B1784" s="284"/>
      <c r="C1784" s="284"/>
      <c r="D1784" s="284"/>
      <c r="E1784" s="284"/>
      <c r="F1784" s="284"/>
      <c r="G1784" s="284"/>
      <c r="H1784" s="284"/>
      <c r="I1784" s="284"/>
      <c r="J1784" s="375"/>
      <c r="K1784" s="375"/>
      <c r="L1784" s="375"/>
      <c r="M1784" s="368"/>
      <c r="N1784" s="368"/>
      <c r="O1784" s="370"/>
      <c r="T1784" s="340"/>
      <c r="V1784" s="378"/>
      <c r="W1784" s="64" ph="1"/>
      <c r="X1784" s="241"/>
      <c r="Y1784" s="284"/>
      <c r="Z1784" s="207"/>
      <c r="AA1784" s="284"/>
      <c r="AB1784" s="284"/>
      <c r="AC1784" s="284"/>
      <c r="AD1784" s="284"/>
      <c r="AE1784" s="284"/>
      <c r="AF1784" s="284"/>
      <c r="AG1784" s="284"/>
      <c r="AI1784" s="131"/>
    </row>
    <row r="1785" spans="1:35" ht="26.4">
      <c r="A1785" s="284"/>
      <c r="B1785" s="284"/>
      <c r="C1785" s="284"/>
      <c r="D1785" s="284"/>
      <c r="E1785" s="284"/>
      <c r="F1785" s="284"/>
      <c r="G1785" s="284"/>
      <c r="H1785" s="284"/>
      <c r="I1785" s="284"/>
      <c r="J1785" s="375"/>
      <c r="K1785" s="375"/>
      <c r="L1785" s="375"/>
      <c r="M1785" s="368"/>
      <c r="N1785" s="368"/>
      <c r="O1785" s="370"/>
      <c r="T1785" s="340"/>
      <c r="V1785" s="378"/>
      <c r="W1785" s="64" ph="1"/>
      <c r="X1785" s="241"/>
      <c r="Y1785" s="284"/>
      <c r="Z1785" s="207"/>
      <c r="AA1785" s="284"/>
      <c r="AB1785" s="284"/>
      <c r="AC1785" s="284"/>
      <c r="AD1785" s="284"/>
      <c r="AE1785" s="284"/>
      <c r="AF1785" s="284"/>
      <c r="AG1785" s="284"/>
      <c r="AI1785" s="131"/>
    </row>
    <row r="1786" spans="1:35" ht="26.4">
      <c r="A1786" s="284"/>
      <c r="B1786" s="284"/>
      <c r="C1786" s="284"/>
      <c r="D1786" s="284"/>
      <c r="E1786" s="284"/>
      <c r="F1786" s="284"/>
      <c r="G1786" s="284"/>
      <c r="H1786" s="284"/>
      <c r="I1786" s="284"/>
      <c r="J1786" s="375"/>
      <c r="K1786" s="375"/>
      <c r="L1786" s="375"/>
      <c r="M1786" s="368"/>
      <c r="N1786" s="368"/>
      <c r="O1786" s="370"/>
      <c r="T1786" s="340"/>
      <c r="V1786" s="378"/>
      <c r="W1786" s="64" ph="1"/>
      <c r="X1786" s="241"/>
      <c r="Y1786" s="284"/>
      <c r="Z1786" s="207"/>
      <c r="AA1786" s="284"/>
      <c r="AB1786" s="284"/>
      <c r="AC1786" s="284"/>
      <c r="AD1786" s="284"/>
      <c r="AE1786" s="284"/>
      <c r="AF1786" s="284"/>
      <c r="AG1786" s="284"/>
      <c r="AI1786" s="131"/>
    </row>
    <row r="1787" spans="1:35" ht="26.4">
      <c r="A1787" s="284"/>
      <c r="B1787" s="284"/>
      <c r="C1787" s="284"/>
      <c r="D1787" s="284"/>
      <c r="E1787" s="284"/>
      <c r="F1787" s="284"/>
      <c r="G1787" s="284"/>
      <c r="H1787" s="284"/>
      <c r="I1787" s="284"/>
      <c r="J1787" s="375"/>
      <c r="K1787" s="375"/>
      <c r="L1787" s="375"/>
      <c r="M1787" s="368"/>
      <c r="N1787" s="368"/>
      <c r="O1787" s="370"/>
      <c r="T1787" s="340"/>
      <c r="V1787" s="378"/>
      <c r="W1787" s="64" ph="1"/>
      <c r="X1787" s="241"/>
      <c r="Y1787" s="284"/>
      <c r="Z1787" s="207"/>
      <c r="AA1787" s="284"/>
      <c r="AB1787" s="284"/>
      <c r="AC1787" s="284"/>
      <c r="AD1787" s="284"/>
      <c r="AE1787" s="284"/>
      <c r="AF1787" s="284"/>
      <c r="AG1787" s="284"/>
      <c r="AI1787" s="131"/>
    </row>
    <row r="1788" spans="1:35" ht="26.4">
      <c r="A1788" s="284"/>
      <c r="B1788" s="284"/>
      <c r="C1788" s="284"/>
      <c r="D1788" s="284"/>
      <c r="E1788" s="284"/>
      <c r="F1788" s="284"/>
      <c r="G1788" s="284"/>
      <c r="H1788" s="284"/>
      <c r="I1788" s="284"/>
      <c r="J1788" s="375"/>
      <c r="K1788" s="375"/>
      <c r="L1788" s="375"/>
      <c r="M1788" s="368"/>
      <c r="N1788" s="368"/>
      <c r="O1788" s="370"/>
      <c r="T1788" s="340"/>
      <c r="V1788" s="378"/>
      <c r="W1788" s="64" ph="1"/>
      <c r="X1788" s="241"/>
      <c r="Y1788" s="284"/>
      <c r="Z1788" s="207"/>
      <c r="AA1788" s="284"/>
      <c r="AB1788" s="284"/>
      <c r="AC1788" s="284"/>
      <c r="AD1788" s="284"/>
      <c r="AE1788" s="284"/>
      <c r="AF1788" s="284"/>
      <c r="AG1788" s="284"/>
      <c r="AI1788" s="131"/>
    </row>
    <row r="1789" spans="1:35" ht="26.4">
      <c r="A1789" s="284"/>
      <c r="B1789" s="284"/>
      <c r="C1789" s="284"/>
      <c r="D1789" s="284"/>
      <c r="E1789" s="284"/>
      <c r="F1789" s="284"/>
      <c r="G1789" s="284"/>
      <c r="H1789" s="284"/>
      <c r="I1789" s="284"/>
      <c r="J1789" s="375"/>
      <c r="K1789" s="375"/>
      <c r="L1789" s="375"/>
      <c r="M1789" s="368"/>
      <c r="N1789" s="368"/>
      <c r="O1789" s="370"/>
      <c r="T1789" s="340"/>
      <c r="V1789" s="378"/>
      <c r="W1789" s="64" ph="1"/>
      <c r="X1789" s="241"/>
      <c r="Y1789" s="284"/>
      <c r="Z1789" s="207"/>
      <c r="AA1789" s="284"/>
      <c r="AB1789" s="284"/>
      <c r="AC1789" s="284"/>
      <c r="AD1789" s="284"/>
      <c r="AE1789" s="284"/>
      <c r="AF1789" s="284"/>
      <c r="AG1789" s="284"/>
      <c r="AI1789" s="131"/>
    </row>
    <row r="1790" spans="1:35" ht="26.4">
      <c r="A1790" s="284"/>
      <c r="B1790" s="284"/>
      <c r="C1790" s="284"/>
      <c r="D1790" s="284"/>
      <c r="E1790" s="284"/>
      <c r="F1790" s="284"/>
      <c r="G1790" s="284"/>
      <c r="H1790" s="284"/>
      <c r="I1790" s="284"/>
      <c r="J1790" s="375"/>
      <c r="K1790" s="375"/>
      <c r="L1790" s="375"/>
      <c r="M1790" s="368"/>
      <c r="N1790" s="368"/>
      <c r="O1790" s="370"/>
      <c r="T1790" s="340"/>
      <c r="V1790" s="378"/>
      <c r="W1790" s="64" ph="1"/>
      <c r="X1790" s="241"/>
      <c r="Y1790" s="284"/>
      <c r="Z1790" s="207"/>
      <c r="AA1790" s="284"/>
      <c r="AB1790" s="284"/>
      <c r="AC1790" s="284"/>
      <c r="AD1790" s="284"/>
      <c r="AE1790" s="284"/>
      <c r="AF1790" s="284"/>
      <c r="AG1790" s="284"/>
      <c r="AI1790" s="131"/>
    </row>
    <row r="1791" spans="1:35" ht="26.4">
      <c r="A1791" s="284"/>
      <c r="B1791" s="284"/>
      <c r="C1791" s="284"/>
      <c r="D1791" s="284"/>
      <c r="E1791" s="284"/>
      <c r="F1791" s="284"/>
      <c r="G1791" s="284"/>
      <c r="H1791" s="284"/>
      <c r="I1791" s="284"/>
      <c r="J1791" s="375"/>
      <c r="K1791" s="375"/>
      <c r="L1791" s="375"/>
      <c r="M1791" s="368"/>
      <c r="N1791" s="368"/>
      <c r="O1791" s="370"/>
      <c r="T1791" s="340"/>
      <c r="V1791" s="378"/>
      <c r="W1791" s="64" ph="1"/>
      <c r="X1791" s="241"/>
      <c r="Y1791" s="284"/>
      <c r="Z1791" s="207"/>
      <c r="AA1791" s="284"/>
      <c r="AB1791" s="284"/>
      <c r="AC1791" s="284"/>
      <c r="AD1791" s="284"/>
      <c r="AE1791" s="284"/>
      <c r="AF1791" s="284"/>
      <c r="AG1791" s="284"/>
      <c r="AI1791" s="131"/>
    </row>
    <row r="1792" spans="1:35" ht="26.4">
      <c r="A1792" s="284"/>
      <c r="B1792" s="284"/>
      <c r="C1792" s="284"/>
      <c r="D1792" s="284"/>
      <c r="E1792" s="284"/>
      <c r="F1792" s="284"/>
      <c r="G1792" s="284"/>
      <c r="H1792" s="284"/>
      <c r="I1792" s="284"/>
      <c r="J1792" s="375"/>
      <c r="K1792" s="375"/>
      <c r="L1792" s="375"/>
      <c r="M1792" s="368"/>
      <c r="N1792" s="368"/>
      <c r="O1792" s="370"/>
      <c r="T1792" s="340"/>
      <c r="V1792" s="378"/>
      <c r="W1792" s="64" ph="1"/>
      <c r="X1792" s="241"/>
      <c r="Y1792" s="284"/>
      <c r="Z1792" s="207"/>
      <c r="AA1792" s="284"/>
      <c r="AB1792" s="284"/>
      <c r="AC1792" s="284"/>
      <c r="AD1792" s="284"/>
      <c r="AE1792" s="284"/>
      <c r="AF1792" s="284"/>
      <c r="AG1792" s="284"/>
      <c r="AI1792" s="131"/>
    </row>
    <row r="1793" spans="1:35" ht="26.4">
      <c r="A1793" s="284"/>
      <c r="B1793" s="284"/>
      <c r="C1793" s="284"/>
      <c r="D1793" s="284"/>
      <c r="E1793" s="284"/>
      <c r="F1793" s="284"/>
      <c r="G1793" s="284"/>
      <c r="H1793" s="284"/>
      <c r="I1793" s="284"/>
      <c r="J1793" s="375"/>
      <c r="K1793" s="375"/>
      <c r="L1793" s="375"/>
      <c r="M1793" s="368"/>
      <c r="N1793" s="368"/>
      <c r="O1793" s="370"/>
      <c r="T1793" s="340"/>
      <c r="V1793" s="378"/>
      <c r="W1793" s="64" ph="1"/>
      <c r="X1793" s="241"/>
      <c r="Y1793" s="284"/>
      <c r="Z1793" s="207"/>
      <c r="AA1793" s="284"/>
      <c r="AB1793" s="284"/>
      <c r="AC1793" s="284"/>
      <c r="AD1793" s="284"/>
      <c r="AE1793" s="284"/>
      <c r="AF1793" s="284"/>
      <c r="AG1793" s="284"/>
      <c r="AI1793" s="131"/>
    </row>
    <row r="1794" spans="1:35" ht="26.4">
      <c r="A1794" s="284"/>
      <c r="B1794" s="284"/>
      <c r="C1794" s="284"/>
      <c r="D1794" s="284"/>
      <c r="E1794" s="284"/>
      <c r="F1794" s="284"/>
      <c r="G1794" s="284"/>
      <c r="H1794" s="284"/>
      <c r="I1794" s="284"/>
      <c r="J1794" s="375"/>
      <c r="K1794" s="375"/>
      <c r="L1794" s="375"/>
      <c r="M1794" s="368"/>
      <c r="N1794" s="368"/>
      <c r="O1794" s="370"/>
      <c r="T1794" s="340"/>
      <c r="V1794" s="378"/>
      <c r="W1794" s="64" ph="1"/>
      <c r="X1794" s="241"/>
      <c r="Y1794" s="284"/>
      <c r="Z1794" s="207"/>
      <c r="AA1794" s="284"/>
      <c r="AB1794" s="284"/>
      <c r="AC1794" s="284"/>
      <c r="AD1794" s="284"/>
      <c r="AE1794" s="284"/>
      <c r="AF1794" s="284"/>
      <c r="AG1794" s="284"/>
      <c r="AI1794" s="131"/>
    </row>
    <row r="1795" spans="1:35" ht="26.4">
      <c r="A1795" s="284"/>
      <c r="B1795" s="284"/>
      <c r="C1795" s="284"/>
      <c r="D1795" s="284"/>
      <c r="E1795" s="284"/>
      <c r="F1795" s="284"/>
      <c r="G1795" s="284"/>
      <c r="H1795" s="284"/>
      <c r="I1795" s="284"/>
      <c r="J1795" s="375"/>
      <c r="K1795" s="375"/>
      <c r="L1795" s="375"/>
      <c r="M1795" s="368"/>
      <c r="N1795" s="368"/>
      <c r="O1795" s="370"/>
      <c r="T1795" s="340"/>
      <c r="V1795" s="378"/>
      <c r="W1795" s="64" ph="1"/>
      <c r="X1795" s="241"/>
      <c r="Y1795" s="284"/>
      <c r="Z1795" s="207"/>
      <c r="AA1795" s="284"/>
      <c r="AB1795" s="284"/>
      <c r="AC1795" s="284"/>
      <c r="AD1795" s="284"/>
      <c r="AE1795" s="284"/>
      <c r="AF1795" s="284"/>
      <c r="AG1795" s="284"/>
      <c r="AI1795" s="131"/>
    </row>
    <row r="1796" spans="1:35" ht="26.4">
      <c r="A1796" s="284"/>
      <c r="B1796" s="284"/>
      <c r="C1796" s="284"/>
      <c r="D1796" s="284"/>
      <c r="E1796" s="284"/>
      <c r="F1796" s="284"/>
      <c r="G1796" s="284"/>
      <c r="H1796" s="284"/>
      <c r="I1796" s="284"/>
      <c r="J1796" s="375"/>
      <c r="K1796" s="375"/>
      <c r="L1796" s="375"/>
      <c r="M1796" s="368"/>
      <c r="N1796" s="368"/>
      <c r="O1796" s="370"/>
      <c r="T1796" s="340"/>
      <c r="V1796" s="378"/>
      <c r="W1796" s="64" ph="1"/>
      <c r="X1796" s="241"/>
      <c r="Y1796" s="284"/>
      <c r="Z1796" s="207"/>
      <c r="AA1796" s="284"/>
      <c r="AB1796" s="284"/>
      <c r="AC1796" s="284"/>
      <c r="AD1796" s="284"/>
      <c r="AE1796" s="284"/>
      <c r="AF1796" s="284"/>
      <c r="AG1796" s="284"/>
      <c r="AI1796" s="131"/>
    </row>
    <row r="1797" spans="1:35" ht="26.4">
      <c r="A1797" s="284"/>
      <c r="B1797" s="284"/>
      <c r="C1797" s="284"/>
      <c r="D1797" s="284"/>
      <c r="E1797" s="284"/>
      <c r="F1797" s="284"/>
      <c r="G1797" s="284"/>
      <c r="H1797" s="284"/>
      <c r="I1797" s="284"/>
      <c r="J1797" s="375"/>
      <c r="K1797" s="375"/>
      <c r="L1797" s="375"/>
      <c r="M1797" s="368"/>
      <c r="N1797" s="368"/>
      <c r="O1797" s="370"/>
      <c r="T1797" s="340"/>
      <c r="V1797" s="378"/>
      <c r="W1797" s="64" ph="1"/>
      <c r="X1797" s="241"/>
      <c r="Y1797" s="284"/>
      <c r="Z1797" s="207"/>
      <c r="AA1797" s="284"/>
      <c r="AB1797" s="284"/>
      <c r="AC1797" s="284"/>
      <c r="AD1797" s="284"/>
      <c r="AE1797" s="284"/>
      <c r="AF1797" s="284"/>
      <c r="AG1797" s="284"/>
      <c r="AI1797" s="131"/>
    </row>
    <row r="1798" spans="1:35" ht="26.4">
      <c r="A1798" s="284"/>
      <c r="B1798" s="284"/>
      <c r="C1798" s="284"/>
      <c r="D1798" s="284"/>
      <c r="E1798" s="284"/>
      <c r="F1798" s="284"/>
      <c r="G1798" s="284"/>
      <c r="H1798" s="284"/>
      <c r="I1798" s="284"/>
      <c r="J1798" s="375"/>
      <c r="K1798" s="375"/>
      <c r="L1798" s="375"/>
      <c r="M1798" s="368"/>
      <c r="N1798" s="368"/>
      <c r="O1798" s="370"/>
      <c r="T1798" s="340"/>
      <c r="V1798" s="378"/>
      <c r="W1798" s="64" ph="1"/>
      <c r="X1798" s="241"/>
      <c r="Y1798" s="284"/>
      <c r="Z1798" s="207"/>
      <c r="AA1798" s="284"/>
      <c r="AB1798" s="284"/>
      <c r="AC1798" s="284"/>
      <c r="AD1798" s="284"/>
      <c r="AE1798" s="284"/>
      <c r="AF1798" s="284"/>
      <c r="AG1798" s="284"/>
      <c r="AI1798" s="131"/>
    </row>
    <row r="1799" spans="1:35" ht="26.4">
      <c r="A1799" s="284"/>
      <c r="B1799" s="284"/>
      <c r="C1799" s="284"/>
      <c r="D1799" s="284"/>
      <c r="E1799" s="284"/>
      <c r="F1799" s="284"/>
      <c r="G1799" s="284"/>
      <c r="H1799" s="284"/>
      <c r="I1799" s="284"/>
      <c r="J1799" s="375"/>
      <c r="K1799" s="375"/>
      <c r="L1799" s="375"/>
      <c r="M1799" s="368"/>
      <c r="N1799" s="368"/>
      <c r="O1799" s="370"/>
      <c r="T1799" s="340"/>
      <c r="V1799" s="378"/>
      <c r="W1799" s="64" ph="1"/>
      <c r="X1799" s="241"/>
      <c r="Y1799" s="284"/>
      <c r="Z1799" s="207"/>
      <c r="AA1799" s="284"/>
      <c r="AB1799" s="284"/>
      <c r="AC1799" s="284"/>
      <c r="AD1799" s="284"/>
      <c r="AE1799" s="284"/>
      <c r="AF1799" s="284"/>
      <c r="AG1799" s="284"/>
      <c r="AI1799" s="131"/>
    </row>
    <row r="1800" spans="1:35" ht="26.4">
      <c r="A1800" s="284"/>
      <c r="B1800" s="284"/>
      <c r="C1800" s="284"/>
      <c r="D1800" s="284"/>
      <c r="E1800" s="284"/>
      <c r="F1800" s="284"/>
      <c r="G1800" s="284"/>
      <c r="H1800" s="284"/>
      <c r="I1800" s="284"/>
      <c r="J1800" s="375"/>
      <c r="K1800" s="375"/>
      <c r="L1800" s="375"/>
      <c r="M1800" s="368"/>
      <c r="N1800" s="368"/>
      <c r="O1800" s="370"/>
      <c r="T1800" s="340"/>
      <c r="V1800" s="378"/>
      <c r="W1800" s="64" ph="1"/>
      <c r="X1800" s="241"/>
      <c r="Y1800" s="284"/>
      <c r="Z1800" s="207"/>
      <c r="AA1800" s="284"/>
      <c r="AB1800" s="284"/>
      <c r="AC1800" s="284"/>
      <c r="AD1800" s="284"/>
      <c r="AE1800" s="284"/>
      <c r="AF1800" s="284"/>
      <c r="AG1800" s="284"/>
      <c r="AI1800" s="131"/>
    </row>
    <row r="1801" spans="1:35" ht="26.4">
      <c r="A1801" s="284"/>
      <c r="B1801" s="284"/>
      <c r="C1801" s="284"/>
      <c r="D1801" s="284"/>
      <c r="E1801" s="284"/>
      <c r="F1801" s="284"/>
      <c r="G1801" s="284"/>
      <c r="H1801" s="284"/>
      <c r="I1801" s="284"/>
      <c r="J1801" s="375"/>
      <c r="K1801" s="375"/>
      <c r="L1801" s="375"/>
      <c r="M1801" s="368"/>
      <c r="N1801" s="368"/>
      <c r="O1801" s="370"/>
      <c r="T1801" s="340"/>
      <c r="V1801" s="378"/>
      <c r="W1801" s="64" ph="1"/>
      <c r="X1801" s="241"/>
      <c r="Y1801" s="284"/>
      <c r="Z1801" s="207"/>
      <c r="AA1801" s="284"/>
      <c r="AB1801" s="284"/>
      <c r="AC1801" s="284"/>
      <c r="AD1801" s="284"/>
      <c r="AE1801" s="284"/>
      <c r="AF1801" s="284"/>
      <c r="AG1801" s="284"/>
      <c r="AI1801" s="131"/>
    </row>
    <row r="1802" spans="1:35" ht="26.4">
      <c r="A1802" s="284"/>
      <c r="B1802" s="284"/>
      <c r="C1802" s="284"/>
      <c r="D1802" s="284"/>
      <c r="E1802" s="284"/>
      <c r="F1802" s="284"/>
      <c r="G1802" s="284"/>
      <c r="H1802" s="284"/>
      <c r="I1802" s="284"/>
      <c r="J1802" s="375"/>
      <c r="K1802" s="375"/>
      <c r="L1802" s="375"/>
      <c r="M1802" s="368"/>
      <c r="N1802" s="368"/>
      <c r="O1802" s="370"/>
      <c r="T1802" s="340"/>
      <c r="V1802" s="378"/>
      <c r="W1802" s="64" ph="1"/>
      <c r="X1802" s="241"/>
      <c r="Y1802" s="284"/>
      <c r="Z1802" s="207"/>
      <c r="AA1802" s="284"/>
      <c r="AB1802" s="284"/>
      <c r="AC1802" s="284"/>
      <c r="AD1802" s="284"/>
      <c r="AE1802" s="284"/>
      <c r="AF1802" s="284"/>
      <c r="AG1802" s="284"/>
      <c r="AI1802" s="131"/>
    </row>
    <row r="1803" spans="1:35" ht="26.4">
      <c r="A1803" s="284"/>
      <c r="B1803" s="284"/>
      <c r="C1803" s="284"/>
      <c r="D1803" s="284"/>
      <c r="E1803" s="284"/>
      <c r="F1803" s="284"/>
      <c r="G1803" s="284"/>
      <c r="H1803" s="284"/>
      <c r="I1803" s="284"/>
      <c r="J1803" s="375"/>
      <c r="K1803" s="375"/>
      <c r="L1803" s="375"/>
      <c r="M1803" s="368"/>
      <c r="N1803" s="368"/>
      <c r="O1803" s="370"/>
      <c r="T1803" s="340"/>
      <c r="V1803" s="378"/>
      <c r="W1803" s="64" ph="1"/>
      <c r="X1803" s="241"/>
      <c r="Y1803" s="284"/>
      <c r="Z1803" s="207"/>
      <c r="AA1803" s="284"/>
      <c r="AB1803" s="284"/>
      <c r="AC1803" s="284"/>
      <c r="AD1803" s="284"/>
      <c r="AE1803" s="284"/>
      <c r="AF1803" s="284"/>
      <c r="AG1803" s="284"/>
      <c r="AI1803" s="131"/>
    </row>
    <row r="1804" spans="1:35" ht="26.4">
      <c r="A1804" s="284"/>
      <c r="B1804" s="284"/>
      <c r="C1804" s="284"/>
      <c r="D1804" s="284"/>
      <c r="E1804" s="284"/>
      <c r="F1804" s="284"/>
      <c r="G1804" s="284"/>
      <c r="H1804" s="284"/>
      <c r="I1804" s="284"/>
      <c r="J1804" s="375"/>
      <c r="K1804" s="375"/>
      <c r="L1804" s="375"/>
      <c r="M1804" s="368"/>
      <c r="N1804" s="368"/>
      <c r="O1804" s="370"/>
      <c r="T1804" s="340"/>
      <c r="V1804" s="378"/>
      <c r="W1804" s="64" ph="1"/>
      <c r="X1804" s="241"/>
      <c r="Y1804" s="284"/>
      <c r="Z1804" s="207"/>
      <c r="AA1804" s="284"/>
      <c r="AB1804" s="284"/>
      <c r="AC1804" s="284"/>
      <c r="AD1804" s="284"/>
      <c r="AE1804" s="284"/>
      <c r="AF1804" s="284"/>
      <c r="AG1804" s="284"/>
      <c r="AI1804" s="131"/>
    </row>
    <row r="1805" spans="1:35" ht="26.4">
      <c r="A1805" s="284"/>
      <c r="B1805" s="284"/>
      <c r="C1805" s="284"/>
      <c r="D1805" s="284"/>
      <c r="E1805" s="284"/>
      <c r="F1805" s="284"/>
      <c r="G1805" s="284"/>
      <c r="H1805" s="284"/>
      <c r="I1805" s="284"/>
      <c r="J1805" s="375"/>
      <c r="K1805" s="375"/>
      <c r="L1805" s="375"/>
      <c r="M1805" s="368"/>
      <c r="N1805" s="368"/>
      <c r="O1805" s="370"/>
      <c r="T1805" s="340"/>
      <c r="V1805" s="378"/>
      <c r="W1805" s="64" ph="1"/>
      <c r="X1805" s="241"/>
      <c r="Y1805" s="284"/>
      <c r="Z1805" s="207"/>
      <c r="AA1805" s="284"/>
      <c r="AB1805" s="284"/>
      <c r="AC1805" s="284"/>
      <c r="AD1805" s="284"/>
      <c r="AE1805" s="284"/>
      <c r="AF1805" s="284"/>
      <c r="AG1805" s="284"/>
      <c r="AI1805" s="131"/>
    </row>
    <row r="1806" spans="1:35" ht="26.4">
      <c r="A1806" s="284"/>
      <c r="B1806" s="284"/>
      <c r="C1806" s="284"/>
      <c r="D1806" s="284"/>
      <c r="E1806" s="284"/>
      <c r="F1806" s="284"/>
      <c r="G1806" s="284"/>
      <c r="H1806" s="284"/>
      <c r="I1806" s="284"/>
      <c r="J1806" s="375"/>
      <c r="K1806" s="375"/>
      <c r="L1806" s="375"/>
      <c r="M1806" s="368"/>
      <c r="N1806" s="368"/>
      <c r="O1806" s="370"/>
      <c r="T1806" s="340"/>
      <c r="V1806" s="378"/>
      <c r="W1806" s="64" ph="1"/>
      <c r="X1806" s="241"/>
      <c r="Y1806" s="284"/>
      <c r="Z1806" s="207"/>
      <c r="AA1806" s="284"/>
      <c r="AB1806" s="284"/>
      <c r="AC1806" s="284"/>
      <c r="AD1806" s="284"/>
      <c r="AE1806" s="284"/>
      <c r="AF1806" s="284"/>
      <c r="AG1806" s="284"/>
      <c r="AI1806" s="131"/>
    </row>
    <row r="1807" spans="1:35" ht="26.4">
      <c r="A1807" s="284"/>
      <c r="B1807" s="284"/>
      <c r="C1807" s="284"/>
      <c r="D1807" s="284"/>
      <c r="E1807" s="284"/>
      <c r="F1807" s="284"/>
      <c r="G1807" s="284"/>
      <c r="H1807" s="284"/>
      <c r="I1807" s="284"/>
      <c r="J1807" s="375"/>
      <c r="K1807" s="375"/>
      <c r="L1807" s="375"/>
      <c r="M1807" s="368"/>
      <c r="N1807" s="368"/>
      <c r="O1807" s="370"/>
      <c r="T1807" s="340"/>
      <c r="V1807" s="378"/>
      <c r="W1807" s="64" ph="1"/>
      <c r="X1807" s="241"/>
      <c r="Y1807" s="284"/>
      <c r="Z1807" s="207"/>
      <c r="AA1807" s="284"/>
      <c r="AB1807" s="284"/>
      <c r="AC1807" s="284"/>
      <c r="AD1807" s="284"/>
      <c r="AE1807" s="284"/>
      <c r="AF1807" s="284"/>
      <c r="AG1807" s="284"/>
      <c r="AI1807" s="131"/>
    </row>
    <row r="1808" spans="1:35" ht="26.4">
      <c r="A1808" s="284"/>
      <c r="B1808" s="284"/>
      <c r="C1808" s="284"/>
      <c r="D1808" s="284"/>
      <c r="E1808" s="284"/>
      <c r="F1808" s="284"/>
      <c r="G1808" s="284"/>
      <c r="H1808" s="284"/>
      <c r="I1808" s="284"/>
      <c r="J1808" s="375"/>
      <c r="K1808" s="375"/>
      <c r="L1808" s="375"/>
      <c r="M1808" s="368"/>
      <c r="N1808" s="368"/>
      <c r="O1808" s="370"/>
      <c r="T1808" s="340"/>
      <c r="V1808" s="378"/>
      <c r="W1808" s="64" ph="1"/>
      <c r="X1808" s="241"/>
      <c r="Y1808" s="284"/>
      <c r="Z1808" s="207"/>
      <c r="AA1808" s="284"/>
      <c r="AB1808" s="284"/>
      <c r="AC1808" s="284"/>
      <c r="AD1808" s="284"/>
      <c r="AE1808" s="284"/>
      <c r="AF1808" s="284"/>
      <c r="AG1808" s="284"/>
      <c r="AI1808" s="131"/>
    </row>
    <row r="1809" spans="1:35" ht="26.4">
      <c r="A1809" s="284"/>
      <c r="B1809" s="284"/>
      <c r="C1809" s="284"/>
      <c r="D1809" s="284"/>
      <c r="E1809" s="284"/>
      <c r="F1809" s="284"/>
      <c r="G1809" s="284"/>
      <c r="H1809" s="284"/>
      <c r="I1809" s="284"/>
      <c r="J1809" s="375"/>
      <c r="K1809" s="375"/>
      <c r="L1809" s="375"/>
      <c r="M1809" s="368"/>
      <c r="N1809" s="368"/>
      <c r="O1809" s="370"/>
      <c r="T1809" s="340"/>
      <c r="V1809" s="378"/>
      <c r="W1809" s="64" ph="1"/>
      <c r="X1809" s="241"/>
      <c r="Y1809" s="284"/>
      <c r="Z1809" s="207"/>
      <c r="AA1809" s="284"/>
      <c r="AB1809" s="284"/>
      <c r="AC1809" s="284"/>
      <c r="AD1809" s="284"/>
      <c r="AE1809" s="284"/>
      <c r="AF1809" s="284"/>
      <c r="AG1809" s="284"/>
      <c r="AI1809" s="131"/>
    </row>
    <row r="1810" spans="1:35" ht="26.4">
      <c r="A1810" s="284"/>
      <c r="B1810" s="284"/>
      <c r="C1810" s="284"/>
      <c r="D1810" s="284"/>
      <c r="E1810" s="284"/>
      <c r="F1810" s="284"/>
      <c r="G1810" s="284"/>
      <c r="H1810" s="284"/>
      <c r="I1810" s="284"/>
      <c r="J1810" s="375"/>
      <c r="K1810" s="375"/>
      <c r="L1810" s="375"/>
      <c r="M1810" s="368"/>
      <c r="N1810" s="368"/>
      <c r="O1810" s="370"/>
      <c r="T1810" s="340"/>
      <c r="V1810" s="378"/>
      <c r="W1810" s="64" ph="1"/>
      <c r="X1810" s="241"/>
      <c r="Y1810" s="284"/>
      <c r="Z1810" s="207"/>
      <c r="AA1810" s="284"/>
      <c r="AB1810" s="284"/>
      <c r="AC1810" s="284"/>
      <c r="AD1810" s="284"/>
      <c r="AE1810" s="284"/>
      <c r="AF1810" s="284"/>
      <c r="AG1810" s="284"/>
      <c r="AI1810" s="131"/>
    </row>
    <row r="1811" spans="1:35" ht="26.4">
      <c r="A1811" s="284"/>
      <c r="B1811" s="284"/>
      <c r="C1811" s="284"/>
      <c r="D1811" s="284"/>
      <c r="E1811" s="284"/>
      <c r="F1811" s="284"/>
      <c r="G1811" s="284"/>
      <c r="H1811" s="284"/>
      <c r="I1811" s="284"/>
      <c r="J1811" s="375"/>
      <c r="K1811" s="375"/>
      <c r="L1811" s="375"/>
      <c r="M1811" s="368"/>
      <c r="N1811" s="368"/>
      <c r="O1811" s="370"/>
      <c r="T1811" s="340"/>
      <c r="V1811" s="378"/>
      <c r="W1811" s="64" ph="1"/>
      <c r="X1811" s="241"/>
      <c r="Y1811" s="284"/>
      <c r="Z1811" s="207"/>
      <c r="AA1811" s="284"/>
      <c r="AB1811" s="284"/>
      <c r="AC1811" s="284"/>
      <c r="AD1811" s="284"/>
      <c r="AE1811" s="284"/>
      <c r="AF1811" s="284"/>
      <c r="AG1811" s="284"/>
      <c r="AI1811" s="131"/>
    </row>
    <row r="1812" spans="1:35" ht="26.4">
      <c r="A1812" s="284"/>
      <c r="B1812" s="284"/>
      <c r="C1812" s="284"/>
      <c r="D1812" s="284"/>
      <c r="E1812" s="284"/>
      <c r="F1812" s="284"/>
      <c r="G1812" s="284"/>
      <c r="H1812" s="284"/>
      <c r="I1812" s="284"/>
      <c r="J1812" s="375"/>
      <c r="K1812" s="375"/>
      <c r="L1812" s="375"/>
      <c r="M1812" s="368"/>
      <c r="N1812" s="368"/>
      <c r="O1812" s="370"/>
      <c r="T1812" s="340"/>
      <c r="V1812" s="378"/>
      <c r="W1812" s="64" ph="1"/>
      <c r="X1812" s="241"/>
      <c r="Y1812" s="284"/>
      <c r="Z1812" s="207"/>
      <c r="AA1812" s="284"/>
      <c r="AB1812" s="284"/>
      <c r="AC1812" s="284"/>
      <c r="AD1812" s="284"/>
      <c r="AE1812" s="284"/>
      <c r="AF1812" s="284"/>
      <c r="AG1812" s="284"/>
      <c r="AI1812" s="131"/>
    </row>
    <row r="1813" spans="1:35" ht="26.4">
      <c r="A1813" s="284"/>
      <c r="B1813" s="284"/>
      <c r="C1813" s="284"/>
      <c r="D1813" s="284"/>
      <c r="E1813" s="284"/>
      <c r="F1813" s="284"/>
      <c r="G1813" s="284"/>
      <c r="H1813" s="284"/>
      <c r="I1813" s="284"/>
      <c r="J1813" s="375"/>
      <c r="K1813" s="375"/>
      <c r="L1813" s="375"/>
      <c r="M1813" s="368"/>
      <c r="N1813" s="368"/>
      <c r="O1813" s="370"/>
      <c r="T1813" s="340"/>
      <c r="V1813" s="378"/>
      <c r="W1813" s="64" ph="1"/>
      <c r="X1813" s="241"/>
      <c r="Y1813" s="284"/>
      <c r="Z1813" s="207"/>
      <c r="AA1813" s="284"/>
      <c r="AB1813" s="284"/>
      <c r="AC1813" s="284"/>
      <c r="AD1813" s="284"/>
      <c r="AE1813" s="284"/>
      <c r="AF1813" s="284"/>
      <c r="AG1813" s="284"/>
      <c r="AI1813" s="131"/>
    </row>
    <row r="1814" spans="1:35" ht="26.4">
      <c r="A1814" s="284"/>
      <c r="B1814" s="284"/>
      <c r="C1814" s="284"/>
      <c r="D1814" s="284"/>
      <c r="E1814" s="284"/>
      <c r="F1814" s="284"/>
      <c r="G1814" s="284"/>
      <c r="H1814" s="284"/>
      <c r="I1814" s="284"/>
      <c r="J1814" s="375"/>
      <c r="K1814" s="375"/>
      <c r="L1814" s="375"/>
      <c r="M1814" s="368"/>
      <c r="N1814" s="368"/>
      <c r="O1814" s="370"/>
      <c r="T1814" s="340"/>
      <c r="V1814" s="378"/>
      <c r="W1814" s="64" ph="1"/>
      <c r="X1814" s="241"/>
      <c r="Y1814" s="284"/>
      <c r="Z1814" s="207"/>
      <c r="AA1814" s="284"/>
      <c r="AB1814" s="284"/>
      <c r="AC1814" s="284"/>
      <c r="AD1814" s="284"/>
      <c r="AE1814" s="284"/>
      <c r="AF1814" s="284"/>
      <c r="AG1814" s="284"/>
      <c r="AI1814" s="131"/>
    </row>
    <row r="1815" spans="1:35" ht="26.4">
      <c r="A1815" s="284"/>
      <c r="B1815" s="284"/>
      <c r="C1815" s="284"/>
      <c r="D1815" s="284"/>
      <c r="E1815" s="284"/>
      <c r="F1815" s="284"/>
      <c r="G1815" s="284"/>
      <c r="H1815" s="284"/>
      <c r="I1815" s="284"/>
      <c r="J1815" s="375"/>
      <c r="K1815" s="375"/>
      <c r="L1815" s="375"/>
      <c r="M1815" s="368"/>
      <c r="N1815" s="368"/>
      <c r="O1815" s="370"/>
      <c r="T1815" s="340"/>
      <c r="V1815" s="378"/>
      <c r="W1815" s="64" ph="1"/>
      <c r="X1815" s="241"/>
      <c r="Y1815" s="284"/>
      <c r="Z1815" s="207"/>
      <c r="AA1815" s="284"/>
      <c r="AB1815" s="284"/>
      <c r="AC1815" s="284"/>
      <c r="AD1815" s="284"/>
      <c r="AE1815" s="284"/>
      <c r="AF1815" s="284"/>
      <c r="AG1815" s="284"/>
      <c r="AI1815" s="131"/>
    </row>
    <row r="1816" spans="1:35" ht="26.4">
      <c r="A1816" s="284"/>
      <c r="B1816" s="284"/>
      <c r="C1816" s="284"/>
      <c r="D1816" s="284"/>
      <c r="E1816" s="284"/>
      <c r="F1816" s="284"/>
      <c r="G1816" s="284"/>
      <c r="H1816" s="284"/>
      <c r="I1816" s="284"/>
      <c r="J1816" s="375"/>
      <c r="K1816" s="375"/>
      <c r="L1816" s="375"/>
      <c r="M1816" s="368"/>
      <c r="N1816" s="368"/>
      <c r="O1816" s="370"/>
      <c r="T1816" s="340"/>
      <c r="V1816" s="378"/>
      <c r="W1816" s="64" ph="1"/>
      <c r="X1816" s="241"/>
      <c r="Y1816" s="284"/>
      <c r="Z1816" s="207"/>
      <c r="AA1816" s="284"/>
      <c r="AB1816" s="284"/>
      <c r="AC1816" s="284"/>
      <c r="AD1816" s="284"/>
      <c r="AE1816" s="284"/>
      <c r="AF1816" s="284"/>
      <c r="AG1816" s="284"/>
      <c r="AI1816" s="128"/>
    </row>
    <row r="1817" spans="1:35" ht="26.4">
      <c r="A1817" s="284"/>
      <c r="B1817" s="284"/>
      <c r="C1817" s="284"/>
      <c r="D1817" s="284"/>
      <c r="E1817" s="284"/>
      <c r="F1817" s="284"/>
      <c r="G1817" s="284"/>
      <c r="H1817" s="284"/>
      <c r="I1817" s="284"/>
      <c r="J1817" s="375"/>
      <c r="K1817" s="375"/>
      <c r="L1817" s="375"/>
      <c r="M1817" s="368"/>
      <c r="N1817" s="368"/>
      <c r="O1817" s="370"/>
      <c r="T1817" s="340"/>
      <c r="V1817" s="378"/>
      <c r="W1817" s="64" ph="1"/>
      <c r="X1817" s="241"/>
      <c r="Y1817" s="284"/>
      <c r="Z1817" s="207"/>
      <c r="AA1817" s="284"/>
      <c r="AB1817" s="284"/>
      <c r="AC1817" s="284"/>
      <c r="AD1817" s="284"/>
      <c r="AE1817" s="284"/>
      <c r="AF1817" s="284"/>
      <c r="AG1817" s="284"/>
      <c r="AI1817" s="131"/>
    </row>
    <row r="1818" spans="1:35" ht="26.4">
      <c r="A1818" s="284"/>
      <c r="B1818" s="284"/>
      <c r="C1818" s="284"/>
      <c r="D1818" s="284"/>
      <c r="E1818" s="284"/>
      <c r="F1818" s="284"/>
      <c r="G1818" s="284"/>
      <c r="H1818" s="284"/>
      <c r="I1818" s="284"/>
      <c r="J1818" s="375"/>
      <c r="K1818" s="375"/>
      <c r="L1818" s="375"/>
      <c r="M1818" s="368"/>
      <c r="N1818" s="368"/>
      <c r="O1818" s="370"/>
      <c r="T1818" s="340"/>
      <c r="V1818" s="378"/>
      <c r="W1818" s="64" ph="1"/>
      <c r="X1818" s="241"/>
      <c r="Y1818" s="284"/>
      <c r="Z1818" s="207"/>
      <c r="AA1818" s="284"/>
      <c r="AB1818" s="284"/>
      <c r="AC1818" s="284"/>
      <c r="AD1818" s="284"/>
      <c r="AE1818" s="284"/>
      <c r="AF1818" s="284"/>
      <c r="AG1818" s="284"/>
      <c r="AI1818" s="131"/>
    </row>
    <row r="1819" spans="1:35" ht="26.4">
      <c r="A1819" s="284"/>
      <c r="B1819" s="284"/>
      <c r="C1819" s="284"/>
      <c r="D1819" s="284"/>
      <c r="E1819" s="284"/>
      <c r="F1819" s="284"/>
      <c r="G1819" s="284"/>
      <c r="H1819" s="284"/>
      <c r="I1819" s="284"/>
      <c r="J1819" s="375"/>
      <c r="K1819" s="375"/>
      <c r="L1819" s="375"/>
      <c r="M1819" s="368"/>
      <c r="N1819" s="368"/>
      <c r="O1819" s="370"/>
      <c r="T1819" s="340"/>
      <c r="V1819" s="378"/>
      <c r="W1819" s="64" ph="1"/>
      <c r="X1819" s="241"/>
      <c r="Y1819" s="284"/>
      <c r="Z1819" s="207"/>
      <c r="AA1819" s="284"/>
      <c r="AB1819" s="284"/>
      <c r="AC1819" s="284"/>
      <c r="AD1819" s="284"/>
      <c r="AE1819" s="284"/>
      <c r="AF1819" s="284"/>
      <c r="AG1819" s="284"/>
      <c r="AI1819" s="131"/>
    </row>
    <row r="1820" spans="1:35" ht="26.4">
      <c r="A1820" s="284"/>
      <c r="B1820" s="284"/>
      <c r="C1820" s="284"/>
      <c r="D1820" s="284"/>
      <c r="E1820" s="284"/>
      <c r="F1820" s="284"/>
      <c r="G1820" s="284"/>
      <c r="H1820" s="284"/>
      <c r="I1820" s="284"/>
      <c r="J1820" s="375"/>
      <c r="K1820" s="375"/>
      <c r="L1820" s="375"/>
      <c r="M1820" s="368"/>
      <c r="N1820" s="368"/>
      <c r="O1820" s="370"/>
      <c r="T1820" s="340"/>
      <c r="V1820" s="378"/>
      <c r="W1820" s="64" ph="1"/>
      <c r="X1820" s="241"/>
      <c r="Y1820" s="284"/>
      <c r="Z1820" s="207"/>
      <c r="AA1820" s="284"/>
      <c r="AB1820" s="284"/>
      <c r="AC1820" s="284"/>
      <c r="AD1820" s="284"/>
      <c r="AE1820" s="284"/>
      <c r="AF1820" s="284"/>
      <c r="AG1820" s="284"/>
      <c r="AI1820" s="131"/>
    </row>
    <row r="1821" spans="1:35" ht="26.4">
      <c r="A1821" s="284"/>
      <c r="B1821" s="284"/>
      <c r="C1821" s="284"/>
      <c r="D1821" s="284"/>
      <c r="E1821" s="284"/>
      <c r="F1821" s="284"/>
      <c r="G1821" s="284"/>
      <c r="H1821" s="284"/>
      <c r="I1821" s="284"/>
      <c r="J1821" s="375"/>
      <c r="K1821" s="375"/>
      <c r="L1821" s="375"/>
      <c r="M1821" s="368"/>
      <c r="N1821" s="368"/>
      <c r="O1821" s="370"/>
      <c r="T1821" s="340"/>
      <c r="V1821" s="378"/>
      <c r="W1821" s="64" ph="1"/>
      <c r="X1821" s="241"/>
      <c r="Y1821" s="284"/>
      <c r="Z1821" s="207"/>
      <c r="AA1821" s="284"/>
      <c r="AB1821" s="284"/>
      <c r="AC1821" s="284"/>
      <c r="AD1821" s="284"/>
      <c r="AE1821" s="284"/>
      <c r="AF1821" s="284"/>
      <c r="AG1821" s="284"/>
      <c r="AI1821" s="131"/>
    </row>
    <row r="1822" spans="1:35" ht="26.4">
      <c r="A1822" s="284"/>
      <c r="B1822" s="284"/>
      <c r="C1822" s="284"/>
      <c r="D1822" s="284"/>
      <c r="E1822" s="284"/>
      <c r="F1822" s="284"/>
      <c r="G1822" s="284"/>
      <c r="H1822" s="284"/>
      <c r="I1822" s="284"/>
      <c r="J1822" s="375"/>
      <c r="K1822" s="375"/>
      <c r="L1822" s="375"/>
      <c r="M1822" s="368"/>
      <c r="N1822" s="368"/>
      <c r="O1822" s="370"/>
      <c r="T1822" s="340"/>
      <c r="V1822" s="378"/>
      <c r="W1822" s="64" ph="1"/>
      <c r="X1822" s="241"/>
      <c r="Y1822" s="284"/>
      <c r="Z1822" s="207"/>
      <c r="AA1822" s="284"/>
      <c r="AB1822" s="284"/>
      <c r="AC1822" s="284"/>
      <c r="AD1822" s="284"/>
      <c r="AE1822" s="284"/>
      <c r="AF1822" s="284"/>
      <c r="AG1822" s="284"/>
      <c r="AI1822" s="131"/>
    </row>
    <row r="1823" spans="1:35" ht="26.4">
      <c r="A1823" s="284"/>
      <c r="B1823" s="284"/>
      <c r="C1823" s="284"/>
      <c r="D1823" s="284"/>
      <c r="E1823" s="284"/>
      <c r="F1823" s="284"/>
      <c r="G1823" s="284"/>
      <c r="H1823" s="284"/>
      <c r="I1823" s="284"/>
      <c r="J1823" s="375"/>
      <c r="K1823" s="375"/>
      <c r="L1823" s="375"/>
      <c r="M1823" s="368"/>
      <c r="N1823" s="368"/>
      <c r="O1823" s="370"/>
      <c r="T1823" s="340"/>
      <c r="V1823" s="378"/>
      <c r="W1823" s="64" ph="1"/>
      <c r="X1823" s="241"/>
      <c r="Y1823" s="284"/>
      <c r="Z1823" s="207"/>
      <c r="AA1823" s="284"/>
      <c r="AB1823" s="284"/>
      <c r="AC1823" s="284"/>
      <c r="AD1823" s="284"/>
      <c r="AE1823" s="284"/>
      <c r="AF1823" s="284"/>
      <c r="AG1823" s="284"/>
      <c r="AI1823" s="131"/>
    </row>
    <row r="1824" spans="1:35" ht="26.4">
      <c r="A1824" s="284"/>
      <c r="B1824" s="284"/>
      <c r="C1824" s="284"/>
      <c r="D1824" s="284"/>
      <c r="E1824" s="284"/>
      <c r="F1824" s="284"/>
      <c r="G1824" s="284"/>
      <c r="H1824" s="284"/>
      <c r="I1824" s="284"/>
      <c r="J1824" s="375"/>
      <c r="K1824" s="375"/>
      <c r="L1824" s="375"/>
      <c r="M1824" s="368"/>
      <c r="N1824" s="368"/>
      <c r="O1824" s="370"/>
      <c r="T1824" s="340"/>
      <c r="V1824" s="378"/>
      <c r="W1824" s="64" ph="1"/>
      <c r="X1824" s="241"/>
      <c r="Y1824" s="284"/>
      <c r="Z1824" s="207"/>
      <c r="AA1824" s="284"/>
      <c r="AB1824" s="284"/>
      <c r="AC1824" s="284"/>
      <c r="AD1824" s="284"/>
      <c r="AE1824" s="284"/>
      <c r="AF1824" s="284"/>
      <c r="AG1824" s="284"/>
      <c r="AI1824" s="131"/>
    </row>
    <row r="1825" spans="1:35" ht="26.4">
      <c r="A1825" s="284"/>
      <c r="B1825" s="284"/>
      <c r="C1825" s="284"/>
      <c r="D1825" s="284"/>
      <c r="E1825" s="284"/>
      <c r="F1825" s="284"/>
      <c r="G1825" s="284"/>
      <c r="H1825" s="284"/>
      <c r="I1825" s="284"/>
      <c r="J1825" s="375"/>
      <c r="K1825" s="375"/>
      <c r="L1825" s="375"/>
      <c r="M1825" s="368"/>
      <c r="N1825" s="368"/>
      <c r="O1825" s="370"/>
      <c r="T1825" s="340"/>
      <c r="V1825" s="378"/>
      <c r="W1825" s="64" ph="1"/>
      <c r="X1825" s="241"/>
      <c r="Y1825" s="284"/>
      <c r="Z1825" s="207"/>
      <c r="AA1825" s="284"/>
      <c r="AB1825" s="284"/>
      <c r="AC1825" s="284"/>
      <c r="AD1825" s="284"/>
      <c r="AE1825" s="284"/>
      <c r="AF1825" s="284"/>
      <c r="AG1825" s="284"/>
      <c r="AI1825" s="131"/>
    </row>
    <row r="1826" spans="1:35" ht="26.4">
      <c r="A1826" s="284"/>
      <c r="B1826" s="284"/>
      <c r="C1826" s="284"/>
      <c r="D1826" s="284"/>
      <c r="E1826" s="284"/>
      <c r="F1826" s="284"/>
      <c r="G1826" s="284"/>
      <c r="H1826" s="284"/>
      <c r="I1826" s="284"/>
      <c r="J1826" s="375"/>
      <c r="K1826" s="375"/>
      <c r="L1826" s="375"/>
      <c r="M1826" s="368"/>
      <c r="N1826" s="368"/>
      <c r="O1826" s="370"/>
      <c r="T1826" s="340"/>
      <c r="V1826" s="378"/>
      <c r="W1826" s="64" ph="1"/>
      <c r="X1826" s="241"/>
      <c r="Y1826" s="284"/>
      <c r="Z1826" s="207"/>
      <c r="AA1826" s="284"/>
      <c r="AB1826" s="284"/>
      <c r="AC1826" s="284"/>
      <c r="AD1826" s="284"/>
      <c r="AE1826" s="284"/>
      <c r="AF1826" s="284"/>
      <c r="AG1826" s="284"/>
      <c r="AI1826" s="131"/>
    </row>
    <row r="1827" spans="1:35" ht="26.4">
      <c r="A1827" s="284"/>
      <c r="B1827" s="284"/>
      <c r="C1827" s="284"/>
      <c r="D1827" s="284"/>
      <c r="E1827" s="284"/>
      <c r="F1827" s="284"/>
      <c r="G1827" s="284"/>
      <c r="H1827" s="284"/>
      <c r="I1827" s="284"/>
      <c r="J1827" s="375"/>
      <c r="K1827" s="375"/>
      <c r="L1827" s="375"/>
      <c r="M1827" s="368"/>
      <c r="N1827" s="368"/>
      <c r="O1827" s="370"/>
      <c r="T1827" s="340"/>
      <c r="V1827" s="378"/>
      <c r="W1827" s="64" ph="1"/>
      <c r="X1827" s="241"/>
      <c r="Y1827" s="284"/>
      <c r="Z1827" s="207"/>
      <c r="AA1827" s="284"/>
      <c r="AB1827" s="284"/>
      <c r="AC1827" s="284"/>
      <c r="AD1827" s="284"/>
      <c r="AE1827" s="284"/>
      <c r="AF1827" s="284"/>
      <c r="AG1827" s="284"/>
      <c r="AI1827" s="131"/>
    </row>
    <row r="1828" spans="1:35" ht="26.4">
      <c r="A1828" s="284"/>
      <c r="B1828" s="284"/>
      <c r="C1828" s="284"/>
      <c r="D1828" s="284"/>
      <c r="E1828" s="284"/>
      <c r="F1828" s="284"/>
      <c r="G1828" s="284"/>
      <c r="H1828" s="284"/>
      <c r="I1828" s="284"/>
      <c r="J1828" s="375"/>
      <c r="K1828" s="375"/>
      <c r="L1828" s="375"/>
      <c r="M1828" s="368"/>
      <c r="N1828" s="368"/>
      <c r="O1828" s="370"/>
      <c r="T1828" s="340"/>
      <c r="V1828" s="378"/>
      <c r="W1828" s="64" ph="1"/>
      <c r="X1828" s="241"/>
      <c r="Y1828" s="284"/>
      <c r="Z1828" s="207"/>
      <c r="AA1828" s="284"/>
      <c r="AB1828" s="284"/>
      <c r="AC1828" s="284"/>
      <c r="AD1828" s="284"/>
      <c r="AE1828" s="284"/>
      <c r="AF1828" s="284"/>
      <c r="AG1828" s="284"/>
      <c r="AI1828" s="131"/>
    </row>
    <row r="1829" spans="1:35" ht="26.4">
      <c r="A1829" s="284"/>
      <c r="B1829" s="284"/>
      <c r="C1829" s="284"/>
      <c r="D1829" s="284"/>
      <c r="E1829" s="284"/>
      <c r="F1829" s="284"/>
      <c r="G1829" s="284"/>
      <c r="H1829" s="284"/>
      <c r="I1829" s="284"/>
      <c r="J1829" s="375"/>
      <c r="K1829" s="375"/>
      <c r="L1829" s="375"/>
      <c r="M1829" s="368"/>
      <c r="N1829" s="368"/>
      <c r="O1829" s="370"/>
      <c r="T1829" s="340"/>
      <c r="V1829" s="378"/>
      <c r="W1829" s="64" ph="1"/>
      <c r="X1829" s="241"/>
      <c r="Y1829" s="284"/>
      <c r="Z1829" s="207"/>
      <c r="AA1829" s="284"/>
      <c r="AB1829" s="284"/>
      <c r="AC1829" s="284"/>
      <c r="AD1829" s="284"/>
      <c r="AE1829" s="284"/>
      <c r="AF1829" s="284"/>
      <c r="AG1829" s="284"/>
      <c r="AI1829" s="131"/>
    </row>
    <row r="1830" spans="1:35" ht="26.4">
      <c r="A1830" s="284"/>
      <c r="B1830" s="284"/>
      <c r="C1830" s="284"/>
      <c r="D1830" s="284"/>
      <c r="E1830" s="284"/>
      <c r="F1830" s="284"/>
      <c r="G1830" s="284"/>
      <c r="H1830" s="284"/>
      <c r="I1830" s="284"/>
      <c r="J1830" s="375"/>
      <c r="K1830" s="375"/>
      <c r="L1830" s="375"/>
      <c r="M1830" s="368"/>
      <c r="N1830" s="368"/>
      <c r="O1830" s="370"/>
      <c r="T1830" s="340"/>
      <c r="V1830" s="378"/>
      <c r="W1830" s="64" ph="1"/>
      <c r="X1830" s="241"/>
      <c r="Y1830" s="284"/>
      <c r="Z1830" s="207"/>
      <c r="AA1830" s="284"/>
      <c r="AB1830" s="284"/>
      <c r="AC1830" s="284"/>
      <c r="AD1830" s="284"/>
      <c r="AE1830" s="284"/>
      <c r="AF1830" s="284"/>
      <c r="AG1830" s="284"/>
      <c r="AI1830" s="131"/>
    </row>
    <row r="1831" spans="1:35" ht="26.4">
      <c r="A1831" s="284"/>
      <c r="B1831" s="284"/>
      <c r="C1831" s="284"/>
      <c r="D1831" s="284"/>
      <c r="E1831" s="284"/>
      <c r="F1831" s="284"/>
      <c r="G1831" s="284"/>
      <c r="H1831" s="284"/>
      <c r="I1831" s="284"/>
      <c r="J1831" s="375"/>
      <c r="K1831" s="375"/>
      <c r="L1831" s="375"/>
      <c r="M1831" s="368"/>
      <c r="N1831" s="368"/>
      <c r="O1831" s="370"/>
      <c r="T1831" s="340"/>
      <c r="V1831" s="378"/>
      <c r="W1831" s="64" ph="1"/>
      <c r="X1831" s="241"/>
      <c r="Y1831" s="284"/>
      <c r="Z1831" s="207"/>
      <c r="AA1831" s="284"/>
      <c r="AB1831" s="284"/>
      <c r="AC1831" s="284"/>
      <c r="AD1831" s="284"/>
      <c r="AE1831" s="284"/>
      <c r="AF1831" s="284"/>
      <c r="AG1831" s="284"/>
      <c r="AI1831" s="131"/>
    </row>
    <row r="1832" spans="1:35" ht="26.4">
      <c r="A1832" s="284"/>
      <c r="B1832" s="284"/>
      <c r="C1832" s="284"/>
      <c r="D1832" s="284"/>
      <c r="E1832" s="284"/>
      <c r="F1832" s="284"/>
      <c r="G1832" s="284"/>
      <c r="H1832" s="284"/>
      <c r="I1832" s="284"/>
      <c r="J1832" s="375"/>
      <c r="K1832" s="375"/>
      <c r="L1832" s="375"/>
      <c r="M1832" s="368"/>
      <c r="N1832" s="368"/>
      <c r="O1832" s="370"/>
      <c r="T1832" s="340"/>
      <c r="V1832" s="378"/>
      <c r="W1832" s="64" ph="1"/>
      <c r="X1832" s="241"/>
      <c r="Y1832" s="284"/>
      <c r="Z1832" s="207"/>
      <c r="AA1832" s="284"/>
      <c r="AB1832" s="284"/>
      <c r="AC1832" s="284"/>
      <c r="AD1832" s="284"/>
      <c r="AE1832" s="284"/>
      <c r="AF1832" s="284"/>
      <c r="AG1832" s="284"/>
      <c r="AI1832" s="131"/>
    </row>
    <row r="1833" spans="1:35" ht="26.4">
      <c r="A1833" s="284"/>
      <c r="B1833" s="284"/>
      <c r="C1833" s="284"/>
      <c r="D1833" s="284"/>
      <c r="E1833" s="284"/>
      <c r="F1833" s="284"/>
      <c r="G1833" s="284"/>
      <c r="H1833" s="284"/>
      <c r="I1833" s="284"/>
      <c r="J1833" s="375"/>
      <c r="K1833" s="375"/>
      <c r="L1833" s="375"/>
      <c r="M1833" s="368"/>
      <c r="N1833" s="368"/>
      <c r="O1833" s="370"/>
      <c r="T1833" s="340"/>
      <c r="V1833" s="378"/>
      <c r="W1833" s="64" ph="1"/>
      <c r="X1833" s="241"/>
      <c r="Y1833" s="284"/>
      <c r="Z1833" s="207"/>
      <c r="AA1833" s="284"/>
      <c r="AB1833" s="284"/>
      <c r="AC1833" s="284"/>
      <c r="AD1833" s="284"/>
      <c r="AE1833" s="284"/>
      <c r="AF1833" s="284"/>
      <c r="AG1833" s="284"/>
      <c r="AI1833" s="131"/>
    </row>
    <row r="1834" spans="1:35" ht="26.4">
      <c r="A1834" s="284"/>
      <c r="B1834" s="284"/>
      <c r="C1834" s="284"/>
      <c r="D1834" s="284"/>
      <c r="E1834" s="284"/>
      <c r="F1834" s="284"/>
      <c r="G1834" s="284"/>
      <c r="H1834" s="284"/>
      <c r="I1834" s="284"/>
      <c r="J1834" s="375"/>
      <c r="K1834" s="375"/>
      <c r="L1834" s="375"/>
      <c r="M1834" s="368"/>
      <c r="N1834" s="368"/>
      <c r="O1834" s="370"/>
      <c r="T1834" s="340"/>
      <c r="V1834" s="378"/>
      <c r="W1834" s="64" ph="1"/>
      <c r="X1834" s="241"/>
      <c r="Y1834" s="284"/>
      <c r="Z1834" s="207"/>
      <c r="AA1834" s="284"/>
      <c r="AB1834" s="284"/>
      <c r="AC1834" s="284"/>
      <c r="AD1834" s="284"/>
      <c r="AE1834" s="284"/>
      <c r="AF1834" s="284"/>
      <c r="AG1834" s="284"/>
      <c r="AI1834" s="131"/>
    </row>
    <row r="1835" spans="1:35" ht="26.4">
      <c r="A1835" s="284"/>
      <c r="B1835" s="284"/>
      <c r="C1835" s="284"/>
      <c r="D1835" s="284"/>
      <c r="E1835" s="284"/>
      <c r="F1835" s="284"/>
      <c r="G1835" s="284"/>
      <c r="H1835" s="284"/>
      <c r="I1835" s="284"/>
      <c r="J1835" s="375"/>
      <c r="K1835" s="375"/>
      <c r="L1835" s="375"/>
      <c r="M1835" s="368"/>
      <c r="N1835" s="368"/>
      <c r="O1835" s="370"/>
      <c r="T1835" s="340"/>
      <c r="V1835" s="378"/>
      <c r="W1835" s="64" ph="1"/>
      <c r="X1835" s="241"/>
      <c r="Y1835" s="284"/>
      <c r="Z1835" s="207"/>
      <c r="AA1835" s="284"/>
      <c r="AB1835" s="284"/>
      <c r="AC1835" s="284"/>
      <c r="AD1835" s="284"/>
      <c r="AE1835" s="284"/>
      <c r="AF1835" s="284"/>
      <c r="AG1835" s="284"/>
      <c r="AI1835" s="131"/>
    </row>
    <row r="1836" spans="1:35" ht="26.4">
      <c r="A1836" s="284"/>
      <c r="B1836" s="284"/>
      <c r="C1836" s="284"/>
      <c r="D1836" s="284"/>
      <c r="E1836" s="284"/>
      <c r="F1836" s="284"/>
      <c r="G1836" s="284"/>
      <c r="H1836" s="284"/>
      <c r="I1836" s="284"/>
      <c r="J1836" s="375"/>
      <c r="K1836" s="375"/>
      <c r="L1836" s="375"/>
      <c r="M1836" s="368"/>
      <c r="N1836" s="368"/>
      <c r="O1836" s="370"/>
      <c r="T1836" s="340"/>
      <c r="V1836" s="378"/>
      <c r="W1836" s="64" ph="1"/>
      <c r="X1836" s="241"/>
      <c r="Y1836" s="284"/>
      <c r="Z1836" s="207"/>
      <c r="AA1836" s="284"/>
      <c r="AB1836" s="284"/>
      <c r="AC1836" s="284"/>
      <c r="AD1836" s="284"/>
      <c r="AE1836" s="284"/>
      <c r="AF1836" s="284"/>
      <c r="AG1836" s="284"/>
      <c r="AI1836" s="131"/>
    </row>
    <row r="1837" spans="1:35" ht="26.4">
      <c r="A1837" s="284"/>
      <c r="B1837" s="284"/>
      <c r="C1837" s="284"/>
      <c r="D1837" s="284"/>
      <c r="E1837" s="284"/>
      <c r="F1837" s="284"/>
      <c r="G1837" s="284"/>
      <c r="H1837" s="284"/>
      <c r="I1837" s="284"/>
      <c r="J1837" s="375"/>
      <c r="K1837" s="375"/>
      <c r="L1837" s="375"/>
      <c r="M1837" s="368"/>
      <c r="N1837" s="368"/>
      <c r="O1837" s="370"/>
      <c r="T1837" s="340"/>
      <c r="V1837" s="378"/>
      <c r="W1837" s="64" ph="1"/>
      <c r="X1837" s="241"/>
      <c r="Y1837" s="284"/>
      <c r="Z1837" s="207"/>
      <c r="AA1837" s="284"/>
      <c r="AB1837" s="284"/>
      <c r="AC1837" s="284"/>
      <c r="AD1837" s="284"/>
      <c r="AE1837" s="284"/>
      <c r="AF1837" s="284"/>
      <c r="AG1837" s="284"/>
      <c r="AI1837" s="131"/>
    </row>
    <row r="1838" spans="1:35" ht="26.4">
      <c r="A1838" s="284"/>
      <c r="B1838" s="284"/>
      <c r="C1838" s="284"/>
      <c r="D1838" s="284"/>
      <c r="E1838" s="284"/>
      <c r="F1838" s="284"/>
      <c r="G1838" s="284"/>
      <c r="H1838" s="284"/>
      <c r="I1838" s="284"/>
      <c r="J1838" s="375"/>
      <c r="K1838" s="375"/>
      <c r="L1838" s="375"/>
      <c r="M1838" s="368"/>
      <c r="N1838" s="368"/>
      <c r="O1838" s="370"/>
      <c r="T1838" s="340"/>
      <c r="V1838" s="378"/>
      <c r="W1838" s="64" ph="1"/>
      <c r="X1838" s="241"/>
      <c r="Y1838" s="284"/>
      <c r="Z1838" s="207"/>
      <c r="AA1838" s="284"/>
      <c r="AB1838" s="284"/>
      <c r="AC1838" s="284"/>
      <c r="AD1838" s="284"/>
      <c r="AE1838" s="284"/>
      <c r="AF1838" s="284"/>
      <c r="AG1838" s="284"/>
      <c r="AI1838" s="131"/>
    </row>
    <row r="1839" spans="1:35" ht="26.4">
      <c r="A1839" s="284"/>
      <c r="B1839" s="284"/>
      <c r="C1839" s="284"/>
      <c r="D1839" s="284"/>
      <c r="E1839" s="284"/>
      <c r="F1839" s="284"/>
      <c r="G1839" s="284"/>
      <c r="H1839" s="284"/>
      <c r="I1839" s="284"/>
      <c r="J1839" s="375"/>
      <c r="K1839" s="375"/>
      <c r="L1839" s="375"/>
      <c r="M1839" s="368"/>
      <c r="N1839" s="368"/>
      <c r="O1839" s="370"/>
      <c r="T1839" s="340"/>
      <c r="V1839" s="378"/>
      <c r="W1839" s="64" ph="1"/>
      <c r="X1839" s="241"/>
      <c r="Y1839" s="284"/>
      <c r="Z1839" s="207"/>
      <c r="AA1839" s="284"/>
      <c r="AB1839" s="284"/>
      <c r="AC1839" s="284"/>
      <c r="AD1839" s="284"/>
      <c r="AE1839" s="284"/>
      <c r="AF1839" s="284"/>
      <c r="AG1839" s="284"/>
      <c r="AI1839" s="131"/>
    </row>
    <row r="1840" spans="1:35" ht="26.4">
      <c r="A1840" s="284"/>
      <c r="B1840" s="284"/>
      <c r="C1840" s="284"/>
      <c r="D1840" s="284"/>
      <c r="E1840" s="284"/>
      <c r="F1840" s="284"/>
      <c r="G1840" s="284"/>
      <c r="H1840" s="284"/>
      <c r="I1840" s="284"/>
      <c r="J1840" s="375"/>
      <c r="K1840" s="375"/>
      <c r="L1840" s="375"/>
      <c r="M1840" s="368"/>
      <c r="N1840" s="368"/>
      <c r="O1840" s="370"/>
      <c r="T1840" s="340"/>
      <c r="V1840" s="378"/>
      <c r="W1840" s="64" ph="1"/>
      <c r="X1840" s="241"/>
      <c r="Y1840" s="284"/>
      <c r="Z1840" s="207"/>
      <c r="AA1840" s="284"/>
      <c r="AB1840" s="284"/>
      <c r="AC1840" s="284"/>
      <c r="AD1840" s="284"/>
      <c r="AE1840" s="284"/>
      <c r="AF1840" s="284"/>
      <c r="AG1840" s="284"/>
      <c r="AI1840" s="284"/>
    </row>
    <row r="1841" spans="1:35" ht="26.4">
      <c r="A1841" s="284"/>
      <c r="B1841" s="284"/>
      <c r="C1841" s="284"/>
      <c r="D1841" s="284"/>
      <c r="E1841" s="284"/>
      <c r="F1841" s="284"/>
      <c r="G1841" s="284"/>
      <c r="H1841" s="284"/>
      <c r="I1841" s="284"/>
      <c r="J1841" s="375"/>
      <c r="K1841" s="375"/>
      <c r="L1841" s="375"/>
      <c r="M1841" s="368"/>
      <c r="N1841" s="368"/>
      <c r="O1841" s="370"/>
      <c r="T1841" s="340"/>
      <c r="V1841" s="378"/>
      <c r="W1841" s="64" ph="1"/>
      <c r="X1841" s="241"/>
      <c r="Y1841" s="284"/>
      <c r="Z1841" s="207"/>
      <c r="AA1841" s="284"/>
      <c r="AB1841" s="284"/>
      <c r="AC1841" s="284"/>
      <c r="AD1841" s="284"/>
      <c r="AE1841" s="284"/>
      <c r="AF1841" s="284"/>
      <c r="AG1841" s="284"/>
      <c r="AI1841" s="131"/>
    </row>
    <row r="1842" spans="1:35" ht="26.4">
      <c r="A1842" s="284"/>
      <c r="B1842" s="284"/>
      <c r="C1842" s="284"/>
      <c r="D1842" s="284"/>
      <c r="E1842" s="284"/>
      <c r="F1842" s="284"/>
      <c r="G1842" s="284"/>
      <c r="H1842" s="284"/>
      <c r="I1842" s="284"/>
      <c r="J1842" s="375"/>
      <c r="K1842" s="375"/>
      <c r="L1842" s="375"/>
      <c r="M1842" s="368"/>
      <c r="N1842" s="368"/>
      <c r="O1842" s="370"/>
      <c r="T1842" s="340"/>
      <c r="V1842" s="378"/>
      <c r="W1842" s="64" ph="1"/>
      <c r="X1842" s="241"/>
      <c r="Y1842" s="284"/>
      <c r="Z1842" s="207"/>
      <c r="AA1842" s="284"/>
      <c r="AB1842" s="284"/>
      <c r="AC1842" s="284"/>
      <c r="AD1842" s="284"/>
      <c r="AE1842" s="284"/>
      <c r="AF1842" s="284"/>
      <c r="AG1842" s="284"/>
      <c r="AI1842" s="131"/>
    </row>
    <row r="1843" spans="1:35" ht="26.4">
      <c r="A1843" s="284"/>
      <c r="B1843" s="284"/>
      <c r="C1843" s="284"/>
      <c r="D1843" s="284"/>
      <c r="E1843" s="284"/>
      <c r="F1843" s="284"/>
      <c r="G1843" s="284"/>
      <c r="H1843" s="284"/>
      <c r="I1843" s="284"/>
      <c r="J1843" s="375"/>
      <c r="K1843" s="375"/>
      <c r="L1843" s="375"/>
      <c r="M1843" s="368"/>
      <c r="N1843" s="368"/>
      <c r="O1843" s="370"/>
      <c r="T1843" s="340"/>
      <c r="V1843" s="378"/>
      <c r="W1843" s="64" ph="1"/>
      <c r="X1843" s="241"/>
      <c r="Y1843" s="284"/>
      <c r="Z1843" s="207"/>
      <c r="AA1843" s="284"/>
      <c r="AB1843" s="284"/>
      <c r="AC1843" s="284"/>
      <c r="AD1843" s="284"/>
      <c r="AE1843" s="284"/>
      <c r="AF1843" s="284"/>
      <c r="AG1843" s="284"/>
      <c r="AI1843" s="131"/>
    </row>
    <row r="1844" spans="1:35" ht="26.4">
      <c r="A1844" s="284"/>
      <c r="B1844" s="284"/>
      <c r="C1844" s="284"/>
      <c r="D1844" s="284"/>
      <c r="E1844" s="284"/>
      <c r="F1844" s="284"/>
      <c r="G1844" s="284"/>
      <c r="H1844" s="284"/>
      <c r="I1844" s="284"/>
      <c r="J1844" s="375"/>
      <c r="K1844" s="375"/>
      <c r="L1844" s="375"/>
      <c r="M1844" s="368"/>
      <c r="N1844" s="368"/>
      <c r="O1844" s="370"/>
      <c r="T1844" s="340"/>
      <c r="V1844" s="378"/>
      <c r="W1844" s="64" ph="1"/>
      <c r="X1844" s="241"/>
      <c r="Y1844" s="284"/>
      <c r="Z1844" s="207"/>
      <c r="AA1844" s="284"/>
      <c r="AB1844" s="284"/>
      <c r="AC1844" s="284"/>
      <c r="AD1844" s="284"/>
      <c r="AE1844" s="284"/>
      <c r="AF1844" s="284"/>
      <c r="AG1844" s="284"/>
      <c r="AI1844" s="131"/>
    </row>
    <row r="1845" spans="1:35" ht="26.4">
      <c r="A1845" s="284"/>
      <c r="B1845" s="284"/>
      <c r="C1845" s="284"/>
      <c r="D1845" s="284"/>
      <c r="E1845" s="284"/>
      <c r="F1845" s="284"/>
      <c r="G1845" s="284"/>
      <c r="H1845" s="284"/>
      <c r="I1845" s="284"/>
      <c r="J1845" s="375"/>
      <c r="K1845" s="375"/>
      <c r="L1845" s="375"/>
      <c r="M1845" s="368"/>
      <c r="N1845" s="368"/>
      <c r="O1845" s="370"/>
      <c r="T1845" s="340"/>
      <c r="V1845" s="378"/>
      <c r="W1845" s="64" ph="1"/>
      <c r="X1845" s="241"/>
      <c r="Y1845" s="284"/>
      <c r="Z1845" s="207"/>
      <c r="AA1845" s="284"/>
      <c r="AB1845" s="284"/>
      <c r="AC1845" s="284"/>
      <c r="AD1845" s="284"/>
      <c r="AE1845" s="284"/>
      <c r="AF1845" s="284"/>
      <c r="AG1845" s="284"/>
      <c r="AI1845" s="284"/>
    </row>
    <row r="1846" spans="1:35" ht="26.4">
      <c r="A1846" s="284"/>
      <c r="B1846" s="284"/>
      <c r="C1846" s="284"/>
      <c r="D1846" s="284"/>
      <c r="E1846" s="284"/>
      <c r="F1846" s="284"/>
      <c r="G1846" s="284"/>
      <c r="H1846" s="284"/>
      <c r="I1846" s="284"/>
      <c r="J1846" s="375"/>
      <c r="K1846" s="375"/>
      <c r="L1846" s="375"/>
      <c r="M1846" s="368"/>
      <c r="N1846" s="368"/>
      <c r="O1846" s="370"/>
      <c r="T1846" s="340"/>
      <c r="V1846" s="378"/>
      <c r="W1846" s="64" ph="1"/>
      <c r="X1846" s="241"/>
      <c r="Y1846" s="284"/>
      <c r="Z1846" s="207"/>
      <c r="AA1846" s="284"/>
      <c r="AB1846" s="284"/>
      <c r="AC1846" s="284"/>
      <c r="AD1846" s="284"/>
      <c r="AE1846" s="284"/>
      <c r="AF1846" s="284"/>
      <c r="AG1846" s="284"/>
      <c r="AI1846" s="131"/>
    </row>
    <row r="1847" spans="1:35" ht="26.4">
      <c r="A1847" s="284"/>
      <c r="B1847" s="284"/>
      <c r="C1847" s="284"/>
      <c r="D1847" s="284"/>
      <c r="E1847" s="284"/>
      <c r="F1847" s="284"/>
      <c r="G1847" s="284"/>
      <c r="H1847" s="284"/>
      <c r="I1847" s="284"/>
      <c r="J1847" s="375"/>
      <c r="K1847" s="375"/>
      <c r="L1847" s="375"/>
      <c r="M1847" s="368"/>
      <c r="N1847" s="368"/>
      <c r="O1847" s="370"/>
      <c r="T1847" s="340"/>
      <c r="V1847" s="378"/>
      <c r="W1847" s="64" ph="1"/>
      <c r="X1847" s="241"/>
      <c r="Y1847" s="284"/>
      <c r="Z1847" s="207"/>
      <c r="AA1847" s="284"/>
      <c r="AB1847" s="284"/>
      <c r="AC1847" s="284"/>
      <c r="AD1847" s="284"/>
      <c r="AE1847" s="284"/>
      <c r="AF1847" s="284"/>
      <c r="AG1847" s="284"/>
      <c r="AI1847" s="131"/>
    </row>
    <row r="1848" spans="1:35" ht="26.4">
      <c r="A1848" s="284"/>
      <c r="B1848" s="284"/>
      <c r="C1848" s="284"/>
      <c r="D1848" s="284"/>
      <c r="E1848" s="284"/>
      <c r="F1848" s="284"/>
      <c r="G1848" s="284"/>
      <c r="H1848" s="284"/>
      <c r="I1848" s="284"/>
      <c r="J1848" s="375"/>
      <c r="K1848" s="375"/>
      <c r="L1848" s="375"/>
      <c r="M1848" s="368"/>
      <c r="N1848" s="368"/>
      <c r="O1848" s="370"/>
      <c r="T1848" s="340"/>
      <c r="V1848" s="378"/>
      <c r="W1848" s="64" ph="1"/>
      <c r="X1848" s="241"/>
      <c r="Y1848" s="284"/>
      <c r="Z1848" s="207"/>
      <c r="AA1848" s="284"/>
      <c r="AB1848" s="284"/>
      <c r="AC1848" s="284"/>
      <c r="AD1848" s="284"/>
      <c r="AE1848" s="284"/>
      <c r="AF1848" s="284"/>
      <c r="AG1848" s="284"/>
      <c r="AI1848" s="131"/>
    </row>
    <row r="1849" spans="1:35" ht="26.4">
      <c r="A1849" s="284"/>
      <c r="B1849" s="284"/>
      <c r="C1849" s="284"/>
      <c r="D1849" s="284"/>
      <c r="E1849" s="284"/>
      <c r="F1849" s="284"/>
      <c r="G1849" s="284"/>
      <c r="H1849" s="284"/>
      <c r="I1849" s="284"/>
      <c r="J1849" s="375"/>
      <c r="K1849" s="375"/>
      <c r="L1849" s="375"/>
      <c r="M1849" s="368"/>
      <c r="N1849" s="368"/>
      <c r="O1849" s="370"/>
      <c r="T1849" s="340"/>
      <c r="V1849" s="378"/>
      <c r="W1849" s="64" ph="1"/>
      <c r="X1849" s="241"/>
      <c r="Y1849" s="284"/>
      <c r="Z1849" s="207"/>
      <c r="AA1849" s="284"/>
      <c r="AB1849" s="284"/>
      <c r="AC1849" s="284"/>
      <c r="AD1849" s="284"/>
      <c r="AE1849" s="284"/>
      <c r="AF1849" s="284"/>
      <c r="AG1849" s="284"/>
      <c r="AI1849" s="131"/>
    </row>
    <row r="1850" spans="1:35" ht="26.4">
      <c r="A1850" s="284"/>
      <c r="B1850" s="284"/>
      <c r="C1850" s="284"/>
      <c r="D1850" s="284"/>
      <c r="E1850" s="284"/>
      <c r="F1850" s="284"/>
      <c r="G1850" s="284"/>
      <c r="H1850" s="284"/>
      <c r="I1850" s="284"/>
      <c r="J1850" s="375"/>
      <c r="K1850" s="375"/>
      <c r="L1850" s="375"/>
      <c r="M1850" s="368"/>
      <c r="N1850" s="368"/>
      <c r="O1850" s="370"/>
      <c r="T1850" s="340"/>
      <c r="V1850" s="378"/>
      <c r="W1850" s="64" ph="1"/>
      <c r="X1850" s="241"/>
      <c r="Y1850" s="284"/>
      <c r="Z1850" s="207"/>
      <c r="AA1850" s="284"/>
      <c r="AB1850" s="284"/>
      <c r="AC1850" s="284"/>
      <c r="AD1850" s="284"/>
      <c r="AE1850" s="284"/>
      <c r="AF1850" s="284"/>
      <c r="AG1850" s="284"/>
      <c r="AI1850" s="131"/>
    </row>
    <row r="1851" spans="1:35" ht="26.4">
      <c r="A1851" s="284"/>
      <c r="B1851" s="284"/>
      <c r="C1851" s="284"/>
      <c r="D1851" s="284"/>
      <c r="E1851" s="284"/>
      <c r="F1851" s="284"/>
      <c r="G1851" s="284"/>
      <c r="H1851" s="284"/>
      <c r="I1851" s="284"/>
      <c r="J1851" s="375"/>
      <c r="K1851" s="375"/>
      <c r="L1851" s="375"/>
      <c r="M1851" s="368"/>
      <c r="N1851" s="368"/>
      <c r="O1851" s="370"/>
      <c r="T1851" s="340"/>
      <c r="V1851" s="378"/>
      <c r="W1851" s="64" ph="1"/>
      <c r="X1851" s="241"/>
      <c r="Y1851" s="284"/>
      <c r="Z1851" s="207"/>
      <c r="AA1851" s="284"/>
      <c r="AB1851" s="284"/>
      <c r="AC1851" s="284"/>
      <c r="AD1851" s="284"/>
      <c r="AE1851" s="284"/>
      <c r="AF1851" s="284"/>
      <c r="AG1851" s="284"/>
      <c r="AI1851" s="131"/>
    </row>
    <row r="1852" spans="1:35" ht="26.4">
      <c r="A1852" s="284"/>
      <c r="B1852" s="284"/>
      <c r="C1852" s="284"/>
      <c r="D1852" s="284"/>
      <c r="E1852" s="284"/>
      <c r="F1852" s="284"/>
      <c r="G1852" s="284"/>
      <c r="H1852" s="284"/>
      <c r="I1852" s="284"/>
      <c r="J1852" s="375"/>
      <c r="K1852" s="375"/>
      <c r="L1852" s="375"/>
      <c r="M1852" s="368"/>
      <c r="N1852" s="368"/>
      <c r="O1852" s="370"/>
      <c r="T1852" s="340"/>
      <c r="V1852" s="378"/>
      <c r="W1852" s="64" ph="1"/>
      <c r="X1852" s="241"/>
      <c r="Y1852" s="284"/>
      <c r="Z1852" s="207"/>
      <c r="AA1852" s="284"/>
      <c r="AB1852" s="284"/>
      <c r="AC1852" s="284"/>
      <c r="AD1852" s="284"/>
      <c r="AE1852" s="284"/>
      <c r="AF1852" s="284"/>
      <c r="AG1852" s="284"/>
      <c r="AI1852" s="131"/>
    </row>
    <row r="1853" spans="1:35" ht="26.4">
      <c r="A1853" s="284"/>
      <c r="B1853" s="284"/>
      <c r="C1853" s="284"/>
      <c r="D1853" s="284"/>
      <c r="E1853" s="284"/>
      <c r="F1853" s="284"/>
      <c r="G1853" s="284"/>
      <c r="H1853" s="284"/>
      <c r="I1853" s="284"/>
      <c r="J1853" s="375"/>
      <c r="K1853" s="375"/>
      <c r="L1853" s="375"/>
      <c r="M1853" s="368"/>
      <c r="N1853" s="368"/>
      <c r="O1853" s="370"/>
      <c r="T1853" s="340"/>
      <c r="V1853" s="378"/>
      <c r="W1853" s="64" ph="1"/>
      <c r="X1853" s="241"/>
      <c r="Y1853" s="284"/>
      <c r="Z1853" s="207"/>
      <c r="AA1853" s="284"/>
      <c r="AB1853" s="284"/>
      <c r="AC1853" s="284"/>
      <c r="AD1853" s="284"/>
      <c r="AE1853" s="284"/>
      <c r="AF1853" s="284"/>
      <c r="AG1853" s="284"/>
      <c r="AI1853" s="131"/>
    </row>
    <row r="1854" spans="1:35" ht="26.4">
      <c r="A1854" s="284"/>
      <c r="B1854" s="284"/>
      <c r="C1854" s="284"/>
      <c r="D1854" s="284"/>
      <c r="E1854" s="284"/>
      <c r="F1854" s="284"/>
      <c r="G1854" s="284"/>
      <c r="H1854" s="284"/>
      <c r="I1854" s="284"/>
      <c r="J1854" s="375"/>
      <c r="K1854" s="375"/>
      <c r="L1854" s="375"/>
      <c r="M1854" s="368"/>
      <c r="N1854" s="368"/>
      <c r="O1854" s="370"/>
      <c r="T1854" s="340"/>
      <c r="V1854" s="378"/>
      <c r="W1854" s="64" ph="1"/>
      <c r="X1854" s="241"/>
      <c r="Y1854" s="284"/>
      <c r="Z1854" s="207"/>
      <c r="AA1854" s="284"/>
      <c r="AB1854" s="284"/>
      <c r="AC1854" s="284"/>
      <c r="AD1854" s="284"/>
      <c r="AE1854" s="284"/>
      <c r="AF1854" s="284"/>
      <c r="AG1854" s="284"/>
      <c r="AI1854" s="131"/>
    </row>
    <row r="1855" spans="1:35" ht="26.4">
      <c r="A1855" s="284"/>
      <c r="B1855" s="284"/>
      <c r="C1855" s="284"/>
      <c r="D1855" s="284"/>
      <c r="E1855" s="284"/>
      <c r="F1855" s="284"/>
      <c r="G1855" s="284"/>
      <c r="H1855" s="284"/>
      <c r="I1855" s="284"/>
      <c r="J1855" s="375"/>
      <c r="K1855" s="375"/>
      <c r="L1855" s="375"/>
      <c r="M1855" s="368"/>
      <c r="N1855" s="368"/>
      <c r="O1855" s="370"/>
      <c r="T1855" s="340"/>
      <c r="V1855" s="378"/>
      <c r="W1855" s="64" ph="1"/>
      <c r="X1855" s="241"/>
      <c r="Y1855" s="284"/>
      <c r="Z1855" s="207"/>
      <c r="AA1855" s="284"/>
      <c r="AB1855" s="284"/>
      <c r="AC1855" s="284"/>
      <c r="AD1855" s="284"/>
      <c r="AE1855" s="284"/>
      <c r="AF1855" s="284"/>
      <c r="AG1855" s="284"/>
      <c r="AI1855" s="131"/>
    </row>
    <row r="1856" spans="1:35" ht="26.4">
      <c r="A1856" s="284"/>
      <c r="B1856" s="284"/>
      <c r="C1856" s="284"/>
      <c r="D1856" s="284"/>
      <c r="E1856" s="284"/>
      <c r="F1856" s="284"/>
      <c r="G1856" s="284"/>
      <c r="H1856" s="284"/>
      <c r="I1856" s="284"/>
      <c r="J1856" s="375"/>
      <c r="K1856" s="375"/>
      <c r="L1856" s="375"/>
      <c r="M1856" s="368"/>
      <c r="N1856" s="368"/>
      <c r="O1856" s="370"/>
      <c r="T1856" s="340"/>
      <c r="V1856" s="378"/>
      <c r="W1856" s="64" ph="1"/>
      <c r="X1856" s="241"/>
      <c r="Y1856" s="284"/>
      <c r="Z1856" s="207"/>
      <c r="AA1856" s="284"/>
      <c r="AB1856" s="284"/>
      <c r="AC1856" s="284"/>
      <c r="AD1856" s="284"/>
      <c r="AE1856" s="284"/>
      <c r="AF1856" s="284"/>
      <c r="AG1856" s="284"/>
      <c r="AI1856" s="131"/>
    </row>
    <row r="1857" spans="1:35" ht="26.4">
      <c r="A1857" s="284"/>
      <c r="B1857" s="284"/>
      <c r="C1857" s="284"/>
      <c r="D1857" s="284"/>
      <c r="E1857" s="284"/>
      <c r="F1857" s="284"/>
      <c r="G1857" s="284"/>
      <c r="H1857" s="284"/>
      <c r="I1857" s="284"/>
      <c r="J1857" s="375"/>
      <c r="K1857" s="375"/>
      <c r="L1857" s="375"/>
      <c r="M1857" s="368"/>
      <c r="N1857" s="368"/>
      <c r="O1857" s="370"/>
      <c r="T1857" s="340"/>
      <c r="V1857" s="378"/>
      <c r="W1857" s="64" ph="1"/>
      <c r="X1857" s="241"/>
      <c r="Y1857" s="284"/>
      <c r="Z1857" s="207"/>
      <c r="AA1857" s="284"/>
      <c r="AB1857" s="284"/>
      <c r="AC1857" s="284"/>
      <c r="AD1857" s="284"/>
      <c r="AE1857" s="284"/>
      <c r="AF1857" s="284"/>
      <c r="AG1857" s="284"/>
      <c r="AI1857" s="284"/>
    </row>
    <row r="1858" spans="1:35" ht="26.4">
      <c r="A1858" s="284"/>
      <c r="B1858" s="284"/>
      <c r="C1858" s="284"/>
      <c r="D1858" s="284"/>
      <c r="E1858" s="284"/>
      <c r="F1858" s="284"/>
      <c r="G1858" s="284"/>
      <c r="H1858" s="284"/>
      <c r="I1858" s="284"/>
      <c r="J1858" s="375"/>
      <c r="K1858" s="375"/>
      <c r="L1858" s="375"/>
      <c r="M1858" s="368"/>
      <c r="N1858" s="368"/>
      <c r="O1858" s="370"/>
      <c r="T1858" s="340"/>
      <c r="V1858" s="378"/>
      <c r="W1858" s="64" ph="1"/>
      <c r="X1858" s="241"/>
      <c r="Y1858" s="284"/>
      <c r="Z1858" s="207"/>
      <c r="AA1858" s="284"/>
      <c r="AB1858" s="284"/>
      <c r="AC1858" s="284"/>
      <c r="AD1858" s="284"/>
      <c r="AE1858" s="284"/>
      <c r="AF1858" s="284"/>
      <c r="AG1858" s="284"/>
      <c r="AI1858" s="284"/>
    </row>
    <row r="1859" spans="1:35" ht="26.4">
      <c r="A1859" s="284"/>
      <c r="B1859" s="284"/>
      <c r="C1859" s="284"/>
      <c r="D1859" s="284"/>
      <c r="E1859" s="284"/>
      <c r="F1859" s="284"/>
      <c r="G1859" s="284"/>
      <c r="H1859" s="284"/>
      <c r="I1859" s="284"/>
      <c r="J1859" s="375"/>
      <c r="K1859" s="375"/>
      <c r="L1859" s="375"/>
      <c r="M1859" s="368"/>
      <c r="N1859" s="368"/>
      <c r="O1859" s="370"/>
      <c r="T1859" s="340"/>
      <c r="V1859" s="378"/>
      <c r="W1859" s="64" ph="1"/>
      <c r="X1859" s="241"/>
      <c r="Y1859" s="284"/>
      <c r="Z1859" s="207"/>
      <c r="AA1859" s="284"/>
      <c r="AB1859" s="284"/>
      <c r="AC1859" s="284"/>
      <c r="AD1859" s="284"/>
      <c r="AE1859" s="284"/>
      <c r="AF1859" s="284"/>
      <c r="AG1859" s="284"/>
      <c r="AI1859" s="284"/>
    </row>
    <row r="1860" spans="1:35" ht="26.4">
      <c r="A1860" s="284"/>
      <c r="B1860" s="284"/>
      <c r="C1860" s="284"/>
      <c r="D1860" s="284"/>
      <c r="E1860" s="284"/>
      <c r="F1860" s="284"/>
      <c r="G1860" s="284"/>
      <c r="H1860" s="284"/>
      <c r="I1860" s="284"/>
      <c r="J1860" s="375"/>
      <c r="K1860" s="375"/>
      <c r="L1860" s="375"/>
      <c r="M1860" s="368"/>
      <c r="N1860" s="368"/>
      <c r="O1860" s="370"/>
      <c r="T1860" s="340"/>
      <c r="V1860" s="378"/>
      <c r="W1860" s="64" ph="1"/>
      <c r="X1860" s="241"/>
      <c r="Y1860" s="284"/>
      <c r="Z1860" s="207"/>
      <c r="AA1860" s="284"/>
      <c r="AB1860" s="284"/>
      <c r="AC1860" s="284"/>
      <c r="AD1860" s="284"/>
      <c r="AE1860" s="284"/>
      <c r="AF1860" s="284"/>
      <c r="AG1860" s="284"/>
      <c r="AI1860" s="284"/>
    </row>
    <row r="1861" spans="1:35" ht="26.4">
      <c r="A1861" s="284"/>
      <c r="B1861" s="284"/>
      <c r="C1861" s="284"/>
      <c r="D1861" s="284"/>
      <c r="E1861" s="284"/>
      <c r="F1861" s="284"/>
      <c r="G1861" s="284"/>
      <c r="H1861" s="284"/>
      <c r="I1861" s="284"/>
      <c r="J1861" s="375"/>
      <c r="K1861" s="375"/>
      <c r="L1861" s="375"/>
      <c r="M1861" s="368"/>
      <c r="N1861" s="368"/>
      <c r="O1861" s="370"/>
      <c r="T1861" s="340"/>
      <c r="V1861" s="378"/>
      <c r="W1861" s="64" ph="1"/>
      <c r="X1861" s="241"/>
      <c r="Y1861" s="284"/>
      <c r="Z1861" s="207"/>
      <c r="AA1861" s="284"/>
      <c r="AB1861" s="284"/>
      <c r="AC1861" s="284"/>
      <c r="AD1861" s="284"/>
      <c r="AE1861" s="284"/>
      <c r="AF1861" s="284"/>
      <c r="AG1861" s="284"/>
      <c r="AI1861" s="284"/>
    </row>
    <row r="1862" spans="1:35" ht="26.4">
      <c r="A1862" s="284"/>
      <c r="B1862" s="284"/>
      <c r="C1862" s="284"/>
      <c r="D1862" s="284"/>
      <c r="E1862" s="284"/>
      <c r="F1862" s="284"/>
      <c r="G1862" s="284"/>
      <c r="H1862" s="284"/>
      <c r="I1862" s="284"/>
      <c r="J1862" s="375"/>
      <c r="K1862" s="375"/>
      <c r="L1862" s="375"/>
      <c r="M1862" s="368"/>
      <c r="N1862" s="368"/>
      <c r="O1862" s="370"/>
      <c r="T1862" s="340"/>
      <c r="V1862" s="378"/>
      <c r="W1862" s="64" ph="1"/>
      <c r="X1862" s="241"/>
      <c r="Y1862" s="284"/>
      <c r="Z1862" s="207"/>
      <c r="AA1862" s="284"/>
      <c r="AB1862" s="284"/>
      <c r="AC1862" s="284"/>
      <c r="AD1862" s="284"/>
      <c r="AE1862" s="284"/>
      <c r="AF1862" s="284"/>
      <c r="AG1862" s="284"/>
      <c r="AI1862" s="284"/>
    </row>
    <row r="1863" spans="1:35" ht="26.4">
      <c r="A1863" s="284"/>
      <c r="B1863" s="284"/>
      <c r="C1863" s="284"/>
      <c r="D1863" s="284"/>
      <c r="E1863" s="284"/>
      <c r="F1863" s="284"/>
      <c r="G1863" s="284"/>
      <c r="H1863" s="284"/>
      <c r="I1863" s="284"/>
      <c r="J1863" s="375"/>
      <c r="K1863" s="375"/>
      <c r="L1863" s="375"/>
      <c r="M1863" s="368"/>
      <c r="N1863" s="368"/>
      <c r="O1863" s="370"/>
      <c r="T1863" s="340"/>
      <c r="V1863" s="378"/>
      <c r="W1863" s="64" ph="1"/>
      <c r="X1863" s="241"/>
      <c r="Y1863" s="284"/>
      <c r="Z1863" s="207"/>
      <c r="AA1863" s="284"/>
      <c r="AB1863" s="284"/>
      <c r="AC1863" s="284"/>
      <c r="AD1863" s="284"/>
      <c r="AE1863" s="284"/>
      <c r="AF1863" s="284"/>
      <c r="AG1863" s="284"/>
      <c r="AI1863" s="284"/>
    </row>
    <row r="1864" spans="1:35" ht="26.4">
      <c r="A1864" s="284"/>
      <c r="B1864" s="284"/>
      <c r="C1864" s="284"/>
      <c r="D1864" s="284"/>
      <c r="E1864" s="284"/>
      <c r="F1864" s="284"/>
      <c r="G1864" s="284"/>
      <c r="H1864" s="284"/>
      <c r="I1864" s="284"/>
      <c r="J1864" s="375"/>
      <c r="K1864" s="375"/>
      <c r="L1864" s="375"/>
      <c r="M1864" s="368"/>
      <c r="N1864" s="368"/>
      <c r="O1864" s="370"/>
      <c r="T1864" s="340"/>
      <c r="V1864" s="378"/>
      <c r="W1864" s="64" ph="1"/>
      <c r="X1864" s="241"/>
      <c r="Y1864" s="284"/>
      <c r="Z1864" s="207"/>
      <c r="AA1864" s="284"/>
      <c r="AB1864" s="284"/>
      <c r="AC1864" s="284"/>
      <c r="AD1864" s="284"/>
      <c r="AE1864" s="284"/>
      <c r="AF1864" s="284"/>
      <c r="AG1864" s="284"/>
      <c r="AI1864" s="284"/>
    </row>
    <row r="1865" spans="1:35" ht="26.4">
      <c r="A1865" s="284"/>
      <c r="B1865" s="284"/>
      <c r="C1865" s="284"/>
      <c r="D1865" s="284"/>
      <c r="E1865" s="284"/>
      <c r="F1865" s="284"/>
      <c r="G1865" s="284"/>
      <c r="H1865" s="284"/>
      <c r="I1865" s="284"/>
      <c r="J1865" s="375"/>
      <c r="K1865" s="375"/>
      <c r="L1865" s="375"/>
      <c r="M1865" s="368"/>
      <c r="N1865" s="368"/>
      <c r="O1865" s="370"/>
      <c r="T1865" s="340"/>
      <c r="V1865" s="378"/>
      <c r="W1865" s="64" ph="1"/>
      <c r="X1865" s="241"/>
      <c r="Y1865" s="284"/>
      <c r="Z1865" s="207"/>
      <c r="AA1865" s="284"/>
      <c r="AB1865" s="284"/>
      <c r="AC1865" s="284"/>
      <c r="AD1865" s="284"/>
      <c r="AE1865" s="284"/>
      <c r="AF1865" s="284"/>
      <c r="AG1865" s="284"/>
      <c r="AI1865" s="284"/>
    </row>
    <row r="1866" spans="1:35" ht="26.4">
      <c r="A1866" s="284"/>
      <c r="B1866" s="284"/>
      <c r="C1866" s="284"/>
      <c r="D1866" s="284"/>
      <c r="E1866" s="284"/>
      <c r="F1866" s="284"/>
      <c r="G1866" s="284"/>
      <c r="H1866" s="284"/>
      <c r="I1866" s="284"/>
      <c r="J1866" s="375"/>
      <c r="K1866" s="375"/>
      <c r="L1866" s="375"/>
      <c r="M1866" s="368"/>
      <c r="N1866" s="368"/>
      <c r="O1866" s="370"/>
      <c r="T1866" s="340"/>
      <c r="V1866" s="378"/>
      <c r="W1866" s="64" ph="1"/>
      <c r="X1866" s="241"/>
      <c r="Y1866" s="284"/>
      <c r="Z1866" s="207"/>
      <c r="AA1866" s="284"/>
      <c r="AB1866" s="284"/>
      <c r="AC1866" s="284"/>
      <c r="AD1866" s="284"/>
      <c r="AE1866" s="284"/>
      <c r="AF1866" s="284"/>
      <c r="AG1866" s="284"/>
      <c r="AI1866" s="131"/>
    </row>
    <row r="1867" spans="1:35" ht="26.4">
      <c r="A1867" s="284"/>
      <c r="B1867" s="284"/>
      <c r="C1867" s="284"/>
      <c r="D1867" s="284"/>
      <c r="E1867" s="284"/>
      <c r="F1867" s="284"/>
      <c r="G1867" s="284"/>
      <c r="H1867" s="284"/>
      <c r="I1867" s="284"/>
      <c r="J1867" s="375"/>
      <c r="K1867" s="375"/>
      <c r="L1867" s="375"/>
      <c r="M1867" s="368"/>
      <c r="N1867" s="368"/>
      <c r="O1867" s="370"/>
      <c r="T1867" s="340"/>
      <c r="V1867" s="378"/>
      <c r="W1867" s="64" ph="1"/>
      <c r="X1867" s="241"/>
      <c r="Y1867" s="284"/>
      <c r="Z1867" s="207"/>
      <c r="AA1867" s="284"/>
      <c r="AB1867" s="284"/>
      <c r="AC1867" s="284"/>
      <c r="AD1867" s="284"/>
      <c r="AE1867" s="284"/>
      <c r="AF1867" s="284"/>
      <c r="AG1867" s="284"/>
      <c r="AI1867" s="284"/>
    </row>
    <row r="1868" spans="1:35" ht="26.4">
      <c r="A1868" s="284"/>
      <c r="B1868" s="284"/>
      <c r="C1868" s="284"/>
      <c r="D1868" s="284"/>
      <c r="E1868" s="284"/>
      <c r="F1868" s="284"/>
      <c r="G1868" s="284"/>
      <c r="H1868" s="284"/>
      <c r="I1868" s="284"/>
      <c r="J1868" s="375"/>
      <c r="K1868" s="375"/>
      <c r="L1868" s="375"/>
      <c r="M1868" s="368"/>
      <c r="N1868" s="368"/>
      <c r="O1868" s="370"/>
      <c r="T1868" s="340"/>
      <c r="V1868" s="378"/>
      <c r="W1868" s="64" ph="1"/>
      <c r="X1868" s="241"/>
      <c r="Y1868" s="284"/>
      <c r="Z1868" s="207"/>
      <c r="AA1868" s="284"/>
      <c r="AB1868" s="284"/>
      <c r="AC1868" s="284"/>
      <c r="AD1868" s="284"/>
      <c r="AE1868" s="284"/>
      <c r="AF1868" s="284"/>
      <c r="AG1868" s="284"/>
      <c r="AI1868" s="284"/>
    </row>
    <row r="1869" spans="1:35" ht="26.4">
      <c r="A1869" s="284"/>
      <c r="B1869" s="284"/>
      <c r="C1869" s="284"/>
      <c r="D1869" s="284"/>
      <c r="E1869" s="284"/>
      <c r="F1869" s="284"/>
      <c r="G1869" s="284"/>
      <c r="H1869" s="284"/>
      <c r="I1869" s="284"/>
      <c r="J1869" s="375"/>
      <c r="K1869" s="375"/>
      <c r="L1869" s="375"/>
      <c r="M1869" s="368"/>
      <c r="N1869" s="368"/>
      <c r="O1869" s="370"/>
      <c r="T1869" s="340"/>
      <c r="V1869" s="378"/>
      <c r="W1869" s="64" ph="1"/>
      <c r="X1869" s="241"/>
      <c r="Y1869" s="284"/>
      <c r="Z1869" s="207"/>
      <c r="AA1869" s="284"/>
      <c r="AB1869" s="284"/>
      <c r="AC1869" s="284"/>
      <c r="AD1869" s="284"/>
      <c r="AE1869" s="284"/>
      <c r="AF1869" s="284"/>
      <c r="AG1869" s="284"/>
      <c r="AI1869" s="284"/>
    </row>
    <row r="1870" spans="1:35" ht="26.4">
      <c r="A1870" s="284"/>
      <c r="B1870" s="284"/>
      <c r="C1870" s="284"/>
      <c r="D1870" s="284"/>
      <c r="E1870" s="284"/>
      <c r="F1870" s="284"/>
      <c r="G1870" s="284"/>
      <c r="H1870" s="284"/>
      <c r="I1870" s="284"/>
      <c r="J1870" s="375"/>
      <c r="K1870" s="375"/>
      <c r="L1870" s="375"/>
      <c r="M1870" s="368"/>
      <c r="N1870" s="368"/>
      <c r="O1870" s="370"/>
      <c r="T1870" s="340"/>
      <c r="V1870" s="378"/>
      <c r="W1870" s="64" ph="1"/>
      <c r="X1870" s="241"/>
      <c r="Y1870" s="284"/>
      <c r="Z1870" s="207"/>
      <c r="AA1870" s="284"/>
      <c r="AB1870" s="284"/>
      <c r="AC1870" s="284"/>
      <c r="AD1870" s="284"/>
      <c r="AE1870" s="284"/>
      <c r="AF1870" s="284"/>
      <c r="AG1870" s="284"/>
      <c r="AI1870" s="131"/>
    </row>
    <row r="1871" spans="1:35" ht="26.4">
      <c r="A1871" s="284"/>
      <c r="B1871" s="284"/>
      <c r="C1871" s="284"/>
      <c r="D1871" s="284"/>
      <c r="E1871" s="284"/>
      <c r="F1871" s="284"/>
      <c r="G1871" s="284"/>
      <c r="H1871" s="284"/>
      <c r="I1871" s="284"/>
      <c r="J1871" s="375"/>
      <c r="K1871" s="375"/>
      <c r="L1871" s="375"/>
      <c r="M1871" s="368"/>
      <c r="N1871" s="368"/>
      <c r="O1871" s="370"/>
      <c r="T1871" s="340"/>
      <c r="V1871" s="378"/>
      <c r="W1871" s="64" ph="1"/>
      <c r="X1871" s="241"/>
      <c r="Y1871" s="284"/>
      <c r="Z1871" s="207"/>
      <c r="AA1871" s="284"/>
      <c r="AB1871" s="284"/>
      <c r="AC1871" s="284"/>
      <c r="AD1871" s="284"/>
      <c r="AE1871" s="284"/>
      <c r="AF1871" s="284"/>
      <c r="AG1871" s="284"/>
      <c r="AI1871" s="284"/>
    </row>
    <row r="1872" spans="1:35" ht="26.4">
      <c r="A1872" s="284"/>
      <c r="B1872" s="284"/>
      <c r="C1872" s="284"/>
      <c r="D1872" s="284"/>
      <c r="E1872" s="284"/>
      <c r="F1872" s="284"/>
      <c r="G1872" s="284"/>
      <c r="H1872" s="284"/>
      <c r="I1872" s="284"/>
      <c r="J1872" s="375"/>
      <c r="K1872" s="375"/>
      <c r="L1872" s="375"/>
      <c r="M1872" s="368"/>
      <c r="N1872" s="368"/>
      <c r="O1872" s="370"/>
      <c r="T1872" s="340"/>
      <c r="V1872" s="378"/>
      <c r="W1872" s="64" ph="1"/>
      <c r="X1872" s="241"/>
      <c r="Y1872" s="284"/>
      <c r="Z1872" s="207"/>
      <c r="AA1872" s="284"/>
      <c r="AB1872" s="284"/>
      <c r="AC1872" s="284"/>
      <c r="AD1872" s="284"/>
      <c r="AE1872" s="284"/>
      <c r="AF1872" s="284"/>
      <c r="AG1872" s="284"/>
      <c r="AI1872" s="284"/>
    </row>
    <row r="1873" spans="1:35" ht="26.4">
      <c r="A1873" s="284"/>
      <c r="B1873" s="284"/>
      <c r="C1873" s="284"/>
      <c r="D1873" s="284"/>
      <c r="E1873" s="284"/>
      <c r="F1873" s="284"/>
      <c r="G1873" s="284"/>
      <c r="H1873" s="284"/>
      <c r="I1873" s="284"/>
      <c r="J1873" s="375"/>
      <c r="K1873" s="375"/>
      <c r="L1873" s="375"/>
      <c r="M1873" s="368"/>
      <c r="N1873" s="368"/>
      <c r="O1873" s="370"/>
      <c r="T1873" s="340"/>
      <c r="V1873" s="378"/>
      <c r="W1873" s="64" ph="1"/>
      <c r="X1873" s="241"/>
      <c r="Y1873" s="284"/>
      <c r="Z1873" s="207"/>
      <c r="AA1873" s="284"/>
      <c r="AB1873" s="284"/>
      <c r="AC1873" s="284"/>
      <c r="AD1873" s="284"/>
      <c r="AE1873" s="284"/>
      <c r="AF1873" s="284"/>
      <c r="AG1873" s="284"/>
      <c r="AI1873" s="131"/>
    </row>
    <row r="1874" spans="1:35" ht="26.4">
      <c r="A1874" s="284"/>
      <c r="B1874" s="284"/>
      <c r="C1874" s="284"/>
      <c r="D1874" s="284"/>
      <c r="E1874" s="284"/>
      <c r="F1874" s="284"/>
      <c r="G1874" s="284"/>
      <c r="H1874" s="284"/>
      <c r="I1874" s="284"/>
      <c r="J1874" s="375"/>
      <c r="K1874" s="375"/>
      <c r="L1874" s="375"/>
      <c r="M1874" s="368"/>
      <c r="N1874" s="368"/>
      <c r="O1874" s="370"/>
      <c r="T1874" s="340"/>
      <c r="V1874" s="378"/>
      <c r="W1874" s="64" ph="1"/>
      <c r="X1874" s="241"/>
      <c r="Y1874" s="284"/>
      <c r="Z1874" s="207"/>
      <c r="AA1874" s="284"/>
      <c r="AB1874" s="284"/>
      <c r="AC1874" s="284"/>
      <c r="AD1874" s="284"/>
      <c r="AE1874" s="284"/>
      <c r="AF1874" s="284"/>
      <c r="AG1874" s="284"/>
      <c r="AI1874" s="131"/>
    </row>
    <row r="1875" spans="1:35" ht="26.4">
      <c r="A1875" s="284"/>
      <c r="B1875" s="284"/>
      <c r="C1875" s="284"/>
      <c r="D1875" s="284"/>
      <c r="E1875" s="284"/>
      <c r="F1875" s="284"/>
      <c r="G1875" s="284"/>
      <c r="H1875" s="284"/>
      <c r="I1875" s="284"/>
      <c r="J1875" s="375"/>
      <c r="K1875" s="375"/>
      <c r="L1875" s="375"/>
      <c r="M1875" s="368"/>
      <c r="N1875" s="368"/>
      <c r="O1875" s="370"/>
      <c r="T1875" s="340"/>
      <c r="V1875" s="378"/>
      <c r="W1875" s="64" ph="1"/>
      <c r="X1875" s="241"/>
      <c r="Y1875" s="284"/>
      <c r="Z1875" s="207"/>
      <c r="AA1875" s="284"/>
      <c r="AB1875" s="284"/>
      <c r="AC1875" s="284"/>
      <c r="AD1875" s="284"/>
      <c r="AE1875" s="284"/>
      <c r="AF1875" s="284"/>
      <c r="AG1875" s="284"/>
    </row>
    <row r="1876" spans="1:35" ht="26.4">
      <c r="A1876" s="284"/>
      <c r="B1876" s="284"/>
      <c r="C1876" s="284"/>
      <c r="D1876" s="284"/>
      <c r="E1876" s="284"/>
      <c r="F1876" s="284"/>
      <c r="G1876" s="284"/>
      <c r="H1876" s="284"/>
      <c r="I1876" s="284"/>
      <c r="J1876" s="375"/>
      <c r="K1876" s="375"/>
      <c r="L1876" s="375"/>
      <c r="M1876" s="368"/>
      <c r="N1876" s="368"/>
      <c r="O1876" s="370"/>
      <c r="T1876" s="340"/>
      <c r="V1876" s="378"/>
      <c r="W1876" s="64" ph="1"/>
      <c r="X1876" s="241"/>
      <c r="Y1876" s="284"/>
      <c r="Z1876" s="207"/>
      <c r="AA1876" s="284"/>
      <c r="AB1876" s="284"/>
      <c r="AC1876" s="284"/>
      <c r="AD1876" s="284"/>
      <c r="AE1876" s="284"/>
      <c r="AF1876" s="284"/>
      <c r="AG1876" s="284"/>
    </row>
    <row r="1877" spans="1:35" ht="26.4">
      <c r="A1877" s="284"/>
      <c r="B1877" s="284"/>
      <c r="C1877" s="284"/>
      <c r="D1877" s="284"/>
      <c r="E1877" s="284"/>
      <c r="F1877" s="284"/>
      <c r="G1877" s="284"/>
      <c r="H1877" s="284"/>
      <c r="I1877" s="284"/>
      <c r="J1877" s="375"/>
      <c r="K1877" s="375"/>
      <c r="L1877" s="375"/>
      <c r="M1877" s="368"/>
      <c r="N1877" s="368"/>
      <c r="O1877" s="370"/>
      <c r="T1877" s="340"/>
      <c r="V1877" s="378"/>
      <c r="W1877" s="64" ph="1"/>
      <c r="X1877" s="241"/>
      <c r="Y1877" s="284"/>
      <c r="Z1877" s="207"/>
      <c r="AA1877" s="284"/>
      <c r="AB1877" s="284"/>
      <c r="AC1877" s="284"/>
      <c r="AD1877" s="284"/>
      <c r="AE1877" s="284"/>
      <c r="AF1877" s="284"/>
      <c r="AG1877" s="284"/>
    </row>
    <row r="1878" spans="1:35" ht="26.4">
      <c r="A1878" s="284"/>
      <c r="B1878" s="284"/>
      <c r="C1878" s="284"/>
      <c r="D1878" s="284"/>
      <c r="E1878" s="284"/>
      <c r="F1878" s="284"/>
      <c r="G1878" s="284"/>
      <c r="H1878" s="284"/>
      <c r="I1878" s="284"/>
      <c r="J1878" s="375"/>
      <c r="K1878" s="375"/>
      <c r="L1878" s="375"/>
      <c r="M1878" s="368"/>
      <c r="N1878" s="368"/>
      <c r="O1878" s="370"/>
      <c r="T1878" s="340"/>
      <c r="V1878" s="378"/>
      <c r="W1878" s="64" ph="1"/>
      <c r="X1878" s="241"/>
      <c r="Y1878" s="284"/>
      <c r="Z1878" s="207"/>
      <c r="AA1878" s="284"/>
      <c r="AB1878" s="284"/>
      <c r="AC1878" s="284"/>
      <c r="AD1878" s="284"/>
      <c r="AE1878" s="284"/>
      <c r="AF1878" s="284"/>
      <c r="AG1878" s="284"/>
    </row>
    <row r="1879" spans="1:35" ht="26.4">
      <c r="A1879" s="284"/>
      <c r="B1879" s="284"/>
      <c r="C1879" s="284"/>
      <c r="D1879" s="284"/>
      <c r="E1879" s="284"/>
      <c r="F1879" s="284"/>
      <c r="G1879" s="284"/>
      <c r="H1879" s="284"/>
      <c r="I1879" s="284"/>
      <c r="J1879" s="375"/>
      <c r="K1879" s="375"/>
      <c r="L1879" s="375"/>
      <c r="M1879" s="368"/>
      <c r="N1879" s="368"/>
      <c r="O1879" s="370"/>
      <c r="T1879" s="340"/>
      <c r="V1879" s="378"/>
      <c r="W1879" s="64" ph="1"/>
      <c r="X1879" s="241"/>
      <c r="Y1879" s="284"/>
      <c r="Z1879" s="207"/>
      <c r="AA1879" s="284"/>
      <c r="AB1879" s="284"/>
      <c r="AC1879" s="284"/>
      <c r="AD1879" s="284"/>
      <c r="AE1879" s="284"/>
      <c r="AF1879" s="284"/>
      <c r="AG1879" s="284"/>
    </row>
    <row r="1880" spans="1:35" ht="26.4">
      <c r="A1880" s="284"/>
      <c r="B1880" s="284"/>
      <c r="C1880" s="284"/>
      <c r="D1880" s="284"/>
      <c r="E1880" s="284"/>
      <c r="F1880" s="284"/>
      <c r="G1880" s="284"/>
      <c r="H1880" s="284"/>
      <c r="I1880" s="284"/>
      <c r="J1880" s="375"/>
      <c r="K1880" s="375"/>
      <c r="L1880" s="375"/>
      <c r="M1880" s="368"/>
      <c r="N1880" s="368"/>
      <c r="O1880" s="370"/>
      <c r="T1880" s="340"/>
      <c r="V1880" s="378"/>
      <c r="W1880" s="64" ph="1"/>
      <c r="X1880" s="241"/>
      <c r="Y1880" s="284"/>
      <c r="Z1880" s="207"/>
      <c r="AA1880" s="284"/>
      <c r="AB1880" s="284"/>
      <c r="AC1880" s="284"/>
      <c r="AD1880" s="284"/>
      <c r="AE1880" s="284"/>
      <c r="AF1880" s="284"/>
      <c r="AG1880" s="284"/>
    </row>
    <row r="1881" spans="1:35" ht="26.4">
      <c r="A1881" s="284"/>
      <c r="B1881" s="284"/>
      <c r="C1881" s="284"/>
      <c r="D1881" s="284"/>
      <c r="E1881" s="284"/>
      <c r="F1881" s="284"/>
      <c r="G1881" s="284"/>
      <c r="H1881" s="284"/>
      <c r="I1881" s="284"/>
      <c r="J1881" s="375"/>
      <c r="K1881" s="375"/>
      <c r="L1881" s="375"/>
      <c r="M1881" s="368"/>
      <c r="N1881" s="368"/>
      <c r="O1881" s="370"/>
      <c r="T1881" s="340"/>
      <c r="V1881" s="378"/>
      <c r="W1881" s="64" ph="1"/>
      <c r="X1881" s="241"/>
      <c r="Y1881" s="284"/>
      <c r="Z1881" s="207"/>
      <c r="AA1881" s="284"/>
      <c r="AB1881" s="284"/>
      <c r="AC1881" s="284"/>
      <c r="AD1881" s="284"/>
      <c r="AE1881" s="284"/>
      <c r="AF1881" s="284"/>
      <c r="AG1881" s="284"/>
    </row>
    <row r="1882" spans="1:35" ht="26.4">
      <c r="A1882" s="284"/>
      <c r="B1882" s="284"/>
      <c r="C1882" s="284"/>
      <c r="D1882" s="284"/>
      <c r="E1882" s="284"/>
      <c r="F1882" s="284"/>
      <c r="G1882" s="284"/>
      <c r="H1882" s="284"/>
      <c r="I1882" s="284"/>
      <c r="J1882" s="375"/>
      <c r="K1882" s="375"/>
      <c r="L1882" s="375"/>
      <c r="M1882" s="368"/>
      <c r="N1882" s="368"/>
      <c r="O1882" s="370"/>
      <c r="T1882" s="340"/>
      <c r="V1882" s="378"/>
      <c r="W1882" s="64" ph="1"/>
      <c r="X1882" s="241"/>
      <c r="Y1882" s="284"/>
      <c r="Z1882" s="207"/>
      <c r="AA1882" s="284"/>
      <c r="AB1882" s="284"/>
      <c r="AC1882" s="284"/>
      <c r="AD1882" s="284"/>
      <c r="AE1882" s="284"/>
      <c r="AF1882" s="284"/>
      <c r="AG1882" s="284"/>
    </row>
    <row r="1883" spans="1:35" ht="26.4">
      <c r="A1883" s="284"/>
      <c r="B1883" s="284"/>
      <c r="C1883" s="284"/>
      <c r="D1883" s="284"/>
      <c r="E1883" s="284"/>
      <c r="F1883" s="284"/>
      <c r="G1883" s="284"/>
      <c r="H1883" s="284"/>
      <c r="I1883" s="284"/>
      <c r="J1883" s="375"/>
      <c r="K1883" s="375"/>
      <c r="L1883" s="375"/>
      <c r="M1883" s="368"/>
      <c r="N1883" s="368"/>
      <c r="O1883" s="370"/>
      <c r="T1883" s="340"/>
      <c r="V1883" s="378"/>
      <c r="W1883" s="64" ph="1"/>
      <c r="X1883" s="241"/>
      <c r="Y1883" s="284"/>
      <c r="Z1883" s="207"/>
      <c r="AA1883" s="284"/>
      <c r="AB1883" s="284"/>
      <c r="AC1883" s="284"/>
      <c r="AD1883" s="284"/>
      <c r="AE1883" s="284"/>
      <c r="AF1883" s="284"/>
      <c r="AG1883" s="284"/>
    </row>
    <row r="1884" spans="1:35" ht="26.4">
      <c r="A1884" s="284"/>
      <c r="B1884" s="284"/>
      <c r="C1884" s="284"/>
      <c r="D1884" s="284"/>
      <c r="E1884" s="284"/>
      <c r="F1884" s="284"/>
      <c r="G1884" s="284"/>
      <c r="H1884" s="284"/>
      <c r="I1884" s="284"/>
      <c r="J1884" s="375"/>
      <c r="K1884" s="375"/>
      <c r="L1884" s="375"/>
      <c r="M1884" s="368"/>
      <c r="N1884" s="368"/>
      <c r="O1884" s="370"/>
      <c r="T1884" s="340"/>
      <c r="V1884" s="378"/>
      <c r="W1884" s="64" ph="1"/>
      <c r="X1884" s="241"/>
      <c r="Y1884" s="284"/>
      <c r="Z1884" s="207"/>
      <c r="AA1884" s="284"/>
      <c r="AB1884" s="284"/>
      <c r="AC1884" s="284"/>
      <c r="AD1884" s="284"/>
      <c r="AE1884" s="284"/>
      <c r="AF1884" s="284"/>
      <c r="AG1884" s="284"/>
    </row>
    <row r="1885" spans="1:35" ht="26.4">
      <c r="A1885" s="284"/>
      <c r="B1885" s="284"/>
      <c r="C1885" s="284"/>
      <c r="D1885" s="284"/>
      <c r="E1885" s="284"/>
      <c r="F1885" s="284"/>
      <c r="G1885" s="284"/>
      <c r="H1885" s="284"/>
      <c r="I1885" s="284"/>
      <c r="J1885" s="375"/>
      <c r="K1885" s="375"/>
      <c r="L1885" s="375"/>
      <c r="M1885" s="368"/>
      <c r="N1885" s="368"/>
      <c r="O1885" s="370"/>
      <c r="T1885" s="340"/>
      <c r="V1885" s="378"/>
      <c r="W1885" s="64" ph="1"/>
      <c r="X1885" s="241"/>
      <c r="Y1885" s="284"/>
      <c r="Z1885" s="207"/>
      <c r="AA1885" s="284"/>
      <c r="AB1885" s="284"/>
      <c r="AC1885" s="284"/>
      <c r="AD1885" s="284"/>
      <c r="AE1885" s="284"/>
      <c r="AF1885" s="284"/>
      <c r="AG1885" s="284"/>
    </row>
    <row r="1886" spans="1:35" ht="26.4">
      <c r="A1886" s="284"/>
      <c r="B1886" s="284"/>
      <c r="C1886" s="284"/>
      <c r="D1886" s="284"/>
      <c r="E1886" s="284"/>
      <c r="F1886" s="284"/>
      <c r="G1886" s="284"/>
      <c r="H1886" s="284"/>
      <c r="I1886" s="284"/>
      <c r="J1886" s="375"/>
      <c r="K1886" s="375"/>
      <c r="L1886" s="375"/>
      <c r="M1886" s="368"/>
      <c r="N1886" s="368"/>
      <c r="O1886" s="370"/>
      <c r="T1886" s="340"/>
      <c r="V1886" s="378"/>
      <c r="W1886" s="64" ph="1"/>
      <c r="X1886" s="241"/>
      <c r="Y1886" s="284"/>
      <c r="Z1886" s="207"/>
      <c r="AA1886" s="284"/>
      <c r="AB1886" s="284"/>
      <c r="AC1886" s="284"/>
      <c r="AD1886" s="284"/>
      <c r="AE1886" s="284"/>
      <c r="AF1886" s="284"/>
      <c r="AG1886" s="284"/>
    </row>
    <row r="1887" spans="1:35" ht="26.4">
      <c r="A1887" s="284"/>
      <c r="B1887" s="284"/>
      <c r="C1887" s="284"/>
      <c r="D1887" s="284"/>
      <c r="E1887" s="284"/>
      <c r="F1887" s="284"/>
      <c r="G1887" s="284"/>
      <c r="H1887" s="284"/>
      <c r="I1887" s="284"/>
      <c r="J1887" s="375"/>
      <c r="K1887" s="375"/>
      <c r="L1887" s="375"/>
      <c r="M1887" s="368"/>
      <c r="N1887" s="368"/>
      <c r="O1887" s="370"/>
      <c r="T1887" s="340"/>
      <c r="V1887" s="378"/>
      <c r="W1887" s="64" ph="1"/>
      <c r="X1887" s="241"/>
      <c r="Y1887" s="284"/>
      <c r="Z1887" s="207"/>
      <c r="AA1887" s="284"/>
      <c r="AB1887" s="284"/>
      <c r="AC1887" s="284"/>
      <c r="AD1887" s="284"/>
      <c r="AE1887" s="284"/>
      <c r="AF1887" s="284"/>
      <c r="AG1887" s="284"/>
    </row>
    <row r="1888" spans="1:35" ht="26.4">
      <c r="A1888" s="284"/>
      <c r="B1888" s="284"/>
      <c r="C1888" s="284"/>
      <c r="D1888" s="284"/>
      <c r="E1888" s="284"/>
      <c r="F1888" s="284"/>
      <c r="G1888" s="284"/>
      <c r="H1888" s="284"/>
      <c r="I1888" s="284"/>
      <c r="J1888" s="375"/>
      <c r="K1888" s="375"/>
      <c r="L1888" s="375"/>
      <c r="M1888" s="368"/>
      <c r="N1888" s="368"/>
      <c r="O1888" s="370"/>
      <c r="T1888" s="340"/>
      <c r="V1888" s="378"/>
      <c r="W1888" s="64" ph="1"/>
      <c r="X1888" s="241"/>
      <c r="Y1888" s="284"/>
      <c r="Z1888" s="207"/>
      <c r="AA1888" s="284"/>
      <c r="AB1888" s="284"/>
      <c r="AC1888" s="284"/>
      <c r="AD1888" s="284"/>
      <c r="AE1888" s="284"/>
      <c r="AF1888" s="284"/>
      <c r="AG1888" s="284"/>
    </row>
    <row r="1889" spans="1:33" ht="26.4">
      <c r="A1889" s="284"/>
      <c r="B1889" s="284"/>
      <c r="C1889" s="284"/>
      <c r="D1889" s="284"/>
      <c r="E1889" s="284"/>
      <c r="F1889" s="284"/>
      <c r="G1889" s="284"/>
      <c r="H1889" s="284"/>
      <c r="I1889" s="284"/>
      <c r="J1889" s="375"/>
      <c r="K1889" s="375"/>
      <c r="L1889" s="375"/>
      <c r="M1889" s="368"/>
      <c r="N1889" s="368"/>
      <c r="O1889" s="370"/>
      <c r="T1889" s="340"/>
      <c r="V1889" s="378"/>
      <c r="W1889" s="64" ph="1"/>
      <c r="X1889" s="241"/>
      <c r="Y1889" s="284"/>
      <c r="Z1889" s="207"/>
      <c r="AA1889" s="284"/>
      <c r="AB1889" s="284"/>
      <c r="AC1889" s="284"/>
      <c r="AD1889" s="284"/>
      <c r="AE1889" s="284"/>
      <c r="AF1889" s="284"/>
      <c r="AG1889" s="284"/>
    </row>
    <row r="1890" spans="1:33" ht="26.4">
      <c r="A1890" s="284"/>
      <c r="B1890" s="284"/>
      <c r="C1890" s="284"/>
      <c r="D1890" s="284"/>
      <c r="E1890" s="284"/>
      <c r="F1890" s="284"/>
      <c r="G1890" s="284"/>
      <c r="H1890" s="284"/>
      <c r="I1890" s="284"/>
      <c r="J1890" s="375"/>
      <c r="K1890" s="375"/>
      <c r="L1890" s="375"/>
      <c r="M1890" s="368"/>
      <c r="N1890" s="368"/>
      <c r="O1890" s="370"/>
      <c r="T1890" s="340"/>
      <c r="V1890" s="378"/>
      <c r="W1890" s="64" ph="1"/>
      <c r="X1890" s="241"/>
      <c r="Y1890" s="284"/>
      <c r="Z1890" s="207"/>
      <c r="AA1890" s="284"/>
      <c r="AB1890" s="284"/>
      <c r="AC1890" s="284"/>
      <c r="AD1890" s="284"/>
      <c r="AE1890" s="284"/>
      <c r="AF1890" s="284"/>
      <c r="AG1890" s="284"/>
    </row>
    <row r="1891" spans="1:33" ht="26.4">
      <c r="A1891" s="284"/>
      <c r="B1891" s="284"/>
      <c r="C1891" s="284"/>
      <c r="D1891" s="284"/>
      <c r="E1891" s="284"/>
      <c r="F1891" s="284"/>
      <c r="G1891" s="284"/>
      <c r="H1891" s="284"/>
      <c r="I1891" s="284"/>
      <c r="J1891" s="375"/>
      <c r="K1891" s="375"/>
      <c r="L1891" s="375"/>
      <c r="M1891" s="368"/>
      <c r="N1891" s="368"/>
      <c r="O1891" s="370"/>
      <c r="T1891" s="340"/>
      <c r="V1891" s="378"/>
      <c r="W1891" s="64" ph="1"/>
      <c r="X1891" s="241"/>
      <c r="Y1891" s="284"/>
      <c r="Z1891" s="207"/>
      <c r="AA1891" s="284"/>
      <c r="AB1891" s="284"/>
      <c r="AC1891" s="284"/>
      <c r="AD1891" s="284"/>
      <c r="AE1891" s="284"/>
      <c r="AF1891" s="284"/>
      <c r="AG1891" s="284"/>
    </row>
    <row r="1892" spans="1:33" ht="26.4">
      <c r="A1892" s="284"/>
      <c r="B1892" s="284"/>
      <c r="C1892" s="284"/>
      <c r="D1892" s="284"/>
      <c r="E1892" s="284"/>
      <c r="F1892" s="284"/>
      <c r="G1892" s="284"/>
      <c r="H1892" s="284"/>
      <c r="I1892" s="284"/>
      <c r="J1892" s="375"/>
      <c r="K1892" s="375"/>
      <c r="L1892" s="375"/>
      <c r="M1892" s="368"/>
      <c r="N1892" s="368"/>
      <c r="O1892" s="370"/>
      <c r="T1892" s="340"/>
      <c r="V1892" s="378"/>
      <c r="W1892" s="64" ph="1"/>
      <c r="X1892" s="241"/>
      <c r="Y1892" s="284"/>
      <c r="Z1892" s="207"/>
      <c r="AA1892" s="284"/>
      <c r="AB1892" s="284"/>
      <c r="AC1892" s="284"/>
      <c r="AD1892" s="284"/>
      <c r="AE1892" s="284"/>
      <c r="AF1892" s="284"/>
      <c r="AG1892" s="284"/>
    </row>
    <row r="1893" spans="1:33" ht="26.4">
      <c r="A1893" s="284"/>
      <c r="B1893" s="284"/>
      <c r="C1893" s="284"/>
      <c r="D1893" s="284"/>
      <c r="E1893" s="284"/>
      <c r="F1893" s="284"/>
      <c r="G1893" s="284"/>
      <c r="H1893" s="284"/>
      <c r="I1893" s="284"/>
      <c r="J1893" s="375"/>
      <c r="K1893" s="375"/>
      <c r="L1893" s="375"/>
      <c r="M1893" s="368"/>
      <c r="N1893" s="368"/>
      <c r="O1893" s="370"/>
      <c r="T1893" s="340"/>
      <c r="V1893" s="378"/>
      <c r="W1893" s="64" ph="1"/>
      <c r="X1893" s="241"/>
      <c r="Y1893" s="284"/>
      <c r="Z1893" s="207"/>
      <c r="AA1893" s="284"/>
      <c r="AB1893" s="284"/>
      <c r="AC1893" s="284"/>
      <c r="AD1893" s="284"/>
      <c r="AE1893" s="284"/>
      <c r="AF1893" s="284"/>
      <c r="AG1893" s="284"/>
    </row>
    <row r="1894" spans="1:33" ht="26.4">
      <c r="A1894" s="284"/>
      <c r="B1894" s="284"/>
      <c r="C1894" s="284"/>
      <c r="D1894" s="284"/>
      <c r="E1894" s="284"/>
      <c r="F1894" s="284"/>
      <c r="G1894" s="284"/>
      <c r="H1894" s="284"/>
      <c r="I1894" s="284"/>
      <c r="J1894" s="375"/>
      <c r="K1894" s="375"/>
      <c r="L1894" s="375"/>
      <c r="M1894" s="368"/>
      <c r="N1894" s="368"/>
      <c r="O1894" s="370"/>
      <c r="T1894" s="340"/>
      <c r="V1894" s="378"/>
      <c r="W1894" s="64" ph="1"/>
      <c r="X1894" s="241"/>
      <c r="Y1894" s="284"/>
      <c r="Z1894" s="207"/>
      <c r="AA1894" s="284"/>
      <c r="AB1894" s="284"/>
      <c r="AC1894" s="284"/>
      <c r="AD1894" s="284"/>
      <c r="AE1894" s="284"/>
      <c r="AF1894" s="284"/>
      <c r="AG1894" s="284"/>
    </row>
    <row r="1895" spans="1:33" ht="26.4">
      <c r="A1895" s="284"/>
      <c r="B1895" s="284"/>
      <c r="C1895" s="284"/>
      <c r="D1895" s="284"/>
      <c r="E1895" s="284"/>
      <c r="F1895" s="284"/>
      <c r="G1895" s="284"/>
      <c r="H1895" s="284"/>
      <c r="I1895" s="284"/>
      <c r="J1895" s="375"/>
      <c r="K1895" s="375"/>
      <c r="L1895" s="375"/>
      <c r="M1895" s="368"/>
      <c r="N1895" s="368"/>
      <c r="O1895" s="370"/>
      <c r="T1895" s="340"/>
      <c r="V1895" s="378"/>
      <c r="W1895" s="64" ph="1"/>
      <c r="X1895" s="241"/>
      <c r="Y1895" s="284"/>
      <c r="Z1895" s="207"/>
      <c r="AA1895" s="284"/>
      <c r="AB1895" s="284"/>
      <c r="AC1895" s="284"/>
      <c r="AD1895" s="284"/>
      <c r="AE1895" s="284"/>
      <c r="AF1895" s="284"/>
      <c r="AG1895" s="284"/>
    </row>
    <row r="1896" spans="1:33" ht="26.4">
      <c r="A1896" s="284"/>
      <c r="B1896" s="284"/>
      <c r="C1896" s="284"/>
      <c r="D1896" s="284"/>
      <c r="E1896" s="284"/>
      <c r="F1896" s="284"/>
      <c r="G1896" s="284"/>
      <c r="H1896" s="284"/>
      <c r="I1896" s="284"/>
      <c r="J1896" s="375"/>
      <c r="K1896" s="375"/>
      <c r="L1896" s="375"/>
      <c r="M1896" s="368"/>
      <c r="N1896" s="368"/>
      <c r="O1896" s="370"/>
      <c r="T1896" s="340"/>
      <c r="V1896" s="378"/>
      <c r="W1896" s="64" ph="1"/>
      <c r="X1896" s="241"/>
      <c r="Y1896" s="284"/>
      <c r="Z1896" s="207"/>
      <c r="AA1896" s="284"/>
      <c r="AB1896" s="284"/>
      <c r="AC1896" s="284"/>
      <c r="AD1896" s="284"/>
      <c r="AE1896" s="284"/>
      <c r="AF1896" s="284"/>
      <c r="AG1896" s="284"/>
    </row>
    <row r="1897" spans="1:33" ht="26.4">
      <c r="A1897" s="284"/>
      <c r="B1897" s="284"/>
      <c r="C1897" s="284"/>
      <c r="D1897" s="284"/>
      <c r="E1897" s="284"/>
      <c r="F1897" s="284"/>
      <c r="G1897" s="284"/>
      <c r="H1897" s="284"/>
      <c r="I1897" s="284"/>
      <c r="J1897" s="375"/>
      <c r="K1897" s="375"/>
      <c r="L1897" s="375"/>
      <c r="M1897" s="368"/>
      <c r="N1897" s="368"/>
      <c r="O1897" s="370"/>
      <c r="T1897" s="340"/>
      <c r="V1897" s="378"/>
      <c r="W1897" s="64" ph="1"/>
      <c r="X1897" s="241"/>
      <c r="Y1897" s="284"/>
      <c r="Z1897" s="207"/>
      <c r="AA1897" s="284"/>
      <c r="AB1897" s="284"/>
      <c r="AC1897" s="284"/>
      <c r="AD1897" s="284"/>
      <c r="AE1897" s="284"/>
      <c r="AF1897" s="284"/>
      <c r="AG1897" s="284"/>
    </row>
    <row r="1898" spans="1:33" ht="26.4">
      <c r="A1898" s="284"/>
      <c r="B1898" s="284"/>
      <c r="C1898" s="284"/>
      <c r="D1898" s="284"/>
      <c r="E1898" s="284"/>
      <c r="F1898" s="284"/>
      <c r="G1898" s="284"/>
      <c r="H1898" s="284"/>
      <c r="I1898" s="284"/>
      <c r="J1898" s="375"/>
      <c r="K1898" s="375"/>
      <c r="L1898" s="375"/>
      <c r="M1898" s="368"/>
      <c r="N1898" s="368"/>
      <c r="O1898" s="370"/>
      <c r="T1898" s="340"/>
      <c r="V1898" s="378"/>
      <c r="W1898" s="64" ph="1"/>
      <c r="X1898" s="241"/>
      <c r="Y1898" s="284"/>
      <c r="Z1898" s="207"/>
      <c r="AA1898" s="284"/>
      <c r="AB1898" s="284"/>
      <c r="AC1898" s="284"/>
      <c r="AD1898" s="284"/>
      <c r="AE1898" s="284"/>
      <c r="AF1898" s="284"/>
      <c r="AG1898" s="284"/>
    </row>
    <row r="1899" spans="1:33" ht="26.4">
      <c r="A1899" s="284"/>
      <c r="B1899" s="284"/>
      <c r="C1899" s="284"/>
      <c r="D1899" s="284"/>
      <c r="E1899" s="284"/>
      <c r="F1899" s="284"/>
      <c r="G1899" s="284"/>
      <c r="H1899" s="284"/>
      <c r="I1899" s="284"/>
      <c r="J1899" s="375"/>
      <c r="K1899" s="375"/>
      <c r="L1899" s="375"/>
      <c r="M1899" s="368"/>
      <c r="N1899" s="368"/>
      <c r="O1899" s="370"/>
      <c r="T1899" s="340"/>
      <c r="V1899" s="378"/>
      <c r="W1899" s="64" ph="1"/>
      <c r="X1899" s="241"/>
      <c r="Y1899" s="284"/>
      <c r="Z1899" s="207"/>
      <c r="AA1899" s="284"/>
      <c r="AB1899" s="284"/>
      <c r="AC1899" s="284"/>
      <c r="AD1899" s="284"/>
      <c r="AE1899" s="284"/>
      <c r="AF1899" s="284"/>
      <c r="AG1899" s="284"/>
    </row>
    <row r="1900" spans="1:33" ht="26.4">
      <c r="A1900" s="284"/>
      <c r="B1900" s="284"/>
      <c r="C1900" s="284"/>
      <c r="D1900" s="284"/>
      <c r="E1900" s="284"/>
      <c r="F1900" s="284"/>
      <c r="G1900" s="284"/>
      <c r="H1900" s="284"/>
      <c r="I1900" s="284"/>
      <c r="J1900" s="375"/>
      <c r="K1900" s="375"/>
      <c r="L1900" s="375"/>
      <c r="M1900" s="368"/>
      <c r="N1900" s="368"/>
      <c r="O1900" s="370"/>
      <c r="T1900" s="340"/>
      <c r="V1900" s="378"/>
      <c r="W1900" s="64" ph="1"/>
      <c r="X1900" s="241"/>
      <c r="Y1900" s="284"/>
      <c r="Z1900" s="207"/>
      <c r="AA1900" s="284"/>
      <c r="AB1900" s="284"/>
      <c r="AC1900" s="284"/>
      <c r="AD1900" s="284"/>
      <c r="AE1900" s="284"/>
      <c r="AF1900" s="284"/>
      <c r="AG1900" s="284"/>
    </row>
    <row r="1901" spans="1:33" ht="26.4">
      <c r="A1901" s="284"/>
      <c r="B1901" s="284"/>
      <c r="C1901" s="284"/>
      <c r="D1901" s="284"/>
      <c r="E1901" s="284"/>
      <c r="F1901" s="284"/>
      <c r="G1901" s="284"/>
      <c r="H1901" s="284"/>
      <c r="I1901" s="284"/>
      <c r="J1901" s="375"/>
      <c r="K1901" s="375"/>
      <c r="L1901" s="375"/>
      <c r="M1901" s="368"/>
      <c r="N1901" s="368"/>
      <c r="O1901" s="370"/>
      <c r="T1901" s="340"/>
      <c r="V1901" s="378"/>
      <c r="W1901" s="64" ph="1"/>
      <c r="X1901" s="241"/>
      <c r="Y1901" s="284"/>
      <c r="Z1901" s="207"/>
      <c r="AA1901" s="284"/>
      <c r="AB1901" s="284"/>
      <c r="AC1901" s="284"/>
      <c r="AD1901" s="284"/>
      <c r="AE1901" s="284"/>
      <c r="AF1901" s="284"/>
      <c r="AG1901" s="284"/>
    </row>
    <row r="1902" spans="1:33" ht="26.4">
      <c r="A1902" s="284"/>
      <c r="B1902" s="284"/>
      <c r="C1902" s="284"/>
      <c r="D1902" s="284"/>
      <c r="E1902" s="284"/>
      <c r="F1902" s="284"/>
      <c r="G1902" s="284"/>
      <c r="H1902" s="284"/>
      <c r="I1902" s="284"/>
      <c r="J1902" s="375"/>
      <c r="K1902" s="375"/>
      <c r="L1902" s="375"/>
      <c r="M1902" s="368"/>
      <c r="N1902" s="368"/>
      <c r="O1902" s="370"/>
      <c r="T1902" s="340"/>
      <c r="V1902" s="378"/>
      <c r="W1902" s="64" ph="1"/>
      <c r="X1902" s="241"/>
      <c r="Y1902" s="284"/>
      <c r="Z1902" s="207"/>
      <c r="AA1902" s="284"/>
      <c r="AB1902" s="284"/>
      <c r="AC1902" s="284"/>
      <c r="AD1902" s="284"/>
      <c r="AE1902" s="284"/>
      <c r="AF1902" s="284"/>
      <c r="AG1902" s="284"/>
    </row>
    <row r="1903" spans="1:33" ht="26.4">
      <c r="A1903" s="284"/>
      <c r="B1903" s="284"/>
      <c r="C1903" s="284"/>
      <c r="D1903" s="284"/>
      <c r="E1903" s="284"/>
      <c r="F1903" s="284"/>
      <c r="G1903" s="284"/>
      <c r="H1903" s="284"/>
      <c r="I1903" s="284"/>
      <c r="J1903" s="375"/>
      <c r="K1903" s="375"/>
      <c r="L1903" s="375"/>
      <c r="M1903" s="368"/>
      <c r="N1903" s="368"/>
      <c r="O1903" s="370"/>
      <c r="T1903" s="340"/>
      <c r="V1903" s="378"/>
      <c r="W1903" s="64" ph="1"/>
      <c r="X1903" s="241"/>
      <c r="Y1903" s="284"/>
      <c r="Z1903" s="207"/>
      <c r="AA1903" s="284"/>
      <c r="AB1903" s="284"/>
      <c r="AC1903" s="284"/>
      <c r="AD1903" s="284"/>
      <c r="AE1903" s="284"/>
      <c r="AF1903" s="284"/>
      <c r="AG1903" s="284"/>
    </row>
    <row r="1904" spans="1:33" ht="26.4">
      <c r="A1904" s="284"/>
      <c r="B1904" s="284"/>
      <c r="C1904" s="284"/>
      <c r="D1904" s="284"/>
      <c r="E1904" s="284"/>
      <c r="F1904" s="284"/>
      <c r="G1904" s="284"/>
      <c r="H1904" s="284"/>
      <c r="I1904" s="284"/>
      <c r="J1904" s="375"/>
      <c r="K1904" s="375"/>
      <c r="L1904" s="375"/>
      <c r="M1904" s="368"/>
      <c r="N1904" s="368"/>
      <c r="O1904" s="370"/>
      <c r="T1904" s="340"/>
      <c r="V1904" s="378"/>
      <c r="W1904" s="64" ph="1"/>
      <c r="X1904" s="241"/>
      <c r="Y1904" s="284"/>
      <c r="Z1904" s="207"/>
      <c r="AA1904" s="284"/>
      <c r="AB1904" s="284"/>
      <c r="AC1904" s="284"/>
      <c r="AD1904" s="284"/>
      <c r="AE1904" s="284"/>
      <c r="AF1904" s="284"/>
      <c r="AG1904" s="284"/>
    </row>
    <row r="1905" spans="1:33" ht="26.4">
      <c r="A1905" s="284"/>
      <c r="B1905" s="284"/>
      <c r="C1905" s="284"/>
      <c r="D1905" s="284"/>
      <c r="E1905" s="284"/>
      <c r="F1905" s="284"/>
      <c r="G1905" s="284"/>
      <c r="H1905" s="284"/>
      <c r="I1905" s="284"/>
      <c r="J1905" s="375"/>
      <c r="K1905" s="375"/>
      <c r="L1905" s="375"/>
      <c r="M1905" s="368"/>
      <c r="N1905" s="368"/>
      <c r="O1905" s="370"/>
      <c r="T1905" s="340"/>
      <c r="V1905" s="378"/>
      <c r="W1905" s="64" ph="1"/>
      <c r="X1905" s="241"/>
      <c r="Y1905" s="284"/>
      <c r="Z1905" s="207"/>
      <c r="AA1905" s="284"/>
      <c r="AB1905" s="284"/>
      <c r="AC1905" s="284"/>
      <c r="AD1905" s="284"/>
      <c r="AE1905" s="284"/>
      <c r="AF1905" s="284"/>
      <c r="AG1905" s="284"/>
    </row>
    <row r="1906" spans="1:33" ht="26.4">
      <c r="A1906" s="284"/>
      <c r="B1906" s="284"/>
      <c r="C1906" s="284"/>
      <c r="D1906" s="284"/>
      <c r="E1906" s="284"/>
      <c r="F1906" s="284"/>
      <c r="G1906" s="284"/>
      <c r="H1906" s="284"/>
      <c r="I1906" s="284"/>
      <c r="J1906" s="375"/>
      <c r="K1906" s="375"/>
      <c r="L1906" s="375"/>
      <c r="M1906" s="368"/>
      <c r="N1906" s="368"/>
      <c r="O1906" s="370"/>
      <c r="T1906" s="340"/>
      <c r="V1906" s="378"/>
      <c r="W1906" s="64" ph="1"/>
      <c r="X1906" s="241"/>
      <c r="Y1906" s="284"/>
      <c r="Z1906" s="207"/>
      <c r="AA1906" s="284"/>
      <c r="AB1906" s="284"/>
      <c r="AC1906" s="284"/>
      <c r="AD1906" s="284"/>
      <c r="AE1906" s="284"/>
      <c r="AF1906" s="284"/>
      <c r="AG1906" s="284"/>
    </row>
    <row r="1907" spans="1:33" ht="26.4">
      <c r="A1907" s="284"/>
      <c r="B1907" s="284"/>
      <c r="C1907" s="284"/>
      <c r="D1907" s="284"/>
      <c r="E1907" s="284"/>
      <c r="F1907" s="284"/>
      <c r="G1907" s="284"/>
      <c r="H1907" s="284"/>
      <c r="I1907" s="284"/>
      <c r="J1907" s="375"/>
      <c r="K1907" s="375"/>
      <c r="L1907" s="375"/>
      <c r="M1907" s="368"/>
      <c r="N1907" s="368"/>
      <c r="O1907" s="370"/>
      <c r="T1907" s="340"/>
      <c r="V1907" s="378"/>
      <c r="W1907" s="64" ph="1"/>
      <c r="X1907" s="241"/>
      <c r="Y1907" s="284"/>
      <c r="Z1907" s="207"/>
      <c r="AA1907" s="284"/>
      <c r="AB1907" s="284"/>
      <c r="AC1907" s="284"/>
      <c r="AD1907" s="284"/>
      <c r="AE1907" s="284"/>
      <c r="AF1907" s="284"/>
      <c r="AG1907" s="284"/>
    </row>
    <row r="1908" spans="1:33" ht="26.4">
      <c r="A1908" s="284"/>
      <c r="B1908" s="284"/>
      <c r="C1908" s="284"/>
      <c r="D1908" s="284"/>
      <c r="E1908" s="284"/>
      <c r="F1908" s="284"/>
      <c r="G1908" s="284"/>
      <c r="H1908" s="284"/>
      <c r="I1908" s="284"/>
      <c r="J1908" s="375"/>
      <c r="K1908" s="375"/>
      <c r="L1908" s="375"/>
      <c r="M1908" s="368"/>
      <c r="N1908" s="368"/>
      <c r="O1908" s="370"/>
      <c r="T1908" s="340"/>
      <c r="V1908" s="378"/>
      <c r="W1908" s="64" ph="1"/>
      <c r="X1908" s="241"/>
      <c r="Y1908" s="284"/>
      <c r="Z1908" s="207"/>
      <c r="AA1908" s="284"/>
      <c r="AB1908" s="284"/>
      <c r="AC1908" s="284"/>
      <c r="AD1908" s="284"/>
      <c r="AE1908" s="284"/>
      <c r="AF1908" s="284"/>
      <c r="AG1908" s="284"/>
    </row>
    <row r="1909" spans="1:33" ht="26.4">
      <c r="A1909" s="284"/>
      <c r="B1909" s="284"/>
      <c r="C1909" s="284"/>
      <c r="D1909" s="284"/>
      <c r="E1909" s="284"/>
      <c r="F1909" s="284"/>
      <c r="G1909" s="284"/>
      <c r="H1909" s="284"/>
      <c r="I1909" s="284"/>
      <c r="J1909" s="375"/>
      <c r="K1909" s="375"/>
      <c r="L1909" s="375"/>
      <c r="M1909" s="368"/>
      <c r="N1909" s="368"/>
      <c r="O1909" s="370"/>
      <c r="T1909" s="340"/>
      <c r="V1909" s="378"/>
      <c r="W1909" s="64" ph="1"/>
      <c r="X1909" s="241"/>
      <c r="Y1909" s="284"/>
      <c r="Z1909" s="207"/>
      <c r="AA1909" s="284"/>
      <c r="AB1909" s="284"/>
      <c r="AC1909" s="284"/>
      <c r="AD1909" s="284"/>
      <c r="AE1909" s="284"/>
      <c r="AF1909" s="284"/>
      <c r="AG1909" s="284"/>
    </row>
    <row r="1910" spans="1:33" ht="26.4">
      <c r="A1910" s="284"/>
      <c r="B1910" s="284"/>
      <c r="C1910" s="284"/>
      <c r="D1910" s="284"/>
      <c r="E1910" s="284"/>
      <c r="F1910" s="284"/>
      <c r="G1910" s="284"/>
      <c r="H1910" s="284"/>
      <c r="I1910" s="284"/>
      <c r="J1910" s="375"/>
      <c r="K1910" s="375"/>
      <c r="L1910" s="375"/>
      <c r="M1910" s="368"/>
      <c r="N1910" s="368"/>
      <c r="O1910" s="370"/>
      <c r="T1910" s="340"/>
      <c r="V1910" s="378"/>
      <c r="W1910" s="64" ph="1"/>
      <c r="X1910" s="241"/>
      <c r="Y1910" s="284"/>
      <c r="Z1910" s="207"/>
      <c r="AA1910" s="284"/>
      <c r="AB1910" s="284"/>
      <c r="AC1910" s="284"/>
      <c r="AD1910" s="284"/>
      <c r="AE1910" s="284"/>
      <c r="AF1910" s="284"/>
      <c r="AG1910" s="284"/>
    </row>
    <row r="1911" spans="1:33" ht="26.4">
      <c r="A1911" s="284"/>
      <c r="B1911" s="284"/>
      <c r="C1911" s="284"/>
      <c r="D1911" s="284"/>
      <c r="E1911" s="284"/>
      <c r="F1911" s="284"/>
      <c r="G1911" s="284"/>
      <c r="H1911" s="284"/>
      <c r="I1911" s="284"/>
      <c r="J1911" s="375"/>
      <c r="K1911" s="375"/>
      <c r="L1911" s="375"/>
      <c r="M1911" s="368"/>
      <c r="N1911" s="368"/>
      <c r="O1911" s="370"/>
      <c r="T1911" s="340"/>
      <c r="V1911" s="378"/>
      <c r="W1911" s="64" ph="1"/>
      <c r="X1911" s="241"/>
      <c r="Y1911" s="284"/>
      <c r="Z1911" s="207"/>
      <c r="AA1911" s="284"/>
      <c r="AB1911" s="284"/>
      <c r="AC1911" s="284"/>
      <c r="AD1911" s="284"/>
      <c r="AE1911" s="284"/>
      <c r="AF1911" s="284"/>
      <c r="AG1911" s="284"/>
    </row>
    <row r="1912" spans="1:33" ht="26.4">
      <c r="A1912" s="284"/>
      <c r="B1912" s="284"/>
      <c r="C1912" s="284"/>
      <c r="D1912" s="284"/>
      <c r="E1912" s="284"/>
      <c r="F1912" s="284"/>
      <c r="G1912" s="284"/>
      <c r="H1912" s="284"/>
      <c r="I1912" s="284"/>
      <c r="J1912" s="375"/>
      <c r="K1912" s="375"/>
      <c r="L1912" s="375"/>
      <c r="M1912" s="368"/>
      <c r="N1912" s="368"/>
      <c r="O1912" s="370"/>
      <c r="T1912" s="340"/>
      <c r="V1912" s="378"/>
      <c r="W1912" s="64" ph="1"/>
      <c r="X1912" s="241"/>
      <c r="Y1912" s="284"/>
      <c r="Z1912" s="207"/>
      <c r="AA1912" s="284"/>
      <c r="AB1912" s="284"/>
      <c r="AC1912" s="284"/>
      <c r="AD1912" s="284"/>
      <c r="AE1912" s="284"/>
      <c r="AF1912" s="284"/>
      <c r="AG1912" s="284"/>
    </row>
    <row r="1913" spans="1:33" ht="26.4">
      <c r="A1913" s="284"/>
      <c r="B1913" s="284"/>
      <c r="C1913" s="284"/>
      <c r="D1913" s="284"/>
      <c r="E1913" s="284"/>
      <c r="F1913" s="284"/>
      <c r="G1913" s="284"/>
      <c r="H1913" s="284"/>
      <c r="I1913" s="284"/>
      <c r="J1913" s="375"/>
      <c r="K1913" s="375"/>
      <c r="L1913" s="375"/>
      <c r="M1913" s="368"/>
      <c r="N1913" s="368"/>
      <c r="O1913" s="370"/>
      <c r="T1913" s="340"/>
      <c r="V1913" s="378"/>
      <c r="W1913" s="64" ph="1"/>
      <c r="X1913" s="241"/>
      <c r="Y1913" s="284"/>
      <c r="Z1913" s="207"/>
      <c r="AA1913" s="284"/>
      <c r="AB1913" s="284"/>
      <c r="AC1913" s="284"/>
      <c r="AD1913" s="284"/>
      <c r="AE1913" s="284"/>
      <c r="AF1913" s="284"/>
      <c r="AG1913" s="284"/>
    </row>
    <row r="1914" spans="1:33" ht="26.4">
      <c r="A1914" s="284"/>
      <c r="B1914" s="284"/>
      <c r="C1914" s="284"/>
      <c r="D1914" s="284"/>
      <c r="E1914" s="284"/>
      <c r="F1914" s="284"/>
      <c r="G1914" s="284"/>
      <c r="H1914" s="284"/>
      <c r="I1914" s="284"/>
      <c r="J1914" s="375"/>
      <c r="K1914" s="375"/>
      <c r="L1914" s="375"/>
      <c r="M1914" s="368"/>
      <c r="N1914" s="368"/>
      <c r="O1914" s="370"/>
      <c r="T1914" s="340"/>
      <c r="V1914" s="378"/>
      <c r="W1914" s="64" ph="1"/>
      <c r="X1914" s="241"/>
      <c r="Y1914" s="284"/>
      <c r="Z1914" s="207"/>
      <c r="AA1914" s="284"/>
      <c r="AB1914" s="284"/>
      <c r="AC1914" s="284"/>
      <c r="AD1914" s="284"/>
      <c r="AE1914" s="284"/>
      <c r="AF1914" s="284"/>
      <c r="AG1914" s="284"/>
    </row>
    <row r="1915" spans="1:33" ht="26.4">
      <c r="A1915" s="284"/>
      <c r="B1915" s="284"/>
      <c r="C1915" s="284"/>
      <c r="D1915" s="284"/>
      <c r="E1915" s="284"/>
      <c r="F1915" s="284"/>
      <c r="G1915" s="284"/>
      <c r="H1915" s="284"/>
      <c r="I1915" s="284"/>
      <c r="J1915" s="375"/>
      <c r="K1915" s="375"/>
      <c r="L1915" s="375"/>
      <c r="M1915" s="368"/>
      <c r="N1915" s="368"/>
      <c r="O1915" s="370"/>
      <c r="T1915" s="340"/>
      <c r="V1915" s="378"/>
      <c r="W1915" s="64" ph="1"/>
      <c r="X1915" s="241"/>
      <c r="Y1915" s="284"/>
      <c r="Z1915" s="207"/>
      <c r="AA1915" s="284"/>
      <c r="AB1915" s="284"/>
      <c r="AC1915" s="284"/>
      <c r="AD1915" s="284"/>
      <c r="AE1915" s="284"/>
      <c r="AF1915" s="284"/>
      <c r="AG1915" s="284"/>
    </row>
    <row r="1916" spans="1:33" ht="26.4">
      <c r="A1916" s="284"/>
      <c r="B1916" s="284"/>
      <c r="C1916" s="284"/>
      <c r="D1916" s="284"/>
      <c r="E1916" s="284"/>
      <c r="F1916" s="284"/>
      <c r="G1916" s="284"/>
      <c r="H1916" s="284"/>
      <c r="I1916" s="284"/>
      <c r="J1916" s="375"/>
      <c r="K1916" s="375"/>
      <c r="L1916" s="375"/>
      <c r="M1916" s="368"/>
      <c r="N1916" s="368"/>
      <c r="O1916" s="370"/>
      <c r="T1916" s="340"/>
      <c r="V1916" s="378"/>
      <c r="W1916" s="64" ph="1"/>
      <c r="X1916" s="241"/>
      <c r="Y1916" s="284"/>
      <c r="Z1916" s="207"/>
      <c r="AA1916" s="284"/>
      <c r="AB1916" s="284"/>
      <c r="AC1916" s="284"/>
      <c r="AD1916" s="284"/>
      <c r="AE1916" s="284"/>
      <c r="AF1916" s="284"/>
      <c r="AG1916" s="284"/>
    </row>
    <row r="1917" spans="1:33" ht="26.4">
      <c r="A1917" s="284"/>
      <c r="B1917" s="284"/>
      <c r="C1917" s="284"/>
      <c r="D1917" s="284"/>
      <c r="E1917" s="284"/>
      <c r="F1917" s="284"/>
      <c r="G1917" s="284"/>
      <c r="H1917" s="284"/>
      <c r="I1917" s="284"/>
      <c r="J1917" s="375"/>
      <c r="K1917" s="375"/>
      <c r="L1917" s="375"/>
      <c r="M1917" s="368"/>
      <c r="N1917" s="368"/>
      <c r="O1917" s="370"/>
      <c r="T1917" s="340"/>
      <c r="V1917" s="378"/>
      <c r="W1917" s="64" ph="1"/>
      <c r="X1917" s="241"/>
      <c r="Y1917" s="284"/>
      <c r="Z1917" s="207"/>
      <c r="AA1917" s="284"/>
      <c r="AB1917" s="284"/>
      <c r="AC1917" s="284"/>
      <c r="AD1917" s="284"/>
      <c r="AE1917" s="284"/>
      <c r="AF1917" s="284"/>
      <c r="AG1917" s="284"/>
    </row>
    <row r="1918" spans="1:33" ht="26.4">
      <c r="A1918" s="284"/>
      <c r="B1918" s="284"/>
      <c r="C1918" s="284"/>
      <c r="D1918" s="284"/>
      <c r="E1918" s="284"/>
      <c r="F1918" s="284"/>
      <c r="G1918" s="284"/>
      <c r="H1918" s="284"/>
      <c r="I1918" s="284"/>
      <c r="J1918" s="375"/>
      <c r="K1918" s="375"/>
      <c r="L1918" s="375"/>
      <c r="M1918" s="368"/>
      <c r="N1918" s="368"/>
      <c r="O1918" s="370"/>
      <c r="T1918" s="340"/>
      <c r="V1918" s="378"/>
      <c r="W1918" s="64" ph="1"/>
      <c r="X1918" s="241"/>
      <c r="Y1918" s="284"/>
      <c r="Z1918" s="207"/>
      <c r="AA1918" s="284"/>
      <c r="AB1918" s="284"/>
      <c r="AC1918" s="284"/>
      <c r="AD1918" s="284"/>
      <c r="AE1918" s="284"/>
      <c r="AF1918" s="284"/>
      <c r="AG1918" s="284"/>
    </row>
    <row r="1919" spans="1:33" ht="26.4">
      <c r="A1919" s="284"/>
      <c r="B1919" s="284"/>
      <c r="C1919" s="284"/>
      <c r="D1919" s="284"/>
      <c r="E1919" s="284"/>
      <c r="F1919" s="284"/>
      <c r="G1919" s="284"/>
      <c r="H1919" s="284"/>
      <c r="I1919" s="284"/>
      <c r="J1919" s="375"/>
      <c r="K1919" s="375"/>
      <c r="L1919" s="375"/>
      <c r="M1919" s="368"/>
      <c r="N1919" s="368"/>
      <c r="O1919" s="370"/>
      <c r="T1919" s="340"/>
      <c r="V1919" s="378"/>
      <c r="W1919" s="64" ph="1"/>
      <c r="X1919" s="241"/>
      <c r="Y1919" s="284"/>
      <c r="Z1919" s="207"/>
      <c r="AA1919" s="284"/>
      <c r="AB1919" s="284"/>
      <c r="AC1919" s="284"/>
      <c r="AD1919" s="284"/>
      <c r="AE1919" s="284"/>
      <c r="AF1919" s="284"/>
      <c r="AG1919" s="284"/>
    </row>
    <row r="1920" spans="1:33" ht="26.4">
      <c r="A1920" s="284"/>
      <c r="B1920" s="284"/>
      <c r="C1920" s="284"/>
      <c r="D1920" s="284"/>
      <c r="E1920" s="284"/>
      <c r="F1920" s="284"/>
      <c r="G1920" s="284"/>
      <c r="H1920" s="284"/>
      <c r="I1920" s="284"/>
      <c r="J1920" s="375"/>
      <c r="K1920" s="375"/>
      <c r="L1920" s="375"/>
      <c r="M1920" s="368"/>
      <c r="N1920" s="368"/>
      <c r="O1920" s="370"/>
      <c r="T1920" s="340"/>
      <c r="V1920" s="378"/>
      <c r="W1920" s="64" ph="1"/>
      <c r="X1920" s="241"/>
      <c r="Y1920" s="284"/>
      <c r="Z1920" s="207"/>
      <c r="AA1920" s="284"/>
      <c r="AB1920" s="284"/>
      <c r="AC1920" s="284"/>
      <c r="AD1920" s="284"/>
      <c r="AE1920" s="284"/>
      <c r="AF1920" s="284"/>
      <c r="AG1920" s="284"/>
    </row>
    <row r="1921" spans="1:33" ht="26.4">
      <c r="A1921" s="284"/>
      <c r="B1921" s="284"/>
      <c r="C1921" s="284"/>
      <c r="D1921" s="284"/>
      <c r="E1921" s="284"/>
      <c r="F1921" s="284"/>
      <c r="G1921" s="284"/>
      <c r="H1921" s="284"/>
      <c r="I1921" s="284"/>
      <c r="J1921" s="375"/>
      <c r="K1921" s="375"/>
      <c r="L1921" s="375"/>
      <c r="M1921" s="368"/>
      <c r="N1921" s="368"/>
      <c r="O1921" s="370"/>
      <c r="T1921" s="340"/>
      <c r="V1921" s="378"/>
      <c r="W1921" s="64" ph="1"/>
      <c r="X1921" s="241"/>
      <c r="Y1921" s="284"/>
      <c r="Z1921" s="207"/>
      <c r="AA1921" s="284"/>
      <c r="AB1921" s="284"/>
      <c r="AC1921" s="284"/>
      <c r="AD1921" s="284"/>
      <c r="AE1921" s="284"/>
      <c r="AF1921" s="284"/>
      <c r="AG1921" s="284"/>
    </row>
    <row r="1922" spans="1:33" ht="26.4">
      <c r="A1922" s="284"/>
      <c r="B1922" s="284"/>
      <c r="C1922" s="284"/>
      <c r="D1922" s="284"/>
      <c r="E1922" s="284"/>
      <c r="F1922" s="284"/>
      <c r="G1922" s="284"/>
      <c r="H1922" s="284"/>
      <c r="I1922" s="284"/>
      <c r="J1922" s="375"/>
      <c r="K1922" s="375"/>
      <c r="L1922" s="375"/>
      <c r="M1922" s="368"/>
      <c r="N1922" s="368"/>
      <c r="O1922" s="370"/>
      <c r="T1922" s="340"/>
      <c r="V1922" s="378"/>
      <c r="W1922" s="64" ph="1"/>
      <c r="X1922" s="241"/>
      <c r="Y1922" s="284"/>
      <c r="Z1922" s="207"/>
      <c r="AA1922" s="284"/>
      <c r="AB1922" s="284"/>
      <c r="AC1922" s="284"/>
      <c r="AD1922" s="284"/>
      <c r="AE1922" s="284"/>
      <c r="AF1922" s="284"/>
      <c r="AG1922" s="284"/>
    </row>
    <row r="1923" spans="1:33" ht="26.4">
      <c r="A1923" s="284"/>
      <c r="B1923" s="284"/>
      <c r="C1923" s="284"/>
      <c r="D1923" s="284"/>
      <c r="E1923" s="284"/>
      <c r="F1923" s="284"/>
      <c r="G1923" s="284"/>
      <c r="H1923" s="284"/>
      <c r="I1923" s="284"/>
      <c r="J1923" s="375"/>
      <c r="K1923" s="375"/>
      <c r="L1923" s="375"/>
      <c r="M1923" s="368"/>
      <c r="N1923" s="368"/>
      <c r="O1923" s="370"/>
      <c r="T1923" s="340"/>
      <c r="V1923" s="378"/>
      <c r="W1923" s="64" ph="1"/>
      <c r="X1923" s="241"/>
      <c r="Y1923" s="284"/>
      <c r="Z1923" s="207"/>
      <c r="AA1923" s="284"/>
      <c r="AB1923" s="284"/>
      <c r="AC1923" s="284"/>
      <c r="AD1923" s="284"/>
      <c r="AE1923" s="284"/>
      <c r="AF1923" s="284"/>
      <c r="AG1923" s="284"/>
    </row>
    <row r="1924" spans="1:33" ht="26.4">
      <c r="A1924" s="284"/>
      <c r="B1924" s="284"/>
      <c r="C1924" s="284"/>
      <c r="D1924" s="284"/>
      <c r="E1924" s="284"/>
      <c r="F1924" s="284"/>
      <c r="G1924" s="284"/>
      <c r="H1924" s="284"/>
      <c r="I1924" s="284"/>
      <c r="J1924" s="375"/>
      <c r="K1924" s="375"/>
      <c r="L1924" s="375"/>
      <c r="M1924" s="368"/>
      <c r="N1924" s="368"/>
      <c r="O1924" s="370"/>
      <c r="T1924" s="340"/>
      <c r="V1924" s="378"/>
      <c r="W1924" s="64" ph="1"/>
      <c r="X1924" s="241"/>
      <c r="Y1924" s="284"/>
      <c r="Z1924" s="207"/>
      <c r="AA1924" s="284"/>
      <c r="AB1924" s="284"/>
      <c r="AC1924" s="284"/>
      <c r="AD1924" s="284"/>
      <c r="AE1924" s="284"/>
      <c r="AF1924" s="284"/>
      <c r="AG1924" s="284"/>
    </row>
    <row r="1925" spans="1:33" ht="26.4">
      <c r="A1925" s="284"/>
      <c r="B1925" s="284"/>
      <c r="C1925" s="284"/>
      <c r="D1925" s="284"/>
      <c r="E1925" s="284"/>
      <c r="F1925" s="284"/>
      <c r="G1925" s="284"/>
      <c r="H1925" s="284"/>
      <c r="I1925" s="284"/>
      <c r="J1925" s="375"/>
      <c r="K1925" s="375"/>
      <c r="L1925" s="375"/>
      <c r="M1925" s="368"/>
      <c r="N1925" s="368"/>
      <c r="O1925" s="370"/>
      <c r="T1925" s="340"/>
      <c r="V1925" s="378"/>
      <c r="W1925" s="64" ph="1"/>
      <c r="X1925" s="241"/>
      <c r="Y1925" s="284"/>
      <c r="Z1925" s="207"/>
      <c r="AA1925" s="284"/>
      <c r="AB1925" s="284"/>
      <c r="AC1925" s="284"/>
      <c r="AD1925" s="284"/>
      <c r="AE1925" s="284"/>
      <c r="AF1925" s="284"/>
      <c r="AG1925" s="284"/>
    </row>
    <row r="1926" spans="1:33" ht="26.4">
      <c r="A1926" s="284"/>
      <c r="B1926" s="284"/>
      <c r="C1926" s="284"/>
      <c r="D1926" s="284"/>
      <c r="E1926" s="284"/>
      <c r="F1926" s="284"/>
      <c r="G1926" s="284"/>
      <c r="H1926" s="284"/>
      <c r="I1926" s="284"/>
      <c r="J1926" s="375"/>
      <c r="K1926" s="375"/>
      <c r="L1926" s="375"/>
      <c r="M1926" s="368"/>
      <c r="N1926" s="368"/>
      <c r="O1926" s="370"/>
      <c r="T1926" s="340"/>
      <c r="V1926" s="378"/>
      <c r="W1926" s="64" ph="1"/>
      <c r="X1926" s="241"/>
      <c r="Y1926" s="284"/>
      <c r="Z1926" s="207"/>
      <c r="AA1926" s="284"/>
      <c r="AB1926" s="284"/>
      <c r="AC1926" s="284"/>
      <c r="AD1926" s="284"/>
      <c r="AE1926" s="284"/>
      <c r="AF1926" s="284"/>
      <c r="AG1926" s="284"/>
    </row>
    <row r="1927" spans="1:33" ht="26.4">
      <c r="A1927" s="284"/>
      <c r="B1927" s="284"/>
      <c r="C1927" s="284"/>
      <c r="D1927" s="284"/>
      <c r="E1927" s="284"/>
      <c r="F1927" s="284"/>
      <c r="G1927" s="284"/>
      <c r="H1927" s="284"/>
      <c r="I1927" s="284"/>
      <c r="J1927" s="375"/>
      <c r="K1927" s="375"/>
      <c r="L1927" s="375"/>
      <c r="M1927" s="368"/>
      <c r="N1927" s="368"/>
      <c r="O1927" s="370"/>
      <c r="T1927" s="340"/>
      <c r="V1927" s="378"/>
      <c r="W1927" s="64" ph="1"/>
      <c r="X1927" s="241"/>
      <c r="Y1927" s="284"/>
      <c r="Z1927" s="207"/>
      <c r="AA1927" s="284"/>
      <c r="AB1927" s="284"/>
      <c r="AC1927" s="284"/>
      <c r="AD1927" s="284"/>
      <c r="AE1927" s="284"/>
      <c r="AF1927" s="284"/>
      <c r="AG1927" s="284"/>
    </row>
    <row r="1928" spans="1:33" ht="26.4">
      <c r="A1928" s="284"/>
      <c r="B1928" s="284"/>
      <c r="C1928" s="284"/>
      <c r="D1928" s="284"/>
      <c r="E1928" s="284"/>
      <c r="F1928" s="284"/>
      <c r="G1928" s="284"/>
      <c r="H1928" s="284"/>
      <c r="I1928" s="284"/>
      <c r="J1928" s="375"/>
      <c r="K1928" s="375"/>
      <c r="L1928" s="375"/>
      <c r="M1928" s="368"/>
      <c r="N1928" s="368"/>
      <c r="O1928" s="370"/>
      <c r="T1928" s="340"/>
      <c r="V1928" s="378"/>
      <c r="W1928" s="64" ph="1"/>
      <c r="X1928" s="241"/>
      <c r="Y1928" s="284"/>
      <c r="Z1928" s="207"/>
      <c r="AA1928" s="284"/>
      <c r="AB1928" s="284"/>
      <c r="AC1928" s="284"/>
      <c r="AD1928" s="284"/>
      <c r="AE1928" s="284"/>
      <c r="AF1928" s="284"/>
      <c r="AG1928" s="284"/>
    </row>
    <row r="1929" spans="1:33" ht="26.4">
      <c r="A1929" s="284"/>
      <c r="B1929" s="284"/>
      <c r="C1929" s="284"/>
      <c r="D1929" s="284"/>
      <c r="E1929" s="284"/>
      <c r="F1929" s="284"/>
      <c r="G1929" s="284"/>
      <c r="H1929" s="284"/>
      <c r="I1929" s="284"/>
      <c r="J1929" s="375"/>
      <c r="K1929" s="375"/>
      <c r="L1929" s="375"/>
      <c r="M1929" s="368"/>
      <c r="N1929" s="368"/>
      <c r="O1929" s="370"/>
      <c r="T1929" s="340"/>
      <c r="V1929" s="378"/>
      <c r="W1929" s="64" ph="1"/>
      <c r="X1929" s="241"/>
      <c r="Y1929" s="284"/>
      <c r="Z1929" s="207"/>
      <c r="AA1929" s="284"/>
      <c r="AB1929" s="284"/>
      <c r="AC1929" s="284"/>
      <c r="AD1929" s="284"/>
      <c r="AE1929" s="284"/>
      <c r="AF1929" s="284"/>
      <c r="AG1929" s="284"/>
    </row>
    <row r="1930" spans="1:33" ht="26.4">
      <c r="A1930" s="284"/>
      <c r="B1930" s="284"/>
      <c r="C1930" s="284"/>
      <c r="D1930" s="284"/>
      <c r="E1930" s="284"/>
      <c r="F1930" s="284"/>
      <c r="G1930" s="284"/>
      <c r="H1930" s="284"/>
      <c r="I1930" s="284"/>
      <c r="J1930" s="375"/>
      <c r="K1930" s="375"/>
      <c r="L1930" s="375"/>
      <c r="M1930" s="368"/>
      <c r="N1930" s="368"/>
      <c r="O1930" s="370"/>
      <c r="T1930" s="340"/>
      <c r="V1930" s="378"/>
      <c r="W1930" s="64" ph="1"/>
      <c r="X1930" s="241"/>
      <c r="Y1930" s="284"/>
      <c r="Z1930" s="207"/>
      <c r="AA1930" s="284"/>
      <c r="AB1930" s="284"/>
      <c r="AC1930" s="284"/>
      <c r="AD1930" s="284"/>
      <c r="AE1930" s="284"/>
      <c r="AF1930" s="284"/>
      <c r="AG1930" s="284"/>
    </row>
    <row r="1931" spans="1:33" ht="26.4">
      <c r="A1931" s="284"/>
      <c r="B1931" s="284"/>
      <c r="C1931" s="284"/>
      <c r="D1931" s="284"/>
      <c r="E1931" s="284"/>
      <c r="F1931" s="284"/>
      <c r="G1931" s="284"/>
      <c r="H1931" s="284"/>
      <c r="I1931" s="284"/>
      <c r="J1931" s="375"/>
      <c r="K1931" s="375"/>
      <c r="L1931" s="375"/>
      <c r="M1931" s="368"/>
      <c r="N1931" s="368"/>
      <c r="O1931" s="370"/>
      <c r="T1931" s="340"/>
      <c r="V1931" s="378"/>
      <c r="W1931" s="64" ph="1"/>
      <c r="X1931" s="241"/>
      <c r="Y1931" s="284"/>
      <c r="Z1931" s="207"/>
      <c r="AA1931" s="284"/>
      <c r="AB1931" s="284"/>
      <c r="AC1931" s="284"/>
      <c r="AD1931" s="284"/>
      <c r="AE1931" s="284"/>
      <c r="AF1931" s="284"/>
      <c r="AG1931" s="284"/>
    </row>
    <row r="1932" spans="1:33" ht="26.4">
      <c r="A1932" s="284"/>
      <c r="B1932" s="284"/>
      <c r="C1932" s="284"/>
      <c r="D1932" s="284"/>
      <c r="E1932" s="284"/>
      <c r="F1932" s="284"/>
      <c r="G1932" s="284"/>
      <c r="H1932" s="284"/>
      <c r="I1932" s="284"/>
      <c r="J1932" s="375"/>
      <c r="K1932" s="375"/>
      <c r="L1932" s="375"/>
      <c r="M1932" s="368"/>
      <c r="N1932" s="368"/>
      <c r="O1932" s="370"/>
      <c r="T1932" s="340"/>
      <c r="V1932" s="378"/>
      <c r="W1932" s="64" ph="1"/>
      <c r="X1932" s="241"/>
      <c r="Y1932" s="284"/>
      <c r="Z1932" s="207"/>
      <c r="AA1932" s="284"/>
      <c r="AB1932" s="284"/>
      <c r="AC1932" s="284"/>
      <c r="AD1932" s="284"/>
      <c r="AE1932" s="284"/>
      <c r="AF1932" s="284"/>
      <c r="AG1932" s="284"/>
    </row>
    <row r="1933" spans="1:33" ht="26.4">
      <c r="A1933" s="284"/>
      <c r="B1933" s="284"/>
      <c r="C1933" s="284"/>
      <c r="D1933" s="284"/>
      <c r="E1933" s="284"/>
      <c r="F1933" s="284"/>
      <c r="G1933" s="284"/>
      <c r="H1933" s="284"/>
      <c r="I1933" s="284"/>
      <c r="J1933" s="375"/>
      <c r="K1933" s="375"/>
      <c r="L1933" s="375"/>
      <c r="M1933" s="368"/>
      <c r="N1933" s="368"/>
      <c r="O1933" s="370"/>
      <c r="T1933" s="340"/>
      <c r="V1933" s="378"/>
      <c r="W1933" s="64" ph="1"/>
      <c r="X1933" s="241"/>
      <c r="Y1933" s="284"/>
      <c r="Z1933" s="207"/>
      <c r="AA1933" s="284"/>
      <c r="AB1933" s="284"/>
      <c r="AC1933" s="284"/>
      <c r="AD1933" s="284"/>
      <c r="AE1933" s="284"/>
      <c r="AF1933" s="284"/>
      <c r="AG1933" s="284"/>
    </row>
    <row r="1934" spans="1:33" ht="26.4">
      <c r="A1934" s="284"/>
      <c r="B1934" s="284"/>
      <c r="C1934" s="284"/>
      <c r="D1934" s="284"/>
      <c r="E1934" s="284"/>
      <c r="F1934" s="284"/>
      <c r="G1934" s="284"/>
      <c r="H1934" s="284"/>
      <c r="I1934" s="284"/>
      <c r="J1934" s="375"/>
      <c r="K1934" s="375"/>
      <c r="L1934" s="375"/>
      <c r="M1934" s="368"/>
      <c r="N1934" s="368"/>
      <c r="O1934" s="370"/>
      <c r="T1934" s="340"/>
      <c r="V1934" s="378"/>
      <c r="W1934" s="64" ph="1"/>
      <c r="X1934" s="241"/>
      <c r="Y1934" s="284"/>
      <c r="Z1934" s="207"/>
      <c r="AA1934" s="284"/>
      <c r="AB1934" s="284"/>
      <c r="AC1934" s="284"/>
      <c r="AD1934" s="284"/>
      <c r="AE1934" s="284"/>
      <c r="AF1934" s="284"/>
      <c r="AG1934" s="284"/>
    </row>
    <row r="1935" spans="1:33" ht="26.4">
      <c r="A1935" s="284"/>
      <c r="B1935" s="284"/>
      <c r="C1935" s="284"/>
      <c r="D1935" s="284"/>
      <c r="E1935" s="284"/>
      <c r="F1935" s="284"/>
      <c r="G1935" s="284"/>
      <c r="H1935" s="284"/>
      <c r="I1935" s="284"/>
      <c r="J1935" s="375"/>
      <c r="K1935" s="375"/>
      <c r="L1935" s="375"/>
      <c r="M1935" s="368"/>
      <c r="N1935" s="368"/>
      <c r="O1935" s="370"/>
      <c r="T1935" s="340"/>
      <c r="V1935" s="378"/>
      <c r="W1935" s="64" ph="1"/>
      <c r="X1935" s="241"/>
      <c r="Y1935" s="284"/>
      <c r="Z1935" s="207"/>
      <c r="AA1935" s="284"/>
      <c r="AB1935" s="284"/>
      <c r="AC1935" s="284"/>
      <c r="AD1935" s="284"/>
      <c r="AE1935" s="284"/>
      <c r="AF1935" s="284"/>
      <c r="AG1935" s="284"/>
    </row>
    <row r="1936" spans="1:33" ht="26.4">
      <c r="A1936" s="284"/>
      <c r="B1936" s="284"/>
      <c r="C1936" s="284"/>
      <c r="D1936" s="284"/>
      <c r="E1936" s="284"/>
      <c r="F1936" s="284"/>
      <c r="G1936" s="284"/>
      <c r="H1936" s="284"/>
      <c r="I1936" s="284"/>
      <c r="J1936" s="375"/>
      <c r="K1936" s="375"/>
      <c r="L1936" s="375"/>
      <c r="M1936" s="368"/>
      <c r="N1936" s="368"/>
      <c r="O1936" s="370"/>
      <c r="T1936" s="340"/>
      <c r="V1936" s="378"/>
      <c r="W1936" s="64" ph="1"/>
      <c r="X1936" s="241"/>
      <c r="Y1936" s="284"/>
      <c r="Z1936" s="207"/>
      <c r="AA1936" s="284"/>
      <c r="AB1936" s="284"/>
      <c r="AC1936" s="284"/>
      <c r="AD1936" s="284"/>
      <c r="AE1936" s="284"/>
      <c r="AF1936" s="284"/>
      <c r="AG1936" s="284"/>
    </row>
    <row r="1937" spans="1:33" ht="26.4">
      <c r="A1937" s="284"/>
      <c r="B1937" s="284"/>
      <c r="C1937" s="284"/>
      <c r="D1937" s="284"/>
      <c r="E1937" s="284"/>
      <c r="F1937" s="284"/>
      <c r="G1937" s="284"/>
      <c r="H1937" s="284"/>
      <c r="I1937" s="284"/>
      <c r="J1937" s="375"/>
      <c r="K1937" s="375"/>
      <c r="L1937" s="375"/>
      <c r="M1937" s="368"/>
      <c r="N1937" s="368"/>
      <c r="O1937" s="370"/>
      <c r="T1937" s="340"/>
      <c r="V1937" s="378"/>
      <c r="W1937" s="64" ph="1"/>
      <c r="X1937" s="241"/>
      <c r="Y1937" s="284"/>
      <c r="Z1937" s="207"/>
      <c r="AA1937" s="284"/>
      <c r="AB1937" s="284"/>
      <c r="AC1937" s="284"/>
      <c r="AD1937" s="284"/>
      <c r="AE1937" s="284"/>
      <c r="AF1937" s="284"/>
      <c r="AG1937" s="284"/>
    </row>
    <row r="1938" spans="1:33" ht="26.4">
      <c r="A1938" s="284"/>
      <c r="B1938" s="284"/>
      <c r="C1938" s="284"/>
      <c r="D1938" s="284"/>
      <c r="E1938" s="284"/>
      <c r="F1938" s="284"/>
      <c r="G1938" s="284"/>
      <c r="H1938" s="284"/>
      <c r="I1938" s="284"/>
      <c r="J1938" s="375"/>
      <c r="K1938" s="375"/>
      <c r="L1938" s="375"/>
      <c r="M1938" s="368"/>
      <c r="N1938" s="368"/>
      <c r="O1938" s="370"/>
      <c r="T1938" s="340"/>
      <c r="V1938" s="378"/>
      <c r="W1938" s="64" ph="1"/>
      <c r="X1938" s="241"/>
      <c r="Y1938" s="284"/>
      <c r="Z1938" s="207"/>
      <c r="AA1938" s="284"/>
      <c r="AB1938" s="284"/>
      <c r="AC1938" s="284"/>
      <c r="AD1938" s="284"/>
      <c r="AE1938" s="284"/>
      <c r="AF1938" s="284"/>
      <c r="AG1938" s="284"/>
    </row>
    <row r="1939" spans="1:33" ht="26.4">
      <c r="A1939" s="284"/>
      <c r="B1939" s="284"/>
      <c r="C1939" s="284"/>
      <c r="D1939" s="284"/>
      <c r="E1939" s="284"/>
      <c r="F1939" s="284"/>
      <c r="G1939" s="284"/>
      <c r="H1939" s="284"/>
      <c r="I1939" s="284"/>
      <c r="J1939" s="375"/>
      <c r="K1939" s="375"/>
      <c r="L1939" s="375"/>
      <c r="M1939" s="368"/>
      <c r="N1939" s="368"/>
      <c r="O1939" s="370"/>
      <c r="T1939" s="340"/>
      <c r="V1939" s="378"/>
      <c r="W1939" s="64" ph="1"/>
      <c r="X1939" s="241"/>
      <c r="Y1939" s="284"/>
      <c r="Z1939" s="207"/>
      <c r="AA1939" s="284"/>
      <c r="AB1939" s="284"/>
      <c r="AC1939" s="284"/>
      <c r="AD1939" s="284"/>
      <c r="AE1939" s="284"/>
      <c r="AF1939" s="284"/>
      <c r="AG1939" s="284"/>
    </row>
    <row r="1940" spans="1:33" ht="26.4">
      <c r="A1940" s="284"/>
      <c r="B1940" s="284"/>
      <c r="C1940" s="284"/>
      <c r="D1940" s="284"/>
      <c r="E1940" s="284"/>
      <c r="F1940" s="284"/>
      <c r="G1940" s="284"/>
      <c r="H1940" s="284"/>
      <c r="I1940" s="284"/>
      <c r="J1940" s="375"/>
      <c r="K1940" s="375"/>
      <c r="L1940" s="375"/>
      <c r="M1940" s="368"/>
      <c r="N1940" s="368"/>
      <c r="O1940" s="370"/>
      <c r="T1940" s="340"/>
      <c r="V1940" s="378"/>
      <c r="W1940" s="64" ph="1"/>
      <c r="X1940" s="241"/>
      <c r="Y1940" s="284"/>
      <c r="Z1940" s="207"/>
      <c r="AA1940" s="284"/>
      <c r="AB1940" s="284"/>
      <c r="AC1940" s="284"/>
      <c r="AD1940" s="284"/>
      <c r="AE1940" s="284"/>
      <c r="AF1940" s="284"/>
      <c r="AG1940" s="284"/>
    </row>
    <row r="1941" spans="1:33" ht="26.4">
      <c r="A1941" s="284"/>
      <c r="B1941" s="284"/>
      <c r="C1941" s="284"/>
      <c r="D1941" s="284"/>
      <c r="E1941" s="284"/>
      <c r="F1941" s="284"/>
      <c r="G1941" s="284"/>
      <c r="H1941" s="284"/>
      <c r="I1941" s="284"/>
      <c r="J1941" s="375"/>
      <c r="K1941" s="375"/>
      <c r="L1941" s="375"/>
      <c r="M1941" s="368"/>
      <c r="N1941" s="368"/>
      <c r="O1941" s="370"/>
      <c r="T1941" s="340"/>
      <c r="V1941" s="378"/>
      <c r="W1941" s="64" ph="1"/>
      <c r="X1941" s="241"/>
      <c r="Y1941" s="284"/>
      <c r="Z1941" s="207"/>
      <c r="AA1941" s="284"/>
      <c r="AB1941" s="284"/>
      <c r="AC1941" s="284"/>
      <c r="AD1941" s="284"/>
      <c r="AE1941" s="284"/>
      <c r="AF1941" s="284"/>
      <c r="AG1941" s="284"/>
    </row>
    <row r="1942" spans="1:33" ht="26.4">
      <c r="A1942" s="284"/>
      <c r="B1942" s="284"/>
      <c r="C1942" s="284"/>
      <c r="D1942" s="284"/>
      <c r="E1942" s="284"/>
      <c r="F1942" s="284"/>
      <c r="G1942" s="284"/>
      <c r="H1942" s="284"/>
      <c r="I1942" s="284"/>
      <c r="J1942" s="375"/>
      <c r="K1942" s="375"/>
      <c r="L1942" s="375"/>
      <c r="M1942" s="368"/>
      <c r="N1942" s="368"/>
      <c r="O1942" s="370"/>
      <c r="T1942" s="340"/>
      <c r="V1942" s="378"/>
      <c r="W1942" s="64" ph="1"/>
      <c r="X1942" s="241"/>
      <c r="Y1942" s="284"/>
      <c r="Z1942" s="207"/>
      <c r="AA1942" s="284"/>
      <c r="AB1942" s="284"/>
      <c r="AC1942" s="284"/>
      <c r="AD1942" s="284"/>
      <c r="AE1942" s="284"/>
      <c r="AF1942" s="284"/>
      <c r="AG1942" s="284"/>
    </row>
    <row r="1943" spans="1:33" ht="26.4">
      <c r="A1943" s="284"/>
      <c r="B1943" s="284"/>
      <c r="C1943" s="284"/>
      <c r="D1943" s="284"/>
      <c r="E1943" s="284"/>
      <c r="F1943" s="284"/>
      <c r="G1943" s="284"/>
      <c r="H1943" s="284"/>
      <c r="I1943" s="284"/>
      <c r="J1943" s="375"/>
      <c r="K1943" s="375"/>
      <c r="L1943" s="375"/>
      <c r="M1943" s="368"/>
      <c r="N1943" s="368"/>
      <c r="O1943" s="370"/>
      <c r="T1943" s="340"/>
      <c r="V1943" s="378"/>
      <c r="W1943" s="64" ph="1"/>
      <c r="X1943" s="241"/>
      <c r="Y1943" s="284"/>
      <c r="Z1943" s="207"/>
      <c r="AA1943" s="284"/>
      <c r="AB1943" s="284"/>
      <c r="AC1943" s="284"/>
      <c r="AD1943" s="284"/>
      <c r="AE1943" s="284"/>
      <c r="AF1943" s="284"/>
      <c r="AG1943" s="284"/>
    </row>
    <row r="1944" spans="1:33" ht="26.4">
      <c r="A1944" s="284"/>
      <c r="B1944" s="284"/>
      <c r="C1944" s="284"/>
      <c r="D1944" s="284"/>
      <c r="E1944" s="284"/>
      <c r="F1944" s="284"/>
      <c r="G1944" s="284"/>
      <c r="H1944" s="284"/>
      <c r="I1944" s="284"/>
      <c r="J1944" s="375"/>
      <c r="K1944" s="375"/>
      <c r="L1944" s="375"/>
      <c r="M1944" s="368"/>
      <c r="N1944" s="368"/>
      <c r="O1944" s="370"/>
      <c r="T1944" s="340"/>
      <c r="V1944" s="378"/>
      <c r="W1944" s="64" ph="1"/>
      <c r="X1944" s="241"/>
      <c r="Y1944" s="284"/>
      <c r="Z1944" s="207"/>
      <c r="AA1944" s="284"/>
      <c r="AB1944" s="284"/>
      <c r="AC1944" s="284"/>
      <c r="AD1944" s="284"/>
      <c r="AE1944" s="284"/>
      <c r="AF1944" s="284"/>
      <c r="AG1944" s="284"/>
    </row>
    <row r="1945" spans="1:33" ht="26.4">
      <c r="A1945" s="284"/>
      <c r="B1945" s="284"/>
      <c r="C1945" s="284"/>
      <c r="D1945" s="284"/>
      <c r="E1945" s="284"/>
      <c r="F1945" s="284"/>
      <c r="G1945" s="284"/>
      <c r="H1945" s="284"/>
      <c r="I1945" s="284"/>
      <c r="J1945" s="375"/>
      <c r="K1945" s="375"/>
      <c r="L1945" s="375"/>
      <c r="M1945" s="368"/>
      <c r="N1945" s="368"/>
      <c r="O1945" s="370"/>
      <c r="T1945" s="340"/>
      <c r="V1945" s="378"/>
      <c r="W1945" s="64" ph="1"/>
      <c r="X1945" s="241"/>
      <c r="Y1945" s="284"/>
      <c r="Z1945" s="207"/>
      <c r="AA1945" s="284"/>
      <c r="AB1945" s="284"/>
      <c r="AC1945" s="284"/>
      <c r="AD1945" s="284"/>
      <c r="AE1945" s="284"/>
      <c r="AF1945" s="284"/>
      <c r="AG1945" s="284"/>
    </row>
    <row r="1946" spans="1:33" ht="26.4">
      <c r="A1946" s="284"/>
      <c r="B1946" s="284"/>
      <c r="C1946" s="284"/>
      <c r="D1946" s="284"/>
      <c r="E1946" s="284"/>
      <c r="F1946" s="284"/>
      <c r="G1946" s="284"/>
      <c r="H1946" s="284"/>
      <c r="I1946" s="284"/>
      <c r="J1946" s="375"/>
      <c r="K1946" s="375"/>
      <c r="L1946" s="375"/>
      <c r="M1946" s="368"/>
      <c r="N1946" s="368"/>
      <c r="O1946" s="370"/>
      <c r="T1946" s="340"/>
      <c r="V1946" s="378"/>
      <c r="W1946" s="64" ph="1"/>
      <c r="X1946" s="241"/>
      <c r="Y1946" s="284"/>
      <c r="Z1946" s="207"/>
      <c r="AA1946" s="284"/>
      <c r="AB1946" s="284"/>
      <c r="AC1946" s="284"/>
      <c r="AD1946" s="284"/>
      <c r="AE1946" s="284"/>
      <c r="AF1946" s="284"/>
      <c r="AG1946" s="284"/>
    </row>
    <row r="1947" spans="1:33" ht="26.4">
      <c r="A1947" s="284"/>
      <c r="B1947" s="284"/>
      <c r="C1947" s="284"/>
      <c r="D1947" s="284"/>
      <c r="E1947" s="284"/>
      <c r="F1947" s="284"/>
      <c r="G1947" s="284"/>
      <c r="H1947" s="284"/>
      <c r="I1947" s="284"/>
      <c r="J1947" s="375"/>
      <c r="K1947" s="375"/>
      <c r="L1947" s="375"/>
      <c r="M1947" s="368"/>
      <c r="N1947" s="368"/>
      <c r="O1947" s="370"/>
      <c r="T1947" s="340"/>
      <c r="V1947" s="378"/>
      <c r="W1947" s="64" ph="1"/>
      <c r="X1947" s="241"/>
      <c r="Y1947" s="284"/>
      <c r="Z1947" s="207"/>
      <c r="AA1947" s="284"/>
      <c r="AB1947" s="284"/>
      <c r="AC1947" s="284"/>
      <c r="AD1947" s="284"/>
      <c r="AE1947" s="284"/>
      <c r="AF1947" s="284"/>
      <c r="AG1947" s="284"/>
    </row>
    <row r="1948" spans="1:33" ht="26.4">
      <c r="A1948" s="284"/>
      <c r="B1948" s="284"/>
      <c r="C1948" s="284"/>
      <c r="D1948" s="284"/>
      <c r="E1948" s="284"/>
      <c r="F1948" s="284"/>
      <c r="G1948" s="284"/>
      <c r="H1948" s="284"/>
      <c r="I1948" s="284"/>
      <c r="J1948" s="375"/>
      <c r="K1948" s="375"/>
      <c r="L1948" s="375"/>
      <c r="M1948" s="368"/>
      <c r="N1948" s="368"/>
      <c r="O1948" s="370"/>
      <c r="T1948" s="340"/>
      <c r="V1948" s="378"/>
      <c r="W1948" s="64" ph="1"/>
      <c r="X1948" s="241"/>
      <c r="Y1948" s="284"/>
      <c r="Z1948" s="207"/>
      <c r="AA1948" s="284"/>
      <c r="AB1948" s="284"/>
      <c r="AC1948" s="284"/>
      <c r="AD1948" s="284"/>
      <c r="AE1948" s="284"/>
      <c r="AF1948" s="284"/>
      <c r="AG1948" s="284"/>
    </row>
    <row r="1949" spans="1:33" ht="26.4">
      <c r="A1949" s="284"/>
      <c r="B1949" s="284"/>
      <c r="C1949" s="284"/>
      <c r="D1949" s="284"/>
      <c r="E1949" s="284"/>
      <c r="F1949" s="284"/>
      <c r="G1949" s="284"/>
      <c r="H1949" s="284"/>
      <c r="I1949" s="284"/>
      <c r="J1949" s="375"/>
      <c r="K1949" s="375"/>
      <c r="L1949" s="375"/>
      <c r="M1949" s="368"/>
      <c r="N1949" s="368"/>
      <c r="O1949" s="370"/>
      <c r="T1949" s="340"/>
      <c r="V1949" s="378"/>
      <c r="W1949" s="64" ph="1"/>
      <c r="X1949" s="241"/>
      <c r="Y1949" s="284"/>
      <c r="Z1949" s="207"/>
      <c r="AA1949" s="284"/>
      <c r="AB1949" s="284"/>
      <c r="AC1949" s="284"/>
      <c r="AD1949" s="284"/>
      <c r="AE1949" s="284"/>
      <c r="AF1949" s="284"/>
      <c r="AG1949" s="284"/>
    </row>
    <row r="1950" spans="1:33" ht="26.4">
      <c r="A1950" s="284"/>
      <c r="B1950" s="284"/>
      <c r="C1950" s="284"/>
      <c r="D1950" s="284"/>
      <c r="E1950" s="284"/>
      <c r="F1950" s="284"/>
      <c r="G1950" s="284"/>
      <c r="H1950" s="284"/>
      <c r="I1950" s="284"/>
      <c r="J1950" s="375"/>
      <c r="K1950" s="375"/>
      <c r="L1950" s="375"/>
      <c r="M1950" s="368"/>
      <c r="N1950" s="368"/>
      <c r="O1950" s="370"/>
      <c r="T1950" s="340"/>
      <c r="V1950" s="378"/>
      <c r="W1950" s="64" ph="1"/>
      <c r="X1950" s="241"/>
      <c r="Y1950" s="284"/>
      <c r="Z1950" s="207"/>
      <c r="AA1950" s="284"/>
      <c r="AB1950" s="284"/>
      <c r="AC1950" s="284"/>
      <c r="AD1950" s="284"/>
      <c r="AE1950" s="284"/>
      <c r="AF1950" s="284"/>
      <c r="AG1950" s="284"/>
    </row>
    <row r="1951" spans="1:33" ht="26.4">
      <c r="A1951" s="284"/>
      <c r="B1951" s="284"/>
      <c r="C1951" s="284"/>
      <c r="D1951" s="284"/>
      <c r="E1951" s="284"/>
      <c r="F1951" s="284"/>
      <c r="G1951" s="284"/>
      <c r="H1951" s="284"/>
      <c r="I1951" s="284"/>
      <c r="J1951" s="375"/>
      <c r="K1951" s="375"/>
      <c r="L1951" s="375"/>
      <c r="M1951" s="368"/>
      <c r="N1951" s="368"/>
      <c r="O1951" s="370"/>
      <c r="T1951" s="340"/>
      <c r="V1951" s="378"/>
      <c r="W1951" s="64" ph="1"/>
      <c r="X1951" s="241"/>
      <c r="Y1951" s="284"/>
      <c r="Z1951" s="207"/>
      <c r="AA1951" s="284"/>
      <c r="AB1951" s="284"/>
      <c r="AC1951" s="284"/>
      <c r="AD1951" s="284"/>
      <c r="AE1951" s="284"/>
      <c r="AF1951" s="284"/>
      <c r="AG1951" s="284"/>
    </row>
    <row r="1952" spans="1:33" ht="26.4">
      <c r="A1952" s="284"/>
      <c r="B1952" s="284"/>
      <c r="C1952" s="284"/>
      <c r="D1952" s="284"/>
      <c r="E1952" s="284"/>
      <c r="F1952" s="284"/>
      <c r="G1952" s="284"/>
      <c r="H1952" s="284"/>
      <c r="I1952" s="284"/>
      <c r="J1952" s="375"/>
      <c r="K1952" s="375"/>
      <c r="L1952" s="375"/>
      <c r="M1952" s="368"/>
      <c r="N1952" s="368"/>
      <c r="O1952" s="370"/>
      <c r="T1952" s="340"/>
      <c r="V1952" s="378"/>
      <c r="W1952" s="64" ph="1"/>
      <c r="X1952" s="241"/>
      <c r="Y1952" s="284"/>
      <c r="Z1952" s="207"/>
      <c r="AA1952" s="284"/>
      <c r="AB1952" s="284"/>
      <c r="AC1952" s="284"/>
      <c r="AD1952" s="284"/>
      <c r="AE1952" s="284"/>
      <c r="AF1952" s="284"/>
      <c r="AG1952" s="284"/>
    </row>
    <row r="1953" spans="1:33" ht="26.4">
      <c r="A1953" s="284"/>
      <c r="B1953" s="284"/>
      <c r="C1953" s="284"/>
      <c r="D1953" s="284"/>
      <c r="E1953" s="284"/>
      <c r="F1953" s="284"/>
      <c r="G1953" s="284"/>
      <c r="H1953" s="284"/>
      <c r="I1953" s="284"/>
      <c r="J1953" s="375"/>
      <c r="K1953" s="375"/>
      <c r="L1953" s="375"/>
      <c r="M1953" s="368"/>
      <c r="N1953" s="368"/>
      <c r="O1953" s="370"/>
      <c r="T1953" s="340"/>
      <c r="V1953" s="378"/>
      <c r="W1953" s="64" ph="1"/>
      <c r="X1953" s="241"/>
      <c r="Y1953" s="284"/>
      <c r="Z1953" s="207"/>
      <c r="AA1953" s="284"/>
      <c r="AB1953" s="284"/>
      <c r="AC1953" s="284"/>
      <c r="AD1953" s="284"/>
      <c r="AE1953" s="284"/>
      <c r="AF1953" s="284"/>
      <c r="AG1953" s="284"/>
    </row>
    <row r="1954" spans="1:33" ht="26.4">
      <c r="A1954" s="284"/>
      <c r="B1954" s="284"/>
      <c r="C1954" s="284"/>
      <c r="D1954" s="284"/>
      <c r="E1954" s="284"/>
      <c r="F1954" s="284"/>
      <c r="G1954" s="284"/>
      <c r="H1954" s="284"/>
      <c r="I1954" s="284"/>
      <c r="J1954" s="375"/>
      <c r="K1954" s="375"/>
      <c r="L1954" s="375"/>
      <c r="M1954" s="368"/>
      <c r="N1954" s="368"/>
      <c r="O1954" s="370"/>
      <c r="T1954" s="340"/>
      <c r="V1954" s="378"/>
      <c r="W1954" s="64" ph="1"/>
      <c r="X1954" s="241"/>
      <c r="Y1954" s="284"/>
      <c r="Z1954" s="207"/>
      <c r="AA1954" s="284"/>
      <c r="AB1954" s="284"/>
      <c r="AC1954" s="284"/>
      <c r="AD1954" s="284"/>
      <c r="AE1954" s="284"/>
      <c r="AF1954" s="284"/>
      <c r="AG1954" s="284"/>
    </row>
    <row r="1955" spans="1:33" ht="26.4">
      <c r="A1955" s="284"/>
      <c r="B1955" s="284"/>
      <c r="C1955" s="284"/>
      <c r="D1955" s="284"/>
      <c r="E1955" s="284"/>
      <c r="F1955" s="284"/>
      <c r="G1955" s="284"/>
      <c r="H1955" s="284"/>
      <c r="I1955" s="284"/>
      <c r="J1955" s="375"/>
      <c r="K1955" s="375"/>
      <c r="L1955" s="375"/>
      <c r="M1955" s="368"/>
      <c r="N1955" s="368"/>
      <c r="O1955" s="370"/>
      <c r="T1955" s="340"/>
      <c r="V1955" s="378"/>
      <c r="W1955" s="64" ph="1"/>
      <c r="X1955" s="241"/>
      <c r="Y1955" s="284"/>
      <c r="Z1955" s="207"/>
      <c r="AA1955" s="284"/>
      <c r="AB1955" s="284"/>
      <c r="AC1955" s="284"/>
      <c r="AD1955" s="284"/>
      <c r="AE1955" s="284"/>
      <c r="AF1955" s="284"/>
      <c r="AG1955" s="284"/>
    </row>
    <row r="1956" spans="1:33" ht="26.4">
      <c r="A1956" s="284"/>
      <c r="B1956" s="284"/>
      <c r="C1956" s="284"/>
      <c r="D1956" s="284"/>
      <c r="E1956" s="284"/>
      <c r="F1956" s="284"/>
      <c r="G1956" s="284"/>
      <c r="H1956" s="284"/>
      <c r="I1956" s="284"/>
      <c r="J1956" s="375"/>
      <c r="K1956" s="375"/>
      <c r="L1956" s="375"/>
      <c r="M1956" s="368"/>
      <c r="N1956" s="368"/>
      <c r="O1956" s="370"/>
      <c r="T1956" s="340"/>
      <c r="V1956" s="378"/>
      <c r="W1956" s="64" ph="1"/>
      <c r="X1956" s="241"/>
      <c r="Y1956" s="284"/>
      <c r="Z1956" s="207"/>
      <c r="AA1956" s="284"/>
      <c r="AB1956" s="284"/>
      <c r="AC1956" s="284"/>
      <c r="AD1956" s="284"/>
      <c r="AE1956" s="284"/>
      <c r="AF1956" s="284"/>
      <c r="AG1956" s="284"/>
    </row>
    <row r="1957" spans="1:33" ht="26.4">
      <c r="A1957" s="284"/>
      <c r="B1957" s="284"/>
      <c r="C1957" s="284"/>
      <c r="D1957" s="284"/>
      <c r="E1957" s="284"/>
      <c r="F1957" s="284"/>
      <c r="G1957" s="284"/>
      <c r="H1957" s="284"/>
      <c r="I1957" s="284"/>
      <c r="J1957" s="375"/>
      <c r="K1957" s="375"/>
      <c r="L1957" s="375"/>
      <c r="M1957" s="368"/>
      <c r="N1957" s="368"/>
      <c r="O1957" s="370"/>
      <c r="T1957" s="340"/>
      <c r="V1957" s="378"/>
      <c r="W1957" s="64" ph="1"/>
      <c r="X1957" s="241"/>
      <c r="Y1957" s="284"/>
      <c r="Z1957" s="207"/>
      <c r="AA1957" s="284"/>
      <c r="AB1957" s="284"/>
      <c r="AC1957" s="284"/>
      <c r="AD1957" s="284"/>
      <c r="AE1957" s="284"/>
      <c r="AF1957" s="284"/>
      <c r="AG1957" s="284"/>
    </row>
    <row r="1958" spans="1:33" ht="26.4">
      <c r="A1958" s="284"/>
      <c r="B1958" s="284"/>
      <c r="C1958" s="284"/>
      <c r="D1958" s="284"/>
      <c r="E1958" s="284"/>
      <c r="F1958" s="284"/>
      <c r="G1958" s="284"/>
      <c r="H1958" s="284"/>
      <c r="I1958" s="284"/>
      <c r="J1958" s="375"/>
      <c r="K1958" s="375"/>
      <c r="L1958" s="375"/>
      <c r="M1958" s="368"/>
      <c r="N1958" s="368"/>
      <c r="O1958" s="370"/>
      <c r="T1958" s="340"/>
      <c r="V1958" s="378"/>
      <c r="W1958" s="64" ph="1"/>
      <c r="X1958" s="241"/>
      <c r="Y1958" s="284"/>
      <c r="Z1958" s="207"/>
      <c r="AA1958" s="284"/>
      <c r="AB1958" s="284"/>
      <c r="AC1958" s="284"/>
      <c r="AD1958" s="284"/>
      <c r="AE1958" s="284"/>
      <c r="AF1958" s="284"/>
      <c r="AG1958" s="284"/>
    </row>
    <row r="1959" spans="1:33" ht="26.4">
      <c r="A1959" s="284"/>
      <c r="B1959" s="284"/>
      <c r="C1959" s="284"/>
      <c r="D1959" s="284"/>
      <c r="E1959" s="284"/>
      <c r="F1959" s="284"/>
      <c r="G1959" s="284"/>
      <c r="H1959" s="284"/>
      <c r="I1959" s="284"/>
      <c r="J1959" s="375"/>
      <c r="K1959" s="375"/>
      <c r="L1959" s="375"/>
      <c r="M1959" s="368"/>
      <c r="N1959" s="368"/>
      <c r="O1959" s="370"/>
      <c r="T1959" s="340"/>
      <c r="V1959" s="378"/>
      <c r="W1959" s="64" ph="1"/>
      <c r="X1959" s="241"/>
      <c r="Y1959" s="284"/>
      <c r="Z1959" s="207"/>
      <c r="AA1959" s="284"/>
      <c r="AB1959" s="284"/>
      <c r="AC1959" s="284"/>
      <c r="AD1959" s="284"/>
      <c r="AE1959" s="284"/>
      <c r="AF1959" s="284"/>
      <c r="AG1959" s="284"/>
    </row>
    <row r="1960" spans="1:33" ht="26.4">
      <c r="A1960" s="284"/>
      <c r="B1960" s="284"/>
      <c r="C1960" s="284"/>
      <c r="D1960" s="284"/>
      <c r="E1960" s="284"/>
      <c r="F1960" s="284"/>
      <c r="G1960" s="284"/>
      <c r="H1960" s="284"/>
      <c r="I1960" s="284"/>
      <c r="J1960" s="375"/>
      <c r="K1960" s="375"/>
      <c r="L1960" s="375"/>
      <c r="M1960" s="368"/>
      <c r="N1960" s="368"/>
      <c r="O1960" s="370"/>
      <c r="T1960" s="340"/>
      <c r="V1960" s="378"/>
      <c r="W1960" s="64" ph="1"/>
      <c r="X1960" s="241"/>
      <c r="Y1960" s="284"/>
      <c r="Z1960" s="207"/>
      <c r="AA1960" s="284"/>
      <c r="AB1960" s="284"/>
      <c r="AC1960" s="284"/>
      <c r="AD1960" s="284"/>
      <c r="AE1960" s="284"/>
      <c r="AF1960" s="284"/>
      <c r="AG1960" s="284"/>
    </row>
    <row r="1961" spans="1:33" ht="26.4">
      <c r="A1961" s="284"/>
      <c r="B1961" s="284"/>
      <c r="C1961" s="284"/>
      <c r="D1961" s="284"/>
      <c r="E1961" s="284"/>
      <c r="F1961" s="284"/>
      <c r="G1961" s="284"/>
      <c r="H1961" s="284"/>
      <c r="I1961" s="284"/>
      <c r="J1961" s="375"/>
      <c r="K1961" s="375"/>
      <c r="L1961" s="375"/>
      <c r="M1961" s="368"/>
      <c r="N1961" s="368"/>
      <c r="O1961" s="370"/>
      <c r="T1961" s="340"/>
      <c r="V1961" s="378"/>
      <c r="W1961" s="64" ph="1"/>
      <c r="X1961" s="241"/>
      <c r="Y1961" s="284"/>
      <c r="Z1961" s="207"/>
      <c r="AA1961" s="284"/>
      <c r="AB1961" s="284"/>
      <c r="AC1961" s="284"/>
      <c r="AD1961" s="284"/>
      <c r="AE1961" s="284"/>
      <c r="AF1961" s="284"/>
      <c r="AG1961" s="284"/>
    </row>
    <row r="1962" spans="1:33" ht="26.4">
      <c r="A1962" s="284"/>
      <c r="B1962" s="284"/>
      <c r="C1962" s="284"/>
      <c r="D1962" s="284"/>
      <c r="E1962" s="284"/>
      <c r="F1962" s="284"/>
      <c r="G1962" s="284"/>
      <c r="H1962" s="284"/>
      <c r="I1962" s="284"/>
      <c r="J1962" s="375"/>
      <c r="K1962" s="375"/>
      <c r="L1962" s="375"/>
      <c r="M1962" s="368"/>
      <c r="N1962" s="368"/>
      <c r="O1962" s="370"/>
      <c r="T1962" s="340"/>
      <c r="V1962" s="378"/>
      <c r="W1962" s="64" ph="1"/>
      <c r="X1962" s="241"/>
      <c r="Y1962" s="284"/>
      <c r="Z1962" s="207"/>
      <c r="AA1962" s="284"/>
      <c r="AB1962" s="284"/>
      <c r="AC1962" s="284"/>
      <c r="AD1962" s="284"/>
      <c r="AE1962" s="284"/>
      <c r="AF1962" s="284"/>
      <c r="AG1962" s="284"/>
    </row>
    <row r="1963" spans="1:33" ht="26.4">
      <c r="A1963" s="284"/>
      <c r="B1963" s="284"/>
      <c r="C1963" s="284"/>
      <c r="D1963" s="284"/>
      <c r="E1963" s="284"/>
      <c r="F1963" s="284"/>
      <c r="G1963" s="284"/>
      <c r="H1963" s="284"/>
      <c r="I1963" s="284"/>
      <c r="J1963" s="375"/>
      <c r="K1963" s="375"/>
      <c r="L1963" s="375"/>
      <c r="M1963" s="368"/>
      <c r="N1963" s="368"/>
      <c r="O1963" s="370"/>
      <c r="T1963" s="340"/>
      <c r="V1963" s="378"/>
      <c r="W1963" s="64" ph="1"/>
      <c r="X1963" s="241"/>
      <c r="Y1963" s="284"/>
      <c r="Z1963" s="207"/>
      <c r="AA1963" s="284"/>
      <c r="AB1963" s="284"/>
      <c r="AC1963" s="284"/>
      <c r="AD1963" s="284"/>
      <c r="AE1963" s="284"/>
      <c r="AF1963" s="284"/>
      <c r="AG1963" s="284"/>
    </row>
    <row r="1964" spans="1:33" ht="26.4">
      <c r="A1964" s="284"/>
      <c r="B1964" s="284"/>
      <c r="C1964" s="284"/>
      <c r="D1964" s="284"/>
      <c r="E1964" s="284"/>
      <c r="F1964" s="284"/>
      <c r="G1964" s="284"/>
      <c r="H1964" s="284"/>
      <c r="I1964" s="284"/>
      <c r="J1964" s="375"/>
      <c r="K1964" s="375"/>
      <c r="L1964" s="375"/>
      <c r="M1964" s="368"/>
      <c r="N1964" s="368"/>
      <c r="O1964" s="370"/>
      <c r="T1964" s="340"/>
      <c r="V1964" s="378"/>
      <c r="W1964" s="64" ph="1"/>
      <c r="X1964" s="241"/>
      <c r="Y1964" s="284"/>
      <c r="Z1964" s="207"/>
      <c r="AA1964" s="284"/>
      <c r="AB1964" s="284"/>
      <c r="AC1964" s="284"/>
      <c r="AD1964" s="284"/>
      <c r="AE1964" s="284"/>
      <c r="AF1964" s="284"/>
      <c r="AG1964" s="284"/>
    </row>
    <row r="1965" spans="1:33" ht="26.4">
      <c r="A1965" s="284"/>
      <c r="B1965" s="284"/>
      <c r="C1965" s="284"/>
      <c r="D1965" s="284"/>
      <c r="E1965" s="284"/>
      <c r="F1965" s="284"/>
      <c r="G1965" s="284"/>
      <c r="H1965" s="284"/>
      <c r="I1965" s="284"/>
      <c r="J1965" s="375"/>
      <c r="K1965" s="375"/>
      <c r="L1965" s="375"/>
      <c r="M1965" s="368"/>
      <c r="N1965" s="368"/>
      <c r="O1965" s="370"/>
      <c r="T1965" s="340"/>
      <c r="V1965" s="378"/>
      <c r="W1965" s="64" ph="1"/>
      <c r="X1965" s="241"/>
      <c r="Y1965" s="284"/>
      <c r="Z1965" s="207"/>
      <c r="AA1965" s="284"/>
      <c r="AB1965" s="284"/>
      <c r="AC1965" s="284"/>
      <c r="AD1965" s="284"/>
      <c r="AE1965" s="284"/>
      <c r="AF1965" s="284"/>
      <c r="AG1965" s="284"/>
    </row>
    <row r="1966" spans="1:33" ht="26.4">
      <c r="A1966" s="284"/>
      <c r="B1966" s="284"/>
      <c r="C1966" s="284"/>
      <c r="D1966" s="284"/>
      <c r="E1966" s="284"/>
      <c r="F1966" s="284"/>
      <c r="G1966" s="284"/>
      <c r="H1966" s="284"/>
      <c r="I1966" s="284"/>
      <c r="J1966" s="375"/>
      <c r="K1966" s="375"/>
      <c r="L1966" s="375"/>
      <c r="M1966" s="368"/>
      <c r="N1966" s="368"/>
      <c r="O1966" s="370"/>
      <c r="T1966" s="340"/>
      <c r="V1966" s="378"/>
      <c r="W1966" s="64" ph="1"/>
      <c r="X1966" s="241"/>
      <c r="Y1966" s="284"/>
      <c r="Z1966" s="207"/>
      <c r="AA1966" s="284"/>
      <c r="AB1966" s="284"/>
      <c r="AC1966" s="284"/>
      <c r="AD1966" s="284"/>
      <c r="AE1966" s="284"/>
      <c r="AF1966" s="284"/>
      <c r="AG1966" s="284"/>
    </row>
    <row r="1967" spans="1:33" ht="26.4">
      <c r="A1967" s="284"/>
      <c r="B1967" s="284"/>
      <c r="C1967" s="284"/>
      <c r="D1967" s="284"/>
      <c r="E1967" s="284"/>
      <c r="F1967" s="284"/>
      <c r="G1967" s="284"/>
      <c r="H1967" s="284"/>
      <c r="I1967" s="284"/>
      <c r="J1967" s="375"/>
      <c r="K1967" s="375"/>
      <c r="L1967" s="375"/>
      <c r="M1967" s="368"/>
      <c r="N1967" s="368"/>
      <c r="O1967" s="370"/>
      <c r="T1967" s="340"/>
      <c r="V1967" s="378"/>
      <c r="W1967" s="64" ph="1"/>
      <c r="X1967" s="241"/>
      <c r="Y1967" s="284"/>
      <c r="Z1967" s="207"/>
      <c r="AA1967" s="284"/>
      <c r="AB1967" s="284"/>
      <c r="AC1967" s="284"/>
      <c r="AD1967" s="284"/>
      <c r="AE1967" s="284"/>
      <c r="AF1967" s="284"/>
      <c r="AG1967" s="284"/>
    </row>
    <row r="1968" spans="1:33" ht="26.4">
      <c r="A1968" s="284"/>
      <c r="B1968" s="284"/>
      <c r="C1968" s="284"/>
      <c r="D1968" s="284"/>
      <c r="E1968" s="284"/>
      <c r="F1968" s="284"/>
      <c r="G1968" s="284"/>
      <c r="H1968" s="284"/>
      <c r="I1968" s="284"/>
      <c r="J1968" s="375"/>
      <c r="K1968" s="375"/>
      <c r="L1968" s="375"/>
      <c r="M1968" s="368"/>
      <c r="N1968" s="368"/>
      <c r="O1968" s="370"/>
      <c r="T1968" s="340"/>
      <c r="V1968" s="378"/>
      <c r="W1968" s="64" ph="1"/>
      <c r="X1968" s="241"/>
      <c r="Y1968" s="284"/>
      <c r="Z1968" s="207"/>
      <c r="AA1968" s="284"/>
      <c r="AB1968" s="284"/>
      <c r="AC1968" s="284"/>
      <c r="AD1968" s="284"/>
      <c r="AE1968" s="284"/>
      <c r="AF1968" s="284"/>
      <c r="AG1968" s="284"/>
    </row>
    <row r="1969" spans="1:33" ht="26.4">
      <c r="A1969" s="284"/>
      <c r="B1969" s="284"/>
      <c r="C1969" s="284"/>
      <c r="D1969" s="284"/>
      <c r="E1969" s="284"/>
      <c r="F1969" s="284"/>
      <c r="G1969" s="284"/>
      <c r="H1969" s="284"/>
      <c r="I1969" s="284"/>
      <c r="J1969" s="375"/>
      <c r="K1969" s="375"/>
      <c r="L1969" s="375"/>
      <c r="M1969" s="368"/>
      <c r="N1969" s="368"/>
      <c r="O1969" s="370"/>
      <c r="T1969" s="340"/>
      <c r="V1969" s="378"/>
      <c r="W1969" s="64" ph="1"/>
      <c r="X1969" s="241"/>
      <c r="Y1969" s="284"/>
      <c r="Z1969" s="207"/>
      <c r="AA1969" s="284"/>
      <c r="AB1969" s="284"/>
      <c r="AC1969" s="284"/>
      <c r="AD1969" s="284"/>
      <c r="AE1969" s="284"/>
      <c r="AF1969" s="284"/>
      <c r="AG1969" s="284"/>
    </row>
    <row r="1970" spans="1:33" ht="26.4">
      <c r="A1970" s="284"/>
      <c r="B1970" s="284"/>
      <c r="C1970" s="284"/>
      <c r="D1970" s="284"/>
      <c r="E1970" s="284"/>
      <c r="F1970" s="284"/>
      <c r="G1970" s="284"/>
      <c r="H1970" s="284"/>
      <c r="I1970" s="284"/>
      <c r="J1970" s="375"/>
      <c r="K1970" s="375"/>
      <c r="L1970" s="375"/>
      <c r="M1970" s="368"/>
      <c r="N1970" s="368"/>
      <c r="O1970" s="370"/>
      <c r="T1970" s="340"/>
      <c r="V1970" s="378"/>
      <c r="W1970" s="64" ph="1"/>
      <c r="X1970" s="241"/>
      <c r="Y1970" s="284"/>
      <c r="Z1970" s="207"/>
      <c r="AA1970" s="284"/>
      <c r="AB1970" s="284"/>
      <c r="AC1970" s="284"/>
      <c r="AD1970" s="284"/>
      <c r="AE1970" s="284"/>
      <c r="AF1970" s="284"/>
      <c r="AG1970" s="284"/>
    </row>
    <row r="1971" spans="1:33" ht="26.4">
      <c r="A1971" s="284"/>
      <c r="B1971" s="284"/>
      <c r="C1971" s="284"/>
      <c r="D1971" s="284"/>
      <c r="E1971" s="284"/>
      <c r="F1971" s="284"/>
      <c r="G1971" s="284"/>
      <c r="H1971" s="284"/>
      <c r="I1971" s="284"/>
      <c r="J1971" s="375"/>
      <c r="K1971" s="375"/>
      <c r="L1971" s="375"/>
      <c r="M1971" s="368"/>
      <c r="N1971" s="368"/>
      <c r="O1971" s="370"/>
      <c r="T1971" s="340"/>
      <c r="V1971" s="378"/>
      <c r="W1971" s="64" ph="1"/>
      <c r="X1971" s="241"/>
      <c r="Y1971" s="284"/>
      <c r="Z1971" s="207"/>
      <c r="AA1971" s="284"/>
      <c r="AB1971" s="284"/>
      <c r="AC1971" s="284"/>
      <c r="AD1971" s="284"/>
      <c r="AE1971" s="284"/>
      <c r="AF1971" s="284"/>
      <c r="AG1971" s="284"/>
    </row>
    <row r="1972" spans="1:33" ht="26.4">
      <c r="A1972" s="284"/>
      <c r="B1972" s="284"/>
      <c r="C1972" s="284"/>
      <c r="D1972" s="284"/>
      <c r="E1972" s="284"/>
      <c r="F1972" s="284"/>
      <c r="G1972" s="284"/>
      <c r="H1972" s="284"/>
      <c r="I1972" s="284"/>
      <c r="J1972" s="375"/>
      <c r="K1972" s="375"/>
      <c r="L1972" s="375"/>
      <c r="M1972" s="368"/>
      <c r="N1972" s="368"/>
      <c r="O1972" s="370"/>
      <c r="T1972" s="340"/>
      <c r="V1972" s="378"/>
      <c r="W1972" s="64" ph="1"/>
      <c r="X1972" s="241"/>
      <c r="Y1972" s="284"/>
      <c r="Z1972" s="207"/>
      <c r="AA1972" s="284"/>
      <c r="AB1972" s="284"/>
      <c r="AC1972" s="284"/>
      <c r="AD1972" s="284"/>
      <c r="AE1972" s="284"/>
      <c r="AF1972" s="284"/>
      <c r="AG1972" s="284"/>
    </row>
    <row r="1973" spans="1:33" ht="26.4">
      <c r="A1973" s="284"/>
      <c r="B1973" s="284"/>
      <c r="C1973" s="284"/>
      <c r="D1973" s="284"/>
      <c r="E1973" s="284"/>
      <c r="F1973" s="284"/>
      <c r="G1973" s="284"/>
      <c r="H1973" s="284"/>
      <c r="I1973" s="284"/>
      <c r="J1973" s="375"/>
      <c r="K1973" s="375"/>
      <c r="L1973" s="375"/>
      <c r="M1973" s="368"/>
      <c r="N1973" s="368"/>
      <c r="O1973" s="370"/>
      <c r="T1973" s="340"/>
      <c r="V1973" s="378"/>
      <c r="W1973" s="64" ph="1"/>
      <c r="X1973" s="241"/>
      <c r="Y1973" s="284"/>
      <c r="Z1973" s="207"/>
      <c r="AA1973" s="284"/>
      <c r="AB1973" s="284"/>
      <c r="AC1973" s="284"/>
      <c r="AD1973" s="284"/>
      <c r="AE1973" s="284"/>
      <c r="AF1973" s="284"/>
      <c r="AG1973" s="284"/>
    </row>
    <row r="1974" spans="1:33" ht="26.4">
      <c r="A1974" s="284"/>
      <c r="B1974" s="284"/>
      <c r="C1974" s="284"/>
      <c r="D1974" s="284"/>
      <c r="E1974" s="284"/>
      <c r="F1974" s="284"/>
      <c r="G1974" s="284"/>
      <c r="H1974" s="284"/>
      <c r="I1974" s="284"/>
      <c r="J1974" s="375"/>
      <c r="K1974" s="375"/>
      <c r="L1974" s="375"/>
      <c r="M1974" s="368"/>
      <c r="N1974" s="368"/>
      <c r="O1974" s="370"/>
      <c r="T1974" s="340"/>
      <c r="V1974" s="378"/>
      <c r="W1974" s="64" ph="1"/>
      <c r="X1974" s="241"/>
      <c r="Y1974" s="284"/>
      <c r="Z1974" s="207"/>
      <c r="AA1974" s="284"/>
      <c r="AB1974" s="284"/>
      <c r="AC1974" s="284"/>
      <c r="AD1974" s="284"/>
      <c r="AE1974" s="284"/>
      <c r="AF1974" s="284"/>
      <c r="AG1974" s="284"/>
    </row>
    <row r="1975" spans="1:33" ht="26.4">
      <c r="A1975" s="284"/>
      <c r="B1975" s="284"/>
      <c r="C1975" s="284"/>
      <c r="D1975" s="284"/>
      <c r="E1975" s="284"/>
      <c r="F1975" s="284"/>
      <c r="G1975" s="284"/>
      <c r="H1975" s="284"/>
      <c r="I1975" s="284"/>
      <c r="J1975" s="375"/>
      <c r="K1975" s="375"/>
      <c r="L1975" s="375"/>
      <c r="M1975" s="368"/>
      <c r="N1975" s="368"/>
      <c r="O1975" s="370"/>
      <c r="T1975" s="340"/>
      <c r="V1975" s="378"/>
      <c r="W1975" s="64" ph="1"/>
      <c r="X1975" s="241"/>
      <c r="Y1975" s="284"/>
      <c r="Z1975" s="207"/>
      <c r="AA1975" s="284"/>
      <c r="AB1975" s="284"/>
      <c r="AC1975" s="284"/>
      <c r="AD1975" s="284"/>
      <c r="AE1975" s="284"/>
      <c r="AF1975" s="284"/>
      <c r="AG1975" s="284"/>
    </row>
    <row r="1976" spans="1:33" ht="26.4">
      <c r="A1976" s="284"/>
      <c r="B1976" s="284"/>
      <c r="C1976" s="284"/>
      <c r="D1976" s="284"/>
      <c r="E1976" s="284"/>
      <c r="F1976" s="284"/>
      <c r="G1976" s="284"/>
      <c r="H1976" s="284"/>
      <c r="I1976" s="284"/>
      <c r="J1976" s="375"/>
      <c r="K1976" s="375"/>
      <c r="L1976" s="375"/>
      <c r="M1976" s="368"/>
      <c r="N1976" s="368"/>
      <c r="O1976" s="370"/>
      <c r="T1976" s="340"/>
      <c r="V1976" s="378"/>
      <c r="W1976" s="64" ph="1"/>
      <c r="X1976" s="241"/>
      <c r="Y1976" s="284"/>
      <c r="Z1976" s="207"/>
      <c r="AA1976" s="284"/>
      <c r="AB1976" s="284"/>
      <c r="AC1976" s="284"/>
      <c r="AD1976" s="284"/>
      <c r="AE1976" s="284"/>
      <c r="AF1976" s="284"/>
      <c r="AG1976" s="284"/>
    </row>
    <row r="1977" spans="1:33" ht="26.4">
      <c r="A1977" s="284"/>
      <c r="B1977" s="284"/>
      <c r="C1977" s="284"/>
      <c r="D1977" s="284"/>
      <c r="E1977" s="284"/>
      <c r="F1977" s="284"/>
      <c r="G1977" s="284"/>
      <c r="H1977" s="284"/>
      <c r="I1977" s="284"/>
      <c r="J1977" s="375"/>
      <c r="K1977" s="375"/>
      <c r="L1977" s="375"/>
      <c r="M1977" s="368"/>
      <c r="N1977" s="368"/>
      <c r="O1977" s="370"/>
      <c r="T1977" s="340"/>
      <c r="V1977" s="378"/>
      <c r="W1977" s="64" ph="1"/>
      <c r="X1977" s="241"/>
      <c r="Y1977" s="284"/>
      <c r="Z1977" s="207"/>
      <c r="AA1977" s="284"/>
      <c r="AB1977" s="284"/>
      <c r="AC1977" s="284"/>
      <c r="AD1977" s="284"/>
      <c r="AE1977" s="284"/>
      <c r="AF1977" s="284"/>
      <c r="AG1977" s="284"/>
    </row>
    <row r="1978" spans="1:33" ht="26.4">
      <c r="A1978" s="284"/>
      <c r="B1978" s="284"/>
      <c r="C1978" s="284"/>
      <c r="D1978" s="284"/>
      <c r="E1978" s="284"/>
      <c r="F1978" s="284"/>
      <c r="G1978" s="284"/>
      <c r="H1978" s="284"/>
      <c r="I1978" s="284"/>
      <c r="J1978" s="375"/>
      <c r="K1978" s="375"/>
      <c r="L1978" s="375"/>
      <c r="M1978" s="368"/>
      <c r="N1978" s="368"/>
      <c r="O1978" s="370"/>
      <c r="T1978" s="340"/>
      <c r="V1978" s="378"/>
      <c r="W1978" s="64" ph="1"/>
      <c r="X1978" s="241"/>
      <c r="Y1978" s="284"/>
      <c r="Z1978" s="207"/>
      <c r="AA1978" s="284"/>
      <c r="AB1978" s="284"/>
      <c r="AC1978" s="284"/>
      <c r="AD1978" s="284"/>
      <c r="AE1978" s="284"/>
      <c r="AF1978" s="284"/>
      <c r="AG1978" s="284"/>
    </row>
    <row r="1979" spans="1:33" ht="26.4">
      <c r="A1979" s="284"/>
      <c r="B1979" s="284"/>
      <c r="C1979" s="284"/>
      <c r="D1979" s="284"/>
      <c r="E1979" s="284"/>
      <c r="F1979" s="284"/>
      <c r="G1979" s="284"/>
      <c r="H1979" s="284"/>
      <c r="I1979" s="284"/>
      <c r="J1979" s="375"/>
      <c r="K1979" s="375"/>
      <c r="L1979" s="375"/>
      <c r="M1979" s="368"/>
      <c r="N1979" s="368"/>
      <c r="O1979" s="370"/>
      <c r="T1979" s="340"/>
      <c r="V1979" s="378"/>
      <c r="W1979" s="64" ph="1"/>
      <c r="X1979" s="241"/>
      <c r="Y1979" s="284"/>
      <c r="Z1979" s="207"/>
      <c r="AA1979" s="284"/>
      <c r="AB1979" s="284"/>
      <c r="AC1979" s="284"/>
      <c r="AD1979" s="284"/>
      <c r="AE1979" s="284"/>
      <c r="AF1979" s="284"/>
      <c r="AG1979" s="284"/>
    </row>
    <row r="1980" spans="1:33" ht="26.4">
      <c r="A1980" s="284"/>
      <c r="B1980" s="284"/>
      <c r="C1980" s="284"/>
      <c r="D1980" s="284"/>
      <c r="E1980" s="284"/>
      <c r="F1980" s="284"/>
      <c r="G1980" s="284"/>
      <c r="H1980" s="284"/>
      <c r="I1980" s="284"/>
      <c r="J1980" s="375"/>
      <c r="K1980" s="375"/>
      <c r="L1980" s="375"/>
      <c r="M1980" s="368"/>
      <c r="N1980" s="368"/>
      <c r="O1980" s="370"/>
      <c r="T1980" s="340"/>
      <c r="V1980" s="378"/>
      <c r="W1980" s="64" ph="1"/>
      <c r="X1980" s="241"/>
      <c r="Y1980" s="284"/>
      <c r="Z1980" s="207"/>
      <c r="AA1980" s="284"/>
      <c r="AB1980" s="284"/>
      <c r="AC1980" s="284"/>
      <c r="AD1980" s="284"/>
      <c r="AE1980" s="284"/>
      <c r="AF1980" s="284"/>
      <c r="AG1980" s="284"/>
    </row>
    <row r="1981" spans="1:33" ht="26.4">
      <c r="A1981" s="284"/>
      <c r="B1981" s="284"/>
      <c r="C1981" s="284"/>
      <c r="D1981" s="284"/>
      <c r="E1981" s="284"/>
      <c r="F1981" s="284"/>
      <c r="G1981" s="284"/>
      <c r="H1981" s="284"/>
      <c r="I1981" s="284"/>
      <c r="J1981" s="375"/>
      <c r="K1981" s="375"/>
      <c r="L1981" s="375"/>
      <c r="M1981" s="368"/>
      <c r="N1981" s="368"/>
      <c r="O1981" s="370"/>
      <c r="T1981" s="340"/>
      <c r="V1981" s="378"/>
      <c r="W1981" s="64" ph="1"/>
      <c r="X1981" s="241"/>
      <c r="Y1981" s="284"/>
      <c r="Z1981" s="207"/>
      <c r="AA1981" s="284"/>
      <c r="AB1981" s="284"/>
      <c r="AC1981" s="284"/>
      <c r="AD1981" s="284"/>
      <c r="AE1981" s="284"/>
      <c r="AF1981" s="284"/>
      <c r="AG1981" s="284"/>
    </row>
    <row r="1982" spans="1:33" ht="26.4">
      <c r="A1982" s="284"/>
      <c r="B1982" s="284"/>
      <c r="C1982" s="284"/>
      <c r="D1982" s="284"/>
      <c r="E1982" s="284"/>
      <c r="F1982" s="284"/>
      <c r="G1982" s="284"/>
      <c r="H1982" s="284"/>
      <c r="I1982" s="284"/>
      <c r="J1982" s="375"/>
      <c r="K1982" s="375"/>
      <c r="L1982" s="375"/>
      <c r="M1982" s="368"/>
      <c r="N1982" s="368"/>
      <c r="O1982" s="370"/>
      <c r="T1982" s="340"/>
      <c r="V1982" s="378"/>
      <c r="W1982" s="64" ph="1"/>
      <c r="X1982" s="241"/>
      <c r="Y1982" s="284"/>
      <c r="Z1982" s="207"/>
      <c r="AA1982" s="284"/>
      <c r="AB1982" s="284"/>
      <c r="AC1982" s="284"/>
      <c r="AD1982" s="284"/>
      <c r="AE1982" s="284"/>
      <c r="AF1982" s="284"/>
      <c r="AG1982" s="284"/>
    </row>
    <row r="1983" spans="1:33" ht="26.4">
      <c r="A1983" s="284"/>
      <c r="B1983" s="284"/>
      <c r="C1983" s="284"/>
      <c r="D1983" s="284"/>
      <c r="E1983" s="284"/>
      <c r="F1983" s="284"/>
      <c r="G1983" s="284"/>
      <c r="H1983" s="284"/>
      <c r="I1983" s="284"/>
      <c r="J1983" s="375"/>
      <c r="K1983" s="375"/>
      <c r="L1983" s="375"/>
      <c r="M1983" s="368"/>
      <c r="N1983" s="368"/>
      <c r="O1983" s="370"/>
      <c r="T1983" s="340"/>
      <c r="V1983" s="378"/>
      <c r="W1983" s="64" ph="1"/>
      <c r="X1983" s="241"/>
      <c r="Y1983" s="284"/>
      <c r="Z1983" s="207"/>
      <c r="AA1983" s="284"/>
      <c r="AB1983" s="284"/>
      <c r="AC1983" s="284"/>
      <c r="AD1983" s="284"/>
      <c r="AE1983" s="284"/>
      <c r="AF1983" s="284"/>
      <c r="AG1983" s="284"/>
    </row>
    <row r="1984" spans="1:33" ht="26.4">
      <c r="A1984" s="284"/>
      <c r="B1984" s="284"/>
      <c r="C1984" s="284"/>
      <c r="D1984" s="284"/>
      <c r="E1984" s="284"/>
      <c r="F1984" s="284"/>
      <c r="G1984" s="284"/>
      <c r="H1984" s="284"/>
      <c r="I1984" s="284"/>
      <c r="J1984" s="375"/>
      <c r="K1984" s="375"/>
      <c r="L1984" s="375"/>
      <c r="M1984" s="368"/>
      <c r="N1984" s="368"/>
      <c r="O1984" s="370"/>
      <c r="T1984" s="340"/>
      <c r="V1984" s="378"/>
      <c r="W1984" s="64" ph="1"/>
      <c r="X1984" s="241"/>
      <c r="Y1984" s="284"/>
      <c r="Z1984" s="207"/>
      <c r="AA1984" s="284"/>
      <c r="AB1984" s="284"/>
      <c r="AC1984" s="284"/>
      <c r="AD1984" s="284"/>
      <c r="AE1984" s="284"/>
      <c r="AF1984" s="284"/>
      <c r="AG1984" s="284"/>
    </row>
    <row r="1985" spans="1:33" ht="26.4">
      <c r="A1985" s="284"/>
      <c r="B1985" s="284"/>
      <c r="C1985" s="284"/>
      <c r="D1985" s="284"/>
      <c r="E1985" s="284"/>
      <c r="F1985" s="284"/>
      <c r="G1985" s="284"/>
      <c r="H1985" s="284"/>
      <c r="I1985" s="284"/>
      <c r="J1985" s="375"/>
      <c r="K1985" s="375"/>
      <c r="L1985" s="375"/>
      <c r="M1985" s="368"/>
      <c r="N1985" s="368"/>
      <c r="O1985" s="370"/>
      <c r="T1985" s="340"/>
      <c r="V1985" s="378"/>
      <c r="W1985" s="64" ph="1"/>
      <c r="X1985" s="241"/>
      <c r="Y1985" s="284"/>
      <c r="Z1985" s="207"/>
      <c r="AA1985" s="284"/>
      <c r="AB1985" s="284"/>
      <c r="AC1985" s="284"/>
      <c r="AD1985" s="284"/>
      <c r="AE1985" s="284"/>
      <c r="AF1985" s="284"/>
      <c r="AG1985" s="284"/>
    </row>
    <row r="1986" spans="1:33" ht="26.4">
      <c r="A1986" s="284"/>
      <c r="B1986" s="284"/>
      <c r="C1986" s="284"/>
      <c r="D1986" s="284"/>
      <c r="E1986" s="284"/>
      <c r="F1986" s="284"/>
      <c r="G1986" s="284"/>
      <c r="H1986" s="284"/>
      <c r="I1986" s="284"/>
      <c r="J1986" s="375"/>
      <c r="K1986" s="375"/>
      <c r="L1986" s="375"/>
      <c r="M1986" s="368"/>
      <c r="N1986" s="368"/>
      <c r="O1986" s="370"/>
      <c r="T1986" s="340"/>
      <c r="V1986" s="378"/>
      <c r="W1986" s="64" ph="1"/>
      <c r="X1986" s="241"/>
      <c r="Y1986" s="284"/>
      <c r="Z1986" s="207"/>
      <c r="AA1986" s="284"/>
      <c r="AB1986" s="284"/>
      <c r="AC1986" s="284"/>
      <c r="AD1986" s="284"/>
      <c r="AE1986" s="284"/>
      <c r="AF1986" s="284"/>
      <c r="AG1986" s="284"/>
    </row>
    <row r="1987" spans="1:33" ht="26.4">
      <c r="A1987" s="284"/>
      <c r="B1987" s="284"/>
      <c r="C1987" s="284"/>
      <c r="D1987" s="284"/>
      <c r="E1987" s="284"/>
      <c r="F1987" s="284"/>
      <c r="G1987" s="284"/>
      <c r="H1987" s="284"/>
      <c r="I1987" s="284"/>
      <c r="J1987" s="375"/>
      <c r="K1987" s="375"/>
      <c r="L1987" s="375"/>
      <c r="M1987" s="368"/>
      <c r="N1987" s="368"/>
      <c r="O1987" s="370"/>
      <c r="T1987" s="340"/>
      <c r="V1987" s="378"/>
      <c r="W1987" s="64" ph="1"/>
      <c r="X1987" s="241"/>
      <c r="Y1987" s="284"/>
      <c r="Z1987" s="207"/>
      <c r="AA1987" s="284"/>
      <c r="AB1987" s="284"/>
      <c r="AC1987" s="284"/>
      <c r="AD1987" s="284"/>
      <c r="AE1987" s="284"/>
      <c r="AF1987" s="284"/>
      <c r="AG1987" s="284"/>
    </row>
    <row r="1988" spans="1:33" ht="26.4">
      <c r="A1988" s="284"/>
      <c r="B1988" s="284"/>
      <c r="C1988" s="284"/>
      <c r="D1988" s="284"/>
      <c r="E1988" s="284"/>
      <c r="F1988" s="284"/>
      <c r="G1988" s="284"/>
      <c r="H1988" s="284"/>
      <c r="I1988" s="284"/>
      <c r="J1988" s="375"/>
      <c r="K1988" s="375"/>
      <c r="L1988" s="375"/>
      <c r="M1988" s="368"/>
      <c r="N1988" s="368"/>
      <c r="O1988" s="370"/>
      <c r="T1988" s="340"/>
      <c r="V1988" s="378"/>
      <c r="W1988" s="64" ph="1"/>
      <c r="X1988" s="241"/>
      <c r="Y1988" s="284"/>
      <c r="Z1988" s="207"/>
      <c r="AA1988" s="284"/>
      <c r="AB1988" s="284"/>
      <c r="AC1988" s="284"/>
      <c r="AD1988" s="284"/>
      <c r="AE1988" s="284"/>
      <c r="AF1988" s="284"/>
      <c r="AG1988" s="284"/>
    </row>
    <row r="1989" spans="1:33" ht="26.4">
      <c r="A1989" s="284"/>
      <c r="B1989" s="284"/>
      <c r="C1989" s="284"/>
      <c r="D1989" s="284"/>
      <c r="E1989" s="284"/>
      <c r="F1989" s="284"/>
      <c r="G1989" s="284"/>
      <c r="H1989" s="284"/>
      <c r="I1989" s="284"/>
      <c r="J1989" s="375"/>
      <c r="K1989" s="375"/>
      <c r="L1989" s="375"/>
      <c r="M1989" s="368"/>
      <c r="N1989" s="368"/>
      <c r="O1989" s="370"/>
      <c r="T1989" s="340"/>
      <c r="V1989" s="378"/>
      <c r="W1989" s="64" ph="1"/>
      <c r="X1989" s="241"/>
      <c r="Y1989" s="284"/>
      <c r="Z1989" s="207"/>
      <c r="AA1989" s="284"/>
      <c r="AB1989" s="284"/>
      <c r="AC1989" s="284"/>
      <c r="AD1989" s="284"/>
      <c r="AE1989" s="284"/>
      <c r="AF1989" s="284"/>
      <c r="AG1989" s="284"/>
    </row>
    <row r="1990" spans="1:33" ht="26.4">
      <c r="A1990" s="284"/>
      <c r="B1990" s="284"/>
      <c r="C1990" s="284"/>
      <c r="D1990" s="284"/>
      <c r="E1990" s="284"/>
      <c r="F1990" s="284"/>
      <c r="G1990" s="284"/>
      <c r="H1990" s="284"/>
      <c r="I1990" s="284"/>
      <c r="J1990" s="375"/>
      <c r="K1990" s="375"/>
      <c r="L1990" s="375"/>
      <c r="M1990" s="368"/>
      <c r="N1990" s="368"/>
      <c r="O1990" s="370"/>
      <c r="T1990" s="340"/>
      <c r="V1990" s="378"/>
      <c r="W1990" s="64" ph="1"/>
      <c r="X1990" s="241"/>
      <c r="Y1990" s="284"/>
      <c r="Z1990" s="207"/>
      <c r="AA1990" s="284"/>
      <c r="AB1990" s="284"/>
      <c r="AC1990" s="284"/>
      <c r="AD1990" s="284"/>
      <c r="AE1990" s="284"/>
      <c r="AF1990" s="284"/>
      <c r="AG1990" s="284"/>
    </row>
    <row r="1991" spans="1:33" ht="26.4">
      <c r="A1991" s="284"/>
      <c r="B1991" s="284"/>
      <c r="C1991" s="284"/>
      <c r="D1991" s="284"/>
      <c r="E1991" s="284"/>
      <c r="F1991" s="284"/>
      <c r="G1991" s="284"/>
      <c r="H1991" s="284"/>
      <c r="I1991" s="284"/>
      <c r="J1991" s="375"/>
      <c r="K1991" s="375"/>
      <c r="L1991" s="375"/>
      <c r="M1991" s="368"/>
      <c r="N1991" s="368"/>
      <c r="O1991" s="370"/>
      <c r="T1991" s="340"/>
      <c r="V1991" s="378"/>
      <c r="W1991" s="64" ph="1"/>
      <c r="X1991" s="241"/>
      <c r="Y1991" s="284"/>
      <c r="Z1991" s="207"/>
      <c r="AA1991" s="284"/>
      <c r="AB1991" s="284"/>
      <c r="AC1991" s="284"/>
      <c r="AD1991" s="284"/>
      <c r="AE1991" s="284"/>
      <c r="AF1991" s="284"/>
      <c r="AG1991" s="284"/>
    </row>
    <row r="1992" spans="1:33" ht="26.4">
      <c r="A1992" s="284"/>
      <c r="B1992" s="284"/>
      <c r="C1992" s="284"/>
      <c r="D1992" s="284"/>
      <c r="E1992" s="284"/>
      <c r="F1992" s="284"/>
      <c r="G1992" s="284"/>
      <c r="H1992" s="284"/>
      <c r="I1992" s="284"/>
      <c r="J1992" s="375"/>
      <c r="K1992" s="375"/>
      <c r="L1992" s="375"/>
      <c r="M1992" s="368"/>
      <c r="N1992" s="368"/>
      <c r="O1992" s="370"/>
      <c r="T1992" s="340"/>
      <c r="V1992" s="378"/>
      <c r="W1992" s="64" ph="1"/>
      <c r="X1992" s="241"/>
      <c r="Y1992" s="284"/>
      <c r="Z1992" s="207"/>
      <c r="AA1992" s="284"/>
      <c r="AB1992" s="284"/>
      <c r="AC1992" s="284"/>
      <c r="AD1992" s="284"/>
      <c r="AE1992" s="284"/>
      <c r="AF1992" s="284"/>
      <c r="AG1992" s="284"/>
    </row>
    <row r="1993" spans="1:33" ht="26.4">
      <c r="A1993" s="284"/>
      <c r="B1993" s="284"/>
      <c r="C1993" s="284"/>
      <c r="D1993" s="284"/>
      <c r="E1993" s="284"/>
      <c r="F1993" s="284"/>
      <c r="G1993" s="284"/>
      <c r="H1993" s="284"/>
      <c r="I1993" s="284"/>
      <c r="J1993" s="375"/>
      <c r="K1993" s="375"/>
      <c r="L1993" s="375"/>
      <c r="M1993" s="368"/>
      <c r="N1993" s="368"/>
      <c r="O1993" s="370"/>
      <c r="T1993" s="340"/>
      <c r="V1993" s="378"/>
      <c r="W1993" s="64" ph="1"/>
      <c r="X1993" s="241"/>
      <c r="Y1993" s="284"/>
      <c r="Z1993" s="207"/>
      <c r="AA1993" s="284"/>
      <c r="AB1993" s="284"/>
      <c r="AC1993" s="284"/>
      <c r="AD1993" s="284"/>
      <c r="AE1993" s="284"/>
      <c r="AF1993" s="284"/>
      <c r="AG1993" s="284"/>
    </row>
    <row r="1994" spans="1:33" ht="26.4">
      <c r="A1994" s="284"/>
      <c r="B1994" s="284"/>
      <c r="C1994" s="284"/>
      <c r="D1994" s="284"/>
      <c r="E1994" s="284"/>
      <c r="F1994" s="284"/>
      <c r="G1994" s="284"/>
      <c r="H1994" s="284"/>
      <c r="I1994" s="284"/>
      <c r="J1994" s="375"/>
      <c r="K1994" s="375"/>
      <c r="L1994" s="375"/>
      <c r="M1994" s="368"/>
      <c r="N1994" s="368"/>
      <c r="O1994" s="370"/>
      <c r="T1994" s="340"/>
      <c r="V1994" s="378"/>
      <c r="W1994" s="64" ph="1"/>
      <c r="X1994" s="241"/>
      <c r="Y1994" s="284"/>
      <c r="Z1994" s="207"/>
      <c r="AA1994" s="284"/>
      <c r="AB1994" s="284"/>
      <c r="AC1994" s="284"/>
      <c r="AD1994" s="284"/>
      <c r="AE1994" s="284"/>
      <c r="AF1994" s="284"/>
      <c r="AG1994" s="284"/>
    </row>
    <row r="1995" spans="1:33" ht="26.4">
      <c r="A1995" s="284"/>
      <c r="B1995" s="284"/>
      <c r="C1995" s="284"/>
      <c r="D1995" s="284"/>
      <c r="E1995" s="284"/>
      <c r="F1995" s="284"/>
      <c r="G1995" s="284"/>
      <c r="H1995" s="284"/>
      <c r="I1995" s="284"/>
      <c r="J1995" s="375"/>
      <c r="K1995" s="375"/>
      <c r="L1995" s="375"/>
      <c r="M1995" s="368"/>
      <c r="N1995" s="368"/>
      <c r="O1995" s="370"/>
      <c r="T1995" s="340"/>
      <c r="V1995" s="378"/>
      <c r="W1995" s="64" ph="1"/>
      <c r="X1995" s="241"/>
      <c r="Y1995" s="284"/>
      <c r="Z1995" s="207"/>
      <c r="AA1995" s="284"/>
      <c r="AB1995" s="284"/>
      <c r="AC1995" s="284"/>
      <c r="AD1995" s="284"/>
      <c r="AE1995" s="284"/>
      <c r="AF1995" s="284"/>
      <c r="AG1995" s="284"/>
    </row>
    <row r="1996" spans="1:33" ht="26.4">
      <c r="A1996" s="284"/>
      <c r="B1996" s="284"/>
      <c r="C1996" s="284"/>
      <c r="D1996" s="284"/>
      <c r="E1996" s="284"/>
      <c r="F1996" s="284"/>
      <c r="G1996" s="284"/>
      <c r="H1996" s="284"/>
      <c r="I1996" s="284"/>
      <c r="J1996" s="375"/>
      <c r="K1996" s="375"/>
      <c r="L1996" s="375"/>
      <c r="M1996" s="368"/>
      <c r="N1996" s="368"/>
      <c r="O1996" s="370"/>
      <c r="T1996" s="340"/>
      <c r="V1996" s="378"/>
      <c r="W1996" s="64" ph="1"/>
      <c r="X1996" s="241"/>
      <c r="Y1996" s="284"/>
      <c r="Z1996" s="207"/>
      <c r="AA1996" s="284"/>
      <c r="AB1996" s="284"/>
      <c r="AC1996" s="284"/>
      <c r="AD1996" s="284"/>
      <c r="AE1996" s="284"/>
      <c r="AF1996" s="284"/>
      <c r="AG1996" s="284"/>
    </row>
    <row r="1997" spans="1:33" ht="26.4">
      <c r="A1997" s="284"/>
      <c r="B1997" s="284"/>
      <c r="C1997" s="284"/>
      <c r="D1997" s="284"/>
      <c r="E1997" s="284"/>
      <c r="F1997" s="284"/>
      <c r="G1997" s="284"/>
      <c r="H1997" s="284"/>
      <c r="I1997" s="284"/>
      <c r="J1997" s="375"/>
      <c r="K1997" s="375"/>
      <c r="L1997" s="375"/>
      <c r="M1997" s="368"/>
      <c r="N1997" s="368"/>
      <c r="O1997" s="370"/>
      <c r="T1997" s="340"/>
      <c r="V1997" s="378"/>
      <c r="W1997" s="64" ph="1"/>
      <c r="X1997" s="241"/>
      <c r="Y1997" s="284"/>
      <c r="Z1997" s="207"/>
      <c r="AA1997" s="284"/>
      <c r="AB1997" s="284"/>
      <c r="AC1997" s="284"/>
      <c r="AD1997" s="284"/>
      <c r="AE1997" s="284"/>
      <c r="AF1997" s="284"/>
      <c r="AG1997" s="284"/>
    </row>
    <row r="1998" spans="1:33" ht="26.4">
      <c r="A1998" s="284"/>
      <c r="B1998" s="284"/>
      <c r="C1998" s="284"/>
      <c r="D1998" s="284"/>
      <c r="E1998" s="284"/>
      <c r="F1998" s="284"/>
      <c r="G1998" s="284"/>
      <c r="H1998" s="284"/>
      <c r="I1998" s="284"/>
      <c r="J1998" s="375"/>
      <c r="K1998" s="375"/>
      <c r="L1998" s="375"/>
      <c r="M1998" s="368"/>
      <c r="N1998" s="368"/>
      <c r="O1998" s="370"/>
      <c r="T1998" s="340"/>
      <c r="V1998" s="378"/>
      <c r="W1998" s="64" ph="1"/>
      <c r="X1998" s="241"/>
      <c r="Y1998" s="284"/>
      <c r="Z1998" s="207"/>
      <c r="AA1998" s="284"/>
      <c r="AB1998" s="284"/>
      <c r="AC1998" s="284"/>
      <c r="AD1998" s="284"/>
      <c r="AE1998" s="284"/>
      <c r="AF1998" s="284"/>
      <c r="AG1998" s="284"/>
    </row>
    <row r="1999" spans="1:33" ht="26.4">
      <c r="A1999" s="284"/>
      <c r="B1999" s="284"/>
      <c r="C1999" s="284"/>
      <c r="D1999" s="284"/>
      <c r="E1999" s="284"/>
      <c r="F1999" s="284"/>
      <c r="G1999" s="284"/>
      <c r="H1999" s="284"/>
      <c r="I1999" s="284"/>
      <c r="J1999" s="375"/>
      <c r="K1999" s="375"/>
      <c r="L1999" s="375"/>
      <c r="M1999" s="368"/>
      <c r="N1999" s="368"/>
      <c r="O1999" s="370"/>
      <c r="T1999" s="340"/>
      <c r="V1999" s="378"/>
      <c r="W1999" s="64" ph="1"/>
      <c r="X1999" s="241"/>
      <c r="Y1999" s="284"/>
      <c r="Z1999" s="207"/>
      <c r="AA1999" s="284"/>
      <c r="AB1999" s="284"/>
      <c r="AC1999" s="284"/>
      <c r="AD1999" s="284"/>
      <c r="AE1999" s="284"/>
      <c r="AF1999" s="284"/>
      <c r="AG1999" s="284"/>
    </row>
    <row r="2000" spans="1:33" ht="26.4">
      <c r="A2000" s="284"/>
      <c r="B2000" s="284"/>
      <c r="C2000" s="284"/>
      <c r="D2000" s="284"/>
      <c r="E2000" s="284"/>
      <c r="F2000" s="284"/>
      <c r="G2000" s="284"/>
      <c r="H2000" s="284"/>
      <c r="I2000" s="284"/>
      <c r="J2000" s="375"/>
      <c r="K2000" s="375"/>
      <c r="L2000" s="375"/>
      <c r="M2000" s="368"/>
      <c r="N2000" s="368"/>
      <c r="O2000" s="370"/>
      <c r="T2000" s="340"/>
      <c r="V2000" s="378"/>
      <c r="W2000" s="64" ph="1"/>
      <c r="X2000" s="241"/>
      <c r="Y2000" s="284"/>
      <c r="Z2000" s="207"/>
      <c r="AA2000" s="284"/>
      <c r="AB2000" s="284"/>
      <c r="AC2000" s="284"/>
      <c r="AD2000" s="284"/>
      <c r="AE2000" s="284"/>
      <c r="AF2000" s="284"/>
      <c r="AG2000" s="284"/>
    </row>
    <row r="2001" spans="1:33" ht="26.4">
      <c r="A2001" s="284"/>
      <c r="B2001" s="284"/>
      <c r="C2001" s="284"/>
      <c r="D2001" s="284"/>
      <c r="E2001" s="284"/>
      <c r="F2001" s="284"/>
      <c r="G2001" s="284"/>
      <c r="H2001" s="284"/>
      <c r="I2001" s="284"/>
      <c r="J2001" s="375"/>
      <c r="K2001" s="375"/>
      <c r="L2001" s="375"/>
      <c r="M2001" s="368"/>
      <c r="N2001" s="368"/>
      <c r="O2001" s="370"/>
      <c r="T2001" s="340"/>
      <c r="V2001" s="378"/>
      <c r="W2001" s="64" ph="1"/>
      <c r="X2001" s="241"/>
      <c r="Y2001" s="284"/>
      <c r="Z2001" s="207"/>
      <c r="AA2001" s="284"/>
      <c r="AB2001" s="284"/>
      <c r="AC2001" s="284"/>
      <c r="AD2001" s="284"/>
      <c r="AE2001" s="284"/>
      <c r="AF2001" s="284"/>
      <c r="AG2001" s="284"/>
    </row>
    <row r="2002" spans="1:33" ht="26.4">
      <c r="A2002" s="284"/>
      <c r="B2002" s="284"/>
      <c r="C2002" s="284"/>
      <c r="D2002" s="284"/>
      <c r="E2002" s="284"/>
      <c r="F2002" s="284"/>
      <c r="G2002" s="284"/>
      <c r="H2002" s="284"/>
      <c r="I2002" s="284"/>
      <c r="J2002" s="375"/>
      <c r="K2002" s="375"/>
      <c r="L2002" s="375"/>
      <c r="M2002" s="368"/>
      <c r="N2002" s="368"/>
      <c r="O2002" s="370"/>
      <c r="T2002" s="340"/>
      <c r="V2002" s="378"/>
      <c r="W2002" s="64" ph="1"/>
      <c r="X2002" s="241"/>
      <c r="Y2002" s="284"/>
      <c r="Z2002" s="207"/>
      <c r="AA2002" s="284"/>
      <c r="AB2002" s="284"/>
      <c r="AC2002" s="284"/>
      <c r="AD2002" s="284"/>
      <c r="AE2002" s="284"/>
      <c r="AF2002" s="284"/>
      <c r="AG2002" s="284"/>
    </row>
    <row r="2003" spans="1:33" ht="26.4">
      <c r="A2003" s="284"/>
      <c r="B2003" s="284"/>
      <c r="C2003" s="284"/>
      <c r="D2003" s="284"/>
      <c r="E2003" s="284"/>
      <c r="F2003" s="284"/>
      <c r="G2003" s="284"/>
      <c r="H2003" s="284"/>
      <c r="I2003" s="284"/>
      <c r="J2003" s="375"/>
      <c r="K2003" s="375"/>
      <c r="L2003" s="375"/>
      <c r="M2003" s="368"/>
      <c r="N2003" s="368"/>
      <c r="O2003" s="370"/>
      <c r="T2003" s="340"/>
      <c r="V2003" s="378"/>
      <c r="W2003" s="64" ph="1"/>
      <c r="X2003" s="241"/>
      <c r="Y2003" s="284"/>
      <c r="Z2003" s="207"/>
      <c r="AA2003" s="284"/>
      <c r="AB2003" s="284"/>
      <c r="AC2003" s="284"/>
      <c r="AD2003" s="284"/>
      <c r="AE2003" s="284"/>
      <c r="AF2003" s="284"/>
      <c r="AG2003" s="284"/>
    </row>
    <row r="2004" spans="1:33" ht="26.4">
      <c r="A2004" s="284"/>
      <c r="B2004" s="284"/>
      <c r="C2004" s="284"/>
      <c r="D2004" s="284"/>
      <c r="E2004" s="284"/>
      <c r="F2004" s="284"/>
      <c r="G2004" s="284"/>
      <c r="H2004" s="284"/>
      <c r="I2004" s="284"/>
      <c r="J2004" s="375"/>
      <c r="K2004" s="375"/>
      <c r="L2004" s="375"/>
      <c r="M2004" s="368"/>
      <c r="N2004" s="368"/>
      <c r="O2004" s="370"/>
      <c r="T2004" s="340"/>
      <c r="V2004" s="378"/>
      <c r="W2004" s="64" ph="1"/>
      <c r="X2004" s="241"/>
      <c r="Y2004" s="284"/>
      <c r="Z2004" s="207"/>
      <c r="AA2004" s="284"/>
      <c r="AB2004" s="284"/>
      <c r="AC2004" s="284"/>
      <c r="AD2004" s="284"/>
      <c r="AE2004" s="284"/>
      <c r="AF2004" s="284"/>
      <c r="AG2004" s="284"/>
    </row>
    <row r="2005" spans="1:33" ht="26.4">
      <c r="A2005" s="284"/>
      <c r="B2005" s="284"/>
      <c r="C2005" s="284"/>
      <c r="D2005" s="284"/>
      <c r="E2005" s="284"/>
      <c r="F2005" s="284"/>
      <c r="G2005" s="284"/>
      <c r="H2005" s="284"/>
      <c r="I2005" s="284"/>
      <c r="J2005" s="375"/>
      <c r="K2005" s="375"/>
      <c r="L2005" s="375"/>
      <c r="M2005" s="368"/>
      <c r="N2005" s="368"/>
      <c r="O2005" s="370"/>
      <c r="T2005" s="340"/>
      <c r="V2005" s="378"/>
      <c r="W2005" s="64" ph="1"/>
      <c r="X2005" s="241"/>
      <c r="Y2005" s="284"/>
      <c r="Z2005" s="207"/>
      <c r="AA2005" s="284"/>
      <c r="AB2005" s="284"/>
      <c r="AC2005" s="284"/>
      <c r="AD2005" s="284"/>
      <c r="AE2005" s="284"/>
      <c r="AF2005" s="284"/>
      <c r="AG2005" s="284"/>
    </row>
    <row r="2006" spans="1:33" ht="26.4">
      <c r="A2006" s="284"/>
      <c r="B2006" s="284"/>
      <c r="C2006" s="284"/>
      <c r="D2006" s="284"/>
      <c r="E2006" s="284"/>
      <c r="F2006" s="284"/>
      <c r="G2006" s="284"/>
      <c r="H2006" s="284"/>
      <c r="I2006" s="284"/>
      <c r="J2006" s="375"/>
      <c r="K2006" s="375"/>
      <c r="L2006" s="375"/>
      <c r="M2006" s="368"/>
      <c r="N2006" s="368"/>
      <c r="O2006" s="370"/>
      <c r="T2006" s="340"/>
      <c r="V2006" s="378"/>
      <c r="W2006" s="64" ph="1"/>
      <c r="X2006" s="241"/>
      <c r="Y2006" s="284"/>
      <c r="Z2006" s="207"/>
      <c r="AA2006" s="284"/>
      <c r="AB2006" s="284"/>
      <c r="AC2006" s="284"/>
      <c r="AD2006" s="284"/>
      <c r="AE2006" s="284"/>
      <c r="AF2006" s="284"/>
      <c r="AG2006" s="284"/>
    </row>
    <row r="2007" spans="1:33" ht="26.4">
      <c r="A2007" s="284"/>
      <c r="B2007" s="284"/>
      <c r="C2007" s="284"/>
      <c r="D2007" s="284"/>
      <c r="E2007" s="284"/>
      <c r="F2007" s="284"/>
      <c r="G2007" s="284"/>
      <c r="H2007" s="284"/>
      <c r="I2007" s="284"/>
      <c r="J2007" s="375"/>
      <c r="K2007" s="375"/>
      <c r="L2007" s="375"/>
      <c r="M2007" s="368"/>
      <c r="N2007" s="368"/>
      <c r="O2007" s="370"/>
      <c r="T2007" s="340"/>
      <c r="V2007" s="378"/>
      <c r="W2007" s="64" ph="1"/>
      <c r="X2007" s="241"/>
      <c r="Y2007" s="284"/>
      <c r="Z2007" s="207"/>
      <c r="AA2007" s="284"/>
      <c r="AB2007" s="284"/>
      <c r="AC2007" s="284"/>
      <c r="AD2007" s="284"/>
      <c r="AE2007" s="284"/>
      <c r="AF2007" s="284"/>
      <c r="AG2007" s="284"/>
    </row>
    <row r="2008" spans="1:33" ht="26.4">
      <c r="A2008" s="284"/>
      <c r="B2008" s="284"/>
      <c r="C2008" s="284"/>
      <c r="D2008" s="284"/>
      <c r="E2008" s="284"/>
      <c r="F2008" s="284"/>
      <c r="G2008" s="284"/>
      <c r="H2008" s="284"/>
      <c r="I2008" s="284"/>
      <c r="J2008" s="375"/>
      <c r="K2008" s="375"/>
      <c r="L2008" s="375"/>
      <c r="M2008" s="368"/>
      <c r="N2008" s="368"/>
      <c r="O2008" s="370"/>
      <c r="T2008" s="340"/>
      <c r="V2008" s="378"/>
      <c r="W2008" s="64" ph="1"/>
      <c r="X2008" s="241"/>
      <c r="Y2008" s="284"/>
      <c r="Z2008" s="207"/>
      <c r="AA2008" s="284"/>
      <c r="AB2008" s="284"/>
      <c r="AC2008" s="284"/>
      <c r="AD2008" s="284"/>
      <c r="AE2008" s="284"/>
      <c r="AF2008" s="284"/>
      <c r="AG2008" s="284"/>
    </row>
    <row r="2009" spans="1:33" ht="26.4">
      <c r="A2009" s="284"/>
      <c r="B2009" s="284"/>
      <c r="C2009" s="284"/>
      <c r="D2009" s="284"/>
      <c r="E2009" s="284"/>
      <c r="F2009" s="284"/>
      <c r="G2009" s="284"/>
      <c r="H2009" s="284"/>
      <c r="I2009" s="284"/>
      <c r="J2009" s="375"/>
      <c r="K2009" s="375"/>
      <c r="L2009" s="375"/>
      <c r="M2009" s="368"/>
      <c r="N2009" s="368"/>
      <c r="O2009" s="370"/>
      <c r="T2009" s="340"/>
      <c r="V2009" s="378"/>
      <c r="W2009" s="64" ph="1"/>
      <c r="X2009" s="241"/>
      <c r="Y2009" s="284"/>
      <c r="Z2009" s="207"/>
      <c r="AA2009" s="284"/>
      <c r="AB2009" s="284"/>
      <c r="AC2009" s="284"/>
      <c r="AD2009" s="284"/>
      <c r="AE2009" s="284"/>
      <c r="AF2009" s="284"/>
      <c r="AG2009" s="284"/>
    </row>
    <row r="2010" spans="1:33" ht="26.4">
      <c r="A2010" s="284"/>
      <c r="B2010" s="284"/>
      <c r="C2010" s="284"/>
      <c r="D2010" s="284"/>
      <c r="E2010" s="284"/>
      <c r="F2010" s="284"/>
      <c r="G2010" s="284"/>
      <c r="H2010" s="284"/>
      <c r="I2010" s="284"/>
      <c r="J2010" s="375"/>
      <c r="K2010" s="375"/>
      <c r="L2010" s="375"/>
      <c r="M2010" s="368"/>
      <c r="N2010" s="368"/>
      <c r="O2010" s="370"/>
      <c r="T2010" s="340"/>
      <c r="V2010" s="378"/>
      <c r="W2010" s="64" ph="1"/>
      <c r="X2010" s="241"/>
      <c r="Y2010" s="284"/>
      <c r="Z2010" s="207"/>
      <c r="AA2010" s="284"/>
      <c r="AB2010" s="284"/>
      <c r="AC2010" s="284"/>
      <c r="AD2010" s="284"/>
      <c r="AE2010" s="284"/>
      <c r="AF2010" s="284"/>
      <c r="AG2010" s="284"/>
    </row>
    <row r="2011" spans="1:33" ht="26.4">
      <c r="A2011" s="284"/>
      <c r="B2011" s="284"/>
      <c r="C2011" s="284"/>
      <c r="D2011" s="284"/>
      <c r="E2011" s="284"/>
      <c r="F2011" s="284"/>
      <c r="G2011" s="284"/>
      <c r="H2011" s="284"/>
      <c r="I2011" s="284"/>
      <c r="J2011" s="375"/>
      <c r="K2011" s="375"/>
      <c r="L2011" s="375"/>
      <c r="M2011" s="368"/>
      <c r="N2011" s="368"/>
      <c r="O2011" s="370"/>
      <c r="T2011" s="340"/>
      <c r="V2011" s="378"/>
      <c r="W2011" s="64" ph="1"/>
      <c r="X2011" s="241"/>
      <c r="Y2011" s="284"/>
      <c r="Z2011" s="207"/>
      <c r="AA2011" s="284"/>
      <c r="AB2011" s="284"/>
      <c r="AC2011" s="284"/>
      <c r="AD2011" s="284"/>
      <c r="AE2011" s="284"/>
      <c r="AF2011" s="284"/>
      <c r="AG2011" s="284"/>
    </row>
    <row r="2012" spans="1:33" ht="26.4">
      <c r="A2012" s="284"/>
      <c r="B2012" s="284"/>
      <c r="C2012" s="284"/>
      <c r="D2012" s="284"/>
      <c r="E2012" s="284"/>
      <c r="F2012" s="284"/>
      <c r="G2012" s="284"/>
      <c r="H2012" s="284"/>
      <c r="I2012" s="284"/>
      <c r="J2012" s="375"/>
      <c r="K2012" s="375"/>
      <c r="L2012" s="375"/>
      <c r="M2012" s="368"/>
      <c r="N2012" s="368"/>
      <c r="O2012" s="370"/>
      <c r="T2012" s="340"/>
      <c r="V2012" s="378"/>
      <c r="W2012" s="64" ph="1"/>
      <c r="X2012" s="241"/>
      <c r="Y2012" s="284"/>
      <c r="Z2012" s="207"/>
      <c r="AA2012" s="284"/>
      <c r="AB2012" s="284"/>
      <c r="AC2012" s="284"/>
      <c r="AD2012" s="284"/>
      <c r="AE2012" s="284"/>
      <c r="AF2012" s="284"/>
      <c r="AG2012" s="284"/>
    </row>
    <row r="2013" spans="1:33" ht="26.4">
      <c r="A2013" s="284"/>
      <c r="B2013" s="284"/>
      <c r="C2013" s="284"/>
      <c r="D2013" s="284"/>
      <c r="E2013" s="284"/>
      <c r="F2013" s="284"/>
      <c r="G2013" s="284"/>
      <c r="H2013" s="284"/>
      <c r="I2013" s="284"/>
      <c r="J2013" s="375"/>
      <c r="K2013" s="375"/>
      <c r="L2013" s="375"/>
      <c r="M2013" s="368"/>
      <c r="N2013" s="368"/>
      <c r="O2013" s="370"/>
      <c r="T2013" s="340"/>
      <c r="V2013" s="378"/>
      <c r="W2013" s="64" ph="1"/>
      <c r="X2013" s="241"/>
      <c r="Y2013" s="284"/>
      <c r="Z2013" s="207"/>
      <c r="AA2013" s="284"/>
      <c r="AB2013" s="284"/>
      <c r="AC2013" s="284"/>
      <c r="AD2013" s="284"/>
      <c r="AE2013" s="284"/>
      <c r="AF2013" s="284"/>
      <c r="AG2013" s="284"/>
    </row>
    <row r="2014" spans="1:33" ht="26.4">
      <c r="A2014" s="284"/>
      <c r="B2014" s="284"/>
      <c r="C2014" s="284"/>
      <c r="D2014" s="284"/>
      <c r="E2014" s="284"/>
      <c r="F2014" s="284"/>
      <c r="G2014" s="284"/>
      <c r="H2014" s="284"/>
      <c r="I2014" s="284"/>
      <c r="J2014" s="375"/>
      <c r="K2014" s="375"/>
      <c r="L2014" s="375"/>
      <c r="M2014" s="368"/>
      <c r="N2014" s="368"/>
      <c r="O2014" s="370"/>
      <c r="T2014" s="340"/>
      <c r="V2014" s="378"/>
      <c r="W2014" s="64" ph="1"/>
      <c r="X2014" s="241"/>
      <c r="Y2014" s="284"/>
      <c r="Z2014" s="207"/>
      <c r="AA2014" s="284"/>
      <c r="AB2014" s="284"/>
      <c r="AC2014" s="284"/>
      <c r="AD2014" s="284"/>
      <c r="AE2014" s="284"/>
      <c r="AF2014" s="284"/>
      <c r="AG2014" s="284"/>
    </row>
    <row r="2015" spans="1:33" ht="26.4">
      <c r="A2015" s="284"/>
      <c r="B2015" s="284"/>
      <c r="C2015" s="284"/>
      <c r="D2015" s="284"/>
      <c r="E2015" s="284"/>
      <c r="F2015" s="284"/>
      <c r="G2015" s="284"/>
      <c r="H2015" s="284"/>
      <c r="I2015" s="284"/>
      <c r="J2015" s="375"/>
      <c r="K2015" s="375"/>
      <c r="L2015" s="375"/>
      <c r="M2015" s="368"/>
      <c r="N2015" s="368"/>
      <c r="O2015" s="370"/>
      <c r="T2015" s="340"/>
      <c r="V2015" s="378"/>
      <c r="W2015" s="64" ph="1"/>
      <c r="X2015" s="241"/>
      <c r="Y2015" s="284"/>
      <c r="Z2015" s="207"/>
      <c r="AA2015" s="284"/>
      <c r="AB2015" s="284"/>
      <c r="AC2015" s="284"/>
      <c r="AD2015" s="284"/>
      <c r="AE2015" s="284"/>
      <c r="AF2015" s="284"/>
      <c r="AG2015" s="284"/>
    </row>
    <row r="2016" spans="1:33" ht="26.4">
      <c r="A2016" s="284"/>
      <c r="B2016" s="284"/>
      <c r="C2016" s="284"/>
      <c r="D2016" s="284"/>
      <c r="E2016" s="284"/>
      <c r="F2016" s="284"/>
      <c r="G2016" s="284"/>
      <c r="H2016" s="284"/>
      <c r="I2016" s="284"/>
      <c r="J2016" s="375"/>
      <c r="K2016" s="375"/>
      <c r="L2016" s="375"/>
      <c r="M2016" s="368"/>
      <c r="N2016" s="368"/>
      <c r="O2016" s="370"/>
      <c r="T2016" s="340"/>
      <c r="V2016" s="378"/>
      <c r="W2016" s="64" ph="1"/>
      <c r="X2016" s="241"/>
      <c r="Y2016" s="284"/>
      <c r="Z2016" s="207"/>
      <c r="AA2016" s="284"/>
      <c r="AB2016" s="284"/>
      <c r="AC2016" s="284"/>
      <c r="AD2016" s="284"/>
      <c r="AE2016" s="284"/>
      <c r="AF2016" s="284"/>
      <c r="AG2016" s="284"/>
    </row>
    <row r="2017" spans="1:33" ht="26.4">
      <c r="A2017" s="284"/>
      <c r="B2017" s="284"/>
      <c r="C2017" s="284"/>
      <c r="D2017" s="284"/>
      <c r="E2017" s="284"/>
      <c r="F2017" s="284"/>
      <c r="G2017" s="284"/>
      <c r="H2017" s="284"/>
      <c r="I2017" s="284"/>
      <c r="J2017" s="375"/>
      <c r="K2017" s="375"/>
      <c r="L2017" s="375"/>
      <c r="M2017" s="368"/>
      <c r="N2017" s="368"/>
      <c r="O2017" s="370"/>
      <c r="T2017" s="340"/>
      <c r="V2017" s="378"/>
      <c r="W2017" s="64" ph="1"/>
      <c r="X2017" s="241"/>
      <c r="Y2017" s="284"/>
      <c r="Z2017" s="207"/>
      <c r="AA2017" s="284"/>
      <c r="AB2017" s="284"/>
      <c r="AC2017" s="284"/>
      <c r="AD2017" s="284"/>
      <c r="AE2017" s="284"/>
      <c r="AF2017" s="284"/>
      <c r="AG2017" s="284"/>
    </row>
    <row r="2018" spans="1:33" ht="26.4">
      <c r="A2018" s="284"/>
      <c r="B2018" s="284"/>
      <c r="C2018" s="284"/>
      <c r="D2018" s="284"/>
      <c r="E2018" s="284"/>
      <c r="F2018" s="284"/>
      <c r="G2018" s="284"/>
      <c r="H2018" s="284"/>
      <c r="I2018" s="284"/>
      <c r="J2018" s="375"/>
      <c r="K2018" s="375"/>
      <c r="L2018" s="375"/>
      <c r="M2018" s="368"/>
      <c r="N2018" s="368"/>
      <c r="O2018" s="370"/>
      <c r="T2018" s="340"/>
      <c r="V2018" s="378"/>
      <c r="W2018" s="64" ph="1"/>
      <c r="X2018" s="241"/>
      <c r="Y2018" s="284"/>
      <c r="Z2018" s="207"/>
      <c r="AA2018" s="284"/>
      <c r="AB2018" s="284"/>
      <c r="AC2018" s="284"/>
      <c r="AD2018" s="284"/>
      <c r="AE2018" s="284"/>
      <c r="AF2018" s="284"/>
      <c r="AG2018" s="284"/>
    </row>
    <row r="2019" spans="1:33" ht="26.4">
      <c r="A2019" s="284"/>
      <c r="B2019" s="284"/>
      <c r="C2019" s="284"/>
      <c r="D2019" s="284"/>
      <c r="E2019" s="284"/>
      <c r="F2019" s="284"/>
      <c r="G2019" s="284"/>
      <c r="H2019" s="284"/>
      <c r="I2019" s="284"/>
      <c r="J2019" s="375"/>
      <c r="K2019" s="375"/>
      <c r="L2019" s="375"/>
      <c r="M2019" s="368"/>
      <c r="N2019" s="368"/>
      <c r="O2019" s="370"/>
      <c r="T2019" s="340"/>
      <c r="V2019" s="378"/>
      <c r="W2019" s="64" ph="1"/>
      <c r="X2019" s="241"/>
      <c r="Y2019" s="284"/>
      <c r="Z2019" s="207"/>
      <c r="AA2019" s="284"/>
      <c r="AB2019" s="284"/>
      <c r="AC2019" s="284"/>
      <c r="AD2019" s="284"/>
      <c r="AE2019" s="284"/>
      <c r="AF2019" s="284"/>
      <c r="AG2019" s="284"/>
    </row>
    <row r="2020" spans="1:33" ht="26.4">
      <c r="A2020" s="284"/>
      <c r="B2020" s="284"/>
      <c r="C2020" s="284"/>
      <c r="D2020" s="284"/>
      <c r="E2020" s="284"/>
      <c r="F2020" s="284"/>
      <c r="G2020" s="284"/>
      <c r="H2020" s="284"/>
      <c r="I2020" s="284"/>
      <c r="J2020" s="375"/>
      <c r="K2020" s="375"/>
      <c r="L2020" s="375"/>
      <c r="M2020" s="368"/>
      <c r="N2020" s="368"/>
      <c r="O2020" s="370"/>
      <c r="T2020" s="340"/>
      <c r="V2020" s="378"/>
      <c r="W2020" s="64" ph="1"/>
      <c r="X2020" s="241"/>
      <c r="Y2020" s="284"/>
      <c r="Z2020" s="207"/>
      <c r="AA2020" s="284"/>
      <c r="AB2020" s="284"/>
      <c r="AC2020" s="284"/>
      <c r="AD2020" s="284"/>
      <c r="AE2020" s="284"/>
      <c r="AF2020" s="284"/>
      <c r="AG2020" s="284"/>
    </row>
    <row r="2021" spans="1:33" ht="26.4">
      <c r="A2021" s="284"/>
      <c r="B2021" s="284"/>
      <c r="C2021" s="284"/>
      <c r="D2021" s="284"/>
      <c r="E2021" s="284"/>
      <c r="F2021" s="284"/>
      <c r="G2021" s="284"/>
      <c r="H2021" s="284"/>
      <c r="I2021" s="284"/>
      <c r="J2021" s="375"/>
      <c r="K2021" s="375"/>
      <c r="L2021" s="375"/>
      <c r="M2021" s="368"/>
      <c r="N2021" s="368"/>
      <c r="O2021" s="370"/>
      <c r="T2021" s="340"/>
      <c r="V2021" s="378"/>
      <c r="W2021" s="64" ph="1"/>
      <c r="X2021" s="241"/>
      <c r="Y2021" s="284"/>
      <c r="Z2021" s="207"/>
      <c r="AA2021" s="284"/>
      <c r="AB2021" s="284"/>
      <c r="AC2021" s="284"/>
      <c r="AD2021" s="284"/>
      <c r="AE2021" s="284"/>
      <c r="AF2021" s="284"/>
      <c r="AG2021" s="284"/>
    </row>
    <row r="2022" spans="1:33" ht="26.4">
      <c r="A2022" s="284"/>
      <c r="B2022" s="284"/>
      <c r="C2022" s="284"/>
      <c r="D2022" s="284"/>
      <c r="E2022" s="284"/>
      <c r="F2022" s="284"/>
      <c r="G2022" s="284"/>
      <c r="H2022" s="284"/>
      <c r="I2022" s="284"/>
      <c r="J2022" s="375"/>
      <c r="K2022" s="375"/>
      <c r="L2022" s="375"/>
      <c r="M2022" s="368"/>
      <c r="N2022" s="368"/>
      <c r="O2022" s="370"/>
      <c r="T2022" s="340"/>
      <c r="V2022" s="378"/>
      <c r="W2022" s="64" ph="1"/>
      <c r="X2022" s="241"/>
      <c r="Y2022" s="284"/>
      <c r="Z2022" s="207"/>
      <c r="AA2022" s="284"/>
      <c r="AB2022" s="284"/>
      <c r="AC2022" s="284"/>
      <c r="AD2022" s="284"/>
      <c r="AE2022" s="284"/>
      <c r="AF2022" s="284"/>
      <c r="AG2022" s="284"/>
    </row>
    <row r="2023" spans="1:33" ht="26.4">
      <c r="A2023" s="284"/>
      <c r="B2023" s="284"/>
      <c r="C2023" s="284"/>
      <c r="D2023" s="284"/>
      <c r="E2023" s="284"/>
      <c r="F2023" s="284"/>
      <c r="G2023" s="284"/>
      <c r="H2023" s="284"/>
      <c r="I2023" s="284"/>
      <c r="J2023" s="375"/>
      <c r="K2023" s="375"/>
      <c r="L2023" s="375"/>
      <c r="M2023" s="368"/>
      <c r="N2023" s="368"/>
      <c r="O2023" s="370"/>
      <c r="T2023" s="340"/>
      <c r="V2023" s="378"/>
      <c r="W2023" s="64" ph="1"/>
      <c r="X2023" s="241"/>
      <c r="Y2023" s="284"/>
      <c r="Z2023" s="207"/>
      <c r="AA2023" s="284"/>
      <c r="AB2023" s="284"/>
      <c r="AC2023" s="284"/>
      <c r="AD2023" s="284"/>
      <c r="AE2023" s="284"/>
      <c r="AF2023" s="284"/>
      <c r="AG2023" s="284"/>
    </row>
    <row r="2024" spans="1:33" ht="26.4">
      <c r="A2024" s="284"/>
      <c r="B2024" s="284"/>
      <c r="C2024" s="284"/>
      <c r="D2024" s="284"/>
      <c r="E2024" s="284"/>
      <c r="F2024" s="284"/>
      <c r="G2024" s="284"/>
      <c r="H2024" s="284"/>
      <c r="I2024" s="284"/>
      <c r="J2024" s="375"/>
      <c r="K2024" s="375"/>
      <c r="L2024" s="375"/>
      <c r="M2024" s="368"/>
      <c r="N2024" s="368"/>
      <c r="O2024" s="370"/>
      <c r="T2024" s="340"/>
      <c r="V2024" s="378"/>
      <c r="W2024" s="64" ph="1"/>
      <c r="X2024" s="241"/>
      <c r="Y2024" s="284"/>
      <c r="Z2024" s="207"/>
      <c r="AA2024" s="284"/>
      <c r="AB2024" s="284"/>
      <c r="AC2024" s="284"/>
      <c r="AD2024" s="284"/>
      <c r="AE2024" s="284"/>
      <c r="AF2024" s="284"/>
      <c r="AG2024" s="284"/>
    </row>
    <row r="2025" spans="1:33" ht="26.4">
      <c r="A2025" s="284"/>
      <c r="B2025" s="284"/>
      <c r="C2025" s="284"/>
      <c r="D2025" s="284"/>
      <c r="E2025" s="284"/>
      <c r="F2025" s="284"/>
      <c r="G2025" s="284"/>
      <c r="H2025" s="284"/>
      <c r="I2025" s="284"/>
      <c r="J2025" s="375"/>
      <c r="K2025" s="375"/>
      <c r="L2025" s="375"/>
      <c r="M2025" s="368"/>
      <c r="N2025" s="368"/>
      <c r="O2025" s="370"/>
      <c r="T2025" s="340"/>
      <c r="V2025" s="378"/>
      <c r="W2025" s="64" ph="1"/>
      <c r="X2025" s="241"/>
      <c r="Y2025" s="284"/>
      <c r="Z2025" s="207"/>
      <c r="AA2025" s="284"/>
      <c r="AB2025" s="284"/>
      <c r="AC2025" s="284"/>
      <c r="AD2025" s="284"/>
      <c r="AE2025" s="284"/>
      <c r="AF2025" s="284"/>
      <c r="AG2025" s="284"/>
    </row>
    <row r="2026" spans="1:33" ht="26.4">
      <c r="A2026" s="284"/>
      <c r="B2026" s="284"/>
      <c r="C2026" s="284"/>
      <c r="D2026" s="284"/>
      <c r="E2026" s="284"/>
      <c r="F2026" s="284"/>
      <c r="G2026" s="284"/>
      <c r="H2026" s="284"/>
      <c r="I2026" s="284"/>
      <c r="J2026" s="375"/>
      <c r="K2026" s="375"/>
      <c r="L2026" s="375"/>
      <c r="M2026" s="368"/>
      <c r="N2026" s="368"/>
      <c r="O2026" s="370"/>
      <c r="T2026" s="340"/>
      <c r="V2026" s="378"/>
      <c r="W2026" s="64" ph="1"/>
      <c r="X2026" s="241"/>
      <c r="Y2026" s="284"/>
      <c r="Z2026" s="207"/>
      <c r="AA2026" s="284"/>
      <c r="AB2026" s="284"/>
      <c r="AC2026" s="284"/>
      <c r="AD2026" s="284"/>
      <c r="AE2026" s="284"/>
      <c r="AF2026" s="284"/>
      <c r="AG2026" s="284"/>
    </row>
    <row r="2027" spans="1:33" ht="26.4">
      <c r="A2027" s="284"/>
      <c r="B2027" s="284"/>
      <c r="C2027" s="284"/>
      <c r="D2027" s="284"/>
      <c r="E2027" s="284"/>
      <c r="F2027" s="284"/>
      <c r="G2027" s="284"/>
      <c r="H2027" s="284"/>
      <c r="I2027" s="284"/>
      <c r="J2027" s="375"/>
      <c r="K2027" s="375"/>
      <c r="L2027" s="375"/>
      <c r="M2027" s="368"/>
      <c r="N2027" s="368"/>
      <c r="O2027" s="370"/>
      <c r="T2027" s="340"/>
      <c r="V2027" s="378"/>
      <c r="W2027" s="64" ph="1"/>
      <c r="X2027" s="241"/>
      <c r="Y2027" s="284"/>
      <c r="Z2027" s="207"/>
      <c r="AA2027" s="284"/>
      <c r="AB2027" s="284"/>
      <c r="AC2027" s="284"/>
      <c r="AD2027" s="284"/>
      <c r="AE2027" s="284"/>
      <c r="AF2027" s="284"/>
      <c r="AG2027" s="284"/>
    </row>
    <row r="2028" spans="1:33" ht="26.4">
      <c r="A2028" s="284"/>
      <c r="B2028" s="284"/>
      <c r="C2028" s="284"/>
      <c r="D2028" s="284"/>
      <c r="E2028" s="284"/>
      <c r="F2028" s="284"/>
      <c r="G2028" s="284"/>
      <c r="H2028" s="284"/>
      <c r="I2028" s="284"/>
      <c r="J2028" s="375"/>
      <c r="K2028" s="375"/>
      <c r="L2028" s="375"/>
      <c r="M2028" s="368"/>
      <c r="N2028" s="368"/>
      <c r="O2028" s="370"/>
      <c r="T2028" s="340"/>
      <c r="V2028" s="378"/>
      <c r="W2028" s="64" ph="1"/>
      <c r="X2028" s="241"/>
      <c r="Y2028" s="284"/>
      <c r="Z2028" s="207"/>
      <c r="AA2028" s="284"/>
      <c r="AB2028" s="284"/>
      <c r="AC2028" s="284"/>
      <c r="AD2028" s="284"/>
      <c r="AE2028" s="284"/>
      <c r="AF2028" s="284"/>
      <c r="AG2028" s="284"/>
    </row>
    <row r="2029" spans="1:33" ht="26.4">
      <c r="A2029" s="284"/>
      <c r="B2029" s="284"/>
      <c r="C2029" s="284"/>
      <c r="D2029" s="284"/>
      <c r="E2029" s="284"/>
      <c r="F2029" s="284"/>
      <c r="G2029" s="284"/>
      <c r="H2029" s="284"/>
      <c r="I2029" s="284"/>
      <c r="J2029" s="375"/>
      <c r="K2029" s="375"/>
      <c r="L2029" s="375"/>
      <c r="M2029" s="368"/>
      <c r="N2029" s="368"/>
      <c r="O2029" s="370"/>
      <c r="T2029" s="340"/>
      <c r="V2029" s="378"/>
      <c r="W2029" s="64" ph="1"/>
      <c r="X2029" s="241"/>
      <c r="Y2029" s="284"/>
      <c r="Z2029" s="207"/>
      <c r="AA2029" s="284"/>
      <c r="AB2029" s="284"/>
      <c r="AC2029" s="284"/>
      <c r="AD2029" s="284"/>
      <c r="AE2029" s="284"/>
      <c r="AF2029" s="284"/>
      <c r="AG2029" s="284"/>
    </row>
    <row r="2030" spans="1:33" ht="26.4">
      <c r="A2030" s="284"/>
      <c r="B2030" s="284"/>
      <c r="C2030" s="284"/>
      <c r="D2030" s="284"/>
      <c r="E2030" s="284"/>
      <c r="F2030" s="284"/>
      <c r="G2030" s="284"/>
      <c r="H2030" s="284"/>
      <c r="I2030" s="284"/>
      <c r="J2030" s="375"/>
      <c r="K2030" s="375"/>
      <c r="L2030" s="375"/>
      <c r="M2030" s="368"/>
      <c r="N2030" s="368"/>
      <c r="O2030" s="370"/>
      <c r="T2030" s="340"/>
      <c r="V2030" s="378"/>
      <c r="W2030" s="64" ph="1"/>
      <c r="X2030" s="241"/>
      <c r="Y2030" s="284"/>
      <c r="Z2030" s="207"/>
      <c r="AA2030" s="284"/>
      <c r="AB2030" s="284"/>
      <c r="AC2030" s="284"/>
      <c r="AD2030" s="284"/>
      <c r="AE2030" s="284"/>
      <c r="AF2030" s="284"/>
      <c r="AG2030" s="284"/>
    </row>
    <row r="2031" spans="1:33" ht="26.4">
      <c r="A2031" s="284"/>
      <c r="B2031" s="284"/>
      <c r="C2031" s="284"/>
      <c r="D2031" s="284"/>
      <c r="E2031" s="284"/>
      <c r="F2031" s="284"/>
      <c r="G2031" s="284"/>
      <c r="H2031" s="284"/>
      <c r="I2031" s="284"/>
      <c r="J2031" s="375"/>
      <c r="K2031" s="375"/>
      <c r="L2031" s="375"/>
      <c r="M2031" s="368"/>
      <c r="N2031" s="368"/>
      <c r="O2031" s="370"/>
      <c r="T2031" s="340"/>
      <c r="V2031" s="378"/>
      <c r="W2031" s="64" ph="1"/>
      <c r="X2031" s="241"/>
      <c r="Y2031" s="284"/>
      <c r="Z2031" s="207"/>
      <c r="AA2031" s="284"/>
      <c r="AB2031" s="284"/>
      <c r="AC2031" s="284"/>
      <c r="AD2031" s="284"/>
      <c r="AE2031" s="284"/>
      <c r="AF2031" s="284"/>
      <c r="AG2031" s="284"/>
    </row>
    <row r="2032" spans="1:33" ht="26.4">
      <c r="A2032" s="284"/>
      <c r="B2032" s="284"/>
      <c r="C2032" s="284"/>
      <c r="D2032" s="284"/>
      <c r="E2032" s="284"/>
      <c r="F2032" s="284"/>
      <c r="G2032" s="284"/>
      <c r="H2032" s="284"/>
      <c r="I2032" s="284"/>
      <c r="J2032" s="375"/>
      <c r="K2032" s="375"/>
      <c r="L2032" s="375"/>
      <c r="M2032" s="368"/>
      <c r="N2032" s="368"/>
      <c r="O2032" s="370"/>
      <c r="T2032" s="340"/>
      <c r="V2032" s="378"/>
      <c r="W2032" s="64" ph="1"/>
      <c r="X2032" s="241"/>
      <c r="Y2032" s="284"/>
      <c r="Z2032" s="207"/>
      <c r="AA2032" s="284"/>
      <c r="AB2032" s="284"/>
      <c r="AC2032" s="284"/>
      <c r="AD2032" s="284"/>
      <c r="AE2032" s="284"/>
      <c r="AF2032" s="284"/>
      <c r="AG2032" s="284"/>
    </row>
    <row r="2033" spans="1:33" ht="26.4">
      <c r="A2033" s="284"/>
      <c r="B2033" s="284"/>
      <c r="C2033" s="284"/>
      <c r="D2033" s="284"/>
      <c r="E2033" s="284"/>
      <c r="F2033" s="284"/>
      <c r="G2033" s="284"/>
      <c r="H2033" s="284"/>
      <c r="I2033" s="284"/>
      <c r="J2033" s="375"/>
      <c r="K2033" s="375"/>
      <c r="L2033" s="375"/>
      <c r="M2033" s="368"/>
      <c r="N2033" s="368"/>
      <c r="O2033" s="370"/>
      <c r="T2033" s="340"/>
      <c r="V2033" s="378"/>
      <c r="W2033" s="64" ph="1"/>
      <c r="X2033" s="241"/>
      <c r="Y2033" s="284"/>
      <c r="Z2033" s="207"/>
      <c r="AA2033" s="284"/>
      <c r="AB2033" s="284"/>
      <c r="AC2033" s="284"/>
      <c r="AD2033" s="284"/>
      <c r="AE2033" s="284"/>
      <c r="AF2033" s="284"/>
      <c r="AG2033" s="284"/>
    </row>
    <row r="2034" spans="1:33" ht="26.4">
      <c r="A2034" s="284"/>
      <c r="B2034" s="284"/>
      <c r="C2034" s="284"/>
      <c r="D2034" s="284"/>
      <c r="E2034" s="284"/>
      <c r="F2034" s="284"/>
      <c r="G2034" s="284"/>
      <c r="H2034" s="284"/>
      <c r="I2034" s="284"/>
      <c r="J2034" s="375"/>
      <c r="K2034" s="375"/>
      <c r="L2034" s="375"/>
      <c r="M2034" s="368"/>
      <c r="N2034" s="368"/>
      <c r="O2034" s="370"/>
      <c r="T2034" s="340"/>
      <c r="V2034" s="378"/>
      <c r="W2034" s="64" ph="1"/>
      <c r="X2034" s="241"/>
      <c r="Y2034" s="284"/>
      <c r="Z2034" s="207"/>
      <c r="AA2034" s="284"/>
      <c r="AB2034" s="284"/>
      <c r="AC2034" s="284"/>
      <c r="AD2034" s="284"/>
      <c r="AE2034" s="284"/>
      <c r="AF2034" s="284"/>
      <c r="AG2034" s="284"/>
    </row>
    <row r="2035" spans="1:33" ht="26.4">
      <c r="A2035" s="284"/>
      <c r="B2035" s="284"/>
      <c r="C2035" s="284"/>
      <c r="D2035" s="284"/>
      <c r="E2035" s="284"/>
      <c r="F2035" s="284"/>
      <c r="G2035" s="284"/>
      <c r="H2035" s="284"/>
      <c r="I2035" s="284"/>
      <c r="J2035" s="375"/>
      <c r="K2035" s="375"/>
      <c r="L2035" s="375"/>
      <c r="M2035" s="368"/>
      <c r="N2035" s="368"/>
      <c r="O2035" s="370"/>
      <c r="T2035" s="340"/>
      <c r="V2035" s="378"/>
      <c r="W2035" s="64" ph="1"/>
      <c r="X2035" s="241"/>
      <c r="Y2035" s="284"/>
      <c r="Z2035" s="207"/>
      <c r="AA2035" s="284"/>
      <c r="AB2035" s="284"/>
      <c r="AC2035" s="284"/>
      <c r="AD2035" s="284"/>
      <c r="AE2035" s="284"/>
      <c r="AF2035" s="284"/>
      <c r="AG2035" s="284"/>
    </row>
    <row r="2036" spans="1:33" ht="26.4">
      <c r="A2036" s="284"/>
      <c r="B2036" s="284"/>
      <c r="C2036" s="284"/>
      <c r="D2036" s="284"/>
      <c r="E2036" s="284"/>
      <c r="F2036" s="284"/>
      <c r="G2036" s="284"/>
      <c r="H2036" s="284"/>
      <c r="I2036" s="284"/>
      <c r="J2036" s="375"/>
      <c r="K2036" s="375"/>
      <c r="L2036" s="375"/>
      <c r="M2036" s="368"/>
      <c r="N2036" s="368"/>
      <c r="O2036" s="370"/>
      <c r="T2036" s="340"/>
      <c r="V2036" s="378"/>
      <c r="W2036" s="64" ph="1"/>
      <c r="X2036" s="241"/>
      <c r="Y2036" s="284"/>
      <c r="Z2036" s="207"/>
      <c r="AA2036" s="284"/>
      <c r="AB2036" s="284"/>
      <c r="AC2036" s="284"/>
      <c r="AD2036" s="284"/>
      <c r="AE2036" s="284"/>
      <c r="AF2036" s="284"/>
      <c r="AG2036" s="284"/>
    </row>
    <row r="2037" spans="1:33" ht="26.4">
      <c r="A2037" s="284"/>
      <c r="B2037" s="284"/>
      <c r="C2037" s="284"/>
      <c r="D2037" s="284"/>
      <c r="E2037" s="284"/>
      <c r="F2037" s="284"/>
      <c r="G2037" s="284"/>
      <c r="H2037" s="284"/>
      <c r="I2037" s="284"/>
      <c r="J2037" s="375"/>
      <c r="K2037" s="375"/>
      <c r="L2037" s="375"/>
      <c r="M2037" s="368"/>
      <c r="N2037" s="368"/>
      <c r="O2037" s="370"/>
      <c r="T2037" s="340"/>
      <c r="V2037" s="378"/>
      <c r="W2037" s="64" ph="1"/>
      <c r="X2037" s="241"/>
      <c r="Y2037" s="284"/>
      <c r="Z2037" s="207"/>
      <c r="AA2037" s="284"/>
      <c r="AB2037" s="284"/>
      <c r="AC2037" s="284"/>
      <c r="AD2037" s="284"/>
      <c r="AE2037" s="284"/>
      <c r="AF2037" s="284"/>
      <c r="AG2037" s="284"/>
    </row>
    <row r="2038" spans="1:33" ht="26.4">
      <c r="A2038" s="284"/>
      <c r="B2038" s="284"/>
      <c r="C2038" s="284"/>
      <c r="D2038" s="284"/>
      <c r="E2038" s="284"/>
      <c r="F2038" s="284"/>
      <c r="G2038" s="284"/>
      <c r="H2038" s="284"/>
      <c r="I2038" s="284"/>
      <c r="J2038" s="375"/>
      <c r="K2038" s="375"/>
      <c r="L2038" s="375"/>
      <c r="M2038" s="368"/>
      <c r="N2038" s="368"/>
      <c r="O2038" s="370"/>
      <c r="T2038" s="340"/>
      <c r="V2038" s="378"/>
      <c r="W2038" s="64" ph="1"/>
      <c r="X2038" s="241"/>
      <c r="Y2038" s="284"/>
      <c r="Z2038" s="207"/>
      <c r="AA2038" s="284"/>
      <c r="AB2038" s="284"/>
      <c r="AC2038" s="284"/>
      <c r="AD2038" s="284"/>
      <c r="AE2038" s="284"/>
      <c r="AF2038" s="284"/>
      <c r="AG2038" s="284"/>
    </row>
    <row r="2039" spans="1:33" ht="26.4">
      <c r="A2039" s="284"/>
      <c r="B2039" s="284"/>
      <c r="C2039" s="284"/>
      <c r="D2039" s="284"/>
      <c r="E2039" s="284"/>
      <c r="F2039" s="284"/>
      <c r="G2039" s="284"/>
      <c r="H2039" s="284"/>
      <c r="I2039" s="284"/>
      <c r="J2039" s="375"/>
      <c r="K2039" s="375"/>
      <c r="L2039" s="375"/>
      <c r="M2039" s="368"/>
      <c r="N2039" s="368"/>
      <c r="O2039" s="370"/>
      <c r="T2039" s="340"/>
      <c r="V2039" s="378"/>
      <c r="W2039" s="64" ph="1"/>
      <c r="X2039" s="241"/>
      <c r="Y2039" s="284"/>
      <c r="Z2039" s="207"/>
      <c r="AA2039" s="284"/>
      <c r="AB2039" s="284"/>
      <c r="AC2039" s="284"/>
      <c r="AD2039" s="284"/>
      <c r="AE2039" s="284"/>
      <c r="AF2039" s="284"/>
      <c r="AG2039" s="284"/>
    </row>
    <row r="2040" spans="1:33" ht="26.4">
      <c r="A2040" s="284"/>
      <c r="B2040" s="284"/>
      <c r="C2040" s="284"/>
      <c r="D2040" s="284"/>
      <c r="E2040" s="284"/>
      <c r="F2040" s="284"/>
      <c r="G2040" s="284"/>
      <c r="H2040" s="284"/>
      <c r="I2040" s="284"/>
      <c r="J2040" s="375"/>
      <c r="K2040" s="375"/>
      <c r="L2040" s="375"/>
      <c r="M2040" s="368"/>
      <c r="N2040" s="368"/>
      <c r="O2040" s="370"/>
      <c r="T2040" s="340"/>
      <c r="V2040" s="378"/>
      <c r="W2040" s="64" ph="1"/>
      <c r="X2040" s="241"/>
      <c r="Y2040" s="284"/>
      <c r="Z2040" s="207"/>
      <c r="AA2040" s="284"/>
      <c r="AB2040" s="284"/>
      <c r="AC2040" s="284"/>
      <c r="AD2040" s="284"/>
      <c r="AE2040" s="284"/>
      <c r="AF2040" s="284"/>
      <c r="AG2040" s="284"/>
    </row>
    <row r="2041" spans="1:33" ht="26.4">
      <c r="A2041" s="284"/>
      <c r="B2041" s="284"/>
      <c r="C2041" s="284"/>
      <c r="D2041" s="284"/>
      <c r="E2041" s="284"/>
      <c r="F2041" s="284"/>
      <c r="G2041" s="284"/>
      <c r="H2041" s="284"/>
      <c r="I2041" s="284"/>
      <c r="J2041" s="375"/>
      <c r="K2041" s="375"/>
      <c r="L2041" s="375"/>
      <c r="M2041" s="368"/>
      <c r="N2041" s="368"/>
      <c r="O2041" s="370"/>
      <c r="T2041" s="340"/>
      <c r="V2041" s="378"/>
      <c r="W2041" s="64" ph="1"/>
      <c r="X2041" s="241"/>
      <c r="Y2041" s="284"/>
      <c r="Z2041" s="207"/>
      <c r="AA2041" s="284"/>
      <c r="AB2041" s="284"/>
      <c r="AC2041" s="284"/>
      <c r="AD2041" s="284"/>
      <c r="AE2041" s="284"/>
      <c r="AF2041" s="284"/>
      <c r="AG2041" s="284"/>
    </row>
    <row r="2042" spans="1:33" ht="26.4">
      <c r="A2042" s="284"/>
      <c r="B2042" s="284"/>
      <c r="C2042" s="284"/>
      <c r="D2042" s="284"/>
      <c r="E2042" s="284"/>
      <c r="F2042" s="284"/>
      <c r="G2042" s="284"/>
      <c r="H2042" s="284"/>
      <c r="I2042" s="284"/>
      <c r="J2042" s="375"/>
      <c r="K2042" s="375"/>
      <c r="L2042" s="375"/>
      <c r="M2042" s="368"/>
      <c r="N2042" s="368"/>
      <c r="O2042" s="370"/>
      <c r="T2042" s="340"/>
      <c r="V2042" s="378"/>
      <c r="W2042" s="64" ph="1"/>
      <c r="X2042" s="241"/>
      <c r="Y2042" s="284"/>
      <c r="Z2042" s="207"/>
      <c r="AA2042" s="284"/>
      <c r="AB2042" s="284"/>
      <c r="AC2042" s="284"/>
      <c r="AD2042" s="284"/>
      <c r="AE2042" s="284"/>
      <c r="AF2042" s="284"/>
      <c r="AG2042" s="284"/>
    </row>
    <row r="2043" spans="1:33" ht="26.4">
      <c r="A2043" s="284"/>
      <c r="B2043" s="284"/>
      <c r="C2043" s="284"/>
      <c r="D2043" s="284"/>
      <c r="E2043" s="284"/>
      <c r="F2043" s="284"/>
      <c r="G2043" s="284"/>
      <c r="H2043" s="284"/>
      <c r="I2043" s="284"/>
      <c r="J2043" s="375"/>
      <c r="K2043" s="375"/>
      <c r="L2043" s="375"/>
      <c r="M2043" s="368"/>
      <c r="N2043" s="368"/>
      <c r="O2043" s="370"/>
      <c r="T2043" s="340"/>
      <c r="V2043" s="378"/>
      <c r="W2043" s="64" ph="1"/>
      <c r="X2043" s="241"/>
      <c r="Y2043" s="284"/>
      <c r="Z2043" s="207"/>
      <c r="AA2043" s="284"/>
      <c r="AB2043" s="284"/>
      <c r="AC2043" s="284"/>
      <c r="AD2043" s="284"/>
      <c r="AE2043" s="284"/>
      <c r="AF2043" s="284"/>
      <c r="AG2043" s="284"/>
    </row>
    <row r="2044" spans="1:33" ht="26.4">
      <c r="A2044" s="284"/>
      <c r="B2044" s="284"/>
      <c r="C2044" s="284"/>
      <c r="D2044" s="284"/>
      <c r="E2044" s="284"/>
      <c r="F2044" s="284"/>
      <c r="G2044" s="284"/>
      <c r="H2044" s="284"/>
      <c r="I2044" s="284"/>
      <c r="J2044" s="375"/>
      <c r="K2044" s="375"/>
      <c r="L2044" s="375"/>
      <c r="M2044" s="368"/>
      <c r="N2044" s="368"/>
      <c r="O2044" s="370"/>
      <c r="T2044" s="340"/>
      <c r="V2044" s="378"/>
      <c r="W2044" s="64" ph="1"/>
      <c r="X2044" s="241"/>
      <c r="Y2044" s="284"/>
      <c r="Z2044" s="207"/>
      <c r="AA2044" s="284"/>
      <c r="AB2044" s="284"/>
      <c r="AC2044" s="284"/>
      <c r="AD2044" s="284"/>
      <c r="AE2044" s="284"/>
      <c r="AF2044" s="284"/>
      <c r="AG2044" s="284"/>
    </row>
    <row r="2045" spans="1:33" ht="26.4">
      <c r="A2045" s="284"/>
      <c r="B2045" s="284"/>
      <c r="C2045" s="284"/>
      <c r="D2045" s="284"/>
      <c r="E2045" s="284"/>
      <c r="F2045" s="284"/>
      <c r="G2045" s="284"/>
      <c r="H2045" s="284"/>
      <c r="I2045" s="284"/>
      <c r="J2045" s="375"/>
      <c r="K2045" s="375"/>
      <c r="L2045" s="375"/>
      <c r="M2045" s="368"/>
      <c r="N2045" s="368"/>
      <c r="O2045" s="370"/>
      <c r="T2045" s="340"/>
      <c r="V2045" s="378"/>
      <c r="W2045" s="64" ph="1"/>
      <c r="X2045" s="241"/>
      <c r="Y2045" s="284"/>
      <c r="Z2045" s="207"/>
      <c r="AA2045" s="284"/>
      <c r="AB2045" s="284"/>
      <c r="AC2045" s="284"/>
      <c r="AD2045" s="284"/>
      <c r="AE2045" s="284"/>
      <c r="AF2045" s="284"/>
      <c r="AG2045" s="284"/>
    </row>
    <row r="2046" spans="1:33" ht="26.4">
      <c r="A2046" s="284"/>
      <c r="B2046" s="284"/>
      <c r="C2046" s="284"/>
      <c r="D2046" s="284"/>
      <c r="E2046" s="284"/>
      <c r="F2046" s="284"/>
      <c r="G2046" s="284"/>
      <c r="H2046" s="284"/>
      <c r="I2046" s="284"/>
      <c r="J2046" s="375"/>
      <c r="K2046" s="375"/>
      <c r="L2046" s="375"/>
      <c r="M2046" s="368"/>
      <c r="N2046" s="368"/>
      <c r="O2046" s="370"/>
      <c r="T2046" s="340"/>
      <c r="V2046" s="378"/>
      <c r="W2046" s="64" ph="1"/>
      <c r="X2046" s="241"/>
      <c r="Y2046" s="284"/>
      <c r="Z2046" s="207"/>
      <c r="AA2046" s="284"/>
      <c r="AB2046" s="284"/>
      <c r="AC2046" s="284"/>
      <c r="AD2046" s="284"/>
      <c r="AE2046" s="284"/>
      <c r="AF2046" s="284"/>
      <c r="AG2046" s="284"/>
    </row>
    <row r="2047" spans="1:33" ht="26.4">
      <c r="A2047" s="284"/>
      <c r="B2047" s="284"/>
      <c r="C2047" s="284"/>
      <c r="D2047" s="284"/>
      <c r="E2047" s="284"/>
      <c r="F2047" s="284"/>
      <c r="G2047" s="284"/>
      <c r="H2047" s="284"/>
      <c r="I2047" s="284"/>
      <c r="J2047" s="375"/>
      <c r="K2047" s="375"/>
      <c r="L2047" s="375"/>
      <c r="M2047" s="368"/>
      <c r="N2047" s="368"/>
      <c r="O2047" s="370"/>
      <c r="T2047" s="340"/>
      <c r="V2047" s="378"/>
      <c r="W2047" s="64" ph="1"/>
      <c r="X2047" s="241"/>
      <c r="Y2047" s="284"/>
      <c r="Z2047" s="207"/>
      <c r="AA2047" s="284"/>
      <c r="AB2047" s="284"/>
      <c r="AC2047" s="284"/>
      <c r="AD2047" s="284"/>
      <c r="AE2047" s="284"/>
      <c r="AF2047" s="284"/>
      <c r="AG2047" s="284"/>
    </row>
    <row r="2048" spans="1:33" ht="26.4">
      <c r="A2048" s="284"/>
      <c r="B2048" s="284"/>
      <c r="C2048" s="284"/>
      <c r="D2048" s="284"/>
      <c r="E2048" s="284"/>
      <c r="F2048" s="284"/>
      <c r="G2048" s="284"/>
      <c r="H2048" s="284"/>
      <c r="I2048" s="284"/>
      <c r="J2048" s="375"/>
      <c r="K2048" s="375"/>
      <c r="L2048" s="375"/>
      <c r="M2048" s="368"/>
      <c r="N2048" s="368"/>
      <c r="O2048" s="370"/>
      <c r="T2048" s="340"/>
      <c r="V2048" s="378"/>
      <c r="W2048" s="64" ph="1"/>
      <c r="X2048" s="241"/>
      <c r="Y2048" s="284"/>
      <c r="Z2048" s="207"/>
      <c r="AA2048" s="284"/>
      <c r="AB2048" s="284"/>
      <c r="AC2048" s="284"/>
      <c r="AD2048" s="284"/>
      <c r="AE2048" s="284"/>
      <c r="AF2048" s="284"/>
      <c r="AG2048" s="284"/>
    </row>
    <row r="2049" spans="1:33" ht="26.4">
      <c r="A2049" s="284"/>
      <c r="B2049" s="284"/>
      <c r="C2049" s="284"/>
      <c r="D2049" s="284"/>
      <c r="E2049" s="284"/>
      <c r="F2049" s="284"/>
      <c r="G2049" s="284"/>
      <c r="H2049" s="284"/>
      <c r="I2049" s="284"/>
      <c r="J2049" s="375"/>
      <c r="K2049" s="375"/>
      <c r="L2049" s="375"/>
      <c r="M2049" s="368"/>
      <c r="N2049" s="368"/>
      <c r="O2049" s="370"/>
      <c r="T2049" s="340"/>
      <c r="V2049" s="378"/>
      <c r="W2049" s="64" ph="1"/>
      <c r="X2049" s="241"/>
      <c r="Y2049" s="284"/>
      <c r="Z2049" s="207"/>
      <c r="AA2049" s="284"/>
      <c r="AB2049" s="284"/>
      <c r="AC2049" s="284"/>
      <c r="AD2049" s="284"/>
      <c r="AE2049" s="284"/>
      <c r="AF2049" s="284"/>
      <c r="AG2049" s="284"/>
    </row>
    <row r="2050" spans="1:33" ht="26.4">
      <c r="A2050" s="284"/>
      <c r="B2050" s="284"/>
      <c r="C2050" s="284"/>
      <c r="D2050" s="284"/>
      <c r="E2050" s="284"/>
      <c r="F2050" s="284"/>
      <c r="G2050" s="284"/>
      <c r="H2050" s="284"/>
      <c r="I2050" s="284"/>
      <c r="J2050" s="375"/>
      <c r="K2050" s="375"/>
      <c r="L2050" s="375"/>
      <c r="M2050" s="368"/>
      <c r="N2050" s="368"/>
      <c r="O2050" s="370"/>
      <c r="T2050" s="340"/>
      <c r="V2050" s="378"/>
      <c r="W2050" s="64" ph="1"/>
      <c r="X2050" s="241"/>
      <c r="Y2050" s="284"/>
      <c r="Z2050" s="207"/>
      <c r="AA2050" s="284"/>
      <c r="AB2050" s="284"/>
      <c r="AC2050" s="284"/>
      <c r="AD2050" s="284"/>
      <c r="AE2050" s="284"/>
      <c r="AF2050" s="284"/>
      <c r="AG2050" s="284"/>
    </row>
    <row r="2051" spans="1:33" ht="26.4">
      <c r="A2051" s="284"/>
      <c r="B2051" s="284"/>
      <c r="C2051" s="284"/>
      <c r="D2051" s="284"/>
      <c r="E2051" s="284"/>
      <c r="F2051" s="284"/>
      <c r="G2051" s="284"/>
      <c r="H2051" s="284"/>
      <c r="I2051" s="284"/>
      <c r="J2051" s="375"/>
      <c r="K2051" s="375"/>
      <c r="L2051" s="375"/>
      <c r="M2051" s="368"/>
      <c r="N2051" s="368"/>
      <c r="O2051" s="370"/>
      <c r="T2051" s="340"/>
      <c r="V2051" s="378"/>
      <c r="W2051" s="64" ph="1"/>
      <c r="X2051" s="241"/>
      <c r="Y2051" s="284"/>
      <c r="Z2051" s="207"/>
      <c r="AA2051" s="284"/>
      <c r="AB2051" s="284"/>
      <c r="AC2051" s="284"/>
      <c r="AD2051" s="284"/>
      <c r="AE2051" s="284"/>
      <c r="AF2051" s="284"/>
      <c r="AG2051" s="284"/>
    </row>
    <row r="2052" spans="1:33" ht="26.4">
      <c r="A2052" s="284"/>
      <c r="B2052" s="284"/>
      <c r="C2052" s="284"/>
      <c r="D2052" s="284"/>
      <c r="E2052" s="284"/>
      <c r="F2052" s="284"/>
      <c r="G2052" s="284"/>
      <c r="H2052" s="284"/>
      <c r="I2052" s="284"/>
      <c r="J2052" s="375"/>
      <c r="K2052" s="375"/>
      <c r="L2052" s="375"/>
      <c r="M2052" s="368"/>
      <c r="N2052" s="368"/>
      <c r="O2052" s="370"/>
      <c r="T2052" s="340"/>
      <c r="V2052" s="378"/>
      <c r="W2052" s="64" ph="1"/>
      <c r="X2052" s="241"/>
      <c r="Y2052" s="284"/>
      <c r="Z2052" s="207"/>
      <c r="AA2052" s="284"/>
      <c r="AB2052" s="284"/>
      <c r="AC2052" s="284"/>
      <c r="AD2052" s="284"/>
      <c r="AE2052" s="284"/>
      <c r="AF2052" s="284"/>
      <c r="AG2052" s="284"/>
    </row>
    <row r="2053" spans="1:33" ht="26.4">
      <c r="A2053" s="284"/>
      <c r="B2053" s="284"/>
      <c r="C2053" s="284"/>
      <c r="D2053" s="284"/>
      <c r="E2053" s="284"/>
      <c r="F2053" s="284"/>
      <c r="G2053" s="284"/>
      <c r="H2053" s="284"/>
      <c r="I2053" s="284"/>
      <c r="J2053" s="375"/>
      <c r="K2053" s="375"/>
      <c r="L2053" s="375"/>
      <c r="M2053" s="368"/>
      <c r="N2053" s="368"/>
      <c r="O2053" s="370"/>
      <c r="T2053" s="340"/>
      <c r="V2053" s="378"/>
      <c r="W2053" s="64" ph="1"/>
      <c r="X2053" s="241"/>
      <c r="Y2053" s="284"/>
      <c r="Z2053" s="207"/>
      <c r="AA2053" s="284"/>
      <c r="AB2053" s="284"/>
      <c r="AC2053" s="284"/>
      <c r="AD2053" s="284"/>
      <c r="AE2053" s="284"/>
      <c r="AF2053" s="284"/>
      <c r="AG2053" s="284"/>
    </row>
    <row r="2054" spans="1:33" ht="26.4">
      <c r="A2054" s="284"/>
      <c r="B2054" s="284"/>
      <c r="C2054" s="284"/>
      <c r="D2054" s="284"/>
      <c r="E2054" s="284"/>
      <c r="F2054" s="284"/>
      <c r="G2054" s="284"/>
      <c r="H2054" s="284"/>
      <c r="I2054" s="284"/>
      <c r="J2054" s="375"/>
      <c r="K2054" s="375"/>
      <c r="L2054" s="375"/>
      <c r="M2054" s="368"/>
      <c r="N2054" s="368"/>
      <c r="O2054" s="370"/>
      <c r="T2054" s="340"/>
      <c r="V2054" s="378"/>
      <c r="W2054" s="64" ph="1"/>
      <c r="X2054" s="241"/>
      <c r="Y2054" s="284"/>
      <c r="Z2054" s="207"/>
      <c r="AA2054" s="284"/>
      <c r="AB2054" s="284"/>
      <c r="AC2054" s="284"/>
      <c r="AD2054" s="284"/>
      <c r="AE2054" s="284"/>
      <c r="AF2054" s="284"/>
      <c r="AG2054" s="284"/>
    </row>
    <row r="2055" spans="1:33" ht="26.4">
      <c r="A2055" s="284"/>
      <c r="B2055" s="284"/>
      <c r="C2055" s="284"/>
      <c r="D2055" s="284"/>
      <c r="E2055" s="284"/>
      <c r="F2055" s="284"/>
      <c r="G2055" s="284"/>
      <c r="H2055" s="284"/>
      <c r="I2055" s="284"/>
      <c r="J2055" s="375"/>
      <c r="K2055" s="375"/>
      <c r="L2055" s="375"/>
      <c r="M2055" s="368"/>
      <c r="N2055" s="368"/>
      <c r="O2055" s="370"/>
      <c r="T2055" s="340"/>
      <c r="V2055" s="378"/>
      <c r="W2055" s="64" ph="1"/>
      <c r="X2055" s="241"/>
      <c r="Y2055" s="284"/>
      <c r="Z2055" s="207"/>
      <c r="AA2055" s="284"/>
      <c r="AB2055" s="284"/>
      <c r="AC2055" s="284"/>
      <c r="AD2055" s="284"/>
      <c r="AE2055" s="284"/>
      <c r="AF2055" s="284"/>
      <c r="AG2055" s="284"/>
    </row>
    <row r="2056" spans="1:33" ht="26.4">
      <c r="A2056" s="284"/>
      <c r="B2056" s="284"/>
      <c r="C2056" s="284"/>
      <c r="D2056" s="284"/>
      <c r="E2056" s="284"/>
      <c r="F2056" s="284"/>
      <c r="G2056" s="284"/>
      <c r="H2056" s="284"/>
      <c r="I2056" s="284"/>
      <c r="J2056" s="375"/>
      <c r="K2056" s="375"/>
      <c r="L2056" s="375"/>
      <c r="M2056" s="368"/>
      <c r="N2056" s="368"/>
      <c r="O2056" s="370"/>
      <c r="T2056" s="340"/>
      <c r="V2056" s="378"/>
      <c r="W2056" s="64" ph="1"/>
      <c r="X2056" s="241"/>
      <c r="Y2056" s="284"/>
      <c r="Z2056" s="207"/>
      <c r="AA2056" s="284"/>
      <c r="AB2056" s="284"/>
      <c r="AC2056" s="284"/>
      <c r="AD2056" s="284"/>
      <c r="AE2056" s="284"/>
      <c r="AF2056" s="284"/>
      <c r="AG2056" s="284"/>
    </row>
    <row r="2057" spans="1:33" ht="26.4">
      <c r="A2057" s="284"/>
      <c r="B2057" s="284"/>
      <c r="C2057" s="284"/>
      <c r="D2057" s="284"/>
      <c r="E2057" s="284"/>
      <c r="F2057" s="284"/>
      <c r="G2057" s="284"/>
      <c r="H2057" s="284"/>
      <c r="I2057" s="284"/>
      <c r="J2057" s="375"/>
      <c r="K2057" s="375"/>
      <c r="L2057" s="375"/>
      <c r="M2057" s="368"/>
      <c r="N2057" s="368"/>
      <c r="O2057" s="370"/>
      <c r="T2057" s="340"/>
      <c r="V2057" s="378"/>
      <c r="W2057" s="64" ph="1"/>
      <c r="X2057" s="241"/>
      <c r="Y2057" s="284"/>
      <c r="Z2057" s="207"/>
      <c r="AA2057" s="284"/>
      <c r="AB2057" s="284"/>
      <c r="AC2057" s="284"/>
      <c r="AD2057" s="284"/>
      <c r="AE2057" s="284"/>
      <c r="AF2057" s="284"/>
      <c r="AG2057" s="284"/>
    </row>
    <row r="2058" spans="1:33" ht="26.4">
      <c r="A2058" s="284"/>
      <c r="B2058" s="284"/>
      <c r="C2058" s="284"/>
      <c r="D2058" s="284"/>
      <c r="E2058" s="284"/>
      <c r="F2058" s="284"/>
      <c r="G2058" s="284"/>
      <c r="H2058" s="284"/>
      <c r="I2058" s="284"/>
      <c r="J2058" s="375"/>
      <c r="K2058" s="375"/>
      <c r="L2058" s="375"/>
      <c r="M2058" s="368"/>
      <c r="N2058" s="368"/>
      <c r="O2058" s="370"/>
      <c r="T2058" s="340"/>
      <c r="V2058" s="378"/>
      <c r="W2058" s="64" ph="1"/>
      <c r="X2058" s="241"/>
      <c r="Y2058" s="284"/>
      <c r="Z2058" s="207"/>
      <c r="AA2058" s="284"/>
      <c r="AB2058" s="284"/>
      <c r="AC2058" s="284"/>
      <c r="AD2058" s="284"/>
      <c r="AE2058" s="284"/>
      <c r="AF2058" s="284"/>
      <c r="AG2058" s="284"/>
    </row>
    <row r="2059" spans="1:33" ht="26.4">
      <c r="A2059" s="284"/>
      <c r="B2059" s="284"/>
      <c r="C2059" s="284"/>
      <c r="D2059" s="284"/>
      <c r="E2059" s="284"/>
      <c r="F2059" s="284"/>
      <c r="G2059" s="284"/>
      <c r="H2059" s="284"/>
      <c r="I2059" s="284"/>
      <c r="J2059" s="375"/>
      <c r="K2059" s="375"/>
      <c r="L2059" s="375"/>
      <c r="M2059" s="368"/>
      <c r="N2059" s="368"/>
      <c r="O2059" s="370"/>
      <c r="T2059" s="340"/>
      <c r="V2059" s="378"/>
      <c r="W2059" s="64" ph="1"/>
      <c r="X2059" s="241"/>
      <c r="Y2059" s="284"/>
      <c r="Z2059" s="207"/>
      <c r="AA2059" s="284"/>
      <c r="AB2059" s="284"/>
      <c r="AC2059" s="284"/>
      <c r="AD2059" s="284"/>
      <c r="AE2059" s="284"/>
      <c r="AF2059" s="284"/>
      <c r="AG2059" s="284"/>
    </row>
    <row r="2060" spans="1:33" ht="26.4">
      <c r="A2060" s="284"/>
      <c r="B2060" s="284"/>
      <c r="C2060" s="284"/>
      <c r="D2060" s="284"/>
      <c r="E2060" s="284"/>
      <c r="F2060" s="284"/>
      <c r="G2060" s="284"/>
      <c r="H2060" s="284"/>
      <c r="I2060" s="284"/>
      <c r="J2060" s="375"/>
      <c r="K2060" s="375"/>
      <c r="L2060" s="375"/>
      <c r="M2060" s="368"/>
      <c r="N2060" s="368"/>
      <c r="O2060" s="370"/>
      <c r="T2060" s="340"/>
      <c r="V2060" s="378"/>
      <c r="W2060" s="64" ph="1"/>
      <c r="X2060" s="241"/>
      <c r="Y2060" s="284"/>
      <c r="Z2060" s="207"/>
      <c r="AA2060" s="284"/>
      <c r="AB2060" s="284"/>
      <c r="AC2060" s="284"/>
      <c r="AD2060" s="284"/>
      <c r="AE2060" s="284"/>
      <c r="AF2060" s="284"/>
      <c r="AG2060" s="284"/>
    </row>
    <row r="2061" spans="1:33" ht="26.4">
      <c r="A2061" s="284"/>
      <c r="B2061" s="284"/>
      <c r="C2061" s="284"/>
      <c r="D2061" s="284"/>
      <c r="E2061" s="284"/>
      <c r="F2061" s="284"/>
      <c r="G2061" s="284"/>
      <c r="H2061" s="284"/>
      <c r="I2061" s="284"/>
      <c r="J2061" s="375"/>
      <c r="K2061" s="375"/>
      <c r="L2061" s="375"/>
      <c r="M2061" s="368"/>
      <c r="N2061" s="368"/>
      <c r="O2061" s="370"/>
      <c r="T2061" s="340"/>
      <c r="V2061" s="378"/>
      <c r="W2061" s="64" ph="1"/>
      <c r="X2061" s="241"/>
      <c r="Y2061" s="284"/>
      <c r="Z2061" s="207"/>
      <c r="AA2061" s="284"/>
      <c r="AB2061" s="284"/>
      <c r="AC2061" s="284"/>
      <c r="AD2061" s="284"/>
      <c r="AE2061" s="284"/>
      <c r="AF2061" s="284"/>
      <c r="AG2061" s="284"/>
    </row>
    <row r="2062" spans="1:33" ht="26.4">
      <c r="A2062" s="284"/>
      <c r="B2062" s="284"/>
      <c r="C2062" s="284"/>
      <c r="D2062" s="284"/>
      <c r="E2062" s="284"/>
      <c r="F2062" s="284"/>
      <c r="G2062" s="284"/>
      <c r="H2062" s="284"/>
      <c r="I2062" s="284"/>
      <c r="J2062" s="375"/>
      <c r="K2062" s="375"/>
      <c r="L2062" s="375"/>
      <c r="M2062" s="368"/>
      <c r="N2062" s="368"/>
      <c r="O2062" s="370"/>
      <c r="T2062" s="340"/>
      <c r="V2062" s="378"/>
      <c r="W2062" s="64" ph="1"/>
      <c r="X2062" s="241"/>
      <c r="Y2062" s="284"/>
      <c r="Z2062" s="207"/>
      <c r="AA2062" s="284"/>
      <c r="AB2062" s="284"/>
      <c r="AC2062" s="284"/>
      <c r="AD2062" s="284"/>
      <c r="AE2062" s="284"/>
      <c r="AF2062" s="284"/>
      <c r="AG2062" s="284"/>
    </row>
    <row r="2063" spans="1:33" ht="26.4">
      <c r="A2063" s="284"/>
      <c r="B2063" s="284"/>
      <c r="C2063" s="284"/>
      <c r="D2063" s="284"/>
      <c r="E2063" s="284"/>
      <c r="F2063" s="284"/>
      <c r="G2063" s="284"/>
      <c r="H2063" s="284"/>
      <c r="I2063" s="284"/>
      <c r="J2063" s="375"/>
      <c r="K2063" s="375"/>
      <c r="L2063" s="375"/>
      <c r="M2063" s="368"/>
      <c r="N2063" s="368"/>
      <c r="O2063" s="370"/>
      <c r="T2063" s="340"/>
      <c r="V2063" s="378"/>
      <c r="W2063" s="64" ph="1"/>
      <c r="X2063" s="241"/>
      <c r="Y2063" s="284"/>
      <c r="Z2063" s="207"/>
      <c r="AA2063" s="284"/>
      <c r="AB2063" s="284"/>
      <c r="AC2063" s="284"/>
      <c r="AD2063" s="284"/>
      <c r="AE2063" s="284"/>
      <c r="AF2063" s="284"/>
      <c r="AG2063" s="284"/>
    </row>
    <row r="2064" spans="1:33" ht="26.4">
      <c r="A2064" s="284"/>
      <c r="B2064" s="284"/>
      <c r="C2064" s="284"/>
      <c r="D2064" s="284"/>
      <c r="E2064" s="284"/>
      <c r="F2064" s="284"/>
      <c r="G2064" s="284"/>
      <c r="H2064" s="284"/>
      <c r="I2064" s="284"/>
      <c r="J2064" s="375"/>
      <c r="K2064" s="375"/>
      <c r="L2064" s="375"/>
      <c r="M2064" s="368"/>
      <c r="N2064" s="368"/>
      <c r="O2064" s="370"/>
      <c r="T2064" s="340"/>
      <c r="V2064" s="378"/>
      <c r="W2064" s="64" ph="1"/>
      <c r="X2064" s="241"/>
      <c r="Y2064" s="284"/>
      <c r="Z2064" s="207"/>
      <c r="AA2064" s="284"/>
      <c r="AB2064" s="284"/>
      <c r="AC2064" s="284"/>
      <c r="AD2064" s="284"/>
      <c r="AE2064" s="284"/>
      <c r="AF2064" s="284"/>
      <c r="AG2064" s="284"/>
    </row>
    <row r="2065" spans="1:33" ht="26.4">
      <c r="A2065" s="284"/>
      <c r="B2065" s="284"/>
      <c r="C2065" s="284"/>
      <c r="D2065" s="284"/>
      <c r="E2065" s="284"/>
      <c r="F2065" s="284"/>
      <c r="G2065" s="284"/>
      <c r="H2065" s="284"/>
      <c r="I2065" s="284"/>
      <c r="J2065" s="375"/>
      <c r="K2065" s="375"/>
      <c r="L2065" s="375"/>
      <c r="M2065" s="368"/>
      <c r="N2065" s="368"/>
      <c r="O2065" s="370"/>
      <c r="T2065" s="340"/>
      <c r="V2065" s="378"/>
      <c r="W2065" s="64" ph="1"/>
      <c r="X2065" s="241"/>
      <c r="Y2065" s="284"/>
      <c r="Z2065" s="207"/>
      <c r="AA2065" s="284"/>
      <c r="AB2065" s="284"/>
      <c r="AC2065" s="284"/>
      <c r="AD2065" s="284"/>
      <c r="AE2065" s="284"/>
      <c r="AF2065" s="284"/>
      <c r="AG2065" s="284"/>
    </row>
    <row r="2066" spans="1:33" ht="26.4">
      <c r="A2066" s="284"/>
      <c r="B2066" s="284"/>
      <c r="C2066" s="284"/>
      <c r="D2066" s="284"/>
      <c r="E2066" s="284"/>
      <c r="F2066" s="284"/>
      <c r="G2066" s="284"/>
      <c r="H2066" s="284"/>
      <c r="I2066" s="284"/>
      <c r="J2066" s="375"/>
      <c r="K2066" s="375"/>
      <c r="L2066" s="375"/>
      <c r="M2066" s="368"/>
      <c r="N2066" s="368"/>
      <c r="O2066" s="370"/>
      <c r="T2066" s="340"/>
      <c r="V2066" s="378"/>
      <c r="W2066" s="64" ph="1"/>
      <c r="X2066" s="241"/>
      <c r="Y2066" s="284"/>
      <c r="Z2066" s="207"/>
      <c r="AA2066" s="284"/>
      <c r="AB2066" s="284"/>
      <c r="AC2066" s="284"/>
      <c r="AD2066" s="284"/>
      <c r="AE2066" s="284"/>
      <c r="AF2066" s="284"/>
      <c r="AG2066" s="284"/>
    </row>
    <row r="2067" spans="1:33" ht="26.4">
      <c r="A2067" s="284"/>
      <c r="B2067" s="284"/>
      <c r="C2067" s="284"/>
      <c r="D2067" s="284"/>
      <c r="E2067" s="284"/>
      <c r="F2067" s="284"/>
      <c r="G2067" s="284"/>
      <c r="H2067" s="284"/>
      <c r="I2067" s="284"/>
      <c r="J2067" s="375"/>
      <c r="K2067" s="375"/>
      <c r="L2067" s="375"/>
      <c r="M2067" s="368"/>
      <c r="N2067" s="368"/>
      <c r="O2067" s="370"/>
      <c r="T2067" s="340"/>
      <c r="V2067" s="378"/>
      <c r="W2067" s="64" ph="1"/>
      <c r="X2067" s="241"/>
      <c r="Y2067" s="284"/>
      <c r="Z2067" s="207"/>
      <c r="AA2067" s="284"/>
      <c r="AB2067" s="284"/>
      <c r="AC2067" s="284"/>
      <c r="AD2067" s="284"/>
      <c r="AE2067" s="284"/>
      <c r="AF2067" s="284"/>
      <c r="AG2067" s="284"/>
    </row>
    <row r="2068" spans="1:33" ht="26.4">
      <c r="A2068" s="284"/>
      <c r="B2068" s="284"/>
      <c r="C2068" s="284"/>
      <c r="D2068" s="284"/>
      <c r="E2068" s="284"/>
      <c r="F2068" s="284"/>
      <c r="G2068" s="284"/>
      <c r="H2068" s="284"/>
      <c r="I2068" s="284"/>
      <c r="J2068" s="375"/>
      <c r="K2068" s="375"/>
      <c r="L2068" s="375"/>
      <c r="M2068" s="368"/>
      <c r="N2068" s="368"/>
      <c r="O2068" s="370"/>
      <c r="T2068" s="340"/>
      <c r="V2068" s="378"/>
      <c r="W2068" s="64" ph="1"/>
      <c r="X2068" s="241"/>
      <c r="Y2068" s="284"/>
      <c r="Z2068" s="207"/>
      <c r="AA2068" s="284"/>
      <c r="AB2068" s="284"/>
      <c r="AC2068" s="284"/>
      <c r="AD2068" s="284"/>
      <c r="AE2068" s="284"/>
      <c r="AF2068" s="284"/>
      <c r="AG2068" s="284"/>
    </row>
    <row r="2069" spans="1:33" ht="26.4">
      <c r="A2069" s="284"/>
      <c r="B2069" s="284"/>
      <c r="C2069" s="284"/>
      <c r="D2069" s="284"/>
      <c r="E2069" s="284"/>
      <c r="F2069" s="284"/>
      <c r="G2069" s="284"/>
      <c r="H2069" s="284"/>
      <c r="I2069" s="284"/>
      <c r="J2069" s="375"/>
      <c r="K2069" s="375"/>
      <c r="L2069" s="375"/>
      <c r="M2069" s="368"/>
      <c r="N2069" s="368"/>
      <c r="O2069" s="370"/>
      <c r="T2069" s="340"/>
      <c r="V2069" s="378"/>
      <c r="W2069" s="64" ph="1"/>
      <c r="X2069" s="241"/>
      <c r="Y2069" s="284"/>
      <c r="Z2069" s="207"/>
      <c r="AA2069" s="284"/>
      <c r="AB2069" s="284"/>
      <c r="AC2069" s="284"/>
      <c r="AD2069" s="284"/>
      <c r="AE2069" s="284"/>
      <c r="AF2069" s="284"/>
      <c r="AG2069" s="284"/>
    </row>
    <row r="2070" spans="1:33" ht="26.4">
      <c r="A2070" s="284"/>
      <c r="B2070" s="284"/>
      <c r="C2070" s="284"/>
      <c r="D2070" s="284"/>
      <c r="E2070" s="284"/>
      <c r="F2070" s="284"/>
      <c r="G2070" s="284"/>
      <c r="H2070" s="284"/>
      <c r="I2070" s="284"/>
      <c r="J2070" s="375"/>
      <c r="K2070" s="375"/>
      <c r="L2070" s="375"/>
      <c r="M2070" s="368"/>
      <c r="N2070" s="368"/>
      <c r="O2070" s="370"/>
      <c r="T2070" s="340"/>
      <c r="V2070" s="378"/>
      <c r="W2070" s="64" ph="1"/>
      <c r="X2070" s="241"/>
      <c r="Y2070" s="284"/>
      <c r="Z2070" s="207"/>
      <c r="AA2070" s="284"/>
      <c r="AB2070" s="284"/>
      <c r="AC2070" s="284"/>
      <c r="AD2070" s="284"/>
      <c r="AE2070" s="284"/>
      <c r="AF2070" s="284"/>
      <c r="AG2070" s="284"/>
    </row>
    <row r="2071" spans="1:33" ht="26.4">
      <c r="A2071" s="284"/>
      <c r="B2071" s="284"/>
      <c r="C2071" s="284"/>
      <c r="D2071" s="284"/>
      <c r="E2071" s="284"/>
      <c r="F2071" s="284"/>
      <c r="G2071" s="284"/>
      <c r="H2071" s="284"/>
      <c r="I2071" s="284"/>
      <c r="J2071" s="375"/>
      <c r="K2071" s="375"/>
      <c r="L2071" s="375"/>
      <c r="M2071" s="368"/>
      <c r="N2071" s="368"/>
      <c r="O2071" s="370"/>
      <c r="T2071" s="340"/>
      <c r="V2071" s="378"/>
      <c r="W2071" s="64" ph="1"/>
      <c r="X2071" s="241"/>
      <c r="Y2071" s="284"/>
      <c r="Z2071" s="207"/>
      <c r="AA2071" s="284"/>
      <c r="AB2071" s="284"/>
      <c r="AC2071" s="284"/>
      <c r="AD2071" s="284"/>
      <c r="AE2071" s="284"/>
      <c r="AF2071" s="284"/>
      <c r="AG2071" s="284"/>
    </row>
    <row r="2072" spans="1:33" ht="26.4">
      <c r="A2072" s="284"/>
      <c r="B2072" s="284"/>
      <c r="C2072" s="284"/>
      <c r="D2072" s="284"/>
      <c r="E2072" s="284"/>
      <c r="F2072" s="284"/>
      <c r="G2072" s="284"/>
      <c r="H2072" s="284"/>
      <c r="I2072" s="284"/>
      <c r="J2072" s="375"/>
      <c r="K2072" s="375"/>
      <c r="L2072" s="375"/>
      <c r="M2072" s="368"/>
      <c r="N2072" s="368"/>
      <c r="O2072" s="370"/>
      <c r="T2072" s="340"/>
      <c r="V2072" s="378"/>
      <c r="W2072" s="64" ph="1"/>
      <c r="X2072" s="241"/>
      <c r="Y2072" s="284"/>
      <c r="Z2072" s="207"/>
      <c r="AA2072" s="284"/>
      <c r="AB2072" s="284"/>
      <c r="AC2072" s="284"/>
      <c r="AD2072" s="284"/>
      <c r="AE2072" s="284"/>
      <c r="AF2072" s="284"/>
      <c r="AG2072" s="284"/>
    </row>
    <row r="2073" spans="1:33" ht="26.4">
      <c r="A2073" s="284"/>
      <c r="B2073" s="284"/>
      <c r="C2073" s="284"/>
      <c r="D2073" s="284"/>
      <c r="E2073" s="284"/>
      <c r="F2073" s="284"/>
      <c r="G2073" s="284"/>
      <c r="H2073" s="284"/>
      <c r="I2073" s="284"/>
      <c r="J2073" s="375"/>
      <c r="K2073" s="375"/>
      <c r="L2073" s="375"/>
      <c r="M2073" s="368"/>
      <c r="N2073" s="368"/>
      <c r="O2073" s="370"/>
      <c r="T2073" s="340"/>
      <c r="V2073" s="378"/>
      <c r="W2073" s="64" ph="1"/>
      <c r="X2073" s="241"/>
      <c r="Y2073" s="284"/>
      <c r="Z2073" s="207"/>
      <c r="AA2073" s="284"/>
      <c r="AB2073" s="284"/>
      <c r="AC2073" s="284"/>
      <c r="AD2073" s="284"/>
      <c r="AE2073" s="284"/>
      <c r="AF2073" s="284"/>
      <c r="AG2073" s="284"/>
    </row>
    <row r="2074" spans="1:33" ht="26.4">
      <c r="A2074" s="284"/>
      <c r="B2074" s="284"/>
      <c r="C2074" s="284"/>
      <c r="D2074" s="284"/>
      <c r="E2074" s="284"/>
      <c r="F2074" s="284"/>
      <c r="G2074" s="284"/>
      <c r="H2074" s="284"/>
      <c r="I2074" s="284"/>
      <c r="J2074" s="375"/>
      <c r="K2074" s="375"/>
      <c r="L2074" s="375"/>
      <c r="M2074" s="368"/>
      <c r="N2074" s="368"/>
      <c r="O2074" s="370"/>
      <c r="T2074" s="340"/>
      <c r="V2074" s="378"/>
      <c r="W2074" s="64" ph="1"/>
      <c r="X2074" s="241"/>
      <c r="Y2074" s="284"/>
      <c r="Z2074" s="207"/>
      <c r="AA2074" s="284"/>
      <c r="AB2074" s="284"/>
      <c r="AC2074" s="284"/>
      <c r="AD2074" s="284"/>
      <c r="AE2074" s="284"/>
      <c r="AF2074" s="284"/>
      <c r="AG2074" s="284"/>
    </row>
    <row r="2075" spans="1:33" ht="26.4">
      <c r="A2075" s="284"/>
      <c r="B2075" s="284"/>
      <c r="C2075" s="284"/>
      <c r="D2075" s="284"/>
      <c r="E2075" s="284"/>
      <c r="F2075" s="284"/>
      <c r="G2075" s="284"/>
      <c r="H2075" s="284"/>
      <c r="I2075" s="284"/>
      <c r="J2075" s="375"/>
      <c r="K2075" s="375"/>
      <c r="L2075" s="375"/>
      <c r="M2075" s="368"/>
      <c r="N2075" s="368"/>
      <c r="O2075" s="370"/>
      <c r="T2075" s="340"/>
      <c r="V2075" s="378"/>
      <c r="W2075" s="64" ph="1"/>
      <c r="X2075" s="241"/>
      <c r="Y2075" s="284"/>
      <c r="Z2075" s="207"/>
      <c r="AA2075" s="284"/>
      <c r="AB2075" s="284"/>
      <c r="AC2075" s="284"/>
      <c r="AD2075" s="284"/>
      <c r="AE2075" s="284"/>
      <c r="AF2075" s="284"/>
      <c r="AG2075" s="284"/>
    </row>
    <row r="2076" spans="1:33" ht="26.4">
      <c r="A2076" s="284"/>
      <c r="B2076" s="284"/>
      <c r="C2076" s="284"/>
      <c r="D2076" s="284"/>
      <c r="E2076" s="284"/>
      <c r="F2076" s="284"/>
      <c r="G2076" s="284"/>
      <c r="H2076" s="284"/>
      <c r="I2076" s="284"/>
      <c r="J2076" s="375"/>
      <c r="K2076" s="375"/>
      <c r="L2076" s="375"/>
      <c r="M2076" s="368"/>
      <c r="N2076" s="368"/>
      <c r="O2076" s="370"/>
      <c r="T2076" s="340"/>
      <c r="V2076" s="378"/>
      <c r="W2076" s="64" ph="1"/>
      <c r="X2076" s="241"/>
      <c r="Y2076" s="284"/>
      <c r="Z2076" s="207"/>
      <c r="AA2076" s="284"/>
      <c r="AB2076" s="284"/>
      <c r="AC2076" s="284"/>
      <c r="AD2076" s="284"/>
      <c r="AE2076" s="284"/>
      <c r="AF2076" s="284"/>
      <c r="AG2076" s="284"/>
    </row>
    <row r="2077" spans="1:33" ht="26.4">
      <c r="A2077" s="284"/>
      <c r="B2077" s="284"/>
      <c r="C2077" s="284"/>
      <c r="D2077" s="284"/>
      <c r="E2077" s="284"/>
      <c r="F2077" s="284"/>
      <c r="G2077" s="284"/>
      <c r="H2077" s="284"/>
      <c r="I2077" s="284"/>
      <c r="J2077" s="375"/>
      <c r="K2077" s="375"/>
      <c r="L2077" s="375"/>
      <c r="M2077" s="368"/>
      <c r="N2077" s="368"/>
      <c r="O2077" s="370"/>
      <c r="T2077" s="340"/>
      <c r="V2077" s="378"/>
      <c r="W2077" s="64" ph="1"/>
      <c r="X2077" s="241"/>
      <c r="Y2077" s="284"/>
      <c r="Z2077" s="207"/>
      <c r="AA2077" s="284"/>
      <c r="AB2077" s="284"/>
      <c r="AC2077" s="284"/>
      <c r="AD2077" s="284"/>
      <c r="AE2077" s="284"/>
      <c r="AF2077" s="284"/>
      <c r="AG2077" s="284"/>
    </row>
    <row r="2078" spans="1:33" ht="26.4">
      <c r="A2078" s="284"/>
      <c r="B2078" s="284"/>
      <c r="C2078" s="284"/>
      <c r="D2078" s="284"/>
      <c r="E2078" s="284"/>
      <c r="F2078" s="284"/>
      <c r="G2078" s="284"/>
      <c r="H2078" s="284"/>
      <c r="I2078" s="284"/>
      <c r="J2078" s="375"/>
      <c r="K2078" s="375"/>
      <c r="L2078" s="375"/>
      <c r="M2078" s="368"/>
      <c r="N2078" s="368"/>
      <c r="O2078" s="370"/>
      <c r="T2078" s="340"/>
      <c r="V2078" s="378"/>
      <c r="W2078" s="64" ph="1"/>
      <c r="X2078" s="241"/>
      <c r="Y2078" s="284"/>
      <c r="Z2078" s="207"/>
      <c r="AA2078" s="284"/>
      <c r="AB2078" s="284"/>
      <c r="AC2078" s="284"/>
      <c r="AD2078" s="284"/>
      <c r="AE2078" s="284"/>
      <c r="AF2078" s="284"/>
      <c r="AG2078" s="284"/>
    </row>
    <row r="2079" spans="1:33" ht="26.4">
      <c r="A2079" s="284"/>
      <c r="B2079" s="284"/>
      <c r="C2079" s="284"/>
      <c r="D2079" s="284"/>
      <c r="E2079" s="284"/>
      <c r="F2079" s="284"/>
      <c r="G2079" s="284"/>
      <c r="H2079" s="284"/>
      <c r="I2079" s="284"/>
      <c r="J2079" s="375"/>
      <c r="K2079" s="375"/>
      <c r="L2079" s="375"/>
      <c r="M2079" s="368"/>
      <c r="N2079" s="368"/>
      <c r="O2079" s="370"/>
      <c r="T2079" s="340"/>
      <c r="V2079" s="378"/>
      <c r="W2079" s="64" ph="1"/>
      <c r="X2079" s="241"/>
      <c r="Y2079" s="284"/>
      <c r="Z2079" s="207"/>
      <c r="AA2079" s="284"/>
      <c r="AB2079" s="284"/>
      <c r="AC2079" s="284"/>
      <c r="AD2079" s="284"/>
      <c r="AE2079" s="284"/>
      <c r="AF2079" s="284"/>
      <c r="AG2079" s="284"/>
    </row>
    <row r="2080" spans="1:33" ht="26.4">
      <c r="A2080" s="284"/>
      <c r="B2080" s="284"/>
      <c r="C2080" s="284"/>
      <c r="D2080" s="284"/>
      <c r="E2080" s="284"/>
      <c r="F2080" s="284"/>
      <c r="G2080" s="284"/>
      <c r="H2080" s="284"/>
      <c r="I2080" s="284"/>
      <c r="J2080" s="375"/>
      <c r="K2080" s="375"/>
      <c r="L2080" s="375"/>
      <c r="M2080" s="368"/>
      <c r="N2080" s="368"/>
      <c r="O2080" s="370"/>
      <c r="T2080" s="340"/>
      <c r="V2080" s="378"/>
      <c r="W2080" s="64" ph="1"/>
      <c r="X2080" s="241"/>
      <c r="Y2080" s="284"/>
      <c r="Z2080" s="207"/>
      <c r="AA2080" s="284"/>
      <c r="AB2080" s="284"/>
      <c r="AC2080" s="284"/>
      <c r="AD2080" s="284"/>
      <c r="AE2080" s="284"/>
      <c r="AF2080" s="284"/>
      <c r="AG2080" s="284"/>
    </row>
    <row r="2081" spans="1:33" ht="26.4">
      <c r="A2081" s="284"/>
      <c r="B2081" s="284"/>
      <c r="C2081" s="284"/>
      <c r="D2081" s="284"/>
      <c r="E2081" s="284"/>
      <c r="F2081" s="284"/>
      <c r="G2081" s="284"/>
      <c r="H2081" s="284"/>
      <c r="I2081" s="284"/>
      <c r="J2081" s="375"/>
      <c r="K2081" s="375"/>
      <c r="L2081" s="375"/>
      <c r="M2081" s="368"/>
      <c r="N2081" s="368"/>
      <c r="O2081" s="370"/>
      <c r="T2081" s="340"/>
      <c r="V2081" s="378"/>
      <c r="W2081" s="64" ph="1"/>
      <c r="X2081" s="241"/>
      <c r="Y2081" s="284"/>
      <c r="Z2081" s="207"/>
      <c r="AA2081" s="284"/>
      <c r="AB2081" s="284"/>
      <c r="AC2081" s="284"/>
      <c r="AD2081" s="284"/>
      <c r="AE2081" s="284"/>
      <c r="AF2081" s="284"/>
      <c r="AG2081" s="284"/>
    </row>
    <row r="2082" spans="1:33" ht="26.4">
      <c r="A2082" s="284"/>
      <c r="B2082" s="284"/>
      <c r="C2082" s="284"/>
      <c r="D2082" s="284"/>
      <c r="E2082" s="284"/>
      <c r="F2082" s="284"/>
      <c r="G2082" s="284"/>
      <c r="H2082" s="284"/>
      <c r="I2082" s="284"/>
      <c r="J2082" s="375"/>
      <c r="K2082" s="375"/>
      <c r="L2082" s="375"/>
      <c r="M2082" s="368"/>
      <c r="N2082" s="368"/>
      <c r="O2082" s="370"/>
      <c r="T2082" s="340"/>
      <c r="V2082" s="378"/>
      <c r="W2082" s="64" ph="1"/>
      <c r="X2082" s="241"/>
      <c r="Y2082" s="284"/>
      <c r="Z2082" s="207"/>
      <c r="AA2082" s="284"/>
      <c r="AB2082" s="284"/>
      <c r="AC2082" s="284"/>
      <c r="AD2082" s="284"/>
      <c r="AE2082" s="284"/>
      <c r="AF2082" s="284"/>
      <c r="AG2082" s="284"/>
    </row>
    <row r="2083" spans="1:33" ht="26.4">
      <c r="A2083" s="284"/>
      <c r="B2083" s="284"/>
      <c r="C2083" s="284"/>
      <c r="D2083" s="284"/>
      <c r="E2083" s="284"/>
      <c r="F2083" s="284"/>
      <c r="G2083" s="284"/>
      <c r="H2083" s="284"/>
      <c r="I2083" s="284"/>
      <c r="J2083" s="375"/>
      <c r="K2083" s="375"/>
      <c r="L2083" s="375"/>
      <c r="M2083" s="368"/>
      <c r="N2083" s="368"/>
      <c r="O2083" s="370"/>
      <c r="T2083" s="340"/>
      <c r="V2083" s="378"/>
      <c r="W2083" s="64" ph="1"/>
      <c r="X2083" s="241"/>
      <c r="Y2083" s="284"/>
      <c r="Z2083" s="207"/>
      <c r="AA2083" s="284"/>
      <c r="AB2083" s="284"/>
      <c r="AC2083" s="284"/>
      <c r="AD2083" s="284"/>
      <c r="AE2083" s="284"/>
      <c r="AF2083" s="284"/>
      <c r="AG2083" s="284"/>
    </row>
    <row r="2084" spans="1:33" ht="26.4">
      <c r="A2084" s="284"/>
      <c r="B2084" s="284"/>
      <c r="C2084" s="284"/>
      <c r="D2084" s="284"/>
      <c r="E2084" s="284"/>
      <c r="F2084" s="284"/>
      <c r="G2084" s="284"/>
      <c r="H2084" s="284"/>
      <c r="I2084" s="284"/>
      <c r="J2084" s="375"/>
      <c r="K2084" s="375"/>
      <c r="L2084" s="375"/>
      <c r="M2084" s="368"/>
      <c r="N2084" s="368"/>
      <c r="O2084" s="370"/>
      <c r="T2084" s="340"/>
      <c r="V2084" s="378"/>
      <c r="W2084" s="64" ph="1"/>
      <c r="X2084" s="241"/>
      <c r="Y2084" s="284"/>
      <c r="Z2084" s="207"/>
      <c r="AA2084" s="284"/>
      <c r="AB2084" s="284"/>
      <c r="AC2084" s="284"/>
      <c r="AD2084" s="284"/>
      <c r="AE2084" s="284"/>
      <c r="AF2084" s="284"/>
      <c r="AG2084" s="284"/>
    </row>
    <row r="2085" spans="1:33" ht="26.4">
      <c r="A2085" s="284"/>
      <c r="B2085" s="284"/>
      <c r="C2085" s="284"/>
      <c r="D2085" s="284"/>
      <c r="E2085" s="284"/>
      <c r="F2085" s="284"/>
      <c r="G2085" s="284"/>
      <c r="H2085" s="284"/>
      <c r="I2085" s="284"/>
      <c r="J2085" s="375"/>
      <c r="K2085" s="375"/>
      <c r="L2085" s="375"/>
      <c r="M2085" s="368"/>
      <c r="N2085" s="368"/>
      <c r="O2085" s="370"/>
      <c r="T2085" s="340"/>
      <c r="V2085" s="378"/>
      <c r="W2085" s="64" ph="1"/>
      <c r="X2085" s="241"/>
      <c r="Y2085" s="284"/>
      <c r="Z2085" s="207"/>
      <c r="AA2085" s="284"/>
      <c r="AB2085" s="284"/>
      <c r="AC2085" s="284"/>
      <c r="AD2085" s="284"/>
      <c r="AE2085" s="284"/>
      <c r="AF2085" s="284"/>
      <c r="AG2085" s="284"/>
    </row>
    <row r="2086" spans="1:33" ht="26.4">
      <c r="A2086" s="284"/>
      <c r="B2086" s="284"/>
      <c r="C2086" s="284"/>
      <c r="D2086" s="284"/>
      <c r="E2086" s="284"/>
      <c r="F2086" s="284"/>
      <c r="G2086" s="284"/>
      <c r="H2086" s="284"/>
      <c r="I2086" s="284"/>
      <c r="J2086" s="375"/>
      <c r="K2086" s="375"/>
      <c r="L2086" s="375"/>
      <c r="M2086" s="368"/>
      <c r="N2086" s="368"/>
      <c r="O2086" s="370"/>
      <c r="T2086" s="340"/>
      <c r="V2086" s="378"/>
      <c r="W2086" s="64" ph="1"/>
      <c r="X2086" s="241"/>
      <c r="Y2086" s="284"/>
      <c r="Z2086" s="207"/>
      <c r="AA2086" s="284"/>
      <c r="AB2086" s="284"/>
      <c r="AC2086" s="284"/>
      <c r="AD2086" s="284"/>
      <c r="AE2086" s="284"/>
      <c r="AF2086" s="284"/>
      <c r="AG2086" s="284"/>
    </row>
    <row r="2087" spans="1:33" ht="26.4">
      <c r="A2087" s="284"/>
      <c r="B2087" s="284"/>
      <c r="C2087" s="284"/>
      <c r="D2087" s="284"/>
      <c r="E2087" s="284"/>
      <c r="F2087" s="284"/>
      <c r="G2087" s="284"/>
      <c r="H2087" s="284"/>
      <c r="I2087" s="284"/>
      <c r="J2087" s="375"/>
      <c r="K2087" s="375"/>
      <c r="L2087" s="375"/>
      <c r="M2087" s="368"/>
      <c r="N2087" s="368"/>
      <c r="O2087" s="370"/>
      <c r="T2087" s="340"/>
      <c r="V2087" s="378"/>
      <c r="W2087" s="64" ph="1"/>
      <c r="X2087" s="241"/>
      <c r="Y2087" s="284"/>
      <c r="Z2087" s="207"/>
      <c r="AA2087" s="284"/>
      <c r="AB2087" s="284"/>
      <c r="AC2087" s="284"/>
      <c r="AD2087" s="284"/>
      <c r="AE2087" s="284"/>
      <c r="AF2087" s="284"/>
      <c r="AG2087" s="284"/>
    </row>
    <row r="2088" spans="1:33" ht="26.4">
      <c r="A2088" s="284"/>
      <c r="B2088" s="284"/>
      <c r="C2088" s="284"/>
      <c r="D2088" s="284"/>
      <c r="E2088" s="284"/>
      <c r="F2088" s="284"/>
      <c r="G2088" s="284"/>
      <c r="H2088" s="284"/>
      <c r="I2088" s="284"/>
      <c r="J2088" s="375"/>
      <c r="K2088" s="375"/>
      <c r="L2088" s="375"/>
      <c r="M2088" s="368"/>
      <c r="N2088" s="368"/>
      <c r="O2088" s="370"/>
      <c r="T2088" s="340"/>
      <c r="V2088" s="378"/>
      <c r="W2088" s="64" ph="1"/>
      <c r="X2088" s="241"/>
      <c r="Y2088" s="284"/>
      <c r="Z2088" s="207"/>
      <c r="AA2088" s="284"/>
      <c r="AB2088" s="284"/>
      <c r="AC2088" s="284"/>
      <c r="AD2088" s="284"/>
      <c r="AE2088" s="284"/>
      <c r="AF2088" s="284"/>
      <c r="AG2088" s="284"/>
    </row>
    <row r="2089" spans="1:33" ht="26.4">
      <c r="A2089" s="284"/>
      <c r="B2089" s="284"/>
      <c r="C2089" s="284"/>
      <c r="D2089" s="284"/>
      <c r="E2089" s="284"/>
      <c r="F2089" s="284"/>
      <c r="G2089" s="284"/>
      <c r="H2089" s="284"/>
      <c r="I2089" s="284"/>
      <c r="J2089" s="375"/>
      <c r="K2089" s="375"/>
      <c r="L2089" s="375"/>
      <c r="M2089" s="368"/>
      <c r="N2089" s="368"/>
      <c r="O2089" s="370"/>
      <c r="T2089" s="340"/>
      <c r="V2089" s="378"/>
      <c r="W2089" s="64" ph="1"/>
      <c r="X2089" s="241"/>
      <c r="Y2089" s="284"/>
      <c r="Z2089" s="207"/>
      <c r="AA2089" s="284"/>
      <c r="AB2089" s="284"/>
      <c r="AC2089" s="284"/>
      <c r="AD2089" s="284"/>
      <c r="AE2089" s="284"/>
      <c r="AF2089" s="284"/>
      <c r="AG2089" s="284"/>
    </row>
    <row r="2090" spans="1:33" ht="26.4">
      <c r="A2090" s="284"/>
      <c r="B2090" s="284"/>
      <c r="C2090" s="284"/>
      <c r="D2090" s="284"/>
      <c r="E2090" s="284"/>
      <c r="F2090" s="284"/>
      <c r="G2090" s="284"/>
      <c r="H2090" s="284"/>
      <c r="I2090" s="284"/>
      <c r="J2090" s="375"/>
      <c r="K2090" s="375"/>
      <c r="L2090" s="375"/>
      <c r="M2090" s="368"/>
      <c r="N2090" s="368"/>
      <c r="O2090" s="370"/>
      <c r="T2090" s="340"/>
      <c r="V2090" s="378"/>
      <c r="W2090" s="64" ph="1"/>
      <c r="X2090" s="241"/>
      <c r="Y2090" s="284"/>
      <c r="Z2090" s="207"/>
      <c r="AA2090" s="284"/>
      <c r="AB2090" s="284"/>
      <c r="AC2090" s="284"/>
      <c r="AD2090" s="284"/>
      <c r="AE2090" s="284"/>
      <c r="AF2090" s="284"/>
      <c r="AG2090" s="284"/>
    </row>
    <row r="2091" spans="1:33" ht="26.4">
      <c r="A2091" s="284"/>
      <c r="B2091" s="284"/>
      <c r="C2091" s="284"/>
      <c r="D2091" s="284"/>
      <c r="E2091" s="284"/>
      <c r="F2091" s="284"/>
      <c r="G2091" s="284"/>
      <c r="H2091" s="284"/>
      <c r="I2091" s="284"/>
      <c r="J2091" s="375"/>
      <c r="K2091" s="375"/>
      <c r="L2091" s="375"/>
      <c r="M2091" s="368"/>
      <c r="N2091" s="368"/>
      <c r="O2091" s="370"/>
      <c r="T2091" s="340"/>
      <c r="V2091" s="378"/>
      <c r="W2091" s="64" ph="1"/>
      <c r="X2091" s="241"/>
      <c r="Y2091" s="284"/>
      <c r="Z2091" s="207"/>
      <c r="AA2091" s="284"/>
      <c r="AB2091" s="284"/>
      <c r="AC2091" s="284"/>
      <c r="AD2091" s="284"/>
      <c r="AE2091" s="284"/>
      <c r="AF2091" s="284"/>
      <c r="AG2091" s="284"/>
    </row>
    <row r="2092" spans="1:33" ht="26.4">
      <c r="A2092" s="284"/>
      <c r="B2092" s="284"/>
      <c r="C2092" s="284"/>
      <c r="D2092" s="284"/>
      <c r="E2092" s="284"/>
      <c r="F2092" s="284"/>
      <c r="G2092" s="284"/>
      <c r="H2092" s="284"/>
      <c r="I2092" s="284"/>
      <c r="J2092" s="375"/>
      <c r="K2092" s="375"/>
      <c r="L2092" s="375"/>
      <c r="M2092" s="368"/>
      <c r="N2092" s="368"/>
      <c r="O2092" s="370"/>
      <c r="T2092" s="340"/>
      <c r="V2092" s="378"/>
      <c r="W2092" s="64" ph="1"/>
      <c r="X2092" s="241"/>
      <c r="Y2092" s="284"/>
      <c r="Z2092" s="207"/>
      <c r="AA2092" s="284"/>
      <c r="AB2092" s="284"/>
      <c r="AC2092" s="284"/>
      <c r="AD2092" s="284"/>
      <c r="AE2092" s="284"/>
      <c r="AF2092" s="284"/>
      <c r="AG2092" s="284"/>
    </row>
    <row r="2093" spans="1:33" ht="26.4">
      <c r="A2093" s="284"/>
      <c r="B2093" s="284"/>
      <c r="C2093" s="284"/>
      <c r="D2093" s="284"/>
      <c r="E2093" s="284"/>
      <c r="F2093" s="284"/>
      <c r="G2093" s="284"/>
      <c r="H2093" s="284"/>
      <c r="I2093" s="284"/>
      <c r="J2093" s="375"/>
      <c r="K2093" s="375"/>
      <c r="L2093" s="375"/>
      <c r="M2093" s="368"/>
      <c r="N2093" s="368"/>
      <c r="O2093" s="370"/>
      <c r="T2093" s="340"/>
      <c r="V2093" s="378"/>
      <c r="W2093" s="64" ph="1"/>
      <c r="X2093" s="241"/>
      <c r="Y2093" s="284"/>
      <c r="Z2093" s="207"/>
      <c r="AA2093" s="284"/>
      <c r="AB2093" s="284"/>
      <c r="AC2093" s="284"/>
      <c r="AD2093" s="284"/>
      <c r="AE2093" s="284"/>
      <c r="AF2093" s="284"/>
      <c r="AG2093" s="284"/>
    </row>
    <row r="2094" spans="1:33" ht="26.4">
      <c r="A2094" s="284"/>
      <c r="B2094" s="284"/>
      <c r="C2094" s="284"/>
      <c r="D2094" s="284"/>
      <c r="E2094" s="284"/>
      <c r="F2094" s="284"/>
      <c r="G2094" s="284"/>
      <c r="H2094" s="284"/>
      <c r="I2094" s="284"/>
      <c r="J2094" s="375"/>
      <c r="K2094" s="375"/>
      <c r="L2094" s="375"/>
      <c r="M2094" s="368"/>
      <c r="N2094" s="368"/>
      <c r="O2094" s="370"/>
      <c r="T2094" s="340"/>
      <c r="V2094" s="378"/>
      <c r="W2094" s="64" ph="1"/>
      <c r="X2094" s="241"/>
      <c r="Y2094" s="284"/>
      <c r="Z2094" s="207"/>
      <c r="AA2094" s="284"/>
      <c r="AB2094" s="284"/>
      <c r="AC2094" s="284"/>
      <c r="AD2094" s="284"/>
      <c r="AE2094" s="284"/>
      <c r="AF2094" s="284"/>
      <c r="AG2094" s="284"/>
    </row>
    <row r="2095" spans="1:33" ht="26.4">
      <c r="A2095" s="284"/>
      <c r="B2095" s="284"/>
      <c r="C2095" s="284"/>
      <c r="D2095" s="284"/>
      <c r="E2095" s="284"/>
      <c r="F2095" s="284"/>
      <c r="G2095" s="284"/>
      <c r="H2095" s="284"/>
      <c r="I2095" s="284"/>
      <c r="J2095" s="375"/>
      <c r="K2095" s="375"/>
      <c r="L2095" s="375"/>
      <c r="M2095" s="368"/>
      <c r="N2095" s="368"/>
      <c r="O2095" s="370"/>
      <c r="T2095" s="340"/>
      <c r="V2095" s="378"/>
      <c r="W2095" s="64" ph="1"/>
      <c r="X2095" s="241"/>
      <c r="Y2095" s="284"/>
      <c r="Z2095" s="207"/>
      <c r="AA2095" s="284"/>
      <c r="AB2095" s="284"/>
      <c r="AC2095" s="284"/>
      <c r="AD2095" s="284"/>
      <c r="AE2095" s="284"/>
      <c r="AF2095" s="284"/>
      <c r="AG2095" s="284"/>
    </row>
    <row r="2096" spans="1:33" ht="26.4">
      <c r="A2096" s="284"/>
      <c r="B2096" s="284"/>
      <c r="C2096" s="284"/>
      <c r="D2096" s="284"/>
      <c r="E2096" s="284"/>
      <c r="F2096" s="284"/>
      <c r="G2096" s="284"/>
      <c r="H2096" s="284"/>
      <c r="I2096" s="284"/>
      <c r="J2096" s="375"/>
      <c r="K2096" s="375"/>
      <c r="L2096" s="375"/>
      <c r="M2096" s="368"/>
      <c r="N2096" s="368"/>
      <c r="O2096" s="370"/>
      <c r="T2096" s="340"/>
      <c r="V2096" s="378"/>
      <c r="W2096" s="64" ph="1"/>
      <c r="X2096" s="241"/>
      <c r="Y2096" s="284"/>
      <c r="Z2096" s="207"/>
      <c r="AA2096" s="284"/>
      <c r="AB2096" s="284"/>
      <c r="AC2096" s="284"/>
      <c r="AD2096" s="284"/>
      <c r="AE2096" s="284"/>
      <c r="AF2096" s="284"/>
      <c r="AG2096" s="284"/>
    </row>
    <row r="2097" spans="1:33" ht="26.4">
      <c r="A2097" s="284"/>
      <c r="B2097" s="284"/>
      <c r="C2097" s="284"/>
      <c r="D2097" s="284"/>
      <c r="E2097" s="284"/>
      <c r="F2097" s="284"/>
      <c r="G2097" s="284"/>
      <c r="H2097" s="284"/>
      <c r="I2097" s="284"/>
      <c r="J2097" s="375"/>
      <c r="K2097" s="375"/>
      <c r="L2097" s="375"/>
      <c r="M2097" s="368"/>
      <c r="N2097" s="368"/>
      <c r="O2097" s="370"/>
      <c r="T2097" s="340"/>
      <c r="V2097" s="378"/>
      <c r="W2097" s="64" ph="1"/>
      <c r="X2097" s="241"/>
      <c r="Y2097" s="284"/>
      <c r="Z2097" s="207"/>
      <c r="AA2097" s="284"/>
      <c r="AB2097" s="284"/>
      <c r="AC2097" s="284"/>
      <c r="AD2097" s="284"/>
      <c r="AE2097" s="284"/>
      <c r="AF2097" s="284"/>
      <c r="AG2097" s="284"/>
    </row>
    <row r="2098" spans="1:33" ht="26.4">
      <c r="A2098" s="284"/>
      <c r="B2098" s="284"/>
      <c r="C2098" s="284"/>
      <c r="D2098" s="284"/>
      <c r="E2098" s="284"/>
      <c r="F2098" s="284"/>
      <c r="G2098" s="284"/>
      <c r="H2098" s="284"/>
      <c r="I2098" s="284"/>
      <c r="J2098" s="375"/>
      <c r="K2098" s="375"/>
      <c r="L2098" s="375"/>
      <c r="M2098" s="368"/>
      <c r="N2098" s="368"/>
      <c r="O2098" s="370"/>
      <c r="T2098" s="340"/>
      <c r="V2098" s="378"/>
      <c r="W2098" s="64" ph="1"/>
      <c r="X2098" s="241"/>
      <c r="Y2098" s="284"/>
      <c r="Z2098" s="207"/>
      <c r="AA2098" s="284"/>
      <c r="AB2098" s="284"/>
      <c r="AC2098" s="284"/>
      <c r="AD2098" s="284"/>
      <c r="AE2098" s="284"/>
      <c r="AF2098" s="284"/>
      <c r="AG2098" s="284"/>
    </row>
    <row r="2099" spans="1:33" ht="26.4">
      <c r="A2099" s="284"/>
      <c r="B2099" s="284"/>
      <c r="C2099" s="284"/>
      <c r="D2099" s="284"/>
      <c r="E2099" s="284"/>
      <c r="F2099" s="284"/>
      <c r="G2099" s="284"/>
      <c r="H2099" s="284"/>
      <c r="I2099" s="284"/>
      <c r="J2099" s="375"/>
      <c r="K2099" s="375"/>
      <c r="L2099" s="375"/>
      <c r="M2099" s="368"/>
      <c r="N2099" s="368"/>
      <c r="O2099" s="370"/>
      <c r="T2099" s="340"/>
      <c r="V2099" s="378"/>
      <c r="W2099" s="64" ph="1"/>
      <c r="X2099" s="241"/>
      <c r="Y2099" s="284"/>
      <c r="Z2099" s="207"/>
      <c r="AA2099" s="284"/>
      <c r="AB2099" s="284"/>
      <c r="AC2099" s="284"/>
      <c r="AD2099" s="284"/>
      <c r="AE2099" s="284"/>
      <c r="AF2099" s="284"/>
      <c r="AG2099" s="284"/>
    </row>
    <row r="2100" spans="1:33" ht="26.4">
      <c r="A2100" s="284"/>
      <c r="B2100" s="284"/>
      <c r="C2100" s="284"/>
      <c r="D2100" s="284"/>
      <c r="E2100" s="284"/>
      <c r="F2100" s="284"/>
      <c r="G2100" s="284"/>
      <c r="H2100" s="284"/>
      <c r="I2100" s="284"/>
      <c r="J2100" s="375"/>
      <c r="K2100" s="375"/>
      <c r="L2100" s="375"/>
      <c r="M2100" s="368"/>
      <c r="N2100" s="368"/>
      <c r="O2100" s="370"/>
      <c r="T2100" s="340"/>
      <c r="V2100" s="378"/>
      <c r="W2100" s="64" ph="1"/>
      <c r="X2100" s="241"/>
      <c r="Y2100" s="284"/>
      <c r="Z2100" s="207"/>
      <c r="AA2100" s="284"/>
      <c r="AB2100" s="284"/>
      <c r="AC2100" s="284"/>
      <c r="AD2100" s="284"/>
      <c r="AE2100" s="284"/>
      <c r="AF2100" s="284"/>
      <c r="AG2100" s="284"/>
    </row>
    <row r="2101" spans="1:33" ht="26.4">
      <c r="A2101" s="284"/>
      <c r="B2101" s="284"/>
      <c r="C2101" s="284"/>
      <c r="D2101" s="284"/>
      <c r="E2101" s="284"/>
      <c r="F2101" s="284"/>
      <c r="G2101" s="284"/>
      <c r="H2101" s="284"/>
      <c r="I2101" s="284"/>
      <c r="J2101" s="375"/>
      <c r="K2101" s="375"/>
      <c r="L2101" s="375"/>
      <c r="M2101" s="368"/>
      <c r="N2101" s="368"/>
      <c r="O2101" s="370"/>
      <c r="T2101" s="340"/>
      <c r="V2101" s="378"/>
      <c r="W2101" s="64" ph="1"/>
      <c r="X2101" s="241"/>
      <c r="Y2101" s="284"/>
      <c r="Z2101" s="207"/>
      <c r="AA2101" s="284"/>
      <c r="AB2101" s="284"/>
      <c r="AC2101" s="284"/>
      <c r="AD2101" s="284"/>
      <c r="AE2101" s="284"/>
      <c r="AF2101" s="284"/>
      <c r="AG2101" s="284"/>
    </row>
    <row r="2102" spans="1:33" ht="26.4">
      <c r="A2102" s="284"/>
      <c r="B2102" s="284"/>
      <c r="C2102" s="284"/>
      <c r="D2102" s="284"/>
      <c r="E2102" s="284"/>
      <c r="F2102" s="284"/>
      <c r="G2102" s="284"/>
      <c r="H2102" s="284"/>
      <c r="I2102" s="284"/>
      <c r="J2102" s="375"/>
      <c r="K2102" s="375"/>
      <c r="L2102" s="375"/>
      <c r="M2102" s="368"/>
      <c r="N2102" s="368"/>
      <c r="O2102" s="370"/>
      <c r="T2102" s="340"/>
      <c r="V2102" s="378"/>
      <c r="W2102" s="64" ph="1"/>
      <c r="X2102" s="241"/>
      <c r="Y2102" s="284"/>
      <c r="Z2102" s="207"/>
      <c r="AA2102" s="284"/>
      <c r="AB2102" s="284"/>
      <c r="AC2102" s="284"/>
      <c r="AD2102" s="284"/>
      <c r="AE2102" s="284"/>
      <c r="AF2102" s="284"/>
      <c r="AG2102" s="284"/>
    </row>
    <row r="2103" spans="1:33" ht="26.4">
      <c r="A2103" s="284"/>
      <c r="B2103" s="284"/>
      <c r="C2103" s="284"/>
      <c r="D2103" s="284"/>
      <c r="E2103" s="284"/>
      <c r="F2103" s="284"/>
      <c r="G2103" s="284"/>
      <c r="H2103" s="284"/>
      <c r="I2103" s="284"/>
      <c r="J2103" s="375"/>
      <c r="K2103" s="375"/>
      <c r="L2103" s="375"/>
      <c r="M2103" s="368"/>
      <c r="N2103" s="368"/>
      <c r="O2103" s="370"/>
      <c r="T2103" s="340"/>
      <c r="V2103" s="378"/>
      <c r="W2103" s="64" ph="1"/>
      <c r="X2103" s="241"/>
      <c r="Y2103" s="284"/>
      <c r="Z2103" s="207"/>
      <c r="AA2103" s="284"/>
      <c r="AB2103" s="284"/>
      <c r="AC2103" s="284"/>
      <c r="AD2103" s="284"/>
      <c r="AE2103" s="284"/>
      <c r="AF2103" s="284"/>
      <c r="AG2103" s="284"/>
    </row>
    <row r="2104" spans="1:33" ht="26.4">
      <c r="A2104" s="284"/>
      <c r="B2104" s="284"/>
      <c r="C2104" s="284"/>
      <c r="D2104" s="284"/>
      <c r="E2104" s="284"/>
      <c r="F2104" s="284"/>
      <c r="G2104" s="284"/>
      <c r="H2104" s="284"/>
      <c r="I2104" s="284"/>
      <c r="J2104" s="375"/>
      <c r="K2104" s="375"/>
      <c r="L2104" s="375"/>
      <c r="M2104" s="368"/>
      <c r="N2104" s="368"/>
      <c r="O2104" s="370"/>
      <c r="T2104" s="340"/>
      <c r="V2104" s="378"/>
      <c r="W2104" s="64" ph="1"/>
      <c r="X2104" s="241"/>
      <c r="Y2104" s="284"/>
      <c r="Z2104" s="207"/>
      <c r="AA2104" s="284"/>
      <c r="AB2104" s="284"/>
      <c r="AC2104" s="284"/>
      <c r="AD2104" s="284"/>
      <c r="AE2104" s="284"/>
      <c r="AF2104" s="284"/>
      <c r="AG2104" s="284"/>
    </row>
    <row r="2105" spans="1:33" ht="26.4">
      <c r="A2105" s="284"/>
      <c r="B2105" s="284"/>
      <c r="C2105" s="284"/>
      <c r="D2105" s="284"/>
      <c r="E2105" s="284"/>
      <c r="F2105" s="284"/>
      <c r="G2105" s="284"/>
      <c r="H2105" s="284"/>
      <c r="I2105" s="284"/>
      <c r="J2105" s="375"/>
      <c r="K2105" s="375"/>
      <c r="L2105" s="375"/>
      <c r="M2105" s="368"/>
      <c r="N2105" s="368"/>
      <c r="O2105" s="370"/>
      <c r="T2105" s="340"/>
      <c r="V2105" s="378"/>
      <c r="W2105" s="64" ph="1"/>
      <c r="X2105" s="241"/>
      <c r="Y2105" s="284"/>
      <c r="Z2105" s="207"/>
      <c r="AA2105" s="284"/>
      <c r="AB2105" s="284"/>
      <c r="AC2105" s="284"/>
      <c r="AD2105" s="284"/>
      <c r="AE2105" s="284"/>
      <c r="AF2105" s="284"/>
      <c r="AG2105" s="284"/>
    </row>
    <row r="2106" spans="1:33" ht="26.4">
      <c r="A2106" s="284"/>
      <c r="B2106" s="284"/>
      <c r="C2106" s="284"/>
      <c r="D2106" s="284"/>
      <c r="E2106" s="284"/>
      <c r="F2106" s="284"/>
      <c r="G2106" s="284"/>
      <c r="H2106" s="284"/>
      <c r="I2106" s="284"/>
      <c r="J2106" s="375"/>
      <c r="K2106" s="375"/>
      <c r="L2106" s="375"/>
      <c r="M2106" s="368"/>
      <c r="N2106" s="368"/>
      <c r="O2106" s="370"/>
      <c r="T2106" s="340"/>
      <c r="V2106" s="378"/>
      <c r="W2106" s="64" ph="1"/>
      <c r="X2106" s="241"/>
      <c r="Y2106" s="284"/>
      <c r="Z2106" s="207"/>
      <c r="AA2106" s="284"/>
      <c r="AB2106" s="284"/>
      <c r="AC2106" s="284"/>
      <c r="AD2106" s="284"/>
      <c r="AE2106" s="284"/>
      <c r="AF2106" s="284"/>
      <c r="AG2106" s="284"/>
    </row>
    <row r="2107" spans="1:33" ht="26.4">
      <c r="A2107" s="284"/>
      <c r="B2107" s="284"/>
      <c r="C2107" s="284"/>
      <c r="D2107" s="284"/>
      <c r="E2107" s="284"/>
      <c r="F2107" s="284"/>
      <c r="G2107" s="284"/>
      <c r="H2107" s="284"/>
      <c r="I2107" s="284"/>
      <c r="J2107" s="375"/>
      <c r="K2107" s="375"/>
      <c r="L2107" s="375"/>
      <c r="M2107" s="368"/>
      <c r="N2107" s="368"/>
      <c r="O2107" s="370"/>
      <c r="T2107" s="340"/>
      <c r="V2107" s="378"/>
      <c r="W2107" s="64" ph="1"/>
      <c r="X2107" s="241"/>
      <c r="Y2107" s="284"/>
      <c r="Z2107" s="207"/>
      <c r="AA2107" s="284"/>
      <c r="AB2107" s="284"/>
      <c r="AC2107" s="284"/>
      <c r="AD2107" s="284"/>
      <c r="AE2107" s="284"/>
      <c r="AF2107" s="284"/>
      <c r="AG2107" s="284"/>
    </row>
    <row r="2108" spans="1:33" ht="26.4">
      <c r="A2108" s="284"/>
      <c r="B2108" s="284"/>
      <c r="C2108" s="284"/>
      <c r="D2108" s="284"/>
      <c r="E2108" s="284"/>
      <c r="F2108" s="284"/>
      <c r="G2108" s="284"/>
      <c r="H2108" s="284"/>
      <c r="I2108" s="284"/>
      <c r="J2108" s="375"/>
      <c r="K2108" s="375"/>
      <c r="L2108" s="375"/>
      <c r="M2108" s="368"/>
      <c r="N2108" s="368"/>
      <c r="O2108" s="370"/>
      <c r="T2108" s="340"/>
      <c r="V2108" s="378"/>
      <c r="W2108" s="64" ph="1"/>
      <c r="X2108" s="241"/>
      <c r="Y2108" s="284"/>
      <c r="Z2108" s="207"/>
      <c r="AA2108" s="284"/>
      <c r="AB2108" s="284"/>
      <c r="AC2108" s="284"/>
      <c r="AD2108" s="284"/>
      <c r="AE2108" s="284"/>
      <c r="AF2108" s="284"/>
      <c r="AG2108" s="284"/>
    </row>
    <row r="2109" spans="1:33" ht="26.4">
      <c r="A2109" s="284"/>
      <c r="B2109" s="284"/>
      <c r="C2109" s="284"/>
      <c r="D2109" s="284"/>
      <c r="E2109" s="284"/>
      <c r="F2109" s="284"/>
      <c r="G2109" s="284"/>
      <c r="H2109" s="284"/>
      <c r="I2109" s="284"/>
      <c r="J2109" s="375"/>
      <c r="K2109" s="375"/>
      <c r="L2109" s="375"/>
      <c r="M2109" s="368"/>
      <c r="N2109" s="368"/>
      <c r="O2109" s="370"/>
      <c r="T2109" s="340"/>
      <c r="V2109" s="378"/>
      <c r="W2109" s="64" ph="1"/>
      <c r="X2109" s="241"/>
      <c r="Y2109" s="284"/>
      <c r="Z2109" s="207"/>
      <c r="AA2109" s="284"/>
      <c r="AB2109" s="284"/>
      <c r="AC2109" s="284"/>
      <c r="AD2109" s="284"/>
      <c r="AE2109" s="284"/>
      <c r="AF2109" s="284"/>
      <c r="AG2109" s="284"/>
    </row>
    <row r="2110" spans="1:33" ht="26.4">
      <c r="A2110" s="284"/>
      <c r="B2110" s="284"/>
      <c r="C2110" s="284"/>
      <c r="D2110" s="284"/>
      <c r="E2110" s="284"/>
      <c r="F2110" s="284"/>
      <c r="G2110" s="284"/>
      <c r="H2110" s="284"/>
      <c r="I2110" s="284"/>
      <c r="J2110" s="375"/>
      <c r="K2110" s="375"/>
      <c r="L2110" s="375"/>
      <c r="M2110" s="368"/>
      <c r="N2110" s="368"/>
      <c r="O2110" s="370"/>
      <c r="T2110" s="340"/>
      <c r="V2110" s="378"/>
      <c r="W2110" s="64" ph="1"/>
      <c r="X2110" s="241"/>
      <c r="Y2110" s="284"/>
      <c r="Z2110" s="207"/>
      <c r="AA2110" s="284"/>
      <c r="AB2110" s="284"/>
      <c r="AC2110" s="284"/>
      <c r="AD2110" s="284"/>
      <c r="AE2110" s="284"/>
      <c r="AF2110" s="284"/>
      <c r="AG2110" s="284"/>
    </row>
    <row r="2111" spans="1:33" ht="26.4">
      <c r="A2111" s="284"/>
      <c r="B2111" s="284"/>
      <c r="C2111" s="284"/>
      <c r="D2111" s="284"/>
      <c r="E2111" s="284"/>
      <c r="F2111" s="284"/>
      <c r="G2111" s="284"/>
      <c r="H2111" s="284"/>
      <c r="I2111" s="284"/>
      <c r="J2111" s="375"/>
      <c r="K2111" s="375"/>
      <c r="L2111" s="375"/>
      <c r="M2111" s="368"/>
      <c r="N2111" s="368"/>
      <c r="O2111" s="370"/>
      <c r="T2111" s="340"/>
      <c r="V2111" s="378"/>
      <c r="W2111" s="64" ph="1"/>
      <c r="X2111" s="241"/>
      <c r="Y2111" s="284"/>
      <c r="Z2111" s="207"/>
      <c r="AA2111" s="284"/>
      <c r="AB2111" s="284"/>
      <c r="AC2111" s="284"/>
      <c r="AD2111" s="284"/>
      <c r="AE2111" s="284"/>
      <c r="AF2111" s="284"/>
      <c r="AG2111" s="284"/>
    </row>
    <row r="2112" spans="1:33" ht="26.4">
      <c r="A2112" s="284"/>
      <c r="B2112" s="284"/>
      <c r="C2112" s="284"/>
      <c r="D2112" s="284"/>
      <c r="E2112" s="284"/>
      <c r="F2112" s="284"/>
      <c r="G2112" s="284"/>
      <c r="H2112" s="284"/>
      <c r="I2112" s="284"/>
      <c r="J2112" s="375"/>
      <c r="K2112" s="375"/>
      <c r="L2112" s="375"/>
      <c r="M2112" s="368"/>
      <c r="N2112" s="368"/>
      <c r="O2112" s="370"/>
      <c r="T2112" s="340"/>
      <c r="V2112" s="378"/>
      <c r="W2112" s="64" ph="1"/>
      <c r="X2112" s="241"/>
      <c r="Y2112" s="284"/>
      <c r="Z2112" s="207"/>
      <c r="AA2112" s="284"/>
      <c r="AB2112" s="284"/>
      <c r="AC2112" s="284"/>
      <c r="AD2112" s="284"/>
      <c r="AE2112" s="284"/>
      <c r="AF2112" s="284"/>
      <c r="AG2112" s="284"/>
    </row>
    <row r="2113" spans="1:33" ht="26.4">
      <c r="A2113" s="284"/>
      <c r="B2113" s="284"/>
      <c r="C2113" s="284"/>
      <c r="D2113" s="284"/>
      <c r="E2113" s="284"/>
      <c r="F2113" s="284"/>
      <c r="G2113" s="284"/>
      <c r="H2113" s="284"/>
      <c r="I2113" s="284"/>
      <c r="J2113" s="375"/>
      <c r="K2113" s="375"/>
      <c r="L2113" s="375"/>
      <c r="M2113" s="368"/>
      <c r="N2113" s="368"/>
      <c r="O2113" s="370"/>
      <c r="T2113" s="340"/>
      <c r="V2113" s="378"/>
      <c r="W2113" s="64" ph="1"/>
      <c r="X2113" s="241"/>
      <c r="Y2113" s="284"/>
      <c r="Z2113" s="207"/>
      <c r="AA2113" s="284"/>
      <c r="AB2113" s="284"/>
      <c r="AC2113" s="284"/>
      <c r="AD2113" s="284"/>
      <c r="AE2113" s="284"/>
      <c r="AF2113" s="284"/>
      <c r="AG2113" s="284"/>
    </row>
    <row r="2114" spans="1:33" ht="26.4">
      <c r="A2114" s="284"/>
      <c r="B2114" s="284"/>
      <c r="C2114" s="284"/>
      <c r="D2114" s="284"/>
      <c r="E2114" s="284"/>
      <c r="F2114" s="284"/>
      <c r="G2114" s="284"/>
      <c r="H2114" s="284"/>
      <c r="I2114" s="284"/>
      <c r="J2114" s="375"/>
      <c r="K2114" s="375"/>
      <c r="L2114" s="375"/>
      <c r="M2114" s="368"/>
      <c r="N2114" s="368"/>
      <c r="O2114" s="370"/>
      <c r="T2114" s="340"/>
      <c r="V2114" s="378"/>
      <c r="W2114" s="64" ph="1"/>
      <c r="X2114" s="241"/>
      <c r="Y2114" s="284"/>
      <c r="Z2114" s="207"/>
      <c r="AA2114" s="284"/>
      <c r="AB2114" s="284"/>
      <c r="AC2114" s="284"/>
      <c r="AD2114" s="284"/>
      <c r="AE2114" s="284"/>
      <c r="AF2114" s="284"/>
      <c r="AG2114" s="284"/>
    </row>
    <row r="2115" spans="1:33" ht="26.4">
      <c r="A2115" s="284"/>
      <c r="B2115" s="284"/>
      <c r="C2115" s="284"/>
      <c r="D2115" s="284"/>
      <c r="E2115" s="284"/>
      <c r="F2115" s="284"/>
      <c r="G2115" s="284"/>
      <c r="H2115" s="284"/>
      <c r="I2115" s="284"/>
      <c r="J2115" s="375"/>
      <c r="K2115" s="375"/>
      <c r="L2115" s="375"/>
      <c r="M2115" s="368"/>
      <c r="N2115" s="368"/>
      <c r="O2115" s="370"/>
      <c r="T2115" s="340"/>
      <c r="V2115" s="378"/>
      <c r="W2115" s="64" ph="1"/>
      <c r="X2115" s="241"/>
      <c r="Y2115" s="284"/>
      <c r="Z2115" s="207"/>
      <c r="AA2115" s="284"/>
      <c r="AB2115" s="284"/>
      <c r="AC2115" s="284"/>
      <c r="AD2115" s="284"/>
      <c r="AE2115" s="284"/>
      <c r="AF2115" s="284"/>
      <c r="AG2115" s="284"/>
    </row>
    <row r="2116" spans="1:33" ht="26.4">
      <c r="A2116" s="284"/>
      <c r="B2116" s="284"/>
      <c r="C2116" s="284"/>
      <c r="D2116" s="284"/>
      <c r="E2116" s="284"/>
      <c r="F2116" s="284"/>
      <c r="G2116" s="284"/>
      <c r="H2116" s="284"/>
      <c r="I2116" s="284"/>
      <c r="J2116" s="375"/>
      <c r="K2116" s="375"/>
      <c r="L2116" s="375"/>
      <c r="M2116" s="368"/>
      <c r="N2116" s="368"/>
      <c r="O2116" s="370"/>
      <c r="T2116" s="340"/>
      <c r="V2116" s="378"/>
      <c r="W2116" s="64" ph="1"/>
      <c r="X2116" s="241"/>
      <c r="Y2116" s="284"/>
      <c r="Z2116" s="207"/>
      <c r="AA2116" s="284"/>
      <c r="AB2116" s="284"/>
      <c r="AC2116" s="284"/>
      <c r="AD2116" s="284"/>
      <c r="AE2116" s="284"/>
      <c r="AF2116" s="284"/>
      <c r="AG2116" s="284"/>
    </row>
    <row r="2117" spans="1:33" ht="26.4">
      <c r="A2117" s="284"/>
      <c r="B2117" s="284"/>
      <c r="C2117" s="284"/>
      <c r="D2117" s="284"/>
      <c r="E2117" s="284"/>
      <c r="F2117" s="284"/>
      <c r="G2117" s="284"/>
      <c r="H2117" s="284"/>
      <c r="I2117" s="284"/>
      <c r="J2117" s="375"/>
      <c r="K2117" s="375"/>
      <c r="L2117" s="375"/>
      <c r="M2117" s="368"/>
      <c r="N2117" s="368"/>
      <c r="O2117" s="370"/>
      <c r="T2117" s="340"/>
      <c r="V2117" s="378"/>
      <c r="W2117" s="64" ph="1"/>
      <c r="X2117" s="241"/>
      <c r="Y2117" s="284"/>
      <c r="Z2117" s="207"/>
      <c r="AA2117" s="284"/>
      <c r="AB2117" s="284"/>
      <c r="AC2117" s="284"/>
      <c r="AD2117" s="284"/>
      <c r="AE2117" s="284"/>
      <c r="AF2117" s="284"/>
      <c r="AG2117" s="284"/>
    </row>
    <row r="2118" spans="1:33" ht="26.4">
      <c r="A2118" s="284"/>
      <c r="B2118" s="284"/>
      <c r="C2118" s="284"/>
      <c r="D2118" s="284"/>
      <c r="E2118" s="284"/>
      <c r="F2118" s="284"/>
      <c r="G2118" s="284"/>
      <c r="H2118" s="284"/>
      <c r="I2118" s="284"/>
      <c r="J2118" s="375"/>
      <c r="K2118" s="375"/>
      <c r="L2118" s="375"/>
      <c r="M2118" s="368"/>
      <c r="N2118" s="368"/>
      <c r="O2118" s="370"/>
      <c r="T2118" s="340"/>
      <c r="V2118" s="378"/>
      <c r="W2118" s="64" ph="1"/>
      <c r="X2118" s="241"/>
      <c r="Y2118" s="284"/>
      <c r="Z2118" s="207"/>
      <c r="AA2118" s="284"/>
      <c r="AB2118" s="284"/>
      <c r="AC2118" s="284"/>
      <c r="AD2118" s="284"/>
      <c r="AE2118" s="284"/>
      <c r="AF2118" s="284"/>
      <c r="AG2118" s="284"/>
    </row>
    <row r="2119" spans="1:33" ht="26.4">
      <c r="A2119" s="284"/>
      <c r="B2119" s="284"/>
      <c r="C2119" s="284"/>
      <c r="D2119" s="284"/>
      <c r="E2119" s="284"/>
      <c r="F2119" s="284"/>
      <c r="G2119" s="284"/>
      <c r="H2119" s="284"/>
      <c r="I2119" s="284"/>
      <c r="J2119" s="375"/>
      <c r="K2119" s="375"/>
      <c r="L2119" s="375"/>
      <c r="M2119" s="368"/>
      <c r="N2119" s="368"/>
      <c r="O2119" s="370"/>
      <c r="T2119" s="340"/>
      <c r="V2119" s="378"/>
      <c r="W2119" s="64" ph="1"/>
      <c r="X2119" s="241"/>
      <c r="Y2119" s="284"/>
      <c r="Z2119" s="207"/>
      <c r="AA2119" s="284"/>
      <c r="AB2119" s="284"/>
      <c r="AC2119" s="284"/>
      <c r="AD2119" s="284"/>
      <c r="AE2119" s="284"/>
      <c r="AF2119" s="284"/>
      <c r="AG2119" s="284"/>
    </row>
    <row r="2120" spans="1:33" ht="26.4">
      <c r="A2120" s="284"/>
      <c r="B2120" s="284"/>
      <c r="C2120" s="284"/>
      <c r="D2120" s="284"/>
      <c r="E2120" s="284"/>
      <c r="F2120" s="284"/>
      <c r="G2120" s="284"/>
      <c r="H2120" s="284"/>
      <c r="I2120" s="284"/>
      <c r="J2120" s="375"/>
      <c r="K2120" s="375"/>
      <c r="L2120" s="375"/>
      <c r="M2120" s="368"/>
      <c r="N2120" s="368"/>
      <c r="O2120" s="370"/>
      <c r="T2120" s="340"/>
      <c r="V2120" s="378"/>
      <c r="W2120" s="64" ph="1"/>
      <c r="X2120" s="241"/>
      <c r="Y2120" s="284"/>
      <c r="Z2120" s="207"/>
      <c r="AA2120" s="284"/>
      <c r="AB2120" s="284"/>
      <c r="AC2120" s="284"/>
      <c r="AD2120" s="284"/>
      <c r="AE2120" s="284"/>
      <c r="AF2120" s="284"/>
      <c r="AG2120" s="284"/>
    </row>
    <row r="2121" spans="1:33" ht="26.4">
      <c r="A2121" s="284"/>
      <c r="B2121" s="284"/>
      <c r="C2121" s="284"/>
      <c r="D2121" s="284"/>
      <c r="E2121" s="284"/>
      <c r="F2121" s="284"/>
      <c r="G2121" s="284"/>
      <c r="H2121" s="284"/>
      <c r="I2121" s="284"/>
      <c r="J2121" s="375"/>
      <c r="K2121" s="375"/>
      <c r="L2121" s="375"/>
      <c r="M2121" s="368"/>
      <c r="N2121" s="368"/>
      <c r="O2121" s="370"/>
      <c r="T2121" s="340"/>
      <c r="V2121" s="378"/>
      <c r="W2121" s="64" ph="1"/>
      <c r="X2121" s="241"/>
      <c r="Y2121" s="284"/>
      <c r="Z2121" s="207"/>
      <c r="AA2121" s="284"/>
      <c r="AB2121" s="284"/>
      <c r="AC2121" s="284"/>
      <c r="AD2121" s="284"/>
      <c r="AE2121" s="284"/>
      <c r="AF2121" s="284"/>
      <c r="AG2121" s="284"/>
    </row>
    <row r="2122" spans="1:33" ht="26.4">
      <c r="A2122" s="284"/>
      <c r="B2122" s="284"/>
      <c r="C2122" s="284"/>
      <c r="D2122" s="284"/>
      <c r="E2122" s="284"/>
      <c r="F2122" s="284"/>
      <c r="G2122" s="284"/>
      <c r="H2122" s="284"/>
      <c r="I2122" s="284"/>
      <c r="J2122" s="375"/>
      <c r="K2122" s="375"/>
      <c r="L2122" s="375"/>
      <c r="M2122" s="368"/>
      <c r="N2122" s="368"/>
      <c r="O2122" s="370"/>
      <c r="T2122" s="340"/>
      <c r="V2122" s="378"/>
      <c r="W2122" s="64" ph="1"/>
      <c r="X2122" s="241"/>
      <c r="Y2122" s="284"/>
      <c r="Z2122" s="207"/>
      <c r="AA2122" s="284"/>
      <c r="AB2122" s="284"/>
      <c r="AC2122" s="284"/>
      <c r="AD2122" s="284"/>
      <c r="AE2122" s="284"/>
      <c r="AF2122" s="284"/>
      <c r="AG2122" s="284"/>
    </row>
    <row r="2123" spans="1:33" ht="26.4">
      <c r="A2123" s="284"/>
      <c r="B2123" s="284"/>
      <c r="C2123" s="284"/>
      <c r="D2123" s="284"/>
      <c r="E2123" s="284"/>
      <c r="F2123" s="284"/>
      <c r="G2123" s="284"/>
      <c r="H2123" s="284"/>
      <c r="I2123" s="284"/>
      <c r="J2123" s="375"/>
      <c r="K2123" s="375"/>
      <c r="L2123" s="375"/>
      <c r="M2123" s="368"/>
      <c r="N2123" s="368"/>
      <c r="O2123" s="370"/>
      <c r="T2123" s="340"/>
      <c r="V2123" s="378"/>
      <c r="W2123" s="64" ph="1"/>
      <c r="X2123" s="241"/>
      <c r="Y2123" s="284"/>
      <c r="Z2123" s="207"/>
      <c r="AA2123" s="284"/>
      <c r="AB2123" s="284"/>
      <c r="AC2123" s="284"/>
      <c r="AD2123" s="284"/>
      <c r="AE2123" s="284"/>
      <c r="AF2123" s="284"/>
      <c r="AG2123" s="284"/>
    </row>
    <row r="2124" spans="1:33" ht="26.4">
      <c r="A2124" s="284"/>
      <c r="B2124" s="284"/>
      <c r="C2124" s="284"/>
      <c r="D2124" s="284"/>
      <c r="E2124" s="284"/>
      <c r="F2124" s="284"/>
      <c r="G2124" s="284"/>
      <c r="H2124" s="284"/>
      <c r="I2124" s="284"/>
      <c r="J2124" s="375"/>
      <c r="K2124" s="375"/>
      <c r="L2124" s="375"/>
      <c r="M2124" s="368"/>
      <c r="N2124" s="368"/>
      <c r="O2124" s="370"/>
      <c r="T2124" s="340"/>
      <c r="V2124" s="378"/>
      <c r="W2124" s="64" ph="1"/>
      <c r="X2124" s="241"/>
      <c r="Y2124" s="284"/>
      <c r="Z2124" s="207"/>
      <c r="AA2124" s="284"/>
      <c r="AB2124" s="284"/>
      <c r="AC2124" s="284"/>
      <c r="AD2124" s="284"/>
      <c r="AE2124" s="284"/>
      <c r="AF2124" s="284"/>
      <c r="AG2124" s="284"/>
    </row>
    <row r="2125" spans="1:33" ht="26.4">
      <c r="A2125" s="284"/>
      <c r="B2125" s="284"/>
      <c r="C2125" s="284"/>
      <c r="D2125" s="284"/>
      <c r="E2125" s="284"/>
      <c r="F2125" s="284"/>
      <c r="G2125" s="284"/>
      <c r="H2125" s="284"/>
      <c r="I2125" s="284"/>
      <c r="J2125" s="375"/>
      <c r="K2125" s="375"/>
      <c r="L2125" s="375"/>
      <c r="M2125" s="368"/>
      <c r="N2125" s="368"/>
      <c r="O2125" s="370"/>
      <c r="T2125" s="340"/>
      <c r="V2125" s="378"/>
      <c r="W2125" s="64" ph="1"/>
      <c r="X2125" s="241"/>
      <c r="Y2125" s="284"/>
      <c r="Z2125" s="207"/>
      <c r="AA2125" s="284"/>
      <c r="AB2125" s="284"/>
      <c r="AC2125" s="284"/>
      <c r="AD2125" s="284"/>
      <c r="AE2125" s="284"/>
      <c r="AF2125" s="284"/>
      <c r="AG2125" s="284"/>
    </row>
    <row r="2126" spans="1:33" ht="26.4">
      <c r="A2126" s="284"/>
      <c r="B2126" s="284"/>
      <c r="C2126" s="284"/>
      <c r="D2126" s="284"/>
      <c r="E2126" s="284"/>
      <c r="F2126" s="284"/>
      <c r="G2126" s="284"/>
      <c r="H2126" s="284"/>
      <c r="I2126" s="284"/>
      <c r="J2126" s="375"/>
      <c r="K2126" s="375"/>
      <c r="L2126" s="375"/>
      <c r="M2126" s="368"/>
      <c r="N2126" s="368"/>
      <c r="O2126" s="370"/>
      <c r="T2126" s="340"/>
      <c r="V2126" s="378"/>
      <c r="W2126" s="64" ph="1"/>
      <c r="X2126" s="241"/>
      <c r="Y2126" s="284"/>
      <c r="Z2126" s="207"/>
      <c r="AA2126" s="284"/>
      <c r="AB2126" s="284"/>
      <c r="AC2126" s="284"/>
      <c r="AD2126" s="284"/>
      <c r="AE2126" s="284"/>
      <c r="AF2126" s="284"/>
      <c r="AG2126" s="284"/>
    </row>
    <row r="2127" spans="1:33" ht="26.4">
      <c r="A2127" s="284"/>
      <c r="B2127" s="284"/>
      <c r="C2127" s="284"/>
      <c r="D2127" s="284"/>
      <c r="E2127" s="284"/>
      <c r="F2127" s="284"/>
      <c r="G2127" s="284"/>
      <c r="H2127" s="284"/>
      <c r="I2127" s="284"/>
      <c r="J2127" s="375"/>
      <c r="K2127" s="375"/>
      <c r="L2127" s="375"/>
      <c r="M2127" s="368"/>
      <c r="N2127" s="368"/>
      <c r="O2127" s="370"/>
      <c r="T2127" s="340"/>
      <c r="V2127" s="378"/>
      <c r="W2127" s="64" ph="1"/>
      <c r="X2127" s="241"/>
      <c r="Y2127" s="284"/>
      <c r="Z2127" s="207"/>
      <c r="AA2127" s="284"/>
      <c r="AB2127" s="284"/>
      <c r="AC2127" s="284"/>
      <c r="AD2127" s="284"/>
      <c r="AE2127" s="284"/>
      <c r="AF2127" s="284"/>
      <c r="AG2127" s="284"/>
    </row>
    <row r="2128" spans="1:33" ht="26.4">
      <c r="A2128" s="284"/>
      <c r="B2128" s="284"/>
      <c r="C2128" s="284"/>
      <c r="D2128" s="284"/>
      <c r="E2128" s="284"/>
      <c r="F2128" s="284"/>
      <c r="G2128" s="284"/>
      <c r="H2128" s="284"/>
      <c r="I2128" s="284"/>
      <c r="J2128" s="375"/>
      <c r="K2128" s="375"/>
      <c r="L2128" s="375"/>
      <c r="M2128" s="368"/>
      <c r="N2128" s="368"/>
      <c r="O2128" s="370"/>
      <c r="T2128" s="340"/>
      <c r="V2128" s="378"/>
      <c r="W2128" s="64" ph="1"/>
      <c r="X2128" s="241"/>
      <c r="Y2128" s="284"/>
      <c r="Z2128" s="207"/>
      <c r="AA2128" s="284"/>
      <c r="AB2128" s="284"/>
      <c r="AC2128" s="284"/>
      <c r="AD2128" s="284"/>
      <c r="AE2128" s="284"/>
      <c r="AF2128" s="284"/>
      <c r="AG2128" s="284"/>
    </row>
    <row r="2129" spans="1:33" ht="26.4">
      <c r="A2129" s="284"/>
      <c r="B2129" s="284"/>
      <c r="C2129" s="284"/>
      <c r="D2129" s="284"/>
      <c r="E2129" s="284"/>
      <c r="F2129" s="284"/>
      <c r="G2129" s="284"/>
      <c r="H2129" s="284"/>
      <c r="I2129" s="284"/>
      <c r="J2129" s="375"/>
      <c r="K2129" s="375"/>
      <c r="L2129" s="375"/>
      <c r="M2129" s="368"/>
      <c r="N2129" s="368"/>
      <c r="O2129" s="370"/>
      <c r="T2129" s="340"/>
      <c r="V2129" s="378"/>
      <c r="W2129" s="64" ph="1"/>
      <c r="X2129" s="241"/>
      <c r="Y2129" s="284"/>
      <c r="Z2129" s="207"/>
      <c r="AA2129" s="284"/>
      <c r="AB2129" s="284"/>
      <c r="AC2129" s="284"/>
      <c r="AD2129" s="284"/>
      <c r="AE2129" s="284"/>
      <c r="AF2129" s="284"/>
      <c r="AG2129" s="284"/>
    </row>
    <row r="2130" spans="1:33" ht="26.4">
      <c r="A2130" s="284"/>
      <c r="B2130" s="284"/>
      <c r="C2130" s="284"/>
      <c r="D2130" s="284"/>
      <c r="E2130" s="284"/>
      <c r="F2130" s="284"/>
      <c r="G2130" s="284"/>
      <c r="H2130" s="284"/>
      <c r="I2130" s="284"/>
      <c r="J2130" s="375"/>
      <c r="K2130" s="375"/>
      <c r="L2130" s="375"/>
      <c r="M2130" s="368"/>
      <c r="N2130" s="368"/>
      <c r="O2130" s="370"/>
      <c r="T2130" s="340"/>
      <c r="V2130" s="378"/>
      <c r="W2130" s="64" ph="1"/>
      <c r="X2130" s="241"/>
      <c r="Y2130" s="284"/>
      <c r="Z2130" s="207"/>
      <c r="AA2130" s="284"/>
      <c r="AB2130" s="284"/>
      <c r="AC2130" s="284"/>
      <c r="AD2130" s="284"/>
      <c r="AE2130" s="284"/>
      <c r="AF2130" s="284"/>
      <c r="AG2130" s="284"/>
    </row>
    <row r="2131" spans="1:33" ht="26.4">
      <c r="A2131" s="284"/>
      <c r="B2131" s="284"/>
      <c r="C2131" s="284"/>
      <c r="D2131" s="284"/>
      <c r="E2131" s="284"/>
      <c r="F2131" s="284"/>
      <c r="G2131" s="284"/>
      <c r="H2131" s="284"/>
      <c r="I2131" s="284"/>
      <c r="J2131" s="375"/>
      <c r="K2131" s="375"/>
      <c r="L2131" s="375"/>
      <c r="M2131" s="368"/>
      <c r="N2131" s="368"/>
      <c r="O2131" s="370"/>
      <c r="T2131" s="340"/>
      <c r="V2131" s="378"/>
      <c r="W2131" s="64" ph="1"/>
      <c r="X2131" s="241"/>
      <c r="Y2131" s="284"/>
      <c r="Z2131" s="207"/>
      <c r="AA2131" s="284"/>
      <c r="AB2131" s="284"/>
      <c r="AC2131" s="284"/>
      <c r="AD2131" s="284"/>
      <c r="AE2131" s="284"/>
      <c r="AF2131" s="284"/>
      <c r="AG2131" s="284"/>
    </row>
    <row r="2132" spans="1:33" ht="26.4">
      <c r="A2132" s="284"/>
      <c r="B2132" s="284"/>
      <c r="C2132" s="284"/>
      <c r="D2132" s="284"/>
      <c r="E2132" s="284"/>
      <c r="F2132" s="284"/>
      <c r="G2132" s="284"/>
      <c r="H2132" s="284"/>
      <c r="I2132" s="284"/>
      <c r="J2132" s="375"/>
      <c r="K2132" s="375"/>
      <c r="L2132" s="375"/>
      <c r="M2132" s="368"/>
      <c r="N2132" s="368"/>
      <c r="O2132" s="370"/>
      <c r="T2132" s="340"/>
      <c r="V2132" s="378"/>
      <c r="W2132" s="64" ph="1"/>
      <c r="X2132" s="241"/>
      <c r="Y2132" s="284"/>
      <c r="Z2132" s="207"/>
      <c r="AA2132" s="284"/>
      <c r="AB2132" s="284"/>
      <c r="AC2132" s="284"/>
      <c r="AD2132" s="284"/>
      <c r="AE2132" s="284"/>
      <c r="AF2132" s="284"/>
      <c r="AG2132" s="284"/>
    </row>
    <row r="2133" spans="1:33" ht="26.4">
      <c r="A2133" s="284"/>
      <c r="B2133" s="284"/>
      <c r="C2133" s="284"/>
      <c r="D2133" s="284"/>
      <c r="E2133" s="284"/>
      <c r="F2133" s="284"/>
      <c r="G2133" s="284"/>
      <c r="H2133" s="284"/>
      <c r="I2133" s="284"/>
      <c r="J2133" s="375"/>
      <c r="K2133" s="375"/>
      <c r="L2133" s="375"/>
      <c r="M2133" s="368"/>
      <c r="N2133" s="368"/>
      <c r="O2133" s="370"/>
      <c r="T2133" s="340"/>
      <c r="V2133" s="378"/>
      <c r="W2133" s="64" ph="1"/>
      <c r="X2133" s="241"/>
      <c r="Y2133" s="284"/>
      <c r="Z2133" s="207"/>
      <c r="AA2133" s="284"/>
      <c r="AB2133" s="284"/>
      <c r="AC2133" s="284"/>
      <c r="AD2133" s="284"/>
      <c r="AE2133" s="284"/>
      <c r="AF2133" s="284"/>
      <c r="AG2133" s="284"/>
    </row>
    <row r="2134" spans="1:33" ht="26.4">
      <c r="A2134" s="284"/>
      <c r="B2134" s="284"/>
      <c r="C2134" s="284"/>
      <c r="D2134" s="284"/>
      <c r="E2134" s="284"/>
      <c r="F2134" s="284"/>
      <c r="G2134" s="284"/>
      <c r="H2134" s="284"/>
      <c r="I2134" s="284"/>
      <c r="J2134" s="375"/>
      <c r="K2134" s="375"/>
      <c r="L2134" s="375"/>
      <c r="M2134" s="368"/>
      <c r="N2134" s="368"/>
      <c r="O2134" s="370"/>
      <c r="T2134" s="340"/>
      <c r="V2134" s="378"/>
      <c r="W2134" s="64" ph="1"/>
      <c r="X2134" s="241"/>
      <c r="Y2134" s="284"/>
      <c r="Z2134" s="207"/>
      <c r="AA2134" s="284"/>
      <c r="AB2134" s="284"/>
      <c r="AC2134" s="284"/>
      <c r="AD2134" s="284"/>
      <c r="AE2134" s="284"/>
      <c r="AF2134" s="284"/>
      <c r="AG2134" s="284"/>
    </row>
    <row r="2135" spans="1:33" ht="26.4">
      <c r="A2135" s="284"/>
      <c r="B2135" s="284"/>
      <c r="C2135" s="284"/>
      <c r="D2135" s="284"/>
      <c r="E2135" s="284"/>
      <c r="F2135" s="284"/>
      <c r="G2135" s="284"/>
      <c r="H2135" s="284"/>
      <c r="I2135" s="284"/>
      <c r="J2135" s="375"/>
      <c r="K2135" s="375"/>
      <c r="L2135" s="375"/>
      <c r="M2135" s="368"/>
      <c r="N2135" s="368"/>
      <c r="O2135" s="370"/>
      <c r="T2135" s="340"/>
      <c r="V2135" s="378"/>
      <c r="W2135" s="64" ph="1"/>
      <c r="X2135" s="241"/>
      <c r="Y2135" s="284"/>
      <c r="Z2135" s="207"/>
      <c r="AA2135" s="284"/>
      <c r="AB2135" s="284"/>
      <c r="AC2135" s="284"/>
      <c r="AD2135" s="284"/>
      <c r="AE2135" s="284"/>
      <c r="AF2135" s="284"/>
      <c r="AG2135" s="284"/>
    </row>
    <row r="2136" spans="1:33" ht="26.4">
      <c r="A2136" s="284"/>
      <c r="B2136" s="284"/>
      <c r="C2136" s="284"/>
      <c r="D2136" s="284"/>
      <c r="E2136" s="284"/>
      <c r="F2136" s="284"/>
      <c r="G2136" s="284"/>
      <c r="H2136" s="284"/>
      <c r="I2136" s="284"/>
      <c r="J2136" s="375"/>
      <c r="K2136" s="375"/>
      <c r="L2136" s="375"/>
      <c r="M2136" s="368"/>
      <c r="N2136" s="368"/>
      <c r="O2136" s="370"/>
      <c r="T2136" s="340"/>
      <c r="V2136" s="378"/>
      <c r="W2136" s="64" ph="1"/>
      <c r="X2136" s="241"/>
      <c r="Y2136" s="284"/>
      <c r="Z2136" s="207"/>
      <c r="AA2136" s="284"/>
      <c r="AB2136" s="284"/>
      <c r="AC2136" s="284"/>
      <c r="AD2136" s="284"/>
      <c r="AE2136" s="284"/>
      <c r="AF2136" s="284"/>
      <c r="AG2136" s="284"/>
    </row>
    <row r="2137" spans="1:33" ht="26.4">
      <c r="A2137" s="284"/>
      <c r="B2137" s="284"/>
      <c r="C2137" s="284"/>
      <c r="D2137" s="284"/>
      <c r="E2137" s="284"/>
      <c r="F2137" s="284"/>
      <c r="G2137" s="284"/>
      <c r="H2137" s="284"/>
      <c r="I2137" s="284"/>
      <c r="J2137" s="375"/>
      <c r="K2137" s="375"/>
      <c r="L2137" s="375"/>
      <c r="M2137" s="368"/>
      <c r="N2137" s="368"/>
      <c r="O2137" s="370"/>
      <c r="T2137" s="340"/>
      <c r="V2137" s="378"/>
      <c r="W2137" s="64" ph="1"/>
      <c r="X2137" s="241"/>
      <c r="Y2137" s="284"/>
      <c r="Z2137" s="207"/>
      <c r="AA2137" s="284"/>
      <c r="AB2137" s="284"/>
      <c r="AC2137" s="284"/>
      <c r="AD2137" s="284"/>
      <c r="AE2137" s="284"/>
      <c r="AF2137" s="284"/>
      <c r="AG2137" s="284"/>
    </row>
    <row r="2138" spans="1:33" ht="26.4">
      <c r="A2138" s="284"/>
      <c r="B2138" s="284"/>
      <c r="C2138" s="284"/>
      <c r="D2138" s="284"/>
      <c r="E2138" s="284"/>
      <c r="F2138" s="284"/>
      <c r="G2138" s="284"/>
      <c r="H2138" s="284"/>
      <c r="I2138" s="284"/>
      <c r="J2138" s="375"/>
      <c r="K2138" s="375"/>
      <c r="L2138" s="375"/>
      <c r="M2138" s="368"/>
      <c r="N2138" s="368"/>
      <c r="O2138" s="370"/>
      <c r="T2138" s="340"/>
      <c r="V2138" s="378"/>
      <c r="W2138" s="64" ph="1"/>
      <c r="X2138" s="241"/>
      <c r="Y2138" s="284"/>
      <c r="Z2138" s="207"/>
      <c r="AA2138" s="284"/>
      <c r="AB2138" s="284"/>
      <c r="AC2138" s="284"/>
      <c r="AD2138" s="284"/>
      <c r="AE2138" s="284"/>
      <c r="AF2138" s="284"/>
      <c r="AG2138" s="284"/>
    </row>
    <row r="2139" spans="1:33" ht="26.4">
      <c r="A2139" s="284"/>
      <c r="B2139" s="284"/>
      <c r="C2139" s="284"/>
      <c r="D2139" s="284"/>
      <c r="E2139" s="284"/>
      <c r="F2139" s="284"/>
      <c r="G2139" s="284"/>
      <c r="H2139" s="284"/>
      <c r="I2139" s="284"/>
      <c r="J2139" s="375"/>
      <c r="K2139" s="375"/>
      <c r="L2139" s="375"/>
      <c r="M2139" s="368"/>
      <c r="N2139" s="368"/>
      <c r="O2139" s="370"/>
      <c r="T2139" s="340"/>
      <c r="V2139" s="378"/>
      <c r="W2139" s="64" ph="1"/>
      <c r="X2139" s="241"/>
      <c r="Y2139" s="284"/>
      <c r="Z2139" s="207"/>
      <c r="AA2139" s="284"/>
      <c r="AB2139" s="284"/>
      <c r="AC2139" s="284"/>
      <c r="AD2139" s="284"/>
      <c r="AE2139" s="284"/>
      <c r="AF2139" s="284"/>
      <c r="AG2139" s="284"/>
    </row>
    <row r="2140" spans="1:33" ht="26.4">
      <c r="A2140" s="284"/>
      <c r="B2140" s="284"/>
      <c r="C2140" s="284"/>
      <c r="D2140" s="284"/>
      <c r="E2140" s="284"/>
      <c r="F2140" s="284"/>
      <c r="G2140" s="284"/>
      <c r="H2140" s="284"/>
      <c r="I2140" s="284"/>
      <c r="J2140" s="375"/>
      <c r="K2140" s="375"/>
      <c r="L2140" s="375"/>
      <c r="M2140" s="368"/>
      <c r="N2140" s="368"/>
      <c r="O2140" s="370"/>
      <c r="T2140" s="340"/>
      <c r="V2140" s="378"/>
      <c r="W2140" s="64" ph="1"/>
      <c r="X2140" s="241"/>
      <c r="Y2140" s="284"/>
      <c r="Z2140" s="207"/>
      <c r="AA2140" s="284"/>
      <c r="AB2140" s="284"/>
      <c r="AC2140" s="284"/>
      <c r="AD2140" s="284"/>
      <c r="AE2140" s="284"/>
      <c r="AF2140" s="284"/>
      <c r="AG2140" s="284"/>
    </row>
    <row r="2141" spans="1:33" ht="26.4">
      <c r="A2141" s="284"/>
      <c r="B2141" s="284"/>
      <c r="C2141" s="284"/>
      <c r="D2141" s="284"/>
      <c r="E2141" s="284"/>
      <c r="F2141" s="284"/>
      <c r="G2141" s="284"/>
      <c r="H2141" s="284"/>
      <c r="I2141" s="284"/>
      <c r="J2141" s="375"/>
      <c r="K2141" s="375"/>
      <c r="L2141" s="375"/>
      <c r="M2141" s="368"/>
      <c r="N2141" s="368"/>
      <c r="O2141" s="370"/>
      <c r="T2141" s="340"/>
      <c r="V2141" s="378"/>
      <c r="W2141" s="64" ph="1"/>
      <c r="X2141" s="241"/>
      <c r="Y2141" s="284"/>
      <c r="Z2141" s="207"/>
      <c r="AA2141" s="284"/>
      <c r="AB2141" s="284"/>
      <c r="AC2141" s="284"/>
      <c r="AD2141" s="284"/>
      <c r="AE2141" s="284"/>
      <c r="AF2141" s="284"/>
      <c r="AG2141" s="284"/>
    </row>
    <row r="2142" spans="1:33" ht="26.4">
      <c r="A2142" s="284"/>
      <c r="B2142" s="284"/>
      <c r="C2142" s="284"/>
      <c r="D2142" s="284"/>
      <c r="E2142" s="284"/>
      <c r="F2142" s="284"/>
      <c r="G2142" s="284"/>
      <c r="H2142" s="284"/>
      <c r="I2142" s="284"/>
      <c r="J2142" s="375"/>
      <c r="K2142" s="375"/>
      <c r="L2142" s="375"/>
      <c r="M2142" s="368"/>
      <c r="N2142" s="368"/>
      <c r="O2142" s="370"/>
      <c r="T2142" s="340"/>
      <c r="V2142" s="378"/>
      <c r="W2142" s="64" ph="1"/>
      <c r="X2142" s="241"/>
      <c r="Y2142" s="284"/>
      <c r="Z2142" s="207"/>
      <c r="AA2142" s="284"/>
      <c r="AB2142" s="284"/>
      <c r="AC2142" s="284"/>
      <c r="AD2142" s="284"/>
      <c r="AE2142" s="284"/>
      <c r="AF2142" s="284"/>
      <c r="AG2142" s="284"/>
    </row>
    <row r="2143" spans="1:33" ht="26.4">
      <c r="A2143" s="284"/>
      <c r="B2143" s="284"/>
      <c r="C2143" s="284"/>
      <c r="D2143" s="284"/>
      <c r="E2143" s="284"/>
      <c r="F2143" s="284"/>
      <c r="G2143" s="284"/>
      <c r="H2143" s="284"/>
      <c r="I2143" s="284"/>
      <c r="J2143" s="375"/>
      <c r="K2143" s="375"/>
      <c r="L2143" s="375"/>
      <c r="M2143" s="368"/>
      <c r="N2143" s="368"/>
      <c r="O2143" s="370"/>
      <c r="T2143" s="340"/>
      <c r="V2143" s="378"/>
      <c r="W2143" s="64" ph="1"/>
      <c r="X2143" s="241"/>
      <c r="Y2143" s="284"/>
      <c r="Z2143" s="207"/>
      <c r="AA2143" s="284"/>
      <c r="AB2143" s="284"/>
      <c r="AC2143" s="284"/>
      <c r="AD2143" s="284"/>
      <c r="AE2143" s="284"/>
      <c r="AF2143" s="284"/>
      <c r="AG2143" s="284"/>
    </row>
    <row r="2144" spans="1:33" ht="26.4">
      <c r="A2144" s="284"/>
      <c r="B2144" s="284"/>
      <c r="C2144" s="284"/>
      <c r="D2144" s="284"/>
      <c r="E2144" s="284"/>
      <c r="F2144" s="284"/>
      <c r="G2144" s="284"/>
      <c r="H2144" s="284"/>
      <c r="I2144" s="284"/>
      <c r="J2144" s="375"/>
      <c r="K2144" s="375"/>
      <c r="L2144" s="375"/>
      <c r="M2144" s="368"/>
      <c r="N2144" s="368"/>
      <c r="O2144" s="370"/>
      <c r="T2144" s="340"/>
      <c r="V2144" s="378"/>
      <c r="W2144" s="64" ph="1"/>
      <c r="X2144" s="241"/>
      <c r="Y2144" s="284"/>
      <c r="Z2144" s="207"/>
      <c r="AA2144" s="284"/>
      <c r="AB2144" s="284"/>
      <c r="AC2144" s="284"/>
      <c r="AD2144" s="284"/>
      <c r="AE2144" s="284"/>
      <c r="AF2144" s="284"/>
      <c r="AG2144" s="284"/>
    </row>
    <row r="2145" spans="1:33" ht="26.4">
      <c r="A2145" s="284"/>
      <c r="B2145" s="284"/>
      <c r="C2145" s="284"/>
      <c r="D2145" s="284"/>
      <c r="E2145" s="284"/>
      <c r="F2145" s="284"/>
      <c r="G2145" s="284"/>
      <c r="H2145" s="284"/>
      <c r="I2145" s="284"/>
      <c r="J2145" s="375"/>
      <c r="K2145" s="375"/>
      <c r="L2145" s="375"/>
      <c r="M2145" s="368"/>
      <c r="N2145" s="368"/>
      <c r="O2145" s="370"/>
      <c r="T2145" s="340"/>
      <c r="V2145" s="378"/>
      <c r="W2145" s="64" ph="1"/>
      <c r="X2145" s="241"/>
      <c r="Y2145" s="284"/>
      <c r="Z2145" s="207"/>
      <c r="AA2145" s="284"/>
      <c r="AB2145" s="284"/>
      <c r="AC2145" s="284"/>
      <c r="AD2145" s="284"/>
      <c r="AE2145" s="284"/>
      <c r="AF2145" s="284"/>
      <c r="AG2145" s="284"/>
    </row>
    <row r="2146" spans="1:33" ht="26.4">
      <c r="A2146" s="284"/>
      <c r="B2146" s="284"/>
      <c r="C2146" s="284"/>
      <c r="D2146" s="284"/>
      <c r="E2146" s="284"/>
      <c r="F2146" s="284"/>
      <c r="G2146" s="284"/>
      <c r="H2146" s="284"/>
      <c r="I2146" s="284"/>
      <c r="J2146" s="375"/>
      <c r="K2146" s="375"/>
      <c r="L2146" s="375"/>
      <c r="M2146" s="368"/>
      <c r="N2146" s="368"/>
      <c r="O2146" s="370"/>
      <c r="T2146" s="340"/>
      <c r="V2146" s="378"/>
      <c r="W2146" s="64" ph="1"/>
      <c r="X2146" s="241"/>
      <c r="Y2146" s="284"/>
      <c r="Z2146" s="207"/>
      <c r="AA2146" s="284"/>
      <c r="AB2146" s="284"/>
      <c r="AC2146" s="284"/>
      <c r="AD2146" s="284"/>
      <c r="AE2146" s="284"/>
      <c r="AF2146" s="284"/>
      <c r="AG2146" s="284"/>
    </row>
    <row r="2147" spans="1:33" ht="26.4">
      <c r="A2147" s="284"/>
      <c r="B2147" s="284"/>
      <c r="C2147" s="284"/>
      <c r="D2147" s="284"/>
      <c r="E2147" s="284"/>
      <c r="F2147" s="284"/>
      <c r="G2147" s="284"/>
      <c r="H2147" s="284"/>
      <c r="I2147" s="284"/>
      <c r="J2147" s="375"/>
      <c r="K2147" s="375"/>
      <c r="L2147" s="375"/>
      <c r="M2147" s="368"/>
      <c r="N2147" s="368"/>
      <c r="O2147" s="370"/>
      <c r="T2147" s="340"/>
      <c r="V2147" s="378"/>
      <c r="W2147" s="64" ph="1"/>
      <c r="X2147" s="241"/>
      <c r="Y2147" s="284"/>
      <c r="Z2147" s="207"/>
      <c r="AA2147" s="284"/>
      <c r="AB2147" s="284"/>
      <c r="AC2147" s="284"/>
      <c r="AD2147" s="284"/>
      <c r="AE2147" s="284"/>
      <c r="AF2147" s="284"/>
      <c r="AG2147" s="284"/>
    </row>
    <row r="2148" spans="1:33" ht="26.4">
      <c r="A2148" s="284"/>
      <c r="B2148" s="284"/>
      <c r="C2148" s="284"/>
      <c r="D2148" s="284"/>
      <c r="E2148" s="284"/>
      <c r="F2148" s="284"/>
      <c r="G2148" s="284"/>
      <c r="H2148" s="284"/>
      <c r="I2148" s="284"/>
      <c r="J2148" s="375"/>
      <c r="K2148" s="375"/>
      <c r="L2148" s="375"/>
      <c r="M2148" s="368"/>
      <c r="N2148" s="368"/>
      <c r="O2148" s="370"/>
      <c r="T2148" s="340"/>
      <c r="V2148" s="378"/>
      <c r="W2148" s="64" ph="1"/>
      <c r="X2148" s="241"/>
      <c r="Y2148" s="284"/>
      <c r="Z2148" s="207"/>
      <c r="AA2148" s="284"/>
      <c r="AB2148" s="284"/>
      <c r="AC2148" s="284"/>
      <c r="AD2148" s="284"/>
      <c r="AE2148" s="284"/>
      <c r="AF2148" s="284"/>
      <c r="AG2148" s="284"/>
    </row>
    <row r="2149" spans="1:33" ht="26.4">
      <c r="A2149" s="284"/>
      <c r="B2149" s="284"/>
      <c r="C2149" s="284"/>
      <c r="D2149" s="284"/>
      <c r="E2149" s="284"/>
      <c r="F2149" s="284"/>
      <c r="G2149" s="284"/>
      <c r="H2149" s="284"/>
      <c r="I2149" s="284"/>
      <c r="J2149" s="375"/>
      <c r="K2149" s="375"/>
      <c r="L2149" s="375"/>
      <c r="M2149" s="368"/>
      <c r="N2149" s="368"/>
      <c r="O2149" s="370"/>
      <c r="T2149" s="340"/>
      <c r="V2149" s="378"/>
      <c r="W2149" s="64" ph="1"/>
      <c r="X2149" s="241"/>
      <c r="Y2149" s="284"/>
      <c r="Z2149" s="207"/>
      <c r="AA2149" s="284"/>
      <c r="AB2149" s="284"/>
      <c r="AC2149" s="284"/>
      <c r="AD2149" s="284"/>
      <c r="AE2149" s="284"/>
      <c r="AF2149" s="284"/>
      <c r="AG2149" s="284"/>
    </row>
    <row r="2150" spans="1:33" ht="26.4">
      <c r="A2150" s="284"/>
      <c r="B2150" s="284"/>
      <c r="C2150" s="284"/>
      <c r="D2150" s="284"/>
      <c r="E2150" s="284"/>
      <c r="F2150" s="284"/>
      <c r="G2150" s="284"/>
      <c r="H2150" s="284"/>
      <c r="I2150" s="284"/>
      <c r="J2150" s="375"/>
      <c r="K2150" s="375"/>
      <c r="L2150" s="375"/>
      <c r="M2150" s="368"/>
      <c r="N2150" s="368"/>
      <c r="O2150" s="370"/>
      <c r="T2150" s="340"/>
      <c r="V2150" s="378"/>
      <c r="W2150" s="64" ph="1"/>
      <c r="X2150" s="241"/>
      <c r="Y2150" s="284"/>
      <c r="Z2150" s="207"/>
      <c r="AA2150" s="284"/>
      <c r="AB2150" s="284"/>
      <c r="AC2150" s="284"/>
      <c r="AD2150" s="284"/>
      <c r="AE2150" s="284"/>
      <c r="AF2150" s="284"/>
      <c r="AG2150" s="284"/>
    </row>
    <row r="2151" spans="1:33" ht="26.4">
      <c r="A2151" s="284"/>
      <c r="B2151" s="284"/>
      <c r="C2151" s="284"/>
      <c r="D2151" s="284"/>
      <c r="E2151" s="284"/>
      <c r="F2151" s="284"/>
      <c r="G2151" s="284"/>
      <c r="H2151" s="284"/>
      <c r="I2151" s="284"/>
      <c r="J2151" s="375"/>
      <c r="K2151" s="375"/>
      <c r="L2151" s="375"/>
      <c r="M2151" s="368"/>
      <c r="N2151" s="368"/>
      <c r="O2151" s="370"/>
      <c r="T2151" s="340"/>
      <c r="V2151" s="378"/>
      <c r="W2151" s="64" ph="1"/>
      <c r="X2151" s="241"/>
      <c r="Y2151" s="284"/>
      <c r="Z2151" s="207"/>
      <c r="AA2151" s="284"/>
      <c r="AB2151" s="284"/>
      <c r="AC2151" s="284"/>
      <c r="AD2151" s="284"/>
      <c r="AE2151" s="284"/>
      <c r="AF2151" s="284"/>
      <c r="AG2151" s="284"/>
    </row>
    <row r="2152" spans="1:33" ht="26.4">
      <c r="A2152" s="284"/>
      <c r="B2152" s="284"/>
      <c r="C2152" s="284"/>
      <c r="D2152" s="284"/>
      <c r="E2152" s="284"/>
      <c r="F2152" s="284"/>
      <c r="G2152" s="284"/>
      <c r="H2152" s="284"/>
      <c r="I2152" s="284"/>
      <c r="J2152" s="375"/>
      <c r="K2152" s="375"/>
      <c r="L2152" s="375"/>
      <c r="M2152" s="368"/>
      <c r="N2152" s="368"/>
      <c r="O2152" s="370"/>
      <c r="T2152" s="340"/>
      <c r="V2152" s="378"/>
      <c r="W2152" s="64" ph="1"/>
      <c r="X2152" s="241"/>
      <c r="Y2152" s="284"/>
      <c r="Z2152" s="207"/>
      <c r="AA2152" s="284"/>
      <c r="AB2152" s="284"/>
      <c r="AC2152" s="284"/>
      <c r="AD2152" s="284"/>
      <c r="AE2152" s="284"/>
      <c r="AF2152" s="284"/>
      <c r="AG2152" s="284"/>
    </row>
    <row r="2153" spans="1:33" ht="26.4">
      <c r="A2153" s="284"/>
      <c r="B2153" s="284"/>
      <c r="C2153" s="284"/>
      <c r="D2153" s="284"/>
      <c r="E2153" s="284"/>
      <c r="F2153" s="284"/>
      <c r="G2153" s="284"/>
      <c r="H2153" s="284"/>
      <c r="I2153" s="284"/>
      <c r="J2153" s="375"/>
      <c r="K2153" s="375"/>
      <c r="L2153" s="375"/>
      <c r="M2153" s="368"/>
      <c r="N2153" s="368"/>
      <c r="O2153" s="370"/>
      <c r="T2153" s="340"/>
      <c r="V2153" s="378"/>
      <c r="W2153" s="64" ph="1"/>
      <c r="X2153" s="241"/>
      <c r="Y2153" s="284"/>
      <c r="Z2153" s="207"/>
      <c r="AA2153" s="284"/>
      <c r="AB2153" s="284"/>
      <c r="AC2153" s="284"/>
      <c r="AD2153" s="284"/>
      <c r="AE2153" s="284"/>
      <c r="AF2153" s="284"/>
      <c r="AG2153" s="284"/>
    </row>
    <row r="2154" spans="1:33" ht="26.4">
      <c r="A2154" s="284"/>
      <c r="B2154" s="284"/>
      <c r="C2154" s="284"/>
      <c r="D2154" s="284"/>
      <c r="E2154" s="284"/>
      <c r="F2154" s="284"/>
      <c r="G2154" s="284"/>
      <c r="H2154" s="284"/>
      <c r="I2154" s="284"/>
      <c r="J2154" s="375"/>
      <c r="K2154" s="375"/>
      <c r="L2154" s="375"/>
      <c r="M2154" s="368"/>
      <c r="N2154" s="368"/>
      <c r="O2154" s="370"/>
      <c r="T2154" s="340"/>
      <c r="V2154" s="378"/>
      <c r="W2154" s="64" ph="1"/>
      <c r="X2154" s="241"/>
      <c r="Y2154" s="284"/>
      <c r="Z2154" s="207"/>
      <c r="AA2154" s="284"/>
      <c r="AB2154" s="284"/>
      <c r="AC2154" s="284"/>
      <c r="AD2154" s="284"/>
      <c r="AE2154" s="284"/>
      <c r="AF2154" s="284"/>
      <c r="AG2154" s="284"/>
    </row>
    <row r="2155" spans="1:33" ht="26.4">
      <c r="A2155" s="284"/>
      <c r="B2155" s="284"/>
      <c r="C2155" s="284"/>
      <c r="D2155" s="284"/>
      <c r="E2155" s="284"/>
      <c r="F2155" s="284"/>
      <c r="G2155" s="284"/>
      <c r="H2155" s="284"/>
      <c r="I2155" s="284"/>
      <c r="J2155" s="375"/>
      <c r="K2155" s="375"/>
      <c r="L2155" s="375"/>
      <c r="M2155" s="368"/>
      <c r="N2155" s="368"/>
      <c r="O2155" s="370"/>
      <c r="T2155" s="340"/>
      <c r="V2155" s="378"/>
      <c r="W2155" s="64" ph="1"/>
      <c r="X2155" s="241"/>
      <c r="Y2155" s="284"/>
      <c r="Z2155" s="207"/>
      <c r="AA2155" s="284"/>
      <c r="AB2155" s="284"/>
      <c r="AC2155" s="284"/>
      <c r="AD2155" s="284"/>
      <c r="AE2155" s="284"/>
      <c r="AF2155" s="284"/>
      <c r="AG2155" s="284"/>
    </row>
    <row r="2156" spans="1:33" ht="26.4">
      <c r="A2156" s="284"/>
      <c r="B2156" s="284"/>
      <c r="C2156" s="284"/>
      <c r="D2156" s="284"/>
      <c r="E2156" s="284"/>
      <c r="F2156" s="284"/>
      <c r="G2156" s="284"/>
      <c r="H2156" s="284"/>
      <c r="I2156" s="284"/>
      <c r="J2156" s="375"/>
      <c r="K2156" s="375"/>
      <c r="L2156" s="375"/>
      <c r="M2156" s="368"/>
      <c r="N2156" s="368"/>
      <c r="O2156" s="370"/>
      <c r="T2156" s="340"/>
      <c r="V2156" s="378"/>
      <c r="W2156" s="64" ph="1"/>
      <c r="X2156" s="241"/>
      <c r="Y2156" s="284"/>
      <c r="Z2156" s="207"/>
      <c r="AA2156" s="284"/>
      <c r="AB2156" s="284"/>
      <c r="AC2156" s="284"/>
      <c r="AD2156" s="284"/>
      <c r="AE2156" s="284"/>
      <c r="AF2156" s="284"/>
      <c r="AG2156" s="284"/>
    </row>
    <row r="2157" spans="1:33" ht="26.4">
      <c r="A2157" s="284"/>
      <c r="B2157" s="284"/>
      <c r="C2157" s="284"/>
      <c r="D2157" s="284"/>
      <c r="E2157" s="284"/>
      <c r="F2157" s="284"/>
      <c r="G2157" s="284"/>
      <c r="H2157" s="284"/>
      <c r="I2157" s="284"/>
      <c r="J2157" s="375"/>
      <c r="K2157" s="375"/>
      <c r="L2157" s="375"/>
      <c r="M2157" s="368"/>
      <c r="N2157" s="368"/>
      <c r="O2157" s="370"/>
      <c r="T2157" s="340"/>
      <c r="V2157" s="378"/>
      <c r="W2157" s="64" ph="1"/>
      <c r="X2157" s="241"/>
      <c r="Y2157" s="284"/>
      <c r="Z2157" s="207"/>
      <c r="AA2157" s="284"/>
      <c r="AB2157" s="284"/>
      <c r="AC2157" s="284"/>
      <c r="AD2157" s="284"/>
      <c r="AE2157" s="284"/>
      <c r="AF2157" s="284"/>
      <c r="AG2157" s="284"/>
    </row>
    <row r="2158" spans="1:33" ht="26.4">
      <c r="A2158" s="284"/>
      <c r="B2158" s="284"/>
      <c r="C2158" s="284"/>
      <c r="D2158" s="284"/>
      <c r="E2158" s="284"/>
      <c r="F2158" s="284"/>
      <c r="G2158" s="284"/>
      <c r="H2158" s="284"/>
      <c r="I2158" s="284"/>
      <c r="J2158" s="375"/>
      <c r="K2158" s="375"/>
      <c r="L2158" s="375"/>
      <c r="M2158" s="368"/>
      <c r="N2158" s="368"/>
      <c r="O2158" s="370"/>
      <c r="T2158" s="340"/>
      <c r="V2158" s="378"/>
      <c r="W2158" s="64" ph="1"/>
      <c r="X2158" s="241"/>
      <c r="Y2158" s="284"/>
      <c r="Z2158" s="207"/>
      <c r="AA2158" s="284"/>
      <c r="AB2158" s="284"/>
      <c r="AC2158" s="284"/>
      <c r="AD2158" s="284"/>
      <c r="AE2158" s="284"/>
      <c r="AF2158" s="284"/>
      <c r="AG2158" s="284"/>
    </row>
    <row r="2159" spans="1:33" ht="26.4">
      <c r="A2159" s="284"/>
      <c r="B2159" s="284"/>
      <c r="C2159" s="284"/>
      <c r="D2159" s="284"/>
      <c r="E2159" s="284"/>
      <c r="F2159" s="284"/>
      <c r="G2159" s="284"/>
      <c r="H2159" s="284"/>
      <c r="I2159" s="284"/>
      <c r="J2159" s="375"/>
      <c r="K2159" s="375"/>
      <c r="L2159" s="375"/>
      <c r="M2159" s="368"/>
      <c r="N2159" s="368"/>
      <c r="O2159" s="370"/>
      <c r="T2159" s="340"/>
      <c r="V2159" s="378"/>
      <c r="W2159" s="64" ph="1"/>
      <c r="X2159" s="241"/>
      <c r="Y2159" s="284"/>
      <c r="Z2159" s="207"/>
      <c r="AA2159" s="284"/>
      <c r="AB2159" s="284"/>
      <c r="AC2159" s="284"/>
      <c r="AD2159" s="284"/>
      <c r="AE2159" s="284"/>
      <c r="AF2159" s="284"/>
      <c r="AG2159" s="284"/>
    </row>
    <row r="2160" spans="1:33" ht="26.4">
      <c r="A2160" s="284"/>
      <c r="B2160" s="284"/>
      <c r="C2160" s="284"/>
      <c r="D2160" s="284"/>
      <c r="E2160" s="284"/>
      <c r="F2160" s="284"/>
      <c r="G2160" s="284"/>
      <c r="H2160" s="284"/>
      <c r="I2160" s="284"/>
      <c r="J2160" s="375"/>
      <c r="K2160" s="375"/>
      <c r="L2160" s="375"/>
      <c r="M2160" s="368"/>
      <c r="N2160" s="368"/>
      <c r="O2160" s="370"/>
      <c r="T2160" s="340"/>
      <c r="V2160" s="378"/>
      <c r="W2160" s="64" ph="1"/>
      <c r="X2160" s="241"/>
      <c r="Y2160" s="284"/>
      <c r="Z2160" s="207"/>
      <c r="AA2160" s="284"/>
      <c r="AB2160" s="284"/>
      <c r="AC2160" s="284"/>
      <c r="AD2160" s="284"/>
      <c r="AE2160" s="284"/>
      <c r="AF2160" s="284"/>
      <c r="AG2160" s="284"/>
    </row>
    <row r="2161" spans="1:33" ht="26.4">
      <c r="A2161" s="284"/>
      <c r="B2161" s="284"/>
      <c r="C2161" s="284"/>
      <c r="D2161" s="284"/>
      <c r="E2161" s="284"/>
      <c r="F2161" s="284"/>
      <c r="G2161" s="284"/>
      <c r="H2161" s="284"/>
      <c r="I2161" s="284"/>
      <c r="J2161" s="375"/>
      <c r="K2161" s="375"/>
      <c r="L2161" s="375"/>
      <c r="M2161" s="368"/>
      <c r="N2161" s="368"/>
      <c r="O2161" s="370"/>
      <c r="T2161" s="340"/>
      <c r="V2161" s="378"/>
      <c r="W2161" s="64" ph="1"/>
      <c r="X2161" s="241"/>
      <c r="Y2161" s="284"/>
      <c r="Z2161" s="207"/>
      <c r="AA2161" s="284"/>
      <c r="AB2161" s="284"/>
      <c r="AC2161" s="284"/>
      <c r="AD2161" s="284"/>
      <c r="AE2161" s="284"/>
      <c r="AF2161" s="284"/>
      <c r="AG2161" s="284"/>
    </row>
    <row r="2162" spans="1:33" ht="26.4">
      <c r="A2162" s="284"/>
      <c r="B2162" s="284"/>
      <c r="C2162" s="284"/>
      <c r="D2162" s="284"/>
      <c r="E2162" s="284"/>
      <c r="F2162" s="284"/>
      <c r="G2162" s="284"/>
      <c r="H2162" s="284"/>
      <c r="I2162" s="284"/>
      <c r="J2162" s="375"/>
      <c r="K2162" s="375"/>
      <c r="L2162" s="375"/>
      <c r="M2162" s="368"/>
      <c r="N2162" s="368"/>
      <c r="O2162" s="370"/>
      <c r="T2162" s="340"/>
      <c r="V2162" s="378"/>
      <c r="W2162" s="64" ph="1"/>
      <c r="X2162" s="241"/>
      <c r="Y2162" s="284"/>
      <c r="Z2162" s="207"/>
      <c r="AA2162" s="284"/>
      <c r="AB2162" s="284"/>
      <c r="AC2162" s="284"/>
      <c r="AD2162" s="284"/>
      <c r="AE2162" s="284"/>
      <c r="AF2162" s="284"/>
      <c r="AG2162" s="284"/>
    </row>
    <row r="2163" spans="1:33" ht="26.4">
      <c r="A2163" s="284"/>
      <c r="B2163" s="284"/>
      <c r="C2163" s="284"/>
      <c r="D2163" s="284"/>
      <c r="E2163" s="284"/>
      <c r="F2163" s="284"/>
      <c r="G2163" s="284"/>
      <c r="H2163" s="284"/>
      <c r="I2163" s="284"/>
      <c r="J2163" s="375"/>
      <c r="K2163" s="375"/>
      <c r="L2163" s="375"/>
      <c r="M2163" s="368"/>
      <c r="N2163" s="368"/>
      <c r="O2163" s="370"/>
      <c r="T2163" s="340"/>
      <c r="V2163" s="378"/>
      <c r="W2163" s="64" ph="1"/>
      <c r="X2163" s="241"/>
      <c r="Y2163" s="284"/>
      <c r="Z2163" s="207"/>
      <c r="AA2163" s="284"/>
      <c r="AB2163" s="284"/>
      <c r="AC2163" s="284"/>
      <c r="AD2163" s="284"/>
      <c r="AE2163" s="284"/>
      <c r="AF2163" s="284"/>
      <c r="AG2163" s="284"/>
    </row>
    <row r="2164" spans="1:33" ht="26.4">
      <c r="A2164" s="284"/>
      <c r="B2164" s="284"/>
      <c r="C2164" s="284"/>
      <c r="D2164" s="284"/>
      <c r="E2164" s="284"/>
      <c r="F2164" s="284"/>
      <c r="G2164" s="284"/>
      <c r="H2164" s="284"/>
      <c r="I2164" s="284"/>
      <c r="J2164" s="375"/>
      <c r="K2164" s="375"/>
      <c r="L2164" s="375"/>
      <c r="M2164" s="368"/>
      <c r="N2164" s="368"/>
      <c r="O2164" s="370"/>
      <c r="T2164" s="340"/>
      <c r="V2164" s="378"/>
      <c r="W2164" s="64" ph="1"/>
      <c r="X2164" s="241"/>
      <c r="Y2164" s="284"/>
      <c r="Z2164" s="207"/>
      <c r="AA2164" s="284"/>
      <c r="AB2164" s="284"/>
      <c r="AC2164" s="284"/>
      <c r="AD2164" s="284"/>
      <c r="AE2164" s="284"/>
      <c r="AF2164" s="284"/>
      <c r="AG2164" s="284"/>
    </row>
    <row r="2165" spans="1:33" ht="26.4">
      <c r="A2165" s="284"/>
      <c r="B2165" s="284"/>
      <c r="C2165" s="284"/>
      <c r="D2165" s="284"/>
      <c r="E2165" s="284"/>
      <c r="F2165" s="284"/>
      <c r="G2165" s="284"/>
      <c r="H2165" s="284"/>
      <c r="I2165" s="284"/>
      <c r="J2165" s="375"/>
      <c r="K2165" s="375"/>
      <c r="L2165" s="375"/>
      <c r="M2165" s="368"/>
      <c r="N2165" s="368"/>
      <c r="O2165" s="370"/>
      <c r="T2165" s="340"/>
      <c r="V2165" s="378"/>
      <c r="W2165" s="64" ph="1"/>
      <c r="X2165" s="241"/>
      <c r="Y2165" s="284"/>
      <c r="Z2165" s="207"/>
      <c r="AA2165" s="284"/>
      <c r="AB2165" s="284"/>
      <c r="AC2165" s="284"/>
      <c r="AD2165" s="284"/>
      <c r="AE2165" s="284"/>
      <c r="AF2165" s="284"/>
      <c r="AG2165" s="284"/>
    </row>
    <row r="2166" spans="1:33" ht="26.4">
      <c r="A2166" s="284"/>
      <c r="B2166" s="284"/>
      <c r="C2166" s="284"/>
      <c r="D2166" s="284"/>
      <c r="E2166" s="284"/>
      <c r="F2166" s="284"/>
      <c r="G2166" s="284"/>
      <c r="H2166" s="284"/>
      <c r="I2166" s="284"/>
      <c r="J2166" s="375"/>
      <c r="K2166" s="375"/>
      <c r="L2166" s="375"/>
      <c r="M2166" s="368"/>
      <c r="N2166" s="368"/>
      <c r="O2166" s="370"/>
      <c r="T2166" s="340"/>
      <c r="V2166" s="378"/>
      <c r="W2166" s="64" ph="1"/>
      <c r="X2166" s="241"/>
      <c r="Y2166" s="284"/>
      <c r="Z2166" s="207"/>
      <c r="AA2166" s="284"/>
      <c r="AB2166" s="284"/>
      <c r="AC2166" s="284"/>
      <c r="AD2166" s="284"/>
      <c r="AE2166" s="284"/>
      <c r="AF2166" s="284"/>
      <c r="AG2166" s="284"/>
    </row>
    <row r="2167" spans="1:33" ht="26.4">
      <c r="A2167" s="284"/>
      <c r="B2167" s="284"/>
      <c r="C2167" s="284"/>
      <c r="D2167" s="284"/>
      <c r="E2167" s="284"/>
      <c r="F2167" s="284"/>
      <c r="G2167" s="284"/>
      <c r="H2167" s="284"/>
      <c r="I2167" s="284"/>
      <c r="J2167" s="375"/>
      <c r="K2167" s="375"/>
      <c r="L2167" s="375"/>
      <c r="M2167" s="368"/>
      <c r="N2167" s="368"/>
      <c r="O2167" s="370"/>
      <c r="T2167" s="340"/>
      <c r="V2167" s="378"/>
      <c r="W2167" s="64" ph="1"/>
      <c r="X2167" s="241"/>
      <c r="Y2167" s="284"/>
      <c r="Z2167" s="207"/>
      <c r="AA2167" s="284"/>
      <c r="AB2167" s="284"/>
      <c r="AC2167" s="284"/>
      <c r="AD2167" s="284"/>
      <c r="AE2167" s="284"/>
      <c r="AF2167" s="284"/>
      <c r="AG2167" s="284"/>
    </row>
    <row r="2168" spans="1:33" ht="26.4">
      <c r="A2168" s="284"/>
      <c r="B2168" s="284"/>
      <c r="C2168" s="284"/>
      <c r="D2168" s="284"/>
      <c r="E2168" s="284"/>
      <c r="F2168" s="284"/>
      <c r="G2168" s="284"/>
      <c r="H2168" s="284"/>
      <c r="I2168" s="284"/>
      <c r="J2168" s="375"/>
      <c r="K2168" s="375"/>
      <c r="L2168" s="375"/>
      <c r="M2168" s="368"/>
      <c r="N2168" s="368"/>
      <c r="O2168" s="370"/>
      <c r="T2168" s="340"/>
      <c r="V2168" s="378"/>
      <c r="W2168" s="64" ph="1"/>
      <c r="X2168" s="241"/>
      <c r="Y2168" s="284"/>
      <c r="Z2168" s="207"/>
      <c r="AA2168" s="284"/>
      <c r="AB2168" s="284"/>
      <c r="AC2168" s="284"/>
      <c r="AD2168" s="284"/>
      <c r="AE2168" s="284"/>
      <c r="AF2168" s="284"/>
      <c r="AG2168" s="284"/>
    </row>
    <row r="2169" spans="1:33" ht="26.4">
      <c r="A2169" s="284"/>
      <c r="B2169" s="284"/>
      <c r="C2169" s="284"/>
      <c r="D2169" s="284"/>
      <c r="E2169" s="284"/>
      <c r="F2169" s="284"/>
      <c r="G2169" s="284"/>
      <c r="H2169" s="284"/>
      <c r="I2169" s="284"/>
      <c r="J2169" s="375"/>
      <c r="K2169" s="375"/>
      <c r="L2169" s="375"/>
      <c r="M2169" s="368"/>
      <c r="N2169" s="368"/>
      <c r="O2169" s="370"/>
      <c r="T2169" s="340"/>
      <c r="V2169" s="378"/>
      <c r="W2169" s="64" ph="1"/>
      <c r="X2169" s="241"/>
      <c r="Y2169" s="284"/>
      <c r="Z2169" s="207"/>
      <c r="AA2169" s="284"/>
      <c r="AB2169" s="284"/>
      <c r="AC2169" s="284"/>
      <c r="AD2169" s="284"/>
      <c r="AE2169" s="284"/>
      <c r="AF2169" s="284"/>
      <c r="AG2169" s="284"/>
    </row>
    <row r="2170" spans="1:33" ht="26.4">
      <c r="A2170" s="284"/>
      <c r="B2170" s="284"/>
      <c r="C2170" s="284"/>
      <c r="D2170" s="284"/>
      <c r="E2170" s="284"/>
      <c r="F2170" s="284"/>
      <c r="G2170" s="284"/>
      <c r="H2170" s="284"/>
      <c r="I2170" s="284"/>
      <c r="J2170" s="375"/>
      <c r="K2170" s="375"/>
      <c r="L2170" s="375"/>
      <c r="M2170" s="368"/>
      <c r="N2170" s="368"/>
      <c r="O2170" s="370"/>
      <c r="T2170" s="340"/>
      <c r="V2170" s="378"/>
      <c r="W2170" s="64" ph="1"/>
      <c r="X2170" s="241"/>
      <c r="Y2170" s="284"/>
      <c r="Z2170" s="207"/>
      <c r="AA2170" s="284"/>
      <c r="AB2170" s="284"/>
      <c r="AC2170" s="284"/>
      <c r="AD2170" s="284"/>
      <c r="AE2170" s="284"/>
      <c r="AF2170" s="284"/>
      <c r="AG2170" s="284"/>
    </row>
    <row r="2171" spans="1:33" ht="26.4">
      <c r="A2171" s="284"/>
      <c r="B2171" s="284"/>
      <c r="C2171" s="284"/>
      <c r="D2171" s="284"/>
      <c r="E2171" s="284"/>
      <c r="F2171" s="284"/>
      <c r="G2171" s="284"/>
      <c r="H2171" s="284"/>
      <c r="I2171" s="284"/>
      <c r="J2171" s="375"/>
      <c r="K2171" s="375"/>
      <c r="L2171" s="375"/>
      <c r="M2171" s="368"/>
      <c r="N2171" s="368"/>
      <c r="O2171" s="370"/>
      <c r="T2171" s="340"/>
      <c r="V2171" s="378"/>
      <c r="W2171" s="64" ph="1"/>
      <c r="X2171" s="241"/>
      <c r="Y2171" s="284"/>
      <c r="Z2171" s="207"/>
      <c r="AA2171" s="284"/>
      <c r="AB2171" s="284"/>
      <c r="AC2171" s="284"/>
      <c r="AD2171" s="284"/>
      <c r="AE2171" s="284"/>
      <c r="AF2171" s="284"/>
      <c r="AG2171" s="284"/>
    </row>
    <row r="2172" spans="1:33" ht="26.4">
      <c r="A2172" s="284"/>
      <c r="B2172" s="284"/>
      <c r="C2172" s="284"/>
      <c r="D2172" s="284"/>
      <c r="E2172" s="284"/>
      <c r="F2172" s="284"/>
      <c r="G2172" s="284"/>
      <c r="H2172" s="284"/>
      <c r="I2172" s="284"/>
      <c r="J2172" s="375"/>
      <c r="K2172" s="375"/>
      <c r="L2172" s="375"/>
      <c r="M2172" s="368"/>
      <c r="N2172" s="368"/>
      <c r="O2172" s="370"/>
      <c r="T2172" s="340"/>
      <c r="V2172" s="378"/>
      <c r="W2172" s="64" ph="1"/>
      <c r="X2172" s="241"/>
      <c r="Y2172" s="284"/>
      <c r="Z2172" s="207"/>
      <c r="AA2172" s="284"/>
      <c r="AB2172" s="284"/>
      <c r="AC2172" s="284"/>
      <c r="AD2172" s="284"/>
      <c r="AE2172" s="284"/>
      <c r="AF2172" s="284"/>
      <c r="AG2172" s="284"/>
    </row>
    <row r="2173" spans="1:33" ht="26.4">
      <c r="A2173" s="284"/>
      <c r="B2173" s="284"/>
      <c r="C2173" s="284"/>
      <c r="D2173" s="284"/>
      <c r="E2173" s="284"/>
      <c r="F2173" s="284"/>
      <c r="G2173" s="284"/>
      <c r="H2173" s="284"/>
      <c r="I2173" s="284"/>
      <c r="J2173" s="375"/>
      <c r="K2173" s="375"/>
      <c r="L2173" s="375"/>
      <c r="M2173" s="368"/>
      <c r="N2173" s="368"/>
      <c r="O2173" s="370"/>
      <c r="T2173" s="340"/>
      <c r="V2173" s="378"/>
      <c r="W2173" s="64" ph="1"/>
      <c r="X2173" s="241"/>
      <c r="Y2173" s="284"/>
      <c r="Z2173" s="207"/>
      <c r="AA2173" s="284"/>
      <c r="AB2173" s="284"/>
      <c r="AC2173" s="284"/>
      <c r="AD2173" s="284"/>
      <c r="AE2173" s="284"/>
      <c r="AF2173" s="284"/>
      <c r="AG2173" s="284"/>
    </row>
    <row r="2174" spans="1:33" ht="26.4">
      <c r="A2174" s="284"/>
      <c r="B2174" s="284"/>
      <c r="C2174" s="284"/>
      <c r="D2174" s="284"/>
      <c r="E2174" s="284"/>
      <c r="F2174" s="284"/>
      <c r="G2174" s="284"/>
      <c r="H2174" s="284"/>
      <c r="I2174" s="284"/>
      <c r="J2174" s="375"/>
      <c r="K2174" s="375"/>
      <c r="L2174" s="375"/>
      <c r="M2174" s="368"/>
      <c r="N2174" s="368"/>
      <c r="O2174" s="370"/>
      <c r="T2174" s="340"/>
      <c r="V2174" s="378"/>
      <c r="W2174" s="64" ph="1"/>
      <c r="X2174" s="241"/>
      <c r="Y2174" s="284"/>
      <c r="Z2174" s="207"/>
      <c r="AA2174" s="284"/>
      <c r="AB2174" s="284"/>
      <c r="AC2174" s="284"/>
      <c r="AD2174" s="284"/>
      <c r="AE2174" s="284"/>
      <c r="AF2174" s="284"/>
      <c r="AG2174" s="284"/>
    </row>
    <row r="2175" spans="1:33" ht="26.4">
      <c r="A2175" s="284"/>
      <c r="B2175" s="284"/>
      <c r="C2175" s="284"/>
      <c r="D2175" s="284"/>
      <c r="E2175" s="284"/>
      <c r="F2175" s="284"/>
      <c r="G2175" s="284"/>
      <c r="H2175" s="284"/>
      <c r="I2175" s="284"/>
      <c r="J2175" s="375"/>
      <c r="K2175" s="375"/>
      <c r="L2175" s="375"/>
      <c r="M2175" s="368"/>
      <c r="N2175" s="368"/>
      <c r="O2175" s="370"/>
      <c r="T2175" s="340"/>
      <c r="V2175" s="378"/>
      <c r="W2175" s="64" ph="1"/>
      <c r="X2175" s="241"/>
      <c r="Y2175" s="284"/>
      <c r="Z2175" s="207"/>
      <c r="AA2175" s="284"/>
      <c r="AB2175" s="284"/>
      <c r="AC2175" s="284"/>
      <c r="AD2175" s="284"/>
      <c r="AE2175" s="284"/>
      <c r="AF2175" s="284"/>
      <c r="AG2175" s="284"/>
    </row>
    <row r="2176" spans="1:33" ht="26.4">
      <c r="A2176" s="284"/>
      <c r="B2176" s="284"/>
      <c r="C2176" s="284"/>
      <c r="D2176" s="284"/>
      <c r="E2176" s="284"/>
      <c r="F2176" s="284"/>
      <c r="G2176" s="284"/>
      <c r="H2176" s="284"/>
      <c r="I2176" s="284"/>
      <c r="J2176" s="375"/>
      <c r="K2176" s="375"/>
      <c r="L2176" s="375"/>
      <c r="M2176" s="368"/>
      <c r="N2176" s="368"/>
      <c r="O2176" s="370"/>
      <c r="T2176" s="340"/>
      <c r="V2176" s="378"/>
      <c r="W2176" s="64" ph="1"/>
      <c r="X2176" s="241"/>
      <c r="Y2176" s="284"/>
      <c r="Z2176" s="207"/>
      <c r="AA2176" s="284"/>
      <c r="AB2176" s="284"/>
      <c r="AC2176" s="284"/>
      <c r="AD2176" s="284"/>
      <c r="AE2176" s="284"/>
      <c r="AF2176" s="284"/>
      <c r="AG2176" s="284"/>
    </row>
    <row r="2177" spans="1:33" ht="26.4">
      <c r="A2177" s="284"/>
      <c r="B2177" s="284"/>
      <c r="C2177" s="284"/>
      <c r="D2177" s="284"/>
      <c r="E2177" s="284"/>
      <c r="F2177" s="284"/>
      <c r="G2177" s="284"/>
      <c r="H2177" s="284"/>
      <c r="I2177" s="284"/>
      <c r="J2177" s="375"/>
      <c r="K2177" s="375"/>
      <c r="L2177" s="375"/>
      <c r="M2177" s="368"/>
      <c r="N2177" s="368"/>
      <c r="O2177" s="370"/>
      <c r="T2177" s="340"/>
      <c r="V2177" s="378"/>
      <c r="W2177" s="64" ph="1"/>
      <c r="X2177" s="241"/>
      <c r="Y2177" s="284"/>
      <c r="Z2177" s="207"/>
      <c r="AA2177" s="284"/>
      <c r="AB2177" s="284"/>
      <c r="AC2177" s="284"/>
      <c r="AD2177" s="284"/>
      <c r="AE2177" s="284"/>
      <c r="AF2177" s="284"/>
      <c r="AG2177" s="284"/>
    </row>
    <row r="2178" spans="1:33" ht="26.4">
      <c r="A2178" s="284"/>
      <c r="B2178" s="284"/>
      <c r="C2178" s="284"/>
      <c r="D2178" s="284"/>
      <c r="E2178" s="284"/>
      <c r="F2178" s="284"/>
      <c r="G2178" s="284"/>
      <c r="H2178" s="284"/>
      <c r="I2178" s="284"/>
      <c r="J2178" s="375"/>
      <c r="K2178" s="375"/>
      <c r="L2178" s="375"/>
      <c r="M2178" s="368"/>
      <c r="N2178" s="368"/>
      <c r="O2178" s="370"/>
      <c r="T2178" s="340"/>
      <c r="V2178" s="378"/>
      <c r="W2178" s="64" ph="1"/>
      <c r="X2178" s="241"/>
      <c r="Y2178" s="284"/>
      <c r="Z2178" s="207"/>
      <c r="AA2178" s="284"/>
      <c r="AB2178" s="284"/>
      <c r="AC2178" s="284"/>
      <c r="AD2178" s="284"/>
      <c r="AE2178" s="284"/>
      <c r="AF2178" s="284"/>
      <c r="AG2178" s="284"/>
    </row>
    <row r="2179" spans="1:33" ht="26.4">
      <c r="A2179" s="284"/>
      <c r="B2179" s="284"/>
      <c r="C2179" s="284"/>
      <c r="D2179" s="284"/>
      <c r="E2179" s="284"/>
      <c r="F2179" s="284"/>
      <c r="G2179" s="284"/>
      <c r="H2179" s="284"/>
      <c r="I2179" s="284"/>
      <c r="J2179" s="375"/>
      <c r="K2179" s="375"/>
      <c r="L2179" s="375"/>
      <c r="M2179" s="368"/>
      <c r="N2179" s="368"/>
      <c r="O2179" s="370"/>
      <c r="T2179" s="340"/>
      <c r="V2179" s="378"/>
      <c r="W2179" s="64" ph="1"/>
      <c r="X2179" s="241"/>
      <c r="Y2179" s="284"/>
      <c r="Z2179" s="207"/>
      <c r="AA2179" s="284"/>
      <c r="AB2179" s="284"/>
      <c r="AC2179" s="284"/>
      <c r="AD2179" s="284"/>
      <c r="AE2179" s="284"/>
      <c r="AF2179" s="284"/>
      <c r="AG2179" s="284"/>
    </row>
    <row r="2180" spans="1:33" ht="26.4">
      <c r="A2180" s="284"/>
      <c r="B2180" s="284"/>
      <c r="C2180" s="284"/>
      <c r="D2180" s="284"/>
      <c r="E2180" s="284"/>
      <c r="F2180" s="284"/>
      <c r="G2180" s="284"/>
      <c r="H2180" s="284"/>
      <c r="I2180" s="284"/>
      <c r="J2180" s="375"/>
      <c r="K2180" s="375"/>
      <c r="L2180" s="375"/>
      <c r="M2180" s="368"/>
      <c r="N2180" s="368"/>
      <c r="O2180" s="370"/>
      <c r="T2180" s="340"/>
      <c r="V2180" s="378"/>
      <c r="W2180" s="64" ph="1"/>
      <c r="X2180" s="241"/>
      <c r="Y2180" s="284"/>
      <c r="Z2180" s="207"/>
      <c r="AA2180" s="284"/>
      <c r="AB2180" s="284"/>
      <c r="AC2180" s="284"/>
      <c r="AD2180" s="284"/>
      <c r="AE2180" s="284"/>
      <c r="AF2180" s="284"/>
      <c r="AG2180" s="284"/>
    </row>
    <row r="2181" spans="1:33" ht="26.4">
      <c r="A2181" s="284"/>
      <c r="B2181" s="284"/>
      <c r="C2181" s="284"/>
      <c r="D2181" s="284"/>
      <c r="E2181" s="284"/>
      <c r="F2181" s="284"/>
      <c r="G2181" s="284"/>
      <c r="H2181" s="284"/>
      <c r="I2181" s="284"/>
      <c r="J2181" s="375"/>
      <c r="K2181" s="375"/>
      <c r="L2181" s="375"/>
      <c r="M2181" s="368"/>
      <c r="N2181" s="368"/>
      <c r="O2181" s="370"/>
      <c r="T2181" s="340"/>
      <c r="V2181" s="378"/>
      <c r="W2181" s="64" ph="1"/>
      <c r="X2181" s="241"/>
      <c r="Y2181" s="284"/>
      <c r="Z2181" s="207"/>
      <c r="AA2181" s="284"/>
      <c r="AB2181" s="284"/>
      <c r="AC2181" s="284"/>
      <c r="AD2181" s="284"/>
      <c r="AE2181" s="284"/>
      <c r="AF2181" s="284"/>
      <c r="AG2181" s="284"/>
    </row>
    <row r="2182" spans="1:33" ht="26.4">
      <c r="A2182" s="284"/>
      <c r="B2182" s="284"/>
      <c r="C2182" s="284"/>
      <c r="D2182" s="284"/>
      <c r="E2182" s="284"/>
      <c r="F2182" s="284"/>
      <c r="G2182" s="284"/>
      <c r="H2182" s="284"/>
      <c r="I2182" s="284"/>
      <c r="J2182" s="375"/>
      <c r="K2182" s="375"/>
      <c r="L2182" s="375"/>
      <c r="M2182" s="368"/>
      <c r="N2182" s="368"/>
      <c r="O2182" s="370"/>
      <c r="T2182" s="340"/>
      <c r="V2182" s="378"/>
      <c r="W2182" s="64" ph="1"/>
      <c r="X2182" s="241"/>
      <c r="Y2182" s="284"/>
      <c r="Z2182" s="207"/>
      <c r="AA2182" s="284"/>
      <c r="AB2182" s="284"/>
      <c r="AC2182" s="284"/>
      <c r="AD2182" s="284"/>
      <c r="AE2182" s="284"/>
      <c r="AF2182" s="284"/>
      <c r="AG2182" s="284"/>
    </row>
    <row r="2183" spans="1:33" ht="26.4">
      <c r="A2183" s="284"/>
      <c r="B2183" s="284"/>
      <c r="C2183" s="284"/>
      <c r="D2183" s="284"/>
      <c r="E2183" s="284"/>
      <c r="F2183" s="284"/>
      <c r="G2183" s="284"/>
      <c r="H2183" s="284"/>
      <c r="I2183" s="284"/>
      <c r="J2183" s="375"/>
      <c r="K2183" s="375"/>
      <c r="L2183" s="375"/>
      <c r="M2183" s="368"/>
      <c r="N2183" s="368"/>
      <c r="O2183" s="370"/>
      <c r="T2183" s="340"/>
      <c r="V2183" s="378"/>
      <c r="W2183" s="64" ph="1"/>
      <c r="X2183" s="241"/>
      <c r="Y2183" s="284"/>
      <c r="Z2183" s="207"/>
      <c r="AA2183" s="284"/>
      <c r="AB2183" s="284"/>
      <c r="AC2183" s="284"/>
      <c r="AD2183" s="284"/>
      <c r="AE2183" s="284"/>
      <c r="AF2183" s="284"/>
      <c r="AG2183" s="284"/>
    </row>
    <row r="2184" spans="1:33" ht="26.4">
      <c r="A2184" s="284"/>
      <c r="B2184" s="284"/>
      <c r="C2184" s="284"/>
      <c r="D2184" s="284"/>
      <c r="E2184" s="284"/>
      <c r="F2184" s="284"/>
      <c r="G2184" s="284"/>
      <c r="H2184" s="284"/>
      <c r="I2184" s="284"/>
      <c r="J2184" s="375"/>
      <c r="K2184" s="375"/>
      <c r="L2184" s="375"/>
      <c r="M2184" s="368"/>
      <c r="N2184" s="368"/>
      <c r="O2184" s="370"/>
      <c r="T2184" s="340"/>
      <c r="V2184" s="378"/>
      <c r="W2184" s="64" ph="1"/>
      <c r="X2184" s="241"/>
      <c r="Y2184" s="284"/>
      <c r="Z2184" s="207"/>
      <c r="AA2184" s="284"/>
      <c r="AB2184" s="284"/>
      <c r="AC2184" s="284"/>
      <c r="AD2184" s="284"/>
      <c r="AE2184" s="284"/>
      <c r="AF2184" s="284"/>
      <c r="AG2184" s="284"/>
    </row>
    <row r="2185" spans="1:33" ht="26.4">
      <c r="A2185" s="284"/>
      <c r="B2185" s="284"/>
      <c r="C2185" s="284"/>
      <c r="D2185" s="284"/>
      <c r="E2185" s="284"/>
      <c r="F2185" s="284"/>
      <c r="G2185" s="284"/>
      <c r="H2185" s="284"/>
      <c r="I2185" s="284"/>
      <c r="J2185" s="375"/>
      <c r="K2185" s="375"/>
      <c r="L2185" s="375"/>
      <c r="M2185" s="368"/>
      <c r="N2185" s="368"/>
      <c r="O2185" s="370"/>
      <c r="T2185" s="340"/>
      <c r="V2185" s="378"/>
      <c r="W2185" s="64" ph="1"/>
      <c r="X2185" s="241"/>
      <c r="Y2185" s="284"/>
      <c r="Z2185" s="207"/>
      <c r="AA2185" s="284"/>
      <c r="AB2185" s="284"/>
      <c r="AC2185" s="284"/>
      <c r="AD2185" s="284"/>
      <c r="AE2185" s="284"/>
      <c r="AF2185" s="284"/>
      <c r="AG2185" s="284"/>
    </row>
    <row r="2186" spans="1:33" ht="26.4">
      <c r="A2186" s="284"/>
      <c r="B2186" s="284"/>
      <c r="C2186" s="284"/>
      <c r="D2186" s="284"/>
      <c r="E2186" s="284"/>
      <c r="F2186" s="284"/>
      <c r="G2186" s="284"/>
      <c r="H2186" s="284"/>
      <c r="I2186" s="284"/>
      <c r="J2186" s="375"/>
      <c r="K2186" s="375"/>
      <c r="L2186" s="375"/>
      <c r="M2186" s="368"/>
      <c r="N2186" s="368"/>
      <c r="O2186" s="370"/>
      <c r="T2186" s="340"/>
      <c r="V2186" s="378"/>
      <c r="W2186" s="64" ph="1"/>
      <c r="X2186" s="241"/>
      <c r="Y2186" s="284"/>
      <c r="Z2186" s="207"/>
      <c r="AA2186" s="284"/>
      <c r="AB2186" s="284"/>
      <c r="AC2186" s="284"/>
      <c r="AD2186" s="284"/>
      <c r="AE2186" s="284"/>
      <c r="AF2186" s="284"/>
      <c r="AG2186" s="284"/>
    </row>
    <row r="2187" spans="1:33" ht="26.4">
      <c r="A2187" s="284"/>
      <c r="B2187" s="284"/>
      <c r="C2187" s="284"/>
      <c r="D2187" s="284"/>
      <c r="E2187" s="284"/>
      <c r="F2187" s="284"/>
      <c r="G2187" s="284"/>
      <c r="H2187" s="284"/>
      <c r="I2187" s="284"/>
      <c r="J2187" s="375"/>
      <c r="K2187" s="375"/>
      <c r="L2187" s="375"/>
      <c r="M2187" s="368"/>
      <c r="N2187" s="368"/>
      <c r="O2187" s="370"/>
      <c r="T2187" s="340"/>
      <c r="V2187" s="378"/>
      <c r="W2187" s="64" ph="1"/>
      <c r="X2187" s="241"/>
      <c r="Y2187" s="284"/>
      <c r="Z2187" s="207"/>
      <c r="AA2187" s="284"/>
      <c r="AB2187" s="284"/>
      <c r="AC2187" s="284"/>
      <c r="AD2187" s="284"/>
      <c r="AE2187" s="284"/>
      <c r="AF2187" s="284"/>
      <c r="AG2187" s="284"/>
    </row>
    <row r="2188" spans="1:33" ht="26.4">
      <c r="A2188" s="284"/>
      <c r="B2188" s="284"/>
      <c r="C2188" s="284"/>
      <c r="D2188" s="284"/>
      <c r="E2188" s="284"/>
      <c r="F2188" s="284"/>
      <c r="G2188" s="284"/>
      <c r="H2188" s="284"/>
      <c r="I2188" s="284"/>
      <c r="J2188" s="375"/>
      <c r="K2188" s="375"/>
      <c r="L2188" s="375"/>
      <c r="M2188" s="368"/>
      <c r="N2188" s="368"/>
      <c r="O2188" s="370"/>
      <c r="T2188" s="340"/>
      <c r="V2188" s="378"/>
      <c r="W2188" s="64" ph="1"/>
      <c r="X2188" s="241"/>
      <c r="Y2188" s="284"/>
      <c r="Z2188" s="207"/>
      <c r="AA2188" s="284"/>
      <c r="AB2188" s="284"/>
      <c r="AC2188" s="284"/>
      <c r="AD2188" s="284"/>
      <c r="AE2188" s="284"/>
      <c r="AF2188" s="284"/>
      <c r="AG2188" s="284"/>
    </row>
    <row r="2189" spans="1:33" ht="26.4">
      <c r="A2189" s="284"/>
      <c r="B2189" s="284"/>
      <c r="C2189" s="284"/>
      <c r="D2189" s="284"/>
      <c r="E2189" s="284"/>
      <c r="F2189" s="284"/>
      <c r="G2189" s="284"/>
      <c r="H2189" s="284"/>
      <c r="I2189" s="284"/>
      <c r="J2189" s="375"/>
      <c r="K2189" s="375"/>
      <c r="L2189" s="375"/>
      <c r="M2189" s="368"/>
      <c r="N2189" s="368"/>
      <c r="O2189" s="370"/>
      <c r="T2189" s="340"/>
      <c r="V2189" s="378"/>
      <c r="W2189" s="64" ph="1"/>
      <c r="X2189" s="241"/>
      <c r="Y2189" s="284"/>
      <c r="Z2189" s="207"/>
      <c r="AA2189" s="284"/>
      <c r="AB2189" s="284"/>
      <c r="AC2189" s="284"/>
      <c r="AD2189" s="284"/>
      <c r="AE2189" s="284"/>
      <c r="AF2189" s="284"/>
      <c r="AG2189" s="284"/>
    </row>
    <row r="2190" spans="1:33" ht="26.4">
      <c r="A2190" s="284"/>
      <c r="B2190" s="284"/>
      <c r="C2190" s="284"/>
      <c r="D2190" s="284"/>
      <c r="E2190" s="284"/>
      <c r="F2190" s="284"/>
      <c r="G2190" s="284"/>
      <c r="H2190" s="284"/>
      <c r="I2190" s="284"/>
      <c r="J2190" s="375"/>
      <c r="K2190" s="375"/>
      <c r="L2190" s="375"/>
      <c r="M2190" s="368"/>
      <c r="N2190" s="368"/>
      <c r="O2190" s="370"/>
      <c r="T2190" s="340"/>
      <c r="V2190" s="378"/>
      <c r="W2190" s="64" ph="1"/>
      <c r="X2190" s="241"/>
      <c r="Y2190" s="284"/>
      <c r="Z2190" s="207"/>
      <c r="AA2190" s="284"/>
      <c r="AB2190" s="284"/>
      <c r="AC2190" s="284"/>
      <c r="AD2190" s="284"/>
      <c r="AE2190" s="284"/>
      <c r="AF2190" s="284"/>
      <c r="AG2190" s="284"/>
    </row>
    <row r="2191" spans="1:33" ht="26.4">
      <c r="A2191" s="284"/>
      <c r="B2191" s="284"/>
      <c r="C2191" s="284"/>
      <c r="D2191" s="284"/>
      <c r="E2191" s="284"/>
      <c r="F2191" s="284"/>
      <c r="G2191" s="284"/>
      <c r="H2191" s="284"/>
      <c r="I2191" s="284"/>
      <c r="J2191" s="375"/>
      <c r="K2191" s="375"/>
      <c r="L2191" s="375"/>
      <c r="M2191" s="368"/>
      <c r="N2191" s="368"/>
      <c r="O2191" s="370"/>
      <c r="T2191" s="340"/>
      <c r="V2191" s="378"/>
      <c r="W2191" s="64" ph="1"/>
      <c r="X2191" s="241"/>
      <c r="Y2191" s="284"/>
      <c r="Z2191" s="207"/>
      <c r="AA2191" s="284"/>
      <c r="AB2191" s="284"/>
      <c r="AC2191" s="284"/>
      <c r="AD2191" s="284"/>
      <c r="AE2191" s="284"/>
      <c r="AF2191" s="284"/>
      <c r="AG2191" s="284"/>
    </row>
    <row r="2192" spans="1:33" ht="26.4">
      <c r="A2192" s="284"/>
      <c r="B2192" s="284"/>
      <c r="C2192" s="284"/>
      <c r="D2192" s="284"/>
      <c r="E2192" s="284"/>
      <c r="F2192" s="284"/>
      <c r="G2192" s="284"/>
      <c r="H2192" s="284"/>
      <c r="I2192" s="284"/>
      <c r="J2192" s="375"/>
      <c r="K2192" s="375"/>
      <c r="L2192" s="375"/>
      <c r="M2192" s="368"/>
      <c r="N2192" s="368"/>
      <c r="O2192" s="370"/>
      <c r="T2192" s="340"/>
      <c r="V2192" s="378"/>
      <c r="W2192" s="64" ph="1"/>
      <c r="X2192" s="241"/>
      <c r="Y2192" s="284"/>
      <c r="Z2192" s="207"/>
      <c r="AA2192" s="284"/>
      <c r="AB2192" s="284"/>
      <c r="AC2192" s="284"/>
      <c r="AD2192" s="284"/>
      <c r="AE2192" s="284"/>
      <c r="AF2192" s="284"/>
      <c r="AG2192" s="284"/>
    </row>
    <row r="2193" spans="1:33" ht="26.4">
      <c r="A2193" s="284"/>
      <c r="B2193" s="284"/>
      <c r="C2193" s="284"/>
      <c r="D2193" s="284"/>
      <c r="E2193" s="284"/>
      <c r="F2193" s="284"/>
      <c r="G2193" s="284"/>
      <c r="H2193" s="284"/>
      <c r="I2193" s="284"/>
      <c r="J2193" s="375"/>
      <c r="K2193" s="375"/>
      <c r="L2193" s="375"/>
      <c r="M2193" s="368"/>
      <c r="N2193" s="368"/>
      <c r="O2193" s="370"/>
      <c r="T2193" s="340"/>
      <c r="V2193" s="378"/>
      <c r="W2193" s="64" ph="1"/>
      <c r="X2193" s="241"/>
      <c r="Y2193" s="284"/>
      <c r="Z2193" s="207"/>
      <c r="AA2193" s="284"/>
      <c r="AB2193" s="284"/>
      <c r="AC2193" s="284"/>
      <c r="AD2193" s="284"/>
      <c r="AE2193" s="284"/>
      <c r="AF2193" s="284"/>
      <c r="AG2193" s="284"/>
    </row>
    <row r="2194" spans="1:33" ht="26.4">
      <c r="A2194" s="284"/>
      <c r="B2194" s="284"/>
      <c r="C2194" s="284"/>
      <c r="D2194" s="284"/>
      <c r="E2194" s="284"/>
      <c r="F2194" s="284"/>
      <c r="G2194" s="284"/>
      <c r="H2194" s="284"/>
      <c r="I2194" s="284"/>
      <c r="J2194" s="375"/>
      <c r="K2194" s="375"/>
      <c r="L2194" s="375"/>
      <c r="M2194" s="368"/>
      <c r="N2194" s="368"/>
      <c r="O2194" s="370"/>
      <c r="T2194" s="340"/>
      <c r="V2194" s="378"/>
      <c r="W2194" s="64" ph="1"/>
      <c r="X2194" s="241"/>
      <c r="Y2194" s="284"/>
      <c r="Z2194" s="207"/>
      <c r="AA2194" s="284"/>
      <c r="AB2194" s="284"/>
      <c r="AC2194" s="284"/>
      <c r="AD2194" s="284"/>
      <c r="AE2194" s="284"/>
      <c r="AF2194" s="284"/>
      <c r="AG2194" s="284"/>
    </row>
    <row r="2195" spans="1:33" ht="26.4">
      <c r="A2195" s="284"/>
      <c r="B2195" s="284"/>
      <c r="C2195" s="284"/>
      <c r="D2195" s="284"/>
      <c r="E2195" s="284"/>
      <c r="F2195" s="284"/>
      <c r="G2195" s="284"/>
      <c r="H2195" s="284"/>
      <c r="I2195" s="284"/>
      <c r="J2195" s="375"/>
      <c r="K2195" s="375"/>
      <c r="L2195" s="375"/>
      <c r="M2195" s="368"/>
      <c r="N2195" s="368"/>
      <c r="O2195" s="370"/>
      <c r="T2195" s="340"/>
      <c r="V2195" s="378"/>
      <c r="W2195" s="64" ph="1"/>
      <c r="X2195" s="241"/>
      <c r="Y2195" s="284"/>
      <c r="Z2195" s="207"/>
      <c r="AA2195" s="284"/>
      <c r="AB2195" s="284"/>
      <c r="AC2195" s="284"/>
      <c r="AD2195" s="284"/>
      <c r="AE2195" s="284"/>
      <c r="AF2195" s="284"/>
      <c r="AG2195" s="284"/>
    </row>
    <row r="2196" spans="1:33" ht="26.4">
      <c r="A2196" s="284"/>
      <c r="B2196" s="284"/>
      <c r="C2196" s="284"/>
      <c r="D2196" s="284"/>
      <c r="E2196" s="284"/>
      <c r="F2196" s="284"/>
      <c r="G2196" s="284"/>
      <c r="H2196" s="284"/>
      <c r="I2196" s="284"/>
      <c r="J2196" s="375"/>
      <c r="K2196" s="375"/>
      <c r="L2196" s="375"/>
      <c r="M2196" s="368"/>
      <c r="N2196" s="368"/>
      <c r="O2196" s="370"/>
      <c r="T2196" s="340"/>
      <c r="V2196" s="378"/>
      <c r="W2196" s="64" ph="1"/>
      <c r="X2196" s="241"/>
      <c r="Y2196" s="284"/>
      <c r="Z2196" s="207"/>
      <c r="AA2196" s="284"/>
      <c r="AB2196" s="284"/>
      <c r="AC2196" s="284"/>
      <c r="AD2196" s="284"/>
      <c r="AE2196" s="284"/>
      <c r="AF2196" s="284"/>
      <c r="AG2196" s="284"/>
    </row>
    <row r="2197" spans="1:33" ht="26.4">
      <c r="A2197" s="284"/>
      <c r="B2197" s="284"/>
      <c r="C2197" s="284"/>
      <c r="D2197" s="284"/>
      <c r="E2197" s="284"/>
      <c r="F2197" s="284"/>
      <c r="G2197" s="284"/>
      <c r="H2197" s="284"/>
      <c r="I2197" s="284"/>
      <c r="J2197" s="375"/>
      <c r="K2197" s="375"/>
      <c r="L2197" s="375"/>
      <c r="M2197" s="368"/>
      <c r="N2197" s="368"/>
      <c r="O2197" s="370"/>
      <c r="T2197" s="340"/>
      <c r="V2197" s="378"/>
      <c r="W2197" s="64" ph="1"/>
      <c r="X2197" s="241"/>
      <c r="Y2197" s="284"/>
      <c r="Z2197" s="207"/>
      <c r="AA2197" s="284"/>
      <c r="AB2197" s="284"/>
      <c r="AC2197" s="284"/>
      <c r="AD2197" s="284"/>
      <c r="AE2197" s="284"/>
      <c r="AF2197" s="284"/>
      <c r="AG2197" s="284"/>
    </row>
    <row r="2198" spans="1:33" ht="26.4">
      <c r="A2198" s="284"/>
      <c r="B2198" s="284"/>
      <c r="C2198" s="284"/>
      <c r="D2198" s="284"/>
      <c r="E2198" s="284"/>
      <c r="F2198" s="284"/>
      <c r="G2198" s="284"/>
      <c r="H2198" s="284"/>
      <c r="I2198" s="284"/>
      <c r="J2198" s="375"/>
      <c r="K2198" s="375"/>
      <c r="L2198" s="375"/>
      <c r="M2198" s="368"/>
      <c r="N2198" s="368"/>
      <c r="O2198" s="370"/>
      <c r="T2198" s="340"/>
      <c r="V2198" s="378"/>
      <c r="W2198" s="64" ph="1"/>
      <c r="X2198" s="241"/>
      <c r="Y2198" s="284"/>
      <c r="Z2198" s="207"/>
      <c r="AA2198" s="284"/>
      <c r="AB2198" s="284"/>
      <c r="AC2198" s="284"/>
      <c r="AD2198" s="284"/>
      <c r="AE2198" s="284"/>
      <c r="AF2198" s="284"/>
      <c r="AG2198" s="284"/>
    </row>
    <row r="2199" spans="1:33" ht="26.4">
      <c r="A2199" s="284"/>
      <c r="B2199" s="284"/>
      <c r="C2199" s="284"/>
      <c r="D2199" s="284"/>
      <c r="E2199" s="284"/>
      <c r="F2199" s="284"/>
      <c r="G2199" s="284"/>
      <c r="H2199" s="284"/>
      <c r="I2199" s="284"/>
      <c r="J2199" s="375"/>
      <c r="K2199" s="375"/>
      <c r="L2199" s="375"/>
      <c r="M2199" s="368"/>
      <c r="N2199" s="368"/>
      <c r="O2199" s="370"/>
      <c r="T2199" s="340"/>
      <c r="V2199" s="378"/>
      <c r="W2199" s="64" ph="1"/>
      <c r="X2199" s="241"/>
      <c r="Y2199" s="284"/>
      <c r="Z2199" s="207"/>
      <c r="AA2199" s="284"/>
      <c r="AB2199" s="284"/>
      <c r="AC2199" s="284"/>
      <c r="AD2199" s="284"/>
      <c r="AE2199" s="284"/>
      <c r="AF2199" s="284"/>
      <c r="AG2199" s="284"/>
    </row>
    <row r="2200" spans="1:33" ht="26.4">
      <c r="A2200" s="284"/>
      <c r="B2200" s="284"/>
      <c r="C2200" s="284"/>
      <c r="D2200" s="284"/>
      <c r="E2200" s="284"/>
      <c r="F2200" s="284"/>
      <c r="G2200" s="284"/>
      <c r="H2200" s="284"/>
      <c r="I2200" s="284"/>
      <c r="J2200" s="375"/>
      <c r="K2200" s="375"/>
      <c r="L2200" s="375"/>
      <c r="M2200" s="368"/>
      <c r="N2200" s="368"/>
      <c r="O2200" s="370"/>
      <c r="T2200" s="340"/>
      <c r="V2200" s="378"/>
      <c r="W2200" s="64" ph="1"/>
      <c r="X2200" s="241"/>
      <c r="Y2200" s="284"/>
      <c r="Z2200" s="207"/>
      <c r="AA2200" s="284"/>
      <c r="AB2200" s="284"/>
      <c r="AC2200" s="284"/>
      <c r="AD2200" s="284"/>
      <c r="AE2200" s="284"/>
      <c r="AF2200" s="284"/>
      <c r="AG2200" s="284"/>
    </row>
    <row r="2201" spans="1:33" ht="26.4">
      <c r="A2201" s="284"/>
      <c r="B2201" s="284"/>
      <c r="C2201" s="284"/>
      <c r="D2201" s="284"/>
      <c r="E2201" s="284"/>
      <c r="F2201" s="284"/>
      <c r="G2201" s="284"/>
      <c r="H2201" s="284"/>
      <c r="I2201" s="284"/>
      <c r="J2201" s="375"/>
      <c r="K2201" s="375"/>
      <c r="L2201" s="375"/>
      <c r="M2201" s="368"/>
      <c r="N2201" s="368"/>
      <c r="O2201" s="370"/>
      <c r="T2201" s="340"/>
      <c r="V2201" s="378"/>
      <c r="W2201" s="64" ph="1"/>
      <c r="X2201" s="241"/>
      <c r="Y2201" s="284"/>
      <c r="Z2201" s="207"/>
      <c r="AA2201" s="284"/>
      <c r="AB2201" s="284"/>
      <c r="AC2201" s="284"/>
      <c r="AD2201" s="284"/>
      <c r="AE2201" s="284"/>
      <c r="AF2201" s="284"/>
      <c r="AG2201" s="284"/>
    </row>
    <row r="2202" spans="1:33" ht="26.4">
      <c r="A2202" s="284"/>
      <c r="B2202" s="284"/>
      <c r="C2202" s="284"/>
      <c r="D2202" s="284"/>
      <c r="E2202" s="284"/>
      <c r="F2202" s="284"/>
      <c r="G2202" s="284"/>
      <c r="H2202" s="284"/>
      <c r="I2202" s="284"/>
      <c r="J2202" s="375"/>
      <c r="K2202" s="375"/>
      <c r="L2202" s="375"/>
      <c r="M2202" s="368"/>
      <c r="N2202" s="368"/>
      <c r="O2202" s="370"/>
      <c r="T2202" s="340"/>
      <c r="V2202" s="378"/>
      <c r="W2202" s="64" ph="1"/>
      <c r="X2202" s="241"/>
      <c r="Y2202" s="284"/>
      <c r="Z2202" s="207"/>
      <c r="AA2202" s="284"/>
      <c r="AB2202" s="284"/>
      <c r="AC2202" s="284"/>
      <c r="AD2202" s="284"/>
      <c r="AE2202" s="284"/>
      <c r="AF2202" s="284"/>
      <c r="AG2202" s="284"/>
    </row>
    <row r="2203" spans="1:33" ht="26.4">
      <c r="A2203" s="284"/>
      <c r="B2203" s="284"/>
      <c r="C2203" s="284"/>
      <c r="D2203" s="284"/>
      <c r="E2203" s="284"/>
      <c r="F2203" s="284"/>
      <c r="G2203" s="284"/>
      <c r="H2203" s="284"/>
      <c r="I2203" s="284"/>
      <c r="J2203" s="375"/>
      <c r="K2203" s="375"/>
      <c r="L2203" s="375"/>
      <c r="M2203" s="368"/>
      <c r="N2203" s="368"/>
      <c r="O2203" s="370"/>
      <c r="T2203" s="340"/>
      <c r="V2203" s="378"/>
      <c r="W2203" s="64" ph="1"/>
      <c r="X2203" s="241"/>
      <c r="Y2203" s="284"/>
      <c r="Z2203" s="207"/>
      <c r="AA2203" s="284"/>
      <c r="AB2203" s="284"/>
      <c r="AC2203" s="284"/>
      <c r="AD2203" s="284"/>
      <c r="AE2203" s="284"/>
      <c r="AF2203" s="284"/>
      <c r="AG2203" s="284"/>
    </row>
    <row r="2204" spans="1:33" ht="26.4">
      <c r="A2204" s="284"/>
      <c r="B2204" s="284"/>
      <c r="C2204" s="284"/>
      <c r="D2204" s="284"/>
      <c r="E2204" s="284"/>
      <c r="F2204" s="284"/>
      <c r="G2204" s="284"/>
      <c r="H2204" s="284"/>
      <c r="I2204" s="284"/>
      <c r="J2204" s="375"/>
      <c r="K2204" s="375"/>
      <c r="L2204" s="375"/>
      <c r="M2204" s="368"/>
      <c r="N2204" s="368"/>
      <c r="O2204" s="370"/>
      <c r="T2204" s="340"/>
      <c r="V2204" s="378"/>
      <c r="W2204" s="64" ph="1"/>
      <c r="X2204" s="241"/>
      <c r="Y2204" s="284"/>
      <c r="Z2204" s="207"/>
      <c r="AA2204" s="284"/>
      <c r="AB2204" s="284"/>
      <c r="AC2204" s="284"/>
      <c r="AD2204" s="284"/>
      <c r="AE2204" s="284"/>
      <c r="AF2204" s="284"/>
      <c r="AG2204" s="284"/>
    </row>
    <row r="2205" spans="1:33" ht="26.4">
      <c r="A2205" s="284"/>
      <c r="B2205" s="284"/>
      <c r="C2205" s="284"/>
      <c r="D2205" s="284"/>
      <c r="E2205" s="284"/>
      <c r="F2205" s="284"/>
      <c r="G2205" s="284"/>
      <c r="H2205" s="284"/>
      <c r="I2205" s="284"/>
      <c r="J2205" s="375"/>
      <c r="K2205" s="375"/>
      <c r="L2205" s="375"/>
      <c r="M2205" s="368"/>
      <c r="N2205" s="368"/>
      <c r="O2205" s="370"/>
      <c r="T2205" s="340"/>
      <c r="V2205" s="378"/>
      <c r="W2205" s="64" ph="1"/>
      <c r="X2205" s="241"/>
      <c r="Y2205" s="284"/>
      <c r="Z2205" s="207"/>
      <c r="AA2205" s="284"/>
      <c r="AB2205" s="284"/>
      <c r="AC2205" s="284"/>
      <c r="AD2205" s="284"/>
      <c r="AE2205" s="284"/>
      <c r="AF2205" s="284"/>
      <c r="AG2205" s="284"/>
    </row>
    <row r="2206" spans="1:33" ht="26.4">
      <c r="A2206" s="284"/>
      <c r="B2206" s="284"/>
      <c r="C2206" s="284"/>
      <c r="D2206" s="284"/>
      <c r="E2206" s="284"/>
      <c r="F2206" s="284"/>
      <c r="G2206" s="284"/>
      <c r="H2206" s="284"/>
      <c r="I2206" s="284"/>
      <c r="J2206" s="375"/>
      <c r="K2206" s="375"/>
      <c r="L2206" s="375"/>
      <c r="M2206" s="368"/>
      <c r="N2206" s="368"/>
      <c r="O2206" s="370"/>
      <c r="T2206" s="340"/>
      <c r="V2206" s="378"/>
      <c r="W2206" s="64" ph="1"/>
      <c r="X2206" s="241"/>
      <c r="Y2206" s="284"/>
      <c r="Z2206" s="207"/>
      <c r="AA2206" s="284"/>
      <c r="AB2206" s="284"/>
      <c r="AC2206" s="284"/>
      <c r="AD2206" s="284"/>
      <c r="AE2206" s="284"/>
      <c r="AF2206" s="284"/>
      <c r="AG2206" s="284"/>
    </row>
    <row r="2207" spans="1:33" ht="26.4">
      <c r="A2207" s="284"/>
      <c r="B2207" s="284"/>
      <c r="C2207" s="284"/>
      <c r="D2207" s="284"/>
      <c r="E2207" s="284"/>
      <c r="F2207" s="284"/>
      <c r="G2207" s="284"/>
      <c r="H2207" s="284"/>
      <c r="I2207" s="284"/>
      <c r="J2207" s="375"/>
      <c r="K2207" s="375"/>
      <c r="L2207" s="375"/>
      <c r="M2207" s="368"/>
      <c r="N2207" s="368"/>
      <c r="O2207" s="370"/>
      <c r="T2207" s="340"/>
      <c r="V2207" s="378"/>
      <c r="W2207" s="64" ph="1"/>
      <c r="X2207" s="241"/>
      <c r="Y2207" s="284"/>
      <c r="Z2207" s="207"/>
      <c r="AA2207" s="284"/>
      <c r="AB2207" s="284"/>
      <c r="AC2207" s="284"/>
      <c r="AD2207" s="284"/>
      <c r="AE2207" s="284"/>
      <c r="AF2207" s="284"/>
      <c r="AG2207" s="284"/>
    </row>
    <row r="2208" spans="1:33" ht="26.4">
      <c r="A2208" s="284"/>
      <c r="B2208" s="284"/>
      <c r="C2208" s="284"/>
      <c r="D2208" s="284"/>
      <c r="E2208" s="284"/>
      <c r="F2208" s="284"/>
      <c r="G2208" s="284"/>
      <c r="H2208" s="284"/>
      <c r="I2208" s="284"/>
      <c r="J2208" s="375"/>
      <c r="K2208" s="375"/>
      <c r="L2208" s="375"/>
      <c r="M2208" s="368"/>
      <c r="N2208" s="368"/>
      <c r="O2208" s="370"/>
      <c r="T2208" s="340"/>
      <c r="V2208" s="378"/>
      <c r="W2208" s="64" ph="1"/>
      <c r="X2208" s="241"/>
      <c r="Y2208" s="284"/>
      <c r="Z2208" s="207"/>
      <c r="AA2208" s="284"/>
      <c r="AB2208" s="284"/>
      <c r="AC2208" s="284"/>
      <c r="AD2208" s="284"/>
      <c r="AE2208" s="284"/>
      <c r="AF2208" s="284"/>
      <c r="AG2208" s="284"/>
    </row>
    <row r="2209" spans="1:33" ht="26.4">
      <c r="A2209" s="284"/>
      <c r="B2209" s="284"/>
      <c r="C2209" s="284"/>
      <c r="D2209" s="284"/>
      <c r="E2209" s="284"/>
      <c r="F2209" s="284"/>
      <c r="G2209" s="284"/>
      <c r="H2209" s="284"/>
      <c r="I2209" s="284"/>
      <c r="J2209" s="375"/>
      <c r="K2209" s="375"/>
      <c r="L2209" s="375"/>
      <c r="M2209" s="368"/>
      <c r="N2209" s="368"/>
      <c r="O2209" s="370"/>
      <c r="T2209" s="340"/>
      <c r="V2209" s="378"/>
      <c r="W2209" s="64" ph="1"/>
      <c r="X2209" s="241"/>
      <c r="Y2209" s="284"/>
      <c r="Z2209" s="207"/>
      <c r="AA2209" s="284"/>
      <c r="AB2209" s="284"/>
      <c r="AC2209" s="284"/>
      <c r="AD2209" s="284"/>
      <c r="AE2209" s="284"/>
      <c r="AF2209" s="284"/>
      <c r="AG2209" s="284"/>
    </row>
    <row r="2210" spans="1:33" ht="26.4">
      <c r="A2210" s="284"/>
      <c r="B2210" s="284"/>
      <c r="C2210" s="284"/>
      <c r="D2210" s="284"/>
      <c r="E2210" s="284"/>
      <c r="F2210" s="284"/>
      <c r="G2210" s="284"/>
      <c r="H2210" s="284"/>
      <c r="I2210" s="284"/>
      <c r="J2210" s="375"/>
      <c r="K2210" s="375"/>
      <c r="L2210" s="375"/>
      <c r="M2210" s="368"/>
      <c r="N2210" s="368"/>
      <c r="O2210" s="370"/>
      <c r="T2210" s="340"/>
      <c r="V2210" s="378"/>
      <c r="W2210" s="64" ph="1"/>
      <c r="X2210" s="241"/>
      <c r="Y2210" s="284"/>
      <c r="Z2210" s="207"/>
      <c r="AA2210" s="284"/>
      <c r="AB2210" s="284"/>
      <c r="AC2210" s="284"/>
      <c r="AD2210" s="284"/>
      <c r="AE2210" s="284"/>
      <c r="AF2210" s="284"/>
      <c r="AG2210" s="284"/>
    </row>
    <row r="2211" spans="1:33" ht="26.4">
      <c r="A2211" s="284"/>
      <c r="B2211" s="284"/>
      <c r="C2211" s="284"/>
      <c r="D2211" s="284"/>
      <c r="E2211" s="284"/>
      <c r="F2211" s="284"/>
      <c r="G2211" s="284"/>
      <c r="H2211" s="284"/>
      <c r="I2211" s="284"/>
      <c r="J2211" s="375"/>
      <c r="K2211" s="375"/>
      <c r="L2211" s="375"/>
      <c r="M2211" s="368"/>
      <c r="N2211" s="368"/>
      <c r="O2211" s="370"/>
      <c r="T2211" s="340"/>
      <c r="V2211" s="378"/>
      <c r="W2211" s="64" ph="1"/>
      <c r="X2211" s="241"/>
      <c r="Y2211" s="284"/>
      <c r="Z2211" s="207"/>
      <c r="AA2211" s="284"/>
      <c r="AB2211" s="284"/>
      <c r="AC2211" s="284"/>
      <c r="AD2211" s="284"/>
      <c r="AE2211" s="284"/>
      <c r="AF2211" s="284"/>
      <c r="AG2211" s="284"/>
    </row>
    <row r="2212" spans="1:33" ht="26.4">
      <c r="A2212" s="284"/>
      <c r="B2212" s="284"/>
      <c r="C2212" s="284"/>
      <c r="D2212" s="284"/>
      <c r="E2212" s="284"/>
      <c r="F2212" s="284"/>
      <c r="G2212" s="284"/>
      <c r="H2212" s="284"/>
      <c r="I2212" s="284"/>
      <c r="J2212" s="375"/>
      <c r="K2212" s="375"/>
      <c r="L2212" s="375"/>
      <c r="M2212" s="368"/>
      <c r="N2212" s="368"/>
      <c r="O2212" s="370"/>
      <c r="T2212" s="340"/>
      <c r="V2212" s="378"/>
      <c r="W2212" s="64" ph="1"/>
      <c r="X2212" s="241"/>
      <c r="Y2212" s="284"/>
      <c r="Z2212" s="207"/>
      <c r="AA2212" s="284"/>
      <c r="AB2212" s="284"/>
      <c r="AC2212" s="284"/>
      <c r="AD2212" s="284"/>
      <c r="AE2212" s="284"/>
      <c r="AF2212" s="284"/>
      <c r="AG2212" s="284"/>
    </row>
    <row r="2213" spans="1:33" ht="26.4">
      <c r="A2213" s="284"/>
      <c r="B2213" s="284"/>
      <c r="C2213" s="284"/>
      <c r="D2213" s="284"/>
      <c r="E2213" s="284"/>
      <c r="F2213" s="284"/>
      <c r="G2213" s="284"/>
      <c r="H2213" s="284"/>
      <c r="I2213" s="284"/>
      <c r="J2213" s="375"/>
      <c r="K2213" s="375"/>
      <c r="L2213" s="375"/>
      <c r="M2213" s="368"/>
      <c r="N2213" s="368"/>
      <c r="O2213" s="370"/>
      <c r="T2213" s="340"/>
      <c r="V2213" s="378"/>
      <c r="W2213" s="64" ph="1"/>
      <c r="X2213" s="241"/>
      <c r="Y2213" s="284"/>
      <c r="Z2213" s="207"/>
      <c r="AA2213" s="284"/>
      <c r="AB2213" s="284"/>
      <c r="AC2213" s="284"/>
      <c r="AD2213" s="284"/>
      <c r="AE2213" s="284"/>
      <c r="AF2213" s="284"/>
      <c r="AG2213" s="284"/>
    </row>
    <row r="2214" spans="1:33" ht="26.4">
      <c r="A2214" s="284"/>
      <c r="B2214" s="284"/>
      <c r="C2214" s="284"/>
      <c r="D2214" s="284"/>
      <c r="E2214" s="284"/>
      <c r="F2214" s="284"/>
      <c r="G2214" s="284"/>
      <c r="H2214" s="284"/>
      <c r="I2214" s="284"/>
      <c r="J2214" s="375"/>
      <c r="K2214" s="375"/>
      <c r="L2214" s="375"/>
      <c r="M2214" s="368"/>
      <c r="N2214" s="368"/>
      <c r="O2214" s="370"/>
      <c r="T2214" s="340"/>
      <c r="V2214" s="378"/>
      <c r="W2214" s="64" ph="1"/>
      <c r="X2214" s="241"/>
      <c r="Y2214" s="284"/>
      <c r="Z2214" s="207"/>
      <c r="AA2214" s="284"/>
      <c r="AB2214" s="284"/>
      <c r="AC2214" s="284"/>
      <c r="AD2214" s="284"/>
      <c r="AE2214" s="284"/>
      <c r="AF2214" s="284"/>
      <c r="AG2214" s="284"/>
    </row>
    <row r="2215" spans="1:33" ht="26.4">
      <c r="A2215" s="284"/>
      <c r="B2215" s="284"/>
      <c r="C2215" s="284"/>
      <c r="D2215" s="284"/>
      <c r="E2215" s="284"/>
      <c r="F2215" s="284"/>
      <c r="G2215" s="284"/>
      <c r="H2215" s="284"/>
      <c r="I2215" s="284"/>
      <c r="J2215" s="375"/>
      <c r="K2215" s="375"/>
      <c r="L2215" s="375"/>
      <c r="M2215" s="368"/>
      <c r="N2215" s="368"/>
      <c r="O2215" s="370"/>
      <c r="T2215" s="340"/>
      <c r="V2215" s="378"/>
      <c r="W2215" s="64" ph="1"/>
      <c r="X2215" s="241"/>
      <c r="Y2215" s="284"/>
      <c r="Z2215" s="207"/>
      <c r="AA2215" s="284"/>
      <c r="AB2215" s="284"/>
      <c r="AC2215" s="284"/>
      <c r="AD2215" s="284"/>
      <c r="AE2215" s="284"/>
      <c r="AF2215" s="284"/>
      <c r="AG2215" s="284"/>
    </row>
    <row r="2216" spans="1:33" ht="26.4">
      <c r="A2216" s="284"/>
      <c r="B2216" s="284"/>
      <c r="C2216" s="284"/>
      <c r="D2216" s="284"/>
      <c r="E2216" s="284"/>
      <c r="F2216" s="284"/>
      <c r="G2216" s="284"/>
      <c r="H2216" s="284"/>
      <c r="I2216" s="284"/>
      <c r="J2216" s="375"/>
      <c r="K2216" s="375"/>
      <c r="L2216" s="375"/>
      <c r="M2216" s="368"/>
      <c r="N2216" s="368"/>
      <c r="O2216" s="370"/>
      <c r="T2216" s="340"/>
      <c r="V2216" s="378"/>
      <c r="W2216" s="64" ph="1"/>
      <c r="X2216" s="241"/>
      <c r="Y2216" s="284"/>
      <c r="Z2216" s="207"/>
      <c r="AA2216" s="284"/>
      <c r="AB2216" s="284"/>
      <c r="AC2216" s="284"/>
      <c r="AD2216" s="284"/>
      <c r="AE2216" s="284"/>
      <c r="AF2216" s="284"/>
      <c r="AG2216" s="284"/>
    </row>
    <row r="2217" spans="1:33" ht="26.4">
      <c r="A2217" s="284"/>
      <c r="B2217" s="284"/>
      <c r="C2217" s="284"/>
      <c r="D2217" s="284"/>
      <c r="E2217" s="284"/>
      <c r="F2217" s="284"/>
      <c r="G2217" s="284"/>
      <c r="H2217" s="284"/>
      <c r="I2217" s="284"/>
      <c r="J2217" s="375"/>
      <c r="K2217" s="375"/>
      <c r="L2217" s="375"/>
      <c r="M2217" s="368"/>
      <c r="N2217" s="368"/>
      <c r="O2217" s="370"/>
      <c r="T2217" s="340"/>
      <c r="V2217" s="378"/>
      <c r="W2217" s="64" ph="1"/>
      <c r="X2217" s="241"/>
      <c r="Y2217" s="284"/>
      <c r="Z2217" s="207"/>
      <c r="AA2217" s="284"/>
      <c r="AB2217" s="284"/>
      <c r="AC2217" s="284"/>
      <c r="AD2217" s="284"/>
      <c r="AE2217" s="284"/>
      <c r="AF2217" s="284"/>
      <c r="AG2217" s="284"/>
    </row>
    <row r="2218" spans="1:33" ht="26.4">
      <c r="A2218" s="284"/>
      <c r="B2218" s="284"/>
      <c r="C2218" s="284"/>
      <c r="D2218" s="284"/>
      <c r="E2218" s="284"/>
      <c r="F2218" s="284"/>
      <c r="G2218" s="284"/>
      <c r="H2218" s="284"/>
      <c r="I2218" s="284"/>
      <c r="J2218" s="375"/>
      <c r="K2218" s="375"/>
      <c r="L2218" s="375"/>
      <c r="M2218" s="368"/>
      <c r="N2218" s="368"/>
      <c r="O2218" s="370"/>
      <c r="T2218" s="340"/>
      <c r="V2218" s="378"/>
      <c r="W2218" s="64" ph="1"/>
      <c r="X2218" s="241"/>
      <c r="Y2218" s="284"/>
      <c r="Z2218" s="207"/>
      <c r="AA2218" s="284"/>
      <c r="AB2218" s="284"/>
      <c r="AC2218" s="284"/>
      <c r="AD2218" s="284"/>
      <c r="AE2218" s="284"/>
      <c r="AF2218" s="284"/>
      <c r="AG2218" s="284"/>
    </row>
    <row r="2219" spans="1:33" ht="26.4">
      <c r="A2219" s="284"/>
      <c r="B2219" s="284"/>
      <c r="C2219" s="284"/>
      <c r="D2219" s="284"/>
      <c r="E2219" s="284"/>
      <c r="F2219" s="284"/>
      <c r="G2219" s="284"/>
      <c r="H2219" s="284"/>
      <c r="I2219" s="284"/>
      <c r="J2219" s="375"/>
      <c r="K2219" s="375"/>
      <c r="L2219" s="375"/>
      <c r="M2219" s="368"/>
      <c r="N2219" s="368"/>
      <c r="O2219" s="370"/>
      <c r="T2219" s="340"/>
      <c r="V2219" s="378"/>
      <c r="W2219" s="64" ph="1"/>
      <c r="X2219" s="241"/>
      <c r="Y2219" s="284"/>
      <c r="Z2219" s="207"/>
      <c r="AA2219" s="284"/>
      <c r="AB2219" s="284"/>
      <c r="AC2219" s="284"/>
      <c r="AD2219" s="284"/>
      <c r="AE2219" s="284"/>
      <c r="AF2219" s="284"/>
      <c r="AG2219" s="284"/>
    </row>
    <row r="2220" spans="1:33" ht="26.4">
      <c r="A2220" s="284"/>
      <c r="B2220" s="284"/>
      <c r="C2220" s="284"/>
      <c r="D2220" s="284"/>
      <c r="E2220" s="284"/>
      <c r="F2220" s="284"/>
      <c r="G2220" s="284"/>
      <c r="H2220" s="284"/>
      <c r="I2220" s="284"/>
      <c r="J2220" s="375"/>
      <c r="K2220" s="375"/>
      <c r="L2220" s="375"/>
      <c r="M2220" s="368"/>
      <c r="N2220" s="368"/>
      <c r="O2220" s="370"/>
      <c r="T2220" s="340"/>
      <c r="V2220" s="378"/>
      <c r="W2220" s="64" ph="1"/>
      <c r="X2220" s="241"/>
      <c r="Y2220" s="284"/>
      <c r="Z2220" s="207"/>
      <c r="AA2220" s="284"/>
      <c r="AB2220" s="284"/>
      <c r="AC2220" s="284"/>
      <c r="AD2220" s="284"/>
      <c r="AE2220" s="284"/>
      <c r="AF2220" s="284"/>
      <c r="AG2220" s="284"/>
    </row>
    <row r="2221" spans="1:33" ht="26.4">
      <c r="A2221" s="284"/>
      <c r="B2221" s="284"/>
      <c r="C2221" s="284"/>
      <c r="D2221" s="284"/>
      <c r="E2221" s="284"/>
      <c r="F2221" s="284"/>
      <c r="G2221" s="284"/>
      <c r="H2221" s="284"/>
      <c r="I2221" s="284"/>
      <c r="J2221" s="375"/>
      <c r="K2221" s="375"/>
      <c r="L2221" s="375"/>
      <c r="M2221" s="368"/>
      <c r="N2221" s="368"/>
      <c r="O2221" s="370"/>
      <c r="T2221" s="340"/>
      <c r="V2221" s="378"/>
      <c r="W2221" s="64" ph="1"/>
      <c r="X2221" s="241"/>
      <c r="Y2221" s="284"/>
      <c r="Z2221" s="207"/>
      <c r="AA2221" s="284"/>
      <c r="AB2221" s="284"/>
      <c r="AC2221" s="284"/>
      <c r="AD2221" s="284"/>
      <c r="AE2221" s="284"/>
      <c r="AF2221" s="284"/>
      <c r="AG2221" s="284"/>
    </row>
    <row r="2222" spans="1:33" ht="26.4">
      <c r="A2222" s="284"/>
      <c r="B2222" s="284"/>
      <c r="C2222" s="284"/>
      <c r="D2222" s="284"/>
      <c r="E2222" s="284"/>
      <c r="F2222" s="284"/>
      <c r="G2222" s="284"/>
      <c r="H2222" s="284"/>
      <c r="I2222" s="284"/>
      <c r="J2222" s="375"/>
      <c r="K2222" s="375"/>
      <c r="L2222" s="375"/>
      <c r="M2222" s="368"/>
      <c r="N2222" s="368"/>
      <c r="O2222" s="370"/>
      <c r="T2222" s="340"/>
      <c r="V2222" s="378"/>
      <c r="W2222" s="64" ph="1"/>
      <c r="X2222" s="241"/>
      <c r="Y2222" s="284"/>
      <c r="Z2222" s="207"/>
      <c r="AA2222" s="284"/>
      <c r="AB2222" s="284"/>
      <c r="AC2222" s="284"/>
      <c r="AD2222" s="284"/>
      <c r="AE2222" s="284"/>
      <c r="AF2222" s="284"/>
      <c r="AG2222" s="284"/>
    </row>
    <row r="2223" spans="1:33" ht="26.4">
      <c r="A2223" s="284"/>
      <c r="B2223" s="284"/>
      <c r="C2223" s="284"/>
      <c r="D2223" s="284"/>
      <c r="E2223" s="284"/>
      <c r="F2223" s="284"/>
      <c r="G2223" s="284"/>
      <c r="H2223" s="284"/>
      <c r="I2223" s="284"/>
      <c r="J2223" s="375"/>
      <c r="K2223" s="375"/>
      <c r="L2223" s="375"/>
      <c r="M2223" s="368"/>
      <c r="N2223" s="368"/>
      <c r="O2223" s="370"/>
      <c r="T2223" s="340"/>
      <c r="V2223" s="378"/>
      <c r="W2223" s="64" ph="1"/>
      <c r="X2223" s="241"/>
      <c r="Y2223" s="284"/>
      <c r="Z2223" s="207"/>
      <c r="AA2223" s="284"/>
      <c r="AB2223" s="284"/>
      <c r="AC2223" s="284"/>
      <c r="AD2223" s="284"/>
      <c r="AE2223" s="284"/>
      <c r="AF2223" s="284"/>
      <c r="AG2223" s="284"/>
    </row>
    <row r="2224" spans="1:33" ht="26.4">
      <c r="A2224" s="284"/>
      <c r="B2224" s="284"/>
      <c r="C2224" s="284"/>
      <c r="D2224" s="284"/>
      <c r="E2224" s="284"/>
      <c r="F2224" s="284"/>
      <c r="G2224" s="284"/>
      <c r="H2224" s="284"/>
      <c r="I2224" s="284"/>
      <c r="J2224" s="375"/>
      <c r="K2224" s="375"/>
      <c r="L2224" s="375"/>
      <c r="M2224" s="368"/>
      <c r="N2224" s="368"/>
      <c r="O2224" s="370"/>
      <c r="T2224" s="340"/>
      <c r="V2224" s="378"/>
      <c r="W2224" s="64" ph="1"/>
      <c r="X2224" s="241"/>
      <c r="Y2224" s="284"/>
      <c r="Z2224" s="207"/>
      <c r="AA2224" s="284"/>
      <c r="AB2224" s="284"/>
      <c r="AC2224" s="284"/>
      <c r="AD2224" s="284"/>
      <c r="AE2224" s="284"/>
      <c r="AF2224" s="284"/>
      <c r="AG2224" s="284"/>
    </row>
    <row r="2225" spans="1:33" ht="26.4">
      <c r="A2225" s="284"/>
      <c r="B2225" s="284"/>
      <c r="C2225" s="284"/>
      <c r="D2225" s="284"/>
      <c r="E2225" s="284"/>
      <c r="F2225" s="284"/>
      <c r="G2225" s="284"/>
      <c r="H2225" s="284"/>
      <c r="I2225" s="284"/>
      <c r="J2225" s="375"/>
      <c r="K2225" s="375"/>
      <c r="L2225" s="375"/>
      <c r="M2225" s="368"/>
      <c r="N2225" s="368"/>
      <c r="O2225" s="370"/>
      <c r="T2225" s="340"/>
      <c r="V2225" s="378"/>
      <c r="W2225" s="64" ph="1"/>
      <c r="X2225" s="241"/>
      <c r="Y2225" s="284"/>
      <c r="Z2225" s="207"/>
      <c r="AA2225" s="284"/>
      <c r="AB2225" s="284"/>
      <c r="AC2225" s="284"/>
      <c r="AD2225" s="284"/>
      <c r="AE2225" s="284"/>
      <c r="AF2225" s="284"/>
      <c r="AG2225" s="284"/>
    </row>
    <row r="2226" spans="1:33" ht="26.4">
      <c r="A2226" s="284"/>
      <c r="B2226" s="284"/>
      <c r="C2226" s="284"/>
      <c r="D2226" s="284"/>
      <c r="E2226" s="284"/>
      <c r="F2226" s="284"/>
      <c r="G2226" s="284"/>
      <c r="H2226" s="284"/>
      <c r="I2226" s="284"/>
      <c r="J2226" s="375"/>
      <c r="K2226" s="375"/>
      <c r="L2226" s="375"/>
      <c r="M2226" s="368"/>
      <c r="N2226" s="368"/>
      <c r="O2226" s="370"/>
      <c r="T2226" s="340"/>
      <c r="V2226" s="378"/>
      <c r="W2226" s="64" ph="1"/>
      <c r="X2226" s="241"/>
      <c r="Y2226" s="284"/>
      <c r="Z2226" s="207"/>
      <c r="AA2226" s="284"/>
      <c r="AB2226" s="284"/>
      <c r="AC2226" s="284"/>
      <c r="AD2226" s="284"/>
      <c r="AE2226" s="284"/>
      <c r="AF2226" s="284"/>
      <c r="AG2226" s="284"/>
    </row>
    <row r="2227" spans="1:33" ht="26.4">
      <c r="A2227" s="284"/>
      <c r="B2227" s="284"/>
      <c r="C2227" s="284"/>
      <c r="D2227" s="284"/>
      <c r="E2227" s="284"/>
      <c r="F2227" s="284"/>
      <c r="G2227" s="284"/>
      <c r="H2227" s="284"/>
      <c r="I2227" s="284"/>
      <c r="J2227" s="375"/>
      <c r="K2227" s="375"/>
      <c r="L2227" s="375"/>
      <c r="M2227" s="368"/>
      <c r="N2227" s="368"/>
      <c r="O2227" s="370"/>
      <c r="T2227" s="340"/>
      <c r="V2227" s="378"/>
      <c r="W2227" s="64" ph="1"/>
      <c r="X2227" s="241"/>
      <c r="Y2227" s="284"/>
      <c r="Z2227" s="207"/>
      <c r="AA2227" s="284"/>
      <c r="AB2227" s="284"/>
      <c r="AC2227" s="284"/>
      <c r="AD2227" s="284"/>
      <c r="AE2227" s="284"/>
      <c r="AF2227" s="284"/>
      <c r="AG2227" s="284"/>
    </row>
    <row r="2228" spans="1:33" ht="26.4">
      <c r="A2228" s="284"/>
      <c r="B2228" s="284"/>
      <c r="C2228" s="284"/>
      <c r="D2228" s="284"/>
      <c r="E2228" s="284"/>
      <c r="F2228" s="284"/>
      <c r="G2228" s="284"/>
      <c r="H2228" s="284"/>
      <c r="I2228" s="284"/>
      <c r="J2228" s="375"/>
      <c r="K2228" s="375"/>
      <c r="L2228" s="375"/>
      <c r="M2228" s="368"/>
      <c r="N2228" s="368"/>
      <c r="O2228" s="370"/>
      <c r="T2228" s="340"/>
      <c r="V2228" s="378"/>
      <c r="W2228" s="64" ph="1"/>
      <c r="X2228" s="241"/>
      <c r="Y2228" s="284"/>
      <c r="Z2228" s="207"/>
      <c r="AA2228" s="284"/>
      <c r="AB2228" s="284"/>
      <c r="AC2228" s="284"/>
      <c r="AD2228" s="284"/>
      <c r="AE2228" s="284"/>
      <c r="AF2228" s="284"/>
      <c r="AG2228" s="284"/>
    </row>
    <row r="2229" spans="1:33" ht="26.4">
      <c r="A2229" s="284"/>
      <c r="B2229" s="284"/>
      <c r="C2229" s="284"/>
      <c r="D2229" s="284"/>
      <c r="E2229" s="284"/>
      <c r="F2229" s="284"/>
      <c r="G2229" s="284"/>
      <c r="H2229" s="284"/>
      <c r="I2229" s="284"/>
      <c r="J2229" s="375"/>
      <c r="K2229" s="375"/>
      <c r="L2229" s="375"/>
      <c r="M2229" s="368"/>
      <c r="N2229" s="368"/>
      <c r="O2229" s="370"/>
      <c r="T2229" s="340"/>
      <c r="V2229" s="378"/>
      <c r="W2229" s="64" ph="1"/>
      <c r="X2229" s="241"/>
      <c r="Y2229" s="284"/>
      <c r="Z2229" s="207"/>
      <c r="AA2229" s="284"/>
      <c r="AB2229" s="284"/>
      <c r="AC2229" s="284"/>
      <c r="AD2229" s="284"/>
      <c r="AE2229" s="284"/>
      <c r="AF2229" s="284"/>
      <c r="AG2229" s="284"/>
    </row>
    <row r="2230" spans="1:33" ht="26.4">
      <c r="A2230" s="284"/>
      <c r="B2230" s="284"/>
      <c r="C2230" s="284"/>
      <c r="D2230" s="284"/>
      <c r="E2230" s="284"/>
      <c r="F2230" s="284"/>
      <c r="G2230" s="284"/>
      <c r="H2230" s="284"/>
      <c r="I2230" s="284"/>
      <c r="J2230" s="375"/>
      <c r="K2230" s="375"/>
      <c r="L2230" s="375"/>
      <c r="M2230" s="368"/>
      <c r="N2230" s="368"/>
      <c r="O2230" s="370"/>
      <c r="T2230" s="340"/>
      <c r="V2230" s="378"/>
      <c r="W2230" s="64" ph="1"/>
      <c r="X2230" s="241"/>
      <c r="Y2230" s="284"/>
      <c r="Z2230" s="207"/>
      <c r="AA2230" s="284"/>
      <c r="AB2230" s="284"/>
      <c r="AC2230" s="284"/>
      <c r="AD2230" s="284"/>
      <c r="AE2230" s="284"/>
      <c r="AF2230" s="284"/>
      <c r="AG2230" s="284"/>
    </row>
    <row r="2231" spans="1:33" ht="26.4">
      <c r="A2231" s="284"/>
      <c r="B2231" s="284"/>
      <c r="C2231" s="284"/>
      <c r="D2231" s="284"/>
      <c r="E2231" s="284"/>
      <c r="F2231" s="284"/>
      <c r="G2231" s="284"/>
      <c r="H2231" s="284"/>
      <c r="I2231" s="284"/>
      <c r="J2231" s="375"/>
      <c r="K2231" s="375"/>
      <c r="L2231" s="375"/>
      <c r="M2231" s="368"/>
      <c r="N2231" s="368"/>
      <c r="O2231" s="370"/>
      <c r="T2231" s="340"/>
      <c r="V2231" s="378"/>
      <c r="W2231" s="64" ph="1"/>
      <c r="X2231" s="241"/>
      <c r="Y2231" s="284"/>
      <c r="Z2231" s="207"/>
      <c r="AA2231" s="284"/>
      <c r="AB2231" s="284"/>
      <c r="AC2231" s="284"/>
      <c r="AD2231" s="284"/>
      <c r="AE2231" s="284"/>
      <c r="AF2231" s="284"/>
      <c r="AG2231" s="284"/>
    </row>
    <row r="2232" spans="1:33" ht="26.4">
      <c r="A2232" s="284"/>
      <c r="B2232" s="284"/>
      <c r="C2232" s="284"/>
      <c r="D2232" s="284"/>
      <c r="E2232" s="284"/>
      <c r="F2232" s="284"/>
      <c r="G2232" s="284"/>
      <c r="H2232" s="284"/>
      <c r="I2232" s="284"/>
      <c r="J2232" s="375"/>
      <c r="K2232" s="375"/>
      <c r="L2232" s="375"/>
      <c r="M2232" s="368"/>
      <c r="N2232" s="368"/>
      <c r="O2232" s="370"/>
      <c r="T2232" s="340"/>
      <c r="V2232" s="378"/>
      <c r="W2232" s="64" ph="1"/>
      <c r="X2232" s="241"/>
      <c r="Y2232" s="284"/>
      <c r="Z2232" s="207"/>
      <c r="AA2232" s="284"/>
      <c r="AB2232" s="284"/>
      <c r="AC2232" s="284"/>
      <c r="AD2232" s="284"/>
      <c r="AE2232" s="284"/>
      <c r="AF2232" s="284"/>
      <c r="AG2232" s="284"/>
    </row>
    <row r="2233" spans="1:33" ht="26.4">
      <c r="A2233" s="284"/>
      <c r="B2233" s="284"/>
      <c r="C2233" s="284"/>
      <c r="D2233" s="284"/>
      <c r="E2233" s="284"/>
      <c r="F2233" s="284"/>
      <c r="G2233" s="284"/>
      <c r="H2233" s="284"/>
      <c r="I2233" s="284"/>
      <c r="J2233" s="375"/>
      <c r="K2233" s="375"/>
      <c r="L2233" s="375"/>
      <c r="M2233" s="368"/>
      <c r="N2233" s="368"/>
      <c r="O2233" s="370"/>
      <c r="T2233" s="340"/>
      <c r="V2233" s="378"/>
      <c r="W2233" s="64" ph="1"/>
      <c r="X2233" s="241"/>
      <c r="Y2233" s="284"/>
      <c r="Z2233" s="207"/>
      <c r="AA2233" s="284"/>
      <c r="AB2233" s="284"/>
      <c r="AC2233" s="284"/>
      <c r="AD2233" s="284"/>
      <c r="AE2233" s="284"/>
      <c r="AF2233" s="284"/>
      <c r="AG2233" s="284"/>
    </row>
    <row r="2234" spans="1:33" ht="26.4">
      <c r="A2234" s="284"/>
      <c r="B2234" s="284"/>
      <c r="C2234" s="284"/>
      <c r="D2234" s="284"/>
      <c r="E2234" s="284"/>
      <c r="F2234" s="284"/>
      <c r="G2234" s="284"/>
      <c r="H2234" s="284"/>
      <c r="I2234" s="284"/>
      <c r="J2234" s="375"/>
      <c r="K2234" s="375"/>
      <c r="L2234" s="375"/>
      <c r="M2234" s="368"/>
      <c r="N2234" s="368"/>
      <c r="O2234" s="370"/>
      <c r="T2234" s="340"/>
      <c r="V2234" s="378"/>
      <c r="W2234" s="64" ph="1"/>
      <c r="X2234" s="241"/>
      <c r="Y2234" s="284"/>
      <c r="Z2234" s="207"/>
      <c r="AA2234" s="284"/>
      <c r="AB2234" s="284"/>
      <c r="AC2234" s="284"/>
      <c r="AD2234" s="284"/>
      <c r="AE2234" s="284"/>
      <c r="AF2234" s="284"/>
      <c r="AG2234" s="284"/>
    </row>
    <row r="2235" spans="1:33" ht="26.4">
      <c r="A2235" s="284"/>
      <c r="B2235" s="284"/>
      <c r="C2235" s="284"/>
      <c r="D2235" s="284"/>
      <c r="E2235" s="284"/>
      <c r="F2235" s="284"/>
      <c r="G2235" s="284"/>
      <c r="H2235" s="284"/>
      <c r="I2235" s="284"/>
      <c r="J2235" s="375"/>
      <c r="K2235" s="375"/>
      <c r="L2235" s="375"/>
      <c r="M2235" s="368"/>
      <c r="N2235" s="368"/>
      <c r="O2235" s="370"/>
      <c r="T2235" s="340"/>
      <c r="V2235" s="378"/>
      <c r="W2235" s="64" ph="1"/>
      <c r="X2235" s="241"/>
      <c r="Y2235" s="284"/>
      <c r="Z2235" s="207"/>
      <c r="AA2235" s="284"/>
      <c r="AB2235" s="284"/>
      <c r="AC2235" s="284"/>
      <c r="AD2235" s="284"/>
      <c r="AE2235" s="284"/>
      <c r="AF2235" s="284"/>
      <c r="AG2235" s="284"/>
    </row>
    <row r="2236" spans="1:33" ht="26.4">
      <c r="A2236" s="284"/>
      <c r="B2236" s="284"/>
      <c r="C2236" s="284"/>
      <c r="D2236" s="284"/>
      <c r="E2236" s="284"/>
      <c r="F2236" s="284"/>
      <c r="G2236" s="284"/>
      <c r="H2236" s="284"/>
      <c r="I2236" s="284"/>
      <c r="J2236" s="375"/>
      <c r="K2236" s="375"/>
      <c r="L2236" s="375"/>
      <c r="M2236" s="368"/>
      <c r="N2236" s="368"/>
      <c r="O2236" s="370"/>
      <c r="T2236" s="340"/>
      <c r="V2236" s="378"/>
      <c r="W2236" s="64" ph="1"/>
      <c r="X2236" s="241"/>
      <c r="Y2236" s="284"/>
      <c r="Z2236" s="207"/>
      <c r="AA2236" s="284"/>
      <c r="AB2236" s="284"/>
      <c r="AC2236" s="284"/>
      <c r="AD2236" s="284"/>
      <c r="AE2236" s="284"/>
      <c r="AF2236" s="284"/>
      <c r="AG2236" s="284"/>
    </row>
    <row r="2237" spans="1:33" ht="26.4">
      <c r="A2237" s="284"/>
      <c r="B2237" s="284"/>
      <c r="C2237" s="284"/>
      <c r="D2237" s="284"/>
      <c r="E2237" s="284"/>
      <c r="F2237" s="284"/>
      <c r="G2237" s="284"/>
      <c r="H2237" s="284"/>
      <c r="I2237" s="284"/>
      <c r="J2237" s="375"/>
      <c r="K2237" s="375"/>
      <c r="L2237" s="375"/>
      <c r="M2237" s="368"/>
      <c r="N2237" s="368"/>
      <c r="O2237" s="370"/>
      <c r="T2237" s="340"/>
      <c r="V2237" s="378"/>
      <c r="W2237" s="64" ph="1"/>
      <c r="X2237" s="241"/>
      <c r="Y2237" s="284"/>
      <c r="Z2237" s="207"/>
      <c r="AA2237" s="284"/>
      <c r="AB2237" s="284"/>
      <c r="AC2237" s="284"/>
      <c r="AD2237" s="284"/>
      <c r="AE2237" s="284"/>
      <c r="AF2237" s="284"/>
      <c r="AG2237" s="284"/>
    </row>
    <row r="2238" spans="1:33" ht="26.4">
      <c r="A2238" s="284"/>
      <c r="B2238" s="284"/>
      <c r="C2238" s="284"/>
      <c r="D2238" s="284"/>
      <c r="E2238" s="284"/>
      <c r="F2238" s="284"/>
      <c r="G2238" s="284"/>
      <c r="H2238" s="284"/>
      <c r="I2238" s="284"/>
      <c r="J2238" s="375"/>
      <c r="K2238" s="375"/>
      <c r="L2238" s="375"/>
      <c r="M2238" s="368"/>
      <c r="N2238" s="368"/>
      <c r="O2238" s="370"/>
      <c r="T2238" s="340"/>
      <c r="V2238" s="378"/>
      <c r="W2238" s="64" ph="1"/>
      <c r="X2238" s="241"/>
      <c r="Y2238" s="284"/>
      <c r="Z2238" s="207"/>
      <c r="AA2238" s="284"/>
      <c r="AB2238" s="284"/>
      <c r="AC2238" s="284"/>
      <c r="AD2238" s="284"/>
      <c r="AE2238" s="284"/>
      <c r="AF2238" s="284"/>
      <c r="AG2238" s="284"/>
    </row>
    <row r="2239" spans="1:33" ht="26.4">
      <c r="A2239" s="284"/>
      <c r="B2239" s="284"/>
      <c r="C2239" s="284"/>
      <c r="D2239" s="284"/>
      <c r="E2239" s="284"/>
      <c r="F2239" s="284"/>
      <c r="G2239" s="284"/>
      <c r="H2239" s="284"/>
      <c r="I2239" s="284"/>
      <c r="J2239" s="375"/>
      <c r="K2239" s="375"/>
      <c r="L2239" s="375"/>
      <c r="M2239" s="368"/>
      <c r="N2239" s="368"/>
      <c r="O2239" s="370"/>
      <c r="T2239" s="340"/>
      <c r="V2239" s="378"/>
      <c r="W2239" s="64" ph="1"/>
      <c r="X2239" s="241"/>
      <c r="Y2239" s="284"/>
      <c r="Z2239" s="207"/>
      <c r="AA2239" s="284"/>
      <c r="AB2239" s="284"/>
      <c r="AC2239" s="284"/>
      <c r="AD2239" s="284"/>
      <c r="AE2239" s="284"/>
      <c r="AF2239" s="284"/>
      <c r="AG2239" s="284"/>
    </row>
    <row r="2240" spans="1:33" ht="26.4">
      <c r="A2240" s="284"/>
      <c r="B2240" s="284"/>
      <c r="C2240" s="284"/>
      <c r="D2240" s="284"/>
      <c r="E2240" s="284"/>
      <c r="F2240" s="284"/>
      <c r="G2240" s="284"/>
      <c r="H2240" s="284"/>
      <c r="I2240" s="284"/>
      <c r="J2240" s="375"/>
      <c r="K2240" s="375"/>
      <c r="L2240" s="375"/>
      <c r="M2240" s="368"/>
      <c r="N2240" s="368"/>
      <c r="O2240" s="370"/>
      <c r="T2240" s="340"/>
      <c r="V2240" s="378"/>
      <c r="W2240" s="64" ph="1"/>
      <c r="X2240" s="241"/>
      <c r="Y2240" s="284"/>
      <c r="Z2240" s="207"/>
      <c r="AA2240" s="284"/>
      <c r="AB2240" s="284"/>
      <c r="AC2240" s="284"/>
      <c r="AD2240" s="284"/>
      <c r="AE2240" s="284"/>
      <c r="AF2240" s="284"/>
      <c r="AG2240" s="284"/>
    </row>
    <row r="2241" spans="1:33" ht="26.4">
      <c r="A2241" s="284"/>
      <c r="B2241" s="284"/>
      <c r="C2241" s="284"/>
      <c r="D2241" s="284"/>
      <c r="E2241" s="284"/>
      <c r="F2241" s="284"/>
      <c r="G2241" s="284"/>
      <c r="H2241" s="284"/>
      <c r="I2241" s="284"/>
      <c r="J2241" s="375"/>
      <c r="K2241" s="375"/>
      <c r="L2241" s="375"/>
      <c r="M2241" s="368"/>
      <c r="N2241" s="368"/>
      <c r="O2241" s="370"/>
      <c r="T2241" s="340"/>
      <c r="V2241" s="378"/>
      <c r="W2241" s="64" ph="1"/>
      <c r="X2241" s="241"/>
      <c r="Y2241" s="284"/>
      <c r="Z2241" s="207"/>
      <c r="AA2241" s="284"/>
      <c r="AB2241" s="284"/>
      <c r="AC2241" s="284"/>
      <c r="AD2241" s="284"/>
      <c r="AE2241" s="284"/>
      <c r="AF2241" s="284"/>
      <c r="AG2241" s="284"/>
    </row>
    <row r="2242" spans="1:33" ht="26.4">
      <c r="A2242" s="284"/>
      <c r="B2242" s="284"/>
      <c r="C2242" s="284"/>
      <c r="D2242" s="284"/>
      <c r="E2242" s="284"/>
      <c r="F2242" s="284"/>
      <c r="G2242" s="284"/>
      <c r="H2242" s="284"/>
      <c r="I2242" s="284"/>
      <c r="J2242" s="375"/>
      <c r="K2242" s="375"/>
      <c r="L2242" s="375"/>
      <c r="M2242" s="368"/>
      <c r="N2242" s="368"/>
      <c r="O2242" s="370"/>
      <c r="T2242" s="340"/>
      <c r="V2242" s="378"/>
      <c r="W2242" s="64" ph="1"/>
      <c r="X2242" s="241"/>
      <c r="Y2242" s="284"/>
      <c r="Z2242" s="207"/>
      <c r="AA2242" s="284"/>
      <c r="AB2242" s="284"/>
      <c r="AC2242" s="284"/>
      <c r="AD2242" s="284"/>
      <c r="AE2242" s="284"/>
      <c r="AF2242" s="284"/>
      <c r="AG2242" s="284"/>
    </row>
    <row r="2243" spans="1:33" ht="26.4">
      <c r="A2243" s="284"/>
      <c r="B2243" s="284"/>
      <c r="C2243" s="284"/>
      <c r="D2243" s="284"/>
      <c r="E2243" s="284"/>
      <c r="F2243" s="284"/>
      <c r="G2243" s="284"/>
      <c r="H2243" s="284"/>
      <c r="I2243" s="284"/>
      <c r="J2243" s="375"/>
      <c r="K2243" s="375"/>
      <c r="L2243" s="375"/>
      <c r="M2243" s="368"/>
      <c r="N2243" s="368"/>
      <c r="O2243" s="370"/>
      <c r="T2243" s="340"/>
      <c r="V2243" s="378"/>
      <c r="W2243" s="64" ph="1"/>
      <c r="X2243" s="241"/>
      <c r="Y2243" s="284"/>
      <c r="Z2243" s="207"/>
      <c r="AA2243" s="284"/>
      <c r="AB2243" s="284"/>
      <c r="AC2243" s="284"/>
      <c r="AD2243" s="284"/>
      <c r="AE2243" s="284"/>
      <c r="AF2243" s="284"/>
      <c r="AG2243" s="284"/>
    </row>
    <row r="2244" spans="1:33" ht="26.4">
      <c r="A2244" s="284"/>
      <c r="B2244" s="284"/>
      <c r="C2244" s="284"/>
      <c r="D2244" s="284"/>
      <c r="E2244" s="284"/>
      <c r="F2244" s="284"/>
      <c r="G2244" s="284"/>
      <c r="H2244" s="284"/>
      <c r="I2244" s="284"/>
      <c r="J2244" s="375"/>
      <c r="K2244" s="375"/>
      <c r="L2244" s="375"/>
      <c r="M2244" s="368"/>
      <c r="N2244" s="368"/>
      <c r="O2244" s="370"/>
      <c r="T2244" s="340"/>
      <c r="V2244" s="378"/>
      <c r="W2244" s="64" ph="1"/>
      <c r="X2244" s="241"/>
      <c r="Y2244" s="284"/>
      <c r="Z2244" s="207"/>
      <c r="AA2244" s="284"/>
      <c r="AB2244" s="284"/>
      <c r="AC2244" s="284"/>
      <c r="AD2244" s="284"/>
      <c r="AE2244" s="284"/>
      <c r="AF2244" s="284"/>
      <c r="AG2244" s="284"/>
    </row>
    <row r="2245" spans="1:33" ht="26.4">
      <c r="A2245" s="284"/>
      <c r="B2245" s="284"/>
      <c r="C2245" s="284"/>
      <c r="D2245" s="284"/>
      <c r="E2245" s="284"/>
      <c r="F2245" s="284"/>
      <c r="G2245" s="284"/>
      <c r="H2245" s="284"/>
      <c r="I2245" s="284"/>
      <c r="J2245" s="375"/>
      <c r="K2245" s="375"/>
      <c r="L2245" s="375"/>
      <c r="M2245" s="368"/>
      <c r="N2245" s="368"/>
      <c r="O2245" s="370"/>
      <c r="T2245" s="340"/>
      <c r="V2245" s="378"/>
      <c r="W2245" s="64" ph="1"/>
      <c r="X2245" s="241"/>
      <c r="Y2245" s="284"/>
      <c r="Z2245" s="207"/>
      <c r="AA2245" s="284"/>
      <c r="AB2245" s="284"/>
      <c r="AC2245" s="284"/>
      <c r="AD2245" s="284"/>
      <c r="AE2245" s="284"/>
      <c r="AF2245" s="284"/>
      <c r="AG2245" s="284"/>
    </row>
    <row r="2246" spans="1:33" ht="26.4">
      <c r="A2246" s="284"/>
      <c r="B2246" s="284"/>
      <c r="C2246" s="284"/>
      <c r="D2246" s="284"/>
      <c r="E2246" s="284"/>
      <c r="F2246" s="284"/>
      <c r="G2246" s="284"/>
      <c r="H2246" s="284"/>
      <c r="I2246" s="284"/>
      <c r="J2246" s="375"/>
      <c r="K2246" s="375"/>
      <c r="L2246" s="375"/>
      <c r="M2246" s="368"/>
      <c r="N2246" s="368"/>
      <c r="O2246" s="370"/>
      <c r="T2246" s="340"/>
      <c r="V2246" s="378"/>
      <c r="W2246" s="64" ph="1"/>
      <c r="X2246" s="241"/>
      <c r="Y2246" s="284"/>
      <c r="Z2246" s="207"/>
      <c r="AA2246" s="284"/>
      <c r="AB2246" s="284"/>
      <c r="AC2246" s="284"/>
      <c r="AD2246" s="284"/>
      <c r="AE2246" s="284"/>
      <c r="AF2246" s="284"/>
      <c r="AG2246" s="284"/>
    </row>
    <row r="2247" spans="1:33" ht="26.4">
      <c r="A2247" s="284"/>
      <c r="B2247" s="284"/>
      <c r="C2247" s="284"/>
      <c r="D2247" s="284"/>
      <c r="E2247" s="284"/>
      <c r="F2247" s="284"/>
      <c r="G2247" s="284"/>
      <c r="H2247" s="284"/>
      <c r="I2247" s="284"/>
      <c r="J2247" s="375"/>
      <c r="K2247" s="375"/>
      <c r="L2247" s="375"/>
      <c r="M2247" s="368"/>
      <c r="N2247" s="368"/>
      <c r="O2247" s="370"/>
      <c r="T2247" s="340"/>
      <c r="V2247" s="378"/>
      <c r="W2247" s="64" ph="1"/>
      <c r="X2247" s="241"/>
      <c r="Y2247" s="284"/>
      <c r="Z2247" s="207"/>
      <c r="AA2247" s="284"/>
      <c r="AB2247" s="284"/>
      <c r="AC2247" s="284"/>
      <c r="AD2247" s="284"/>
      <c r="AE2247" s="284"/>
      <c r="AF2247" s="284"/>
      <c r="AG2247" s="284"/>
    </row>
    <row r="2248" spans="1:33" ht="26.4">
      <c r="A2248" s="284"/>
      <c r="B2248" s="284"/>
      <c r="C2248" s="284"/>
      <c r="D2248" s="284"/>
      <c r="E2248" s="284"/>
      <c r="F2248" s="284"/>
      <c r="G2248" s="284"/>
      <c r="H2248" s="284"/>
      <c r="I2248" s="284"/>
      <c r="J2248" s="375"/>
      <c r="K2248" s="375"/>
      <c r="L2248" s="375"/>
      <c r="M2248" s="368"/>
      <c r="N2248" s="368"/>
      <c r="O2248" s="370"/>
      <c r="T2248" s="340"/>
      <c r="V2248" s="378"/>
      <c r="W2248" s="64" ph="1"/>
      <c r="X2248" s="241"/>
      <c r="Y2248" s="284"/>
      <c r="Z2248" s="207"/>
      <c r="AA2248" s="284"/>
      <c r="AB2248" s="284"/>
      <c r="AC2248" s="284"/>
      <c r="AD2248" s="284"/>
      <c r="AE2248" s="284"/>
      <c r="AF2248" s="284"/>
      <c r="AG2248" s="284"/>
    </row>
    <row r="2249" spans="1:33" ht="26.4">
      <c r="A2249" s="284"/>
      <c r="B2249" s="284"/>
      <c r="C2249" s="284"/>
      <c r="D2249" s="284"/>
      <c r="E2249" s="284"/>
      <c r="F2249" s="284"/>
      <c r="G2249" s="284"/>
      <c r="H2249" s="284"/>
      <c r="I2249" s="284"/>
      <c r="J2249" s="375"/>
      <c r="K2249" s="375"/>
      <c r="L2249" s="375"/>
      <c r="M2249" s="368"/>
      <c r="N2249" s="368"/>
      <c r="O2249" s="370"/>
      <c r="T2249" s="340"/>
      <c r="V2249" s="378"/>
      <c r="W2249" s="64" ph="1"/>
      <c r="X2249" s="241"/>
      <c r="Y2249" s="284"/>
      <c r="Z2249" s="207"/>
      <c r="AA2249" s="284"/>
      <c r="AB2249" s="284"/>
      <c r="AC2249" s="284"/>
      <c r="AD2249" s="284"/>
      <c r="AE2249" s="284"/>
      <c r="AF2249" s="284"/>
      <c r="AG2249" s="284"/>
    </row>
    <row r="2250" spans="1:33" ht="26.4">
      <c r="A2250" s="284"/>
      <c r="B2250" s="284"/>
      <c r="C2250" s="284"/>
      <c r="D2250" s="284"/>
      <c r="E2250" s="284"/>
      <c r="F2250" s="284"/>
      <c r="G2250" s="284"/>
      <c r="H2250" s="284"/>
      <c r="I2250" s="284"/>
      <c r="J2250" s="375"/>
      <c r="K2250" s="375"/>
      <c r="L2250" s="375"/>
      <c r="M2250" s="368"/>
      <c r="N2250" s="368"/>
      <c r="O2250" s="370"/>
      <c r="T2250" s="340"/>
      <c r="V2250" s="378"/>
      <c r="W2250" s="64" ph="1"/>
      <c r="X2250" s="241"/>
      <c r="Y2250" s="284"/>
      <c r="Z2250" s="207"/>
      <c r="AA2250" s="284"/>
      <c r="AB2250" s="284"/>
      <c r="AC2250" s="284"/>
      <c r="AD2250" s="284"/>
      <c r="AE2250" s="284"/>
      <c r="AF2250" s="284"/>
      <c r="AG2250" s="284"/>
    </row>
    <row r="2251" spans="1:33" ht="26.4">
      <c r="A2251" s="284"/>
      <c r="B2251" s="284"/>
      <c r="C2251" s="284"/>
      <c r="D2251" s="284"/>
      <c r="E2251" s="284"/>
      <c r="F2251" s="284"/>
      <c r="G2251" s="284"/>
      <c r="H2251" s="284"/>
      <c r="I2251" s="284"/>
      <c r="J2251" s="375"/>
      <c r="K2251" s="375"/>
      <c r="L2251" s="375"/>
      <c r="M2251" s="368"/>
      <c r="N2251" s="368"/>
      <c r="O2251" s="370"/>
      <c r="T2251" s="340"/>
      <c r="V2251" s="378"/>
      <c r="W2251" s="64" ph="1"/>
      <c r="X2251" s="241"/>
      <c r="Y2251" s="284"/>
      <c r="Z2251" s="207"/>
      <c r="AA2251" s="284"/>
      <c r="AB2251" s="284"/>
      <c r="AC2251" s="284"/>
      <c r="AD2251" s="284"/>
      <c r="AE2251" s="284"/>
      <c r="AF2251" s="284"/>
      <c r="AG2251" s="284"/>
    </row>
    <row r="2252" spans="1:33" ht="26.4">
      <c r="A2252" s="284"/>
      <c r="B2252" s="284"/>
      <c r="C2252" s="284"/>
      <c r="D2252" s="284"/>
      <c r="E2252" s="284"/>
      <c r="F2252" s="284"/>
      <c r="G2252" s="284"/>
      <c r="H2252" s="284"/>
      <c r="I2252" s="284"/>
      <c r="J2252" s="375"/>
      <c r="K2252" s="375"/>
      <c r="L2252" s="375"/>
      <c r="M2252" s="368"/>
      <c r="N2252" s="368"/>
      <c r="O2252" s="370"/>
      <c r="T2252" s="340"/>
      <c r="V2252" s="378"/>
      <c r="W2252" s="64" ph="1"/>
      <c r="X2252" s="241"/>
      <c r="Y2252" s="284"/>
      <c r="Z2252" s="207"/>
      <c r="AA2252" s="284"/>
      <c r="AB2252" s="284"/>
      <c r="AC2252" s="284"/>
      <c r="AD2252" s="284"/>
      <c r="AE2252" s="284"/>
      <c r="AF2252" s="284"/>
      <c r="AG2252" s="284"/>
    </row>
    <row r="2253" spans="1:33" ht="26.4">
      <c r="A2253" s="284"/>
      <c r="B2253" s="284"/>
      <c r="C2253" s="284"/>
      <c r="D2253" s="284"/>
      <c r="E2253" s="284"/>
      <c r="F2253" s="284"/>
      <c r="G2253" s="284"/>
      <c r="H2253" s="284"/>
      <c r="I2253" s="284"/>
      <c r="J2253" s="375"/>
      <c r="K2253" s="375"/>
      <c r="L2253" s="375"/>
      <c r="M2253" s="368"/>
      <c r="N2253" s="368"/>
      <c r="O2253" s="370"/>
      <c r="T2253" s="340"/>
      <c r="V2253" s="378"/>
      <c r="W2253" s="64" ph="1"/>
      <c r="X2253" s="241"/>
      <c r="Y2253" s="284"/>
      <c r="Z2253" s="207"/>
      <c r="AA2253" s="284"/>
      <c r="AB2253" s="284"/>
      <c r="AC2253" s="284"/>
      <c r="AD2253" s="284"/>
      <c r="AE2253" s="284"/>
      <c r="AF2253" s="284"/>
      <c r="AG2253" s="284"/>
    </row>
    <row r="2254" spans="1:33" ht="26.4">
      <c r="A2254" s="284"/>
      <c r="B2254" s="284"/>
      <c r="C2254" s="284"/>
      <c r="D2254" s="284"/>
      <c r="E2254" s="284"/>
      <c r="F2254" s="284"/>
      <c r="G2254" s="284"/>
      <c r="H2254" s="284"/>
      <c r="I2254" s="284"/>
      <c r="J2254" s="375"/>
      <c r="K2254" s="375"/>
      <c r="L2254" s="375"/>
      <c r="M2254" s="368"/>
      <c r="N2254" s="368"/>
      <c r="O2254" s="370"/>
      <c r="T2254" s="340"/>
      <c r="V2254" s="378"/>
      <c r="W2254" s="64" ph="1"/>
      <c r="X2254" s="241"/>
      <c r="Y2254" s="284"/>
      <c r="Z2254" s="207"/>
      <c r="AA2254" s="284"/>
      <c r="AB2254" s="284"/>
      <c r="AC2254" s="284"/>
      <c r="AD2254" s="284"/>
      <c r="AE2254" s="284"/>
      <c r="AF2254" s="284"/>
      <c r="AG2254" s="284"/>
    </row>
    <row r="2255" spans="1:33" ht="26.4">
      <c r="A2255" s="284"/>
      <c r="B2255" s="284"/>
      <c r="C2255" s="284"/>
      <c r="D2255" s="284"/>
      <c r="E2255" s="284"/>
      <c r="F2255" s="284"/>
      <c r="G2255" s="284"/>
      <c r="H2255" s="284"/>
      <c r="I2255" s="284"/>
      <c r="J2255" s="375"/>
      <c r="K2255" s="375"/>
      <c r="L2255" s="375"/>
      <c r="M2255" s="368"/>
      <c r="N2255" s="368"/>
      <c r="O2255" s="370"/>
      <c r="T2255" s="340"/>
      <c r="V2255" s="378"/>
      <c r="W2255" s="64" ph="1"/>
      <c r="X2255" s="241"/>
      <c r="Y2255" s="284"/>
      <c r="Z2255" s="207"/>
      <c r="AA2255" s="284"/>
      <c r="AB2255" s="284"/>
      <c r="AC2255" s="284"/>
      <c r="AD2255" s="284"/>
      <c r="AE2255" s="284"/>
      <c r="AF2255" s="284"/>
      <c r="AG2255" s="284"/>
    </row>
    <row r="2256" spans="1:33" ht="26.4">
      <c r="A2256" s="284"/>
      <c r="B2256" s="284"/>
      <c r="C2256" s="284"/>
      <c r="D2256" s="284"/>
      <c r="E2256" s="284"/>
      <c r="F2256" s="284"/>
      <c r="G2256" s="284"/>
      <c r="H2256" s="284"/>
      <c r="I2256" s="284"/>
      <c r="J2256" s="375"/>
      <c r="K2256" s="375"/>
      <c r="L2256" s="375"/>
      <c r="M2256" s="368"/>
      <c r="N2256" s="368"/>
      <c r="O2256" s="370"/>
      <c r="T2256" s="340"/>
      <c r="V2256" s="378"/>
      <c r="W2256" s="64" ph="1"/>
      <c r="X2256" s="241"/>
      <c r="Y2256" s="284"/>
      <c r="Z2256" s="207"/>
      <c r="AA2256" s="284"/>
      <c r="AB2256" s="284"/>
      <c r="AC2256" s="284"/>
      <c r="AD2256" s="284"/>
      <c r="AE2256" s="284"/>
      <c r="AF2256" s="284"/>
      <c r="AG2256" s="284"/>
    </row>
    <row r="2257" spans="1:33" ht="26.4">
      <c r="A2257" s="284"/>
      <c r="B2257" s="284"/>
      <c r="C2257" s="284"/>
      <c r="D2257" s="284"/>
      <c r="E2257" s="284"/>
      <c r="F2257" s="284"/>
      <c r="G2257" s="284"/>
      <c r="H2257" s="284"/>
      <c r="I2257" s="284"/>
      <c r="J2257" s="375"/>
      <c r="K2257" s="375"/>
      <c r="L2257" s="375"/>
      <c r="M2257" s="368"/>
      <c r="N2257" s="368"/>
      <c r="O2257" s="370"/>
      <c r="T2257" s="340"/>
      <c r="V2257" s="378"/>
      <c r="W2257" s="64" ph="1"/>
      <c r="X2257" s="241"/>
      <c r="Y2257" s="284"/>
      <c r="Z2257" s="207"/>
      <c r="AA2257" s="284"/>
      <c r="AB2257" s="284"/>
      <c r="AC2257" s="284"/>
      <c r="AD2257" s="284"/>
      <c r="AE2257" s="284"/>
      <c r="AF2257" s="284"/>
      <c r="AG2257" s="284"/>
    </row>
    <row r="2258" spans="1:33" ht="26.4">
      <c r="A2258" s="284"/>
      <c r="B2258" s="284"/>
      <c r="C2258" s="284"/>
      <c r="D2258" s="284"/>
      <c r="E2258" s="284"/>
      <c r="F2258" s="284"/>
      <c r="G2258" s="284"/>
      <c r="H2258" s="284"/>
      <c r="I2258" s="284"/>
      <c r="J2258" s="375"/>
      <c r="K2258" s="375"/>
      <c r="L2258" s="375"/>
      <c r="M2258" s="368"/>
      <c r="N2258" s="368"/>
      <c r="O2258" s="370"/>
      <c r="T2258" s="340"/>
      <c r="V2258" s="378"/>
      <c r="W2258" s="64" ph="1"/>
      <c r="X2258" s="241"/>
      <c r="Y2258" s="284"/>
      <c r="Z2258" s="207"/>
      <c r="AA2258" s="284"/>
      <c r="AB2258" s="284"/>
      <c r="AC2258" s="284"/>
      <c r="AD2258" s="284"/>
      <c r="AE2258" s="284"/>
      <c r="AF2258" s="284"/>
      <c r="AG2258" s="284"/>
    </row>
    <row r="2259" spans="1:33" ht="26.4">
      <c r="A2259" s="284"/>
      <c r="B2259" s="284"/>
      <c r="C2259" s="284"/>
      <c r="D2259" s="284"/>
      <c r="E2259" s="284"/>
      <c r="F2259" s="284"/>
      <c r="G2259" s="284"/>
      <c r="H2259" s="284"/>
      <c r="I2259" s="284"/>
      <c r="J2259" s="375"/>
      <c r="K2259" s="375"/>
      <c r="L2259" s="375"/>
      <c r="M2259" s="368"/>
      <c r="N2259" s="368"/>
      <c r="O2259" s="370"/>
      <c r="T2259" s="340"/>
      <c r="V2259" s="378"/>
      <c r="W2259" s="64" ph="1"/>
      <c r="X2259" s="241"/>
      <c r="Y2259" s="284"/>
      <c r="Z2259" s="207"/>
      <c r="AA2259" s="284"/>
      <c r="AB2259" s="284"/>
      <c r="AC2259" s="284"/>
      <c r="AD2259" s="284"/>
      <c r="AE2259" s="284"/>
      <c r="AF2259" s="284"/>
      <c r="AG2259" s="284"/>
    </row>
    <row r="2260" spans="1:33" ht="26.4">
      <c r="A2260" s="284"/>
      <c r="B2260" s="284"/>
      <c r="C2260" s="284"/>
      <c r="D2260" s="284"/>
      <c r="E2260" s="284"/>
      <c r="F2260" s="284"/>
      <c r="G2260" s="284"/>
      <c r="H2260" s="284"/>
      <c r="I2260" s="284"/>
      <c r="J2260" s="375"/>
      <c r="K2260" s="375"/>
      <c r="L2260" s="375"/>
      <c r="M2260" s="368"/>
      <c r="N2260" s="368"/>
      <c r="O2260" s="370"/>
      <c r="T2260" s="340"/>
      <c r="V2260" s="378"/>
      <c r="W2260" s="64" ph="1"/>
      <c r="X2260" s="241"/>
      <c r="Y2260" s="284"/>
      <c r="Z2260" s="207"/>
      <c r="AA2260" s="284"/>
      <c r="AB2260" s="284"/>
      <c r="AC2260" s="284"/>
      <c r="AD2260" s="284"/>
      <c r="AE2260" s="284"/>
      <c r="AF2260" s="284"/>
      <c r="AG2260" s="284"/>
    </row>
    <row r="2261" spans="1:33" ht="26.4">
      <c r="A2261" s="284"/>
      <c r="B2261" s="284"/>
      <c r="C2261" s="284"/>
      <c r="D2261" s="284"/>
      <c r="E2261" s="284"/>
      <c r="F2261" s="284"/>
      <c r="G2261" s="284"/>
      <c r="H2261" s="284"/>
      <c r="I2261" s="284"/>
      <c r="J2261" s="375"/>
      <c r="K2261" s="375"/>
      <c r="L2261" s="375"/>
      <c r="M2261" s="368"/>
      <c r="N2261" s="368"/>
      <c r="O2261" s="370"/>
      <c r="T2261" s="340"/>
      <c r="V2261" s="378"/>
      <c r="W2261" s="64" ph="1"/>
      <c r="X2261" s="241"/>
      <c r="Y2261" s="284"/>
      <c r="Z2261" s="207"/>
      <c r="AA2261" s="284"/>
      <c r="AB2261" s="284"/>
      <c r="AC2261" s="284"/>
      <c r="AD2261" s="284"/>
      <c r="AE2261" s="284"/>
      <c r="AF2261" s="284"/>
      <c r="AG2261" s="284"/>
    </row>
    <row r="2262" spans="1:33" ht="26.4">
      <c r="A2262" s="284"/>
      <c r="B2262" s="284"/>
      <c r="C2262" s="284"/>
      <c r="D2262" s="284"/>
      <c r="E2262" s="284"/>
      <c r="F2262" s="284"/>
      <c r="G2262" s="284"/>
      <c r="H2262" s="284"/>
      <c r="I2262" s="284"/>
      <c r="J2262" s="375"/>
      <c r="K2262" s="375"/>
      <c r="L2262" s="375"/>
      <c r="M2262" s="368"/>
      <c r="N2262" s="368"/>
      <c r="O2262" s="370"/>
      <c r="T2262" s="340"/>
      <c r="V2262" s="378"/>
      <c r="W2262" s="64" ph="1"/>
      <c r="X2262" s="241"/>
      <c r="Y2262" s="284"/>
      <c r="Z2262" s="207"/>
      <c r="AA2262" s="284"/>
      <c r="AB2262" s="284"/>
      <c r="AC2262" s="284"/>
      <c r="AD2262" s="284"/>
      <c r="AE2262" s="284"/>
      <c r="AF2262" s="284"/>
      <c r="AG2262" s="284"/>
    </row>
    <row r="2263" spans="1:33" ht="26.4">
      <c r="A2263" s="284"/>
      <c r="B2263" s="284"/>
      <c r="C2263" s="284"/>
      <c r="D2263" s="284"/>
      <c r="E2263" s="284"/>
      <c r="F2263" s="284"/>
      <c r="G2263" s="284"/>
      <c r="H2263" s="284"/>
      <c r="I2263" s="284"/>
      <c r="J2263" s="375"/>
      <c r="K2263" s="375"/>
      <c r="L2263" s="375"/>
      <c r="M2263" s="368"/>
      <c r="N2263" s="368"/>
      <c r="O2263" s="370"/>
      <c r="T2263" s="340"/>
      <c r="V2263" s="378"/>
      <c r="W2263" s="64" ph="1"/>
      <c r="X2263" s="241"/>
      <c r="Y2263" s="284"/>
      <c r="Z2263" s="207"/>
      <c r="AA2263" s="284"/>
      <c r="AB2263" s="284"/>
      <c r="AC2263" s="284"/>
      <c r="AD2263" s="284"/>
      <c r="AE2263" s="284"/>
      <c r="AF2263" s="284"/>
      <c r="AG2263" s="284"/>
    </row>
    <row r="2264" spans="1:33" ht="26.4">
      <c r="A2264" s="284"/>
      <c r="B2264" s="284"/>
      <c r="C2264" s="284"/>
      <c r="D2264" s="284"/>
      <c r="E2264" s="284"/>
      <c r="F2264" s="284"/>
      <c r="G2264" s="284"/>
      <c r="H2264" s="284"/>
      <c r="I2264" s="284"/>
      <c r="J2264" s="375"/>
      <c r="K2264" s="375"/>
      <c r="L2264" s="375"/>
      <c r="M2264" s="368"/>
      <c r="N2264" s="368"/>
      <c r="O2264" s="370"/>
      <c r="T2264" s="340"/>
      <c r="V2264" s="378"/>
      <c r="W2264" s="64" ph="1"/>
      <c r="X2264" s="241"/>
      <c r="Y2264" s="284"/>
      <c r="Z2264" s="207"/>
      <c r="AA2264" s="284"/>
      <c r="AB2264" s="284"/>
      <c r="AC2264" s="284"/>
      <c r="AD2264" s="284"/>
      <c r="AE2264" s="284"/>
      <c r="AF2264" s="284"/>
      <c r="AG2264" s="284"/>
    </row>
    <row r="2265" spans="1:33" ht="26.4">
      <c r="A2265" s="284"/>
      <c r="B2265" s="284"/>
      <c r="C2265" s="284"/>
      <c r="D2265" s="284"/>
      <c r="E2265" s="284"/>
      <c r="F2265" s="284"/>
      <c r="G2265" s="284"/>
      <c r="H2265" s="284"/>
      <c r="I2265" s="284"/>
      <c r="J2265" s="375"/>
      <c r="K2265" s="375"/>
      <c r="L2265" s="375"/>
      <c r="M2265" s="368"/>
      <c r="N2265" s="368"/>
      <c r="O2265" s="370"/>
      <c r="T2265" s="340"/>
      <c r="V2265" s="378"/>
      <c r="W2265" s="64" ph="1"/>
      <c r="X2265" s="241"/>
      <c r="Y2265" s="284"/>
      <c r="Z2265" s="207"/>
      <c r="AA2265" s="284"/>
      <c r="AB2265" s="284"/>
      <c r="AC2265" s="284"/>
      <c r="AD2265" s="284"/>
      <c r="AE2265" s="284"/>
      <c r="AF2265" s="284"/>
      <c r="AG2265" s="284"/>
    </row>
    <row r="2266" spans="1:33" ht="26.4">
      <c r="A2266" s="284"/>
      <c r="B2266" s="284"/>
      <c r="C2266" s="284"/>
      <c r="D2266" s="284"/>
      <c r="E2266" s="284"/>
      <c r="F2266" s="284"/>
      <c r="G2266" s="284"/>
      <c r="H2266" s="284"/>
      <c r="I2266" s="284"/>
      <c r="J2266" s="375"/>
      <c r="K2266" s="375"/>
      <c r="L2266" s="375"/>
      <c r="M2266" s="368"/>
      <c r="N2266" s="368"/>
      <c r="O2266" s="370"/>
      <c r="T2266" s="340"/>
      <c r="V2266" s="378"/>
      <c r="W2266" s="64" ph="1"/>
      <c r="X2266" s="241"/>
      <c r="Y2266" s="284"/>
      <c r="Z2266" s="207"/>
      <c r="AA2266" s="284"/>
      <c r="AB2266" s="284"/>
      <c r="AC2266" s="284"/>
      <c r="AD2266" s="284"/>
      <c r="AE2266" s="284"/>
      <c r="AF2266" s="284"/>
      <c r="AG2266" s="284"/>
    </row>
    <row r="2267" spans="1:33" ht="26.4">
      <c r="A2267" s="284"/>
      <c r="B2267" s="284"/>
      <c r="C2267" s="284"/>
      <c r="D2267" s="284"/>
      <c r="E2267" s="284"/>
      <c r="F2267" s="284"/>
      <c r="G2267" s="284"/>
      <c r="H2267" s="284"/>
      <c r="I2267" s="284"/>
      <c r="J2267" s="375"/>
      <c r="K2267" s="375"/>
      <c r="L2267" s="375"/>
      <c r="M2267" s="368"/>
      <c r="N2267" s="368"/>
      <c r="O2267" s="370"/>
      <c r="T2267" s="340"/>
      <c r="V2267" s="378"/>
      <c r="W2267" s="64" ph="1"/>
      <c r="X2267" s="241"/>
      <c r="Y2267" s="284"/>
      <c r="Z2267" s="207"/>
      <c r="AA2267" s="284"/>
      <c r="AB2267" s="284"/>
      <c r="AC2267" s="284"/>
      <c r="AD2267" s="284"/>
      <c r="AE2267" s="284"/>
      <c r="AF2267" s="284"/>
      <c r="AG2267" s="284"/>
    </row>
    <row r="2268" spans="1:33" ht="26.4">
      <c r="A2268" s="284"/>
      <c r="B2268" s="284"/>
      <c r="C2268" s="284"/>
      <c r="D2268" s="284"/>
      <c r="E2268" s="284"/>
      <c r="F2268" s="284"/>
      <c r="G2268" s="284"/>
      <c r="H2268" s="284"/>
      <c r="I2268" s="284"/>
      <c r="J2268" s="375"/>
      <c r="K2268" s="375"/>
      <c r="L2268" s="375"/>
      <c r="M2268" s="368"/>
      <c r="N2268" s="368"/>
      <c r="O2268" s="370"/>
      <c r="T2268" s="340"/>
      <c r="V2268" s="378"/>
      <c r="W2268" s="64" ph="1"/>
      <c r="X2268" s="241"/>
      <c r="Y2268" s="284"/>
      <c r="Z2268" s="207"/>
      <c r="AA2268" s="284"/>
      <c r="AB2268" s="284"/>
      <c r="AC2268" s="284"/>
      <c r="AD2268" s="284"/>
      <c r="AE2268" s="284"/>
      <c r="AF2268" s="284"/>
      <c r="AG2268" s="284"/>
    </row>
    <row r="2269" spans="1:33" ht="26.4">
      <c r="A2269" s="284"/>
      <c r="B2269" s="284"/>
      <c r="C2269" s="284"/>
      <c r="D2269" s="284"/>
      <c r="E2269" s="284"/>
      <c r="F2269" s="284"/>
      <c r="G2269" s="284"/>
      <c r="H2269" s="284"/>
      <c r="I2269" s="284"/>
      <c r="J2269" s="375"/>
      <c r="K2269" s="375"/>
      <c r="L2269" s="375"/>
      <c r="M2269" s="368"/>
      <c r="N2269" s="368"/>
      <c r="O2269" s="370"/>
      <c r="T2269" s="340"/>
      <c r="V2269" s="378"/>
      <c r="W2269" s="64" ph="1"/>
      <c r="X2269" s="241"/>
      <c r="Y2269" s="284"/>
      <c r="Z2269" s="207"/>
      <c r="AA2269" s="284"/>
      <c r="AB2269" s="284"/>
      <c r="AC2269" s="284"/>
      <c r="AD2269" s="284"/>
      <c r="AE2269" s="284"/>
      <c r="AF2269" s="284"/>
      <c r="AG2269" s="284"/>
    </row>
    <row r="2270" spans="1:33" ht="26.4">
      <c r="A2270" s="284"/>
      <c r="B2270" s="284"/>
      <c r="C2270" s="284"/>
      <c r="D2270" s="284"/>
      <c r="E2270" s="284"/>
      <c r="F2270" s="284"/>
      <c r="G2270" s="284"/>
      <c r="H2270" s="284"/>
      <c r="I2270" s="284"/>
      <c r="J2270" s="375"/>
      <c r="K2270" s="375"/>
      <c r="L2270" s="375"/>
      <c r="M2270" s="368"/>
      <c r="N2270" s="368"/>
      <c r="O2270" s="370"/>
      <c r="T2270" s="340"/>
      <c r="V2270" s="378"/>
      <c r="W2270" s="64" ph="1"/>
      <c r="X2270" s="241"/>
      <c r="Y2270" s="284"/>
      <c r="Z2270" s="207"/>
      <c r="AA2270" s="284"/>
      <c r="AB2270" s="284"/>
      <c r="AC2270" s="284"/>
      <c r="AD2270" s="284"/>
      <c r="AE2270" s="284"/>
      <c r="AF2270" s="284"/>
      <c r="AG2270" s="284"/>
    </row>
    <row r="2271" spans="1:33" ht="26.4">
      <c r="A2271" s="284"/>
      <c r="B2271" s="284"/>
      <c r="C2271" s="284"/>
      <c r="D2271" s="284"/>
      <c r="E2271" s="284"/>
      <c r="F2271" s="284"/>
      <c r="G2271" s="284"/>
      <c r="H2271" s="284"/>
      <c r="I2271" s="284"/>
      <c r="J2271" s="375"/>
      <c r="K2271" s="375"/>
      <c r="L2271" s="375"/>
      <c r="M2271" s="368"/>
      <c r="N2271" s="368"/>
      <c r="O2271" s="370"/>
      <c r="T2271" s="340"/>
      <c r="V2271" s="378"/>
      <c r="W2271" s="64" ph="1"/>
      <c r="X2271" s="241"/>
      <c r="Y2271" s="284"/>
      <c r="Z2271" s="207"/>
      <c r="AA2271" s="284"/>
      <c r="AB2271" s="284"/>
      <c r="AC2271" s="284"/>
      <c r="AD2271" s="284"/>
      <c r="AE2271" s="284"/>
      <c r="AF2271" s="284"/>
      <c r="AG2271" s="284"/>
    </row>
    <row r="2272" spans="1:33" ht="26.4">
      <c r="A2272" s="284"/>
      <c r="B2272" s="284"/>
      <c r="C2272" s="284"/>
      <c r="D2272" s="284"/>
      <c r="E2272" s="284"/>
      <c r="F2272" s="284"/>
      <c r="G2272" s="284"/>
      <c r="H2272" s="284"/>
      <c r="I2272" s="284"/>
      <c r="J2272" s="375"/>
      <c r="K2272" s="375"/>
      <c r="L2272" s="375"/>
      <c r="M2272" s="368"/>
      <c r="N2272" s="368"/>
      <c r="O2272" s="370"/>
      <c r="T2272" s="340"/>
      <c r="V2272" s="378"/>
      <c r="W2272" s="64" ph="1"/>
      <c r="X2272" s="241"/>
      <c r="Y2272" s="284"/>
      <c r="Z2272" s="207"/>
      <c r="AA2272" s="284"/>
      <c r="AB2272" s="284"/>
      <c r="AC2272" s="284"/>
      <c r="AD2272" s="284"/>
      <c r="AE2272" s="284"/>
      <c r="AF2272" s="284"/>
      <c r="AG2272" s="284"/>
    </row>
    <row r="2273" spans="1:33" ht="26.4">
      <c r="A2273" s="284"/>
      <c r="B2273" s="284"/>
      <c r="C2273" s="284"/>
      <c r="D2273" s="284"/>
      <c r="E2273" s="284"/>
      <c r="F2273" s="284"/>
      <c r="G2273" s="284"/>
      <c r="H2273" s="284"/>
      <c r="I2273" s="284"/>
      <c r="J2273" s="375"/>
      <c r="K2273" s="375"/>
      <c r="L2273" s="375"/>
      <c r="M2273" s="368"/>
      <c r="N2273" s="368"/>
      <c r="O2273" s="370"/>
      <c r="T2273" s="340"/>
      <c r="V2273" s="378"/>
      <c r="W2273" s="64" ph="1"/>
      <c r="X2273" s="241"/>
      <c r="Y2273" s="284"/>
      <c r="Z2273" s="207"/>
      <c r="AA2273" s="284"/>
      <c r="AB2273" s="284"/>
      <c r="AC2273" s="284"/>
      <c r="AD2273" s="284"/>
      <c r="AE2273" s="284"/>
      <c r="AF2273" s="284"/>
      <c r="AG2273" s="284"/>
    </row>
    <row r="2274" spans="1:33" ht="26.4">
      <c r="A2274" s="284"/>
      <c r="B2274" s="284"/>
      <c r="C2274" s="284"/>
      <c r="D2274" s="284"/>
      <c r="E2274" s="284"/>
      <c r="F2274" s="284"/>
      <c r="G2274" s="284"/>
      <c r="H2274" s="284"/>
      <c r="I2274" s="284"/>
      <c r="J2274" s="375"/>
      <c r="K2274" s="375"/>
      <c r="L2274" s="375"/>
      <c r="M2274" s="368"/>
      <c r="N2274" s="368"/>
      <c r="O2274" s="370"/>
      <c r="T2274" s="340"/>
      <c r="V2274" s="378"/>
      <c r="W2274" s="64" ph="1"/>
      <c r="X2274" s="241"/>
      <c r="Y2274" s="284"/>
      <c r="Z2274" s="207"/>
      <c r="AA2274" s="284"/>
      <c r="AB2274" s="284"/>
      <c r="AC2274" s="284"/>
      <c r="AD2274" s="284"/>
      <c r="AE2274" s="284"/>
      <c r="AF2274" s="284"/>
      <c r="AG2274" s="284"/>
    </row>
    <row r="2275" spans="1:33" ht="26.4">
      <c r="A2275" s="284"/>
      <c r="B2275" s="284"/>
      <c r="C2275" s="284"/>
      <c r="D2275" s="284"/>
      <c r="E2275" s="284"/>
      <c r="F2275" s="284"/>
      <c r="G2275" s="284"/>
      <c r="H2275" s="284"/>
      <c r="I2275" s="284"/>
      <c r="J2275" s="375"/>
      <c r="K2275" s="375"/>
      <c r="L2275" s="375"/>
      <c r="M2275" s="368"/>
      <c r="N2275" s="368"/>
      <c r="O2275" s="370"/>
      <c r="T2275" s="340"/>
      <c r="V2275" s="378"/>
      <c r="W2275" s="64" ph="1"/>
      <c r="X2275" s="241"/>
      <c r="Y2275" s="284"/>
      <c r="Z2275" s="207"/>
      <c r="AA2275" s="284"/>
      <c r="AB2275" s="284"/>
      <c r="AC2275" s="284"/>
      <c r="AD2275" s="284"/>
      <c r="AE2275" s="284"/>
      <c r="AF2275" s="284"/>
      <c r="AG2275" s="284"/>
    </row>
    <row r="2276" spans="1:33" ht="26.4">
      <c r="A2276" s="284"/>
      <c r="B2276" s="284"/>
      <c r="C2276" s="284"/>
      <c r="D2276" s="284"/>
      <c r="E2276" s="284"/>
      <c r="F2276" s="284"/>
      <c r="G2276" s="284"/>
      <c r="H2276" s="284"/>
      <c r="I2276" s="284"/>
      <c r="J2276" s="375"/>
      <c r="K2276" s="375"/>
      <c r="L2276" s="375"/>
      <c r="M2276" s="368"/>
      <c r="N2276" s="368"/>
      <c r="O2276" s="370"/>
      <c r="T2276" s="340"/>
      <c r="V2276" s="378"/>
      <c r="W2276" s="64" ph="1"/>
      <c r="X2276" s="241"/>
      <c r="Y2276" s="284"/>
      <c r="Z2276" s="207"/>
      <c r="AA2276" s="284"/>
      <c r="AB2276" s="284"/>
      <c r="AC2276" s="284"/>
      <c r="AD2276" s="284"/>
      <c r="AE2276" s="284"/>
      <c r="AF2276" s="284"/>
      <c r="AG2276" s="284"/>
    </row>
    <row r="2277" spans="1:33" ht="26.4">
      <c r="A2277" s="284"/>
      <c r="B2277" s="284"/>
      <c r="C2277" s="284"/>
      <c r="D2277" s="284"/>
      <c r="E2277" s="284"/>
      <c r="F2277" s="284"/>
      <c r="G2277" s="284"/>
      <c r="H2277" s="284"/>
      <c r="I2277" s="284"/>
      <c r="J2277" s="375"/>
      <c r="K2277" s="375"/>
      <c r="L2277" s="375"/>
      <c r="M2277" s="368"/>
      <c r="N2277" s="368"/>
      <c r="O2277" s="370"/>
      <c r="T2277" s="340"/>
      <c r="V2277" s="378"/>
      <c r="W2277" s="64" ph="1"/>
      <c r="X2277" s="241"/>
      <c r="Y2277" s="284"/>
      <c r="Z2277" s="207"/>
      <c r="AA2277" s="284"/>
      <c r="AB2277" s="284"/>
      <c r="AC2277" s="284"/>
      <c r="AD2277" s="284"/>
      <c r="AE2277" s="284"/>
      <c r="AF2277" s="284"/>
      <c r="AG2277" s="284"/>
    </row>
    <row r="2278" spans="1:33" ht="26.4">
      <c r="A2278" s="284"/>
      <c r="B2278" s="284"/>
      <c r="C2278" s="284"/>
      <c r="D2278" s="284"/>
      <c r="E2278" s="284"/>
      <c r="F2278" s="284"/>
      <c r="G2278" s="284"/>
      <c r="H2278" s="284"/>
      <c r="I2278" s="284"/>
      <c r="J2278" s="375"/>
      <c r="K2278" s="375"/>
      <c r="L2278" s="375"/>
      <c r="M2278" s="368"/>
      <c r="N2278" s="368"/>
      <c r="O2278" s="370"/>
      <c r="T2278" s="340"/>
      <c r="V2278" s="378"/>
      <c r="W2278" s="64" ph="1"/>
      <c r="X2278" s="241"/>
      <c r="Y2278" s="284"/>
      <c r="Z2278" s="207"/>
      <c r="AA2278" s="284"/>
      <c r="AB2278" s="284"/>
      <c r="AC2278" s="284"/>
      <c r="AD2278" s="284"/>
      <c r="AE2278" s="284"/>
      <c r="AF2278" s="284"/>
      <c r="AG2278" s="284"/>
    </row>
    <row r="2279" spans="1:33" ht="26.4">
      <c r="A2279" s="284"/>
      <c r="B2279" s="284"/>
      <c r="C2279" s="284"/>
      <c r="D2279" s="284"/>
      <c r="E2279" s="284"/>
      <c r="F2279" s="284"/>
      <c r="G2279" s="284"/>
      <c r="H2279" s="284"/>
      <c r="I2279" s="284"/>
      <c r="J2279" s="375"/>
      <c r="K2279" s="375"/>
      <c r="L2279" s="375"/>
      <c r="M2279" s="368"/>
      <c r="N2279" s="368"/>
      <c r="O2279" s="370"/>
      <c r="T2279" s="340"/>
      <c r="V2279" s="378"/>
      <c r="W2279" s="64" ph="1"/>
      <c r="X2279" s="241"/>
      <c r="Y2279" s="284"/>
      <c r="Z2279" s="207"/>
      <c r="AA2279" s="284"/>
      <c r="AB2279" s="284"/>
      <c r="AC2279" s="284"/>
      <c r="AD2279" s="284"/>
      <c r="AE2279" s="284"/>
      <c r="AF2279" s="284"/>
      <c r="AG2279" s="284"/>
    </row>
    <row r="2280" spans="1:33" ht="26.4">
      <c r="A2280" s="284"/>
      <c r="B2280" s="284"/>
      <c r="C2280" s="284"/>
      <c r="D2280" s="284"/>
      <c r="E2280" s="284"/>
      <c r="F2280" s="284"/>
      <c r="G2280" s="284"/>
      <c r="H2280" s="284"/>
      <c r="I2280" s="284"/>
      <c r="J2280" s="375"/>
      <c r="K2280" s="375"/>
      <c r="L2280" s="375"/>
      <c r="M2280" s="368"/>
      <c r="N2280" s="368"/>
      <c r="O2280" s="370"/>
      <c r="T2280" s="340"/>
      <c r="V2280" s="378"/>
      <c r="W2280" s="64" ph="1"/>
      <c r="X2280" s="241"/>
      <c r="Y2280" s="284"/>
      <c r="Z2280" s="207"/>
      <c r="AA2280" s="284"/>
      <c r="AB2280" s="284"/>
      <c r="AC2280" s="284"/>
      <c r="AD2280" s="284"/>
      <c r="AE2280" s="284"/>
      <c r="AF2280" s="284"/>
      <c r="AG2280" s="284"/>
    </row>
    <row r="2281" spans="1:33" ht="26.4">
      <c r="A2281" s="284"/>
      <c r="B2281" s="284"/>
      <c r="C2281" s="284"/>
      <c r="D2281" s="284"/>
      <c r="E2281" s="284"/>
      <c r="F2281" s="284"/>
      <c r="G2281" s="284"/>
      <c r="H2281" s="284"/>
      <c r="I2281" s="284"/>
      <c r="J2281" s="375"/>
      <c r="K2281" s="375"/>
      <c r="L2281" s="375"/>
      <c r="M2281" s="368"/>
      <c r="N2281" s="368"/>
      <c r="O2281" s="370"/>
      <c r="T2281" s="340"/>
      <c r="V2281" s="378"/>
      <c r="W2281" s="64" ph="1"/>
      <c r="X2281" s="241"/>
      <c r="Y2281" s="284"/>
      <c r="Z2281" s="207"/>
      <c r="AA2281" s="284"/>
      <c r="AB2281" s="284"/>
      <c r="AC2281" s="284"/>
      <c r="AD2281" s="284"/>
      <c r="AE2281" s="284"/>
      <c r="AF2281" s="284"/>
      <c r="AG2281" s="284"/>
    </row>
    <row r="2282" spans="1:33" ht="26.4">
      <c r="A2282" s="284"/>
      <c r="B2282" s="284"/>
      <c r="C2282" s="284"/>
      <c r="D2282" s="284"/>
      <c r="E2282" s="284"/>
      <c r="F2282" s="284"/>
      <c r="G2282" s="284"/>
      <c r="H2282" s="284"/>
      <c r="I2282" s="284"/>
      <c r="J2282" s="375"/>
      <c r="K2282" s="375"/>
      <c r="L2282" s="375"/>
      <c r="M2282" s="368"/>
      <c r="N2282" s="368"/>
      <c r="O2282" s="370"/>
      <c r="T2282" s="340"/>
      <c r="V2282" s="378"/>
      <c r="W2282" s="64" ph="1"/>
      <c r="X2282" s="241"/>
      <c r="Y2282" s="284"/>
      <c r="Z2282" s="207"/>
      <c r="AA2282" s="284"/>
      <c r="AB2282" s="284"/>
      <c r="AC2282" s="284"/>
      <c r="AD2282" s="284"/>
      <c r="AE2282" s="284"/>
      <c r="AF2282" s="284"/>
      <c r="AG2282" s="284"/>
    </row>
    <row r="2283" spans="1:33" ht="26.4">
      <c r="A2283" s="284"/>
      <c r="B2283" s="284"/>
      <c r="C2283" s="284"/>
      <c r="D2283" s="284"/>
      <c r="E2283" s="284"/>
      <c r="F2283" s="284"/>
      <c r="G2283" s="284"/>
      <c r="H2283" s="284"/>
      <c r="I2283" s="284"/>
      <c r="J2283" s="375"/>
      <c r="K2283" s="375"/>
      <c r="L2283" s="375"/>
      <c r="M2283" s="368"/>
      <c r="N2283" s="368"/>
      <c r="O2283" s="370"/>
      <c r="T2283" s="340"/>
      <c r="V2283" s="378"/>
      <c r="W2283" s="64" ph="1"/>
      <c r="X2283" s="241"/>
      <c r="Y2283" s="284"/>
      <c r="Z2283" s="207"/>
      <c r="AA2283" s="284"/>
      <c r="AB2283" s="284"/>
      <c r="AC2283" s="284"/>
      <c r="AD2283" s="284"/>
      <c r="AE2283" s="284"/>
      <c r="AF2283" s="284"/>
      <c r="AG2283" s="284"/>
    </row>
    <row r="2284" spans="1:33" ht="26.4">
      <c r="A2284" s="284"/>
      <c r="B2284" s="284"/>
      <c r="C2284" s="284"/>
      <c r="D2284" s="284"/>
      <c r="E2284" s="284"/>
      <c r="F2284" s="284"/>
      <c r="G2284" s="284"/>
      <c r="H2284" s="284"/>
      <c r="I2284" s="284"/>
      <c r="J2284" s="375"/>
      <c r="K2284" s="375"/>
      <c r="L2284" s="375"/>
      <c r="M2284" s="368"/>
      <c r="N2284" s="368"/>
      <c r="O2284" s="370"/>
      <c r="T2284" s="340"/>
      <c r="V2284" s="378"/>
      <c r="W2284" s="64" ph="1"/>
      <c r="X2284" s="241"/>
      <c r="Y2284" s="284"/>
      <c r="Z2284" s="207"/>
      <c r="AA2284" s="284"/>
      <c r="AB2284" s="284"/>
      <c r="AC2284" s="284"/>
      <c r="AD2284" s="284"/>
      <c r="AE2284" s="284"/>
      <c r="AF2284" s="284"/>
      <c r="AG2284" s="284"/>
    </row>
    <row r="2285" spans="1:33" ht="26.4">
      <c r="A2285" s="284"/>
      <c r="B2285" s="284"/>
      <c r="C2285" s="284"/>
      <c r="D2285" s="284"/>
      <c r="E2285" s="284"/>
      <c r="F2285" s="284"/>
      <c r="G2285" s="284"/>
      <c r="H2285" s="284"/>
      <c r="I2285" s="284"/>
      <c r="J2285" s="375"/>
      <c r="K2285" s="375"/>
      <c r="L2285" s="375"/>
      <c r="M2285" s="368"/>
      <c r="N2285" s="368"/>
      <c r="O2285" s="370"/>
      <c r="T2285" s="340"/>
      <c r="V2285" s="378"/>
      <c r="W2285" s="64" ph="1"/>
      <c r="X2285" s="241"/>
      <c r="Y2285" s="284"/>
      <c r="Z2285" s="207"/>
      <c r="AA2285" s="284"/>
      <c r="AB2285" s="284"/>
      <c r="AC2285" s="284"/>
      <c r="AD2285" s="284"/>
      <c r="AE2285" s="284"/>
      <c r="AF2285" s="284"/>
      <c r="AG2285" s="284"/>
    </row>
    <row r="2286" spans="1:33" ht="26.4">
      <c r="A2286" s="284"/>
      <c r="B2286" s="284"/>
      <c r="C2286" s="284"/>
      <c r="D2286" s="284"/>
      <c r="E2286" s="284"/>
      <c r="F2286" s="284"/>
      <c r="G2286" s="284"/>
      <c r="H2286" s="284"/>
      <c r="I2286" s="284"/>
      <c r="J2286" s="375"/>
      <c r="K2286" s="375"/>
      <c r="L2286" s="375"/>
      <c r="M2286" s="368"/>
      <c r="N2286" s="368"/>
      <c r="O2286" s="370"/>
      <c r="T2286" s="340"/>
      <c r="V2286" s="378"/>
      <c r="W2286" s="64" ph="1"/>
      <c r="X2286" s="241"/>
      <c r="Y2286" s="284"/>
      <c r="Z2286" s="207"/>
      <c r="AA2286" s="284"/>
      <c r="AB2286" s="284"/>
      <c r="AC2286" s="284"/>
      <c r="AD2286" s="284"/>
      <c r="AE2286" s="284"/>
      <c r="AF2286" s="284"/>
      <c r="AG2286" s="284"/>
    </row>
    <row r="2287" spans="1:33" ht="26.4">
      <c r="A2287" s="284"/>
      <c r="B2287" s="284"/>
      <c r="C2287" s="284"/>
      <c r="D2287" s="284"/>
      <c r="E2287" s="284"/>
      <c r="F2287" s="284"/>
      <c r="G2287" s="284"/>
      <c r="H2287" s="284"/>
      <c r="I2287" s="284"/>
      <c r="J2287" s="375"/>
      <c r="K2287" s="375"/>
      <c r="L2287" s="375"/>
      <c r="M2287" s="368"/>
      <c r="N2287" s="368"/>
      <c r="O2287" s="370"/>
      <c r="T2287" s="340"/>
      <c r="V2287" s="378"/>
      <c r="W2287" s="64" ph="1"/>
      <c r="X2287" s="241"/>
      <c r="Y2287" s="284"/>
      <c r="Z2287" s="207"/>
      <c r="AA2287" s="284"/>
      <c r="AB2287" s="284"/>
      <c r="AC2287" s="284"/>
      <c r="AD2287" s="284"/>
      <c r="AE2287" s="284"/>
      <c r="AF2287" s="284"/>
      <c r="AG2287" s="284"/>
    </row>
    <row r="2288" spans="1:33" ht="26.4">
      <c r="A2288" s="284"/>
      <c r="B2288" s="284"/>
      <c r="C2288" s="284"/>
      <c r="D2288" s="284"/>
      <c r="E2288" s="284"/>
      <c r="F2288" s="284"/>
      <c r="G2288" s="284"/>
      <c r="H2288" s="284"/>
      <c r="I2288" s="284"/>
      <c r="J2288" s="375"/>
      <c r="K2288" s="375"/>
      <c r="L2288" s="375"/>
      <c r="M2288" s="368"/>
      <c r="N2288" s="368"/>
      <c r="O2288" s="370"/>
      <c r="T2288" s="340"/>
      <c r="V2288" s="378"/>
      <c r="W2288" s="64" ph="1"/>
      <c r="X2288" s="241"/>
      <c r="Y2288" s="284"/>
      <c r="Z2288" s="207"/>
      <c r="AA2288" s="284"/>
      <c r="AB2288" s="284"/>
      <c r="AC2288" s="284"/>
      <c r="AD2288" s="284"/>
      <c r="AE2288" s="284"/>
      <c r="AF2288" s="284"/>
      <c r="AG2288" s="284"/>
    </row>
    <row r="2289" spans="1:33" ht="26.4">
      <c r="A2289" s="284"/>
      <c r="B2289" s="284"/>
      <c r="C2289" s="284"/>
      <c r="D2289" s="284"/>
      <c r="E2289" s="284"/>
      <c r="F2289" s="284"/>
      <c r="G2289" s="284"/>
      <c r="H2289" s="284"/>
      <c r="I2289" s="284"/>
      <c r="J2289" s="375"/>
      <c r="K2289" s="375"/>
      <c r="L2289" s="375"/>
      <c r="M2289" s="368"/>
      <c r="N2289" s="368"/>
      <c r="O2289" s="370"/>
      <c r="T2289" s="340"/>
      <c r="V2289" s="378"/>
      <c r="W2289" s="64" ph="1"/>
      <c r="X2289" s="241"/>
      <c r="Y2289" s="284"/>
      <c r="Z2289" s="207"/>
      <c r="AA2289" s="284"/>
      <c r="AB2289" s="284"/>
      <c r="AC2289" s="284"/>
      <c r="AD2289" s="284"/>
      <c r="AE2289" s="284"/>
      <c r="AF2289" s="284"/>
      <c r="AG2289" s="284"/>
    </row>
    <row r="2290" spans="1:33" ht="26.4">
      <c r="A2290" s="284"/>
      <c r="B2290" s="284"/>
      <c r="C2290" s="284"/>
      <c r="D2290" s="284"/>
      <c r="E2290" s="284"/>
      <c r="F2290" s="284"/>
      <c r="G2290" s="284"/>
      <c r="H2290" s="284"/>
      <c r="I2290" s="284"/>
      <c r="J2290" s="375"/>
      <c r="K2290" s="375"/>
      <c r="L2290" s="375"/>
      <c r="M2290" s="368"/>
      <c r="N2290" s="368"/>
      <c r="O2290" s="370"/>
      <c r="T2290" s="340"/>
      <c r="V2290" s="378"/>
      <c r="W2290" s="64" ph="1"/>
      <c r="X2290" s="241"/>
      <c r="Y2290" s="284"/>
      <c r="Z2290" s="207"/>
      <c r="AA2290" s="284"/>
      <c r="AB2290" s="284"/>
      <c r="AC2290" s="284"/>
      <c r="AD2290" s="284"/>
      <c r="AE2290" s="284"/>
      <c r="AF2290" s="284"/>
      <c r="AG2290" s="284"/>
    </row>
    <row r="2291" spans="1:33" ht="26.4">
      <c r="A2291" s="284"/>
      <c r="B2291" s="284"/>
      <c r="C2291" s="284"/>
      <c r="D2291" s="284"/>
      <c r="E2291" s="284"/>
      <c r="F2291" s="284"/>
      <c r="G2291" s="284"/>
      <c r="H2291" s="284"/>
      <c r="I2291" s="284"/>
      <c r="J2291" s="375"/>
      <c r="K2291" s="375"/>
      <c r="L2291" s="375"/>
      <c r="M2291" s="368"/>
      <c r="N2291" s="368"/>
      <c r="O2291" s="370"/>
      <c r="T2291" s="340"/>
      <c r="V2291" s="378"/>
      <c r="W2291" s="64" ph="1"/>
      <c r="X2291" s="241"/>
      <c r="Y2291" s="284"/>
      <c r="Z2291" s="207"/>
      <c r="AA2291" s="284"/>
      <c r="AB2291" s="284"/>
      <c r="AC2291" s="284"/>
      <c r="AD2291" s="284"/>
      <c r="AE2291" s="284"/>
      <c r="AF2291" s="284"/>
      <c r="AG2291" s="284"/>
    </row>
    <row r="2292" spans="1:33" ht="26.4">
      <c r="A2292" s="284"/>
      <c r="B2292" s="284"/>
      <c r="C2292" s="284"/>
      <c r="D2292" s="284"/>
      <c r="E2292" s="284"/>
      <c r="F2292" s="284"/>
      <c r="G2292" s="284"/>
      <c r="H2292" s="284"/>
      <c r="I2292" s="284"/>
      <c r="J2292" s="375"/>
      <c r="K2292" s="375"/>
      <c r="L2292" s="375"/>
      <c r="M2292" s="368"/>
      <c r="N2292" s="368"/>
      <c r="O2292" s="370"/>
      <c r="T2292" s="340"/>
      <c r="V2292" s="378"/>
      <c r="W2292" s="64" ph="1"/>
      <c r="X2292" s="241"/>
      <c r="Y2292" s="284"/>
      <c r="Z2292" s="207"/>
      <c r="AA2292" s="284"/>
      <c r="AB2292" s="284"/>
      <c r="AC2292" s="284"/>
      <c r="AD2292" s="284"/>
      <c r="AE2292" s="284"/>
      <c r="AF2292" s="284"/>
      <c r="AG2292" s="284"/>
    </row>
    <row r="2293" spans="1:33" ht="26.4">
      <c r="A2293" s="284"/>
      <c r="B2293" s="284"/>
      <c r="C2293" s="284"/>
      <c r="D2293" s="284"/>
      <c r="E2293" s="284"/>
      <c r="F2293" s="284"/>
      <c r="G2293" s="284"/>
      <c r="H2293" s="284"/>
      <c r="I2293" s="284"/>
      <c r="J2293" s="375"/>
      <c r="K2293" s="375"/>
      <c r="L2293" s="375"/>
      <c r="M2293" s="368"/>
      <c r="N2293" s="368"/>
      <c r="O2293" s="370"/>
      <c r="T2293" s="340"/>
      <c r="V2293" s="378"/>
      <c r="W2293" s="64" ph="1"/>
      <c r="X2293" s="241"/>
      <c r="Y2293" s="284"/>
      <c r="Z2293" s="207"/>
      <c r="AA2293" s="284"/>
      <c r="AB2293" s="284"/>
      <c r="AC2293" s="284"/>
      <c r="AD2293" s="284"/>
      <c r="AE2293" s="284"/>
      <c r="AF2293" s="284"/>
      <c r="AG2293" s="284"/>
    </row>
    <row r="2294" spans="1:33" ht="26.4">
      <c r="A2294" s="284"/>
      <c r="B2294" s="284"/>
      <c r="C2294" s="284"/>
      <c r="D2294" s="284"/>
      <c r="E2294" s="284"/>
      <c r="F2294" s="284"/>
      <c r="G2294" s="284"/>
      <c r="H2294" s="284"/>
      <c r="I2294" s="284"/>
      <c r="J2294" s="375"/>
      <c r="K2294" s="375"/>
      <c r="L2294" s="375"/>
      <c r="M2294" s="368"/>
      <c r="N2294" s="368"/>
      <c r="O2294" s="370"/>
      <c r="T2294" s="340"/>
      <c r="V2294" s="378"/>
      <c r="W2294" s="64" ph="1"/>
      <c r="X2294" s="241"/>
      <c r="Y2294" s="284"/>
      <c r="Z2294" s="207"/>
      <c r="AA2294" s="284"/>
      <c r="AB2294" s="284"/>
      <c r="AC2294" s="284"/>
      <c r="AD2294" s="284"/>
      <c r="AE2294" s="284"/>
      <c r="AF2294" s="284"/>
      <c r="AG2294" s="284"/>
    </row>
    <row r="2295" spans="1:33" ht="26.4">
      <c r="A2295" s="284"/>
      <c r="B2295" s="284"/>
      <c r="C2295" s="284"/>
      <c r="D2295" s="284"/>
      <c r="E2295" s="284"/>
      <c r="F2295" s="284"/>
      <c r="G2295" s="284"/>
      <c r="H2295" s="284"/>
      <c r="I2295" s="284"/>
      <c r="J2295" s="375"/>
      <c r="K2295" s="375"/>
      <c r="L2295" s="375"/>
      <c r="M2295" s="368"/>
      <c r="N2295" s="368"/>
      <c r="O2295" s="370"/>
      <c r="T2295" s="340"/>
      <c r="V2295" s="378"/>
      <c r="W2295" s="64" ph="1"/>
      <c r="X2295" s="241"/>
      <c r="Y2295" s="284"/>
      <c r="Z2295" s="207"/>
      <c r="AA2295" s="284"/>
      <c r="AB2295" s="284"/>
      <c r="AC2295" s="284"/>
      <c r="AD2295" s="284"/>
      <c r="AE2295" s="284"/>
      <c r="AF2295" s="284"/>
      <c r="AG2295" s="284"/>
    </row>
    <row r="2296" spans="1:33" ht="26.4">
      <c r="A2296" s="284"/>
      <c r="B2296" s="284"/>
      <c r="C2296" s="284"/>
      <c r="D2296" s="284"/>
      <c r="E2296" s="284"/>
      <c r="F2296" s="284"/>
      <c r="G2296" s="284"/>
      <c r="H2296" s="284"/>
      <c r="I2296" s="284"/>
      <c r="J2296" s="375"/>
      <c r="K2296" s="375"/>
      <c r="L2296" s="375"/>
      <c r="M2296" s="368"/>
      <c r="N2296" s="368"/>
      <c r="O2296" s="370"/>
      <c r="T2296" s="340"/>
      <c r="V2296" s="378"/>
      <c r="W2296" s="64" ph="1"/>
      <c r="X2296" s="241"/>
      <c r="Y2296" s="284"/>
      <c r="Z2296" s="207"/>
      <c r="AA2296" s="284"/>
      <c r="AB2296" s="284"/>
      <c r="AC2296" s="284"/>
      <c r="AD2296" s="284"/>
      <c r="AE2296" s="284"/>
      <c r="AF2296" s="284"/>
      <c r="AG2296" s="284"/>
    </row>
    <row r="2297" spans="1:33" ht="26.4">
      <c r="A2297" s="284"/>
      <c r="B2297" s="284"/>
      <c r="C2297" s="284"/>
      <c r="D2297" s="284"/>
      <c r="E2297" s="284"/>
      <c r="F2297" s="284"/>
      <c r="G2297" s="284"/>
      <c r="H2297" s="284"/>
      <c r="I2297" s="284"/>
      <c r="J2297" s="375"/>
      <c r="K2297" s="375"/>
      <c r="L2297" s="375"/>
      <c r="M2297" s="368"/>
      <c r="N2297" s="368"/>
      <c r="O2297" s="370"/>
      <c r="T2297" s="340"/>
      <c r="V2297" s="378"/>
      <c r="W2297" s="64" ph="1"/>
      <c r="X2297" s="241"/>
      <c r="Y2297" s="284"/>
      <c r="Z2297" s="207"/>
      <c r="AA2297" s="284"/>
      <c r="AB2297" s="284"/>
      <c r="AC2297" s="284"/>
      <c r="AD2297" s="284"/>
      <c r="AE2297" s="284"/>
      <c r="AF2297" s="284"/>
      <c r="AG2297" s="284"/>
    </row>
    <row r="2298" spans="1:33" ht="26.4">
      <c r="A2298" s="284"/>
      <c r="B2298" s="284"/>
      <c r="C2298" s="284"/>
      <c r="D2298" s="284"/>
      <c r="E2298" s="284"/>
      <c r="F2298" s="284"/>
      <c r="G2298" s="284"/>
      <c r="H2298" s="284"/>
      <c r="I2298" s="284"/>
      <c r="J2298" s="375"/>
      <c r="K2298" s="375"/>
      <c r="L2298" s="375"/>
      <c r="M2298" s="368"/>
      <c r="N2298" s="368"/>
      <c r="O2298" s="370"/>
      <c r="T2298" s="340"/>
      <c r="V2298" s="378"/>
      <c r="W2298" s="64" ph="1"/>
      <c r="X2298" s="241"/>
      <c r="Y2298" s="284"/>
      <c r="Z2298" s="207"/>
      <c r="AA2298" s="284"/>
      <c r="AB2298" s="284"/>
      <c r="AC2298" s="284"/>
      <c r="AD2298" s="284"/>
      <c r="AE2298" s="284"/>
      <c r="AF2298" s="284"/>
      <c r="AG2298" s="284"/>
    </row>
    <row r="2299" spans="1:33" ht="26.4">
      <c r="A2299" s="284"/>
      <c r="B2299" s="284"/>
      <c r="C2299" s="284"/>
      <c r="D2299" s="284"/>
      <c r="E2299" s="284"/>
      <c r="F2299" s="284"/>
      <c r="G2299" s="284"/>
      <c r="H2299" s="284"/>
      <c r="I2299" s="284"/>
      <c r="J2299" s="375"/>
      <c r="K2299" s="375"/>
      <c r="L2299" s="375"/>
      <c r="M2299" s="368"/>
      <c r="N2299" s="368"/>
      <c r="O2299" s="370"/>
      <c r="T2299" s="340"/>
      <c r="V2299" s="378"/>
      <c r="W2299" s="64" ph="1"/>
      <c r="X2299" s="241"/>
      <c r="Y2299" s="284"/>
      <c r="Z2299" s="207"/>
      <c r="AA2299" s="284"/>
      <c r="AB2299" s="284"/>
      <c r="AC2299" s="284"/>
      <c r="AD2299" s="284"/>
      <c r="AE2299" s="284"/>
      <c r="AF2299" s="284"/>
      <c r="AG2299" s="284"/>
    </row>
    <row r="2300" spans="1:33" ht="26.4">
      <c r="A2300" s="284"/>
      <c r="B2300" s="284"/>
      <c r="C2300" s="284"/>
      <c r="D2300" s="284"/>
      <c r="E2300" s="284"/>
      <c r="F2300" s="284"/>
      <c r="G2300" s="284"/>
      <c r="H2300" s="284"/>
      <c r="I2300" s="284"/>
      <c r="J2300" s="375"/>
      <c r="K2300" s="375"/>
      <c r="L2300" s="375"/>
      <c r="M2300" s="368"/>
      <c r="N2300" s="368"/>
      <c r="O2300" s="370"/>
      <c r="T2300" s="340"/>
      <c r="V2300" s="378"/>
      <c r="W2300" s="64" ph="1"/>
      <c r="X2300" s="241"/>
      <c r="Y2300" s="284"/>
      <c r="Z2300" s="207"/>
      <c r="AA2300" s="284"/>
      <c r="AB2300" s="284"/>
      <c r="AC2300" s="284"/>
      <c r="AD2300" s="284"/>
      <c r="AE2300" s="284"/>
      <c r="AF2300" s="284"/>
      <c r="AG2300" s="284"/>
    </row>
    <row r="2301" spans="1:33" ht="26.4">
      <c r="A2301" s="284"/>
      <c r="B2301" s="284"/>
      <c r="C2301" s="284"/>
      <c r="D2301" s="284"/>
      <c r="E2301" s="284"/>
      <c r="F2301" s="284"/>
      <c r="G2301" s="284"/>
      <c r="H2301" s="284"/>
      <c r="I2301" s="284"/>
      <c r="J2301" s="375"/>
      <c r="K2301" s="375"/>
      <c r="L2301" s="375"/>
      <c r="M2301" s="368"/>
      <c r="N2301" s="368"/>
      <c r="O2301" s="370"/>
      <c r="T2301" s="340"/>
      <c r="V2301" s="378"/>
      <c r="W2301" s="64" ph="1"/>
      <c r="X2301" s="241"/>
      <c r="Y2301" s="284"/>
      <c r="Z2301" s="207"/>
      <c r="AA2301" s="284"/>
      <c r="AB2301" s="284"/>
      <c r="AC2301" s="284"/>
      <c r="AD2301" s="284"/>
      <c r="AE2301" s="284"/>
      <c r="AF2301" s="284"/>
      <c r="AG2301" s="284"/>
    </row>
    <row r="2302" spans="1:33" ht="26.4">
      <c r="A2302" s="284"/>
      <c r="B2302" s="284"/>
      <c r="C2302" s="284"/>
      <c r="D2302" s="284"/>
      <c r="E2302" s="284"/>
      <c r="F2302" s="284"/>
      <c r="G2302" s="284"/>
      <c r="H2302" s="284"/>
      <c r="I2302" s="284"/>
      <c r="J2302" s="375"/>
      <c r="K2302" s="375"/>
      <c r="L2302" s="375"/>
      <c r="M2302" s="368"/>
      <c r="N2302" s="368"/>
      <c r="O2302" s="370"/>
      <c r="T2302" s="340"/>
      <c r="V2302" s="378"/>
      <c r="W2302" s="64" ph="1"/>
      <c r="X2302" s="241"/>
      <c r="Y2302" s="284"/>
      <c r="Z2302" s="207"/>
      <c r="AA2302" s="284"/>
      <c r="AB2302" s="284"/>
      <c r="AC2302" s="284"/>
      <c r="AD2302" s="284"/>
      <c r="AE2302" s="284"/>
      <c r="AF2302" s="284"/>
      <c r="AG2302" s="284"/>
    </row>
    <row r="2303" spans="1:33" ht="26.4">
      <c r="A2303" s="284"/>
      <c r="B2303" s="284"/>
      <c r="C2303" s="284"/>
      <c r="D2303" s="284"/>
      <c r="E2303" s="284"/>
      <c r="F2303" s="284"/>
      <c r="G2303" s="284"/>
      <c r="H2303" s="284"/>
      <c r="I2303" s="284"/>
      <c r="J2303" s="375"/>
      <c r="K2303" s="375"/>
      <c r="L2303" s="375"/>
      <c r="M2303" s="368"/>
      <c r="N2303" s="368"/>
      <c r="O2303" s="370"/>
      <c r="T2303" s="340"/>
      <c r="V2303" s="378"/>
      <c r="W2303" s="64" ph="1"/>
      <c r="X2303" s="241"/>
      <c r="Y2303" s="284"/>
      <c r="Z2303" s="207"/>
      <c r="AA2303" s="284"/>
      <c r="AB2303" s="284"/>
      <c r="AC2303" s="284"/>
      <c r="AD2303" s="284"/>
      <c r="AE2303" s="284"/>
      <c r="AF2303" s="284"/>
      <c r="AG2303" s="284"/>
    </row>
    <row r="2304" spans="1:33" ht="26.4">
      <c r="O2304" s="370"/>
      <c r="W2304" s="64" ph="1"/>
    </row>
    <row r="2305" spans="15:23" ht="26.4">
      <c r="O2305" s="370"/>
      <c r="W2305" s="64" ph="1"/>
    </row>
    <row r="2306" spans="15:23" ht="26.4">
      <c r="W2306" s="64" ph="1"/>
    </row>
    <row r="2307" spans="15:23" ht="26.4">
      <c r="W2307" s="64" ph="1"/>
    </row>
    <row r="2308" spans="15:23" ht="26.4">
      <c r="W2308" s="64" ph="1"/>
    </row>
    <row r="2309" spans="15:23" ht="26.4">
      <c r="W2309" s="64" ph="1"/>
    </row>
    <row r="2310" spans="15:23" ht="26.4">
      <c r="W2310" s="64" ph="1"/>
    </row>
    <row r="2311" spans="15:23" ht="26.4">
      <c r="W2311" s="64" ph="1"/>
    </row>
    <row r="2312" spans="15:23" ht="26.4">
      <c r="W2312" s="64" ph="1"/>
    </row>
    <row r="2313" spans="15:23" ht="26.4">
      <c r="W2313" s="64" ph="1"/>
    </row>
    <row r="2314" spans="15:23" ht="26.4">
      <c r="W2314" s="64" ph="1"/>
    </row>
    <row r="2315" spans="15:23" ht="26.4">
      <c r="W2315" s="64" ph="1"/>
    </row>
    <row r="2316" spans="15:23" ht="26.4">
      <c r="W2316" s="64" ph="1"/>
    </row>
    <row r="2317" spans="15:23" ht="26.4">
      <c r="W2317" s="64" ph="1"/>
    </row>
    <row r="2318" spans="15:23" ht="26.4">
      <c r="W2318" s="64" ph="1"/>
    </row>
    <row r="2319" spans="15:23" ht="26.4">
      <c r="W2319" s="64" ph="1"/>
    </row>
    <row r="2320" spans="15:23" ht="26.4">
      <c r="W2320" s="64" ph="1"/>
    </row>
    <row r="2321" spans="23:23" ht="26.4">
      <c r="W2321" s="64" ph="1"/>
    </row>
    <row r="2322" spans="23:23" ht="26.4">
      <c r="W2322" s="64" ph="1"/>
    </row>
    <row r="2323" spans="23:23" ht="26.4">
      <c r="W2323" s="64" ph="1"/>
    </row>
    <row r="2324" spans="23:23" ht="26.4">
      <c r="W2324" s="64" ph="1"/>
    </row>
    <row r="2325" spans="23:23" ht="26.4">
      <c r="W2325" s="64" ph="1"/>
    </row>
    <row r="2326" spans="23:23" ht="26.4">
      <c r="W2326" s="64" ph="1"/>
    </row>
    <row r="2327" spans="23:23" ht="26.4">
      <c r="W2327" s="64" ph="1"/>
    </row>
    <row r="2328" spans="23:23" ht="26.4">
      <c r="W2328" s="64" ph="1"/>
    </row>
    <row r="2329" spans="23:23" ht="26.4">
      <c r="W2329" s="64" ph="1"/>
    </row>
    <row r="2330" spans="23:23" ht="26.4">
      <c r="W2330" s="64" ph="1"/>
    </row>
    <row r="2331" spans="23:23" ht="26.4">
      <c r="W2331" s="64" ph="1"/>
    </row>
    <row r="2332" spans="23:23" ht="26.4">
      <c r="W2332" s="64" ph="1"/>
    </row>
    <row r="2333" spans="23:23" ht="26.4">
      <c r="W2333" s="64" ph="1"/>
    </row>
    <row r="2334" spans="23:23" ht="26.4">
      <c r="W2334" s="64" ph="1"/>
    </row>
    <row r="2335" spans="23:23" ht="26.4">
      <c r="W2335" s="64" ph="1"/>
    </row>
    <row r="2336" spans="23:23" ht="26.4">
      <c r="W2336" s="64" ph="1"/>
    </row>
    <row r="2337" spans="23:23" ht="26.4">
      <c r="W2337" s="64" ph="1"/>
    </row>
    <row r="2338" spans="23:23" ht="26.4">
      <c r="W2338" s="64" ph="1"/>
    </row>
    <row r="2339" spans="23:23" ht="26.4">
      <c r="W2339" s="64" ph="1"/>
    </row>
    <row r="2340" spans="23:23" ht="26.4">
      <c r="W2340" s="64" ph="1"/>
    </row>
    <row r="2341" spans="23:23" ht="26.4">
      <c r="W2341" s="64" ph="1"/>
    </row>
    <row r="2342" spans="23:23" ht="26.4">
      <c r="W2342" s="64" ph="1"/>
    </row>
    <row r="2343" spans="23:23" ht="26.4">
      <c r="W2343" s="64" ph="1"/>
    </row>
    <row r="2344" spans="23:23" ht="26.4">
      <c r="W2344" s="64" ph="1"/>
    </row>
    <row r="2345" spans="23:23" ht="26.4">
      <c r="W2345" s="64" ph="1"/>
    </row>
    <row r="2346" spans="23:23" ht="26.4">
      <c r="W2346" s="64" ph="1"/>
    </row>
    <row r="2347" spans="23:23" ht="26.4">
      <c r="W2347" s="64" ph="1"/>
    </row>
    <row r="2348" spans="23:23" ht="26.4">
      <c r="W2348" s="64" ph="1"/>
    </row>
    <row r="2349" spans="23:23" ht="26.4">
      <c r="W2349" s="64" ph="1"/>
    </row>
    <row r="2350" spans="23:23" ht="26.4">
      <c r="W2350" s="64" ph="1"/>
    </row>
    <row r="2351" spans="23:23" ht="26.4">
      <c r="W2351" s="64" ph="1"/>
    </row>
    <row r="2352" spans="23:23" ht="26.4">
      <c r="W2352" s="64" ph="1"/>
    </row>
    <row r="2353" spans="23:23" ht="26.4">
      <c r="W2353" s="64" ph="1"/>
    </row>
    <row r="2354" spans="23:23" ht="26.4">
      <c r="W2354" s="64" ph="1"/>
    </row>
    <row r="2355" spans="23:23" ht="26.4">
      <c r="W2355" s="64" ph="1"/>
    </row>
    <row r="2356" spans="23:23" ht="26.4">
      <c r="W2356" s="64" ph="1"/>
    </row>
    <row r="2357" spans="23:23" ht="26.4">
      <c r="W2357" s="64" ph="1"/>
    </row>
    <row r="2358" spans="23:23" ht="26.4">
      <c r="W2358" s="64" ph="1"/>
    </row>
    <row r="2359" spans="23:23" ht="26.4">
      <c r="W2359" s="64" ph="1"/>
    </row>
    <row r="2360" spans="23:23" ht="26.4">
      <c r="W2360" s="64" ph="1"/>
    </row>
    <row r="2361" spans="23:23" ht="26.4">
      <c r="W2361" s="64" ph="1"/>
    </row>
    <row r="2362" spans="23:23" ht="26.4">
      <c r="W2362" s="64" ph="1"/>
    </row>
    <row r="2363" spans="23:23" ht="26.4">
      <c r="W2363" s="64" ph="1"/>
    </row>
    <row r="2364" spans="23:23" ht="26.4">
      <c r="W2364" s="64" ph="1"/>
    </row>
    <row r="2365" spans="23:23" ht="26.4">
      <c r="W2365" s="64" ph="1"/>
    </row>
    <row r="2366" spans="23:23" ht="26.4">
      <c r="W2366" s="64" ph="1"/>
    </row>
    <row r="2367" spans="23:23" ht="26.4">
      <c r="W2367" s="64" ph="1"/>
    </row>
    <row r="2368" spans="23:23" ht="26.4">
      <c r="W2368" s="64" ph="1"/>
    </row>
    <row r="2369" spans="23:23" ht="26.4">
      <c r="W2369" s="64" ph="1"/>
    </row>
    <row r="2370" spans="23:23" ht="26.4">
      <c r="W2370" s="64" ph="1"/>
    </row>
    <row r="2371" spans="23:23" ht="26.4">
      <c r="W2371" s="64" ph="1"/>
    </row>
    <row r="2372" spans="23:23" ht="26.4">
      <c r="W2372" s="64" ph="1"/>
    </row>
    <row r="2373" spans="23:23" ht="26.4">
      <c r="W2373" s="64" ph="1"/>
    </row>
    <row r="2374" spans="23:23" ht="26.4">
      <c r="W2374" s="64" ph="1"/>
    </row>
    <row r="2375" spans="23:23" ht="26.4">
      <c r="W2375" s="64" ph="1"/>
    </row>
    <row r="2376" spans="23:23" ht="26.4">
      <c r="W2376" s="64" ph="1"/>
    </row>
    <row r="2377" spans="23:23" ht="26.4">
      <c r="W2377" s="64" ph="1"/>
    </row>
    <row r="2378" spans="23:23" ht="26.4">
      <c r="W2378" s="64" ph="1"/>
    </row>
    <row r="2379" spans="23:23" ht="26.4">
      <c r="W2379" s="64" ph="1"/>
    </row>
    <row r="2380" spans="23:23" ht="26.4">
      <c r="W2380" s="64" ph="1"/>
    </row>
    <row r="2381" spans="23:23" ht="26.4">
      <c r="W2381" s="64" ph="1"/>
    </row>
    <row r="2382" spans="23:23" ht="26.4">
      <c r="W2382" s="64" ph="1"/>
    </row>
    <row r="2383" spans="23:23" ht="26.4">
      <c r="W2383" s="64" ph="1"/>
    </row>
    <row r="2384" spans="23:23" ht="26.4">
      <c r="W2384" s="64" ph="1"/>
    </row>
    <row r="2385" spans="23:23" ht="26.4">
      <c r="W2385" s="64" ph="1"/>
    </row>
    <row r="2386" spans="23:23" ht="26.4">
      <c r="W2386" s="64" ph="1"/>
    </row>
    <row r="2387" spans="23:23" ht="26.4">
      <c r="W2387" s="64" ph="1"/>
    </row>
    <row r="2388" spans="23:23" ht="26.4">
      <c r="W2388" s="64" ph="1"/>
    </row>
    <row r="2389" spans="23:23" ht="26.4">
      <c r="W2389" s="64" ph="1"/>
    </row>
    <row r="2390" spans="23:23" ht="26.4">
      <c r="W2390" s="64" ph="1"/>
    </row>
    <row r="2391" spans="23:23" ht="26.4">
      <c r="W2391" s="64" ph="1"/>
    </row>
    <row r="2392" spans="23:23" ht="26.4">
      <c r="W2392" s="64" ph="1"/>
    </row>
    <row r="2393" spans="23:23" ht="26.4">
      <c r="W2393" s="64" ph="1"/>
    </row>
    <row r="2394" spans="23:23" ht="26.4">
      <c r="W2394" s="64" ph="1"/>
    </row>
    <row r="2395" spans="23:23" ht="26.4">
      <c r="W2395" s="64" ph="1"/>
    </row>
    <row r="2396" spans="23:23" ht="26.4">
      <c r="W2396" s="64" ph="1"/>
    </row>
    <row r="2397" spans="23:23" ht="26.4">
      <c r="W2397" s="64" ph="1"/>
    </row>
    <row r="2398" spans="23:23" ht="26.4">
      <c r="W2398" s="64" ph="1"/>
    </row>
    <row r="2399" spans="23:23" ht="26.4">
      <c r="W2399" s="64" ph="1"/>
    </row>
    <row r="2400" spans="23:23" ht="26.4">
      <c r="W2400" s="64" ph="1"/>
    </row>
    <row r="2401" spans="23:23" ht="26.4">
      <c r="W2401" s="64" ph="1"/>
    </row>
    <row r="2402" spans="23:23" ht="26.4">
      <c r="W2402" s="64" ph="1"/>
    </row>
    <row r="2403" spans="23:23" ht="26.4">
      <c r="W2403" s="64" ph="1"/>
    </row>
    <row r="2404" spans="23:23" ht="26.4">
      <c r="W2404" s="64" ph="1"/>
    </row>
    <row r="2405" spans="23:23" ht="26.4">
      <c r="W2405" s="64" ph="1"/>
    </row>
    <row r="2406" spans="23:23" ht="26.4">
      <c r="W2406" s="64" ph="1"/>
    </row>
    <row r="2407" spans="23:23" ht="26.4">
      <c r="W2407" s="64" ph="1"/>
    </row>
    <row r="2408" spans="23:23" ht="26.4">
      <c r="W2408" s="64" ph="1"/>
    </row>
    <row r="2409" spans="23:23" ht="26.4">
      <c r="W2409" s="64" ph="1"/>
    </row>
    <row r="2410" spans="23:23" ht="26.4">
      <c r="W2410" s="64" ph="1"/>
    </row>
    <row r="2411" spans="23:23" ht="26.4">
      <c r="W2411" s="64" ph="1"/>
    </row>
    <row r="2412" spans="23:23" ht="26.4">
      <c r="W2412" s="64" ph="1"/>
    </row>
    <row r="2413" spans="23:23" ht="26.4">
      <c r="W2413" s="64" ph="1"/>
    </row>
    <row r="2414" spans="23:23" ht="26.4">
      <c r="W2414" s="64" ph="1"/>
    </row>
    <row r="2415" spans="23:23" ht="26.4">
      <c r="W2415" s="64" ph="1"/>
    </row>
    <row r="2416" spans="23:23" ht="26.4">
      <c r="W2416" s="64" ph="1"/>
    </row>
    <row r="2417" spans="23:23" ht="26.4">
      <c r="W2417" s="64" ph="1"/>
    </row>
    <row r="2418" spans="23:23" ht="26.4">
      <c r="W2418" s="64" ph="1"/>
    </row>
    <row r="2419" spans="23:23" ht="26.4">
      <c r="W2419" s="64" ph="1"/>
    </row>
    <row r="2420" spans="23:23" ht="26.4">
      <c r="W2420" s="64" ph="1"/>
    </row>
    <row r="2421" spans="23:23" ht="26.4">
      <c r="W2421" s="64" ph="1"/>
    </row>
    <row r="2422" spans="23:23" ht="26.4">
      <c r="W2422" s="64" ph="1"/>
    </row>
    <row r="2423" spans="23:23" ht="26.4">
      <c r="W2423" s="64" ph="1"/>
    </row>
    <row r="2424" spans="23:23" ht="26.4">
      <c r="W2424" s="64" ph="1"/>
    </row>
    <row r="2425" spans="23:23" ht="26.4">
      <c r="W2425" s="64" ph="1"/>
    </row>
    <row r="2426" spans="23:23" ht="26.4">
      <c r="W2426" s="64" ph="1"/>
    </row>
    <row r="2427" spans="23:23" ht="26.4">
      <c r="W2427" s="64" ph="1"/>
    </row>
    <row r="2428" spans="23:23" ht="26.4">
      <c r="W2428" s="64" ph="1"/>
    </row>
    <row r="2429" spans="23:23" ht="26.4">
      <c r="W2429" s="64" ph="1"/>
    </row>
    <row r="2430" spans="23:23" ht="26.4">
      <c r="W2430" s="64" ph="1"/>
    </row>
    <row r="2431" spans="23:23" ht="26.4">
      <c r="W2431" s="64" ph="1"/>
    </row>
    <row r="2432" spans="23:23" ht="26.4">
      <c r="W2432" s="64" ph="1"/>
    </row>
    <row r="2433" spans="23:23" ht="26.4">
      <c r="W2433" s="64" ph="1"/>
    </row>
    <row r="2434" spans="23:23" ht="26.4">
      <c r="W2434" s="64" ph="1"/>
    </row>
    <row r="2435" spans="23:23" ht="26.4">
      <c r="W2435" s="64" ph="1"/>
    </row>
    <row r="2436" spans="23:23" ht="26.4">
      <c r="W2436" s="64" ph="1"/>
    </row>
    <row r="2437" spans="23:23" ht="26.4">
      <c r="W2437" s="64" ph="1"/>
    </row>
    <row r="2438" spans="23:23" ht="26.4">
      <c r="W2438" s="64" ph="1"/>
    </row>
    <row r="2439" spans="23:23" ht="26.4">
      <c r="W2439" s="64" ph="1"/>
    </row>
    <row r="2440" spans="23:23" ht="26.4">
      <c r="W2440" s="64" ph="1"/>
    </row>
    <row r="2441" spans="23:23" ht="26.4">
      <c r="W2441" s="64" ph="1"/>
    </row>
    <row r="2442" spans="23:23" ht="26.4">
      <c r="W2442" s="64" ph="1"/>
    </row>
    <row r="2443" spans="23:23" ht="26.4">
      <c r="W2443" s="64" ph="1"/>
    </row>
    <row r="2444" spans="23:23" ht="26.4">
      <c r="W2444" s="64" ph="1"/>
    </row>
    <row r="2445" spans="23:23" ht="26.4">
      <c r="W2445" s="64" ph="1"/>
    </row>
    <row r="2446" spans="23:23" ht="26.4">
      <c r="W2446" s="64" ph="1"/>
    </row>
    <row r="2447" spans="23:23" ht="26.4">
      <c r="W2447" s="64" ph="1"/>
    </row>
    <row r="2448" spans="23:23" ht="26.4">
      <c r="W2448" s="64" ph="1"/>
    </row>
    <row r="2449" spans="23:23" ht="26.4">
      <c r="W2449" s="64" ph="1"/>
    </row>
    <row r="2450" spans="23:23" ht="26.4">
      <c r="W2450" s="64" ph="1"/>
    </row>
    <row r="2451" spans="23:23" ht="26.4">
      <c r="W2451" s="64" ph="1"/>
    </row>
    <row r="2452" spans="23:23" ht="26.4">
      <c r="W2452" s="64" ph="1"/>
    </row>
    <row r="2453" spans="23:23" ht="26.4">
      <c r="W2453" s="64" ph="1"/>
    </row>
    <row r="2454" spans="23:23" ht="26.4">
      <c r="W2454" s="64" ph="1"/>
    </row>
    <row r="2455" spans="23:23" ht="26.4">
      <c r="W2455" s="64" ph="1"/>
    </row>
    <row r="2456" spans="23:23" ht="26.4">
      <c r="W2456" s="64" ph="1"/>
    </row>
    <row r="2457" spans="23:23" ht="26.4">
      <c r="W2457" s="64" ph="1"/>
    </row>
    <row r="2458" spans="23:23" ht="26.4">
      <c r="W2458" s="64" ph="1"/>
    </row>
    <row r="2459" spans="23:23" ht="26.4">
      <c r="W2459" s="64" ph="1"/>
    </row>
    <row r="2460" spans="23:23" ht="26.4">
      <c r="W2460" s="64" ph="1"/>
    </row>
    <row r="2461" spans="23:23" ht="26.4">
      <c r="W2461" s="64" ph="1"/>
    </row>
    <row r="2462" spans="23:23" ht="26.4">
      <c r="W2462" s="64" ph="1"/>
    </row>
    <row r="2463" spans="23:23" ht="26.4">
      <c r="W2463" s="64" ph="1"/>
    </row>
    <row r="2464" spans="23:23" ht="26.4">
      <c r="W2464" s="64" ph="1"/>
    </row>
    <row r="2465" spans="23:23" ht="26.4">
      <c r="W2465" s="64" ph="1"/>
    </row>
    <row r="2466" spans="23:23" ht="26.4">
      <c r="W2466" s="64" ph="1"/>
    </row>
    <row r="2467" spans="23:23" ht="26.4">
      <c r="W2467" s="64" ph="1"/>
    </row>
    <row r="2468" spans="23:23" ht="26.4">
      <c r="W2468" s="64" ph="1"/>
    </row>
    <row r="2469" spans="23:23" ht="26.4">
      <c r="W2469" s="64" ph="1"/>
    </row>
    <row r="2470" spans="23:23" ht="26.4">
      <c r="W2470" s="64" ph="1"/>
    </row>
    <row r="2471" spans="23:23" ht="26.4">
      <c r="W2471" s="64" ph="1"/>
    </row>
    <row r="2472" spans="23:23" ht="26.4">
      <c r="W2472" s="64" ph="1"/>
    </row>
    <row r="2473" spans="23:23" ht="26.4">
      <c r="W2473" s="64" ph="1"/>
    </row>
    <row r="2474" spans="23:23" ht="26.4">
      <c r="W2474" s="64" ph="1"/>
    </row>
    <row r="2475" spans="23:23" ht="26.4">
      <c r="W2475" s="64" ph="1"/>
    </row>
    <row r="2476" spans="23:23" ht="26.4">
      <c r="W2476" s="64" ph="1"/>
    </row>
    <row r="2477" spans="23:23" ht="26.4">
      <c r="W2477" s="64" ph="1"/>
    </row>
    <row r="2478" spans="23:23" ht="26.4">
      <c r="W2478" s="64" ph="1"/>
    </row>
    <row r="2479" spans="23:23" ht="26.4">
      <c r="W2479" s="64" ph="1"/>
    </row>
    <row r="2480" spans="23:23" ht="26.4">
      <c r="W2480" s="64" ph="1"/>
    </row>
    <row r="2481" spans="23:23" ht="26.4">
      <c r="W2481" s="64" ph="1"/>
    </row>
    <row r="2482" spans="23:23" ht="26.4">
      <c r="W2482" s="64" ph="1"/>
    </row>
    <row r="2483" spans="23:23" ht="26.4">
      <c r="W2483" s="64" ph="1"/>
    </row>
    <row r="2484" spans="23:23" ht="26.4">
      <c r="W2484" s="64" ph="1"/>
    </row>
    <row r="2485" spans="23:23" ht="26.4">
      <c r="W2485" s="64" ph="1"/>
    </row>
    <row r="2486" spans="23:23" ht="26.4">
      <c r="W2486" s="64" ph="1"/>
    </row>
    <row r="2487" spans="23:23" ht="26.4">
      <c r="W2487" s="64" ph="1"/>
    </row>
    <row r="2488" spans="23:23" ht="26.4">
      <c r="W2488" s="64" ph="1"/>
    </row>
    <row r="2489" spans="23:23" ht="26.4">
      <c r="W2489" s="64" ph="1"/>
    </row>
    <row r="2490" spans="23:23" ht="26.4">
      <c r="W2490" s="64" ph="1"/>
    </row>
    <row r="2491" spans="23:23" ht="26.4">
      <c r="W2491" s="64" ph="1"/>
    </row>
    <row r="2492" spans="23:23" ht="26.4">
      <c r="W2492" s="64" ph="1"/>
    </row>
    <row r="2493" spans="23:23" ht="26.4">
      <c r="W2493" s="64" ph="1"/>
    </row>
    <row r="2494" spans="23:23" ht="26.4">
      <c r="W2494" s="64" ph="1"/>
    </row>
    <row r="2495" spans="23:23" ht="26.4">
      <c r="W2495" s="64" ph="1"/>
    </row>
    <row r="2496" spans="23:23" ht="26.4">
      <c r="W2496" s="64" ph="1"/>
    </row>
    <row r="2497" spans="23:23" ht="26.4">
      <c r="W2497" s="64" ph="1"/>
    </row>
    <row r="2498" spans="23:23" ht="26.4">
      <c r="W2498" s="64" ph="1"/>
    </row>
    <row r="2499" spans="23:23" ht="26.4">
      <c r="W2499" s="64" ph="1"/>
    </row>
    <row r="2500" spans="23:23" ht="26.4">
      <c r="W2500" s="64" ph="1"/>
    </row>
    <row r="2501" spans="23:23" ht="26.4">
      <c r="W2501" s="64" ph="1"/>
    </row>
    <row r="2502" spans="23:23" ht="26.4">
      <c r="W2502" s="64" ph="1"/>
    </row>
    <row r="2503" spans="23:23" ht="26.4">
      <c r="W2503" s="64" ph="1"/>
    </row>
    <row r="2504" spans="23:23" ht="26.4">
      <c r="W2504" s="64" ph="1"/>
    </row>
    <row r="2505" spans="23:23" ht="26.4">
      <c r="W2505" s="64" ph="1"/>
    </row>
    <row r="2506" spans="23:23" ht="26.4">
      <c r="W2506" s="64" ph="1"/>
    </row>
    <row r="2507" spans="23:23" ht="26.4">
      <c r="W2507" s="64" ph="1"/>
    </row>
    <row r="2508" spans="23:23" ht="26.4">
      <c r="W2508" s="64" ph="1"/>
    </row>
    <row r="2509" spans="23:23" ht="26.4">
      <c r="W2509" s="64" ph="1"/>
    </row>
    <row r="2510" spans="23:23" ht="26.4">
      <c r="W2510" s="64" ph="1"/>
    </row>
    <row r="2511" spans="23:23" ht="26.4">
      <c r="W2511" s="64" ph="1"/>
    </row>
    <row r="2512" spans="23:23" ht="26.4">
      <c r="W2512" s="64" ph="1"/>
    </row>
    <row r="2513" spans="23:23" ht="26.4">
      <c r="W2513" s="64" ph="1"/>
    </row>
    <row r="2514" spans="23:23" ht="26.4">
      <c r="W2514" s="64" ph="1"/>
    </row>
    <row r="2515" spans="23:23" ht="26.4">
      <c r="W2515" s="64" ph="1"/>
    </row>
    <row r="2516" spans="23:23" ht="26.4">
      <c r="W2516" s="64" ph="1"/>
    </row>
    <row r="2517" spans="23:23" ht="26.4">
      <c r="W2517" s="64" ph="1"/>
    </row>
    <row r="2518" spans="23:23" ht="26.4">
      <c r="W2518" s="64" ph="1"/>
    </row>
    <row r="2519" spans="23:23" ht="26.4">
      <c r="W2519" s="64" ph="1"/>
    </row>
    <row r="2520" spans="23:23" ht="26.4">
      <c r="W2520" s="64" ph="1"/>
    </row>
    <row r="2521" spans="23:23" ht="26.4">
      <c r="W2521" s="64" ph="1"/>
    </row>
    <row r="2522" spans="23:23" ht="26.4">
      <c r="W2522" s="64" ph="1"/>
    </row>
    <row r="2523" spans="23:23" ht="26.4">
      <c r="W2523" s="64" ph="1"/>
    </row>
    <row r="2524" spans="23:23" ht="26.4">
      <c r="W2524" s="64" ph="1"/>
    </row>
    <row r="2525" spans="23:23" ht="26.4">
      <c r="W2525" s="64" ph="1"/>
    </row>
    <row r="2526" spans="23:23" ht="26.4">
      <c r="W2526" s="64" ph="1"/>
    </row>
    <row r="2527" spans="23:23" ht="26.4">
      <c r="W2527" s="64" ph="1"/>
    </row>
    <row r="2528" spans="23:23" ht="26.4">
      <c r="W2528" s="64" ph="1"/>
    </row>
    <row r="2529" spans="23:23" ht="26.4">
      <c r="W2529" s="64" ph="1"/>
    </row>
    <row r="2530" spans="23:23" ht="26.4">
      <c r="W2530" s="64" ph="1"/>
    </row>
    <row r="2531" spans="23:23" ht="26.4">
      <c r="W2531" s="64" ph="1"/>
    </row>
    <row r="2532" spans="23:23" ht="26.4">
      <c r="W2532" s="64" ph="1"/>
    </row>
    <row r="2533" spans="23:23" ht="26.4">
      <c r="W2533" s="64" ph="1"/>
    </row>
    <row r="2534" spans="23:23" ht="26.4">
      <c r="W2534" s="64" ph="1"/>
    </row>
    <row r="2535" spans="23:23" ht="26.4">
      <c r="W2535" s="64" ph="1"/>
    </row>
    <row r="2536" spans="23:23" ht="26.4">
      <c r="W2536" s="64" ph="1"/>
    </row>
    <row r="2537" spans="23:23" ht="26.4">
      <c r="W2537" s="64" ph="1"/>
    </row>
    <row r="2538" spans="23:23" ht="26.4">
      <c r="W2538" s="64" ph="1"/>
    </row>
    <row r="2539" spans="23:23" ht="26.4">
      <c r="W2539" s="64" ph="1"/>
    </row>
    <row r="2540" spans="23:23" ht="26.4">
      <c r="W2540" s="64" ph="1"/>
    </row>
    <row r="2541" spans="23:23" ht="26.4">
      <c r="W2541" s="64" ph="1"/>
    </row>
    <row r="2542" spans="23:23" ht="26.4">
      <c r="W2542" s="64" ph="1"/>
    </row>
    <row r="2543" spans="23:23" ht="26.4">
      <c r="W2543" s="64" ph="1"/>
    </row>
    <row r="2544" spans="23:23" ht="26.4">
      <c r="W2544" s="64" ph="1"/>
    </row>
    <row r="2545" spans="23:23" ht="26.4">
      <c r="W2545" s="64" ph="1"/>
    </row>
    <row r="2546" spans="23:23" ht="26.4">
      <c r="W2546" s="64" ph="1"/>
    </row>
    <row r="2547" spans="23:23" ht="26.4">
      <c r="W2547" s="64" ph="1"/>
    </row>
    <row r="2548" spans="23:23" ht="26.4">
      <c r="W2548" s="64" ph="1"/>
    </row>
    <row r="2549" spans="23:23" ht="26.4">
      <c r="W2549" s="64" ph="1"/>
    </row>
    <row r="2550" spans="23:23" ht="26.4">
      <c r="W2550" s="64" ph="1"/>
    </row>
    <row r="2551" spans="23:23" ht="26.4">
      <c r="W2551" s="64" ph="1"/>
    </row>
    <row r="2552" spans="23:23" ht="26.4">
      <c r="W2552" s="64" ph="1"/>
    </row>
    <row r="2553" spans="23:23" ht="26.4">
      <c r="W2553" s="64" ph="1"/>
    </row>
    <row r="2554" spans="23:23" ht="26.4">
      <c r="W2554" s="64" ph="1"/>
    </row>
    <row r="2555" spans="23:23" ht="26.4">
      <c r="W2555" s="64" ph="1"/>
    </row>
    <row r="2556" spans="23:23" ht="26.4">
      <c r="W2556" s="64" ph="1"/>
    </row>
    <row r="2557" spans="23:23" ht="26.4">
      <c r="W2557" s="64" ph="1"/>
    </row>
    <row r="2558" spans="23:23" ht="26.4">
      <c r="W2558" s="64" ph="1"/>
    </row>
    <row r="2559" spans="23:23" ht="26.4">
      <c r="W2559" s="64" ph="1"/>
    </row>
    <row r="2560" spans="23:23" ht="26.4">
      <c r="W2560" s="64" ph="1"/>
    </row>
    <row r="2561" spans="23:23" ht="26.4">
      <c r="W2561" s="64" ph="1"/>
    </row>
    <row r="2562" spans="23:23" ht="26.4">
      <c r="W2562" s="64" ph="1"/>
    </row>
    <row r="2563" spans="23:23" ht="26.4">
      <c r="W2563" s="64" ph="1"/>
    </row>
    <row r="2564" spans="23:23" ht="26.4">
      <c r="W2564" s="64" ph="1"/>
    </row>
    <row r="2565" spans="23:23" ht="26.4">
      <c r="W2565" s="64" ph="1"/>
    </row>
    <row r="2566" spans="23:23" ht="26.4">
      <c r="W2566" s="64" ph="1"/>
    </row>
    <row r="2567" spans="23:23" ht="26.4">
      <c r="W2567" s="64" ph="1"/>
    </row>
    <row r="2568" spans="23:23" ht="26.4">
      <c r="W2568" s="64" ph="1"/>
    </row>
    <row r="2569" spans="23:23" ht="26.4">
      <c r="W2569" s="64" ph="1"/>
    </row>
    <row r="2570" spans="23:23" ht="26.4">
      <c r="W2570" s="64" ph="1"/>
    </row>
    <row r="2571" spans="23:23" ht="26.4">
      <c r="W2571" s="64" ph="1"/>
    </row>
    <row r="2572" spans="23:23" ht="26.4">
      <c r="W2572" s="64" ph="1"/>
    </row>
    <row r="2573" spans="23:23" ht="26.4">
      <c r="W2573" s="64" ph="1"/>
    </row>
    <row r="2574" spans="23:23" ht="26.4">
      <c r="W2574" s="64" ph="1"/>
    </row>
    <row r="2575" spans="23:23" ht="26.4">
      <c r="W2575" s="64" ph="1"/>
    </row>
    <row r="2576" spans="23:23" ht="26.4">
      <c r="W2576" s="64" ph="1"/>
    </row>
    <row r="2577" spans="23:23" ht="26.4">
      <c r="W2577" s="64" ph="1"/>
    </row>
    <row r="2578" spans="23:23" ht="26.4">
      <c r="W2578" s="64" ph="1"/>
    </row>
    <row r="2579" spans="23:23" ht="26.4">
      <c r="W2579" s="64" ph="1"/>
    </row>
    <row r="2580" spans="23:23" ht="26.4">
      <c r="W2580" s="64" ph="1"/>
    </row>
    <row r="2581" spans="23:23" ht="26.4">
      <c r="W2581" s="64" ph="1"/>
    </row>
    <row r="2582" spans="23:23" ht="26.4">
      <c r="W2582" s="64" ph="1"/>
    </row>
    <row r="2583" spans="23:23" ht="26.4">
      <c r="W2583" s="64" ph="1"/>
    </row>
    <row r="2584" spans="23:23" ht="26.4">
      <c r="W2584" s="64" ph="1"/>
    </row>
    <row r="2585" spans="23:23" ht="26.4">
      <c r="W2585" s="64" ph="1"/>
    </row>
    <row r="2586" spans="23:23" ht="26.4">
      <c r="W2586" s="64" ph="1"/>
    </row>
    <row r="2587" spans="23:23" ht="26.4">
      <c r="W2587" s="64" ph="1"/>
    </row>
    <row r="2588" spans="23:23" ht="26.4">
      <c r="W2588" s="64" ph="1"/>
    </row>
    <row r="2589" spans="23:23" ht="26.4">
      <c r="W2589" s="64" ph="1"/>
    </row>
    <row r="2590" spans="23:23" ht="26.4">
      <c r="W2590" s="64" ph="1"/>
    </row>
    <row r="2591" spans="23:23" ht="26.4">
      <c r="W2591" s="64" ph="1"/>
    </row>
    <row r="2592" spans="23:23" ht="26.4">
      <c r="W2592" s="64" ph="1"/>
    </row>
    <row r="2593" spans="23:23" ht="26.4">
      <c r="W2593" s="64" ph="1"/>
    </row>
    <row r="2594" spans="23:23" ht="26.4">
      <c r="W2594" s="64" ph="1"/>
    </row>
    <row r="2595" spans="23:23" ht="26.4">
      <c r="W2595" s="64" ph="1"/>
    </row>
    <row r="2596" spans="23:23" ht="26.4">
      <c r="W2596" s="64" ph="1"/>
    </row>
    <row r="2597" spans="23:23" ht="26.4">
      <c r="W2597" s="64" ph="1"/>
    </row>
    <row r="2598" spans="23:23" ht="26.4">
      <c r="W2598" s="64" ph="1"/>
    </row>
    <row r="2599" spans="23:23" ht="26.4">
      <c r="W2599" s="64" ph="1"/>
    </row>
    <row r="2600" spans="23:23" ht="26.4">
      <c r="W2600" s="64" ph="1"/>
    </row>
    <row r="2601" spans="23:23" ht="26.4">
      <c r="W2601" s="64" ph="1"/>
    </row>
    <row r="2602" spans="23:23" ht="26.4">
      <c r="W2602" s="64" ph="1"/>
    </row>
    <row r="2603" spans="23:23" ht="26.4">
      <c r="W2603" s="64" ph="1"/>
    </row>
    <row r="2604" spans="23:23" ht="26.4">
      <c r="W2604" s="64" ph="1"/>
    </row>
    <row r="2605" spans="23:23" ht="26.4">
      <c r="W2605" s="64" ph="1"/>
    </row>
    <row r="2606" spans="23:23" ht="26.4">
      <c r="W2606" s="64" ph="1"/>
    </row>
    <row r="2607" spans="23:23" ht="26.4">
      <c r="W2607" s="64" ph="1"/>
    </row>
    <row r="2608" spans="23:23" ht="26.4">
      <c r="W2608" s="64" ph="1"/>
    </row>
    <row r="2609" spans="23:23" ht="26.4">
      <c r="W2609" s="64" ph="1"/>
    </row>
    <row r="2610" spans="23:23" ht="26.4">
      <c r="W2610" s="64" ph="1"/>
    </row>
    <row r="2611" spans="23:23" ht="26.4">
      <c r="W2611" s="64" ph="1"/>
    </row>
    <row r="2612" spans="23:23" ht="26.4">
      <c r="W2612" s="64" ph="1"/>
    </row>
    <row r="2613" spans="23:23" ht="26.4">
      <c r="W2613" s="64" ph="1"/>
    </row>
    <row r="2614" spans="23:23" ht="26.4">
      <c r="W2614" s="64" ph="1"/>
    </row>
    <row r="2615" spans="23:23" ht="26.4">
      <c r="W2615" s="64" ph="1"/>
    </row>
    <row r="2616" spans="23:23" ht="26.4">
      <c r="W2616" s="64" ph="1"/>
    </row>
    <row r="2617" spans="23:23" ht="26.4">
      <c r="W2617" s="64" ph="1"/>
    </row>
    <row r="2618" spans="23:23" ht="26.4">
      <c r="W2618" s="64" ph="1"/>
    </row>
    <row r="2619" spans="23:23" ht="26.4">
      <c r="W2619" s="64" ph="1"/>
    </row>
    <row r="2620" spans="23:23" ht="26.4">
      <c r="W2620" s="64" ph="1"/>
    </row>
    <row r="2621" spans="23:23" ht="26.4">
      <c r="W2621" s="64" ph="1"/>
    </row>
    <row r="2622" spans="23:23" ht="26.4">
      <c r="W2622" s="64" ph="1"/>
    </row>
    <row r="2623" spans="23:23" ht="26.4">
      <c r="W2623" s="64" ph="1"/>
    </row>
    <row r="2624" spans="23:23" ht="26.4">
      <c r="W2624" s="64" ph="1"/>
    </row>
    <row r="2625" spans="23:23" ht="26.4">
      <c r="W2625" s="64" ph="1"/>
    </row>
    <row r="2626" spans="23:23" ht="26.4">
      <c r="W2626" s="64" ph="1"/>
    </row>
    <row r="2627" spans="23:23" ht="26.4">
      <c r="W2627" s="64" ph="1"/>
    </row>
    <row r="2628" spans="23:23" ht="26.4">
      <c r="W2628" s="64" ph="1"/>
    </row>
    <row r="2629" spans="23:23" ht="26.4">
      <c r="W2629" s="64" ph="1"/>
    </row>
    <row r="2630" spans="23:23" ht="26.4">
      <c r="W2630" s="64" ph="1"/>
    </row>
    <row r="2631" spans="23:23" ht="26.4">
      <c r="W2631" s="64" ph="1"/>
    </row>
    <row r="2632" spans="23:23" ht="26.4">
      <c r="W2632" s="64" ph="1"/>
    </row>
    <row r="2633" spans="23:23" ht="26.4">
      <c r="W2633" s="64" ph="1"/>
    </row>
    <row r="2634" spans="23:23" ht="26.4">
      <c r="W2634" s="64" ph="1"/>
    </row>
    <row r="2635" spans="23:23" ht="26.4">
      <c r="W2635" s="64" ph="1"/>
    </row>
    <row r="2636" spans="23:23" ht="26.4">
      <c r="W2636" s="64" ph="1"/>
    </row>
    <row r="2637" spans="23:23" ht="26.4">
      <c r="W2637" s="64" ph="1"/>
    </row>
    <row r="2638" spans="23:23" ht="26.4">
      <c r="W2638" s="64" ph="1"/>
    </row>
    <row r="2639" spans="23:23" ht="26.4">
      <c r="W2639" s="64" ph="1"/>
    </row>
    <row r="2640" spans="23:23" ht="26.4">
      <c r="W2640" s="64" ph="1"/>
    </row>
    <row r="2641" spans="23:23" ht="26.4">
      <c r="W2641" s="64" ph="1"/>
    </row>
    <row r="2642" spans="23:23" ht="26.4">
      <c r="W2642" s="64" ph="1"/>
    </row>
    <row r="2643" spans="23:23" ht="26.4">
      <c r="W2643" s="64" ph="1"/>
    </row>
    <row r="2644" spans="23:23" ht="26.4">
      <c r="W2644" s="64" ph="1"/>
    </row>
    <row r="2645" spans="23:23" ht="26.4">
      <c r="W2645" s="64" ph="1"/>
    </row>
    <row r="2646" spans="23:23" ht="26.4">
      <c r="W2646" s="64" ph="1"/>
    </row>
    <row r="2647" spans="23:23" ht="26.4">
      <c r="W2647" s="64" ph="1"/>
    </row>
    <row r="2648" spans="23:23" ht="26.4">
      <c r="W2648" s="64" ph="1"/>
    </row>
    <row r="2649" spans="23:23" ht="26.4">
      <c r="W2649" s="64" ph="1"/>
    </row>
    <row r="2650" spans="23:23" ht="26.4">
      <c r="W2650" s="64" ph="1"/>
    </row>
    <row r="2651" spans="23:23" ht="26.4">
      <c r="W2651" s="64" ph="1"/>
    </row>
    <row r="2652" spans="23:23" ht="26.4">
      <c r="W2652" s="64" ph="1"/>
    </row>
    <row r="2653" spans="23:23" ht="26.4">
      <c r="W2653" s="64" ph="1"/>
    </row>
    <row r="2654" spans="23:23" ht="26.4">
      <c r="W2654" s="64" ph="1"/>
    </row>
    <row r="2655" spans="23:23" ht="26.4">
      <c r="W2655" s="64" ph="1"/>
    </row>
    <row r="2656" spans="23:23" ht="26.4">
      <c r="W2656" s="64" ph="1"/>
    </row>
    <row r="2657" spans="23:23" ht="26.4">
      <c r="W2657" s="64" ph="1"/>
    </row>
    <row r="2658" spans="23:23" ht="26.4">
      <c r="W2658" s="64" ph="1"/>
    </row>
    <row r="2659" spans="23:23" ht="26.4">
      <c r="W2659" s="64" ph="1"/>
    </row>
    <row r="2660" spans="23:23" ht="26.4">
      <c r="W2660" s="64" ph="1"/>
    </row>
    <row r="2661" spans="23:23" ht="26.4">
      <c r="W2661" s="64" ph="1"/>
    </row>
    <row r="2662" spans="23:23" ht="26.4">
      <c r="W2662" s="64" ph="1"/>
    </row>
    <row r="2663" spans="23:23" ht="26.4">
      <c r="W2663" s="64" ph="1"/>
    </row>
    <row r="2664" spans="23:23" ht="26.4">
      <c r="W2664" s="64" ph="1"/>
    </row>
    <row r="2665" spans="23:23" ht="26.4">
      <c r="W2665" s="64" ph="1"/>
    </row>
    <row r="2666" spans="23:23" ht="26.4">
      <c r="W2666" s="64" ph="1"/>
    </row>
    <row r="2667" spans="23:23" ht="26.4">
      <c r="W2667" s="64" ph="1"/>
    </row>
    <row r="2668" spans="23:23" ht="26.4">
      <c r="W2668" s="64" ph="1"/>
    </row>
    <row r="2669" spans="23:23" ht="26.4">
      <c r="W2669" s="64" ph="1"/>
    </row>
    <row r="2670" spans="23:23" ht="26.4">
      <c r="W2670" s="64" ph="1"/>
    </row>
    <row r="2671" spans="23:23" ht="26.4">
      <c r="W2671" s="64" ph="1"/>
    </row>
    <row r="2672" spans="23:23" ht="26.4">
      <c r="W2672" s="64" ph="1"/>
    </row>
    <row r="2673" spans="23:23" ht="26.4">
      <c r="W2673" s="64" ph="1"/>
    </row>
    <row r="2674" spans="23:23" ht="26.4">
      <c r="W2674" s="64" ph="1"/>
    </row>
    <row r="2675" spans="23:23" ht="26.4">
      <c r="W2675" s="64" ph="1"/>
    </row>
    <row r="2676" spans="23:23" ht="26.4">
      <c r="W2676" s="64" ph="1"/>
    </row>
    <row r="2677" spans="23:23" ht="26.4">
      <c r="W2677" s="64" ph="1"/>
    </row>
    <row r="2678" spans="23:23" ht="26.4">
      <c r="W2678" s="64" ph="1"/>
    </row>
    <row r="2679" spans="23:23" ht="26.4">
      <c r="W2679" s="64" ph="1"/>
    </row>
    <row r="2680" spans="23:23" ht="26.4">
      <c r="W2680" s="64" ph="1"/>
    </row>
    <row r="2681" spans="23:23" ht="26.4">
      <c r="W2681" s="64" ph="1"/>
    </row>
    <row r="2682" spans="23:23" ht="26.4">
      <c r="W2682" s="64" ph="1"/>
    </row>
    <row r="2683" spans="23:23" ht="26.4">
      <c r="W2683" s="64" ph="1"/>
    </row>
    <row r="2684" spans="23:23" ht="26.4">
      <c r="W2684" s="64" ph="1"/>
    </row>
    <row r="2685" spans="23:23" ht="26.4">
      <c r="W2685" s="64" ph="1"/>
    </row>
    <row r="2686" spans="23:23" ht="26.4">
      <c r="W2686" s="64" ph="1"/>
    </row>
    <row r="2687" spans="23:23" ht="26.4">
      <c r="W2687" s="64" ph="1"/>
    </row>
    <row r="2688" spans="23:23" ht="26.4">
      <c r="W2688" s="64" ph="1"/>
    </row>
    <row r="2689" spans="23:23" ht="26.4">
      <c r="W2689" s="64" ph="1"/>
    </row>
    <row r="2690" spans="23:23" ht="26.4">
      <c r="W2690" s="64" ph="1"/>
    </row>
    <row r="2691" spans="23:23" ht="26.4">
      <c r="W2691" s="64" ph="1"/>
    </row>
    <row r="2692" spans="23:23" ht="26.4">
      <c r="W2692" s="64" ph="1"/>
    </row>
    <row r="2693" spans="23:23" ht="26.4">
      <c r="W2693" s="64" ph="1"/>
    </row>
    <row r="2694" spans="23:23" ht="26.4">
      <c r="W2694" s="64" ph="1"/>
    </row>
    <row r="2695" spans="23:23" ht="26.4">
      <c r="W2695" s="64" ph="1"/>
    </row>
    <row r="2696" spans="23:23" ht="26.4">
      <c r="W2696" s="64" ph="1"/>
    </row>
    <row r="2697" spans="23:23" ht="26.4">
      <c r="W2697" s="64" ph="1"/>
    </row>
    <row r="2698" spans="23:23" ht="26.4">
      <c r="W2698" s="64" ph="1"/>
    </row>
    <row r="2699" spans="23:23" ht="26.4">
      <c r="W2699" s="64" ph="1"/>
    </row>
    <row r="2700" spans="23:23" ht="26.4">
      <c r="W2700" s="64" ph="1"/>
    </row>
    <row r="2701" spans="23:23" ht="26.4">
      <c r="W2701" s="64" ph="1"/>
    </row>
    <row r="2702" spans="23:23" ht="26.4">
      <c r="W2702" s="64" ph="1"/>
    </row>
    <row r="2703" spans="23:23" ht="26.4">
      <c r="W2703" s="64" ph="1"/>
    </row>
    <row r="2704" spans="23:23" ht="26.4">
      <c r="W2704" s="64" ph="1"/>
    </row>
    <row r="2705" spans="23:23" ht="26.4">
      <c r="W2705" s="64" ph="1"/>
    </row>
    <row r="2706" spans="23:23" ht="26.4">
      <c r="W2706" s="64" ph="1"/>
    </row>
    <row r="2707" spans="23:23" ht="26.4">
      <c r="W2707" s="64" ph="1"/>
    </row>
    <row r="2708" spans="23:23" ht="26.4">
      <c r="W2708" s="64" ph="1"/>
    </row>
    <row r="2709" spans="23:23" ht="26.4">
      <c r="W2709" s="64" ph="1"/>
    </row>
    <row r="2710" spans="23:23" ht="26.4">
      <c r="W2710" s="64" ph="1"/>
    </row>
    <row r="2711" spans="23:23" ht="26.4">
      <c r="W2711" s="64" ph="1"/>
    </row>
    <row r="2712" spans="23:23" ht="26.4">
      <c r="W2712" s="64" ph="1"/>
    </row>
    <row r="2713" spans="23:23" ht="26.4">
      <c r="W2713" s="64" ph="1"/>
    </row>
    <row r="2714" spans="23:23" ht="26.4">
      <c r="W2714" s="64" ph="1"/>
    </row>
    <row r="2715" spans="23:23" ht="26.4">
      <c r="W2715" s="64" ph="1"/>
    </row>
    <row r="2716" spans="23:23" ht="26.4">
      <c r="W2716" s="64" ph="1"/>
    </row>
    <row r="2717" spans="23:23" ht="26.4">
      <c r="W2717" s="64" ph="1"/>
    </row>
    <row r="2718" spans="23:23" ht="26.4">
      <c r="W2718" s="64" ph="1"/>
    </row>
    <row r="2719" spans="23:23" ht="26.4">
      <c r="W2719" s="64" ph="1"/>
    </row>
    <row r="2720" spans="23:23" ht="26.4">
      <c r="W2720" s="64" ph="1"/>
    </row>
    <row r="2721" spans="23:23" ht="26.4">
      <c r="W2721" s="64" ph="1"/>
    </row>
    <row r="2722" spans="23:23" ht="26.4">
      <c r="W2722" s="64" ph="1"/>
    </row>
    <row r="2723" spans="23:23" ht="26.4">
      <c r="W2723" s="64" ph="1"/>
    </row>
    <row r="2724" spans="23:23" ht="26.4">
      <c r="W2724" s="64" ph="1"/>
    </row>
    <row r="2725" spans="23:23" ht="26.4">
      <c r="W2725" s="64" ph="1"/>
    </row>
    <row r="2726" spans="23:23" ht="26.4">
      <c r="W2726" s="64" ph="1"/>
    </row>
    <row r="2727" spans="23:23" ht="26.4">
      <c r="W2727" s="64" ph="1"/>
    </row>
    <row r="2728" spans="23:23" ht="26.4">
      <c r="W2728" s="64" ph="1"/>
    </row>
    <row r="2729" spans="23:23" ht="26.4">
      <c r="W2729" s="64" ph="1"/>
    </row>
    <row r="2730" spans="23:23" ht="26.4">
      <c r="W2730" s="64" ph="1"/>
    </row>
    <row r="2731" spans="23:23" ht="26.4">
      <c r="W2731" s="64" ph="1"/>
    </row>
    <row r="2732" spans="23:23" ht="26.4">
      <c r="W2732" s="64" ph="1"/>
    </row>
    <row r="2733" spans="23:23" ht="26.4">
      <c r="W2733" s="64" ph="1"/>
    </row>
    <row r="2734" spans="23:23" ht="26.4">
      <c r="W2734" s="64" ph="1"/>
    </row>
    <row r="2735" spans="23:23" ht="26.4">
      <c r="W2735" s="64" ph="1"/>
    </row>
    <row r="2736" spans="23:23" ht="26.4">
      <c r="W2736" s="64" ph="1"/>
    </row>
    <row r="2737" spans="23:23" ht="26.4">
      <c r="W2737" s="64" ph="1"/>
    </row>
    <row r="2738" spans="23:23" ht="26.4">
      <c r="W2738" s="64" ph="1"/>
    </row>
    <row r="2739" spans="23:23" ht="26.4">
      <c r="W2739" s="64" ph="1"/>
    </row>
    <row r="2740" spans="23:23" ht="26.4">
      <c r="W2740" s="64" ph="1"/>
    </row>
    <row r="2741" spans="23:23" ht="26.4">
      <c r="W2741" s="64" ph="1"/>
    </row>
    <row r="2742" spans="23:23" ht="26.4">
      <c r="W2742" s="64" ph="1"/>
    </row>
    <row r="2743" spans="23:23" ht="26.4">
      <c r="W2743" s="64" ph="1"/>
    </row>
    <row r="2744" spans="23:23" ht="26.4">
      <c r="W2744" s="64" ph="1"/>
    </row>
    <row r="2745" spans="23:23" ht="26.4">
      <c r="W2745" s="64" ph="1"/>
    </row>
    <row r="2746" spans="23:23" ht="26.4">
      <c r="W2746" s="64" ph="1"/>
    </row>
    <row r="2747" spans="23:23" ht="26.4">
      <c r="W2747" s="64" ph="1"/>
    </row>
    <row r="2748" spans="23:23" ht="26.4">
      <c r="W2748" s="64" ph="1"/>
    </row>
    <row r="2749" spans="23:23" ht="26.4">
      <c r="W2749" s="64" ph="1"/>
    </row>
    <row r="2750" spans="23:23" ht="26.4">
      <c r="W2750" s="64" ph="1"/>
    </row>
    <row r="2751" spans="23:23" ht="26.4">
      <c r="W2751" s="64" ph="1"/>
    </row>
    <row r="2752" spans="23:23" ht="26.4">
      <c r="W2752" s="64" ph="1"/>
    </row>
    <row r="2753" spans="23:23" ht="26.4">
      <c r="W2753" s="64" ph="1"/>
    </row>
    <row r="2754" spans="23:23" ht="26.4">
      <c r="W2754" s="64" ph="1"/>
    </row>
    <row r="2755" spans="23:23" ht="26.4">
      <c r="W2755" s="64" ph="1"/>
    </row>
    <row r="2756" spans="23:23" ht="26.4">
      <c r="W2756" s="64" ph="1"/>
    </row>
    <row r="2757" spans="23:23" ht="26.4">
      <c r="W2757" s="64" ph="1"/>
    </row>
    <row r="2758" spans="23:23" ht="26.4">
      <c r="W2758" s="64" ph="1"/>
    </row>
    <row r="2759" spans="23:23" ht="26.4">
      <c r="W2759" s="64" ph="1"/>
    </row>
    <row r="2760" spans="23:23" ht="26.4">
      <c r="W2760" s="64" ph="1"/>
    </row>
    <row r="2761" spans="23:23" ht="26.4">
      <c r="W2761" s="64" ph="1"/>
    </row>
    <row r="2762" spans="23:23" ht="26.4">
      <c r="W2762" s="64" ph="1"/>
    </row>
    <row r="2763" spans="23:23" ht="26.4">
      <c r="W2763" s="64" ph="1"/>
    </row>
    <row r="2764" spans="23:23" ht="26.4">
      <c r="W2764" s="64" ph="1"/>
    </row>
    <row r="2765" spans="23:23" ht="26.4">
      <c r="W2765" s="64" ph="1"/>
    </row>
    <row r="2766" spans="23:23" ht="26.4">
      <c r="W2766" s="64" ph="1"/>
    </row>
    <row r="2767" spans="23:23" ht="26.4">
      <c r="W2767" s="64" ph="1"/>
    </row>
    <row r="2768" spans="23:23" ht="26.4">
      <c r="W2768" s="64" ph="1"/>
    </row>
    <row r="2769" spans="23:23" ht="26.4">
      <c r="W2769" s="64" ph="1"/>
    </row>
    <row r="2770" spans="23:23" ht="26.4">
      <c r="W2770" s="64" ph="1"/>
    </row>
    <row r="2771" spans="23:23" ht="26.4">
      <c r="W2771" s="64" ph="1"/>
    </row>
    <row r="2772" spans="23:23" ht="26.4">
      <c r="W2772" s="64" ph="1"/>
    </row>
    <row r="2773" spans="23:23" ht="26.4">
      <c r="W2773" s="64" ph="1"/>
    </row>
    <row r="2774" spans="23:23" ht="26.4">
      <c r="W2774" s="64" ph="1"/>
    </row>
    <row r="2775" spans="23:23" ht="26.4">
      <c r="W2775" s="64" ph="1"/>
    </row>
    <row r="2776" spans="23:23" ht="26.4">
      <c r="W2776" s="64" ph="1"/>
    </row>
    <row r="2777" spans="23:23" ht="26.4">
      <c r="W2777" s="64" ph="1"/>
    </row>
    <row r="2778" spans="23:23" ht="26.4">
      <c r="W2778" s="64" ph="1"/>
    </row>
    <row r="2779" spans="23:23" ht="26.4">
      <c r="W2779" s="64" ph="1"/>
    </row>
    <row r="2780" spans="23:23" ht="26.4">
      <c r="W2780" s="64" ph="1"/>
    </row>
    <row r="2781" spans="23:23" ht="26.4">
      <c r="W2781" s="64" ph="1"/>
    </row>
    <row r="2782" spans="23:23" ht="26.4">
      <c r="W2782" s="64" ph="1"/>
    </row>
    <row r="2783" spans="23:23" ht="26.4">
      <c r="W2783" s="64" ph="1"/>
    </row>
    <row r="2784" spans="23:23" ht="26.4">
      <c r="W2784" s="64" ph="1"/>
    </row>
    <row r="2785" spans="23:23" ht="26.4">
      <c r="W2785" s="64" ph="1"/>
    </row>
    <row r="2786" spans="23:23" ht="26.4">
      <c r="W2786" s="64" ph="1"/>
    </row>
    <row r="2787" spans="23:23" ht="26.4">
      <c r="W2787" s="64" ph="1"/>
    </row>
    <row r="2788" spans="23:23" ht="26.4">
      <c r="W2788" s="64" ph="1"/>
    </row>
    <row r="2789" spans="23:23" ht="26.4">
      <c r="W2789" s="64" ph="1"/>
    </row>
    <row r="2790" spans="23:23" ht="26.4">
      <c r="W2790" s="64" ph="1"/>
    </row>
    <row r="2791" spans="23:23" ht="26.4">
      <c r="W2791" s="64" ph="1"/>
    </row>
    <row r="2792" spans="23:23" ht="26.4">
      <c r="W2792" s="64" ph="1"/>
    </row>
    <row r="2793" spans="23:23" ht="26.4">
      <c r="W2793" s="64" ph="1"/>
    </row>
    <row r="2794" spans="23:23" ht="26.4">
      <c r="W2794" s="64" ph="1"/>
    </row>
    <row r="2795" spans="23:23" ht="26.4">
      <c r="W2795" s="64" ph="1"/>
    </row>
    <row r="2796" spans="23:23" ht="26.4">
      <c r="W2796" s="64" ph="1"/>
    </row>
    <row r="2797" spans="23:23" ht="26.4">
      <c r="W2797" s="64" ph="1"/>
    </row>
    <row r="2798" spans="23:23" ht="26.4">
      <c r="W2798" s="64" ph="1"/>
    </row>
    <row r="2799" spans="23:23" ht="26.4">
      <c r="W2799" s="64" ph="1"/>
    </row>
    <row r="2800" spans="23:23" ht="26.4">
      <c r="W2800" s="64" ph="1"/>
    </row>
    <row r="2801" spans="23:23" ht="26.4">
      <c r="W2801" s="64" ph="1"/>
    </row>
    <row r="2802" spans="23:23" ht="26.4">
      <c r="W2802" s="64" ph="1"/>
    </row>
    <row r="2803" spans="23:23" ht="26.4">
      <c r="W2803" s="64" ph="1"/>
    </row>
    <row r="2804" spans="23:23" ht="26.4">
      <c r="W2804" s="64" ph="1"/>
    </row>
    <row r="2805" spans="23:23" ht="26.4">
      <c r="W2805" s="64" ph="1"/>
    </row>
    <row r="2806" spans="23:23" ht="26.4">
      <c r="W2806" s="64" ph="1"/>
    </row>
    <row r="2807" spans="23:23" ht="26.4">
      <c r="W2807" s="64" ph="1"/>
    </row>
    <row r="2808" spans="23:23" ht="26.4">
      <c r="W2808" s="64" ph="1"/>
    </row>
    <row r="2809" spans="23:23" ht="26.4">
      <c r="W2809" s="64" ph="1"/>
    </row>
    <row r="2810" spans="23:23" ht="26.4">
      <c r="W2810" s="64" ph="1"/>
    </row>
    <row r="2811" spans="23:23" ht="26.4">
      <c r="W2811" s="64" ph="1"/>
    </row>
    <row r="2812" spans="23:23" ht="26.4">
      <c r="W2812" s="64" ph="1"/>
    </row>
    <row r="2813" spans="23:23" ht="26.4">
      <c r="W2813" s="64" ph="1"/>
    </row>
    <row r="2814" spans="23:23" ht="26.4">
      <c r="W2814" s="64" ph="1"/>
    </row>
    <row r="2815" spans="23:23" ht="26.4">
      <c r="W2815" s="64" ph="1"/>
    </row>
    <row r="2816" spans="23:23" ht="26.4">
      <c r="W2816" s="64" ph="1"/>
    </row>
    <row r="2817" spans="23:23" ht="26.4">
      <c r="W2817" s="64" ph="1"/>
    </row>
    <row r="2818" spans="23:23" ht="26.4">
      <c r="W2818" s="64" ph="1"/>
    </row>
    <row r="2819" spans="23:23" ht="26.4">
      <c r="W2819" s="64" ph="1"/>
    </row>
    <row r="2820" spans="23:23" ht="26.4">
      <c r="W2820" s="64" ph="1"/>
    </row>
    <row r="2821" spans="23:23" ht="26.4">
      <c r="W2821" s="64" ph="1"/>
    </row>
    <row r="2822" spans="23:23" ht="26.4">
      <c r="W2822" s="64" ph="1"/>
    </row>
    <row r="2823" spans="23:23" ht="26.4">
      <c r="W2823" s="64" ph="1"/>
    </row>
    <row r="2824" spans="23:23" ht="26.4">
      <c r="W2824" s="64" ph="1"/>
    </row>
    <row r="2825" spans="23:23" ht="26.4">
      <c r="W2825" s="64" ph="1"/>
    </row>
    <row r="2826" spans="23:23" ht="26.4">
      <c r="W2826" s="64" ph="1"/>
    </row>
    <row r="2827" spans="23:23" ht="26.4">
      <c r="W2827" s="64" ph="1"/>
    </row>
    <row r="2828" spans="23:23" ht="26.4">
      <c r="W2828" s="64" ph="1"/>
    </row>
    <row r="2829" spans="23:23" ht="26.4">
      <c r="W2829" s="64" ph="1"/>
    </row>
    <row r="2830" spans="23:23" ht="26.4">
      <c r="W2830" s="64" ph="1"/>
    </row>
    <row r="2831" spans="23:23" ht="26.4">
      <c r="W2831" s="64" ph="1"/>
    </row>
    <row r="2832" spans="23:23" ht="26.4">
      <c r="W2832" s="64" ph="1"/>
    </row>
    <row r="2833" spans="23:23" ht="26.4">
      <c r="W2833" s="64" ph="1"/>
    </row>
    <row r="2834" spans="23:23" ht="26.4">
      <c r="W2834" s="64" ph="1"/>
    </row>
    <row r="2835" spans="23:23" ht="26.4">
      <c r="W2835" s="64" ph="1"/>
    </row>
    <row r="2836" spans="23:23" ht="26.4">
      <c r="W2836" s="64" ph="1"/>
    </row>
    <row r="2837" spans="23:23" ht="26.4">
      <c r="W2837" s="64" ph="1"/>
    </row>
    <row r="2838" spans="23:23" ht="26.4">
      <c r="W2838" s="64" ph="1"/>
    </row>
    <row r="2839" spans="23:23" ht="26.4">
      <c r="W2839" s="64" ph="1"/>
    </row>
    <row r="2840" spans="23:23" ht="26.4">
      <c r="W2840" s="64" ph="1"/>
    </row>
    <row r="2841" spans="23:23" ht="26.4">
      <c r="W2841" s="64" ph="1"/>
    </row>
    <row r="2842" spans="23:23" ht="26.4">
      <c r="W2842" s="64" ph="1"/>
    </row>
    <row r="2843" spans="23:23" ht="26.4">
      <c r="W2843" s="64" ph="1"/>
    </row>
    <row r="2844" spans="23:23" ht="26.4">
      <c r="W2844" s="64" ph="1"/>
    </row>
    <row r="2845" spans="23:23" ht="26.4">
      <c r="W2845" s="64" ph="1"/>
    </row>
    <row r="2846" spans="23:23" ht="26.4">
      <c r="W2846" s="64" ph="1"/>
    </row>
    <row r="2847" spans="23:23" ht="26.4">
      <c r="W2847" s="64" ph="1"/>
    </row>
    <row r="2848" spans="23:23" ht="26.4">
      <c r="W2848" s="64" ph="1"/>
    </row>
    <row r="2849" spans="23:23" ht="26.4">
      <c r="W2849" s="64" ph="1"/>
    </row>
    <row r="2850" spans="23:23" ht="26.4">
      <c r="W2850" s="64" ph="1"/>
    </row>
    <row r="2851" spans="23:23" ht="26.4">
      <c r="W2851" s="64" ph="1"/>
    </row>
    <row r="2852" spans="23:23" ht="26.4">
      <c r="W2852" s="64" ph="1"/>
    </row>
    <row r="2853" spans="23:23" ht="26.4">
      <c r="W2853" s="64" ph="1"/>
    </row>
    <row r="2854" spans="23:23" ht="26.4">
      <c r="W2854" s="64" ph="1"/>
    </row>
    <row r="2855" spans="23:23" ht="26.4">
      <c r="W2855" s="64" ph="1"/>
    </row>
    <row r="2856" spans="23:23" ht="26.4">
      <c r="W2856" s="64" ph="1"/>
    </row>
    <row r="2857" spans="23:23" ht="26.4">
      <c r="W2857" s="64" ph="1"/>
    </row>
    <row r="2858" spans="23:23" ht="26.4">
      <c r="W2858" s="64" ph="1"/>
    </row>
    <row r="2859" spans="23:23" ht="26.4">
      <c r="W2859" s="64" ph="1"/>
    </row>
    <row r="2860" spans="23:23" ht="26.4">
      <c r="W2860" s="64" ph="1"/>
    </row>
    <row r="2861" spans="23:23" ht="26.4">
      <c r="W2861" s="64" ph="1"/>
    </row>
    <row r="2862" spans="23:23" ht="26.4">
      <c r="W2862" s="64" ph="1"/>
    </row>
    <row r="2863" spans="23:23" ht="26.4">
      <c r="W2863" s="64" ph="1"/>
    </row>
    <row r="2864" spans="23:23" ht="26.4">
      <c r="W2864" s="64" ph="1"/>
    </row>
    <row r="2865" spans="23:23" ht="26.4">
      <c r="W2865" s="64" ph="1"/>
    </row>
    <row r="2866" spans="23:23" ht="26.4">
      <c r="W2866" s="64" ph="1"/>
    </row>
    <row r="2867" spans="23:23" ht="26.4">
      <c r="W2867" s="64" ph="1"/>
    </row>
    <row r="2868" spans="23:23" ht="26.4">
      <c r="W2868" s="64" ph="1"/>
    </row>
    <row r="2869" spans="23:23" ht="26.4">
      <c r="W2869" s="64" ph="1"/>
    </row>
    <row r="2870" spans="23:23" ht="26.4">
      <c r="W2870" s="64" ph="1"/>
    </row>
    <row r="2871" spans="23:23" ht="26.4">
      <c r="W2871" s="64" ph="1"/>
    </row>
    <row r="2872" spans="23:23" ht="26.4">
      <c r="W2872" s="64" ph="1"/>
    </row>
    <row r="2873" spans="23:23" ht="26.4">
      <c r="W2873" s="64" ph="1"/>
    </row>
    <row r="2874" spans="23:23" ht="26.4">
      <c r="W2874" s="64" ph="1"/>
    </row>
    <row r="2875" spans="23:23" ht="26.4">
      <c r="W2875" s="64" ph="1"/>
    </row>
    <row r="2876" spans="23:23" ht="26.4">
      <c r="W2876" s="64" ph="1"/>
    </row>
    <row r="2877" spans="23:23" ht="26.4">
      <c r="W2877" s="64" ph="1"/>
    </row>
    <row r="2878" spans="23:23" ht="26.4">
      <c r="W2878" s="64" ph="1"/>
    </row>
    <row r="2879" spans="23:23" ht="26.4">
      <c r="W2879" s="64" ph="1"/>
    </row>
    <row r="2880" spans="23:23" ht="26.4">
      <c r="W2880" s="64" ph="1"/>
    </row>
    <row r="2881" spans="23:23" ht="26.4">
      <c r="W2881" s="64" ph="1"/>
    </row>
    <row r="2882" spans="23:23" ht="26.4">
      <c r="W2882" s="64" ph="1"/>
    </row>
    <row r="2883" spans="23:23" ht="26.4">
      <c r="W2883" s="64" ph="1"/>
    </row>
    <row r="2884" spans="23:23" ht="26.4">
      <c r="W2884" s="64" ph="1"/>
    </row>
    <row r="2885" spans="23:23" ht="26.4">
      <c r="W2885" s="64" ph="1"/>
    </row>
    <row r="2886" spans="23:23" ht="26.4">
      <c r="W2886" s="64" ph="1"/>
    </row>
    <row r="2887" spans="23:23" ht="26.4">
      <c r="W2887" s="64" ph="1"/>
    </row>
    <row r="2888" spans="23:23" ht="26.4">
      <c r="W2888" s="64" ph="1"/>
    </row>
    <row r="2889" spans="23:23" ht="26.4">
      <c r="W2889" s="64" ph="1"/>
    </row>
    <row r="2890" spans="23:23" ht="26.4">
      <c r="W2890" s="64" ph="1"/>
    </row>
    <row r="2891" spans="23:23" ht="26.4">
      <c r="W2891" s="64" ph="1"/>
    </row>
    <row r="2892" spans="23:23" ht="26.4">
      <c r="W2892" s="64" ph="1"/>
    </row>
    <row r="2893" spans="23:23" ht="26.4">
      <c r="W2893" s="64" ph="1"/>
    </row>
    <row r="2894" spans="23:23" ht="26.4">
      <c r="W2894" s="64" ph="1"/>
    </row>
    <row r="2895" spans="23:23" ht="26.4">
      <c r="W2895" s="64" ph="1"/>
    </row>
    <row r="2896" spans="23:23" ht="26.4">
      <c r="W2896" s="64" ph="1"/>
    </row>
    <row r="2897" spans="23:23" ht="26.4">
      <c r="W2897" s="64" ph="1"/>
    </row>
    <row r="2898" spans="23:23" ht="26.4">
      <c r="W2898" s="64" ph="1"/>
    </row>
    <row r="2899" spans="23:23" ht="26.4">
      <c r="W2899" s="64" ph="1"/>
    </row>
    <row r="2900" spans="23:23" ht="26.4">
      <c r="W2900" s="64" ph="1"/>
    </row>
    <row r="2901" spans="23:23" ht="26.4">
      <c r="W2901" s="64" ph="1"/>
    </row>
    <row r="2902" spans="23:23" ht="26.4">
      <c r="W2902" s="64" ph="1"/>
    </row>
    <row r="2903" spans="23:23" ht="26.4">
      <c r="W2903" s="64" ph="1"/>
    </row>
    <row r="2904" spans="23:23" ht="26.4">
      <c r="W2904" s="64" ph="1"/>
    </row>
    <row r="2905" spans="23:23" ht="26.4">
      <c r="W2905" s="64" ph="1"/>
    </row>
    <row r="2906" spans="23:23" ht="26.4">
      <c r="W2906" s="64" ph="1"/>
    </row>
    <row r="2907" spans="23:23" ht="26.4">
      <c r="W2907" s="64" ph="1"/>
    </row>
    <row r="2908" spans="23:23" ht="26.4">
      <c r="W2908" s="64" ph="1"/>
    </row>
    <row r="2909" spans="23:23" ht="26.4">
      <c r="W2909" s="64" ph="1"/>
    </row>
    <row r="2910" spans="23:23" ht="26.4">
      <c r="W2910" s="64" ph="1"/>
    </row>
    <row r="2911" spans="23:23" ht="26.4">
      <c r="W2911" s="64" ph="1"/>
    </row>
    <row r="2912" spans="23:23" ht="26.4">
      <c r="W2912" s="64" ph="1"/>
    </row>
    <row r="2913" spans="23:23" ht="26.4">
      <c r="W2913" s="64" ph="1"/>
    </row>
    <row r="2914" spans="23:23" ht="26.4">
      <c r="W2914" s="64" ph="1"/>
    </row>
    <row r="2915" spans="23:23" ht="26.4">
      <c r="W2915" s="64" ph="1"/>
    </row>
    <row r="2916" spans="23:23" ht="26.4">
      <c r="W2916" s="64" ph="1"/>
    </row>
    <row r="2917" spans="23:23" ht="26.4">
      <c r="W2917" s="64" ph="1"/>
    </row>
    <row r="2918" spans="23:23" ht="26.4">
      <c r="W2918" s="64" ph="1"/>
    </row>
    <row r="2919" spans="23:23" ht="26.4">
      <c r="W2919" s="64" ph="1"/>
    </row>
    <row r="2920" spans="23:23" ht="26.4">
      <c r="W2920" s="64" ph="1"/>
    </row>
    <row r="2921" spans="23:23" ht="26.4">
      <c r="W2921" s="64" ph="1"/>
    </row>
    <row r="2922" spans="23:23" ht="26.4">
      <c r="W2922" s="64" ph="1"/>
    </row>
    <row r="2923" spans="23:23" ht="26.4">
      <c r="W2923" s="64" ph="1"/>
    </row>
    <row r="2924" spans="23:23" ht="26.4">
      <c r="W2924" s="64" ph="1"/>
    </row>
    <row r="2925" spans="23:23" ht="26.4">
      <c r="W2925" s="64" ph="1"/>
    </row>
    <row r="2926" spans="23:23" ht="26.4">
      <c r="W2926" s="64" ph="1"/>
    </row>
    <row r="2927" spans="23:23" ht="26.4">
      <c r="W2927" s="64" ph="1"/>
    </row>
    <row r="2928" spans="23:23" ht="26.4">
      <c r="W2928" s="64" ph="1"/>
    </row>
    <row r="2929" spans="23:23" ht="26.4">
      <c r="W2929" s="64" ph="1"/>
    </row>
    <row r="2930" spans="23:23" ht="26.4">
      <c r="W2930" s="64" ph="1"/>
    </row>
    <row r="2931" spans="23:23" ht="26.4">
      <c r="W2931" s="64" ph="1"/>
    </row>
    <row r="2932" spans="23:23" ht="26.4">
      <c r="W2932" s="64" ph="1"/>
    </row>
    <row r="2933" spans="23:23" ht="26.4">
      <c r="W2933" s="64" ph="1"/>
    </row>
    <row r="2934" spans="23:23" ht="26.4">
      <c r="W2934" s="64" ph="1"/>
    </row>
    <row r="2935" spans="23:23" ht="26.4">
      <c r="W2935" s="64" ph="1"/>
    </row>
    <row r="2936" spans="23:23" ht="26.4">
      <c r="W2936" s="64" ph="1"/>
    </row>
    <row r="2937" spans="23:23" ht="26.4">
      <c r="W2937" s="64" ph="1"/>
    </row>
    <row r="2938" spans="23:23" ht="26.4">
      <c r="W2938" s="64" ph="1"/>
    </row>
    <row r="2939" spans="23:23" ht="26.4">
      <c r="W2939" s="64" ph="1"/>
    </row>
    <row r="2940" spans="23:23" ht="26.4">
      <c r="W2940" s="64" ph="1"/>
    </row>
    <row r="2941" spans="23:23" ht="26.4">
      <c r="W2941" s="64" ph="1"/>
    </row>
    <row r="2942" spans="23:23" ht="26.4">
      <c r="W2942" s="64" ph="1"/>
    </row>
    <row r="2943" spans="23:23" ht="26.4">
      <c r="W2943" s="64" ph="1"/>
    </row>
    <row r="2944" spans="23:23" ht="26.4">
      <c r="W2944" s="64" ph="1"/>
    </row>
    <row r="2945" spans="23:23" ht="26.4">
      <c r="W2945" s="64" ph="1"/>
    </row>
    <row r="2946" spans="23:23" ht="26.4">
      <c r="W2946" s="64" ph="1"/>
    </row>
    <row r="2947" spans="23:23" ht="26.4">
      <c r="W2947" s="64" ph="1"/>
    </row>
    <row r="2948" spans="23:23" ht="26.4">
      <c r="W2948" s="64" ph="1"/>
    </row>
    <row r="2949" spans="23:23" ht="26.4">
      <c r="W2949" s="64" ph="1"/>
    </row>
    <row r="2950" spans="23:23" ht="26.4">
      <c r="W2950" s="64" ph="1"/>
    </row>
    <row r="2951" spans="23:23" ht="26.4">
      <c r="W2951" s="64" ph="1"/>
    </row>
    <row r="2952" spans="23:23" ht="26.4">
      <c r="W2952" s="64" ph="1"/>
    </row>
    <row r="2953" spans="23:23" ht="26.4">
      <c r="W2953" s="64" ph="1"/>
    </row>
    <row r="2954" spans="23:23" ht="26.4">
      <c r="W2954" s="64" ph="1"/>
    </row>
    <row r="2955" spans="23:23" ht="26.4">
      <c r="W2955" s="64" ph="1"/>
    </row>
    <row r="2956" spans="23:23" ht="26.4">
      <c r="W2956" s="64" ph="1"/>
    </row>
    <row r="2957" spans="23:23" ht="26.4">
      <c r="W2957" s="64" ph="1"/>
    </row>
    <row r="2958" spans="23:23" ht="26.4">
      <c r="W2958" s="64" ph="1"/>
    </row>
    <row r="2959" spans="23:23" ht="26.4">
      <c r="W2959" s="64" ph="1"/>
    </row>
    <row r="2960" spans="23:23" ht="26.4">
      <c r="W2960" s="64" ph="1"/>
    </row>
    <row r="2961" spans="23:23" ht="26.4">
      <c r="W2961" s="64" ph="1"/>
    </row>
    <row r="2962" spans="23:23" ht="26.4">
      <c r="W2962" s="64" ph="1"/>
    </row>
    <row r="2963" spans="23:23" ht="26.4">
      <c r="W2963" s="64" ph="1"/>
    </row>
    <row r="2964" spans="23:23" ht="26.4">
      <c r="W2964" s="64" ph="1"/>
    </row>
    <row r="2965" spans="23:23" ht="26.4">
      <c r="W2965" s="64" ph="1"/>
    </row>
    <row r="2966" spans="23:23" ht="26.4">
      <c r="W2966" s="64" ph="1"/>
    </row>
    <row r="2967" spans="23:23" ht="26.4">
      <c r="W2967" s="64" ph="1"/>
    </row>
    <row r="2968" spans="23:23" ht="26.4">
      <c r="W2968" s="64" ph="1"/>
    </row>
    <row r="2969" spans="23:23" ht="26.4">
      <c r="W2969" s="64" ph="1"/>
    </row>
    <row r="2970" spans="23:23" ht="26.4">
      <c r="W2970" s="64" ph="1"/>
    </row>
    <row r="2971" spans="23:23" ht="26.4">
      <c r="W2971" s="64" ph="1"/>
    </row>
    <row r="2972" spans="23:23" ht="26.4">
      <c r="W2972" s="64" ph="1"/>
    </row>
    <row r="2973" spans="23:23" ht="26.4">
      <c r="W2973" s="64" ph="1"/>
    </row>
    <row r="2974" spans="23:23" ht="26.4">
      <c r="W2974" s="64" ph="1"/>
    </row>
    <row r="2975" spans="23:23" ht="26.4">
      <c r="W2975" s="64" ph="1"/>
    </row>
    <row r="2976" spans="23:23" ht="26.4">
      <c r="W2976" s="64" ph="1"/>
    </row>
    <row r="2977" spans="23:23" ht="26.4">
      <c r="W2977" s="64" ph="1"/>
    </row>
    <row r="2978" spans="23:23" ht="26.4">
      <c r="W2978" s="64" ph="1"/>
    </row>
    <row r="2979" spans="23:23" ht="26.4">
      <c r="W2979" s="64" ph="1"/>
    </row>
    <row r="2980" spans="23:23" ht="26.4">
      <c r="W2980" s="64" ph="1"/>
    </row>
    <row r="2981" spans="23:23" ht="26.4">
      <c r="W2981" s="64" ph="1"/>
    </row>
    <row r="2982" spans="23:23" ht="26.4">
      <c r="W2982" s="64" ph="1"/>
    </row>
    <row r="2983" spans="23:23" ht="26.4">
      <c r="W2983" s="64" ph="1"/>
    </row>
    <row r="2984" spans="23:23" ht="26.4">
      <c r="W2984" s="64" ph="1"/>
    </row>
    <row r="2985" spans="23:23" ht="26.4">
      <c r="W2985" s="64" ph="1"/>
    </row>
    <row r="2986" spans="23:23" ht="26.4">
      <c r="W2986" s="64" ph="1"/>
    </row>
    <row r="2987" spans="23:23" ht="26.4">
      <c r="W2987" s="64" ph="1"/>
    </row>
    <row r="2988" spans="23:23" ht="26.4">
      <c r="W2988" s="64" ph="1"/>
    </row>
    <row r="2989" spans="23:23" ht="26.4">
      <c r="W2989" s="64" ph="1"/>
    </row>
    <row r="2990" spans="23:23" ht="26.4">
      <c r="W2990" s="64" ph="1"/>
    </row>
    <row r="2991" spans="23:23" ht="26.4">
      <c r="W2991" s="64" ph="1"/>
    </row>
    <row r="2992" spans="23:23" ht="26.4">
      <c r="W2992" s="64" ph="1"/>
    </row>
    <row r="2993" spans="23:23" ht="26.4">
      <c r="W2993" s="64" ph="1"/>
    </row>
    <row r="2994" spans="23:23" ht="26.4">
      <c r="W2994" s="64" ph="1"/>
    </row>
    <row r="2995" spans="23:23" ht="26.4">
      <c r="W2995" s="64" ph="1"/>
    </row>
    <row r="2996" spans="23:23" ht="26.4">
      <c r="W2996" s="64" ph="1"/>
    </row>
    <row r="2997" spans="23:23" ht="26.4">
      <c r="W2997" s="64" ph="1"/>
    </row>
    <row r="2998" spans="23:23" ht="26.4">
      <c r="W2998" s="64" ph="1"/>
    </row>
    <row r="2999" spans="23:23" ht="26.4">
      <c r="W2999" s="64" ph="1"/>
    </row>
    <row r="3000" spans="23:23" ht="26.4">
      <c r="W3000" s="64" ph="1"/>
    </row>
    <row r="3001" spans="23:23" ht="26.4">
      <c r="W3001" s="64" ph="1"/>
    </row>
    <row r="3002" spans="23:23" ht="26.4">
      <c r="W3002" s="64" ph="1"/>
    </row>
    <row r="3003" spans="23:23" ht="26.4">
      <c r="W3003" s="64" ph="1"/>
    </row>
    <row r="3004" spans="23:23" ht="26.4">
      <c r="W3004" s="64" ph="1"/>
    </row>
    <row r="3005" spans="23:23" ht="26.4">
      <c r="W3005" s="64" ph="1"/>
    </row>
    <row r="3006" spans="23:23" ht="26.4">
      <c r="W3006" s="64" ph="1"/>
    </row>
    <row r="3007" spans="23:23" ht="26.4">
      <c r="W3007" s="64" ph="1"/>
    </row>
    <row r="3008" spans="23:23" ht="26.4">
      <c r="W3008" s="64" ph="1"/>
    </row>
    <row r="3009" spans="23:23" ht="26.4">
      <c r="W3009" s="64" ph="1"/>
    </row>
    <row r="3010" spans="23:23" ht="26.4">
      <c r="W3010" s="64" ph="1"/>
    </row>
    <row r="3011" spans="23:23" ht="26.4">
      <c r="W3011" s="64" ph="1"/>
    </row>
    <row r="3012" spans="23:23" ht="26.4">
      <c r="W3012" s="64" ph="1"/>
    </row>
    <row r="3013" spans="23:23" ht="26.4">
      <c r="W3013" s="64" ph="1"/>
    </row>
    <row r="3014" spans="23:23" ht="26.4">
      <c r="W3014" s="64" ph="1"/>
    </row>
    <row r="3015" spans="23:23" ht="26.4">
      <c r="W3015" s="64" ph="1"/>
    </row>
    <row r="3016" spans="23:23" ht="26.4">
      <c r="W3016" s="64" ph="1"/>
    </row>
    <row r="3017" spans="23:23" ht="26.4">
      <c r="W3017" s="64" ph="1"/>
    </row>
    <row r="3018" spans="23:23" ht="26.4">
      <c r="W3018" s="64" ph="1"/>
    </row>
    <row r="3019" spans="23:23" ht="26.4">
      <c r="W3019" s="64" ph="1"/>
    </row>
    <row r="3020" spans="23:23" ht="26.4">
      <c r="W3020" s="64" ph="1"/>
    </row>
    <row r="3021" spans="23:23" ht="26.4">
      <c r="W3021" s="64" ph="1"/>
    </row>
    <row r="3022" spans="23:23" ht="26.4">
      <c r="W3022" s="64" ph="1"/>
    </row>
    <row r="3023" spans="23:23" ht="26.4">
      <c r="W3023" s="64" ph="1"/>
    </row>
    <row r="3024" spans="23:23" ht="26.4">
      <c r="W3024" s="64" ph="1"/>
    </row>
    <row r="3025" spans="23:23" ht="26.4">
      <c r="W3025" s="64" ph="1"/>
    </row>
    <row r="3026" spans="23:23" ht="26.4">
      <c r="W3026" s="64" ph="1"/>
    </row>
    <row r="3027" spans="23:23" ht="26.4">
      <c r="W3027" s="64" ph="1"/>
    </row>
    <row r="3028" spans="23:23" ht="26.4">
      <c r="W3028" s="64" ph="1"/>
    </row>
    <row r="3029" spans="23:23" ht="26.4">
      <c r="W3029" s="64" ph="1"/>
    </row>
    <row r="3030" spans="23:23" ht="26.4">
      <c r="W3030" s="64" ph="1"/>
    </row>
    <row r="3031" spans="23:23" ht="26.4">
      <c r="W3031" s="64" ph="1"/>
    </row>
    <row r="3032" spans="23:23" ht="26.4">
      <c r="W3032" s="64" ph="1"/>
    </row>
    <row r="3033" spans="23:23" ht="26.4">
      <c r="W3033" s="64" ph="1"/>
    </row>
    <row r="3034" spans="23:23" ht="26.4">
      <c r="W3034" s="64" ph="1"/>
    </row>
    <row r="3035" spans="23:23" ht="26.4">
      <c r="W3035" s="64" ph="1"/>
    </row>
    <row r="3036" spans="23:23" ht="26.4">
      <c r="W3036" s="64" ph="1"/>
    </row>
    <row r="3037" spans="23:23" ht="26.4">
      <c r="W3037" s="64" ph="1"/>
    </row>
    <row r="3038" spans="23:23" ht="26.4">
      <c r="W3038" s="64" ph="1"/>
    </row>
    <row r="3039" spans="23:23" ht="26.4">
      <c r="W3039" s="64" ph="1"/>
    </row>
    <row r="3040" spans="23:23" ht="26.4">
      <c r="W3040" s="64" ph="1"/>
    </row>
    <row r="3041" spans="23:23" ht="26.4">
      <c r="W3041" s="64" ph="1"/>
    </row>
    <row r="3042" spans="23:23" ht="26.4">
      <c r="W3042" s="64" ph="1"/>
    </row>
    <row r="3043" spans="23:23" ht="26.4">
      <c r="W3043" s="64" ph="1"/>
    </row>
    <row r="3044" spans="23:23" ht="26.4">
      <c r="W3044" s="64" ph="1"/>
    </row>
    <row r="3045" spans="23:23" ht="26.4">
      <c r="W3045" s="64" ph="1"/>
    </row>
    <row r="3046" spans="23:23" ht="26.4">
      <c r="W3046" s="64" ph="1"/>
    </row>
    <row r="3047" spans="23:23" ht="26.4">
      <c r="W3047" s="64" ph="1"/>
    </row>
    <row r="3048" spans="23:23" ht="26.4">
      <c r="W3048" s="64" ph="1"/>
    </row>
    <row r="3049" spans="23:23" ht="26.4">
      <c r="W3049" s="64" ph="1"/>
    </row>
    <row r="3050" spans="23:23" ht="26.4">
      <c r="W3050" s="64" ph="1"/>
    </row>
    <row r="3051" spans="23:23" ht="26.4">
      <c r="W3051" s="64" ph="1"/>
    </row>
    <row r="3052" spans="23:23" ht="26.4">
      <c r="W3052" s="64" ph="1"/>
    </row>
    <row r="3053" spans="23:23" ht="26.4">
      <c r="W3053" s="64" ph="1"/>
    </row>
    <row r="3054" spans="23:23" ht="26.4">
      <c r="W3054" s="64" ph="1"/>
    </row>
    <row r="3055" spans="23:23" ht="26.4">
      <c r="W3055" s="64" ph="1"/>
    </row>
    <row r="3056" spans="23:23" ht="26.4">
      <c r="W3056" s="64" ph="1"/>
    </row>
    <row r="3057" spans="23:23" ht="26.4">
      <c r="W3057" s="64" ph="1"/>
    </row>
    <row r="3058" spans="23:23" ht="26.4">
      <c r="W3058" s="64" ph="1"/>
    </row>
    <row r="3059" spans="23:23" ht="26.4">
      <c r="W3059" s="64" ph="1"/>
    </row>
    <row r="3060" spans="23:23" ht="26.4">
      <c r="W3060" s="64" ph="1"/>
    </row>
    <row r="3061" spans="23:23" ht="26.4">
      <c r="W3061" s="64" ph="1"/>
    </row>
    <row r="3062" spans="23:23" ht="26.4">
      <c r="W3062" s="64" ph="1"/>
    </row>
    <row r="3063" spans="23:23" ht="26.4">
      <c r="W3063" s="64" ph="1"/>
    </row>
    <row r="3064" spans="23:23" ht="26.4">
      <c r="W3064" s="64" ph="1"/>
    </row>
    <row r="3065" spans="23:23" ht="26.4">
      <c r="W3065" s="64" ph="1"/>
    </row>
    <row r="3066" spans="23:23" ht="26.4">
      <c r="W3066" s="64" ph="1"/>
    </row>
    <row r="3067" spans="23:23" ht="26.4">
      <c r="W3067" s="64" ph="1"/>
    </row>
    <row r="3068" spans="23:23" ht="26.4">
      <c r="W3068" s="64" ph="1"/>
    </row>
    <row r="3069" spans="23:23" ht="26.4">
      <c r="W3069" s="64" ph="1"/>
    </row>
    <row r="3070" spans="23:23" ht="26.4">
      <c r="W3070" s="64" ph="1"/>
    </row>
    <row r="3071" spans="23:23" ht="26.4">
      <c r="W3071" s="64" ph="1"/>
    </row>
    <row r="3072" spans="23:23" ht="26.4">
      <c r="W3072" s="64" ph="1"/>
    </row>
    <row r="3073" spans="23:23" ht="26.4">
      <c r="W3073" s="64" ph="1"/>
    </row>
    <row r="3074" spans="23:23" ht="26.4">
      <c r="W3074" s="64" ph="1"/>
    </row>
    <row r="3075" spans="23:23" ht="26.4">
      <c r="W3075" s="64" ph="1"/>
    </row>
    <row r="3076" spans="23:23" ht="26.4">
      <c r="W3076" s="64" ph="1"/>
    </row>
    <row r="3077" spans="23:23" ht="26.4">
      <c r="W3077" s="64" ph="1"/>
    </row>
    <row r="3078" spans="23:23" ht="26.4">
      <c r="W3078" s="64" ph="1"/>
    </row>
    <row r="3079" spans="23:23" ht="26.4">
      <c r="W3079" s="64" ph="1"/>
    </row>
    <row r="3080" spans="23:23" ht="26.4">
      <c r="W3080" s="64" ph="1"/>
    </row>
    <row r="3081" spans="23:23" ht="26.4">
      <c r="W3081" s="64" ph="1"/>
    </row>
    <row r="3082" spans="23:23" ht="26.4">
      <c r="W3082" s="64" ph="1"/>
    </row>
    <row r="3083" spans="23:23" ht="26.4">
      <c r="W3083" s="64" ph="1"/>
    </row>
    <row r="3084" spans="23:23" ht="26.4">
      <c r="W3084" s="64" ph="1"/>
    </row>
    <row r="3085" spans="23:23" ht="26.4">
      <c r="W3085" s="64" ph="1"/>
    </row>
    <row r="3086" spans="23:23" ht="26.4">
      <c r="W3086" s="64" ph="1"/>
    </row>
    <row r="3087" spans="23:23" ht="26.4">
      <c r="W3087" s="64" ph="1"/>
    </row>
    <row r="3088" spans="23:23" ht="26.4">
      <c r="W3088" s="64" ph="1"/>
    </row>
    <row r="3089" spans="23:23" ht="26.4">
      <c r="W3089" s="64" ph="1"/>
    </row>
    <row r="3090" spans="23:23" ht="26.4">
      <c r="W3090" s="64" ph="1"/>
    </row>
    <row r="3091" spans="23:23" ht="26.4">
      <c r="W3091" s="64" ph="1"/>
    </row>
    <row r="3092" spans="23:23" ht="26.4">
      <c r="W3092" s="64" ph="1"/>
    </row>
    <row r="3093" spans="23:23" ht="26.4">
      <c r="W3093" s="64" ph="1"/>
    </row>
    <row r="3094" spans="23:23" ht="26.4">
      <c r="W3094" s="64" ph="1"/>
    </row>
    <row r="3095" spans="23:23" ht="26.4">
      <c r="W3095" s="64" ph="1"/>
    </row>
    <row r="3096" spans="23:23" ht="26.4">
      <c r="W3096" s="64" ph="1"/>
    </row>
    <row r="3097" spans="23:23" ht="26.4">
      <c r="W3097" s="64" ph="1"/>
    </row>
    <row r="3098" spans="23:23" ht="26.4">
      <c r="W3098" s="64" ph="1"/>
    </row>
    <row r="3099" spans="23:23" ht="26.4">
      <c r="W3099" s="64" ph="1"/>
    </row>
    <row r="3100" spans="23:23" ht="26.4">
      <c r="W3100" s="64" ph="1"/>
    </row>
    <row r="3101" spans="23:23" ht="26.4">
      <c r="W3101" s="64" ph="1"/>
    </row>
    <row r="3102" spans="23:23" ht="26.4">
      <c r="W3102" s="64" ph="1"/>
    </row>
    <row r="3103" spans="23:23" ht="26.4">
      <c r="W3103" s="64" ph="1"/>
    </row>
    <row r="3104" spans="23:23" ht="26.4">
      <c r="W3104" s="64" ph="1"/>
    </row>
    <row r="3105" spans="23:23" ht="26.4">
      <c r="W3105" s="64" ph="1"/>
    </row>
    <row r="3106" spans="23:23" ht="26.4">
      <c r="W3106" s="64" ph="1"/>
    </row>
    <row r="3107" spans="23:23" ht="26.4">
      <c r="W3107" s="64" ph="1"/>
    </row>
    <row r="3108" spans="23:23" ht="26.4">
      <c r="W3108" s="64" ph="1"/>
    </row>
    <row r="3109" spans="23:23" ht="26.4">
      <c r="W3109" s="64" ph="1"/>
    </row>
    <row r="3110" spans="23:23" ht="26.4">
      <c r="W3110" s="64" ph="1"/>
    </row>
    <row r="3111" spans="23:23" ht="26.4">
      <c r="W3111" s="64" ph="1"/>
    </row>
    <row r="3112" spans="23:23" ht="26.4">
      <c r="W3112" s="64" ph="1"/>
    </row>
    <row r="3113" spans="23:23" ht="26.4">
      <c r="W3113" s="64" ph="1"/>
    </row>
    <row r="3114" spans="23:23" ht="26.4">
      <c r="W3114" s="64" ph="1"/>
    </row>
    <row r="3115" spans="23:23" ht="26.4">
      <c r="W3115" s="64" ph="1"/>
    </row>
    <row r="3116" spans="23:23" ht="26.4">
      <c r="W3116" s="64" ph="1"/>
    </row>
    <row r="3117" spans="23:23" ht="26.4">
      <c r="W3117" s="64" ph="1"/>
    </row>
    <row r="3118" spans="23:23" ht="26.4">
      <c r="W3118" s="64" ph="1"/>
    </row>
    <row r="3119" spans="23:23" ht="26.4">
      <c r="W3119" s="64" ph="1"/>
    </row>
    <row r="3120" spans="23:23" ht="26.4">
      <c r="W3120" s="64" ph="1"/>
    </row>
    <row r="3121" spans="23:23" ht="26.4">
      <c r="W3121" s="64" ph="1"/>
    </row>
    <row r="3122" spans="23:23" ht="26.4">
      <c r="W3122" s="64" ph="1"/>
    </row>
    <row r="3123" spans="23:23" ht="26.4">
      <c r="W3123" s="64" ph="1"/>
    </row>
    <row r="3124" spans="23:23" ht="26.4">
      <c r="W3124" s="64" ph="1"/>
    </row>
    <row r="3125" spans="23:23" ht="26.4">
      <c r="W3125" s="64" ph="1"/>
    </row>
    <row r="3126" spans="23:23" ht="26.4">
      <c r="W3126" s="64" ph="1"/>
    </row>
    <row r="3127" spans="23:23" ht="26.4">
      <c r="W3127" s="64" ph="1"/>
    </row>
    <row r="3128" spans="23:23" ht="26.4">
      <c r="W3128" s="64" ph="1"/>
    </row>
    <row r="3129" spans="23:23" ht="26.4">
      <c r="W3129" s="64" ph="1"/>
    </row>
    <row r="3130" spans="23:23" ht="26.4">
      <c r="W3130" s="64" ph="1"/>
    </row>
    <row r="3131" spans="23:23" ht="26.4">
      <c r="W3131" s="64" ph="1"/>
    </row>
    <row r="3132" spans="23:23" ht="26.4">
      <c r="W3132" s="64" ph="1"/>
    </row>
    <row r="3133" spans="23:23" ht="26.4">
      <c r="W3133" s="64" ph="1"/>
    </row>
    <row r="3134" spans="23:23" ht="26.4">
      <c r="W3134" s="64" ph="1"/>
    </row>
    <row r="3135" spans="23:23" ht="26.4">
      <c r="W3135" s="64" ph="1"/>
    </row>
    <row r="3136" spans="23:23" ht="26.4">
      <c r="W3136" s="64" ph="1"/>
    </row>
    <row r="3137" spans="23:23" ht="26.4">
      <c r="W3137" s="64" ph="1"/>
    </row>
    <row r="3138" spans="23:23" ht="26.4">
      <c r="W3138" s="64" ph="1"/>
    </row>
    <row r="3139" spans="23:23" ht="26.4">
      <c r="W3139" s="64" ph="1"/>
    </row>
    <row r="3140" spans="23:23" ht="26.4">
      <c r="W3140" s="64" ph="1"/>
    </row>
    <row r="3141" spans="23:23" ht="26.4">
      <c r="W3141" s="64" ph="1"/>
    </row>
    <row r="3142" spans="23:23" ht="26.4">
      <c r="W3142" s="64" ph="1"/>
    </row>
    <row r="3143" spans="23:23" ht="26.4">
      <c r="W3143" s="64" ph="1"/>
    </row>
    <row r="3144" spans="23:23" ht="26.4">
      <c r="W3144" s="64" ph="1"/>
    </row>
    <row r="3145" spans="23:23" ht="26.4">
      <c r="W3145" s="64" ph="1"/>
    </row>
    <row r="3146" spans="23:23" ht="26.4">
      <c r="W3146" s="64" ph="1"/>
    </row>
    <row r="3147" spans="23:23" ht="26.4">
      <c r="W3147" s="64" ph="1"/>
    </row>
    <row r="3148" spans="23:23" ht="26.4">
      <c r="W3148" s="64" ph="1"/>
    </row>
    <row r="3149" spans="23:23" ht="26.4">
      <c r="W3149" s="64" ph="1"/>
    </row>
    <row r="3150" spans="23:23" ht="26.4">
      <c r="W3150" s="64" ph="1"/>
    </row>
    <row r="3151" spans="23:23" ht="26.4">
      <c r="W3151" s="64" ph="1"/>
    </row>
    <row r="3152" spans="23:23" ht="26.4">
      <c r="W3152" s="64" ph="1"/>
    </row>
    <row r="3153" spans="23:23" ht="26.4">
      <c r="W3153" s="64" ph="1"/>
    </row>
    <row r="3154" spans="23:23" ht="26.4">
      <c r="W3154" s="64" ph="1"/>
    </row>
    <row r="3155" spans="23:23" ht="26.4">
      <c r="W3155" s="64" ph="1"/>
    </row>
    <row r="3156" spans="23:23" ht="26.4">
      <c r="W3156" s="64" ph="1"/>
    </row>
    <row r="3157" spans="23:23" ht="26.4">
      <c r="W3157" s="64" ph="1"/>
    </row>
    <row r="3158" spans="23:23" ht="26.4">
      <c r="W3158" s="64" ph="1"/>
    </row>
    <row r="3159" spans="23:23" ht="26.4">
      <c r="W3159" s="64" ph="1"/>
    </row>
    <row r="3160" spans="23:23" ht="26.4">
      <c r="W3160" s="64" ph="1"/>
    </row>
    <row r="3161" spans="23:23" ht="26.4">
      <c r="W3161" s="64" ph="1"/>
    </row>
    <row r="3162" spans="23:23" ht="26.4">
      <c r="W3162" s="64" ph="1"/>
    </row>
    <row r="3163" spans="23:23" ht="26.4">
      <c r="W3163" s="64" ph="1"/>
    </row>
    <row r="3164" spans="23:23" ht="26.4">
      <c r="W3164" s="64" ph="1"/>
    </row>
    <row r="3165" spans="23:23" ht="26.4">
      <c r="W3165" s="64" ph="1"/>
    </row>
    <row r="3166" spans="23:23" ht="26.4">
      <c r="W3166" s="64" ph="1"/>
    </row>
    <row r="3167" spans="23:23" ht="26.4">
      <c r="W3167" s="64" ph="1"/>
    </row>
    <row r="3168" spans="23:23" ht="26.4">
      <c r="W3168" s="64" ph="1"/>
    </row>
    <row r="3169" spans="23:23" ht="26.4">
      <c r="W3169" s="64" ph="1"/>
    </row>
    <row r="3170" spans="23:23" ht="26.4">
      <c r="W3170" s="64" ph="1"/>
    </row>
    <row r="3171" spans="23:23" ht="26.4">
      <c r="W3171" s="64" ph="1"/>
    </row>
    <row r="3172" spans="23:23" ht="26.4">
      <c r="W3172" s="64" ph="1"/>
    </row>
    <row r="3173" spans="23:23" ht="26.4">
      <c r="W3173" s="64" ph="1"/>
    </row>
    <row r="3174" spans="23:23" ht="26.4">
      <c r="W3174" s="64" ph="1"/>
    </row>
    <row r="3175" spans="23:23" ht="26.4">
      <c r="W3175" s="64" ph="1"/>
    </row>
    <row r="3176" spans="23:23" ht="26.4">
      <c r="W3176" s="64" ph="1"/>
    </row>
    <row r="3177" spans="23:23" ht="26.4">
      <c r="W3177" s="64" ph="1"/>
    </row>
    <row r="3178" spans="23:23" ht="26.4">
      <c r="W3178" s="64" ph="1"/>
    </row>
    <row r="3179" spans="23:23" ht="26.4">
      <c r="W3179" s="64" ph="1"/>
    </row>
    <row r="3180" spans="23:23" ht="26.4">
      <c r="W3180" s="64" ph="1"/>
    </row>
    <row r="3181" spans="23:23" ht="26.4">
      <c r="W3181" s="64" ph="1"/>
    </row>
    <row r="3182" spans="23:23" ht="26.4">
      <c r="W3182" s="64" ph="1"/>
    </row>
    <row r="3183" spans="23:23" ht="26.4">
      <c r="W3183" s="64" ph="1"/>
    </row>
    <row r="3184" spans="23:23" ht="26.4">
      <c r="W3184" s="64" ph="1"/>
    </row>
    <row r="3185" spans="23:23" ht="26.4">
      <c r="W3185" s="64" ph="1"/>
    </row>
    <row r="3186" spans="23:23" ht="26.4">
      <c r="W3186" s="64" ph="1"/>
    </row>
    <row r="3187" spans="23:23" ht="26.4">
      <c r="W3187" s="64" ph="1"/>
    </row>
    <row r="3188" spans="23:23" ht="26.4">
      <c r="W3188" s="64" ph="1"/>
    </row>
    <row r="3189" spans="23:23" ht="26.4">
      <c r="W3189" s="64" ph="1"/>
    </row>
    <row r="3190" spans="23:23" ht="26.4">
      <c r="W3190" s="64" ph="1"/>
    </row>
    <row r="3191" spans="23:23" ht="26.4">
      <c r="W3191" s="64" ph="1"/>
    </row>
    <row r="3192" spans="23:23" ht="26.4">
      <c r="W3192" s="64" ph="1"/>
    </row>
    <row r="3193" spans="23:23" ht="26.4">
      <c r="W3193" s="64" ph="1"/>
    </row>
    <row r="3194" spans="23:23" ht="26.4">
      <c r="W3194" s="64" ph="1"/>
    </row>
    <row r="3195" spans="23:23" ht="26.4">
      <c r="W3195" s="64" ph="1"/>
    </row>
    <row r="3196" spans="23:23" ht="26.4">
      <c r="W3196" s="64" ph="1"/>
    </row>
    <row r="3197" spans="23:23" ht="26.4">
      <c r="W3197" s="64" ph="1"/>
    </row>
    <row r="3198" spans="23:23" ht="26.4">
      <c r="W3198" s="64" ph="1"/>
    </row>
    <row r="3199" spans="23:23" ht="26.4">
      <c r="W3199" s="64" ph="1"/>
    </row>
    <row r="3200" spans="23:23" ht="26.4">
      <c r="W3200" s="64" ph="1"/>
    </row>
    <row r="3201" spans="23:23" ht="26.4">
      <c r="W3201" s="64" ph="1"/>
    </row>
    <row r="3202" spans="23:23" ht="26.4">
      <c r="W3202" s="64" ph="1"/>
    </row>
    <row r="3203" spans="23:23" ht="26.4">
      <c r="W3203" s="64" ph="1"/>
    </row>
    <row r="3204" spans="23:23" ht="26.4">
      <c r="W3204" s="64" ph="1"/>
    </row>
    <row r="3205" spans="23:23" ht="26.4">
      <c r="W3205" s="64" ph="1"/>
    </row>
    <row r="3206" spans="23:23" ht="26.4">
      <c r="W3206" s="64" ph="1"/>
    </row>
    <row r="3207" spans="23:23" ht="26.4">
      <c r="W3207" s="64" ph="1"/>
    </row>
    <row r="3208" spans="23:23" ht="26.4">
      <c r="W3208" s="64" ph="1"/>
    </row>
    <row r="3209" spans="23:23" ht="26.4">
      <c r="W3209" s="64" ph="1"/>
    </row>
    <row r="3210" spans="23:23" ht="26.4">
      <c r="W3210" s="64" ph="1"/>
    </row>
    <row r="3211" spans="23:23" ht="26.4">
      <c r="W3211" s="64" ph="1"/>
    </row>
    <row r="3212" spans="23:23" ht="26.4">
      <c r="W3212" s="64" ph="1"/>
    </row>
    <row r="3213" spans="23:23" ht="26.4">
      <c r="W3213" s="64" ph="1"/>
    </row>
    <row r="3214" spans="23:23" ht="26.4">
      <c r="W3214" s="64" ph="1"/>
    </row>
    <row r="3215" spans="23:23" ht="26.4">
      <c r="W3215" s="64" ph="1"/>
    </row>
    <row r="3216" spans="23:23" ht="26.4">
      <c r="W3216" s="64" ph="1"/>
    </row>
    <row r="3217" spans="23:23" ht="26.4">
      <c r="W3217" s="64" ph="1"/>
    </row>
    <row r="3218" spans="23:23" ht="26.4">
      <c r="W3218" s="64" ph="1"/>
    </row>
    <row r="3219" spans="23:23" ht="26.4">
      <c r="W3219" s="64" ph="1"/>
    </row>
    <row r="3220" spans="23:23" ht="26.4">
      <c r="W3220" s="64" ph="1"/>
    </row>
    <row r="3221" spans="23:23" ht="26.4">
      <c r="W3221" s="64" ph="1"/>
    </row>
    <row r="3222" spans="23:23" ht="26.4">
      <c r="W3222" s="64" ph="1"/>
    </row>
    <row r="3223" spans="23:23" ht="26.4">
      <c r="W3223" s="64" ph="1"/>
    </row>
    <row r="3224" spans="23:23" ht="26.4">
      <c r="W3224" s="64" ph="1"/>
    </row>
    <row r="3225" spans="23:23" ht="26.4">
      <c r="W3225" s="64" ph="1"/>
    </row>
    <row r="3226" spans="23:23" ht="26.4">
      <c r="W3226" s="64" ph="1"/>
    </row>
    <row r="3227" spans="23:23" ht="26.4">
      <c r="W3227" s="64" ph="1"/>
    </row>
    <row r="3228" spans="23:23" ht="26.4">
      <c r="W3228" s="64" ph="1"/>
    </row>
    <row r="3229" spans="23:23" ht="26.4">
      <c r="W3229" s="64" ph="1"/>
    </row>
    <row r="3230" spans="23:23" ht="26.4">
      <c r="W3230" s="64" ph="1"/>
    </row>
    <row r="3231" spans="23:23" ht="26.4">
      <c r="W3231" s="64" ph="1"/>
    </row>
    <row r="3232" spans="23:23" ht="26.4">
      <c r="W3232" s="64" ph="1"/>
    </row>
    <row r="3233" spans="23:23" ht="26.4">
      <c r="W3233" s="64" ph="1"/>
    </row>
    <row r="3234" spans="23:23" ht="26.4">
      <c r="W3234" s="64" ph="1"/>
    </row>
    <row r="3235" spans="23:23" ht="26.4">
      <c r="W3235" s="64" ph="1"/>
    </row>
    <row r="3236" spans="23:23" ht="26.4">
      <c r="W3236" s="64" ph="1"/>
    </row>
    <row r="3237" spans="23:23" ht="26.4">
      <c r="W3237" s="64" ph="1"/>
    </row>
    <row r="3238" spans="23:23" ht="26.4">
      <c r="W3238" s="64" ph="1"/>
    </row>
    <row r="3239" spans="23:23" ht="26.4">
      <c r="W3239" s="64" ph="1"/>
    </row>
    <row r="3240" spans="23:23" ht="26.4">
      <c r="W3240" s="64" ph="1"/>
    </row>
    <row r="3241" spans="23:23" ht="26.4">
      <c r="W3241" s="64" ph="1"/>
    </row>
    <row r="3242" spans="23:23" ht="26.4">
      <c r="W3242" s="64" ph="1"/>
    </row>
    <row r="3243" spans="23:23" ht="26.4">
      <c r="W3243" s="64" ph="1"/>
    </row>
    <row r="3244" spans="23:23" ht="26.4">
      <c r="W3244" s="64" ph="1"/>
    </row>
    <row r="3245" spans="23:23" ht="26.4">
      <c r="W3245" s="64" ph="1"/>
    </row>
    <row r="3246" spans="23:23" ht="26.4">
      <c r="W3246" s="64" ph="1"/>
    </row>
    <row r="3247" spans="23:23" ht="26.4">
      <c r="W3247" s="64" ph="1"/>
    </row>
    <row r="3248" spans="23:23" ht="26.4">
      <c r="W3248" s="64" ph="1"/>
    </row>
    <row r="3249" spans="23:23" ht="26.4">
      <c r="W3249" s="64" ph="1"/>
    </row>
    <row r="3250" spans="23:23" ht="26.4">
      <c r="W3250" s="64" ph="1"/>
    </row>
    <row r="3251" spans="23:23" ht="26.4">
      <c r="W3251" s="64" ph="1"/>
    </row>
    <row r="3252" spans="23:23" ht="26.4">
      <c r="W3252" s="64" ph="1"/>
    </row>
    <row r="3253" spans="23:23" ht="26.4">
      <c r="W3253" s="64" ph="1"/>
    </row>
    <row r="3254" spans="23:23" ht="26.4">
      <c r="W3254" s="64" ph="1"/>
    </row>
    <row r="3255" spans="23:23" ht="26.4">
      <c r="W3255" s="64" ph="1"/>
    </row>
    <row r="3256" spans="23:23" ht="26.4">
      <c r="W3256" s="64" ph="1"/>
    </row>
    <row r="3257" spans="23:23" ht="26.4">
      <c r="W3257" s="64" ph="1"/>
    </row>
    <row r="3258" spans="23:23" ht="26.4">
      <c r="W3258" s="64" ph="1"/>
    </row>
    <row r="3259" spans="23:23" ht="26.4">
      <c r="W3259" s="64" ph="1"/>
    </row>
    <row r="3260" spans="23:23" ht="26.4">
      <c r="W3260" s="64" ph="1"/>
    </row>
    <row r="3261" spans="23:23" ht="26.4">
      <c r="W3261" s="64" ph="1"/>
    </row>
    <row r="3262" spans="23:23" ht="26.4">
      <c r="W3262" s="64" ph="1"/>
    </row>
    <row r="3263" spans="23:23" ht="26.4">
      <c r="W3263" s="64" ph="1"/>
    </row>
    <row r="3264" spans="23:23" ht="26.4">
      <c r="W3264" s="64" ph="1"/>
    </row>
    <row r="3265" spans="23:23" ht="26.4">
      <c r="W3265" s="64" ph="1"/>
    </row>
    <row r="3266" spans="23:23" ht="26.4">
      <c r="W3266" s="64" ph="1"/>
    </row>
    <row r="3267" spans="23:23" ht="26.4">
      <c r="W3267" s="64" ph="1"/>
    </row>
    <row r="3268" spans="23:23" ht="26.4">
      <c r="W3268" s="64" ph="1"/>
    </row>
    <row r="3269" spans="23:23" ht="26.4">
      <c r="W3269" s="64" ph="1"/>
    </row>
    <row r="3270" spans="23:23" ht="26.4">
      <c r="W3270" s="64" ph="1"/>
    </row>
    <row r="3271" spans="23:23" ht="26.4">
      <c r="W3271" s="64" ph="1"/>
    </row>
    <row r="3272" spans="23:23" ht="26.4">
      <c r="W3272" s="64" ph="1"/>
    </row>
    <row r="3273" spans="23:23" ht="26.4">
      <c r="W3273" s="64" ph="1"/>
    </row>
    <row r="3274" spans="23:23" ht="26.4">
      <c r="W3274" s="64" ph="1"/>
    </row>
    <row r="3275" spans="23:23" ht="26.4">
      <c r="W3275" s="64" ph="1"/>
    </row>
    <row r="3276" spans="23:23" ht="26.4">
      <c r="W3276" s="64" ph="1"/>
    </row>
    <row r="3277" spans="23:23" ht="26.4">
      <c r="W3277" s="64" ph="1"/>
    </row>
    <row r="3278" spans="23:23" ht="26.4">
      <c r="W3278" s="64" ph="1"/>
    </row>
    <row r="3279" spans="23:23" ht="26.4">
      <c r="W3279" s="64" ph="1"/>
    </row>
    <row r="3280" spans="23:23" ht="26.4">
      <c r="W3280" s="64" ph="1"/>
    </row>
    <row r="3281" spans="23:23" ht="26.4">
      <c r="W3281" s="64" ph="1"/>
    </row>
    <row r="3282" spans="23:23" ht="26.4">
      <c r="W3282" s="64" ph="1"/>
    </row>
    <row r="3283" spans="23:23" ht="26.4">
      <c r="W3283" s="64" ph="1"/>
    </row>
    <row r="3284" spans="23:23" ht="26.4">
      <c r="W3284" s="64" ph="1"/>
    </row>
    <row r="3285" spans="23:23" ht="26.4">
      <c r="W3285" s="64" ph="1"/>
    </row>
    <row r="3286" spans="23:23" ht="26.4">
      <c r="W3286" s="64" ph="1"/>
    </row>
    <row r="3287" spans="23:23" ht="26.4">
      <c r="W3287" s="64" ph="1"/>
    </row>
    <row r="3288" spans="23:23" ht="26.4">
      <c r="W3288" s="64" ph="1"/>
    </row>
    <row r="3289" spans="23:23" ht="26.4">
      <c r="W3289" s="64" ph="1"/>
    </row>
    <row r="3290" spans="23:23" ht="26.4">
      <c r="W3290" s="64" ph="1"/>
    </row>
    <row r="3291" spans="23:23" ht="26.4">
      <c r="W3291" s="64" ph="1"/>
    </row>
    <row r="3292" spans="23:23" ht="26.4">
      <c r="W3292" s="64" ph="1"/>
    </row>
    <row r="3293" spans="23:23" ht="26.4">
      <c r="W3293" s="64" ph="1"/>
    </row>
    <row r="3294" spans="23:23" ht="26.4">
      <c r="W3294" s="64" ph="1"/>
    </row>
    <row r="3295" spans="23:23" ht="26.4">
      <c r="W3295" s="64" ph="1"/>
    </row>
    <row r="3296" spans="23:23" ht="26.4">
      <c r="W3296" s="64" ph="1"/>
    </row>
    <row r="3297" spans="23:23" ht="26.4">
      <c r="W3297" s="64" ph="1"/>
    </row>
    <row r="3298" spans="23:23" ht="26.4">
      <c r="W3298" s="64" ph="1"/>
    </row>
    <row r="3299" spans="23:23" ht="26.4">
      <c r="W3299" s="64" ph="1"/>
    </row>
    <row r="3300" spans="23:23" ht="26.4">
      <c r="W3300" s="64" ph="1"/>
    </row>
    <row r="3301" spans="23:23" ht="26.4">
      <c r="W3301" s="64" ph="1"/>
    </row>
    <row r="3302" spans="23:23" ht="26.4">
      <c r="W3302" s="64" ph="1"/>
    </row>
    <row r="3303" spans="23:23" ht="26.4">
      <c r="W3303" s="64" ph="1"/>
    </row>
    <row r="3304" spans="23:23" ht="26.4">
      <c r="W3304" s="64" ph="1"/>
    </row>
    <row r="3305" spans="23:23" ht="26.4">
      <c r="W3305" s="64" ph="1"/>
    </row>
    <row r="3306" spans="23:23" ht="26.4">
      <c r="W3306" s="64" ph="1"/>
    </row>
    <row r="3307" spans="23:23" ht="26.4">
      <c r="W3307" s="64" ph="1"/>
    </row>
    <row r="3308" spans="23:23" ht="26.4">
      <c r="W3308" s="64" ph="1"/>
    </row>
    <row r="3309" spans="23:23" ht="26.4">
      <c r="W3309" s="64" ph="1"/>
    </row>
    <row r="3310" spans="23:23" ht="26.4">
      <c r="W3310" s="64" ph="1"/>
    </row>
    <row r="3311" spans="23:23" ht="26.4">
      <c r="W3311" s="64" ph="1"/>
    </row>
    <row r="3312" spans="23:23" ht="26.4">
      <c r="W3312" s="64" ph="1"/>
    </row>
    <row r="3313" spans="23:23" ht="26.4">
      <c r="W3313" s="64" ph="1"/>
    </row>
    <row r="3314" spans="23:23" ht="26.4">
      <c r="W3314" s="64" ph="1"/>
    </row>
    <row r="3315" spans="23:23" ht="26.4">
      <c r="W3315" s="64" ph="1"/>
    </row>
    <row r="3316" spans="23:23" ht="26.4">
      <c r="W3316" s="64" ph="1"/>
    </row>
    <row r="3317" spans="23:23" ht="26.4">
      <c r="W3317" s="64" ph="1"/>
    </row>
    <row r="3318" spans="23:23" ht="26.4">
      <c r="W3318" s="64" ph="1"/>
    </row>
    <row r="3319" spans="23:23" ht="26.4">
      <c r="W3319" s="64" ph="1"/>
    </row>
    <row r="3320" spans="23:23" ht="26.4">
      <c r="W3320" s="64" ph="1"/>
    </row>
    <row r="3321" spans="23:23" ht="26.4">
      <c r="W3321" s="64" ph="1"/>
    </row>
    <row r="3322" spans="23:23" ht="26.4">
      <c r="W3322" s="64" ph="1"/>
    </row>
    <row r="3323" spans="23:23" ht="26.4">
      <c r="W3323" s="64" ph="1"/>
    </row>
    <row r="3324" spans="23:23" ht="26.4">
      <c r="W3324" s="64" ph="1"/>
    </row>
    <row r="3325" spans="23:23" ht="26.4">
      <c r="W3325" s="64" ph="1"/>
    </row>
    <row r="3326" spans="23:23" ht="26.4">
      <c r="W3326" s="64" ph="1"/>
    </row>
    <row r="3327" spans="23:23" ht="26.4">
      <c r="W3327" s="64" ph="1"/>
    </row>
    <row r="3328" spans="23:23" ht="26.4">
      <c r="W3328" s="64" ph="1"/>
    </row>
    <row r="3329" spans="23:23" ht="26.4">
      <c r="W3329" s="64" ph="1"/>
    </row>
    <row r="3330" spans="23:23" ht="26.4">
      <c r="W3330" s="64" ph="1"/>
    </row>
    <row r="3331" spans="23:23" ht="26.4">
      <c r="W3331" s="64" ph="1"/>
    </row>
    <row r="3332" spans="23:23" ht="26.4">
      <c r="W3332" s="64" ph="1"/>
    </row>
    <row r="3333" spans="23:23" ht="26.4">
      <c r="W3333" s="64" ph="1"/>
    </row>
    <row r="3334" spans="23:23" ht="26.4">
      <c r="W3334" s="64" ph="1"/>
    </row>
    <row r="3335" spans="23:23" ht="26.4">
      <c r="W3335" s="64" ph="1"/>
    </row>
    <row r="3336" spans="23:23" ht="26.4">
      <c r="W3336" s="64" ph="1"/>
    </row>
    <row r="3337" spans="23:23" ht="26.4">
      <c r="W3337" s="64" ph="1"/>
    </row>
    <row r="3338" spans="23:23" ht="26.4">
      <c r="W3338" s="64" ph="1"/>
    </row>
    <row r="3339" spans="23:23" ht="26.4">
      <c r="W3339" s="64" ph="1"/>
    </row>
    <row r="3340" spans="23:23" ht="26.4">
      <c r="W3340" s="64" ph="1"/>
    </row>
    <row r="3341" spans="23:23" ht="26.4">
      <c r="W3341" s="64" ph="1"/>
    </row>
    <row r="3342" spans="23:23" ht="26.4">
      <c r="W3342" s="64" ph="1"/>
    </row>
    <row r="3343" spans="23:23" ht="26.4">
      <c r="W3343" s="64" ph="1"/>
    </row>
    <row r="3344" spans="23:23" ht="26.4">
      <c r="W3344" s="64" ph="1"/>
    </row>
    <row r="3345" spans="23:23" ht="26.4">
      <c r="W3345" s="64" ph="1"/>
    </row>
    <row r="3346" spans="23:23" ht="26.4">
      <c r="W3346" s="64" ph="1"/>
    </row>
    <row r="3347" spans="23:23" ht="26.4">
      <c r="W3347" s="64" ph="1"/>
    </row>
    <row r="3348" spans="23:23" ht="26.4">
      <c r="W3348" s="64" ph="1"/>
    </row>
    <row r="3349" spans="23:23" ht="26.4">
      <c r="W3349" s="64" ph="1"/>
    </row>
    <row r="3350" spans="23:23" ht="26.4">
      <c r="W3350" s="64" ph="1"/>
    </row>
    <row r="3351" spans="23:23" ht="26.4">
      <c r="W3351" s="64" ph="1"/>
    </row>
    <row r="3352" spans="23:23" ht="26.4">
      <c r="W3352" s="64" ph="1"/>
    </row>
    <row r="3353" spans="23:23" ht="26.4">
      <c r="W3353" s="64" ph="1"/>
    </row>
    <row r="3354" spans="23:23" ht="26.4">
      <c r="W3354" s="64" ph="1"/>
    </row>
    <row r="3355" spans="23:23" ht="26.4">
      <c r="W3355" s="64" ph="1"/>
    </row>
    <row r="3356" spans="23:23" ht="26.4">
      <c r="W3356" s="64" ph="1"/>
    </row>
    <row r="3357" spans="23:23" ht="26.4">
      <c r="W3357" s="64" ph="1"/>
    </row>
    <row r="3358" spans="23:23" ht="26.4">
      <c r="W3358" s="64" ph="1"/>
    </row>
    <row r="3359" spans="23:23" ht="26.4">
      <c r="W3359" s="64" ph="1"/>
    </row>
    <row r="3360" spans="23:23" ht="26.4">
      <c r="W3360" s="64" ph="1"/>
    </row>
    <row r="3361" spans="23:23" ht="26.4">
      <c r="W3361" s="64" ph="1"/>
    </row>
    <row r="3362" spans="23:23" ht="26.4">
      <c r="W3362" s="64" ph="1"/>
    </row>
    <row r="3363" spans="23:23" ht="26.4">
      <c r="W3363" s="64" ph="1"/>
    </row>
    <row r="3364" spans="23:23" ht="26.4">
      <c r="W3364" s="64" ph="1"/>
    </row>
    <row r="3365" spans="23:23" ht="26.4">
      <c r="W3365" s="64" ph="1"/>
    </row>
    <row r="3366" spans="23:23" ht="26.4">
      <c r="W3366" s="64" ph="1"/>
    </row>
    <row r="3367" spans="23:23" ht="26.4">
      <c r="W3367" s="64" ph="1"/>
    </row>
    <row r="3368" spans="23:23" ht="26.4">
      <c r="W3368" s="64" ph="1"/>
    </row>
    <row r="3369" spans="23:23" ht="26.4">
      <c r="W3369" s="64" ph="1"/>
    </row>
    <row r="3370" spans="23:23" ht="26.4">
      <c r="W3370" s="64" ph="1"/>
    </row>
    <row r="3371" spans="23:23" ht="26.4">
      <c r="W3371" s="64" ph="1"/>
    </row>
    <row r="3372" spans="23:23" ht="26.4">
      <c r="W3372" s="64" ph="1"/>
    </row>
    <row r="3373" spans="23:23" ht="26.4">
      <c r="W3373" s="64" ph="1"/>
    </row>
    <row r="3374" spans="23:23" ht="26.4">
      <c r="W3374" s="64" ph="1"/>
    </row>
    <row r="3375" spans="23:23" ht="26.4">
      <c r="W3375" s="64" ph="1"/>
    </row>
    <row r="3376" spans="23:23" ht="26.4">
      <c r="W3376" s="64" ph="1"/>
    </row>
    <row r="3377" spans="23:23" ht="26.4">
      <c r="W3377" s="64" ph="1"/>
    </row>
    <row r="3378" spans="23:23" ht="26.4">
      <c r="W3378" s="64" ph="1"/>
    </row>
    <row r="3379" spans="23:23" ht="26.4">
      <c r="W3379" s="64" ph="1"/>
    </row>
    <row r="3380" spans="23:23" ht="26.4">
      <c r="W3380" s="64" ph="1"/>
    </row>
    <row r="3381" spans="23:23" ht="26.4">
      <c r="W3381" s="64" ph="1"/>
    </row>
    <row r="3382" spans="23:23" ht="26.4">
      <c r="W3382" s="64" ph="1"/>
    </row>
    <row r="3383" spans="23:23" ht="26.4">
      <c r="W3383" s="64" ph="1"/>
    </row>
    <row r="3384" spans="23:23" ht="26.4">
      <c r="W3384" s="64" ph="1"/>
    </row>
    <row r="3385" spans="23:23" ht="26.4">
      <c r="W3385" s="64" ph="1"/>
    </row>
    <row r="3386" spans="23:23" ht="26.4">
      <c r="W3386" s="64" ph="1"/>
    </row>
    <row r="3387" spans="23:23" ht="26.4">
      <c r="W3387" s="64" ph="1"/>
    </row>
    <row r="3388" spans="23:23" ht="26.4">
      <c r="W3388" s="64" ph="1"/>
    </row>
    <row r="3389" spans="23:23" ht="26.4">
      <c r="W3389" s="64" ph="1"/>
    </row>
    <row r="3390" spans="23:23" ht="26.4">
      <c r="W3390" s="64" ph="1"/>
    </row>
    <row r="3391" spans="23:23" ht="26.4">
      <c r="W3391" s="64" ph="1"/>
    </row>
    <row r="3392" spans="23:23" ht="26.4">
      <c r="W3392" s="64" ph="1"/>
    </row>
    <row r="3393" spans="23:23" ht="26.4">
      <c r="W3393" s="64" ph="1"/>
    </row>
    <row r="3394" spans="23:23" ht="26.4">
      <c r="W3394" s="64" ph="1"/>
    </row>
    <row r="3395" spans="23:23" ht="26.4">
      <c r="W3395" s="64" ph="1"/>
    </row>
    <row r="3396" spans="23:23" ht="26.4">
      <c r="W3396" s="64" ph="1"/>
    </row>
    <row r="3397" spans="23:23" ht="26.4">
      <c r="W3397" s="64" ph="1"/>
    </row>
    <row r="3398" spans="23:23" ht="26.4">
      <c r="W3398" s="64" ph="1"/>
    </row>
    <row r="3399" spans="23:23" ht="26.4">
      <c r="W3399" s="64" ph="1"/>
    </row>
    <row r="3400" spans="23:23" ht="26.4">
      <c r="W3400" s="64" ph="1"/>
    </row>
    <row r="3401" spans="23:23" ht="26.4">
      <c r="W3401" s="64" ph="1"/>
    </row>
    <row r="3402" spans="23:23" ht="26.4">
      <c r="W3402" s="64" ph="1"/>
    </row>
    <row r="3403" spans="23:23" ht="26.4">
      <c r="W3403" s="64" ph="1"/>
    </row>
    <row r="3404" spans="23:23" ht="26.4">
      <c r="W3404" s="64" ph="1"/>
    </row>
    <row r="3405" spans="23:23" ht="26.4">
      <c r="W3405" s="64" ph="1"/>
    </row>
    <row r="3406" spans="23:23" ht="26.4">
      <c r="W3406" s="64" ph="1"/>
    </row>
    <row r="3407" spans="23:23" ht="26.4">
      <c r="W3407" s="64" ph="1"/>
    </row>
    <row r="3408" spans="23:23" ht="26.4">
      <c r="W3408" s="64" ph="1"/>
    </row>
    <row r="3409" spans="23:23" ht="26.4">
      <c r="W3409" s="64" ph="1"/>
    </row>
    <row r="3410" spans="23:23" ht="26.4">
      <c r="W3410" s="64" ph="1"/>
    </row>
    <row r="3411" spans="23:23" ht="26.4">
      <c r="W3411" s="64" ph="1"/>
    </row>
    <row r="3412" spans="23:23" ht="26.4">
      <c r="W3412" s="64" ph="1"/>
    </row>
    <row r="3413" spans="23:23" ht="26.4">
      <c r="W3413" s="64" ph="1"/>
    </row>
    <row r="3414" spans="23:23" ht="26.4">
      <c r="W3414" s="64" ph="1"/>
    </row>
    <row r="3415" spans="23:23" ht="26.4">
      <c r="W3415" s="64" ph="1"/>
    </row>
    <row r="3416" spans="23:23" ht="26.4">
      <c r="W3416" s="64" ph="1"/>
    </row>
    <row r="3417" spans="23:23" ht="26.4">
      <c r="W3417" s="64" ph="1"/>
    </row>
    <row r="3418" spans="23:23" ht="26.4">
      <c r="W3418" s="64" ph="1"/>
    </row>
    <row r="3419" spans="23:23" ht="26.4">
      <c r="W3419" s="64" ph="1"/>
    </row>
    <row r="3420" spans="23:23" ht="26.4">
      <c r="W3420" s="64" ph="1"/>
    </row>
    <row r="3421" spans="23:23" ht="26.4">
      <c r="W3421" s="64" ph="1"/>
    </row>
    <row r="3422" spans="23:23" ht="26.4">
      <c r="W3422" s="64" ph="1"/>
    </row>
    <row r="3423" spans="23:23" ht="26.4">
      <c r="W3423" s="64" ph="1"/>
    </row>
    <row r="3424" spans="23:23" ht="26.4">
      <c r="W3424" s="64" ph="1"/>
    </row>
    <row r="3425" spans="23:23" ht="26.4">
      <c r="W3425" s="64" ph="1"/>
    </row>
    <row r="3426" spans="23:23" ht="26.4">
      <c r="W3426" s="64" ph="1"/>
    </row>
    <row r="3427" spans="23:23" ht="26.4">
      <c r="W3427" s="64" ph="1"/>
    </row>
    <row r="3428" spans="23:23" ht="26.4">
      <c r="W3428" s="64" ph="1"/>
    </row>
    <row r="3429" spans="23:23" ht="26.4">
      <c r="W3429" s="64" ph="1"/>
    </row>
    <row r="3430" spans="23:23" ht="26.4">
      <c r="W3430" s="64" ph="1"/>
    </row>
    <row r="3431" spans="23:23" ht="26.4">
      <c r="W3431" s="64" ph="1"/>
    </row>
    <row r="3432" spans="23:23" ht="26.4">
      <c r="W3432" s="64" ph="1"/>
    </row>
    <row r="3433" spans="23:23" ht="26.4">
      <c r="W3433" s="64" ph="1"/>
    </row>
    <row r="3434" spans="23:23" ht="26.4">
      <c r="W3434" s="64" ph="1"/>
    </row>
    <row r="3435" spans="23:23" ht="26.4">
      <c r="W3435" s="64" ph="1"/>
    </row>
    <row r="3436" spans="23:23" ht="26.4">
      <c r="W3436" s="64" ph="1"/>
    </row>
    <row r="3437" spans="23:23" ht="26.4">
      <c r="W3437" s="64" ph="1"/>
    </row>
    <row r="3438" spans="23:23" ht="26.4">
      <c r="W3438" s="64" ph="1"/>
    </row>
    <row r="3439" spans="23:23" ht="26.4">
      <c r="W3439" s="64" ph="1"/>
    </row>
    <row r="3440" spans="23:23" ht="26.4">
      <c r="W3440" s="64" ph="1"/>
    </row>
    <row r="3441" spans="23:23" ht="26.4">
      <c r="W3441" s="64" ph="1"/>
    </row>
    <row r="3442" spans="23:23" ht="26.4">
      <c r="W3442" s="64" ph="1"/>
    </row>
    <row r="3443" spans="23:23" ht="26.4">
      <c r="W3443" s="64" ph="1"/>
    </row>
    <row r="3444" spans="23:23" ht="26.4">
      <c r="W3444" s="64" ph="1"/>
    </row>
    <row r="3445" spans="23:23" ht="26.4">
      <c r="W3445" s="64" ph="1"/>
    </row>
    <row r="3446" spans="23:23" ht="26.4">
      <c r="W3446" s="64" ph="1"/>
    </row>
    <row r="3447" spans="23:23" ht="26.4">
      <c r="W3447" s="64" ph="1"/>
    </row>
    <row r="3448" spans="23:23" ht="26.4">
      <c r="W3448" s="64" ph="1"/>
    </row>
    <row r="3449" spans="23:23" ht="26.4">
      <c r="W3449" s="64" ph="1"/>
    </row>
    <row r="3450" spans="23:23" ht="26.4">
      <c r="W3450" s="64" ph="1"/>
    </row>
    <row r="3451" spans="23:23" ht="26.4">
      <c r="W3451" s="64" ph="1"/>
    </row>
    <row r="3452" spans="23:23" ht="26.4">
      <c r="W3452" s="64" ph="1"/>
    </row>
    <row r="3453" spans="23:23" ht="26.4">
      <c r="W3453" s="64" ph="1"/>
    </row>
    <row r="3454" spans="23:23" ht="26.4">
      <c r="W3454" s="64" ph="1"/>
    </row>
    <row r="3455" spans="23:23" ht="26.4">
      <c r="W3455" s="64" ph="1"/>
    </row>
    <row r="3456" spans="23:23" ht="26.4">
      <c r="W3456" s="64" ph="1"/>
    </row>
    <row r="3457" spans="23:23" ht="26.4">
      <c r="W3457" s="64" ph="1"/>
    </row>
    <row r="3458" spans="23:23" ht="26.4">
      <c r="W3458" s="64" ph="1"/>
    </row>
    <row r="3459" spans="23:23" ht="26.4">
      <c r="W3459" s="64" ph="1"/>
    </row>
    <row r="3460" spans="23:23" ht="26.4">
      <c r="W3460" s="64" ph="1"/>
    </row>
    <row r="3461" spans="23:23" ht="26.4">
      <c r="W3461" s="64" ph="1"/>
    </row>
    <row r="3462" spans="23:23" ht="26.4">
      <c r="W3462" s="64" ph="1"/>
    </row>
    <row r="3463" spans="23:23" ht="26.4">
      <c r="W3463" s="64" ph="1"/>
    </row>
    <row r="3464" spans="23:23" ht="26.4">
      <c r="W3464" s="64" ph="1"/>
    </row>
    <row r="3465" spans="23:23" ht="26.4">
      <c r="W3465" s="64" ph="1"/>
    </row>
    <row r="3466" spans="23:23" ht="26.4">
      <c r="W3466" s="64" ph="1"/>
    </row>
    <row r="3467" spans="23:23" ht="26.4">
      <c r="W3467" s="64" ph="1"/>
    </row>
    <row r="3468" spans="23:23" ht="26.4">
      <c r="W3468" s="64" ph="1"/>
    </row>
    <row r="3469" spans="23:23" ht="26.4">
      <c r="W3469" s="64" ph="1"/>
    </row>
    <row r="3470" spans="23:23" ht="26.4">
      <c r="W3470" s="64" ph="1"/>
    </row>
    <row r="3471" spans="23:23" ht="26.4">
      <c r="W3471" s="64" ph="1"/>
    </row>
    <row r="3472" spans="23:23" ht="26.4">
      <c r="W3472" s="64" ph="1"/>
    </row>
    <row r="3473" spans="23:23" ht="26.4">
      <c r="W3473" s="64" ph="1"/>
    </row>
    <row r="3474" spans="23:23" ht="26.4">
      <c r="W3474" s="64" ph="1"/>
    </row>
    <row r="3475" spans="23:23" ht="26.4">
      <c r="W3475" s="64" ph="1"/>
    </row>
    <row r="3476" spans="23:23" ht="26.4">
      <c r="W3476" s="64" ph="1"/>
    </row>
    <row r="3477" spans="23:23" ht="26.4">
      <c r="W3477" s="64" ph="1"/>
    </row>
    <row r="3478" spans="23:23" ht="26.4">
      <c r="W3478" s="64" ph="1"/>
    </row>
    <row r="3479" spans="23:23" ht="26.4">
      <c r="W3479" s="64" ph="1"/>
    </row>
    <row r="3480" spans="23:23" ht="26.4">
      <c r="W3480" s="64" ph="1"/>
    </row>
    <row r="3481" spans="23:23" ht="26.4">
      <c r="W3481" s="64" ph="1"/>
    </row>
    <row r="3482" spans="23:23" ht="26.4">
      <c r="W3482" s="64" ph="1"/>
    </row>
    <row r="3483" spans="23:23" ht="26.4">
      <c r="W3483" s="64" ph="1"/>
    </row>
    <row r="3484" spans="23:23" ht="26.4">
      <c r="W3484" s="64" ph="1"/>
    </row>
    <row r="3485" spans="23:23" ht="26.4">
      <c r="W3485" s="64" ph="1"/>
    </row>
    <row r="3486" spans="23:23" ht="26.4">
      <c r="W3486" s="64" ph="1"/>
    </row>
    <row r="3487" spans="23:23" ht="26.4">
      <c r="W3487" s="64" ph="1"/>
    </row>
    <row r="3488" spans="23:23" ht="26.4">
      <c r="W3488" s="64" ph="1"/>
    </row>
    <row r="3489" spans="23:23" ht="26.4">
      <c r="W3489" s="64" ph="1"/>
    </row>
    <row r="3490" spans="23:23" ht="26.4">
      <c r="W3490" s="64" ph="1"/>
    </row>
    <row r="3491" spans="23:23" ht="26.4">
      <c r="W3491" s="64" ph="1"/>
    </row>
    <row r="3492" spans="23:23" ht="26.4">
      <c r="W3492" s="64" ph="1"/>
    </row>
    <row r="3493" spans="23:23" ht="26.4">
      <c r="W3493" s="64" ph="1"/>
    </row>
    <row r="3494" spans="23:23" ht="26.4">
      <c r="W3494" s="64" ph="1"/>
    </row>
    <row r="3495" spans="23:23" ht="26.4">
      <c r="W3495" s="64" ph="1"/>
    </row>
    <row r="3496" spans="23:23" ht="26.4">
      <c r="W3496" s="64" ph="1"/>
    </row>
    <row r="3497" spans="23:23" ht="26.4">
      <c r="W3497" s="64" ph="1"/>
    </row>
    <row r="3498" spans="23:23" ht="26.4">
      <c r="W3498" s="64" ph="1"/>
    </row>
    <row r="3499" spans="23:23" ht="26.4">
      <c r="W3499" s="64" ph="1"/>
    </row>
    <row r="3500" spans="23:23" ht="26.4">
      <c r="W3500" s="64" ph="1"/>
    </row>
    <row r="3501" spans="23:23" ht="26.4">
      <c r="W3501" s="64" ph="1"/>
    </row>
    <row r="3502" spans="23:23" ht="26.4">
      <c r="W3502" s="64" ph="1"/>
    </row>
    <row r="3503" spans="23:23" ht="26.4">
      <c r="W3503" s="64" ph="1"/>
    </row>
    <row r="3504" spans="23:23" ht="26.4">
      <c r="W3504" s="64" ph="1"/>
    </row>
    <row r="3505" spans="23:23" ht="26.4">
      <c r="W3505" s="64" ph="1"/>
    </row>
    <row r="3506" spans="23:23" ht="26.4">
      <c r="W3506" s="64" ph="1"/>
    </row>
    <row r="3507" spans="23:23" ht="26.4">
      <c r="W3507" s="64" ph="1"/>
    </row>
    <row r="3508" spans="23:23" ht="26.4">
      <c r="W3508" s="64" ph="1"/>
    </row>
    <row r="3509" spans="23:23" ht="26.4">
      <c r="W3509" s="64" ph="1"/>
    </row>
    <row r="3510" spans="23:23" ht="26.4">
      <c r="W3510" s="64" ph="1"/>
    </row>
    <row r="3511" spans="23:23" ht="26.4">
      <c r="W3511" s="64" ph="1"/>
    </row>
    <row r="3512" spans="23:23" ht="26.4">
      <c r="W3512" s="64" ph="1"/>
    </row>
    <row r="3513" spans="23:23" ht="26.4">
      <c r="W3513" s="64" ph="1"/>
    </row>
    <row r="3514" spans="23:23" ht="26.4">
      <c r="W3514" s="64" ph="1"/>
    </row>
    <row r="3515" spans="23:23" ht="26.4">
      <c r="W3515" s="64" ph="1"/>
    </row>
    <row r="3516" spans="23:23" ht="26.4">
      <c r="W3516" s="64" ph="1"/>
    </row>
    <row r="3517" spans="23:23" ht="26.4">
      <c r="W3517" s="64" ph="1"/>
    </row>
    <row r="3518" spans="23:23" ht="26.4">
      <c r="W3518" s="64" ph="1"/>
    </row>
    <row r="3519" spans="23:23" ht="26.4">
      <c r="W3519" s="64" ph="1"/>
    </row>
    <row r="3520" spans="23:23" ht="26.4">
      <c r="W3520" s="64" ph="1"/>
    </row>
    <row r="3521" spans="23:23" ht="26.4">
      <c r="W3521" s="64" ph="1"/>
    </row>
    <row r="3522" spans="23:23" ht="26.4">
      <c r="W3522" s="64" ph="1"/>
    </row>
    <row r="3523" spans="23:23" ht="26.4">
      <c r="W3523" s="64" ph="1"/>
    </row>
    <row r="3524" spans="23:23" ht="26.4">
      <c r="W3524" s="64" ph="1"/>
    </row>
    <row r="3525" spans="23:23" ht="26.4">
      <c r="W3525" s="64" ph="1"/>
    </row>
    <row r="3526" spans="23:23" ht="26.4">
      <c r="W3526" s="64" ph="1"/>
    </row>
    <row r="3527" spans="23:23" ht="26.4">
      <c r="W3527" s="64" ph="1"/>
    </row>
    <row r="3528" spans="23:23" ht="26.4">
      <c r="W3528" s="64" ph="1"/>
    </row>
    <row r="3529" spans="23:23" ht="26.4">
      <c r="W3529" s="64" ph="1"/>
    </row>
    <row r="3530" spans="23:23" ht="26.4">
      <c r="W3530" s="64" ph="1"/>
    </row>
    <row r="3531" spans="23:23" ht="26.4">
      <c r="W3531" s="64" ph="1"/>
    </row>
    <row r="3532" spans="23:23" ht="26.4">
      <c r="W3532" s="64" ph="1"/>
    </row>
    <row r="3533" spans="23:23" ht="26.4">
      <c r="W3533" s="64" ph="1"/>
    </row>
    <row r="3534" spans="23:23" ht="26.4">
      <c r="W3534" s="64" ph="1"/>
    </row>
    <row r="3535" spans="23:23" ht="26.4">
      <c r="W3535" s="64" ph="1"/>
    </row>
    <row r="3536" spans="23:23" ht="26.4">
      <c r="W3536" s="64" ph="1"/>
    </row>
    <row r="3537" spans="23:23" ht="26.4">
      <c r="W3537" s="64" ph="1"/>
    </row>
    <row r="3538" spans="23:23" ht="26.4">
      <c r="W3538" s="64" ph="1"/>
    </row>
    <row r="3539" spans="23:23" ht="26.4">
      <c r="W3539" s="64" ph="1"/>
    </row>
    <row r="3540" spans="23:23" ht="26.4">
      <c r="W3540" s="64" ph="1"/>
    </row>
    <row r="3541" spans="23:23" ht="26.4">
      <c r="W3541" s="64" ph="1"/>
    </row>
    <row r="3542" spans="23:23" ht="26.4">
      <c r="W3542" s="64" ph="1"/>
    </row>
    <row r="3543" spans="23:23" ht="26.4">
      <c r="W3543" s="64" ph="1"/>
    </row>
    <row r="3544" spans="23:23" ht="26.4">
      <c r="W3544" s="64" ph="1"/>
    </row>
    <row r="3545" spans="23:23" ht="26.4">
      <c r="W3545" s="64" ph="1"/>
    </row>
    <row r="3546" spans="23:23" ht="26.4">
      <c r="W3546" s="64" ph="1"/>
    </row>
    <row r="3547" spans="23:23" ht="26.4">
      <c r="W3547" s="64" ph="1"/>
    </row>
    <row r="3548" spans="23:23" ht="26.4">
      <c r="W3548" s="64" ph="1"/>
    </row>
    <row r="3549" spans="23:23" ht="26.4">
      <c r="W3549" s="64" ph="1"/>
    </row>
    <row r="3550" spans="23:23" ht="26.4">
      <c r="W3550" s="64" ph="1"/>
    </row>
    <row r="3551" spans="23:23" ht="26.4">
      <c r="W3551" s="64" ph="1"/>
    </row>
    <row r="3552" spans="23:23" ht="26.4">
      <c r="W3552" s="64" ph="1"/>
    </row>
    <row r="3553" spans="23:23" ht="26.4">
      <c r="W3553" s="64" ph="1"/>
    </row>
    <row r="3554" spans="23:23" ht="26.4">
      <c r="W3554" s="64" ph="1"/>
    </row>
    <row r="3555" spans="23:23" ht="26.4">
      <c r="W3555" s="64" ph="1"/>
    </row>
    <row r="3556" spans="23:23" ht="26.4">
      <c r="W3556" s="64" ph="1"/>
    </row>
    <row r="3557" spans="23:23" ht="26.4">
      <c r="W3557" s="64" ph="1"/>
    </row>
    <row r="3558" spans="23:23" ht="26.4">
      <c r="W3558" s="64" ph="1"/>
    </row>
    <row r="3559" spans="23:23" ht="26.4">
      <c r="W3559" s="64" ph="1"/>
    </row>
    <row r="3560" spans="23:23" ht="26.4">
      <c r="W3560" s="64" ph="1"/>
    </row>
    <row r="3561" spans="23:23" ht="26.4">
      <c r="W3561" s="64" ph="1"/>
    </row>
    <row r="3562" spans="23:23" ht="26.4">
      <c r="W3562" s="64" ph="1"/>
    </row>
    <row r="3563" spans="23:23" ht="26.4">
      <c r="W3563" s="64" ph="1"/>
    </row>
    <row r="3564" spans="23:23" ht="26.4">
      <c r="W3564" s="64" ph="1"/>
    </row>
    <row r="3565" spans="23:23" ht="26.4">
      <c r="W3565" s="64" ph="1"/>
    </row>
    <row r="3566" spans="23:23" ht="26.4">
      <c r="W3566" s="64" ph="1"/>
    </row>
    <row r="3567" spans="23:23" ht="26.4">
      <c r="W3567" s="64" ph="1"/>
    </row>
    <row r="3568" spans="23:23" ht="26.4">
      <c r="W3568" s="64" ph="1"/>
    </row>
    <row r="3569" spans="23:23" ht="26.4">
      <c r="W3569" s="64" ph="1"/>
    </row>
    <row r="3570" spans="23:23" ht="26.4">
      <c r="W3570" s="64" ph="1"/>
    </row>
    <row r="3571" spans="23:23" ht="26.4">
      <c r="W3571" s="64" ph="1"/>
    </row>
    <row r="3572" spans="23:23" ht="26.4">
      <c r="W3572" s="64" ph="1"/>
    </row>
    <row r="3573" spans="23:23" ht="26.4">
      <c r="W3573" s="64" ph="1"/>
    </row>
    <row r="3574" spans="23:23" ht="26.4">
      <c r="W3574" s="64" ph="1"/>
    </row>
    <row r="3575" spans="23:23" ht="26.4">
      <c r="W3575" s="64" ph="1"/>
    </row>
    <row r="3576" spans="23:23" ht="26.4">
      <c r="W3576" s="64" ph="1"/>
    </row>
    <row r="3577" spans="23:23" ht="26.4">
      <c r="W3577" s="64" ph="1"/>
    </row>
    <row r="3578" spans="23:23" ht="26.4">
      <c r="W3578" s="64" ph="1"/>
    </row>
    <row r="3579" spans="23:23" ht="26.4">
      <c r="W3579" s="64" ph="1"/>
    </row>
    <row r="3580" spans="23:23" ht="26.4">
      <c r="W3580" s="64" ph="1"/>
    </row>
    <row r="3581" spans="23:23" ht="26.4">
      <c r="W3581" s="64" ph="1"/>
    </row>
    <row r="3582" spans="23:23" ht="26.4">
      <c r="W3582" s="64" ph="1"/>
    </row>
    <row r="3583" spans="23:23" ht="26.4">
      <c r="W3583" s="64" ph="1"/>
    </row>
    <row r="3584" spans="23:23" ht="26.4">
      <c r="W3584" s="64" ph="1"/>
    </row>
    <row r="3585" spans="23:23" ht="26.4">
      <c r="W3585" s="64" ph="1"/>
    </row>
    <row r="3586" spans="23:23" ht="26.4">
      <c r="W3586" s="64" ph="1"/>
    </row>
    <row r="3587" spans="23:23" ht="26.4">
      <c r="W3587" s="64" ph="1"/>
    </row>
    <row r="3588" spans="23:23" ht="26.4">
      <c r="W3588" s="64" ph="1"/>
    </row>
    <row r="3589" spans="23:23" ht="26.4">
      <c r="W3589" s="64" ph="1"/>
    </row>
    <row r="3590" spans="23:23" ht="26.4">
      <c r="W3590" s="64" ph="1"/>
    </row>
    <row r="3591" spans="23:23" ht="26.4">
      <c r="W3591" s="64" ph="1"/>
    </row>
    <row r="3592" spans="23:23" ht="26.4">
      <c r="W3592" s="64" ph="1"/>
    </row>
    <row r="3593" spans="23:23" ht="26.4">
      <c r="W3593" s="64" ph="1"/>
    </row>
    <row r="3594" spans="23:23" ht="26.4">
      <c r="W3594" s="64" ph="1"/>
    </row>
    <row r="3595" spans="23:23" ht="26.4">
      <c r="W3595" s="64" ph="1"/>
    </row>
    <row r="3596" spans="23:23" ht="26.4">
      <c r="W3596" s="64" ph="1"/>
    </row>
    <row r="3597" spans="23:23" ht="26.4">
      <c r="W3597" s="64" ph="1"/>
    </row>
    <row r="3598" spans="23:23" ht="26.4">
      <c r="W3598" s="64" ph="1"/>
    </row>
    <row r="3599" spans="23:23" ht="26.4">
      <c r="W3599" s="64" ph="1"/>
    </row>
    <row r="3600" spans="23:23" ht="26.4">
      <c r="W3600" s="64" ph="1"/>
    </row>
    <row r="3601" spans="23:23" ht="26.4">
      <c r="W3601" s="64" ph="1"/>
    </row>
    <row r="3602" spans="23:23" ht="26.4">
      <c r="W3602" s="64" ph="1"/>
    </row>
    <row r="3603" spans="23:23" ht="26.4">
      <c r="W3603" s="64" ph="1"/>
    </row>
    <row r="3604" spans="23:23" ht="26.4">
      <c r="W3604" s="64" ph="1"/>
    </row>
    <row r="3605" spans="23:23" ht="26.4">
      <c r="W3605" s="64" ph="1"/>
    </row>
    <row r="3606" spans="23:23" ht="26.4">
      <c r="W3606" s="64" ph="1"/>
    </row>
    <row r="3607" spans="23:23" ht="26.4">
      <c r="W3607" s="64" ph="1"/>
    </row>
    <row r="3608" spans="23:23" ht="26.4">
      <c r="W3608" s="64" ph="1"/>
    </row>
    <row r="3609" spans="23:23" ht="26.4">
      <c r="W3609" s="64" ph="1"/>
    </row>
    <row r="3610" spans="23:23" ht="26.4">
      <c r="W3610" s="64" ph="1"/>
    </row>
    <row r="3611" spans="23:23" ht="26.4">
      <c r="W3611" s="64" ph="1"/>
    </row>
    <row r="3612" spans="23:23" ht="26.4">
      <c r="W3612" s="64" ph="1"/>
    </row>
    <row r="3613" spans="23:23" ht="26.4">
      <c r="W3613" s="64" ph="1"/>
    </row>
    <row r="3614" spans="23:23" ht="26.4">
      <c r="W3614" s="64" ph="1"/>
    </row>
    <row r="3615" spans="23:23" ht="26.4">
      <c r="W3615" s="64" ph="1"/>
    </row>
    <row r="3616" spans="23:23" ht="26.4">
      <c r="W3616" s="64" ph="1"/>
    </row>
    <row r="3617" spans="23:23" ht="26.4">
      <c r="W3617" s="64" ph="1"/>
    </row>
    <row r="3618" spans="23:23" ht="26.4">
      <c r="W3618" s="64" ph="1"/>
    </row>
    <row r="3619" spans="23:23" ht="26.4">
      <c r="W3619" s="64" ph="1"/>
    </row>
    <row r="3620" spans="23:23" ht="26.4">
      <c r="W3620" s="64" ph="1"/>
    </row>
    <row r="3621" spans="23:23" ht="26.4">
      <c r="W3621" s="64" ph="1"/>
    </row>
    <row r="3622" spans="23:23" ht="26.4">
      <c r="W3622" s="64" ph="1"/>
    </row>
    <row r="3623" spans="23:23" ht="26.4">
      <c r="W3623" s="64" ph="1"/>
    </row>
    <row r="3624" spans="23:23" ht="26.4">
      <c r="W3624" s="64" ph="1"/>
    </row>
    <row r="3625" spans="23:23" ht="26.4">
      <c r="W3625" s="64" ph="1"/>
    </row>
    <row r="3626" spans="23:23" ht="26.4">
      <c r="W3626" s="64" ph="1"/>
    </row>
    <row r="3627" spans="23:23" ht="26.4">
      <c r="W3627" s="64" ph="1"/>
    </row>
    <row r="3628" spans="23:23" ht="26.4">
      <c r="W3628" s="64" ph="1"/>
    </row>
    <row r="3629" spans="23:23" ht="26.4">
      <c r="W3629" s="64" ph="1"/>
    </row>
    <row r="3630" spans="23:23" ht="26.4">
      <c r="W3630" s="64" ph="1"/>
    </row>
    <row r="3631" spans="23:23" ht="26.4">
      <c r="W3631" s="64" ph="1"/>
    </row>
    <row r="3632" spans="23:23" ht="26.4">
      <c r="W3632" s="64" ph="1"/>
    </row>
    <row r="3633" spans="23:23" ht="26.4">
      <c r="W3633" s="64" ph="1"/>
    </row>
    <row r="3634" spans="23:23" ht="26.4">
      <c r="W3634" s="64" ph="1"/>
    </row>
    <row r="3635" spans="23:23" ht="26.4">
      <c r="W3635" s="64" ph="1"/>
    </row>
    <row r="3636" spans="23:23" ht="26.4">
      <c r="W3636" s="64" ph="1"/>
    </row>
    <row r="3637" spans="23:23" ht="26.4">
      <c r="W3637" s="64" ph="1"/>
    </row>
    <row r="3638" spans="23:23" ht="26.4">
      <c r="W3638" s="64" ph="1"/>
    </row>
    <row r="3639" spans="23:23" ht="26.4">
      <c r="W3639" s="64" ph="1"/>
    </row>
    <row r="3640" spans="23:23" ht="26.4">
      <c r="W3640" s="64" ph="1"/>
    </row>
    <row r="3641" spans="23:23" ht="26.4">
      <c r="W3641" s="64" ph="1"/>
    </row>
    <row r="3642" spans="23:23" ht="26.4">
      <c r="W3642" s="64" ph="1"/>
    </row>
    <row r="3643" spans="23:23" ht="26.4">
      <c r="W3643" s="64" ph="1"/>
    </row>
    <row r="3644" spans="23:23" ht="26.4">
      <c r="W3644" s="64" ph="1"/>
    </row>
    <row r="3645" spans="23:23" ht="26.4">
      <c r="W3645" s="64" ph="1"/>
    </row>
    <row r="3646" spans="23:23" ht="26.4">
      <c r="W3646" s="64" ph="1"/>
    </row>
    <row r="3647" spans="23:23" ht="26.4">
      <c r="W3647" s="64" ph="1"/>
    </row>
    <row r="3648" spans="23:23" ht="26.4">
      <c r="W3648" s="64" ph="1"/>
    </row>
    <row r="3649" spans="23:23" ht="26.4">
      <c r="W3649" s="64" ph="1"/>
    </row>
    <row r="3650" spans="23:23" ht="26.4">
      <c r="W3650" s="64" ph="1"/>
    </row>
    <row r="3651" spans="23:23" ht="26.4">
      <c r="W3651" s="64" ph="1"/>
    </row>
    <row r="3652" spans="23:23" ht="26.4">
      <c r="W3652" s="64" ph="1"/>
    </row>
    <row r="3653" spans="23:23" ht="26.4">
      <c r="W3653" s="64" ph="1"/>
    </row>
    <row r="3654" spans="23:23" ht="26.4">
      <c r="W3654" s="64" ph="1"/>
    </row>
    <row r="3655" spans="23:23" ht="26.4">
      <c r="W3655" s="64" ph="1"/>
    </row>
    <row r="3656" spans="23:23" ht="26.4">
      <c r="W3656" s="64" ph="1"/>
    </row>
    <row r="3657" spans="23:23" ht="26.4">
      <c r="W3657" s="64" ph="1"/>
    </row>
    <row r="3658" spans="23:23" ht="26.4">
      <c r="W3658" s="64" ph="1"/>
    </row>
    <row r="3659" spans="23:23" ht="26.4">
      <c r="W3659" s="64" ph="1"/>
    </row>
    <row r="3660" spans="23:23" ht="26.4">
      <c r="W3660" s="64" ph="1"/>
    </row>
    <row r="3661" spans="23:23" ht="26.4">
      <c r="W3661" s="64" ph="1"/>
    </row>
    <row r="3662" spans="23:23" ht="26.4">
      <c r="W3662" s="64" ph="1"/>
    </row>
    <row r="3663" spans="23:23" ht="26.4">
      <c r="W3663" s="64" ph="1"/>
    </row>
    <row r="3664" spans="23:23" ht="26.4">
      <c r="W3664" s="64" ph="1"/>
    </row>
    <row r="3665" spans="23:23" ht="26.4">
      <c r="W3665" s="64" ph="1"/>
    </row>
    <row r="3666" spans="23:23" ht="26.4">
      <c r="W3666" s="64" ph="1"/>
    </row>
    <row r="3667" spans="23:23" ht="26.4">
      <c r="W3667" s="64" ph="1"/>
    </row>
    <row r="3668" spans="23:23" ht="26.4">
      <c r="W3668" s="64" ph="1"/>
    </row>
    <row r="3669" spans="23:23" ht="26.4">
      <c r="W3669" s="64" ph="1"/>
    </row>
    <row r="3670" spans="23:23" ht="26.4">
      <c r="W3670" s="64" ph="1"/>
    </row>
    <row r="3671" spans="23:23" ht="26.4">
      <c r="W3671" s="64" ph="1"/>
    </row>
    <row r="3672" spans="23:23" ht="26.4">
      <c r="W3672" s="64" ph="1"/>
    </row>
    <row r="3673" spans="23:23" ht="26.4">
      <c r="W3673" s="64" ph="1"/>
    </row>
    <row r="3674" spans="23:23" ht="26.4">
      <c r="W3674" s="64" ph="1"/>
    </row>
    <row r="3675" spans="23:23" ht="26.4">
      <c r="W3675" s="64" ph="1"/>
    </row>
    <row r="3676" spans="23:23" ht="26.4">
      <c r="W3676" s="64" ph="1"/>
    </row>
    <row r="3677" spans="23:23" ht="26.4">
      <c r="W3677" s="64" ph="1"/>
    </row>
    <row r="3678" spans="23:23" ht="26.4">
      <c r="W3678" s="64" ph="1"/>
    </row>
    <row r="3679" spans="23:23" ht="26.4">
      <c r="W3679" s="64" ph="1"/>
    </row>
    <row r="3680" spans="23:23" ht="26.4">
      <c r="W3680" s="64" ph="1"/>
    </row>
    <row r="3681" spans="23:23" ht="26.4">
      <c r="W3681" s="64" ph="1"/>
    </row>
    <row r="3682" spans="23:23" ht="26.4">
      <c r="W3682" s="64" ph="1"/>
    </row>
    <row r="3683" spans="23:23" ht="26.4">
      <c r="W3683" s="64" ph="1"/>
    </row>
    <row r="3684" spans="23:23" ht="26.4">
      <c r="W3684" s="64" ph="1"/>
    </row>
    <row r="3685" spans="23:23" ht="26.4">
      <c r="W3685" s="64" ph="1"/>
    </row>
    <row r="3686" spans="23:23" ht="26.4">
      <c r="W3686" s="64" ph="1"/>
    </row>
    <row r="3687" spans="23:23" ht="26.4">
      <c r="W3687" s="64" ph="1"/>
    </row>
    <row r="3688" spans="23:23" ht="26.4">
      <c r="W3688" s="64" ph="1"/>
    </row>
    <row r="3689" spans="23:23" ht="26.4">
      <c r="W3689" s="64" ph="1"/>
    </row>
    <row r="3690" spans="23:23" ht="26.4">
      <c r="W3690" s="64" ph="1"/>
    </row>
    <row r="3691" spans="23:23" ht="26.4">
      <c r="W3691" s="64" ph="1"/>
    </row>
    <row r="3692" spans="23:23" ht="26.4">
      <c r="W3692" s="64" ph="1"/>
    </row>
    <row r="3693" spans="23:23" ht="26.4">
      <c r="W3693" s="64" ph="1"/>
    </row>
    <row r="3694" spans="23:23" ht="26.4">
      <c r="W3694" s="64" ph="1"/>
    </row>
    <row r="3695" spans="23:23" ht="26.4">
      <c r="W3695" s="64" ph="1"/>
    </row>
    <row r="3696" spans="23:23" ht="26.4">
      <c r="W3696" s="64" ph="1"/>
    </row>
    <row r="3697" spans="23:23" ht="26.4">
      <c r="W3697" s="64" ph="1"/>
    </row>
    <row r="3698" spans="23:23" ht="26.4">
      <c r="W3698" s="64" ph="1"/>
    </row>
    <row r="3699" spans="23:23" ht="26.4">
      <c r="W3699" s="64" ph="1"/>
    </row>
    <row r="3700" spans="23:23" ht="26.4">
      <c r="W3700" s="64" ph="1"/>
    </row>
    <row r="3701" spans="23:23" ht="26.4">
      <c r="W3701" s="64" ph="1"/>
    </row>
    <row r="3702" spans="23:23" ht="26.4">
      <c r="W3702" s="64" ph="1"/>
    </row>
    <row r="3703" spans="23:23" ht="26.4">
      <c r="W3703" s="64" ph="1"/>
    </row>
    <row r="3704" spans="23:23" ht="26.4">
      <c r="W3704" s="64" ph="1"/>
    </row>
    <row r="3705" spans="23:23" ht="26.4">
      <c r="W3705" s="64" ph="1"/>
    </row>
    <row r="3706" spans="23:23" ht="26.4">
      <c r="W3706" s="64" ph="1"/>
    </row>
    <row r="3707" spans="23:23" ht="26.4">
      <c r="W3707" s="64" ph="1"/>
    </row>
    <row r="3708" spans="23:23" ht="26.4">
      <c r="W3708" s="64" ph="1"/>
    </row>
    <row r="3709" spans="23:23" ht="26.4">
      <c r="W3709" s="64" ph="1"/>
    </row>
    <row r="3710" spans="23:23" ht="26.4">
      <c r="W3710" s="64" ph="1"/>
    </row>
    <row r="3711" spans="23:23" ht="26.4">
      <c r="W3711" s="64" ph="1"/>
    </row>
    <row r="3712" spans="23:23" ht="26.4">
      <c r="W3712" s="64" ph="1"/>
    </row>
    <row r="3713" spans="23:23" ht="26.4">
      <c r="W3713" s="64" ph="1"/>
    </row>
    <row r="3714" spans="23:23" ht="26.4">
      <c r="W3714" s="64" ph="1"/>
    </row>
    <row r="3715" spans="23:23" ht="26.4">
      <c r="W3715" s="64" ph="1"/>
    </row>
    <row r="3716" spans="23:23" ht="26.4">
      <c r="W3716" s="64" ph="1"/>
    </row>
    <row r="3717" spans="23:23" ht="26.4">
      <c r="W3717" s="64" ph="1"/>
    </row>
    <row r="3718" spans="23:23" ht="26.4">
      <c r="W3718" s="64" ph="1"/>
    </row>
    <row r="3719" spans="23:23" ht="26.4">
      <c r="W3719" s="64" ph="1"/>
    </row>
    <row r="3720" spans="23:23" ht="26.4">
      <c r="W3720" s="64" ph="1"/>
    </row>
    <row r="3721" spans="23:23" ht="26.4">
      <c r="W3721" s="64" ph="1"/>
    </row>
    <row r="3722" spans="23:23" ht="26.4">
      <c r="W3722" s="64" ph="1"/>
    </row>
    <row r="3723" spans="23:23" ht="26.4">
      <c r="W3723" s="64" ph="1"/>
    </row>
    <row r="3724" spans="23:23" ht="26.4">
      <c r="W3724" s="64" ph="1"/>
    </row>
    <row r="3725" spans="23:23" ht="26.4">
      <c r="W3725" s="64" ph="1"/>
    </row>
    <row r="3726" spans="23:23" ht="26.4">
      <c r="W3726" s="64" ph="1"/>
    </row>
    <row r="3727" spans="23:23" ht="26.4">
      <c r="W3727" s="64" ph="1"/>
    </row>
    <row r="3728" spans="23:23" ht="26.4">
      <c r="W3728" s="64" ph="1"/>
    </row>
    <row r="3729" spans="23:23" ht="26.4">
      <c r="W3729" s="64" ph="1"/>
    </row>
    <row r="3730" spans="23:23" ht="26.4">
      <c r="W3730" s="64" ph="1"/>
    </row>
    <row r="3731" spans="23:23" ht="26.4">
      <c r="W3731" s="64" ph="1"/>
    </row>
    <row r="3732" spans="23:23" ht="26.4">
      <c r="W3732" s="64" ph="1"/>
    </row>
    <row r="3733" spans="23:23" ht="26.4">
      <c r="W3733" s="64" ph="1"/>
    </row>
    <row r="3734" spans="23:23" ht="26.4">
      <c r="W3734" s="64" ph="1"/>
    </row>
    <row r="3735" spans="23:23" ht="26.4">
      <c r="W3735" s="64" ph="1"/>
    </row>
    <row r="3736" spans="23:23" ht="26.4">
      <c r="W3736" s="64" ph="1"/>
    </row>
    <row r="3737" spans="23:23" ht="26.4">
      <c r="W3737" s="64" ph="1"/>
    </row>
    <row r="3738" spans="23:23" ht="26.4">
      <c r="W3738" s="64" ph="1"/>
    </row>
    <row r="3739" spans="23:23" ht="26.4">
      <c r="W3739" s="64" ph="1"/>
    </row>
    <row r="3740" spans="23:23" ht="26.4">
      <c r="W3740" s="64" ph="1"/>
    </row>
    <row r="3741" spans="23:23" ht="26.4">
      <c r="W3741" s="64" ph="1"/>
    </row>
    <row r="3742" spans="23:23" ht="26.4">
      <c r="W3742" s="64" ph="1"/>
    </row>
    <row r="3743" spans="23:23" ht="26.4">
      <c r="W3743" s="64" ph="1"/>
    </row>
    <row r="3744" spans="23:23" ht="26.4">
      <c r="W3744" s="64" ph="1"/>
    </row>
    <row r="3745" spans="23:23" ht="26.4">
      <c r="W3745" s="64" ph="1"/>
    </row>
    <row r="3746" spans="23:23" ht="26.4">
      <c r="W3746" s="64" ph="1"/>
    </row>
    <row r="3747" spans="23:23" ht="26.4">
      <c r="W3747" s="64" ph="1"/>
    </row>
    <row r="3748" spans="23:23" ht="26.4">
      <c r="W3748" s="64" ph="1"/>
    </row>
    <row r="3749" spans="23:23" ht="26.4">
      <c r="W3749" s="64" ph="1"/>
    </row>
    <row r="3750" spans="23:23" ht="26.4">
      <c r="W3750" s="64" ph="1"/>
    </row>
    <row r="3751" spans="23:23" ht="26.4">
      <c r="W3751" s="64" ph="1"/>
    </row>
    <row r="3752" spans="23:23" ht="26.4">
      <c r="W3752" s="64" ph="1"/>
    </row>
    <row r="3753" spans="23:23" ht="26.4">
      <c r="W3753" s="64" ph="1"/>
    </row>
    <row r="3754" spans="23:23" ht="26.4">
      <c r="W3754" s="64" ph="1"/>
    </row>
    <row r="3755" spans="23:23" ht="26.4">
      <c r="W3755" s="64" ph="1"/>
    </row>
    <row r="3756" spans="23:23" ht="26.4">
      <c r="W3756" s="64" ph="1"/>
    </row>
    <row r="3757" spans="23:23" ht="26.4">
      <c r="W3757" s="64" ph="1"/>
    </row>
    <row r="3758" spans="23:23" ht="26.4">
      <c r="W3758" s="64" ph="1"/>
    </row>
    <row r="3759" spans="23:23" ht="26.4">
      <c r="W3759" s="64" ph="1"/>
    </row>
    <row r="3760" spans="23:23" ht="26.4">
      <c r="W3760" s="64" ph="1"/>
    </row>
    <row r="3761" spans="23:23" ht="26.4">
      <c r="W3761" s="64" ph="1"/>
    </row>
    <row r="3762" spans="23:23" ht="26.4">
      <c r="W3762" s="64" ph="1"/>
    </row>
    <row r="3763" spans="23:23" ht="26.4">
      <c r="W3763" s="64" ph="1"/>
    </row>
    <row r="3764" spans="23:23" ht="26.4">
      <c r="W3764" s="64" ph="1"/>
    </row>
    <row r="3765" spans="23:23" ht="26.4">
      <c r="W3765" s="64" ph="1"/>
    </row>
    <row r="3766" spans="23:23" ht="26.4">
      <c r="W3766" s="64" ph="1"/>
    </row>
    <row r="3767" spans="23:23" ht="26.4">
      <c r="W3767" s="64" ph="1"/>
    </row>
    <row r="3768" spans="23:23" ht="26.4">
      <c r="W3768" s="64" ph="1"/>
    </row>
    <row r="3769" spans="23:23" ht="26.4">
      <c r="W3769" s="64" ph="1"/>
    </row>
    <row r="3770" spans="23:23" ht="26.4">
      <c r="W3770" s="64" ph="1"/>
    </row>
    <row r="3771" spans="23:23" ht="26.4">
      <c r="W3771" s="64" ph="1"/>
    </row>
    <row r="3772" spans="23:23" ht="26.4">
      <c r="W3772" s="64" ph="1"/>
    </row>
    <row r="3773" spans="23:23" ht="26.4">
      <c r="W3773" s="64" ph="1"/>
    </row>
    <row r="3774" spans="23:23" ht="26.4">
      <c r="W3774" s="64" ph="1"/>
    </row>
    <row r="3775" spans="23:23" ht="26.4">
      <c r="W3775" s="64" ph="1"/>
    </row>
    <row r="3776" spans="23:23" ht="26.4">
      <c r="W3776" s="64" ph="1"/>
    </row>
    <row r="3777" spans="23:23" ht="26.4">
      <c r="W3777" s="64" ph="1"/>
    </row>
    <row r="3778" spans="23:23" ht="26.4">
      <c r="W3778" s="64" ph="1"/>
    </row>
    <row r="3779" spans="23:23" ht="26.4">
      <c r="W3779" s="64" ph="1"/>
    </row>
    <row r="3780" spans="23:23" ht="26.4">
      <c r="W3780" s="64" ph="1"/>
    </row>
    <row r="3781" spans="23:23" ht="26.4">
      <c r="W3781" s="64" ph="1"/>
    </row>
    <row r="3782" spans="23:23" ht="26.4">
      <c r="W3782" s="64" ph="1"/>
    </row>
    <row r="3783" spans="23:23" ht="26.4">
      <c r="W3783" s="64" ph="1"/>
    </row>
    <row r="3784" spans="23:23" ht="26.4">
      <c r="W3784" s="64" ph="1"/>
    </row>
    <row r="3785" spans="23:23" ht="26.4">
      <c r="W3785" s="64" ph="1"/>
    </row>
    <row r="3786" spans="23:23" ht="26.4">
      <c r="W3786" s="64" ph="1"/>
    </row>
    <row r="3787" spans="23:23" ht="26.4">
      <c r="W3787" s="64" ph="1"/>
    </row>
    <row r="3788" spans="23:23" ht="26.4">
      <c r="W3788" s="64" ph="1"/>
    </row>
    <row r="3789" spans="23:23" ht="26.4">
      <c r="W3789" s="64" ph="1"/>
    </row>
    <row r="3790" spans="23:23" ht="26.4">
      <c r="W3790" s="64" ph="1"/>
    </row>
    <row r="3791" spans="23:23" ht="26.4">
      <c r="W3791" s="64" ph="1"/>
    </row>
    <row r="3792" spans="23:23" ht="26.4">
      <c r="W3792" s="64" ph="1"/>
    </row>
    <row r="3793" spans="23:23" ht="26.4">
      <c r="W3793" s="64" ph="1"/>
    </row>
    <row r="3794" spans="23:23" ht="26.4">
      <c r="W3794" s="64" ph="1"/>
    </row>
    <row r="3795" spans="23:23" ht="26.4">
      <c r="W3795" s="64" ph="1"/>
    </row>
    <row r="3796" spans="23:23" ht="26.4">
      <c r="W3796" s="64" ph="1"/>
    </row>
    <row r="3797" spans="23:23" ht="26.4">
      <c r="W3797" s="64" ph="1"/>
    </row>
    <row r="3798" spans="23:23" ht="26.4">
      <c r="W3798" s="64" ph="1"/>
    </row>
    <row r="3799" spans="23:23" ht="26.4">
      <c r="W3799" s="64" ph="1"/>
    </row>
    <row r="3800" spans="23:23" ht="26.4">
      <c r="W3800" s="64" ph="1"/>
    </row>
    <row r="3801" spans="23:23" ht="26.4">
      <c r="W3801" s="64" ph="1"/>
    </row>
    <row r="3802" spans="23:23" ht="26.4">
      <c r="W3802" s="64" ph="1"/>
    </row>
    <row r="3803" spans="23:23" ht="26.4">
      <c r="W3803" s="64" ph="1"/>
    </row>
    <row r="3804" spans="23:23" ht="26.4">
      <c r="W3804" s="64" ph="1"/>
    </row>
    <row r="3805" spans="23:23" ht="26.4">
      <c r="W3805" s="64" ph="1"/>
    </row>
    <row r="3806" spans="23:23" ht="26.4">
      <c r="W3806" s="64" ph="1"/>
    </row>
    <row r="3807" spans="23:23" ht="26.4">
      <c r="W3807" s="64" ph="1"/>
    </row>
    <row r="3808" spans="23:23" ht="26.4">
      <c r="W3808" s="64" ph="1"/>
    </row>
    <row r="3809" spans="23:23" ht="26.4">
      <c r="W3809" s="64" ph="1"/>
    </row>
    <row r="3810" spans="23:23" ht="26.4">
      <c r="W3810" s="64" ph="1"/>
    </row>
    <row r="3811" spans="23:23" ht="26.4">
      <c r="W3811" s="64" ph="1"/>
    </row>
    <row r="3812" spans="23:23" ht="26.4">
      <c r="W3812" s="64" ph="1"/>
    </row>
    <row r="3813" spans="23:23" ht="26.4">
      <c r="W3813" s="64" ph="1"/>
    </row>
    <row r="3814" spans="23:23" ht="26.4">
      <c r="W3814" s="64" ph="1"/>
    </row>
    <row r="3815" spans="23:23" ht="26.4">
      <c r="W3815" s="64" ph="1"/>
    </row>
    <row r="3816" spans="23:23" ht="26.4">
      <c r="W3816" s="64" ph="1"/>
    </row>
    <row r="3817" spans="23:23" ht="26.4">
      <c r="W3817" s="64" ph="1"/>
    </row>
    <row r="3818" spans="23:23" ht="26.4">
      <c r="W3818" s="64" ph="1"/>
    </row>
    <row r="3819" spans="23:23" ht="26.4">
      <c r="W3819" s="64" ph="1"/>
    </row>
    <row r="3820" spans="23:23" ht="26.4">
      <c r="W3820" s="64" ph="1"/>
    </row>
    <row r="3821" spans="23:23" ht="26.4">
      <c r="W3821" s="64" ph="1"/>
    </row>
    <row r="3822" spans="23:23" ht="26.4">
      <c r="W3822" s="64" ph="1"/>
    </row>
    <row r="3823" spans="23:23" ht="26.4">
      <c r="W3823" s="64" ph="1"/>
    </row>
    <row r="3824" spans="23:23" ht="26.4">
      <c r="W3824" s="64" ph="1"/>
    </row>
    <row r="3825" spans="23:23" ht="26.4">
      <c r="W3825" s="64" ph="1"/>
    </row>
    <row r="3826" spans="23:23" ht="26.4">
      <c r="W3826" s="64" ph="1"/>
    </row>
    <row r="3827" spans="23:23" ht="26.4">
      <c r="W3827" s="64" ph="1"/>
    </row>
    <row r="3828" spans="23:23" ht="26.4">
      <c r="W3828" s="64" ph="1"/>
    </row>
    <row r="3829" spans="23:23" ht="26.4">
      <c r="W3829" s="64" ph="1"/>
    </row>
    <row r="3830" spans="23:23" ht="26.4">
      <c r="W3830" s="64" ph="1"/>
    </row>
    <row r="3831" spans="23:23" ht="26.4">
      <c r="W3831" s="64" ph="1"/>
    </row>
    <row r="3832" spans="23:23" ht="26.4">
      <c r="W3832" s="64" ph="1"/>
    </row>
    <row r="3833" spans="23:23" ht="26.4">
      <c r="W3833" s="64" ph="1"/>
    </row>
    <row r="3834" spans="23:23" ht="26.4">
      <c r="W3834" s="64" ph="1"/>
    </row>
    <row r="3835" spans="23:23" ht="26.4">
      <c r="W3835" s="64" ph="1"/>
    </row>
    <row r="3836" spans="23:23" ht="26.4">
      <c r="W3836" s="64" ph="1"/>
    </row>
    <row r="3837" spans="23:23" ht="26.4">
      <c r="W3837" s="64" ph="1"/>
    </row>
    <row r="3838" spans="23:23" ht="26.4">
      <c r="W3838" s="64" ph="1"/>
    </row>
    <row r="3839" spans="23:23" ht="26.4">
      <c r="W3839" s="64" ph="1"/>
    </row>
    <row r="3840" spans="23:23" ht="26.4">
      <c r="W3840" s="64" ph="1"/>
    </row>
    <row r="3841" spans="23:23" ht="26.4">
      <c r="W3841" s="64" ph="1"/>
    </row>
    <row r="3842" spans="23:23" ht="26.4">
      <c r="W3842" s="64" ph="1"/>
    </row>
    <row r="3843" spans="23:23" ht="26.4">
      <c r="W3843" s="64" ph="1"/>
    </row>
    <row r="3844" spans="23:23" ht="26.4">
      <c r="W3844" s="64" ph="1"/>
    </row>
    <row r="3845" spans="23:23" ht="26.4">
      <c r="W3845" s="64" ph="1"/>
    </row>
    <row r="3846" spans="23:23" ht="26.4">
      <c r="W3846" s="64" ph="1"/>
    </row>
    <row r="3847" spans="23:23" ht="26.4">
      <c r="W3847" s="64" ph="1"/>
    </row>
    <row r="3848" spans="23:23" ht="26.4">
      <c r="W3848" s="64" ph="1"/>
    </row>
    <row r="3849" spans="23:23" ht="26.4">
      <c r="W3849" s="64" ph="1"/>
    </row>
    <row r="3850" spans="23:23" ht="26.4">
      <c r="W3850" s="64" ph="1"/>
    </row>
    <row r="3851" spans="23:23" ht="26.4">
      <c r="W3851" s="64" ph="1"/>
    </row>
    <row r="3852" spans="23:23" ht="26.4">
      <c r="W3852" s="64" ph="1"/>
    </row>
    <row r="3853" spans="23:23" ht="26.4">
      <c r="W3853" s="64" ph="1"/>
    </row>
    <row r="3854" spans="23:23" ht="26.4">
      <c r="W3854" s="64" ph="1"/>
    </row>
    <row r="3855" spans="23:23" ht="26.4">
      <c r="W3855" s="64" ph="1"/>
    </row>
    <row r="3856" spans="23:23" ht="26.4">
      <c r="W3856" s="64" ph="1"/>
    </row>
    <row r="3857" spans="23:23" ht="26.4">
      <c r="W3857" s="64" ph="1"/>
    </row>
    <row r="3858" spans="23:23" ht="26.4">
      <c r="W3858" s="64" ph="1"/>
    </row>
    <row r="3859" spans="23:23" ht="26.4">
      <c r="W3859" s="64" ph="1"/>
    </row>
    <row r="3860" spans="23:23" ht="26.4">
      <c r="W3860" s="64" ph="1"/>
    </row>
    <row r="3861" spans="23:23" ht="26.4">
      <c r="W3861" s="64" ph="1"/>
    </row>
    <row r="3862" spans="23:23" ht="26.4">
      <c r="W3862" s="64" ph="1"/>
    </row>
    <row r="3863" spans="23:23" ht="26.4">
      <c r="W3863" s="64" ph="1"/>
    </row>
    <row r="3864" spans="23:23" ht="26.4">
      <c r="W3864" s="64" ph="1"/>
    </row>
    <row r="3865" spans="23:23" ht="26.4">
      <c r="W3865" s="64" ph="1"/>
    </row>
    <row r="3866" spans="23:23" ht="26.4">
      <c r="W3866" s="64" ph="1"/>
    </row>
    <row r="3867" spans="23:23" ht="26.4">
      <c r="W3867" s="64" ph="1"/>
    </row>
    <row r="3868" spans="23:23" ht="26.4">
      <c r="W3868" s="64" ph="1"/>
    </row>
    <row r="3869" spans="23:23" ht="26.4">
      <c r="W3869" s="64" ph="1"/>
    </row>
    <row r="3870" spans="23:23" ht="26.4">
      <c r="W3870" s="64" ph="1"/>
    </row>
    <row r="3871" spans="23:23" ht="26.4">
      <c r="W3871" s="64" ph="1"/>
    </row>
    <row r="3872" spans="23:23" ht="26.4">
      <c r="W3872" s="64" ph="1"/>
    </row>
    <row r="3873" spans="23:23" ht="26.4">
      <c r="W3873" s="64" ph="1"/>
    </row>
    <row r="3874" spans="23:23" ht="26.4">
      <c r="W3874" s="64" ph="1"/>
    </row>
    <row r="3875" spans="23:23" ht="26.4">
      <c r="W3875" s="64" ph="1"/>
    </row>
    <row r="3876" spans="23:23" ht="26.4">
      <c r="W3876" s="64" ph="1"/>
    </row>
    <row r="3877" spans="23:23" ht="26.4">
      <c r="W3877" s="64" ph="1"/>
    </row>
    <row r="3878" spans="23:23" ht="26.4">
      <c r="W3878" s="64" ph="1"/>
    </row>
    <row r="3879" spans="23:23" ht="26.4">
      <c r="W3879" s="64" ph="1"/>
    </row>
    <row r="3880" spans="23:23" ht="26.4">
      <c r="W3880" s="64" ph="1"/>
    </row>
    <row r="3881" spans="23:23" ht="26.4">
      <c r="W3881" s="64" ph="1"/>
    </row>
    <row r="3882" spans="23:23" ht="26.4">
      <c r="W3882" s="64" ph="1"/>
    </row>
    <row r="3883" spans="23:23" ht="26.4">
      <c r="W3883" s="64" ph="1"/>
    </row>
    <row r="3884" spans="23:23" ht="26.4">
      <c r="W3884" s="64" ph="1"/>
    </row>
    <row r="3885" spans="23:23" ht="26.4">
      <c r="W3885" s="64" ph="1"/>
    </row>
    <row r="3886" spans="23:23" ht="26.4">
      <c r="W3886" s="64" ph="1"/>
    </row>
    <row r="3887" spans="23:23" ht="26.4">
      <c r="W3887" s="64" ph="1"/>
    </row>
    <row r="3888" spans="23:23" ht="26.4">
      <c r="W3888" s="64" ph="1"/>
    </row>
    <row r="3889" spans="23:23" ht="26.4">
      <c r="W3889" s="64" ph="1"/>
    </row>
    <row r="3890" spans="23:23" ht="26.4">
      <c r="W3890" s="64" ph="1"/>
    </row>
    <row r="3891" spans="23:23" ht="26.4">
      <c r="W3891" s="64" ph="1"/>
    </row>
    <row r="3892" spans="23:23" ht="26.4">
      <c r="W3892" s="64" ph="1"/>
    </row>
    <row r="3893" spans="23:23" ht="26.4">
      <c r="W3893" s="64" ph="1"/>
    </row>
    <row r="3894" spans="23:23" ht="26.4">
      <c r="W3894" s="64" ph="1"/>
    </row>
    <row r="3895" spans="23:23" ht="26.4">
      <c r="W3895" s="64" ph="1"/>
    </row>
    <row r="3896" spans="23:23" ht="26.4">
      <c r="W3896" s="64" ph="1"/>
    </row>
    <row r="3897" spans="23:23" ht="26.4">
      <c r="W3897" s="64" ph="1"/>
    </row>
    <row r="3898" spans="23:23" ht="26.4">
      <c r="W3898" s="64" ph="1"/>
    </row>
    <row r="3899" spans="23:23" ht="26.4">
      <c r="W3899" s="64" ph="1"/>
    </row>
    <row r="3900" spans="23:23" ht="26.4">
      <c r="W3900" s="64" ph="1"/>
    </row>
    <row r="3901" spans="23:23" ht="26.4">
      <c r="W3901" s="64" ph="1"/>
    </row>
    <row r="3902" spans="23:23" ht="26.4">
      <c r="W3902" s="64" ph="1"/>
    </row>
    <row r="3903" spans="23:23" ht="26.4">
      <c r="W3903" s="64" ph="1"/>
    </row>
    <row r="3904" spans="23:23" ht="26.4">
      <c r="W3904" s="64" ph="1"/>
    </row>
    <row r="3905" spans="23:23" ht="26.4">
      <c r="W3905" s="64" ph="1"/>
    </row>
    <row r="3906" spans="23:23" ht="26.4">
      <c r="W3906" s="64" ph="1"/>
    </row>
    <row r="3907" spans="23:23" ht="26.4">
      <c r="W3907" s="64" ph="1"/>
    </row>
    <row r="3908" spans="23:23" ht="26.4">
      <c r="W3908" s="64" ph="1"/>
    </row>
    <row r="3909" spans="23:23" ht="26.4">
      <c r="W3909" s="64" ph="1"/>
    </row>
    <row r="3910" spans="23:23" ht="26.4">
      <c r="W3910" s="64" ph="1"/>
    </row>
    <row r="3911" spans="23:23" ht="26.4">
      <c r="W3911" s="64" ph="1"/>
    </row>
    <row r="3912" spans="23:23" ht="26.4">
      <c r="W3912" s="64" ph="1"/>
    </row>
    <row r="3913" spans="23:23" ht="26.4">
      <c r="W3913" s="64" ph="1"/>
    </row>
    <row r="3914" spans="23:23" ht="26.4">
      <c r="W3914" s="64" ph="1"/>
    </row>
    <row r="3915" spans="23:23" ht="26.4">
      <c r="W3915" s="64" ph="1"/>
    </row>
    <row r="3916" spans="23:23" ht="26.4">
      <c r="W3916" s="64" ph="1"/>
    </row>
    <row r="3917" spans="23:23" ht="26.4">
      <c r="W3917" s="64" ph="1"/>
    </row>
    <row r="3918" spans="23:23" ht="26.4">
      <c r="W3918" s="64" ph="1"/>
    </row>
    <row r="3919" spans="23:23" ht="26.4">
      <c r="W3919" s="64" ph="1"/>
    </row>
    <row r="3920" spans="23:23" ht="26.4">
      <c r="W3920" s="64" ph="1"/>
    </row>
    <row r="3921" spans="23:23" ht="26.4">
      <c r="W3921" s="64" ph="1"/>
    </row>
    <row r="3922" spans="23:23" ht="26.4">
      <c r="W3922" s="64" ph="1"/>
    </row>
    <row r="3923" spans="23:23" ht="26.4">
      <c r="W3923" s="64" ph="1"/>
    </row>
    <row r="3924" spans="23:23" ht="26.4">
      <c r="W3924" s="64" ph="1"/>
    </row>
    <row r="3925" spans="23:23" ht="26.4">
      <c r="W3925" s="64" ph="1"/>
    </row>
    <row r="3926" spans="23:23" ht="26.4">
      <c r="W3926" s="64" ph="1"/>
    </row>
    <row r="3927" spans="23:23" ht="26.4">
      <c r="W3927" s="64" ph="1"/>
    </row>
    <row r="3928" spans="23:23" ht="26.4">
      <c r="W3928" s="64" ph="1"/>
    </row>
    <row r="3929" spans="23:23" ht="26.4">
      <c r="W3929" s="64" ph="1"/>
    </row>
    <row r="3930" spans="23:23" ht="26.4">
      <c r="W3930" s="64" ph="1"/>
    </row>
    <row r="3931" spans="23:23" ht="26.4">
      <c r="W3931" s="64" ph="1"/>
    </row>
    <row r="3932" spans="23:23" ht="26.4">
      <c r="W3932" s="64" ph="1"/>
    </row>
    <row r="3933" spans="23:23" ht="26.4">
      <c r="W3933" s="64" ph="1"/>
    </row>
    <row r="3934" spans="23:23" ht="26.4">
      <c r="W3934" s="64" ph="1"/>
    </row>
    <row r="3935" spans="23:23" ht="26.4">
      <c r="W3935" s="64" ph="1"/>
    </row>
    <row r="3936" spans="23:23" ht="26.4">
      <c r="W3936" s="64" ph="1"/>
    </row>
    <row r="3937" spans="23:23" ht="26.4">
      <c r="W3937" s="64" ph="1"/>
    </row>
    <row r="3938" spans="23:23" ht="26.4">
      <c r="W3938" s="64" ph="1"/>
    </row>
    <row r="3939" spans="23:23" ht="26.4">
      <c r="W3939" s="64" ph="1"/>
    </row>
    <row r="3940" spans="23:23" ht="26.4">
      <c r="W3940" s="64" ph="1"/>
    </row>
    <row r="3941" spans="23:23" ht="26.4">
      <c r="W3941" s="64" ph="1"/>
    </row>
    <row r="3942" spans="23:23" ht="26.4">
      <c r="W3942" s="64" ph="1"/>
    </row>
    <row r="3943" spans="23:23" ht="26.4">
      <c r="W3943" s="64" ph="1"/>
    </row>
    <row r="3944" spans="23:23" ht="26.4">
      <c r="W3944" s="64" ph="1"/>
    </row>
    <row r="3945" spans="23:23" ht="26.4">
      <c r="W3945" s="64" ph="1"/>
    </row>
    <row r="3946" spans="23:23" ht="26.4">
      <c r="W3946" s="64" ph="1"/>
    </row>
    <row r="3947" spans="23:23" ht="26.4">
      <c r="W3947" s="64" ph="1"/>
    </row>
    <row r="3948" spans="23:23" ht="26.4">
      <c r="W3948" s="64" ph="1"/>
    </row>
    <row r="3949" spans="23:23" ht="26.4">
      <c r="W3949" s="64" ph="1"/>
    </row>
    <row r="3950" spans="23:23" ht="26.4">
      <c r="W3950" s="64" ph="1"/>
    </row>
    <row r="3951" spans="23:23" ht="26.4">
      <c r="W3951" s="64" ph="1"/>
    </row>
    <row r="3952" spans="23:23" ht="26.4">
      <c r="W3952" s="64" ph="1"/>
    </row>
    <row r="3953" spans="23:23" ht="26.4">
      <c r="W3953" s="64" ph="1"/>
    </row>
    <row r="3954" spans="23:23" ht="26.4">
      <c r="W3954" s="64" ph="1"/>
    </row>
    <row r="3955" spans="23:23" ht="26.4">
      <c r="W3955" s="64" ph="1"/>
    </row>
    <row r="3956" spans="23:23" ht="26.4">
      <c r="W3956" s="64" ph="1"/>
    </row>
    <row r="3957" spans="23:23" ht="26.4">
      <c r="W3957" s="64" ph="1"/>
    </row>
    <row r="3958" spans="23:23" ht="26.4">
      <c r="W3958" s="64" ph="1"/>
    </row>
    <row r="3959" spans="23:23" ht="26.4">
      <c r="W3959" s="64" ph="1"/>
    </row>
    <row r="3960" spans="23:23" ht="26.4">
      <c r="W3960" s="64" ph="1"/>
    </row>
    <row r="3961" spans="23:23" ht="26.4">
      <c r="W3961" s="64" ph="1"/>
    </row>
    <row r="3962" spans="23:23" ht="26.4">
      <c r="W3962" s="64" ph="1"/>
    </row>
    <row r="3963" spans="23:23" ht="26.4">
      <c r="W3963" s="64" ph="1"/>
    </row>
    <row r="3964" spans="23:23" ht="26.4">
      <c r="W3964" s="64" ph="1"/>
    </row>
    <row r="3965" spans="23:23" ht="26.4">
      <c r="W3965" s="64" ph="1"/>
    </row>
    <row r="3966" spans="23:23" ht="26.4">
      <c r="W3966" s="64" ph="1"/>
    </row>
    <row r="3967" spans="23:23" ht="26.4">
      <c r="W3967" s="64" ph="1"/>
    </row>
    <row r="3968" spans="23:23" ht="26.4">
      <c r="W3968" s="64" ph="1"/>
    </row>
    <row r="3969" spans="23:23" ht="26.4">
      <c r="W3969" s="64" ph="1"/>
    </row>
    <row r="3970" spans="23:23" ht="26.4">
      <c r="W3970" s="64" ph="1"/>
    </row>
    <row r="3971" spans="23:23" ht="26.4">
      <c r="W3971" s="64" ph="1"/>
    </row>
    <row r="3972" spans="23:23" ht="26.4">
      <c r="W3972" s="64" ph="1"/>
    </row>
    <row r="3973" spans="23:23" ht="26.4">
      <c r="W3973" s="64" ph="1"/>
    </row>
    <row r="3974" spans="23:23" ht="26.4">
      <c r="W3974" s="64" ph="1"/>
    </row>
    <row r="3975" spans="23:23" ht="26.4">
      <c r="W3975" s="64" ph="1"/>
    </row>
    <row r="3976" spans="23:23" ht="26.4">
      <c r="W3976" s="64" ph="1"/>
    </row>
    <row r="3977" spans="23:23" ht="26.4">
      <c r="W3977" s="64" ph="1"/>
    </row>
    <row r="3978" spans="23:23" ht="26.4">
      <c r="W3978" s="64" ph="1"/>
    </row>
    <row r="3979" spans="23:23" ht="26.4">
      <c r="W3979" s="64" ph="1"/>
    </row>
    <row r="3980" spans="23:23" ht="26.4">
      <c r="W3980" s="64" ph="1"/>
    </row>
    <row r="3981" spans="23:23" ht="26.4">
      <c r="W3981" s="64" ph="1"/>
    </row>
    <row r="3982" spans="23:23" ht="26.4">
      <c r="W3982" s="64" ph="1"/>
    </row>
    <row r="3983" spans="23:23" ht="26.4">
      <c r="W3983" s="64" ph="1"/>
    </row>
    <row r="3984" spans="23:23" ht="26.4">
      <c r="W3984" s="64" ph="1"/>
    </row>
    <row r="3985" spans="23:23" ht="26.4">
      <c r="W3985" s="64" ph="1"/>
    </row>
    <row r="3986" spans="23:23" ht="26.4">
      <c r="W3986" s="64" ph="1"/>
    </row>
    <row r="3987" spans="23:23" ht="26.4">
      <c r="W3987" s="64" ph="1"/>
    </row>
    <row r="3988" spans="23:23" ht="26.4">
      <c r="W3988" s="64" ph="1"/>
    </row>
    <row r="3989" spans="23:23" ht="26.4">
      <c r="W3989" s="64" ph="1"/>
    </row>
    <row r="3990" spans="23:23" ht="26.4">
      <c r="W3990" s="64" ph="1"/>
    </row>
    <row r="3991" spans="23:23" ht="26.4">
      <c r="W3991" s="64" ph="1"/>
    </row>
    <row r="3992" spans="23:23" ht="26.4">
      <c r="W3992" s="64" ph="1"/>
    </row>
    <row r="3993" spans="23:23" ht="26.4">
      <c r="W3993" s="64" ph="1"/>
    </row>
    <row r="3994" spans="23:23" ht="26.4">
      <c r="W3994" s="64" ph="1"/>
    </row>
    <row r="3995" spans="23:23" ht="26.4">
      <c r="W3995" s="64" ph="1"/>
    </row>
    <row r="3996" spans="23:23" ht="26.4">
      <c r="W3996" s="64" ph="1"/>
    </row>
    <row r="3997" spans="23:23" ht="26.4">
      <c r="W3997" s="64" ph="1"/>
    </row>
    <row r="3998" spans="23:23" ht="26.4">
      <c r="W3998" s="64" ph="1"/>
    </row>
    <row r="3999" spans="23:23" ht="26.4">
      <c r="W3999" s="64" ph="1"/>
    </row>
    <row r="4000" spans="23:23" ht="26.4">
      <c r="W4000" s="64" ph="1"/>
    </row>
    <row r="4001" spans="23:23" ht="26.4">
      <c r="W4001" s="64" ph="1"/>
    </row>
    <row r="4002" spans="23:23" ht="26.4">
      <c r="W4002" s="64" ph="1"/>
    </row>
    <row r="4003" spans="23:23" ht="26.4">
      <c r="W4003" s="64" ph="1"/>
    </row>
    <row r="4004" spans="23:23" ht="26.4">
      <c r="W4004" s="64" ph="1"/>
    </row>
    <row r="4005" spans="23:23" ht="26.4">
      <c r="W4005" s="64" ph="1"/>
    </row>
    <row r="4006" spans="23:23" ht="26.4">
      <c r="W4006" s="64" ph="1"/>
    </row>
    <row r="4007" spans="23:23" ht="26.4">
      <c r="W4007" s="64" ph="1"/>
    </row>
    <row r="4008" spans="23:23" ht="26.4">
      <c r="W4008" s="64" ph="1"/>
    </row>
    <row r="4009" spans="23:23" ht="26.4">
      <c r="W4009" s="64" ph="1"/>
    </row>
    <row r="4010" spans="23:23" ht="26.4">
      <c r="W4010" s="64" ph="1"/>
    </row>
    <row r="4011" spans="23:23" ht="26.4">
      <c r="W4011" s="64" ph="1"/>
    </row>
    <row r="4012" spans="23:23" ht="26.4">
      <c r="W4012" s="64" ph="1"/>
    </row>
    <row r="4013" spans="23:23" ht="26.4">
      <c r="W4013" s="64" ph="1"/>
    </row>
    <row r="4014" spans="23:23" ht="26.4">
      <c r="W4014" s="64" ph="1"/>
    </row>
    <row r="4015" spans="23:23" ht="26.4">
      <c r="W4015" s="64" ph="1"/>
    </row>
    <row r="4016" spans="23:23" ht="26.4">
      <c r="W4016" s="64" ph="1"/>
    </row>
    <row r="4017" spans="23:23" ht="26.4">
      <c r="W4017" s="64" ph="1"/>
    </row>
    <row r="4018" spans="23:23" ht="26.4">
      <c r="W4018" s="64" ph="1"/>
    </row>
    <row r="4019" spans="23:23" ht="26.4">
      <c r="W4019" s="64" ph="1"/>
    </row>
    <row r="4020" spans="23:23" ht="26.4">
      <c r="W4020" s="64" ph="1"/>
    </row>
    <row r="4021" spans="23:23" ht="26.4">
      <c r="W4021" s="64" ph="1"/>
    </row>
    <row r="4022" spans="23:23" ht="26.4">
      <c r="W4022" s="64" ph="1"/>
    </row>
    <row r="4023" spans="23:23" ht="26.4">
      <c r="W4023" s="64" ph="1"/>
    </row>
    <row r="4024" spans="23:23" ht="26.4">
      <c r="W4024" s="64" ph="1"/>
    </row>
    <row r="4025" spans="23:23" ht="26.4">
      <c r="W4025" s="64" ph="1"/>
    </row>
    <row r="4026" spans="23:23" ht="26.4">
      <c r="W4026" s="64" ph="1"/>
    </row>
    <row r="4027" spans="23:23" ht="26.4">
      <c r="W4027" s="64" ph="1"/>
    </row>
    <row r="4028" spans="23:23" ht="26.4">
      <c r="W4028" s="64" ph="1"/>
    </row>
    <row r="4029" spans="23:23" ht="26.4">
      <c r="W4029" s="64" ph="1"/>
    </row>
    <row r="4030" spans="23:23" ht="26.4">
      <c r="W4030" s="64" ph="1"/>
    </row>
    <row r="4031" spans="23:23" ht="26.4">
      <c r="W4031" s="64" ph="1"/>
    </row>
    <row r="4032" spans="23:23" ht="26.4">
      <c r="W4032" s="64" ph="1"/>
    </row>
    <row r="4033" spans="23:23" ht="26.4">
      <c r="W4033" s="64" ph="1"/>
    </row>
    <row r="4034" spans="23:23" ht="26.4">
      <c r="W4034" s="64" ph="1"/>
    </row>
    <row r="4035" spans="23:23" ht="26.4">
      <c r="W4035" s="64" ph="1"/>
    </row>
    <row r="4036" spans="23:23" ht="26.4">
      <c r="W4036" s="64" ph="1"/>
    </row>
    <row r="4037" spans="23:23" ht="26.4">
      <c r="W4037" s="64" ph="1"/>
    </row>
    <row r="4038" spans="23:23" ht="26.4">
      <c r="W4038" s="64" ph="1"/>
    </row>
    <row r="4039" spans="23:23" ht="26.4">
      <c r="W4039" s="64" ph="1"/>
    </row>
    <row r="4040" spans="23:23" ht="26.4">
      <c r="W4040" s="64" ph="1"/>
    </row>
    <row r="4041" spans="23:23" ht="26.4">
      <c r="W4041" s="64" ph="1"/>
    </row>
    <row r="4042" spans="23:23" ht="26.4">
      <c r="W4042" s="64" ph="1"/>
    </row>
    <row r="4043" spans="23:23" ht="26.4">
      <c r="W4043" s="64" ph="1"/>
    </row>
    <row r="4044" spans="23:23" ht="26.4">
      <c r="W4044" s="64" ph="1"/>
    </row>
    <row r="4045" spans="23:23" ht="26.4">
      <c r="W4045" s="64" ph="1"/>
    </row>
    <row r="4046" spans="23:23" ht="26.4">
      <c r="W4046" s="64" ph="1"/>
    </row>
    <row r="4047" spans="23:23" ht="26.4">
      <c r="W4047" s="64" ph="1"/>
    </row>
    <row r="4048" spans="23:23" ht="26.4">
      <c r="W4048" s="64" ph="1"/>
    </row>
    <row r="4049" spans="23:23" ht="26.4">
      <c r="W4049" s="64" ph="1"/>
    </row>
    <row r="4050" spans="23:23" ht="26.4">
      <c r="W4050" s="64" ph="1"/>
    </row>
    <row r="4051" spans="23:23" ht="26.4">
      <c r="W4051" s="64" ph="1"/>
    </row>
    <row r="4052" spans="23:23" ht="26.4">
      <c r="W4052" s="64" ph="1"/>
    </row>
    <row r="4053" spans="23:23" ht="26.4">
      <c r="W4053" s="64" ph="1"/>
    </row>
    <row r="4054" spans="23:23" ht="26.4">
      <c r="W4054" s="64" ph="1"/>
    </row>
    <row r="4055" spans="23:23" ht="26.4">
      <c r="W4055" s="64" ph="1"/>
    </row>
    <row r="4056" spans="23:23" ht="26.4">
      <c r="W4056" s="64" ph="1"/>
    </row>
    <row r="4057" spans="23:23" ht="26.4">
      <c r="W4057" s="64" ph="1"/>
    </row>
    <row r="4058" spans="23:23" ht="26.4">
      <c r="W4058" s="64" ph="1"/>
    </row>
    <row r="4059" spans="23:23" ht="26.4">
      <c r="W4059" s="64" ph="1"/>
    </row>
    <row r="4060" spans="23:23" ht="26.4">
      <c r="W4060" s="64" ph="1"/>
    </row>
    <row r="4061" spans="23:23" ht="26.4">
      <c r="W4061" s="64" ph="1"/>
    </row>
    <row r="4062" spans="23:23" ht="26.4">
      <c r="W4062" s="64" ph="1"/>
    </row>
    <row r="4063" spans="23:23" ht="26.4">
      <c r="W4063" s="64" ph="1"/>
    </row>
    <row r="4064" spans="23:23" ht="26.4">
      <c r="W4064" s="64" ph="1"/>
    </row>
    <row r="4065" spans="23:23" ht="26.4">
      <c r="W4065" s="64" ph="1"/>
    </row>
    <row r="4066" spans="23:23" ht="26.4">
      <c r="W4066" s="64" ph="1"/>
    </row>
    <row r="4067" spans="23:23" ht="26.4">
      <c r="W4067" s="64" ph="1"/>
    </row>
    <row r="4068" spans="23:23" ht="26.4">
      <c r="W4068" s="64" ph="1"/>
    </row>
    <row r="4069" spans="23:23" ht="26.4">
      <c r="W4069" s="64" ph="1"/>
    </row>
    <row r="4070" spans="23:23" ht="26.4">
      <c r="W4070" s="64" ph="1"/>
    </row>
    <row r="4071" spans="23:23" ht="26.4">
      <c r="W4071" s="64" ph="1"/>
    </row>
    <row r="4072" spans="23:23" ht="26.4">
      <c r="W4072" s="64" ph="1"/>
    </row>
    <row r="4073" spans="23:23" ht="26.4">
      <c r="W4073" s="64" ph="1"/>
    </row>
    <row r="4074" spans="23:23" ht="26.4">
      <c r="W4074" s="64" ph="1"/>
    </row>
    <row r="4075" spans="23:23" ht="26.4">
      <c r="W4075" s="64" ph="1"/>
    </row>
    <row r="4076" spans="23:23" ht="26.4">
      <c r="W4076" s="64" ph="1"/>
    </row>
    <row r="4077" spans="23:23" ht="26.4">
      <c r="W4077" s="64" ph="1"/>
    </row>
    <row r="4078" spans="23:23" ht="26.4">
      <c r="W4078" s="64" ph="1"/>
    </row>
    <row r="4079" spans="23:23" ht="26.4">
      <c r="W4079" s="64" ph="1"/>
    </row>
    <row r="4080" spans="23:23" ht="26.4">
      <c r="W4080" s="64" ph="1"/>
    </row>
    <row r="4081" spans="23:23" ht="26.4">
      <c r="W4081" s="64" ph="1"/>
    </row>
    <row r="4082" spans="23:23" ht="26.4">
      <c r="W4082" s="64" ph="1"/>
    </row>
    <row r="4083" spans="23:23" ht="26.4">
      <c r="W4083" s="64" ph="1"/>
    </row>
    <row r="4084" spans="23:23" ht="26.4">
      <c r="W4084" s="64" ph="1"/>
    </row>
    <row r="4085" spans="23:23" ht="26.4">
      <c r="W4085" s="64" ph="1"/>
    </row>
    <row r="4086" spans="23:23" ht="26.4">
      <c r="W4086" s="64" ph="1"/>
    </row>
    <row r="4087" spans="23:23" ht="26.4">
      <c r="W4087" s="64" ph="1"/>
    </row>
    <row r="4088" spans="23:23" ht="26.4">
      <c r="W4088" s="64" ph="1"/>
    </row>
    <row r="4089" spans="23:23" ht="26.4">
      <c r="W4089" s="64" ph="1"/>
    </row>
    <row r="4090" spans="23:23" ht="26.4">
      <c r="W4090" s="64" ph="1"/>
    </row>
    <row r="4091" spans="23:23" ht="26.4">
      <c r="W4091" s="64" ph="1"/>
    </row>
    <row r="4092" spans="23:23" ht="26.4">
      <c r="W4092" s="64" ph="1"/>
    </row>
    <row r="4093" spans="23:23" ht="26.4">
      <c r="W4093" s="64" ph="1"/>
    </row>
    <row r="4094" spans="23:23" ht="26.4">
      <c r="W4094" s="64" ph="1"/>
    </row>
    <row r="4095" spans="23:23" ht="26.4">
      <c r="W4095" s="64" ph="1"/>
    </row>
    <row r="4096" spans="23:23" ht="26.4">
      <c r="W4096" s="64" ph="1"/>
    </row>
    <row r="4097" spans="23:23" ht="26.4">
      <c r="W4097" s="64" ph="1"/>
    </row>
    <row r="4098" spans="23:23" ht="26.4">
      <c r="W4098" s="64" ph="1"/>
    </row>
    <row r="4099" spans="23:23" ht="26.4">
      <c r="W4099" s="64" ph="1"/>
    </row>
    <row r="4100" spans="23:23" ht="26.4">
      <c r="W4100" s="64" ph="1"/>
    </row>
    <row r="4101" spans="23:23" ht="26.4">
      <c r="W4101" s="64" ph="1"/>
    </row>
    <row r="4102" spans="23:23" ht="26.4">
      <c r="W4102" s="64" ph="1"/>
    </row>
    <row r="4103" spans="23:23" ht="26.4">
      <c r="W4103" s="64" ph="1"/>
    </row>
    <row r="4104" spans="23:23" ht="26.4">
      <c r="W4104" s="64" ph="1"/>
    </row>
    <row r="4105" spans="23:23" ht="26.4">
      <c r="W4105" s="64" ph="1"/>
    </row>
    <row r="4106" spans="23:23" ht="26.4">
      <c r="W4106" s="64" ph="1"/>
    </row>
    <row r="4107" spans="23:23" ht="26.4">
      <c r="W4107" s="64" ph="1"/>
    </row>
    <row r="4108" spans="23:23" ht="26.4">
      <c r="W4108" s="64" ph="1"/>
    </row>
    <row r="4109" spans="23:23" ht="26.4">
      <c r="W4109" s="64" ph="1"/>
    </row>
    <row r="4110" spans="23:23" ht="26.4">
      <c r="W4110" s="64" ph="1"/>
    </row>
    <row r="4111" spans="23:23" ht="26.4">
      <c r="W4111" s="64" ph="1"/>
    </row>
    <row r="4112" spans="23:23" ht="26.4">
      <c r="W4112" s="64" ph="1"/>
    </row>
    <row r="4113" spans="23:23" ht="26.4">
      <c r="W4113" s="64" ph="1"/>
    </row>
    <row r="4114" spans="23:23" ht="26.4">
      <c r="W4114" s="64" ph="1"/>
    </row>
    <row r="4115" spans="23:23" ht="26.4">
      <c r="W4115" s="64" ph="1"/>
    </row>
    <row r="4116" spans="23:23" ht="26.4">
      <c r="W4116" s="64" ph="1"/>
    </row>
    <row r="4117" spans="23:23" ht="26.4">
      <c r="W4117" s="64" ph="1"/>
    </row>
    <row r="4118" spans="23:23" ht="26.4">
      <c r="W4118" s="64" ph="1"/>
    </row>
    <row r="4119" spans="23:23" ht="26.4">
      <c r="W4119" s="64" ph="1"/>
    </row>
    <row r="4120" spans="23:23" ht="26.4">
      <c r="W4120" s="64" ph="1"/>
    </row>
    <row r="4121" spans="23:23" ht="26.4">
      <c r="W4121" s="64" ph="1"/>
    </row>
    <row r="4122" spans="23:23" ht="26.4">
      <c r="W4122" s="64" ph="1"/>
    </row>
    <row r="4123" spans="23:23" ht="26.4">
      <c r="W4123" s="64" ph="1"/>
    </row>
    <row r="4124" spans="23:23" ht="26.4">
      <c r="W4124" s="64" ph="1"/>
    </row>
    <row r="4125" spans="23:23" ht="26.4">
      <c r="W4125" s="64" ph="1"/>
    </row>
    <row r="4126" spans="23:23" ht="26.4">
      <c r="W4126" s="64" ph="1"/>
    </row>
    <row r="4127" spans="23:23" ht="26.4">
      <c r="W4127" s="64" ph="1"/>
    </row>
    <row r="4128" spans="23:23" ht="26.4">
      <c r="W4128" s="64" ph="1"/>
    </row>
    <row r="4129" spans="23:23" ht="26.4">
      <c r="W4129" s="64" ph="1"/>
    </row>
    <row r="4130" spans="23:23" ht="26.4">
      <c r="W4130" s="64" ph="1"/>
    </row>
    <row r="4131" spans="23:23" ht="26.4">
      <c r="W4131" s="64" ph="1"/>
    </row>
    <row r="4132" spans="23:23" ht="26.4">
      <c r="W4132" s="64" ph="1"/>
    </row>
    <row r="4133" spans="23:23" ht="26.4">
      <c r="W4133" s="64" ph="1"/>
    </row>
    <row r="4134" spans="23:23" ht="26.4">
      <c r="W4134" s="64" ph="1"/>
    </row>
    <row r="4135" spans="23:23" ht="26.4">
      <c r="W4135" s="64" ph="1"/>
    </row>
    <row r="4136" spans="23:23" ht="26.4">
      <c r="W4136" s="64" ph="1"/>
    </row>
    <row r="4137" spans="23:23" ht="26.4">
      <c r="W4137" s="64" ph="1"/>
    </row>
    <row r="4138" spans="23:23" ht="26.4">
      <c r="W4138" s="64" ph="1"/>
    </row>
    <row r="4139" spans="23:23" ht="26.4">
      <c r="W4139" s="64" ph="1"/>
    </row>
    <row r="4140" spans="23:23" ht="26.4">
      <c r="W4140" s="64" ph="1"/>
    </row>
    <row r="4141" spans="23:23" ht="26.4">
      <c r="W4141" s="64" ph="1"/>
    </row>
    <row r="4142" spans="23:23" ht="26.4">
      <c r="W4142" s="64" ph="1"/>
    </row>
    <row r="4143" spans="23:23" ht="26.4">
      <c r="W4143" s="64" ph="1"/>
    </row>
    <row r="4144" spans="23:23" ht="26.4">
      <c r="W4144" s="64" ph="1"/>
    </row>
    <row r="4145" spans="23:23" ht="26.4">
      <c r="W4145" s="64" ph="1"/>
    </row>
    <row r="4146" spans="23:23" ht="26.4">
      <c r="W4146" s="64" ph="1"/>
    </row>
    <row r="4147" spans="23:23" ht="26.4">
      <c r="W4147" s="64" ph="1"/>
    </row>
    <row r="4148" spans="23:23" ht="26.4">
      <c r="W4148" s="64" ph="1"/>
    </row>
    <row r="4149" spans="23:23" ht="26.4">
      <c r="W4149" s="64" ph="1"/>
    </row>
    <row r="4150" spans="23:23" ht="26.4">
      <c r="W4150" s="64" ph="1"/>
    </row>
    <row r="4151" spans="23:23" ht="26.4">
      <c r="W4151" s="64" ph="1"/>
    </row>
    <row r="4152" spans="23:23" ht="26.4">
      <c r="W4152" s="64" ph="1"/>
    </row>
    <row r="4153" spans="23:23" ht="26.4">
      <c r="W4153" s="64" ph="1"/>
    </row>
    <row r="4154" spans="23:23" ht="26.4">
      <c r="W4154" s="64" ph="1"/>
    </row>
    <row r="4155" spans="23:23" ht="26.4">
      <c r="W4155" s="64" ph="1"/>
    </row>
    <row r="4156" spans="23:23" ht="26.4">
      <c r="W4156" s="64" ph="1"/>
    </row>
    <row r="4157" spans="23:23" ht="26.4">
      <c r="W4157" s="64" ph="1"/>
    </row>
    <row r="4158" spans="23:23" ht="26.4">
      <c r="W4158" s="64" ph="1"/>
    </row>
    <row r="4159" spans="23:23" ht="26.4">
      <c r="W4159" s="64" ph="1"/>
    </row>
    <row r="4160" spans="23:23" ht="26.4">
      <c r="W4160" s="64" ph="1"/>
    </row>
    <row r="4161" spans="23:23" ht="26.4">
      <c r="W4161" s="64" ph="1"/>
    </row>
    <row r="4162" spans="23:23" ht="26.4">
      <c r="W4162" s="64" ph="1"/>
    </row>
    <row r="4163" spans="23:23" ht="26.4">
      <c r="W4163" s="64" ph="1"/>
    </row>
    <row r="4164" spans="23:23" ht="26.4">
      <c r="W4164" s="64" ph="1"/>
    </row>
    <row r="4165" spans="23:23" ht="26.4">
      <c r="W4165" s="64" ph="1"/>
    </row>
    <row r="4166" spans="23:23" ht="26.4">
      <c r="W4166" s="64" ph="1"/>
    </row>
    <row r="4167" spans="23:23" ht="26.4">
      <c r="W4167" s="64" ph="1"/>
    </row>
    <row r="4168" spans="23:23" ht="26.4">
      <c r="W4168" s="64" ph="1"/>
    </row>
    <row r="4169" spans="23:23" ht="26.4">
      <c r="W4169" s="64" ph="1"/>
    </row>
    <row r="4170" spans="23:23" ht="26.4">
      <c r="W4170" s="64" ph="1"/>
    </row>
    <row r="4171" spans="23:23" ht="26.4">
      <c r="W4171" s="64" ph="1"/>
    </row>
    <row r="4172" spans="23:23" ht="26.4">
      <c r="W4172" s="64" ph="1"/>
    </row>
    <row r="4173" spans="23:23" ht="26.4">
      <c r="W4173" s="64" ph="1"/>
    </row>
    <row r="4174" spans="23:23" ht="26.4">
      <c r="W4174" s="64" ph="1"/>
    </row>
    <row r="4175" spans="23:23" ht="26.4">
      <c r="W4175" s="64" ph="1"/>
    </row>
    <row r="4176" spans="23:23" ht="26.4">
      <c r="W4176" s="64" ph="1"/>
    </row>
    <row r="4177" spans="23:23" ht="26.4">
      <c r="W4177" s="64" ph="1"/>
    </row>
    <row r="4178" spans="23:23" ht="26.4">
      <c r="W4178" s="64" ph="1"/>
    </row>
    <row r="4179" spans="23:23" ht="26.4">
      <c r="W4179" s="64" ph="1"/>
    </row>
    <row r="4180" spans="23:23" ht="26.4">
      <c r="W4180" s="64" ph="1"/>
    </row>
    <row r="4181" spans="23:23" ht="26.4">
      <c r="W4181" s="64" ph="1"/>
    </row>
    <row r="4182" spans="23:23" ht="26.4">
      <c r="W4182" s="64" ph="1"/>
    </row>
    <row r="4183" spans="23:23" ht="26.4">
      <c r="W4183" s="64" ph="1"/>
    </row>
    <row r="4184" spans="23:23" ht="26.4">
      <c r="W4184" s="64" ph="1"/>
    </row>
    <row r="4185" spans="23:23" ht="26.4">
      <c r="W4185" s="64" ph="1"/>
    </row>
    <row r="4186" spans="23:23" ht="26.4">
      <c r="W4186" s="64" ph="1"/>
    </row>
    <row r="4187" spans="23:23" ht="26.4">
      <c r="W4187" s="64" ph="1"/>
    </row>
    <row r="4188" spans="23:23" ht="26.4">
      <c r="W4188" s="64" ph="1"/>
    </row>
    <row r="4189" spans="23:23" ht="26.4">
      <c r="W4189" s="64" ph="1"/>
    </row>
    <row r="4190" spans="23:23" ht="26.4">
      <c r="W4190" s="64" ph="1"/>
    </row>
    <row r="4191" spans="23:23" ht="26.4">
      <c r="W4191" s="64" ph="1"/>
    </row>
    <row r="4192" spans="23:23" ht="26.4">
      <c r="W4192" s="64" ph="1"/>
    </row>
    <row r="4193" spans="23:23" ht="26.4">
      <c r="W4193" s="64" ph="1"/>
    </row>
    <row r="4194" spans="23:23" ht="26.4">
      <c r="W4194" s="64" ph="1"/>
    </row>
    <row r="4195" spans="23:23" ht="26.4">
      <c r="W4195" s="64" ph="1"/>
    </row>
    <row r="4196" spans="23:23" ht="26.4">
      <c r="W4196" s="64" ph="1"/>
    </row>
    <row r="4197" spans="23:23" ht="26.4">
      <c r="W4197" s="64" ph="1"/>
    </row>
    <row r="4198" spans="23:23" ht="26.4">
      <c r="W4198" s="64" ph="1"/>
    </row>
    <row r="4199" spans="23:23" ht="26.4">
      <c r="W4199" s="64" ph="1"/>
    </row>
    <row r="4200" spans="23:23" ht="26.4">
      <c r="W4200" s="64" ph="1"/>
    </row>
    <row r="4201" spans="23:23" ht="26.4">
      <c r="W4201" s="64" ph="1"/>
    </row>
    <row r="4202" spans="23:23" ht="26.4">
      <c r="W4202" s="64" ph="1"/>
    </row>
    <row r="4203" spans="23:23" ht="26.4">
      <c r="W4203" s="64" ph="1"/>
    </row>
    <row r="4204" spans="23:23" ht="26.4">
      <c r="W4204" s="64" ph="1"/>
    </row>
    <row r="4205" spans="23:23" ht="26.4">
      <c r="W4205" s="64" ph="1"/>
    </row>
    <row r="4206" spans="23:23" ht="26.4">
      <c r="W4206" s="64" ph="1"/>
    </row>
    <row r="4207" spans="23:23" ht="26.4">
      <c r="W4207" s="64" ph="1"/>
    </row>
    <row r="4208" spans="23:23" ht="26.4">
      <c r="W4208" s="64" ph="1"/>
    </row>
    <row r="4209" spans="23:23" ht="26.4">
      <c r="W4209" s="64" ph="1"/>
    </row>
    <row r="4210" spans="23:23" ht="26.4">
      <c r="W4210" s="64" ph="1"/>
    </row>
    <row r="4211" spans="23:23" ht="26.4">
      <c r="W4211" s="64" ph="1"/>
    </row>
    <row r="4212" spans="23:23" ht="26.4">
      <c r="W4212" s="64" ph="1"/>
    </row>
    <row r="4213" spans="23:23" ht="26.4">
      <c r="W4213" s="64" ph="1"/>
    </row>
    <row r="4214" spans="23:23" ht="26.4">
      <c r="W4214" s="64" ph="1"/>
    </row>
    <row r="4215" spans="23:23" ht="26.4">
      <c r="W4215" s="64" ph="1"/>
    </row>
    <row r="4216" spans="23:23" ht="26.4">
      <c r="W4216" s="64" ph="1"/>
    </row>
    <row r="4217" spans="23:23" ht="26.4">
      <c r="W4217" s="64" ph="1"/>
    </row>
    <row r="4218" spans="23:23" ht="26.4">
      <c r="W4218" s="64" ph="1"/>
    </row>
    <row r="4219" spans="23:23" ht="26.4">
      <c r="W4219" s="64" ph="1"/>
    </row>
    <row r="4220" spans="23:23" ht="26.4">
      <c r="W4220" s="64" ph="1"/>
    </row>
    <row r="4221" spans="23:23" ht="26.4">
      <c r="W4221" s="64" ph="1"/>
    </row>
    <row r="4222" spans="23:23" ht="26.4">
      <c r="W4222" s="64" ph="1"/>
    </row>
    <row r="4223" spans="23:23" ht="26.4">
      <c r="W4223" s="64" ph="1"/>
    </row>
    <row r="4224" spans="23:23" ht="26.4">
      <c r="W4224" s="64" ph="1"/>
    </row>
    <row r="4225" spans="23:23" ht="26.4">
      <c r="W4225" s="64" ph="1"/>
    </row>
    <row r="4226" spans="23:23" ht="26.4">
      <c r="W4226" s="64" ph="1"/>
    </row>
    <row r="4227" spans="23:23" ht="26.4">
      <c r="W4227" s="64" ph="1"/>
    </row>
    <row r="4228" spans="23:23" ht="26.4">
      <c r="W4228" s="64" ph="1"/>
    </row>
    <row r="4229" spans="23:23" ht="26.4">
      <c r="W4229" s="64" ph="1"/>
    </row>
    <row r="4230" spans="23:23" ht="26.4">
      <c r="W4230" s="64" ph="1"/>
    </row>
    <row r="4231" spans="23:23" ht="26.4">
      <c r="W4231" s="64" ph="1"/>
    </row>
    <row r="4232" spans="23:23" ht="26.4">
      <c r="W4232" s="64" ph="1"/>
    </row>
    <row r="4233" spans="23:23" ht="26.4">
      <c r="W4233" s="64" ph="1"/>
    </row>
    <row r="4234" spans="23:23" ht="26.4">
      <c r="W4234" s="64" ph="1"/>
    </row>
    <row r="4235" spans="23:23" ht="26.4">
      <c r="W4235" s="64" ph="1"/>
    </row>
    <row r="4236" spans="23:23" ht="26.4">
      <c r="W4236" s="64" ph="1"/>
    </row>
    <row r="4237" spans="23:23" ht="26.4">
      <c r="W4237" s="64" ph="1"/>
    </row>
    <row r="4238" spans="23:23" ht="26.4">
      <c r="W4238" s="64" ph="1"/>
    </row>
    <row r="4239" spans="23:23" ht="26.4">
      <c r="W4239" s="64" ph="1"/>
    </row>
    <row r="4240" spans="23:23" ht="26.4">
      <c r="W4240" s="64" ph="1"/>
    </row>
    <row r="4241" spans="23:23" ht="26.4">
      <c r="W4241" s="64" ph="1"/>
    </row>
    <row r="4242" spans="23:23" ht="26.4">
      <c r="W4242" s="64" ph="1"/>
    </row>
    <row r="4243" spans="23:23" ht="26.4">
      <c r="W4243" s="64" ph="1"/>
    </row>
    <row r="4244" spans="23:23" ht="26.4">
      <c r="W4244" s="64" ph="1"/>
    </row>
    <row r="4245" spans="23:23" ht="26.4">
      <c r="W4245" s="64" ph="1"/>
    </row>
    <row r="4246" spans="23:23" ht="26.4">
      <c r="W4246" s="64" ph="1"/>
    </row>
    <row r="4247" spans="23:23" ht="26.4">
      <c r="W4247" s="64" ph="1"/>
    </row>
    <row r="4248" spans="23:23" ht="26.4">
      <c r="W4248" s="64" ph="1"/>
    </row>
    <row r="4249" spans="23:23" ht="26.4">
      <c r="W4249" s="64" ph="1"/>
    </row>
    <row r="4250" spans="23:23" ht="26.4">
      <c r="W4250" s="64" ph="1"/>
    </row>
    <row r="4251" spans="23:23" ht="26.4">
      <c r="W4251" s="64" ph="1"/>
    </row>
    <row r="4252" spans="23:23" ht="26.4">
      <c r="W4252" s="64" ph="1"/>
    </row>
    <row r="4253" spans="23:23" ht="26.4">
      <c r="W4253" s="64" ph="1"/>
    </row>
    <row r="4254" spans="23:23" ht="26.4">
      <c r="W4254" s="64" ph="1"/>
    </row>
    <row r="4255" spans="23:23" ht="26.4">
      <c r="W4255" s="64" ph="1"/>
    </row>
    <row r="4256" spans="23:23" ht="26.4">
      <c r="W4256" s="64" ph="1"/>
    </row>
    <row r="4257" spans="23:23" ht="26.4">
      <c r="W4257" s="64" ph="1"/>
    </row>
    <row r="4258" spans="23:23" ht="26.4">
      <c r="W4258" s="64" ph="1"/>
    </row>
    <row r="4259" spans="23:23" ht="26.4">
      <c r="W4259" s="64" ph="1"/>
    </row>
    <row r="4260" spans="23:23" ht="26.4">
      <c r="W4260" s="64" ph="1"/>
    </row>
    <row r="4261" spans="23:23" ht="26.4">
      <c r="W4261" s="64" ph="1"/>
    </row>
    <row r="4262" spans="23:23" ht="26.4">
      <c r="W4262" s="64" ph="1"/>
    </row>
    <row r="4263" spans="23:23" ht="26.4">
      <c r="W4263" s="64" ph="1"/>
    </row>
    <row r="4264" spans="23:23" ht="26.4">
      <c r="W4264" s="64" ph="1"/>
    </row>
    <row r="4265" spans="23:23" ht="26.4">
      <c r="W4265" s="64" ph="1"/>
    </row>
    <row r="4266" spans="23:23" ht="26.4">
      <c r="W4266" s="64" ph="1"/>
    </row>
    <row r="4267" spans="23:23" ht="26.4">
      <c r="W4267" s="64" ph="1"/>
    </row>
    <row r="4268" spans="23:23" ht="26.4">
      <c r="W4268" s="64" ph="1"/>
    </row>
    <row r="4269" spans="23:23" ht="26.4">
      <c r="W4269" s="64" ph="1"/>
    </row>
    <row r="4270" spans="23:23" ht="26.4">
      <c r="W4270" s="64" ph="1"/>
    </row>
    <row r="4271" spans="23:23" ht="26.4">
      <c r="W4271" s="64" ph="1"/>
    </row>
    <row r="4272" spans="23:23" ht="26.4">
      <c r="W4272" s="64" ph="1"/>
    </row>
    <row r="4273" spans="23:23" ht="26.4">
      <c r="W4273" s="64" ph="1"/>
    </row>
    <row r="4274" spans="23:23" ht="26.4">
      <c r="W4274" s="64" ph="1"/>
    </row>
    <row r="4275" spans="23:23" ht="26.4">
      <c r="W4275" s="64" ph="1"/>
    </row>
    <row r="4276" spans="23:23" ht="26.4">
      <c r="W4276" s="64" ph="1"/>
    </row>
    <row r="4277" spans="23:23" ht="26.4">
      <c r="W4277" s="64" ph="1"/>
    </row>
    <row r="4278" spans="23:23" ht="26.4">
      <c r="W4278" s="64" ph="1"/>
    </row>
    <row r="4279" spans="23:23" ht="26.4">
      <c r="W4279" s="64" ph="1"/>
    </row>
    <row r="4280" spans="23:23" ht="26.4">
      <c r="W4280" s="64" ph="1"/>
    </row>
    <row r="4281" spans="23:23" ht="26.4">
      <c r="W4281" s="64" ph="1"/>
    </row>
    <row r="4282" spans="23:23" ht="26.4">
      <c r="W4282" s="64" ph="1"/>
    </row>
    <row r="4283" spans="23:23" ht="26.4">
      <c r="W4283" s="64" ph="1"/>
    </row>
    <row r="4284" spans="23:23" ht="26.4">
      <c r="W4284" s="64" ph="1"/>
    </row>
    <row r="4285" spans="23:23" ht="26.4">
      <c r="W4285" s="64" ph="1"/>
    </row>
    <row r="4286" spans="23:23" ht="26.4">
      <c r="W4286" s="64" ph="1"/>
    </row>
    <row r="4287" spans="23:23" ht="26.4">
      <c r="W4287" s="64" ph="1"/>
    </row>
    <row r="4288" spans="23:23" ht="26.4">
      <c r="W4288" s="64" ph="1"/>
    </row>
    <row r="4289" spans="23:23" ht="26.4">
      <c r="W4289" s="64" ph="1"/>
    </row>
    <row r="4290" spans="23:23" ht="26.4">
      <c r="W4290" s="64" ph="1"/>
    </row>
    <row r="4291" spans="23:23" ht="26.4">
      <c r="W4291" s="64" ph="1"/>
    </row>
    <row r="4292" spans="23:23" ht="26.4">
      <c r="W4292" s="64" ph="1"/>
    </row>
    <row r="4293" spans="23:23" ht="26.4">
      <c r="W4293" s="64" ph="1"/>
    </row>
    <row r="4294" spans="23:23" ht="26.4">
      <c r="W4294" s="64" ph="1"/>
    </row>
    <row r="4295" spans="23:23" ht="26.4">
      <c r="W4295" s="64" ph="1"/>
    </row>
    <row r="4296" spans="23:23" ht="26.4">
      <c r="W4296" s="64" ph="1"/>
    </row>
    <row r="4297" spans="23:23" ht="26.4">
      <c r="W4297" s="64" ph="1"/>
    </row>
    <row r="4298" spans="23:23" ht="26.4">
      <c r="W4298" s="64" ph="1"/>
    </row>
    <row r="4299" spans="23:23" ht="26.4">
      <c r="W4299" s="64" ph="1"/>
    </row>
    <row r="4300" spans="23:23" ht="26.4">
      <c r="W4300" s="64" ph="1"/>
    </row>
    <row r="4301" spans="23:23" ht="26.4">
      <c r="W4301" s="64" ph="1"/>
    </row>
    <row r="4302" spans="23:23" ht="26.4">
      <c r="W4302" s="64" ph="1"/>
    </row>
    <row r="4303" spans="23:23" ht="26.4">
      <c r="W4303" s="64" ph="1"/>
    </row>
    <row r="4304" spans="23:23" ht="26.4">
      <c r="W4304" s="64" ph="1"/>
    </row>
    <row r="4305" spans="23:23" ht="26.4">
      <c r="W4305" s="64" ph="1"/>
    </row>
    <row r="4306" spans="23:23" ht="26.4">
      <c r="W4306" s="64" ph="1"/>
    </row>
    <row r="4307" spans="23:23" ht="26.4">
      <c r="W4307" s="64" ph="1"/>
    </row>
    <row r="4308" spans="23:23" ht="26.4">
      <c r="W4308" s="64" ph="1"/>
    </row>
    <row r="4309" spans="23:23" ht="26.4">
      <c r="W4309" s="64" ph="1"/>
    </row>
    <row r="4310" spans="23:23" ht="26.4">
      <c r="W4310" s="64" ph="1"/>
    </row>
    <row r="4311" spans="23:23" ht="26.4">
      <c r="W4311" s="64" ph="1"/>
    </row>
    <row r="4312" spans="23:23" ht="26.4">
      <c r="W4312" s="64" ph="1"/>
    </row>
    <row r="4313" spans="23:23" ht="26.4">
      <c r="W4313" s="64" ph="1"/>
    </row>
    <row r="4314" spans="23:23" ht="26.4">
      <c r="W4314" s="64" ph="1"/>
    </row>
    <row r="4315" spans="23:23" ht="26.4">
      <c r="W4315" s="64" ph="1"/>
    </row>
    <row r="4316" spans="23:23" ht="26.4">
      <c r="W4316" s="64" ph="1"/>
    </row>
    <row r="4317" spans="23:23" ht="26.4">
      <c r="W4317" s="64" ph="1"/>
    </row>
    <row r="4318" spans="23:23" ht="26.4">
      <c r="W4318" s="64" ph="1"/>
    </row>
    <row r="4319" spans="23:23" ht="26.4">
      <c r="W4319" s="64" ph="1"/>
    </row>
    <row r="4320" spans="23:23" ht="26.4">
      <c r="W4320" s="64" ph="1"/>
    </row>
    <row r="4321" spans="23:23" ht="26.4">
      <c r="W4321" s="64" ph="1"/>
    </row>
    <row r="4322" spans="23:23" ht="26.4">
      <c r="W4322" s="64" ph="1"/>
    </row>
    <row r="4323" spans="23:23" ht="26.4">
      <c r="W4323" s="64" ph="1"/>
    </row>
    <row r="4324" spans="23:23" ht="26.4">
      <c r="W4324" s="64" ph="1"/>
    </row>
    <row r="4325" spans="23:23" ht="26.4">
      <c r="W4325" s="64" ph="1"/>
    </row>
    <row r="4326" spans="23:23" ht="26.4">
      <c r="W4326" s="64" ph="1"/>
    </row>
    <row r="4327" spans="23:23" ht="26.4">
      <c r="W4327" s="64" ph="1"/>
    </row>
    <row r="4328" spans="23:23" ht="26.4">
      <c r="W4328" s="64" ph="1"/>
    </row>
    <row r="4329" spans="23:23" ht="26.4">
      <c r="W4329" s="64" ph="1"/>
    </row>
    <row r="4330" spans="23:23" ht="26.4">
      <c r="W4330" s="64" ph="1"/>
    </row>
    <row r="4331" spans="23:23" ht="26.4">
      <c r="W4331" s="64" ph="1"/>
    </row>
    <row r="4332" spans="23:23" ht="26.4">
      <c r="W4332" s="64" ph="1"/>
    </row>
    <row r="4333" spans="23:23" ht="26.4">
      <c r="W4333" s="64" ph="1"/>
    </row>
    <row r="4334" spans="23:23" ht="26.4">
      <c r="W4334" s="64" ph="1"/>
    </row>
    <row r="4335" spans="23:23" ht="26.4">
      <c r="W4335" s="64" ph="1"/>
    </row>
    <row r="4336" spans="23:23" ht="26.4">
      <c r="W4336" s="64" ph="1"/>
    </row>
    <row r="4337" spans="23:23" ht="26.4">
      <c r="W4337" s="64" ph="1"/>
    </row>
    <row r="4338" spans="23:23" ht="26.4">
      <c r="W4338" s="64" ph="1"/>
    </row>
    <row r="4339" spans="23:23" ht="26.4">
      <c r="W4339" s="64" ph="1"/>
    </row>
    <row r="4340" spans="23:23" ht="26.4">
      <c r="W4340" s="64" ph="1"/>
    </row>
    <row r="4341" spans="23:23" ht="26.4">
      <c r="W4341" s="64" ph="1"/>
    </row>
    <row r="4342" spans="23:23" ht="26.4">
      <c r="W4342" s="64" ph="1"/>
    </row>
    <row r="4343" spans="23:23" ht="26.4">
      <c r="W4343" s="64" ph="1"/>
    </row>
    <row r="4344" spans="23:23" ht="26.4">
      <c r="W4344" s="64" ph="1"/>
    </row>
    <row r="4345" spans="23:23" ht="26.4">
      <c r="W4345" s="64" ph="1"/>
    </row>
    <row r="4346" spans="23:23" ht="26.4">
      <c r="W4346" s="64" ph="1"/>
    </row>
    <row r="4347" spans="23:23" ht="26.4">
      <c r="W4347" s="64" ph="1"/>
    </row>
    <row r="4348" spans="23:23" ht="26.4">
      <c r="W4348" s="64" ph="1"/>
    </row>
    <row r="4349" spans="23:23" ht="26.4">
      <c r="W4349" s="64" ph="1"/>
    </row>
    <row r="4350" spans="23:23" ht="26.4">
      <c r="W4350" s="64" ph="1"/>
    </row>
    <row r="4351" spans="23:23" ht="26.4">
      <c r="W4351" s="64" ph="1"/>
    </row>
    <row r="4352" spans="23:23" ht="26.4">
      <c r="W4352" s="64" ph="1"/>
    </row>
    <row r="4353" spans="23:23" ht="26.4">
      <c r="W4353" s="64" ph="1"/>
    </row>
    <row r="4354" spans="23:23" ht="26.4">
      <c r="W4354" s="64" ph="1"/>
    </row>
    <row r="4355" spans="23:23" ht="26.4">
      <c r="W4355" s="64" ph="1"/>
    </row>
    <row r="4356" spans="23:23" ht="26.4">
      <c r="W4356" s="64" ph="1"/>
    </row>
    <row r="4357" spans="23:23" ht="26.4">
      <c r="W4357" s="64" ph="1"/>
    </row>
    <row r="4358" spans="23:23" ht="26.4">
      <c r="W4358" s="64" ph="1"/>
    </row>
    <row r="4359" spans="23:23" ht="26.4">
      <c r="W4359" s="64" ph="1"/>
    </row>
    <row r="4360" spans="23:23" ht="26.4">
      <c r="W4360" s="64" ph="1"/>
    </row>
    <row r="4361" spans="23:23" ht="26.4">
      <c r="W4361" s="64" ph="1"/>
    </row>
    <row r="4362" spans="23:23" ht="26.4">
      <c r="W4362" s="64" ph="1"/>
    </row>
    <row r="4363" spans="23:23" ht="26.4">
      <c r="W4363" s="64" ph="1"/>
    </row>
    <row r="4364" spans="23:23" ht="26.4">
      <c r="W4364" s="64" ph="1"/>
    </row>
    <row r="4365" spans="23:23" ht="26.4">
      <c r="W4365" s="64" ph="1"/>
    </row>
    <row r="4366" spans="23:23" ht="26.4">
      <c r="W4366" s="64" ph="1"/>
    </row>
    <row r="4367" spans="23:23" ht="26.4">
      <c r="W4367" s="64" ph="1"/>
    </row>
    <row r="4368" spans="23:23" ht="26.4">
      <c r="W4368" s="64" ph="1"/>
    </row>
    <row r="4369" spans="23:23" ht="26.4">
      <c r="W4369" s="64" ph="1"/>
    </row>
    <row r="4370" spans="23:23" ht="26.4">
      <c r="W4370" s="64" ph="1"/>
    </row>
    <row r="4371" spans="23:23" ht="26.4">
      <c r="W4371" s="64" ph="1"/>
    </row>
    <row r="4372" spans="23:23" ht="26.4">
      <c r="W4372" s="64" ph="1"/>
    </row>
    <row r="4373" spans="23:23" ht="26.4">
      <c r="W4373" s="64" ph="1"/>
    </row>
    <row r="4374" spans="23:23" ht="26.4">
      <c r="W4374" s="64" ph="1"/>
    </row>
    <row r="4375" spans="23:23" ht="26.4">
      <c r="W4375" s="64" ph="1"/>
    </row>
    <row r="4376" spans="23:23" ht="26.4">
      <c r="W4376" s="64" ph="1"/>
    </row>
    <row r="4377" spans="23:23" ht="26.4">
      <c r="W4377" s="64" ph="1"/>
    </row>
    <row r="4378" spans="23:23" ht="26.4">
      <c r="W4378" s="64" ph="1"/>
    </row>
    <row r="4379" spans="23:23" ht="26.4">
      <c r="W4379" s="64" ph="1"/>
    </row>
    <row r="4380" spans="23:23" ht="26.4">
      <c r="W4380" s="64" ph="1"/>
    </row>
    <row r="4381" spans="23:23" ht="26.4">
      <c r="W4381" s="64" ph="1"/>
    </row>
    <row r="4382" spans="23:23" ht="26.4">
      <c r="W4382" s="64" ph="1"/>
    </row>
    <row r="4383" spans="23:23" ht="26.4">
      <c r="W4383" s="64" ph="1"/>
    </row>
    <row r="4384" spans="23:23" ht="26.4">
      <c r="W4384" s="64" ph="1"/>
    </row>
    <row r="4385" spans="23:23" ht="26.4">
      <c r="W4385" s="64" ph="1"/>
    </row>
    <row r="4386" spans="23:23" ht="26.4">
      <c r="W4386" s="64" ph="1"/>
    </row>
    <row r="4387" spans="23:23" ht="26.4">
      <c r="W4387" s="64" ph="1"/>
    </row>
    <row r="4388" spans="23:23" ht="26.4">
      <c r="W4388" s="64" ph="1"/>
    </row>
    <row r="4389" spans="23:23" ht="26.4">
      <c r="W4389" s="64" ph="1"/>
    </row>
    <row r="4390" spans="23:23" ht="26.4">
      <c r="W4390" s="64" ph="1"/>
    </row>
    <row r="4391" spans="23:23" ht="26.4">
      <c r="W4391" s="64" ph="1"/>
    </row>
    <row r="4392" spans="23:23" ht="26.4">
      <c r="W4392" s="64" ph="1"/>
    </row>
    <row r="4393" spans="23:23" ht="26.4">
      <c r="W4393" s="64" ph="1"/>
    </row>
    <row r="4394" spans="23:23" ht="26.4">
      <c r="W4394" s="64" ph="1"/>
    </row>
    <row r="4395" spans="23:23" ht="26.4">
      <c r="W4395" s="64" ph="1"/>
    </row>
    <row r="4396" spans="23:23" ht="26.4">
      <c r="W4396" s="64" ph="1"/>
    </row>
    <row r="4397" spans="23:23" ht="26.4">
      <c r="W4397" s="64" ph="1"/>
    </row>
    <row r="4398" spans="23:23" ht="26.4">
      <c r="W4398" s="64" ph="1"/>
    </row>
    <row r="4399" spans="23:23" ht="26.4">
      <c r="W4399" s="64" ph="1"/>
    </row>
    <row r="4400" spans="23:23" ht="26.4">
      <c r="W4400" s="64" ph="1"/>
    </row>
    <row r="4401" spans="23:23" ht="26.4">
      <c r="W4401" s="64" ph="1"/>
    </row>
    <row r="4402" spans="23:23" ht="26.4">
      <c r="W4402" s="64" ph="1"/>
    </row>
    <row r="4403" spans="23:23" ht="26.4">
      <c r="W4403" s="64" ph="1"/>
    </row>
    <row r="4404" spans="23:23" ht="26.4">
      <c r="W4404" s="64" ph="1"/>
    </row>
    <row r="4405" spans="23:23" ht="26.4">
      <c r="W4405" s="64" ph="1"/>
    </row>
    <row r="4406" spans="23:23" ht="26.4">
      <c r="W4406" s="64" ph="1"/>
    </row>
    <row r="4407" spans="23:23" ht="26.4">
      <c r="W4407" s="64" ph="1"/>
    </row>
    <row r="4408" spans="23:23" ht="26.4">
      <c r="W4408" s="64" ph="1"/>
    </row>
    <row r="4409" spans="23:23" ht="26.4">
      <c r="W4409" s="64" ph="1"/>
    </row>
    <row r="4410" spans="23:23" ht="26.4">
      <c r="W4410" s="64" ph="1"/>
    </row>
    <row r="4411" spans="23:23" ht="26.4">
      <c r="W4411" s="64" ph="1"/>
    </row>
    <row r="4412" spans="23:23" ht="26.4">
      <c r="W4412" s="64" ph="1"/>
    </row>
    <row r="4413" spans="23:23" ht="26.4">
      <c r="W4413" s="64" ph="1"/>
    </row>
    <row r="4414" spans="23:23" ht="26.4">
      <c r="W4414" s="64" ph="1"/>
    </row>
    <row r="4415" spans="23:23" ht="26.4">
      <c r="W4415" s="64" ph="1"/>
    </row>
    <row r="4416" spans="23:23" ht="26.4">
      <c r="W4416" s="64" ph="1"/>
    </row>
    <row r="4417" spans="23:23" ht="26.4">
      <c r="W4417" s="64" ph="1"/>
    </row>
    <row r="4418" spans="23:23" ht="26.4">
      <c r="W4418" s="64" ph="1"/>
    </row>
    <row r="4419" spans="23:23" ht="26.4">
      <c r="W4419" s="64" ph="1"/>
    </row>
    <row r="4420" spans="23:23" ht="26.4">
      <c r="W4420" s="64" ph="1"/>
    </row>
    <row r="4421" spans="23:23" ht="26.4">
      <c r="W4421" s="64" ph="1"/>
    </row>
    <row r="4422" spans="23:23" ht="26.4">
      <c r="W4422" s="64" ph="1"/>
    </row>
    <row r="4423" spans="23:23" ht="26.4">
      <c r="W4423" s="64" ph="1"/>
    </row>
    <row r="4424" spans="23:23" ht="26.4">
      <c r="W4424" s="64" ph="1"/>
    </row>
    <row r="4425" spans="23:23" ht="26.4">
      <c r="W4425" s="64" ph="1"/>
    </row>
    <row r="4426" spans="23:23" ht="26.4">
      <c r="W4426" s="64" ph="1"/>
    </row>
    <row r="4427" spans="23:23" ht="26.4">
      <c r="W4427" s="64" ph="1"/>
    </row>
    <row r="4428" spans="23:23" ht="26.4">
      <c r="W4428" s="64" ph="1"/>
    </row>
    <row r="4429" spans="23:23" ht="26.4">
      <c r="W4429" s="64" ph="1"/>
    </row>
    <row r="4430" spans="23:23" ht="26.4">
      <c r="W4430" s="64" ph="1"/>
    </row>
    <row r="4431" spans="23:23" ht="26.4">
      <c r="W4431" s="64" ph="1"/>
    </row>
    <row r="4432" spans="23:23" ht="26.4">
      <c r="W4432" s="64" ph="1"/>
    </row>
    <row r="4433" spans="23:23" ht="26.4">
      <c r="W4433" s="64" ph="1"/>
    </row>
    <row r="4434" spans="23:23" ht="26.4">
      <c r="W4434" s="64" ph="1"/>
    </row>
    <row r="4435" spans="23:23" ht="26.4">
      <c r="W4435" s="64" ph="1"/>
    </row>
    <row r="4436" spans="23:23" ht="26.4">
      <c r="W4436" s="64" ph="1"/>
    </row>
    <row r="4437" spans="23:23" ht="26.4">
      <c r="W4437" s="64" ph="1"/>
    </row>
    <row r="4438" spans="23:23" ht="26.4">
      <c r="W4438" s="64" ph="1"/>
    </row>
    <row r="4439" spans="23:23" ht="26.4">
      <c r="W4439" s="64" ph="1"/>
    </row>
    <row r="4440" spans="23:23" ht="26.4">
      <c r="W4440" s="64" ph="1"/>
    </row>
    <row r="4441" spans="23:23" ht="26.4">
      <c r="W4441" s="64" ph="1"/>
    </row>
    <row r="4442" spans="23:23" ht="26.4">
      <c r="W4442" s="64" ph="1"/>
    </row>
    <row r="4443" spans="23:23" ht="26.4">
      <c r="W4443" s="64" ph="1"/>
    </row>
    <row r="4444" spans="23:23" ht="26.4">
      <c r="W4444" s="64" ph="1"/>
    </row>
    <row r="4445" spans="23:23" ht="26.4">
      <c r="W4445" s="64" ph="1"/>
    </row>
    <row r="4446" spans="23:23" ht="26.4">
      <c r="W4446" s="64" ph="1"/>
    </row>
    <row r="4447" spans="23:23" ht="26.4">
      <c r="W4447" s="64" ph="1"/>
    </row>
    <row r="4448" spans="23:23" ht="26.4">
      <c r="W4448" s="64" ph="1"/>
    </row>
    <row r="4449" spans="23:23" ht="26.4">
      <c r="W4449" s="64" ph="1"/>
    </row>
    <row r="4450" spans="23:23" ht="26.4">
      <c r="W4450" s="64" ph="1"/>
    </row>
    <row r="4451" spans="23:23" ht="26.4">
      <c r="W4451" s="64" ph="1"/>
    </row>
    <row r="4452" spans="23:23" ht="26.4">
      <c r="W4452" s="64" ph="1"/>
    </row>
    <row r="4453" spans="23:23" ht="26.4">
      <c r="W4453" s="64" ph="1"/>
    </row>
    <row r="4454" spans="23:23" ht="26.4">
      <c r="W4454" s="64" ph="1"/>
    </row>
    <row r="4455" spans="23:23" ht="26.4">
      <c r="W4455" s="64" ph="1"/>
    </row>
    <row r="4456" spans="23:23" ht="26.4">
      <c r="W4456" s="64" ph="1"/>
    </row>
    <row r="4457" spans="23:23" ht="26.4">
      <c r="W4457" s="64" ph="1"/>
    </row>
    <row r="4458" spans="23:23" ht="26.4">
      <c r="W4458" s="64" ph="1"/>
    </row>
    <row r="4459" spans="23:23" ht="26.4">
      <c r="W4459" s="64" ph="1"/>
    </row>
    <row r="4460" spans="23:23" ht="26.4">
      <c r="W4460" s="64" ph="1"/>
    </row>
    <row r="4461" spans="23:23" ht="26.4">
      <c r="W4461" s="64" ph="1"/>
    </row>
    <row r="4462" spans="23:23" ht="26.4">
      <c r="W4462" s="64" ph="1"/>
    </row>
    <row r="4463" spans="23:23" ht="26.4">
      <c r="W4463" s="64" ph="1"/>
    </row>
    <row r="4464" spans="23:23" ht="26.4">
      <c r="W4464" s="64" ph="1"/>
    </row>
    <row r="4465" spans="23:23" ht="26.4">
      <c r="W4465" s="64" ph="1"/>
    </row>
    <row r="4466" spans="23:23" ht="26.4">
      <c r="W4466" s="64" ph="1"/>
    </row>
    <row r="4467" spans="23:23" ht="26.4">
      <c r="W4467" s="64" ph="1"/>
    </row>
    <row r="4468" spans="23:23" ht="26.4">
      <c r="W4468" s="64" ph="1"/>
    </row>
    <row r="4469" spans="23:23" ht="26.4">
      <c r="W4469" s="64" ph="1"/>
    </row>
    <row r="4470" spans="23:23" ht="26.4">
      <c r="W4470" s="64" ph="1"/>
    </row>
    <row r="4471" spans="23:23" ht="26.4">
      <c r="W4471" s="64" ph="1"/>
    </row>
    <row r="4472" spans="23:23" ht="26.4">
      <c r="W4472" s="64" ph="1"/>
    </row>
    <row r="4473" spans="23:23" ht="26.4">
      <c r="W4473" s="64" ph="1"/>
    </row>
    <row r="4474" spans="23:23" ht="26.4">
      <c r="W4474" s="64" ph="1"/>
    </row>
    <row r="4475" spans="23:23" ht="26.4">
      <c r="W4475" s="64" ph="1"/>
    </row>
    <row r="4476" spans="23:23" ht="26.4">
      <c r="W4476" s="64" ph="1"/>
    </row>
    <row r="4477" spans="23:23" ht="26.4">
      <c r="W4477" s="64" ph="1"/>
    </row>
    <row r="4478" spans="23:23" ht="26.4">
      <c r="W4478" s="64" ph="1"/>
    </row>
    <row r="4479" spans="23:23" ht="26.4">
      <c r="W4479" s="64" ph="1"/>
    </row>
    <row r="4480" spans="23:23" ht="26.4">
      <c r="W4480" s="64" ph="1"/>
    </row>
    <row r="4481" spans="23:23" ht="26.4">
      <c r="W4481" s="64" ph="1"/>
    </row>
    <row r="4482" spans="23:23" ht="26.4">
      <c r="W4482" s="64" ph="1"/>
    </row>
    <row r="4483" spans="23:23" ht="26.4">
      <c r="W4483" s="64" ph="1"/>
    </row>
    <row r="4484" spans="23:23" ht="26.4">
      <c r="W4484" s="64" ph="1"/>
    </row>
    <row r="4485" spans="23:23" ht="26.4">
      <c r="W4485" s="64" ph="1"/>
    </row>
    <row r="4486" spans="23:23" ht="26.4">
      <c r="W4486" s="64" ph="1"/>
    </row>
    <row r="4487" spans="23:23" ht="26.4">
      <c r="W4487" s="64" ph="1"/>
    </row>
    <row r="4488" spans="23:23" ht="26.4">
      <c r="W4488" s="64" ph="1"/>
    </row>
    <row r="4489" spans="23:23" ht="26.4">
      <c r="W4489" s="64" ph="1"/>
    </row>
    <row r="4490" spans="23:23" ht="26.4">
      <c r="W4490" s="64" ph="1"/>
    </row>
    <row r="4491" spans="23:23" ht="26.4">
      <c r="W4491" s="64" ph="1"/>
    </row>
    <row r="4492" spans="23:23" ht="26.4">
      <c r="W4492" s="64" ph="1"/>
    </row>
    <row r="4493" spans="23:23" ht="26.4">
      <c r="W4493" s="64" ph="1"/>
    </row>
    <row r="4494" spans="23:23" ht="26.4">
      <c r="W4494" s="64" ph="1"/>
    </row>
    <row r="4495" spans="23:23" ht="26.4">
      <c r="W4495" s="64" ph="1"/>
    </row>
    <row r="4496" spans="23:23" ht="26.4">
      <c r="W4496" s="64" ph="1"/>
    </row>
    <row r="4497" spans="23:23" ht="26.4">
      <c r="W4497" s="64" ph="1"/>
    </row>
    <row r="4498" spans="23:23" ht="26.4">
      <c r="W4498" s="64" ph="1"/>
    </row>
    <row r="4499" spans="23:23" ht="26.4">
      <c r="W4499" s="64" ph="1"/>
    </row>
    <row r="4500" spans="23:23" ht="26.4">
      <c r="W4500" s="64" ph="1"/>
    </row>
    <row r="4501" spans="23:23" ht="26.4">
      <c r="W4501" s="64" ph="1"/>
    </row>
    <row r="4502" spans="23:23" ht="26.4">
      <c r="W4502" s="64" ph="1"/>
    </row>
    <row r="4503" spans="23:23" ht="26.4">
      <c r="W4503" s="64" ph="1"/>
    </row>
    <row r="4504" spans="23:23" ht="26.4">
      <c r="W4504" s="64" ph="1"/>
    </row>
    <row r="4505" spans="23:23" ht="26.4">
      <c r="W4505" s="64" ph="1"/>
    </row>
    <row r="4506" spans="23:23" ht="26.4">
      <c r="W4506" s="64" ph="1"/>
    </row>
    <row r="4507" spans="23:23" ht="26.4">
      <c r="W4507" s="64" ph="1"/>
    </row>
    <row r="4508" spans="23:23" ht="26.4">
      <c r="W4508" s="64" ph="1"/>
    </row>
    <row r="4509" spans="23:23" ht="26.4">
      <c r="W4509" s="64" ph="1"/>
    </row>
    <row r="4510" spans="23:23" ht="26.4">
      <c r="W4510" s="64" ph="1"/>
    </row>
    <row r="4511" spans="23:23" ht="26.4">
      <c r="W4511" s="64" ph="1"/>
    </row>
    <row r="4512" spans="23:23" ht="26.4">
      <c r="W4512" s="64" ph="1"/>
    </row>
    <row r="4513" spans="23:23" ht="26.4">
      <c r="W4513" s="64" ph="1"/>
    </row>
    <row r="4514" spans="23:23" ht="26.4">
      <c r="W4514" s="64" ph="1"/>
    </row>
    <row r="4515" spans="23:23" ht="26.4">
      <c r="W4515" s="64" ph="1"/>
    </row>
    <row r="4516" spans="23:23" ht="26.4">
      <c r="W4516" s="64" ph="1"/>
    </row>
    <row r="4517" spans="23:23" ht="26.4">
      <c r="W4517" s="64" ph="1"/>
    </row>
    <row r="4518" spans="23:23" ht="26.4">
      <c r="W4518" s="64" ph="1"/>
    </row>
    <row r="4519" spans="23:23" ht="26.4">
      <c r="W4519" s="64" ph="1"/>
    </row>
    <row r="4520" spans="23:23" ht="26.4">
      <c r="W4520" s="64" ph="1"/>
    </row>
    <row r="4521" spans="23:23" ht="26.4">
      <c r="W4521" s="64" ph="1"/>
    </row>
    <row r="4522" spans="23:23" ht="26.4">
      <c r="W4522" s="64" ph="1"/>
    </row>
    <row r="4523" spans="23:23" ht="26.4">
      <c r="W4523" s="64" ph="1"/>
    </row>
    <row r="4524" spans="23:23" ht="26.4">
      <c r="W4524" s="64" ph="1"/>
    </row>
    <row r="4525" spans="23:23" ht="26.4">
      <c r="W4525" s="64" ph="1"/>
    </row>
    <row r="4526" spans="23:23" ht="26.4">
      <c r="W4526" s="64" ph="1"/>
    </row>
    <row r="4527" spans="23:23" ht="26.4">
      <c r="W4527" s="64" ph="1"/>
    </row>
    <row r="4528" spans="23:23" ht="26.4">
      <c r="W4528" s="64" ph="1"/>
    </row>
    <row r="4529" spans="23:23" ht="26.4">
      <c r="W4529" s="64" ph="1"/>
    </row>
    <row r="4530" spans="23:23" ht="26.4">
      <c r="W4530" s="64" ph="1"/>
    </row>
    <row r="4531" spans="23:23" ht="26.4">
      <c r="W4531" s="64" ph="1"/>
    </row>
    <row r="4532" spans="23:23" ht="26.4">
      <c r="W4532" s="64" ph="1"/>
    </row>
    <row r="4533" spans="23:23" ht="26.4">
      <c r="W4533" s="64" ph="1"/>
    </row>
    <row r="4534" spans="23:23" ht="26.4">
      <c r="W4534" s="64" ph="1"/>
    </row>
    <row r="4535" spans="23:23" ht="26.4">
      <c r="W4535" s="64" ph="1"/>
    </row>
    <row r="4536" spans="23:23" ht="26.4">
      <c r="W4536" s="64" ph="1"/>
    </row>
    <row r="4537" spans="23:23" ht="26.4">
      <c r="W4537" s="64" ph="1"/>
    </row>
    <row r="4538" spans="23:23" ht="26.4">
      <c r="W4538" s="64" ph="1"/>
    </row>
    <row r="4539" spans="23:23" ht="26.4">
      <c r="W4539" s="64" ph="1"/>
    </row>
    <row r="4540" spans="23:23" ht="26.4">
      <c r="W4540" s="64" ph="1"/>
    </row>
    <row r="4541" spans="23:23" ht="26.4">
      <c r="W4541" s="64" ph="1"/>
    </row>
    <row r="4542" spans="23:23" ht="26.4">
      <c r="W4542" s="64" ph="1"/>
    </row>
    <row r="4543" spans="23:23" ht="26.4">
      <c r="W4543" s="64" ph="1"/>
    </row>
    <row r="4544" spans="23:23" ht="26.4">
      <c r="W4544" s="64" ph="1"/>
    </row>
    <row r="4545" spans="23:23" ht="26.4">
      <c r="W4545" s="64" ph="1"/>
    </row>
    <row r="4546" spans="23:23" ht="26.4">
      <c r="W4546" s="64" ph="1"/>
    </row>
    <row r="4547" spans="23:23" ht="26.4">
      <c r="W4547" s="64" ph="1"/>
    </row>
    <row r="4548" spans="23:23" ht="26.4">
      <c r="W4548" s="64" ph="1"/>
    </row>
    <row r="4549" spans="23:23" ht="26.4">
      <c r="W4549" s="64" ph="1"/>
    </row>
    <row r="4550" spans="23:23" ht="26.4">
      <c r="W4550" s="64" ph="1"/>
    </row>
    <row r="4551" spans="23:23" ht="26.4">
      <c r="W4551" s="64" ph="1"/>
    </row>
    <row r="4552" spans="23:23" ht="26.4">
      <c r="W4552" s="64" ph="1"/>
    </row>
    <row r="4553" spans="23:23" ht="26.4">
      <c r="W4553" s="64" ph="1"/>
    </row>
    <row r="4554" spans="23:23" ht="26.4">
      <c r="W4554" s="64" ph="1"/>
    </row>
    <row r="4555" spans="23:23" ht="26.4">
      <c r="W4555" s="64" ph="1"/>
    </row>
    <row r="4556" spans="23:23" ht="26.4">
      <c r="W4556" s="64" ph="1"/>
    </row>
    <row r="4557" spans="23:23" ht="26.4">
      <c r="W4557" s="64" ph="1"/>
    </row>
    <row r="4558" spans="23:23" ht="26.4">
      <c r="W4558" s="64" ph="1"/>
    </row>
    <row r="4559" spans="23:23" ht="26.4">
      <c r="W4559" s="64" ph="1"/>
    </row>
    <row r="4560" spans="23:23" ht="26.4">
      <c r="W4560" s="64" ph="1"/>
    </row>
    <row r="4561" spans="23:23" ht="26.4">
      <c r="W4561" s="64" ph="1"/>
    </row>
    <row r="4562" spans="23:23" ht="26.4">
      <c r="W4562" s="64" ph="1"/>
    </row>
    <row r="4563" spans="23:23" ht="26.4">
      <c r="W4563" s="64" ph="1"/>
    </row>
    <row r="4564" spans="23:23" ht="26.4">
      <c r="W4564" s="64" ph="1"/>
    </row>
    <row r="4565" spans="23:23" ht="26.4">
      <c r="W4565" s="64" ph="1"/>
    </row>
    <row r="4566" spans="23:23" ht="26.4">
      <c r="W4566" s="64" ph="1"/>
    </row>
    <row r="4567" spans="23:23" ht="26.4">
      <c r="W4567" s="64" ph="1"/>
    </row>
    <row r="4568" spans="23:23" ht="26.4">
      <c r="W4568" s="64" ph="1"/>
    </row>
    <row r="4569" spans="23:23" ht="26.4">
      <c r="W4569" s="64" ph="1"/>
    </row>
    <row r="4570" spans="23:23" ht="26.4">
      <c r="W4570" s="64" ph="1"/>
    </row>
    <row r="4571" spans="23:23" ht="26.4">
      <c r="W4571" s="64" ph="1"/>
    </row>
    <row r="4572" spans="23:23" ht="26.4">
      <c r="W4572" s="64" ph="1"/>
    </row>
    <row r="4573" spans="23:23" ht="26.4">
      <c r="W4573" s="64" ph="1"/>
    </row>
    <row r="4574" spans="23:23" ht="26.4">
      <c r="W4574" s="64" ph="1"/>
    </row>
    <row r="4575" spans="23:23" ht="26.4">
      <c r="W4575" s="64" ph="1"/>
    </row>
    <row r="4576" spans="23:23" ht="26.4">
      <c r="W4576" s="64" ph="1"/>
    </row>
    <row r="4577" spans="23:23" ht="26.4">
      <c r="W4577" s="64" ph="1"/>
    </row>
    <row r="4578" spans="23:23" ht="26.4">
      <c r="W4578" s="64" ph="1"/>
    </row>
    <row r="4579" spans="23:23" ht="26.4">
      <c r="W4579" s="64" ph="1"/>
    </row>
    <row r="4580" spans="23:23" ht="26.4">
      <c r="W4580" s="64" ph="1"/>
    </row>
    <row r="4581" spans="23:23" ht="26.4">
      <c r="W4581" s="64" ph="1"/>
    </row>
    <row r="4582" spans="23:23" ht="26.4">
      <c r="W4582" s="64" ph="1"/>
    </row>
    <row r="4583" spans="23:23" ht="26.4">
      <c r="W4583" s="64" ph="1"/>
    </row>
    <row r="4584" spans="23:23" ht="26.4">
      <c r="W4584" s="64" ph="1"/>
    </row>
    <row r="4585" spans="23:23" ht="26.4">
      <c r="W4585" s="64" ph="1"/>
    </row>
    <row r="4586" spans="23:23" ht="26.4">
      <c r="W4586" s="64" ph="1"/>
    </row>
    <row r="4587" spans="23:23" ht="26.4">
      <c r="W4587" s="64" ph="1"/>
    </row>
    <row r="4588" spans="23:23" ht="26.4">
      <c r="W4588" s="64" ph="1"/>
    </row>
    <row r="4589" spans="23:23" ht="26.4">
      <c r="W4589" s="64" ph="1"/>
    </row>
    <row r="4590" spans="23:23" ht="26.4">
      <c r="W4590" s="64" ph="1"/>
    </row>
    <row r="4591" spans="23:23" ht="26.4">
      <c r="W4591" s="64" ph="1"/>
    </row>
    <row r="4592" spans="23:23" ht="26.4">
      <c r="W4592" s="64" ph="1"/>
    </row>
    <row r="4593" spans="23:23" ht="26.4">
      <c r="W4593" s="64" ph="1"/>
    </row>
    <row r="4594" spans="23:23" ht="26.4">
      <c r="W4594" s="64" ph="1"/>
    </row>
    <row r="4595" spans="23:23" ht="26.4">
      <c r="W4595" s="64" ph="1"/>
    </row>
    <row r="4596" spans="23:23" ht="26.4">
      <c r="W4596" s="64" ph="1"/>
    </row>
    <row r="4597" spans="23:23" ht="26.4">
      <c r="W4597" s="64" ph="1"/>
    </row>
    <row r="4598" spans="23:23" ht="26.4">
      <c r="W4598" s="64" ph="1"/>
    </row>
    <row r="4599" spans="23:23" ht="26.4">
      <c r="W4599" s="64" ph="1"/>
    </row>
    <row r="4600" spans="23:23" ht="26.4">
      <c r="W4600" s="64" ph="1"/>
    </row>
    <row r="4601" spans="23:23" ht="26.4">
      <c r="W4601" s="64" ph="1"/>
    </row>
    <row r="4602" spans="23:23" ht="26.4">
      <c r="W4602" s="64" ph="1"/>
    </row>
    <row r="4603" spans="23:23" ht="26.4">
      <c r="W4603" s="64" ph="1"/>
    </row>
    <row r="4604" spans="23:23" ht="26.4">
      <c r="W4604" s="64" ph="1"/>
    </row>
    <row r="4605" spans="23:23" ht="26.4">
      <c r="W4605" s="64" ph="1"/>
    </row>
    <row r="4606" spans="23:23" ht="26.4">
      <c r="W4606" s="64" ph="1"/>
    </row>
    <row r="4607" spans="23:23" ht="26.4">
      <c r="W4607" s="64" ph="1"/>
    </row>
    <row r="4608" spans="23:23" ht="26.4">
      <c r="W4608" s="64" ph="1"/>
    </row>
    <row r="4609" spans="23:23" ht="26.4">
      <c r="W4609" s="64" ph="1"/>
    </row>
    <row r="4610" spans="23:23" ht="26.4">
      <c r="W4610" s="64" ph="1"/>
    </row>
    <row r="4611" spans="23:23" ht="26.4">
      <c r="W4611" s="64" ph="1"/>
    </row>
    <row r="4612" spans="23:23" ht="26.4">
      <c r="W4612" s="64" ph="1"/>
    </row>
    <row r="4613" spans="23:23" ht="26.4">
      <c r="W4613" s="64" ph="1"/>
    </row>
    <row r="4614" spans="23:23" ht="26.4">
      <c r="W4614" s="64" ph="1"/>
    </row>
    <row r="4615" spans="23:23" ht="26.4">
      <c r="W4615" s="64" ph="1"/>
    </row>
    <row r="4616" spans="23:23" ht="26.4">
      <c r="W4616" s="64" ph="1"/>
    </row>
    <row r="4617" spans="23:23" ht="26.4">
      <c r="W4617" s="64" ph="1"/>
    </row>
    <row r="4618" spans="23:23" ht="26.4">
      <c r="W4618" s="64" ph="1"/>
    </row>
    <row r="4619" spans="23:23" ht="26.4">
      <c r="W4619" s="64" ph="1"/>
    </row>
    <row r="4620" spans="23:23" ht="26.4">
      <c r="W4620" s="64" ph="1"/>
    </row>
    <row r="4621" spans="23:23" ht="26.4">
      <c r="W4621" s="64" ph="1"/>
    </row>
    <row r="4622" spans="23:23" ht="26.4">
      <c r="W4622" s="64" ph="1"/>
    </row>
    <row r="4623" spans="23:23" ht="26.4">
      <c r="W4623" s="64" ph="1"/>
    </row>
    <row r="4624" spans="23:23" ht="26.4">
      <c r="W4624" s="64" ph="1"/>
    </row>
    <row r="4625" spans="23:23" ht="26.4">
      <c r="W4625" s="64" ph="1"/>
    </row>
    <row r="4626" spans="23:23" ht="26.4">
      <c r="W4626" s="64" ph="1"/>
    </row>
    <row r="4627" spans="23:23" ht="26.4">
      <c r="W4627" s="64" ph="1"/>
    </row>
    <row r="4628" spans="23:23" ht="26.4">
      <c r="W4628" s="64" ph="1"/>
    </row>
    <row r="4629" spans="23:23" ht="26.4">
      <c r="W4629" s="64" ph="1"/>
    </row>
    <row r="4630" spans="23:23" ht="26.4">
      <c r="W4630" s="64" ph="1"/>
    </row>
    <row r="4631" spans="23:23" ht="26.4">
      <c r="W4631" s="64" ph="1"/>
    </row>
    <row r="4632" spans="23:23" ht="26.4">
      <c r="W4632" s="64" ph="1"/>
    </row>
    <row r="4633" spans="23:23" ht="26.4">
      <c r="W4633" s="64" ph="1"/>
    </row>
    <row r="4634" spans="23:23" ht="26.4">
      <c r="W4634" s="64" ph="1"/>
    </row>
    <row r="4635" spans="23:23" ht="26.4">
      <c r="W4635" s="64" ph="1"/>
    </row>
    <row r="4636" spans="23:23" ht="26.4">
      <c r="W4636" s="64" ph="1"/>
    </row>
    <row r="4637" spans="23:23" ht="26.4">
      <c r="W4637" s="64" ph="1"/>
    </row>
    <row r="4638" spans="23:23" ht="26.4">
      <c r="W4638" s="64" ph="1"/>
    </row>
    <row r="4639" spans="23:23" ht="26.4">
      <c r="W4639" s="64" ph="1"/>
    </row>
    <row r="4640" spans="23:23" ht="26.4">
      <c r="W4640" s="64" ph="1"/>
    </row>
    <row r="4641" spans="23:23" ht="26.4">
      <c r="W4641" s="64" ph="1"/>
    </row>
    <row r="4642" spans="23:23" ht="26.4">
      <c r="W4642" s="64" ph="1"/>
    </row>
    <row r="4643" spans="23:23" ht="26.4">
      <c r="W4643" s="64" ph="1"/>
    </row>
    <row r="4644" spans="23:23" ht="26.4">
      <c r="W4644" s="64" ph="1"/>
    </row>
    <row r="4645" spans="23:23" ht="26.4">
      <c r="W4645" s="64" ph="1"/>
    </row>
    <row r="4646" spans="23:23" ht="26.4">
      <c r="W4646" s="64" ph="1"/>
    </row>
    <row r="4647" spans="23:23" ht="26.4">
      <c r="W4647" s="64" ph="1"/>
    </row>
    <row r="4648" spans="23:23" ht="26.4">
      <c r="W4648" s="64" ph="1"/>
    </row>
    <row r="4649" spans="23:23" ht="26.4">
      <c r="W4649" s="64" ph="1"/>
    </row>
    <row r="4650" spans="23:23" ht="26.4">
      <c r="W4650" s="64" ph="1"/>
    </row>
    <row r="4651" spans="23:23" ht="26.4">
      <c r="W4651" s="64" ph="1"/>
    </row>
    <row r="4652" spans="23:23" ht="26.4">
      <c r="W4652" s="64" ph="1"/>
    </row>
    <row r="4653" spans="23:23" ht="26.4">
      <c r="W4653" s="64" ph="1"/>
    </row>
    <row r="4654" spans="23:23" ht="26.4">
      <c r="W4654" s="64" ph="1"/>
    </row>
    <row r="4655" spans="23:23" ht="26.4">
      <c r="W4655" s="64" ph="1"/>
    </row>
    <row r="4656" spans="23:23" ht="26.4">
      <c r="W4656" s="64" ph="1"/>
    </row>
    <row r="4657" spans="23:23" ht="26.4">
      <c r="W4657" s="64" ph="1"/>
    </row>
    <row r="4658" spans="23:23" ht="26.4">
      <c r="W4658" s="64" ph="1"/>
    </row>
    <row r="4659" spans="23:23" ht="26.4">
      <c r="W4659" s="64" ph="1"/>
    </row>
    <row r="4660" spans="23:23" ht="26.4">
      <c r="W4660" s="64" ph="1"/>
    </row>
    <row r="4661" spans="23:23" ht="26.4">
      <c r="W4661" s="64" ph="1"/>
    </row>
    <row r="4662" spans="23:23" ht="26.4">
      <c r="W4662" s="64" ph="1"/>
    </row>
    <row r="4663" spans="23:23" ht="26.4">
      <c r="W4663" s="64" ph="1"/>
    </row>
    <row r="4664" spans="23:23" ht="26.4">
      <c r="W4664" s="64" ph="1"/>
    </row>
    <row r="4665" spans="23:23" ht="26.4">
      <c r="W4665" s="64" ph="1"/>
    </row>
    <row r="4666" spans="23:23" ht="26.4">
      <c r="W4666" s="64" ph="1"/>
    </row>
    <row r="4667" spans="23:23" ht="26.4">
      <c r="W4667" s="64" ph="1"/>
    </row>
    <row r="4668" spans="23:23" ht="26.4">
      <c r="W4668" s="64" ph="1"/>
    </row>
    <row r="4669" spans="23:23" ht="26.4">
      <c r="W4669" s="64" ph="1"/>
    </row>
    <row r="4670" spans="23:23" ht="26.4">
      <c r="W4670" s="64" ph="1"/>
    </row>
    <row r="4671" spans="23:23" ht="26.4">
      <c r="W4671" s="64" ph="1"/>
    </row>
    <row r="4672" spans="23:23" ht="26.4">
      <c r="W4672" s="64" ph="1"/>
    </row>
    <row r="4673" spans="23:23" ht="26.4">
      <c r="W4673" s="64" ph="1"/>
    </row>
    <row r="4674" spans="23:23" ht="26.4">
      <c r="W4674" s="64" ph="1"/>
    </row>
    <row r="4675" spans="23:23" ht="26.4">
      <c r="W4675" s="64" ph="1"/>
    </row>
    <row r="4676" spans="23:23" ht="26.4">
      <c r="W4676" s="64" ph="1"/>
    </row>
    <row r="4677" spans="23:23" ht="26.4">
      <c r="W4677" s="64" ph="1"/>
    </row>
    <row r="4678" spans="23:23" ht="26.4">
      <c r="W4678" s="64" ph="1"/>
    </row>
    <row r="4679" spans="23:23" ht="26.4">
      <c r="W4679" s="64" ph="1"/>
    </row>
    <row r="4680" spans="23:23" ht="26.4">
      <c r="W4680" s="64" ph="1"/>
    </row>
    <row r="4681" spans="23:23" ht="26.4">
      <c r="W4681" s="64" ph="1"/>
    </row>
    <row r="4682" spans="23:23" ht="26.4">
      <c r="W4682" s="64" ph="1"/>
    </row>
    <row r="4683" spans="23:23" ht="26.4">
      <c r="W4683" s="64" ph="1"/>
    </row>
    <row r="4684" spans="23:23" ht="26.4">
      <c r="W4684" s="64" ph="1"/>
    </row>
    <row r="4685" spans="23:23" ht="26.4">
      <c r="W4685" s="64" ph="1"/>
    </row>
    <row r="4686" spans="23:23" ht="26.4">
      <c r="W4686" s="64" ph="1"/>
    </row>
    <row r="4687" spans="23:23" ht="26.4">
      <c r="W4687" s="64" ph="1"/>
    </row>
    <row r="4688" spans="23:23" ht="26.4">
      <c r="W4688" s="64" ph="1"/>
    </row>
    <row r="4689" spans="23:23" ht="26.4">
      <c r="W4689" s="64" ph="1"/>
    </row>
    <row r="4690" spans="23:23" ht="26.4">
      <c r="W4690" s="64" ph="1"/>
    </row>
    <row r="4691" spans="23:23" ht="26.4">
      <c r="W4691" s="64" ph="1"/>
    </row>
    <row r="4692" spans="23:23" ht="26.4">
      <c r="W4692" s="64" ph="1"/>
    </row>
    <row r="4693" spans="23:23" ht="26.4">
      <c r="W4693" s="64" ph="1"/>
    </row>
    <row r="4694" spans="23:23" ht="26.4">
      <c r="W4694" s="64" ph="1"/>
    </row>
    <row r="4695" spans="23:23" ht="26.4">
      <c r="W4695" s="64" ph="1"/>
    </row>
    <row r="4696" spans="23:23" ht="26.4">
      <c r="W4696" s="64" ph="1"/>
    </row>
    <row r="4697" spans="23:23" ht="26.4">
      <c r="W4697" s="64" ph="1"/>
    </row>
    <row r="4698" spans="23:23" ht="26.4">
      <c r="W4698" s="64" ph="1"/>
    </row>
    <row r="4699" spans="23:23" ht="26.4">
      <c r="W4699" s="64" ph="1"/>
    </row>
    <row r="4700" spans="23:23" ht="26.4">
      <c r="W4700" s="64" ph="1"/>
    </row>
    <row r="4701" spans="23:23" ht="26.4">
      <c r="W4701" s="64" ph="1"/>
    </row>
    <row r="4702" spans="23:23" ht="26.4">
      <c r="W4702" s="64" ph="1"/>
    </row>
    <row r="4703" spans="23:23" ht="26.4">
      <c r="W4703" s="64" ph="1"/>
    </row>
    <row r="4704" spans="23:23" ht="26.4">
      <c r="W4704" s="64" ph="1"/>
    </row>
    <row r="4705" spans="23:23" ht="26.4">
      <c r="W4705" s="64" ph="1"/>
    </row>
    <row r="4706" spans="23:23" ht="26.4">
      <c r="W4706" s="64" ph="1"/>
    </row>
    <row r="4707" spans="23:23" ht="26.4">
      <c r="W4707" s="64" ph="1"/>
    </row>
    <row r="4708" spans="23:23" ht="26.4">
      <c r="W4708" s="64" ph="1"/>
    </row>
    <row r="4709" spans="23:23" ht="26.4">
      <c r="W4709" s="64" ph="1"/>
    </row>
    <row r="4710" spans="23:23" ht="26.4">
      <c r="W4710" s="64" ph="1"/>
    </row>
    <row r="4711" spans="23:23" ht="26.4">
      <c r="W4711" s="64" ph="1"/>
    </row>
    <row r="4712" spans="23:23" ht="26.4">
      <c r="W4712" s="64" ph="1"/>
    </row>
    <row r="4713" spans="23:23" ht="26.4">
      <c r="W4713" s="64" ph="1"/>
    </row>
    <row r="4714" spans="23:23" ht="26.4">
      <c r="W4714" s="64" ph="1"/>
    </row>
    <row r="4715" spans="23:23" ht="26.4">
      <c r="W4715" s="64" ph="1"/>
    </row>
    <row r="4716" spans="23:23" ht="26.4">
      <c r="W4716" s="64" ph="1"/>
    </row>
    <row r="4717" spans="23:23" ht="26.4">
      <c r="W4717" s="64" ph="1"/>
    </row>
    <row r="4718" spans="23:23" ht="26.4">
      <c r="W4718" s="64" ph="1"/>
    </row>
    <row r="4719" spans="23:23" ht="26.4">
      <c r="W4719" s="64" ph="1"/>
    </row>
    <row r="4720" spans="23:23" ht="26.4">
      <c r="W4720" s="64" ph="1"/>
    </row>
    <row r="4721" spans="23:23" ht="26.4">
      <c r="W4721" s="64" ph="1"/>
    </row>
    <row r="4722" spans="23:23" ht="26.4">
      <c r="W4722" s="64" ph="1"/>
    </row>
    <row r="4723" spans="23:23" ht="26.4">
      <c r="W4723" s="64" ph="1"/>
    </row>
    <row r="4724" spans="23:23" ht="26.4">
      <c r="W4724" s="64" ph="1"/>
    </row>
    <row r="4725" spans="23:23" ht="26.4">
      <c r="W4725" s="64" ph="1"/>
    </row>
    <row r="4726" spans="23:23" ht="26.4">
      <c r="W4726" s="64" ph="1"/>
    </row>
    <row r="4727" spans="23:23" ht="26.4">
      <c r="W4727" s="64" ph="1"/>
    </row>
    <row r="4728" spans="23:23" ht="26.4">
      <c r="W4728" s="64" ph="1"/>
    </row>
    <row r="4729" spans="23:23" ht="26.4">
      <c r="W4729" s="64" ph="1"/>
    </row>
    <row r="4730" spans="23:23" ht="26.4">
      <c r="W4730" s="64" ph="1"/>
    </row>
    <row r="4731" spans="23:23" ht="26.4">
      <c r="W4731" s="64" ph="1"/>
    </row>
    <row r="4732" spans="23:23" ht="26.4">
      <c r="W4732" s="64" ph="1"/>
    </row>
    <row r="4733" spans="23:23" ht="26.4">
      <c r="W4733" s="64" ph="1"/>
    </row>
    <row r="4734" spans="23:23" ht="26.4">
      <c r="W4734" s="64" ph="1"/>
    </row>
    <row r="4735" spans="23:23" ht="26.4">
      <c r="W4735" s="64" ph="1"/>
    </row>
    <row r="4736" spans="23:23" ht="26.4">
      <c r="W4736" s="64" ph="1"/>
    </row>
    <row r="4737" spans="23:23" ht="26.4">
      <c r="W4737" s="64" ph="1"/>
    </row>
    <row r="4738" spans="23:23" ht="26.4">
      <c r="W4738" s="64" ph="1"/>
    </row>
    <row r="4739" spans="23:23" ht="26.4">
      <c r="W4739" s="64" ph="1"/>
    </row>
    <row r="4740" spans="23:23" ht="26.4">
      <c r="W4740" s="64" ph="1"/>
    </row>
    <row r="4741" spans="23:23" ht="26.4">
      <c r="W4741" s="64" ph="1"/>
    </row>
    <row r="4742" spans="23:23" ht="26.4">
      <c r="W4742" s="64" ph="1"/>
    </row>
    <row r="4743" spans="23:23" ht="26.4">
      <c r="W4743" s="64" ph="1"/>
    </row>
    <row r="4744" spans="23:23" ht="26.4">
      <c r="W4744" s="64" ph="1"/>
    </row>
    <row r="4745" spans="23:23" ht="26.4">
      <c r="W4745" s="64" ph="1"/>
    </row>
    <row r="4746" spans="23:23" ht="26.4">
      <c r="W4746" s="64" ph="1"/>
    </row>
    <row r="4747" spans="23:23" ht="26.4">
      <c r="W4747" s="64" ph="1"/>
    </row>
    <row r="4748" spans="23:23" ht="26.4">
      <c r="W4748" s="64" ph="1"/>
    </row>
    <row r="4749" spans="23:23" ht="26.4">
      <c r="W4749" s="64" ph="1"/>
    </row>
    <row r="4750" spans="23:23" ht="26.4">
      <c r="W4750" s="64" ph="1"/>
    </row>
    <row r="4751" spans="23:23" ht="26.4">
      <c r="W4751" s="64" ph="1"/>
    </row>
    <row r="4752" spans="23:23" ht="26.4">
      <c r="W4752" s="64" ph="1"/>
    </row>
    <row r="4753" spans="23:23" ht="26.4">
      <c r="W4753" s="64" ph="1"/>
    </row>
    <row r="4754" spans="23:23" ht="26.4">
      <c r="W4754" s="64" ph="1"/>
    </row>
    <row r="4755" spans="23:23" ht="26.4">
      <c r="W4755" s="64" ph="1"/>
    </row>
    <row r="4756" spans="23:23" ht="26.4">
      <c r="W4756" s="64" ph="1"/>
    </row>
    <row r="4757" spans="23:23" ht="26.4">
      <c r="W4757" s="64" ph="1"/>
    </row>
    <row r="4758" spans="23:23" ht="26.4">
      <c r="W4758" s="64" ph="1"/>
    </row>
    <row r="4759" spans="23:23" ht="26.4">
      <c r="W4759" s="64" ph="1"/>
    </row>
    <row r="4760" spans="23:23" ht="26.4">
      <c r="W4760" s="64" ph="1"/>
    </row>
    <row r="4761" spans="23:23" ht="26.4">
      <c r="W4761" s="64" ph="1"/>
    </row>
    <row r="4762" spans="23:23" ht="26.4">
      <c r="W4762" s="64" ph="1"/>
    </row>
    <row r="4763" spans="23:23" ht="26.4">
      <c r="W4763" s="64" ph="1"/>
    </row>
    <row r="4764" spans="23:23" ht="26.4">
      <c r="W4764" s="64" ph="1"/>
    </row>
    <row r="4765" spans="23:23" ht="26.4">
      <c r="W4765" s="64" ph="1"/>
    </row>
    <row r="4766" spans="23:23" ht="26.4">
      <c r="W4766" s="64" ph="1"/>
    </row>
    <row r="4767" spans="23:23" ht="26.4">
      <c r="W4767" s="64" ph="1"/>
    </row>
    <row r="4768" spans="23:23" ht="26.4">
      <c r="W4768" s="64" ph="1"/>
    </row>
    <row r="4769" spans="23:23" ht="26.4">
      <c r="W4769" s="64" ph="1"/>
    </row>
    <row r="4770" spans="23:23" ht="26.4">
      <c r="W4770" s="64" ph="1"/>
    </row>
    <row r="4771" spans="23:23" ht="26.4">
      <c r="W4771" s="64" ph="1"/>
    </row>
    <row r="4772" spans="23:23" ht="26.4">
      <c r="W4772" s="64" ph="1"/>
    </row>
    <row r="4773" spans="23:23" ht="26.4">
      <c r="W4773" s="64" ph="1"/>
    </row>
    <row r="4774" spans="23:23" ht="26.4">
      <c r="W4774" s="64" ph="1"/>
    </row>
    <row r="4775" spans="23:23" ht="26.4">
      <c r="W4775" s="64" ph="1"/>
    </row>
    <row r="4776" spans="23:23" ht="26.4">
      <c r="W4776" s="64" ph="1"/>
    </row>
    <row r="4777" spans="23:23" ht="26.4">
      <c r="W4777" s="64" ph="1"/>
    </row>
    <row r="4778" spans="23:23" ht="26.4">
      <c r="W4778" s="64" ph="1"/>
    </row>
    <row r="4779" spans="23:23" ht="26.4">
      <c r="W4779" s="64" ph="1"/>
    </row>
    <row r="4780" spans="23:23" ht="26.4">
      <c r="W4780" s="64" ph="1"/>
    </row>
    <row r="4781" spans="23:23" ht="26.4">
      <c r="W4781" s="64" ph="1"/>
    </row>
    <row r="4782" spans="23:23" ht="26.4">
      <c r="W4782" s="64" ph="1"/>
    </row>
    <row r="4783" spans="23:23" ht="26.4">
      <c r="W4783" s="64" ph="1"/>
    </row>
    <row r="4784" spans="23:23" ht="26.4">
      <c r="W4784" s="64" ph="1"/>
    </row>
    <row r="4785" spans="23:23" ht="26.4">
      <c r="W4785" s="64" ph="1"/>
    </row>
    <row r="4786" spans="23:23" ht="26.4">
      <c r="W4786" s="64" ph="1"/>
    </row>
    <row r="4787" spans="23:23" ht="26.4">
      <c r="W4787" s="64" ph="1"/>
    </row>
    <row r="4788" spans="23:23" ht="26.4">
      <c r="W4788" s="64" ph="1"/>
    </row>
    <row r="4789" spans="23:23" ht="26.4">
      <c r="W4789" s="64" ph="1"/>
    </row>
    <row r="4790" spans="23:23" ht="26.4">
      <c r="W4790" s="64" ph="1"/>
    </row>
    <row r="4791" spans="23:23" ht="26.4">
      <c r="W4791" s="64" ph="1"/>
    </row>
    <row r="4792" spans="23:23" ht="26.4">
      <c r="W4792" s="64" ph="1"/>
    </row>
    <row r="4793" spans="23:23" ht="26.4">
      <c r="W4793" s="64" ph="1"/>
    </row>
    <row r="4794" spans="23:23" ht="26.4">
      <c r="W4794" s="64" ph="1"/>
    </row>
    <row r="4795" spans="23:23" ht="26.4">
      <c r="W4795" s="64" ph="1"/>
    </row>
    <row r="4796" spans="23:23" ht="26.4">
      <c r="W4796" s="64" ph="1"/>
    </row>
    <row r="4797" spans="23:23" ht="26.4">
      <c r="W4797" s="64" ph="1"/>
    </row>
    <row r="4798" spans="23:23" ht="26.4">
      <c r="W4798" s="64" ph="1"/>
    </row>
    <row r="4799" spans="23:23" ht="26.4">
      <c r="W4799" s="64" ph="1"/>
    </row>
    <row r="4800" spans="23:23" ht="26.4">
      <c r="W4800" s="64" ph="1"/>
    </row>
    <row r="4801" spans="23:23" ht="26.4">
      <c r="W4801" s="64" ph="1"/>
    </row>
    <row r="4802" spans="23:23" ht="26.4">
      <c r="W4802" s="64" ph="1"/>
    </row>
    <row r="4803" spans="23:23" ht="26.4">
      <c r="W4803" s="64" ph="1"/>
    </row>
    <row r="4804" spans="23:23" ht="26.4">
      <c r="W4804" s="64" ph="1"/>
    </row>
    <row r="4805" spans="23:23" ht="26.4">
      <c r="W4805" s="64" ph="1"/>
    </row>
    <row r="4806" spans="23:23" ht="26.4">
      <c r="W4806" s="64" ph="1"/>
    </row>
    <row r="4807" spans="23:23" ht="26.4">
      <c r="W4807" s="64" ph="1"/>
    </row>
    <row r="4808" spans="23:23" ht="26.4">
      <c r="W4808" s="64" ph="1"/>
    </row>
    <row r="4809" spans="23:23" ht="26.4">
      <c r="W4809" s="64" ph="1"/>
    </row>
    <row r="4810" spans="23:23" ht="26.4">
      <c r="W4810" s="64" ph="1"/>
    </row>
    <row r="4811" spans="23:23" ht="26.4">
      <c r="W4811" s="64" ph="1"/>
    </row>
    <row r="4812" spans="23:23" ht="26.4">
      <c r="W4812" s="64" ph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7030A0"/>
  </sheetPr>
  <dimension ref="A1:AX4832"/>
  <sheetViews>
    <sheetView workbookViewId="0">
      <selection activeCell="AF39" sqref="AF39"/>
    </sheetView>
  </sheetViews>
  <sheetFormatPr defaultColWidth="9.125" defaultRowHeight="16.2"/>
  <cols>
    <col min="1" max="1" width="5.75" style="135" customWidth="1"/>
    <col min="2" max="5" width="5.75" style="97" customWidth="1"/>
    <col min="6" max="6" width="8.75" style="66" customWidth="1"/>
    <col min="7" max="7" width="7.75" style="20" customWidth="1"/>
    <col min="8" max="8" width="5.75" style="13" customWidth="1"/>
    <col min="9" max="9" width="9.75" style="10" customWidth="1"/>
    <col min="10" max="10" width="6.75" style="32" customWidth="1"/>
    <col min="11" max="11" width="6.75" style="367" customWidth="1"/>
    <col min="12" max="12" width="6.75" style="77" customWidth="1"/>
    <col min="13" max="13" width="6.75" style="365" customWidth="1"/>
    <col min="14" max="14" width="7.75" style="367" customWidth="1"/>
    <col min="15" max="15" width="7.75" style="343" customWidth="1"/>
    <col min="16" max="16" width="5.75" style="166" customWidth="1"/>
    <col min="17" max="17" width="4.75" style="109" customWidth="1"/>
    <col min="18" max="19" width="4.75" style="51" customWidth="1"/>
    <col min="20" max="20" width="5.75" style="339" customWidth="1"/>
    <col min="21" max="21" width="2.75" style="329" customWidth="1"/>
    <col min="22" max="22" width="6.75" style="371" customWidth="1"/>
    <col min="23" max="23" width="7.75" style="64" customWidth="1"/>
    <col min="24" max="24" width="7.75" style="240" customWidth="1"/>
    <col min="25" max="25" width="9.75" style="285" customWidth="1"/>
    <col min="26" max="26" width="9.75" style="72" customWidth="1"/>
    <col min="27" max="27" width="9.75" style="61" customWidth="1"/>
    <col min="28" max="28" width="8.75" style="12" customWidth="1"/>
    <col min="29" max="29" width="6.75" style="104" customWidth="1"/>
    <col min="30" max="30" width="8.75" style="10" customWidth="1"/>
    <col min="31" max="31" width="11.75" style="89" customWidth="1"/>
    <col min="32" max="32" width="11.75" style="88" customWidth="1"/>
    <col min="33" max="33" width="3.75" style="82" customWidth="1"/>
    <col min="34" max="34" width="3.75" style="284" customWidth="1"/>
    <col min="35" max="35" width="2.75" style="129" customWidth="1"/>
    <col min="36" max="36" width="2.75" style="264" customWidth="1"/>
    <col min="37" max="37" width="7.75" style="252" customWidth="1"/>
    <col min="38" max="38" width="7.75" style="266" customWidth="1"/>
    <col min="39" max="40" width="7.75" style="284" customWidth="1"/>
    <col min="41" max="41" width="12.75" style="252" customWidth="1"/>
    <col min="42" max="42" width="5.75" style="266" customWidth="1"/>
    <col min="43" max="16384" width="9.125" style="284"/>
  </cols>
  <sheetData>
    <row r="1" spans="1:44">
      <c r="A1" s="135" t="s">
        <v>2552</v>
      </c>
      <c r="B1" s="96" t="s">
        <v>2331</v>
      </c>
      <c r="C1" s="96" t="s">
        <v>2332</v>
      </c>
      <c r="D1" s="96" t="s">
        <v>2333</v>
      </c>
      <c r="E1" s="96" t="s">
        <v>2334</v>
      </c>
      <c r="F1" s="9" t="s">
        <v>1709</v>
      </c>
      <c r="G1" s="27" t="s">
        <v>5626</v>
      </c>
      <c r="H1" s="56" t="s">
        <v>578</v>
      </c>
      <c r="I1" s="9" t="s">
        <v>6464</v>
      </c>
      <c r="J1" s="364" t="s">
        <v>2189</v>
      </c>
      <c r="K1" s="364" t="s">
        <v>1820</v>
      </c>
      <c r="L1" s="364" t="s">
        <v>515</v>
      </c>
      <c r="M1" s="364" t="s">
        <v>1699</v>
      </c>
      <c r="N1" s="364" t="s">
        <v>6633</v>
      </c>
      <c r="O1" s="343" t="s">
        <v>6634</v>
      </c>
      <c r="P1" s="83" t="s">
        <v>5279</v>
      </c>
      <c r="Q1" s="326" t="s">
        <v>5514</v>
      </c>
      <c r="R1" s="51" t="s">
        <v>6596</v>
      </c>
      <c r="S1" s="51" t="s">
        <v>6597</v>
      </c>
      <c r="T1" s="338" t="s">
        <v>5627</v>
      </c>
      <c r="U1" s="330" t="s">
        <v>6537</v>
      </c>
      <c r="V1" s="377" t="s">
        <v>6616</v>
      </c>
      <c r="W1" s="11" t="s">
        <v>127</v>
      </c>
      <c r="X1" s="71" t="s">
        <v>6626</v>
      </c>
      <c r="Y1" s="29" t="s">
        <v>6688</v>
      </c>
      <c r="Z1" s="18" t="s">
        <v>2113</v>
      </c>
      <c r="AA1" s="15" t="s">
        <v>3598</v>
      </c>
      <c r="AB1" s="22" t="s">
        <v>2199</v>
      </c>
      <c r="AC1" s="26" t="s">
        <v>211</v>
      </c>
      <c r="AD1" s="9" t="s">
        <v>6464</v>
      </c>
      <c r="AE1" s="56" t="s">
        <v>5568</v>
      </c>
      <c r="AF1" s="114" t="s">
        <v>5575</v>
      </c>
      <c r="AG1" s="33" t="s">
        <v>1827</v>
      </c>
      <c r="AH1" s="262" t="s">
        <v>6799</v>
      </c>
      <c r="AI1" s="284"/>
      <c r="AK1" s="9" t="s">
        <v>6666</v>
      </c>
      <c r="AL1" s="5" t="s">
        <v>6667</v>
      </c>
      <c r="AM1" s="51" t="s">
        <v>5339</v>
      </c>
      <c r="AN1" s="276" t="s">
        <v>6665</v>
      </c>
      <c r="AO1" s="131"/>
      <c r="AP1" s="264"/>
    </row>
    <row r="2" spans="1:44">
      <c r="B2" s="96"/>
      <c r="C2" s="96"/>
      <c r="D2" s="96"/>
      <c r="E2" s="96"/>
      <c r="F2" s="9"/>
      <c r="G2" s="27"/>
      <c r="H2" s="56"/>
      <c r="I2" s="9"/>
      <c r="J2" s="364"/>
      <c r="K2" s="364"/>
      <c r="L2" s="364"/>
      <c r="M2" s="364"/>
      <c r="N2" s="364"/>
      <c r="P2" s="83"/>
      <c r="Q2" s="326"/>
      <c r="T2" s="338"/>
      <c r="U2" s="330"/>
      <c r="V2" s="377"/>
      <c r="W2" s="11"/>
      <c r="X2" s="71"/>
      <c r="Y2" s="29"/>
      <c r="Z2" s="18"/>
      <c r="AA2" s="15"/>
      <c r="AB2" s="22"/>
      <c r="AC2" s="26"/>
      <c r="AD2" s="9"/>
      <c r="AE2" s="56"/>
      <c r="AF2" s="114"/>
      <c r="AG2" s="33"/>
      <c r="AH2" s="262"/>
      <c r="AI2" s="284"/>
      <c r="AK2" s="9"/>
      <c r="AL2" s="5"/>
      <c r="AM2" s="51"/>
      <c r="AN2" s="276"/>
      <c r="AO2" s="131"/>
      <c r="AP2" s="264"/>
    </row>
    <row r="3" spans="1:44">
      <c r="A3" s="135" t="s">
        <v>2583</v>
      </c>
      <c r="B3" s="84">
        <v>7</v>
      </c>
      <c r="C3" s="84">
        <v>10</v>
      </c>
      <c r="D3" s="84">
        <v>10</v>
      </c>
      <c r="E3" s="84">
        <v>33</v>
      </c>
      <c r="F3" s="59">
        <v>53.69</v>
      </c>
      <c r="G3" s="84">
        <v>8422</v>
      </c>
      <c r="H3" s="5" t="s">
        <v>429</v>
      </c>
      <c r="I3" s="23" t="s">
        <v>1239</v>
      </c>
      <c r="J3" s="77">
        <v>44.57</v>
      </c>
      <c r="K3" s="77">
        <v>27.75</v>
      </c>
      <c r="L3" s="77">
        <v>18.93</v>
      </c>
      <c r="M3" s="371">
        <v>17.32</v>
      </c>
      <c r="N3" s="365">
        <f t="shared" ref="N3:N6" si="0">J3+K3+L3+M3</f>
        <v>108.57</v>
      </c>
      <c r="O3" s="343">
        <f t="shared" ref="O3:O6" si="1">J3+M3</f>
        <v>61.89</v>
      </c>
      <c r="P3" s="195">
        <v>1</v>
      </c>
      <c r="Q3" s="326">
        <v>7</v>
      </c>
      <c r="R3" s="111">
        <v>11</v>
      </c>
      <c r="S3" s="51">
        <v>12</v>
      </c>
      <c r="T3" s="339">
        <f t="shared" ref="T3" si="2">SUM(P3:S3)</f>
        <v>31</v>
      </c>
      <c r="U3" s="329" t="s">
        <v>6837</v>
      </c>
      <c r="V3" s="77">
        <v>3.51</v>
      </c>
      <c r="W3" s="69">
        <v>10</v>
      </c>
      <c r="X3" s="100">
        <v>11.4</v>
      </c>
      <c r="Y3" s="37" t="str">
        <f>RTD("money.excel",,"8422","Price")</f>
        <v>無資料</v>
      </c>
      <c r="Z3" s="69">
        <v>231</v>
      </c>
      <c r="AA3" s="16" t="e">
        <f t="shared" ref="AA3:AA6" si="3">Y3-Z3</f>
        <v>#VALUE!</v>
      </c>
      <c r="AB3" s="3" t="e">
        <f t="shared" ref="AB3:AB6" si="4">AA3/Z3</f>
        <v>#VALUE!</v>
      </c>
      <c r="AC3" s="177" t="s">
        <v>6840</v>
      </c>
      <c r="AD3" s="23" t="s">
        <v>1239</v>
      </c>
      <c r="AE3" s="89">
        <v>44554</v>
      </c>
      <c r="AG3" s="34">
        <f t="shared" ref="AG3:AG6" si="5">AF3-AE3</f>
        <v>-44554</v>
      </c>
      <c r="AH3" s="63" t="s">
        <v>4430</v>
      </c>
      <c r="AI3" s="131"/>
      <c r="AK3" s="66">
        <f t="shared" ref="AK3:AK6" si="6">AM3/(A3*10000)</f>
        <v>0</v>
      </c>
      <c r="AL3" s="174">
        <f t="shared" ref="AL3:AL6" si="7">AN3/(A3*10000)</f>
        <v>0</v>
      </c>
      <c r="AM3" s="346">
        <f>RTD("money.excel",,$G3,"PredictVolume")</f>
        <v>0</v>
      </c>
      <c r="AN3" s="272">
        <f>RTD("money.excel",,$G3,"CumulativeVolume")</f>
        <v>0</v>
      </c>
      <c r="AO3" s="284"/>
      <c r="AP3" s="284"/>
    </row>
    <row r="4" spans="1:44">
      <c r="A4" s="135" t="s">
        <v>2631</v>
      </c>
      <c r="B4" s="84">
        <v>38</v>
      </c>
      <c r="C4" s="84">
        <v>53</v>
      </c>
      <c r="D4" s="84">
        <v>71</v>
      </c>
      <c r="E4" s="84">
        <v>146</v>
      </c>
      <c r="F4" s="59">
        <v>44.29</v>
      </c>
      <c r="G4" s="84">
        <v>2348</v>
      </c>
      <c r="H4" s="9" t="s">
        <v>429</v>
      </c>
      <c r="I4" s="23" t="s">
        <v>1224</v>
      </c>
      <c r="J4" s="77">
        <v>73.63</v>
      </c>
      <c r="K4" s="371">
        <v>2.58</v>
      </c>
      <c r="L4" s="371">
        <v>7.04</v>
      </c>
      <c r="M4" s="371">
        <v>54.11</v>
      </c>
      <c r="N4" s="77">
        <f t="shared" si="0"/>
        <v>137.36000000000001</v>
      </c>
      <c r="O4" s="369">
        <f t="shared" si="1"/>
        <v>127.74</v>
      </c>
      <c r="P4" s="195">
        <v>7</v>
      </c>
      <c r="Q4" s="326">
        <v>4</v>
      </c>
      <c r="R4" s="111">
        <v>7</v>
      </c>
      <c r="S4" s="51">
        <v>15</v>
      </c>
      <c r="T4" s="339">
        <f>SUM(P4:S4)</f>
        <v>33</v>
      </c>
      <c r="U4" s="329" t="s">
        <v>6539</v>
      </c>
      <c r="V4" s="371">
        <v>0.64</v>
      </c>
      <c r="W4" s="69">
        <v>8</v>
      </c>
      <c r="X4" s="59">
        <v>16.97</v>
      </c>
      <c r="Y4" s="37" t="str">
        <f>RTD("money.excel",,"2348","Price")</f>
        <v>無資料</v>
      </c>
      <c r="Z4" s="69">
        <v>108</v>
      </c>
      <c r="AA4" s="16" t="e">
        <f t="shared" si="3"/>
        <v>#VALUE!</v>
      </c>
      <c r="AB4" s="3" t="e">
        <f t="shared" si="4"/>
        <v>#VALUE!</v>
      </c>
      <c r="AC4" s="177" t="s">
        <v>6841</v>
      </c>
      <c r="AD4" s="23" t="s">
        <v>1224</v>
      </c>
      <c r="AE4" s="89">
        <v>44554</v>
      </c>
      <c r="AG4" s="34">
        <f t="shared" si="5"/>
        <v>-44554</v>
      </c>
      <c r="AH4" s="63" t="s">
        <v>3785</v>
      </c>
      <c r="AI4" s="131"/>
      <c r="AK4" s="66">
        <f t="shared" si="6"/>
        <v>0</v>
      </c>
      <c r="AL4" s="174">
        <f t="shared" si="7"/>
        <v>0</v>
      </c>
      <c r="AM4" s="346">
        <f>RTD("money.excel",,$G4,"PredictVolume")</f>
        <v>0</v>
      </c>
      <c r="AN4" s="272">
        <f>RTD("money.excel",,$G4,"CumulativeVolume")</f>
        <v>0</v>
      </c>
      <c r="AO4" s="284"/>
      <c r="AP4" s="284"/>
    </row>
    <row r="5" spans="1:44">
      <c r="A5" s="135" t="s">
        <v>2590</v>
      </c>
      <c r="B5" s="84">
        <v>111</v>
      </c>
      <c r="C5" s="84">
        <v>92</v>
      </c>
      <c r="D5" s="84">
        <v>7</v>
      </c>
      <c r="E5" s="84">
        <v>11</v>
      </c>
      <c r="F5" s="59">
        <v>23.9</v>
      </c>
      <c r="G5" s="84">
        <v>6271</v>
      </c>
      <c r="H5" s="9" t="s">
        <v>558</v>
      </c>
      <c r="I5" s="23" t="s">
        <v>109</v>
      </c>
      <c r="J5" s="77">
        <v>48.73</v>
      </c>
      <c r="K5" s="371">
        <v>54.44</v>
      </c>
      <c r="L5" s="371">
        <v>11.62</v>
      </c>
      <c r="M5" s="371">
        <v>11.77</v>
      </c>
      <c r="N5" s="365">
        <f t="shared" si="0"/>
        <v>126.55999999999999</v>
      </c>
      <c r="O5" s="343">
        <f t="shared" si="1"/>
        <v>60.5</v>
      </c>
      <c r="P5" s="195">
        <v>38</v>
      </c>
      <c r="Q5" s="326">
        <v>42</v>
      </c>
      <c r="R5" s="111">
        <v>24</v>
      </c>
      <c r="S5" s="51">
        <v>36</v>
      </c>
      <c r="T5" s="339">
        <f t="shared" ref="T5:T6" si="8">SUM(P5:S5)</f>
        <v>140</v>
      </c>
      <c r="U5" s="329" t="s">
        <v>6838</v>
      </c>
      <c r="V5" s="371">
        <v>5.69</v>
      </c>
      <c r="W5" s="69">
        <v>5.5</v>
      </c>
      <c r="X5" s="100">
        <v>14.03</v>
      </c>
      <c r="Y5" s="14" t="str">
        <f>RTD("money.excel",,"6271","Price")</f>
        <v>無資料</v>
      </c>
      <c r="Z5" s="69">
        <v>296.5</v>
      </c>
      <c r="AA5" s="16" t="e">
        <f t="shared" si="3"/>
        <v>#VALUE!</v>
      </c>
      <c r="AB5" s="3" t="e">
        <f t="shared" si="4"/>
        <v>#VALUE!</v>
      </c>
      <c r="AC5" s="177" t="s">
        <v>6843</v>
      </c>
      <c r="AD5" s="23" t="s">
        <v>109</v>
      </c>
      <c r="AE5" s="89">
        <v>44554</v>
      </c>
      <c r="AG5" s="34">
        <f t="shared" si="5"/>
        <v>-44554</v>
      </c>
      <c r="AH5" s="126" t="s">
        <v>3667</v>
      </c>
      <c r="AI5" s="131"/>
      <c r="AK5" s="66">
        <f t="shared" si="6"/>
        <v>0</v>
      </c>
      <c r="AL5" s="174">
        <f t="shared" si="7"/>
        <v>0</v>
      </c>
      <c r="AM5" s="346">
        <f>RTD("money.excel",,$G5,"PredictVolume")</f>
        <v>0</v>
      </c>
      <c r="AN5" s="272">
        <f>RTD("money.excel",,$G5,"CumulativeVolume")</f>
        <v>0</v>
      </c>
      <c r="AO5" s="284"/>
      <c r="AP5" s="284"/>
    </row>
    <row r="6" spans="1:44">
      <c r="A6" s="135" t="s">
        <v>2668</v>
      </c>
      <c r="B6" s="84">
        <v>6</v>
      </c>
      <c r="C6" s="84">
        <v>4</v>
      </c>
      <c r="D6" s="84">
        <v>8</v>
      </c>
      <c r="E6" s="84">
        <v>12</v>
      </c>
      <c r="F6" s="59">
        <v>17.34</v>
      </c>
      <c r="G6" s="84">
        <v>5234</v>
      </c>
      <c r="H6" s="9" t="s">
        <v>557</v>
      </c>
      <c r="I6" s="23" t="s">
        <v>3052</v>
      </c>
      <c r="J6" s="77">
        <v>64.81</v>
      </c>
      <c r="K6" s="77">
        <v>10.130000000000001</v>
      </c>
      <c r="L6" s="77">
        <v>14.44</v>
      </c>
      <c r="M6" s="77">
        <v>44.1</v>
      </c>
      <c r="N6" s="77">
        <f t="shared" si="0"/>
        <v>133.47999999999999</v>
      </c>
      <c r="O6" s="369">
        <f t="shared" si="1"/>
        <v>108.91</v>
      </c>
      <c r="P6" s="195">
        <v>2</v>
      </c>
      <c r="Q6" s="326">
        <v>1</v>
      </c>
      <c r="R6" s="111">
        <v>8</v>
      </c>
      <c r="S6" s="51">
        <v>12</v>
      </c>
      <c r="T6" s="339">
        <f t="shared" si="8"/>
        <v>23</v>
      </c>
      <c r="U6" s="329" t="s">
        <v>6839</v>
      </c>
      <c r="V6" s="77">
        <v>1.71</v>
      </c>
      <c r="W6" s="69">
        <v>5</v>
      </c>
      <c r="X6" s="59">
        <v>6.43</v>
      </c>
      <c r="Y6" s="37" t="str">
        <f>RTD("money.excel",,"5234","Price")</f>
        <v>無資料</v>
      </c>
      <c r="Z6" s="69">
        <v>136</v>
      </c>
      <c r="AA6" s="16" t="e">
        <f t="shared" si="3"/>
        <v>#VALUE!</v>
      </c>
      <c r="AB6" s="3" t="e">
        <f t="shared" si="4"/>
        <v>#VALUE!</v>
      </c>
      <c r="AC6" s="177" t="s">
        <v>6844</v>
      </c>
      <c r="AD6" s="23" t="s">
        <v>3052</v>
      </c>
      <c r="AE6" s="89">
        <v>44554</v>
      </c>
      <c r="AG6" s="34">
        <f t="shared" si="5"/>
        <v>-44554</v>
      </c>
      <c r="AH6" s="63" t="s">
        <v>4068</v>
      </c>
      <c r="AI6" s="131"/>
      <c r="AK6" s="66">
        <f t="shared" si="6"/>
        <v>0</v>
      </c>
      <c r="AL6" s="174">
        <f t="shared" si="7"/>
        <v>0</v>
      </c>
      <c r="AM6" s="346">
        <f>RTD("money.excel",,$G6,"PredictVolume")</f>
        <v>0</v>
      </c>
      <c r="AN6" s="272">
        <f>RTD("money.excel",,$G6,"CumulativeVolume")</f>
        <v>0</v>
      </c>
      <c r="AO6" s="284"/>
      <c r="AP6" s="284"/>
    </row>
    <row r="7" spans="1:44">
      <c r="A7" s="135" t="s">
        <v>2494</v>
      </c>
      <c r="B7" s="84">
        <v>53</v>
      </c>
      <c r="C7" s="84">
        <v>61</v>
      </c>
      <c r="D7" s="84">
        <v>13</v>
      </c>
      <c r="E7" s="84">
        <v>16</v>
      </c>
      <c r="F7" s="59">
        <v>20.190000000000001</v>
      </c>
      <c r="G7" s="84">
        <v>3587</v>
      </c>
      <c r="H7" s="9" t="s">
        <v>566</v>
      </c>
      <c r="I7" s="17" t="s">
        <v>308</v>
      </c>
      <c r="J7" s="77">
        <v>26.13</v>
      </c>
      <c r="K7" s="77">
        <v>6.26</v>
      </c>
      <c r="L7" s="77">
        <v>18.46</v>
      </c>
      <c r="M7" s="371">
        <v>22.13</v>
      </c>
      <c r="N7" s="365">
        <f t="shared" ref="N7:N14" si="9">J7+K7+L7+M7</f>
        <v>72.98</v>
      </c>
      <c r="O7" s="343">
        <f t="shared" ref="O7:O14" si="10">J7+M7</f>
        <v>48.26</v>
      </c>
      <c r="P7" s="195">
        <v>16</v>
      </c>
      <c r="Q7" s="326">
        <v>21</v>
      </c>
      <c r="R7" s="111">
        <v>28</v>
      </c>
      <c r="S7" s="51">
        <v>32</v>
      </c>
      <c r="T7" s="339">
        <f t="shared" ref="T7:T8" si="11">SUM(P7:S7)</f>
        <v>97</v>
      </c>
      <c r="U7" s="329" t="s">
        <v>6833</v>
      </c>
      <c r="V7" s="371">
        <v>1.76</v>
      </c>
      <c r="W7" s="69">
        <v>4.5</v>
      </c>
      <c r="X7" s="100">
        <v>8.48</v>
      </c>
      <c r="Y7" s="37" t="str">
        <f>RTD("money.excel",,"3587","Price")</f>
        <v>無資料</v>
      </c>
      <c r="Z7" s="69">
        <v>152</v>
      </c>
      <c r="AA7" s="16" t="e">
        <f t="shared" ref="AA7" si="12">Y7-Z7</f>
        <v>#VALUE!</v>
      </c>
      <c r="AB7" s="3" t="e">
        <f t="shared" ref="AB7" si="13">AA7/Z7</f>
        <v>#VALUE!</v>
      </c>
      <c r="AC7" s="177" t="s">
        <v>6845</v>
      </c>
      <c r="AD7" s="17" t="s">
        <v>308</v>
      </c>
      <c r="AE7" s="89">
        <v>44554</v>
      </c>
      <c r="AG7" s="34">
        <f t="shared" ref="AG7" si="14">AF7-AE7</f>
        <v>-44554</v>
      </c>
      <c r="AH7" s="126" t="s">
        <v>3137</v>
      </c>
      <c r="AI7" s="131"/>
      <c r="AK7" s="66">
        <f t="shared" ref="AK7:AK14" si="15">AM7/(A7*10000)</f>
        <v>0</v>
      </c>
      <c r="AL7" s="174">
        <f t="shared" ref="AL7:AL14" si="16">AN7/(A7*10000)</f>
        <v>0</v>
      </c>
      <c r="AM7" s="346">
        <f>RTD("money.excel",,$G7,"PredictVolume")</f>
        <v>0</v>
      </c>
      <c r="AN7" s="272">
        <f>RTD("money.excel",,$G7,"CumulativeVolume")</f>
        <v>0</v>
      </c>
      <c r="AO7" s="284"/>
      <c r="AP7" s="284"/>
    </row>
    <row r="8" spans="1:44">
      <c r="A8" s="135" t="s">
        <v>2728</v>
      </c>
      <c r="B8" s="84">
        <v>242</v>
      </c>
      <c r="C8" s="84">
        <v>182</v>
      </c>
      <c r="D8" s="84">
        <v>7</v>
      </c>
      <c r="E8" s="84">
        <v>36</v>
      </c>
      <c r="F8" s="59">
        <v>20.91</v>
      </c>
      <c r="G8" s="84">
        <v>4440</v>
      </c>
      <c r="H8" s="9" t="s">
        <v>543</v>
      </c>
      <c r="I8" s="23" t="s">
        <v>6360</v>
      </c>
      <c r="J8" s="77">
        <v>34.19</v>
      </c>
      <c r="K8" s="77">
        <v>0.7</v>
      </c>
      <c r="M8" s="77"/>
      <c r="N8" s="365">
        <f t="shared" si="9"/>
        <v>34.89</v>
      </c>
      <c r="O8" s="343">
        <f t="shared" si="10"/>
        <v>34.19</v>
      </c>
      <c r="P8" s="195">
        <v>0</v>
      </c>
      <c r="Q8" s="326" t="str">
        <f>IFERROR(VLOOKUP($G8,主力整理!$A$2:$G$2301,6,0),"0")</f>
        <v>0</v>
      </c>
      <c r="R8" s="111">
        <v>0</v>
      </c>
      <c r="S8" s="51">
        <v>2</v>
      </c>
      <c r="T8" s="339">
        <f t="shared" si="11"/>
        <v>2</v>
      </c>
      <c r="W8" s="69">
        <v>4.4000000000000004</v>
      </c>
      <c r="X8" s="100">
        <v>5.67</v>
      </c>
      <c r="Y8" s="37" t="str">
        <f>RTD("money.excel",,"4440","Price")</f>
        <v>無資料</v>
      </c>
      <c r="Z8" s="69">
        <v>47</v>
      </c>
      <c r="AA8" s="16" t="e">
        <f t="shared" ref="AA8:AA14" si="17">Y8-Z8</f>
        <v>#VALUE!</v>
      </c>
      <c r="AB8" s="3" t="e">
        <f t="shared" ref="AB8:AB14" si="18">AA8/Z8</f>
        <v>#VALUE!</v>
      </c>
      <c r="AC8" s="177" t="s">
        <v>6847</v>
      </c>
      <c r="AD8" s="23" t="s">
        <v>6360</v>
      </c>
      <c r="AE8" s="89">
        <v>44554</v>
      </c>
      <c r="AG8" s="34">
        <f t="shared" ref="AG8:AG14" si="19">AF8-AE8</f>
        <v>-44554</v>
      </c>
      <c r="AH8" s="63" t="s">
        <v>6364</v>
      </c>
      <c r="AI8" s="131"/>
      <c r="AK8" s="66">
        <f t="shared" si="15"/>
        <v>0</v>
      </c>
      <c r="AL8" s="174">
        <f t="shared" si="16"/>
        <v>0</v>
      </c>
      <c r="AM8" s="346">
        <f>RTD("money.excel",,$G8,"PredictVolume")</f>
        <v>0</v>
      </c>
      <c r="AN8" s="272">
        <f>RTD("money.excel",,$G8,"CumulativeVolume")</f>
        <v>0</v>
      </c>
      <c r="AO8" s="284"/>
      <c r="AP8" s="284"/>
    </row>
    <row r="9" spans="1:44">
      <c r="A9" s="135" t="s">
        <v>4695</v>
      </c>
      <c r="B9" s="84">
        <v>123</v>
      </c>
      <c r="C9" s="84">
        <v>116</v>
      </c>
      <c r="D9" s="84">
        <v>77</v>
      </c>
      <c r="E9" s="84">
        <v>107</v>
      </c>
      <c r="F9" s="59">
        <v>32.08</v>
      </c>
      <c r="G9" s="85">
        <v>4770</v>
      </c>
      <c r="H9" s="5" t="s">
        <v>6836</v>
      </c>
      <c r="I9" s="23" t="s">
        <v>6584</v>
      </c>
      <c r="J9" s="371">
        <v>63.69</v>
      </c>
      <c r="K9" s="77"/>
      <c r="M9" s="77"/>
      <c r="N9" s="365">
        <f t="shared" si="9"/>
        <v>63.69</v>
      </c>
      <c r="O9" s="343">
        <f t="shared" si="10"/>
        <v>63.69</v>
      </c>
      <c r="P9" s="195">
        <v>0</v>
      </c>
      <c r="Q9" s="326" t="str">
        <f>IFERROR(VLOOKUP($G9,主力整理!$A$2:$G$2301,6,0),"0")</f>
        <v>0</v>
      </c>
      <c r="R9" s="111">
        <v>0</v>
      </c>
      <c r="S9" s="51">
        <v>0</v>
      </c>
      <c r="T9" s="339">
        <f>SUM(P9:S9)</f>
        <v>0</v>
      </c>
      <c r="W9" s="69">
        <v>4.3</v>
      </c>
      <c r="X9" s="59">
        <v>13.09</v>
      </c>
      <c r="Y9" s="37" t="str">
        <f>RTD("money.excel",,"4770","Price")</f>
        <v>無資料</v>
      </c>
      <c r="Z9" s="69">
        <v>266</v>
      </c>
      <c r="AA9" s="16" t="e">
        <f t="shared" si="17"/>
        <v>#VALUE!</v>
      </c>
      <c r="AB9" s="3" t="e">
        <f t="shared" si="18"/>
        <v>#VALUE!</v>
      </c>
      <c r="AC9" s="177" t="s">
        <v>6848</v>
      </c>
      <c r="AD9" s="23" t="s">
        <v>6584</v>
      </c>
      <c r="AE9" s="89">
        <v>44554</v>
      </c>
      <c r="AG9" s="34">
        <f t="shared" si="19"/>
        <v>-44554</v>
      </c>
      <c r="AH9" s="63" t="s">
        <v>4159</v>
      </c>
      <c r="AI9" s="131"/>
      <c r="AK9" s="66">
        <f t="shared" si="15"/>
        <v>0</v>
      </c>
      <c r="AL9" s="174">
        <f t="shared" si="16"/>
        <v>0</v>
      </c>
      <c r="AM9" s="346">
        <f>RTD("money.excel",,$G9,"PredictVolume")</f>
        <v>0</v>
      </c>
      <c r="AN9" s="272">
        <f>RTD("money.excel",,$G9,"CumulativeVolume")</f>
        <v>0</v>
      </c>
      <c r="AO9" s="284"/>
      <c r="AP9" s="284"/>
    </row>
    <row r="10" spans="1:44">
      <c r="A10" s="135" t="s">
        <v>2431</v>
      </c>
      <c r="B10" s="84">
        <v>39</v>
      </c>
      <c r="C10" s="85">
        <v>-20</v>
      </c>
      <c r="D10" s="85">
        <v>-8</v>
      </c>
      <c r="E10" s="85">
        <v>-14</v>
      </c>
      <c r="F10" s="59">
        <v>16.84</v>
      </c>
      <c r="G10" s="84">
        <v>4126</v>
      </c>
      <c r="H10" s="9" t="s">
        <v>560</v>
      </c>
      <c r="I10" s="17" t="s">
        <v>271</v>
      </c>
      <c r="J10" s="77">
        <v>34.21</v>
      </c>
      <c r="K10" s="77">
        <v>10.64</v>
      </c>
      <c r="L10" s="371">
        <v>5.07</v>
      </c>
      <c r="M10" s="77">
        <v>9.26</v>
      </c>
      <c r="N10" s="365">
        <f t="shared" si="9"/>
        <v>59.18</v>
      </c>
      <c r="O10" s="343">
        <f t="shared" si="10"/>
        <v>43.47</v>
      </c>
      <c r="P10" s="195">
        <v>0</v>
      </c>
      <c r="Q10" s="326" t="str">
        <f>IFERROR(VLOOKUP($G10,主力整理!$A$2:$G$2301,6,0),"0")</f>
        <v>0</v>
      </c>
      <c r="R10" s="111">
        <v>3</v>
      </c>
      <c r="S10" s="51">
        <v>6</v>
      </c>
      <c r="T10" s="339">
        <f t="shared" ref="T10:T14" si="20">SUM(P10:S10)</f>
        <v>9</v>
      </c>
      <c r="U10" s="329" t="s">
        <v>6837</v>
      </c>
      <c r="V10" s="371">
        <v>0.84</v>
      </c>
      <c r="W10" s="69">
        <v>4.2</v>
      </c>
      <c r="X10" s="100">
        <v>5.87</v>
      </c>
      <c r="Y10" s="37" t="str">
        <f>RTD("money.excel",,"4126","Price")</f>
        <v>無資料</v>
      </c>
      <c r="Z10" s="69">
        <v>74.099999999999994</v>
      </c>
      <c r="AA10" s="16" t="e">
        <f t="shared" si="17"/>
        <v>#VALUE!</v>
      </c>
      <c r="AB10" s="3" t="e">
        <f t="shared" si="18"/>
        <v>#VALUE!</v>
      </c>
      <c r="AC10" s="177" t="s">
        <v>6849</v>
      </c>
      <c r="AD10" s="17" t="s">
        <v>271</v>
      </c>
      <c r="AE10" s="89">
        <v>44554</v>
      </c>
      <c r="AG10" s="34">
        <f t="shared" si="19"/>
        <v>-44554</v>
      </c>
      <c r="AH10" s="126" t="s">
        <v>3886</v>
      </c>
      <c r="AI10" s="131"/>
      <c r="AK10" s="66">
        <f t="shared" si="15"/>
        <v>0</v>
      </c>
      <c r="AL10" s="174">
        <f t="shared" si="16"/>
        <v>0</v>
      </c>
      <c r="AM10" s="346">
        <f>RTD("money.excel",,$G10,"PredictVolume")</f>
        <v>0</v>
      </c>
      <c r="AN10" s="272">
        <f>RTD("money.excel",,$G10,"CumulativeVolume")</f>
        <v>0</v>
      </c>
      <c r="AO10" s="284"/>
      <c r="AP10" s="284"/>
    </row>
    <row r="11" spans="1:44">
      <c r="A11" s="135" t="s">
        <v>3399</v>
      </c>
      <c r="B11" s="85">
        <v>-16</v>
      </c>
      <c r="C11" s="85">
        <v>-23</v>
      </c>
      <c r="D11" s="85">
        <v>-12</v>
      </c>
      <c r="E11" s="84">
        <v>15</v>
      </c>
      <c r="F11" s="59">
        <v>15.03</v>
      </c>
      <c r="G11" s="84">
        <v>5283</v>
      </c>
      <c r="H11" s="9" t="s">
        <v>545</v>
      </c>
      <c r="I11" s="23" t="s">
        <v>2584</v>
      </c>
      <c r="J11" s="77">
        <v>62.75</v>
      </c>
      <c r="K11" s="77">
        <v>2.33</v>
      </c>
      <c r="L11" s="77">
        <v>0.64</v>
      </c>
      <c r="M11" s="371">
        <v>24.73</v>
      </c>
      <c r="N11" s="365">
        <f t="shared" si="9"/>
        <v>90.45</v>
      </c>
      <c r="O11" s="343">
        <f t="shared" si="10"/>
        <v>87.48</v>
      </c>
      <c r="P11" s="195">
        <v>2</v>
      </c>
      <c r="Q11" s="326" t="str">
        <f>IFERROR(VLOOKUP($G11,主力整理!$A$2:$G$2301,6,0),"0")</f>
        <v>0</v>
      </c>
      <c r="R11" s="111">
        <v>0</v>
      </c>
      <c r="S11" s="51">
        <v>2</v>
      </c>
      <c r="T11" s="339">
        <f t="shared" si="20"/>
        <v>4</v>
      </c>
      <c r="U11" s="329" t="s">
        <v>6837</v>
      </c>
      <c r="V11" s="77">
        <v>0.49</v>
      </c>
      <c r="W11" s="69">
        <v>4</v>
      </c>
      <c r="X11" s="59">
        <v>11.03</v>
      </c>
      <c r="Y11" s="37" t="str">
        <f>RTD("money.excel",,"5283","Price")</f>
        <v>無資料</v>
      </c>
      <c r="Z11" s="69">
        <v>118.5</v>
      </c>
      <c r="AA11" s="16" t="e">
        <f t="shared" si="17"/>
        <v>#VALUE!</v>
      </c>
      <c r="AB11" s="3" t="e">
        <f t="shared" si="18"/>
        <v>#VALUE!</v>
      </c>
      <c r="AC11" s="177" t="s">
        <v>6850</v>
      </c>
      <c r="AD11" s="23" t="s">
        <v>2584</v>
      </c>
      <c r="AE11" s="89">
        <v>44554</v>
      </c>
      <c r="AG11" s="34">
        <f t="shared" si="19"/>
        <v>-44554</v>
      </c>
      <c r="AH11" s="63" t="s">
        <v>4384</v>
      </c>
      <c r="AI11" s="131"/>
      <c r="AK11" s="66">
        <f t="shared" si="15"/>
        <v>0</v>
      </c>
      <c r="AL11" s="174">
        <f t="shared" si="16"/>
        <v>0</v>
      </c>
      <c r="AM11" s="346">
        <f>RTD("money.excel",,$G11,"PredictVolume")</f>
        <v>0</v>
      </c>
      <c r="AN11" s="272">
        <f>RTD("money.excel",,$G11,"CumulativeVolume")</f>
        <v>0</v>
      </c>
      <c r="AO11" s="284"/>
      <c r="AP11" s="284"/>
    </row>
    <row r="12" spans="1:44">
      <c r="A12" s="151" t="s">
        <v>2408</v>
      </c>
      <c r="B12" s="85">
        <v>-16</v>
      </c>
      <c r="C12" s="85">
        <v>-5</v>
      </c>
      <c r="D12" s="85">
        <v>-19</v>
      </c>
      <c r="E12" s="84">
        <v>27</v>
      </c>
      <c r="F12" s="7">
        <v>8.8800000000000008</v>
      </c>
      <c r="G12" s="84">
        <v>4927</v>
      </c>
      <c r="H12" s="18" t="s">
        <v>559</v>
      </c>
      <c r="I12" s="23" t="s">
        <v>820</v>
      </c>
      <c r="J12" s="77">
        <v>65.319999999999993</v>
      </c>
      <c r="K12" s="77">
        <v>35.04</v>
      </c>
      <c r="L12" s="371">
        <v>19.149999999999999</v>
      </c>
      <c r="M12" s="371">
        <v>1.57</v>
      </c>
      <c r="N12" s="365">
        <f t="shared" si="9"/>
        <v>121.07999999999998</v>
      </c>
      <c r="O12" s="343">
        <f t="shared" si="10"/>
        <v>66.889999999999986</v>
      </c>
      <c r="P12" s="195">
        <v>20</v>
      </c>
      <c r="Q12" s="326">
        <v>30</v>
      </c>
      <c r="R12" s="111">
        <v>37</v>
      </c>
      <c r="S12" s="51">
        <v>31</v>
      </c>
      <c r="T12" s="339">
        <f t="shared" si="20"/>
        <v>118</v>
      </c>
      <c r="U12" s="329" t="s">
        <v>6837</v>
      </c>
      <c r="V12" s="371">
        <v>2.85</v>
      </c>
      <c r="W12" s="69">
        <v>3</v>
      </c>
      <c r="X12" s="59">
        <v>5.45</v>
      </c>
      <c r="Y12" s="37" t="str">
        <f>RTD("money.excel",,"4927","Price")</f>
        <v>無資料</v>
      </c>
      <c r="Z12" s="69">
        <v>124</v>
      </c>
      <c r="AA12" s="16" t="e">
        <f t="shared" si="17"/>
        <v>#VALUE!</v>
      </c>
      <c r="AB12" s="3" t="e">
        <f t="shared" si="18"/>
        <v>#VALUE!</v>
      </c>
      <c r="AC12" s="177" t="s">
        <v>6851</v>
      </c>
      <c r="AD12" s="23" t="s">
        <v>820</v>
      </c>
      <c r="AE12" s="89">
        <v>44554</v>
      </c>
      <c r="AG12" s="34">
        <f t="shared" si="19"/>
        <v>-44554</v>
      </c>
      <c r="AH12" s="44" t="s">
        <v>1685</v>
      </c>
      <c r="AI12" s="28"/>
      <c r="AK12" s="66">
        <f t="shared" si="15"/>
        <v>0</v>
      </c>
      <c r="AL12" s="174">
        <f t="shared" si="16"/>
        <v>0</v>
      </c>
      <c r="AM12" s="346">
        <f>RTD("money.excel",,$G12,"PredictVolume")</f>
        <v>0</v>
      </c>
      <c r="AN12" s="272">
        <f>RTD("money.excel",,$G12,"CumulativeVolume")</f>
        <v>0</v>
      </c>
      <c r="AO12" s="18"/>
      <c r="AP12" s="18"/>
      <c r="AQ12" s="18"/>
      <c r="AR12" s="18"/>
    </row>
    <row r="13" spans="1:44">
      <c r="A13" s="135" t="s">
        <v>2489</v>
      </c>
      <c r="B13" s="84">
        <v>198</v>
      </c>
      <c r="C13" s="84">
        <v>273</v>
      </c>
      <c r="D13" s="84">
        <v>3</v>
      </c>
      <c r="E13" s="84">
        <v>17</v>
      </c>
      <c r="F13" s="59">
        <v>13.3</v>
      </c>
      <c r="G13" s="84">
        <v>3167</v>
      </c>
      <c r="H13" s="9" t="s">
        <v>544</v>
      </c>
      <c r="I13" s="23" t="s">
        <v>334</v>
      </c>
      <c r="J13" s="77">
        <v>53.91</v>
      </c>
      <c r="K13" s="77">
        <v>6.15</v>
      </c>
      <c r="L13" s="77">
        <v>25.81</v>
      </c>
      <c r="M13" s="371">
        <v>14.92</v>
      </c>
      <c r="N13" s="365">
        <f t="shared" si="9"/>
        <v>100.78999999999999</v>
      </c>
      <c r="O13" s="343">
        <f t="shared" si="10"/>
        <v>68.83</v>
      </c>
      <c r="P13" s="195">
        <v>8</v>
      </c>
      <c r="Q13" s="326">
        <v>4</v>
      </c>
      <c r="R13" s="111">
        <v>15</v>
      </c>
      <c r="S13" s="51">
        <v>21</v>
      </c>
      <c r="T13" s="339">
        <f t="shared" si="20"/>
        <v>48</v>
      </c>
      <c r="U13" s="329" t="s">
        <v>6839</v>
      </c>
      <c r="V13" s="77">
        <v>1.61</v>
      </c>
      <c r="W13" s="69">
        <v>3</v>
      </c>
      <c r="X13" s="59">
        <v>8.2100000000000009</v>
      </c>
      <c r="Y13" s="37" t="str">
        <f>RTD("money.excel",,"3167","Price")</f>
        <v>無資料</v>
      </c>
      <c r="Z13" s="69">
        <v>105.5</v>
      </c>
      <c r="AA13" s="16" t="e">
        <f t="shared" si="17"/>
        <v>#VALUE!</v>
      </c>
      <c r="AB13" s="3" t="e">
        <f t="shared" si="18"/>
        <v>#VALUE!</v>
      </c>
      <c r="AC13" s="177" t="s">
        <v>6852</v>
      </c>
      <c r="AD13" s="23" t="s">
        <v>334</v>
      </c>
      <c r="AE13" s="89">
        <v>44554</v>
      </c>
      <c r="AG13" s="34">
        <f t="shared" si="19"/>
        <v>-44554</v>
      </c>
      <c r="AH13" s="44" t="s">
        <v>3376</v>
      </c>
      <c r="AI13" s="131"/>
      <c r="AK13" s="66">
        <f t="shared" si="15"/>
        <v>0</v>
      </c>
      <c r="AL13" s="174">
        <f t="shared" si="16"/>
        <v>0</v>
      </c>
      <c r="AM13" s="346">
        <f>RTD("money.excel",,$G13,"PredictVolume")</f>
        <v>0</v>
      </c>
      <c r="AN13" s="272">
        <f>RTD("money.excel",,$G13,"CumulativeVolume")</f>
        <v>0</v>
      </c>
      <c r="AO13" s="284"/>
      <c r="AP13" s="284"/>
    </row>
    <row r="14" spans="1:44">
      <c r="A14" s="151" t="s">
        <v>4784</v>
      </c>
      <c r="B14" s="84">
        <v>18</v>
      </c>
      <c r="C14" s="84">
        <v>14</v>
      </c>
      <c r="D14" s="85">
        <v>-17</v>
      </c>
      <c r="E14" s="84">
        <v>39</v>
      </c>
      <c r="F14" s="7">
        <v>4.76</v>
      </c>
      <c r="G14" s="85">
        <v>3029</v>
      </c>
      <c r="H14" s="5" t="s">
        <v>565</v>
      </c>
      <c r="I14" s="23" t="s">
        <v>1653</v>
      </c>
      <c r="J14" s="77">
        <v>28.64</v>
      </c>
      <c r="K14" s="371">
        <v>4.2300000000000004</v>
      </c>
      <c r="L14" s="77">
        <v>5.12</v>
      </c>
      <c r="M14" s="371">
        <v>8.23</v>
      </c>
      <c r="N14" s="365">
        <f t="shared" si="9"/>
        <v>46.22</v>
      </c>
      <c r="O14" s="343">
        <f t="shared" si="10"/>
        <v>36.870000000000005</v>
      </c>
      <c r="P14" s="195">
        <v>4</v>
      </c>
      <c r="Q14" s="326">
        <v>27</v>
      </c>
      <c r="R14" s="111">
        <v>38</v>
      </c>
      <c r="S14" s="51">
        <v>30</v>
      </c>
      <c r="T14" s="339">
        <f t="shared" si="20"/>
        <v>99</v>
      </c>
      <c r="U14" s="329" t="s">
        <v>6833</v>
      </c>
      <c r="V14" s="77">
        <v>1.1299999999999999</v>
      </c>
      <c r="W14" s="69">
        <v>3</v>
      </c>
      <c r="X14" s="100">
        <v>4.0199999999999996</v>
      </c>
      <c r="Y14" s="37" t="str">
        <f>RTD("money.excel",,"3029","Price")</f>
        <v>無資料</v>
      </c>
      <c r="Z14" s="69">
        <v>42.8</v>
      </c>
      <c r="AA14" s="16" t="e">
        <f t="shared" si="17"/>
        <v>#VALUE!</v>
      </c>
      <c r="AB14" s="3" t="e">
        <f t="shared" si="18"/>
        <v>#VALUE!</v>
      </c>
      <c r="AC14" s="177" t="s">
        <v>6853</v>
      </c>
      <c r="AD14" s="23" t="s">
        <v>1653</v>
      </c>
      <c r="AE14" s="89">
        <v>44554</v>
      </c>
      <c r="AG14" s="34">
        <f t="shared" si="19"/>
        <v>-44554</v>
      </c>
      <c r="AH14" s="44" t="s">
        <v>2297</v>
      </c>
      <c r="AI14" s="131"/>
      <c r="AK14" s="66">
        <f t="shared" si="15"/>
        <v>0</v>
      </c>
      <c r="AL14" s="174">
        <f t="shared" si="16"/>
        <v>0</v>
      </c>
      <c r="AM14" s="346">
        <f>RTD("money.excel",,$G14,"PredictVolume")</f>
        <v>0</v>
      </c>
      <c r="AN14" s="272">
        <f>RTD("money.excel",,$G14,"CumulativeVolume")</f>
        <v>0</v>
      </c>
      <c r="AO14" s="284"/>
      <c r="AP14" s="284"/>
    </row>
    <row r="15" spans="1:44">
      <c r="A15" s="151" t="s">
        <v>2339</v>
      </c>
      <c r="B15" s="85">
        <v>-99</v>
      </c>
      <c r="C15" s="85">
        <v>-87</v>
      </c>
      <c r="D15" s="84">
        <v>38</v>
      </c>
      <c r="E15" s="84">
        <v>2</v>
      </c>
      <c r="F15" s="7">
        <v>1.58</v>
      </c>
      <c r="G15" s="85">
        <v>6661</v>
      </c>
      <c r="H15" s="5" t="s">
        <v>560</v>
      </c>
      <c r="I15" s="17" t="s">
        <v>3658</v>
      </c>
      <c r="J15" s="77">
        <v>53.85</v>
      </c>
      <c r="K15" s="371">
        <v>0</v>
      </c>
      <c r="L15" s="371"/>
      <c r="M15" s="371">
        <v>33.35</v>
      </c>
      <c r="N15" s="365">
        <f t="shared" ref="N15:N18" si="21">J15+K15+L15+M15</f>
        <v>87.2</v>
      </c>
      <c r="O15" s="369">
        <f t="shared" ref="O15:O18" si="22">J15+M15</f>
        <v>87.2</v>
      </c>
      <c r="P15" s="195">
        <v>0</v>
      </c>
      <c r="Q15" s="326" t="str">
        <f>IFERROR(VLOOKUP($G15,主力整理!$A$2:$G$2301,6,0),"0")</f>
        <v>0</v>
      </c>
      <c r="R15" s="111">
        <v>0</v>
      </c>
      <c r="S15" s="51">
        <v>0</v>
      </c>
      <c r="T15" s="339">
        <f t="shared" ref="T15:T18" si="23">SUM(P15:S15)</f>
        <v>0</v>
      </c>
      <c r="W15" s="35">
        <v>1.1000000000000001</v>
      </c>
      <c r="X15" s="59">
        <v>0.42</v>
      </c>
      <c r="Y15" s="37" t="str">
        <f>RTD("money.excel",,"6661","Price")</f>
        <v>無資料</v>
      </c>
      <c r="Z15" s="69">
        <v>24.45</v>
      </c>
      <c r="AA15" s="16" t="e">
        <f t="shared" ref="AA15:AA17" si="24">Y15-Z15</f>
        <v>#VALUE!</v>
      </c>
      <c r="AB15" s="3" t="e">
        <f t="shared" ref="AB15:AB17" si="25">AA15/Z15</f>
        <v>#VALUE!</v>
      </c>
      <c r="AC15" s="177" t="s">
        <v>6707</v>
      </c>
      <c r="AD15" s="17" t="s">
        <v>3658</v>
      </c>
      <c r="AE15" s="89">
        <v>44547</v>
      </c>
      <c r="AG15" s="34">
        <f t="shared" ref="AG15:AG17" si="26">AF15-AE15</f>
        <v>-44547</v>
      </c>
      <c r="AH15" s="44" t="s">
        <v>3659</v>
      </c>
      <c r="AI15" s="131"/>
      <c r="AK15" s="66"/>
      <c r="AL15" s="174"/>
      <c r="AM15" s="346"/>
      <c r="AN15" s="272"/>
      <c r="AO15" s="131"/>
      <c r="AP15" s="264"/>
    </row>
    <row r="16" spans="1:44">
      <c r="A16" s="151" t="s">
        <v>3331</v>
      </c>
      <c r="B16" s="84">
        <v>127</v>
      </c>
      <c r="C16" s="84">
        <v>457</v>
      </c>
      <c r="D16" s="84">
        <v>24</v>
      </c>
      <c r="E16" s="84">
        <v>63</v>
      </c>
      <c r="F16" s="7">
        <v>4.51</v>
      </c>
      <c r="G16" s="85">
        <v>3232</v>
      </c>
      <c r="H16" s="5" t="s">
        <v>596</v>
      </c>
      <c r="I16" s="17" t="s">
        <v>1394</v>
      </c>
      <c r="J16" s="77">
        <v>33.33</v>
      </c>
      <c r="K16" s="371">
        <v>4.79</v>
      </c>
      <c r="L16" s="371">
        <v>41.3</v>
      </c>
      <c r="M16" s="371">
        <v>24.43</v>
      </c>
      <c r="N16" s="365">
        <f t="shared" si="21"/>
        <v>103.85</v>
      </c>
      <c r="O16" s="343">
        <f t="shared" si="22"/>
        <v>57.76</v>
      </c>
      <c r="P16" s="195">
        <v>0</v>
      </c>
      <c r="Q16" s="326">
        <v>15</v>
      </c>
      <c r="R16" s="111">
        <v>26</v>
      </c>
      <c r="S16" s="51">
        <v>28</v>
      </c>
      <c r="T16" s="339">
        <f t="shared" si="23"/>
        <v>69</v>
      </c>
      <c r="U16" s="329" t="s">
        <v>6538</v>
      </c>
      <c r="V16" s="77">
        <v>1.0900000000000001</v>
      </c>
      <c r="W16" s="35">
        <v>0.3</v>
      </c>
      <c r="X16" s="100">
        <v>0.79</v>
      </c>
      <c r="Y16" s="37" t="str">
        <f>RTD("money.excel",,"3232","Price")</f>
        <v>無資料</v>
      </c>
      <c r="Z16" s="69">
        <v>28.1</v>
      </c>
      <c r="AA16" s="16" t="e">
        <f t="shared" si="24"/>
        <v>#VALUE!</v>
      </c>
      <c r="AB16" s="3" t="e">
        <f t="shared" si="25"/>
        <v>#VALUE!</v>
      </c>
      <c r="AC16" s="177" t="s">
        <v>6708</v>
      </c>
      <c r="AD16" s="17" t="s">
        <v>1394</v>
      </c>
      <c r="AE16" s="89">
        <v>44547</v>
      </c>
      <c r="AG16" s="34">
        <f t="shared" si="26"/>
        <v>-44547</v>
      </c>
      <c r="AH16" s="44" t="s">
        <v>4180</v>
      </c>
      <c r="AI16" s="284"/>
      <c r="AK16" s="66"/>
      <c r="AL16" s="174"/>
      <c r="AM16" s="346"/>
      <c r="AN16" s="272"/>
      <c r="AO16" s="131"/>
      <c r="AP16" s="264"/>
    </row>
    <row r="17" spans="1:42">
      <c r="A17" s="135" t="s">
        <v>2496</v>
      </c>
      <c r="B17" s="84">
        <v>204</v>
      </c>
      <c r="C17" s="84">
        <v>172</v>
      </c>
      <c r="D17" s="84">
        <v>92</v>
      </c>
      <c r="E17" s="84">
        <v>9</v>
      </c>
      <c r="F17" s="59">
        <v>11.44</v>
      </c>
      <c r="G17" s="85">
        <v>6516</v>
      </c>
      <c r="H17" s="5" t="s">
        <v>565</v>
      </c>
      <c r="I17" s="17" t="s">
        <v>2788</v>
      </c>
      <c r="J17" s="77">
        <v>39.07</v>
      </c>
      <c r="K17" s="77">
        <v>0.37</v>
      </c>
      <c r="L17" s="371">
        <v>17.41</v>
      </c>
      <c r="M17" s="371">
        <v>41.42</v>
      </c>
      <c r="N17" s="365">
        <f t="shared" si="21"/>
        <v>98.27</v>
      </c>
      <c r="O17" s="369">
        <f t="shared" si="22"/>
        <v>80.490000000000009</v>
      </c>
      <c r="P17" s="195">
        <v>1</v>
      </c>
      <c r="Q17" s="326" t="str">
        <f>IFERROR(VLOOKUP($G17,主力整理!$A$2:$G$2301,6,0),"0")</f>
        <v>0</v>
      </c>
      <c r="R17" s="111">
        <v>4</v>
      </c>
      <c r="S17" s="51">
        <v>8</v>
      </c>
      <c r="T17" s="339">
        <f t="shared" si="23"/>
        <v>13</v>
      </c>
      <c r="U17" s="329" t="s">
        <v>6701</v>
      </c>
      <c r="V17" s="77">
        <v>0.31</v>
      </c>
      <c r="W17" s="35">
        <v>1.1299999999999999</v>
      </c>
      <c r="X17" s="100">
        <v>1.49</v>
      </c>
      <c r="Y17" s="37" t="str">
        <f>RTD("money.excel",,"6516","Price")</f>
        <v>無資料</v>
      </c>
      <c r="Z17" s="69">
        <v>94.6</v>
      </c>
      <c r="AA17" s="16" t="e">
        <f t="shared" si="24"/>
        <v>#VALUE!</v>
      </c>
      <c r="AB17" s="3" t="e">
        <f t="shared" si="25"/>
        <v>#VALUE!</v>
      </c>
      <c r="AC17" s="177" t="s">
        <v>6709</v>
      </c>
      <c r="AD17" s="17" t="s">
        <v>2788</v>
      </c>
      <c r="AE17" s="89">
        <v>44547</v>
      </c>
      <c r="AG17" s="34">
        <f t="shared" si="26"/>
        <v>-44547</v>
      </c>
      <c r="AH17" s="63" t="s">
        <v>2789</v>
      </c>
      <c r="AI17" s="131"/>
      <c r="AK17" s="131"/>
      <c r="AL17" s="264"/>
      <c r="AO17" s="131"/>
      <c r="AP17" s="264"/>
    </row>
    <row r="18" spans="1:42">
      <c r="A18" s="135" t="s">
        <v>4835</v>
      </c>
      <c r="B18" s="85">
        <v>-18</v>
      </c>
      <c r="C18" s="85">
        <v>-18</v>
      </c>
      <c r="D18" s="85">
        <v>-3</v>
      </c>
      <c r="E18" s="84">
        <v>6</v>
      </c>
      <c r="F18" s="59">
        <v>10.57</v>
      </c>
      <c r="G18" s="85">
        <v>2753</v>
      </c>
      <c r="H18" s="5" t="s">
        <v>552</v>
      </c>
      <c r="I18" s="23" t="s">
        <v>5539</v>
      </c>
      <c r="J18" s="77">
        <v>56.28</v>
      </c>
      <c r="K18" s="371">
        <v>5.65</v>
      </c>
      <c r="L18" s="371"/>
      <c r="M18" s="371">
        <v>30.28</v>
      </c>
      <c r="N18" s="365">
        <f t="shared" si="21"/>
        <v>92.210000000000008</v>
      </c>
      <c r="O18" s="369">
        <f t="shared" si="22"/>
        <v>86.56</v>
      </c>
      <c r="P18" s="232">
        <v>0</v>
      </c>
      <c r="Q18" s="326" t="str">
        <f>IFERROR(VLOOKUP($G18,主力整理!$A$2:$G$2301,6,0),"0")</f>
        <v>0</v>
      </c>
      <c r="R18" s="111">
        <v>0</v>
      </c>
      <c r="S18" s="51">
        <v>0</v>
      </c>
      <c r="T18" s="339">
        <f t="shared" si="23"/>
        <v>0</v>
      </c>
      <c r="W18" s="35">
        <v>2.27</v>
      </c>
      <c r="X18" s="59">
        <v>9.2200000000000006</v>
      </c>
      <c r="Y18" s="37" t="str">
        <f>RTD("money.excel",,"2753","Price")</f>
        <v>無資料</v>
      </c>
      <c r="Z18" s="69">
        <v>128.5</v>
      </c>
      <c r="AA18" s="16" t="e">
        <f t="shared" ref="AA18" si="27">Y18-Z18</f>
        <v>#VALUE!</v>
      </c>
      <c r="AB18" s="3" t="e">
        <f t="shared" ref="AB18" si="28">AA18/Z18</f>
        <v>#VALUE!</v>
      </c>
      <c r="AC18" s="177" t="s">
        <v>6711</v>
      </c>
      <c r="AD18" s="23" t="s">
        <v>5539</v>
      </c>
      <c r="AE18" s="89">
        <v>44547</v>
      </c>
      <c r="AG18" s="34">
        <f t="shared" ref="AG18" si="29">AF18-AE18</f>
        <v>-44547</v>
      </c>
      <c r="AH18" s="44" t="s">
        <v>4766</v>
      </c>
      <c r="AI18" s="131"/>
      <c r="AK18" s="131"/>
      <c r="AL18" s="264"/>
      <c r="AO18" s="131"/>
      <c r="AP18" s="264"/>
    </row>
    <row r="19" spans="1:42">
      <c r="A19" s="135" t="s">
        <v>3338</v>
      </c>
      <c r="B19" s="84">
        <v>57</v>
      </c>
      <c r="C19" s="84">
        <v>59</v>
      </c>
      <c r="D19" s="85">
        <v>-13</v>
      </c>
      <c r="E19" s="85">
        <v>-18</v>
      </c>
      <c r="F19" s="59">
        <v>50.9</v>
      </c>
      <c r="G19" s="84">
        <v>3152</v>
      </c>
      <c r="H19" s="154" t="s">
        <v>563</v>
      </c>
      <c r="I19" s="17" t="s">
        <v>395</v>
      </c>
      <c r="J19" s="77">
        <v>67.930000000000007</v>
      </c>
      <c r="K19" s="371">
        <v>10.39</v>
      </c>
      <c r="L19" s="77">
        <v>2.52</v>
      </c>
      <c r="M19" s="77">
        <v>47.18</v>
      </c>
      <c r="N19" s="365">
        <f t="shared" ref="N19:N25" si="30">J19+K19+L19+M19</f>
        <v>128.02000000000001</v>
      </c>
      <c r="O19" s="369">
        <f t="shared" ref="O19:O25" si="31">J19+M19</f>
        <v>115.11000000000001</v>
      </c>
      <c r="P19" s="195">
        <v>16</v>
      </c>
      <c r="Q19" s="326">
        <v>1</v>
      </c>
      <c r="R19" s="111">
        <v>10</v>
      </c>
      <c r="S19" s="51">
        <v>18</v>
      </c>
      <c r="T19" s="339">
        <f t="shared" ref="T19:T22" si="32">SUM(P19:S19)</f>
        <v>45</v>
      </c>
      <c r="U19" s="329" t="s">
        <v>6712</v>
      </c>
      <c r="V19" s="77">
        <v>2.36</v>
      </c>
      <c r="W19" s="69">
        <v>10.8</v>
      </c>
      <c r="X19" s="59">
        <v>16.89</v>
      </c>
      <c r="Y19" s="37" t="str">
        <f>RTD("money.excel",,"3152","Price")</f>
        <v>無資料</v>
      </c>
      <c r="Z19" s="69">
        <v>342.5</v>
      </c>
      <c r="AA19" s="16" t="e">
        <f t="shared" ref="AA19:AA22" si="33">Y19-Z19</f>
        <v>#VALUE!</v>
      </c>
      <c r="AB19" s="3" t="e">
        <f t="shared" ref="AB19:AB22" si="34">AA19/Z19</f>
        <v>#VALUE!</v>
      </c>
      <c r="AC19" s="177" t="s">
        <v>6713</v>
      </c>
      <c r="AD19" s="17" t="s">
        <v>395</v>
      </c>
      <c r="AE19" s="89">
        <v>44547</v>
      </c>
      <c r="AG19" s="34">
        <f t="shared" ref="AG19:AG22" si="35">AF19-AE19</f>
        <v>-44547</v>
      </c>
      <c r="AH19" s="126" t="s">
        <v>4932</v>
      </c>
      <c r="AI19" s="131"/>
      <c r="AO19" s="284"/>
      <c r="AP19" s="264"/>
    </row>
    <row r="20" spans="1:42">
      <c r="A20" s="151" t="s">
        <v>4730</v>
      </c>
      <c r="B20" s="85">
        <v>-12</v>
      </c>
      <c r="C20" s="85">
        <v>-16</v>
      </c>
      <c r="D20" s="84">
        <v>40</v>
      </c>
      <c r="E20" s="84">
        <v>27</v>
      </c>
      <c r="F20" s="7">
        <v>7.46</v>
      </c>
      <c r="G20" s="85">
        <v>6221</v>
      </c>
      <c r="H20" s="5" t="s">
        <v>565</v>
      </c>
      <c r="I20" s="17" t="s">
        <v>1642</v>
      </c>
      <c r="J20" s="77">
        <v>71.95</v>
      </c>
      <c r="K20" s="371">
        <v>0.76</v>
      </c>
      <c r="L20" s="77">
        <v>13.32</v>
      </c>
      <c r="M20" s="371">
        <v>9.5299999999999994</v>
      </c>
      <c r="N20" s="365">
        <f t="shared" si="30"/>
        <v>95.56</v>
      </c>
      <c r="O20" s="369">
        <f t="shared" si="31"/>
        <v>81.48</v>
      </c>
      <c r="P20" s="195">
        <v>0</v>
      </c>
      <c r="Q20" s="326">
        <v>6</v>
      </c>
      <c r="R20" s="111">
        <v>8</v>
      </c>
      <c r="S20" s="51">
        <v>8</v>
      </c>
      <c r="T20" s="339">
        <f t="shared" si="32"/>
        <v>22</v>
      </c>
      <c r="U20" s="329" t="s">
        <v>6701</v>
      </c>
      <c r="V20" s="77">
        <v>0.16</v>
      </c>
      <c r="W20" s="69">
        <v>4</v>
      </c>
      <c r="X20" s="59">
        <v>3.85</v>
      </c>
      <c r="Y20" s="37" t="str">
        <f>RTD("money.excel",,"6221","Price")</f>
        <v>無資料</v>
      </c>
      <c r="Z20" s="69">
        <v>49.6</v>
      </c>
      <c r="AA20" s="16" t="e">
        <f t="shared" si="33"/>
        <v>#VALUE!</v>
      </c>
      <c r="AB20" s="3" t="e">
        <f t="shared" si="34"/>
        <v>#VALUE!</v>
      </c>
      <c r="AC20" s="177" t="s">
        <v>6401</v>
      </c>
      <c r="AD20" s="17" t="s">
        <v>1642</v>
      </c>
      <c r="AE20" s="89">
        <v>44547</v>
      </c>
      <c r="AG20" s="34">
        <f t="shared" si="35"/>
        <v>-44547</v>
      </c>
      <c r="AH20" s="44" t="s">
        <v>4232</v>
      </c>
      <c r="AI20" s="284"/>
      <c r="AK20" s="131"/>
      <c r="AL20" s="264"/>
      <c r="AO20" s="131"/>
      <c r="AP20" s="264"/>
    </row>
    <row r="21" spans="1:42">
      <c r="A21" s="151" t="s">
        <v>2346</v>
      </c>
      <c r="B21" s="85">
        <v>-88</v>
      </c>
      <c r="C21" s="85">
        <v>-86</v>
      </c>
      <c r="D21" s="85">
        <v>-4</v>
      </c>
      <c r="E21" s="85">
        <v>-17</v>
      </c>
      <c r="F21" s="7">
        <v>3.08</v>
      </c>
      <c r="G21" s="84">
        <v>3163</v>
      </c>
      <c r="H21" s="9" t="s">
        <v>563</v>
      </c>
      <c r="I21" s="17" t="s">
        <v>956</v>
      </c>
      <c r="J21" s="77">
        <v>15.24</v>
      </c>
      <c r="K21" s="77">
        <v>4.93</v>
      </c>
      <c r="L21" s="77">
        <v>24.64</v>
      </c>
      <c r="M21" s="371">
        <v>11.42</v>
      </c>
      <c r="N21" s="365">
        <f t="shared" si="30"/>
        <v>56.230000000000004</v>
      </c>
      <c r="O21" s="343">
        <f t="shared" si="31"/>
        <v>26.66</v>
      </c>
      <c r="P21" s="195">
        <v>1</v>
      </c>
      <c r="Q21" s="326">
        <v>2</v>
      </c>
      <c r="R21" s="111">
        <v>11</v>
      </c>
      <c r="S21" s="51">
        <v>6</v>
      </c>
      <c r="T21" s="339">
        <f t="shared" si="32"/>
        <v>20</v>
      </c>
      <c r="U21" s="329" t="s">
        <v>6712</v>
      </c>
      <c r="V21" s="77">
        <v>1.41</v>
      </c>
      <c r="W21" s="35">
        <v>2.5</v>
      </c>
      <c r="X21" s="100">
        <v>0.67</v>
      </c>
      <c r="Y21" s="37" t="str">
        <f>RTD("money.excel",,"3163","Price")</f>
        <v>無資料</v>
      </c>
      <c r="Z21" s="69">
        <v>40.5</v>
      </c>
      <c r="AA21" s="16" t="e">
        <f t="shared" si="33"/>
        <v>#VALUE!</v>
      </c>
      <c r="AB21" s="3" t="e">
        <f t="shared" si="34"/>
        <v>#VALUE!</v>
      </c>
      <c r="AC21" s="177" t="s">
        <v>6714</v>
      </c>
      <c r="AD21" s="17" t="s">
        <v>956</v>
      </c>
      <c r="AE21" s="89">
        <v>44547</v>
      </c>
      <c r="AG21" s="34">
        <f t="shared" si="35"/>
        <v>-44547</v>
      </c>
      <c r="AH21" s="44" t="s">
        <v>3722</v>
      </c>
      <c r="AI21" s="131"/>
      <c r="AL21" s="265"/>
      <c r="AM21" s="287"/>
      <c r="AN21" s="287"/>
      <c r="AO21" s="131"/>
      <c r="AP21" s="264"/>
    </row>
    <row r="22" spans="1:42">
      <c r="A22" s="135" t="s">
        <v>2224</v>
      </c>
      <c r="B22" s="84">
        <v>134</v>
      </c>
      <c r="C22" s="84">
        <v>134</v>
      </c>
      <c r="D22" s="85">
        <v>-38</v>
      </c>
      <c r="E22" s="85">
        <v>-19</v>
      </c>
      <c r="F22" s="59">
        <v>19.989999999999998</v>
      </c>
      <c r="G22" s="85">
        <v>6187</v>
      </c>
      <c r="H22" s="5" t="s">
        <v>5322</v>
      </c>
      <c r="I22" s="17" t="s">
        <v>418</v>
      </c>
      <c r="J22" s="77">
        <v>35.93</v>
      </c>
      <c r="K22" s="371">
        <v>18.13</v>
      </c>
      <c r="L22" s="371">
        <v>21.77</v>
      </c>
      <c r="M22" s="77">
        <v>20.57</v>
      </c>
      <c r="N22" s="365">
        <f t="shared" si="30"/>
        <v>96.4</v>
      </c>
      <c r="O22" s="343">
        <f t="shared" si="31"/>
        <v>56.5</v>
      </c>
      <c r="P22" s="195">
        <v>5</v>
      </c>
      <c r="Q22" s="326">
        <v>33</v>
      </c>
      <c r="R22" s="111">
        <v>35</v>
      </c>
      <c r="S22" s="51">
        <v>31</v>
      </c>
      <c r="T22" s="339">
        <f t="shared" si="32"/>
        <v>104</v>
      </c>
      <c r="U22" s="329" t="s">
        <v>6701</v>
      </c>
      <c r="V22" s="77">
        <v>3.56</v>
      </c>
      <c r="W22" s="69">
        <v>3</v>
      </c>
      <c r="X22" s="100">
        <v>6.37</v>
      </c>
      <c r="Y22" s="37" t="str">
        <f>RTD("money.excel",,"6187","Price")</f>
        <v>無資料</v>
      </c>
      <c r="Z22" s="69">
        <v>111</v>
      </c>
      <c r="AA22" s="16" t="e">
        <f t="shared" si="33"/>
        <v>#VALUE!</v>
      </c>
      <c r="AB22" s="3" t="e">
        <f t="shared" si="34"/>
        <v>#VALUE!</v>
      </c>
      <c r="AC22" s="177" t="s">
        <v>6402</v>
      </c>
      <c r="AD22" s="17" t="s">
        <v>418</v>
      </c>
      <c r="AE22" s="89">
        <v>44547</v>
      </c>
      <c r="AG22" s="34">
        <f t="shared" si="35"/>
        <v>-44547</v>
      </c>
      <c r="AH22" s="63" t="s">
        <v>3684</v>
      </c>
      <c r="AI22" s="131"/>
      <c r="AK22" s="131"/>
      <c r="AL22" s="264"/>
      <c r="AO22" s="131"/>
      <c r="AP22" s="264"/>
    </row>
    <row r="23" spans="1:42">
      <c r="A23" s="151" t="s">
        <v>2499</v>
      </c>
      <c r="B23" s="85">
        <v>-82</v>
      </c>
      <c r="C23" s="85">
        <v>-86</v>
      </c>
      <c r="D23" s="85">
        <v>-32</v>
      </c>
      <c r="E23" s="85">
        <v>-39</v>
      </c>
      <c r="F23" s="7">
        <v>2.73</v>
      </c>
      <c r="G23" s="84">
        <v>3708</v>
      </c>
      <c r="H23" s="5" t="s">
        <v>1308</v>
      </c>
      <c r="I23" s="23" t="s">
        <v>528</v>
      </c>
      <c r="J23" s="77">
        <v>38.159999999999997</v>
      </c>
      <c r="K23" s="77">
        <v>8.82</v>
      </c>
      <c r="L23" s="371">
        <v>26.45</v>
      </c>
      <c r="M23" s="371">
        <v>10.039999999999999</v>
      </c>
      <c r="N23" s="365">
        <f t="shared" si="30"/>
        <v>83.47</v>
      </c>
      <c r="O23" s="343">
        <f t="shared" si="31"/>
        <v>48.199999999999996</v>
      </c>
      <c r="P23" s="195">
        <v>12</v>
      </c>
      <c r="Q23" s="326">
        <v>21</v>
      </c>
      <c r="R23" s="111">
        <v>23</v>
      </c>
      <c r="S23" s="51">
        <v>22</v>
      </c>
      <c r="T23" s="339">
        <f t="shared" ref="T23" si="36">SUM(P23:S23)</f>
        <v>78</v>
      </c>
      <c r="U23" s="329" t="s">
        <v>6712</v>
      </c>
      <c r="V23" s="77">
        <v>5.44</v>
      </c>
      <c r="W23" s="69">
        <v>3.5</v>
      </c>
      <c r="X23" s="100">
        <v>2.09</v>
      </c>
      <c r="Y23" s="37" t="str">
        <f>RTD("money.excel",,"3708","Price")</f>
        <v>無資料</v>
      </c>
      <c r="Z23" s="69">
        <v>99</v>
      </c>
      <c r="AA23" s="16" t="e">
        <f>Y23-Z23</f>
        <v>#VALUE!</v>
      </c>
      <c r="AB23" s="3" t="e">
        <f>AA23/Z23</f>
        <v>#VALUE!</v>
      </c>
      <c r="AC23" s="177" t="s">
        <v>5589</v>
      </c>
      <c r="AD23" s="23" t="s">
        <v>528</v>
      </c>
      <c r="AE23" s="89">
        <v>44547</v>
      </c>
      <c r="AG23" s="34">
        <f>AF23-AE23</f>
        <v>-44547</v>
      </c>
      <c r="AH23" s="44" t="s">
        <v>4388</v>
      </c>
      <c r="AI23" s="131"/>
      <c r="AO23" s="131"/>
      <c r="AP23" s="264"/>
    </row>
    <row r="24" spans="1:42">
      <c r="A24" s="151" t="s">
        <v>4818</v>
      </c>
      <c r="B24" s="84">
        <v>280</v>
      </c>
      <c r="C24" s="84">
        <v>175</v>
      </c>
      <c r="D24" s="85">
        <v>-2</v>
      </c>
      <c r="E24" s="84">
        <v>10</v>
      </c>
      <c r="F24" s="7">
        <v>8.81</v>
      </c>
      <c r="G24" s="84">
        <v>4540</v>
      </c>
      <c r="H24" s="9" t="s">
        <v>544</v>
      </c>
      <c r="I24" s="23" t="s">
        <v>1738</v>
      </c>
      <c r="J24" s="77">
        <v>50.36</v>
      </c>
      <c r="K24" s="77">
        <v>3.17</v>
      </c>
      <c r="L24" s="77">
        <v>6.62</v>
      </c>
      <c r="M24" s="371">
        <v>13.43</v>
      </c>
      <c r="N24" s="365">
        <f t="shared" si="30"/>
        <v>73.58</v>
      </c>
      <c r="O24" s="343">
        <f t="shared" si="31"/>
        <v>63.79</v>
      </c>
      <c r="P24" s="195">
        <v>14</v>
      </c>
      <c r="Q24" s="326">
        <v>2</v>
      </c>
      <c r="R24" s="111">
        <v>7</v>
      </c>
      <c r="S24" s="51">
        <v>7</v>
      </c>
      <c r="T24" s="339">
        <f t="shared" ref="T24:T25" si="37">SUM(P24:S24)</f>
        <v>30</v>
      </c>
      <c r="U24" s="329" t="s">
        <v>6716</v>
      </c>
      <c r="V24" s="77">
        <v>0.74</v>
      </c>
      <c r="W24" s="35">
        <v>0.8</v>
      </c>
      <c r="X24" s="59">
        <v>2.4900000000000002</v>
      </c>
      <c r="Y24" s="37" t="str">
        <f>RTD("money.excel",,"4540","Price")</f>
        <v>無資料</v>
      </c>
      <c r="Z24" s="69">
        <v>47.75</v>
      </c>
      <c r="AA24" s="16" t="e">
        <f t="shared" ref="AA24:AA25" si="38">Y24-Z24</f>
        <v>#VALUE!</v>
      </c>
      <c r="AB24" s="3" t="e">
        <f t="shared" ref="AB24:AB25" si="39">AA24/Z24</f>
        <v>#VALUE!</v>
      </c>
      <c r="AC24" s="177" t="s">
        <v>6717</v>
      </c>
      <c r="AD24" s="23" t="s">
        <v>1738</v>
      </c>
      <c r="AE24" s="89">
        <v>44547</v>
      </c>
      <c r="AG24" s="34">
        <f t="shared" ref="AG24:AG25" si="40">AF24-AE24</f>
        <v>-44547</v>
      </c>
      <c r="AH24" s="44" t="s">
        <v>2259</v>
      </c>
      <c r="AI24" s="131"/>
      <c r="AO24" s="131"/>
      <c r="AP24" s="264"/>
    </row>
    <row r="25" spans="1:42">
      <c r="A25" s="151" t="s">
        <v>2668</v>
      </c>
      <c r="B25" s="85">
        <v>-8</v>
      </c>
      <c r="C25" s="85">
        <v>-48</v>
      </c>
      <c r="D25" s="84">
        <v>17</v>
      </c>
      <c r="E25" s="84">
        <v>33</v>
      </c>
      <c r="F25" s="7">
        <v>8.57</v>
      </c>
      <c r="G25" s="84">
        <v>4967</v>
      </c>
      <c r="H25" s="9" t="s">
        <v>558</v>
      </c>
      <c r="I25" s="23" t="s">
        <v>2657</v>
      </c>
      <c r="J25" s="77">
        <v>11.03</v>
      </c>
      <c r="K25" s="371">
        <v>1.17</v>
      </c>
      <c r="L25" s="77">
        <v>51.56</v>
      </c>
      <c r="M25" s="371">
        <v>4.84</v>
      </c>
      <c r="N25" s="365">
        <f t="shared" si="30"/>
        <v>68.600000000000009</v>
      </c>
      <c r="O25" s="343">
        <f t="shared" si="31"/>
        <v>15.87</v>
      </c>
      <c r="P25" s="195">
        <v>13</v>
      </c>
      <c r="Q25" s="326">
        <v>27</v>
      </c>
      <c r="R25" s="111">
        <v>24</v>
      </c>
      <c r="S25" s="51">
        <v>27</v>
      </c>
      <c r="T25" s="339">
        <f t="shared" si="37"/>
        <v>91</v>
      </c>
      <c r="U25" s="329" t="s">
        <v>6716</v>
      </c>
      <c r="V25" s="77">
        <v>7.62</v>
      </c>
      <c r="W25" s="35">
        <v>0.86</v>
      </c>
      <c r="X25" s="100">
        <v>1.61</v>
      </c>
      <c r="Y25" s="37" t="str">
        <f>RTD("money.excel",,"4967","Price")</f>
        <v>無資料</v>
      </c>
      <c r="Z25" s="69">
        <v>47.4</v>
      </c>
      <c r="AA25" s="16" t="e">
        <f t="shared" si="38"/>
        <v>#VALUE!</v>
      </c>
      <c r="AB25" s="3" t="e">
        <f t="shared" si="39"/>
        <v>#VALUE!</v>
      </c>
      <c r="AC25" s="177" t="s">
        <v>6718</v>
      </c>
      <c r="AD25" s="23" t="s">
        <v>2657</v>
      </c>
      <c r="AE25" s="89">
        <v>44547</v>
      </c>
      <c r="AG25" s="34">
        <f t="shared" si="40"/>
        <v>-44547</v>
      </c>
      <c r="AH25" s="44" t="s">
        <v>2131</v>
      </c>
      <c r="AI25" s="131"/>
      <c r="AO25" s="131"/>
      <c r="AP25" s="264"/>
    </row>
    <row r="26" spans="1:42">
      <c r="A26" s="151" t="s">
        <v>2669</v>
      </c>
      <c r="B26" s="85">
        <v>-4</v>
      </c>
      <c r="C26" s="85">
        <v>-79</v>
      </c>
      <c r="D26" s="85">
        <v>-3</v>
      </c>
      <c r="E26" s="85">
        <v>-33</v>
      </c>
      <c r="F26" s="7">
        <v>3.96</v>
      </c>
      <c r="G26" s="84">
        <v>6451</v>
      </c>
      <c r="H26" s="9" t="s">
        <v>558</v>
      </c>
      <c r="I26" s="23" t="s">
        <v>411</v>
      </c>
      <c r="J26" s="77">
        <v>63.4</v>
      </c>
      <c r="K26" s="371">
        <v>63.42</v>
      </c>
      <c r="L26" s="77">
        <v>14.65</v>
      </c>
      <c r="M26" s="77">
        <v>61.51</v>
      </c>
      <c r="N26" s="77">
        <f t="shared" ref="N26:N29" si="41">J26+K26+L26+M26</f>
        <v>202.98</v>
      </c>
      <c r="O26" s="369">
        <f t="shared" ref="O26:O29" si="42">J26+M26</f>
        <v>124.91</v>
      </c>
      <c r="P26" s="195">
        <v>10</v>
      </c>
      <c r="Q26" s="326">
        <v>0</v>
      </c>
      <c r="R26" s="111">
        <v>0</v>
      </c>
      <c r="S26" s="51">
        <v>2</v>
      </c>
      <c r="T26" s="339">
        <f t="shared" ref="T26:T28" si="43">SUM(P26:S26)</f>
        <v>12</v>
      </c>
      <c r="U26" s="329" t="s">
        <v>6636</v>
      </c>
      <c r="V26" s="77">
        <v>1.91</v>
      </c>
      <c r="W26" s="69">
        <v>4.0999999999999996</v>
      </c>
      <c r="X26" s="59">
        <v>6.57</v>
      </c>
      <c r="Y26" s="14" t="str">
        <f>RTD("money.excel",,"6451","Price")</f>
        <v>無資料</v>
      </c>
      <c r="Z26" s="69">
        <v>95.8</v>
      </c>
      <c r="AA26" s="16" t="e">
        <f t="shared" ref="AA26:AA29" si="44">Y26-Z26</f>
        <v>#VALUE!</v>
      </c>
      <c r="AB26" s="3" t="e">
        <f t="shared" ref="AB26:AB29" si="45">AA26/Z26</f>
        <v>#VALUE!</v>
      </c>
      <c r="AC26" s="105" t="s">
        <v>6637</v>
      </c>
      <c r="AD26" s="23" t="s">
        <v>411</v>
      </c>
      <c r="AE26" s="89">
        <v>44543</v>
      </c>
      <c r="AG26" s="34">
        <f t="shared" ref="AG26:AG29" si="46">AF26-AE26</f>
        <v>-44543</v>
      </c>
      <c r="AH26" s="125" t="s">
        <v>3668</v>
      </c>
      <c r="AI26" s="128"/>
      <c r="AO26" s="131"/>
      <c r="AP26" s="264"/>
    </row>
    <row r="27" spans="1:42">
      <c r="A27" s="135" t="s">
        <v>6506</v>
      </c>
      <c r="B27" s="85">
        <v>-32</v>
      </c>
      <c r="C27" s="85">
        <v>-32</v>
      </c>
      <c r="D27" s="84">
        <v>63</v>
      </c>
      <c r="E27" s="85">
        <v>-40</v>
      </c>
      <c r="F27" s="59">
        <v>22.79</v>
      </c>
      <c r="G27" s="85">
        <v>1777</v>
      </c>
      <c r="H27" s="203" t="s">
        <v>560</v>
      </c>
      <c r="I27" s="17" t="s">
        <v>263</v>
      </c>
      <c r="J27" s="77">
        <v>59.92</v>
      </c>
      <c r="K27" s="371">
        <v>0.12</v>
      </c>
      <c r="L27" s="77">
        <v>1.97</v>
      </c>
      <c r="M27" s="77">
        <v>29.77</v>
      </c>
      <c r="N27" s="365">
        <f t="shared" si="41"/>
        <v>91.78</v>
      </c>
      <c r="O27" s="369">
        <f t="shared" si="42"/>
        <v>89.69</v>
      </c>
      <c r="P27" s="195">
        <v>0</v>
      </c>
      <c r="Q27" s="326" t="str">
        <f>IFERROR(VLOOKUP($G27,主力整理!$A$2:$G$2301,6,0),"0")</f>
        <v>0</v>
      </c>
      <c r="R27" s="111">
        <v>0</v>
      </c>
      <c r="S27" s="51">
        <v>0</v>
      </c>
      <c r="T27" s="339">
        <f t="shared" si="43"/>
        <v>0</v>
      </c>
      <c r="U27" s="329" t="s">
        <v>6538</v>
      </c>
      <c r="V27" s="371">
        <v>0.18</v>
      </c>
      <c r="W27" s="69">
        <v>4</v>
      </c>
      <c r="X27" s="59">
        <v>4.57</v>
      </c>
      <c r="Y27" s="37" t="str">
        <f>RTD("money.excel",,"1777","Price")</f>
        <v>無資料</v>
      </c>
      <c r="Z27" s="69">
        <v>64.2</v>
      </c>
      <c r="AA27" s="16" t="e">
        <f t="shared" si="44"/>
        <v>#VALUE!</v>
      </c>
      <c r="AB27" s="3" t="e">
        <f t="shared" si="45"/>
        <v>#VALUE!</v>
      </c>
      <c r="AC27" s="107" t="s">
        <v>6638</v>
      </c>
      <c r="AD27" s="17" t="s">
        <v>263</v>
      </c>
      <c r="AE27" s="89">
        <v>44543</v>
      </c>
      <c r="AG27" s="34">
        <f t="shared" si="46"/>
        <v>-44543</v>
      </c>
      <c r="AH27" s="126" t="s">
        <v>3874</v>
      </c>
      <c r="AI27" s="131"/>
      <c r="AO27" s="131"/>
      <c r="AP27" s="264"/>
    </row>
    <row r="28" spans="1:42">
      <c r="A28" s="135" t="s">
        <v>2430</v>
      </c>
      <c r="B28" s="84">
        <v>179</v>
      </c>
      <c r="C28" s="84">
        <v>134</v>
      </c>
      <c r="D28" s="84">
        <v>12</v>
      </c>
      <c r="E28" s="84">
        <v>17</v>
      </c>
      <c r="F28" s="59">
        <v>16.32</v>
      </c>
      <c r="G28" s="84">
        <v>2231</v>
      </c>
      <c r="H28" s="9" t="s">
        <v>550</v>
      </c>
      <c r="I28" s="23" t="s">
        <v>320</v>
      </c>
      <c r="J28" s="77">
        <v>59.38</v>
      </c>
      <c r="K28" s="371">
        <v>7.21</v>
      </c>
      <c r="L28" s="371">
        <v>25.58</v>
      </c>
      <c r="M28" s="371">
        <v>35.25</v>
      </c>
      <c r="N28" s="365">
        <f t="shared" si="41"/>
        <v>127.42</v>
      </c>
      <c r="O28" s="369">
        <f t="shared" si="42"/>
        <v>94.63</v>
      </c>
      <c r="P28" s="195">
        <v>5</v>
      </c>
      <c r="Q28" s="326">
        <v>4</v>
      </c>
      <c r="R28" s="111">
        <v>0</v>
      </c>
      <c r="S28" s="51">
        <v>2</v>
      </c>
      <c r="T28" s="339">
        <f t="shared" si="43"/>
        <v>11</v>
      </c>
      <c r="U28" s="329" t="s">
        <v>6636</v>
      </c>
      <c r="V28" s="77">
        <v>3.25</v>
      </c>
      <c r="W28" s="35">
        <v>1.2</v>
      </c>
      <c r="X28" s="59">
        <v>4.2699999999999996</v>
      </c>
      <c r="Y28" s="37" t="str">
        <f>RTD("money.excel",,"2231","Price")</f>
        <v>無資料</v>
      </c>
      <c r="Z28" s="69">
        <v>178</v>
      </c>
      <c r="AA28" s="16" t="e">
        <f t="shared" si="44"/>
        <v>#VALUE!</v>
      </c>
      <c r="AB28" s="3" t="e">
        <f t="shared" si="45"/>
        <v>#VALUE!</v>
      </c>
      <c r="AC28" s="107" t="s">
        <v>6639</v>
      </c>
      <c r="AD28" s="23" t="s">
        <v>320</v>
      </c>
      <c r="AE28" s="89">
        <v>44543</v>
      </c>
      <c r="AG28" s="34">
        <f t="shared" si="46"/>
        <v>-44543</v>
      </c>
      <c r="AH28" s="126" t="s">
        <v>4372</v>
      </c>
      <c r="AI28" s="284"/>
      <c r="AO28" s="131"/>
      <c r="AP28" s="264"/>
    </row>
    <row r="29" spans="1:42">
      <c r="A29" s="151" t="s">
        <v>2625</v>
      </c>
      <c r="B29" s="98">
        <v>1368</v>
      </c>
      <c r="C29" s="84">
        <v>763</v>
      </c>
      <c r="D29" s="84">
        <v>1</v>
      </c>
      <c r="E29" s="85">
        <v>-13</v>
      </c>
      <c r="F29" s="7">
        <v>5.17</v>
      </c>
      <c r="G29" s="85">
        <v>3552</v>
      </c>
      <c r="H29" s="5" t="s">
        <v>5322</v>
      </c>
      <c r="I29" s="17" t="s">
        <v>397</v>
      </c>
      <c r="J29" s="77">
        <v>36.58</v>
      </c>
      <c r="K29" s="371">
        <v>21.55</v>
      </c>
      <c r="L29" s="371">
        <v>26.82</v>
      </c>
      <c r="M29" s="371">
        <v>18.88</v>
      </c>
      <c r="N29" s="365">
        <f t="shared" si="41"/>
        <v>103.82999999999998</v>
      </c>
      <c r="O29" s="343">
        <f t="shared" si="42"/>
        <v>55.459999999999994</v>
      </c>
      <c r="P29" s="195">
        <v>6</v>
      </c>
      <c r="Q29" s="326">
        <v>13</v>
      </c>
      <c r="R29" s="111">
        <v>1</v>
      </c>
      <c r="S29" s="51">
        <v>3</v>
      </c>
      <c r="T29" s="339">
        <f t="shared" ref="T29" si="47">SUM(P29:S29)</f>
        <v>23</v>
      </c>
      <c r="U29" s="329" t="s">
        <v>6629</v>
      </c>
      <c r="V29" s="77">
        <v>3.58</v>
      </c>
      <c r="W29" s="35">
        <v>1.5</v>
      </c>
      <c r="X29" s="100">
        <v>6.38</v>
      </c>
      <c r="Y29" s="37" t="str">
        <f>RTD("money.excel",,"3552","Price")</f>
        <v>無資料</v>
      </c>
      <c r="Z29" s="69">
        <v>168</v>
      </c>
      <c r="AA29" s="16" t="e">
        <f t="shared" si="44"/>
        <v>#VALUE!</v>
      </c>
      <c r="AB29" s="3" t="e">
        <f t="shared" si="45"/>
        <v>#VALUE!</v>
      </c>
      <c r="AC29" s="107" t="s">
        <v>6587</v>
      </c>
      <c r="AD29" s="17" t="s">
        <v>397</v>
      </c>
      <c r="AE29" s="89">
        <v>44543</v>
      </c>
      <c r="AG29" s="34">
        <f t="shared" si="46"/>
        <v>-44543</v>
      </c>
      <c r="AH29" s="125" t="s">
        <v>3702</v>
      </c>
      <c r="AI29" s="131"/>
      <c r="AO29" s="131"/>
      <c r="AP29" s="264"/>
    </row>
    <row r="30" spans="1:42">
      <c r="A30" s="135" t="s">
        <v>2489</v>
      </c>
      <c r="B30" s="84">
        <v>382</v>
      </c>
      <c r="C30" s="98">
        <v>870</v>
      </c>
      <c r="D30" s="85">
        <v>-12</v>
      </c>
      <c r="E30" s="85">
        <v>-33</v>
      </c>
      <c r="F30" s="59">
        <v>35.18</v>
      </c>
      <c r="G30" s="84">
        <v>6237</v>
      </c>
      <c r="H30" s="154" t="s">
        <v>558</v>
      </c>
      <c r="I30" s="17" t="s">
        <v>669</v>
      </c>
      <c r="J30" s="77">
        <v>15.23</v>
      </c>
      <c r="K30" s="371">
        <v>2.14</v>
      </c>
      <c r="L30" s="371">
        <v>47.08</v>
      </c>
      <c r="M30" s="371">
        <v>12.4</v>
      </c>
      <c r="N30" s="365">
        <f t="shared" ref="N30" si="48">J30+K30+L30+M30</f>
        <v>76.850000000000009</v>
      </c>
      <c r="O30" s="343">
        <f t="shared" ref="O30" si="49">J30+M30</f>
        <v>27.630000000000003</v>
      </c>
      <c r="P30" s="195">
        <v>4</v>
      </c>
      <c r="Q30" s="326">
        <v>3</v>
      </c>
      <c r="R30" s="111">
        <v>30</v>
      </c>
      <c r="S30" s="51">
        <v>10</v>
      </c>
      <c r="T30" s="339">
        <f t="shared" ref="T30" si="50">SUM(P30:S30)</f>
        <v>47</v>
      </c>
      <c r="V30" s="77">
        <v>7.49</v>
      </c>
      <c r="W30" s="35">
        <v>1</v>
      </c>
      <c r="X30" s="100">
        <v>7.21</v>
      </c>
      <c r="Y30" s="37" t="str">
        <f>RTD("money.excel",,"6237","Price")</f>
        <v>無資料</v>
      </c>
      <c r="Z30" s="69">
        <v>97.6</v>
      </c>
      <c r="AA30" s="16" t="e">
        <f t="shared" ref="AA30" si="51">Y30-Z30</f>
        <v>#VALUE!</v>
      </c>
      <c r="AB30" s="3" t="e">
        <f t="shared" ref="AB30" si="52">AA30/Z30</f>
        <v>#VALUE!</v>
      </c>
      <c r="AC30" s="107" t="s">
        <v>6643</v>
      </c>
      <c r="AD30" s="17" t="s">
        <v>669</v>
      </c>
      <c r="AE30" s="89">
        <v>44543</v>
      </c>
      <c r="AG30" s="34">
        <f t="shared" ref="AG30" si="53">AF30-AE30</f>
        <v>-44543</v>
      </c>
      <c r="AH30" s="63" t="s">
        <v>4951</v>
      </c>
      <c r="AI30" s="131"/>
      <c r="AO30" s="131"/>
      <c r="AP30" s="264"/>
    </row>
    <row r="31" spans="1:42">
      <c r="A31" s="151" t="s">
        <v>2694</v>
      </c>
      <c r="B31" s="84">
        <v>28</v>
      </c>
      <c r="C31" s="84">
        <v>22</v>
      </c>
      <c r="D31" s="85">
        <v>-9</v>
      </c>
      <c r="E31" s="84">
        <v>8</v>
      </c>
      <c r="F31" s="7">
        <v>8.99</v>
      </c>
      <c r="G31" s="84">
        <v>3537</v>
      </c>
      <c r="H31" s="9" t="s">
        <v>559</v>
      </c>
      <c r="I31" s="17" t="s">
        <v>538</v>
      </c>
      <c r="J31" s="77">
        <v>28.79</v>
      </c>
      <c r="K31" s="77">
        <v>0.28000000000000003</v>
      </c>
      <c r="L31" s="77">
        <v>5.59</v>
      </c>
      <c r="M31" s="371">
        <v>19.309999999999999</v>
      </c>
      <c r="N31" s="365">
        <f t="shared" ref="N31:N32" si="54">J31+K31+L31+M31</f>
        <v>53.97</v>
      </c>
      <c r="O31" s="343">
        <f t="shared" ref="O31:O34" si="55">J31+M31</f>
        <v>48.099999999999994</v>
      </c>
      <c r="P31" s="195">
        <v>0</v>
      </c>
      <c r="Q31" s="326">
        <v>1</v>
      </c>
      <c r="R31" s="111">
        <v>0</v>
      </c>
      <c r="S31" s="51">
        <v>0</v>
      </c>
      <c r="T31" s="339">
        <f t="shared" ref="T31" si="56">SUM(P31:S31)</f>
        <v>1</v>
      </c>
      <c r="U31" s="329" t="s">
        <v>6610</v>
      </c>
      <c r="V31" s="371">
        <v>0.19</v>
      </c>
      <c r="W31" s="35">
        <v>2.5</v>
      </c>
      <c r="X31" s="100">
        <v>3.41</v>
      </c>
      <c r="Y31" s="37" t="str">
        <f>RTD("money.excel",,"3537","Price")</f>
        <v>無資料</v>
      </c>
      <c r="Z31" s="69">
        <v>36.700000000000003</v>
      </c>
      <c r="AA31" s="16" t="e">
        <f t="shared" ref="AA31:AA32" si="57">Y31-Z31</f>
        <v>#VALUE!</v>
      </c>
      <c r="AB31" s="36" t="e">
        <f t="shared" ref="AB31:AB32" si="58">AA31/Z31</f>
        <v>#VALUE!</v>
      </c>
      <c r="AC31" s="107" t="s">
        <v>6611</v>
      </c>
      <c r="AD31" s="17" t="s">
        <v>538</v>
      </c>
      <c r="AE31" s="89">
        <v>44540</v>
      </c>
      <c r="AG31" s="34">
        <f t="shared" ref="AG31:AG32" si="59">AF31-AE31</f>
        <v>-44540</v>
      </c>
      <c r="AH31" s="44" t="s">
        <v>3805</v>
      </c>
      <c r="AI31" s="131"/>
      <c r="AO31" s="131"/>
      <c r="AP31" s="264"/>
    </row>
    <row r="32" spans="1:42">
      <c r="A32" s="135" t="s">
        <v>6506</v>
      </c>
      <c r="B32" s="85">
        <v>-32</v>
      </c>
      <c r="C32" s="85">
        <v>-32</v>
      </c>
      <c r="D32" s="84">
        <v>63</v>
      </c>
      <c r="E32" s="85">
        <v>-40</v>
      </c>
      <c r="F32" s="59">
        <v>22.79</v>
      </c>
      <c r="G32" s="85">
        <v>1777</v>
      </c>
      <c r="H32" s="203" t="s">
        <v>560</v>
      </c>
      <c r="I32" s="17" t="s">
        <v>263</v>
      </c>
      <c r="J32" s="77">
        <v>59.92</v>
      </c>
      <c r="K32" s="371">
        <v>0.15</v>
      </c>
      <c r="L32" s="371">
        <v>1.86</v>
      </c>
      <c r="M32" s="77">
        <v>29.7</v>
      </c>
      <c r="N32" s="365">
        <f t="shared" si="54"/>
        <v>91.63</v>
      </c>
      <c r="O32" s="369">
        <f t="shared" si="55"/>
        <v>89.62</v>
      </c>
      <c r="P32" s="195">
        <v>0</v>
      </c>
      <c r="Q32" s="326" t="str">
        <f>IFERROR(VLOOKUP($G32,主力整理!$A$2:$G$2301,6,0),"0")</f>
        <v>0</v>
      </c>
      <c r="R32" s="111">
        <v>0</v>
      </c>
      <c r="S32" s="51">
        <v>0</v>
      </c>
      <c r="T32" s="339">
        <f t="shared" ref="T32" si="60">SUM(P32:S32)</f>
        <v>0</v>
      </c>
      <c r="U32" s="329" t="s">
        <v>6538</v>
      </c>
      <c r="V32" s="371">
        <v>0.33</v>
      </c>
      <c r="W32" s="46">
        <v>4</v>
      </c>
      <c r="X32" s="59">
        <v>4.57</v>
      </c>
      <c r="Y32" s="37" t="str">
        <f>RTD("money.excel",,"1777","Price")</f>
        <v>無資料</v>
      </c>
      <c r="Z32" s="69">
        <v>64.2</v>
      </c>
      <c r="AA32" s="16" t="e">
        <f t="shared" si="57"/>
        <v>#VALUE!</v>
      </c>
      <c r="AB32" s="3" t="e">
        <f t="shared" si="58"/>
        <v>#VALUE!</v>
      </c>
      <c r="AC32" s="107" t="s">
        <v>6613</v>
      </c>
      <c r="AD32" s="17" t="s">
        <v>263</v>
      </c>
      <c r="AE32" s="91">
        <v>44540</v>
      </c>
      <c r="AG32" s="34">
        <f t="shared" si="59"/>
        <v>-44540</v>
      </c>
      <c r="AH32" s="126" t="s">
        <v>3874</v>
      </c>
      <c r="AI32" s="131"/>
      <c r="AO32" s="131"/>
      <c r="AP32" s="264"/>
    </row>
    <row r="33" spans="1:50">
      <c r="A33" s="151" t="s">
        <v>2885</v>
      </c>
      <c r="B33" s="85">
        <v>-47</v>
      </c>
      <c r="C33" s="85">
        <v>-51</v>
      </c>
      <c r="D33" s="84">
        <v>4</v>
      </c>
      <c r="E33" s="85">
        <v>-42</v>
      </c>
      <c r="F33" s="7">
        <v>8.5</v>
      </c>
      <c r="G33" s="84">
        <v>4977</v>
      </c>
      <c r="H33" s="9" t="s">
        <v>563</v>
      </c>
      <c r="I33" s="23" t="s">
        <v>444</v>
      </c>
      <c r="J33" s="77">
        <v>42.43</v>
      </c>
      <c r="K33" s="77">
        <v>38.82</v>
      </c>
      <c r="L33" s="371">
        <v>12.55</v>
      </c>
      <c r="M33" s="77">
        <v>21.95</v>
      </c>
      <c r="N33" s="365">
        <f>K33+J33+L33+M33</f>
        <v>115.75</v>
      </c>
      <c r="O33" s="343">
        <f t="shared" si="55"/>
        <v>64.38</v>
      </c>
      <c r="P33" s="195">
        <v>0</v>
      </c>
      <c r="Q33" s="326" t="str">
        <f>IFERROR(VLOOKUP($G33,主力整理!$A$2:$G$2301,6,0),"0")</f>
        <v>0</v>
      </c>
      <c r="R33" s="312">
        <v>1</v>
      </c>
      <c r="S33" s="51">
        <v>0</v>
      </c>
      <c r="T33" s="339">
        <f>SUM(P33:S33)</f>
        <v>1</v>
      </c>
      <c r="U33" s="329" t="s">
        <v>6539</v>
      </c>
      <c r="V33" s="77">
        <v>0.97</v>
      </c>
      <c r="W33" s="69">
        <v>5.81</v>
      </c>
      <c r="X33" s="100">
        <v>5.27</v>
      </c>
      <c r="Y33" s="37" t="str">
        <f>RTD("money.excel",,"4977","Price")</f>
        <v>無資料</v>
      </c>
      <c r="Z33" s="69">
        <v>84.1</v>
      </c>
      <c r="AA33" s="16" t="e">
        <f t="shared" ref="AA33" si="61">Y33-Z33</f>
        <v>#VALUE!</v>
      </c>
      <c r="AB33" s="3" t="e">
        <f t="shared" ref="AB33" si="62">AA33/Z33</f>
        <v>#VALUE!</v>
      </c>
      <c r="AC33" s="105" t="s">
        <v>6545</v>
      </c>
      <c r="AD33" s="23" t="s">
        <v>444</v>
      </c>
      <c r="AE33" s="89">
        <v>44533</v>
      </c>
      <c r="AG33" s="34">
        <f t="shared" ref="AG33" si="63">AF33-AE33</f>
        <v>-44533</v>
      </c>
      <c r="AH33" s="127" t="s">
        <v>3053</v>
      </c>
      <c r="AI33" s="131"/>
      <c r="AO33" s="131"/>
      <c r="AP33" s="264"/>
    </row>
    <row r="34" spans="1:50">
      <c r="A34" s="135" t="s">
        <v>6397</v>
      </c>
      <c r="B34" s="84">
        <v>139</v>
      </c>
      <c r="C34" s="84">
        <v>92</v>
      </c>
      <c r="D34" s="84">
        <v>1</v>
      </c>
      <c r="E34" s="84">
        <v>30</v>
      </c>
      <c r="F34" s="59">
        <v>13</v>
      </c>
      <c r="G34" s="84">
        <v>9945</v>
      </c>
      <c r="H34" s="5" t="s">
        <v>429</v>
      </c>
      <c r="I34" s="23" t="s">
        <v>49</v>
      </c>
      <c r="J34" s="77">
        <v>62.76</v>
      </c>
      <c r="K34" s="371">
        <v>15.05</v>
      </c>
      <c r="L34" s="77">
        <v>2.0699999999999998</v>
      </c>
      <c r="M34" s="371">
        <v>27.98</v>
      </c>
      <c r="N34" s="365">
        <f t="shared" ref="N34" si="64">K34+J34+L34+M34</f>
        <v>107.86</v>
      </c>
      <c r="O34" s="369">
        <f t="shared" si="55"/>
        <v>90.74</v>
      </c>
      <c r="P34" s="195">
        <v>2</v>
      </c>
      <c r="Q34" s="326">
        <v>8</v>
      </c>
      <c r="R34" s="312">
        <v>2</v>
      </c>
      <c r="S34" s="51">
        <v>7</v>
      </c>
      <c r="T34" s="339">
        <f>SUM(P34:S34)</f>
        <v>19</v>
      </c>
      <c r="V34" s="77">
        <v>1.84</v>
      </c>
      <c r="W34" s="69">
        <v>5</v>
      </c>
      <c r="X34" s="59">
        <v>9.99</v>
      </c>
      <c r="Y34" s="37" t="str">
        <f>RTD("money.excel",,"9945","Price")</f>
        <v>無資料</v>
      </c>
      <c r="Z34" s="69">
        <v>69</v>
      </c>
      <c r="AA34" s="16" t="e">
        <f t="shared" ref="AA34" si="65">Y34-Z34</f>
        <v>#VALUE!</v>
      </c>
      <c r="AB34" s="3" t="e">
        <f t="shared" ref="AB34" si="66">AA34/Z34</f>
        <v>#VALUE!</v>
      </c>
      <c r="AC34" s="105" t="s">
        <v>6441</v>
      </c>
      <c r="AD34" s="23" t="s">
        <v>49</v>
      </c>
      <c r="AE34" s="89">
        <v>44512</v>
      </c>
      <c r="AG34" s="34">
        <f t="shared" ref="AG34" si="67">AF34-AE34</f>
        <v>-44512</v>
      </c>
      <c r="AH34" s="126" t="s">
        <v>2169</v>
      </c>
      <c r="AI34" s="284"/>
      <c r="AO34" s="131"/>
      <c r="AP34" s="264"/>
    </row>
    <row r="35" spans="1:50">
      <c r="A35" s="151"/>
      <c r="B35" s="96"/>
      <c r="C35" s="96"/>
      <c r="D35" s="96"/>
      <c r="E35" s="96"/>
      <c r="F35" s="7"/>
      <c r="G35" s="84"/>
      <c r="H35" s="4"/>
      <c r="I35" s="23"/>
      <c r="J35" s="77"/>
      <c r="K35" s="77"/>
      <c r="N35" s="365"/>
      <c r="P35" s="195"/>
      <c r="Q35" s="326"/>
      <c r="R35" s="312"/>
      <c r="W35" s="69"/>
      <c r="X35" s="100"/>
      <c r="Y35" s="14"/>
      <c r="Z35" s="69"/>
      <c r="AA35" s="16"/>
      <c r="AB35" s="3"/>
      <c r="AC35" s="105"/>
      <c r="AD35" s="23"/>
      <c r="AG35" s="34"/>
      <c r="AH35" s="44"/>
      <c r="AO35" s="131"/>
      <c r="AP35" s="264"/>
    </row>
    <row r="36" spans="1:50">
      <c r="B36" s="182"/>
      <c r="C36" s="182"/>
      <c r="D36" s="182"/>
      <c r="E36" s="182"/>
      <c r="F36" s="183"/>
      <c r="G36" s="184"/>
      <c r="H36" s="186"/>
      <c r="I36" s="185"/>
      <c r="J36" s="366"/>
      <c r="K36" s="366"/>
      <c r="L36" s="372"/>
      <c r="M36" s="373"/>
      <c r="N36" s="366">
        <v>130</v>
      </c>
      <c r="O36" s="369">
        <v>80</v>
      </c>
      <c r="V36" s="371" t="s">
        <v>6623</v>
      </c>
      <c r="W36" s="183"/>
      <c r="X36" s="4" t="s">
        <v>2189</v>
      </c>
      <c r="Y36" s="4" t="s">
        <v>1820</v>
      </c>
      <c r="Z36" s="11" t="s">
        <v>515</v>
      </c>
      <c r="AA36" s="189"/>
      <c r="AB36" s="263" t="s">
        <v>6803</v>
      </c>
      <c r="AC36" s="263"/>
      <c r="AD36" s="324"/>
      <c r="AE36" s="331"/>
      <c r="AF36" s="332"/>
      <c r="AH36" s="263" t="s">
        <v>6635</v>
      </c>
      <c r="AP36" s="265"/>
      <c r="AQ36" s="287"/>
      <c r="AR36" s="287"/>
      <c r="AS36" s="287"/>
      <c r="AU36" s="287"/>
      <c r="AV36" s="287"/>
      <c r="AW36" s="287"/>
      <c r="AX36" s="287"/>
    </row>
    <row r="37" spans="1:50">
      <c r="A37" s="135" t="s">
        <v>2552</v>
      </c>
      <c r="B37" s="96" t="s">
        <v>2331</v>
      </c>
      <c r="C37" s="96" t="s">
        <v>2332</v>
      </c>
      <c r="D37" s="96" t="s">
        <v>2333</v>
      </c>
      <c r="E37" s="96" t="s">
        <v>2334</v>
      </c>
      <c r="F37" s="9" t="s">
        <v>1709</v>
      </c>
      <c r="G37" s="27" t="s">
        <v>5626</v>
      </c>
      <c r="H37" s="56" t="s">
        <v>578</v>
      </c>
      <c r="I37" s="9" t="s">
        <v>6464</v>
      </c>
      <c r="J37" s="364" t="s">
        <v>2189</v>
      </c>
      <c r="K37" s="364" t="s">
        <v>1820</v>
      </c>
      <c r="L37" s="364" t="s">
        <v>515</v>
      </c>
      <c r="M37" s="364" t="s">
        <v>1699</v>
      </c>
      <c r="N37" s="364" t="s">
        <v>6633</v>
      </c>
      <c r="O37" s="343" t="s">
        <v>6634</v>
      </c>
      <c r="P37" s="83" t="s">
        <v>5279</v>
      </c>
      <c r="Q37" s="326" t="s">
        <v>5514</v>
      </c>
      <c r="R37" s="51" t="s">
        <v>6596</v>
      </c>
      <c r="S37" s="51" t="s">
        <v>6597</v>
      </c>
      <c r="T37" s="338" t="s">
        <v>5627</v>
      </c>
      <c r="U37" s="330" t="s">
        <v>6537</v>
      </c>
      <c r="V37" s="377" t="s">
        <v>6616</v>
      </c>
      <c r="W37" s="11" t="s">
        <v>127</v>
      </c>
      <c r="X37" s="71" t="s">
        <v>6626</v>
      </c>
      <c r="Y37" s="29" t="s">
        <v>6688</v>
      </c>
      <c r="Z37" s="18" t="s">
        <v>2113</v>
      </c>
      <c r="AA37" s="15" t="s">
        <v>3598</v>
      </c>
      <c r="AB37" s="22" t="s">
        <v>2199</v>
      </c>
      <c r="AC37" s="26" t="s">
        <v>211</v>
      </c>
      <c r="AD37" s="9" t="s">
        <v>6464</v>
      </c>
      <c r="AE37" s="56" t="s">
        <v>5568</v>
      </c>
      <c r="AF37" s="114" t="s">
        <v>5575</v>
      </c>
      <c r="AG37" s="33" t="s">
        <v>1827</v>
      </c>
      <c r="AH37" s="262" t="s">
        <v>6799</v>
      </c>
      <c r="AI37" s="284"/>
      <c r="AK37" s="9" t="s">
        <v>6666</v>
      </c>
      <c r="AL37" s="5" t="s">
        <v>6667</v>
      </c>
      <c r="AM37" s="51" t="s">
        <v>5339</v>
      </c>
      <c r="AN37" s="276" t="s">
        <v>6665</v>
      </c>
      <c r="AO37" s="131"/>
      <c r="AP37" s="264"/>
    </row>
    <row r="38" spans="1:50">
      <c r="B38" s="96"/>
      <c r="C38" s="96"/>
      <c r="D38" s="96"/>
      <c r="E38" s="96"/>
      <c r="F38" s="9"/>
      <c r="G38" s="27"/>
      <c r="H38" s="56"/>
      <c r="I38" s="9"/>
      <c r="J38" s="364"/>
      <c r="K38" s="364"/>
      <c r="L38" s="364"/>
      <c r="M38" s="364"/>
      <c r="N38" s="364"/>
      <c r="P38" s="83"/>
      <c r="Q38" s="326"/>
      <c r="T38" s="338"/>
      <c r="U38" s="330"/>
      <c r="V38" s="377"/>
      <c r="W38" s="11"/>
      <c r="X38" s="71"/>
      <c r="Y38" s="29"/>
      <c r="Z38" s="18"/>
      <c r="AA38" s="15"/>
      <c r="AB38" s="22"/>
      <c r="AC38" s="26"/>
      <c r="AD38" s="9"/>
      <c r="AE38" s="56"/>
      <c r="AF38" s="114"/>
      <c r="AG38" s="33"/>
      <c r="AH38" s="262"/>
      <c r="AI38" s="284"/>
      <c r="AK38" s="9"/>
      <c r="AL38" s="5"/>
      <c r="AM38" s="51"/>
      <c r="AN38" s="276"/>
      <c r="AO38" s="131"/>
      <c r="AP38" s="264"/>
    </row>
    <row r="39" spans="1:50">
      <c r="A39" s="151" t="s">
        <v>2590</v>
      </c>
      <c r="B39" s="84">
        <v>150</v>
      </c>
      <c r="C39" s="84">
        <v>482</v>
      </c>
      <c r="D39" s="84">
        <v>50</v>
      </c>
      <c r="E39" s="84">
        <v>77</v>
      </c>
      <c r="F39" s="7">
        <v>6.96</v>
      </c>
      <c r="G39" s="84">
        <v>2399</v>
      </c>
      <c r="H39" s="212" t="s">
        <v>1815</v>
      </c>
      <c r="I39" s="23" t="s">
        <v>875</v>
      </c>
      <c r="J39" s="77">
        <v>25.88</v>
      </c>
      <c r="K39" s="371">
        <v>9.85</v>
      </c>
      <c r="L39" s="77">
        <v>28.95</v>
      </c>
      <c r="M39" s="371">
        <v>7.53</v>
      </c>
      <c r="N39" s="365">
        <f>J39+K39+L39+M39</f>
        <v>72.209999999999994</v>
      </c>
      <c r="O39" s="343">
        <f>J39+M39</f>
        <v>33.409999999999997</v>
      </c>
      <c r="P39" s="195">
        <v>8</v>
      </c>
      <c r="Q39" s="326">
        <v>17</v>
      </c>
      <c r="R39" s="111">
        <v>6</v>
      </c>
      <c r="S39" s="51">
        <v>7</v>
      </c>
      <c r="T39" s="339">
        <f>SUM(P39:S39)</f>
        <v>38</v>
      </c>
      <c r="U39" s="329" t="s">
        <v>6629</v>
      </c>
      <c r="V39" s="371">
        <v>4.24</v>
      </c>
      <c r="W39" s="35">
        <v>0.4</v>
      </c>
      <c r="X39" s="100">
        <v>1.75</v>
      </c>
      <c r="Y39" s="37">
        <v>25.35</v>
      </c>
      <c r="Z39" s="69">
        <v>22.4</v>
      </c>
      <c r="AA39" s="16">
        <f>Y39-Z39</f>
        <v>2.9500000000000028</v>
      </c>
      <c r="AB39" s="66">
        <f>AA39/Z39</f>
        <v>0.13169642857142871</v>
      </c>
      <c r="AC39" s="107" t="s">
        <v>6632</v>
      </c>
      <c r="AD39" s="23" t="s">
        <v>875</v>
      </c>
      <c r="AE39" s="89">
        <v>44543</v>
      </c>
      <c r="AF39" s="88">
        <v>44559</v>
      </c>
      <c r="AG39" s="34">
        <f>AF39-AE39</f>
        <v>16</v>
      </c>
      <c r="AH39" s="44" t="s">
        <v>4264</v>
      </c>
      <c r="AI39" s="284"/>
      <c r="AO39" s="131"/>
      <c r="AP39" s="264"/>
    </row>
    <row r="40" spans="1:50">
      <c r="A40" s="135" t="s">
        <v>4646</v>
      </c>
      <c r="B40" s="84">
        <v>13</v>
      </c>
      <c r="C40" s="85">
        <v>-12</v>
      </c>
      <c r="D40" s="84">
        <v>34</v>
      </c>
      <c r="E40" s="85">
        <v>-4</v>
      </c>
      <c r="F40" s="59">
        <v>16.309999999999999</v>
      </c>
      <c r="G40" s="84">
        <v>6568</v>
      </c>
      <c r="H40" s="212" t="s">
        <v>558</v>
      </c>
      <c r="I40" s="17" t="s">
        <v>675</v>
      </c>
      <c r="J40" s="77">
        <v>11.42</v>
      </c>
      <c r="K40" s="77">
        <v>7.78</v>
      </c>
      <c r="M40" s="371">
        <v>12.67</v>
      </c>
      <c r="N40" s="365">
        <f t="shared" ref="N40:N46" si="68">J40+K40+L40+M40</f>
        <v>31.869999999999997</v>
      </c>
      <c r="O40" s="343">
        <f>J40+M40</f>
        <v>24.09</v>
      </c>
      <c r="P40" s="195">
        <v>8</v>
      </c>
      <c r="Q40" s="326">
        <v>15</v>
      </c>
      <c r="R40" s="111">
        <v>18</v>
      </c>
      <c r="S40" s="51">
        <v>40</v>
      </c>
      <c r="T40" s="339">
        <f>SUM(P40:S40)</f>
        <v>81</v>
      </c>
      <c r="V40" s="371">
        <v>1.04</v>
      </c>
      <c r="W40" s="69">
        <v>7.08</v>
      </c>
      <c r="X40" s="100">
        <v>7.65</v>
      </c>
      <c r="Y40" s="37">
        <v>367.5</v>
      </c>
      <c r="Z40" s="69">
        <v>373</v>
      </c>
      <c r="AA40" s="16">
        <f t="shared" ref="AA40:AA46" si="69">Y40-Z40</f>
        <v>-5.5</v>
      </c>
      <c r="AB40" s="80">
        <f t="shared" ref="AB40:AB46" si="70">AA40/Z40</f>
        <v>-1.4745308310991957E-2</v>
      </c>
      <c r="AC40" s="177" t="s">
        <v>6842</v>
      </c>
      <c r="AD40" s="17" t="s">
        <v>675</v>
      </c>
      <c r="AE40" s="89">
        <v>44554</v>
      </c>
      <c r="AF40" s="88">
        <v>44558</v>
      </c>
      <c r="AG40" s="34">
        <f t="shared" ref="AG40:AG46" si="71">AF40-AE40</f>
        <v>4</v>
      </c>
      <c r="AH40" s="63" t="s">
        <v>3755</v>
      </c>
      <c r="AI40" s="131"/>
      <c r="AK40" s="66">
        <f>AM40/(A40*10000)</f>
        <v>0</v>
      </c>
      <c r="AL40" s="174">
        <f>AN40/(A40*10000)</f>
        <v>0</v>
      </c>
      <c r="AM40" s="346">
        <f>RTD("money.excel",,$G40,"PredictVolume")</f>
        <v>0</v>
      </c>
      <c r="AN40" s="272">
        <f>RTD("money.excel",,$G40,"CumulativeVolume")</f>
        <v>0</v>
      </c>
      <c r="AO40" s="284"/>
      <c r="AP40" s="284"/>
    </row>
    <row r="41" spans="1:50">
      <c r="A41" s="135" t="s">
        <v>6295</v>
      </c>
      <c r="B41" s="85">
        <v>-19</v>
      </c>
      <c r="C41" s="85">
        <v>-18</v>
      </c>
      <c r="D41" s="84">
        <v>0</v>
      </c>
      <c r="E41" s="84">
        <v>32</v>
      </c>
      <c r="F41" s="59">
        <v>12.25</v>
      </c>
      <c r="G41" s="85">
        <v>6223</v>
      </c>
      <c r="H41" s="268" t="s">
        <v>558</v>
      </c>
      <c r="I41" s="17" t="s">
        <v>312</v>
      </c>
      <c r="J41" s="77">
        <v>20.89</v>
      </c>
      <c r="K41" s="371">
        <v>13.37</v>
      </c>
      <c r="L41" s="77">
        <v>39.020000000000003</v>
      </c>
      <c r="M41" s="371">
        <v>12.43</v>
      </c>
      <c r="N41" s="365">
        <f t="shared" si="68"/>
        <v>85.710000000000008</v>
      </c>
      <c r="O41" s="343">
        <f>J41+M41</f>
        <v>33.32</v>
      </c>
      <c r="P41" s="195">
        <v>9</v>
      </c>
      <c r="Q41" s="326">
        <v>31</v>
      </c>
      <c r="R41" s="111">
        <v>32</v>
      </c>
      <c r="S41" s="51">
        <v>41</v>
      </c>
      <c r="T41" s="339">
        <f>SUM(P41:S41)</f>
        <v>113</v>
      </c>
      <c r="U41" s="329" t="s">
        <v>6833</v>
      </c>
      <c r="V41" s="77">
        <v>2.7</v>
      </c>
      <c r="W41" s="69">
        <v>4.47</v>
      </c>
      <c r="X41" s="100">
        <v>6.6</v>
      </c>
      <c r="Y41" s="37">
        <v>115.5</v>
      </c>
      <c r="Z41" s="69">
        <v>116.5</v>
      </c>
      <c r="AA41" s="16">
        <f t="shared" si="69"/>
        <v>-1</v>
      </c>
      <c r="AB41" s="80">
        <f t="shared" si="70"/>
        <v>-8.5836909871244635E-3</v>
      </c>
      <c r="AC41" s="177" t="s">
        <v>6846</v>
      </c>
      <c r="AD41" s="17" t="s">
        <v>312</v>
      </c>
      <c r="AE41" s="89">
        <v>44554</v>
      </c>
      <c r="AF41" s="88">
        <v>44558</v>
      </c>
      <c r="AG41" s="34">
        <f t="shared" si="71"/>
        <v>4</v>
      </c>
      <c r="AH41" s="126" t="s">
        <v>3737</v>
      </c>
      <c r="AI41" s="131"/>
      <c r="AK41" s="66">
        <f>AM41/(A41*10000)</f>
        <v>0</v>
      </c>
      <c r="AL41" s="174">
        <f>AN41/(A41*10000)</f>
        <v>0</v>
      </c>
      <c r="AM41" s="346">
        <f>RTD("money.excel",,$G41,"PredictVolume")</f>
        <v>0</v>
      </c>
      <c r="AN41" s="272">
        <f>RTD("money.excel",,$G41,"CumulativeVolume")</f>
        <v>0</v>
      </c>
      <c r="AO41" s="284"/>
      <c r="AP41" s="284"/>
    </row>
    <row r="42" spans="1:50">
      <c r="A42" s="135" t="s">
        <v>2978</v>
      </c>
      <c r="B42" s="84">
        <v>28</v>
      </c>
      <c r="C42" s="84">
        <v>33</v>
      </c>
      <c r="D42" s="85">
        <v>-11</v>
      </c>
      <c r="E42" s="85">
        <v>-15</v>
      </c>
      <c r="F42" s="59">
        <v>33.04</v>
      </c>
      <c r="G42" s="85">
        <v>6732</v>
      </c>
      <c r="H42" s="213" t="s">
        <v>558</v>
      </c>
      <c r="I42" s="17" t="s">
        <v>2981</v>
      </c>
      <c r="J42" s="77">
        <v>58.83</v>
      </c>
      <c r="K42" s="77">
        <v>8.4499999999999993</v>
      </c>
      <c r="L42" s="77">
        <v>8.11</v>
      </c>
      <c r="M42" s="371">
        <v>48.19</v>
      </c>
      <c r="N42" s="365">
        <f t="shared" si="68"/>
        <v>123.58</v>
      </c>
      <c r="O42" s="369">
        <f>J42+M42</f>
        <v>107.02</v>
      </c>
      <c r="P42" s="195">
        <v>13</v>
      </c>
      <c r="Q42" s="326">
        <v>2</v>
      </c>
      <c r="R42" s="111">
        <v>7</v>
      </c>
      <c r="S42" s="51">
        <v>5</v>
      </c>
      <c r="T42" s="339">
        <f>SUM(P42:S42)</f>
        <v>27</v>
      </c>
      <c r="U42" s="329" t="s">
        <v>6540</v>
      </c>
      <c r="V42" s="77">
        <v>1.25</v>
      </c>
      <c r="W42" s="69">
        <v>22.5</v>
      </c>
      <c r="X42" s="59">
        <v>34.31</v>
      </c>
      <c r="Y42" s="37">
        <v>513</v>
      </c>
      <c r="Z42" s="69">
        <v>510</v>
      </c>
      <c r="AA42" s="16">
        <f t="shared" si="69"/>
        <v>3</v>
      </c>
      <c r="AB42" s="66">
        <f t="shared" si="70"/>
        <v>5.8823529411764705E-3</v>
      </c>
      <c r="AC42" s="177" t="s">
        <v>6710</v>
      </c>
      <c r="AD42" s="17" t="s">
        <v>2981</v>
      </c>
      <c r="AE42" s="89">
        <v>44547</v>
      </c>
      <c r="AF42" s="88">
        <v>44558</v>
      </c>
      <c r="AG42" s="34">
        <f t="shared" si="71"/>
        <v>11</v>
      </c>
      <c r="AH42" s="63" t="s">
        <v>4003</v>
      </c>
      <c r="AI42" s="131"/>
      <c r="AK42" s="131"/>
      <c r="AL42" s="264"/>
      <c r="AO42" s="284"/>
      <c r="AP42" s="264"/>
    </row>
    <row r="43" spans="1:50">
      <c r="A43" s="151" t="s">
        <v>6487</v>
      </c>
      <c r="B43" s="85">
        <v>-764</v>
      </c>
      <c r="C43" s="85">
        <v>-597</v>
      </c>
      <c r="D43" s="85">
        <v>-53</v>
      </c>
      <c r="E43" s="85">
        <v>-51</v>
      </c>
      <c r="F43" s="7">
        <v>-11.68</v>
      </c>
      <c r="G43" s="84">
        <v>6441</v>
      </c>
      <c r="H43" s="154" t="s">
        <v>1815</v>
      </c>
      <c r="I43" s="17" t="s">
        <v>904</v>
      </c>
      <c r="J43" s="77">
        <v>38.880000000000003</v>
      </c>
      <c r="K43" s="371">
        <v>1.0900000000000001</v>
      </c>
      <c r="L43" s="77">
        <v>27.88</v>
      </c>
      <c r="M43" s="77">
        <v>40.83</v>
      </c>
      <c r="N43" s="365">
        <f t="shared" si="68"/>
        <v>108.68</v>
      </c>
      <c r="O43" s="343">
        <f>J43+M43</f>
        <v>79.710000000000008</v>
      </c>
      <c r="P43" s="195">
        <v>4</v>
      </c>
      <c r="Q43" s="326">
        <v>1</v>
      </c>
      <c r="R43" s="111">
        <v>0</v>
      </c>
      <c r="S43" s="51">
        <v>5</v>
      </c>
      <c r="T43" s="339">
        <f t="shared" ref="T43" si="72">SUM(P43:S43)</f>
        <v>10</v>
      </c>
      <c r="U43" s="329" t="s">
        <v>6636</v>
      </c>
      <c r="V43" s="77">
        <v>3.31</v>
      </c>
      <c r="W43" s="35">
        <v>1</v>
      </c>
      <c r="X43" s="100">
        <v>-4.5</v>
      </c>
      <c r="Y43" s="37">
        <v>57.1</v>
      </c>
      <c r="Z43" s="69">
        <v>52</v>
      </c>
      <c r="AA43" s="16">
        <f t="shared" si="69"/>
        <v>5.1000000000000014</v>
      </c>
      <c r="AB43" s="66">
        <f t="shared" si="70"/>
        <v>9.8076923076923103E-2</v>
      </c>
      <c r="AC43" s="107" t="s">
        <v>6640</v>
      </c>
      <c r="AD43" s="17" t="s">
        <v>904</v>
      </c>
      <c r="AE43" s="89">
        <v>44543</v>
      </c>
      <c r="AF43" s="88">
        <v>44558</v>
      </c>
      <c r="AG43" s="34">
        <f t="shared" si="71"/>
        <v>15</v>
      </c>
      <c r="AH43" s="44" t="s">
        <v>3867</v>
      </c>
      <c r="AI43" s="131"/>
      <c r="AO43" s="131"/>
      <c r="AP43" s="264"/>
    </row>
    <row r="44" spans="1:50">
      <c r="A44" s="151" t="s">
        <v>3027</v>
      </c>
      <c r="B44" s="98">
        <v>2479</v>
      </c>
      <c r="C44" s="84">
        <v>42</v>
      </c>
      <c r="D44" s="84">
        <v>3</v>
      </c>
      <c r="E44" s="84">
        <v>27</v>
      </c>
      <c r="F44" s="7">
        <v>6.46</v>
      </c>
      <c r="G44" s="84">
        <v>5603</v>
      </c>
      <c r="H44" s="216" t="s">
        <v>551</v>
      </c>
      <c r="I44" s="17" t="s">
        <v>155</v>
      </c>
      <c r="J44" s="77">
        <v>53.31</v>
      </c>
      <c r="K44" s="371">
        <v>9.48</v>
      </c>
      <c r="L44" s="371">
        <v>16.68</v>
      </c>
      <c r="M44" s="371">
        <v>19.16</v>
      </c>
      <c r="N44" s="365">
        <f t="shared" si="68"/>
        <v>98.63</v>
      </c>
      <c r="O44" s="343">
        <f t="shared" ref="O44:O49" si="73">J44+M44</f>
        <v>72.47</v>
      </c>
      <c r="P44" s="195">
        <v>1</v>
      </c>
      <c r="Q44" s="326">
        <v>20</v>
      </c>
      <c r="R44" s="111">
        <v>35</v>
      </c>
      <c r="S44" s="51">
        <v>26</v>
      </c>
      <c r="T44" s="339">
        <f>SUM(P44:S44)</f>
        <v>82</v>
      </c>
      <c r="U44" s="329" t="s">
        <v>6701</v>
      </c>
      <c r="V44" s="371">
        <v>0.61</v>
      </c>
      <c r="W44" s="35">
        <v>1.3</v>
      </c>
      <c r="X44" s="59">
        <v>9.9499999999999993</v>
      </c>
      <c r="Y44" s="37">
        <v>32.35</v>
      </c>
      <c r="Z44" s="69">
        <v>32.1</v>
      </c>
      <c r="AA44" s="16">
        <f t="shared" si="69"/>
        <v>0.25</v>
      </c>
      <c r="AB44" s="66">
        <f t="shared" si="70"/>
        <v>7.7881619937694704E-3</v>
      </c>
      <c r="AC44" s="177" t="s">
        <v>6715</v>
      </c>
      <c r="AD44" s="17" t="s">
        <v>155</v>
      </c>
      <c r="AE44" s="89">
        <v>44547</v>
      </c>
      <c r="AF44" s="88">
        <v>44553</v>
      </c>
      <c r="AG44" s="34">
        <f t="shared" si="71"/>
        <v>6</v>
      </c>
      <c r="AH44" s="125" t="s">
        <v>4201</v>
      </c>
      <c r="AI44" s="131"/>
      <c r="AO44" s="131"/>
      <c r="AP44" s="264"/>
    </row>
    <row r="45" spans="1:50">
      <c r="A45" s="135" t="s">
        <v>6322</v>
      </c>
      <c r="B45" s="84">
        <v>0</v>
      </c>
      <c r="C45" s="85">
        <v>-2</v>
      </c>
      <c r="D45" s="85">
        <v>-17</v>
      </c>
      <c r="E45" s="85">
        <v>-58</v>
      </c>
      <c r="F45" s="59">
        <v>13.82</v>
      </c>
      <c r="G45" s="85">
        <v>4968</v>
      </c>
      <c r="H45" s="9" t="s">
        <v>558</v>
      </c>
      <c r="I45" s="23" t="s">
        <v>634</v>
      </c>
      <c r="J45" s="77">
        <v>25.12</v>
      </c>
      <c r="K45" s="77">
        <v>41.52</v>
      </c>
      <c r="L45" s="371">
        <v>19.75</v>
      </c>
      <c r="M45" s="371">
        <v>9.5</v>
      </c>
      <c r="N45" s="365">
        <f t="shared" si="68"/>
        <v>95.89</v>
      </c>
      <c r="O45" s="343">
        <f t="shared" si="73"/>
        <v>34.620000000000005</v>
      </c>
      <c r="P45" s="195">
        <v>5</v>
      </c>
      <c r="Q45" s="326">
        <v>4</v>
      </c>
      <c r="R45" s="111">
        <v>13</v>
      </c>
      <c r="S45" s="51">
        <v>23</v>
      </c>
      <c r="T45" s="339">
        <f>SUM(P45:S45)</f>
        <v>45</v>
      </c>
      <c r="V45" s="371">
        <v>7.16</v>
      </c>
      <c r="W45" s="69">
        <v>8</v>
      </c>
      <c r="X45" s="100">
        <v>12.49</v>
      </c>
      <c r="Y45" s="14">
        <v>276.5</v>
      </c>
      <c r="Z45" s="69">
        <v>260</v>
      </c>
      <c r="AA45" s="16">
        <f t="shared" si="69"/>
        <v>16.5</v>
      </c>
      <c r="AB45" s="66">
        <f t="shared" si="70"/>
        <v>6.3461538461538458E-2</v>
      </c>
      <c r="AC45" s="105" t="s">
        <v>6642</v>
      </c>
      <c r="AD45" s="23" t="s">
        <v>634</v>
      </c>
      <c r="AE45" s="89">
        <v>44543</v>
      </c>
      <c r="AF45" s="88">
        <v>44553</v>
      </c>
      <c r="AG45" s="34">
        <f t="shared" si="71"/>
        <v>10</v>
      </c>
      <c r="AH45" s="63" t="s">
        <v>3169</v>
      </c>
      <c r="AI45" s="131"/>
      <c r="AO45" s="131"/>
      <c r="AP45" s="264"/>
    </row>
    <row r="46" spans="1:50">
      <c r="A46" s="151" t="s">
        <v>5337</v>
      </c>
      <c r="B46" s="84">
        <v>214</v>
      </c>
      <c r="C46" s="84">
        <v>165</v>
      </c>
      <c r="D46" s="84">
        <v>69</v>
      </c>
      <c r="E46" s="84">
        <v>25</v>
      </c>
      <c r="F46" s="7">
        <v>1.33</v>
      </c>
      <c r="G46" s="84">
        <v>3346</v>
      </c>
      <c r="H46" s="9" t="s">
        <v>550</v>
      </c>
      <c r="I46" s="23" t="s">
        <v>1063</v>
      </c>
      <c r="J46" s="77">
        <v>29.03</v>
      </c>
      <c r="K46" s="77">
        <v>3.45</v>
      </c>
      <c r="L46" s="371">
        <v>25.43</v>
      </c>
      <c r="M46" s="371">
        <v>11.73</v>
      </c>
      <c r="N46" s="365">
        <f t="shared" si="68"/>
        <v>69.64</v>
      </c>
      <c r="O46" s="343">
        <f t="shared" si="73"/>
        <v>40.760000000000005</v>
      </c>
      <c r="P46" s="195">
        <v>20</v>
      </c>
      <c r="Q46" s="326">
        <v>3</v>
      </c>
      <c r="R46" s="111">
        <v>0</v>
      </c>
      <c r="S46" s="51">
        <v>3</v>
      </c>
      <c r="T46" s="339">
        <f>SUM(P46:S46)</f>
        <v>26</v>
      </c>
      <c r="U46" s="329" t="s">
        <v>6630</v>
      </c>
      <c r="V46" s="371">
        <v>2.0699999999999998</v>
      </c>
      <c r="W46" s="35">
        <v>0.15</v>
      </c>
      <c r="X46" s="100">
        <v>1.36</v>
      </c>
      <c r="Y46" s="37">
        <v>45.1</v>
      </c>
      <c r="Z46" s="69">
        <v>44.55</v>
      </c>
      <c r="AA46" s="16">
        <f t="shared" si="69"/>
        <v>0.55000000000000426</v>
      </c>
      <c r="AB46" s="66">
        <f t="shared" si="70"/>
        <v>1.2345679012345775E-2</v>
      </c>
      <c r="AC46" s="107" t="s">
        <v>6641</v>
      </c>
      <c r="AD46" s="23" t="s">
        <v>1063</v>
      </c>
      <c r="AE46" s="89">
        <v>44543</v>
      </c>
      <c r="AF46" s="88">
        <v>44550</v>
      </c>
      <c r="AG46" s="34">
        <f t="shared" si="71"/>
        <v>7</v>
      </c>
      <c r="AH46" s="44" t="s">
        <v>3336</v>
      </c>
      <c r="AI46" s="131"/>
      <c r="AO46" s="131"/>
      <c r="AP46" s="264"/>
    </row>
    <row r="47" spans="1:50">
      <c r="A47" s="151" t="s">
        <v>2533</v>
      </c>
      <c r="B47" s="85">
        <v>-27</v>
      </c>
      <c r="C47" s="85">
        <v>-23</v>
      </c>
      <c r="D47" s="84">
        <v>12</v>
      </c>
      <c r="E47" s="85">
        <v>-46</v>
      </c>
      <c r="F47" s="7">
        <v>2.65</v>
      </c>
      <c r="G47" s="85">
        <v>8066</v>
      </c>
      <c r="H47" s="5" t="s">
        <v>562</v>
      </c>
      <c r="I47" s="17" t="s">
        <v>1374</v>
      </c>
      <c r="J47" s="371">
        <v>0</v>
      </c>
      <c r="K47" s="371">
        <v>8.43</v>
      </c>
      <c r="L47" s="371">
        <v>6.89</v>
      </c>
      <c r="M47" s="77">
        <v>10.42</v>
      </c>
      <c r="N47" s="365">
        <f>K47+J47+L47+M47</f>
        <v>25.740000000000002</v>
      </c>
      <c r="O47" s="343">
        <f t="shared" si="73"/>
        <v>10.42</v>
      </c>
      <c r="P47" s="195">
        <v>0</v>
      </c>
      <c r="Q47" s="326" t="str">
        <f>IFERROR(VLOOKUP($G47,主力整理!$A$2:$G$2301,6,0),"0")</f>
        <v>0</v>
      </c>
      <c r="R47" s="312">
        <v>0</v>
      </c>
      <c r="S47" s="51">
        <v>0</v>
      </c>
      <c r="T47" s="339">
        <f>SUM(P47:S47)</f>
        <v>0</v>
      </c>
      <c r="V47" s="371">
        <v>0.52</v>
      </c>
      <c r="W47" s="69">
        <v>3</v>
      </c>
      <c r="X47" s="100">
        <v>1.44</v>
      </c>
      <c r="Y47" s="37">
        <v>33.799999999999997</v>
      </c>
      <c r="Z47" s="69">
        <v>32.200000000000003</v>
      </c>
      <c r="AA47" s="16">
        <f t="shared" ref="AA47" si="74">Y47-Z47</f>
        <v>1.5999999999999943</v>
      </c>
      <c r="AB47" s="66">
        <f t="shared" ref="AB47" si="75">AA47/Z47</f>
        <v>4.9689440993788636E-2</v>
      </c>
      <c r="AC47" s="107" t="s">
        <v>6502</v>
      </c>
      <c r="AD47" s="17" t="s">
        <v>1374</v>
      </c>
      <c r="AE47" s="89">
        <v>44526</v>
      </c>
      <c r="AF47" s="88">
        <v>44546</v>
      </c>
      <c r="AG47" s="34">
        <f t="shared" ref="AG47" si="76">AF47-AE47</f>
        <v>20</v>
      </c>
      <c r="AH47" s="44" t="s">
        <v>4176</v>
      </c>
      <c r="AI47" s="131"/>
      <c r="AO47" s="131"/>
      <c r="AP47" s="264"/>
    </row>
    <row r="48" spans="1:50">
      <c r="A48" s="151" t="s">
        <v>5228</v>
      </c>
      <c r="B48" s="84">
        <v>95</v>
      </c>
      <c r="C48" s="84">
        <v>112</v>
      </c>
      <c r="D48" s="84">
        <v>73</v>
      </c>
      <c r="E48" s="84">
        <v>48</v>
      </c>
      <c r="F48" s="7">
        <v>2.17</v>
      </c>
      <c r="G48" s="84">
        <v>8112</v>
      </c>
      <c r="H48" s="9" t="s">
        <v>596</v>
      </c>
      <c r="I48" s="23" t="s">
        <v>236</v>
      </c>
      <c r="J48" s="77">
        <v>30.99</v>
      </c>
      <c r="K48" s="77">
        <v>23.51</v>
      </c>
      <c r="L48" s="77">
        <v>8.32</v>
      </c>
      <c r="M48" s="77">
        <v>6.61</v>
      </c>
      <c r="N48" s="365">
        <f>J48+K48+L48+M48</f>
        <v>69.430000000000007</v>
      </c>
      <c r="O48" s="343">
        <f t="shared" si="73"/>
        <v>37.6</v>
      </c>
      <c r="P48" s="195">
        <v>6</v>
      </c>
      <c r="Q48" s="326">
        <v>20</v>
      </c>
      <c r="R48" s="111">
        <v>2</v>
      </c>
      <c r="S48" s="51">
        <v>1</v>
      </c>
      <c r="T48" s="339">
        <f t="shared" ref="T48" si="77">SUM(P48:S48)</f>
        <v>29</v>
      </c>
      <c r="U48" s="329" t="s">
        <v>6539</v>
      </c>
      <c r="V48" s="371">
        <v>1.55</v>
      </c>
      <c r="W48" s="69">
        <v>3</v>
      </c>
      <c r="X48" s="100">
        <v>6.83</v>
      </c>
      <c r="Y48" s="37">
        <v>46.9</v>
      </c>
      <c r="Z48" s="69">
        <v>47.95</v>
      </c>
      <c r="AA48" s="16">
        <f>Y48-Z48</f>
        <v>-1.0500000000000043</v>
      </c>
      <c r="AB48" s="80">
        <f>AA48/Z48</f>
        <v>-2.189781021897819E-2</v>
      </c>
      <c r="AC48" s="107" t="s">
        <v>6612</v>
      </c>
      <c r="AD48" s="23" t="s">
        <v>236</v>
      </c>
      <c r="AE48" s="134">
        <v>44540</v>
      </c>
      <c r="AF48" s="88">
        <v>44544</v>
      </c>
      <c r="AG48" s="34">
        <f>AF48-AE48</f>
        <v>4</v>
      </c>
      <c r="AH48" s="125" t="s">
        <v>3066</v>
      </c>
      <c r="AI48" s="131"/>
      <c r="AO48" s="131"/>
      <c r="AP48" s="264"/>
    </row>
    <row r="49" spans="1:46">
      <c r="A49" s="151" t="s">
        <v>4803</v>
      </c>
      <c r="B49" s="84">
        <v>24</v>
      </c>
      <c r="C49" s="85">
        <v>-19</v>
      </c>
      <c r="D49" s="84">
        <v>0</v>
      </c>
      <c r="E49" s="85">
        <v>-8</v>
      </c>
      <c r="F49" s="7">
        <v>5.91</v>
      </c>
      <c r="G49" s="84">
        <v>6179</v>
      </c>
      <c r="H49" s="9" t="s">
        <v>429</v>
      </c>
      <c r="I49" s="17" t="s">
        <v>1194</v>
      </c>
      <c r="J49" s="77">
        <v>45.2</v>
      </c>
      <c r="K49" s="371">
        <v>0.73</v>
      </c>
      <c r="L49" s="77">
        <v>21.76</v>
      </c>
      <c r="M49" s="371">
        <v>15.65</v>
      </c>
      <c r="N49" s="365">
        <f>K49+J49+L49+M49</f>
        <v>83.34</v>
      </c>
      <c r="O49" s="343">
        <f t="shared" si="73"/>
        <v>60.85</v>
      </c>
      <c r="P49" s="195">
        <v>1</v>
      </c>
      <c r="Q49" s="326">
        <v>0</v>
      </c>
      <c r="R49" s="312">
        <v>1</v>
      </c>
      <c r="S49" s="51">
        <v>0</v>
      </c>
      <c r="T49" s="339">
        <f>SUM(P49:S49)</f>
        <v>2</v>
      </c>
      <c r="V49" s="371">
        <v>0.53</v>
      </c>
      <c r="W49" s="35">
        <v>1.88</v>
      </c>
      <c r="X49" s="100">
        <v>2.72</v>
      </c>
      <c r="Y49" s="37">
        <v>32.299999999999997</v>
      </c>
      <c r="Z49" s="46">
        <v>30.7</v>
      </c>
      <c r="AA49" s="16">
        <f>Y49-Z49</f>
        <v>1.5999999999999979</v>
      </c>
      <c r="AB49" s="66">
        <f>AA49/Z49</f>
        <v>5.2117263843648141E-2</v>
      </c>
      <c r="AC49" s="107" t="s">
        <v>6504</v>
      </c>
      <c r="AD49" s="17" t="s">
        <v>1194</v>
      </c>
      <c r="AE49" s="89">
        <v>44526</v>
      </c>
      <c r="AF49" s="88">
        <v>44537</v>
      </c>
      <c r="AG49" s="34">
        <f>AF49-AE49</f>
        <v>11</v>
      </c>
      <c r="AH49" s="44" t="s">
        <v>3924</v>
      </c>
      <c r="AI49" s="131"/>
      <c r="AO49" s="131"/>
      <c r="AP49" s="264"/>
    </row>
    <row r="50" spans="1:46">
      <c r="A50" s="151" t="s">
        <v>6543</v>
      </c>
      <c r="B50" s="85">
        <v>-12</v>
      </c>
      <c r="C50" s="85">
        <v>-16</v>
      </c>
      <c r="D50" s="85">
        <v>-23</v>
      </c>
      <c r="E50" s="85">
        <v>-1</v>
      </c>
      <c r="F50" s="7">
        <v>7.46</v>
      </c>
      <c r="G50" s="85">
        <v>6221</v>
      </c>
      <c r="H50" s="5" t="s">
        <v>565</v>
      </c>
      <c r="I50" s="17" t="s">
        <v>1642</v>
      </c>
      <c r="J50" s="77">
        <v>68.239999999999995</v>
      </c>
      <c r="K50" s="371">
        <v>0.83</v>
      </c>
      <c r="L50" s="371">
        <v>18.989999999999998</v>
      </c>
      <c r="N50" s="365">
        <f>K50+J50+L50</f>
        <v>88.059999999999988</v>
      </c>
      <c r="P50" s="195">
        <v>0</v>
      </c>
      <c r="Q50" s="326" t="str">
        <f>IFERROR(VLOOKUP($G50,主力整理!$A$2:$G$2301,6,0),"0")</f>
        <v>0</v>
      </c>
      <c r="R50" s="312">
        <v>1</v>
      </c>
      <c r="S50" s="51">
        <v>0</v>
      </c>
      <c r="T50" s="339">
        <f t="shared" ref="T50:T56" si="78">SUM(P50:S50)</f>
        <v>1</v>
      </c>
      <c r="U50" s="329" t="s">
        <v>6538</v>
      </c>
      <c r="V50" s="371">
        <v>0.54</v>
      </c>
      <c r="W50" s="69">
        <v>4</v>
      </c>
      <c r="X50" s="59">
        <v>3.85</v>
      </c>
      <c r="Y50" s="37">
        <v>51.5</v>
      </c>
      <c r="Z50" s="69">
        <v>49.6</v>
      </c>
      <c r="AA50" s="16">
        <f>Y50-Z50</f>
        <v>1.8999999999999986</v>
      </c>
      <c r="AB50" s="66">
        <f>AA50/Z50</f>
        <v>3.8306451612903199E-2</v>
      </c>
      <c r="AC50" s="105" t="s">
        <v>6544</v>
      </c>
      <c r="AD50" s="17" t="s">
        <v>1642</v>
      </c>
      <c r="AE50" s="89">
        <v>44533</v>
      </c>
      <c r="AF50" s="88">
        <v>44540</v>
      </c>
      <c r="AG50" s="34">
        <f>AF50-AE50</f>
        <v>7</v>
      </c>
      <c r="AH50" s="44" t="s">
        <v>4232</v>
      </c>
      <c r="AI50" s="284"/>
      <c r="AO50" s="131"/>
      <c r="AP50" s="264"/>
    </row>
    <row r="51" spans="1:46">
      <c r="A51" s="151" t="s">
        <v>3221</v>
      </c>
      <c r="B51" s="84">
        <v>10</v>
      </c>
      <c r="C51" s="85">
        <v>-1</v>
      </c>
      <c r="D51" s="85">
        <v>-1</v>
      </c>
      <c r="E51" s="84">
        <v>0</v>
      </c>
      <c r="F51" s="7">
        <v>5.69</v>
      </c>
      <c r="G51" s="84">
        <v>3596</v>
      </c>
      <c r="H51" s="216" t="s">
        <v>563</v>
      </c>
      <c r="I51" s="23" t="s">
        <v>201</v>
      </c>
      <c r="J51" s="77">
        <v>52.56</v>
      </c>
      <c r="K51" s="77">
        <v>13.95</v>
      </c>
      <c r="L51" s="371">
        <v>14.31</v>
      </c>
      <c r="N51" s="365">
        <f>K51+J51+L51</f>
        <v>80.820000000000007</v>
      </c>
      <c r="P51" s="195">
        <v>17</v>
      </c>
      <c r="Q51" s="326">
        <v>11</v>
      </c>
      <c r="R51" s="312">
        <v>2</v>
      </c>
      <c r="S51" s="51">
        <v>8</v>
      </c>
      <c r="T51" s="339">
        <f t="shared" si="78"/>
        <v>38</v>
      </c>
      <c r="U51" s="329" t="s">
        <v>6540</v>
      </c>
      <c r="V51" s="371">
        <v>5.38</v>
      </c>
      <c r="W51" s="69">
        <v>6.5</v>
      </c>
      <c r="X51" s="59">
        <v>8.98</v>
      </c>
      <c r="Y51" s="37">
        <v>114.5</v>
      </c>
      <c r="Z51" s="69">
        <v>107</v>
      </c>
      <c r="AA51" s="16">
        <f>Y51-Z51</f>
        <v>7.5</v>
      </c>
      <c r="AB51" s="66">
        <f>AA51/Z51</f>
        <v>7.0093457943925228E-2</v>
      </c>
      <c r="AC51" s="105" t="s">
        <v>6546</v>
      </c>
      <c r="AD51" s="23" t="s">
        <v>201</v>
      </c>
      <c r="AE51" s="89">
        <v>44533</v>
      </c>
      <c r="AF51" s="88">
        <v>44540</v>
      </c>
      <c r="AG51" s="34">
        <f>AF51-AE51</f>
        <v>7</v>
      </c>
      <c r="AH51" s="125" t="s">
        <v>4509</v>
      </c>
      <c r="AI51" s="131"/>
      <c r="AO51" s="128"/>
      <c r="AP51" s="264"/>
      <c r="AQ51" s="34"/>
      <c r="AR51" s="34"/>
      <c r="AS51" s="34"/>
      <c r="AT51" s="34"/>
    </row>
    <row r="52" spans="1:46">
      <c r="A52" s="135" t="s">
        <v>2922</v>
      </c>
      <c r="B52" s="98">
        <v>1342</v>
      </c>
      <c r="C52" s="98">
        <v>1314</v>
      </c>
      <c r="D52" s="85">
        <v>-96</v>
      </c>
      <c r="E52" s="85">
        <v>-99</v>
      </c>
      <c r="F52" s="59">
        <v>24.43</v>
      </c>
      <c r="G52" s="84">
        <v>6171</v>
      </c>
      <c r="H52" s="9" t="s">
        <v>1485</v>
      </c>
      <c r="I52" s="17" t="s">
        <v>6465</v>
      </c>
      <c r="J52" s="77">
        <v>76.44</v>
      </c>
      <c r="K52" s="371">
        <v>1.32</v>
      </c>
      <c r="L52" s="77">
        <v>2.87</v>
      </c>
      <c r="N52" s="365">
        <f t="shared" ref="N52" si="79">K52+J52+L52</f>
        <v>80.63</v>
      </c>
      <c r="P52" s="195">
        <v>0</v>
      </c>
      <c r="Q52" s="326" t="str">
        <f>IFERROR(VLOOKUP($G52,主力整理!$A$2:$G$2301,6,0),"0")</f>
        <v>0</v>
      </c>
      <c r="R52" s="312">
        <v>4</v>
      </c>
      <c r="S52" s="51">
        <v>0</v>
      </c>
      <c r="T52" s="339">
        <f t="shared" si="78"/>
        <v>4</v>
      </c>
      <c r="V52" s="371">
        <v>0.48</v>
      </c>
      <c r="W52" s="35">
        <v>2.5</v>
      </c>
      <c r="X52" s="59">
        <v>6.31</v>
      </c>
      <c r="Y52" s="37">
        <v>28.55</v>
      </c>
      <c r="Z52" s="69">
        <v>28.35</v>
      </c>
      <c r="AA52" s="16">
        <f t="shared" ref="AA52" si="80">Y52-Z52</f>
        <v>0.19999999999999929</v>
      </c>
      <c r="AB52" s="66">
        <f t="shared" ref="AB52" si="81">AA52/Z52</f>
        <v>7.0546737213403625E-3</v>
      </c>
      <c r="AC52" s="105" t="s">
        <v>6466</v>
      </c>
      <c r="AD52" s="17" t="s">
        <v>6465</v>
      </c>
      <c r="AE52" s="89">
        <v>44519</v>
      </c>
      <c r="AF52" s="88">
        <v>44533</v>
      </c>
      <c r="AG52" s="34">
        <f t="shared" ref="AG52" si="82">AF52-AE52</f>
        <v>14</v>
      </c>
      <c r="AH52" s="63" t="s">
        <v>1485</v>
      </c>
      <c r="AI52" s="131"/>
      <c r="AO52" s="131"/>
      <c r="AP52" s="264"/>
    </row>
    <row r="53" spans="1:46">
      <c r="A53" s="135" t="s">
        <v>4850</v>
      </c>
      <c r="B53" s="85">
        <v>-47</v>
      </c>
      <c r="C53" s="85">
        <v>-47</v>
      </c>
      <c r="D53" s="85">
        <v>-6</v>
      </c>
      <c r="E53" s="85">
        <v>-5</v>
      </c>
      <c r="F53" s="59">
        <v>10.7</v>
      </c>
      <c r="G53" s="84">
        <v>1714</v>
      </c>
      <c r="H53" s="9" t="s">
        <v>1308</v>
      </c>
      <c r="I53" s="23" t="s">
        <v>1325</v>
      </c>
      <c r="J53" s="77">
        <v>52.81</v>
      </c>
      <c r="K53" s="77">
        <v>18.54</v>
      </c>
      <c r="L53" s="371">
        <v>7.94</v>
      </c>
      <c r="N53" s="365">
        <f t="shared" ref="N53" si="83">K53+J53+L53</f>
        <v>79.289999999999992</v>
      </c>
      <c r="P53" s="195">
        <v>0</v>
      </c>
      <c r="Q53" s="326">
        <v>16</v>
      </c>
      <c r="R53" s="312">
        <v>5</v>
      </c>
      <c r="S53" s="51">
        <v>0</v>
      </c>
      <c r="T53" s="339">
        <f t="shared" si="78"/>
        <v>21</v>
      </c>
      <c r="V53" s="371">
        <v>0.18</v>
      </c>
      <c r="W53" s="35">
        <v>0.7</v>
      </c>
      <c r="X53" s="59">
        <v>0.52</v>
      </c>
      <c r="Y53" s="37">
        <v>11.6</v>
      </c>
      <c r="Z53" s="69">
        <v>11.2</v>
      </c>
      <c r="AA53" s="16">
        <f t="shared" ref="AA53" si="84">Y53-Z53</f>
        <v>0.40000000000000036</v>
      </c>
      <c r="AB53" s="66">
        <f t="shared" ref="AB53" si="85">AA53/Z53</f>
        <v>3.5714285714285747E-2</v>
      </c>
      <c r="AC53" s="105" t="s">
        <v>6467</v>
      </c>
      <c r="AD53" s="23" t="s">
        <v>1325</v>
      </c>
      <c r="AE53" s="123">
        <v>44519</v>
      </c>
      <c r="AF53" s="88">
        <v>44533</v>
      </c>
      <c r="AG53" s="34">
        <f t="shared" ref="AG53" si="86">AF53-AE53</f>
        <v>14</v>
      </c>
      <c r="AH53" s="63" t="s">
        <v>4455</v>
      </c>
      <c r="AI53" s="131"/>
      <c r="AO53" s="131"/>
      <c r="AP53" s="264"/>
    </row>
    <row r="54" spans="1:46">
      <c r="A54" s="135" t="s">
        <v>4621</v>
      </c>
      <c r="B54" s="85">
        <v>-7</v>
      </c>
      <c r="C54" s="85">
        <v>-11</v>
      </c>
      <c r="D54" s="84">
        <v>2</v>
      </c>
      <c r="E54" s="84">
        <v>23</v>
      </c>
      <c r="F54" s="59">
        <v>15.14</v>
      </c>
      <c r="G54" s="84">
        <v>6210</v>
      </c>
      <c r="H54" s="5" t="s">
        <v>559</v>
      </c>
      <c r="I54" s="17" t="s">
        <v>789</v>
      </c>
      <c r="J54" s="77">
        <v>43.19</v>
      </c>
      <c r="K54" s="371">
        <v>0.08</v>
      </c>
      <c r="L54" s="371">
        <v>1.06</v>
      </c>
      <c r="N54" s="365">
        <f>K54+J54+L54</f>
        <v>44.33</v>
      </c>
      <c r="P54" s="195">
        <v>0</v>
      </c>
      <c r="Q54" s="326" t="str">
        <f>IFERROR(VLOOKUP($G54,主力整理!$A$2:$G$2301,6,0),"0")</f>
        <v>0</v>
      </c>
      <c r="R54" s="312">
        <v>1</v>
      </c>
      <c r="S54" s="51">
        <v>0</v>
      </c>
      <c r="T54" s="339">
        <f t="shared" si="78"/>
        <v>1</v>
      </c>
      <c r="V54" s="371">
        <v>0</v>
      </c>
      <c r="W54" s="69">
        <v>3</v>
      </c>
      <c r="X54" s="100">
        <v>3.08</v>
      </c>
      <c r="Y54" s="37">
        <v>40.6</v>
      </c>
      <c r="Z54" s="69">
        <v>40.35</v>
      </c>
      <c r="AA54" s="16">
        <f>Y54-Z54</f>
        <v>0.25</v>
      </c>
      <c r="AB54" s="66">
        <f>AA54/Z54</f>
        <v>6.1957868649318458E-3</v>
      </c>
      <c r="AC54" s="107" t="s">
        <v>6503</v>
      </c>
      <c r="AD54" s="17" t="s">
        <v>789</v>
      </c>
      <c r="AE54" s="89">
        <v>44526</v>
      </c>
      <c r="AF54" s="88">
        <v>44532</v>
      </c>
      <c r="AG54" s="34">
        <f>AF54-AE54</f>
        <v>6</v>
      </c>
      <c r="AH54" s="63" t="s">
        <v>1685</v>
      </c>
      <c r="AI54" s="131"/>
      <c r="AO54" s="131"/>
      <c r="AP54" s="264"/>
    </row>
    <row r="55" spans="1:46">
      <c r="A55" s="135" t="s">
        <v>2560</v>
      </c>
      <c r="B55" s="84">
        <v>40</v>
      </c>
      <c r="C55" s="84">
        <v>60</v>
      </c>
      <c r="D55" s="85">
        <v>-17</v>
      </c>
      <c r="E55" s="85">
        <v>-11</v>
      </c>
      <c r="F55" s="59">
        <v>29.27</v>
      </c>
      <c r="G55" s="84">
        <v>5471</v>
      </c>
      <c r="H55" s="5" t="s">
        <v>558</v>
      </c>
      <c r="I55" s="23" t="s">
        <v>637</v>
      </c>
      <c r="J55" s="77">
        <v>26.87</v>
      </c>
      <c r="K55" s="77">
        <v>16.809999999999999</v>
      </c>
      <c r="L55" s="77">
        <v>17.079999999999998</v>
      </c>
      <c r="N55" s="365">
        <f>K55+J55+L55</f>
        <v>60.76</v>
      </c>
      <c r="P55" s="232">
        <v>8</v>
      </c>
      <c r="Q55" s="326">
        <v>10</v>
      </c>
      <c r="R55" s="312">
        <v>9</v>
      </c>
      <c r="S55" s="51">
        <v>8</v>
      </c>
      <c r="T55" s="339">
        <f t="shared" si="78"/>
        <v>35</v>
      </c>
      <c r="V55" s="371">
        <v>3.17</v>
      </c>
      <c r="W55" s="69">
        <v>5.7</v>
      </c>
      <c r="X55" s="100">
        <v>7.25</v>
      </c>
      <c r="Y55" s="37">
        <v>94.6</v>
      </c>
      <c r="Z55" s="69">
        <v>92.4</v>
      </c>
      <c r="AA55" s="16">
        <f>Y55-Z55</f>
        <v>2.1999999999999886</v>
      </c>
      <c r="AB55" s="66">
        <f>AA55/Z55</f>
        <v>2.3809523809523683E-2</v>
      </c>
      <c r="AC55" s="105" t="s">
        <v>6442</v>
      </c>
      <c r="AD55" s="23" t="s">
        <v>637</v>
      </c>
      <c r="AE55" s="89">
        <v>44512</v>
      </c>
      <c r="AF55" s="88">
        <v>44532</v>
      </c>
      <c r="AG55" s="34">
        <f>AF55-AE55</f>
        <v>20</v>
      </c>
      <c r="AH55" s="63" t="s">
        <v>3740</v>
      </c>
      <c r="AI55" s="284"/>
      <c r="AO55" s="131"/>
      <c r="AP55" s="264"/>
    </row>
    <row r="56" spans="1:46">
      <c r="A56" s="135" t="s">
        <v>3240</v>
      </c>
      <c r="B56" s="85">
        <v>-84</v>
      </c>
      <c r="C56" s="85">
        <v>-83</v>
      </c>
      <c r="D56" s="84">
        <v>5</v>
      </c>
      <c r="E56" s="85">
        <v>-79</v>
      </c>
      <c r="F56" s="59">
        <v>16.57</v>
      </c>
      <c r="G56" s="84">
        <v>3373</v>
      </c>
      <c r="H56" s="5" t="s">
        <v>5322</v>
      </c>
      <c r="I56" s="17" t="s">
        <v>911</v>
      </c>
      <c r="J56" s="77">
        <v>24.24</v>
      </c>
      <c r="K56" s="77">
        <v>6.74</v>
      </c>
      <c r="L56" s="77">
        <v>16.809999999999999</v>
      </c>
      <c r="N56" s="365">
        <f>K56+J56+L56</f>
        <v>47.789999999999992</v>
      </c>
      <c r="P56" s="195">
        <v>0</v>
      </c>
      <c r="Q56" s="326" t="str">
        <f>IFERROR(VLOOKUP($G56,主力整理!$A$2:$G$2301,6,0),"0")</f>
        <v>0</v>
      </c>
      <c r="R56" s="312">
        <v>3</v>
      </c>
      <c r="S56" s="51">
        <v>0</v>
      </c>
      <c r="T56" s="339">
        <f t="shared" si="78"/>
        <v>3</v>
      </c>
      <c r="V56" s="371">
        <v>19.52</v>
      </c>
      <c r="W56" s="46">
        <v>10</v>
      </c>
      <c r="X56" s="100">
        <v>4.6500000000000004</v>
      </c>
      <c r="Y56" s="37">
        <v>37.950000000000003</v>
      </c>
      <c r="Z56" s="69">
        <v>42</v>
      </c>
      <c r="AA56" s="16">
        <f>Y56-Z56</f>
        <v>-4.0499999999999972</v>
      </c>
      <c r="AB56" s="80">
        <f>AA56/Z56</f>
        <v>-9.6428571428571364E-2</v>
      </c>
      <c r="AC56" s="107" t="s">
        <v>6499</v>
      </c>
      <c r="AD56" s="17" t="s">
        <v>911</v>
      </c>
      <c r="AE56" s="89">
        <v>44526</v>
      </c>
      <c r="AF56" s="88">
        <v>44530</v>
      </c>
      <c r="AG56" s="34">
        <f>AF56-AE56</f>
        <v>4</v>
      </c>
      <c r="AH56" s="63" t="s">
        <v>4956</v>
      </c>
      <c r="AI56" s="131"/>
      <c r="AO56" s="131"/>
      <c r="AP56" s="264"/>
    </row>
    <row r="57" spans="1:46">
      <c r="A57" s="151"/>
      <c r="B57" s="85"/>
      <c r="C57" s="84"/>
      <c r="D57" s="85"/>
      <c r="E57" s="85"/>
      <c r="F57" s="7"/>
      <c r="G57" s="85"/>
      <c r="H57" s="5"/>
      <c r="I57" s="23"/>
      <c r="J57" s="371"/>
      <c r="K57" s="371"/>
      <c r="L57" s="371"/>
      <c r="N57" s="365"/>
      <c r="O57" s="376"/>
      <c r="P57" s="195"/>
      <c r="Q57" s="326"/>
      <c r="R57" s="312"/>
      <c r="W57" s="69"/>
      <c r="X57" s="59"/>
      <c r="Y57" s="37"/>
      <c r="Z57" s="69"/>
      <c r="AA57" s="16"/>
      <c r="AB57" s="66"/>
      <c r="AC57" s="105"/>
      <c r="AD57" s="23"/>
      <c r="AG57" s="34"/>
      <c r="AH57" s="44"/>
      <c r="AI57" s="131"/>
      <c r="AO57" s="131"/>
      <c r="AP57" s="264"/>
    </row>
    <row r="58" spans="1:46">
      <c r="B58" s="84"/>
      <c r="C58" s="84"/>
      <c r="D58" s="84"/>
      <c r="E58" s="84"/>
      <c r="F58" s="59"/>
      <c r="G58" s="84"/>
      <c r="H58" s="9"/>
      <c r="I58" s="23"/>
      <c r="J58" s="371"/>
      <c r="K58" s="371"/>
      <c r="L58" s="371"/>
      <c r="N58" s="365"/>
      <c r="P58" s="195"/>
      <c r="Q58" s="326"/>
      <c r="R58" s="312"/>
      <c r="W58" s="69"/>
      <c r="X58" s="100"/>
      <c r="Y58" s="37"/>
      <c r="Z58" s="69"/>
      <c r="AA58" s="16"/>
      <c r="AB58" s="66"/>
      <c r="AC58" s="105"/>
      <c r="AD58" s="23"/>
      <c r="AG58" s="34"/>
      <c r="AH58" s="63"/>
      <c r="AI58" s="131"/>
      <c r="AO58" s="131"/>
      <c r="AP58" s="264"/>
    </row>
    <row r="59" spans="1:46">
      <c r="A59" s="151"/>
      <c r="B59" s="84"/>
      <c r="C59" s="84"/>
      <c r="D59" s="85"/>
      <c r="E59" s="84"/>
      <c r="F59" s="7"/>
      <c r="G59" s="85"/>
      <c r="H59" s="19"/>
      <c r="I59" s="23"/>
      <c r="J59" s="371"/>
      <c r="K59" s="371"/>
      <c r="L59" s="371"/>
      <c r="N59" s="365"/>
      <c r="P59" s="195"/>
      <c r="Q59" s="326"/>
      <c r="R59" s="312"/>
      <c r="W59" s="35"/>
      <c r="X59" s="59"/>
      <c r="Y59" s="37"/>
      <c r="Z59" s="69"/>
      <c r="AA59" s="16"/>
      <c r="AB59" s="66"/>
      <c r="AC59" s="107"/>
      <c r="AD59" s="23"/>
      <c r="AG59" s="34"/>
      <c r="AH59" s="125"/>
      <c r="AI59" s="284"/>
      <c r="AO59" s="131"/>
      <c r="AP59" s="264"/>
    </row>
    <row r="60" spans="1:46">
      <c r="B60" s="84"/>
      <c r="C60" s="84"/>
      <c r="D60" s="85"/>
      <c r="E60" s="84"/>
      <c r="F60" s="59"/>
      <c r="G60" s="85"/>
      <c r="H60" s="4"/>
      <c r="I60" s="17"/>
      <c r="J60" s="371"/>
      <c r="K60" s="371"/>
      <c r="L60" s="371"/>
      <c r="N60" s="365"/>
      <c r="P60" s="195"/>
      <c r="Q60" s="326"/>
      <c r="R60" s="312"/>
      <c r="W60" s="69"/>
      <c r="X60" s="100"/>
      <c r="Y60" s="37"/>
      <c r="Z60" s="69"/>
      <c r="AA60" s="16"/>
      <c r="AB60" s="3"/>
      <c r="AC60" s="149"/>
      <c r="AD60" s="17"/>
      <c r="AG60" s="34"/>
      <c r="AH60" s="63"/>
      <c r="AI60" s="131"/>
      <c r="AO60" s="131"/>
      <c r="AP60" s="264"/>
    </row>
    <row r="61" spans="1:46">
      <c r="A61" s="151"/>
      <c r="B61" s="84"/>
      <c r="C61" s="84"/>
      <c r="D61" s="85"/>
      <c r="E61" s="84"/>
      <c r="F61" s="7"/>
      <c r="G61" s="85"/>
      <c r="H61" s="11"/>
      <c r="I61" s="17"/>
      <c r="J61" s="77"/>
      <c r="K61" s="371"/>
      <c r="L61" s="371"/>
      <c r="N61" s="365"/>
      <c r="P61" s="195"/>
      <c r="Q61" s="326"/>
      <c r="R61" s="312"/>
      <c r="W61" s="69"/>
      <c r="X61" s="59"/>
      <c r="Y61" s="37"/>
      <c r="Z61" s="69"/>
      <c r="AA61" s="16"/>
      <c r="AB61" s="3"/>
      <c r="AC61" s="149"/>
      <c r="AD61" s="17"/>
      <c r="AG61" s="34"/>
      <c r="AH61" s="44"/>
      <c r="AI61" s="131"/>
      <c r="AO61" s="131"/>
      <c r="AP61" s="264"/>
    </row>
    <row r="62" spans="1:46">
      <c r="A62" s="151"/>
      <c r="B62" s="85"/>
      <c r="C62" s="85"/>
      <c r="D62" s="85"/>
      <c r="E62" s="85"/>
      <c r="F62" s="7"/>
      <c r="G62" s="85"/>
      <c r="H62" s="4"/>
      <c r="I62" s="17"/>
      <c r="J62" s="371"/>
      <c r="K62" s="77"/>
      <c r="L62" s="371"/>
      <c r="N62" s="365"/>
      <c r="P62" s="195"/>
      <c r="Q62" s="326"/>
      <c r="R62" s="312"/>
      <c r="W62" s="35"/>
      <c r="X62" s="100"/>
      <c r="Y62" s="37"/>
      <c r="Z62" s="69"/>
      <c r="AA62" s="16"/>
      <c r="AB62" s="3"/>
      <c r="AC62" s="107"/>
      <c r="AD62" s="17"/>
      <c r="AG62" s="34"/>
      <c r="AH62" s="44"/>
      <c r="AI62" s="131"/>
      <c r="AO62" s="131"/>
      <c r="AP62" s="264"/>
    </row>
    <row r="63" spans="1:46">
      <c r="A63" s="151"/>
      <c r="B63" s="84"/>
      <c r="C63" s="84"/>
      <c r="D63" s="84"/>
      <c r="E63" s="84"/>
      <c r="F63" s="7"/>
      <c r="G63" s="85"/>
      <c r="H63" s="5"/>
      <c r="I63" s="23"/>
      <c r="J63" s="371"/>
      <c r="K63" s="371"/>
      <c r="L63" s="371"/>
      <c r="N63" s="365"/>
      <c r="P63" s="195"/>
      <c r="Q63" s="326"/>
      <c r="R63" s="312"/>
      <c r="W63" s="69"/>
      <c r="X63" s="100"/>
      <c r="Y63" s="37"/>
      <c r="Z63" s="69"/>
      <c r="AA63" s="16"/>
      <c r="AB63" s="66"/>
      <c r="AC63" s="105"/>
      <c r="AD63" s="23"/>
      <c r="AG63" s="34"/>
      <c r="AH63" s="125"/>
      <c r="AI63" s="131"/>
      <c r="AO63" s="131"/>
      <c r="AP63" s="264"/>
    </row>
    <row r="64" spans="1:46">
      <c r="A64" s="151"/>
      <c r="B64" s="84"/>
      <c r="C64" s="84"/>
      <c r="D64" s="84"/>
      <c r="E64" s="84"/>
      <c r="F64" s="7"/>
      <c r="G64" s="85"/>
      <c r="H64" s="268"/>
      <c r="I64" s="23"/>
      <c r="J64" s="371"/>
      <c r="K64" s="371"/>
      <c r="L64" s="371"/>
      <c r="N64" s="365"/>
      <c r="P64" s="195"/>
      <c r="Q64" s="326"/>
      <c r="R64" s="312"/>
      <c r="W64" s="46"/>
      <c r="X64" s="100"/>
      <c r="Y64" s="37"/>
      <c r="Z64" s="69"/>
      <c r="AA64" s="16"/>
      <c r="AB64" s="66"/>
      <c r="AC64" s="105"/>
      <c r="AD64" s="23"/>
      <c r="AG64" s="34"/>
      <c r="AH64" s="125"/>
      <c r="AI64" s="131"/>
      <c r="AO64" s="128"/>
      <c r="AP64" s="264"/>
      <c r="AQ64" s="34"/>
      <c r="AR64" s="34"/>
      <c r="AS64" s="34"/>
      <c r="AT64" s="34"/>
    </row>
    <row r="65" spans="2:42">
      <c r="B65" s="96"/>
      <c r="C65" s="96"/>
      <c r="D65" s="96"/>
      <c r="E65" s="96"/>
      <c r="F65" s="9"/>
      <c r="G65" s="27"/>
      <c r="H65" s="56"/>
      <c r="I65" s="9"/>
      <c r="J65" s="364"/>
      <c r="K65" s="364"/>
      <c r="L65" s="364"/>
      <c r="M65" s="364"/>
      <c r="N65" s="364"/>
      <c r="P65" s="83"/>
      <c r="Q65" s="326"/>
      <c r="R65" s="312"/>
      <c r="T65" s="338"/>
      <c r="V65" s="377"/>
      <c r="W65" s="11"/>
      <c r="X65" s="71"/>
      <c r="Y65" s="29"/>
      <c r="Z65" s="18"/>
      <c r="AA65" s="15"/>
      <c r="AB65" s="22"/>
      <c r="AC65" s="26"/>
      <c r="AD65" s="9"/>
      <c r="AE65" s="56"/>
      <c r="AF65" s="114"/>
      <c r="AG65" s="33"/>
      <c r="AH65" s="44"/>
      <c r="AI65" s="284"/>
      <c r="AO65" s="131"/>
      <c r="AP65" s="264"/>
    </row>
    <row r="66" spans="2:42">
      <c r="B66" s="84"/>
      <c r="C66" s="84"/>
      <c r="D66" s="85"/>
      <c r="E66" s="84"/>
      <c r="F66" s="59"/>
      <c r="G66" s="85"/>
      <c r="H66" s="212"/>
      <c r="I66" s="23"/>
      <c r="J66" s="77"/>
      <c r="K66" s="77"/>
      <c r="L66" s="371"/>
      <c r="N66" s="365"/>
      <c r="P66" s="195"/>
      <c r="Q66" s="326"/>
      <c r="R66" s="312"/>
      <c r="W66" s="69"/>
      <c r="X66" s="59"/>
      <c r="Y66" s="14"/>
      <c r="Z66" s="69"/>
      <c r="AA66" s="16"/>
      <c r="AB66" s="66"/>
      <c r="AC66" s="105"/>
      <c r="AD66" s="23"/>
      <c r="AG66" s="34"/>
      <c r="AH66" s="63"/>
      <c r="AI66" s="284"/>
      <c r="AO66" s="284"/>
      <c r="AP66" s="264"/>
    </row>
    <row r="67" spans="2:42">
      <c r="B67" s="84"/>
      <c r="C67" s="84"/>
      <c r="D67" s="84"/>
      <c r="E67" s="85"/>
      <c r="F67" s="59"/>
      <c r="G67" s="58"/>
      <c r="H67" s="9"/>
      <c r="I67" s="17"/>
      <c r="J67" s="371"/>
      <c r="K67" s="371"/>
      <c r="N67" s="365"/>
      <c r="P67" s="232"/>
      <c r="W67" s="46"/>
      <c r="X67" s="100"/>
      <c r="Y67" s="37"/>
      <c r="Z67" s="69"/>
      <c r="AA67" s="16"/>
      <c r="AB67" s="66"/>
      <c r="AC67" s="107"/>
      <c r="AD67" s="17"/>
      <c r="AG67" s="34"/>
      <c r="AH67" s="63"/>
      <c r="AI67" s="131"/>
      <c r="AO67" s="131"/>
      <c r="AP67" s="264"/>
    </row>
    <row r="68" spans="2:42">
      <c r="AI68" s="131"/>
    </row>
    <row r="69" spans="2:42">
      <c r="AI69" s="131"/>
    </row>
    <row r="70" spans="2:42">
      <c r="AI70" s="131"/>
    </row>
    <row r="71" spans="2:42">
      <c r="AI71" s="131"/>
    </row>
    <row r="72" spans="2:42">
      <c r="AI72" s="131"/>
    </row>
    <row r="73" spans="2:42">
      <c r="AI73" s="131"/>
    </row>
    <row r="74" spans="2:42">
      <c r="AI74" s="131"/>
    </row>
    <row r="75" spans="2:42">
      <c r="AI75" s="131"/>
    </row>
    <row r="77" spans="2:42">
      <c r="AI77" s="131"/>
    </row>
    <row r="78" spans="2:42">
      <c r="AI78" s="131"/>
    </row>
    <row r="79" spans="2:42">
      <c r="AI79" s="131"/>
    </row>
    <row r="80" spans="2:42">
      <c r="AI80" s="284"/>
    </row>
    <row r="81" spans="35:35">
      <c r="AI81" s="131"/>
    </row>
    <row r="82" spans="35:35">
      <c r="AI82" s="284"/>
    </row>
    <row r="83" spans="35:35">
      <c r="AI83" s="131"/>
    </row>
    <row r="84" spans="35:35">
      <c r="AI84" s="284"/>
    </row>
    <row r="85" spans="35:35">
      <c r="AI85" s="131"/>
    </row>
    <row r="86" spans="35:35">
      <c r="AI86" s="131"/>
    </row>
    <row r="87" spans="35:35">
      <c r="AI87" s="131"/>
    </row>
    <row r="88" spans="35:35">
      <c r="AI88" s="131"/>
    </row>
    <row r="89" spans="35:35">
      <c r="AI89" s="131"/>
    </row>
    <row r="90" spans="35:35">
      <c r="AI90" s="131"/>
    </row>
    <row r="91" spans="35:35">
      <c r="AI91" s="131"/>
    </row>
    <row r="92" spans="35:35">
      <c r="AI92" s="131"/>
    </row>
    <row r="93" spans="35:35">
      <c r="AI93" s="131"/>
    </row>
    <row r="94" spans="35:35">
      <c r="AI94" s="284"/>
    </row>
    <row r="95" spans="35:35">
      <c r="AI95" s="131"/>
    </row>
    <row r="96" spans="35:35">
      <c r="AI96" s="131"/>
    </row>
    <row r="97" spans="35:35">
      <c r="AI97" s="131"/>
    </row>
    <row r="98" spans="35:35">
      <c r="AI98" s="131"/>
    </row>
    <row r="99" spans="35:35">
      <c r="AI99" s="131"/>
    </row>
    <row r="100" spans="35:35">
      <c r="AI100" s="284"/>
    </row>
    <row r="101" spans="35:35">
      <c r="AI101" s="131"/>
    </row>
    <row r="102" spans="35:35">
      <c r="AI102" s="131"/>
    </row>
    <row r="103" spans="35:35">
      <c r="AI103" s="284"/>
    </row>
    <row r="104" spans="35:35">
      <c r="AI104" s="131"/>
    </row>
    <row r="105" spans="35:35">
      <c r="AI105" s="131"/>
    </row>
    <row r="106" spans="35:35">
      <c r="AI106" s="131"/>
    </row>
    <row r="107" spans="35:35">
      <c r="AI107" s="131"/>
    </row>
    <row r="108" spans="35:35">
      <c r="AI108" s="131"/>
    </row>
    <row r="109" spans="35:35">
      <c r="AI109" s="131"/>
    </row>
    <row r="110" spans="35:35">
      <c r="AI110" s="131"/>
    </row>
    <row r="111" spans="35:35">
      <c r="AI111" s="131"/>
    </row>
    <row r="112" spans="35:35">
      <c r="AI112" s="131"/>
    </row>
    <row r="113" spans="35:35">
      <c r="AI113" s="131"/>
    </row>
    <row r="114" spans="35:35">
      <c r="AI114" s="131"/>
    </row>
    <row r="115" spans="35:35">
      <c r="AI115" s="131"/>
    </row>
    <row r="116" spans="35:35">
      <c r="AI116" s="131"/>
    </row>
    <row r="117" spans="35:35">
      <c r="AI117" s="131"/>
    </row>
    <row r="118" spans="35:35">
      <c r="AI118" s="131"/>
    </row>
    <row r="119" spans="35:35">
      <c r="AI119" s="131"/>
    </row>
    <row r="120" spans="35:35">
      <c r="AI120" s="131"/>
    </row>
    <row r="121" spans="35:35">
      <c r="AI121" s="131"/>
    </row>
    <row r="122" spans="35:35">
      <c r="AI122" s="131"/>
    </row>
    <row r="123" spans="35:35">
      <c r="AI123" s="131"/>
    </row>
    <row r="124" spans="35:35">
      <c r="AI124" s="131"/>
    </row>
    <row r="125" spans="35:35">
      <c r="AI125" s="131"/>
    </row>
    <row r="126" spans="35:35">
      <c r="AI126" s="131"/>
    </row>
    <row r="127" spans="35:35">
      <c r="AI127" s="131"/>
    </row>
    <row r="128" spans="35:35">
      <c r="AI128" s="131"/>
    </row>
    <row r="129" spans="35:35">
      <c r="AI129" s="131"/>
    </row>
    <row r="130" spans="35:35">
      <c r="AI130" s="131"/>
    </row>
    <row r="131" spans="35:35">
      <c r="AI131" s="131"/>
    </row>
    <row r="132" spans="35:35">
      <c r="AI132" s="131"/>
    </row>
    <row r="133" spans="35:35">
      <c r="AI133" s="131"/>
    </row>
    <row r="134" spans="35:35">
      <c r="AI134" s="131"/>
    </row>
    <row r="135" spans="35:35">
      <c r="AI135" s="131"/>
    </row>
    <row r="136" spans="35:35">
      <c r="AI136" s="131"/>
    </row>
    <row r="137" spans="35:35">
      <c r="AI137" s="131"/>
    </row>
    <row r="138" spans="35:35">
      <c r="AI138" s="131"/>
    </row>
    <row r="139" spans="35:35">
      <c r="AI139" s="131"/>
    </row>
    <row r="140" spans="35:35">
      <c r="AI140" s="284"/>
    </row>
    <row r="141" spans="35:35">
      <c r="AI141" s="131"/>
    </row>
    <row r="142" spans="35:35">
      <c r="AI142" s="131"/>
    </row>
    <row r="143" spans="35:35">
      <c r="AI143" s="131"/>
    </row>
    <row r="144" spans="35:35">
      <c r="AI144" s="131"/>
    </row>
    <row r="145" spans="35:35">
      <c r="AI145" s="131"/>
    </row>
    <row r="146" spans="35:35">
      <c r="AI146" s="131"/>
    </row>
    <row r="147" spans="35:35">
      <c r="AI147" s="131"/>
    </row>
    <row r="148" spans="35:35">
      <c r="AI148" s="131"/>
    </row>
    <row r="149" spans="35:35">
      <c r="AI149" s="131"/>
    </row>
    <row r="150" spans="35:35">
      <c r="AI150" s="131"/>
    </row>
    <row r="151" spans="35:35">
      <c r="AI151" s="131"/>
    </row>
    <row r="152" spans="35:35">
      <c r="AI152" s="131"/>
    </row>
    <row r="153" spans="35:35">
      <c r="AI153" s="131"/>
    </row>
    <row r="154" spans="35:35">
      <c r="AI154" s="131"/>
    </row>
    <row r="155" spans="35:35">
      <c r="AI155" s="131"/>
    </row>
    <row r="156" spans="35:35">
      <c r="AI156" s="131"/>
    </row>
    <row r="157" spans="35:35">
      <c r="AI157" s="131"/>
    </row>
    <row r="158" spans="35:35">
      <c r="AI158" s="131"/>
    </row>
    <row r="159" spans="35:35">
      <c r="AI159" s="131"/>
    </row>
    <row r="160" spans="35:35">
      <c r="AI160" s="131"/>
    </row>
    <row r="161" spans="35:35">
      <c r="AI161" s="131"/>
    </row>
    <row r="162" spans="35:35">
      <c r="AI162" s="131"/>
    </row>
    <row r="163" spans="35:35">
      <c r="AI163" s="131"/>
    </row>
    <row r="164" spans="35:35">
      <c r="AI164" s="131"/>
    </row>
    <row r="165" spans="35:35">
      <c r="AI165" s="131"/>
    </row>
    <row r="166" spans="35:35">
      <c r="AI166" s="131"/>
    </row>
    <row r="167" spans="35:35">
      <c r="AI167" s="131"/>
    </row>
    <row r="168" spans="35:35">
      <c r="AI168" s="131"/>
    </row>
    <row r="170" spans="35:35">
      <c r="AI170" s="131"/>
    </row>
    <row r="171" spans="35:35">
      <c r="AI171" s="131"/>
    </row>
    <row r="172" spans="35:35">
      <c r="AI172" s="131"/>
    </row>
    <row r="173" spans="35:35">
      <c r="AI173" s="131"/>
    </row>
    <row r="174" spans="35:35">
      <c r="AI174" s="131"/>
    </row>
    <row r="176" spans="35:35">
      <c r="AI176" s="131"/>
    </row>
    <row r="177" spans="35:35">
      <c r="AI177" s="131"/>
    </row>
    <row r="178" spans="35:35">
      <c r="AI178" s="131"/>
    </row>
    <row r="179" spans="35:35">
      <c r="AI179" s="131"/>
    </row>
    <row r="180" spans="35:35">
      <c r="AI180" s="131"/>
    </row>
    <row r="181" spans="35:35">
      <c r="AI181" s="131"/>
    </row>
    <row r="182" spans="35:35">
      <c r="AI182" s="131"/>
    </row>
    <row r="183" spans="35:35">
      <c r="AI183" s="131"/>
    </row>
    <row r="184" spans="35:35">
      <c r="AI184" s="131"/>
    </row>
    <row r="185" spans="35:35">
      <c r="AI185" s="131"/>
    </row>
    <row r="186" spans="35:35">
      <c r="AI186" s="131"/>
    </row>
    <row r="187" spans="35:35">
      <c r="AI187" s="284"/>
    </row>
    <row r="188" spans="35:35">
      <c r="AI188" s="131"/>
    </row>
    <row r="190" spans="35:35">
      <c r="AI190" s="131"/>
    </row>
    <row r="191" spans="35:35">
      <c r="AI191" s="131"/>
    </row>
    <row r="192" spans="35:35">
      <c r="AI192" s="131"/>
    </row>
    <row r="193" spans="35:35">
      <c r="AI193" s="131"/>
    </row>
    <row r="194" spans="35:35">
      <c r="AI194" s="131"/>
    </row>
    <row r="195" spans="35:35">
      <c r="AI195" s="131"/>
    </row>
    <row r="196" spans="35:35">
      <c r="AI196" s="131"/>
    </row>
    <row r="197" spans="35:35">
      <c r="AI197" s="131"/>
    </row>
    <row r="198" spans="35:35">
      <c r="AI198" s="131"/>
    </row>
    <row r="199" spans="35:35">
      <c r="AI199" s="131"/>
    </row>
    <row r="200" spans="35:35">
      <c r="AI200" s="131"/>
    </row>
    <row r="202" spans="35:35">
      <c r="AI202" s="131"/>
    </row>
    <row r="203" spans="35:35">
      <c r="AI203" s="131"/>
    </row>
    <row r="204" spans="35:35">
      <c r="AI204" s="131"/>
    </row>
    <row r="205" spans="35:35">
      <c r="AI205" s="131"/>
    </row>
    <row r="206" spans="35:35">
      <c r="AI206" s="131"/>
    </row>
    <row r="207" spans="35:35">
      <c r="AI207" s="131"/>
    </row>
    <row r="208" spans="35:35">
      <c r="AI208" s="131"/>
    </row>
    <row r="209" spans="35:35">
      <c r="AI209" s="131"/>
    </row>
    <row r="210" spans="35:35">
      <c r="AI210" s="131"/>
    </row>
    <row r="211" spans="35:35">
      <c r="AI211" s="131"/>
    </row>
    <row r="212" spans="35:35">
      <c r="AI212" s="131"/>
    </row>
    <row r="213" spans="35:35">
      <c r="AI213" s="131"/>
    </row>
    <row r="214" spans="35:35">
      <c r="AI214" s="131"/>
    </row>
    <row r="215" spans="35:35">
      <c r="AI215" s="131"/>
    </row>
    <row r="216" spans="35:35">
      <c r="AI216" s="131"/>
    </row>
    <row r="217" spans="35:35">
      <c r="AI217" s="131"/>
    </row>
    <row r="218" spans="35:35">
      <c r="AI218" s="131"/>
    </row>
    <row r="219" spans="35:35">
      <c r="AI219" s="131"/>
    </row>
    <row r="220" spans="35:35">
      <c r="AI220" s="131"/>
    </row>
    <row r="221" spans="35:35">
      <c r="AI221" s="131"/>
    </row>
    <row r="222" spans="35:35">
      <c r="AI222" s="131"/>
    </row>
    <row r="223" spans="35:35">
      <c r="AI223" s="131"/>
    </row>
    <row r="224" spans="35:35">
      <c r="AI224" s="131"/>
    </row>
    <row r="225" spans="35:35">
      <c r="AI225" s="131"/>
    </row>
    <row r="226" spans="35:35">
      <c r="AI226" s="131"/>
    </row>
    <row r="227" spans="35:35">
      <c r="AI227" s="131"/>
    </row>
    <row r="228" spans="35:35">
      <c r="AI228" s="131"/>
    </row>
    <row r="229" spans="35:35">
      <c r="AI229" s="131"/>
    </row>
    <row r="230" spans="35:35">
      <c r="AI230" s="131"/>
    </row>
    <row r="231" spans="35:35">
      <c r="AI231" s="131"/>
    </row>
    <row r="232" spans="35:35">
      <c r="AI232" s="131"/>
    </row>
    <row r="233" spans="35:35">
      <c r="AI233" s="131"/>
    </row>
    <row r="234" spans="35:35">
      <c r="AI234" s="131"/>
    </row>
    <row r="235" spans="35:35">
      <c r="AI235" s="131"/>
    </row>
    <row r="236" spans="35:35">
      <c r="AI236" s="131"/>
    </row>
    <row r="237" spans="35:35">
      <c r="AI237" s="131"/>
    </row>
    <row r="238" spans="35:35">
      <c r="AI238" s="131"/>
    </row>
    <row r="239" spans="35:35">
      <c r="AI239" s="131"/>
    </row>
    <row r="240" spans="35:35">
      <c r="AI240" s="131"/>
    </row>
    <row r="241" spans="35:35">
      <c r="AI241" s="131"/>
    </row>
    <row r="242" spans="35:35">
      <c r="AI242" s="131"/>
    </row>
    <row r="243" spans="35:35">
      <c r="AI243" s="131"/>
    </row>
    <row r="244" spans="35:35">
      <c r="AI244" s="131"/>
    </row>
    <row r="245" spans="35:35">
      <c r="AI245" s="131"/>
    </row>
    <row r="246" spans="35:35">
      <c r="AI246" s="131"/>
    </row>
    <row r="247" spans="35:35">
      <c r="AI247" s="131"/>
    </row>
    <row r="248" spans="35:35">
      <c r="AI248" s="131"/>
    </row>
    <row r="249" spans="35:35">
      <c r="AI249" s="131"/>
    </row>
    <row r="250" spans="35:35">
      <c r="AI250" s="131"/>
    </row>
    <row r="251" spans="35:35">
      <c r="AI251" s="131"/>
    </row>
    <row r="252" spans="35:35">
      <c r="AI252" s="131"/>
    </row>
    <row r="253" spans="35:35">
      <c r="AI253" s="131"/>
    </row>
    <row r="254" spans="35:35">
      <c r="AI254" s="131"/>
    </row>
    <row r="255" spans="35:35">
      <c r="AI255" s="131"/>
    </row>
    <row r="256" spans="35:35">
      <c r="AI256" s="131"/>
    </row>
    <row r="257" spans="35:35">
      <c r="AI257" s="131"/>
    </row>
    <row r="258" spans="35:35">
      <c r="AI258" s="131"/>
    </row>
    <row r="259" spans="35:35">
      <c r="AI259" s="131"/>
    </row>
    <row r="260" spans="35:35">
      <c r="AI260" s="131"/>
    </row>
    <row r="261" spans="35:35">
      <c r="AI261" s="131"/>
    </row>
    <row r="262" spans="35:35">
      <c r="AI262" s="131"/>
    </row>
    <row r="263" spans="35:35">
      <c r="AI263" s="284"/>
    </row>
    <row r="264" spans="35:35">
      <c r="AI264" s="131"/>
    </row>
    <row r="265" spans="35:35">
      <c r="AI265" s="131"/>
    </row>
    <row r="266" spans="35:35">
      <c r="AI266" s="131"/>
    </row>
    <row r="267" spans="35:35">
      <c r="AI267" s="131"/>
    </row>
    <row r="268" spans="35:35">
      <c r="AI268" s="131"/>
    </row>
    <row r="269" spans="35:35">
      <c r="AI269" s="131"/>
    </row>
    <row r="270" spans="35:35">
      <c r="AI270" s="131"/>
    </row>
    <row r="271" spans="35:35">
      <c r="AI271" s="52"/>
    </row>
    <row r="272" spans="35:35">
      <c r="AI272" s="131"/>
    </row>
    <row r="273" spans="35:35">
      <c r="AI273" s="131"/>
    </row>
    <row r="274" spans="35:35">
      <c r="AI274" s="131"/>
    </row>
    <row r="275" spans="35:35">
      <c r="AI275" s="131"/>
    </row>
    <row r="276" spans="35:35">
      <c r="AI276" s="131"/>
    </row>
    <row r="277" spans="35:35">
      <c r="AI277" s="131"/>
    </row>
    <row r="278" spans="35:35">
      <c r="AI278" s="131"/>
    </row>
    <row r="279" spans="35:35">
      <c r="AI279" s="131"/>
    </row>
    <row r="280" spans="35:35">
      <c r="AI280" s="131"/>
    </row>
    <row r="281" spans="35:35">
      <c r="AI281" s="131"/>
    </row>
    <row r="282" spans="35:35">
      <c r="AI282" s="131"/>
    </row>
    <row r="283" spans="35:35">
      <c r="AI283" s="131"/>
    </row>
    <row r="284" spans="35:35">
      <c r="AI284" s="131"/>
    </row>
    <row r="285" spans="35:35">
      <c r="AI285" s="131"/>
    </row>
    <row r="286" spans="35:35">
      <c r="AI286" s="131"/>
    </row>
    <row r="287" spans="35:35">
      <c r="AI287" s="131"/>
    </row>
    <row r="288" spans="35:35">
      <c r="AI288" s="131"/>
    </row>
    <row r="289" spans="35:35">
      <c r="AI289" s="131"/>
    </row>
    <row r="290" spans="35:35">
      <c r="AI290" s="131"/>
    </row>
    <row r="291" spans="35:35">
      <c r="AI291" s="131"/>
    </row>
    <row r="292" spans="35:35">
      <c r="AI292" s="131"/>
    </row>
    <row r="293" spans="35:35">
      <c r="AI293" s="131"/>
    </row>
    <row r="294" spans="35:35">
      <c r="AI294" s="131"/>
    </row>
    <row r="295" spans="35:35">
      <c r="AI295" s="131"/>
    </row>
    <row r="296" spans="35:35">
      <c r="AI296" s="131"/>
    </row>
    <row r="297" spans="35:35">
      <c r="AI297" s="131"/>
    </row>
    <row r="298" spans="35:35">
      <c r="AI298" s="131"/>
    </row>
    <row r="299" spans="35:35">
      <c r="AI299" s="131"/>
    </row>
    <row r="300" spans="35:35">
      <c r="AI300" s="131"/>
    </row>
    <row r="301" spans="35:35">
      <c r="AI301" s="284"/>
    </row>
    <row r="302" spans="35:35">
      <c r="AI302" s="131"/>
    </row>
    <row r="304" spans="35:35">
      <c r="AI304" s="131"/>
    </row>
    <row r="305" spans="35:35">
      <c r="AI305" s="131"/>
    </row>
    <row r="306" spans="35:35">
      <c r="AI306" s="131"/>
    </row>
    <row r="307" spans="35:35">
      <c r="AI307" s="131"/>
    </row>
    <row r="308" spans="35:35">
      <c r="AI308" s="131"/>
    </row>
    <row r="309" spans="35:35">
      <c r="AI309" s="131"/>
    </row>
    <row r="310" spans="35:35">
      <c r="AI310" s="131"/>
    </row>
    <row r="311" spans="35:35">
      <c r="AI311" s="131"/>
    </row>
    <row r="312" spans="35:35">
      <c r="AI312" s="131"/>
    </row>
    <row r="313" spans="35:35">
      <c r="AI313" s="131"/>
    </row>
    <row r="314" spans="35:35">
      <c r="AI314" s="131"/>
    </row>
    <row r="315" spans="35:35">
      <c r="AI315" s="131"/>
    </row>
    <row r="316" spans="35:35">
      <c r="AI316" s="131"/>
    </row>
    <row r="317" spans="35:35">
      <c r="AI317" s="131"/>
    </row>
    <row r="318" spans="35:35">
      <c r="AI318" s="131"/>
    </row>
    <row r="319" spans="35:35">
      <c r="AI319" s="284"/>
    </row>
    <row r="320" spans="35:35">
      <c r="AI320" s="131"/>
    </row>
    <row r="321" spans="35:35">
      <c r="AI321" s="131"/>
    </row>
    <row r="322" spans="35:35">
      <c r="AI322" s="131"/>
    </row>
    <row r="323" spans="35:35">
      <c r="AI323" s="131"/>
    </row>
    <row r="324" spans="35:35">
      <c r="AI324" s="131"/>
    </row>
    <row r="325" spans="35:35">
      <c r="AI325" s="131"/>
    </row>
    <row r="326" spans="35:35">
      <c r="AI326" s="131"/>
    </row>
    <row r="327" spans="35:35">
      <c r="AI327" s="131"/>
    </row>
    <row r="328" spans="35:35">
      <c r="AI328" s="131"/>
    </row>
    <row r="329" spans="35:35">
      <c r="AI329" s="131"/>
    </row>
    <row r="330" spans="35:35">
      <c r="AI330" s="131"/>
    </row>
    <row r="331" spans="35:35">
      <c r="AI331" s="131"/>
    </row>
    <row r="332" spans="35:35">
      <c r="AI332" s="131"/>
    </row>
    <row r="333" spans="35:35">
      <c r="AI333" s="131"/>
    </row>
    <row r="334" spans="35:35">
      <c r="AI334" s="131"/>
    </row>
    <row r="335" spans="35:35">
      <c r="AI335" s="131"/>
    </row>
    <row r="336" spans="35:35">
      <c r="AI336" s="131"/>
    </row>
    <row r="337" spans="35:35">
      <c r="AI337" s="131"/>
    </row>
    <row r="338" spans="35:35">
      <c r="AI338" s="131"/>
    </row>
    <row r="339" spans="35:35">
      <c r="AI339" s="131"/>
    </row>
    <row r="340" spans="35:35">
      <c r="AI340" s="131"/>
    </row>
    <row r="341" spans="35:35">
      <c r="AI341" s="131"/>
    </row>
    <row r="342" spans="35:35">
      <c r="AI342" s="131"/>
    </row>
    <row r="343" spans="35:35">
      <c r="AI343" s="131"/>
    </row>
    <row r="344" spans="35:35">
      <c r="AI344" s="131"/>
    </row>
    <row r="345" spans="35:35">
      <c r="AI345" s="131"/>
    </row>
    <row r="346" spans="35:35">
      <c r="AI346" s="131"/>
    </row>
    <row r="347" spans="35:35">
      <c r="AI347" s="284"/>
    </row>
    <row r="348" spans="35:35">
      <c r="AI348" s="131"/>
    </row>
    <row r="349" spans="35:35">
      <c r="AI349" s="131"/>
    </row>
    <row r="350" spans="35:35">
      <c r="AI350" s="131"/>
    </row>
    <row r="351" spans="35:35">
      <c r="AI351" s="131"/>
    </row>
    <row r="352" spans="35:35">
      <c r="AI352" s="131"/>
    </row>
    <row r="353" spans="35:35">
      <c r="AI353" s="131"/>
    </row>
    <row r="354" spans="35:35">
      <c r="AI354" s="131"/>
    </row>
    <row r="355" spans="35:35">
      <c r="AI355" s="131"/>
    </row>
    <row r="356" spans="35:35">
      <c r="AI356" s="131"/>
    </row>
    <row r="357" spans="35:35">
      <c r="AI357" s="131"/>
    </row>
    <row r="358" spans="35:35">
      <c r="AI358" s="131"/>
    </row>
    <row r="359" spans="35:35">
      <c r="AI359" s="131"/>
    </row>
    <row r="360" spans="35:35">
      <c r="AI360" s="131"/>
    </row>
    <row r="361" spans="35:35">
      <c r="AI361" s="131"/>
    </row>
    <row r="362" spans="35:35">
      <c r="AI362" s="131"/>
    </row>
    <row r="363" spans="35:35">
      <c r="AI363" s="131"/>
    </row>
    <row r="364" spans="35:35">
      <c r="AI364" s="131"/>
    </row>
    <row r="365" spans="35:35">
      <c r="AI365" s="284"/>
    </row>
    <row r="366" spans="35:35">
      <c r="AI366" s="131"/>
    </row>
    <row r="367" spans="35:35">
      <c r="AI367" s="284"/>
    </row>
    <row r="368" spans="35:35">
      <c r="AI368" s="131"/>
    </row>
    <row r="369" spans="35:35">
      <c r="AI369" s="131"/>
    </row>
    <row r="370" spans="35:35">
      <c r="AI370" s="131"/>
    </row>
    <row r="371" spans="35:35">
      <c r="AI371" s="131"/>
    </row>
    <row r="372" spans="35:35">
      <c r="AI372" s="131"/>
    </row>
    <row r="373" spans="35:35">
      <c r="AI373" s="131"/>
    </row>
    <row r="374" spans="35:35">
      <c r="AI374" s="131"/>
    </row>
    <row r="375" spans="35:35">
      <c r="AI375" s="131"/>
    </row>
    <row r="376" spans="35:35">
      <c r="AI376" s="131"/>
    </row>
    <row r="377" spans="35:35">
      <c r="AI377" s="131"/>
    </row>
    <row r="378" spans="35:35">
      <c r="AI378" s="131"/>
    </row>
    <row r="379" spans="35:35">
      <c r="AI379" s="131"/>
    </row>
    <row r="380" spans="35:35">
      <c r="AI380" s="131"/>
    </row>
    <row r="381" spans="35:35">
      <c r="AI381" s="131"/>
    </row>
    <row r="382" spans="35:35">
      <c r="AI382" s="131"/>
    </row>
    <row r="383" spans="35:35">
      <c r="AI383" s="131"/>
    </row>
    <row r="384" spans="35:35">
      <c r="AI384" s="131"/>
    </row>
    <row r="385" spans="35:35">
      <c r="AI385" s="131"/>
    </row>
    <row r="386" spans="35:35">
      <c r="AI386" s="131"/>
    </row>
    <row r="387" spans="35:35">
      <c r="AI387" s="131"/>
    </row>
    <row r="388" spans="35:35">
      <c r="AI388" s="131"/>
    </row>
    <row r="389" spans="35:35">
      <c r="AI389" s="131"/>
    </row>
    <row r="390" spans="35:35">
      <c r="AI390" s="131"/>
    </row>
    <row r="391" spans="35:35">
      <c r="AI391" s="131"/>
    </row>
    <row r="392" spans="35:35">
      <c r="AI392" s="131"/>
    </row>
    <row r="393" spans="35:35">
      <c r="AI393" s="131"/>
    </row>
    <row r="394" spans="35:35">
      <c r="AI394" s="131"/>
    </row>
    <row r="395" spans="35:35">
      <c r="AI395" s="131"/>
    </row>
    <row r="396" spans="35:35">
      <c r="AI396" s="131"/>
    </row>
    <row r="397" spans="35:35">
      <c r="AI397" s="131"/>
    </row>
    <row r="398" spans="35:35">
      <c r="AI398" s="131"/>
    </row>
    <row r="399" spans="35:35">
      <c r="AI399" s="131"/>
    </row>
    <row r="400" spans="35:35">
      <c r="AI400" s="131"/>
    </row>
    <row r="401" spans="35:35">
      <c r="AI401" s="131"/>
    </row>
    <row r="402" spans="35:35">
      <c r="AI402" s="284"/>
    </row>
    <row r="403" spans="35:35">
      <c r="AI403" s="131"/>
    </row>
    <row r="404" spans="35:35">
      <c r="AI404" s="131"/>
    </row>
    <row r="405" spans="35:35">
      <c r="AI405" s="131"/>
    </row>
    <row r="406" spans="35:35">
      <c r="AI406" s="131"/>
    </row>
    <row r="407" spans="35:35">
      <c r="AI407" s="131"/>
    </row>
    <row r="408" spans="35:35">
      <c r="AI408" s="131"/>
    </row>
    <row r="409" spans="35:35">
      <c r="AI409" s="131"/>
    </row>
    <row r="410" spans="35:35">
      <c r="AI410" s="131"/>
    </row>
    <row r="411" spans="35:35">
      <c r="AI411" s="131"/>
    </row>
    <row r="412" spans="35:35">
      <c r="AI412" s="131"/>
    </row>
    <row r="413" spans="35:35">
      <c r="AI413" s="131"/>
    </row>
    <row r="414" spans="35:35">
      <c r="AI414" s="131"/>
    </row>
    <row r="415" spans="35:35">
      <c r="AI415" s="131"/>
    </row>
    <row r="416" spans="35:35">
      <c r="AI416" s="131"/>
    </row>
    <row r="417" spans="35:35">
      <c r="AI417" s="131"/>
    </row>
    <row r="418" spans="35:35">
      <c r="AI418" s="131"/>
    </row>
    <row r="419" spans="35:35">
      <c r="AI419" s="131"/>
    </row>
    <row r="420" spans="35:35">
      <c r="AI420" s="131"/>
    </row>
    <row r="421" spans="35:35">
      <c r="AI421" s="131"/>
    </row>
    <row r="422" spans="35:35">
      <c r="AI422" s="131"/>
    </row>
    <row r="423" spans="35:35">
      <c r="AI423" s="131"/>
    </row>
    <row r="424" spans="35:35">
      <c r="AI424" s="131"/>
    </row>
    <row r="425" spans="35:35">
      <c r="AI425" s="131"/>
    </row>
    <row r="426" spans="35:35">
      <c r="AI426" s="131"/>
    </row>
    <row r="427" spans="35:35">
      <c r="AI427" s="131"/>
    </row>
    <row r="428" spans="35:35">
      <c r="AI428" s="131"/>
    </row>
    <row r="429" spans="35:35">
      <c r="AI429" s="131"/>
    </row>
    <row r="430" spans="35:35">
      <c r="AI430" s="131"/>
    </row>
    <row r="431" spans="35:35">
      <c r="AI431" s="131"/>
    </row>
    <row r="432" spans="35:35">
      <c r="AI432" s="131"/>
    </row>
    <row r="433" spans="35:35">
      <c r="AI433" s="131"/>
    </row>
    <row r="434" spans="35:35">
      <c r="AI434" s="131"/>
    </row>
    <row r="435" spans="35:35">
      <c r="AI435" s="131"/>
    </row>
    <row r="436" spans="35:35">
      <c r="AI436" s="131"/>
    </row>
    <row r="437" spans="35:35">
      <c r="AI437" s="131"/>
    </row>
    <row r="438" spans="35:35">
      <c r="AI438" s="131"/>
    </row>
    <row r="439" spans="35:35">
      <c r="AI439" s="131"/>
    </row>
    <row r="440" spans="35:35">
      <c r="AI440" s="131"/>
    </row>
    <row r="441" spans="35:35">
      <c r="AI441" s="131"/>
    </row>
    <row r="442" spans="35:35">
      <c r="AI442" s="131"/>
    </row>
    <row r="443" spans="35:35">
      <c r="AI443" s="131"/>
    </row>
    <row r="444" spans="35:35">
      <c r="AI444" s="131"/>
    </row>
    <row r="445" spans="35:35">
      <c r="AI445" s="131"/>
    </row>
    <row r="446" spans="35:35">
      <c r="AI446" s="131"/>
    </row>
    <row r="447" spans="35:35">
      <c r="AI447" s="286"/>
    </row>
    <row r="448" spans="35:35">
      <c r="AI448" s="131"/>
    </row>
    <row r="449" spans="35:35">
      <c r="AI449" s="131"/>
    </row>
    <row r="450" spans="35:35">
      <c r="AI450" s="131"/>
    </row>
    <row r="451" spans="35:35">
      <c r="AI451" s="131"/>
    </row>
    <row r="452" spans="35:35">
      <c r="AI452" s="131"/>
    </row>
    <row r="453" spans="35:35">
      <c r="AI453" s="131"/>
    </row>
    <row r="454" spans="35:35">
      <c r="AI454" s="131"/>
    </row>
    <row r="455" spans="35:35">
      <c r="AI455" s="131"/>
    </row>
    <row r="456" spans="35:35">
      <c r="AI456" s="131"/>
    </row>
    <row r="457" spans="35:35">
      <c r="AI457" s="131"/>
    </row>
    <row r="458" spans="35:35">
      <c r="AI458" s="131"/>
    </row>
    <row r="459" spans="35:35">
      <c r="AI459" s="131"/>
    </row>
    <row r="460" spans="35:35">
      <c r="AI460" s="131"/>
    </row>
    <row r="461" spans="35:35">
      <c r="AI461" s="131"/>
    </row>
    <row r="462" spans="35:35">
      <c r="AI462" s="131"/>
    </row>
    <row r="463" spans="35:35">
      <c r="AI463" s="131"/>
    </row>
    <row r="464" spans="35:35">
      <c r="AI464" s="131"/>
    </row>
    <row r="465" spans="35:35">
      <c r="AI465" s="131"/>
    </row>
    <row r="466" spans="35:35">
      <c r="AI466" s="131"/>
    </row>
    <row r="467" spans="35:35">
      <c r="AI467" s="131"/>
    </row>
    <row r="468" spans="35:35">
      <c r="AI468" s="131"/>
    </row>
    <row r="469" spans="35:35">
      <c r="AI469" s="131"/>
    </row>
    <row r="470" spans="35:35">
      <c r="AI470" s="131"/>
    </row>
    <row r="471" spans="35:35">
      <c r="AI471" s="131"/>
    </row>
    <row r="472" spans="35:35">
      <c r="AI472" s="131"/>
    </row>
    <row r="473" spans="35:35">
      <c r="AI473" s="131"/>
    </row>
    <row r="474" spans="35:35">
      <c r="AI474" s="131"/>
    </row>
    <row r="475" spans="35:35">
      <c r="AI475" s="131"/>
    </row>
    <row r="476" spans="35:35">
      <c r="AI476" s="131"/>
    </row>
    <row r="477" spans="35:35">
      <c r="AI477" s="131"/>
    </row>
    <row r="478" spans="35:35">
      <c r="AI478" s="131"/>
    </row>
    <row r="479" spans="35:35">
      <c r="AI479" s="131"/>
    </row>
    <row r="480" spans="35:35">
      <c r="AI480" s="131"/>
    </row>
    <row r="481" spans="35:35">
      <c r="AI481" s="131"/>
    </row>
    <row r="482" spans="35:35">
      <c r="AI482" s="131"/>
    </row>
    <row r="483" spans="35:35">
      <c r="AI483" s="131"/>
    </row>
    <row r="484" spans="35:35">
      <c r="AI484" s="131"/>
    </row>
    <row r="485" spans="35:35">
      <c r="AI485" s="131"/>
    </row>
    <row r="486" spans="35:35">
      <c r="AI486" s="131"/>
    </row>
    <row r="487" spans="35:35">
      <c r="AI487" s="131"/>
    </row>
    <row r="488" spans="35:35">
      <c r="AI488" s="34"/>
    </row>
    <row r="489" spans="35:35">
      <c r="AI489" s="131"/>
    </row>
    <row r="490" spans="35:35">
      <c r="AI490" s="131"/>
    </row>
    <row r="491" spans="35:35">
      <c r="AI491" s="284"/>
    </row>
    <row r="492" spans="35:35">
      <c r="AI492" s="131"/>
    </row>
    <row r="493" spans="35:35">
      <c r="AI493" s="131"/>
    </row>
    <row r="494" spans="35:35">
      <c r="AI494" s="131"/>
    </row>
    <row r="495" spans="35:35">
      <c r="AI495" s="131"/>
    </row>
    <row r="496" spans="35:35">
      <c r="AI496" s="131"/>
    </row>
    <row r="497" spans="35:35">
      <c r="AI497" s="284"/>
    </row>
    <row r="498" spans="35:35">
      <c r="AI498" s="131"/>
    </row>
    <row r="499" spans="35:35">
      <c r="AI499" s="131"/>
    </row>
    <row r="500" spans="35:35">
      <c r="AI500" s="131"/>
    </row>
    <row r="501" spans="35:35">
      <c r="AI501" s="131"/>
    </row>
    <row r="502" spans="35:35">
      <c r="AI502" s="131"/>
    </row>
    <row r="503" spans="35:35">
      <c r="AI503" s="131"/>
    </row>
    <row r="504" spans="35:35">
      <c r="AI504" s="131"/>
    </row>
    <row r="505" spans="35:35">
      <c r="AI505" s="131"/>
    </row>
    <row r="506" spans="35:35">
      <c r="AI506" s="131"/>
    </row>
    <row r="507" spans="35:35">
      <c r="AI507" s="131"/>
    </row>
    <row r="508" spans="35:35">
      <c r="AI508" s="284"/>
    </row>
    <row r="509" spans="35:35">
      <c r="AI509" s="131"/>
    </row>
    <row r="510" spans="35:35">
      <c r="AI510" s="131"/>
    </row>
    <row r="511" spans="35:35">
      <c r="AI511" s="131"/>
    </row>
    <row r="512" spans="35:35">
      <c r="AI512" s="131"/>
    </row>
    <row r="513" spans="35:35">
      <c r="AI513" s="131"/>
    </row>
    <row r="514" spans="35:35">
      <c r="AI514" s="131"/>
    </row>
    <row r="515" spans="35:35">
      <c r="AI515" s="131"/>
    </row>
    <row r="516" spans="35:35">
      <c r="AI516" s="131"/>
    </row>
    <row r="517" spans="35:35">
      <c r="AI517" s="131"/>
    </row>
    <row r="518" spans="35:35">
      <c r="AI518" s="284"/>
    </row>
    <row r="519" spans="35:35">
      <c r="AI519" s="131"/>
    </row>
    <row r="520" spans="35:35">
      <c r="AI520" s="131"/>
    </row>
    <row r="521" spans="35:35">
      <c r="AI521" s="131"/>
    </row>
    <row r="522" spans="35:35">
      <c r="AI522" s="131"/>
    </row>
    <row r="523" spans="35:35">
      <c r="AI523" s="131"/>
    </row>
    <row r="524" spans="35:35">
      <c r="AI524" s="131"/>
    </row>
    <row r="525" spans="35:35">
      <c r="AI525" s="131"/>
    </row>
    <row r="526" spans="35:35">
      <c r="AI526" s="284"/>
    </row>
    <row r="527" spans="35:35">
      <c r="AI527" s="131"/>
    </row>
    <row r="528" spans="35:35">
      <c r="AI528" s="131"/>
    </row>
    <row r="529" spans="35:35">
      <c r="AI529" s="131"/>
    </row>
    <row r="530" spans="35:35">
      <c r="AI530" s="131"/>
    </row>
    <row r="531" spans="35:35">
      <c r="AI531" s="131"/>
    </row>
    <row r="532" spans="35:35">
      <c r="AI532" s="131"/>
    </row>
    <row r="533" spans="35:35">
      <c r="AI533" s="131"/>
    </row>
    <row r="534" spans="35:35">
      <c r="AI534" s="131"/>
    </row>
    <row r="535" spans="35:35">
      <c r="AI535" s="131"/>
    </row>
    <row r="536" spans="35:35">
      <c r="AI536" s="284"/>
    </row>
    <row r="537" spans="35:35">
      <c r="AI537" s="131"/>
    </row>
    <row r="538" spans="35:35">
      <c r="AI538" s="131"/>
    </row>
    <row r="539" spans="35:35">
      <c r="AI539" s="131"/>
    </row>
    <row r="540" spans="35:35">
      <c r="AI540" s="131"/>
    </row>
    <row r="541" spans="35:35">
      <c r="AI541" s="131"/>
    </row>
    <row r="542" spans="35:35">
      <c r="AI542" s="131"/>
    </row>
    <row r="543" spans="35:35">
      <c r="AI543" s="131"/>
    </row>
    <row r="544" spans="35:35">
      <c r="AI544" s="131"/>
    </row>
    <row r="545" spans="35:35">
      <c r="AI545" s="131"/>
    </row>
    <row r="546" spans="35:35">
      <c r="AI546" s="131"/>
    </row>
    <row r="547" spans="35:35">
      <c r="AI547" s="131"/>
    </row>
    <row r="548" spans="35:35">
      <c r="AI548" s="131"/>
    </row>
    <row r="549" spans="35:35">
      <c r="AI549" s="131"/>
    </row>
    <row r="550" spans="35:35">
      <c r="AI550" s="131"/>
    </row>
    <row r="551" spans="35:35">
      <c r="AI551" s="131"/>
    </row>
    <row r="552" spans="35:35">
      <c r="AI552" s="131"/>
    </row>
    <row r="553" spans="35:35">
      <c r="AI553" s="131"/>
    </row>
    <row r="554" spans="35:35">
      <c r="AI554" s="131"/>
    </row>
    <row r="555" spans="35:35">
      <c r="AI555" s="131"/>
    </row>
    <row r="556" spans="35:35">
      <c r="AI556" s="131"/>
    </row>
    <row r="557" spans="35:35">
      <c r="AI557" s="284"/>
    </row>
    <row r="558" spans="35:35">
      <c r="AI558" s="131"/>
    </row>
    <row r="559" spans="35:35">
      <c r="AI559" s="131"/>
    </row>
    <row r="560" spans="35:35">
      <c r="AI560" s="131"/>
    </row>
    <row r="562" spans="35:35">
      <c r="AI562" s="131"/>
    </row>
    <row r="563" spans="35:35">
      <c r="AI563" s="131"/>
    </row>
    <row r="564" spans="35:35">
      <c r="AI564" s="131"/>
    </row>
    <row r="565" spans="35:35">
      <c r="AI565" s="131"/>
    </row>
    <row r="566" spans="35:35">
      <c r="AI566" s="131"/>
    </row>
    <row r="567" spans="35:35">
      <c r="AI567" s="131"/>
    </row>
    <row r="568" spans="35:35">
      <c r="AI568" s="131"/>
    </row>
    <row r="569" spans="35:35">
      <c r="AI569" s="131"/>
    </row>
    <row r="570" spans="35:35">
      <c r="AI570" s="284"/>
    </row>
    <row r="571" spans="35:35">
      <c r="AI571" s="131"/>
    </row>
    <row r="572" spans="35:35">
      <c r="AI572" s="131"/>
    </row>
    <row r="573" spans="35:35">
      <c r="AI573" s="131"/>
    </row>
    <row r="574" spans="35:35">
      <c r="AI574" s="284"/>
    </row>
    <row r="575" spans="35:35">
      <c r="AI575" s="131"/>
    </row>
    <row r="576" spans="35:35">
      <c r="AI576" s="131"/>
    </row>
    <row r="577" spans="35:35">
      <c r="AI577" s="131"/>
    </row>
    <row r="578" spans="35:35">
      <c r="AI578" s="131"/>
    </row>
    <row r="579" spans="35:35">
      <c r="AI579" s="131"/>
    </row>
    <row r="580" spans="35:35">
      <c r="AI580" s="131"/>
    </row>
    <row r="581" spans="35:35">
      <c r="AI581" s="131"/>
    </row>
    <row r="582" spans="35:35">
      <c r="AI582" s="131"/>
    </row>
    <row r="583" spans="35:35">
      <c r="AI583" s="131"/>
    </row>
    <row r="584" spans="35:35">
      <c r="AI584" s="131"/>
    </row>
    <row r="585" spans="35:35">
      <c r="AI585" s="131"/>
    </row>
    <row r="586" spans="35:35">
      <c r="AI586" s="131"/>
    </row>
    <row r="587" spans="35:35">
      <c r="AI587" s="131"/>
    </row>
    <row r="588" spans="35:35">
      <c r="AI588" s="131"/>
    </row>
    <row r="589" spans="35:35">
      <c r="AI589" s="131"/>
    </row>
    <row r="590" spans="35:35">
      <c r="AI590" s="131"/>
    </row>
    <row r="591" spans="35:35">
      <c r="AI591" s="131"/>
    </row>
    <row r="592" spans="35:35">
      <c r="AI592" s="131"/>
    </row>
    <row r="593" spans="35:35">
      <c r="AI593" s="131"/>
    </row>
    <row r="594" spans="35:35">
      <c r="AI594" s="131"/>
    </row>
    <row r="595" spans="35:35">
      <c r="AI595" s="131"/>
    </row>
    <row r="596" spans="35:35">
      <c r="AI596" s="131"/>
    </row>
    <row r="597" spans="35:35">
      <c r="AI597" s="131"/>
    </row>
    <row r="598" spans="35:35">
      <c r="AI598" s="131"/>
    </row>
    <row r="599" spans="35:35">
      <c r="AI599" s="131"/>
    </row>
    <row r="600" spans="35:35">
      <c r="AI600" s="131"/>
    </row>
    <row r="601" spans="35:35">
      <c r="AI601" s="131"/>
    </row>
    <row r="602" spans="35:35">
      <c r="AI602" s="131"/>
    </row>
    <row r="603" spans="35:35">
      <c r="AI603" s="131"/>
    </row>
    <row r="604" spans="35:35">
      <c r="AI604" s="131"/>
    </row>
    <row r="605" spans="35:35">
      <c r="AI605" s="131"/>
    </row>
    <row r="606" spans="35:35">
      <c r="AI606" s="131"/>
    </row>
    <row r="607" spans="35:35">
      <c r="AI607" s="131"/>
    </row>
    <row r="608" spans="35:35">
      <c r="AI608" s="131"/>
    </row>
    <row r="609" spans="35:35">
      <c r="AI609" s="131"/>
    </row>
    <row r="610" spans="35:35">
      <c r="AI610" s="131"/>
    </row>
    <row r="611" spans="35:35">
      <c r="AI611" s="131"/>
    </row>
    <row r="612" spans="35:35">
      <c r="AI612" s="131"/>
    </row>
    <row r="613" spans="35:35">
      <c r="AI613" s="131"/>
    </row>
    <row r="614" spans="35:35">
      <c r="AI614" s="131"/>
    </row>
    <row r="615" spans="35:35">
      <c r="AI615" s="131"/>
    </row>
    <row r="616" spans="35:35">
      <c r="AI616" s="131"/>
    </row>
    <row r="617" spans="35:35">
      <c r="AI617" s="131"/>
    </row>
    <row r="618" spans="35:35">
      <c r="AI618" s="131"/>
    </row>
    <row r="619" spans="35:35">
      <c r="AI619" s="28"/>
    </row>
    <row r="620" spans="35:35">
      <c r="AI620" s="131"/>
    </row>
    <row r="621" spans="35:35">
      <c r="AI621" s="131"/>
    </row>
    <row r="622" spans="35:35">
      <c r="AI622" s="131"/>
    </row>
    <row r="623" spans="35:35">
      <c r="AI623" s="131"/>
    </row>
    <row r="624" spans="35:35">
      <c r="AI624" s="131"/>
    </row>
    <row r="625" spans="35:35">
      <c r="AI625" s="131"/>
    </row>
    <row r="626" spans="35:35">
      <c r="AI626" s="131"/>
    </row>
    <row r="627" spans="35:35">
      <c r="AI627" s="131"/>
    </row>
    <row r="628" spans="35:35">
      <c r="AI628" s="131"/>
    </row>
    <row r="629" spans="35:35">
      <c r="AI629" s="131"/>
    </row>
    <row r="630" spans="35:35">
      <c r="AI630" s="131"/>
    </row>
    <row r="631" spans="35:35">
      <c r="AI631" s="131"/>
    </row>
    <row r="632" spans="35:35">
      <c r="AI632" s="131"/>
    </row>
    <row r="633" spans="35:35">
      <c r="AI633" s="131"/>
    </row>
    <row r="634" spans="35:35">
      <c r="AI634" s="131"/>
    </row>
    <row r="635" spans="35:35">
      <c r="AI635" s="131"/>
    </row>
    <row r="636" spans="35:35">
      <c r="AI636" s="131"/>
    </row>
    <row r="637" spans="35:35">
      <c r="AI637" s="131"/>
    </row>
    <row r="638" spans="35:35">
      <c r="AI638" s="131"/>
    </row>
    <row r="639" spans="35:35">
      <c r="AI639" s="131"/>
    </row>
    <row r="640" spans="35:35">
      <c r="AI640" s="131"/>
    </row>
    <row r="641" spans="35:35">
      <c r="AI641" s="131"/>
    </row>
    <row r="642" spans="35:35">
      <c r="AI642" s="131"/>
    </row>
    <row r="643" spans="35:35">
      <c r="AI643" s="131"/>
    </row>
    <row r="644" spans="35:35">
      <c r="AI644" s="131"/>
    </row>
    <row r="645" spans="35:35">
      <c r="AI645" s="131"/>
    </row>
    <row r="646" spans="35:35">
      <c r="AI646" s="131"/>
    </row>
    <row r="647" spans="35:35">
      <c r="AI647" s="131"/>
    </row>
    <row r="648" spans="35:35">
      <c r="AI648" s="131"/>
    </row>
    <row r="649" spans="35:35">
      <c r="AI649" s="131"/>
    </row>
    <row r="650" spans="35:35">
      <c r="AI650" s="131"/>
    </row>
    <row r="651" spans="35:35">
      <c r="AI651" s="131"/>
    </row>
    <row r="652" spans="35:35">
      <c r="AI652" s="284"/>
    </row>
    <row r="653" spans="35:35">
      <c r="AI653" s="284"/>
    </row>
    <row r="654" spans="35:35">
      <c r="AI654" s="131"/>
    </row>
    <row r="655" spans="35:35">
      <c r="AI655" s="131"/>
    </row>
    <row r="656" spans="35:35">
      <c r="AI656" s="131"/>
    </row>
    <row r="657" spans="35:35">
      <c r="AI657" s="131"/>
    </row>
    <row r="658" spans="35:35">
      <c r="AI658" s="131"/>
    </row>
    <row r="659" spans="35:35">
      <c r="AI659" s="131"/>
    </row>
    <row r="660" spans="35:35">
      <c r="AI660" s="131"/>
    </row>
    <row r="661" spans="35:35">
      <c r="AI661" s="131"/>
    </row>
    <row r="662" spans="35:35">
      <c r="AI662" s="131"/>
    </row>
    <row r="663" spans="35:35">
      <c r="AI663" s="131"/>
    </row>
    <row r="664" spans="35:35">
      <c r="AI664" s="131"/>
    </row>
    <row r="665" spans="35:35">
      <c r="AI665" s="131"/>
    </row>
    <row r="666" spans="35:35">
      <c r="AI666" s="131"/>
    </row>
    <row r="667" spans="35:35">
      <c r="AI667" s="131"/>
    </row>
    <row r="668" spans="35:35">
      <c r="AI668" s="131"/>
    </row>
    <row r="669" spans="35:35">
      <c r="AI669" s="131"/>
    </row>
    <row r="670" spans="35:35">
      <c r="AI670" s="131"/>
    </row>
    <row r="671" spans="35:35">
      <c r="AI671" s="131"/>
    </row>
    <row r="672" spans="35:35">
      <c r="AI672" s="131"/>
    </row>
    <row r="673" spans="35:35">
      <c r="AI673" s="131"/>
    </row>
    <row r="674" spans="35:35">
      <c r="AI674" s="131"/>
    </row>
    <row r="675" spans="35:35">
      <c r="AI675" s="131"/>
    </row>
    <row r="676" spans="35:35">
      <c r="AI676" s="131"/>
    </row>
    <row r="677" spans="35:35">
      <c r="AI677" s="131"/>
    </row>
    <row r="678" spans="35:35">
      <c r="AI678" s="131"/>
    </row>
    <row r="679" spans="35:35">
      <c r="AI679" s="131"/>
    </row>
    <row r="680" spans="35:35">
      <c r="AI680" s="131"/>
    </row>
    <row r="681" spans="35:35">
      <c r="AI681" s="131"/>
    </row>
    <row r="682" spans="35:35">
      <c r="AI682" s="131"/>
    </row>
    <row r="683" spans="35:35">
      <c r="AI683" s="131"/>
    </row>
    <row r="684" spans="35:35">
      <c r="AI684" s="131"/>
    </row>
    <row r="685" spans="35:35">
      <c r="AI685" s="131"/>
    </row>
    <row r="686" spans="35:35">
      <c r="AI686" s="131"/>
    </row>
    <row r="687" spans="35:35">
      <c r="AI687" s="131"/>
    </row>
    <row r="688" spans="35:35">
      <c r="AI688" s="131"/>
    </row>
    <row r="689" spans="35:35">
      <c r="AI689" s="131"/>
    </row>
    <row r="690" spans="35:35">
      <c r="AI690" s="131"/>
    </row>
    <row r="691" spans="35:35">
      <c r="AI691" s="131"/>
    </row>
    <row r="692" spans="35:35">
      <c r="AI692" s="284"/>
    </row>
    <row r="693" spans="35:35">
      <c r="AI693" s="131"/>
    </row>
    <row r="694" spans="35:35">
      <c r="AI694" s="131"/>
    </row>
    <row r="695" spans="35:35">
      <c r="AI695" s="131"/>
    </row>
    <row r="696" spans="35:35">
      <c r="AI696" s="131"/>
    </row>
    <row r="697" spans="35:35">
      <c r="AI697" s="131"/>
    </row>
    <row r="698" spans="35:35">
      <c r="AI698" s="131"/>
    </row>
    <row r="699" spans="35:35">
      <c r="AI699" s="131"/>
    </row>
    <row r="700" spans="35:35">
      <c r="AI700" s="131"/>
    </row>
    <row r="701" spans="35:35">
      <c r="AI701" s="131"/>
    </row>
    <row r="702" spans="35:35">
      <c r="AI702" s="131"/>
    </row>
    <row r="703" spans="35:35">
      <c r="AI703" s="131"/>
    </row>
    <row r="704" spans="35:35">
      <c r="AI704" s="131"/>
    </row>
    <row r="705" spans="35:35">
      <c r="AI705" s="131"/>
    </row>
    <row r="706" spans="35:35">
      <c r="AI706" s="131"/>
    </row>
    <row r="707" spans="35:35">
      <c r="AI707" s="131"/>
    </row>
    <row r="708" spans="35:35">
      <c r="AI708" s="131"/>
    </row>
    <row r="709" spans="35:35">
      <c r="AI709" s="131"/>
    </row>
    <row r="710" spans="35:35">
      <c r="AI710" s="131"/>
    </row>
    <row r="711" spans="35:35">
      <c r="AI711" s="131"/>
    </row>
    <row r="712" spans="35:35">
      <c r="AI712" s="131"/>
    </row>
    <row r="713" spans="35:35">
      <c r="AI713" s="131"/>
    </row>
    <row r="714" spans="35:35">
      <c r="AI714" s="131"/>
    </row>
    <row r="715" spans="35:35">
      <c r="AI715" s="131"/>
    </row>
    <row r="716" spans="35:35">
      <c r="AI716" s="131"/>
    </row>
    <row r="717" spans="35:35">
      <c r="AI717" s="131"/>
    </row>
    <row r="718" spans="35:35">
      <c r="AI718" s="131"/>
    </row>
    <row r="719" spans="35:35">
      <c r="AI719" s="131"/>
    </row>
    <row r="720" spans="35:35">
      <c r="AI720" s="131"/>
    </row>
    <row r="721" spans="35:35">
      <c r="AI721" s="131"/>
    </row>
    <row r="722" spans="35:35">
      <c r="AI722" s="131"/>
    </row>
    <row r="723" spans="35:35">
      <c r="AI723" s="131"/>
    </row>
    <row r="724" spans="35:35">
      <c r="AI724" s="131"/>
    </row>
    <row r="725" spans="35:35">
      <c r="AI725" s="131"/>
    </row>
    <row r="726" spans="35:35">
      <c r="AI726" s="131"/>
    </row>
    <row r="727" spans="35:35">
      <c r="AI727" s="131"/>
    </row>
    <row r="728" spans="35:35">
      <c r="AI728" s="131"/>
    </row>
    <row r="729" spans="35:35">
      <c r="AI729" s="131"/>
    </row>
    <row r="730" spans="35:35">
      <c r="AI730" s="131"/>
    </row>
    <row r="731" spans="35:35">
      <c r="AI731" s="131"/>
    </row>
    <row r="732" spans="35:35">
      <c r="AI732" s="131"/>
    </row>
    <row r="733" spans="35:35">
      <c r="AI733" s="131"/>
    </row>
    <row r="734" spans="35:35">
      <c r="AI734" s="131"/>
    </row>
    <row r="735" spans="35:35">
      <c r="AI735" s="131"/>
    </row>
    <row r="736" spans="35:35">
      <c r="AI736" s="131"/>
    </row>
    <row r="737" spans="35:35">
      <c r="AI737" s="131"/>
    </row>
    <row r="738" spans="35:35">
      <c r="AI738" s="131"/>
    </row>
    <row r="739" spans="35:35">
      <c r="AI739" s="131"/>
    </row>
    <row r="740" spans="35:35">
      <c r="AI740" s="131"/>
    </row>
    <row r="741" spans="35:35">
      <c r="AI741" s="131"/>
    </row>
    <row r="742" spans="35:35">
      <c r="AI742" s="131"/>
    </row>
    <row r="743" spans="35:35">
      <c r="AI743" s="131"/>
    </row>
    <row r="744" spans="35:35">
      <c r="AI744" s="131"/>
    </row>
    <row r="745" spans="35:35">
      <c r="AI745" s="131"/>
    </row>
    <row r="746" spans="35:35">
      <c r="AI746" s="131"/>
    </row>
    <row r="747" spans="35:35">
      <c r="AI747" s="131"/>
    </row>
    <row r="748" spans="35:35">
      <c r="AI748" s="131"/>
    </row>
    <row r="749" spans="35:35">
      <c r="AI749" s="131"/>
    </row>
    <row r="750" spans="35:35">
      <c r="AI750" s="284"/>
    </row>
    <row r="751" spans="35:35">
      <c r="AI751" s="131"/>
    </row>
    <row r="752" spans="35:35">
      <c r="AI752" s="131"/>
    </row>
    <row r="753" spans="35:35">
      <c r="AI753" s="131"/>
    </row>
    <row r="754" spans="35:35">
      <c r="AI754" s="131"/>
    </row>
    <row r="755" spans="35:35">
      <c r="AI755" s="131"/>
    </row>
    <row r="756" spans="35:35">
      <c r="AI756" s="131"/>
    </row>
    <row r="757" spans="35:35">
      <c r="AI757" s="131"/>
    </row>
    <row r="758" spans="35:35">
      <c r="AI758" s="131"/>
    </row>
    <row r="759" spans="35:35">
      <c r="AI759" s="131"/>
    </row>
    <row r="760" spans="35:35">
      <c r="AI760" s="131"/>
    </row>
    <row r="761" spans="35:35">
      <c r="AI761" s="131"/>
    </row>
    <row r="762" spans="35:35">
      <c r="AI762" s="131"/>
    </row>
    <row r="763" spans="35:35">
      <c r="AI763" s="131"/>
    </row>
    <row r="764" spans="35:35">
      <c r="AI764" s="131"/>
    </row>
    <row r="765" spans="35:35">
      <c r="AI765" s="131"/>
    </row>
    <row r="766" spans="35:35">
      <c r="AI766" s="131"/>
    </row>
    <row r="767" spans="35:35">
      <c r="AI767" s="131"/>
    </row>
    <row r="768" spans="35:35">
      <c r="AI768" s="131"/>
    </row>
    <row r="769" spans="35:35">
      <c r="AI769" s="131"/>
    </row>
    <row r="770" spans="35:35">
      <c r="AI770" s="131"/>
    </row>
    <row r="771" spans="35:35">
      <c r="AI771" s="131"/>
    </row>
    <row r="772" spans="35:35">
      <c r="AI772" s="131"/>
    </row>
    <row r="773" spans="35:35">
      <c r="AI773" s="131"/>
    </row>
    <row r="774" spans="35:35">
      <c r="AI774" s="131"/>
    </row>
    <row r="775" spans="35:35">
      <c r="AI775" s="131"/>
    </row>
    <row r="776" spans="35:35">
      <c r="AI776" s="131"/>
    </row>
    <row r="777" spans="35:35">
      <c r="AI777" s="131"/>
    </row>
    <row r="778" spans="35:35">
      <c r="AI778" s="131"/>
    </row>
    <row r="779" spans="35:35">
      <c r="AI779" s="131"/>
    </row>
    <row r="780" spans="35:35">
      <c r="AI780" s="131"/>
    </row>
    <row r="781" spans="35:35">
      <c r="AI781" s="131"/>
    </row>
    <row r="782" spans="35:35">
      <c r="AI782" s="131"/>
    </row>
    <row r="783" spans="35:35">
      <c r="AI783" s="131"/>
    </row>
    <row r="784" spans="35:35">
      <c r="AI784" s="131"/>
    </row>
    <row r="785" spans="35:35">
      <c r="AI785" s="131"/>
    </row>
    <row r="786" spans="35:35">
      <c r="AI786" s="131"/>
    </row>
    <row r="787" spans="35:35">
      <c r="AI787" s="131"/>
    </row>
    <row r="788" spans="35:35">
      <c r="AI788" s="131"/>
    </row>
    <row r="789" spans="35:35">
      <c r="AI789" s="131"/>
    </row>
    <row r="790" spans="35:35">
      <c r="AI790" s="131"/>
    </row>
    <row r="791" spans="35:35">
      <c r="AI791" s="131"/>
    </row>
    <row r="792" spans="35:35">
      <c r="AI792" s="131"/>
    </row>
    <row r="793" spans="35:35">
      <c r="AI793" s="131"/>
    </row>
    <row r="794" spans="35:35">
      <c r="AI794" s="131"/>
    </row>
    <row r="795" spans="35:35">
      <c r="AI795" s="131"/>
    </row>
    <row r="796" spans="35:35">
      <c r="AI796" s="131"/>
    </row>
    <row r="797" spans="35:35">
      <c r="AI797" s="131"/>
    </row>
    <row r="798" spans="35:35">
      <c r="AI798" s="131"/>
    </row>
    <row r="799" spans="35:35">
      <c r="AI799" s="131"/>
    </row>
    <row r="800" spans="35:35">
      <c r="AI800" s="131"/>
    </row>
    <row r="801" spans="35:35">
      <c r="AI801" s="131"/>
    </row>
    <row r="802" spans="35:35">
      <c r="AI802" s="131"/>
    </row>
    <row r="803" spans="35:35">
      <c r="AI803" s="131"/>
    </row>
    <row r="804" spans="35:35">
      <c r="AI804" s="131"/>
    </row>
    <row r="805" spans="35:35">
      <c r="AI805" s="131"/>
    </row>
    <row r="806" spans="35:35">
      <c r="AI806" s="131"/>
    </row>
    <row r="807" spans="35:35">
      <c r="AI807" s="284"/>
    </row>
    <row r="808" spans="35:35">
      <c r="AI808" s="131"/>
    </row>
    <row r="809" spans="35:35">
      <c r="AI809" s="131"/>
    </row>
    <row r="810" spans="35:35">
      <c r="AI810" s="131"/>
    </row>
    <row r="811" spans="35:35">
      <c r="AI811" s="131"/>
    </row>
    <row r="812" spans="35:35">
      <c r="AI812" s="131"/>
    </row>
    <row r="813" spans="35:35">
      <c r="AI813" s="131"/>
    </row>
    <row r="814" spans="35:35">
      <c r="AI814" s="131"/>
    </row>
    <row r="815" spans="35:35">
      <c r="AI815" s="131"/>
    </row>
    <row r="816" spans="35:35">
      <c r="AI816" s="131"/>
    </row>
    <row r="817" spans="35:35">
      <c r="AI817" s="131"/>
    </row>
    <row r="818" spans="35:35">
      <c r="AI818" s="131"/>
    </row>
    <row r="819" spans="35:35">
      <c r="AI819" s="131"/>
    </row>
    <row r="820" spans="35:35">
      <c r="AI820" s="131"/>
    </row>
    <row r="821" spans="35:35">
      <c r="AI821" s="131"/>
    </row>
    <row r="822" spans="35:35">
      <c r="AI822" s="131"/>
    </row>
    <row r="823" spans="35:35">
      <c r="AI823" s="131"/>
    </row>
    <row r="824" spans="35:35">
      <c r="AI824" s="131"/>
    </row>
    <row r="825" spans="35:35">
      <c r="AI825" s="131"/>
    </row>
    <row r="826" spans="35:35">
      <c r="AI826" s="131"/>
    </row>
    <row r="827" spans="35:35">
      <c r="AI827" s="131"/>
    </row>
    <row r="828" spans="35:35">
      <c r="AI828" s="131"/>
    </row>
    <row r="829" spans="35:35">
      <c r="AI829" s="131"/>
    </row>
    <row r="830" spans="35:35">
      <c r="AI830" s="131"/>
    </row>
    <row r="831" spans="35:35">
      <c r="AI831" s="131"/>
    </row>
    <row r="832" spans="35:35">
      <c r="AI832" s="131"/>
    </row>
    <row r="833" spans="35:35">
      <c r="AI833" s="131"/>
    </row>
    <row r="834" spans="35:35">
      <c r="AI834" s="131"/>
    </row>
    <row r="835" spans="35:35">
      <c r="AI835" s="253"/>
    </row>
    <row r="836" spans="35:35">
      <c r="AI836" s="131"/>
    </row>
    <row r="837" spans="35:35">
      <c r="AI837" s="131"/>
    </row>
    <row r="838" spans="35:35">
      <c r="AI838" s="131"/>
    </row>
    <row r="839" spans="35:35">
      <c r="AI839" s="131"/>
    </row>
    <row r="840" spans="35:35">
      <c r="AI840" s="131"/>
    </row>
    <row r="841" spans="35:35">
      <c r="AI841" s="131"/>
    </row>
    <row r="842" spans="35:35">
      <c r="AI842" s="131"/>
    </row>
    <row r="843" spans="35:35">
      <c r="AI843" s="131"/>
    </row>
    <row r="844" spans="35:35">
      <c r="AI844" s="131"/>
    </row>
    <row r="845" spans="35:35">
      <c r="AI845" s="131"/>
    </row>
    <row r="846" spans="35:35">
      <c r="AI846" s="131"/>
    </row>
    <row r="847" spans="35:35">
      <c r="AI847" s="131"/>
    </row>
    <row r="848" spans="35:35">
      <c r="AI848" s="131"/>
    </row>
    <row r="849" spans="35:35">
      <c r="AI849" s="284"/>
    </row>
    <row r="850" spans="35:35">
      <c r="AI850" s="131"/>
    </row>
    <row r="851" spans="35:35">
      <c r="AI851" s="131"/>
    </row>
    <row r="852" spans="35:35">
      <c r="AI852" s="131"/>
    </row>
    <row r="853" spans="35:35">
      <c r="AI853" s="131"/>
    </row>
    <row r="854" spans="35:35">
      <c r="AI854" s="131"/>
    </row>
    <row r="855" spans="35:35">
      <c r="AI855" s="131"/>
    </row>
    <row r="856" spans="35:35">
      <c r="AI856" s="131"/>
    </row>
    <row r="857" spans="35:35">
      <c r="AI857" s="131"/>
    </row>
    <row r="859" spans="35:35">
      <c r="AI859" s="131"/>
    </row>
    <row r="860" spans="35:35">
      <c r="AI860" s="131"/>
    </row>
    <row r="861" spans="35:35">
      <c r="AI861" s="284"/>
    </row>
    <row r="862" spans="35:35">
      <c r="AI862" s="131"/>
    </row>
    <row r="863" spans="35:35">
      <c r="AI863" s="284"/>
    </row>
    <row r="864" spans="35:35">
      <c r="AI864" s="131"/>
    </row>
    <row r="865" spans="35:35">
      <c r="AI865" s="131"/>
    </row>
    <row r="866" spans="35:35">
      <c r="AI866" s="131"/>
    </row>
    <row r="867" spans="35:35">
      <c r="AI867" s="284"/>
    </row>
    <row r="868" spans="35:35">
      <c r="AI868" s="128"/>
    </row>
    <row r="870" spans="35:35">
      <c r="AI870" s="131"/>
    </row>
    <row r="871" spans="35:35">
      <c r="AI871" s="284"/>
    </row>
    <row r="872" spans="35:35">
      <c r="AI872" s="131"/>
    </row>
    <row r="873" spans="35:35">
      <c r="AI873" s="131"/>
    </row>
    <row r="874" spans="35:35">
      <c r="AI874" s="284"/>
    </row>
    <row r="875" spans="35:35">
      <c r="AI875" s="131"/>
    </row>
    <row r="876" spans="35:35">
      <c r="AI876" s="131"/>
    </row>
    <row r="877" spans="35:35">
      <c r="AI877" s="131"/>
    </row>
    <row r="878" spans="35:35">
      <c r="AI878" s="131"/>
    </row>
    <row r="879" spans="35:35">
      <c r="AI879" s="131"/>
    </row>
    <row r="880" spans="35:35">
      <c r="AI880" s="284"/>
    </row>
    <row r="881" spans="35:35">
      <c r="AI881" s="131"/>
    </row>
    <row r="882" spans="35:35">
      <c r="AI882" s="131"/>
    </row>
    <row r="883" spans="35:35">
      <c r="AI883" s="131"/>
    </row>
    <row r="884" spans="35:35">
      <c r="AI884" s="131"/>
    </row>
    <row r="886" spans="35:35">
      <c r="AI886" s="284"/>
    </row>
    <row r="887" spans="35:35">
      <c r="AI887" s="131"/>
    </row>
    <row r="888" spans="35:35">
      <c r="AI888" s="131"/>
    </row>
    <row r="889" spans="35:35">
      <c r="AI889" s="131"/>
    </row>
    <row r="890" spans="35:35">
      <c r="AI890" s="131"/>
    </row>
    <row r="891" spans="35:35">
      <c r="AI891" s="131"/>
    </row>
    <row r="892" spans="35:35">
      <c r="AI892" s="131"/>
    </row>
    <row r="893" spans="35:35">
      <c r="AI893" s="131"/>
    </row>
    <row r="894" spans="35:35">
      <c r="AI894" s="131"/>
    </row>
    <row r="895" spans="35:35">
      <c r="AI895" s="27"/>
    </row>
    <row r="896" spans="35:35">
      <c r="AI896" s="131"/>
    </row>
    <row r="897" spans="35:35">
      <c r="AI897" s="131"/>
    </row>
    <row r="898" spans="35:35">
      <c r="AI898" s="131"/>
    </row>
    <row r="899" spans="35:35">
      <c r="AI899" s="131"/>
    </row>
    <row r="900" spans="35:35">
      <c r="AI900" s="131"/>
    </row>
    <row r="901" spans="35:35">
      <c r="AI901" s="131"/>
    </row>
    <row r="902" spans="35:35">
      <c r="AI902" s="131"/>
    </row>
    <row r="903" spans="35:35">
      <c r="AI903" s="284"/>
    </row>
    <row r="904" spans="35:35">
      <c r="AI904" s="131"/>
    </row>
    <row r="905" spans="35:35">
      <c r="AI905" s="131"/>
    </row>
    <row r="906" spans="35:35">
      <c r="AI906" s="131"/>
    </row>
    <row r="907" spans="35:35">
      <c r="AI907" s="131"/>
    </row>
    <row r="908" spans="35:35">
      <c r="AI908" s="131"/>
    </row>
    <row r="909" spans="35:35">
      <c r="AI909" s="131"/>
    </row>
    <row r="910" spans="35:35">
      <c r="AI910" s="284"/>
    </row>
    <row r="911" spans="35:35">
      <c r="AI911" s="131"/>
    </row>
    <row r="912" spans="35:35">
      <c r="AI912" s="131"/>
    </row>
    <row r="913" spans="35:35">
      <c r="AI913" s="131"/>
    </row>
    <row r="914" spans="35:35">
      <c r="AI914" s="131"/>
    </row>
    <row r="915" spans="35:35">
      <c r="AI915" s="131"/>
    </row>
    <row r="916" spans="35:35">
      <c r="AI916" s="131"/>
    </row>
    <row r="917" spans="35:35">
      <c r="AI917" s="131"/>
    </row>
    <row r="918" spans="35:35">
      <c r="AI918" s="284"/>
    </row>
    <row r="919" spans="35:35">
      <c r="AI919" s="131"/>
    </row>
    <row r="920" spans="35:35">
      <c r="AI920" s="131"/>
    </row>
    <row r="921" spans="35:35">
      <c r="AI921" s="131"/>
    </row>
    <row r="922" spans="35:35">
      <c r="AI922" s="131"/>
    </row>
    <row r="923" spans="35:35">
      <c r="AI923" s="131"/>
    </row>
    <row r="924" spans="35:35">
      <c r="AI924" s="131"/>
    </row>
    <row r="925" spans="35:35">
      <c r="AI925" s="131"/>
    </row>
    <row r="926" spans="35:35">
      <c r="AI926" s="131"/>
    </row>
    <row r="927" spans="35:35">
      <c r="AI927" s="131"/>
    </row>
    <row r="928" spans="35:35">
      <c r="AI928" s="128"/>
    </row>
    <row r="929" spans="35:35">
      <c r="AI929" s="128"/>
    </row>
    <row r="930" spans="35:35">
      <c r="AI930" s="131"/>
    </row>
    <row r="931" spans="35:35">
      <c r="AI931" s="131"/>
    </row>
    <row r="932" spans="35:35">
      <c r="AI932" s="131"/>
    </row>
    <row r="933" spans="35:35">
      <c r="AI933" s="131"/>
    </row>
    <row r="934" spans="35:35">
      <c r="AI934" s="131"/>
    </row>
    <row r="935" spans="35:35">
      <c r="AI935" s="131"/>
    </row>
    <row r="936" spans="35:35">
      <c r="AI936" s="131"/>
    </row>
    <row r="937" spans="35:35">
      <c r="AI937" s="131"/>
    </row>
    <row r="938" spans="35:35">
      <c r="AI938" s="131"/>
    </row>
    <row r="939" spans="35:35">
      <c r="AI939" s="131"/>
    </row>
    <row r="940" spans="35:35">
      <c r="AI940" s="131"/>
    </row>
    <row r="941" spans="35:35">
      <c r="AI941" s="284"/>
    </row>
    <row r="942" spans="35:35">
      <c r="AI942" s="131"/>
    </row>
    <row r="943" spans="35:35">
      <c r="AI943" s="131"/>
    </row>
    <row r="944" spans="35:35">
      <c r="AI944" s="284"/>
    </row>
    <row r="945" spans="35:35">
      <c r="AI945" s="131"/>
    </row>
    <row r="946" spans="35:35">
      <c r="AI946" s="131"/>
    </row>
    <row r="947" spans="35:35">
      <c r="AI947" s="131"/>
    </row>
    <row r="948" spans="35:35">
      <c r="AI948" s="44"/>
    </row>
    <row r="950" spans="35:35">
      <c r="AI950" s="131"/>
    </row>
    <row r="951" spans="35:35">
      <c r="AI951" s="131"/>
    </row>
    <row r="952" spans="35:35">
      <c r="AI952" s="131"/>
    </row>
    <row r="953" spans="35:35">
      <c r="AI953" s="131"/>
    </row>
    <row r="954" spans="35:35">
      <c r="AI954" s="131"/>
    </row>
    <row r="955" spans="35:35">
      <c r="AI955" s="131"/>
    </row>
    <row r="956" spans="35:35">
      <c r="AI956" s="131"/>
    </row>
    <row r="957" spans="35:35">
      <c r="AI957" s="131"/>
    </row>
    <row r="958" spans="35:35">
      <c r="AI958" s="128"/>
    </row>
    <row r="959" spans="35:35">
      <c r="AI959" s="131"/>
    </row>
    <row r="960" spans="35:35">
      <c r="AI960" s="131"/>
    </row>
    <row r="961" spans="35:35">
      <c r="AI961" s="131"/>
    </row>
    <row r="962" spans="35:35">
      <c r="AI962" s="131"/>
    </row>
    <row r="963" spans="35:35">
      <c r="AI963" s="131"/>
    </row>
    <row r="964" spans="35:35">
      <c r="AI964" s="131"/>
    </row>
    <row r="965" spans="35:35">
      <c r="AI965" s="131"/>
    </row>
    <row r="966" spans="35:35">
      <c r="AI966" s="131"/>
    </row>
    <row r="968" spans="35:35">
      <c r="AI968" s="131"/>
    </row>
    <row r="969" spans="35:35">
      <c r="AI969" s="131"/>
    </row>
    <row r="970" spans="35:35">
      <c r="AI970" s="131"/>
    </row>
    <row r="971" spans="35:35">
      <c r="AI971" s="131"/>
    </row>
    <row r="972" spans="35:35">
      <c r="AI972" s="284"/>
    </row>
    <row r="973" spans="35:35">
      <c r="AI973" s="131"/>
    </row>
    <row r="974" spans="35:35">
      <c r="AI974" s="131"/>
    </row>
    <row r="975" spans="35:35">
      <c r="AI975" s="131"/>
    </row>
    <row r="976" spans="35:35">
      <c r="AI976" s="131"/>
    </row>
    <row r="977" spans="35:35">
      <c r="AI977" s="131"/>
    </row>
    <row r="978" spans="35:35">
      <c r="AI978" s="131"/>
    </row>
    <row r="979" spans="35:35">
      <c r="AI979" s="128"/>
    </row>
    <row r="980" spans="35:35">
      <c r="AI980" s="131"/>
    </row>
    <row r="981" spans="35:35">
      <c r="AI981" s="284"/>
    </row>
    <row r="982" spans="35:35">
      <c r="AI982" s="131"/>
    </row>
    <row r="983" spans="35:35">
      <c r="AI983" s="131"/>
    </row>
    <row r="984" spans="35:35">
      <c r="AI984" s="131"/>
    </row>
    <row r="985" spans="35:35">
      <c r="AI985" s="131"/>
    </row>
    <row r="986" spans="35:35">
      <c r="AI986" s="131"/>
    </row>
    <row r="987" spans="35:35">
      <c r="AI987" s="131"/>
    </row>
    <row r="988" spans="35:35">
      <c r="AI988" s="131"/>
    </row>
    <row r="989" spans="35:35">
      <c r="AI989" s="131"/>
    </row>
    <row r="990" spans="35:35">
      <c r="AI990" s="131"/>
    </row>
    <row r="991" spans="35:35">
      <c r="AI991" s="131"/>
    </row>
    <row r="992" spans="35:35">
      <c r="AI992" s="131"/>
    </row>
    <row r="993" spans="35:35">
      <c r="AI993" s="131"/>
    </row>
    <row r="994" spans="35:35">
      <c r="AI994" s="131"/>
    </row>
    <row r="995" spans="35:35">
      <c r="AI995" s="131"/>
    </row>
    <row r="996" spans="35:35">
      <c r="AI996" s="131"/>
    </row>
    <row r="997" spans="35:35">
      <c r="AI997" s="131"/>
    </row>
    <row r="998" spans="35:35">
      <c r="AI998" s="131"/>
    </row>
    <row r="999" spans="35:35">
      <c r="AI999" s="131"/>
    </row>
    <row r="1000" spans="35:35">
      <c r="AI1000" s="128"/>
    </row>
    <row r="1001" spans="35:35">
      <c r="AI1001" s="131"/>
    </row>
    <row r="1002" spans="35:35">
      <c r="AI1002" s="131"/>
    </row>
    <row r="1003" spans="35:35">
      <c r="AI1003" s="131"/>
    </row>
    <row r="1004" spans="35:35">
      <c r="AI1004" s="131"/>
    </row>
    <row r="1005" spans="35:35">
      <c r="AI1005" s="131"/>
    </row>
    <row r="1006" spans="35:35">
      <c r="AI1006" s="28"/>
    </row>
    <row r="1007" spans="35:35">
      <c r="AI1007" s="128"/>
    </row>
    <row r="1008" spans="35:35">
      <c r="AI1008" s="284"/>
    </row>
    <row r="1009" spans="35:35">
      <c r="AI1009" s="284"/>
    </row>
    <row r="1010" spans="35:35">
      <c r="AI1010" s="131"/>
    </row>
    <row r="1011" spans="35:35">
      <c r="AI1011" s="128"/>
    </row>
    <row r="1012" spans="35:35">
      <c r="AI1012" s="131"/>
    </row>
    <row r="1013" spans="35:35">
      <c r="AI1013" s="131"/>
    </row>
    <row r="1014" spans="35:35">
      <c r="AI1014" s="131"/>
    </row>
    <row r="1015" spans="35:35">
      <c r="AI1015" s="44"/>
    </row>
    <row r="1016" spans="35:35">
      <c r="AI1016" s="131"/>
    </row>
    <row r="1018" spans="35:35">
      <c r="AI1018" s="131"/>
    </row>
    <row r="1019" spans="35:35">
      <c r="AI1019" s="128"/>
    </row>
    <row r="1020" spans="35:35">
      <c r="AI1020" s="131"/>
    </row>
    <row r="1021" spans="35:35">
      <c r="AI1021" s="131"/>
    </row>
    <row r="1022" spans="35:35">
      <c r="AI1022" s="128"/>
    </row>
    <row r="1023" spans="35:35">
      <c r="AI1023" s="131"/>
    </row>
    <row r="1024" spans="35:35">
      <c r="AI1024" s="131"/>
    </row>
    <row r="1025" spans="35:36">
      <c r="AI1025" s="131"/>
    </row>
    <row r="1026" spans="35:36">
      <c r="AI1026" s="131"/>
    </row>
    <row r="1027" spans="35:36">
      <c r="AI1027" s="131"/>
    </row>
    <row r="1028" spans="35:36">
      <c r="AI1028" s="131"/>
    </row>
    <row r="1029" spans="35:36">
      <c r="AI1029" s="131"/>
    </row>
    <row r="1030" spans="35:36">
      <c r="AI1030" s="131"/>
    </row>
    <row r="1031" spans="35:36">
      <c r="AI1031" s="131"/>
    </row>
    <row r="1032" spans="35:36">
      <c r="AI1032" s="131"/>
    </row>
    <row r="1033" spans="35:36">
      <c r="AI1033" s="284"/>
    </row>
    <row r="1034" spans="35:36">
      <c r="AI1034" s="131"/>
    </row>
    <row r="1035" spans="35:36">
      <c r="AI1035" s="131"/>
    </row>
    <row r="1036" spans="35:36">
      <c r="AI1036" s="131"/>
    </row>
    <row r="1037" spans="35:36">
      <c r="AI1037" s="131"/>
    </row>
    <row r="1038" spans="35:36">
      <c r="AI1038" s="131"/>
      <c r="AJ1038" s="264" t="s">
        <v>5277</v>
      </c>
    </row>
    <row r="1039" spans="35:36">
      <c r="AI1039" s="131"/>
    </row>
    <row r="1040" spans="35:36">
      <c r="AI1040" s="128"/>
    </row>
    <row r="1041" spans="35:35">
      <c r="AI1041" s="131"/>
    </row>
    <row r="1042" spans="35:35">
      <c r="AI1042" s="131"/>
    </row>
    <row r="1043" spans="35:35">
      <c r="AI1043" s="131"/>
    </row>
    <row r="1044" spans="35:35">
      <c r="AI1044" s="131"/>
    </row>
    <row r="1045" spans="35:35">
      <c r="AI1045" s="284"/>
    </row>
    <row r="1047" spans="35:35">
      <c r="AI1047" s="131"/>
    </row>
    <row r="1048" spans="35:35">
      <c r="AI1048" s="131"/>
    </row>
    <row r="1049" spans="35:35">
      <c r="AI1049" s="131"/>
    </row>
    <row r="1050" spans="35:35">
      <c r="AI1050" s="28"/>
    </row>
    <row r="1051" spans="35:35">
      <c r="AI1051" s="131"/>
    </row>
    <row r="1052" spans="35:35">
      <c r="AI1052" s="284"/>
    </row>
    <row r="1053" spans="35:35">
      <c r="AI1053" s="128"/>
    </row>
    <row r="1054" spans="35:35">
      <c r="AI1054" s="131"/>
    </row>
    <row r="1055" spans="35:35">
      <c r="AI1055" s="131"/>
    </row>
    <row r="1056" spans="35:35">
      <c r="AI1056" s="131"/>
    </row>
    <row r="1057" spans="35:35">
      <c r="AI1057" s="131"/>
    </row>
    <row r="1058" spans="35:35">
      <c r="AI1058" s="131"/>
    </row>
    <row r="1059" spans="35:35">
      <c r="AI1059" s="131"/>
    </row>
    <row r="1060" spans="35:35">
      <c r="AI1060" s="131"/>
    </row>
    <row r="1061" spans="35:35">
      <c r="AI1061" s="131"/>
    </row>
    <row r="1062" spans="35:35">
      <c r="AI1062" s="131"/>
    </row>
    <row r="1063" spans="35:35">
      <c r="AI1063" s="131"/>
    </row>
    <row r="1064" spans="35:35">
      <c r="AI1064" s="131"/>
    </row>
    <row r="1065" spans="35:35">
      <c r="AI1065" s="131"/>
    </row>
    <row r="1066" spans="35:35">
      <c r="AI1066" s="131"/>
    </row>
    <row r="1067" spans="35:35">
      <c r="AI1067" s="284"/>
    </row>
    <row r="1069" spans="35:35">
      <c r="AI1069" s="131"/>
    </row>
    <row r="1070" spans="35:35">
      <c r="AI1070" s="131"/>
    </row>
    <row r="1071" spans="35:35">
      <c r="AI1071" s="131"/>
    </row>
    <row r="1072" spans="35:35">
      <c r="AI1072" s="131"/>
    </row>
    <row r="1073" spans="35:35">
      <c r="AI1073" s="131"/>
    </row>
    <row r="1074" spans="35:35">
      <c r="AI1074" s="131"/>
    </row>
    <row r="1075" spans="35:35">
      <c r="AI1075" s="131"/>
    </row>
    <row r="1076" spans="35:35">
      <c r="AI1076" s="131"/>
    </row>
    <row r="1077" spans="35:35">
      <c r="AI1077" s="131"/>
    </row>
    <row r="1078" spans="35:35">
      <c r="AI1078" s="131"/>
    </row>
    <row r="1079" spans="35:35">
      <c r="AI1079" s="131"/>
    </row>
    <row r="1080" spans="35:35">
      <c r="AI1080" s="131"/>
    </row>
    <row r="1081" spans="35:35">
      <c r="AI1081" s="131"/>
    </row>
    <row r="1082" spans="35:35">
      <c r="AI1082" s="131"/>
    </row>
    <row r="1084" spans="35:35">
      <c r="AI1084" s="131"/>
    </row>
    <row r="1085" spans="35:35">
      <c r="AI1085" s="128"/>
    </row>
    <row r="1086" spans="35:35">
      <c r="AI1086" s="131"/>
    </row>
    <row r="1087" spans="35:35">
      <c r="AI1087" s="131"/>
    </row>
    <row r="1088" spans="35:35">
      <c r="AI1088" s="131"/>
    </row>
    <row r="1089" spans="35:35">
      <c r="AI1089" s="131"/>
    </row>
    <row r="1090" spans="35:35">
      <c r="AI1090" s="131"/>
    </row>
    <row r="1091" spans="35:35">
      <c r="AI1091" s="131"/>
    </row>
    <row r="1093" spans="35:35">
      <c r="AI1093" s="131"/>
    </row>
    <row r="1094" spans="35:35">
      <c r="AI1094" s="131"/>
    </row>
    <row r="1095" spans="35:35">
      <c r="AI1095" s="131"/>
    </row>
    <row r="1096" spans="35:35">
      <c r="AI1096" s="131"/>
    </row>
    <row r="1097" spans="35:35">
      <c r="AI1097" s="131"/>
    </row>
    <row r="1098" spans="35:35">
      <c r="AI1098" s="131"/>
    </row>
    <row r="1099" spans="35:35">
      <c r="AI1099" s="131"/>
    </row>
    <row r="1100" spans="35:35">
      <c r="AI1100" s="131"/>
    </row>
    <row r="1101" spans="35:35">
      <c r="AI1101" s="131"/>
    </row>
    <row r="1102" spans="35:35">
      <c r="AI1102" s="128"/>
    </row>
    <row r="1103" spans="35:35">
      <c r="AI1103" s="131"/>
    </row>
    <row r="1104" spans="35:35">
      <c r="AI1104" s="131"/>
    </row>
    <row r="1105" spans="35:35">
      <c r="AI1105" s="131"/>
    </row>
    <row r="1107" spans="35:35">
      <c r="AI1107" s="131"/>
    </row>
    <row r="1108" spans="35:35">
      <c r="AI1108" s="131"/>
    </row>
    <row r="1109" spans="35:35">
      <c r="AI1109" s="284"/>
    </row>
    <row r="1110" spans="35:35">
      <c r="AI1110" s="131"/>
    </row>
    <row r="1111" spans="35:35">
      <c r="AI1111" s="284"/>
    </row>
    <row r="1112" spans="35:35">
      <c r="AI1112" s="131"/>
    </row>
    <row r="1113" spans="35:35">
      <c r="AI1113" s="131"/>
    </row>
    <row r="1114" spans="35:35">
      <c r="AI1114" s="131"/>
    </row>
    <row r="1115" spans="35:35">
      <c r="AI1115" s="284"/>
    </row>
    <row r="1116" spans="35:35">
      <c r="AI1116" s="284"/>
    </row>
    <row r="1117" spans="35:35">
      <c r="AI1117" s="131"/>
    </row>
    <row r="1118" spans="35:35">
      <c r="AI1118" s="131"/>
    </row>
    <row r="1119" spans="35:35">
      <c r="AI1119" s="131"/>
    </row>
    <row r="1120" spans="35:35">
      <c r="AI1120" s="131"/>
    </row>
    <row r="1121" spans="35:35">
      <c r="AI1121" s="284"/>
    </row>
    <row r="1122" spans="35:35">
      <c r="AI1122" s="131"/>
    </row>
    <row r="1123" spans="35:35">
      <c r="AI1123" s="284"/>
    </row>
    <row r="1124" spans="35:35">
      <c r="AI1124" s="131"/>
    </row>
    <row r="1125" spans="35:35">
      <c r="AI1125" s="284"/>
    </row>
    <row r="1126" spans="35:35">
      <c r="AI1126" s="131"/>
    </row>
    <row r="1127" spans="35:35">
      <c r="AI1127" s="131"/>
    </row>
    <row r="1128" spans="35:35">
      <c r="AI1128" s="131"/>
    </row>
    <row r="1129" spans="35:35">
      <c r="AI1129" s="131"/>
    </row>
    <row r="1130" spans="35:35">
      <c r="AI1130" s="131"/>
    </row>
    <row r="1131" spans="35:35">
      <c r="AI1131" s="131"/>
    </row>
    <row r="1132" spans="35:35">
      <c r="AI1132" s="131"/>
    </row>
    <row r="1133" spans="35:35">
      <c r="AI1133" s="131"/>
    </row>
    <row r="1134" spans="35:35">
      <c r="AI1134" s="131"/>
    </row>
    <row r="1135" spans="35:35">
      <c r="AI1135" s="131"/>
    </row>
    <row r="1136" spans="35:35">
      <c r="AI1136" s="131"/>
    </row>
    <row r="1137" spans="35:35">
      <c r="AI1137" s="131"/>
    </row>
    <row r="1138" spans="35:35">
      <c r="AI1138" s="131"/>
    </row>
    <row r="1139" spans="35:35">
      <c r="AI1139" s="131"/>
    </row>
    <row r="1140" spans="35:35">
      <c r="AI1140" s="131"/>
    </row>
    <row r="1141" spans="35:35">
      <c r="AI1141" s="131"/>
    </row>
    <row r="1142" spans="35:35">
      <c r="AI1142" s="284"/>
    </row>
    <row r="1143" spans="35:35">
      <c r="AI1143" s="131"/>
    </row>
    <row r="1144" spans="35:35">
      <c r="AI1144" s="131"/>
    </row>
    <row r="1145" spans="35:35">
      <c r="AI1145" s="131"/>
    </row>
    <row r="1146" spans="35:35">
      <c r="AI1146" s="131"/>
    </row>
    <row r="1147" spans="35:35">
      <c r="AI1147" s="131"/>
    </row>
    <row r="1148" spans="35:35">
      <c r="AI1148" s="131"/>
    </row>
    <row r="1149" spans="35:35">
      <c r="AI1149" s="131"/>
    </row>
    <row r="1150" spans="35:35">
      <c r="AI1150" s="284"/>
    </row>
    <row r="1151" spans="35:35">
      <c r="AI1151" s="131"/>
    </row>
    <row r="1152" spans="35:35">
      <c r="AI1152" s="131"/>
    </row>
    <row r="1153" spans="35:35">
      <c r="AI1153" s="131"/>
    </row>
    <row r="1154" spans="35:35">
      <c r="AI1154" s="131"/>
    </row>
    <row r="1155" spans="35:35">
      <c r="AI1155" s="131"/>
    </row>
    <row r="1156" spans="35:35">
      <c r="AI1156" s="131"/>
    </row>
    <row r="1157" spans="35:35">
      <c r="AI1157" s="131"/>
    </row>
    <row r="1158" spans="35:35">
      <c r="AI1158" s="131"/>
    </row>
    <row r="1159" spans="35:35">
      <c r="AI1159" s="131"/>
    </row>
    <row r="1160" spans="35:35">
      <c r="AI1160" s="131"/>
    </row>
    <row r="1161" spans="35:35">
      <c r="AI1161" s="128"/>
    </row>
    <row r="1162" spans="35:35">
      <c r="AI1162" s="131"/>
    </row>
    <row r="1163" spans="35:35">
      <c r="AI1163" s="131"/>
    </row>
    <row r="1164" spans="35:35">
      <c r="AI1164" s="284"/>
    </row>
    <row r="1165" spans="35:35">
      <c r="AI1165" s="131"/>
    </row>
    <row r="1166" spans="35:35">
      <c r="AI1166" s="131"/>
    </row>
    <row r="1167" spans="35:35">
      <c r="AI1167" s="131"/>
    </row>
    <row r="1168" spans="35:35">
      <c r="AI1168" s="131"/>
    </row>
    <row r="1169" spans="35:35">
      <c r="AI1169" s="131"/>
    </row>
    <row r="1170" spans="35:35">
      <c r="AI1170" s="131"/>
    </row>
    <row r="1171" spans="35:35">
      <c r="AI1171" s="131"/>
    </row>
    <row r="1172" spans="35:35">
      <c r="AI1172" s="284"/>
    </row>
    <row r="1173" spans="35:35">
      <c r="AI1173" s="284"/>
    </row>
    <row r="1174" spans="35:35">
      <c r="AI1174" s="131"/>
    </row>
    <row r="1175" spans="35:35">
      <c r="AI1175" s="284"/>
    </row>
    <row r="1176" spans="35:35">
      <c r="AI1176" s="131"/>
    </row>
    <row r="1177" spans="35:35">
      <c r="AI1177" s="131"/>
    </row>
    <row r="1178" spans="35:35">
      <c r="AI1178" s="131"/>
    </row>
    <row r="1179" spans="35:35">
      <c r="AI1179" s="131"/>
    </row>
    <row r="1180" spans="35:35">
      <c r="AI1180" s="131"/>
    </row>
    <row r="1181" spans="35:35">
      <c r="AI1181" s="131"/>
    </row>
    <row r="1182" spans="35:35">
      <c r="AI1182" s="131"/>
    </row>
    <row r="1183" spans="35:35">
      <c r="AI1183" s="284"/>
    </row>
    <row r="1184" spans="35:35">
      <c r="AI1184" s="131"/>
    </row>
    <row r="1185" spans="35:35">
      <c r="AI1185" s="131"/>
    </row>
    <row r="1186" spans="35:35">
      <c r="AI1186" s="131"/>
    </row>
    <row r="1187" spans="35:35">
      <c r="AI1187" s="131"/>
    </row>
    <row r="1188" spans="35:35">
      <c r="AI1188" s="131"/>
    </row>
    <row r="1189" spans="35:35">
      <c r="AI1189" s="131"/>
    </row>
    <row r="1190" spans="35:35">
      <c r="AI1190" s="131"/>
    </row>
    <row r="1191" spans="35:35">
      <c r="AI1191" s="131"/>
    </row>
    <row r="1192" spans="35:35">
      <c r="AI1192" s="131"/>
    </row>
    <row r="1193" spans="35:35">
      <c r="AI1193" s="131"/>
    </row>
    <row r="1194" spans="35:35">
      <c r="AI1194" s="131"/>
    </row>
    <row r="1195" spans="35:35">
      <c r="AI1195" s="132"/>
    </row>
    <row r="1196" spans="35:35">
      <c r="AI1196" s="131"/>
    </row>
    <row r="1197" spans="35:35">
      <c r="AI1197" s="131"/>
    </row>
    <row r="1198" spans="35:35">
      <c r="AI1198" s="131"/>
    </row>
    <row r="1199" spans="35:35">
      <c r="AI1199" s="131"/>
    </row>
    <row r="1200" spans="35:35">
      <c r="AI1200" s="131"/>
    </row>
    <row r="1201" spans="35:35">
      <c r="AI1201" s="131"/>
    </row>
    <row r="1202" spans="35:35">
      <c r="AI1202" s="131"/>
    </row>
    <row r="1203" spans="35:35">
      <c r="AI1203" s="284"/>
    </row>
    <row r="1204" spans="35:35">
      <c r="AI1204" s="131"/>
    </row>
    <row r="1205" spans="35:35">
      <c r="AI1205" s="131"/>
    </row>
    <row r="1206" spans="35:35">
      <c r="AI1206" s="131"/>
    </row>
    <row r="1207" spans="35:35">
      <c r="AI1207" s="131"/>
    </row>
    <row r="1208" spans="35:35">
      <c r="AI1208" s="131"/>
    </row>
    <row r="1209" spans="35:35">
      <c r="AI1209" s="131"/>
    </row>
    <row r="1210" spans="35:35">
      <c r="AI1210" s="131"/>
    </row>
    <row r="1211" spans="35:35">
      <c r="AI1211" s="131"/>
    </row>
    <row r="1212" spans="35:35">
      <c r="AI1212" s="131"/>
    </row>
    <row r="1213" spans="35:35">
      <c r="AI1213" s="131"/>
    </row>
    <row r="1214" spans="35:35">
      <c r="AI1214" s="131"/>
    </row>
    <row r="1215" spans="35:35">
      <c r="AI1215" s="131"/>
    </row>
    <row r="1216" spans="35:35">
      <c r="AI1216" s="131"/>
    </row>
    <row r="1217" spans="35:35">
      <c r="AI1217" s="131"/>
    </row>
    <row r="1218" spans="35:35">
      <c r="AI1218" s="284"/>
    </row>
    <row r="1219" spans="35:35">
      <c r="AI1219" s="284"/>
    </row>
    <row r="1220" spans="35:35">
      <c r="AI1220" s="131"/>
    </row>
    <row r="1221" spans="35:35">
      <c r="AI1221" s="131"/>
    </row>
    <row r="1222" spans="35:35">
      <c r="AI1222" s="131"/>
    </row>
    <row r="1223" spans="35:35">
      <c r="AI1223" s="131"/>
    </row>
    <row r="1224" spans="35:35">
      <c r="AI1224" s="131"/>
    </row>
    <row r="1225" spans="35:35">
      <c r="AI1225" s="131"/>
    </row>
    <row r="1226" spans="35:35">
      <c r="AI1226" s="131"/>
    </row>
    <row r="1227" spans="35:35">
      <c r="AI1227" s="131"/>
    </row>
    <row r="1228" spans="35:35">
      <c r="AI1228" s="131"/>
    </row>
    <row r="1229" spans="35:35">
      <c r="AI1229" s="284"/>
    </row>
    <row r="1230" spans="35:35">
      <c r="AI1230" s="131"/>
    </row>
    <row r="1231" spans="35:35">
      <c r="AI1231" s="131"/>
    </row>
    <row r="1232" spans="35:35">
      <c r="AI1232" s="131"/>
    </row>
    <row r="1233" spans="35:35">
      <c r="AI1233" s="131"/>
    </row>
    <row r="1234" spans="35:35">
      <c r="AI1234" s="131"/>
    </row>
    <row r="1235" spans="35:35">
      <c r="AI1235" s="131"/>
    </row>
    <row r="1236" spans="35:35">
      <c r="AI1236" s="128"/>
    </row>
    <row r="1237" spans="35:35">
      <c r="AI1237" s="131"/>
    </row>
    <row r="1239" spans="35:35">
      <c r="AI1239" s="131"/>
    </row>
    <row r="1240" spans="35:35">
      <c r="AI1240" s="284"/>
    </row>
    <row r="1241" spans="35:35">
      <c r="AI1241" s="131"/>
    </row>
    <row r="1242" spans="35:35">
      <c r="AI1242" s="131"/>
    </row>
    <row r="1243" spans="35:35">
      <c r="AI1243" s="131"/>
    </row>
    <row r="1244" spans="35:35">
      <c r="AI1244" s="131"/>
    </row>
    <row r="1245" spans="35:35">
      <c r="AI1245" s="131"/>
    </row>
    <row r="1246" spans="35:35">
      <c r="AI1246" s="131"/>
    </row>
    <row r="1247" spans="35:35">
      <c r="AI1247" s="131"/>
    </row>
    <row r="1248" spans="35:35">
      <c r="AI1248" s="131"/>
    </row>
    <row r="1249" spans="35:35">
      <c r="AI1249" s="131"/>
    </row>
    <row r="1250" spans="35:35">
      <c r="AI1250" s="131"/>
    </row>
    <row r="1251" spans="35:35">
      <c r="AI1251" s="131"/>
    </row>
    <row r="1252" spans="35:35">
      <c r="AI1252" s="131"/>
    </row>
    <row r="1253" spans="35:35">
      <c r="AI1253" s="131"/>
    </row>
    <row r="1254" spans="35:35">
      <c r="AI1254" s="131"/>
    </row>
    <row r="1255" spans="35:35">
      <c r="AI1255" s="131"/>
    </row>
    <row r="1256" spans="35:35">
      <c r="AI1256" s="131"/>
    </row>
    <row r="1257" spans="35:35">
      <c r="AI1257" s="131"/>
    </row>
    <row r="1258" spans="35:35">
      <c r="AI1258" s="131"/>
    </row>
    <row r="1259" spans="35:35">
      <c r="AI1259" s="131"/>
    </row>
    <row r="1260" spans="35:35">
      <c r="AI1260" s="131"/>
    </row>
    <row r="1261" spans="35:35">
      <c r="AI1261" s="131"/>
    </row>
    <row r="1262" spans="35:35">
      <c r="AI1262" s="131"/>
    </row>
    <row r="1263" spans="35:35">
      <c r="AI1263" s="131"/>
    </row>
    <row r="1265" spans="35:35">
      <c r="AI1265" s="131"/>
    </row>
    <row r="1266" spans="35:35">
      <c r="AI1266" s="131"/>
    </row>
    <row r="1267" spans="35:35">
      <c r="AI1267" s="131"/>
    </row>
    <row r="1268" spans="35:35">
      <c r="AI1268" s="131"/>
    </row>
    <row r="1269" spans="35:35">
      <c r="AI1269" s="131"/>
    </row>
    <row r="1270" spans="35:35">
      <c r="AI1270" s="131"/>
    </row>
    <row r="1271" spans="35:35">
      <c r="AI1271" s="131"/>
    </row>
    <row r="1272" spans="35:35">
      <c r="AI1272" s="131"/>
    </row>
    <row r="1273" spans="35:35">
      <c r="AI1273" s="52"/>
    </row>
    <row r="1274" spans="35:35">
      <c r="AI1274" s="131"/>
    </row>
    <row r="1275" spans="35:35">
      <c r="AI1275" s="131"/>
    </row>
    <row r="1276" spans="35:35">
      <c r="AI1276" s="131"/>
    </row>
    <row r="1277" spans="35:35">
      <c r="AI1277" s="131"/>
    </row>
    <row r="1278" spans="35:35">
      <c r="AI1278" s="131"/>
    </row>
    <row r="1279" spans="35:35">
      <c r="AI1279" s="131"/>
    </row>
    <row r="1280" spans="35:35">
      <c r="AI1280" s="131"/>
    </row>
    <row r="1281" spans="35:35">
      <c r="AI1281" s="131"/>
    </row>
    <row r="1282" spans="35:35">
      <c r="AI1282" s="131"/>
    </row>
    <row r="1283" spans="35:35">
      <c r="AI1283" s="131"/>
    </row>
    <row r="1284" spans="35:35">
      <c r="AI1284" s="284"/>
    </row>
    <row r="1285" spans="35:35">
      <c r="AI1285" s="27"/>
    </row>
    <row r="1286" spans="35:35">
      <c r="AI1286" s="284"/>
    </row>
    <row r="1287" spans="35:35">
      <c r="AI1287" s="131"/>
    </row>
    <row r="1288" spans="35:35">
      <c r="AI1288" s="131"/>
    </row>
    <row r="1289" spans="35:35">
      <c r="AI1289" s="131"/>
    </row>
    <row r="1290" spans="35:35">
      <c r="AI1290" s="131"/>
    </row>
    <row r="1291" spans="35:35">
      <c r="AI1291" s="131"/>
    </row>
    <row r="1292" spans="35:35">
      <c r="AI1292" s="131"/>
    </row>
    <row r="1293" spans="35:35">
      <c r="AI1293" s="131"/>
    </row>
    <row r="1294" spans="35:35">
      <c r="AI1294" s="131"/>
    </row>
    <row r="1295" spans="35:35">
      <c r="AI1295" s="131"/>
    </row>
    <row r="1296" spans="35:35">
      <c r="AI1296" s="131"/>
    </row>
    <row r="1297" spans="1:35">
      <c r="AI1297" s="131"/>
    </row>
    <row r="1298" spans="1:35">
      <c r="AI1298" s="131"/>
    </row>
    <row r="1299" spans="1:35">
      <c r="AI1299" s="131"/>
    </row>
    <row r="1300" spans="1:35">
      <c r="AI1300" s="131"/>
    </row>
    <row r="1301" spans="1:35">
      <c r="AI1301" s="131"/>
    </row>
    <row r="1302" spans="1:35">
      <c r="AI1302" s="131"/>
    </row>
    <row r="1303" spans="1:35">
      <c r="AI1303" s="131"/>
    </row>
    <row r="1304" spans="1:35">
      <c r="AI1304" s="131"/>
    </row>
    <row r="1305" spans="1:35" ht="26.4">
      <c r="A1305" s="284"/>
      <c r="B1305" s="284"/>
      <c r="C1305" s="284"/>
      <c r="D1305" s="284"/>
      <c r="E1305" s="284"/>
      <c r="F1305" s="284"/>
      <c r="H1305" s="284"/>
      <c r="I1305" s="284"/>
      <c r="J1305" s="375"/>
      <c r="K1305" s="375"/>
      <c r="L1305" s="375"/>
      <c r="M1305" s="368"/>
      <c r="N1305" s="368"/>
      <c r="T1305" s="340"/>
      <c r="V1305" s="378"/>
      <c r="W1305" s="64" ph="1"/>
      <c r="X1305" s="241"/>
      <c r="AA1305" s="284"/>
      <c r="AB1305" s="284"/>
      <c r="AC1305" s="284"/>
      <c r="AD1305" s="284"/>
      <c r="AE1305" s="284"/>
      <c r="AF1305" s="284"/>
      <c r="AG1305" s="8"/>
      <c r="AI1305" s="131"/>
    </row>
    <row r="1306" spans="1:35">
      <c r="A1306" s="284"/>
      <c r="Y1306" s="284"/>
      <c r="Z1306" s="207"/>
      <c r="AI1306" s="131"/>
    </row>
    <row r="1307" spans="1:35">
      <c r="AI1307" s="131"/>
    </row>
    <row r="1308" spans="1:35">
      <c r="AI1308" s="284"/>
    </row>
    <row r="1309" spans="1:35">
      <c r="AI1309" s="284"/>
    </row>
    <row r="1310" spans="1:35">
      <c r="AI1310" s="28"/>
    </row>
    <row r="1311" spans="1:35">
      <c r="AI1311" s="131"/>
    </row>
    <row r="1312" spans="1:35">
      <c r="A1312" s="284"/>
      <c r="G1312" s="284"/>
      <c r="AI1312" s="131"/>
    </row>
    <row r="1313" spans="1:35">
      <c r="AI1313" s="131"/>
    </row>
    <row r="1314" spans="1:35">
      <c r="AI1314" s="131"/>
    </row>
    <row r="1315" spans="1:35" ht="26.4">
      <c r="A1315" s="284"/>
      <c r="B1315" s="284"/>
      <c r="C1315" s="284"/>
      <c r="D1315" s="284"/>
      <c r="E1315" s="284"/>
      <c r="F1315" s="284"/>
      <c r="H1315" s="284"/>
      <c r="I1315" s="284"/>
      <c r="J1315" s="375"/>
      <c r="K1315" s="375"/>
      <c r="L1315" s="375"/>
      <c r="M1315" s="368"/>
      <c r="N1315" s="368"/>
      <c r="O1315" s="370"/>
      <c r="T1315" s="340"/>
      <c r="V1315" s="378"/>
      <c r="W1315" s="64" ph="1"/>
      <c r="X1315" s="241"/>
      <c r="AA1315" s="284"/>
      <c r="AB1315" s="284"/>
      <c r="AC1315" s="284"/>
      <c r="AD1315" s="284"/>
      <c r="AE1315" s="284"/>
      <c r="AF1315" s="284"/>
      <c r="AG1315" s="8"/>
      <c r="AI1315" s="131"/>
    </row>
    <row r="1316" spans="1:35">
      <c r="A1316" s="284"/>
      <c r="Y1316" s="284"/>
      <c r="Z1316" s="207"/>
      <c r="AI1316" s="131"/>
    </row>
    <row r="1317" spans="1:35">
      <c r="AI1317" s="131"/>
    </row>
    <row r="1318" spans="1:35">
      <c r="AI1318" s="131"/>
    </row>
    <row r="1319" spans="1:35" ht="26.4">
      <c r="A1319" s="284"/>
      <c r="B1319" s="284"/>
      <c r="C1319" s="284"/>
      <c r="D1319" s="284"/>
      <c r="E1319" s="284"/>
      <c r="F1319" s="284"/>
      <c r="H1319" s="284"/>
      <c r="I1319" s="284"/>
      <c r="J1319" s="375"/>
      <c r="K1319" s="375"/>
      <c r="L1319" s="375"/>
      <c r="M1319" s="368"/>
      <c r="N1319" s="368"/>
      <c r="T1319" s="340"/>
      <c r="V1319" s="378"/>
      <c r="W1319" s="64" ph="1"/>
      <c r="X1319" s="241"/>
      <c r="AA1319" s="284"/>
      <c r="AB1319" s="284"/>
      <c r="AC1319" s="284"/>
      <c r="AD1319" s="284"/>
      <c r="AE1319" s="284"/>
      <c r="AF1319" s="284"/>
      <c r="AG1319" s="8"/>
      <c r="AI1319" s="131"/>
    </row>
    <row r="1320" spans="1:35">
      <c r="A1320" s="284"/>
      <c r="Y1320" s="284"/>
      <c r="Z1320" s="207"/>
      <c r="AI1320" s="131"/>
    </row>
    <row r="1321" spans="1:35">
      <c r="AI1321" s="131"/>
    </row>
    <row r="1322" spans="1:35">
      <c r="A1322" s="284"/>
      <c r="G1322" s="284"/>
      <c r="AI1322" s="131"/>
    </row>
    <row r="1323" spans="1:35">
      <c r="AI1323" s="131"/>
    </row>
    <row r="1324" spans="1:35" ht="26.4">
      <c r="A1324" s="284"/>
      <c r="B1324" s="284"/>
      <c r="C1324" s="284"/>
      <c r="D1324" s="284"/>
      <c r="E1324" s="284"/>
      <c r="F1324" s="284"/>
      <c r="H1324" s="284"/>
      <c r="I1324" s="284"/>
      <c r="J1324" s="375"/>
      <c r="K1324" s="375"/>
      <c r="L1324" s="375"/>
      <c r="M1324" s="368"/>
      <c r="N1324" s="368"/>
      <c r="T1324" s="340"/>
      <c r="V1324" s="378"/>
      <c r="W1324" s="64" ph="1"/>
      <c r="X1324" s="241"/>
      <c r="AA1324" s="284"/>
      <c r="AB1324" s="284"/>
      <c r="AC1324" s="284"/>
      <c r="AD1324" s="284"/>
      <c r="AE1324" s="284"/>
      <c r="AF1324" s="284"/>
      <c r="AG1324" s="8"/>
      <c r="AI1324" s="284"/>
    </row>
    <row r="1325" spans="1:35" ht="26.4">
      <c r="A1325" s="284"/>
      <c r="B1325" s="284"/>
      <c r="C1325" s="284"/>
      <c r="D1325" s="284"/>
      <c r="E1325" s="284"/>
      <c r="F1325" s="284"/>
      <c r="H1325" s="284"/>
      <c r="I1325" s="284"/>
      <c r="J1325" s="375"/>
      <c r="K1325" s="375"/>
      <c r="L1325" s="375"/>
      <c r="M1325" s="368"/>
      <c r="N1325" s="368"/>
      <c r="O1325" s="370"/>
      <c r="T1325" s="340"/>
      <c r="V1325" s="378"/>
      <c r="W1325" s="64" ph="1"/>
      <c r="X1325" s="241"/>
      <c r="Y1325" s="284"/>
      <c r="Z1325" s="207"/>
      <c r="AA1325" s="284"/>
      <c r="AB1325" s="284"/>
      <c r="AC1325" s="284"/>
      <c r="AD1325" s="284"/>
      <c r="AE1325" s="284"/>
      <c r="AF1325" s="284"/>
      <c r="AG1325" s="8"/>
      <c r="AI1325" s="131"/>
    </row>
    <row r="1326" spans="1:35" ht="26.4">
      <c r="A1326" s="284"/>
      <c r="B1326" s="284"/>
      <c r="C1326" s="284"/>
      <c r="D1326" s="284"/>
      <c r="E1326" s="284"/>
      <c r="F1326" s="284"/>
      <c r="G1326" s="284"/>
      <c r="H1326" s="284"/>
      <c r="I1326" s="284"/>
      <c r="J1326" s="375"/>
      <c r="K1326" s="375"/>
      <c r="L1326" s="375"/>
      <c r="M1326" s="368"/>
      <c r="N1326" s="368"/>
      <c r="T1326" s="340"/>
      <c r="V1326" s="378"/>
      <c r="W1326" s="64" ph="1"/>
      <c r="X1326" s="241"/>
      <c r="Y1326" s="284"/>
      <c r="Z1326" s="207"/>
      <c r="AA1326" s="284"/>
      <c r="AB1326" s="284"/>
      <c r="AC1326" s="284"/>
      <c r="AD1326" s="284"/>
      <c r="AE1326" s="284"/>
      <c r="AF1326" s="284"/>
      <c r="AG1326" s="8"/>
      <c r="AI1326" s="131"/>
    </row>
    <row r="1327" spans="1:35">
      <c r="A1327" s="284"/>
      <c r="Y1327" s="284"/>
      <c r="Z1327" s="207"/>
      <c r="AI1327" s="131"/>
    </row>
    <row r="1328" spans="1:35" ht="26.4">
      <c r="A1328" s="284"/>
      <c r="B1328" s="284"/>
      <c r="C1328" s="284"/>
      <c r="D1328" s="284"/>
      <c r="E1328" s="284"/>
      <c r="F1328" s="284"/>
      <c r="H1328" s="284"/>
      <c r="I1328" s="284"/>
      <c r="J1328" s="375"/>
      <c r="K1328" s="375"/>
      <c r="L1328" s="375"/>
      <c r="M1328" s="368"/>
      <c r="N1328" s="368"/>
      <c r="T1328" s="340"/>
      <c r="V1328" s="378"/>
      <c r="W1328" s="64" ph="1"/>
      <c r="X1328" s="241"/>
      <c r="AA1328" s="284"/>
      <c r="AB1328" s="284"/>
      <c r="AC1328" s="284"/>
      <c r="AD1328" s="284"/>
      <c r="AE1328" s="284"/>
      <c r="AF1328" s="284"/>
      <c r="AG1328" s="8"/>
      <c r="AI1328" s="131"/>
    </row>
    <row r="1329" spans="1:35" ht="26.4">
      <c r="A1329" s="284"/>
      <c r="B1329" s="284"/>
      <c r="C1329" s="284"/>
      <c r="D1329" s="284"/>
      <c r="E1329" s="284"/>
      <c r="F1329" s="284"/>
      <c r="H1329" s="284"/>
      <c r="I1329" s="284"/>
      <c r="J1329" s="375"/>
      <c r="K1329" s="375"/>
      <c r="L1329" s="375"/>
      <c r="M1329" s="368"/>
      <c r="N1329" s="368"/>
      <c r="O1329" s="370"/>
      <c r="T1329" s="340"/>
      <c r="V1329" s="378"/>
      <c r="W1329" s="64" ph="1"/>
      <c r="X1329" s="241"/>
      <c r="Y1329" s="284"/>
      <c r="Z1329" s="207"/>
      <c r="AA1329" s="284"/>
      <c r="AB1329" s="284"/>
      <c r="AC1329" s="284"/>
      <c r="AD1329" s="284"/>
      <c r="AE1329" s="284"/>
      <c r="AF1329" s="284"/>
      <c r="AG1329" s="8"/>
      <c r="AI1329" s="131"/>
    </row>
    <row r="1330" spans="1:35">
      <c r="A1330" s="284"/>
      <c r="Y1330" s="284"/>
      <c r="Z1330" s="207"/>
      <c r="AI1330" s="131"/>
    </row>
    <row r="1331" spans="1:35" ht="26.4">
      <c r="A1331" s="284"/>
      <c r="B1331" s="284"/>
      <c r="C1331" s="284"/>
      <c r="D1331" s="284"/>
      <c r="E1331" s="284"/>
      <c r="F1331" s="284"/>
      <c r="G1331" s="284"/>
      <c r="H1331" s="284"/>
      <c r="I1331" s="284"/>
      <c r="J1331" s="375"/>
      <c r="K1331" s="375"/>
      <c r="L1331" s="375"/>
      <c r="M1331" s="368"/>
      <c r="N1331" s="368"/>
      <c r="T1331" s="340"/>
      <c r="V1331" s="378"/>
      <c r="W1331" s="64" ph="1"/>
      <c r="X1331" s="241"/>
      <c r="AA1331" s="284"/>
      <c r="AB1331" s="284"/>
      <c r="AC1331" s="284"/>
      <c r="AD1331" s="284"/>
      <c r="AE1331" s="284"/>
      <c r="AF1331" s="284"/>
      <c r="AG1331" s="8"/>
      <c r="AI1331" s="131"/>
    </row>
    <row r="1332" spans="1:35">
      <c r="A1332" s="284"/>
      <c r="G1332" s="284"/>
      <c r="Y1332" s="284"/>
      <c r="Z1332" s="207"/>
      <c r="AI1332" s="131"/>
    </row>
    <row r="1333" spans="1:35" ht="26.4">
      <c r="A1333" s="284"/>
      <c r="B1333" s="284"/>
      <c r="C1333" s="284"/>
      <c r="D1333" s="284"/>
      <c r="E1333" s="284"/>
      <c r="F1333" s="284"/>
      <c r="G1333" s="284"/>
      <c r="H1333" s="284"/>
      <c r="I1333" s="284"/>
      <c r="J1333" s="375"/>
      <c r="K1333" s="375"/>
      <c r="L1333" s="375"/>
      <c r="M1333" s="368"/>
      <c r="N1333" s="368"/>
      <c r="T1333" s="340"/>
      <c r="V1333" s="378"/>
      <c r="W1333" s="64" ph="1"/>
      <c r="X1333" s="241"/>
      <c r="AA1333" s="284"/>
      <c r="AB1333" s="284"/>
      <c r="AC1333" s="284"/>
      <c r="AD1333" s="284"/>
      <c r="AE1333" s="284"/>
      <c r="AF1333" s="284"/>
      <c r="AG1333" s="8"/>
      <c r="AI1333" s="131"/>
    </row>
    <row r="1334" spans="1:35" ht="26.4">
      <c r="A1334" s="284"/>
      <c r="B1334" s="284"/>
      <c r="C1334" s="284"/>
      <c r="D1334" s="284"/>
      <c r="E1334" s="284"/>
      <c r="F1334" s="284"/>
      <c r="H1334" s="284"/>
      <c r="I1334" s="284"/>
      <c r="J1334" s="375"/>
      <c r="K1334" s="375"/>
      <c r="L1334" s="375"/>
      <c r="M1334" s="368"/>
      <c r="N1334" s="368"/>
      <c r="O1334" s="370"/>
      <c r="T1334" s="340"/>
      <c r="V1334" s="378"/>
      <c r="W1334" s="64" ph="1"/>
      <c r="X1334" s="241"/>
      <c r="Y1334" s="284"/>
      <c r="Z1334" s="207"/>
      <c r="AA1334" s="284"/>
      <c r="AB1334" s="284"/>
      <c r="AC1334" s="284"/>
      <c r="AD1334" s="284"/>
      <c r="AE1334" s="284"/>
      <c r="AF1334" s="284"/>
      <c r="AG1334" s="8"/>
      <c r="AI1334" s="131"/>
    </row>
    <row r="1335" spans="1:35" ht="26.4">
      <c r="A1335" s="284"/>
      <c r="B1335" s="284"/>
      <c r="C1335" s="284"/>
      <c r="D1335" s="284"/>
      <c r="E1335" s="284"/>
      <c r="F1335" s="284"/>
      <c r="G1335" s="284"/>
      <c r="H1335" s="284"/>
      <c r="I1335" s="284"/>
      <c r="J1335" s="375"/>
      <c r="K1335" s="375"/>
      <c r="L1335" s="375"/>
      <c r="M1335" s="368"/>
      <c r="N1335" s="368"/>
      <c r="O1335" s="370"/>
      <c r="T1335" s="340"/>
      <c r="V1335" s="378"/>
      <c r="W1335" s="64" ph="1"/>
      <c r="X1335" s="241"/>
      <c r="Y1335" s="284"/>
      <c r="Z1335" s="207"/>
      <c r="AA1335" s="284"/>
      <c r="AB1335" s="284"/>
      <c r="AC1335" s="284"/>
      <c r="AD1335" s="284"/>
      <c r="AE1335" s="284"/>
      <c r="AF1335" s="284"/>
      <c r="AG1335" s="8"/>
      <c r="AI1335" s="131"/>
    </row>
    <row r="1336" spans="1:35" ht="26.4">
      <c r="A1336" s="284"/>
      <c r="B1336" s="284"/>
      <c r="C1336" s="284"/>
      <c r="D1336" s="284"/>
      <c r="E1336" s="284"/>
      <c r="F1336" s="284"/>
      <c r="G1336" s="284"/>
      <c r="H1336" s="284"/>
      <c r="I1336" s="284"/>
      <c r="J1336" s="375"/>
      <c r="K1336" s="375"/>
      <c r="L1336" s="375"/>
      <c r="M1336" s="368"/>
      <c r="N1336" s="368"/>
      <c r="O1336" s="370"/>
      <c r="T1336" s="340"/>
      <c r="V1336" s="378"/>
      <c r="W1336" s="64" ph="1"/>
      <c r="X1336" s="241"/>
      <c r="Y1336" s="284"/>
      <c r="Z1336" s="207"/>
      <c r="AA1336" s="284"/>
      <c r="AB1336" s="284"/>
      <c r="AC1336" s="284"/>
      <c r="AD1336" s="284"/>
      <c r="AE1336" s="284"/>
      <c r="AF1336" s="284"/>
      <c r="AG1336" s="8"/>
      <c r="AI1336" s="28"/>
    </row>
    <row r="1337" spans="1:35" ht="26.4">
      <c r="A1337" s="284"/>
      <c r="B1337" s="284"/>
      <c r="C1337" s="284"/>
      <c r="D1337" s="284"/>
      <c r="E1337" s="284"/>
      <c r="F1337" s="284"/>
      <c r="H1337" s="284"/>
      <c r="I1337" s="284"/>
      <c r="J1337" s="375"/>
      <c r="K1337" s="375"/>
      <c r="L1337" s="375"/>
      <c r="M1337" s="368"/>
      <c r="N1337" s="368"/>
      <c r="T1337" s="340"/>
      <c r="V1337" s="378"/>
      <c r="W1337" s="64" ph="1"/>
      <c r="X1337" s="241"/>
      <c r="Y1337" s="284"/>
      <c r="Z1337" s="207"/>
      <c r="AA1337" s="284"/>
      <c r="AB1337" s="284"/>
      <c r="AC1337" s="284"/>
      <c r="AD1337" s="284"/>
      <c r="AE1337" s="284"/>
      <c r="AF1337" s="284"/>
      <c r="AG1337" s="8"/>
      <c r="AI1337" s="131"/>
    </row>
    <row r="1338" spans="1:35" ht="26.4">
      <c r="A1338" s="284"/>
      <c r="B1338" s="284"/>
      <c r="C1338" s="284"/>
      <c r="D1338" s="284"/>
      <c r="E1338" s="284"/>
      <c r="F1338" s="284"/>
      <c r="G1338" s="284"/>
      <c r="H1338" s="284"/>
      <c r="I1338" s="284"/>
      <c r="J1338" s="375"/>
      <c r="K1338" s="375"/>
      <c r="L1338" s="375"/>
      <c r="M1338" s="368"/>
      <c r="N1338" s="368"/>
      <c r="O1338" s="370"/>
      <c r="T1338" s="340"/>
      <c r="V1338" s="378"/>
      <c r="W1338" s="64" ph="1"/>
      <c r="X1338" s="241"/>
      <c r="Y1338" s="284"/>
      <c r="Z1338" s="207"/>
      <c r="AA1338" s="284"/>
      <c r="AB1338" s="284"/>
      <c r="AC1338" s="284"/>
      <c r="AD1338" s="284"/>
      <c r="AE1338" s="284"/>
      <c r="AF1338" s="284"/>
      <c r="AG1338" s="8"/>
      <c r="AI1338" s="131"/>
    </row>
    <row r="1339" spans="1:35" ht="26.4">
      <c r="A1339" s="284"/>
      <c r="B1339" s="284"/>
      <c r="C1339" s="284"/>
      <c r="D1339" s="284"/>
      <c r="E1339" s="284"/>
      <c r="F1339" s="284"/>
      <c r="H1339" s="284"/>
      <c r="I1339" s="284"/>
      <c r="J1339" s="375"/>
      <c r="K1339" s="375"/>
      <c r="L1339" s="375"/>
      <c r="M1339" s="368"/>
      <c r="N1339" s="368"/>
      <c r="O1339" s="370"/>
      <c r="T1339" s="340"/>
      <c r="V1339" s="378"/>
      <c r="W1339" s="64" ph="1"/>
      <c r="X1339" s="241"/>
      <c r="Y1339" s="284"/>
      <c r="Z1339" s="207"/>
      <c r="AA1339" s="284"/>
      <c r="AB1339" s="284"/>
      <c r="AC1339" s="284"/>
      <c r="AD1339" s="284"/>
      <c r="AE1339" s="284"/>
      <c r="AF1339" s="284"/>
      <c r="AG1339" s="8"/>
      <c r="AI1339" s="131"/>
    </row>
    <row r="1340" spans="1:35" ht="26.4">
      <c r="A1340" s="284"/>
      <c r="B1340" s="284"/>
      <c r="C1340" s="284"/>
      <c r="D1340" s="284"/>
      <c r="E1340" s="284"/>
      <c r="F1340" s="284"/>
      <c r="G1340" s="284"/>
      <c r="H1340" s="284"/>
      <c r="I1340" s="284"/>
      <c r="J1340" s="375"/>
      <c r="K1340" s="375"/>
      <c r="L1340" s="375"/>
      <c r="M1340" s="368"/>
      <c r="N1340" s="368"/>
      <c r="T1340" s="340"/>
      <c r="V1340" s="378"/>
      <c r="W1340" s="64" ph="1"/>
      <c r="X1340" s="241"/>
      <c r="Y1340" s="284"/>
      <c r="Z1340" s="207"/>
      <c r="AA1340" s="284"/>
      <c r="AB1340" s="284"/>
      <c r="AC1340" s="284"/>
      <c r="AD1340" s="284"/>
      <c r="AE1340" s="284"/>
      <c r="AF1340" s="284"/>
      <c r="AG1340" s="8"/>
      <c r="AI1340" s="131"/>
    </row>
    <row r="1341" spans="1:35" ht="26.4">
      <c r="A1341" s="284"/>
      <c r="G1341" s="284"/>
      <c r="O1341" s="370"/>
      <c r="W1341" s="64" ph="1"/>
      <c r="Y1341" s="284"/>
      <c r="Z1341" s="207"/>
      <c r="AI1341" s="131"/>
    </row>
    <row r="1342" spans="1:35" ht="26.4">
      <c r="A1342" s="284"/>
      <c r="G1342" s="284"/>
      <c r="W1342" s="64" ph="1"/>
      <c r="AI1342" s="131"/>
    </row>
    <row r="1343" spans="1:35">
      <c r="A1343" s="284"/>
      <c r="G1343" s="284"/>
      <c r="O1343" s="370"/>
      <c r="AI1343" s="128"/>
    </row>
    <row r="1344" spans="1:35" ht="26.4">
      <c r="A1344" s="284"/>
      <c r="G1344" s="284"/>
      <c r="O1344" s="370"/>
      <c r="W1344" s="64" ph="1"/>
      <c r="AI1344" s="131"/>
    </row>
    <row r="1345" spans="1:35" ht="26.4">
      <c r="A1345" s="284"/>
      <c r="G1345" s="284"/>
      <c r="O1345" s="370"/>
      <c r="W1345" s="64" ph="1"/>
      <c r="AI1345" s="131"/>
    </row>
    <row r="1346" spans="1:35" ht="26.4">
      <c r="A1346" s="284"/>
      <c r="G1346" s="284"/>
      <c r="O1346" s="370"/>
      <c r="W1346" s="64" ph="1"/>
      <c r="AI1346" s="131"/>
    </row>
    <row r="1347" spans="1:35" ht="26.4">
      <c r="A1347" s="284"/>
      <c r="G1347" s="284"/>
      <c r="O1347" s="370"/>
      <c r="W1347" s="64" ph="1"/>
      <c r="AI1347" s="131"/>
    </row>
    <row r="1348" spans="1:35" ht="26.4">
      <c r="A1348" s="284"/>
      <c r="O1348" s="370"/>
      <c r="W1348" s="64" ph="1"/>
      <c r="AI1348" s="131"/>
    </row>
    <row r="1349" spans="1:35" ht="26.4">
      <c r="A1349" s="284"/>
      <c r="B1349" s="284"/>
      <c r="C1349" s="284"/>
      <c r="D1349" s="284"/>
      <c r="E1349" s="284"/>
      <c r="F1349" s="284"/>
      <c r="G1349" s="284"/>
      <c r="H1349" s="284"/>
      <c r="I1349" s="284"/>
      <c r="J1349" s="375"/>
      <c r="K1349" s="375"/>
      <c r="L1349" s="375"/>
      <c r="M1349" s="368"/>
      <c r="N1349" s="368"/>
      <c r="O1349" s="370"/>
      <c r="T1349" s="340"/>
      <c r="V1349" s="378"/>
      <c r="W1349" s="64" ph="1"/>
      <c r="X1349" s="241"/>
      <c r="Y1349" s="284"/>
      <c r="Z1349" s="207"/>
      <c r="AA1349" s="284"/>
      <c r="AB1349" s="284"/>
      <c r="AC1349" s="284"/>
      <c r="AD1349" s="284"/>
      <c r="AE1349" s="284"/>
      <c r="AF1349" s="284"/>
      <c r="AG1349" s="284"/>
      <c r="AI1349" s="131"/>
    </row>
    <row r="1350" spans="1:35" ht="26.4">
      <c r="A1350" s="284"/>
      <c r="B1350" s="284"/>
      <c r="C1350" s="284"/>
      <c r="D1350" s="284"/>
      <c r="E1350" s="284"/>
      <c r="F1350" s="284"/>
      <c r="G1350" s="284"/>
      <c r="H1350" s="284"/>
      <c r="I1350" s="284"/>
      <c r="J1350" s="375"/>
      <c r="K1350" s="375"/>
      <c r="L1350" s="375"/>
      <c r="M1350" s="368"/>
      <c r="N1350" s="368"/>
      <c r="O1350" s="370"/>
      <c r="T1350" s="340"/>
      <c r="V1350" s="378"/>
      <c r="W1350" s="64" ph="1"/>
      <c r="X1350" s="241"/>
      <c r="Y1350" s="284"/>
      <c r="Z1350" s="207"/>
      <c r="AA1350" s="284"/>
      <c r="AB1350" s="284"/>
      <c r="AC1350" s="284"/>
      <c r="AD1350" s="284"/>
      <c r="AE1350" s="284"/>
      <c r="AF1350" s="284"/>
      <c r="AG1350" s="284"/>
      <c r="AI1350" s="131"/>
    </row>
    <row r="1351" spans="1:35" ht="26.4">
      <c r="A1351" s="284"/>
      <c r="B1351" s="284"/>
      <c r="C1351" s="284"/>
      <c r="D1351" s="284"/>
      <c r="E1351" s="284"/>
      <c r="F1351" s="284"/>
      <c r="G1351" s="284"/>
      <c r="H1351" s="284"/>
      <c r="I1351" s="284"/>
      <c r="J1351" s="375"/>
      <c r="K1351" s="375"/>
      <c r="L1351" s="375"/>
      <c r="M1351" s="368"/>
      <c r="N1351" s="368"/>
      <c r="T1351" s="340"/>
      <c r="V1351" s="378"/>
      <c r="W1351" s="64" ph="1"/>
      <c r="X1351" s="241"/>
      <c r="Y1351" s="284"/>
      <c r="Z1351" s="207"/>
      <c r="AA1351" s="284"/>
      <c r="AB1351" s="284"/>
      <c r="AC1351" s="284"/>
      <c r="AD1351" s="284"/>
      <c r="AE1351" s="284"/>
      <c r="AF1351" s="284"/>
      <c r="AG1351" s="284"/>
      <c r="AI1351" s="131"/>
    </row>
    <row r="1352" spans="1:35">
      <c r="AI1352" s="131"/>
    </row>
    <row r="1353" spans="1:35" ht="26.4">
      <c r="A1353" s="284"/>
      <c r="B1353" s="284"/>
      <c r="C1353" s="284"/>
      <c r="D1353" s="284"/>
      <c r="E1353" s="284"/>
      <c r="F1353" s="284"/>
      <c r="G1353" s="284"/>
      <c r="H1353" s="284"/>
      <c r="I1353" s="284"/>
      <c r="J1353" s="375"/>
      <c r="K1353" s="375"/>
      <c r="L1353" s="375"/>
      <c r="M1353" s="368"/>
      <c r="N1353" s="368"/>
      <c r="T1353" s="340"/>
      <c r="V1353" s="378"/>
      <c r="W1353" s="64" ph="1"/>
      <c r="X1353" s="241"/>
      <c r="Y1353" s="284"/>
      <c r="Z1353" s="207"/>
      <c r="AA1353" s="284"/>
      <c r="AB1353" s="284"/>
      <c r="AC1353" s="284"/>
      <c r="AD1353" s="284"/>
      <c r="AE1353" s="284"/>
      <c r="AF1353" s="284"/>
      <c r="AG1353" s="284"/>
      <c r="AI1353" s="131"/>
    </row>
    <row r="1354" spans="1:35" ht="26.4">
      <c r="A1354" s="284"/>
      <c r="B1354" s="284"/>
      <c r="C1354" s="284"/>
      <c r="D1354" s="284"/>
      <c r="E1354" s="284"/>
      <c r="F1354" s="284"/>
      <c r="G1354" s="284"/>
      <c r="H1354" s="284"/>
      <c r="I1354" s="284"/>
      <c r="J1354" s="375"/>
      <c r="K1354" s="375"/>
      <c r="L1354" s="375"/>
      <c r="M1354" s="368"/>
      <c r="N1354" s="368"/>
      <c r="T1354" s="340"/>
      <c r="V1354" s="378"/>
      <c r="W1354" s="64" ph="1"/>
      <c r="X1354" s="241"/>
      <c r="Y1354" s="284"/>
      <c r="Z1354" s="207"/>
      <c r="AA1354" s="284"/>
      <c r="AB1354" s="284"/>
      <c r="AC1354" s="284"/>
      <c r="AD1354" s="284"/>
      <c r="AE1354" s="284"/>
      <c r="AF1354" s="284"/>
      <c r="AG1354" s="284"/>
      <c r="AI1354" s="131"/>
    </row>
    <row r="1355" spans="1:35" ht="26.4">
      <c r="A1355" s="284"/>
      <c r="B1355" s="284"/>
      <c r="C1355" s="284"/>
      <c r="D1355" s="284"/>
      <c r="E1355" s="284"/>
      <c r="F1355" s="284"/>
      <c r="G1355" s="284"/>
      <c r="H1355" s="284"/>
      <c r="I1355" s="284"/>
      <c r="J1355" s="375"/>
      <c r="K1355" s="375"/>
      <c r="L1355" s="375"/>
      <c r="M1355" s="368"/>
      <c r="N1355" s="368"/>
      <c r="T1355" s="340"/>
      <c r="V1355" s="378"/>
      <c r="W1355" s="64" ph="1"/>
      <c r="X1355" s="241"/>
      <c r="Y1355" s="284"/>
      <c r="Z1355" s="207"/>
      <c r="AA1355" s="284"/>
      <c r="AB1355" s="284"/>
      <c r="AC1355" s="284"/>
      <c r="AD1355" s="284"/>
      <c r="AE1355" s="284"/>
      <c r="AF1355" s="284"/>
      <c r="AG1355" s="284"/>
      <c r="AI1355" s="131"/>
    </row>
    <row r="1356" spans="1:35" ht="26.4">
      <c r="A1356" s="284"/>
      <c r="B1356" s="284"/>
      <c r="C1356" s="284"/>
      <c r="D1356" s="284"/>
      <c r="E1356" s="284"/>
      <c r="F1356" s="284"/>
      <c r="G1356" s="284"/>
      <c r="H1356" s="284"/>
      <c r="I1356" s="284"/>
      <c r="J1356" s="375"/>
      <c r="K1356" s="375"/>
      <c r="L1356" s="375"/>
      <c r="M1356" s="368"/>
      <c r="N1356" s="368"/>
      <c r="T1356" s="340"/>
      <c r="V1356" s="378"/>
      <c r="W1356" s="64" ph="1"/>
      <c r="X1356" s="241"/>
      <c r="Y1356" s="284"/>
      <c r="Z1356" s="207"/>
      <c r="AA1356" s="284"/>
      <c r="AB1356" s="284"/>
      <c r="AC1356" s="284"/>
      <c r="AD1356" s="284"/>
      <c r="AE1356" s="284"/>
      <c r="AF1356" s="284"/>
      <c r="AG1356" s="284"/>
      <c r="AI1356" s="131"/>
    </row>
    <row r="1357" spans="1:35">
      <c r="AI1357" s="131"/>
    </row>
    <row r="1358" spans="1:35">
      <c r="AI1358" s="131"/>
    </row>
    <row r="1359" spans="1:35">
      <c r="O1359" s="370"/>
      <c r="AI1359" s="131"/>
    </row>
    <row r="1360" spans="1:35">
      <c r="O1360" s="370"/>
      <c r="AI1360" s="131"/>
    </row>
    <row r="1361" spans="15:35">
      <c r="O1361" s="370"/>
      <c r="AI1361" s="131"/>
    </row>
    <row r="1362" spans="15:35">
      <c r="AI1362" s="131"/>
    </row>
    <row r="1363" spans="15:35">
      <c r="O1363" s="370"/>
      <c r="AI1363" s="131"/>
    </row>
    <row r="1364" spans="15:35">
      <c r="O1364" s="370"/>
      <c r="AI1364" s="131"/>
    </row>
    <row r="1365" spans="15:35">
      <c r="O1365" s="370"/>
      <c r="AI1365" s="131"/>
    </row>
    <row r="1366" spans="15:35">
      <c r="O1366" s="370"/>
      <c r="AI1366" s="131"/>
    </row>
    <row r="1367" spans="15:35">
      <c r="AI1367" s="131"/>
    </row>
    <row r="1368" spans="15:35">
      <c r="AI1368" s="131"/>
    </row>
    <row r="1369" spans="15:35">
      <c r="AI1369" s="131"/>
    </row>
    <row r="1370" spans="15:35">
      <c r="AI1370" s="131"/>
    </row>
    <row r="1371" spans="15:35">
      <c r="AI1371" s="131"/>
    </row>
    <row r="1372" spans="15:35">
      <c r="AI1372" s="131"/>
    </row>
    <row r="1373" spans="15:35">
      <c r="AI1373" s="131"/>
    </row>
    <row r="1374" spans="15:35">
      <c r="AI1374" s="131"/>
    </row>
    <row r="1375" spans="15:35">
      <c r="AI1375" s="131"/>
    </row>
    <row r="1376" spans="15:35">
      <c r="AI1376" s="131"/>
    </row>
    <row r="1377" spans="35:35">
      <c r="AI1377" s="131"/>
    </row>
    <row r="1378" spans="35:35">
      <c r="AI1378" s="131"/>
    </row>
    <row r="1379" spans="35:35">
      <c r="AI1379" s="131"/>
    </row>
    <row r="1380" spans="35:35">
      <c r="AI1380" s="131"/>
    </row>
    <row r="1381" spans="35:35">
      <c r="AI1381" s="131"/>
    </row>
    <row r="1382" spans="35:35">
      <c r="AI1382" s="131"/>
    </row>
    <row r="1383" spans="35:35">
      <c r="AI1383" s="284"/>
    </row>
    <row r="1384" spans="35:35">
      <c r="AI1384" s="131"/>
    </row>
    <row r="1385" spans="35:35">
      <c r="AI1385" s="131"/>
    </row>
    <row r="1386" spans="35:35">
      <c r="AI1386" s="131"/>
    </row>
    <row r="1387" spans="35:35">
      <c r="AI1387" s="131"/>
    </row>
    <row r="1388" spans="35:35">
      <c r="AI1388" s="286"/>
    </row>
    <row r="1389" spans="35:35">
      <c r="AI1389" s="131"/>
    </row>
    <row r="1390" spans="35:35">
      <c r="AI1390" s="131"/>
    </row>
    <row r="1391" spans="35:35">
      <c r="AI1391" s="131"/>
    </row>
    <row r="1392" spans="35:35">
      <c r="AI1392" s="131"/>
    </row>
    <row r="1393" spans="35:35">
      <c r="AI1393" s="131"/>
    </row>
    <row r="1394" spans="35:35">
      <c r="AI1394" s="131"/>
    </row>
    <row r="1395" spans="35:35">
      <c r="AI1395" s="236"/>
    </row>
    <row r="1396" spans="35:35">
      <c r="AI1396" s="131"/>
    </row>
    <row r="1397" spans="35:35">
      <c r="AI1397" s="131"/>
    </row>
    <row r="1398" spans="35:35">
      <c r="AI1398" s="131"/>
    </row>
    <row r="1399" spans="35:35">
      <c r="AI1399" s="131"/>
    </row>
    <row r="1400" spans="35:35">
      <c r="AI1400" s="131"/>
    </row>
    <row r="1401" spans="35:35">
      <c r="AI1401" s="131"/>
    </row>
    <row r="1402" spans="35:35">
      <c r="AI1402" s="131"/>
    </row>
    <row r="1403" spans="35:35">
      <c r="AI1403" s="131"/>
    </row>
    <row r="1404" spans="35:35">
      <c r="AI1404" s="131"/>
    </row>
    <row r="1405" spans="35:35">
      <c r="AI1405" s="131"/>
    </row>
    <row r="1406" spans="35:35">
      <c r="AI1406" s="284"/>
    </row>
    <row r="1407" spans="35:35">
      <c r="AI1407" s="131"/>
    </row>
    <row r="1408" spans="35:35">
      <c r="AI1408" s="131"/>
    </row>
    <row r="1409" spans="35:35">
      <c r="AI1409" s="131"/>
    </row>
    <row r="1410" spans="35:35">
      <c r="AI1410" s="131"/>
    </row>
    <row r="1411" spans="35:35">
      <c r="AI1411" s="131"/>
    </row>
    <row r="1412" spans="35:35">
      <c r="AI1412" s="131"/>
    </row>
    <row r="1413" spans="35:35">
      <c r="AI1413" s="131"/>
    </row>
    <row r="1414" spans="35:35">
      <c r="AI1414" s="131"/>
    </row>
    <row r="1415" spans="35:35">
      <c r="AI1415" s="131"/>
    </row>
    <row r="1416" spans="35:35">
      <c r="AI1416" s="131"/>
    </row>
    <row r="1417" spans="35:35">
      <c r="AI1417" s="131"/>
    </row>
    <row r="1418" spans="35:35">
      <c r="AI1418" s="284"/>
    </row>
    <row r="1419" spans="35:35">
      <c r="AI1419" s="131"/>
    </row>
    <row r="1420" spans="35:35">
      <c r="AI1420" s="28"/>
    </row>
    <row r="1421" spans="35:35">
      <c r="AI1421" s="284"/>
    </row>
    <row r="1422" spans="35:35">
      <c r="AI1422" s="131"/>
    </row>
    <row r="1423" spans="35:35">
      <c r="AI1423" s="131"/>
    </row>
    <row r="1424" spans="35:35">
      <c r="AI1424" s="131"/>
    </row>
    <row r="1425" spans="35:35">
      <c r="AI1425" s="131"/>
    </row>
    <row r="1426" spans="35:35">
      <c r="AI1426" s="284"/>
    </row>
    <row r="1427" spans="35:35">
      <c r="AI1427" s="131"/>
    </row>
    <row r="1428" spans="35:35">
      <c r="AI1428" s="131"/>
    </row>
    <row r="1429" spans="35:35">
      <c r="AI1429" s="131"/>
    </row>
    <row r="1430" spans="35:35">
      <c r="AI1430" s="131"/>
    </row>
    <row r="1431" spans="35:35">
      <c r="AI1431" s="131"/>
    </row>
    <row r="1432" spans="35:35">
      <c r="AI1432" s="131"/>
    </row>
    <row r="1433" spans="35:35">
      <c r="AI1433" s="131"/>
    </row>
    <row r="1434" spans="35:35">
      <c r="AI1434" s="131"/>
    </row>
    <row r="1435" spans="35:35">
      <c r="AI1435" s="131"/>
    </row>
    <row r="1436" spans="35:35">
      <c r="AI1436" s="131"/>
    </row>
    <row r="1437" spans="35:35">
      <c r="AI1437" s="131"/>
    </row>
    <row r="1438" spans="35:35">
      <c r="AI1438" s="131"/>
    </row>
    <row r="1439" spans="35:35">
      <c r="AI1439" s="131"/>
    </row>
    <row r="1440" spans="35:35">
      <c r="AI1440" s="131"/>
    </row>
    <row r="1441" spans="35:35">
      <c r="AI1441" s="131"/>
    </row>
    <row r="1442" spans="35:35">
      <c r="AI1442" s="131"/>
    </row>
    <row r="1443" spans="35:35">
      <c r="AI1443" s="131"/>
    </row>
    <row r="1444" spans="35:35">
      <c r="AI1444" s="131"/>
    </row>
    <row r="1445" spans="35:35">
      <c r="AI1445" s="131"/>
    </row>
    <row r="1446" spans="35:35">
      <c r="AI1446" s="284"/>
    </row>
    <row r="1447" spans="35:35">
      <c r="AI1447" s="131"/>
    </row>
    <row r="1448" spans="35:35">
      <c r="AI1448" s="131"/>
    </row>
    <row r="1449" spans="35:35">
      <c r="AI1449" s="131"/>
    </row>
    <row r="1450" spans="35:35">
      <c r="AI1450" s="131"/>
    </row>
    <row r="1451" spans="35:35">
      <c r="AI1451" s="131"/>
    </row>
    <row r="1452" spans="35:35">
      <c r="AI1452" s="131"/>
    </row>
    <row r="1453" spans="35:35">
      <c r="AI1453" s="131"/>
    </row>
    <row r="1454" spans="35:35">
      <c r="AI1454" s="131"/>
    </row>
    <row r="1455" spans="35:35">
      <c r="AI1455" s="131"/>
    </row>
    <row r="1456" spans="35:35">
      <c r="AI1456" s="131"/>
    </row>
    <row r="1457" spans="35:35">
      <c r="AI1457" s="131"/>
    </row>
    <row r="1458" spans="35:35">
      <c r="AI1458" s="131"/>
    </row>
    <row r="1459" spans="35:35">
      <c r="AI1459" s="131"/>
    </row>
    <row r="1460" spans="35:35">
      <c r="AI1460" s="131"/>
    </row>
    <row r="1461" spans="35:35">
      <c r="AI1461" s="131"/>
    </row>
    <row r="1462" spans="35:35">
      <c r="AI1462" s="131"/>
    </row>
    <row r="1463" spans="35:35">
      <c r="AI1463" s="131"/>
    </row>
    <row r="1464" spans="35:35">
      <c r="AI1464" s="131"/>
    </row>
    <row r="1465" spans="35:35">
      <c r="AI1465" s="131"/>
    </row>
    <row r="1466" spans="35:35">
      <c r="AI1466" s="131"/>
    </row>
    <row r="1467" spans="35:35">
      <c r="AI1467" s="131"/>
    </row>
    <row r="1468" spans="35:35">
      <c r="AI1468" s="131"/>
    </row>
    <row r="1469" spans="35:35">
      <c r="AI1469" s="131"/>
    </row>
    <row r="1470" spans="35:35">
      <c r="AI1470" s="131"/>
    </row>
    <row r="1471" spans="35:35">
      <c r="AI1471" s="131"/>
    </row>
    <row r="1472" spans="35:35">
      <c r="AI1472" s="131"/>
    </row>
    <row r="1473" spans="1:35">
      <c r="AI1473" s="131"/>
    </row>
    <row r="1474" spans="1:35">
      <c r="AI1474" s="131"/>
    </row>
    <row r="1475" spans="1:35">
      <c r="AI1475" s="131"/>
    </row>
    <row r="1476" spans="1:35">
      <c r="AI1476" s="131"/>
    </row>
    <row r="1477" spans="1:35">
      <c r="AI1477" s="131"/>
    </row>
    <row r="1478" spans="1:35">
      <c r="AI1478" s="131"/>
    </row>
    <row r="1479" spans="1:35">
      <c r="AI1479" s="131"/>
    </row>
    <row r="1480" spans="1:35">
      <c r="AI1480" s="131"/>
    </row>
    <row r="1481" spans="1:35">
      <c r="AI1481" s="131"/>
    </row>
    <row r="1482" spans="1:35" ht="26.4">
      <c r="A1482" s="284"/>
      <c r="B1482" s="284"/>
      <c r="C1482" s="284"/>
      <c r="D1482" s="284"/>
      <c r="E1482" s="284"/>
      <c r="F1482" s="284"/>
      <c r="G1482" s="284"/>
      <c r="H1482" s="284"/>
      <c r="I1482" s="284"/>
      <c r="J1482" s="375"/>
      <c r="K1482" s="375"/>
      <c r="L1482" s="375"/>
      <c r="M1482" s="368"/>
      <c r="N1482" s="368"/>
      <c r="T1482" s="340"/>
      <c r="V1482" s="378"/>
      <c r="W1482" s="64" ph="1"/>
      <c r="X1482" s="241"/>
      <c r="Y1482" s="284"/>
      <c r="Z1482" s="207"/>
      <c r="AA1482" s="284"/>
      <c r="AB1482" s="284"/>
      <c r="AC1482" s="284"/>
      <c r="AD1482" s="284"/>
      <c r="AE1482" s="284"/>
      <c r="AF1482" s="284"/>
      <c r="AG1482" s="284"/>
      <c r="AI1482" s="131"/>
    </row>
    <row r="1483" spans="1:35">
      <c r="AI1483" s="131"/>
    </row>
    <row r="1484" spans="1:35">
      <c r="AI1484" s="131"/>
    </row>
    <row r="1485" spans="1:35">
      <c r="AI1485" s="284"/>
    </row>
    <row r="1486" spans="1:35">
      <c r="AI1486" s="131"/>
    </row>
    <row r="1487" spans="1:35">
      <c r="AI1487" s="131"/>
    </row>
    <row r="1488" spans="1:35">
      <c r="AI1488" s="131"/>
    </row>
    <row r="1489" spans="1:35">
      <c r="AI1489" s="131"/>
    </row>
    <row r="1490" spans="1:35">
      <c r="AI1490" s="131"/>
    </row>
    <row r="1491" spans="1:35">
      <c r="AI1491" s="131"/>
    </row>
    <row r="1492" spans="1:35" ht="26.4">
      <c r="A1492" s="284"/>
      <c r="B1492" s="284"/>
      <c r="C1492" s="284"/>
      <c r="D1492" s="284"/>
      <c r="E1492" s="284"/>
      <c r="F1492" s="284"/>
      <c r="G1492" s="284"/>
      <c r="H1492" s="284"/>
      <c r="I1492" s="284"/>
      <c r="J1492" s="375"/>
      <c r="K1492" s="375"/>
      <c r="L1492" s="375"/>
      <c r="M1492" s="368"/>
      <c r="N1492" s="368"/>
      <c r="O1492" s="370"/>
      <c r="T1492" s="340"/>
      <c r="V1492" s="378"/>
      <c r="W1492" s="64" ph="1"/>
      <c r="X1492" s="241"/>
      <c r="Y1492" s="284"/>
      <c r="Z1492" s="207"/>
      <c r="AA1492" s="284"/>
      <c r="AB1492" s="284"/>
      <c r="AC1492" s="284"/>
      <c r="AD1492" s="284"/>
      <c r="AE1492" s="284"/>
      <c r="AF1492" s="284"/>
      <c r="AG1492" s="284"/>
      <c r="AI1492" s="131"/>
    </row>
    <row r="1493" spans="1:35">
      <c r="AI1493" s="131"/>
    </row>
    <row r="1494" spans="1:35">
      <c r="AI1494" s="131"/>
    </row>
    <row r="1495" spans="1:35">
      <c r="AI1495" s="131"/>
    </row>
    <row r="1496" spans="1:35" ht="26.4">
      <c r="A1496" s="284"/>
      <c r="B1496" s="284"/>
      <c r="C1496" s="284"/>
      <c r="D1496" s="284"/>
      <c r="E1496" s="284"/>
      <c r="F1496" s="284"/>
      <c r="G1496" s="284"/>
      <c r="H1496" s="284"/>
      <c r="I1496" s="284"/>
      <c r="J1496" s="375"/>
      <c r="K1496" s="375"/>
      <c r="L1496" s="375"/>
      <c r="M1496" s="368"/>
      <c r="N1496" s="368"/>
      <c r="T1496" s="340"/>
      <c r="V1496" s="378"/>
      <c r="W1496" s="64" ph="1"/>
      <c r="X1496" s="241"/>
      <c r="Y1496" s="284"/>
      <c r="Z1496" s="207"/>
      <c r="AA1496" s="284"/>
      <c r="AB1496" s="284"/>
      <c r="AC1496" s="284"/>
      <c r="AD1496" s="284"/>
      <c r="AE1496" s="284"/>
      <c r="AF1496" s="284"/>
      <c r="AG1496" s="284"/>
      <c r="AI1496" s="131"/>
    </row>
    <row r="1497" spans="1:35">
      <c r="AI1497" s="131"/>
    </row>
    <row r="1498" spans="1:35">
      <c r="AI1498" s="131"/>
    </row>
    <row r="1499" spans="1:35">
      <c r="AI1499" s="131"/>
    </row>
    <row r="1500" spans="1:35">
      <c r="AI1500" s="131"/>
    </row>
    <row r="1501" spans="1:35" ht="26.4">
      <c r="A1501" s="284"/>
      <c r="B1501" s="284"/>
      <c r="C1501" s="284"/>
      <c r="D1501" s="284"/>
      <c r="E1501" s="284"/>
      <c r="F1501" s="284"/>
      <c r="G1501" s="284"/>
      <c r="H1501" s="284"/>
      <c r="I1501" s="284"/>
      <c r="J1501" s="375"/>
      <c r="K1501" s="375"/>
      <c r="L1501" s="375"/>
      <c r="M1501" s="368"/>
      <c r="N1501" s="368"/>
      <c r="T1501" s="340"/>
      <c r="V1501" s="378"/>
      <c r="W1501" s="64" ph="1"/>
      <c r="X1501" s="241"/>
      <c r="Y1501" s="284"/>
      <c r="Z1501" s="207"/>
      <c r="AA1501" s="284"/>
      <c r="AB1501" s="284"/>
      <c r="AC1501" s="284"/>
      <c r="AD1501" s="284"/>
      <c r="AE1501" s="284"/>
      <c r="AF1501" s="284"/>
      <c r="AG1501" s="284"/>
      <c r="AI1501" s="131"/>
    </row>
    <row r="1502" spans="1:35" ht="26.4">
      <c r="A1502" s="284"/>
      <c r="B1502" s="284"/>
      <c r="C1502" s="284"/>
      <c r="D1502" s="284"/>
      <c r="E1502" s="284"/>
      <c r="F1502" s="284"/>
      <c r="G1502" s="284"/>
      <c r="H1502" s="284"/>
      <c r="I1502" s="284"/>
      <c r="J1502" s="375"/>
      <c r="K1502" s="375"/>
      <c r="L1502" s="375"/>
      <c r="M1502" s="368"/>
      <c r="N1502" s="368"/>
      <c r="O1502" s="370"/>
      <c r="T1502" s="340"/>
      <c r="V1502" s="378"/>
      <c r="W1502" s="64" ph="1"/>
      <c r="X1502" s="241"/>
      <c r="Y1502" s="284"/>
      <c r="Z1502" s="207"/>
      <c r="AA1502" s="284"/>
      <c r="AB1502" s="284"/>
      <c r="AC1502" s="284"/>
      <c r="AD1502" s="284"/>
      <c r="AE1502" s="284"/>
      <c r="AF1502" s="284"/>
      <c r="AG1502" s="284"/>
      <c r="AI1502" s="131"/>
    </row>
    <row r="1503" spans="1:35" ht="26.4">
      <c r="A1503" s="284"/>
      <c r="B1503" s="284"/>
      <c r="C1503" s="284"/>
      <c r="D1503" s="284"/>
      <c r="E1503" s="284"/>
      <c r="F1503" s="284"/>
      <c r="G1503" s="284"/>
      <c r="H1503" s="284"/>
      <c r="I1503" s="284"/>
      <c r="J1503" s="375"/>
      <c r="K1503" s="375"/>
      <c r="L1503" s="375"/>
      <c r="M1503" s="368"/>
      <c r="N1503" s="368"/>
      <c r="T1503" s="340"/>
      <c r="V1503" s="378"/>
      <c r="W1503" s="64" ph="1"/>
      <c r="X1503" s="241"/>
      <c r="Y1503" s="284"/>
      <c r="Z1503" s="207"/>
      <c r="AA1503" s="284"/>
      <c r="AB1503" s="284"/>
      <c r="AC1503" s="284"/>
      <c r="AD1503" s="284"/>
      <c r="AE1503" s="284"/>
      <c r="AF1503" s="284"/>
      <c r="AG1503" s="284"/>
      <c r="AI1503" s="131"/>
    </row>
    <row r="1504" spans="1:35">
      <c r="AI1504" s="131"/>
    </row>
    <row r="1505" spans="1:35" ht="26.4">
      <c r="A1505" s="284"/>
      <c r="B1505" s="284"/>
      <c r="C1505" s="284"/>
      <c r="D1505" s="284"/>
      <c r="E1505" s="284"/>
      <c r="F1505" s="284"/>
      <c r="G1505" s="284"/>
      <c r="H1505" s="284"/>
      <c r="I1505" s="284"/>
      <c r="J1505" s="375"/>
      <c r="K1505" s="375"/>
      <c r="L1505" s="375"/>
      <c r="M1505" s="368"/>
      <c r="N1505" s="368"/>
      <c r="T1505" s="340"/>
      <c r="V1505" s="378"/>
      <c r="W1505" s="64" ph="1"/>
      <c r="X1505" s="241"/>
      <c r="Y1505" s="284"/>
      <c r="Z1505" s="207"/>
      <c r="AA1505" s="284"/>
      <c r="AB1505" s="284"/>
      <c r="AC1505" s="284"/>
      <c r="AD1505" s="284"/>
      <c r="AE1505" s="284"/>
      <c r="AF1505" s="284"/>
      <c r="AG1505" s="284"/>
      <c r="AI1505" s="131"/>
    </row>
    <row r="1506" spans="1:35" ht="26.4">
      <c r="A1506" s="284"/>
      <c r="B1506" s="284"/>
      <c r="C1506" s="284"/>
      <c r="D1506" s="284"/>
      <c r="E1506" s="284"/>
      <c r="F1506" s="284"/>
      <c r="G1506" s="284"/>
      <c r="H1506" s="284"/>
      <c r="I1506" s="284"/>
      <c r="J1506" s="375"/>
      <c r="K1506" s="375"/>
      <c r="L1506" s="375"/>
      <c r="M1506" s="368"/>
      <c r="N1506" s="368"/>
      <c r="O1506" s="370"/>
      <c r="T1506" s="340"/>
      <c r="V1506" s="378"/>
      <c r="W1506" s="64" ph="1"/>
      <c r="X1506" s="241"/>
      <c r="Y1506" s="284"/>
      <c r="Z1506" s="207"/>
      <c r="AA1506" s="284"/>
      <c r="AB1506" s="284"/>
      <c r="AC1506" s="284"/>
      <c r="AD1506" s="284"/>
      <c r="AE1506" s="284"/>
      <c r="AF1506" s="284"/>
      <c r="AG1506" s="284"/>
      <c r="AI1506" s="131"/>
    </row>
    <row r="1507" spans="1:35">
      <c r="AI1507" s="131"/>
    </row>
    <row r="1508" spans="1:35" ht="26.4">
      <c r="A1508" s="284"/>
      <c r="B1508" s="284"/>
      <c r="C1508" s="284"/>
      <c r="D1508" s="284"/>
      <c r="E1508" s="284"/>
      <c r="F1508" s="284"/>
      <c r="G1508" s="284"/>
      <c r="H1508" s="284"/>
      <c r="I1508" s="284"/>
      <c r="J1508" s="375"/>
      <c r="K1508" s="375"/>
      <c r="L1508" s="375"/>
      <c r="M1508" s="368"/>
      <c r="N1508" s="368"/>
      <c r="T1508" s="340"/>
      <c r="V1508" s="378"/>
      <c r="W1508" s="64" ph="1"/>
      <c r="X1508" s="241"/>
      <c r="Y1508" s="284"/>
      <c r="Z1508" s="207"/>
      <c r="AA1508" s="284"/>
      <c r="AB1508" s="284"/>
      <c r="AC1508" s="284"/>
      <c r="AD1508" s="284"/>
      <c r="AE1508" s="284"/>
      <c r="AF1508" s="284"/>
      <c r="AG1508" s="284"/>
      <c r="AI1508" s="131"/>
    </row>
    <row r="1509" spans="1:35">
      <c r="AI1509" s="131"/>
    </row>
    <row r="1510" spans="1:35" ht="26.4">
      <c r="A1510" s="284"/>
      <c r="B1510" s="284"/>
      <c r="C1510" s="284"/>
      <c r="D1510" s="284"/>
      <c r="E1510" s="284"/>
      <c r="F1510" s="284"/>
      <c r="G1510" s="284"/>
      <c r="H1510" s="284"/>
      <c r="I1510" s="284"/>
      <c r="J1510" s="375"/>
      <c r="K1510" s="375"/>
      <c r="L1510" s="375"/>
      <c r="M1510" s="368"/>
      <c r="N1510" s="368"/>
      <c r="T1510" s="340"/>
      <c r="V1510" s="378"/>
      <c r="W1510" s="64" ph="1"/>
      <c r="X1510" s="241"/>
      <c r="Y1510" s="284"/>
      <c r="Z1510" s="207"/>
      <c r="AA1510" s="284"/>
      <c r="AB1510" s="284"/>
      <c r="AC1510" s="284"/>
      <c r="AD1510" s="284"/>
      <c r="AE1510" s="284"/>
      <c r="AF1510" s="284"/>
      <c r="AG1510" s="284"/>
      <c r="AI1510" s="131"/>
    </row>
    <row r="1511" spans="1:35" ht="26.4">
      <c r="A1511" s="284"/>
      <c r="B1511" s="284"/>
      <c r="C1511" s="284"/>
      <c r="D1511" s="284"/>
      <c r="E1511" s="284"/>
      <c r="F1511" s="284"/>
      <c r="G1511" s="284"/>
      <c r="H1511" s="284"/>
      <c r="I1511" s="284"/>
      <c r="J1511" s="375"/>
      <c r="K1511" s="375"/>
      <c r="L1511" s="375"/>
      <c r="M1511" s="368"/>
      <c r="N1511" s="368"/>
      <c r="O1511" s="370"/>
      <c r="T1511" s="340"/>
      <c r="V1511" s="378"/>
      <c r="W1511" s="64" ph="1"/>
      <c r="X1511" s="241"/>
      <c r="Y1511" s="284"/>
      <c r="Z1511" s="207"/>
      <c r="AA1511" s="284"/>
      <c r="AB1511" s="284"/>
      <c r="AC1511" s="284"/>
      <c r="AD1511" s="284"/>
      <c r="AE1511" s="284"/>
      <c r="AF1511" s="284"/>
      <c r="AG1511" s="284"/>
      <c r="AI1511" s="131"/>
    </row>
    <row r="1512" spans="1:35" ht="26.4">
      <c r="A1512" s="284"/>
      <c r="B1512" s="284"/>
      <c r="C1512" s="284"/>
      <c r="D1512" s="284"/>
      <c r="E1512" s="284"/>
      <c r="F1512" s="284"/>
      <c r="G1512" s="284"/>
      <c r="H1512" s="284"/>
      <c r="I1512" s="284"/>
      <c r="J1512" s="375"/>
      <c r="K1512" s="375"/>
      <c r="L1512" s="375"/>
      <c r="M1512" s="368"/>
      <c r="N1512" s="368"/>
      <c r="O1512" s="370"/>
      <c r="T1512" s="340"/>
      <c r="V1512" s="378"/>
      <c r="W1512" s="64" ph="1"/>
      <c r="X1512" s="241"/>
      <c r="Y1512" s="284"/>
      <c r="Z1512" s="207"/>
      <c r="AA1512" s="284"/>
      <c r="AB1512" s="284"/>
      <c r="AC1512" s="284"/>
      <c r="AD1512" s="284"/>
      <c r="AE1512" s="284"/>
      <c r="AF1512" s="284"/>
      <c r="AG1512" s="284"/>
      <c r="AI1512" s="131"/>
    </row>
    <row r="1513" spans="1:35" ht="26.4">
      <c r="A1513" s="284"/>
      <c r="B1513" s="284"/>
      <c r="C1513" s="284"/>
      <c r="D1513" s="284"/>
      <c r="E1513" s="284"/>
      <c r="F1513" s="284"/>
      <c r="G1513" s="284"/>
      <c r="H1513" s="284"/>
      <c r="I1513" s="284"/>
      <c r="J1513" s="375"/>
      <c r="K1513" s="375"/>
      <c r="L1513" s="375"/>
      <c r="M1513" s="368"/>
      <c r="N1513" s="368"/>
      <c r="O1513" s="370"/>
      <c r="T1513" s="340"/>
      <c r="V1513" s="378"/>
      <c r="W1513" s="64" ph="1"/>
      <c r="X1513" s="241"/>
      <c r="Y1513" s="284"/>
      <c r="Z1513" s="207"/>
      <c r="AA1513" s="284"/>
      <c r="AB1513" s="284"/>
      <c r="AC1513" s="284"/>
      <c r="AD1513" s="284"/>
      <c r="AE1513" s="284"/>
      <c r="AF1513" s="284"/>
      <c r="AG1513" s="284"/>
      <c r="AI1513" s="131"/>
    </row>
    <row r="1514" spans="1:35" ht="26.4">
      <c r="A1514" s="284"/>
      <c r="B1514" s="284"/>
      <c r="C1514" s="284"/>
      <c r="D1514" s="284"/>
      <c r="E1514" s="284"/>
      <c r="F1514" s="284"/>
      <c r="G1514" s="284"/>
      <c r="H1514" s="284"/>
      <c r="I1514" s="284"/>
      <c r="J1514" s="375"/>
      <c r="K1514" s="375"/>
      <c r="L1514" s="375"/>
      <c r="M1514" s="368"/>
      <c r="N1514" s="368"/>
      <c r="T1514" s="340"/>
      <c r="V1514" s="378"/>
      <c r="W1514" s="64" ph="1"/>
      <c r="X1514" s="241"/>
      <c r="Y1514" s="284"/>
      <c r="Z1514" s="207"/>
      <c r="AA1514" s="284"/>
      <c r="AB1514" s="284"/>
      <c r="AC1514" s="284"/>
      <c r="AD1514" s="284"/>
      <c r="AE1514" s="284"/>
      <c r="AF1514" s="284"/>
      <c r="AG1514" s="284"/>
      <c r="AI1514" s="131"/>
    </row>
    <row r="1515" spans="1:35" ht="26.4">
      <c r="A1515" s="284"/>
      <c r="B1515" s="284"/>
      <c r="C1515" s="284"/>
      <c r="D1515" s="284"/>
      <c r="E1515" s="284"/>
      <c r="F1515" s="284"/>
      <c r="G1515" s="284"/>
      <c r="H1515" s="284"/>
      <c r="I1515" s="284"/>
      <c r="J1515" s="375"/>
      <c r="K1515" s="375"/>
      <c r="L1515" s="375"/>
      <c r="M1515" s="368"/>
      <c r="N1515" s="368"/>
      <c r="O1515" s="370"/>
      <c r="T1515" s="340"/>
      <c r="V1515" s="378"/>
      <c r="W1515" s="64" ph="1"/>
      <c r="X1515" s="241"/>
      <c r="Y1515" s="284"/>
      <c r="Z1515" s="207"/>
      <c r="AA1515" s="284"/>
      <c r="AB1515" s="284"/>
      <c r="AC1515" s="284"/>
      <c r="AD1515" s="284"/>
      <c r="AE1515" s="284"/>
      <c r="AF1515" s="284"/>
      <c r="AG1515" s="284"/>
      <c r="AI1515" s="131"/>
    </row>
    <row r="1516" spans="1:35" ht="26.4">
      <c r="A1516" s="284"/>
      <c r="B1516" s="284"/>
      <c r="C1516" s="284"/>
      <c r="D1516" s="284"/>
      <c r="E1516" s="284"/>
      <c r="F1516" s="284"/>
      <c r="G1516" s="284"/>
      <c r="H1516" s="284"/>
      <c r="I1516" s="284"/>
      <c r="J1516" s="375"/>
      <c r="K1516" s="375"/>
      <c r="L1516" s="375"/>
      <c r="M1516" s="368"/>
      <c r="N1516" s="368"/>
      <c r="O1516" s="370"/>
      <c r="T1516" s="340"/>
      <c r="V1516" s="378"/>
      <c r="W1516" s="64" ph="1"/>
      <c r="X1516" s="241"/>
      <c r="Y1516" s="284"/>
      <c r="Z1516" s="207"/>
      <c r="AA1516" s="284"/>
      <c r="AB1516" s="284"/>
      <c r="AC1516" s="284"/>
      <c r="AD1516" s="284"/>
      <c r="AE1516" s="284"/>
      <c r="AF1516" s="284"/>
      <c r="AG1516" s="284"/>
      <c r="AI1516" s="131"/>
    </row>
    <row r="1517" spans="1:35" ht="26.4">
      <c r="A1517" s="284"/>
      <c r="B1517" s="284"/>
      <c r="C1517" s="284"/>
      <c r="D1517" s="284"/>
      <c r="E1517" s="284"/>
      <c r="F1517" s="284"/>
      <c r="G1517" s="284"/>
      <c r="H1517" s="284"/>
      <c r="I1517" s="284"/>
      <c r="J1517" s="375"/>
      <c r="K1517" s="375"/>
      <c r="L1517" s="375"/>
      <c r="M1517" s="368"/>
      <c r="N1517" s="368"/>
      <c r="T1517" s="340"/>
      <c r="V1517" s="378"/>
      <c r="W1517" s="64" ph="1"/>
      <c r="X1517" s="241"/>
      <c r="Y1517" s="284"/>
      <c r="Z1517" s="207"/>
      <c r="AA1517" s="284"/>
      <c r="AB1517" s="284"/>
      <c r="AC1517" s="284"/>
      <c r="AD1517" s="284"/>
      <c r="AE1517" s="284"/>
      <c r="AF1517" s="284"/>
      <c r="AG1517" s="284"/>
      <c r="AI1517" s="131"/>
    </row>
    <row r="1518" spans="1:35" ht="26.4">
      <c r="A1518" s="284"/>
      <c r="B1518" s="284"/>
      <c r="C1518" s="284"/>
      <c r="D1518" s="284"/>
      <c r="E1518" s="284"/>
      <c r="F1518" s="284"/>
      <c r="G1518" s="284"/>
      <c r="H1518" s="284"/>
      <c r="I1518" s="284"/>
      <c r="J1518" s="375"/>
      <c r="K1518" s="375"/>
      <c r="L1518" s="375"/>
      <c r="M1518" s="368"/>
      <c r="N1518" s="368"/>
      <c r="O1518" s="370"/>
      <c r="T1518" s="340"/>
      <c r="V1518" s="378"/>
      <c r="W1518" s="64" ph="1"/>
      <c r="X1518" s="241"/>
      <c r="Y1518" s="284"/>
      <c r="Z1518" s="207"/>
      <c r="AA1518" s="284"/>
      <c r="AB1518" s="284"/>
      <c r="AC1518" s="284"/>
      <c r="AD1518" s="284"/>
      <c r="AE1518" s="284"/>
      <c r="AF1518" s="284"/>
      <c r="AG1518" s="284"/>
      <c r="AI1518" s="128"/>
    </row>
    <row r="1519" spans="1:35" ht="26.4">
      <c r="A1519" s="284"/>
      <c r="B1519" s="284"/>
      <c r="C1519" s="284"/>
      <c r="D1519" s="284"/>
      <c r="E1519" s="284"/>
      <c r="F1519" s="284"/>
      <c r="G1519" s="284"/>
      <c r="H1519" s="284"/>
      <c r="I1519" s="284"/>
      <c r="J1519" s="375"/>
      <c r="K1519" s="375"/>
      <c r="L1519" s="375"/>
      <c r="M1519" s="368"/>
      <c r="N1519" s="368"/>
      <c r="T1519" s="340"/>
      <c r="V1519" s="378"/>
      <c r="W1519" s="64" ph="1"/>
      <c r="X1519" s="241"/>
      <c r="Y1519" s="284"/>
      <c r="Z1519" s="207"/>
      <c r="AA1519" s="284"/>
      <c r="AB1519" s="284"/>
      <c r="AC1519" s="284"/>
      <c r="AD1519" s="284"/>
      <c r="AE1519" s="284"/>
      <c r="AF1519" s="284"/>
      <c r="AG1519" s="284"/>
      <c r="AI1519" s="131"/>
    </row>
    <row r="1520" spans="1:35">
      <c r="O1520" s="370"/>
      <c r="AI1520" s="131"/>
    </row>
    <row r="1521" spans="1:35" ht="26.4">
      <c r="A1521" s="284"/>
      <c r="B1521" s="284"/>
      <c r="C1521" s="284"/>
      <c r="D1521" s="284"/>
      <c r="E1521" s="284"/>
      <c r="F1521" s="284"/>
      <c r="G1521" s="284"/>
      <c r="H1521" s="284"/>
      <c r="I1521" s="284"/>
      <c r="J1521" s="375"/>
      <c r="K1521" s="375"/>
      <c r="L1521" s="375"/>
      <c r="M1521" s="368"/>
      <c r="N1521" s="368"/>
      <c r="O1521" s="370"/>
      <c r="T1521" s="340"/>
      <c r="V1521" s="378"/>
      <c r="W1521" s="64" ph="1"/>
      <c r="X1521" s="241"/>
      <c r="Y1521" s="284"/>
      <c r="Z1521" s="207"/>
      <c r="AA1521" s="284"/>
      <c r="AB1521" s="284"/>
      <c r="AC1521" s="284"/>
      <c r="AD1521" s="284"/>
      <c r="AE1521" s="284"/>
      <c r="AF1521" s="284"/>
      <c r="AG1521" s="284"/>
      <c r="AI1521" s="131"/>
    </row>
    <row r="1522" spans="1:35" ht="26.4">
      <c r="A1522" s="284"/>
      <c r="B1522" s="284"/>
      <c r="C1522" s="284"/>
      <c r="D1522" s="284"/>
      <c r="E1522" s="284"/>
      <c r="F1522" s="284"/>
      <c r="G1522" s="284"/>
      <c r="H1522" s="284"/>
      <c r="I1522" s="284"/>
      <c r="J1522" s="375"/>
      <c r="K1522" s="375"/>
      <c r="L1522" s="375"/>
      <c r="M1522" s="368"/>
      <c r="N1522" s="368"/>
      <c r="O1522" s="370"/>
      <c r="T1522" s="340"/>
      <c r="V1522" s="378"/>
      <c r="W1522" s="64" ph="1"/>
      <c r="X1522" s="241"/>
      <c r="Y1522" s="284"/>
      <c r="Z1522" s="207"/>
      <c r="AA1522" s="284"/>
      <c r="AB1522" s="284"/>
      <c r="AC1522" s="284"/>
      <c r="AD1522" s="284"/>
      <c r="AE1522" s="284"/>
      <c r="AF1522" s="284"/>
      <c r="AG1522" s="284"/>
      <c r="AI1522" s="131"/>
    </row>
    <row r="1523" spans="1:35" ht="26.4">
      <c r="A1523" s="284"/>
      <c r="B1523" s="284"/>
      <c r="C1523" s="284"/>
      <c r="D1523" s="284"/>
      <c r="E1523" s="284"/>
      <c r="F1523" s="284"/>
      <c r="G1523" s="284"/>
      <c r="H1523" s="284"/>
      <c r="I1523" s="284"/>
      <c r="J1523" s="375"/>
      <c r="K1523" s="375"/>
      <c r="L1523" s="375"/>
      <c r="M1523" s="368"/>
      <c r="N1523" s="368"/>
      <c r="O1523" s="370"/>
      <c r="T1523" s="340"/>
      <c r="V1523" s="378"/>
      <c r="W1523" s="64" ph="1"/>
      <c r="X1523" s="241"/>
      <c r="Y1523" s="284"/>
      <c r="Z1523" s="207"/>
      <c r="AA1523" s="284"/>
      <c r="AB1523" s="284"/>
      <c r="AC1523" s="284"/>
      <c r="AD1523" s="284"/>
      <c r="AE1523" s="284"/>
      <c r="AF1523" s="284"/>
      <c r="AG1523" s="284"/>
      <c r="AI1523" s="131"/>
    </row>
    <row r="1524" spans="1:35" ht="26.4">
      <c r="A1524" s="284"/>
      <c r="B1524" s="284"/>
      <c r="C1524" s="284"/>
      <c r="D1524" s="284"/>
      <c r="E1524" s="284"/>
      <c r="F1524" s="284"/>
      <c r="G1524" s="284"/>
      <c r="H1524" s="284"/>
      <c r="I1524" s="284"/>
      <c r="J1524" s="375"/>
      <c r="K1524" s="375"/>
      <c r="L1524" s="375"/>
      <c r="M1524" s="368"/>
      <c r="N1524" s="368"/>
      <c r="O1524" s="370"/>
      <c r="T1524" s="340"/>
      <c r="V1524" s="378"/>
      <c r="W1524" s="64" ph="1"/>
      <c r="X1524" s="241"/>
      <c r="Y1524" s="284"/>
      <c r="Z1524" s="207"/>
      <c r="AA1524" s="284"/>
      <c r="AB1524" s="284"/>
      <c r="AC1524" s="284"/>
      <c r="AD1524" s="284"/>
      <c r="AE1524" s="284"/>
      <c r="AF1524" s="284"/>
      <c r="AG1524" s="284"/>
      <c r="AI1524" s="131"/>
    </row>
    <row r="1525" spans="1:35" ht="26.4">
      <c r="A1525" s="284"/>
      <c r="B1525" s="284"/>
      <c r="C1525" s="284"/>
      <c r="D1525" s="284"/>
      <c r="E1525" s="284"/>
      <c r="F1525" s="284"/>
      <c r="G1525" s="284"/>
      <c r="H1525" s="284"/>
      <c r="I1525" s="284"/>
      <c r="J1525" s="375"/>
      <c r="K1525" s="375"/>
      <c r="L1525" s="375"/>
      <c r="M1525" s="368"/>
      <c r="N1525" s="368"/>
      <c r="O1525" s="370"/>
      <c r="T1525" s="340"/>
      <c r="V1525" s="378"/>
      <c r="W1525" s="64" ph="1"/>
      <c r="X1525" s="241"/>
      <c r="Y1525" s="284"/>
      <c r="Z1525" s="207"/>
      <c r="AA1525" s="284"/>
      <c r="AB1525" s="284"/>
      <c r="AC1525" s="284"/>
      <c r="AD1525" s="284"/>
      <c r="AE1525" s="284"/>
      <c r="AF1525" s="284"/>
      <c r="AG1525" s="284"/>
      <c r="AI1525" s="131"/>
    </row>
    <row r="1526" spans="1:35" ht="26.4">
      <c r="A1526" s="284"/>
      <c r="B1526" s="284"/>
      <c r="C1526" s="284"/>
      <c r="D1526" s="284"/>
      <c r="E1526" s="284"/>
      <c r="F1526" s="284"/>
      <c r="G1526" s="284"/>
      <c r="H1526" s="284"/>
      <c r="I1526" s="284"/>
      <c r="J1526" s="375"/>
      <c r="K1526" s="375"/>
      <c r="L1526" s="375"/>
      <c r="M1526" s="368"/>
      <c r="N1526" s="368"/>
      <c r="O1526" s="370"/>
      <c r="T1526" s="340"/>
      <c r="V1526" s="378"/>
      <c r="W1526" s="64" ph="1"/>
      <c r="X1526" s="241"/>
      <c r="Y1526" s="284"/>
      <c r="Z1526" s="207"/>
      <c r="AA1526" s="284"/>
      <c r="AB1526" s="284"/>
      <c r="AC1526" s="284"/>
      <c r="AD1526" s="284"/>
      <c r="AE1526" s="284"/>
      <c r="AF1526" s="284"/>
      <c r="AG1526" s="284"/>
      <c r="AI1526" s="131"/>
    </row>
    <row r="1527" spans="1:35" ht="26.4">
      <c r="A1527" s="284"/>
      <c r="B1527" s="284"/>
      <c r="C1527" s="284"/>
      <c r="D1527" s="284"/>
      <c r="E1527" s="284"/>
      <c r="F1527" s="284"/>
      <c r="G1527" s="284"/>
      <c r="H1527" s="284"/>
      <c r="I1527" s="284"/>
      <c r="J1527" s="375"/>
      <c r="K1527" s="375"/>
      <c r="L1527" s="375"/>
      <c r="M1527" s="368"/>
      <c r="N1527" s="368"/>
      <c r="O1527" s="370"/>
      <c r="T1527" s="340"/>
      <c r="V1527" s="378"/>
      <c r="W1527" s="64" ph="1"/>
      <c r="X1527" s="241"/>
      <c r="Y1527" s="284"/>
      <c r="Z1527" s="207"/>
      <c r="AA1527" s="284"/>
      <c r="AB1527" s="284"/>
      <c r="AC1527" s="284"/>
      <c r="AD1527" s="284"/>
      <c r="AE1527" s="284"/>
      <c r="AF1527" s="284"/>
      <c r="AG1527" s="284"/>
      <c r="AI1527" s="131"/>
    </row>
    <row r="1528" spans="1:35" ht="26.4">
      <c r="A1528" s="284"/>
      <c r="B1528" s="284"/>
      <c r="C1528" s="284"/>
      <c r="D1528" s="284"/>
      <c r="E1528" s="284"/>
      <c r="F1528" s="284"/>
      <c r="G1528" s="284"/>
      <c r="H1528" s="284"/>
      <c r="I1528" s="284"/>
      <c r="J1528" s="375"/>
      <c r="K1528" s="375"/>
      <c r="L1528" s="375"/>
      <c r="M1528" s="368"/>
      <c r="N1528" s="368"/>
      <c r="O1528" s="370"/>
      <c r="T1528" s="340"/>
      <c r="V1528" s="378"/>
      <c r="W1528" s="64" ph="1"/>
      <c r="X1528" s="241"/>
      <c r="Y1528" s="284"/>
      <c r="Z1528" s="207"/>
      <c r="AA1528" s="284"/>
      <c r="AB1528" s="284"/>
      <c r="AC1528" s="284"/>
      <c r="AD1528" s="284"/>
      <c r="AE1528" s="284"/>
      <c r="AF1528" s="284"/>
      <c r="AG1528" s="284"/>
      <c r="AI1528" s="131"/>
    </row>
    <row r="1529" spans="1:35">
      <c r="O1529" s="370"/>
      <c r="AI1529" s="131"/>
    </row>
    <row r="1530" spans="1:35" ht="26.4">
      <c r="A1530" s="284"/>
      <c r="B1530" s="284"/>
      <c r="C1530" s="284"/>
      <c r="D1530" s="284"/>
      <c r="E1530" s="284"/>
      <c r="F1530" s="284"/>
      <c r="G1530" s="284"/>
      <c r="H1530" s="284"/>
      <c r="I1530" s="284"/>
      <c r="J1530" s="375"/>
      <c r="K1530" s="375"/>
      <c r="L1530" s="375"/>
      <c r="M1530" s="368"/>
      <c r="N1530" s="368"/>
      <c r="T1530" s="340"/>
      <c r="V1530" s="378"/>
      <c r="W1530" s="64" ph="1"/>
      <c r="X1530" s="241"/>
      <c r="Y1530" s="284"/>
      <c r="Z1530" s="207"/>
      <c r="AA1530" s="284"/>
      <c r="AB1530" s="284"/>
      <c r="AC1530" s="284"/>
      <c r="AD1530" s="284"/>
      <c r="AE1530" s="284"/>
      <c r="AF1530" s="284"/>
      <c r="AG1530" s="284"/>
      <c r="AI1530" s="131"/>
    </row>
    <row r="1531" spans="1:35" ht="26.4">
      <c r="A1531" s="284"/>
      <c r="B1531" s="284"/>
      <c r="C1531" s="284"/>
      <c r="D1531" s="284"/>
      <c r="E1531" s="284"/>
      <c r="F1531" s="284"/>
      <c r="G1531" s="284"/>
      <c r="H1531" s="284"/>
      <c r="I1531" s="284"/>
      <c r="J1531" s="375"/>
      <c r="K1531" s="375"/>
      <c r="L1531" s="375"/>
      <c r="M1531" s="368"/>
      <c r="N1531" s="368"/>
      <c r="O1531" s="370"/>
      <c r="T1531" s="340"/>
      <c r="V1531" s="378"/>
      <c r="W1531" s="64" ph="1"/>
      <c r="X1531" s="241"/>
      <c r="Y1531" s="284"/>
      <c r="Z1531" s="207"/>
      <c r="AA1531" s="284"/>
      <c r="AB1531" s="284"/>
      <c r="AC1531" s="284"/>
      <c r="AD1531" s="284"/>
      <c r="AE1531" s="284"/>
      <c r="AF1531" s="284"/>
      <c r="AG1531" s="284"/>
      <c r="AI1531" s="131"/>
    </row>
    <row r="1532" spans="1:35" ht="26.4">
      <c r="A1532" s="284"/>
      <c r="B1532" s="284"/>
      <c r="C1532" s="284"/>
      <c r="D1532" s="284"/>
      <c r="E1532" s="284"/>
      <c r="F1532" s="284"/>
      <c r="G1532" s="284"/>
      <c r="H1532" s="284"/>
      <c r="I1532" s="284"/>
      <c r="J1532" s="375"/>
      <c r="K1532" s="375"/>
      <c r="L1532" s="375"/>
      <c r="M1532" s="368"/>
      <c r="N1532" s="368"/>
      <c r="O1532" s="370"/>
      <c r="T1532" s="340"/>
      <c r="V1532" s="378"/>
      <c r="W1532" s="64" ph="1"/>
      <c r="X1532" s="241"/>
      <c r="Y1532" s="284"/>
      <c r="Z1532" s="207"/>
      <c r="AA1532" s="284"/>
      <c r="AB1532" s="284"/>
      <c r="AC1532" s="284"/>
      <c r="AD1532" s="284"/>
      <c r="AE1532" s="284"/>
      <c r="AF1532" s="284"/>
      <c r="AG1532" s="284"/>
      <c r="AI1532" s="284"/>
    </row>
    <row r="1533" spans="1:35" ht="26.4">
      <c r="A1533" s="284"/>
      <c r="B1533" s="284"/>
      <c r="C1533" s="284"/>
      <c r="D1533" s="284"/>
      <c r="E1533" s="284"/>
      <c r="F1533" s="284"/>
      <c r="G1533" s="284"/>
      <c r="H1533" s="284"/>
      <c r="I1533" s="284"/>
      <c r="J1533" s="375"/>
      <c r="K1533" s="375"/>
      <c r="L1533" s="375"/>
      <c r="M1533" s="368"/>
      <c r="N1533" s="368"/>
      <c r="O1533" s="370"/>
      <c r="T1533" s="340"/>
      <c r="V1533" s="378"/>
      <c r="W1533" s="64" ph="1"/>
      <c r="X1533" s="241"/>
      <c r="Y1533" s="284"/>
      <c r="Z1533" s="207"/>
      <c r="AA1533" s="284"/>
      <c r="AB1533" s="284"/>
      <c r="AC1533" s="284"/>
      <c r="AD1533" s="284"/>
      <c r="AE1533" s="284"/>
      <c r="AF1533" s="284"/>
      <c r="AG1533" s="284"/>
      <c r="AI1533" s="131"/>
    </row>
    <row r="1534" spans="1:35" ht="26.4">
      <c r="A1534" s="284"/>
      <c r="B1534" s="284"/>
      <c r="C1534" s="284"/>
      <c r="D1534" s="284"/>
      <c r="E1534" s="284"/>
      <c r="F1534" s="284"/>
      <c r="G1534" s="284"/>
      <c r="H1534" s="284"/>
      <c r="I1534" s="284"/>
      <c r="J1534" s="375"/>
      <c r="K1534" s="375"/>
      <c r="L1534" s="375"/>
      <c r="M1534" s="368"/>
      <c r="N1534" s="368"/>
      <c r="O1534" s="370"/>
      <c r="T1534" s="340"/>
      <c r="V1534" s="378"/>
      <c r="W1534" s="64" ph="1"/>
      <c r="X1534" s="241"/>
      <c r="Y1534" s="284"/>
      <c r="Z1534" s="207"/>
      <c r="AA1534" s="284"/>
      <c r="AB1534" s="284"/>
      <c r="AC1534" s="284"/>
      <c r="AD1534" s="284"/>
      <c r="AE1534" s="284"/>
      <c r="AF1534" s="284"/>
      <c r="AG1534" s="284"/>
      <c r="AI1534" s="131"/>
    </row>
    <row r="1535" spans="1:35" ht="26.4">
      <c r="A1535" s="284"/>
      <c r="B1535" s="284"/>
      <c r="C1535" s="284"/>
      <c r="D1535" s="284"/>
      <c r="E1535" s="284"/>
      <c r="F1535" s="284"/>
      <c r="G1535" s="284"/>
      <c r="H1535" s="284"/>
      <c r="I1535" s="284"/>
      <c r="J1535" s="375"/>
      <c r="K1535" s="375"/>
      <c r="L1535" s="375"/>
      <c r="M1535" s="368"/>
      <c r="N1535" s="368"/>
      <c r="O1535" s="370"/>
      <c r="T1535" s="340"/>
      <c r="V1535" s="378"/>
      <c r="W1535" s="64" ph="1"/>
      <c r="X1535" s="241"/>
      <c r="Y1535" s="284"/>
      <c r="Z1535" s="207"/>
      <c r="AA1535" s="284"/>
      <c r="AB1535" s="284"/>
      <c r="AC1535" s="284"/>
      <c r="AD1535" s="284"/>
      <c r="AE1535" s="284"/>
      <c r="AF1535" s="284"/>
      <c r="AG1535" s="284"/>
      <c r="AI1535" s="131"/>
    </row>
    <row r="1536" spans="1:35" ht="26.4">
      <c r="A1536" s="284"/>
      <c r="B1536" s="284"/>
      <c r="C1536" s="284"/>
      <c r="D1536" s="284"/>
      <c r="E1536" s="284"/>
      <c r="F1536" s="284"/>
      <c r="G1536" s="284"/>
      <c r="H1536" s="284"/>
      <c r="I1536" s="284"/>
      <c r="J1536" s="375"/>
      <c r="K1536" s="375"/>
      <c r="L1536" s="375"/>
      <c r="M1536" s="368"/>
      <c r="N1536" s="368"/>
      <c r="O1536" s="370"/>
      <c r="T1536" s="340"/>
      <c r="V1536" s="378"/>
      <c r="W1536" s="64" ph="1"/>
      <c r="X1536" s="241"/>
      <c r="Y1536" s="284"/>
      <c r="Z1536" s="207"/>
      <c r="AA1536" s="284"/>
      <c r="AB1536" s="284"/>
      <c r="AC1536" s="284"/>
      <c r="AD1536" s="284"/>
      <c r="AE1536" s="284"/>
      <c r="AF1536" s="284"/>
      <c r="AG1536" s="284"/>
      <c r="AI1536" s="131"/>
    </row>
    <row r="1537" spans="1:35" ht="26.4">
      <c r="A1537" s="284"/>
      <c r="B1537" s="284"/>
      <c r="C1537" s="284"/>
      <c r="D1537" s="284"/>
      <c r="E1537" s="284"/>
      <c r="F1537" s="284"/>
      <c r="G1537" s="284"/>
      <c r="H1537" s="284"/>
      <c r="I1537" s="284"/>
      <c r="J1537" s="375"/>
      <c r="K1537" s="375"/>
      <c r="L1537" s="375"/>
      <c r="M1537" s="368"/>
      <c r="N1537" s="368"/>
      <c r="O1537" s="370"/>
      <c r="T1537" s="340"/>
      <c r="V1537" s="378"/>
      <c r="W1537" s="64" ph="1"/>
      <c r="X1537" s="241"/>
      <c r="Y1537" s="284"/>
      <c r="Z1537" s="207"/>
      <c r="AA1537" s="284"/>
      <c r="AB1537" s="284"/>
      <c r="AC1537" s="284"/>
      <c r="AD1537" s="284"/>
      <c r="AE1537" s="284"/>
      <c r="AF1537" s="284"/>
      <c r="AG1537" s="284"/>
      <c r="AI1537" s="131"/>
    </row>
    <row r="1538" spans="1:35" ht="26.4">
      <c r="A1538" s="284"/>
      <c r="B1538" s="284"/>
      <c r="C1538" s="284"/>
      <c r="D1538" s="284"/>
      <c r="E1538" s="284"/>
      <c r="F1538" s="284"/>
      <c r="G1538" s="284"/>
      <c r="H1538" s="284"/>
      <c r="I1538" s="284"/>
      <c r="J1538" s="375"/>
      <c r="K1538" s="375"/>
      <c r="L1538" s="375"/>
      <c r="M1538" s="368"/>
      <c r="N1538" s="368"/>
      <c r="O1538" s="370"/>
      <c r="T1538" s="340"/>
      <c r="V1538" s="378"/>
      <c r="W1538" s="64" ph="1"/>
      <c r="X1538" s="241"/>
      <c r="Y1538" s="284"/>
      <c r="Z1538" s="207"/>
      <c r="AA1538" s="284"/>
      <c r="AB1538" s="284"/>
      <c r="AC1538" s="284"/>
      <c r="AD1538" s="284"/>
      <c r="AE1538" s="284"/>
      <c r="AF1538" s="284"/>
      <c r="AG1538" s="284"/>
      <c r="AI1538" s="131"/>
    </row>
    <row r="1539" spans="1:35" ht="26.4">
      <c r="A1539" s="284"/>
      <c r="B1539" s="284"/>
      <c r="C1539" s="284"/>
      <c r="D1539" s="284"/>
      <c r="E1539" s="284"/>
      <c r="F1539" s="284"/>
      <c r="G1539" s="284"/>
      <c r="H1539" s="284"/>
      <c r="I1539" s="284"/>
      <c r="J1539" s="375"/>
      <c r="K1539" s="375"/>
      <c r="L1539" s="375"/>
      <c r="M1539" s="368"/>
      <c r="N1539" s="368"/>
      <c r="T1539" s="340"/>
      <c r="V1539" s="378"/>
      <c r="W1539" s="64" ph="1"/>
      <c r="X1539" s="241"/>
      <c r="Y1539" s="284"/>
      <c r="Z1539" s="207"/>
      <c r="AA1539" s="284"/>
      <c r="AB1539" s="284"/>
      <c r="AC1539" s="284"/>
      <c r="AD1539" s="284"/>
      <c r="AE1539" s="284"/>
      <c r="AF1539" s="284"/>
      <c r="AG1539" s="284"/>
      <c r="AI1539" s="131"/>
    </row>
    <row r="1540" spans="1:35" ht="26.4">
      <c r="A1540" s="284"/>
      <c r="B1540" s="284"/>
      <c r="C1540" s="284"/>
      <c r="D1540" s="284"/>
      <c r="E1540" s="284"/>
      <c r="F1540" s="284"/>
      <c r="G1540" s="284"/>
      <c r="H1540" s="284"/>
      <c r="I1540" s="284"/>
      <c r="J1540" s="375"/>
      <c r="K1540" s="375"/>
      <c r="L1540" s="375"/>
      <c r="M1540" s="368"/>
      <c r="N1540" s="368"/>
      <c r="O1540" s="370"/>
      <c r="T1540" s="340"/>
      <c r="V1540" s="378"/>
      <c r="W1540" s="64" ph="1"/>
      <c r="X1540" s="241"/>
      <c r="Y1540" s="284"/>
      <c r="Z1540" s="207"/>
      <c r="AA1540" s="284"/>
      <c r="AB1540" s="284"/>
      <c r="AC1540" s="284"/>
      <c r="AD1540" s="284"/>
      <c r="AE1540" s="284"/>
      <c r="AF1540" s="284"/>
      <c r="AG1540" s="284"/>
      <c r="AI1540" s="131"/>
    </row>
    <row r="1541" spans="1:35">
      <c r="O1541" s="370"/>
      <c r="AI1541" s="131"/>
    </row>
    <row r="1542" spans="1:35" ht="26.4">
      <c r="A1542" s="284"/>
      <c r="B1542" s="284"/>
      <c r="C1542" s="284"/>
      <c r="D1542" s="284"/>
      <c r="E1542" s="284"/>
      <c r="F1542" s="284"/>
      <c r="G1542" s="284"/>
      <c r="H1542" s="284"/>
      <c r="I1542" s="284"/>
      <c r="J1542" s="375"/>
      <c r="K1542" s="375"/>
      <c r="L1542" s="375"/>
      <c r="M1542" s="368"/>
      <c r="N1542" s="368"/>
      <c r="O1542" s="370"/>
      <c r="T1542" s="340"/>
      <c r="V1542" s="378"/>
      <c r="W1542" s="64" ph="1"/>
      <c r="X1542" s="241"/>
      <c r="Y1542" s="284"/>
      <c r="Z1542" s="207"/>
      <c r="AA1542" s="284"/>
      <c r="AB1542" s="284"/>
      <c r="AC1542" s="284"/>
      <c r="AD1542" s="284"/>
      <c r="AE1542" s="284"/>
      <c r="AF1542" s="284"/>
      <c r="AG1542" s="284"/>
      <c r="AI1542" s="131"/>
    </row>
    <row r="1543" spans="1:35" ht="26.4">
      <c r="A1543" s="284"/>
      <c r="B1543" s="284"/>
      <c r="C1543" s="284"/>
      <c r="D1543" s="284"/>
      <c r="E1543" s="284"/>
      <c r="F1543" s="284"/>
      <c r="G1543" s="284"/>
      <c r="H1543" s="284"/>
      <c r="I1543" s="284"/>
      <c r="J1543" s="375"/>
      <c r="K1543" s="375"/>
      <c r="L1543" s="375"/>
      <c r="M1543" s="368"/>
      <c r="N1543" s="368"/>
      <c r="O1543" s="370"/>
      <c r="T1543" s="340"/>
      <c r="V1543" s="378"/>
      <c r="W1543" s="64" ph="1"/>
      <c r="X1543" s="241"/>
      <c r="Y1543" s="284"/>
      <c r="Z1543" s="207"/>
      <c r="AA1543" s="284"/>
      <c r="AB1543" s="284"/>
      <c r="AC1543" s="284"/>
      <c r="AD1543" s="284"/>
      <c r="AE1543" s="284"/>
      <c r="AF1543" s="284"/>
      <c r="AG1543" s="284"/>
      <c r="AI1543" s="131"/>
    </row>
    <row r="1544" spans="1:35" ht="26.4">
      <c r="A1544" s="284"/>
      <c r="B1544" s="284"/>
      <c r="C1544" s="284"/>
      <c r="D1544" s="284"/>
      <c r="E1544" s="284"/>
      <c r="F1544" s="284"/>
      <c r="G1544" s="284"/>
      <c r="H1544" s="284"/>
      <c r="I1544" s="284"/>
      <c r="J1544" s="375"/>
      <c r="K1544" s="375"/>
      <c r="L1544" s="375"/>
      <c r="M1544" s="368"/>
      <c r="N1544" s="368"/>
      <c r="O1544" s="370"/>
      <c r="T1544" s="340"/>
      <c r="V1544" s="378"/>
      <c r="W1544" s="64" ph="1"/>
      <c r="X1544" s="241"/>
      <c r="Y1544" s="284"/>
      <c r="Z1544" s="207"/>
      <c r="AA1544" s="284"/>
      <c r="AB1544" s="284"/>
      <c r="AC1544" s="284"/>
      <c r="AD1544" s="284"/>
      <c r="AE1544" s="284"/>
      <c r="AF1544" s="284"/>
      <c r="AG1544" s="284"/>
      <c r="AI1544" s="131"/>
    </row>
    <row r="1545" spans="1:35" ht="26.4">
      <c r="A1545" s="284"/>
      <c r="B1545" s="284"/>
      <c r="C1545" s="284"/>
      <c r="D1545" s="284"/>
      <c r="E1545" s="284"/>
      <c r="F1545" s="284"/>
      <c r="G1545" s="284"/>
      <c r="H1545" s="284"/>
      <c r="I1545" s="284"/>
      <c r="J1545" s="375"/>
      <c r="K1545" s="375"/>
      <c r="L1545" s="375"/>
      <c r="M1545" s="368"/>
      <c r="N1545" s="368"/>
      <c r="O1545" s="370"/>
      <c r="T1545" s="340"/>
      <c r="V1545" s="378"/>
      <c r="W1545" s="64" ph="1"/>
      <c r="X1545" s="241"/>
      <c r="Y1545" s="284"/>
      <c r="Z1545" s="207"/>
      <c r="AA1545" s="284"/>
      <c r="AB1545" s="284"/>
      <c r="AC1545" s="284"/>
      <c r="AD1545" s="284"/>
      <c r="AE1545" s="284"/>
      <c r="AF1545" s="284"/>
      <c r="AG1545" s="284"/>
      <c r="AI1545" s="131"/>
    </row>
    <row r="1546" spans="1:35" ht="26.4">
      <c r="A1546" s="284"/>
      <c r="B1546" s="284"/>
      <c r="C1546" s="284"/>
      <c r="D1546" s="284"/>
      <c r="E1546" s="284"/>
      <c r="F1546" s="284"/>
      <c r="G1546" s="284"/>
      <c r="H1546" s="284"/>
      <c r="I1546" s="284"/>
      <c r="J1546" s="375"/>
      <c r="K1546" s="375"/>
      <c r="L1546" s="375"/>
      <c r="M1546" s="368"/>
      <c r="N1546" s="368"/>
      <c r="O1546" s="370"/>
      <c r="T1546" s="340"/>
      <c r="V1546" s="378"/>
      <c r="W1546" s="64" ph="1"/>
      <c r="X1546" s="241"/>
      <c r="Y1546" s="284"/>
      <c r="Z1546" s="207"/>
      <c r="AA1546" s="284"/>
      <c r="AB1546" s="284"/>
      <c r="AC1546" s="284"/>
      <c r="AD1546" s="284"/>
      <c r="AE1546" s="284"/>
      <c r="AF1546" s="284"/>
      <c r="AG1546" s="284"/>
      <c r="AI1546" s="131"/>
    </row>
    <row r="1547" spans="1:35" ht="26.4">
      <c r="A1547" s="284"/>
      <c r="B1547" s="284"/>
      <c r="C1547" s="284"/>
      <c r="D1547" s="284"/>
      <c r="E1547" s="284"/>
      <c r="F1547" s="284"/>
      <c r="G1547" s="284"/>
      <c r="H1547" s="284"/>
      <c r="I1547" s="284"/>
      <c r="J1547" s="375"/>
      <c r="K1547" s="375"/>
      <c r="L1547" s="375"/>
      <c r="M1547" s="368"/>
      <c r="N1547" s="368"/>
      <c r="O1547" s="370"/>
      <c r="T1547" s="340"/>
      <c r="V1547" s="378"/>
      <c r="W1547" s="64" ph="1"/>
      <c r="X1547" s="241"/>
      <c r="Y1547" s="284"/>
      <c r="Z1547" s="207"/>
      <c r="AA1547" s="284"/>
      <c r="AB1547" s="284"/>
      <c r="AC1547" s="284"/>
      <c r="AD1547" s="284"/>
      <c r="AE1547" s="284"/>
      <c r="AF1547" s="284"/>
      <c r="AG1547" s="284"/>
      <c r="AI1547" s="28"/>
    </row>
    <row r="1548" spans="1:35" ht="26.4">
      <c r="A1548" s="284"/>
      <c r="B1548" s="284"/>
      <c r="C1548" s="284"/>
      <c r="D1548" s="284"/>
      <c r="E1548" s="284"/>
      <c r="F1548" s="284"/>
      <c r="G1548" s="284"/>
      <c r="H1548" s="284"/>
      <c r="I1548" s="284"/>
      <c r="J1548" s="375"/>
      <c r="K1548" s="375"/>
      <c r="L1548" s="375"/>
      <c r="M1548" s="368"/>
      <c r="N1548" s="368"/>
      <c r="O1548" s="370"/>
      <c r="T1548" s="340"/>
      <c r="V1548" s="378"/>
      <c r="W1548" s="64" ph="1"/>
      <c r="X1548" s="241"/>
      <c r="Y1548" s="284"/>
      <c r="Z1548" s="207"/>
      <c r="AA1548" s="284"/>
      <c r="AB1548" s="284"/>
      <c r="AC1548" s="284"/>
      <c r="AD1548" s="284"/>
      <c r="AE1548" s="284"/>
      <c r="AF1548" s="284"/>
      <c r="AG1548" s="284"/>
      <c r="AI1548" s="131"/>
    </row>
    <row r="1549" spans="1:35" ht="26.4">
      <c r="A1549" s="284"/>
      <c r="B1549" s="284"/>
      <c r="C1549" s="284"/>
      <c r="D1549" s="284"/>
      <c r="E1549" s="284"/>
      <c r="F1549" s="284"/>
      <c r="G1549" s="284"/>
      <c r="H1549" s="284"/>
      <c r="I1549" s="284"/>
      <c r="J1549" s="375"/>
      <c r="K1549" s="375"/>
      <c r="L1549" s="375"/>
      <c r="M1549" s="368"/>
      <c r="N1549" s="368"/>
      <c r="O1549" s="370"/>
      <c r="T1549" s="340"/>
      <c r="V1549" s="378"/>
      <c r="W1549" s="64" ph="1"/>
      <c r="X1549" s="241"/>
      <c r="Y1549" s="284"/>
      <c r="Z1549" s="207"/>
      <c r="AA1549" s="284"/>
      <c r="AB1549" s="284"/>
      <c r="AC1549" s="284"/>
      <c r="AD1549" s="284"/>
      <c r="AE1549" s="284"/>
      <c r="AF1549" s="284"/>
      <c r="AG1549" s="284"/>
      <c r="AI1549" s="131"/>
    </row>
    <row r="1550" spans="1:35">
      <c r="O1550" s="370"/>
      <c r="AI1550" s="131"/>
    </row>
    <row r="1551" spans="1:35" ht="26.4">
      <c r="A1551" s="284"/>
      <c r="B1551" s="284"/>
      <c r="C1551" s="284"/>
      <c r="D1551" s="284"/>
      <c r="E1551" s="284"/>
      <c r="F1551" s="284"/>
      <c r="G1551" s="284"/>
      <c r="H1551" s="284"/>
      <c r="I1551" s="284"/>
      <c r="J1551" s="375"/>
      <c r="K1551" s="375"/>
      <c r="L1551" s="375"/>
      <c r="M1551" s="368"/>
      <c r="N1551" s="368"/>
      <c r="T1551" s="340"/>
      <c r="V1551" s="378"/>
      <c r="W1551" s="64" ph="1"/>
      <c r="X1551" s="241"/>
      <c r="Y1551" s="284"/>
      <c r="Z1551" s="207"/>
      <c r="AA1551" s="284"/>
      <c r="AB1551" s="284"/>
      <c r="AC1551" s="284"/>
      <c r="AD1551" s="284"/>
      <c r="AE1551" s="284"/>
      <c r="AF1551" s="284"/>
      <c r="AG1551" s="284"/>
      <c r="AI1551" s="131"/>
    </row>
    <row r="1552" spans="1:35" ht="26.4">
      <c r="A1552" s="284"/>
      <c r="B1552" s="284"/>
      <c r="C1552" s="284"/>
      <c r="D1552" s="284"/>
      <c r="E1552" s="284"/>
      <c r="F1552" s="284"/>
      <c r="G1552" s="284"/>
      <c r="H1552" s="284"/>
      <c r="I1552" s="284"/>
      <c r="J1552" s="375"/>
      <c r="K1552" s="375"/>
      <c r="L1552" s="375"/>
      <c r="M1552" s="368"/>
      <c r="N1552" s="368"/>
      <c r="O1552" s="370"/>
      <c r="T1552" s="340"/>
      <c r="V1552" s="378"/>
      <c r="W1552" s="64" ph="1"/>
      <c r="X1552" s="241"/>
      <c r="Y1552" s="284"/>
      <c r="Z1552" s="207"/>
      <c r="AA1552" s="284"/>
      <c r="AB1552" s="284"/>
      <c r="AC1552" s="284"/>
      <c r="AD1552" s="284"/>
      <c r="AE1552" s="284"/>
      <c r="AF1552" s="284"/>
      <c r="AG1552" s="284"/>
      <c r="AI1552" s="131"/>
    </row>
    <row r="1553" spans="1:35" ht="26.4">
      <c r="A1553" s="284"/>
      <c r="B1553" s="284"/>
      <c r="C1553" s="284"/>
      <c r="D1553" s="284"/>
      <c r="E1553" s="284"/>
      <c r="F1553" s="284"/>
      <c r="G1553" s="284"/>
      <c r="H1553" s="284"/>
      <c r="I1553" s="284"/>
      <c r="J1553" s="375"/>
      <c r="K1553" s="375"/>
      <c r="L1553" s="375"/>
      <c r="M1553" s="368"/>
      <c r="N1553" s="368"/>
      <c r="O1553" s="370"/>
      <c r="T1553" s="340"/>
      <c r="V1553" s="378"/>
      <c r="W1553" s="64" ph="1"/>
      <c r="X1553" s="241"/>
      <c r="Y1553" s="284"/>
      <c r="Z1553" s="207"/>
      <c r="AA1553" s="284"/>
      <c r="AB1553" s="284"/>
      <c r="AC1553" s="284"/>
      <c r="AD1553" s="284"/>
      <c r="AE1553" s="284"/>
      <c r="AF1553" s="284"/>
      <c r="AG1553" s="284"/>
      <c r="AI1553" s="131"/>
    </row>
    <row r="1554" spans="1:35" ht="26.4">
      <c r="A1554" s="284"/>
      <c r="B1554" s="284"/>
      <c r="C1554" s="284"/>
      <c r="D1554" s="284"/>
      <c r="E1554" s="284"/>
      <c r="F1554" s="284"/>
      <c r="G1554" s="284"/>
      <c r="H1554" s="284"/>
      <c r="I1554" s="284"/>
      <c r="J1554" s="375"/>
      <c r="K1554" s="375"/>
      <c r="L1554" s="375"/>
      <c r="M1554" s="368"/>
      <c r="N1554" s="368"/>
      <c r="O1554" s="370"/>
      <c r="T1554" s="340"/>
      <c r="V1554" s="378"/>
      <c r="W1554" s="64" ph="1"/>
      <c r="X1554" s="241"/>
      <c r="Y1554" s="284"/>
      <c r="Z1554" s="207"/>
      <c r="AA1554" s="284"/>
      <c r="AB1554" s="284"/>
      <c r="AC1554" s="284"/>
      <c r="AD1554" s="284"/>
      <c r="AE1554" s="284"/>
      <c r="AF1554" s="284"/>
      <c r="AG1554" s="284"/>
      <c r="AI1554" s="131"/>
    </row>
    <row r="1555" spans="1:35" ht="26.4">
      <c r="A1555" s="284"/>
      <c r="B1555" s="284"/>
      <c r="C1555" s="284"/>
      <c r="D1555" s="284"/>
      <c r="E1555" s="284"/>
      <c r="F1555" s="284"/>
      <c r="G1555" s="284"/>
      <c r="H1555" s="284"/>
      <c r="I1555" s="284"/>
      <c r="J1555" s="375"/>
      <c r="K1555" s="375"/>
      <c r="L1555" s="375"/>
      <c r="M1555" s="368"/>
      <c r="N1555" s="368"/>
      <c r="O1555" s="370"/>
      <c r="T1555" s="340"/>
      <c r="V1555" s="378"/>
      <c r="W1555" s="64" ph="1"/>
      <c r="X1555" s="241"/>
      <c r="Y1555" s="284"/>
      <c r="Z1555" s="207"/>
      <c r="AA1555" s="284"/>
      <c r="AB1555" s="284"/>
      <c r="AC1555" s="284"/>
      <c r="AD1555" s="284"/>
      <c r="AE1555" s="284"/>
      <c r="AF1555" s="284"/>
      <c r="AG1555" s="284"/>
      <c r="AI1555" s="131"/>
    </row>
    <row r="1556" spans="1:35" ht="26.4">
      <c r="A1556" s="284"/>
      <c r="B1556" s="284"/>
      <c r="C1556" s="284"/>
      <c r="D1556" s="284"/>
      <c r="E1556" s="284"/>
      <c r="F1556" s="284"/>
      <c r="G1556" s="284"/>
      <c r="H1556" s="284"/>
      <c r="I1556" s="284"/>
      <c r="J1556" s="375"/>
      <c r="K1556" s="375"/>
      <c r="L1556" s="375"/>
      <c r="M1556" s="368"/>
      <c r="N1556" s="368"/>
      <c r="O1556" s="370"/>
      <c r="T1556" s="340"/>
      <c r="V1556" s="378"/>
      <c r="W1556" s="64" ph="1"/>
      <c r="X1556" s="241"/>
      <c r="Y1556" s="284"/>
      <c r="Z1556" s="207"/>
      <c r="AA1556" s="284"/>
      <c r="AB1556" s="284"/>
      <c r="AC1556" s="284"/>
      <c r="AD1556" s="284"/>
      <c r="AE1556" s="284"/>
      <c r="AF1556" s="284"/>
      <c r="AG1556" s="284"/>
      <c r="AI1556" s="131"/>
    </row>
    <row r="1557" spans="1:35" ht="26.4">
      <c r="A1557" s="284"/>
      <c r="B1557" s="284"/>
      <c r="C1557" s="284"/>
      <c r="D1557" s="284"/>
      <c r="E1557" s="284"/>
      <c r="F1557" s="284"/>
      <c r="G1557" s="284"/>
      <c r="H1557" s="284"/>
      <c r="I1557" s="284"/>
      <c r="J1557" s="375"/>
      <c r="K1557" s="375"/>
      <c r="L1557" s="375"/>
      <c r="M1557" s="368"/>
      <c r="N1557" s="368"/>
      <c r="O1557" s="370"/>
      <c r="T1557" s="340"/>
      <c r="V1557" s="378"/>
      <c r="W1557" s="64" ph="1"/>
      <c r="X1557" s="241"/>
      <c r="Y1557" s="284"/>
      <c r="Z1557" s="207"/>
      <c r="AA1557" s="284"/>
      <c r="AB1557" s="284"/>
      <c r="AC1557" s="284"/>
      <c r="AD1557" s="284"/>
      <c r="AE1557" s="284"/>
      <c r="AF1557" s="284"/>
      <c r="AG1557" s="284"/>
      <c r="AI1557" s="131"/>
    </row>
    <row r="1558" spans="1:35" ht="26.4">
      <c r="A1558" s="284"/>
      <c r="B1558" s="284"/>
      <c r="C1558" s="284"/>
      <c r="D1558" s="284"/>
      <c r="E1558" s="284"/>
      <c r="F1558" s="284"/>
      <c r="G1558" s="284"/>
      <c r="H1558" s="284"/>
      <c r="I1558" s="284"/>
      <c r="J1558" s="375"/>
      <c r="K1558" s="375"/>
      <c r="L1558" s="375"/>
      <c r="M1558" s="368"/>
      <c r="N1558" s="368"/>
      <c r="O1558" s="370"/>
      <c r="T1558" s="340"/>
      <c r="V1558" s="378"/>
      <c r="W1558" s="64" ph="1"/>
      <c r="X1558" s="241"/>
      <c r="Y1558" s="284"/>
      <c r="Z1558" s="207"/>
      <c r="AA1558" s="284"/>
      <c r="AB1558" s="284"/>
      <c r="AC1558" s="284"/>
      <c r="AD1558" s="284"/>
      <c r="AE1558" s="284"/>
      <c r="AF1558" s="284"/>
      <c r="AG1558" s="284"/>
      <c r="AI1558" s="131"/>
    </row>
    <row r="1559" spans="1:35" ht="26.4">
      <c r="A1559" s="284"/>
      <c r="B1559" s="284"/>
      <c r="C1559" s="284"/>
      <c r="D1559" s="284"/>
      <c r="E1559" s="284"/>
      <c r="F1559" s="284"/>
      <c r="G1559" s="284"/>
      <c r="H1559" s="284"/>
      <c r="I1559" s="284"/>
      <c r="J1559" s="375"/>
      <c r="K1559" s="375"/>
      <c r="L1559" s="375"/>
      <c r="M1559" s="368"/>
      <c r="N1559" s="368"/>
      <c r="O1559" s="370"/>
      <c r="T1559" s="340"/>
      <c r="V1559" s="378"/>
      <c r="W1559" s="64" ph="1"/>
      <c r="X1559" s="241"/>
      <c r="Y1559" s="284"/>
      <c r="Z1559" s="207"/>
      <c r="AA1559" s="284"/>
      <c r="AB1559" s="284"/>
      <c r="AC1559" s="284"/>
      <c r="AD1559" s="284"/>
      <c r="AE1559" s="284"/>
      <c r="AF1559" s="284"/>
      <c r="AG1559" s="284"/>
      <c r="AI1559" s="131"/>
    </row>
    <row r="1560" spans="1:35" ht="26.4">
      <c r="A1560" s="284"/>
      <c r="B1560" s="284"/>
      <c r="C1560" s="284"/>
      <c r="D1560" s="284"/>
      <c r="E1560" s="284"/>
      <c r="F1560" s="284"/>
      <c r="G1560" s="284"/>
      <c r="H1560" s="284"/>
      <c r="I1560" s="284"/>
      <c r="J1560" s="375"/>
      <c r="K1560" s="375"/>
      <c r="L1560" s="375"/>
      <c r="M1560" s="368"/>
      <c r="N1560" s="368"/>
      <c r="T1560" s="340"/>
      <c r="V1560" s="378"/>
      <c r="W1560" s="64" ph="1"/>
      <c r="X1560" s="241"/>
      <c r="Y1560" s="284"/>
      <c r="Z1560" s="207"/>
      <c r="AA1560" s="284"/>
      <c r="AB1560" s="284"/>
      <c r="AC1560" s="284"/>
      <c r="AD1560" s="284"/>
      <c r="AE1560" s="284"/>
      <c r="AF1560" s="284"/>
      <c r="AG1560" s="284"/>
      <c r="AI1560" s="131"/>
    </row>
    <row r="1561" spans="1:35" ht="26.4">
      <c r="A1561" s="284"/>
      <c r="B1561" s="284"/>
      <c r="C1561" s="284"/>
      <c r="D1561" s="284"/>
      <c r="E1561" s="284"/>
      <c r="F1561" s="284"/>
      <c r="G1561" s="284"/>
      <c r="H1561" s="284"/>
      <c r="I1561" s="284"/>
      <c r="J1561" s="375"/>
      <c r="K1561" s="375"/>
      <c r="L1561" s="375"/>
      <c r="M1561" s="368"/>
      <c r="N1561" s="368"/>
      <c r="O1561" s="370"/>
      <c r="T1561" s="340"/>
      <c r="V1561" s="378"/>
      <c r="W1561" s="64" ph="1"/>
      <c r="X1561" s="241"/>
      <c r="Y1561" s="284"/>
      <c r="Z1561" s="207"/>
      <c r="AA1561" s="284"/>
      <c r="AB1561" s="284"/>
      <c r="AC1561" s="284"/>
      <c r="AD1561" s="284"/>
      <c r="AE1561" s="284"/>
      <c r="AF1561" s="284"/>
      <c r="AG1561" s="284"/>
      <c r="AI1561" s="284"/>
    </row>
    <row r="1562" spans="1:35" ht="26.4">
      <c r="A1562" s="284"/>
      <c r="B1562" s="284"/>
      <c r="C1562" s="284"/>
      <c r="D1562" s="284"/>
      <c r="E1562" s="284"/>
      <c r="F1562" s="284"/>
      <c r="G1562" s="284"/>
      <c r="H1562" s="284"/>
      <c r="I1562" s="284"/>
      <c r="J1562" s="375"/>
      <c r="K1562" s="375"/>
      <c r="L1562" s="375"/>
      <c r="M1562" s="368"/>
      <c r="N1562" s="368"/>
      <c r="O1562" s="370"/>
      <c r="T1562" s="340"/>
      <c r="V1562" s="378"/>
      <c r="W1562" s="64" ph="1"/>
      <c r="X1562" s="241"/>
      <c r="Y1562" s="284"/>
      <c r="Z1562" s="207"/>
      <c r="AA1562" s="284"/>
      <c r="AB1562" s="284"/>
      <c r="AC1562" s="284"/>
      <c r="AD1562" s="284"/>
      <c r="AE1562" s="284"/>
      <c r="AF1562" s="284"/>
      <c r="AG1562" s="284"/>
      <c r="AI1562" s="131"/>
    </row>
    <row r="1563" spans="1:35" ht="26.4">
      <c r="A1563" s="284"/>
      <c r="B1563" s="284"/>
      <c r="C1563" s="284"/>
      <c r="D1563" s="284"/>
      <c r="E1563" s="284"/>
      <c r="F1563" s="284"/>
      <c r="G1563" s="284"/>
      <c r="H1563" s="284"/>
      <c r="I1563" s="284"/>
      <c r="J1563" s="375"/>
      <c r="K1563" s="375"/>
      <c r="L1563" s="375"/>
      <c r="M1563" s="368"/>
      <c r="N1563" s="368"/>
      <c r="O1563" s="370"/>
      <c r="T1563" s="340"/>
      <c r="V1563" s="378"/>
      <c r="W1563" s="64" ph="1"/>
      <c r="X1563" s="241"/>
      <c r="Y1563" s="284"/>
      <c r="Z1563" s="207"/>
      <c r="AA1563" s="284"/>
      <c r="AB1563" s="284"/>
      <c r="AC1563" s="284"/>
      <c r="AD1563" s="284"/>
      <c r="AE1563" s="284"/>
      <c r="AF1563" s="284"/>
      <c r="AG1563" s="284"/>
      <c r="AI1563" s="131"/>
    </row>
    <row r="1564" spans="1:35" ht="26.4">
      <c r="A1564" s="284"/>
      <c r="B1564" s="284"/>
      <c r="C1564" s="284"/>
      <c r="D1564" s="284"/>
      <c r="E1564" s="284"/>
      <c r="F1564" s="284"/>
      <c r="G1564" s="284"/>
      <c r="H1564" s="284"/>
      <c r="I1564" s="284"/>
      <c r="J1564" s="375"/>
      <c r="K1564" s="375"/>
      <c r="L1564" s="375"/>
      <c r="M1564" s="368"/>
      <c r="N1564" s="368"/>
      <c r="O1564" s="370"/>
      <c r="T1564" s="340"/>
      <c r="V1564" s="378"/>
      <c r="W1564" s="64" ph="1"/>
      <c r="X1564" s="241"/>
      <c r="Y1564" s="284"/>
      <c r="Z1564" s="207"/>
      <c r="AA1564" s="284"/>
      <c r="AB1564" s="284"/>
      <c r="AC1564" s="284"/>
      <c r="AD1564" s="284"/>
      <c r="AE1564" s="284"/>
      <c r="AF1564" s="284"/>
      <c r="AG1564" s="284"/>
      <c r="AI1564" s="131"/>
    </row>
    <row r="1565" spans="1:35" ht="26.4">
      <c r="A1565" s="284"/>
      <c r="B1565" s="284"/>
      <c r="C1565" s="284"/>
      <c r="D1565" s="284"/>
      <c r="E1565" s="284"/>
      <c r="F1565" s="284"/>
      <c r="G1565" s="284"/>
      <c r="H1565" s="284"/>
      <c r="I1565" s="284"/>
      <c r="J1565" s="375"/>
      <c r="K1565" s="375"/>
      <c r="L1565" s="375"/>
      <c r="M1565" s="368"/>
      <c r="N1565" s="368"/>
      <c r="O1565" s="370"/>
      <c r="T1565" s="340"/>
      <c r="V1565" s="378"/>
      <c r="W1565" s="64" ph="1"/>
      <c r="X1565" s="241"/>
      <c r="Y1565" s="284"/>
      <c r="Z1565" s="207"/>
      <c r="AA1565" s="284"/>
      <c r="AB1565" s="284"/>
      <c r="AC1565" s="284"/>
      <c r="AD1565" s="284"/>
      <c r="AE1565" s="284"/>
      <c r="AF1565" s="284"/>
      <c r="AG1565" s="284"/>
      <c r="AI1565" s="131"/>
    </row>
    <row r="1566" spans="1:35" ht="26.4">
      <c r="A1566" s="284"/>
      <c r="B1566" s="284"/>
      <c r="C1566" s="284"/>
      <c r="D1566" s="284"/>
      <c r="E1566" s="284"/>
      <c r="F1566" s="284"/>
      <c r="G1566" s="284"/>
      <c r="H1566" s="284"/>
      <c r="I1566" s="284"/>
      <c r="J1566" s="375"/>
      <c r="K1566" s="375"/>
      <c r="L1566" s="375"/>
      <c r="M1566" s="368"/>
      <c r="N1566" s="368"/>
      <c r="O1566" s="370"/>
      <c r="T1566" s="340"/>
      <c r="V1566" s="378"/>
      <c r="W1566" s="64" ph="1"/>
      <c r="X1566" s="241"/>
      <c r="Y1566" s="284"/>
      <c r="Z1566" s="207"/>
      <c r="AA1566" s="284"/>
      <c r="AB1566" s="284"/>
      <c r="AC1566" s="284"/>
      <c r="AD1566" s="284"/>
      <c r="AE1566" s="284"/>
      <c r="AF1566" s="284"/>
      <c r="AG1566" s="284"/>
      <c r="AI1566" s="131"/>
    </row>
    <row r="1567" spans="1:35" ht="26.4">
      <c r="A1567" s="284"/>
      <c r="B1567" s="284"/>
      <c r="C1567" s="284"/>
      <c r="D1567" s="284"/>
      <c r="E1567" s="284"/>
      <c r="F1567" s="284"/>
      <c r="G1567" s="284"/>
      <c r="H1567" s="284"/>
      <c r="I1567" s="284"/>
      <c r="J1567" s="375"/>
      <c r="K1567" s="375"/>
      <c r="L1567" s="375"/>
      <c r="M1567" s="368"/>
      <c r="N1567" s="368"/>
      <c r="O1567" s="370"/>
      <c r="T1567" s="340"/>
      <c r="V1567" s="378"/>
      <c r="W1567" s="64" ph="1"/>
      <c r="X1567" s="241"/>
      <c r="Y1567" s="284"/>
      <c r="Z1567" s="207"/>
      <c r="AA1567" s="284"/>
      <c r="AB1567" s="284"/>
      <c r="AC1567" s="284"/>
      <c r="AD1567" s="284"/>
      <c r="AE1567" s="284"/>
      <c r="AF1567" s="284"/>
      <c r="AG1567" s="284"/>
      <c r="AI1567" s="131"/>
    </row>
    <row r="1568" spans="1:35" ht="26.4">
      <c r="A1568" s="284"/>
      <c r="B1568" s="284"/>
      <c r="C1568" s="284"/>
      <c r="D1568" s="284"/>
      <c r="E1568" s="284"/>
      <c r="F1568" s="284"/>
      <c r="G1568" s="284"/>
      <c r="H1568" s="284"/>
      <c r="I1568" s="284"/>
      <c r="J1568" s="375"/>
      <c r="K1568" s="375"/>
      <c r="L1568" s="375"/>
      <c r="M1568" s="368"/>
      <c r="N1568" s="368"/>
      <c r="O1568" s="370"/>
      <c r="T1568" s="340"/>
      <c r="V1568" s="378"/>
      <c r="W1568" s="64" ph="1"/>
      <c r="X1568" s="241"/>
      <c r="Y1568" s="284"/>
      <c r="Z1568" s="207"/>
      <c r="AA1568" s="284"/>
      <c r="AB1568" s="284"/>
      <c r="AC1568" s="284"/>
      <c r="AD1568" s="284"/>
      <c r="AE1568" s="284"/>
      <c r="AF1568" s="284"/>
      <c r="AG1568" s="284"/>
      <c r="AI1568" s="131"/>
    </row>
    <row r="1569" spans="1:35" ht="26.4">
      <c r="A1569" s="284"/>
      <c r="B1569" s="284"/>
      <c r="C1569" s="284"/>
      <c r="D1569" s="284"/>
      <c r="E1569" s="284"/>
      <c r="F1569" s="284"/>
      <c r="G1569" s="284"/>
      <c r="H1569" s="284"/>
      <c r="I1569" s="284"/>
      <c r="J1569" s="375"/>
      <c r="K1569" s="375"/>
      <c r="L1569" s="375"/>
      <c r="M1569" s="368"/>
      <c r="N1569" s="368"/>
      <c r="O1569" s="370"/>
      <c r="T1569" s="340"/>
      <c r="V1569" s="378"/>
      <c r="W1569" s="64" ph="1"/>
      <c r="X1569" s="241"/>
      <c r="Y1569" s="284"/>
      <c r="Z1569" s="207"/>
      <c r="AA1569" s="284"/>
      <c r="AB1569" s="284"/>
      <c r="AC1569" s="284"/>
      <c r="AD1569" s="284"/>
      <c r="AE1569" s="284"/>
      <c r="AF1569" s="284"/>
      <c r="AG1569" s="284"/>
      <c r="AI1569" s="131"/>
    </row>
    <row r="1570" spans="1:35" ht="26.4">
      <c r="A1570" s="284"/>
      <c r="B1570" s="284"/>
      <c r="C1570" s="284"/>
      <c r="D1570" s="284"/>
      <c r="E1570" s="284"/>
      <c r="F1570" s="284"/>
      <c r="G1570" s="284"/>
      <c r="H1570" s="284"/>
      <c r="I1570" s="284"/>
      <c r="J1570" s="375"/>
      <c r="K1570" s="375"/>
      <c r="L1570" s="375"/>
      <c r="M1570" s="368"/>
      <c r="N1570" s="368"/>
      <c r="O1570" s="370"/>
      <c r="T1570" s="340"/>
      <c r="V1570" s="378"/>
      <c r="W1570" s="64" ph="1"/>
      <c r="X1570" s="241"/>
      <c r="Y1570" s="284"/>
      <c r="Z1570" s="207"/>
      <c r="AA1570" s="284"/>
      <c r="AB1570" s="284"/>
      <c r="AC1570" s="284"/>
      <c r="AD1570" s="284"/>
      <c r="AE1570" s="284"/>
      <c r="AF1570" s="284"/>
      <c r="AG1570" s="284"/>
      <c r="AI1570" s="131"/>
    </row>
    <row r="1571" spans="1:35" ht="26.4">
      <c r="A1571" s="284"/>
      <c r="B1571" s="284"/>
      <c r="C1571" s="284"/>
      <c r="D1571" s="284"/>
      <c r="E1571" s="284"/>
      <c r="F1571" s="284"/>
      <c r="G1571" s="284"/>
      <c r="H1571" s="284"/>
      <c r="I1571" s="284"/>
      <c r="J1571" s="375"/>
      <c r="K1571" s="375"/>
      <c r="L1571" s="375"/>
      <c r="M1571" s="368"/>
      <c r="N1571" s="368"/>
      <c r="O1571" s="370"/>
      <c r="T1571" s="340"/>
      <c r="V1571" s="378"/>
      <c r="W1571" s="64" ph="1"/>
      <c r="X1571" s="241"/>
      <c r="Y1571" s="284"/>
      <c r="Z1571" s="207"/>
      <c r="AA1571" s="284"/>
      <c r="AB1571" s="284"/>
      <c r="AC1571" s="284"/>
      <c r="AD1571" s="284"/>
      <c r="AE1571" s="284"/>
      <c r="AF1571" s="284"/>
      <c r="AG1571" s="284"/>
      <c r="AI1571" s="131"/>
    </row>
    <row r="1572" spans="1:35" ht="26.4">
      <c r="A1572" s="284"/>
      <c r="B1572" s="284"/>
      <c r="C1572" s="284"/>
      <c r="D1572" s="284"/>
      <c r="E1572" s="284"/>
      <c r="F1572" s="284"/>
      <c r="G1572" s="284"/>
      <c r="H1572" s="284"/>
      <c r="I1572" s="284"/>
      <c r="J1572" s="375"/>
      <c r="K1572" s="375"/>
      <c r="L1572" s="375"/>
      <c r="M1572" s="368"/>
      <c r="N1572" s="368"/>
      <c r="O1572" s="370"/>
      <c r="T1572" s="340"/>
      <c r="V1572" s="378"/>
      <c r="W1572" s="64" ph="1"/>
      <c r="X1572" s="241"/>
      <c r="Y1572" s="284"/>
      <c r="Z1572" s="207"/>
      <c r="AA1572" s="284"/>
      <c r="AB1572" s="284"/>
      <c r="AC1572" s="284"/>
      <c r="AD1572" s="284"/>
      <c r="AE1572" s="284"/>
      <c r="AF1572" s="284"/>
      <c r="AG1572" s="284"/>
      <c r="AI1572" s="284"/>
    </row>
    <row r="1573" spans="1:35" ht="26.4">
      <c r="A1573" s="284"/>
      <c r="B1573" s="284"/>
      <c r="C1573" s="284"/>
      <c r="D1573" s="284"/>
      <c r="E1573" s="284"/>
      <c r="F1573" s="284"/>
      <c r="G1573" s="284"/>
      <c r="H1573" s="284"/>
      <c r="I1573" s="284"/>
      <c r="J1573" s="375"/>
      <c r="K1573" s="375"/>
      <c r="L1573" s="375"/>
      <c r="M1573" s="368"/>
      <c r="N1573" s="368"/>
      <c r="O1573" s="370"/>
      <c r="T1573" s="340"/>
      <c r="V1573" s="378"/>
      <c r="W1573" s="64" ph="1"/>
      <c r="X1573" s="241"/>
      <c r="Y1573" s="284"/>
      <c r="Z1573" s="207"/>
      <c r="AA1573" s="284"/>
      <c r="AB1573" s="284"/>
      <c r="AC1573" s="284"/>
      <c r="AD1573" s="284"/>
      <c r="AE1573" s="284"/>
      <c r="AF1573" s="284"/>
      <c r="AG1573" s="284"/>
      <c r="AI1573" s="131"/>
    </row>
    <row r="1574" spans="1:35" ht="26.4">
      <c r="A1574" s="284"/>
      <c r="B1574" s="284"/>
      <c r="C1574" s="284"/>
      <c r="D1574" s="284"/>
      <c r="E1574" s="284"/>
      <c r="F1574" s="284"/>
      <c r="G1574" s="284"/>
      <c r="H1574" s="284"/>
      <c r="I1574" s="284"/>
      <c r="J1574" s="375"/>
      <c r="K1574" s="375"/>
      <c r="L1574" s="375"/>
      <c r="M1574" s="368"/>
      <c r="N1574" s="368"/>
      <c r="O1574" s="370"/>
      <c r="T1574" s="340"/>
      <c r="V1574" s="378"/>
      <c r="W1574" s="64" ph="1"/>
      <c r="X1574" s="241"/>
      <c r="Y1574" s="284"/>
      <c r="Z1574" s="207"/>
      <c r="AA1574" s="284"/>
      <c r="AB1574" s="284"/>
      <c r="AC1574" s="284"/>
      <c r="AD1574" s="284"/>
      <c r="AE1574" s="284"/>
      <c r="AF1574" s="284"/>
      <c r="AG1574" s="284"/>
      <c r="AI1574" s="131"/>
    </row>
    <row r="1575" spans="1:35" ht="26.4">
      <c r="A1575" s="284"/>
      <c r="B1575" s="284"/>
      <c r="C1575" s="284"/>
      <c r="D1575" s="284"/>
      <c r="E1575" s="284"/>
      <c r="F1575" s="284"/>
      <c r="G1575" s="284"/>
      <c r="H1575" s="284"/>
      <c r="I1575" s="284"/>
      <c r="J1575" s="375"/>
      <c r="K1575" s="375"/>
      <c r="L1575" s="375"/>
      <c r="M1575" s="368"/>
      <c r="N1575" s="368"/>
      <c r="O1575" s="370"/>
      <c r="T1575" s="340"/>
      <c r="V1575" s="378"/>
      <c r="W1575" s="64" ph="1"/>
      <c r="X1575" s="241"/>
      <c r="Y1575" s="284"/>
      <c r="Z1575" s="207"/>
      <c r="AA1575" s="284"/>
      <c r="AB1575" s="284"/>
      <c r="AC1575" s="284"/>
      <c r="AD1575" s="284"/>
      <c r="AE1575" s="284"/>
      <c r="AF1575" s="284"/>
      <c r="AG1575" s="284"/>
      <c r="AI1575" s="284"/>
    </row>
    <row r="1576" spans="1:35" ht="26.4">
      <c r="A1576" s="284"/>
      <c r="B1576" s="284"/>
      <c r="C1576" s="284"/>
      <c r="D1576" s="284"/>
      <c r="E1576" s="284"/>
      <c r="F1576" s="284"/>
      <c r="G1576" s="284"/>
      <c r="H1576" s="284"/>
      <c r="I1576" s="284"/>
      <c r="J1576" s="375"/>
      <c r="K1576" s="375"/>
      <c r="L1576" s="375"/>
      <c r="M1576" s="368"/>
      <c r="N1576" s="368"/>
      <c r="O1576" s="370"/>
      <c r="T1576" s="340"/>
      <c r="V1576" s="378"/>
      <c r="W1576" s="64" ph="1"/>
      <c r="X1576" s="241"/>
      <c r="Y1576" s="284"/>
      <c r="Z1576" s="207"/>
      <c r="AA1576" s="284"/>
      <c r="AB1576" s="284"/>
      <c r="AC1576" s="284"/>
      <c r="AD1576" s="284"/>
      <c r="AE1576" s="284"/>
      <c r="AF1576" s="284"/>
      <c r="AG1576" s="284"/>
      <c r="AI1576" s="131"/>
    </row>
    <row r="1577" spans="1:35" ht="26.4">
      <c r="A1577" s="284"/>
      <c r="B1577" s="284"/>
      <c r="C1577" s="284"/>
      <c r="D1577" s="284"/>
      <c r="E1577" s="284"/>
      <c r="F1577" s="284"/>
      <c r="G1577" s="284"/>
      <c r="H1577" s="284"/>
      <c r="I1577" s="284"/>
      <c r="J1577" s="375"/>
      <c r="K1577" s="375"/>
      <c r="L1577" s="375"/>
      <c r="M1577" s="368"/>
      <c r="N1577" s="368"/>
      <c r="O1577" s="370"/>
      <c r="T1577" s="340"/>
      <c r="V1577" s="378"/>
      <c r="W1577" s="64" ph="1"/>
      <c r="X1577" s="241"/>
      <c r="Y1577" s="284"/>
      <c r="Z1577" s="207"/>
      <c r="AA1577" s="284"/>
      <c r="AB1577" s="284"/>
      <c r="AC1577" s="284"/>
      <c r="AD1577" s="284"/>
      <c r="AE1577" s="284"/>
      <c r="AF1577" s="284"/>
      <c r="AG1577" s="284"/>
      <c r="AI1577" s="131"/>
    </row>
    <row r="1578" spans="1:35" ht="26.4">
      <c r="A1578" s="284"/>
      <c r="B1578" s="284"/>
      <c r="C1578" s="284"/>
      <c r="D1578" s="284"/>
      <c r="E1578" s="284"/>
      <c r="F1578" s="284"/>
      <c r="G1578" s="284"/>
      <c r="H1578" s="284"/>
      <c r="I1578" s="284"/>
      <c r="J1578" s="375"/>
      <c r="K1578" s="375"/>
      <c r="L1578" s="375"/>
      <c r="M1578" s="368"/>
      <c r="N1578" s="368"/>
      <c r="O1578" s="370"/>
      <c r="T1578" s="340"/>
      <c r="V1578" s="378"/>
      <c r="W1578" s="64" ph="1"/>
      <c r="X1578" s="241"/>
      <c r="Y1578" s="284"/>
      <c r="Z1578" s="207"/>
      <c r="AA1578" s="284"/>
      <c r="AB1578" s="284"/>
      <c r="AC1578" s="284"/>
      <c r="AD1578" s="284"/>
      <c r="AE1578" s="284"/>
      <c r="AF1578" s="284"/>
      <c r="AG1578" s="284"/>
      <c r="AI1578" s="131"/>
    </row>
    <row r="1579" spans="1:35" ht="26.4">
      <c r="A1579" s="284"/>
      <c r="B1579" s="284"/>
      <c r="C1579" s="284"/>
      <c r="D1579" s="284"/>
      <c r="E1579" s="284"/>
      <c r="F1579" s="284"/>
      <c r="G1579" s="284"/>
      <c r="H1579" s="284"/>
      <c r="I1579" s="284"/>
      <c r="J1579" s="375"/>
      <c r="K1579" s="375"/>
      <c r="L1579" s="375"/>
      <c r="M1579" s="368"/>
      <c r="N1579" s="368"/>
      <c r="O1579" s="370"/>
      <c r="T1579" s="340"/>
      <c r="V1579" s="378"/>
      <c r="W1579" s="64" ph="1"/>
      <c r="X1579" s="241"/>
      <c r="Y1579" s="284"/>
      <c r="Z1579" s="207"/>
      <c r="AA1579" s="284"/>
      <c r="AB1579" s="284"/>
      <c r="AC1579" s="284"/>
      <c r="AD1579" s="284"/>
      <c r="AE1579" s="284"/>
      <c r="AF1579" s="284"/>
      <c r="AG1579" s="284"/>
      <c r="AI1579" s="131"/>
    </row>
    <row r="1580" spans="1:35" ht="26.4">
      <c r="A1580" s="284"/>
      <c r="B1580" s="284"/>
      <c r="C1580" s="284"/>
      <c r="D1580" s="284"/>
      <c r="E1580" s="284"/>
      <c r="F1580" s="284"/>
      <c r="G1580" s="284"/>
      <c r="H1580" s="284"/>
      <c r="I1580" s="284"/>
      <c r="J1580" s="375"/>
      <c r="K1580" s="375"/>
      <c r="L1580" s="375"/>
      <c r="M1580" s="368"/>
      <c r="N1580" s="368"/>
      <c r="O1580" s="370"/>
      <c r="T1580" s="340"/>
      <c r="V1580" s="378"/>
      <c r="W1580" s="64" ph="1"/>
      <c r="X1580" s="241"/>
      <c r="Y1580" s="284"/>
      <c r="Z1580" s="207"/>
      <c r="AA1580" s="284"/>
      <c r="AB1580" s="284"/>
      <c r="AC1580" s="284"/>
      <c r="AD1580" s="284"/>
      <c r="AE1580" s="284"/>
      <c r="AF1580" s="284"/>
      <c r="AG1580" s="284"/>
      <c r="AI1580" s="131"/>
    </row>
    <row r="1581" spans="1:35" ht="26.4">
      <c r="A1581" s="284"/>
      <c r="B1581" s="284"/>
      <c r="C1581" s="284"/>
      <c r="D1581" s="284"/>
      <c r="E1581" s="284"/>
      <c r="F1581" s="284"/>
      <c r="G1581" s="284"/>
      <c r="H1581" s="284"/>
      <c r="I1581" s="284"/>
      <c r="J1581" s="375"/>
      <c r="K1581" s="375"/>
      <c r="L1581" s="375"/>
      <c r="M1581" s="368"/>
      <c r="N1581" s="368"/>
      <c r="O1581" s="370"/>
      <c r="T1581" s="340"/>
      <c r="V1581" s="378"/>
      <c r="W1581" s="64" ph="1"/>
      <c r="X1581" s="241"/>
      <c r="Y1581" s="284"/>
      <c r="Z1581" s="207"/>
      <c r="AA1581" s="284"/>
      <c r="AB1581" s="284"/>
      <c r="AC1581" s="284"/>
      <c r="AD1581" s="284"/>
      <c r="AE1581" s="284"/>
      <c r="AF1581" s="284"/>
      <c r="AG1581" s="284"/>
      <c r="AI1581" s="131"/>
    </row>
    <row r="1582" spans="1:35" ht="26.4">
      <c r="A1582" s="284"/>
      <c r="B1582" s="284"/>
      <c r="C1582" s="284"/>
      <c r="D1582" s="284"/>
      <c r="E1582" s="284"/>
      <c r="F1582" s="284"/>
      <c r="G1582" s="284"/>
      <c r="H1582" s="284"/>
      <c r="I1582" s="284"/>
      <c r="J1582" s="375"/>
      <c r="K1582" s="375"/>
      <c r="L1582" s="375"/>
      <c r="M1582" s="368"/>
      <c r="N1582" s="368"/>
      <c r="O1582" s="370"/>
      <c r="T1582" s="340"/>
      <c r="V1582" s="378"/>
      <c r="W1582" s="64" ph="1"/>
      <c r="X1582" s="241"/>
      <c r="Y1582" s="284"/>
      <c r="Z1582" s="207"/>
      <c r="AA1582" s="284"/>
      <c r="AB1582" s="284"/>
      <c r="AC1582" s="284"/>
      <c r="AD1582" s="284"/>
      <c r="AE1582" s="284"/>
      <c r="AF1582" s="284"/>
      <c r="AG1582" s="284"/>
      <c r="AI1582" s="131"/>
    </row>
    <row r="1583" spans="1:35" ht="26.4">
      <c r="A1583" s="284"/>
      <c r="B1583" s="284"/>
      <c r="C1583" s="284"/>
      <c r="D1583" s="284"/>
      <c r="E1583" s="284"/>
      <c r="F1583" s="284"/>
      <c r="G1583" s="284"/>
      <c r="H1583" s="284"/>
      <c r="I1583" s="284"/>
      <c r="J1583" s="375"/>
      <c r="K1583" s="375"/>
      <c r="L1583" s="375"/>
      <c r="M1583" s="368"/>
      <c r="N1583" s="368"/>
      <c r="O1583" s="370"/>
      <c r="T1583" s="340"/>
      <c r="V1583" s="378"/>
      <c r="W1583" s="64" ph="1"/>
      <c r="X1583" s="241"/>
      <c r="Y1583" s="284"/>
      <c r="Z1583" s="207"/>
      <c r="AA1583" s="284"/>
      <c r="AB1583" s="284"/>
      <c r="AC1583" s="284"/>
      <c r="AD1583" s="284"/>
      <c r="AE1583" s="284"/>
      <c r="AF1583" s="284"/>
      <c r="AG1583" s="284"/>
      <c r="AI1583" s="131"/>
    </row>
    <row r="1584" spans="1:35" ht="26.4">
      <c r="A1584" s="284"/>
      <c r="B1584" s="284"/>
      <c r="C1584" s="284"/>
      <c r="D1584" s="284"/>
      <c r="E1584" s="284"/>
      <c r="F1584" s="284"/>
      <c r="G1584" s="284"/>
      <c r="H1584" s="284"/>
      <c r="I1584" s="284"/>
      <c r="J1584" s="375"/>
      <c r="K1584" s="375"/>
      <c r="L1584" s="375"/>
      <c r="M1584" s="368"/>
      <c r="N1584" s="368"/>
      <c r="O1584" s="370"/>
      <c r="T1584" s="340"/>
      <c r="V1584" s="378"/>
      <c r="W1584" s="64" ph="1"/>
      <c r="X1584" s="241"/>
      <c r="Y1584" s="284"/>
      <c r="Z1584" s="207"/>
      <c r="AA1584" s="284"/>
      <c r="AB1584" s="284"/>
      <c r="AC1584" s="284"/>
      <c r="AD1584" s="284"/>
      <c r="AE1584" s="284"/>
      <c r="AF1584" s="284"/>
      <c r="AG1584" s="284"/>
      <c r="AI1584" s="131"/>
    </row>
    <row r="1585" spans="1:35" ht="26.4">
      <c r="A1585" s="284"/>
      <c r="B1585" s="284"/>
      <c r="C1585" s="284"/>
      <c r="D1585" s="284"/>
      <c r="E1585" s="284"/>
      <c r="F1585" s="284"/>
      <c r="G1585" s="284"/>
      <c r="H1585" s="284"/>
      <c r="I1585" s="284"/>
      <c r="J1585" s="375"/>
      <c r="K1585" s="375"/>
      <c r="L1585" s="375"/>
      <c r="M1585" s="368"/>
      <c r="N1585" s="368"/>
      <c r="O1585" s="370"/>
      <c r="T1585" s="340"/>
      <c r="V1585" s="378"/>
      <c r="W1585" s="64" ph="1"/>
      <c r="X1585" s="241"/>
      <c r="Y1585" s="284"/>
      <c r="Z1585" s="207"/>
      <c r="AA1585" s="284"/>
      <c r="AB1585" s="284"/>
      <c r="AC1585" s="284"/>
      <c r="AD1585" s="284"/>
      <c r="AE1585" s="284"/>
      <c r="AF1585" s="284"/>
      <c r="AG1585" s="284"/>
      <c r="AI1585" s="131"/>
    </row>
    <row r="1586" spans="1:35" ht="26.4">
      <c r="A1586" s="284"/>
      <c r="B1586" s="284"/>
      <c r="C1586" s="284"/>
      <c r="D1586" s="284"/>
      <c r="E1586" s="284"/>
      <c r="F1586" s="284"/>
      <c r="G1586" s="284"/>
      <c r="H1586" s="284"/>
      <c r="I1586" s="284"/>
      <c r="J1586" s="375"/>
      <c r="K1586" s="375"/>
      <c r="L1586" s="375"/>
      <c r="M1586" s="368"/>
      <c r="N1586" s="368"/>
      <c r="O1586" s="370"/>
      <c r="T1586" s="340"/>
      <c r="V1586" s="378"/>
      <c r="W1586" s="64" ph="1"/>
      <c r="X1586" s="241"/>
      <c r="Y1586" s="284"/>
      <c r="Z1586" s="207"/>
      <c r="AA1586" s="284"/>
      <c r="AB1586" s="284"/>
      <c r="AC1586" s="284"/>
      <c r="AD1586" s="284"/>
      <c r="AE1586" s="284"/>
      <c r="AF1586" s="284"/>
      <c r="AG1586" s="284"/>
      <c r="AI1586" s="131"/>
    </row>
    <row r="1587" spans="1:35" ht="26.4">
      <c r="A1587" s="284"/>
      <c r="B1587" s="284"/>
      <c r="C1587" s="284"/>
      <c r="D1587" s="284"/>
      <c r="E1587" s="284"/>
      <c r="F1587" s="284"/>
      <c r="G1587" s="284"/>
      <c r="H1587" s="284"/>
      <c r="I1587" s="284"/>
      <c r="J1587" s="375"/>
      <c r="K1587" s="375"/>
      <c r="L1587" s="375"/>
      <c r="M1587" s="368"/>
      <c r="N1587" s="368"/>
      <c r="O1587" s="370"/>
      <c r="T1587" s="340"/>
      <c r="V1587" s="378"/>
      <c r="W1587" s="64" ph="1"/>
      <c r="X1587" s="241"/>
      <c r="Y1587" s="284"/>
      <c r="Z1587" s="207"/>
      <c r="AA1587" s="284"/>
      <c r="AB1587" s="284"/>
      <c r="AC1587" s="284"/>
      <c r="AD1587" s="284"/>
      <c r="AE1587" s="284"/>
      <c r="AF1587" s="284"/>
      <c r="AG1587" s="284"/>
      <c r="AI1587" s="131"/>
    </row>
    <row r="1588" spans="1:35" ht="26.4">
      <c r="A1588" s="284"/>
      <c r="B1588" s="284"/>
      <c r="C1588" s="284"/>
      <c r="D1588" s="284"/>
      <c r="E1588" s="284"/>
      <c r="F1588" s="284"/>
      <c r="G1588" s="284"/>
      <c r="H1588" s="284"/>
      <c r="I1588" s="284"/>
      <c r="J1588" s="375"/>
      <c r="K1588" s="375"/>
      <c r="L1588" s="375"/>
      <c r="M1588" s="368"/>
      <c r="N1588" s="368"/>
      <c r="O1588" s="370"/>
      <c r="T1588" s="340"/>
      <c r="V1588" s="378"/>
      <c r="W1588" s="64" ph="1"/>
      <c r="X1588" s="241"/>
      <c r="Y1588" s="284"/>
      <c r="Z1588" s="207"/>
      <c r="AA1588" s="284"/>
      <c r="AB1588" s="284"/>
      <c r="AC1588" s="284"/>
      <c r="AD1588" s="284"/>
      <c r="AE1588" s="284"/>
      <c r="AF1588" s="284"/>
      <c r="AG1588" s="284"/>
      <c r="AI1588" s="131"/>
    </row>
    <row r="1589" spans="1:35" ht="26.4">
      <c r="A1589" s="284"/>
      <c r="B1589" s="284"/>
      <c r="C1589" s="284"/>
      <c r="D1589" s="284"/>
      <c r="E1589" s="284"/>
      <c r="F1589" s="284"/>
      <c r="G1589" s="284"/>
      <c r="H1589" s="284"/>
      <c r="I1589" s="284"/>
      <c r="J1589" s="375"/>
      <c r="K1589" s="375"/>
      <c r="L1589" s="375"/>
      <c r="M1589" s="368"/>
      <c r="N1589" s="368"/>
      <c r="O1589" s="370"/>
      <c r="T1589" s="340"/>
      <c r="V1589" s="378"/>
      <c r="W1589" s="64" ph="1"/>
      <c r="X1589" s="241"/>
      <c r="Y1589" s="284"/>
      <c r="Z1589" s="207"/>
      <c r="AA1589" s="284"/>
      <c r="AB1589" s="284"/>
      <c r="AC1589" s="284"/>
      <c r="AD1589" s="284"/>
      <c r="AE1589" s="284"/>
      <c r="AF1589" s="284"/>
      <c r="AG1589" s="284"/>
      <c r="AI1589" s="131"/>
    </row>
    <row r="1590" spans="1:35" ht="26.4">
      <c r="A1590" s="284"/>
      <c r="B1590" s="284"/>
      <c r="C1590" s="284"/>
      <c r="D1590" s="284"/>
      <c r="E1590" s="284"/>
      <c r="F1590" s="284"/>
      <c r="G1590" s="284"/>
      <c r="H1590" s="284"/>
      <c r="I1590" s="284"/>
      <c r="J1590" s="375"/>
      <c r="K1590" s="375"/>
      <c r="L1590" s="375"/>
      <c r="M1590" s="368"/>
      <c r="N1590" s="368"/>
      <c r="O1590" s="370"/>
      <c r="T1590" s="340"/>
      <c r="V1590" s="378"/>
      <c r="W1590" s="64" ph="1"/>
      <c r="X1590" s="241"/>
      <c r="Y1590" s="284"/>
      <c r="Z1590" s="207"/>
      <c r="AA1590" s="284"/>
      <c r="AB1590" s="284"/>
      <c r="AC1590" s="284"/>
      <c r="AD1590" s="284"/>
      <c r="AE1590" s="284"/>
      <c r="AF1590" s="284"/>
      <c r="AG1590" s="284"/>
      <c r="AI1590" s="131"/>
    </row>
    <row r="1591" spans="1:35" ht="26.4">
      <c r="A1591" s="284"/>
      <c r="B1591" s="284"/>
      <c r="C1591" s="284"/>
      <c r="D1591" s="284"/>
      <c r="E1591" s="284"/>
      <c r="F1591" s="284"/>
      <c r="G1591" s="284"/>
      <c r="H1591" s="284"/>
      <c r="I1591" s="284"/>
      <c r="J1591" s="375"/>
      <c r="K1591" s="375"/>
      <c r="L1591" s="375"/>
      <c r="M1591" s="368"/>
      <c r="N1591" s="368"/>
      <c r="O1591" s="370"/>
      <c r="T1591" s="340"/>
      <c r="V1591" s="378"/>
      <c r="W1591" s="64" ph="1"/>
      <c r="X1591" s="241"/>
      <c r="Y1591" s="284"/>
      <c r="Z1591" s="207"/>
      <c r="AA1591" s="284"/>
      <c r="AB1591" s="284"/>
      <c r="AC1591" s="284"/>
      <c r="AD1591" s="284"/>
      <c r="AE1591" s="284"/>
      <c r="AF1591" s="284"/>
      <c r="AG1591" s="284"/>
      <c r="AI1591" s="131"/>
    </row>
    <row r="1592" spans="1:35" ht="26.4">
      <c r="A1592" s="284"/>
      <c r="B1592" s="284"/>
      <c r="C1592" s="284"/>
      <c r="D1592" s="284"/>
      <c r="E1592" s="284"/>
      <c r="F1592" s="284"/>
      <c r="G1592" s="284"/>
      <c r="H1592" s="284"/>
      <c r="I1592" s="284"/>
      <c r="J1592" s="375"/>
      <c r="K1592" s="375"/>
      <c r="L1592" s="375"/>
      <c r="M1592" s="368"/>
      <c r="N1592" s="368"/>
      <c r="O1592" s="370"/>
      <c r="T1592" s="340"/>
      <c r="V1592" s="378"/>
      <c r="W1592" s="64" ph="1"/>
      <c r="X1592" s="241"/>
      <c r="Y1592" s="284"/>
      <c r="Z1592" s="207"/>
      <c r="AA1592" s="284"/>
      <c r="AB1592" s="284"/>
      <c r="AC1592" s="284"/>
      <c r="AD1592" s="284"/>
      <c r="AE1592" s="284"/>
      <c r="AF1592" s="284"/>
      <c r="AG1592" s="284"/>
      <c r="AI1592" s="131"/>
    </row>
    <row r="1593" spans="1:35" ht="26.4">
      <c r="A1593" s="284"/>
      <c r="B1593" s="284"/>
      <c r="C1593" s="284"/>
      <c r="D1593" s="284"/>
      <c r="E1593" s="284"/>
      <c r="F1593" s="284"/>
      <c r="G1593" s="284"/>
      <c r="H1593" s="284"/>
      <c r="I1593" s="284"/>
      <c r="J1593" s="375"/>
      <c r="K1593" s="375"/>
      <c r="L1593" s="375"/>
      <c r="M1593" s="368"/>
      <c r="N1593" s="368"/>
      <c r="O1593" s="370"/>
      <c r="T1593" s="340"/>
      <c r="V1593" s="378"/>
      <c r="W1593" s="64" ph="1"/>
      <c r="X1593" s="241"/>
      <c r="Y1593" s="284"/>
      <c r="Z1593" s="207"/>
      <c r="AA1593" s="284"/>
      <c r="AB1593" s="284"/>
      <c r="AC1593" s="284"/>
      <c r="AD1593" s="284"/>
      <c r="AE1593" s="284"/>
      <c r="AF1593" s="284"/>
      <c r="AG1593" s="284"/>
      <c r="AI1593" s="131"/>
    </row>
    <row r="1594" spans="1:35" ht="26.4">
      <c r="A1594" s="284"/>
      <c r="B1594" s="284"/>
      <c r="C1594" s="284"/>
      <c r="D1594" s="284"/>
      <c r="E1594" s="284"/>
      <c r="F1594" s="284"/>
      <c r="G1594" s="284"/>
      <c r="H1594" s="284"/>
      <c r="I1594" s="284"/>
      <c r="J1594" s="375"/>
      <c r="K1594" s="375"/>
      <c r="L1594" s="375"/>
      <c r="M1594" s="368"/>
      <c r="N1594" s="368"/>
      <c r="O1594" s="370"/>
      <c r="T1594" s="340"/>
      <c r="V1594" s="378"/>
      <c r="W1594" s="64" ph="1"/>
      <c r="X1594" s="241"/>
      <c r="Y1594" s="284"/>
      <c r="Z1594" s="207"/>
      <c r="AA1594" s="284"/>
      <c r="AB1594" s="284"/>
      <c r="AC1594" s="284"/>
      <c r="AD1594" s="284"/>
      <c r="AE1594" s="284"/>
      <c r="AF1594" s="284"/>
      <c r="AG1594" s="284"/>
      <c r="AI1594" s="131"/>
    </row>
    <row r="1595" spans="1:35" ht="26.4">
      <c r="A1595" s="284"/>
      <c r="B1595" s="284"/>
      <c r="C1595" s="284"/>
      <c r="D1595" s="284"/>
      <c r="E1595" s="284"/>
      <c r="F1595" s="284"/>
      <c r="G1595" s="284"/>
      <c r="H1595" s="284"/>
      <c r="I1595" s="284"/>
      <c r="J1595" s="375"/>
      <c r="K1595" s="375"/>
      <c r="L1595" s="375"/>
      <c r="M1595" s="368"/>
      <c r="N1595" s="368"/>
      <c r="O1595" s="370"/>
      <c r="T1595" s="340"/>
      <c r="V1595" s="378"/>
      <c r="W1595" s="64" ph="1"/>
      <c r="X1595" s="241"/>
      <c r="Y1595" s="284"/>
      <c r="Z1595" s="207"/>
      <c r="AA1595" s="284"/>
      <c r="AB1595" s="284"/>
      <c r="AC1595" s="284"/>
      <c r="AD1595" s="284"/>
      <c r="AE1595" s="284"/>
      <c r="AF1595" s="284"/>
      <c r="AG1595" s="284"/>
      <c r="AI1595" s="131"/>
    </row>
    <row r="1596" spans="1:35" ht="26.4">
      <c r="A1596" s="284"/>
      <c r="B1596" s="284"/>
      <c r="C1596" s="284"/>
      <c r="D1596" s="284"/>
      <c r="E1596" s="284"/>
      <c r="F1596" s="284"/>
      <c r="G1596" s="284"/>
      <c r="H1596" s="284"/>
      <c r="I1596" s="284"/>
      <c r="J1596" s="375"/>
      <c r="K1596" s="375"/>
      <c r="L1596" s="375"/>
      <c r="M1596" s="368"/>
      <c r="N1596" s="368"/>
      <c r="O1596" s="370"/>
      <c r="T1596" s="340"/>
      <c r="V1596" s="378"/>
      <c r="W1596" s="64" ph="1"/>
      <c r="X1596" s="241"/>
      <c r="Y1596" s="284"/>
      <c r="Z1596" s="207"/>
      <c r="AA1596" s="284"/>
      <c r="AB1596" s="284"/>
      <c r="AC1596" s="284"/>
      <c r="AD1596" s="284"/>
      <c r="AE1596" s="284"/>
      <c r="AF1596" s="284"/>
      <c r="AG1596" s="284"/>
      <c r="AI1596" s="131"/>
    </row>
    <row r="1597" spans="1:35" ht="26.4">
      <c r="A1597" s="284"/>
      <c r="B1597" s="284"/>
      <c r="C1597" s="284"/>
      <c r="D1597" s="284"/>
      <c r="E1597" s="284"/>
      <c r="F1597" s="284"/>
      <c r="G1597" s="284"/>
      <c r="H1597" s="284"/>
      <c r="I1597" s="284"/>
      <c r="J1597" s="375"/>
      <c r="K1597" s="375"/>
      <c r="L1597" s="375"/>
      <c r="M1597" s="368"/>
      <c r="N1597" s="368"/>
      <c r="O1597" s="370"/>
      <c r="T1597" s="340"/>
      <c r="V1597" s="378"/>
      <c r="W1597" s="64" ph="1"/>
      <c r="X1597" s="241"/>
      <c r="Y1597" s="284"/>
      <c r="Z1597" s="207"/>
      <c r="AA1597" s="284"/>
      <c r="AB1597" s="284"/>
      <c r="AC1597" s="284"/>
      <c r="AD1597" s="284"/>
      <c r="AE1597" s="284"/>
      <c r="AF1597" s="284"/>
      <c r="AG1597" s="284"/>
      <c r="AI1597" s="131"/>
    </row>
    <row r="1598" spans="1:35" ht="26.4">
      <c r="A1598" s="284"/>
      <c r="B1598" s="284"/>
      <c r="C1598" s="284"/>
      <c r="D1598" s="284"/>
      <c r="E1598" s="284"/>
      <c r="F1598" s="284"/>
      <c r="G1598" s="284"/>
      <c r="H1598" s="284"/>
      <c r="I1598" s="284"/>
      <c r="J1598" s="375"/>
      <c r="K1598" s="375"/>
      <c r="L1598" s="375"/>
      <c r="M1598" s="368"/>
      <c r="N1598" s="368"/>
      <c r="O1598" s="370"/>
      <c r="T1598" s="340"/>
      <c r="V1598" s="378"/>
      <c r="W1598" s="64" ph="1"/>
      <c r="X1598" s="241"/>
      <c r="Y1598" s="284"/>
      <c r="Z1598" s="207"/>
      <c r="AA1598" s="284"/>
      <c r="AB1598" s="284"/>
      <c r="AC1598" s="284"/>
      <c r="AD1598" s="284"/>
      <c r="AE1598" s="284"/>
      <c r="AF1598" s="284"/>
      <c r="AG1598" s="284"/>
      <c r="AI1598" s="284"/>
    </row>
    <row r="1599" spans="1:35" ht="26.4">
      <c r="A1599" s="284"/>
      <c r="B1599" s="284"/>
      <c r="C1599" s="284"/>
      <c r="D1599" s="284"/>
      <c r="E1599" s="284"/>
      <c r="F1599" s="284"/>
      <c r="G1599" s="284"/>
      <c r="H1599" s="284"/>
      <c r="I1599" s="284"/>
      <c r="J1599" s="375"/>
      <c r="K1599" s="375"/>
      <c r="L1599" s="375"/>
      <c r="M1599" s="368"/>
      <c r="N1599" s="368"/>
      <c r="O1599" s="370"/>
      <c r="T1599" s="340"/>
      <c r="V1599" s="378"/>
      <c r="W1599" s="64" ph="1"/>
      <c r="X1599" s="241"/>
      <c r="Y1599" s="284"/>
      <c r="Z1599" s="207"/>
      <c r="AA1599" s="284"/>
      <c r="AB1599" s="284"/>
      <c r="AC1599" s="284"/>
      <c r="AD1599" s="284"/>
      <c r="AE1599" s="284"/>
      <c r="AF1599" s="284"/>
      <c r="AG1599" s="284"/>
      <c r="AI1599" s="131"/>
    </row>
    <row r="1600" spans="1:35" ht="26.4">
      <c r="A1600" s="284"/>
      <c r="B1600" s="284"/>
      <c r="C1600" s="284"/>
      <c r="D1600" s="284"/>
      <c r="E1600" s="284"/>
      <c r="F1600" s="284"/>
      <c r="G1600" s="284"/>
      <c r="H1600" s="284"/>
      <c r="I1600" s="284"/>
      <c r="J1600" s="375"/>
      <c r="K1600" s="375"/>
      <c r="L1600" s="375"/>
      <c r="M1600" s="368"/>
      <c r="N1600" s="368"/>
      <c r="O1600" s="370"/>
      <c r="T1600" s="340"/>
      <c r="V1600" s="378"/>
      <c r="W1600" s="64" ph="1"/>
      <c r="X1600" s="241"/>
      <c r="Y1600" s="284"/>
      <c r="Z1600" s="207"/>
      <c r="AA1600" s="284"/>
      <c r="AB1600" s="284"/>
      <c r="AC1600" s="284"/>
      <c r="AD1600" s="284"/>
      <c r="AE1600" s="284"/>
      <c r="AF1600" s="284"/>
      <c r="AG1600" s="284"/>
      <c r="AI1600" s="131"/>
    </row>
    <row r="1601" spans="1:35" ht="26.4">
      <c r="A1601" s="284"/>
      <c r="B1601" s="284"/>
      <c r="C1601" s="284"/>
      <c r="D1601" s="284"/>
      <c r="E1601" s="284"/>
      <c r="F1601" s="284"/>
      <c r="G1601" s="284"/>
      <c r="H1601" s="284"/>
      <c r="I1601" s="284"/>
      <c r="J1601" s="375"/>
      <c r="K1601" s="375"/>
      <c r="L1601" s="375"/>
      <c r="M1601" s="368"/>
      <c r="N1601" s="368"/>
      <c r="O1601" s="370"/>
      <c r="T1601" s="340"/>
      <c r="V1601" s="378"/>
      <c r="W1601" s="64" ph="1"/>
      <c r="X1601" s="241"/>
      <c r="Y1601" s="284"/>
      <c r="Z1601" s="207"/>
      <c r="AA1601" s="284"/>
      <c r="AB1601" s="284"/>
      <c r="AC1601" s="284"/>
      <c r="AD1601" s="284"/>
      <c r="AE1601" s="284"/>
      <c r="AF1601" s="284"/>
      <c r="AG1601" s="284"/>
      <c r="AI1601" s="131"/>
    </row>
    <row r="1602" spans="1:35" ht="26.4">
      <c r="A1602" s="284"/>
      <c r="B1602" s="284"/>
      <c r="C1602" s="284"/>
      <c r="D1602" s="284"/>
      <c r="E1602" s="284"/>
      <c r="F1602" s="284"/>
      <c r="G1602" s="284"/>
      <c r="H1602" s="284"/>
      <c r="I1602" s="284"/>
      <c r="J1602" s="375"/>
      <c r="K1602" s="375"/>
      <c r="L1602" s="375"/>
      <c r="M1602" s="368"/>
      <c r="N1602" s="368"/>
      <c r="O1602" s="370"/>
      <c r="T1602" s="340"/>
      <c r="V1602" s="378"/>
      <c r="W1602" s="64" ph="1"/>
      <c r="X1602" s="241"/>
      <c r="Y1602" s="284"/>
      <c r="Z1602" s="207"/>
      <c r="AA1602" s="284"/>
      <c r="AB1602" s="284"/>
      <c r="AC1602" s="284"/>
      <c r="AD1602" s="284"/>
      <c r="AE1602" s="284"/>
      <c r="AF1602" s="284"/>
      <c r="AG1602" s="284"/>
      <c r="AI1602" s="131"/>
    </row>
    <row r="1603" spans="1:35" ht="26.4">
      <c r="A1603" s="284"/>
      <c r="B1603" s="284"/>
      <c r="C1603" s="284"/>
      <c r="D1603" s="284"/>
      <c r="E1603" s="284"/>
      <c r="F1603" s="284"/>
      <c r="G1603" s="284"/>
      <c r="H1603" s="284"/>
      <c r="I1603" s="284"/>
      <c r="J1603" s="375"/>
      <c r="K1603" s="375"/>
      <c r="L1603" s="375"/>
      <c r="M1603" s="368"/>
      <c r="N1603" s="368"/>
      <c r="O1603" s="370"/>
      <c r="T1603" s="340"/>
      <c r="V1603" s="378"/>
      <c r="W1603" s="64" ph="1"/>
      <c r="X1603" s="241"/>
      <c r="Y1603" s="284"/>
      <c r="Z1603" s="207"/>
      <c r="AA1603" s="284"/>
      <c r="AB1603" s="284"/>
      <c r="AC1603" s="284"/>
      <c r="AD1603" s="284"/>
      <c r="AE1603" s="284"/>
      <c r="AF1603" s="284"/>
      <c r="AG1603" s="284"/>
      <c r="AI1603" s="131"/>
    </row>
    <row r="1604" spans="1:35" ht="26.4">
      <c r="A1604" s="284"/>
      <c r="B1604" s="284"/>
      <c r="C1604" s="284"/>
      <c r="D1604" s="284"/>
      <c r="E1604" s="284"/>
      <c r="F1604" s="284"/>
      <c r="G1604" s="284"/>
      <c r="H1604" s="284"/>
      <c r="I1604" s="284"/>
      <c r="J1604" s="375"/>
      <c r="K1604" s="375"/>
      <c r="L1604" s="375"/>
      <c r="M1604" s="368"/>
      <c r="N1604" s="368"/>
      <c r="O1604" s="370"/>
      <c r="T1604" s="340"/>
      <c r="V1604" s="378"/>
      <c r="W1604" s="64" ph="1"/>
      <c r="X1604" s="241"/>
      <c r="Y1604" s="284"/>
      <c r="Z1604" s="207"/>
      <c r="AA1604" s="284"/>
      <c r="AB1604" s="284"/>
      <c r="AC1604" s="284"/>
      <c r="AD1604" s="284"/>
      <c r="AE1604" s="284"/>
      <c r="AF1604" s="284"/>
      <c r="AG1604" s="284"/>
      <c r="AI1604" s="131"/>
    </row>
    <row r="1605" spans="1:35" ht="26.4">
      <c r="A1605" s="284"/>
      <c r="B1605" s="284"/>
      <c r="C1605" s="284"/>
      <c r="D1605" s="284"/>
      <c r="E1605" s="284"/>
      <c r="F1605" s="284"/>
      <c r="G1605" s="284"/>
      <c r="H1605" s="284"/>
      <c r="I1605" s="284"/>
      <c r="J1605" s="375"/>
      <c r="K1605" s="375"/>
      <c r="L1605" s="375"/>
      <c r="M1605" s="368"/>
      <c r="N1605" s="368"/>
      <c r="O1605" s="370"/>
      <c r="T1605" s="340"/>
      <c r="V1605" s="378"/>
      <c r="W1605" s="64" ph="1"/>
      <c r="X1605" s="241"/>
      <c r="Y1605" s="284"/>
      <c r="Z1605" s="207"/>
      <c r="AA1605" s="284"/>
      <c r="AB1605" s="284"/>
      <c r="AC1605" s="284"/>
      <c r="AD1605" s="284"/>
      <c r="AE1605" s="284"/>
      <c r="AF1605" s="284"/>
      <c r="AG1605" s="284"/>
      <c r="AI1605" s="131"/>
    </row>
    <row r="1606" spans="1:35" ht="26.4">
      <c r="A1606" s="284"/>
      <c r="B1606" s="284"/>
      <c r="C1606" s="284"/>
      <c r="D1606" s="284"/>
      <c r="E1606" s="284"/>
      <c r="F1606" s="284"/>
      <c r="G1606" s="284"/>
      <c r="H1606" s="284"/>
      <c r="I1606" s="284"/>
      <c r="J1606" s="375"/>
      <c r="K1606" s="375"/>
      <c r="L1606" s="375"/>
      <c r="M1606" s="368"/>
      <c r="N1606" s="368"/>
      <c r="O1606" s="370"/>
      <c r="T1606" s="340"/>
      <c r="V1606" s="378"/>
      <c r="W1606" s="64" ph="1"/>
      <c r="X1606" s="241"/>
      <c r="Y1606" s="284"/>
      <c r="Z1606" s="207"/>
      <c r="AA1606" s="284"/>
      <c r="AB1606" s="284"/>
      <c r="AC1606" s="284"/>
      <c r="AD1606" s="284"/>
      <c r="AE1606" s="284"/>
      <c r="AF1606" s="284"/>
      <c r="AG1606" s="284"/>
      <c r="AI1606" s="131"/>
    </row>
    <row r="1607" spans="1:35" ht="26.4">
      <c r="A1607" s="284"/>
      <c r="B1607" s="284"/>
      <c r="C1607" s="284"/>
      <c r="D1607" s="284"/>
      <c r="E1607" s="284"/>
      <c r="F1607" s="284"/>
      <c r="G1607" s="284"/>
      <c r="H1607" s="284"/>
      <c r="I1607" s="284"/>
      <c r="J1607" s="375"/>
      <c r="K1607" s="375"/>
      <c r="L1607" s="375"/>
      <c r="M1607" s="368"/>
      <c r="N1607" s="368"/>
      <c r="O1607" s="370"/>
      <c r="T1607" s="340"/>
      <c r="V1607" s="378"/>
      <c r="W1607" s="64" ph="1"/>
      <c r="X1607" s="241"/>
      <c r="Y1607" s="284"/>
      <c r="Z1607" s="207"/>
      <c r="AA1607" s="284"/>
      <c r="AB1607" s="284"/>
      <c r="AC1607" s="284"/>
      <c r="AD1607" s="284"/>
      <c r="AE1607" s="284"/>
      <c r="AF1607" s="284"/>
      <c r="AG1607" s="284"/>
      <c r="AI1607" s="131"/>
    </row>
    <row r="1608" spans="1:35" ht="26.4">
      <c r="A1608" s="284"/>
      <c r="B1608" s="284"/>
      <c r="C1608" s="284"/>
      <c r="D1608" s="284"/>
      <c r="E1608" s="284"/>
      <c r="F1608" s="284"/>
      <c r="G1608" s="284"/>
      <c r="H1608" s="284"/>
      <c r="I1608" s="284"/>
      <c r="J1608" s="375"/>
      <c r="K1608" s="375"/>
      <c r="L1608" s="375"/>
      <c r="M1608" s="368"/>
      <c r="N1608" s="368"/>
      <c r="O1608" s="370"/>
      <c r="T1608" s="340"/>
      <c r="V1608" s="378"/>
      <c r="W1608" s="64" ph="1"/>
      <c r="X1608" s="241"/>
      <c r="Y1608" s="284"/>
      <c r="Z1608" s="207"/>
      <c r="AA1608" s="284"/>
      <c r="AB1608" s="284"/>
      <c r="AC1608" s="284"/>
      <c r="AD1608" s="284"/>
      <c r="AE1608" s="284"/>
      <c r="AF1608" s="284"/>
      <c r="AG1608" s="284"/>
      <c r="AI1608" s="131"/>
    </row>
    <row r="1609" spans="1:35" ht="26.4">
      <c r="A1609" s="284"/>
      <c r="B1609" s="284"/>
      <c r="C1609" s="284"/>
      <c r="D1609" s="284"/>
      <c r="E1609" s="284"/>
      <c r="F1609" s="284"/>
      <c r="G1609" s="284"/>
      <c r="H1609" s="284"/>
      <c r="I1609" s="284"/>
      <c r="J1609" s="375"/>
      <c r="K1609" s="375"/>
      <c r="L1609" s="375"/>
      <c r="M1609" s="368"/>
      <c r="N1609" s="368"/>
      <c r="O1609" s="370"/>
      <c r="T1609" s="340"/>
      <c r="V1609" s="378"/>
      <c r="W1609" s="64" ph="1"/>
      <c r="X1609" s="241"/>
      <c r="Y1609" s="284"/>
      <c r="Z1609" s="207"/>
      <c r="AA1609" s="284"/>
      <c r="AB1609" s="284"/>
      <c r="AC1609" s="284"/>
      <c r="AD1609" s="284"/>
      <c r="AE1609" s="284"/>
      <c r="AF1609" s="284"/>
      <c r="AG1609" s="284"/>
      <c r="AI1609" s="131"/>
    </row>
    <row r="1610" spans="1:35" ht="26.4">
      <c r="A1610" s="284"/>
      <c r="B1610" s="284"/>
      <c r="C1610" s="284"/>
      <c r="D1610" s="284"/>
      <c r="E1610" s="284"/>
      <c r="F1610" s="284"/>
      <c r="G1610" s="284"/>
      <c r="H1610" s="284"/>
      <c r="I1610" s="284"/>
      <c r="J1610" s="375"/>
      <c r="K1610" s="375"/>
      <c r="L1610" s="375"/>
      <c r="M1610" s="368"/>
      <c r="N1610" s="368"/>
      <c r="O1610" s="370"/>
      <c r="T1610" s="340"/>
      <c r="V1610" s="378"/>
      <c r="W1610" s="64" ph="1"/>
      <c r="X1610" s="241"/>
      <c r="Y1610" s="284"/>
      <c r="Z1610" s="207"/>
      <c r="AA1610" s="284"/>
      <c r="AB1610" s="284"/>
      <c r="AC1610" s="284"/>
      <c r="AD1610" s="284"/>
      <c r="AE1610" s="284"/>
      <c r="AF1610" s="284"/>
      <c r="AG1610" s="284"/>
      <c r="AI1610" s="131"/>
    </row>
    <row r="1611" spans="1:35" ht="26.4">
      <c r="A1611" s="284"/>
      <c r="B1611" s="284"/>
      <c r="C1611" s="284"/>
      <c r="D1611" s="284"/>
      <c r="E1611" s="284"/>
      <c r="F1611" s="284"/>
      <c r="G1611" s="284"/>
      <c r="H1611" s="284"/>
      <c r="I1611" s="284"/>
      <c r="J1611" s="375"/>
      <c r="K1611" s="375"/>
      <c r="L1611" s="375"/>
      <c r="M1611" s="368"/>
      <c r="N1611" s="368"/>
      <c r="O1611" s="370"/>
      <c r="T1611" s="340"/>
      <c r="V1611" s="378"/>
      <c r="W1611" s="64" ph="1"/>
      <c r="X1611" s="241"/>
      <c r="Y1611" s="284"/>
      <c r="Z1611" s="207"/>
      <c r="AA1611" s="284"/>
      <c r="AB1611" s="284"/>
      <c r="AC1611" s="284"/>
      <c r="AD1611" s="284"/>
      <c r="AE1611" s="284"/>
      <c r="AF1611" s="284"/>
      <c r="AG1611" s="284"/>
      <c r="AI1611" s="131"/>
    </row>
    <row r="1612" spans="1:35" ht="26.4">
      <c r="A1612" s="284"/>
      <c r="B1612" s="284"/>
      <c r="C1612" s="284"/>
      <c r="D1612" s="284"/>
      <c r="E1612" s="284"/>
      <c r="F1612" s="284"/>
      <c r="G1612" s="284"/>
      <c r="H1612" s="284"/>
      <c r="I1612" s="284"/>
      <c r="J1612" s="375"/>
      <c r="K1612" s="375"/>
      <c r="L1612" s="375"/>
      <c r="M1612" s="368"/>
      <c r="N1612" s="368"/>
      <c r="O1612" s="370"/>
      <c r="T1612" s="340"/>
      <c r="V1612" s="378"/>
      <c r="W1612" s="64" ph="1"/>
      <c r="X1612" s="241"/>
      <c r="Y1612" s="284"/>
      <c r="Z1612" s="207"/>
      <c r="AA1612" s="284"/>
      <c r="AB1612" s="284"/>
      <c r="AC1612" s="284"/>
      <c r="AD1612" s="284"/>
      <c r="AE1612" s="284"/>
      <c r="AF1612" s="284"/>
      <c r="AG1612" s="284"/>
      <c r="AI1612" s="131"/>
    </row>
    <row r="1613" spans="1:35" ht="26.4">
      <c r="A1613" s="284"/>
      <c r="B1613" s="284"/>
      <c r="C1613" s="284"/>
      <c r="D1613" s="284"/>
      <c r="E1613" s="284"/>
      <c r="F1613" s="284"/>
      <c r="G1613" s="284"/>
      <c r="H1613" s="284"/>
      <c r="I1613" s="284"/>
      <c r="J1613" s="375"/>
      <c r="K1613" s="375"/>
      <c r="L1613" s="375"/>
      <c r="M1613" s="368"/>
      <c r="N1613" s="368"/>
      <c r="O1613" s="370"/>
      <c r="T1613" s="340"/>
      <c r="V1613" s="378"/>
      <c r="W1613" s="64" ph="1"/>
      <c r="X1613" s="241"/>
      <c r="Y1613" s="284"/>
      <c r="Z1613" s="207"/>
      <c r="AA1613" s="284"/>
      <c r="AB1613" s="284"/>
      <c r="AC1613" s="284"/>
      <c r="AD1613" s="284"/>
      <c r="AE1613" s="284"/>
      <c r="AF1613" s="284"/>
      <c r="AG1613" s="284"/>
      <c r="AI1613" s="131"/>
    </row>
    <row r="1614" spans="1:35" ht="26.4">
      <c r="A1614" s="284"/>
      <c r="B1614" s="284"/>
      <c r="C1614" s="284"/>
      <c r="D1614" s="284"/>
      <c r="E1614" s="284"/>
      <c r="F1614" s="284"/>
      <c r="G1614" s="284"/>
      <c r="H1614" s="284"/>
      <c r="I1614" s="284"/>
      <c r="J1614" s="375"/>
      <c r="K1614" s="375"/>
      <c r="L1614" s="375"/>
      <c r="M1614" s="368"/>
      <c r="N1614" s="368"/>
      <c r="O1614" s="370"/>
      <c r="T1614" s="340"/>
      <c r="V1614" s="378"/>
      <c r="W1614" s="64" ph="1"/>
      <c r="X1614" s="241"/>
      <c r="Y1614" s="284"/>
      <c r="Z1614" s="207"/>
      <c r="AA1614" s="284"/>
      <c r="AB1614" s="284"/>
      <c r="AC1614" s="284"/>
      <c r="AD1614" s="284"/>
      <c r="AE1614" s="284"/>
      <c r="AF1614" s="284"/>
      <c r="AG1614" s="284"/>
      <c r="AI1614" s="131"/>
    </row>
    <row r="1615" spans="1:35" ht="26.4">
      <c r="A1615" s="284"/>
      <c r="B1615" s="284"/>
      <c r="C1615" s="284"/>
      <c r="D1615" s="284"/>
      <c r="E1615" s="284"/>
      <c r="F1615" s="284"/>
      <c r="G1615" s="284"/>
      <c r="H1615" s="284"/>
      <c r="I1615" s="284"/>
      <c r="J1615" s="375"/>
      <c r="K1615" s="375"/>
      <c r="L1615" s="375"/>
      <c r="M1615" s="368"/>
      <c r="N1615" s="368"/>
      <c r="O1615" s="370"/>
      <c r="T1615" s="340"/>
      <c r="V1615" s="378"/>
      <c r="W1615" s="64" ph="1"/>
      <c r="X1615" s="241"/>
      <c r="Y1615" s="284"/>
      <c r="Z1615" s="207"/>
      <c r="AA1615" s="284"/>
      <c r="AB1615" s="284"/>
      <c r="AC1615" s="284"/>
      <c r="AD1615" s="284"/>
      <c r="AE1615" s="284"/>
      <c r="AF1615" s="284"/>
      <c r="AG1615" s="284"/>
      <c r="AI1615" s="131"/>
    </row>
    <row r="1616" spans="1:35" ht="26.4">
      <c r="A1616" s="284"/>
      <c r="B1616" s="284"/>
      <c r="C1616" s="284"/>
      <c r="D1616" s="284"/>
      <c r="E1616" s="284"/>
      <c r="F1616" s="284"/>
      <c r="G1616" s="284"/>
      <c r="H1616" s="284"/>
      <c r="I1616" s="284"/>
      <c r="J1616" s="375"/>
      <c r="K1616" s="375"/>
      <c r="L1616" s="375"/>
      <c r="M1616" s="368"/>
      <c r="N1616" s="368"/>
      <c r="O1616" s="370"/>
      <c r="T1616" s="340"/>
      <c r="V1616" s="378"/>
      <c r="W1616" s="64" ph="1"/>
      <c r="X1616" s="241"/>
      <c r="Y1616" s="284"/>
      <c r="Z1616" s="207"/>
      <c r="AA1616" s="284"/>
      <c r="AB1616" s="284"/>
      <c r="AC1616" s="284"/>
      <c r="AD1616" s="284"/>
      <c r="AE1616" s="284"/>
      <c r="AF1616" s="284"/>
      <c r="AG1616" s="284"/>
      <c r="AI1616" s="131"/>
    </row>
    <row r="1617" spans="1:35" ht="26.4">
      <c r="A1617" s="284"/>
      <c r="B1617" s="284"/>
      <c r="C1617" s="284"/>
      <c r="D1617" s="284"/>
      <c r="E1617" s="284"/>
      <c r="F1617" s="284"/>
      <c r="G1617" s="284"/>
      <c r="H1617" s="284"/>
      <c r="I1617" s="284"/>
      <c r="J1617" s="375"/>
      <c r="K1617" s="375"/>
      <c r="L1617" s="375"/>
      <c r="M1617" s="368"/>
      <c r="N1617" s="368"/>
      <c r="O1617" s="370"/>
      <c r="T1617" s="340"/>
      <c r="V1617" s="378"/>
      <c r="W1617" s="64" ph="1"/>
      <c r="X1617" s="241"/>
      <c r="Y1617" s="284"/>
      <c r="Z1617" s="207"/>
      <c r="AA1617" s="284"/>
      <c r="AB1617" s="284"/>
      <c r="AC1617" s="284"/>
      <c r="AD1617" s="284"/>
      <c r="AE1617" s="284"/>
      <c r="AF1617" s="284"/>
      <c r="AG1617" s="284"/>
      <c r="AI1617" s="131"/>
    </row>
    <row r="1618" spans="1:35" ht="26.4">
      <c r="A1618" s="284"/>
      <c r="B1618" s="284"/>
      <c r="C1618" s="284"/>
      <c r="D1618" s="284"/>
      <c r="E1618" s="284"/>
      <c r="F1618" s="284"/>
      <c r="G1618" s="284"/>
      <c r="H1618" s="284"/>
      <c r="I1618" s="284"/>
      <c r="J1618" s="375"/>
      <c r="K1618" s="375"/>
      <c r="L1618" s="375"/>
      <c r="M1618" s="368"/>
      <c r="N1618" s="368"/>
      <c r="O1618" s="370"/>
      <c r="T1618" s="340"/>
      <c r="V1618" s="378"/>
      <c r="W1618" s="64" ph="1"/>
      <c r="X1618" s="241"/>
      <c r="Y1618" s="284"/>
      <c r="Z1618" s="207"/>
      <c r="AA1618" s="284"/>
      <c r="AB1618" s="284"/>
      <c r="AC1618" s="284"/>
      <c r="AD1618" s="284"/>
      <c r="AE1618" s="284"/>
      <c r="AF1618" s="284"/>
      <c r="AG1618" s="284"/>
      <c r="AI1618" s="131"/>
    </row>
    <row r="1619" spans="1:35" ht="26.4">
      <c r="A1619" s="284"/>
      <c r="B1619" s="284"/>
      <c r="C1619" s="284"/>
      <c r="D1619" s="284"/>
      <c r="E1619" s="284"/>
      <c r="F1619" s="284"/>
      <c r="G1619" s="284"/>
      <c r="H1619" s="284"/>
      <c r="I1619" s="284"/>
      <c r="J1619" s="375"/>
      <c r="K1619" s="375"/>
      <c r="L1619" s="375"/>
      <c r="M1619" s="368"/>
      <c r="N1619" s="368"/>
      <c r="O1619" s="370"/>
      <c r="T1619" s="340"/>
      <c r="V1619" s="378"/>
      <c r="W1619" s="64" ph="1"/>
      <c r="X1619" s="241"/>
      <c r="Y1619" s="284"/>
      <c r="Z1619" s="207"/>
      <c r="AA1619" s="284"/>
      <c r="AB1619" s="284"/>
      <c r="AC1619" s="284"/>
      <c r="AD1619" s="284"/>
      <c r="AE1619" s="284"/>
      <c r="AF1619" s="284"/>
      <c r="AG1619" s="284"/>
      <c r="AI1619" s="131"/>
    </row>
    <row r="1620" spans="1:35" ht="26.4">
      <c r="A1620" s="284"/>
      <c r="B1620" s="284"/>
      <c r="C1620" s="284"/>
      <c r="D1620" s="284"/>
      <c r="E1620" s="284"/>
      <c r="F1620" s="284"/>
      <c r="G1620" s="284"/>
      <c r="H1620" s="284"/>
      <c r="I1620" s="284"/>
      <c r="J1620" s="375"/>
      <c r="K1620" s="375"/>
      <c r="L1620" s="375"/>
      <c r="M1620" s="368"/>
      <c r="N1620" s="368"/>
      <c r="O1620" s="370"/>
      <c r="T1620" s="340"/>
      <c r="V1620" s="378"/>
      <c r="W1620" s="64" ph="1"/>
      <c r="X1620" s="241"/>
      <c r="Y1620" s="284"/>
      <c r="Z1620" s="207"/>
      <c r="AA1620" s="284"/>
      <c r="AB1620" s="284"/>
      <c r="AC1620" s="284"/>
      <c r="AD1620" s="284"/>
      <c r="AE1620" s="284"/>
      <c r="AF1620" s="284"/>
      <c r="AG1620" s="284"/>
      <c r="AI1620" s="131"/>
    </row>
    <row r="1621" spans="1:35" ht="26.4">
      <c r="A1621" s="284"/>
      <c r="B1621" s="284"/>
      <c r="C1621" s="284"/>
      <c r="D1621" s="284"/>
      <c r="E1621" s="284"/>
      <c r="F1621" s="284"/>
      <c r="G1621" s="284"/>
      <c r="H1621" s="284"/>
      <c r="I1621" s="284"/>
      <c r="J1621" s="375"/>
      <c r="K1621" s="375"/>
      <c r="L1621" s="375"/>
      <c r="M1621" s="368"/>
      <c r="N1621" s="368"/>
      <c r="O1621" s="370"/>
      <c r="T1621" s="340"/>
      <c r="V1621" s="378"/>
      <c r="W1621" s="64" ph="1"/>
      <c r="X1621" s="241"/>
      <c r="Y1621" s="284"/>
      <c r="Z1621" s="207"/>
      <c r="AA1621" s="284"/>
      <c r="AB1621" s="284"/>
      <c r="AC1621" s="284"/>
      <c r="AD1621" s="284"/>
      <c r="AE1621" s="284"/>
      <c r="AF1621" s="284"/>
      <c r="AG1621" s="284"/>
      <c r="AI1621" s="131"/>
    </row>
    <row r="1622" spans="1:35" ht="26.4">
      <c r="A1622" s="284"/>
      <c r="B1622" s="284"/>
      <c r="C1622" s="284"/>
      <c r="D1622" s="284"/>
      <c r="E1622" s="284"/>
      <c r="F1622" s="284"/>
      <c r="G1622" s="284"/>
      <c r="H1622" s="284"/>
      <c r="I1622" s="284"/>
      <c r="J1622" s="375"/>
      <c r="K1622" s="375"/>
      <c r="L1622" s="375"/>
      <c r="M1622" s="368"/>
      <c r="N1622" s="368"/>
      <c r="O1622" s="370"/>
      <c r="T1622" s="340"/>
      <c r="V1622" s="378"/>
      <c r="W1622" s="64" ph="1"/>
      <c r="X1622" s="241"/>
      <c r="Y1622" s="284"/>
      <c r="Z1622" s="207"/>
      <c r="AA1622" s="284"/>
      <c r="AB1622" s="284"/>
      <c r="AC1622" s="284"/>
      <c r="AD1622" s="284"/>
      <c r="AE1622" s="284"/>
      <c r="AF1622" s="284"/>
      <c r="AG1622" s="284"/>
      <c r="AI1622" s="131"/>
    </row>
    <row r="1623" spans="1:35" ht="26.4">
      <c r="A1623" s="284"/>
      <c r="B1623" s="284"/>
      <c r="C1623" s="284"/>
      <c r="D1623" s="284"/>
      <c r="E1623" s="284"/>
      <c r="F1623" s="284"/>
      <c r="G1623" s="284"/>
      <c r="H1623" s="284"/>
      <c r="I1623" s="284"/>
      <c r="J1623" s="375"/>
      <c r="K1623" s="375"/>
      <c r="L1623" s="375"/>
      <c r="M1623" s="368"/>
      <c r="N1623" s="368"/>
      <c r="O1623" s="370"/>
      <c r="T1623" s="340"/>
      <c r="V1623" s="378"/>
      <c r="W1623" s="64" ph="1"/>
      <c r="X1623" s="241"/>
      <c r="Y1623" s="284"/>
      <c r="Z1623" s="207"/>
      <c r="AA1623" s="284"/>
      <c r="AB1623" s="284"/>
      <c r="AC1623" s="284"/>
      <c r="AD1623" s="284"/>
      <c r="AE1623" s="284"/>
      <c r="AF1623" s="284"/>
      <c r="AG1623" s="284"/>
      <c r="AI1623" s="131"/>
    </row>
    <row r="1624" spans="1:35" ht="26.4">
      <c r="A1624" s="284"/>
      <c r="B1624" s="284"/>
      <c r="C1624" s="284"/>
      <c r="D1624" s="284"/>
      <c r="E1624" s="284"/>
      <c r="F1624" s="284"/>
      <c r="G1624" s="284"/>
      <c r="H1624" s="284"/>
      <c r="I1624" s="284"/>
      <c r="J1624" s="375"/>
      <c r="K1624" s="375"/>
      <c r="L1624" s="375"/>
      <c r="M1624" s="368"/>
      <c r="N1624" s="368"/>
      <c r="O1624" s="370"/>
      <c r="T1624" s="340"/>
      <c r="V1624" s="378"/>
      <c r="W1624" s="64" ph="1"/>
      <c r="X1624" s="241"/>
      <c r="Y1624" s="284"/>
      <c r="Z1624" s="207"/>
      <c r="AA1624" s="284"/>
      <c r="AB1624" s="284"/>
      <c r="AC1624" s="284"/>
      <c r="AD1624" s="284"/>
      <c r="AE1624" s="284"/>
      <c r="AF1624" s="284"/>
      <c r="AG1624" s="284"/>
      <c r="AI1624" s="131"/>
    </row>
    <row r="1625" spans="1:35" ht="26.4">
      <c r="A1625" s="284"/>
      <c r="B1625" s="284"/>
      <c r="C1625" s="284"/>
      <c r="D1625" s="284"/>
      <c r="E1625" s="284"/>
      <c r="F1625" s="284"/>
      <c r="G1625" s="284"/>
      <c r="H1625" s="284"/>
      <c r="I1625" s="284"/>
      <c r="J1625" s="375"/>
      <c r="K1625" s="375"/>
      <c r="L1625" s="375"/>
      <c r="M1625" s="368"/>
      <c r="N1625" s="368"/>
      <c r="O1625" s="370"/>
      <c r="T1625" s="340"/>
      <c r="V1625" s="378"/>
      <c r="W1625" s="64" ph="1"/>
      <c r="X1625" s="241"/>
      <c r="Y1625" s="284"/>
      <c r="Z1625" s="207"/>
      <c r="AA1625" s="284"/>
      <c r="AB1625" s="284"/>
      <c r="AC1625" s="284"/>
      <c r="AD1625" s="284"/>
      <c r="AE1625" s="284"/>
      <c r="AF1625" s="284"/>
      <c r="AG1625" s="284"/>
      <c r="AI1625" s="131"/>
    </row>
    <row r="1626" spans="1:35" ht="26.4">
      <c r="A1626" s="284"/>
      <c r="B1626" s="284"/>
      <c r="C1626" s="284"/>
      <c r="D1626" s="284"/>
      <c r="E1626" s="284"/>
      <c r="F1626" s="284"/>
      <c r="G1626" s="284"/>
      <c r="H1626" s="284"/>
      <c r="I1626" s="284"/>
      <c r="J1626" s="375"/>
      <c r="K1626" s="375"/>
      <c r="L1626" s="375"/>
      <c r="M1626" s="368"/>
      <c r="N1626" s="368"/>
      <c r="O1626" s="370"/>
      <c r="T1626" s="340"/>
      <c r="V1626" s="378"/>
      <c r="W1626" s="64" ph="1"/>
      <c r="X1626" s="241"/>
      <c r="Y1626" s="284"/>
      <c r="Z1626" s="207"/>
      <c r="AA1626" s="284"/>
      <c r="AB1626" s="284"/>
      <c r="AC1626" s="284"/>
      <c r="AD1626" s="284"/>
      <c r="AE1626" s="284"/>
      <c r="AF1626" s="284"/>
      <c r="AG1626" s="284"/>
      <c r="AI1626" s="131"/>
    </row>
    <row r="1627" spans="1:35" ht="26.4">
      <c r="A1627" s="284"/>
      <c r="B1627" s="284"/>
      <c r="C1627" s="284"/>
      <c r="D1627" s="284"/>
      <c r="E1627" s="284"/>
      <c r="F1627" s="284"/>
      <c r="G1627" s="284"/>
      <c r="H1627" s="284"/>
      <c r="I1627" s="284"/>
      <c r="J1627" s="375"/>
      <c r="K1627" s="375"/>
      <c r="L1627" s="375"/>
      <c r="M1627" s="368"/>
      <c r="N1627" s="368"/>
      <c r="O1627" s="370"/>
      <c r="T1627" s="340"/>
      <c r="V1627" s="378"/>
      <c r="W1627" s="64" ph="1"/>
      <c r="X1627" s="241"/>
      <c r="Y1627" s="284"/>
      <c r="Z1627" s="207"/>
      <c r="AA1627" s="284"/>
      <c r="AB1627" s="284"/>
      <c r="AC1627" s="284"/>
      <c r="AD1627" s="284"/>
      <c r="AE1627" s="284"/>
      <c r="AF1627" s="284"/>
      <c r="AG1627" s="284"/>
      <c r="AI1627" s="131"/>
    </row>
    <row r="1628" spans="1:35" ht="26.4">
      <c r="A1628" s="284"/>
      <c r="B1628" s="284"/>
      <c r="C1628" s="284"/>
      <c r="D1628" s="284"/>
      <c r="E1628" s="284"/>
      <c r="F1628" s="284"/>
      <c r="G1628" s="284"/>
      <c r="H1628" s="284"/>
      <c r="I1628" s="284"/>
      <c r="J1628" s="375"/>
      <c r="K1628" s="375"/>
      <c r="L1628" s="375"/>
      <c r="M1628" s="368"/>
      <c r="N1628" s="368"/>
      <c r="O1628" s="370"/>
      <c r="T1628" s="340"/>
      <c r="V1628" s="378"/>
      <c r="W1628" s="64" ph="1"/>
      <c r="X1628" s="241"/>
      <c r="Y1628" s="284"/>
      <c r="Z1628" s="207"/>
      <c r="AA1628" s="284"/>
      <c r="AB1628" s="284"/>
      <c r="AC1628" s="284"/>
      <c r="AD1628" s="284"/>
      <c r="AE1628" s="284"/>
      <c r="AF1628" s="284"/>
      <c r="AG1628" s="284"/>
      <c r="AI1628" s="131"/>
    </row>
    <row r="1629" spans="1:35" ht="26.4">
      <c r="A1629" s="284"/>
      <c r="B1629" s="284"/>
      <c r="C1629" s="284"/>
      <c r="D1629" s="284"/>
      <c r="E1629" s="284"/>
      <c r="F1629" s="284"/>
      <c r="G1629" s="284"/>
      <c r="H1629" s="284"/>
      <c r="I1629" s="284"/>
      <c r="J1629" s="375"/>
      <c r="K1629" s="375"/>
      <c r="L1629" s="375"/>
      <c r="M1629" s="368"/>
      <c r="N1629" s="368"/>
      <c r="O1629" s="370"/>
      <c r="T1629" s="340"/>
      <c r="V1629" s="378"/>
      <c r="W1629" s="64" ph="1"/>
      <c r="X1629" s="241"/>
      <c r="Y1629" s="284"/>
      <c r="Z1629" s="207"/>
      <c r="AA1629" s="284"/>
      <c r="AB1629" s="284"/>
      <c r="AC1629" s="284"/>
      <c r="AD1629" s="284"/>
      <c r="AE1629" s="284"/>
      <c r="AF1629" s="284"/>
      <c r="AG1629" s="284"/>
      <c r="AI1629" s="131"/>
    </row>
    <row r="1630" spans="1:35" ht="26.4">
      <c r="A1630" s="284"/>
      <c r="B1630" s="284"/>
      <c r="C1630" s="284"/>
      <c r="D1630" s="284"/>
      <c r="E1630" s="284"/>
      <c r="F1630" s="284"/>
      <c r="G1630" s="284"/>
      <c r="H1630" s="284"/>
      <c r="I1630" s="284"/>
      <c r="J1630" s="375"/>
      <c r="K1630" s="375"/>
      <c r="L1630" s="375"/>
      <c r="M1630" s="368"/>
      <c r="N1630" s="368"/>
      <c r="O1630" s="370"/>
      <c r="T1630" s="340"/>
      <c r="V1630" s="378"/>
      <c r="W1630" s="64" ph="1"/>
      <c r="X1630" s="241"/>
      <c r="Y1630" s="284"/>
      <c r="Z1630" s="207"/>
      <c r="AA1630" s="284"/>
      <c r="AB1630" s="284"/>
      <c r="AC1630" s="284"/>
      <c r="AD1630" s="284"/>
      <c r="AE1630" s="284"/>
      <c r="AF1630" s="284"/>
      <c r="AG1630" s="284"/>
      <c r="AI1630" s="131"/>
    </row>
    <row r="1631" spans="1:35" ht="26.4">
      <c r="A1631" s="284"/>
      <c r="B1631" s="284"/>
      <c r="C1631" s="284"/>
      <c r="D1631" s="284"/>
      <c r="E1631" s="284"/>
      <c r="F1631" s="284"/>
      <c r="G1631" s="284"/>
      <c r="H1631" s="284"/>
      <c r="I1631" s="284"/>
      <c r="J1631" s="375"/>
      <c r="K1631" s="375"/>
      <c r="L1631" s="375"/>
      <c r="M1631" s="368"/>
      <c r="N1631" s="368"/>
      <c r="O1631" s="370"/>
      <c r="T1631" s="340"/>
      <c r="V1631" s="378"/>
      <c r="W1631" s="64" ph="1"/>
      <c r="X1631" s="241"/>
      <c r="Y1631" s="284"/>
      <c r="Z1631" s="207"/>
      <c r="AA1631" s="284"/>
      <c r="AB1631" s="284"/>
      <c r="AC1631" s="284"/>
      <c r="AD1631" s="284"/>
      <c r="AE1631" s="284"/>
      <c r="AF1631" s="284"/>
      <c r="AG1631" s="284"/>
      <c r="AI1631" s="284"/>
    </row>
    <row r="1632" spans="1:35" ht="26.4">
      <c r="A1632" s="284"/>
      <c r="B1632" s="284"/>
      <c r="C1632" s="284"/>
      <c r="D1632" s="284"/>
      <c r="E1632" s="284"/>
      <c r="F1632" s="284"/>
      <c r="G1632" s="284"/>
      <c r="H1632" s="284"/>
      <c r="I1632" s="284"/>
      <c r="J1632" s="375"/>
      <c r="K1632" s="375"/>
      <c r="L1632" s="375"/>
      <c r="M1632" s="368"/>
      <c r="N1632" s="368"/>
      <c r="O1632" s="370"/>
      <c r="T1632" s="340"/>
      <c r="V1632" s="378"/>
      <c r="W1632" s="64" ph="1"/>
      <c r="X1632" s="241"/>
      <c r="Y1632" s="284"/>
      <c r="Z1632" s="207"/>
      <c r="AA1632" s="284"/>
      <c r="AB1632" s="284"/>
      <c r="AC1632" s="284"/>
      <c r="AD1632" s="284"/>
      <c r="AE1632" s="284"/>
      <c r="AF1632" s="284"/>
      <c r="AG1632" s="284"/>
      <c r="AI1632" s="284"/>
    </row>
    <row r="1633" spans="1:35" ht="26.4">
      <c r="A1633" s="284"/>
      <c r="B1633" s="284"/>
      <c r="C1633" s="284"/>
      <c r="D1633" s="284"/>
      <c r="E1633" s="284"/>
      <c r="F1633" s="284"/>
      <c r="G1633" s="284"/>
      <c r="H1633" s="284"/>
      <c r="I1633" s="284"/>
      <c r="J1633" s="375"/>
      <c r="K1633" s="375"/>
      <c r="L1633" s="375"/>
      <c r="M1633" s="368"/>
      <c r="N1633" s="368"/>
      <c r="O1633" s="370"/>
      <c r="T1633" s="340"/>
      <c r="V1633" s="378"/>
      <c r="W1633" s="64" ph="1"/>
      <c r="X1633" s="241"/>
      <c r="Y1633" s="284"/>
      <c r="Z1633" s="207"/>
      <c r="AA1633" s="284"/>
      <c r="AB1633" s="284"/>
      <c r="AC1633" s="284"/>
      <c r="AD1633" s="284"/>
      <c r="AE1633" s="284"/>
      <c r="AF1633" s="284"/>
      <c r="AG1633" s="284"/>
      <c r="AI1633" s="131"/>
    </row>
    <row r="1634" spans="1:35" ht="26.4">
      <c r="A1634" s="284"/>
      <c r="B1634" s="284"/>
      <c r="C1634" s="284"/>
      <c r="D1634" s="284"/>
      <c r="E1634" s="284"/>
      <c r="F1634" s="284"/>
      <c r="G1634" s="284"/>
      <c r="H1634" s="284"/>
      <c r="I1634" s="284"/>
      <c r="J1634" s="375"/>
      <c r="K1634" s="375"/>
      <c r="L1634" s="375"/>
      <c r="M1634" s="368"/>
      <c r="N1634" s="368"/>
      <c r="O1634" s="370"/>
      <c r="T1634" s="340"/>
      <c r="V1634" s="378"/>
      <c r="W1634" s="64" ph="1"/>
      <c r="X1634" s="241"/>
      <c r="Y1634" s="284"/>
      <c r="Z1634" s="207"/>
      <c r="AA1634" s="284"/>
      <c r="AB1634" s="284"/>
      <c r="AC1634" s="284"/>
      <c r="AD1634" s="284"/>
      <c r="AE1634" s="284"/>
      <c r="AF1634" s="284"/>
      <c r="AG1634" s="284"/>
      <c r="AI1634" s="131"/>
    </row>
    <row r="1635" spans="1:35" ht="26.4">
      <c r="A1635" s="284"/>
      <c r="B1635" s="284"/>
      <c r="C1635" s="284"/>
      <c r="D1635" s="284"/>
      <c r="E1635" s="284"/>
      <c r="F1635" s="284"/>
      <c r="G1635" s="284"/>
      <c r="H1635" s="284"/>
      <c r="I1635" s="284"/>
      <c r="J1635" s="375"/>
      <c r="K1635" s="375"/>
      <c r="L1635" s="375"/>
      <c r="M1635" s="368"/>
      <c r="N1635" s="368"/>
      <c r="O1635" s="370"/>
      <c r="T1635" s="340"/>
      <c r="V1635" s="378"/>
      <c r="W1635" s="64" ph="1"/>
      <c r="X1635" s="241"/>
      <c r="Y1635" s="284"/>
      <c r="Z1635" s="207"/>
      <c r="AA1635" s="284"/>
      <c r="AB1635" s="284"/>
      <c r="AC1635" s="284"/>
      <c r="AD1635" s="284"/>
      <c r="AE1635" s="284"/>
      <c r="AF1635" s="284"/>
      <c r="AG1635" s="284"/>
      <c r="AI1635" s="131"/>
    </row>
    <row r="1636" spans="1:35" ht="26.4">
      <c r="A1636" s="284"/>
      <c r="B1636" s="284"/>
      <c r="C1636" s="284"/>
      <c r="D1636" s="284"/>
      <c r="E1636" s="284"/>
      <c r="F1636" s="284"/>
      <c r="G1636" s="284"/>
      <c r="H1636" s="284"/>
      <c r="I1636" s="284"/>
      <c r="J1636" s="375"/>
      <c r="K1636" s="375"/>
      <c r="L1636" s="375"/>
      <c r="M1636" s="368"/>
      <c r="N1636" s="368"/>
      <c r="O1636" s="370"/>
      <c r="T1636" s="340"/>
      <c r="V1636" s="378"/>
      <c r="W1636" s="64" ph="1"/>
      <c r="X1636" s="241"/>
      <c r="Y1636" s="284"/>
      <c r="Z1636" s="207"/>
      <c r="AA1636" s="284"/>
      <c r="AB1636" s="284"/>
      <c r="AC1636" s="284"/>
      <c r="AD1636" s="284"/>
      <c r="AE1636" s="284"/>
      <c r="AF1636" s="284"/>
      <c r="AG1636" s="284"/>
      <c r="AI1636" s="131"/>
    </row>
    <row r="1637" spans="1:35" ht="26.4">
      <c r="A1637" s="284"/>
      <c r="B1637" s="284"/>
      <c r="C1637" s="284"/>
      <c r="D1637" s="284"/>
      <c r="E1637" s="284"/>
      <c r="F1637" s="284"/>
      <c r="G1637" s="284"/>
      <c r="H1637" s="284"/>
      <c r="I1637" s="284"/>
      <c r="J1637" s="375"/>
      <c r="K1637" s="375"/>
      <c r="L1637" s="375"/>
      <c r="M1637" s="368"/>
      <c r="N1637" s="368"/>
      <c r="O1637" s="370"/>
      <c r="T1637" s="340"/>
      <c r="V1637" s="378"/>
      <c r="W1637" s="64" ph="1"/>
      <c r="X1637" s="241"/>
      <c r="Y1637" s="284"/>
      <c r="Z1637" s="207"/>
      <c r="AA1637" s="284"/>
      <c r="AB1637" s="284"/>
      <c r="AC1637" s="284"/>
      <c r="AD1637" s="284"/>
      <c r="AE1637" s="284"/>
      <c r="AF1637" s="284"/>
      <c r="AG1637" s="284"/>
      <c r="AI1637" s="131"/>
    </row>
    <row r="1638" spans="1:35" ht="26.4">
      <c r="A1638" s="284"/>
      <c r="B1638" s="284"/>
      <c r="C1638" s="284"/>
      <c r="D1638" s="284"/>
      <c r="E1638" s="284"/>
      <c r="F1638" s="284"/>
      <c r="G1638" s="284"/>
      <c r="H1638" s="284"/>
      <c r="I1638" s="284"/>
      <c r="J1638" s="375"/>
      <c r="K1638" s="375"/>
      <c r="L1638" s="375"/>
      <c r="M1638" s="368"/>
      <c r="N1638" s="368"/>
      <c r="O1638" s="370"/>
      <c r="T1638" s="340"/>
      <c r="V1638" s="378"/>
      <c r="W1638" s="64" ph="1"/>
      <c r="X1638" s="241"/>
      <c r="Y1638" s="284"/>
      <c r="Z1638" s="207"/>
      <c r="AA1638" s="284"/>
      <c r="AB1638" s="284"/>
      <c r="AC1638" s="284"/>
      <c r="AD1638" s="284"/>
      <c r="AE1638" s="284"/>
      <c r="AF1638" s="284"/>
      <c r="AG1638" s="284"/>
      <c r="AI1638" s="131"/>
    </row>
    <row r="1639" spans="1:35" ht="26.4">
      <c r="A1639" s="284"/>
      <c r="B1639" s="284"/>
      <c r="C1639" s="284"/>
      <c r="D1639" s="284"/>
      <c r="E1639" s="284"/>
      <c r="F1639" s="284"/>
      <c r="G1639" s="284"/>
      <c r="H1639" s="284"/>
      <c r="I1639" s="284"/>
      <c r="J1639" s="375"/>
      <c r="K1639" s="375"/>
      <c r="L1639" s="375"/>
      <c r="M1639" s="368"/>
      <c r="N1639" s="368"/>
      <c r="O1639" s="370"/>
      <c r="T1639" s="340"/>
      <c r="V1639" s="378"/>
      <c r="W1639" s="64" ph="1"/>
      <c r="X1639" s="241"/>
      <c r="Y1639" s="284"/>
      <c r="Z1639" s="207"/>
      <c r="AA1639" s="284"/>
      <c r="AB1639" s="284"/>
      <c r="AC1639" s="284"/>
      <c r="AD1639" s="284"/>
      <c r="AE1639" s="284"/>
      <c r="AF1639" s="284"/>
      <c r="AG1639" s="284"/>
      <c r="AI1639" s="131"/>
    </row>
    <row r="1640" spans="1:35" ht="26.4">
      <c r="A1640" s="284"/>
      <c r="B1640" s="284"/>
      <c r="C1640" s="284"/>
      <c r="D1640" s="284"/>
      <c r="E1640" s="284"/>
      <c r="F1640" s="284"/>
      <c r="G1640" s="284"/>
      <c r="H1640" s="284"/>
      <c r="I1640" s="284"/>
      <c r="J1640" s="375"/>
      <c r="K1640" s="375"/>
      <c r="L1640" s="375"/>
      <c r="M1640" s="368"/>
      <c r="N1640" s="368"/>
      <c r="O1640" s="370"/>
      <c r="T1640" s="340"/>
      <c r="V1640" s="378"/>
      <c r="W1640" s="64" ph="1"/>
      <c r="X1640" s="241"/>
      <c r="Y1640" s="284"/>
      <c r="Z1640" s="207"/>
      <c r="AA1640" s="284"/>
      <c r="AB1640" s="284"/>
      <c r="AC1640" s="284"/>
      <c r="AD1640" s="284"/>
      <c r="AE1640" s="284"/>
      <c r="AF1640" s="284"/>
      <c r="AG1640" s="284"/>
      <c r="AI1640" s="131"/>
    </row>
    <row r="1641" spans="1:35" ht="26.4">
      <c r="A1641" s="284"/>
      <c r="B1641" s="284"/>
      <c r="C1641" s="284"/>
      <c r="D1641" s="284"/>
      <c r="E1641" s="284"/>
      <c r="F1641" s="284"/>
      <c r="G1641" s="284"/>
      <c r="H1641" s="284"/>
      <c r="I1641" s="284"/>
      <c r="J1641" s="375"/>
      <c r="K1641" s="375"/>
      <c r="L1641" s="375"/>
      <c r="M1641" s="368"/>
      <c r="N1641" s="368"/>
      <c r="O1641" s="370"/>
      <c r="T1641" s="340"/>
      <c r="V1641" s="378"/>
      <c r="W1641" s="64" ph="1"/>
      <c r="X1641" s="241"/>
      <c r="Y1641" s="284"/>
      <c r="Z1641" s="207"/>
      <c r="AA1641" s="284"/>
      <c r="AB1641" s="284"/>
      <c r="AC1641" s="284"/>
      <c r="AD1641" s="284"/>
      <c r="AE1641" s="284"/>
      <c r="AF1641" s="284"/>
      <c r="AG1641" s="284"/>
      <c r="AI1641" s="284"/>
    </row>
    <row r="1642" spans="1:35" ht="26.4">
      <c r="A1642" s="284"/>
      <c r="B1642" s="284"/>
      <c r="C1642" s="284"/>
      <c r="D1642" s="284"/>
      <c r="E1642" s="284"/>
      <c r="F1642" s="284"/>
      <c r="G1642" s="284"/>
      <c r="H1642" s="284"/>
      <c r="I1642" s="284"/>
      <c r="J1642" s="375"/>
      <c r="K1642" s="375"/>
      <c r="L1642" s="375"/>
      <c r="M1642" s="368"/>
      <c r="N1642" s="368"/>
      <c r="O1642" s="370"/>
      <c r="T1642" s="340"/>
      <c r="V1642" s="378"/>
      <c r="W1642" s="64" ph="1"/>
      <c r="X1642" s="241"/>
      <c r="Y1642" s="284"/>
      <c r="Z1642" s="207"/>
      <c r="AA1642" s="284"/>
      <c r="AB1642" s="284"/>
      <c r="AC1642" s="284"/>
      <c r="AD1642" s="284"/>
      <c r="AE1642" s="284"/>
      <c r="AF1642" s="284"/>
      <c r="AG1642" s="284"/>
      <c r="AI1642" s="131"/>
    </row>
    <row r="1643" spans="1:35" ht="26.4">
      <c r="A1643" s="284"/>
      <c r="B1643" s="284"/>
      <c r="C1643" s="284"/>
      <c r="D1643" s="284"/>
      <c r="E1643" s="284"/>
      <c r="F1643" s="284"/>
      <c r="G1643" s="284"/>
      <c r="H1643" s="284"/>
      <c r="I1643" s="284"/>
      <c r="J1643" s="375"/>
      <c r="K1643" s="375"/>
      <c r="L1643" s="375"/>
      <c r="M1643" s="368"/>
      <c r="N1643" s="368"/>
      <c r="O1643" s="370"/>
      <c r="T1643" s="340"/>
      <c r="V1643" s="378"/>
      <c r="W1643" s="64" ph="1"/>
      <c r="X1643" s="241"/>
      <c r="Y1643" s="284"/>
      <c r="Z1643" s="207"/>
      <c r="AA1643" s="284"/>
      <c r="AB1643" s="284"/>
      <c r="AC1643" s="284"/>
      <c r="AD1643" s="284"/>
      <c r="AE1643" s="284"/>
      <c r="AF1643" s="284"/>
      <c r="AG1643" s="284"/>
      <c r="AI1643" s="131"/>
    </row>
    <row r="1644" spans="1:35" ht="26.4">
      <c r="A1644" s="284"/>
      <c r="B1644" s="284"/>
      <c r="C1644" s="284"/>
      <c r="D1644" s="284"/>
      <c r="E1644" s="284"/>
      <c r="F1644" s="284"/>
      <c r="G1644" s="284"/>
      <c r="H1644" s="284"/>
      <c r="I1644" s="284"/>
      <c r="J1644" s="375"/>
      <c r="K1644" s="375"/>
      <c r="L1644" s="375"/>
      <c r="M1644" s="368"/>
      <c r="N1644" s="368"/>
      <c r="O1644" s="370"/>
      <c r="T1644" s="340"/>
      <c r="V1644" s="378"/>
      <c r="W1644" s="64" ph="1"/>
      <c r="X1644" s="241"/>
      <c r="Y1644" s="284"/>
      <c r="Z1644" s="207"/>
      <c r="AA1644" s="284"/>
      <c r="AB1644" s="284"/>
      <c r="AC1644" s="284"/>
      <c r="AD1644" s="284"/>
      <c r="AE1644" s="284"/>
      <c r="AF1644" s="284"/>
      <c r="AG1644" s="284"/>
      <c r="AI1644" s="131"/>
    </row>
    <row r="1645" spans="1:35" ht="26.4">
      <c r="A1645" s="284"/>
      <c r="B1645" s="284"/>
      <c r="C1645" s="284"/>
      <c r="D1645" s="284"/>
      <c r="E1645" s="284"/>
      <c r="F1645" s="284"/>
      <c r="G1645" s="284"/>
      <c r="H1645" s="284"/>
      <c r="I1645" s="284"/>
      <c r="J1645" s="375"/>
      <c r="K1645" s="375"/>
      <c r="L1645" s="375"/>
      <c r="M1645" s="368"/>
      <c r="N1645" s="368"/>
      <c r="O1645" s="370"/>
      <c r="T1645" s="340"/>
      <c r="V1645" s="378"/>
      <c r="W1645" s="64" ph="1"/>
      <c r="X1645" s="241"/>
      <c r="Y1645" s="284"/>
      <c r="Z1645" s="207"/>
      <c r="AA1645" s="284"/>
      <c r="AB1645" s="284"/>
      <c r="AC1645" s="284"/>
      <c r="AD1645" s="284"/>
      <c r="AE1645" s="284"/>
      <c r="AF1645" s="284"/>
      <c r="AG1645" s="284"/>
      <c r="AI1645" s="131"/>
    </row>
    <row r="1646" spans="1:35" ht="26.4">
      <c r="A1646" s="284"/>
      <c r="B1646" s="284"/>
      <c r="C1646" s="284"/>
      <c r="D1646" s="284"/>
      <c r="E1646" s="284"/>
      <c r="F1646" s="284"/>
      <c r="G1646" s="284"/>
      <c r="H1646" s="284"/>
      <c r="I1646" s="284"/>
      <c r="J1646" s="375"/>
      <c r="K1646" s="375"/>
      <c r="L1646" s="375"/>
      <c r="M1646" s="368"/>
      <c r="N1646" s="368"/>
      <c r="O1646" s="370"/>
      <c r="T1646" s="340"/>
      <c r="V1646" s="378"/>
      <c r="W1646" s="64" ph="1"/>
      <c r="X1646" s="241"/>
      <c r="Y1646" s="284"/>
      <c r="Z1646" s="207"/>
      <c r="AA1646" s="284"/>
      <c r="AB1646" s="284"/>
      <c r="AC1646" s="284"/>
      <c r="AD1646" s="284"/>
      <c r="AE1646" s="284"/>
      <c r="AF1646" s="284"/>
      <c r="AG1646" s="284"/>
      <c r="AI1646" s="131"/>
    </row>
    <row r="1647" spans="1:35" ht="26.4">
      <c r="A1647" s="284"/>
      <c r="B1647" s="284"/>
      <c r="C1647" s="284"/>
      <c r="D1647" s="284"/>
      <c r="E1647" s="284"/>
      <c r="F1647" s="284"/>
      <c r="G1647" s="284"/>
      <c r="H1647" s="284"/>
      <c r="I1647" s="284"/>
      <c r="J1647" s="375"/>
      <c r="K1647" s="375"/>
      <c r="L1647" s="375"/>
      <c r="M1647" s="368"/>
      <c r="N1647" s="368"/>
      <c r="O1647" s="370"/>
      <c r="T1647" s="340"/>
      <c r="V1647" s="378"/>
      <c r="W1647" s="64" ph="1"/>
      <c r="X1647" s="241"/>
      <c r="Y1647" s="284"/>
      <c r="Z1647" s="207"/>
      <c r="AA1647" s="284"/>
      <c r="AB1647" s="284"/>
      <c r="AC1647" s="284"/>
      <c r="AD1647" s="284"/>
      <c r="AE1647" s="284"/>
      <c r="AF1647" s="284"/>
      <c r="AG1647" s="284"/>
      <c r="AI1647" s="131"/>
    </row>
    <row r="1648" spans="1:35" ht="26.4">
      <c r="A1648" s="284"/>
      <c r="B1648" s="284"/>
      <c r="C1648" s="284"/>
      <c r="D1648" s="284"/>
      <c r="E1648" s="284"/>
      <c r="F1648" s="284"/>
      <c r="G1648" s="284"/>
      <c r="H1648" s="284"/>
      <c r="I1648" s="284"/>
      <c r="J1648" s="375"/>
      <c r="K1648" s="375"/>
      <c r="L1648" s="375"/>
      <c r="M1648" s="368"/>
      <c r="N1648" s="368"/>
      <c r="O1648" s="370"/>
      <c r="T1648" s="340"/>
      <c r="V1648" s="378"/>
      <c r="W1648" s="64" ph="1"/>
      <c r="X1648" s="241"/>
      <c r="Y1648" s="284"/>
      <c r="Z1648" s="207"/>
      <c r="AA1648" s="284"/>
      <c r="AB1648" s="284"/>
      <c r="AC1648" s="284"/>
      <c r="AD1648" s="284"/>
      <c r="AE1648" s="284"/>
      <c r="AF1648" s="284"/>
      <c r="AG1648" s="284"/>
      <c r="AI1648" s="131"/>
    </row>
    <row r="1649" spans="1:35" ht="26.4">
      <c r="A1649" s="284"/>
      <c r="B1649" s="284"/>
      <c r="C1649" s="284"/>
      <c r="D1649" s="284"/>
      <c r="E1649" s="284"/>
      <c r="F1649" s="284"/>
      <c r="G1649" s="284"/>
      <c r="H1649" s="284"/>
      <c r="I1649" s="284"/>
      <c r="J1649" s="375"/>
      <c r="K1649" s="375"/>
      <c r="L1649" s="375"/>
      <c r="M1649" s="368"/>
      <c r="N1649" s="368"/>
      <c r="O1649" s="370"/>
      <c r="T1649" s="340"/>
      <c r="V1649" s="378"/>
      <c r="W1649" s="64" ph="1"/>
      <c r="X1649" s="241"/>
      <c r="Y1649" s="284"/>
      <c r="Z1649" s="207"/>
      <c r="AA1649" s="284"/>
      <c r="AB1649" s="284"/>
      <c r="AC1649" s="284"/>
      <c r="AD1649" s="284"/>
      <c r="AE1649" s="284"/>
      <c r="AF1649" s="284"/>
      <c r="AG1649" s="284"/>
      <c r="AI1649" s="131"/>
    </row>
    <row r="1650" spans="1:35" ht="26.4">
      <c r="A1650" s="284"/>
      <c r="B1650" s="284"/>
      <c r="C1650" s="284"/>
      <c r="D1650" s="284"/>
      <c r="E1650" s="284"/>
      <c r="F1650" s="284"/>
      <c r="G1650" s="284"/>
      <c r="H1650" s="284"/>
      <c r="I1650" s="284"/>
      <c r="J1650" s="375"/>
      <c r="K1650" s="375"/>
      <c r="L1650" s="375"/>
      <c r="M1650" s="368"/>
      <c r="N1650" s="368"/>
      <c r="O1650" s="370"/>
      <c r="T1650" s="340"/>
      <c r="V1650" s="378"/>
      <c r="W1650" s="64" ph="1"/>
      <c r="X1650" s="241"/>
      <c r="Y1650" s="284"/>
      <c r="Z1650" s="207"/>
      <c r="AA1650" s="284"/>
      <c r="AB1650" s="284"/>
      <c r="AC1650" s="284"/>
      <c r="AD1650" s="284"/>
      <c r="AE1650" s="284"/>
      <c r="AF1650" s="284"/>
      <c r="AG1650" s="284"/>
      <c r="AI1650" s="131"/>
    </row>
    <row r="1651" spans="1:35" ht="26.4">
      <c r="A1651" s="284"/>
      <c r="B1651" s="284"/>
      <c r="C1651" s="284"/>
      <c r="D1651" s="284"/>
      <c r="E1651" s="284"/>
      <c r="F1651" s="284"/>
      <c r="G1651" s="284"/>
      <c r="H1651" s="284"/>
      <c r="I1651" s="284"/>
      <c r="J1651" s="375"/>
      <c r="K1651" s="375"/>
      <c r="L1651" s="375"/>
      <c r="M1651" s="368"/>
      <c r="N1651" s="368"/>
      <c r="O1651" s="370"/>
      <c r="T1651" s="340"/>
      <c r="V1651" s="378"/>
      <c r="W1651" s="64" ph="1"/>
      <c r="X1651" s="241"/>
      <c r="Y1651" s="284"/>
      <c r="Z1651" s="207"/>
      <c r="AA1651" s="284"/>
      <c r="AB1651" s="284"/>
      <c r="AC1651" s="284"/>
      <c r="AD1651" s="284"/>
      <c r="AE1651" s="284"/>
      <c r="AF1651" s="284"/>
      <c r="AG1651" s="284"/>
      <c r="AI1651" s="284"/>
    </row>
    <row r="1652" spans="1:35" ht="26.4">
      <c r="A1652" s="284"/>
      <c r="B1652" s="284"/>
      <c r="C1652" s="284"/>
      <c r="D1652" s="284"/>
      <c r="E1652" s="284"/>
      <c r="F1652" s="284"/>
      <c r="G1652" s="284"/>
      <c r="H1652" s="284"/>
      <c r="I1652" s="284"/>
      <c r="J1652" s="375"/>
      <c r="K1652" s="375"/>
      <c r="L1652" s="375"/>
      <c r="M1652" s="368"/>
      <c r="N1652" s="368"/>
      <c r="O1652" s="370"/>
      <c r="T1652" s="340"/>
      <c r="V1652" s="378"/>
      <c r="W1652" s="64" ph="1"/>
      <c r="X1652" s="241"/>
      <c r="Y1652" s="284"/>
      <c r="Z1652" s="207"/>
      <c r="AA1652" s="284"/>
      <c r="AB1652" s="284"/>
      <c r="AC1652" s="284"/>
      <c r="AD1652" s="284"/>
      <c r="AE1652" s="284"/>
      <c r="AF1652" s="284"/>
      <c r="AG1652" s="284"/>
      <c r="AI1652" s="131"/>
    </row>
    <row r="1653" spans="1:35" ht="26.4">
      <c r="A1653" s="284"/>
      <c r="B1653" s="284"/>
      <c r="C1653" s="284"/>
      <c r="D1653" s="284"/>
      <c r="E1653" s="284"/>
      <c r="F1653" s="284"/>
      <c r="G1653" s="284"/>
      <c r="H1653" s="284"/>
      <c r="I1653" s="284"/>
      <c r="J1653" s="375"/>
      <c r="K1653" s="375"/>
      <c r="L1653" s="375"/>
      <c r="M1653" s="368"/>
      <c r="N1653" s="368"/>
      <c r="O1653" s="370"/>
      <c r="T1653" s="340"/>
      <c r="V1653" s="378"/>
      <c r="W1653" s="64" ph="1"/>
      <c r="X1653" s="241"/>
      <c r="Y1653" s="284"/>
      <c r="Z1653" s="207"/>
      <c r="AA1653" s="284"/>
      <c r="AB1653" s="284"/>
      <c r="AC1653" s="284"/>
      <c r="AD1653" s="284"/>
      <c r="AE1653" s="284"/>
      <c r="AF1653" s="284"/>
      <c r="AG1653" s="284"/>
      <c r="AI1653" s="131"/>
    </row>
    <row r="1654" spans="1:35" ht="26.4">
      <c r="A1654" s="284"/>
      <c r="B1654" s="284"/>
      <c r="C1654" s="284"/>
      <c r="D1654" s="284"/>
      <c r="E1654" s="284"/>
      <c r="F1654" s="284"/>
      <c r="G1654" s="284"/>
      <c r="H1654" s="284"/>
      <c r="I1654" s="284"/>
      <c r="J1654" s="375"/>
      <c r="K1654" s="375"/>
      <c r="L1654" s="375"/>
      <c r="M1654" s="368"/>
      <c r="N1654" s="368"/>
      <c r="O1654" s="370"/>
      <c r="T1654" s="340"/>
      <c r="V1654" s="378"/>
      <c r="W1654" s="64" ph="1"/>
      <c r="X1654" s="241"/>
      <c r="Y1654" s="284"/>
      <c r="Z1654" s="207"/>
      <c r="AA1654" s="284"/>
      <c r="AB1654" s="284"/>
      <c r="AC1654" s="284"/>
      <c r="AD1654" s="284"/>
      <c r="AE1654" s="284"/>
      <c r="AF1654" s="284"/>
      <c r="AG1654" s="284"/>
      <c r="AI1654" s="131"/>
    </row>
    <row r="1655" spans="1:35" ht="26.4">
      <c r="A1655" s="284"/>
      <c r="B1655" s="284"/>
      <c r="C1655" s="284"/>
      <c r="D1655" s="284"/>
      <c r="E1655" s="284"/>
      <c r="F1655" s="284"/>
      <c r="G1655" s="284"/>
      <c r="H1655" s="284"/>
      <c r="I1655" s="284"/>
      <c r="J1655" s="375"/>
      <c r="K1655" s="375"/>
      <c r="L1655" s="375"/>
      <c r="M1655" s="368"/>
      <c r="N1655" s="368"/>
      <c r="O1655" s="370"/>
      <c r="T1655" s="340"/>
      <c r="V1655" s="378"/>
      <c r="W1655" s="64" ph="1"/>
      <c r="X1655" s="241"/>
      <c r="Y1655" s="284"/>
      <c r="Z1655" s="207"/>
      <c r="AA1655" s="284"/>
      <c r="AB1655" s="284"/>
      <c r="AC1655" s="284"/>
      <c r="AD1655" s="284"/>
      <c r="AE1655" s="284"/>
      <c r="AF1655" s="284"/>
      <c r="AG1655" s="284"/>
      <c r="AI1655" s="284"/>
    </row>
    <row r="1656" spans="1:35" ht="26.4">
      <c r="A1656" s="284"/>
      <c r="B1656" s="284"/>
      <c r="C1656" s="284"/>
      <c r="D1656" s="284"/>
      <c r="E1656" s="284"/>
      <c r="F1656" s="284"/>
      <c r="G1656" s="284"/>
      <c r="H1656" s="284"/>
      <c r="I1656" s="284"/>
      <c r="J1656" s="375"/>
      <c r="K1656" s="375"/>
      <c r="L1656" s="375"/>
      <c r="M1656" s="368"/>
      <c r="N1656" s="368"/>
      <c r="O1656" s="370"/>
      <c r="T1656" s="340"/>
      <c r="V1656" s="378"/>
      <c r="W1656" s="64" ph="1"/>
      <c r="X1656" s="241"/>
      <c r="Y1656" s="284"/>
      <c r="Z1656" s="207"/>
      <c r="AA1656" s="284"/>
      <c r="AB1656" s="284"/>
      <c r="AC1656" s="284"/>
      <c r="AD1656" s="284"/>
      <c r="AE1656" s="284"/>
      <c r="AF1656" s="284"/>
      <c r="AG1656" s="284"/>
      <c r="AI1656" s="131"/>
    </row>
    <row r="1657" spans="1:35" ht="26.4">
      <c r="A1657" s="284"/>
      <c r="B1657" s="284"/>
      <c r="C1657" s="284"/>
      <c r="D1657" s="284"/>
      <c r="E1657" s="284"/>
      <c r="F1657" s="284"/>
      <c r="G1657" s="284"/>
      <c r="H1657" s="284"/>
      <c r="I1657" s="284"/>
      <c r="J1657" s="375"/>
      <c r="K1657" s="375"/>
      <c r="L1657" s="375"/>
      <c r="M1657" s="368"/>
      <c r="N1657" s="368"/>
      <c r="O1657" s="370"/>
      <c r="T1657" s="340"/>
      <c r="V1657" s="378"/>
      <c r="W1657" s="64" ph="1"/>
      <c r="X1657" s="241"/>
      <c r="Y1657" s="284"/>
      <c r="Z1657" s="207"/>
      <c r="AA1657" s="284"/>
      <c r="AB1657" s="284"/>
      <c r="AC1657" s="284"/>
      <c r="AD1657" s="284"/>
      <c r="AE1657" s="284"/>
      <c r="AF1657" s="284"/>
      <c r="AG1657" s="284"/>
      <c r="AI1657" s="131"/>
    </row>
    <row r="1658" spans="1:35" ht="26.4">
      <c r="A1658" s="284"/>
      <c r="B1658" s="284"/>
      <c r="C1658" s="284"/>
      <c r="D1658" s="284"/>
      <c r="E1658" s="284"/>
      <c r="F1658" s="284"/>
      <c r="G1658" s="284"/>
      <c r="H1658" s="284"/>
      <c r="I1658" s="284"/>
      <c r="J1658" s="375"/>
      <c r="K1658" s="375"/>
      <c r="L1658" s="375"/>
      <c r="M1658" s="368"/>
      <c r="N1658" s="368"/>
      <c r="O1658" s="370"/>
      <c r="T1658" s="340"/>
      <c r="V1658" s="378"/>
      <c r="W1658" s="64" ph="1"/>
      <c r="X1658" s="241"/>
      <c r="Y1658" s="284"/>
      <c r="Z1658" s="207"/>
      <c r="AA1658" s="284"/>
      <c r="AB1658" s="284"/>
      <c r="AC1658" s="284"/>
      <c r="AD1658" s="284"/>
      <c r="AE1658" s="284"/>
      <c r="AF1658" s="284"/>
      <c r="AG1658" s="284"/>
      <c r="AI1658" s="131"/>
    </row>
    <row r="1659" spans="1:35" ht="26.4">
      <c r="A1659" s="284"/>
      <c r="B1659" s="284"/>
      <c r="C1659" s="284"/>
      <c r="D1659" s="284"/>
      <c r="E1659" s="284"/>
      <c r="F1659" s="284"/>
      <c r="G1659" s="284"/>
      <c r="H1659" s="284"/>
      <c r="I1659" s="284"/>
      <c r="J1659" s="375"/>
      <c r="K1659" s="375"/>
      <c r="L1659" s="375"/>
      <c r="M1659" s="368"/>
      <c r="N1659" s="368"/>
      <c r="O1659" s="370"/>
      <c r="T1659" s="340"/>
      <c r="V1659" s="378"/>
      <c r="W1659" s="64" ph="1"/>
      <c r="X1659" s="241"/>
      <c r="Y1659" s="284"/>
      <c r="Z1659" s="207"/>
      <c r="AA1659" s="284"/>
      <c r="AB1659" s="284"/>
      <c r="AC1659" s="284"/>
      <c r="AD1659" s="284"/>
      <c r="AE1659" s="284"/>
      <c r="AF1659" s="284"/>
      <c r="AG1659" s="284"/>
      <c r="AI1659" s="131"/>
    </row>
    <row r="1660" spans="1:35" ht="26.4">
      <c r="A1660" s="284"/>
      <c r="B1660" s="284"/>
      <c r="C1660" s="284"/>
      <c r="D1660" s="284"/>
      <c r="E1660" s="284"/>
      <c r="F1660" s="284"/>
      <c r="G1660" s="284"/>
      <c r="H1660" s="284"/>
      <c r="I1660" s="284"/>
      <c r="J1660" s="375"/>
      <c r="K1660" s="375"/>
      <c r="L1660" s="375"/>
      <c r="M1660" s="368"/>
      <c r="N1660" s="368"/>
      <c r="O1660" s="370"/>
      <c r="T1660" s="340"/>
      <c r="V1660" s="378"/>
      <c r="W1660" s="64" ph="1"/>
      <c r="X1660" s="241"/>
      <c r="Y1660" s="284"/>
      <c r="Z1660" s="207"/>
      <c r="AA1660" s="284"/>
      <c r="AB1660" s="284"/>
      <c r="AC1660" s="284"/>
      <c r="AD1660" s="284"/>
      <c r="AE1660" s="284"/>
      <c r="AF1660" s="284"/>
      <c r="AG1660" s="284"/>
      <c r="AI1660" s="131"/>
    </row>
    <row r="1661" spans="1:35" ht="26.4">
      <c r="A1661" s="284"/>
      <c r="B1661" s="284"/>
      <c r="C1661" s="284"/>
      <c r="D1661" s="284"/>
      <c r="E1661" s="284"/>
      <c r="F1661" s="284"/>
      <c r="G1661" s="284"/>
      <c r="H1661" s="284"/>
      <c r="I1661" s="284"/>
      <c r="J1661" s="375"/>
      <c r="K1661" s="375"/>
      <c r="L1661" s="375"/>
      <c r="M1661" s="368"/>
      <c r="N1661" s="368"/>
      <c r="O1661" s="370"/>
      <c r="T1661" s="340"/>
      <c r="V1661" s="378"/>
      <c r="W1661" s="64" ph="1"/>
      <c r="X1661" s="241"/>
      <c r="Y1661" s="284"/>
      <c r="Z1661" s="207"/>
      <c r="AA1661" s="284"/>
      <c r="AB1661" s="284"/>
      <c r="AC1661" s="284"/>
      <c r="AD1661" s="284"/>
      <c r="AE1661" s="284"/>
      <c r="AF1661" s="284"/>
      <c r="AG1661" s="284"/>
      <c r="AI1661" s="131"/>
    </row>
    <row r="1662" spans="1:35" ht="26.4">
      <c r="A1662" s="284"/>
      <c r="B1662" s="284"/>
      <c r="C1662" s="284"/>
      <c r="D1662" s="284"/>
      <c r="E1662" s="284"/>
      <c r="F1662" s="284"/>
      <c r="G1662" s="284"/>
      <c r="H1662" s="284"/>
      <c r="I1662" s="284"/>
      <c r="J1662" s="375"/>
      <c r="K1662" s="375"/>
      <c r="L1662" s="375"/>
      <c r="M1662" s="368"/>
      <c r="N1662" s="368"/>
      <c r="O1662" s="370"/>
      <c r="T1662" s="340"/>
      <c r="V1662" s="378"/>
      <c r="W1662" s="64" ph="1"/>
      <c r="X1662" s="241"/>
      <c r="Y1662" s="284"/>
      <c r="Z1662" s="207"/>
      <c r="AA1662" s="284"/>
      <c r="AB1662" s="284"/>
      <c r="AC1662" s="284"/>
      <c r="AD1662" s="284"/>
      <c r="AE1662" s="284"/>
      <c r="AF1662" s="284"/>
      <c r="AG1662" s="284"/>
      <c r="AI1662" s="131"/>
    </row>
    <row r="1663" spans="1:35" ht="26.4">
      <c r="A1663" s="284"/>
      <c r="B1663" s="284"/>
      <c r="C1663" s="284"/>
      <c r="D1663" s="284"/>
      <c r="E1663" s="284"/>
      <c r="F1663" s="284"/>
      <c r="G1663" s="284"/>
      <c r="H1663" s="284"/>
      <c r="I1663" s="284"/>
      <c r="J1663" s="375"/>
      <c r="K1663" s="375"/>
      <c r="L1663" s="375"/>
      <c r="M1663" s="368"/>
      <c r="N1663" s="368"/>
      <c r="O1663" s="370"/>
      <c r="T1663" s="340"/>
      <c r="V1663" s="378"/>
      <c r="W1663" s="64" ph="1"/>
      <c r="X1663" s="241"/>
      <c r="Y1663" s="284"/>
      <c r="Z1663" s="207"/>
      <c r="AA1663" s="284"/>
      <c r="AB1663" s="284"/>
      <c r="AC1663" s="284"/>
      <c r="AD1663" s="284"/>
      <c r="AE1663" s="284"/>
      <c r="AF1663" s="284"/>
      <c r="AG1663" s="284"/>
      <c r="AI1663" s="131"/>
    </row>
    <row r="1664" spans="1:35" ht="26.4">
      <c r="A1664" s="284"/>
      <c r="B1664" s="284"/>
      <c r="C1664" s="284"/>
      <c r="D1664" s="284"/>
      <c r="E1664" s="284"/>
      <c r="F1664" s="284"/>
      <c r="G1664" s="284"/>
      <c r="H1664" s="284"/>
      <c r="I1664" s="284"/>
      <c r="J1664" s="375"/>
      <c r="K1664" s="375"/>
      <c r="L1664" s="375"/>
      <c r="M1664" s="368"/>
      <c r="N1664" s="368"/>
      <c r="O1664" s="370"/>
      <c r="T1664" s="340"/>
      <c r="V1664" s="378"/>
      <c r="W1664" s="64" ph="1"/>
      <c r="X1664" s="241"/>
      <c r="Y1664" s="284"/>
      <c r="Z1664" s="207"/>
      <c r="AA1664" s="284"/>
      <c r="AB1664" s="284"/>
      <c r="AC1664" s="284"/>
      <c r="AD1664" s="284"/>
      <c r="AE1664" s="284"/>
      <c r="AF1664" s="284"/>
      <c r="AG1664" s="284"/>
      <c r="AI1664" s="131"/>
    </row>
    <row r="1665" spans="1:35" ht="26.4">
      <c r="A1665" s="284"/>
      <c r="B1665" s="284"/>
      <c r="C1665" s="284"/>
      <c r="D1665" s="284"/>
      <c r="E1665" s="284"/>
      <c r="F1665" s="284"/>
      <c r="G1665" s="284"/>
      <c r="H1665" s="284"/>
      <c r="I1665" s="284"/>
      <c r="J1665" s="375"/>
      <c r="K1665" s="375"/>
      <c r="L1665" s="375"/>
      <c r="M1665" s="368"/>
      <c r="N1665" s="368"/>
      <c r="O1665" s="370"/>
      <c r="T1665" s="340"/>
      <c r="V1665" s="378"/>
      <c r="W1665" s="64" ph="1"/>
      <c r="X1665" s="241"/>
      <c r="Y1665" s="284"/>
      <c r="Z1665" s="207"/>
      <c r="AA1665" s="284"/>
      <c r="AB1665" s="284"/>
      <c r="AC1665" s="284"/>
      <c r="AD1665" s="284"/>
      <c r="AE1665" s="284"/>
      <c r="AF1665" s="284"/>
      <c r="AG1665" s="284"/>
      <c r="AI1665" s="131"/>
    </row>
    <row r="1666" spans="1:35" ht="26.4">
      <c r="A1666" s="284"/>
      <c r="B1666" s="284"/>
      <c r="C1666" s="284"/>
      <c r="D1666" s="284"/>
      <c r="E1666" s="284"/>
      <c r="F1666" s="284"/>
      <c r="G1666" s="284"/>
      <c r="H1666" s="284"/>
      <c r="I1666" s="284"/>
      <c r="J1666" s="375"/>
      <c r="K1666" s="375"/>
      <c r="L1666" s="375"/>
      <c r="M1666" s="368"/>
      <c r="N1666" s="368"/>
      <c r="O1666" s="370"/>
      <c r="T1666" s="340"/>
      <c r="V1666" s="378"/>
      <c r="W1666" s="64" ph="1"/>
      <c r="X1666" s="241"/>
      <c r="Y1666" s="284"/>
      <c r="Z1666" s="207"/>
      <c r="AA1666" s="284"/>
      <c r="AB1666" s="284"/>
      <c r="AC1666" s="284"/>
      <c r="AD1666" s="284"/>
      <c r="AE1666" s="284"/>
      <c r="AF1666" s="284"/>
      <c r="AG1666" s="284"/>
      <c r="AI1666" s="131"/>
    </row>
    <row r="1667" spans="1:35" ht="26.4">
      <c r="A1667" s="284"/>
      <c r="B1667" s="284"/>
      <c r="C1667" s="284"/>
      <c r="D1667" s="284"/>
      <c r="E1667" s="284"/>
      <c r="F1667" s="284"/>
      <c r="G1667" s="284"/>
      <c r="H1667" s="284"/>
      <c r="I1667" s="284"/>
      <c r="J1667" s="375"/>
      <c r="K1667" s="375"/>
      <c r="L1667" s="375"/>
      <c r="M1667" s="368"/>
      <c r="N1667" s="368"/>
      <c r="O1667" s="370"/>
      <c r="T1667" s="340"/>
      <c r="V1667" s="378"/>
      <c r="W1667" s="64" ph="1"/>
      <c r="X1667" s="241"/>
      <c r="Y1667" s="284"/>
      <c r="Z1667" s="207"/>
      <c r="AA1667" s="284"/>
      <c r="AB1667" s="284"/>
      <c r="AC1667" s="284"/>
      <c r="AD1667" s="284"/>
      <c r="AE1667" s="284"/>
      <c r="AF1667" s="284"/>
      <c r="AG1667" s="284"/>
      <c r="AI1667" s="131"/>
    </row>
    <row r="1668" spans="1:35" ht="26.4">
      <c r="A1668" s="284"/>
      <c r="B1668" s="284"/>
      <c r="C1668" s="284"/>
      <c r="D1668" s="284"/>
      <c r="E1668" s="284"/>
      <c r="F1668" s="284"/>
      <c r="G1668" s="284"/>
      <c r="H1668" s="284"/>
      <c r="I1668" s="284"/>
      <c r="J1668" s="375"/>
      <c r="K1668" s="375"/>
      <c r="L1668" s="375"/>
      <c r="M1668" s="368"/>
      <c r="N1668" s="368"/>
      <c r="O1668" s="370"/>
      <c r="T1668" s="340"/>
      <c r="V1668" s="378"/>
      <c r="W1668" s="64" ph="1"/>
      <c r="X1668" s="241"/>
      <c r="Y1668" s="284"/>
      <c r="Z1668" s="207"/>
      <c r="AA1668" s="284"/>
      <c r="AB1668" s="284"/>
      <c r="AC1668" s="284"/>
      <c r="AD1668" s="284"/>
      <c r="AE1668" s="284"/>
      <c r="AF1668" s="284"/>
      <c r="AG1668" s="284"/>
      <c r="AI1668" s="131"/>
    </row>
    <row r="1669" spans="1:35" ht="26.4">
      <c r="A1669" s="284"/>
      <c r="B1669" s="284"/>
      <c r="C1669" s="284"/>
      <c r="D1669" s="284"/>
      <c r="E1669" s="284"/>
      <c r="F1669" s="284"/>
      <c r="G1669" s="284"/>
      <c r="H1669" s="284"/>
      <c r="I1669" s="284"/>
      <c r="J1669" s="375"/>
      <c r="K1669" s="375"/>
      <c r="L1669" s="375"/>
      <c r="M1669" s="368"/>
      <c r="N1669" s="368"/>
      <c r="O1669" s="370"/>
      <c r="T1669" s="340"/>
      <c r="V1669" s="378"/>
      <c r="W1669" s="64" ph="1"/>
      <c r="X1669" s="241"/>
      <c r="Y1669" s="284"/>
      <c r="Z1669" s="207"/>
      <c r="AA1669" s="284"/>
      <c r="AB1669" s="284"/>
      <c r="AC1669" s="284"/>
      <c r="AD1669" s="284"/>
      <c r="AE1669" s="284"/>
      <c r="AF1669" s="284"/>
      <c r="AG1669" s="284"/>
      <c r="AI1669" s="131"/>
    </row>
    <row r="1670" spans="1:35" ht="26.4">
      <c r="A1670" s="284"/>
      <c r="B1670" s="284"/>
      <c r="C1670" s="284"/>
      <c r="D1670" s="284"/>
      <c r="E1670" s="284"/>
      <c r="F1670" s="284"/>
      <c r="G1670" s="284"/>
      <c r="H1670" s="284"/>
      <c r="I1670" s="284"/>
      <c r="J1670" s="375"/>
      <c r="K1670" s="375"/>
      <c r="L1670" s="375"/>
      <c r="M1670" s="368"/>
      <c r="N1670" s="368"/>
      <c r="O1670" s="370"/>
      <c r="T1670" s="340"/>
      <c r="V1670" s="378"/>
      <c r="W1670" s="64" ph="1"/>
      <c r="X1670" s="241"/>
      <c r="Y1670" s="284"/>
      <c r="Z1670" s="207"/>
      <c r="AA1670" s="284"/>
      <c r="AB1670" s="284"/>
      <c r="AC1670" s="284"/>
      <c r="AD1670" s="284"/>
      <c r="AE1670" s="284"/>
      <c r="AF1670" s="284"/>
      <c r="AG1670" s="284"/>
      <c r="AI1670" s="131"/>
    </row>
    <row r="1671" spans="1:35" ht="26.4">
      <c r="A1671" s="284"/>
      <c r="B1671" s="284"/>
      <c r="C1671" s="284"/>
      <c r="D1671" s="284"/>
      <c r="E1671" s="284"/>
      <c r="F1671" s="284"/>
      <c r="G1671" s="284"/>
      <c r="H1671" s="284"/>
      <c r="I1671" s="284"/>
      <c r="J1671" s="375"/>
      <c r="K1671" s="375"/>
      <c r="L1671" s="375"/>
      <c r="M1671" s="368"/>
      <c r="N1671" s="368"/>
      <c r="O1671" s="370"/>
      <c r="T1671" s="340"/>
      <c r="V1671" s="378"/>
      <c r="W1671" s="64" ph="1"/>
      <c r="X1671" s="241"/>
      <c r="Y1671" s="284"/>
      <c r="Z1671" s="207"/>
      <c r="AA1671" s="284"/>
      <c r="AB1671" s="284"/>
      <c r="AC1671" s="284"/>
      <c r="AD1671" s="284"/>
      <c r="AE1671" s="284"/>
      <c r="AF1671" s="284"/>
      <c r="AG1671" s="284"/>
      <c r="AI1671" s="131"/>
    </row>
    <row r="1672" spans="1:35" ht="26.4">
      <c r="A1672" s="284"/>
      <c r="B1672" s="284"/>
      <c r="C1672" s="284"/>
      <c r="D1672" s="284"/>
      <c r="E1672" s="284"/>
      <c r="F1672" s="284"/>
      <c r="G1672" s="284"/>
      <c r="H1672" s="284"/>
      <c r="I1672" s="284"/>
      <c r="J1672" s="375"/>
      <c r="K1672" s="375"/>
      <c r="L1672" s="375"/>
      <c r="M1672" s="368"/>
      <c r="N1672" s="368"/>
      <c r="O1672" s="370"/>
      <c r="T1672" s="340"/>
      <c r="V1672" s="378"/>
      <c r="W1672" s="64" ph="1"/>
      <c r="X1672" s="241"/>
      <c r="Y1672" s="284"/>
      <c r="Z1672" s="207"/>
      <c r="AA1672" s="284"/>
      <c r="AB1672" s="284"/>
      <c r="AC1672" s="284"/>
      <c r="AD1672" s="284"/>
      <c r="AE1672" s="284"/>
      <c r="AF1672" s="284"/>
      <c r="AG1672" s="284"/>
      <c r="AI1672" s="131"/>
    </row>
    <row r="1673" spans="1:35" ht="26.4">
      <c r="A1673" s="284"/>
      <c r="B1673" s="284"/>
      <c r="C1673" s="284"/>
      <c r="D1673" s="284"/>
      <c r="E1673" s="284"/>
      <c r="F1673" s="284"/>
      <c r="G1673" s="284"/>
      <c r="H1673" s="284"/>
      <c r="I1673" s="284"/>
      <c r="J1673" s="375"/>
      <c r="K1673" s="375"/>
      <c r="L1673" s="375"/>
      <c r="M1673" s="368"/>
      <c r="N1673" s="368"/>
      <c r="O1673" s="370"/>
      <c r="T1673" s="340"/>
      <c r="V1673" s="378"/>
      <c r="W1673" s="64" ph="1"/>
      <c r="X1673" s="241"/>
      <c r="Y1673" s="284"/>
      <c r="Z1673" s="207"/>
      <c r="AA1673" s="284"/>
      <c r="AB1673" s="284"/>
      <c r="AC1673" s="284"/>
      <c r="AD1673" s="284"/>
      <c r="AE1673" s="284"/>
      <c r="AF1673" s="284"/>
      <c r="AG1673" s="284"/>
      <c r="AI1673" s="131"/>
    </row>
    <row r="1674" spans="1:35" ht="26.4">
      <c r="A1674" s="284"/>
      <c r="B1674" s="284"/>
      <c r="C1674" s="284"/>
      <c r="D1674" s="284"/>
      <c r="E1674" s="284"/>
      <c r="F1674" s="284"/>
      <c r="G1674" s="284"/>
      <c r="H1674" s="284"/>
      <c r="I1674" s="284"/>
      <c r="J1674" s="375"/>
      <c r="K1674" s="375"/>
      <c r="L1674" s="375"/>
      <c r="M1674" s="368"/>
      <c r="N1674" s="368"/>
      <c r="O1674" s="370"/>
      <c r="T1674" s="340"/>
      <c r="V1674" s="378"/>
      <c r="W1674" s="64" ph="1"/>
      <c r="X1674" s="241"/>
      <c r="Y1674" s="284"/>
      <c r="Z1674" s="207"/>
      <c r="AA1674" s="284"/>
      <c r="AB1674" s="284"/>
      <c r="AC1674" s="284"/>
      <c r="AD1674" s="284"/>
      <c r="AE1674" s="284"/>
      <c r="AF1674" s="284"/>
      <c r="AG1674" s="284"/>
      <c r="AI1674" s="131"/>
    </row>
    <row r="1675" spans="1:35" ht="26.4">
      <c r="A1675" s="284"/>
      <c r="B1675" s="284"/>
      <c r="C1675" s="284"/>
      <c r="D1675" s="284"/>
      <c r="E1675" s="284"/>
      <c r="F1675" s="284"/>
      <c r="G1675" s="284"/>
      <c r="H1675" s="284"/>
      <c r="I1675" s="284"/>
      <c r="J1675" s="375"/>
      <c r="K1675" s="375"/>
      <c r="L1675" s="375"/>
      <c r="M1675" s="368"/>
      <c r="N1675" s="368"/>
      <c r="O1675" s="370"/>
      <c r="T1675" s="340"/>
      <c r="V1675" s="378"/>
      <c r="W1675" s="64" ph="1"/>
      <c r="X1675" s="241"/>
      <c r="Y1675" s="284"/>
      <c r="Z1675" s="207"/>
      <c r="AA1675" s="284"/>
      <c r="AB1675" s="284"/>
      <c r="AC1675" s="284"/>
      <c r="AD1675" s="284"/>
      <c r="AE1675" s="284"/>
      <c r="AF1675" s="284"/>
      <c r="AG1675" s="284"/>
      <c r="AI1675" s="131"/>
    </row>
    <row r="1676" spans="1:35" ht="26.4">
      <c r="A1676" s="284"/>
      <c r="B1676" s="284"/>
      <c r="C1676" s="284"/>
      <c r="D1676" s="284"/>
      <c r="E1676" s="284"/>
      <c r="F1676" s="284"/>
      <c r="G1676" s="284"/>
      <c r="H1676" s="284"/>
      <c r="I1676" s="284"/>
      <c r="J1676" s="375"/>
      <c r="K1676" s="375"/>
      <c r="L1676" s="375"/>
      <c r="M1676" s="368"/>
      <c r="N1676" s="368"/>
      <c r="O1676" s="370"/>
      <c r="T1676" s="340"/>
      <c r="V1676" s="378"/>
      <c r="W1676" s="64" ph="1"/>
      <c r="X1676" s="241"/>
      <c r="Y1676" s="284"/>
      <c r="Z1676" s="207"/>
      <c r="AA1676" s="284"/>
      <c r="AB1676" s="284"/>
      <c r="AC1676" s="284"/>
      <c r="AD1676" s="284"/>
      <c r="AE1676" s="284"/>
      <c r="AF1676" s="284"/>
      <c r="AG1676" s="284"/>
      <c r="AI1676" s="131"/>
    </row>
    <row r="1677" spans="1:35" ht="26.4">
      <c r="A1677" s="284"/>
      <c r="B1677" s="284"/>
      <c r="C1677" s="284"/>
      <c r="D1677" s="284"/>
      <c r="E1677" s="284"/>
      <c r="F1677" s="284"/>
      <c r="G1677" s="284"/>
      <c r="H1677" s="284"/>
      <c r="I1677" s="284"/>
      <c r="J1677" s="375"/>
      <c r="K1677" s="375"/>
      <c r="L1677" s="375"/>
      <c r="M1677" s="368"/>
      <c r="N1677" s="368"/>
      <c r="O1677" s="370"/>
      <c r="T1677" s="340"/>
      <c r="V1677" s="378"/>
      <c r="W1677" s="64" ph="1"/>
      <c r="X1677" s="241"/>
      <c r="Y1677" s="284"/>
      <c r="Z1677" s="207"/>
      <c r="AA1677" s="284"/>
      <c r="AB1677" s="284"/>
      <c r="AC1677" s="284"/>
      <c r="AD1677" s="284"/>
      <c r="AE1677" s="284"/>
      <c r="AF1677" s="284"/>
      <c r="AG1677" s="284"/>
    </row>
    <row r="1678" spans="1:35" ht="26.4">
      <c r="A1678" s="284"/>
      <c r="B1678" s="284"/>
      <c r="C1678" s="284"/>
      <c r="D1678" s="284"/>
      <c r="E1678" s="284"/>
      <c r="F1678" s="284"/>
      <c r="G1678" s="284"/>
      <c r="H1678" s="284"/>
      <c r="I1678" s="284"/>
      <c r="J1678" s="375"/>
      <c r="K1678" s="375"/>
      <c r="L1678" s="375"/>
      <c r="M1678" s="368"/>
      <c r="N1678" s="368"/>
      <c r="O1678" s="370"/>
      <c r="T1678" s="340"/>
      <c r="V1678" s="378"/>
      <c r="W1678" s="64" ph="1"/>
      <c r="X1678" s="241"/>
      <c r="Y1678" s="284"/>
      <c r="Z1678" s="207"/>
      <c r="AA1678" s="284"/>
      <c r="AB1678" s="284"/>
      <c r="AC1678" s="284"/>
      <c r="AD1678" s="284"/>
      <c r="AE1678" s="284"/>
      <c r="AF1678" s="284"/>
      <c r="AG1678" s="284"/>
      <c r="AI1678" s="131"/>
    </row>
    <row r="1679" spans="1:35" ht="26.4">
      <c r="A1679" s="284"/>
      <c r="B1679" s="284"/>
      <c r="C1679" s="284"/>
      <c r="D1679" s="284"/>
      <c r="E1679" s="284"/>
      <c r="F1679" s="284"/>
      <c r="G1679" s="284"/>
      <c r="H1679" s="284"/>
      <c r="I1679" s="284"/>
      <c r="J1679" s="375"/>
      <c r="K1679" s="375"/>
      <c r="L1679" s="375"/>
      <c r="M1679" s="368"/>
      <c r="N1679" s="368"/>
      <c r="O1679" s="370"/>
      <c r="T1679" s="340"/>
      <c r="V1679" s="378"/>
      <c r="W1679" s="64" ph="1"/>
      <c r="X1679" s="241"/>
      <c r="Y1679" s="284"/>
      <c r="Z1679" s="207"/>
      <c r="AA1679" s="284"/>
      <c r="AB1679" s="284"/>
      <c r="AC1679" s="284"/>
      <c r="AD1679" s="284"/>
      <c r="AE1679" s="284"/>
      <c r="AF1679" s="284"/>
      <c r="AG1679" s="284"/>
      <c r="AI1679" s="131"/>
    </row>
    <row r="1680" spans="1:35" ht="26.4">
      <c r="A1680" s="284"/>
      <c r="B1680" s="284"/>
      <c r="C1680" s="284"/>
      <c r="D1680" s="284"/>
      <c r="E1680" s="284"/>
      <c r="F1680" s="284"/>
      <c r="G1680" s="284"/>
      <c r="H1680" s="284"/>
      <c r="I1680" s="284"/>
      <c r="J1680" s="375"/>
      <c r="K1680" s="375"/>
      <c r="L1680" s="375"/>
      <c r="M1680" s="368"/>
      <c r="N1680" s="368"/>
      <c r="O1680" s="370"/>
      <c r="T1680" s="340"/>
      <c r="V1680" s="378"/>
      <c r="W1680" s="64" ph="1"/>
      <c r="X1680" s="241"/>
      <c r="Y1680" s="284"/>
      <c r="Z1680" s="207"/>
      <c r="AA1680" s="284"/>
      <c r="AB1680" s="284"/>
      <c r="AC1680" s="284"/>
      <c r="AD1680" s="284"/>
      <c r="AE1680" s="284"/>
      <c r="AF1680" s="284"/>
      <c r="AG1680" s="284"/>
      <c r="AI1680" s="131"/>
    </row>
    <row r="1681" spans="1:35" ht="26.4">
      <c r="A1681" s="284"/>
      <c r="B1681" s="284"/>
      <c r="C1681" s="284"/>
      <c r="D1681" s="284"/>
      <c r="E1681" s="284"/>
      <c r="F1681" s="284"/>
      <c r="G1681" s="284"/>
      <c r="H1681" s="284"/>
      <c r="I1681" s="284"/>
      <c r="J1681" s="375"/>
      <c r="K1681" s="375"/>
      <c r="L1681" s="375"/>
      <c r="M1681" s="368"/>
      <c r="N1681" s="368"/>
      <c r="O1681" s="370"/>
      <c r="T1681" s="340"/>
      <c r="V1681" s="378"/>
      <c r="W1681" s="64" ph="1"/>
      <c r="X1681" s="241"/>
      <c r="Y1681" s="284"/>
      <c r="Z1681" s="207"/>
      <c r="AA1681" s="284"/>
      <c r="AB1681" s="284"/>
      <c r="AC1681" s="284"/>
      <c r="AD1681" s="284"/>
      <c r="AE1681" s="284"/>
      <c r="AF1681" s="284"/>
      <c r="AG1681" s="284"/>
      <c r="AI1681" s="131"/>
    </row>
    <row r="1682" spans="1:35" ht="26.4">
      <c r="A1682" s="284"/>
      <c r="B1682" s="284"/>
      <c r="C1682" s="284"/>
      <c r="D1682" s="284"/>
      <c r="E1682" s="284"/>
      <c r="F1682" s="284"/>
      <c r="G1682" s="284"/>
      <c r="H1682" s="284"/>
      <c r="I1682" s="284"/>
      <c r="J1682" s="375"/>
      <c r="K1682" s="375"/>
      <c r="L1682" s="375"/>
      <c r="M1682" s="368"/>
      <c r="N1682" s="368"/>
      <c r="O1682" s="370"/>
      <c r="T1682" s="340"/>
      <c r="V1682" s="378"/>
      <c r="W1682" s="64" ph="1"/>
      <c r="X1682" s="241"/>
      <c r="Y1682" s="284"/>
      <c r="Z1682" s="207"/>
      <c r="AA1682" s="284"/>
      <c r="AB1682" s="284"/>
      <c r="AC1682" s="284"/>
      <c r="AD1682" s="284"/>
      <c r="AE1682" s="284"/>
      <c r="AF1682" s="284"/>
      <c r="AG1682" s="284"/>
      <c r="AI1682" s="131"/>
    </row>
    <row r="1683" spans="1:35" ht="26.4">
      <c r="A1683" s="284"/>
      <c r="B1683" s="284"/>
      <c r="C1683" s="284"/>
      <c r="D1683" s="284"/>
      <c r="E1683" s="284"/>
      <c r="F1683" s="284"/>
      <c r="G1683" s="284"/>
      <c r="H1683" s="284"/>
      <c r="I1683" s="284"/>
      <c r="J1683" s="375"/>
      <c r="K1683" s="375"/>
      <c r="L1683" s="375"/>
      <c r="M1683" s="368"/>
      <c r="N1683" s="368"/>
      <c r="O1683" s="370"/>
      <c r="T1683" s="340"/>
      <c r="V1683" s="378"/>
      <c r="W1683" s="64" ph="1"/>
      <c r="X1683" s="241"/>
      <c r="Y1683" s="284"/>
      <c r="Z1683" s="207"/>
      <c r="AA1683" s="284"/>
      <c r="AB1683" s="284"/>
      <c r="AC1683" s="284"/>
      <c r="AD1683" s="284"/>
      <c r="AE1683" s="284"/>
      <c r="AF1683" s="284"/>
      <c r="AG1683" s="284"/>
      <c r="AI1683" s="131"/>
    </row>
    <row r="1684" spans="1:35" ht="26.4">
      <c r="A1684" s="284"/>
      <c r="B1684" s="284"/>
      <c r="C1684" s="284"/>
      <c r="D1684" s="284"/>
      <c r="E1684" s="284"/>
      <c r="F1684" s="284"/>
      <c r="G1684" s="284"/>
      <c r="H1684" s="284"/>
      <c r="I1684" s="284"/>
      <c r="J1684" s="375"/>
      <c r="K1684" s="375"/>
      <c r="L1684" s="375"/>
      <c r="M1684" s="368"/>
      <c r="N1684" s="368"/>
      <c r="O1684" s="370"/>
      <c r="T1684" s="340"/>
      <c r="V1684" s="378"/>
      <c r="W1684" s="64" ph="1"/>
      <c r="X1684" s="241"/>
      <c r="Y1684" s="284"/>
      <c r="Z1684" s="207"/>
      <c r="AA1684" s="284"/>
      <c r="AB1684" s="284"/>
      <c r="AC1684" s="284"/>
      <c r="AD1684" s="284"/>
      <c r="AE1684" s="284"/>
      <c r="AF1684" s="284"/>
      <c r="AG1684" s="284"/>
      <c r="AI1684" s="131"/>
    </row>
    <row r="1685" spans="1:35" ht="26.4">
      <c r="A1685" s="284"/>
      <c r="B1685" s="284"/>
      <c r="C1685" s="284"/>
      <c r="D1685" s="284"/>
      <c r="E1685" s="284"/>
      <c r="F1685" s="284"/>
      <c r="G1685" s="284"/>
      <c r="H1685" s="284"/>
      <c r="I1685" s="284"/>
      <c r="J1685" s="375"/>
      <c r="K1685" s="375"/>
      <c r="L1685" s="375"/>
      <c r="M1685" s="368"/>
      <c r="N1685" s="368"/>
      <c r="O1685" s="370"/>
      <c r="T1685" s="340"/>
      <c r="V1685" s="378"/>
      <c r="W1685" s="64" ph="1"/>
      <c r="X1685" s="241"/>
      <c r="Y1685" s="284"/>
      <c r="Z1685" s="207"/>
      <c r="AA1685" s="284"/>
      <c r="AB1685" s="284"/>
      <c r="AC1685" s="284"/>
      <c r="AD1685" s="284"/>
      <c r="AE1685" s="284"/>
      <c r="AF1685" s="284"/>
      <c r="AG1685" s="284"/>
      <c r="AI1685" s="131"/>
    </row>
    <row r="1686" spans="1:35" ht="26.4">
      <c r="A1686" s="284"/>
      <c r="B1686" s="284"/>
      <c r="C1686" s="284"/>
      <c r="D1686" s="284"/>
      <c r="E1686" s="284"/>
      <c r="F1686" s="284"/>
      <c r="G1686" s="284"/>
      <c r="H1686" s="284"/>
      <c r="I1686" s="284"/>
      <c r="J1686" s="375"/>
      <c r="K1686" s="375"/>
      <c r="L1686" s="375"/>
      <c r="M1686" s="368"/>
      <c r="N1686" s="368"/>
      <c r="O1686" s="370"/>
      <c r="T1686" s="340"/>
      <c r="V1686" s="378"/>
      <c r="W1686" s="64" ph="1"/>
      <c r="X1686" s="241"/>
      <c r="Y1686" s="284"/>
      <c r="Z1686" s="207"/>
      <c r="AA1686" s="284"/>
      <c r="AB1686" s="284"/>
      <c r="AC1686" s="284"/>
      <c r="AD1686" s="284"/>
      <c r="AE1686" s="284"/>
      <c r="AF1686" s="284"/>
      <c r="AG1686" s="284"/>
      <c r="AI1686" s="131"/>
    </row>
    <row r="1687" spans="1:35" ht="26.4">
      <c r="A1687" s="284"/>
      <c r="B1687" s="284"/>
      <c r="C1687" s="284"/>
      <c r="D1687" s="284"/>
      <c r="E1687" s="284"/>
      <c r="F1687" s="284"/>
      <c r="G1687" s="284"/>
      <c r="H1687" s="284"/>
      <c r="I1687" s="284"/>
      <c r="J1687" s="375"/>
      <c r="K1687" s="375"/>
      <c r="L1687" s="375"/>
      <c r="M1687" s="368"/>
      <c r="N1687" s="368"/>
      <c r="O1687" s="370"/>
      <c r="T1687" s="340"/>
      <c r="V1687" s="378"/>
      <c r="W1687" s="64" ph="1"/>
      <c r="X1687" s="241"/>
      <c r="Y1687" s="284"/>
      <c r="Z1687" s="207"/>
      <c r="AA1687" s="284"/>
      <c r="AB1687" s="284"/>
      <c r="AC1687" s="284"/>
      <c r="AD1687" s="284"/>
      <c r="AE1687" s="284"/>
      <c r="AF1687" s="284"/>
      <c r="AG1687" s="284"/>
      <c r="AI1687" s="131"/>
    </row>
    <row r="1688" spans="1:35" ht="26.4">
      <c r="A1688" s="284"/>
      <c r="B1688" s="284"/>
      <c r="C1688" s="284"/>
      <c r="D1688" s="284"/>
      <c r="E1688" s="284"/>
      <c r="F1688" s="284"/>
      <c r="G1688" s="284"/>
      <c r="H1688" s="284"/>
      <c r="I1688" s="284"/>
      <c r="J1688" s="375"/>
      <c r="K1688" s="375"/>
      <c r="L1688" s="375"/>
      <c r="M1688" s="368"/>
      <c r="N1688" s="368"/>
      <c r="O1688" s="370"/>
      <c r="T1688" s="340"/>
      <c r="V1688" s="378"/>
      <c r="W1688" s="64" ph="1"/>
      <c r="X1688" s="241"/>
      <c r="Y1688" s="284"/>
      <c r="Z1688" s="207"/>
      <c r="AA1688" s="284"/>
      <c r="AB1688" s="284"/>
      <c r="AC1688" s="284"/>
      <c r="AD1688" s="284"/>
      <c r="AE1688" s="284"/>
      <c r="AF1688" s="284"/>
      <c r="AG1688" s="284"/>
      <c r="AI1688" s="131"/>
    </row>
    <row r="1689" spans="1:35" ht="26.4">
      <c r="A1689" s="284"/>
      <c r="B1689" s="284"/>
      <c r="C1689" s="284"/>
      <c r="D1689" s="284"/>
      <c r="E1689" s="284"/>
      <c r="F1689" s="284"/>
      <c r="G1689" s="284"/>
      <c r="H1689" s="284"/>
      <c r="I1689" s="284"/>
      <c r="J1689" s="375"/>
      <c r="K1689" s="375"/>
      <c r="L1689" s="375"/>
      <c r="M1689" s="368"/>
      <c r="N1689" s="368"/>
      <c r="O1689" s="370"/>
      <c r="T1689" s="340"/>
      <c r="V1689" s="378"/>
      <c r="W1689" s="64" ph="1"/>
      <c r="X1689" s="241"/>
      <c r="Y1689" s="284"/>
      <c r="Z1689" s="207"/>
      <c r="AA1689" s="284"/>
      <c r="AB1689" s="284"/>
      <c r="AC1689" s="284"/>
      <c r="AD1689" s="284"/>
      <c r="AE1689" s="284"/>
      <c r="AF1689" s="284"/>
      <c r="AG1689" s="284"/>
      <c r="AI1689" s="131"/>
    </row>
    <row r="1690" spans="1:35" ht="26.4">
      <c r="A1690" s="284"/>
      <c r="B1690" s="284"/>
      <c r="C1690" s="284"/>
      <c r="D1690" s="284"/>
      <c r="E1690" s="284"/>
      <c r="F1690" s="284"/>
      <c r="G1690" s="284"/>
      <c r="H1690" s="284"/>
      <c r="I1690" s="284"/>
      <c r="J1690" s="375"/>
      <c r="K1690" s="375"/>
      <c r="L1690" s="375"/>
      <c r="M1690" s="368"/>
      <c r="N1690" s="368"/>
      <c r="O1690" s="370"/>
      <c r="T1690" s="340"/>
      <c r="V1690" s="378"/>
      <c r="W1690" s="64" ph="1"/>
      <c r="X1690" s="241"/>
      <c r="Y1690" s="284"/>
      <c r="Z1690" s="207"/>
      <c r="AA1690" s="284"/>
      <c r="AB1690" s="284"/>
      <c r="AC1690" s="284"/>
      <c r="AD1690" s="284"/>
      <c r="AE1690" s="284"/>
      <c r="AF1690" s="284"/>
      <c r="AG1690" s="284"/>
      <c r="AI1690" s="131"/>
    </row>
    <row r="1691" spans="1:35" ht="26.4">
      <c r="A1691" s="284"/>
      <c r="B1691" s="284"/>
      <c r="C1691" s="284"/>
      <c r="D1691" s="284"/>
      <c r="E1691" s="284"/>
      <c r="F1691" s="284"/>
      <c r="G1691" s="284"/>
      <c r="H1691" s="284"/>
      <c r="I1691" s="284"/>
      <c r="J1691" s="375"/>
      <c r="K1691" s="375"/>
      <c r="L1691" s="375"/>
      <c r="M1691" s="368"/>
      <c r="N1691" s="368"/>
      <c r="O1691" s="370"/>
      <c r="T1691" s="340"/>
      <c r="V1691" s="378"/>
      <c r="W1691" s="64" ph="1"/>
      <c r="X1691" s="241"/>
      <c r="Y1691" s="284"/>
      <c r="Z1691" s="207"/>
      <c r="AA1691" s="284"/>
      <c r="AB1691" s="284"/>
      <c r="AC1691" s="284"/>
      <c r="AD1691" s="284"/>
      <c r="AE1691" s="284"/>
      <c r="AF1691" s="284"/>
      <c r="AG1691" s="284"/>
      <c r="AI1691" s="131"/>
    </row>
    <row r="1692" spans="1:35" ht="26.4">
      <c r="A1692" s="284"/>
      <c r="B1692" s="284"/>
      <c r="C1692" s="284"/>
      <c r="D1692" s="284"/>
      <c r="E1692" s="284"/>
      <c r="F1692" s="284"/>
      <c r="G1692" s="284"/>
      <c r="H1692" s="284"/>
      <c r="I1692" s="284"/>
      <c r="J1692" s="375"/>
      <c r="K1692" s="375"/>
      <c r="L1692" s="375"/>
      <c r="M1692" s="368"/>
      <c r="N1692" s="368"/>
      <c r="O1692" s="370"/>
      <c r="T1692" s="340"/>
      <c r="V1692" s="378"/>
      <c r="W1692" s="64" ph="1"/>
      <c r="X1692" s="241"/>
      <c r="Y1692" s="284"/>
      <c r="Z1692" s="207"/>
      <c r="AA1692" s="284"/>
      <c r="AB1692" s="284"/>
      <c r="AC1692" s="284"/>
      <c r="AD1692" s="284"/>
      <c r="AE1692" s="284"/>
      <c r="AF1692" s="284"/>
      <c r="AG1692" s="284"/>
      <c r="AI1692" s="131"/>
    </row>
    <row r="1693" spans="1:35" ht="26.4">
      <c r="A1693" s="284"/>
      <c r="B1693" s="284"/>
      <c r="C1693" s="284"/>
      <c r="D1693" s="284"/>
      <c r="E1693" s="284"/>
      <c r="F1693" s="284"/>
      <c r="G1693" s="284"/>
      <c r="H1693" s="284"/>
      <c r="I1693" s="284"/>
      <c r="J1693" s="375"/>
      <c r="K1693" s="375"/>
      <c r="L1693" s="375"/>
      <c r="M1693" s="368"/>
      <c r="N1693" s="368"/>
      <c r="O1693" s="370"/>
      <c r="T1693" s="340"/>
      <c r="V1693" s="378"/>
      <c r="W1693" s="64" ph="1"/>
      <c r="X1693" s="241"/>
      <c r="Y1693" s="284"/>
      <c r="Z1693" s="207"/>
      <c r="AA1693" s="284"/>
      <c r="AB1693" s="284"/>
      <c r="AC1693" s="284"/>
      <c r="AD1693" s="284"/>
      <c r="AE1693" s="284"/>
      <c r="AF1693" s="284"/>
      <c r="AG1693" s="284"/>
      <c r="AI1693" s="131"/>
    </row>
    <row r="1694" spans="1:35" ht="26.4">
      <c r="A1694" s="284"/>
      <c r="B1694" s="284"/>
      <c r="C1694" s="284"/>
      <c r="D1694" s="284"/>
      <c r="E1694" s="284"/>
      <c r="F1694" s="284"/>
      <c r="G1694" s="284"/>
      <c r="H1694" s="284"/>
      <c r="I1694" s="284"/>
      <c r="J1694" s="375"/>
      <c r="K1694" s="375"/>
      <c r="L1694" s="375"/>
      <c r="M1694" s="368"/>
      <c r="N1694" s="368"/>
      <c r="O1694" s="370"/>
      <c r="T1694" s="340"/>
      <c r="V1694" s="378"/>
      <c r="W1694" s="64" ph="1"/>
      <c r="X1694" s="241"/>
      <c r="Y1694" s="284"/>
      <c r="Z1694" s="207"/>
      <c r="AA1694" s="284"/>
      <c r="AB1694" s="284"/>
      <c r="AC1694" s="284"/>
      <c r="AD1694" s="284"/>
      <c r="AE1694" s="284"/>
      <c r="AF1694" s="284"/>
      <c r="AG1694" s="284"/>
      <c r="AI1694" s="131"/>
    </row>
    <row r="1695" spans="1:35" ht="26.4">
      <c r="A1695" s="284"/>
      <c r="B1695" s="284"/>
      <c r="C1695" s="284"/>
      <c r="D1695" s="284"/>
      <c r="E1695" s="284"/>
      <c r="F1695" s="284"/>
      <c r="G1695" s="284"/>
      <c r="H1695" s="284"/>
      <c r="I1695" s="284"/>
      <c r="J1695" s="375"/>
      <c r="K1695" s="375"/>
      <c r="L1695" s="375"/>
      <c r="M1695" s="368"/>
      <c r="N1695" s="368"/>
      <c r="O1695" s="370"/>
      <c r="T1695" s="340"/>
      <c r="V1695" s="378"/>
      <c r="W1695" s="64" ph="1"/>
      <c r="X1695" s="241"/>
      <c r="Y1695" s="284"/>
      <c r="Z1695" s="207"/>
      <c r="AA1695" s="284"/>
      <c r="AB1695" s="284"/>
      <c r="AC1695" s="284"/>
      <c r="AD1695" s="284"/>
      <c r="AE1695" s="284"/>
      <c r="AF1695" s="284"/>
      <c r="AG1695" s="284"/>
      <c r="AI1695" s="131"/>
    </row>
    <row r="1696" spans="1:35" ht="26.4">
      <c r="A1696" s="284"/>
      <c r="B1696" s="284"/>
      <c r="C1696" s="284"/>
      <c r="D1696" s="284"/>
      <c r="E1696" s="284"/>
      <c r="F1696" s="284"/>
      <c r="G1696" s="284"/>
      <c r="H1696" s="284"/>
      <c r="I1696" s="284"/>
      <c r="J1696" s="375"/>
      <c r="K1696" s="375"/>
      <c r="L1696" s="375"/>
      <c r="M1696" s="368"/>
      <c r="N1696" s="368"/>
      <c r="O1696" s="370"/>
      <c r="T1696" s="340"/>
      <c r="V1696" s="378"/>
      <c r="W1696" s="64" ph="1"/>
      <c r="X1696" s="241"/>
      <c r="Y1696" s="284"/>
      <c r="Z1696" s="207"/>
      <c r="AA1696" s="284"/>
      <c r="AB1696" s="284"/>
      <c r="AC1696" s="284"/>
      <c r="AD1696" s="284"/>
      <c r="AE1696" s="284"/>
      <c r="AF1696" s="284"/>
      <c r="AG1696" s="284"/>
      <c r="AI1696" s="131"/>
    </row>
    <row r="1697" spans="1:35" ht="26.4">
      <c r="A1697" s="284"/>
      <c r="B1697" s="284"/>
      <c r="C1697" s="284"/>
      <c r="D1697" s="284"/>
      <c r="E1697" s="284"/>
      <c r="F1697" s="284"/>
      <c r="G1697" s="284"/>
      <c r="H1697" s="284"/>
      <c r="I1697" s="284"/>
      <c r="J1697" s="375"/>
      <c r="K1697" s="375"/>
      <c r="L1697" s="375"/>
      <c r="M1697" s="368"/>
      <c r="N1697" s="368"/>
      <c r="O1697" s="370"/>
      <c r="T1697" s="340"/>
      <c r="V1697" s="378"/>
      <c r="W1697" s="64" ph="1"/>
      <c r="X1697" s="241"/>
      <c r="Y1697" s="284"/>
      <c r="Z1697" s="207"/>
      <c r="AA1697" s="284"/>
      <c r="AB1697" s="284"/>
      <c r="AC1697" s="284"/>
      <c r="AD1697" s="284"/>
      <c r="AE1697" s="284"/>
      <c r="AF1697" s="284"/>
      <c r="AG1697" s="284"/>
      <c r="AI1697" s="131"/>
    </row>
    <row r="1698" spans="1:35" ht="26.4">
      <c r="A1698" s="284"/>
      <c r="B1698" s="284"/>
      <c r="C1698" s="284"/>
      <c r="D1698" s="284"/>
      <c r="E1698" s="284"/>
      <c r="F1698" s="284"/>
      <c r="G1698" s="284"/>
      <c r="H1698" s="284"/>
      <c r="I1698" s="284"/>
      <c r="J1698" s="375"/>
      <c r="K1698" s="375"/>
      <c r="L1698" s="375"/>
      <c r="M1698" s="368"/>
      <c r="N1698" s="368"/>
      <c r="O1698" s="370"/>
      <c r="T1698" s="340"/>
      <c r="V1698" s="378"/>
      <c r="W1698" s="64" ph="1"/>
      <c r="X1698" s="241"/>
      <c r="Y1698" s="284"/>
      <c r="Z1698" s="207"/>
      <c r="AA1698" s="284"/>
      <c r="AB1698" s="284"/>
      <c r="AC1698" s="284"/>
      <c r="AD1698" s="284"/>
      <c r="AE1698" s="284"/>
      <c r="AF1698" s="284"/>
      <c r="AG1698" s="284"/>
      <c r="AI1698" s="131"/>
    </row>
    <row r="1699" spans="1:35" ht="26.4">
      <c r="A1699" s="284"/>
      <c r="B1699" s="284"/>
      <c r="C1699" s="284"/>
      <c r="D1699" s="284"/>
      <c r="E1699" s="284"/>
      <c r="F1699" s="284"/>
      <c r="G1699" s="284"/>
      <c r="H1699" s="284"/>
      <c r="I1699" s="284"/>
      <c r="J1699" s="375"/>
      <c r="K1699" s="375"/>
      <c r="L1699" s="375"/>
      <c r="M1699" s="368"/>
      <c r="N1699" s="368"/>
      <c r="O1699" s="370"/>
      <c r="T1699" s="340"/>
      <c r="V1699" s="378"/>
      <c r="W1699" s="64" ph="1"/>
      <c r="X1699" s="241"/>
      <c r="Y1699" s="284"/>
      <c r="Z1699" s="207"/>
      <c r="AA1699" s="284"/>
      <c r="AB1699" s="284"/>
      <c r="AC1699" s="284"/>
      <c r="AD1699" s="284"/>
      <c r="AE1699" s="284"/>
      <c r="AF1699" s="284"/>
      <c r="AG1699" s="284"/>
      <c r="AI1699" s="131"/>
    </row>
    <row r="1700" spans="1:35" ht="26.4">
      <c r="A1700" s="284"/>
      <c r="B1700" s="284"/>
      <c r="C1700" s="284"/>
      <c r="D1700" s="284"/>
      <c r="E1700" s="284"/>
      <c r="F1700" s="284"/>
      <c r="G1700" s="284"/>
      <c r="H1700" s="284"/>
      <c r="I1700" s="284"/>
      <c r="J1700" s="375"/>
      <c r="K1700" s="375"/>
      <c r="L1700" s="375"/>
      <c r="M1700" s="368"/>
      <c r="N1700" s="368"/>
      <c r="O1700" s="370"/>
      <c r="T1700" s="340"/>
      <c r="V1700" s="378"/>
      <c r="W1700" s="64" ph="1"/>
      <c r="X1700" s="241"/>
      <c r="Y1700" s="284"/>
      <c r="Z1700" s="207"/>
      <c r="AA1700" s="284"/>
      <c r="AB1700" s="284"/>
      <c r="AC1700" s="284"/>
      <c r="AD1700" s="284"/>
      <c r="AE1700" s="284"/>
      <c r="AF1700" s="284"/>
      <c r="AG1700" s="284"/>
      <c r="AI1700" s="131"/>
    </row>
    <row r="1701" spans="1:35" ht="26.4">
      <c r="A1701" s="284"/>
      <c r="B1701" s="284"/>
      <c r="C1701" s="284"/>
      <c r="D1701" s="284"/>
      <c r="E1701" s="284"/>
      <c r="F1701" s="284"/>
      <c r="G1701" s="284"/>
      <c r="H1701" s="284"/>
      <c r="I1701" s="284"/>
      <c r="J1701" s="375"/>
      <c r="K1701" s="375"/>
      <c r="L1701" s="375"/>
      <c r="M1701" s="368"/>
      <c r="N1701" s="368"/>
      <c r="O1701" s="370"/>
      <c r="T1701" s="340"/>
      <c r="V1701" s="378"/>
      <c r="W1701" s="64" ph="1"/>
      <c r="X1701" s="241"/>
      <c r="Y1701" s="284"/>
      <c r="Z1701" s="207"/>
      <c r="AA1701" s="284"/>
      <c r="AB1701" s="284"/>
      <c r="AC1701" s="284"/>
      <c r="AD1701" s="284"/>
      <c r="AE1701" s="284"/>
      <c r="AF1701" s="284"/>
      <c r="AG1701" s="284"/>
      <c r="AI1701" s="131"/>
    </row>
    <row r="1702" spans="1:35" ht="26.4">
      <c r="A1702" s="284"/>
      <c r="B1702" s="284"/>
      <c r="C1702" s="284"/>
      <c r="D1702" s="284"/>
      <c r="E1702" s="284"/>
      <c r="F1702" s="284"/>
      <c r="G1702" s="284"/>
      <c r="H1702" s="284"/>
      <c r="I1702" s="284"/>
      <c r="J1702" s="375"/>
      <c r="K1702" s="375"/>
      <c r="L1702" s="375"/>
      <c r="M1702" s="368"/>
      <c r="N1702" s="368"/>
      <c r="O1702" s="370"/>
      <c r="T1702" s="340"/>
      <c r="V1702" s="378"/>
      <c r="W1702" s="64" ph="1"/>
      <c r="X1702" s="241"/>
      <c r="Y1702" s="284"/>
      <c r="Z1702" s="207"/>
      <c r="AA1702" s="284"/>
      <c r="AB1702" s="284"/>
      <c r="AC1702" s="284"/>
      <c r="AD1702" s="284"/>
      <c r="AE1702" s="284"/>
      <c r="AF1702" s="284"/>
      <c r="AG1702" s="284"/>
      <c r="AI1702" s="131"/>
    </row>
    <row r="1703" spans="1:35" ht="26.4">
      <c r="A1703" s="284"/>
      <c r="B1703" s="284"/>
      <c r="C1703" s="284"/>
      <c r="D1703" s="284"/>
      <c r="E1703" s="284"/>
      <c r="F1703" s="284"/>
      <c r="G1703" s="284"/>
      <c r="H1703" s="284"/>
      <c r="I1703" s="284"/>
      <c r="J1703" s="375"/>
      <c r="K1703" s="375"/>
      <c r="L1703" s="375"/>
      <c r="M1703" s="368"/>
      <c r="N1703" s="368"/>
      <c r="O1703" s="370"/>
      <c r="T1703" s="340"/>
      <c r="V1703" s="378"/>
      <c r="W1703" s="64" ph="1"/>
      <c r="X1703" s="241"/>
      <c r="Y1703" s="284"/>
      <c r="Z1703" s="207"/>
      <c r="AA1703" s="284"/>
      <c r="AB1703" s="284"/>
      <c r="AC1703" s="284"/>
      <c r="AD1703" s="284"/>
      <c r="AE1703" s="284"/>
      <c r="AF1703" s="284"/>
      <c r="AG1703" s="284"/>
      <c r="AI1703" s="131"/>
    </row>
    <row r="1704" spans="1:35" ht="26.4">
      <c r="A1704" s="284"/>
      <c r="B1704" s="284"/>
      <c r="C1704" s="284"/>
      <c r="D1704" s="284"/>
      <c r="E1704" s="284"/>
      <c r="F1704" s="284"/>
      <c r="G1704" s="284"/>
      <c r="H1704" s="284"/>
      <c r="I1704" s="284"/>
      <c r="J1704" s="375"/>
      <c r="K1704" s="375"/>
      <c r="L1704" s="375"/>
      <c r="M1704" s="368"/>
      <c r="N1704" s="368"/>
      <c r="O1704" s="370"/>
      <c r="T1704" s="340"/>
      <c r="V1704" s="378"/>
      <c r="W1704" s="64" ph="1"/>
      <c r="X1704" s="241"/>
      <c r="Y1704" s="284"/>
      <c r="Z1704" s="207"/>
      <c r="AA1704" s="284"/>
      <c r="AB1704" s="284"/>
      <c r="AC1704" s="284"/>
      <c r="AD1704" s="284"/>
      <c r="AE1704" s="284"/>
      <c r="AF1704" s="284"/>
      <c r="AG1704" s="284"/>
      <c r="AI1704" s="131"/>
    </row>
    <row r="1705" spans="1:35" ht="26.4">
      <c r="A1705" s="284"/>
      <c r="B1705" s="284"/>
      <c r="C1705" s="284"/>
      <c r="D1705" s="284"/>
      <c r="E1705" s="284"/>
      <c r="F1705" s="284"/>
      <c r="G1705" s="284"/>
      <c r="H1705" s="284"/>
      <c r="I1705" s="284"/>
      <c r="J1705" s="375"/>
      <c r="K1705" s="375"/>
      <c r="L1705" s="375"/>
      <c r="M1705" s="368"/>
      <c r="N1705" s="368"/>
      <c r="O1705" s="370"/>
      <c r="T1705" s="340"/>
      <c r="V1705" s="378"/>
      <c r="W1705" s="64" ph="1"/>
      <c r="X1705" s="241"/>
      <c r="Y1705" s="284"/>
      <c r="Z1705" s="207"/>
      <c r="AA1705" s="284"/>
      <c r="AB1705" s="284"/>
      <c r="AC1705" s="284"/>
      <c r="AD1705" s="284"/>
      <c r="AE1705" s="284"/>
      <c r="AF1705" s="284"/>
      <c r="AG1705" s="284"/>
      <c r="AI1705" s="131"/>
    </row>
    <row r="1706" spans="1:35" ht="26.4">
      <c r="A1706" s="284"/>
      <c r="B1706" s="284"/>
      <c r="C1706" s="284"/>
      <c r="D1706" s="284"/>
      <c r="E1706" s="284"/>
      <c r="F1706" s="284"/>
      <c r="G1706" s="284"/>
      <c r="H1706" s="284"/>
      <c r="I1706" s="284"/>
      <c r="J1706" s="375"/>
      <c r="K1706" s="375"/>
      <c r="L1706" s="375"/>
      <c r="M1706" s="368"/>
      <c r="N1706" s="368"/>
      <c r="O1706" s="370"/>
      <c r="T1706" s="340"/>
      <c r="V1706" s="378"/>
      <c r="W1706" s="64" ph="1"/>
      <c r="X1706" s="241"/>
      <c r="Y1706" s="284"/>
      <c r="Z1706" s="207"/>
      <c r="AA1706" s="284"/>
      <c r="AB1706" s="284"/>
      <c r="AC1706" s="284"/>
      <c r="AD1706" s="284"/>
      <c r="AE1706" s="284"/>
      <c r="AF1706" s="284"/>
      <c r="AG1706" s="284"/>
      <c r="AI1706" s="131"/>
    </row>
    <row r="1707" spans="1:35" ht="26.4">
      <c r="A1707" s="284"/>
      <c r="B1707" s="284"/>
      <c r="C1707" s="284"/>
      <c r="D1707" s="284"/>
      <c r="E1707" s="284"/>
      <c r="F1707" s="284"/>
      <c r="G1707" s="284"/>
      <c r="H1707" s="284"/>
      <c r="I1707" s="284"/>
      <c r="J1707" s="375"/>
      <c r="K1707" s="375"/>
      <c r="L1707" s="375"/>
      <c r="M1707" s="368"/>
      <c r="N1707" s="368"/>
      <c r="O1707" s="370"/>
      <c r="T1707" s="340"/>
      <c r="V1707" s="378"/>
      <c r="W1707" s="64" ph="1"/>
      <c r="X1707" s="241"/>
      <c r="Y1707" s="284"/>
      <c r="Z1707" s="207"/>
      <c r="AA1707" s="284"/>
      <c r="AB1707" s="284"/>
      <c r="AC1707" s="284"/>
      <c r="AD1707" s="284"/>
      <c r="AE1707" s="284"/>
      <c r="AF1707" s="284"/>
      <c r="AG1707" s="284"/>
      <c r="AI1707" s="131"/>
    </row>
    <row r="1708" spans="1:35" ht="26.4">
      <c r="A1708" s="284"/>
      <c r="B1708" s="284"/>
      <c r="C1708" s="284"/>
      <c r="D1708" s="284"/>
      <c r="E1708" s="284"/>
      <c r="F1708" s="284"/>
      <c r="G1708" s="284"/>
      <c r="H1708" s="284"/>
      <c r="I1708" s="284"/>
      <c r="J1708" s="375"/>
      <c r="K1708" s="375"/>
      <c r="L1708" s="375"/>
      <c r="M1708" s="368"/>
      <c r="N1708" s="368"/>
      <c r="O1708" s="370"/>
      <c r="T1708" s="340"/>
      <c r="V1708" s="378"/>
      <c r="W1708" s="64" ph="1"/>
      <c r="X1708" s="241"/>
      <c r="Y1708" s="284"/>
      <c r="Z1708" s="207"/>
      <c r="AA1708" s="284"/>
      <c r="AB1708" s="284"/>
      <c r="AC1708" s="284"/>
      <c r="AD1708" s="284"/>
      <c r="AE1708" s="284"/>
      <c r="AF1708" s="284"/>
      <c r="AG1708" s="284"/>
      <c r="AI1708" s="131"/>
    </row>
    <row r="1709" spans="1:35" ht="26.4">
      <c r="A1709" s="284"/>
      <c r="B1709" s="284"/>
      <c r="C1709" s="284"/>
      <c r="D1709" s="284"/>
      <c r="E1709" s="284"/>
      <c r="F1709" s="284"/>
      <c r="G1709" s="284"/>
      <c r="H1709" s="284"/>
      <c r="I1709" s="284"/>
      <c r="J1709" s="375"/>
      <c r="K1709" s="375"/>
      <c r="L1709" s="375"/>
      <c r="M1709" s="368"/>
      <c r="N1709" s="368"/>
      <c r="O1709" s="370"/>
      <c r="T1709" s="340"/>
      <c r="V1709" s="378"/>
      <c r="W1709" s="64" ph="1"/>
      <c r="X1709" s="241"/>
      <c r="Y1709" s="284"/>
      <c r="Z1709" s="207"/>
      <c r="AA1709" s="284"/>
      <c r="AB1709" s="284"/>
      <c r="AC1709" s="284"/>
      <c r="AD1709" s="284"/>
      <c r="AE1709" s="284"/>
      <c r="AF1709" s="284"/>
      <c r="AG1709" s="284"/>
      <c r="AI1709" s="131"/>
    </row>
    <row r="1710" spans="1:35" ht="26.4">
      <c r="A1710" s="284"/>
      <c r="B1710" s="284"/>
      <c r="C1710" s="284"/>
      <c r="D1710" s="284"/>
      <c r="E1710" s="284"/>
      <c r="F1710" s="284"/>
      <c r="G1710" s="284"/>
      <c r="H1710" s="284"/>
      <c r="I1710" s="284"/>
      <c r="J1710" s="375"/>
      <c r="K1710" s="375"/>
      <c r="L1710" s="375"/>
      <c r="M1710" s="368"/>
      <c r="N1710" s="368"/>
      <c r="O1710" s="370"/>
      <c r="T1710" s="340"/>
      <c r="V1710" s="378"/>
      <c r="W1710" s="64" ph="1"/>
      <c r="X1710" s="241"/>
      <c r="Y1710" s="284"/>
      <c r="Z1710" s="207"/>
      <c r="AA1710" s="284"/>
      <c r="AB1710" s="284"/>
      <c r="AC1710" s="284"/>
      <c r="AD1710" s="284"/>
      <c r="AE1710" s="284"/>
      <c r="AF1710" s="284"/>
      <c r="AG1710" s="284"/>
      <c r="AI1710" s="131"/>
    </row>
    <row r="1711" spans="1:35" ht="26.4">
      <c r="A1711" s="284"/>
      <c r="B1711" s="284"/>
      <c r="C1711" s="284"/>
      <c r="D1711" s="284"/>
      <c r="E1711" s="284"/>
      <c r="F1711" s="284"/>
      <c r="G1711" s="284"/>
      <c r="H1711" s="284"/>
      <c r="I1711" s="284"/>
      <c r="J1711" s="375"/>
      <c r="K1711" s="375"/>
      <c r="L1711" s="375"/>
      <c r="M1711" s="368"/>
      <c r="N1711" s="368"/>
      <c r="O1711" s="370"/>
      <c r="T1711" s="340"/>
      <c r="V1711" s="378"/>
      <c r="W1711" s="64" ph="1"/>
      <c r="X1711" s="241"/>
      <c r="Y1711" s="284"/>
      <c r="Z1711" s="207"/>
      <c r="AA1711" s="284"/>
      <c r="AB1711" s="284"/>
      <c r="AC1711" s="284"/>
      <c r="AD1711" s="284"/>
      <c r="AE1711" s="284"/>
      <c r="AF1711" s="284"/>
      <c r="AG1711" s="284"/>
      <c r="AI1711" s="131"/>
    </row>
    <row r="1712" spans="1:35" ht="26.4">
      <c r="A1712" s="284"/>
      <c r="B1712" s="284"/>
      <c r="C1712" s="284"/>
      <c r="D1712" s="284"/>
      <c r="E1712" s="284"/>
      <c r="F1712" s="284"/>
      <c r="G1712" s="284"/>
      <c r="H1712" s="284"/>
      <c r="I1712" s="284"/>
      <c r="J1712" s="375"/>
      <c r="K1712" s="375"/>
      <c r="L1712" s="375"/>
      <c r="M1712" s="368"/>
      <c r="N1712" s="368"/>
      <c r="O1712" s="370"/>
      <c r="T1712" s="340"/>
      <c r="V1712" s="378"/>
      <c r="W1712" s="64" ph="1"/>
      <c r="X1712" s="241"/>
      <c r="Y1712" s="284"/>
      <c r="Z1712" s="207"/>
      <c r="AA1712" s="284"/>
      <c r="AB1712" s="284"/>
      <c r="AC1712" s="284"/>
      <c r="AD1712" s="284"/>
      <c r="AE1712" s="284"/>
      <c r="AF1712" s="284"/>
      <c r="AG1712" s="284"/>
      <c r="AI1712" s="131"/>
    </row>
    <row r="1713" spans="1:35" ht="26.4">
      <c r="A1713" s="284"/>
      <c r="B1713" s="284"/>
      <c r="C1713" s="284"/>
      <c r="D1713" s="284"/>
      <c r="E1713" s="284"/>
      <c r="F1713" s="284"/>
      <c r="G1713" s="284"/>
      <c r="H1713" s="284"/>
      <c r="I1713" s="284"/>
      <c r="J1713" s="375"/>
      <c r="K1713" s="375"/>
      <c r="L1713" s="375"/>
      <c r="M1713" s="368"/>
      <c r="N1713" s="368"/>
      <c r="O1713" s="370"/>
      <c r="T1713" s="340"/>
      <c r="V1713" s="378"/>
      <c r="W1713" s="64" ph="1"/>
      <c r="X1713" s="241"/>
      <c r="Y1713" s="284"/>
      <c r="Z1713" s="207"/>
      <c r="AA1713" s="284"/>
      <c r="AB1713" s="284"/>
      <c r="AC1713" s="284"/>
      <c r="AD1713" s="284"/>
      <c r="AE1713" s="284"/>
      <c r="AF1713" s="284"/>
      <c r="AG1713" s="284"/>
      <c r="AI1713" s="131"/>
    </row>
    <row r="1714" spans="1:35" ht="26.4">
      <c r="A1714" s="284"/>
      <c r="B1714" s="284"/>
      <c r="C1714" s="284"/>
      <c r="D1714" s="284"/>
      <c r="E1714" s="284"/>
      <c r="F1714" s="284"/>
      <c r="G1714" s="284"/>
      <c r="H1714" s="284"/>
      <c r="I1714" s="284"/>
      <c r="J1714" s="375"/>
      <c r="K1714" s="375"/>
      <c r="L1714" s="375"/>
      <c r="M1714" s="368"/>
      <c r="N1714" s="368"/>
      <c r="O1714" s="370"/>
      <c r="T1714" s="340"/>
      <c r="V1714" s="378"/>
      <c r="W1714" s="64" ph="1"/>
      <c r="X1714" s="241"/>
      <c r="Y1714" s="284"/>
      <c r="Z1714" s="207"/>
      <c r="AA1714" s="284"/>
      <c r="AB1714" s="284"/>
      <c r="AC1714" s="284"/>
      <c r="AD1714" s="284"/>
      <c r="AE1714" s="284"/>
      <c r="AF1714" s="284"/>
      <c r="AG1714" s="284"/>
      <c r="AI1714" s="131"/>
    </row>
    <row r="1715" spans="1:35" ht="26.4">
      <c r="A1715" s="284"/>
      <c r="B1715" s="284"/>
      <c r="C1715" s="284"/>
      <c r="D1715" s="284"/>
      <c r="E1715" s="284"/>
      <c r="F1715" s="284"/>
      <c r="G1715" s="284"/>
      <c r="H1715" s="284"/>
      <c r="I1715" s="284"/>
      <c r="J1715" s="375"/>
      <c r="K1715" s="375"/>
      <c r="L1715" s="375"/>
      <c r="M1715" s="368"/>
      <c r="N1715" s="368"/>
      <c r="O1715" s="370"/>
      <c r="T1715" s="340"/>
      <c r="V1715" s="378"/>
      <c r="W1715" s="64" ph="1"/>
      <c r="X1715" s="241"/>
      <c r="Y1715" s="284"/>
      <c r="Z1715" s="207"/>
      <c r="AA1715" s="284"/>
      <c r="AB1715" s="284"/>
      <c r="AC1715" s="284"/>
      <c r="AD1715" s="284"/>
      <c r="AE1715" s="284"/>
      <c r="AF1715" s="284"/>
      <c r="AG1715" s="284"/>
      <c r="AI1715" s="131"/>
    </row>
    <row r="1716" spans="1:35" ht="26.4">
      <c r="A1716" s="284"/>
      <c r="B1716" s="284"/>
      <c r="C1716" s="284"/>
      <c r="D1716" s="284"/>
      <c r="E1716" s="284"/>
      <c r="F1716" s="284"/>
      <c r="G1716" s="284"/>
      <c r="H1716" s="284"/>
      <c r="I1716" s="284"/>
      <c r="J1716" s="375"/>
      <c r="K1716" s="375"/>
      <c r="L1716" s="375"/>
      <c r="M1716" s="368"/>
      <c r="N1716" s="368"/>
      <c r="O1716" s="370"/>
      <c r="T1716" s="340"/>
      <c r="V1716" s="378"/>
      <c r="W1716" s="64" ph="1"/>
      <c r="X1716" s="241"/>
      <c r="Y1716" s="284"/>
      <c r="Z1716" s="207"/>
      <c r="AA1716" s="284"/>
      <c r="AB1716" s="284"/>
      <c r="AC1716" s="284"/>
      <c r="AD1716" s="284"/>
      <c r="AE1716" s="284"/>
      <c r="AF1716" s="284"/>
      <c r="AG1716" s="284"/>
      <c r="AI1716" s="131"/>
    </row>
    <row r="1717" spans="1:35" ht="26.4">
      <c r="A1717" s="284"/>
      <c r="B1717" s="284"/>
      <c r="C1717" s="284"/>
      <c r="D1717" s="284"/>
      <c r="E1717" s="284"/>
      <c r="F1717" s="284"/>
      <c r="G1717" s="284"/>
      <c r="H1717" s="284"/>
      <c r="I1717" s="284"/>
      <c r="J1717" s="375"/>
      <c r="K1717" s="375"/>
      <c r="L1717" s="375"/>
      <c r="M1717" s="368"/>
      <c r="N1717" s="368"/>
      <c r="O1717" s="370"/>
      <c r="T1717" s="340"/>
      <c r="V1717" s="378"/>
      <c r="W1717" s="64" ph="1"/>
      <c r="X1717" s="241"/>
      <c r="Y1717" s="284"/>
      <c r="Z1717" s="207"/>
      <c r="AA1717" s="284"/>
      <c r="AB1717" s="284"/>
      <c r="AC1717" s="284"/>
      <c r="AD1717" s="284"/>
      <c r="AE1717" s="284"/>
      <c r="AF1717" s="284"/>
      <c r="AG1717" s="284"/>
      <c r="AI1717" s="131"/>
    </row>
    <row r="1718" spans="1:35" ht="26.4">
      <c r="A1718" s="284"/>
      <c r="B1718" s="284"/>
      <c r="C1718" s="284"/>
      <c r="D1718" s="284"/>
      <c r="E1718" s="284"/>
      <c r="F1718" s="284"/>
      <c r="G1718" s="284"/>
      <c r="H1718" s="284"/>
      <c r="I1718" s="284"/>
      <c r="J1718" s="375"/>
      <c r="K1718" s="375"/>
      <c r="L1718" s="375"/>
      <c r="M1718" s="368"/>
      <c r="N1718" s="368"/>
      <c r="O1718" s="370"/>
      <c r="T1718" s="340"/>
      <c r="V1718" s="378"/>
      <c r="W1718" s="64" ph="1"/>
      <c r="X1718" s="241"/>
      <c r="Y1718" s="284"/>
      <c r="Z1718" s="207"/>
      <c r="AA1718" s="284"/>
      <c r="AB1718" s="284"/>
      <c r="AC1718" s="284"/>
      <c r="AD1718" s="284"/>
      <c r="AE1718" s="284"/>
      <c r="AF1718" s="284"/>
      <c r="AG1718" s="284"/>
      <c r="AI1718" s="131"/>
    </row>
    <row r="1719" spans="1:35" ht="26.4">
      <c r="A1719" s="284"/>
      <c r="B1719" s="284"/>
      <c r="C1719" s="284"/>
      <c r="D1719" s="284"/>
      <c r="E1719" s="284"/>
      <c r="F1719" s="284"/>
      <c r="G1719" s="284"/>
      <c r="H1719" s="284"/>
      <c r="I1719" s="284"/>
      <c r="J1719" s="375"/>
      <c r="K1719" s="375"/>
      <c r="L1719" s="375"/>
      <c r="M1719" s="368"/>
      <c r="N1719" s="368"/>
      <c r="O1719" s="370"/>
      <c r="T1719" s="340"/>
      <c r="V1719" s="378"/>
      <c r="W1719" s="64" ph="1"/>
      <c r="X1719" s="241"/>
      <c r="Y1719" s="284"/>
      <c r="Z1719" s="207"/>
      <c r="AA1719" s="284"/>
      <c r="AB1719" s="284"/>
      <c r="AC1719" s="284"/>
      <c r="AD1719" s="284"/>
      <c r="AE1719" s="284"/>
      <c r="AF1719" s="284"/>
      <c r="AG1719" s="284"/>
      <c r="AI1719" s="131"/>
    </row>
    <row r="1720" spans="1:35" ht="26.4">
      <c r="A1720" s="284"/>
      <c r="B1720" s="284"/>
      <c r="C1720" s="284"/>
      <c r="D1720" s="284"/>
      <c r="E1720" s="284"/>
      <c r="F1720" s="284"/>
      <c r="G1720" s="284"/>
      <c r="H1720" s="284"/>
      <c r="I1720" s="284"/>
      <c r="J1720" s="375"/>
      <c r="K1720" s="375"/>
      <c r="L1720" s="375"/>
      <c r="M1720" s="368"/>
      <c r="N1720" s="368"/>
      <c r="O1720" s="370"/>
      <c r="T1720" s="340"/>
      <c r="V1720" s="378"/>
      <c r="W1720" s="64" ph="1"/>
      <c r="X1720" s="241"/>
      <c r="Y1720" s="284"/>
      <c r="Z1720" s="207"/>
      <c r="AA1720" s="284"/>
      <c r="AB1720" s="284"/>
      <c r="AC1720" s="284"/>
      <c r="AD1720" s="284"/>
      <c r="AE1720" s="284"/>
      <c r="AF1720" s="284"/>
      <c r="AG1720" s="284"/>
      <c r="AI1720" s="131"/>
    </row>
    <row r="1721" spans="1:35" ht="26.4">
      <c r="A1721" s="284"/>
      <c r="B1721" s="284"/>
      <c r="C1721" s="284"/>
      <c r="D1721" s="284"/>
      <c r="E1721" s="284"/>
      <c r="F1721" s="284"/>
      <c r="G1721" s="284"/>
      <c r="H1721" s="284"/>
      <c r="I1721" s="284"/>
      <c r="J1721" s="375"/>
      <c r="K1721" s="375"/>
      <c r="L1721" s="375"/>
      <c r="M1721" s="368"/>
      <c r="N1721" s="368"/>
      <c r="O1721" s="370"/>
      <c r="T1721" s="340"/>
      <c r="V1721" s="378"/>
      <c r="W1721" s="64" ph="1"/>
      <c r="X1721" s="241"/>
      <c r="Y1721" s="284"/>
      <c r="Z1721" s="207"/>
      <c r="AA1721" s="284"/>
      <c r="AB1721" s="284"/>
      <c r="AC1721" s="284"/>
      <c r="AD1721" s="284"/>
      <c r="AE1721" s="284"/>
      <c r="AF1721" s="284"/>
      <c r="AG1721" s="284"/>
      <c r="AI1721" s="131"/>
    </row>
    <row r="1722" spans="1:35" ht="26.4">
      <c r="A1722" s="284"/>
      <c r="B1722" s="284"/>
      <c r="C1722" s="284"/>
      <c r="D1722" s="284"/>
      <c r="E1722" s="284"/>
      <c r="F1722" s="284"/>
      <c r="G1722" s="284"/>
      <c r="H1722" s="284"/>
      <c r="I1722" s="284"/>
      <c r="J1722" s="375"/>
      <c r="K1722" s="375"/>
      <c r="L1722" s="375"/>
      <c r="M1722" s="368"/>
      <c r="N1722" s="368"/>
      <c r="O1722" s="370"/>
      <c r="T1722" s="340"/>
      <c r="V1722" s="378"/>
      <c r="W1722" s="64" ph="1"/>
      <c r="X1722" s="241"/>
      <c r="Y1722" s="284"/>
      <c r="Z1722" s="207"/>
      <c r="AA1722" s="284"/>
      <c r="AB1722" s="284"/>
      <c r="AC1722" s="284"/>
      <c r="AD1722" s="284"/>
      <c r="AE1722" s="284"/>
      <c r="AF1722" s="284"/>
      <c r="AG1722" s="284"/>
      <c r="AI1722" s="284"/>
    </row>
    <row r="1723" spans="1:35" ht="26.4">
      <c r="A1723" s="284"/>
      <c r="B1723" s="284"/>
      <c r="C1723" s="284"/>
      <c r="D1723" s="284"/>
      <c r="E1723" s="284"/>
      <c r="F1723" s="284"/>
      <c r="G1723" s="284"/>
      <c r="H1723" s="284"/>
      <c r="I1723" s="284"/>
      <c r="J1723" s="375"/>
      <c r="K1723" s="375"/>
      <c r="L1723" s="375"/>
      <c r="M1723" s="368"/>
      <c r="N1723" s="368"/>
      <c r="O1723" s="370"/>
      <c r="T1723" s="340"/>
      <c r="V1723" s="378"/>
      <c r="W1723" s="64" ph="1"/>
      <c r="X1723" s="241"/>
      <c r="Y1723" s="284"/>
      <c r="Z1723" s="207"/>
      <c r="AA1723" s="284"/>
      <c r="AB1723" s="284"/>
      <c r="AC1723" s="284"/>
      <c r="AD1723" s="284"/>
      <c r="AE1723" s="284"/>
      <c r="AF1723" s="284"/>
      <c r="AG1723" s="284"/>
      <c r="AI1723" s="131"/>
    </row>
    <row r="1724" spans="1:35" ht="26.4">
      <c r="A1724" s="284"/>
      <c r="B1724" s="284"/>
      <c r="C1724" s="284"/>
      <c r="D1724" s="284"/>
      <c r="E1724" s="284"/>
      <c r="F1724" s="284"/>
      <c r="G1724" s="284"/>
      <c r="H1724" s="284"/>
      <c r="I1724" s="284"/>
      <c r="J1724" s="375"/>
      <c r="K1724" s="375"/>
      <c r="L1724" s="375"/>
      <c r="M1724" s="368"/>
      <c r="N1724" s="368"/>
      <c r="O1724" s="370"/>
      <c r="T1724" s="340"/>
      <c r="V1724" s="378"/>
      <c r="W1724" s="64" ph="1"/>
      <c r="X1724" s="241"/>
      <c r="Y1724" s="284"/>
      <c r="Z1724" s="207"/>
      <c r="AA1724" s="284"/>
      <c r="AB1724" s="284"/>
      <c r="AC1724" s="284"/>
      <c r="AD1724" s="284"/>
      <c r="AE1724" s="284"/>
      <c r="AF1724" s="284"/>
      <c r="AG1724" s="284"/>
      <c r="AI1724" s="131"/>
    </row>
    <row r="1725" spans="1:35" ht="26.4">
      <c r="A1725" s="284"/>
      <c r="B1725" s="284"/>
      <c r="C1725" s="284"/>
      <c r="D1725" s="284"/>
      <c r="E1725" s="284"/>
      <c r="F1725" s="284"/>
      <c r="G1725" s="284"/>
      <c r="H1725" s="284"/>
      <c r="I1725" s="284"/>
      <c r="J1725" s="375"/>
      <c r="K1725" s="375"/>
      <c r="L1725" s="375"/>
      <c r="M1725" s="368"/>
      <c r="N1725" s="368"/>
      <c r="O1725" s="370"/>
      <c r="T1725" s="340"/>
      <c r="V1725" s="378"/>
      <c r="W1725" s="64" ph="1"/>
      <c r="X1725" s="241"/>
      <c r="Y1725" s="284"/>
      <c r="Z1725" s="207"/>
      <c r="AA1725" s="284"/>
      <c r="AB1725" s="284"/>
      <c r="AC1725" s="284"/>
      <c r="AD1725" s="284"/>
      <c r="AE1725" s="284"/>
      <c r="AF1725" s="284"/>
      <c r="AG1725" s="284"/>
      <c r="AI1725" s="131"/>
    </row>
    <row r="1726" spans="1:35" ht="26.4">
      <c r="A1726" s="284"/>
      <c r="B1726" s="284"/>
      <c r="C1726" s="284"/>
      <c r="D1726" s="284"/>
      <c r="E1726" s="284"/>
      <c r="F1726" s="284"/>
      <c r="G1726" s="284"/>
      <c r="H1726" s="284"/>
      <c r="I1726" s="284"/>
      <c r="J1726" s="375"/>
      <c r="K1726" s="375"/>
      <c r="L1726" s="375"/>
      <c r="M1726" s="368"/>
      <c r="N1726" s="368"/>
      <c r="O1726" s="370"/>
      <c r="T1726" s="340"/>
      <c r="V1726" s="378"/>
      <c r="W1726" s="64" ph="1"/>
      <c r="X1726" s="241"/>
      <c r="Y1726" s="284"/>
      <c r="Z1726" s="207"/>
      <c r="AA1726" s="284"/>
      <c r="AB1726" s="284"/>
      <c r="AC1726" s="284"/>
      <c r="AD1726" s="284"/>
      <c r="AE1726" s="284"/>
      <c r="AF1726" s="284"/>
      <c r="AG1726" s="284"/>
      <c r="AI1726" s="131"/>
    </row>
    <row r="1727" spans="1:35" ht="26.4">
      <c r="A1727" s="284"/>
      <c r="B1727" s="284"/>
      <c r="C1727" s="284"/>
      <c r="D1727" s="284"/>
      <c r="E1727" s="284"/>
      <c r="F1727" s="284"/>
      <c r="G1727" s="284"/>
      <c r="H1727" s="284"/>
      <c r="I1727" s="284"/>
      <c r="J1727" s="375"/>
      <c r="K1727" s="375"/>
      <c r="L1727" s="375"/>
      <c r="M1727" s="368"/>
      <c r="N1727" s="368"/>
      <c r="O1727" s="370"/>
      <c r="T1727" s="340"/>
      <c r="V1727" s="378"/>
      <c r="W1727" s="64" ph="1"/>
      <c r="X1727" s="241"/>
      <c r="Y1727" s="284"/>
      <c r="Z1727" s="207"/>
      <c r="AA1727" s="284"/>
      <c r="AB1727" s="284"/>
      <c r="AC1727" s="284"/>
      <c r="AD1727" s="284"/>
      <c r="AE1727" s="284"/>
      <c r="AF1727" s="284"/>
      <c r="AG1727" s="284"/>
      <c r="AI1727" s="131"/>
    </row>
    <row r="1728" spans="1:35" ht="26.4">
      <c r="A1728" s="284"/>
      <c r="B1728" s="284"/>
      <c r="C1728" s="284"/>
      <c r="D1728" s="284"/>
      <c r="E1728" s="284"/>
      <c r="F1728" s="284"/>
      <c r="G1728" s="284"/>
      <c r="H1728" s="284"/>
      <c r="I1728" s="284"/>
      <c r="J1728" s="375"/>
      <c r="K1728" s="375"/>
      <c r="L1728" s="375"/>
      <c r="M1728" s="368"/>
      <c r="N1728" s="368"/>
      <c r="O1728" s="370"/>
      <c r="T1728" s="340"/>
      <c r="V1728" s="378"/>
      <c r="W1728" s="64" ph="1"/>
      <c r="X1728" s="241"/>
      <c r="Y1728" s="284"/>
      <c r="Z1728" s="207"/>
      <c r="AA1728" s="284"/>
      <c r="AB1728" s="284"/>
      <c r="AC1728" s="284"/>
      <c r="AD1728" s="284"/>
      <c r="AE1728" s="284"/>
      <c r="AF1728" s="284"/>
      <c r="AG1728" s="284"/>
      <c r="AI1728" s="131"/>
    </row>
    <row r="1729" spans="1:35" ht="26.4">
      <c r="A1729" s="284"/>
      <c r="B1729" s="284"/>
      <c r="C1729" s="284"/>
      <c r="D1729" s="284"/>
      <c r="E1729" s="284"/>
      <c r="F1729" s="284"/>
      <c r="G1729" s="284"/>
      <c r="H1729" s="284"/>
      <c r="I1729" s="284"/>
      <c r="J1729" s="375"/>
      <c r="K1729" s="375"/>
      <c r="L1729" s="375"/>
      <c r="M1729" s="368"/>
      <c r="N1729" s="368"/>
      <c r="O1729" s="370"/>
      <c r="T1729" s="340"/>
      <c r="V1729" s="378"/>
      <c r="W1729" s="64" ph="1"/>
      <c r="X1729" s="241"/>
      <c r="Y1729" s="284"/>
      <c r="Z1729" s="207"/>
      <c r="AA1729" s="284"/>
      <c r="AB1729" s="284"/>
      <c r="AC1729" s="284"/>
      <c r="AD1729" s="284"/>
      <c r="AE1729" s="284"/>
      <c r="AF1729" s="284"/>
      <c r="AG1729" s="284"/>
      <c r="AI1729" s="131"/>
    </row>
    <row r="1730" spans="1:35" ht="26.4">
      <c r="A1730" s="284"/>
      <c r="B1730" s="284"/>
      <c r="C1730" s="284"/>
      <c r="D1730" s="284"/>
      <c r="E1730" s="284"/>
      <c r="F1730" s="284"/>
      <c r="G1730" s="284"/>
      <c r="H1730" s="284"/>
      <c r="I1730" s="284"/>
      <c r="J1730" s="375"/>
      <c r="K1730" s="375"/>
      <c r="L1730" s="375"/>
      <c r="M1730" s="368"/>
      <c r="N1730" s="368"/>
      <c r="O1730" s="370"/>
      <c r="T1730" s="340"/>
      <c r="V1730" s="378"/>
      <c r="W1730" s="64" ph="1"/>
      <c r="X1730" s="241"/>
      <c r="Y1730" s="284"/>
      <c r="Z1730" s="207"/>
      <c r="AA1730" s="284"/>
      <c r="AB1730" s="284"/>
      <c r="AC1730" s="284"/>
      <c r="AD1730" s="284"/>
      <c r="AE1730" s="284"/>
      <c r="AF1730" s="284"/>
      <c r="AG1730" s="284"/>
      <c r="AI1730" s="131"/>
    </row>
    <row r="1731" spans="1:35" ht="26.4">
      <c r="A1731" s="284"/>
      <c r="B1731" s="284"/>
      <c r="C1731" s="284"/>
      <c r="D1731" s="284"/>
      <c r="E1731" s="284"/>
      <c r="F1731" s="284"/>
      <c r="G1731" s="284"/>
      <c r="H1731" s="284"/>
      <c r="I1731" s="284"/>
      <c r="J1731" s="375"/>
      <c r="K1731" s="375"/>
      <c r="L1731" s="375"/>
      <c r="M1731" s="368"/>
      <c r="N1731" s="368"/>
      <c r="O1731" s="370"/>
      <c r="T1731" s="340"/>
      <c r="V1731" s="378"/>
      <c r="W1731" s="64" ph="1"/>
      <c r="X1731" s="241"/>
      <c r="Y1731" s="284"/>
      <c r="Z1731" s="207"/>
      <c r="AA1731" s="284"/>
      <c r="AB1731" s="284"/>
      <c r="AC1731" s="284"/>
      <c r="AD1731" s="284"/>
      <c r="AE1731" s="284"/>
      <c r="AF1731" s="284"/>
      <c r="AG1731" s="284"/>
      <c r="AI1731" s="131"/>
    </row>
    <row r="1732" spans="1:35" ht="26.4">
      <c r="A1732" s="284"/>
      <c r="B1732" s="284"/>
      <c r="C1732" s="284"/>
      <c r="D1732" s="284"/>
      <c r="E1732" s="284"/>
      <c r="F1732" s="284"/>
      <c r="G1732" s="284"/>
      <c r="H1732" s="284"/>
      <c r="I1732" s="284"/>
      <c r="J1732" s="375"/>
      <c r="K1732" s="375"/>
      <c r="L1732" s="375"/>
      <c r="M1732" s="368"/>
      <c r="N1732" s="368"/>
      <c r="O1732" s="370"/>
      <c r="T1732" s="340"/>
      <c r="V1732" s="378"/>
      <c r="W1732" s="64" ph="1"/>
      <c r="X1732" s="241"/>
      <c r="Y1732" s="284"/>
      <c r="Z1732" s="207"/>
      <c r="AA1732" s="284"/>
      <c r="AB1732" s="284"/>
      <c r="AC1732" s="284"/>
      <c r="AD1732" s="284"/>
      <c r="AE1732" s="284"/>
      <c r="AF1732" s="284"/>
      <c r="AG1732" s="284"/>
      <c r="AI1732" s="131"/>
    </row>
    <row r="1733" spans="1:35" ht="26.4">
      <c r="A1733" s="284"/>
      <c r="B1733" s="284"/>
      <c r="C1733" s="284"/>
      <c r="D1733" s="284"/>
      <c r="E1733" s="284"/>
      <c r="F1733" s="284"/>
      <c r="G1733" s="284"/>
      <c r="H1733" s="284"/>
      <c r="I1733" s="284"/>
      <c r="J1733" s="375"/>
      <c r="K1733" s="375"/>
      <c r="L1733" s="375"/>
      <c r="M1733" s="368"/>
      <c r="N1733" s="368"/>
      <c r="O1733" s="370"/>
      <c r="T1733" s="340"/>
      <c r="V1733" s="378"/>
      <c r="W1733" s="64" ph="1"/>
      <c r="X1733" s="241"/>
      <c r="Y1733" s="284"/>
      <c r="Z1733" s="207"/>
      <c r="AA1733" s="284"/>
      <c r="AB1733" s="284"/>
      <c r="AC1733" s="284"/>
      <c r="AD1733" s="284"/>
      <c r="AE1733" s="284"/>
      <c r="AF1733" s="284"/>
      <c r="AG1733" s="284"/>
      <c r="AI1733" s="131"/>
    </row>
    <row r="1734" spans="1:35" ht="26.4">
      <c r="A1734" s="284"/>
      <c r="B1734" s="284"/>
      <c r="C1734" s="284"/>
      <c r="D1734" s="284"/>
      <c r="E1734" s="284"/>
      <c r="F1734" s="284"/>
      <c r="G1734" s="284"/>
      <c r="H1734" s="284"/>
      <c r="I1734" s="284"/>
      <c r="J1734" s="375"/>
      <c r="K1734" s="375"/>
      <c r="L1734" s="375"/>
      <c r="M1734" s="368"/>
      <c r="N1734" s="368"/>
      <c r="O1734" s="370"/>
      <c r="T1734" s="340"/>
      <c r="V1734" s="378"/>
      <c r="W1734" s="64" ph="1"/>
      <c r="X1734" s="241"/>
      <c r="Y1734" s="284"/>
      <c r="Z1734" s="207"/>
      <c r="AA1734" s="284"/>
      <c r="AB1734" s="284"/>
      <c r="AC1734" s="284"/>
      <c r="AD1734" s="284"/>
      <c r="AE1734" s="284"/>
      <c r="AF1734" s="284"/>
      <c r="AG1734" s="284"/>
      <c r="AI1734" s="131"/>
    </row>
    <row r="1735" spans="1:35" ht="26.4">
      <c r="A1735" s="284"/>
      <c r="B1735" s="284"/>
      <c r="C1735" s="284"/>
      <c r="D1735" s="284"/>
      <c r="E1735" s="284"/>
      <c r="F1735" s="284"/>
      <c r="G1735" s="284"/>
      <c r="H1735" s="284"/>
      <c r="I1735" s="284"/>
      <c r="J1735" s="375"/>
      <c r="K1735" s="375"/>
      <c r="L1735" s="375"/>
      <c r="M1735" s="368"/>
      <c r="N1735" s="368"/>
      <c r="O1735" s="370"/>
      <c r="T1735" s="340"/>
      <c r="V1735" s="378"/>
      <c r="W1735" s="64" ph="1"/>
      <c r="X1735" s="241"/>
      <c r="Y1735" s="284"/>
      <c r="Z1735" s="207"/>
      <c r="AA1735" s="284"/>
      <c r="AB1735" s="284"/>
      <c r="AC1735" s="284"/>
      <c r="AD1735" s="284"/>
      <c r="AE1735" s="284"/>
      <c r="AF1735" s="284"/>
      <c r="AG1735" s="284"/>
      <c r="AI1735" s="131"/>
    </row>
    <row r="1736" spans="1:35" ht="26.4">
      <c r="A1736" s="284"/>
      <c r="B1736" s="284"/>
      <c r="C1736" s="284"/>
      <c r="D1736" s="284"/>
      <c r="E1736" s="284"/>
      <c r="F1736" s="284"/>
      <c r="G1736" s="284"/>
      <c r="H1736" s="284"/>
      <c r="I1736" s="284"/>
      <c r="J1736" s="375"/>
      <c r="K1736" s="375"/>
      <c r="L1736" s="375"/>
      <c r="M1736" s="368"/>
      <c r="N1736" s="368"/>
      <c r="O1736" s="370"/>
      <c r="T1736" s="340"/>
      <c r="V1736" s="378"/>
      <c r="W1736" s="64" ph="1"/>
      <c r="X1736" s="241"/>
      <c r="Y1736" s="284"/>
      <c r="Z1736" s="207"/>
      <c r="AA1736" s="284"/>
      <c r="AB1736" s="284"/>
      <c r="AC1736" s="284"/>
      <c r="AD1736" s="284"/>
      <c r="AE1736" s="284"/>
      <c r="AF1736" s="284"/>
      <c r="AG1736" s="284"/>
      <c r="AI1736" s="131"/>
    </row>
    <row r="1737" spans="1:35" ht="26.4">
      <c r="A1737" s="284"/>
      <c r="B1737" s="284"/>
      <c r="C1737" s="284"/>
      <c r="D1737" s="284"/>
      <c r="E1737" s="284"/>
      <c r="F1737" s="284"/>
      <c r="G1737" s="284"/>
      <c r="H1737" s="284"/>
      <c r="I1737" s="284"/>
      <c r="J1737" s="375"/>
      <c r="K1737" s="375"/>
      <c r="L1737" s="375"/>
      <c r="M1737" s="368"/>
      <c r="N1737" s="368"/>
      <c r="O1737" s="370"/>
      <c r="T1737" s="340"/>
      <c r="V1737" s="378"/>
      <c r="W1737" s="64" ph="1"/>
      <c r="X1737" s="241"/>
      <c r="Y1737" s="284"/>
      <c r="Z1737" s="207"/>
      <c r="AA1737" s="284"/>
      <c r="AB1737" s="284"/>
      <c r="AC1737" s="284"/>
      <c r="AD1737" s="284"/>
      <c r="AE1737" s="284"/>
      <c r="AF1737" s="284"/>
      <c r="AG1737" s="284"/>
      <c r="AI1737" s="131"/>
    </row>
    <row r="1738" spans="1:35" ht="26.4">
      <c r="A1738" s="284"/>
      <c r="B1738" s="284"/>
      <c r="C1738" s="284"/>
      <c r="D1738" s="284"/>
      <c r="E1738" s="284"/>
      <c r="F1738" s="284"/>
      <c r="G1738" s="284"/>
      <c r="H1738" s="284"/>
      <c r="I1738" s="284"/>
      <c r="J1738" s="375"/>
      <c r="K1738" s="375"/>
      <c r="L1738" s="375"/>
      <c r="M1738" s="368"/>
      <c r="N1738" s="368"/>
      <c r="O1738" s="370"/>
      <c r="T1738" s="340"/>
      <c r="V1738" s="378"/>
      <c r="W1738" s="64" ph="1"/>
      <c r="X1738" s="241"/>
      <c r="Y1738" s="284"/>
      <c r="Z1738" s="207"/>
      <c r="AA1738" s="284"/>
      <c r="AB1738" s="284"/>
      <c r="AC1738" s="284"/>
      <c r="AD1738" s="284"/>
      <c r="AE1738" s="284"/>
      <c r="AF1738" s="284"/>
      <c r="AG1738" s="284"/>
      <c r="AI1738" s="131"/>
    </row>
    <row r="1739" spans="1:35" ht="26.4">
      <c r="A1739" s="284"/>
      <c r="B1739" s="284"/>
      <c r="C1739" s="284"/>
      <c r="D1739" s="284"/>
      <c r="E1739" s="284"/>
      <c r="F1739" s="284"/>
      <c r="G1739" s="284"/>
      <c r="H1739" s="284"/>
      <c r="I1739" s="284"/>
      <c r="J1739" s="375"/>
      <c r="K1739" s="375"/>
      <c r="L1739" s="375"/>
      <c r="M1739" s="368"/>
      <c r="N1739" s="368"/>
      <c r="O1739" s="370"/>
      <c r="T1739" s="340"/>
      <c r="V1739" s="378"/>
      <c r="W1739" s="64" ph="1"/>
      <c r="X1739" s="241"/>
      <c r="Y1739" s="284"/>
      <c r="Z1739" s="207"/>
      <c r="AA1739" s="284"/>
      <c r="AB1739" s="284"/>
      <c r="AC1739" s="284"/>
      <c r="AD1739" s="284"/>
      <c r="AE1739" s="284"/>
      <c r="AF1739" s="284"/>
      <c r="AG1739" s="284"/>
      <c r="AI1739" s="131"/>
    </row>
    <row r="1740" spans="1:35" ht="26.4">
      <c r="A1740" s="284"/>
      <c r="B1740" s="284"/>
      <c r="C1740" s="284"/>
      <c r="D1740" s="284"/>
      <c r="E1740" s="284"/>
      <c r="F1740" s="284"/>
      <c r="G1740" s="284"/>
      <c r="H1740" s="284"/>
      <c r="I1740" s="284"/>
      <c r="J1740" s="375"/>
      <c r="K1740" s="375"/>
      <c r="L1740" s="375"/>
      <c r="M1740" s="368"/>
      <c r="N1740" s="368"/>
      <c r="O1740" s="370"/>
      <c r="T1740" s="340"/>
      <c r="V1740" s="378"/>
      <c r="W1740" s="64" ph="1"/>
      <c r="X1740" s="241"/>
      <c r="Y1740" s="284"/>
      <c r="Z1740" s="207"/>
      <c r="AA1740" s="284"/>
      <c r="AB1740" s="284"/>
      <c r="AC1740" s="284"/>
      <c r="AD1740" s="284"/>
      <c r="AE1740" s="284"/>
      <c r="AF1740" s="284"/>
      <c r="AG1740" s="284"/>
      <c r="AI1740" s="131"/>
    </row>
    <row r="1741" spans="1:35" ht="26.4">
      <c r="A1741" s="284"/>
      <c r="B1741" s="284"/>
      <c r="C1741" s="284"/>
      <c r="D1741" s="284"/>
      <c r="E1741" s="284"/>
      <c r="F1741" s="284"/>
      <c r="G1741" s="284"/>
      <c r="H1741" s="284"/>
      <c r="I1741" s="284"/>
      <c r="J1741" s="375"/>
      <c r="K1741" s="375"/>
      <c r="L1741" s="375"/>
      <c r="M1741" s="368"/>
      <c r="N1741" s="368"/>
      <c r="O1741" s="370"/>
      <c r="T1741" s="340"/>
      <c r="V1741" s="378"/>
      <c r="W1741" s="64" ph="1"/>
      <c r="X1741" s="241"/>
      <c r="Y1741" s="284"/>
      <c r="Z1741" s="207"/>
      <c r="AA1741" s="284"/>
      <c r="AB1741" s="284"/>
      <c r="AC1741" s="284"/>
      <c r="AD1741" s="284"/>
      <c r="AE1741" s="284"/>
      <c r="AF1741" s="284"/>
      <c r="AG1741" s="284"/>
      <c r="AI1741" s="131"/>
    </row>
    <row r="1742" spans="1:35" ht="26.4">
      <c r="A1742" s="284"/>
      <c r="B1742" s="284"/>
      <c r="C1742" s="284"/>
      <c r="D1742" s="284"/>
      <c r="E1742" s="284"/>
      <c r="F1742" s="284"/>
      <c r="G1742" s="284"/>
      <c r="H1742" s="284"/>
      <c r="I1742" s="284"/>
      <c r="J1742" s="375"/>
      <c r="K1742" s="375"/>
      <c r="L1742" s="375"/>
      <c r="M1742" s="368"/>
      <c r="N1742" s="368"/>
      <c r="O1742" s="370"/>
      <c r="T1742" s="340"/>
      <c r="V1742" s="378"/>
      <c r="W1742" s="64" ph="1"/>
      <c r="X1742" s="241"/>
      <c r="Y1742" s="284"/>
      <c r="Z1742" s="207"/>
      <c r="AA1742" s="284"/>
      <c r="AB1742" s="284"/>
      <c r="AC1742" s="284"/>
      <c r="AD1742" s="284"/>
      <c r="AE1742" s="284"/>
      <c r="AF1742" s="284"/>
      <c r="AG1742" s="284"/>
      <c r="AI1742" s="131"/>
    </row>
    <row r="1743" spans="1:35" ht="26.4">
      <c r="A1743" s="284"/>
      <c r="B1743" s="284"/>
      <c r="C1743" s="284"/>
      <c r="D1743" s="284"/>
      <c r="E1743" s="284"/>
      <c r="F1743" s="284"/>
      <c r="G1743" s="284"/>
      <c r="H1743" s="284"/>
      <c r="I1743" s="284"/>
      <c r="J1743" s="375"/>
      <c r="K1743" s="375"/>
      <c r="L1743" s="375"/>
      <c r="M1743" s="368"/>
      <c r="N1743" s="368"/>
      <c r="O1743" s="370"/>
      <c r="T1743" s="340"/>
      <c r="V1743" s="378"/>
      <c r="W1743" s="64" ph="1"/>
      <c r="X1743" s="241"/>
      <c r="Y1743" s="284"/>
      <c r="Z1743" s="207"/>
      <c r="AA1743" s="284"/>
      <c r="AB1743" s="284"/>
      <c r="AC1743" s="284"/>
      <c r="AD1743" s="284"/>
      <c r="AE1743" s="284"/>
      <c r="AF1743" s="284"/>
      <c r="AG1743" s="284"/>
      <c r="AI1743" s="131"/>
    </row>
    <row r="1744" spans="1:35" ht="26.4">
      <c r="A1744" s="284"/>
      <c r="B1744" s="284"/>
      <c r="C1744" s="284"/>
      <c r="D1744" s="284"/>
      <c r="E1744" s="284"/>
      <c r="F1744" s="284"/>
      <c r="G1744" s="284"/>
      <c r="H1744" s="284"/>
      <c r="I1744" s="284"/>
      <c r="J1744" s="375"/>
      <c r="K1744" s="375"/>
      <c r="L1744" s="375"/>
      <c r="M1744" s="368"/>
      <c r="N1744" s="368"/>
      <c r="O1744" s="370"/>
      <c r="T1744" s="340"/>
      <c r="V1744" s="378"/>
      <c r="W1744" s="64" ph="1"/>
      <c r="X1744" s="241"/>
      <c r="Y1744" s="284"/>
      <c r="Z1744" s="207"/>
      <c r="AA1744" s="284"/>
      <c r="AB1744" s="284"/>
      <c r="AC1744" s="284"/>
      <c r="AD1744" s="284"/>
      <c r="AE1744" s="284"/>
      <c r="AF1744" s="284"/>
      <c r="AG1744" s="284"/>
      <c r="AI1744" s="131"/>
    </row>
    <row r="1745" spans="1:35" ht="26.4">
      <c r="A1745" s="284"/>
      <c r="B1745" s="284"/>
      <c r="C1745" s="284"/>
      <c r="D1745" s="284"/>
      <c r="E1745" s="284"/>
      <c r="F1745" s="284"/>
      <c r="G1745" s="284"/>
      <c r="H1745" s="284"/>
      <c r="I1745" s="284"/>
      <c r="J1745" s="375"/>
      <c r="K1745" s="375"/>
      <c r="L1745" s="375"/>
      <c r="M1745" s="368"/>
      <c r="N1745" s="368"/>
      <c r="O1745" s="370"/>
      <c r="T1745" s="340"/>
      <c r="V1745" s="378"/>
      <c r="W1745" s="64" ph="1"/>
      <c r="X1745" s="241"/>
      <c r="Y1745" s="284"/>
      <c r="Z1745" s="207"/>
      <c r="AA1745" s="284"/>
      <c r="AB1745" s="284"/>
      <c r="AC1745" s="284"/>
      <c r="AD1745" s="284"/>
      <c r="AE1745" s="284"/>
      <c r="AF1745" s="284"/>
      <c r="AG1745" s="284"/>
      <c r="AI1745" s="131"/>
    </row>
    <row r="1746" spans="1:35" ht="26.4">
      <c r="A1746" s="284"/>
      <c r="B1746" s="284"/>
      <c r="C1746" s="284"/>
      <c r="D1746" s="284"/>
      <c r="E1746" s="284"/>
      <c r="F1746" s="284"/>
      <c r="G1746" s="284"/>
      <c r="H1746" s="284"/>
      <c r="I1746" s="284"/>
      <c r="J1746" s="375"/>
      <c r="K1746" s="375"/>
      <c r="L1746" s="375"/>
      <c r="M1746" s="368"/>
      <c r="N1746" s="368"/>
      <c r="O1746" s="370"/>
      <c r="T1746" s="340"/>
      <c r="V1746" s="378"/>
      <c r="W1746" s="64" ph="1"/>
      <c r="X1746" s="241"/>
      <c r="Y1746" s="284"/>
      <c r="Z1746" s="207"/>
      <c r="AA1746" s="284"/>
      <c r="AB1746" s="284"/>
      <c r="AC1746" s="284"/>
      <c r="AD1746" s="284"/>
      <c r="AE1746" s="284"/>
      <c r="AF1746" s="284"/>
      <c r="AG1746" s="284"/>
      <c r="AI1746" s="131"/>
    </row>
    <row r="1747" spans="1:35" ht="26.4">
      <c r="A1747" s="284"/>
      <c r="B1747" s="284"/>
      <c r="C1747" s="284"/>
      <c r="D1747" s="284"/>
      <c r="E1747" s="284"/>
      <c r="F1747" s="284"/>
      <c r="G1747" s="284"/>
      <c r="H1747" s="284"/>
      <c r="I1747" s="284"/>
      <c r="J1747" s="375"/>
      <c r="K1747" s="375"/>
      <c r="L1747" s="375"/>
      <c r="M1747" s="368"/>
      <c r="N1747" s="368"/>
      <c r="O1747" s="370"/>
      <c r="T1747" s="340"/>
      <c r="V1747" s="378"/>
      <c r="W1747" s="64" ph="1"/>
      <c r="X1747" s="241"/>
      <c r="Y1747" s="284"/>
      <c r="Z1747" s="207"/>
      <c r="AA1747" s="284"/>
      <c r="AB1747" s="284"/>
      <c r="AC1747" s="284"/>
      <c r="AD1747" s="284"/>
      <c r="AE1747" s="284"/>
      <c r="AF1747" s="284"/>
      <c r="AG1747" s="284"/>
      <c r="AI1747" s="131"/>
    </row>
    <row r="1748" spans="1:35" ht="26.4">
      <c r="A1748" s="284"/>
      <c r="B1748" s="284"/>
      <c r="C1748" s="284"/>
      <c r="D1748" s="284"/>
      <c r="E1748" s="284"/>
      <c r="F1748" s="284"/>
      <c r="G1748" s="284"/>
      <c r="H1748" s="284"/>
      <c r="I1748" s="284"/>
      <c r="J1748" s="375"/>
      <c r="K1748" s="375"/>
      <c r="L1748" s="375"/>
      <c r="M1748" s="368"/>
      <c r="N1748" s="368"/>
      <c r="O1748" s="370"/>
      <c r="T1748" s="340"/>
      <c r="V1748" s="378"/>
      <c r="W1748" s="64" ph="1"/>
      <c r="X1748" s="241"/>
      <c r="Y1748" s="284"/>
      <c r="Z1748" s="207"/>
      <c r="AA1748" s="284"/>
      <c r="AB1748" s="284"/>
      <c r="AC1748" s="284"/>
      <c r="AD1748" s="284"/>
      <c r="AE1748" s="284"/>
      <c r="AF1748" s="284"/>
      <c r="AG1748" s="284"/>
      <c r="AI1748" s="131"/>
    </row>
    <row r="1749" spans="1:35" ht="26.4">
      <c r="A1749" s="284"/>
      <c r="B1749" s="284"/>
      <c r="C1749" s="284"/>
      <c r="D1749" s="284"/>
      <c r="E1749" s="284"/>
      <c r="F1749" s="284"/>
      <c r="G1749" s="284"/>
      <c r="H1749" s="284"/>
      <c r="I1749" s="284"/>
      <c r="J1749" s="375"/>
      <c r="K1749" s="375"/>
      <c r="L1749" s="375"/>
      <c r="M1749" s="368"/>
      <c r="N1749" s="368"/>
      <c r="O1749" s="370"/>
      <c r="T1749" s="340"/>
      <c r="V1749" s="378"/>
      <c r="W1749" s="64" ph="1"/>
      <c r="X1749" s="241"/>
      <c r="Y1749" s="284"/>
      <c r="Z1749" s="207"/>
      <c r="AA1749" s="284"/>
      <c r="AB1749" s="284"/>
      <c r="AC1749" s="284"/>
      <c r="AD1749" s="284"/>
      <c r="AE1749" s="284"/>
      <c r="AF1749" s="284"/>
      <c r="AG1749" s="284"/>
      <c r="AI1749" s="131"/>
    </row>
    <row r="1750" spans="1:35" ht="26.4">
      <c r="A1750" s="284"/>
      <c r="B1750" s="284"/>
      <c r="C1750" s="284"/>
      <c r="D1750" s="284"/>
      <c r="E1750" s="284"/>
      <c r="F1750" s="284"/>
      <c r="G1750" s="284"/>
      <c r="H1750" s="284"/>
      <c r="I1750" s="284"/>
      <c r="J1750" s="375"/>
      <c r="K1750" s="375"/>
      <c r="L1750" s="375"/>
      <c r="M1750" s="368"/>
      <c r="N1750" s="368"/>
      <c r="O1750" s="370"/>
      <c r="T1750" s="340"/>
      <c r="V1750" s="378"/>
      <c r="W1750" s="64" ph="1"/>
      <c r="X1750" s="241"/>
      <c r="Y1750" s="284"/>
      <c r="Z1750" s="207"/>
      <c r="AA1750" s="284"/>
      <c r="AB1750" s="284"/>
      <c r="AC1750" s="284"/>
      <c r="AD1750" s="284"/>
      <c r="AE1750" s="284"/>
      <c r="AF1750" s="284"/>
      <c r="AG1750" s="284"/>
      <c r="AI1750" s="131"/>
    </row>
    <row r="1751" spans="1:35" ht="26.4">
      <c r="A1751" s="284"/>
      <c r="B1751" s="284"/>
      <c r="C1751" s="284"/>
      <c r="D1751" s="284"/>
      <c r="E1751" s="284"/>
      <c r="F1751" s="284"/>
      <c r="G1751" s="284"/>
      <c r="H1751" s="284"/>
      <c r="I1751" s="284"/>
      <c r="J1751" s="375"/>
      <c r="K1751" s="375"/>
      <c r="L1751" s="375"/>
      <c r="M1751" s="368"/>
      <c r="N1751" s="368"/>
      <c r="O1751" s="370"/>
      <c r="T1751" s="340"/>
      <c r="V1751" s="378"/>
      <c r="W1751" s="64" ph="1"/>
      <c r="X1751" s="241"/>
      <c r="Y1751" s="284"/>
      <c r="Z1751" s="207"/>
      <c r="AA1751" s="284"/>
      <c r="AB1751" s="284"/>
      <c r="AC1751" s="284"/>
      <c r="AD1751" s="284"/>
      <c r="AE1751" s="284"/>
      <c r="AF1751" s="284"/>
      <c r="AG1751" s="284"/>
      <c r="AI1751" s="131"/>
    </row>
    <row r="1752" spans="1:35" ht="26.4">
      <c r="A1752" s="284"/>
      <c r="B1752" s="284"/>
      <c r="C1752" s="284"/>
      <c r="D1752" s="284"/>
      <c r="E1752" s="284"/>
      <c r="F1752" s="284"/>
      <c r="G1752" s="284"/>
      <c r="H1752" s="284"/>
      <c r="I1752" s="284"/>
      <c r="J1752" s="375"/>
      <c r="K1752" s="375"/>
      <c r="L1752" s="375"/>
      <c r="M1752" s="368"/>
      <c r="N1752" s="368"/>
      <c r="O1752" s="370"/>
      <c r="T1752" s="340"/>
      <c r="V1752" s="378"/>
      <c r="W1752" s="64" ph="1"/>
      <c r="X1752" s="241"/>
      <c r="Y1752" s="284"/>
      <c r="Z1752" s="207"/>
      <c r="AA1752" s="284"/>
      <c r="AB1752" s="284"/>
      <c r="AC1752" s="284"/>
      <c r="AD1752" s="284"/>
      <c r="AE1752" s="284"/>
      <c r="AF1752" s="284"/>
      <c r="AG1752" s="284"/>
      <c r="AI1752" s="131"/>
    </row>
    <row r="1753" spans="1:35" ht="26.4">
      <c r="A1753" s="284"/>
      <c r="B1753" s="284"/>
      <c r="C1753" s="284"/>
      <c r="D1753" s="284"/>
      <c r="E1753" s="284"/>
      <c r="F1753" s="284"/>
      <c r="G1753" s="284"/>
      <c r="H1753" s="284"/>
      <c r="I1753" s="284"/>
      <c r="J1753" s="375"/>
      <c r="K1753" s="375"/>
      <c r="L1753" s="375"/>
      <c r="M1753" s="368"/>
      <c r="N1753" s="368"/>
      <c r="O1753" s="370"/>
      <c r="T1753" s="340"/>
      <c r="V1753" s="378"/>
      <c r="W1753" s="64" ph="1"/>
      <c r="X1753" s="241"/>
      <c r="Y1753" s="284"/>
      <c r="Z1753" s="207"/>
      <c r="AA1753" s="284"/>
      <c r="AB1753" s="284"/>
      <c r="AC1753" s="284"/>
      <c r="AD1753" s="284"/>
      <c r="AE1753" s="284"/>
      <c r="AF1753" s="284"/>
      <c r="AG1753" s="284"/>
      <c r="AI1753" s="131"/>
    </row>
    <row r="1754" spans="1:35" ht="26.4">
      <c r="A1754" s="284"/>
      <c r="B1754" s="284"/>
      <c r="C1754" s="284"/>
      <c r="D1754" s="284"/>
      <c r="E1754" s="284"/>
      <c r="F1754" s="284"/>
      <c r="G1754" s="284"/>
      <c r="H1754" s="284"/>
      <c r="I1754" s="284"/>
      <c r="J1754" s="375"/>
      <c r="K1754" s="375"/>
      <c r="L1754" s="375"/>
      <c r="M1754" s="368"/>
      <c r="N1754" s="368"/>
      <c r="O1754" s="370"/>
      <c r="T1754" s="340"/>
      <c r="V1754" s="378"/>
      <c r="W1754" s="64" ph="1"/>
      <c r="X1754" s="241"/>
      <c r="Y1754" s="284"/>
      <c r="Z1754" s="207"/>
      <c r="AA1754" s="284"/>
      <c r="AB1754" s="284"/>
      <c r="AC1754" s="284"/>
      <c r="AD1754" s="284"/>
      <c r="AE1754" s="284"/>
      <c r="AF1754" s="284"/>
      <c r="AG1754" s="284"/>
      <c r="AI1754" s="131"/>
    </row>
    <row r="1755" spans="1:35" ht="26.4">
      <c r="A1755" s="284"/>
      <c r="B1755" s="284"/>
      <c r="C1755" s="284"/>
      <c r="D1755" s="284"/>
      <c r="E1755" s="284"/>
      <c r="F1755" s="284"/>
      <c r="G1755" s="284"/>
      <c r="H1755" s="284"/>
      <c r="I1755" s="284"/>
      <c r="J1755" s="375"/>
      <c r="K1755" s="375"/>
      <c r="L1755" s="375"/>
      <c r="M1755" s="368"/>
      <c r="N1755" s="368"/>
      <c r="O1755" s="370"/>
      <c r="T1755" s="340"/>
      <c r="V1755" s="378"/>
      <c r="W1755" s="64" ph="1"/>
      <c r="X1755" s="241"/>
      <c r="Y1755" s="284"/>
      <c r="Z1755" s="207"/>
      <c r="AA1755" s="284"/>
      <c r="AB1755" s="284"/>
      <c r="AC1755" s="284"/>
      <c r="AD1755" s="284"/>
      <c r="AE1755" s="284"/>
      <c r="AF1755" s="284"/>
      <c r="AG1755" s="284"/>
      <c r="AI1755" s="131"/>
    </row>
    <row r="1756" spans="1:35" ht="26.4">
      <c r="A1756" s="284"/>
      <c r="B1756" s="284"/>
      <c r="C1756" s="284"/>
      <c r="D1756" s="284"/>
      <c r="E1756" s="284"/>
      <c r="F1756" s="284"/>
      <c r="G1756" s="284"/>
      <c r="H1756" s="284"/>
      <c r="I1756" s="284"/>
      <c r="J1756" s="375"/>
      <c r="K1756" s="375"/>
      <c r="L1756" s="375"/>
      <c r="M1756" s="368"/>
      <c r="N1756" s="368"/>
      <c r="O1756" s="370"/>
      <c r="T1756" s="340"/>
      <c r="V1756" s="378"/>
      <c r="W1756" s="64" ph="1"/>
      <c r="X1756" s="241"/>
      <c r="Y1756" s="284"/>
      <c r="Z1756" s="207"/>
      <c r="AA1756" s="284"/>
      <c r="AB1756" s="284"/>
      <c r="AC1756" s="284"/>
      <c r="AD1756" s="284"/>
      <c r="AE1756" s="284"/>
      <c r="AF1756" s="284"/>
      <c r="AG1756" s="284"/>
      <c r="AI1756" s="131"/>
    </row>
    <row r="1757" spans="1:35" ht="26.4">
      <c r="A1757" s="284"/>
      <c r="B1757" s="284"/>
      <c r="C1757" s="284"/>
      <c r="D1757" s="284"/>
      <c r="E1757" s="284"/>
      <c r="F1757" s="284"/>
      <c r="G1757" s="284"/>
      <c r="H1757" s="284"/>
      <c r="I1757" s="284"/>
      <c r="J1757" s="375"/>
      <c r="K1757" s="375"/>
      <c r="L1757" s="375"/>
      <c r="M1757" s="368"/>
      <c r="N1757" s="368"/>
      <c r="O1757" s="370"/>
      <c r="T1757" s="340"/>
      <c r="V1757" s="378"/>
      <c r="W1757" s="64" ph="1"/>
      <c r="X1757" s="241"/>
      <c r="Y1757" s="284"/>
      <c r="Z1757" s="207"/>
      <c r="AA1757" s="284"/>
      <c r="AB1757" s="284"/>
      <c r="AC1757" s="284"/>
      <c r="AD1757" s="284"/>
      <c r="AE1757" s="284"/>
      <c r="AF1757" s="284"/>
      <c r="AG1757" s="284"/>
      <c r="AI1757" s="131"/>
    </row>
    <row r="1758" spans="1:35" ht="26.4">
      <c r="A1758" s="284"/>
      <c r="B1758" s="284"/>
      <c r="C1758" s="284"/>
      <c r="D1758" s="284"/>
      <c r="E1758" s="284"/>
      <c r="F1758" s="284"/>
      <c r="G1758" s="284"/>
      <c r="H1758" s="284"/>
      <c r="I1758" s="284"/>
      <c r="J1758" s="375"/>
      <c r="K1758" s="375"/>
      <c r="L1758" s="375"/>
      <c r="M1758" s="368"/>
      <c r="N1758" s="368"/>
      <c r="O1758" s="370"/>
      <c r="T1758" s="340"/>
      <c r="V1758" s="378"/>
      <c r="W1758" s="64" ph="1"/>
      <c r="X1758" s="241"/>
      <c r="Y1758" s="284"/>
      <c r="Z1758" s="207"/>
      <c r="AA1758" s="284"/>
      <c r="AB1758" s="284"/>
      <c r="AC1758" s="284"/>
      <c r="AD1758" s="284"/>
      <c r="AE1758" s="284"/>
      <c r="AF1758" s="284"/>
      <c r="AG1758" s="284"/>
      <c r="AI1758" s="131"/>
    </row>
    <row r="1759" spans="1:35" ht="26.4">
      <c r="A1759" s="284"/>
      <c r="B1759" s="284"/>
      <c r="C1759" s="284"/>
      <c r="D1759" s="284"/>
      <c r="E1759" s="284"/>
      <c r="F1759" s="284"/>
      <c r="G1759" s="284"/>
      <c r="H1759" s="284"/>
      <c r="I1759" s="284"/>
      <c r="J1759" s="375"/>
      <c r="K1759" s="375"/>
      <c r="L1759" s="375"/>
      <c r="M1759" s="368"/>
      <c r="N1759" s="368"/>
      <c r="O1759" s="370"/>
      <c r="T1759" s="340"/>
      <c r="V1759" s="378"/>
      <c r="W1759" s="64" ph="1"/>
      <c r="X1759" s="241"/>
      <c r="Y1759" s="284"/>
      <c r="Z1759" s="207"/>
      <c r="AA1759" s="284"/>
      <c r="AB1759" s="284"/>
      <c r="AC1759" s="284"/>
      <c r="AD1759" s="284"/>
      <c r="AE1759" s="284"/>
      <c r="AF1759" s="284"/>
      <c r="AG1759" s="284"/>
      <c r="AI1759" s="131"/>
    </row>
    <row r="1760" spans="1:35" ht="26.4">
      <c r="A1760" s="284"/>
      <c r="B1760" s="284"/>
      <c r="C1760" s="284"/>
      <c r="D1760" s="284"/>
      <c r="E1760" s="284"/>
      <c r="F1760" s="284"/>
      <c r="G1760" s="284"/>
      <c r="H1760" s="284"/>
      <c r="I1760" s="284"/>
      <c r="J1760" s="375"/>
      <c r="K1760" s="375"/>
      <c r="L1760" s="375"/>
      <c r="M1760" s="368"/>
      <c r="N1760" s="368"/>
      <c r="O1760" s="370"/>
      <c r="T1760" s="340"/>
      <c r="V1760" s="378"/>
      <c r="W1760" s="64" ph="1"/>
      <c r="X1760" s="241"/>
      <c r="Y1760" s="284"/>
      <c r="Z1760" s="207"/>
      <c r="AA1760" s="284"/>
      <c r="AB1760" s="284"/>
      <c r="AC1760" s="284"/>
      <c r="AD1760" s="284"/>
      <c r="AE1760" s="284"/>
      <c r="AF1760" s="284"/>
      <c r="AG1760" s="284"/>
      <c r="AI1760" s="131"/>
    </row>
    <row r="1761" spans="1:35" ht="26.4">
      <c r="A1761" s="284"/>
      <c r="B1761" s="284"/>
      <c r="C1761" s="284"/>
      <c r="D1761" s="284"/>
      <c r="E1761" s="284"/>
      <c r="F1761" s="284"/>
      <c r="G1761" s="284"/>
      <c r="H1761" s="284"/>
      <c r="I1761" s="284"/>
      <c r="J1761" s="375"/>
      <c r="K1761" s="375"/>
      <c r="L1761" s="375"/>
      <c r="M1761" s="368"/>
      <c r="N1761" s="368"/>
      <c r="O1761" s="370"/>
      <c r="T1761" s="340"/>
      <c r="V1761" s="378"/>
      <c r="W1761" s="64" ph="1"/>
      <c r="X1761" s="241"/>
      <c r="Y1761" s="284"/>
      <c r="Z1761" s="207"/>
      <c r="AA1761" s="284"/>
      <c r="AB1761" s="284"/>
      <c r="AC1761" s="284"/>
      <c r="AD1761" s="284"/>
      <c r="AE1761" s="284"/>
      <c r="AF1761" s="284"/>
      <c r="AG1761" s="284"/>
      <c r="AI1761" s="131"/>
    </row>
    <row r="1762" spans="1:35" ht="26.4">
      <c r="A1762" s="284"/>
      <c r="B1762" s="284"/>
      <c r="C1762" s="284"/>
      <c r="D1762" s="284"/>
      <c r="E1762" s="284"/>
      <c r="F1762" s="284"/>
      <c r="G1762" s="284"/>
      <c r="H1762" s="284"/>
      <c r="I1762" s="284"/>
      <c r="J1762" s="375"/>
      <c r="K1762" s="375"/>
      <c r="L1762" s="375"/>
      <c r="M1762" s="368"/>
      <c r="N1762" s="368"/>
      <c r="O1762" s="370"/>
      <c r="T1762" s="340"/>
      <c r="V1762" s="378"/>
      <c r="W1762" s="64" ph="1"/>
      <c r="X1762" s="241"/>
      <c r="Y1762" s="284"/>
      <c r="Z1762" s="207"/>
      <c r="AA1762" s="284"/>
      <c r="AB1762" s="284"/>
      <c r="AC1762" s="284"/>
      <c r="AD1762" s="284"/>
      <c r="AE1762" s="284"/>
      <c r="AF1762" s="284"/>
      <c r="AG1762" s="284"/>
      <c r="AI1762" s="131"/>
    </row>
    <row r="1763" spans="1:35" ht="26.4">
      <c r="A1763" s="284"/>
      <c r="B1763" s="284"/>
      <c r="C1763" s="284"/>
      <c r="D1763" s="284"/>
      <c r="E1763" s="284"/>
      <c r="F1763" s="284"/>
      <c r="G1763" s="284"/>
      <c r="H1763" s="284"/>
      <c r="I1763" s="284"/>
      <c r="J1763" s="375"/>
      <c r="K1763" s="375"/>
      <c r="L1763" s="375"/>
      <c r="M1763" s="368"/>
      <c r="N1763" s="368"/>
      <c r="O1763" s="370"/>
      <c r="T1763" s="340"/>
      <c r="V1763" s="378"/>
      <c r="W1763" s="64" ph="1"/>
      <c r="X1763" s="241"/>
      <c r="Y1763" s="284"/>
      <c r="Z1763" s="207"/>
      <c r="AA1763" s="284"/>
      <c r="AB1763" s="284"/>
      <c r="AC1763" s="284"/>
      <c r="AD1763" s="284"/>
      <c r="AE1763" s="284"/>
      <c r="AF1763" s="284"/>
      <c r="AG1763" s="284"/>
      <c r="AI1763" s="131"/>
    </row>
    <row r="1764" spans="1:35" ht="26.4">
      <c r="A1764" s="284"/>
      <c r="B1764" s="284"/>
      <c r="C1764" s="284"/>
      <c r="D1764" s="284"/>
      <c r="E1764" s="284"/>
      <c r="F1764" s="284"/>
      <c r="G1764" s="284"/>
      <c r="H1764" s="284"/>
      <c r="I1764" s="284"/>
      <c r="J1764" s="375"/>
      <c r="K1764" s="375"/>
      <c r="L1764" s="375"/>
      <c r="M1764" s="368"/>
      <c r="N1764" s="368"/>
      <c r="O1764" s="370"/>
      <c r="T1764" s="340"/>
      <c r="V1764" s="378"/>
      <c r="W1764" s="64" ph="1"/>
      <c r="X1764" s="241"/>
      <c r="Y1764" s="284"/>
      <c r="Z1764" s="207"/>
      <c r="AA1764" s="284"/>
      <c r="AB1764" s="284"/>
      <c r="AC1764" s="284"/>
      <c r="AD1764" s="284"/>
      <c r="AE1764" s="284"/>
      <c r="AF1764" s="284"/>
      <c r="AG1764" s="284"/>
      <c r="AI1764" s="131"/>
    </row>
    <row r="1765" spans="1:35" ht="26.4">
      <c r="A1765" s="284"/>
      <c r="B1765" s="284"/>
      <c r="C1765" s="284"/>
      <c r="D1765" s="284"/>
      <c r="E1765" s="284"/>
      <c r="F1765" s="284"/>
      <c r="G1765" s="284"/>
      <c r="H1765" s="284"/>
      <c r="I1765" s="284"/>
      <c r="J1765" s="375"/>
      <c r="K1765" s="375"/>
      <c r="L1765" s="375"/>
      <c r="M1765" s="368"/>
      <c r="N1765" s="368"/>
      <c r="O1765" s="370"/>
      <c r="T1765" s="340"/>
      <c r="V1765" s="378"/>
      <c r="W1765" s="64" ph="1"/>
      <c r="X1765" s="241"/>
      <c r="Y1765" s="284"/>
      <c r="Z1765" s="207"/>
      <c r="AA1765" s="284"/>
      <c r="AB1765" s="284"/>
      <c r="AC1765" s="284"/>
      <c r="AD1765" s="284"/>
      <c r="AE1765" s="284"/>
      <c r="AF1765" s="284"/>
      <c r="AG1765" s="284"/>
      <c r="AI1765" s="284"/>
    </row>
    <row r="1766" spans="1:35" ht="26.4">
      <c r="A1766" s="284"/>
      <c r="B1766" s="284"/>
      <c r="C1766" s="284"/>
      <c r="D1766" s="284"/>
      <c r="E1766" s="284"/>
      <c r="F1766" s="284"/>
      <c r="G1766" s="284"/>
      <c r="H1766" s="284"/>
      <c r="I1766" s="284"/>
      <c r="J1766" s="375"/>
      <c r="K1766" s="375"/>
      <c r="L1766" s="375"/>
      <c r="M1766" s="368"/>
      <c r="N1766" s="368"/>
      <c r="O1766" s="370"/>
      <c r="T1766" s="340"/>
      <c r="V1766" s="378"/>
      <c r="W1766" s="64" ph="1"/>
      <c r="X1766" s="241"/>
      <c r="Y1766" s="284"/>
      <c r="Z1766" s="207"/>
      <c r="AA1766" s="284"/>
      <c r="AB1766" s="284"/>
      <c r="AC1766" s="284"/>
      <c r="AD1766" s="284"/>
      <c r="AE1766" s="284"/>
      <c r="AF1766" s="284"/>
      <c r="AG1766" s="284"/>
      <c r="AI1766" s="284"/>
    </row>
    <row r="1767" spans="1:35" ht="26.4">
      <c r="A1767" s="284"/>
      <c r="B1767" s="284"/>
      <c r="C1767" s="284"/>
      <c r="D1767" s="284"/>
      <c r="E1767" s="284"/>
      <c r="F1767" s="284"/>
      <c r="G1767" s="284"/>
      <c r="H1767" s="284"/>
      <c r="I1767" s="284"/>
      <c r="J1767" s="375"/>
      <c r="K1767" s="375"/>
      <c r="L1767" s="375"/>
      <c r="M1767" s="368"/>
      <c r="N1767" s="368"/>
      <c r="O1767" s="370"/>
      <c r="T1767" s="340"/>
      <c r="V1767" s="378"/>
      <c r="W1767" s="64" ph="1"/>
      <c r="X1767" s="241"/>
      <c r="Y1767" s="284"/>
      <c r="Z1767" s="207"/>
      <c r="AA1767" s="284"/>
      <c r="AB1767" s="284"/>
      <c r="AC1767" s="284"/>
      <c r="AD1767" s="284"/>
      <c r="AE1767" s="284"/>
      <c r="AF1767" s="284"/>
      <c r="AG1767" s="284"/>
      <c r="AI1767" s="131"/>
    </row>
    <row r="1768" spans="1:35" ht="26.4">
      <c r="A1768" s="284"/>
      <c r="B1768" s="284"/>
      <c r="C1768" s="284"/>
      <c r="D1768" s="284"/>
      <c r="E1768" s="284"/>
      <c r="F1768" s="284"/>
      <c r="G1768" s="284"/>
      <c r="H1768" s="284"/>
      <c r="I1768" s="284"/>
      <c r="J1768" s="375"/>
      <c r="K1768" s="375"/>
      <c r="L1768" s="375"/>
      <c r="M1768" s="368"/>
      <c r="N1768" s="368"/>
      <c r="O1768" s="370"/>
      <c r="T1768" s="340"/>
      <c r="V1768" s="378"/>
      <c r="W1768" s="64" ph="1"/>
      <c r="X1768" s="241"/>
      <c r="Y1768" s="284"/>
      <c r="Z1768" s="207"/>
      <c r="AA1768" s="284"/>
      <c r="AB1768" s="284"/>
      <c r="AC1768" s="284"/>
      <c r="AD1768" s="284"/>
      <c r="AE1768" s="284"/>
      <c r="AF1768" s="284"/>
      <c r="AG1768" s="284"/>
      <c r="AI1768" s="131"/>
    </row>
    <row r="1769" spans="1:35" ht="26.4">
      <c r="A1769" s="284"/>
      <c r="B1769" s="284"/>
      <c r="C1769" s="284"/>
      <c r="D1769" s="284"/>
      <c r="E1769" s="284"/>
      <c r="F1769" s="284"/>
      <c r="G1769" s="284"/>
      <c r="H1769" s="284"/>
      <c r="I1769" s="284"/>
      <c r="J1769" s="375"/>
      <c r="K1769" s="375"/>
      <c r="L1769" s="375"/>
      <c r="M1769" s="368"/>
      <c r="N1769" s="368"/>
      <c r="O1769" s="370"/>
      <c r="T1769" s="340"/>
      <c r="V1769" s="378"/>
      <c r="W1769" s="64" ph="1"/>
      <c r="X1769" s="241"/>
      <c r="Y1769" s="284"/>
      <c r="Z1769" s="207"/>
      <c r="AA1769" s="284"/>
      <c r="AB1769" s="284"/>
      <c r="AC1769" s="284"/>
      <c r="AD1769" s="284"/>
      <c r="AE1769" s="284"/>
      <c r="AF1769" s="284"/>
      <c r="AG1769" s="284"/>
      <c r="AI1769" s="131"/>
    </row>
    <row r="1770" spans="1:35" ht="26.4">
      <c r="A1770" s="284"/>
      <c r="B1770" s="284"/>
      <c r="C1770" s="284"/>
      <c r="D1770" s="284"/>
      <c r="E1770" s="284"/>
      <c r="F1770" s="284"/>
      <c r="G1770" s="284"/>
      <c r="H1770" s="284"/>
      <c r="I1770" s="284"/>
      <c r="J1770" s="375"/>
      <c r="K1770" s="375"/>
      <c r="L1770" s="375"/>
      <c r="M1770" s="368"/>
      <c r="N1770" s="368"/>
      <c r="O1770" s="370"/>
      <c r="T1770" s="340"/>
      <c r="V1770" s="378"/>
      <c r="W1770" s="64" ph="1"/>
      <c r="X1770" s="241"/>
      <c r="Y1770" s="284"/>
      <c r="Z1770" s="207"/>
      <c r="AA1770" s="284"/>
      <c r="AB1770" s="284"/>
      <c r="AC1770" s="284"/>
      <c r="AD1770" s="284"/>
      <c r="AE1770" s="284"/>
      <c r="AF1770" s="284"/>
      <c r="AG1770" s="284"/>
      <c r="AI1770" s="131"/>
    </row>
    <row r="1771" spans="1:35" ht="26.4">
      <c r="A1771" s="284"/>
      <c r="B1771" s="284"/>
      <c r="C1771" s="284"/>
      <c r="D1771" s="284"/>
      <c r="E1771" s="284"/>
      <c r="F1771" s="284"/>
      <c r="G1771" s="284"/>
      <c r="H1771" s="284"/>
      <c r="I1771" s="284"/>
      <c r="J1771" s="375"/>
      <c r="K1771" s="375"/>
      <c r="L1771" s="375"/>
      <c r="M1771" s="368"/>
      <c r="N1771" s="368"/>
      <c r="O1771" s="370"/>
      <c r="T1771" s="340"/>
      <c r="V1771" s="378"/>
      <c r="W1771" s="64" ph="1"/>
      <c r="X1771" s="241"/>
      <c r="Y1771" s="284"/>
      <c r="Z1771" s="207"/>
      <c r="AA1771" s="284"/>
      <c r="AB1771" s="284"/>
      <c r="AC1771" s="284"/>
      <c r="AD1771" s="284"/>
      <c r="AE1771" s="284"/>
      <c r="AF1771" s="284"/>
      <c r="AG1771" s="284"/>
      <c r="AI1771" s="131"/>
    </row>
    <row r="1772" spans="1:35" ht="26.4">
      <c r="A1772" s="284"/>
      <c r="B1772" s="284"/>
      <c r="C1772" s="284"/>
      <c r="D1772" s="284"/>
      <c r="E1772" s="284"/>
      <c r="F1772" s="284"/>
      <c r="G1772" s="284"/>
      <c r="H1772" s="284"/>
      <c r="I1772" s="284"/>
      <c r="J1772" s="375"/>
      <c r="K1772" s="375"/>
      <c r="L1772" s="375"/>
      <c r="M1772" s="368"/>
      <c r="N1772" s="368"/>
      <c r="O1772" s="370"/>
      <c r="T1772" s="340"/>
      <c r="V1772" s="378"/>
      <c r="W1772" s="64" ph="1"/>
      <c r="X1772" s="241"/>
      <c r="Y1772" s="284"/>
      <c r="Z1772" s="207"/>
      <c r="AA1772" s="284"/>
      <c r="AB1772" s="284"/>
      <c r="AC1772" s="284"/>
      <c r="AD1772" s="284"/>
      <c r="AE1772" s="284"/>
      <c r="AF1772" s="284"/>
      <c r="AG1772" s="284"/>
      <c r="AI1772" s="131"/>
    </row>
    <row r="1773" spans="1:35" ht="26.4">
      <c r="A1773" s="284"/>
      <c r="B1773" s="284"/>
      <c r="C1773" s="284"/>
      <c r="D1773" s="284"/>
      <c r="E1773" s="284"/>
      <c r="F1773" s="284"/>
      <c r="G1773" s="284"/>
      <c r="H1773" s="284"/>
      <c r="I1773" s="284"/>
      <c r="J1773" s="375"/>
      <c r="K1773" s="375"/>
      <c r="L1773" s="375"/>
      <c r="M1773" s="368"/>
      <c r="N1773" s="368"/>
      <c r="O1773" s="370"/>
      <c r="T1773" s="340"/>
      <c r="V1773" s="378"/>
      <c r="W1773" s="64" ph="1"/>
      <c r="X1773" s="241"/>
      <c r="Y1773" s="284"/>
      <c r="Z1773" s="207"/>
      <c r="AA1773" s="284"/>
      <c r="AB1773" s="284"/>
      <c r="AC1773" s="284"/>
      <c r="AD1773" s="284"/>
      <c r="AE1773" s="284"/>
      <c r="AF1773" s="284"/>
      <c r="AG1773" s="284"/>
      <c r="AI1773" s="131"/>
    </row>
    <row r="1774" spans="1:35" ht="26.4">
      <c r="A1774" s="284"/>
      <c r="B1774" s="284"/>
      <c r="C1774" s="284"/>
      <c r="D1774" s="284"/>
      <c r="E1774" s="284"/>
      <c r="F1774" s="284"/>
      <c r="G1774" s="284"/>
      <c r="H1774" s="284"/>
      <c r="I1774" s="284"/>
      <c r="J1774" s="375"/>
      <c r="K1774" s="375"/>
      <c r="L1774" s="375"/>
      <c r="M1774" s="368"/>
      <c r="N1774" s="368"/>
      <c r="O1774" s="370"/>
      <c r="T1774" s="340"/>
      <c r="V1774" s="378"/>
      <c r="W1774" s="64" ph="1"/>
      <c r="X1774" s="241"/>
      <c r="Y1774" s="284"/>
      <c r="Z1774" s="207"/>
      <c r="AA1774" s="284"/>
      <c r="AB1774" s="284"/>
      <c r="AC1774" s="284"/>
      <c r="AD1774" s="284"/>
      <c r="AE1774" s="284"/>
      <c r="AF1774" s="284"/>
      <c r="AG1774" s="284"/>
      <c r="AI1774" s="131"/>
    </row>
    <row r="1775" spans="1:35" ht="26.4">
      <c r="A1775" s="284"/>
      <c r="B1775" s="284"/>
      <c r="C1775" s="284"/>
      <c r="D1775" s="284"/>
      <c r="E1775" s="284"/>
      <c r="F1775" s="284"/>
      <c r="G1775" s="284"/>
      <c r="H1775" s="284"/>
      <c r="I1775" s="284"/>
      <c r="J1775" s="375"/>
      <c r="K1775" s="375"/>
      <c r="L1775" s="375"/>
      <c r="M1775" s="368"/>
      <c r="N1775" s="368"/>
      <c r="O1775" s="370"/>
      <c r="T1775" s="340"/>
      <c r="V1775" s="378"/>
      <c r="W1775" s="64" ph="1"/>
      <c r="X1775" s="241"/>
      <c r="Y1775" s="284"/>
      <c r="Z1775" s="207"/>
      <c r="AA1775" s="284"/>
      <c r="AB1775" s="284"/>
      <c r="AC1775" s="284"/>
      <c r="AD1775" s="284"/>
      <c r="AE1775" s="284"/>
      <c r="AF1775" s="284"/>
      <c r="AG1775" s="284"/>
      <c r="AI1775" s="131"/>
    </row>
    <row r="1776" spans="1:35" ht="26.4">
      <c r="A1776" s="284"/>
      <c r="B1776" s="284"/>
      <c r="C1776" s="284"/>
      <c r="D1776" s="284"/>
      <c r="E1776" s="284"/>
      <c r="F1776" s="284"/>
      <c r="G1776" s="284"/>
      <c r="H1776" s="284"/>
      <c r="I1776" s="284"/>
      <c r="J1776" s="375"/>
      <c r="K1776" s="375"/>
      <c r="L1776" s="375"/>
      <c r="M1776" s="368"/>
      <c r="N1776" s="368"/>
      <c r="O1776" s="370"/>
      <c r="T1776" s="340"/>
      <c r="V1776" s="378"/>
      <c r="W1776" s="64" ph="1"/>
      <c r="X1776" s="241"/>
      <c r="Y1776" s="284"/>
      <c r="Z1776" s="207"/>
      <c r="AA1776" s="284"/>
      <c r="AB1776" s="284"/>
      <c r="AC1776" s="284"/>
      <c r="AD1776" s="284"/>
      <c r="AE1776" s="284"/>
      <c r="AF1776" s="284"/>
      <c r="AG1776" s="284"/>
      <c r="AI1776" s="131"/>
    </row>
    <row r="1777" spans="1:35" ht="26.4">
      <c r="A1777" s="284"/>
      <c r="B1777" s="284"/>
      <c r="C1777" s="284"/>
      <c r="D1777" s="284"/>
      <c r="E1777" s="284"/>
      <c r="F1777" s="284"/>
      <c r="G1777" s="284"/>
      <c r="H1777" s="284"/>
      <c r="I1777" s="284"/>
      <c r="J1777" s="375"/>
      <c r="K1777" s="375"/>
      <c r="L1777" s="375"/>
      <c r="M1777" s="368"/>
      <c r="N1777" s="368"/>
      <c r="O1777" s="370"/>
      <c r="T1777" s="340"/>
      <c r="V1777" s="378"/>
      <c r="W1777" s="64" ph="1"/>
      <c r="X1777" s="241"/>
      <c r="Y1777" s="284"/>
      <c r="Z1777" s="207"/>
      <c r="AA1777" s="284"/>
      <c r="AB1777" s="284"/>
      <c r="AC1777" s="284"/>
      <c r="AD1777" s="284"/>
      <c r="AE1777" s="284"/>
      <c r="AF1777" s="284"/>
      <c r="AG1777" s="284"/>
      <c r="AI1777" s="131"/>
    </row>
    <row r="1778" spans="1:35" ht="26.4">
      <c r="A1778" s="284"/>
      <c r="B1778" s="284"/>
      <c r="C1778" s="284"/>
      <c r="D1778" s="284"/>
      <c r="E1778" s="284"/>
      <c r="F1778" s="284"/>
      <c r="G1778" s="284"/>
      <c r="H1778" s="284"/>
      <c r="I1778" s="284"/>
      <c r="J1778" s="375"/>
      <c r="K1778" s="375"/>
      <c r="L1778" s="375"/>
      <c r="M1778" s="368"/>
      <c r="N1778" s="368"/>
      <c r="O1778" s="370"/>
      <c r="T1778" s="340"/>
      <c r="V1778" s="378"/>
      <c r="W1778" s="64" ph="1"/>
      <c r="X1778" s="241"/>
      <c r="Y1778" s="284"/>
      <c r="Z1778" s="207"/>
      <c r="AA1778" s="284"/>
      <c r="AB1778" s="284"/>
      <c r="AC1778" s="284"/>
      <c r="AD1778" s="284"/>
      <c r="AE1778" s="284"/>
      <c r="AF1778" s="284"/>
      <c r="AG1778" s="284"/>
      <c r="AI1778" s="131"/>
    </row>
    <row r="1779" spans="1:35" ht="26.4">
      <c r="A1779" s="284"/>
      <c r="B1779" s="284"/>
      <c r="C1779" s="284"/>
      <c r="D1779" s="284"/>
      <c r="E1779" s="284"/>
      <c r="F1779" s="284"/>
      <c r="G1779" s="284"/>
      <c r="H1779" s="284"/>
      <c r="I1779" s="284"/>
      <c r="J1779" s="375"/>
      <c r="K1779" s="375"/>
      <c r="L1779" s="375"/>
      <c r="M1779" s="368"/>
      <c r="N1779" s="368"/>
      <c r="O1779" s="370"/>
      <c r="T1779" s="340"/>
      <c r="V1779" s="378"/>
      <c r="W1779" s="64" ph="1"/>
      <c r="X1779" s="241"/>
      <c r="Y1779" s="284"/>
      <c r="Z1779" s="207"/>
      <c r="AA1779" s="284"/>
      <c r="AB1779" s="284"/>
      <c r="AC1779" s="284"/>
      <c r="AD1779" s="284"/>
      <c r="AE1779" s="284"/>
      <c r="AF1779" s="284"/>
      <c r="AG1779" s="284"/>
      <c r="AI1779" s="284"/>
    </row>
    <row r="1780" spans="1:35" ht="26.4">
      <c r="A1780" s="284"/>
      <c r="B1780" s="284"/>
      <c r="C1780" s="284"/>
      <c r="D1780" s="284"/>
      <c r="E1780" s="284"/>
      <c r="F1780" s="284"/>
      <c r="G1780" s="284"/>
      <c r="H1780" s="284"/>
      <c r="I1780" s="284"/>
      <c r="J1780" s="375"/>
      <c r="K1780" s="375"/>
      <c r="L1780" s="375"/>
      <c r="M1780" s="368"/>
      <c r="N1780" s="368"/>
      <c r="O1780" s="370"/>
      <c r="T1780" s="340"/>
      <c r="V1780" s="378"/>
      <c r="W1780" s="64" ph="1"/>
      <c r="X1780" s="241"/>
      <c r="Y1780" s="284"/>
      <c r="Z1780" s="207"/>
      <c r="AA1780" s="284"/>
      <c r="AB1780" s="284"/>
      <c r="AC1780" s="284"/>
      <c r="AD1780" s="284"/>
      <c r="AE1780" s="284"/>
      <c r="AF1780" s="284"/>
      <c r="AG1780" s="284"/>
      <c r="AI1780" s="131"/>
    </row>
    <row r="1781" spans="1:35" ht="26.4">
      <c r="A1781" s="284"/>
      <c r="B1781" s="284"/>
      <c r="C1781" s="284"/>
      <c r="D1781" s="284"/>
      <c r="E1781" s="284"/>
      <c r="F1781" s="284"/>
      <c r="G1781" s="284"/>
      <c r="H1781" s="284"/>
      <c r="I1781" s="284"/>
      <c r="J1781" s="375"/>
      <c r="K1781" s="375"/>
      <c r="L1781" s="375"/>
      <c r="M1781" s="368"/>
      <c r="N1781" s="368"/>
      <c r="O1781" s="370"/>
      <c r="T1781" s="340"/>
      <c r="V1781" s="378"/>
      <c r="W1781" s="64" ph="1"/>
      <c r="X1781" s="241"/>
      <c r="Y1781" s="284"/>
      <c r="Z1781" s="207"/>
      <c r="AA1781" s="284"/>
      <c r="AB1781" s="284"/>
      <c r="AC1781" s="284"/>
      <c r="AD1781" s="284"/>
      <c r="AE1781" s="284"/>
      <c r="AF1781" s="284"/>
      <c r="AG1781" s="284"/>
      <c r="AI1781" s="131"/>
    </row>
    <row r="1782" spans="1:35" ht="26.4">
      <c r="A1782" s="284"/>
      <c r="B1782" s="284"/>
      <c r="C1782" s="284"/>
      <c r="D1782" s="284"/>
      <c r="E1782" s="284"/>
      <c r="F1782" s="284"/>
      <c r="G1782" s="284"/>
      <c r="H1782" s="284"/>
      <c r="I1782" s="284"/>
      <c r="J1782" s="375"/>
      <c r="K1782" s="375"/>
      <c r="L1782" s="375"/>
      <c r="M1782" s="368"/>
      <c r="N1782" s="368"/>
      <c r="O1782" s="370"/>
      <c r="T1782" s="340"/>
      <c r="V1782" s="378"/>
      <c r="W1782" s="64" ph="1"/>
      <c r="X1782" s="241"/>
      <c r="Y1782" s="284"/>
      <c r="Z1782" s="207"/>
      <c r="AA1782" s="284"/>
      <c r="AB1782" s="284"/>
      <c r="AC1782" s="284"/>
      <c r="AD1782" s="284"/>
      <c r="AE1782" s="284"/>
      <c r="AF1782" s="284"/>
      <c r="AG1782" s="284"/>
      <c r="AI1782" s="131"/>
    </row>
    <row r="1783" spans="1:35" ht="26.4">
      <c r="A1783" s="284"/>
      <c r="B1783" s="284"/>
      <c r="C1783" s="284"/>
      <c r="D1783" s="284"/>
      <c r="E1783" s="284"/>
      <c r="F1783" s="284"/>
      <c r="G1783" s="284"/>
      <c r="H1783" s="284"/>
      <c r="I1783" s="284"/>
      <c r="J1783" s="375"/>
      <c r="K1783" s="375"/>
      <c r="L1783" s="375"/>
      <c r="M1783" s="368"/>
      <c r="N1783" s="368"/>
      <c r="O1783" s="370"/>
      <c r="T1783" s="340"/>
      <c r="V1783" s="378"/>
      <c r="W1783" s="64" ph="1"/>
      <c r="X1783" s="241"/>
      <c r="Y1783" s="284"/>
      <c r="Z1783" s="207"/>
      <c r="AA1783" s="284"/>
      <c r="AB1783" s="284"/>
      <c r="AC1783" s="284"/>
      <c r="AD1783" s="284"/>
      <c r="AE1783" s="284"/>
      <c r="AF1783" s="284"/>
      <c r="AG1783" s="284"/>
      <c r="AI1783" s="131"/>
    </row>
    <row r="1784" spans="1:35" ht="26.4">
      <c r="A1784" s="284"/>
      <c r="B1784" s="284"/>
      <c r="C1784" s="284"/>
      <c r="D1784" s="284"/>
      <c r="E1784" s="284"/>
      <c r="F1784" s="284"/>
      <c r="G1784" s="284"/>
      <c r="H1784" s="284"/>
      <c r="I1784" s="284"/>
      <c r="J1784" s="375"/>
      <c r="K1784" s="375"/>
      <c r="L1784" s="375"/>
      <c r="M1784" s="368"/>
      <c r="N1784" s="368"/>
      <c r="O1784" s="370"/>
      <c r="T1784" s="340"/>
      <c r="V1784" s="378"/>
      <c r="W1784" s="64" ph="1"/>
      <c r="X1784" s="241"/>
      <c r="Y1784" s="284"/>
      <c r="Z1784" s="207"/>
      <c r="AA1784" s="284"/>
      <c r="AB1784" s="284"/>
      <c r="AC1784" s="284"/>
      <c r="AD1784" s="284"/>
      <c r="AE1784" s="284"/>
      <c r="AF1784" s="284"/>
      <c r="AG1784" s="284"/>
      <c r="AI1784" s="131"/>
    </row>
    <row r="1785" spans="1:35" ht="26.4">
      <c r="A1785" s="284"/>
      <c r="B1785" s="284"/>
      <c r="C1785" s="284"/>
      <c r="D1785" s="284"/>
      <c r="E1785" s="284"/>
      <c r="F1785" s="284"/>
      <c r="G1785" s="284"/>
      <c r="H1785" s="284"/>
      <c r="I1785" s="284"/>
      <c r="J1785" s="375"/>
      <c r="K1785" s="375"/>
      <c r="L1785" s="375"/>
      <c r="M1785" s="368"/>
      <c r="N1785" s="368"/>
      <c r="O1785" s="370"/>
      <c r="T1785" s="340"/>
      <c r="V1785" s="378"/>
      <c r="W1785" s="64" ph="1"/>
      <c r="X1785" s="241"/>
      <c r="Y1785" s="284"/>
      <c r="Z1785" s="207"/>
      <c r="AA1785" s="284"/>
      <c r="AB1785" s="284"/>
      <c r="AC1785" s="284"/>
      <c r="AD1785" s="284"/>
      <c r="AE1785" s="284"/>
      <c r="AF1785" s="284"/>
      <c r="AG1785" s="284"/>
      <c r="AI1785" s="131"/>
    </row>
    <row r="1786" spans="1:35" ht="26.4">
      <c r="A1786" s="284"/>
      <c r="B1786" s="284"/>
      <c r="C1786" s="284"/>
      <c r="D1786" s="284"/>
      <c r="E1786" s="284"/>
      <c r="F1786" s="284"/>
      <c r="G1786" s="284"/>
      <c r="H1786" s="284"/>
      <c r="I1786" s="284"/>
      <c r="J1786" s="375"/>
      <c r="K1786" s="375"/>
      <c r="L1786" s="375"/>
      <c r="M1786" s="368"/>
      <c r="N1786" s="368"/>
      <c r="O1786" s="370"/>
      <c r="T1786" s="340"/>
      <c r="V1786" s="378"/>
      <c r="W1786" s="64" ph="1"/>
      <c r="X1786" s="241"/>
      <c r="Y1786" s="284"/>
      <c r="Z1786" s="207"/>
      <c r="AA1786" s="284"/>
      <c r="AB1786" s="284"/>
      <c r="AC1786" s="284"/>
      <c r="AD1786" s="284"/>
      <c r="AE1786" s="284"/>
      <c r="AF1786" s="284"/>
      <c r="AG1786" s="284"/>
      <c r="AI1786" s="52"/>
    </row>
    <row r="1787" spans="1:35" ht="26.4">
      <c r="A1787" s="284"/>
      <c r="B1787" s="284"/>
      <c r="C1787" s="284"/>
      <c r="D1787" s="284"/>
      <c r="E1787" s="284"/>
      <c r="F1787" s="284"/>
      <c r="G1787" s="284"/>
      <c r="H1787" s="284"/>
      <c r="I1787" s="284"/>
      <c r="J1787" s="375"/>
      <c r="K1787" s="375"/>
      <c r="L1787" s="375"/>
      <c r="M1787" s="368"/>
      <c r="N1787" s="368"/>
      <c r="O1787" s="370"/>
      <c r="T1787" s="340"/>
      <c r="V1787" s="378"/>
      <c r="W1787" s="64" ph="1"/>
      <c r="X1787" s="241"/>
      <c r="Y1787" s="284"/>
      <c r="Z1787" s="207"/>
      <c r="AA1787" s="284"/>
      <c r="AB1787" s="284"/>
      <c r="AC1787" s="284"/>
      <c r="AD1787" s="284"/>
      <c r="AE1787" s="284"/>
      <c r="AF1787" s="284"/>
      <c r="AG1787" s="284"/>
      <c r="AI1787" s="131"/>
    </row>
    <row r="1788" spans="1:35" ht="26.4">
      <c r="A1788" s="284"/>
      <c r="B1788" s="284"/>
      <c r="C1788" s="284"/>
      <c r="D1788" s="284"/>
      <c r="E1788" s="284"/>
      <c r="F1788" s="284"/>
      <c r="G1788" s="284"/>
      <c r="H1788" s="284"/>
      <c r="I1788" s="284"/>
      <c r="J1788" s="375"/>
      <c r="K1788" s="375"/>
      <c r="L1788" s="375"/>
      <c r="M1788" s="368"/>
      <c r="N1788" s="368"/>
      <c r="O1788" s="370"/>
      <c r="T1788" s="340"/>
      <c r="V1788" s="378"/>
      <c r="W1788" s="64" ph="1"/>
      <c r="X1788" s="241"/>
      <c r="Y1788" s="284"/>
      <c r="Z1788" s="207"/>
      <c r="AA1788" s="284"/>
      <c r="AB1788" s="284"/>
      <c r="AC1788" s="284"/>
      <c r="AD1788" s="284"/>
      <c r="AE1788" s="284"/>
      <c r="AF1788" s="284"/>
      <c r="AG1788" s="284"/>
      <c r="AI1788" s="131"/>
    </row>
    <row r="1789" spans="1:35" ht="26.4">
      <c r="A1789" s="284"/>
      <c r="B1789" s="284"/>
      <c r="C1789" s="284"/>
      <c r="D1789" s="284"/>
      <c r="E1789" s="284"/>
      <c r="F1789" s="284"/>
      <c r="G1789" s="284"/>
      <c r="H1789" s="284"/>
      <c r="I1789" s="284"/>
      <c r="J1789" s="375"/>
      <c r="K1789" s="375"/>
      <c r="L1789" s="375"/>
      <c r="M1789" s="368"/>
      <c r="N1789" s="368"/>
      <c r="O1789" s="370"/>
      <c r="T1789" s="340"/>
      <c r="V1789" s="378"/>
      <c r="W1789" s="64" ph="1"/>
      <c r="X1789" s="241"/>
      <c r="Y1789" s="284"/>
      <c r="Z1789" s="207"/>
      <c r="AA1789" s="284"/>
      <c r="AB1789" s="284"/>
      <c r="AC1789" s="284"/>
      <c r="AD1789" s="284"/>
      <c r="AE1789" s="284"/>
      <c r="AF1789" s="284"/>
      <c r="AG1789" s="284"/>
      <c r="AI1789" s="131"/>
    </row>
    <row r="1790" spans="1:35" ht="26.4">
      <c r="A1790" s="284"/>
      <c r="B1790" s="284"/>
      <c r="C1790" s="284"/>
      <c r="D1790" s="284"/>
      <c r="E1790" s="284"/>
      <c r="F1790" s="284"/>
      <c r="G1790" s="284"/>
      <c r="H1790" s="284"/>
      <c r="I1790" s="284"/>
      <c r="J1790" s="375"/>
      <c r="K1790" s="375"/>
      <c r="L1790" s="375"/>
      <c r="M1790" s="368"/>
      <c r="N1790" s="368"/>
      <c r="O1790" s="370"/>
      <c r="T1790" s="340"/>
      <c r="V1790" s="378"/>
      <c r="W1790" s="64" ph="1"/>
      <c r="X1790" s="241"/>
      <c r="Y1790" s="284"/>
      <c r="Z1790" s="207"/>
      <c r="AA1790" s="284"/>
      <c r="AB1790" s="284"/>
      <c r="AC1790" s="284"/>
      <c r="AD1790" s="284"/>
      <c r="AE1790" s="284"/>
      <c r="AF1790" s="284"/>
      <c r="AG1790" s="284"/>
      <c r="AI1790" s="131"/>
    </row>
    <row r="1791" spans="1:35" ht="26.4">
      <c r="A1791" s="284"/>
      <c r="B1791" s="284"/>
      <c r="C1791" s="284"/>
      <c r="D1791" s="284"/>
      <c r="E1791" s="284"/>
      <c r="F1791" s="284"/>
      <c r="G1791" s="284"/>
      <c r="H1791" s="284"/>
      <c r="I1791" s="284"/>
      <c r="J1791" s="375"/>
      <c r="K1791" s="375"/>
      <c r="L1791" s="375"/>
      <c r="M1791" s="368"/>
      <c r="N1791" s="368"/>
      <c r="O1791" s="370"/>
      <c r="T1791" s="340"/>
      <c r="V1791" s="378"/>
      <c r="W1791" s="64" ph="1"/>
      <c r="X1791" s="241"/>
      <c r="Y1791" s="284"/>
      <c r="Z1791" s="207"/>
      <c r="AA1791" s="284"/>
      <c r="AB1791" s="284"/>
      <c r="AC1791" s="284"/>
      <c r="AD1791" s="284"/>
      <c r="AE1791" s="284"/>
      <c r="AF1791" s="284"/>
      <c r="AG1791" s="284"/>
      <c r="AI1791" s="131"/>
    </row>
    <row r="1792" spans="1:35" ht="26.4">
      <c r="A1792" s="284"/>
      <c r="B1792" s="284"/>
      <c r="C1792" s="284"/>
      <c r="D1792" s="284"/>
      <c r="E1792" s="284"/>
      <c r="F1792" s="284"/>
      <c r="G1792" s="284"/>
      <c r="H1792" s="284"/>
      <c r="I1792" s="284"/>
      <c r="J1792" s="375"/>
      <c r="K1792" s="375"/>
      <c r="L1792" s="375"/>
      <c r="M1792" s="368"/>
      <c r="N1792" s="368"/>
      <c r="O1792" s="370"/>
      <c r="T1792" s="340"/>
      <c r="V1792" s="378"/>
      <c r="W1792" s="64" ph="1"/>
      <c r="X1792" s="241"/>
      <c r="Y1792" s="284"/>
      <c r="Z1792" s="207"/>
      <c r="AA1792" s="284"/>
      <c r="AB1792" s="284"/>
      <c r="AC1792" s="284"/>
      <c r="AD1792" s="284"/>
      <c r="AE1792" s="284"/>
      <c r="AF1792" s="284"/>
      <c r="AG1792" s="284"/>
      <c r="AI1792" s="131"/>
    </row>
    <row r="1793" spans="1:35" ht="26.4">
      <c r="A1793" s="284"/>
      <c r="B1793" s="284"/>
      <c r="C1793" s="284"/>
      <c r="D1793" s="284"/>
      <c r="E1793" s="284"/>
      <c r="F1793" s="284"/>
      <c r="G1793" s="284"/>
      <c r="H1793" s="284"/>
      <c r="I1793" s="284"/>
      <c r="J1793" s="375"/>
      <c r="K1793" s="375"/>
      <c r="L1793" s="375"/>
      <c r="M1793" s="368"/>
      <c r="N1793" s="368"/>
      <c r="O1793" s="370"/>
      <c r="T1793" s="340"/>
      <c r="V1793" s="378"/>
      <c r="W1793" s="64" ph="1"/>
      <c r="X1793" s="241"/>
      <c r="Y1793" s="284"/>
      <c r="Z1793" s="207"/>
      <c r="AA1793" s="284"/>
      <c r="AB1793" s="284"/>
      <c r="AC1793" s="284"/>
      <c r="AD1793" s="284"/>
      <c r="AE1793" s="284"/>
      <c r="AF1793" s="284"/>
      <c r="AG1793" s="284"/>
      <c r="AI1793" s="131"/>
    </row>
    <row r="1794" spans="1:35" ht="26.4">
      <c r="A1794" s="284"/>
      <c r="B1794" s="284"/>
      <c r="C1794" s="284"/>
      <c r="D1794" s="284"/>
      <c r="E1794" s="284"/>
      <c r="F1794" s="284"/>
      <c r="G1794" s="284"/>
      <c r="H1794" s="284"/>
      <c r="I1794" s="284"/>
      <c r="J1794" s="375"/>
      <c r="K1794" s="375"/>
      <c r="L1794" s="375"/>
      <c r="M1794" s="368"/>
      <c r="N1794" s="368"/>
      <c r="O1794" s="370"/>
      <c r="T1794" s="340"/>
      <c r="V1794" s="378"/>
      <c r="W1794" s="64" ph="1"/>
      <c r="X1794" s="241"/>
      <c r="Y1794" s="284"/>
      <c r="Z1794" s="207"/>
      <c r="AA1794" s="284"/>
      <c r="AB1794" s="284"/>
      <c r="AC1794" s="284"/>
      <c r="AD1794" s="284"/>
      <c r="AE1794" s="284"/>
      <c r="AF1794" s="284"/>
      <c r="AG1794" s="284"/>
      <c r="AI1794" s="131"/>
    </row>
    <row r="1795" spans="1:35" ht="26.4">
      <c r="A1795" s="284"/>
      <c r="B1795" s="284"/>
      <c r="C1795" s="284"/>
      <c r="D1795" s="284"/>
      <c r="E1795" s="284"/>
      <c r="F1795" s="284"/>
      <c r="G1795" s="284"/>
      <c r="H1795" s="284"/>
      <c r="I1795" s="284"/>
      <c r="J1795" s="375"/>
      <c r="K1795" s="375"/>
      <c r="L1795" s="375"/>
      <c r="M1795" s="368"/>
      <c r="N1795" s="368"/>
      <c r="O1795" s="370"/>
      <c r="T1795" s="340"/>
      <c r="V1795" s="378"/>
      <c r="W1795" s="64" ph="1"/>
      <c r="X1795" s="241"/>
      <c r="Y1795" s="284"/>
      <c r="Z1795" s="207"/>
      <c r="AA1795" s="284"/>
      <c r="AB1795" s="284"/>
      <c r="AC1795" s="284"/>
      <c r="AD1795" s="284"/>
      <c r="AE1795" s="284"/>
      <c r="AF1795" s="284"/>
      <c r="AG1795" s="284"/>
      <c r="AI1795" s="131"/>
    </row>
    <row r="1796" spans="1:35" ht="26.4">
      <c r="A1796" s="284"/>
      <c r="B1796" s="284"/>
      <c r="C1796" s="284"/>
      <c r="D1796" s="284"/>
      <c r="E1796" s="284"/>
      <c r="F1796" s="284"/>
      <c r="G1796" s="284"/>
      <c r="H1796" s="284"/>
      <c r="I1796" s="284"/>
      <c r="J1796" s="375"/>
      <c r="K1796" s="375"/>
      <c r="L1796" s="375"/>
      <c r="M1796" s="368"/>
      <c r="N1796" s="368"/>
      <c r="O1796" s="370"/>
      <c r="T1796" s="340"/>
      <c r="V1796" s="378"/>
      <c r="W1796" s="64" ph="1"/>
      <c r="X1796" s="241"/>
      <c r="Y1796" s="284"/>
      <c r="Z1796" s="207"/>
      <c r="AA1796" s="284"/>
      <c r="AB1796" s="284"/>
      <c r="AC1796" s="284"/>
      <c r="AD1796" s="284"/>
      <c r="AE1796" s="284"/>
      <c r="AF1796" s="284"/>
      <c r="AG1796" s="284"/>
      <c r="AI1796" s="131"/>
    </row>
    <row r="1797" spans="1:35" ht="26.4">
      <c r="A1797" s="284"/>
      <c r="B1797" s="284"/>
      <c r="C1797" s="284"/>
      <c r="D1797" s="284"/>
      <c r="E1797" s="284"/>
      <c r="F1797" s="284"/>
      <c r="G1797" s="284"/>
      <c r="H1797" s="284"/>
      <c r="I1797" s="284"/>
      <c r="J1797" s="375"/>
      <c r="K1797" s="375"/>
      <c r="L1797" s="375"/>
      <c r="M1797" s="368"/>
      <c r="N1797" s="368"/>
      <c r="O1797" s="370"/>
      <c r="T1797" s="340"/>
      <c r="V1797" s="378"/>
      <c r="W1797" s="64" ph="1"/>
      <c r="X1797" s="241"/>
      <c r="Y1797" s="284"/>
      <c r="Z1797" s="207"/>
      <c r="AA1797" s="284"/>
      <c r="AB1797" s="284"/>
      <c r="AC1797" s="284"/>
      <c r="AD1797" s="284"/>
      <c r="AE1797" s="284"/>
      <c r="AF1797" s="284"/>
      <c r="AG1797" s="284"/>
      <c r="AI1797" s="131"/>
    </row>
    <row r="1798" spans="1:35" ht="26.4">
      <c r="A1798" s="284"/>
      <c r="B1798" s="284"/>
      <c r="C1798" s="284"/>
      <c r="D1798" s="284"/>
      <c r="E1798" s="284"/>
      <c r="F1798" s="284"/>
      <c r="G1798" s="284"/>
      <c r="H1798" s="284"/>
      <c r="I1798" s="284"/>
      <c r="J1798" s="375"/>
      <c r="K1798" s="375"/>
      <c r="L1798" s="375"/>
      <c r="M1798" s="368"/>
      <c r="N1798" s="368"/>
      <c r="O1798" s="370"/>
      <c r="T1798" s="340"/>
      <c r="V1798" s="378"/>
      <c r="W1798" s="64" ph="1"/>
      <c r="X1798" s="241"/>
      <c r="Y1798" s="284"/>
      <c r="Z1798" s="207"/>
      <c r="AA1798" s="284"/>
      <c r="AB1798" s="284"/>
      <c r="AC1798" s="284"/>
      <c r="AD1798" s="284"/>
      <c r="AE1798" s="284"/>
      <c r="AF1798" s="284"/>
      <c r="AG1798" s="284"/>
      <c r="AI1798" s="131"/>
    </row>
    <row r="1799" spans="1:35" ht="26.4">
      <c r="A1799" s="284"/>
      <c r="B1799" s="284"/>
      <c r="C1799" s="284"/>
      <c r="D1799" s="284"/>
      <c r="E1799" s="284"/>
      <c r="F1799" s="284"/>
      <c r="G1799" s="284"/>
      <c r="H1799" s="284"/>
      <c r="I1799" s="284"/>
      <c r="J1799" s="375"/>
      <c r="K1799" s="375"/>
      <c r="L1799" s="375"/>
      <c r="M1799" s="368"/>
      <c r="N1799" s="368"/>
      <c r="O1799" s="370"/>
      <c r="T1799" s="340"/>
      <c r="V1799" s="378"/>
      <c r="W1799" s="64" ph="1"/>
      <c r="X1799" s="241"/>
      <c r="Y1799" s="284"/>
      <c r="Z1799" s="207"/>
      <c r="AA1799" s="284"/>
      <c r="AB1799" s="284"/>
      <c r="AC1799" s="284"/>
      <c r="AD1799" s="284"/>
      <c r="AE1799" s="284"/>
      <c r="AF1799" s="284"/>
      <c r="AG1799" s="284"/>
      <c r="AI1799" s="131"/>
    </row>
    <row r="1800" spans="1:35" ht="26.4">
      <c r="A1800" s="284"/>
      <c r="B1800" s="284"/>
      <c r="C1800" s="284"/>
      <c r="D1800" s="284"/>
      <c r="E1800" s="284"/>
      <c r="F1800" s="284"/>
      <c r="G1800" s="284"/>
      <c r="H1800" s="284"/>
      <c r="I1800" s="284"/>
      <c r="J1800" s="375"/>
      <c r="K1800" s="375"/>
      <c r="L1800" s="375"/>
      <c r="M1800" s="368"/>
      <c r="N1800" s="368"/>
      <c r="O1800" s="370"/>
      <c r="T1800" s="340"/>
      <c r="V1800" s="378"/>
      <c r="W1800" s="64" ph="1"/>
      <c r="X1800" s="241"/>
      <c r="Y1800" s="284"/>
      <c r="Z1800" s="207"/>
      <c r="AA1800" s="284"/>
      <c r="AB1800" s="284"/>
      <c r="AC1800" s="284"/>
      <c r="AD1800" s="284"/>
      <c r="AE1800" s="284"/>
      <c r="AF1800" s="284"/>
      <c r="AG1800" s="284"/>
      <c r="AI1800" s="131"/>
    </row>
    <row r="1801" spans="1:35" ht="26.4">
      <c r="A1801" s="284"/>
      <c r="B1801" s="284"/>
      <c r="C1801" s="284"/>
      <c r="D1801" s="284"/>
      <c r="E1801" s="284"/>
      <c r="F1801" s="284"/>
      <c r="G1801" s="284"/>
      <c r="H1801" s="284"/>
      <c r="I1801" s="284"/>
      <c r="J1801" s="375"/>
      <c r="K1801" s="375"/>
      <c r="L1801" s="375"/>
      <c r="M1801" s="368"/>
      <c r="N1801" s="368"/>
      <c r="O1801" s="370"/>
      <c r="T1801" s="340"/>
      <c r="V1801" s="378"/>
      <c r="W1801" s="64" ph="1"/>
      <c r="X1801" s="241"/>
      <c r="Y1801" s="284"/>
      <c r="Z1801" s="207"/>
      <c r="AA1801" s="284"/>
      <c r="AB1801" s="284"/>
      <c r="AC1801" s="284"/>
      <c r="AD1801" s="284"/>
      <c r="AE1801" s="284"/>
      <c r="AF1801" s="284"/>
      <c r="AG1801" s="284"/>
      <c r="AI1801" s="131"/>
    </row>
    <row r="1802" spans="1:35" ht="26.4">
      <c r="A1802" s="284"/>
      <c r="B1802" s="284"/>
      <c r="C1802" s="284"/>
      <c r="D1802" s="284"/>
      <c r="E1802" s="284"/>
      <c r="F1802" s="284"/>
      <c r="G1802" s="284"/>
      <c r="H1802" s="284"/>
      <c r="I1802" s="284"/>
      <c r="J1802" s="375"/>
      <c r="K1802" s="375"/>
      <c r="L1802" s="375"/>
      <c r="M1802" s="368"/>
      <c r="N1802" s="368"/>
      <c r="O1802" s="370"/>
      <c r="T1802" s="340"/>
      <c r="V1802" s="378"/>
      <c r="W1802" s="64" ph="1"/>
      <c r="X1802" s="241"/>
      <c r="Y1802" s="284"/>
      <c r="Z1802" s="207"/>
      <c r="AA1802" s="284"/>
      <c r="AB1802" s="284"/>
      <c r="AC1802" s="284"/>
      <c r="AD1802" s="284"/>
      <c r="AE1802" s="284"/>
      <c r="AF1802" s="284"/>
      <c r="AG1802" s="284"/>
      <c r="AI1802" s="131"/>
    </row>
    <row r="1803" spans="1:35" ht="26.4">
      <c r="A1803" s="284"/>
      <c r="B1803" s="284"/>
      <c r="C1803" s="284"/>
      <c r="D1803" s="284"/>
      <c r="E1803" s="284"/>
      <c r="F1803" s="284"/>
      <c r="G1803" s="284"/>
      <c r="H1803" s="284"/>
      <c r="I1803" s="284"/>
      <c r="J1803" s="375"/>
      <c r="K1803" s="375"/>
      <c r="L1803" s="375"/>
      <c r="M1803" s="368"/>
      <c r="N1803" s="368"/>
      <c r="O1803" s="370"/>
      <c r="T1803" s="340"/>
      <c r="V1803" s="378"/>
      <c r="W1803" s="64" ph="1"/>
      <c r="X1803" s="241"/>
      <c r="Y1803" s="284"/>
      <c r="Z1803" s="207"/>
      <c r="AA1803" s="284"/>
      <c r="AB1803" s="284"/>
      <c r="AC1803" s="284"/>
      <c r="AD1803" s="284"/>
      <c r="AE1803" s="284"/>
      <c r="AF1803" s="284"/>
      <c r="AG1803" s="284"/>
      <c r="AI1803" s="131"/>
    </row>
    <row r="1804" spans="1:35" ht="26.4">
      <c r="A1804" s="284"/>
      <c r="B1804" s="284"/>
      <c r="C1804" s="284"/>
      <c r="D1804" s="284"/>
      <c r="E1804" s="284"/>
      <c r="F1804" s="284"/>
      <c r="G1804" s="284"/>
      <c r="H1804" s="284"/>
      <c r="I1804" s="284"/>
      <c r="J1804" s="375"/>
      <c r="K1804" s="375"/>
      <c r="L1804" s="375"/>
      <c r="M1804" s="368"/>
      <c r="N1804" s="368"/>
      <c r="O1804" s="370"/>
      <c r="T1804" s="340"/>
      <c r="V1804" s="378"/>
      <c r="W1804" s="64" ph="1"/>
      <c r="X1804" s="241"/>
      <c r="Y1804" s="284"/>
      <c r="Z1804" s="207"/>
      <c r="AA1804" s="284"/>
      <c r="AB1804" s="284"/>
      <c r="AC1804" s="284"/>
      <c r="AD1804" s="284"/>
      <c r="AE1804" s="284"/>
      <c r="AF1804" s="284"/>
      <c r="AG1804" s="284"/>
      <c r="AI1804" s="131"/>
    </row>
    <row r="1805" spans="1:35" ht="26.4">
      <c r="A1805" s="284"/>
      <c r="B1805" s="284"/>
      <c r="C1805" s="284"/>
      <c r="D1805" s="284"/>
      <c r="E1805" s="284"/>
      <c r="F1805" s="284"/>
      <c r="G1805" s="284"/>
      <c r="H1805" s="284"/>
      <c r="I1805" s="284"/>
      <c r="J1805" s="375"/>
      <c r="K1805" s="375"/>
      <c r="L1805" s="375"/>
      <c r="M1805" s="368"/>
      <c r="N1805" s="368"/>
      <c r="O1805" s="370"/>
      <c r="T1805" s="340"/>
      <c r="V1805" s="378"/>
      <c r="W1805" s="64" ph="1"/>
      <c r="X1805" s="241"/>
      <c r="Y1805" s="284"/>
      <c r="Z1805" s="207"/>
      <c r="AA1805" s="284"/>
      <c r="AB1805" s="284"/>
      <c r="AC1805" s="284"/>
      <c r="AD1805" s="284"/>
      <c r="AE1805" s="284"/>
      <c r="AF1805" s="284"/>
      <c r="AG1805" s="284"/>
      <c r="AI1805" s="131"/>
    </row>
    <row r="1806" spans="1:35" ht="26.4">
      <c r="A1806" s="284"/>
      <c r="B1806" s="284"/>
      <c r="C1806" s="284"/>
      <c r="D1806" s="284"/>
      <c r="E1806" s="284"/>
      <c r="F1806" s="284"/>
      <c r="G1806" s="284"/>
      <c r="H1806" s="284"/>
      <c r="I1806" s="284"/>
      <c r="J1806" s="375"/>
      <c r="K1806" s="375"/>
      <c r="L1806" s="375"/>
      <c r="M1806" s="368"/>
      <c r="N1806" s="368"/>
      <c r="O1806" s="370"/>
      <c r="T1806" s="340"/>
      <c r="V1806" s="378"/>
      <c r="W1806" s="64" ph="1"/>
      <c r="X1806" s="241"/>
      <c r="Y1806" s="284"/>
      <c r="Z1806" s="207"/>
      <c r="AA1806" s="284"/>
      <c r="AB1806" s="284"/>
      <c r="AC1806" s="284"/>
      <c r="AD1806" s="284"/>
      <c r="AE1806" s="284"/>
      <c r="AF1806" s="284"/>
      <c r="AG1806" s="284"/>
      <c r="AI1806" s="131"/>
    </row>
    <row r="1807" spans="1:35" ht="26.4">
      <c r="A1807" s="284"/>
      <c r="B1807" s="284"/>
      <c r="C1807" s="284"/>
      <c r="D1807" s="284"/>
      <c r="E1807" s="284"/>
      <c r="F1807" s="284"/>
      <c r="G1807" s="284"/>
      <c r="H1807" s="284"/>
      <c r="I1807" s="284"/>
      <c r="J1807" s="375"/>
      <c r="K1807" s="375"/>
      <c r="L1807" s="375"/>
      <c r="M1807" s="368"/>
      <c r="N1807" s="368"/>
      <c r="O1807" s="370"/>
      <c r="T1807" s="340"/>
      <c r="V1807" s="378"/>
      <c r="W1807" s="64" ph="1"/>
      <c r="X1807" s="241"/>
      <c r="Y1807" s="284"/>
      <c r="Z1807" s="207"/>
      <c r="AA1807" s="284"/>
      <c r="AB1807" s="284"/>
      <c r="AC1807" s="284"/>
      <c r="AD1807" s="284"/>
      <c r="AE1807" s="284"/>
      <c r="AF1807" s="284"/>
      <c r="AG1807" s="284"/>
      <c r="AI1807" s="131"/>
    </row>
    <row r="1808" spans="1:35" ht="26.4">
      <c r="A1808" s="284"/>
      <c r="B1808" s="284"/>
      <c r="C1808" s="284"/>
      <c r="D1808" s="284"/>
      <c r="E1808" s="284"/>
      <c r="F1808" s="284"/>
      <c r="G1808" s="284"/>
      <c r="H1808" s="284"/>
      <c r="I1808" s="284"/>
      <c r="J1808" s="375"/>
      <c r="K1808" s="375"/>
      <c r="L1808" s="375"/>
      <c r="M1808" s="368"/>
      <c r="N1808" s="368"/>
      <c r="O1808" s="370"/>
      <c r="T1808" s="340"/>
      <c r="V1808" s="378"/>
      <c r="W1808" s="64" ph="1"/>
      <c r="X1808" s="241"/>
      <c r="Y1808" s="284"/>
      <c r="Z1808" s="207"/>
      <c r="AA1808" s="284"/>
      <c r="AB1808" s="284"/>
      <c r="AC1808" s="284"/>
      <c r="AD1808" s="284"/>
      <c r="AE1808" s="284"/>
      <c r="AF1808" s="284"/>
      <c r="AG1808" s="284"/>
      <c r="AI1808" s="131"/>
    </row>
    <row r="1809" spans="1:35" ht="26.4">
      <c r="A1809" s="284"/>
      <c r="B1809" s="284"/>
      <c r="C1809" s="284"/>
      <c r="D1809" s="284"/>
      <c r="E1809" s="284"/>
      <c r="F1809" s="284"/>
      <c r="G1809" s="284"/>
      <c r="H1809" s="284"/>
      <c r="I1809" s="284"/>
      <c r="J1809" s="375"/>
      <c r="K1809" s="375"/>
      <c r="L1809" s="375"/>
      <c r="M1809" s="368"/>
      <c r="N1809" s="368"/>
      <c r="O1809" s="370"/>
      <c r="T1809" s="340"/>
      <c r="V1809" s="378"/>
      <c r="W1809" s="64" ph="1"/>
      <c r="X1809" s="241"/>
      <c r="Y1809" s="284"/>
      <c r="Z1809" s="207"/>
      <c r="AA1809" s="284"/>
      <c r="AB1809" s="284"/>
      <c r="AC1809" s="284"/>
      <c r="AD1809" s="284"/>
      <c r="AE1809" s="284"/>
      <c r="AF1809" s="284"/>
      <c r="AG1809" s="284"/>
      <c r="AI1809" s="131"/>
    </row>
    <row r="1810" spans="1:35" ht="26.4">
      <c r="A1810" s="284"/>
      <c r="B1810" s="284"/>
      <c r="C1810" s="284"/>
      <c r="D1810" s="284"/>
      <c r="E1810" s="284"/>
      <c r="F1810" s="284"/>
      <c r="G1810" s="284"/>
      <c r="H1810" s="284"/>
      <c r="I1810" s="284"/>
      <c r="J1810" s="375"/>
      <c r="K1810" s="375"/>
      <c r="L1810" s="375"/>
      <c r="M1810" s="368"/>
      <c r="N1810" s="368"/>
      <c r="O1810" s="370"/>
      <c r="T1810" s="340"/>
      <c r="V1810" s="378"/>
      <c r="W1810" s="64" ph="1"/>
      <c r="X1810" s="241"/>
      <c r="Y1810" s="284"/>
      <c r="Z1810" s="207"/>
      <c r="AA1810" s="284"/>
      <c r="AB1810" s="284"/>
      <c r="AC1810" s="284"/>
      <c r="AD1810" s="284"/>
      <c r="AE1810" s="284"/>
      <c r="AF1810" s="284"/>
      <c r="AG1810" s="284"/>
      <c r="AI1810" s="131"/>
    </row>
    <row r="1811" spans="1:35" ht="26.4">
      <c r="A1811" s="284"/>
      <c r="B1811" s="284"/>
      <c r="C1811" s="284"/>
      <c r="D1811" s="284"/>
      <c r="E1811" s="284"/>
      <c r="F1811" s="284"/>
      <c r="G1811" s="284"/>
      <c r="H1811" s="284"/>
      <c r="I1811" s="284"/>
      <c r="J1811" s="375"/>
      <c r="K1811" s="375"/>
      <c r="L1811" s="375"/>
      <c r="M1811" s="368"/>
      <c r="N1811" s="368"/>
      <c r="O1811" s="370"/>
      <c r="T1811" s="340"/>
      <c r="V1811" s="378"/>
      <c r="W1811" s="64" ph="1"/>
      <c r="X1811" s="241"/>
      <c r="Y1811" s="284"/>
      <c r="Z1811" s="207"/>
      <c r="AA1811" s="284"/>
      <c r="AB1811" s="284"/>
      <c r="AC1811" s="284"/>
      <c r="AD1811" s="284"/>
      <c r="AE1811" s="284"/>
      <c r="AF1811" s="284"/>
      <c r="AG1811" s="284"/>
      <c r="AI1811" s="131"/>
    </row>
    <row r="1812" spans="1:35" ht="26.4">
      <c r="A1812" s="284"/>
      <c r="B1812" s="284"/>
      <c r="C1812" s="284"/>
      <c r="D1812" s="284"/>
      <c r="E1812" s="284"/>
      <c r="F1812" s="284"/>
      <c r="G1812" s="284"/>
      <c r="H1812" s="284"/>
      <c r="I1812" s="284"/>
      <c r="J1812" s="375"/>
      <c r="K1812" s="375"/>
      <c r="L1812" s="375"/>
      <c r="M1812" s="368"/>
      <c r="N1812" s="368"/>
      <c r="O1812" s="370"/>
      <c r="T1812" s="340"/>
      <c r="V1812" s="378"/>
      <c r="W1812" s="64" ph="1"/>
      <c r="X1812" s="241"/>
      <c r="Y1812" s="284"/>
      <c r="Z1812" s="207"/>
      <c r="AA1812" s="284"/>
      <c r="AB1812" s="284"/>
      <c r="AC1812" s="284"/>
      <c r="AD1812" s="284"/>
      <c r="AE1812" s="284"/>
      <c r="AF1812" s="284"/>
      <c r="AG1812" s="284"/>
      <c r="AI1812" s="131"/>
    </row>
    <row r="1813" spans="1:35" ht="26.4">
      <c r="A1813" s="284"/>
      <c r="B1813" s="284"/>
      <c r="C1813" s="284"/>
      <c r="D1813" s="284"/>
      <c r="E1813" s="284"/>
      <c r="F1813" s="284"/>
      <c r="G1813" s="284"/>
      <c r="H1813" s="284"/>
      <c r="I1813" s="284"/>
      <c r="J1813" s="375"/>
      <c r="K1813" s="375"/>
      <c r="L1813" s="375"/>
      <c r="M1813" s="368"/>
      <c r="N1813" s="368"/>
      <c r="O1813" s="370"/>
      <c r="T1813" s="340"/>
      <c r="V1813" s="378"/>
      <c r="W1813" s="64" ph="1"/>
      <c r="X1813" s="241"/>
      <c r="Y1813" s="284"/>
      <c r="Z1813" s="207"/>
      <c r="AA1813" s="284"/>
      <c r="AB1813" s="284"/>
      <c r="AC1813" s="284"/>
      <c r="AD1813" s="284"/>
      <c r="AE1813" s="284"/>
      <c r="AF1813" s="284"/>
      <c r="AG1813" s="284"/>
      <c r="AI1813" s="131"/>
    </row>
    <row r="1814" spans="1:35" ht="26.4">
      <c r="A1814" s="284"/>
      <c r="B1814" s="284"/>
      <c r="C1814" s="284"/>
      <c r="D1814" s="284"/>
      <c r="E1814" s="284"/>
      <c r="F1814" s="284"/>
      <c r="G1814" s="284"/>
      <c r="H1814" s="284"/>
      <c r="I1814" s="284"/>
      <c r="J1814" s="375"/>
      <c r="K1814" s="375"/>
      <c r="L1814" s="375"/>
      <c r="M1814" s="368"/>
      <c r="N1814" s="368"/>
      <c r="O1814" s="370"/>
      <c r="T1814" s="340"/>
      <c r="V1814" s="378"/>
      <c r="W1814" s="64" ph="1"/>
      <c r="X1814" s="241"/>
      <c r="Y1814" s="284"/>
      <c r="Z1814" s="207"/>
      <c r="AA1814" s="284"/>
      <c r="AB1814" s="284"/>
      <c r="AC1814" s="284"/>
      <c r="AD1814" s="284"/>
      <c r="AE1814" s="284"/>
      <c r="AF1814" s="284"/>
      <c r="AG1814" s="284"/>
      <c r="AI1814" s="131"/>
    </row>
    <row r="1815" spans="1:35" ht="26.4">
      <c r="A1815" s="284"/>
      <c r="B1815" s="284"/>
      <c r="C1815" s="284"/>
      <c r="D1815" s="284"/>
      <c r="E1815" s="284"/>
      <c r="F1815" s="284"/>
      <c r="G1815" s="284"/>
      <c r="H1815" s="284"/>
      <c r="I1815" s="284"/>
      <c r="J1815" s="375"/>
      <c r="K1815" s="375"/>
      <c r="L1815" s="375"/>
      <c r="M1815" s="368"/>
      <c r="N1815" s="368"/>
      <c r="O1815" s="370"/>
      <c r="T1815" s="340"/>
      <c r="V1815" s="378"/>
      <c r="W1815" s="64" ph="1"/>
      <c r="X1815" s="241"/>
      <c r="Y1815" s="284"/>
      <c r="Z1815" s="207"/>
      <c r="AA1815" s="284"/>
      <c r="AB1815" s="284"/>
      <c r="AC1815" s="284"/>
      <c r="AD1815" s="284"/>
      <c r="AE1815" s="284"/>
      <c r="AF1815" s="284"/>
      <c r="AG1815" s="284"/>
      <c r="AI1815" s="131"/>
    </row>
    <row r="1816" spans="1:35" ht="26.4">
      <c r="A1816" s="284"/>
      <c r="B1816" s="284"/>
      <c r="C1816" s="284"/>
      <c r="D1816" s="284"/>
      <c r="E1816" s="284"/>
      <c r="F1816" s="284"/>
      <c r="G1816" s="284"/>
      <c r="H1816" s="284"/>
      <c r="I1816" s="284"/>
      <c r="J1816" s="375"/>
      <c r="K1816" s="375"/>
      <c r="L1816" s="375"/>
      <c r="M1816" s="368"/>
      <c r="N1816" s="368"/>
      <c r="O1816" s="370"/>
      <c r="T1816" s="340"/>
      <c r="V1816" s="378"/>
      <c r="W1816" s="64" ph="1"/>
      <c r="X1816" s="241"/>
      <c r="Y1816" s="284"/>
      <c r="Z1816" s="207"/>
      <c r="AA1816" s="284"/>
      <c r="AB1816" s="284"/>
      <c r="AC1816" s="284"/>
      <c r="AD1816" s="284"/>
      <c r="AE1816" s="284"/>
      <c r="AF1816" s="284"/>
      <c r="AG1816" s="284"/>
      <c r="AI1816" s="131"/>
    </row>
    <row r="1817" spans="1:35" ht="26.4">
      <c r="A1817" s="284"/>
      <c r="B1817" s="284"/>
      <c r="C1817" s="284"/>
      <c r="D1817" s="284"/>
      <c r="E1817" s="284"/>
      <c r="F1817" s="284"/>
      <c r="G1817" s="284"/>
      <c r="H1817" s="284"/>
      <c r="I1817" s="284"/>
      <c r="J1817" s="375"/>
      <c r="K1817" s="375"/>
      <c r="L1817" s="375"/>
      <c r="M1817" s="368"/>
      <c r="N1817" s="368"/>
      <c r="O1817" s="370"/>
      <c r="T1817" s="340"/>
      <c r="V1817" s="378"/>
      <c r="W1817" s="64" ph="1"/>
      <c r="X1817" s="241"/>
      <c r="Y1817" s="284"/>
      <c r="Z1817" s="207"/>
      <c r="AA1817" s="284"/>
      <c r="AB1817" s="284"/>
      <c r="AC1817" s="284"/>
      <c r="AD1817" s="284"/>
      <c r="AE1817" s="284"/>
      <c r="AF1817" s="284"/>
      <c r="AG1817" s="284"/>
      <c r="AI1817" s="131"/>
    </row>
    <row r="1818" spans="1:35" ht="26.4">
      <c r="A1818" s="284"/>
      <c r="B1818" s="284"/>
      <c r="C1818" s="284"/>
      <c r="D1818" s="284"/>
      <c r="E1818" s="284"/>
      <c r="F1818" s="284"/>
      <c r="G1818" s="284"/>
      <c r="H1818" s="284"/>
      <c r="I1818" s="284"/>
      <c r="J1818" s="375"/>
      <c r="K1818" s="375"/>
      <c r="L1818" s="375"/>
      <c r="M1818" s="368"/>
      <c r="N1818" s="368"/>
      <c r="O1818" s="370"/>
      <c r="T1818" s="340"/>
      <c r="V1818" s="378"/>
      <c r="W1818" s="64" ph="1"/>
      <c r="X1818" s="241"/>
      <c r="Y1818" s="284"/>
      <c r="Z1818" s="207"/>
      <c r="AA1818" s="284"/>
      <c r="AB1818" s="284"/>
      <c r="AC1818" s="284"/>
      <c r="AD1818" s="284"/>
      <c r="AE1818" s="284"/>
      <c r="AF1818" s="284"/>
      <c r="AG1818" s="284"/>
      <c r="AI1818" s="131"/>
    </row>
    <row r="1819" spans="1:35" ht="26.4">
      <c r="A1819" s="284"/>
      <c r="B1819" s="284"/>
      <c r="C1819" s="284"/>
      <c r="D1819" s="284"/>
      <c r="E1819" s="284"/>
      <c r="F1819" s="284"/>
      <c r="G1819" s="284"/>
      <c r="H1819" s="284"/>
      <c r="I1819" s="284"/>
      <c r="J1819" s="375"/>
      <c r="K1819" s="375"/>
      <c r="L1819" s="375"/>
      <c r="M1819" s="368"/>
      <c r="N1819" s="368"/>
      <c r="O1819" s="370"/>
      <c r="T1819" s="340"/>
      <c r="V1819" s="378"/>
      <c r="W1819" s="64" ph="1"/>
      <c r="X1819" s="241"/>
      <c r="Y1819" s="284"/>
      <c r="Z1819" s="207"/>
      <c r="AA1819" s="284"/>
      <c r="AB1819" s="284"/>
      <c r="AC1819" s="284"/>
      <c r="AD1819" s="284"/>
      <c r="AE1819" s="284"/>
      <c r="AF1819" s="284"/>
      <c r="AG1819" s="284"/>
      <c r="AI1819" s="128"/>
    </row>
    <row r="1820" spans="1:35" ht="26.4">
      <c r="A1820" s="284"/>
      <c r="B1820" s="284"/>
      <c r="C1820" s="284"/>
      <c r="D1820" s="284"/>
      <c r="E1820" s="284"/>
      <c r="F1820" s="284"/>
      <c r="G1820" s="284"/>
      <c r="H1820" s="284"/>
      <c r="I1820" s="284"/>
      <c r="J1820" s="375"/>
      <c r="K1820" s="375"/>
      <c r="L1820" s="375"/>
      <c r="M1820" s="368"/>
      <c r="N1820" s="368"/>
      <c r="O1820" s="370"/>
      <c r="T1820" s="340"/>
      <c r="V1820" s="378"/>
      <c r="W1820" s="64" ph="1"/>
      <c r="X1820" s="241"/>
      <c r="Y1820" s="284"/>
      <c r="Z1820" s="207"/>
      <c r="AA1820" s="284"/>
      <c r="AB1820" s="284"/>
      <c r="AC1820" s="284"/>
      <c r="AD1820" s="284"/>
      <c r="AE1820" s="284"/>
      <c r="AF1820" s="284"/>
      <c r="AG1820" s="284"/>
      <c r="AI1820" s="131"/>
    </row>
    <row r="1821" spans="1:35" ht="26.4">
      <c r="A1821" s="284"/>
      <c r="B1821" s="284"/>
      <c r="C1821" s="284"/>
      <c r="D1821" s="284"/>
      <c r="E1821" s="284"/>
      <c r="F1821" s="284"/>
      <c r="G1821" s="284"/>
      <c r="H1821" s="284"/>
      <c r="I1821" s="284"/>
      <c r="J1821" s="375"/>
      <c r="K1821" s="375"/>
      <c r="L1821" s="375"/>
      <c r="M1821" s="368"/>
      <c r="N1821" s="368"/>
      <c r="O1821" s="370"/>
      <c r="T1821" s="340"/>
      <c r="V1821" s="378"/>
      <c r="W1821" s="64" ph="1"/>
      <c r="X1821" s="241"/>
      <c r="Y1821" s="284"/>
      <c r="Z1821" s="207"/>
      <c r="AA1821" s="284"/>
      <c r="AB1821" s="284"/>
      <c r="AC1821" s="284"/>
      <c r="AD1821" s="284"/>
      <c r="AE1821" s="284"/>
      <c r="AF1821" s="284"/>
      <c r="AG1821" s="284"/>
      <c r="AI1821" s="131"/>
    </row>
    <row r="1822" spans="1:35" ht="26.4">
      <c r="A1822" s="284"/>
      <c r="B1822" s="284"/>
      <c r="C1822" s="284"/>
      <c r="D1822" s="284"/>
      <c r="E1822" s="284"/>
      <c r="F1822" s="284"/>
      <c r="G1822" s="284"/>
      <c r="H1822" s="284"/>
      <c r="I1822" s="284"/>
      <c r="J1822" s="375"/>
      <c r="K1822" s="375"/>
      <c r="L1822" s="375"/>
      <c r="M1822" s="368"/>
      <c r="N1822" s="368"/>
      <c r="O1822" s="370"/>
      <c r="T1822" s="340"/>
      <c r="V1822" s="378"/>
      <c r="W1822" s="64" ph="1"/>
      <c r="X1822" s="241"/>
      <c r="Y1822" s="284"/>
      <c r="Z1822" s="207"/>
      <c r="AA1822" s="284"/>
      <c r="AB1822" s="284"/>
      <c r="AC1822" s="284"/>
      <c r="AD1822" s="284"/>
      <c r="AE1822" s="284"/>
      <c r="AF1822" s="284"/>
      <c r="AG1822" s="284"/>
      <c r="AI1822" s="131"/>
    </row>
    <row r="1823" spans="1:35" ht="26.4">
      <c r="A1823" s="284"/>
      <c r="B1823" s="284"/>
      <c r="C1823" s="284"/>
      <c r="D1823" s="284"/>
      <c r="E1823" s="284"/>
      <c r="F1823" s="284"/>
      <c r="G1823" s="284"/>
      <c r="H1823" s="284"/>
      <c r="I1823" s="284"/>
      <c r="J1823" s="375"/>
      <c r="K1823" s="375"/>
      <c r="L1823" s="375"/>
      <c r="M1823" s="368"/>
      <c r="N1823" s="368"/>
      <c r="O1823" s="370"/>
      <c r="T1823" s="340"/>
      <c r="V1823" s="378"/>
      <c r="W1823" s="64" ph="1"/>
      <c r="X1823" s="241"/>
      <c r="Y1823" s="284"/>
      <c r="Z1823" s="207"/>
      <c r="AA1823" s="284"/>
      <c r="AB1823" s="284"/>
      <c r="AC1823" s="284"/>
      <c r="AD1823" s="284"/>
      <c r="AE1823" s="284"/>
      <c r="AF1823" s="284"/>
      <c r="AG1823" s="284"/>
      <c r="AI1823" s="131"/>
    </row>
    <row r="1824" spans="1:35" ht="26.4">
      <c r="A1824" s="284"/>
      <c r="B1824" s="284"/>
      <c r="C1824" s="284"/>
      <c r="D1824" s="284"/>
      <c r="E1824" s="284"/>
      <c r="F1824" s="284"/>
      <c r="G1824" s="284"/>
      <c r="H1824" s="284"/>
      <c r="I1824" s="284"/>
      <c r="J1824" s="375"/>
      <c r="K1824" s="375"/>
      <c r="L1824" s="375"/>
      <c r="M1824" s="368"/>
      <c r="N1824" s="368"/>
      <c r="O1824" s="370"/>
      <c r="T1824" s="340"/>
      <c r="V1824" s="378"/>
      <c r="W1824" s="64" ph="1"/>
      <c r="X1824" s="241"/>
      <c r="Y1824" s="284"/>
      <c r="Z1824" s="207"/>
      <c r="AA1824" s="284"/>
      <c r="AB1824" s="284"/>
      <c r="AC1824" s="284"/>
      <c r="AD1824" s="284"/>
      <c r="AE1824" s="284"/>
      <c r="AF1824" s="284"/>
      <c r="AG1824" s="284"/>
      <c r="AI1824" s="131"/>
    </row>
    <row r="1825" spans="1:35" ht="26.4">
      <c r="A1825" s="284"/>
      <c r="B1825" s="284"/>
      <c r="C1825" s="284"/>
      <c r="D1825" s="284"/>
      <c r="E1825" s="284"/>
      <c r="F1825" s="284"/>
      <c r="G1825" s="284"/>
      <c r="H1825" s="284"/>
      <c r="I1825" s="284"/>
      <c r="J1825" s="375"/>
      <c r="K1825" s="375"/>
      <c r="L1825" s="375"/>
      <c r="M1825" s="368"/>
      <c r="N1825" s="368"/>
      <c r="O1825" s="370"/>
      <c r="T1825" s="340"/>
      <c r="V1825" s="378"/>
      <c r="W1825" s="64" ph="1"/>
      <c r="X1825" s="241"/>
      <c r="Y1825" s="284"/>
      <c r="Z1825" s="207"/>
      <c r="AA1825" s="284"/>
      <c r="AB1825" s="284"/>
      <c r="AC1825" s="284"/>
      <c r="AD1825" s="284"/>
      <c r="AE1825" s="284"/>
      <c r="AF1825" s="284"/>
      <c r="AG1825" s="284"/>
      <c r="AI1825" s="131"/>
    </row>
    <row r="1826" spans="1:35" ht="26.4">
      <c r="A1826" s="284"/>
      <c r="B1826" s="284"/>
      <c r="C1826" s="284"/>
      <c r="D1826" s="284"/>
      <c r="E1826" s="284"/>
      <c r="F1826" s="284"/>
      <c r="G1826" s="284"/>
      <c r="H1826" s="284"/>
      <c r="I1826" s="284"/>
      <c r="J1826" s="375"/>
      <c r="K1826" s="375"/>
      <c r="L1826" s="375"/>
      <c r="M1826" s="368"/>
      <c r="N1826" s="368"/>
      <c r="O1826" s="370"/>
      <c r="T1826" s="340"/>
      <c r="V1826" s="378"/>
      <c r="W1826" s="64" ph="1"/>
      <c r="X1826" s="241"/>
      <c r="Y1826" s="284"/>
      <c r="Z1826" s="207"/>
      <c r="AA1826" s="284"/>
      <c r="AB1826" s="284"/>
      <c r="AC1826" s="284"/>
      <c r="AD1826" s="284"/>
      <c r="AE1826" s="284"/>
      <c r="AF1826" s="284"/>
      <c r="AG1826" s="284"/>
      <c r="AI1826" s="131"/>
    </row>
    <row r="1827" spans="1:35" ht="26.4">
      <c r="A1827" s="284"/>
      <c r="B1827" s="284"/>
      <c r="C1827" s="284"/>
      <c r="D1827" s="284"/>
      <c r="E1827" s="284"/>
      <c r="F1827" s="284"/>
      <c r="G1827" s="284"/>
      <c r="H1827" s="284"/>
      <c r="I1827" s="284"/>
      <c r="J1827" s="375"/>
      <c r="K1827" s="375"/>
      <c r="L1827" s="375"/>
      <c r="M1827" s="368"/>
      <c r="N1827" s="368"/>
      <c r="O1827" s="370"/>
      <c r="T1827" s="340"/>
      <c r="V1827" s="378"/>
      <c r="W1827" s="64" ph="1"/>
      <c r="X1827" s="241"/>
      <c r="Y1827" s="284"/>
      <c r="Z1827" s="207"/>
      <c r="AA1827" s="284"/>
      <c r="AB1827" s="284"/>
      <c r="AC1827" s="284"/>
      <c r="AD1827" s="284"/>
      <c r="AE1827" s="284"/>
      <c r="AF1827" s="284"/>
      <c r="AG1827" s="284"/>
      <c r="AI1827" s="131"/>
    </row>
    <row r="1828" spans="1:35" ht="26.4">
      <c r="A1828" s="284"/>
      <c r="B1828" s="284"/>
      <c r="C1828" s="284"/>
      <c r="D1828" s="284"/>
      <c r="E1828" s="284"/>
      <c r="F1828" s="284"/>
      <c r="G1828" s="284"/>
      <c r="H1828" s="284"/>
      <c r="I1828" s="284"/>
      <c r="J1828" s="375"/>
      <c r="K1828" s="375"/>
      <c r="L1828" s="375"/>
      <c r="M1828" s="368"/>
      <c r="N1828" s="368"/>
      <c r="O1828" s="370"/>
      <c r="T1828" s="340"/>
      <c r="V1828" s="378"/>
      <c r="W1828" s="64" ph="1"/>
      <c r="X1828" s="241"/>
      <c r="Y1828" s="284"/>
      <c r="Z1828" s="207"/>
      <c r="AA1828" s="284"/>
      <c r="AB1828" s="284"/>
      <c r="AC1828" s="284"/>
      <c r="AD1828" s="284"/>
      <c r="AE1828" s="284"/>
      <c r="AF1828" s="284"/>
      <c r="AG1828" s="284"/>
      <c r="AI1828" s="131"/>
    </row>
    <row r="1829" spans="1:35" ht="26.4">
      <c r="A1829" s="284"/>
      <c r="B1829" s="284"/>
      <c r="C1829" s="284"/>
      <c r="D1829" s="284"/>
      <c r="E1829" s="284"/>
      <c r="F1829" s="284"/>
      <c r="G1829" s="284"/>
      <c r="H1829" s="284"/>
      <c r="I1829" s="284"/>
      <c r="J1829" s="375"/>
      <c r="K1829" s="375"/>
      <c r="L1829" s="375"/>
      <c r="M1829" s="368"/>
      <c r="N1829" s="368"/>
      <c r="O1829" s="370"/>
      <c r="T1829" s="340"/>
      <c r="V1829" s="378"/>
      <c r="W1829" s="64" ph="1"/>
      <c r="X1829" s="241"/>
      <c r="Y1829" s="284"/>
      <c r="Z1829" s="207"/>
      <c r="AA1829" s="284"/>
      <c r="AB1829" s="284"/>
      <c r="AC1829" s="284"/>
      <c r="AD1829" s="284"/>
      <c r="AE1829" s="284"/>
      <c r="AF1829" s="284"/>
      <c r="AG1829" s="284"/>
      <c r="AI1829" s="131"/>
    </row>
    <row r="1830" spans="1:35" ht="26.4">
      <c r="A1830" s="284"/>
      <c r="B1830" s="284"/>
      <c r="C1830" s="284"/>
      <c r="D1830" s="284"/>
      <c r="E1830" s="284"/>
      <c r="F1830" s="284"/>
      <c r="G1830" s="284"/>
      <c r="H1830" s="284"/>
      <c r="I1830" s="284"/>
      <c r="J1830" s="375"/>
      <c r="K1830" s="375"/>
      <c r="L1830" s="375"/>
      <c r="M1830" s="368"/>
      <c r="N1830" s="368"/>
      <c r="O1830" s="370"/>
      <c r="T1830" s="340"/>
      <c r="V1830" s="378"/>
      <c r="W1830" s="64" ph="1"/>
      <c r="X1830" s="241"/>
      <c r="Y1830" s="284"/>
      <c r="Z1830" s="207"/>
      <c r="AA1830" s="284"/>
      <c r="AB1830" s="284"/>
      <c r="AC1830" s="284"/>
      <c r="AD1830" s="284"/>
      <c r="AE1830" s="284"/>
      <c r="AF1830" s="284"/>
      <c r="AG1830" s="284"/>
      <c r="AI1830" s="131"/>
    </row>
    <row r="1831" spans="1:35" ht="26.4">
      <c r="A1831" s="284"/>
      <c r="B1831" s="284"/>
      <c r="C1831" s="284"/>
      <c r="D1831" s="284"/>
      <c r="E1831" s="284"/>
      <c r="F1831" s="284"/>
      <c r="G1831" s="284"/>
      <c r="H1831" s="284"/>
      <c r="I1831" s="284"/>
      <c r="J1831" s="375"/>
      <c r="K1831" s="375"/>
      <c r="L1831" s="375"/>
      <c r="M1831" s="368"/>
      <c r="N1831" s="368"/>
      <c r="O1831" s="370"/>
      <c r="T1831" s="340"/>
      <c r="V1831" s="378"/>
      <c r="W1831" s="64" ph="1"/>
      <c r="X1831" s="241"/>
      <c r="Y1831" s="284"/>
      <c r="Z1831" s="207"/>
      <c r="AA1831" s="284"/>
      <c r="AB1831" s="284"/>
      <c r="AC1831" s="284"/>
      <c r="AD1831" s="284"/>
      <c r="AE1831" s="284"/>
      <c r="AF1831" s="284"/>
      <c r="AG1831" s="284"/>
      <c r="AI1831" s="131"/>
    </row>
    <row r="1832" spans="1:35" ht="26.4">
      <c r="A1832" s="284"/>
      <c r="B1832" s="284"/>
      <c r="C1832" s="284"/>
      <c r="D1832" s="284"/>
      <c r="E1832" s="284"/>
      <c r="F1832" s="284"/>
      <c r="G1832" s="284"/>
      <c r="H1832" s="284"/>
      <c r="I1832" s="284"/>
      <c r="J1832" s="375"/>
      <c r="K1832" s="375"/>
      <c r="L1832" s="375"/>
      <c r="M1832" s="368"/>
      <c r="N1832" s="368"/>
      <c r="O1832" s="370"/>
      <c r="T1832" s="340"/>
      <c r="V1832" s="378"/>
      <c r="W1832" s="64" ph="1"/>
      <c r="X1832" s="241"/>
      <c r="Y1832" s="284"/>
      <c r="Z1832" s="207"/>
      <c r="AA1832" s="284"/>
      <c r="AB1832" s="284"/>
      <c r="AC1832" s="284"/>
      <c r="AD1832" s="284"/>
      <c r="AE1832" s="284"/>
      <c r="AF1832" s="284"/>
      <c r="AG1832" s="284"/>
      <c r="AI1832" s="131"/>
    </row>
    <row r="1833" spans="1:35" ht="26.4">
      <c r="A1833" s="284"/>
      <c r="B1833" s="284"/>
      <c r="C1833" s="284"/>
      <c r="D1833" s="284"/>
      <c r="E1833" s="284"/>
      <c r="F1833" s="284"/>
      <c r="G1833" s="284"/>
      <c r="H1833" s="284"/>
      <c r="I1833" s="284"/>
      <c r="J1833" s="375"/>
      <c r="K1833" s="375"/>
      <c r="L1833" s="375"/>
      <c r="M1833" s="368"/>
      <c r="N1833" s="368"/>
      <c r="O1833" s="370"/>
      <c r="T1833" s="340"/>
      <c r="V1833" s="378"/>
      <c r="W1833" s="64" ph="1"/>
      <c r="X1833" s="241"/>
      <c r="Y1833" s="284"/>
      <c r="Z1833" s="207"/>
      <c r="AA1833" s="284"/>
      <c r="AB1833" s="284"/>
      <c r="AC1833" s="284"/>
      <c r="AD1833" s="284"/>
      <c r="AE1833" s="284"/>
      <c r="AF1833" s="284"/>
      <c r="AG1833" s="284"/>
      <c r="AI1833" s="131"/>
    </row>
    <row r="1834" spans="1:35" ht="26.4">
      <c r="A1834" s="284"/>
      <c r="B1834" s="284"/>
      <c r="C1834" s="284"/>
      <c r="D1834" s="284"/>
      <c r="E1834" s="284"/>
      <c r="F1834" s="284"/>
      <c r="G1834" s="284"/>
      <c r="H1834" s="284"/>
      <c r="I1834" s="284"/>
      <c r="J1834" s="375"/>
      <c r="K1834" s="375"/>
      <c r="L1834" s="375"/>
      <c r="M1834" s="368"/>
      <c r="N1834" s="368"/>
      <c r="O1834" s="370"/>
      <c r="T1834" s="340"/>
      <c r="V1834" s="378"/>
      <c r="W1834" s="64" ph="1"/>
      <c r="X1834" s="241"/>
      <c r="Y1834" s="284"/>
      <c r="Z1834" s="207"/>
      <c r="AA1834" s="284"/>
      <c r="AB1834" s="284"/>
      <c r="AC1834" s="284"/>
      <c r="AD1834" s="284"/>
      <c r="AE1834" s="284"/>
      <c r="AF1834" s="284"/>
      <c r="AG1834" s="284"/>
      <c r="AI1834" s="131"/>
    </row>
    <row r="1835" spans="1:35" ht="26.4">
      <c r="A1835" s="284"/>
      <c r="B1835" s="284"/>
      <c r="C1835" s="284"/>
      <c r="D1835" s="284"/>
      <c r="E1835" s="284"/>
      <c r="F1835" s="284"/>
      <c r="G1835" s="284"/>
      <c r="H1835" s="284"/>
      <c r="I1835" s="284"/>
      <c r="J1835" s="375"/>
      <c r="K1835" s="375"/>
      <c r="L1835" s="375"/>
      <c r="M1835" s="368"/>
      <c r="N1835" s="368"/>
      <c r="O1835" s="370"/>
      <c r="T1835" s="340"/>
      <c r="V1835" s="378"/>
      <c r="W1835" s="64" ph="1"/>
      <c r="X1835" s="241"/>
      <c r="Y1835" s="284"/>
      <c r="Z1835" s="207"/>
      <c r="AA1835" s="284"/>
      <c r="AB1835" s="284"/>
      <c r="AC1835" s="284"/>
      <c r="AD1835" s="284"/>
      <c r="AE1835" s="284"/>
      <c r="AF1835" s="284"/>
      <c r="AG1835" s="284"/>
      <c r="AI1835" s="131"/>
    </row>
    <row r="1836" spans="1:35" ht="26.4">
      <c r="A1836" s="284"/>
      <c r="B1836" s="284"/>
      <c r="C1836" s="284"/>
      <c r="D1836" s="284"/>
      <c r="E1836" s="284"/>
      <c r="F1836" s="284"/>
      <c r="G1836" s="284"/>
      <c r="H1836" s="284"/>
      <c r="I1836" s="284"/>
      <c r="J1836" s="375"/>
      <c r="K1836" s="375"/>
      <c r="L1836" s="375"/>
      <c r="M1836" s="368"/>
      <c r="N1836" s="368"/>
      <c r="O1836" s="370"/>
      <c r="T1836" s="340"/>
      <c r="V1836" s="378"/>
      <c r="W1836" s="64" ph="1"/>
      <c r="X1836" s="241"/>
      <c r="Y1836" s="284"/>
      <c r="Z1836" s="207"/>
      <c r="AA1836" s="284"/>
      <c r="AB1836" s="284"/>
      <c r="AC1836" s="284"/>
      <c r="AD1836" s="284"/>
      <c r="AE1836" s="284"/>
      <c r="AF1836" s="284"/>
      <c r="AG1836" s="284"/>
      <c r="AI1836" s="131"/>
    </row>
    <row r="1837" spans="1:35" ht="26.4">
      <c r="A1837" s="284"/>
      <c r="B1837" s="284"/>
      <c r="C1837" s="284"/>
      <c r="D1837" s="284"/>
      <c r="E1837" s="284"/>
      <c r="F1837" s="284"/>
      <c r="G1837" s="284"/>
      <c r="H1837" s="284"/>
      <c r="I1837" s="284"/>
      <c r="J1837" s="375"/>
      <c r="K1837" s="375"/>
      <c r="L1837" s="375"/>
      <c r="M1837" s="368"/>
      <c r="N1837" s="368"/>
      <c r="O1837" s="370"/>
      <c r="T1837" s="340"/>
      <c r="V1837" s="378"/>
      <c r="W1837" s="64" ph="1"/>
      <c r="X1837" s="241"/>
      <c r="Y1837" s="284"/>
      <c r="Z1837" s="207"/>
      <c r="AA1837" s="284"/>
      <c r="AB1837" s="284"/>
      <c r="AC1837" s="284"/>
      <c r="AD1837" s="284"/>
      <c r="AE1837" s="284"/>
      <c r="AF1837" s="284"/>
      <c r="AG1837" s="284"/>
      <c r="AI1837" s="131"/>
    </row>
    <row r="1838" spans="1:35" ht="26.4">
      <c r="A1838" s="284"/>
      <c r="B1838" s="284"/>
      <c r="C1838" s="284"/>
      <c r="D1838" s="284"/>
      <c r="E1838" s="284"/>
      <c r="F1838" s="284"/>
      <c r="G1838" s="284"/>
      <c r="H1838" s="284"/>
      <c r="I1838" s="284"/>
      <c r="J1838" s="375"/>
      <c r="K1838" s="375"/>
      <c r="L1838" s="375"/>
      <c r="M1838" s="368"/>
      <c r="N1838" s="368"/>
      <c r="O1838" s="370"/>
      <c r="T1838" s="340"/>
      <c r="V1838" s="378"/>
      <c r="W1838" s="64" ph="1"/>
      <c r="X1838" s="241"/>
      <c r="Y1838" s="284"/>
      <c r="Z1838" s="207"/>
      <c r="AA1838" s="284"/>
      <c r="AB1838" s="284"/>
      <c r="AC1838" s="284"/>
      <c r="AD1838" s="284"/>
      <c r="AE1838" s="284"/>
      <c r="AF1838" s="284"/>
      <c r="AG1838" s="284"/>
      <c r="AI1838" s="131"/>
    </row>
    <row r="1839" spans="1:35" ht="26.4">
      <c r="A1839" s="284"/>
      <c r="B1839" s="284"/>
      <c r="C1839" s="284"/>
      <c r="D1839" s="284"/>
      <c r="E1839" s="284"/>
      <c r="F1839" s="284"/>
      <c r="G1839" s="284"/>
      <c r="H1839" s="284"/>
      <c r="I1839" s="284"/>
      <c r="J1839" s="375"/>
      <c r="K1839" s="375"/>
      <c r="L1839" s="375"/>
      <c r="M1839" s="368"/>
      <c r="N1839" s="368"/>
      <c r="O1839" s="370"/>
      <c r="T1839" s="340"/>
      <c r="V1839" s="378"/>
      <c r="W1839" s="64" ph="1"/>
      <c r="X1839" s="241"/>
      <c r="Y1839" s="284"/>
      <c r="Z1839" s="207"/>
      <c r="AA1839" s="284"/>
      <c r="AB1839" s="284"/>
      <c r="AC1839" s="284"/>
      <c r="AD1839" s="284"/>
      <c r="AE1839" s="284"/>
      <c r="AF1839" s="284"/>
      <c r="AG1839" s="284"/>
      <c r="AI1839" s="131"/>
    </row>
    <row r="1840" spans="1:35" ht="26.4">
      <c r="A1840" s="284"/>
      <c r="B1840" s="284"/>
      <c r="C1840" s="284"/>
      <c r="D1840" s="284"/>
      <c r="E1840" s="284"/>
      <c r="F1840" s="284"/>
      <c r="G1840" s="284"/>
      <c r="H1840" s="284"/>
      <c r="I1840" s="284"/>
      <c r="J1840" s="375"/>
      <c r="K1840" s="375"/>
      <c r="L1840" s="375"/>
      <c r="M1840" s="368"/>
      <c r="N1840" s="368"/>
      <c r="O1840" s="370"/>
      <c r="T1840" s="340"/>
      <c r="V1840" s="378"/>
      <c r="W1840" s="64" ph="1"/>
      <c r="X1840" s="241"/>
      <c r="Y1840" s="284"/>
      <c r="Z1840" s="207"/>
      <c r="AA1840" s="284"/>
      <c r="AB1840" s="284"/>
      <c r="AC1840" s="284"/>
      <c r="AD1840" s="284"/>
      <c r="AE1840" s="284"/>
      <c r="AF1840" s="284"/>
      <c r="AG1840" s="284"/>
      <c r="AI1840" s="131"/>
    </row>
    <row r="1841" spans="1:35" ht="26.4">
      <c r="A1841" s="284"/>
      <c r="B1841" s="284"/>
      <c r="C1841" s="284"/>
      <c r="D1841" s="284"/>
      <c r="E1841" s="284"/>
      <c r="F1841" s="284"/>
      <c r="G1841" s="284"/>
      <c r="H1841" s="284"/>
      <c r="I1841" s="284"/>
      <c r="J1841" s="375"/>
      <c r="K1841" s="375"/>
      <c r="L1841" s="375"/>
      <c r="M1841" s="368"/>
      <c r="N1841" s="368"/>
      <c r="O1841" s="370"/>
      <c r="T1841" s="340"/>
      <c r="V1841" s="378"/>
      <c r="W1841" s="64" ph="1"/>
      <c r="X1841" s="241"/>
      <c r="Y1841" s="284"/>
      <c r="Z1841" s="207"/>
      <c r="AA1841" s="284"/>
      <c r="AB1841" s="284"/>
      <c r="AC1841" s="284"/>
      <c r="AD1841" s="284"/>
      <c r="AE1841" s="284"/>
      <c r="AF1841" s="284"/>
      <c r="AG1841" s="284"/>
      <c r="AI1841" s="131"/>
    </row>
    <row r="1842" spans="1:35" ht="26.4">
      <c r="A1842" s="284"/>
      <c r="B1842" s="284"/>
      <c r="C1842" s="284"/>
      <c r="D1842" s="284"/>
      <c r="E1842" s="284"/>
      <c r="F1842" s="284"/>
      <c r="G1842" s="284"/>
      <c r="H1842" s="284"/>
      <c r="I1842" s="284"/>
      <c r="J1842" s="375"/>
      <c r="K1842" s="375"/>
      <c r="L1842" s="375"/>
      <c r="M1842" s="368"/>
      <c r="N1842" s="368"/>
      <c r="O1842" s="370"/>
      <c r="T1842" s="340"/>
      <c r="V1842" s="378"/>
      <c r="W1842" s="64" ph="1"/>
      <c r="X1842" s="241"/>
      <c r="Y1842" s="284"/>
      <c r="Z1842" s="207"/>
      <c r="AA1842" s="284"/>
      <c r="AB1842" s="284"/>
      <c r="AC1842" s="284"/>
      <c r="AD1842" s="284"/>
      <c r="AE1842" s="284"/>
      <c r="AF1842" s="284"/>
      <c r="AG1842" s="284"/>
      <c r="AI1842" s="131"/>
    </row>
    <row r="1843" spans="1:35" ht="26.4">
      <c r="A1843" s="284"/>
      <c r="B1843" s="284"/>
      <c r="C1843" s="284"/>
      <c r="D1843" s="284"/>
      <c r="E1843" s="284"/>
      <c r="F1843" s="284"/>
      <c r="G1843" s="284"/>
      <c r="H1843" s="284"/>
      <c r="I1843" s="284"/>
      <c r="J1843" s="375"/>
      <c r="K1843" s="375"/>
      <c r="L1843" s="375"/>
      <c r="M1843" s="368"/>
      <c r="N1843" s="368"/>
      <c r="O1843" s="370"/>
      <c r="T1843" s="340"/>
      <c r="V1843" s="378"/>
      <c r="W1843" s="64" ph="1"/>
      <c r="X1843" s="241"/>
      <c r="Y1843" s="284"/>
      <c r="Z1843" s="207"/>
      <c r="AA1843" s="284"/>
      <c r="AB1843" s="284"/>
      <c r="AC1843" s="284"/>
      <c r="AD1843" s="284"/>
      <c r="AE1843" s="284"/>
      <c r="AF1843" s="284"/>
      <c r="AG1843" s="284"/>
      <c r="AI1843" s="284"/>
    </row>
    <row r="1844" spans="1:35" ht="26.4">
      <c r="A1844" s="284"/>
      <c r="B1844" s="284"/>
      <c r="C1844" s="284"/>
      <c r="D1844" s="284"/>
      <c r="E1844" s="284"/>
      <c r="F1844" s="284"/>
      <c r="G1844" s="284"/>
      <c r="H1844" s="284"/>
      <c r="I1844" s="284"/>
      <c r="J1844" s="375"/>
      <c r="K1844" s="375"/>
      <c r="L1844" s="375"/>
      <c r="M1844" s="368"/>
      <c r="N1844" s="368"/>
      <c r="O1844" s="370"/>
      <c r="T1844" s="340"/>
      <c r="V1844" s="378"/>
      <c r="W1844" s="64" ph="1"/>
      <c r="X1844" s="241"/>
      <c r="Y1844" s="284"/>
      <c r="Z1844" s="207"/>
      <c r="AA1844" s="284"/>
      <c r="AB1844" s="284"/>
      <c r="AC1844" s="284"/>
      <c r="AD1844" s="284"/>
      <c r="AE1844" s="284"/>
      <c r="AF1844" s="284"/>
      <c r="AG1844" s="284"/>
      <c r="AI1844" s="131"/>
    </row>
    <row r="1845" spans="1:35" ht="26.4">
      <c r="A1845" s="284"/>
      <c r="B1845" s="284"/>
      <c r="C1845" s="284"/>
      <c r="D1845" s="284"/>
      <c r="E1845" s="284"/>
      <c r="F1845" s="284"/>
      <c r="G1845" s="284"/>
      <c r="H1845" s="284"/>
      <c r="I1845" s="284"/>
      <c r="J1845" s="375"/>
      <c r="K1845" s="375"/>
      <c r="L1845" s="375"/>
      <c r="M1845" s="368"/>
      <c r="N1845" s="368"/>
      <c r="O1845" s="370"/>
      <c r="T1845" s="340"/>
      <c r="V1845" s="378"/>
      <c r="W1845" s="64" ph="1"/>
      <c r="X1845" s="241"/>
      <c r="Y1845" s="284"/>
      <c r="Z1845" s="207"/>
      <c r="AA1845" s="284"/>
      <c r="AB1845" s="284"/>
      <c r="AC1845" s="284"/>
      <c r="AD1845" s="284"/>
      <c r="AE1845" s="284"/>
      <c r="AF1845" s="284"/>
      <c r="AG1845" s="284"/>
      <c r="AI1845" s="131"/>
    </row>
    <row r="1846" spans="1:35" ht="26.4">
      <c r="A1846" s="284"/>
      <c r="B1846" s="284"/>
      <c r="C1846" s="284"/>
      <c r="D1846" s="284"/>
      <c r="E1846" s="284"/>
      <c r="F1846" s="284"/>
      <c r="G1846" s="284"/>
      <c r="H1846" s="284"/>
      <c r="I1846" s="284"/>
      <c r="J1846" s="375"/>
      <c r="K1846" s="375"/>
      <c r="L1846" s="375"/>
      <c r="M1846" s="368"/>
      <c r="N1846" s="368"/>
      <c r="O1846" s="370"/>
      <c r="T1846" s="340"/>
      <c r="V1846" s="378"/>
      <c r="W1846" s="64" ph="1"/>
      <c r="X1846" s="241"/>
      <c r="Y1846" s="284"/>
      <c r="Z1846" s="207"/>
      <c r="AA1846" s="284"/>
      <c r="AB1846" s="284"/>
      <c r="AC1846" s="284"/>
      <c r="AD1846" s="284"/>
      <c r="AE1846" s="284"/>
      <c r="AF1846" s="284"/>
      <c r="AG1846" s="284"/>
      <c r="AI1846" s="131"/>
    </row>
    <row r="1847" spans="1:35" ht="26.4">
      <c r="A1847" s="284"/>
      <c r="B1847" s="284"/>
      <c r="C1847" s="284"/>
      <c r="D1847" s="284"/>
      <c r="E1847" s="284"/>
      <c r="F1847" s="284"/>
      <c r="G1847" s="284"/>
      <c r="H1847" s="284"/>
      <c r="I1847" s="284"/>
      <c r="J1847" s="375"/>
      <c r="K1847" s="375"/>
      <c r="L1847" s="375"/>
      <c r="M1847" s="368"/>
      <c r="N1847" s="368"/>
      <c r="O1847" s="370"/>
      <c r="T1847" s="340"/>
      <c r="V1847" s="378"/>
      <c r="W1847" s="64" ph="1"/>
      <c r="X1847" s="241"/>
      <c r="Y1847" s="284"/>
      <c r="Z1847" s="207"/>
      <c r="AA1847" s="284"/>
      <c r="AB1847" s="284"/>
      <c r="AC1847" s="284"/>
      <c r="AD1847" s="284"/>
      <c r="AE1847" s="284"/>
      <c r="AF1847" s="284"/>
      <c r="AG1847" s="284"/>
      <c r="AI1847" s="131"/>
    </row>
    <row r="1848" spans="1:35" ht="26.4">
      <c r="A1848" s="284"/>
      <c r="B1848" s="284"/>
      <c r="C1848" s="284"/>
      <c r="D1848" s="284"/>
      <c r="E1848" s="284"/>
      <c r="F1848" s="284"/>
      <c r="G1848" s="284"/>
      <c r="H1848" s="284"/>
      <c r="I1848" s="284"/>
      <c r="J1848" s="375"/>
      <c r="K1848" s="375"/>
      <c r="L1848" s="375"/>
      <c r="M1848" s="368"/>
      <c r="N1848" s="368"/>
      <c r="O1848" s="370"/>
      <c r="T1848" s="340"/>
      <c r="V1848" s="378"/>
      <c r="W1848" s="64" ph="1"/>
      <c r="X1848" s="241"/>
      <c r="Y1848" s="284"/>
      <c r="Z1848" s="207"/>
      <c r="AA1848" s="284"/>
      <c r="AB1848" s="284"/>
      <c r="AC1848" s="284"/>
      <c r="AD1848" s="284"/>
      <c r="AE1848" s="284"/>
      <c r="AF1848" s="284"/>
      <c r="AG1848" s="284"/>
      <c r="AI1848" s="284"/>
    </row>
    <row r="1849" spans="1:35" ht="26.4">
      <c r="A1849" s="284"/>
      <c r="B1849" s="284"/>
      <c r="C1849" s="284"/>
      <c r="D1849" s="284"/>
      <c r="E1849" s="284"/>
      <c r="F1849" s="284"/>
      <c r="G1849" s="284"/>
      <c r="H1849" s="284"/>
      <c r="I1849" s="284"/>
      <c r="J1849" s="375"/>
      <c r="K1849" s="375"/>
      <c r="L1849" s="375"/>
      <c r="M1849" s="368"/>
      <c r="N1849" s="368"/>
      <c r="O1849" s="370"/>
      <c r="T1849" s="340"/>
      <c r="V1849" s="378"/>
      <c r="W1849" s="64" ph="1"/>
      <c r="X1849" s="241"/>
      <c r="Y1849" s="284"/>
      <c r="Z1849" s="207"/>
      <c r="AA1849" s="284"/>
      <c r="AB1849" s="284"/>
      <c r="AC1849" s="284"/>
      <c r="AD1849" s="284"/>
      <c r="AE1849" s="284"/>
      <c r="AF1849" s="284"/>
      <c r="AG1849" s="284"/>
      <c r="AI1849" s="131"/>
    </row>
    <row r="1850" spans="1:35" ht="26.4">
      <c r="A1850" s="284"/>
      <c r="B1850" s="284"/>
      <c r="C1850" s="284"/>
      <c r="D1850" s="284"/>
      <c r="E1850" s="284"/>
      <c r="F1850" s="284"/>
      <c r="G1850" s="284"/>
      <c r="H1850" s="284"/>
      <c r="I1850" s="284"/>
      <c r="J1850" s="375"/>
      <c r="K1850" s="375"/>
      <c r="L1850" s="375"/>
      <c r="M1850" s="368"/>
      <c r="N1850" s="368"/>
      <c r="O1850" s="370"/>
      <c r="T1850" s="340"/>
      <c r="V1850" s="378"/>
      <c r="W1850" s="64" ph="1"/>
      <c r="X1850" s="241"/>
      <c r="Y1850" s="284"/>
      <c r="Z1850" s="207"/>
      <c r="AA1850" s="284"/>
      <c r="AB1850" s="284"/>
      <c r="AC1850" s="284"/>
      <c r="AD1850" s="284"/>
      <c r="AE1850" s="284"/>
      <c r="AF1850" s="284"/>
      <c r="AG1850" s="284"/>
      <c r="AI1850" s="131"/>
    </row>
    <row r="1851" spans="1:35" ht="26.4">
      <c r="A1851" s="284"/>
      <c r="B1851" s="284"/>
      <c r="C1851" s="284"/>
      <c r="D1851" s="284"/>
      <c r="E1851" s="284"/>
      <c r="F1851" s="284"/>
      <c r="G1851" s="284"/>
      <c r="H1851" s="284"/>
      <c r="I1851" s="284"/>
      <c r="J1851" s="375"/>
      <c r="K1851" s="375"/>
      <c r="L1851" s="375"/>
      <c r="M1851" s="368"/>
      <c r="N1851" s="368"/>
      <c r="O1851" s="370"/>
      <c r="T1851" s="340"/>
      <c r="V1851" s="378"/>
      <c r="W1851" s="64" ph="1"/>
      <c r="X1851" s="241"/>
      <c r="Y1851" s="284"/>
      <c r="Z1851" s="207"/>
      <c r="AA1851" s="284"/>
      <c r="AB1851" s="284"/>
      <c r="AC1851" s="284"/>
      <c r="AD1851" s="284"/>
      <c r="AE1851" s="284"/>
      <c r="AF1851" s="284"/>
      <c r="AG1851" s="284"/>
      <c r="AI1851" s="131"/>
    </row>
    <row r="1852" spans="1:35" ht="26.4">
      <c r="A1852" s="284"/>
      <c r="B1852" s="284"/>
      <c r="C1852" s="284"/>
      <c r="D1852" s="284"/>
      <c r="E1852" s="284"/>
      <c r="F1852" s="284"/>
      <c r="G1852" s="284"/>
      <c r="H1852" s="284"/>
      <c r="I1852" s="284"/>
      <c r="J1852" s="375"/>
      <c r="K1852" s="375"/>
      <c r="L1852" s="375"/>
      <c r="M1852" s="368"/>
      <c r="N1852" s="368"/>
      <c r="O1852" s="370"/>
      <c r="T1852" s="340"/>
      <c r="V1852" s="378"/>
      <c r="W1852" s="64" ph="1"/>
      <c r="X1852" s="241"/>
      <c r="Y1852" s="284"/>
      <c r="Z1852" s="207"/>
      <c r="AA1852" s="284"/>
      <c r="AB1852" s="284"/>
      <c r="AC1852" s="284"/>
      <c r="AD1852" s="284"/>
      <c r="AE1852" s="284"/>
      <c r="AF1852" s="284"/>
      <c r="AG1852" s="284"/>
      <c r="AI1852" s="131"/>
    </row>
    <row r="1853" spans="1:35" ht="26.4">
      <c r="A1853" s="284"/>
      <c r="B1853" s="284"/>
      <c r="C1853" s="284"/>
      <c r="D1853" s="284"/>
      <c r="E1853" s="284"/>
      <c r="F1853" s="284"/>
      <c r="G1853" s="284"/>
      <c r="H1853" s="284"/>
      <c r="I1853" s="284"/>
      <c r="J1853" s="375"/>
      <c r="K1853" s="375"/>
      <c r="L1853" s="375"/>
      <c r="M1853" s="368"/>
      <c r="N1853" s="368"/>
      <c r="O1853" s="370"/>
      <c r="T1853" s="340"/>
      <c r="V1853" s="378"/>
      <c r="W1853" s="64" ph="1"/>
      <c r="X1853" s="241"/>
      <c r="Y1853" s="284"/>
      <c r="Z1853" s="207"/>
      <c r="AA1853" s="284"/>
      <c r="AB1853" s="284"/>
      <c r="AC1853" s="284"/>
      <c r="AD1853" s="284"/>
      <c r="AE1853" s="284"/>
      <c r="AF1853" s="284"/>
      <c r="AG1853" s="284"/>
      <c r="AI1853" s="131"/>
    </row>
    <row r="1854" spans="1:35" ht="26.4">
      <c r="A1854" s="284"/>
      <c r="B1854" s="284"/>
      <c r="C1854" s="284"/>
      <c r="D1854" s="284"/>
      <c r="E1854" s="284"/>
      <c r="F1854" s="284"/>
      <c r="G1854" s="284"/>
      <c r="H1854" s="284"/>
      <c r="I1854" s="284"/>
      <c r="J1854" s="375"/>
      <c r="K1854" s="375"/>
      <c r="L1854" s="375"/>
      <c r="M1854" s="368"/>
      <c r="N1854" s="368"/>
      <c r="O1854" s="370"/>
      <c r="T1854" s="340"/>
      <c r="V1854" s="378"/>
      <c r="W1854" s="64" ph="1"/>
      <c r="X1854" s="241"/>
      <c r="Y1854" s="284"/>
      <c r="Z1854" s="207"/>
      <c r="AA1854" s="284"/>
      <c r="AB1854" s="284"/>
      <c r="AC1854" s="284"/>
      <c r="AD1854" s="284"/>
      <c r="AE1854" s="284"/>
      <c r="AF1854" s="284"/>
      <c r="AG1854" s="284"/>
      <c r="AI1854" s="131"/>
    </row>
    <row r="1855" spans="1:35" ht="26.4">
      <c r="A1855" s="284"/>
      <c r="B1855" s="284"/>
      <c r="C1855" s="284"/>
      <c r="D1855" s="284"/>
      <c r="E1855" s="284"/>
      <c r="F1855" s="284"/>
      <c r="G1855" s="284"/>
      <c r="H1855" s="284"/>
      <c r="I1855" s="284"/>
      <c r="J1855" s="375"/>
      <c r="K1855" s="375"/>
      <c r="L1855" s="375"/>
      <c r="M1855" s="368"/>
      <c r="N1855" s="368"/>
      <c r="O1855" s="370"/>
      <c r="T1855" s="340"/>
      <c r="V1855" s="378"/>
      <c r="W1855" s="64" ph="1"/>
      <c r="X1855" s="241"/>
      <c r="Y1855" s="284"/>
      <c r="Z1855" s="207"/>
      <c r="AA1855" s="284"/>
      <c r="AB1855" s="284"/>
      <c r="AC1855" s="284"/>
      <c r="AD1855" s="284"/>
      <c r="AE1855" s="284"/>
      <c r="AF1855" s="284"/>
      <c r="AG1855" s="284"/>
      <c r="AI1855" s="131"/>
    </row>
    <row r="1856" spans="1:35" ht="26.4">
      <c r="A1856" s="284"/>
      <c r="B1856" s="284"/>
      <c r="C1856" s="284"/>
      <c r="D1856" s="284"/>
      <c r="E1856" s="284"/>
      <c r="F1856" s="284"/>
      <c r="G1856" s="284"/>
      <c r="H1856" s="284"/>
      <c r="I1856" s="284"/>
      <c r="J1856" s="375"/>
      <c r="K1856" s="375"/>
      <c r="L1856" s="375"/>
      <c r="M1856" s="368"/>
      <c r="N1856" s="368"/>
      <c r="O1856" s="370"/>
      <c r="T1856" s="340"/>
      <c r="V1856" s="378"/>
      <c r="W1856" s="64" ph="1"/>
      <c r="X1856" s="241"/>
      <c r="Y1856" s="284"/>
      <c r="Z1856" s="207"/>
      <c r="AA1856" s="284"/>
      <c r="AB1856" s="284"/>
      <c r="AC1856" s="284"/>
      <c r="AD1856" s="284"/>
      <c r="AE1856" s="284"/>
      <c r="AF1856" s="284"/>
      <c r="AG1856" s="284"/>
      <c r="AI1856" s="131"/>
    </row>
    <row r="1857" spans="1:35" ht="26.4">
      <c r="A1857" s="284"/>
      <c r="B1857" s="284"/>
      <c r="C1857" s="284"/>
      <c r="D1857" s="284"/>
      <c r="E1857" s="284"/>
      <c r="F1857" s="284"/>
      <c r="G1857" s="284"/>
      <c r="H1857" s="284"/>
      <c r="I1857" s="284"/>
      <c r="J1857" s="375"/>
      <c r="K1857" s="375"/>
      <c r="L1857" s="375"/>
      <c r="M1857" s="368"/>
      <c r="N1857" s="368"/>
      <c r="O1857" s="370"/>
      <c r="T1857" s="340"/>
      <c r="V1857" s="378"/>
      <c r="W1857" s="64" ph="1"/>
      <c r="X1857" s="241"/>
      <c r="Y1857" s="284"/>
      <c r="Z1857" s="207"/>
      <c r="AA1857" s="284"/>
      <c r="AB1857" s="284"/>
      <c r="AC1857" s="284"/>
      <c r="AD1857" s="284"/>
      <c r="AE1857" s="284"/>
      <c r="AF1857" s="284"/>
      <c r="AG1857" s="284"/>
      <c r="AI1857" s="131"/>
    </row>
    <row r="1858" spans="1:35" ht="26.4">
      <c r="A1858" s="284"/>
      <c r="B1858" s="284"/>
      <c r="C1858" s="284"/>
      <c r="D1858" s="284"/>
      <c r="E1858" s="284"/>
      <c r="F1858" s="284"/>
      <c r="G1858" s="284"/>
      <c r="H1858" s="284"/>
      <c r="I1858" s="284"/>
      <c r="J1858" s="375"/>
      <c r="K1858" s="375"/>
      <c r="L1858" s="375"/>
      <c r="M1858" s="368"/>
      <c r="N1858" s="368"/>
      <c r="O1858" s="370"/>
      <c r="T1858" s="340"/>
      <c r="V1858" s="378"/>
      <c r="W1858" s="64" ph="1"/>
      <c r="X1858" s="241"/>
      <c r="Y1858" s="284"/>
      <c r="Z1858" s="207"/>
      <c r="AA1858" s="284"/>
      <c r="AB1858" s="284"/>
      <c r="AC1858" s="284"/>
      <c r="AD1858" s="284"/>
      <c r="AE1858" s="284"/>
      <c r="AF1858" s="284"/>
      <c r="AG1858" s="284"/>
      <c r="AI1858" s="131"/>
    </row>
    <row r="1859" spans="1:35" ht="26.4">
      <c r="A1859" s="284"/>
      <c r="B1859" s="284"/>
      <c r="C1859" s="284"/>
      <c r="D1859" s="284"/>
      <c r="E1859" s="284"/>
      <c r="F1859" s="284"/>
      <c r="G1859" s="284"/>
      <c r="H1859" s="284"/>
      <c r="I1859" s="284"/>
      <c r="J1859" s="375"/>
      <c r="K1859" s="375"/>
      <c r="L1859" s="375"/>
      <c r="M1859" s="368"/>
      <c r="N1859" s="368"/>
      <c r="O1859" s="370"/>
      <c r="T1859" s="340"/>
      <c r="V1859" s="378"/>
      <c r="W1859" s="64" ph="1"/>
      <c r="X1859" s="241"/>
      <c r="Y1859" s="284"/>
      <c r="Z1859" s="207"/>
      <c r="AA1859" s="284"/>
      <c r="AB1859" s="284"/>
      <c r="AC1859" s="284"/>
      <c r="AD1859" s="284"/>
      <c r="AE1859" s="284"/>
      <c r="AF1859" s="284"/>
      <c r="AG1859" s="284"/>
      <c r="AI1859" s="131"/>
    </row>
    <row r="1860" spans="1:35" ht="26.4">
      <c r="A1860" s="284"/>
      <c r="B1860" s="284"/>
      <c r="C1860" s="284"/>
      <c r="D1860" s="284"/>
      <c r="E1860" s="284"/>
      <c r="F1860" s="284"/>
      <c r="G1860" s="284"/>
      <c r="H1860" s="284"/>
      <c r="I1860" s="284"/>
      <c r="J1860" s="375"/>
      <c r="K1860" s="375"/>
      <c r="L1860" s="375"/>
      <c r="M1860" s="368"/>
      <c r="N1860" s="368"/>
      <c r="O1860" s="370"/>
      <c r="T1860" s="340"/>
      <c r="V1860" s="378"/>
      <c r="W1860" s="64" ph="1"/>
      <c r="X1860" s="241"/>
      <c r="Y1860" s="284"/>
      <c r="Z1860" s="207"/>
      <c r="AA1860" s="284"/>
      <c r="AB1860" s="284"/>
      <c r="AC1860" s="284"/>
      <c r="AD1860" s="284"/>
      <c r="AE1860" s="284"/>
      <c r="AF1860" s="284"/>
      <c r="AG1860" s="284"/>
      <c r="AI1860" s="284"/>
    </row>
    <row r="1861" spans="1:35" ht="26.4">
      <c r="A1861" s="284"/>
      <c r="B1861" s="284"/>
      <c r="C1861" s="284"/>
      <c r="D1861" s="284"/>
      <c r="E1861" s="284"/>
      <c r="F1861" s="284"/>
      <c r="G1861" s="284"/>
      <c r="H1861" s="284"/>
      <c r="I1861" s="284"/>
      <c r="J1861" s="375"/>
      <c r="K1861" s="375"/>
      <c r="L1861" s="375"/>
      <c r="M1861" s="368"/>
      <c r="N1861" s="368"/>
      <c r="O1861" s="370"/>
      <c r="T1861" s="340"/>
      <c r="V1861" s="378"/>
      <c r="W1861" s="64" ph="1"/>
      <c r="X1861" s="241"/>
      <c r="Y1861" s="284"/>
      <c r="Z1861" s="207"/>
      <c r="AA1861" s="284"/>
      <c r="AB1861" s="284"/>
      <c r="AC1861" s="284"/>
      <c r="AD1861" s="284"/>
      <c r="AE1861" s="284"/>
      <c r="AF1861" s="284"/>
      <c r="AG1861" s="284"/>
      <c r="AI1861" s="284"/>
    </row>
    <row r="1862" spans="1:35" ht="26.4">
      <c r="A1862" s="284"/>
      <c r="B1862" s="284"/>
      <c r="C1862" s="284"/>
      <c r="D1862" s="284"/>
      <c r="E1862" s="284"/>
      <c r="F1862" s="284"/>
      <c r="G1862" s="284"/>
      <c r="H1862" s="284"/>
      <c r="I1862" s="284"/>
      <c r="J1862" s="375"/>
      <c r="K1862" s="375"/>
      <c r="L1862" s="375"/>
      <c r="M1862" s="368"/>
      <c r="N1862" s="368"/>
      <c r="O1862" s="370"/>
      <c r="T1862" s="340"/>
      <c r="V1862" s="378"/>
      <c r="W1862" s="64" ph="1"/>
      <c r="X1862" s="241"/>
      <c r="Y1862" s="284"/>
      <c r="Z1862" s="207"/>
      <c r="AA1862" s="284"/>
      <c r="AB1862" s="284"/>
      <c r="AC1862" s="284"/>
      <c r="AD1862" s="284"/>
      <c r="AE1862" s="284"/>
      <c r="AF1862" s="284"/>
      <c r="AG1862" s="284"/>
      <c r="AI1862" s="284"/>
    </row>
    <row r="1863" spans="1:35" ht="26.4">
      <c r="A1863" s="284"/>
      <c r="B1863" s="284"/>
      <c r="C1863" s="284"/>
      <c r="D1863" s="284"/>
      <c r="E1863" s="284"/>
      <c r="F1863" s="284"/>
      <c r="G1863" s="284"/>
      <c r="H1863" s="284"/>
      <c r="I1863" s="284"/>
      <c r="J1863" s="375"/>
      <c r="K1863" s="375"/>
      <c r="L1863" s="375"/>
      <c r="M1863" s="368"/>
      <c r="N1863" s="368"/>
      <c r="O1863" s="370"/>
      <c r="T1863" s="340"/>
      <c r="V1863" s="378"/>
      <c r="W1863" s="64" ph="1"/>
      <c r="X1863" s="241"/>
      <c r="Y1863" s="284"/>
      <c r="Z1863" s="207"/>
      <c r="AA1863" s="284"/>
      <c r="AB1863" s="284"/>
      <c r="AC1863" s="284"/>
      <c r="AD1863" s="284"/>
      <c r="AE1863" s="284"/>
      <c r="AF1863" s="284"/>
      <c r="AG1863" s="284"/>
      <c r="AI1863" s="284"/>
    </row>
    <row r="1864" spans="1:35" ht="26.4">
      <c r="A1864" s="284"/>
      <c r="B1864" s="284"/>
      <c r="C1864" s="284"/>
      <c r="D1864" s="284"/>
      <c r="E1864" s="284"/>
      <c r="F1864" s="284"/>
      <c r="G1864" s="284"/>
      <c r="H1864" s="284"/>
      <c r="I1864" s="284"/>
      <c r="J1864" s="375"/>
      <c r="K1864" s="375"/>
      <c r="L1864" s="375"/>
      <c r="M1864" s="368"/>
      <c r="N1864" s="368"/>
      <c r="O1864" s="370"/>
      <c r="T1864" s="340"/>
      <c r="V1864" s="378"/>
      <c r="W1864" s="64" ph="1"/>
      <c r="X1864" s="241"/>
      <c r="Y1864" s="284"/>
      <c r="Z1864" s="207"/>
      <c r="AA1864" s="284"/>
      <c r="AB1864" s="284"/>
      <c r="AC1864" s="284"/>
      <c r="AD1864" s="284"/>
      <c r="AE1864" s="284"/>
      <c r="AF1864" s="284"/>
      <c r="AG1864" s="284"/>
      <c r="AI1864" s="284"/>
    </row>
    <row r="1865" spans="1:35" ht="26.4">
      <c r="A1865" s="284"/>
      <c r="B1865" s="284"/>
      <c r="C1865" s="284"/>
      <c r="D1865" s="284"/>
      <c r="E1865" s="284"/>
      <c r="F1865" s="284"/>
      <c r="G1865" s="284"/>
      <c r="H1865" s="284"/>
      <c r="I1865" s="284"/>
      <c r="J1865" s="375"/>
      <c r="K1865" s="375"/>
      <c r="L1865" s="375"/>
      <c r="M1865" s="368"/>
      <c r="N1865" s="368"/>
      <c r="O1865" s="370"/>
      <c r="T1865" s="340"/>
      <c r="V1865" s="378"/>
      <c r="W1865" s="64" ph="1"/>
      <c r="X1865" s="241"/>
      <c r="Y1865" s="284"/>
      <c r="Z1865" s="207"/>
      <c r="AA1865" s="284"/>
      <c r="AB1865" s="284"/>
      <c r="AC1865" s="284"/>
      <c r="AD1865" s="284"/>
      <c r="AE1865" s="284"/>
      <c r="AF1865" s="284"/>
      <c r="AG1865" s="284"/>
      <c r="AI1865" s="284"/>
    </row>
    <row r="1866" spans="1:35" ht="26.4">
      <c r="A1866" s="284"/>
      <c r="B1866" s="284"/>
      <c r="C1866" s="284"/>
      <c r="D1866" s="284"/>
      <c r="E1866" s="284"/>
      <c r="F1866" s="284"/>
      <c r="G1866" s="284"/>
      <c r="H1866" s="284"/>
      <c r="I1866" s="284"/>
      <c r="J1866" s="375"/>
      <c r="K1866" s="375"/>
      <c r="L1866" s="375"/>
      <c r="M1866" s="368"/>
      <c r="N1866" s="368"/>
      <c r="O1866" s="370"/>
      <c r="T1866" s="340"/>
      <c r="V1866" s="378"/>
      <c r="W1866" s="64" ph="1"/>
      <c r="X1866" s="241"/>
      <c r="Y1866" s="284"/>
      <c r="Z1866" s="207"/>
      <c r="AA1866" s="284"/>
      <c r="AB1866" s="284"/>
      <c r="AC1866" s="284"/>
      <c r="AD1866" s="284"/>
      <c r="AE1866" s="284"/>
      <c r="AF1866" s="284"/>
      <c r="AG1866" s="284"/>
      <c r="AI1866" s="284"/>
    </row>
    <row r="1867" spans="1:35" ht="26.4">
      <c r="A1867" s="284"/>
      <c r="B1867" s="284"/>
      <c r="C1867" s="284"/>
      <c r="D1867" s="284"/>
      <c r="E1867" s="284"/>
      <c r="F1867" s="284"/>
      <c r="G1867" s="284"/>
      <c r="H1867" s="284"/>
      <c r="I1867" s="284"/>
      <c r="J1867" s="375"/>
      <c r="K1867" s="375"/>
      <c r="L1867" s="375"/>
      <c r="M1867" s="368"/>
      <c r="N1867" s="368"/>
      <c r="O1867" s="370"/>
      <c r="T1867" s="340"/>
      <c r="V1867" s="378"/>
      <c r="W1867" s="64" ph="1"/>
      <c r="X1867" s="241"/>
      <c r="Y1867" s="284"/>
      <c r="Z1867" s="207"/>
      <c r="AA1867" s="284"/>
      <c r="AB1867" s="284"/>
      <c r="AC1867" s="284"/>
      <c r="AD1867" s="284"/>
      <c r="AE1867" s="284"/>
      <c r="AF1867" s="284"/>
      <c r="AG1867" s="284"/>
      <c r="AI1867" s="284"/>
    </row>
    <row r="1868" spans="1:35" ht="26.4">
      <c r="A1868" s="284"/>
      <c r="B1868" s="284"/>
      <c r="C1868" s="284"/>
      <c r="D1868" s="284"/>
      <c r="E1868" s="284"/>
      <c r="F1868" s="284"/>
      <c r="G1868" s="284"/>
      <c r="H1868" s="284"/>
      <c r="I1868" s="284"/>
      <c r="J1868" s="375"/>
      <c r="K1868" s="375"/>
      <c r="L1868" s="375"/>
      <c r="M1868" s="368"/>
      <c r="N1868" s="368"/>
      <c r="O1868" s="370"/>
      <c r="T1868" s="340"/>
      <c r="V1868" s="378"/>
      <c r="W1868" s="64" ph="1"/>
      <c r="X1868" s="241"/>
      <c r="Y1868" s="284"/>
      <c r="Z1868" s="207"/>
      <c r="AA1868" s="284"/>
      <c r="AB1868" s="284"/>
      <c r="AC1868" s="284"/>
      <c r="AD1868" s="284"/>
      <c r="AE1868" s="284"/>
      <c r="AF1868" s="284"/>
      <c r="AG1868" s="284"/>
      <c r="AI1868" s="284"/>
    </row>
    <row r="1869" spans="1:35" ht="26.4">
      <c r="A1869" s="284"/>
      <c r="B1869" s="284"/>
      <c r="C1869" s="284"/>
      <c r="D1869" s="284"/>
      <c r="E1869" s="284"/>
      <c r="F1869" s="284"/>
      <c r="G1869" s="284"/>
      <c r="H1869" s="284"/>
      <c r="I1869" s="284"/>
      <c r="J1869" s="375"/>
      <c r="K1869" s="375"/>
      <c r="L1869" s="375"/>
      <c r="M1869" s="368"/>
      <c r="N1869" s="368"/>
      <c r="O1869" s="370"/>
      <c r="T1869" s="340"/>
      <c r="V1869" s="378"/>
      <c r="W1869" s="64" ph="1"/>
      <c r="X1869" s="241"/>
      <c r="Y1869" s="284"/>
      <c r="Z1869" s="207"/>
      <c r="AA1869" s="284"/>
      <c r="AB1869" s="284"/>
      <c r="AC1869" s="284"/>
      <c r="AD1869" s="284"/>
      <c r="AE1869" s="284"/>
      <c r="AF1869" s="284"/>
      <c r="AG1869" s="284"/>
      <c r="AI1869" s="131"/>
    </row>
    <row r="1870" spans="1:35" ht="26.4">
      <c r="A1870" s="284"/>
      <c r="B1870" s="284"/>
      <c r="C1870" s="284"/>
      <c r="D1870" s="284"/>
      <c r="E1870" s="284"/>
      <c r="F1870" s="284"/>
      <c r="G1870" s="284"/>
      <c r="H1870" s="284"/>
      <c r="I1870" s="284"/>
      <c r="J1870" s="375"/>
      <c r="K1870" s="375"/>
      <c r="L1870" s="375"/>
      <c r="M1870" s="368"/>
      <c r="N1870" s="368"/>
      <c r="O1870" s="370"/>
      <c r="T1870" s="340"/>
      <c r="V1870" s="378"/>
      <c r="W1870" s="64" ph="1"/>
      <c r="X1870" s="241"/>
      <c r="Y1870" s="284"/>
      <c r="Z1870" s="207"/>
      <c r="AA1870" s="284"/>
      <c r="AB1870" s="284"/>
      <c r="AC1870" s="284"/>
      <c r="AD1870" s="284"/>
      <c r="AE1870" s="284"/>
      <c r="AF1870" s="284"/>
      <c r="AG1870" s="284"/>
      <c r="AI1870" s="284"/>
    </row>
    <row r="1871" spans="1:35" ht="26.4">
      <c r="A1871" s="284"/>
      <c r="B1871" s="284"/>
      <c r="C1871" s="284"/>
      <c r="D1871" s="284"/>
      <c r="E1871" s="284"/>
      <c r="F1871" s="284"/>
      <c r="G1871" s="284"/>
      <c r="H1871" s="284"/>
      <c r="I1871" s="284"/>
      <c r="J1871" s="375"/>
      <c r="K1871" s="375"/>
      <c r="L1871" s="375"/>
      <c r="M1871" s="368"/>
      <c r="N1871" s="368"/>
      <c r="O1871" s="370"/>
      <c r="T1871" s="340"/>
      <c r="V1871" s="378"/>
      <c r="W1871" s="64" ph="1"/>
      <c r="X1871" s="241"/>
      <c r="Y1871" s="284"/>
      <c r="Z1871" s="207"/>
      <c r="AA1871" s="284"/>
      <c r="AB1871" s="284"/>
      <c r="AC1871" s="284"/>
      <c r="AD1871" s="284"/>
      <c r="AE1871" s="284"/>
      <c r="AF1871" s="284"/>
      <c r="AG1871" s="284"/>
      <c r="AI1871" s="284"/>
    </row>
    <row r="1872" spans="1:35" ht="26.4">
      <c r="A1872" s="284"/>
      <c r="B1872" s="284"/>
      <c r="C1872" s="284"/>
      <c r="D1872" s="284"/>
      <c r="E1872" s="284"/>
      <c r="F1872" s="284"/>
      <c r="G1872" s="284"/>
      <c r="H1872" s="284"/>
      <c r="I1872" s="284"/>
      <c r="J1872" s="375"/>
      <c r="K1872" s="375"/>
      <c r="L1872" s="375"/>
      <c r="M1872" s="368"/>
      <c r="N1872" s="368"/>
      <c r="O1872" s="370"/>
      <c r="T1872" s="340"/>
      <c r="V1872" s="378"/>
      <c r="W1872" s="64" ph="1"/>
      <c r="X1872" s="241"/>
      <c r="Y1872" s="284"/>
      <c r="Z1872" s="207"/>
      <c r="AA1872" s="284"/>
      <c r="AB1872" s="284"/>
      <c r="AC1872" s="284"/>
      <c r="AD1872" s="284"/>
      <c r="AE1872" s="284"/>
      <c r="AF1872" s="284"/>
      <c r="AG1872" s="284"/>
      <c r="AI1872" s="284"/>
    </row>
    <row r="1873" spans="1:35" ht="26.4">
      <c r="A1873" s="284"/>
      <c r="B1873" s="284"/>
      <c r="C1873" s="284"/>
      <c r="D1873" s="284"/>
      <c r="E1873" s="284"/>
      <c r="F1873" s="284"/>
      <c r="G1873" s="284"/>
      <c r="H1873" s="284"/>
      <c r="I1873" s="284"/>
      <c r="J1873" s="375"/>
      <c r="K1873" s="375"/>
      <c r="L1873" s="375"/>
      <c r="M1873" s="368"/>
      <c r="N1873" s="368"/>
      <c r="O1873" s="370"/>
      <c r="T1873" s="340"/>
      <c r="V1873" s="378"/>
      <c r="W1873" s="64" ph="1"/>
      <c r="X1873" s="241"/>
      <c r="Y1873" s="284"/>
      <c r="Z1873" s="207"/>
      <c r="AA1873" s="284"/>
      <c r="AB1873" s="284"/>
      <c r="AC1873" s="284"/>
      <c r="AD1873" s="284"/>
      <c r="AE1873" s="284"/>
      <c r="AF1873" s="284"/>
      <c r="AG1873" s="284"/>
      <c r="AI1873" s="131"/>
    </row>
    <row r="1874" spans="1:35" ht="26.4">
      <c r="A1874" s="284"/>
      <c r="B1874" s="284"/>
      <c r="C1874" s="284"/>
      <c r="D1874" s="284"/>
      <c r="E1874" s="284"/>
      <c r="F1874" s="284"/>
      <c r="G1874" s="284"/>
      <c r="H1874" s="284"/>
      <c r="I1874" s="284"/>
      <c r="J1874" s="375"/>
      <c r="K1874" s="375"/>
      <c r="L1874" s="375"/>
      <c r="M1874" s="368"/>
      <c r="N1874" s="368"/>
      <c r="O1874" s="370"/>
      <c r="T1874" s="340"/>
      <c r="V1874" s="378"/>
      <c r="W1874" s="64" ph="1"/>
      <c r="X1874" s="241"/>
      <c r="Y1874" s="284"/>
      <c r="Z1874" s="207"/>
      <c r="AA1874" s="284"/>
      <c r="AB1874" s="284"/>
      <c r="AC1874" s="284"/>
      <c r="AD1874" s="284"/>
      <c r="AE1874" s="284"/>
      <c r="AF1874" s="284"/>
      <c r="AG1874" s="284"/>
      <c r="AI1874" s="284"/>
    </row>
    <row r="1875" spans="1:35" ht="26.4">
      <c r="A1875" s="284"/>
      <c r="B1875" s="284"/>
      <c r="C1875" s="284"/>
      <c r="D1875" s="284"/>
      <c r="E1875" s="284"/>
      <c r="F1875" s="284"/>
      <c r="G1875" s="284"/>
      <c r="H1875" s="284"/>
      <c r="I1875" s="284"/>
      <c r="J1875" s="375"/>
      <c r="K1875" s="375"/>
      <c r="L1875" s="375"/>
      <c r="M1875" s="368"/>
      <c r="N1875" s="368"/>
      <c r="O1875" s="370"/>
      <c r="T1875" s="340"/>
      <c r="V1875" s="378"/>
      <c r="W1875" s="64" ph="1"/>
      <c r="X1875" s="241"/>
      <c r="Y1875" s="284"/>
      <c r="Z1875" s="207"/>
      <c r="AA1875" s="284"/>
      <c r="AB1875" s="284"/>
      <c r="AC1875" s="284"/>
      <c r="AD1875" s="284"/>
      <c r="AE1875" s="284"/>
      <c r="AF1875" s="284"/>
      <c r="AG1875" s="284"/>
      <c r="AI1875" s="284"/>
    </row>
    <row r="1876" spans="1:35" ht="26.4">
      <c r="A1876" s="284"/>
      <c r="B1876" s="284"/>
      <c r="C1876" s="284"/>
      <c r="D1876" s="284"/>
      <c r="E1876" s="284"/>
      <c r="F1876" s="284"/>
      <c r="G1876" s="284"/>
      <c r="H1876" s="284"/>
      <c r="I1876" s="284"/>
      <c r="J1876" s="375"/>
      <c r="K1876" s="375"/>
      <c r="L1876" s="375"/>
      <c r="M1876" s="368"/>
      <c r="N1876" s="368"/>
      <c r="O1876" s="370"/>
      <c r="T1876" s="340"/>
      <c r="V1876" s="378"/>
      <c r="W1876" s="64" ph="1"/>
      <c r="X1876" s="241"/>
      <c r="Y1876" s="284"/>
      <c r="Z1876" s="207"/>
      <c r="AA1876" s="284"/>
      <c r="AB1876" s="284"/>
      <c r="AC1876" s="284"/>
      <c r="AD1876" s="284"/>
      <c r="AE1876" s="284"/>
      <c r="AF1876" s="284"/>
      <c r="AG1876" s="284"/>
      <c r="AI1876" s="131"/>
    </row>
    <row r="1877" spans="1:35" ht="26.4">
      <c r="A1877" s="284"/>
      <c r="B1877" s="284"/>
      <c r="C1877" s="284"/>
      <c r="D1877" s="284"/>
      <c r="E1877" s="284"/>
      <c r="F1877" s="284"/>
      <c r="G1877" s="284"/>
      <c r="H1877" s="284"/>
      <c r="I1877" s="284"/>
      <c r="J1877" s="375"/>
      <c r="K1877" s="375"/>
      <c r="L1877" s="375"/>
      <c r="M1877" s="368"/>
      <c r="N1877" s="368"/>
      <c r="O1877" s="370"/>
      <c r="T1877" s="340"/>
      <c r="V1877" s="378"/>
      <c r="W1877" s="64" ph="1"/>
      <c r="X1877" s="241"/>
      <c r="Y1877" s="284"/>
      <c r="Z1877" s="207"/>
      <c r="AA1877" s="284"/>
      <c r="AB1877" s="284"/>
      <c r="AC1877" s="284"/>
      <c r="AD1877" s="284"/>
      <c r="AE1877" s="284"/>
      <c r="AF1877" s="284"/>
      <c r="AG1877" s="284"/>
      <c r="AI1877" s="131"/>
    </row>
    <row r="1878" spans="1:35" ht="26.4">
      <c r="A1878" s="284"/>
      <c r="B1878" s="284"/>
      <c r="C1878" s="284"/>
      <c r="D1878" s="284"/>
      <c r="E1878" s="284"/>
      <c r="F1878" s="284"/>
      <c r="G1878" s="284"/>
      <c r="H1878" s="284"/>
      <c r="I1878" s="284"/>
      <c r="J1878" s="375"/>
      <c r="K1878" s="375"/>
      <c r="L1878" s="375"/>
      <c r="M1878" s="368"/>
      <c r="N1878" s="368"/>
      <c r="O1878" s="370"/>
      <c r="T1878" s="340"/>
      <c r="V1878" s="378"/>
      <c r="W1878" s="64" ph="1"/>
      <c r="X1878" s="241"/>
      <c r="Y1878" s="284"/>
      <c r="Z1878" s="207"/>
      <c r="AA1878" s="284"/>
      <c r="AB1878" s="284"/>
      <c r="AC1878" s="284"/>
      <c r="AD1878" s="284"/>
      <c r="AE1878" s="284"/>
      <c r="AF1878" s="284"/>
      <c r="AG1878" s="284"/>
    </row>
    <row r="1879" spans="1:35" ht="26.4">
      <c r="A1879" s="284"/>
      <c r="B1879" s="284"/>
      <c r="C1879" s="284"/>
      <c r="D1879" s="284"/>
      <c r="E1879" s="284"/>
      <c r="F1879" s="284"/>
      <c r="G1879" s="284"/>
      <c r="H1879" s="284"/>
      <c r="I1879" s="284"/>
      <c r="J1879" s="375"/>
      <c r="K1879" s="375"/>
      <c r="L1879" s="375"/>
      <c r="M1879" s="368"/>
      <c r="N1879" s="368"/>
      <c r="O1879" s="370"/>
      <c r="T1879" s="340"/>
      <c r="V1879" s="378"/>
      <c r="W1879" s="64" ph="1"/>
      <c r="X1879" s="241"/>
      <c r="Y1879" s="284"/>
      <c r="Z1879" s="207"/>
      <c r="AA1879" s="284"/>
      <c r="AB1879" s="284"/>
      <c r="AC1879" s="284"/>
      <c r="AD1879" s="284"/>
      <c r="AE1879" s="284"/>
      <c r="AF1879" s="284"/>
      <c r="AG1879" s="284"/>
    </row>
    <row r="1880" spans="1:35" ht="26.4">
      <c r="A1880" s="284"/>
      <c r="B1880" s="284"/>
      <c r="C1880" s="284"/>
      <c r="D1880" s="284"/>
      <c r="E1880" s="284"/>
      <c r="F1880" s="284"/>
      <c r="G1880" s="284"/>
      <c r="H1880" s="284"/>
      <c r="I1880" s="284"/>
      <c r="J1880" s="375"/>
      <c r="K1880" s="375"/>
      <c r="L1880" s="375"/>
      <c r="M1880" s="368"/>
      <c r="N1880" s="368"/>
      <c r="O1880" s="370"/>
      <c r="T1880" s="340"/>
      <c r="V1880" s="378"/>
      <c r="W1880" s="64" ph="1"/>
      <c r="X1880" s="241"/>
      <c r="Y1880" s="284"/>
      <c r="Z1880" s="207"/>
      <c r="AA1880" s="284"/>
      <c r="AB1880" s="284"/>
      <c r="AC1880" s="284"/>
      <c r="AD1880" s="284"/>
      <c r="AE1880" s="284"/>
      <c r="AF1880" s="284"/>
      <c r="AG1880" s="284"/>
    </row>
    <row r="1881" spans="1:35" ht="26.4">
      <c r="A1881" s="284"/>
      <c r="B1881" s="284"/>
      <c r="C1881" s="284"/>
      <c r="D1881" s="284"/>
      <c r="E1881" s="284"/>
      <c r="F1881" s="284"/>
      <c r="G1881" s="284"/>
      <c r="H1881" s="284"/>
      <c r="I1881" s="284"/>
      <c r="J1881" s="375"/>
      <c r="K1881" s="375"/>
      <c r="L1881" s="375"/>
      <c r="M1881" s="368"/>
      <c r="N1881" s="368"/>
      <c r="O1881" s="370"/>
      <c r="T1881" s="340"/>
      <c r="V1881" s="378"/>
      <c r="W1881" s="64" ph="1"/>
      <c r="X1881" s="241"/>
      <c r="Y1881" s="284"/>
      <c r="Z1881" s="207"/>
      <c r="AA1881" s="284"/>
      <c r="AB1881" s="284"/>
      <c r="AC1881" s="284"/>
      <c r="AD1881" s="284"/>
      <c r="AE1881" s="284"/>
      <c r="AF1881" s="284"/>
      <c r="AG1881" s="284"/>
    </row>
    <row r="1882" spans="1:35" ht="26.4">
      <c r="A1882" s="284"/>
      <c r="B1882" s="284"/>
      <c r="C1882" s="284"/>
      <c r="D1882" s="284"/>
      <c r="E1882" s="284"/>
      <c r="F1882" s="284"/>
      <c r="G1882" s="284"/>
      <c r="H1882" s="284"/>
      <c r="I1882" s="284"/>
      <c r="J1882" s="375"/>
      <c r="K1882" s="375"/>
      <c r="L1882" s="375"/>
      <c r="M1882" s="368"/>
      <c r="N1882" s="368"/>
      <c r="O1882" s="370"/>
      <c r="T1882" s="340"/>
      <c r="V1882" s="378"/>
      <c r="W1882" s="64" ph="1"/>
      <c r="X1882" s="241"/>
      <c r="Y1882" s="284"/>
      <c r="Z1882" s="207"/>
      <c r="AA1882" s="284"/>
      <c r="AB1882" s="284"/>
      <c r="AC1882" s="284"/>
      <c r="AD1882" s="284"/>
      <c r="AE1882" s="284"/>
      <c r="AF1882" s="284"/>
      <c r="AG1882" s="284"/>
    </row>
    <row r="1883" spans="1:35" ht="26.4">
      <c r="A1883" s="284"/>
      <c r="B1883" s="284"/>
      <c r="C1883" s="284"/>
      <c r="D1883" s="284"/>
      <c r="E1883" s="284"/>
      <c r="F1883" s="284"/>
      <c r="G1883" s="284"/>
      <c r="H1883" s="284"/>
      <c r="I1883" s="284"/>
      <c r="J1883" s="375"/>
      <c r="K1883" s="375"/>
      <c r="L1883" s="375"/>
      <c r="M1883" s="368"/>
      <c r="N1883" s="368"/>
      <c r="O1883" s="370"/>
      <c r="T1883" s="340"/>
      <c r="V1883" s="378"/>
      <c r="W1883" s="64" ph="1"/>
      <c r="X1883" s="241"/>
      <c r="Y1883" s="284"/>
      <c r="Z1883" s="207"/>
      <c r="AA1883" s="284"/>
      <c r="AB1883" s="284"/>
      <c r="AC1883" s="284"/>
      <c r="AD1883" s="284"/>
      <c r="AE1883" s="284"/>
      <c r="AF1883" s="284"/>
      <c r="AG1883" s="284"/>
    </row>
    <row r="1884" spans="1:35" ht="26.4">
      <c r="A1884" s="284"/>
      <c r="B1884" s="284"/>
      <c r="C1884" s="284"/>
      <c r="D1884" s="284"/>
      <c r="E1884" s="284"/>
      <c r="F1884" s="284"/>
      <c r="G1884" s="284"/>
      <c r="H1884" s="284"/>
      <c r="I1884" s="284"/>
      <c r="J1884" s="375"/>
      <c r="K1884" s="375"/>
      <c r="L1884" s="375"/>
      <c r="M1884" s="368"/>
      <c r="N1884" s="368"/>
      <c r="O1884" s="370"/>
      <c r="T1884" s="340"/>
      <c r="V1884" s="378"/>
      <c r="W1884" s="64" ph="1"/>
      <c r="X1884" s="241"/>
      <c r="Y1884" s="284"/>
      <c r="Z1884" s="207"/>
      <c r="AA1884" s="284"/>
      <c r="AB1884" s="284"/>
      <c r="AC1884" s="284"/>
      <c r="AD1884" s="284"/>
      <c r="AE1884" s="284"/>
      <c r="AF1884" s="284"/>
      <c r="AG1884" s="284"/>
    </row>
    <row r="1885" spans="1:35" ht="26.4">
      <c r="A1885" s="284"/>
      <c r="B1885" s="284"/>
      <c r="C1885" s="284"/>
      <c r="D1885" s="284"/>
      <c r="E1885" s="284"/>
      <c r="F1885" s="284"/>
      <c r="G1885" s="284"/>
      <c r="H1885" s="284"/>
      <c r="I1885" s="284"/>
      <c r="J1885" s="375"/>
      <c r="K1885" s="375"/>
      <c r="L1885" s="375"/>
      <c r="M1885" s="368"/>
      <c r="N1885" s="368"/>
      <c r="O1885" s="370"/>
      <c r="T1885" s="340"/>
      <c r="V1885" s="378"/>
      <c r="W1885" s="64" ph="1"/>
      <c r="X1885" s="241"/>
      <c r="Y1885" s="284"/>
      <c r="Z1885" s="207"/>
      <c r="AA1885" s="284"/>
      <c r="AB1885" s="284"/>
      <c r="AC1885" s="284"/>
      <c r="AD1885" s="284"/>
      <c r="AE1885" s="284"/>
      <c r="AF1885" s="284"/>
      <c r="AG1885" s="284"/>
    </row>
    <row r="1886" spans="1:35" ht="26.4">
      <c r="A1886" s="284"/>
      <c r="B1886" s="284"/>
      <c r="C1886" s="284"/>
      <c r="D1886" s="284"/>
      <c r="E1886" s="284"/>
      <c r="F1886" s="284"/>
      <c r="G1886" s="284"/>
      <c r="H1886" s="284"/>
      <c r="I1886" s="284"/>
      <c r="J1886" s="375"/>
      <c r="K1886" s="375"/>
      <c r="L1886" s="375"/>
      <c r="M1886" s="368"/>
      <c r="N1886" s="368"/>
      <c r="O1886" s="370"/>
      <c r="T1886" s="340"/>
      <c r="V1886" s="378"/>
      <c r="W1886" s="64" ph="1"/>
      <c r="X1886" s="241"/>
      <c r="Y1886" s="284"/>
      <c r="Z1886" s="207"/>
      <c r="AA1886" s="284"/>
      <c r="AB1886" s="284"/>
      <c r="AC1886" s="284"/>
      <c r="AD1886" s="284"/>
      <c r="AE1886" s="284"/>
      <c r="AF1886" s="284"/>
      <c r="AG1886" s="284"/>
    </row>
    <row r="1887" spans="1:35" ht="26.4">
      <c r="A1887" s="284"/>
      <c r="B1887" s="284"/>
      <c r="C1887" s="284"/>
      <c r="D1887" s="284"/>
      <c r="E1887" s="284"/>
      <c r="F1887" s="284"/>
      <c r="G1887" s="284"/>
      <c r="H1887" s="284"/>
      <c r="I1887" s="284"/>
      <c r="J1887" s="375"/>
      <c r="K1887" s="375"/>
      <c r="L1887" s="375"/>
      <c r="M1887" s="368"/>
      <c r="N1887" s="368"/>
      <c r="O1887" s="370"/>
      <c r="T1887" s="340"/>
      <c r="V1887" s="378"/>
      <c r="W1887" s="64" ph="1"/>
      <c r="X1887" s="241"/>
      <c r="Y1887" s="284"/>
      <c r="Z1887" s="207"/>
      <c r="AA1887" s="284"/>
      <c r="AB1887" s="284"/>
      <c r="AC1887" s="284"/>
      <c r="AD1887" s="284"/>
      <c r="AE1887" s="284"/>
      <c r="AF1887" s="284"/>
      <c r="AG1887" s="284"/>
    </row>
    <row r="1888" spans="1:35" ht="26.4">
      <c r="A1888" s="284"/>
      <c r="B1888" s="284"/>
      <c r="C1888" s="284"/>
      <c r="D1888" s="284"/>
      <c r="E1888" s="284"/>
      <c r="F1888" s="284"/>
      <c r="G1888" s="284"/>
      <c r="H1888" s="284"/>
      <c r="I1888" s="284"/>
      <c r="J1888" s="375"/>
      <c r="K1888" s="375"/>
      <c r="L1888" s="375"/>
      <c r="M1888" s="368"/>
      <c r="N1888" s="368"/>
      <c r="O1888" s="370"/>
      <c r="T1888" s="340"/>
      <c r="V1888" s="378"/>
      <c r="W1888" s="64" ph="1"/>
      <c r="X1888" s="241"/>
      <c r="Y1888" s="284"/>
      <c r="Z1888" s="207"/>
      <c r="AA1888" s="284"/>
      <c r="AB1888" s="284"/>
      <c r="AC1888" s="284"/>
      <c r="AD1888" s="284"/>
      <c r="AE1888" s="284"/>
      <c r="AF1888" s="284"/>
      <c r="AG1888" s="284"/>
    </row>
    <row r="1889" spans="1:33" ht="26.4">
      <c r="A1889" s="284"/>
      <c r="B1889" s="284"/>
      <c r="C1889" s="284"/>
      <c r="D1889" s="284"/>
      <c r="E1889" s="284"/>
      <c r="F1889" s="284"/>
      <c r="G1889" s="284"/>
      <c r="H1889" s="284"/>
      <c r="I1889" s="284"/>
      <c r="J1889" s="375"/>
      <c r="K1889" s="375"/>
      <c r="L1889" s="375"/>
      <c r="M1889" s="368"/>
      <c r="N1889" s="368"/>
      <c r="O1889" s="370"/>
      <c r="T1889" s="340"/>
      <c r="V1889" s="378"/>
      <c r="W1889" s="64" ph="1"/>
      <c r="X1889" s="241"/>
      <c r="Y1889" s="284"/>
      <c r="Z1889" s="207"/>
      <c r="AA1889" s="284"/>
      <c r="AB1889" s="284"/>
      <c r="AC1889" s="284"/>
      <c r="AD1889" s="284"/>
      <c r="AE1889" s="284"/>
      <c r="AF1889" s="284"/>
      <c r="AG1889" s="284"/>
    </row>
    <row r="1890" spans="1:33" ht="26.4">
      <c r="A1890" s="284"/>
      <c r="B1890" s="284"/>
      <c r="C1890" s="284"/>
      <c r="D1890" s="284"/>
      <c r="E1890" s="284"/>
      <c r="F1890" s="284"/>
      <c r="G1890" s="284"/>
      <c r="H1890" s="284"/>
      <c r="I1890" s="284"/>
      <c r="J1890" s="375"/>
      <c r="K1890" s="375"/>
      <c r="L1890" s="375"/>
      <c r="M1890" s="368"/>
      <c r="N1890" s="368"/>
      <c r="O1890" s="370"/>
      <c r="T1890" s="340"/>
      <c r="V1890" s="378"/>
      <c r="W1890" s="64" ph="1"/>
      <c r="X1890" s="241"/>
      <c r="Y1890" s="284"/>
      <c r="Z1890" s="207"/>
      <c r="AA1890" s="284"/>
      <c r="AB1890" s="284"/>
      <c r="AC1890" s="284"/>
      <c r="AD1890" s="284"/>
      <c r="AE1890" s="284"/>
      <c r="AF1890" s="284"/>
      <c r="AG1890" s="284"/>
    </row>
    <row r="1891" spans="1:33" ht="26.4">
      <c r="A1891" s="284"/>
      <c r="B1891" s="284"/>
      <c r="C1891" s="284"/>
      <c r="D1891" s="284"/>
      <c r="E1891" s="284"/>
      <c r="F1891" s="284"/>
      <c r="G1891" s="284"/>
      <c r="H1891" s="284"/>
      <c r="I1891" s="284"/>
      <c r="J1891" s="375"/>
      <c r="K1891" s="375"/>
      <c r="L1891" s="375"/>
      <c r="M1891" s="368"/>
      <c r="N1891" s="368"/>
      <c r="O1891" s="370"/>
      <c r="T1891" s="340"/>
      <c r="V1891" s="378"/>
      <c r="W1891" s="64" ph="1"/>
      <c r="X1891" s="241"/>
      <c r="Y1891" s="284"/>
      <c r="Z1891" s="207"/>
      <c r="AA1891" s="284"/>
      <c r="AB1891" s="284"/>
      <c r="AC1891" s="284"/>
      <c r="AD1891" s="284"/>
      <c r="AE1891" s="284"/>
      <c r="AF1891" s="284"/>
      <c r="AG1891" s="284"/>
    </row>
    <row r="1892" spans="1:33" ht="26.4">
      <c r="A1892" s="284"/>
      <c r="B1892" s="284"/>
      <c r="C1892" s="284"/>
      <c r="D1892" s="284"/>
      <c r="E1892" s="284"/>
      <c r="F1892" s="284"/>
      <c r="G1892" s="284"/>
      <c r="H1892" s="284"/>
      <c r="I1892" s="284"/>
      <c r="J1892" s="375"/>
      <c r="K1892" s="375"/>
      <c r="L1892" s="375"/>
      <c r="M1892" s="368"/>
      <c r="N1892" s="368"/>
      <c r="O1892" s="370"/>
      <c r="T1892" s="340"/>
      <c r="V1892" s="378"/>
      <c r="W1892" s="64" ph="1"/>
      <c r="X1892" s="241"/>
      <c r="Y1892" s="284"/>
      <c r="Z1892" s="207"/>
      <c r="AA1892" s="284"/>
      <c r="AB1892" s="284"/>
      <c r="AC1892" s="284"/>
      <c r="AD1892" s="284"/>
      <c r="AE1892" s="284"/>
      <c r="AF1892" s="284"/>
      <c r="AG1892" s="284"/>
    </row>
    <row r="1893" spans="1:33" ht="26.4">
      <c r="A1893" s="284"/>
      <c r="B1893" s="284"/>
      <c r="C1893" s="284"/>
      <c r="D1893" s="284"/>
      <c r="E1893" s="284"/>
      <c r="F1893" s="284"/>
      <c r="G1893" s="284"/>
      <c r="H1893" s="284"/>
      <c r="I1893" s="284"/>
      <c r="J1893" s="375"/>
      <c r="K1893" s="375"/>
      <c r="L1893" s="375"/>
      <c r="M1893" s="368"/>
      <c r="N1893" s="368"/>
      <c r="O1893" s="370"/>
      <c r="T1893" s="340"/>
      <c r="V1893" s="378"/>
      <c r="W1893" s="64" ph="1"/>
      <c r="X1893" s="241"/>
      <c r="Y1893" s="284"/>
      <c r="Z1893" s="207"/>
      <c r="AA1893" s="284"/>
      <c r="AB1893" s="284"/>
      <c r="AC1893" s="284"/>
      <c r="AD1893" s="284"/>
      <c r="AE1893" s="284"/>
      <c r="AF1893" s="284"/>
      <c r="AG1893" s="284"/>
    </row>
    <row r="1894" spans="1:33" ht="26.4">
      <c r="A1894" s="284"/>
      <c r="B1894" s="284"/>
      <c r="C1894" s="284"/>
      <c r="D1894" s="284"/>
      <c r="E1894" s="284"/>
      <c r="F1894" s="284"/>
      <c r="G1894" s="284"/>
      <c r="H1894" s="284"/>
      <c r="I1894" s="284"/>
      <c r="J1894" s="375"/>
      <c r="K1894" s="375"/>
      <c r="L1894" s="375"/>
      <c r="M1894" s="368"/>
      <c r="N1894" s="368"/>
      <c r="O1894" s="370"/>
      <c r="T1894" s="340"/>
      <c r="V1894" s="378"/>
      <c r="W1894" s="64" ph="1"/>
      <c r="X1894" s="241"/>
      <c r="Y1894" s="284"/>
      <c r="Z1894" s="207"/>
      <c r="AA1894" s="284"/>
      <c r="AB1894" s="284"/>
      <c r="AC1894" s="284"/>
      <c r="AD1894" s="284"/>
      <c r="AE1894" s="284"/>
      <c r="AF1894" s="284"/>
      <c r="AG1894" s="284"/>
    </row>
    <row r="1895" spans="1:33" ht="26.4">
      <c r="A1895" s="284"/>
      <c r="B1895" s="284"/>
      <c r="C1895" s="284"/>
      <c r="D1895" s="284"/>
      <c r="E1895" s="284"/>
      <c r="F1895" s="284"/>
      <c r="G1895" s="284"/>
      <c r="H1895" s="284"/>
      <c r="I1895" s="284"/>
      <c r="J1895" s="375"/>
      <c r="K1895" s="375"/>
      <c r="L1895" s="375"/>
      <c r="M1895" s="368"/>
      <c r="N1895" s="368"/>
      <c r="O1895" s="370"/>
      <c r="T1895" s="340"/>
      <c r="V1895" s="378"/>
      <c r="W1895" s="64" ph="1"/>
      <c r="X1895" s="241"/>
      <c r="Y1895" s="284"/>
      <c r="Z1895" s="207"/>
      <c r="AA1895" s="284"/>
      <c r="AB1895" s="284"/>
      <c r="AC1895" s="284"/>
      <c r="AD1895" s="284"/>
      <c r="AE1895" s="284"/>
      <c r="AF1895" s="284"/>
      <c r="AG1895" s="284"/>
    </row>
    <row r="1896" spans="1:33" ht="26.4">
      <c r="A1896" s="284"/>
      <c r="B1896" s="284"/>
      <c r="C1896" s="284"/>
      <c r="D1896" s="284"/>
      <c r="E1896" s="284"/>
      <c r="F1896" s="284"/>
      <c r="G1896" s="284"/>
      <c r="H1896" s="284"/>
      <c r="I1896" s="284"/>
      <c r="J1896" s="375"/>
      <c r="K1896" s="375"/>
      <c r="L1896" s="375"/>
      <c r="M1896" s="368"/>
      <c r="N1896" s="368"/>
      <c r="O1896" s="370"/>
      <c r="T1896" s="340"/>
      <c r="V1896" s="378"/>
      <c r="W1896" s="64" ph="1"/>
      <c r="X1896" s="241"/>
      <c r="Y1896" s="284"/>
      <c r="Z1896" s="207"/>
      <c r="AA1896" s="284"/>
      <c r="AB1896" s="284"/>
      <c r="AC1896" s="284"/>
      <c r="AD1896" s="284"/>
      <c r="AE1896" s="284"/>
      <c r="AF1896" s="284"/>
      <c r="AG1896" s="284"/>
    </row>
    <row r="1897" spans="1:33" ht="26.4">
      <c r="A1897" s="284"/>
      <c r="B1897" s="284"/>
      <c r="C1897" s="284"/>
      <c r="D1897" s="284"/>
      <c r="E1897" s="284"/>
      <c r="F1897" s="284"/>
      <c r="G1897" s="284"/>
      <c r="H1897" s="284"/>
      <c r="I1897" s="284"/>
      <c r="J1897" s="375"/>
      <c r="K1897" s="375"/>
      <c r="L1897" s="375"/>
      <c r="M1897" s="368"/>
      <c r="N1897" s="368"/>
      <c r="O1897" s="370"/>
      <c r="T1897" s="340"/>
      <c r="V1897" s="378"/>
      <c r="W1897" s="64" ph="1"/>
      <c r="X1897" s="241"/>
      <c r="Y1897" s="284"/>
      <c r="Z1897" s="207"/>
      <c r="AA1897" s="284"/>
      <c r="AB1897" s="284"/>
      <c r="AC1897" s="284"/>
      <c r="AD1897" s="284"/>
      <c r="AE1897" s="284"/>
      <c r="AF1897" s="284"/>
      <c r="AG1897" s="284"/>
    </row>
    <row r="1898" spans="1:33" ht="26.4">
      <c r="A1898" s="284"/>
      <c r="B1898" s="284"/>
      <c r="C1898" s="284"/>
      <c r="D1898" s="284"/>
      <c r="E1898" s="284"/>
      <c r="F1898" s="284"/>
      <c r="G1898" s="284"/>
      <c r="H1898" s="284"/>
      <c r="I1898" s="284"/>
      <c r="J1898" s="375"/>
      <c r="K1898" s="375"/>
      <c r="L1898" s="375"/>
      <c r="M1898" s="368"/>
      <c r="N1898" s="368"/>
      <c r="O1898" s="370"/>
      <c r="T1898" s="340"/>
      <c r="V1898" s="378"/>
      <c r="W1898" s="64" ph="1"/>
      <c r="X1898" s="241"/>
      <c r="Y1898" s="284"/>
      <c r="Z1898" s="207"/>
      <c r="AA1898" s="284"/>
      <c r="AB1898" s="284"/>
      <c r="AC1898" s="284"/>
      <c r="AD1898" s="284"/>
      <c r="AE1898" s="284"/>
      <c r="AF1898" s="284"/>
      <c r="AG1898" s="284"/>
    </row>
    <row r="1899" spans="1:33" ht="26.4">
      <c r="A1899" s="284"/>
      <c r="B1899" s="284"/>
      <c r="C1899" s="284"/>
      <c r="D1899" s="284"/>
      <c r="E1899" s="284"/>
      <c r="F1899" s="284"/>
      <c r="G1899" s="284"/>
      <c r="H1899" s="284"/>
      <c r="I1899" s="284"/>
      <c r="J1899" s="375"/>
      <c r="K1899" s="375"/>
      <c r="L1899" s="375"/>
      <c r="M1899" s="368"/>
      <c r="N1899" s="368"/>
      <c r="O1899" s="370"/>
      <c r="T1899" s="340"/>
      <c r="V1899" s="378"/>
      <c r="W1899" s="64" ph="1"/>
      <c r="X1899" s="241"/>
      <c r="Y1899" s="284"/>
      <c r="Z1899" s="207"/>
      <c r="AA1899" s="284"/>
      <c r="AB1899" s="284"/>
      <c r="AC1899" s="284"/>
      <c r="AD1899" s="284"/>
      <c r="AE1899" s="284"/>
      <c r="AF1899" s="284"/>
      <c r="AG1899" s="284"/>
    </row>
    <row r="1900" spans="1:33" ht="26.4">
      <c r="A1900" s="284"/>
      <c r="B1900" s="284"/>
      <c r="C1900" s="284"/>
      <c r="D1900" s="284"/>
      <c r="E1900" s="284"/>
      <c r="F1900" s="284"/>
      <c r="G1900" s="284"/>
      <c r="H1900" s="284"/>
      <c r="I1900" s="284"/>
      <c r="J1900" s="375"/>
      <c r="K1900" s="375"/>
      <c r="L1900" s="375"/>
      <c r="M1900" s="368"/>
      <c r="N1900" s="368"/>
      <c r="O1900" s="370"/>
      <c r="T1900" s="340"/>
      <c r="V1900" s="378"/>
      <c r="W1900" s="64" ph="1"/>
      <c r="X1900" s="241"/>
      <c r="Y1900" s="284"/>
      <c r="Z1900" s="207"/>
      <c r="AA1900" s="284"/>
      <c r="AB1900" s="284"/>
      <c r="AC1900" s="284"/>
      <c r="AD1900" s="284"/>
      <c r="AE1900" s="284"/>
      <c r="AF1900" s="284"/>
      <c r="AG1900" s="284"/>
    </row>
    <row r="1901" spans="1:33" ht="26.4">
      <c r="A1901" s="284"/>
      <c r="B1901" s="284"/>
      <c r="C1901" s="284"/>
      <c r="D1901" s="284"/>
      <c r="E1901" s="284"/>
      <c r="F1901" s="284"/>
      <c r="G1901" s="284"/>
      <c r="H1901" s="284"/>
      <c r="I1901" s="284"/>
      <c r="J1901" s="375"/>
      <c r="K1901" s="375"/>
      <c r="L1901" s="375"/>
      <c r="M1901" s="368"/>
      <c r="N1901" s="368"/>
      <c r="O1901" s="370"/>
      <c r="T1901" s="340"/>
      <c r="V1901" s="378"/>
      <c r="W1901" s="64" ph="1"/>
      <c r="X1901" s="241"/>
      <c r="Y1901" s="284"/>
      <c r="Z1901" s="207"/>
      <c r="AA1901" s="284"/>
      <c r="AB1901" s="284"/>
      <c r="AC1901" s="284"/>
      <c r="AD1901" s="284"/>
      <c r="AE1901" s="284"/>
      <c r="AF1901" s="284"/>
      <c r="AG1901" s="284"/>
    </row>
    <row r="1902" spans="1:33" ht="26.4">
      <c r="A1902" s="284"/>
      <c r="B1902" s="284"/>
      <c r="C1902" s="284"/>
      <c r="D1902" s="284"/>
      <c r="E1902" s="284"/>
      <c r="F1902" s="284"/>
      <c r="G1902" s="284"/>
      <c r="H1902" s="284"/>
      <c r="I1902" s="284"/>
      <c r="J1902" s="375"/>
      <c r="K1902" s="375"/>
      <c r="L1902" s="375"/>
      <c r="M1902" s="368"/>
      <c r="N1902" s="368"/>
      <c r="O1902" s="370"/>
      <c r="T1902" s="340"/>
      <c r="V1902" s="378"/>
      <c r="W1902" s="64" ph="1"/>
      <c r="X1902" s="241"/>
      <c r="Y1902" s="284"/>
      <c r="Z1902" s="207"/>
      <c r="AA1902" s="284"/>
      <c r="AB1902" s="284"/>
      <c r="AC1902" s="284"/>
      <c r="AD1902" s="284"/>
      <c r="AE1902" s="284"/>
      <c r="AF1902" s="284"/>
      <c r="AG1902" s="284"/>
    </row>
    <row r="1903" spans="1:33" ht="26.4">
      <c r="A1903" s="284"/>
      <c r="B1903" s="284"/>
      <c r="C1903" s="284"/>
      <c r="D1903" s="284"/>
      <c r="E1903" s="284"/>
      <c r="F1903" s="284"/>
      <c r="G1903" s="284"/>
      <c r="H1903" s="284"/>
      <c r="I1903" s="284"/>
      <c r="J1903" s="375"/>
      <c r="K1903" s="375"/>
      <c r="L1903" s="375"/>
      <c r="M1903" s="368"/>
      <c r="N1903" s="368"/>
      <c r="O1903" s="370"/>
      <c r="T1903" s="340"/>
      <c r="V1903" s="378"/>
      <c r="W1903" s="64" ph="1"/>
      <c r="X1903" s="241"/>
      <c r="Y1903" s="284"/>
      <c r="Z1903" s="207"/>
      <c r="AA1903" s="284"/>
      <c r="AB1903" s="284"/>
      <c r="AC1903" s="284"/>
      <c r="AD1903" s="284"/>
      <c r="AE1903" s="284"/>
      <c r="AF1903" s="284"/>
      <c r="AG1903" s="284"/>
    </row>
    <row r="1904" spans="1:33" ht="26.4">
      <c r="A1904" s="284"/>
      <c r="B1904" s="284"/>
      <c r="C1904" s="284"/>
      <c r="D1904" s="284"/>
      <c r="E1904" s="284"/>
      <c r="F1904" s="284"/>
      <c r="G1904" s="284"/>
      <c r="H1904" s="284"/>
      <c r="I1904" s="284"/>
      <c r="J1904" s="375"/>
      <c r="K1904" s="375"/>
      <c r="L1904" s="375"/>
      <c r="M1904" s="368"/>
      <c r="N1904" s="368"/>
      <c r="O1904" s="370"/>
      <c r="T1904" s="340"/>
      <c r="V1904" s="378"/>
      <c r="W1904" s="64" ph="1"/>
      <c r="X1904" s="241"/>
      <c r="Y1904" s="284"/>
      <c r="Z1904" s="207"/>
      <c r="AA1904" s="284"/>
      <c r="AB1904" s="284"/>
      <c r="AC1904" s="284"/>
      <c r="AD1904" s="284"/>
      <c r="AE1904" s="284"/>
      <c r="AF1904" s="284"/>
      <c r="AG1904" s="284"/>
    </row>
    <row r="1905" spans="1:33" ht="26.4">
      <c r="A1905" s="284"/>
      <c r="B1905" s="284"/>
      <c r="C1905" s="284"/>
      <c r="D1905" s="284"/>
      <c r="E1905" s="284"/>
      <c r="F1905" s="284"/>
      <c r="G1905" s="284"/>
      <c r="H1905" s="284"/>
      <c r="I1905" s="284"/>
      <c r="J1905" s="375"/>
      <c r="K1905" s="375"/>
      <c r="L1905" s="375"/>
      <c r="M1905" s="368"/>
      <c r="N1905" s="368"/>
      <c r="O1905" s="370"/>
      <c r="T1905" s="340"/>
      <c r="V1905" s="378"/>
      <c r="W1905" s="64" ph="1"/>
      <c r="X1905" s="241"/>
      <c r="Y1905" s="284"/>
      <c r="Z1905" s="207"/>
      <c r="AA1905" s="284"/>
      <c r="AB1905" s="284"/>
      <c r="AC1905" s="284"/>
      <c r="AD1905" s="284"/>
      <c r="AE1905" s="284"/>
      <c r="AF1905" s="284"/>
      <c r="AG1905" s="284"/>
    </row>
    <row r="1906" spans="1:33" ht="26.4">
      <c r="A1906" s="284"/>
      <c r="B1906" s="284"/>
      <c r="C1906" s="284"/>
      <c r="D1906" s="284"/>
      <c r="E1906" s="284"/>
      <c r="F1906" s="284"/>
      <c r="G1906" s="284"/>
      <c r="H1906" s="284"/>
      <c r="I1906" s="284"/>
      <c r="J1906" s="375"/>
      <c r="K1906" s="375"/>
      <c r="L1906" s="375"/>
      <c r="M1906" s="368"/>
      <c r="N1906" s="368"/>
      <c r="O1906" s="370"/>
      <c r="T1906" s="340"/>
      <c r="V1906" s="378"/>
      <c r="W1906" s="64" ph="1"/>
      <c r="X1906" s="241"/>
      <c r="Y1906" s="284"/>
      <c r="Z1906" s="207"/>
      <c r="AA1906" s="284"/>
      <c r="AB1906" s="284"/>
      <c r="AC1906" s="284"/>
      <c r="AD1906" s="284"/>
      <c r="AE1906" s="284"/>
      <c r="AF1906" s="284"/>
      <c r="AG1906" s="284"/>
    </row>
    <row r="1907" spans="1:33" ht="26.4">
      <c r="A1907" s="284"/>
      <c r="B1907" s="284"/>
      <c r="C1907" s="284"/>
      <c r="D1907" s="284"/>
      <c r="E1907" s="284"/>
      <c r="F1907" s="284"/>
      <c r="G1907" s="284"/>
      <c r="H1907" s="284"/>
      <c r="I1907" s="284"/>
      <c r="J1907" s="375"/>
      <c r="K1907" s="375"/>
      <c r="L1907" s="375"/>
      <c r="M1907" s="368"/>
      <c r="N1907" s="368"/>
      <c r="O1907" s="370"/>
      <c r="T1907" s="340"/>
      <c r="V1907" s="378"/>
      <c r="W1907" s="64" ph="1"/>
      <c r="X1907" s="241"/>
      <c r="Y1907" s="284"/>
      <c r="Z1907" s="207"/>
      <c r="AA1907" s="284"/>
      <c r="AB1907" s="284"/>
      <c r="AC1907" s="284"/>
      <c r="AD1907" s="284"/>
      <c r="AE1907" s="284"/>
      <c r="AF1907" s="284"/>
      <c r="AG1907" s="284"/>
    </row>
    <row r="1908" spans="1:33" ht="26.4">
      <c r="A1908" s="284"/>
      <c r="B1908" s="284"/>
      <c r="C1908" s="284"/>
      <c r="D1908" s="284"/>
      <c r="E1908" s="284"/>
      <c r="F1908" s="284"/>
      <c r="G1908" s="284"/>
      <c r="H1908" s="284"/>
      <c r="I1908" s="284"/>
      <c r="J1908" s="375"/>
      <c r="K1908" s="375"/>
      <c r="L1908" s="375"/>
      <c r="M1908" s="368"/>
      <c r="N1908" s="368"/>
      <c r="O1908" s="370"/>
      <c r="T1908" s="340"/>
      <c r="V1908" s="378"/>
      <c r="W1908" s="64" ph="1"/>
      <c r="X1908" s="241"/>
      <c r="Y1908" s="284"/>
      <c r="Z1908" s="207"/>
      <c r="AA1908" s="284"/>
      <c r="AB1908" s="284"/>
      <c r="AC1908" s="284"/>
      <c r="AD1908" s="284"/>
      <c r="AE1908" s="284"/>
      <c r="AF1908" s="284"/>
      <c r="AG1908" s="284"/>
    </row>
    <row r="1909" spans="1:33" ht="26.4">
      <c r="A1909" s="284"/>
      <c r="B1909" s="284"/>
      <c r="C1909" s="284"/>
      <c r="D1909" s="284"/>
      <c r="E1909" s="284"/>
      <c r="F1909" s="284"/>
      <c r="G1909" s="284"/>
      <c r="H1909" s="284"/>
      <c r="I1909" s="284"/>
      <c r="J1909" s="375"/>
      <c r="K1909" s="375"/>
      <c r="L1909" s="375"/>
      <c r="M1909" s="368"/>
      <c r="N1909" s="368"/>
      <c r="O1909" s="370"/>
      <c r="T1909" s="340"/>
      <c r="V1909" s="378"/>
      <c r="W1909" s="64" ph="1"/>
      <c r="X1909" s="241"/>
      <c r="Y1909" s="284"/>
      <c r="Z1909" s="207"/>
      <c r="AA1909" s="284"/>
      <c r="AB1909" s="284"/>
      <c r="AC1909" s="284"/>
      <c r="AD1909" s="284"/>
      <c r="AE1909" s="284"/>
      <c r="AF1909" s="284"/>
      <c r="AG1909" s="284"/>
    </row>
    <row r="1910" spans="1:33" ht="26.4">
      <c r="A1910" s="284"/>
      <c r="B1910" s="284"/>
      <c r="C1910" s="284"/>
      <c r="D1910" s="284"/>
      <c r="E1910" s="284"/>
      <c r="F1910" s="284"/>
      <c r="G1910" s="284"/>
      <c r="H1910" s="284"/>
      <c r="I1910" s="284"/>
      <c r="J1910" s="375"/>
      <c r="K1910" s="375"/>
      <c r="L1910" s="375"/>
      <c r="M1910" s="368"/>
      <c r="N1910" s="368"/>
      <c r="O1910" s="370"/>
      <c r="T1910" s="340"/>
      <c r="V1910" s="378"/>
      <c r="W1910" s="64" ph="1"/>
      <c r="X1910" s="241"/>
      <c r="Y1910" s="284"/>
      <c r="Z1910" s="207"/>
      <c r="AA1910" s="284"/>
      <c r="AB1910" s="284"/>
      <c r="AC1910" s="284"/>
      <c r="AD1910" s="284"/>
      <c r="AE1910" s="284"/>
      <c r="AF1910" s="284"/>
      <c r="AG1910" s="284"/>
    </row>
    <row r="1911" spans="1:33" ht="26.4">
      <c r="A1911" s="284"/>
      <c r="B1911" s="284"/>
      <c r="C1911" s="284"/>
      <c r="D1911" s="284"/>
      <c r="E1911" s="284"/>
      <c r="F1911" s="284"/>
      <c r="G1911" s="284"/>
      <c r="H1911" s="284"/>
      <c r="I1911" s="284"/>
      <c r="J1911" s="375"/>
      <c r="K1911" s="375"/>
      <c r="L1911" s="375"/>
      <c r="M1911" s="368"/>
      <c r="N1911" s="368"/>
      <c r="O1911" s="370"/>
      <c r="T1911" s="340"/>
      <c r="V1911" s="378"/>
      <c r="W1911" s="64" ph="1"/>
      <c r="X1911" s="241"/>
      <c r="Y1911" s="284"/>
      <c r="Z1911" s="207"/>
      <c r="AA1911" s="284"/>
      <c r="AB1911" s="284"/>
      <c r="AC1911" s="284"/>
      <c r="AD1911" s="284"/>
      <c r="AE1911" s="284"/>
      <c r="AF1911" s="284"/>
      <c r="AG1911" s="284"/>
    </row>
    <row r="1912" spans="1:33" ht="26.4">
      <c r="A1912" s="284"/>
      <c r="B1912" s="284"/>
      <c r="C1912" s="284"/>
      <c r="D1912" s="284"/>
      <c r="E1912" s="284"/>
      <c r="F1912" s="284"/>
      <c r="G1912" s="284"/>
      <c r="H1912" s="284"/>
      <c r="I1912" s="284"/>
      <c r="J1912" s="375"/>
      <c r="K1912" s="375"/>
      <c r="L1912" s="375"/>
      <c r="M1912" s="368"/>
      <c r="N1912" s="368"/>
      <c r="O1912" s="370"/>
      <c r="T1912" s="340"/>
      <c r="V1912" s="378"/>
      <c r="W1912" s="64" ph="1"/>
      <c r="X1912" s="241"/>
      <c r="Y1912" s="284"/>
      <c r="Z1912" s="207"/>
      <c r="AA1912" s="284"/>
      <c r="AB1912" s="284"/>
      <c r="AC1912" s="284"/>
      <c r="AD1912" s="284"/>
      <c r="AE1912" s="284"/>
      <c r="AF1912" s="284"/>
      <c r="AG1912" s="284"/>
    </row>
    <row r="1913" spans="1:33" ht="26.4">
      <c r="A1913" s="284"/>
      <c r="B1913" s="284"/>
      <c r="C1913" s="284"/>
      <c r="D1913" s="284"/>
      <c r="E1913" s="284"/>
      <c r="F1913" s="284"/>
      <c r="G1913" s="284"/>
      <c r="H1913" s="284"/>
      <c r="I1913" s="284"/>
      <c r="J1913" s="375"/>
      <c r="K1913" s="375"/>
      <c r="L1913" s="375"/>
      <c r="M1913" s="368"/>
      <c r="N1913" s="368"/>
      <c r="O1913" s="370"/>
      <c r="T1913" s="340"/>
      <c r="V1913" s="378"/>
      <c r="W1913" s="64" ph="1"/>
      <c r="X1913" s="241"/>
      <c r="Y1913" s="284"/>
      <c r="Z1913" s="207"/>
      <c r="AA1913" s="284"/>
      <c r="AB1913" s="284"/>
      <c r="AC1913" s="284"/>
      <c r="AD1913" s="284"/>
      <c r="AE1913" s="284"/>
      <c r="AF1913" s="284"/>
      <c r="AG1913" s="284"/>
    </row>
    <row r="1914" spans="1:33" ht="26.4">
      <c r="A1914" s="284"/>
      <c r="B1914" s="284"/>
      <c r="C1914" s="284"/>
      <c r="D1914" s="284"/>
      <c r="E1914" s="284"/>
      <c r="F1914" s="284"/>
      <c r="G1914" s="284"/>
      <c r="H1914" s="284"/>
      <c r="I1914" s="284"/>
      <c r="J1914" s="375"/>
      <c r="K1914" s="375"/>
      <c r="L1914" s="375"/>
      <c r="M1914" s="368"/>
      <c r="N1914" s="368"/>
      <c r="O1914" s="370"/>
      <c r="T1914" s="340"/>
      <c r="V1914" s="378"/>
      <c r="W1914" s="64" ph="1"/>
      <c r="X1914" s="241"/>
      <c r="Y1914" s="284"/>
      <c r="Z1914" s="207"/>
      <c r="AA1914" s="284"/>
      <c r="AB1914" s="284"/>
      <c r="AC1914" s="284"/>
      <c r="AD1914" s="284"/>
      <c r="AE1914" s="284"/>
      <c r="AF1914" s="284"/>
      <c r="AG1914" s="284"/>
    </row>
    <row r="1915" spans="1:33" ht="26.4">
      <c r="A1915" s="284"/>
      <c r="B1915" s="284"/>
      <c r="C1915" s="284"/>
      <c r="D1915" s="284"/>
      <c r="E1915" s="284"/>
      <c r="F1915" s="284"/>
      <c r="G1915" s="284"/>
      <c r="H1915" s="284"/>
      <c r="I1915" s="284"/>
      <c r="J1915" s="375"/>
      <c r="K1915" s="375"/>
      <c r="L1915" s="375"/>
      <c r="M1915" s="368"/>
      <c r="N1915" s="368"/>
      <c r="O1915" s="370"/>
      <c r="T1915" s="340"/>
      <c r="V1915" s="378"/>
      <c r="W1915" s="64" ph="1"/>
      <c r="X1915" s="241"/>
      <c r="Y1915" s="284"/>
      <c r="Z1915" s="207"/>
      <c r="AA1915" s="284"/>
      <c r="AB1915" s="284"/>
      <c r="AC1915" s="284"/>
      <c r="AD1915" s="284"/>
      <c r="AE1915" s="284"/>
      <c r="AF1915" s="284"/>
      <c r="AG1915" s="284"/>
    </row>
    <row r="1916" spans="1:33" ht="26.4">
      <c r="A1916" s="284"/>
      <c r="B1916" s="284"/>
      <c r="C1916" s="284"/>
      <c r="D1916" s="284"/>
      <c r="E1916" s="284"/>
      <c r="F1916" s="284"/>
      <c r="G1916" s="284"/>
      <c r="H1916" s="284"/>
      <c r="I1916" s="284"/>
      <c r="J1916" s="375"/>
      <c r="K1916" s="375"/>
      <c r="L1916" s="375"/>
      <c r="M1916" s="368"/>
      <c r="N1916" s="368"/>
      <c r="O1916" s="370"/>
      <c r="T1916" s="340"/>
      <c r="V1916" s="378"/>
      <c r="W1916" s="64" ph="1"/>
      <c r="X1916" s="241"/>
      <c r="Y1916" s="284"/>
      <c r="Z1916" s="207"/>
      <c r="AA1916" s="284"/>
      <c r="AB1916" s="284"/>
      <c r="AC1916" s="284"/>
      <c r="AD1916" s="284"/>
      <c r="AE1916" s="284"/>
      <c r="AF1916" s="284"/>
      <c r="AG1916" s="284"/>
    </row>
    <row r="1917" spans="1:33" ht="26.4">
      <c r="A1917" s="284"/>
      <c r="B1917" s="284"/>
      <c r="C1917" s="284"/>
      <c r="D1917" s="284"/>
      <c r="E1917" s="284"/>
      <c r="F1917" s="284"/>
      <c r="G1917" s="284"/>
      <c r="H1917" s="284"/>
      <c r="I1917" s="284"/>
      <c r="J1917" s="375"/>
      <c r="K1917" s="375"/>
      <c r="L1917" s="375"/>
      <c r="M1917" s="368"/>
      <c r="N1917" s="368"/>
      <c r="O1917" s="370"/>
      <c r="T1917" s="340"/>
      <c r="V1917" s="378"/>
      <c r="W1917" s="64" ph="1"/>
      <c r="X1917" s="241"/>
      <c r="Y1917" s="284"/>
      <c r="Z1917" s="207"/>
      <c r="AA1917" s="284"/>
      <c r="AB1917" s="284"/>
      <c r="AC1917" s="284"/>
      <c r="AD1917" s="284"/>
      <c r="AE1917" s="284"/>
      <c r="AF1917" s="284"/>
      <c r="AG1917" s="284"/>
    </row>
    <row r="1918" spans="1:33" ht="26.4">
      <c r="A1918" s="284"/>
      <c r="B1918" s="284"/>
      <c r="C1918" s="284"/>
      <c r="D1918" s="284"/>
      <c r="E1918" s="284"/>
      <c r="F1918" s="284"/>
      <c r="G1918" s="284"/>
      <c r="H1918" s="284"/>
      <c r="I1918" s="284"/>
      <c r="J1918" s="375"/>
      <c r="K1918" s="375"/>
      <c r="L1918" s="375"/>
      <c r="M1918" s="368"/>
      <c r="N1918" s="368"/>
      <c r="O1918" s="370"/>
      <c r="T1918" s="340"/>
      <c r="V1918" s="378"/>
      <c r="W1918" s="64" ph="1"/>
      <c r="X1918" s="241"/>
      <c r="Y1918" s="284"/>
      <c r="Z1918" s="207"/>
      <c r="AA1918" s="284"/>
      <c r="AB1918" s="284"/>
      <c r="AC1918" s="284"/>
      <c r="AD1918" s="284"/>
      <c r="AE1918" s="284"/>
      <c r="AF1918" s="284"/>
      <c r="AG1918" s="284"/>
    </row>
    <row r="1919" spans="1:33" ht="26.4">
      <c r="A1919" s="284"/>
      <c r="B1919" s="284"/>
      <c r="C1919" s="284"/>
      <c r="D1919" s="284"/>
      <c r="E1919" s="284"/>
      <c r="F1919" s="284"/>
      <c r="G1919" s="284"/>
      <c r="H1919" s="284"/>
      <c r="I1919" s="284"/>
      <c r="J1919" s="375"/>
      <c r="K1919" s="375"/>
      <c r="L1919" s="375"/>
      <c r="M1919" s="368"/>
      <c r="N1919" s="368"/>
      <c r="O1919" s="370"/>
      <c r="T1919" s="340"/>
      <c r="V1919" s="378"/>
      <c r="W1919" s="64" ph="1"/>
      <c r="X1919" s="241"/>
      <c r="Y1919" s="284"/>
      <c r="Z1919" s="207"/>
      <c r="AA1919" s="284"/>
      <c r="AB1919" s="284"/>
      <c r="AC1919" s="284"/>
      <c r="AD1919" s="284"/>
      <c r="AE1919" s="284"/>
      <c r="AF1919" s="284"/>
      <c r="AG1919" s="284"/>
    </row>
    <row r="1920" spans="1:33" ht="26.4">
      <c r="A1920" s="284"/>
      <c r="B1920" s="284"/>
      <c r="C1920" s="284"/>
      <c r="D1920" s="284"/>
      <c r="E1920" s="284"/>
      <c r="F1920" s="284"/>
      <c r="G1920" s="284"/>
      <c r="H1920" s="284"/>
      <c r="I1920" s="284"/>
      <c r="J1920" s="375"/>
      <c r="K1920" s="375"/>
      <c r="L1920" s="375"/>
      <c r="M1920" s="368"/>
      <c r="N1920" s="368"/>
      <c r="O1920" s="370"/>
      <c r="T1920" s="340"/>
      <c r="V1920" s="378"/>
      <c r="W1920" s="64" ph="1"/>
      <c r="X1920" s="241"/>
      <c r="Y1920" s="284"/>
      <c r="Z1920" s="207"/>
      <c r="AA1920" s="284"/>
      <c r="AB1920" s="284"/>
      <c r="AC1920" s="284"/>
      <c r="AD1920" s="284"/>
      <c r="AE1920" s="284"/>
      <c r="AF1920" s="284"/>
      <c r="AG1920" s="284"/>
    </row>
    <row r="1921" spans="1:33" ht="26.4">
      <c r="A1921" s="284"/>
      <c r="B1921" s="284"/>
      <c r="C1921" s="284"/>
      <c r="D1921" s="284"/>
      <c r="E1921" s="284"/>
      <c r="F1921" s="284"/>
      <c r="G1921" s="284"/>
      <c r="H1921" s="284"/>
      <c r="I1921" s="284"/>
      <c r="J1921" s="375"/>
      <c r="K1921" s="375"/>
      <c r="L1921" s="375"/>
      <c r="M1921" s="368"/>
      <c r="N1921" s="368"/>
      <c r="O1921" s="370"/>
      <c r="T1921" s="340"/>
      <c r="V1921" s="378"/>
      <c r="W1921" s="64" ph="1"/>
      <c r="X1921" s="241"/>
      <c r="Y1921" s="284"/>
      <c r="Z1921" s="207"/>
      <c r="AA1921" s="284"/>
      <c r="AB1921" s="284"/>
      <c r="AC1921" s="284"/>
      <c r="AD1921" s="284"/>
      <c r="AE1921" s="284"/>
      <c r="AF1921" s="284"/>
      <c r="AG1921" s="284"/>
    </row>
    <row r="1922" spans="1:33" ht="26.4">
      <c r="A1922" s="284"/>
      <c r="B1922" s="284"/>
      <c r="C1922" s="284"/>
      <c r="D1922" s="284"/>
      <c r="E1922" s="284"/>
      <c r="F1922" s="284"/>
      <c r="G1922" s="284"/>
      <c r="H1922" s="284"/>
      <c r="I1922" s="284"/>
      <c r="J1922" s="375"/>
      <c r="K1922" s="375"/>
      <c r="L1922" s="375"/>
      <c r="M1922" s="368"/>
      <c r="N1922" s="368"/>
      <c r="O1922" s="370"/>
      <c r="T1922" s="340"/>
      <c r="V1922" s="378"/>
      <c r="W1922" s="64" ph="1"/>
      <c r="X1922" s="241"/>
      <c r="Y1922" s="284"/>
      <c r="Z1922" s="207"/>
      <c r="AA1922" s="284"/>
      <c r="AB1922" s="284"/>
      <c r="AC1922" s="284"/>
      <c r="AD1922" s="284"/>
      <c r="AE1922" s="284"/>
      <c r="AF1922" s="284"/>
      <c r="AG1922" s="284"/>
    </row>
    <row r="1923" spans="1:33" ht="26.4">
      <c r="A1923" s="284"/>
      <c r="B1923" s="284"/>
      <c r="C1923" s="284"/>
      <c r="D1923" s="284"/>
      <c r="E1923" s="284"/>
      <c r="F1923" s="284"/>
      <c r="G1923" s="284"/>
      <c r="H1923" s="284"/>
      <c r="I1923" s="284"/>
      <c r="J1923" s="375"/>
      <c r="K1923" s="375"/>
      <c r="L1923" s="375"/>
      <c r="M1923" s="368"/>
      <c r="N1923" s="368"/>
      <c r="O1923" s="370"/>
      <c r="T1923" s="340"/>
      <c r="V1923" s="378"/>
      <c r="W1923" s="64" ph="1"/>
      <c r="X1923" s="241"/>
      <c r="Y1923" s="284"/>
      <c r="Z1923" s="207"/>
      <c r="AA1923" s="284"/>
      <c r="AB1923" s="284"/>
      <c r="AC1923" s="284"/>
      <c r="AD1923" s="284"/>
      <c r="AE1923" s="284"/>
      <c r="AF1923" s="284"/>
      <c r="AG1923" s="284"/>
    </row>
    <row r="1924" spans="1:33" ht="26.4">
      <c r="A1924" s="284"/>
      <c r="B1924" s="284"/>
      <c r="C1924" s="284"/>
      <c r="D1924" s="284"/>
      <c r="E1924" s="284"/>
      <c r="F1924" s="284"/>
      <c r="G1924" s="284"/>
      <c r="H1924" s="284"/>
      <c r="I1924" s="284"/>
      <c r="J1924" s="375"/>
      <c r="K1924" s="375"/>
      <c r="L1924" s="375"/>
      <c r="M1924" s="368"/>
      <c r="N1924" s="368"/>
      <c r="O1924" s="370"/>
      <c r="T1924" s="340"/>
      <c r="V1924" s="378"/>
      <c r="W1924" s="64" ph="1"/>
      <c r="X1924" s="241"/>
      <c r="Y1924" s="284"/>
      <c r="Z1924" s="207"/>
      <c r="AA1924" s="284"/>
      <c r="AB1924" s="284"/>
      <c r="AC1924" s="284"/>
      <c r="AD1924" s="284"/>
      <c r="AE1924" s="284"/>
      <c r="AF1924" s="284"/>
      <c r="AG1924" s="284"/>
    </row>
    <row r="1925" spans="1:33" ht="26.4">
      <c r="A1925" s="284"/>
      <c r="B1925" s="284"/>
      <c r="C1925" s="284"/>
      <c r="D1925" s="284"/>
      <c r="E1925" s="284"/>
      <c r="F1925" s="284"/>
      <c r="G1925" s="284"/>
      <c r="H1925" s="284"/>
      <c r="I1925" s="284"/>
      <c r="J1925" s="375"/>
      <c r="K1925" s="375"/>
      <c r="L1925" s="375"/>
      <c r="M1925" s="368"/>
      <c r="N1925" s="368"/>
      <c r="O1925" s="370"/>
      <c r="T1925" s="340"/>
      <c r="V1925" s="378"/>
      <c r="W1925" s="64" ph="1"/>
      <c r="X1925" s="241"/>
      <c r="Y1925" s="284"/>
      <c r="Z1925" s="207"/>
      <c r="AA1925" s="284"/>
      <c r="AB1925" s="284"/>
      <c r="AC1925" s="284"/>
      <c r="AD1925" s="284"/>
      <c r="AE1925" s="284"/>
      <c r="AF1925" s="284"/>
      <c r="AG1925" s="284"/>
    </row>
    <row r="1926" spans="1:33" ht="26.4">
      <c r="A1926" s="284"/>
      <c r="B1926" s="284"/>
      <c r="C1926" s="284"/>
      <c r="D1926" s="284"/>
      <c r="E1926" s="284"/>
      <c r="F1926" s="284"/>
      <c r="G1926" s="284"/>
      <c r="H1926" s="284"/>
      <c r="I1926" s="284"/>
      <c r="J1926" s="375"/>
      <c r="K1926" s="375"/>
      <c r="L1926" s="375"/>
      <c r="M1926" s="368"/>
      <c r="N1926" s="368"/>
      <c r="O1926" s="370"/>
      <c r="T1926" s="340"/>
      <c r="V1926" s="378"/>
      <c r="W1926" s="64" ph="1"/>
      <c r="X1926" s="241"/>
      <c r="Y1926" s="284"/>
      <c r="Z1926" s="207"/>
      <c r="AA1926" s="284"/>
      <c r="AB1926" s="284"/>
      <c r="AC1926" s="284"/>
      <c r="AD1926" s="284"/>
      <c r="AE1926" s="284"/>
      <c r="AF1926" s="284"/>
      <c r="AG1926" s="284"/>
    </row>
    <row r="1927" spans="1:33" ht="26.4">
      <c r="A1927" s="284"/>
      <c r="B1927" s="284"/>
      <c r="C1927" s="284"/>
      <c r="D1927" s="284"/>
      <c r="E1927" s="284"/>
      <c r="F1927" s="284"/>
      <c r="G1927" s="284"/>
      <c r="H1927" s="284"/>
      <c r="I1927" s="284"/>
      <c r="J1927" s="375"/>
      <c r="K1927" s="375"/>
      <c r="L1927" s="375"/>
      <c r="M1927" s="368"/>
      <c r="N1927" s="368"/>
      <c r="O1927" s="370"/>
      <c r="T1927" s="340"/>
      <c r="V1927" s="378"/>
      <c r="W1927" s="64" ph="1"/>
      <c r="X1927" s="241"/>
      <c r="Y1927" s="284"/>
      <c r="Z1927" s="207"/>
      <c r="AA1927" s="284"/>
      <c r="AB1927" s="284"/>
      <c r="AC1927" s="284"/>
      <c r="AD1927" s="284"/>
      <c r="AE1927" s="284"/>
      <c r="AF1927" s="284"/>
      <c r="AG1927" s="284"/>
    </row>
    <row r="1928" spans="1:33" ht="26.4">
      <c r="A1928" s="284"/>
      <c r="B1928" s="284"/>
      <c r="C1928" s="284"/>
      <c r="D1928" s="284"/>
      <c r="E1928" s="284"/>
      <c r="F1928" s="284"/>
      <c r="G1928" s="284"/>
      <c r="H1928" s="284"/>
      <c r="I1928" s="284"/>
      <c r="J1928" s="375"/>
      <c r="K1928" s="375"/>
      <c r="L1928" s="375"/>
      <c r="M1928" s="368"/>
      <c r="N1928" s="368"/>
      <c r="O1928" s="370"/>
      <c r="T1928" s="340"/>
      <c r="V1928" s="378"/>
      <c r="W1928" s="64" ph="1"/>
      <c r="X1928" s="241"/>
      <c r="Y1928" s="284"/>
      <c r="Z1928" s="207"/>
      <c r="AA1928" s="284"/>
      <c r="AB1928" s="284"/>
      <c r="AC1928" s="284"/>
      <c r="AD1928" s="284"/>
      <c r="AE1928" s="284"/>
      <c r="AF1928" s="284"/>
      <c r="AG1928" s="284"/>
    </row>
    <row r="1929" spans="1:33" ht="26.4">
      <c r="A1929" s="284"/>
      <c r="B1929" s="284"/>
      <c r="C1929" s="284"/>
      <c r="D1929" s="284"/>
      <c r="E1929" s="284"/>
      <c r="F1929" s="284"/>
      <c r="G1929" s="284"/>
      <c r="H1929" s="284"/>
      <c r="I1929" s="284"/>
      <c r="J1929" s="375"/>
      <c r="K1929" s="375"/>
      <c r="L1929" s="375"/>
      <c r="M1929" s="368"/>
      <c r="N1929" s="368"/>
      <c r="O1929" s="370"/>
      <c r="T1929" s="340"/>
      <c r="V1929" s="378"/>
      <c r="W1929" s="64" ph="1"/>
      <c r="X1929" s="241"/>
      <c r="Y1929" s="284"/>
      <c r="Z1929" s="207"/>
      <c r="AA1929" s="284"/>
      <c r="AB1929" s="284"/>
      <c r="AC1929" s="284"/>
      <c r="AD1929" s="284"/>
      <c r="AE1929" s="284"/>
      <c r="AF1929" s="284"/>
      <c r="AG1929" s="284"/>
    </row>
    <row r="1930" spans="1:33" ht="26.4">
      <c r="A1930" s="284"/>
      <c r="B1930" s="284"/>
      <c r="C1930" s="284"/>
      <c r="D1930" s="284"/>
      <c r="E1930" s="284"/>
      <c r="F1930" s="284"/>
      <c r="G1930" s="284"/>
      <c r="H1930" s="284"/>
      <c r="I1930" s="284"/>
      <c r="J1930" s="375"/>
      <c r="K1930" s="375"/>
      <c r="L1930" s="375"/>
      <c r="M1930" s="368"/>
      <c r="N1930" s="368"/>
      <c r="O1930" s="370"/>
      <c r="T1930" s="340"/>
      <c r="V1930" s="378"/>
      <c r="W1930" s="64" ph="1"/>
      <c r="X1930" s="241"/>
      <c r="Y1930" s="284"/>
      <c r="Z1930" s="207"/>
      <c r="AA1930" s="284"/>
      <c r="AB1930" s="284"/>
      <c r="AC1930" s="284"/>
      <c r="AD1930" s="284"/>
      <c r="AE1930" s="284"/>
      <c r="AF1930" s="284"/>
      <c r="AG1930" s="284"/>
    </row>
    <row r="1931" spans="1:33" ht="26.4">
      <c r="A1931" s="284"/>
      <c r="B1931" s="284"/>
      <c r="C1931" s="284"/>
      <c r="D1931" s="284"/>
      <c r="E1931" s="284"/>
      <c r="F1931" s="284"/>
      <c r="G1931" s="284"/>
      <c r="H1931" s="284"/>
      <c r="I1931" s="284"/>
      <c r="J1931" s="375"/>
      <c r="K1931" s="375"/>
      <c r="L1931" s="375"/>
      <c r="M1931" s="368"/>
      <c r="N1931" s="368"/>
      <c r="O1931" s="370"/>
      <c r="T1931" s="340"/>
      <c r="V1931" s="378"/>
      <c r="W1931" s="64" ph="1"/>
      <c r="X1931" s="241"/>
      <c r="Y1931" s="284"/>
      <c r="Z1931" s="207"/>
      <c r="AA1931" s="284"/>
      <c r="AB1931" s="284"/>
      <c r="AC1931" s="284"/>
      <c r="AD1931" s="284"/>
      <c r="AE1931" s="284"/>
      <c r="AF1931" s="284"/>
      <c r="AG1931" s="284"/>
    </row>
    <row r="1932" spans="1:33" ht="26.4">
      <c r="A1932" s="284"/>
      <c r="B1932" s="284"/>
      <c r="C1932" s="284"/>
      <c r="D1932" s="284"/>
      <c r="E1932" s="284"/>
      <c r="F1932" s="284"/>
      <c r="G1932" s="284"/>
      <c r="H1932" s="284"/>
      <c r="I1932" s="284"/>
      <c r="J1932" s="375"/>
      <c r="K1932" s="375"/>
      <c r="L1932" s="375"/>
      <c r="M1932" s="368"/>
      <c r="N1932" s="368"/>
      <c r="O1932" s="370"/>
      <c r="T1932" s="340"/>
      <c r="V1932" s="378"/>
      <c r="W1932" s="64" ph="1"/>
      <c r="X1932" s="241"/>
      <c r="Y1932" s="284"/>
      <c r="Z1932" s="207"/>
      <c r="AA1932" s="284"/>
      <c r="AB1932" s="284"/>
      <c r="AC1932" s="284"/>
      <c r="AD1932" s="284"/>
      <c r="AE1932" s="284"/>
      <c r="AF1932" s="284"/>
      <c r="AG1932" s="284"/>
    </row>
    <row r="1933" spans="1:33" ht="26.4">
      <c r="A1933" s="284"/>
      <c r="B1933" s="284"/>
      <c r="C1933" s="284"/>
      <c r="D1933" s="284"/>
      <c r="E1933" s="284"/>
      <c r="F1933" s="284"/>
      <c r="G1933" s="284"/>
      <c r="H1933" s="284"/>
      <c r="I1933" s="284"/>
      <c r="J1933" s="375"/>
      <c r="K1933" s="375"/>
      <c r="L1933" s="375"/>
      <c r="M1933" s="368"/>
      <c r="N1933" s="368"/>
      <c r="O1933" s="370"/>
      <c r="T1933" s="340"/>
      <c r="V1933" s="378"/>
      <c r="W1933" s="64" ph="1"/>
      <c r="X1933" s="241"/>
      <c r="Y1933" s="284"/>
      <c r="Z1933" s="207"/>
      <c r="AA1933" s="284"/>
      <c r="AB1933" s="284"/>
      <c r="AC1933" s="284"/>
      <c r="AD1933" s="284"/>
      <c r="AE1933" s="284"/>
      <c r="AF1933" s="284"/>
      <c r="AG1933" s="284"/>
    </row>
    <row r="1934" spans="1:33" ht="26.4">
      <c r="A1934" s="284"/>
      <c r="B1934" s="284"/>
      <c r="C1934" s="284"/>
      <c r="D1934" s="284"/>
      <c r="E1934" s="284"/>
      <c r="F1934" s="284"/>
      <c r="G1934" s="284"/>
      <c r="H1934" s="284"/>
      <c r="I1934" s="284"/>
      <c r="J1934" s="375"/>
      <c r="K1934" s="375"/>
      <c r="L1934" s="375"/>
      <c r="M1934" s="368"/>
      <c r="N1934" s="368"/>
      <c r="O1934" s="370"/>
      <c r="T1934" s="340"/>
      <c r="V1934" s="378"/>
      <c r="W1934" s="64" ph="1"/>
      <c r="X1934" s="241"/>
      <c r="Y1934" s="284"/>
      <c r="Z1934" s="207"/>
      <c r="AA1934" s="284"/>
      <c r="AB1934" s="284"/>
      <c r="AC1934" s="284"/>
      <c r="AD1934" s="284"/>
      <c r="AE1934" s="284"/>
      <c r="AF1934" s="284"/>
      <c r="AG1934" s="284"/>
    </row>
    <row r="1935" spans="1:33" ht="26.4">
      <c r="A1935" s="284"/>
      <c r="B1935" s="284"/>
      <c r="C1935" s="284"/>
      <c r="D1935" s="284"/>
      <c r="E1935" s="284"/>
      <c r="F1935" s="284"/>
      <c r="G1935" s="284"/>
      <c r="H1935" s="284"/>
      <c r="I1935" s="284"/>
      <c r="J1935" s="375"/>
      <c r="K1935" s="375"/>
      <c r="L1935" s="375"/>
      <c r="M1935" s="368"/>
      <c r="N1935" s="368"/>
      <c r="O1935" s="370"/>
      <c r="T1935" s="340"/>
      <c r="V1935" s="378"/>
      <c r="W1935" s="64" ph="1"/>
      <c r="X1935" s="241"/>
      <c r="Y1935" s="284"/>
      <c r="Z1935" s="207"/>
      <c r="AA1935" s="284"/>
      <c r="AB1935" s="284"/>
      <c r="AC1935" s="284"/>
      <c r="AD1935" s="284"/>
      <c r="AE1935" s="284"/>
      <c r="AF1935" s="284"/>
      <c r="AG1935" s="284"/>
    </row>
    <row r="1936" spans="1:33" ht="26.4">
      <c r="A1936" s="284"/>
      <c r="B1936" s="284"/>
      <c r="C1936" s="284"/>
      <c r="D1936" s="284"/>
      <c r="E1936" s="284"/>
      <c r="F1936" s="284"/>
      <c r="G1936" s="284"/>
      <c r="H1936" s="284"/>
      <c r="I1936" s="284"/>
      <c r="J1936" s="375"/>
      <c r="K1936" s="375"/>
      <c r="L1936" s="375"/>
      <c r="M1936" s="368"/>
      <c r="N1936" s="368"/>
      <c r="O1936" s="370"/>
      <c r="T1936" s="340"/>
      <c r="V1936" s="378"/>
      <c r="W1936" s="64" ph="1"/>
      <c r="X1936" s="241"/>
      <c r="Y1936" s="284"/>
      <c r="Z1936" s="207"/>
      <c r="AA1936" s="284"/>
      <c r="AB1936" s="284"/>
      <c r="AC1936" s="284"/>
      <c r="AD1936" s="284"/>
      <c r="AE1936" s="284"/>
      <c r="AF1936" s="284"/>
      <c r="AG1936" s="284"/>
    </row>
    <row r="1937" spans="1:33" ht="26.4">
      <c r="A1937" s="284"/>
      <c r="B1937" s="284"/>
      <c r="C1937" s="284"/>
      <c r="D1937" s="284"/>
      <c r="E1937" s="284"/>
      <c r="F1937" s="284"/>
      <c r="G1937" s="284"/>
      <c r="H1937" s="284"/>
      <c r="I1937" s="284"/>
      <c r="J1937" s="375"/>
      <c r="K1937" s="375"/>
      <c r="L1937" s="375"/>
      <c r="M1937" s="368"/>
      <c r="N1937" s="368"/>
      <c r="O1937" s="370"/>
      <c r="T1937" s="340"/>
      <c r="V1937" s="378"/>
      <c r="W1937" s="64" ph="1"/>
      <c r="X1937" s="241"/>
      <c r="Y1937" s="284"/>
      <c r="Z1937" s="207"/>
      <c r="AA1937" s="284"/>
      <c r="AB1937" s="284"/>
      <c r="AC1937" s="284"/>
      <c r="AD1937" s="284"/>
      <c r="AE1937" s="284"/>
      <c r="AF1937" s="284"/>
      <c r="AG1937" s="284"/>
    </row>
    <row r="1938" spans="1:33" ht="26.4">
      <c r="A1938" s="284"/>
      <c r="B1938" s="284"/>
      <c r="C1938" s="284"/>
      <c r="D1938" s="284"/>
      <c r="E1938" s="284"/>
      <c r="F1938" s="284"/>
      <c r="G1938" s="284"/>
      <c r="H1938" s="284"/>
      <c r="I1938" s="284"/>
      <c r="J1938" s="375"/>
      <c r="K1938" s="375"/>
      <c r="L1938" s="375"/>
      <c r="M1938" s="368"/>
      <c r="N1938" s="368"/>
      <c r="O1938" s="370"/>
      <c r="T1938" s="340"/>
      <c r="V1938" s="378"/>
      <c r="W1938" s="64" ph="1"/>
      <c r="X1938" s="241"/>
      <c r="Y1938" s="284"/>
      <c r="Z1938" s="207"/>
      <c r="AA1938" s="284"/>
      <c r="AB1938" s="284"/>
      <c r="AC1938" s="284"/>
      <c r="AD1938" s="284"/>
      <c r="AE1938" s="284"/>
      <c r="AF1938" s="284"/>
      <c r="AG1938" s="284"/>
    </row>
    <row r="1939" spans="1:33" ht="26.4">
      <c r="A1939" s="284"/>
      <c r="B1939" s="284"/>
      <c r="C1939" s="284"/>
      <c r="D1939" s="284"/>
      <c r="E1939" s="284"/>
      <c r="F1939" s="284"/>
      <c r="G1939" s="284"/>
      <c r="H1939" s="284"/>
      <c r="I1939" s="284"/>
      <c r="J1939" s="375"/>
      <c r="K1939" s="375"/>
      <c r="L1939" s="375"/>
      <c r="M1939" s="368"/>
      <c r="N1939" s="368"/>
      <c r="O1939" s="370"/>
      <c r="T1939" s="340"/>
      <c r="V1939" s="378"/>
      <c r="W1939" s="64" ph="1"/>
      <c r="X1939" s="241"/>
      <c r="Y1939" s="284"/>
      <c r="Z1939" s="207"/>
      <c r="AA1939" s="284"/>
      <c r="AB1939" s="284"/>
      <c r="AC1939" s="284"/>
      <c r="AD1939" s="284"/>
      <c r="AE1939" s="284"/>
      <c r="AF1939" s="284"/>
      <c r="AG1939" s="284"/>
    </row>
    <row r="1940" spans="1:33" ht="26.4">
      <c r="A1940" s="284"/>
      <c r="B1940" s="284"/>
      <c r="C1940" s="284"/>
      <c r="D1940" s="284"/>
      <c r="E1940" s="284"/>
      <c r="F1940" s="284"/>
      <c r="G1940" s="284"/>
      <c r="H1940" s="284"/>
      <c r="I1940" s="284"/>
      <c r="J1940" s="375"/>
      <c r="K1940" s="375"/>
      <c r="L1940" s="375"/>
      <c r="M1940" s="368"/>
      <c r="N1940" s="368"/>
      <c r="O1940" s="370"/>
      <c r="T1940" s="340"/>
      <c r="V1940" s="378"/>
      <c r="W1940" s="64" ph="1"/>
      <c r="X1940" s="241"/>
      <c r="Y1940" s="284"/>
      <c r="Z1940" s="207"/>
      <c r="AA1940" s="284"/>
      <c r="AB1940" s="284"/>
      <c r="AC1940" s="284"/>
      <c r="AD1940" s="284"/>
      <c r="AE1940" s="284"/>
      <c r="AF1940" s="284"/>
      <c r="AG1940" s="284"/>
    </row>
    <row r="1941" spans="1:33" ht="26.4">
      <c r="A1941" s="284"/>
      <c r="B1941" s="284"/>
      <c r="C1941" s="284"/>
      <c r="D1941" s="284"/>
      <c r="E1941" s="284"/>
      <c r="F1941" s="284"/>
      <c r="G1941" s="284"/>
      <c r="H1941" s="284"/>
      <c r="I1941" s="284"/>
      <c r="J1941" s="375"/>
      <c r="K1941" s="375"/>
      <c r="L1941" s="375"/>
      <c r="M1941" s="368"/>
      <c r="N1941" s="368"/>
      <c r="O1941" s="370"/>
      <c r="T1941" s="340"/>
      <c r="V1941" s="378"/>
      <c r="W1941" s="64" ph="1"/>
      <c r="X1941" s="241"/>
      <c r="Y1941" s="284"/>
      <c r="Z1941" s="207"/>
      <c r="AA1941" s="284"/>
      <c r="AB1941" s="284"/>
      <c r="AC1941" s="284"/>
      <c r="AD1941" s="284"/>
      <c r="AE1941" s="284"/>
      <c r="AF1941" s="284"/>
      <c r="AG1941" s="284"/>
    </row>
    <row r="1942" spans="1:33" ht="26.4">
      <c r="A1942" s="284"/>
      <c r="B1942" s="284"/>
      <c r="C1942" s="284"/>
      <c r="D1942" s="284"/>
      <c r="E1942" s="284"/>
      <c r="F1942" s="284"/>
      <c r="G1942" s="284"/>
      <c r="H1942" s="284"/>
      <c r="I1942" s="284"/>
      <c r="J1942" s="375"/>
      <c r="K1942" s="375"/>
      <c r="L1942" s="375"/>
      <c r="M1942" s="368"/>
      <c r="N1942" s="368"/>
      <c r="O1942" s="370"/>
      <c r="T1942" s="340"/>
      <c r="V1942" s="378"/>
      <c r="W1942" s="64" ph="1"/>
      <c r="X1942" s="241"/>
      <c r="Y1942" s="284"/>
      <c r="Z1942" s="207"/>
      <c r="AA1942" s="284"/>
      <c r="AB1942" s="284"/>
      <c r="AC1942" s="284"/>
      <c r="AD1942" s="284"/>
      <c r="AE1942" s="284"/>
      <c r="AF1942" s="284"/>
      <c r="AG1942" s="284"/>
    </row>
    <row r="1943" spans="1:33" ht="26.4">
      <c r="A1943" s="284"/>
      <c r="B1943" s="284"/>
      <c r="C1943" s="284"/>
      <c r="D1943" s="284"/>
      <c r="E1943" s="284"/>
      <c r="F1943" s="284"/>
      <c r="G1943" s="284"/>
      <c r="H1943" s="284"/>
      <c r="I1943" s="284"/>
      <c r="J1943" s="375"/>
      <c r="K1943" s="375"/>
      <c r="L1943" s="375"/>
      <c r="M1943" s="368"/>
      <c r="N1943" s="368"/>
      <c r="O1943" s="370"/>
      <c r="T1943" s="340"/>
      <c r="V1943" s="378"/>
      <c r="W1943" s="64" ph="1"/>
      <c r="X1943" s="241"/>
      <c r="Y1943" s="284"/>
      <c r="Z1943" s="207"/>
      <c r="AA1943" s="284"/>
      <c r="AB1943" s="284"/>
      <c r="AC1943" s="284"/>
      <c r="AD1943" s="284"/>
      <c r="AE1943" s="284"/>
      <c r="AF1943" s="284"/>
      <c r="AG1943" s="284"/>
    </row>
    <row r="1944" spans="1:33" ht="26.4">
      <c r="A1944" s="284"/>
      <c r="B1944" s="284"/>
      <c r="C1944" s="284"/>
      <c r="D1944" s="284"/>
      <c r="E1944" s="284"/>
      <c r="F1944" s="284"/>
      <c r="G1944" s="284"/>
      <c r="H1944" s="284"/>
      <c r="I1944" s="284"/>
      <c r="J1944" s="375"/>
      <c r="K1944" s="375"/>
      <c r="L1944" s="375"/>
      <c r="M1944" s="368"/>
      <c r="N1944" s="368"/>
      <c r="O1944" s="370"/>
      <c r="T1944" s="340"/>
      <c r="V1944" s="378"/>
      <c r="W1944" s="64" ph="1"/>
      <c r="X1944" s="241"/>
      <c r="Y1944" s="284"/>
      <c r="Z1944" s="207"/>
      <c r="AA1944" s="284"/>
      <c r="AB1944" s="284"/>
      <c r="AC1944" s="284"/>
      <c r="AD1944" s="284"/>
      <c r="AE1944" s="284"/>
      <c r="AF1944" s="284"/>
      <c r="AG1944" s="284"/>
    </row>
    <row r="1945" spans="1:33" ht="26.4">
      <c r="A1945" s="284"/>
      <c r="B1945" s="284"/>
      <c r="C1945" s="284"/>
      <c r="D1945" s="284"/>
      <c r="E1945" s="284"/>
      <c r="F1945" s="284"/>
      <c r="G1945" s="284"/>
      <c r="H1945" s="284"/>
      <c r="I1945" s="284"/>
      <c r="J1945" s="375"/>
      <c r="K1945" s="375"/>
      <c r="L1945" s="375"/>
      <c r="M1945" s="368"/>
      <c r="N1945" s="368"/>
      <c r="O1945" s="370"/>
      <c r="T1945" s="340"/>
      <c r="V1945" s="378"/>
      <c r="W1945" s="64" ph="1"/>
      <c r="X1945" s="241"/>
      <c r="Y1945" s="284"/>
      <c r="Z1945" s="207"/>
      <c r="AA1945" s="284"/>
      <c r="AB1945" s="284"/>
      <c r="AC1945" s="284"/>
      <c r="AD1945" s="284"/>
      <c r="AE1945" s="284"/>
      <c r="AF1945" s="284"/>
      <c r="AG1945" s="284"/>
    </row>
    <row r="1946" spans="1:33" ht="26.4">
      <c r="A1946" s="284"/>
      <c r="B1946" s="284"/>
      <c r="C1946" s="284"/>
      <c r="D1946" s="284"/>
      <c r="E1946" s="284"/>
      <c r="F1946" s="284"/>
      <c r="G1946" s="284"/>
      <c r="H1946" s="284"/>
      <c r="I1946" s="284"/>
      <c r="J1946" s="375"/>
      <c r="K1946" s="375"/>
      <c r="L1946" s="375"/>
      <c r="M1946" s="368"/>
      <c r="N1946" s="368"/>
      <c r="O1946" s="370"/>
      <c r="T1946" s="340"/>
      <c r="V1946" s="378"/>
      <c r="W1946" s="64" ph="1"/>
      <c r="X1946" s="241"/>
      <c r="Y1946" s="284"/>
      <c r="Z1946" s="207"/>
      <c r="AA1946" s="284"/>
      <c r="AB1946" s="284"/>
      <c r="AC1946" s="284"/>
      <c r="AD1946" s="284"/>
      <c r="AE1946" s="284"/>
      <c r="AF1946" s="284"/>
      <c r="AG1946" s="284"/>
    </row>
    <row r="1947" spans="1:33" ht="26.4">
      <c r="A1947" s="284"/>
      <c r="B1947" s="284"/>
      <c r="C1947" s="284"/>
      <c r="D1947" s="284"/>
      <c r="E1947" s="284"/>
      <c r="F1947" s="284"/>
      <c r="G1947" s="284"/>
      <c r="H1947" s="284"/>
      <c r="I1947" s="284"/>
      <c r="J1947" s="375"/>
      <c r="K1947" s="375"/>
      <c r="L1947" s="375"/>
      <c r="M1947" s="368"/>
      <c r="N1947" s="368"/>
      <c r="O1947" s="370"/>
      <c r="T1947" s="340"/>
      <c r="V1947" s="378"/>
      <c r="W1947" s="64" ph="1"/>
      <c r="X1947" s="241"/>
      <c r="Y1947" s="284"/>
      <c r="Z1947" s="207"/>
      <c r="AA1947" s="284"/>
      <c r="AB1947" s="284"/>
      <c r="AC1947" s="284"/>
      <c r="AD1947" s="284"/>
      <c r="AE1947" s="284"/>
      <c r="AF1947" s="284"/>
      <c r="AG1947" s="284"/>
    </row>
    <row r="1948" spans="1:33" ht="26.4">
      <c r="A1948" s="284"/>
      <c r="B1948" s="284"/>
      <c r="C1948" s="284"/>
      <c r="D1948" s="284"/>
      <c r="E1948" s="284"/>
      <c r="F1948" s="284"/>
      <c r="G1948" s="284"/>
      <c r="H1948" s="284"/>
      <c r="I1948" s="284"/>
      <c r="J1948" s="375"/>
      <c r="K1948" s="375"/>
      <c r="L1948" s="375"/>
      <c r="M1948" s="368"/>
      <c r="N1948" s="368"/>
      <c r="O1948" s="370"/>
      <c r="T1948" s="340"/>
      <c r="V1948" s="378"/>
      <c r="W1948" s="64" ph="1"/>
      <c r="X1948" s="241"/>
      <c r="Y1948" s="284"/>
      <c r="Z1948" s="207"/>
      <c r="AA1948" s="284"/>
      <c r="AB1948" s="284"/>
      <c r="AC1948" s="284"/>
      <c r="AD1948" s="284"/>
      <c r="AE1948" s="284"/>
      <c r="AF1948" s="284"/>
      <c r="AG1948" s="284"/>
    </row>
    <row r="1949" spans="1:33" ht="26.4">
      <c r="A1949" s="284"/>
      <c r="B1949" s="284"/>
      <c r="C1949" s="284"/>
      <c r="D1949" s="284"/>
      <c r="E1949" s="284"/>
      <c r="F1949" s="284"/>
      <c r="G1949" s="284"/>
      <c r="H1949" s="284"/>
      <c r="I1949" s="284"/>
      <c r="J1949" s="375"/>
      <c r="K1949" s="375"/>
      <c r="L1949" s="375"/>
      <c r="M1949" s="368"/>
      <c r="N1949" s="368"/>
      <c r="O1949" s="370"/>
      <c r="T1949" s="340"/>
      <c r="V1949" s="378"/>
      <c r="W1949" s="64" ph="1"/>
      <c r="X1949" s="241"/>
      <c r="Y1949" s="284"/>
      <c r="Z1949" s="207"/>
      <c r="AA1949" s="284"/>
      <c r="AB1949" s="284"/>
      <c r="AC1949" s="284"/>
      <c r="AD1949" s="284"/>
      <c r="AE1949" s="284"/>
      <c r="AF1949" s="284"/>
      <c r="AG1949" s="284"/>
    </row>
    <row r="1950" spans="1:33" ht="26.4">
      <c r="A1950" s="284"/>
      <c r="B1950" s="284"/>
      <c r="C1950" s="284"/>
      <c r="D1950" s="284"/>
      <c r="E1950" s="284"/>
      <c r="F1950" s="284"/>
      <c r="G1950" s="284"/>
      <c r="H1950" s="284"/>
      <c r="I1950" s="284"/>
      <c r="J1950" s="375"/>
      <c r="K1950" s="375"/>
      <c r="L1950" s="375"/>
      <c r="M1950" s="368"/>
      <c r="N1950" s="368"/>
      <c r="O1950" s="370"/>
      <c r="T1950" s="340"/>
      <c r="V1950" s="378"/>
      <c r="W1950" s="64" ph="1"/>
      <c r="X1950" s="241"/>
      <c r="Y1950" s="284"/>
      <c r="Z1950" s="207"/>
      <c r="AA1950" s="284"/>
      <c r="AB1950" s="284"/>
      <c r="AC1950" s="284"/>
      <c r="AD1950" s="284"/>
      <c r="AE1950" s="284"/>
      <c r="AF1950" s="284"/>
      <c r="AG1950" s="284"/>
    </row>
    <row r="1951" spans="1:33" ht="26.4">
      <c r="A1951" s="284"/>
      <c r="B1951" s="284"/>
      <c r="C1951" s="284"/>
      <c r="D1951" s="284"/>
      <c r="E1951" s="284"/>
      <c r="F1951" s="284"/>
      <c r="G1951" s="284"/>
      <c r="H1951" s="284"/>
      <c r="I1951" s="284"/>
      <c r="J1951" s="375"/>
      <c r="K1951" s="375"/>
      <c r="L1951" s="375"/>
      <c r="M1951" s="368"/>
      <c r="N1951" s="368"/>
      <c r="O1951" s="370"/>
      <c r="T1951" s="340"/>
      <c r="V1951" s="378"/>
      <c r="W1951" s="64" ph="1"/>
      <c r="X1951" s="241"/>
      <c r="Y1951" s="284"/>
      <c r="Z1951" s="207"/>
      <c r="AA1951" s="284"/>
      <c r="AB1951" s="284"/>
      <c r="AC1951" s="284"/>
      <c r="AD1951" s="284"/>
      <c r="AE1951" s="284"/>
      <c r="AF1951" s="284"/>
      <c r="AG1951" s="284"/>
    </row>
    <row r="1952" spans="1:33" ht="26.4">
      <c r="A1952" s="284"/>
      <c r="B1952" s="284"/>
      <c r="C1952" s="284"/>
      <c r="D1952" s="284"/>
      <c r="E1952" s="284"/>
      <c r="F1952" s="284"/>
      <c r="G1952" s="284"/>
      <c r="H1952" s="284"/>
      <c r="I1952" s="284"/>
      <c r="J1952" s="375"/>
      <c r="K1952" s="375"/>
      <c r="L1952" s="375"/>
      <c r="M1952" s="368"/>
      <c r="N1952" s="368"/>
      <c r="O1952" s="370"/>
      <c r="T1952" s="340"/>
      <c r="V1952" s="378"/>
      <c r="W1952" s="64" ph="1"/>
      <c r="X1952" s="241"/>
      <c r="Y1952" s="284"/>
      <c r="Z1952" s="207"/>
      <c r="AA1952" s="284"/>
      <c r="AB1952" s="284"/>
      <c r="AC1952" s="284"/>
      <c r="AD1952" s="284"/>
      <c r="AE1952" s="284"/>
      <c r="AF1952" s="284"/>
      <c r="AG1952" s="284"/>
    </row>
    <row r="1953" spans="1:33" ht="26.4">
      <c r="A1953" s="284"/>
      <c r="B1953" s="284"/>
      <c r="C1953" s="284"/>
      <c r="D1953" s="284"/>
      <c r="E1953" s="284"/>
      <c r="F1953" s="284"/>
      <c r="G1953" s="284"/>
      <c r="H1953" s="284"/>
      <c r="I1953" s="284"/>
      <c r="J1953" s="375"/>
      <c r="K1953" s="375"/>
      <c r="L1953" s="375"/>
      <c r="M1953" s="368"/>
      <c r="N1953" s="368"/>
      <c r="O1953" s="370"/>
      <c r="T1953" s="340"/>
      <c r="V1953" s="378"/>
      <c r="W1953" s="64" ph="1"/>
      <c r="X1953" s="241"/>
      <c r="Y1953" s="284"/>
      <c r="Z1953" s="207"/>
      <c r="AA1953" s="284"/>
      <c r="AB1953" s="284"/>
      <c r="AC1953" s="284"/>
      <c r="AD1953" s="284"/>
      <c r="AE1953" s="284"/>
      <c r="AF1953" s="284"/>
      <c r="AG1953" s="284"/>
    </row>
    <row r="1954" spans="1:33" ht="26.4">
      <c r="A1954" s="284"/>
      <c r="B1954" s="284"/>
      <c r="C1954" s="284"/>
      <c r="D1954" s="284"/>
      <c r="E1954" s="284"/>
      <c r="F1954" s="284"/>
      <c r="G1954" s="284"/>
      <c r="H1954" s="284"/>
      <c r="I1954" s="284"/>
      <c r="J1954" s="375"/>
      <c r="K1954" s="375"/>
      <c r="L1954" s="375"/>
      <c r="M1954" s="368"/>
      <c r="N1954" s="368"/>
      <c r="O1954" s="370"/>
      <c r="T1954" s="340"/>
      <c r="V1954" s="378"/>
      <c r="W1954" s="64" ph="1"/>
      <c r="X1954" s="241"/>
      <c r="Y1954" s="284"/>
      <c r="Z1954" s="207"/>
      <c r="AA1954" s="284"/>
      <c r="AB1954" s="284"/>
      <c r="AC1954" s="284"/>
      <c r="AD1954" s="284"/>
      <c r="AE1954" s="284"/>
      <c r="AF1954" s="284"/>
      <c r="AG1954" s="284"/>
    </row>
    <row r="1955" spans="1:33" ht="26.4">
      <c r="A1955" s="284"/>
      <c r="B1955" s="284"/>
      <c r="C1955" s="284"/>
      <c r="D1955" s="284"/>
      <c r="E1955" s="284"/>
      <c r="F1955" s="284"/>
      <c r="G1955" s="284"/>
      <c r="H1955" s="284"/>
      <c r="I1955" s="284"/>
      <c r="J1955" s="375"/>
      <c r="K1955" s="375"/>
      <c r="L1955" s="375"/>
      <c r="M1955" s="368"/>
      <c r="N1955" s="368"/>
      <c r="O1955" s="370"/>
      <c r="T1955" s="340"/>
      <c r="V1955" s="378"/>
      <c r="W1955" s="64" ph="1"/>
      <c r="X1955" s="241"/>
      <c r="Y1955" s="284"/>
      <c r="Z1955" s="207"/>
      <c r="AA1955" s="284"/>
      <c r="AB1955" s="284"/>
      <c r="AC1955" s="284"/>
      <c r="AD1955" s="284"/>
      <c r="AE1955" s="284"/>
      <c r="AF1955" s="284"/>
      <c r="AG1955" s="284"/>
    </row>
    <row r="1956" spans="1:33" ht="26.4">
      <c r="A1956" s="284"/>
      <c r="B1956" s="284"/>
      <c r="C1956" s="284"/>
      <c r="D1956" s="284"/>
      <c r="E1956" s="284"/>
      <c r="F1956" s="284"/>
      <c r="G1956" s="284"/>
      <c r="H1956" s="284"/>
      <c r="I1956" s="284"/>
      <c r="J1956" s="375"/>
      <c r="K1956" s="375"/>
      <c r="L1956" s="375"/>
      <c r="M1956" s="368"/>
      <c r="N1956" s="368"/>
      <c r="O1956" s="370"/>
      <c r="T1956" s="340"/>
      <c r="V1956" s="378"/>
      <c r="W1956" s="64" ph="1"/>
      <c r="X1956" s="241"/>
      <c r="Y1956" s="284"/>
      <c r="Z1956" s="207"/>
      <c r="AA1956" s="284"/>
      <c r="AB1956" s="284"/>
      <c r="AC1956" s="284"/>
      <c r="AD1956" s="284"/>
      <c r="AE1956" s="284"/>
      <c r="AF1956" s="284"/>
      <c r="AG1956" s="284"/>
    </row>
    <row r="1957" spans="1:33" ht="26.4">
      <c r="A1957" s="284"/>
      <c r="B1957" s="284"/>
      <c r="C1957" s="284"/>
      <c r="D1957" s="284"/>
      <c r="E1957" s="284"/>
      <c r="F1957" s="284"/>
      <c r="G1957" s="284"/>
      <c r="H1957" s="284"/>
      <c r="I1957" s="284"/>
      <c r="J1957" s="375"/>
      <c r="K1957" s="375"/>
      <c r="L1957" s="375"/>
      <c r="M1957" s="368"/>
      <c r="N1957" s="368"/>
      <c r="O1957" s="370"/>
      <c r="T1957" s="340"/>
      <c r="V1957" s="378"/>
      <c r="W1957" s="64" ph="1"/>
      <c r="X1957" s="241"/>
      <c r="Y1957" s="284"/>
      <c r="Z1957" s="207"/>
      <c r="AA1957" s="284"/>
      <c r="AB1957" s="284"/>
      <c r="AC1957" s="284"/>
      <c r="AD1957" s="284"/>
      <c r="AE1957" s="284"/>
      <c r="AF1957" s="284"/>
      <c r="AG1957" s="284"/>
    </row>
    <row r="1958" spans="1:33" ht="26.4">
      <c r="A1958" s="284"/>
      <c r="B1958" s="284"/>
      <c r="C1958" s="284"/>
      <c r="D1958" s="284"/>
      <c r="E1958" s="284"/>
      <c r="F1958" s="284"/>
      <c r="G1958" s="284"/>
      <c r="H1958" s="284"/>
      <c r="I1958" s="284"/>
      <c r="J1958" s="375"/>
      <c r="K1958" s="375"/>
      <c r="L1958" s="375"/>
      <c r="M1958" s="368"/>
      <c r="N1958" s="368"/>
      <c r="O1958" s="370"/>
      <c r="T1958" s="340"/>
      <c r="V1958" s="378"/>
      <c r="W1958" s="64" ph="1"/>
      <c r="X1958" s="241"/>
      <c r="Y1958" s="284"/>
      <c r="Z1958" s="207"/>
      <c r="AA1958" s="284"/>
      <c r="AB1958" s="284"/>
      <c r="AC1958" s="284"/>
      <c r="AD1958" s="284"/>
      <c r="AE1958" s="284"/>
      <c r="AF1958" s="284"/>
      <c r="AG1958" s="284"/>
    </row>
    <row r="1959" spans="1:33" ht="26.4">
      <c r="A1959" s="284"/>
      <c r="B1959" s="284"/>
      <c r="C1959" s="284"/>
      <c r="D1959" s="284"/>
      <c r="E1959" s="284"/>
      <c r="F1959" s="284"/>
      <c r="G1959" s="284"/>
      <c r="H1959" s="284"/>
      <c r="I1959" s="284"/>
      <c r="J1959" s="375"/>
      <c r="K1959" s="375"/>
      <c r="L1959" s="375"/>
      <c r="M1959" s="368"/>
      <c r="N1959" s="368"/>
      <c r="O1959" s="370"/>
      <c r="T1959" s="340"/>
      <c r="V1959" s="378"/>
      <c r="W1959" s="64" ph="1"/>
      <c r="X1959" s="241"/>
      <c r="Y1959" s="284"/>
      <c r="Z1959" s="207"/>
      <c r="AA1959" s="284"/>
      <c r="AB1959" s="284"/>
      <c r="AC1959" s="284"/>
      <c r="AD1959" s="284"/>
      <c r="AE1959" s="284"/>
      <c r="AF1959" s="284"/>
      <c r="AG1959" s="284"/>
    </row>
    <row r="1960" spans="1:33" ht="26.4">
      <c r="A1960" s="284"/>
      <c r="B1960" s="284"/>
      <c r="C1960" s="284"/>
      <c r="D1960" s="284"/>
      <c r="E1960" s="284"/>
      <c r="F1960" s="284"/>
      <c r="G1960" s="284"/>
      <c r="H1960" s="284"/>
      <c r="I1960" s="284"/>
      <c r="J1960" s="375"/>
      <c r="K1960" s="375"/>
      <c r="L1960" s="375"/>
      <c r="M1960" s="368"/>
      <c r="N1960" s="368"/>
      <c r="O1960" s="370"/>
      <c r="T1960" s="340"/>
      <c r="V1960" s="378"/>
      <c r="W1960" s="64" ph="1"/>
      <c r="X1960" s="241"/>
      <c r="Y1960" s="284"/>
      <c r="Z1960" s="207"/>
      <c r="AA1960" s="284"/>
      <c r="AB1960" s="284"/>
      <c r="AC1960" s="284"/>
      <c r="AD1960" s="284"/>
      <c r="AE1960" s="284"/>
      <c r="AF1960" s="284"/>
      <c r="AG1960" s="284"/>
    </row>
    <row r="1961" spans="1:33" ht="26.4">
      <c r="A1961" s="284"/>
      <c r="B1961" s="284"/>
      <c r="C1961" s="284"/>
      <c r="D1961" s="284"/>
      <c r="E1961" s="284"/>
      <c r="F1961" s="284"/>
      <c r="G1961" s="284"/>
      <c r="H1961" s="284"/>
      <c r="I1961" s="284"/>
      <c r="J1961" s="375"/>
      <c r="K1961" s="375"/>
      <c r="L1961" s="375"/>
      <c r="M1961" s="368"/>
      <c r="N1961" s="368"/>
      <c r="O1961" s="370"/>
      <c r="T1961" s="340"/>
      <c r="V1961" s="378"/>
      <c r="W1961" s="64" ph="1"/>
      <c r="X1961" s="241"/>
      <c r="Y1961" s="284"/>
      <c r="Z1961" s="207"/>
      <c r="AA1961" s="284"/>
      <c r="AB1961" s="284"/>
      <c r="AC1961" s="284"/>
      <c r="AD1961" s="284"/>
      <c r="AE1961" s="284"/>
      <c r="AF1961" s="284"/>
      <c r="AG1961" s="284"/>
    </row>
    <row r="1962" spans="1:33" ht="26.4">
      <c r="A1962" s="284"/>
      <c r="B1962" s="284"/>
      <c r="C1962" s="284"/>
      <c r="D1962" s="284"/>
      <c r="E1962" s="284"/>
      <c r="F1962" s="284"/>
      <c r="G1962" s="284"/>
      <c r="H1962" s="284"/>
      <c r="I1962" s="284"/>
      <c r="J1962" s="375"/>
      <c r="K1962" s="375"/>
      <c r="L1962" s="375"/>
      <c r="M1962" s="368"/>
      <c r="N1962" s="368"/>
      <c r="O1962" s="370"/>
      <c r="T1962" s="340"/>
      <c r="V1962" s="378"/>
      <c r="W1962" s="64" ph="1"/>
      <c r="X1962" s="241"/>
      <c r="Y1962" s="284"/>
      <c r="Z1962" s="207"/>
      <c r="AA1962" s="284"/>
      <c r="AB1962" s="284"/>
      <c r="AC1962" s="284"/>
      <c r="AD1962" s="284"/>
      <c r="AE1962" s="284"/>
      <c r="AF1962" s="284"/>
      <c r="AG1962" s="284"/>
    </row>
    <row r="1963" spans="1:33" ht="26.4">
      <c r="A1963" s="284"/>
      <c r="B1963" s="284"/>
      <c r="C1963" s="284"/>
      <c r="D1963" s="284"/>
      <c r="E1963" s="284"/>
      <c r="F1963" s="284"/>
      <c r="G1963" s="284"/>
      <c r="H1963" s="284"/>
      <c r="I1963" s="284"/>
      <c r="J1963" s="375"/>
      <c r="K1963" s="375"/>
      <c r="L1963" s="375"/>
      <c r="M1963" s="368"/>
      <c r="N1963" s="368"/>
      <c r="O1963" s="370"/>
      <c r="T1963" s="340"/>
      <c r="V1963" s="378"/>
      <c r="W1963" s="64" ph="1"/>
      <c r="X1963" s="241"/>
      <c r="Y1963" s="284"/>
      <c r="Z1963" s="207"/>
      <c r="AA1963" s="284"/>
      <c r="AB1963" s="284"/>
      <c r="AC1963" s="284"/>
      <c r="AD1963" s="284"/>
      <c r="AE1963" s="284"/>
      <c r="AF1963" s="284"/>
      <c r="AG1963" s="284"/>
    </row>
    <row r="1964" spans="1:33" ht="26.4">
      <c r="A1964" s="284"/>
      <c r="B1964" s="284"/>
      <c r="C1964" s="284"/>
      <c r="D1964" s="284"/>
      <c r="E1964" s="284"/>
      <c r="F1964" s="284"/>
      <c r="G1964" s="284"/>
      <c r="H1964" s="284"/>
      <c r="I1964" s="284"/>
      <c r="J1964" s="375"/>
      <c r="K1964" s="375"/>
      <c r="L1964" s="375"/>
      <c r="M1964" s="368"/>
      <c r="N1964" s="368"/>
      <c r="O1964" s="370"/>
      <c r="T1964" s="340"/>
      <c r="V1964" s="378"/>
      <c r="W1964" s="64" ph="1"/>
      <c r="X1964" s="241"/>
      <c r="Y1964" s="284"/>
      <c r="Z1964" s="207"/>
      <c r="AA1964" s="284"/>
      <c r="AB1964" s="284"/>
      <c r="AC1964" s="284"/>
      <c r="AD1964" s="284"/>
      <c r="AE1964" s="284"/>
      <c r="AF1964" s="284"/>
      <c r="AG1964" s="284"/>
    </row>
    <row r="1965" spans="1:33" ht="26.4">
      <c r="A1965" s="284"/>
      <c r="B1965" s="284"/>
      <c r="C1965" s="284"/>
      <c r="D1965" s="284"/>
      <c r="E1965" s="284"/>
      <c r="F1965" s="284"/>
      <c r="G1965" s="284"/>
      <c r="H1965" s="284"/>
      <c r="I1965" s="284"/>
      <c r="J1965" s="375"/>
      <c r="K1965" s="375"/>
      <c r="L1965" s="375"/>
      <c r="M1965" s="368"/>
      <c r="N1965" s="368"/>
      <c r="O1965" s="370"/>
      <c r="T1965" s="340"/>
      <c r="V1965" s="378"/>
      <c r="W1965" s="64" ph="1"/>
      <c r="X1965" s="241"/>
      <c r="Y1965" s="284"/>
      <c r="Z1965" s="207"/>
      <c r="AA1965" s="284"/>
      <c r="AB1965" s="284"/>
      <c r="AC1965" s="284"/>
      <c r="AD1965" s="284"/>
      <c r="AE1965" s="284"/>
      <c r="AF1965" s="284"/>
      <c r="AG1965" s="284"/>
    </row>
    <row r="1966" spans="1:33" ht="26.4">
      <c r="A1966" s="284"/>
      <c r="B1966" s="284"/>
      <c r="C1966" s="284"/>
      <c r="D1966" s="284"/>
      <c r="E1966" s="284"/>
      <c r="F1966" s="284"/>
      <c r="G1966" s="284"/>
      <c r="H1966" s="284"/>
      <c r="I1966" s="284"/>
      <c r="J1966" s="375"/>
      <c r="K1966" s="375"/>
      <c r="L1966" s="375"/>
      <c r="M1966" s="368"/>
      <c r="N1966" s="368"/>
      <c r="O1966" s="370"/>
      <c r="T1966" s="340"/>
      <c r="V1966" s="378"/>
      <c r="W1966" s="64" ph="1"/>
      <c r="X1966" s="241"/>
      <c r="Y1966" s="284"/>
      <c r="Z1966" s="207"/>
      <c r="AA1966" s="284"/>
      <c r="AB1966" s="284"/>
      <c r="AC1966" s="284"/>
      <c r="AD1966" s="284"/>
      <c r="AE1966" s="284"/>
      <c r="AF1966" s="284"/>
      <c r="AG1966" s="284"/>
    </row>
    <row r="1967" spans="1:33" ht="26.4">
      <c r="A1967" s="284"/>
      <c r="B1967" s="284"/>
      <c r="C1967" s="284"/>
      <c r="D1967" s="284"/>
      <c r="E1967" s="284"/>
      <c r="F1967" s="284"/>
      <c r="G1967" s="284"/>
      <c r="H1967" s="284"/>
      <c r="I1967" s="284"/>
      <c r="J1967" s="375"/>
      <c r="K1967" s="375"/>
      <c r="L1967" s="375"/>
      <c r="M1967" s="368"/>
      <c r="N1967" s="368"/>
      <c r="O1967" s="370"/>
      <c r="T1967" s="340"/>
      <c r="V1967" s="378"/>
      <c r="W1967" s="64" ph="1"/>
      <c r="X1967" s="241"/>
      <c r="Y1967" s="284"/>
      <c r="Z1967" s="207"/>
      <c r="AA1967" s="284"/>
      <c r="AB1967" s="284"/>
      <c r="AC1967" s="284"/>
      <c r="AD1967" s="284"/>
      <c r="AE1967" s="284"/>
      <c r="AF1967" s="284"/>
      <c r="AG1967" s="284"/>
    </row>
    <row r="1968" spans="1:33" ht="26.4">
      <c r="A1968" s="284"/>
      <c r="B1968" s="284"/>
      <c r="C1968" s="284"/>
      <c r="D1968" s="284"/>
      <c r="E1968" s="284"/>
      <c r="F1968" s="284"/>
      <c r="G1968" s="284"/>
      <c r="H1968" s="284"/>
      <c r="I1968" s="284"/>
      <c r="J1968" s="375"/>
      <c r="K1968" s="375"/>
      <c r="L1968" s="375"/>
      <c r="M1968" s="368"/>
      <c r="N1968" s="368"/>
      <c r="O1968" s="370"/>
      <c r="T1968" s="340"/>
      <c r="V1968" s="378"/>
      <c r="W1968" s="64" ph="1"/>
      <c r="X1968" s="241"/>
      <c r="Y1968" s="284"/>
      <c r="Z1968" s="207"/>
      <c r="AA1968" s="284"/>
      <c r="AB1968" s="284"/>
      <c r="AC1968" s="284"/>
      <c r="AD1968" s="284"/>
      <c r="AE1968" s="284"/>
      <c r="AF1968" s="284"/>
      <c r="AG1968" s="284"/>
    </row>
    <row r="1969" spans="1:33" ht="26.4">
      <c r="A1969" s="284"/>
      <c r="B1969" s="284"/>
      <c r="C1969" s="284"/>
      <c r="D1969" s="284"/>
      <c r="E1969" s="284"/>
      <c r="F1969" s="284"/>
      <c r="G1969" s="284"/>
      <c r="H1969" s="284"/>
      <c r="I1969" s="284"/>
      <c r="J1969" s="375"/>
      <c r="K1969" s="375"/>
      <c r="L1969" s="375"/>
      <c r="M1969" s="368"/>
      <c r="N1969" s="368"/>
      <c r="O1969" s="370"/>
      <c r="T1969" s="340"/>
      <c r="V1969" s="378"/>
      <c r="W1969" s="64" ph="1"/>
      <c r="X1969" s="241"/>
      <c r="Y1969" s="284"/>
      <c r="Z1969" s="207"/>
      <c r="AA1969" s="284"/>
      <c r="AB1969" s="284"/>
      <c r="AC1969" s="284"/>
      <c r="AD1969" s="284"/>
      <c r="AE1969" s="284"/>
      <c r="AF1969" s="284"/>
      <c r="AG1969" s="284"/>
    </row>
    <row r="1970" spans="1:33" ht="26.4">
      <c r="A1970" s="284"/>
      <c r="B1970" s="284"/>
      <c r="C1970" s="284"/>
      <c r="D1970" s="284"/>
      <c r="E1970" s="284"/>
      <c r="F1970" s="284"/>
      <c r="G1970" s="284"/>
      <c r="H1970" s="284"/>
      <c r="I1970" s="284"/>
      <c r="J1970" s="375"/>
      <c r="K1970" s="375"/>
      <c r="L1970" s="375"/>
      <c r="M1970" s="368"/>
      <c r="N1970" s="368"/>
      <c r="O1970" s="370"/>
      <c r="T1970" s="340"/>
      <c r="V1970" s="378"/>
      <c r="W1970" s="64" ph="1"/>
      <c r="X1970" s="241"/>
      <c r="Y1970" s="284"/>
      <c r="Z1970" s="207"/>
      <c r="AA1970" s="284"/>
      <c r="AB1970" s="284"/>
      <c r="AC1970" s="284"/>
      <c r="AD1970" s="284"/>
      <c r="AE1970" s="284"/>
      <c r="AF1970" s="284"/>
      <c r="AG1970" s="284"/>
    </row>
    <row r="1971" spans="1:33" ht="26.4">
      <c r="A1971" s="284"/>
      <c r="B1971" s="284"/>
      <c r="C1971" s="284"/>
      <c r="D1971" s="284"/>
      <c r="E1971" s="284"/>
      <c r="F1971" s="284"/>
      <c r="G1971" s="284"/>
      <c r="H1971" s="284"/>
      <c r="I1971" s="284"/>
      <c r="J1971" s="375"/>
      <c r="K1971" s="375"/>
      <c r="L1971" s="375"/>
      <c r="M1971" s="368"/>
      <c r="N1971" s="368"/>
      <c r="O1971" s="370"/>
      <c r="T1971" s="340"/>
      <c r="V1971" s="378"/>
      <c r="W1971" s="64" ph="1"/>
      <c r="X1971" s="241"/>
      <c r="Y1971" s="284"/>
      <c r="Z1971" s="207"/>
      <c r="AA1971" s="284"/>
      <c r="AB1971" s="284"/>
      <c r="AC1971" s="284"/>
      <c r="AD1971" s="284"/>
      <c r="AE1971" s="284"/>
      <c r="AF1971" s="284"/>
      <c r="AG1971" s="284"/>
    </row>
    <row r="1972" spans="1:33" ht="26.4">
      <c r="A1972" s="284"/>
      <c r="B1972" s="284"/>
      <c r="C1972" s="284"/>
      <c r="D1972" s="284"/>
      <c r="E1972" s="284"/>
      <c r="F1972" s="284"/>
      <c r="G1972" s="284"/>
      <c r="H1972" s="284"/>
      <c r="I1972" s="284"/>
      <c r="J1972" s="375"/>
      <c r="K1972" s="375"/>
      <c r="L1972" s="375"/>
      <c r="M1972" s="368"/>
      <c r="N1972" s="368"/>
      <c r="O1972" s="370"/>
      <c r="T1972" s="340"/>
      <c r="V1972" s="378"/>
      <c r="W1972" s="64" ph="1"/>
      <c r="X1972" s="241"/>
      <c r="Y1972" s="284"/>
      <c r="Z1972" s="207"/>
      <c r="AA1972" s="284"/>
      <c r="AB1972" s="284"/>
      <c r="AC1972" s="284"/>
      <c r="AD1972" s="284"/>
      <c r="AE1972" s="284"/>
      <c r="AF1972" s="284"/>
      <c r="AG1972" s="284"/>
    </row>
    <row r="1973" spans="1:33" ht="26.4">
      <c r="A1973" s="284"/>
      <c r="B1973" s="284"/>
      <c r="C1973" s="284"/>
      <c r="D1973" s="284"/>
      <c r="E1973" s="284"/>
      <c r="F1973" s="284"/>
      <c r="G1973" s="284"/>
      <c r="H1973" s="284"/>
      <c r="I1973" s="284"/>
      <c r="J1973" s="375"/>
      <c r="K1973" s="375"/>
      <c r="L1973" s="375"/>
      <c r="M1973" s="368"/>
      <c r="N1973" s="368"/>
      <c r="O1973" s="370"/>
      <c r="T1973" s="340"/>
      <c r="V1973" s="378"/>
      <c r="W1973" s="64" ph="1"/>
      <c r="X1973" s="241"/>
      <c r="Y1973" s="284"/>
      <c r="Z1973" s="207"/>
      <c r="AA1973" s="284"/>
      <c r="AB1973" s="284"/>
      <c r="AC1973" s="284"/>
      <c r="AD1973" s="284"/>
      <c r="AE1973" s="284"/>
      <c r="AF1973" s="284"/>
      <c r="AG1973" s="284"/>
    </row>
    <row r="1974" spans="1:33" ht="26.4">
      <c r="A1974" s="284"/>
      <c r="B1974" s="284"/>
      <c r="C1974" s="284"/>
      <c r="D1974" s="284"/>
      <c r="E1974" s="284"/>
      <c r="F1974" s="284"/>
      <c r="G1974" s="284"/>
      <c r="H1974" s="284"/>
      <c r="I1974" s="284"/>
      <c r="J1974" s="375"/>
      <c r="K1974" s="375"/>
      <c r="L1974" s="375"/>
      <c r="M1974" s="368"/>
      <c r="N1974" s="368"/>
      <c r="O1974" s="370"/>
      <c r="T1974" s="340"/>
      <c r="V1974" s="378"/>
      <c r="W1974" s="64" ph="1"/>
      <c r="X1974" s="241"/>
      <c r="Y1974" s="284"/>
      <c r="Z1974" s="207"/>
      <c r="AA1974" s="284"/>
      <c r="AB1974" s="284"/>
      <c r="AC1974" s="284"/>
      <c r="AD1974" s="284"/>
      <c r="AE1974" s="284"/>
      <c r="AF1974" s="284"/>
      <c r="AG1974" s="284"/>
    </row>
    <row r="1975" spans="1:33" ht="26.4">
      <c r="A1975" s="284"/>
      <c r="B1975" s="284"/>
      <c r="C1975" s="284"/>
      <c r="D1975" s="284"/>
      <c r="E1975" s="284"/>
      <c r="F1975" s="284"/>
      <c r="G1975" s="284"/>
      <c r="H1975" s="284"/>
      <c r="I1975" s="284"/>
      <c r="J1975" s="375"/>
      <c r="K1975" s="375"/>
      <c r="L1975" s="375"/>
      <c r="M1975" s="368"/>
      <c r="N1975" s="368"/>
      <c r="O1975" s="370"/>
      <c r="T1975" s="340"/>
      <c r="V1975" s="378"/>
      <c r="W1975" s="64" ph="1"/>
      <c r="X1975" s="241"/>
      <c r="Y1975" s="284"/>
      <c r="Z1975" s="207"/>
      <c r="AA1975" s="284"/>
      <c r="AB1975" s="284"/>
      <c r="AC1975" s="284"/>
      <c r="AD1975" s="284"/>
      <c r="AE1975" s="284"/>
      <c r="AF1975" s="284"/>
      <c r="AG1975" s="284"/>
    </row>
    <row r="1976" spans="1:33" ht="26.4">
      <c r="A1976" s="284"/>
      <c r="B1976" s="284"/>
      <c r="C1976" s="284"/>
      <c r="D1976" s="284"/>
      <c r="E1976" s="284"/>
      <c r="F1976" s="284"/>
      <c r="G1976" s="284"/>
      <c r="H1976" s="284"/>
      <c r="I1976" s="284"/>
      <c r="J1976" s="375"/>
      <c r="K1976" s="375"/>
      <c r="L1976" s="375"/>
      <c r="M1976" s="368"/>
      <c r="N1976" s="368"/>
      <c r="O1976" s="370"/>
      <c r="T1976" s="340"/>
      <c r="V1976" s="378"/>
      <c r="W1976" s="64" ph="1"/>
      <c r="X1976" s="241"/>
      <c r="Y1976" s="284"/>
      <c r="Z1976" s="207"/>
      <c r="AA1976" s="284"/>
      <c r="AB1976" s="284"/>
      <c r="AC1976" s="284"/>
      <c r="AD1976" s="284"/>
      <c r="AE1976" s="284"/>
      <c r="AF1976" s="284"/>
      <c r="AG1976" s="284"/>
    </row>
    <row r="1977" spans="1:33" ht="26.4">
      <c r="A1977" s="284"/>
      <c r="B1977" s="284"/>
      <c r="C1977" s="284"/>
      <c r="D1977" s="284"/>
      <c r="E1977" s="284"/>
      <c r="F1977" s="284"/>
      <c r="G1977" s="284"/>
      <c r="H1977" s="284"/>
      <c r="I1977" s="284"/>
      <c r="J1977" s="375"/>
      <c r="K1977" s="375"/>
      <c r="L1977" s="375"/>
      <c r="M1977" s="368"/>
      <c r="N1977" s="368"/>
      <c r="O1977" s="370"/>
      <c r="T1977" s="340"/>
      <c r="V1977" s="378"/>
      <c r="W1977" s="64" ph="1"/>
      <c r="X1977" s="241"/>
      <c r="Y1977" s="284"/>
      <c r="Z1977" s="207"/>
      <c r="AA1977" s="284"/>
      <c r="AB1977" s="284"/>
      <c r="AC1977" s="284"/>
      <c r="AD1977" s="284"/>
      <c r="AE1977" s="284"/>
      <c r="AF1977" s="284"/>
      <c r="AG1977" s="284"/>
    </row>
    <row r="1978" spans="1:33" ht="26.4">
      <c r="A1978" s="284"/>
      <c r="B1978" s="284"/>
      <c r="C1978" s="284"/>
      <c r="D1978" s="284"/>
      <c r="E1978" s="284"/>
      <c r="F1978" s="284"/>
      <c r="G1978" s="284"/>
      <c r="H1978" s="284"/>
      <c r="I1978" s="284"/>
      <c r="J1978" s="375"/>
      <c r="K1978" s="375"/>
      <c r="L1978" s="375"/>
      <c r="M1978" s="368"/>
      <c r="N1978" s="368"/>
      <c r="O1978" s="370"/>
      <c r="T1978" s="340"/>
      <c r="V1978" s="378"/>
      <c r="W1978" s="64" ph="1"/>
      <c r="X1978" s="241"/>
      <c r="Y1978" s="284"/>
      <c r="Z1978" s="207"/>
      <c r="AA1978" s="284"/>
      <c r="AB1978" s="284"/>
      <c r="AC1978" s="284"/>
      <c r="AD1978" s="284"/>
      <c r="AE1978" s="284"/>
      <c r="AF1978" s="284"/>
      <c r="AG1978" s="284"/>
    </row>
    <row r="1979" spans="1:33" ht="26.4">
      <c r="A1979" s="284"/>
      <c r="B1979" s="284"/>
      <c r="C1979" s="284"/>
      <c r="D1979" s="284"/>
      <c r="E1979" s="284"/>
      <c r="F1979" s="284"/>
      <c r="G1979" s="284"/>
      <c r="H1979" s="284"/>
      <c r="I1979" s="284"/>
      <c r="J1979" s="375"/>
      <c r="K1979" s="375"/>
      <c r="L1979" s="375"/>
      <c r="M1979" s="368"/>
      <c r="N1979" s="368"/>
      <c r="O1979" s="370"/>
      <c r="T1979" s="340"/>
      <c r="V1979" s="378"/>
      <c r="W1979" s="64" ph="1"/>
      <c r="X1979" s="241"/>
      <c r="Y1979" s="284"/>
      <c r="Z1979" s="207"/>
      <c r="AA1979" s="284"/>
      <c r="AB1979" s="284"/>
      <c r="AC1979" s="284"/>
      <c r="AD1979" s="284"/>
      <c r="AE1979" s="284"/>
      <c r="AF1979" s="284"/>
      <c r="AG1979" s="284"/>
    </row>
    <row r="1980" spans="1:33" ht="26.4">
      <c r="A1980" s="284"/>
      <c r="B1980" s="284"/>
      <c r="C1980" s="284"/>
      <c r="D1980" s="284"/>
      <c r="E1980" s="284"/>
      <c r="F1980" s="284"/>
      <c r="G1980" s="284"/>
      <c r="H1980" s="284"/>
      <c r="I1980" s="284"/>
      <c r="J1980" s="375"/>
      <c r="K1980" s="375"/>
      <c r="L1980" s="375"/>
      <c r="M1980" s="368"/>
      <c r="N1980" s="368"/>
      <c r="O1980" s="370"/>
      <c r="T1980" s="340"/>
      <c r="V1980" s="378"/>
      <c r="W1980" s="64" ph="1"/>
      <c r="X1980" s="241"/>
      <c r="Y1980" s="284"/>
      <c r="Z1980" s="207"/>
      <c r="AA1980" s="284"/>
      <c r="AB1980" s="284"/>
      <c r="AC1980" s="284"/>
      <c r="AD1980" s="284"/>
      <c r="AE1980" s="284"/>
      <c r="AF1980" s="284"/>
      <c r="AG1980" s="284"/>
    </row>
    <row r="1981" spans="1:33" ht="26.4">
      <c r="A1981" s="284"/>
      <c r="B1981" s="284"/>
      <c r="C1981" s="284"/>
      <c r="D1981" s="284"/>
      <c r="E1981" s="284"/>
      <c r="F1981" s="284"/>
      <c r="G1981" s="284"/>
      <c r="H1981" s="284"/>
      <c r="I1981" s="284"/>
      <c r="J1981" s="375"/>
      <c r="K1981" s="375"/>
      <c r="L1981" s="375"/>
      <c r="M1981" s="368"/>
      <c r="N1981" s="368"/>
      <c r="O1981" s="370"/>
      <c r="T1981" s="340"/>
      <c r="V1981" s="378"/>
      <c r="W1981" s="64" ph="1"/>
      <c r="X1981" s="241"/>
      <c r="Y1981" s="284"/>
      <c r="Z1981" s="207"/>
      <c r="AA1981" s="284"/>
      <c r="AB1981" s="284"/>
      <c r="AC1981" s="284"/>
      <c r="AD1981" s="284"/>
      <c r="AE1981" s="284"/>
      <c r="AF1981" s="284"/>
      <c r="AG1981" s="284"/>
    </row>
    <row r="1982" spans="1:33" ht="26.4">
      <c r="A1982" s="284"/>
      <c r="B1982" s="284"/>
      <c r="C1982" s="284"/>
      <c r="D1982" s="284"/>
      <c r="E1982" s="284"/>
      <c r="F1982" s="284"/>
      <c r="G1982" s="284"/>
      <c r="H1982" s="284"/>
      <c r="I1982" s="284"/>
      <c r="J1982" s="375"/>
      <c r="K1982" s="375"/>
      <c r="L1982" s="375"/>
      <c r="M1982" s="368"/>
      <c r="N1982" s="368"/>
      <c r="O1982" s="370"/>
      <c r="T1982" s="340"/>
      <c r="V1982" s="378"/>
      <c r="W1982" s="64" ph="1"/>
      <c r="X1982" s="241"/>
      <c r="Y1982" s="284"/>
      <c r="Z1982" s="207"/>
      <c r="AA1982" s="284"/>
      <c r="AB1982" s="284"/>
      <c r="AC1982" s="284"/>
      <c r="AD1982" s="284"/>
      <c r="AE1982" s="284"/>
      <c r="AF1982" s="284"/>
      <c r="AG1982" s="284"/>
    </row>
    <row r="1983" spans="1:33" ht="26.4">
      <c r="A1983" s="284"/>
      <c r="B1983" s="284"/>
      <c r="C1983" s="284"/>
      <c r="D1983" s="284"/>
      <c r="E1983" s="284"/>
      <c r="F1983" s="284"/>
      <c r="G1983" s="284"/>
      <c r="H1983" s="284"/>
      <c r="I1983" s="284"/>
      <c r="J1983" s="375"/>
      <c r="K1983" s="375"/>
      <c r="L1983" s="375"/>
      <c r="M1983" s="368"/>
      <c r="N1983" s="368"/>
      <c r="O1983" s="370"/>
      <c r="T1983" s="340"/>
      <c r="V1983" s="378"/>
      <c r="W1983" s="64" ph="1"/>
      <c r="X1983" s="241"/>
      <c r="Y1983" s="284"/>
      <c r="Z1983" s="207"/>
      <c r="AA1983" s="284"/>
      <c r="AB1983" s="284"/>
      <c r="AC1983" s="284"/>
      <c r="AD1983" s="284"/>
      <c r="AE1983" s="284"/>
      <c r="AF1983" s="284"/>
      <c r="AG1983" s="284"/>
    </row>
    <row r="1984" spans="1:33" ht="26.4">
      <c r="A1984" s="284"/>
      <c r="B1984" s="284"/>
      <c r="C1984" s="284"/>
      <c r="D1984" s="284"/>
      <c r="E1984" s="284"/>
      <c r="F1984" s="284"/>
      <c r="G1984" s="284"/>
      <c r="H1984" s="284"/>
      <c r="I1984" s="284"/>
      <c r="J1984" s="375"/>
      <c r="K1984" s="375"/>
      <c r="L1984" s="375"/>
      <c r="M1984" s="368"/>
      <c r="N1984" s="368"/>
      <c r="O1984" s="370"/>
      <c r="T1984" s="340"/>
      <c r="V1984" s="378"/>
      <c r="W1984" s="64" ph="1"/>
      <c r="X1984" s="241"/>
      <c r="Y1984" s="284"/>
      <c r="Z1984" s="207"/>
      <c r="AA1984" s="284"/>
      <c r="AB1984" s="284"/>
      <c r="AC1984" s="284"/>
      <c r="AD1984" s="284"/>
      <c r="AE1984" s="284"/>
      <c r="AF1984" s="284"/>
      <c r="AG1984" s="284"/>
    </row>
    <row r="1985" spans="1:33" ht="26.4">
      <c r="A1985" s="284"/>
      <c r="B1985" s="284"/>
      <c r="C1985" s="284"/>
      <c r="D1985" s="284"/>
      <c r="E1985" s="284"/>
      <c r="F1985" s="284"/>
      <c r="G1985" s="284"/>
      <c r="H1985" s="284"/>
      <c r="I1985" s="284"/>
      <c r="J1985" s="375"/>
      <c r="K1985" s="375"/>
      <c r="L1985" s="375"/>
      <c r="M1985" s="368"/>
      <c r="N1985" s="368"/>
      <c r="O1985" s="370"/>
      <c r="T1985" s="340"/>
      <c r="V1985" s="378"/>
      <c r="W1985" s="64" ph="1"/>
      <c r="X1985" s="241"/>
      <c r="Y1985" s="284"/>
      <c r="Z1985" s="207"/>
      <c r="AA1985" s="284"/>
      <c r="AB1985" s="284"/>
      <c r="AC1985" s="284"/>
      <c r="AD1985" s="284"/>
      <c r="AE1985" s="284"/>
      <c r="AF1985" s="284"/>
      <c r="AG1985" s="284"/>
    </row>
    <row r="1986" spans="1:33" ht="26.4">
      <c r="A1986" s="284"/>
      <c r="B1986" s="284"/>
      <c r="C1986" s="284"/>
      <c r="D1986" s="284"/>
      <c r="E1986" s="284"/>
      <c r="F1986" s="284"/>
      <c r="G1986" s="284"/>
      <c r="H1986" s="284"/>
      <c r="I1986" s="284"/>
      <c r="J1986" s="375"/>
      <c r="K1986" s="375"/>
      <c r="L1986" s="375"/>
      <c r="M1986" s="368"/>
      <c r="N1986" s="368"/>
      <c r="O1986" s="370"/>
      <c r="T1986" s="340"/>
      <c r="V1986" s="378"/>
      <c r="W1986" s="64" ph="1"/>
      <c r="X1986" s="241"/>
      <c r="Y1986" s="284"/>
      <c r="Z1986" s="207"/>
      <c r="AA1986" s="284"/>
      <c r="AB1986" s="284"/>
      <c r="AC1986" s="284"/>
      <c r="AD1986" s="284"/>
      <c r="AE1986" s="284"/>
      <c r="AF1986" s="284"/>
      <c r="AG1986" s="284"/>
    </row>
    <row r="1987" spans="1:33" ht="26.4">
      <c r="A1987" s="284"/>
      <c r="B1987" s="284"/>
      <c r="C1987" s="284"/>
      <c r="D1987" s="284"/>
      <c r="E1987" s="284"/>
      <c r="F1987" s="284"/>
      <c r="G1987" s="284"/>
      <c r="H1987" s="284"/>
      <c r="I1987" s="284"/>
      <c r="J1987" s="375"/>
      <c r="K1987" s="375"/>
      <c r="L1987" s="375"/>
      <c r="M1987" s="368"/>
      <c r="N1987" s="368"/>
      <c r="O1987" s="370"/>
      <c r="T1987" s="340"/>
      <c r="V1987" s="378"/>
      <c r="W1987" s="64" ph="1"/>
      <c r="X1987" s="241"/>
      <c r="Y1987" s="284"/>
      <c r="Z1987" s="207"/>
      <c r="AA1987" s="284"/>
      <c r="AB1987" s="284"/>
      <c r="AC1987" s="284"/>
      <c r="AD1987" s="284"/>
      <c r="AE1987" s="284"/>
      <c r="AF1987" s="284"/>
      <c r="AG1987" s="284"/>
    </row>
    <row r="1988" spans="1:33" ht="26.4">
      <c r="A1988" s="284"/>
      <c r="B1988" s="284"/>
      <c r="C1988" s="284"/>
      <c r="D1988" s="284"/>
      <c r="E1988" s="284"/>
      <c r="F1988" s="284"/>
      <c r="G1988" s="284"/>
      <c r="H1988" s="284"/>
      <c r="I1988" s="284"/>
      <c r="J1988" s="375"/>
      <c r="K1988" s="375"/>
      <c r="L1988" s="375"/>
      <c r="M1988" s="368"/>
      <c r="N1988" s="368"/>
      <c r="O1988" s="370"/>
      <c r="T1988" s="340"/>
      <c r="V1988" s="378"/>
      <c r="W1988" s="64" ph="1"/>
      <c r="X1988" s="241"/>
      <c r="Y1988" s="284"/>
      <c r="Z1988" s="207"/>
      <c r="AA1988" s="284"/>
      <c r="AB1988" s="284"/>
      <c r="AC1988" s="284"/>
      <c r="AD1988" s="284"/>
      <c r="AE1988" s="284"/>
      <c r="AF1988" s="284"/>
      <c r="AG1988" s="284"/>
    </row>
    <row r="1989" spans="1:33" ht="26.4">
      <c r="A1989" s="284"/>
      <c r="B1989" s="284"/>
      <c r="C1989" s="284"/>
      <c r="D1989" s="284"/>
      <c r="E1989" s="284"/>
      <c r="F1989" s="284"/>
      <c r="G1989" s="284"/>
      <c r="H1989" s="284"/>
      <c r="I1989" s="284"/>
      <c r="J1989" s="375"/>
      <c r="K1989" s="375"/>
      <c r="L1989" s="375"/>
      <c r="M1989" s="368"/>
      <c r="N1989" s="368"/>
      <c r="O1989" s="370"/>
      <c r="T1989" s="340"/>
      <c r="V1989" s="378"/>
      <c r="W1989" s="64" ph="1"/>
      <c r="X1989" s="241"/>
      <c r="Y1989" s="284"/>
      <c r="Z1989" s="207"/>
      <c r="AA1989" s="284"/>
      <c r="AB1989" s="284"/>
      <c r="AC1989" s="284"/>
      <c r="AD1989" s="284"/>
      <c r="AE1989" s="284"/>
      <c r="AF1989" s="284"/>
      <c r="AG1989" s="284"/>
    </row>
    <row r="1990" spans="1:33" ht="26.4">
      <c r="A1990" s="284"/>
      <c r="B1990" s="284"/>
      <c r="C1990" s="284"/>
      <c r="D1990" s="284"/>
      <c r="E1990" s="284"/>
      <c r="F1990" s="284"/>
      <c r="G1990" s="284"/>
      <c r="H1990" s="284"/>
      <c r="I1990" s="284"/>
      <c r="J1990" s="375"/>
      <c r="K1990" s="375"/>
      <c r="L1990" s="375"/>
      <c r="M1990" s="368"/>
      <c r="N1990" s="368"/>
      <c r="O1990" s="370"/>
      <c r="T1990" s="340"/>
      <c r="V1990" s="378"/>
      <c r="W1990" s="64" ph="1"/>
      <c r="X1990" s="241"/>
      <c r="Y1990" s="284"/>
      <c r="Z1990" s="207"/>
      <c r="AA1990" s="284"/>
      <c r="AB1990" s="284"/>
      <c r="AC1990" s="284"/>
      <c r="AD1990" s="284"/>
      <c r="AE1990" s="284"/>
      <c r="AF1990" s="284"/>
      <c r="AG1990" s="284"/>
    </row>
    <row r="1991" spans="1:33" ht="26.4">
      <c r="A1991" s="284"/>
      <c r="B1991" s="284"/>
      <c r="C1991" s="284"/>
      <c r="D1991" s="284"/>
      <c r="E1991" s="284"/>
      <c r="F1991" s="284"/>
      <c r="G1991" s="284"/>
      <c r="H1991" s="284"/>
      <c r="I1991" s="284"/>
      <c r="J1991" s="375"/>
      <c r="K1991" s="375"/>
      <c r="L1991" s="375"/>
      <c r="M1991" s="368"/>
      <c r="N1991" s="368"/>
      <c r="O1991" s="370"/>
      <c r="T1991" s="340"/>
      <c r="V1991" s="378"/>
      <c r="W1991" s="64" ph="1"/>
      <c r="X1991" s="241"/>
      <c r="Y1991" s="284"/>
      <c r="Z1991" s="207"/>
      <c r="AA1991" s="284"/>
      <c r="AB1991" s="284"/>
      <c r="AC1991" s="284"/>
      <c r="AD1991" s="284"/>
      <c r="AE1991" s="284"/>
      <c r="AF1991" s="284"/>
      <c r="AG1991" s="284"/>
    </row>
    <row r="1992" spans="1:33" ht="26.4">
      <c r="A1992" s="284"/>
      <c r="B1992" s="284"/>
      <c r="C1992" s="284"/>
      <c r="D1992" s="284"/>
      <c r="E1992" s="284"/>
      <c r="F1992" s="284"/>
      <c r="G1992" s="284"/>
      <c r="H1992" s="284"/>
      <c r="I1992" s="284"/>
      <c r="J1992" s="375"/>
      <c r="K1992" s="375"/>
      <c r="L1992" s="375"/>
      <c r="M1992" s="368"/>
      <c r="N1992" s="368"/>
      <c r="O1992" s="370"/>
      <c r="T1992" s="340"/>
      <c r="V1992" s="378"/>
      <c r="W1992" s="64" ph="1"/>
      <c r="X1992" s="241"/>
      <c r="Y1992" s="284"/>
      <c r="Z1992" s="207"/>
      <c r="AA1992" s="284"/>
      <c r="AB1992" s="284"/>
      <c r="AC1992" s="284"/>
      <c r="AD1992" s="284"/>
      <c r="AE1992" s="284"/>
      <c r="AF1992" s="284"/>
      <c r="AG1992" s="284"/>
    </row>
    <row r="1993" spans="1:33" ht="26.4">
      <c r="A1993" s="284"/>
      <c r="B1993" s="284"/>
      <c r="C1993" s="284"/>
      <c r="D1993" s="284"/>
      <c r="E1993" s="284"/>
      <c r="F1993" s="284"/>
      <c r="G1993" s="284"/>
      <c r="H1993" s="284"/>
      <c r="I1993" s="284"/>
      <c r="J1993" s="375"/>
      <c r="K1993" s="375"/>
      <c r="L1993" s="375"/>
      <c r="M1993" s="368"/>
      <c r="N1993" s="368"/>
      <c r="O1993" s="370"/>
      <c r="T1993" s="340"/>
      <c r="V1993" s="378"/>
      <c r="W1993" s="64" ph="1"/>
      <c r="X1993" s="241"/>
      <c r="Y1993" s="284"/>
      <c r="Z1993" s="207"/>
      <c r="AA1993" s="284"/>
      <c r="AB1993" s="284"/>
      <c r="AC1993" s="284"/>
      <c r="AD1993" s="284"/>
      <c r="AE1993" s="284"/>
      <c r="AF1993" s="284"/>
      <c r="AG1993" s="284"/>
    </row>
    <row r="1994" spans="1:33" ht="26.4">
      <c r="A1994" s="284"/>
      <c r="B1994" s="284"/>
      <c r="C1994" s="284"/>
      <c r="D1994" s="284"/>
      <c r="E1994" s="284"/>
      <c r="F1994" s="284"/>
      <c r="G1994" s="284"/>
      <c r="H1994" s="284"/>
      <c r="I1994" s="284"/>
      <c r="J1994" s="375"/>
      <c r="K1994" s="375"/>
      <c r="L1994" s="375"/>
      <c r="M1994" s="368"/>
      <c r="N1994" s="368"/>
      <c r="O1994" s="370"/>
      <c r="T1994" s="340"/>
      <c r="V1994" s="378"/>
      <c r="W1994" s="64" ph="1"/>
      <c r="X1994" s="241"/>
      <c r="Y1994" s="284"/>
      <c r="Z1994" s="207"/>
      <c r="AA1994" s="284"/>
      <c r="AB1994" s="284"/>
      <c r="AC1994" s="284"/>
      <c r="AD1994" s="284"/>
      <c r="AE1994" s="284"/>
      <c r="AF1994" s="284"/>
      <c r="AG1994" s="284"/>
    </row>
    <row r="1995" spans="1:33" ht="26.4">
      <c r="A1995" s="284"/>
      <c r="B1995" s="284"/>
      <c r="C1995" s="284"/>
      <c r="D1995" s="284"/>
      <c r="E1995" s="284"/>
      <c r="F1995" s="284"/>
      <c r="G1995" s="284"/>
      <c r="H1995" s="284"/>
      <c r="I1995" s="284"/>
      <c r="J1995" s="375"/>
      <c r="K1995" s="375"/>
      <c r="L1995" s="375"/>
      <c r="M1995" s="368"/>
      <c r="N1995" s="368"/>
      <c r="O1995" s="370"/>
      <c r="T1995" s="340"/>
      <c r="V1995" s="378"/>
      <c r="W1995" s="64" ph="1"/>
      <c r="X1995" s="241"/>
      <c r="Y1995" s="284"/>
      <c r="Z1995" s="207"/>
      <c r="AA1995" s="284"/>
      <c r="AB1995" s="284"/>
      <c r="AC1995" s="284"/>
      <c r="AD1995" s="284"/>
      <c r="AE1995" s="284"/>
      <c r="AF1995" s="284"/>
      <c r="AG1995" s="284"/>
    </row>
    <row r="1996" spans="1:33" ht="26.4">
      <c r="A1996" s="284"/>
      <c r="B1996" s="284"/>
      <c r="C1996" s="284"/>
      <c r="D1996" s="284"/>
      <c r="E1996" s="284"/>
      <c r="F1996" s="284"/>
      <c r="G1996" s="284"/>
      <c r="H1996" s="284"/>
      <c r="I1996" s="284"/>
      <c r="J1996" s="375"/>
      <c r="K1996" s="375"/>
      <c r="L1996" s="375"/>
      <c r="M1996" s="368"/>
      <c r="N1996" s="368"/>
      <c r="O1996" s="370"/>
      <c r="T1996" s="340"/>
      <c r="V1996" s="378"/>
      <c r="W1996" s="64" ph="1"/>
      <c r="X1996" s="241"/>
      <c r="Y1996" s="284"/>
      <c r="Z1996" s="207"/>
      <c r="AA1996" s="284"/>
      <c r="AB1996" s="284"/>
      <c r="AC1996" s="284"/>
      <c r="AD1996" s="284"/>
      <c r="AE1996" s="284"/>
      <c r="AF1996" s="284"/>
      <c r="AG1996" s="284"/>
    </row>
    <row r="1997" spans="1:33" ht="26.4">
      <c r="A1997" s="284"/>
      <c r="B1997" s="284"/>
      <c r="C1997" s="284"/>
      <c r="D1997" s="284"/>
      <c r="E1997" s="284"/>
      <c r="F1997" s="284"/>
      <c r="G1997" s="284"/>
      <c r="H1997" s="284"/>
      <c r="I1997" s="284"/>
      <c r="J1997" s="375"/>
      <c r="K1997" s="375"/>
      <c r="L1997" s="375"/>
      <c r="M1997" s="368"/>
      <c r="N1997" s="368"/>
      <c r="O1997" s="370"/>
      <c r="T1997" s="340"/>
      <c r="V1997" s="378"/>
      <c r="W1997" s="64" ph="1"/>
      <c r="X1997" s="241"/>
      <c r="Y1997" s="284"/>
      <c r="Z1997" s="207"/>
      <c r="AA1997" s="284"/>
      <c r="AB1997" s="284"/>
      <c r="AC1997" s="284"/>
      <c r="AD1997" s="284"/>
      <c r="AE1997" s="284"/>
      <c r="AF1997" s="284"/>
      <c r="AG1997" s="284"/>
    </row>
    <row r="1998" spans="1:33" ht="26.4">
      <c r="A1998" s="284"/>
      <c r="B1998" s="284"/>
      <c r="C1998" s="284"/>
      <c r="D1998" s="284"/>
      <c r="E1998" s="284"/>
      <c r="F1998" s="284"/>
      <c r="G1998" s="284"/>
      <c r="H1998" s="284"/>
      <c r="I1998" s="284"/>
      <c r="J1998" s="375"/>
      <c r="K1998" s="375"/>
      <c r="L1998" s="375"/>
      <c r="M1998" s="368"/>
      <c r="N1998" s="368"/>
      <c r="O1998" s="370"/>
      <c r="T1998" s="340"/>
      <c r="V1998" s="378"/>
      <c r="W1998" s="64" ph="1"/>
      <c r="X1998" s="241"/>
      <c r="Y1998" s="284"/>
      <c r="Z1998" s="207"/>
      <c r="AA1998" s="284"/>
      <c r="AB1998" s="284"/>
      <c r="AC1998" s="284"/>
      <c r="AD1998" s="284"/>
      <c r="AE1998" s="284"/>
      <c r="AF1998" s="284"/>
      <c r="AG1998" s="284"/>
    </row>
    <row r="1999" spans="1:33" ht="26.4">
      <c r="A1999" s="284"/>
      <c r="B1999" s="284"/>
      <c r="C1999" s="284"/>
      <c r="D1999" s="284"/>
      <c r="E1999" s="284"/>
      <c r="F1999" s="284"/>
      <c r="G1999" s="284"/>
      <c r="H1999" s="284"/>
      <c r="I1999" s="284"/>
      <c r="J1999" s="375"/>
      <c r="K1999" s="375"/>
      <c r="L1999" s="375"/>
      <c r="M1999" s="368"/>
      <c r="N1999" s="368"/>
      <c r="O1999" s="370"/>
      <c r="T1999" s="340"/>
      <c r="V1999" s="378"/>
      <c r="W1999" s="64" ph="1"/>
      <c r="X1999" s="241"/>
      <c r="Y1999" s="284"/>
      <c r="Z1999" s="207"/>
      <c r="AA1999" s="284"/>
      <c r="AB1999" s="284"/>
      <c r="AC1999" s="284"/>
      <c r="AD1999" s="284"/>
      <c r="AE1999" s="284"/>
      <c r="AF1999" s="284"/>
      <c r="AG1999" s="284"/>
    </row>
    <row r="2000" spans="1:33" ht="26.4">
      <c r="A2000" s="284"/>
      <c r="B2000" s="284"/>
      <c r="C2000" s="284"/>
      <c r="D2000" s="284"/>
      <c r="E2000" s="284"/>
      <c r="F2000" s="284"/>
      <c r="G2000" s="284"/>
      <c r="H2000" s="284"/>
      <c r="I2000" s="284"/>
      <c r="J2000" s="375"/>
      <c r="K2000" s="375"/>
      <c r="L2000" s="375"/>
      <c r="M2000" s="368"/>
      <c r="N2000" s="368"/>
      <c r="O2000" s="370"/>
      <c r="T2000" s="340"/>
      <c r="V2000" s="378"/>
      <c r="W2000" s="64" ph="1"/>
      <c r="X2000" s="241"/>
      <c r="Y2000" s="284"/>
      <c r="Z2000" s="207"/>
      <c r="AA2000" s="284"/>
      <c r="AB2000" s="284"/>
      <c r="AC2000" s="284"/>
      <c r="AD2000" s="284"/>
      <c r="AE2000" s="284"/>
      <c r="AF2000" s="284"/>
      <c r="AG2000" s="284"/>
    </row>
    <row r="2001" spans="1:33" ht="26.4">
      <c r="A2001" s="284"/>
      <c r="B2001" s="284"/>
      <c r="C2001" s="284"/>
      <c r="D2001" s="284"/>
      <c r="E2001" s="284"/>
      <c r="F2001" s="284"/>
      <c r="G2001" s="284"/>
      <c r="H2001" s="284"/>
      <c r="I2001" s="284"/>
      <c r="J2001" s="375"/>
      <c r="K2001" s="375"/>
      <c r="L2001" s="375"/>
      <c r="M2001" s="368"/>
      <c r="N2001" s="368"/>
      <c r="O2001" s="370"/>
      <c r="T2001" s="340"/>
      <c r="V2001" s="378"/>
      <c r="W2001" s="64" ph="1"/>
      <c r="X2001" s="241"/>
      <c r="Y2001" s="284"/>
      <c r="Z2001" s="207"/>
      <c r="AA2001" s="284"/>
      <c r="AB2001" s="284"/>
      <c r="AC2001" s="284"/>
      <c r="AD2001" s="284"/>
      <c r="AE2001" s="284"/>
      <c r="AF2001" s="284"/>
      <c r="AG2001" s="284"/>
    </row>
    <row r="2002" spans="1:33" ht="26.4">
      <c r="A2002" s="284"/>
      <c r="B2002" s="284"/>
      <c r="C2002" s="284"/>
      <c r="D2002" s="284"/>
      <c r="E2002" s="284"/>
      <c r="F2002" s="284"/>
      <c r="G2002" s="284"/>
      <c r="H2002" s="284"/>
      <c r="I2002" s="284"/>
      <c r="J2002" s="375"/>
      <c r="K2002" s="375"/>
      <c r="L2002" s="375"/>
      <c r="M2002" s="368"/>
      <c r="N2002" s="368"/>
      <c r="O2002" s="370"/>
      <c r="T2002" s="340"/>
      <c r="V2002" s="378"/>
      <c r="W2002" s="64" ph="1"/>
      <c r="X2002" s="241"/>
      <c r="Y2002" s="284"/>
      <c r="Z2002" s="207"/>
      <c r="AA2002" s="284"/>
      <c r="AB2002" s="284"/>
      <c r="AC2002" s="284"/>
      <c r="AD2002" s="284"/>
      <c r="AE2002" s="284"/>
      <c r="AF2002" s="284"/>
      <c r="AG2002" s="284"/>
    </row>
    <row r="2003" spans="1:33" ht="26.4">
      <c r="A2003" s="284"/>
      <c r="B2003" s="284"/>
      <c r="C2003" s="284"/>
      <c r="D2003" s="284"/>
      <c r="E2003" s="284"/>
      <c r="F2003" s="284"/>
      <c r="G2003" s="284"/>
      <c r="H2003" s="284"/>
      <c r="I2003" s="284"/>
      <c r="J2003" s="375"/>
      <c r="K2003" s="375"/>
      <c r="L2003" s="375"/>
      <c r="M2003" s="368"/>
      <c r="N2003" s="368"/>
      <c r="O2003" s="370"/>
      <c r="T2003" s="340"/>
      <c r="V2003" s="378"/>
      <c r="W2003" s="64" ph="1"/>
      <c r="X2003" s="241"/>
      <c r="Y2003" s="284"/>
      <c r="Z2003" s="207"/>
      <c r="AA2003" s="284"/>
      <c r="AB2003" s="284"/>
      <c r="AC2003" s="284"/>
      <c r="AD2003" s="284"/>
      <c r="AE2003" s="284"/>
      <c r="AF2003" s="284"/>
      <c r="AG2003" s="284"/>
    </row>
    <row r="2004" spans="1:33" ht="26.4">
      <c r="A2004" s="284"/>
      <c r="B2004" s="284"/>
      <c r="C2004" s="284"/>
      <c r="D2004" s="284"/>
      <c r="E2004" s="284"/>
      <c r="F2004" s="284"/>
      <c r="G2004" s="284"/>
      <c r="H2004" s="284"/>
      <c r="I2004" s="284"/>
      <c r="J2004" s="375"/>
      <c r="K2004" s="375"/>
      <c r="L2004" s="375"/>
      <c r="M2004" s="368"/>
      <c r="N2004" s="368"/>
      <c r="O2004" s="370"/>
      <c r="T2004" s="340"/>
      <c r="V2004" s="378"/>
      <c r="W2004" s="64" ph="1"/>
      <c r="X2004" s="241"/>
      <c r="Y2004" s="284"/>
      <c r="Z2004" s="207"/>
      <c r="AA2004" s="284"/>
      <c r="AB2004" s="284"/>
      <c r="AC2004" s="284"/>
      <c r="AD2004" s="284"/>
      <c r="AE2004" s="284"/>
      <c r="AF2004" s="284"/>
      <c r="AG2004" s="284"/>
    </row>
    <row r="2005" spans="1:33" ht="26.4">
      <c r="A2005" s="284"/>
      <c r="B2005" s="284"/>
      <c r="C2005" s="284"/>
      <c r="D2005" s="284"/>
      <c r="E2005" s="284"/>
      <c r="F2005" s="284"/>
      <c r="G2005" s="284"/>
      <c r="H2005" s="284"/>
      <c r="I2005" s="284"/>
      <c r="J2005" s="375"/>
      <c r="K2005" s="375"/>
      <c r="L2005" s="375"/>
      <c r="M2005" s="368"/>
      <c r="N2005" s="368"/>
      <c r="O2005" s="370"/>
      <c r="T2005" s="340"/>
      <c r="V2005" s="378"/>
      <c r="W2005" s="64" ph="1"/>
      <c r="X2005" s="241"/>
      <c r="Y2005" s="284"/>
      <c r="Z2005" s="207"/>
      <c r="AA2005" s="284"/>
      <c r="AB2005" s="284"/>
      <c r="AC2005" s="284"/>
      <c r="AD2005" s="284"/>
      <c r="AE2005" s="284"/>
      <c r="AF2005" s="284"/>
      <c r="AG2005" s="284"/>
    </row>
    <row r="2006" spans="1:33" ht="26.4">
      <c r="A2006" s="284"/>
      <c r="B2006" s="284"/>
      <c r="C2006" s="284"/>
      <c r="D2006" s="284"/>
      <c r="E2006" s="284"/>
      <c r="F2006" s="284"/>
      <c r="G2006" s="284"/>
      <c r="H2006" s="284"/>
      <c r="I2006" s="284"/>
      <c r="J2006" s="375"/>
      <c r="K2006" s="375"/>
      <c r="L2006" s="375"/>
      <c r="M2006" s="368"/>
      <c r="N2006" s="368"/>
      <c r="O2006" s="370"/>
      <c r="T2006" s="340"/>
      <c r="V2006" s="378"/>
      <c r="W2006" s="64" ph="1"/>
      <c r="X2006" s="241"/>
      <c r="Y2006" s="284"/>
      <c r="Z2006" s="207"/>
      <c r="AA2006" s="284"/>
      <c r="AB2006" s="284"/>
      <c r="AC2006" s="284"/>
      <c r="AD2006" s="284"/>
      <c r="AE2006" s="284"/>
      <c r="AF2006" s="284"/>
      <c r="AG2006" s="284"/>
    </row>
    <row r="2007" spans="1:33" ht="26.4">
      <c r="A2007" s="284"/>
      <c r="B2007" s="284"/>
      <c r="C2007" s="284"/>
      <c r="D2007" s="284"/>
      <c r="E2007" s="284"/>
      <c r="F2007" s="284"/>
      <c r="G2007" s="284"/>
      <c r="H2007" s="284"/>
      <c r="I2007" s="284"/>
      <c r="J2007" s="375"/>
      <c r="K2007" s="375"/>
      <c r="L2007" s="375"/>
      <c r="M2007" s="368"/>
      <c r="N2007" s="368"/>
      <c r="O2007" s="370"/>
      <c r="T2007" s="340"/>
      <c r="V2007" s="378"/>
      <c r="W2007" s="64" ph="1"/>
      <c r="X2007" s="241"/>
      <c r="Y2007" s="284"/>
      <c r="Z2007" s="207"/>
      <c r="AA2007" s="284"/>
      <c r="AB2007" s="284"/>
      <c r="AC2007" s="284"/>
      <c r="AD2007" s="284"/>
      <c r="AE2007" s="284"/>
      <c r="AF2007" s="284"/>
      <c r="AG2007" s="284"/>
    </row>
    <row r="2008" spans="1:33" ht="26.4">
      <c r="A2008" s="284"/>
      <c r="B2008" s="284"/>
      <c r="C2008" s="284"/>
      <c r="D2008" s="284"/>
      <c r="E2008" s="284"/>
      <c r="F2008" s="284"/>
      <c r="G2008" s="284"/>
      <c r="H2008" s="284"/>
      <c r="I2008" s="284"/>
      <c r="J2008" s="375"/>
      <c r="K2008" s="375"/>
      <c r="L2008" s="375"/>
      <c r="M2008" s="368"/>
      <c r="N2008" s="368"/>
      <c r="O2008" s="370"/>
      <c r="T2008" s="340"/>
      <c r="V2008" s="378"/>
      <c r="W2008" s="64" ph="1"/>
      <c r="X2008" s="241"/>
      <c r="Y2008" s="284"/>
      <c r="Z2008" s="207"/>
      <c r="AA2008" s="284"/>
      <c r="AB2008" s="284"/>
      <c r="AC2008" s="284"/>
      <c r="AD2008" s="284"/>
      <c r="AE2008" s="284"/>
      <c r="AF2008" s="284"/>
      <c r="AG2008" s="284"/>
    </row>
    <row r="2009" spans="1:33" ht="26.4">
      <c r="A2009" s="284"/>
      <c r="B2009" s="284"/>
      <c r="C2009" s="284"/>
      <c r="D2009" s="284"/>
      <c r="E2009" s="284"/>
      <c r="F2009" s="284"/>
      <c r="G2009" s="284"/>
      <c r="H2009" s="284"/>
      <c r="I2009" s="284"/>
      <c r="J2009" s="375"/>
      <c r="K2009" s="375"/>
      <c r="L2009" s="375"/>
      <c r="M2009" s="368"/>
      <c r="N2009" s="368"/>
      <c r="O2009" s="370"/>
      <c r="T2009" s="340"/>
      <c r="V2009" s="378"/>
      <c r="W2009" s="64" ph="1"/>
      <c r="X2009" s="241"/>
      <c r="Y2009" s="284"/>
      <c r="Z2009" s="207"/>
      <c r="AA2009" s="284"/>
      <c r="AB2009" s="284"/>
      <c r="AC2009" s="284"/>
      <c r="AD2009" s="284"/>
      <c r="AE2009" s="284"/>
      <c r="AF2009" s="284"/>
      <c r="AG2009" s="284"/>
    </row>
    <row r="2010" spans="1:33" ht="26.4">
      <c r="A2010" s="284"/>
      <c r="B2010" s="284"/>
      <c r="C2010" s="284"/>
      <c r="D2010" s="284"/>
      <c r="E2010" s="284"/>
      <c r="F2010" s="284"/>
      <c r="G2010" s="284"/>
      <c r="H2010" s="284"/>
      <c r="I2010" s="284"/>
      <c r="J2010" s="375"/>
      <c r="K2010" s="375"/>
      <c r="L2010" s="375"/>
      <c r="M2010" s="368"/>
      <c r="N2010" s="368"/>
      <c r="O2010" s="370"/>
      <c r="T2010" s="340"/>
      <c r="V2010" s="378"/>
      <c r="W2010" s="64" ph="1"/>
      <c r="X2010" s="241"/>
      <c r="Y2010" s="284"/>
      <c r="Z2010" s="207"/>
      <c r="AA2010" s="284"/>
      <c r="AB2010" s="284"/>
      <c r="AC2010" s="284"/>
      <c r="AD2010" s="284"/>
      <c r="AE2010" s="284"/>
      <c r="AF2010" s="284"/>
      <c r="AG2010" s="284"/>
    </row>
    <row r="2011" spans="1:33" ht="26.4">
      <c r="A2011" s="284"/>
      <c r="B2011" s="284"/>
      <c r="C2011" s="284"/>
      <c r="D2011" s="284"/>
      <c r="E2011" s="284"/>
      <c r="F2011" s="284"/>
      <c r="G2011" s="284"/>
      <c r="H2011" s="284"/>
      <c r="I2011" s="284"/>
      <c r="J2011" s="375"/>
      <c r="K2011" s="375"/>
      <c r="L2011" s="375"/>
      <c r="M2011" s="368"/>
      <c r="N2011" s="368"/>
      <c r="O2011" s="370"/>
      <c r="T2011" s="340"/>
      <c r="V2011" s="378"/>
      <c r="W2011" s="64" ph="1"/>
      <c r="X2011" s="241"/>
      <c r="Y2011" s="284"/>
      <c r="Z2011" s="207"/>
      <c r="AA2011" s="284"/>
      <c r="AB2011" s="284"/>
      <c r="AC2011" s="284"/>
      <c r="AD2011" s="284"/>
      <c r="AE2011" s="284"/>
      <c r="AF2011" s="284"/>
      <c r="AG2011" s="284"/>
    </row>
    <row r="2012" spans="1:33" ht="26.4">
      <c r="A2012" s="284"/>
      <c r="B2012" s="284"/>
      <c r="C2012" s="284"/>
      <c r="D2012" s="284"/>
      <c r="E2012" s="284"/>
      <c r="F2012" s="284"/>
      <c r="G2012" s="284"/>
      <c r="H2012" s="284"/>
      <c r="I2012" s="284"/>
      <c r="J2012" s="375"/>
      <c r="K2012" s="375"/>
      <c r="L2012" s="375"/>
      <c r="M2012" s="368"/>
      <c r="N2012" s="368"/>
      <c r="O2012" s="370"/>
      <c r="T2012" s="340"/>
      <c r="V2012" s="378"/>
      <c r="W2012" s="64" ph="1"/>
      <c r="X2012" s="241"/>
      <c r="Y2012" s="284"/>
      <c r="Z2012" s="207"/>
      <c r="AA2012" s="284"/>
      <c r="AB2012" s="284"/>
      <c r="AC2012" s="284"/>
      <c r="AD2012" s="284"/>
      <c r="AE2012" s="284"/>
      <c r="AF2012" s="284"/>
      <c r="AG2012" s="284"/>
    </row>
    <row r="2013" spans="1:33" ht="26.4">
      <c r="A2013" s="284"/>
      <c r="B2013" s="284"/>
      <c r="C2013" s="284"/>
      <c r="D2013" s="284"/>
      <c r="E2013" s="284"/>
      <c r="F2013" s="284"/>
      <c r="G2013" s="284"/>
      <c r="H2013" s="284"/>
      <c r="I2013" s="284"/>
      <c r="J2013" s="375"/>
      <c r="K2013" s="375"/>
      <c r="L2013" s="375"/>
      <c r="M2013" s="368"/>
      <c r="N2013" s="368"/>
      <c r="O2013" s="370"/>
      <c r="T2013" s="340"/>
      <c r="V2013" s="378"/>
      <c r="W2013" s="64" ph="1"/>
      <c r="X2013" s="241"/>
      <c r="Y2013" s="284"/>
      <c r="Z2013" s="207"/>
      <c r="AA2013" s="284"/>
      <c r="AB2013" s="284"/>
      <c r="AC2013" s="284"/>
      <c r="AD2013" s="284"/>
      <c r="AE2013" s="284"/>
      <c r="AF2013" s="284"/>
      <c r="AG2013" s="284"/>
    </row>
    <row r="2014" spans="1:33" ht="26.4">
      <c r="A2014" s="284"/>
      <c r="B2014" s="284"/>
      <c r="C2014" s="284"/>
      <c r="D2014" s="284"/>
      <c r="E2014" s="284"/>
      <c r="F2014" s="284"/>
      <c r="G2014" s="284"/>
      <c r="H2014" s="284"/>
      <c r="I2014" s="284"/>
      <c r="J2014" s="375"/>
      <c r="K2014" s="375"/>
      <c r="L2014" s="375"/>
      <c r="M2014" s="368"/>
      <c r="N2014" s="368"/>
      <c r="O2014" s="370"/>
      <c r="T2014" s="340"/>
      <c r="V2014" s="378"/>
      <c r="W2014" s="64" ph="1"/>
      <c r="X2014" s="241"/>
      <c r="Y2014" s="284"/>
      <c r="Z2014" s="207"/>
      <c r="AA2014" s="284"/>
      <c r="AB2014" s="284"/>
      <c r="AC2014" s="284"/>
      <c r="AD2014" s="284"/>
      <c r="AE2014" s="284"/>
      <c r="AF2014" s="284"/>
      <c r="AG2014" s="284"/>
    </row>
    <row r="2015" spans="1:33" ht="26.4">
      <c r="A2015" s="284"/>
      <c r="B2015" s="284"/>
      <c r="C2015" s="284"/>
      <c r="D2015" s="284"/>
      <c r="E2015" s="284"/>
      <c r="F2015" s="284"/>
      <c r="G2015" s="284"/>
      <c r="H2015" s="284"/>
      <c r="I2015" s="284"/>
      <c r="J2015" s="375"/>
      <c r="K2015" s="375"/>
      <c r="L2015" s="375"/>
      <c r="M2015" s="368"/>
      <c r="N2015" s="368"/>
      <c r="O2015" s="370"/>
      <c r="T2015" s="340"/>
      <c r="V2015" s="378"/>
      <c r="W2015" s="64" ph="1"/>
      <c r="X2015" s="241"/>
      <c r="Y2015" s="284"/>
      <c r="Z2015" s="207"/>
      <c r="AA2015" s="284"/>
      <c r="AB2015" s="284"/>
      <c r="AC2015" s="284"/>
      <c r="AD2015" s="284"/>
      <c r="AE2015" s="284"/>
      <c r="AF2015" s="284"/>
      <c r="AG2015" s="284"/>
    </row>
    <row r="2016" spans="1:33" ht="26.4">
      <c r="A2016" s="284"/>
      <c r="B2016" s="284"/>
      <c r="C2016" s="284"/>
      <c r="D2016" s="284"/>
      <c r="E2016" s="284"/>
      <c r="F2016" s="284"/>
      <c r="G2016" s="284"/>
      <c r="H2016" s="284"/>
      <c r="I2016" s="284"/>
      <c r="J2016" s="375"/>
      <c r="K2016" s="375"/>
      <c r="L2016" s="375"/>
      <c r="M2016" s="368"/>
      <c r="N2016" s="368"/>
      <c r="O2016" s="370"/>
      <c r="T2016" s="340"/>
      <c r="V2016" s="378"/>
      <c r="W2016" s="64" ph="1"/>
      <c r="X2016" s="241"/>
      <c r="Y2016" s="284"/>
      <c r="Z2016" s="207"/>
      <c r="AA2016" s="284"/>
      <c r="AB2016" s="284"/>
      <c r="AC2016" s="284"/>
      <c r="AD2016" s="284"/>
      <c r="AE2016" s="284"/>
      <c r="AF2016" s="284"/>
      <c r="AG2016" s="284"/>
    </row>
    <row r="2017" spans="1:33" ht="26.4">
      <c r="A2017" s="284"/>
      <c r="B2017" s="284"/>
      <c r="C2017" s="284"/>
      <c r="D2017" s="284"/>
      <c r="E2017" s="284"/>
      <c r="F2017" s="284"/>
      <c r="G2017" s="284"/>
      <c r="H2017" s="284"/>
      <c r="I2017" s="284"/>
      <c r="J2017" s="375"/>
      <c r="K2017" s="375"/>
      <c r="L2017" s="375"/>
      <c r="M2017" s="368"/>
      <c r="N2017" s="368"/>
      <c r="O2017" s="370"/>
      <c r="T2017" s="340"/>
      <c r="V2017" s="378"/>
      <c r="W2017" s="64" ph="1"/>
      <c r="X2017" s="241"/>
      <c r="Y2017" s="284"/>
      <c r="Z2017" s="207"/>
      <c r="AA2017" s="284"/>
      <c r="AB2017" s="284"/>
      <c r="AC2017" s="284"/>
      <c r="AD2017" s="284"/>
      <c r="AE2017" s="284"/>
      <c r="AF2017" s="284"/>
      <c r="AG2017" s="284"/>
    </row>
    <row r="2018" spans="1:33" ht="26.4">
      <c r="A2018" s="284"/>
      <c r="B2018" s="284"/>
      <c r="C2018" s="284"/>
      <c r="D2018" s="284"/>
      <c r="E2018" s="284"/>
      <c r="F2018" s="284"/>
      <c r="G2018" s="284"/>
      <c r="H2018" s="284"/>
      <c r="I2018" s="284"/>
      <c r="J2018" s="375"/>
      <c r="K2018" s="375"/>
      <c r="L2018" s="375"/>
      <c r="M2018" s="368"/>
      <c r="N2018" s="368"/>
      <c r="O2018" s="370"/>
      <c r="T2018" s="340"/>
      <c r="V2018" s="378"/>
      <c r="W2018" s="64" ph="1"/>
      <c r="X2018" s="241"/>
      <c r="Y2018" s="284"/>
      <c r="Z2018" s="207"/>
      <c r="AA2018" s="284"/>
      <c r="AB2018" s="284"/>
      <c r="AC2018" s="284"/>
      <c r="AD2018" s="284"/>
      <c r="AE2018" s="284"/>
      <c r="AF2018" s="284"/>
      <c r="AG2018" s="284"/>
    </row>
    <row r="2019" spans="1:33" ht="26.4">
      <c r="A2019" s="284"/>
      <c r="B2019" s="284"/>
      <c r="C2019" s="284"/>
      <c r="D2019" s="284"/>
      <c r="E2019" s="284"/>
      <c r="F2019" s="284"/>
      <c r="G2019" s="284"/>
      <c r="H2019" s="284"/>
      <c r="I2019" s="284"/>
      <c r="J2019" s="375"/>
      <c r="K2019" s="375"/>
      <c r="L2019" s="375"/>
      <c r="M2019" s="368"/>
      <c r="N2019" s="368"/>
      <c r="O2019" s="370"/>
      <c r="T2019" s="340"/>
      <c r="V2019" s="378"/>
      <c r="W2019" s="64" ph="1"/>
      <c r="X2019" s="241"/>
      <c r="Y2019" s="284"/>
      <c r="Z2019" s="207"/>
      <c r="AA2019" s="284"/>
      <c r="AB2019" s="284"/>
      <c r="AC2019" s="284"/>
      <c r="AD2019" s="284"/>
      <c r="AE2019" s="284"/>
      <c r="AF2019" s="284"/>
      <c r="AG2019" s="284"/>
    </row>
    <row r="2020" spans="1:33" ht="26.4">
      <c r="A2020" s="284"/>
      <c r="B2020" s="284"/>
      <c r="C2020" s="284"/>
      <c r="D2020" s="284"/>
      <c r="E2020" s="284"/>
      <c r="F2020" s="284"/>
      <c r="G2020" s="284"/>
      <c r="H2020" s="284"/>
      <c r="I2020" s="284"/>
      <c r="J2020" s="375"/>
      <c r="K2020" s="375"/>
      <c r="L2020" s="375"/>
      <c r="M2020" s="368"/>
      <c r="N2020" s="368"/>
      <c r="O2020" s="370"/>
      <c r="T2020" s="340"/>
      <c r="V2020" s="378"/>
      <c r="W2020" s="64" ph="1"/>
      <c r="X2020" s="241"/>
      <c r="Y2020" s="284"/>
      <c r="Z2020" s="207"/>
      <c r="AA2020" s="284"/>
      <c r="AB2020" s="284"/>
      <c r="AC2020" s="284"/>
      <c r="AD2020" s="284"/>
      <c r="AE2020" s="284"/>
      <c r="AF2020" s="284"/>
      <c r="AG2020" s="284"/>
    </row>
    <row r="2021" spans="1:33" ht="26.4">
      <c r="A2021" s="284"/>
      <c r="B2021" s="284"/>
      <c r="C2021" s="284"/>
      <c r="D2021" s="284"/>
      <c r="E2021" s="284"/>
      <c r="F2021" s="284"/>
      <c r="G2021" s="284"/>
      <c r="H2021" s="284"/>
      <c r="I2021" s="284"/>
      <c r="J2021" s="375"/>
      <c r="K2021" s="375"/>
      <c r="L2021" s="375"/>
      <c r="M2021" s="368"/>
      <c r="N2021" s="368"/>
      <c r="O2021" s="370"/>
      <c r="T2021" s="340"/>
      <c r="V2021" s="378"/>
      <c r="W2021" s="64" ph="1"/>
      <c r="X2021" s="241"/>
      <c r="Y2021" s="284"/>
      <c r="Z2021" s="207"/>
      <c r="AA2021" s="284"/>
      <c r="AB2021" s="284"/>
      <c r="AC2021" s="284"/>
      <c r="AD2021" s="284"/>
      <c r="AE2021" s="284"/>
      <c r="AF2021" s="284"/>
      <c r="AG2021" s="284"/>
    </row>
    <row r="2022" spans="1:33" ht="26.4">
      <c r="A2022" s="284"/>
      <c r="B2022" s="284"/>
      <c r="C2022" s="284"/>
      <c r="D2022" s="284"/>
      <c r="E2022" s="284"/>
      <c r="F2022" s="284"/>
      <c r="G2022" s="284"/>
      <c r="H2022" s="284"/>
      <c r="I2022" s="284"/>
      <c r="J2022" s="375"/>
      <c r="K2022" s="375"/>
      <c r="L2022" s="375"/>
      <c r="M2022" s="368"/>
      <c r="N2022" s="368"/>
      <c r="O2022" s="370"/>
      <c r="T2022" s="340"/>
      <c r="V2022" s="378"/>
      <c r="W2022" s="64" ph="1"/>
      <c r="X2022" s="241"/>
      <c r="Y2022" s="284"/>
      <c r="Z2022" s="207"/>
      <c r="AA2022" s="284"/>
      <c r="AB2022" s="284"/>
      <c r="AC2022" s="284"/>
      <c r="AD2022" s="284"/>
      <c r="AE2022" s="284"/>
      <c r="AF2022" s="284"/>
      <c r="AG2022" s="284"/>
    </row>
    <row r="2023" spans="1:33" ht="26.4">
      <c r="A2023" s="284"/>
      <c r="B2023" s="284"/>
      <c r="C2023" s="284"/>
      <c r="D2023" s="284"/>
      <c r="E2023" s="284"/>
      <c r="F2023" s="284"/>
      <c r="G2023" s="284"/>
      <c r="H2023" s="284"/>
      <c r="I2023" s="284"/>
      <c r="J2023" s="375"/>
      <c r="K2023" s="375"/>
      <c r="L2023" s="375"/>
      <c r="M2023" s="368"/>
      <c r="N2023" s="368"/>
      <c r="O2023" s="370"/>
      <c r="T2023" s="340"/>
      <c r="V2023" s="378"/>
      <c r="W2023" s="64" ph="1"/>
      <c r="X2023" s="241"/>
      <c r="Y2023" s="284"/>
      <c r="Z2023" s="207"/>
      <c r="AA2023" s="284"/>
      <c r="AB2023" s="284"/>
      <c r="AC2023" s="284"/>
      <c r="AD2023" s="284"/>
      <c r="AE2023" s="284"/>
      <c r="AF2023" s="284"/>
      <c r="AG2023" s="284"/>
    </row>
    <row r="2024" spans="1:33" ht="26.4">
      <c r="A2024" s="284"/>
      <c r="B2024" s="284"/>
      <c r="C2024" s="284"/>
      <c r="D2024" s="284"/>
      <c r="E2024" s="284"/>
      <c r="F2024" s="284"/>
      <c r="G2024" s="284"/>
      <c r="H2024" s="284"/>
      <c r="I2024" s="284"/>
      <c r="J2024" s="375"/>
      <c r="K2024" s="375"/>
      <c r="L2024" s="375"/>
      <c r="M2024" s="368"/>
      <c r="N2024" s="368"/>
      <c r="O2024" s="370"/>
      <c r="T2024" s="340"/>
      <c r="V2024" s="378"/>
      <c r="W2024" s="64" ph="1"/>
      <c r="X2024" s="241"/>
      <c r="Y2024" s="284"/>
      <c r="Z2024" s="207"/>
      <c r="AA2024" s="284"/>
      <c r="AB2024" s="284"/>
      <c r="AC2024" s="284"/>
      <c r="AD2024" s="284"/>
      <c r="AE2024" s="284"/>
      <c r="AF2024" s="284"/>
      <c r="AG2024" s="284"/>
    </row>
    <row r="2025" spans="1:33" ht="26.4">
      <c r="A2025" s="284"/>
      <c r="B2025" s="284"/>
      <c r="C2025" s="284"/>
      <c r="D2025" s="284"/>
      <c r="E2025" s="284"/>
      <c r="F2025" s="284"/>
      <c r="G2025" s="284"/>
      <c r="H2025" s="284"/>
      <c r="I2025" s="284"/>
      <c r="J2025" s="375"/>
      <c r="K2025" s="375"/>
      <c r="L2025" s="375"/>
      <c r="M2025" s="368"/>
      <c r="N2025" s="368"/>
      <c r="O2025" s="370"/>
      <c r="T2025" s="340"/>
      <c r="V2025" s="378"/>
      <c r="W2025" s="64" ph="1"/>
      <c r="X2025" s="241"/>
      <c r="Y2025" s="284"/>
      <c r="Z2025" s="207"/>
      <c r="AA2025" s="284"/>
      <c r="AB2025" s="284"/>
      <c r="AC2025" s="284"/>
      <c r="AD2025" s="284"/>
      <c r="AE2025" s="284"/>
      <c r="AF2025" s="284"/>
      <c r="AG2025" s="284"/>
    </row>
    <row r="2026" spans="1:33" ht="26.4">
      <c r="A2026" s="284"/>
      <c r="B2026" s="284"/>
      <c r="C2026" s="284"/>
      <c r="D2026" s="284"/>
      <c r="E2026" s="284"/>
      <c r="F2026" s="284"/>
      <c r="G2026" s="284"/>
      <c r="H2026" s="284"/>
      <c r="I2026" s="284"/>
      <c r="J2026" s="375"/>
      <c r="K2026" s="375"/>
      <c r="L2026" s="375"/>
      <c r="M2026" s="368"/>
      <c r="N2026" s="368"/>
      <c r="O2026" s="370"/>
      <c r="T2026" s="340"/>
      <c r="V2026" s="378"/>
      <c r="W2026" s="64" ph="1"/>
      <c r="X2026" s="241"/>
      <c r="Y2026" s="284"/>
      <c r="Z2026" s="207"/>
      <c r="AA2026" s="284"/>
      <c r="AB2026" s="284"/>
      <c r="AC2026" s="284"/>
      <c r="AD2026" s="284"/>
      <c r="AE2026" s="284"/>
      <c r="AF2026" s="284"/>
      <c r="AG2026" s="284"/>
    </row>
    <row r="2027" spans="1:33" ht="26.4">
      <c r="A2027" s="284"/>
      <c r="B2027" s="284"/>
      <c r="C2027" s="284"/>
      <c r="D2027" s="284"/>
      <c r="E2027" s="284"/>
      <c r="F2027" s="284"/>
      <c r="G2027" s="284"/>
      <c r="H2027" s="284"/>
      <c r="I2027" s="284"/>
      <c r="J2027" s="375"/>
      <c r="K2027" s="375"/>
      <c r="L2027" s="375"/>
      <c r="M2027" s="368"/>
      <c r="N2027" s="368"/>
      <c r="O2027" s="370"/>
      <c r="T2027" s="340"/>
      <c r="V2027" s="378"/>
      <c r="W2027" s="64" ph="1"/>
      <c r="X2027" s="241"/>
      <c r="Y2027" s="284"/>
      <c r="Z2027" s="207"/>
      <c r="AA2027" s="284"/>
      <c r="AB2027" s="284"/>
      <c r="AC2027" s="284"/>
      <c r="AD2027" s="284"/>
      <c r="AE2027" s="284"/>
      <c r="AF2027" s="284"/>
      <c r="AG2027" s="284"/>
    </row>
    <row r="2028" spans="1:33" ht="26.4">
      <c r="A2028" s="284"/>
      <c r="B2028" s="284"/>
      <c r="C2028" s="284"/>
      <c r="D2028" s="284"/>
      <c r="E2028" s="284"/>
      <c r="F2028" s="284"/>
      <c r="G2028" s="284"/>
      <c r="H2028" s="284"/>
      <c r="I2028" s="284"/>
      <c r="J2028" s="375"/>
      <c r="K2028" s="375"/>
      <c r="L2028" s="375"/>
      <c r="M2028" s="368"/>
      <c r="N2028" s="368"/>
      <c r="O2028" s="370"/>
      <c r="T2028" s="340"/>
      <c r="V2028" s="378"/>
      <c r="W2028" s="64" ph="1"/>
      <c r="X2028" s="241"/>
      <c r="Y2028" s="284"/>
      <c r="Z2028" s="207"/>
      <c r="AA2028" s="284"/>
      <c r="AB2028" s="284"/>
      <c r="AC2028" s="284"/>
      <c r="AD2028" s="284"/>
      <c r="AE2028" s="284"/>
      <c r="AF2028" s="284"/>
      <c r="AG2028" s="284"/>
    </row>
    <row r="2029" spans="1:33" ht="26.4">
      <c r="A2029" s="284"/>
      <c r="B2029" s="284"/>
      <c r="C2029" s="284"/>
      <c r="D2029" s="284"/>
      <c r="E2029" s="284"/>
      <c r="F2029" s="284"/>
      <c r="G2029" s="284"/>
      <c r="H2029" s="284"/>
      <c r="I2029" s="284"/>
      <c r="J2029" s="375"/>
      <c r="K2029" s="375"/>
      <c r="L2029" s="375"/>
      <c r="M2029" s="368"/>
      <c r="N2029" s="368"/>
      <c r="O2029" s="370"/>
      <c r="T2029" s="340"/>
      <c r="V2029" s="378"/>
      <c r="W2029" s="64" ph="1"/>
      <c r="X2029" s="241"/>
      <c r="Y2029" s="284"/>
      <c r="Z2029" s="207"/>
      <c r="AA2029" s="284"/>
      <c r="AB2029" s="284"/>
      <c r="AC2029" s="284"/>
      <c r="AD2029" s="284"/>
      <c r="AE2029" s="284"/>
      <c r="AF2029" s="284"/>
      <c r="AG2029" s="284"/>
    </row>
    <row r="2030" spans="1:33" ht="26.4">
      <c r="A2030" s="284"/>
      <c r="B2030" s="284"/>
      <c r="C2030" s="284"/>
      <c r="D2030" s="284"/>
      <c r="E2030" s="284"/>
      <c r="F2030" s="284"/>
      <c r="G2030" s="284"/>
      <c r="H2030" s="284"/>
      <c r="I2030" s="284"/>
      <c r="J2030" s="375"/>
      <c r="K2030" s="375"/>
      <c r="L2030" s="375"/>
      <c r="M2030" s="368"/>
      <c r="N2030" s="368"/>
      <c r="O2030" s="370"/>
      <c r="T2030" s="340"/>
      <c r="V2030" s="378"/>
      <c r="W2030" s="64" ph="1"/>
      <c r="X2030" s="241"/>
      <c r="Y2030" s="284"/>
      <c r="Z2030" s="207"/>
      <c r="AA2030" s="284"/>
      <c r="AB2030" s="284"/>
      <c r="AC2030" s="284"/>
      <c r="AD2030" s="284"/>
      <c r="AE2030" s="284"/>
      <c r="AF2030" s="284"/>
      <c r="AG2030" s="284"/>
    </row>
    <row r="2031" spans="1:33" ht="26.4">
      <c r="A2031" s="284"/>
      <c r="B2031" s="284"/>
      <c r="C2031" s="284"/>
      <c r="D2031" s="284"/>
      <c r="E2031" s="284"/>
      <c r="F2031" s="284"/>
      <c r="G2031" s="284"/>
      <c r="H2031" s="284"/>
      <c r="I2031" s="284"/>
      <c r="J2031" s="375"/>
      <c r="K2031" s="375"/>
      <c r="L2031" s="375"/>
      <c r="M2031" s="368"/>
      <c r="N2031" s="368"/>
      <c r="O2031" s="370"/>
      <c r="T2031" s="340"/>
      <c r="V2031" s="378"/>
      <c r="W2031" s="64" ph="1"/>
      <c r="X2031" s="241"/>
      <c r="Y2031" s="284"/>
      <c r="Z2031" s="207"/>
      <c r="AA2031" s="284"/>
      <c r="AB2031" s="284"/>
      <c r="AC2031" s="284"/>
      <c r="AD2031" s="284"/>
      <c r="AE2031" s="284"/>
      <c r="AF2031" s="284"/>
      <c r="AG2031" s="284"/>
    </row>
    <row r="2032" spans="1:33" ht="26.4">
      <c r="A2032" s="284"/>
      <c r="B2032" s="284"/>
      <c r="C2032" s="284"/>
      <c r="D2032" s="284"/>
      <c r="E2032" s="284"/>
      <c r="F2032" s="284"/>
      <c r="G2032" s="284"/>
      <c r="H2032" s="284"/>
      <c r="I2032" s="284"/>
      <c r="J2032" s="375"/>
      <c r="K2032" s="375"/>
      <c r="L2032" s="375"/>
      <c r="M2032" s="368"/>
      <c r="N2032" s="368"/>
      <c r="O2032" s="370"/>
      <c r="T2032" s="340"/>
      <c r="V2032" s="378"/>
      <c r="W2032" s="64" ph="1"/>
      <c r="X2032" s="241"/>
      <c r="Y2032" s="284"/>
      <c r="Z2032" s="207"/>
      <c r="AA2032" s="284"/>
      <c r="AB2032" s="284"/>
      <c r="AC2032" s="284"/>
      <c r="AD2032" s="284"/>
      <c r="AE2032" s="284"/>
      <c r="AF2032" s="284"/>
      <c r="AG2032" s="284"/>
    </row>
    <row r="2033" spans="1:33" ht="26.4">
      <c r="A2033" s="284"/>
      <c r="B2033" s="284"/>
      <c r="C2033" s="284"/>
      <c r="D2033" s="284"/>
      <c r="E2033" s="284"/>
      <c r="F2033" s="284"/>
      <c r="G2033" s="284"/>
      <c r="H2033" s="284"/>
      <c r="I2033" s="284"/>
      <c r="J2033" s="375"/>
      <c r="K2033" s="375"/>
      <c r="L2033" s="375"/>
      <c r="M2033" s="368"/>
      <c r="N2033" s="368"/>
      <c r="O2033" s="370"/>
      <c r="T2033" s="340"/>
      <c r="V2033" s="378"/>
      <c r="W2033" s="64" ph="1"/>
      <c r="X2033" s="241"/>
      <c r="Y2033" s="284"/>
      <c r="Z2033" s="207"/>
      <c r="AA2033" s="284"/>
      <c r="AB2033" s="284"/>
      <c r="AC2033" s="284"/>
      <c r="AD2033" s="284"/>
      <c r="AE2033" s="284"/>
      <c r="AF2033" s="284"/>
      <c r="AG2033" s="284"/>
    </row>
    <row r="2034" spans="1:33" ht="26.4">
      <c r="A2034" s="284"/>
      <c r="B2034" s="284"/>
      <c r="C2034" s="284"/>
      <c r="D2034" s="284"/>
      <c r="E2034" s="284"/>
      <c r="F2034" s="284"/>
      <c r="G2034" s="284"/>
      <c r="H2034" s="284"/>
      <c r="I2034" s="284"/>
      <c r="J2034" s="375"/>
      <c r="K2034" s="375"/>
      <c r="L2034" s="375"/>
      <c r="M2034" s="368"/>
      <c r="N2034" s="368"/>
      <c r="O2034" s="370"/>
      <c r="T2034" s="340"/>
      <c r="V2034" s="378"/>
      <c r="W2034" s="64" ph="1"/>
      <c r="X2034" s="241"/>
      <c r="Y2034" s="284"/>
      <c r="Z2034" s="207"/>
      <c r="AA2034" s="284"/>
      <c r="AB2034" s="284"/>
      <c r="AC2034" s="284"/>
      <c r="AD2034" s="284"/>
      <c r="AE2034" s="284"/>
      <c r="AF2034" s="284"/>
      <c r="AG2034" s="284"/>
    </row>
    <row r="2035" spans="1:33" ht="26.4">
      <c r="A2035" s="284"/>
      <c r="B2035" s="284"/>
      <c r="C2035" s="284"/>
      <c r="D2035" s="284"/>
      <c r="E2035" s="284"/>
      <c r="F2035" s="284"/>
      <c r="G2035" s="284"/>
      <c r="H2035" s="284"/>
      <c r="I2035" s="284"/>
      <c r="J2035" s="375"/>
      <c r="K2035" s="375"/>
      <c r="L2035" s="375"/>
      <c r="M2035" s="368"/>
      <c r="N2035" s="368"/>
      <c r="O2035" s="370"/>
      <c r="T2035" s="340"/>
      <c r="V2035" s="378"/>
      <c r="W2035" s="64" ph="1"/>
      <c r="X2035" s="241"/>
      <c r="Y2035" s="284"/>
      <c r="Z2035" s="207"/>
      <c r="AA2035" s="284"/>
      <c r="AB2035" s="284"/>
      <c r="AC2035" s="284"/>
      <c r="AD2035" s="284"/>
      <c r="AE2035" s="284"/>
      <c r="AF2035" s="284"/>
      <c r="AG2035" s="284"/>
    </row>
    <row r="2036" spans="1:33" ht="26.4">
      <c r="A2036" s="284"/>
      <c r="B2036" s="284"/>
      <c r="C2036" s="284"/>
      <c r="D2036" s="284"/>
      <c r="E2036" s="284"/>
      <c r="F2036" s="284"/>
      <c r="G2036" s="284"/>
      <c r="H2036" s="284"/>
      <c r="I2036" s="284"/>
      <c r="J2036" s="375"/>
      <c r="K2036" s="375"/>
      <c r="L2036" s="375"/>
      <c r="M2036" s="368"/>
      <c r="N2036" s="368"/>
      <c r="O2036" s="370"/>
      <c r="T2036" s="340"/>
      <c r="V2036" s="378"/>
      <c r="W2036" s="64" ph="1"/>
      <c r="X2036" s="241"/>
      <c r="Y2036" s="284"/>
      <c r="Z2036" s="207"/>
      <c r="AA2036" s="284"/>
      <c r="AB2036" s="284"/>
      <c r="AC2036" s="284"/>
      <c r="AD2036" s="284"/>
      <c r="AE2036" s="284"/>
      <c r="AF2036" s="284"/>
      <c r="AG2036" s="284"/>
    </row>
    <row r="2037" spans="1:33" ht="26.4">
      <c r="A2037" s="284"/>
      <c r="B2037" s="284"/>
      <c r="C2037" s="284"/>
      <c r="D2037" s="284"/>
      <c r="E2037" s="284"/>
      <c r="F2037" s="284"/>
      <c r="G2037" s="284"/>
      <c r="H2037" s="284"/>
      <c r="I2037" s="284"/>
      <c r="J2037" s="375"/>
      <c r="K2037" s="375"/>
      <c r="L2037" s="375"/>
      <c r="M2037" s="368"/>
      <c r="N2037" s="368"/>
      <c r="O2037" s="370"/>
      <c r="T2037" s="340"/>
      <c r="V2037" s="378"/>
      <c r="W2037" s="64" ph="1"/>
      <c r="X2037" s="241"/>
      <c r="Y2037" s="284"/>
      <c r="Z2037" s="207"/>
      <c r="AA2037" s="284"/>
      <c r="AB2037" s="284"/>
      <c r="AC2037" s="284"/>
      <c r="AD2037" s="284"/>
      <c r="AE2037" s="284"/>
      <c r="AF2037" s="284"/>
      <c r="AG2037" s="284"/>
    </row>
    <row r="2038" spans="1:33" ht="26.4">
      <c r="A2038" s="284"/>
      <c r="B2038" s="284"/>
      <c r="C2038" s="284"/>
      <c r="D2038" s="284"/>
      <c r="E2038" s="284"/>
      <c r="F2038" s="284"/>
      <c r="G2038" s="284"/>
      <c r="H2038" s="284"/>
      <c r="I2038" s="284"/>
      <c r="J2038" s="375"/>
      <c r="K2038" s="375"/>
      <c r="L2038" s="375"/>
      <c r="M2038" s="368"/>
      <c r="N2038" s="368"/>
      <c r="O2038" s="370"/>
      <c r="T2038" s="340"/>
      <c r="V2038" s="378"/>
      <c r="W2038" s="64" ph="1"/>
      <c r="X2038" s="241"/>
      <c r="Y2038" s="284"/>
      <c r="Z2038" s="207"/>
      <c r="AA2038" s="284"/>
      <c r="AB2038" s="284"/>
      <c r="AC2038" s="284"/>
      <c r="AD2038" s="284"/>
      <c r="AE2038" s="284"/>
      <c r="AF2038" s="284"/>
      <c r="AG2038" s="284"/>
    </row>
    <row r="2039" spans="1:33" ht="26.4">
      <c r="A2039" s="284"/>
      <c r="B2039" s="284"/>
      <c r="C2039" s="284"/>
      <c r="D2039" s="284"/>
      <c r="E2039" s="284"/>
      <c r="F2039" s="284"/>
      <c r="G2039" s="284"/>
      <c r="H2039" s="284"/>
      <c r="I2039" s="284"/>
      <c r="J2039" s="375"/>
      <c r="K2039" s="375"/>
      <c r="L2039" s="375"/>
      <c r="M2039" s="368"/>
      <c r="N2039" s="368"/>
      <c r="O2039" s="370"/>
      <c r="T2039" s="340"/>
      <c r="V2039" s="378"/>
      <c r="W2039" s="64" ph="1"/>
      <c r="X2039" s="241"/>
      <c r="Y2039" s="284"/>
      <c r="Z2039" s="207"/>
      <c r="AA2039" s="284"/>
      <c r="AB2039" s="284"/>
      <c r="AC2039" s="284"/>
      <c r="AD2039" s="284"/>
      <c r="AE2039" s="284"/>
      <c r="AF2039" s="284"/>
      <c r="AG2039" s="284"/>
    </row>
    <row r="2040" spans="1:33" ht="26.4">
      <c r="A2040" s="284"/>
      <c r="B2040" s="284"/>
      <c r="C2040" s="284"/>
      <c r="D2040" s="284"/>
      <c r="E2040" s="284"/>
      <c r="F2040" s="284"/>
      <c r="G2040" s="284"/>
      <c r="H2040" s="284"/>
      <c r="I2040" s="284"/>
      <c r="J2040" s="375"/>
      <c r="K2040" s="375"/>
      <c r="L2040" s="375"/>
      <c r="M2040" s="368"/>
      <c r="N2040" s="368"/>
      <c r="O2040" s="370"/>
      <c r="T2040" s="340"/>
      <c r="V2040" s="378"/>
      <c r="W2040" s="64" ph="1"/>
      <c r="X2040" s="241"/>
      <c r="Y2040" s="284"/>
      <c r="Z2040" s="207"/>
      <c r="AA2040" s="284"/>
      <c r="AB2040" s="284"/>
      <c r="AC2040" s="284"/>
      <c r="AD2040" s="284"/>
      <c r="AE2040" s="284"/>
      <c r="AF2040" s="284"/>
      <c r="AG2040" s="284"/>
    </row>
    <row r="2041" spans="1:33" ht="26.4">
      <c r="A2041" s="284"/>
      <c r="B2041" s="284"/>
      <c r="C2041" s="284"/>
      <c r="D2041" s="284"/>
      <c r="E2041" s="284"/>
      <c r="F2041" s="284"/>
      <c r="G2041" s="284"/>
      <c r="H2041" s="284"/>
      <c r="I2041" s="284"/>
      <c r="J2041" s="375"/>
      <c r="K2041" s="375"/>
      <c r="L2041" s="375"/>
      <c r="M2041" s="368"/>
      <c r="N2041" s="368"/>
      <c r="O2041" s="370"/>
      <c r="T2041" s="340"/>
      <c r="V2041" s="378"/>
      <c r="W2041" s="64" ph="1"/>
      <c r="X2041" s="241"/>
      <c r="Y2041" s="284"/>
      <c r="Z2041" s="207"/>
      <c r="AA2041" s="284"/>
      <c r="AB2041" s="284"/>
      <c r="AC2041" s="284"/>
      <c r="AD2041" s="284"/>
      <c r="AE2041" s="284"/>
      <c r="AF2041" s="284"/>
      <c r="AG2041" s="284"/>
    </row>
    <row r="2042" spans="1:33" ht="26.4">
      <c r="A2042" s="284"/>
      <c r="B2042" s="284"/>
      <c r="C2042" s="284"/>
      <c r="D2042" s="284"/>
      <c r="E2042" s="284"/>
      <c r="F2042" s="284"/>
      <c r="G2042" s="284"/>
      <c r="H2042" s="284"/>
      <c r="I2042" s="284"/>
      <c r="J2042" s="375"/>
      <c r="K2042" s="375"/>
      <c r="L2042" s="375"/>
      <c r="M2042" s="368"/>
      <c r="N2042" s="368"/>
      <c r="O2042" s="370"/>
      <c r="T2042" s="340"/>
      <c r="V2042" s="378"/>
      <c r="W2042" s="64" ph="1"/>
      <c r="X2042" s="241"/>
      <c r="Y2042" s="284"/>
      <c r="Z2042" s="207"/>
      <c r="AA2042" s="284"/>
      <c r="AB2042" s="284"/>
      <c r="AC2042" s="284"/>
      <c r="AD2042" s="284"/>
      <c r="AE2042" s="284"/>
      <c r="AF2042" s="284"/>
      <c r="AG2042" s="284"/>
    </row>
    <row r="2043" spans="1:33" ht="26.4">
      <c r="A2043" s="284"/>
      <c r="B2043" s="284"/>
      <c r="C2043" s="284"/>
      <c r="D2043" s="284"/>
      <c r="E2043" s="284"/>
      <c r="F2043" s="284"/>
      <c r="G2043" s="284"/>
      <c r="H2043" s="284"/>
      <c r="I2043" s="284"/>
      <c r="J2043" s="375"/>
      <c r="K2043" s="375"/>
      <c r="L2043" s="375"/>
      <c r="M2043" s="368"/>
      <c r="N2043" s="368"/>
      <c r="O2043" s="370"/>
      <c r="T2043" s="340"/>
      <c r="V2043" s="378"/>
      <c r="W2043" s="64" ph="1"/>
      <c r="X2043" s="241"/>
      <c r="Y2043" s="284"/>
      <c r="Z2043" s="207"/>
      <c r="AA2043" s="284"/>
      <c r="AB2043" s="284"/>
      <c r="AC2043" s="284"/>
      <c r="AD2043" s="284"/>
      <c r="AE2043" s="284"/>
      <c r="AF2043" s="284"/>
      <c r="AG2043" s="284"/>
    </row>
    <row r="2044" spans="1:33" ht="26.4">
      <c r="A2044" s="284"/>
      <c r="B2044" s="284"/>
      <c r="C2044" s="284"/>
      <c r="D2044" s="284"/>
      <c r="E2044" s="284"/>
      <c r="F2044" s="284"/>
      <c r="G2044" s="284"/>
      <c r="H2044" s="284"/>
      <c r="I2044" s="284"/>
      <c r="J2044" s="375"/>
      <c r="K2044" s="375"/>
      <c r="L2044" s="375"/>
      <c r="M2044" s="368"/>
      <c r="N2044" s="368"/>
      <c r="O2044" s="370"/>
      <c r="T2044" s="340"/>
      <c r="V2044" s="378"/>
      <c r="W2044" s="64" ph="1"/>
      <c r="X2044" s="241"/>
      <c r="Y2044" s="284"/>
      <c r="Z2044" s="207"/>
      <c r="AA2044" s="284"/>
      <c r="AB2044" s="284"/>
      <c r="AC2044" s="284"/>
      <c r="AD2044" s="284"/>
      <c r="AE2044" s="284"/>
      <c r="AF2044" s="284"/>
      <c r="AG2044" s="284"/>
    </row>
    <row r="2045" spans="1:33" ht="26.4">
      <c r="A2045" s="284"/>
      <c r="B2045" s="284"/>
      <c r="C2045" s="284"/>
      <c r="D2045" s="284"/>
      <c r="E2045" s="284"/>
      <c r="F2045" s="284"/>
      <c r="G2045" s="284"/>
      <c r="H2045" s="284"/>
      <c r="I2045" s="284"/>
      <c r="J2045" s="375"/>
      <c r="K2045" s="375"/>
      <c r="L2045" s="375"/>
      <c r="M2045" s="368"/>
      <c r="N2045" s="368"/>
      <c r="O2045" s="370"/>
      <c r="T2045" s="340"/>
      <c r="V2045" s="378"/>
      <c r="W2045" s="64" ph="1"/>
      <c r="X2045" s="241"/>
      <c r="Y2045" s="284"/>
      <c r="Z2045" s="207"/>
      <c r="AA2045" s="284"/>
      <c r="AB2045" s="284"/>
      <c r="AC2045" s="284"/>
      <c r="AD2045" s="284"/>
      <c r="AE2045" s="284"/>
      <c r="AF2045" s="284"/>
      <c r="AG2045" s="284"/>
    </row>
    <row r="2046" spans="1:33" ht="26.4">
      <c r="A2046" s="284"/>
      <c r="B2046" s="284"/>
      <c r="C2046" s="284"/>
      <c r="D2046" s="284"/>
      <c r="E2046" s="284"/>
      <c r="F2046" s="284"/>
      <c r="G2046" s="284"/>
      <c r="H2046" s="284"/>
      <c r="I2046" s="284"/>
      <c r="J2046" s="375"/>
      <c r="K2046" s="375"/>
      <c r="L2046" s="375"/>
      <c r="M2046" s="368"/>
      <c r="N2046" s="368"/>
      <c r="O2046" s="370"/>
      <c r="T2046" s="340"/>
      <c r="V2046" s="378"/>
      <c r="W2046" s="64" ph="1"/>
      <c r="X2046" s="241"/>
      <c r="Y2046" s="284"/>
      <c r="Z2046" s="207"/>
      <c r="AA2046" s="284"/>
      <c r="AB2046" s="284"/>
      <c r="AC2046" s="284"/>
      <c r="AD2046" s="284"/>
      <c r="AE2046" s="284"/>
      <c r="AF2046" s="284"/>
      <c r="AG2046" s="284"/>
    </row>
    <row r="2047" spans="1:33" ht="26.4">
      <c r="A2047" s="284"/>
      <c r="B2047" s="284"/>
      <c r="C2047" s="284"/>
      <c r="D2047" s="284"/>
      <c r="E2047" s="284"/>
      <c r="F2047" s="284"/>
      <c r="G2047" s="284"/>
      <c r="H2047" s="284"/>
      <c r="I2047" s="284"/>
      <c r="J2047" s="375"/>
      <c r="K2047" s="375"/>
      <c r="L2047" s="375"/>
      <c r="M2047" s="368"/>
      <c r="N2047" s="368"/>
      <c r="O2047" s="370"/>
      <c r="T2047" s="340"/>
      <c r="V2047" s="378"/>
      <c r="W2047" s="64" ph="1"/>
      <c r="X2047" s="241"/>
      <c r="Y2047" s="284"/>
      <c r="Z2047" s="207"/>
      <c r="AA2047" s="284"/>
      <c r="AB2047" s="284"/>
      <c r="AC2047" s="284"/>
      <c r="AD2047" s="284"/>
      <c r="AE2047" s="284"/>
      <c r="AF2047" s="284"/>
      <c r="AG2047" s="284"/>
    </row>
    <row r="2048" spans="1:33" ht="26.4">
      <c r="A2048" s="284"/>
      <c r="B2048" s="284"/>
      <c r="C2048" s="284"/>
      <c r="D2048" s="284"/>
      <c r="E2048" s="284"/>
      <c r="F2048" s="284"/>
      <c r="G2048" s="284"/>
      <c r="H2048" s="284"/>
      <c r="I2048" s="284"/>
      <c r="J2048" s="375"/>
      <c r="K2048" s="375"/>
      <c r="L2048" s="375"/>
      <c r="M2048" s="368"/>
      <c r="N2048" s="368"/>
      <c r="O2048" s="370"/>
      <c r="T2048" s="340"/>
      <c r="V2048" s="378"/>
      <c r="W2048" s="64" ph="1"/>
      <c r="X2048" s="241"/>
      <c r="Y2048" s="284"/>
      <c r="Z2048" s="207"/>
      <c r="AA2048" s="284"/>
      <c r="AB2048" s="284"/>
      <c r="AC2048" s="284"/>
      <c r="AD2048" s="284"/>
      <c r="AE2048" s="284"/>
      <c r="AF2048" s="284"/>
      <c r="AG2048" s="284"/>
    </row>
    <row r="2049" spans="1:33" ht="26.4">
      <c r="A2049" s="284"/>
      <c r="B2049" s="284"/>
      <c r="C2049" s="284"/>
      <c r="D2049" s="284"/>
      <c r="E2049" s="284"/>
      <c r="F2049" s="284"/>
      <c r="G2049" s="284"/>
      <c r="H2049" s="284"/>
      <c r="I2049" s="284"/>
      <c r="J2049" s="375"/>
      <c r="K2049" s="375"/>
      <c r="L2049" s="375"/>
      <c r="M2049" s="368"/>
      <c r="N2049" s="368"/>
      <c r="O2049" s="370"/>
      <c r="T2049" s="340"/>
      <c r="V2049" s="378"/>
      <c r="W2049" s="64" ph="1"/>
      <c r="X2049" s="241"/>
      <c r="Y2049" s="284"/>
      <c r="Z2049" s="207"/>
      <c r="AA2049" s="284"/>
      <c r="AB2049" s="284"/>
      <c r="AC2049" s="284"/>
      <c r="AD2049" s="284"/>
      <c r="AE2049" s="284"/>
      <c r="AF2049" s="284"/>
      <c r="AG2049" s="284"/>
    </row>
    <row r="2050" spans="1:33" ht="26.4">
      <c r="A2050" s="284"/>
      <c r="B2050" s="284"/>
      <c r="C2050" s="284"/>
      <c r="D2050" s="284"/>
      <c r="E2050" s="284"/>
      <c r="F2050" s="284"/>
      <c r="G2050" s="284"/>
      <c r="H2050" s="284"/>
      <c r="I2050" s="284"/>
      <c r="J2050" s="375"/>
      <c r="K2050" s="375"/>
      <c r="L2050" s="375"/>
      <c r="M2050" s="368"/>
      <c r="N2050" s="368"/>
      <c r="O2050" s="370"/>
      <c r="T2050" s="340"/>
      <c r="V2050" s="378"/>
      <c r="W2050" s="64" ph="1"/>
      <c r="X2050" s="241"/>
      <c r="Y2050" s="284"/>
      <c r="Z2050" s="207"/>
      <c r="AA2050" s="284"/>
      <c r="AB2050" s="284"/>
      <c r="AC2050" s="284"/>
      <c r="AD2050" s="284"/>
      <c r="AE2050" s="284"/>
      <c r="AF2050" s="284"/>
      <c r="AG2050" s="284"/>
    </row>
    <row r="2051" spans="1:33" ht="26.4">
      <c r="A2051" s="284"/>
      <c r="B2051" s="284"/>
      <c r="C2051" s="284"/>
      <c r="D2051" s="284"/>
      <c r="E2051" s="284"/>
      <c r="F2051" s="284"/>
      <c r="G2051" s="284"/>
      <c r="H2051" s="284"/>
      <c r="I2051" s="284"/>
      <c r="J2051" s="375"/>
      <c r="K2051" s="375"/>
      <c r="L2051" s="375"/>
      <c r="M2051" s="368"/>
      <c r="N2051" s="368"/>
      <c r="O2051" s="370"/>
      <c r="T2051" s="340"/>
      <c r="V2051" s="378"/>
      <c r="W2051" s="64" ph="1"/>
      <c r="X2051" s="241"/>
      <c r="Y2051" s="284"/>
      <c r="Z2051" s="207"/>
      <c r="AA2051" s="284"/>
      <c r="AB2051" s="284"/>
      <c r="AC2051" s="284"/>
      <c r="AD2051" s="284"/>
      <c r="AE2051" s="284"/>
      <c r="AF2051" s="284"/>
      <c r="AG2051" s="284"/>
    </row>
    <row r="2052" spans="1:33" ht="26.4">
      <c r="A2052" s="284"/>
      <c r="B2052" s="284"/>
      <c r="C2052" s="284"/>
      <c r="D2052" s="284"/>
      <c r="E2052" s="284"/>
      <c r="F2052" s="284"/>
      <c r="G2052" s="284"/>
      <c r="H2052" s="284"/>
      <c r="I2052" s="284"/>
      <c r="J2052" s="375"/>
      <c r="K2052" s="375"/>
      <c r="L2052" s="375"/>
      <c r="M2052" s="368"/>
      <c r="N2052" s="368"/>
      <c r="O2052" s="370"/>
      <c r="T2052" s="340"/>
      <c r="V2052" s="378"/>
      <c r="W2052" s="64" ph="1"/>
      <c r="X2052" s="241"/>
      <c r="Y2052" s="284"/>
      <c r="Z2052" s="207"/>
      <c r="AA2052" s="284"/>
      <c r="AB2052" s="284"/>
      <c r="AC2052" s="284"/>
      <c r="AD2052" s="284"/>
      <c r="AE2052" s="284"/>
      <c r="AF2052" s="284"/>
      <c r="AG2052" s="284"/>
    </row>
    <row r="2053" spans="1:33" ht="26.4">
      <c r="A2053" s="284"/>
      <c r="B2053" s="284"/>
      <c r="C2053" s="284"/>
      <c r="D2053" s="284"/>
      <c r="E2053" s="284"/>
      <c r="F2053" s="284"/>
      <c r="G2053" s="284"/>
      <c r="H2053" s="284"/>
      <c r="I2053" s="284"/>
      <c r="J2053" s="375"/>
      <c r="K2053" s="375"/>
      <c r="L2053" s="375"/>
      <c r="M2053" s="368"/>
      <c r="N2053" s="368"/>
      <c r="O2053" s="370"/>
      <c r="T2053" s="340"/>
      <c r="V2053" s="378"/>
      <c r="W2053" s="64" ph="1"/>
      <c r="X2053" s="241"/>
      <c r="Y2053" s="284"/>
      <c r="Z2053" s="207"/>
      <c r="AA2053" s="284"/>
      <c r="AB2053" s="284"/>
      <c r="AC2053" s="284"/>
      <c r="AD2053" s="284"/>
      <c r="AE2053" s="284"/>
      <c r="AF2053" s="284"/>
      <c r="AG2053" s="284"/>
    </row>
    <row r="2054" spans="1:33" ht="26.4">
      <c r="A2054" s="284"/>
      <c r="B2054" s="284"/>
      <c r="C2054" s="284"/>
      <c r="D2054" s="284"/>
      <c r="E2054" s="284"/>
      <c r="F2054" s="284"/>
      <c r="G2054" s="284"/>
      <c r="H2054" s="284"/>
      <c r="I2054" s="284"/>
      <c r="J2054" s="375"/>
      <c r="K2054" s="375"/>
      <c r="L2054" s="375"/>
      <c r="M2054" s="368"/>
      <c r="N2054" s="368"/>
      <c r="O2054" s="370"/>
      <c r="T2054" s="340"/>
      <c r="V2054" s="378"/>
      <c r="W2054" s="64" ph="1"/>
      <c r="X2054" s="241"/>
      <c r="Y2054" s="284"/>
      <c r="Z2054" s="207"/>
      <c r="AA2054" s="284"/>
      <c r="AB2054" s="284"/>
      <c r="AC2054" s="284"/>
      <c r="AD2054" s="284"/>
      <c r="AE2054" s="284"/>
      <c r="AF2054" s="284"/>
      <c r="AG2054" s="284"/>
    </row>
    <row r="2055" spans="1:33" ht="26.4">
      <c r="A2055" s="284"/>
      <c r="B2055" s="284"/>
      <c r="C2055" s="284"/>
      <c r="D2055" s="284"/>
      <c r="E2055" s="284"/>
      <c r="F2055" s="284"/>
      <c r="G2055" s="284"/>
      <c r="H2055" s="284"/>
      <c r="I2055" s="284"/>
      <c r="J2055" s="375"/>
      <c r="K2055" s="375"/>
      <c r="L2055" s="375"/>
      <c r="M2055" s="368"/>
      <c r="N2055" s="368"/>
      <c r="O2055" s="370"/>
      <c r="T2055" s="340"/>
      <c r="V2055" s="378"/>
      <c r="W2055" s="64" ph="1"/>
      <c r="X2055" s="241"/>
      <c r="Y2055" s="284"/>
      <c r="Z2055" s="207"/>
      <c r="AA2055" s="284"/>
      <c r="AB2055" s="284"/>
      <c r="AC2055" s="284"/>
      <c r="AD2055" s="284"/>
      <c r="AE2055" s="284"/>
      <c r="AF2055" s="284"/>
      <c r="AG2055" s="284"/>
    </row>
    <row r="2056" spans="1:33" ht="26.4">
      <c r="A2056" s="284"/>
      <c r="B2056" s="284"/>
      <c r="C2056" s="284"/>
      <c r="D2056" s="284"/>
      <c r="E2056" s="284"/>
      <c r="F2056" s="284"/>
      <c r="G2056" s="284"/>
      <c r="H2056" s="284"/>
      <c r="I2056" s="284"/>
      <c r="J2056" s="375"/>
      <c r="K2056" s="375"/>
      <c r="L2056" s="375"/>
      <c r="M2056" s="368"/>
      <c r="N2056" s="368"/>
      <c r="O2056" s="370"/>
      <c r="T2056" s="340"/>
      <c r="V2056" s="378"/>
      <c r="W2056" s="64" ph="1"/>
      <c r="X2056" s="241"/>
      <c r="Y2056" s="284"/>
      <c r="Z2056" s="207"/>
      <c r="AA2056" s="284"/>
      <c r="AB2056" s="284"/>
      <c r="AC2056" s="284"/>
      <c r="AD2056" s="284"/>
      <c r="AE2056" s="284"/>
      <c r="AF2056" s="284"/>
      <c r="AG2056" s="284"/>
    </row>
    <row r="2057" spans="1:33" ht="26.4">
      <c r="A2057" s="284"/>
      <c r="B2057" s="284"/>
      <c r="C2057" s="284"/>
      <c r="D2057" s="284"/>
      <c r="E2057" s="284"/>
      <c r="F2057" s="284"/>
      <c r="G2057" s="284"/>
      <c r="H2057" s="284"/>
      <c r="I2057" s="284"/>
      <c r="J2057" s="375"/>
      <c r="K2057" s="375"/>
      <c r="L2057" s="375"/>
      <c r="M2057" s="368"/>
      <c r="N2057" s="368"/>
      <c r="O2057" s="370"/>
      <c r="T2057" s="340"/>
      <c r="V2057" s="378"/>
      <c r="W2057" s="64" ph="1"/>
      <c r="X2057" s="241"/>
      <c r="Y2057" s="284"/>
      <c r="Z2057" s="207"/>
      <c r="AA2057" s="284"/>
      <c r="AB2057" s="284"/>
      <c r="AC2057" s="284"/>
      <c r="AD2057" s="284"/>
      <c r="AE2057" s="284"/>
      <c r="AF2057" s="284"/>
      <c r="AG2057" s="284"/>
    </row>
    <row r="2058" spans="1:33" ht="26.4">
      <c r="A2058" s="284"/>
      <c r="B2058" s="284"/>
      <c r="C2058" s="284"/>
      <c r="D2058" s="284"/>
      <c r="E2058" s="284"/>
      <c r="F2058" s="284"/>
      <c r="G2058" s="284"/>
      <c r="H2058" s="284"/>
      <c r="I2058" s="284"/>
      <c r="J2058" s="375"/>
      <c r="K2058" s="375"/>
      <c r="L2058" s="375"/>
      <c r="M2058" s="368"/>
      <c r="N2058" s="368"/>
      <c r="O2058" s="370"/>
      <c r="T2058" s="340"/>
      <c r="V2058" s="378"/>
      <c r="W2058" s="64" ph="1"/>
      <c r="X2058" s="241"/>
      <c r="Y2058" s="284"/>
      <c r="Z2058" s="207"/>
      <c r="AA2058" s="284"/>
      <c r="AB2058" s="284"/>
      <c r="AC2058" s="284"/>
      <c r="AD2058" s="284"/>
      <c r="AE2058" s="284"/>
      <c r="AF2058" s="284"/>
      <c r="AG2058" s="284"/>
    </row>
    <row r="2059" spans="1:33" ht="26.4">
      <c r="A2059" s="284"/>
      <c r="B2059" s="284"/>
      <c r="C2059" s="284"/>
      <c r="D2059" s="284"/>
      <c r="E2059" s="284"/>
      <c r="F2059" s="284"/>
      <c r="G2059" s="284"/>
      <c r="H2059" s="284"/>
      <c r="I2059" s="284"/>
      <c r="J2059" s="375"/>
      <c r="K2059" s="375"/>
      <c r="L2059" s="375"/>
      <c r="M2059" s="368"/>
      <c r="N2059" s="368"/>
      <c r="O2059" s="370"/>
      <c r="T2059" s="340"/>
      <c r="V2059" s="378"/>
      <c r="W2059" s="64" ph="1"/>
      <c r="X2059" s="241"/>
      <c r="Y2059" s="284"/>
      <c r="Z2059" s="207"/>
      <c r="AA2059" s="284"/>
      <c r="AB2059" s="284"/>
      <c r="AC2059" s="284"/>
      <c r="AD2059" s="284"/>
      <c r="AE2059" s="284"/>
      <c r="AF2059" s="284"/>
      <c r="AG2059" s="284"/>
    </row>
    <row r="2060" spans="1:33" ht="26.4">
      <c r="A2060" s="284"/>
      <c r="B2060" s="284"/>
      <c r="C2060" s="284"/>
      <c r="D2060" s="284"/>
      <c r="E2060" s="284"/>
      <c r="F2060" s="284"/>
      <c r="G2060" s="284"/>
      <c r="H2060" s="284"/>
      <c r="I2060" s="284"/>
      <c r="J2060" s="375"/>
      <c r="K2060" s="375"/>
      <c r="L2060" s="375"/>
      <c r="M2060" s="368"/>
      <c r="N2060" s="368"/>
      <c r="O2060" s="370"/>
      <c r="T2060" s="340"/>
      <c r="V2060" s="378"/>
      <c r="W2060" s="64" ph="1"/>
      <c r="X2060" s="241"/>
      <c r="Y2060" s="284"/>
      <c r="Z2060" s="207"/>
      <c r="AA2060" s="284"/>
      <c r="AB2060" s="284"/>
      <c r="AC2060" s="284"/>
      <c r="AD2060" s="284"/>
      <c r="AE2060" s="284"/>
      <c r="AF2060" s="284"/>
      <c r="AG2060" s="284"/>
    </row>
    <row r="2061" spans="1:33" ht="26.4">
      <c r="A2061" s="284"/>
      <c r="B2061" s="284"/>
      <c r="C2061" s="284"/>
      <c r="D2061" s="284"/>
      <c r="E2061" s="284"/>
      <c r="F2061" s="284"/>
      <c r="G2061" s="284"/>
      <c r="H2061" s="284"/>
      <c r="I2061" s="284"/>
      <c r="J2061" s="375"/>
      <c r="K2061" s="375"/>
      <c r="L2061" s="375"/>
      <c r="M2061" s="368"/>
      <c r="N2061" s="368"/>
      <c r="O2061" s="370"/>
      <c r="T2061" s="340"/>
      <c r="V2061" s="378"/>
      <c r="W2061" s="64" ph="1"/>
      <c r="X2061" s="241"/>
      <c r="Y2061" s="284"/>
      <c r="Z2061" s="207"/>
      <c r="AA2061" s="284"/>
      <c r="AB2061" s="284"/>
      <c r="AC2061" s="284"/>
      <c r="AD2061" s="284"/>
      <c r="AE2061" s="284"/>
      <c r="AF2061" s="284"/>
      <c r="AG2061" s="284"/>
    </row>
    <row r="2062" spans="1:33" ht="26.4">
      <c r="A2062" s="284"/>
      <c r="B2062" s="284"/>
      <c r="C2062" s="284"/>
      <c r="D2062" s="284"/>
      <c r="E2062" s="284"/>
      <c r="F2062" s="284"/>
      <c r="G2062" s="284"/>
      <c r="H2062" s="284"/>
      <c r="I2062" s="284"/>
      <c r="J2062" s="375"/>
      <c r="K2062" s="375"/>
      <c r="L2062" s="375"/>
      <c r="M2062" s="368"/>
      <c r="N2062" s="368"/>
      <c r="O2062" s="370"/>
      <c r="T2062" s="340"/>
      <c r="V2062" s="378"/>
      <c r="W2062" s="64" ph="1"/>
      <c r="X2062" s="241"/>
      <c r="Y2062" s="284"/>
      <c r="Z2062" s="207"/>
      <c r="AA2062" s="284"/>
      <c r="AB2062" s="284"/>
      <c r="AC2062" s="284"/>
      <c r="AD2062" s="284"/>
      <c r="AE2062" s="284"/>
      <c r="AF2062" s="284"/>
      <c r="AG2062" s="284"/>
    </row>
    <row r="2063" spans="1:33" ht="26.4">
      <c r="A2063" s="284"/>
      <c r="B2063" s="284"/>
      <c r="C2063" s="284"/>
      <c r="D2063" s="284"/>
      <c r="E2063" s="284"/>
      <c r="F2063" s="284"/>
      <c r="G2063" s="284"/>
      <c r="H2063" s="284"/>
      <c r="I2063" s="284"/>
      <c r="J2063" s="375"/>
      <c r="K2063" s="375"/>
      <c r="L2063" s="375"/>
      <c r="M2063" s="368"/>
      <c r="N2063" s="368"/>
      <c r="O2063" s="370"/>
      <c r="T2063" s="340"/>
      <c r="V2063" s="378"/>
      <c r="W2063" s="64" ph="1"/>
      <c r="X2063" s="241"/>
      <c r="Y2063" s="284"/>
      <c r="Z2063" s="207"/>
      <c r="AA2063" s="284"/>
      <c r="AB2063" s="284"/>
      <c r="AC2063" s="284"/>
      <c r="AD2063" s="284"/>
      <c r="AE2063" s="284"/>
      <c r="AF2063" s="284"/>
      <c r="AG2063" s="284"/>
    </row>
    <row r="2064" spans="1:33" ht="26.4">
      <c r="A2064" s="284"/>
      <c r="B2064" s="284"/>
      <c r="C2064" s="284"/>
      <c r="D2064" s="284"/>
      <c r="E2064" s="284"/>
      <c r="F2064" s="284"/>
      <c r="G2064" s="284"/>
      <c r="H2064" s="284"/>
      <c r="I2064" s="284"/>
      <c r="J2064" s="375"/>
      <c r="K2064" s="375"/>
      <c r="L2064" s="375"/>
      <c r="M2064" s="368"/>
      <c r="N2064" s="368"/>
      <c r="O2064" s="370"/>
      <c r="T2064" s="340"/>
      <c r="V2064" s="378"/>
      <c r="W2064" s="64" ph="1"/>
      <c r="X2064" s="241"/>
      <c r="Y2064" s="284"/>
      <c r="Z2064" s="207"/>
      <c r="AA2064" s="284"/>
      <c r="AB2064" s="284"/>
      <c r="AC2064" s="284"/>
      <c r="AD2064" s="284"/>
      <c r="AE2064" s="284"/>
      <c r="AF2064" s="284"/>
      <c r="AG2064" s="284"/>
    </row>
    <row r="2065" spans="1:33" ht="26.4">
      <c r="A2065" s="284"/>
      <c r="B2065" s="284"/>
      <c r="C2065" s="284"/>
      <c r="D2065" s="284"/>
      <c r="E2065" s="284"/>
      <c r="F2065" s="284"/>
      <c r="G2065" s="284"/>
      <c r="H2065" s="284"/>
      <c r="I2065" s="284"/>
      <c r="J2065" s="375"/>
      <c r="K2065" s="375"/>
      <c r="L2065" s="375"/>
      <c r="M2065" s="368"/>
      <c r="N2065" s="368"/>
      <c r="O2065" s="370"/>
      <c r="T2065" s="340"/>
      <c r="V2065" s="378"/>
      <c r="W2065" s="64" ph="1"/>
      <c r="X2065" s="241"/>
      <c r="Y2065" s="284"/>
      <c r="Z2065" s="207"/>
      <c r="AA2065" s="284"/>
      <c r="AB2065" s="284"/>
      <c r="AC2065" s="284"/>
      <c r="AD2065" s="284"/>
      <c r="AE2065" s="284"/>
      <c r="AF2065" s="284"/>
      <c r="AG2065" s="284"/>
    </row>
    <row r="2066" spans="1:33" ht="26.4">
      <c r="A2066" s="284"/>
      <c r="B2066" s="284"/>
      <c r="C2066" s="284"/>
      <c r="D2066" s="284"/>
      <c r="E2066" s="284"/>
      <c r="F2066" s="284"/>
      <c r="G2066" s="284"/>
      <c r="H2066" s="284"/>
      <c r="I2066" s="284"/>
      <c r="J2066" s="375"/>
      <c r="K2066" s="375"/>
      <c r="L2066" s="375"/>
      <c r="M2066" s="368"/>
      <c r="N2066" s="368"/>
      <c r="O2066" s="370"/>
      <c r="T2066" s="340"/>
      <c r="V2066" s="378"/>
      <c r="W2066" s="64" ph="1"/>
      <c r="X2066" s="241"/>
      <c r="Y2066" s="284"/>
      <c r="Z2066" s="207"/>
      <c r="AA2066" s="284"/>
      <c r="AB2066" s="284"/>
      <c r="AC2066" s="284"/>
      <c r="AD2066" s="284"/>
      <c r="AE2066" s="284"/>
      <c r="AF2066" s="284"/>
      <c r="AG2066" s="284"/>
    </row>
    <row r="2067" spans="1:33" ht="26.4">
      <c r="A2067" s="284"/>
      <c r="B2067" s="284"/>
      <c r="C2067" s="284"/>
      <c r="D2067" s="284"/>
      <c r="E2067" s="284"/>
      <c r="F2067" s="284"/>
      <c r="G2067" s="284"/>
      <c r="H2067" s="284"/>
      <c r="I2067" s="284"/>
      <c r="J2067" s="375"/>
      <c r="K2067" s="375"/>
      <c r="L2067" s="375"/>
      <c r="M2067" s="368"/>
      <c r="N2067" s="368"/>
      <c r="O2067" s="370"/>
      <c r="T2067" s="340"/>
      <c r="V2067" s="378"/>
      <c r="W2067" s="64" ph="1"/>
      <c r="X2067" s="241"/>
      <c r="Y2067" s="284"/>
      <c r="Z2067" s="207"/>
      <c r="AA2067" s="284"/>
      <c r="AB2067" s="284"/>
      <c r="AC2067" s="284"/>
      <c r="AD2067" s="284"/>
      <c r="AE2067" s="284"/>
      <c r="AF2067" s="284"/>
      <c r="AG2067" s="284"/>
    </row>
    <row r="2068" spans="1:33" ht="26.4">
      <c r="A2068" s="284"/>
      <c r="B2068" s="284"/>
      <c r="C2068" s="284"/>
      <c r="D2068" s="284"/>
      <c r="E2068" s="284"/>
      <c r="F2068" s="284"/>
      <c r="G2068" s="284"/>
      <c r="H2068" s="284"/>
      <c r="I2068" s="284"/>
      <c r="J2068" s="375"/>
      <c r="K2068" s="375"/>
      <c r="L2068" s="375"/>
      <c r="M2068" s="368"/>
      <c r="N2068" s="368"/>
      <c r="O2068" s="370"/>
      <c r="T2068" s="340"/>
      <c r="V2068" s="378"/>
      <c r="W2068" s="64" ph="1"/>
      <c r="X2068" s="241"/>
      <c r="Y2068" s="284"/>
      <c r="Z2068" s="207"/>
      <c r="AA2068" s="284"/>
      <c r="AB2068" s="284"/>
      <c r="AC2068" s="284"/>
      <c r="AD2068" s="284"/>
      <c r="AE2068" s="284"/>
      <c r="AF2068" s="284"/>
      <c r="AG2068" s="284"/>
    </row>
    <row r="2069" spans="1:33" ht="26.4">
      <c r="A2069" s="284"/>
      <c r="B2069" s="284"/>
      <c r="C2069" s="284"/>
      <c r="D2069" s="284"/>
      <c r="E2069" s="284"/>
      <c r="F2069" s="284"/>
      <c r="G2069" s="284"/>
      <c r="H2069" s="284"/>
      <c r="I2069" s="284"/>
      <c r="J2069" s="375"/>
      <c r="K2069" s="375"/>
      <c r="L2069" s="375"/>
      <c r="M2069" s="368"/>
      <c r="N2069" s="368"/>
      <c r="O2069" s="370"/>
      <c r="T2069" s="340"/>
      <c r="V2069" s="378"/>
      <c r="W2069" s="64" ph="1"/>
      <c r="X2069" s="241"/>
      <c r="Y2069" s="284"/>
      <c r="Z2069" s="207"/>
      <c r="AA2069" s="284"/>
      <c r="AB2069" s="284"/>
      <c r="AC2069" s="284"/>
      <c r="AD2069" s="284"/>
      <c r="AE2069" s="284"/>
      <c r="AF2069" s="284"/>
      <c r="AG2069" s="284"/>
    </row>
    <row r="2070" spans="1:33" ht="26.4">
      <c r="A2070" s="284"/>
      <c r="B2070" s="284"/>
      <c r="C2070" s="284"/>
      <c r="D2070" s="284"/>
      <c r="E2070" s="284"/>
      <c r="F2070" s="284"/>
      <c r="G2070" s="284"/>
      <c r="H2070" s="284"/>
      <c r="I2070" s="284"/>
      <c r="J2070" s="375"/>
      <c r="K2070" s="375"/>
      <c r="L2070" s="375"/>
      <c r="M2070" s="368"/>
      <c r="N2070" s="368"/>
      <c r="O2070" s="370"/>
      <c r="T2070" s="340"/>
      <c r="V2070" s="378"/>
      <c r="W2070" s="64" ph="1"/>
      <c r="X2070" s="241"/>
      <c r="Y2070" s="284"/>
      <c r="Z2070" s="207"/>
      <c r="AA2070" s="284"/>
      <c r="AB2070" s="284"/>
      <c r="AC2070" s="284"/>
      <c r="AD2070" s="284"/>
      <c r="AE2070" s="284"/>
      <c r="AF2070" s="284"/>
      <c r="AG2070" s="284"/>
    </row>
    <row r="2071" spans="1:33" ht="26.4">
      <c r="A2071" s="284"/>
      <c r="B2071" s="284"/>
      <c r="C2071" s="284"/>
      <c r="D2071" s="284"/>
      <c r="E2071" s="284"/>
      <c r="F2071" s="284"/>
      <c r="G2071" s="284"/>
      <c r="H2071" s="284"/>
      <c r="I2071" s="284"/>
      <c r="J2071" s="375"/>
      <c r="K2071" s="375"/>
      <c r="L2071" s="375"/>
      <c r="M2071" s="368"/>
      <c r="N2071" s="368"/>
      <c r="O2071" s="370"/>
      <c r="T2071" s="340"/>
      <c r="V2071" s="378"/>
      <c r="W2071" s="64" ph="1"/>
      <c r="X2071" s="241"/>
      <c r="Y2071" s="284"/>
      <c r="Z2071" s="207"/>
      <c r="AA2071" s="284"/>
      <c r="AB2071" s="284"/>
      <c r="AC2071" s="284"/>
      <c r="AD2071" s="284"/>
      <c r="AE2071" s="284"/>
      <c r="AF2071" s="284"/>
      <c r="AG2071" s="284"/>
    </row>
    <row r="2072" spans="1:33" ht="26.4">
      <c r="A2072" s="284"/>
      <c r="B2072" s="284"/>
      <c r="C2072" s="284"/>
      <c r="D2072" s="284"/>
      <c r="E2072" s="284"/>
      <c r="F2072" s="284"/>
      <c r="G2072" s="284"/>
      <c r="H2072" s="284"/>
      <c r="I2072" s="284"/>
      <c r="J2072" s="375"/>
      <c r="K2072" s="375"/>
      <c r="L2072" s="375"/>
      <c r="M2072" s="368"/>
      <c r="N2072" s="368"/>
      <c r="O2072" s="370"/>
      <c r="T2072" s="340"/>
      <c r="V2072" s="378"/>
      <c r="W2072" s="64" ph="1"/>
      <c r="X2072" s="241"/>
      <c r="Y2072" s="284"/>
      <c r="Z2072" s="207"/>
      <c r="AA2072" s="284"/>
      <c r="AB2072" s="284"/>
      <c r="AC2072" s="284"/>
      <c r="AD2072" s="284"/>
      <c r="AE2072" s="284"/>
      <c r="AF2072" s="284"/>
      <c r="AG2072" s="284"/>
    </row>
    <row r="2073" spans="1:33" ht="26.4">
      <c r="A2073" s="284"/>
      <c r="B2073" s="284"/>
      <c r="C2073" s="284"/>
      <c r="D2073" s="284"/>
      <c r="E2073" s="284"/>
      <c r="F2073" s="284"/>
      <c r="G2073" s="284"/>
      <c r="H2073" s="284"/>
      <c r="I2073" s="284"/>
      <c r="J2073" s="375"/>
      <c r="K2073" s="375"/>
      <c r="L2073" s="375"/>
      <c r="M2073" s="368"/>
      <c r="N2073" s="368"/>
      <c r="O2073" s="370"/>
      <c r="T2073" s="340"/>
      <c r="V2073" s="378"/>
      <c r="W2073" s="64" ph="1"/>
      <c r="X2073" s="241"/>
      <c r="Y2073" s="284"/>
      <c r="Z2073" s="207"/>
      <c r="AA2073" s="284"/>
      <c r="AB2073" s="284"/>
      <c r="AC2073" s="284"/>
      <c r="AD2073" s="284"/>
      <c r="AE2073" s="284"/>
      <c r="AF2073" s="284"/>
      <c r="AG2073" s="284"/>
    </row>
    <row r="2074" spans="1:33" ht="26.4">
      <c r="A2074" s="284"/>
      <c r="B2074" s="284"/>
      <c r="C2074" s="284"/>
      <c r="D2074" s="284"/>
      <c r="E2074" s="284"/>
      <c r="F2074" s="284"/>
      <c r="G2074" s="284"/>
      <c r="H2074" s="284"/>
      <c r="I2074" s="284"/>
      <c r="J2074" s="375"/>
      <c r="K2074" s="375"/>
      <c r="L2074" s="375"/>
      <c r="M2074" s="368"/>
      <c r="N2074" s="368"/>
      <c r="O2074" s="370"/>
      <c r="T2074" s="340"/>
      <c r="V2074" s="378"/>
      <c r="W2074" s="64" ph="1"/>
      <c r="X2074" s="241"/>
      <c r="Y2074" s="284"/>
      <c r="Z2074" s="207"/>
      <c r="AA2074" s="284"/>
      <c r="AB2074" s="284"/>
      <c r="AC2074" s="284"/>
      <c r="AD2074" s="284"/>
      <c r="AE2074" s="284"/>
      <c r="AF2074" s="284"/>
      <c r="AG2074" s="284"/>
    </row>
    <row r="2075" spans="1:33" ht="26.4">
      <c r="A2075" s="284"/>
      <c r="B2075" s="284"/>
      <c r="C2075" s="284"/>
      <c r="D2075" s="284"/>
      <c r="E2075" s="284"/>
      <c r="F2075" s="284"/>
      <c r="G2075" s="284"/>
      <c r="H2075" s="284"/>
      <c r="I2075" s="284"/>
      <c r="J2075" s="375"/>
      <c r="K2075" s="375"/>
      <c r="L2075" s="375"/>
      <c r="M2075" s="368"/>
      <c r="N2075" s="368"/>
      <c r="O2075" s="370"/>
      <c r="T2075" s="340"/>
      <c r="V2075" s="378"/>
      <c r="W2075" s="64" ph="1"/>
      <c r="X2075" s="241"/>
      <c r="Y2075" s="284"/>
      <c r="Z2075" s="207"/>
      <c r="AA2075" s="284"/>
      <c r="AB2075" s="284"/>
      <c r="AC2075" s="284"/>
      <c r="AD2075" s="284"/>
      <c r="AE2075" s="284"/>
      <c r="AF2075" s="284"/>
      <c r="AG2075" s="284"/>
    </row>
    <row r="2076" spans="1:33" ht="26.4">
      <c r="A2076" s="284"/>
      <c r="B2076" s="284"/>
      <c r="C2076" s="284"/>
      <c r="D2076" s="284"/>
      <c r="E2076" s="284"/>
      <c r="F2076" s="284"/>
      <c r="G2076" s="284"/>
      <c r="H2076" s="284"/>
      <c r="I2076" s="284"/>
      <c r="J2076" s="375"/>
      <c r="K2076" s="375"/>
      <c r="L2076" s="375"/>
      <c r="M2076" s="368"/>
      <c r="N2076" s="368"/>
      <c r="O2076" s="370"/>
      <c r="T2076" s="340"/>
      <c r="V2076" s="378"/>
      <c r="W2076" s="64" ph="1"/>
      <c r="X2076" s="241"/>
      <c r="Y2076" s="284"/>
      <c r="Z2076" s="207"/>
      <c r="AA2076" s="284"/>
      <c r="AB2076" s="284"/>
      <c r="AC2076" s="284"/>
      <c r="AD2076" s="284"/>
      <c r="AE2076" s="284"/>
      <c r="AF2076" s="284"/>
      <c r="AG2076" s="284"/>
    </row>
    <row r="2077" spans="1:33" ht="26.4">
      <c r="A2077" s="284"/>
      <c r="B2077" s="284"/>
      <c r="C2077" s="284"/>
      <c r="D2077" s="284"/>
      <c r="E2077" s="284"/>
      <c r="F2077" s="284"/>
      <c r="G2077" s="284"/>
      <c r="H2077" s="284"/>
      <c r="I2077" s="284"/>
      <c r="J2077" s="375"/>
      <c r="K2077" s="375"/>
      <c r="L2077" s="375"/>
      <c r="M2077" s="368"/>
      <c r="N2077" s="368"/>
      <c r="O2077" s="370"/>
      <c r="T2077" s="340"/>
      <c r="V2077" s="378"/>
      <c r="W2077" s="64" ph="1"/>
      <c r="X2077" s="241"/>
      <c r="Y2077" s="284"/>
      <c r="Z2077" s="207"/>
      <c r="AA2077" s="284"/>
      <c r="AB2077" s="284"/>
      <c r="AC2077" s="284"/>
      <c r="AD2077" s="284"/>
      <c r="AE2077" s="284"/>
      <c r="AF2077" s="284"/>
      <c r="AG2077" s="284"/>
    </row>
    <row r="2078" spans="1:33" ht="26.4">
      <c r="A2078" s="284"/>
      <c r="B2078" s="284"/>
      <c r="C2078" s="284"/>
      <c r="D2078" s="284"/>
      <c r="E2078" s="284"/>
      <c r="F2078" s="284"/>
      <c r="G2078" s="284"/>
      <c r="H2078" s="284"/>
      <c r="I2078" s="284"/>
      <c r="J2078" s="375"/>
      <c r="K2078" s="375"/>
      <c r="L2078" s="375"/>
      <c r="M2078" s="368"/>
      <c r="N2078" s="368"/>
      <c r="O2078" s="370"/>
      <c r="T2078" s="340"/>
      <c r="V2078" s="378"/>
      <c r="W2078" s="64" ph="1"/>
      <c r="X2078" s="241"/>
      <c r="Y2078" s="284"/>
      <c r="Z2078" s="207"/>
      <c r="AA2078" s="284"/>
      <c r="AB2078" s="284"/>
      <c r="AC2078" s="284"/>
      <c r="AD2078" s="284"/>
      <c r="AE2078" s="284"/>
      <c r="AF2078" s="284"/>
      <c r="AG2078" s="284"/>
    </row>
    <row r="2079" spans="1:33" ht="26.4">
      <c r="A2079" s="284"/>
      <c r="B2079" s="284"/>
      <c r="C2079" s="284"/>
      <c r="D2079" s="284"/>
      <c r="E2079" s="284"/>
      <c r="F2079" s="284"/>
      <c r="G2079" s="284"/>
      <c r="H2079" s="284"/>
      <c r="I2079" s="284"/>
      <c r="J2079" s="375"/>
      <c r="K2079" s="375"/>
      <c r="L2079" s="375"/>
      <c r="M2079" s="368"/>
      <c r="N2079" s="368"/>
      <c r="O2079" s="370"/>
      <c r="T2079" s="340"/>
      <c r="V2079" s="378"/>
      <c r="W2079" s="64" ph="1"/>
      <c r="X2079" s="241"/>
      <c r="Y2079" s="284"/>
      <c r="Z2079" s="207"/>
      <c r="AA2079" s="284"/>
      <c r="AB2079" s="284"/>
      <c r="AC2079" s="284"/>
      <c r="AD2079" s="284"/>
      <c r="AE2079" s="284"/>
      <c r="AF2079" s="284"/>
      <c r="AG2079" s="284"/>
    </row>
    <row r="2080" spans="1:33" ht="26.4">
      <c r="A2080" s="284"/>
      <c r="B2080" s="284"/>
      <c r="C2080" s="284"/>
      <c r="D2080" s="284"/>
      <c r="E2080" s="284"/>
      <c r="F2080" s="284"/>
      <c r="G2080" s="284"/>
      <c r="H2080" s="284"/>
      <c r="I2080" s="284"/>
      <c r="J2080" s="375"/>
      <c r="K2080" s="375"/>
      <c r="L2080" s="375"/>
      <c r="M2080" s="368"/>
      <c r="N2080" s="368"/>
      <c r="O2080" s="370"/>
      <c r="T2080" s="340"/>
      <c r="V2080" s="378"/>
      <c r="W2080" s="64" ph="1"/>
      <c r="X2080" s="241"/>
      <c r="Y2080" s="284"/>
      <c r="Z2080" s="207"/>
      <c r="AA2080" s="284"/>
      <c r="AB2080" s="284"/>
      <c r="AC2080" s="284"/>
      <c r="AD2080" s="284"/>
      <c r="AE2080" s="284"/>
      <c r="AF2080" s="284"/>
      <c r="AG2080" s="284"/>
    </row>
    <row r="2081" spans="1:33" ht="26.4">
      <c r="A2081" s="284"/>
      <c r="B2081" s="284"/>
      <c r="C2081" s="284"/>
      <c r="D2081" s="284"/>
      <c r="E2081" s="284"/>
      <c r="F2081" s="284"/>
      <c r="G2081" s="284"/>
      <c r="H2081" s="284"/>
      <c r="I2081" s="284"/>
      <c r="J2081" s="375"/>
      <c r="K2081" s="375"/>
      <c r="L2081" s="375"/>
      <c r="M2081" s="368"/>
      <c r="N2081" s="368"/>
      <c r="O2081" s="370"/>
      <c r="T2081" s="340"/>
      <c r="V2081" s="378"/>
      <c r="W2081" s="64" ph="1"/>
      <c r="X2081" s="241"/>
      <c r="Y2081" s="284"/>
      <c r="Z2081" s="207"/>
      <c r="AA2081" s="284"/>
      <c r="AB2081" s="284"/>
      <c r="AC2081" s="284"/>
      <c r="AD2081" s="284"/>
      <c r="AE2081" s="284"/>
      <c r="AF2081" s="284"/>
      <c r="AG2081" s="284"/>
    </row>
    <row r="2082" spans="1:33" ht="26.4">
      <c r="A2082" s="284"/>
      <c r="B2082" s="284"/>
      <c r="C2082" s="284"/>
      <c r="D2082" s="284"/>
      <c r="E2082" s="284"/>
      <c r="F2082" s="284"/>
      <c r="G2082" s="284"/>
      <c r="H2082" s="284"/>
      <c r="I2082" s="284"/>
      <c r="J2082" s="375"/>
      <c r="K2082" s="375"/>
      <c r="L2082" s="375"/>
      <c r="M2082" s="368"/>
      <c r="N2082" s="368"/>
      <c r="O2082" s="370"/>
      <c r="T2082" s="340"/>
      <c r="V2082" s="378"/>
      <c r="W2082" s="64" ph="1"/>
      <c r="X2082" s="241"/>
      <c r="Y2082" s="284"/>
      <c r="Z2082" s="207"/>
      <c r="AA2082" s="284"/>
      <c r="AB2082" s="284"/>
      <c r="AC2082" s="284"/>
      <c r="AD2082" s="284"/>
      <c r="AE2082" s="284"/>
      <c r="AF2082" s="284"/>
      <c r="AG2082" s="284"/>
    </row>
    <row r="2083" spans="1:33" ht="26.4">
      <c r="A2083" s="284"/>
      <c r="B2083" s="284"/>
      <c r="C2083" s="284"/>
      <c r="D2083" s="284"/>
      <c r="E2083" s="284"/>
      <c r="F2083" s="284"/>
      <c r="G2083" s="284"/>
      <c r="H2083" s="284"/>
      <c r="I2083" s="284"/>
      <c r="J2083" s="375"/>
      <c r="K2083" s="375"/>
      <c r="L2083" s="375"/>
      <c r="M2083" s="368"/>
      <c r="N2083" s="368"/>
      <c r="O2083" s="370"/>
      <c r="T2083" s="340"/>
      <c r="V2083" s="378"/>
      <c r="W2083" s="64" ph="1"/>
      <c r="X2083" s="241"/>
      <c r="Y2083" s="284"/>
      <c r="Z2083" s="207"/>
      <c r="AA2083" s="284"/>
      <c r="AB2083" s="284"/>
      <c r="AC2083" s="284"/>
      <c r="AD2083" s="284"/>
      <c r="AE2083" s="284"/>
      <c r="AF2083" s="284"/>
      <c r="AG2083" s="284"/>
    </row>
    <row r="2084" spans="1:33" ht="26.4">
      <c r="A2084" s="284"/>
      <c r="B2084" s="284"/>
      <c r="C2084" s="284"/>
      <c r="D2084" s="284"/>
      <c r="E2084" s="284"/>
      <c r="F2084" s="284"/>
      <c r="G2084" s="284"/>
      <c r="H2084" s="284"/>
      <c r="I2084" s="284"/>
      <c r="J2084" s="375"/>
      <c r="K2084" s="375"/>
      <c r="L2084" s="375"/>
      <c r="M2084" s="368"/>
      <c r="N2084" s="368"/>
      <c r="O2084" s="370"/>
      <c r="T2084" s="340"/>
      <c r="V2084" s="378"/>
      <c r="W2084" s="64" ph="1"/>
      <c r="X2084" s="241"/>
      <c r="Y2084" s="284"/>
      <c r="Z2084" s="207"/>
      <c r="AA2084" s="284"/>
      <c r="AB2084" s="284"/>
      <c r="AC2084" s="284"/>
      <c r="AD2084" s="284"/>
      <c r="AE2084" s="284"/>
      <c r="AF2084" s="284"/>
      <c r="AG2084" s="284"/>
    </row>
    <row r="2085" spans="1:33" ht="26.4">
      <c r="A2085" s="284"/>
      <c r="B2085" s="284"/>
      <c r="C2085" s="284"/>
      <c r="D2085" s="284"/>
      <c r="E2085" s="284"/>
      <c r="F2085" s="284"/>
      <c r="G2085" s="284"/>
      <c r="H2085" s="284"/>
      <c r="I2085" s="284"/>
      <c r="J2085" s="375"/>
      <c r="K2085" s="375"/>
      <c r="L2085" s="375"/>
      <c r="M2085" s="368"/>
      <c r="N2085" s="368"/>
      <c r="O2085" s="370"/>
      <c r="T2085" s="340"/>
      <c r="V2085" s="378"/>
      <c r="W2085" s="64" ph="1"/>
      <c r="X2085" s="241"/>
      <c r="Y2085" s="284"/>
      <c r="Z2085" s="207"/>
      <c r="AA2085" s="284"/>
      <c r="AB2085" s="284"/>
      <c r="AC2085" s="284"/>
      <c r="AD2085" s="284"/>
      <c r="AE2085" s="284"/>
      <c r="AF2085" s="284"/>
      <c r="AG2085" s="284"/>
    </row>
    <row r="2086" spans="1:33" ht="26.4">
      <c r="A2086" s="284"/>
      <c r="B2086" s="284"/>
      <c r="C2086" s="284"/>
      <c r="D2086" s="284"/>
      <c r="E2086" s="284"/>
      <c r="F2086" s="284"/>
      <c r="G2086" s="284"/>
      <c r="H2086" s="284"/>
      <c r="I2086" s="284"/>
      <c r="J2086" s="375"/>
      <c r="K2086" s="375"/>
      <c r="L2086" s="375"/>
      <c r="M2086" s="368"/>
      <c r="N2086" s="368"/>
      <c r="O2086" s="370"/>
      <c r="T2086" s="340"/>
      <c r="V2086" s="378"/>
      <c r="W2086" s="64" ph="1"/>
      <c r="X2086" s="241"/>
      <c r="Y2086" s="284"/>
      <c r="Z2086" s="207"/>
      <c r="AA2086" s="284"/>
      <c r="AB2086" s="284"/>
      <c r="AC2086" s="284"/>
      <c r="AD2086" s="284"/>
      <c r="AE2086" s="284"/>
      <c r="AF2086" s="284"/>
      <c r="AG2086" s="284"/>
    </row>
    <row r="2087" spans="1:33" ht="26.4">
      <c r="A2087" s="284"/>
      <c r="B2087" s="284"/>
      <c r="C2087" s="284"/>
      <c r="D2087" s="284"/>
      <c r="E2087" s="284"/>
      <c r="F2087" s="284"/>
      <c r="G2087" s="284"/>
      <c r="H2087" s="284"/>
      <c r="I2087" s="284"/>
      <c r="J2087" s="375"/>
      <c r="K2087" s="375"/>
      <c r="L2087" s="375"/>
      <c r="M2087" s="368"/>
      <c r="N2087" s="368"/>
      <c r="O2087" s="370"/>
      <c r="T2087" s="340"/>
      <c r="V2087" s="378"/>
      <c r="W2087" s="64" ph="1"/>
      <c r="X2087" s="241"/>
      <c r="Y2087" s="284"/>
      <c r="Z2087" s="207"/>
      <c r="AA2087" s="284"/>
      <c r="AB2087" s="284"/>
      <c r="AC2087" s="284"/>
      <c r="AD2087" s="284"/>
      <c r="AE2087" s="284"/>
      <c r="AF2087" s="284"/>
      <c r="AG2087" s="284"/>
    </row>
    <row r="2088" spans="1:33" ht="26.4">
      <c r="A2088" s="284"/>
      <c r="B2088" s="284"/>
      <c r="C2088" s="284"/>
      <c r="D2088" s="284"/>
      <c r="E2088" s="284"/>
      <c r="F2088" s="284"/>
      <c r="G2088" s="284"/>
      <c r="H2088" s="284"/>
      <c r="I2088" s="284"/>
      <c r="J2088" s="375"/>
      <c r="K2088" s="375"/>
      <c r="L2088" s="375"/>
      <c r="M2088" s="368"/>
      <c r="N2088" s="368"/>
      <c r="O2088" s="370"/>
      <c r="T2088" s="340"/>
      <c r="V2088" s="378"/>
      <c r="W2088" s="64" ph="1"/>
      <c r="X2088" s="241"/>
      <c r="Y2088" s="284"/>
      <c r="Z2088" s="207"/>
      <c r="AA2088" s="284"/>
      <c r="AB2088" s="284"/>
      <c r="AC2088" s="284"/>
      <c r="AD2088" s="284"/>
      <c r="AE2088" s="284"/>
      <c r="AF2088" s="284"/>
      <c r="AG2088" s="284"/>
    </row>
    <row r="2089" spans="1:33" ht="26.4">
      <c r="A2089" s="284"/>
      <c r="B2089" s="284"/>
      <c r="C2089" s="284"/>
      <c r="D2089" s="284"/>
      <c r="E2089" s="284"/>
      <c r="F2089" s="284"/>
      <c r="G2089" s="284"/>
      <c r="H2089" s="284"/>
      <c r="I2089" s="284"/>
      <c r="J2089" s="375"/>
      <c r="K2089" s="375"/>
      <c r="L2089" s="375"/>
      <c r="M2089" s="368"/>
      <c r="N2089" s="368"/>
      <c r="O2089" s="370"/>
      <c r="T2089" s="340"/>
      <c r="V2089" s="378"/>
      <c r="W2089" s="64" ph="1"/>
      <c r="X2089" s="241"/>
      <c r="Y2089" s="284"/>
      <c r="Z2089" s="207"/>
      <c r="AA2089" s="284"/>
      <c r="AB2089" s="284"/>
      <c r="AC2089" s="284"/>
      <c r="AD2089" s="284"/>
      <c r="AE2089" s="284"/>
      <c r="AF2089" s="284"/>
      <c r="AG2089" s="284"/>
    </row>
    <row r="2090" spans="1:33" ht="26.4">
      <c r="A2090" s="284"/>
      <c r="B2090" s="284"/>
      <c r="C2090" s="284"/>
      <c r="D2090" s="284"/>
      <c r="E2090" s="284"/>
      <c r="F2090" s="284"/>
      <c r="G2090" s="284"/>
      <c r="H2090" s="284"/>
      <c r="I2090" s="284"/>
      <c r="J2090" s="375"/>
      <c r="K2090" s="375"/>
      <c r="L2090" s="375"/>
      <c r="M2090" s="368"/>
      <c r="N2090" s="368"/>
      <c r="O2090" s="370"/>
      <c r="T2090" s="340"/>
      <c r="V2090" s="378"/>
      <c r="W2090" s="64" ph="1"/>
      <c r="X2090" s="241"/>
      <c r="Y2090" s="284"/>
      <c r="Z2090" s="207"/>
      <c r="AA2090" s="284"/>
      <c r="AB2090" s="284"/>
      <c r="AC2090" s="284"/>
      <c r="AD2090" s="284"/>
      <c r="AE2090" s="284"/>
      <c r="AF2090" s="284"/>
      <c r="AG2090" s="284"/>
    </row>
    <row r="2091" spans="1:33" ht="26.4">
      <c r="A2091" s="284"/>
      <c r="B2091" s="284"/>
      <c r="C2091" s="284"/>
      <c r="D2091" s="284"/>
      <c r="E2091" s="284"/>
      <c r="F2091" s="284"/>
      <c r="G2091" s="284"/>
      <c r="H2091" s="284"/>
      <c r="I2091" s="284"/>
      <c r="J2091" s="375"/>
      <c r="K2091" s="375"/>
      <c r="L2091" s="375"/>
      <c r="M2091" s="368"/>
      <c r="N2091" s="368"/>
      <c r="O2091" s="370"/>
      <c r="T2091" s="340"/>
      <c r="V2091" s="378"/>
      <c r="W2091" s="64" ph="1"/>
      <c r="X2091" s="241"/>
      <c r="Y2091" s="284"/>
      <c r="Z2091" s="207"/>
      <c r="AA2091" s="284"/>
      <c r="AB2091" s="284"/>
      <c r="AC2091" s="284"/>
      <c r="AD2091" s="284"/>
      <c r="AE2091" s="284"/>
      <c r="AF2091" s="284"/>
      <c r="AG2091" s="284"/>
    </row>
    <row r="2092" spans="1:33" ht="26.4">
      <c r="A2092" s="284"/>
      <c r="B2092" s="284"/>
      <c r="C2092" s="284"/>
      <c r="D2092" s="284"/>
      <c r="E2092" s="284"/>
      <c r="F2092" s="284"/>
      <c r="G2092" s="284"/>
      <c r="H2092" s="284"/>
      <c r="I2092" s="284"/>
      <c r="J2092" s="375"/>
      <c r="K2092" s="375"/>
      <c r="L2092" s="375"/>
      <c r="M2092" s="368"/>
      <c r="N2092" s="368"/>
      <c r="O2092" s="370"/>
      <c r="T2092" s="340"/>
      <c r="V2092" s="378"/>
      <c r="W2092" s="64" ph="1"/>
      <c r="X2092" s="241"/>
      <c r="Y2092" s="284"/>
      <c r="Z2092" s="207"/>
      <c r="AA2092" s="284"/>
      <c r="AB2092" s="284"/>
      <c r="AC2092" s="284"/>
      <c r="AD2092" s="284"/>
      <c r="AE2092" s="284"/>
      <c r="AF2092" s="284"/>
      <c r="AG2092" s="284"/>
    </row>
    <row r="2093" spans="1:33" ht="26.4">
      <c r="A2093" s="284"/>
      <c r="B2093" s="284"/>
      <c r="C2093" s="284"/>
      <c r="D2093" s="284"/>
      <c r="E2093" s="284"/>
      <c r="F2093" s="284"/>
      <c r="G2093" s="284"/>
      <c r="H2093" s="284"/>
      <c r="I2093" s="284"/>
      <c r="J2093" s="375"/>
      <c r="K2093" s="375"/>
      <c r="L2093" s="375"/>
      <c r="M2093" s="368"/>
      <c r="N2093" s="368"/>
      <c r="O2093" s="370"/>
      <c r="T2093" s="340"/>
      <c r="V2093" s="378"/>
      <c r="W2093" s="64" ph="1"/>
      <c r="X2093" s="241"/>
      <c r="Y2093" s="284"/>
      <c r="Z2093" s="207"/>
      <c r="AA2093" s="284"/>
      <c r="AB2093" s="284"/>
      <c r="AC2093" s="284"/>
      <c r="AD2093" s="284"/>
      <c r="AE2093" s="284"/>
      <c r="AF2093" s="284"/>
      <c r="AG2093" s="284"/>
    </row>
    <row r="2094" spans="1:33" ht="26.4">
      <c r="A2094" s="284"/>
      <c r="B2094" s="284"/>
      <c r="C2094" s="284"/>
      <c r="D2094" s="284"/>
      <c r="E2094" s="284"/>
      <c r="F2094" s="284"/>
      <c r="G2094" s="284"/>
      <c r="H2094" s="284"/>
      <c r="I2094" s="284"/>
      <c r="J2094" s="375"/>
      <c r="K2094" s="375"/>
      <c r="L2094" s="375"/>
      <c r="M2094" s="368"/>
      <c r="N2094" s="368"/>
      <c r="O2094" s="370"/>
      <c r="T2094" s="340"/>
      <c r="V2094" s="378"/>
      <c r="W2094" s="64" ph="1"/>
      <c r="X2094" s="241"/>
      <c r="Y2094" s="284"/>
      <c r="Z2094" s="207"/>
      <c r="AA2094" s="284"/>
      <c r="AB2094" s="284"/>
      <c r="AC2094" s="284"/>
      <c r="AD2094" s="284"/>
      <c r="AE2094" s="284"/>
      <c r="AF2094" s="284"/>
      <c r="AG2094" s="284"/>
    </row>
    <row r="2095" spans="1:33" ht="26.4">
      <c r="A2095" s="284"/>
      <c r="B2095" s="284"/>
      <c r="C2095" s="284"/>
      <c r="D2095" s="284"/>
      <c r="E2095" s="284"/>
      <c r="F2095" s="284"/>
      <c r="G2095" s="284"/>
      <c r="H2095" s="284"/>
      <c r="I2095" s="284"/>
      <c r="J2095" s="375"/>
      <c r="K2095" s="375"/>
      <c r="L2095" s="375"/>
      <c r="M2095" s="368"/>
      <c r="N2095" s="368"/>
      <c r="O2095" s="370"/>
      <c r="T2095" s="340"/>
      <c r="V2095" s="378"/>
      <c r="W2095" s="64" ph="1"/>
      <c r="X2095" s="241"/>
      <c r="Y2095" s="284"/>
      <c r="Z2095" s="207"/>
      <c r="AA2095" s="284"/>
      <c r="AB2095" s="284"/>
      <c r="AC2095" s="284"/>
      <c r="AD2095" s="284"/>
      <c r="AE2095" s="284"/>
      <c r="AF2095" s="284"/>
      <c r="AG2095" s="284"/>
    </row>
    <row r="2096" spans="1:33" ht="26.4">
      <c r="A2096" s="284"/>
      <c r="B2096" s="284"/>
      <c r="C2096" s="284"/>
      <c r="D2096" s="284"/>
      <c r="E2096" s="284"/>
      <c r="F2096" s="284"/>
      <c r="G2096" s="284"/>
      <c r="H2096" s="284"/>
      <c r="I2096" s="284"/>
      <c r="J2096" s="375"/>
      <c r="K2096" s="375"/>
      <c r="L2096" s="375"/>
      <c r="M2096" s="368"/>
      <c r="N2096" s="368"/>
      <c r="O2096" s="370"/>
      <c r="T2096" s="340"/>
      <c r="V2096" s="378"/>
      <c r="W2096" s="64" ph="1"/>
      <c r="X2096" s="241"/>
      <c r="Y2096" s="284"/>
      <c r="Z2096" s="207"/>
      <c r="AA2096" s="284"/>
      <c r="AB2096" s="284"/>
      <c r="AC2096" s="284"/>
      <c r="AD2096" s="284"/>
      <c r="AE2096" s="284"/>
      <c r="AF2096" s="284"/>
      <c r="AG2096" s="284"/>
    </row>
    <row r="2097" spans="1:33" ht="26.4">
      <c r="A2097" s="284"/>
      <c r="B2097" s="284"/>
      <c r="C2097" s="284"/>
      <c r="D2097" s="284"/>
      <c r="E2097" s="284"/>
      <c r="F2097" s="284"/>
      <c r="G2097" s="284"/>
      <c r="H2097" s="284"/>
      <c r="I2097" s="284"/>
      <c r="J2097" s="375"/>
      <c r="K2097" s="375"/>
      <c r="L2097" s="375"/>
      <c r="M2097" s="368"/>
      <c r="N2097" s="368"/>
      <c r="O2097" s="370"/>
      <c r="T2097" s="340"/>
      <c r="V2097" s="378"/>
      <c r="W2097" s="64" ph="1"/>
      <c r="X2097" s="241"/>
      <c r="Y2097" s="284"/>
      <c r="Z2097" s="207"/>
      <c r="AA2097" s="284"/>
      <c r="AB2097" s="284"/>
      <c r="AC2097" s="284"/>
      <c r="AD2097" s="284"/>
      <c r="AE2097" s="284"/>
      <c r="AF2097" s="284"/>
      <c r="AG2097" s="284"/>
    </row>
    <row r="2098" spans="1:33" ht="26.4">
      <c r="A2098" s="284"/>
      <c r="B2098" s="284"/>
      <c r="C2098" s="284"/>
      <c r="D2098" s="284"/>
      <c r="E2098" s="284"/>
      <c r="F2098" s="284"/>
      <c r="G2098" s="284"/>
      <c r="H2098" s="284"/>
      <c r="I2098" s="284"/>
      <c r="J2098" s="375"/>
      <c r="K2098" s="375"/>
      <c r="L2098" s="375"/>
      <c r="M2098" s="368"/>
      <c r="N2098" s="368"/>
      <c r="O2098" s="370"/>
      <c r="T2098" s="340"/>
      <c r="V2098" s="378"/>
      <c r="W2098" s="64" ph="1"/>
      <c r="X2098" s="241"/>
      <c r="Y2098" s="284"/>
      <c r="Z2098" s="207"/>
      <c r="AA2098" s="284"/>
      <c r="AB2098" s="284"/>
      <c r="AC2098" s="284"/>
      <c r="AD2098" s="284"/>
      <c r="AE2098" s="284"/>
      <c r="AF2098" s="284"/>
      <c r="AG2098" s="284"/>
    </row>
    <row r="2099" spans="1:33" ht="26.4">
      <c r="A2099" s="284"/>
      <c r="B2099" s="284"/>
      <c r="C2099" s="284"/>
      <c r="D2099" s="284"/>
      <c r="E2099" s="284"/>
      <c r="F2099" s="284"/>
      <c r="G2099" s="284"/>
      <c r="H2099" s="284"/>
      <c r="I2099" s="284"/>
      <c r="J2099" s="375"/>
      <c r="K2099" s="375"/>
      <c r="L2099" s="375"/>
      <c r="M2099" s="368"/>
      <c r="N2099" s="368"/>
      <c r="O2099" s="370"/>
      <c r="T2099" s="340"/>
      <c r="V2099" s="378"/>
      <c r="W2099" s="64" ph="1"/>
      <c r="X2099" s="241"/>
      <c r="Y2099" s="284"/>
      <c r="Z2099" s="207"/>
      <c r="AA2099" s="284"/>
      <c r="AB2099" s="284"/>
      <c r="AC2099" s="284"/>
      <c r="AD2099" s="284"/>
      <c r="AE2099" s="284"/>
      <c r="AF2099" s="284"/>
      <c r="AG2099" s="284"/>
    </row>
    <row r="2100" spans="1:33" ht="26.4">
      <c r="A2100" s="284"/>
      <c r="B2100" s="284"/>
      <c r="C2100" s="284"/>
      <c r="D2100" s="284"/>
      <c r="E2100" s="284"/>
      <c r="F2100" s="284"/>
      <c r="G2100" s="284"/>
      <c r="H2100" s="284"/>
      <c r="I2100" s="284"/>
      <c r="J2100" s="375"/>
      <c r="K2100" s="375"/>
      <c r="L2100" s="375"/>
      <c r="M2100" s="368"/>
      <c r="N2100" s="368"/>
      <c r="O2100" s="370"/>
      <c r="T2100" s="340"/>
      <c r="V2100" s="378"/>
      <c r="W2100" s="64" ph="1"/>
      <c r="X2100" s="241"/>
      <c r="Y2100" s="284"/>
      <c r="Z2100" s="207"/>
      <c r="AA2100" s="284"/>
      <c r="AB2100" s="284"/>
      <c r="AC2100" s="284"/>
      <c r="AD2100" s="284"/>
      <c r="AE2100" s="284"/>
      <c r="AF2100" s="284"/>
      <c r="AG2100" s="284"/>
    </row>
    <row r="2101" spans="1:33" ht="26.4">
      <c r="A2101" s="284"/>
      <c r="B2101" s="284"/>
      <c r="C2101" s="284"/>
      <c r="D2101" s="284"/>
      <c r="E2101" s="284"/>
      <c r="F2101" s="284"/>
      <c r="G2101" s="284"/>
      <c r="H2101" s="284"/>
      <c r="I2101" s="284"/>
      <c r="J2101" s="375"/>
      <c r="K2101" s="375"/>
      <c r="L2101" s="375"/>
      <c r="M2101" s="368"/>
      <c r="N2101" s="368"/>
      <c r="O2101" s="370"/>
      <c r="T2101" s="340"/>
      <c r="V2101" s="378"/>
      <c r="W2101" s="64" ph="1"/>
      <c r="X2101" s="241"/>
      <c r="Y2101" s="284"/>
      <c r="Z2101" s="207"/>
      <c r="AA2101" s="284"/>
      <c r="AB2101" s="284"/>
      <c r="AC2101" s="284"/>
      <c r="AD2101" s="284"/>
      <c r="AE2101" s="284"/>
      <c r="AF2101" s="284"/>
      <c r="AG2101" s="284"/>
    </row>
    <row r="2102" spans="1:33" ht="26.4">
      <c r="A2102" s="284"/>
      <c r="B2102" s="284"/>
      <c r="C2102" s="284"/>
      <c r="D2102" s="284"/>
      <c r="E2102" s="284"/>
      <c r="F2102" s="284"/>
      <c r="G2102" s="284"/>
      <c r="H2102" s="284"/>
      <c r="I2102" s="284"/>
      <c r="J2102" s="375"/>
      <c r="K2102" s="375"/>
      <c r="L2102" s="375"/>
      <c r="M2102" s="368"/>
      <c r="N2102" s="368"/>
      <c r="O2102" s="370"/>
      <c r="T2102" s="340"/>
      <c r="V2102" s="378"/>
      <c r="W2102" s="64" ph="1"/>
      <c r="X2102" s="241"/>
      <c r="Y2102" s="284"/>
      <c r="Z2102" s="207"/>
      <c r="AA2102" s="284"/>
      <c r="AB2102" s="284"/>
      <c r="AC2102" s="284"/>
      <c r="AD2102" s="284"/>
      <c r="AE2102" s="284"/>
      <c r="AF2102" s="284"/>
      <c r="AG2102" s="284"/>
    </row>
    <row r="2103" spans="1:33" ht="26.4">
      <c r="A2103" s="284"/>
      <c r="B2103" s="284"/>
      <c r="C2103" s="284"/>
      <c r="D2103" s="284"/>
      <c r="E2103" s="284"/>
      <c r="F2103" s="284"/>
      <c r="G2103" s="284"/>
      <c r="H2103" s="284"/>
      <c r="I2103" s="284"/>
      <c r="J2103" s="375"/>
      <c r="K2103" s="375"/>
      <c r="L2103" s="375"/>
      <c r="M2103" s="368"/>
      <c r="N2103" s="368"/>
      <c r="O2103" s="370"/>
      <c r="T2103" s="340"/>
      <c r="V2103" s="378"/>
      <c r="W2103" s="64" ph="1"/>
      <c r="X2103" s="241"/>
      <c r="Y2103" s="284"/>
      <c r="Z2103" s="207"/>
      <c r="AA2103" s="284"/>
      <c r="AB2103" s="284"/>
      <c r="AC2103" s="284"/>
      <c r="AD2103" s="284"/>
      <c r="AE2103" s="284"/>
      <c r="AF2103" s="284"/>
      <c r="AG2103" s="284"/>
    </row>
    <row r="2104" spans="1:33" ht="26.4">
      <c r="A2104" s="284"/>
      <c r="B2104" s="284"/>
      <c r="C2104" s="284"/>
      <c r="D2104" s="284"/>
      <c r="E2104" s="284"/>
      <c r="F2104" s="284"/>
      <c r="G2104" s="284"/>
      <c r="H2104" s="284"/>
      <c r="I2104" s="284"/>
      <c r="J2104" s="375"/>
      <c r="K2104" s="375"/>
      <c r="L2104" s="375"/>
      <c r="M2104" s="368"/>
      <c r="N2104" s="368"/>
      <c r="O2104" s="370"/>
      <c r="T2104" s="340"/>
      <c r="V2104" s="378"/>
      <c r="W2104" s="64" ph="1"/>
      <c r="X2104" s="241"/>
      <c r="Y2104" s="284"/>
      <c r="Z2104" s="207"/>
      <c r="AA2104" s="284"/>
      <c r="AB2104" s="284"/>
      <c r="AC2104" s="284"/>
      <c r="AD2104" s="284"/>
      <c r="AE2104" s="284"/>
      <c r="AF2104" s="284"/>
      <c r="AG2104" s="284"/>
    </row>
    <row r="2105" spans="1:33" ht="26.4">
      <c r="A2105" s="284"/>
      <c r="B2105" s="284"/>
      <c r="C2105" s="284"/>
      <c r="D2105" s="284"/>
      <c r="E2105" s="284"/>
      <c r="F2105" s="284"/>
      <c r="G2105" s="284"/>
      <c r="H2105" s="284"/>
      <c r="I2105" s="284"/>
      <c r="J2105" s="375"/>
      <c r="K2105" s="375"/>
      <c r="L2105" s="375"/>
      <c r="M2105" s="368"/>
      <c r="N2105" s="368"/>
      <c r="O2105" s="370"/>
      <c r="T2105" s="340"/>
      <c r="V2105" s="378"/>
      <c r="W2105" s="64" ph="1"/>
      <c r="X2105" s="241"/>
      <c r="Y2105" s="284"/>
      <c r="Z2105" s="207"/>
      <c r="AA2105" s="284"/>
      <c r="AB2105" s="284"/>
      <c r="AC2105" s="284"/>
      <c r="AD2105" s="284"/>
      <c r="AE2105" s="284"/>
      <c r="AF2105" s="284"/>
      <c r="AG2105" s="284"/>
    </row>
    <row r="2106" spans="1:33" ht="26.4">
      <c r="A2106" s="284"/>
      <c r="B2106" s="284"/>
      <c r="C2106" s="284"/>
      <c r="D2106" s="284"/>
      <c r="E2106" s="284"/>
      <c r="F2106" s="284"/>
      <c r="G2106" s="284"/>
      <c r="H2106" s="284"/>
      <c r="I2106" s="284"/>
      <c r="J2106" s="375"/>
      <c r="K2106" s="375"/>
      <c r="L2106" s="375"/>
      <c r="M2106" s="368"/>
      <c r="N2106" s="368"/>
      <c r="O2106" s="370"/>
      <c r="T2106" s="340"/>
      <c r="V2106" s="378"/>
      <c r="W2106" s="64" ph="1"/>
      <c r="X2106" s="241"/>
      <c r="Y2106" s="284"/>
      <c r="Z2106" s="207"/>
      <c r="AA2106" s="284"/>
      <c r="AB2106" s="284"/>
      <c r="AC2106" s="284"/>
      <c r="AD2106" s="284"/>
      <c r="AE2106" s="284"/>
      <c r="AF2106" s="284"/>
      <c r="AG2106" s="284"/>
    </row>
    <row r="2107" spans="1:33" ht="26.4">
      <c r="A2107" s="284"/>
      <c r="B2107" s="284"/>
      <c r="C2107" s="284"/>
      <c r="D2107" s="284"/>
      <c r="E2107" s="284"/>
      <c r="F2107" s="284"/>
      <c r="G2107" s="284"/>
      <c r="H2107" s="284"/>
      <c r="I2107" s="284"/>
      <c r="J2107" s="375"/>
      <c r="K2107" s="375"/>
      <c r="L2107" s="375"/>
      <c r="M2107" s="368"/>
      <c r="N2107" s="368"/>
      <c r="O2107" s="370"/>
      <c r="T2107" s="340"/>
      <c r="V2107" s="378"/>
      <c r="W2107" s="64" ph="1"/>
      <c r="X2107" s="241"/>
      <c r="Y2107" s="284"/>
      <c r="Z2107" s="207"/>
      <c r="AA2107" s="284"/>
      <c r="AB2107" s="284"/>
      <c r="AC2107" s="284"/>
      <c r="AD2107" s="284"/>
      <c r="AE2107" s="284"/>
      <c r="AF2107" s="284"/>
      <c r="AG2107" s="284"/>
    </row>
    <row r="2108" spans="1:33" ht="26.4">
      <c r="A2108" s="284"/>
      <c r="B2108" s="284"/>
      <c r="C2108" s="284"/>
      <c r="D2108" s="284"/>
      <c r="E2108" s="284"/>
      <c r="F2108" s="284"/>
      <c r="G2108" s="284"/>
      <c r="H2108" s="284"/>
      <c r="I2108" s="284"/>
      <c r="J2108" s="375"/>
      <c r="K2108" s="375"/>
      <c r="L2108" s="375"/>
      <c r="M2108" s="368"/>
      <c r="N2108" s="368"/>
      <c r="O2108" s="370"/>
      <c r="T2108" s="340"/>
      <c r="V2108" s="378"/>
      <c r="W2108" s="64" ph="1"/>
      <c r="X2108" s="241"/>
      <c r="Y2108" s="284"/>
      <c r="Z2108" s="207"/>
      <c r="AA2108" s="284"/>
      <c r="AB2108" s="284"/>
      <c r="AC2108" s="284"/>
      <c r="AD2108" s="284"/>
      <c r="AE2108" s="284"/>
      <c r="AF2108" s="284"/>
      <c r="AG2108" s="284"/>
    </row>
    <row r="2109" spans="1:33" ht="26.4">
      <c r="A2109" s="284"/>
      <c r="B2109" s="284"/>
      <c r="C2109" s="284"/>
      <c r="D2109" s="284"/>
      <c r="E2109" s="284"/>
      <c r="F2109" s="284"/>
      <c r="G2109" s="284"/>
      <c r="H2109" s="284"/>
      <c r="I2109" s="284"/>
      <c r="J2109" s="375"/>
      <c r="K2109" s="375"/>
      <c r="L2109" s="375"/>
      <c r="M2109" s="368"/>
      <c r="N2109" s="368"/>
      <c r="O2109" s="370"/>
      <c r="T2109" s="340"/>
      <c r="V2109" s="378"/>
      <c r="W2109" s="64" ph="1"/>
      <c r="X2109" s="241"/>
      <c r="Y2109" s="284"/>
      <c r="Z2109" s="207"/>
      <c r="AA2109" s="284"/>
      <c r="AB2109" s="284"/>
      <c r="AC2109" s="284"/>
      <c r="AD2109" s="284"/>
      <c r="AE2109" s="284"/>
      <c r="AF2109" s="284"/>
      <c r="AG2109" s="284"/>
    </row>
    <row r="2110" spans="1:33" ht="26.4">
      <c r="A2110" s="284"/>
      <c r="B2110" s="284"/>
      <c r="C2110" s="284"/>
      <c r="D2110" s="284"/>
      <c r="E2110" s="284"/>
      <c r="F2110" s="284"/>
      <c r="G2110" s="284"/>
      <c r="H2110" s="284"/>
      <c r="I2110" s="284"/>
      <c r="J2110" s="375"/>
      <c r="K2110" s="375"/>
      <c r="L2110" s="375"/>
      <c r="M2110" s="368"/>
      <c r="N2110" s="368"/>
      <c r="O2110" s="370"/>
      <c r="T2110" s="340"/>
      <c r="V2110" s="378"/>
      <c r="W2110" s="64" ph="1"/>
      <c r="X2110" s="241"/>
      <c r="Y2110" s="284"/>
      <c r="Z2110" s="207"/>
      <c r="AA2110" s="284"/>
      <c r="AB2110" s="284"/>
      <c r="AC2110" s="284"/>
      <c r="AD2110" s="284"/>
      <c r="AE2110" s="284"/>
      <c r="AF2110" s="284"/>
      <c r="AG2110" s="284"/>
    </row>
    <row r="2111" spans="1:33" ht="26.4">
      <c r="A2111" s="284"/>
      <c r="B2111" s="284"/>
      <c r="C2111" s="284"/>
      <c r="D2111" s="284"/>
      <c r="E2111" s="284"/>
      <c r="F2111" s="284"/>
      <c r="G2111" s="284"/>
      <c r="H2111" s="284"/>
      <c r="I2111" s="284"/>
      <c r="J2111" s="375"/>
      <c r="K2111" s="375"/>
      <c r="L2111" s="375"/>
      <c r="M2111" s="368"/>
      <c r="N2111" s="368"/>
      <c r="O2111" s="370"/>
      <c r="T2111" s="340"/>
      <c r="V2111" s="378"/>
      <c r="W2111" s="64" ph="1"/>
      <c r="X2111" s="241"/>
      <c r="Y2111" s="284"/>
      <c r="Z2111" s="207"/>
      <c r="AA2111" s="284"/>
      <c r="AB2111" s="284"/>
      <c r="AC2111" s="284"/>
      <c r="AD2111" s="284"/>
      <c r="AE2111" s="284"/>
      <c r="AF2111" s="284"/>
      <c r="AG2111" s="284"/>
    </row>
    <row r="2112" spans="1:33" ht="26.4">
      <c r="A2112" s="284"/>
      <c r="B2112" s="284"/>
      <c r="C2112" s="284"/>
      <c r="D2112" s="284"/>
      <c r="E2112" s="284"/>
      <c r="F2112" s="284"/>
      <c r="G2112" s="284"/>
      <c r="H2112" s="284"/>
      <c r="I2112" s="284"/>
      <c r="J2112" s="375"/>
      <c r="K2112" s="375"/>
      <c r="L2112" s="375"/>
      <c r="M2112" s="368"/>
      <c r="N2112" s="368"/>
      <c r="O2112" s="370"/>
      <c r="T2112" s="340"/>
      <c r="V2112" s="378"/>
      <c r="W2112" s="64" ph="1"/>
      <c r="X2112" s="241"/>
      <c r="Y2112" s="284"/>
      <c r="Z2112" s="207"/>
      <c r="AA2112" s="284"/>
      <c r="AB2112" s="284"/>
      <c r="AC2112" s="284"/>
      <c r="AD2112" s="284"/>
      <c r="AE2112" s="284"/>
      <c r="AF2112" s="284"/>
      <c r="AG2112" s="284"/>
    </row>
    <row r="2113" spans="1:33" ht="26.4">
      <c r="A2113" s="284"/>
      <c r="B2113" s="284"/>
      <c r="C2113" s="284"/>
      <c r="D2113" s="284"/>
      <c r="E2113" s="284"/>
      <c r="F2113" s="284"/>
      <c r="G2113" s="284"/>
      <c r="H2113" s="284"/>
      <c r="I2113" s="284"/>
      <c r="J2113" s="375"/>
      <c r="K2113" s="375"/>
      <c r="L2113" s="375"/>
      <c r="M2113" s="368"/>
      <c r="N2113" s="368"/>
      <c r="O2113" s="370"/>
      <c r="T2113" s="340"/>
      <c r="V2113" s="378"/>
      <c r="W2113" s="64" ph="1"/>
      <c r="X2113" s="241"/>
      <c r="Y2113" s="284"/>
      <c r="Z2113" s="207"/>
      <c r="AA2113" s="284"/>
      <c r="AB2113" s="284"/>
      <c r="AC2113" s="284"/>
      <c r="AD2113" s="284"/>
      <c r="AE2113" s="284"/>
      <c r="AF2113" s="284"/>
      <c r="AG2113" s="284"/>
    </row>
    <row r="2114" spans="1:33" ht="26.4">
      <c r="A2114" s="284"/>
      <c r="B2114" s="284"/>
      <c r="C2114" s="284"/>
      <c r="D2114" s="284"/>
      <c r="E2114" s="284"/>
      <c r="F2114" s="284"/>
      <c r="G2114" s="284"/>
      <c r="H2114" s="284"/>
      <c r="I2114" s="284"/>
      <c r="J2114" s="375"/>
      <c r="K2114" s="375"/>
      <c r="L2114" s="375"/>
      <c r="M2114" s="368"/>
      <c r="N2114" s="368"/>
      <c r="O2114" s="370"/>
      <c r="T2114" s="340"/>
      <c r="V2114" s="378"/>
      <c r="W2114" s="64" ph="1"/>
      <c r="X2114" s="241"/>
      <c r="Y2114" s="284"/>
      <c r="Z2114" s="207"/>
      <c r="AA2114" s="284"/>
      <c r="AB2114" s="284"/>
      <c r="AC2114" s="284"/>
      <c r="AD2114" s="284"/>
      <c r="AE2114" s="284"/>
      <c r="AF2114" s="284"/>
      <c r="AG2114" s="284"/>
    </row>
    <row r="2115" spans="1:33" ht="26.4">
      <c r="A2115" s="284"/>
      <c r="B2115" s="284"/>
      <c r="C2115" s="284"/>
      <c r="D2115" s="284"/>
      <c r="E2115" s="284"/>
      <c r="F2115" s="284"/>
      <c r="G2115" s="284"/>
      <c r="H2115" s="284"/>
      <c r="I2115" s="284"/>
      <c r="J2115" s="375"/>
      <c r="K2115" s="375"/>
      <c r="L2115" s="375"/>
      <c r="M2115" s="368"/>
      <c r="N2115" s="368"/>
      <c r="O2115" s="370"/>
      <c r="T2115" s="340"/>
      <c r="V2115" s="378"/>
      <c r="W2115" s="64" ph="1"/>
      <c r="X2115" s="241"/>
      <c r="Y2115" s="284"/>
      <c r="Z2115" s="207"/>
      <c r="AA2115" s="284"/>
      <c r="AB2115" s="284"/>
      <c r="AC2115" s="284"/>
      <c r="AD2115" s="284"/>
      <c r="AE2115" s="284"/>
      <c r="AF2115" s="284"/>
      <c r="AG2115" s="284"/>
    </row>
    <row r="2116" spans="1:33" ht="26.4">
      <c r="A2116" s="284"/>
      <c r="B2116" s="284"/>
      <c r="C2116" s="284"/>
      <c r="D2116" s="284"/>
      <c r="E2116" s="284"/>
      <c r="F2116" s="284"/>
      <c r="G2116" s="284"/>
      <c r="H2116" s="284"/>
      <c r="I2116" s="284"/>
      <c r="J2116" s="375"/>
      <c r="K2116" s="375"/>
      <c r="L2116" s="375"/>
      <c r="M2116" s="368"/>
      <c r="N2116" s="368"/>
      <c r="O2116" s="370"/>
      <c r="T2116" s="340"/>
      <c r="V2116" s="378"/>
      <c r="W2116" s="64" ph="1"/>
      <c r="X2116" s="241"/>
      <c r="Y2116" s="284"/>
      <c r="Z2116" s="207"/>
      <c r="AA2116" s="284"/>
      <c r="AB2116" s="284"/>
      <c r="AC2116" s="284"/>
      <c r="AD2116" s="284"/>
      <c r="AE2116" s="284"/>
      <c r="AF2116" s="284"/>
      <c r="AG2116" s="284"/>
    </row>
    <row r="2117" spans="1:33" ht="26.4">
      <c r="A2117" s="284"/>
      <c r="B2117" s="284"/>
      <c r="C2117" s="284"/>
      <c r="D2117" s="284"/>
      <c r="E2117" s="284"/>
      <c r="F2117" s="284"/>
      <c r="G2117" s="284"/>
      <c r="H2117" s="284"/>
      <c r="I2117" s="284"/>
      <c r="J2117" s="375"/>
      <c r="K2117" s="375"/>
      <c r="L2117" s="375"/>
      <c r="M2117" s="368"/>
      <c r="N2117" s="368"/>
      <c r="O2117" s="370"/>
      <c r="T2117" s="340"/>
      <c r="V2117" s="378"/>
      <c r="W2117" s="64" ph="1"/>
      <c r="X2117" s="241"/>
      <c r="Y2117" s="284"/>
      <c r="Z2117" s="207"/>
      <c r="AA2117" s="284"/>
      <c r="AB2117" s="284"/>
      <c r="AC2117" s="284"/>
      <c r="AD2117" s="284"/>
      <c r="AE2117" s="284"/>
      <c r="AF2117" s="284"/>
      <c r="AG2117" s="284"/>
    </row>
    <row r="2118" spans="1:33" ht="26.4">
      <c r="A2118" s="284"/>
      <c r="B2118" s="284"/>
      <c r="C2118" s="284"/>
      <c r="D2118" s="284"/>
      <c r="E2118" s="284"/>
      <c r="F2118" s="284"/>
      <c r="G2118" s="284"/>
      <c r="H2118" s="284"/>
      <c r="I2118" s="284"/>
      <c r="J2118" s="375"/>
      <c r="K2118" s="375"/>
      <c r="L2118" s="375"/>
      <c r="M2118" s="368"/>
      <c r="N2118" s="368"/>
      <c r="O2118" s="370"/>
      <c r="T2118" s="340"/>
      <c r="V2118" s="378"/>
      <c r="W2118" s="64" ph="1"/>
      <c r="X2118" s="241"/>
      <c r="Y2118" s="284"/>
      <c r="Z2118" s="207"/>
      <c r="AA2118" s="284"/>
      <c r="AB2118" s="284"/>
      <c r="AC2118" s="284"/>
      <c r="AD2118" s="284"/>
      <c r="AE2118" s="284"/>
      <c r="AF2118" s="284"/>
      <c r="AG2118" s="284"/>
    </row>
    <row r="2119" spans="1:33" ht="26.4">
      <c r="A2119" s="284"/>
      <c r="B2119" s="284"/>
      <c r="C2119" s="284"/>
      <c r="D2119" s="284"/>
      <c r="E2119" s="284"/>
      <c r="F2119" s="284"/>
      <c r="G2119" s="284"/>
      <c r="H2119" s="284"/>
      <c r="I2119" s="284"/>
      <c r="J2119" s="375"/>
      <c r="K2119" s="375"/>
      <c r="L2119" s="375"/>
      <c r="M2119" s="368"/>
      <c r="N2119" s="368"/>
      <c r="O2119" s="370"/>
      <c r="T2119" s="340"/>
      <c r="V2119" s="378"/>
      <c r="W2119" s="64" ph="1"/>
      <c r="X2119" s="241"/>
      <c r="Y2119" s="284"/>
      <c r="Z2119" s="207"/>
      <c r="AA2119" s="284"/>
      <c r="AB2119" s="284"/>
      <c r="AC2119" s="284"/>
      <c r="AD2119" s="284"/>
      <c r="AE2119" s="284"/>
      <c r="AF2119" s="284"/>
      <c r="AG2119" s="284"/>
    </row>
    <row r="2120" spans="1:33" ht="26.4">
      <c r="A2120" s="284"/>
      <c r="B2120" s="284"/>
      <c r="C2120" s="284"/>
      <c r="D2120" s="284"/>
      <c r="E2120" s="284"/>
      <c r="F2120" s="284"/>
      <c r="G2120" s="284"/>
      <c r="H2120" s="284"/>
      <c r="I2120" s="284"/>
      <c r="J2120" s="375"/>
      <c r="K2120" s="375"/>
      <c r="L2120" s="375"/>
      <c r="M2120" s="368"/>
      <c r="N2120" s="368"/>
      <c r="O2120" s="370"/>
      <c r="T2120" s="340"/>
      <c r="V2120" s="378"/>
      <c r="W2120" s="64" ph="1"/>
      <c r="X2120" s="241"/>
      <c r="Y2120" s="284"/>
      <c r="Z2120" s="207"/>
      <c r="AA2120" s="284"/>
      <c r="AB2120" s="284"/>
      <c r="AC2120" s="284"/>
      <c r="AD2120" s="284"/>
      <c r="AE2120" s="284"/>
      <c r="AF2120" s="284"/>
      <c r="AG2120" s="284"/>
    </row>
    <row r="2121" spans="1:33" ht="26.4">
      <c r="A2121" s="284"/>
      <c r="B2121" s="284"/>
      <c r="C2121" s="284"/>
      <c r="D2121" s="284"/>
      <c r="E2121" s="284"/>
      <c r="F2121" s="284"/>
      <c r="G2121" s="284"/>
      <c r="H2121" s="284"/>
      <c r="I2121" s="284"/>
      <c r="J2121" s="375"/>
      <c r="K2121" s="375"/>
      <c r="L2121" s="375"/>
      <c r="M2121" s="368"/>
      <c r="N2121" s="368"/>
      <c r="O2121" s="370"/>
      <c r="T2121" s="340"/>
      <c r="V2121" s="378"/>
      <c r="W2121" s="64" ph="1"/>
      <c r="X2121" s="241"/>
      <c r="Y2121" s="284"/>
      <c r="Z2121" s="207"/>
      <c r="AA2121" s="284"/>
      <c r="AB2121" s="284"/>
      <c r="AC2121" s="284"/>
      <c r="AD2121" s="284"/>
      <c r="AE2121" s="284"/>
      <c r="AF2121" s="284"/>
      <c r="AG2121" s="284"/>
    </row>
    <row r="2122" spans="1:33" ht="26.4">
      <c r="A2122" s="284"/>
      <c r="B2122" s="284"/>
      <c r="C2122" s="284"/>
      <c r="D2122" s="284"/>
      <c r="E2122" s="284"/>
      <c r="F2122" s="284"/>
      <c r="G2122" s="284"/>
      <c r="H2122" s="284"/>
      <c r="I2122" s="284"/>
      <c r="J2122" s="375"/>
      <c r="K2122" s="375"/>
      <c r="L2122" s="375"/>
      <c r="M2122" s="368"/>
      <c r="N2122" s="368"/>
      <c r="O2122" s="370"/>
      <c r="T2122" s="340"/>
      <c r="V2122" s="378"/>
      <c r="W2122" s="64" ph="1"/>
      <c r="X2122" s="241"/>
      <c r="Y2122" s="284"/>
      <c r="Z2122" s="207"/>
      <c r="AA2122" s="284"/>
      <c r="AB2122" s="284"/>
      <c r="AC2122" s="284"/>
      <c r="AD2122" s="284"/>
      <c r="AE2122" s="284"/>
      <c r="AF2122" s="284"/>
      <c r="AG2122" s="284"/>
    </row>
    <row r="2123" spans="1:33" ht="26.4">
      <c r="A2123" s="284"/>
      <c r="B2123" s="284"/>
      <c r="C2123" s="284"/>
      <c r="D2123" s="284"/>
      <c r="E2123" s="284"/>
      <c r="F2123" s="284"/>
      <c r="G2123" s="284"/>
      <c r="H2123" s="284"/>
      <c r="I2123" s="284"/>
      <c r="J2123" s="375"/>
      <c r="K2123" s="375"/>
      <c r="L2123" s="375"/>
      <c r="M2123" s="368"/>
      <c r="N2123" s="368"/>
      <c r="O2123" s="370"/>
      <c r="T2123" s="340"/>
      <c r="V2123" s="378"/>
      <c r="W2123" s="64" ph="1"/>
      <c r="X2123" s="241"/>
      <c r="Y2123" s="284"/>
      <c r="Z2123" s="207"/>
      <c r="AA2123" s="284"/>
      <c r="AB2123" s="284"/>
      <c r="AC2123" s="284"/>
      <c r="AD2123" s="284"/>
      <c r="AE2123" s="284"/>
      <c r="AF2123" s="284"/>
      <c r="AG2123" s="284"/>
    </row>
    <row r="2124" spans="1:33" ht="26.4">
      <c r="A2124" s="284"/>
      <c r="B2124" s="284"/>
      <c r="C2124" s="284"/>
      <c r="D2124" s="284"/>
      <c r="E2124" s="284"/>
      <c r="F2124" s="284"/>
      <c r="G2124" s="284"/>
      <c r="H2124" s="284"/>
      <c r="I2124" s="284"/>
      <c r="J2124" s="375"/>
      <c r="K2124" s="375"/>
      <c r="L2124" s="375"/>
      <c r="M2124" s="368"/>
      <c r="N2124" s="368"/>
      <c r="O2124" s="370"/>
      <c r="T2124" s="340"/>
      <c r="V2124" s="378"/>
      <c r="W2124" s="64" ph="1"/>
      <c r="X2124" s="241"/>
      <c r="Y2124" s="284"/>
      <c r="Z2124" s="207"/>
      <c r="AA2124" s="284"/>
      <c r="AB2124" s="284"/>
      <c r="AC2124" s="284"/>
      <c r="AD2124" s="284"/>
      <c r="AE2124" s="284"/>
      <c r="AF2124" s="284"/>
      <c r="AG2124" s="284"/>
    </row>
    <row r="2125" spans="1:33" ht="26.4">
      <c r="A2125" s="284"/>
      <c r="B2125" s="284"/>
      <c r="C2125" s="284"/>
      <c r="D2125" s="284"/>
      <c r="E2125" s="284"/>
      <c r="F2125" s="284"/>
      <c r="G2125" s="284"/>
      <c r="H2125" s="284"/>
      <c r="I2125" s="284"/>
      <c r="J2125" s="375"/>
      <c r="K2125" s="375"/>
      <c r="L2125" s="375"/>
      <c r="M2125" s="368"/>
      <c r="N2125" s="368"/>
      <c r="O2125" s="370"/>
      <c r="T2125" s="340"/>
      <c r="V2125" s="378"/>
      <c r="W2125" s="64" ph="1"/>
      <c r="X2125" s="241"/>
      <c r="Y2125" s="284"/>
      <c r="Z2125" s="207"/>
      <c r="AA2125" s="284"/>
      <c r="AB2125" s="284"/>
      <c r="AC2125" s="284"/>
      <c r="AD2125" s="284"/>
      <c r="AE2125" s="284"/>
      <c r="AF2125" s="284"/>
      <c r="AG2125" s="284"/>
    </row>
    <row r="2126" spans="1:33" ht="26.4">
      <c r="A2126" s="284"/>
      <c r="B2126" s="284"/>
      <c r="C2126" s="284"/>
      <c r="D2126" s="284"/>
      <c r="E2126" s="284"/>
      <c r="F2126" s="284"/>
      <c r="G2126" s="284"/>
      <c r="H2126" s="284"/>
      <c r="I2126" s="284"/>
      <c r="J2126" s="375"/>
      <c r="K2126" s="375"/>
      <c r="L2126" s="375"/>
      <c r="M2126" s="368"/>
      <c r="N2126" s="368"/>
      <c r="O2126" s="370"/>
      <c r="T2126" s="340"/>
      <c r="V2126" s="378"/>
      <c r="W2126" s="64" ph="1"/>
      <c r="X2126" s="241"/>
      <c r="Y2126" s="284"/>
      <c r="Z2126" s="207"/>
      <c r="AA2126" s="284"/>
      <c r="AB2126" s="284"/>
      <c r="AC2126" s="284"/>
      <c r="AD2126" s="284"/>
      <c r="AE2126" s="284"/>
      <c r="AF2126" s="284"/>
      <c r="AG2126" s="284"/>
    </row>
    <row r="2127" spans="1:33" ht="26.4">
      <c r="A2127" s="284"/>
      <c r="B2127" s="284"/>
      <c r="C2127" s="284"/>
      <c r="D2127" s="284"/>
      <c r="E2127" s="284"/>
      <c r="F2127" s="284"/>
      <c r="G2127" s="284"/>
      <c r="H2127" s="284"/>
      <c r="I2127" s="284"/>
      <c r="J2127" s="375"/>
      <c r="K2127" s="375"/>
      <c r="L2127" s="375"/>
      <c r="M2127" s="368"/>
      <c r="N2127" s="368"/>
      <c r="O2127" s="370"/>
      <c r="T2127" s="340"/>
      <c r="V2127" s="378"/>
      <c r="W2127" s="64" ph="1"/>
      <c r="X2127" s="241"/>
      <c r="Y2127" s="284"/>
      <c r="Z2127" s="207"/>
      <c r="AA2127" s="284"/>
      <c r="AB2127" s="284"/>
      <c r="AC2127" s="284"/>
      <c r="AD2127" s="284"/>
      <c r="AE2127" s="284"/>
      <c r="AF2127" s="284"/>
      <c r="AG2127" s="284"/>
    </row>
    <row r="2128" spans="1:33" ht="26.4">
      <c r="A2128" s="284"/>
      <c r="B2128" s="284"/>
      <c r="C2128" s="284"/>
      <c r="D2128" s="284"/>
      <c r="E2128" s="284"/>
      <c r="F2128" s="284"/>
      <c r="G2128" s="284"/>
      <c r="H2128" s="284"/>
      <c r="I2128" s="284"/>
      <c r="J2128" s="375"/>
      <c r="K2128" s="375"/>
      <c r="L2128" s="375"/>
      <c r="M2128" s="368"/>
      <c r="N2128" s="368"/>
      <c r="O2128" s="370"/>
      <c r="T2128" s="340"/>
      <c r="V2128" s="378"/>
      <c r="W2128" s="64" ph="1"/>
      <c r="X2128" s="241"/>
      <c r="Y2128" s="284"/>
      <c r="Z2128" s="207"/>
      <c r="AA2128" s="284"/>
      <c r="AB2128" s="284"/>
      <c r="AC2128" s="284"/>
      <c r="AD2128" s="284"/>
      <c r="AE2128" s="284"/>
      <c r="AF2128" s="284"/>
      <c r="AG2128" s="284"/>
    </row>
    <row r="2129" spans="1:33" ht="26.4">
      <c r="A2129" s="284"/>
      <c r="B2129" s="284"/>
      <c r="C2129" s="284"/>
      <c r="D2129" s="284"/>
      <c r="E2129" s="284"/>
      <c r="F2129" s="284"/>
      <c r="G2129" s="284"/>
      <c r="H2129" s="284"/>
      <c r="I2129" s="284"/>
      <c r="J2129" s="375"/>
      <c r="K2129" s="375"/>
      <c r="L2129" s="375"/>
      <c r="M2129" s="368"/>
      <c r="N2129" s="368"/>
      <c r="O2129" s="370"/>
      <c r="T2129" s="340"/>
      <c r="V2129" s="378"/>
      <c r="W2129" s="64" ph="1"/>
      <c r="X2129" s="241"/>
      <c r="Y2129" s="284"/>
      <c r="Z2129" s="207"/>
      <c r="AA2129" s="284"/>
      <c r="AB2129" s="284"/>
      <c r="AC2129" s="284"/>
      <c r="AD2129" s="284"/>
      <c r="AE2129" s="284"/>
      <c r="AF2129" s="284"/>
      <c r="AG2129" s="284"/>
    </row>
    <row r="2130" spans="1:33" ht="26.4">
      <c r="A2130" s="284"/>
      <c r="B2130" s="284"/>
      <c r="C2130" s="284"/>
      <c r="D2130" s="284"/>
      <c r="E2130" s="284"/>
      <c r="F2130" s="284"/>
      <c r="G2130" s="284"/>
      <c r="H2130" s="284"/>
      <c r="I2130" s="284"/>
      <c r="J2130" s="375"/>
      <c r="K2130" s="375"/>
      <c r="L2130" s="375"/>
      <c r="M2130" s="368"/>
      <c r="N2130" s="368"/>
      <c r="O2130" s="370"/>
      <c r="T2130" s="340"/>
      <c r="V2130" s="378"/>
      <c r="W2130" s="64" ph="1"/>
      <c r="X2130" s="241"/>
      <c r="Y2130" s="284"/>
      <c r="Z2130" s="207"/>
      <c r="AA2130" s="284"/>
      <c r="AB2130" s="284"/>
      <c r="AC2130" s="284"/>
      <c r="AD2130" s="284"/>
      <c r="AE2130" s="284"/>
      <c r="AF2130" s="284"/>
      <c r="AG2130" s="284"/>
    </row>
    <row r="2131" spans="1:33" ht="26.4">
      <c r="A2131" s="284"/>
      <c r="B2131" s="284"/>
      <c r="C2131" s="284"/>
      <c r="D2131" s="284"/>
      <c r="E2131" s="284"/>
      <c r="F2131" s="284"/>
      <c r="G2131" s="284"/>
      <c r="H2131" s="284"/>
      <c r="I2131" s="284"/>
      <c r="J2131" s="375"/>
      <c r="K2131" s="375"/>
      <c r="L2131" s="375"/>
      <c r="M2131" s="368"/>
      <c r="N2131" s="368"/>
      <c r="O2131" s="370"/>
      <c r="T2131" s="340"/>
      <c r="V2131" s="378"/>
      <c r="W2131" s="64" ph="1"/>
      <c r="X2131" s="241"/>
      <c r="Y2131" s="284"/>
      <c r="Z2131" s="207"/>
      <c r="AA2131" s="284"/>
      <c r="AB2131" s="284"/>
      <c r="AC2131" s="284"/>
      <c r="AD2131" s="284"/>
      <c r="AE2131" s="284"/>
      <c r="AF2131" s="284"/>
      <c r="AG2131" s="284"/>
    </row>
    <row r="2132" spans="1:33" ht="26.4">
      <c r="A2132" s="284"/>
      <c r="B2132" s="284"/>
      <c r="C2132" s="284"/>
      <c r="D2132" s="284"/>
      <c r="E2132" s="284"/>
      <c r="F2132" s="284"/>
      <c r="G2132" s="284"/>
      <c r="H2132" s="284"/>
      <c r="I2132" s="284"/>
      <c r="J2132" s="375"/>
      <c r="K2132" s="375"/>
      <c r="L2132" s="375"/>
      <c r="M2132" s="368"/>
      <c r="N2132" s="368"/>
      <c r="O2132" s="370"/>
      <c r="T2132" s="340"/>
      <c r="V2132" s="378"/>
      <c r="W2132" s="64" ph="1"/>
      <c r="X2132" s="241"/>
      <c r="Y2132" s="284"/>
      <c r="Z2132" s="207"/>
      <c r="AA2132" s="284"/>
      <c r="AB2132" s="284"/>
      <c r="AC2132" s="284"/>
      <c r="AD2132" s="284"/>
      <c r="AE2132" s="284"/>
      <c r="AF2132" s="284"/>
      <c r="AG2132" s="284"/>
    </row>
    <row r="2133" spans="1:33" ht="26.4">
      <c r="A2133" s="284"/>
      <c r="B2133" s="284"/>
      <c r="C2133" s="284"/>
      <c r="D2133" s="284"/>
      <c r="E2133" s="284"/>
      <c r="F2133" s="284"/>
      <c r="G2133" s="284"/>
      <c r="H2133" s="284"/>
      <c r="I2133" s="284"/>
      <c r="J2133" s="375"/>
      <c r="K2133" s="375"/>
      <c r="L2133" s="375"/>
      <c r="M2133" s="368"/>
      <c r="N2133" s="368"/>
      <c r="O2133" s="370"/>
      <c r="T2133" s="340"/>
      <c r="V2133" s="378"/>
      <c r="W2133" s="64" ph="1"/>
      <c r="X2133" s="241"/>
      <c r="Y2133" s="284"/>
      <c r="Z2133" s="207"/>
      <c r="AA2133" s="284"/>
      <c r="AB2133" s="284"/>
      <c r="AC2133" s="284"/>
      <c r="AD2133" s="284"/>
      <c r="AE2133" s="284"/>
      <c r="AF2133" s="284"/>
      <c r="AG2133" s="284"/>
    </row>
    <row r="2134" spans="1:33" ht="26.4">
      <c r="A2134" s="284"/>
      <c r="B2134" s="284"/>
      <c r="C2134" s="284"/>
      <c r="D2134" s="284"/>
      <c r="E2134" s="284"/>
      <c r="F2134" s="284"/>
      <c r="G2134" s="284"/>
      <c r="H2134" s="284"/>
      <c r="I2134" s="284"/>
      <c r="J2134" s="375"/>
      <c r="K2134" s="375"/>
      <c r="L2134" s="375"/>
      <c r="M2134" s="368"/>
      <c r="N2134" s="368"/>
      <c r="O2134" s="370"/>
      <c r="T2134" s="340"/>
      <c r="V2134" s="378"/>
      <c r="W2134" s="64" ph="1"/>
      <c r="X2134" s="241"/>
      <c r="Y2134" s="284"/>
      <c r="Z2134" s="207"/>
      <c r="AA2134" s="284"/>
      <c r="AB2134" s="284"/>
      <c r="AC2134" s="284"/>
      <c r="AD2134" s="284"/>
      <c r="AE2134" s="284"/>
      <c r="AF2134" s="284"/>
      <c r="AG2134" s="284"/>
    </row>
    <row r="2135" spans="1:33" ht="26.4">
      <c r="A2135" s="284"/>
      <c r="B2135" s="284"/>
      <c r="C2135" s="284"/>
      <c r="D2135" s="284"/>
      <c r="E2135" s="284"/>
      <c r="F2135" s="284"/>
      <c r="G2135" s="284"/>
      <c r="H2135" s="284"/>
      <c r="I2135" s="284"/>
      <c r="J2135" s="375"/>
      <c r="K2135" s="375"/>
      <c r="L2135" s="375"/>
      <c r="M2135" s="368"/>
      <c r="N2135" s="368"/>
      <c r="O2135" s="370"/>
      <c r="T2135" s="340"/>
      <c r="V2135" s="378"/>
      <c r="W2135" s="64" ph="1"/>
      <c r="X2135" s="241"/>
      <c r="Y2135" s="284"/>
      <c r="Z2135" s="207"/>
      <c r="AA2135" s="284"/>
      <c r="AB2135" s="284"/>
      <c r="AC2135" s="284"/>
      <c r="AD2135" s="284"/>
      <c r="AE2135" s="284"/>
      <c r="AF2135" s="284"/>
      <c r="AG2135" s="284"/>
    </row>
    <row r="2136" spans="1:33" ht="26.4">
      <c r="A2136" s="284"/>
      <c r="B2136" s="284"/>
      <c r="C2136" s="284"/>
      <c r="D2136" s="284"/>
      <c r="E2136" s="284"/>
      <c r="F2136" s="284"/>
      <c r="G2136" s="284"/>
      <c r="H2136" s="284"/>
      <c r="I2136" s="284"/>
      <c r="J2136" s="375"/>
      <c r="K2136" s="375"/>
      <c r="L2136" s="375"/>
      <c r="M2136" s="368"/>
      <c r="N2136" s="368"/>
      <c r="O2136" s="370"/>
      <c r="T2136" s="340"/>
      <c r="V2136" s="378"/>
      <c r="W2136" s="64" ph="1"/>
      <c r="X2136" s="241"/>
      <c r="Y2136" s="284"/>
      <c r="Z2136" s="207"/>
      <c r="AA2136" s="284"/>
      <c r="AB2136" s="284"/>
      <c r="AC2136" s="284"/>
      <c r="AD2136" s="284"/>
      <c r="AE2136" s="284"/>
      <c r="AF2136" s="284"/>
      <c r="AG2136" s="284"/>
    </row>
    <row r="2137" spans="1:33" ht="26.4">
      <c r="A2137" s="284"/>
      <c r="B2137" s="284"/>
      <c r="C2137" s="284"/>
      <c r="D2137" s="284"/>
      <c r="E2137" s="284"/>
      <c r="F2137" s="284"/>
      <c r="G2137" s="284"/>
      <c r="H2137" s="284"/>
      <c r="I2137" s="284"/>
      <c r="J2137" s="375"/>
      <c r="K2137" s="375"/>
      <c r="L2137" s="375"/>
      <c r="M2137" s="368"/>
      <c r="N2137" s="368"/>
      <c r="O2137" s="370"/>
      <c r="T2137" s="340"/>
      <c r="V2137" s="378"/>
      <c r="W2137" s="64" ph="1"/>
      <c r="X2137" s="241"/>
      <c r="Y2137" s="284"/>
      <c r="Z2137" s="207"/>
      <c r="AA2137" s="284"/>
      <c r="AB2137" s="284"/>
      <c r="AC2137" s="284"/>
      <c r="AD2137" s="284"/>
      <c r="AE2137" s="284"/>
      <c r="AF2137" s="284"/>
      <c r="AG2137" s="284"/>
    </row>
    <row r="2138" spans="1:33" ht="26.4">
      <c r="A2138" s="284"/>
      <c r="B2138" s="284"/>
      <c r="C2138" s="284"/>
      <c r="D2138" s="284"/>
      <c r="E2138" s="284"/>
      <c r="F2138" s="284"/>
      <c r="G2138" s="284"/>
      <c r="H2138" s="284"/>
      <c r="I2138" s="284"/>
      <c r="J2138" s="375"/>
      <c r="K2138" s="375"/>
      <c r="L2138" s="375"/>
      <c r="M2138" s="368"/>
      <c r="N2138" s="368"/>
      <c r="O2138" s="370"/>
      <c r="T2138" s="340"/>
      <c r="V2138" s="378"/>
      <c r="W2138" s="64" ph="1"/>
      <c r="X2138" s="241"/>
      <c r="Y2138" s="284"/>
      <c r="Z2138" s="207"/>
      <c r="AA2138" s="284"/>
      <c r="AB2138" s="284"/>
      <c r="AC2138" s="284"/>
      <c r="AD2138" s="284"/>
      <c r="AE2138" s="284"/>
      <c r="AF2138" s="284"/>
      <c r="AG2138" s="284"/>
    </row>
    <row r="2139" spans="1:33" ht="26.4">
      <c r="A2139" s="284"/>
      <c r="B2139" s="284"/>
      <c r="C2139" s="284"/>
      <c r="D2139" s="284"/>
      <c r="E2139" s="284"/>
      <c r="F2139" s="284"/>
      <c r="G2139" s="284"/>
      <c r="H2139" s="284"/>
      <c r="I2139" s="284"/>
      <c r="J2139" s="375"/>
      <c r="K2139" s="375"/>
      <c r="L2139" s="375"/>
      <c r="M2139" s="368"/>
      <c r="N2139" s="368"/>
      <c r="O2139" s="370"/>
      <c r="T2139" s="340"/>
      <c r="V2139" s="378"/>
      <c r="W2139" s="64" ph="1"/>
      <c r="X2139" s="241"/>
      <c r="Y2139" s="284"/>
      <c r="Z2139" s="207"/>
      <c r="AA2139" s="284"/>
      <c r="AB2139" s="284"/>
      <c r="AC2139" s="284"/>
      <c r="AD2139" s="284"/>
      <c r="AE2139" s="284"/>
      <c r="AF2139" s="284"/>
      <c r="AG2139" s="284"/>
    </row>
    <row r="2140" spans="1:33" ht="26.4">
      <c r="A2140" s="284"/>
      <c r="B2140" s="284"/>
      <c r="C2140" s="284"/>
      <c r="D2140" s="284"/>
      <c r="E2140" s="284"/>
      <c r="F2140" s="284"/>
      <c r="G2140" s="284"/>
      <c r="H2140" s="284"/>
      <c r="I2140" s="284"/>
      <c r="J2140" s="375"/>
      <c r="K2140" s="375"/>
      <c r="L2140" s="375"/>
      <c r="M2140" s="368"/>
      <c r="N2140" s="368"/>
      <c r="O2140" s="370"/>
      <c r="T2140" s="340"/>
      <c r="V2140" s="378"/>
      <c r="W2140" s="64" ph="1"/>
      <c r="X2140" s="241"/>
      <c r="Y2140" s="284"/>
      <c r="Z2140" s="207"/>
      <c r="AA2140" s="284"/>
      <c r="AB2140" s="284"/>
      <c r="AC2140" s="284"/>
      <c r="AD2140" s="284"/>
      <c r="AE2140" s="284"/>
      <c r="AF2140" s="284"/>
      <c r="AG2140" s="284"/>
    </row>
    <row r="2141" spans="1:33" ht="26.4">
      <c r="A2141" s="284"/>
      <c r="B2141" s="284"/>
      <c r="C2141" s="284"/>
      <c r="D2141" s="284"/>
      <c r="E2141" s="284"/>
      <c r="F2141" s="284"/>
      <c r="G2141" s="284"/>
      <c r="H2141" s="284"/>
      <c r="I2141" s="284"/>
      <c r="J2141" s="375"/>
      <c r="K2141" s="375"/>
      <c r="L2141" s="375"/>
      <c r="M2141" s="368"/>
      <c r="N2141" s="368"/>
      <c r="O2141" s="370"/>
      <c r="T2141" s="340"/>
      <c r="V2141" s="378"/>
      <c r="W2141" s="64" ph="1"/>
      <c r="X2141" s="241"/>
      <c r="Y2141" s="284"/>
      <c r="Z2141" s="207"/>
      <c r="AA2141" s="284"/>
      <c r="AB2141" s="284"/>
      <c r="AC2141" s="284"/>
      <c r="AD2141" s="284"/>
      <c r="AE2141" s="284"/>
      <c r="AF2141" s="284"/>
      <c r="AG2141" s="284"/>
    </row>
    <row r="2142" spans="1:33" ht="26.4">
      <c r="A2142" s="284"/>
      <c r="B2142" s="284"/>
      <c r="C2142" s="284"/>
      <c r="D2142" s="284"/>
      <c r="E2142" s="284"/>
      <c r="F2142" s="284"/>
      <c r="G2142" s="284"/>
      <c r="H2142" s="284"/>
      <c r="I2142" s="284"/>
      <c r="J2142" s="375"/>
      <c r="K2142" s="375"/>
      <c r="L2142" s="375"/>
      <c r="M2142" s="368"/>
      <c r="N2142" s="368"/>
      <c r="O2142" s="370"/>
      <c r="T2142" s="340"/>
      <c r="V2142" s="378"/>
      <c r="W2142" s="64" ph="1"/>
      <c r="X2142" s="241"/>
      <c r="Y2142" s="284"/>
      <c r="Z2142" s="207"/>
      <c r="AA2142" s="284"/>
      <c r="AB2142" s="284"/>
      <c r="AC2142" s="284"/>
      <c r="AD2142" s="284"/>
      <c r="AE2142" s="284"/>
      <c r="AF2142" s="284"/>
      <c r="AG2142" s="284"/>
    </row>
    <row r="2143" spans="1:33" ht="26.4">
      <c r="A2143" s="284"/>
      <c r="B2143" s="284"/>
      <c r="C2143" s="284"/>
      <c r="D2143" s="284"/>
      <c r="E2143" s="284"/>
      <c r="F2143" s="284"/>
      <c r="G2143" s="284"/>
      <c r="H2143" s="284"/>
      <c r="I2143" s="284"/>
      <c r="J2143" s="375"/>
      <c r="K2143" s="375"/>
      <c r="L2143" s="375"/>
      <c r="M2143" s="368"/>
      <c r="N2143" s="368"/>
      <c r="O2143" s="370"/>
      <c r="T2143" s="340"/>
      <c r="V2143" s="378"/>
      <c r="W2143" s="64" ph="1"/>
      <c r="X2143" s="241"/>
      <c r="Y2143" s="284"/>
      <c r="Z2143" s="207"/>
      <c r="AA2143" s="284"/>
      <c r="AB2143" s="284"/>
      <c r="AC2143" s="284"/>
      <c r="AD2143" s="284"/>
      <c r="AE2143" s="284"/>
      <c r="AF2143" s="284"/>
      <c r="AG2143" s="284"/>
    </row>
    <row r="2144" spans="1:33" ht="26.4">
      <c r="A2144" s="284"/>
      <c r="B2144" s="284"/>
      <c r="C2144" s="284"/>
      <c r="D2144" s="284"/>
      <c r="E2144" s="284"/>
      <c r="F2144" s="284"/>
      <c r="G2144" s="284"/>
      <c r="H2144" s="284"/>
      <c r="I2144" s="284"/>
      <c r="J2144" s="375"/>
      <c r="K2144" s="375"/>
      <c r="L2144" s="375"/>
      <c r="M2144" s="368"/>
      <c r="N2144" s="368"/>
      <c r="O2144" s="370"/>
      <c r="T2144" s="340"/>
      <c r="V2144" s="378"/>
      <c r="W2144" s="64" ph="1"/>
      <c r="X2144" s="241"/>
      <c r="Y2144" s="284"/>
      <c r="Z2144" s="207"/>
      <c r="AA2144" s="284"/>
      <c r="AB2144" s="284"/>
      <c r="AC2144" s="284"/>
      <c r="AD2144" s="284"/>
      <c r="AE2144" s="284"/>
      <c r="AF2144" s="284"/>
      <c r="AG2144" s="284"/>
    </row>
    <row r="2145" spans="1:33" ht="26.4">
      <c r="A2145" s="284"/>
      <c r="B2145" s="284"/>
      <c r="C2145" s="284"/>
      <c r="D2145" s="284"/>
      <c r="E2145" s="284"/>
      <c r="F2145" s="284"/>
      <c r="G2145" s="284"/>
      <c r="H2145" s="284"/>
      <c r="I2145" s="284"/>
      <c r="J2145" s="375"/>
      <c r="K2145" s="375"/>
      <c r="L2145" s="375"/>
      <c r="M2145" s="368"/>
      <c r="N2145" s="368"/>
      <c r="O2145" s="370"/>
      <c r="T2145" s="340"/>
      <c r="V2145" s="378"/>
      <c r="W2145" s="64" ph="1"/>
      <c r="X2145" s="241"/>
      <c r="Y2145" s="284"/>
      <c r="Z2145" s="207"/>
      <c r="AA2145" s="284"/>
      <c r="AB2145" s="284"/>
      <c r="AC2145" s="284"/>
      <c r="AD2145" s="284"/>
      <c r="AE2145" s="284"/>
      <c r="AF2145" s="284"/>
      <c r="AG2145" s="284"/>
    </row>
    <row r="2146" spans="1:33" ht="26.4">
      <c r="A2146" s="284"/>
      <c r="B2146" s="284"/>
      <c r="C2146" s="284"/>
      <c r="D2146" s="284"/>
      <c r="E2146" s="284"/>
      <c r="F2146" s="284"/>
      <c r="G2146" s="284"/>
      <c r="H2146" s="284"/>
      <c r="I2146" s="284"/>
      <c r="J2146" s="375"/>
      <c r="K2146" s="375"/>
      <c r="L2146" s="375"/>
      <c r="M2146" s="368"/>
      <c r="N2146" s="368"/>
      <c r="O2146" s="370"/>
      <c r="T2146" s="340"/>
      <c r="V2146" s="378"/>
      <c r="W2146" s="64" ph="1"/>
      <c r="X2146" s="241"/>
      <c r="Y2146" s="284"/>
      <c r="Z2146" s="207"/>
      <c r="AA2146" s="284"/>
      <c r="AB2146" s="284"/>
      <c r="AC2146" s="284"/>
      <c r="AD2146" s="284"/>
      <c r="AE2146" s="284"/>
      <c r="AF2146" s="284"/>
      <c r="AG2146" s="284"/>
    </row>
    <row r="2147" spans="1:33" ht="26.4">
      <c r="A2147" s="284"/>
      <c r="B2147" s="284"/>
      <c r="C2147" s="284"/>
      <c r="D2147" s="284"/>
      <c r="E2147" s="284"/>
      <c r="F2147" s="284"/>
      <c r="G2147" s="284"/>
      <c r="H2147" s="284"/>
      <c r="I2147" s="284"/>
      <c r="J2147" s="375"/>
      <c r="K2147" s="375"/>
      <c r="L2147" s="375"/>
      <c r="M2147" s="368"/>
      <c r="N2147" s="368"/>
      <c r="O2147" s="370"/>
      <c r="T2147" s="340"/>
      <c r="V2147" s="378"/>
      <c r="W2147" s="64" ph="1"/>
      <c r="X2147" s="241"/>
      <c r="Y2147" s="284"/>
      <c r="Z2147" s="207"/>
      <c r="AA2147" s="284"/>
      <c r="AB2147" s="284"/>
      <c r="AC2147" s="284"/>
      <c r="AD2147" s="284"/>
      <c r="AE2147" s="284"/>
      <c r="AF2147" s="284"/>
      <c r="AG2147" s="284"/>
    </row>
    <row r="2148" spans="1:33" ht="26.4">
      <c r="A2148" s="284"/>
      <c r="B2148" s="284"/>
      <c r="C2148" s="284"/>
      <c r="D2148" s="284"/>
      <c r="E2148" s="284"/>
      <c r="F2148" s="284"/>
      <c r="G2148" s="284"/>
      <c r="H2148" s="284"/>
      <c r="I2148" s="284"/>
      <c r="J2148" s="375"/>
      <c r="K2148" s="375"/>
      <c r="L2148" s="375"/>
      <c r="M2148" s="368"/>
      <c r="N2148" s="368"/>
      <c r="O2148" s="370"/>
      <c r="T2148" s="340"/>
      <c r="V2148" s="378"/>
      <c r="W2148" s="64" ph="1"/>
      <c r="X2148" s="241"/>
      <c r="Y2148" s="284"/>
      <c r="Z2148" s="207"/>
      <c r="AA2148" s="284"/>
      <c r="AB2148" s="284"/>
      <c r="AC2148" s="284"/>
      <c r="AD2148" s="284"/>
      <c r="AE2148" s="284"/>
      <c r="AF2148" s="284"/>
      <c r="AG2148" s="284"/>
    </row>
    <row r="2149" spans="1:33" ht="26.4">
      <c r="A2149" s="284"/>
      <c r="B2149" s="284"/>
      <c r="C2149" s="284"/>
      <c r="D2149" s="284"/>
      <c r="E2149" s="284"/>
      <c r="F2149" s="284"/>
      <c r="G2149" s="284"/>
      <c r="H2149" s="284"/>
      <c r="I2149" s="284"/>
      <c r="J2149" s="375"/>
      <c r="K2149" s="375"/>
      <c r="L2149" s="375"/>
      <c r="M2149" s="368"/>
      <c r="N2149" s="368"/>
      <c r="O2149" s="370"/>
      <c r="T2149" s="340"/>
      <c r="V2149" s="378"/>
      <c r="W2149" s="64" ph="1"/>
      <c r="X2149" s="241"/>
      <c r="Y2149" s="284"/>
      <c r="Z2149" s="207"/>
      <c r="AA2149" s="284"/>
      <c r="AB2149" s="284"/>
      <c r="AC2149" s="284"/>
      <c r="AD2149" s="284"/>
      <c r="AE2149" s="284"/>
      <c r="AF2149" s="284"/>
      <c r="AG2149" s="284"/>
    </row>
    <row r="2150" spans="1:33" ht="26.4">
      <c r="A2150" s="284"/>
      <c r="B2150" s="284"/>
      <c r="C2150" s="284"/>
      <c r="D2150" s="284"/>
      <c r="E2150" s="284"/>
      <c r="F2150" s="284"/>
      <c r="G2150" s="284"/>
      <c r="H2150" s="284"/>
      <c r="I2150" s="284"/>
      <c r="J2150" s="375"/>
      <c r="K2150" s="375"/>
      <c r="L2150" s="375"/>
      <c r="M2150" s="368"/>
      <c r="N2150" s="368"/>
      <c r="O2150" s="370"/>
      <c r="T2150" s="340"/>
      <c r="V2150" s="378"/>
      <c r="W2150" s="64" ph="1"/>
      <c r="X2150" s="241"/>
      <c r="Y2150" s="284"/>
      <c r="Z2150" s="207"/>
      <c r="AA2150" s="284"/>
      <c r="AB2150" s="284"/>
      <c r="AC2150" s="284"/>
      <c r="AD2150" s="284"/>
      <c r="AE2150" s="284"/>
      <c r="AF2150" s="284"/>
      <c r="AG2150" s="284"/>
    </row>
    <row r="2151" spans="1:33" ht="26.4">
      <c r="A2151" s="284"/>
      <c r="B2151" s="284"/>
      <c r="C2151" s="284"/>
      <c r="D2151" s="284"/>
      <c r="E2151" s="284"/>
      <c r="F2151" s="284"/>
      <c r="G2151" s="284"/>
      <c r="H2151" s="284"/>
      <c r="I2151" s="284"/>
      <c r="J2151" s="375"/>
      <c r="K2151" s="375"/>
      <c r="L2151" s="375"/>
      <c r="M2151" s="368"/>
      <c r="N2151" s="368"/>
      <c r="O2151" s="370"/>
      <c r="T2151" s="340"/>
      <c r="V2151" s="378"/>
      <c r="W2151" s="64" ph="1"/>
      <c r="X2151" s="241"/>
      <c r="Y2151" s="284"/>
      <c r="Z2151" s="207"/>
      <c r="AA2151" s="284"/>
      <c r="AB2151" s="284"/>
      <c r="AC2151" s="284"/>
      <c r="AD2151" s="284"/>
      <c r="AE2151" s="284"/>
      <c r="AF2151" s="284"/>
      <c r="AG2151" s="284"/>
    </row>
    <row r="2152" spans="1:33" ht="26.4">
      <c r="A2152" s="284"/>
      <c r="B2152" s="284"/>
      <c r="C2152" s="284"/>
      <c r="D2152" s="284"/>
      <c r="E2152" s="284"/>
      <c r="F2152" s="284"/>
      <c r="G2152" s="284"/>
      <c r="H2152" s="284"/>
      <c r="I2152" s="284"/>
      <c r="J2152" s="375"/>
      <c r="K2152" s="375"/>
      <c r="L2152" s="375"/>
      <c r="M2152" s="368"/>
      <c r="N2152" s="368"/>
      <c r="O2152" s="370"/>
      <c r="T2152" s="340"/>
      <c r="V2152" s="378"/>
      <c r="W2152" s="64" ph="1"/>
      <c r="X2152" s="241"/>
      <c r="Y2152" s="284"/>
      <c r="Z2152" s="207"/>
      <c r="AA2152" s="284"/>
      <c r="AB2152" s="284"/>
      <c r="AC2152" s="284"/>
      <c r="AD2152" s="284"/>
      <c r="AE2152" s="284"/>
      <c r="AF2152" s="284"/>
      <c r="AG2152" s="284"/>
    </row>
    <row r="2153" spans="1:33" ht="26.4">
      <c r="A2153" s="284"/>
      <c r="B2153" s="284"/>
      <c r="C2153" s="284"/>
      <c r="D2153" s="284"/>
      <c r="E2153" s="284"/>
      <c r="F2153" s="284"/>
      <c r="G2153" s="284"/>
      <c r="H2153" s="284"/>
      <c r="I2153" s="284"/>
      <c r="J2153" s="375"/>
      <c r="K2153" s="375"/>
      <c r="L2153" s="375"/>
      <c r="M2153" s="368"/>
      <c r="N2153" s="368"/>
      <c r="O2153" s="370"/>
      <c r="T2153" s="340"/>
      <c r="V2153" s="378"/>
      <c r="W2153" s="64" ph="1"/>
      <c r="X2153" s="241"/>
      <c r="Y2153" s="284"/>
      <c r="Z2153" s="207"/>
      <c r="AA2153" s="284"/>
      <c r="AB2153" s="284"/>
      <c r="AC2153" s="284"/>
      <c r="AD2153" s="284"/>
      <c r="AE2153" s="284"/>
      <c r="AF2153" s="284"/>
      <c r="AG2153" s="284"/>
    </row>
    <row r="2154" spans="1:33" ht="26.4">
      <c r="A2154" s="284"/>
      <c r="B2154" s="284"/>
      <c r="C2154" s="284"/>
      <c r="D2154" s="284"/>
      <c r="E2154" s="284"/>
      <c r="F2154" s="284"/>
      <c r="G2154" s="284"/>
      <c r="H2154" s="284"/>
      <c r="I2154" s="284"/>
      <c r="J2154" s="375"/>
      <c r="K2154" s="375"/>
      <c r="L2154" s="375"/>
      <c r="M2154" s="368"/>
      <c r="N2154" s="368"/>
      <c r="O2154" s="370"/>
      <c r="T2154" s="340"/>
      <c r="V2154" s="378"/>
      <c r="W2154" s="64" ph="1"/>
      <c r="X2154" s="241"/>
      <c r="Y2154" s="284"/>
      <c r="Z2154" s="207"/>
      <c r="AA2154" s="284"/>
      <c r="AB2154" s="284"/>
      <c r="AC2154" s="284"/>
      <c r="AD2154" s="284"/>
      <c r="AE2154" s="284"/>
      <c r="AF2154" s="284"/>
      <c r="AG2154" s="284"/>
    </row>
    <row r="2155" spans="1:33" ht="26.4">
      <c r="A2155" s="284"/>
      <c r="B2155" s="284"/>
      <c r="C2155" s="284"/>
      <c r="D2155" s="284"/>
      <c r="E2155" s="284"/>
      <c r="F2155" s="284"/>
      <c r="G2155" s="284"/>
      <c r="H2155" s="284"/>
      <c r="I2155" s="284"/>
      <c r="J2155" s="375"/>
      <c r="K2155" s="375"/>
      <c r="L2155" s="375"/>
      <c r="M2155" s="368"/>
      <c r="N2155" s="368"/>
      <c r="O2155" s="370"/>
      <c r="T2155" s="340"/>
      <c r="V2155" s="378"/>
      <c r="W2155" s="64" ph="1"/>
      <c r="X2155" s="241"/>
      <c r="Y2155" s="284"/>
      <c r="Z2155" s="207"/>
      <c r="AA2155" s="284"/>
      <c r="AB2155" s="284"/>
      <c r="AC2155" s="284"/>
      <c r="AD2155" s="284"/>
      <c r="AE2155" s="284"/>
      <c r="AF2155" s="284"/>
      <c r="AG2155" s="284"/>
    </row>
    <row r="2156" spans="1:33" ht="26.4">
      <c r="A2156" s="284"/>
      <c r="B2156" s="284"/>
      <c r="C2156" s="284"/>
      <c r="D2156" s="284"/>
      <c r="E2156" s="284"/>
      <c r="F2156" s="284"/>
      <c r="G2156" s="284"/>
      <c r="H2156" s="284"/>
      <c r="I2156" s="284"/>
      <c r="J2156" s="375"/>
      <c r="K2156" s="375"/>
      <c r="L2156" s="375"/>
      <c r="M2156" s="368"/>
      <c r="N2156" s="368"/>
      <c r="O2156" s="370"/>
      <c r="T2156" s="340"/>
      <c r="V2156" s="378"/>
      <c r="W2156" s="64" ph="1"/>
      <c r="X2156" s="241"/>
      <c r="Y2156" s="284"/>
      <c r="Z2156" s="207"/>
      <c r="AA2156" s="284"/>
      <c r="AB2156" s="284"/>
      <c r="AC2156" s="284"/>
      <c r="AD2156" s="284"/>
      <c r="AE2156" s="284"/>
      <c r="AF2156" s="284"/>
      <c r="AG2156" s="284"/>
    </row>
    <row r="2157" spans="1:33" ht="26.4">
      <c r="A2157" s="284"/>
      <c r="B2157" s="284"/>
      <c r="C2157" s="284"/>
      <c r="D2157" s="284"/>
      <c r="E2157" s="284"/>
      <c r="F2157" s="284"/>
      <c r="G2157" s="284"/>
      <c r="H2157" s="284"/>
      <c r="I2157" s="284"/>
      <c r="J2157" s="375"/>
      <c r="K2157" s="375"/>
      <c r="L2157" s="375"/>
      <c r="M2157" s="368"/>
      <c r="N2157" s="368"/>
      <c r="O2157" s="370"/>
      <c r="T2157" s="340"/>
      <c r="V2157" s="378"/>
      <c r="W2157" s="64" ph="1"/>
      <c r="X2157" s="241"/>
      <c r="Y2157" s="284"/>
      <c r="Z2157" s="207"/>
      <c r="AA2157" s="284"/>
      <c r="AB2157" s="284"/>
      <c r="AC2157" s="284"/>
      <c r="AD2157" s="284"/>
      <c r="AE2157" s="284"/>
      <c r="AF2157" s="284"/>
      <c r="AG2157" s="284"/>
    </row>
    <row r="2158" spans="1:33" ht="26.4">
      <c r="A2158" s="284"/>
      <c r="B2158" s="284"/>
      <c r="C2158" s="284"/>
      <c r="D2158" s="284"/>
      <c r="E2158" s="284"/>
      <c r="F2158" s="284"/>
      <c r="G2158" s="284"/>
      <c r="H2158" s="284"/>
      <c r="I2158" s="284"/>
      <c r="J2158" s="375"/>
      <c r="K2158" s="375"/>
      <c r="L2158" s="375"/>
      <c r="M2158" s="368"/>
      <c r="N2158" s="368"/>
      <c r="O2158" s="370"/>
      <c r="T2158" s="340"/>
      <c r="V2158" s="378"/>
      <c r="W2158" s="64" ph="1"/>
      <c r="X2158" s="241"/>
      <c r="Y2158" s="284"/>
      <c r="Z2158" s="207"/>
      <c r="AA2158" s="284"/>
      <c r="AB2158" s="284"/>
      <c r="AC2158" s="284"/>
      <c r="AD2158" s="284"/>
      <c r="AE2158" s="284"/>
      <c r="AF2158" s="284"/>
      <c r="AG2158" s="284"/>
    </row>
    <row r="2159" spans="1:33" ht="26.4">
      <c r="A2159" s="284"/>
      <c r="B2159" s="284"/>
      <c r="C2159" s="284"/>
      <c r="D2159" s="284"/>
      <c r="E2159" s="284"/>
      <c r="F2159" s="284"/>
      <c r="G2159" s="284"/>
      <c r="H2159" s="284"/>
      <c r="I2159" s="284"/>
      <c r="J2159" s="375"/>
      <c r="K2159" s="375"/>
      <c r="L2159" s="375"/>
      <c r="M2159" s="368"/>
      <c r="N2159" s="368"/>
      <c r="O2159" s="370"/>
      <c r="T2159" s="340"/>
      <c r="V2159" s="378"/>
      <c r="W2159" s="64" ph="1"/>
      <c r="X2159" s="241"/>
      <c r="Y2159" s="284"/>
      <c r="Z2159" s="207"/>
      <c r="AA2159" s="284"/>
      <c r="AB2159" s="284"/>
      <c r="AC2159" s="284"/>
      <c r="AD2159" s="284"/>
      <c r="AE2159" s="284"/>
      <c r="AF2159" s="284"/>
      <c r="AG2159" s="284"/>
    </row>
    <row r="2160" spans="1:33" ht="26.4">
      <c r="A2160" s="284"/>
      <c r="B2160" s="284"/>
      <c r="C2160" s="284"/>
      <c r="D2160" s="284"/>
      <c r="E2160" s="284"/>
      <c r="F2160" s="284"/>
      <c r="G2160" s="284"/>
      <c r="H2160" s="284"/>
      <c r="I2160" s="284"/>
      <c r="J2160" s="375"/>
      <c r="K2160" s="375"/>
      <c r="L2160" s="375"/>
      <c r="M2160" s="368"/>
      <c r="N2160" s="368"/>
      <c r="O2160" s="370"/>
      <c r="T2160" s="340"/>
      <c r="V2160" s="378"/>
      <c r="W2160" s="64" ph="1"/>
      <c r="X2160" s="241"/>
      <c r="Y2160" s="284"/>
      <c r="Z2160" s="207"/>
      <c r="AA2160" s="284"/>
      <c r="AB2160" s="284"/>
      <c r="AC2160" s="284"/>
      <c r="AD2160" s="284"/>
      <c r="AE2160" s="284"/>
      <c r="AF2160" s="284"/>
      <c r="AG2160" s="284"/>
    </row>
    <row r="2161" spans="1:33" ht="26.4">
      <c r="A2161" s="284"/>
      <c r="B2161" s="284"/>
      <c r="C2161" s="284"/>
      <c r="D2161" s="284"/>
      <c r="E2161" s="284"/>
      <c r="F2161" s="284"/>
      <c r="G2161" s="284"/>
      <c r="H2161" s="284"/>
      <c r="I2161" s="284"/>
      <c r="J2161" s="375"/>
      <c r="K2161" s="375"/>
      <c r="L2161" s="375"/>
      <c r="M2161" s="368"/>
      <c r="N2161" s="368"/>
      <c r="O2161" s="370"/>
      <c r="T2161" s="340"/>
      <c r="V2161" s="378"/>
      <c r="W2161" s="64" ph="1"/>
      <c r="X2161" s="241"/>
      <c r="Y2161" s="284"/>
      <c r="Z2161" s="207"/>
      <c r="AA2161" s="284"/>
      <c r="AB2161" s="284"/>
      <c r="AC2161" s="284"/>
      <c r="AD2161" s="284"/>
      <c r="AE2161" s="284"/>
      <c r="AF2161" s="284"/>
      <c r="AG2161" s="284"/>
    </row>
    <row r="2162" spans="1:33" ht="26.4">
      <c r="A2162" s="284"/>
      <c r="B2162" s="284"/>
      <c r="C2162" s="284"/>
      <c r="D2162" s="284"/>
      <c r="E2162" s="284"/>
      <c r="F2162" s="284"/>
      <c r="G2162" s="284"/>
      <c r="H2162" s="284"/>
      <c r="I2162" s="284"/>
      <c r="J2162" s="375"/>
      <c r="K2162" s="375"/>
      <c r="L2162" s="375"/>
      <c r="M2162" s="368"/>
      <c r="N2162" s="368"/>
      <c r="O2162" s="370"/>
      <c r="T2162" s="340"/>
      <c r="V2162" s="378"/>
      <c r="W2162" s="64" ph="1"/>
      <c r="X2162" s="241"/>
      <c r="Y2162" s="284"/>
      <c r="Z2162" s="207"/>
      <c r="AA2162" s="284"/>
      <c r="AB2162" s="284"/>
      <c r="AC2162" s="284"/>
      <c r="AD2162" s="284"/>
      <c r="AE2162" s="284"/>
      <c r="AF2162" s="284"/>
      <c r="AG2162" s="284"/>
    </row>
    <row r="2163" spans="1:33" ht="26.4">
      <c r="A2163" s="284"/>
      <c r="B2163" s="284"/>
      <c r="C2163" s="284"/>
      <c r="D2163" s="284"/>
      <c r="E2163" s="284"/>
      <c r="F2163" s="284"/>
      <c r="G2163" s="284"/>
      <c r="H2163" s="284"/>
      <c r="I2163" s="284"/>
      <c r="J2163" s="375"/>
      <c r="K2163" s="375"/>
      <c r="L2163" s="375"/>
      <c r="M2163" s="368"/>
      <c r="N2163" s="368"/>
      <c r="O2163" s="370"/>
      <c r="T2163" s="340"/>
      <c r="V2163" s="378"/>
      <c r="W2163" s="64" ph="1"/>
      <c r="X2163" s="241"/>
      <c r="Y2163" s="284"/>
      <c r="Z2163" s="207"/>
      <c r="AA2163" s="284"/>
      <c r="AB2163" s="284"/>
      <c r="AC2163" s="284"/>
      <c r="AD2163" s="284"/>
      <c r="AE2163" s="284"/>
      <c r="AF2163" s="284"/>
      <c r="AG2163" s="284"/>
    </row>
    <row r="2164" spans="1:33" ht="26.4">
      <c r="A2164" s="284"/>
      <c r="B2164" s="284"/>
      <c r="C2164" s="284"/>
      <c r="D2164" s="284"/>
      <c r="E2164" s="284"/>
      <c r="F2164" s="284"/>
      <c r="G2164" s="284"/>
      <c r="H2164" s="284"/>
      <c r="I2164" s="284"/>
      <c r="J2164" s="375"/>
      <c r="K2164" s="375"/>
      <c r="L2164" s="375"/>
      <c r="M2164" s="368"/>
      <c r="N2164" s="368"/>
      <c r="O2164" s="370"/>
      <c r="T2164" s="340"/>
      <c r="V2164" s="378"/>
      <c r="W2164" s="64" ph="1"/>
      <c r="X2164" s="241"/>
      <c r="Y2164" s="284"/>
      <c r="Z2164" s="207"/>
      <c r="AA2164" s="284"/>
      <c r="AB2164" s="284"/>
      <c r="AC2164" s="284"/>
      <c r="AD2164" s="284"/>
      <c r="AE2164" s="284"/>
      <c r="AF2164" s="284"/>
      <c r="AG2164" s="284"/>
    </row>
    <row r="2165" spans="1:33" ht="26.4">
      <c r="A2165" s="284"/>
      <c r="B2165" s="284"/>
      <c r="C2165" s="284"/>
      <c r="D2165" s="284"/>
      <c r="E2165" s="284"/>
      <c r="F2165" s="284"/>
      <c r="G2165" s="284"/>
      <c r="H2165" s="284"/>
      <c r="I2165" s="284"/>
      <c r="J2165" s="375"/>
      <c r="K2165" s="375"/>
      <c r="L2165" s="375"/>
      <c r="M2165" s="368"/>
      <c r="N2165" s="368"/>
      <c r="O2165" s="370"/>
      <c r="T2165" s="340"/>
      <c r="V2165" s="378"/>
      <c r="W2165" s="64" ph="1"/>
      <c r="X2165" s="241"/>
      <c r="Y2165" s="284"/>
      <c r="Z2165" s="207"/>
      <c r="AA2165" s="284"/>
      <c r="AB2165" s="284"/>
      <c r="AC2165" s="284"/>
      <c r="AD2165" s="284"/>
      <c r="AE2165" s="284"/>
      <c r="AF2165" s="284"/>
      <c r="AG2165" s="284"/>
    </row>
    <row r="2166" spans="1:33" ht="26.4">
      <c r="A2166" s="284"/>
      <c r="B2166" s="284"/>
      <c r="C2166" s="284"/>
      <c r="D2166" s="284"/>
      <c r="E2166" s="284"/>
      <c r="F2166" s="284"/>
      <c r="G2166" s="284"/>
      <c r="H2166" s="284"/>
      <c r="I2166" s="284"/>
      <c r="J2166" s="375"/>
      <c r="K2166" s="375"/>
      <c r="L2166" s="375"/>
      <c r="M2166" s="368"/>
      <c r="N2166" s="368"/>
      <c r="O2166" s="370"/>
      <c r="T2166" s="340"/>
      <c r="V2166" s="378"/>
      <c r="W2166" s="64" ph="1"/>
      <c r="X2166" s="241"/>
      <c r="Y2166" s="284"/>
      <c r="Z2166" s="207"/>
      <c r="AA2166" s="284"/>
      <c r="AB2166" s="284"/>
      <c r="AC2166" s="284"/>
      <c r="AD2166" s="284"/>
      <c r="AE2166" s="284"/>
      <c r="AF2166" s="284"/>
      <c r="AG2166" s="284"/>
    </row>
    <row r="2167" spans="1:33" ht="26.4">
      <c r="A2167" s="284"/>
      <c r="B2167" s="284"/>
      <c r="C2167" s="284"/>
      <c r="D2167" s="284"/>
      <c r="E2167" s="284"/>
      <c r="F2167" s="284"/>
      <c r="G2167" s="284"/>
      <c r="H2167" s="284"/>
      <c r="I2167" s="284"/>
      <c r="J2167" s="375"/>
      <c r="K2167" s="375"/>
      <c r="L2167" s="375"/>
      <c r="M2167" s="368"/>
      <c r="N2167" s="368"/>
      <c r="O2167" s="370"/>
      <c r="T2167" s="340"/>
      <c r="V2167" s="378"/>
      <c r="W2167" s="64" ph="1"/>
      <c r="X2167" s="241"/>
      <c r="Y2167" s="284"/>
      <c r="Z2167" s="207"/>
      <c r="AA2167" s="284"/>
      <c r="AB2167" s="284"/>
      <c r="AC2167" s="284"/>
      <c r="AD2167" s="284"/>
      <c r="AE2167" s="284"/>
      <c r="AF2167" s="284"/>
      <c r="AG2167" s="284"/>
    </row>
    <row r="2168" spans="1:33" ht="26.4">
      <c r="A2168" s="284"/>
      <c r="B2168" s="284"/>
      <c r="C2168" s="284"/>
      <c r="D2168" s="284"/>
      <c r="E2168" s="284"/>
      <c r="F2168" s="284"/>
      <c r="G2168" s="284"/>
      <c r="H2168" s="284"/>
      <c r="I2168" s="284"/>
      <c r="J2168" s="375"/>
      <c r="K2168" s="375"/>
      <c r="L2168" s="375"/>
      <c r="M2168" s="368"/>
      <c r="N2168" s="368"/>
      <c r="O2168" s="370"/>
      <c r="T2168" s="340"/>
      <c r="V2168" s="378"/>
      <c r="W2168" s="64" ph="1"/>
      <c r="X2168" s="241"/>
      <c r="Y2168" s="284"/>
      <c r="Z2168" s="207"/>
      <c r="AA2168" s="284"/>
      <c r="AB2168" s="284"/>
      <c r="AC2168" s="284"/>
      <c r="AD2168" s="284"/>
      <c r="AE2168" s="284"/>
      <c r="AF2168" s="284"/>
      <c r="AG2168" s="284"/>
    </row>
    <row r="2169" spans="1:33" ht="26.4">
      <c r="A2169" s="284"/>
      <c r="B2169" s="284"/>
      <c r="C2169" s="284"/>
      <c r="D2169" s="284"/>
      <c r="E2169" s="284"/>
      <c r="F2169" s="284"/>
      <c r="G2169" s="284"/>
      <c r="H2169" s="284"/>
      <c r="I2169" s="284"/>
      <c r="J2169" s="375"/>
      <c r="K2169" s="375"/>
      <c r="L2169" s="375"/>
      <c r="M2169" s="368"/>
      <c r="N2169" s="368"/>
      <c r="O2169" s="370"/>
      <c r="T2169" s="340"/>
      <c r="V2169" s="378"/>
      <c r="W2169" s="64" ph="1"/>
      <c r="X2169" s="241"/>
      <c r="Y2169" s="284"/>
      <c r="Z2169" s="207"/>
      <c r="AA2169" s="284"/>
      <c r="AB2169" s="284"/>
      <c r="AC2169" s="284"/>
      <c r="AD2169" s="284"/>
      <c r="AE2169" s="284"/>
      <c r="AF2169" s="284"/>
      <c r="AG2169" s="284"/>
    </row>
    <row r="2170" spans="1:33" ht="26.4">
      <c r="A2170" s="284"/>
      <c r="B2170" s="284"/>
      <c r="C2170" s="284"/>
      <c r="D2170" s="284"/>
      <c r="E2170" s="284"/>
      <c r="F2170" s="284"/>
      <c r="G2170" s="284"/>
      <c r="H2170" s="284"/>
      <c r="I2170" s="284"/>
      <c r="J2170" s="375"/>
      <c r="K2170" s="375"/>
      <c r="L2170" s="375"/>
      <c r="M2170" s="368"/>
      <c r="N2170" s="368"/>
      <c r="O2170" s="370"/>
      <c r="T2170" s="340"/>
      <c r="V2170" s="378"/>
      <c r="W2170" s="64" ph="1"/>
      <c r="X2170" s="241"/>
      <c r="Y2170" s="284"/>
      <c r="Z2170" s="207"/>
      <c r="AA2170" s="284"/>
      <c r="AB2170" s="284"/>
      <c r="AC2170" s="284"/>
      <c r="AD2170" s="284"/>
      <c r="AE2170" s="284"/>
      <c r="AF2170" s="284"/>
      <c r="AG2170" s="284"/>
    </row>
    <row r="2171" spans="1:33" ht="26.4">
      <c r="A2171" s="284"/>
      <c r="B2171" s="284"/>
      <c r="C2171" s="284"/>
      <c r="D2171" s="284"/>
      <c r="E2171" s="284"/>
      <c r="F2171" s="284"/>
      <c r="G2171" s="284"/>
      <c r="H2171" s="284"/>
      <c r="I2171" s="284"/>
      <c r="J2171" s="375"/>
      <c r="K2171" s="375"/>
      <c r="L2171" s="375"/>
      <c r="M2171" s="368"/>
      <c r="N2171" s="368"/>
      <c r="O2171" s="370"/>
      <c r="T2171" s="340"/>
      <c r="V2171" s="378"/>
      <c r="W2171" s="64" ph="1"/>
      <c r="X2171" s="241"/>
      <c r="Y2171" s="284"/>
      <c r="Z2171" s="207"/>
      <c r="AA2171" s="284"/>
      <c r="AB2171" s="284"/>
      <c r="AC2171" s="284"/>
      <c r="AD2171" s="284"/>
      <c r="AE2171" s="284"/>
      <c r="AF2171" s="284"/>
      <c r="AG2171" s="284"/>
    </row>
    <row r="2172" spans="1:33" ht="26.4">
      <c r="A2172" s="284"/>
      <c r="B2172" s="284"/>
      <c r="C2172" s="284"/>
      <c r="D2172" s="284"/>
      <c r="E2172" s="284"/>
      <c r="F2172" s="284"/>
      <c r="G2172" s="284"/>
      <c r="H2172" s="284"/>
      <c r="I2172" s="284"/>
      <c r="J2172" s="375"/>
      <c r="K2172" s="375"/>
      <c r="L2172" s="375"/>
      <c r="M2172" s="368"/>
      <c r="N2172" s="368"/>
      <c r="O2172" s="370"/>
      <c r="T2172" s="340"/>
      <c r="V2172" s="378"/>
      <c r="W2172" s="64" ph="1"/>
      <c r="X2172" s="241"/>
      <c r="Y2172" s="284"/>
      <c r="Z2172" s="207"/>
      <c r="AA2172" s="284"/>
      <c r="AB2172" s="284"/>
      <c r="AC2172" s="284"/>
      <c r="AD2172" s="284"/>
      <c r="AE2172" s="284"/>
      <c r="AF2172" s="284"/>
      <c r="AG2172" s="284"/>
    </row>
    <row r="2173" spans="1:33" ht="26.4">
      <c r="A2173" s="284"/>
      <c r="B2173" s="284"/>
      <c r="C2173" s="284"/>
      <c r="D2173" s="284"/>
      <c r="E2173" s="284"/>
      <c r="F2173" s="284"/>
      <c r="G2173" s="284"/>
      <c r="H2173" s="284"/>
      <c r="I2173" s="284"/>
      <c r="J2173" s="375"/>
      <c r="K2173" s="375"/>
      <c r="L2173" s="375"/>
      <c r="M2173" s="368"/>
      <c r="N2173" s="368"/>
      <c r="O2173" s="370"/>
      <c r="T2173" s="340"/>
      <c r="V2173" s="378"/>
      <c r="W2173" s="64" ph="1"/>
      <c r="X2173" s="241"/>
      <c r="Y2173" s="284"/>
      <c r="Z2173" s="207"/>
      <c r="AA2173" s="284"/>
      <c r="AB2173" s="284"/>
      <c r="AC2173" s="284"/>
      <c r="AD2173" s="284"/>
      <c r="AE2173" s="284"/>
      <c r="AF2173" s="284"/>
      <c r="AG2173" s="284"/>
    </row>
    <row r="2174" spans="1:33" ht="26.4">
      <c r="A2174" s="284"/>
      <c r="B2174" s="284"/>
      <c r="C2174" s="284"/>
      <c r="D2174" s="284"/>
      <c r="E2174" s="284"/>
      <c r="F2174" s="284"/>
      <c r="G2174" s="284"/>
      <c r="H2174" s="284"/>
      <c r="I2174" s="284"/>
      <c r="J2174" s="375"/>
      <c r="K2174" s="375"/>
      <c r="L2174" s="375"/>
      <c r="M2174" s="368"/>
      <c r="N2174" s="368"/>
      <c r="O2174" s="370"/>
      <c r="T2174" s="340"/>
      <c r="V2174" s="378"/>
      <c r="W2174" s="64" ph="1"/>
      <c r="X2174" s="241"/>
      <c r="Y2174" s="284"/>
      <c r="Z2174" s="207"/>
      <c r="AA2174" s="284"/>
      <c r="AB2174" s="284"/>
      <c r="AC2174" s="284"/>
      <c r="AD2174" s="284"/>
      <c r="AE2174" s="284"/>
      <c r="AF2174" s="284"/>
      <c r="AG2174" s="284"/>
    </row>
    <row r="2175" spans="1:33" ht="26.4">
      <c r="A2175" s="284"/>
      <c r="B2175" s="284"/>
      <c r="C2175" s="284"/>
      <c r="D2175" s="284"/>
      <c r="E2175" s="284"/>
      <c r="F2175" s="284"/>
      <c r="G2175" s="284"/>
      <c r="H2175" s="284"/>
      <c r="I2175" s="284"/>
      <c r="J2175" s="375"/>
      <c r="K2175" s="375"/>
      <c r="L2175" s="375"/>
      <c r="M2175" s="368"/>
      <c r="N2175" s="368"/>
      <c r="O2175" s="370"/>
      <c r="T2175" s="340"/>
      <c r="V2175" s="378"/>
      <c r="W2175" s="64" ph="1"/>
      <c r="X2175" s="241"/>
      <c r="Y2175" s="284"/>
      <c r="Z2175" s="207"/>
      <c r="AA2175" s="284"/>
      <c r="AB2175" s="284"/>
      <c r="AC2175" s="284"/>
      <c r="AD2175" s="284"/>
      <c r="AE2175" s="284"/>
      <c r="AF2175" s="284"/>
      <c r="AG2175" s="284"/>
    </row>
    <row r="2176" spans="1:33" ht="26.4">
      <c r="A2176" s="284"/>
      <c r="B2176" s="284"/>
      <c r="C2176" s="284"/>
      <c r="D2176" s="284"/>
      <c r="E2176" s="284"/>
      <c r="F2176" s="284"/>
      <c r="G2176" s="284"/>
      <c r="H2176" s="284"/>
      <c r="I2176" s="284"/>
      <c r="J2176" s="375"/>
      <c r="K2176" s="375"/>
      <c r="L2176" s="375"/>
      <c r="M2176" s="368"/>
      <c r="N2176" s="368"/>
      <c r="O2176" s="370"/>
      <c r="T2176" s="340"/>
      <c r="V2176" s="378"/>
      <c r="W2176" s="64" ph="1"/>
      <c r="X2176" s="241"/>
      <c r="Y2176" s="284"/>
      <c r="Z2176" s="207"/>
      <c r="AA2176" s="284"/>
      <c r="AB2176" s="284"/>
      <c r="AC2176" s="284"/>
      <c r="AD2176" s="284"/>
      <c r="AE2176" s="284"/>
      <c r="AF2176" s="284"/>
      <c r="AG2176" s="284"/>
    </row>
    <row r="2177" spans="1:33" ht="26.4">
      <c r="A2177" s="284"/>
      <c r="B2177" s="284"/>
      <c r="C2177" s="284"/>
      <c r="D2177" s="284"/>
      <c r="E2177" s="284"/>
      <c r="F2177" s="284"/>
      <c r="G2177" s="284"/>
      <c r="H2177" s="284"/>
      <c r="I2177" s="284"/>
      <c r="J2177" s="375"/>
      <c r="K2177" s="375"/>
      <c r="L2177" s="375"/>
      <c r="M2177" s="368"/>
      <c r="N2177" s="368"/>
      <c r="O2177" s="370"/>
      <c r="T2177" s="340"/>
      <c r="V2177" s="378"/>
      <c r="W2177" s="64" ph="1"/>
      <c r="X2177" s="241"/>
      <c r="Y2177" s="284"/>
      <c r="Z2177" s="207"/>
      <c r="AA2177" s="284"/>
      <c r="AB2177" s="284"/>
      <c r="AC2177" s="284"/>
      <c r="AD2177" s="284"/>
      <c r="AE2177" s="284"/>
      <c r="AF2177" s="284"/>
      <c r="AG2177" s="284"/>
    </row>
    <row r="2178" spans="1:33" ht="26.4">
      <c r="A2178" s="284"/>
      <c r="B2178" s="284"/>
      <c r="C2178" s="284"/>
      <c r="D2178" s="284"/>
      <c r="E2178" s="284"/>
      <c r="F2178" s="284"/>
      <c r="G2178" s="284"/>
      <c r="H2178" s="284"/>
      <c r="I2178" s="284"/>
      <c r="J2178" s="375"/>
      <c r="K2178" s="375"/>
      <c r="L2178" s="375"/>
      <c r="M2178" s="368"/>
      <c r="N2178" s="368"/>
      <c r="O2178" s="370"/>
      <c r="T2178" s="340"/>
      <c r="V2178" s="378"/>
      <c r="W2178" s="64" ph="1"/>
      <c r="X2178" s="241"/>
      <c r="Y2178" s="284"/>
      <c r="Z2178" s="207"/>
      <c r="AA2178" s="284"/>
      <c r="AB2178" s="284"/>
      <c r="AC2178" s="284"/>
      <c r="AD2178" s="284"/>
      <c r="AE2178" s="284"/>
      <c r="AF2178" s="284"/>
      <c r="AG2178" s="284"/>
    </row>
    <row r="2179" spans="1:33" ht="26.4">
      <c r="A2179" s="284"/>
      <c r="B2179" s="284"/>
      <c r="C2179" s="284"/>
      <c r="D2179" s="284"/>
      <c r="E2179" s="284"/>
      <c r="F2179" s="284"/>
      <c r="G2179" s="284"/>
      <c r="H2179" s="284"/>
      <c r="I2179" s="284"/>
      <c r="J2179" s="375"/>
      <c r="K2179" s="375"/>
      <c r="L2179" s="375"/>
      <c r="M2179" s="368"/>
      <c r="N2179" s="368"/>
      <c r="O2179" s="370"/>
      <c r="T2179" s="340"/>
      <c r="V2179" s="378"/>
      <c r="W2179" s="64" ph="1"/>
      <c r="X2179" s="241"/>
      <c r="Y2179" s="284"/>
      <c r="Z2179" s="207"/>
      <c r="AA2179" s="284"/>
      <c r="AB2179" s="284"/>
      <c r="AC2179" s="284"/>
      <c r="AD2179" s="284"/>
      <c r="AE2179" s="284"/>
      <c r="AF2179" s="284"/>
      <c r="AG2179" s="284"/>
    </row>
    <row r="2180" spans="1:33" ht="26.4">
      <c r="A2180" s="284"/>
      <c r="B2180" s="284"/>
      <c r="C2180" s="284"/>
      <c r="D2180" s="284"/>
      <c r="E2180" s="284"/>
      <c r="F2180" s="284"/>
      <c r="G2180" s="284"/>
      <c r="H2180" s="284"/>
      <c r="I2180" s="284"/>
      <c r="J2180" s="375"/>
      <c r="K2180" s="375"/>
      <c r="L2180" s="375"/>
      <c r="M2180" s="368"/>
      <c r="N2180" s="368"/>
      <c r="O2180" s="370"/>
      <c r="T2180" s="340"/>
      <c r="V2180" s="378"/>
      <c r="W2180" s="64" ph="1"/>
      <c r="X2180" s="241"/>
      <c r="Y2180" s="284"/>
      <c r="Z2180" s="207"/>
      <c r="AA2180" s="284"/>
      <c r="AB2180" s="284"/>
      <c r="AC2180" s="284"/>
      <c r="AD2180" s="284"/>
      <c r="AE2180" s="284"/>
      <c r="AF2180" s="284"/>
      <c r="AG2180" s="284"/>
    </row>
    <row r="2181" spans="1:33" ht="26.4">
      <c r="A2181" s="284"/>
      <c r="B2181" s="284"/>
      <c r="C2181" s="284"/>
      <c r="D2181" s="284"/>
      <c r="E2181" s="284"/>
      <c r="F2181" s="284"/>
      <c r="G2181" s="284"/>
      <c r="H2181" s="284"/>
      <c r="I2181" s="284"/>
      <c r="J2181" s="375"/>
      <c r="K2181" s="375"/>
      <c r="L2181" s="375"/>
      <c r="M2181" s="368"/>
      <c r="N2181" s="368"/>
      <c r="O2181" s="370"/>
      <c r="T2181" s="340"/>
      <c r="V2181" s="378"/>
      <c r="W2181" s="64" ph="1"/>
      <c r="X2181" s="241"/>
      <c r="Y2181" s="284"/>
      <c r="Z2181" s="207"/>
      <c r="AA2181" s="284"/>
      <c r="AB2181" s="284"/>
      <c r="AC2181" s="284"/>
      <c r="AD2181" s="284"/>
      <c r="AE2181" s="284"/>
      <c r="AF2181" s="284"/>
      <c r="AG2181" s="284"/>
    </row>
    <row r="2182" spans="1:33" ht="26.4">
      <c r="A2182" s="284"/>
      <c r="B2182" s="284"/>
      <c r="C2182" s="284"/>
      <c r="D2182" s="284"/>
      <c r="E2182" s="284"/>
      <c r="F2182" s="284"/>
      <c r="G2182" s="284"/>
      <c r="H2182" s="284"/>
      <c r="I2182" s="284"/>
      <c r="J2182" s="375"/>
      <c r="K2182" s="375"/>
      <c r="L2182" s="375"/>
      <c r="M2182" s="368"/>
      <c r="N2182" s="368"/>
      <c r="O2182" s="370"/>
      <c r="T2182" s="340"/>
      <c r="V2182" s="378"/>
      <c r="W2182" s="64" ph="1"/>
      <c r="X2182" s="241"/>
      <c r="Y2182" s="284"/>
      <c r="Z2182" s="207"/>
      <c r="AA2182" s="284"/>
      <c r="AB2182" s="284"/>
      <c r="AC2182" s="284"/>
      <c r="AD2182" s="284"/>
      <c r="AE2182" s="284"/>
      <c r="AF2182" s="284"/>
      <c r="AG2182" s="284"/>
    </row>
    <row r="2183" spans="1:33" ht="26.4">
      <c r="A2183" s="284"/>
      <c r="B2183" s="284"/>
      <c r="C2183" s="284"/>
      <c r="D2183" s="284"/>
      <c r="E2183" s="284"/>
      <c r="F2183" s="284"/>
      <c r="G2183" s="284"/>
      <c r="H2183" s="284"/>
      <c r="I2183" s="284"/>
      <c r="J2183" s="375"/>
      <c r="K2183" s="375"/>
      <c r="L2183" s="375"/>
      <c r="M2183" s="368"/>
      <c r="N2183" s="368"/>
      <c r="O2183" s="370"/>
      <c r="T2183" s="340"/>
      <c r="V2183" s="378"/>
      <c r="W2183" s="64" ph="1"/>
      <c r="X2183" s="241"/>
      <c r="Y2183" s="284"/>
      <c r="Z2183" s="207"/>
      <c r="AA2183" s="284"/>
      <c r="AB2183" s="284"/>
      <c r="AC2183" s="284"/>
      <c r="AD2183" s="284"/>
      <c r="AE2183" s="284"/>
      <c r="AF2183" s="284"/>
      <c r="AG2183" s="284"/>
    </row>
    <row r="2184" spans="1:33" ht="26.4">
      <c r="A2184" s="284"/>
      <c r="B2184" s="284"/>
      <c r="C2184" s="284"/>
      <c r="D2184" s="284"/>
      <c r="E2184" s="284"/>
      <c r="F2184" s="284"/>
      <c r="G2184" s="284"/>
      <c r="H2184" s="284"/>
      <c r="I2184" s="284"/>
      <c r="J2184" s="375"/>
      <c r="K2184" s="375"/>
      <c r="L2184" s="375"/>
      <c r="M2184" s="368"/>
      <c r="N2184" s="368"/>
      <c r="O2184" s="370"/>
      <c r="T2184" s="340"/>
      <c r="V2184" s="378"/>
      <c r="W2184" s="64" ph="1"/>
      <c r="X2184" s="241"/>
      <c r="Y2184" s="284"/>
      <c r="Z2184" s="207"/>
      <c r="AA2184" s="284"/>
      <c r="AB2184" s="284"/>
      <c r="AC2184" s="284"/>
      <c r="AD2184" s="284"/>
      <c r="AE2184" s="284"/>
      <c r="AF2184" s="284"/>
      <c r="AG2184" s="284"/>
    </row>
    <row r="2185" spans="1:33" ht="26.4">
      <c r="A2185" s="284"/>
      <c r="B2185" s="284"/>
      <c r="C2185" s="284"/>
      <c r="D2185" s="284"/>
      <c r="E2185" s="284"/>
      <c r="F2185" s="284"/>
      <c r="G2185" s="284"/>
      <c r="H2185" s="284"/>
      <c r="I2185" s="284"/>
      <c r="J2185" s="375"/>
      <c r="K2185" s="375"/>
      <c r="L2185" s="375"/>
      <c r="M2185" s="368"/>
      <c r="N2185" s="368"/>
      <c r="O2185" s="370"/>
      <c r="T2185" s="340"/>
      <c r="V2185" s="378"/>
      <c r="W2185" s="64" ph="1"/>
      <c r="X2185" s="241"/>
      <c r="Y2185" s="284"/>
      <c r="Z2185" s="207"/>
      <c r="AA2185" s="284"/>
      <c r="AB2185" s="284"/>
      <c r="AC2185" s="284"/>
      <c r="AD2185" s="284"/>
      <c r="AE2185" s="284"/>
      <c r="AF2185" s="284"/>
      <c r="AG2185" s="284"/>
    </row>
    <row r="2186" spans="1:33" ht="26.4">
      <c r="A2186" s="284"/>
      <c r="B2186" s="284"/>
      <c r="C2186" s="284"/>
      <c r="D2186" s="284"/>
      <c r="E2186" s="284"/>
      <c r="F2186" s="284"/>
      <c r="G2186" s="284"/>
      <c r="H2186" s="284"/>
      <c r="I2186" s="284"/>
      <c r="J2186" s="375"/>
      <c r="K2186" s="375"/>
      <c r="L2186" s="375"/>
      <c r="M2186" s="368"/>
      <c r="N2186" s="368"/>
      <c r="O2186" s="370"/>
      <c r="T2186" s="340"/>
      <c r="V2186" s="378"/>
      <c r="W2186" s="64" ph="1"/>
      <c r="X2186" s="241"/>
      <c r="Y2186" s="284"/>
      <c r="Z2186" s="207"/>
      <c r="AA2186" s="284"/>
      <c r="AB2186" s="284"/>
      <c r="AC2186" s="284"/>
      <c r="AD2186" s="284"/>
      <c r="AE2186" s="284"/>
      <c r="AF2186" s="284"/>
      <c r="AG2186" s="284"/>
    </row>
    <row r="2187" spans="1:33" ht="26.4">
      <c r="A2187" s="284"/>
      <c r="B2187" s="284"/>
      <c r="C2187" s="284"/>
      <c r="D2187" s="284"/>
      <c r="E2187" s="284"/>
      <c r="F2187" s="284"/>
      <c r="G2187" s="284"/>
      <c r="H2187" s="284"/>
      <c r="I2187" s="284"/>
      <c r="J2187" s="375"/>
      <c r="K2187" s="375"/>
      <c r="L2187" s="375"/>
      <c r="M2187" s="368"/>
      <c r="N2187" s="368"/>
      <c r="O2187" s="370"/>
      <c r="T2187" s="340"/>
      <c r="V2187" s="378"/>
      <c r="W2187" s="64" ph="1"/>
      <c r="X2187" s="241"/>
      <c r="Y2187" s="284"/>
      <c r="Z2187" s="207"/>
      <c r="AA2187" s="284"/>
      <c r="AB2187" s="284"/>
      <c r="AC2187" s="284"/>
      <c r="AD2187" s="284"/>
      <c r="AE2187" s="284"/>
      <c r="AF2187" s="284"/>
      <c r="AG2187" s="284"/>
    </row>
    <row r="2188" spans="1:33" ht="26.4">
      <c r="A2188" s="284"/>
      <c r="B2188" s="284"/>
      <c r="C2188" s="284"/>
      <c r="D2188" s="284"/>
      <c r="E2188" s="284"/>
      <c r="F2188" s="284"/>
      <c r="G2188" s="284"/>
      <c r="H2188" s="284"/>
      <c r="I2188" s="284"/>
      <c r="J2188" s="375"/>
      <c r="K2188" s="375"/>
      <c r="L2188" s="375"/>
      <c r="M2188" s="368"/>
      <c r="N2188" s="368"/>
      <c r="O2188" s="370"/>
      <c r="T2188" s="340"/>
      <c r="V2188" s="378"/>
      <c r="W2188" s="64" ph="1"/>
      <c r="X2188" s="241"/>
      <c r="Y2188" s="284"/>
      <c r="Z2188" s="207"/>
      <c r="AA2188" s="284"/>
      <c r="AB2188" s="284"/>
      <c r="AC2188" s="284"/>
      <c r="AD2188" s="284"/>
      <c r="AE2188" s="284"/>
      <c r="AF2188" s="284"/>
      <c r="AG2188" s="284"/>
    </row>
    <row r="2189" spans="1:33" ht="26.4">
      <c r="A2189" s="284"/>
      <c r="B2189" s="284"/>
      <c r="C2189" s="284"/>
      <c r="D2189" s="284"/>
      <c r="E2189" s="284"/>
      <c r="F2189" s="284"/>
      <c r="G2189" s="284"/>
      <c r="H2189" s="284"/>
      <c r="I2189" s="284"/>
      <c r="J2189" s="375"/>
      <c r="K2189" s="375"/>
      <c r="L2189" s="375"/>
      <c r="M2189" s="368"/>
      <c r="N2189" s="368"/>
      <c r="O2189" s="370"/>
      <c r="T2189" s="340"/>
      <c r="V2189" s="378"/>
      <c r="W2189" s="64" ph="1"/>
      <c r="X2189" s="241"/>
      <c r="Y2189" s="284"/>
      <c r="Z2189" s="207"/>
      <c r="AA2189" s="284"/>
      <c r="AB2189" s="284"/>
      <c r="AC2189" s="284"/>
      <c r="AD2189" s="284"/>
      <c r="AE2189" s="284"/>
      <c r="AF2189" s="284"/>
      <c r="AG2189" s="284"/>
    </row>
    <row r="2190" spans="1:33" ht="26.4">
      <c r="A2190" s="284"/>
      <c r="B2190" s="284"/>
      <c r="C2190" s="284"/>
      <c r="D2190" s="284"/>
      <c r="E2190" s="284"/>
      <c r="F2190" s="284"/>
      <c r="G2190" s="284"/>
      <c r="H2190" s="284"/>
      <c r="I2190" s="284"/>
      <c r="J2190" s="375"/>
      <c r="K2190" s="375"/>
      <c r="L2190" s="375"/>
      <c r="M2190" s="368"/>
      <c r="N2190" s="368"/>
      <c r="O2190" s="370"/>
      <c r="T2190" s="340"/>
      <c r="V2190" s="378"/>
      <c r="W2190" s="64" ph="1"/>
      <c r="X2190" s="241"/>
      <c r="Y2190" s="284"/>
      <c r="Z2190" s="207"/>
      <c r="AA2190" s="284"/>
      <c r="AB2190" s="284"/>
      <c r="AC2190" s="284"/>
      <c r="AD2190" s="284"/>
      <c r="AE2190" s="284"/>
      <c r="AF2190" s="284"/>
      <c r="AG2190" s="284"/>
    </row>
    <row r="2191" spans="1:33" ht="26.4">
      <c r="A2191" s="284"/>
      <c r="B2191" s="284"/>
      <c r="C2191" s="284"/>
      <c r="D2191" s="284"/>
      <c r="E2191" s="284"/>
      <c r="F2191" s="284"/>
      <c r="G2191" s="284"/>
      <c r="H2191" s="284"/>
      <c r="I2191" s="284"/>
      <c r="J2191" s="375"/>
      <c r="K2191" s="375"/>
      <c r="L2191" s="375"/>
      <c r="M2191" s="368"/>
      <c r="N2191" s="368"/>
      <c r="O2191" s="370"/>
      <c r="T2191" s="340"/>
      <c r="V2191" s="378"/>
      <c r="W2191" s="64" ph="1"/>
      <c r="X2191" s="241"/>
      <c r="Y2191" s="284"/>
      <c r="Z2191" s="207"/>
      <c r="AA2191" s="284"/>
      <c r="AB2191" s="284"/>
      <c r="AC2191" s="284"/>
      <c r="AD2191" s="284"/>
      <c r="AE2191" s="284"/>
      <c r="AF2191" s="284"/>
      <c r="AG2191" s="284"/>
    </row>
    <row r="2192" spans="1:33" ht="26.4">
      <c r="A2192" s="284"/>
      <c r="B2192" s="284"/>
      <c r="C2192" s="284"/>
      <c r="D2192" s="284"/>
      <c r="E2192" s="284"/>
      <c r="F2192" s="284"/>
      <c r="G2192" s="284"/>
      <c r="H2192" s="284"/>
      <c r="I2192" s="284"/>
      <c r="J2192" s="375"/>
      <c r="K2192" s="375"/>
      <c r="L2192" s="375"/>
      <c r="M2192" s="368"/>
      <c r="N2192" s="368"/>
      <c r="O2192" s="370"/>
      <c r="T2192" s="340"/>
      <c r="V2192" s="378"/>
      <c r="W2192" s="64" ph="1"/>
      <c r="X2192" s="241"/>
      <c r="Y2192" s="284"/>
      <c r="Z2192" s="207"/>
      <c r="AA2192" s="284"/>
      <c r="AB2192" s="284"/>
      <c r="AC2192" s="284"/>
      <c r="AD2192" s="284"/>
      <c r="AE2192" s="284"/>
      <c r="AF2192" s="284"/>
      <c r="AG2192" s="284"/>
    </row>
    <row r="2193" spans="1:33" ht="26.4">
      <c r="A2193" s="284"/>
      <c r="B2193" s="284"/>
      <c r="C2193" s="284"/>
      <c r="D2193" s="284"/>
      <c r="E2193" s="284"/>
      <c r="F2193" s="284"/>
      <c r="G2193" s="284"/>
      <c r="H2193" s="284"/>
      <c r="I2193" s="284"/>
      <c r="J2193" s="375"/>
      <c r="K2193" s="375"/>
      <c r="L2193" s="375"/>
      <c r="M2193" s="368"/>
      <c r="N2193" s="368"/>
      <c r="O2193" s="370"/>
      <c r="T2193" s="340"/>
      <c r="V2193" s="378"/>
      <c r="W2193" s="64" ph="1"/>
      <c r="X2193" s="241"/>
      <c r="Y2193" s="284"/>
      <c r="Z2193" s="207"/>
      <c r="AA2193" s="284"/>
      <c r="AB2193" s="284"/>
      <c r="AC2193" s="284"/>
      <c r="AD2193" s="284"/>
      <c r="AE2193" s="284"/>
      <c r="AF2193" s="284"/>
      <c r="AG2193" s="284"/>
    </row>
    <row r="2194" spans="1:33" ht="26.4">
      <c r="A2194" s="284"/>
      <c r="B2194" s="284"/>
      <c r="C2194" s="284"/>
      <c r="D2194" s="284"/>
      <c r="E2194" s="284"/>
      <c r="F2194" s="284"/>
      <c r="G2194" s="284"/>
      <c r="H2194" s="284"/>
      <c r="I2194" s="284"/>
      <c r="J2194" s="375"/>
      <c r="K2194" s="375"/>
      <c r="L2194" s="375"/>
      <c r="M2194" s="368"/>
      <c r="N2194" s="368"/>
      <c r="O2194" s="370"/>
      <c r="T2194" s="340"/>
      <c r="V2194" s="378"/>
      <c r="W2194" s="64" ph="1"/>
      <c r="X2194" s="241"/>
      <c r="Y2194" s="284"/>
      <c r="Z2194" s="207"/>
      <c r="AA2194" s="284"/>
      <c r="AB2194" s="284"/>
      <c r="AC2194" s="284"/>
      <c r="AD2194" s="284"/>
      <c r="AE2194" s="284"/>
      <c r="AF2194" s="284"/>
      <c r="AG2194" s="284"/>
    </row>
    <row r="2195" spans="1:33" ht="26.4">
      <c r="A2195" s="284"/>
      <c r="B2195" s="284"/>
      <c r="C2195" s="284"/>
      <c r="D2195" s="284"/>
      <c r="E2195" s="284"/>
      <c r="F2195" s="284"/>
      <c r="G2195" s="284"/>
      <c r="H2195" s="284"/>
      <c r="I2195" s="284"/>
      <c r="J2195" s="375"/>
      <c r="K2195" s="375"/>
      <c r="L2195" s="375"/>
      <c r="M2195" s="368"/>
      <c r="N2195" s="368"/>
      <c r="O2195" s="370"/>
      <c r="T2195" s="340"/>
      <c r="V2195" s="378"/>
      <c r="W2195" s="64" ph="1"/>
      <c r="X2195" s="241"/>
      <c r="Y2195" s="284"/>
      <c r="Z2195" s="207"/>
      <c r="AA2195" s="284"/>
      <c r="AB2195" s="284"/>
      <c r="AC2195" s="284"/>
      <c r="AD2195" s="284"/>
      <c r="AE2195" s="284"/>
      <c r="AF2195" s="284"/>
      <c r="AG2195" s="284"/>
    </row>
    <row r="2196" spans="1:33" ht="26.4">
      <c r="A2196" s="284"/>
      <c r="B2196" s="284"/>
      <c r="C2196" s="284"/>
      <c r="D2196" s="284"/>
      <c r="E2196" s="284"/>
      <c r="F2196" s="284"/>
      <c r="G2196" s="284"/>
      <c r="H2196" s="284"/>
      <c r="I2196" s="284"/>
      <c r="J2196" s="375"/>
      <c r="K2196" s="375"/>
      <c r="L2196" s="375"/>
      <c r="M2196" s="368"/>
      <c r="N2196" s="368"/>
      <c r="O2196" s="370"/>
      <c r="T2196" s="340"/>
      <c r="V2196" s="378"/>
      <c r="W2196" s="64" ph="1"/>
      <c r="X2196" s="241"/>
      <c r="Y2196" s="284"/>
      <c r="Z2196" s="207"/>
      <c r="AA2196" s="284"/>
      <c r="AB2196" s="284"/>
      <c r="AC2196" s="284"/>
      <c r="AD2196" s="284"/>
      <c r="AE2196" s="284"/>
      <c r="AF2196" s="284"/>
      <c r="AG2196" s="284"/>
    </row>
    <row r="2197" spans="1:33" ht="26.4">
      <c r="A2197" s="284"/>
      <c r="B2197" s="284"/>
      <c r="C2197" s="284"/>
      <c r="D2197" s="284"/>
      <c r="E2197" s="284"/>
      <c r="F2197" s="284"/>
      <c r="G2197" s="284"/>
      <c r="H2197" s="284"/>
      <c r="I2197" s="284"/>
      <c r="J2197" s="375"/>
      <c r="K2197" s="375"/>
      <c r="L2197" s="375"/>
      <c r="M2197" s="368"/>
      <c r="N2197" s="368"/>
      <c r="O2197" s="370"/>
      <c r="T2197" s="340"/>
      <c r="V2197" s="378"/>
      <c r="W2197" s="64" ph="1"/>
      <c r="X2197" s="241"/>
      <c r="Y2197" s="284"/>
      <c r="Z2197" s="207"/>
      <c r="AA2197" s="284"/>
      <c r="AB2197" s="284"/>
      <c r="AC2197" s="284"/>
      <c r="AD2197" s="284"/>
      <c r="AE2197" s="284"/>
      <c r="AF2197" s="284"/>
      <c r="AG2197" s="284"/>
    </row>
    <row r="2198" spans="1:33" ht="26.4">
      <c r="A2198" s="284"/>
      <c r="B2198" s="284"/>
      <c r="C2198" s="284"/>
      <c r="D2198" s="284"/>
      <c r="E2198" s="284"/>
      <c r="F2198" s="284"/>
      <c r="G2198" s="284"/>
      <c r="H2198" s="284"/>
      <c r="I2198" s="284"/>
      <c r="J2198" s="375"/>
      <c r="K2198" s="375"/>
      <c r="L2198" s="375"/>
      <c r="M2198" s="368"/>
      <c r="N2198" s="368"/>
      <c r="O2198" s="370"/>
      <c r="T2198" s="340"/>
      <c r="V2198" s="378"/>
      <c r="W2198" s="64" ph="1"/>
      <c r="X2198" s="241"/>
      <c r="Y2198" s="284"/>
      <c r="Z2198" s="207"/>
      <c r="AA2198" s="284"/>
      <c r="AB2198" s="284"/>
      <c r="AC2198" s="284"/>
      <c r="AD2198" s="284"/>
      <c r="AE2198" s="284"/>
      <c r="AF2198" s="284"/>
      <c r="AG2198" s="284"/>
    </row>
    <row r="2199" spans="1:33" ht="26.4">
      <c r="A2199" s="284"/>
      <c r="B2199" s="284"/>
      <c r="C2199" s="284"/>
      <c r="D2199" s="284"/>
      <c r="E2199" s="284"/>
      <c r="F2199" s="284"/>
      <c r="G2199" s="284"/>
      <c r="H2199" s="284"/>
      <c r="I2199" s="284"/>
      <c r="J2199" s="375"/>
      <c r="K2199" s="375"/>
      <c r="L2199" s="375"/>
      <c r="M2199" s="368"/>
      <c r="N2199" s="368"/>
      <c r="O2199" s="370"/>
      <c r="T2199" s="340"/>
      <c r="V2199" s="378"/>
      <c r="W2199" s="64" ph="1"/>
      <c r="X2199" s="241"/>
      <c r="Y2199" s="284"/>
      <c r="Z2199" s="207"/>
      <c r="AA2199" s="284"/>
      <c r="AB2199" s="284"/>
      <c r="AC2199" s="284"/>
      <c r="AD2199" s="284"/>
      <c r="AE2199" s="284"/>
      <c r="AF2199" s="284"/>
      <c r="AG2199" s="284"/>
    </row>
    <row r="2200" spans="1:33" ht="26.4">
      <c r="A2200" s="284"/>
      <c r="B2200" s="284"/>
      <c r="C2200" s="284"/>
      <c r="D2200" s="284"/>
      <c r="E2200" s="284"/>
      <c r="F2200" s="284"/>
      <c r="G2200" s="284"/>
      <c r="H2200" s="284"/>
      <c r="I2200" s="284"/>
      <c r="J2200" s="375"/>
      <c r="K2200" s="375"/>
      <c r="L2200" s="375"/>
      <c r="M2200" s="368"/>
      <c r="N2200" s="368"/>
      <c r="O2200" s="370"/>
      <c r="T2200" s="340"/>
      <c r="V2200" s="378"/>
      <c r="W2200" s="64" ph="1"/>
      <c r="X2200" s="241"/>
      <c r="Y2200" s="284"/>
      <c r="Z2200" s="207"/>
      <c r="AA2200" s="284"/>
      <c r="AB2200" s="284"/>
      <c r="AC2200" s="284"/>
      <c r="AD2200" s="284"/>
      <c r="AE2200" s="284"/>
      <c r="AF2200" s="284"/>
      <c r="AG2200" s="284"/>
    </row>
    <row r="2201" spans="1:33" ht="26.4">
      <c r="A2201" s="284"/>
      <c r="B2201" s="284"/>
      <c r="C2201" s="284"/>
      <c r="D2201" s="284"/>
      <c r="E2201" s="284"/>
      <c r="F2201" s="284"/>
      <c r="G2201" s="284"/>
      <c r="H2201" s="284"/>
      <c r="I2201" s="284"/>
      <c r="J2201" s="375"/>
      <c r="K2201" s="375"/>
      <c r="L2201" s="375"/>
      <c r="M2201" s="368"/>
      <c r="N2201" s="368"/>
      <c r="O2201" s="370"/>
      <c r="T2201" s="340"/>
      <c r="V2201" s="378"/>
      <c r="W2201" s="64" ph="1"/>
      <c r="X2201" s="241"/>
      <c r="Y2201" s="284"/>
      <c r="Z2201" s="207"/>
      <c r="AA2201" s="284"/>
      <c r="AB2201" s="284"/>
      <c r="AC2201" s="284"/>
      <c r="AD2201" s="284"/>
      <c r="AE2201" s="284"/>
      <c r="AF2201" s="284"/>
      <c r="AG2201" s="284"/>
    </row>
    <row r="2202" spans="1:33" ht="26.4">
      <c r="A2202" s="284"/>
      <c r="B2202" s="284"/>
      <c r="C2202" s="284"/>
      <c r="D2202" s="284"/>
      <c r="E2202" s="284"/>
      <c r="F2202" s="284"/>
      <c r="G2202" s="284"/>
      <c r="H2202" s="284"/>
      <c r="I2202" s="284"/>
      <c r="J2202" s="375"/>
      <c r="K2202" s="375"/>
      <c r="L2202" s="375"/>
      <c r="M2202" s="368"/>
      <c r="N2202" s="368"/>
      <c r="O2202" s="370"/>
      <c r="T2202" s="340"/>
      <c r="V2202" s="378"/>
      <c r="W2202" s="64" ph="1"/>
      <c r="X2202" s="241"/>
      <c r="Y2202" s="284"/>
      <c r="Z2202" s="207"/>
      <c r="AA2202" s="284"/>
      <c r="AB2202" s="284"/>
      <c r="AC2202" s="284"/>
      <c r="AD2202" s="284"/>
      <c r="AE2202" s="284"/>
      <c r="AF2202" s="284"/>
      <c r="AG2202" s="284"/>
    </row>
    <row r="2203" spans="1:33" ht="26.4">
      <c r="A2203" s="284"/>
      <c r="B2203" s="284"/>
      <c r="C2203" s="284"/>
      <c r="D2203" s="284"/>
      <c r="E2203" s="284"/>
      <c r="F2203" s="284"/>
      <c r="G2203" s="284"/>
      <c r="H2203" s="284"/>
      <c r="I2203" s="284"/>
      <c r="J2203" s="375"/>
      <c r="K2203" s="375"/>
      <c r="L2203" s="375"/>
      <c r="M2203" s="368"/>
      <c r="N2203" s="368"/>
      <c r="O2203" s="370"/>
      <c r="T2203" s="340"/>
      <c r="V2203" s="378"/>
      <c r="W2203" s="64" ph="1"/>
      <c r="X2203" s="241"/>
      <c r="Y2203" s="284"/>
      <c r="Z2203" s="207"/>
      <c r="AA2203" s="284"/>
      <c r="AB2203" s="284"/>
      <c r="AC2203" s="284"/>
      <c r="AD2203" s="284"/>
      <c r="AE2203" s="284"/>
      <c r="AF2203" s="284"/>
      <c r="AG2203" s="284"/>
    </row>
    <row r="2204" spans="1:33" ht="26.4">
      <c r="A2204" s="284"/>
      <c r="B2204" s="284"/>
      <c r="C2204" s="284"/>
      <c r="D2204" s="284"/>
      <c r="E2204" s="284"/>
      <c r="F2204" s="284"/>
      <c r="G2204" s="284"/>
      <c r="H2204" s="284"/>
      <c r="I2204" s="284"/>
      <c r="J2204" s="375"/>
      <c r="K2204" s="375"/>
      <c r="L2204" s="375"/>
      <c r="M2204" s="368"/>
      <c r="N2204" s="368"/>
      <c r="O2204" s="370"/>
      <c r="T2204" s="340"/>
      <c r="V2204" s="378"/>
      <c r="W2204" s="64" ph="1"/>
      <c r="X2204" s="241"/>
      <c r="Y2204" s="284"/>
      <c r="Z2204" s="207"/>
      <c r="AA2204" s="284"/>
      <c r="AB2204" s="284"/>
      <c r="AC2204" s="284"/>
      <c r="AD2204" s="284"/>
      <c r="AE2204" s="284"/>
      <c r="AF2204" s="284"/>
      <c r="AG2204" s="284"/>
    </row>
    <row r="2205" spans="1:33" ht="26.4">
      <c r="A2205" s="284"/>
      <c r="B2205" s="284"/>
      <c r="C2205" s="284"/>
      <c r="D2205" s="284"/>
      <c r="E2205" s="284"/>
      <c r="F2205" s="284"/>
      <c r="G2205" s="284"/>
      <c r="H2205" s="284"/>
      <c r="I2205" s="284"/>
      <c r="J2205" s="375"/>
      <c r="K2205" s="375"/>
      <c r="L2205" s="375"/>
      <c r="M2205" s="368"/>
      <c r="N2205" s="368"/>
      <c r="O2205" s="370"/>
      <c r="T2205" s="340"/>
      <c r="V2205" s="378"/>
      <c r="W2205" s="64" ph="1"/>
      <c r="X2205" s="241"/>
      <c r="Y2205" s="284"/>
      <c r="Z2205" s="207"/>
      <c r="AA2205" s="284"/>
      <c r="AB2205" s="284"/>
      <c r="AC2205" s="284"/>
      <c r="AD2205" s="284"/>
      <c r="AE2205" s="284"/>
      <c r="AF2205" s="284"/>
      <c r="AG2205" s="284"/>
    </row>
    <row r="2206" spans="1:33" ht="26.4">
      <c r="A2206" s="284"/>
      <c r="B2206" s="284"/>
      <c r="C2206" s="284"/>
      <c r="D2206" s="284"/>
      <c r="E2206" s="284"/>
      <c r="F2206" s="284"/>
      <c r="G2206" s="284"/>
      <c r="H2206" s="284"/>
      <c r="I2206" s="284"/>
      <c r="J2206" s="375"/>
      <c r="K2206" s="375"/>
      <c r="L2206" s="375"/>
      <c r="M2206" s="368"/>
      <c r="N2206" s="368"/>
      <c r="O2206" s="370"/>
      <c r="T2206" s="340"/>
      <c r="V2206" s="378"/>
      <c r="W2206" s="64" ph="1"/>
      <c r="X2206" s="241"/>
      <c r="Y2206" s="284"/>
      <c r="Z2206" s="207"/>
      <c r="AA2206" s="284"/>
      <c r="AB2206" s="284"/>
      <c r="AC2206" s="284"/>
      <c r="AD2206" s="284"/>
      <c r="AE2206" s="284"/>
      <c r="AF2206" s="284"/>
      <c r="AG2206" s="284"/>
    </row>
    <row r="2207" spans="1:33" ht="26.4">
      <c r="A2207" s="284"/>
      <c r="B2207" s="284"/>
      <c r="C2207" s="284"/>
      <c r="D2207" s="284"/>
      <c r="E2207" s="284"/>
      <c r="F2207" s="284"/>
      <c r="G2207" s="284"/>
      <c r="H2207" s="284"/>
      <c r="I2207" s="284"/>
      <c r="J2207" s="375"/>
      <c r="K2207" s="375"/>
      <c r="L2207" s="375"/>
      <c r="M2207" s="368"/>
      <c r="N2207" s="368"/>
      <c r="O2207" s="370"/>
      <c r="T2207" s="340"/>
      <c r="V2207" s="378"/>
      <c r="W2207" s="64" ph="1"/>
      <c r="X2207" s="241"/>
      <c r="Y2207" s="284"/>
      <c r="Z2207" s="207"/>
      <c r="AA2207" s="284"/>
      <c r="AB2207" s="284"/>
      <c r="AC2207" s="284"/>
      <c r="AD2207" s="284"/>
      <c r="AE2207" s="284"/>
      <c r="AF2207" s="284"/>
      <c r="AG2207" s="284"/>
    </row>
    <row r="2208" spans="1:33" ht="26.4">
      <c r="A2208" s="284"/>
      <c r="B2208" s="284"/>
      <c r="C2208" s="284"/>
      <c r="D2208" s="284"/>
      <c r="E2208" s="284"/>
      <c r="F2208" s="284"/>
      <c r="G2208" s="284"/>
      <c r="H2208" s="284"/>
      <c r="I2208" s="284"/>
      <c r="J2208" s="375"/>
      <c r="K2208" s="375"/>
      <c r="L2208" s="375"/>
      <c r="M2208" s="368"/>
      <c r="N2208" s="368"/>
      <c r="O2208" s="370"/>
      <c r="T2208" s="340"/>
      <c r="V2208" s="378"/>
      <c r="W2208" s="64" ph="1"/>
      <c r="X2208" s="241"/>
      <c r="Y2208" s="284"/>
      <c r="Z2208" s="207"/>
      <c r="AA2208" s="284"/>
      <c r="AB2208" s="284"/>
      <c r="AC2208" s="284"/>
      <c r="AD2208" s="284"/>
      <c r="AE2208" s="284"/>
      <c r="AF2208" s="284"/>
      <c r="AG2208" s="284"/>
    </row>
    <row r="2209" spans="1:33" ht="26.4">
      <c r="A2209" s="284"/>
      <c r="B2209" s="284"/>
      <c r="C2209" s="284"/>
      <c r="D2209" s="284"/>
      <c r="E2209" s="284"/>
      <c r="F2209" s="284"/>
      <c r="G2209" s="284"/>
      <c r="H2209" s="284"/>
      <c r="I2209" s="284"/>
      <c r="J2209" s="375"/>
      <c r="K2209" s="375"/>
      <c r="L2209" s="375"/>
      <c r="M2209" s="368"/>
      <c r="N2209" s="368"/>
      <c r="O2209" s="370"/>
      <c r="T2209" s="340"/>
      <c r="V2209" s="378"/>
      <c r="W2209" s="64" ph="1"/>
      <c r="X2209" s="241"/>
      <c r="Y2209" s="284"/>
      <c r="Z2209" s="207"/>
      <c r="AA2209" s="284"/>
      <c r="AB2209" s="284"/>
      <c r="AC2209" s="284"/>
      <c r="AD2209" s="284"/>
      <c r="AE2209" s="284"/>
      <c r="AF2209" s="284"/>
      <c r="AG2209" s="284"/>
    </row>
    <row r="2210" spans="1:33" ht="26.4">
      <c r="A2210" s="284"/>
      <c r="B2210" s="284"/>
      <c r="C2210" s="284"/>
      <c r="D2210" s="284"/>
      <c r="E2210" s="284"/>
      <c r="F2210" s="284"/>
      <c r="G2210" s="284"/>
      <c r="H2210" s="284"/>
      <c r="I2210" s="284"/>
      <c r="J2210" s="375"/>
      <c r="K2210" s="375"/>
      <c r="L2210" s="375"/>
      <c r="M2210" s="368"/>
      <c r="N2210" s="368"/>
      <c r="O2210" s="370"/>
      <c r="T2210" s="340"/>
      <c r="V2210" s="378"/>
      <c r="W2210" s="64" ph="1"/>
      <c r="X2210" s="241"/>
      <c r="Y2210" s="284"/>
      <c r="Z2210" s="207"/>
      <c r="AA2210" s="284"/>
      <c r="AB2210" s="284"/>
      <c r="AC2210" s="284"/>
      <c r="AD2210" s="284"/>
      <c r="AE2210" s="284"/>
      <c r="AF2210" s="284"/>
      <c r="AG2210" s="284"/>
    </row>
    <row r="2211" spans="1:33" ht="26.4">
      <c r="A2211" s="284"/>
      <c r="B2211" s="284"/>
      <c r="C2211" s="284"/>
      <c r="D2211" s="284"/>
      <c r="E2211" s="284"/>
      <c r="F2211" s="284"/>
      <c r="G2211" s="284"/>
      <c r="H2211" s="284"/>
      <c r="I2211" s="284"/>
      <c r="J2211" s="375"/>
      <c r="K2211" s="375"/>
      <c r="L2211" s="375"/>
      <c r="M2211" s="368"/>
      <c r="N2211" s="368"/>
      <c r="O2211" s="370"/>
      <c r="T2211" s="340"/>
      <c r="V2211" s="378"/>
      <c r="W2211" s="64" ph="1"/>
      <c r="X2211" s="241"/>
      <c r="Y2211" s="284"/>
      <c r="Z2211" s="207"/>
      <c r="AA2211" s="284"/>
      <c r="AB2211" s="284"/>
      <c r="AC2211" s="284"/>
      <c r="AD2211" s="284"/>
      <c r="AE2211" s="284"/>
      <c r="AF2211" s="284"/>
      <c r="AG2211" s="284"/>
    </row>
    <row r="2212" spans="1:33" ht="26.4">
      <c r="A2212" s="284"/>
      <c r="B2212" s="284"/>
      <c r="C2212" s="284"/>
      <c r="D2212" s="284"/>
      <c r="E2212" s="284"/>
      <c r="F2212" s="284"/>
      <c r="G2212" s="284"/>
      <c r="H2212" s="284"/>
      <c r="I2212" s="284"/>
      <c r="J2212" s="375"/>
      <c r="K2212" s="375"/>
      <c r="L2212" s="375"/>
      <c r="M2212" s="368"/>
      <c r="N2212" s="368"/>
      <c r="O2212" s="370"/>
      <c r="T2212" s="340"/>
      <c r="V2212" s="378"/>
      <c r="W2212" s="64" ph="1"/>
      <c r="X2212" s="241"/>
      <c r="Y2212" s="284"/>
      <c r="Z2212" s="207"/>
      <c r="AA2212" s="284"/>
      <c r="AB2212" s="284"/>
      <c r="AC2212" s="284"/>
      <c r="AD2212" s="284"/>
      <c r="AE2212" s="284"/>
      <c r="AF2212" s="284"/>
      <c r="AG2212" s="284"/>
    </row>
    <row r="2213" spans="1:33" ht="26.4">
      <c r="A2213" s="284"/>
      <c r="B2213" s="284"/>
      <c r="C2213" s="284"/>
      <c r="D2213" s="284"/>
      <c r="E2213" s="284"/>
      <c r="F2213" s="284"/>
      <c r="G2213" s="284"/>
      <c r="H2213" s="284"/>
      <c r="I2213" s="284"/>
      <c r="J2213" s="375"/>
      <c r="K2213" s="375"/>
      <c r="L2213" s="375"/>
      <c r="M2213" s="368"/>
      <c r="N2213" s="368"/>
      <c r="O2213" s="370"/>
      <c r="T2213" s="340"/>
      <c r="V2213" s="378"/>
      <c r="W2213" s="64" ph="1"/>
      <c r="X2213" s="241"/>
      <c r="Y2213" s="284"/>
      <c r="Z2213" s="207"/>
      <c r="AA2213" s="284"/>
      <c r="AB2213" s="284"/>
      <c r="AC2213" s="284"/>
      <c r="AD2213" s="284"/>
      <c r="AE2213" s="284"/>
      <c r="AF2213" s="284"/>
      <c r="AG2213" s="284"/>
    </row>
    <row r="2214" spans="1:33" ht="26.4">
      <c r="A2214" s="284"/>
      <c r="B2214" s="284"/>
      <c r="C2214" s="284"/>
      <c r="D2214" s="284"/>
      <c r="E2214" s="284"/>
      <c r="F2214" s="284"/>
      <c r="G2214" s="284"/>
      <c r="H2214" s="284"/>
      <c r="I2214" s="284"/>
      <c r="J2214" s="375"/>
      <c r="K2214" s="375"/>
      <c r="L2214" s="375"/>
      <c r="M2214" s="368"/>
      <c r="N2214" s="368"/>
      <c r="O2214" s="370"/>
      <c r="T2214" s="340"/>
      <c r="V2214" s="378"/>
      <c r="W2214" s="64" ph="1"/>
      <c r="X2214" s="241"/>
      <c r="Y2214" s="284"/>
      <c r="Z2214" s="207"/>
      <c r="AA2214" s="284"/>
      <c r="AB2214" s="284"/>
      <c r="AC2214" s="284"/>
      <c r="AD2214" s="284"/>
      <c r="AE2214" s="284"/>
      <c r="AF2214" s="284"/>
      <c r="AG2214" s="284"/>
    </row>
    <row r="2215" spans="1:33" ht="26.4">
      <c r="A2215" s="284"/>
      <c r="B2215" s="284"/>
      <c r="C2215" s="284"/>
      <c r="D2215" s="284"/>
      <c r="E2215" s="284"/>
      <c r="F2215" s="284"/>
      <c r="G2215" s="284"/>
      <c r="H2215" s="284"/>
      <c r="I2215" s="284"/>
      <c r="J2215" s="375"/>
      <c r="K2215" s="375"/>
      <c r="L2215" s="375"/>
      <c r="M2215" s="368"/>
      <c r="N2215" s="368"/>
      <c r="O2215" s="370"/>
      <c r="T2215" s="340"/>
      <c r="V2215" s="378"/>
      <c r="W2215" s="64" ph="1"/>
      <c r="X2215" s="241"/>
      <c r="Y2215" s="284"/>
      <c r="Z2215" s="207"/>
      <c r="AA2215" s="284"/>
      <c r="AB2215" s="284"/>
      <c r="AC2215" s="284"/>
      <c r="AD2215" s="284"/>
      <c r="AE2215" s="284"/>
      <c r="AF2215" s="284"/>
      <c r="AG2215" s="284"/>
    </row>
    <row r="2216" spans="1:33" ht="26.4">
      <c r="A2216" s="284"/>
      <c r="B2216" s="284"/>
      <c r="C2216" s="284"/>
      <c r="D2216" s="284"/>
      <c r="E2216" s="284"/>
      <c r="F2216" s="284"/>
      <c r="G2216" s="284"/>
      <c r="H2216" s="284"/>
      <c r="I2216" s="284"/>
      <c r="J2216" s="375"/>
      <c r="K2216" s="375"/>
      <c r="L2216" s="375"/>
      <c r="M2216" s="368"/>
      <c r="N2216" s="368"/>
      <c r="O2216" s="370"/>
      <c r="T2216" s="340"/>
      <c r="V2216" s="378"/>
      <c r="W2216" s="64" ph="1"/>
      <c r="X2216" s="241"/>
      <c r="Y2216" s="284"/>
      <c r="Z2216" s="207"/>
      <c r="AA2216" s="284"/>
      <c r="AB2216" s="284"/>
      <c r="AC2216" s="284"/>
      <c r="AD2216" s="284"/>
      <c r="AE2216" s="284"/>
      <c r="AF2216" s="284"/>
      <c r="AG2216" s="284"/>
    </row>
    <row r="2217" spans="1:33" ht="26.4">
      <c r="A2217" s="284"/>
      <c r="B2217" s="284"/>
      <c r="C2217" s="284"/>
      <c r="D2217" s="284"/>
      <c r="E2217" s="284"/>
      <c r="F2217" s="284"/>
      <c r="G2217" s="284"/>
      <c r="H2217" s="284"/>
      <c r="I2217" s="284"/>
      <c r="J2217" s="375"/>
      <c r="K2217" s="375"/>
      <c r="L2217" s="375"/>
      <c r="M2217" s="368"/>
      <c r="N2217" s="368"/>
      <c r="O2217" s="370"/>
      <c r="T2217" s="340"/>
      <c r="V2217" s="378"/>
      <c r="W2217" s="64" ph="1"/>
      <c r="X2217" s="241"/>
      <c r="Y2217" s="284"/>
      <c r="Z2217" s="207"/>
      <c r="AA2217" s="284"/>
      <c r="AB2217" s="284"/>
      <c r="AC2217" s="284"/>
      <c r="AD2217" s="284"/>
      <c r="AE2217" s="284"/>
      <c r="AF2217" s="284"/>
      <c r="AG2217" s="284"/>
    </row>
    <row r="2218" spans="1:33" ht="26.4">
      <c r="A2218" s="284"/>
      <c r="B2218" s="284"/>
      <c r="C2218" s="284"/>
      <c r="D2218" s="284"/>
      <c r="E2218" s="284"/>
      <c r="F2218" s="284"/>
      <c r="G2218" s="284"/>
      <c r="H2218" s="284"/>
      <c r="I2218" s="284"/>
      <c r="J2218" s="375"/>
      <c r="K2218" s="375"/>
      <c r="L2218" s="375"/>
      <c r="M2218" s="368"/>
      <c r="N2218" s="368"/>
      <c r="O2218" s="370"/>
      <c r="T2218" s="340"/>
      <c r="V2218" s="378"/>
      <c r="W2218" s="64" ph="1"/>
      <c r="X2218" s="241"/>
      <c r="Y2218" s="284"/>
      <c r="Z2218" s="207"/>
      <c r="AA2218" s="284"/>
      <c r="AB2218" s="284"/>
      <c r="AC2218" s="284"/>
      <c r="AD2218" s="284"/>
      <c r="AE2218" s="284"/>
      <c r="AF2218" s="284"/>
      <c r="AG2218" s="284"/>
    </row>
    <row r="2219" spans="1:33" ht="26.4">
      <c r="A2219" s="284"/>
      <c r="B2219" s="284"/>
      <c r="C2219" s="284"/>
      <c r="D2219" s="284"/>
      <c r="E2219" s="284"/>
      <c r="F2219" s="284"/>
      <c r="G2219" s="284"/>
      <c r="H2219" s="284"/>
      <c r="I2219" s="284"/>
      <c r="J2219" s="375"/>
      <c r="K2219" s="375"/>
      <c r="L2219" s="375"/>
      <c r="M2219" s="368"/>
      <c r="N2219" s="368"/>
      <c r="O2219" s="370"/>
      <c r="T2219" s="340"/>
      <c r="V2219" s="378"/>
      <c r="W2219" s="64" ph="1"/>
      <c r="X2219" s="241"/>
      <c r="Y2219" s="284"/>
      <c r="Z2219" s="207"/>
      <c r="AA2219" s="284"/>
      <c r="AB2219" s="284"/>
      <c r="AC2219" s="284"/>
      <c r="AD2219" s="284"/>
      <c r="AE2219" s="284"/>
      <c r="AF2219" s="284"/>
      <c r="AG2219" s="284"/>
    </row>
    <row r="2220" spans="1:33" ht="26.4">
      <c r="A2220" s="284"/>
      <c r="B2220" s="284"/>
      <c r="C2220" s="284"/>
      <c r="D2220" s="284"/>
      <c r="E2220" s="284"/>
      <c r="F2220" s="284"/>
      <c r="G2220" s="284"/>
      <c r="H2220" s="284"/>
      <c r="I2220" s="284"/>
      <c r="J2220" s="375"/>
      <c r="K2220" s="375"/>
      <c r="L2220" s="375"/>
      <c r="M2220" s="368"/>
      <c r="N2220" s="368"/>
      <c r="O2220" s="370"/>
      <c r="T2220" s="340"/>
      <c r="V2220" s="378"/>
      <c r="W2220" s="64" ph="1"/>
      <c r="X2220" s="241"/>
      <c r="Y2220" s="284"/>
      <c r="Z2220" s="207"/>
      <c r="AA2220" s="284"/>
      <c r="AB2220" s="284"/>
      <c r="AC2220" s="284"/>
      <c r="AD2220" s="284"/>
      <c r="AE2220" s="284"/>
      <c r="AF2220" s="284"/>
      <c r="AG2220" s="284"/>
    </row>
    <row r="2221" spans="1:33" ht="26.4">
      <c r="A2221" s="284"/>
      <c r="B2221" s="284"/>
      <c r="C2221" s="284"/>
      <c r="D2221" s="284"/>
      <c r="E2221" s="284"/>
      <c r="F2221" s="284"/>
      <c r="G2221" s="284"/>
      <c r="H2221" s="284"/>
      <c r="I2221" s="284"/>
      <c r="J2221" s="375"/>
      <c r="K2221" s="375"/>
      <c r="L2221" s="375"/>
      <c r="M2221" s="368"/>
      <c r="N2221" s="368"/>
      <c r="O2221" s="370"/>
      <c r="T2221" s="340"/>
      <c r="V2221" s="378"/>
      <c r="W2221" s="64" ph="1"/>
      <c r="X2221" s="241"/>
      <c r="Y2221" s="284"/>
      <c r="Z2221" s="207"/>
      <c r="AA2221" s="284"/>
      <c r="AB2221" s="284"/>
      <c r="AC2221" s="284"/>
      <c r="AD2221" s="284"/>
      <c r="AE2221" s="284"/>
      <c r="AF2221" s="284"/>
      <c r="AG2221" s="284"/>
    </row>
    <row r="2222" spans="1:33" ht="26.4">
      <c r="A2222" s="284"/>
      <c r="B2222" s="284"/>
      <c r="C2222" s="284"/>
      <c r="D2222" s="284"/>
      <c r="E2222" s="284"/>
      <c r="F2222" s="284"/>
      <c r="G2222" s="284"/>
      <c r="H2222" s="284"/>
      <c r="I2222" s="284"/>
      <c r="J2222" s="375"/>
      <c r="K2222" s="375"/>
      <c r="L2222" s="375"/>
      <c r="M2222" s="368"/>
      <c r="N2222" s="368"/>
      <c r="O2222" s="370"/>
      <c r="T2222" s="340"/>
      <c r="V2222" s="378"/>
      <c r="W2222" s="64" ph="1"/>
      <c r="X2222" s="241"/>
      <c r="Y2222" s="284"/>
      <c r="Z2222" s="207"/>
      <c r="AA2222" s="284"/>
      <c r="AB2222" s="284"/>
      <c r="AC2222" s="284"/>
      <c r="AD2222" s="284"/>
      <c r="AE2222" s="284"/>
      <c r="AF2222" s="284"/>
      <c r="AG2222" s="284"/>
    </row>
    <row r="2223" spans="1:33" ht="26.4">
      <c r="A2223" s="284"/>
      <c r="B2223" s="284"/>
      <c r="C2223" s="284"/>
      <c r="D2223" s="284"/>
      <c r="E2223" s="284"/>
      <c r="F2223" s="284"/>
      <c r="G2223" s="284"/>
      <c r="H2223" s="284"/>
      <c r="I2223" s="284"/>
      <c r="J2223" s="375"/>
      <c r="K2223" s="375"/>
      <c r="L2223" s="375"/>
      <c r="M2223" s="368"/>
      <c r="N2223" s="368"/>
      <c r="O2223" s="370"/>
      <c r="T2223" s="340"/>
      <c r="V2223" s="378"/>
      <c r="W2223" s="64" ph="1"/>
      <c r="X2223" s="241"/>
      <c r="Y2223" s="284"/>
      <c r="Z2223" s="207"/>
      <c r="AA2223" s="284"/>
      <c r="AB2223" s="284"/>
      <c r="AC2223" s="284"/>
      <c r="AD2223" s="284"/>
      <c r="AE2223" s="284"/>
      <c r="AF2223" s="284"/>
      <c r="AG2223" s="284"/>
    </row>
    <row r="2224" spans="1:33" ht="26.4">
      <c r="A2224" s="284"/>
      <c r="B2224" s="284"/>
      <c r="C2224" s="284"/>
      <c r="D2224" s="284"/>
      <c r="E2224" s="284"/>
      <c r="F2224" s="284"/>
      <c r="G2224" s="284"/>
      <c r="H2224" s="284"/>
      <c r="I2224" s="284"/>
      <c r="J2224" s="375"/>
      <c r="K2224" s="375"/>
      <c r="L2224" s="375"/>
      <c r="M2224" s="368"/>
      <c r="N2224" s="368"/>
      <c r="O2224" s="370"/>
      <c r="T2224" s="340"/>
      <c r="V2224" s="378"/>
      <c r="W2224" s="64" ph="1"/>
      <c r="X2224" s="241"/>
      <c r="Y2224" s="284"/>
      <c r="Z2224" s="207"/>
      <c r="AA2224" s="284"/>
      <c r="AB2224" s="284"/>
      <c r="AC2224" s="284"/>
      <c r="AD2224" s="284"/>
      <c r="AE2224" s="284"/>
      <c r="AF2224" s="284"/>
      <c r="AG2224" s="284"/>
    </row>
    <row r="2225" spans="1:33" ht="26.4">
      <c r="A2225" s="284"/>
      <c r="B2225" s="284"/>
      <c r="C2225" s="284"/>
      <c r="D2225" s="284"/>
      <c r="E2225" s="284"/>
      <c r="F2225" s="284"/>
      <c r="G2225" s="284"/>
      <c r="H2225" s="284"/>
      <c r="I2225" s="284"/>
      <c r="J2225" s="375"/>
      <c r="K2225" s="375"/>
      <c r="L2225" s="375"/>
      <c r="M2225" s="368"/>
      <c r="N2225" s="368"/>
      <c r="O2225" s="370"/>
      <c r="T2225" s="340"/>
      <c r="V2225" s="378"/>
      <c r="W2225" s="64" ph="1"/>
      <c r="X2225" s="241"/>
      <c r="Y2225" s="284"/>
      <c r="Z2225" s="207"/>
      <c r="AA2225" s="284"/>
      <c r="AB2225" s="284"/>
      <c r="AC2225" s="284"/>
      <c r="AD2225" s="284"/>
      <c r="AE2225" s="284"/>
      <c r="AF2225" s="284"/>
      <c r="AG2225" s="284"/>
    </row>
    <row r="2226" spans="1:33" ht="26.4">
      <c r="A2226" s="284"/>
      <c r="B2226" s="284"/>
      <c r="C2226" s="284"/>
      <c r="D2226" s="284"/>
      <c r="E2226" s="284"/>
      <c r="F2226" s="284"/>
      <c r="G2226" s="284"/>
      <c r="H2226" s="284"/>
      <c r="I2226" s="284"/>
      <c r="J2226" s="375"/>
      <c r="K2226" s="375"/>
      <c r="L2226" s="375"/>
      <c r="M2226" s="368"/>
      <c r="N2226" s="368"/>
      <c r="O2226" s="370"/>
      <c r="T2226" s="340"/>
      <c r="V2226" s="378"/>
      <c r="W2226" s="64" ph="1"/>
      <c r="X2226" s="241"/>
      <c r="Y2226" s="284"/>
      <c r="Z2226" s="207"/>
      <c r="AA2226" s="284"/>
      <c r="AB2226" s="284"/>
      <c r="AC2226" s="284"/>
      <c r="AD2226" s="284"/>
      <c r="AE2226" s="284"/>
      <c r="AF2226" s="284"/>
      <c r="AG2226" s="284"/>
    </row>
    <row r="2227" spans="1:33" ht="26.4">
      <c r="A2227" s="284"/>
      <c r="B2227" s="284"/>
      <c r="C2227" s="284"/>
      <c r="D2227" s="284"/>
      <c r="E2227" s="284"/>
      <c r="F2227" s="284"/>
      <c r="G2227" s="284"/>
      <c r="H2227" s="284"/>
      <c r="I2227" s="284"/>
      <c r="J2227" s="375"/>
      <c r="K2227" s="375"/>
      <c r="L2227" s="375"/>
      <c r="M2227" s="368"/>
      <c r="N2227" s="368"/>
      <c r="O2227" s="370"/>
      <c r="T2227" s="340"/>
      <c r="V2227" s="378"/>
      <c r="W2227" s="64" ph="1"/>
      <c r="X2227" s="241"/>
      <c r="Y2227" s="284"/>
      <c r="Z2227" s="207"/>
      <c r="AA2227" s="284"/>
      <c r="AB2227" s="284"/>
      <c r="AC2227" s="284"/>
      <c r="AD2227" s="284"/>
      <c r="AE2227" s="284"/>
      <c r="AF2227" s="284"/>
      <c r="AG2227" s="284"/>
    </row>
    <row r="2228" spans="1:33" ht="26.4">
      <c r="A2228" s="284"/>
      <c r="B2228" s="284"/>
      <c r="C2228" s="284"/>
      <c r="D2228" s="284"/>
      <c r="E2228" s="284"/>
      <c r="F2228" s="284"/>
      <c r="G2228" s="284"/>
      <c r="H2228" s="284"/>
      <c r="I2228" s="284"/>
      <c r="J2228" s="375"/>
      <c r="K2228" s="375"/>
      <c r="L2228" s="375"/>
      <c r="M2228" s="368"/>
      <c r="N2228" s="368"/>
      <c r="O2228" s="370"/>
      <c r="T2228" s="340"/>
      <c r="V2228" s="378"/>
      <c r="W2228" s="64" ph="1"/>
      <c r="X2228" s="241"/>
      <c r="Y2228" s="284"/>
      <c r="Z2228" s="207"/>
      <c r="AA2228" s="284"/>
      <c r="AB2228" s="284"/>
      <c r="AC2228" s="284"/>
      <c r="AD2228" s="284"/>
      <c r="AE2228" s="284"/>
      <c r="AF2228" s="284"/>
      <c r="AG2228" s="284"/>
    </row>
    <row r="2229" spans="1:33" ht="26.4">
      <c r="A2229" s="284"/>
      <c r="B2229" s="284"/>
      <c r="C2229" s="284"/>
      <c r="D2229" s="284"/>
      <c r="E2229" s="284"/>
      <c r="F2229" s="284"/>
      <c r="G2229" s="284"/>
      <c r="H2229" s="284"/>
      <c r="I2229" s="284"/>
      <c r="J2229" s="375"/>
      <c r="K2229" s="375"/>
      <c r="L2229" s="375"/>
      <c r="M2229" s="368"/>
      <c r="N2229" s="368"/>
      <c r="O2229" s="370"/>
      <c r="T2229" s="340"/>
      <c r="V2229" s="378"/>
      <c r="W2229" s="64" ph="1"/>
      <c r="X2229" s="241"/>
      <c r="Y2229" s="284"/>
      <c r="Z2229" s="207"/>
      <c r="AA2229" s="284"/>
      <c r="AB2229" s="284"/>
      <c r="AC2229" s="284"/>
      <c r="AD2229" s="284"/>
      <c r="AE2229" s="284"/>
      <c r="AF2229" s="284"/>
      <c r="AG2229" s="284"/>
    </row>
    <row r="2230" spans="1:33" ht="26.4">
      <c r="A2230" s="284"/>
      <c r="B2230" s="284"/>
      <c r="C2230" s="284"/>
      <c r="D2230" s="284"/>
      <c r="E2230" s="284"/>
      <c r="F2230" s="284"/>
      <c r="G2230" s="284"/>
      <c r="H2230" s="284"/>
      <c r="I2230" s="284"/>
      <c r="J2230" s="375"/>
      <c r="K2230" s="375"/>
      <c r="L2230" s="375"/>
      <c r="M2230" s="368"/>
      <c r="N2230" s="368"/>
      <c r="O2230" s="370"/>
      <c r="T2230" s="340"/>
      <c r="V2230" s="378"/>
      <c r="W2230" s="64" ph="1"/>
      <c r="X2230" s="241"/>
      <c r="Y2230" s="284"/>
      <c r="Z2230" s="207"/>
      <c r="AA2230" s="284"/>
      <c r="AB2230" s="284"/>
      <c r="AC2230" s="284"/>
      <c r="AD2230" s="284"/>
      <c r="AE2230" s="284"/>
      <c r="AF2230" s="284"/>
      <c r="AG2230" s="284"/>
    </row>
    <row r="2231" spans="1:33" ht="26.4">
      <c r="A2231" s="284"/>
      <c r="B2231" s="284"/>
      <c r="C2231" s="284"/>
      <c r="D2231" s="284"/>
      <c r="E2231" s="284"/>
      <c r="F2231" s="284"/>
      <c r="G2231" s="284"/>
      <c r="H2231" s="284"/>
      <c r="I2231" s="284"/>
      <c r="J2231" s="375"/>
      <c r="K2231" s="375"/>
      <c r="L2231" s="375"/>
      <c r="M2231" s="368"/>
      <c r="N2231" s="368"/>
      <c r="O2231" s="370"/>
      <c r="T2231" s="340"/>
      <c r="V2231" s="378"/>
      <c r="W2231" s="64" ph="1"/>
      <c r="X2231" s="241"/>
      <c r="Y2231" s="284"/>
      <c r="Z2231" s="207"/>
      <c r="AA2231" s="284"/>
      <c r="AB2231" s="284"/>
      <c r="AC2231" s="284"/>
      <c r="AD2231" s="284"/>
      <c r="AE2231" s="284"/>
      <c r="AF2231" s="284"/>
      <c r="AG2231" s="284"/>
    </row>
    <row r="2232" spans="1:33" ht="26.4">
      <c r="A2232" s="284"/>
      <c r="B2232" s="284"/>
      <c r="C2232" s="284"/>
      <c r="D2232" s="284"/>
      <c r="E2232" s="284"/>
      <c r="F2232" s="284"/>
      <c r="G2232" s="284"/>
      <c r="H2232" s="284"/>
      <c r="I2232" s="284"/>
      <c r="J2232" s="375"/>
      <c r="K2232" s="375"/>
      <c r="L2232" s="375"/>
      <c r="M2232" s="368"/>
      <c r="N2232" s="368"/>
      <c r="O2232" s="370"/>
      <c r="T2232" s="340"/>
      <c r="V2232" s="378"/>
      <c r="W2232" s="64" ph="1"/>
      <c r="X2232" s="241"/>
      <c r="Y2232" s="284"/>
      <c r="Z2232" s="207"/>
      <c r="AA2232" s="284"/>
      <c r="AB2232" s="284"/>
      <c r="AC2232" s="284"/>
      <c r="AD2232" s="284"/>
      <c r="AE2232" s="284"/>
      <c r="AF2232" s="284"/>
      <c r="AG2232" s="284"/>
    </row>
    <row r="2233" spans="1:33" ht="26.4">
      <c r="A2233" s="284"/>
      <c r="B2233" s="284"/>
      <c r="C2233" s="284"/>
      <c r="D2233" s="284"/>
      <c r="E2233" s="284"/>
      <c r="F2233" s="284"/>
      <c r="G2233" s="284"/>
      <c r="H2233" s="284"/>
      <c r="I2233" s="284"/>
      <c r="J2233" s="375"/>
      <c r="K2233" s="375"/>
      <c r="L2233" s="375"/>
      <c r="M2233" s="368"/>
      <c r="N2233" s="368"/>
      <c r="O2233" s="370"/>
      <c r="T2233" s="340"/>
      <c r="V2233" s="378"/>
      <c r="W2233" s="64" ph="1"/>
      <c r="X2233" s="241"/>
      <c r="Y2233" s="284"/>
      <c r="Z2233" s="207"/>
      <c r="AA2233" s="284"/>
      <c r="AB2233" s="284"/>
      <c r="AC2233" s="284"/>
      <c r="AD2233" s="284"/>
      <c r="AE2233" s="284"/>
      <c r="AF2233" s="284"/>
      <c r="AG2233" s="284"/>
    </row>
    <row r="2234" spans="1:33" ht="26.4">
      <c r="A2234" s="284"/>
      <c r="B2234" s="284"/>
      <c r="C2234" s="284"/>
      <c r="D2234" s="284"/>
      <c r="E2234" s="284"/>
      <c r="F2234" s="284"/>
      <c r="G2234" s="284"/>
      <c r="H2234" s="284"/>
      <c r="I2234" s="284"/>
      <c r="J2234" s="375"/>
      <c r="K2234" s="375"/>
      <c r="L2234" s="375"/>
      <c r="M2234" s="368"/>
      <c r="N2234" s="368"/>
      <c r="O2234" s="370"/>
      <c r="T2234" s="340"/>
      <c r="V2234" s="378"/>
      <c r="W2234" s="64" ph="1"/>
      <c r="X2234" s="241"/>
      <c r="Y2234" s="284"/>
      <c r="Z2234" s="207"/>
      <c r="AA2234" s="284"/>
      <c r="AB2234" s="284"/>
      <c r="AC2234" s="284"/>
      <c r="AD2234" s="284"/>
      <c r="AE2234" s="284"/>
      <c r="AF2234" s="284"/>
      <c r="AG2234" s="284"/>
    </row>
    <row r="2235" spans="1:33" ht="26.4">
      <c r="A2235" s="284"/>
      <c r="B2235" s="284"/>
      <c r="C2235" s="284"/>
      <c r="D2235" s="284"/>
      <c r="E2235" s="284"/>
      <c r="F2235" s="284"/>
      <c r="G2235" s="284"/>
      <c r="H2235" s="284"/>
      <c r="I2235" s="284"/>
      <c r="J2235" s="375"/>
      <c r="K2235" s="375"/>
      <c r="L2235" s="375"/>
      <c r="M2235" s="368"/>
      <c r="N2235" s="368"/>
      <c r="O2235" s="370"/>
      <c r="T2235" s="340"/>
      <c r="V2235" s="378"/>
      <c r="W2235" s="64" ph="1"/>
      <c r="X2235" s="241"/>
      <c r="Y2235" s="284"/>
      <c r="Z2235" s="207"/>
      <c r="AA2235" s="284"/>
      <c r="AB2235" s="284"/>
      <c r="AC2235" s="284"/>
      <c r="AD2235" s="284"/>
      <c r="AE2235" s="284"/>
      <c r="AF2235" s="284"/>
      <c r="AG2235" s="284"/>
    </row>
    <row r="2236" spans="1:33" ht="26.4">
      <c r="A2236" s="284"/>
      <c r="B2236" s="284"/>
      <c r="C2236" s="284"/>
      <c r="D2236" s="284"/>
      <c r="E2236" s="284"/>
      <c r="F2236" s="284"/>
      <c r="G2236" s="284"/>
      <c r="H2236" s="284"/>
      <c r="I2236" s="284"/>
      <c r="J2236" s="375"/>
      <c r="K2236" s="375"/>
      <c r="L2236" s="375"/>
      <c r="M2236" s="368"/>
      <c r="N2236" s="368"/>
      <c r="O2236" s="370"/>
      <c r="T2236" s="340"/>
      <c r="V2236" s="378"/>
      <c r="W2236" s="64" ph="1"/>
      <c r="X2236" s="241"/>
      <c r="Y2236" s="284"/>
      <c r="Z2236" s="207"/>
      <c r="AA2236" s="284"/>
      <c r="AB2236" s="284"/>
      <c r="AC2236" s="284"/>
      <c r="AD2236" s="284"/>
      <c r="AE2236" s="284"/>
      <c r="AF2236" s="284"/>
      <c r="AG2236" s="284"/>
    </row>
    <row r="2237" spans="1:33" ht="26.4">
      <c r="A2237" s="284"/>
      <c r="B2237" s="284"/>
      <c r="C2237" s="284"/>
      <c r="D2237" s="284"/>
      <c r="E2237" s="284"/>
      <c r="F2237" s="284"/>
      <c r="G2237" s="284"/>
      <c r="H2237" s="284"/>
      <c r="I2237" s="284"/>
      <c r="J2237" s="375"/>
      <c r="K2237" s="375"/>
      <c r="L2237" s="375"/>
      <c r="M2237" s="368"/>
      <c r="N2237" s="368"/>
      <c r="O2237" s="370"/>
      <c r="T2237" s="340"/>
      <c r="V2237" s="378"/>
      <c r="W2237" s="64" ph="1"/>
      <c r="X2237" s="241"/>
      <c r="Y2237" s="284"/>
      <c r="Z2237" s="207"/>
      <c r="AA2237" s="284"/>
      <c r="AB2237" s="284"/>
      <c r="AC2237" s="284"/>
      <c r="AD2237" s="284"/>
      <c r="AE2237" s="284"/>
      <c r="AF2237" s="284"/>
      <c r="AG2237" s="284"/>
    </row>
    <row r="2238" spans="1:33" ht="26.4">
      <c r="A2238" s="284"/>
      <c r="B2238" s="284"/>
      <c r="C2238" s="284"/>
      <c r="D2238" s="284"/>
      <c r="E2238" s="284"/>
      <c r="F2238" s="284"/>
      <c r="G2238" s="284"/>
      <c r="H2238" s="284"/>
      <c r="I2238" s="284"/>
      <c r="J2238" s="375"/>
      <c r="K2238" s="375"/>
      <c r="L2238" s="375"/>
      <c r="M2238" s="368"/>
      <c r="N2238" s="368"/>
      <c r="O2238" s="370"/>
      <c r="T2238" s="340"/>
      <c r="V2238" s="378"/>
      <c r="W2238" s="64" ph="1"/>
      <c r="X2238" s="241"/>
      <c r="Y2238" s="284"/>
      <c r="Z2238" s="207"/>
      <c r="AA2238" s="284"/>
      <c r="AB2238" s="284"/>
      <c r="AC2238" s="284"/>
      <c r="AD2238" s="284"/>
      <c r="AE2238" s="284"/>
      <c r="AF2238" s="284"/>
      <c r="AG2238" s="284"/>
    </row>
    <row r="2239" spans="1:33" ht="26.4">
      <c r="A2239" s="284"/>
      <c r="B2239" s="284"/>
      <c r="C2239" s="284"/>
      <c r="D2239" s="284"/>
      <c r="E2239" s="284"/>
      <c r="F2239" s="284"/>
      <c r="G2239" s="284"/>
      <c r="H2239" s="284"/>
      <c r="I2239" s="284"/>
      <c r="J2239" s="375"/>
      <c r="K2239" s="375"/>
      <c r="L2239" s="375"/>
      <c r="M2239" s="368"/>
      <c r="N2239" s="368"/>
      <c r="O2239" s="370"/>
      <c r="T2239" s="340"/>
      <c r="V2239" s="378"/>
      <c r="W2239" s="64" ph="1"/>
      <c r="X2239" s="241"/>
      <c r="Y2239" s="284"/>
      <c r="Z2239" s="207"/>
      <c r="AA2239" s="284"/>
      <c r="AB2239" s="284"/>
      <c r="AC2239" s="284"/>
      <c r="AD2239" s="284"/>
      <c r="AE2239" s="284"/>
      <c r="AF2239" s="284"/>
      <c r="AG2239" s="284"/>
    </row>
    <row r="2240" spans="1:33" ht="26.4">
      <c r="A2240" s="284"/>
      <c r="B2240" s="284"/>
      <c r="C2240" s="284"/>
      <c r="D2240" s="284"/>
      <c r="E2240" s="284"/>
      <c r="F2240" s="284"/>
      <c r="G2240" s="284"/>
      <c r="H2240" s="284"/>
      <c r="I2240" s="284"/>
      <c r="J2240" s="375"/>
      <c r="K2240" s="375"/>
      <c r="L2240" s="375"/>
      <c r="M2240" s="368"/>
      <c r="N2240" s="368"/>
      <c r="O2240" s="370"/>
      <c r="T2240" s="340"/>
      <c r="V2240" s="378"/>
      <c r="W2240" s="64" ph="1"/>
      <c r="X2240" s="241"/>
      <c r="Y2240" s="284"/>
      <c r="Z2240" s="207"/>
      <c r="AA2240" s="284"/>
      <c r="AB2240" s="284"/>
      <c r="AC2240" s="284"/>
      <c r="AD2240" s="284"/>
      <c r="AE2240" s="284"/>
      <c r="AF2240" s="284"/>
      <c r="AG2240" s="284"/>
    </row>
    <row r="2241" spans="1:33" ht="26.4">
      <c r="A2241" s="284"/>
      <c r="B2241" s="284"/>
      <c r="C2241" s="284"/>
      <c r="D2241" s="284"/>
      <c r="E2241" s="284"/>
      <c r="F2241" s="284"/>
      <c r="G2241" s="284"/>
      <c r="H2241" s="284"/>
      <c r="I2241" s="284"/>
      <c r="J2241" s="375"/>
      <c r="K2241" s="375"/>
      <c r="L2241" s="375"/>
      <c r="M2241" s="368"/>
      <c r="N2241" s="368"/>
      <c r="O2241" s="370"/>
      <c r="T2241" s="340"/>
      <c r="V2241" s="378"/>
      <c r="W2241" s="64" ph="1"/>
      <c r="X2241" s="241"/>
      <c r="Y2241" s="284"/>
      <c r="Z2241" s="207"/>
      <c r="AA2241" s="284"/>
      <c r="AB2241" s="284"/>
      <c r="AC2241" s="284"/>
      <c r="AD2241" s="284"/>
      <c r="AE2241" s="284"/>
      <c r="AF2241" s="284"/>
      <c r="AG2241" s="284"/>
    </row>
    <row r="2242" spans="1:33" ht="26.4">
      <c r="A2242" s="284"/>
      <c r="B2242" s="284"/>
      <c r="C2242" s="284"/>
      <c r="D2242" s="284"/>
      <c r="E2242" s="284"/>
      <c r="F2242" s="284"/>
      <c r="G2242" s="284"/>
      <c r="H2242" s="284"/>
      <c r="I2242" s="284"/>
      <c r="J2242" s="375"/>
      <c r="K2242" s="375"/>
      <c r="L2242" s="375"/>
      <c r="M2242" s="368"/>
      <c r="N2242" s="368"/>
      <c r="O2242" s="370"/>
      <c r="T2242" s="340"/>
      <c r="V2242" s="378"/>
      <c r="W2242" s="64" ph="1"/>
      <c r="X2242" s="241"/>
      <c r="Y2242" s="284"/>
      <c r="Z2242" s="207"/>
      <c r="AA2242" s="284"/>
      <c r="AB2242" s="284"/>
      <c r="AC2242" s="284"/>
      <c r="AD2242" s="284"/>
      <c r="AE2242" s="284"/>
      <c r="AF2242" s="284"/>
      <c r="AG2242" s="284"/>
    </row>
    <row r="2243" spans="1:33" ht="26.4">
      <c r="A2243" s="284"/>
      <c r="B2243" s="284"/>
      <c r="C2243" s="284"/>
      <c r="D2243" s="284"/>
      <c r="E2243" s="284"/>
      <c r="F2243" s="284"/>
      <c r="G2243" s="284"/>
      <c r="H2243" s="284"/>
      <c r="I2243" s="284"/>
      <c r="J2243" s="375"/>
      <c r="K2243" s="375"/>
      <c r="L2243" s="375"/>
      <c r="M2243" s="368"/>
      <c r="N2243" s="368"/>
      <c r="O2243" s="370"/>
      <c r="T2243" s="340"/>
      <c r="V2243" s="378"/>
      <c r="W2243" s="64" ph="1"/>
      <c r="X2243" s="241"/>
      <c r="Y2243" s="284"/>
      <c r="Z2243" s="207"/>
      <c r="AA2243" s="284"/>
      <c r="AB2243" s="284"/>
      <c r="AC2243" s="284"/>
      <c r="AD2243" s="284"/>
      <c r="AE2243" s="284"/>
      <c r="AF2243" s="284"/>
      <c r="AG2243" s="284"/>
    </row>
    <row r="2244" spans="1:33" ht="26.4">
      <c r="A2244" s="284"/>
      <c r="B2244" s="284"/>
      <c r="C2244" s="284"/>
      <c r="D2244" s="284"/>
      <c r="E2244" s="284"/>
      <c r="F2244" s="284"/>
      <c r="G2244" s="284"/>
      <c r="H2244" s="284"/>
      <c r="I2244" s="284"/>
      <c r="J2244" s="375"/>
      <c r="K2244" s="375"/>
      <c r="L2244" s="375"/>
      <c r="M2244" s="368"/>
      <c r="N2244" s="368"/>
      <c r="O2244" s="370"/>
      <c r="T2244" s="340"/>
      <c r="V2244" s="378"/>
      <c r="W2244" s="64" ph="1"/>
      <c r="X2244" s="241"/>
      <c r="Y2244" s="284"/>
      <c r="Z2244" s="207"/>
      <c r="AA2244" s="284"/>
      <c r="AB2244" s="284"/>
      <c r="AC2244" s="284"/>
      <c r="AD2244" s="284"/>
      <c r="AE2244" s="284"/>
      <c r="AF2244" s="284"/>
      <c r="AG2244" s="284"/>
    </row>
    <row r="2245" spans="1:33" ht="26.4">
      <c r="A2245" s="284"/>
      <c r="B2245" s="284"/>
      <c r="C2245" s="284"/>
      <c r="D2245" s="284"/>
      <c r="E2245" s="284"/>
      <c r="F2245" s="284"/>
      <c r="G2245" s="284"/>
      <c r="H2245" s="284"/>
      <c r="I2245" s="284"/>
      <c r="J2245" s="375"/>
      <c r="K2245" s="375"/>
      <c r="L2245" s="375"/>
      <c r="M2245" s="368"/>
      <c r="N2245" s="368"/>
      <c r="O2245" s="370"/>
      <c r="T2245" s="340"/>
      <c r="V2245" s="378"/>
      <c r="W2245" s="64" ph="1"/>
      <c r="X2245" s="241"/>
      <c r="Y2245" s="284"/>
      <c r="Z2245" s="207"/>
      <c r="AA2245" s="284"/>
      <c r="AB2245" s="284"/>
      <c r="AC2245" s="284"/>
      <c r="AD2245" s="284"/>
      <c r="AE2245" s="284"/>
      <c r="AF2245" s="284"/>
      <c r="AG2245" s="284"/>
    </row>
    <row r="2246" spans="1:33" ht="26.4">
      <c r="A2246" s="284"/>
      <c r="B2246" s="284"/>
      <c r="C2246" s="284"/>
      <c r="D2246" s="284"/>
      <c r="E2246" s="284"/>
      <c r="F2246" s="284"/>
      <c r="G2246" s="284"/>
      <c r="H2246" s="284"/>
      <c r="I2246" s="284"/>
      <c r="J2246" s="375"/>
      <c r="K2246" s="375"/>
      <c r="L2246" s="375"/>
      <c r="M2246" s="368"/>
      <c r="N2246" s="368"/>
      <c r="O2246" s="370"/>
      <c r="T2246" s="340"/>
      <c r="V2246" s="378"/>
      <c r="W2246" s="64" ph="1"/>
      <c r="X2246" s="241"/>
      <c r="Y2246" s="284"/>
      <c r="Z2246" s="207"/>
      <c r="AA2246" s="284"/>
      <c r="AB2246" s="284"/>
      <c r="AC2246" s="284"/>
      <c r="AD2246" s="284"/>
      <c r="AE2246" s="284"/>
      <c r="AF2246" s="284"/>
      <c r="AG2246" s="284"/>
    </row>
    <row r="2247" spans="1:33" ht="26.4">
      <c r="A2247" s="284"/>
      <c r="B2247" s="284"/>
      <c r="C2247" s="284"/>
      <c r="D2247" s="284"/>
      <c r="E2247" s="284"/>
      <c r="F2247" s="284"/>
      <c r="G2247" s="284"/>
      <c r="H2247" s="284"/>
      <c r="I2247" s="284"/>
      <c r="J2247" s="375"/>
      <c r="K2247" s="375"/>
      <c r="L2247" s="375"/>
      <c r="M2247" s="368"/>
      <c r="N2247" s="368"/>
      <c r="O2247" s="370"/>
      <c r="T2247" s="340"/>
      <c r="V2247" s="378"/>
      <c r="W2247" s="64" ph="1"/>
      <c r="X2247" s="241"/>
      <c r="Y2247" s="284"/>
      <c r="Z2247" s="207"/>
      <c r="AA2247" s="284"/>
      <c r="AB2247" s="284"/>
      <c r="AC2247" s="284"/>
      <c r="AD2247" s="284"/>
      <c r="AE2247" s="284"/>
      <c r="AF2247" s="284"/>
      <c r="AG2247" s="284"/>
    </row>
    <row r="2248" spans="1:33" ht="26.4">
      <c r="A2248" s="284"/>
      <c r="B2248" s="284"/>
      <c r="C2248" s="284"/>
      <c r="D2248" s="284"/>
      <c r="E2248" s="284"/>
      <c r="F2248" s="284"/>
      <c r="G2248" s="284"/>
      <c r="H2248" s="284"/>
      <c r="I2248" s="284"/>
      <c r="J2248" s="375"/>
      <c r="K2248" s="375"/>
      <c r="L2248" s="375"/>
      <c r="M2248" s="368"/>
      <c r="N2248" s="368"/>
      <c r="O2248" s="370"/>
      <c r="T2248" s="340"/>
      <c r="V2248" s="378"/>
      <c r="W2248" s="64" ph="1"/>
      <c r="X2248" s="241"/>
      <c r="Y2248" s="284"/>
      <c r="Z2248" s="207"/>
      <c r="AA2248" s="284"/>
      <c r="AB2248" s="284"/>
      <c r="AC2248" s="284"/>
      <c r="AD2248" s="284"/>
      <c r="AE2248" s="284"/>
      <c r="AF2248" s="284"/>
      <c r="AG2248" s="284"/>
    </row>
    <row r="2249" spans="1:33" ht="26.4">
      <c r="A2249" s="284"/>
      <c r="B2249" s="284"/>
      <c r="C2249" s="284"/>
      <c r="D2249" s="284"/>
      <c r="E2249" s="284"/>
      <c r="F2249" s="284"/>
      <c r="G2249" s="284"/>
      <c r="H2249" s="284"/>
      <c r="I2249" s="284"/>
      <c r="J2249" s="375"/>
      <c r="K2249" s="375"/>
      <c r="L2249" s="375"/>
      <c r="M2249" s="368"/>
      <c r="N2249" s="368"/>
      <c r="O2249" s="370"/>
      <c r="T2249" s="340"/>
      <c r="V2249" s="378"/>
      <c r="W2249" s="64" ph="1"/>
      <c r="X2249" s="241"/>
      <c r="Y2249" s="284"/>
      <c r="Z2249" s="207"/>
      <c r="AA2249" s="284"/>
      <c r="AB2249" s="284"/>
      <c r="AC2249" s="284"/>
      <c r="AD2249" s="284"/>
      <c r="AE2249" s="284"/>
      <c r="AF2249" s="284"/>
      <c r="AG2249" s="284"/>
    </row>
    <row r="2250" spans="1:33" ht="26.4">
      <c r="A2250" s="284"/>
      <c r="B2250" s="284"/>
      <c r="C2250" s="284"/>
      <c r="D2250" s="284"/>
      <c r="E2250" s="284"/>
      <c r="F2250" s="284"/>
      <c r="G2250" s="284"/>
      <c r="H2250" s="284"/>
      <c r="I2250" s="284"/>
      <c r="J2250" s="375"/>
      <c r="K2250" s="375"/>
      <c r="L2250" s="375"/>
      <c r="M2250" s="368"/>
      <c r="N2250" s="368"/>
      <c r="O2250" s="370"/>
      <c r="T2250" s="340"/>
      <c r="V2250" s="378"/>
      <c r="W2250" s="64" ph="1"/>
      <c r="X2250" s="241"/>
      <c r="Y2250" s="284"/>
      <c r="Z2250" s="207"/>
      <c r="AA2250" s="284"/>
      <c r="AB2250" s="284"/>
      <c r="AC2250" s="284"/>
      <c r="AD2250" s="284"/>
      <c r="AE2250" s="284"/>
      <c r="AF2250" s="284"/>
      <c r="AG2250" s="284"/>
    </row>
    <row r="2251" spans="1:33" ht="26.4">
      <c r="A2251" s="284"/>
      <c r="B2251" s="284"/>
      <c r="C2251" s="284"/>
      <c r="D2251" s="284"/>
      <c r="E2251" s="284"/>
      <c r="F2251" s="284"/>
      <c r="G2251" s="284"/>
      <c r="H2251" s="284"/>
      <c r="I2251" s="284"/>
      <c r="J2251" s="375"/>
      <c r="K2251" s="375"/>
      <c r="L2251" s="375"/>
      <c r="M2251" s="368"/>
      <c r="N2251" s="368"/>
      <c r="O2251" s="370"/>
      <c r="T2251" s="340"/>
      <c r="V2251" s="378"/>
      <c r="W2251" s="64" ph="1"/>
      <c r="X2251" s="241"/>
      <c r="Y2251" s="284"/>
      <c r="Z2251" s="207"/>
      <c r="AA2251" s="284"/>
      <c r="AB2251" s="284"/>
      <c r="AC2251" s="284"/>
      <c r="AD2251" s="284"/>
      <c r="AE2251" s="284"/>
      <c r="AF2251" s="284"/>
      <c r="AG2251" s="284"/>
    </row>
    <row r="2252" spans="1:33" ht="26.4">
      <c r="A2252" s="284"/>
      <c r="B2252" s="284"/>
      <c r="C2252" s="284"/>
      <c r="D2252" s="284"/>
      <c r="E2252" s="284"/>
      <c r="F2252" s="284"/>
      <c r="G2252" s="284"/>
      <c r="H2252" s="284"/>
      <c r="I2252" s="284"/>
      <c r="J2252" s="375"/>
      <c r="K2252" s="375"/>
      <c r="L2252" s="375"/>
      <c r="M2252" s="368"/>
      <c r="N2252" s="368"/>
      <c r="O2252" s="370"/>
      <c r="T2252" s="340"/>
      <c r="V2252" s="378"/>
      <c r="W2252" s="64" ph="1"/>
      <c r="X2252" s="241"/>
      <c r="Y2252" s="284"/>
      <c r="Z2252" s="207"/>
      <c r="AA2252" s="284"/>
      <c r="AB2252" s="284"/>
      <c r="AC2252" s="284"/>
      <c r="AD2252" s="284"/>
      <c r="AE2252" s="284"/>
      <c r="AF2252" s="284"/>
      <c r="AG2252" s="284"/>
    </row>
    <row r="2253" spans="1:33" ht="26.4">
      <c r="A2253" s="284"/>
      <c r="B2253" s="284"/>
      <c r="C2253" s="284"/>
      <c r="D2253" s="284"/>
      <c r="E2253" s="284"/>
      <c r="F2253" s="284"/>
      <c r="G2253" s="284"/>
      <c r="H2253" s="284"/>
      <c r="I2253" s="284"/>
      <c r="J2253" s="375"/>
      <c r="K2253" s="375"/>
      <c r="L2253" s="375"/>
      <c r="M2253" s="368"/>
      <c r="N2253" s="368"/>
      <c r="O2253" s="370"/>
      <c r="T2253" s="340"/>
      <c r="V2253" s="378"/>
      <c r="W2253" s="64" ph="1"/>
      <c r="X2253" s="241"/>
      <c r="Y2253" s="284"/>
      <c r="Z2253" s="207"/>
      <c r="AA2253" s="284"/>
      <c r="AB2253" s="284"/>
      <c r="AC2253" s="284"/>
      <c r="AD2253" s="284"/>
      <c r="AE2253" s="284"/>
      <c r="AF2253" s="284"/>
      <c r="AG2253" s="284"/>
    </row>
    <row r="2254" spans="1:33" ht="26.4">
      <c r="A2254" s="284"/>
      <c r="B2254" s="284"/>
      <c r="C2254" s="284"/>
      <c r="D2254" s="284"/>
      <c r="E2254" s="284"/>
      <c r="F2254" s="284"/>
      <c r="G2254" s="284"/>
      <c r="H2254" s="284"/>
      <c r="I2254" s="284"/>
      <c r="J2254" s="375"/>
      <c r="K2254" s="375"/>
      <c r="L2254" s="375"/>
      <c r="M2254" s="368"/>
      <c r="N2254" s="368"/>
      <c r="O2254" s="370"/>
      <c r="T2254" s="340"/>
      <c r="V2254" s="378"/>
      <c r="W2254" s="64" ph="1"/>
      <c r="X2254" s="241"/>
      <c r="Y2254" s="284"/>
      <c r="Z2254" s="207"/>
      <c r="AA2254" s="284"/>
      <c r="AB2254" s="284"/>
      <c r="AC2254" s="284"/>
      <c r="AD2254" s="284"/>
      <c r="AE2254" s="284"/>
      <c r="AF2254" s="284"/>
      <c r="AG2254" s="284"/>
    </row>
    <row r="2255" spans="1:33" ht="26.4">
      <c r="A2255" s="284"/>
      <c r="B2255" s="284"/>
      <c r="C2255" s="284"/>
      <c r="D2255" s="284"/>
      <c r="E2255" s="284"/>
      <c r="F2255" s="284"/>
      <c r="G2255" s="284"/>
      <c r="H2255" s="284"/>
      <c r="I2255" s="284"/>
      <c r="J2255" s="375"/>
      <c r="K2255" s="375"/>
      <c r="L2255" s="375"/>
      <c r="M2255" s="368"/>
      <c r="N2255" s="368"/>
      <c r="O2255" s="370"/>
      <c r="T2255" s="340"/>
      <c r="V2255" s="378"/>
      <c r="W2255" s="64" ph="1"/>
      <c r="X2255" s="241"/>
      <c r="Y2255" s="284"/>
      <c r="Z2255" s="207"/>
      <c r="AA2255" s="284"/>
      <c r="AB2255" s="284"/>
      <c r="AC2255" s="284"/>
      <c r="AD2255" s="284"/>
      <c r="AE2255" s="284"/>
      <c r="AF2255" s="284"/>
      <c r="AG2255" s="284"/>
    </row>
    <row r="2256" spans="1:33" ht="26.4">
      <c r="A2256" s="284"/>
      <c r="B2256" s="284"/>
      <c r="C2256" s="284"/>
      <c r="D2256" s="284"/>
      <c r="E2256" s="284"/>
      <c r="F2256" s="284"/>
      <c r="G2256" s="284"/>
      <c r="H2256" s="284"/>
      <c r="I2256" s="284"/>
      <c r="J2256" s="375"/>
      <c r="K2256" s="375"/>
      <c r="L2256" s="375"/>
      <c r="M2256" s="368"/>
      <c r="N2256" s="368"/>
      <c r="O2256" s="370"/>
      <c r="T2256" s="340"/>
      <c r="V2256" s="378"/>
      <c r="W2256" s="64" ph="1"/>
      <c r="X2256" s="241"/>
      <c r="Y2256" s="284"/>
      <c r="Z2256" s="207"/>
      <c r="AA2256" s="284"/>
      <c r="AB2256" s="284"/>
      <c r="AC2256" s="284"/>
      <c r="AD2256" s="284"/>
      <c r="AE2256" s="284"/>
      <c r="AF2256" s="284"/>
      <c r="AG2256" s="284"/>
    </row>
    <row r="2257" spans="1:33" ht="26.4">
      <c r="A2257" s="284"/>
      <c r="B2257" s="284"/>
      <c r="C2257" s="284"/>
      <c r="D2257" s="284"/>
      <c r="E2257" s="284"/>
      <c r="F2257" s="284"/>
      <c r="G2257" s="284"/>
      <c r="H2257" s="284"/>
      <c r="I2257" s="284"/>
      <c r="J2257" s="375"/>
      <c r="K2257" s="375"/>
      <c r="L2257" s="375"/>
      <c r="M2257" s="368"/>
      <c r="N2257" s="368"/>
      <c r="O2257" s="370"/>
      <c r="T2257" s="340"/>
      <c r="V2257" s="378"/>
      <c r="W2257" s="64" ph="1"/>
      <c r="X2257" s="241"/>
      <c r="Y2257" s="284"/>
      <c r="Z2257" s="207"/>
      <c r="AA2257" s="284"/>
      <c r="AB2257" s="284"/>
      <c r="AC2257" s="284"/>
      <c r="AD2257" s="284"/>
      <c r="AE2257" s="284"/>
      <c r="AF2257" s="284"/>
      <c r="AG2257" s="284"/>
    </row>
    <row r="2258" spans="1:33" ht="26.4">
      <c r="A2258" s="284"/>
      <c r="B2258" s="284"/>
      <c r="C2258" s="284"/>
      <c r="D2258" s="284"/>
      <c r="E2258" s="284"/>
      <c r="F2258" s="284"/>
      <c r="G2258" s="284"/>
      <c r="H2258" s="284"/>
      <c r="I2258" s="284"/>
      <c r="J2258" s="375"/>
      <c r="K2258" s="375"/>
      <c r="L2258" s="375"/>
      <c r="M2258" s="368"/>
      <c r="N2258" s="368"/>
      <c r="O2258" s="370"/>
      <c r="T2258" s="340"/>
      <c r="V2258" s="378"/>
      <c r="W2258" s="64" ph="1"/>
      <c r="X2258" s="241"/>
      <c r="Y2258" s="284"/>
      <c r="Z2258" s="207"/>
      <c r="AA2258" s="284"/>
      <c r="AB2258" s="284"/>
      <c r="AC2258" s="284"/>
      <c r="AD2258" s="284"/>
      <c r="AE2258" s="284"/>
      <c r="AF2258" s="284"/>
      <c r="AG2258" s="284"/>
    </row>
    <row r="2259" spans="1:33" ht="26.4">
      <c r="A2259" s="284"/>
      <c r="B2259" s="284"/>
      <c r="C2259" s="284"/>
      <c r="D2259" s="284"/>
      <c r="E2259" s="284"/>
      <c r="F2259" s="284"/>
      <c r="G2259" s="284"/>
      <c r="H2259" s="284"/>
      <c r="I2259" s="284"/>
      <c r="J2259" s="375"/>
      <c r="K2259" s="375"/>
      <c r="L2259" s="375"/>
      <c r="M2259" s="368"/>
      <c r="N2259" s="368"/>
      <c r="O2259" s="370"/>
      <c r="T2259" s="340"/>
      <c r="V2259" s="378"/>
      <c r="W2259" s="64" ph="1"/>
      <c r="X2259" s="241"/>
      <c r="Y2259" s="284"/>
      <c r="Z2259" s="207"/>
      <c r="AA2259" s="284"/>
      <c r="AB2259" s="284"/>
      <c r="AC2259" s="284"/>
      <c r="AD2259" s="284"/>
      <c r="AE2259" s="284"/>
      <c r="AF2259" s="284"/>
      <c r="AG2259" s="284"/>
    </row>
    <row r="2260" spans="1:33" ht="26.4">
      <c r="A2260" s="284"/>
      <c r="B2260" s="284"/>
      <c r="C2260" s="284"/>
      <c r="D2260" s="284"/>
      <c r="E2260" s="284"/>
      <c r="F2260" s="284"/>
      <c r="G2260" s="284"/>
      <c r="H2260" s="284"/>
      <c r="I2260" s="284"/>
      <c r="J2260" s="375"/>
      <c r="K2260" s="375"/>
      <c r="L2260" s="375"/>
      <c r="M2260" s="368"/>
      <c r="N2260" s="368"/>
      <c r="O2260" s="370"/>
      <c r="T2260" s="340"/>
      <c r="V2260" s="378"/>
      <c r="W2260" s="64" ph="1"/>
      <c r="X2260" s="241"/>
      <c r="Y2260" s="284"/>
      <c r="Z2260" s="207"/>
      <c r="AA2260" s="284"/>
      <c r="AB2260" s="284"/>
      <c r="AC2260" s="284"/>
      <c r="AD2260" s="284"/>
      <c r="AE2260" s="284"/>
      <c r="AF2260" s="284"/>
      <c r="AG2260" s="284"/>
    </row>
    <row r="2261" spans="1:33" ht="26.4">
      <c r="A2261" s="284"/>
      <c r="B2261" s="284"/>
      <c r="C2261" s="284"/>
      <c r="D2261" s="284"/>
      <c r="E2261" s="284"/>
      <c r="F2261" s="284"/>
      <c r="G2261" s="284"/>
      <c r="H2261" s="284"/>
      <c r="I2261" s="284"/>
      <c r="J2261" s="375"/>
      <c r="K2261" s="375"/>
      <c r="L2261" s="375"/>
      <c r="M2261" s="368"/>
      <c r="N2261" s="368"/>
      <c r="O2261" s="370"/>
      <c r="T2261" s="340"/>
      <c r="V2261" s="378"/>
      <c r="W2261" s="64" ph="1"/>
      <c r="X2261" s="241"/>
      <c r="Y2261" s="284"/>
      <c r="Z2261" s="207"/>
      <c r="AA2261" s="284"/>
      <c r="AB2261" s="284"/>
      <c r="AC2261" s="284"/>
      <c r="AD2261" s="284"/>
      <c r="AE2261" s="284"/>
      <c r="AF2261" s="284"/>
      <c r="AG2261" s="284"/>
    </row>
    <row r="2262" spans="1:33" ht="26.4">
      <c r="A2262" s="284"/>
      <c r="B2262" s="284"/>
      <c r="C2262" s="284"/>
      <c r="D2262" s="284"/>
      <c r="E2262" s="284"/>
      <c r="F2262" s="284"/>
      <c r="G2262" s="284"/>
      <c r="H2262" s="284"/>
      <c r="I2262" s="284"/>
      <c r="J2262" s="375"/>
      <c r="K2262" s="375"/>
      <c r="L2262" s="375"/>
      <c r="M2262" s="368"/>
      <c r="N2262" s="368"/>
      <c r="O2262" s="370"/>
      <c r="T2262" s="340"/>
      <c r="V2262" s="378"/>
      <c r="W2262" s="64" ph="1"/>
      <c r="X2262" s="241"/>
      <c r="Y2262" s="284"/>
      <c r="Z2262" s="207"/>
      <c r="AA2262" s="284"/>
      <c r="AB2262" s="284"/>
      <c r="AC2262" s="284"/>
      <c r="AD2262" s="284"/>
      <c r="AE2262" s="284"/>
      <c r="AF2262" s="284"/>
      <c r="AG2262" s="284"/>
    </row>
    <row r="2263" spans="1:33" ht="26.4">
      <c r="A2263" s="284"/>
      <c r="B2263" s="284"/>
      <c r="C2263" s="284"/>
      <c r="D2263" s="284"/>
      <c r="E2263" s="284"/>
      <c r="F2263" s="284"/>
      <c r="G2263" s="284"/>
      <c r="H2263" s="284"/>
      <c r="I2263" s="284"/>
      <c r="J2263" s="375"/>
      <c r="K2263" s="375"/>
      <c r="L2263" s="375"/>
      <c r="M2263" s="368"/>
      <c r="N2263" s="368"/>
      <c r="O2263" s="370"/>
      <c r="T2263" s="340"/>
      <c r="V2263" s="378"/>
      <c r="W2263" s="64" ph="1"/>
      <c r="X2263" s="241"/>
      <c r="Y2263" s="284"/>
      <c r="Z2263" s="207"/>
      <c r="AA2263" s="284"/>
      <c r="AB2263" s="284"/>
      <c r="AC2263" s="284"/>
      <c r="AD2263" s="284"/>
      <c r="AE2263" s="284"/>
      <c r="AF2263" s="284"/>
      <c r="AG2263" s="284"/>
    </row>
    <row r="2264" spans="1:33" ht="26.4">
      <c r="A2264" s="284"/>
      <c r="B2264" s="284"/>
      <c r="C2264" s="284"/>
      <c r="D2264" s="284"/>
      <c r="E2264" s="284"/>
      <c r="F2264" s="284"/>
      <c r="G2264" s="284"/>
      <c r="H2264" s="284"/>
      <c r="I2264" s="284"/>
      <c r="J2264" s="375"/>
      <c r="K2264" s="375"/>
      <c r="L2264" s="375"/>
      <c r="M2264" s="368"/>
      <c r="N2264" s="368"/>
      <c r="O2264" s="370"/>
      <c r="T2264" s="340"/>
      <c r="V2264" s="378"/>
      <c r="W2264" s="64" ph="1"/>
      <c r="X2264" s="241"/>
      <c r="Y2264" s="284"/>
      <c r="Z2264" s="207"/>
      <c r="AA2264" s="284"/>
      <c r="AB2264" s="284"/>
      <c r="AC2264" s="284"/>
      <c r="AD2264" s="284"/>
      <c r="AE2264" s="284"/>
      <c r="AF2264" s="284"/>
      <c r="AG2264" s="284"/>
    </row>
    <row r="2265" spans="1:33" ht="26.4">
      <c r="A2265" s="284"/>
      <c r="B2265" s="284"/>
      <c r="C2265" s="284"/>
      <c r="D2265" s="284"/>
      <c r="E2265" s="284"/>
      <c r="F2265" s="284"/>
      <c r="G2265" s="284"/>
      <c r="H2265" s="284"/>
      <c r="I2265" s="284"/>
      <c r="J2265" s="375"/>
      <c r="K2265" s="375"/>
      <c r="L2265" s="375"/>
      <c r="M2265" s="368"/>
      <c r="N2265" s="368"/>
      <c r="O2265" s="370"/>
      <c r="T2265" s="340"/>
      <c r="V2265" s="378"/>
      <c r="W2265" s="64" ph="1"/>
      <c r="X2265" s="241"/>
      <c r="Y2265" s="284"/>
      <c r="Z2265" s="207"/>
      <c r="AA2265" s="284"/>
      <c r="AB2265" s="284"/>
      <c r="AC2265" s="284"/>
      <c r="AD2265" s="284"/>
      <c r="AE2265" s="284"/>
      <c r="AF2265" s="284"/>
      <c r="AG2265" s="284"/>
    </row>
    <row r="2266" spans="1:33" ht="26.4">
      <c r="A2266" s="284"/>
      <c r="B2266" s="284"/>
      <c r="C2266" s="284"/>
      <c r="D2266" s="284"/>
      <c r="E2266" s="284"/>
      <c r="F2266" s="284"/>
      <c r="G2266" s="284"/>
      <c r="H2266" s="284"/>
      <c r="I2266" s="284"/>
      <c r="J2266" s="375"/>
      <c r="K2266" s="375"/>
      <c r="L2266" s="375"/>
      <c r="M2266" s="368"/>
      <c r="N2266" s="368"/>
      <c r="O2266" s="370"/>
      <c r="T2266" s="340"/>
      <c r="V2266" s="378"/>
      <c r="W2266" s="64" ph="1"/>
      <c r="X2266" s="241"/>
      <c r="Y2266" s="284"/>
      <c r="Z2266" s="207"/>
      <c r="AA2266" s="284"/>
      <c r="AB2266" s="284"/>
      <c r="AC2266" s="284"/>
      <c r="AD2266" s="284"/>
      <c r="AE2266" s="284"/>
      <c r="AF2266" s="284"/>
      <c r="AG2266" s="284"/>
    </row>
    <row r="2267" spans="1:33" ht="26.4">
      <c r="A2267" s="284"/>
      <c r="B2267" s="284"/>
      <c r="C2267" s="284"/>
      <c r="D2267" s="284"/>
      <c r="E2267" s="284"/>
      <c r="F2267" s="284"/>
      <c r="G2267" s="284"/>
      <c r="H2267" s="284"/>
      <c r="I2267" s="284"/>
      <c r="J2267" s="375"/>
      <c r="K2267" s="375"/>
      <c r="L2267" s="375"/>
      <c r="M2267" s="368"/>
      <c r="N2267" s="368"/>
      <c r="O2267" s="370"/>
      <c r="T2267" s="340"/>
      <c r="V2267" s="378"/>
      <c r="W2267" s="64" ph="1"/>
      <c r="X2267" s="241"/>
      <c r="Y2267" s="284"/>
      <c r="Z2267" s="207"/>
      <c r="AA2267" s="284"/>
      <c r="AB2267" s="284"/>
      <c r="AC2267" s="284"/>
      <c r="AD2267" s="284"/>
      <c r="AE2267" s="284"/>
      <c r="AF2267" s="284"/>
      <c r="AG2267" s="284"/>
    </row>
    <row r="2268" spans="1:33" ht="26.4">
      <c r="A2268" s="284"/>
      <c r="B2268" s="284"/>
      <c r="C2268" s="284"/>
      <c r="D2268" s="284"/>
      <c r="E2268" s="284"/>
      <c r="F2268" s="284"/>
      <c r="G2268" s="284"/>
      <c r="H2268" s="284"/>
      <c r="I2268" s="284"/>
      <c r="J2268" s="375"/>
      <c r="K2268" s="375"/>
      <c r="L2268" s="375"/>
      <c r="M2268" s="368"/>
      <c r="N2268" s="368"/>
      <c r="O2268" s="370"/>
      <c r="T2268" s="340"/>
      <c r="V2268" s="378"/>
      <c r="W2268" s="64" ph="1"/>
      <c r="X2268" s="241"/>
      <c r="Y2268" s="284"/>
      <c r="Z2268" s="207"/>
      <c r="AA2268" s="284"/>
      <c r="AB2268" s="284"/>
      <c r="AC2268" s="284"/>
      <c r="AD2268" s="284"/>
      <c r="AE2268" s="284"/>
      <c r="AF2268" s="284"/>
      <c r="AG2268" s="284"/>
    </row>
    <row r="2269" spans="1:33" ht="26.4">
      <c r="A2269" s="284"/>
      <c r="B2269" s="284"/>
      <c r="C2269" s="284"/>
      <c r="D2269" s="284"/>
      <c r="E2269" s="284"/>
      <c r="F2269" s="284"/>
      <c r="G2269" s="284"/>
      <c r="H2269" s="284"/>
      <c r="I2269" s="284"/>
      <c r="J2269" s="375"/>
      <c r="K2269" s="375"/>
      <c r="L2269" s="375"/>
      <c r="M2269" s="368"/>
      <c r="N2269" s="368"/>
      <c r="O2269" s="370"/>
      <c r="T2269" s="340"/>
      <c r="V2269" s="378"/>
      <c r="W2269" s="64" ph="1"/>
      <c r="X2269" s="241"/>
      <c r="Y2269" s="284"/>
      <c r="Z2269" s="207"/>
      <c r="AA2269" s="284"/>
      <c r="AB2269" s="284"/>
      <c r="AC2269" s="284"/>
      <c r="AD2269" s="284"/>
      <c r="AE2269" s="284"/>
      <c r="AF2269" s="284"/>
      <c r="AG2269" s="284"/>
    </row>
    <row r="2270" spans="1:33" ht="26.4">
      <c r="A2270" s="284"/>
      <c r="B2270" s="284"/>
      <c r="C2270" s="284"/>
      <c r="D2270" s="284"/>
      <c r="E2270" s="284"/>
      <c r="F2270" s="284"/>
      <c r="G2270" s="284"/>
      <c r="H2270" s="284"/>
      <c r="I2270" s="284"/>
      <c r="J2270" s="375"/>
      <c r="K2270" s="375"/>
      <c r="L2270" s="375"/>
      <c r="M2270" s="368"/>
      <c r="N2270" s="368"/>
      <c r="O2270" s="370"/>
      <c r="T2270" s="340"/>
      <c r="V2270" s="378"/>
      <c r="W2270" s="64" ph="1"/>
      <c r="X2270" s="241"/>
      <c r="Y2270" s="284"/>
      <c r="Z2270" s="207"/>
      <c r="AA2270" s="284"/>
      <c r="AB2270" s="284"/>
      <c r="AC2270" s="284"/>
      <c r="AD2270" s="284"/>
      <c r="AE2270" s="284"/>
      <c r="AF2270" s="284"/>
      <c r="AG2270" s="284"/>
    </row>
    <row r="2271" spans="1:33" ht="26.4">
      <c r="A2271" s="284"/>
      <c r="B2271" s="284"/>
      <c r="C2271" s="284"/>
      <c r="D2271" s="284"/>
      <c r="E2271" s="284"/>
      <c r="F2271" s="284"/>
      <c r="G2271" s="284"/>
      <c r="H2271" s="284"/>
      <c r="I2271" s="284"/>
      <c r="J2271" s="375"/>
      <c r="K2271" s="375"/>
      <c r="L2271" s="375"/>
      <c r="M2271" s="368"/>
      <c r="N2271" s="368"/>
      <c r="O2271" s="370"/>
      <c r="T2271" s="340"/>
      <c r="V2271" s="378"/>
      <c r="W2271" s="64" ph="1"/>
      <c r="X2271" s="241"/>
      <c r="Y2271" s="284"/>
      <c r="Z2271" s="207"/>
      <c r="AA2271" s="284"/>
      <c r="AB2271" s="284"/>
      <c r="AC2271" s="284"/>
      <c r="AD2271" s="284"/>
      <c r="AE2271" s="284"/>
      <c r="AF2271" s="284"/>
      <c r="AG2271" s="284"/>
    </row>
    <row r="2272" spans="1:33" ht="26.4">
      <c r="A2272" s="284"/>
      <c r="B2272" s="284"/>
      <c r="C2272" s="284"/>
      <c r="D2272" s="284"/>
      <c r="E2272" s="284"/>
      <c r="F2272" s="284"/>
      <c r="G2272" s="284"/>
      <c r="H2272" s="284"/>
      <c r="I2272" s="284"/>
      <c r="J2272" s="375"/>
      <c r="K2272" s="375"/>
      <c r="L2272" s="375"/>
      <c r="M2272" s="368"/>
      <c r="N2272" s="368"/>
      <c r="O2272" s="370"/>
      <c r="T2272" s="340"/>
      <c r="V2272" s="378"/>
      <c r="W2272" s="64" ph="1"/>
      <c r="X2272" s="241"/>
      <c r="Y2272" s="284"/>
      <c r="Z2272" s="207"/>
      <c r="AA2272" s="284"/>
      <c r="AB2272" s="284"/>
      <c r="AC2272" s="284"/>
      <c r="AD2272" s="284"/>
      <c r="AE2272" s="284"/>
      <c r="AF2272" s="284"/>
      <c r="AG2272" s="284"/>
    </row>
    <row r="2273" spans="1:33" ht="26.4">
      <c r="A2273" s="284"/>
      <c r="B2273" s="284"/>
      <c r="C2273" s="284"/>
      <c r="D2273" s="284"/>
      <c r="E2273" s="284"/>
      <c r="F2273" s="284"/>
      <c r="G2273" s="284"/>
      <c r="H2273" s="284"/>
      <c r="I2273" s="284"/>
      <c r="J2273" s="375"/>
      <c r="K2273" s="375"/>
      <c r="L2273" s="375"/>
      <c r="M2273" s="368"/>
      <c r="N2273" s="368"/>
      <c r="O2273" s="370"/>
      <c r="T2273" s="340"/>
      <c r="V2273" s="378"/>
      <c r="W2273" s="64" ph="1"/>
      <c r="X2273" s="241"/>
      <c r="Y2273" s="284"/>
      <c r="Z2273" s="207"/>
      <c r="AA2273" s="284"/>
      <c r="AB2273" s="284"/>
      <c r="AC2273" s="284"/>
      <c r="AD2273" s="284"/>
      <c r="AE2273" s="284"/>
      <c r="AF2273" s="284"/>
      <c r="AG2273" s="284"/>
    </row>
    <row r="2274" spans="1:33" ht="26.4">
      <c r="A2274" s="284"/>
      <c r="B2274" s="284"/>
      <c r="C2274" s="284"/>
      <c r="D2274" s="284"/>
      <c r="E2274" s="284"/>
      <c r="F2274" s="284"/>
      <c r="G2274" s="284"/>
      <c r="H2274" s="284"/>
      <c r="I2274" s="284"/>
      <c r="J2274" s="375"/>
      <c r="K2274" s="375"/>
      <c r="L2274" s="375"/>
      <c r="M2274" s="368"/>
      <c r="N2274" s="368"/>
      <c r="O2274" s="370"/>
      <c r="T2274" s="340"/>
      <c r="V2274" s="378"/>
      <c r="W2274" s="64" ph="1"/>
      <c r="X2274" s="241"/>
      <c r="Y2274" s="284"/>
      <c r="Z2274" s="207"/>
      <c r="AA2274" s="284"/>
      <c r="AB2274" s="284"/>
      <c r="AC2274" s="284"/>
      <c r="AD2274" s="284"/>
      <c r="AE2274" s="284"/>
      <c r="AF2274" s="284"/>
      <c r="AG2274" s="284"/>
    </row>
    <row r="2275" spans="1:33" ht="26.4">
      <c r="A2275" s="284"/>
      <c r="B2275" s="284"/>
      <c r="C2275" s="284"/>
      <c r="D2275" s="284"/>
      <c r="E2275" s="284"/>
      <c r="F2275" s="284"/>
      <c r="G2275" s="284"/>
      <c r="H2275" s="284"/>
      <c r="I2275" s="284"/>
      <c r="J2275" s="375"/>
      <c r="K2275" s="375"/>
      <c r="L2275" s="375"/>
      <c r="M2275" s="368"/>
      <c r="N2275" s="368"/>
      <c r="O2275" s="370"/>
      <c r="T2275" s="340"/>
      <c r="V2275" s="378"/>
      <c r="W2275" s="64" ph="1"/>
      <c r="X2275" s="241"/>
      <c r="Y2275" s="284"/>
      <c r="Z2275" s="207"/>
      <c r="AA2275" s="284"/>
      <c r="AB2275" s="284"/>
      <c r="AC2275" s="284"/>
      <c r="AD2275" s="284"/>
      <c r="AE2275" s="284"/>
      <c r="AF2275" s="284"/>
      <c r="AG2275" s="284"/>
    </row>
    <row r="2276" spans="1:33" ht="26.4">
      <c r="A2276" s="284"/>
      <c r="B2276" s="284"/>
      <c r="C2276" s="284"/>
      <c r="D2276" s="284"/>
      <c r="E2276" s="284"/>
      <c r="F2276" s="284"/>
      <c r="G2276" s="284"/>
      <c r="H2276" s="284"/>
      <c r="I2276" s="284"/>
      <c r="J2276" s="375"/>
      <c r="K2276" s="375"/>
      <c r="L2276" s="375"/>
      <c r="M2276" s="368"/>
      <c r="N2276" s="368"/>
      <c r="O2276" s="370"/>
      <c r="T2276" s="340"/>
      <c r="V2276" s="378"/>
      <c r="W2276" s="64" ph="1"/>
      <c r="X2276" s="241"/>
      <c r="Y2276" s="284"/>
      <c r="Z2276" s="207"/>
      <c r="AA2276" s="284"/>
      <c r="AB2276" s="284"/>
      <c r="AC2276" s="284"/>
      <c r="AD2276" s="284"/>
      <c r="AE2276" s="284"/>
      <c r="AF2276" s="284"/>
      <c r="AG2276" s="284"/>
    </row>
    <row r="2277" spans="1:33" ht="26.4">
      <c r="A2277" s="284"/>
      <c r="B2277" s="284"/>
      <c r="C2277" s="284"/>
      <c r="D2277" s="284"/>
      <c r="E2277" s="284"/>
      <c r="F2277" s="284"/>
      <c r="G2277" s="284"/>
      <c r="H2277" s="284"/>
      <c r="I2277" s="284"/>
      <c r="J2277" s="375"/>
      <c r="K2277" s="375"/>
      <c r="L2277" s="375"/>
      <c r="M2277" s="368"/>
      <c r="N2277" s="368"/>
      <c r="O2277" s="370"/>
      <c r="T2277" s="340"/>
      <c r="V2277" s="378"/>
      <c r="W2277" s="64" ph="1"/>
      <c r="X2277" s="241"/>
      <c r="Y2277" s="284"/>
      <c r="Z2277" s="207"/>
      <c r="AA2277" s="284"/>
      <c r="AB2277" s="284"/>
      <c r="AC2277" s="284"/>
      <c r="AD2277" s="284"/>
      <c r="AE2277" s="284"/>
      <c r="AF2277" s="284"/>
      <c r="AG2277" s="284"/>
    </row>
    <row r="2278" spans="1:33" ht="26.4">
      <c r="A2278" s="284"/>
      <c r="B2278" s="284"/>
      <c r="C2278" s="284"/>
      <c r="D2278" s="284"/>
      <c r="E2278" s="284"/>
      <c r="F2278" s="284"/>
      <c r="G2278" s="284"/>
      <c r="H2278" s="284"/>
      <c r="I2278" s="284"/>
      <c r="J2278" s="375"/>
      <c r="K2278" s="375"/>
      <c r="L2278" s="375"/>
      <c r="M2278" s="368"/>
      <c r="N2278" s="368"/>
      <c r="O2278" s="370"/>
      <c r="T2278" s="340"/>
      <c r="V2278" s="378"/>
      <c r="W2278" s="64" ph="1"/>
      <c r="X2278" s="241"/>
      <c r="Y2278" s="284"/>
      <c r="Z2278" s="207"/>
      <c r="AA2278" s="284"/>
      <c r="AB2278" s="284"/>
      <c r="AC2278" s="284"/>
      <c r="AD2278" s="284"/>
      <c r="AE2278" s="284"/>
      <c r="AF2278" s="284"/>
      <c r="AG2278" s="284"/>
    </row>
    <row r="2279" spans="1:33" ht="26.4">
      <c r="A2279" s="284"/>
      <c r="B2279" s="284"/>
      <c r="C2279" s="284"/>
      <c r="D2279" s="284"/>
      <c r="E2279" s="284"/>
      <c r="F2279" s="284"/>
      <c r="G2279" s="284"/>
      <c r="H2279" s="284"/>
      <c r="I2279" s="284"/>
      <c r="J2279" s="375"/>
      <c r="K2279" s="375"/>
      <c r="L2279" s="375"/>
      <c r="M2279" s="368"/>
      <c r="N2279" s="368"/>
      <c r="O2279" s="370"/>
      <c r="T2279" s="340"/>
      <c r="V2279" s="378"/>
      <c r="W2279" s="64" ph="1"/>
      <c r="X2279" s="241"/>
      <c r="Y2279" s="284"/>
      <c r="Z2279" s="207"/>
      <c r="AA2279" s="284"/>
      <c r="AB2279" s="284"/>
      <c r="AC2279" s="284"/>
      <c r="AD2279" s="284"/>
      <c r="AE2279" s="284"/>
      <c r="AF2279" s="284"/>
      <c r="AG2279" s="284"/>
    </row>
    <row r="2280" spans="1:33" ht="26.4">
      <c r="A2280" s="284"/>
      <c r="B2280" s="284"/>
      <c r="C2280" s="284"/>
      <c r="D2280" s="284"/>
      <c r="E2280" s="284"/>
      <c r="F2280" s="284"/>
      <c r="G2280" s="284"/>
      <c r="H2280" s="284"/>
      <c r="I2280" s="284"/>
      <c r="J2280" s="375"/>
      <c r="K2280" s="375"/>
      <c r="L2280" s="375"/>
      <c r="M2280" s="368"/>
      <c r="N2280" s="368"/>
      <c r="O2280" s="370"/>
      <c r="T2280" s="340"/>
      <c r="V2280" s="378"/>
      <c r="W2280" s="64" ph="1"/>
      <c r="X2280" s="241"/>
      <c r="Y2280" s="284"/>
      <c r="Z2280" s="207"/>
      <c r="AA2280" s="284"/>
      <c r="AB2280" s="284"/>
      <c r="AC2280" s="284"/>
      <c r="AD2280" s="284"/>
      <c r="AE2280" s="284"/>
      <c r="AF2280" s="284"/>
      <c r="AG2280" s="284"/>
    </row>
    <row r="2281" spans="1:33" ht="26.4">
      <c r="A2281" s="284"/>
      <c r="B2281" s="284"/>
      <c r="C2281" s="284"/>
      <c r="D2281" s="284"/>
      <c r="E2281" s="284"/>
      <c r="F2281" s="284"/>
      <c r="G2281" s="284"/>
      <c r="H2281" s="284"/>
      <c r="I2281" s="284"/>
      <c r="J2281" s="375"/>
      <c r="K2281" s="375"/>
      <c r="L2281" s="375"/>
      <c r="M2281" s="368"/>
      <c r="N2281" s="368"/>
      <c r="O2281" s="370"/>
      <c r="T2281" s="340"/>
      <c r="V2281" s="378"/>
      <c r="W2281" s="64" ph="1"/>
      <c r="X2281" s="241"/>
      <c r="Y2281" s="284"/>
      <c r="Z2281" s="207"/>
      <c r="AA2281" s="284"/>
      <c r="AB2281" s="284"/>
      <c r="AC2281" s="284"/>
      <c r="AD2281" s="284"/>
      <c r="AE2281" s="284"/>
      <c r="AF2281" s="284"/>
      <c r="AG2281" s="284"/>
    </row>
    <row r="2282" spans="1:33" ht="26.4">
      <c r="A2282" s="284"/>
      <c r="B2282" s="284"/>
      <c r="C2282" s="284"/>
      <c r="D2282" s="284"/>
      <c r="E2282" s="284"/>
      <c r="F2282" s="284"/>
      <c r="G2282" s="284"/>
      <c r="H2282" s="284"/>
      <c r="I2282" s="284"/>
      <c r="J2282" s="375"/>
      <c r="K2282" s="375"/>
      <c r="L2282" s="375"/>
      <c r="M2282" s="368"/>
      <c r="N2282" s="368"/>
      <c r="O2282" s="370"/>
      <c r="T2282" s="340"/>
      <c r="V2282" s="378"/>
      <c r="W2282" s="64" ph="1"/>
      <c r="X2282" s="241"/>
      <c r="Y2282" s="284"/>
      <c r="Z2282" s="207"/>
      <c r="AA2282" s="284"/>
      <c r="AB2282" s="284"/>
      <c r="AC2282" s="284"/>
      <c r="AD2282" s="284"/>
      <c r="AE2282" s="284"/>
      <c r="AF2282" s="284"/>
      <c r="AG2282" s="284"/>
    </row>
    <row r="2283" spans="1:33" ht="26.4">
      <c r="A2283" s="284"/>
      <c r="B2283" s="284"/>
      <c r="C2283" s="284"/>
      <c r="D2283" s="284"/>
      <c r="E2283" s="284"/>
      <c r="F2283" s="284"/>
      <c r="G2283" s="284"/>
      <c r="H2283" s="284"/>
      <c r="I2283" s="284"/>
      <c r="J2283" s="375"/>
      <c r="K2283" s="375"/>
      <c r="L2283" s="375"/>
      <c r="M2283" s="368"/>
      <c r="N2283" s="368"/>
      <c r="O2283" s="370"/>
      <c r="T2283" s="340"/>
      <c r="V2283" s="378"/>
      <c r="W2283" s="64" ph="1"/>
      <c r="X2283" s="241"/>
      <c r="Y2283" s="284"/>
      <c r="Z2283" s="207"/>
      <c r="AA2283" s="284"/>
      <c r="AB2283" s="284"/>
      <c r="AC2283" s="284"/>
      <c r="AD2283" s="284"/>
      <c r="AE2283" s="284"/>
      <c r="AF2283" s="284"/>
      <c r="AG2283" s="284"/>
    </row>
    <row r="2284" spans="1:33" ht="26.4">
      <c r="A2284" s="284"/>
      <c r="B2284" s="284"/>
      <c r="C2284" s="284"/>
      <c r="D2284" s="284"/>
      <c r="E2284" s="284"/>
      <c r="F2284" s="284"/>
      <c r="G2284" s="284"/>
      <c r="H2284" s="284"/>
      <c r="I2284" s="284"/>
      <c r="J2284" s="375"/>
      <c r="K2284" s="375"/>
      <c r="L2284" s="375"/>
      <c r="M2284" s="368"/>
      <c r="N2284" s="368"/>
      <c r="O2284" s="370"/>
      <c r="T2284" s="340"/>
      <c r="V2284" s="378"/>
      <c r="W2284" s="64" ph="1"/>
      <c r="X2284" s="241"/>
      <c r="Y2284" s="284"/>
      <c r="Z2284" s="207"/>
      <c r="AA2284" s="284"/>
      <c r="AB2284" s="284"/>
      <c r="AC2284" s="284"/>
      <c r="AD2284" s="284"/>
      <c r="AE2284" s="284"/>
      <c r="AF2284" s="284"/>
      <c r="AG2284" s="284"/>
    </row>
    <row r="2285" spans="1:33" ht="26.4">
      <c r="A2285" s="284"/>
      <c r="B2285" s="284"/>
      <c r="C2285" s="284"/>
      <c r="D2285" s="284"/>
      <c r="E2285" s="284"/>
      <c r="F2285" s="284"/>
      <c r="G2285" s="284"/>
      <c r="H2285" s="284"/>
      <c r="I2285" s="284"/>
      <c r="J2285" s="375"/>
      <c r="K2285" s="375"/>
      <c r="L2285" s="375"/>
      <c r="M2285" s="368"/>
      <c r="N2285" s="368"/>
      <c r="O2285" s="370"/>
      <c r="T2285" s="340"/>
      <c r="V2285" s="378"/>
      <c r="W2285" s="64" ph="1"/>
      <c r="X2285" s="241"/>
      <c r="Y2285" s="284"/>
      <c r="Z2285" s="207"/>
      <c r="AA2285" s="284"/>
      <c r="AB2285" s="284"/>
      <c r="AC2285" s="284"/>
      <c r="AD2285" s="284"/>
      <c r="AE2285" s="284"/>
      <c r="AF2285" s="284"/>
      <c r="AG2285" s="284"/>
    </row>
    <row r="2286" spans="1:33" ht="26.4">
      <c r="A2286" s="284"/>
      <c r="B2286" s="284"/>
      <c r="C2286" s="284"/>
      <c r="D2286" s="284"/>
      <c r="E2286" s="284"/>
      <c r="F2286" s="284"/>
      <c r="G2286" s="284"/>
      <c r="H2286" s="284"/>
      <c r="I2286" s="284"/>
      <c r="J2286" s="375"/>
      <c r="K2286" s="375"/>
      <c r="L2286" s="375"/>
      <c r="M2286" s="368"/>
      <c r="N2286" s="368"/>
      <c r="O2286" s="370"/>
      <c r="T2286" s="340"/>
      <c r="V2286" s="378"/>
      <c r="W2286" s="64" ph="1"/>
      <c r="X2286" s="241"/>
      <c r="Y2286" s="284"/>
      <c r="Z2286" s="207"/>
      <c r="AA2286" s="284"/>
      <c r="AB2286" s="284"/>
      <c r="AC2286" s="284"/>
      <c r="AD2286" s="284"/>
      <c r="AE2286" s="284"/>
      <c r="AF2286" s="284"/>
      <c r="AG2286" s="284"/>
    </row>
    <row r="2287" spans="1:33" ht="26.4">
      <c r="A2287" s="284"/>
      <c r="B2287" s="284"/>
      <c r="C2287" s="284"/>
      <c r="D2287" s="284"/>
      <c r="E2287" s="284"/>
      <c r="F2287" s="284"/>
      <c r="G2287" s="284"/>
      <c r="H2287" s="284"/>
      <c r="I2287" s="284"/>
      <c r="J2287" s="375"/>
      <c r="K2287" s="375"/>
      <c r="L2287" s="375"/>
      <c r="M2287" s="368"/>
      <c r="N2287" s="368"/>
      <c r="O2287" s="370"/>
      <c r="T2287" s="340"/>
      <c r="V2287" s="378"/>
      <c r="W2287" s="64" ph="1"/>
      <c r="X2287" s="241"/>
      <c r="Y2287" s="284"/>
      <c r="Z2287" s="207"/>
      <c r="AA2287" s="284"/>
      <c r="AB2287" s="284"/>
      <c r="AC2287" s="284"/>
      <c r="AD2287" s="284"/>
      <c r="AE2287" s="284"/>
      <c r="AF2287" s="284"/>
      <c r="AG2287" s="284"/>
    </row>
    <row r="2288" spans="1:33" ht="26.4">
      <c r="A2288" s="284"/>
      <c r="B2288" s="284"/>
      <c r="C2288" s="284"/>
      <c r="D2288" s="284"/>
      <c r="E2288" s="284"/>
      <c r="F2288" s="284"/>
      <c r="G2288" s="284"/>
      <c r="H2288" s="284"/>
      <c r="I2288" s="284"/>
      <c r="J2288" s="375"/>
      <c r="K2288" s="375"/>
      <c r="L2288" s="375"/>
      <c r="M2288" s="368"/>
      <c r="N2288" s="368"/>
      <c r="O2288" s="370"/>
      <c r="T2288" s="340"/>
      <c r="V2288" s="378"/>
      <c r="W2288" s="64" ph="1"/>
      <c r="X2288" s="241"/>
      <c r="Y2288" s="284"/>
      <c r="Z2288" s="207"/>
      <c r="AA2288" s="284"/>
      <c r="AB2288" s="284"/>
      <c r="AC2288" s="284"/>
      <c r="AD2288" s="284"/>
      <c r="AE2288" s="284"/>
      <c r="AF2288" s="284"/>
      <c r="AG2288" s="284"/>
    </row>
    <row r="2289" spans="1:33" ht="26.4">
      <c r="A2289" s="284"/>
      <c r="B2289" s="284"/>
      <c r="C2289" s="284"/>
      <c r="D2289" s="284"/>
      <c r="E2289" s="284"/>
      <c r="F2289" s="284"/>
      <c r="G2289" s="284"/>
      <c r="H2289" s="284"/>
      <c r="I2289" s="284"/>
      <c r="J2289" s="375"/>
      <c r="K2289" s="375"/>
      <c r="L2289" s="375"/>
      <c r="M2289" s="368"/>
      <c r="N2289" s="368"/>
      <c r="O2289" s="370"/>
      <c r="T2289" s="340"/>
      <c r="V2289" s="378"/>
      <c r="W2289" s="64" ph="1"/>
      <c r="X2289" s="241"/>
      <c r="Y2289" s="284"/>
      <c r="Z2289" s="207"/>
      <c r="AA2289" s="284"/>
      <c r="AB2289" s="284"/>
      <c r="AC2289" s="284"/>
      <c r="AD2289" s="284"/>
      <c r="AE2289" s="284"/>
      <c r="AF2289" s="284"/>
      <c r="AG2289" s="284"/>
    </row>
    <row r="2290" spans="1:33" ht="26.4">
      <c r="A2290" s="284"/>
      <c r="B2290" s="284"/>
      <c r="C2290" s="284"/>
      <c r="D2290" s="284"/>
      <c r="E2290" s="284"/>
      <c r="F2290" s="284"/>
      <c r="G2290" s="284"/>
      <c r="H2290" s="284"/>
      <c r="I2290" s="284"/>
      <c r="J2290" s="375"/>
      <c r="K2290" s="375"/>
      <c r="L2290" s="375"/>
      <c r="M2290" s="368"/>
      <c r="N2290" s="368"/>
      <c r="O2290" s="370"/>
      <c r="T2290" s="340"/>
      <c r="V2290" s="378"/>
      <c r="W2290" s="64" ph="1"/>
      <c r="X2290" s="241"/>
      <c r="Y2290" s="284"/>
      <c r="Z2290" s="207"/>
      <c r="AA2290" s="284"/>
      <c r="AB2290" s="284"/>
      <c r="AC2290" s="284"/>
      <c r="AD2290" s="284"/>
      <c r="AE2290" s="284"/>
      <c r="AF2290" s="284"/>
      <c r="AG2290" s="284"/>
    </row>
    <row r="2291" spans="1:33" ht="26.4">
      <c r="A2291" s="284"/>
      <c r="B2291" s="284"/>
      <c r="C2291" s="284"/>
      <c r="D2291" s="284"/>
      <c r="E2291" s="284"/>
      <c r="F2291" s="284"/>
      <c r="G2291" s="284"/>
      <c r="H2291" s="284"/>
      <c r="I2291" s="284"/>
      <c r="J2291" s="375"/>
      <c r="K2291" s="375"/>
      <c r="L2291" s="375"/>
      <c r="M2291" s="368"/>
      <c r="N2291" s="368"/>
      <c r="O2291" s="370"/>
      <c r="T2291" s="340"/>
      <c r="V2291" s="378"/>
      <c r="W2291" s="64" ph="1"/>
      <c r="X2291" s="241"/>
      <c r="Y2291" s="284"/>
      <c r="Z2291" s="207"/>
      <c r="AA2291" s="284"/>
      <c r="AB2291" s="284"/>
      <c r="AC2291" s="284"/>
      <c r="AD2291" s="284"/>
      <c r="AE2291" s="284"/>
      <c r="AF2291" s="284"/>
      <c r="AG2291" s="284"/>
    </row>
    <row r="2292" spans="1:33" ht="26.4">
      <c r="A2292" s="284"/>
      <c r="B2292" s="284"/>
      <c r="C2292" s="284"/>
      <c r="D2292" s="284"/>
      <c r="E2292" s="284"/>
      <c r="F2292" s="284"/>
      <c r="G2292" s="284"/>
      <c r="H2292" s="284"/>
      <c r="I2292" s="284"/>
      <c r="J2292" s="375"/>
      <c r="K2292" s="375"/>
      <c r="L2292" s="375"/>
      <c r="M2292" s="368"/>
      <c r="N2292" s="368"/>
      <c r="O2292" s="370"/>
      <c r="T2292" s="340"/>
      <c r="V2292" s="378"/>
      <c r="W2292" s="64" ph="1"/>
      <c r="X2292" s="241"/>
      <c r="Y2292" s="284"/>
      <c r="Z2292" s="207"/>
      <c r="AA2292" s="284"/>
      <c r="AB2292" s="284"/>
      <c r="AC2292" s="284"/>
      <c r="AD2292" s="284"/>
      <c r="AE2292" s="284"/>
      <c r="AF2292" s="284"/>
      <c r="AG2292" s="284"/>
    </row>
    <row r="2293" spans="1:33" ht="26.4">
      <c r="A2293" s="284"/>
      <c r="B2293" s="284"/>
      <c r="C2293" s="284"/>
      <c r="D2293" s="284"/>
      <c r="E2293" s="284"/>
      <c r="F2293" s="284"/>
      <c r="G2293" s="284"/>
      <c r="H2293" s="284"/>
      <c r="I2293" s="284"/>
      <c r="J2293" s="375"/>
      <c r="K2293" s="375"/>
      <c r="L2293" s="375"/>
      <c r="M2293" s="368"/>
      <c r="N2293" s="368"/>
      <c r="O2293" s="370"/>
      <c r="T2293" s="340"/>
      <c r="V2293" s="378"/>
      <c r="W2293" s="64" ph="1"/>
      <c r="X2293" s="241"/>
      <c r="Y2293" s="284"/>
      <c r="Z2293" s="207"/>
      <c r="AA2293" s="284"/>
      <c r="AB2293" s="284"/>
      <c r="AC2293" s="284"/>
      <c r="AD2293" s="284"/>
      <c r="AE2293" s="284"/>
      <c r="AF2293" s="284"/>
      <c r="AG2293" s="284"/>
    </row>
    <row r="2294" spans="1:33" ht="26.4">
      <c r="A2294" s="284"/>
      <c r="B2294" s="284"/>
      <c r="C2294" s="284"/>
      <c r="D2294" s="284"/>
      <c r="E2294" s="284"/>
      <c r="F2294" s="284"/>
      <c r="G2294" s="284"/>
      <c r="H2294" s="284"/>
      <c r="I2294" s="284"/>
      <c r="J2294" s="375"/>
      <c r="K2294" s="375"/>
      <c r="L2294" s="375"/>
      <c r="M2294" s="368"/>
      <c r="N2294" s="368"/>
      <c r="O2294" s="370"/>
      <c r="T2294" s="340"/>
      <c r="V2294" s="378"/>
      <c r="W2294" s="64" ph="1"/>
      <c r="X2294" s="241"/>
      <c r="Y2294" s="284"/>
      <c r="Z2294" s="207"/>
      <c r="AA2294" s="284"/>
      <c r="AB2294" s="284"/>
      <c r="AC2294" s="284"/>
      <c r="AD2294" s="284"/>
      <c r="AE2294" s="284"/>
      <c r="AF2294" s="284"/>
      <c r="AG2294" s="284"/>
    </row>
    <row r="2295" spans="1:33" ht="26.4">
      <c r="A2295" s="284"/>
      <c r="B2295" s="284"/>
      <c r="C2295" s="284"/>
      <c r="D2295" s="284"/>
      <c r="E2295" s="284"/>
      <c r="F2295" s="284"/>
      <c r="G2295" s="284"/>
      <c r="H2295" s="284"/>
      <c r="I2295" s="284"/>
      <c r="J2295" s="375"/>
      <c r="K2295" s="375"/>
      <c r="L2295" s="375"/>
      <c r="M2295" s="368"/>
      <c r="N2295" s="368"/>
      <c r="O2295" s="370"/>
      <c r="T2295" s="340"/>
      <c r="V2295" s="378"/>
      <c r="W2295" s="64" ph="1"/>
      <c r="X2295" s="241"/>
      <c r="Y2295" s="284"/>
      <c r="Z2295" s="207"/>
      <c r="AA2295" s="284"/>
      <c r="AB2295" s="284"/>
      <c r="AC2295" s="284"/>
      <c r="AD2295" s="284"/>
      <c r="AE2295" s="284"/>
      <c r="AF2295" s="284"/>
      <c r="AG2295" s="284"/>
    </row>
    <row r="2296" spans="1:33" ht="26.4">
      <c r="A2296" s="284"/>
      <c r="B2296" s="284"/>
      <c r="C2296" s="284"/>
      <c r="D2296" s="284"/>
      <c r="E2296" s="284"/>
      <c r="F2296" s="284"/>
      <c r="G2296" s="284"/>
      <c r="H2296" s="284"/>
      <c r="I2296" s="284"/>
      <c r="J2296" s="375"/>
      <c r="K2296" s="375"/>
      <c r="L2296" s="375"/>
      <c r="M2296" s="368"/>
      <c r="N2296" s="368"/>
      <c r="O2296" s="370"/>
      <c r="T2296" s="340"/>
      <c r="V2296" s="378"/>
      <c r="W2296" s="64" ph="1"/>
      <c r="X2296" s="241"/>
      <c r="Y2296" s="284"/>
      <c r="Z2296" s="207"/>
      <c r="AA2296" s="284"/>
      <c r="AB2296" s="284"/>
      <c r="AC2296" s="284"/>
      <c r="AD2296" s="284"/>
      <c r="AE2296" s="284"/>
      <c r="AF2296" s="284"/>
      <c r="AG2296" s="284"/>
    </row>
    <row r="2297" spans="1:33" ht="26.4">
      <c r="A2297" s="284"/>
      <c r="B2297" s="284"/>
      <c r="C2297" s="284"/>
      <c r="D2297" s="284"/>
      <c r="E2297" s="284"/>
      <c r="F2297" s="284"/>
      <c r="G2297" s="284"/>
      <c r="H2297" s="284"/>
      <c r="I2297" s="284"/>
      <c r="J2297" s="375"/>
      <c r="K2297" s="375"/>
      <c r="L2297" s="375"/>
      <c r="M2297" s="368"/>
      <c r="N2297" s="368"/>
      <c r="O2297" s="370"/>
      <c r="T2297" s="340"/>
      <c r="V2297" s="378"/>
      <c r="W2297" s="64" ph="1"/>
      <c r="X2297" s="241"/>
      <c r="Y2297" s="284"/>
      <c r="Z2297" s="207"/>
      <c r="AA2297" s="284"/>
      <c r="AB2297" s="284"/>
      <c r="AC2297" s="284"/>
      <c r="AD2297" s="284"/>
      <c r="AE2297" s="284"/>
      <c r="AF2297" s="284"/>
      <c r="AG2297" s="284"/>
    </row>
    <row r="2298" spans="1:33" ht="26.4">
      <c r="A2298" s="284"/>
      <c r="B2298" s="284"/>
      <c r="C2298" s="284"/>
      <c r="D2298" s="284"/>
      <c r="E2298" s="284"/>
      <c r="F2298" s="284"/>
      <c r="G2298" s="284"/>
      <c r="H2298" s="284"/>
      <c r="I2298" s="284"/>
      <c r="J2298" s="375"/>
      <c r="K2298" s="375"/>
      <c r="L2298" s="375"/>
      <c r="M2298" s="368"/>
      <c r="N2298" s="368"/>
      <c r="O2298" s="370"/>
      <c r="T2298" s="340"/>
      <c r="V2298" s="378"/>
      <c r="W2298" s="64" ph="1"/>
      <c r="X2298" s="241"/>
      <c r="Y2298" s="284"/>
      <c r="Z2298" s="207"/>
      <c r="AA2298" s="284"/>
      <c r="AB2298" s="284"/>
      <c r="AC2298" s="284"/>
      <c r="AD2298" s="284"/>
      <c r="AE2298" s="284"/>
      <c r="AF2298" s="284"/>
      <c r="AG2298" s="284"/>
    </row>
    <row r="2299" spans="1:33" ht="26.4">
      <c r="A2299" s="284"/>
      <c r="B2299" s="284"/>
      <c r="C2299" s="284"/>
      <c r="D2299" s="284"/>
      <c r="E2299" s="284"/>
      <c r="F2299" s="284"/>
      <c r="G2299" s="284"/>
      <c r="H2299" s="284"/>
      <c r="I2299" s="284"/>
      <c r="J2299" s="375"/>
      <c r="K2299" s="375"/>
      <c r="L2299" s="375"/>
      <c r="M2299" s="368"/>
      <c r="N2299" s="368"/>
      <c r="O2299" s="370"/>
      <c r="T2299" s="340"/>
      <c r="V2299" s="378"/>
      <c r="W2299" s="64" ph="1"/>
      <c r="X2299" s="241"/>
      <c r="Y2299" s="284"/>
      <c r="Z2299" s="207"/>
      <c r="AA2299" s="284"/>
      <c r="AB2299" s="284"/>
      <c r="AC2299" s="284"/>
      <c r="AD2299" s="284"/>
      <c r="AE2299" s="284"/>
      <c r="AF2299" s="284"/>
      <c r="AG2299" s="284"/>
    </row>
    <row r="2300" spans="1:33" ht="26.4">
      <c r="A2300" s="284"/>
      <c r="B2300" s="284"/>
      <c r="C2300" s="284"/>
      <c r="D2300" s="284"/>
      <c r="E2300" s="284"/>
      <c r="F2300" s="284"/>
      <c r="G2300" s="284"/>
      <c r="H2300" s="284"/>
      <c r="I2300" s="284"/>
      <c r="J2300" s="375"/>
      <c r="K2300" s="375"/>
      <c r="L2300" s="375"/>
      <c r="M2300" s="368"/>
      <c r="N2300" s="368"/>
      <c r="O2300" s="370"/>
      <c r="T2300" s="340"/>
      <c r="V2300" s="378"/>
      <c r="W2300" s="64" ph="1"/>
      <c r="X2300" s="241"/>
      <c r="Y2300" s="284"/>
      <c r="Z2300" s="207"/>
      <c r="AA2300" s="284"/>
      <c r="AB2300" s="284"/>
      <c r="AC2300" s="284"/>
      <c r="AD2300" s="284"/>
      <c r="AE2300" s="284"/>
      <c r="AF2300" s="284"/>
      <c r="AG2300" s="284"/>
    </row>
    <row r="2301" spans="1:33" ht="26.4">
      <c r="A2301" s="284"/>
      <c r="B2301" s="284"/>
      <c r="C2301" s="284"/>
      <c r="D2301" s="284"/>
      <c r="E2301" s="284"/>
      <c r="F2301" s="284"/>
      <c r="G2301" s="284"/>
      <c r="H2301" s="284"/>
      <c r="I2301" s="284"/>
      <c r="J2301" s="375"/>
      <c r="K2301" s="375"/>
      <c r="L2301" s="375"/>
      <c r="M2301" s="368"/>
      <c r="N2301" s="368"/>
      <c r="O2301" s="370"/>
      <c r="T2301" s="340"/>
      <c r="V2301" s="378"/>
      <c r="W2301" s="64" ph="1"/>
      <c r="X2301" s="241"/>
      <c r="Y2301" s="284"/>
      <c r="Z2301" s="207"/>
      <c r="AA2301" s="284"/>
      <c r="AB2301" s="284"/>
      <c r="AC2301" s="284"/>
      <c r="AD2301" s="284"/>
      <c r="AE2301" s="284"/>
      <c r="AF2301" s="284"/>
      <c r="AG2301" s="284"/>
    </row>
    <row r="2302" spans="1:33" ht="26.4">
      <c r="A2302" s="284"/>
      <c r="B2302" s="284"/>
      <c r="C2302" s="284"/>
      <c r="D2302" s="284"/>
      <c r="E2302" s="284"/>
      <c r="F2302" s="284"/>
      <c r="G2302" s="284"/>
      <c r="H2302" s="284"/>
      <c r="I2302" s="284"/>
      <c r="J2302" s="375"/>
      <c r="K2302" s="375"/>
      <c r="L2302" s="375"/>
      <c r="M2302" s="368"/>
      <c r="N2302" s="368"/>
      <c r="O2302" s="370"/>
      <c r="T2302" s="340"/>
      <c r="V2302" s="378"/>
      <c r="W2302" s="64" ph="1"/>
      <c r="X2302" s="241"/>
      <c r="Y2302" s="284"/>
      <c r="Z2302" s="207"/>
      <c r="AA2302" s="284"/>
      <c r="AB2302" s="284"/>
      <c r="AC2302" s="284"/>
      <c r="AD2302" s="284"/>
      <c r="AE2302" s="284"/>
      <c r="AF2302" s="284"/>
      <c r="AG2302" s="284"/>
    </row>
    <row r="2303" spans="1:33" ht="26.4">
      <c r="A2303" s="284"/>
      <c r="B2303" s="284"/>
      <c r="C2303" s="284"/>
      <c r="D2303" s="284"/>
      <c r="E2303" s="284"/>
      <c r="F2303" s="284"/>
      <c r="G2303" s="284"/>
      <c r="H2303" s="284"/>
      <c r="I2303" s="284"/>
      <c r="J2303" s="375"/>
      <c r="K2303" s="375"/>
      <c r="L2303" s="375"/>
      <c r="M2303" s="368"/>
      <c r="N2303" s="368"/>
      <c r="O2303" s="370"/>
      <c r="T2303" s="340"/>
      <c r="V2303" s="378"/>
      <c r="W2303" s="64" ph="1"/>
      <c r="X2303" s="241"/>
      <c r="Y2303" s="284"/>
      <c r="Z2303" s="207"/>
      <c r="AA2303" s="284"/>
      <c r="AB2303" s="284"/>
      <c r="AC2303" s="284"/>
      <c r="AD2303" s="284"/>
      <c r="AE2303" s="284"/>
      <c r="AF2303" s="284"/>
      <c r="AG2303" s="284"/>
    </row>
    <row r="2304" spans="1:33" ht="26.4">
      <c r="A2304" s="284"/>
      <c r="B2304" s="284"/>
      <c r="C2304" s="284"/>
      <c r="D2304" s="284"/>
      <c r="E2304" s="284"/>
      <c r="F2304" s="284"/>
      <c r="G2304" s="284"/>
      <c r="H2304" s="284"/>
      <c r="I2304" s="284"/>
      <c r="J2304" s="375"/>
      <c r="K2304" s="375"/>
      <c r="L2304" s="375"/>
      <c r="M2304" s="368"/>
      <c r="N2304" s="368"/>
      <c r="O2304" s="370"/>
      <c r="T2304" s="340"/>
      <c r="V2304" s="378"/>
      <c r="W2304" s="64" ph="1"/>
      <c r="X2304" s="241"/>
      <c r="Y2304" s="284"/>
      <c r="Z2304" s="207"/>
      <c r="AA2304" s="284"/>
      <c r="AB2304" s="284"/>
      <c r="AC2304" s="284"/>
      <c r="AD2304" s="284"/>
      <c r="AE2304" s="284"/>
      <c r="AF2304" s="284"/>
      <c r="AG2304" s="284"/>
    </row>
    <row r="2305" spans="1:33" ht="26.4">
      <c r="A2305" s="284"/>
      <c r="B2305" s="284"/>
      <c r="C2305" s="284"/>
      <c r="D2305" s="284"/>
      <c r="E2305" s="284"/>
      <c r="F2305" s="284"/>
      <c r="G2305" s="284"/>
      <c r="H2305" s="284"/>
      <c r="I2305" s="284"/>
      <c r="J2305" s="375"/>
      <c r="K2305" s="375"/>
      <c r="L2305" s="375"/>
      <c r="M2305" s="368"/>
      <c r="N2305" s="368"/>
      <c r="O2305" s="370"/>
      <c r="T2305" s="340"/>
      <c r="V2305" s="378"/>
      <c r="W2305" s="64" ph="1"/>
      <c r="X2305" s="241"/>
      <c r="Y2305" s="284"/>
      <c r="Z2305" s="207"/>
      <c r="AA2305" s="284"/>
      <c r="AB2305" s="284"/>
      <c r="AC2305" s="284"/>
      <c r="AD2305" s="284"/>
      <c r="AE2305" s="284"/>
      <c r="AF2305" s="284"/>
      <c r="AG2305" s="284"/>
    </row>
    <row r="2306" spans="1:33" ht="26.4">
      <c r="A2306" s="284"/>
      <c r="B2306" s="284"/>
      <c r="C2306" s="284"/>
      <c r="D2306" s="284"/>
      <c r="E2306" s="284"/>
      <c r="F2306" s="284"/>
      <c r="G2306" s="284"/>
      <c r="H2306" s="284"/>
      <c r="I2306" s="284"/>
      <c r="J2306" s="375"/>
      <c r="K2306" s="375"/>
      <c r="L2306" s="375"/>
      <c r="M2306" s="368"/>
      <c r="N2306" s="368"/>
      <c r="O2306" s="370"/>
      <c r="T2306" s="340"/>
      <c r="V2306" s="378"/>
      <c r="W2306" s="64" ph="1"/>
      <c r="X2306" s="241"/>
      <c r="Y2306" s="284"/>
      <c r="Z2306" s="207"/>
      <c r="AA2306" s="284"/>
      <c r="AB2306" s="284"/>
      <c r="AC2306" s="284"/>
      <c r="AD2306" s="284"/>
      <c r="AE2306" s="284"/>
      <c r="AF2306" s="284"/>
      <c r="AG2306" s="284"/>
    </row>
    <row r="2307" spans="1:33" ht="26.4">
      <c r="A2307" s="284"/>
      <c r="B2307" s="284"/>
      <c r="C2307" s="284"/>
      <c r="D2307" s="284"/>
      <c r="E2307" s="284"/>
      <c r="F2307" s="284"/>
      <c r="G2307" s="284"/>
      <c r="H2307" s="284"/>
      <c r="I2307" s="284"/>
      <c r="J2307" s="375"/>
      <c r="K2307" s="375"/>
      <c r="L2307" s="375"/>
      <c r="M2307" s="368"/>
      <c r="N2307" s="368"/>
      <c r="O2307" s="370"/>
      <c r="T2307" s="340"/>
      <c r="V2307" s="378"/>
      <c r="W2307" s="64" ph="1"/>
      <c r="X2307" s="241"/>
      <c r="Y2307" s="284"/>
      <c r="Z2307" s="207"/>
      <c r="AA2307" s="284"/>
      <c r="AB2307" s="284"/>
      <c r="AC2307" s="284"/>
      <c r="AD2307" s="284"/>
      <c r="AE2307" s="284"/>
      <c r="AF2307" s="284"/>
      <c r="AG2307" s="284"/>
    </row>
    <row r="2308" spans="1:33" ht="26.4">
      <c r="A2308" s="284"/>
      <c r="B2308" s="284"/>
      <c r="C2308" s="284"/>
      <c r="D2308" s="284"/>
      <c r="E2308" s="284"/>
      <c r="F2308" s="284"/>
      <c r="G2308" s="284"/>
      <c r="H2308" s="284"/>
      <c r="I2308" s="284"/>
      <c r="J2308" s="375"/>
      <c r="K2308" s="375"/>
      <c r="L2308" s="375"/>
      <c r="M2308" s="368"/>
      <c r="N2308" s="368"/>
      <c r="O2308" s="370"/>
      <c r="T2308" s="340"/>
      <c r="V2308" s="378"/>
      <c r="W2308" s="64" ph="1"/>
      <c r="X2308" s="241"/>
      <c r="Y2308" s="284"/>
      <c r="Z2308" s="207"/>
      <c r="AA2308" s="284"/>
      <c r="AB2308" s="284"/>
      <c r="AC2308" s="284"/>
      <c r="AD2308" s="284"/>
      <c r="AE2308" s="284"/>
      <c r="AF2308" s="284"/>
      <c r="AG2308" s="284"/>
    </row>
    <row r="2309" spans="1:33" ht="26.4">
      <c r="A2309" s="284"/>
      <c r="B2309" s="284"/>
      <c r="C2309" s="284"/>
      <c r="D2309" s="284"/>
      <c r="E2309" s="284"/>
      <c r="F2309" s="284"/>
      <c r="G2309" s="284"/>
      <c r="H2309" s="284"/>
      <c r="I2309" s="284"/>
      <c r="J2309" s="375"/>
      <c r="K2309" s="375"/>
      <c r="L2309" s="375"/>
      <c r="M2309" s="368"/>
      <c r="N2309" s="368"/>
      <c r="O2309" s="370"/>
      <c r="T2309" s="340"/>
      <c r="V2309" s="378"/>
      <c r="W2309" s="64" ph="1"/>
      <c r="X2309" s="241"/>
      <c r="Y2309" s="284"/>
      <c r="Z2309" s="207"/>
      <c r="AA2309" s="284"/>
      <c r="AB2309" s="284"/>
      <c r="AC2309" s="284"/>
      <c r="AD2309" s="284"/>
      <c r="AE2309" s="284"/>
      <c r="AF2309" s="284"/>
      <c r="AG2309" s="284"/>
    </row>
    <row r="2310" spans="1:33" ht="26.4">
      <c r="A2310" s="284"/>
      <c r="B2310" s="284"/>
      <c r="C2310" s="284"/>
      <c r="D2310" s="284"/>
      <c r="E2310" s="284"/>
      <c r="F2310" s="284"/>
      <c r="G2310" s="284"/>
      <c r="H2310" s="284"/>
      <c r="I2310" s="284"/>
      <c r="J2310" s="375"/>
      <c r="K2310" s="375"/>
      <c r="L2310" s="375"/>
      <c r="M2310" s="368"/>
      <c r="N2310" s="368"/>
      <c r="O2310" s="370"/>
      <c r="T2310" s="340"/>
      <c r="V2310" s="378"/>
      <c r="W2310" s="64" ph="1"/>
      <c r="X2310" s="241"/>
      <c r="Y2310" s="284"/>
      <c r="Z2310" s="207"/>
      <c r="AA2310" s="284"/>
      <c r="AB2310" s="284"/>
      <c r="AC2310" s="284"/>
      <c r="AD2310" s="284"/>
      <c r="AE2310" s="284"/>
      <c r="AF2310" s="284"/>
      <c r="AG2310" s="284"/>
    </row>
    <row r="2311" spans="1:33" ht="26.4">
      <c r="A2311" s="284"/>
      <c r="B2311" s="284"/>
      <c r="C2311" s="284"/>
      <c r="D2311" s="284"/>
      <c r="E2311" s="284"/>
      <c r="F2311" s="284"/>
      <c r="G2311" s="284"/>
      <c r="H2311" s="284"/>
      <c r="I2311" s="284"/>
      <c r="J2311" s="375"/>
      <c r="K2311" s="375"/>
      <c r="L2311" s="375"/>
      <c r="M2311" s="368"/>
      <c r="N2311" s="368"/>
      <c r="O2311" s="370"/>
      <c r="T2311" s="340"/>
      <c r="V2311" s="378"/>
      <c r="W2311" s="64" ph="1"/>
      <c r="X2311" s="241"/>
      <c r="Y2311" s="284"/>
      <c r="Z2311" s="207"/>
      <c r="AA2311" s="284"/>
      <c r="AB2311" s="284"/>
      <c r="AC2311" s="284"/>
      <c r="AD2311" s="284"/>
      <c r="AE2311" s="284"/>
      <c r="AF2311" s="284"/>
      <c r="AG2311" s="284"/>
    </row>
    <row r="2312" spans="1:33" ht="26.4">
      <c r="A2312" s="284"/>
      <c r="B2312" s="284"/>
      <c r="C2312" s="284"/>
      <c r="D2312" s="284"/>
      <c r="E2312" s="284"/>
      <c r="F2312" s="284"/>
      <c r="G2312" s="284"/>
      <c r="H2312" s="284"/>
      <c r="I2312" s="284"/>
      <c r="J2312" s="375"/>
      <c r="K2312" s="375"/>
      <c r="L2312" s="375"/>
      <c r="M2312" s="368"/>
      <c r="N2312" s="368"/>
      <c r="O2312" s="370"/>
      <c r="T2312" s="340"/>
      <c r="V2312" s="378"/>
      <c r="W2312" s="64" ph="1"/>
      <c r="X2312" s="241"/>
      <c r="Y2312" s="284"/>
      <c r="Z2312" s="207"/>
      <c r="AA2312" s="284"/>
      <c r="AB2312" s="284"/>
      <c r="AC2312" s="284"/>
      <c r="AD2312" s="284"/>
      <c r="AE2312" s="284"/>
      <c r="AF2312" s="284"/>
      <c r="AG2312" s="284"/>
    </row>
    <row r="2313" spans="1:33" ht="26.4">
      <c r="A2313" s="284"/>
      <c r="B2313" s="284"/>
      <c r="C2313" s="284"/>
      <c r="D2313" s="284"/>
      <c r="E2313" s="284"/>
      <c r="F2313" s="284"/>
      <c r="G2313" s="284"/>
      <c r="H2313" s="284"/>
      <c r="I2313" s="284"/>
      <c r="J2313" s="375"/>
      <c r="K2313" s="375"/>
      <c r="L2313" s="375"/>
      <c r="M2313" s="368"/>
      <c r="N2313" s="368"/>
      <c r="O2313" s="370"/>
      <c r="T2313" s="340"/>
      <c r="V2313" s="378"/>
      <c r="W2313" s="64" ph="1"/>
      <c r="X2313" s="241"/>
      <c r="Y2313" s="284"/>
      <c r="Z2313" s="207"/>
      <c r="AA2313" s="284"/>
      <c r="AB2313" s="284"/>
      <c r="AC2313" s="284"/>
      <c r="AD2313" s="284"/>
      <c r="AE2313" s="284"/>
      <c r="AF2313" s="284"/>
      <c r="AG2313" s="284"/>
    </row>
    <row r="2314" spans="1:33" ht="26.4">
      <c r="A2314" s="284"/>
      <c r="B2314" s="284"/>
      <c r="C2314" s="284"/>
      <c r="D2314" s="284"/>
      <c r="E2314" s="284"/>
      <c r="F2314" s="284"/>
      <c r="G2314" s="284"/>
      <c r="H2314" s="284"/>
      <c r="I2314" s="284"/>
      <c r="J2314" s="375"/>
      <c r="K2314" s="375"/>
      <c r="L2314" s="375"/>
      <c r="M2314" s="368"/>
      <c r="N2314" s="368"/>
      <c r="O2314" s="370"/>
      <c r="T2314" s="340"/>
      <c r="V2314" s="378"/>
      <c r="W2314" s="64" ph="1"/>
      <c r="X2314" s="241"/>
      <c r="Y2314" s="284"/>
      <c r="Z2314" s="207"/>
      <c r="AA2314" s="284"/>
      <c r="AB2314" s="284"/>
      <c r="AC2314" s="284"/>
      <c r="AD2314" s="284"/>
      <c r="AE2314" s="284"/>
      <c r="AF2314" s="284"/>
      <c r="AG2314" s="284"/>
    </row>
    <row r="2315" spans="1:33" ht="26.4">
      <c r="A2315" s="284"/>
      <c r="B2315" s="284"/>
      <c r="C2315" s="284"/>
      <c r="D2315" s="284"/>
      <c r="E2315" s="284"/>
      <c r="F2315" s="284"/>
      <c r="G2315" s="284"/>
      <c r="H2315" s="284"/>
      <c r="I2315" s="284"/>
      <c r="J2315" s="375"/>
      <c r="K2315" s="375"/>
      <c r="L2315" s="375"/>
      <c r="M2315" s="368"/>
      <c r="N2315" s="368"/>
      <c r="O2315" s="370"/>
      <c r="T2315" s="340"/>
      <c r="V2315" s="378"/>
      <c r="W2315" s="64" ph="1"/>
      <c r="X2315" s="241"/>
      <c r="Y2315" s="284"/>
      <c r="Z2315" s="207"/>
      <c r="AA2315" s="284"/>
      <c r="AB2315" s="284"/>
      <c r="AC2315" s="284"/>
      <c r="AD2315" s="284"/>
      <c r="AE2315" s="284"/>
      <c r="AF2315" s="284"/>
      <c r="AG2315" s="284"/>
    </row>
    <row r="2316" spans="1:33" ht="26.4">
      <c r="A2316" s="284"/>
      <c r="B2316" s="284"/>
      <c r="C2316" s="284"/>
      <c r="D2316" s="284"/>
      <c r="E2316" s="284"/>
      <c r="F2316" s="284"/>
      <c r="G2316" s="284"/>
      <c r="H2316" s="284"/>
      <c r="I2316" s="284"/>
      <c r="J2316" s="375"/>
      <c r="K2316" s="375"/>
      <c r="L2316" s="375"/>
      <c r="M2316" s="368"/>
      <c r="N2316" s="368"/>
      <c r="O2316" s="370"/>
      <c r="T2316" s="340"/>
      <c r="V2316" s="378"/>
      <c r="W2316" s="64" ph="1"/>
      <c r="X2316" s="241"/>
      <c r="Y2316" s="284"/>
      <c r="Z2316" s="207"/>
      <c r="AA2316" s="284"/>
      <c r="AB2316" s="284"/>
      <c r="AC2316" s="284"/>
      <c r="AD2316" s="284"/>
      <c r="AE2316" s="284"/>
      <c r="AF2316" s="284"/>
      <c r="AG2316" s="284"/>
    </row>
    <row r="2317" spans="1:33" ht="26.4">
      <c r="A2317" s="284"/>
      <c r="B2317" s="284"/>
      <c r="C2317" s="284"/>
      <c r="D2317" s="284"/>
      <c r="E2317" s="284"/>
      <c r="F2317" s="284"/>
      <c r="G2317" s="284"/>
      <c r="H2317" s="284"/>
      <c r="I2317" s="284"/>
      <c r="J2317" s="375"/>
      <c r="K2317" s="375"/>
      <c r="L2317" s="375"/>
      <c r="M2317" s="368"/>
      <c r="N2317" s="368"/>
      <c r="O2317" s="370"/>
      <c r="T2317" s="340"/>
      <c r="V2317" s="378"/>
      <c r="W2317" s="64" ph="1"/>
      <c r="X2317" s="241"/>
      <c r="Y2317" s="284"/>
      <c r="Z2317" s="207"/>
      <c r="AA2317" s="284"/>
      <c r="AB2317" s="284"/>
      <c r="AC2317" s="284"/>
      <c r="AD2317" s="284"/>
      <c r="AE2317" s="284"/>
      <c r="AF2317" s="284"/>
      <c r="AG2317" s="284"/>
    </row>
    <row r="2318" spans="1:33" ht="26.4">
      <c r="O2318" s="370"/>
      <c r="W2318" s="64" ph="1"/>
    </row>
    <row r="2319" spans="1:33" ht="26.4">
      <c r="O2319" s="370"/>
      <c r="W2319" s="64" ph="1"/>
    </row>
    <row r="2320" spans="1:33" ht="26.4">
      <c r="O2320" s="370"/>
      <c r="W2320" s="64" ph="1"/>
    </row>
    <row r="2321" spans="15:23" ht="26.4">
      <c r="O2321" s="370"/>
      <c r="W2321" s="64" ph="1"/>
    </row>
    <row r="2322" spans="15:23" ht="26.4">
      <c r="O2322" s="370"/>
      <c r="W2322" s="64" ph="1"/>
    </row>
    <row r="2323" spans="15:23" ht="26.4">
      <c r="O2323" s="370"/>
      <c r="W2323" s="64" ph="1"/>
    </row>
    <row r="2324" spans="15:23" ht="26.4">
      <c r="O2324" s="370"/>
      <c r="W2324" s="64" ph="1"/>
    </row>
    <row r="2325" spans="15:23" ht="26.4">
      <c r="O2325" s="370"/>
      <c r="W2325" s="64" ph="1"/>
    </row>
    <row r="2326" spans="15:23" ht="26.4">
      <c r="O2326" s="370"/>
      <c r="W2326" s="64" ph="1"/>
    </row>
    <row r="2327" spans="15:23" ht="26.4">
      <c r="O2327" s="370"/>
      <c r="W2327" s="64" ph="1"/>
    </row>
    <row r="2328" spans="15:23" ht="26.4">
      <c r="W2328" s="64" ph="1"/>
    </row>
    <row r="2329" spans="15:23" ht="26.4">
      <c r="W2329" s="64" ph="1"/>
    </row>
    <row r="2330" spans="15:23" ht="26.4">
      <c r="W2330" s="64" ph="1"/>
    </row>
    <row r="2331" spans="15:23" ht="26.4">
      <c r="W2331" s="64" ph="1"/>
    </row>
    <row r="2332" spans="15:23" ht="26.4">
      <c r="W2332" s="64" ph="1"/>
    </row>
    <row r="2333" spans="15:23" ht="26.4">
      <c r="W2333" s="64" ph="1"/>
    </row>
    <row r="2334" spans="15:23" ht="26.4">
      <c r="W2334" s="64" ph="1"/>
    </row>
    <row r="2335" spans="15:23" ht="26.4">
      <c r="W2335" s="64" ph="1"/>
    </row>
    <row r="2336" spans="15:23" ht="26.4">
      <c r="W2336" s="64" ph="1"/>
    </row>
    <row r="2337" spans="23:23" ht="26.4">
      <c r="W2337" s="64" ph="1"/>
    </row>
    <row r="2338" spans="23:23" ht="26.4">
      <c r="W2338" s="64" ph="1"/>
    </row>
    <row r="2339" spans="23:23" ht="26.4">
      <c r="W2339" s="64" ph="1"/>
    </row>
    <row r="2340" spans="23:23" ht="26.4">
      <c r="W2340" s="64" ph="1"/>
    </row>
    <row r="2341" spans="23:23" ht="26.4">
      <c r="W2341" s="64" ph="1"/>
    </row>
    <row r="2342" spans="23:23" ht="26.4">
      <c r="W2342" s="64" ph="1"/>
    </row>
    <row r="2343" spans="23:23" ht="26.4">
      <c r="W2343" s="64" ph="1"/>
    </row>
    <row r="2344" spans="23:23" ht="26.4">
      <c r="W2344" s="64" ph="1"/>
    </row>
    <row r="2345" spans="23:23" ht="26.4">
      <c r="W2345" s="64" ph="1"/>
    </row>
    <row r="2346" spans="23:23" ht="26.4">
      <c r="W2346" s="64" ph="1"/>
    </row>
    <row r="2347" spans="23:23" ht="26.4">
      <c r="W2347" s="64" ph="1"/>
    </row>
    <row r="2348" spans="23:23" ht="26.4">
      <c r="W2348" s="64" ph="1"/>
    </row>
    <row r="2349" spans="23:23" ht="26.4">
      <c r="W2349" s="64" ph="1"/>
    </row>
    <row r="2350" spans="23:23" ht="26.4">
      <c r="W2350" s="64" ph="1"/>
    </row>
    <row r="2351" spans="23:23" ht="26.4">
      <c r="W2351" s="64" ph="1"/>
    </row>
    <row r="2352" spans="23:23" ht="26.4">
      <c r="W2352" s="64" ph="1"/>
    </row>
    <row r="2353" spans="23:23" ht="26.4">
      <c r="W2353" s="64" ph="1"/>
    </row>
    <row r="2354" spans="23:23" ht="26.4">
      <c r="W2354" s="64" ph="1"/>
    </row>
    <row r="2355" spans="23:23" ht="26.4">
      <c r="W2355" s="64" ph="1"/>
    </row>
    <row r="2356" spans="23:23" ht="26.4">
      <c r="W2356" s="64" ph="1"/>
    </row>
    <row r="2357" spans="23:23" ht="26.4">
      <c r="W2357" s="64" ph="1"/>
    </row>
    <row r="2358" spans="23:23" ht="26.4">
      <c r="W2358" s="64" ph="1"/>
    </row>
    <row r="2359" spans="23:23" ht="26.4">
      <c r="W2359" s="64" ph="1"/>
    </row>
    <row r="2360" spans="23:23" ht="26.4">
      <c r="W2360" s="64" ph="1"/>
    </row>
    <row r="2361" spans="23:23" ht="26.4">
      <c r="W2361" s="64" ph="1"/>
    </row>
    <row r="2362" spans="23:23" ht="26.4">
      <c r="W2362" s="64" ph="1"/>
    </row>
    <row r="2363" spans="23:23" ht="26.4">
      <c r="W2363" s="64" ph="1"/>
    </row>
    <row r="2364" spans="23:23" ht="26.4">
      <c r="W2364" s="64" ph="1"/>
    </row>
    <row r="2365" spans="23:23" ht="26.4">
      <c r="W2365" s="64" ph="1"/>
    </row>
    <row r="2366" spans="23:23" ht="26.4">
      <c r="W2366" s="64" ph="1"/>
    </row>
    <row r="2367" spans="23:23" ht="26.4">
      <c r="W2367" s="64" ph="1"/>
    </row>
    <row r="2368" spans="23:23" ht="26.4">
      <c r="W2368" s="64" ph="1"/>
    </row>
    <row r="2369" spans="23:23" ht="26.4">
      <c r="W2369" s="64" ph="1"/>
    </row>
    <row r="2370" spans="23:23" ht="26.4">
      <c r="W2370" s="64" ph="1"/>
    </row>
    <row r="2371" spans="23:23" ht="26.4">
      <c r="W2371" s="64" ph="1"/>
    </row>
    <row r="2372" spans="23:23" ht="26.4">
      <c r="W2372" s="64" ph="1"/>
    </row>
    <row r="2373" spans="23:23" ht="26.4">
      <c r="W2373" s="64" ph="1"/>
    </row>
    <row r="2374" spans="23:23" ht="26.4">
      <c r="W2374" s="64" ph="1"/>
    </row>
    <row r="2375" spans="23:23" ht="26.4">
      <c r="W2375" s="64" ph="1"/>
    </row>
    <row r="2376" spans="23:23" ht="26.4">
      <c r="W2376" s="64" ph="1"/>
    </row>
    <row r="2377" spans="23:23" ht="26.4">
      <c r="W2377" s="64" ph="1"/>
    </row>
    <row r="2378" spans="23:23" ht="26.4">
      <c r="W2378" s="64" ph="1"/>
    </row>
    <row r="2379" spans="23:23" ht="26.4">
      <c r="W2379" s="64" ph="1"/>
    </row>
    <row r="2380" spans="23:23" ht="26.4">
      <c r="W2380" s="64" ph="1"/>
    </row>
    <row r="2381" spans="23:23" ht="26.4">
      <c r="W2381" s="64" ph="1"/>
    </row>
    <row r="2382" spans="23:23" ht="26.4">
      <c r="W2382" s="64" ph="1"/>
    </row>
    <row r="2383" spans="23:23" ht="26.4">
      <c r="W2383" s="64" ph="1"/>
    </row>
    <row r="2384" spans="23:23" ht="26.4">
      <c r="W2384" s="64" ph="1"/>
    </row>
    <row r="2385" spans="23:23" ht="26.4">
      <c r="W2385" s="64" ph="1"/>
    </row>
    <row r="2386" spans="23:23" ht="26.4">
      <c r="W2386" s="64" ph="1"/>
    </row>
    <row r="2387" spans="23:23" ht="26.4">
      <c r="W2387" s="64" ph="1"/>
    </row>
    <row r="2388" spans="23:23" ht="26.4">
      <c r="W2388" s="64" ph="1"/>
    </row>
    <row r="2389" spans="23:23" ht="26.4">
      <c r="W2389" s="64" ph="1"/>
    </row>
    <row r="2390" spans="23:23" ht="26.4">
      <c r="W2390" s="64" ph="1"/>
    </row>
    <row r="2391" spans="23:23" ht="26.4">
      <c r="W2391" s="64" ph="1"/>
    </row>
    <row r="2392" spans="23:23" ht="26.4">
      <c r="W2392" s="64" ph="1"/>
    </row>
    <row r="2393" spans="23:23" ht="26.4">
      <c r="W2393" s="64" ph="1"/>
    </row>
    <row r="2394" spans="23:23" ht="26.4">
      <c r="W2394" s="64" ph="1"/>
    </row>
    <row r="2395" spans="23:23" ht="26.4">
      <c r="W2395" s="64" ph="1"/>
    </row>
    <row r="2396" spans="23:23" ht="26.4">
      <c r="W2396" s="64" ph="1"/>
    </row>
    <row r="2397" spans="23:23" ht="26.4">
      <c r="W2397" s="64" ph="1"/>
    </row>
    <row r="2398" spans="23:23" ht="26.4">
      <c r="W2398" s="64" ph="1"/>
    </row>
    <row r="2399" spans="23:23" ht="26.4">
      <c r="W2399" s="64" ph="1"/>
    </row>
    <row r="2400" spans="23:23" ht="26.4">
      <c r="W2400" s="64" ph="1"/>
    </row>
    <row r="2401" spans="23:23" ht="26.4">
      <c r="W2401" s="64" ph="1"/>
    </row>
    <row r="2402" spans="23:23" ht="26.4">
      <c r="W2402" s="64" ph="1"/>
    </row>
    <row r="2403" spans="23:23" ht="26.4">
      <c r="W2403" s="64" ph="1"/>
    </row>
    <row r="2404" spans="23:23" ht="26.4">
      <c r="W2404" s="64" ph="1"/>
    </row>
    <row r="2405" spans="23:23" ht="26.4">
      <c r="W2405" s="64" ph="1"/>
    </row>
    <row r="2406" spans="23:23" ht="26.4">
      <c r="W2406" s="64" ph="1"/>
    </row>
    <row r="2407" spans="23:23" ht="26.4">
      <c r="W2407" s="64" ph="1"/>
    </row>
    <row r="2408" spans="23:23" ht="26.4">
      <c r="W2408" s="64" ph="1"/>
    </row>
    <row r="2409" spans="23:23" ht="26.4">
      <c r="W2409" s="64" ph="1"/>
    </row>
    <row r="2410" spans="23:23" ht="26.4">
      <c r="W2410" s="64" ph="1"/>
    </row>
    <row r="2411" spans="23:23" ht="26.4">
      <c r="W2411" s="64" ph="1"/>
    </row>
    <row r="2412" spans="23:23" ht="26.4">
      <c r="W2412" s="64" ph="1"/>
    </row>
    <row r="2413" spans="23:23" ht="26.4">
      <c r="W2413" s="64" ph="1"/>
    </row>
    <row r="2414" spans="23:23" ht="26.4">
      <c r="W2414" s="64" ph="1"/>
    </row>
    <row r="2415" spans="23:23" ht="26.4">
      <c r="W2415" s="64" ph="1"/>
    </row>
    <row r="2416" spans="23:23" ht="26.4">
      <c r="W2416" s="64" ph="1"/>
    </row>
    <row r="2417" spans="23:23" ht="26.4">
      <c r="W2417" s="64" ph="1"/>
    </row>
    <row r="2418" spans="23:23" ht="26.4">
      <c r="W2418" s="64" ph="1"/>
    </row>
    <row r="2419" spans="23:23" ht="26.4">
      <c r="W2419" s="64" ph="1"/>
    </row>
    <row r="2420" spans="23:23" ht="26.4">
      <c r="W2420" s="64" ph="1"/>
    </row>
    <row r="2421" spans="23:23" ht="26.4">
      <c r="W2421" s="64" ph="1"/>
    </row>
    <row r="2422" spans="23:23" ht="26.4">
      <c r="W2422" s="64" ph="1"/>
    </row>
    <row r="2423" spans="23:23" ht="26.4">
      <c r="W2423" s="64" ph="1"/>
    </row>
    <row r="2424" spans="23:23" ht="26.4">
      <c r="W2424" s="64" ph="1"/>
    </row>
    <row r="2425" spans="23:23" ht="26.4">
      <c r="W2425" s="64" ph="1"/>
    </row>
    <row r="2426" spans="23:23" ht="26.4">
      <c r="W2426" s="64" ph="1"/>
    </row>
    <row r="2427" spans="23:23" ht="26.4">
      <c r="W2427" s="64" ph="1"/>
    </row>
    <row r="2428" spans="23:23" ht="26.4">
      <c r="W2428" s="64" ph="1"/>
    </row>
    <row r="2429" spans="23:23" ht="26.4">
      <c r="W2429" s="64" ph="1"/>
    </row>
    <row r="2430" spans="23:23" ht="26.4">
      <c r="W2430" s="64" ph="1"/>
    </row>
    <row r="2431" spans="23:23" ht="26.4">
      <c r="W2431" s="64" ph="1"/>
    </row>
    <row r="2432" spans="23:23" ht="26.4">
      <c r="W2432" s="64" ph="1"/>
    </row>
    <row r="2433" spans="23:23" ht="26.4">
      <c r="W2433" s="64" ph="1"/>
    </row>
    <row r="2434" spans="23:23" ht="26.4">
      <c r="W2434" s="64" ph="1"/>
    </row>
    <row r="2435" spans="23:23" ht="26.4">
      <c r="W2435" s="64" ph="1"/>
    </row>
    <row r="2436" spans="23:23" ht="26.4">
      <c r="W2436" s="64" ph="1"/>
    </row>
    <row r="2437" spans="23:23" ht="26.4">
      <c r="W2437" s="64" ph="1"/>
    </row>
    <row r="2438" spans="23:23" ht="26.4">
      <c r="W2438" s="64" ph="1"/>
    </row>
    <row r="2439" spans="23:23" ht="26.4">
      <c r="W2439" s="64" ph="1"/>
    </row>
    <row r="2440" spans="23:23" ht="26.4">
      <c r="W2440" s="64" ph="1"/>
    </row>
    <row r="2441" spans="23:23" ht="26.4">
      <c r="W2441" s="64" ph="1"/>
    </row>
    <row r="2442" spans="23:23" ht="26.4">
      <c r="W2442" s="64" ph="1"/>
    </row>
    <row r="2443" spans="23:23" ht="26.4">
      <c r="W2443" s="64" ph="1"/>
    </row>
    <row r="2444" spans="23:23" ht="26.4">
      <c r="W2444" s="64" ph="1"/>
    </row>
    <row r="2445" spans="23:23" ht="26.4">
      <c r="W2445" s="64" ph="1"/>
    </row>
    <row r="2446" spans="23:23" ht="26.4">
      <c r="W2446" s="64" ph="1"/>
    </row>
    <row r="2447" spans="23:23" ht="26.4">
      <c r="W2447" s="64" ph="1"/>
    </row>
    <row r="2448" spans="23:23" ht="26.4">
      <c r="W2448" s="64" ph="1"/>
    </row>
    <row r="2449" spans="23:23" ht="26.4">
      <c r="W2449" s="64" ph="1"/>
    </row>
    <row r="2450" spans="23:23" ht="26.4">
      <c r="W2450" s="64" ph="1"/>
    </row>
    <row r="2451" spans="23:23" ht="26.4">
      <c r="W2451" s="64" ph="1"/>
    </row>
    <row r="2452" spans="23:23" ht="26.4">
      <c r="W2452" s="64" ph="1"/>
    </row>
    <row r="2453" spans="23:23" ht="26.4">
      <c r="W2453" s="64" ph="1"/>
    </row>
    <row r="2454" spans="23:23" ht="26.4">
      <c r="W2454" s="64" ph="1"/>
    </row>
    <row r="2455" spans="23:23" ht="26.4">
      <c r="W2455" s="64" ph="1"/>
    </row>
    <row r="2456" spans="23:23" ht="26.4">
      <c r="W2456" s="64" ph="1"/>
    </row>
    <row r="2457" spans="23:23" ht="26.4">
      <c r="W2457" s="64" ph="1"/>
    </row>
    <row r="2458" spans="23:23" ht="26.4">
      <c r="W2458" s="64" ph="1"/>
    </row>
    <row r="2459" spans="23:23" ht="26.4">
      <c r="W2459" s="64" ph="1"/>
    </row>
    <row r="2460" spans="23:23" ht="26.4">
      <c r="W2460" s="64" ph="1"/>
    </row>
    <row r="2461" spans="23:23" ht="26.4">
      <c r="W2461" s="64" ph="1"/>
    </row>
    <row r="2462" spans="23:23" ht="26.4">
      <c r="W2462" s="64" ph="1"/>
    </row>
    <row r="2463" spans="23:23" ht="26.4">
      <c r="W2463" s="64" ph="1"/>
    </row>
    <row r="2464" spans="23:23" ht="26.4">
      <c r="W2464" s="64" ph="1"/>
    </row>
    <row r="2465" spans="23:23" ht="26.4">
      <c r="W2465" s="64" ph="1"/>
    </row>
    <row r="2466" spans="23:23" ht="26.4">
      <c r="W2466" s="64" ph="1"/>
    </row>
    <row r="2467" spans="23:23" ht="26.4">
      <c r="W2467" s="64" ph="1"/>
    </row>
    <row r="2468" spans="23:23" ht="26.4">
      <c r="W2468" s="64" ph="1"/>
    </row>
    <row r="2469" spans="23:23" ht="26.4">
      <c r="W2469" s="64" ph="1"/>
    </row>
    <row r="2470" spans="23:23" ht="26.4">
      <c r="W2470" s="64" ph="1"/>
    </row>
    <row r="2471" spans="23:23" ht="26.4">
      <c r="W2471" s="64" ph="1"/>
    </row>
    <row r="2472" spans="23:23" ht="26.4">
      <c r="W2472" s="64" ph="1"/>
    </row>
    <row r="2473" spans="23:23" ht="26.4">
      <c r="W2473" s="64" ph="1"/>
    </row>
    <row r="2474" spans="23:23" ht="26.4">
      <c r="W2474" s="64" ph="1"/>
    </row>
    <row r="2475" spans="23:23" ht="26.4">
      <c r="W2475" s="64" ph="1"/>
    </row>
    <row r="2476" spans="23:23" ht="26.4">
      <c r="W2476" s="64" ph="1"/>
    </row>
    <row r="2477" spans="23:23" ht="26.4">
      <c r="W2477" s="64" ph="1"/>
    </row>
    <row r="2478" spans="23:23" ht="26.4">
      <c r="W2478" s="64" ph="1"/>
    </row>
    <row r="2479" spans="23:23" ht="26.4">
      <c r="W2479" s="64" ph="1"/>
    </row>
    <row r="2480" spans="23:23" ht="26.4">
      <c r="W2480" s="64" ph="1"/>
    </row>
    <row r="2481" spans="23:23" ht="26.4">
      <c r="W2481" s="64" ph="1"/>
    </row>
    <row r="2482" spans="23:23" ht="26.4">
      <c r="W2482" s="64" ph="1"/>
    </row>
    <row r="2483" spans="23:23" ht="26.4">
      <c r="W2483" s="64" ph="1"/>
    </row>
    <row r="2484" spans="23:23" ht="26.4">
      <c r="W2484" s="64" ph="1"/>
    </row>
    <row r="2485" spans="23:23" ht="26.4">
      <c r="W2485" s="64" ph="1"/>
    </row>
    <row r="2486" spans="23:23" ht="26.4">
      <c r="W2486" s="64" ph="1"/>
    </row>
    <row r="2487" spans="23:23" ht="26.4">
      <c r="W2487" s="64" ph="1"/>
    </row>
    <row r="2488" spans="23:23" ht="26.4">
      <c r="W2488" s="64" ph="1"/>
    </row>
    <row r="2489" spans="23:23" ht="26.4">
      <c r="W2489" s="64" ph="1"/>
    </row>
    <row r="2490" spans="23:23" ht="26.4">
      <c r="W2490" s="64" ph="1"/>
    </row>
    <row r="2491" spans="23:23" ht="26.4">
      <c r="W2491" s="64" ph="1"/>
    </row>
    <row r="2492" spans="23:23" ht="26.4">
      <c r="W2492" s="64" ph="1"/>
    </row>
    <row r="2493" spans="23:23" ht="26.4">
      <c r="W2493" s="64" ph="1"/>
    </row>
    <row r="2494" spans="23:23" ht="26.4">
      <c r="W2494" s="64" ph="1"/>
    </row>
    <row r="2495" spans="23:23" ht="26.4">
      <c r="W2495" s="64" ph="1"/>
    </row>
    <row r="2496" spans="23:23" ht="26.4">
      <c r="W2496" s="64" ph="1"/>
    </row>
    <row r="2497" spans="23:23" ht="26.4">
      <c r="W2497" s="64" ph="1"/>
    </row>
    <row r="2498" spans="23:23" ht="26.4">
      <c r="W2498" s="64" ph="1"/>
    </row>
    <row r="2499" spans="23:23" ht="26.4">
      <c r="W2499" s="64" ph="1"/>
    </row>
    <row r="2500" spans="23:23" ht="26.4">
      <c r="W2500" s="64" ph="1"/>
    </row>
    <row r="2501" spans="23:23" ht="26.4">
      <c r="W2501" s="64" ph="1"/>
    </row>
    <row r="2502" spans="23:23" ht="26.4">
      <c r="W2502" s="64" ph="1"/>
    </row>
    <row r="2503" spans="23:23" ht="26.4">
      <c r="W2503" s="64" ph="1"/>
    </row>
    <row r="2504" spans="23:23" ht="26.4">
      <c r="W2504" s="64" ph="1"/>
    </row>
    <row r="2505" spans="23:23" ht="26.4">
      <c r="W2505" s="64" ph="1"/>
    </row>
    <row r="2506" spans="23:23" ht="26.4">
      <c r="W2506" s="64" ph="1"/>
    </row>
    <row r="2507" spans="23:23" ht="26.4">
      <c r="W2507" s="64" ph="1"/>
    </row>
    <row r="2508" spans="23:23" ht="26.4">
      <c r="W2508" s="64" ph="1"/>
    </row>
    <row r="2509" spans="23:23" ht="26.4">
      <c r="W2509" s="64" ph="1"/>
    </row>
    <row r="2510" spans="23:23" ht="26.4">
      <c r="W2510" s="64" ph="1"/>
    </row>
    <row r="2511" spans="23:23" ht="26.4">
      <c r="W2511" s="64" ph="1"/>
    </row>
    <row r="2512" spans="23:23" ht="26.4">
      <c r="W2512" s="64" ph="1"/>
    </row>
    <row r="2513" spans="23:23" ht="26.4">
      <c r="W2513" s="64" ph="1"/>
    </row>
    <row r="2514" spans="23:23" ht="26.4">
      <c r="W2514" s="64" ph="1"/>
    </row>
    <row r="2515" spans="23:23" ht="26.4">
      <c r="W2515" s="64" ph="1"/>
    </row>
    <row r="2516" spans="23:23" ht="26.4">
      <c r="W2516" s="64" ph="1"/>
    </row>
    <row r="2517" spans="23:23" ht="26.4">
      <c r="W2517" s="64" ph="1"/>
    </row>
    <row r="2518" spans="23:23" ht="26.4">
      <c r="W2518" s="64" ph="1"/>
    </row>
    <row r="2519" spans="23:23" ht="26.4">
      <c r="W2519" s="64" ph="1"/>
    </row>
    <row r="2520" spans="23:23" ht="26.4">
      <c r="W2520" s="64" ph="1"/>
    </row>
    <row r="2521" spans="23:23" ht="26.4">
      <c r="W2521" s="64" ph="1"/>
    </row>
    <row r="2522" spans="23:23" ht="26.4">
      <c r="W2522" s="64" ph="1"/>
    </row>
    <row r="2523" spans="23:23" ht="26.4">
      <c r="W2523" s="64" ph="1"/>
    </row>
    <row r="2524" spans="23:23" ht="26.4">
      <c r="W2524" s="64" ph="1"/>
    </row>
    <row r="2525" spans="23:23" ht="26.4">
      <c r="W2525" s="64" ph="1"/>
    </row>
    <row r="2526" spans="23:23" ht="26.4">
      <c r="W2526" s="64" ph="1"/>
    </row>
    <row r="2527" spans="23:23" ht="26.4">
      <c r="W2527" s="64" ph="1"/>
    </row>
    <row r="2528" spans="23:23" ht="26.4">
      <c r="W2528" s="64" ph="1"/>
    </row>
    <row r="2529" spans="23:23" ht="26.4">
      <c r="W2529" s="64" ph="1"/>
    </row>
    <row r="2530" spans="23:23" ht="26.4">
      <c r="W2530" s="64" ph="1"/>
    </row>
    <row r="2531" spans="23:23" ht="26.4">
      <c r="W2531" s="64" ph="1"/>
    </row>
    <row r="2532" spans="23:23" ht="26.4">
      <c r="W2532" s="64" ph="1"/>
    </row>
    <row r="2533" spans="23:23" ht="26.4">
      <c r="W2533" s="64" ph="1"/>
    </row>
    <row r="2534" spans="23:23" ht="26.4">
      <c r="W2534" s="64" ph="1"/>
    </row>
    <row r="2535" spans="23:23" ht="26.4">
      <c r="W2535" s="64" ph="1"/>
    </row>
    <row r="2536" spans="23:23" ht="26.4">
      <c r="W2536" s="64" ph="1"/>
    </row>
    <row r="2537" spans="23:23" ht="26.4">
      <c r="W2537" s="64" ph="1"/>
    </row>
    <row r="2538" spans="23:23" ht="26.4">
      <c r="W2538" s="64" ph="1"/>
    </row>
    <row r="2539" spans="23:23" ht="26.4">
      <c r="W2539" s="64" ph="1"/>
    </row>
    <row r="2540" spans="23:23" ht="26.4">
      <c r="W2540" s="64" ph="1"/>
    </row>
    <row r="2541" spans="23:23" ht="26.4">
      <c r="W2541" s="64" ph="1"/>
    </row>
    <row r="2542" spans="23:23" ht="26.4">
      <c r="W2542" s="64" ph="1"/>
    </row>
    <row r="2543" spans="23:23" ht="26.4">
      <c r="W2543" s="64" ph="1"/>
    </row>
    <row r="2544" spans="23:23" ht="26.4">
      <c r="W2544" s="64" ph="1"/>
    </row>
    <row r="2545" spans="23:23" ht="26.4">
      <c r="W2545" s="64" ph="1"/>
    </row>
    <row r="2546" spans="23:23" ht="26.4">
      <c r="W2546" s="64" ph="1"/>
    </row>
    <row r="2547" spans="23:23" ht="26.4">
      <c r="W2547" s="64" ph="1"/>
    </row>
    <row r="2548" spans="23:23" ht="26.4">
      <c r="W2548" s="64" ph="1"/>
    </row>
    <row r="2549" spans="23:23" ht="26.4">
      <c r="W2549" s="64" ph="1"/>
    </row>
    <row r="2550" spans="23:23" ht="26.4">
      <c r="W2550" s="64" ph="1"/>
    </row>
    <row r="2551" spans="23:23" ht="26.4">
      <c r="W2551" s="64" ph="1"/>
    </row>
    <row r="2552" spans="23:23" ht="26.4">
      <c r="W2552" s="64" ph="1"/>
    </row>
    <row r="2553" spans="23:23" ht="26.4">
      <c r="W2553" s="64" ph="1"/>
    </row>
    <row r="2554" spans="23:23" ht="26.4">
      <c r="W2554" s="64" ph="1"/>
    </row>
    <row r="2555" spans="23:23" ht="26.4">
      <c r="W2555" s="64" ph="1"/>
    </row>
    <row r="2556" spans="23:23" ht="26.4">
      <c r="W2556" s="64" ph="1"/>
    </row>
    <row r="2557" spans="23:23" ht="26.4">
      <c r="W2557" s="64" ph="1"/>
    </row>
    <row r="2558" spans="23:23" ht="26.4">
      <c r="W2558" s="64" ph="1"/>
    </row>
    <row r="2559" spans="23:23" ht="26.4">
      <c r="W2559" s="64" ph="1"/>
    </row>
    <row r="2560" spans="23:23" ht="26.4">
      <c r="W2560" s="64" ph="1"/>
    </row>
    <row r="2561" spans="23:23" ht="26.4">
      <c r="W2561" s="64" ph="1"/>
    </row>
    <row r="2562" spans="23:23" ht="26.4">
      <c r="W2562" s="64" ph="1"/>
    </row>
    <row r="2563" spans="23:23" ht="26.4">
      <c r="W2563" s="64" ph="1"/>
    </row>
    <row r="2564" spans="23:23" ht="26.4">
      <c r="W2564" s="64" ph="1"/>
    </row>
    <row r="2565" spans="23:23" ht="26.4">
      <c r="W2565" s="64" ph="1"/>
    </row>
    <row r="2566" spans="23:23" ht="26.4">
      <c r="W2566" s="64" ph="1"/>
    </row>
    <row r="2567" spans="23:23" ht="26.4">
      <c r="W2567" s="64" ph="1"/>
    </row>
    <row r="2568" spans="23:23" ht="26.4">
      <c r="W2568" s="64" ph="1"/>
    </row>
    <row r="2569" spans="23:23" ht="26.4">
      <c r="W2569" s="64" ph="1"/>
    </row>
    <row r="2570" spans="23:23" ht="26.4">
      <c r="W2570" s="64" ph="1"/>
    </row>
    <row r="2571" spans="23:23" ht="26.4">
      <c r="W2571" s="64" ph="1"/>
    </row>
    <row r="2572" spans="23:23" ht="26.4">
      <c r="W2572" s="64" ph="1"/>
    </row>
    <row r="2573" spans="23:23" ht="26.4">
      <c r="W2573" s="64" ph="1"/>
    </row>
    <row r="2574" spans="23:23" ht="26.4">
      <c r="W2574" s="64" ph="1"/>
    </row>
    <row r="2575" spans="23:23" ht="26.4">
      <c r="W2575" s="64" ph="1"/>
    </row>
    <row r="2576" spans="23:23" ht="26.4">
      <c r="W2576" s="64" ph="1"/>
    </row>
    <row r="2577" spans="23:23" ht="26.4">
      <c r="W2577" s="64" ph="1"/>
    </row>
    <row r="2578" spans="23:23" ht="26.4">
      <c r="W2578" s="64" ph="1"/>
    </row>
    <row r="2579" spans="23:23" ht="26.4">
      <c r="W2579" s="64" ph="1"/>
    </row>
    <row r="2580" spans="23:23" ht="26.4">
      <c r="W2580" s="64" ph="1"/>
    </row>
    <row r="2581" spans="23:23" ht="26.4">
      <c r="W2581" s="64" ph="1"/>
    </row>
    <row r="2582" spans="23:23" ht="26.4">
      <c r="W2582" s="64" ph="1"/>
    </row>
    <row r="2583" spans="23:23" ht="26.4">
      <c r="W2583" s="64" ph="1"/>
    </row>
    <row r="2584" spans="23:23" ht="26.4">
      <c r="W2584" s="64" ph="1"/>
    </row>
    <row r="2585" spans="23:23" ht="26.4">
      <c r="W2585" s="64" ph="1"/>
    </row>
    <row r="2586" spans="23:23" ht="26.4">
      <c r="W2586" s="64" ph="1"/>
    </row>
    <row r="2587" spans="23:23" ht="26.4">
      <c r="W2587" s="64" ph="1"/>
    </row>
    <row r="2588" spans="23:23" ht="26.4">
      <c r="W2588" s="64" ph="1"/>
    </row>
    <row r="2589" spans="23:23" ht="26.4">
      <c r="W2589" s="64" ph="1"/>
    </row>
    <row r="2590" spans="23:23" ht="26.4">
      <c r="W2590" s="64" ph="1"/>
    </row>
    <row r="2591" spans="23:23" ht="26.4">
      <c r="W2591" s="64" ph="1"/>
    </row>
    <row r="2592" spans="23:23" ht="26.4">
      <c r="W2592" s="64" ph="1"/>
    </row>
    <row r="2593" spans="23:23" ht="26.4">
      <c r="W2593" s="64" ph="1"/>
    </row>
    <row r="2594" spans="23:23" ht="26.4">
      <c r="W2594" s="64" ph="1"/>
    </row>
    <row r="2595" spans="23:23" ht="26.4">
      <c r="W2595" s="64" ph="1"/>
    </row>
    <row r="2596" spans="23:23" ht="26.4">
      <c r="W2596" s="64" ph="1"/>
    </row>
    <row r="2597" spans="23:23" ht="26.4">
      <c r="W2597" s="64" ph="1"/>
    </row>
    <row r="2598" spans="23:23" ht="26.4">
      <c r="W2598" s="64" ph="1"/>
    </row>
    <row r="2599" spans="23:23" ht="26.4">
      <c r="W2599" s="64" ph="1"/>
    </row>
    <row r="2600" spans="23:23" ht="26.4">
      <c r="W2600" s="64" ph="1"/>
    </row>
    <row r="2601" spans="23:23" ht="26.4">
      <c r="W2601" s="64" ph="1"/>
    </row>
    <row r="2602" spans="23:23" ht="26.4">
      <c r="W2602" s="64" ph="1"/>
    </row>
    <row r="2603" spans="23:23" ht="26.4">
      <c r="W2603" s="64" ph="1"/>
    </row>
    <row r="2604" spans="23:23" ht="26.4">
      <c r="W2604" s="64" ph="1"/>
    </row>
    <row r="2605" spans="23:23" ht="26.4">
      <c r="W2605" s="64" ph="1"/>
    </row>
    <row r="2606" spans="23:23" ht="26.4">
      <c r="W2606" s="64" ph="1"/>
    </row>
    <row r="2607" spans="23:23" ht="26.4">
      <c r="W2607" s="64" ph="1"/>
    </row>
    <row r="2608" spans="23:23" ht="26.4">
      <c r="W2608" s="64" ph="1"/>
    </row>
    <row r="2609" spans="23:23" ht="26.4">
      <c r="W2609" s="64" ph="1"/>
    </row>
    <row r="2610" spans="23:23" ht="26.4">
      <c r="W2610" s="64" ph="1"/>
    </row>
    <row r="2611" spans="23:23" ht="26.4">
      <c r="W2611" s="64" ph="1"/>
    </row>
    <row r="2612" spans="23:23" ht="26.4">
      <c r="W2612" s="64" ph="1"/>
    </row>
    <row r="2613" spans="23:23" ht="26.4">
      <c r="W2613" s="64" ph="1"/>
    </row>
    <row r="2614" spans="23:23" ht="26.4">
      <c r="W2614" s="64" ph="1"/>
    </row>
    <row r="2615" spans="23:23" ht="26.4">
      <c r="W2615" s="64" ph="1"/>
    </row>
    <row r="2616" spans="23:23" ht="26.4">
      <c r="W2616" s="64" ph="1"/>
    </row>
    <row r="2617" spans="23:23" ht="26.4">
      <c r="W2617" s="64" ph="1"/>
    </row>
    <row r="2618" spans="23:23" ht="26.4">
      <c r="W2618" s="64" ph="1"/>
    </row>
    <row r="2619" spans="23:23" ht="26.4">
      <c r="W2619" s="64" ph="1"/>
    </row>
    <row r="2620" spans="23:23" ht="26.4">
      <c r="W2620" s="64" ph="1"/>
    </row>
    <row r="2621" spans="23:23" ht="26.4">
      <c r="W2621" s="64" ph="1"/>
    </row>
    <row r="2622" spans="23:23" ht="26.4">
      <c r="W2622" s="64" ph="1"/>
    </row>
    <row r="2623" spans="23:23" ht="26.4">
      <c r="W2623" s="64" ph="1"/>
    </row>
    <row r="2624" spans="23:23" ht="26.4">
      <c r="W2624" s="64" ph="1"/>
    </row>
    <row r="2625" spans="23:23" ht="26.4">
      <c r="W2625" s="64" ph="1"/>
    </row>
    <row r="2626" spans="23:23" ht="26.4">
      <c r="W2626" s="64" ph="1"/>
    </row>
    <row r="2627" spans="23:23" ht="26.4">
      <c r="W2627" s="64" ph="1"/>
    </row>
    <row r="2628" spans="23:23" ht="26.4">
      <c r="W2628" s="64" ph="1"/>
    </row>
    <row r="2629" spans="23:23" ht="26.4">
      <c r="W2629" s="64" ph="1"/>
    </row>
    <row r="2630" spans="23:23" ht="26.4">
      <c r="W2630" s="64" ph="1"/>
    </row>
    <row r="2631" spans="23:23" ht="26.4">
      <c r="W2631" s="64" ph="1"/>
    </row>
    <row r="2632" spans="23:23" ht="26.4">
      <c r="W2632" s="64" ph="1"/>
    </row>
    <row r="2633" spans="23:23" ht="26.4">
      <c r="W2633" s="64" ph="1"/>
    </row>
    <row r="2634" spans="23:23" ht="26.4">
      <c r="W2634" s="64" ph="1"/>
    </row>
    <row r="2635" spans="23:23" ht="26.4">
      <c r="W2635" s="64" ph="1"/>
    </row>
    <row r="2636" spans="23:23" ht="26.4">
      <c r="W2636" s="64" ph="1"/>
    </row>
    <row r="2637" spans="23:23" ht="26.4">
      <c r="W2637" s="64" ph="1"/>
    </row>
    <row r="2638" spans="23:23" ht="26.4">
      <c r="W2638" s="64" ph="1"/>
    </row>
    <row r="2639" spans="23:23" ht="26.4">
      <c r="W2639" s="64" ph="1"/>
    </row>
    <row r="2640" spans="23:23" ht="26.4">
      <c r="W2640" s="64" ph="1"/>
    </row>
    <row r="2641" spans="23:23" ht="26.4">
      <c r="W2641" s="64" ph="1"/>
    </row>
    <row r="2642" spans="23:23" ht="26.4">
      <c r="W2642" s="64" ph="1"/>
    </row>
    <row r="2643" spans="23:23" ht="26.4">
      <c r="W2643" s="64" ph="1"/>
    </row>
    <row r="2644" spans="23:23" ht="26.4">
      <c r="W2644" s="64" ph="1"/>
    </row>
    <row r="2645" spans="23:23" ht="26.4">
      <c r="W2645" s="64" ph="1"/>
    </row>
    <row r="2646" spans="23:23" ht="26.4">
      <c r="W2646" s="64" ph="1"/>
    </row>
    <row r="2647" spans="23:23" ht="26.4">
      <c r="W2647" s="64" ph="1"/>
    </row>
    <row r="2648" spans="23:23" ht="26.4">
      <c r="W2648" s="64" ph="1"/>
    </row>
    <row r="2649" spans="23:23" ht="26.4">
      <c r="W2649" s="64" ph="1"/>
    </row>
    <row r="2650" spans="23:23" ht="26.4">
      <c r="W2650" s="64" ph="1"/>
    </row>
    <row r="2651" spans="23:23" ht="26.4">
      <c r="W2651" s="64" ph="1"/>
    </row>
    <row r="2652" spans="23:23" ht="26.4">
      <c r="W2652" s="64" ph="1"/>
    </row>
    <row r="2653" spans="23:23" ht="26.4">
      <c r="W2653" s="64" ph="1"/>
    </row>
    <row r="2654" spans="23:23" ht="26.4">
      <c r="W2654" s="64" ph="1"/>
    </row>
    <row r="2655" spans="23:23" ht="26.4">
      <c r="W2655" s="64" ph="1"/>
    </row>
    <row r="2656" spans="23:23" ht="26.4">
      <c r="W2656" s="64" ph="1"/>
    </row>
    <row r="2657" spans="23:23" ht="26.4">
      <c r="W2657" s="64" ph="1"/>
    </row>
    <row r="2658" spans="23:23" ht="26.4">
      <c r="W2658" s="64" ph="1"/>
    </row>
    <row r="2659" spans="23:23" ht="26.4">
      <c r="W2659" s="64" ph="1"/>
    </row>
    <row r="2660" spans="23:23" ht="26.4">
      <c r="W2660" s="64" ph="1"/>
    </row>
    <row r="2661" spans="23:23" ht="26.4">
      <c r="W2661" s="64" ph="1"/>
    </row>
    <row r="2662" spans="23:23" ht="26.4">
      <c r="W2662" s="64" ph="1"/>
    </row>
    <row r="2663" spans="23:23" ht="26.4">
      <c r="W2663" s="64" ph="1"/>
    </row>
    <row r="2664" spans="23:23" ht="26.4">
      <c r="W2664" s="64" ph="1"/>
    </row>
    <row r="2665" spans="23:23" ht="26.4">
      <c r="W2665" s="64" ph="1"/>
    </row>
    <row r="2666" spans="23:23" ht="26.4">
      <c r="W2666" s="64" ph="1"/>
    </row>
    <row r="2667" spans="23:23" ht="26.4">
      <c r="W2667" s="64" ph="1"/>
    </row>
    <row r="2668" spans="23:23" ht="26.4">
      <c r="W2668" s="64" ph="1"/>
    </row>
    <row r="2669" spans="23:23" ht="26.4">
      <c r="W2669" s="64" ph="1"/>
    </row>
    <row r="2670" spans="23:23" ht="26.4">
      <c r="W2670" s="64" ph="1"/>
    </row>
    <row r="2671" spans="23:23" ht="26.4">
      <c r="W2671" s="64" ph="1"/>
    </row>
    <row r="2672" spans="23:23" ht="26.4">
      <c r="W2672" s="64" ph="1"/>
    </row>
    <row r="2673" spans="23:23" ht="26.4">
      <c r="W2673" s="64" ph="1"/>
    </row>
    <row r="2674" spans="23:23" ht="26.4">
      <c r="W2674" s="64" ph="1"/>
    </row>
    <row r="2675" spans="23:23" ht="26.4">
      <c r="W2675" s="64" ph="1"/>
    </row>
    <row r="2676" spans="23:23" ht="26.4">
      <c r="W2676" s="64" ph="1"/>
    </row>
    <row r="2677" spans="23:23" ht="26.4">
      <c r="W2677" s="64" ph="1"/>
    </row>
    <row r="2678" spans="23:23" ht="26.4">
      <c r="W2678" s="64" ph="1"/>
    </row>
    <row r="2679" spans="23:23" ht="26.4">
      <c r="W2679" s="64" ph="1"/>
    </row>
    <row r="2680" spans="23:23" ht="26.4">
      <c r="W2680" s="64" ph="1"/>
    </row>
    <row r="2681" spans="23:23" ht="26.4">
      <c r="W2681" s="64" ph="1"/>
    </row>
    <row r="2682" spans="23:23" ht="26.4">
      <c r="W2682" s="64" ph="1"/>
    </row>
    <row r="2683" spans="23:23" ht="26.4">
      <c r="W2683" s="64" ph="1"/>
    </row>
    <row r="2684" spans="23:23" ht="26.4">
      <c r="W2684" s="64" ph="1"/>
    </row>
    <row r="2685" spans="23:23" ht="26.4">
      <c r="W2685" s="64" ph="1"/>
    </row>
    <row r="2686" spans="23:23" ht="26.4">
      <c r="W2686" s="64" ph="1"/>
    </row>
    <row r="2687" spans="23:23" ht="26.4">
      <c r="W2687" s="64" ph="1"/>
    </row>
    <row r="2688" spans="23:23" ht="26.4">
      <c r="W2688" s="64" ph="1"/>
    </row>
    <row r="2689" spans="23:23" ht="26.4">
      <c r="W2689" s="64" ph="1"/>
    </row>
    <row r="2690" spans="23:23" ht="26.4">
      <c r="W2690" s="64" ph="1"/>
    </row>
    <row r="2691" spans="23:23" ht="26.4">
      <c r="W2691" s="64" ph="1"/>
    </row>
    <row r="2692" spans="23:23" ht="26.4">
      <c r="W2692" s="64" ph="1"/>
    </row>
    <row r="2693" spans="23:23" ht="26.4">
      <c r="W2693" s="64" ph="1"/>
    </row>
    <row r="2694" spans="23:23" ht="26.4">
      <c r="W2694" s="64" ph="1"/>
    </row>
    <row r="2695" spans="23:23" ht="26.4">
      <c r="W2695" s="64" ph="1"/>
    </row>
    <row r="2696" spans="23:23" ht="26.4">
      <c r="W2696" s="64" ph="1"/>
    </row>
    <row r="2697" spans="23:23" ht="26.4">
      <c r="W2697" s="64" ph="1"/>
    </row>
    <row r="2698" spans="23:23" ht="26.4">
      <c r="W2698" s="64" ph="1"/>
    </row>
    <row r="2699" spans="23:23" ht="26.4">
      <c r="W2699" s="64" ph="1"/>
    </row>
    <row r="2700" spans="23:23" ht="26.4">
      <c r="W2700" s="64" ph="1"/>
    </row>
    <row r="2701" spans="23:23" ht="26.4">
      <c r="W2701" s="64" ph="1"/>
    </row>
    <row r="2702" spans="23:23" ht="26.4">
      <c r="W2702" s="64" ph="1"/>
    </row>
    <row r="2703" spans="23:23" ht="26.4">
      <c r="W2703" s="64" ph="1"/>
    </row>
    <row r="2704" spans="23:23" ht="26.4">
      <c r="W2704" s="64" ph="1"/>
    </row>
    <row r="2705" spans="23:23" ht="26.4">
      <c r="W2705" s="64" ph="1"/>
    </row>
    <row r="2706" spans="23:23" ht="26.4">
      <c r="W2706" s="64" ph="1"/>
    </row>
    <row r="2707" spans="23:23" ht="26.4">
      <c r="W2707" s="64" ph="1"/>
    </row>
    <row r="2708" spans="23:23" ht="26.4">
      <c r="W2708" s="64" ph="1"/>
    </row>
    <row r="2709" spans="23:23" ht="26.4">
      <c r="W2709" s="64" ph="1"/>
    </row>
    <row r="2710" spans="23:23" ht="26.4">
      <c r="W2710" s="64" ph="1"/>
    </row>
    <row r="2711" spans="23:23" ht="26.4">
      <c r="W2711" s="64" ph="1"/>
    </row>
    <row r="2712" spans="23:23" ht="26.4">
      <c r="W2712" s="64" ph="1"/>
    </row>
    <row r="2713" spans="23:23" ht="26.4">
      <c r="W2713" s="64" ph="1"/>
    </row>
    <row r="2714" spans="23:23" ht="26.4">
      <c r="W2714" s="64" ph="1"/>
    </row>
    <row r="2715" spans="23:23" ht="26.4">
      <c r="W2715" s="64" ph="1"/>
    </row>
    <row r="2716" spans="23:23" ht="26.4">
      <c r="W2716" s="64" ph="1"/>
    </row>
    <row r="2717" spans="23:23" ht="26.4">
      <c r="W2717" s="64" ph="1"/>
    </row>
    <row r="2718" spans="23:23" ht="26.4">
      <c r="W2718" s="64" ph="1"/>
    </row>
    <row r="2719" spans="23:23" ht="26.4">
      <c r="W2719" s="64" ph="1"/>
    </row>
    <row r="2720" spans="23:23" ht="26.4">
      <c r="W2720" s="64" ph="1"/>
    </row>
    <row r="2721" spans="23:23" ht="26.4">
      <c r="W2721" s="64" ph="1"/>
    </row>
    <row r="2722" spans="23:23" ht="26.4">
      <c r="W2722" s="64" ph="1"/>
    </row>
    <row r="2723" spans="23:23" ht="26.4">
      <c r="W2723" s="64" ph="1"/>
    </row>
    <row r="2724" spans="23:23" ht="26.4">
      <c r="W2724" s="64" ph="1"/>
    </row>
    <row r="2725" spans="23:23" ht="26.4">
      <c r="W2725" s="64" ph="1"/>
    </row>
    <row r="2726" spans="23:23" ht="26.4">
      <c r="W2726" s="64" ph="1"/>
    </row>
    <row r="2727" spans="23:23" ht="26.4">
      <c r="W2727" s="64" ph="1"/>
    </row>
    <row r="2728" spans="23:23" ht="26.4">
      <c r="W2728" s="64" ph="1"/>
    </row>
    <row r="2729" spans="23:23" ht="26.4">
      <c r="W2729" s="64" ph="1"/>
    </row>
    <row r="2730" spans="23:23" ht="26.4">
      <c r="W2730" s="64" ph="1"/>
    </row>
    <row r="2731" spans="23:23" ht="26.4">
      <c r="W2731" s="64" ph="1"/>
    </row>
    <row r="2732" spans="23:23" ht="26.4">
      <c r="W2732" s="64" ph="1"/>
    </row>
    <row r="2733" spans="23:23" ht="26.4">
      <c r="W2733" s="64" ph="1"/>
    </row>
    <row r="2734" spans="23:23" ht="26.4">
      <c r="W2734" s="64" ph="1"/>
    </row>
    <row r="2735" spans="23:23" ht="26.4">
      <c r="W2735" s="64" ph="1"/>
    </row>
    <row r="2736" spans="23:23" ht="26.4">
      <c r="W2736" s="64" ph="1"/>
    </row>
    <row r="2737" spans="23:23" ht="26.4">
      <c r="W2737" s="64" ph="1"/>
    </row>
    <row r="2738" spans="23:23" ht="26.4">
      <c r="W2738" s="64" ph="1"/>
    </row>
    <row r="2739" spans="23:23" ht="26.4">
      <c r="W2739" s="64" ph="1"/>
    </row>
    <row r="2740" spans="23:23" ht="26.4">
      <c r="W2740" s="64" ph="1"/>
    </row>
    <row r="2741" spans="23:23" ht="26.4">
      <c r="W2741" s="64" ph="1"/>
    </row>
    <row r="2742" spans="23:23" ht="26.4">
      <c r="W2742" s="64" ph="1"/>
    </row>
    <row r="2743" spans="23:23" ht="26.4">
      <c r="W2743" s="64" ph="1"/>
    </row>
    <row r="2744" spans="23:23" ht="26.4">
      <c r="W2744" s="64" ph="1"/>
    </row>
    <row r="2745" spans="23:23" ht="26.4">
      <c r="W2745" s="64" ph="1"/>
    </row>
    <row r="2746" spans="23:23" ht="26.4">
      <c r="W2746" s="64" ph="1"/>
    </row>
    <row r="2747" spans="23:23" ht="26.4">
      <c r="W2747" s="64" ph="1"/>
    </row>
    <row r="2748" spans="23:23" ht="26.4">
      <c r="W2748" s="64" ph="1"/>
    </row>
    <row r="2749" spans="23:23" ht="26.4">
      <c r="W2749" s="64" ph="1"/>
    </row>
    <row r="2750" spans="23:23" ht="26.4">
      <c r="W2750" s="64" ph="1"/>
    </row>
    <row r="2751" spans="23:23" ht="26.4">
      <c r="W2751" s="64" ph="1"/>
    </row>
    <row r="2752" spans="23:23" ht="26.4">
      <c r="W2752" s="64" ph="1"/>
    </row>
    <row r="2753" spans="23:23" ht="26.4">
      <c r="W2753" s="64" ph="1"/>
    </row>
    <row r="2754" spans="23:23" ht="26.4">
      <c r="W2754" s="64" ph="1"/>
    </row>
    <row r="2755" spans="23:23" ht="26.4">
      <c r="W2755" s="64" ph="1"/>
    </row>
    <row r="2756" spans="23:23" ht="26.4">
      <c r="W2756" s="64" ph="1"/>
    </row>
    <row r="2757" spans="23:23" ht="26.4">
      <c r="W2757" s="64" ph="1"/>
    </row>
    <row r="2758" spans="23:23" ht="26.4">
      <c r="W2758" s="64" ph="1"/>
    </row>
    <row r="2759" spans="23:23" ht="26.4">
      <c r="W2759" s="64" ph="1"/>
    </row>
    <row r="2760" spans="23:23" ht="26.4">
      <c r="W2760" s="64" ph="1"/>
    </row>
    <row r="2761" spans="23:23" ht="26.4">
      <c r="W2761" s="64" ph="1"/>
    </row>
    <row r="2762" spans="23:23" ht="26.4">
      <c r="W2762" s="64" ph="1"/>
    </row>
    <row r="2763" spans="23:23" ht="26.4">
      <c r="W2763" s="64" ph="1"/>
    </row>
    <row r="2764" spans="23:23" ht="26.4">
      <c r="W2764" s="64" ph="1"/>
    </row>
    <row r="2765" spans="23:23" ht="26.4">
      <c r="W2765" s="64" ph="1"/>
    </row>
    <row r="2766" spans="23:23" ht="26.4">
      <c r="W2766" s="64" ph="1"/>
    </row>
    <row r="2767" spans="23:23" ht="26.4">
      <c r="W2767" s="64" ph="1"/>
    </row>
    <row r="2768" spans="23:23" ht="26.4">
      <c r="W2768" s="64" ph="1"/>
    </row>
    <row r="2769" spans="23:23" ht="26.4">
      <c r="W2769" s="64" ph="1"/>
    </row>
    <row r="2770" spans="23:23" ht="26.4">
      <c r="W2770" s="64" ph="1"/>
    </row>
    <row r="2771" spans="23:23" ht="26.4">
      <c r="W2771" s="64" ph="1"/>
    </row>
    <row r="2772" spans="23:23" ht="26.4">
      <c r="W2772" s="64" ph="1"/>
    </row>
    <row r="2773" spans="23:23" ht="26.4">
      <c r="W2773" s="64" ph="1"/>
    </row>
    <row r="2774" spans="23:23" ht="26.4">
      <c r="W2774" s="64" ph="1"/>
    </row>
    <row r="2775" spans="23:23" ht="26.4">
      <c r="W2775" s="64" ph="1"/>
    </row>
    <row r="2776" spans="23:23" ht="26.4">
      <c r="W2776" s="64" ph="1"/>
    </row>
    <row r="2777" spans="23:23" ht="26.4">
      <c r="W2777" s="64" ph="1"/>
    </row>
    <row r="2778" spans="23:23" ht="26.4">
      <c r="W2778" s="64" ph="1"/>
    </row>
    <row r="2779" spans="23:23" ht="26.4">
      <c r="W2779" s="64" ph="1"/>
    </row>
    <row r="2780" spans="23:23" ht="26.4">
      <c r="W2780" s="64" ph="1"/>
    </row>
    <row r="2781" spans="23:23" ht="26.4">
      <c r="W2781" s="64" ph="1"/>
    </row>
    <row r="2782" spans="23:23" ht="26.4">
      <c r="W2782" s="64" ph="1"/>
    </row>
    <row r="2783" spans="23:23" ht="26.4">
      <c r="W2783" s="64" ph="1"/>
    </row>
    <row r="2784" spans="23:23" ht="26.4">
      <c r="W2784" s="64" ph="1"/>
    </row>
    <row r="2785" spans="23:23" ht="26.4">
      <c r="W2785" s="64" ph="1"/>
    </row>
    <row r="2786" spans="23:23" ht="26.4">
      <c r="W2786" s="64" ph="1"/>
    </row>
    <row r="2787" spans="23:23" ht="26.4">
      <c r="W2787" s="64" ph="1"/>
    </row>
    <row r="2788" spans="23:23" ht="26.4">
      <c r="W2788" s="64" ph="1"/>
    </row>
    <row r="2789" spans="23:23" ht="26.4">
      <c r="W2789" s="64" ph="1"/>
    </row>
    <row r="2790" spans="23:23" ht="26.4">
      <c r="W2790" s="64" ph="1"/>
    </row>
    <row r="2791" spans="23:23" ht="26.4">
      <c r="W2791" s="64" ph="1"/>
    </row>
    <row r="2792" spans="23:23" ht="26.4">
      <c r="W2792" s="64" ph="1"/>
    </row>
    <row r="2793" spans="23:23" ht="26.4">
      <c r="W2793" s="64" ph="1"/>
    </row>
    <row r="2794" spans="23:23" ht="26.4">
      <c r="W2794" s="64" ph="1"/>
    </row>
    <row r="2795" spans="23:23" ht="26.4">
      <c r="W2795" s="64" ph="1"/>
    </row>
    <row r="2796" spans="23:23" ht="26.4">
      <c r="W2796" s="64" ph="1"/>
    </row>
    <row r="2797" spans="23:23" ht="26.4">
      <c r="W2797" s="64" ph="1"/>
    </row>
    <row r="2798" spans="23:23" ht="26.4">
      <c r="W2798" s="64" ph="1"/>
    </row>
    <row r="2799" spans="23:23" ht="26.4">
      <c r="W2799" s="64" ph="1"/>
    </row>
    <row r="2800" spans="23:23" ht="26.4">
      <c r="W2800" s="64" ph="1"/>
    </row>
    <row r="2801" spans="23:23" ht="26.4">
      <c r="W2801" s="64" ph="1"/>
    </row>
    <row r="2802" spans="23:23" ht="26.4">
      <c r="W2802" s="64" ph="1"/>
    </row>
    <row r="2803" spans="23:23" ht="26.4">
      <c r="W2803" s="64" ph="1"/>
    </row>
    <row r="2804" spans="23:23" ht="26.4">
      <c r="W2804" s="64" ph="1"/>
    </row>
    <row r="2805" spans="23:23" ht="26.4">
      <c r="W2805" s="64" ph="1"/>
    </row>
    <row r="2806" spans="23:23" ht="26.4">
      <c r="W2806" s="64" ph="1"/>
    </row>
    <row r="2807" spans="23:23" ht="26.4">
      <c r="W2807" s="64" ph="1"/>
    </row>
    <row r="2808" spans="23:23" ht="26.4">
      <c r="W2808" s="64" ph="1"/>
    </row>
    <row r="2809" spans="23:23" ht="26.4">
      <c r="W2809" s="64" ph="1"/>
    </row>
    <row r="2810" spans="23:23" ht="26.4">
      <c r="W2810" s="64" ph="1"/>
    </row>
    <row r="2811" spans="23:23" ht="26.4">
      <c r="W2811" s="64" ph="1"/>
    </row>
    <row r="2812" spans="23:23" ht="26.4">
      <c r="W2812" s="64" ph="1"/>
    </row>
    <row r="2813" spans="23:23" ht="26.4">
      <c r="W2813" s="64" ph="1"/>
    </row>
    <row r="2814" spans="23:23" ht="26.4">
      <c r="W2814" s="64" ph="1"/>
    </row>
    <row r="2815" spans="23:23" ht="26.4">
      <c r="W2815" s="64" ph="1"/>
    </row>
    <row r="2816" spans="23:23" ht="26.4">
      <c r="W2816" s="64" ph="1"/>
    </row>
    <row r="2817" spans="23:23" ht="26.4">
      <c r="W2817" s="64" ph="1"/>
    </row>
    <row r="2818" spans="23:23" ht="26.4">
      <c r="W2818" s="64" ph="1"/>
    </row>
    <row r="2819" spans="23:23" ht="26.4">
      <c r="W2819" s="64" ph="1"/>
    </row>
    <row r="2820" spans="23:23" ht="26.4">
      <c r="W2820" s="64" ph="1"/>
    </row>
    <row r="2821" spans="23:23" ht="26.4">
      <c r="W2821" s="64" ph="1"/>
    </row>
    <row r="2822" spans="23:23" ht="26.4">
      <c r="W2822" s="64" ph="1"/>
    </row>
    <row r="2823" spans="23:23" ht="26.4">
      <c r="W2823" s="64" ph="1"/>
    </row>
    <row r="2824" spans="23:23" ht="26.4">
      <c r="W2824" s="64" ph="1"/>
    </row>
    <row r="2825" spans="23:23" ht="26.4">
      <c r="W2825" s="64" ph="1"/>
    </row>
    <row r="2826" spans="23:23" ht="26.4">
      <c r="W2826" s="64" ph="1"/>
    </row>
    <row r="2827" spans="23:23" ht="26.4">
      <c r="W2827" s="64" ph="1"/>
    </row>
    <row r="2828" spans="23:23" ht="26.4">
      <c r="W2828" s="64" ph="1"/>
    </row>
    <row r="2829" spans="23:23" ht="26.4">
      <c r="W2829" s="64" ph="1"/>
    </row>
    <row r="2830" spans="23:23" ht="26.4">
      <c r="W2830" s="64" ph="1"/>
    </row>
    <row r="2831" spans="23:23" ht="26.4">
      <c r="W2831" s="64" ph="1"/>
    </row>
    <row r="2832" spans="23:23" ht="26.4">
      <c r="W2832" s="64" ph="1"/>
    </row>
    <row r="2833" spans="23:23" ht="26.4">
      <c r="W2833" s="64" ph="1"/>
    </row>
    <row r="2834" spans="23:23" ht="26.4">
      <c r="W2834" s="64" ph="1"/>
    </row>
    <row r="2835" spans="23:23" ht="26.4">
      <c r="W2835" s="64" ph="1"/>
    </row>
    <row r="2836" spans="23:23" ht="26.4">
      <c r="W2836" s="64" ph="1"/>
    </row>
    <row r="2837" spans="23:23" ht="26.4">
      <c r="W2837" s="64" ph="1"/>
    </row>
    <row r="2838" spans="23:23" ht="26.4">
      <c r="W2838" s="64" ph="1"/>
    </row>
    <row r="2839" spans="23:23" ht="26.4">
      <c r="W2839" s="64" ph="1"/>
    </row>
    <row r="2840" spans="23:23" ht="26.4">
      <c r="W2840" s="64" ph="1"/>
    </row>
    <row r="2841" spans="23:23" ht="26.4">
      <c r="W2841" s="64" ph="1"/>
    </row>
    <row r="2842" spans="23:23" ht="26.4">
      <c r="W2842" s="64" ph="1"/>
    </row>
    <row r="2843" spans="23:23" ht="26.4">
      <c r="W2843" s="64" ph="1"/>
    </row>
    <row r="2844" spans="23:23" ht="26.4">
      <c r="W2844" s="64" ph="1"/>
    </row>
    <row r="2845" spans="23:23" ht="26.4">
      <c r="W2845" s="64" ph="1"/>
    </row>
    <row r="2846" spans="23:23" ht="26.4">
      <c r="W2846" s="64" ph="1"/>
    </row>
    <row r="2847" spans="23:23" ht="26.4">
      <c r="W2847" s="64" ph="1"/>
    </row>
    <row r="2848" spans="23:23" ht="26.4">
      <c r="W2848" s="64" ph="1"/>
    </row>
    <row r="2849" spans="23:23" ht="26.4">
      <c r="W2849" s="64" ph="1"/>
    </row>
    <row r="2850" spans="23:23" ht="26.4">
      <c r="W2850" s="64" ph="1"/>
    </row>
    <row r="2851" spans="23:23" ht="26.4">
      <c r="W2851" s="64" ph="1"/>
    </row>
    <row r="2852" spans="23:23" ht="26.4">
      <c r="W2852" s="64" ph="1"/>
    </row>
    <row r="2853" spans="23:23" ht="26.4">
      <c r="W2853" s="64" ph="1"/>
    </row>
    <row r="2854" spans="23:23" ht="26.4">
      <c r="W2854" s="64" ph="1"/>
    </row>
    <row r="2855" spans="23:23" ht="26.4">
      <c r="W2855" s="64" ph="1"/>
    </row>
    <row r="2856" spans="23:23" ht="26.4">
      <c r="W2856" s="64" ph="1"/>
    </row>
    <row r="2857" spans="23:23" ht="26.4">
      <c r="W2857" s="64" ph="1"/>
    </row>
    <row r="2858" spans="23:23" ht="26.4">
      <c r="W2858" s="64" ph="1"/>
    </row>
    <row r="2859" spans="23:23" ht="26.4">
      <c r="W2859" s="64" ph="1"/>
    </row>
    <row r="2860" spans="23:23" ht="26.4">
      <c r="W2860" s="64" ph="1"/>
    </row>
    <row r="2861" spans="23:23" ht="26.4">
      <c r="W2861" s="64" ph="1"/>
    </row>
    <row r="2862" spans="23:23" ht="26.4">
      <c r="W2862" s="64" ph="1"/>
    </row>
    <row r="2863" spans="23:23" ht="26.4">
      <c r="W2863" s="64" ph="1"/>
    </row>
    <row r="2864" spans="23:23" ht="26.4">
      <c r="W2864" s="64" ph="1"/>
    </row>
    <row r="2865" spans="23:23" ht="26.4">
      <c r="W2865" s="64" ph="1"/>
    </row>
    <row r="2866" spans="23:23" ht="26.4">
      <c r="W2866" s="64" ph="1"/>
    </row>
    <row r="2867" spans="23:23" ht="26.4">
      <c r="W2867" s="64" ph="1"/>
    </row>
    <row r="2868" spans="23:23" ht="26.4">
      <c r="W2868" s="64" ph="1"/>
    </row>
    <row r="2869" spans="23:23" ht="26.4">
      <c r="W2869" s="64" ph="1"/>
    </row>
    <row r="2870" spans="23:23" ht="26.4">
      <c r="W2870" s="64" ph="1"/>
    </row>
    <row r="2871" spans="23:23" ht="26.4">
      <c r="W2871" s="64" ph="1"/>
    </row>
    <row r="2872" spans="23:23" ht="26.4">
      <c r="W2872" s="64" ph="1"/>
    </row>
    <row r="2873" spans="23:23" ht="26.4">
      <c r="W2873" s="64" ph="1"/>
    </row>
    <row r="2874" spans="23:23" ht="26.4">
      <c r="W2874" s="64" ph="1"/>
    </row>
    <row r="2875" spans="23:23" ht="26.4">
      <c r="W2875" s="64" ph="1"/>
    </row>
    <row r="2876" spans="23:23" ht="26.4">
      <c r="W2876" s="64" ph="1"/>
    </row>
    <row r="2877" spans="23:23" ht="26.4">
      <c r="W2877" s="64" ph="1"/>
    </row>
    <row r="2878" spans="23:23" ht="26.4">
      <c r="W2878" s="64" ph="1"/>
    </row>
    <row r="2879" spans="23:23" ht="26.4">
      <c r="W2879" s="64" ph="1"/>
    </row>
    <row r="2880" spans="23:23" ht="26.4">
      <c r="W2880" s="64" ph="1"/>
    </row>
    <row r="2881" spans="23:23" ht="26.4">
      <c r="W2881" s="64" ph="1"/>
    </row>
    <row r="2882" spans="23:23" ht="26.4">
      <c r="W2882" s="64" ph="1"/>
    </row>
    <row r="2883" spans="23:23" ht="26.4">
      <c r="W2883" s="64" ph="1"/>
    </row>
    <row r="2884" spans="23:23" ht="26.4">
      <c r="W2884" s="64" ph="1"/>
    </row>
    <row r="2885" spans="23:23" ht="26.4">
      <c r="W2885" s="64" ph="1"/>
    </row>
    <row r="2886" spans="23:23" ht="26.4">
      <c r="W2886" s="64" ph="1"/>
    </row>
    <row r="2887" spans="23:23" ht="26.4">
      <c r="W2887" s="64" ph="1"/>
    </row>
    <row r="2888" spans="23:23" ht="26.4">
      <c r="W2888" s="64" ph="1"/>
    </row>
    <row r="2889" spans="23:23" ht="26.4">
      <c r="W2889" s="64" ph="1"/>
    </row>
    <row r="2890" spans="23:23" ht="26.4">
      <c r="W2890" s="64" ph="1"/>
    </row>
    <row r="2891" spans="23:23" ht="26.4">
      <c r="W2891" s="64" ph="1"/>
    </row>
    <row r="2892" spans="23:23" ht="26.4">
      <c r="W2892" s="64" ph="1"/>
    </row>
    <row r="2893" spans="23:23" ht="26.4">
      <c r="W2893" s="64" ph="1"/>
    </row>
    <row r="2894" spans="23:23" ht="26.4">
      <c r="W2894" s="64" ph="1"/>
    </row>
    <row r="2895" spans="23:23" ht="26.4">
      <c r="W2895" s="64" ph="1"/>
    </row>
    <row r="2896" spans="23:23" ht="26.4">
      <c r="W2896" s="64" ph="1"/>
    </row>
    <row r="2897" spans="23:23" ht="26.4">
      <c r="W2897" s="64" ph="1"/>
    </row>
    <row r="2898" spans="23:23" ht="26.4">
      <c r="W2898" s="64" ph="1"/>
    </row>
    <row r="2899" spans="23:23" ht="26.4">
      <c r="W2899" s="64" ph="1"/>
    </row>
    <row r="2900" spans="23:23" ht="26.4">
      <c r="W2900" s="64" ph="1"/>
    </row>
    <row r="2901" spans="23:23" ht="26.4">
      <c r="W2901" s="64" ph="1"/>
    </row>
    <row r="2902" spans="23:23" ht="26.4">
      <c r="W2902" s="64" ph="1"/>
    </row>
    <row r="2903" spans="23:23" ht="26.4">
      <c r="W2903" s="64" ph="1"/>
    </row>
    <row r="2904" spans="23:23" ht="26.4">
      <c r="W2904" s="64" ph="1"/>
    </row>
    <row r="2905" spans="23:23" ht="26.4">
      <c r="W2905" s="64" ph="1"/>
    </row>
    <row r="2906" spans="23:23" ht="26.4">
      <c r="W2906" s="64" ph="1"/>
    </row>
    <row r="2907" spans="23:23" ht="26.4">
      <c r="W2907" s="64" ph="1"/>
    </row>
    <row r="2908" spans="23:23" ht="26.4">
      <c r="W2908" s="64" ph="1"/>
    </row>
    <row r="2909" spans="23:23" ht="26.4">
      <c r="W2909" s="64" ph="1"/>
    </row>
    <row r="2910" spans="23:23" ht="26.4">
      <c r="W2910" s="64" ph="1"/>
    </row>
    <row r="2911" spans="23:23" ht="26.4">
      <c r="W2911" s="64" ph="1"/>
    </row>
    <row r="2912" spans="23:23" ht="26.4">
      <c r="W2912" s="64" ph="1"/>
    </row>
    <row r="2913" spans="23:23" ht="26.4">
      <c r="W2913" s="64" ph="1"/>
    </row>
    <row r="2914" spans="23:23" ht="26.4">
      <c r="W2914" s="64" ph="1"/>
    </row>
    <row r="2915" spans="23:23" ht="26.4">
      <c r="W2915" s="64" ph="1"/>
    </row>
    <row r="2916" spans="23:23" ht="26.4">
      <c r="W2916" s="64" ph="1"/>
    </row>
    <row r="2917" spans="23:23" ht="26.4">
      <c r="W2917" s="64" ph="1"/>
    </row>
    <row r="2918" spans="23:23" ht="26.4">
      <c r="W2918" s="64" ph="1"/>
    </row>
    <row r="2919" spans="23:23" ht="26.4">
      <c r="W2919" s="64" ph="1"/>
    </row>
    <row r="2920" spans="23:23" ht="26.4">
      <c r="W2920" s="64" ph="1"/>
    </row>
    <row r="2921" spans="23:23" ht="26.4">
      <c r="W2921" s="64" ph="1"/>
    </row>
    <row r="2922" spans="23:23" ht="26.4">
      <c r="W2922" s="64" ph="1"/>
    </row>
    <row r="2923" spans="23:23" ht="26.4">
      <c r="W2923" s="64" ph="1"/>
    </row>
    <row r="2924" spans="23:23" ht="26.4">
      <c r="W2924" s="64" ph="1"/>
    </row>
    <row r="2925" spans="23:23" ht="26.4">
      <c r="W2925" s="64" ph="1"/>
    </row>
    <row r="2926" spans="23:23" ht="26.4">
      <c r="W2926" s="64" ph="1"/>
    </row>
    <row r="2927" spans="23:23" ht="26.4">
      <c r="W2927" s="64" ph="1"/>
    </row>
    <row r="2928" spans="23:23" ht="26.4">
      <c r="W2928" s="64" ph="1"/>
    </row>
    <row r="2929" spans="23:23" ht="26.4">
      <c r="W2929" s="64" ph="1"/>
    </row>
    <row r="2930" spans="23:23" ht="26.4">
      <c r="W2930" s="64" ph="1"/>
    </row>
    <row r="2931" spans="23:23" ht="26.4">
      <c r="W2931" s="64" ph="1"/>
    </row>
    <row r="2932" spans="23:23" ht="26.4">
      <c r="W2932" s="64" ph="1"/>
    </row>
    <row r="2933" spans="23:23" ht="26.4">
      <c r="W2933" s="64" ph="1"/>
    </row>
    <row r="2934" spans="23:23" ht="26.4">
      <c r="W2934" s="64" ph="1"/>
    </row>
    <row r="2935" spans="23:23" ht="26.4">
      <c r="W2935" s="64" ph="1"/>
    </row>
    <row r="2936" spans="23:23" ht="26.4">
      <c r="W2936" s="64" ph="1"/>
    </row>
    <row r="2937" spans="23:23" ht="26.4">
      <c r="W2937" s="64" ph="1"/>
    </row>
    <row r="2938" spans="23:23" ht="26.4">
      <c r="W2938" s="64" ph="1"/>
    </row>
    <row r="2939" spans="23:23" ht="26.4">
      <c r="W2939" s="64" ph="1"/>
    </row>
    <row r="2940" spans="23:23" ht="26.4">
      <c r="W2940" s="64" ph="1"/>
    </row>
    <row r="2941" spans="23:23" ht="26.4">
      <c r="W2941" s="64" ph="1"/>
    </row>
    <row r="2942" spans="23:23" ht="26.4">
      <c r="W2942" s="64" ph="1"/>
    </row>
    <row r="2943" spans="23:23" ht="26.4">
      <c r="W2943" s="64" ph="1"/>
    </row>
    <row r="2944" spans="23:23" ht="26.4">
      <c r="W2944" s="64" ph="1"/>
    </row>
    <row r="2945" spans="23:23" ht="26.4">
      <c r="W2945" s="64" ph="1"/>
    </row>
    <row r="2946" spans="23:23" ht="26.4">
      <c r="W2946" s="64" ph="1"/>
    </row>
    <row r="2947" spans="23:23" ht="26.4">
      <c r="W2947" s="64" ph="1"/>
    </row>
    <row r="2948" spans="23:23" ht="26.4">
      <c r="W2948" s="64" ph="1"/>
    </row>
    <row r="2949" spans="23:23" ht="26.4">
      <c r="W2949" s="64" ph="1"/>
    </row>
    <row r="2950" spans="23:23" ht="26.4">
      <c r="W2950" s="64" ph="1"/>
    </row>
    <row r="2951" spans="23:23" ht="26.4">
      <c r="W2951" s="64" ph="1"/>
    </row>
    <row r="2952" spans="23:23" ht="26.4">
      <c r="W2952" s="64" ph="1"/>
    </row>
    <row r="2953" spans="23:23" ht="26.4">
      <c r="W2953" s="64" ph="1"/>
    </row>
    <row r="2954" spans="23:23" ht="26.4">
      <c r="W2954" s="64" ph="1"/>
    </row>
    <row r="2955" spans="23:23" ht="26.4">
      <c r="W2955" s="64" ph="1"/>
    </row>
    <row r="2956" spans="23:23" ht="26.4">
      <c r="W2956" s="64" ph="1"/>
    </row>
    <row r="2957" spans="23:23" ht="26.4">
      <c r="W2957" s="64" ph="1"/>
    </row>
    <row r="2958" spans="23:23" ht="26.4">
      <c r="W2958" s="64" ph="1"/>
    </row>
    <row r="2959" spans="23:23" ht="26.4">
      <c r="W2959" s="64" ph="1"/>
    </row>
    <row r="2960" spans="23:23" ht="26.4">
      <c r="W2960" s="64" ph="1"/>
    </row>
    <row r="2961" spans="23:23" ht="26.4">
      <c r="W2961" s="64" ph="1"/>
    </row>
    <row r="2962" spans="23:23" ht="26.4">
      <c r="W2962" s="64" ph="1"/>
    </row>
    <row r="2963" spans="23:23" ht="26.4">
      <c r="W2963" s="64" ph="1"/>
    </row>
    <row r="2964" spans="23:23" ht="26.4">
      <c r="W2964" s="64" ph="1"/>
    </row>
    <row r="2965" spans="23:23" ht="26.4">
      <c r="W2965" s="64" ph="1"/>
    </row>
    <row r="2966" spans="23:23" ht="26.4">
      <c r="W2966" s="64" ph="1"/>
    </row>
    <row r="2967" spans="23:23" ht="26.4">
      <c r="W2967" s="64" ph="1"/>
    </row>
    <row r="2968" spans="23:23" ht="26.4">
      <c r="W2968" s="64" ph="1"/>
    </row>
    <row r="2969" spans="23:23" ht="26.4">
      <c r="W2969" s="64" ph="1"/>
    </row>
    <row r="2970" spans="23:23" ht="26.4">
      <c r="W2970" s="64" ph="1"/>
    </row>
    <row r="2971" spans="23:23" ht="26.4">
      <c r="W2971" s="64" ph="1"/>
    </row>
    <row r="2972" spans="23:23" ht="26.4">
      <c r="W2972" s="64" ph="1"/>
    </row>
    <row r="2973" spans="23:23" ht="26.4">
      <c r="W2973" s="64" ph="1"/>
    </row>
    <row r="2974" spans="23:23" ht="26.4">
      <c r="W2974" s="64" ph="1"/>
    </row>
    <row r="2975" spans="23:23" ht="26.4">
      <c r="W2975" s="64" ph="1"/>
    </row>
    <row r="2976" spans="23:23" ht="26.4">
      <c r="W2976" s="64" ph="1"/>
    </row>
    <row r="2977" spans="23:23" ht="26.4">
      <c r="W2977" s="64" ph="1"/>
    </row>
    <row r="2978" spans="23:23" ht="26.4">
      <c r="W2978" s="64" ph="1"/>
    </row>
    <row r="2979" spans="23:23" ht="26.4">
      <c r="W2979" s="64" ph="1"/>
    </row>
    <row r="2980" spans="23:23" ht="26.4">
      <c r="W2980" s="64" ph="1"/>
    </row>
    <row r="2981" spans="23:23" ht="26.4">
      <c r="W2981" s="64" ph="1"/>
    </row>
    <row r="2982" spans="23:23" ht="26.4">
      <c r="W2982" s="64" ph="1"/>
    </row>
    <row r="2983" spans="23:23" ht="26.4">
      <c r="W2983" s="64" ph="1"/>
    </row>
    <row r="2984" spans="23:23" ht="26.4">
      <c r="W2984" s="64" ph="1"/>
    </row>
    <row r="2985" spans="23:23" ht="26.4">
      <c r="W2985" s="64" ph="1"/>
    </row>
    <row r="2986" spans="23:23" ht="26.4">
      <c r="W2986" s="64" ph="1"/>
    </row>
    <row r="2987" spans="23:23" ht="26.4">
      <c r="W2987" s="64" ph="1"/>
    </row>
    <row r="2988" spans="23:23" ht="26.4">
      <c r="W2988" s="64" ph="1"/>
    </row>
    <row r="2989" spans="23:23" ht="26.4">
      <c r="W2989" s="64" ph="1"/>
    </row>
    <row r="2990" spans="23:23" ht="26.4">
      <c r="W2990" s="64" ph="1"/>
    </row>
    <row r="2991" spans="23:23" ht="26.4">
      <c r="W2991" s="64" ph="1"/>
    </row>
    <row r="2992" spans="23:23" ht="26.4">
      <c r="W2992" s="64" ph="1"/>
    </row>
    <row r="2993" spans="23:23" ht="26.4">
      <c r="W2993" s="64" ph="1"/>
    </row>
    <row r="2994" spans="23:23" ht="26.4">
      <c r="W2994" s="64" ph="1"/>
    </row>
    <row r="2995" spans="23:23" ht="26.4">
      <c r="W2995" s="64" ph="1"/>
    </row>
    <row r="2996" spans="23:23" ht="26.4">
      <c r="W2996" s="64" ph="1"/>
    </row>
    <row r="2997" spans="23:23" ht="26.4">
      <c r="W2997" s="64" ph="1"/>
    </row>
    <row r="2998" spans="23:23" ht="26.4">
      <c r="W2998" s="64" ph="1"/>
    </row>
    <row r="2999" spans="23:23" ht="26.4">
      <c r="W2999" s="64" ph="1"/>
    </row>
    <row r="3000" spans="23:23" ht="26.4">
      <c r="W3000" s="64" ph="1"/>
    </row>
    <row r="3001" spans="23:23" ht="26.4">
      <c r="W3001" s="64" ph="1"/>
    </row>
    <row r="3002" spans="23:23" ht="26.4">
      <c r="W3002" s="64" ph="1"/>
    </row>
    <row r="3003" spans="23:23" ht="26.4">
      <c r="W3003" s="64" ph="1"/>
    </row>
    <row r="3004" spans="23:23" ht="26.4">
      <c r="W3004" s="64" ph="1"/>
    </row>
    <row r="3005" spans="23:23" ht="26.4">
      <c r="W3005" s="64" ph="1"/>
    </row>
    <row r="3006" spans="23:23" ht="26.4">
      <c r="W3006" s="64" ph="1"/>
    </row>
    <row r="3007" spans="23:23" ht="26.4">
      <c r="W3007" s="64" ph="1"/>
    </row>
    <row r="3008" spans="23:23" ht="26.4">
      <c r="W3008" s="64" ph="1"/>
    </row>
    <row r="3009" spans="23:23" ht="26.4">
      <c r="W3009" s="64" ph="1"/>
    </row>
    <row r="3010" spans="23:23" ht="26.4">
      <c r="W3010" s="64" ph="1"/>
    </row>
    <row r="3011" spans="23:23" ht="26.4">
      <c r="W3011" s="64" ph="1"/>
    </row>
    <row r="3012" spans="23:23" ht="26.4">
      <c r="W3012" s="64" ph="1"/>
    </row>
    <row r="3013" spans="23:23" ht="26.4">
      <c r="W3013" s="64" ph="1"/>
    </row>
    <row r="3014" spans="23:23" ht="26.4">
      <c r="W3014" s="64" ph="1"/>
    </row>
    <row r="3015" spans="23:23" ht="26.4">
      <c r="W3015" s="64" ph="1"/>
    </row>
    <row r="3016" spans="23:23" ht="26.4">
      <c r="W3016" s="64" ph="1"/>
    </row>
    <row r="3017" spans="23:23" ht="26.4">
      <c r="W3017" s="64" ph="1"/>
    </row>
    <row r="3018" spans="23:23" ht="26.4">
      <c r="W3018" s="64" ph="1"/>
    </row>
    <row r="3019" spans="23:23" ht="26.4">
      <c r="W3019" s="64" ph="1"/>
    </row>
    <row r="3020" spans="23:23" ht="26.4">
      <c r="W3020" s="64" ph="1"/>
    </row>
    <row r="3021" spans="23:23" ht="26.4">
      <c r="W3021" s="64" ph="1"/>
    </row>
    <row r="3022" spans="23:23" ht="26.4">
      <c r="W3022" s="64" ph="1"/>
    </row>
    <row r="3023" spans="23:23" ht="26.4">
      <c r="W3023" s="64" ph="1"/>
    </row>
    <row r="3024" spans="23:23" ht="26.4">
      <c r="W3024" s="64" ph="1"/>
    </row>
    <row r="3025" spans="23:23" ht="26.4">
      <c r="W3025" s="64" ph="1"/>
    </row>
    <row r="3026" spans="23:23" ht="26.4">
      <c r="W3026" s="64" ph="1"/>
    </row>
    <row r="3027" spans="23:23" ht="26.4">
      <c r="W3027" s="64" ph="1"/>
    </row>
    <row r="3028" spans="23:23" ht="26.4">
      <c r="W3028" s="64" ph="1"/>
    </row>
    <row r="3029" spans="23:23" ht="26.4">
      <c r="W3029" s="64" ph="1"/>
    </row>
    <row r="3030" spans="23:23" ht="26.4">
      <c r="W3030" s="64" ph="1"/>
    </row>
    <row r="3031" spans="23:23" ht="26.4">
      <c r="W3031" s="64" ph="1"/>
    </row>
    <row r="3032" spans="23:23" ht="26.4">
      <c r="W3032" s="64" ph="1"/>
    </row>
    <row r="3033" spans="23:23" ht="26.4">
      <c r="W3033" s="64" ph="1"/>
    </row>
    <row r="3034" spans="23:23" ht="26.4">
      <c r="W3034" s="64" ph="1"/>
    </row>
    <row r="3035" spans="23:23" ht="26.4">
      <c r="W3035" s="64" ph="1"/>
    </row>
    <row r="3036" spans="23:23" ht="26.4">
      <c r="W3036" s="64" ph="1"/>
    </row>
    <row r="3037" spans="23:23" ht="26.4">
      <c r="W3037" s="64" ph="1"/>
    </row>
    <row r="3038" spans="23:23" ht="26.4">
      <c r="W3038" s="64" ph="1"/>
    </row>
    <row r="3039" spans="23:23" ht="26.4">
      <c r="W3039" s="64" ph="1"/>
    </row>
    <row r="3040" spans="23:23" ht="26.4">
      <c r="W3040" s="64" ph="1"/>
    </row>
    <row r="3041" spans="23:23" ht="26.4">
      <c r="W3041" s="64" ph="1"/>
    </row>
    <row r="3042" spans="23:23" ht="26.4">
      <c r="W3042" s="64" ph="1"/>
    </row>
    <row r="3043" spans="23:23" ht="26.4">
      <c r="W3043" s="64" ph="1"/>
    </row>
    <row r="3044" spans="23:23" ht="26.4">
      <c r="W3044" s="64" ph="1"/>
    </row>
    <row r="3045" spans="23:23" ht="26.4">
      <c r="W3045" s="64" ph="1"/>
    </row>
    <row r="3046" spans="23:23" ht="26.4">
      <c r="W3046" s="64" ph="1"/>
    </row>
    <row r="3047" spans="23:23" ht="26.4">
      <c r="W3047" s="64" ph="1"/>
    </row>
    <row r="3048" spans="23:23" ht="26.4">
      <c r="W3048" s="64" ph="1"/>
    </row>
    <row r="3049" spans="23:23" ht="26.4">
      <c r="W3049" s="64" ph="1"/>
    </row>
    <row r="3050" spans="23:23" ht="26.4">
      <c r="W3050" s="64" ph="1"/>
    </row>
    <row r="3051" spans="23:23" ht="26.4">
      <c r="W3051" s="64" ph="1"/>
    </row>
    <row r="3052" spans="23:23" ht="26.4">
      <c r="W3052" s="64" ph="1"/>
    </row>
    <row r="3053" spans="23:23" ht="26.4">
      <c r="W3053" s="64" ph="1"/>
    </row>
    <row r="3054" spans="23:23" ht="26.4">
      <c r="W3054" s="64" ph="1"/>
    </row>
    <row r="3055" spans="23:23" ht="26.4">
      <c r="W3055" s="64" ph="1"/>
    </row>
    <row r="3056" spans="23:23" ht="26.4">
      <c r="W3056" s="64" ph="1"/>
    </row>
    <row r="3057" spans="23:23" ht="26.4">
      <c r="W3057" s="64" ph="1"/>
    </row>
    <row r="3058" spans="23:23" ht="26.4">
      <c r="W3058" s="64" ph="1"/>
    </row>
    <row r="3059" spans="23:23" ht="26.4">
      <c r="W3059" s="64" ph="1"/>
    </row>
    <row r="3060" spans="23:23" ht="26.4">
      <c r="W3060" s="64" ph="1"/>
    </row>
    <row r="3061" spans="23:23" ht="26.4">
      <c r="W3061" s="64" ph="1"/>
    </row>
    <row r="3062" spans="23:23" ht="26.4">
      <c r="W3062" s="64" ph="1"/>
    </row>
    <row r="3063" spans="23:23" ht="26.4">
      <c r="W3063" s="64" ph="1"/>
    </row>
    <row r="3064" spans="23:23" ht="26.4">
      <c r="W3064" s="64" ph="1"/>
    </row>
    <row r="3065" spans="23:23" ht="26.4">
      <c r="W3065" s="64" ph="1"/>
    </row>
    <row r="3066" spans="23:23" ht="26.4">
      <c r="W3066" s="64" ph="1"/>
    </row>
    <row r="3067" spans="23:23" ht="26.4">
      <c r="W3067" s="64" ph="1"/>
    </row>
    <row r="3068" spans="23:23" ht="26.4">
      <c r="W3068" s="64" ph="1"/>
    </row>
    <row r="3069" spans="23:23" ht="26.4">
      <c r="W3069" s="64" ph="1"/>
    </row>
    <row r="3070" spans="23:23" ht="26.4">
      <c r="W3070" s="64" ph="1"/>
    </row>
    <row r="3071" spans="23:23" ht="26.4">
      <c r="W3071" s="64" ph="1"/>
    </row>
    <row r="3072" spans="23:23" ht="26.4">
      <c r="W3072" s="64" ph="1"/>
    </row>
    <row r="3073" spans="23:23" ht="26.4">
      <c r="W3073" s="64" ph="1"/>
    </row>
    <row r="3074" spans="23:23" ht="26.4">
      <c r="W3074" s="64" ph="1"/>
    </row>
    <row r="3075" spans="23:23" ht="26.4">
      <c r="W3075" s="64" ph="1"/>
    </row>
    <row r="3076" spans="23:23" ht="26.4">
      <c r="W3076" s="64" ph="1"/>
    </row>
    <row r="3077" spans="23:23" ht="26.4">
      <c r="W3077" s="64" ph="1"/>
    </row>
    <row r="3078" spans="23:23" ht="26.4">
      <c r="W3078" s="64" ph="1"/>
    </row>
    <row r="3079" spans="23:23" ht="26.4">
      <c r="W3079" s="64" ph="1"/>
    </row>
    <row r="3080" spans="23:23" ht="26.4">
      <c r="W3080" s="64" ph="1"/>
    </row>
    <row r="3081" spans="23:23" ht="26.4">
      <c r="W3081" s="64" ph="1"/>
    </row>
    <row r="3082" spans="23:23" ht="26.4">
      <c r="W3082" s="64" ph="1"/>
    </row>
    <row r="3083" spans="23:23" ht="26.4">
      <c r="W3083" s="64" ph="1"/>
    </row>
    <row r="3084" spans="23:23" ht="26.4">
      <c r="W3084" s="64" ph="1"/>
    </row>
    <row r="3085" spans="23:23" ht="26.4">
      <c r="W3085" s="64" ph="1"/>
    </row>
    <row r="3086" spans="23:23" ht="26.4">
      <c r="W3086" s="64" ph="1"/>
    </row>
    <row r="3087" spans="23:23" ht="26.4">
      <c r="W3087" s="64" ph="1"/>
    </row>
    <row r="3088" spans="23:23" ht="26.4">
      <c r="W3088" s="64" ph="1"/>
    </row>
    <row r="3089" spans="23:23" ht="26.4">
      <c r="W3089" s="64" ph="1"/>
    </row>
    <row r="3090" spans="23:23" ht="26.4">
      <c r="W3090" s="64" ph="1"/>
    </row>
    <row r="3091" spans="23:23" ht="26.4">
      <c r="W3091" s="64" ph="1"/>
    </row>
    <row r="3092" spans="23:23" ht="26.4">
      <c r="W3092" s="64" ph="1"/>
    </row>
    <row r="3093" spans="23:23" ht="26.4">
      <c r="W3093" s="64" ph="1"/>
    </row>
    <row r="3094" spans="23:23" ht="26.4">
      <c r="W3094" s="64" ph="1"/>
    </row>
    <row r="3095" spans="23:23" ht="26.4">
      <c r="W3095" s="64" ph="1"/>
    </row>
    <row r="3096" spans="23:23" ht="26.4">
      <c r="W3096" s="64" ph="1"/>
    </row>
    <row r="3097" spans="23:23" ht="26.4">
      <c r="W3097" s="64" ph="1"/>
    </row>
    <row r="3098" spans="23:23" ht="26.4">
      <c r="W3098" s="64" ph="1"/>
    </row>
    <row r="3099" spans="23:23" ht="26.4">
      <c r="W3099" s="64" ph="1"/>
    </row>
    <row r="3100" spans="23:23" ht="26.4">
      <c r="W3100" s="64" ph="1"/>
    </row>
    <row r="3101" spans="23:23" ht="26.4">
      <c r="W3101" s="64" ph="1"/>
    </row>
    <row r="3102" spans="23:23" ht="26.4">
      <c r="W3102" s="64" ph="1"/>
    </row>
    <row r="3103" spans="23:23" ht="26.4">
      <c r="W3103" s="64" ph="1"/>
    </row>
    <row r="3104" spans="23:23" ht="26.4">
      <c r="W3104" s="64" ph="1"/>
    </row>
    <row r="3105" spans="23:23" ht="26.4">
      <c r="W3105" s="64" ph="1"/>
    </row>
    <row r="3106" spans="23:23" ht="26.4">
      <c r="W3106" s="64" ph="1"/>
    </row>
    <row r="3107" spans="23:23" ht="26.4">
      <c r="W3107" s="64" ph="1"/>
    </row>
    <row r="3108" spans="23:23" ht="26.4">
      <c r="W3108" s="64" ph="1"/>
    </row>
    <row r="3109" spans="23:23" ht="26.4">
      <c r="W3109" s="64" ph="1"/>
    </row>
    <row r="3110" spans="23:23" ht="26.4">
      <c r="W3110" s="64" ph="1"/>
    </row>
    <row r="3111" spans="23:23" ht="26.4">
      <c r="W3111" s="64" ph="1"/>
    </row>
    <row r="3112" spans="23:23" ht="26.4">
      <c r="W3112" s="64" ph="1"/>
    </row>
    <row r="3113" spans="23:23" ht="26.4">
      <c r="W3113" s="64" ph="1"/>
    </row>
    <row r="3114" spans="23:23" ht="26.4">
      <c r="W3114" s="64" ph="1"/>
    </row>
    <row r="3115" spans="23:23" ht="26.4">
      <c r="W3115" s="64" ph="1"/>
    </row>
    <row r="3116" spans="23:23" ht="26.4">
      <c r="W3116" s="64" ph="1"/>
    </row>
    <row r="3117" spans="23:23" ht="26.4">
      <c r="W3117" s="64" ph="1"/>
    </row>
    <row r="3118" spans="23:23" ht="26.4">
      <c r="W3118" s="64" ph="1"/>
    </row>
    <row r="3119" spans="23:23" ht="26.4">
      <c r="W3119" s="64" ph="1"/>
    </row>
    <row r="3120" spans="23:23" ht="26.4">
      <c r="W3120" s="64" ph="1"/>
    </row>
    <row r="3121" spans="23:23" ht="26.4">
      <c r="W3121" s="64" ph="1"/>
    </row>
    <row r="3122" spans="23:23" ht="26.4">
      <c r="W3122" s="64" ph="1"/>
    </row>
    <row r="3123" spans="23:23" ht="26.4">
      <c r="W3123" s="64" ph="1"/>
    </row>
    <row r="3124" spans="23:23" ht="26.4">
      <c r="W3124" s="64" ph="1"/>
    </row>
    <row r="3125" spans="23:23" ht="26.4">
      <c r="W3125" s="64" ph="1"/>
    </row>
    <row r="3126" spans="23:23" ht="26.4">
      <c r="W3126" s="64" ph="1"/>
    </row>
    <row r="3127" spans="23:23" ht="26.4">
      <c r="W3127" s="64" ph="1"/>
    </row>
    <row r="3128" spans="23:23" ht="26.4">
      <c r="W3128" s="64" ph="1"/>
    </row>
    <row r="3129" spans="23:23" ht="26.4">
      <c r="W3129" s="64" ph="1"/>
    </row>
    <row r="3130" spans="23:23" ht="26.4">
      <c r="W3130" s="64" ph="1"/>
    </row>
    <row r="3131" spans="23:23" ht="26.4">
      <c r="W3131" s="64" ph="1"/>
    </row>
    <row r="3132" spans="23:23" ht="26.4">
      <c r="W3132" s="64" ph="1"/>
    </row>
    <row r="3133" spans="23:23" ht="26.4">
      <c r="W3133" s="64" ph="1"/>
    </row>
    <row r="3134" spans="23:23" ht="26.4">
      <c r="W3134" s="64" ph="1"/>
    </row>
    <row r="3135" spans="23:23" ht="26.4">
      <c r="W3135" s="64" ph="1"/>
    </row>
    <row r="3136" spans="23:23" ht="26.4">
      <c r="W3136" s="64" ph="1"/>
    </row>
    <row r="3137" spans="23:23" ht="26.4">
      <c r="W3137" s="64" ph="1"/>
    </row>
    <row r="3138" spans="23:23" ht="26.4">
      <c r="W3138" s="64" ph="1"/>
    </row>
    <row r="3139" spans="23:23" ht="26.4">
      <c r="W3139" s="64" ph="1"/>
    </row>
    <row r="3140" spans="23:23" ht="26.4">
      <c r="W3140" s="64" ph="1"/>
    </row>
    <row r="3141" spans="23:23" ht="26.4">
      <c r="W3141" s="64" ph="1"/>
    </row>
    <row r="3142" spans="23:23" ht="26.4">
      <c r="W3142" s="64" ph="1"/>
    </row>
    <row r="3143" spans="23:23" ht="26.4">
      <c r="W3143" s="64" ph="1"/>
    </row>
    <row r="3144" spans="23:23" ht="26.4">
      <c r="W3144" s="64" ph="1"/>
    </row>
    <row r="3145" spans="23:23" ht="26.4">
      <c r="W3145" s="64" ph="1"/>
    </row>
    <row r="3146" spans="23:23" ht="26.4">
      <c r="W3146" s="64" ph="1"/>
    </row>
    <row r="3147" spans="23:23" ht="26.4">
      <c r="W3147" s="64" ph="1"/>
    </row>
    <row r="3148" spans="23:23" ht="26.4">
      <c r="W3148" s="64" ph="1"/>
    </row>
    <row r="3149" spans="23:23" ht="26.4">
      <c r="W3149" s="64" ph="1"/>
    </row>
    <row r="3150" spans="23:23" ht="26.4">
      <c r="W3150" s="64" ph="1"/>
    </row>
    <row r="3151" spans="23:23" ht="26.4">
      <c r="W3151" s="64" ph="1"/>
    </row>
    <row r="3152" spans="23:23" ht="26.4">
      <c r="W3152" s="64" ph="1"/>
    </row>
    <row r="3153" spans="23:23" ht="26.4">
      <c r="W3153" s="64" ph="1"/>
    </row>
    <row r="3154" spans="23:23" ht="26.4">
      <c r="W3154" s="64" ph="1"/>
    </row>
    <row r="3155" spans="23:23" ht="26.4">
      <c r="W3155" s="64" ph="1"/>
    </row>
    <row r="3156" spans="23:23" ht="26.4">
      <c r="W3156" s="64" ph="1"/>
    </row>
    <row r="3157" spans="23:23" ht="26.4">
      <c r="W3157" s="64" ph="1"/>
    </row>
    <row r="3158" spans="23:23" ht="26.4">
      <c r="W3158" s="64" ph="1"/>
    </row>
    <row r="3159" spans="23:23" ht="26.4">
      <c r="W3159" s="64" ph="1"/>
    </row>
    <row r="3160" spans="23:23" ht="26.4">
      <c r="W3160" s="64" ph="1"/>
    </row>
    <row r="3161" spans="23:23" ht="26.4">
      <c r="W3161" s="64" ph="1"/>
    </row>
    <row r="3162" spans="23:23" ht="26.4">
      <c r="W3162" s="64" ph="1"/>
    </row>
    <row r="3163" spans="23:23" ht="26.4">
      <c r="W3163" s="64" ph="1"/>
    </row>
    <row r="3164" spans="23:23" ht="26.4">
      <c r="W3164" s="64" ph="1"/>
    </row>
    <row r="3165" spans="23:23" ht="26.4">
      <c r="W3165" s="64" ph="1"/>
    </row>
    <row r="3166" spans="23:23" ht="26.4">
      <c r="W3166" s="64" ph="1"/>
    </row>
    <row r="3167" spans="23:23" ht="26.4">
      <c r="W3167" s="64" ph="1"/>
    </row>
    <row r="3168" spans="23:23" ht="26.4">
      <c r="W3168" s="64" ph="1"/>
    </row>
    <row r="3169" spans="23:23" ht="26.4">
      <c r="W3169" s="64" ph="1"/>
    </row>
    <row r="3170" spans="23:23" ht="26.4">
      <c r="W3170" s="64" ph="1"/>
    </row>
    <row r="3171" spans="23:23" ht="26.4">
      <c r="W3171" s="64" ph="1"/>
    </row>
    <row r="3172" spans="23:23" ht="26.4">
      <c r="W3172" s="64" ph="1"/>
    </row>
    <row r="3173" spans="23:23" ht="26.4">
      <c r="W3173" s="64" ph="1"/>
    </row>
    <row r="3174" spans="23:23" ht="26.4">
      <c r="W3174" s="64" ph="1"/>
    </row>
    <row r="3175" spans="23:23" ht="26.4">
      <c r="W3175" s="64" ph="1"/>
    </row>
    <row r="3176" spans="23:23" ht="26.4">
      <c r="W3176" s="64" ph="1"/>
    </row>
    <row r="3177" spans="23:23" ht="26.4">
      <c r="W3177" s="64" ph="1"/>
    </row>
    <row r="3178" spans="23:23" ht="26.4">
      <c r="W3178" s="64" ph="1"/>
    </row>
    <row r="3179" spans="23:23" ht="26.4">
      <c r="W3179" s="64" ph="1"/>
    </row>
    <row r="3180" spans="23:23" ht="26.4">
      <c r="W3180" s="64" ph="1"/>
    </row>
    <row r="3181" spans="23:23" ht="26.4">
      <c r="W3181" s="64" ph="1"/>
    </row>
    <row r="3182" spans="23:23" ht="26.4">
      <c r="W3182" s="64" ph="1"/>
    </row>
    <row r="3183" spans="23:23" ht="26.4">
      <c r="W3183" s="64" ph="1"/>
    </row>
    <row r="3184" spans="23:23" ht="26.4">
      <c r="W3184" s="64" ph="1"/>
    </row>
    <row r="3185" spans="23:23" ht="26.4">
      <c r="W3185" s="64" ph="1"/>
    </row>
    <row r="3186" spans="23:23" ht="26.4">
      <c r="W3186" s="64" ph="1"/>
    </row>
    <row r="3187" spans="23:23" ht="26.4">
      <c r="W3187" s="64" ph="1"/>
    </row>
    <row r="3188" spans="23:23" ht="26.4">
      <c r="W3188" s="64" ph="1"/>
    </row>
    <row r="3189" spans="23:23" ht="26.4">
      <c r="W3189" s="64" ph="1"/>
    </row>
    <row r="3190" spans="23:23" ht="26.4">
      <c r="W3190" s="64" ph="1"/>
    </row>
    <row r="3191" spans="23:23" ht="26.4">
      <c r="W3191" s="64" ph="1"/>
    </row>
    <row r="3192" spans="23:23" ht="26.4">
      <c r="W3192" s="64" ph="1"/>
    </row>
    <row r="3193" spans="23:23" ht="26.4">
      <c r="W3193" s="64" ph="1"/>
    </row>
    <row r="3194" spans="23:23" ht="26.4">
      <c r="W3194" s="64" ph="1"/>
    </row>
    <row r="3195" spans="23:23" ht="26.4">
      <c r="W3195" s="64" ph="1"/>
    </row>
    <row r="3196" spans="23:23" ht="26.4">
      <c r="W3196" s="64" ph="1"/>
    </row>
    <row r="3197" spans="23:23" ht="26.4">
      <c r="W3197" s="64" ph="1"/>
    </row>
    <row r="3198" spans="23:23" ht="26.4">
      <c r="W3198" s="64" ph="1"/>
    </row>
    <row r="3199" spans="23:23" ht="26.4">
      <c r="W3199" s="64" ph="1"/>
    </row>
    <row r="3200" spans="23:23" ht="26.4">
      <c r="W3200" s="64" ph="1"/>
    </row>
    <row r="3201" spans="23:23" ht="26.4">
      <c r="W3201" s="64" ph="1"/>
    </row>
    <row r="3202" spans="23:23" ht="26.4">
      <c r="W3202" s="64" ph="1"/>
    </row>
    <row r="3203" spans="23:23" ht="26.4">
      <c r="W3203" s="64" ph="1"/>
    </row>
    <row r="3204" spans="23:23" ht="26.4">
      <c r="W3204" s="64" ph="1"/>
    </row>
    <row r="3205" spans="23:23" ht="26.4">
      <c r="W3205" s="64" ph="1"/>
    </row>
    <row r="3206" spans="23:23" ht="26.4">
      <c r="W3206" s="64" ph="1"/>
    </row>
    <row r="3207" spans="23:23" ht="26.4">
      <c r="W3207" s="64" ph="1"/>
    </row>
    <row r="3208" spans="23:23" ht="26.4">
      <c r="W3208" s="64" ph="1"/>
    </row>
    <row r="3209" spans="23:23" ht="26.4">
      <c r="W3209" s="64" ph="1"/>
    </row>
    <row r="3210" spans="23:23" ht="26.4">
      <c r="W3210" s="64" ph="1"/>
    </row>
    <row r="3211" spans="23:23" ht="26.4">
      <c r="W3211" s="64" ph="1"/>
    </row>
    <row r="3212" spans="23:23" ht="26.4">
      <c r="W3212" s="64" ph="1"/>
    </row>
    <row r="3213" spans="23:23" ht="26.4">
      <c r="W3213" s="64" ph="1"/>
    </row>
    <row r="3214" spans="23:23" ht="26.4">
      <c r="W3214" s="64" ph="1"/>
    </row>
    <row r="3215" spans="23:23" ht="26.4">
      <c r="W3215" s="64" ph="1"/>
    </row>
    <row r="3216" spans="23:23" ht="26.4">
      <c r="W3216" s="64" ph="1"/>
    </row>
    <row r="3217" spans="23:23" ht="26.4">
      <c r="W3217" s="64" ph="1"/>
    </row>
    <row r="3218" spans="23:23" ht="26.4">
      <c r="W3218" s="64" ph="1"/>
    </row>
    <row r="3219" spans="23:23" ht="26.4">
      <c r="W3219" s="64" ph="1"/>
    </row>
    <row r="3220" spans="23:23" ht="26.4">
      <c r="W3220" s="64" ph="1"/>
    </row>
    <row r="3221" spans="23:23" ht="26.4">
      <c r="W3221" s="64" ph="1"/>
    </row>
    <row r="3222" spans="23:23" ht="26.4">
      <c r="W3222" s="64" ph="1"/>
    </row>
    <row r="3223" spans="23:23" ht="26.4">
      <c r="W3223" s="64" ph="1"/>
    </row>
    <row r="3224" spans="23:23" ht="26.4">
      <c r="W3224" s="64" ph="1"/>
    </row>
    <row r="3225" spans="23:23" ht="26.4">
      <c r="W3225" s="64" ph="1"/>
    </row>
    <row r="3226" spans="23:23" ht="26.4">
      <c r="W3226" s="64" ph="1"/>
    </row>
    <row r="3227" spans="23:23" ht="26.4">
      <c r="W3227" s="64" ph="1"/>
    </row>
    <row r="3228" spans="23:23" ht="26.4">
      <c r="W3228" s="64" ph="1"/>
    </row>
    <row r="3229" spans="23:23" ht="26.4">
      <c r="W3229" s="64" ph="1"/>
    </row>
    <row r="3230" spans="23:23" ht="26.4">
      <c r="W3230" s="64" ph="1"/>
    </row>
    <row r="3231" spans="23:23" ht="26.4">
      <c r="W3231" s="64" ph="1"/>
    </row>
    <row r="3232" spans="23:23" ht="26.4">
      <c r="W3232" s="64" ph="1"/>
    </row>
    <row r="3233" spans="23:23" ht="26.4">
      <c r="W3233" s="64" ph="1"/>
    </row>
    <row r="3234" spans="23:23" ht="26.4">
      <c r="W3234" s="64" ph="1"/>
    </row>
    <row r="3235" spans="23:23" ht="26.4">
      <c r="W3235" s="64" ph="1"/>
    </row>
    <row r="3236" spans="23:23" ht="26.4">
      <c r="W3236" s="64" ph="1"/>
    </row>
    <row r="3237" spans="23:23" ht="26.4">
      <c r="W3237" s="64" ph="1"/>
    </row>
    <row r="3238" spans="23:23" ht="26.4">
      <c r="W3238" s="64" ph="1"/>
    </row>
    <row r="3239" spans="23:23" ht="26.4">
      <c r="W3239" s="64" ph="1"/>
    </row>
    <row r="3240" spans="23:23" ht="26.4">
      <c r="W3240" s="64" ph="1"/>
    </row>
    <row r="3241" spans="23:23" ht="26.4">
      <c r="W3241" s="64" ph="1"/>
    </row>
    <row r="3242" spans="23:23" ht="26.4">
      <c r="W3242" s="64" ph="1"/>
    </row>
    <row r="3243" spans="23:23" ht="26.4">
      <c r="W3243" s="64" ph="1"/>
    </row>
    <row r="3244" spans="23:23" ht="26.4">
      <c r="W3244" s="64" ph="1"/>
    </row>
    <row r="3245" spans="23:23" ht="26.4">
      <c r="W3245" s="64" ph="1"/>
    </row>
    <row r="3246" spans="23:23" ht="26.4">
      <c r="W3246" s="64" ph="1"/>
    </row>
    <row r="3247" spans="23:23" ht="26.4">
      <c r="W3247" s="64" ph="1"/>
    </row>
    <row r="3248" spans="23:23" ht="26.4">
      <c r="W3248" s="64" ph="1"/>
    </row>
    <row r="3249" spans="23:23" ht="26.4">
      <c r="W3249" s="64" ph="1"/>
    </row>
    <row r="3250" spans="23:23" ht="26.4">
      <c r="W3250" s="64" ph="1"/>
    </row>
    <row r="3251" spans="23:23" ht="26.4">
      <c r="W3251" s="64" ph="1"/>
    </row>
    <row r="3252" spans="23:23" ht="26.4">
      <c r="W3252" s="64" ph="1"/>
    </row>
    <row r="3253" spans="23:23" ht="26.4">
      <c r="W3253" s="64" ph="1"/>
    </row>
    <row r="3254" spans="23:23" ht="26.4">
      <c r="W3254" s="64" ph="1"/>
    </row>
    <row r="3255" spans="23:23" ht="26.4">
      <c r="W3255" s="64" ph="1"/>
    </row>
    <row r="3256" spans="23:23" ht="26.4">
      <c r="W3256" s="64" ph="1"/>
    </row>
    <row r="3257" spans="23:23" ht="26.4">
      <c r="W3257" s="64" ph="1"/>
    </row>
    <row r="3258" spans="23:23" ht="26.4">
      <c r="W3258" s="64" ph="1"/>
    </row>
    <row r="3259" spans="23:23" ht="26.4">
      <c r="W3259" s="64" ph="1"/>
    </row>
    <row r="3260" spans="23:23" ht="26.4">
      <c r="W3260" s="64" ph="1"/>
    </row>
    <row r="3261" spans="23:23" ht="26.4">
      <c r="W3261" s="64" ph="1"/>
    </row>
    <row r="3262" spans="23:23" ht="26.4">
      <c r="W3262" s="64" ph="1"/>
    </row>
    <row r="3263" spans="23:23" ht="26.4">
      <c r="W3263" s="64" ph="1"/>
    </row>
    <row r="3264" spans="23:23" ht="26.4">
      <c r="W3264" s="64" ph="1"/>
    </row>
    <row r="3265" spans="23:23" ht="26.4">
      <c r="W3265" s="64" ph="1"/>
    </row>
    <row r="3266" spans="23:23" ht="26.4">
      <c r="W3266" s="64" ph="1"/>
    </row>
    <row r="3267" spans="23:23" ht="26.4">
      <c r="W3267" s="64" ph="1"/>
    </row>
    <row r="3268" spans="23:23" ht="26.4">
      <c r="W3268" s="64" ph="1"/>
    </row>
    <row r="3269" spans="23:23" ht="26.4">
      <c r="W3269" s="64" ph="1"/>
    </row>
    <row r="3270" spans="23:23" ht="26.4">
      <c r="W3270" s="64" ph="1"/>
    </row>
    <row r="3271" spans="23:23" ht="26.4">
      <c r="W3271" s="64" ph="1"/>
    </row>
    <row r="3272" spans="23:23" ht="26.4">
      <c r="W3272" s="64" ph="1"/>
    </row>
    <row r="3273" spans="23:23" ht="26.4">
      <c r="W3273" s="64" ph="1"/>
    </row>
    <row r="3274" spans="23:23" ht="26.4">
      <c r="W3274" s="64" ph="1"/>
    </row>
    <row r="3275" spans="23:23" ht="26.4">
      <c r="W3275" s="64" ph="1"/>
    </row>
    <row r="3276" spans="23:23" ht="26.4">
      <c r="W3276" s="64" ph="1"/>
    </row>
    <row r="3277" spans="23:23" ht="26.4">
      <c r="W3277" s="64" ph="1"/>
    </row>
    <row r="3278" spans="23:23" ht="26.4">
      <c r="W3278" s="64" ph="1"/>
    </row>
    <row r="3279" spans="23:23" ht="26.4">
      <c r="W3279" s="64" ph="1"/>
    </row>
    <row r="3280" spans="23:23" ht="26.4">
      <c r="W3280" s="64" ph="1"/>
    </row>
    <row r="3281" spans="23:23" ht="26.4">
      <c r="W3281" s="64" ph="1"/>
    </row>
    <row r="3282" spans="23:23" ht="26.4">
      <c r="W3282" s="64" ph="1"/>
    </row>
    <row r="3283" spans="23:23" ht="26.4">
      <c r="W3283" s="64" ph="1"/>
    </row>
    <row r="3284" spans="23:23" ht="26.4">
      <c r="W3284" s="64" ph="1"/>
    </row>
    <row r="3285" spans="23:23" ht="26.4">
      <c r="W3285" s="64" ph="1"/>
    </row>
    <row r="3286" spans="23:23" ht="26.4">
      <c r="W3286" s="64" ph="1"/>
    </row>
    <row r="3287" spans="23:23" ht="26.4">
      <c r="W3287" s="64" ph="1"/>
    </row>
    <row r="3288" spans="23:23" ht="26.4">
      <c r="W3288" s="64" ph="1"/>
    </row>
    <row r="3289" spans="23:23" ht="26.4">
      <c r="W3289" s="64" ph="1"/>
    </row>
    <row r="3290" spans="23:23" ht="26.4">
      <c r="W3290" s="64" ph="1"/>
    </row>
    <row r="3291" spans="23:23" ht="26.4">
      <c r="W3291" s="64" ph="1"/>
    </row>
    <row r="3292" spans="23:23" ht="26.4">
      <c r="W3292" s="64" ph="1"/>
    </row>
    <row r="3293" spans="23:23" ht="26.4">
      <c r="W3293" s="64" ph="1"/>
    </row>
    <row r="3294" spans="23:23" ht="26.4">
      <c r="W3294" s="64" ph="1"/>
    </row>
    <row r="3295" spans="23:23" ht="26.4">
      <c r="W3295" s="64" ph="1"/>
    </row>
    <row r="3296" spans="23:23" ht="26.4">
      <c r="W3296" s="64" ph="1"/>
    </row>
    <row r="3297" spans="23:23" ht="26.4">
      <c r="W3297" s="64" ph="1"/>
    </row>
    <row r="3298" spans="23:23" ht="26.4">
      <c r="W3298" s="64" ph="1"/>
    </row>
    <row r="3299" spans="23:23" ht="26.4">
      <c r="W3299" s="64" ph="1"/>
    </row>
    <row r="3300" spans="23:23" ht="26.4">
      <c r="W3300" s="64" ph="1"/>
    </row>
    <row r="3301" spans="23:23" ht="26.4">
      <c r="W3301" s="64" ph="1"/>
    </row>
    <row r="3302" spans="23:23" ht="26.4">
      <c r="W3302" s="64" ph="1"/>
    </row>
    <row r="3303" spans="23:23" ht="26.4">
      <c r="W3303" s="64" ph="1"/>
    </row>
    <row r="3304" spans="23:23" ht="26.4">
      <c r="W3304" s="64" ph="1"/>
    </row>
    <row r="3305" spans="23:23" ht="26.4">
      <c r="W3305" s="64" ph="1"/>
    </row>
    <row r="3306" spans="23:23" ht="26.4">
      <c r="W3306" s="64" ph="1"/>
    </row>
    <row r="3307" spans="23:23" ht="26.4">
      <c r="W3307" s="64" ph="1"/>
    </row>
    <row r="3308" spans="23:23" ht="26.4">
      <c r="W3308" s="64" ph="1"/>
    </row>
    <row r="3309" spans="23:23" ht="26.4">
      <c r="W3309" s="64" ph="1"/>
    </row>
    <row r="3310" spans="23:23" ht="26.4">
      <c r="W3310" s="64" ph="1"/>
    </row>
    <row r="3311" spans="23:23" ht="26.4">
      <c r="W3311" s="64" ph="1"/>
    </row>
    <row r="3312" spans="23:23" ht="26.4">
      <c r="W3312" s="64" ph="1"/>
    </row>
    <row r="3313" spans="23:23" ht="26.4">
      <c r="W3313" s="64" ph="1"/>
    </row>
    <row r="3314" spans="23:23" ht="26.4">
      <c r="W3314" s="64" ph="1"/>
    </row>
    <row r="3315" spans="23:23" ht="26.4">
      <c r="W3315" s="64" ph="1"/>
    </row>
    <row r="3316" spans="23:23" ht="26.4">
      <c r="W3316" s="64" ph="1"/>
    </row>
    <row r="3317" spans="23:23" ht="26.4">
      <c r="W3317" s="64" ph="1"/>
    </row>
    <row r="3318" spans="23:23" ht="26.4">
      <c r="W3318" s="64" ph="1"/>
    </row>
    <row r="3319" spans="23:23" ht="26.4">
      <c r="W3319" s="64" ph="1"/>
    </row>
    <row r="3320" spans="23:23" ht="26.4">
      <c r="W3320" s="64" ph="1"/>
    </row>
    <row r="3321" spans="23:23" ht="26.4">
      <c r="W3321" s="64" ph="1"/>
    </row>
    <row r="3322" spans="23:23" ht="26.4">
      <c r="W3322" s="64" ph="1"/>
    </row>
    <row r="3323" spans="23:23" ht="26.4">
      <c r="W3323" s="64" ph="1"/>
    </row>
    <row r="3324" spans="23:23" ht="26.4">
      <c r="W3324" s="64" ph="1"/>
    </row>
    <row r="3325" spans="23:23" ht="26.4">
      <c r="W3325" s="64" ph="1"/>
    </row>
    <row r="3326" spans="23:23" ht="26.4">
      <c r="W3326" s="64" ph="1"/>
    </row>
    <row r="3327" spans="23:23" ht="26.4">
      <c r="W3327" s="64" ph="1"/>
    </row>
    <row r="3328" spans="23:23" ht="26.4">
      <c r="W3328" s="64" ph="1"/>
    </row>
    <row r="3329" spans="23:23" ht="26.4">
      <c r="W3329" s="64" ph="1"/>
    </row>
    <row r="3330" spans="23:23" ht="26.4">
      <c r="W3330" s="64" ph="1"/>
    </row>
    <row r="3331" spans="23:23" ht="26.4">
      <c r="W3331" s="64" ph="1"/>
    </row>
    <row r="3332" spans="23:23" ht="26.4">
      <c r="W3332" s="64" ph="1"/>
    </row>
    <row r="3333" spans="23:23" ht="26.4">
      <c r="W3333" s="64" ph="1"/>
    </row>
    <row r="3334" spans="23:23" ht="26.4">
      <c r="W3334" s="64" ph="1"/>
    </row>
    <row r="3335" spans="23:23" ht="26.4">
      <c r="W3335" s="64" ph="1"/>
    </row>
    <row r="3336" spans="23:23" ht="26.4">
      <c r="W3336" s="64" ph="1"/>
    </row>
    <row r="3337" spans="23:23" ht="26.4">
      <c r="W3337" s="64" ph="1"/>
    </row>
    <row r="3338" spans="23:23" ht="26.4">
      <c r="W3338" s="64" ph="1"/>
    </row>
    <row r="3339" spans="23:23" ht="26.4">
      <c r="W3339" s="64" ph="1"/>
    </row>
    <row r="3340" spans="23:23" ht="26.4">
      <c r="W3340" s="64" ph="1"/>
    </row>
    <row r="3341" spans="23:23" ht="26.4">
      <c r="W3341" s="64" ph="1"/>
    </row>
    <row r="3342" spans="23:23" ht="26.4">
      <c r="W3342" s="64" ph="1"/>
    </row>
    <row r="3343" spans="23:23" ht="26.4">
      <c r="W3343" s="64" ph="1"/>
    </row>
    <row r="3344" spans="23:23" ht="26.4">
      <c r="W3344" s="64" ph="1"/>
    </row>
    <row r="3345" spans="23:23" ht="26.4">
      <c r="W3345" s="64" ph="1"/>
    </row>
    <row r="3346" spans="23:23" ht="26.4">
      <c r="W3346" s="64" ph="1"/>
    </row>
    <row r="3347" spans="23:23" ht="26.4">
      <c r="W3347" s="64" ph="1"/>
    </row>
    <row r="3348" spans="23:23" ht="26.4">
      <c r="W3348" s="64" ph="1"/>
    </row>
    <row r="3349" spans="23:23" ht="26.4">
      <c r="W3349" s="64" ph="1"/>
    </row>
    <row r="3350" spans="23:23" ht="26.4">
      <c r="W3350" s="64" ph="1"/>
    </row>
    <row r="3351" spans="23:23" ht="26.4">
      <c r="W3351" s="64" ph="1"/>
    </row>
    <row r="3352" spans="23:23" ht="26.4">
      <c r="W3352" s="64" ph="1"/>
    </row>
    <row r="3353" spans="23:23" ht="26.4">
      <c r="W3353" s="64" ph="1"/>
    </row>
    <row r="3354" spans="23:23" ht="26.4">
      <c r="W3354" s="64" ph="1"/>
    </row>
    <row r="3355" spans="23:23" ht="26.4">
      <c r="W3355" s="64" ph="1"/>
    </row>
    <row r="3356" spans="23:23" ht="26.4">
      <c r="W3356" s="64" ph="1"/>
    </row>
    <row r="3357" spans="23:23" ht="26.4">
      <c r="W3357" s="64" ph="1"/>
    </row>
    <row r="3358" spans="23:23" ht="26.4">
      <c r="W3358" s="64" ph="1"/>
    </row>
    <row r="3359" spans="23:23" ht="26.4">
      <c r="W3359" s="64" ph="1"/>
    </row>
    <row r="3360" spans="23:23" ht="26.4">
      <c r="W3360" s="64" ph="1"/>
    </row>
    <row r="3361" spans="23:23" ht="26.4">
      <c r="W3361" s="64" ph="1"/>
    </row>
    <row r="3362" spans="23:23" ht="26.4">
      <c r="W3362" s="64" ph="1"/>
    </row>
    <row r="3363" spans="23:23" ht="26.4">
      <c r="W3363" s="64" ph="1"/>
    </row>
    <row r="3364" spans="23:23" ht="26.4">
      <c r="W3364" s="64" ph="1"/>
    </row>
    <row r="3365" spans="23:23" ht="26.4">
      <c r="W3365" s="64" ph="1"/>
    </row>
    <row r="3366" spans="23:23" ht="26.4">
      <c r="W3366" s="64" ph="1"/>
    </row>
    <row r="3367" spans="23:23" ht="26.4">
      <c r="W3367" s="64" ph="1"/>
    </row>
    <row r="3368" spans="23:23" ht="26.4">
      <c r="W3368" s="64" ph="1"/>
    </row>
    <row r="3369" spans="23:23" ht="26.4">
      <c r="W3369" s="64" ph="1"/>
    </row>
    <row r="3370" spans="23:23" ht="26.4">
      <c r="W3370" s="64" ph="1"/>
    </row>
    <row r="3371" spans="23:23" ht="26.4">
      <c r="W3371" s="64" ph="1"/>
    </row>
    <row r="3372" spans="23:23" ht="26.4">
      <c r="W3372" s="64" ph="1"/>
    </row>
    <row r="3373" spans="23:23" ht="26.4">
      <c r="W3373" s="64" ph="1"/>
    </row>
    <row r="3374" spans="23:23" ht="26.4">
      <c r="W3374" s="64" ph="1"/>
    </row>
    <row r="3375" spans="23:23" ht="26.4">
      <c r="W3375" s="64" ph="1"/>
    </row>
    <row r="3376" spans="23:23" ht="26.4">
      <c r="W3376" s="64" ph="1"/>
    </row>
    <row r="3377" spans="23:23" ht="26.4">
      <c r="W3377" s="64" ph="1"/>
    </row>
    <row r="3378" spans="23:23" ht="26.4">
      <c r="W3378" s="64" ph="1"/>
    </row>
    <row r="3379" spans="23:23" ht="26.4">
      <c r="W3379" s="64" ph="1"/>
    </row>
    <row r="3380" spans="23:23" ht="26.4">
      <c r="W3380" s="64" ph="1"/>
    </row>
    <row r="3381" spans="23:23" ht="26.4">
      <c r="W3381" s="64" ph="1"/>
    </row>
    <row r="3382" spans="23:23" ht="26.4">
      <c r="W3382" s="64" ph="1"/>
    </row>
    <row r="3383" spans="23:23" ht="26.4">
      <c r="W3383" s="64" ph="1"/>
    </row>
    <row r="3384" spans="23:23" ht="26.4">
      <c r="W3384" s="64" ph="1"/>
    </row>
    <row r="3385" spans="23:23" ht="26.4">
      <c r="W3385" s="64" ph="1"/>
    </row>
    <row r="3386" spans="23:23" ht="26.4">
      <c r="W3386" s="64" ph="1"/>
    </row>
    <row r="3387" spans="23:23" ht="26.4">
      <c r="W3387" s="64" ph="1"/>
    </row>
    <row r="3388" spans="23:23" ht="26.4">
      <c r="W3388" s="64" ph="1"/>
    </row>
    <row r="3389" spans="23:23" ht="26.4">
      <c r="W3389" s="64" ph="1"/>
    </row>
    <row r="3390" spans="23:23" ht="26.4">
      <c r="W3390" s="64" ph="1"/>
    </row>
    <row r="3391" spans="23:23" ht="26.4">
      <c r="W3391" s="64" ph="1"/>
    </row>
    <row r="3392" spans="23:23" ht="26.4">
      <c r="W3392" s="64" ph="1"/>
    </row>
    <row r="3393" spans="23:23" ht="26.4">
      <c r="W3393" s="64" ph="1"/>
    </row>
    <row r="3394" spans="23:23" ht="26.4">
      <c r="W3394" s="64" ph="1"/>
    </row>
    <row r="3395" spans="23:23" ht="26.4">
      <c r="W3395" s="64" ph="1"/>
    </row>
    <row r="3396" spans="23:23" ht="26.4">
      <c r="W3396" s="64" ph="1"/>
    </row>
    <row r="3397" spans="23:23" ht="26.4">
      <c r="W3397" s="64" ph="1"/>
    </row>
    <row r="3398" spans="23:23" ht="26.4">
      <c r="W3398" s="64" ph="1"/>
    </row>
    <row r="3399" spans="23:23" ht="26.4">
      <c r="W3399" s="64" ph="1"/>
    </row>
    <row r="3400" spans="23:23" ht="26.4">
      <c r="W3400" s="64" ph="1"/>
    </row>
    <row r="3401" spans="23:23" ht="26.4">
      <c r="W3401" s="64" ph="1"/>
    </row>
    <row r="3402" spans="23:23" ht="26.4">
      <c r="W3402" s="64" ph="1"/>
    </row>
    <row r="3403" spans="23:23" ht="26.4">
      <c r="W3403" s="64" ph="1"/>
    </row>
    <row r="3404" spans="23:23" ht="26.4">
      <c r="W3404" s="64" ph="1"/>
    </row>
    <row r="3405" spans="23:23" ht="26.4">
      <c r="W3405" s="64" ph="1"/>
    </row>
    <row r="3406" spans="23:23" ht="26.4">
      <c r="W3406" s="64" ph="1"/>
    </row>
    <row r="3407" spans="23:23" ht="26.4">
      <c r="W3407" s="64" ph="1"/>
    </row>
    <row r="3408" spans="23:23" ht="26.4">
      <c r="W3408" s="64" ph="1"/>
    </row>
    <row r="3409" spans="23:23" ht="26.4">
      <c r="W3409" s="64" ph="1"/>
    </row>
    <row r="3410" spans="23:23" ht="26.4">
      <c r="W3410" s="64" ph="1"/>
    </row>
    <row r="3411" spans="23:23" ht="26.4">
      <c r="W3411" s="64" ph="1"/>
    </row>
    <row r="3412" spans="23:23" ht="26.4">
      <c r="W3412" s="64" ph="1"/>
    </row>
    <row r="3413" spans="23:23" ht="26.4">
      <c r="W3413" s="64" ph="1"/>
    </row>
    <row r="3414" spans="23:23" ht="26.4">
      <c r="W3414" s="64" ph="1"/>
    </row>
    <row r="3415" spans="23:23" ht="26.4">
      <c r="W3415" s="64" ph="1"/>
    </row>
    <row r="3416" spans="23:23" ht="26.4">
      <c r="W3416" s="64" ph="1"/>
    </row>
    <row r="3417" spans="23:23" ht="26.4">
      <c r="W3417" s="64" ph="1"/>
    </row>
    <row r="3418" spans="23:23" ht="26.4">
      <c r="W3418" s="64" ph="1"/>
    </row>
    <row r="3419" spans="23:23" ht="26.4">
      <c r="W3419" s="64" ph="1"/>
    </row>
    <row r="3420" spans="23:23" ht="26.4">
      <c r="W3420" s="64" ph="1"/>
    </row>
    <row r="3421" spans="23:23" ht="26.4">
      <c r="W3421" s="64" ph="1"/>
    </row>
    <row r="3422" spans="23:23" ht="26.4">
      <c r="W3422" s="64" ph="1"/>
    </row>
    <row r="3423" spans="23:23" ht="26.4">
      <c r="W3423" s="64" ph="1"/>
    </row>
    <row r="3424" spans="23:23" ht="26.4">
      <c r="W3424" s="64" ph="1"/>
    </row>
    <row r="3425" spans="23:23" ht="26.4">
      <c r="W3425" s="64" ph="1"/>
    </row>
    <row r="3426" spans="23:23" ht="26.4">
      <c r="W3426" s="64" ph="1"/>
    </row>
    <row r="3427" spans="23:23" ht="26.4">
      <c r="W3427" s="64" ph="1"/>
    </row>
    <row r="3428" spans="23:23" ht="26.4">
      <c r="W3428" s="64" ph="1"/>
    </row>
    <row r="3429" spans="23:23" ht="26.4">
      <c r="W3429" s="64" ph="1"/>
    </row>
    <row r="3430" spans="23:23" ht="26.4">
      <c r="W3430" s="64" ph="1"/>
    </row>
    <row r="3431" spans="23:23" ht="26.4">
      <c r="W3431" s="64" ph="1"/>
    </row>
    <row r="3432" spans="23:23" ht="26.4">
      <c r="W3432" s="64" ph="1"/>
    </row>
    <row r="3433" spans="23:23" ht="26.4">
      <c r="W3433" s="64" ph="1"/>
    </row>
    <row r="3434" spans="23:23" ht="26.4">
      <c r="W3434" s="64" ph="1"/>
    </row>
    <row r="3435" spans="23:23" ht="26.4">
      <c r="W3435" s="64" ph="1"/>
    </row>
    <row r="3436" spans="23:23" ht="26.4">
      <c r="W3436" s="64" ph="1"/>
    </row>
    <row r="3437" spans="23:23" ht="26.4">
      <c r="W3437" s="64" ph="1"/>
    </row>
    <row r="3438" spans="23:23" ht="26.4">
      <c r="W3438" s="64" ph="1"/>
    </row>
    <row r="3439" spans="23:23" ht="26.4">
      <c r="W3439" s="64" ph="1"/>
    </row>
    <row r="3440" spans="23:23" ht="26.4">
      <c r="W3440" s="64" ph="1"/>
    </row>
    <row r="3441" spans="23:23" ht="26.4">
      <c r="W3441" s="64" ph="1"/>
    </row>
    <row r="3442" spans="23:23" ht="26.4">
      <c r="W3442" s="64" ph="1"/>
    </row>
    <row r="3443" spans="23:23" ht="26.4">
      <c r="W3443" s="64" ph="1"/>
    </row>
    <row r="3444" spans="23:23" ht="26.4">
      <c r="W3444" s="64" ph="1"/>
    </row>
    <row r="3445" spans="23:23" ht="26.4">
      <c r="W3445" s="64" ph="1"/>
    </row>
    <row r="3446" spans="23:23" ht="26.4">
      <c r="W3446" s="64" ph="1"/>
    </row>
    <row r="3447" spans="23:23" ht="26.4">
      <c r="W3447" s="64" ph="1"/>
    </row>
    <row r="3448" spans="23:23" ht="26.4">
      <c r="W3448" s="64" ph="1"/>
    </row>
    <row r="3449" spans="23:23" ht="26.4">
      <c r="W3449" s="64" ph="1"/>
    </row>
    <row r="3450" spans="23:23" ht="26.4">
      <c r="W3450" s="64" ph="1"/>
    </row>
    <row r="3451" spans="23:23" ht="26.4">
      <c r="W3451" s="64" ph="1"/>
    </row>
    <row r="3452" spans="23:23" ht="26.4">
      <c r="W3452" s="64" ph="1"/>
    </row>
    <row r="3453" spans="23:23" ht="26.4">
      <c r="W3453" s="64" ph="1"/>
    </row>
    <row r="3454" spans="23:23" ht="26.4">
      <c r="W3454" s="64" ph="1"/>
    </row>
    <row r="3455" spans="23:23" ht="26.4">
      <c r="W3455" s="64" ph="1"/>
    </row>
    <row r="3456" spans="23:23" ht="26.4">
      <c r="W3456" s="64" ph="1"/>
    </row>
    <row r="3457" spans="23:23" ht="26.4">
      <c r="W3457" s="64" ph="1"/>
    </row>
    <row r="3458" spans="23:23" ht="26.4">
      <c r="W3458" s="64" ph="1"/>
    </row>
    <row r="3459" spans="23:23" ht="26.4">
      <c r="W3459" s="64" ph="1"/>
    </row>
    <row r="3460" spans="23:23" ht="26.4">
      <c r="W3460" s="64" ph="1"/>
    </row>
    <row r="3461" spans="23:23" ht="26.4">
      <c r="W3461" s="64" ph="1"/>
    </row>
    <row r="3462" spans="23:23" ht="26.4">
      <c r="W3462" s="64" ph="1"/>
    </row>
    <row r="3463" spans="23:23" ht="26.4">
      <c r="W3463" s="64" ph="1"/>
    </row>
    <row r="3464" spans="23:23" ht="26.4">
      <c r="W3464" s="64" ph="1"/>
    </row>
    <row r="3465" spans="23:23" ht="26.4">
      <c r="W3465" s="64" ph="1"/>
    </row>
    <row r="3466" spans="23:23" ht="26.4">
      <c r="W3466" s="64" ph="1"/>
    </row>
    <row r="3467" spans="23:23" ht="26.4">
      <c r="W3467" s="64" ph="1"/>
    </row>
    <row r="3468" spans="23:23" ht="26.4">
      <c r="W3468" s="64" ph="1"/>
    </row>
    <row r="3469" spans="23:23" ht="26.4">
      <c r="W3469" s="64" ph="1"/>
    </row>
    <row r="3470" spans="23:23" ht="26.4">
      <c r="W3470" s="64" ph="1"/>
    </row>
    <row r="3471" spans="23:23" ht="26.4">
      <c r="W3471" s="64" ph="1"/>
    </row>
    <row r="3472" spans="23:23" ht="26.4">
      <c r="W3472" s="64" ph="1"/>
    </row>
    <row r="3473" spans="23:23" ht="26.4">
      <c r="W3473" s="64" ph="1"/>
    </row>
    <row r="3474" spans="23:23" ht="26.4">
      <c r="W3474" s="64" ph="1"/>
    </row>
    <row r="3475" spans="23:23" ht="26.4">
      <c r="W3475" s="64" ph="1"/>
    </row>
    <row r="3476" spans="23:23" ht="26.4">
      <c r="W3476" s="64" ph="1"/>
    </row>
    <row r="3477" spans="23:23" ht="26.4">
      <c r="W3477" s="64" ph="1"/>
    </row>
    <row r="3478" spans="23:23" ht="26.4">
      <c r="W3478" s="64" ph="1"/>
    </row>
    <row r="3479" spans="23:23" ht="26.4">
      <c r="W3479" s="64" ph="1"/>
    </row>
    <row r="3480" spans="23:23" ht="26.4">
      <c r="W3480" s="64" ph="1"/>
    </row>
    <row r="3481" spans="23:23" ht="26.4">
      <c r="W3481" s="64" ph="1"/>
    </row>
    <row r="3482" spans="23:23" ht="26.4">
      <c r="W3482" s="64" ph="1"/>
    </row>
    <row r="3483" spans="23:23" ht="26.4">
      <c r="W3483" s="64" ph="1"/>
    </row>
    <row r="3484" spans="23:23" ht="26.4">
      <c r="W3484" s="64" ph="1"/>
    </row>
    <row r="3485" spans="23:23" ht="26.4">
      <c r="W3485" s="64" ph="1"/>
    </row>
    <row r="3486" spans="23:23" ht="26.4">
      <c r="W3486" s="64" ph="1"/>
    </row>
    <row r="3487" spans="23:23" ht="26.4">
      <c r="W3487" s="64" ph="1"/>
    </row>
    <row r="3488" spans="23:23" ht="26.4">
      <c r="W3488" s="64" ph="1"/>
    </row>
    <row r="3489" spans="23:23" ht="26.4">
      <c r="W3489" s="64" ph="1"/>
    </row>
    <row r="3490" spans="23:23" ht="26.4">
      <c r="W3490" s="64" ph="1"/>
    </row>
    <row r="3491" spans="23:23" ht="26.4">
      <c r="W3491" s="64" ph="1"/>
    </row>
    <row r="3492" spans="23:23" ht="26.4">
      <c r="W3492" s="64" ph="1"/>
    </row>
    <row r="3493" spans="23:23" ht="26.4">
      <c r="W3493" s="64" ph="1"/>
    </row>
    <row r="3494" spans="23:23" ht="26.4">
      <c r="W3494" s="64" ph="1"/>
    </row>
    <row r="3495" spans="23:23" ht="26.4">
      <c r="W3495" s="64" ph="1"/>
    </row>
    <row r="3496" spans="23:23" ht="26.4">
      <c r="W3496" s="64" ph="1"/>
    </row>
    <row r="3497" spans="23:23" ht="26.4">
      <c r="W3497" s="64" ph="1"/>
    </row>
    <row r="3498" spans="23:23" ht="26.4">
      <c r="W3498" s="64" ph="1"/>
    </row>
    <row r="3499" spans="23:23" ht="26.4">
      <c r="W3499" s="64" ph="1"/>
    </row>
    <row r="3500" spans="23:23" ht="26.4">
      <c r="W3500" s="64" ph="1"/>
    </row>
    <row r="3501" spans="23:23" ht="26.4">
      <c r="W3501" s="64" ph="1"/>
    </row>
    <row r="3502" spans="23:23" ht="26.4">
      <c r="W3502" s="64" ph="1"/>
    </row>
    <row r="3503" spans="23:23" ht="26.4">
      <c r="W3503" s="64" ph="1"/>
    </row>
    <row r="3504" spans="23:23" ht="26.4">
      <c r="W3504" s="64" ph="1"/>
    </row>
    <row r="3505" spans="23:23" ht="26.4">
      <c r="W3505" s="64" ph="1"/>
    </row>
    <row r="3506" spans="23:23" ht="26.4">
      <c r="W3506" s="64" ph="1"/>
    </row>
    <row r="3507" spans="23:23" ht="26.4">
      <c r="W3507" s="64" ph="1"/>
    </row>
    <row r="3508" spans="23:23" ht="26.4">
      <c r="W3508" s="64" ph="1"/>
    </row>
    <row r="3509" spans="23:23" ht="26.4">
      <c r="W3509" s="64" ph="1"/>
    </row>
    <row r="3510" spans="23:23" ht="26.4">
      <c r="W3510" s="64" ph="1"/>
    </row>
    <row r="3511" spans="23:23" ht="26.4">
      <c r="W3511" s="64" ph="1"/>
    </row>
    <row r="3512" spans="23:23" ht="26.4">
      <c r="W3512" s="64" ph="1"/>
    </row>
    <row r="3513" spans="23:23" ht="26.4">
      <c r="W3513" s="64" ph="1"/>
    </row>
    <row r="3514" spans="23:23" ht="26.4">
      <c r="W3514" s="64" ph="1"/>
    </row>
    <row r="3515" spans="23:23" ht="26.4">
      <c r="W3515" s="64" ph="1"/>
    </row>
    <row r="3516" spans="23:23" ht="26.4">
      <c r="W3516" s="64" ph="1"/>
    </row>
    <row r="3517" spans="23:23" ht="26.4">
      <c r="W3517" s="64" ph="1"/>
    </row>
    <row r="3518" spans="23:23" ht="26.4">
      <c r="W3518" s="64" ph="1"/>
    </row>
    <row r="3519" spans="23:23" ht="26.4">
      <c r="W3519" s="64" ph="1"/>
    </row>
    <row r="3520" spans="23:23" ht="26.4">
      <c r="W3520" s="64" ph="1"/>
    </row>
    <row r="3521" spans="23:23" ht="26.4">
      <c r="W3521" s="64" ph="1"/>
    </row>
    <row r="3522" spans="23:23" ht="26.4">
      <c r="W3522" s="64" ph="1"/>
    </row>
    <row r="3523" spans="23:23" ht="26.4">
      <c r="W3523" s="64" ph="1"/>
    </row>
    <row r="3524" spans="23:23" ht="26.4">
      <c r="W3524" s="64" ph="1"/>
    </row>
    <row r="3525" spans="23:23" ht="26.4">
      <c r="W3525" s="64" ph="1"/>
    </row>
    <row r="3526" spans="23:23" ht="26.4">
      <c r="W3526" s="64" ph="1"/>
    </row>
    <row r="3527" spans="23:23" ht="26.4">
      <c r="W3527" s="64" ph="1"/>
    </row>
    <row r="3528" spans="23:23" ht="26.4">
      <c r="W3528" s="64" ph="1"/>
    </row>
    <row r="3529" spans="23:23" ht="26.4">
      <c r="W3529" s="64" ph="1"/>
    </row>
    <row r="3530" spans="23:23" ht="26.4">
      <c r="W3530" s="64" ph="1"/>
    </row>
    <row r="3531" spans="23:23" ht="26.4">
      <c r="W3531" s="64" ph="1"/>
    </row>
    <row r="3532" spans="23:23" ht="26.4">
      <c r="W3532" s="64" ph="1"/>
    </row>
    <row r="3533" spans="23:23" ht="26.4">
      <c r="W3533" s="64" ph="1"/>
    </row>
    <row r="3534" spans="23:23" ht="26.4">
      <c r="W3534" s="64" ph="1"/>
    </row>
    <row r="3535" spans="23:23" ht="26.4">
      <c r="W3535" s="64" ph="1"/>
    </row>
    <row r="3536" spans="23:23" ht="26.4">
      <c r="W3536" s="64" ph="1"/>
    </row>
    <row r="3537" spans="23:23" ht="26.4">
      <c r="W3537" s="64" ph="1"/>
    </row>
    <row r="3538" spans="23:23" ht="26.4">
      <c r="W3538" s="64" ph="1"/>
    </row>
    <row r="3539" spans="23:23" ht="26.4">
      <c r="W3539" s="64" ph="1"/>
    </row>
    <row r="3540" spans="23:23" ht="26.4">
      <c r="W3540" s="64" ph="1"/>
    </row>
    <row r="3541" spans="23:23" ht="26.4">
      <c r="W3541" s="64" ph="1"/>
    </row>
    <row r="3542" spans="23:23" ht="26.4">
      <c r="W3542" s="64" ph="1"/>
    </row>
    <row r="3543" spans="23:23" ht="26.4">
      <c r="W3543" s="64" ph="1"/>
    </row>
    <row r="3544" spans="23:23" ht="26.4">
      <c r="W3544" s="64" ph="1"/>
    </row>
    <row r="3545" spans="23:23" ht="26.4">
      <c r="W3545" s="64" ph="1"/>
    </row>
    <row r="3546" spans="23:23" ht="26.4">
      <c r="W3546" s="64" ph="1"/>
    </row>
    <row r="3547" spans="23:23" ht="26.4">
      <c r="W3547" s="64" ph="1"/>
    </row>
    <row r="3548" spans="23:23" ht="26.4">
      <c r="W3548" s="64" ph="1"/>
    </row>
    <row r="3549" spans="23:23" ht="26.4">
      <c r="W3549" s="64" ph="1"/>
    </row>
    <row r="3550" spans="23:23" ht="26.4">
      <c r="W3550" s="64" ph="1"/>
    </row>
    <row r="3551" spans="23:23" ht="26.4">
      <c r="W3551" s="64" ph="1"/>
    </row>
    <row r="3552" spans="23:23" ht="26.4">
      <c r="W3552" s="64" ph="1"/>
    </row>
    <row r="3553" spans="23:23" ht="26.4">
      <c r="W3553" s="64" ph="1"/>
    </row>
    <row r="3554" spans="23:23" ht="26.4">
      <c r="W3554" s="64" ph="1"/>
    </row>
    <row r="3555" spans="23:23" ht="26.4">
      <c r="W3555" s="64" ph="1"/>
    </row>
    <row r="3556" spans="23:23" ht="26.4">
      <c r="W3556" s="64" ph="1"/>
    </row>
    <row r="3557" spans="23:23" ht="26.4">
      <c r="W3557" s="64" ph="1"/>
    </row>
    <row r="3558" spans="23:23" ht="26.4">
      <c r="W3558" s="64" ph="1"/>
    </row>
    <row r="3559" spans="23:23" ht="26.4">
      <c r="W3559" s="64" ph="1"/>
    </row>
    <row r="3560" spans="23:23" ht="26.4">
      <c r="W3560" s="64" ph="1"/>
    </row>
    <row r="3561" spans="23:23" ht="26.4">
      <c r="W3561" s="64" ph="1"/>
    </row>
    <row r="3562" spans="23:23" ht="26.4">
      <c r="W3562" s="64" ph="1"/>
    </row>
    <row r="3563" spans="23:23" ht="26.4">
      <c r="W3563" s="64" ph="1"/>
    </row>
    <row r="3564" spans="23:23" ht="26.4">
      <c r="W3564" s="64" ph="1"/>
    </row>
    <row r="3565" spans="23:23" ht="26.4">
      <c r="W3565" s="64" ph="1"/>
    </row>
    <row r="3566" spans="23:23" ht="26.4">
      <c r="W3566" s="64" ph="1"/>
    </row>
    <row r="3567" spans="23:23" ht="26.4">
      <c r="W3567" s="64" ph="1"/>
    </row>
    <row r="3568" spans="23:23" ht="26.4">
      <c r="W3568" s="64" ph="1"/>
    </row>
    <row r="3569" spans="23:23" ht="26.4">
      <c r="W3569" s="64" ph="1"/>
    </row>
    <row r="3570" spans="23:23" ht="26.4">
      <c r="W3570" s="64" ph="1"/>
    </row>
    <row r="3571" spans="23:23" ht="26.4">
      <c r="W3571" s="64" ph="1"/>
    </row>
    <row r="3572" spans="23:23" ht="26.4">
      <c r="W3572" s="64" ph="1"/>
    </row>
    <row r="3573" spans="23:23" ht="26.4">
      <c r="W3573" s="64" ph="1"/>
    </row>
    <row r="3574" spans="23:23" ht="26.4">
      <c r="W3574" s="64" ph="1"/>
    </row>
    <row r="3575" spans="23:23" ht="26.4">
      <c r="W3575" s="64" ph="1"/>
    </row>
    <row r="3576" spans="23:23" ht="26.4">
      <c r="W3576" s="64" ph="1"/>
    </row>
    <row r="3577" spans="23:23" ht="26.4">
      <c r="W3577" s="64" ph="1"/>
    </row>
    <row r="3578" spans="23:23" ht="26.4">
      <c r="W3578" s="64" ph="1"/>
    </row>
    <row r="3579" spans="23:23" ht="26.4">
      <c r="W3579" s="64" ph="1"/>
    </row>
    <row r="3580" spans="23:23" ht="26.4">
      <c r="W3580" s="64" ph="1"/>
    </row>
    <row r="3581" spans="23:23" ht="26.4">
      <c r="W3581" s="64" ph="1"/>
    </row>
    <row r="3582" spans="23:23" ht="26.4">
      <c r="W3582" s="64" ph="1"/>
    </row>
    <row r="3583" spans="23:23" ht="26.4">
      <c r="W3583" s="64" ph="1"/>
    </row>
    <row r="3584" spans="23:23" ht="26.4">
      <c r="W3584" s="64" ph="1"/>
    </row>
    <row r="3585" spans="23:23" ht="26.4">
      <c r="W3585" s="64" ph="1"/>
    </row>
    <row r="3586" spans="23:23" ht="26.4">
      <c r="W3586" s="64" ph="1"/>
    </row>
    <row r="3587" spans="23:23" ht="26.4">
      <c r="W3587" s="64" ph="1"/>
    </row>
    <row r="3588" spans="23:23" ht="26.4">
      <c r="W3588" s="64" ph="1"/>
    </row>
    <row r="3589" spans="23:23" ht="26.4">
      <c r="W3589" s="64" ph="1"/>
    </row>
    <row r="3590" spans="23:23" ht="26.4">
      <c r="W3590" s="64" ph="1"/>
    </row>
    <row r="3591" spans="23:23" ht="26.4">
      <c r="W3591" s="64" ph="1"/>
    </row>
    <row r="3592" spans="23:23" ht="26.4">
      <c r="W3592" s="64" ph="1"/>
    </row>
    <row r="3593" spans="23:23" ht="26.4">
      <c r="W3593" s="64" ph="1"/>
    </row>
    <row r="3594" spans="23:23" ht="26.4">
      <c r="W3594" s="64" ph="1"/>
    </row>
    <row r="3595" spans="23:23" ht="26.4">
      <c r="W3595" s="64" ph="1"/>
    </row>
    <row r="3596" spans="23:23" ht="26.4">
      <c r="W3596" s="64" ph="1"/>
    </row>
    <row r="3597" spans="23:23" ht="26.4">
      <c r="W3597" s="64" ph="1"/>
    </row>
    <row r="3598" spans="23:23" ht="26.4">
      <c r="W3598" s="64" ph="1"/>
    </row>
    <row r="3599" spans="23:23" ht="26.4">
      <c r="W3599" s="64" ph="1"/>
    </row>
    <row r="3600" spans="23:23" ht="26.4">
      <c r="W3600" s="64" ph="1"/>
    </row>
    <row r="3601" spans="23:23" ht="26.4">
      <c r="W3601" s="64" ph="1"/>
    </row>
    <row r="3602" spans="23:23" ht="26.4">
      <c r="W3602" s="64" ph="1"/>
    </row>
    <row r="3603" spans="23:23" ht="26.4">
      <c r="W3603" s="64" ph="1"/>
    </row>
    <row r="3604" spans="23:23" ht="26.4">
      <c r="W3604" s="64" ph="1"/>
    </row>
    <row r="3605" spans="23:23" ht="26.4">
      <c r="W3605" s="64" ph="1"/>
    </row>
    <row r="3606" spans="23:23" ht="26.4">
      <c r="W3606" s="64" ph="1"/>
    </row>
    <row r="3607" spans="23:23" ht="26.4">
      <c r="W3607" s="64" ph="1"/>
    </row>
    <row r="3608" spans="23:23" ht="26.4">
      <c r="W3608" s="64" ph="1"/>
    </row>
    <row r="3609" spans="23:23" ht="26.4">
      <c r="W3609" s="64" ph="1"/>
    </row>
    <row r="3610" spans="23:23" ht="26.4">
      <c r="W3610" s="64" ph="1"/>
    </row>
    <row r="3611" spans="23:23" ht="26.4">
      <c r="W3611" s="64" ph="1"/>
    </row>
    <row r="3612" spans="23:23" ht="26.4">
      <c r="W3612" s="64" ph="1"/>
    </row>
    <row r="3613" spans="23:23" ht="26.4">
      <c r="W3613" s="64" ph="1"/>
    </row>
    <row r="3614" spans="23:23" ht="26.4">
      <c r="W3614" s="64" ph="1"/>
    </row>
    <row r="3615" spans="23:23" ht="26.4">
      <c r="W3615" s="64" ph="1"/>
    </row>
    <row r="3616" spans="23:23" ht="26.4">
      <c r="W3616" s="64" ph="1"/>
    </row>
    <row r="3617" spans="23:23" ht="26.4">
      <c r="W3617" s="64" ph="1"/>
    </row>
    <row r="3618" spans="23:23" ht="26.4">
      <c r="W3618" s="64" ph="1"/>
    </row>
    <row r="3619" spans="23:23" ht="26.4">
      <c r="W3619" s="64" ph="1"/>
    </row>
    <row r="3620" spans="23:23" ht="26.4">
      <c r="W3620" s="64" ph="1"/>
    </row>
    <row r="3621" spans="23:23" ht="26.4">
      <c r="W3621" s="64" ph="1"/>
    </row>
    <row r="3622" spans="23:23" ht="26.4">
      <c r="W3622" s="64" ph="1"/>
    </row>
    <row r="3623" spans="23:23" ht="26.4">
      <c r="W3623" s="64" ph="1"/>
    </row>
    <row r="3624" spans="23:23" ht="26.4">
      <c r="W3624" s="64" ph="1"/>
    </row>
    <row r="3625" spans="23:23" ht="26.4">
      <c r="W3625" s="64" ph="1"/>
    </row>
    <row r="3626" spans="23:23" ht="26.4">
      <c r="W3626" s="64" ph="1"/>
    </row>
    <row r="3627" spans="23:23" ht="26.4">
      <c r="W3627" s="64" ph="1"/>
    </row>
    <row r="3628" spans="23:23" ht="26.4">
      <c r="W3628" s="64" ph="1"/>
    </row>
    <row r="3629" spans="23:23" ht="26.4">
      <c r="W3629" s="64" ph="1"/>
    </row>
    <row r="3630" spans="23:23" ht="26.4">
      <c r="W3630" s="64" ph="1"/>
    </row>
    <row r="3631" spans="23:23" ht="26.4">
      <c r="W3631" s="64" ph="1"/>
    </row>
    <row r="3632" spans="23:23" ht="26.4">
      <c r="W3632" s="64" ph="1"/>
    </row>
    <row r="3633" spans="23:23" ht="26.4">
      <c r="W3633" s="64" ph="1"/>
    </row>
    <row r="3634" spans="23:23" ht="26.4">
      <c r="W3634" s="64" ph="1"/>
    </row>
    <row r="3635" spans="23:23" ht="26.4">
      <c r="W3635" s="64" ph="1"/>
    </row>
    <row r="3636" spans="23:23" ht="26.4">
      <c r="W3636" s="64" ph="1"/>
    </row>
    <row r="3637" spans="23:23" ht="26.4">
      <c r="W3637" s="64" ph="1"/>
    </row>
    <row r="3638" spans="23:23" ht="26.4">
      <c r="W3638" s="64" ph="1"/>
    </row>
    <row r="3639" spans="23:23" ht="26.4">
      <c r="W3639" s="64" ph="1"/>
    </row>
    <row r="3640" spans="23:23" ht="26.4">
      <c r="W3640" s="64" ph="1"/>
    </row>
    <row r="3641" spans="23:23" ht="26.4">
      <c r="W3641" s="64" ph="1"/>
    </row>
    <row r="3642" spans="23:23" ht="26.4">
      <c r="W3642" s="64" ph="1"/>
    </row>
    <row r="3643" spans="23:23" ht="26.4">
      <c r="W3643" s="64" ph="1"/>
    </row>
    <row r="3644" spans="23:23" ht="26.4">
      <c r="W3644" s="64" ph="1"/>
    </row>
    <row r="3645" spans="23:23" ht="26.4">
      <c r="W3645" s="64" ph="1"/>
    </row>
    <row r="3646" spans="23:23" ht="26.4">
      <c r="W3646" s="64" ph="1"/>
    </row>
    <row r="3647" spans="23:23" ht="26.4">
      <c r="W3647" s="64" ph="1"/>
    </row>
    <row r="3648" spans="23:23" ht="26.4">
      <c r="W3648" s="64" ph="1"/>
    </row>
    <row r="3649" spans="23:23" ht="26.4">
      <c r="W3649" s="64" ph="1"/>
    </row>
    <row r="3650" spans="23:23" ht="26.4">
      <c r="W3650" s="64" ph="1"/>
    </row>
    <row r="3651" spans="23:23" ht="26.4">
      <c r="W3651" s="64" ph="1"/>
    </row>
    <row r="3652" spans="23:23" ht="26.4">
      <c r="W3652" s="64" ph="1"/>
    </row>
    <row r="3653" spans="23:23" ht="26.4">
      <c r="W3653" s="64" ph="1"/>
    </row>
    <row r="3654" spans="23:23" ht="26.4">
      <c r="W3654" s="64" ph="1"/>
    </row>
    <row r="3655" spans="23:23" ht="26.4">
      <c r="W3655" s="64" ph="1"/>
    </row>
    <row r="3656" spans="23:23" ht="26.4">
      <c r="W3656" s="64" ph="1"/>
    </row>
    <row r="3657" spans="23:23" ht="26.4">
      <c r="W3657" s="64" ph="1"/>
    </row>
    <row r="3658" spans="23:23" ht="26.4">
      <c r="W3658" s="64" ph="1"/>
    </row>
    <row r="3659" spans="23:23" ht="26.4">
      <c r="W3659" s="64" ph="1"/>
    </row>
    <row r="3660" spans="23:23" ht="26.4">
      <c r="W3660" s="64" ph="1"/>
    </row>
    <row r="3661" spans="23:23" ht="26.4">
      <c r="W3661" s="64" ph="1"/>
    </row>
    <row r="3662" spans="23:23" ht="26.4">
      <c r="W3662" s="64" ph="1"/>
    </row>
    <row r="3663" spans="23:23" ht="26.4">
      <c r="W3663" s="64" ph="1"/>
    </row>
    <row r="3664" spans="23:23" ht="26.4">
      <c r="W3664" s="64" ph="1"/>
    </row>
    <row r="3665" spans="23:23" ht="26.4">
      <c r="W3665" s="64" ph="1"/>
    </row>
    <row r="3666" spans="23:23" ht="26.4">
      <c r="W3666" s="64" ph="1"/>
    </row>
    <row r="3667" spans="23:23" ht="26.4">
      <c r="W3667" s="64" ph="1"/>
    </row>
    <row r="3668" spans="23:23" ht="26.4">
      <c r="W3668" s="64" ph="1"/>
    </row>
    <row r="3669" spans="23:23" ht="26.4">
      <c r="W3669" s="64" ph="1"/>
    </row>
    <row r="3670" spans="23:23" ht="26.4">
      <c r="W3670" s="64" ph="1"/>
    </row>
    <row r="3671" spans="23:23" ht="26.4">
      <c r="W3671" s="64" ph="1"/>
    </row>
    <row r="3672" spans="23:23" ht="26.4">
      <c r="W3672" s="64" ph="1"/>
    </row>
    <row r="3673" spans="23:23" ht="26.4">
      <c r="W3673" s="64" ph="1"/>
    </row>
    <row r="3674" spans="23:23" ht="26.4">
      <c r="W3674" s="64" ph="1"/>
    </row>
    <row r="3675" spans="23:23" ht="26.4">
      <c r="W3675" s="64" ph="1"/>
    </row>
    <row r="3676" spans="23:23" ht="26.4">
      <c r="W3676" s="64" ph="1"/>
    </row>
    <row r="3677" spans="23:23" ht="26.4">
      <c r="W3677" s="64" ph="1"/>
    </row>
    <row r="3678" spans="23:23" ht="26.4">
      <c r="W3678" s="64" ph="1"/>
    </row>
    <row r="3679" spans="23:23" ht="26.4">
      <c r="W3679" s="64" ph="1"/>
    </row>
    <row r="3680" spans="23:23" ht="26.4">
      <c r="W3680" s="64" ph="1"/>
    </row>
    <row r="3681" spans="23:23" ht="26.4">
      <c r="W3681" s="64" ph="1"/>
    </row>
    <row r="3682" spans="23:23" ht="26.4">
      <c r="W3682" s="64" ph="1"/>
    </row>
    <row r="3683" spans="23:23" ht="26.4">
      <c r="W3683" s="64" ph="1"/>
    </row>
    <row r="3684" spans="23:23" ht="26.4">
      <c r="W3684" s="64" ph="1"/>
    </row>
    <row r="3685" spans="23:23" ht="26.4">
      <c r="W3685" s="64" ph="1"/>
    </row>
    <row r="3686" spans="23:23" ht="26.4">
      <c r="W3686" s="64" ph="1"/>
    </row>
    <row r="3687" spans="23:23" ht="26.4">
      <c r="W3687" s="64" ph="1"/>
    </row>
    <row r="3688" spans="23:23" ht="26.4">
      <c r="W3688" s="64" ph="1"/>
    </row>
    <row r="3689" spans="23:23" ht="26.4">
      <c r="W3689" s="64" ph="1"/>
    </row>
    <row r="3690" spans="23:23" ht="26.4">
      <c r="W3690" s="64" ph="1"/>
    </row>
    <row r="3691" spans="23:23" ht="26.4">
      <c r="W3691" s="64" ph="1"/>
    </row>
    <row r="3692" spans="23:23" ht="26.4">
      <c r="W3692" s="64" ph="1"/>
    </row>
    <row r="3693" spans="23:23" ht="26.4">
      <c r="W3693" s="64" ph="1"/>
    </row>
    <row r="3694" spans="23:23" ht="26.4">
      <c r="W3694" s="64" ph="1"/>
    </row>
    <row r="3695" spans="23:23" ht="26.4">
      <c r="W3695" s="64" ph="1"/>
    </row>
    <row r="3696" spans="23:23" ht="26.4">
      <c r="W3696" s="64" ph="1"/>
    </row>
    <row r="3697" spans="23:23" ht="26.4">
      <c r="W3697" s="64" ph="1"/>
    </row>
    <row r="3698" spans="23:23" ht="26.4">
      <c r="W3698" s="64" ph="1"/>
    </row>
    <row r="3699" spans="23:23" ht="26.4">
      <c r="W3699" s="64" ph="1"/>
    </row>
    <row r="3700" spans="23:23" ht="26.4">
      <c r="W3700" s="64" ph="1"/>
    </row>
    <row r="3701" spans="23:23" ht="26.4">
      <c r="W3701" s="64" ph="1"/>
    </row>
    <row r="3702" spans="23:23" ht="26.4">
      <c r="W3702" s="64" ph="1"/>
    </row>
    <row r="3703" spans="23:23" ht="26.4">
      <c r="W3703" s="64" ph="1"/>
    </row>
    <row r="3704" spans="23:23" ht="26.4">
      <c r="W3704" s="64" ph="1"/>
    </row>
    <row r="3705" spans="23:23" ht="26.4">
      <c r="W3705" s="64" ph="1"/>
    </row>
    <row r="3706" spans="23:23" ht="26.4">
      <c r="W3706" s="64" ph="1"/>
    </row>
    <row r="3707" spans="23:23" ht="26.4">
      <c r="W3707" s="64" ph="1"/>
    </row>
    <row r="3708" spans="23:23" ht="26.4">
      <c r="W3708" s="64" ph="1"/>
    </row>
    <row r="3709" spans="23:23" ht="26.4">
      <c r="W3709" s="64" ph="1"/>
    </row>
    <row r="3710" spans="23:23" ht="26.4">
      <c r="W3710" s="64" ph="1"/>
    </row>
    <row r="3711" spans="23:23" ht="26.4">
      <c r="W3711" s="64" ph="1"/>
    </row>
    <row r="3712" spans="23:23" ht="26.4">
      <c r="W3712" s="64" ph="1"/>
    </row>
    <row r="3713" spans="23:23" ht="26.4">
      <c r="W3713" s="64" ph="1"/>
    </row>
    <row r="3714" spans="23:23" ht="26.4">
      <c r="W3714" s="64" ph="1"/>
    </row>
    <row r="3715" spans="23:23" ht="26.4">
      <c r="W3715" s="64" ph="1"/>
    </row>
    <row r="3716" spans="23:23" ht="26.4">
      <c r="W3716" s="64" ph="1"/>
    </row>
    <row r="3717" spans="23:23" ht="26.4">
      <c r="W3717" s="64" ph="1"/>
    </row>
    <row r="3718" spans="23:23" ht="26.4">
      <c r="W3718" s="64" ph="1"/>
    </row>
    <row r="3719" spans="23:23" ht="26.4">
      <c r="W3719" s="64" ph="1"/>
    </row>
    <row r="3720" spans="23:23" ht="26.4">
      <c r="W3720" s="64" ph="1"/>
    </row>
    <row r="3721" spans="23:23" ht="26.4">
      <c r="W3721" s="64" ph="1"/>
    </row>
    <row r="3722" spans="23:23" ht="26.4">
      <c r="W3722" s="64" ph="1"/>
    </row>
    <row r="3723" spans="23:23" ht="26.4">
      <c r="W3723" s="64" ph="1"/>
    </row>
    <row r="3724" spans="23:23" ht="26.4">
      <c r="W3724" s="64" ph="1"/>
    </row>
    <row r="3725" spans="23:23" ht="26.4">
      <c r="W3725" s="64" ph="1"/>
    </row>
    <row r="3726" spans="23:23" ht="26.4">
      <c r="W3726" s="64" ph="1"/>
    </row>
    <row r="3727" spans="23:23" ht="26.4">
      <c r="W3727" s="64" ph="1"/>
    </row>
    <row r="3728" spans="23:23" ht="26.4">
      <c r="W3728" s="64" ph="1"/>
    </row>
    <row r="3729" spans="23:23" ht="26.4">
      <c r="W3729" s="64" ph="1"/>
    </row>
    <row r="3730" spans="23:23" ht="26.4">
      <c r="W3730" s="64" ph="1"/>
    </row>
    <row r="3731" spans="23:23" ht="26.4">
      <c r="W3731" s="64" ph="1"/>
    </row>
    <row r="3732" spans="23:23" ht="26.4">
      <c r="W3732" s="64" ph="1"/>
    </row>
    <row r="3733" spans="23:23" ht="26.4">
      <c r="W3733" s="64" ph="1"/>
    </row>
    <row r="3734" spans="23:23" ht="26.4">
      <c r="W3734" s="64" ph="1"/>
    </row>
    <row r="3735" spans="23:23" ht="26.4">
      <c r="W3735" s="64" ph="1"/>
    </row>
    <row r="3736" spans="23:23" ht="26.4">
      <c r="W3736" s="64" ph="1"/>
    </row>
    <row r="3737" spans="23:23" ht="26.4">
      <c r="W3737" s="64" ph="1"/>
    </row>
    <row r="3738" spans="23:23" ht="26.4">
      <c r="W3738" s="64" ph="1"/>
    </row>
    <row r="3739" spans="23:23" ht="26.4">
      <c r="W3739" s="64" ph="1"/>
    </row>
    <row r="3740" spans="23:23" ht="26.4">
      <c r="W3740" s="64" ph="1"/>
    </row>
    <row r="3741" spans="23:23" ht="26.4">
      <c r="W3741" s="64" ph="1"/>
    </row>
    <row r="3742" spans="23:23" ht="26.4">
      <c r="W3742" s="64" ph="1"/>
    </row>
    <row r="3743" spans="23:23" ht="26.4">
      <c r="W3743" s="64" ph="1"/>
    </row>
    <row r="3744" spans="23:23" ht="26.4">
      <c r="W3744" s="64" ph="1"/>
    </row>
    <row r="3745" spans="23:23" ht="26.4">
      <c r="W3745" s="64" ph="1"/>
    </row>
    <row r="3746" spans="23:23" ht="26.4">
      <c r="W3746" s="64" ph="1"/>
    </row>
    <row r="3747" spans="23:23" ht="26.4">
      <c r="W3747" s="64" ph="1"/>
    </row>
    <row r="3748" spans="23:23" ht="26.4">
      <c r="W3748" s="64" ph="1"/>
    </row>
    <row r="3749" spans="23:23" ht="26.4">
      <c r="W3749" s="64" ph="1"/>
    </row>
    <row r="3750" spans="23:23" ht="26.4">
      <c r="W3750" s="64" ph="1"/>
    </row>
    <row r="3751" spans="23:23" ht="26.4">
      <c r="W3751" s="64" ph="1"/>
    </row>
    <row r="3752" spans="23:23" ht="26.4">
      <c r="W3752" s="64" ph="1"/>
    </row>
    <row r="3753" spans="23:23" ht="26.4">
      <c r="W3753" s="64" ph="1"/>
    </row>
    <row r="3754" spans="23:23" ht="26.4">
      <c r="W3754" s="64" ph="1"/>
    </row>
    <row r="3755" spans="23:23" ht="26.4">
      <c r="W3755" s="64" ph="1"/>
    </row>
    <row r="3756" spans="23:23" ht="26.4">
      <c r="W3756" s="64" ph="1"/>
    </row>
    <row r="3757" spans="23:23" ht="26.4">
      <c r="W3757" s="64" ph="1"/>
    </row>
    <row r="3758" spans="23:23" ht="26.4">
      <c r="W3758" s="64" ph="1"/>
    </row>
    <row r="3759" spans="23:23" ht="26.4">
      <c r="W3759" s="64" ph="1"/>
    </row>
    <row r="3760" spans="23:23" ht="26.4">
      <c r="W3760" s="64" ph="1"/>
    </row>
    <row r="3761" spans="23:23" ht="26.4">
      <c r="W3761" s="64" ph="1"/>
    </row>
    <row r="3762" spans="23:23" ht="26.4">
      <c r="W3762" s="64" ph="1"/>
    </row>
    <row r="3763" spans="23:23" ht="26.4">
      <c r="W3763" s="64" ph="1"/>
    </row>
    <row r="3764" spans="23:23" ht="26.4">
      <c r="W3764" s="64" ph="1"/>
    </row>
    <row r="3765" spans="23:23" ht="26.4">
      <c r="W3765" s="64" ph="1"/>
    </row>
    <row r="3766" spans="23:23" ht="26.4">
      <c r="W3766" s="64" ph="1"/>
    </row>
    <row r="3767" spans="23:23" ht="26.4">
      <c r="W3767" s="64" ph="1"/>
    </row>
    <row r="3768" spans="23:23" ht="26.4">
      <c r="W3768" s="64" ph="1"/>
    </row>
    <row r="3769" spans="23:23" ht="26.4">
      <c r="W3769" s="64" ph="1"/>
    </row>
    <row r="3770" spans="23:23" ht="26.4">
      <c r="W3770" s="64" ph="1"/>
    </row>
    <row r="3771" spans="23:23" ht="26.4">
      <c r="W3771" s="64" ph="1"/>
    </row>
    <row r="3772" spans="23:23" ht="26.4">
      <c r="W3772" s="64" ph="1"/>
    </row>
    <row r="3773" spans="23:23" ht="26.4">
      <c r="W3773" s="64" ph="1"/>
    </row>
    <row r="3774" spans="23:23" ht="26.4">
      <c r="W3774" s="64" ph="1"/>
    </row>
    <row r="3775" spans="23:23" ht="26.4">
      <c r="W3775" s="64" ph="1"/>
    </row>
    <row r="3776" spans="23:23" ht="26.4">
      <c r="W3776" s="64" ph="1"/>
    </row>
    <row r="3777" spans="23:23" ht="26.4">
      <c r="W3777" s="64" ph="1"/>
    </row>
    <row r="3778" spans="23:23" ht="26.4">
      <c r="W3778" s="64" ph="1"/>
    </row>
    <row r="3779" spans="23:23" ht="26.4">
      <c r="W3779" s="64" ph="1"/>
    </row>
    <row r="3780" spans="23:23" ht="26.4">
      <c r="W3780" s="64" ph="1"/>
    </row>
    <row r="3781" spans="23:23" ht="26.4">
      <c r="W3781" s="64" ph="1"/>
    </row>
    <row r="3782" spans="23:23" ht="26.4">
      <c r="W3782" s="64" ph="1"/>
    </row>
    <row r="3783" spans="23:23" ht="26.4">
      <c r="W3783" s="64" ph="1"/>
    </row>
    <row r="3784" spans="23:23" ht="26.4">
      <c r="W3784" s="64" ph="1"/>
    </row>
    <row r="3785" spans="23:23" ht="26.4">
      <c r="W3785" s="64" ph="1"/>
    </row>
    <row r="3786" spans="23:23" ht="26.4">
      <c r="W3786" s="64" ph="1"/>
    </row>
    <row r="3787" spans="23:23" ht="26.4">
      <c r="W3787" s="64" ph="1"/>
    </row>
    <row r="3788" spans="23:23" ht="26.4">
      <c r="W3788" s="64" ph="1"/>
    </row>
    <row r="3789" spans="23:23" ht="26.4">
      <c r="W3789" s="64" ph="1"/>
    </row>
    <row r="3790" spans="23:23" ht="26.4">
      <c r="W3790" s="64" ph="1"/>
    </row>
    <row r="3791" spans="23:23" ht="26.4">
      <c r="W3791" s="64" ph="1"/>
    </row>
    <row r="3792" spans="23:23" ht="26.4">
      <c r="W3792" s="64" ph="1"/>
    </row>
    <row r="3793" spans="23:23" ht="26.4">
      <c r="W3793" s="64" ph="1"/>
    </row>
    <row r="3794" spans="23:23" ht="26.4">
      <c r="W3794" s="64" ph="1"/>
    </row>
    <row r="3795" spans="23:23" ht="26.4">
      <c r="W3795" s="64" ph="1"/>
    </row>
    <row r="3796" spans="23:23" ht="26.4">
      <c r="W3796" s="64" ph="1"/>
    </row>
    <row r="3797" spans="23:23" ht="26.4">
      <c r="W3797" s="64" ph="1"/>
    </row>
    <row r="3798" spans="23:23" ht="26.4">
      <c r="W3798" s="64" ph="1"/>
    </row>
    <row r="3799" spans="23:23" ht="26.4">
      <c r="W3799" s="64" ph="1"/>
    </row>
    <row r="3800" spans="23:23" ht="26.4">
      <c r="W3800" s="64" ph="1"/>
    </row>
    <row r="3801" spans="23:23" ht="26.4">
      <c r="W3801" s="64" ph="1"/>
    </row>
    <row r="3802" spans="23:23" ht="26.4">
      <c r="W3802" s="64" ph="1"/>
    </row>
    <row r="3803" spans="23:23" ht="26.4">
      <c r="W3803" s="64" ph="1"/>
    </row>
    <row r="3804" spans="23:23" ht="26.4">
      <c r="W3804" s="64" ph="1"/>
    </row>
    <row r="3805" spans="23:23" ht="26.4">
      <c r="W3805" s="64" ph="1"/>
    </row>
    <row r="3806" spans="23:23" ht="26.4">
      <c r="W3806" s="64" ph="1"/>
    </row>
    <row r="3807" spans="23:23" ht="26.4">
      <c r="W3807" s="64" ph="1"/>
    </row>
    <row r="3808" spans="23:23" ht="26.4">
      <c r="W3808" s="64" ph="1"/>
    </row>
    <row r="3809" spans="23:23" ht="26.4">
      <c r="W3809" s="64" ph="1"/>
    </row>
    <row r="3810" spans="23:23" ht="26.4">
      <c r="W3810" s="64" ph="1"/>
    </row>
    <row r="3811" spans="23:23" ht="26.4">
      <c r="W3811" s="64" ph="1"/>
    </row>
    <row r="3812" spans="23:23" ht="26.4">
      <c r="W3812" s="64" ph="1"/>
    </row>
    <row r="3813" spans="23:23" ht="26.4">
      <c r="W3813" s="64" ph="1"/>
    </row>
    <row r="3814" spans="23:23" ht="26.4">
      <c r="W3814" s="64" ph="1"/>
    </row>
    <row r="3815" spans="23:23" ht="26.4">
      <c r="W3815" s="64" ph="1"/>
    </row>
    <row r="3816" spans="23:23" ht="26.4">
      <c r="W3816" s="64" ph="1"/>
    </row>
    <row r="3817" spans="23:23" ht="26.4">
      <c r="W3817" s="64" ph="1"/>
    </row>
    <row r="3818" spans="23:23" ht="26.4">
      <c r="W3818" s="64" ph="1"/>
    </row>
    <row r="3819" spans="23:23" ht="26.4">
      <c r="W3819" s="64" ph="1"/>
    </row>
    <row r="3820" spans="23:23" ht="26.4">
      <c r="W3820" s="64" ph="1"/>
    </row>
    <row r="3821" spans="23:23" ht="26.4">
      <c r="W3821" s="64" ph="1"/>
    </row>
    <row r="3822" spans="23:23" ht="26.4">
      <c r="W3822" s="64" ph="1"/>
    </row>
    <row r="3823" spans="23:23" ht="26.4">
      <c r="W3823" s="64" ph="1"/>
    </row>
    <row r="3824" spans="23:23" ht="26.4">
      <c r="W3824" s="64" ph="1"/>
    </row>
    <row r="3825" spans="23:23" ht="26.4">
      <c r="W3825" s="64" ph="1"/>
    </row>
    <row r="3826" spans="23:23" ht="26.4">
      <c r="W3826" s="64" ph="1"/>
    </row>
    <row r="3827" spans="23:23" ht="26.4">
      <c r="W3827" s="64" ph="1"/>
    </row>
    <row r="3828" spans="23:23" ht="26.4">
      <c r="W3828" s="64" ph="1"/>
    </row>
    <row r="3829" spans="23:23" ht="26.4">
      <c r="W3829" s="64" ph="1"/>
    </row>
    <row r="3830" spans="23:23" ht="26.4">
      <c r="W3830" s="64" ph="1"/>
    </row>
    <row r="3831" spans="23:23" ht="26.4">
      <c r="W3831" s="64" ph="1"/>
    </row>
    <row r="3832" spans="23:23" ht="26.4">
      <c r="W3832" s="64" ph="1"/>
    </row>
    <row r="3833" spans="23:23" ht="26.4">
      <c r="W3833" s="64" ph="1"/>
    </row>
    <row r="3834" spans="23:23" ht="26.4">
      <c r="W3834" s="64" ph="1"/>
    </row>
    <row r="3835" spans="23:23" ht="26.4">
      <c r="W3835" s="64" ph="1"/>
    </row>
    <row r="3836" spans="23:23" ht="26.4">
      <c r="W3836" s="64" ph="1"/>
    </row>
    <row r="3837" spans="23:23" ht="26.4">
      <c r="W3837" s="64" ph="1"/>
    </row>
    <row r="3838" spans="23:23" ht="26.4">
      <c r="W3838" s="64" ph="1"/>
    </row>
    <row r="3839" spans="23:23" ht="26.4">
      <c r="W3839" s="64" ph="1"/>
    </row>
    <row r="3840" spans="23:23" ht="26.4">
      <c r="W3840" s="64" ph="1"/>
    </row>
    <row r="3841" spans="23:23" ht="26.4">
      <c r="W3841" s="64" ph="1"/>
    </row>
    <row r="3842" spans="23:23" ht="26.4">
      <c r="W3842" s="64" ph="1"/>
    </row>
    <row r="3843" spans="23:23" ht="26.4">
      <c r="W3843" s="64" ph="1"/>
    </row>
    <row r="3844" spans="23:23" ht="26.4">
      <c r="W3844" s="64" ph="1"/>
    </row>
    <row r="3845" spans="23:23" ht="26.4">
      <c r="W3845" s="64" ph="1"/>
    </row>
    <row r="3846" spans="23:23" ht="26.4">
      <c r="W3846" s="64" ph="1"/>
    </row>
    <row r="3847" spans="23:23" ht="26.4">
      <c r="W3847" s="64" ph="1"/>
    </row>
    <row r="3848" spans="23:23" ht="26.4">
      <c r="W3848" s="64" ph="1"/>
    </row>
    <row r="3849" spans="23:23" ht="26.4">
      <c r="W3849" s="64" ph="1"/>
    </row>
    <row r="3850" spans="23:23" ht="26.4">
      <c r="W3850" s="64" ph="1"/>
    </row>
    <row r="3851" spans="23:23" ht="26.4">
      <c r="W3851" s="64" ph="1"/>
    </row>
    <row r="3852" spans="23:23" ht="26.4">
      <c r="W3852" s="64" ph="1"/>
    </row>
    <row r="3853" spans="23:23" ht="26.4">
      <c r="W3853" s="64" ph="1"/>
    </row>
    <row r="3854" spans="23:23" ht="26.4">
      <c r="W3854" s="64" ph="1"/>
    </row>
    <row r="3855" spans="23:23" ht="26.4">
      <c r="W3855" s="64" ph="1"/>
    </row>
    <row r="3856" spans="23:23" ht="26.4">
      <c r="W3856" s="64" ph="1"/>
    </row>
    <row r="3857" spans="23:23" ht="26.4">
      <c r="W3857" s="64" ph="1"/>
    </row>
    <row r="3858" spans="23:23" ht="26.4">
      <c r="W3858" s="64" ph="1"/>
    </row>
    <row r="3859" spans="23:23" ht="26.4">
      <c r="W3859" s="64" ph="1"/>
    </row>
    <row r="3860" spans="23:23" ht="26.4">
      <c r="W3860" s="64" ph="1"/>
    </row>
    <row r="3861" spans="23:23" ht="26.4">
      <c r="W3861" s="64" ph="1"/>
    </row>
    <row r="3862" spans="23:23" ht="26.4">
      <c r="W3862" s="64" ph="1"/>
    </row>
    <row r="3863" spans="23:23" ht="26.4">
      <c r="W3863" s="64" ph="1"/>
    </row>
    <row r="3864" spans="23:23" ht="26.4">
      <c r="W3864" s="64" ph="1"/>
    </row>
    <row r="3865" spans="23:23" ht="26.4">
      <c r="W3865" s="64" ph="1"/>
    </row>
    <row r="3866" spans="23:23" ht="26.4">
      <c r="W3866" s="64" ph="1"/>
    </row>
    <row r="3867" spans="23:23" ht="26.4">
      <c r="W3867" s="64" ph="1"/>
    </row>
    <row r="3868" spans="23:23" ht="26.4">
      <c r="W3868" s="64" ph="1"/>
    </row>
    <row r="3869" spans="23:23" ht="26.4">
      <c r="W3869" s="64" ph="1"/>
    </row>
    <row r="3870" spans="23:23" ht="26.4">
      <c r="W3870" s="64" ph="1"/>
    </row>
    <row r="3871" spans="23:23" ht="26.4">
      <c r="W3871" s="64" ph="1"/>
    </row>
    <row r="3872" spans="23:23" ht="26.4">
      <c r="W3872" s="64" ph="1"/>
    </row>
    <row r="3873" spans="23:23" ht="26.4">
      <c r="W3873" s="64" ph="1"/>
    </row>
    <row r="3874" spans="23:23" ht="26.4">
      <c r="W3874" s="64" ph="1"/>
    </row>
    <row r="3875" spans="23:23" ht="26.4">
      <c r="W3875" s="64" ph="1"/>
    </row>
    <row r="3876" spans="23:23" ht="26.4">
      <c r="W3876" s="64" ph="1"/>
    </row>
    <row r="3877" spans="23:23" ht="26.4">
      <c r="W3877" s="64" ph="1"/>
    </row>
    <row r="3878" spans="23:23" ht="26.4">
      <c r="W3878" s="64" ph="1"/>
    </row>
    <row r="3879" spans="23:23" ht="26.4">
      <c r="W3879" s="64" ph="1"/>
    </row>
    <row r="3880" spans="23:23" ht="26.4">
      <c r="W3880" s="64" ph="1"/>
    </row>
    <row r="3881" spans="23:23" ht="26.4">
      <c r="W3881" s="64" ph="1"/>
    </row>
    <row r="3882" spans="23:23" ht="26.4">
      <c r="W3882" s="64" ph="1"/>
    </row>
    <row r="3883" spans="23:23" ht="26.4">
      <c r="W3883" s="64" ph="1"/>
    </row>
    <row r="3884" spans="23:23" ht="26.4">
      <c r="W3884" s="64" ph="1"/>
    </row>
    <row r="3885" spans="23:23" ht="26.4">
      <c r="W3885" s="64" ph="1"/>
    </row>
    <row r="3886" spans="23:23" ht="26.4">
      <c r="W3886" s="64" ph="1"/>
    </row>
    <row r="3887" spans="23:23" ht="26.4">
      <c r="W3887" s="64" ph="1"/>
    </row>
    <row r="3888" spans="23:23" ht="26.4">
      <c r="W3888" s="64" ph="1"/>
    </row>
    <row r="3889" spans="23:23" ht="26.4">
      <c r="W3889" s="64" ph="1"/>
    </row>
    <row r="3890" spans="23:23" ht="26.4">
      <c r="W3890" s="64" ph="1"/>
    </row>
    <row r="3891" spans="23:23" ht="26.4">
      <c r="W3891" s="64" ph="1"/>
    </row>
    <row r="3892" spans="23:23" ht="26.4">
      <c r="W3892" s="64" ph="1"/>
    </row>
    <row r="3893" spans="23:23" ht="26.4">
      <c r="W3893" s="64" ph="1"/>
    </row>
    <row r="3894" spans="23:23" ht="26.4">
      <c r="W3894" s="64" ph="1"/>
    </row>
    <row r="3895" spans="23:23" ht="26.4">
      <c r="W3895" s="64" ph="1"/>
    </row>
    <row r="3896" spans="23:23" ht="26.4">
      <c r="W3896" s="64" ph="1"/>
    </row>
    <row r="3897" spans="23:23" ht="26.4">
      <c r="W3897" s="64" ph="1"/>
    </row>
    <row r="3898" spans="23:23" ht="26.4">
      <c r="W3898" s="64" ph="1"/>
    </row>
    <row r="3899" spans="23:23" ht="26.4">
      <c r="W3899" s="64" ph="1"/>
    </row>
    <row r="3900" spans="23:23" ht="26.4">
      <c r="W3900" s="64" ph="1"/>
    </row>
    <row r="3901" spans="23:23" ht="26.4">
      <c r="W3901" s="64" ph="1"/>
    </row>
    <row r="3902" spans="23:23" ht="26.4">
      <c r="W3902" s="64" ph="1"/>
    </row>
    <row r="3903" spans="23:23" ht="26.4">
      <c r="W3903" s="64" ph="1"/>
    </row>
    <row r="3904" spans="23:23" ht="26.4">
      <c r="W3904" s="64" ph="1"/>
    </row>
    <row r="3905" spans="23:23" ht="26.4">
      <c r="W3905" s="64" ph="1"/>
    </row>
    <row r="3906" spans="23:23" ht="26.4">
      <c r="W3906" s="64" ph="1"/>
    </row>
    <row r="3907" spans="23:23" ht="26.4">
      <c r="W3907" s="64" ph="1"/>
    </row>
    <row r="3908" spans="23:23" ht="26.4">
      <c r="W3908" s="64" ph="1"/>
    </row>
    <row r="3909" spans="23:23" ht="26.4">
      <c r="W3909" s="64" ph="1"/>
    </row>
    <row r="3910" spans="23:23" ht="26.4">
      <c r="W3910" s="64" ph="1"/>
    </row>
    <row r="3911" spans="23:23" ht="26.4">
      <c r="W3911" s="64" ph="1"/>
    </row>
    <row r="3912" spans="23:23" ht="26.4">
      <c r="W3912" s="64" ph="1"/>
    </row>
    <row r="3913" spans="23:23" ht="26.4">
      <c r="W3913" s="64" ph="1"/>
    </row>
    <row r="3914" spans="23:23" ht="26.4">
      <c r="W3914" s="64" ph="1"/>
    </row>
    <row r="3915" spans="23:23" ht="26.4">
      <c r="W3915" s="64" ph="1"/>
    </row>
    <row r="3916" spans="23:23" ht="26.4">
      <c r="W3916" s="64" ph="1"/>
    </row>
    <row r="3917" spans="23:23" ht="26.4">
      <c r="W3917" s="64" ph="1"/>
    </row>
    <row r="3918" spans="23:23" ht="26.4">
      <c r="W3918" s="64" ph="1"/>
    </row>
    <row r="3919" spans="23:23" ht="26.4">
      <c r="W3919" s="64" ph="1"/>
    </row>
    <row r="3920" spans="23:23" ht="26.4">
      <c r="W3920" s="64" ph="1"/>
    </row>
    <row r="3921" spans="23:23" ht="26.4">
      <c r="W3921" s="64" ph="1"/>
    </row>
    <row r="3922" spans="23:23" ht="26.4">
      <c r="W3922" s="64" ph="1"/>
    </row>
    <row r="3923" spans="23:23" ht="26.4">
      <c r="W3923" s="64" ph="1"/>
    </row>
    <row r="3924" spans="23:23" ht="26.4">
      <c r="W3924" s="64" ph="1"/>
    </row>
    <row r="3925" spans="23:23" ht="26.4">
      <c r="W3925" s="64" ph="1"/>
    </row>
    <row r="3926" spans="23:23" ht="26.4">
      <c r="W3926" s="64" ph="1"/>
    </row>
    <row r="3927" spans="23:23" ht="26.4">
      <c r="W3927" s="64" ph="1"/>
    </row>
    <row r="3928" spans="23:23" ht="26.4">
      <c r="W3928" s="64" ph="1"/>
    </row>
    <row r="3929" spans="23:23" ht="26.4">
      <c r="W3929" s="64" ph="1"/>
    </row>
    <row r="3930" spans="23:23" ht="26.4">
      <c r="W3930" s="64" ph="1"/>
    </row>
    <row r="3931" spans="23:23" ht="26.4">
      <c r="W3931" s="64" ph="1"/>
    </row>
    <row r="3932" spans="23:23" ht="26.4">
      <c r="W3932" s="64" ph="1"/>
    </row>
    <row r="3933" spans="23:23" ht="26.4">
      <c r="W3933" s="64" ph="1"/>
    </row>
    <row r="3934" spans="23:23" ht="26.4">
      <c r="W3934" s="64" ph="1"/>
    </row>
    <row r="3935" spans="23:23" ht="26.4">
      <c r="W3935" s="64" ph="1"/>
    </row>
    <row r="3936" spans="23:23" ht="26.4">
      <c r="W3936" s="64" ph="1"/>
    </row>
    <row r="3937" spans="23:23" ht="26.4">
      <c r="W3937" s="64" ph="1"/>
    </row>
    <row r="3938" spans="23:23" ht="26.4">
      <c r="W3938" s="64" ph="1"/>
    </row>
    <row r="3939" spans="23:23" ht="26.4">
      <c r="W3939" s="64" ph="1"/>
    </row>
    <row r="3940" spans="23:23" ht="26.4">
      <c r="W3940" s="64" ph="1"/>
    </row>
    <row r="3941" spans="23:23" ht="26.4">
      <c r="W3941" s="64" ph="1"/>
    </row>
    <row r="3942" spans="23:23" ht="26.4">
      <c r="W3942" s="64" ph="1"/>
    </row>
    <row r="3943" spans="23:23" ht="26.4">
      <c r="W3943" s="64" ph="1"/>
    </row>
    <row r="3944" spans="23:23" ht="26.4">
      <c r="W3944" s="64" ph="1"/>
    </row>
    <row r="3945" spans="23:23" ht="26.4">
      <c r="W3945" s="64" ph="1"/>
    </row>
    <row r="3946" spans="23:23" ht="26.4">
      <c r="W3946" s="64" ph="1"/>
    </row>
    <row r="3947" spans="23:23" ht="26.4">
      <c r="W3947" s="64" ph="1"/>
    </row>
    <row r="3948" spans="23:23" ht="26.4">
      <c r="W3948" s="64" ph="1"/>
    </row>
    <row r="3949" spans="23:23" ht="26.4">
      <c r="W3949" s="64" ph="1"/>
    </row>
    <row r="3950" spans="23:23" ht="26.4">
      <c r="W3950" s="64" ph="1"/>
    </row>
    <row r="3951" spans="23:23" ht="26.4">
      <c r="W3951" s="64" ph="1"/>
    </row>
    <row r="3952" spans="23:23" ht="26.4">
      <c r="W3952" s="64" ph="1"/>
    </row>
    <row r="3953" spans="23:23" ht="26.4">
      <c r="W3953" s="64" ph="1"/>
    </row>
    <row r="3954" spans="23:23" ht="26.4">
      <c r="W3954" s="64" ph="1"/>
    </row>
    <row r="3955" spans="23:23" ht="26.4">
      <c r="W3955" s="64" ph="1"/>
    </row>
    <row r="3956" spans="23:23" ht="26.4">
      <c r="W3956" s="64" ph="1"/>
    </row>
    <row r="3957" spans="23:23" ht="26.4">
      <c r="W3957" s="64" ph="1"/>
    </row>
    <row r="3958" spans="23:23" ht="26.4">
      <c r="W3958" s="64" ph="1"/>
    </row>
    <row r="3959" spans="23:23" ht="26.4">
      <c r="W3959" s="64" ph="1"/>
    </row>
    <row r="3960" spans="23:23" ht="26.4">
      <c r="W3960" s="64" ph="1"/>
    </row>
    <row r="3961" spans="23:23" ht="26.4">
      <c r="W3961" s="64" ph="1"/>
    </row>
    <row r="3962" spans="23:23" ht="26.4">
      <c r="W3962" s="64" ph="1"/>
    </row>
    <row r="3963" spans="23:23" ht="26.4">
      <c r="W3963" s="64" ph="1"/>
    </row>
    <row r="3964" spans="23:23" ht="26.4">
      <c r="W3964" s="64" ph="1"/>
    </row>
    <row r="3965" spans="23:23" ht="26.4">
      <c r="W3965" s="64" ph="1"/>
    </row>
    <row r="3966" spans="23:23" ht="26.4">
      <c r="W3966" s="64" ph="1"/>
    </row>
    <row r="3967" spans="23:23" ht="26.4">
      <c r="W3967" s="64" ph="1"/>
    </row>
    <row r="3968" spans="23:23" ht="26.4">
      <c r="W3968" s="64" ph="1"/>
    </row>
    <row r="3969" spans="23:23" ht="26.4">
      <c r="W3969" s="64" ph="1"/>
    </row>
    <row r="3970" spans="23:23" ht="26.4">
      <c r="W3970" s="64" ph="1"/>
    </row>
    <row r="3971" spans="23:23" ht="26.4">
      <c r="W3971" s="64" ph="1"/>
    </row>
    <row r="3972" spans="23:23" ht="26.4">
      <c r="W3972" s="64" ph="1"/>
    </row>
    <row r="3973" spans="23:23" ht="26.4">
      <c r="W3973" s="64" ph="1"/>
    </row>
    <row r="3974" spans="23:23" ht="26.4">
      <c r="W3974" s="64" ph="1"/>
    </row>
    <row r="3975" spans="23:23" ht="26.4">
      <c r="W3975" s="64" ph="1"/>
    </row>
    <row r="3976" spans="23:23" ht="26.4">
      <c r="W3976" s="64" ph="1"/>
    </row>
    <row r="3977" spans="23:23" ht="26.4">
      <c r="W3977" s="64" ph="1"/>
    </row>
    <row r="3978" spans="23:23" ht="26.4">
      <c r="W3978" s="64" ph="1"/>
    </row>
    <row r="3979" spans="23:23" ht="26.4">
      <c r="W3979" s="64" ph="1"/>
    </row>
    <row r="3980" spans="23:23" ht="26.4">
      <c r="W3980" s="64" ph="1"/>
    </row>
    <row r="3981" spans="23:23" ht="26.4">
      <c r="W3981" s="64" ph="1"/>
    </row>
    <row r="3982" spans="23:23" ht="26.4">
      <c r="W3982" s="64" ph="1"/>
    </row>
    <row r="3983" spans="23:23" ht="26.4">
      <c r="W3983" s="64" ph="1"/>
    </row>
    <row r="3984" spans="23:23" ht="26.4">
      <c r="W3984" s="64" ph="1"/>
    </row>
    <row r="3985" spans="23:23" ht="26.4">
      <c r="W3985" s="64" ph="1"/>
    </row>
    <row r="3986" spans="23:23" ht="26.4">
      <c r="W3986" s="64" ph="1"/>
    </row>
    <row r="3987" spans="23:23" ht="26.4">
      <c r="W3987" s="64" ph="1"/>
    </row>
    <row r="3988" spans="23:23" ht="26.4">
      <c r="W3988" s="64" ph="1"/>
    </row>
    <row r="3989" spans="23:23" ht="26.4">
      <c r="W3989" s="64" ph="1"/>
    </row>
    <row r="3990" spans="23:23" ht="26.4">
      <c r="W3990" s="64" ph="1"/>
    </row>
    <row r="3991" spans="23:23" ht="26.4">
      <c r="W3991" s="64" ph="1"/>
    </row>
    <row r="3992" spans="23:23" ht="26.4">
      <c r="W3992" s="64" ph="1"/>
    </row>
    <row r="3993" spans="23:23" ht="26.4">
      <c r="W3993" s="64" ph="1"/>
    </row>
    <row r="3994" spans="23:23" ht="26.4">
      <c r="W3994" s="64" ph="1"/>
    </row>
    <row r="3995" spans="23:23" ht="26.4">
      <c r="W3995" s="64" ph="1"/>
    </row>
    <row r="3996" spans="23:23" ht="26.4">
      <c r="W3996" s="64" ph="1"/>
    </row>
    <row r="3997" spans="23:23" ht="26.4">
      <c r="W3997" s="64" ph="1"/>
    </row>
    <row r="3998" spans="23:23" ht="26.4">
      <c r="W3998" s="64" ph="1"/>
    </row>
    <row r="3999" spans="23:23" ht="26.4">
      <c r="W3999" s="64" ph="1"/>
    </row>
    <row r="4000" spans="23:23" ht="26.4">
      <c r="W4000" s="64" ph="1"/>
    </row>
    <row r="4001" spans="23:23" ht="26.4">
      <c r="W4001" s="64" ph="1"/>
    </row>
    <row r="4002" spans="23:23" ht="26.4">
      <c r="W4002" s="64" ph="1"/>
    </row>
    <row r="4003" spans="23:23" ht="26.4">
      <c r="W4003" s="64" ph="1"/>
    </row>
    <row r="4004" spans="23:23" ht="26.4">
      <c r="W4004" s="64" ph="1"/>
    </row>
    <row r="4005" spans="23:23" ht="26.4">
      <c r="W4005" s="64" ph="1"/>
    </row>
    <row r="4006" spans="23:23" ht="26.4">
      <c r="W4006" s="64" ph="1"/>
    </row>
    <row r="4007" spans="23:23" ht="26.4">
      <c r="W4007" s="64" ph="1"/>
    </row>
    <row r="4008" spans="23:23" ht="26.4">
      <c r="W4008" s="64" ph="1"/>
    </row>
    <row r="4009" spans="23:23" ht="26.4">
      <c r="W4009" s="64" ph="1"/>
    </row>
    <row r="4010" spans="23:23" ht="26.4">
      <c r="W4010" s="64" ph="1"/>
    </row>
    <row r="4011" spans="23:23" ht="26.4">
      <c r="W4011" s="64" ph="1"/>
    </row>
    <row r="4012" spans="23:23" ht="26.4">
      <c r="W4012" s="64" ph="1"/>
    </row>
    <row r="4013" spans="23:23" ht="26.4">
      <c r="W4013" s="64" ph="1"/>
    </row>
    <row r="4014" spans="23:23" ht="26.4">
      <c r="W4014" s="64" ph="1"/>
    </row>
    <row r="4015" spans="23:23" ht="26.4">
      <c r="W4015" s="64" ph="1"/>
    </row>
    <row r="4016" spans="23:23" ht="26.4">
      <c r="W4016" s="64" ph="1"/>
    </row>
    <row r="4017" spans="23:23" ht="26.4">
      <c r="W4017" s="64" ph="1"/>
    </row>
    <row r="4018" spans="23:23" ht="26.4">
      <c r="W4018" s="64" ph="1"/>
    </row>
    <row r="4019" spans="23:23" ht="26.4">
      <c r="W4019" s="64" ph="1"/>
    </row>
    <row r="4020" spans="23:23" ht="26.4">
      <c r="W4020" s="64" ph="1"/>
    </row>
    <row r="4021" spans="23:23" ht="26.4">
      <c r="W4021" s="64" ph="1"/>
    </row>
    <row r="4022" spans="23:23" ht="26.4">
      <c r="W4022" s="64" ph="1"/>
    </row>
    <row r="4023" spans="23:23" ht="26.4">
      <c r="W4023" s="64" ph="1"/>
    </row>
    <row r="4024" spans="23:23" ht="26.4">
      <c r="W4024" s="64" ph="1"/>
    </row>
    <row r="4025" spans="23:23" ht="26.4">
      <c r="W4025" s="64" ph="1"/>
    </row>
    <row r="4026" spans="23:23" ht="26.4">
      <c r="W4026" s="64" ph="1"/>
    </row>
    <row r="4027" spans="23:23" ht="26.4">
      <c r="W4027" s="64" ph="1"/>
    </row>
    <row r="4028" spans="23:23" ht="26.4">
      <c r="W4028" s="64" ph="1"/>
    </row>
    <row r="4029" spans="23:23" ht="26.4">
      <c r="W4029" s="64" ph="1"/>
    </row>
    <row r="4030" spans="23:23" ht="26.4">
      <c r="W4030" s="64" ph="1"/>
    </row>
    <row r="4031" spans="23:23" ht="26.4">
      <c r="W4031" s="64" ph="1"/>
    </row>
    <row r="4032" spans="23:23" ht="26.4">
      <c r="W4032" s="64" ph="1"/>
    </row>
    <row r="4033" spans="23:23" ht="26.4">
      <c r="W4033" s="64" ph="1"/>
    </row>
    <row r="4034" spans="23:23" ht="26.4">
      <c r="W4034" s="64" ph="1"/>
    </row>
    <row r="4035" spans="23:23" ht="26.4">
      <c r="W4035" s="64" ph="1"/>
    </row>
    <row r="4036" spans="23:23" ht="26.4">
      <c r="W4036" s="64" ph="1"/>
    </row>
    <row r="4037" spans="23:23" ht="26.4">
      <c r="W4037" s="64" ph="1"/>
    </row>
    <row r="4038" spans="23:23" ht="26.4">
      <c r="W4038" s="64" ph="1"/>
    </row>
    <row r="4039" spans="23:23" ht="26.4">
      <c r="W4039" s="64" ph="1"/>
    </row>
    <row r="4040" spans="23:23" ht="26.4">
      <c r="W4040" s="64" ph="1"/>
    </row>
    <row r="4041" spans="23:23" ht="26.4">
      <c r="W4041" s="64" ph="1"/>
    </row>
    <row r="4042" spans="23:23" ht="26.4">
      <c r="W4042" s="64" ph="1"/>
    </row>
    <row r="4043" spans="23:23" ht="26.4">
      <c r="W4043" s="64" ph="1"/>
    </row>
    <row r="4044" spans="23:23" ht="26.4">
      <c r="W4044" s="64" ph="1"/>
    </row>
    <row r="4045" spans="23:23" ht="26.4">
      <c r="W4045" s="64" ph="1"/>
    </row>
    <row r="4046" spans="23:23" ht="26.4">
      <c r="W4046" s="64" ph="1"/>
    </row>
    <row r="4047" spans="23:23" ht="26.4">
      <c r="W4047" s="64" ph="1"/>
    </row>
    <row r="4048" spans="23:23" ht="26.4">
      <c r="W4048" s="64" ph="1"/>
    </row>
    <row r="4049" spans="23:23" ht="26.4">
      <c r="W4049" s="64" ph="1"/>
    </row>
    <row r="4050" spans="23:23" ht="26.4">
      <c r="W4050" s="64" ph="1"/>
    </row>
    <row r="4051" spans="23:23" ht="26.4">
      <c r="W4051" s="64" ph="1"/>
    </row>
    <row r="4052" spans="23:23" ht="26.4">
      <c r="W4052" s="64" ph="1"/>
    </row>
    <row r="4053" spans="23:23" ht="26.4">
      <c r="W4053" s="64" ph="1"/>
    </row>
    <row r="4054" spans="23:23" ht="26.4">
      <c r="W4054" s="64" ph="1"/>
    </row>
    <row r="4055" spans="23:23" ht="26.4">
      <c r="W4055" s="64" ph="1"/>
    </row>
    <row r="4056" spans="23:23" ht="26.4">
      <c r="W4056" s="64" ph="1"/>
    </row>
    <row r="4057" spans="23:23" ht="26.4">
      <c r="W4057" s="64" ph="1"/>
    </row>
    <row r="4058" spans="23:23" ht="26.4">
      <c r="W4058" s="64" ph="1"/>
    </row>
    <row r="4059" spans="23:23" ht="26.4">
      <c r="W4059" s="64" ph="1"/>
    </row>
    <row r="4060" spans="23:23" ht="26.4">
      <c r="W4060" s="64" ph="1"/>
    </row>
    <row r="4061" spans="23:23" ht="26.4">
      <c r="W4061" s="64" ph="1"/>
    </row>
    <row r="4062" spans="23:23" ht="26.4">
      <c r="W4062" s="64" ph="1"/>
    </row>
    <row r="4063" spans="23:23" ht="26.4">
      <c r="W4063" s="64" ph="1"/>
    </row>
    <row r="4064" spans="23:23" ht="26.4">
      <c r="W4064" s="64" ph="1"/>
    </row>
    <row r="4065" spans="23:23" ht="26.4">
      <c r="W4065" s="64" ph="1"/>
    </row>
    <row r="4066" spans="23:23" ht="26.4">
      <c r="W4066" s="64" ph="1"/>
    </row>
    <row r="4067" spans="23:23" ht="26.4">
      <c r="W4067" s="64" ph="1"/>
    </row>
    <row r="4068" spans="23:23" ht="26.4">
      <c r="W4068" s="64" ph="1"/>
    </row>
    <row r="4069" spans="23:23" ht="26.4">
      <c r="W4069" s="64" ph="1"/>
    </row>
    <row r="4070" spans="23:23" ht="26.4">
      <c r="W4070" s="64" ph="1"/>
    </row>
    <row r="4071" spans="23:23" ht="26.4">
      <c r="W4071" s="64" ph="1"/>
    </row>
    <row r="4072" spans="23:23" ht="26.4">
      <c r="W4072" s="64" ph="1"/>
    </row>
    <row r="4073" spans="23:23" ht="26.4">
      <c r="W4073" s="64" ph="1"/>
    </row>
    <row r="4074" spans="23:23" ht="26.4">
      <c r="W4074" s="64" ph="1"/>
    </row>
    <row r="4075" spans="23:23" ht="26.4">
      <c r="W4075" s="64" ph="1"/>
    </row>
    <row r="4076" spans="23:23" ht="26.4">
      <c r="W4076" s="64" ph="1"/>
    </row>
    <row r="4077" spans="23:23" ht="26.4">
      <c r="W4077" s="64" ph="1"/>
    </row>
    <row r="4078" spans="23:23" ht="26.4">
      <c r="W4078" s="64" ph="1"/>
    </row>
    <row r="4079" spans="23:23" ht="26.4">
      <c r="W4079" s="64" ph="1"/>
    </row>
    <row r="4080" spans="23:23" ht="26.4">
      <c r="W4080" s="64" ph="1"/>
    </row>
    <row r="4081" spans="23:23" ht="26.4">
      <c r="W4081" s="64" ph="1"/>
    </row>
    <row r="4082" spans="23:23" ht="26.4">
      <c r="W4082" s="64" ph="1"/>
    </row>
    <row r="4083" spans="23:23" ht="26.4">
      <c r="W4083" s="64" ph="1"/>
    </row>
    <row r="4084" spans="23:23" ht="26.4">
      <c r="W4084" s="64" ph="1"/>
    </row>
    <row r="4085" spans="23:23" ht="26.4">
      <c r="W4085" s="64" ph="1"/>
    </row>
    <row r="4086" spans="23:23" ht="26.4">
      <c r="W4086" s="64" ph="1"/>
    </row>
    <row r="4087" spans="23:23" ht="26.4">
      <c r="W4087" s="64" ph="1"/>
    </row>
    <row r="4088" spans="23:23" ht="26.4">
      <c r="W4088" s="64" ph="1"/>
    </row>
    <row r="4089" spans="23:23" ht="26.4">
      <c r="W4089" s="64" ph="1"/>
    </row>
    <row r="4090" spans="23:23" ht="26.4">
      <c r="W4090" s="64" ph="1"/>
    </row>
    <row r="4091" spans="23:23" ht="26.4">
      <c r="W4091" s="64" ph="1"/>
    </row>
    <row r="4092" spans="23:23" ht="26.4">
      <c r="W4092" s="64" ph="1"/>
    </row>
    <row r="4093" spans="23:23" ht="26.4">
      <c r="W4093" s="64" ph="1"/>
    </row>
    <row r="4094" spans="23:23" ht="26.4">
      <c r="W4094" s="64" ph="1"/>
    </row>
    <row r="4095" spans="23:23" ht="26.4">
      <c r="W4095" s="64" ph="1"/>
    </row>
    <row r="4096" spans="23:23" ht="26.4">
      <c r="W4096" s="64" ph="1"/>
    </row>
    <row r="4097" spans="23:23" ht="26.4">
      <c r="W4097" s="64" ph="1"/>
    </row>
    <row r="4098" spans="23:23" ht="26.4">
      <c r="W4098" s="64" ph="1"/>
    </row>
    <row r="4099" spans="23:23" ht="26.4">
      <c r="W4099" s="64" ph="1"/>
    </row>
    <row r="4100" spans="23:23" ht="26.4">
      <c r="W4100" s="64" ph="1"/>
    </row>
    <row r="4101" spans="23:23" ht="26.4">
      <c r="W4101" s="64" ph="1"/>
    </row>
    <row r="4102" spans="23:23" ht="26.4">
      <c r="W4102" s="64" ph="1"/>
    </row>
    <row r="4103" spans="23:23" ht="26.4">
      <c r="W4103" s="64" ph="1"/>
    </row>
    <row r="4104" spans="23:23" ht="26.4">
      <c r="W4104" s="64" ph="1"/>
    </row>
    <row r="4105" spans="23:23" ht="26.4">
      <c r="W4105" s="64" ph="1"/>
    </row>
    <row r="4106" spans="23:23" ht="26.4">
      <c r="W4106" s="64" ph="1"/>
    </row>
    <row r="4107" spans="23:23" ht="26.4">
      <c r="W4107" s="64" ph="1"/>
    </row>
    <row r="4108" spans="23:23" ht="26.4">
      <c r="W4108" s="64" ph="1"/>
    </row>
    <row r="4109" spans="23:23" ht="26.4">
      <c r="W4109" s="64" ph="1"/>
    </row>
    <row r="4110" spans="23:23" ht="26.4">
      <c r="W4110" s="64" ph="1"/>
    </row>
    <row r="4111" spans="23:23" ht="26.4">
      <c r="W4111" s="64" ph="1"/>
    </row>
    <row r="4112" spans="23:23" ht="26.4">
      <c r="W4112" s="64" ph="1"/>
    </row>
    <row r="4113" spans="23:23" ht="26.4">
      <c r="W4113" s="64" ph="1"/>
    </row>
    <row r="4114" spans="23:23" ht="26.4">
      <c r="W4114" s="64" ph="1"/>
    </row>
    <row r="4115" spans="23:23" ht="26.4">
      <c r="W4115" s="64" ph="1"/>
    </row>
    <row r="4116" spans="23:23" ht="26.4">
      <c r="W4116" s="64" ph="1"/>
    </row>
    <row r="4117" spans="23:23" ht="26.4">
      <c r="W4117" s="64" ph="1"/>
    </row>
    <row r="4118" spans="23:23" ht="26.4">
      <c r="W4118" s="64" ph="1"/>
    </row>
    <row r="4119" spans="23:23" ht="26.4">
      <c r="W4119" s="64" ph="1"/>
    </row>
    <row r="4120" spans="23:23" ht="26.4">
      <c r="W4120" s="64" ph="1"/>
    </row>
    <row r="4121" spans="23:23" ht="26.4">
      <c r="W4121" s="64" ph="1"/>
    </row>
    <row r="4122" spans="23:23" ht="26.4">
      <c r="W4122" s="64" ph="1"/>
    </row>
    <row r="4123" spans="23:23" ht="26.4">
      <c r="W4123" s="64" ph="1"/>
    </row>
    <row r="4124" spans="23:23" ht="26.4">
      <c r="W4124" s="64" ph="1"/>
    </row>
    <row r="4125" spans="23:23" ht="26.4">
      <c r="W4125" s="64" ph="1"/>
    </row>
    <row r="4126" spans="23:23" ht="26.4">
      <c r="W4126" s="64" ph="1"/>
    </row>
    <row r="4127" spans="23:23" ht="26.4">
      <c r="W4127" s="64" ph="1"/>
    </row>
    <row r="4128" spans="23:23" ht="26.4">
      <c r="W4128" s="64" ph="1"/>
    </row>
    <row r="4129" spans="23:23" ht="26.4">
      <c r="W4129" s="64" ph="1"/>
    </row>
    <row r="4130" spans="23:23" ht="26.4">
      <c r="W4130" s="64" ph="1"/>
    </row>
    <row r="4131" spans="23:23" ht="26.4">
      <c r="W4131" s="64" ph="1"/>
    </row>
    <row r="4132" spans="23:23" ht="26.4">
      <c r="W4132" s="64" ph="1"/>
    </row>
    <row r="4133" spans="23:23" ht="26.4">
      <c r="W4133" s="64" ph="1"/>
    </row>
    <row r="4134" spans="23:23" ht="26.4">
      <c r="W4134" s="64" ph="1"/>
    </row>
    <row r="4135" spans="23:23" ht="26.4">
      <c r="W4135" s="64" ph="1"/>
    </row>
    <row r="4136" spans="23:23" ht="26.4">
      <c r="W4136" s="64" ph="1"/>
    </row>
    <row r="4137" spans="23:23" ht="26.4">
      <c r="W4137" s="64" ph="1"/>
    </row>
    <row r="4138" spans="23:23" ht="26.4">
      <c r="W4138" s="64" ph="1"/>
    </row>
    <row r="4139" spans="23:23" ht="26.4">
      <c r="W4139" s="64" ph="1"/>
    </row>
    <row r="4140" spans="23:23" ht="26.4">
      <c r="W4140" s="64" ph="1"/>
    </row>
    <row r="4141" spans="23:23" ht="26.4">
      <c r="W4141" s="64" ph="1"/>
    </row>
    <row r="4142" spans="23:23" ht="26.4">
      <c r="W4142" s="64" ph="1"/>
    </row>
    <row r="4143" spans="23:23" ht="26.4">
      <c r="W4143" s="64" ph="1"/>
    </row>
    <row r="4144" spans="23:23" ht="26.4">
      <c r="W4144" s="64" ph="1"/>
    </row>
    <row r="4145" spans="23:23" ht="26.4">
      <c r="W4145" s="64" ph="1"/>
    </row>
    <row r="4146" spans="23:23" ht="26.4">
      <c r="W4146" s="64" ph="1"/>
    </row>
    <row r="4147" spans="23:23" ht="26.4">
      <c r="W4147" s="64" ph="1"/>
    </row>
    <row r="4148" spans="23:23" ht="26.4">
      <c r="W4148" s="64" ph="1"/>
    </row>
    <row r="4149" spans="23:23" ht="26.4">
      <c r="W4149" s="64" ph="1"/>
    </row>
    <row r="4150" spans="23:23" ht="26.4">
      <c r="W4150" s="64" ph="1"/>
    </row>
    <row r="4151" spans="23:23" ht="26.4">
      <c r="W4151" s="64" ph="1"/>
    </row>
    <row r="4152" spans="23:23" ht="26.4">
      <c r="W4152" s="64" ph="1"/>
    </row>
    <row r="4153" spans="23:23" ht="26.4">
      <c r="W4153" s="64" ph="1"/>
    </row>
    <row r="4154" spans="23:23" ht="26.4">
      <c r="W4154" s="64" ph="1"/>
    </row>
    <row r="4155" spans="23:23" ht="26.4">
      <c r="W4155" s="64" ph="1"/>
    </row>
    <row r="4156" spans="23:23" ht="26.4">
      <c r="W4156" s="64" ph="1"/>
    </row>
    <row r="4157" spans="23:23" ht="26.4">
      <c r="W4157" s="64" ph="1"/>
    </row>
    <row r="4158" spans="23:23" ht="26.4">
      <c r="W4158" s="64" ph="1"/>
    </row>
    <row r="4159" spans="23:23" ht="26.4">
      <c r="W4159" s="64" ph="1"/>
    </row>
    <row r="4160" spans="23:23" ht="26.4">
      <c r="W4160" s="64" ph="1"/>
    </row>
    <row r="4161" spans="23:23" ht="26.4">
      <c r="W4161" s="64" ph="1"/>
    </row>
    <row r="4162" spans="23:23" ht="26.4">
      <c r="W4162" s="64" ph="1"/>
    </row>
    <row r="4163" spans="23:23" ht="26.4">
      <c r="W4163" s="64" ph="1"/>
    </row>
    <row r="4164" spans="23:23" ht="26.4">
      <c r="W4164" s="64" ph="1"/>
    </row>
    <row r="4165" spans="23:23" ht="26.4">
      <c r="W4165" s="64" ph="1"/>
    </row>
    <row r="4166" spans="23:23" ht="26.4">
      <c r="W4166" s="64" ph="1"/>
    </row>
    <row r="4167" spans="23:23" ht="26.4">
      <c r="W4167" s="64" ph="1"/>
    </row>
    <row r="4168" spans="23:23" ht="26.4">
      <c r="W4168" s="64" ph="1"/>
    </row>
    <row r="4169" spans="23:23" ht="26.4">
      <c r="W4169" s="64" ph="1"/>
    </row>
    <row r="4170" spans="23:23" ht="26.4">
      <c r="W4170" s="64" ph="1"/>
    </row>
    <row r="4171" spans="23:23" ht="26.4">
      <c r="W4171" s="64" ph="1"/>
    </row>
    <row r="4172" spans="23:23" ht="26.4">
      <c r="W4172" s="64" ph="1"/>
    </row>
    <row r="4173" spans="23:23" ht="26.4">
      <c r="W4173" s="64" ph="1"/>
    </row>
    <row r="4174" spans="23:23" ht="26.4">
      <c r="W4174" s="64" ph="1"/>
    </row>
    <row r="4175" spans="23:23" ht="26.4">
      <c r="W4175" s="64" ph="1"/>
    </row>
    <row r="4176" spans="23:23" ht="26.4">
      <c r="W4176" s="64" ph="1"/>
    </row>
    <row r="4177" spans="23:23" ht="26.4">
      <c r="W4177" s="64" ph="1"/>
    </row>
    <row r="4178" spans="23:23" ht="26.4">
      <c r="W4178" s="64" ph="1"/>
    </row>
    <row r="4179" spans="23:23" ht="26.4">
      <c r="W4179" s="64" ph="1"/>
    </row>
    <row r="4180" spans="23:23" ht="26.4">
      <c r="W4180" s="64" ph="1"/>
    </row>
    <row r="4181" spans="23:23" ht="26.4">
      <c r="W4181" s="64" ph="1"/>
    </row>
    <row r="4182" spans="23:23" ht="26.4">
      <c r="W4182" s="64" ph="1"/>
    </row>
    <row r="4183" spans="23:23" ht="26.4">
      <c r="W4183" s="64" ph="1"/>
    </row>
    <row r="4184" spans="23:23" ht="26.4">
      <c r="W4184" s="64" ph="1"/>
    </row>
    <row r="4185" spans="23:23" ht="26.4">
      <c r="W4185" s="64" ph="1"/>
    </row>
    <row r="4186" spans="23:23" ht="26.4">
      <c r="W4186" s="64" ph="1"/>
    </row>
    <row r="4187" spans="23:23" ht="26.4">
      <c r="W4187" s="64" ph="1"/>
    </row>
    <row r="4188" spans="23:23" ht="26.4">
      <c r="W4188" s="64" ph="1"/>
    </row>
    <row r="4189" spans="23:23" ht="26.4">
      <c r="W4189" s="64" ph="1"/>
    </row>
    <row r="4190" spans="23:23" ht="26.4">
      <c r="W4190" s="64" ph="1"/>
    </row>
    <row r="4191" spans="23:23" ht="26.4">
      <c r="W4191" s="64" ph="1"/>
    </row>
    <row r="4192" spans="23:23" ht="26.4">
      <c r="W4192" s="64" ph="1"/>
    </row>
    <row r="4193" spans="23:23" ht="26.4">
      <c r="W4193" s="64" ph="1"/>
    </row>
    <row r="4194" spans="23:23" ht="26.4">
      <c r="W4194" s="64" ph="1"/>
    </row>
    <row r="4195" spans="23:23" ht="26.4">
      <c r="W4195" s="64" ph="1"/>
    </row>
    <row r="4196" spans="23:23" ht="26.4">
      <c r="W4196" s="64" ph="1"/>
    </row>
    <row r="4197" spans="23:23" ht="26.4">
      <c r="W4197" s="64" ph="1"/>
    </row>
    <row r="4198" spans="23:23" ht="26.4">
      <c r="W4198" s="64" ph="1"/>
    </row>
    <row r="4199" spans="23:23" ht="26.4">
      <c r="W4199" s="64" ph="1"/>
    </row>
    <row r="4200" spans="23:23" ht="26.4">
      <c r="W4200" s="64" ph="1"/>
    </row>
    <row r="4201" spans="23:23" ht="26.4">
      <c r="W4201" s="64" ph="1"/>
    </row>
    <row r="4202" spans="23:23" ht="26.4">
      <c r="W4202" s="64" ph="1"/>
    </row>
    <row r="4203" spans="23:23" ht="26.4">
      <c r="W4203" s="64" ph="1"/>
    </row>
    <row r="4204" spans="23:23" ht="26.4">
      <c r="W4204" s="64" ph="1"/>
    </row>
    <row r="4205" spans="23:23" ht="26.4">
      <c r="W4205" s="64" ph="1"/>
    </row>
    <row r="4206" spans="23:23" ht="26.4">
      <c r="W4206" s="64" ph="1"/>
    </row>
    <row r="4207" spans="23:23" ht="26.4">
      <c r="W4207" s="64" ph="1"/>
    </row>
    <row r="4208" spans="23:23" ht="26.4">
      <c r="W4208" s="64" ph="1"/>
    </row>
    <row r="4209" spans="23:23" ht="26.4">
      <c r="W4209" s="64" ph="1"/>
    </row>
    <row r="4210" spans="23:23" ht="26.4">
      <c r="W4210" s="64" ph="1"/>
    </row>
    <row r="4211" spans="23:23" ht="26.4">
      <c r="W4211" s="64" ph="1"/>
    </row>
    <row r="4212" spans="23:23" ht="26.4">
      <c r="W4212" s="64" ph="1"/>
    </row>
    <row r="4213" spans="23:23" ht="26.4">
      <c r="W4213" s="64" ph="1"/>
    </row>
    <row r="4214" spans="23:23" ht="26.4">
      <c r="W4214" s="64" ph="1"/>
    </row>
    <row r="4215" spans="23:23" ht="26.4">
      <c r="W4215" s="64" ph="1"/>
    </row>
    <row r="4216" spans="23:23" ht="26.4">
      <c r="W4216" s="64" ph="1"/>
    </row>
    <row r="4217" spans="23:23" ht="26.4">
      <c r="W4217" s="64" ph="1"/>
    </row>
    <row r="4218" spans="23:23" ht="26.4">
      <c r="W4218" s="64" ph="1"/>
    </row>
    <row r="4219" spans="23:23" ht="26.4">
      <c r="W4219" s="64" ph="1"/>
    </row>
    <row r="4220" spans="23:23" ht="26.4">
      <c r="W4220" s="64" ph="1"/>
    </row>
    <row r="4221" spans="23:23" ht="26.4">
      <c r="W4221" s="64" ph="1"/>
    </row>
    <row r="4222" spans="23:23" ht="26.4">
      <c r="W4222" s="64" ph="1"/>
    </row>
    <row r="4223" spans="23:23" ht="26.4">
      <c r="W4223" s="64" ph="1"/>
    </row>
    <row r="4224" spans="23:23" ht="26.4">
      <c r="W4224" s="64" ph="1"/>
    </row>
    <row r="4225" spans="23:23" ht="26.4">
      <c r="W4225" s="64" ph="1"/>
    </row>
    <row r="4226" spans="23:23" ht="26.4">
      <c r="W4226" s="64" ph="1"/>
    </row>
    <row r="4227" spans="23:23" ht="26.4">
      <c r="W4227" s="64" ph="1"/>
    </row>
    <row r="4228" spans="23:23" ht="26.4">
      <c r="W4228" s="64" ph="1"/>
    </row>
    <row r="4229" spans="23:23" ht="26.4">
      <c r="W4229" s="64" ph="1"/>
    </row>
    <row r="4230" spans="23:23" ht="26.4">
      <c r="W4230" s="64" ph="1"/>
    </row>
    <row r="4231" spans="23:23" ht="26.4">
      <c r="W4231" s="64" ph="1"/>
    </row>
    <row r="4232" spans="23:23" ht="26.4">
      <c r="W4232" s="64" ph="1"/>
    </row>
    <row r="4233" spans="23:23" ht="26.4">
      <c r="W4233" s="64" ph="1"/>
    </row>
    <row r="4234" spans="23:23" ht="26.4">
      <c r="W4234" s="64" ph="1"/>
    </row>
    <row r="4235" spans="23:23" ht="26.4">
      <c r="W4235" s="64" ph="1"/>
    </row>
    <row r="4236" spans="23:23" ht="26.4">
      <c r="W4236" s="64" ph="1"/>
    </row>
    <row r="4237" spans="23:23" ht="26.4">
      <c r="W4237" s="64" ph="1"/>
    </row>
    <row r="4238" spans="23:23" ht="26.4">
      <c r="W4238" s="64" ph="1"/>
    </row>
    <row r="4239" spans="23:23" ht="26.4">
      <c r="W4239" s="64" ph="1"/>
    </row>
    <row r="4240" spans="23:23" ht="26.4">
      <c r="W4240" s="64" ph="1"/>
    </row>
    <row r="4241" spans="23:23" ht="26.4">
      <c r="W4241" s="64" ph="1"/>
    </row>
    <row r="4242" spans="23:23" ht="26.4">
      <c r="W4242" s="64" ph="1"/>
    </row>
    <row r="4243" spans="23:23" ht="26.4">
      <c r="W4243" s="64" ph="1"/>
    </row>
    <row r="4244" spans="23:23" ht="26.4">
      <c r="W4244" s="64" ph="1"/>
    </row>
    <row r="4245" spans="23:23" ht="26.4">
      <c r="W4245" s="64" ph="1"/>
    </row>
    <row r="4246" spans="23:23" ht="26.4">
      <c r="W4246" s="64" ph="1"/>
    </row>
    <row r="4247" spans="23:23" ht="26.4">
      <c r="W4247" s="64" ph="1"/>
    </row>
    <row r="4248" spans="23:23" ht="26.4">
      <c r="W4248" s="64" ph="1"/>
    </row>
    <row r="4249" spans="23:23" ht="26.4">
      <c r="W4249" s="64" ph="1"/>
    </row>
    <row r="4250" spans="23:23" ht="26.4">
      <c r="W4250" s="64" ph="1"/>
    </row>
    <row r="4251" spans="23:23" ht="26.4">
      <c r="W4251" s="64" ph="1"/>
    </row>
    <row r="4252" spans="23:23" ht="26.4">
      <c r="W4252" s="64" ph="1"/>
    </row>
    <row r="4253" spans="23:23" ht="26.4">
      <c r="W4253" s="64" ph="1"/>
    </row>
    <row r="4254" spans="23:23" ht="26.4">
      <c r="W4254" s="64" ph="1"/>
    </row>
    <row r="4255" spans="23:23" ht="26.4">
      <c r="W4255" s="64" ph="1"/>
    </row>
    <row r="4256" spans="23:23" ht="26.4">
      <c r="W4256" s="64" ph="1"/>
    </row>
    <row r="4257" spans="23:23" ht="26.4">
      <c r="W4257" s="64" ph="1"/>
    </row>
    <row r="4258" spans="23:23" ht="26.4">
      <c r="W4258" s="64" ph="1"/>
    </row>
    <row r="4259" spans="23:23" ht="26.4">
      <c r="W4259" s="64" ph="1"/>
    </row>
    <row r="4260" spans="23:23" ht="26.4">
      <c r="W4260" s="64" ph="1"/>
    </row>
    <row r="4261" spans="23:23" ht="26.4">
      <c r="W4261" s="64" ph="1"/>
    </row>
    <row r="4262" spans="23:23" ht="26.4">
      <c r="W4262" s="64" ph="1"/>
    </row>
    <row r="4263" spans="23:23" ht="26.4">
      <c r="W4263" s="64" ph="1"/>
    </row>
    <row r="4264" spans="23:23" ht="26.4">
      <c r="W4264" s="64" ph="1"/>
    </row>
    <row r="4265" spans="23:23" ht="26.4">
      <c r="W4265" s="64" ph="1"/>
    </row>
    <row r="4266" spans="23:23" ht="26.4">
      <c r="W4266" s="64" ph="1"/>
    </row>
    <row r="4267" spans="23:23" ht="26.4">
      <c r="W4267" s="64" ph="1"/>
    </row>
    <row r="4268" spans="23:23" ht="26.4">
      <c r="W4268" s="64" ph="1"/>
    </row>
    <row r="4269" spans="23:23" ht="26.4">
      <c r="W4269" s="64" ph="1"/>
    </row>
    <row r="4270" spans="23:23" ht="26.4">
      <c r="W4270" s="64" ph="1"/>
    </row>
    <row r="4271" spans="23:23" ht="26.4">
      <c r="W4271" s="64" ph="1"/>
    </row>
    <row r="4272" spans="23:23" ht="26.4">
      <c r="W4272" s="64" ph="1"/>
    </row>
    <row r="4273" spans="23:23" ht="26.4">
      <c r="W4273" s="64" ph="1"/>
    </row>
    <row r="4274" spans="23:23" ht="26.4">
      <c r="W4274" s="64" ph="1"/>
    </row>
    <row r="4275" spans="23:23" ht="26.4">
      <c r="W4275" s="64" ph="1"/>
    </row>
    <row r="4276" spans="23:23" ht="26.4">
      <c r="W4276" s="64" ph="1"/>
    </row>
    <row r="4277" spans="23:23" ht="26.4">
      <c r="W4277" s="64" ph="1"/>
    </row>
    <row r="4278" spans="23:23" ht="26.4">
      <c r="W4278" s="64" ph="1"/>
    </row>
    <row r="4279" spans="23:23" ht="26.4">
      <c r="W4279" s="64" ph="1"/>
    </row>
    <row r="4280" spans="23:23" ht="26.4">
      <c r="W4280" s="64" ph="1"/>
    </row>
    <row r="4281" spans="23:23" ht="26.4">
      <c r="W4281" s="64" ph="1"/>
    </row>
    <row r="4282" spans="23:23" ht="26.4">
      <c r="W4282" s="64" ph="1"/>
    </row>
    <row r="4283" spans="23:23" ht="26.4">
      <c r="W4283" s="64" ph="1"/>
    </row>
    <row r="4284" spans="23:23" ht="26.4">
      <c r="W4284" s="64" ph="1"/>
    </row>
    <row r="4285" spans="23:23" ht="26.4">
      <c r="W4285" s="64" ph="1"/>
    </row>
    <row r="4286" spans="23:23" ht="26.4">
      <c r="W4286" s="64" ph="1"/>
    </row>
    <row r="4287" spans="23:23" ht="26.4">
      <c r="W4287" s="64" ph="1"/>
    </row>
    <row r="4288" spans="23:23" ht="26.4">
      <c r="W4288" s="64" ph="1"/>
    </row>
    <row r="4289" spans="23:23" ht="26.4">
      <c r="W4289" s="64" ph="1"/>
    </row>
    <row r="4290" spans="23:23" ht="26.4">
      <c r="W4290" s="64" ph="1"/>
    </row>
    <row r="4291" spans="23:23" ht="26.4">
      <c r="W4291" s="64" ph="1"/>
    </row>
    <row r="4292" spans="23:23" ht="26.4">
      <c r="W4292" s="64" ph="1"/>
    </row>
    <row r="4293" spans="23:23" ht="26.4">
      <c r="W4293" s="64" ph="1"/>
    </row>
    <row r="4294" spans="23:23" ht="26.4">
      <c r="W4294" s="64" ph="1"/>
    </row>
    <row r="4295" spans="23:23" ht="26.4">
      <c r="W4295" s="64" ph="1"/>
    </row>
    <row r="4296" spans="23:23" ht="26.4">
      <c r="W4296" s="64" ph="1"/>
    </row>
    <row r="4297" spans="23:23" ht="26.4">
      <c r="W4297" s="64" ph="1"/>
    </row>
    <row r="4298" spans="23:23" ht="26.4">
      <c r="W4298" s="64" ph="1"/>
    </row>
    <row r="4299" spans="23:23" ht="26.4">
      <c r="W4299" s="64" ph="1"/>
    </row>
    <row r="4300" spans="23:23" ht="26.4">
      <c r="W4300" s="64" ph="1"/>
    </row>
    <row r="4301" spans="23:23" ht="26.4">
      <c r="W4301" s="64" ph="1"/>
    </row>
    <row r="4302" spans="23:23" ht="26.4">
      <c r="W4302" s="64" ph="1"/>
    </row>
    <row r="4303" spans="23:23" ht="26.4">
      <c r="W4303" s="64" ph="1"/>
    </row>
    <row r="4304" spans="23:23" ht="26.4">
      <c r="W4304" s="64" ph="1"/>
    </row>
    <row r="4305" spans="23:23" ht="26.4">
      <c r="W4305" s="64" ph="1"/>
    </row>
    <row r="4306" spans="23:23" ht="26.4">
      <c r="W4306" s="64" ph="1"/>
    </row>
    <row r="4307" spans="23:23" ht="26.4">
      <c r="W4307" s="64" ph="1"/>
    </row>
    <row r="4308" spans="23:23" ht="26.4">
      <c r="W4308" s="64" ph="1"/>
    </row>
    <row r="4309" spans="23:23" ht="26.4">
      <c r="W4309" s="64" ph="1"/>
    </row>
    <row r="4310" spans="23:23" ht="26.4">
      <c r="W4310" s="64" ph="1"/>
    </row>
    <row r="4311" spans="23:23" ht="26.4">
      <c r="W4311" s="64" ph="1"/>
    </row>
    <row r="4312" spans="23:23" ht="26.4">
      <c r="W4312" s="64" ph="1"/>
    </row>
    <row r="4313" spans="23:23" ht="26.4">
      <c r="W4313" s="64" ph="1"/>
    </row>
    <row r="4314" spans="23:23" ht="26.4">
      <c r="W4314" s="64" ph="1"/>
    </row>
    <row r="4315" spans="23:23" ht="26.4">
      <c r="W4315" s="64" ph="1"/>
    </row>
    <row r="4316" spans="23:23" ht="26.4">
      <c r="W4316" s="64" ph="1"/>
    </row>
    <row r="4317" spans="23:23" ht="26.4">
      <c r="W4317" s="64" ph="1"/>
    </row>
    <row r="4318" spans="23:23" ht="26.4">
      <c r="W4318" s="64" ph="1"/>
    </row>
    <row r="4319" spans="23:23" ht="26.4">
      <c r="W4319" s="64" ph="1"/>
    </row>
    <row r="4320" spans="23:23" ht="26.4">
      <c r="W4320" s="64" ph="1"/>
    </row>
    <row r="4321" spans="23:23" ht="26.4">
      <c r="W4321" s="64" ph="1"/>
    </row>
    <row r="4322" spans="23:23" ht="26.4">
      <c r="W4322" s="64" ph="1"/>
    </row>
    <row r="4323" spans="23:23" ht="26.4">
      <c r="W4323" s="64" ph="1"/>
    </row>
    <row r="4324" spans="23:23" ht="26.4">
      <c r="W4324" s="64" ph="1"/>
    </row>
    <row r="4325" spans="23:23" ht="26.4">
      <c r="W4325" s="64" ph="1"/>
    </row>
    <row r="4326" spans="23:23" ht="26.4">
      <c r="W4326" s="64" ph="1"/>
    </row>
    <row r="4327" spans="23:23" ht="26.4">
      <c r="W4327" s="64" ph="1"/>
    </row>
    <row r="4328" spans="23:23" ht="26.4">
      <c r="W4328" s="64" ph="1"/>
    </row>
    <row r="4329" spans="23:23" ht="26.4">
      <c r="W4329" s="64" ph="1"/>
    </row>
    <row r="4330" spans="23:23" ht="26.4">
      <c r="W4330" s="64" ph="1"/>
    </row>
    <row r="4331" spans="23:23" ht="26.4">
      <c r="W4331" s="64" ph="1"/>
    </row>
    <row r="4332" spans="23:23" ht="26.4">
      <c r="W4332" s="64" ph="1"/>
    </row>
    <row r="4333" spans="23:23" ht="26.4">
      <c r="W4333" s="64" ph="1"/>
    </row>
    <row r="4334" spans="23:23" ht="26.4">
      <c r="W4334" s="64" ph="1"/>
    </row>
    <row r="4335" spans="23:23" ht="26.4">
      <c r="W4335" s="64" ph="1"/>
    </row>
    <row r="4336" spans="23:23" ht="26.4">
      <c r="W4336" s="64" ph="1"/>
    </row>
    <row r="4337" spans="23:23" ht="26.4">
      <c r="W4337" s="64" ph="1"/>
    </row>
    <row r="4338" spans="23:23" ht="26.4">
      <c r="W4338" s="64" ph="1"/>
    </row>
    <row r="4339" spans="23:23" ht="26.4">
      <c r="W4339" s="64" ph="1"/>
    </row>
    <row r="4340" spans="23:23" ht="26.4">
      <c r="W4340" s="64" ph="1"/>
    </row>
    <row r="4341" spans="23:23" ht="26.4">
      <c r="W4341" s="64" ph="1"/>
    </row>
    <row r="4342" spans="23:23" ht="26.4">
      <c r="W4342" s="64" ph="1"/>
    </row>
    <row r="4343" spans="23:23" ht="26.4">
      <c r="W4343" s="64" ph="1"/>
    </row>
    <row r="4344" spans="23:23" ht="26.4">
      <c r="W4344" s="64" ph="1"/>
    </row>
    <row r="4345" spans="23:23" ht="26.4">
      <c r="W4345" s="64" ph="1"/>
    </row>
    <row r="4346" spans="23:23" ht="26.4">
      <c r="W4346" s="64" ph="1"/>
    </row>
    <row r="4347" spans="23:23" ht="26.4">
      <c r="W4347" s="64" ph="1"/>
    </row>
    <row r="4348" spans="23:23" ht="26.4">
      <c r="W4348" s="64" ph="1"/>
    </row>
    <row r="4349" spans="23:23" ht="26.4">
      <c r="W4349" s="64" ph="1"/>
    </row>
    <row r="4350" spans="23:23" ht="26.4">
      <c r="W4350" s="64" ph="1"/>
    </row>
    <row r="4351" spans="23:23" ht="26.4">
      <c r="W4351" s="64" ph="1"/>
    </row>
    <row r="4352" spans="23:23" ht="26.4">
      <c r="W4352" s="64" ph="1"/>
    </row>
    <row r="4353" spans="23:23" ht="26.4">
      <c r="W4353" s="64" ph="1"/>
    </row>
    <row r="4354" spans="23:23" ht="26.4">
      <c r="W4354" s="64" ph="1"/>
    </row>
    <row r="4355" spans="23:23" ht="26.4">
      <c r="W4355" s="64" ph="1"/>
    </row>
    <row r="4356" spans="23:23" ht="26.4">
      <c r="W4356" s="64" ph="1"/>
    </row>
    <row r="4357" spans="23:23" ht="26.4">
      <c r="W4357" s="64" ph="1"/>
    </row>
    <row r="4358" spans="23:23" ht="26.4">
      <c r="W4358" s="64" ph="1"/>
    </row>
    <row r="4359" spans="23:23" ht="26.4">
      <c r="W4359" s="64" ph="1"/>
    </row>
    <row r="4360" spans="23:23" ht="26.4">
      <c r="W4360" s="64" ph="1"/>
    </row>
    <row r="4361" spans="23:23" ht="26.4">
      <c r="W4361" s="64" ph="1"/>
    </row>
    <row r="4362" spans="23:23" ht="26.4">
      <c r="W4362" s="64" ph="1"/>
    </row>
    <row r="4363" spans="23:23" ht="26.4">
      <c r="W4363" s="64" ph="1"/>
    </row>
    <row r="4364" spans="23:23" ht="26.4">
      <c r="W4364" s="64" ph="1"/>
    </row>
    <row r="4365" spans="23:23" ht="26.4">
      <c r="W4365" s="64" ph="1"/>
    </row>
    <row r="4366" spans="23:23" ht="26.4">
      <c r="W4366" s="64" ph="1"/>
    </row>
    <row r="4367" spans="23:23" ht="26.4">
      <c r="W4367" s="64" ph="1"/>
    </row>
    <row r="4368" spans="23:23" ht="26.4">
      <c r="W4368" s="64" ph="1"/>
    </row>
    <row r="4369" spans="23:23" ht="26.4">
      <c r="W4369" s="64" ph="1"/>
    </row>
    <row r="4370" spans="23:23" ht="26.4">
      <c r="W4370" s="64" ph="1"/>
    </row>
    <row r="4371" spans="23:23" ht="26.4">
      <c r="W4371" s="64" ph="1"/>
    </row>
    <row r="4372" spans="23:23" ht="26.4">
      <c r="W4372" s="64" ph="1"/>
    </row>
    <row r="4373" spans="23:23" ht="26.4">
      <c r="W4373" s="64" ph="1"/>
    </row>
    <row r="4374" spans="23:23" ht="26.4">
      <c r="W4374" s="64" ph="1"/>
    </row>
    <row r="4375" spans="23:23" ht="26.4">
      <c r="W4375" s="64" ph="1"/>
    </row>
    <row r="4376" spans="23:23" ht="26.4">
      <c r="W4376" s="64" ph="1"/>
    </row>
    <row r="4377" spans="23:23" ht="26.4">
      <c r="W4377" s="64" ph="1"/>
    </row>
    <row r="4378" spans="23:23" ht="26.4">
      <c r="W4378" s="64" ph="1"/>
    </row>
    <row r="4379" spans="23:23" ht="26.4">
      <c r="W4379" s="64" ph="1"/>
    </row>
    <row r="4380" spans="23:23" ht="26.4">
      <c r="W4380" s="64" ph="1"/>
    </row>
    <row r="4381" spans="23:23" ht="26.4">
      <c r="W4381" s="64" ph="1"/>
    </row>
    <row r="4382" spans="23:23" ht="26.4">
      <c r="W4382" s="64" ph="1"/>
    </row>
    <row r="4383" spans="23:23" ht="26.4">
      <c r="W4383" s="64" ph="1"/>
    </row>
    <row r="4384" spans="23:23" ht="26.4">
      <c r="W4384" s="64" ph="1"/>
    </row>
    <row r="4385" spans="23:23" ht="26.4">
      <c r="W4385" s="64" ph="1"/>
    </row>
    <row r="4386" spans="23:23" ht="26.4">
      <c r="W4386" s="64" ph="1"/>
    </row>
    <row r="4387" spans="23:23" ht="26.4">
      <c r="W4387" s="64" ph="1"/>
    </row>
    <row r="4388" spans="23:23" ht="26.4">
      <c r="W4388" s="64" ph="1"/>
    </row>
    <row r="4389" spans="23:23" ht="26.4">
      <c r="W4389" s="64" ph="1"/>
    </row>
    <row r="4390" spans="23:23" ht="26.4">
      <c r="W4390" s="64" ph="1"/>
    </row>
    <row r="4391" spans="23:23" ht="26.4">
      <c r="W4391" s="64" ph="1"/>
    </row>
    <row r="4392" spans="23:23" ht="26.4">
      <c r="W4392" s="64" ph="1"/>
    </row>
    <row r="4393" spans="23:23" ht="26.4">
      <c r="W4393" s="64" ph="1"/>
    </row>
    <row r="4394" spans="23:23" ht="26.4">
      <c r="W4394" s="64" ph="1"/>
    </row>
    <row r="4395" spans="23:23" ht="26.4">
      <c r="W4395" s="64" ph="1"/>
    </row>
    <row r="4396" spans="23:23" ht="26.4">
      <c r="W4396" s="64" ph="1"/>
    </row>
    <row r="4397" spans="23:23" ht="26.4">
      <c r="W4397" s="64" ph="1"/>
    </row>
    <row r="4398" spans="23:23" ht="26.4">
      <c r="W4398" s="64" ph="1"/>
    </row>
    <row r="4399" spans="23:23" ht="26.4">
      <c r="W4399" s="64" ph="1"/>
    </row>
    <row r="4400" spans="23:23" ht="26.4">
      <c r="W4400" s="64" ph="1"/>
    </row>
    <row r="4401" spans="23:23" ht="26.4">
      <c r="W4401" s="64" ph="1"/>
    </row>
    <row r="4402" spans="23:23" ht="26.4">
      <c r="W4402" s="64" ph="1"/>
    </row>
    <row r="4403" spans="23:23" ht="26.4">
      <c r="W4403" s="64" ph="1"/>
    </row>
    <row r="4404" spans="23:23" ht="26.4">
      <c r="W4404" s="64" ph="1"/>
    </row>
    <row r="4405" spans="23:23" ht="26.4">
      <c r="W4405" s="64" ph="1"/>
    </row>
    <row r="4406" spans="23:23" ht="26.4">
      <c r="W4406" s="64" ph="1"/>
    </row>
    <row r="4407" spans="23:23" ht="26.4">
      <c r="W4407" s="64" ph="1"/>
    </row>
    <row r="4408" spans="23:23" ht="26.4">
      <c r="W4408" s="64" ph="1"/>
    </row>
    <row r="4409" spans="23:23" ht="26.4">
      <c r="W4409" s="64" ph="1"/>
    </row>
    <row r="4410" spans="23:23" ht="26.4">
      <c r="W4410" s="64" ph="1"/>
    </row>
    <row r="4411" spans="23:23" ht="26.4">
      <c r="W4411" s="64" ph="1"/>
    </row>
    <row r="4412" spans="23:23" ht="26.4">
      <c r="W4412" s="64" ph="1"/>
    </row>
    <row r="4413" spans="23:23" ht="26.4">
      <c r="W4413" s="64" ph="1"/>
    </row>
    <row r="4414" spans="23:23" ht="26.4">
      <c r="W4414" s="64" ph="1"/>
    </row>
    <row r="4415" spans="23:23" ht="26.4">
      <c r="W4415" s="64" ph="1"/>
    </row>
    <row r="4416" spans="23:23" ht="26.4">
      <c r="W4416" s="64" ph="1"/>
    </row>
    <row r="4417" spans="23:23" ht="26.4">
      <c r="W4417" s="64" ph="1"/>
    </row>
    <row r="4418" spans="23:23" ht="26.4">
      <c r="W4418" s="64" ph="1"/>
    </row>
    <row r="4419" spans="23:23" ht="26.4">
      <c r="W4419" s="64" ph="1"/>
    </row>
    <row r="4420" spans="23:23" ht="26.4">
      <c r="W4420" s="64" ph="1"/>
    </row>
    <row r="4421" spans="23:23" ht="26.4">
      <c r="W4421" s="64" ph="1"/>
    </row>
    <row r="4422" spans="23:23" ht="26.4">
      <c r="W4422" s="64" ph="1"/>
    </row>
    <row r="4423" spans="23:23" ht="26.4">
      <c r="W4423" s="64" ph="1"/>
    </row>
    <row r="4424" spans="23:23" ht="26.4">
      <c r="W4424" s="64" ph="1"/>
    </row>
    <row r="4425" spans="23:23" ht="26.4">
      <c r="W4425" s="64" ph="1"/>
    </row>
    <row r="4426" spans="23:23" ht="26.4">
      <c r="W4426" s="64" ph="1"/>
    </row>
    <row r="4427" spans="23:23" ht="26.4">
      <c r="W4427" s="64" ph="1"/>
    </row>
    <row r="4428" spans="23:23" ht="26.4">
      <c r="W4428" s="64" ph="1"/>
    </row>
    <row r="4429" spans="23:23" ht="26.4">
      <c r="W4429" s="64" ph="1"/>
    </row>
    <row r="4430" spans="23:23" ht="26.4">
      <c r="W4430" s="64" ph="1"/>
    </row>
    <row r="4431" spans="23:23" ht="26.4">
      <c r="W4431" s="64" ph="1"/>
    </row>
    <row r="4432" spans="23:23" ht="26.4">
      <c r="W4432" s="64" ph="1"/>
    </row>
    <row r="4433" spans="23:23" ht="26.4">
      <c r="W4433" s="64" ph="1"/>
    </row>
    <row r="4434" spans="23:23" ht="26.4">
      <c r="W4434" s="64" ph="1"/>
    </row>
    <row r="4435" spans="23:23" ht="26.4">
      <c r="W4435" s="64" ph="1"/>
    </row>
    <row r="4436" spans="23:23" ht="26.4">
      <c r="W4436" s="64" ph="1"/>
    </row>
    <row r="4437" spans="23:23" ht="26.4">
      <c r="W4437" s="64" ph="1"/>
    </row>
    <row r="4438" spans="23:23" ht="26.4">
      <c r="W4438" s="64" ph="1"/>
    </row>
    <row r="4439" spans="23:23" ht="26.4">
      <c r="W4439" s="64" ph="1"/>
    </row>
    <row r="4440" spans="23:23" ht="26.4">
      <c r="W4440" s="64" ph="1"/>
    </row>
    <row r="4441" spans="23:23" ht="26.4">
      <c r="W4441" s="64" ph="1"/>
    </row>
    <row r="4442" spans="23:23" ht="26.4">
      <c r="W4442" s="64" ph="1"/>
    </row>
    <row r="4443" spans="23:23" ht="26.4">
      <c r="W4443" s="64" ph="1"/>
    </row>
    <row r="4444" spans="23:23" ht="26.4">
      <c r="W4444" s="64" ph="1"/>
    </row>
    <row r="4445" spans="23:23" ht="26.4">
      <c r="W4445" s="64" ph="1"/>
    </row>
    <row r="4446" spans="23:23" ht="26.4">
      <c r="W4446" s="64" ph="1"/>
    </row>
    <row r="4447" spans="23:23" ht="26.4">
      <c r="W4447" s="64" ph="1"/>
    </row>
    <row r="4448" spans="23:23" ht="26.4">
      <c r="W4448" s="64" ph="1"/>
    </row>
    <row r="4449" spans="23:23" ht="26.4">
      <c r="W4449" s="64" ph="1"/>
    </row>
    <row r="4450" spans="23:23" ht="26.4">
      <c r="W4450" s="64" ph="1"/>
    </row>
    <row r="4451" spans="23:23" ht="26.4">
      <c r="W4451" s="64" ph="1"/>
    </row>
    <row r="4452" spans="23:23" ht="26.4">
      <c r="W4452" s="64" ph="1"/>
    </row>
    <row r="4453" spans="23:23" ht="26.4">
      <c r="W4453" s="64" ph="1"/>
    </row>
    <row r="4454" spans="23:23" ht="26.4">
      <c r="W4454" s="64" ph="1"/>
    </row>
    <row r="4455" spans="23:23" ht="26.4">
      <c r="W4455" s="64" ph="1"/>
    </row>
    <row r="4456" spans="23:23" ht="26.4">
      <c r="W4456" s="64" ph="1"/>
    </row>
    <row r="4457" spans="23:23" ht="26.4">
      <c r="W4457" s="64" ph="1"/>
    </row>
    <row r="4458" spans="23:23" ht="26.4">
      <c r="W4458" s="64" ph="1"/>
    </row>
    <row r="4459" spans="23:23" ht="26.4">
      <c r="W4459" s="64" ph="1"/>
    </row>
    <row r="4460" spans="23:23" ht="26.4">
      <c r="W4460" s="64" ph="1"/>
    </row>
    <row r="4461" spans="23:23" ht="26.4">
      <c r="W4461" s="64" ph="1"/>
    </row>
    <row r="4462" spans="23:23" ht="26.4">
      <c r="W4462" s="64" ph="1"/>
    </row>
    <row r="4463" spans="23:23" ht="26.4">
      <c r="W4463" s="64" ph="1"/>
    </row>
    <row r="4464" spans="23:23" ht="26.4">
      <c r="W4464" s="64" ph="1"/>
    </row>
    <row r="4465" spans="23:23" ht="26.4">
      <c r="W4465" s="64" ph="1"/>
    </row>
    <row r="4466" spans="23:23" ht="26.4">
      <c r="W4466" s="64" ph="1"/>
    </row>
    <row r="4467" spans="23:23" ht="26.4">
      <c r="W4467" s="64" ph="1"/>
    </row>
    <row r="4468" spans="23:23" ht="26.4">
      <c r="W4468" s="64" ph="1"/>
    </row>
    <row r="4469" spans="23:23" ht="26.4">
      <c r="W4469" s="64" ph="1"/>
    </row>
    <row r="4470" spans="23:23" ht="26.4">
      <c r="W4470" s="64" ph="1"/>
    </row>
    <row r="4471" spans="23:23" ht="26.4">
      <c r="W4471" s="64" ph="1"/>
    </row>
    <row r="4472" spans="23:23" ht="26.4">
      <c r="W4472" s="64" ph="1"/>
    </row>
    <row r="4473" spans="23:23" ht="26.4">
      <c r="W4473" s="64" ph="1"/>
    </row>
    <row r="4474" spans="23:23" ht="26.4">
      <c r="W4474" s="64" ph="1"/>
    </row>
    <row r="4475" spans="23:23" ht="26.4">
      <c r="W4475" s="64" ph="1"/>
    </row>
    <row r="4476" spans="23:23" ht="26.4">
      <c r="W4476" s="64" ph="1"/>
    </row>
    <row r="4477" spans="23:23" ht="26.4">
      <c r="W4477" s="64" ph="1"/>
    </row>
    <row r="4478" spans="23:23" ht="26.4">
      <c r="W4478" s="64" ph="1"/>
    </row>
    <row r="4479" spans="23:23" ht="26.4">
      <c r="W4479" s="64" ph="1"/>
    </row>
    <row r="4480" spans="23:23" ht="26.4">
      <c r="W4480" s="64" ph="1"/>
    </row>
    <row r="4481" spans="23:23" ht="26.4">
      <c r="W4481" s="64" ph="1"/>
    </row>
    <row r="4482" spans="23:23" ht="26.4">
      <c r="W4482" s="64" ph="1"/>
    </row>
    <row r="4483" spans="23:23" ht="26.4">
      <c r="W4483" s="64" ph="1"/>
    </row>
    <row r="4484" spans="23:23" ht="26.4">
      <c r="W4484" s="64" ph="1"/>
    </row>
    <row r="4485" spans="23:23" ht="26.4">
      <c r="W4485" s="64" ph="1"/>
    </row>
    <row r="4486" spans="23:23" ht="26.4">
      <c r="W4486" s="64" ph="1"/>
    </row>
    <row r="4487" spans="23:23" ht="26.4">
      <c r="W4487" s="64" ph="1"/>
    </row>
    <row r="4488" spans="23:23" ht="26.4">
      <c r="W4488" s="64" ph="1"/>
    </row>
    <row r="4489" spans="23:23" ht="26.4">
      <c r="W4489" s="64" ph="1"/>
    </row>
    <row r="4490" spans="23:23" ht="26.4">
      <c r="W4490" s="64" ph="1"/>
    </row>
    <row r="4491" spans="23:23" ht="26.4">
      <c r="W4491" s="64" ph="1"/>
    </row>
    <row r="4492" spans="23:23" ht="26.4">
      <c r="W4492" s="64" ph="1"/>
    </row>
    <row r="4493" spans="23:23" ht="26.4">
      <c r="W4493" s="64" ph="1"/>
    </row>
    <row r="4494" spans="23:23" ht="26.4">
      <c r="W4494" s="64" ph="1"/>
    </row>
    <row r="4495" spans="23:23" ht="26.4">
      <c r="W4495" s="64" ph="1"/>
    </row>
    <row r="4496" spans="23:23" ht="26.4">
      <c r="W4496" s="64" ph="1"/>
    </row>
    <row r="4497" spans="23:23" ht="26.4">
      <c r="W4497" s="64" ph="1"/>
    </row>
    <row r="4498" spans="23:23" ht="26.4">
      <c r="W4498" s="64" ph="1"/>
    </row>
    <row r="4499" spans="23:23" ht="26.4">
      <c r="W4499" s="64" ph="1"/>
    </row>
    <row r="4500" spans="23:23" ht="26.4">
      <c r="W4500" s="64" ph="1"/>
    </row>
    <row r="4501" spans="23:23" ht="26.4">
      <c r="W4501" s="64" ph="1"/>
    </row>
    <row r="4502" spans="23:23" ht="26.4">
      <c r="W4502" s="64" ph="1"/>
    </row>
    <row r="4503" spans="23:23" ht="26.4">
      <c r="W4503" s="64" ph="1"/>
    </row>
    <row r="4504" spans="23:23" ht="26.4">
      <c r="W4504" s="64" ph="1"/>
    </row>
    <row r="4505" spans="23:23" ht="26.4">
      <c r="W4505" s="64" ph="1"/>
    </row>
    <row r="4506" spans="23:23" ht="26.4">
      <c r="W4506" s="64" ph="1"/>
    </row>
    <row r="4507" spans="23:23" ht="26.4">
      <c r="W4507" s="64" ph="1"/>
    </row>
    <row r="4508" spans="23:23" ht="26.4">
      <c r="W4508" s="64" ph="1"/>
    </row>
    <row r="4509" spans="23:23" ht="26.4">
      <c r="W4509" s="64" ph="1"/>
    </row>
    <row r="4510" spans="23:23" ht="26.4">
      <c r="W4510" s="64" ph="1"/>
    </row>
    <row r="4511" spans="23:23" ht="26.4">
      <c r="W4511" s="64" ph="1"/>
    </row>
    <row r="4512" spans="23:23" ht="26.4">
      <c r="W4512" s="64" ph="1"/>
    </row>
    <row r="4513" spans="23:23" ht="26.4">
      <c r="W4513" s="64" ph="1"/>
    </row>
    <row r="4514" spans="23:23" ht="26.4">
      <c r="W4514" s="64" ph="1"/>
    </row>
    <row r="4515" spans="23:23" ht="26.4">
      <c r="W4515" s="64" ph="1"/>
    </row>
    <row r="4516" spans="23:23" ht="26.4">
      <c r="W4516" s="64" ph="1"/>
    </row>
    <row r="4517" spans="23:23" ht="26.4">
      <c r="W4517" s="64" ph="1"/>
    </row>
    <row r="4518" spans="23:23" ht="26.4">
      <c r="W4518" s="64" ph="1"/>
    </row>
    <row r="4519" spans="23:23" ht="26.4">
      <c r="W4519" s="64" ph="1"/>
    </row>
    <row r="4520" spans="23:23" ht="26.4">
      <c r="W4520" s="64" ph="1"/>
    </row>
    <row r="4521" spans="23:23" ht="26.4">
      <c r="W4521" s="64" ph="1"/>
    </row>
    <row r="4522" spans="23:23" ht="26.4">
      <c r="W4522" s="64" ph="1"/>
    </row>
    <row r="4523" spans="23:23" ht="26.4">
      <c r="W4523" s="64" ph="1"/>
    </row>
    <row r="4524" spans="23:23" ht="26.4">
      <c r="W4524" s="64" ph="1"/>
    </row>
    <row r="4525" spans="23:23" ht="26.4">
      <c r="W4525" s="64" ph="1"/>
    </row>
    <row r="4526" spans="23:23" ht="26.4">
      <c r="W4526" s="64" ph="1"/>
    </row>
    <row r="4527" spans="23:23" ht="26.4">
      <c r="W4527" s="64" ph="1"/>
    </row>
    <row r="4528" spans="23:23" ht="26.4">
      <c r="W4528" s="64" ph="1"/>
    </row>
    <row r="4529" spans="23:23" ht="26.4">
      <c r="W4529" s="64" ph="1"/>
    </row>
    <row r="4530" spans="23:23" ht="26.4">
      <c r="W4530" s="64" ph="1"/>
    </row>
    <row r="4531" spans="23:23" ht="26.4">
      <c r="W4531" s="64" ph="1"/>
    </row>
    <row r="4532" spans="23:23" ht="26.4">
      <c r="W4532" s="64" ph="1"/>
    </row>
    <row r="4533" spans="23:23" ht="26.4">
      <c r="W4533" s="64" ph="1"/>
    </row>
    <row r="4534" spans="23:23" ht="26.4">
      <c r="W4534" s="64" ph="1"/>
    </row>
    <row r="4535" spans="23:23" ht="26.4">
      <c r="W4535" s="64" ph="1"/>
    </row>
    <row r="4536" spans="23:23" ht="26.4">
      <c r="W4536" s="64" ph="1"/>
    </row>
    <row r="4537" spans="23:23" ht="26.4">
      <c r="W4537" s="64" ph="1"/>
    </row>
    <row r="4538" spans="23:23" ht="26.4">
      <c r="W4538" s="64" ph="1"/>
    </row>
    <row r="4539" spans="23:23" ht="26.4">
      <c r="W4539" s="64" ph="1"/>
    </row>
    <row r="4540" spans="23:23" ht="26.4">
      <c r="W4540" s="64" ph="1"/>
    </row>
    <row r="4541" spans="23:23" ht="26.4">
      <c r="W4541" s="64" ph="1"/>
    </row>
    <row r="4542" spans="23:23" ht="26.4">
      <c r="W4542" s="64" ph="1"/>
    </row>
    <row r="4543" spans="23:23" ht="26.4">
      <c r="W4543" s="64" ph="1"/>
    </row>
    <row r="4544" spans="23:23" ht="26.4">
      <c r="W4544" s="64" ph="1"/>
    </row>
    <row r="4545" spans="23:23" ht="26.4">
      <c r="W4545" s="64" ph="1"/>
    </row>
    <row r="4546" spans="23:23" ht="26.4">
      <c r="W4546" s="64" ph="1"/>
    </row>
    <row r="4547" spans="23:23" ht="26.4">
      <c r="W4547" s="64" ph="1"/>
    </row>
    <row r="4548" spans="23:23" ht="26.4">
      <c r="W4548" s="64" ph="1"/>
    </row>
    <row r="4549" spans="23:23" ht="26.4">
      <c r="W4549" s="64" ph="1"/>
    </row>
    <row r="4550" spans="23:23" ht="26.4">
      <c r="W4550" s="64" ph="1"/>
    </row>
    <row r="4551" spans="23:23" ht="26.4">
      <c r="W4551" s="64" ph="1"/>
    </row>
    <row r="4552" spans="23:23" ht="26.4">
      <c r="W4552" s="64" ph="1"/>
    </row>
    <row r="4553" spans="23:23" ht="26.4">
      <c r="W4553" s="64" ph="1"/>
    </row>
    <row r="4554" spans="23:23" ht="26.4">
      <c r="W4554" s="64" ph="1"/>
    </row>
    <row r="4555" spans="23:23" ht="26.4">
      <c r="W4555" s="64" ph="1"/>
    </row>
    <row r="4556" spans="23:23" ht="26.4">
      <c r="W4556" s="64" ph="1"/>
    </row>
    <row r="4557" spans="23:23" ht="26.4">
      <c r="W4557" s="64" ph="1"/>
    </row>
    <row r="4558" spans="23:23" ht="26.4">
      <c r="W4558" s="64" ph="1"/>
    </row>
    <row r="4559" spans="23:23" ht="26.4">
      <c r="W4559" s="64" ph="1"/>
    </row>
    <row r="4560" spans="23:23" ht="26.4">
      <c r="W4560" s="64" ph="1"/>
    </row>
    <row r="4561" spans="23:23" ht="26.4">
      <c r="W4561" s="64" ph="1"/>
    </row>
    <row r="4562" spans="23:23" ht="26.4">
      <c r="W4562" s="64" ph="1"/>
    </row>
    <row r="4563" spans="23:23" ht="26.4">
      <c r="W4563" s="64" ph="1"/>
    </row>
    <row r="4564" spans="23:23" ht="26.4">
      <c r="W4564" s="64" ph="1"/>
    </row>
    <row r="4565" spans="23:23" ht="26.4">
      <c r="W4565" s="64" ph="1"/>
    </row>
    <row r="4566" spans="23:23" ht="26.4">
      <c r="W4566" s="64" ph="1"/>
    </row>
    <row r="4567" spans="23:23" ht="26.4">
      <c r="W4567" s="64" ph="1"/>
    </row>
    <row r="4568" spans="23:23" ht="26.4">
      <c r="W4568" s="64" ph="1"/>
    </row>
    <row r="4569" spans="23:23" ht="26.4">
      <c r="W4569" s="64" ph="1"/>
    </row>
    <row r="4570" spans="23:23" ht="26.4">
      <c r="W4570" s="64" ph="1"/>
    </row>
    <row r="4571" spans="23:23" ht="26.4">
      <c r="W4571" s="64" ph="1"/>
    </row>
    <row r="4572" spans="23:23" ht="26.4">
      <c r="W4572" s="64" ph="1"/>
    </row>
    <row r="4573" spans="23:23" ht="26.4">
      <c r="W4573" s="64" ph="1"/>
    </row>
    <row r="4574" spans="23:23" ht="26.4">
      <c r="W4574" s="64" ph="1"/>
    </row>
    <row r="4575" spans="23:23" ht="26.4">
      <c r="W4575" s="64" ph="1"/>
    </row>
    <row r="4576" spans="23:23" ht="26.4">
      <c r="W4576" s="64" ph="1"/>
    </row>
    <row r="4577" spans="23:23" ht="26.4">
      <c r="W4577" s="64" ph="1"/>
    </row>
    <row r="4578" spans="23:23" ht="26.4">
      <c r="W4578" s="64" ph="1"/>
    </row>
    <row r="4579" spans="23:23" ht="26.4">
      <c r="W4579" s="64" ph="1"/>
    </row>
    <row r="4580" spans="23:23" ht="26.4">
      <c r="W4580" s="64" ph="1"/>
    </row>
    <row r="4581" spans="23:23" ht="26.4">
      <c r="W4581" s="64" ph="1"/>
    </row>
    <row r="4582" spans="23:23" ht="26.4">
      <c r="W4582" s="64" ph="1"/>
    </row>
    <row r="4583" spans="23:23" ht="26.4">
      <c r="W4583" s="64" ph="1"/>
    </row>
    <row r="4584" spans="23:23" ht="26.4">
      <c r="W4584" s="64" ph="1"/>
    </row>
    <row r="4585" spans="23:23" ht="26.4">
      <c r="W4585" s="64" ph="1"/>
    </row>
    <row r="4586" spans="23:23" ht="26.4">
      <c r="W4586" s="64" ph="1"/>
    </row>
    <row r="4587" spans="23:23" ht="26.4">
      <c r="W4587" s="64" ph="1"/>
    </row>
    <row r="4588" spans="23:23" ht="26.4">
      <c r="W4588" s="64" ph="1"/>
    </row>
    <row r="4589" spans="23:23" ht="26.4">
      <c r="W4589" s="64" ph="1"/>
    </row>
    <row r="4590" spans="23:23" ht="26.4">
      <c r="W4590" s="64" ph="1"/>
    </row>
    <row r="4591" spans="23:23" ht="26.4">
      <c r="W4591" s="64" ph="1"/>
    </row>
    <row r="4592" spans="23:23" ht="26.4">
      <c r="W4592" s="64" ph="1"/>
    </row>
    <row r="4593" spans="23:23" ht="26.4">
      <c r="W4593" s="64" ph="1"/>
    </row>
    <row r="4594" spans="23:23" ht="26.4">
      <c r="W4594" s="64" ph="1"/>
    </row>
    <row r="4595" spans="23:23" ht="26.4">
      <c r="W4595" s="64" ph="1"/>
    </row>
    <row r="4596" spans="23:23" ht="26.4">
      <c r="W4596" s="64" ph="1"/>
    </row>
    <row r="4597" spans="23:23" ht="26.4">
      <c r="W4597" s="64" ph="1"/>
    </row>
    <row r="4598" spans="23:23" ht="26.4">
      <c r="W4598" s="64" ph="1"/>
    </row>
    <row r="4599" spans="23:23" ht="26.4">
      <c r="W4599" s="64" ph="1"/>
    </row>
    <row r="4600" spans="23:23" ht="26.4">
      <c r="W4600" s="64" ph="1"/>
    </row>
    <row r="4601" spans="23:23" ht="26.4">
      <c r="W4601" s="64" ph="1"/>
    </row>
    <row r="4602" spans="23:23" ht="26.4">
      <c r="W4602" s="64" ph="1"/>
    </row>
    <row r="4603" spans="23:23" ht="26.4">
      <c r="W4603" s="64" ph="1"/>
    </row>
    <row r="4604" spans="23:23" ht="26.4">
      <c r="W4604" s="64" ph="1"/>
    </row>
    <row r="4605" spans="23:23" ht="26.4">
      <c r="W4605" s="64" ph="1"/>
    </row>
    <row r="4606" spans="23:23" ht="26.4">
      <c r="W4606" s="64" ph="1"/>
    </row>
    <row r="4607" spans="23:23" ht="26.4">
      <c r="W4607" s="64" ph="1"/>
    </row>
    <row r="4608" spans="23:23" ht="26.4">
      <c r="W4608" s="64" ph="1"/>
    </row>
    <row r="4609" spans="23:23" ht="26.4">
      <c r="W4609" s="64" ph="1"/>
    </row>
    <row r="4610" spans="23:23" ht="26.4">
      <c r="W4610" s="64" ph="1"/>
    </row>
    <row r="4611" spans="23:23" ht="26.4">
      <c r="W4611" s="64" ph="1"/>
    </row>
    <row r="4612" spans="23:23" ht="26.4">
      <c r="W4612" s="64" ph="1"/>
    </row>
    <row r="4613" spans="23:23" ht="26.4">
      <c r="W4613" s="64" ph="1"/>
    </row>
    <row r="4614" spans="23:23" ht="26.4">
      <c r="W4614" s="64" ph="1"/>
    </row>
    <row r="4615" spans="23:23" ht="26.4">
      <c r="W4615" s="64" ph="1"/>
    </row>
    <row r="4616" spans="23:23" ht="26.4">
      <c r="W4616" s="64" ph="1"/>
    </row>
    <row r="4617" spans="23:23" ht="26.4">
      <c r="W4617" s="64" ph="1"/>
    </row>
    <row r="4618" spans="23:23" ht="26.4">
      <c r="W4618" s="64" ph="1"/>
    </row>
    <row r="4619" spans="23:23" ht="26.4">
      <c r="W4619" s="64" ph="1"/>
    </row>
    <row r="4620" spans="23:23" ht="26.4">
      <c r="W4620" s="64" ph="1"/>
    </row>
    <row r="4621" spans="23:23" ht="26.4">
      <c r="W4621" s="64" ph="1"/>
    </row>
    <row r="4622" spans="23:23" ht="26.4">
      <c r="W4622" s="64" ph="1"/>
    </row>
    <row r="4623" spans="23:23" ht="26.4">
      <c r="W4623" s="64" ph="1"/>
    </row>
    <row r="4624" spans="23:23" ht="26.4">
      <c r="W4624" s="64" ph="1"/>
    </row>
    <row r="4625" spans="23:23" ht="26.4">
      <c r="W4625" s="64" ph="1"/>
    </row>
    <row r="4626" spans="23:23" ht="26.4">
      <c r="W4626" s="64" ph="1"/>
    </row>
    <row r="4627" spans="23:23" ht="26.4">
      <c r="W4627" s="64" ph="1"/>
    </row>
    <row r="4628" spans="23:23" ht="26.4">
      <c r="W4628" s="64" ph="1"/>
    </row>
    <row r="4629" spans="23:23" ht="26.4">
      <c r="W4629" s="64" ph="1"/>
    </row>
    <row r="4630" spans="23:23" ht="26.4">
      <c r="W4630" s="64" ph="1"/>
    </row>
    <row r="4631" spans="23:23" ht="26.4">
      <c r="W4631" s="64" ph="1"/>
    </row>
    <row r="4632" spans="23:23" ht="26.4">
      <c r="W4632" s="64" ph="1"/>
    </row>
    <row r="4633" spans="23:23" ht="26.4">
      <c r="W4633" s="64" ph="1"/>
    </row>
    <row r="4634" spans="23:23" ht="26.4">
      <c r="W4634" s="64" ph="1"/>
    </row>
    <row r="4635" spans="23:23" ht="26.4">
      <c r="W4635" s="64" ph="1"/>
    </row>
    <row r="4636" spans="23:23" ht="26.4">
      <c r="W4636" s="64" ph="1"/>
    </row>
    <row r="4637" spans="23:23" ht="26.4">
      <c r="W4637" s="64" ph="1"/>
    </row>
    <row r="4638" spans="23:23" ht="26.4">
      <c r="W4638" s="64" ph="1"/>
    </row>
    <row r="4639" spans="23:23" ht="26.4">
      <c r="W4639" s="64" ph="1"/>
    </row>
    <row r="4640" spans="23:23" ht="26.4">
      <c r="W4640" s="64" ph="1"/>
    </row>
    <row r="4641" spans="23:23" ht="26.4">
      <c r="W4641" s="64" ph="1"/>
    </row>
    <row r="4642" spans="23:23" ht="26.4">
      <c r="W4642" s="64" ph="1"/>
    </row>
    <row r="4643" spans="23:23" ht="26.4">
      <c r="W4643" s="64" ph="1"/>
    </row>
    <row r="4644" spans="23:23" ht="26.4">
      <c r="W4644" s="64" ph="1"/>
    </row>
    <row r="4645" spans="23:23" ht="26.4">
      <c r="W4645" s="64" ph="1"/>
    </row>
    <row r="4646" spans="23:23" ht="26.4">
      <c r="W4646" s="64" ph="1"/>
    </row>
    <row r="4647" spans="23:23" ht="26.4">
      <c r="W4647" s="64" ph="1"/>
    </row>
    <row r="4648" spans="23:23" ht="26.4">
      <c r="W4648" s="64" ph="1"/>
    </row>
    <row r="4649" spans="23:23" ht="26.4">
      <c r="W4649" s="64" ph="1"/>
    </row>
    <row r="4650" spans="23:23" ht="26.4">
      <c r="W4650" s="64" ph="1"/>
    </row>
    <row r="4651" spans="23:23" ht="26.4">
      <c r="W4651" s="64" ph="1"/>
    </row>
    <row r="4652" spans="23:23" ht="26.4">
      <c r="W4652" s="64" ph="1"/>
    </row>
    <row r="4653" spans="23:23" ht="26.4">
      <c r="W4653" s="64" ph="1"/>
    </row>
    <row r="4654" spans="23:23" ht="26.4">
      <c r="W4654" s="64" ph="1"/>
    </row>
    <row r="4655" spans="23:23" ht="26.4">
      <c r="W4655" s="64" ph="1"/>
    </row>
    <row r="4656" spans="23:23" ht="26.4">
      <c r="W4656" s="64" ph="1"/>
    </row>
    <row r="4657" spans="23:23" ht="26.4">
      <c r="W4657" s="64" ph="1"/>
    </row>
    <row r="4658" spans="23:23" ht="26.4">
      <c r="W4658" s="64" ph="1"/>
    </row>
    <row r="4659" spans="23:23" ht="26.4">
      <c r="W4659" s="64" ph="1"/>
    </row>
    <row r="4660" spans="23:23" ht="26.4">
      <c r="W4660" s="64" ph="1"/>
    </row>
    <row r="4661" spans="23:23" ht="26.4">
      <c r="W4661" s="64" ph="1"/>
    </row>
    <row r="4662" spans="23:23" ht="26.4">
      <c r="W4662" s="64" ph="1"/>
    </row>
    <row r="4663" spans="23:23" ht="26.4">
      <c r="W4663" s="64" ph="1"/>
    </row>
    <row r="4664" spans="23:23" ht="26.4">
      <c r="W4664" s="64" ph="1"/>
    </row>
    <row r="4665" spans="23:23" ht="26.4">
      <c r="W4665" s="64" ph="1"/>
    </row>
    <row r="4666" spans="23:23" ht="26.4">
      <c r="W4666" s="64" ph="1"/>
    </row>
    <row r="4667" spans="23:23" ht="26.4">
      <c r="W4667" s="64" ph="1"/>
    </row>
    <row r="4668" spans="23:23" ht="26.4">
      <c r="W4668" s="64" ph="1"/>
    </row>
    <row r="4669" spans="23:23" ht="26.4">
      <c r="W4669" s="64" ph="1"/>
    </row>
    <row r="4670" spans="23:23" ht="26.4">
      <c r="W4670" s="64" ph="1"/>
    </row>
    <row r="4671" spans="23:23" ht="26.4">
      <c r="W4671" s="64" ph="1"/>
    </row>
    <row r="4672" spans="23:23" ht="26.4">
      <c r="W4672" s="64" ph="1"/>
    </row>
    <row r="4673" spans="23:23" ht="26.4">
      <c r="W4673" s="64" ph="1"/>
    </row>
    <row r="4674" spans="23:23" ht="26.4">
      <c r="W4674" s="64" ph="1"/>
    </row>
    <row r="4675" spans="23:23" ht="26.4">
      <c r="W4675" s="64" ph="1"/>
    </row>
    <row r="4676" spans="23:23" ht="26.4">
      <c r="W4676" s="64" ph="1"/>
    </row>
    <row r="4677" spans="23:23" ht="26.4">
      <c r="W4677" s="64" ph="1"/>
    </row>
    <row r="4678" spans="23:23" ht="26.4">
      <c r="W4678" s="64" ph="1"/>
    </row>
    <row r="4679" spans="23:23" ht="26.4">
      <c r="W4679" s="64" ph="1"/>
    </row>
    <row r="4680" spans="23:23" ht="26.4">
      <c r="W4680" s="64" ph="1"/>
    </row>
    <row r="4681" spans="23:23" ht="26.4">
      <c r="W4681" s="64" ph="1"/>
    </row>
    <row r="4682" spans="23:23" ht="26.4">
      <c r="W4682" s="64" ph="1"/>
    </row>
    <row r="4683" spans="23:23" ht="26.4">
      <c r="W4683" s="64" ph="1"/>
    </row>
    <row r="4684" spans="23:23" ht="26.4">
      <c r="W4684" s="64" ph="1"/>
    </row>
    <row r="4685" spans="23:23" ht="26.4">
      <c r="W4685" s="64" ph="1"/>
    </row>
    <row r="4686" spans="23:23" ht="26.4">
      <c r="W4686" s="64" ph="1"/>
    </row>
    <row r="4687" spans="23:23" ht="26.4">
      <c r="W4687" s="64" ph="1"/>
    </row>
    <row r="4688" spans="23:23" ht="26.4">
      <c r="W4688" s="64" ph="1"/>
    </row>
    <row r="4689" spans="23:23" ht="26.4">
      <c r="W4689" s="64" ph="1"/>
    </row>
    <row r="4690" spans="23:23" ht="26.4">
      <c r="W4690" s="64" ph="1"/>
    </row>
    <row r="4691" spans="23:23" ht="26.4">
      <c r="W4691" s="64" ph="1"/>
    </row>
    <row r="4692" spans="23:23" ht="26.4">
      <c r="W4692" s="64" ph="1"/>
    </row>
    <row r="4693" spans="23:23" ht="26.4">
      <c r="W4693" s="64" ph="1"/>
    </row>
    <row r="4694" spans="23:23" ht="26.4">
      <c r="W4694" s="64" ph="1"/>
    </row>
    <row r="4695" spans="23:23" ht="26.4">
      <c r="W4695" s="64" ph="1"/>
    </row>
    <row r="4696" spans="23:23" ht="26.4">
      <c r="W4696" s="64" ph="1"/>
    </row>
    <row r="4697" spans="23:23" ht="26.4">
      <c r="W4697" s="64" ph="1"/>
    </row>
    <row r="4698" spans="23:23" ht="26.4">
      <c r="W4698" s="64" ph="1"/>
    </row>
    <row r="4699" spans="23:23" ht="26.4">
      <c r="W4699" s="64" ph="1"/>
    </row>
    <row r="4700" spans="23:23" ht="26.4">
      <c r="W4700" s="64" ph="1"/>
    </row>
    <row r="4701" spans="23:23" ht="26.4">
      <c r="W4701" s="64" ph="1"/>
    </row>
    <row r="4702" spans="23:23" ht="26.4">
      <c r="W4702" s="64" ph="1"/>
    </row>
    <row r="4703" spans="23:23" ht="26.4">
      <c r="W4703" s="64" ph="1"/>
    </row>
    <row r="4704" spans="23:23" ht="26.4">
      <c r="W4704" s="64" ph="1"/>
    </row>
    <row r="4705" spans="23:23" ht="26.4">
      <c r="W4705" s="64" ph="1"/>
    </row>
    <row r="4706" spans="23:23" ht="26.4">
      <c r="W4706" s="64" ph="1"/>
    </row>
    <row r="4707" spans="23:23" ht="26.4">
      <c r="W4707" s="64" ph="1"/>
    </row>
    <row r="4708" spans="23:23" ht="26.4">
      <c r="W4708" s="64" ph="1"/>
    </row>
    <row r="4709" spans="23:23" ht="26.4">
      <c r="W4709" s="64" ph="1"/>
    </row>
    <row r="4710" spans="23:23" ht="26.4">
      <c r="W4710" s="64" ph="1"/>
    </row>
    <row r="4711" spans="23:23" ht="26.4">
      <c r="W4711" s="64" ph="1"/>
    </row>
    <row r="4712" spans="23:23" ht="26.4">
      <c r="W4712" s="64" ph="1"/>
    </row>
    <row r="4713" spans="23:23" ht="26.4">
      <c r="W4713" s="64" ph="1"/>
    </row>
    <row r="4714" spans="23:23" ht="26.4">
      <c r="W4714" s="64" ph="1"/>
    </row>
    <row r="4715" spans="23:23" ht="26.4">
      <c r="W4715" s="64" ph="1"/>
    </row>
    <row r="4716" spans="23:23" ht="26.4">
      <c r="W4716" s="64" ph="1"/>
    </row>
    <row r="4717" spans="23:23" ht="26.4">
      <c r="W4717" s="64" ph="1"/>
    </row>
    <row r="4718" spans="23:23" ht="26.4">
      <c r="W4718" s="64" ph="1"/>
    </row>
    <row r="4719" spans="23:23" ht="26.4">
      <c r="W4719" s="64" ph="1"/>
    </row>
    <row r="4720" spans="23:23" ht="26.4">
      <c r="W4720" s="64" ph="1"/>
    </row>
    <row r="4721" spans="23:23" ht="26.4">
      <c r="W4721" s="64" ph="1"/>
    </row>
    <row r="4722" spans="23:23" ht="26.4">
      <c r="W4722" s="64" ph="1"/>
    </row>
    <row r="4723" spans="23:23" ht="26.4">
      <c r="W4723" s="64" ph="1"/>
    </row>
    <row r="4724" spans="23:23" ht="26.4">
      <c r="W4724" s="64" ph="1"/>
    </row>
    <row r="4725" spans="23:23" ht="26.4">
      <c r="W4725" s="64" ph="1"/>
    </row>
    <row r="4726" spans="23:23" ht="26.4">
      <c r="W4726" s="64" ph="1"/>
    </row>
    <row r="4727" spans="23:23" ht="26.4">
      <c r="W4727" s="64" ph="1"/>
    </row>
    <row r="4728" spans="23:23" ht="26.4">
      <c r="W4728" s="64" ph="1"/>
    </row>
    <row r="4729" spans="23:23" ht="26.4">
      <c r="W4729" s="64" ph="1"/>
    </row>
    <row r="4730" spans="23:23" ht="26.4">
      <c r="W4730" s="64" ph="1"/>
    </row>
    <row r="4731" spans="23:23" ht="26.4">
      <c r="W4731" s="64" ph="1"/>
    </row>
    <row r="4732" spans="23:23" ht="26.4">
      <c r="W4732" s="64" ph="1"/>
    </row>
    <row r="4733" spans="23:23" ht="26.4">
      <c r="W4733" s="64" ph="1"/>
    </row>
    <row r="4734" spans="23:23" ht="26.4">
      <c r="W4734" s="64" ph="1"/>
    </row>
    <row r="4735" spans="23:23" ht="26.4">
      <c r="W4735" s="64" ph="1"/>
    </row>
    <row r="4736" spans="23:23" ht="26.4">
      <c r="W4736" s="64" ph="1"/>
    </row>
    <row r="4737" spans="23:23" ht="26.4">
      <c r="W4737" s="64" ph="1"/>
    </row>
    <row r="4738" spans="23:23" ht="26.4">
      <c r="W4738" s="64" ph="1"/>
    </row>
    <row r="4739" spans="23:23" ht="26.4">
      <c r="W4739" s="64" ph="1"/>
    </row>
    <row r="4740" spans="23:23" ht="26.4">
      <c r="W4740" s="64" ph="1"/>
    </row>
    <row r="4741" spans="23:23" ht="26.4">
      <c r="W4741" s="64" ph="1"/>
    </row>
    <row r="4742" spans="23:23" ht="26.4">
      <c r="W4742" s="64" ph="1"/>
    </row>
    <row r="4743" spans="23:23" ht="26.4">
      <c r="W4743" s="64" ph="1"/>
    </row>
    <row r="4744" spans="23:23" ht="26.4">
      <c r="W4744" s="64" ph="1"/>
    </row>
    <row r="4745" spans="23:23" ht="26.4">
      <c r="W4745" s="64" ph="1"/>
    </row>
    <row r="4746" spans="23:23" ht="26.4">
      <c r="W4746" s="64" ph="1"/>
    </row>
    <row r="4747" spans="23:23" ht="26.4">
      <c r="W4747" s="64" ph="1"/>
    </row>
    <row r="4748" spans="23:23" ht="26.4">
      <c r="W4748" s="64" ph="1"/>
    </row>
    <row r="4749" spans="23:23" ht="26.4">
      <c r="W4749" s="64" ph="1"/>
    </row>
    <row r="4750" spans="23:23" ht="26.4">
      <c r="W4750" s="64" ph="1"/>
    </row>
    <row r="4751" spans="23:23" ht="26.4">
      <c r="W4751" s="64" ph="1"/>
    </row>
    <row r="4752" spans="23:23" ht="26.4">
      <c r="W4752" s="64" ph="1"/>
    </row>
    <row r="4753" spans="23:23" ht="26.4">
      <c r="W4753" s="64" ph="1"/>
    </row>
    <row r="4754" spans="23:23" ht="26.4">
      <c r="W4754" s="64" ph="1"/>
    </row>
    <row r="4755" spans="23:23" ht="26.4">
      <c r="W4755" s="64" ph="1"/>
    </row>
    <row r="4756" spans="23:23" ht="26.4">
      <c r="W4756" s="64" ph="1"/>
    </row>
    <row r="4757" spans="23:23" ht="26.4">
      <c r="W4757" s="64" ph="1"/>
    </row>
    <row r="4758" spans="23:23" ht="26.4">
      <c r="W4758" s="64" ph="1"/>
    </row>
    <row r="4759" spans="23:23" ht="26.4">
      <c r="W4759" s="64" ph="1"/>
    </row>
    <row r="4760" spans="23:23" ht="26.4">
      <c r="W4760" s="64" ph="1"/>
    </row>
    <row r="4761" spans="23:23" ht="26.4">
      <c r="W4761" s="64" ph="1"/>
    </row>
    <row r="4762" spans="23:23" ht="26.4">
      <c r="W4762" s="64" ph="1"/>
    </row>
    <row r="4763" spans="23:23" ht="26.4">
      <c r="W4763" s="64" ph="1"/>
    </row>
    <row r="4764" spans="23:23" ht="26.4">
      <c r="W4764" s="64" ph="1"/>
    </row>
    <row r="4765" spans="23:23" ht="26.4">
      <c r="W4765" s="64" ph="1"/>
    </row>
    <row r="4766" spans="23:23" ht="26.4">
      <c r="W4766" s="64" ph="1"/>
    </row>
    <row r="4767" spans="23:23" ht="26.4">
      <c r="W4767" s="64" ph="1"/>
    </row>
    <row r="4768" spans="23:23" ht="26.4">
      <c r="W4768" s="64" ph="1"/>
    </row>
    <row r="4769" spans="23:23" ht="26.4">
      <c r="W4769" s="64" ph="1"/>
    </row>
    <row r="4770" spans="23:23" ht="26.4">
      <c r="W4770" s="64" ph="1"/>
    </row>
    <row r="4771" spans="23:23" ht="26.4">
      <c r="W4771" s="64" ph="1"/>
    </row>
    <row r="4772" spans="23:23" ht="26.4">
      <c r="W4772" s="64" ph="1"/>
    </row>
    <row r="4773" spans="23:23" ht="26.4">
      <c r="W4773" s="64" ph="1"/>
    </row>
    <row r="4774" spans="23:23" ht="26.4">
      <c r="W4774" s="64" ph="1"/>
    </row>
    <row r="4775" spans="23:23" ht="26.4">
      <c r="W4775" s="64" ph="1"/>
    </row>
    <row r="4776" spans="23:23" ht="26.4">
      <c r="W4776" s="64" ph="1"/>
    </row>
    <row r="4777" spans="23:23" ht="26.4">
      <c r="W4777" s="64" ph="1"/>
    </row>
    <row r="4778" spans="23:23" ht="26.4">
      <c r="W4778" s="64" ph="1"/>
    </row>
    <row r="4779" spans="23:23" ht="26.4">
      <c r="W4779" s="64" ph="1"/>
    </row>
    <row r="4780" spans="23:23" ht="26.4">
      <c r="W4780" s="64" ph="1"/>
    </row>
    <row r="4781" spans="23:23" ht="26.4">
      <c r="W4781" s="64" ph="1"/>
    </row>
    <row r="4782" spans="23:23" ht="26.4">
      <c r="W4782" s="64" ph="1"/>
    </row>
    <row r="4783" spans="23:23" ht="26.4">
      <c r="W4783" s="64" ph="1"/>
    </row>
    <row r="4784" spans="23:23" ht="26.4">
      <c r="W4784" s="64" ph="1"/>
    </row>
    <row r="4785" spans="23:23" ht="26.4">
      <c r="W4785" s="64" ph="1"/>
    </row>
    <row r="4786" spans="23:23" ht="26.4">
      <c r="W4786" s="64" ph="1"/>
    </row>
    <row r="4787" spans="23:23" ht="26.4">
      <c r="W4787" s="64" ph="1"/>
    </row>
    <row r="4788" spans="23:23" ht="26.4">
      <c r="W4788" s="64" ph="1"/>
    </row>
    <row r="4789" spans="23:23" ht="26.4">
      <c r="W4789" s="64" ph="1"/>
    </row>
    <row r="4790" spans="23:23" ht="26.4">
      <c r="W4790" s="64" ph="1"/>
    </row>
    <row r="4791" spans="23:23" ht="26.4">
      <c r="W4791" s="64" ph="1"/>
    </row>
    <row r="4792" spans="23:23" ht="26.4">
      <c r="W4792" s="64" ph="1"/>
    </row>
    <row r="4793" spans="23:23" ht="26.4">
      <c r="W4793" s="64" ph="1"/>
    </row>
    <row r="4794" spans="23:23" ht="26.4">
      <c r="W4794" s="64" ph="1"/>
    </row>
    <row r="4795" spans="23:23" ht="26.4">
      <c r="W4795" s="64" ph="1"/>
    </row>
    <row r="4796" spans="23:23" ht="26.4">
      <c r="W4796" s="64" ph="1"/>
    </row>
    <row r="4797" spans="23:23" ht="26.4">
      <c r="W4797" s="64" ph="1"/>
    </row>
    <row r="4798" spans="23:23" ht="26.4">
      <c r="W4798" s="64" ph="1"/>
    </row>
    <row r="4799" spans="23:23" ht="26.4">
      <c r="W4799" s="64" ph="1"/>
    </row>
    <row r="4800" spans="23:23" ht="26.4">
      <c r="W4800" s="64" ph="1"/>
    </row>
    <row r="4801" spans="23:23" ht="26.4">
      <c r="W4801" s="64" ph="1"/>
    </row>
    <row r="4802" spans="23:23" ht="26.4">
      <c r="W4802" s="64" ph="1"/>
    </row>
    <row r="4803" spans="23:23" ht="26.4">
      <c r="W4803" s="64" ph="1"/>
    </row>
    <row r="4804" spans="23:23" ht="26.4">
      <c r="W4804" s="64" ph="1"/>
    </row>
    <row r="4805" spans="23:23" ht="26.4">
      <c r="W4805" s="64" ph="1"/>
    </row>
    <row r="4806" spans="23:23" ht="26.4">
      <c r="W4806" s="64" ph="1"/>
    </row>
    <row r="4807" spans="23:23" ht="26.4">
      <c r="W4807" s="64" ph="1"/>
    </row>
    <row r="4808" spans="23:23" ht="26.4">
      <c r="W4808" s="64" ph="1"/>
    </row>
    <row r="4809" spans="23:23" ht="26.4">
      <c r="W4809" s="64" ph="1"/>
    </row>
    <row r="4810" spans="23:23" ht="26.4">
      <c r="W4810" s="64" ph="1"/>
    </row>
    <row r="4811" spans="23:23" ht="26.4">
      <c r="W4811" s="64" ph="1"/>
    </row>
    <row r="4812" spans="23:23" ht="26.4">
      <c r="W4812" s="64" ph="1"/>
    </row>
    <row r="4813" spans="23:23" ht="26.4">
      <c r="W4813" s="64" ph="1"/>
    </row>
    <row r="4814" spans="23:23" ht="26.4">
      <c r="W4814" s="64" ph="1"/>
    </row>
    <row r="4815" spans="23:23" ht="26.4">
      <c r="W4815" s="64" ph="1"/>
    </row>
    <row r="4816" spans="23:23" ht="26.4">
      <c r="W4816" s="64" ph="1"/>
    </row>
    <row r="4817" spans="23:23" ht="26.4">
      <c r="W4817" s="64" ph="1"/>
    </row>
    <row r="4818" spans="23:23" ht="26.4">
      <c r="W4818" s="64" ph="1"/>
    </row>
    <row r="4819" spans="23:23" ht="26.4">
      <c r="W4819" s="64" ph="1"/>
    </row>
    <row r="4820" spans="23:23" ht="26.4">
      <c r="W4820" s="64" ph="1"/>
    </row>
    <row r="4821" spans="23:23" ht="26.4">
      <c r="W4821" s="64" ph="1"/>
    </row>
    <row r="4822" spans="23:23" ht="26.4">
      <c r="W4822" s="64" ph="1"/>
    </row>
    <row r="4823" spans="23:23" ht="26.4">
      <c r="W4823" s="64" ph="1"/>
    </row>
    <row r="4824" spans="23:23" ht="26.4">
      <c r="W4824" s="64" ph="1"/>
    </row>
    <row r="4825" spans="23:23" ht="26.4">
      <c r="W4825" s="64" ph="1"/>
    </row>
    <row r="4826" spans="23:23" ht="26.4">
      <c r="W4826" s="64" ph="1"/>
    </row>
    <row r="4827" spans="23:23" ht="26.4">
      <c r="W4827" s="64" ph="1"/>
    </row>
    <row r="4828" spans="23:23" ht="26.4">
      <c r="W4828" s="64" ph="1"/>
    </row>
    <row r="4829" spans="23:23" ht="26.4">
      <c r="W4829" s="64" ph="1"/>
    </row>
    <row r="4830" spans="23:23" ht="26.4">
      <c r="W4830" s="64" ph="1"/>
    </row>
    <row r="4831" spans="23:23" ht="26.4">
      <c r="W4831" s="64" ph="1"/>
    </row>
    <row r="4832" spans="23:23" ht="26.4">
      <c r="W4832" s="64" ph="1"/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B050"/>
  </sheetPr>
  <dimension ref="A1:AX4804"/>
  <sheetViews>
    <sheetView workbookViewId="0">
      <selection activeCell="Z9" sqref="Z9"/>
    </sheetView>
  </sheetViews>
  <sheetFormatPr defaultColWidth="9.125" defaultRowHeight="16.2"/>
  <cols>
    <col min="1" max="1" width="5.75" style="135" customWidth="1"/>
    <col min="2" max="5" width="5.75" style="97" customWidth="1"/>
    <col min="6" max="6" width="8.75" style="66" customWidth="1"/>
    <col min="7" max="7" width="7.75" style="20" customWidth="1"/>
    <col min="8" max="8" width="5.75" style="13" customWidth="1"/>
    <col min="9" max="9" width="9.75" style="10" customWidth="1"/>
    <col min="10" max="10" width="6.75" style="32" customWidth="1"/>
    <col min="11" max="11" width="6.75" style="367" customWidth="1"/>
    <col min="12" max="12" width="6.75" style="77" customWidth="1"/>
    <col min="13" max="13" width="6.75" style="365" customWidth="1"/>
    <col min="14" max="14" width="7.75" style="367" customWidth="1"/>
    <col min="15" max="15" width="7.75" style="343" customWidth="1"/>
    <col min="16" max="16" width="5.75" style="166" customWidth="1"/>
    <col min="17" max="17" width="4.75" style="109" customWidth="1"/>
    <col min="18" max="19" width="4.75" style="51" customWidth="1"/>
    <col min="20" max="20" width="5.75" style="339" customWidth="1"/>
    <col min="21" max="21" width="2.75" style="329" customWidth="1"/>
    <col min="22" max="22" width="6.75" style="371" customWidth="1"/>
    <col min="23" max="23" width="7.75" style="64" customWidth="1"/>
    <col min="24" max="24" width="7.75" style="240" customWidth="1"/>
    <col min="25" max="25" width="9.75" style="285" customWidth="1"/>
    <col min="26" max="26" width="9.75" style="72" customWidth="1"/>
    <col min="27" max="27" width="9.75" style="61" customWidth="1"/>
    <col min="28" max="28" width="8.75" style="12" customWidth="1"/>
    <col min="29" max="29" width="6.75" style="104" customWidth="1"/>
    <col min="30" max="30" width="8.75" style="10" customWidth="1"/>
    <col min="31" max="31" width="11.75" style="89" customWidth="1"/>
    <col min="32" max="32" width="11.75" style="88" customWidth="1"/>
    <col min="33" max="33" width="3.75" style="82" customWidth="1"/>
    <col min="34" max="34" width="3.75" style="284" customWidth="1"/>
    <col min="35" max="35" width="2.75" style="129" customWidth="1"/>
    <col min="36" max="36" width="2.75" style="264" customWidth="1"/>
    <col min="37" max="37" width="7.75" style="252" customWidth="1"/>
    <col min="38" max="38" width="7.75" style="266" customWidth="1"/>
    <col min="39" max="40" width="7.75" style="284" customWidth="1"/>
    <col min="41" max="41" width="12.75" style="252" customWidth="1"/>
    <col min="42" max="42" width="5.75" style="266" customWidth="1"/>
    <col min="43" max="16384" width="9.125" style="284"/>
  </cols>
  <sheetData>
    <row r="1" spans="1:44">
      <c r="A1" s="135" t="s">
        <v>2552</v>
      </c>
      <c r="B1" s="96" t="s">
        <v>2331</v>
      </c>
      <c r="C1" s="96" t="s">
        <v>2332</v>
      </c>
      <c r="D1" s="96" t="s">
        <v>2333</v>
      </c>
      <c r="E1" s="96" t="s">
        <v>2334</v>
      </c>
      <c r="F1" s="9" t="s">
        <v>1709</v>
      </c>
      <c r="G1" s="27" t="s">
        <v>5626</v>
      </c>
      <c r="H1" s="56" t="s">
        <v>578</v>
      </c>
      <c r="I1" s="5" t="s">
        <v>6720</v>
      </c>
      <c r="J1" s="364" t="s">
        <v>2189</v>
      </c>
      <c r="K1" s="364" t="s">
        <v>1820</v>
      </c>
      <c r="L1" s="364" t="s">
        <v>515</v>
      </c>
      <c r="M1" s="364" t="s">
        <v>1699</v>
      </c>
      <c r="N1" s="364" t="s">
        <v>6633</v>
      </c>
      <c r="O1" s="343" t="s">
        <v>6634</v>
      </c>
      <c r="P1" s="83" t="s">
        <v>5279</v>
      </c>
      <c r="Q1" s="326" t="s">
        <v>5514</v>
      </c>
      <c r="R1" s="51" t="s">
        <v>6596</v>
      </c>
      <c r="S1" s="51" t="s">
        <v>6597</v>
      </c>
      <c r="T1" s="338" t="s">
        <v>5627</v>
      </c>
      <c r="U1" s="330" t="s">
        <v>6537</v>
      </c>
      <c r="V1" s="377" t="s">
        <v>6616</v>
      </c>
      <c r="W1" s="11" t="s">
        <v>127</v>
      </c>
      <c r="X1" s="71" t="s">
        <v>6626</v>
      </c>
      <c r="Y1" s="29" t="s">
        <v>6688</v>
      </c>
      <c r="Z1" s="18" t="s">
        <v>2113</v>
      </c>
      <c r="AA1" s="15" t="s">
        <v>8</v>
      </c>
      <c r="AB1" s="22" t="s">
        <v>4</v>
      </c>
      <c r="AC1" s="26" t="s">
        <v>211</v>
      </c>
      <c r="AD1" s="5" t="s">
        <v>6720</v>
      </c>
      <c r="AE1" s="56" t="s">
        <v>5568</v>
      </c>
      <c r="AF1" s="114" t="s">
        <v>5575</v>
      </c>
      <c r="AG1" s="33" t="s">
        <v>1827</v>
      </c>
      <c r="AH1" s="262" t="s">
        <v>6799</v>
      </c>
      <c r="AI1" s="284"/>
      <c r="AK1" s="9" t="s">
        <v>6666</v>
      </c>
      <c r="AL1" s="5" t="s">
        <v>6667</v>
      </c>
      <c r="AM1" s="51" t="s">
        <v>5339</v>
      </c>
      <c r="AN1" s="276" t="s">
        <v>6665</v>
      </c>
      <c r="AO1" s="131"/>
      <c r="AP1" s="264"/>
    </row>
    <row r="2" spans="1:44">
      <c r="B2" s="96"/>
      <c r="C2" s="96"/>
      <c r="D2" s="96"/>
      <c r="E2" s="96"/>
      <c r="F2" s="9"/>
      <c r="G2" s="27"/>
      <c r="H2" s="56"/>
      <c r="I2" s="5"/>
      <c r="J2" s="364"/>
      <c r="K2" s="364"/>
      <c r="L2" s="364"/>
      <c r="M2" s="364"/>
      <c r="N2" s="364"/>
      <c r="P2" s="83"/>
      <c r="Q2" s="326"/>
      <c r="T2" s="338"/>
      <c r="U2" s="330"/>
      <c r="V2" s="377"/>
      <c r="W2" s="11"/>
      <c r="X2" s="71"/>
      <c r="Y2" s="29"/>
      <c r="Z2" s="18"/>
      <c r="AA2" s="15"/>
      <c r="AB2" s="22"/>
      <c r="AC2" s="26"/>
      <c r="AD2" s="5"/>
      <c r="AE2" s="56"/>
      <c r="AF2" s="114"/>
      <c r="AG2" s="33"/>
      <c r="AH2" s="262"/>
      <c r="AI2" s="284"/>
      <c r="AK2" s="9"/>
      <c r="AL2" s="5"/>
      <c r="AM2" s="51"/>
      <c r="AN2" s="276"/>
      <c r="AO2" s="131"/>
      <c r="AP2" s="264"/>
    </row>
    <row r="3" spans="1:44">
      <c r="A3" s="151" t="s">
        <v>2744</v>
      </c>
      <c r="B3" s="85">
        <v>-129</v>
      </c>
      <c r="C3" s="85">
        <v>-125</v>
      </c>
      <c r="D3" s="84">
        <v>16</v>
      </c>
      <c r="E3" s="85">
        <v>-42</v>
      </c>
      <c r="F3" s="7">
        <v>-8.08</v>
      </c>
      <c r="G3" s="84">
        <v>6462</v>
      </c>
      <c r="H3" s="203" t="s">
        <v>558</v>
      </c>
      <c r="I3" s="17" t="s">
        <v>403</v>
      </c>
      <c r="J3" s="371">
        <v>14.59</v>
      </c>
      <c r="K3" s="371">
        <v>20.14</v>
      </c>
      <c r="L3" s="77">
        <v>27.6</v>
      </c>
      <c r="M3" s="77">
        <v>9.7100000000000009</v>
      </c>
      <c r="N3" s="365">
        <f t="shared" ref="N3:N14" si="0">J3+K3+L3+M3</f>
        <v>72.040000000000006</v>
      </c>
      <c r="O3" s="343">
        <f t="shared" ref="O3:O14" si="1">J3+M3</f>
        <v>24.3</v>
      </c>
      <c r="P3" s="195">
        <v>23</v>
      </c>
      <c r="Q3" s="326">
        <v>3</v>
      </c>
      <c r="R3" s="111">
        <v>18</v>
      </c>
      <c r="S3" s="51">
        <v>10</v>
      </c>
      <c r="T3" s="339">
        <f t="shared" ref="T3:T4" si="2">SUM(P3:S3)</f>
        <v>54</v>
      </c>
      <c r="U3" s="329" t="s">
        <v>6540</v>
      </c>
      <c r="V3" s="371">
        <v>5.58</v>
      </c>
      <c r="W3" s="69">
        <v>15</v>
      </c>
      <c r="X3" s="100">
        <v>-2.48</v>
      </c>
      <c r="Y3" s="37" t="str">
        <f>RTD("money.excel",,"6462","Price")</f>
        <v>無資料</v>
      </c>
      <c r="Z3" s="69">
        <v>115.5</v>
      </c>
      <c r="AA3" s="16" t="e">
        <f t="shared" ref="AA3:AA7" si="3">Y3-Z3</f>
        <v>#VALUE!</v>
      </c>
      <c r="AB3" s="3" t="e">
        <f t="shared" ref="AB3:AB7" si="4">AA3/Z3</f>
        <v>#VALUE!</v>
      </c>
      <c r="AC3" s="177" t="s">
        <v>6855</v>
      </c>
      <c r="AD3" s="17" t="s">
        <v>403</v>
      </c>
      <c r="AE3" s="89">
        <v>44554</v>
      </c>
      <c r="AG3" s="34">
        <f t="shared" ref="AG3:AG7" si="5">AF3-AE3</f>
        <v>-44554</v>
      </c>
      <c r="AH3" s="125" t="s">
        <v>2165</v>
      </c>
      <c r="AI3" s="131"/>
      <c r="AK3" s="66">
        <f t="shared" ref="AK3:AK14" si="6">AM3/(A3*10000)</f>
        <v>0</v>
      </c>
      <c r="AL3" s="174">
        <f t="shared" ref="AL3:AL14" si="7">AN3/(A3*10000)</f>
        <v>0</v>
      </c>
      <c r="AM3" s="346">
        <f>RTD("money.excel",,$G3,"PredictVolume")</f>
        <v>0</v>
      </c>
      <c r="AN3" s="272">
        <f>RTD("money.excel",,$G3,"CumulativeVolume")</f>
        <v>0</v>
      </c>
      <c r="AO3" s="284"/>
      <c r="AP3" s="284"/>
    </row>
    <row r="4" spans="1:44">
      <c r="A4" s="135" t="s">
        <v>2529</v>
      </c>
      <c r="B4" s="85">
        <v>-12</v>
      </c>
      <c r="C4" s="85">
        <v>-17</v>
      </c>
      <c r="D4" s="85">
        <v>-6</v>
      </c>
      <c r="E4" s="84">
        <v>21</v>
      </c>
      <c r="F4" s="59">
        <v>24.54</v>
      </c>
      <c r="G4" s="85">
        <v>6510</v>
      </c>
      <c r="H4" s="213" t="s">
        <v>558</v>
      </c>
      <c r="I4" s="17" t="s">
        <v>404</v>
      </c>
      <c r="J4" s="77">
        <v>42.98</v>
      </c>
      <c r="K4" s="77">
        <v>13.53</v>
      </c>
      <c r="L4" s="371">
        <v>15.76</v>
      </c>
      <c r="M4" s="371">
        <v>38.82</v>
      </c>
      <c r="N4" s="365">
        <f t="shared" si="0"/>
        <v>111.09</v>
      </c>
      <c r="O4" s="369">
        <f t="shared" si="1"/>
        <v>81.8</v>
      </c>
      <c r="P4" s="195">
        <v>32</v>
      </c>
      <c r="Q4" s="326">
        <v>2</v>
      </c>
      <c r="R4" s="111">
        <v>6</v>
      </c>
      <c r="S4" s="51">
        <v>19</v>
      </c>
      <c r="T4" s="339">
        <f t="shared" si="2"/>
        <v>59</v>
      </c>
      <c r="U4" s="329" t="s">
        <v>6540</v>
      </c>
      <c r="V4" s="371">
        <v>5.29</v>
      </c>
      <c r="W4" s="69">
        <v>12</v>
      </c>
      <c r="X4" s="100">
        <v>25.81</v>
      </c>
      <c r="Y4" s="37" t="str">
        <f>RTD("money.excel",,"6510","Price")</f>
        <v>無資料</v>
      </c>
      <c r="Z4" s="69">
        <v>688</v>
      </c>
      <c r="AA4" s="16" t="e">
        <f t="shared" si="3"/>
        <v>#VALUE!</v>
      </c>
      <c r="AB4" s="3" t="e">
        <f t="shared" si="4"/>
        <v>#VALUE!</v>
      </c>
      <c r="AC4" s="177" t="s">
        <v>6856</v>
      </c>
      <c r="AD4" s="17" t="s">
        <v>404</v>
      </c>
      <c r="AE4" s="89">
        <v>44554</v>
      </c>
      <c r="AG4" s="34">
        <f t="shared" si="5"/>
        <v>-44554</v>
      </c>
      <c r="AH4" s="126" t="s">
        <v>2166</v>
      </c>
      <c r="AI4" s="284"/>
      <c r="AK4" s="66">
        <f t="shared" si="6"/>
        <v>0</v>
      </c>
      <c r="AL4" s="174">
        <f t="shared" si="7"/>
        <v>0</v>
      </c>
      <c r="AM4" s="346">
        <f>RTD("money.excel",,$G4,"PredictVolume")</f>
        <v>0</v>
      </c>
      <c r="AN4" s="272">
        <f>RTD("money.excel",,$G4,"CumulativeVolume")</f>
        <v>0</v>
      </c>
      <c r="AO4" s="284"/>
      <c r="AP4" s="284"/>
    </row>
    <row r="5" spans="1:44">
      <c r="A5" s="135" t="s">
        <v>4657</v>
      </c>
      <c r="B5" s="85">
        <v>-33</v>
      </c>
      <c r="C5" s="85">
        <v>-40</v>
      </c>
      <c r="D5" s="85">
        <v>-2</v>
      </c>
      <c r="E5" s="84">
        <v>6</v>
      </c>
      <c r="F5" s="59">
        <v>16.36</v>
      </c>
      <c r="G5" s="84">
        <v>3406</v>
      </c>
      <c r="H5" s="9" t="s">
        <v>557</v>
      </c>
      <c r="I5" s="23" t="s">
        <v>93</v>
      </c>
      <c r="J5" s="371">
        <v>44.73</v>
      </c>
      <c r="K5" s="77">
        <v>40.17</v>
      </c>
      <c r="L5" s="371">
        <v>21.06</v>
      </c>
      <c r="M5" s="371">
        <v>10.39</v>
      </c>
      <c r="N5" s="365">
        <f t="shared" si="0"/>
        <v>116.35000000000001</v>
      </c>
      <c r="O5" s="343">
        <f t="shared" si="1"/>
        <v>55.12</v>
      </c>
      <c r="P5" s="195">
        <v>46</v>
      </c>
      <c r="Q5" s="326">
        <v>29</v>
      </c>
      <c r="R5" s="111">
        <v>27</v>
      </c>
      <c r="S5" s="51">
        <v>23</v>
      </c>
      <c r="T5" s="339">
        <f t="shared" ref="T5" si="8">SUM(P5:S5)</f>
        <v>125</v>
      </c>
      <c r="U5" s="329" t="s">
        <v>6833</v>
      </c>
      <c r="V5" s="371">
        <v>9.42</v>
      </c>
      <c r="W5" s="69">
        <v>9.99</v>
      </c>
      <c r="X5" s="100">
        <v>21.22</v>
      </c>
      <c r="Y5" s="14" t="str">
        <f>RTD("money.excel",,"3406","Price")</f>
        <v>無資料</v>
      </c>
      <c r="Z5" s="69">
        <v>539</v>
      </c>
      <c r="AA5" s="16" t="e">
        <f t="shared" si="3"/>
        <v>#VALUE!</v>
      </c>
      <c r="AB5" s="3" t="e">
        <f t="shared" si="4"/>
        <v>#VALUE!</v>
      </c>
      <c r="AC5" s="177" t="s">
        <v>6857</v>
      </c>
      <c r="AD5" s="23" t="s">
        <v>93</v>
      </c>
      <c r="AE5" s="89">
        <v>44554</v>
      </c>
      <c r="AG5" s="34">
        <f t="shared" si="5"/>
        <v>-44554</v>
      </c>
      <c r="AH5" s="126" t="s">
        <v>4061</v>
      </c>
      <c r="AI5" s="131"/>
      <c r="AK5" s="66">
        <f t="shared" si="6"/>
        <v>0</v>
      </c>
      <c r="AL5" s="174">
        <f t="shared" si="7"/>
        <v>0</v>
      </c>
      <c r="AM5" s="346">
        <f>RTD("money.excel",,$G5,"PredictVolume")</f>
        <v>0</v>
      </c>
      <c r="AN5" s="272">
        <f>RTD("money.excel",,$G5,"CumulativeVolume")</f>
        <v>0</v>
      </c>
      <c r="AO5" s="284"/>
      <c r="AP5" s="284"/>
    </row>
    <row r="6" spans="1:44">
      <c r="A6" s="151" t="s">
        <v>6854</v>
      </c>
      <c r="B6" s="84">
        <v>18</v>
      </c>
      <c r="C6" s="84">
        <v>9</v>
      </c>
      <c r="D6" s="84">
        <v>8</v>
      </c>
      <c r="E6" s="84">
        <v>26</v>
      </c>
      <c r="F6" s="7">
        <v>9.18</v>
      </c>
      <c r="G6" s="84">
        <v>3665</v>
      </c>
      <c r="H6" s="212" t="s">
        <v>566</v>
      </c>
      <c r="I6" s="23" t="s">
        <v>492</v>
      </c>
      <c r="J6" s="77">
        <v>52.68</v>
      </c>
      <c r="K6" s="77">
        <v>43.11</v>
      </c>
      <c r="L6" s="77">
        <v>11.17</v>
      </c>
      <c r="M6" s="371">
        <v>4.05</v>
      </c>
      <c r="N6" s="365">
        <f t="shared" si="0"/>
        <v>111.00999999999999</v>
      </c>
      <c r="O6" s="343">
        <f t="shared" si="1"/>
        <v>56.73</v>
      </c>
      <c r="P6" s="195">
        <v>27</v>
      </c>
      <c r="Q6" s="326">
        <v>30</v>
      </c>
      <c r="R6" s="111">
        <v>28</v>
      </c>
      <c r="S6" s="51">
        <v>20</v>
      </c>
      <c r="T6" s="339">
        <f t="shared" ref="T6:T11" si="9">SUM(P6:S6)</f>
        <v>105</v>
      </c>
      <c r="U6" s="329" t="s">
        <v>6837</v>
      </c>
      <c r="V6" s="371">
        <v>8.8699999999999992</v>
      </c>
      <c r="W6" s="69">
        <v>8.1</v>
      </c>
      <c r="X6" s="59">
        <v>15.51</v>
      </c>
      <c r="Y6" s="14" t="str">
        <f>RTD("money.excel",,"3665","Price")</f>
        <v>無資料</v>
      </c>
      <c r="Z6" s="69">
        <v>255.5</v>
      </c>
      <c r="AA6" s="16" t="e">
        <f t="shared" si="3"/>
        <v>#VALUE!</v>
      </c>
      <c r="AB6" s="3" t="e">
        <f t="shared" si="4"/>
        <v>#VALUE!</v>
      </c>
      <c r="AC6" s="177" t="s">
        <v>6535</v>
      </c>
      <c r="AD6" s="23" t="s">
        <v>492</v>
      </c>
      <c r="AE6" s="89">
        <v>44554</v>
      </c>
      <c r="AG6" s="34">
        <f t="shared" si="5"/>
        <v>-44554</v>
      </c>
      <c r="AH6" s="125" t="s">
        <v>3686</v>
      </c>
      <c r="AI6" s="132"/>
      <c r="AK6" s="66">
        <f t="shared" si="6"/>
        <v>0</v>
      </c>
      <c r="AL6" s="174">
        <f t="shared" si="7"/>
        <v>0</v>
      </c>
      <c r="AM6" s="346">
        <f>RTD("money.excel",,$G6,"PredictVolume")</f>
        <v>0</v>
      </c>
      <c r="AN6" s="272">
        <f>RTD("money.excel",,$G6,"CumulativeVolume")</f>
        <v>0</v>
      </c>
      <c r="AO6" s="284"/>
      <c r="AP6" s="284"/>
    </row>
    <row r="7" spans="1:44">
      <c r="A7" s="135" t="s">
        <v>6322</v>
      </c>
      <c r="B7" s="84">
        <v>0</v>
      </c>
      <c r="C7" s="85">
        <v>-2</v>
      </c>
      <c r="D7" s="85">
        <v>-17</v>
      </c>
      <c r="E7" s="85">
        <v>-58</v>
      </c>
      <c r="F7" s="59">
        <v>13.82</v>
      </c>
      <c r="G7" s="84">
        <v>4968</v>
      </c>
      <c r="H7" s="9" t="s">
        <v>558</v>
      </c>
      <c r="I7" s="23" t="s">
        <v>634</v>
      </c>
      <c r="J7" s="371">
        <v>23.36</v>
      </c>
      <c r="K7" s="371">
        <v>41.41</v>
      </c>
      <c r="L7" s="77">
        <v>21.41</v>
      </c>
      <c r="M7" s="371">
        <v>9.5</v>
      </c>
      <c r="N7" s="365">
        <f t="shared" si="0"/>
        <v>95.679999999999993</v>
      </c>
      <c r="O7" s="343">
        <f t="shared" si="1"/>
        <v>32.86</v>
      </c>
      <c r="P7" s="195">
        <v>29</v>
      </c>
      <c r="Q7" s="326">
        <v>31</v>
      </c>
      <c r="R7" s="111">
        <v>32</v>
      </c>
      <c r="S7" s="51">
        <v>42</v>
      </c>
      <c r="T7" s="339">
        <f t="shared" si="9"/>
        <v>134</v>
      </c>
      <c r="U7" s="329" t="s">
        <v>6541</v>
      </c>
      <c r="V7" s="371">
        <v>6.59</v>
      </c>
      <c r="W7" s="69">
        <v>8</v>
      </c>
      <c r="X7" s="100">
        <v>12.49</v>
      </c>
      <c r="Y7" s="14" t="str">
        <f>RTD("money.excel",,"4968","Price")</f>
        <v>無資料</v>
      </c>
      <c r="Z7" s="69">
        <v>277</v>
      </c>
      <c r="AA7" s="16" t="e">
        <f t="shared" si="3"/>
        <v>#VALUE!</v>
      </c>
      <c r="AB7" s="3" t="e">
        <f t="shared" si="4"/>
        <v>#VALUE!</v>
      </c>
      <c r="AC7" s="177" t="s">
        <v>6858</v>
      </c>
      <c r="AD7" s="23" t="s">
        <v>634</v>
      </c>
      <c r="AE7" s="89">
        <v>44554</v>
      </c>
      <c r="AG7" s="34">
        <f t="shared" si="5"/>
        <v>-44554</v>
      </c>
      <c r="AH7" s="63" t="s">
        <v>3169</v>
      </c>
      <c r="AI7" s="131"/>
      <c r="AK7" s="66">
        <f t="shared" si="6"/>
        <v>0</v>
      </c>
      <c r="AL7" s="174">
        <f t="shared" si="7"/>
        <v>0</v>
      </c>
      <c r="AM7" s="346">
        <f>RTD("money.excel",,$G7,"PredictVolume")</f>
        <v>0</v>
      </c>
      <c r="AN7" s="272">
        <f>RTD("money.excel",,$G7,"CumulativeVolume")</f>
        <v>0</v>
      </c>
      <c r="AO7" s="284"/>
      <c r="AP7" s="284"/>
    </row>
    <row r="8" spans="1:44">
      <c r="A8" s="135" t="s">
        <v>3033</v>
      </c>
      <c r="B8" s="84">
        <v>243</v>
      </c>
      <c r="C8" s="84">
        <v>273</v>
      </c>
      <c r="D8" s="85">
        <v>-5</v>
      </c>
      <c r="E8" s="84">
        <v>50</v>
      </c>
      <c r="F8" s="59">
        <v>35.99</v>
      </c>
      <c r="G8" s="84">
        <v>8016</v>
      </c>
      <c r="H8" s="216" t="s">
        <v>558</v>
      </c>
      <c r="I8" s="23" t="s">
        <v>206</v>
      </c>
      <c r="J8" s="371">
        <v>24.15</v>
      </c>
      <c r="K8" s="371">
        <v>38</v>
      </c>
      <c r="L8" s="77">
        <v>20.76</v>
      </c>
      <c r="M8" s="371">
        <v>6.65</v>
      </c>
      <c r="N8" s="365">
        <f t="shared" si="0"/>
        <v>89.56</v>
      </c>
      <c r="O8" s="343">
        <f t="shared" si="1"/>
        <v>30.799999999999997</v>
      </c>
      <c r="P8" s="195">
        <v>20</v>
      </c>
      <c r="Q8" s="326">
        <v>26</v>
      </c>
      <c r="R8" s="111">
        <v>23</v>
      </c>
      <c r="S8" s="51">
        <v>41</v>
      </c>
      <c r="T8" s="339">
        <f t="shared" si="9"/>
        <v>110</v>
      </c>
      <c r="U8" s="329" t="s">
        <v>6833</v>
      </c>
      <c r="V8" s="371">
        <v>9.4600000000000009</v>
      </c>
      <c r="W8" s="69">
        <v>7.5</v>
      </c>
      <c r="X8" s="100">
        <v>39.28</v>
      </c>
      <c r="Y8" s="37" t="str">
        <f>RTD("money.excel",,"8016","Price")</f>
        <v>無資料</v>
      </c>
      <c r="Z8" s="69">
        <v>320.5</v>
      </c>
      <c r="AA8" s="16" t="e">
        <f>Y8-Z8</f>
        <v>#VALUE!</v>
      </c>
      <c r="AB8" s="3" t="e">
        <f>AA8/Z8</f>
        <v>#VALUE!</v>
      </c>
      <c r="AC8" s="177" t="s">
        <v>6859</v>
      </c>
      <c r="AD8" s="23" t="s">
        <v>206</v>
      </c>
      <c r="AE8" s="89">
        <v>44554</v>
      </c>
      <c r="AG8" s="34">
        <f>AF8-AE8</f>
        <v>-44554</v>
      </c>
      <c r="AH8" s="126" t="s">
        <v>4344</v>
      </c>
      <c r="AI8" s="128"/>
      <c r="AK8" s="66">
        <f t="shared" si="6"/>
        <v>0</v>
      </c>
      <c r="AL8" s="174">
        <f t="shared" si="7"/>
        <v>0</v>
      </c>
      <c r="AM8" s="346">
        <f>RTD("money.excel",,$G8,"PredictVolume")</f>
        <v>0</v>
      </c>
      <c r="AN8" s="272">
        <f>RTD("money.excel",,$G8,"CumulativeVolume")</f>
        <v>0</v>
      </c>
      <c r="AO8" s="34"/>
      <c r="AP8" s="34"/>
      <c r="AQ8" s="34"/>
      <c r="AR8" s="34"/>
    </row>
    <row r="9" spans="1:44">
      <c r="A9" s="135" t="s">
        <v>2590</v>
      </c>
      <c r="B9" s="84">
        <v>111</v>
      </c>
      <c r="C9" s="84">
        <v>92</v>
      </c>
      <c r="D9" s="84">
        <v>7</v>
      </c>
      <c r="E9" s="84">
        <v>11</v>
      </c>
      <c r="F9" s="59">
        <v>23.9</v>
      </c>
      <c r="G9" s="84">
        <v>6271</v>
      </c>
      <c r="H9" s="9" t="s">
        <v>558</v>
      </c>
      <c r="I9" s="23" t="s">
        <v>109</v>
      </c>
      <c r="J9" s="77">
        <v>48.73</v>
      </c>
      <c r="K9" s="371">
        <v>54.44</v>
      </c>
      <c r="L9" s="371">
        <v>11.62</v>
      </c>
      <c r="M9" s="371">
        <v>11.77</v>
      </c>
      <c r="N9" s="365">
        <f t="shared" si="0"/>
        <v>126.55999999999999</v>
      </c>
      <c r="O9" s="343">
        <f t="shared" si="1"/>
        <v>60.5</v>
      </c>
      <c r="P9" s="195">
        <v>38</v>
      </c>
      <c r="Q9" s="326">
        <v>42</v>
      </c>
      <c r="R9" s="111">
        <v>24</v>
      </c>
      <c r="S9" s="51">
        <v>36</v>
      </c>
      <c r="T9" s="339">
        <f t="shared" si="9"/>
        <v>140</v>
      </c>
      <c r="U9" s="329" t="s">
        <v>6838</v>
      </c>
      <c r="V9" s="371">
        <v>5.69</v>
      </c>
      <c r="W9" s="69">
        <v>5.5</v>
      </c>
      <c r="X9" s="100">
        <v>14.03</v>
      </c>
      <c r="Y9" s="14" t="str">
        <f>RTD("money.excel",,"6271","Price")</f>
        <v>無資料</v>
      </c>
      <c r="Z9" s="69">
        <v>296.5</v>
      </c>
      <c r="AA9" s="16" t="e">
        <f t="shared" ref="AA9:AA11" si="10">Y9-Z9</f>
        <v>#VALUE!</v>
      </c>
      <c r="AB9" s="3" t="e">
        <f t="shared" ref="AB9:AB11" si="11">AA9/Z9</f>
        <v>#VALUE!</v>
      </c>
      <c r="AC9" s="177" t="s">
        <v>6843</v>
      </c>
      <c r="AD9" s="23" t="s">
        <v>109</v>
      </c>
      <c r="AE9" s="89">
        <v>44554</v>
      </c>
      <c r="AG9" s="34">
        <f t="shared" ref="AG9:AG11" si="12">AF9-AE9</f>
        <v>-44554</v>
      </c>
      <c r="AH9" s="126" t="s">
        <v>3667</v>
      </c>
      <c r="AI9" s="131"/>
      <c r="AK9" s="66">
        <f t="shared" si="6"/>
        <v>0</v>
      </c>
      <c r="AL9" s="174">
        <f t="shared" si="7"/>
        <v>0</v>
      </c>
      <c r="AM9" s="346">
        <f>RTD("money.excel",,$G9,"PredictVolume")</f>
        <v>0</v>
      </c>
      <c r="AN9" s="272">
        <f>RTD("money.excel",,$G9,"CumulativeVolume")</f>
        <v>0</v>
      </c>
      <c r="AO9" s="284"/>
      <c r="AP9" s="284"/>
    </row>
    <row r="10" spans="1:44">
      <c r="A10" s="135" t="s">
        <v>2236</v>
      </c>
      <c r="B10" s="84">
        <v>75</v>
      </c>
      <c r="C10" s="84">
        <v>77</v>
      </c>
      <c r="D10" s="85">
        <v>-14</v>
      </c>
      <c r="E10" s="84">
        <v>16</v>
      </c>
      <c r="F10" s="59">
        <v>24.43</v>
      </c>
      <c r="G10" s="84">
        <v>6411</v>
      </c>
      <c r="H10" s="203" t="s">
        <v>558</v>
      </c>
      <c r="I10" s="17" t="s">
        <v>464</v>
      </c>
      <c r="J10" s="77">
        <v>27.02</v>
      </c>
      <c r="K10" s="371">
        <v>20.28</v>
      </c>
      <c r="L10" s="77">
        <v>41.96</v>
      </c>
      <c r="M10" s="371">
        <v>14</v>
      </c>
      <c r="N10" s="365">
        <f t="shared" si="0"/>
        <v>103.25999999999999</v>
      </c>
      <c r="O10" s="343">
        <f t="shared" si="1"/>
        <v>41.019999999999996</v>
      </c>
      <c r="P10" s="195">
        <v>14</v>
      </c>
      <c r="Q10" s="326">
        <v>28</v>
      </c>
      <c r="R10" s="111">
        <v>27</v>
      </c>
      <c r="S10" s="51">
        <v>37</v>
      </c>
      <c r="T10" s="339">
        <f t="shared" si="9"/>
        <v>106</v>
      </c>
      <c r="U10" s="329" t="s">
        <v>6833</v>
      </c>
      <c r="V10" s="371">
        <v>5.82</v>
      </c>
      <c r="W10" s="69">
        <v>5.03</v>
      </c>
      <c r="X10" s="100">
        <v>8.82</v>
      </c>
      <c r="Y10" s="37" t="str">
        <f>RTD("money.excel",,"6411","Price")</f>
        <v>無資料</v>
      </c>
      <c r="Z10" s="69">
        <v>245</v>
      </c>
      <c r="AA10" s="16" t="e">
        <f t="shared" si="10"/>
        <v>#VALUE!</v>
      </c>
      <c r="AB10" s="3" t="e">
        <f t="shared" si="11"/>
        <v>#VALUE!</v>
      </c>
      <c r="AC10" s="177" t="s">
        <v>6861</v>
      </c>
      <c r="AD10" s="17" t="s">
        <v>464</v>
      </c>
      <c r="AE10" s="89">
        <v>44554</v>
      </c>
      <c r="AG10" s="34">
        <f t="shared" si="12"/>
        <v>-44554</v>
      </c>
      <c r="AH10" s="63" t="s">
        <v>3424</v>
      </c>
      <c r="AI10" s="131"/>
      <c r="AK10" s="66">
        <f t="shared" si="6"/>
        <v>0</v>
      </c>
      <c r="AL10" s="174">
        <f t="shared" si="7"/>
        <v>0</v>
      </c>
      <c r="AM10" s="346">
        <f>RTD("money.excel",,$G10,"PredictVolume")</f>
        <v>0</v>
      </c>
      <c r="AN10" s="272">
        <f>RTD("money.excel",,$G10,"CumulativeVolume")</f>
        <v>0</v>
      </c>
      <c r="AO10" s="284"/>
      <c r="AP10" s="284"/>
    </row>
    <row r="11" spans="1:44">
      <c r="A11" s="135" t="s">
        <v>6420</v>
      </c>
      <c r="B11" s="84">
        <v>509</v>
      </c>
      <c r="C11" s="84">
        <v>556</v>
      </c>
      <c r="D11" s="85">
        <v>-4</v>
      </c>
      <c r="E11" s="84">
        <v>73</v>
      </c>
      <c r="F11" s="59">
        <v>35.78</v>
      </c>
      <c r="G11" s="85">
        <v>6531</v>
      </c>
      <c r="H11" s="5" t="s">
        <v>558</v>
      </c>
      <c r="I11" s="23" t="s">
        <v>639</v>
      </c>
      <c r="J11" s="371">
        <v>52.01</v>
      </c>
      <c r="K11" s="371">
        <v>20.32</v>
      </c>
      <c r="L11" s="77">
        <v>44.87</v>
      </c>
      <c r="M11" s="371">
        <v>18.64</v>
      </c>
      <c r="N11" s="77">
        <f t="shared" si="0"/>
        <v>135.83999999999997</v>
      </c>
      <c r="O11" s="343">
        <f t="shared" si="1"/>
        <v>70.650000000000006</v>
      </c>
      <c r="P11" s="195">
        <v>12</v>
      </c>
      <c r="Q11" s="326">
        <v>31</v>
      </c>
      <c r="R11" s="111">
        <v>24</v>
      </c>
      <c r="S11" s="51">
        <v>51</v>
      </c>
      <c r="T11" s="339">
        <f t="shared" si="9"/>
        <v>118</v>
      </c>
      <c r="U11" s="329" t="s">
        <v>6540</v>
      </c>
      <c r="V11" s="77">
        <v>13.72</v>
      </c>
      <c r="W11" s="69">
        <v>5</v>
      </c>
      <c r="X11" s="59">
        <v>22.25</v>
      </c>
      <c r="Y11" s="37" t="str">
        <f>RTD("money.excel",,"6531","Price")</f>
        <v>無資料</v>
      </c>
      <c r="Z11" s="69">
        <v>500</v>
      </c>
      <c r="AA11" s="16" t="e">
        <f t="shared" si="10"/>
        <v>#VALUE!</v>
      </c>
      <c r="AB11" s="3" t="e">
        <f t="shared" si="11"/>
        <v>#VALUE!</v>
      </c>
      <c r="AC11" s="177" t="s">
        <v>6862</v>
      </c>
      <c r="AD11" s="23" t="s">
        <v>639</v>
      </c>
      <c r="AE11" s="89">
        <v>44554</v>
      </c>
      <c r="AG11" s="34">
        <f t="shared" si="12"/>
        <v>-44554</v>
      </c>
      <c r="AH11" s="63" t="s">
        <v>3400</v>
      </c>
      <c r="AI11" s="131"/>
      <c r="AK11" s="66">
        <f t="shared" si="6"/>
        <v>0</v>
      </c>
      <c r="AL11" s="174">
        <f t="shared" si="7"/>
        <v>0</v>
      </c>
      <c r="AM11" s="346">
        <f>RTD("money.excel",,$G11,"PredictVolume")</f>
        <v>0</v>
      </c>
      <c r="AN11" s="272">
        <f>RTD("money.excel",,$G11,"CumulativeVolume")</f>
        <v>0</v>
      </c>
      <c r="AO11" s="284"/>
      <c r="AP11" s="284"/>
    </row>
    <row r="12" spans="1:44">
      <c r="A12" s="151" t="s">
        <v>2499</v>
      </c>
      <c r="B12" s="85">
        <v>-82</v>
      </c>
      <c r="C12" s="85">
        <v>-86</v>
      </c>
      <c r="D12" s="85">
        <v>-32</v>
      </c>
      <c r="E12" s="85">
        <v>-39</v>
      </c>
      <c r="F12" s="7">
        <v>1.01</v>
      </c>
      <c r="G12" s="85">
        <v>3708</v>
      </c>
      <c r="H12" s="5" t="s">
        <v>6836</v>
      </c>
      <c r="I12" s="23" t="s">
        <v>528</v>
      </c>
      <c r="J12" s="371">
        <v>37.5</v>
      </c>
      <c r="K12" s="371">
        <v>8.2200000000000006</v>
      </c>
      <c r="L12" s="77">
        <v>29.5</v>
      </c>
      <c r="M12" s="371">
        <v>10.039999999999999</v>
      </c>
      <c r="N12" s="365">
        <f t="shared" si="0"/>
        <v>85.259999999999991</v>
      </c>
      <c r="O12" s="343">
        <f t="shared" si="1"/>
        <v>47.54</v>
      </c>
      <c r="P12" s="195">
        <v>12</v>
      </c>
      <c r="Q12" s="326">
        <v>21</v>
      </c>
      <c r="R12" s="111">
        <v>24</v>
      </c>
      <c r="S12" s="51">
        <v>22</v>
      </c>
      <c r="T12" s="339">
        <f t="shared" ref="T12" si="13">SUM(P12:S12)</f>
        <v>79</v>
      </c>
      <c r="U12" s="329" t="s">
        <v>6539</v>
      </c>
      <c r="V12" s="77">
        <v>6.23</v>
      </c>
      <c r="W12" s="69">
        <v>3.5</v>
      </c>
      <c r="X12" s="100">
        <v>2.09</v>
      </c>
      <c r="Y12" s="37" t="str">
        <f>RTD("money.excel",,"3708","Price")</f>
        <v>無資料</v>
      </c>
      <c r="Z12" s="69">
        <v>93.9</v>
      </c>
      <c r="AA12" s="16" t="e">
        <f>Y12-Z12</f>
        <v>#VALUE!</v>
      </c>
      <c r="AB12" s="3" t="e">
        <f>AA12/Z12</f>
        <v>#VALUE!</v>
      </c>
      <c r="AC12" s="177" t="s">
        <v>6863</v>
      </c>
      <c r="AD12" s="23" t="s">
        <v>528</v>
      </c>
      <c r="AE12" s="89">
        <v>44554</v>
      </c>
      <c r="AG12" s="34">
        <f>AF12-AE12</f>
        <v>-44554</v>
      </c>
      <c r="AH12" s="44" t="s">
        <v>4388</v>
      </c>
      <c r="AI12" s="131"/>
      <c r="AK12" s="66">
        <f t="shared" si="6"/>
        <v>0</v>
      </c>
      <c r="AL12" s="174">
        <f t="shared" si="7"/>
        <v>0</v>
      </c>
      <c r="AM12" s="346">
        <f>RTD("money.excel",,$G12,"PredictVolume")</f>
        <v>0</v>
      </c>
      <c r="AN12" s="272">
        <f>RTD("money.excel",,$G12,"CumulativeVolume")</f>
        <v>0</v>
      </c>
      <c r="AO12" s="284"/>
      <c r="AP12" s="284"/>
    </row>
    <row r="13" spans="1:44">
      <c r="A13" s="135" t="s">
        <v>4784</v>
      </c>
      <c r="B13" s="84">
        <v>691</v>
      </c>
      <c r="C13" s="84">
        <v>515</v>
      </c>
      <c r="D13" s="85">
        <v>-7</v>
      </c>
      <c r="E13" s="84">
        <v>130</v>
      </c>
      <c r="F13" s="59">
        <v>11.81</v>
      </c>
      <c r="G13" s="84">
        <v>2636</v>
      </c>
      <c r="H13" s="9" t="s">
        <v>551</v>
      </c>
      <c r="I13" s="23" t="s">
        <v>2987</v>
      </c>
      <c r="J13" s="77">
        <v>35.42</v>
      </c>
      <c r="K13" s="371">
        <v>12.95</v>
      </c>
      <c r="L13" s="77">
        <v>34.090000000000003</v>
      </c>
      <c r="M13" s="371">
        <v>19.34</v>
      </c>
      <c r="N13" s="365">
        <f t="shared" si="0"/>
        <v>101.80000000000001</v>
      </c>
      <c r="O13" s="343">
        <f t="shared" si="1"/>
        <v>54.760000000000005</v>
      </c>
      <c r="P13" s="195">
        <v>29</v>
      </c>
      <c r="Q13" s="326">
        <v>42</v>
      </c>
      <c r="R13" s="111">
        <v>26</v>
      </c>
      <c r="S13" s="51">
        <v>51</v>
      </c>
      <c r="T13" s="339">
        <f t="shared" ref="T13:T14" si="14">SUM(P13:S13)</f>
        <v>148</v>
      </c>
      <c r="U13" s="329" t="s">
        <v>6538</v>
      </c>
      <c r="V13" s="77">
        <v>5.0599999999999996</v>
      </c>
      <c r="W13" s="69">
        <v>3.02</v>
      </c>
      <c r="X13" s="100">
        <v>24.5</v>
      </c>
      <c r="Y13" s="37" t="str">
        <f>RTD("money.excel",,"2636","Price")</f>
        <v>無資料</v>
      </c>
      <c r="Z13" s="69">
        <v>137</v>
      </c>
      <c r="AA13" s="16" t="e">
        <f>Y13-Z13</f>
        <v>#VALUE!</v>
      </c>
      <c r="AB13" s="3" t="e">
        <f>AA13/Z13</f>
        <v>#VALUE!</v>
      </c>
      <c r="AC13" s="177" t="s">
        <v>6864</v>
      </c>
      <c r="AD13" s="23" t="s">
        <v>2987</v>
      </c>
      <c r="AE13" s="89">
        <v>44554</v>
      </c>
      <c r="AG13" s="34">
        <f>AF13-AE13</f>
        <v>-44554</v>
      </c>
      <c r="AH13" s="63" t="s">
        <v>3188</v>
      </c>
      <c r="AI13" s="131"/>
      <c r="AK13" s="66">
        <f t="shared" si="6"/>
        <v>0</v>
      </c>
      <c r="AL13" s="174">
        <f t="shared" si="7"/>
        <v>0</v>
      </c>
      <c r="AM13" s="346">
        <f>RTD("money.excel",,$G13,"PredictVolume")</f>
        <v>0</v>
      </c>
      <c r="AN13" s="272">
        <f>RTD("money.excel",,$G13,"CumulativeVolume")</f>
        <v>0</v>
      </c>
      <c r="AO13" s="284"/>
      <c r="AP13" s="284"/>
    </row>
    <row r="14" spans="1:44">
      <c r="A14" s="135" t="s">
        <v>3501</v>
      </c>
      <c r="B14" s="84">
        <v>23</v>
      </c>
      <c r="C14" s="84">
        <v>31</v>
      </c>
      <c r="D14" s="84">
        <v>5</v>
      </c>
      <c r="E14" s="84">
        <v>54</v>
      </c>
      <c r="F14" s="59">
        <v>18.86</v>
      </c>
      <c r="G14" s="84">
        <v>6104</v>
      </c>
      <c r="H14" s="154" t="s">
        <v>558</v>
      </c>
      <c r="I14" s="17" t="s">
        <v>664</v>
      </c>
      <c r="J14" s="371">
        <v>21.18</v>
      </c>
      <c r="K14" s="371">
        <v>21.28</v>
      </c>
      <c r="L14" s="371">
        <v>58.53</v>
      </c>
      <c r="M14" s="371">
        <v>8.57</v>
      </c>
      <c r="N14" s="365">
        <f t="shared" si="0"/>
        <v>109.56</v>
      </c>
      <c r="O14" s="343">
        <f t="shared" si="1"/>
        <v>29.75</v>
      </c>
      <c r="P14" s="195">
        <v>21</v>
      </c>
      <c r="Q14" s="326">
        <v>30</v>
      </c>
      <c r="R14" s="111">
        <v>35</v>
      </c>
      <c r="S14" s="51">
        <v>53</v>
      </c>
      <c r="T14" s="339">
        <f t="shared" si="14"/>
        <v>139</v>
      </c>
      <c r="U14" s="329" t="s">
        <v>6539</v>
      </c>
      <c r="V14" s="77">
        <v>9.7100000000000009</v>
      </c>
      <c r="W14" s="69">
        <v>3</v>
      </c>
      <c r="X14" s="100">
        <v>4.42</v>
      </c>
      <c r="Y14" s="37" t="str">
        <f>RTD("money.excel",,"6104","Price")</f>
        <v>無資料</v>
      </c>
      <c r="Z14" s="69">
        <v>198</v>
      </c>
      <c r="AA14" s="16" t="e">
        <f t="shared" ref="AA14" si="15">Y14-Z14</f>
        <v>#VALUE!</v>
      </c>
      <c r="AB14" s="3" t="e">
        <f t="shared" ref="AB14" si="16">AA14/Z14</f>
        <v>#VALUE!</v>
      </c>
      <c r="AC14" s="177" t="s">
        <v>6865</v>
      </c>
      <c r="AD14" s="17" t="s">
        <v>664</v>
      </c>
      <c r="AE14" s="89">
        <v>44554</v>
      </c>
      <c r="AG14" s="34">
        <f t="shared" ref="AG14" si="17">AF14-AE14</f>
        <v>-44554</v>
      </c>
      <c r="AH14" s="63" t="s">
        <v>4933</v>
      </c>
      <c r="AI14" s="131"/>
      <c r="AK14" s="66">
        <f t="shared" si="6"/>
        <v>0</v>
      </c>
      <c r="AL14" s="174">
        <f t="shared" si="7"/>
        <v>0</v>
      </c>
      <c r="AM14" s="346">
        <f>RTD("money.excel",,$G14,"PredictVolume")</f>
        <v>0</v>
      </c>
      <c r="AN14" s="272">
        <f>RTD("money.excel",,$G14,"CumulativeVolume")</f>
        <v>0</v>
      </c>
      <c r="AO14" s="284"/>
      <c r="AP14" s="284"/>
    </row>
    <row r="15" spans="1:44">
      <c r="A15" s="135" t="s">
        <v>2529</v>
      </c>
      <c r="B15" s="85">
        <v>-12</v>
      </c>
      <c r="C15" s="85">
        <v>-17</v>
      </c>
      <c r="D15" s="85">
        <v>-6</v>
      </c>
      <c r="E15" s="84">
        <v>21</v>
      </c>
      <c r="F15" s="59">
        <v>24.54</v>
      </c>
      <c r="G15" s="85">
        <v>6510</v>
      </c>
      <c r="H15" s="213" t="s">
        <v>558</v>
      </c>
      <c r="I15" s="17" t="s">
        <v>404</v>
      </c>
      <c r="J15" s="77">
        <v>42.83</v>
      </c>
      <c r="K15" s="371">
        <v>13.39</v>
      </c>
      <c r="L15" s="371">
        <v>15.82</v>
      </c>
      <c r="M15" s="371">
        <v>38.82</v>
      </c>
      <c r="N15" s="365">
        <f t="shared" ref="N15:N17" si="18">J15+K15+L15+M15</f>
        <v>110.85999999999999</v>
      </c>
      <c r="O15" s="369">
        <f t="shared" ref="O15:O17" si="19">J15+M15</f>
        <v>81.650000000000006</v>
      </c>
      <c r="P15" s="195">
        <v>32</v>
      </c>
      <c r="Q15" s="326">
        <v>2</v>
      </c>
      <c r="R15" s="111">
        <v>6</v>
      </c>
      <c r="S15" s="51">
        <v>19</v>
      </c>
      <c r="T15" s="339">
        <f t="shared" ref="T15:T17" si="20">SUM(P15:S15)</f>
        <v>59</v>
      </c>
      <c r="U15" s="329" t="s">
        <v>6721</v>
      </c>
      <c r="V15" s="77">
        <v>5.49</v>
      </c>
      <c r="W15" s="69">
        <v>12</v>
      </c>
      <c r="X15" s="100">
        <v>25.81</v>
      </c>
      <c r="Y15" s="37" t="str">
        <f>RTD("money.excel",,"6510","Price")</f>
        <v>無資料</v>
      </c>
      <c r="Z15" s="69">
        <v>641</v>
      </c>
      <c r="AA15" s="16" t="e">
        <f t="shared" ref="AA15:AA17" si="21">Y15-Z15</f>
        <v>#VALUE!</v>
      </c>
      <c r="AB15" s="3" t="e">
        <f t="shared" ref="AB15:AB17" si="22">AA15/Z15</f>
        <v>#VALUE!</v>
      </c>
      <c r="AC15" s="177" t="s">
        <v>6724</v>
      </c>
      <c r="AD15" s="17" t="s">
        <v>404</v>
      </c>
      <c r="AE15" s="89">
        <v>44547</v>
      </c>
      <c r="AG15" s="34">
        <f t="shared" ref="AG15:AG17" si="23">AF15-AE15</f>
        <v>-44547</v>
      </c>
      <c r="AH15" s="126" t="s">
        <v>2166</v>
      </c>
      <c r="AI15" s="131"/>
      <c r="AK15" s="66"/>
      <c r="AL15" s="174"/>
      <c r="AM15" s="346"/>
      <c r="AN15" s="272"/>
      <c r="AO15" s="284"/>
      <c r="AP15" s="264"/>
    </row>
    <row r="16" spans="1:44">
      <c r="A16" s="135" t="s">
        <v>6420</v>
      </c>
      <c r="B16" s="84">
        <v>509</v>
      </c>
      <c r="C16" s="84">
        <v>556</v>
      </c>
      <c r="D16" s="85">
        <v>-4</v>
      </c>
      <c r="E16" s="84">
        <v>73</v>
      </c>
      <c r="F16" s="59">
        <v>35.78</v>
      </c>
      <c r="G16" s="85">
        <v>6531</v>
      </c>
      <c r="H16" s="5" t="s">
        <v>558</v>
      </c>
      <c r="I16" s="23" t="s">
        <v>639</v>
      </c>
      <c r="J16" s="77">
        <v>52.21</v>
      </c>
      <c r="K16" s="371">
        <v>20.190000000000001</v>
      </c>
      <c r="L16" s="371">
        <v>42.68</v>
      </c>
      <c r="M16" s="371">
        <v>18.64</v>
      </c>
      <c r="N16" s="77">
        <f t="shared" si="18"/>
        <v>133.72000000000003</v>
      </c>
      <c r="O16" s="343">
        <f t="shared" si="19"/>
        <v>70.849999999999994</v>
      </c>
      <c r="P16" s="195">
        <v>12</v>
      </c>
      <c r="Q16" s="326">
        <v>30</v>
      </c>
      <c r="R16" s="111">
        <v>23</v>
      </c>
      <c r="S16" s="51">
        <v>49</v>
      </c>
      <c r="T16" s="339">
        <f t="shared" si="20"/>
        <v>114</v>
      </c>
      <c r="U16" s="329" t="s">
        <v>6721</v>
      </c>
      <c r="V16" s="77">
        <v>12.89</v>
      </c>
      <c r="W16" s="69">
        <v>5</v>
      </c>
      <c r="X16" s="59">
        <v>11.12</v>
      </c>
      <c r="Y16" s="37" t="str">
        <f>RTD("money.excel",,"6531","Price")</f>
        <v>無資料</v>
      </c>
      <c r="Z16" s="69">
        <v>471</v>
      </c>
      <c r="AA16" s="16" t="e">
        <f t="shared" si="21"/>
        <v>#VALUE!</v>
      </c>
      <c r="AB16" s="3" t="e">
        <f t="shared" si="22"/>
        <v>#VALUE!</v>
      </c>
      <c r="AC16" s="177" t="s">
        <v>6725</v>
      </c>
      <c r="AD16" s="23" t="s">
        <v>639</v>
      </c>
      <c r="AE16" s="89">
        <v>44547</v>
      </c>
      <c r="AG16" s="34">
        <f t="shared" si="23"/>
        <v>-44547</v>
      </c>
      <c r="AH16" s="63" t="s">
        <v>3400</v>
      </c>
      <c r="AI16" s="131"/>
      <c r="AK16" s="131"/>
      <c r="AL16" s="264"/>
      <c r="AO16" s="131"/>
      <c r="AP16" s="264"/>
    </row>
    <row r="17" spans="1:50">
      <c r="A17" s="135" t="s">
        <v>2489</v>
      </c>
      <c r="B17" s="84">
        <v>382</v>
      </c>
      <c r="C17" s="84">
        <v>870</v>
      </c>
      <c r="D17" s="85">
        <v>-12</v>
      </c>
      <c r="E17" s="85">
        <v>-33</v>
      </c>
      <c r="F17" s="59">
        <v>35.18</v>
      </c>
      <c r="G17" s="84">
        <v>6237</v>
      </c>
      <c r="H17" s="154" t="s">
        <v>558</v>
      </c>
      <c r="I17" s="17" t="s">
        <v>669</v>
      </c>
      <c r="J17" s="77">
        <v>15.46</v>
      </c>
      <c r="K17" s="371">
        <v>2.1</v>
      </c>
      <c r="L17" s="371">
        <v>46.6</v>
      </c>
      <c r="M17" s="371">
        <v>12.4</v>
      </c>
      <c r="N17" s="365">
        <f t="shared" si="18"/>
        <v>76.56</v>
      </c>
      <c r="O17" s="343">
        <f t="shared" si="19"/>
        <v>27.86</v>
      </c>
      <c r="P17" s="195">
        <v>6</v>
      </c>
      <c r="Q17" s="326">
        <v>31</v>
      </c>
      <c r="R17" s="111">
        <v>32</v>
      </c>
      <c r="S17" s="51">
        <v>54</v>
      </c>
      <c r="T17" s="339">
        <f t="shared" si="20"/>
        <v>123</v>
      </c>
      <c r="U17" s="329" t="s">
        <v>6722</v>
      </c>
      <c r="V17" s="77">
        <v>7.44</v>
      </c>
      <c r="W17" s="35">
        <v>1</v>
      </c>
      <c r="X17" s="100">
        <v>7.21</v>
      </c>
      <c r="Y17" s="37" t="str">
        <f>RTD("money.excel",,"6237","Price")</f>
        <v>無資料</v>
      </c>
      <c r="Z17" s="69">
        <v>99.6</v>
      </c>
      <c r="AA17" s="16" t="e">
        <f t="shared" si="21"/>
        <v>#VALUE!</v>
      </c>
      <c r="AB17" s="3" t="e">
        <f t="shared" si="22"/>
        <v>#VALUE!</v>
      </c>
      <c r="AC17" s="177" t="s">
        <v>6726</v>
      </c>
      <c r="AD17" s="17" t="s">
        <v>669</v>
      </c>
      <c r="AE17" s="89">
        <v>44547</v>
      </c>
      <c r="AG17" s="34">
        <f t="shared" si="23"/>
        <v>-44547</v>
      </c>
      <c r="AH17" s="63" t="s">
        <v>4951</v>
      </c>
      <c r="AI17" s="131"/>
      <c r="AK17" s="131"/>
      <c r="AL17" s="264"/>
      <c r="AO17" s="131"/>
      <c r="AP17" s="264"/>
    </row>
    <row r="18" spans="1:50">
      <c r="A18" s="151" t="s">
        <v>2499</v>
      </c>
      <c r="B18" s="85">
        <v>-82</v>
      </c>
      <c r="C18" s="85">
        <v>-86</v>
      </c>
      <c r="D18" s="85">
        <v>-32</v>
      </c>
      <c r="E18" s="85">
        <v>-39</v>
      </c>
      <c r="F18" s="7">
        <v>2.73</v>
      </c>
      <c r="G18" s="84">
        <v>3708</v>
      </c>
      <c r="H18" s="5" t="s">
        <v>1308</v>
      </c>
      <c r="I18" s="23" t="s">
        <v>528</v>
      </c>
      <c r="J18" s="77">
        <v>38.159999999999997</v>
      </c>
      <c r="K18" s="77">
        <v>8.82</v>
      </c>
      <c r="L18" s="371">
        <v>26.45</v>
      </c>
      <c r="M18" s="371">
        <v>10.039999999999999</v>
      </c>
      <c r="N18" s="365">
        <f t="shared" ref="N18:N21" si="24">J18+K18+L18+M18</f>
        <v>83.47</v>
      </c>
      <c r="O18" s="343">
        <f t="shared" ref="O18:O21" si="25">J18+M18</f>
        <v>48.199999999999996</v>
      </c>
      <c r="P18" s="195">
        <v>12</v>
      </c>
      <c r="Q18" s="326">
        <v>21</v>
      </c>
      <c r="R18" s="111">
        <v>23</v>
      </c>
      <c r="S18" s="51">
        <v>22</v>
      </c>
      <c r="T18" s="339">
        <f t="shared" ref="T18:T19" si="26">SUM(P18:S18)</f>
        <v>78</v>
      </c>
      <c r="U18" s="329" t="s">
        <v>6540</v>
      </c>
      <c r="V18" s="77">
        <v>5.44</v>
      </c>
      <c r="W18" s="69">
        <v>3.5</v>
      </c>
      <c r="X18" s="100">
        <v>2.09</v>
      </c>
      <c r="Y18" s="37" t="str">
        <f>RTD("money.excel",,"3708","Price")</f>
        <v>無資料</v>
      </c>
      <c r="Z18" s="69">
        <v>99</v>
      </c>
      <c r="AA18" s="16" t="e">
        <f>Y18-Z18</f>
        <v>#VALUE!</v>
      </c>
      <c r="AB18" s="3" t="e">
        <f>AA18/Z18</f>
        <v>#VALUE!</v>
      </c>
      <c r="AC18" s="177" t="s">
        <v>5589</v>
      </c>
      <c r="AD18" s="23" t="s">
        <v>528</v>
      </c>
      <c r="AE18" s="89">
        <v>44547</v>
      </c>
      <c r="AG18" s="34">
        <f>AF18-AE18</f>
        <v>-44547</v>
      </c>
      <c r="AH18" s="44" t="s">
        <v>4388</v>
      </c>
      <c r="AI18" s="131"/>
      <c r="AO18" s="131"/>
      <c r="AP18" s="264"/>
    </row>
    <row r="19" spans="1:50">
      <c r="A19" s="151" t="s">
        <v>2668</v>
      </c>
      <c r="B19" s="85">
        <v>-8</v>
      </c>
      <c r="C19" s="85">
        <v>-48</v>
      </c>
      <c r="D19" s="84">
        <v>17</v>
      </c>
      <c r="E19" s="84">
        <v>33</v>
      </c>
      <c r="F19" s="7">
        <v>8.57</v>
      </c>
      <c r="G19" s="84">
        <v>4967</v>
      </c>
      <c r="H19" s="9" t="s">
        <v>558</v>
      </c>
      <c r="I19" s="23" t="s">
        <v>2657</v>
      </c>
      <c r="J19" s="77">
        <v>11.03</v>
      </c>
      <c r="K19" s="371">
        <v>1.17</v>
      </c>
      <c r="L19" s="77">
        <v>51.56</v>
      </c>
      <c r="M19" s="371">
        <v>4.84</v>
      </c>
      <c r="N19" s="365">
        <f t="shared" si="24"/>
        <v>68.600000000000009</v>
      </c>
      <c r="O19" s="343">
        <f t="shared" si="25"/>
        <v>15.87</v>
      </c>
      <c r="P19" s="195">
        <v>13</v>
      </c>
      <c r="Q19" s="326">
        <v>27</v>
      </c>
      <c r="R19" s="111">
        <v>24</v>
      </c>
      <c r="S19" s="51">
        <v>27</v>
      </c>
      <c r="T19" s="339">
        <f t="shared" si="26"/>
        <v>91</v>
      </c>
      <c r="U19" s="329" t="s">
        <v>6539</v>
      </c>
      <c r="V19" s="77">
        <v>7.62</v>
      </c>
      <c r="W19" s="35">
        <v>0.86</v>
      </c>
      <c r="X19" s="100">
        <v>1.61</v>
      </c>
      <c r="Y19" s="37" t="str">
        <f>RTD("money.excel",,"4967","Price")</f>
        <v>無資料</v>
      </c>
      <c r="Z19" s="69">
        <v>47.4</v>
      </c>
      <c r="AA19" s="16" t="e">
        <f t="shared" ref="AA19" si="27">Y19-Z19</f>
        <v>#VALUE!</v>
      </c>
      <c r="AB19" s="3" t="e">
        <f t="shared" ref="AB19" si="28">AA19/Z19</f>
        <v>#VALUE!</v>
      </c>
      <c r="AC19" s="177" t="s">
        <v>6718</v>
      </c>
      <c r="AD19" s="23" t="s">
        <v>2657</v>
      </c>
      <c r="AE19" s="89">
        <v>44547</v>
      </c>
      <c r="AG19" s="34">
        <f t="shared" ref="AG19" si="29">AF19-AE19</f>
        <v>-44547</v>
      </c>
      <c r="AH19" s="44" t="s">
        <v>2131</v>
      </c>
      <c r="AI19" s="284"/>
      <c r="AK19" s="131"/>
      <c r="AL19" s="264"/>
      <c r="AO19" s="131"/>
      <c r="AP19" s="264"/>
    </row>
    <row r="20" spans="1:50">
      <c r="A20" s="135" t="s">
        <v>2542</v>
      </c>
      <c r="B20" s="84">
        <v>54</v>
      </c>
      <c r="C20" s="84">
        <v>45</v>
      </c>
      <c r="D20" s="84">
        <v>7</v>
      </c>
      <c r="E20" s="84">
        <v>42</v>
      </c>
      <c r="F20" s="59">
        <v>13.21</v>
      </c>
      <c r="G20" s="84">
        <v>2375</v>
      </c>
      <c r="H20" s="216" t="s">
        <v>559</v>
      </c>
      <c r="I20" s="24" t="s">
        <v>457</v>
      </c>
      <c r="J20" s="371">
        <v>14.34</v>
      </c>
      <c r="K20" s="371">
        <v>8.7200000000000006</v>
      </c>
      <c r="L20" s="371">
        <v>38</v>
      </c>
      <c r="M20" s="77">
        <v>7.07</v>
      </c>
      <c r="N20" s="365">
        <f t="shared" si="24"/>
        <v>68.13</v>
      </c>
      <c r="O20" s="343">
        <f t="shared" si="25"/>
        <v>21.41</v>
      </c>
      <c r="P20" s="195">
        <v>12</v>
      </c>
      <c r="Q20" s="326">
        <v>32</v>
      </c>
      <c r="R20" s="111">
        <v>34</v>
      </c>
      <c r="S20" s="51">
        <v>36</v>
      </c>
      <c r="T20" s="339">
        <f t="shared" ref="T20:T21" si="30">SUM(P20:S20)</f>
        <v>114</v>
      </c>
      <c r="U20" s="329" t="s">
        <v>6721</v>
      </c>
      <c r="V20" s="77">
        <v>5.28</v>
      </c>
      <c r="W20" s="35">
        <v>2</v>
      </c>
      <c r="X20" s="100">
        <v>7.95</v>
      </c>
      <c r="Y20" s="37" t="str">
        <f>RTD("money.excel",,"2375","Price")</f>
        <v>無資料</v>
      </c>
      <c r="Z20" s="69">
        <v>97.6</v>
      </c>
      <c r="AA20" s="16" t="e">
        <f>Y20-Z20</f>
        <v>#VALUE!</v>
      </c>
      <c r="AB20" s="3" t="e">
        <f>AA20/Z20</f>
        <v>#VALUE!</v>
      </c>
      <c r="AC20" s="177" t="s">
        <v>6728</v>
      </c>
      <c r="AD20" s="24" t="s">
        <v>457</v>
      </c>
      <c r="AE20" s="89">
        <v>44547</v>
      </c>
      <c r="AG20" s="34">
        <f>AF20-AE20</f>
        <v>-44547</v>
      </c>
      <c r="AH20" s="50" t="s">
        <v>3378</v>
      </c>
      <c r="AI20" s="131"/>
      <c r="AL20" s="265"/>
      <c r="AM20" s="287"/>
      <c r="AN20" s="287"/>
      <c r="AO20" s="129"/>
      <c r="AP20" s="264"/>
      <c r="AQ20" s="12"/>
      <c r="AR20" s="12"/>
      <c r="AS20" s="12"/>
      <c r="AT20" s="12"/>
    </row>
    <row r="21" spans="1:50">
      <c r="A21" s="135" t="s">
        <v>4784</v>
      </c>
      <c r="B21" s="84">
        <v>691</v>
      </c>
      <c r="C21" s="84">
        <v>515</v>
      </c>
      <c r="D21" s="85">
        <v>-7</v>
      </c>
      <c r="E21" s="84">
        <v>130</v>
      </c>
      <c r="F21" s="59">
        <v>11.81</v>
      </c>
      <c r="G21" s="84">
        <v>2636</v>
      </c>
      <c r="H21" s="9" t="s">
        <v>551</v>
      </c>
      <c r="I21" s="23" t="s">
        <v>2987</v>
      </c>
      <c r="J21" s="371">
        <v>35.08</v>
      </c>
      <c r="K21" s="371">
        <v>13.82</v>
      </c>
      <c r="L21" s="77">
        <v>33.64</v>
      </c>
      <c r="M21" s="371">
        <v>19.34</v>
      </c>
      <c r="N21" s="365">
        <f t="shared" si="24"/>
        <v>101.88</v>
      </c>
      <c r="O21" s="343">
        <f t="shared" si="25"/>
        <v>54.42</v>
      </c>
      <c r="P21" s="195">
        <v>29</v>
      </c>
      <c r="Q21" s="326">
        <v>42</v>
      </c>
      <c r="R21" s="111">
        <v>26</v>
      </c>
      <c r="S21" s="51">
        <v>50</v>
      </c>
      <c r="T21" s="339">
        <f t="shared" si="30"/>
        <v>147</v>
      </c>
      <c r="U21" s="329" t="s">
        <v>6722</v>
      </c>
      <c r="V21" s="77">
        <v>5.0199999999999996</v>
      </c>
      <c r="W21" s="69">
        <v>3.02</v>
      </c>
      <c r="X21" s="100">
        <v>24.5</v>
      </c>
      <c r="Y21" s="37" t="str">
        <f>RTD("money.excel",,"2636","Price")</f>
        <v>無資料</v>
      </c>
      <c r="Z21" s="69">
        <v>136</v>
      </c>
      <c r="AA21" s="16" t="e">
        <f>Y21-Z21</f>
        <v>#VALUE!</v>
      </c>
      <c r="AB21" s="3" t="e">
        <f>AA21/Z21</f>
        <v>#VALUE!</v>
      </c>
      <c r="AC21" s="177" t="s">
        <v>6729</v>
      </c>
      <c r="AD21" s="23" t="s">
        <v>2987</v>
      </c>
      <c r="AE21" s="89">
        <v>44547</v>
      </c>
      <c r="AG21" s="34">
        <f>AF21-AE21</f>
        <v>-44547</v>
      </c>
      <c r="AH21" s="63" t="s">
        <v>3188</v>
      </c>
      <c r="AI21" s="131"/>
      <c r="AO21" s="131"/>
      <c r="AP21" s="264"/>
    </row>
    <row r="22" spans="1:50">
      <c r="A22" s="151"/>
      <c r="B22" s="96"/>
      <c r="C22" s="96"/>
      <c r="D22" s="96"/>
      <c r="E22" s="96"/>
      <c r="F22" s="7"/>
      <c r="G22" s="84"/>
      <c r="H22" s="4"/>
      <c r="I22" s="23"/>
      <c r="J22" s="77"/>
      <c r="K22" s="77"/>
      <c r="N22" s="365"/>
      <c r="P22" s="195"/>
      <c r="Q22" s="326"/>
      <c r="R22" s="312"/>
      <c r="W22" s="69"/>
      <c r="X22" s="100"/>
      <c r="Y22" s="14"/>
      <c r="Z22" s="69"/>
      <c r="AA22" s="16"/>
      <c r="AB22" s="3"/>
      <c r="AC22" s="105"/>
      <c r="AD22" s="23"/>
      <c r="AG22" s="34"/>
      <c r="AH22" s="44"/>
      <c r="AI22" s="131"/>
      <c r="AK22" s="131"/>
      <c r="AL22" s="264"/>
      <c r="AO22" s="131"/>
      <c r="AP22" s="264"/>
    </row>
    <row r="23" spans="1:50">
      <c r="B23" s="182"/>
      <c r="C23" s="182"/>
      <c r="D23" s="182"/>
      <c r="E23" s="182"/>
      <c r="F23" s="183"/>
      <c r="G23" s="184"/>
      <c r="H23" s="186"/>
      <c r="I23" s="185"/>
      <c r="J23" s="366"/>
      <c r="K23" s="366"/>
      <c r="L23" s="372"/>
      <c r="M23" s="373"/>
      <c r="N23" s="366">
        <v>130</v>
      </c>
      <c r="O23" s="369">
        <v>80</v>
      </c>
      <c r="V23" s="371" t="s">
        <v>6623</v>
      </c>
      <c r="W23" s="183"/>
      <c r="X23" s="4" t="s">
        <v>2189</v>
      </c>
      <c r="Y23" s="4" t="s">
        <v>1820</v>
      </c>
      <c r="Z23" s="11" t="s">
        <v>515</v>
      </c>
      <c r="AA23" s="189"/>
      <c r="AB23" s="263" t="s">
        <v>6803</v>
      </c>
      <c r="AC23" s="263"/>
      <c r="AD23" s="324"/>
      <c r="AE23" s="331"/>
      <c r="AF23" s="332"/>
      <c r="AH23" s="263" t="s">
        <v>6635</v>
      </c>
      <c r="AI23" s="131"/>
      <c r="AP23" s="265"/>
      <c r="AQ23" s="287"/>
      <c r="AR23" s="287"/>
      <c r="AS23" s="287"/>
      <c r="AU23" s="287"/>
      <c r="AV23" s="287"/>
      <c r="AW23" s="287"/>
      <c r="AX23" s="287"/>
    </row>
    <row r="24" spans="1:50">
      <c r="A24" s="135" t="s">
        <v>2552</v>
      </c>
      <c r="B24" s="96" t="s">
        <v>2331</v>
      </c>
      <c r="C24" s="96" t="s">
        <v>2332</v>
      </c>
      <c r="D24" s="96" t="s">
        <v>2333</v>
      </c>
      <c r="E24" s="96" t="s">
        <v>2334</v>
      </c>
      <c r="F24" s="9" t="s">
        <v>1709</v>
      </c>
      <c r="G24" s="27" t="s">
        <v>5626</v>
      </c>
      <c r="H24" s="56" t="s">
        <v>578</v>
      </c>
      <c r="I24" s="5" t="s">
        <v>6720</v>
      </c>
      <c r="J24" s="364" t="s">
        <v>2189</v>
      </c>
      <c r="K24" s="364" t="s">
        <v>1820</v>
      </c>
      <c r="L24" s="364" t="s">
        <v>515</v>
      </c>
      <c r="M24" s="364" t="s">
        <v>1699</v>
      </c>
      <c r="N24" s="364" t="s">
        <v>6633</v>
      </c>
      <c r="O24" s="343" t="s">
        <v>6634</v>
      </c>
      <c r="P24" s="83" t="s">
        <v>5279</v>
      </c>
      <c r="Q24" s="326" t="s">
        <v>5514</v>
      </c>
      <c r="R24" s="51" t="s">
        <v>6596</v>
      </c>
      <c r="S24" s="51" t="s">
        <v>6597</v>
      </c>
      <c r="T24" s="338" t="s">
        <v>5627</v>
      </c>
      <c r="U24" s="330" t="s">
        <v>6537</v>
      </c>
      <c r="V24" s="377" t="s">
        <v>6616</v>
      </c>
      <c r="W24" s="11" t="s">
        <v>127</v>
      </c>
      <c r="X24" s="71" t="s">
        <v>6626</v>
      </c>
      <c r="Y24" s="29" t="s">
        <v>6688</v>
      </c>
      <c r="Z24" s="18" t="s">
        <v>2113</v>
      </c>
      <c r="AA24" s="15" t="s">
        <v>8</v>
      </c>
      <c r="AB24" s="22" t="s">
        <v>4</v>
      </c>
      <c r="AC24" s="26" t="s">
        <v>211</v>
      </c>
      <c r="AD24" s="5" t="s">
        <v>6720</v>
      </c>
      <c r="AE24" s="56" t="s">
        <v>5568</v>
      </c>
      <c r="AF24" s="114" t="s">
        <v>5575</v>
      </c>
      <c r="AG24" s="33" t="s">
        <v>1827</v>
      </c>
      <c r="AH24" s="262" t="s">
        <v>6799</v>
      </c>
      <c r="AI24" s="131"/>
      <c r="AK24" s="9" t="s">
        <v>6666</v>
      </c>
      <c r="AL24" s="5" t="s">
        <v>6667</v>
      </c>
      <c r="AM24" s="51" t="s">
        <v>5339</v>
      </c>
      <c r="AN24" s="276" t="s">
        <v>6665</v>
      </c>
      <c r="AO24" s="131"/>
      <c r="AP24" s="264"/>
    </row>
    <row r="25" spans="1:50">
      <c r="B25" s="96"/>
      <c r="C25" s="96"/>
      <c r="D25" s="96"/>
      <c r="E25" s="96"/>
      <c r="F25" s="9"/>
      <c r="G25" s="27"/>
      <c r="H25" s="56"/>
      <c r="I25" s="5"/>
      <c r="J25" s="364"/>
      <c r="K25" s="364"/>
      <c r="L25" s="364"/>
      <c r="M25" s="364"/>
      <c r="N25" s="364"/>
      <c r="P25" s="83"/>
      <c r="Q25" s="326"/>
      <c r="T25" s="338"/>
      <c r="U25" s="330"/>
      <c r="V25" s="377"/>
      <c r="W25" s="11"/>
      <c r="X25" s="71"/>
      <c r="Y25" s="29"/>
      <c r="Z25" s="18"/>
      <c r="AA25" s="15"/>
      <c r="AB25" s="22"/>
      <c r="AC25" s="26"/>
      <c r="AD25" s="5"/>
      <c r="AE25" s="56"/>
      <c r="AF25" s="114"/>
      <c r="AG25" s="33"/>
      <c r="AH25" s="262"/>
      <c r="AI25" s="131"/>
      <c r="AK25" s="9"/>
      <c r="AL25" s="5"/>
      <c r="AM25" s="51"/>
      <c r="AN25" s="276"/>
      <c r="AO25" s="131"/>
      <c r="AP25" s="264"/>
    </row>
    <row r="26" spans="1:50">
      <c r="A26" s="135" t="s">
        <v>5310</v>
      </c>
      <c r="B26" s="84">
        <v>89</v>
      </c>
      <c r="C26" s="84">
        <v>88</v>
      </c>
      <c r="D26" s="84">
        <v>0</v>
      </c>
      <c r="E26" s="84">
        <v>27</v>
      </c>
      <c r="F26" s="59">
        <v>17.809999999999999</v>
      </c>
      <c r="G26" s="85">
        <v>3661</v>
      </c>
      <c r="H26" s="5" t="s">
        <v>558</v>
      </c>
      <c r="I26" s="23" t="s">
        <v>520</v>
      </c>
      <c r="J26" s="371">
        <v>32.14</v>
      </c>
      <c r="K26" s="371">
        <v>79.650000000000006</v>
      </c>
      <c r="L26" s="77">
        <v>10.73</v>
      </c>
      <c r="M26" s="371">
        <v>3.72</v>
      </c>
      <c r="N26" s="365">
        <f>J26+K26+L26+M26</f>
        <v>126.24000000000001</v>
      </c>
      <c r="O26" s="343">
        <f>J26+M26</f>
        <v>35.86</v>
      </c>
      <c r="P26" s="195">
        <v>23</v>
      </c>
      <c r="Q26" s="326">
        <v>44</v>
      </c>
      <c r="R26" s="111">
        <v>28</v>
      </c>
      <c r="S26" s="51">
        <v>60</v>
      </c>
      <c r="T26" s="339">
        <f>SUM(P26:S26)</f>
        <v>155</v>
      </c>
      <c r="U26" s="329" t="s">
        <v>6838</v>
      </c>
      <c r="V26" s="371">
        <v>5.89</v>
      </c>
      <c r="W26" s="69">
        <v>6.62</v>
      </c>
      <c r="X26" s="100">
        <v>20.350000000000001</v>
      </c>
      <c r="Y26" s="160">
        <v>990</v>
      </c>
      <c r="Z26" s="69">
        <v>1025</v>
      </c>
      <c r="AA26" s="146">
        <f t="shared" ref="AA26" si="31">Y26-Z26</f>
        <v>-35</v>
      </c>
      <c r="AB26" s="80">
        <f t="shared" ref="AB26" si="32">AA26/Z26</f>
        <v>-3.4146341463414637E-2</v>
      </c>
      <c r="AC26" s="177" t="s">
        <v>6860</v>
      </c>
      <c r="AD26" s="23" t="s">
        <v>520</v>
      </c>
      <c r="AE26" s="89">
        <v>44554</v>
      </c>
      <c r="AF26" s="88">
        <v>44559</v>
      </c>
      <c r="AG26" s="34">
        <f t="shared" ref="AG26" si="33">AF26-AE26</f>
        <v>5</v>
      </c>
      <c r="AH26" s="63" t="s">
        <v>4927</v>
      </c>
      <c r="AI26" s="131"/>
      <c r="AK26" s="66">
        <f>AM26/(A26*10000)</f>
        <v>0</v>
      </c>
      <c r="AL26" s="174">
        <f>AN26/(A26*10000)</f>
        <v>0</v>
      </c>
      <c r="AM26" s="346">
        <f>RTD("money.excel",,$G26,"PredictVolume")</f>
        <v>0</v>
      </c>
      <c r="AN26" s="272">
        <f>RTD("money.excel",,$G26,"CumulativeVolume")</f>
        <v>0</v>
      </c>
      <c r="AO26" s="284"/>
      <c r="AP26" s="284"/>
    </row>
    <row r="27" spans="1:50">
      <c r="A27" s="151" t="s">
        <v>2744</v>
      </c>
      <c r="B27" s="85">
        <v>-129</v>
      </c>
      <c r="C27" s="85">
        <v>-125</v>
      </c>
      <c r="D27" s="84">
        <v>16</v>
      </c>
      <c r="E27" s="85">
        <v>-42</v>
      </c>
      <c r="F27" s="7">
        <v>-8.08</v>
      </c>
      <c r="G27" s="85">
        <v>6462</v>
      </c>
      <c r="H27" s="203" t="s">
        <v>558</v>
      </c>
      <c r="I27" s="17" t="s">
        <v>403</v>
      </c>
      <c r="J27" s="371">
        <v>16.05</v>
      </c>
      <c r="K27" s="371">
        <v>21.11</v>
      </c>
      <c r="L27" s="371">
        <v>26.51</v>
      </c>
      <c r="M27" s="77">
        <v>9.9</v>
      </c>
      <c r="N27" s="365">
        <f>J27+K27+L27+M27</f>
        <v>73.570000000000007</v>
      </c>
      <c r="O27" s="343">
        <f>J27+M27</f>
        <v>25.950000000000003</v>
      </c>
      <c r="P27" s="195">
        <v>23</v>
      </c>
      <c r="Q27" s="326">
        <v>3</v>
      </c>
      <c r="R27" s="111">
        <v>17</v>
      </c>
      <c r="S27" s="51">
        <v>10</v>
      </c>
      <c r="T27" s="339">
        <f>SUM(P27:S27)</f>
        <v>53</v>
      </c>
      <c r="U27" s="329" t="s">
        <v>6721</v>
      </c>
      <c r="V27" s="371">
        <v>5.94</v>
      </c>
      <c r="W27" s="69">
        <v>15</v>
      </c>
      <c r="X27" s="100">
        <v>-2.48</v>
      </c>
      <c r="Y27" s="37">
        <v>115.5</v>
      </c>
      <c r="Z27" s="69">
        <v>110</v>
      </c>
      <c r="AA27" s="16">
        <f>Y27-Z27</f>
        <v>5.5</v>
      </c>
      <c r="AB27" s="66">
        <f>AA27/Z27</f>
        <v>0.05</v>
      </c>
      <c r="AC27" s="177" t="s">
        <v>6345</v>
      </c>
      <c r="AD27" s="17" t="s">
        <v>403</v>
      </c>
      <c r="AE27" s="89">
        <v>44547</v>
      </c>
      <c r="AF27" s="88">
        <v>44557</v>
      </c>
      <c r="AG27" s="34">
        <f>AF27-AE27</f>
        <v>10</v>
      </c>
      <c r="AH27" s="125" t="s">
        <v>2165</v>
      </c>
      <c r="AI27" s="284"/>
      <c r="AK27" s="66"/>
      <c r="AL27" s="174"/>
      <c r="AM27" s="346"/>
      <c r="AN27" s="272"/>
      <c r="AO27" s="131"/>
      <c r="AP27" s="264"/>
    </row>
    <row r="28" spans="1:50">
      <c r="A28" s="135" t="s">
        <v>6322</v>
      </c>
      <c r="B28" s="84">
        <v>0</v>
      </c>
      <c r="C28" s="85">
        <v>-2</v>
      </c>
      <c r="D28" s="85">
        <v>-17</v>
      </c>
      <c r="E28" s="85">
        <v>-58</v>
      </c>
      <c r="F28" s="59">
        <v>13.82</v>
      </c>
      <c r="G28" s="84">
        <v>4968</v>
      </c>
      <c r="H28" s="9" t="s">
        <v>558</v>
      </c>
      <c r="I28" s="23" t="s">
        <v>634</v>
      </c>
      <c r="J28" s="77">
        <v>25.17</v>
      </c>
      <c r="K28" s="77">
        <v>42.14</v>
      </c>
      <c r="L28" s="77">
        <v>20.010000000000002</v>
      </c>
      <c r="M28" s="371">
        <v>9.5</v>
      </c>
      <c r="N28" s="365">
        <f>J28+K28+L28+M28</f>
        <v>96.820000000000007</v>
      </c>
      <c r="O28" s="343">
        <f>J28+M28</f>
        <v>34.67</v>
      </c>
      <c r="P28" s="195">
        <v>29</v>
      </c>
      <c r="Q28" s="326">
        <v>30</v>
      </c>
      <c r="R28" s="111">
        <v>31</v>
      </c>
      <c r="S28" s="51">
        <v>41</v>
      </c>
      <c r="T28" s="339">
        <f>SUM(P28:S28)</f>
        <v>131</v>
      </c>
      <c r="U28" s="329" t="s">
        <v>6723</v>
      </c>
      <c r="V28" s="371">
        <v>6.9</v>
      </c>
      <c r="W28" s="69">
        <v>8</v>
      </c>
      <c r="X28" s="100">
        <v>12.49</v>
      </c>
      <c r="Y28" s="14">
        <v>276.5</v>
      </c>
      <c r="Z28" s="69">
        <v>292</v>
      </c>
      <c r="AA28" s="16">
        <f>Y28-Z28</f>
        <v>-15.5</v>
      </c>
      <c r="AB28" s="80">
        <f>AA28/Z28</f>
        <v>-5.3082191780821915E-2</v>
      </c>
      <c r="AC28" s="177" t="s">
        <v>6727</v>
      </c>
      <c r="AD28" s="23" t="s">
        <v>634</v>
      </c>
      <c r="AE28" s="89">
        <v>44547</v>
      </c>
      <c r="AF28" s="88">
        <v>44553</v>
      </c>
      <c r="AG28" s="34">
        <f>AF28-AE28</f>
        <v>6</v>
      </c>
      <c r="AH28" s="63" t="s">
        <v>3169</v>
      </c>
      <c r="AI28" s="131"/>
      <c r="AK28" s="131"/>
      <c r="AL28" s="264"/>
      <c r="AO28" s="131"/>
      <c r="AP28" s="264"/>
    </row>
    <row r="29" spans="1:50">
      <c r="A29" s="151"/>
      <c r="B29" s="85"/>
      <c r="C29" s="85"/>
      <c r="D29" s="85"/>
      <c r="E29" s="85"/>
      <c r="F29" s="7"/>
      <c r="G29" s="85"/>
      <c r="H29" s="5"/>
      <c r="I29" s="17"/>
      <c r="J29" s="77"/>
      <c r="K29" s="371"/>
      <c r="L29" s="371"/>
      <c r="N29" s="365"/>
      <c r="P29" s="195"/>
      <c r="Q29" s="326"/>
      <c r="R29" s="312"/>
      <c r="W29" s="69"/>
      <c r="X29" s="59"/>
      <c r="Y29" s="37"/>
      <c r="Z29" s="69"/>
      <c r="AA29" s="16"/>
      <c r="AB29" s="66"/>
      <c r="AC29" s="105"/>
      <c r="AD29" s="17"/>
      <c r="AG29" s="34"/>
      <c r="AH29" s="44"/>
      <c r="AI29" s="128"/>
      <c r="AO29" s="131"/>
      <c r="AP29" s="264"/>
    </row>
    <row r="30" spans="1:50">
      <c r="A30" s="151"/>
      <c r="B30" s="84"/>
      <c r="C30" s="85"/>
      <c r="D30" s="85"/>
      <c r="E30" s="84"/>
      <c r="F30" s="7"/>
      <c r="G30" s="84"/>
      <c r="H30" s="216"/>
      <c r="I30" s="23"/>
      <c r="J30" s="77"/>
      <c r="K30" s="77"/>
      <c r="L30" s="371"/>
      <c r="N30" s="365"/>
      <c r="P30" s="195"/>
      <c r="Q30" s="326"/>
      <c r="R30" s="312"/>
      <c r="W30" s="69"/>
      <c r="X30" s="59"/>
      <c r="Y30" s="37"/>
      <c r="Z30" s="69"/>
      <c r="AA30" s="16"/>
      <c r="AB30" s="66"/>
      <c r="AC30" s="105"/>
      <c r="AD30" s="23"/>
      <c r="AG30" s="34"/>
      <c r="AH30" s="125"/>
      <c r="AI30" s="131"/>
      <c r="AO30" s="128"/>
      <c r="AP30" s="264"/>
      <c r="AQ30" s="34"/>
      <c r="AR30" s="34"/>
      <c r="AS30" s="34"/>
      <c r="AT30" s="34"/>
    </row>
    <row r="31" spans="1:50">
      <c r="B31" s="98"/>
      <c r="C31" s="98"/>
      <c r="D31" s="85"/>
      <c r="E31" s="85"/>
      <c r="F31" s="59"/>
      <c r="G31" s="84"/>
      <c r="H31" s="9"/>
      <c r="I31" s="17"/>
      <c r="J31" s="77"/>
      <c r="K31" s="371"/>
      <c r="N31" s="365"/>
      <c r="P31" s="195"/>
      <c r="Q31" s="326"/>
      <c r="R31" s="312"/>
      <c r="W31" s="35"/>
      <c r="X31" s="59"/>
      <c r="Y31" s="37"/>
      <c r="Z31" s="69"/>
      <c r="AA31" s="16"/>
      <c r="AB31" s="66"/>
      <c r="AC31" s="105"/>
      <c r="AD31" s="17"/>
      <c r="AG31" s="34"/>
      <c r="AH31" s="63"/>
      <c r="AI31" s="284"/>
      <c r="AO31" s="131"/>
      <c r="AP31" s="264"/>
    </row>
    <row r="32" spans="1:50">
      <c r="B32" s="85"/>
      <c r="C32" s="85"/>
      <c r="D32" s="85"/>
      <c r="E32" s="85"/>
      <c r="F32" s="59"/>
      <c r="G32" s="84"/>
      <c r="H32" s="9"/>
      <c r="I32" s="23"/>
      <c r="J32" s="77"/>
      <c r="K32" s="77"/>
      <c r="L32" s="371"/>
      <c r="N32" s="365"/>
      <c r="P32" s="195"/>
      <c r="Q32" s="326"/>
      <c r="R32" s="312"/>
      <c r="W32" s="35"/>
      <c r="X32" s="59"/>
      <c r="Y32" s="37"/>
      <c r="Z32" s="69"/>
      <c r="AA32" s="16"/>
      <c r="AB32" s="66"/>
      <c r="AC32" s="105"/>
      <c r="AD32" s="23"/>
      <c r="AE32" s="123"/>
      <c r="AG32" s="34"/>
      <c r="AH32" s="63"/>
      <c r="AI32" s="131"/>
      <c r="AO32" s="131"/>
      <c r="AP32" s="264"/>
    </row>
    <row r="33" spans="1:46">
      <c r="B33" s="85"/>
      <c r="C33" s="85"/>
      <c r="D33" s="84"/>
      <c r="E33" s="84"/>
      <c r="F33" s="59"/>
      <c r="G33" s="84"/>
      <c r="H33" s="5"/>
      <c r="I33" s="17"/>
      <c r="J33" s="77"/>
      <c r="K33" s="371"/>
      <c r="L33" s="371"/>
      <c r="N33" s="365"/>
      <c r="P33" s="195"/>
      <c r="Q33" s="326"/>
      <c r="R33" s="312"/>
      <c r="W33" s="69"/>
      <c r="X33" s="100"/>
      <c r="Y33" s="37"/>
      <c r="Z33" s="69"/>
      <c r="AA33" s="16"/>
      <c r="AB33" s="66"/>
      <c r="AC33" s="107"/>
      <c r="AD33" s="17"/>
      <c r="AG33" s="34"/>
      <c r="AH33" s="63"/>
      <c r="AI33" s="131"/>
      <c r="AO33" s="131"/>
      <c r="AP33" s="264"/>
    </row>
    <row r="34" spans="1:46">
      <c r="B34" s="84"/>
      <c r="C34" s="84"/>
      <c r="D34" s="85"/>
      <c r="E34" s="85"/>
      <c r="F34" s="59"/>
      <c r="G34" s="84"/>
      <c r="H34" s="5"/>
      <c r="I34" s="23"/>
      <c r="J34" s="77"/>
      <c r="K34" s="77"/>
      <c r="N34" s="365"/>
      <c r="P34" s="232"/>
      <c r="Q34" s="326"/>
      <c r="R34" s="312"/>
      <c r="W34" s="69"/>
      <c r="X34" s="100"/>
      <c r="Y34" s="37"/>
      <c r="Z34" s="69"/>
      <c r="AA34" s="16"/>
      <c r="AB34" s="66"/>
      <c r="AC34" s="105"/>
      <c r="AD34" s="23"/>
      <c r="AG34" s="34"/>
      <c r="AH34" s="63"/>
      <c r="AI34" s="284"/>
      <c r="AO34" s="131"/>
      <c r="AP34" s="264"/>
    </row>
    <row r="35" spans="1:46">
      <c r="B35" s="85"/>
      <c r="C35" s="85"/>
      <c r="D35" s="84"/>
      <c r="E35" s="85"/>
      <c r="F35" s="59"/>
      <c r="G35" s="84"/>
      <c r="H35" s="5"/>
      <c r="I35" s="17"/>
      <c r="J35" s="77"/>
      <c r="K35" s="77"/>
      <c r="N35" s="365"/>
      <c r="P35" s="195"/>
      <c r="Q35" s="326"/>
      <c r="R35" s="312"/>
      <c r="W35" s="46"/>
      <c r="X35" s="100"/>
      <c r="Y35" s="37"/>
      <c r="Z35" s="69"/>
      <c r="AA35" s="16"/>
      <c r="AB35" s="80"/>
      <c r="AC35" s="107"/>
      <c r="AD35" s="17"/>
      <c r="AG35" s="34"/>
      <c r="AH35" s="63"/>
      <c r="AI35" s="131"/>
      <c r="AO35" s="131"/>
      <c r="AP35" s="264"/>
    </row>
    <row r="36" spans="1:46">
      <c r="A36" s="151"/>
      <c r="B36" s="85"/>
      <c r="C36" s="84"/>
      <c r="D36" s="85"/>
      <c r="E36" s="85"/>
      <c r="F36" s="7"/>
      <c r="G36" s="85"/>
      <c r="H36" s="5"/>
      <c r="I36" s="23"/>
      <c r="J36" s="371"/>
      <c r="K36" s="371"/>
      <c r="L36" s="371"/>
      <c r="N36" s="365"/>
      <c r="P36" s="195"/>
      <c r="Q36" s="326"/>
      <c r="R36" s="312"/>
      <c r="W36" s="69"/>
      <c r="X36" s="59"/>
      <c r="Y36" s="37"/>
      <c r="Z36" s="69"/>
      <c r="AA36" s="16"/>
      <c r="AB36" s="66"/>
      <c r="AC36" s="105"/>
      <c r="AD36" s="23"/>
      <c r="AG36" s="34"/>
      <c r="AH36" s="44"/>
      <c r="AI36" s="131"/>
      <c r="AO36" s="131"/>
      <c r="AP36" s="264"/>
    </row>
    <row r="37" spans="1:46">
      <c r="B37" s="84"/>
      <c r="C37" s="84"/>
      <c r="D37" s="84"/>
      <c r="E37" s="84"/>
      <c r="F37" s="59"/>
      <c r="G37" s="84"/>
      <c r="H37" s="9"/>
      <c r="I37" s="23"/>
      <c r="J37" s="371"/>
      <c r="K37" s="371"/>
      <c r="L37" s="371"/>
      <c r="N37" s="365"/>
      <c r="P37" s="195"/>
      <c r="Q37" s="326"/>
      <c r="R37" s="312"/>
      <c r="W37" s="69"/>
      <c r="X37" s="100"/>
      <c r="Y37" s="37"/>
      <c r="Z37" s="69"/>
      <c r="AA37" s="16"/>
      <c r="AB37" s="66"/>
      <c r="AC37" s="105"/>
      <c r="AD37" s="23"/>
      <c r="AG37" s="34"/>
      <c r="AH37" s="63"/>
      <c r="AI37" s="131"/>
      <c r="AO37" s="131"/>
      <c r="AP37" s="264"/>
    </row>
    <row r="38" spans="1:46">
      <c r="A38" s="151"/>
      <c r="B38" s="84"/>
      <c r="C38" s="84"/>
      <c r="D38" s="85"/>
      <c r="E38" s="84"/>
      <c r="F38" s="7"/>
      <c r="G38" s="85"/>
      <c r="H38" s="19"/>
      <c r="I38" s="23"/>
      <c r="J38" s="371"/>
      <c r="K38" s="371"/>
      <c r="L38" s="371"/>
      <c r="N38" s="365"/>
      <c r="P38" s="195"/>
      <c r="Q38" s="326"/>
      <c r="R38" s="312"/>
      <c r="W38" s="35"/>
      <c r="X38" s="59"/>
      <c r="Y38" s="37"/>
      <c r="Z38" s="69"/>
      <c r="AA38" s="16"/>
      <c r="AB38" s="66"/>
      <c r="AC38" s="107"/>
      <c r="AD38" s="23"/>
      <c r="AG38" s="34"/>
      <c r="AH38" s="125"/>
      <c r="AI38" s="131"/>
      <c r="AO38" s="131"/>
      <c r="AP38" s="264"/>
    </row>
    <row r="39" spans="1:46">
      <c r="B39" s="84"/>
      <c r="C39" s="84"/>
      <c r="D39" s="85"/>
      <c r="E39" s="84"/>
      <c r="F39" s="59"/>
      <c r="G39" s="85"/>
      <c r="H39" s="4"/>
      <c r="I39" s="17"/>
      <c r="J39" s="371"/>
      <c r="K39" s="371"/>
      <c r="L39" s="371"/>
      <c r="N39" s="365"/>
      <c r="P39" s="195"/>
      <c r="Q39" s="326"/>
      <c r="R39" s="312"/>
      <c r="W39" s="69"/>
      <c r="X39" s="100"/>
      <c r="Y39" s="37"/>
      <c r="Z39" s="69"/>
      <c r="AA39" s="16"/>
      <c r="AB39" s="3"/>
      <c r="AC39" s="149"/>
      <c r="AD39" s="17"/>
      <c r="AG39" s="34"/>
      <c r="AH39" s="63"/>
      <c r="AI39" s="131"/>
      <c r="AO39" s="131"/>
      <c r="AP39" s="264"/>
    </row>
    <row r="40" spans="1:46">
      <c r="A40" s="151"/>
      <c r="B40" s="84"/>
      <c r="C40" s="84"/>
      <c r="D40" s="85"/>
      <c r="E40" s="84"/>
      <c r="F40" s="7"/>
      <c r="G40" s="85"/>
      <c r="H40" s="11"/>
      <c r="I40" s="17"/>
      <c r="J40" s="77"/>
      <c r="K40" s="371"/>
      <c r="L40" s="371"/>
      <c r="N40" s="365"/>
      <c r="P40" s="195"/>
      <c r="Q40" s="326"/>
      <c r="R40" s="312"/>
      <c r="W40" s="69"/>
      <c r="X40" s="59"/>
      <c r="Y40" s="37"/>
      <c r="Z40" s="69"/>
      <c r="AA40" s="16"/>
      <c r="AB40" s="3"/>
      <c r="AC40" s="149"/>
      <c r="AD40" s="17"/>
      <c r="AG40" s="34"/>
      <c r="AH40" s="44"/>
      <c r="AI40" s="284"/>
      <c r="AO40" s="131"/>
      <c r="AP40" s="264"/>
    </row>
    <row r="41" spans="1:46">
      <c r="A41" s="151"/>
      <c r="B41" s="85"/>
      <c r="C41" s="85"/>
      <c r="D41" s="85"/>
      <c r="E41" s="85"/>
      <c r="F41" s="7"/>
      <c r="G41" s="85"/>
      <c r="H41" s="4"/>
      <c r="I41" s="17"/>
      <c r="J41" s="371"/>
      <c r="K41" s="77"/>
      <c r="L41" s="371"/>
      <c r="N41" s="365"/>
      <c r="P41" s="195"/>
      <c r="Q41" s="326"/>
      <c r="R41" s="312"/>
      <c r="W41" s="35"/>
      <c r="X41" s="100"/>
      <c r="Y41" s="37"/>
      <c r="Z41" s="69"/>
      <c r="AA41" s="16"/>
      <c r="AB41" s="3"/>
      <c r="AC41" s="107"/>
      <c r="AD41" s="17"/>
      <c r="AG41" s="34"/>
      <c r="AH41" s="44"/>
      <c r="AO41" s="131"/>
      <c r="AP41" s="264"/>
    </row>
    <row r="42" spans="1:46">
      <c r="A42" s="151"/>
      <c r="B42" s="84"/>
      <c r="C42" s="84"/>
      <c r="D42" s="84"/>
      <c r="E42" s="84"/>
      <c r="F42" s="7"/>
      <c r="G42" s="85"/>
      <c r="H42" s="5"/>
      <c r="I42" s="23"/>
      <c r="J42" s="371"/>
      <c r="K42" s="371"/>
      <c r="L42" s="371"/>
      <c r="N42" s="365"/>
      <c r="P42" s="195"/>
      <c r="Q42" s="326"/>
      <c r="R42" s="312"/>
      <c r="W42" s="69"/>
      <c r="X42" s="100"/>
      <c r="Y42" s="37"/>
      <c r="Z42" s="69"/>
      <c r="AA42" s="16"/>
      <c r="AB42" s="66"/>
      <c r="AC42" s="105"/>
      <c r="AD42" s="23"/>
      <c r="AG42" s="34"/>
      <c r="AH42" s="125"/>
      <c r="AO42" s="131"/>
      <c r="AP42" s="264"/>
    </row>
    <row r="43" spans="1:46">
      <c r="A43" s="151"/>
      <c r="B43" s="84"/>
      <c r="C43" s="84"/>
      <c r="D43" s="84"/>
      <c r="E43" s="84"/>
      <c r="F43" s="7"/>
      <c r="G43" s="85"/>
      <c r="H43" s="268"/>
      <c r="I43" s="23"/>
      <c r="J43" s="371"/>
      <c r="K43" s="371"/>
      <c r="L43" s="371"/>
      <c r="N43" s="365"/>
      <c r="O43" s="376"/>
      <c r="P43" s="195"/>
      <c r="Q43" s="326"/>
      <c r="R43" s="312"/>
      <c r="W43" s="46"/>
      <c r="X43" s="100"/>
      <c r="Y43" s="37"/>
      <c r="Z43" s="69"/>
      <c r="AA43" s="16"/>
      <c r="AB43" s="66"/>
      <c r="AC43" s="105"/>
      <c r="AD43" s="23"/>
      <c r="AG43" s="34"/>
      <c r="AH43" s="125"/>
      <c r="AI43" s="284"/>
      <c r="AO43" s="128"/>
      <c r="AP43" s="264"/>
      <c r="AQ43" s="34"/>
      <c r="AR43" s="34"/>
      <c r="AS43" s="34"/>
      <c r="AT43" s="34"/>
    </row>
    <row r="44" spans="1:46">
      <c r="B44" s="96"/>
      <c r="C44" s="96"/>
      <c r="D44" s="96"/>
      <c r="E44" s="96"/>
      <c r="F44" s="9"/>
      <c r="G44" s="27"/>
      <c r="H44" s="56"/>
      <c r="I44" s="9"/>
      <c r="J44" s="364"/>
      <c r="K44" s="364"/>
      <c r="L44" s="364"/>
      <c r="M44" s="364"/>
      <c r="N44" s="364"/>
      <c r="P44" s="83"/>
      <c r="Q44" s="326"/>
      <c r="R44" s="312"/>
      <c r="T44" s="338"/>
      <c r="V44" s="377"/>
      <c r="W44" s="11"/>
      <c r="X44" s="71"/>
      <c r="Y44" s="29"/>
      <c r="Z44" s="18"/>
      <c r="AA44" s="15"/>
      <c r="AB44" s="22"/>
      <c r="AC44" s="26"/>
      <c r="AD44" s="9"/>
      <c r="AE44" s="56"/>
      <c r="AF44" s="114"/>
      <c r="AG44" s="33"/>
      <c r="AH44" s="44"/>
      <c r="AI44" s="131"/>
      <c r="AO44" s="131"/>
      <c r="AP44" s="264"/>
    </row>
    <row r="45" spans="1:46">
      <c r="B45" s="84"/>
      <c r="C45" s="84"/>
      <c r="D45" s="85"/>
      <c r="E45" s="84"/>
      <c r="F45" s="59"/>
      <c r="G45" s="85"/>
      <c r="H45" s="212"/>
      <c r="I45" s="23"/>
      <c r="J45" s="77"/>
      <c r="K45" s="77"/>
      <c r="L45" s="371"/>
      <c r="N45" s="365"/>
      <c r="P45" s="195"/>
      <c r="Q45" s="326"/>
      <c r="R45" s="312"/>
      <c r="W45" s="69"/>
      <c r="X45" s="59"/>
      <c r="Y45" s="14"/>
      <c r="Z45" s="69"/>
      <c r="AA45" s="16"/>
      <c r="AB45" s="66"/>
      <c r="AC45" s="105"/>
      <c r="AD45" s="23"/>
      <c r="AG45" s="34"/>
      <c r="AH45" s="63"/>
      <c r="AI45" s="131"/>
      <c r="AO45" s="284"/>
      <c r="AP45" s="264"/>
    </row>
    <row r="46" spans="1:46">
      <c r="B46" s="84"/>
      <c r="C46" s="84"/>
      <c r="D46" s="84"/>
      <c r="E46" s="85"/>
      <c r="F46" s="59"/>
      <c r="G46" s="58"/>
      <c r="H46" s="9"/>
      <c r="I46" s="17"/>
      <c r="J46" s="371"/>
      <c r="K46" s="371"/>
      <c r="N46" s="365"/>
      <c r="P46" s="232"/>
      <c r="W46" s="46"/>
      <c r="X46" s="100"/>
      <c r="Y46" s="37"/>
      <c r="Z46" s="69"/>
      <c r="AA46" s="16"/>
      <c r="AB46" s="66"/>
      <c r="AC46" s="107"/>
      <c r="AD46" s="17"/>
      <c r="AG46" s="34"/>
      <c r="AH46" s="63"/>
      <c r="AI46" s="131"/>
      <c r="AO46" s="131"/>
      <c r="AP46" s="264"/>
    </row>
    <row r="47" spans="1:46">
      <c r="AI47" s="131"/>
    </row>
    <row r="48" spans="1:46">
      <c r="AI48" s="131"/>
    </row>
    <row r="49" spans="35:35">
      <c r="AI49" s="284"/>
    </row>
    <row r="50" spans="35:35">
      <c r="AI50" s="131"/>
    </row>
    <row r="51" spans="35:35">
      <c r="AI51" s="131"/>
    </row>
    <row r="52" spans="35:35">
      <c r="AI52" s="131"/>
    </row>
    <row r="53" spans="35:35">
      <c r="AI53" s="131"/>
    </row>
    <row r="54" spans="35:35">
      <c r="AI54" s="284"/>
    </row>
    <row r="55" spans="35:35">
      <c r="AI55" s="131"/>
    </row>
    <row r="56" spans="35:35">
      <c r="AI56" s="131"/>
    </row>
    <row r="57" spans="35:35">
      <c r="AI57" s="131"/>
    </row>
    <row r="58" spans="35:35">
      <c r="AI58" s="284"/>
    </row>
    <row r="59" spans="35:35">
      <c r="AI59" s="131"/>
    </row>
    <row r="60" spans="35:35">
      <c r="AI60" s="131"/>
    </row>
    <row r="61" spans="35:35">
      <c r="AI61" s="131"/>
    </row>
    <row r="62" spans="35:35">
      <c r="AI62" s="131"/>
    </row>
    <row r="63" spans="35:35">
      <c r="AI63" s="131"/>
    </row>
    <row r="64" spans="35:35">
      <c r="AI64" s="284"/>
    </row>
    <row r="65" spans="35:35">
      <c r="AI65" s="284"/>
    </row>
    <row r="66" spans="35:35">
      <c r="AI66" s="131"/>
    </row>
    <row r="67" spans="35:35">
      <c r="AI67" s="131"/>
    </row>
    <row r="68" spans="35:35">
      <c r="AI68" s="131"/>
    </row>
    <row r="69" spans="35:35">
      <c r="AI69" s="131"/>
    </row>
    <row r="70" spans="35:35">
      <c r="AI70" s="131"/>
    </row>
    <row r="71" spans="35:35">
      <c r="AI71" s="131"/>
    </row>
    <row r="72" spans="35:35">
      <c r="AI72" s="131"/>
    </row>
    <row r="73" spans="35:35">
      <c r="AI73" s="131"/>
    </row>
    <row r="74" spans="35:35">
      <c r="AI74" s="131"/>
    </row>
    <row r="76" spans="35:35">
      <c r="AI76" s="131"/>
    </row>
    <row r="77" spans="35:35">
      <c r="AI77" s="131"/>
    </row>
    <row r="78" spans="35:35">
      <c r="AI78" s="131"/>
    </row>
    <row r="79" spans="35:35">
      <c r="AI79" s="284"/>
    </row>
    <row r="80" spans="35:35">
      <c r="AI80" s="131"/>
    </row>
    <row r="81" spans="35:35">
      <c r="AI81" s="284"/>
    </row>
    <row r="82" spans="35:35">
      <c r="AI82" s="131"/>
    </row>
    <row r="83" spans="35:35">
      <c r="AI83" s="284"/>
    </row>
    <row r="84" spans="35:35">
      <c r="AI84" s="131"/>
    </row>
    <row r="85" spans="35:35">
      <c r="AI85" s="131"/>
    </row>
    <row r="86" spans="35:35">
      <c r="AI86" s="131"/>
    </row>
    <row r="87" spans="35:35">
      <c r="AI87" s="131"/>
    </row>
    <row r="88" spans="35:35">
      <c r="AI88" s="131"/>
    </row>
    <row r="89" spans="35:35">
      <c r="AI89" s="131"/>
    </row>
    <row r="90" spans="35:35">
      <c r="AI90" s="131"/>
    </row>
    <row r="91" spans="35:35">
      <c r="AI91" s="131"/>
    </row>
    <row r="92" spans="35:35">
      <c r="AI92" s="131"/>
    </row>
    <row r="93" spans="35:35">
      <c r="AI93" s="284"/>
    </row>
    <row r="94" spans="35:35">
      <c r="AI94" s="131"/>
    </row>
    <row r="95" spans="35:35">
      <c r="AI95" s="131"/>
    </row>
    <row r="96" spans="35:35">
      <c r="AI96" s="131"/>
    </row>
    <row r="97" spans="35:35">
      <c r="AI97" s="131"/>
    </row>
    <row r="98" spans="35:35">
      <c r="AI98" s="131"/>
    </row>
    <row r="99" spans="35:35">
      <c r="AI99" s="284"/>
    </row>
    <row r="100" spans="35:35">
      <c r="AI100" s="131"/>
    </row>
    <row r="101" spans="35:35">
      <c r="AI101" s="131"/>
    </row>
    <row r="102" spans="35:35">
      <c r="AI102" s="284"/>
    </row>
    <row r="103" spans="35:35">
      <c r="AI103" s="131"/>
    </row>
    <row r="104" spans="35:35">
      <c r="AI104" s="131"/>
    </row>
    <row r="105" spans="35:35">
      <c r="AI105" s="131"/>
    </row>
    <row r="106" spans="35:35">
      <c r="AI106" s="131"/>
    </row>
    <row r="107" spans="35:35">
      <c r="AI107" s="131"/>
    </row>
    <row r="108" spans="35:35">
      <c r="AI108" s="131"/>
    </row>
    <row r="109" spans="35:35">
      <c r="AI109" s="131"/>
    </row>
    <row r="110" spans="35:35">
      <c r="AI110" s="131"/>
    </row>
    <row r="111" spans="35:35">
      <c r="AI111" s="131"/>
    </row>
    <row r="112" spans="35:35">
      <c r="AI112" s="131"/>
    </row>
    <row r="113" spans="35:35">
      <c r="AI113" s="131"/>
    </row>
    <row r="114" spans="35:35">
      <c r="AI114" s="131"/>
    </row>
    <row r="115" spans="35:35">
      <c r="AI115" s="131"/>
    </row>
    <row r="116" spans="35:35">
      <c r="AI116" s="131"/>
    </row>
    <row r="117" spans="35:35">
      <c r="AI117" s="131"/>
    </row>
    <row r="118" spans="35:35">
      <c r="AI118" s="131"/>
    </row>
    <row r="119" spans="35:35">
      <c r="AI119" s="131"/>
    </row>
    <row r="120" spans="35:35">
      <c r="AI120" s="131"/>
    </row>
    <row r="121" spans="35:35">
      <c r="AI121" s="131"/>
    </row>
    <row r="122" spans="35:35">
      <c r="AI122" s="131"/>
    </row>
    <row r="123" spans="35:35">
      <c r="AI123" s="131"/>
    </row>
    <row r="124" spans="35:35">
      <c r="AI124" s="131"/>
    </row>
    <row r="125" spans="35:35">
      <c r="AI125" s="131"/>
    </row>
    <row r="126" spans="35:35">
      <c r="AI126" s="131"/>
    </row>
    <row r="127" spans="35:35">
      <c r="AI127" s="131"/>
    </row>
    <row r="128" spans="35:35">
      <c r="AI128" s="131"/>
    </row>
    <row r="129" spans="35:35">
      <c r="AI129" s="131"/>
    </row>
    <row r="130" spans="35:35">
      <c r="AI130" s="131"/>
    </row>
    <row r="131" spans="35:35">
      <c r="AI131" s="131"/>
    </row>
    <row r="132" spans="35:35">
      <c r="AI132" s="131"/>
    </row>
    <row r="133" spans="35:35">
      <c r="AI133" s="131"/>
    </row>
    <row r="134" spans="35:35">
      <c r="AI134" s="131"/>
    </row>
    <row r="135" spans="35:35">
      <c r="AI135" s="131"/>
    </row>
    <row r="136" spans="35:35">
      <c r="AI136" s="131"/>
    </row>
    <row r="137" spans="35:35">
      <c r="AI137" s="131"/>
    </row>
    <row r="138" spans="35:35">
      <c r="AI138" s="131"/>
    </row>
    <row r="139" spans="35:35">
      <c r="AI139" s="284"/>
    </row>
    <row r="140" spans="35:35">
      <c r="AI140" s="131"/>
    </row>
    <row r="141" spans="35:35">
      <c r="AI141" s="131"/>
    </row>
    <row r="142" spans="35:35">
      <c r="AI142" s="131"/>
    </row>
    <row r="143" spans="35:35">
      <c r="AI143" s="131"/>
    </row>
    <row r="144" spans="35:35">
      <c r="AI144" s="131"/>
    </row>
    <row r="145" spans="35:35">
      <c r="AI145" s="131"/>
    </row>
    <row r="146" spans="35:35">
      <c r="AI146" s="131"/>
    </row>
    <row r="147" spans="35:35">
      <c r="AI147" s="131"/>
    </row>
    <row r="148" spans="35:35">
      <c r="AI148" s="131"/>
    </row>
    <row r="149" spans="35:35">
      <c r="AI149" s="131"/>
    </row>
    <row r="150" spans="35:35">
      <c r="AI150" s="131"/>
    </row>
    <row r="151" spans="35:35">
      <c r="AI151" s="131"/>
    </row>
    <row r="152" spans="35:35">
      <c r="AI152" s="131"/>
    </row>
    <row r="153" spans="35:35">
      <c r="AI153" s="131"/>
    </row>
    <row r="154" spans="35:35">
      <c r="AI154" s="131"/>
    </row>
    <row r="155" spans="35:35">
      <c r="AI155" s="131"/>
    </row>
    <row r="156" spans="35:35">
      <c r="AI156" s="131"/>
    </row>
    <row r="157" spans="35:35">
      <c r="AI157" s="131"/>
    </row>
    <row r="158" spans="35:35">
      <c r="AI158" s="131"/>
    </row>
    <row r="159" spans="35:35">
      <c r="AI159" s="131"/>
    </row>
    <row r="160" spans="35:35">
      <c r="AI160" s="131"/>
    </row>
    <row r="161" spans="35:35">
      <c r="AI161" s="131"/>
    </row>
    <row r="162" spans="35:35">
      <c r="AI162" s="131"/>
    </row>
    <row r="163" spans="35:35">
      <c r="AI163" s="131"/>
    </row>
    <row r="164" spans="35:35">
      <c r="AI164" s="131"/>
    </row>
    <row r="165" spans="35:35">
      <c r="AI165" s="131"/>
    </row>
    <row r="166" spans="35:35">
      <c r="AI166" s="131"/>
    </row>
    <row r="167" spans="35:35">
      <c r="AI167" s="131"/>
    </row>
    <row r="169" spans="35:35">
      <c r="AI169" s="131"/>
    </row>
    <row r="170" spans="35:35">
      <c r="AI170" s="131"/>
    </row>
    <row r="171" spans="35:35">
      <c r="AI171" s="131"/>
    </row>
    <row r="172" spans="35:35">
      <c r="AI172" s="131"/>
    </row>
    <row r="173" spans="35:35">
      <c r="AI173" s="131"/>
    </row>
    <row r="175" spans="35:35">
      <c r="AI175" s="131"/>
    </row>
    <row r="176" spans="35:35">
      <c r="AI176" s="131"/>
    </row>
    <row r="177" spans="35:35">
      <c r="AI177" s="131"/>
    </row>
    <row r="178" spans="35:35">
      <c r="AI178" s="131"/>
    </row>
    <row r="179" spans="35:35">
      <c r="AI179" s="131"/>
    </row>
    <row r="180" spans="35:35">
      <c r="AI180" s="131"/>
    </row>
    <row r="181" spans="35:35">
      <c r="AI181" s="131"/>
    </row>
    <row r="182" spans="35:35">
      <c r="AI182" s="131"/>
    </row>
    <row r="183" spans="35:35">
      <c r="AI183" s="131"/>
    </row>
    <row r="184" spans="35:35">
      <c r="AI184" s="131"/>
    </row>
    <row r="185" spans="35:35">
      <c r="AI185" s="131"/>
    </row>
    <row r="186" spans="35:35">
      <c r="AI186" s="284"/>
    </row>
    <row r="187" spans="35:35">
      <c r="AI187" s="131"/>
    </row>
    <row r="189" spans="35:35">
      <c r="AI189" s="131"/>
    </row>
    <row r="190" spans="35:35">
      <c r="AI190" s="131"/>
    </row>
    <row r="191" spans="35:35">
      <c r="AI191" s="131"/>
    </row>
    <row r="192" spans="35:35">
      <c r="AI192" s="131"/>
    </row>
    <row r="193" spans="35:35">
      <c r="AI193" s="131"/>
    </row>
    <row r="194" spans="35:35">
      <c r="AI194" s="131"/>
    </row>
    <row r="195" spans="35:35">
      <c r="AI195" s="131"/>
    </row>
    <row r="196" spans="35:35">
      <c r="AI196" s="131"/>
    </row>
    <row r="197" spans="35:35">
      <c r="AI197" s="131"/>
    </row>
    <row r="198" spans="35:35">
      <c r="AI198" s="131"/>
    </row>
    <row r="199" spans="35:35">
      <c r="AI199" s="131"/>
    </row>
    <row r="201" spans="35:35">
      <c r="AI201" s="131"/>
    </row>
    <row r="202" spans="35:35">
      <c r="AI202" s="131"/>
    </row>
    <row r="203" spans="35:35">
      <c r="AI203" s="131"/>
    </row>
    <row r="204" spans="35:35">
      <c r="AI204" s="131"/>
    </row>
    <row r="205" spans="35:35">
      <c r="AI205" s="131"/>
    </row>
    <row r="206" spans="35:35">
      <c r="AI206" s="131"/>
    </row>
    <row r="207" spans="35:35">
      <c r="AI207" s="131"/>
    </row>
    <row r="208" spans="35:35">
      <c r="AI208" s="131"/>
    </row>
    <row r="209" spans="35:35">
      <c r="AI209" s="131"/>
    </row>
    <row r="210" spans="35:35">
      <c r="AI210" s="131"/>
    </row>
    <row r="211" spans="35:35">
      <c r="AI211" s="131"/>
    </row>
    <row r="212" spans="35:35">
      <c r="AI212" s="131"/>
    </row>
    <row r="213" spans="35:35">
      <c r="AI213" s="131"/>
    </row>
    <row r="214" spans="35:35">
      <c r="AI214" s="131"/>
    </row>
    <row r="215" spans="35:35">
      <c r="AI215" s="131"/>
    </row>
    <row r="216" spans="35:35">
      <c r="AI216" s="131"/>
    </row>
    <row r="217" spans="35:35">
      <c r="AI217" s="131"/>
    </row>
    <row r="218" spans="35:35">
      <c r="AI218" s="131"/>
    </row>
    <row r="219" spans="35:35">
      <c r="AI219" s="131"/>
    </row>
    <row r="220" spans="35:35">
      <c r="AI220" s="131"/>
    </row>
    <row r="221" spans="35:35">
      <c r="AI221" s="131"/>
    </row>
    <row r="222" spans="35:35">
      <c r="AI222" s="131"/>
    </row>
    <row r="223" spans="35:35">
      <c r="AI223" s="131"/>
    </row>
    <row r="224" spans="35:35">
      <c r="AI224" s="131"/>
    </row>
    <row r="225" spans="35:35">
      <c r="AI225" s="131"/>
    </row>
    <row r="226" spans="35:35">
      <c r="AI226" s="131"/>
    </row>
    <row r="227" spans="35:35">
      <c r="AI227" s="131"/>
    </row>
    <row r="228" spans="35:35">
      <c r="AI228" s="131"/>
    </row>
    <row r="229" spans="35:35">
      <c r="AI229" s="131"/>
    </row>
    <row r="230" spans="35:35">
      <c r="AI230" s="131"/>
    </row>
    <row r="231" spans="35:35">
      <c r="AI231" s="131"/>
    </row>
    <row r="232" spans="35:35">
      <c r="AI232" s="131"/>
    </row>
    <row r="233" spans="35:35">
      <c r="AI233" s="131"/>
    </row>
    <row r="234" spans="35:35">
      <c r="AI234" s="131"/>
    </row>
    <row r="235" spans="35:35">
      <c r="AI235" s="131"/>
    </row>
    <row r="236" spans="35:35">
      <c r="AI236" s="131"/>
    </row>
    <row r="237" spans="35:35">
      <c r="AI237" s="131"/>
    </row>
    <row r="238" spans="35:35">
      <c r="AI238" s="131"/>
    </row>
    <row r="239" spans="35:35">
      <c r="AI239" s="131"/>
    </row>
    <row r="240" spans="35:35">
      <c r="AI240" s="131"/>
    </row>
    <row r="241" spans="35:35">
      <c r="AI241" s="131"/>
    </row>
    <row r="242" spans="35:35">
      <c r="AI242" s="131"/>
    </row>
    <row r="243" spans="35:35">
      <c r="AI243" s="131"/>
    </row>
    <row r="244" spans="35:35">
      <c r="AI244" s="131"/>
    </row>
    <row r="245" spans="35:35">
      <c r="AI245" s="131"/>
    </row>
    <row r="246" spans="35:35">
      <c r="AI246" s="131"/>
    </row>
    <row r="247" spans="35:35">
      <c r="AI247" s="131"/>
    </row>
    <row r="248" spans="35:35">
      <c r="AI248" s="131"/>
    </row>
    <row r="249" spans="35:35">
      <c r="AI249" s="131"/>
    </row>
    <row r="250" spans="35:35">
      <c r="AI250" s="131"/>
    </row>
    <row r="251" spans="35:35">
      <c r="AI251" s="131"/>
    </row>
    <row r="252" spans="35:35">
      <c r="AI252" s="131"/>
    </row>
    <row r="253" spans="35:35">
      <c r="AI253" s="131"/>
    </row>
    <row r="254" spans="35:35">
      <c r="AI254" s="131"/>
    </row>
    <row r="255" spans="35:35">
      <c r="AI255" s="131"/>
    </row>
    <row r="256" spans="35:35">
      <c r="AI256" s="131"/>
    </row>
    <row r="257" spans="35:35">
      <c r="AI257" s="131"/>
    </row>
    <row r="258" spans="35:35">
      <c r="AI258" s="131"/>
    </row>
    <row r="259" spans="35:35">
      <c r="AI259" s="131"/>
    </row>
    <row r="260" spans="35:35">
      <c r="AI260" s="131"/>
    </row>
    <row r="261" spans="35:35">
      <c r="AI261" s="131"/>
    </row>
    <row r="262" spans="35:35">
      <c r="AI262" s="284"/>
    </row>
    <row r="263" spans="35:35">
      <c r="AI263" s="131"/>
    </row>
    <row r="264" spans="35:35">
      <c r="AI264" s="131"/>
    </row>
    <row r="265" spans="35:35">
      <c r="AI265" s="131"/>
    </row>
    <row r="266" spans="35:35">
      <c r="AI266" s="131"/>
    </row>
    <row r="267" spans="35:35">
      <c r="AI267" s="131"/>
    </row>
    <row r="268" spans="35:35">
      <c r="AI268" s="131"/>
    </row>
    <row r="269" spans="35:35">
      <c r="AI269" s="131"/>
    </row>
    <row r="270" spans="35:35">
      <c r="AI270" s="52"/>
    </row>
    <row r="271" spans="35:35">
      <c r="AI271" s="131"/>
    </row>
    <row r="272" spans="35:35">
      <c r="AI272" s="131"/>
    </row>
    <row r="273" spans="35:35">
      <c r="AI273" s="131"/>
    </row>
    <row r="274" spans="35:35">
      <c r="AI274" s="131"/>
    </row>
    <row r="275" spans="35:35">
      <c r="AI275" s="131"/>
    </row>
    <row r="276" spans="35:35">
      <c r="AI276" s="131"/>
    </row>
    <row r="277" spans="35:35">
      <c r="AI277" s="131"/>
    </row>
    <row r="278" spans="35:35">
      <c r="AI278" s="131"/>
    </row>
    <row r="279" spans="35:35">
      <c r="AI279" s="131"/>
    </row>
    <row r="280" spans="35:35">
      <c r="AI280" s="131"/>
    </row>
    <row r="281" spans="35:35">
      <c r="AI281" s="131"/>
    </row>
    <row r="282" spans="35:35">
      <c r="AI282" s="131"/>
    </row>
    <row r="283" spans="35:35">
      <c r="AI283" s="131"/>
    </row>
    <row r="284" spans="35:35">
      <c r="AI284" s="131"/>
    </row>
    <row r="285" spans="35:35">
      <c r="AI285" s="131"/>
    </row>
    <row r="286" spans="35:35">
      <c r="AI286" s="131"/>
    </row>
    <row r="287" spans="35:35">
      <c r="AI287" s="131"/>
    </row>
    <row r="288" spans="35:35">
      <c r="AI288" s="131"/>
    </row>
    <row r="289" spans="35:35">
      <c r="AI289" s="131"/>
    </row>
    <row r="290" spans="35:35">
      <c r="AI290" s="131"/>
    </row>
    <row r="291" spans="35:35">
      <c r="AI291" s="131"/>
    </row>
    <row r="292" spans="35:35">
      <c r="AI292" s="131"/>
    </row>
    <row r="293" spans="35:35">
      <c r="AI293" s="131"/>
    </row>
    <row r="294" spans="35:35">
      <c r="AI294" s="131"/>
    </row>
    <row r="295" spans="35:35">
      <c r="AI295" s="131"/>
    </row>
    <row r="296" spans="35:35">
      <c r="AI296" s="131"/>
    </row>
    <row r="297" spans="35:35">
      <c r="AI297" s="131"/>
    </row>
    <row r="298" spans="35:35">
      <c r="AI298" s="131"/>
    </row>
    <row r="299" spans="35:35">
      <c r="AI299" s="131"/>
    </row>
    <row r="300" spans="35:35">
      <c r="AI300" s="284"/>
    </row>
    <row r="301" spans="35:35">
      <c r="AI301" s="131"/>
    </row>
    <row r="303" spans="35:35">
      <c r="AI303" s="131"/>
    </row>
    <row r="304" spans="35:35">
      <c r="AI304" s="131"/>
    </row>
    <row r="305" spans="35:35">
      <c r="AI305" s="131"/>
    </row>
    <row r="306" spans="35:35">
      <c r="AI306" s="131"/>
    </row>
    <row r="307" spans="35:35">
      <c r="AI307" s="131"/>
    </row>
    <row r="308" spans="35:35">
      <c r="AI308" s="131"/>
    </row>
    <row r="309" spans="35:35">
      <c r="AI309" s="131"/>
    </row>
    <row r="310" spans="35:35">
      <c r="AI310" s="131"/>
    </row>
    <row r="311" spans="35:35">
      <c r="AI311" s="131"/>
    </row>
    <row r="312" spans="35:35">
      <c r="AI312" s="131"/>
    </row>
    <row r="313" spans="35:35">
      <c r="AI313" s="131"/>
    </row>
    <row r="314" spans="35:35">
      <c r="AI314" s="131"/>
    </row>
    <row r="315" spans="35:35">
      <c r="AI315" s="131"/>
    </row>
    <row r="316" spans="35:35">
      <c r="AI316" s="131"/>
    </row>
    <row r="317" spans="35:35">
      <c r="AI317" s="131"/>
    </row>
    <row r="318" spans="35:35">
      <c r="AI318" s="284"/>
    </row>
    <row r="319" spans="35:35">
      <c r="AI319" s="131"/>
    </row>
    <row r="320" spans="35:35">
      <c r="AI320" s="131"/>
    </row>
    <row r="321" spans="35:35">
      <c r="AI321" s="131"/>
    </row>
    <row r="322" spans="35:35">
      <c r="AI322" s="131"/>
    </row>
    <row r="323" spans="35:35">
      <c r="AI323" s="131"/>
    </row>
    <row r="324" spans="35:35">
      <c r="AI324" s="131"/>
    </row>
    <row r="325" spans="35:35">
      <c r="AI325" s="131"/>
    </row>
    <row r="326" spans="35:35">
      <c r="AI326" s="131"/>
    </row>
    <row r="327" spans="35:35">
      <c r="AI327" s="131"/>
    </row>
    <row r="328" spans="35:35">
      <c r="AI328" s="131"/>
    </row>
    <row r="329" spans="35:35">
      <c r="AI329" s="131"/>
    </row>
    <row r="330" spans="35:35">
      <c r="AI330" s="131"/>
    </row>
    <row r="331" spans="35:35">
      <c r="AI331" s="131"/>
    </row>
    <row r="332" spans="35:35">
      <c r="AI332" s="131"/>
    </row>
    <row r="333" spans="35:35">
      <c r="AI333" s="131"/>
    </row>
    <row r="334" spans="35:35">
      <c r="AI334" s="131"/>
    </row>
    <row r="335" spans="35:35">
      <c r="AI335" s="131"/>
    </row>
    <row r="336" spans="35:35">
      <c r="AI336" s="131"/>
    </row>
    <row r="337" spans="35:35">
      <c r="AI337" s="131"/>
    </row>
    <row r="338" spans="35:35">
      <c r="AI338" s="131"/>
    </row>
    <row r="339" spans="35:35">
      <c r="AI339" s="131"/>
    </row>
    <row r="340" spans="35:35">
      <c r="AI340" s="131"/>
    </row>
    <row r="341" spans="35:35">
      <c r="AI341" s="131"/>
    </row>
    <row r="342" spans="35:35">
      <c r="AI342" s="131"/>
    </row>
    <row r="343" spans="35:35">
      <c r="AI343" s="131"/>
    </row>
    <row r="344" spans="35:35">
      <c r="AI344" s="131"/>
    </row>
    <row r="345" spans="35:35">
      <c r="AI345" s="131"/>
    </row>
    <row r="346" spans="35:35">
      <c r="AI346" s="284"/>
    </row>
    <row r="347" spans="35:35">
      <c r="AI347" s="131"/>
    </row>
    <row r="348" spans="35:35">
      <c r="AI348" s="131"/>
    </row>
    <row r="349" spans="35:35">
      <c r="AI349" s="131"/>
    </row>
    <row r="350" spans="35:35">
      <c r="AI350" s="131"/>
    </row>
    <row r="351" spans="35:35">
      <c r="AI351" s="131"/>
    </row>
    <row r="352" spans="35:35">
      <c r="AI352" s="131"/>
    </row>
    <row r="353" spans="35:35">
      <c r="AI353" s="131"/>
    </row>
    <row r="354" spans="35:35">
      <c r="AI354" s="131"/>
    </row>
    <row r="355" spans="35:35">
      <c r="AI355" s="131"/>
    </row>
    <row r="356" spans="35:35">
      <c r="AI356" s="131"/>
    </row>
    <row r="357" spans="35:35">
      <c r="AI357" s="131"/>
    </row>
    <row r="358" spans="35:35">
      <c r="AI358" s="131"/>
    </row>
    <row r="359" spans="35:35">
      <c r="AI359" s="131"/>
    </row>
    <row r="360" spans="35:35">
      <c r="AI360" s="131"/>
    </row>
    <row r="361" spans="35:35">
      <c r="AI361" s="131"/>
    </row>
    <row r="362" spans="35:35">
      <c r="AI362" s="131"/>
    </row>
    <row r="363" spans="35:35">
      <c r="AI363" s="131"/>
    </row>
    <row r="364" spans="35:35">
      <c r="AI364" s="284"/>
    </row>
    <row r="365" spans="35:35">
      <c r="AI365" s="131"/>
    </row>
    <row r="366" spans="35:35">
      <c r="AI366" s="284"/>
    </row>
    <row r="367" spans="35:35">
      <c r="AI367" s="131"/>
    </row>
    <row r="368" spans="35:35">
      <c r="AI368" s="131"/>
    </row>
    <row r="369" spans="35:35">
      <c r="AI369" s="131"/>
    </row>
    <row r="370" spans="35:35">
      <c r="AI370" s="131"/>
    </row>
    <row r="371" spans="35:35">
      <c r="AI371" s="131"/>
    </row>
    <row r="372" spans="35:35">
      <c r="AI372" s="131"/>
    </row>
    <row r="373" spans="35:35">
      <c r="AI373" s="131"/>
    </row>
    <row r="374" spans="35:35">
      <c r="AI374" s="131"/>
    </row>
    <row r="375" spans="35:35">
      <c r="AI375" s="131"/>
    </row>
    <row r="376" spans="35:35">
      <c r="AI376" s="131"/>
    </row>
    <row r="377" spans="35:35">
      <c r="AI377" s="131"/>
    </row>
    <row r="378" spans="35:35">
      <c r="AI378" s="131"/>
    </row>
    <row r="379" spans="35:35">
      <c r="AI379" s="131"/>
    </row>
    <row r="380" spans="35:35">
      <c r="AI380" s="131"/>
    </row>
    <row r="381" spans="35:35">
      <c r="AI381" s="131"/>
    </row>
    <row r="382" spans="35:35">
      <c r="AI382" s="131"/>
    </row>
    <row r="383" spans="35:35">
      <c r="AI383" s="131"/>
    </row>
    <row r="384" spans="35:35">
      <c r="AI384" s="131"/>
    </row>
    <row r="385" spans="35:35">
      <c r="AI385" s="131"/>
    </row>
    <row r="386" spans="35:35">
      <c r="AI386" s="131"/>
    </row>
    <row r="387" spans="35:35">
      <c r="AI387" s="131"/>
    </row>
    <row r="388" spans="35:35">
      <c r="AI388" s="131"/>
    </row>
    <row r="389" spans="35:35">
      <c r="AI389" s="131"/>
    </row>
    <row r="390" spans="35:35">
      <c r="AI390" s="131"/>
    </row>
    <row r="391" spans="35:35">
      <c r="AI391" s="131"/>
    </row>
    <row r="392" spans="35:35">
      <c r="AI392" s="131"/>
    </row>
    <row r="393" spans="35:35">
      <c r="AI393" s="131"/>
    </row>
    <row r="394" spans="35:35">
      <c r="AI394" s="131"/>
    </row>
    <row r="395" spans="35:35">
      <c r="AI395" s="131"/>
    </row>
    <row r="396" spans="35:35">
      <c r="AI396" s="131"/>
    </row>
    <row r="397" spans="35:35">
      <c r="AI397" s="131"/>
    </row>
    <row r="398" spans="35:35">
      <c r="AI398" s="131"/>
    </row>
    <row r="399" spans="35:35">
      <c r="AI399" s="131"/>
    </row>
    <row r="400" spans="35:35">
      <c r="AI400" s="131"/>
    </row>
    <row r="401" spans="35:35">
      <c r="AI401" s="284"/>
    </row>
    <row r="402" spans="35:35">
      <c r="AI402" s="131"/>
    </row>
    <row r="403" spans="35:35">
      <c r="AI403" s="131"/>
    </row>
    <row r="404" spans="35:35">
      <c r="AI404" s="131"/>
    </row>
    <row r="405" spans="35:35">
      <c r="AI405" s="131"/>
    </row>
    <row r="406" spans="35:35">
      <c r="AI406" s="131"/>
    </row>
    <row r="407" spans="35:35">
      <c r="AI407" s="131"/>
    </row>
    <row r="408" spans="35:35">
      <c r="AI408" s="131"/>
    </row>
    <row r="409" spans="35:35">
      <c r="AI409" s="131"/>
    </row>
    <row r="410" spans="35:35">
      <c r="AI410" s="131"/>
    </row>
    <row r="411" spans="35:35">
      <c r="AI411" s="131"/>
    </row>
    <row r="412" spans="35:35">
      <c r="AI412" s="131"/>
    </row>
    <row r="413" spans="35:35">
      <c r="AI413" s="131"/>
    </row>
    <row r="414" spans="35:35">
      <c r="AI414" s="131"/>
    </row>
    <row r="415" spans="35:35">
      <c r="AI415" s="131"/>
    </row>
    <row r="416" spans="35:35">
      <c r="AI416" s="131"/>
    </row>
    <row r="417" spans="35:35">
      <c r="AI417" s="131"/>
    </row>
    <row r="418" spans="35:35">
      <c r="AI418" s="131"/>
    </row>
    <row r="419" spans="35:35">
      <c r="AI419" s="131"/>
    </row>
    <row r="420" spans="35:35">
      <c r="AI420" s="131"/>
    </row>
    <row r="421" spans="35:35">
      <c r="AI421" s="131"/>
    </row>
    <row r="422" spans="35:35">
      <c r="AI422" s="131"/>
    </row>
    <row r="423" spans="35:35">
      <c r="AI423" s="131"/>
    </row>
    <row r="424" spans="35:35">
      <c r="AI424" s="131"/>
    </row>
    <row r="425" spans="35:35">
      <c r="AI425" s="131"/>
    </row>
    <row r="426" spans="35:35">
      <c r="AI426" s="131"/>
    </row>
    <row r="427" spans="35:35">
      <c r="AI427" s="131"/>
    </row>
    <row r="428" spans="35:35">
      <c r="AI428" s="131"/>
    </row>
    <row r="429" spans="35:35">
      <c r="AI429" s="131"/>
    </row>
    <row r="430" spans="35:35">
      <c r="AI430" s="131"/>
    </row>
    <row r="431" spans="35:35">
      <c r="AI431" s="131"/>
    </row>
    <row r="432" spans="35:35">
      <c r="AI432" s="131"/>
    </row>
    <row r="433" spans="35:35">
      <c r="AI433" s="131"/>
    </row>
    <row r="434" spans="35:35">
      <c r="AI434" s="131"/>
    </row>
    <row r="435" spans="35:35">
      <c r="AI435" s="131"/>
    </row>
    <row r="436" spans="35:35">
      <c r="AI436" s="131"/>
    </row>
    <row r="437" spans="35:35">
      <c r="AI437" s="131"/>
    </row>
    <row r="438" spans="35:35">
      <c r="AI438" s="131"/>
    </row>
    <row r="439" spans="35:35">
      <c r="AI439" s="131"/>
    </row>
    <row r="440" spans="35:35">
      <c r="AI440" s="131"/>
    </row>
    <row r="441" spans="35:35">
      <c r="AI441" s="131"/>
    </row>
    <row r="442" spans="35:35">
      <c r="AI442" s="131"/>
    </row>
    <row r="443" spans="35:35">
      <c r="AI443" s="131"/>
    </row>
    <row r="444" spans="35:35">
      <c r="AI444" s="131"/>
    </row>
    <row r="445" spans="35:35">
      <c r="AI445" s="131"/>
    </row>
    <row r="446" spans="35:35">
      <c r="AI446" s="286"/>
    </row>
    <row r="447" spans="35:35">
      <c r="AI447" s="131"/>
    </row>
    <row r="448" spans="35:35">
      <c r="AI448" s="131"/>
    </row>
    <row r="449" spans="35:35">
      <c r="AI449" s="131"/>
    </row>
    <row r="450" spans="35:35">
      <c r="AI450" s="131"/>
    </row>
    <row r="451" spans="35:35">
      <c r="AI451" s="131"/>
    </row>
    <row r="452" spans="35:35">
      <c r="AI452" s="131"/>
    </row>
    <row r="453" spans="35:35">
      <c r="AI453" s="131"/>
    </row>
    <row r="454" spans="35:35">
      <c r="AI454" s="131"/>
    </row>
    <row r="455" spans="35:35">
      <c r="AI455" s="131"/>
    </row>
    <row r="456" spans="35:35">
      <c r="AI456" s="131"/>
    </row>
    <row r="457" spans="35:35">
      <c r="AI457" s="131"/>
    </row>
    <row r="458" spans="35:35">
      <c r="AI458" s="131"/>
    </row>
    <row r="459" spans="35:35">
      <c r="AI459" s="131"/>
    </row>
    <row r="460" spans="35:35">
      <c r="AI460" s="131"/>
    </row>
    <row r="461" spans="35:35">
      <c r="AI461" s="131"/>
    </row>
    <row r="462" spans="35:35">
      <c r="AI462" s="131"/>
    </row>
    <row r="463" spans="35:35">
      <c r="AI463" s="131"/>
    </row>
    <row r="464" spans="35:35">
      <c r="AI464" s="131"/>
    </row>
    <row r="465" spans="35:35">
      <c r="AI465" s="131"/>
    </row>
    <row r="466" spans="35:35">
      <c r="AI466" s="131"/>
    </row>
    <row r="467" spans="35:35">
      <c r="AI467" s="131"/>
    </row>
    <row r="468" spans="35:35">
      <c r="AI468" s="131"/>
    </row>
    <row r="469" spans="35:35">
      <c r="AI469" s="131"/>
    </row>
    <row r="470" spans="35:35">
      <c r="AI470" s="131"/>
    </row>
    <row r="471" spans="35:35">
      <c r="AI471" s="131"/>
    </row>
    <row r="472" spans="35:35">
      <c r="AI472" s="131"/>
    </row>
    <row r="473" spans="35:35">
      <c r="AI473" s="131"/>
    </row>
    <row r="474" spans="35:35">
      <c r="AI474" s="131"/>
    </row>
    <row r="475" spans="35:35">
      <c r="AI475" s="131"/>
    </row>
    <row r="476" spans="35:35">
      <c r="AI476" s="131"/>
    </row>
    <row r="477" spans="35:35">
      <c r="AI477" s="131"/>
    </row>
    <row r="478" spans="35:35">
      <c r="AI478" s="131"/>
    </row>
    <row r="479" spans="35:35">
      <c r="AI479" s="131"/>
    </row>
    <row r="480" spans="35:35">
      <c r="AI480" s="131"/>
    </row>
    <row r="481" spans="35:35">
      <c r="AI481" s="131"/>
    </row>
    <row r="482" spans="35:35">
      <c r="AI482" s="131"/>
    </row>
    <row r="483" spans="35:35">
      <c r="AI483" s="131"/>
    </row>
    <row r="484" spans="35:35">
      <c r="AI484" s="131"/>
    </row>
    <row r="485" spans="35:35">
      <c r="AI485" s="131"/>
    </row>
    <row r="486" spans="35:35">
      <c r="AI486" s="131"/>
    </row>
    <row r="487" spans="35:35">
      <c r="AI487" s="34"/>
    </row>
    <row r="488" spans="35:35">
      <c r="AI488" s="131"/>
    </row>
    <row r="489" spans="35:35">
      <c r="AI489" s="131"/>
    </row>
    <row r="490" spans="35:35">
      <c r="AI490" s="284"/>
    </row>
    <row r="491" spans="35:35">
      <c r="AI491" s="131"/>
    </row>
    <row r="492" spans="35:35">
      <c r="AI492" s="131"/>
    </row>
    <row r="493" spans="35:35">
      <c r="AI493" s="131"/>
    </row>
    <row r="494" spans="35:35">
      <c r="AI494" s="131"/>
    </row>
    <row r="495" spans="35:35">
      <c r="AI495" s="131"/>
    </row>
    <row r="496" spans="35:35">
      <c r="AI496" s="284"/>
    </row>
    <row r="497" spans="35:35">
      <c r="AI497" s="131"/>
    </row>
    <row r="498" spans="35:35">
      <c r="AI498" s="131"/>
    </row>
    <row r="499" spans="35:35">
      <c r="AI499" s="131"/>
    </row>
    <row r="500" spans="35:35">
      <c r="AI500" s="131"/>
    </row>
    <row r="501" spans="35:35">
      <c r="AI501" s="131"/>
    </row>
    <row r="502" spans="35:35">
      <c r="AI502" s="131"/>
    </row>
    <row r="503" spans="35:35">
      <c r="AI503" s="131"/>
    </row>
    <row r="504" spans="35:35">
      <c r="AI504" s="131"/>
    </row>
    <row r="505" spans="35:35">
      <c r="AI505" s="131"/>
    </row>
    <row r="506" spans="35:35">
      <c r="AI506" s="131"/>
    </row>
    <row r="507" spans="35:35">
      <c r="AI507" s="284"/>
    </row>
    <row r="508" spans="35:35">
      <c r="AI508" s="131"/>
    </row>
    <row r="509" spans="35:35">
      <c r="AI509" s="131"/>
    </row>
    <row r="510" spans="35:35">
      <c r="AI510" s="131"/>
    </row>
    <row r="511" spans="35:35">
      <c r="AI511" s="131"/>
    </row>
    <row r="512" spans="35:35">
      <c r="AI512" s="131"/>
    </row>
    <row r="513" spans="35:35">
      <c r="AI513" s="131"/>
    </row>
    <row r="514" spans="35:35">
      <c r="AI514" s="131"/>
    </row>
    <row r="515" spans="35:35">
      <c r="AI515" s="131"/>
    </row>
    <row r="516" spans="35:35">
      <c r="AI516" s="131"/>
    </row>
    <row r="517" spans="35:35">
      <c r="AI517" s="284"/>
    </row>
    <row r="518" spans="35:35">
      <c r="AI518" s="131"/>
    </row>
    <row r="519" spans="35:35">
      <c r="AI519" s="131"/>
    </row>
    <row r="520" spans="35:35">
      <c r="AI520" s="131"/>
    </row>
    <row r="521" spans="35:35">
      <c r="AI521" s="131"/>
    </row>
    <row r="522" spans="35:35">
      <c r="AI522" s="131"/>
    </row>
    <row r="523" spans="35:35">
      <c r="AI523" s="131"/>
    </row>
    <row r="524" spans="35:35">
      <c r="AI524" s="131"/>
    </row>
    <row r="525" spans="35:35">
      <c r="AI525" s="284"/>
    </row>
    <row r="526" spans="35:35">
      <c r="AI526" s="131"/>
    </row>
    <row r="527" spans="35:35">
      <c r="AI527" s="131"/>
    </row>
    <row r="528" spans="35:35">
      <c r="AI528" s="131"/>
    </row>
    <row r="529" spans="35:35">
      <c r="AI529" s="131"/>
    </row>
    <row r="530" spans="35:35">
      <c r="AI530" s="131"/>
    </row>
    <row r="531" spans="35:35">
      <c r="AI531" s="131"/>
    </row>
    <row r="532" spans="35:35">
      <c r="AI532" s="131"/>
    </row>
    <row r="533" spans="35:35">
      <c r="AI533" s="131"/>
    </row>
    <row r="534" spans="35:35">
      <c r="AI534" s="131"/>
    </row>
    <row r="535" spans="35:35">
      <c r="AI535" s="284"/>
    </row>
    <row r="536" spans="35:35">
      <c r="AI536" s="131"/>
    </row>
    <row r="537" spans="35:35">
      <c r="AI537" s="131"/>
    </row>
    <row r="538" spans="35:35">
      <c r="AI538" s="131"/>
    </row>
    <row r="539" spans="35:35">
      <c r="AI539" s="131"/>
    </row>
    <row r="540" spans="35:35">
      <c r="AI540" s="131"/>
    </row>
    <row r="541" spans="35:35">
      <c r="AI541" s="131"/>
    </row>
    <row r="542" spans="35:35">
      <c r="AI542" s="131"/>
    </row>
    <row r="543" spans="35:35">
      <c r="AI543" s="131"/>
    </row>
    <row r="544" spans="35:35">
      <c r="AI544" s="131"/>
    </row>
    <row r="545" spans="35:35">
      <c r="AI545" s="131"/>
    </row>
    <row r="546" spans="35:35">
      <c r="AI546" s="131"/>
    </row>
    <row r="547" spans="35:35">
      <c r="AI547" s="131"/>
    </row>
    <row r="548" spans="35:35">
      <c r="AI548" s="131"/>
    </row>
    <row r="549" spans="35:35">
      <c r="AI549" s="131"/>
    </row>
    <row r="550" spans="35:35">
      <c r="AI550" s="131"/>
    </row>
    <row r="551" spans="35:35">
      <c r="AI551" s="131"/>
    </row>
    <row r="552" spans="35:35">
      <c r="AI552" s="131"/>
    </row>
    <row r="553" spans="35:35">
      <c r="AI553" s="131"/>
    </row>
    <row r="554" spans="35:35">
      <c r="AI554" s="131"/>
    </row>
    <row r="555" spans="35:35">
      <c r="AI555" s="131"/>
    </row>
    <row r="556" spans="35:35">
      <c r="AI556" s="284"/>
    </row>
    <row r="557" spans="35:35">
      <c r="AI557" s="131"/>
    </row>
    <row r="558" spans="35:35">
      <c r="AI558" s="131"/>
    </row>
    <row r="559" spans="35:35">
      <c r="AI559" s="131"/>
    </row>
    <row r="561" spans="35:35">
      <c r="AI561" s="131"/>
    </row>
    <row r="562" spans="35:35">
      <c r="AI562" s="131"/>
    </row>
    <row r="563" spans="35:35">
      <c r="AI563" s="131"/>
    </row>
    <row r="564" spans="35:35">
      <c r="AI564" s="131"/>
    </row>
    <row r="565" spans="35:35">
      <c r="AI565" s="131"/>
    </row>
    <row r="566" spans="35:35">
      <c r="AI566" s="131"/>
    </row>
    <row r="567" spans="35:35">
      <c r="AI567" s="131"/>
    </row>
    <row r="568" spans="35:35">
      <c r="AI568" s="131"/>
    </row>
    <row r="569" spans="35:35">
      <c r="AI569" s="284"/>
    </row>
    <row r="570" spans="35:35">
      <c r="AI570" s="131"/>
    </row>
    <row r="571" spans="35:35">
      <c r="AI571" s="131"/>
    </row>
    <row r="572" spans="35:35">
      <c r="AI572" s="131"/>
    </row>
    <row r="573" spans="35:35">
      <c r="AI573" s="284"/>
    </row>
    <row r="574" spans="35:35">
      <c r="AI574" s="131"/>
    </row>
    <row r="575" spans="35:35">
      <c r="AI575" s="131"/>
    </row>
    <row r="576" spans="35:35">
      <c r="AI576" s="131"/>
    </row>
    <row r="577" spans="35:35">
      <c r="AI577" s="131"/>
    </row>
    <row r="578" spans="35:35">
      <c r="AI578" s="131"/>
    </row>
    <row r="579" spans="35:35">
      <c r="AI579" s="131"/>
    </row>
    <row r="580" spans="35:35">
      <c r="AI580" s="131"/>
    </row>
    <row r="581" spans="35:35">
      <c r="AI581" s="131"/>
    </row>
    <row r="582" spans="35:35">
      <c r="AI582" s="131"/>
    </row>
    <row r="583" spans="35:35">
      <c r="AI583" s="131"/>
    </row>
    <row r="584" spans="35:35">
      <c r="AI584" s="131"/>
    </row>
    <row r="585" spans="35:35">
      <c r="AI585" s="131"/>
    </row>
    <row r="586" spans="35:35">
      <c r="AI586" s="131"/>
    </row>
    <row r="587" spans="35:35">
      <c r="AI587" s="131"/>
    </row>
    <row r="588" spans="35:35">
      <c r="AI588" s="131"/>
    </row>
    <row r="589" spans="35:35">
      <c r="AI589" s="131"/>
    </row>
    <row r="590" spans="35:35">
      <c r="AI590" s="131"/>
    </row>
    <row r="591" spans="35:35">
      <c r="AI591" s="131"/>
    </row>
    <row r="592" spans="35:35">
      <c r="AI592" s="131"/>
    </row>
    <row r="593" spans="35:35">
      <c r="AI593" s="131"/>
    </row>
    <row r="594" spans="35:35">
      <c r="AI594" s="131"/>
    </row>
    <row r="595" spans="35:35">
      <c r="AI595" s="131"/>
    </row>
    <row r="596" spans="35:35">
      <c r="AI596" s="131"/>
    </row>
    <row r="597" spans="35:35">
      <c r="AI597" s="131"/>
    </row>
    <row r="598" spans="35:35">
      <c r="AI598" s="131"/>
    </row>
    <row r="599" spans="35:35">
      <c r="AI599" s="131"/>
    </row>
    <row r="600" spans="35:35">
      <c r="AI600" s="131"/>
    </row>
    <row r="601" spans="35:35">
      <c r="AI601" s="131"/>
    </row>
    <row r="602" spans="35:35">
      <c r="AI602" s="131"/>
    </row>
    <row r="603" spans="35:35">
      <c r="AI603" s="131"/>
    </row>
    <row r="604" spans="35:35">
      <c r="AI604" s="131"/>
    </row>
    <row r="605" spans="35:35">
      <c r="AI605" s="131"/>
    </row>
    <row r="606" spans="35:35">
      <c r="AI606" s="131"/>
    </row>
    <row r="607" spans="35:35">
      <c r="AI607" s="131"/>
    </row>
    <row r="608" spans="35:35">
      <c r="AI608" s="131"/>
    </row>
    <row r="609" spans="35:35">
      <c r="AI609" s="131"/>
    </row>
    <row r="610" spans="35:35">
      <c r="AI610" s="131"/>
    </row>
    <row r="611" spans="35:35">
      <c r="AI611" s="131"/>
    </row>
    <row r="612" spans="35:35">
      <c r="AI612" s="131"/>
    </row>
    <row r="613" spans="35:35">
      <c r="AI613" s="131"/>
    </row>
    <row r="614" spans="35:35">
      <c r="AI614" s="131"/>
    </row>
    <row r="615" spans="35:35">
      <c r="AI615" s="131"/>
    </row>
    <row r="616" spans="35:35">
      <c r="AI616" s="131"/>
    </row>
    <row r="617" spans="35:35">
      <c r="AI617" s="131"/>
    </row>
    <row r="618" spans="35:35">
      <c r="AI618" s="28"/>
    </row>
    <row r="619" spans="35:35">
      <c r="AI619" s="131"/>
    </row>
    <row r="620" spans="35:35">
      <c r="AI620" s="131"/>
    </row>
    <row r="621" spans="35:35">
      <c r="AI621" s="131"/>
    </row>
    <row r="622" spans="35:35">
      <c r="AI622" s="131"/>
    </row>
    <row r="623" spans="35:35">
      <c r="AI623" s="131"/>
    </row>
    <row r="624" spans="35:35">
      <c r="AI624" s="131"/>
    </row>
    <row r="625" spans="35:35">
      <c r="AI625" s="131"/>
    </row>
    <row r="626" spans="35:35">
      <c r="AI626" s="131"/>
    </row>
    <row r="627" spans="35:35">
      <c r="AI627" s="131"/>
    </row>
    <row r="628" spans="35:35">
      <c r="AI628" s="131"/>
    </row>
    <row r="629" spans="35:35">
      <c r="AI629" s="131"/>
    </row>
    <row r="630" spans="35:35">
      <c r="AI630" s="131"/>
    </row>
    <row r="631" spans="35:35">
      <c r="AI631" s="131"/>
    </row>
    <row r="632" spans="35:35">
      <c r="AI632" s="131"/>
    </row>
    <row r="633" spans="35:35">
      <c r="AI633" s="131"/>
    </row>
    <row r="634" spans="35:35">
      <c r="AI634" s="131"/>
    </row>
    <row r="635" spans="35:35">
      <c r="AI635" s="131"/>
    </row>
    <row r="636" spans="35:35">
      <c r="AI636" s="131"/>
    </row>
    <row r="637" spans="35:35">
      <c r="AI637" s="131"/>
    </row>
    <row r="638" spans="35:35">
      <c r="AI638" s="131"/>
    </row>
    <row r="639" spans="35:35">
      <c r="AI639" s="131"/>
    </row>
    <row r="640" spans="35:35">
      <c r="AI640" s="131"/>
    </row>
    <row r="641" spans="35:35">
      <c r="AI641" s="131"/>
    </row>
    <row r="642" spans="35:35">
      <c r="AI642" s="131"/>
    </row>
    <row r="643" spans="35:35">
      <c r="AI643" s="131"/>
    </row>
    <row r="644" spans="35:35">
      <c r="AI644" s="131"/>
    </row>
    <row r="645" spans="35:35">
      <c r="AI645" s="131"/>
    </row>
    <row r="646" spans="35:35">
      <c r="AI646" s="131"/>
    </row>
    <row r="647" spans="35:35">
      <c r="AI647" s="131"/>
    </row>
    <row r="648" spans="35:35">
      <c r="AI648" s="131"/>
    </row>
    <row r="649" spans="35:35">
      <c r="AI649" s="131"/>
    </row>
    <row r="650" spans="35:35">
      <c r="AI650" s="131"/>
    </row>
    <row r="651" spans="35:35">
      <c r="AI651" s="284"/>
    </row>
    <row r="652" spans="35:35">
      <c r="AI652" s="284"/>
    </row>
    <row r="653" spans="35:35">
      <c r="AI653" s="131"/>
    </row>
    <row r="654" spans="35:35">
      <c r="AI654" s="131"/>
    </row>
    <row r="655" spans="35:35">
      <c r="AI655" s="131"/>
    </row>
    <row r="656" spans="35:35">
      <c r="AI656" s="131"/>
    </row>
    <row r="657" spans="35:35">
      <c r="AI657" s="131"/>
    </row>
    <row r="658" spans="35:35">
      <c r="AI658" s="131"/>
    </row>
    <row r="659" spans="35:35">
      <c r="AI659" s="131"/>
    </row>
    <row r="660" spans="35:35">
      <c r="AI660" s="131"/>
    </row>
    <row r="661" spans="35:35">
      <c r="AI661" s="131"/>
    </row>
    <row r="662" spans="35:35">
      <c r="AI662" s="131"/>
    </row>
    <row r="663" spans="35:35">
      <c r="AI663" s="131"/>
    </row>
    <row r="664" spans="35:35">
      <c r="AI664" s="131"/>
    </row>
    <row r="665" spans="35:35">
      <c r="AI665" s="131"/>
    </row>
    <row r="666" spans="35:35">
      <c r="AI666" s="131"/>
    </row>
    <row r="667" spans="35:35">
      <c r="AI667" s="131"/>
    </row>
    <row r="668" spans="35:35">
      <c r="AI668" s="131"/>
    </row>
    <row r="669" spans="35:35">
      <c r="AI669" s="131"/>
    </row>
    <row r="670" spans="35:35">
      <c r="AI670" s="131"/>
    </row>
    <row r="671" spans="35:35">
      <c r="AI671" s="131"/>
    </row>
    <row r="672" spans="35:35">
      <c r="AI672" s="131"/>
    </row>
    <row r="673" spans="35:35">
      <c r="AI673" s="131"/>
    </row>
    <row r="674" spans="35:35">
      <c r="AI674" s="131"/>
    </row>
    <row r="675" spans="35:35">
      <c r="AI675" s="131"/>
    </row>
    <row r="676" spans="35:35">
      <c r="AI676" s="131"/>
    </row>
    <row r="677" spans="35:35">
      <c r="AI677" s="131"/>
    </row>
    <row r="678" spans="35:35">
      <c r="AI678" s="131"/>
    </row>
    <row r="679" spans="35:35">
      <c r="AI679" s="131"/>
    </row>
    <row r="680" spans="35:35">
      <c r="AI680" s="131"/>
    </row>
    <row r="681" spans="35:35">
      <c r="AI681" s="131"/>
    </row>
    <row r="682" spans="35:35">
      <c r="AI682" s="131"/>
    </row>
    <row r="683" spans="35:35">
      <c r="AI683" s="131"/>
    </row>
    <row r="684" spans="35:35">
      <c r="AI684" s="131"/>
    </row>
    <row r="685" spans="35:35">
      <c r="AI685" s="131"/>
    </row>
    <row r="686" spans="35:35">
      <c r="AI686" s="131"/>
    </row>
    <row r="687" spans="35:35">
      <c r="AI687" s="131"/>
    </row>
    <row r="688" spans="35:35">
      <c r="AI688" s="131"/>
    </row>
    <row r="689" spans="35:35">
      <c r="AI689" s="131"/>
    </row>
    <row r="690" spans="35:35">
      <c r="AI690" s="131"/>
    </row>
    <row r="691" spans="35:35">
      <c r="AI691" s="284"/>
    </row>
    <row r="692" spans="35:35">
      <c r="AI692" s="131"/>
    </row>
    <row r="693" spans="35:35">
      <c r="AI693" s="131"/>
    </row>
    <row r="694" spans="35:35">
      <c r="AI694" s="131"/>
    </row>
    <row r="695" spans="35:35">
      <c r="AI695" s="131"/>
    </row>
    <row r="696" spans="35:35">
      <c r="AI696" s="131"/>
    </row>
    <row r="697" spans="35:35">
      <c r="AI697" s="131"/>
    </row>
    <row r="698" spans="35:35">
      <c r="AI698" s="131"/>
    </row>
    <row r="699" spans="35:35">
      <c r="AI699" s="131"/>
    </row>
    <row r="700" spans="35:35">
      <c r="AI700" s="131"/>
    </row>
    <row r="701" spans="35:35">
      <c r="AI701" s="131"/>
    </row>
    <row r="702" spans="35:35">
      <c r="AI702" s="131"/>
    </row>
    <row r="703" spans="35:35">
      <c r="AI703" s="131"/>
    </row>
    <row r="704" spans="35:35">
      <c r="AI704" s="131"/>
    </row>
    <row r="705" spans="35:35">
      <c r="AI705" s="131"/>
    </row>
    <row r="706" spans="35:35">
      <c r="AI706" s="131"/>
    </row>
    <row r="707" spans="35:35">
      <c r="AI707" s="131"/>
    </row>
    <row r="708" spans="35:35">
      <c r="AI708" s="131"/>
    </row>
    <row r="709" spans="35:35">
      <c r="AI709" s="131"/>
    </row>
    <row r="710" spans="35:35">
      <c r="AI710" s="131"/>
    </row>
    <row r="711" spans="35:35">
      <c r="AI711" s="131"/>
    </row>
    <row r="712" spans="35:35">
      <c r="AI712" s="131"/>
    </row>
    <row r="713" spans="35:35">
      <c r="AI713" s="131"/>
    </row>
    <row r="714" spans="35:35">
      <c r="AI714" s="131"/>
    </row>
    <row r="715" spans="35:35">
      <c r="AI715" s="131"/>
    </row>
    <row r="716" spans="35:35">
      <c r="AI716" s="131"/>
    </row>
    <row r="717" spans="35:35">
      <c r="AI717" s="131"/>
    </row>
    <row r="718" spans="35:35">
      <c r="AI718" s="131"/>
    </row>
    <row r="719" spans="35:35">
      <c r="AI719" s="131"/>
    </row>
    <row r="720" spans="35:35">
      <c r="AI720" s="131"/>
    </row>
    <row r="721" spans="35:35">
      <c r="AI721" s="131"/>
    </row>
    <row r="722" spans="35:35">
      <c r="AI722" s="131"/>
    </row>
    <row r="723" spans="35:35">
      <c r="AI723" s="131"/>
    </row>
    <row r="724" spans="35:35">
      <c r="AI724" s="131"/>
    </row>
    <row r="725" spans="35:35">
      <c r="AI725" s="131"/>
    </row>
    <row r="726" spans="35:35">
      <c r="AI726" s="131"/>
    </row>
    <row r="727" spans="35:35">
      <c r="AI727" s="131"/>
    </row>
    <row r="728" spans="35:35">
      <c r="AI728" s="131"/>
    </row>
    <row r="729" spans="35:35">
      <c r="AI729" s="131"/>
    </row>
    <row r="730" spans="35:35">
      <c r="AI730" s="131"/>
    </row>
    <row r="731" spans="35:35">
      <c r="AI731" s="131"/>
    </row>
    <row r="732" spans="35:35">
      <c r="AI732" s="131"/>
    </row>
    <row r="733" spans="35:35">
      <c r="AI733" s="131"/>
    </row>
    <row r="734" spans="35:35">
      <c r="AI734" s="131"/>
    </row>
    <row r="735" spans="35:35">
      <c r="AI735" s="131"/>
    </row>
    <row r="736" spans="35:35">
      <c r="AI736" s="131"/>
    </row>
    <row r="737" spans="35:35">
      <c r="AI737" s="131"/>
    </row>
    <row r="738" spans="35:35">
      <c r="AI738" s="131"/>
    </row>
    <row r="739" spans="35:35">
      <c r="AI739" s="131"/>
    </row>
    <row r="740" spans="35:35">
      <c r="AI740" s="131"/>
    </row>
    <row r="741" spans="35:35">
      <c r="AI741" s="131"/>
    </row>
    <row r="742" spans="35:35">
      <c r="AI742" s="131"/>
    </row>
    <row r="743" spans="35:35">
      <c r="AI743" s="131"/>
    </row>
    <row r="744" spans="35:35">
      <c r="AI744" s="131"/>
    </row>
    <row r="745" spans="35:35">
      <c r="AI745" s="131"/>
    </row>
    <row r="746" spans="35:35">
      <c r="AI746" s="131"/>
    </row>
    <row r="747" spans="35:35">
      <c r="AI747" s="131"/>
    </row>
    <row r="748" spans="35:35">
      <c r="AI748" s="131"/>
    </row>
    <row r="749" spans="35:35">
      <c r="AI749" s="284"/>
    </row>
    <row r="750" spans="35:35">
      <c r="AI750" s="131"/>
    </row>
    <row r="751" spans="35:35">
      <c r="AI751" s="131"/>
    </row>
    <row r="752" spans="35:35">
      <c r="AI752" s="131"/>
    </row>
    <row r="753" spans="35:35">
      <c r="AI753" s="131"/>
    </row>
    <row r="754" spans="35:35">
      <c r="AI754" s="131"/>
    </row>
    <row r="755" spans="35:35">
      <c r="AI755" s="131"/>
    </row>
    <row r="756" spans="35:35">
      <c r="AI756" s="131"/>
    </row>
    <row r="757" spans="35:35">
      <c r="AI757" s="131"/>
    </row>
    <row r="758" spans="35:35">
      <c r="AI758" s="131"/>
    </row>
    <row r="759" spans="35:35">
      <c r="AI759" s="131"/>
    </row>
    <row r="760" spans="35:35">
      <c r="AI760" s="131"/>
    </row>
    <row r="761" spans="35:35">
      <c r="AI761" s="131"/>
    </row>
    <row r="762" spans="35:35">
      <c r="AI762" s="131"/>
    </row>
    <row r="763" spans="35:35">
      <c r="AI763" s="131"/>
    </row>
    <row r="764" spans="35:35">
      <c r="AI764" s="131"/>
    </row>
    <row r="765" spans="35:35">
      <c r="AI765" s="131"/>
    </row>
    <row r="766" spans="35:35">
      <c r="AI766" s="131"/>
    </row>
    <row r="767" spans="35:35">
      <c r="AI767" s="131"/>
    </row>
    <row r="768" spans="35:35">
      <c r="AI768" s="131"/>
    </row>
    <row r="769" spans="35:35">
      <c r="AI769" s="131"/>
    </row>
    <row r="770" spans="35:35">
      <c r="AI770" s="131"/>
    </row>
    <row r="771" spans="35:35">
      <c r="AI771" s="131"/>
    </row>
    <row r="772" spans="35:35">
      <c r="AI772" s="131"/>
    </row>
    <row r="773" spans="35:35">
      <c r="AI773" s="131"/>
    </row>
    <row r="774" spans="35:35">
      <c r="AI774" s="131"/>
    </row>
    <row r="775" spans="35:35">
      <c r="AI775" s="131"/>
    </row>
    <row r="776" spans="35:35">
      <c r="AI776" s="131"/>
    </row>
    <row r="777" spans="35:35">
      <c r="AI777" s="131"/>
    </row>
    <row r="778" spans="35:35">
      <c r="AI778" s="131"/>
    </row>
    <row r="779" spans="35:35">
      <c r="AI779" s="131"/>
    </row>
    <row r="780" spans="35:35">
      <c r="AI780" s="131"/>
    </row>
    <row r="781" spans="35:35">
      <c r="AI781" s="131"/>
    </row>
    <row r="782" spans="35:35">
      <c r="AI782" s="131"/>
    </row>
    <row r="783" spans="35:35">
      <c r="AI783" s="131"/>
    </row>
    <row r="784" spans="35:35">
      <c r="AI784" s="131"/>
    </row>
    <row r="785" spans="35:35">
      <c r="AI785" s="131"/>
    </row>
    <row r="786" spans="35:35">
      <c r="AI786" s="131"/>
    </row>
    <row r="787" spans="35:35">
      <c r="AI787" s="131"/>
    </row>
    <row r="788" spans="35:35">
      <c r="AI788" s="131"/>
    </row>
    <row r="789" spans="35:35">
      <c r="AI789" s="131"/>
    </row>
    <row r="790" spans="35:35">
      <c r="AI790" s="131"/>
    </row>
    <row r="791" spans="35:35">
      <c r="AI791" s="131"/>
    </row>
    <row r="792" spans="35:35">
      <c r="AI792" s="131"/>
    </row>
    <row r="793" spans="35:35">
      <c r="AI793" s="131"/>
    </row>
    <row r="794" spans="35:35">
      <c r="AI794" s="131"/>
    </row>
    <row r="795" spans="35:35">
      <c r="AI795" s="131"/>
    </row>
    <row r="796" spans="35:35">
      <c r="AI796" s="131"/>
    </row>
    <row r="797" spans="35:35">
      <c r="AI797" s="131"/>
    </row>
    <row r="798" spans="35:35">
      <c r="AI798" s="131"/>
    </row>
    <row r="799" spans="35:35">
      <c r="AI799" s="131"/>
    </row>
    <row r="800" spans="35:35">
      <c r="AI800" s="131"/>
    </row>
    <row r="801" spans="35:35">
      <c r="AI801" s="131"/>
    </row>
    <row r="802" spans="35:35">
      <c r="AI802" s="131"/>
    </row>
    <row r="803" spans="35:35">
      <c r="AI803" s="131"/>
    </row>
    <row r="804" spans="35:35">
      <c r="AI804" s="131"/>
    </row>
    <row r="805" spans="35:35">
      <c r="AI805" s="131"/>
    </row>
    <row r="806" spans="35:35">
      <c r="AI806" s="284"/>
    </row>
    <row r="807" spans="35:35">
      <c r="AI807" s="131"/>
    </row>
    <row r="808" spans="35:35">
      <c r="AI808" s="131"/>
    </row>
    <row r="809" spans="35:35">
      <c r="AI809" s="131"/>
    </row>
    <row r="810" spans="35:35">
      <c r="AI810" s="131"/>
    </row>
    <row r="811" spans="35:35">
      <c r="AI811" s="131"/>
    </row>
    <row r="812" spans="35:35">
      <c r="AI812" s="131"/>
    </row>
    <row r="813" spans="35:35">
      <c r="AI813" s="131"/>
    </row>
    <row r="814" spans="35:35">
      <c r="AI814" s="131"/>
    </row>
    <row r="815" spans="35:35">
      <c r="AI815" s="131"/>
    </row>
    <row r="816" spans="35:35">
      <c r="AI816" s="131"/>
    </row>
    <row r="817" spans="35:35">
      <c r="AI817" s="131"/>
    </row>
    <row r="818" spans="35:35">
      <c r="AI818" s="131"/>
    </row>
    <row r="819" spans="35:35">
      <c r="AI819" s="131"/>
    </row>
    <row r="820" spans="35:35">
      <c r="AI820" s="131"/>
    </row>
    <row r="821" spans="35:35">
      <c r="AI821" s="131"/>
    </row>
    <row r="822" spans="35:35">
      <c r="AI822" s="131"/>
    </row>
    <row r="823" spans="35:35">
      <c r="AI823" s="131"/>
    </row>
    <row r="824" spans="35:35">
      <c r="AI824" s="131"/>
    </row>
    <row r="825" spans="35:35">
      <c r="AI825" s="131"/>
    </row>
    <row r="826" spans="35:35">
      <c r="AI826" s="131"/>
    </row>
    <row r="827" spans="35:35">
      <c r="AI827" s="131"/>
    </row>
    <row r="828" spans="35:35">
      <c r="AI828" s="131"/>
    </row>
    <row r="829" spans="35:35">
      <c r="AI829" s="131"/>
    </row>
    <row r="830" spans="35:35">
      <c r="AI830" s="131"/>
    </row>
    <row r="831" spans="35:35">
      <c r="AI831" s="131"/>
    </row>
    <row r="832" spans="35:35">
      <c r="AI832" s="131"/>
    </row>
    <row r="833" spans="35:35">
      <c r="AI833" s="131"/>
    </row>
    <row r="834" spans="35:35">
      <c r="AI834" s="253"/>
    </row>
    <row r="835" spans="35:35">
      <c r="AI835" s="131"/>
    </row>
    <row r="836" spans="35:35">
      <c r="AI836" s="131"/>
    </row>
    <row r="837" spans="35:35">
      <c r="AI837" s="131"/>
    </row>
    <row r="838" spans="35:35">
      <c r="AI838" s="131"/>
    </row>
    <row r="839" spans="35:35">
      <c r="AI839" s="131"/>
    </row>
    <row r="840" spans="35:35">
      <c r="AI840" s="131"/>
    </row>
    <row r="841" spans="35:35">
      <c r="AI841" s="131"/>
    </row>
    <row r="842" spans="35:35">
      <c r="AI842" s="131"/>
    </row>
    <row r="843" spans="35:35">
      <c r="AI843" s="131"/>
    </row>
    <row r="844" spans="35:35">
      <c r="AI844" s="131"/>
    </row>
    <row r="845" spans="35:35">
      <c r="AI845" s="131"/>
    </row>
    <row r="846" spans="35:35">
      <c r="AI846" s="131"/>
    </row>
    <row r="847" spans="35:35">
      <c r="AI847" s="131"/>
    </row>
    <row r="848" spans="35:35">
      <c r="AI848" s="284"/>
    </row>
    <row r="849" spans="35:35">
      <c r="AI849" s="131"/>
    </row>
    <row r="850" spans="35:35">
      <c r="AI850" s="131"/>
    </row>
    <row r="851" spans="35:35">
      <c r="AI851" s="131"/>
    </row>
    <row r="852" spans="35:35">
      <c r="AI852" s="131"/>
    </row>
    <row r="853" spans="35:35">
      <c r="AI853" s="131"/>
    </row>
    <row r="854" spans="35:35">
      <c r="AI854" s="131"/>
    </row>
    <row r="855" spans="35:35">
      <c r="AI855" s="131"/>
    </row>
    <row r="856" spans="35:35">
      <c r="AI856" s="131"/>
    </row>
    <row r="858" spans="35:35">
      <c r="AI858" s="131"/>
    </row>
    <row r="859" spans="35:35">
      <c r="AI859" s="131"/>
    </row>
    <row r="860" spans="35:35">
      <c r="AI860" s="284"/>
    </row>
    <row r="861" spans="35:35">
      <c r="AI861" s="131"/>
    </row>
    <row r="862" spans="35:35">
      <c r="AI862" s="284"/>
    </row>
    <row r="863" spans="35:35">
      <c r="AI863" s="131"/>
    </row>
    <row r="864" spans="35:35">
      <c r="AI864" s="131"/>
    </row>
    <row r="865" spans="35:35">
      <c r="AI865" s="131"/>
    </row>
    <row r="866" spans="35:35">
      <c r="AI866" s="284"/>
    </row>
    <row r="867" spans="35:35">
      <c r="AI867" s="128"/>
    </row>
    <row r="869" spans="35:35">
      <c r="AI869" s="131"/>
    </row>
    <row r="870" spans="35:35">
      <c r="AI870" s="284"/>
    </row>
    <row r="871" spans="35:35">
      <c r="AI871" s="131"/>
    </row>
    <row r="872" spans="35:35">
      <c r="AI872" s="131"/>
    </row>
    <row r="873" spans="35:35">
      <c r="AI873" s="284"/>
    </row>
    <row r="874" spans="35:35">
      <c r="AI874" s="131"/>
    </row>
    <row r="875" spans="35:35">
      <c r="AI875" s="131"/>
    </row>
    <row r="876" spans="35:35">
      <c r="AI876" s="131"/>
    </row>
    <row r="877" spans="35:35">
      <c r="AI877" s="131"/>
    </row>
    <row r="878" spans="35:35">
      <c r="AI878" s="131"/>
    </row>
    <row r="879" spans="35:35">
      <c r="AI879" s="284"/>
    </row>
    <row r="880" spans="35:35">
      <c r="AI880" s="131"/>
    </row>
    <row r="881" spans="35:35">
      <c r="AI881" s="131"/>
    </row>
    <row r="882" spans="35:35">
      <c r="AI882" s="131"/>
    </row>
    <row r="883" spans="35:35">
      <c r="AI883" s="131"/>
    </row>
    <row r="885" spans="35:35">
      <c r="AI885" s="284"/>
    </row>
    <row r="886" spans="35:35">
      <c r="AI886" s="131"/>
    </row>
    <row r="887" spans="35:35">
      <c r="AI887" s="131"/>
    </row>
    <row r="888" spans="35:35">
      <c r="AI888" s="131"/>
    </row>
    <row r="889" spans="35:35">
      <c r="AI889" s="131"/>
    </row>
    <row r="890" spans="35:35">
      <c r="AI890" s="131"/>
    </row>
    <row r="891" spans="35:35">
      <c r="AI891" s="131"/>
    </row>
    <row r="892" spans="35:35">
      <c r="AI892" s="131"/>
    </row>
    <row r="893" spans="35:35">
      <c r="AI893" s="131"/>
    </row>
    <row r="894" spans="35:35">
      <c r="AI894" s="27"/>
    </row>
    <row r="895" spans="35:35">
      <c r="AI895" s="131"/>
    </row>
    <row r="896" spans="35:35">
      <c r="AI896" s="131"/>
    </row>
    <row r="897" spans="35:35">
      <c r="AI897" s="131"/>
    </row>
    <row r="898" spans="35:35">
      <c r="AI898" s="131"/>
    </row>
    <row r="899" spans="35:35">
      <c r="AI899" s="131"/>
    </row>
    <row r="900" spans="35:35">
      <c r="AI900" s="131"/>
    </row>
    <row r="901" spans="35:35">
      <c r="AI901" s="131"/>
    </row>
    <row r="902" spans="35:35">
      <c r="AI902" s="284"/>
    </row>
    <row r="903" spans="35:35">
      <c r="AI903" s="131"/>
    </row>
    <row r="904" spans="35:35">
      <c r="AI904" s="131"/>
    </row>
    <row r="905" spans="35:35">
      <c r="AI905" s="131"/>
    </row>
    <row r="906" spans="35:35">
      <c r="AI906" s="131"/>
    </row>
    <row r="907" spans="35:35">
      <c r="AI907" s="131"/>
    </row>
    <row r="908" spans="35:35">
      <c r="AI908" s="131"/>
    </row>
    <row r="909" spans="35:35">
      <c r="AI909" s="284"/>
    </row>
    <row r="910" spans="35:35">
      <c r="AI910" s="131"/>
    </row>
    <row r="911" spans="35:35">
      <c r="AI911" s="131"/>
    </row>
    <row r="912" spans="35:35">
      <c r="AI912" s="131"/>
    </row>
    <row r="913" spans="35:35">
      <c r="AI913" s="131"/>
    </row>
    <row r="914" spans="35:35">
      <c r="AI914" s="131"/>
    </row>
    <row r="915" spans="35:35">
      <c r="AI915" s="131"/>
    </row>
    <row r="916" spans="35:35">
      <c r="AI916" s="131"/>
    </row>
    <row r="917" spans="35:35">
      <c r="AI917" s="284"/>
    </row>
    <row r="918" spans="35:35">
      <c r="AI918" s="131"/>
    </row>
    <row r="919" spans="35:35">
      <c r="AI919" s="131"/>
    </row>
    <row r="920" spans="35:35">
      <c r="AI920" s="131"/>
    </row>
    <row r="921" spans="35:35">
      <c r="AI921" s="131"/>
    </row>
    <row r="922" spans="35:35">
      <c r="AI922" s="131"/>
    </row>
    <row r="923" spans="35:35">
      <c r="AI923" s="131"/>
    </row>
    <row r="924" spans="35:35">
      <c r="AI924" s="131"/>
    </row>
    <row r="925" spans="35:35">
      <c r="AI925" s="131"/>
    </row>
    <row r="926" spans="35:35">
      <c r="AI926" s="131"/>
    </row>
    <row r="927" spans="35:35">
      <c r="AI927" s="128"/>
    </row>
    <row r="928" spans="35:35">
      <c r="AI928" s="128"/>
    </row>
    <row r="929" spans="35:35">
      <c r="AI929" s="131"/>
    </row>
    <row r="930" spans="35:35">
      <c r="AI930" s="131"/>
    </row>
    <row r="931" spans="35:35">
      <c r="AI931" s="131"/>
    </row>
    <row r="932" spans="35:35">
      <c r="AI932" s="131"/>
    </row>
    <row r="933" spans="35:35">
      <c r="AI933" s="131"/>
    </row>
    <row r="934" spans="35:35">
      <c r="AI934" s="131"/>
    </row>
    <row r="935" spans="35:35">
      <c r="AI935" s="131"/>
    </row>
    <row r="936" spans="35:35">
      <c r="AI936" s="131"/>
    </row>
    <row r="937" spans="35:35">
      <c r="AI937" s="131"/>
    </row>
    <row r="938" spans="35:35">
      <c r="AI938" s="131"/>
    </row>
    <row r="939" spans="35:35">
      <c r="AI939" s="131"/>
    </row>
    <row r="940" spans="35:35">
      <c r="AI940" s="284"/>
    </row>
    <row r="941" spans="35:35">
      <c r="AI941" s="131"/>
    </row>
    <row r="942" spans="35:35">
      <c r="AI942" s="131"/>
    </row>
    <row r="943" spans="35:35">
      <c r="AI943" s="284"/>
    </row>
    <row r="944" spans="35:35">
      <c r="AI944" s="131"/>
    </row>
    <row r="945" spans="35:35">
      <c r="AI945" s="131"/>
    </row>
    <row r="946" spans="35:35">
      <c r="AI946" s="131"/>
    </row>
    <row r="947" spans="35:35">
      <c r="AI947" s="44"/>
    </row>
    <row r="949" spans="35:35">
      <c r="AI949" s="131"/>
    </row>
    <row r="950" spans="35:35">
      <c r="AI950" s="131"/>
    </row>
    <row r="951" spans="35:35">
      <c r="AI951" s="131"/>
    </row>
    <row r="952" spans="35:35">
      <c r="AI952" s="131"/>
    </row>
    <row r="953" spans="35:35">
      <c r="AI953" s="131"/>
    </row>
    <row r="954" spans="35:35">
      <c r="AI954" s="131"/>
    </row>
    <row r="955" spans="35:35">
      <c r="AI955" s="131"/>
    </row>
    <row r="956" spans="35:35">
      <c r="AI956" s="131"/>
    </row>
    <row r="957" spans="35:35">
      <c r="AI957" s="128"/>
    </row>
    <row r="958" spans="35:35">
      <c r="AI958" s="131"/>
    </row>
    <row r="959" spans="35:35">
      <c r="AI959" s="131"/>
    </row>
    <row r="960" spans="35:35">
      <c r="AI960" s="131"/>
    </row>
    <row r="961" spans="35:35">
      <c r="AI961" s="131"/>
    </row>
    <row r="962" spans="35:35">
      <c r="AI962" s="131"/>
    </row>
    <row r="963" spans="35:35">
      <c r="AI963" s="131"/>
    </row>
    <row r="964" spans="35:35">
      <c r="AI964" s="131"/>
    </row>
    <row r="965" spans="35:35">
      <c r="AI965" s="131"/>
    </row>
    <row r="967" spans="35:35">
      <c r="AI967" s="131"/>
    </row>
    <row r="968" spans="35:35">
      <c r="AI968" s="131"/>
    </row>
    <row r="969" spans="35:35">
      <c r="AI969" s="131"/>
    </row>
    <row r="970" spans="35:35">
      <c r="AI970" s="131"/>
    </row>
    <row r="971" spans="35:35">
      <c r="AI971" s="284"/>
    </row>
    <row r="972" spans="35:35">
      <c r="AI972" s="131"/>
    </row>
    <row r="973" spans="35:35">
      <c r="AI973" s="131"/>
    </row>
    <row r="974" spans="35:35">
      <c r="AI974" s="131"/>
    </row>
    <row r="975" spans="35:35">
      <c r="AI975" s="131"/>
    </row>
    <row r="976" spans="35:35">
      <c r="AI976" s="131"/>
    </row>
    <row r="977" spans="35:35">
      <c r="AI977" s="131"/>
    </row>
    <row r="978" spans="35:35">
      <c r="AI978" s="128"/>
    </row>
    <row r="979" spans="35:35">
      <c r="AI979" s="131"/>
    </row>
    <row r="980" spans="35:35">
      <c r="AI980" s="284"/>
    </row>
    <row r="981" spans="35:35">
      <c r="AI981" s="131"/>
    </row>
    <row r="982" spans="35:35">
      <c r="AI982" s="131"/>
    </row>
    <row r="983" spans="35:35">
      <c r="AI983" s="131"/>
    </row>
    <row r="984" spans="35:35">
      <c r="AI984" s="131"/>
    </row>
    <row r="985" spans="35:35">
      <c r="AI985" s="131"/>
    </row>
    <row r="986" spans="35:35">
      <c r="AI986" s="131"/>
    </row>
    <row r="987" spans="35:35">
      <c r="AI987" s="131"/>
    </row>
    <row r="988" spans="35:35">
      <c r="AI988" s="131"/>
    </row>
    <row r="989" spans="35:35">
      <c r="AI989" s="131"/>
    </row>
    <row r="990" spans="35:35">
      <c r="AI990" s="131"/>
    </row>
    <row r="991" spans="35:35">
      <c r="AI991" s="131"/>
    </row>
    <row r="992" spans="35:35">
      <c r="AI992" s="131"/>
    </row>
    <row r="993" spans="35:35">
      <c r="AI993" s="131"/>
    </row>
    <row r="994" spans="35:35">
      <c r="AI994" s="131"/>
    </row>
    <row r="995" spans="35:35">
      <c r="AI995" s="131"/>
    </row>
    <row r="996" spans="35:35">
      <c r="AI996" s="131"/>
    </row>
    <row r="997" spans="35:35">
      <c r="AI997" s="131"/>
    </row>
    <row r="998" spans="35:35">
      <c r="AI998" s="131"/>
    </row>
    <row r="999" spans="35:35">
      <c r="AI999" s="128"/>
    </row>
    <row r="1000" spans="35:35">
      <c r="AI1000" s="131"/>
    </row>
    <row r="1001" spans="35:35">
      <c r="AI1001" s="131"/>
    </row>
    <row r="1002" spans="35:35">
      <c r="AI1002" s="131"/>
    </row>
    <row r="1003" spans="35:35">
      <c r="AI1003" s="131"/>
    </row>
    <row r="1004" spans="35:35">
      <c r="AI1004" s="131"/>
    </row>
    <row r="1005" spans="35:35">
      <c r="AI1005" s="28"/>
    </row>
    <row r="1006" spans="35:35">
      <c r="AI1006" s="128"/>
    </row>
    <row r="1007" spans="35:35">
      <c r="AI1007" s="284"/>
    </row>
    <row r="1008" spans="35:35">
      <c r="AI1008" s="284"/>
    </row>
    <row r="1009" spans="35:35">
      <c r="AI1009" s="131"/>
    </row>
    <row r="1010" spans="35:35">
      <c r="AI1010" s="128"/>
    </row>
    <row r="1011" spans="35:35">
      <c r="AI1011" s="131"/>
    </row>
    <row r="1012" spans="35:35">
      <c r="AI1012" s="131"/>
    </row>
    <row r="1013" spans="35:35">
      <c r="AI1013" s="131"/>
    </row>
    <row r="1014" spans="35:35">
      <c r="AI1014" s="44"/>
    </row>
    <row r="1015" spans="35:35">
      <c r="AI1015" s="131"/>
    </row>
    <row r="1017" spans="35:35">
      <c r="AI1017" s="131"/>
    </row>
    <row r="1018" spans="35:35">
      <c r="AI1018" s="128"/>
    </row>
    <row r="1019" spans="35:35">
      <c r="AI1019" s="131"/>
    </row>
    <row r="1020" spans="35:35">
      <c r="AI1020" s="131"/>
    </row>
    <row r="1021" spans="35:35">
      <c r="AI1021" s="128"/>
    </row>
    <row r="1022" spans="35:35">
      <c r="AI1022" s="131"/>
    </row>
    <row r="1023" spans="35:35">
      <c r="AI1023" s="131"/>
    </row>
    <row r="1024" spans="35:35">
      <c r="AI1024" s="131"/>
    </row>
    <row r="1025" spans="35:36">
      <c r="AI1025" s="131"/>
    </row>
    <row r="1026" spans="35:36">
      <c r="AI1026" s="131"/>
    </row>
    <row r="1027" spans="35:36">
      <c r="AI1027" s="131"/>
    </row>
    <row r="1028" spans="35:36">
      <c r="AI1028" s="131"/>
    </row>
    <row r="1029" spans="35:36">
      <c r="AI1029" s="131"/>
    </row>
    <row r="1030" spans="35:36">
      <c r="AI1030" s="131"/>
    </row>
    <row r="1031" spans="35:36">
      <c r="AI1031" s="131"/>
    </row>
    <row r="1032" spans="35:36">
      <c r="AI1032" s="284"/>
    </row>
    <row r="1033" spans="35:36">
      <c r="AI1033" s="131"/>
    </row>
    <row r="1034" spans="35:36">
      <c r="AI1034" s="131"/>
    </row>
    <row r="1035" spans="35:36">
      <c r="AI1035" s="131"/>
    </row>
    <row r="1036" spans="35:36">
      <c r="AI1036" s="131"/>
    </row>
    <row r="1037" spans="35:36">
      <c r="AI1037" s="131"/>
      <c r="AJ1037" s="264" t="s">
        <v>5277</v>
      </c>
    </row>
    <row r="1038" spans="35:36">
      <c r="AI1038" s="131"/>
    </row>
    <row r="1039" spans="35:36">
      <c r="AI1039" s="128"/>
    </row>
    <row r="1040" spans="35:36">
      <c r="AI1040" s="131"/>
    </row>
    <row r="1041" spans="35:35">
      <c r="AI1041" s="131"/>
    </row>
    <row r="1042" spans="35:35">
      <c r="AI1042" s="131"/>
    </row>
    <row r="1043" spans="35:35">
      <c r="AI1043" s="131"/>
    </row>
    <row r="1044" spans="35:35">
      <c r="AI1044" s="284"/>
    </row>
    <row r="1046" spans="35:35">
      <c r="AI1046" s="131"/>
    </row>
    <row r="1047" spans="35:35">
      <c r="AI1047" s="131"/>
    </row>
    <row r="1048" spans="35:35">
      <c r="AI1048" s="131"/>
    </row>
    <row r="1049" spans="35:35">
      <c r="AI1049" s="28"/>
    </row>
    <row r="1050" spans="35:35">
      <c r="AI1050" s="131"/>
    </row>
    <row r="1051" spans="35:35">
      <c r="AI1051" s="284"/>
    </row>
    <row r="1052" spans="35:35">
      <c r="AI1052" s="128"/>
    </row>
    <row r="1053" spans="35:35">
      <c r="AI1053" s="131"/>
    </row>
    <row r="1054" spans="35:35">
      <c r="AI1054" s="131"/>
    </row>
    <row r="1055" spans="35:35">
      <c r="AI1055" s="131"/>
    </row>
    <row r="1056" spans="35:35">
      <c r="AI1056" s="131"/>
    </row>
    <row r="1057" spans="35:35">
      <c r="AI1057" s="131"/>
    </row>
    <row r="1058" spans="35:35">
      <c r="AI1058" s="131"/>
    </row>
    <row r="1059" spans="35:35">
      <c r="AI1059" s="131"/>
    </row>
    <row r="1060" spans="35:35">
      <c r="AI1060" s="131"/>
    </row>
    <row r="1061" spans="35:35">
      <c r="AI1061" s="131"/>
    </row>
    <row r="1062" spans="35:35">
      <c r="AI1062" s="131"/>
    </row>
    <row r="1063" spans="35:35">
      <c r="AI1063" s="131"/>
    </row>
    <row r="1064" spans="35:35">
      <c r="AI1064" s="131"/>
    </row>
    <row r="1065" spans="35:35">
      <c r="AI1065" s="131"/>
    </row>
    <row r="1066" spans="35:35">
      <c r="AI1066" s="284"/>
    </row>
    <row r="1068" spans="35:35">
      <c r="AI1068" s="131"/>
    </row>
    <row r="1069" spans="35:35">
      <c r="AI1069" s="131"/>
    </row>
    <row r="1070" spans="35:35">
      <c r="AI1070" s="131"/>
    </row>
    <row r="1071" spans="35:35">
      <c r="AI1071" s="131"/>
    </row>
    <row r="1072" spans="35:35">
      <c r="AI1072" s="131"/>
    </row>
    <row r="1073" spans="35:35">
      <c r="AI1073" s="131"/>
    </row>
    <row r="1074" spans="35:35">
      <c r="AI1074" s="131"/>
    </row>
    <row r="1075" spans="35:35">
      <c r="AI1075" s="131"/>
    </row>
    <row r="1076" spans="35:35">
      <c r="AI1076" s="131"/>
    </row>
    <row r="1077" spans="35:35">
      <c r="AI1077" s="131"/>
    </row>
    <row r="1078" spans="35:35">
      <c r="AI1078" s="131"/>
    </row>
    <row r="1079" spans="35:35">
      <c r="AI1079" s="131"/>
    </row>
    <row r="1080" spans="35:35">
      <c r="AI1080" s="131"/>
    </row>
    <row r="1081" spans="35:35">
      <c r="AI1081" s="131"/>
    </row>
    <row r="1083" spans="35:35">
      <c r="AI1083" s="131"/>
    </row>
    <row r="1084" spans="35:35">
      <c r="AI1084" s="128"/>
    </row>
    <row r="1085" spans="35:35">
      <c r="AI1085" s="131"/>
    </row>
    <row r="1086" spans="35:35">
      <c r="AI1086" s="131"/>
    </row>
    <row r="1087" spans="35:35">
      <c r="AI1087" s="131"/>
    </row>
    <row r="1088" spans="35:35">
      <c r="AI1088" s="131"/>
    </row>
    <row r="1089" spans="35:35">
      <c r="AI1089" s="131"/>
    </row>
    <row r="1090" spans="35:35">
      <c r="AI1090" s="131"/>
    </row>
    <row r="1092" spans="35:35">
      <c r="AI1092" s="131"/>
    </row>
    <row r="1093" spans="35:35">
      <c r="AI1093" s="131"/>
    </row>
    <row r="1094" spans="35:35">
      <c r="AI1094" s="131"/>
    </row>
    <row r="1095" spans="35:35">
      <c r="AI1095" s="131"/>
    </row>
    <row r="1096" spans="35:35">
      <c r="AI1096" s="131"/>
    </row>
    <row r="1097" spans="35:35">
      <c r="AI1097" s="131"/>
    </row>
    <row r="1098" spans="35:35">
      <c r="AI1098" s="131"/>
    </row>
    <row r="1099" spans="35:35">
      <c r="AI1099" s="131"/>
    </row>
    <row r="1100" spans="35:35">
      <c r="AI1100" s="131"/>
    </row>
    <row r="1101" spans="35:35">
      <c r="AI1101" s="128"/>
    </row>
    <row r="1102" spans="35:35">
      <c r="AI1102" s="131"/>
    </row>
    <row r="1103" spans="35:35">
      <c r="AI1103" s="131"/>
    </row>
    <row r="1104" spans="35:35">
      <c r="AI1104" s="131"/>
    </row>
    <row r="1106" spans="35:35">
      <c r="AI1106" s="131"/>
    </row>
    <row r="1107" spans="35:35">
      <c r="AI1107" s="131"/>
    </row>
    <row r="1108" spans="35:35">
      <c r="AI1108" s="284"/>
    </row>
    <row r="1109" spans="35:35">
      <c r="AI1109" s="131"/>
    </row>
    <row r="1110" spans="35:35">
      <c r="AI1110" s="284"/>
    </row>
    <row r="1111" spans="35:35">
      <c r="AI1111" s="131"/>
    </row>
    <row r="1112" spans="35:35">
      <c r="AI1112" s="131"/>
    </row>
    <row r="1113" spans="35:35">
      <c r="AI1113" s="131"/>
    </row>
    <row r="1114" spans="35:35">
      <c r="AI1114" s="284"/>
    </row>
    <row r="1115" spans="35:35">
      <c r="AI1115" s="284"/>
    </row>
    <row r="1116" spans="35:35">
      <c r="AI1116" s="131"/>
    </row>
    <row r="1117" spans="35:35">
      <c r="AI1117" s="131"/>
    </row>
    <row r="1118" spans="35:35">
      <c r="AI1118" s="131"/>
    </row>
    <row r="1119" spans="35:35">
      <c r="AI1119" s="131"/>
    </row>
    <row r="1120" spans="35:35">
      <c r="AI1120" s="284"/>
    </row>
    <row r="1121" spans="35:35">
      <c r="AI1121" s="131"/>
    </row>
    <row r="1122" spans="35:35">
      <c r="AI1122" s="284"/>
    </row>
    <row r="1123" spans="35:35">
      <c r="AI1123" s="131"/>
    </row>
    <row r="1124" spans="35:35">
      <c r="AI1124" s="284"/>
    </row>
    <row r="1125" spans="35:35">
      <c r="AI1125" s="131"/>
    </row>
    <row r="1126" spans="35:35">
      <c r="AI1126" s="131"/>
    </row>
    <row r="1127" spans="35:35">
      <c r="AI1127" s="131"/>
    </row>
    <row r="1128" spans="35:35">
      <c r="AI1128" s="131"/>
    </row>
    <row r="1129" spans="35:35">
      <c r="AI1129" s="131"/>
    </row>
    <row r="1130" spans="35:35">
      <c r="AI1130" s="131"/>
    </row>
    <row r="1131" spans="35:35">
      <c r="AI1131" s="131"/>
    </row>
    <row r="1132" spans="35:35">
      <c r="AI1132" s="131"/>
    </row>
    <row r="1133" spans="35:35">
      <c r="AI1133" s="131"/>
    </row>
    <row r="1134" spans="35:35">
      <c r="AI1134" s="131"/>
    </row>
    <row r="1135" spans="35:35">
      <c r="AI1135" s="131"/>
    </row>
    <row r="1136" spans="35:35">
      <c r="AI1136" s="131"/>
    </row>
    <row r="1137" spans="35:35">
      <c r="AI1137" s="131"/>
    </row>
    <row r="1138" spans="35:35">
      <c r="AI1138" s="131"/>
    </row>
    <row r="1139" spans="35:35">
      <c r="AI1139" s="131"/>
    </row>
    <row r="1140" spans="35:35">
      <c r="AI1140" s="131"/>
    </row>
    <row r="1141" spans="35:35">
      <c r="AI1141" s="284"/>
    </row>
    <row r="1142" spans="35:35">
      <c r="AI1142" s="131"/>
    </row>
    <row r="1143" spans="35:35">
      <c r="AI1143" s="131"/>
    </row>
    <row r="1144" spans="35:35">
      <c r="AI1144" s="131"/>
    </row>
    <row r="1145" spans="35:35">
      <c r="AI1145" s="131"/>
    </row>
    <row r="1146" spans="35:35">
      <c r="AI1146" s="131"/>
    </row>
    <row r="1147" spans="35:35">
      <c r="AI1147" s="131"/>
    </row>
    <row r="1148" spans="35:35">
      <c r="AI1148" s="131"/>
    </row>
    <row r="1149" spans="35:35">
      <c r="AI1149" s="284"/>
    </row>
    <row r="1150" spans="35:35">
      <c r="AI1150" s="131"/>
    </row>
    <row r="1151" spans="35:35">
      <c r="AI1151" s="131"/>
    </row>
    <row r="1152" spans="35:35">
      <c r="AI1152" s="131"/>
    </row>
    <row r="1153" spans="35:35">
      <c r="AI1153" s="131"/>
    </row>
    <row r="1154" spans="35:35">
      <c r="AI1154" s="131"/>
    </row>
    <row r="1155" spans="35:35">
      <c r="AI1155" s="131"/>
    </row>
    <row r="1156" spans="35:35">
      <c r="AI1156" s="131"/>
    </row>
    <row r="1157" spans="35:35">
      <c r="AI1157" s="131"/>
    </row>
    <row r="1158" spans="35:35">
      <c r="AI1158" s="131"/>
    </row>
    <row r="1159" spans="35:35">
      <c r="AI1159" s="131"/>
    </row>
    <row r="1160" spans="35:35">
      <c r="AI1160" s="128"/>
    </row>
    <row r="1161" spans="35:35">
      <c r="AI1161" s="131"/>
    </row>
    <row r="1162" spans="35:35">
      <c r="AI1162" s="131"/>
    </row>
    <row r="1163" spans="35:35">
      <c r="AI1163" s="284"/>
    </row>
    <row r="1164" spans="35:35">
      <c r="AI1164" s="131"/>
    </row>
    <row r="1165" spans="35:35">
      <c r="AI1165" s="131"/>
    </row>
    <row r="1166" spans="35:35">
      <c r="AI1166" s="131"/>
    </row>
    <row r="1167" spans="35:35">
      <c r="AI1167" s="131"/>
    </row>
    <row r="1168" spans="35:35">
      <c r="AI1168" s="131"/>
    </row>
    <row r="1169" spans="35:35">
      <c r="AI1169" s="131"/>
    </row>
    <row r="1170" spans="35:35">
      <c r="AI1170" s="131"/>
    </row>
    <row r="1171" spans="35:35">
      <c r="AI1171" s="284"/>
    </row>
    <row r="1172" spans="35:35">
      <c r="AI1172" s="284"/>
    </row>
    <row r="1173" spans="35:35">
      <c r="AI1173" s="131"/>
    </row>
    <row r="1174" spans="35:35">
      <c r="AI1174" s="284"/>
    </row>
    <row r="1175" spans="35:35">
      <c r="AI1175" s="131"/>
    </row>
    <row r="1176" spans="35:35">
      <c r="AI1176" s="131"/>
    </row>
    <row r="1177" spans="35:35">
      <c r="AI1177" s="131"/>
    </row>
    <row r="1178" spans="35:35">
      <c r="AI1178" s="131"/>
    </row>
    <row r="1179" spans="35:35">
      <c r="AI1179" s="131"/>
    </row>
    <row r="1180" spans="35:35">
      <c r="AI1180" s="131"/>
    </row>
    <row r="1181" spans="35:35">
      <c r="AI1181" s="131"/>
    </row>
    <row r="1182" spans="35:35">
      <c r="AI1182" s="284"/>
    </row>
    <row r="1183" spans="35:35">
      <c r="AI1183" s="131"/>
    </row>
    <row r="1184" spans="35:35">
      <c r="AI1184" s="131"/>
    </row>
    <row r="1185" spans="35:35">
      <c r="AI1185" s="131"/>
    </row>
    <row r="1186" spans="35:35">
      <c r="AI1186" s="131"/>
    </row>
    <row r="1187" spans="35:35">
      <c r="AI1187" s="131"/>
    </row>
    <row r="1188" spans="35:35">
      <c r="AI1188" s="131"/>
    </row>
    <row r="1189" spans="35:35">
      <c r="AI1189" s="131"/>
    </row>
    <row r="1190" spans="35:35">
      <c r="AI1190" s="131"/>
    </row>
    <row r="1191" spans="35:35">
      <c r="AI1191" s="131"/>
    </row>
    <row r="1192" spans="35:35">
      <c r="AI1192" s="131"/>
    </row>
    <row r="1193" spans="35:35">
      <c r="AI1193" s="131"/>
    </row>
    <row r="1194" spans="35:35">
      <c r="AI1194" s="132"/>
    </row>
    <row r="1195" spans="35:35">
      <c r="AI1195" s="131"/>
    </row>
    <row r="1196" spans="35:35">
      <c r="AI1196" s="131"/>
    </row>
    <row r="1197" spans="35:35">
      <c r="AI1197" s="131"/>
    </row>
    <row r="1198" spans="35:35">
      <c r="AI1198" s="131"/>
    </row>
    <row r="1199" spans="35:35">
      <c r="AI1199" s="131"/>
    </row>
    <row r="1200" spans="35:35">
      <c r="AI1200" s="131"/>
    </row>
    <row r="1201" spans="35:35">
      <c r="AI1201" s="131"/>
    </row>
    <row r="1202" spans="35:35">
      <c r="AI1202" s="284"/>
    </row>
    <row r="1203" spans="35:35">
      <c r="AI1203" s="131"/>
    </row>
    <row r="1204" spans="35:35">
      <c r="AI1204" s="131"/>
    </row>
    <row r="1205" spans="35:35">
      <c r="AI1205" s="131"/>
    </row>
    <row r="1206" spans="35:35">
      <c r="AI1206" s="131"/>
    </row>
    <row r="1207" spans="35:35">
      <c r="AI1207" s="131"/>
    </row>
    <row r="1208" spans="35:35">
      <c r="AI1208" s="131"/>
    </row>
    <row r="1209" spans="35:35">
      <c r="AI1209" s="131"/>
    </row>
    <row r="1210" spans="35:35">
      <c r="AI1210" s="131"/>
    </row>
    <row r="1211" spans="35:35">
      <c r="AI1211" s="131"/>
    </row>
    <row r="1212" spans="35:35">
      <c r="AI1212" s="131"/>
    </row>
    <row r="1213" spans="35:35">
      <c r="AI1213" s="131"/>
    </row>
    <row r="1214" spans="35:35">
      <c r="AI1214" s="131"/>
    </row>
    <row r="1215" spans="35:35">
      <c r="AI1215" s="131"/>
    </row>
    <row r="1216" spans="35:35">
      <c r="AI1216" s="131"/>
    </row>
    <row r="1217" spans="35:35">
      <c r="AI1217" s="284"/>
    </row>
    <row r="1218" spans="35:35">
      <c r="AI1218" s="284"/>
    </row>
    <row r="1219" spans="35:35">
      <c r="AI1219" s="131"/>
    </row>
    <row r="1220" spans="35:35">
      <c r="AI1220" s="131"/>
    </row>
    <row r="1221" spans="35:35">
      <c r="AI1221" s="131"/>
    </row>
    <row r="1222" spans="35:35">
      <c r="AI1222" s="131"/>
    </row>
    <row r="1223" spans="35:35">
      <c r="AI1223" s="131"/>
    </row>
    <row r="1224" spans="35:35">
      <c r="AI1224" s="131"/>
    </row>
    <row r="1225" spans="35:35">
      <c r="AI1225" s="131"/>
    </row>
    <row r="1226" spans="35:35">
      <c r="AI1226" s="131"/>
    </row>
    <row r="1227" spans="35:35">
      <c r="AI1227" s="131"/>
    </row>
    <row r="1228" spans="35:35">
      <c r="AI1228" s="284"/>
    </row>
    <row r="1229" spans="35:35">
      <c r="AI1229" s="131"/>
    </row>
    <row r="1230" spans="35:35">
      <c r="AI1230" s="131"/>
    </row>
    <row r="1231" spans="35:35">
      <c r="AI1231" s="131"/>
    </row>
    <row r="1232" spans="35:35">
      <c r="AI1232" s="131"/>
    </row>
    <row r="1233" spans="35:35">
      <c r="AI1233" s="131"/>
    </row>
    <row r="1234" spans="35:35">
      <c r="AI1234" s="131"/>
    </row>
    <row r="1235" spans="35:35">
      <c r="AI1235" s="128"/>
    </row>
    <row r="1236" spans="35:35">
      <c r="AI1236" s="131"/>
    </row>
    <row r="1238" spans="35:35">
      <c r="AI1238" s="131"/>
    </row>
    <row r="1239" spans="35:35">
      <c r="AI1239" s="284"/>
    </row>
    <row r="1240" spans="35:35">
      <c r="AI1240" s="131"/>
    </row>
    <row r="1241" spans="35:35">
      <c r="AI1241" s="131"/>
    </row>
    <row r="1242" spans="35:35">
      <c r="AI1242" s="131"/>
    </row>
    <row r="1243" spans="35:35">
      <c r="AI1243" s="131"/>
    </row>
    <row r="1244" spans="35:35">
      <c r="AI1244" s="131"/>
    </row>
    <row r="1245" spans="35:35">
      <c r="AI1245" s="131"/>
    </row>
    <row r="1246" spans="35:35">
      <c r="AI1246" s="131"/>
    </row>
    <row r="1247" spans="35:35">
      <c r="AI1247" s="131"/>
    </row>
    <row r="1248" spans="35:35">
      <c r="AI1248" s="131"/>
    </row>
    <row r="1249" spans="35:35">
      <c r="AI1249" s="131"/>
    </row>
    <row r="1250" spans="35:35">
      <c r="AI1250" s="131"/>
    </row>
    <row r="1251" spans="35:35">
      <c r="AI1251" s="131"/>
    </row>
    <row r="1252" spans="35:35">
      <c r="AI1252" s="131"/>
    </row>
    <row r="1253" spans="35:35">
      <c r="AI1253" s="131"/>
    </row>
    <row r="1254" spans="35:35">
      <c r="AI1254" s="131"/>
    </row>
    <row r="1255" spans="35:35">
      <c r="AI1255" s="131"/>
    </row>
    <row r="1256" spans="35:35">
      <c r="AI1256" s="131"/>
    </row>
    <row r="1257" spans="35:35">
      <c r="AI1257" s="131"/>
    </row>
    <row r="1258" spans="35:35">
      <c r="AI1258" s="131"/>
    </row>
    <row r="1259" spans="35:35">
      <c r="AI1259" s="131"/>
    </row>
    <row r="1260" spans="35:35">
      <c r="AI1260" s="131"/>
    </row>
    <row r="1261" spans="35:35">
      <c r="AI1261" s="131"/>
    </row>
    <row r="1262" spans="35:35">
      <c r="AI1262" s="131"/>
    </row>
    <row r="1264" spans="35:35">
      <c r="AI1264" s="131"/>
    </row>
    <row r="1265" spans="35:35">
      <c r="AI1265" s="131"/>
    </row>
    <row r="1266" spans="35:35">
      <c r="AI1266" s="131"/>
    </row>
    <row r="1267" spans="35:35">
      <c r="AI1267" s="131"/>
    </row>
    <row r="1268" spans="35:35">
      <c r="AI1268" s="131"/>
    </row>
    <row r="1269" spans="35:35">
      <c r="AI1269" s="131"/>
    </row>
    <row r="1270" spans="35:35">
      <c r="AI1270" s="131"/>
    </row>
    <row r="1271" spans="35:35">
      <c r="AI1271" s="131"/>
    </row>
    <row r="1272" spans="35:35">
      <c r="AI1272" s="52"/>
    </row>
    <row r="1273" spans="35:35">
      <c r="AI1273" s="131"/>
    </row>
    <row r="1274" spans="35:35">
      <c r="AI1274" s="131"/>
    </row>
    <row r="1275" spans="35:35">
      <c r="AI1275" s="131"/>
    </row>
    <row r="1276" spans="35:35">
      <c r="AI1276" s="131"/>
    </row>
    <row r="1277" spans="35:35">
      <c r="AI1277" s="131"/>
    </row>
    <row r="1278" spans="35:35">
      <c r="AI1278" s="131"/>
    </row>
    <row r="1279" spans="35:35">
      <c r="AI1279" s="131"/>
    </row>
    <row r="1280" spans="35:35">
      <c r="AI1280" s="131"/>
    </row>
    <row r="1281" spans="1:35">
      <c r="AI1281" s="131"/>
    </row>
    <row r="1282" spans="1:35">
      <c r="AI1282" s="131"/>
    </row>
    <row r="1283" spans="1:35">
      <c r="AI1283" s="284"/>
    </row>
    <row r="1284" spans="1:35" ht="26.4">
      <c r="A1284" s="284"/>
      <c r="B1284" s="284"/>
      <c r="C1284" s="284"/>
      <c r="D1284" s="284"/>
      <c r="E1284" s="284"/>
      <c r="F1284" s="284"/>
      <c r="H1284" s="284"/>
      <c r="I1284" s="284"/>
      <c r="J1284" s="375"/>
      <c r="K1284" s="375"/>
      <c r="L1284" s="375"/>
      <c r="M1284" s="368"/>
      <c r="N1284" s="368"/>
      <c r="T1284" s="340"/>
      <c r="V1284" s="378"/>
      <c r="W1284" s="64" ph="1"/>
      <c r="X1284" s="241"/>
      <c r="AA1284" s="284"/>
      <c r="AB1284" s="284"/>
      <c r="AC1284" s="284"/>
      <c r="AD1284" s="284"/>
      <c r="AE1284" s="284"/>
      <c r="AF1284" s="284"/>
      <c r="AG1284" s="8"/>
      <c r="AI1284" s="27"/>
    </row>
    <row r="1285" spans="1:35">
      <c r="A1285" s="284"/>
      <c r="Y1285" s="284"/>
      <c r="Z1285" s="207"/>
      <c r="AI1285" s="284"/>
    </row>
    <row r="1286" spans="1:35">
      <c r="AI1286" s="131"/>
    </row>
    <row r="1287" spans="1:35">
      <c r="AI1287" s="131"/>
    </row>
    <row r="1288" spans="1:35">
      <c r="AI1288" s="131"/>
    </row>
    <row r="1289" spans="1:35">
      <c r="AI1289" s="131"/>
    </row>
    <row r="1290" spans="1:35">
      <c r="AI1290" s="131"/>
    </row>
    <row r="1291" spans="1:35">
      <c r="A1291" s="284"/>
      <c r="G1291" s="284"/>
      <c r="AI1291" s="131"/>
    </row>
    <row r="1292" spans="1:35">
      <c r="AI1292" s="131"/>
    </row>
    <row r="1293" spans="1:35">
      <c r="AI1293" s="131"/>
    </row>
    <row r="1294" spans="1:35" ht="26.4">
      <c r="A1294" s="284"/>
      <c r="B1294" s="284"/>
      <c r="C1294" s="284"/>
      <c r="D1294" s="284"/>
      <c r="E1294" s="284"/>
      <c r="F1294" s="284"/>
      <c r="H1294" s="284"/>
      <c r="I1294" s="284"/>
      <c r="J1294" s="375"/>
      <c r="K1294" s="375"/>
      <c r="L1294" s="375"/>
      <c r="M1294" s="368"/>
      <c r="N1294" s="368"/>
      <c r="T1294" s="340"/>
      <c r="V1294" s="378"/>
      <c r="W1294" s="64" ph="1"/>
      <c r="X1294" s="241"/>
      <c r="AA1294" s="284"/>
      <c r="AB1294" s="284"/>
      <c r="AC1294" s="284"/>
      <c r="AD1294" s="284"/>
      <c r="AE1294" s="284"/>
      <c r="AF1294" s="284"/>
      <c r="AG1294" s="8"/>
      <c r="AI1294" s="131"/>
    </row>
    <row r="1295" spans="1:35">
      <c r="A1295" s="284"/>
      <c r="Y1295" s="284"/>
      <c r="Z1295" s="207"/>
      <c r="AI1295" s="131"/>
    </row>
    <row r="1296" spans="1:35">
      <c r="AI1296" s="131"/>
    </row>
    <row r="1297" spans="1:35">
      <c r="AI1297" s="131"/>
    </row>
    <row r="1298" spans="1:35" ht="26.4">
      <c r="A1298" s="284"/>
      <c r="B1298" s="284"/>
      <c r="C1298" s="284"/>
      <c r="D1298" s="284"/>
      <c r="E1298" s="284"/>
      <c r="F1298" s="284"/>
      <c r="H1298" s="284"/>
      <c r="I1298" s="284"/>
      <c r="J1298" s="375"/>
      <c r="K1298" s="375"/>
      <c r="L1298" s="375"/>
      <c r="M1298" s="368"/>
      <c r="N1298" s="368"/>
      <c r="T1298" s="340"/>
      <c r="V1298" s="378"/>
      <c r="W1298" s="64" ph="1"/>
      <c r="X1298" s="241"/>
      <c r="AA1298" s="284"/>
      <c r="AB1298" s="284"/>
      <c r="AC1298" s="284"/>
      <c r="AD1298" s="284"/>
      <c r="AE1298" s="284"/>
      <c r="AF1298" s="284"/>
      <c r="AG1298" s="8"/>
      <c r="AI1298" s="131"/>
    </row>
    <row r="1299" spans="1:35">
      <c r="A1299" s="284"/>
      <c r="Y1299" s="284"/>
      <c r="Z1299" s="207"/>
      <c r="AI1299" s="131"/>
    </row>
    <row r="1300" spans="1:35">
      <c r="AI1300" s="131"/>
    </row>
    <row r="1301" spans="1:35">
      <c r="A1301" s="284"/>
      <c r="G1301" s="284"/>
      <c r="O1301" s="370"/>
      <c r="AI1301" s="131"/>
    </row>
    <row r="1302" spans="1:35">
      <c r="AI1302" s="131"/>
    </row>
    <row r="1303" spans="1:35" ht="26.4">
      <c r="A1303" s="284"/>
      <c r="B1303" s="284"/>
      <c r="C1303" s="284"/>
      <c r="D1303" s="284"/>
      <c r="E1303" s="284"/>
      <c r="F1303" s="284"/>
      <c r="H1303" s="284"/>
      <c r="I1303" s="284"/>
      <c r="J1303" s="375"/>
      <c r="K1303" s="375"/>
      <c r="L1303" s="375"/>
      <c r="M1303" s="368"/>
      <c r="N1303" s="368"/>
      <c r="T1303" s="340"/>
      <c r="V1303" s="378"/>
      <c r="W1303" s="64" ph="1"/>
      <c r="X1303" s="241"/>
      <c r="AA1303" s="284"/>
      <c r="AB1303" s="284"/>
      <c r="AC1303" s="284"/>
      <c r="AD1303" s="284"/>
      <c r="AE1303" s="284"/>
      <c r="AF1303" s="284"/>
      <c r="AG1303" s="8"/>
      <c r="AI1303" s="131"/>
    </row>
    <row r="1304" spans="1:35" ht="26.4">
      <c r="A1304" s="284"/>
      <c r="B1304" s="284"/>
      <c r="C1304" s="284"/>
      <c r="D1304" s="284"/>
      <c r="E1304" s="284"/>
      <c r="F1304" s="284"/>
      <c r="H1304" s="284"/>
      <c r="I1304" s="284"/>
      <c r="J1304" s="375"/>
      <c r="K1304" s="375"/>
      <c r="L1304" s="375"/>
      <c r="M1304" s="368"/>
      <c r="N1304" s="368"/>
      <c r="T1304" s="340"/>
      <c r="V1304" s="378"/>
      <c r="W1304" s="64" ph="1"/>
      <c r="X1304" s="241"/>
      <c r="Y1304" s="284"/>
      <c r="Z1304" s="207"/>
      <c r="AA1304" s="284"/>
      <c r="AB1304" s="284"/>
      <c r="AC1304" s="284"/>
      <c r="AD1304" s="284"/>
      <c r="AE1304" s="284"/>
      <c r="AF1304" s="284"/>
      <c r="AG1304" s="8"/>
      <c r="AI1304" s="131"/>
    </row>
    <row r="1305" spans="1:35" ht="26.4">
      <c r="A1305" s="284"/>
      <c r="B1305" s="284"/>
      <c r="C1305" s="284"/>
      <c r="D1305" s="284"/>
      <c r="E1305" s="284"/>
      <c r="F1305" s="284"/>
      <c r="G1305" s="284"/>
      <c r="H1305" s="284"/>
      <c r="I1305" s="284"/>
      <c r="J1305" s="375"/>
      <c r="K1305" s="375"/>
      <c r="L1305" s="375"/>
      <c r="M1305" s="368"/>
      <c r="N1305" s="368"/>
      <c r="T1305" s="340"/>
      <c r="V1305" s="378"/>
      <c r="W1305" s="64" ph="1"/>
      <c r="X1305" s="241"/>
      <c r="Y1305" s="284"/>
      <c r="Z1305" s="207"/>
      <c r="AA1305" s="284"/>
      <c r="AB1305" s="284"/>
      <c r="AC1305" s="284"/>
      <c r="AD1305" s="284"/>
      <c r="AE1305" s="284"/>
      <c r="AF1305" s="284"/>
      <c r="AG1305" s="8"/>
      <c r="AI1305" s="131"/>
    </row>
    <row r="1306" spans="1:35">
      <c r="A1306" s="284"/>
      <c r="Y1306" s="284"/>
      <c r="Z1306" s="207"/>
      <c r="AI1306" s="131"/>
    </row>
    <row r="1307" spans="1:35" ht="26.4">
      <c r="A1307" s="284"/>
      <c r="B1307" s="284"/>
      <c r="C1307" s="284"/>
      <c r="D1307" s="284"/>
      <c r="E1307" s="284"/>
      <c r="F1307" s="284"/>
      <c r="H1307" s="284"/>
      <c r="I1307" s="284"/>
      <c r="J1307" s="375"/>
      <c r="K1307" s="375"/>
      <c r="L1307" s="375"/>
      <c r="M1307" s="368"/>
      <c r="N1307" s="368"/>
      <c r="T1307" s="340"/>
      <c r="V1307" s="378"/>
      <c r="W1307" s="64" ph="1"/>
      <c r="X1307" s="241"/>
      <c r="AA1307" s="284"/>
      <c r="AB1307" s="284"/>
      <c r="AC1307" s="284"/>
      <c r="AD1307" s="284"/>
      <c r="AE1307" s="284"/>
      <c r="AF1307" s="284"/>
      <c r="AG1307" s="8"/>
      <c r="AI1307" s="284"/>
    </row>
    <row r="1308" spans="1:35" ht="26.4">
      <c r="A1308" s="284"/>
      <c r="B1308" s="284"/>
      <c r="C1308" s="284"/>
      <c r="D1308" s="284"/>
      <c r="E1308" s="284"/>
      <c r="F1308" s="284"/>
      <c r="H1308" s="284"/>
      <c r="I1308" s="284"/>
      <c r="J1308" s="375"/>
      <c r="K1308" s="375"/>
      <c r="L1308" s="375"/>
      <c r="M1308" s="368"/>
      <c r="N1308" s="368"/>
      <c r="T1308" s="340"/>
      <c r="V1308" s="378"/>
      <c r="W1308" s="64" ph="1"/>
      <c r="X1308" s="241"/>
      <c r="Y1308" s="284"/>
      <c r="Z1308" s="207"/>
      <c r="AA1308" s="284"/>
      <c r="AB1308" s="284"/>
      <c r="AC1308" s="284"/>
      <c r="AD1308" s="284"/>
      <c r="AE1308" s="284"/>
      <c r="AF1308" s="284"/>
      <c r="AG1308" s="8"/>
      <c r="AI1308" s="284"/>
    </row>
    <row r="1309" spans="1:35">
      <c r="A1309" s="284"/>
      <c r="Y1309" s="284"/>
      <c r="Z1309" s="207"/>
      <c r="AI1309" s="28"/>
    </row>
    <row r="1310" spans="1:35" ht="26.4">
      <c r="A1310" s="284"/>
      <c r="B1310" s="284"/>
      <c r="C1310" s="284"/>
      <c r="D1310" s="284"/>
      <c r="E1310" s="284"/>
      <c r="F1310" s="284"/>
      <c r="G1310" s="284"/>
      <c r="H1310" s="284"/>
      <c r="I1310" s="284"/>
      <c r="J1310" s="375"/>
      <c r="K1310" s="375"/>
      <c r="L1310" s="375"/>
      <c r="M1310" s="368"/>
      <c r="N1310" s="368"/>
      <c r="T1310" s="340"/>
      <c r="V1310" s="378"/>
      <c r="W1310" s="64" ph="1"/>
      <c r="X1310" s="241"/>
      <c r="AA1310" s="284"/>
      <c r="AB1310" s="284"/>
      <c r="AC1310" s="284"/>
      <c r="AD1310" s="284"/>
      <c r="AE1310" s="284"/>
      <c r="AF1310" s="284"/>
      <c r="AG1310" s="8"/>
      <c r="AI1310" s="131"/>
    </row>
    <row r="1311" spans="1:35">
      <c r="A1311" s="284"/>
      <c r="G1311" s="284"/>
      <c r="O1311" s="370"/>
      <c r="Y1311" s="284"/>
      <c r="Z1311" s="207"/>
      <c r="AI1311" s="131"/>
    </row>
    <row r="1312" spans="1:35" ht="26.4">
      <c r="A1312" s="284"/>
      <c r="B1312" s="284"/>
      <c r="C1312" s="284"/>
      <c r="D1312" s="284"/>
      <c r="E1312" s="284"/>
      <c r="F1312" s="284"/>
      <c r="G1312" s="284"/>
      <c r="H1312" s="284"/>
      <c r="I1312" s="284"/>
      <c r="J1312" s="375"/>
      <c r="K1312" s="375"/>
      <c r="L1312" s="375"/>
      <c r="M1312" s="368"/>
      <c r="N1312" s="368"/>
      <c r="T1312" s="340"/>
      <c r="V1312" s="378"/>
      <c r="W1312" s="64" ph="1"/>
      <c r="X1312" s="241"/>
      <c r="AA1312" s="284"/>
      <c r="AB1312" s="284"/>
      <c r="AC1312" s="284"/>
      <c r="AD1312" s="284"/>
      <c r="AE1312" s="284"/>
      <c r="AF1312" s="284"/>
      <c r="AG1312" s="8"/>
      <c r="AI1312" s="131"/>
    </row>
    <row r="1313" spans="1:35" ht="26.4">
      <c r="A1313" s="284"/>
      <c r="B1313" s="284"/>
      <c r="C1313" s="284"/>
      <c r="D1313" s="284"/>
      <c r="E1313" s="284"/>
      <c r="F1313" s="284"/>
      <c r="H1313" s="284"/>
      <c r="I1313" s="284"/>
      <c r="J1313" s="375"/>
      <c r="K1313" s="375"/>
      <c r="L1313" s="375"/>
      <c r="M1313" s="368"/>
      <c r="N1313" s="368"/>
      <c r="T1313" s="340"/>
      <c r="V1313" s="378"/>
      <c r="W1313" s="64" ph="1"/>
      <c r="X1313" s="241"/>
      <c r="Y1313" s="284"/>
      <c r="Z1313" s="207"/>
      <c r="AA1313" s="284"/>
      <c r="AB1313" s="284"/>
      <c r="AC1313" s="284"/>
      <c r="AD1313" s="284"/>
      <c r="AE1313" s="284"/>
      <c r="AF1313" s="284"/>
      <c r="AG1313" s="8"/>
      <c r="AI1313" s="131"/>
    </row>
    <row r="1314" spans="1:35" ht="26.4">
      <c r="A1314" s="284"/>
      <c r="B1314" s="284"/>
      <c r="C1314" s="284"/>
      <c r="D1314" s="284"/>
      <c r="E1314" s="284"/>
      <c r="F1314" s="284"/>
      <c r="G1314" s="284"/>
      <c r="H1314" s="284"/>
      <c r="I1314" s="284"/>
      <c r="J1314" s="375"/>
      <c r="K1314" s="375"/>
      <c r="L1314" s="375"/>
      <c r="M1314" s="368"/>
      <c r="N1314" s="368"/>
      <c r="T1314" s="340"/>
      <c r="V1314" s="378"/>
      <c r="W1314" s="64" ph="1"/>
      <c r="X1314" s="241"/>
      <c r="Y1314" s="284"/>
      <c r="Z1314" s="207"/>
      <c r="AA1314" s="284"/>
      <c r="AB1314" s="284"/>
      <c r="AC1314" s="284"/>
      <c r="AD1314" s="284"/>
      <c r="AE1314" s="284"/>
      <c r="AF1314" s="284"/>
      <c r="AG1314" s="8"/>
      <c r="AI1314" s="131"/>
    </row>
    <row r="1315" spans="1:35" ht="26.4">
      <c r="A1315" s="284"/>
      <c r="B1315" s="284"/>
      <c r="C1315" s="284"/>
      <c r="D1315" s="284"/>
      <c r="E1315" s="284"/>
      <c r="F1315" s="284"/>
      <c r="G1315" s="284"/>
      <c r="H1315" s="284"/>
      <c r="I1315" s="284"/>
      <c r="J1315" s="375"/>
      <c r="K1315" s="375"/>
      <c r="L1315" s="375"/>
      <c r="M1315" s="368"/>
      <c r="N1315" s="368"/>
      <c r="O1315" s="370"/>
      <c r="T1315" s="340"/>
      <c r="V1315" s="378"/>
      <c r="W1315" s="64" ph="1"/>
      <c r="X1315" s="241"/>
      <c r="Y1315" s="284"/>
      <c r="Z1315" s="207"/>
      <c r="AA1315" s="284"/>
      <c r="AB1315" s="284"/>
      <c r="AC1315" s="284"/>
      <c r="AD1315" s="284"/>
      <c r="AE1315" s="284"/>
      <c r="AF1315" s="284"/>
      <c r="AG1315" s="8"/>
      <c r="AI1315" s="131"/>
    </row>
    <row r="1316" spans="1:35" ht="26.4">
      <c r="A1316" s="284"/>
      <c r="B1316" s="284"/>
      <c r="C1316" s="284"/>
      <c r="D1316" s="284"/>
      <c r="E1316" s="284"/>
      <c r="F1316" s="284"/>
      <c r="H1316" s="284"/>
      <c r="I1316" s="284"/>
      <c r="J1316" s="375"/>
      <c r="K1316" s="375"/>
      <c r="L1316" s="375"/>
      <c r="M1316" s="368"/>
      <c r="N1316" s="368"/>
      <c r="T1316" s="340"/>
      <c r="V1316" s="378"/>
      <c r="W1316" s="64" ph="1"/>
      <c r="X1316" s="241"/>
      <c r="Y1316" s="284"/>
      <c r="Z1316" s="207"/>
      <c r="AA1316" s="284"/>
      <c r="AB1316" s="284"/>
      <c r="AC1316" s="284"/>
      <c r="AD1316" s="284"/>
      <c r="AE1316" s="284"/>
      <c r="AF1316" s="284"/>
      <c r="AG1316" s="8"/>
      <c r="AI1316" s="131"/>
    </row>
    <row r="1317" spans="1:35" ht="26.4">
      <c r="A1317" s="284"/>
      <c r="B1317" s="284"/>
      <c r="C1317" s="284"/>
      <c r="D1317" s="284"/>
      <c r="E1317" s="284"/>
      <c r="F1317" s="284"/>
      <c r="G1317" s="284"/>
      <c r="H1317" s="284"/>
      <c r="I1317" s="284"/>
      <c r="J1317" s="375"/>
      <c r="K1317" s="375"/>
      <c r="L1317" s="375"/>
      <c r="M1317" s="368"/>
      <c r="N1317" s="368"/>
      <c r="T1317" s="340"/>
      <c r="V1317" s="378"/>
      <c r="W1317" s="64" ph="1"/>
      <c r="X1317" s="241"/>
      <c r="Y1317" s="284"/>
      <c r="Z1317" s="207"/>
      <c r="AA1317" s="284"/>
      <c r="AB1317" s="284"/>
      <c r="AC1317" s="284"/>
      <c r="AD1317" s="284"/>
      <c r="AE1317" s="284"/>
      <c r="AF1317" s="284"/>
      <c r="AG1317" s="8"/>
      <c r="AI1317" s="131"/>
    </row>
    <row r="1318" spans="1:35" ht="26.4">
      <c r="A1318" s="284"/>
      <c r="B1318" s="284"/>
      <c r="C1318" s="284"/>
      <c r="D1318" s="284"/>
      <c r="E1318" s="284"/>
      <c r="F1318" s="284"/>
      <c r="H1318" s="284"/>
      <c r="I1318" s="284"/>
      <c r="J1318" s="375"/>
      <c r="K1318" s="375"/>
      <c r="L1318" s="375"/>
      <c r="M1318" s="368"/>
      <c r="N1318" s="368"/>
      <c r="T1318" s="340"/>
      <c r="V1318" s="378"/>
      <c r="W1318" s="64" ph="1"/>
      <c r="X1318" s="241"/>
      <c r="Y1318" s="284"/>
      <c r="Z1318" s="207"/>
      <c r="AA1318" s="284"/>
      <c r="AB1318" s="284"/>
      <c r="AC1318" s="284"/>
      <c r="AD1318" s="284"/>
      <c r="AE1318" s="284"/>
      <c r="AF1318" s="284"/>
      <c r="AG1318" s="8"/>
      <c r="AI1318" s="131"/>
    </row>
    <row r="1319" spans="1:35" ht="26.4">
      <c r="A1319" s="284"/>
      <c r="B1319" s="284"/>
      <c r="C1319" s="284"/>
      <c r="D1319" s="284"/>
      <c r="E1319" s="284"/>
      <c r="F1319" s="284"/>
      <c r="G1319" s="284"/>
      <c r="H1319" s="284"/>
      <c r="I1319" s="284"/>
      <c r="J1319" s="375"/>
      <c r="K1319" s="375"/>
      <c r="L1319" s="375"/>
      <c r="M1319" s="368"/>
      <c r="N1319" s="368"/>
      <c r="T1319" s="340"/>
      <c r="V1319" s="378"/>
      <c r="W1319" s="64" ph="1"/>
      <c r="X1319" s="241"/>
      <c r="Y1319" s="284"/>
      <c r="Z1319" s="207"/>
      <c r="AA1319" s="284"/>
      <c r="AB1319" s="284"/>
      <c r="AC1319" s="284"/>
      <c r="AD1319" s="284"/>
      <c r="AE1319" s="284"/>
      <c r="AF1319" s="284"/>
      <c r="AG1319" s="8"/>
      <c r="AI1319" s="131"/>
    </row>
    <row r="1320" spans="1:35" ht="26.4">
      <c r="A1320" s="284"/>
      <c r="G1320" s="284"/>
      <c r="O1320" s="370"/>
      <c r="W1320" s="64" ph="1"/>
      <c r="Y1320" s="284"/>
      <c r="Z1320" s="207"/>
      <c r="AI1320" s="131"/>
    </row>
    <row r="1321" spans="1:35" ht="26.4">
      <c r="A1321" s="284"/>
      <c r="G1321" s="284"/>
      <c r="O1321" s="370"/>
      <c r="W1321" s="64" ph="1"/>
      <c r="AI1321" s="131"/>
    </row>
    <row r="1322" spans="1:35">
      <c r="A1322" s="284"/>
      <c r="G1322" s="284"/>
      <c r="O1322" s="370"/>
      <c r="AI1322" s="131"/>
    </row>
    <row r="1323" spans="1:35" ht="26.4">
      <c r="A1323" s="284"/>
      <c r="G1323" s="284"/>
      <c r="W1323" s="64" ph="1"/>
      <c r="AI1323" s="284"/>
    </row>
    <row r="1324" spans="1:35" ht="26.4">
      <c r="A1324" s="284"/>
      <c r="G1324" s="284"/>
      <c r="O1324" s="370"/>
      <c r="W1324" s="64" ph="1"/>
      <c r="AI1324" s="131"/>
    </row>
    <row r="1325" spans="1:35" ht="26.4">
      <c r="A1325" s="284"/>
      <c r="G1325" s="284"/>
      <c r="O1325" s="370"/>
      <c r="W1325" s="64" ph="1"/>
      <c r="AI1325" s="131"/>
    </row>
    <row r="1326" spans="1:35" ht="26.4">
      <c r="A1326" s="284"/>
      <c r="G1326" s="284"/>
      <c r="W1326" s="64" ph="1"/>
      <c r="AI1326" s="131"/>
    </row>
    <row r="1327" spans="1:35" ht="26.4">
      <c r="A1327" s="284"/>
      <c r="O1327" s="370"/>
      <c r="W1327" s="64" ph="1"/>
      <c r="AI1327" s="131"/>
    </row>
    <row r="1328" spans="1:35" ht="26.4">
      <c r="A1328" s="284"/>
      <c r="B1328" s="284"/>
      <c r="C1328" s="284"/>
      <c r="D1328" s="284"/>
      <c r="E1328" s="284"/>
      <c r="F1328" s="284"/>
      <c r="G1328" s="284"/>
      <c r="H1328" s="284"/>
      <c r="I1328" s="284"/>
      <c r="J1328" s="375"/>
      <c r="K1328" s="375"/>
      <c r="L1328" s="375"/>
      <c r="M1328" s="368"/>
      <c r="N1328" s="368"/>
      <c r="T1328" s="340"/>
      <c r="V1328" s="378"/>
      <c r="W1328" s="64" ph="1"/>
      <c r="X1328" s="241"/>
      <c r="Y1328" s="284"/>
      <c r="Z1328" s="207"/>
      <c r="AA1328" s="284"/>
      <c r="AB1328" s="284"/>
      <c r="AC1328" s="284"/>
      <c r="AD1328" s="284"/>
      <c r="AE1328" s="284"/>
      <c r="AF1328" s="284"/>
      <c r="AG1328" s="284"/>
      <c r="AI1328" s="131"/>
    </row>
    <row r="1329" spans="1:35" ht="26.4">
      <c r="A1329" s="284"/>
      <c r="B1329" s="284"/>
      <c r="C1329" s="284"/>
      <c r="D1329" s="284"/>
      <c r="E1329" s="284"/>
      <c r="F1329" s="284"/>
      <c r="G1329" s="284"/>
      <c r="H1329" s="284"/>
      <c r="I1329" s="284"/>
      <c r="J1329" s="375"/>
      <c r="K1329" s="375"/>
      <c r="L1329" s="375"/>
      <c r="M1329" s="368"/>
      <c r="N1329" s="368"/>
      <c r="O1329" s="370"/>
      <c r="T1329" s="340"/>
      <c r="V1329" s="378"/>
      <c r="W1329" s="64" ph="1"/>
      <c r="X1329" s="241"/>
      <c r="Y1329" s="284"/>
      <c r="Z1329" s="207"/>
      <c r="AA1329" s="284"/>
      <c r="AB1329" s="284"/>
      <c r="AC1329" s="284"/>
      <c r="AD1329" s="284"/>
      <c r="AE1329" s="284"/>
      <c r="AF1329" s="284"/>
      <c r="AG1329" s="284"/>
      <c r="AI1329" s="131"/>
    </row>
    <row r="1330" spans="1:35" ht="26.4">
      <c r="A1330" s="284"/>
      <c r="B1330" s="284"/>
      <c r="C1330" s="284"/>
      <c r="D1330" s="284"/>
      <c r="E1330" s="284"/>
      <c r="F1330" s="284"/>
      <c r="G1330" s="284"/>
      <c r="H1330" s="284"/>
      <c r="I1330" s="284"/>
      <c r="J1330" s="375"/>
      <c r="K1330" s="375"/>
      <c r="L1330" s="375"/>
      <c r="M1330" s="368"/>
      <c r="N1330" s="368"/>
      <c r="O1330" s="370"/>
      <c r="T1330" s="340"/>
      <c r="V1330" s="378"/>
      <c r="W1330" s="64" ph="1"/>
      <c r="X1330" s="241"/>
      <c r="Y1330" s="284"/>
      <c r="Z1330" s="207"/>
      <c r="AA1330" s="284"/>
      <c r="AB1330" s="284"/>
      <c r="AC1330" s="284"/>
      <c r="AD1330" s="284"/>
      <c r="AE1330" s="284"/>
      <c r="AF1330" s="284"/>
      <c r="AG1330" s="284"/>
      <c r="AI1330" s="131"/>
    </row>
    <row r="1331" spans="1:35">
      <c r="O1331" s="370"/>
      <c r="AI1331" s="131"/>
    </row>
    <row r="1332" spans="1:35" ht="26.4">
      <c r="A1332" s="284"/>
      <c r="B1332" s="284"/>
      <c r="C1332" s="284"/>
      <c r="D1332" s="284"/>
      <c r="E1332" s="284"/>
      <c r="F1332" s="284"/>
      <c r="G1332" s="284"/>
      <c r="H1332" s="284"/>
      <c r="I1332" s="284"/>
      <c r="J1332" s="375"/>
      <c r="K1332" s="375"/>
      <c r="L1332" s="375"/>
      <c r="M1332" s="368"/>
      <c r="N1332" s="368"/>
      <c r="O1332" s="370"/>
      <c r="T1332" s="340"/>
      <c r="V1332" s="378"/>
      <c r="W1332" s="64" ph="1"/>
      <c r="X1332" s="241"/>
      <c r="Y1332" s="284"/>
      <c r="Z1332" s="207"/>
      <c r="AA1332" s="284"/>
      <c r="AB1332" s="284"/>
      <c r="AC1332" s="284"/>
      <c r="AD1332" s="284"/>
      <c r="AE1332" s="284"/>
      <c r="AF1332" s="284"/>
      <c r="AG1332" s="284"/>
      <c r="AI1332" s="131"/>
    </row>
    <row r="1333" spans="1:35" ht="26.4">
      <c r="A1333" s="284"/>
      <c r="B1333" s="284"/>
      <c r="C1333" s="284"/>
      <c r="D1333" s="284"/>
      <c r="E1333" s="284"/>
      <c r="F1333" s="284"/>
      <c r="G1333" s="284"/>
      <c r="H1333" s="284"/>
      <c r="I1333" s="284"/>
      <c r="J1333" s="375"/>
      <c r="K1333" s="375"/>
      <c r="L1333" s="375"/>
      <c r="M1333" s="368"/>
      <c r="N1333" s="368"/>
      <c r="O1333" s="370"/>
      <c r="T1333" s="340"/>
      <c r="V1333" s="378"/>
      <c r="W1333" s="64" ph="1"/>
      <c r="X1333" s="241"/>
      <c r="Y1333" s="284"/>
      <c r="Z1333" s="207"/>
      <c r="AA1333" s="284"/>
      <c r="AB1333" s="284"/>
      <c r="AC1333" s="284"/>
      <c r="AD1333" s="284"/>
      <c r="AE1333" s="284"/>
      <c r="AF1333" s="284"/>
      <c r="AG1333" s="284"/>
      <c r="AI1333" s="131"/>
    </row>
    <row r="1334" spans="1:35" ht="26.4">
      <c r="A1334" s="284"/>
      <c r="B1334" s="284"/>
      <c r="C1334" s="284"/>
      <c r="D1334" s="284"/>
      <c r="E1334" s="284"/>
      <c r="F1334" s="284"/>
      <c r="G1334" s="284"/>
      <c r="H1334" s="284"/>
      <c r="I1334" s="284"/>
      <c r="J1334" s="375"/>
      <c r="K1334" s="375"/>
      <c r="L1334" s="375"/>
      <c r="M1334" s="368"/>
      <c r="N1334" s="368"/>
      <c r="O1334" s="370"/>
      <c r="T1334" s="340"/>
      <c r="V1334" s="378"/>
      <c r="W1334" s="64" ph="1"/>
      <c r="X1334" s="241"/>
      <c r="Y1334" s="284"/>
      <c r="Z1334" s="207"/>
      <c r="AA1334" s="284"/>
      <c r="AB1334" s="284"/>
      <c r="AC1334" s="284"/>
      <c r="AD1334" s="284"/>
      <c r="AE1334" s="284"/>
      <c r="AF1334" s="284"/>
      <c r="AG1334" s="284"/>
      <c r="AI1334" s="131"/>
    </row>
    <row r="1335" spans="1:35" ht="26.4">
      <c r="A1335" s="284"/>
      <c r="B1335" s="284"/>
      <c r="C1335" s="284"/>
      <c r="D1335" s="284"/>
      <c r="E1335" s="284"/>
      <c r="F1335" s="284"/>
      <c r="G1335" s="284"/>
      <c r="H1335" s="284"/>
      <c r="I1335" s="284"/>
      <c r="J1335" s="375"/>
      <c r="K1335" s="375"/>
      <c r="L1335" s="375"/>
      <c r="M1335" s="368"/>
      <c r="N1335" s="368"/>
      <c r="O1335" s="370"/>
      <c r="T1335" s="340"/>
      <c r="V1335" s="378"/>
      <c r="W1335" s="64" ph="1"/>
      <c r="X1335" s="241"/>
      <c r="Y1335" s="284"/>
      <c r="Z1335" s="207"/>
      <c r="AA1335" s="284"/>
      <c r="AB1335" s="284"/>
      <c r="AC1335" s="284"/>
      <c r="AD1335" s="284"/>
      <c r="AE1335" s="284"/>
      <c r="AF1335" s="284"/>
      <c r="AG1335" s="284"/>
      <c r="AI1335" s="28"/>
    </row>
    <row r="1336" spans="1:35">
      <c r="O1336" s="370"/>
      <c r="AI1336" s="131"/>
    </row>
    <row r="1337" spans="1:35">
      <c r="AI1337" s="131"/>
    </row>
    <row r="1338" spans="1:35">
      <c r="AI1338" s="131"/>
    </row>
    <row r="1339" spans="1:35">
      <c r="AI1339" s="131"/>
    </row>
    <row r="1340" spans="1:35">
      <c r="AI1340" s="131"/>
    </row>
    <row r="1341" spans="1:35">
      <c r="AI1341" s="131"/>
    </row>
    <row r="1342" spans="1:35">
      <c r="AI1342" s="128"/>
    </row>
    <row r="1343" spans="1:35">
      <c r="AI1343" s="131"/>
    </row>
    <row r="1344" spans="1:35">
      <c r="AI1344" s="131"/>
    </row>
    <row r="1345" spans="15:35">
      <c r="O1345" s="370"/>
      <c r="AI1345" s="131"/>
    </row>
    <row r="1346" spans="15:35">
      <c r="O1346" s="370"/>
      <c r="AI1346" s="131"/>
    </row>
    <row r="1347" spans="15:35">
      <c r="O1347" s="370"/>
      <c r="AI1347" s="131"/>
    </row>
    <row r="1348" spans="15:35">
      <c r="AI1348" s="131"/>
    </row>
    <row r="1349" spans="15:35">
      <c r="O1349" s="370"/>
      <c r="AI1349" s="131"/>
    </row>
    <row r="1350" spans="15:35">
      <c r="O1350" s="370"/>
      <c r="AI1350" s="131"/>
    </row>
    <row r="1351" spans="15:35">
      <c r="O1351" s="370"/>
      <c r="AI1351" s="131"/>
    </row>
    <row r="1352" spans="15:35">
      <c r="O1352" s="370"/>
      <c r="AI1352" s="131"/>
    </row>
    <row r="1353" spans="15:35">
      <c r="AI1353" s="131"/>
    </row>
    <row r="1354" spans="15:35">
      <c r="AI1354" s="131"/>
    </row>
    <row r="1355" spans="15:35">
      <c r="AI1355" s="131"/>
    </row>
    <row r="1356" spans="15:35">
      <c r="AI1356" s="131"/>
    </row>
    <row r="1357" spans="15:35">
      <c r="AI1357" s="131"/>
    </row>
    <row r="1358" spans="15:35">
      <c r="AI1358" s="131"/>
    </row>
    <row r="1359" spans="15:35">
      <c r="AI1359" s="131"/>
    </row>
    <row r="1360" spans="15:35">
      <c r="AI1360" s="131"/>
    </row>
    <row r="1361" spans="35:35">
      <c r="AI1361" s="131"/>
    </row>
    <row r="1362" spans="35:35">
      <c r="AI1362" s="131"/>
    </row>
    <row r="1363" spans="35:35">
      <c r="AI1363" s="131"/>
    </row>
    <row r="1364" spans="35:35">
      <c r="AI1364" s="131"/>
    </row>
    <row r="1365" spans="35:35">
      <c r="AI1365" s="131"/>
    </row>
    <row r="1366" spans="35:35">
      <c r="AI1366" s="131"/>
    </row>
    <row r="1367" spans="35:35">
      <c r="AI1367" s="131"/>
    </row>
    <row r="1368" spans="35:35">
      <c r="AI1368" s="131"/>
    </row>
    <row r="1369" spans="35:35">
      <c r="AI1369" s="131"/>
    </row>
    <row r="1370" spans="35:35">
      <c r="AI1370" s="131"/>
    </row>
    <row r="1371" spans="35:35">
      <c r="AI1371" s="131"/>
    </row>
    <row r="1372" spans="35:35">
      <c r="AI1372" s="131"/>
    </row>
    <row r="1373" spans="35:35">
      <c r="AI1373" s="131"/>
    </row>
    <row r="1374" spans="35:35">
      <c r="AI1374" s="131"/>
    </row>
    <row r="1375" spans="35:35">
      <c r="AI1375" s="131"/>
    </row>
    <row r="1376" spans="35:35">
      <c r="AI1376" s="131"/>
    </row>
    <row r="1377" spans="35:35">
      <c r="AI1377" s="131"/>
    </row>
    <row r="1378" spans="35:35">
      <c r="AI1378" s="131"/>
    </row>
    <row r="1379" spans="35:35">
      <c r="AI1379" s="131"/>
    </row>
    <row r="1380" spans="35:35">
      <c r="AI1380" s="131"/>
    </row>
    <row r="1381" spans="35:35">
      <c r="AI1381" s="131"/>
    </row>
    <row r="1382" spans="35:35">
      <c r="AI1382" s="284"/>
    </row>
    <row r="1383" spans="35:35">
      <c r="AI1383" s="131"/>
    </row>
    <row r="1384" spans="35:35">
      <c r="AI1384" s="131"/>
    </row>
    <row r="1385" spans="35:35">
      <c r="AI1385" s="131"/>
    </row>
    <row r="1386" spans="35:35">
      <c r="AI1386" s="131"/>
    </row>
    <row r="1387" spans="35:35">
      <c r="AI1387" s="286"/>
    </row>
    <row r="1388" spans="35:35">
      <c r="AI1388" s="131"/>
    </row>
    <row r="1389" spans="35:35">
      <c r="AI1389" s="131"/>
    </row>
    <row r="1390" spans="35:35">
      <c r="AI1390" s="131"/>
    </row>
    <row r="1391" spans="35:35">
      <c r="AI1391" s="131"/>
    </row>
    <row r="1392" spans="35:35">
      <c r="AI1392" s="131"/>
    </row>
    <row r="1393" spans="35:35">
      <c r="AI1393" s="131"/>
    </row>
    <row r="1394" spans="35:35">
      <c r="AI1394" s="236"/>
    </row>
    <row r="1395" spans="35:35">
      <c r="AI1395" s="131"/>
    </row>
    <row r="1396" spans="35:35">
      <c r="AI1396" s="131"/>
    </row>
    <row r="1397" spans="35:35">
      <c r="AI1397" s="131"/>
    </row>
    <row r="1398" spans="35:35">
      <c r="AI1398" s="131"/>
    </row>
    <row r="1399" spans="35:35">
      <c r="AI1399" s="131"/>
    </row>
    <row r="1400" spans="35:35">
      <c r="AI1400" s="131"/>
    </row>
    <row r="1401" spans="35:35">
      <c r="AI1401" s="131"/>
    </row>
    <row r="1402" spans="35:35">
      <c r="AI1402" s="131"/>
    </row>
    <row r="1403" spans="35:35">
      <c r="AI1403" s="131"/>
    </row>
    <row r="1404" spans="35:35">
      <c r="AI1404" s="131"/>
    </row>
    <row r="1405" spans="35:35">
      <c r="AI1405" s="284"/>
    </row>
    <row r="1406" spans="35:35">
      <c r="AI1406" s="131"/>
    </row>
    <row r="1407" spans="35:35">
      <c r="AI1407" s="131"/>
    </row>
    <row r="1408" spans="35:35">
      <c r="AI1408" s="131"/>
    </row>
    <row r="1409" spans="35:35">
      <c r="AI1409" s="131"/>
    </row>
    <row r="1410" spans="35:35">
      <c r="AI1410" s="131"/>
    </row>
    <row r="1411" spans="35:35">
      <c r="AI1411" s="131"/>
    </row>
    <row r="1412" spans="35:35">
      <c r="AI1412" s="131"/>
    </row>
    <row r="1413" spans="35:35">
      <c r="AI1413" s="131"/>
    </row>
    <row r="1414" spans="35:35">
      <c r="AI1414" s="131"/>
    </row>
    <row r="1415" spans="35:35">
      <c r="AI1415" s="131"/>
    </row>
    <row r="1416" spans="35:35">
      <c r="AI1416" s="131"/>
    </row>
    <row r="1417" spans="35:35">
      <c r="AI1417" s="284"/>
    </row>
    <row r="1418" spans="35:35">
      <c r="AI1418" s="131"/>
    </row>
    <row r="1419" spans="35:35">
      <c r="AI1419" s="28"/>
    </row>
    <row r="1420" spans="35:35">
      <c r="AI1420" s="284"/>
    </row>
    <row r="1421" spans="35:35">
      <c r="AI1421" s="131"/>
    </row>
    <row r="1422" spans="35:35">
      <c r="AI1422" s="131"/>
    </row>
    <row r="1423" spans="35:35">
      <c r="AI1423" s="131"/>
    </row>
    <row r="1424" spans="35:35">
      <c r="AI1424" s="131"/>
    </row>
    <row r="1425" spans="35:35">
      <c r="AI1425" s="284"/>
    </row>
    <row r="1426" spans="35:35">
      <c r="AI1426" s="131"/>
    </row>
    <row r="1427" spans="35:35">
      <c r="AI1427" s="131"/>
    </row>
    <row r="1428" spans="35:35">
      <c r="AI1428" s="131"/>
    </row>
    <row r="1429" spans="35:35">
      <c r="AI1429" s="131"/>
    </row>
    <row r="1430" spans="35:35">
      <c r="AI1430" s="131"/>
    </row>
    <row r="1431" spans="35:35">
      <c r="AI1431" s="131"/>
    </row>
    <row r="1432" spans="35:35">
      <c r="AI1432" s="131"/>
    </row>
    <row r="1433" spans="35:35">
      <c r="AI1433" s="131"/>
    </row>
    <row r="1434" spans="35:35">
      <c r="AI1434" s="131"/>
    </row>
    <row r="1435" spans="35:35">
      <c r="AI1435" s="131"/>
    </row>
    <row r="1436" spans="35:35">
      <c r="AI1436" s="131"/>
    </row>
    <row r="1437" spans="35:35">
      <c r="AI1437" s="131"/>
    </row>
    <row r="1438" spans="35:35">
      <c r="AI1438" s="131"/>
    </row>
    <row r="1439" spans="35:35">
      <c r="AI1439" s="131"/>
    </row>
    <row r="1440" spans="35:35">
      <c r="AI1440" s="131"/>
    </row>
    <row r="1441" spans="35:35">
      <c r="AI1441" s="131"/>
    </row>
    <row r="1442" spans="35:35">
      <c r="AI1442" s="131"/>
    </row>
    <row r="1443" spans="35:35">
      <c r="AI1443" s="131"/>
    </row>
    <row r="1444" spans="35:35">
      <c r="AI1444" s="131"/>
    </row>
    <row r="1445" spans="35:35">
      <c r="AI1445" s="284"/>
    </row>
    <row r="1446" spans="35:35">
      <c r="AI1446" s="131"/>
    </row>
    <row r="1447" spans="35:35">
      <c r="AI1447" s="131"/>
    </row>
    <row r="1448" spans="35:35">
      <c r="AI1448" s="131"/>
    </row>
    <row r="1449" spans="35:35">
      <c r="AI1449" s="131"/>
    </row>
    <row r="1450" spans="35:35">
      <c r="AI1450" s="131"/>
    </row>
    <row r="1451" spans="35:35">
      <c r="AI1451" s="131"/>
    </row>
    <row r="1452" spans="35:35">
      <c r="AI1452" s="131"/>
    </row>
    <row r="1453" spans="35:35">
      <c r="AI1453" s="131"/>
    </row>
    <row r="1454" spans="35:35">
      <c r="AI1454" s="131"/>
    </row>
    <row r="1455" spans="35:35">
      <c r="AI1455" s="131"/>
    </row>
    <row r="1456" spans="35:35">
      <c r="AI1456" s="131"/>
    </row>
    <row r="1457" spans="1:35">
      <c r="AI1457" s="131"/>
    </row>
    <row r="1458" spans="1:35">
      <c r="AI1458" s="131"/>
    </row>
    <row r="1459" spans="1:35">
      <c r="AI1459" s="131"/>
    </row>
    <row r="1460" spans="1:35">
      <c r="AI1460" s="131"/>
    </row>
    <row r="1461" spans="1:35" ht="26.4">
      <c r="A1461" s="284"/>
      <c r="B1461" s="284"/>
      <c r="C1461" s="284"/>
      <c r="D1461" s="284"/>
      <c r="E1461" s="284"/>
      <c r="F1461" s="284"/>
      <c r="G1461" s="284"/>
      <c r="H1461" s="284"/>
      <c r="I1461" s="284"/>
      <c r="J1461" s="375"/>
      <c r="K1461" s="375"/>
      <c r="L1461" s="375"/>
      <c r="M1461" s="368"/>
      <c r="N1461" s="368"/>
      <c r="T1461" s="340"/>
      <c r="V1461" s="378"/>
      <c r="W1461" s="64" ph="1"/>
      <c r="X1461" s="241"/>
      <c r="Y1461" s="284"/>
      <c r="Z1461" s="207"/>
      <c r="AA1461" s="284"/>
      <c r="AB1461" s="284"/>
      <c r="AC1461" s="284"/>
      <c r="AD1461" s="284"/>
      <c r="AE1461" s="284"/>
      <c r="AF1461" s="284"/>
      <c r="AG1461" s="284"/>
      <c r="AI1461" s="131"/>
    </row>
    <row r="1462" spans="1:35">
      <c r="AI1462" s="131"/>
    </row>
    <row r="1463" spans="1:35">
      <c r="AI1463" s="131"/>
    </row>
    <row r="1464" spans="1:35">
      <c r="AI1464" s="131"/>
    </row>
    <row r="1465" spans="1:35">
      <c r="AI1465" s="131"/>
    </row>
    <row r="1466" spans="1:35">
      <c r="AI1466" s="131"/>
    </row>
    <row r="1467" spans="1:35">
      <c r="AI1467" s="131"/>
    </row>
    <row r="1468" spans="1:35">
      <c r="AI1468" s="131"/>
    </row>
    <row r="1469" spans="1:35">
      <c r="AI1469" s="131"/>
    </row>
    <row r="1470" spans="1:35">
      <c r="AI1470" s="131"/>
    </row>
    <row r="1471" spans="1:35" ht="26.4">
      <c r="A1471" s="284"/>
      <c r="B1471" s="284"/>
      <c r="C1471" s="284"/>
      <c r="D1471" s="284"/>
      <c r="E1471" s="284"/>
      <c r="F1471" s="284"/>
      <c r="G1471" s="284"/>
      <c r="H1471" s="284"/>
      <c r="I1471" s="284"/>
      <c r="J1471" s="375"/>
      <c r="K1471" s="375"/>
      <c r="L1471" s="375"/>
      <c r="M1471" s="368"/>
      <c r="N1471" s="368"/>
      <c r="T1471" s="340"/>
      <c r="V1471" s="378"/>
      <c r="W1471" s="64" ph="1"/>
      <c r="X1471" s="241"/>
      <c r="Y1471" s="284"/>
      <c r="Z1471" s="207"/>
      <c r="AA1471" s="284"/>
      <c r="AB1471" s="284"/>
      <c r="AC1471" s="284"/>
      <c r="AD1471" s="284"/>
      <c r="AE1471" s="284"/>
      <c r="AF1471" s="284"/>
      <c r="AG1471" s="284"/>
      <c r="AI1471" s="131"/>
    </row>
    <row r="1472" spans="1:35">
      <c r="AI1472" s="131"/>
    </row>
    <row r="1473" spans="1:35">
      <c r="AI1473" s="131"/>
    </row>
    <row r="1474" spans="1:35">
      <c r="AI1474" s="131"/>
    </row>
    <row r="1475" spans="1:35" ht="26.4">
      <c r="A1475" s="284"/>
      <c r="B1475" s="284"/>
      <c r="C1475" s="284"/>
      <c r="D1475" s="284"/>
      <c r="E1475" s="284"/>
      <c r="F1475" s="284"/>
      <c r="G1475" s="284"/>
      <c r="H1475" s="284"/>
      <c r="I1475" s="284"/>
      <c r="J1475" s="375"/>
      <c r="K1475" s="375"/>
      <c r="L1475" s="375"/>
      <c r="M1475" s="368"/>
      <c r="N1475" s="368"/>
      <c r="T1475" s="340"/>
      <c r="V1475" s="378"/>
      <c r="W1475" s="64" ph="1"/>
      <c r="X1475" s="241"/>
      <c r="Y1475" s="284"/>
      <c r="Z1475" s="207"/>
      <c r="AA1475" s="284"/>
      <c r="AB1475" s="284"/>
      <c r="AC1475" s="284"/>
      <c r="AD1475" s="284"/>
      <c r="AE1475" s="284"/>
      <c r="AF1475" s="284"/>
      <c r="AG1475" s="284"/>
      <c r="AI1475" s="131"/>
    </row>
    <row r="1476" spans="1:35">
      <c r="AI1476" s="131"/>
    </row>
    <row r="1477" spans="1:35">
      <c r="AI1477" s="131"/>
    </row>
    <row r="1478" spans="1:35">
      <c r="O1478" s="370"/>
      <c r="AI1478" s="131"/>
    </row>
    <row r="1479" spans="1:35">
      <c r="AI1479" s="131"/>
    </row>
    <row r="1480" spans="1:35" ht="26.4">
      <c r="A1480" s="284"/>
      <c r="B1480" s="284"/>
      <c r="C1480" s="284"/>
      <c r="D1480" s="284"/>
      <c r="E1480" s="284"/>
      <c r="F1480" s="284"/>
      <c r="G1480" s="284"/>
      <c r="H1480" s="284"/>
      <c r="I1480" s="284"/>
      <c r="J1480" s="375"/>
      <c r="K1480" s="375"/>
      <c r="L1480" s="375"/>
      <c r="M1480" s="368"/>
      <c r="N1480" s="368"/>
      <c r="T1480" s="340"/>
      <c r="V1480" s="378"/>
      <c r="W1480" s="64" ph="1"/>
      <c r="X1480" s="241"/>
      <c r="Y1480" s="284"/>
      <c r="Z1480" s="207"/>
      <c r="AA1480" s="284"/>
      <c r="AB1480" s="284"/>
      <c r="AC1480" s="284"/>
      <c r="AD1480" s="284"/>
      <c r="AE1480" s="284"/>
      <c r="AF1480" s="284"/>
      <c r="AG1480" s="284"/>
      <c r="AI1480" s="131"/>
    </row>
    <row r="1481" spans="1:35" ht="26.4">
      <c r="A1481" s="284"/>
      <c r="B1481" s="284"/>
      <c r="C1481" s="284"/>
      <c r="D1481" s="284"/>
      <c r="E1481" s="284"/>
      <c r="F1481" s="284"/>
      <c r="G1481" s="284"/>
      <c r="H1481" s="284"/>
      <c r="I1481" s="284"/>
      <c r="J1481" s="375"/>
      <c r="K1481" s="375"/>
      <c r="L1481" s="375"/>
      <c r="M1481" s="368"/>
      <c r="N1481" s="368"/>
      <c r="T1481" s="340"/>
      <c r="V1481" s="378"/>
      <c r="W1481" s="64" ph="1"/>
      <c r="X1481" s="241"/>
      <c r="Y1481" s="284"/>
      <c r="Z1481" s="207"/>
      <c r="AA1481" s="284"/>
      <c r="AB1481" s="284"/>
      <c r="AC1481" s="284"/>
      <c r="AD1481" s="284"/>
      <c r="AE1481" s="284"/>
      <c r="AF1481" s="284"/>
      <c r="AG1481" s="284"/>
      <c r="AI1481" s="131"/>
    </row>
    <row r="1482" spans="1:35" ht="26.4">
      <c r="A1482" s="284"/>
      <c r="B1482" s="284"/>
      <c r="C1482" s="284"/>
      <c r="D1482" s="284"/>
      <c r="E1482" s="284"/>
      <c r="F1482" s="284"/>
      <c r="G1482" s="284"/>
      <c r="H1482" s="284"/>
      <c r="I1482" s="284"/>
      <c r="J1482" s="375"/>
      <c r="K1482" s="375"/>
      <c r="L1482" s="375"/>
      <c r="M1482" s="368"/>
      <c r="N1482" s="368"/>
      <c r="T1482" s="340"/>
      <c r="V1482" s="378"/>
      <c r="W1482" s="64" ph="1"/>
      <c r="X1482" s="241"/>
      <c r="Y1482" s="284"/>
      <c r="Z1482" s="207"/>
      <c r="AA1482" s="284"/>
      <c r="AB1482" s="284"/>
      <c r="AC1482" s="284"/>
      <c r="AD1482" s="284"/>
      <c r="AE1482" s="284"/>
      <c r="AF1482" s="284"/>
      <c r="AG1482" s="284"/>
      <c r="AI1482" s="131"/>
    </row>
    <row r="1483" spans="1:35">
      <c r="AI1483" s="131"/>
    </row>
    <row r="1484" spans="1:35" ht="26.4">
      <c r="A1484" s="284"/>
      <c r="B1484" s="284"/>
      <c r="C1484" s="284"/>
      <c r="D1484" s="284"/>
      <c r="E1484" s="284"/>
      <c r="F1484" s="284"/>
      <c r="G1484" s="284"/>
      <c r="H1484" s="284"/>
      <c r="I1484" s="284"/>
      <c r="J1484" s="375"/>
      <c r="K1484" s="375"/>
      <c r="L1484" s="375"/>
      <c r="M1484" s="368"/>
      <c r="N1484" s="368"/>
      <c r="T1484" s="340"/>
      <c r="V1484" s="378"/>
      <c r="W1484" s="64" ph="1"/>
      <c r="X1484" s="241"/>
      <c r="Y1484" s="284"/>
      <c r="Z1484" s="207"/>
      <c r="AA1484" s="284"/>
      <c r="AB1484" s="284"/>
      <c r="AC1484" s="284"/>
      <c r="AD1484" s="284"/>
      <c r="AE1484" s="284"/>
      <c r="AF1484" s="284"/>
      <c r="AG1484" s="284"/>
      <c r="AI1484" s="284"/>
    </row>
    <row r="1485" spans="1:35" ht="26.4">
      <c r="A1485" s="284"/>
      <c r="B1485" s="284"/>
      <c r="C1485" s="284"/>
      <c r="D1485" s="284"/>
      <c r="E1485" s="284"/>
      <c r="F1485" s="284"/>
      <c r="G1485" s="284"/>
      <c r="H1485" s="284"/>
      <c r="I1485" s="284"/>
      <c r="J1485" s="375"/>
      <c r="K1485" s="375"/>
      <c r="L1485" s="375"/>
      <c r="M1485" s="368"/>
      <c r="N1485" s="368"/>
      <c r="T1485" s="340"/>
      <c r="V1485" s="378"/>
      <c r="W1485" s="64" ph="1"/>
      <c r="X1485" s="241"/>
      <c r="Y1485" s="284"/>
      <c r="Z1485" s="207"/>
      <c r="AA1485" s="284"/>
      <c r="AB1485" s="284"/>
      <c r="AC1485" s="284"/>
      <c r="AD1485" s="284"/>
      <c r="AE1485" s="284"/>
      <c r="AF1485" s="284"/>
      <c r="AG1485" s="284"/>
      <c r="AI1485" s="131"/>
    </row>
    <row r="1486" spans="1:35">
      <c r="AI1486" s="131"/>
    </row>
    <row r="1487" spans="1:35" ht="26.4">
      <c r="A1487" s="284"/>
      <c r="B1487" s="284"/>
      <c r="C1487" s="284"/>
      <c r="D1487" s="284"/>
      <c r="E1487" s="284"/>
      <c r="F1487" s="284"/>
      <c r="G1487" s="284"/>
      <c r="H1487" s="284"/>
      <c r="I1487" s="284"/>
      <c r="J1487" s="375"/>
      <c r="K1487" s="375"/>
      <c r="L1487" s="375"/>
      <c r="M1487" s="368"/>
      <c r="N1487" s="368"/>
      <c r="T1487" s="340"/>
      <c r="V1487" s="378"/>
      <c r="W1487" s="64" ph="1"/>
      <c r="X1487" s="241"/>
      <c r="Y1487" s="284"/>
      <c r="Z1487" s="207"/>
      <c r="AA1487" s="284"/>
      <c r="AB1487" s="284"/>
      <c r="AC1487" s="284"/>
      <c r="AD1487" s="284"/>
      <c r="AE1487" s="284"/>
      <c r="AF1487" s="284"/>
      <c r="AG1487" s="284"/>
      <c r="AI1487" s="131"/>
    </row>
    <row r="1488" spans="1:35">
      <c r="O1488" s="370"/>
      <c r="AI1488" s="131"/>
    </row>
    <row r="1489" spans="1:35" ht="26.4">
      <c r="A1489" s="284"/>
      <c r="B1489" s="284"/>
      <c r="C1489" s="284"/>
      <c r="D1489" s="284"/>
      <c r="E1489" s="284"/>
      <c r="F1489" s="284"/>
      <c r="G1489" s="284"/>
      <c r="H1489" s="284"/>
      <c r="I1489" s="284"/>
      <c r="J1489" s="375"/>
      <c r="K1489" s="375"/>
      <c r="L1489" s="375"/>
      <c r="M1489" s="368"/>
      <c r="N1489" s="368"/>
      <c r="T1489" s="340"/>
      <c r="V1489" s="378"/>
      <c r="W1489" s="64" ph="1"/>
      <c r="X1489" s="241"/>
      <c r="Y1489" s="284"/>
      <c r="Z1489" s="207"/>
      <c r="AA1489" s="284"/>
      <c r="AB1489" s="284"/>
      <c r="AC1489" s="284"/>
      <c r="AD1489" s="284"/>
      <c r="AE1489" s="284"/>
      <c r="AF1489" s="284"/>
      <c r="AG1489" s="284"/>
      <c r="AI1489" s="131"/>
    </row>
    <row r="1490" spans="1:35" ht="26.4">
      <c r="A1490" s="284"/>
      <c r="B1490" s="284"/>
      <c r="C1490" s="284"/>
      <c r="D1490" s="284"/>
      <c r="E1490" s="284"/>
      <c r="F1490" s="284"/>
      <c r="G1490" s="284"/>
      <c r="H1490" s="284"/>
      <c r="I1490" s="284"/>
      <c r="J1490" s="375"/>
      <c r="K1490" s="375"/>
      <c r="L1490" s="375"/>
      <c r="M1490" s="368"/>
      <c r="N1490" s="368"/>
      <c r="T1490" s="340"/>
      <c r="V1490" s="378"/>
      <c r="W1490" s="64" ph="1"/>
      <c r="X1490" s="241"/>
      <c r="Y1490" s="284"/>
      <c r="Z1490" s="207"/>
      <c r="AA1490" s="284"/>
      <c r="AB1490" s="284"/>
      <c r="AC1490" s="284"/>
      <c r="AD1490" s="284"/>
      <c r="AE1490" s="284"/>
      <c r="AF1490" s="284"/>
      <c r="AG1490" s="284"/>
      <c r="AI1490" s="131"/>
    </row>
    <row r="1491" spans="1:35" ht="26.4">
      <c r="A1491" s="284"/>
      <c r="B1491" s="284"/>
      <c r="C1491" s="284"/>
      <c r="D1491" s="284"/>
      <c r="E1491" s="284"/>
      <c r="F1491" s="284"/>
      <c r="G1491" s="284"/>
      <c r="H1491" s="284"/>
      <c r="I1491" s="284"/>
      <c r="J1491" s="375"/>
      <c r="K1491" s="375"/>
      <c r="L1491" s="375"/>
      <c r="M1491" s="368"/>
      <c r="N1491" s="368"/>
      <c r="T1491" s="340"/>
      <c r="V1491" s="378"/>
      <c r="W1491" s="64" ph="1"/>
      <c r="X1491" s="241"/>
      <c r="Y1491" s="284"/>
      <c r="Z1491" s="207"/>
      <c r="AA1491" s="284"/>
      <c r="AB1491" s="284"/>
      <c r="AC1491" s="284"/>
      <c r="AD1491" s="284"/>
      <c r="AE1491" s="284"/>
      <c r="AF1491" s="284"/>
      <c r="AG1491" s="284"/>
      <c r="AI1491" s="131"/>
    </row>
    <row r="1492" spans="1:35" ht="26.4">
      <c r="A1492" s="284"/>
      <c r="B1492" s="284"/>
      <c r="C1492" s="284"/>
      <c r="D1492" s="284"/>
      <c r="E1492" s="284"/>
      <c r="F1492" s="284"/>
      <c r="G1492" s="284"/>
      <c r="H1492" s="284"/>
      <c r="I1492" s="284"/>
      <c r="J1492" s="375"/>
      <c r="K1492" s="375"/>
      <c r="L1492" s="375"/>
      <c r="M1492" s="368"/>
      <c r="N1492" s="368"/>
      <c r="O1492" s="370"/>
      <c r="T1492" s="340"/>
      <c r="V1492" s="378"/>
      <c r="W1492" s="64" ph="1"/>
      <c r="X1492" s="241"/>
      <c r="Y1492" s="284"/>
      <c r="Z1492" s="207"/>
      <c r="AA1492" s="284"/>
      <c r="AB1492" s="284"/>
      <c r="AC1492" s="284"/>
      <c r="AD1492" s="284"/>
      <c r="AE1492" s="284"/>
      <c r="AF1492" s="284"/>
      <c r="AG1492" s="284"/>
      <c r="AI1492" s="131"/>
    </row>
    <row r="1493" spans="1:35" ht="26.4">
      <c r="A1493" s="284"/>
      <c r="B1493" s="284"/>
      <c r="C1493" s="284"/>
      <c r="D1493" s="284"/>
      <c r="E1493" s="284"/>
      <c r="F1493" s="284"/>
      <c r="G1493" s="284"/>
      <c r="H1493" s="284"/>
      <c r="I1493" s="284"/>
      <c r="J1493" s="375"/>
      <c r="K1493" s="375"/>
      <c r="L1493" s="375"/>
      <c r="M1493" s="368"/>
      <c r="N1493" s="368"/>
      <c r="T1493" s="340"/>
      <c r="V1493" s="378"/>
      <c r="W1493" s="64" ph="1"/>
      <c r="X1493" s="241"/>
      <c r="Y1493" s="284"/>
      <c r="Z1493" s="207"/>
      <c r="AA1493" s="284"/>
      <c r="AB1493" s="284"/>
      <c r="AC1493" s="284"/>
      <c r="AD1493" s="284"/>
      <c r="AE1493" s="284"/>
      <c r="AF1493" s="284"/>
      <c r="AG1493" s="284"/>
      <c r="AI1493" s="131"/>
    </row>
    <row r="1494" spans="1:35" ht="26.4">
      <c r="A1494" s="284"/>
      <c r="B1494" s="284"/>
      <c r="C1494" s="284"/>
      <c r="D1494" s="284"/>
      <c r="E1494" s="284"/>
      <c r="F1494" s="284"/>
      <c r="G1494" s="284"/>
      <c r="H1494" s="284"/>
      <c r="I1494" s="284"/>
      <c r="J1494" s="375"/>
      <c r="K1494" s="375"/>
      <c r="L1494" s="375"/>
      <c r="M1494" s="368"/>
      <c r="N1494" s="368"/>
      <c r="T1494" s="340"/>
      <c r="V1494" s="378"/>
      <c r="W1494" s="64" ph="1"/>
      <c r="X1494" s="241"/>
      <c r="Y1494" s="284"/>
      <c r="Z1494" s="207"/>
      <c r="AA1494" s="284"/>
      <c r="AB1494" s="284"/>
      <c r="AC1494" s="284"/>
      <c r="AD1494" s="284"/>
      <c r="AE1494" s="284"/>
      <c r="AF1494" s="284"/>
      <c r="AG1494" s="284"/>
      <c r="AI1494" s="131"/>
    </row>
    <row r="1495" spans="1:35" ht="26.4">
      <c r="A1495" s="284"/>
      <c r="B1495" s="284"/>
      <c r="C1495" s="284"/>
      <c r="D1495" s="284"/>
      <c r="E1495" s="284"/>
      <c r="F1495" s="284"/>
      <c r="G1495" s="284"/>
      <c r="H1495" s="284"/>
      <c r="I1495" s="284"/>
      <c r="J1495" s="375"/>
      <c r="K1495" s="375"/>
      <c r="L1495" s="375"/>
      <c r="M1495" s="368"/>
      <c r="N1495" s="368"/>
      <c r="T1495" s="340"/>
      <c r="V1495" s="378"/>
      <c r="W1495" s="64" ph="1"/>
      <c r="X1495" s="241"/>
      <c r="Y1495" s="284"/>
      <c r="Z1495" s="207"/>
      <c r="AA1495" s="284"/>
      <c r="AB1495" s="284"/>
      <c r="AC1495" s="284"/>
      <c r="AD1495" s="284"/>
      <c r="AE1495" s="284"/>
      <c r="AF1495" s="284"/>
      <c r="AG1495" s="284"/>
      <c r="AI1495" s="131"/>
    </row>
    <row r="1496" spans="1:35" ht="26.4">
      <c r="A1496" s="284"/>
      <c r="B1496" s="284"/>
      <c r="C1496" s="284"/>
      <c r="D1496" s="284"/>
      <c r="E1496" s="284"/>
      <c r="F1496" s="284"/>
      <c r="G1496" s="284"/>
      <c r="H1496" s="284"/>
      <c r="I1496" s="284"/>
      <c r="J1496" s="375"/>
      <c r="K1496" s="375"/>
      <c r="L1496" s="375"/>
      <c r="M1496" s="368"/>
      <c r="N1496" s="368"/>
      <c r="T1496" s="340"/>
      <c r="V1496" s="378"/>
      <c r="W1496" s="64" ph="1"/>
      <c r="X1496" s="241"/>
      <c r="Y1496" s="284"/>
      <c r="Z1496" s="207"/>
      <c r="AA1496" s="284"/>
      <c r="AB1496" s="284"/>
      <c r="AC1496" s="284"/>
      <c r="AD1496" s="284"/>
      <c r="AE1496" s="284"/>
      <c r="AF1496" s="284"/>
      <c r="AG1496" s="284"/>
      <c r="AI1496" s="131"/>
    </row>
    <row r="1497" spans="1:35" ht="26.4">
      <c r="A1497" s="284"/>
      <c r="B1497" s="284"/>
      <c r="C1497" s="284"/>
      <c r="D1497" s="284"/>
      <c r="E1497" s="284"/>
      <c r="F1497" s="284"/>
      <c r="G1497" s="284"/>
      <c r="H1497" s="284"/>
      <c r="I1497" s="284"/>
      <c r="J1497" s="375"/>
      <c r="K1497" s="375"/>
      <c r="L1497" s="375"/>
      <c r="M1497" s="368"/>
      <c r="N1497" s="368"/>
      <c r="O1497" s="370"/>
      <c r="T1497" s="340"/>
      <c r="V1497" s="378"/>
      <c r="W1497" s="64" ph="1"/>
      <c r="X1497" s="241"/>
      <c r="Y1497" s="284"/>
      <c r="Z1497" s="207"/>
      <c r="AA1497" s="284"/>
      <c r="AB1497" s="284"/>
      <c r="AC1497" s="284"/>
      <c r="AD1497" s="284"/>
      <c r="AE1497" s="284"/>
      <c r="AF1497" s="284"/>
      <c r="AG1497" s="284"/>
      <c r="AI1497" s="131"/>
    </row>
    <row r="1498" spans="1:35" ht="26.4">
      <c r="A1498" s="284"/>
      <c r="B1498" s="284"/>
      <c r="C1498" s="284"/>
      <c r="D1498" s="284"/>
      <c r="E1498" s="284"/>
      <c r="F1498" s="284"/>
      <c r="G1498" s="284"/>
      <c r="H1498" s="284"/>
      <c r="I1498" s="284"/>
      <c r="J1498" s="375"/>
      <c r="K1498" s="375"/>
      <c r="L1498" s="375"/>
      <c r="M1498" s="368"/>
      <c r="N1498" s="368"/>
      <c r="O1498" s="370"/>
      <c r="T1498" s="340"/>
      <c r="V1498" s="378"/>
      <c r="W1498" s="64" ph="1"/>
      <c r="X1498" s="241"/>
      <c r="Y1498" s="284"/>
      <c r="Z1498" s="207"/>
      <c r="AA1498" s="284"/>
      <c r="AB1498" s="284"/>
      <c r="AC1498" s="284"/>
      <c r="AD1498" s="284"/>
      <c r="AE1498" s="284"/>
      <c r="AF1498" s="284"/>
      <c r="AG1498" s="284"/>
      <c r="AI1498" s="131"/>
    </row>
    <row r="1499" spans="1:35">
      <c r="O1499" s="370"/>
      <c r="AI1499" s="131"/>
    </row>
    <row r="1500" spans="1:35" ht="26.4">
      <c r="A1500" s="284"/>
      <c r="B1500" s="284"/>
      <c r="C1500" s="284"/>
      <c r="D1500" s="284"/>
      <c r="E1500" s="284"/>
      <c r="F1500" s="284"/>
      <c r="G1500" s="284"/>
      <c r="H1500" s="284"/>
      <c r="I1500" s="284"/>
      <c r="J1500" s="375"/>
      <c r="K1500" s="375"/>
      <c r="L1500" s="375"/>
      <c r="M1500" s="368"/>
      <c r="N1500" s="368"/>
      <c r="T1500" s="340"/>
      <c r="V1500" s="378"/>
      <c r="W1500" s="64" ph="1"/>
      <c r="X1500" s="241"/>
      <c r="Y1500" s="284"/>
      <c r="Z1500" s="207"/>
      <c r="AA1500" s="284"/>
      <c r="AB1500" s="284"/>
      <c r="AC1500" s="284"/>
      <c r="AD1500" s="284"/>
      <c r="AE1500" s="284"/>
      <c r="AF1500" s="284"/>
      <c r="AG1500" s="284"/>
      <c r="AI1500" s="131"/>
    </row>
    <row r="1501" spans="1:35" ht="26.4">
      <c r="A1501" s="284"/>
      <c r="B1501" s="284"/>
      <c r="C1501" s="284"/>
      <c r="D1501" s="284"/>
      <c r="E1501" s="284"/>
      <c r="F1501" s="284"/>
      <c r="G1501" s="284"/>
      <c r="H1501" s="284"/>
      <c r="I1501" s="284"/>
      <c r="J1501" s="375"/>
      <c r="K1501" s="375"/>
      <c r="L1501" s="375"/>
      <c r="M1501" s="368"/>
      <c r="N1501" s="368"/>
      <c r="O1501" s="370"/>
      <c r="T1501" s="340"/>
      <c r="V1501" s="378"/>
      <c r="W1501" s="64" ph="1"/>
      <c r="X1501" s="241"/>
      <c r="Y1501" s="284"/>
      <c r="Z1501" s="207"/>
      <c r="AA1501" s="284"/>
      <c r="AB1501" s="284"/>
      <c r="AC1501" s="284"/>
      <c r="AD1501" s="284"/>
      <c r="AE1501" s="284"/>
      <c r="AF1501" s="284"/>
      <c r="AG1501" s="284"/>
      <c r="AI1501" s="131"/>
    </row>
    <row r="1502" spans="1:35" ht="26.4">
      <c r="A1502" s="284"/>
      <c r="B1502" s="284"/>
      <c r="C1502" s="284"/>
      <c r="D1502" s="284"/>
      <c r="E1502" s="284"/>
      <c r="F1502" s="284"/>
      <c r="G1502" s="284"/>
      <c r="H1502" s="284"/>
      <c r="I1502" s="284"/>
      <c r="J1502" s="375"/>
      <c r="K1502" s="375"/>
      <c r="L1502" s="375"/>
      <c r="M1502" s="368"/>
      <c r="N1502" s="368"/>
      <c r="O1502" s="370"/>
      <c r="T1502" s="340"/>
      <c r="V1502" s="378"/>
      <c r="W1502" s="64" ph="1"/>
      <c r="X1502" s="241"/>
      <c r="Y1502" s="284"/>
      <c r="Z1502" s="207"/>
      <c r="AA1502" s="284"/>
      <c r="AB1502" s="284"/>
      <c r="AC1502" s="284"/>
      <c r="AD1502" s="284"/>
      <c r="AE1502" s="284"/>
      <c r="AF1502" s="284"/>
      <c r="AG1502" s="284"/>
      <c r="AI1502" s="131"/>
    </row>
    <row r="1503" spans="1:35" ht="26.4">
      <c r="A1503" s="284"/>
      <c r="B1503" s="284"/>
      <c r="C1503" s="284"/>
      <c r="D1503" s="284"/>
      <c r="E1503" s="284"/>
      <c r="F1503" s="284"/>
      <c r="G1503" s="284"/>
      <c r="H1503" s="284"/>
      <c r="I1503" s="284"/>
      <c r="J1503" s="375"/>
      <c r="K1503" s="375"/>
      <c r="L1503" s="375"/>
      <c r="M1503" s="368"/>
      <c r="N1503" s="368"/>
      <c r="T1503" s="340"/>
      <c r="V1503" s="378"/>
      <c r="W1503" s="64" ph="1"/>
      <c r="X1503" s="241"/>
      <c r="Y1503" s="284"/>
      <c r="Z1503" s="207"/>
      <c r="AA1503" s="284"/>
      <c r="AB1503" s="284"/>
      <c r="AC1503" s="284"/>
      <c r="AD1503" s="284"/>
      <c r="AE1503" s="284"/>
      <c r="AF1503" s="284"/>
      <c r="AG1503" s="284"/>
      <c r="AI1503" s="131"/>
    </row>
    <row r="1504" spans="1:35" ht="26.4">
      <c r="A1504" s="284"/>
      <c r="B1504" s="284"/>
      <c r="C1504" s="284"/>
      <c r="D1504" s="284"/>
      <c r="E1504" s="284"/>
      <c r="F1504" s="284"/>
      <c r="G1504" s="284"/>
      <c r="H1504" s="284"/>
      <c r="I1504" s="284"/>
      <c r="J1504" s="375"/>
      <c r="K1504" s="375"/>
      <c r="L1504" s="375"/>
      <c r="M1504" s="368"/>
      <c r="N1504" s="368"/>
      <c r="O1504" s="370"/>
      <c r="T1504" s="340"/>
      <c r="V1504" s="378"/>
      <c r="W1504" s="64" ph="1"/>
      <c r="X1504" s="241"/>
      <c r="Y1504" s="284"/>
      <c r="Z1504" s="207"/>
      <c r="AA1504" s="284"/>
      <c r="AB1504" s="284"/>
      <c r="AC1504" s="284"/>
      <c r="AD1504" s="284"/>
      <c r="AE1504" s="284"/>
      <c r="AF1504" s="284"/>
      <c r="AG1504" s="284"/>
      <c r="AI1504" s="131"/>
    </row>
    <row r="1505" spans="1:35" ht="26.4">
      <c r="A1505" s="284"/>
      <c r="B1505" s="284"/>
      <c r="C1505" s="284"/>
      <c r="D1505" s="284"/>
      <c r="E1505" s="284"/>
      <c r="F1505" s="284"/>
      <c r="G1505" s="284"/>
      <c r="H1505" s="284"/>
      <c r="I1505" s="284"/>
      <c r="J1505" s="375"/>
      <c r="K1505" s="375"/>
      <c r="L1505" s="375"/>
      <c r="M1505" s="368"/>
      <c r="N1505" s="368"/>
      <c r="T1505" s="340"/>
      <c r="V1505" s="378"/>
      <c r="W1505" s="64" ph="1"/>
      <c r="X1505" s="241"/>
      <c r="Y1505" s="284"/>
      <c r="Z1505" s="207"/>
      <c r="AA1505" s="284"/>
      <c r="AB1505" s="284"/>
      <c r="AC1505" s="284"/>
      <c r="AD1505" s="284"/>
      <c r="AE1505" s="284"/>
      <c r="AF1505" s="284"/>
      <c r="AG1505" s="284"/>
      <c r="AI1505" s="131"/>
    </row>
    <row r="1506" spans="1:35" ht="26.4">
      <c r="A1506" s="284"/>
      <c r="B1506" s="284"/>
      <c r="C1506" s="284"/>
      <c r="D1506" s="284"/>
      <c r="E1506" s="284"/>
      <c r="F1506" s="284"/>
      <c r="G1506" s="284"/>
      <c r="H1506" s="284"/>
      <c r="I1506" s="284"/>
      <c r="J1506" s="375"/>
      <c r="K1506" s="375"/>
      <c r="L1506" s="375"/>
      <c r="M1506" s="368"/>
      <c r="N1506" s="368"/>
      <c r="O1506" s="370"/>
      <c r="T1506" s="340"/>
      <c r="V1506" s="378"/>
      <c r="W1506" s="64" ph="1"/>
      <c r="X1506" s="241"/>
      <c r="Y1506" s="284"/>
      <c r="Z1506" s="207"/>
      <c r="AA1506" s="284"/>
      <c r="AB1506" s="284"/>
      <c r="AC1506" s="284"/>
      <c r="AD1506" s="284"/>
      <c r="AE1506" s="284"/>
      <c r="AF1506" s="284"/>
      <c r="AG1506" s="284"/>
      <c r="AI1506" s="131"/>
    </row>
    <row r="1507" spans="1:35" ht="26.4">
      <c r="A1507" s="284"/>
      <c r="B1507" s="284"/>
      <c r="C1507" s="284"/>
      <c r="D1507" s="284"/>
      <c r="E1507" s="284"/>
      <c r="F1507" s="284"/>
      <c r="G1507" s="284"/>
      <c r="H1507" s="284"/>
      <c r="I1507" s="284"/>
      <c r="J1507" s="375"/>
      <c r="K1507" s="375"/>
      <c r="L1507" s="375"/>
      <c r="M1507" s="368"/>
      <c r="N1507" s="368"/>
      <c r="O1507" s="370"/>
      <c r="T1507" s="340"/>
      <c r="V1507" s="378"/>
      <c r="W1507" s="64" ph="1"/>
      <c r="X1507" s="241"/>
      <c r="Y1507" s="284"/>
      <c r="Z1507" s="207"/>
      <c r="AA1507" s="284"/>
      <c r="AB1507" s="284"/>
      <c r="AC1507" s="284"/>
      <c r="AD1507" s="284"/>
      <c r="AE1507" s="284"/>
      <c r="AF1507" s="284"/>
      <c r="AG1507" s="284"/>
      <c r="AI1507" s="131"/>
    </row>
    <row r="1508" spans="1:35">
      <c r="O1508" s="370"/>
      <c r="AI1508" s="131"/>
    </row>
    <row r="1509" spans="1:35" ht="26.4">
      <c r="A1509" s="284"/>
      <c r="B1509" s="284"/>
      <c r="C1509" s="284"/>
      <c r="D1509" s="284"/>
      <c r="E1509" s="284"/>
      <c r="F1509" s="284"/>
      <c r="G1509" s="284"/>
      <c r="H1509" s="284"/>
      <c r="I1509" s="284"/>
      <c r="J1509" s="375"/>
      <c r="K1509" s="375"/>
      <c r="L1509" s="375"/>
      <c r="M1509" s="368"/>
      <c r="N1509" s="368"/>
      <c r="O1509" s="370"/>
      <c r="T1509" s="340"/>
      <c r="V1509" s="378"/>
      <c r="W1509" s="64" ph="1"/>
      <c r="X1509" s="241"/>
      <c r="Y1509" s="284"/>
      <c r="Z1509" s="207"/>
      <c r="AA1509" s="284"/>
      <c r="AB1509" s="284"/>
      <c r="AC1509" s="284"/>
      <c r="AD1509" s="284"/>
      <c r="AE1509" s="284"/>
      <c r="AF1509" s="284"/>
      <c r="AG1509" s="284"/>
      <c r="AI1509" s="131"/>
    </row>
    <row r="1510" spans="1:35" ht="26.4">
      <c r="A1510" s="284"/>
      <c r="B1510" s="284"/>
      <c r="C1510" s="284"/>
      <c r="D1510" s="284"/>
      <c r="E1510" s="284"/>
      <c r="F1510" s="284"/>
      <c r="G1510" s="284"/>
      <c r="H1510" s="284"/>
      <c r="I1510" s="284"/>
      <c r="J1510" s="375"/>
      <c r="K1510" s="375"/>
      <c r="L1510" s="375"/>
      <c r="M1510" s="368"/>
      <c r="N1510" s="368"/>
      <c r="O1510" s="370"/>
      <c r="T1510" s="340"/>
      <c r="V1510" s="378"/>
      <c r="W1510" s="64" ph="1"/>
      <c r="X1510" s="241"/>
      <c r="Y1510" s="284"/>
      <c r="Z1510" s="207"/>
      <c r="AA1510" s="284"/>
      <c r="AB1510" s="284"/>
      <c r="AC1510" s="284"/>
      <c r="AD1510" s="284"/>
      <c r="AE1510" s="284"/>
      <c r="AF1510" s="284"/>
      <c r="AG1510" s="284"/>
      <c r="AI1510" s="131"/>
    </row>
    <row r="1511" spans="1:35" ht="26.4">
      <c r="A1511" s="284"/>
      <c r="B1511" s="284"/>
      <c r="C1511" s="284"/>
      <c r="D1511" s="284"/>
      <c r="E1511" s="284"/>
      <c r="F1511" s="284"/>
      <c r="G1511" s="284"/>
      <c r="H1511" s="284"/>
      <c r="I1511" s="284"/>
      <c r="J1511" s="375"/>
      <c r="K1511" s="375"/>
      <c r="L1511" s="375"/>
      <c r="M1511" s="368"/>
      <c r="N1511" s="368"/>
      <c r="O1511" s="370"/>
      <c r="T1511" s="340"/>
      <c r="V1511" s="378"/>
      <c r="W1511" s="64" ph="1"/>
      <c r="X1511" s="241"/>
      <c r="Y1511" s="284"/>
      <c r="Z1511" s="207"/>
      <c r="AA1511" s="284"/>
      <c r="AB1511" s="284"/>
      <c r="AC1511" s="284"/>
      <c r="AD1511" s="284"/>
      <c r="AE1511" s="284"/>
      <c r="AF1511" s="284"/>
      <c r="AG1511" s="284"/>
      <c r="AI1511" s="131"/>
    </row>
    <row r="1512" spans="1:35" ht="26.4">
      <c r="A1512" s="284"/>
      <c r="B1512" s="284"/>
      <c r="C1512" s="284"/>
      <c r="D1512" s="284"/>
      <c r="E1512" s="284"/>
      <c r="F1512" s="284"/>
      <c r="G1512" s="284"/>
      <c r="H1512" s="284"/>
      <c r="I1512" s="284"/>
      <c r="J1512" s="375"/>
      <c r="K1512" s="375"/>
      <c r="L1512" s="375"/>
      <c r="M1512" s="368"/>
      <c r="N1512" s="368"/>
      <c r="O1512" s="370"/>
      <c r="T1512" s="340"/>
      <c r="V1512" s="378"/>
      <c r="W1512" s="64" ph="1"/>
      <c r="X1512" s="241"/>
      <c r="Y1512" s="284"/>
      <c r="Z1512" s="207"/>
      <c r="AA1512" s="284"/>
      <c r="AB1512" s="284"/>
      <c r="AC1512" s="284"/>
      <c r="AD1512" s="284"/>
      <c r="AE1512" s="284"/>
      <c r="AF1512" s="284"/>
      <c r="AG1512" s="284"/>
      <c r="AI1512" s="131"/>
    </row>
    <row r="1513" spans="1:35" ht="26.4">
      <c r="A1513" s="284"/>
      <c r="B1513" s="284"/>
      <c r="C1513" s="284"/>
      <c r="D1513" s="284"/>
      <c r="E1513" s="284"/>
      <c r="F1513" s="284"/>
      <c r="G1513" s="284"/>
      <c r="H1513" s="284"/>
      <c r="I1513" s="284"/>
      <c r="J1513" s="375"/>
      <c r="K1513" s="375"/>
      <c r="L1513" s="375"/>
      <c r="M1513" s="368"/>
      <c r="N1513" s="368"/>
      <c r="O1513" s="370"/>
      <c r="T1513" s="340"/>
      <c r="V1513" s="378"/>
      <c r="W1513" s="64" ph="1"/>
      <c r="X1513" s="241"/>
      <c r="Y1513" s="284"/>
      <c r="Z1513" s="207"/>
      <c r="AA1513" s="284"/>
      <c r="AB1513" s="284"/>
      <c r="AC1513" s="284"/>
      <c r="AD1513" s="284"/>
      <c r="AE1513" s="284"/>
      <c r="AF1513" s="284"/>
      <c r="AG1513" s="284"/>
      <c r="AI1513" s="131"/>
    </row>
    <row r="1514" spans="1:35" ht="26.4">
      <c r="A1514" s="284"/>
      <c r="B1514" s="284"/>
      <c r="C1514" s="284"/>
      <c r="D1514" s="284"/>
      <c r="E1514" s="284"/>
      <c r="F1514" s="284"/>
      <c r="G1514" s="284"/>
      <c r="H1514" s="284"/>
      <c r="I1514" s="284"/>
      <c r="J1514" s="375"/>
      <c r="K1514" s="375"/>
      <c r="L1514" s="375"/>
      <c r="M1514" s="368"/>
      <c r="N1514" s="368"/>
      <c r="O1514" s="370"/>
      <c r="T1514" s="340"/>
      <c r="V1514" s="378"/>
      <c r="W1514" s="64" ph="1"/>
      <c r="X1514" s="241"/>
      <c r="Y1514" s="284"/>
      <c r="Z1514" s="207"/>
      <c r="AA1514" s="284"/>
      <c r="AB1514" s="284"/>
      <c r="AC1514" s="284"/>
      <c r="AD1514" s="284"/>
      <c r="AE1514" s="284"/>
      <c r="AF1514" s="284"/>
      <c r="AG1514" s="284"/>
      <c r="AI1514" s="131"/>
    </row>
    <row r="1515" spans="1:35" ht="26.4">
      <c r="A1515" s="284"/>
      <c r="B1515" s="284"/>
      <c r="C1515" s="284"/>
      <c r="D1515" s="284"/>
      <c r="E1515" s="284"/>
      <c r="F1515" s="284"/>
      <c r="G1515" s="284"/>
      <c r="H1515" s="284"/>
      <c r="I1515" s="284"/>
      <c r="J1515" s="375"/>
      <c r="K1515" s="375"/>
      <c r="L1515" s="375"/>
      <c r="M1515" s="368"/>
      <c r="N1515" s="368"/>
      <c r="O1515" s="370"/>
      <c r="T1515" s="340"/>
      <c r="V1515" s="378"/>
      <c r="W1515" s="64" ph="1"/>
      <c r="X1515" s="241"/>
      <c r="Y1515" s="284"/>
      <c r="Z1515" s="207"/>
      <c r="AA1515" s="284"/>
      <c r="AB1515" s="284"/>
      <c r="AC1515" s="284"/>
      <c r="AD1515" s="284"/>
      <c r="AE1515" s="284"/>
      <c r="AF1515" s="284"/>
      <c r="AG1515" s="284"/>
      <c r="AI1515" s="131"/>
    </row>
    <row r="1516" spans="1:35" ht="26.4">
      <c r="A1516" s="284"/>
      <c r="B1516" s="284"/>
      <c r="C1516" s="284"/>
      <c r="D1516" s="284"/>
      <c r="E1516" s="284"/>
      <c r="F1516" s="284"/>
      <c r="G1516" s="284"/>
      <c r="H1516" s="284"/>
      <c r="I1516" s="284"/>
      <c r="J1516" s="375"/>
      <c r="K1516" s="375"/>
      <c r="L1516" s="375"/>
      <c r="M1516" s="368"/>
      <c r="N1516" s="368"/>
      <c r="T1516" s="340"/>
      <c r="V1516" s="378"/>
      <c r="W1516" s="64" ph="1"/>
      <c r="X1516" s="241"/>
      <c r="Y1516" s="284"/>
      <c r="Z1516" s="207"/>
      <c r="AA1516" s="284"/>
      <c r="AB1516" s="284"/>
      <c r="AC1516" s="284"/>
      <c r="AD1516" s="284"/>
      <c r="AE1516" s="284"/>
      <c r="AF1516" s="284"/>
      <c r="AG1516" s="284"/>
      <c r="AI1516" s="131"/>
    </row>
    <row r="1517" spans="1:35" ht="26.4">
      <c r="A1517" s="284"/>
      <c r="B1517" s="284"/>
      <c r="C1517" s="284"/>
      <c r="D1517" s="284"/>
      <c r="E1517" s="284"/>
      <c r="F1517" s="284"/>
      <c r="G1517" s="284"/>
      <c r="H1517" s="284"/>
      <c r="I1517" s="284"/>
      <c r="J1517" s="375"/>
      <c r="K1517" s="375"/>
      <c r="L1517" s="375"/>
      <c r="M1517" s="368"/>
      <c r="N1517" s="368"/>
      <c r="O1517" s="370"/>
      <c r="T1517" s="340"/>
      <c r="V1517" s="378"/>
      <c r="W1517" s="64" ph="1"/>
      <c r="X1517" s="241"/>
      <c r="Y1517" s="284"/>
      <c r="Z1517" s="207"/>
      <c r="AA1517" s="284"/>
      <c r="AB1517" s="284"/>
      <c r="AC1517" s="284"/>
      <c r="AD1517" s="284"/>
      <c r="AE1517" s="284"/>
      <c r="AF1517" s="284"/>
      <c r="AG1517" s="284"/>
      <c r="AI1517" s="128"/>
    </row>
    <row r="1518" spans="1:35" ht="26.4">
      <c r="A1518" s="284"/>
      <c r="B1518" s="284"/>
      <c r="C1518" s="284"/>
      <c r="D1518" s="284"/>
      <c r="E1518" s="284"/>
      <c r="F1518" s="284"/>
      <c r="G1518" s="284"/>
      <c r="H1518" s="284"/>
      <c r="I1518" s="284"/>
      <c r="J1518" s="375"/>
      <c r="K1518" s="375"/>
      <c r="L1518" s="375"/>
      <c r="M1518" s="368"/>
      <c r="N1518" s="368"/>
      <c r="O1518" s="370"/>
      <c r="T1518" s="340"/>
      <c r="V1518" s="378"/>
      <c r="W1518" s="64" ph="1"/>
      <c r="X1518" s="241"/>
      <c r="Y1518" s="284"/>
      <c r="Z1518" s="207"/>
      <c r="AA1518" s="284"/>
      <c r="AB1518" s="284"/>
      <c r="AC1518" s="284"/>
      <c r="AD1518" s="284"/>
      <c r="AE1518" s="284"/>
      <c r="AF1518" s="284"/>
      <c r="AG1518" s="284"/>
      <c r="AI1518" s="131"/>
    </row>
    <row r="1519" spans="1:35" ht="26.4">
      <c r="A1519" s="284"/>
      <c r="B1519" s="284"/>
      <c r="C1519" s="284"/>
      <c r="D1519" s="284"/>
      <c r="E1519" s="284"/>
      <c r="F1519" s="284"/>
      <c r="G1519" s="284"/>
      <c r="H1519" s="284"/>
      <c r="I1519" s="284"/>
      <c r="J1519" s="375"/>
      <c r="K1519" s="375"/>
      <c r="L1519" s="375"/>
      <c r="M1519" s="368"/>
      <c r="N1519" s="368"/>
      <c r="O1519" s="370"/>
      <c r="T1519" s="340"/>
      <c r="V1519" s="378"/>
      <c r="W1519" s="64" ph="1"/>
      <c r="X1519" s="241"/>
      <c r="Y1519" s="284"/>
      <c r="Z1519" s="207"/>
      <c r="AA1519" s="284"/>
      <c r="AB1519" s="284"/>
      <c r="AC1519" s="284"/>
      <c r="AD1519" s="284"/>
      <c r="AE1519" s="284"/>
      <c r="AF1519" s="284"/>
      <c r="AG1519" s="284"/>
      <c r="AI1519" s="131"/>
    </row>
    <row r="1520" spans="1:35">
      <c r="O1520" s="370"/>
      <c r="AI1520" s="131"/>
    </row>
    <row r="1521" spans="1:35" ht="26.4">
      <c r="A1521" s="284"/>
      <c r="B1521" s="284"/>
      <c r="C1521" s="284"/>
      <c r="D1521" s="284"/>
      <c r="E1521" s="284"/>
      <c r="F1521" s="284"/>
      <c r="G1521" s="284"/>
      <c r="H1521" s="284"/>
      <c r="I1521" s="284"/>
      <c r="J1521" s="375"/>
      <c r="K1521" s="375"/>
      <c r="L1521" s="375"/>
      <c r="M1521" s="368"/>
      <c r="N1521" s="368"/>
      <c r="O1521" s="370"/>
      <c r="T1521" s="340"/>
      <c r="V1521" s="378"/>
      <c r="W1521" s="64" ph="1"/>
      <c r="X1521" s="241"/>
      <c r="Y1521" s="284"/>
      <c r="Z1521" s="207"/>
      <c r="AA1521" s="284"/>
      <c r="AB1521" s="284"/>
      <c r="AC1521" s="284"/>
      <c r="AD1521" s="284"/>
      <c r="AE1521" s="284"/>
      <c r="AF1521" s="284"/>
      <c r="AG1521" s="284"/>
      <c r="AI1521" s="131"/>
    </row>
    <row r="1522" spans="1:35" ht="26.4">
      <c r="A1522" s="284"/>
      <c r="B1522" s="284"/>
      <c r="C1522" s="284"/>
      <c r="D1522" s="284"/>
      <c r="E1522" s="284"/>
      <c r="F1522" s="284"/>
      <c r="G1522" s="284"/>
      <c r="H1522" s="284"/>
      <c r="I1522" s="284"/>
      <c r="J1522" s="375"/>
      <c r="K1522" s="375"/>
      <c r="L1522" s="375"/>
      <c r="M1522" s="368"/>
      <c r="N1522" s="368"/>
      <c r="O1522" s="370"/>
      <c r="T1522" s="340"/>
      <c r="V1522" s="378"/>
      <c r="W1522" s="64" ph="1"/>
      <c r="X1522" s="241"/>
      <c r="Y1522" s="284"/>
      <c r="Z1522" s="207"/>
      <c r="AA1522" s="284"/>
      <c r="AB1522" s="284"/>
      <c r="AC1522" s="284"/>
      <c r="AD1522" s="284"/>
      <c r="AE1522" s="284"/>
      <c r="AF1522" s="284"/>
      <c r="AG1522" s="284"/>
      <c r="AI1522" s="131"/>
    </row>
    <row r="1523" spans="1:35" ht="26.4">
      <c r="A1523" s="284"/>
      <c r="B1523" s="284"/>
      <c r="C1523" s="284"/>
      <c r="D1523" s="284"/>
      <c r="E1523" s="284"/>
      <c r="F1523" s="284"/>
      <c r="G1523" s="284"/>
      <c r="H1523" s="284"/>
      <c r="I1523" s="284"/>
      <c r="J1523" s="375"/>
      <c r="K1523" s="375"/>
      <c r="L1523" s="375"/>
      <c r="M1523" s="368"/>
      <c r="N1523" s="368"/>
      <c r="O1523" s="370"/>
      <c r="T1523" s="340"/>
      <c r="V1523" s="378"/>
      <c r="W1523" s="64" ph="1"/>
      <c r="X1523" s="241"/>
      <c r="Y1523" s="284"/>
      <c r="Z1523" s="207"/>
      <c r="AA1523" s="284"/>
      <c r="AB1523" s="284"/>
      <c r="AC1523" s="284"/>
      <c r="AD1523" s="284"/>
      <c r="AE1523" s="284"/>
      <c r="AF1523" s="284"/>
      <c r="AG1523" s="284"/>
      <c r="AI1523" s="131"/>
    </row>
    <row r="1524" spans="1:35" ht="26.4">
      <c r="A1524" s="284"/>
      <c r="B1524" s="284"/>
      <c r="C1524" s="284"/>
      <c r="D1524" s="284"/>
      <c r="E1524" s="284"/>
      <c r="F1524" s="284"/>
      <c r="G1524" s="284"/>
      <c r="H1524" s="284"/>
      <c r="I1524" s="284"/>
      <c r="J1524" s="375"/>
      <c r="K1524" s="375"/>
      <c r="L1524" s="375"/>
      <c r="M1524" s="368"/>
      <c r="N1524" s="368"/>
      <c r="O1524" s="370"/>
      <c r="T1524" s="340"/>
      <c r="V1524" s="378"/>
      <c r="W1524" s="64" ph="1"/>
      <c r="X1524" s="241"/>
      <c r="Y1524" s="284"/>
      <c r="Z1524" s="207"/>
      <c r="AA1524" s="284"/>
      <c r="AB1524" s="284"/>
      <c r="AC1524" s="284"/>
      <c r="AD1524" s="284"/>
      <c r="AE1524" s="284"/>
      <c r="AF1524" s="284"/>
      <c r="AG1524" s="284"/>
      <c r="AI1524" s="131"/>
    </row>
    <row r="1525" spans="1:35" ht="26.4">
      <c r="A1525" s="284"/>
      <c r="B1525" s="284"/>
      <c r="C1525" s="284"/>
      <c r="D1525" s="284"/>
      <c r="E1525" s="284"/>
      <c r="F1525" s="284"/>
      <c r="G1525" s="284"/>
      <c r="H1525" s="284"/>
      <c r="I1525" s="284"/>
      <c r="J1525" s="375"/>
      <c r="K1525" s="375"/>
      <c r="L1525" s="375"/>
      <c r="M1525" s="368"/>
      <c r="N1525" s="368"/>
      <c r="T1525" s="340"/>
      <c r="V1525" s="378"/>
      <c r="W1525" s="64" ph="1"/>
      <c r="X1525" s="241"/>
      <c r="Y1525" s="284"/>
      <c r="Z1525" s="207"/>
      <c r="AA1525" s="284"/>
      <c r="AB1525" s="284"/>
      <c r="AC1525" s="284"/>
      <c r="AD1525" s="284"/>
      <c r="AE1525" s="284"/>
      <c r="AF1525" s="284"/>
      <c r="AG1525" s="284"/>
      <c r="AI1525" s="131"/>
    </row>
    <row r="1526" spans="1:35" ht="26.4">
      <c r="A1526" s="284"/>
      <c r="B1526" s="284"/>
      <c r="C1526" s="284"/>
      <c r="D1526" s="284"/>
      <c r="E1526" s="284"/>
      <c r="F1526" s="284"/>
      <c r="G1526" s="284"/>
      <c r="H1526" s="284"/>
      <c r="I1526" s="284"/>
      <c r="J1526" s="375"/>
      <c r="K1526" s="375"/>
      <c r="L1526" s="375"/>
      <c r="M1526" s="368"/>
      <c r="N1526" s="368"/>
      <c r="O1526" s="370"/>
      <c r="T1526" s="340"/>
      <c r="V1526" s="378"/>
      <c r="W1526" s="64" ph="1"/>
      <c r="X1526" s="241"/>
      <c r="Y1526" s="284"/>
      <c r="Z1526" s="207"/>
      <c r="AA1526" s="284"/>
      <c r="AB1526" s="284"/>
      <c r="AC1526" s="284"/>
      <c r="AD1526" s="284"/>
      <c r="AE1526" s="284"/>
      <c r="AF1526" s="284"/>
      <c r="AG1526" s="284"/>
      <c r="AI1526" s="131"/>
    </row>
    <row r="1527" spans="1:35" ht="26.4">
      <c r="A1527" s="284"/>
      <c r="B1527" s="284"/>
      <c r="C1527" s="284"/>
      <c r="D1527" s="284"/>
      <c r="E1527" s="284"/>
      <c r="F1527" s="284"/>
      <c r="G1527" s="284"/>
      <c r="H1527" s="284"/>
      <c r="I1527" s="284"/>
      <c r="J1527" s="375"/>
      <c r="K1527" s="375"/>
      <c r="L1527" s="375"/>
      <c r="M1527" s="368"/>
      <c r="N1527" s="368"/>
      <c r="O1527" s="370"/>
      <c r="T1527" s="340"/>
      <c r="V1527" s="378"/>
      <c r="W1527" s="64" ph="1"/>
      <c r="X1527" s="241"/>
      <c r="Y1527" s="284"/>
      <c r="Z1527" s="207"/>
      <c r="AA1527" s="284"/>
      <c r="AB1527" s="284"/>
      <c r="AC1527" s="284"/>
      <c r="AD1527" s="284"/>
      <c r="AE1527" s="284"/>
      <c r="AF1527" s="284"/>
      <c r="AG1527" s="284"/>
      <c r="AI1527" s="131"/>
    </row>
    <row r="1528" spans="1:35" ht="26.4">
      <c r="A1528" s="284"/>
      <c r="B1528" s="284"/>
      <c r="C1528" s="284"/>
      <c r="D1528" s="284"/>
      <c r="E1528" s="284"/>
      <c r="F1528" s="284"/>
      <c r="G1528" s="284"/>
      <c r="H1528" s="284"/>
      <c r="I1528" s="284"/>
      <c r="J1528" s="375"/>
      <c r="K1528" s="375"/>
      <c r="L1528" s="375"/>
      <c r="M1528" s="368"/>
      <c r="N1528" s="368"/>
      <c r="O1528" s="370"/>
      <c r="T1528" s="340"/>
      <c r="V1528" s="378"/>
      <c r="W1528" s="64" ph="1"/>
      <c r="X1528" s="241"/>
      <c r="Y1528" s="284"/>
      <c r="Z1528" s="207"/>
      <c r="AA1528" s="284"/>
      <c r="AB1528" s="284"/>
      <c r="AC1528" s="284"/>
      <c r="AD1528" s="284"/>
      <c r="AE1528" s="284"/>
      <c r="AF1528" s="284"/>
      <c r="AG1528" s="284"/>
      <c r="AI1528" s="131"/>
    </row>
    <row r="1529" spans="1:35">
      <c r="O1529" s="370"/>
      <c r="AI1529" s="131"/>
    </row>
    <row r="1530" spans="1:35" ht="26.4">
      <c r="A1530" s="284"/>
      <c r="B1530" s="284"/>
      <c r="C1530" s="284"/>
      <c r="D1530" s="284"/>
      <c r="E1530" s="284"/>
      <c r="F1530" s="284"/>
      <c r="G1530" s="284"/>
      <c r="H1530" s="284"/>
      <c r="I1530" s="284"/>
      <c r="J1530" s="375"/>
      <c r="K1530" s="375"/>
      <c r="L1530" s="375"/>
      <c r="M1530" s="368"/>
      <c r="N1530" s="368"/>
      <c r="O1530" s="370"/>
      <c r="T1530" s="340"/>
      <c r="V1530" s="378"/>
      <c r="W1530" s="64" ph="1"/>
      <c r="X1530" s="241"/>
      <c r="Y1530" s="284"/>
      <c r="Z1530" s="207"/>
      <c r="AA1530" s="284"/>
      <c r="AB1530" s="284"/>
      <c r="AC1530" s="284"/>
      <c r="AD1530" s="284"/>
      <c r="AE1530" s="284"/>
      <c r="AF1530" s="284"/>
      <c r="AG1530" s="284"/>
      <c r="AI1530" s="131"/>
    </row>
    <row r="1531" spans="1:35" ht="26.4">
      <c r="A1531" s="284"/>
      <c r="B1531" s="284"/>
      <c r="C1531" s="284"/>
      <c r="D1531" s="284"/>
      <c r="E1531" s="284"/>
      <c r="F1531" s="284"/>
      <c r="G1531" s="284"/>
      <c r="H1531" s="284"/>
      <c r="I1531" s="284"/>
      <c r="J1531" s="375"/>
      <c r="K1531" s="375"/>
      <c r="L1531" s="375"/>
      <c r="M1531" s="368"/>
      <c r="N1531" s="368"/>
      <c r="O1531" s="370"/>
      <c r="T1531" s="340"/>
      <c r="V1531" s="378"/>
      <c r="W1531" s="64" ph="1"/>
      <c r="X1531" s="241"/>
      <c r="Y1531" s="284"/>
      <c r="Z1531" s="207"/>
      <c r="AA1531" s="284"/>
      <c r="AB1531" s="284"/>
      <c r="AC1531" s="284"/>
      <c r="AD1531" s="284"/>
      <c r="AE1531" s="284"/>
      <c r="AF1531" s="284"/>
      <c r="AG1531" s="284"/>
      <c r="AI1531" s="284"/>
    </row>
    <row r="1532" spans="1:35" ht="26.4">
      <c r="A1532" s="284"/>
      <c r="B1532" s="284"/>
      <c r="C1532" s="284"/>
      <c r="D1532" s="284"/>
      <c r="E1532" s="284"/>
      <c r="F1532" s="284"/>
      <c r="G1532" s="284"/>
      <c r="H1532" s="284"/>
      <c r="I1532" s="284"/>
      <c r="J1532" s="375"/>
      <c r="K1532" s="375"/>
      <c r="L1532" s="375"/>
      <c r="M1532" s="368"/>
      <c r="N1532" s="368"/>
      <c r="O1532" s="370"/>
      <c r="T1532" s="340"/>
      <c r="V1532" s="378"/>
      <c r="W1532" s="64" ph="1"/>
      <c r="X1532" s="241"/>
      <c r="Y1532" s="284"/>
      <c r="Z1532" s="207"/>
      <c r="AA1532" s="284"/>
      <c r="AB1532" s="284"/>
      <c r="AC1532" s="284"/>
      <c r="AD1532" s="284"/>
      <c r="AE1532" s="284"/>
      <c r="AF1532" s="284"/>
      <c r="AG1532" s="284"/>
      <c r="AI1532" s="131"/>
    </row>
    <row r="1533" spans="1:35" ht="26.4">
      <c r="A1533" s="284"/>
      <c r="B1533" s="284"/>
      <c r="C1533" s="284"/>
      <c r="D1533" s="284"/>
      <c r="E1533" s="284"/>
      <c r="F1533" s="284"/>
      <c r="G1533" s="284"/>
      <c r="H1533" s="284"/>
      <c r="I1533" s="284"/>
      <c r="J1533" s="375"/>
      <c r="K1533" s="375"/>
      <c r="L1533" s="375"/>
      <c r="M1533" s="368"/>
      <c r="N1533" s="368"/>
      <c r="O1533" s="370"/>
      <c r="T1533" s="340"/>
      <c r="V1533" s="378"/>
      <c r="W1533" s="64" ph="1"/>
      <c r="X1533" s="241"/>
      <c r="Y1533" s="284"/>
      <c r="Z1533" s="207"/>
      <c r="AA1533" s="284"/>
      <c r="AB1533" s="284"/>
      <c r="AC1533" s="284"/>
      <c r="AD1533" s="284"/>
      <c r="AE1533" s="284"/>
      <c r="AF1533" s="284"/>
      <c r="AG1533" s="284"/>
      <c r="AI1533" s="131"/>
    </row>
    <row r="1534" spans="1:35" ht="26.4">
      <c r="A1534" s="284"/>
      <c r="B1534" s="284"/>
      <c r="C1534" s="284"/>
      <c r="D1534" s="284"/>
      <c r="E1534" s="284"/>
      <c r="F1534" s="284"/>
      <c r="G1534" s="284"/>
      <c r="H1534" s="284"/>
      <c r="I1534" s="284"/>
      <c r="J1534" s="375"/>
      <c r="K1534" s="375"/>
      <c r="L1534" s="375"/>
      <c r="M1534" s="368"/>
      <c r="N1534" s="368"/>
      <c r="O1534" s="370"/>
      <c r="T1534" s="340"/>
      <c r="V1534" s="378"/>
      <c r="W1534" s="64" ph="1"/>
      <c r="X1534" s="241"/>
      <c r="Y1534" s="284"/>
      <c r="Z1534" s="207"/>
      <c r="AA1534" s="284"/>
      <c r="AB1534" s="284"/>
      <c r="AC1534" s="284"/>
      <c r="AD1534" s="284"/>
      <c r="AE1534" s="284"/>
      <c r="AF1534" s="284"/>
      <c r="AG1534" s="284"/>
      <c r="AI1534" s="131"/>
    </row>
    <row r="1535" spans="1:35" ht="26.4">
      <c r="A1535" s="284"/>
      <c r="B1535" s="284"/>
      <c r="C1535" s="284"/>
      <c r="D1535" s="284"/>
      <c r="E1535" s="284"/>
      <c r="F1535" s="284"/>
      <c r="G1535" s="284"/>
      <c r="H1535" s="284"/>
      <c r="I1535" s="284"/>
      <c r="J1535" s="375"/>
      <c r="K1535" s="375"/>
      <c r="L1535" s="375"/>
      <c r="M1535" s="368"/>
      <c r="N1535" s="368"/>
      <c r="O1535" s="370"/>
      <c r="T1535" s="340"/>
      <c r="V1535" s="378"/>
      <c r="W1535" s="64" ph="1"/>
      <c r="X1535" s="241"/>
      <c r="Y1535" s="284"/>
      <c r="Z1535" s="207"/>
      <c r="AA1535" s="284"/>
      <c r="AB1535" s="284"/>
      <c r="AC1535" s="284"/>
      <c r="AD1535" s="284"/>
      <c r="AE1535" s="284"/>
      <c r="AF1535" s="284"/>
      <c r="AG1535" s="284"/>
      <c r="AI1535" s="131"/>
    </row>
    <row r="1536" spans="1:35" ht="26.4">
      <c r="A1536" s="284"/>
      <c r="B1536" s="284"/>
      <c r="C1536" s="284"/>
      <c r="D1536" s="284"/>
      <c r="E1536" s="284"/>
      <c r="F1536" s="284"/>
      <c r="G1536" s="284"/>
      <c r="H1536" s="284"/>
      <c r="I1536" s="284"/>
      <c r="J1536" s="375"/>
      <c r="K1536" s="375"/>
      <c r="L1536" s="375"/>
      <c r="M1536" s="368"/>
      <c r="N1536" s="368"/>
      <c r="O1536" s="370"/>
      <c r="T1536" s="340"/>
      <c r="V1536" s="378"/>
      <c r="W1536" s="64" ph="1"/>
      <c r="X1536" s="241"/>
      <c r="Y1536" s="284"/>
      <c r="Z1536" s="207"/>
      <c r="AA1536" s="284"/>
      <c r="AB1536" s="284"/>
      <c r="AC1536" s="284"/>
      <c r="AD1536" s="284"/>
      <c r="AE1536" s="284"/>
      <c r="AF1536" s="284"/>
      <c r="AG1536" s="284"/>
      <c r="AI1536" s="131"/>
    </row>
    <row r="1537" spans="1:35" ht="26.4">
      <c r="A1537" s="284"/>
      <c r="B1537" s="284"/>
      <c r="C1537" s="284"/>
      <c r="D1537" s="284"/>
      <c r="E1537" s="284"/>
      <c r="F1537" s="284"/>
      <c r="G1537" s="284"/>
      <c r="H1537" s="284"/>
      <c r="I1537" s="284"/>
      <c r="J1537" s="375"/>
      <c r="K1537" s="375"/>
      <c r="L1537" s="375"/>
      <c r="M1537" s="368"/>
      <c r="N1537" s="368"/>
      <c r="T1537" s="340"/>
      <c r="V1537" s="378"/>
      <c r="W1537" s="64" ph="1"/>
      <c r="X1537" s="241"/>
      <c r="Y1537" s="284"/>
      <c r="Z1537" s="207"/>
      <c r="AA1537" s="284"/>
      <c r="AB1537" s="284"/>
      <c r="AC1537" s="284"/>
      <c r="AD1537" s="284"/>
      <c r="AE1537" s="284"/>
      <c r="AF1537" s="284"/>
      <c r="AG1537" s="284"/>
      <c r="AI1537" s="131"/>
    </row>
    <row r="1538" spans="1:35" ht="26.4">
      <c r="A1538" s="284"/>
      <c r="B1538" s="284"/>
      <c r="C1538" s="284"/>
      <c r="D1538" s="284"/>
      <c r="E1538" s="284"/>
      <c r="F1538" s="284"/>
      <c r="G1538" s="284"/>
      <c r="H1538" s="284"/>
      <c r="I1538" s="284"/>
      <c r="J1538" s="375"/>
      <c r="K1538" s="375"/>
      <c r="L1538" s="375"/>
      <c r="M1538" s="368"/>
      <c r="N1538" s="368"/>
      <c r="O1538" s="370"/>
      <c r="T1538" s="340"/>
      <c r="V1538" s="378"/>
      <c r="W1538" s="64" ph="1"/>
      <c r="X1538" s="241"/>
      <c r="Y1538" s="284"/>
      <c r="Z1538" s="207"/>
      <c r="AA1538" s="284"/>
      <c r="AB1538" s="284"/>
      <c r="AC1538" s="284"/>
      <c r="AD1538" s="284"/>
      <c r="AE1538" s="284"/>
      <c r="AF1538" s="284"/>
      <c r="AG1538" s="284"/>
      <c r="AI1538" s="131"/>
    </row>
    <row r="1539" spans="1:35" ht="26.4">
      <c r="A1539" s="284"/>
      <c r="B1539" s="284"/>
      <c r="C1539" s="284"/>
      <c r="D1539" s="284"/>
      <c r="E1539" s="284"/>
      <c r="F1539" s="284"/>
      <c r="G1539" s="284"/>
      <c r="H1539" s="284"/>
      <c r="I1539" s="284"/>
      <c r="J1539" s="375"/>
      <c r="K1539" s="375"/>
      <c r="L1539" s="375"/>
      <c r="M1539" s="368"/>
      <c r="N1539" s="368"/>
      <c r="O1539" s="370"/>
      <c r="T1539" s="340"/>
      <c r="V1539" s="378"/>
      <c r="W1539" s="64" ph="1"/>
      <c r="X1539" s="241"/>
      <c r="Y1539" s="284"/>
      <c r="Z1539" s="207"/>
      <c r="AA1539" s="284"/>
      <c r="AB1539" s="284"/>
      <c r="AC1539" s="284"/>
      <c r="AD1539" s="284"/>
      <c r="AE1539" s="284"/>
      <c r="AF1539" s="284"/>
      <c r="AG1539" s="284"/>
      <c r="AI1539" s="131"/>
    </row>
    <row r="1540" spans="1:35" ht="26.4">
      <c r="A1540" s="284"/>
      <c r="B1540" s="284"/>
      <c r="C1540" s="284"/>
      <c r="D1540" s="284"/>
      <c r="E1540" s="284"/>
      <c r="F1540" s="284"/>
      <c r="G1540" s="284"/>
      <c r="H1540" s="284"/>
      <c r="I1540" s="284"/>
      <c r="J1540" s="375"/>
      <c r="K1540" s="375"/>
      <c r="L1540" s="375"/>
      <c r="M1540" s="368"/>
      <c r="N1540" s="368"/>
      <c r="O1540" s="370"/>
      <c r="T1540" s="340"/>
      <c r="V1540" s="378"/>
      <c r="W1540" s="64" ph="1"/>
      <c r="X1540" s="241"/>
      <c r="Y1540" s="284"/>
      <c r="Z1540" s="207"/>
      <c r="AA1540" s="284"/>
      <c r="AB1540" s="284"/>
      <c r="AC1540" s="284"/>
      <c r="AD1540" s="284"/>
      <c r="AE1540" s="284"/>
      <c r="AF1540" s="284"/>
      <c r="AG1540" s="284"/>
      <c r="AI1540" s="131"/>
    </row>
    <row r="1541" spans="1:35" ht="26.4">
      <c r="A1541" s="284"/>
      <c r="B1541" s="284"/>
      <c r="C1541" s="284"/>
      <c r="D1541" s="284"/>
      <c r="E1541" s="284"/>
      <c r="F1541" s="284"/>
      <c r="G1541" s="284"/>
      <c r="H1541" s="284"/>
      <c r="I1541" s="284"/>
      <c r="J1541" s="375"/>
      <c r="K1541" s="375"/>
      <c r="L1541" s="375"/>
      <c r="M1541" s="368"/>
      <c r="N1541" s="368"/>
      <c r="O1541" s="370"/>
      <c r="T1541" s="340"/>
      <c r="V1541" s="378"/>
      <c r="W1541" s="64" ph="1"/>
      <c r="X1541" s="241"/>
      <c r="Y1541" s="284"/>
      <c r="Z1541" s="207"/>
      <c r="AA1541" s="284"/>
      <c r="AB1541" s="284"/>
      <c r="AC1541" s="284"/>
      <c r="AD1541" s="284"/>
      <c r="AE1541" s="284"/>
      <c r="AF1541" s="284"/>
      <c r="AG1541" s="284"/>
      <c r="AI1541" s="131"/>
    </row>
    <row r="1542" spans="1:35" ht="26.4">
      <c r="A1542" s="284"/>
      <c r="B1542" s="284"/>
      <c r="C1542" s="284"/>
      <c r="D1542" s="284"/>
      <c r="E1542" s="284"/>
      <c r="F1542" s="284"/>
      <c r="G1542" s="284"/>
      <c r="H1542" s="284"/>
      <c r="I1542" s="284"/>
      <c r="J1542" s="375"/>
      <c r="K1542" s="375"/>
      <c r="L1542" s="375"/>
      <c r="M1542" s="368"/>
      <c r="N1542" s="368"/>
      <c r="O1542" s="370"/>
      <c r="T1542" s="340"/>
      <c r="V1542" s="378"/>
      <c r="W1542" s="64" ph="1"/>
      <c r="X1542" s="241"/>
      <c r="Y1542" s="284"/>
      <c r="Z1542" s="207"/>
      <c r="AA1542" s="284"/>
      <c r="AB1542" s="284"/>
      <c r="AC1542" s="284"/>
      <c r="AD1542" s="284"/>
      <c r="AE1542" s="284"/>
      <c r="AF1542" s="284"/>
      <c r="AG1542" s="284"/>
      <c r="AI1542" s="131"/>
    </row>
    <row r="1543" spans="1:35" ht="26.4">
      <c r="A1543" s="284"/>
      <c r="B1543" s="284"/>
      <c r="C1543" s="284"/>
      <c r="D1543" s="284"/>
      <c r="E1543" s="284"/>
      <c r="F1543" s="284"/>
      <c r="G1543" s="284"/>
      <c r="H1543" s="284"/>
      <c r="I1543" s="284"/>
      <c r="J1543" s="375"/>
      <c r="K1543" s="375"/>
      <c r="L1543" s="375"/>
      <c r="M1543" s="368"/>
      <c r="N1543" s="368"/>
      <c r="O1543" s="370"/>
      <c r="T1543" s="340"/>
      <c r="V1543" s="378"/>
      <c r="W1543" s="64" ph="1"/>
      <c r="X1543" s="241"/>
      <c r="Y1543" s="284"/>
      <c r="Z1543" s="207"/>
      <c r="AA1543" s="284"/>
      <c r="AB1543" s="284"/>
      <c r="AC1543" s="284"/>
      <c r="AD1543" s="284"/>
      <c r="AE1543" s="284"/>
      <c r="AF1543" s="284"/>
      <c r="AG1543" s="284"/>
      <c r="AI1543" s="131"/>
    </row>
    <row r="1544" spans="1:35" ht="26.4">
      <c r="A1544" s="284"/>
      <c r="B1544" s="284"/>
      <c r="C1544" s="284"/>
      <c r="D1544" s="284"/>
      <c r="E1544" s="284"/>
      <c r="F1544" s="284"/>
      <c r="G1544" s="284"/>
      <c r="H1544" s="284"/>
      <c r="I1544" s="284"/>
      <c r="J1544" s="375"/>
      <c r="K1544" s="375"/>
      <c r="L1544" s="375"/>
      <c r="M1544" s="368"/>
      <c r="N1544" s="368"/>
      <c r="O1544" s="370"/>
      <c r="T1544" s="340"/>
      <c r="V1544" s="378"/>
      <c r="W1544" s="64" ph="1"/>
      <c r="X1544" s="241"/>
      <c r="Y1544" s="284"/>
      <c r="Z1544" s="207"/>
      <c r="AA1544" s="284"/>
      <c r="AB1544" s="284"/>
      <c r="AC1544" s="284"/>
      <c r="AD1544" s="284"/>
      <c r="AE1544" s="284"/>
      <c r="AF1544" s="284"/>
      <c r="AG1544" s="284"/>
      <c r="AI1544" s="131"/>
    </row>
    <row r="1545" spans="1:35" ht="26.4">
      <c r="A1545" s="284"/>
      <c r="B1545" s="284"/>
      <c r="C1545" s="284"/>
      <c r="D1545" s="284"/>
      <c r="E1545" s="284"/>
      <c r="F1545" s="284"/>
      <c r="G1545" s="284"/>
      <c r="H1545" s="284"/>
      <c r="I1545" s="284"/>
      <c r="J1545" s="375"/>
      <c r="K1545" s="375"/>
      <c r="L1545" s="375"/>
      <c r="M1545" s="368"/>
      <c r="N1545" s="368"/>
      <c r="O1545" s="370"/>
      <c r="T1545" s="340"/>
      <c r="V1545" s="378"/>
      <c r="W1545" s="64" ph="1"/>
      <c r="X1545" s="241"/>
      <c r="Y1545" s="284"/>
      <c r="Z1545" s="207"/>
      <c r="AA1545" s="284"/>
      <c r="AB1545" s="284"/>
      <c r="AC1545" s="284"/>
      <c r="AD1545" s="284"/>
      <c r="AE1545" s="284"/>
      <c r="AF1545" s="284"/>
      <c r="AG1545" s="284"/>
      <c r="AI1545" s="131"/>
    </row>
    <row r="1546" spans="1:35" ht="26.4">
      <c r="A1546" s="284"/>
      <c r="B1546" s="284"/>
      <c r="C1546" s="284"/>
      <c r="D1546" s="284"/>
      <c r="E1546" s="284"/>
      <c r="F1546" s="284"/>
      <c r="G1546" s="284"/>
      <c r="H1546" s="284"/>
      <c r="I1546" s="284"/>
      <c r="J1546" s="375"/>
      <c r="K1546" s="375"/>
      <c r="L1546" s="375"/>
      <c r="M1546" s="368"/>
      <c r="N1546" s="368"/>
      <c r="T1546" s="340"/>
      <c r="V1546" s="378"/>
      <c r="W1546" s="64" ph="1"/>
      <c r="X1546" s="241"/>
      <c r="Y1546" s="284"/>
      <c r="Z1546" s="207"/>
      <c r="AA1546" s="284"/>
      <c r="AB1546" s="284"/>
      <c r="AC1546" s="284"/>
      <c r="AD1546" s="284"/>
      <c r="AE1546" s="284"/>
      <c r="AF1546" s="284"/>
      <c r="AG1546" s="284"/>
      <c r="AI1546" s="28"/>
    </row>
    <row r="1547" spans="1:35" ht="26.4">
      <c r="A1547" s="284"/>
      <c r="B1547" s="284"/>
      <c r="C1547" s="284"/>
      <c r="D1547" s="284"/>
      <c r="E1547" s="284"/>
      <c r="F1547" s="284"/>
      <c r="G1547" s="284"/>
      <c r="H1547" s="284"/>
      <c r="I1547" s="284"/>
      <c r="J1547" s="375"/>
      <c r="K1547" s="375"/>
      <c r="L1547" s="375"/>
      <c r="M1547" s="368"/>
      <c r="N1547" s="368"/>
      <c r="O1547" s="370"/>
      <c r="T1547" s="340"/>
      <c r="V1547" s="378"/>
      <c r="W1547" s="64" ph="1"/>
      <c r="X1547" s="241"/>
      <c r="Y1547" s="284"/>
      <c r="Z1547" s="207"/>
      <c r="AA1547" s="284"/>
      <c r="AB1547" s="284"/>
      <c r="AC1547" s="284"/>
      <c r="AD1547" s="284"/>
      <c r="AE1547" s="284"/>
      <c r="AF1547" s="284"/>
      <c r="AG1547" s="284"/>
      <c r="AI1547" s="131"/>
    </row>
    <row r="1548" spans="1:35" ht="26.4">
      <c r="A1548" s="284"/>
      <c r="B1548" s="284"/>
      <c r="C1548" s="284"/>
      <c r="D1548" s="284"/>
      <c r="E1548" s="284"/>
      <c r="F1548" s="284"/>
      <c r="G1548" s="284"/>
      <c r="H1548" s="284"/>
      <c r="I1548" s="284"/>
      <c r="J1548" s="375"/>
      <c r="K1548" s="375"/>
      <c r="L1548" s="375"/>
      <c r="M1548" s="368"/>
      <c r="N1548" s="368"/>
      <c r="O1548" s="370"/>
      <c r="T1548" s="340"/>
      <c r="V1548" s="378"/>
      <c r="W1548" s="64" ph="1"/>
      <c r="X1548" s="241"/>
      <c r="Y1548" s="284"/>
      <c r="Z1548" s="207"/>
      <c r="AA1548" s="284"/>
      <c r="AB1548" s="284"/>
      <c r="AC1548" s="284"/>
      <c r="AD1548" s="284"/>
      <c r="AE1548" s="284"/>
      <c r="AF1548" s="284"/>
      <c r="AG1548" s="284"/>
      <c r="AI1548" s="131"/>
    </row>
    <row r="1549" spans="1:35" ht="26.4">
      <c r="A1549" s="284"/>
      <c r="B1549" s="284"/>
      <c r="C1549" s="284"/>
      <c r="D1549" s="284"/>
      <c r="E1549" s="284"/>
      <c r="F1549" s="284"/>
      <c r="G1549" s="284"/>
      <c r="H1549" s="284"/>
      <c r="I1549" s="284"/>
      <c r="J1549" s="375"/>
      <c r="K1549" s="375"/>
      <c r="L1549" s="375"/>
      <c r="M1549" s="368"/>
      <c r="N1549" s="368"/>
      <c r="O1549" s="370"/>
      <c r="T1549" s="340"/>
      <c r="V1549" s="378"/>
      <c r="W1549" s="64" ph="1"/>
      <c r="X1549" s="241"/>
      <c r="Y1549" s="284"/>
      <c r="Z1549" s="207"/>
      <c r="AA1549" s="284"/>
      <c r="AB1549" s="284"/>
      <c r="AC1549" s="284"/>
      <c r="AD1549" s="284"/>
      <c r="AE1549" s="284"/>
      <c r="AF1549" s="284"/>
      <c r="AG1549" s="284"/>
      <c r="AI1549" s="131"/>
    </row>
    <row r="1550" spans="1:35" ht="26.4">
      <c r="A1550" s="284"/>
      <c r="B1550" s="284"/>
      <c r="C1550" s="284"/>
      <c r="D1550" s="284"/>
      <c r="E1550" s="284"/>
      <c r="F1550" s="284"/>
      <c r="G1550" s="284"/>
      <c r="H1550" s="284"/>
      <c r="I1550" s="284"/>
      <c r="J1550" s="375"/>
      <c r="K1550" s="375"/>
      <c r="L1550" s="375"/>
      <c r="M1550" s="368"/>
      <c r="N1550" s="368"/>
      <c r="O1550" s="370"/>
      <c r="T1550" s="340"/>
      <c r="V1550" s="378"/>
      <c r="W1550" s="64" ph="1"/>
      <c r="X1550" s="241"/>
      <c r="Y1550" s="284"/>
      <c r="Z1550" s="207"/>
      <c r="AA1550" s="284"/>
      <c r="AB1550" s="284"/>
      <c r="AC1550" s="284"/>
      <c r="AD1550" s="284"/>
      <c r="AE1550" s="284"/>
      <c r="AF1550" s="284"/>
      <c r="AG1550" s="284"/>
      <c r="AI1550" s="131"/>
    </row>
    <row r="1551" spans="1:35" ht="26.4">
      <c r="A1551" s="284"/>
      <c r="B1551" s="284"/>
      <c r="C1551" s="284"/>
      <c r="D1551" s="284"/>
      <c r="E1551" s="284"/>
      <c r="F1551" s="284"/>
      <c r="G1551" s="284"/>
      <c r="H1551" s="284"/>
      <c r="I1551" s="284"/>
      <c r="J1551" s="375"/>
      <c r="K1551" s="375"/>
      <c r="L1551" s="375"/>
      <c r="M1551" s="368"/>
      <c r="N1551" s="368"/>
      <c r="O1551" s="370"/>
      <c r="T1551" s="340"/>
      <c r="V1551" s="378"/>
      <c r="W1551" s="64" ph="1"/>
      <c r="X1551" s="241"/>
      <c r="Y1551" s="284"/>
      <c r="Z1551" s="207"/>
      <c r="AA1551" s="284"/>
      <c r="AB1551" s="284"/>
      <c r="AC1551" s="284"/>
      <c r="AD1551" s="284"/>
      <c r="AE1551" s="284"/>
      <c r="AF1551" s="284"/>
      <c r="AG1551" s="284"/>
      <c r="AI1551" s="131"/>
    </row>
    <row r="1552" spans="1:35" ht="26.4">
      <c r="A1552" s="284"/>
      <c r="B1552" s="284"/>
      <c r="C1552" s="284"/>
      <c r="D1552" s="284"/>
      <c r="E1552" s="284"/>
      <c r="F1552" s="284"/>
      <c r="G1552" s="284"/>
      <c r="H1552" s="284"/>
      <c r="I1552" s="284"/>
      <c r="J1552" s="375"/>
      <c r="K1552" s="375"/>
      <c r="L1552" s="375"/>
      <c r="M1552" s="368"/>
      <c r="N1552" s="368"/>
      <c r="O1552" s="370"/>
      <c r="T1552" s="340"/>
      <c r="V1552" s="378"/>
      <c r="W1552" s="64" ph="1"/>
      <c r="X1552" s="241"/>
      <c r="Y1552" s="284"/>
      <c r="Z1552" s="207"/>
      <c r="AA1552" s="284"/>
      <c r="AB1552" s="284"/>
      <c r="AC1552" s="284"/>
      <c r="AD1552" s="284"/>
      <c r="AE1552" s="284"/>
      <c r="AF1552" s="284"/>
      <c r="AG1552" s="284"/>
      <c r="AI1552" s="131"/>
    </row>
    <row r="1553" spans="1:35" ht="26.4">
      <c r="A1553" s="284"/>
      <c r="B1553" s="284"/>
      <c r="C1553" s="284"/>
      <c r="D1553" s="284"/>
      <c r="E1553" s="284"/>
      <c r="F1553" s="284"/>
      <c r="G1553" s="284"/>
      <c r="H1553" s="284"/>
      <c r="I1553" s="284"/>
      <c r="J1553" s="375"/>
      <c r="K1553" s="375"/>
      <c r="L1553" s="375"/>
      <c r="M1553" s="368"/>
      <c r="N1553" s="368"/>
      <c r="O1553" s="370"/>
      <c r="T1553" s="340"/>
      <c r="V1553" s="378"/>
      <c r="W1553" s="64" ph="1"/>
      <c r="X1553" s="241"/>
      <c r="Y1553" s="284"/>
      <c r="Z1553" s="207"/>
      <c r="AA1553" s="284"/>
      <c r="AB1553" s="284"/>
      <c r="AC1553" s="284"/>
      <c r="AD1553" s="284"/>
      <c r="AE1553" s="284"/>
      <c r="AF1553" s="284"/>
      <c r="AG1553" s="284"/>
      <c r="AI1553" s="131"/>
    </row>
    <row r="1554" spans="1:35" ht="26.4">
      <c r="A1554" s="284"/>
      <c r="B1554" s="284"/>
      <c r="C1554" s="284"/>
      <c r="D1554" s="284"/>
      <c r="E1554" s="284"/>
      <c r="F1554" s="284"/>
      <c r="G1554" s="284"/>
      <c r="H1554" s="284"/>
      <c r="I1554" s="284"/>
      <c r="J1554" s="375"/>
      <c r="K1554" s="375"/>
      <c r="L1554" s="375"/>
      <c r="M1554" s="368"/>
      <c r="N1554" s="368"/>
      <c r="O1554" s="370"/>
      <c r="T1554" s="340"/>
      <c r="V1554" s="378"/>
      <c r="W1554" s="64" ph="1"/>
      <c r="X1554" s="241"/>
      <c r="Y1554" s="284"/>
      <c r="Z1554" s="207"/>
      <c r="AA1554" s="284"/>
      <c r="AB1554" s="284"/>
      <c r="AC1554" s="284"/>
      <c r="AD1554" s="284"/>
      <c r="AE1554" s="284"/>
      <c r="AF1554" s="284"/>
      <c r="AG1554" s="284"/>
      <c r="AI1554" s="131"/>
    </row>
    <row r="1555" spans="1:35" ht="26.4">
      <c r="A1555" s="284"/>
      <c r="B1555" s="284"/>
      <c r="C1555" s="284"/>
      <c r="D1555" s="284"/>
      <c r="E1555" s="284"/>
      <c r="F1555" s="284"/>
      <c r="G1555" s="284"/>
      <c r="H1555" s="284"/>
      <c r="I1555" s="284"/>
      <c r="J1555" s="375"/>
      <c r="K1555" s="375"/>
      <c r="L1555" s="375"/>
      <c r="M1555" s="368"/>
      <c r="N1555" s="368"/>
      <c r="O1555" s="370"/>
      <c r="T1555" s="340"/>
      <c r="V1555" s="378"/>
      <c r="W1555" s="64" ph="1"/>
      <c r="X1555" s="241"/>
      <c r="Y1555" s="284"/>
      <c r="Z1555" s="207"/>
      <c r="AA1555" s="284"/>
      <c r="AB1555" s="284"/>
      <c r="AC1555" s="284"/>
      <c r="AD1555" s="284"/>
      <c r="AE1555" s="284"/>
      <c r="AF1555" s="284"/>
      <c r="AG1555" s="284"/>
      <c r="AI1555" s="131"/>
    </row>
    <row r="1556" spans="1:35" ht="26.4">
      <c r="A1556" s="284"/>
      <c r="B1556" s="284"/>
      <c r="C1556" s="284"/>
      <c r="D1556" s="284"/>
      <c r="E1556" s="284"/>
      <c r="F1556" s="284"/>
      <c r="G1556" s="284"/>
      <c r="H1556" s="284"/>
      <c r="I1556" s="284"/>
      <c r="J1556" s="375"/>
      <c r="K1556" s="375"/>
      <c r="L1556" s="375"/>
      <c r="M1556" s="368"/>
      <c r="N1556" s="368"/>
      <c r="O1556" s="370"/>
      <c r="T1556" s="340"/>
      <c r="V1556" s="378"/>
      <c r="W1556" s="64" ph="1"/>
      <c r="X1556" s="241"/>
      <c r="Y1556" s="284"/>
      <c r="Z1556" s="207"/>
      <c r="AA1556" s="284"/>
      <c r="AB1556" s="284"/>
      <c r="AC1556" s="284"/>
      <c r="AD1556" s="284"/>
      <c r="AE1556" s="284"/>
      <c r="AF1556" s="284"/>
      <c r="AG1556" s="284"/>
      <c r="AI1556" s="131"/>
    </row>
    <row r="1557" spans="1:35" ht="26.4">
      <c r="A1557" s="284"/>
      <c r="B1557" s="284"/>
      <c r="C1557" s="284"/>
      <c r="D1557" s="284"/>
      <c r="E1557" s="284"/>
      <c r="F1557" s="284"/>
      <c r="G1557" s="284"/>
      <c r="H1557" s="284"/>
      <c r="I1557" s="284"/>
      <c r="J1557" s="375"/>
      <c r="K1557" s="375"/>
      <c r="L1557" s="375"/>
      <c r="M1557" s="368"/>
      <c r="N1557" s="368"/>
      <c r="O1557" s="370"/>
      <c r="T1557" s="340"/>
      <c r="V1557" s="378"/>
      <c r="W1557" s="64" ph="1"/>
      <c r="X1557" s="241"/>
      <c r="Y1557" s="284"/>
      <c r="Z1557" s="207"/>
      <c r="AA1557" s="284"/>
      <c r="AB1557" s="284"/>
      <c r="AC1557" s="284"/>
      <c r="AD1557" s="284"/>
      <c r="AE1557" s="284"/>
      <c r="AF1557" s="284"/>
      <c r="AG1557" s="284"/>
      <c r="AI1557" s="131"/>
    </row>
    <row r="1558" spans="1:35" ht="26.4">
      <c r="A1558" s="284"/>
      <c r="B1558" s="284"/>
      <c r="C1558" s="284"/>
      <c r="D1558" s="284"/>
      <c r="E1558" s="284"/>
      <c r="F1558" s="284"/>
      <c r="G1558" s="284"/>
      <c r="H1558" s="284"/>
      <c r="I1558" s="284"/>
      <c r="J1558" s="375"/>
      <c r="K1558" s="375"/>
      <c r="L1558" s="375"/>
      <c r="M1558" s="368"/>
      <c r="N1558" s="368"/>
      <c r="O1558" s="370"/>
      <c r="T1558" s="340"/>
      <c r="V1558" s="378"/>
      <c r="W1558" s="64" ph="1"/>
      <c r="X1558" s="241"/>
      <c r="Y1558" s="284"/>
      <c r="Z1558" s="207"/>
      <c r="AA1558" s="284"/>
      <c r="AB1558" s="284"/>
      <c r="AC1558" s="284"/>
      <c r="AD1558" s="284"/>
      <c r="AE1558" s="284"/>
      <c r="AF1558" s="284"/>
      <c r="AG1558" s="284"/>
      <c r="AI1558" s="131"/>
    </row>
    <row r="1559" spans="1:35" ht="26.4">
      <c r="A1559" s="284"/>
      <c r="B1559" s="284"/>
      <c r="C1559" s="284"/>
      <c r="D1559" s="284"/>
      <c r="E1559" s="284"/>
      <c r="F1559" s="284"/>
      <c r="G1559" s="284"/>
      <c r="H1559" s="284"/>
      <c r="I1559" s="284"/>
      <c r="J1559" s="375"/>
      <c r="K1559" s="375"/>
      <c r="L1559" s="375"/>
      <c r="M1559" s="368"/>
      <c r="N1559" s="368"/>
      <c r="O1559" s="370"/>
      <c r="T1559" s="340"/>
      <c r="V1559" s="378"/>
      <c r="W1559" s="64" ph="1"/>
      <c r="X1559" s="241"/>
      <c r="Y1559" s="284"/>
      <c r="Z1559" s="207"/>
      <c r="AA1559" s="284"/>
      <c r="AB1559" s="284"/>
      <c r="AC1559" s="284"/>
      <c r="AD1559" s="284"/>
      <c r="AE1559" s="284"/>
      <c r="AF1559" s="284"/>
      <c r="AG1559" s="284"/>
      <c r="AI1559" s="131"/>
    </row>
    <row r="1560" spans="1:35" ht="26.4">
      <c r="A1560" s="284"/>
      <c r="B1560" s="284"/>
      <c r="C1560" s="284"/>
      <c r="D1560" s="284"/>
      <c r="E1560" s="284"/>
      <c r="F1560" s="284"/>
      <c r="G1560" s="284"/>
      <c r="H1560" s="284"/>
      <c r="I1560" s="284"/>
      <c r="J1560" s="375"/>
      <c r="K1560" s="375"/>
      <c r="L1560" s="375"/>
      <c r="M1560" s="368"/>
      <c r="N1560" s="368"/>
      <c r="O1560" s="370"/>
      <c r="T1560" s="340"/>
      <c r="V1560" s="378"/>
      <c r="W1560" s="64" ph="1"/>
      <c r="X1560" s="241"/>
      <c r="Y1560" s="284"/>
      <c r="Z1560" s="207"/>
      <c r="AA1560" s="284"/>
      <c r="AB1560" s="284"/>
      <c r="AC1560" s="284"/>
      <c r="AD1560" s="284"/>
      <c r="AE1560" s="284"/>
      <c r="AF1560" s="284"/>
      <c r="AG1560" s="284"/>
      <c r="AI1560" s="284"/>
    </row>
    <row r="1561" spans="1:35" ht="26.4">
      <c r="A1561" s="284"/>
      <c r="B1561" s="284"/>
      <c r="C1561" s="284"/>
      <c r="D1561" s="284"/>
      <c r="E1561" s="284"/>
      <c r="F1561" s="284"/>
      <c r="G1561" s="284"/>
      <c r="H1561" s="284"/>
      <c r="I1561" s="284"/>
      <c r="J1561" s="375"/>
      <c r="K1561" s="375"/>
      <c r="L1561" s="375"/>
      <c r="M1561" s="368"/>
      <c r="N1561" s="368"/>
      <c r="O1561" s="370"/>
      <c r="T1561" s="340"/>
      <c r="V1561" s="378"/>
      <c r="W1561" s="64" ph="1"/>
      <c r="X1561" s="241"/>
      <c r="Y1561" s="284"/>
      <c r="Z1561" s="207"/>
      <c r="AA1561" s="284"/>
      <c r="AB1561" s="284"/>
      <c r="AC1561" s="284"/>
      <c r="AD1561" s="284"/>
      <c r="AE1561" s="284"/>
      <c r="AF1561" s="284"/>
      <c r="AG1561" s="284"/>
      <c r="AI1561" s="131"/>
    </row>
    <row r="1562" spans="1:35" ht="26.4">
      <c r="A1562" s="284"/>
      <c r="B1562" s="284"/>
      <c r="C1562" s="284"/>
      <c r="D1562" s="284"/>
      <c r="E1562" s="284"/>
      <c r="F1562" s="284"/>
      <c r="G1562" s="284"/>
      <c r="H1562" s="284"/>
      <c r="I1562" s="284"/>
      <c r="J1562" s="375"/>
      <c r="K1562" s="375"/>
      <c r="L1562" s="375"/>
      <c r="M1562" s="368"/>
      <c r="N1562" s="368"/>
      <c r="O1562" s="370"/>
      <c r="T1562" s="340"/>
      <c r="V1562" s="378"/>
      <c r="W1562" s="64" ph="1"/>
      <c r="X1562" s="241"/>
      <c r="Y1562" s="284"/>
      <c r="Z1562" s="207"/>
      <c r="AA1562" s="284"/>
      <c r="AB1562" s="284"/>
      <c r="AC1562" s="284"/>
      <c r="AD1562" s="284"/>
      <c r="AE1562" s="284"/>
      <c r="AF1562" s="284"/>
      <c r="AG1562" s="284"/>
      <c r="AI1562" s="131"/>
    </row>
    <row r="1563" spans="1:35" ht="26.4">
      <c r="A1563" s="284"/>
      <c r="B1563" s="284"/>
      <c r="C1563" s="284"/>
      <c r="D1563" s="284"/>
      <c r="E1563" s="284"/>
      <c r="F1563" s="284"/>
      <c r="G1563" s="284"/>
      <c r="H1563" s="284"/>
      <c r="I1563" s="284"/>
      <c r="J1563" s="375"/>
      <c r="K1563" s="375"/>
      <c r="L1563" s="375"/>
      <c r="M1563" s="368"/>
      <c r="N1563" s="368"/>
      <c r="O1563" s="370"/>
      <c r="T1563" s="340"/>
      <c r="V1563" s="378"/>
      <c r="W1563" s="64" ph="1"/>
      <c r="X1563" s="241"/>
      <c r="Y1563" s="284"/>
      <c r="Z1563" s="207"/>
      <c r="AA1563" s="284"/>
      <c r="AB1563" s="284"/>
      <c r="AC1563" s="284"/>
      <c r="AD1563" s="284"/>
      <c r="AE1563" s="284"/>
      <c r="AF1563" s="284"/>
      <c r="AG1563" s="284"/>
      <c r="AI1563" s="131"/>
    </row>
    <row r="1564" spans="1:35" ht="26.4">
      <c r="A1564" s="284"/>
      <c r="B1564" s="284"/>
      <c r="C1564" s="284"/>
      <c r="D1564" s="284"/>
      <c r="E1564" s="284"/>
      <c r="F1564" s="284"/>
      <c r="G1564" s="284"/>
      <c r="H1564" s="284"/>
      <c r="I1564" s="284"/>
      <c r="J1564" s="375"/>
      <c r="K1564" s="375"/>
      <c r="L1564" s="375"/>
      <c r="M1564" s="368"/>
      <c r="N1564" s="368"/>
      <c r="O1564" s="370"/>
      <c r="T1564" s="340"/>
      <c r="V1564" s="378"/>
      <c r="W1564" s="64" ph="1"/>
      <c r="X1564" s="241"/>
      <c r="Y1564" s="284"/>
      <c r="Z1564" s="207"/>
      <c r="AA1564" s="284"/>
      <c r="AB1564" s="284"/>
      <c r="AC1564" s="284"/>
      <c r="AD1564" s="284"/>
      <c r="AE1564" s="284"/>
      <c r="AF1564" s="284"/>
      <c r="AG1564" s="284"/>
      <c r="AI1564" s="131"/>
    </row>
    <row r="1565" spans="1:35" ht="26.4">
      <c r="A1565" s="284"/>
      <c r="B1565" s="284"/>
      <c r="C1565" s="284"/>
      <c r="D1565" s="284"/>
      <c r="E1565" s="284"/>
      <c r="F1565" s="284"/>
      <c r="G1565" s="284"/>
      <c r="H1565" s="284"/>
      <c r="I1565" s="284"/>
      <c r="J1565" s="375"/>
      <c r="K1565" s="375"/>
      <c r="L1565" s="375"/>
      <c r="M1565" s="368"/>
      <c r="N1565" s="368"/>
      <c r="O1565" s="370"/>
      <c r="T1565" s="340"/>
      <c r="V1565" s="378"/>
      <c r="W1565" s="64" ph="1"/>
      <c r="X1565" s="241"/>
      <c r="Y1565" s="284"/>
      <c r="Z1565" s="207"/>
      <c r="AA1565" s="284"/>
      <c r="AB1565" s="284"/>
      <c r="AC1565" s="284"/>
      <c r="AD1565" s="284"/>
      <c r="AE1565" s="284"/>
      <c r="AF1565" s="284"/>
      <c r="AG1565" s="284"/>
      <c r="AI1565" s="131"/>
    </row>
    <row r="1566" spans="1:35" ht="26.4">
      <c r="A1566" s="284"/>
      <c r="B1566" s="284"/>
      <c r="C1566" s="284"/>
      <c r="D1566" s="284"/>
      <c r="E1566" s="284"/>
      <c r="F1566" s="284"/>
      <c r="G1566" s="284"/>
      <c r="H1566" s="284"/>
      <c r="I1566" s="284"/>
      <c r="J1566" s="375"/>
      <c r="K1566" s="375"/>
      <c r="L1566" s="375"/>
      <c r="M1566" s="368"/>
      <c r="N1566" s="368"/>
      <c r="O1566" s="370"/>
      <c r="T1566" s="340"/>
      <c r="V1566" s="378"/>
      <c r="W1566" s="64" ph="1"/>
      <c r="X1566" s="241"/>
      <c r="Y1566" s="284"/>
      <c r="Z1566" s="207"/>
      <c r="AA1566" s="284"/>
      <c r="AB1566" s="284"/>
      <c r="AC1566" s="284"/>
      <c r="AD1566" s="284"/>
      <c r="AE1566" s="284"/>
      <c r="AF1566" s="284"/>
      <c r="AG1566" s="284"/>
      <c r="AI1566" s="131"/>
    </row>
    <row r="1567" spans="1:35" ht="26.4">
      <c r="A1567" s="284"/>
      <c r="B1567" s="284"/>
      <c r="C1567" s="284"/>
      <c r="D1567" s="284"/>
      <c r="E1567" s="284"/>
      <c r="F1567" s="284"/>
      <c r="G1567" s="284"/>
      <c r="H1567" s="284"/>
      <c r="I1567" s="284"/>
      <c r="J1567" s="375"/>
      <c r="K1567" s="375"/>
      <c r="L1567" s="375"/>
      <c r="M1567" s="368"/>
      <c r="N1567" s="368"/>
      <c r="O1567" s="370"/>
      <c r="T1567" s="340"/>
      <c r="V1567" s="378"/>
      <c r="W1567" s="64" ph="1"/>
      <c r="X1567" s="241"/>
      <c r="Y1567" s="284"/>
      <c r="Z1567" s="207"/>
      <c r="AA1567" s="284"/>
      <c r="AB1567" s="284"/>
      <c r="AC1567" s="284"/>
      <c r="AD1567" s="284"/>
      <c r="AE1567" s="284"/>
      <c r="AF1567" s="284"/>
      <c r="AG1567" s="284"/>
      <c r="AI1567" s="131"/>
    </row>
    <row r="1568" spans="1:35" ht="26.4">
      <c r="A1568" s="284"/>
      <c r="B1568" s="284"/>
      <c r="C1568" s="284"/>
      <c r="D1568" s="284"/>
      <c r="E1568" s="284"/>
      <c r="F1568" s="284"/>
      <c r="G1568" s="284"/>
      <c r="H1568" s="284"/>
      <c r="I1568" s="284"/>
      <c r="J1568" s="375"/>
      <c r="K1568" s="375"/>
      <c r="L1568" s="375"/>
      <c r="M1568" s="368"/>
      <c r="N1568" s="368"/>
      <c r="O1568" s="370"/>
      <c r="T1568" s="340"/>
      <c r="V1568" s="378"/>
      <c r="W1568" s="64" ph="1"/>
      <c r="X1568" s="241"/>
      <c r="Y1568" s="284"/>
      <c r="Z1568" s="207"/>
      <c r="AA1568" s="284"/>
      <c r="AB1568" s="284"/>
      <c r="AC1568" s="284"/>
      <c r="AD1568" s="284"/>
      <c r="AE1568" s="284"/>
      <c r="AF1568" s="284"/>
      <c r="AG1568" s="284"/>
      <c r="AI1568" s="131"/>
    </row>
    <row r="1569" spans="1:35" ht="26.4">
      <c r="A1569" s="284"/>
      <c r="B1569" s="284"/>
      <c r="C1569" s="284"/>
      <c r="D1569" s="284"/>
      <c r="E1569" s="284"/>
      <c r="F1569" s="284"/>
      <c r="G1569" s="284"/>
      <c r="H1569" s="284"/>
      <c r="I1569" s="284"/>
      <c r="J1569" s="375"/>
      <c r="K1569" s="375"/>
      <c r="L1569" s="375"/>
      <c r="M1569" s="368"/>
      <c r="N1569" s="368"/>
      <c r="O1569" s="370"/>
      <c r="T1569" s="340"/>
      <c r="V1569" s="378"/>
      <c r="W1569" s="64" ph="1"/>
      <c r="X1569" s="241"/>
      <c r="Y1569" s="284"/>
      <c r="Z1569" s="207"/>
      <c r="AA1569" s="284"/>
      <c r="AB1569" s="284"/>
      <c r="AC1569" s="284"/>
      <c r="AD1569" s="284"/>
      <c r="AE1569" s="284"/>
      <c r="AF1569" s="284"/>
      <c r="AG1569" s="284"/>
      <c r="AI1569" s="131"/>
    </row>
    <row r="1570" spans="1:35" ht="26.4">
      <c r="A1570" s="284"/>
      <c r="B1570" s="284"/>
      <c r="C1570" s="284"/>
      <c r="D1570" s="284"/>
      <c r="E1570" s="284"/>
      <c r="F1570" s="284"/>
      <c r="G1570" s="284"/>
      <c r="H1570" s="284"/>
      <c r="I1570" s="284"/>
      <c r="J1570" s="375"/>
      <c r="K1570" s="375"/>
      <c r="L1570" s="375"/>
      <c r="M1570" s="368"/>
      <c r="N1570" s="368"/>
      <c r="O1570" s="370"/>
      <c r="T1570" s="340"/>
      <c r="V1570" s="378"/>
      <c r="W1570" s="64" ph="1"/>
      <c r="X1570" s="241"/>
      <c r="Y1570" s="284"/>
      <c r="Z1570" s="207"/>
      <c r="AA1570" s="284"/>
      <c r="AB1570" s="284"/>
      <c r="AC1570" s="284"/>
      <c r="AD1570" s="284"/>
      <c r="AE1570" s="284"/>
      <c r="AF1570" s="284"/>
      <c r="AG1570" s="284"/>
      <c r="AI1570" s="131"/>
    </row>
    <row r="1571" spans="1:35" ht="26.4">
      <c r="A1571" s="284"/>
      <c r="B1571" s="284"/>
      <c r="C1571" s="284"/>
      <c r="D1571" s="284"/>
      <c r="E1571" s="284"/>
      <c r="F1571" s="284"/>
      <c r="G1571" s="284"/>
      <c r="H1571" s="284"/>
      <c r="I1571" s="284"/>
      <c r="J1571" s="375"/>
      <c r="K1571" s="375"/>
      <c r="L1571" s="375"/>
      <c r="M1571" s="368"/>
      <c r="N1571" s="368"/>
      <c r="O1571" s="370"/>
      <c r="T1571" s="340"/>
      <c r="V1571" s="378"/>
      <c r="W1571" s="64" ph="1"/>
      <c r="X1571" s="241"/>
      <c r="Y1571" s="284"/>
      <c r="Z1571" s="207"/>
      <c r="AA1571" s="284"/>
      <c r="AB1571" s="284"/>
      <c r="AC1571" s="284"/>
      <c r="AD1571" s="284"/>
      <c r="AE1571" s="284"/>
      <c r="AF1571" s="284"/>
      <c r="AG1571" s="284"/>
      <c r="AI1571" s="284"/>
    </row>
    <row r="1572" spans="1:35" ht="26.4">
      <c r="A1572" s="284"/>
      <c r="B1572" s="284"/>
      <c r="C1572" s="284"/>
      <c r="D1572" s="284"/>
      <c r="E1572" s="284"/>
      <c r="F1572" s="284"/>
      <c r="G1572" s="284"/>
      <c r="H1572" s="284"/>
      <c r="I1572" s="284"/>
      <c r="J1572" s="375"/>
      <c r="K1572" s="375"/>
      <c r="L1572" s="375"/>
      <c r="M1572" s="368"/>
      <c r="N1572" s="368"/>
      <c r="O1572" s="370"/>
      <c r="T1572" s="340"/>
      <c r="V1572" s="378"/>
      <c r="W1572" s="64" ph="1"/>
      <c r="X1572" s="241"/>
      <c r="Y1572" s="284"/>
      <c r="Z1572" s="207"/>
      <c r="AA1572" s="284"/>
      <c r="AB1572" s="284"/>
      <c r="AC1572" s="284"/>
      <c r="AD1572" s="284"/>
      <c r="AE1572" s="284"/>
      <c r="AF1572" s="284"/>
      <c r="AG1572" s="284"/>
      <c r="AI1572" s="131"/>
    </row>
    <row r="1573" spans="1:35" ht="26.4">
      <c r="A1573" s="284"/>
      <c r="B1573" s="284"/>
      <c r="C1573" s="284"/>
      <c r="D1573" s="284"/>
      <c r="E1573" s="284"/>
      <c r="F1573" s="284"/>
      <c r="G1573" s="284"/>
      <c r="H1573" s="284"/>
      <c r="I1573" s="284"/>
      <c r="J1573" s="375"/>
      <c r="K1573" s="375"/>
      <c r="L1573" s="375"/>
      <c r="M1573" s="368"/>
      <c r="N1573" s="368"/>
      <c r="O1573" s="370"/>
      <c r="T1573" s="340"/>
      <c r="V1573" s="378"/>
      <c r="W1573" s="64" ph="1"/>
      <c r="X1573" s="241"/>
      <c r="Y1573" s="284"/>
      <c r="Z1573" s="207"/>
      <c r="AA1573" s="284"/>
      <c r="AB1573" s="284"/>
      <c r="AC1573" s="284"/>
      <c r="AD1573" s="284"/>
      <c r="AE1573" s="284"/>
      <c r="AF1573" s="284"/>
      <c r="AG1573" s="284"/>
      <c r="AI1573" s="131"/>
    </row>
    <row r="1574" spans="1:35" ht="26.4">
      <c r="A1574" s="284"/>
      <c r="B1574" s="284"/>
      <c r="C1574" s="284"/>
      <c r="D1574" s="284"/>
      <c r="E1574" s="284"/>
      <c r="F1574" s="284"/>
      <c r="G1574" s="284"/>
      <c r="H1574" s="284"/>
      <c r="I1574" s="284"/>
      <c r="J1574" s="375"/>
      <c r="K1574" s="375"/>
      <c r="L1574" s="375"/>
      <c r="M1574" s="368"/>
      <c r="N1574" s="368"/>
      <c r="O1574" s="370"/>
      <c r="T1574" s="340"/>
      <c r="V1574" s="378"/>
      <c r="W1574" s="64" ph="1"/>
      <c r="X1574" s="241"/>
      <c r="Y1574" s="284"/>
      <c r="Z1574" s="207"/>
      <c r="AA1574" s="284"/>
      <c r="AB1574" s="284"/>
      <c r="AC1574" s="284"/>
      <c r="AD1574" s="284"/>
      <c r="AE1574" s="284"/>
      <c r="AF1574" s="284"/>
      <c r="AG1574" s="284"/>
      <c r="AI1574" s="284"/>
    </row>
    <row r="1575" spans="1:35" ht="26.4">
      <c r="A1575" s="284"/>
      <c r="B1575" s="284"/>
      <c r="C1575" s="284"/>
      <c r="D1575" s="284"/>
      <c r="E1575" s="284"/>
      <c r="F1575" s="284"/>
      <c r="G1575" s="284"/>
      <c r="H1575" s="284"/>
      <c r="I1575" s="284"/>
      <c r="J1575" s="375"/>
      <c r="K1575" s="375"/>
      <c r="L1575" s="375"/>
      <c r="M1575" s="368"/>
      <c r="N1575" s="368"/>
      <c r="O1575" s="370"/>
      <c r="T1575" s="340"/>
      <c r="V1575" s="378"/>
      <c r="W1575" s="64" ph="1"/>
      <c r="X1575" s="241"/>
      <c r="Y1575" s="284"/>
      <c r="Z1575" s="207"/>
      <c r="AA1575" s="284"/>
      <c r="AB1575" s="284"/>
      <c r="AC1575" s="284"/>
      <c r="AD1575" s="284"/>
      <c r="AE1575" s="284"/>
      <c r="AF1575" s="284"/>
      <c r="AG1575" s="284"/>
      <c r="AI1575" s="131"/>
    </row>
    <row r="1576" spans="1:35" ht="26.4">
      <c r="A1576" s="284"/>
      <c r="B1576" s="284"/>
      <c r="C1576" s="284"/>
      <c r="D1576" s="284"/>
      <c r="E1576" s="284"/>
      <c r="F1576" s="284"/>
      <c r="G1576" s="284"/>
      <c r="H1576" s="284"/>
      <c r="I1576" s="284"/>
      <c r="J1576" s="375"/>
      <c r="K1576" s="375"/>
      <c r="L1576" s="375"/>
      <c r="M1576" s="368"/>
      <c r="N1576" s="368"/>
      <c r="O1576" s="370"/>
      <c r="T1576" s="340"/>
      <c r="V1576" s="378"/>
      <c r="W1576" s="64" ph="1"/>
      <c r="X1576" s="241"/>
      <c r="Y1576" s="284"/>
      <c r="Z1576" s="207"/>
      <c r="AA1576" s="284"/>
      <c r="AB1576" s="284"/>
      <c r="AC1576" s="284"/>
      <c r="AD1576" s="284"/>
      <c r="AE1576" s="284"/>
      <c r="AF1576" s="284"/>
      <c r="AG1576" s="284"/>
      <c r="AI1576" s="131"/>
    </row>
    <row r="1577" spans="1:35" ht="26.4">
      <c r="A1577" s="284"/>
      <c r="B1577" s="284"/>
      <c r="C1577" s="284"/>
      <c r="D1577" s="284"/>
      <c r="E1577" s="284"/>
      <c r="F1577" s="284"/>
      <c r="G1577" s="284"/>
      <c r="H1577" s="284"/>
      <c r="I1577" s="284"/>
      <c r="J1577" s="375"/>
      <c r="K1577" s="375"/>
      <c r="L1577" s="375"/>
      <c r="M1577" s="368"/>
      <c r="N1577" s="368"/>
      <c r="O1577" s="370"/>
      <c r="T1577" s="340"/>
      <c r="V1577" s="378"/>
      <c r="W1577" s="64" ph="1"/>
      <c r="X1577" s="241"/>
      <c r="Y1577" s="284"/>
      <c r="Z1577" s="207"/>
      <c r="AA1577" s="284"/>
      <c r="AB1577" s="284"/>
      <c r="AC1577" s="284"/>
      <c r="AD1577" s="284"/>
      <c r="AE1577" s="284"/>
      <c r="AF1577" s="284"/>
      <c r="AG1577" s="284"/>
      <c r="AI1577" s="131"/>
    </row>
    <row r="1578" spans="1:35" ht="26.4">
      <c r="A1578" s="284"/>
      <c r="B1578" s="284"/>
      <c r="C1578" s="284"/>
      <c r="D1578" s="284"/>
      <c r="E1578" s="284"/>
      <c r="F1578" s="284"/>
      <c r="G1578" s="284"/>
      <c r="H1578" s="284"/>
      <c r="I1578" s="284"/>
      <c r="J1578" s="375"/>
      <c r="K1578" s="375"/>
      <c r="L1578" s="375"/>
      <c r="M1578" s="368"/>
      <c r="N1578" s="368"/>
      <c r="O1578" s="370"/>
      <c r="T1578" s="340"/>
      <c r="V1578" s="378"/>
      <c r="W1578" s="64" ph="1"/>
      <c r="X1578" s="241"/>
      <c r="Y1578" s="284"/>
      <c r="Z1578" s="207"/>
      <c r="AA1578" s="284"/>
      <c r="AB1578" s="284"/>
      <c r="AC1578" s="284"/>
      <c r="AD1578" s="284"/>
      <c r="AE1578" s="284"/>
      <c r="AF1578" s="284"/>
      <c r="AG1578" s="284"/>
      <c r="AI1578" s="131"/>
    </row>
    <row r="1579" spans="1:35" ht="26.4">
      <c r="A1579" s="284"/>
      <c r="B1579" s="284"/>
      <c r="C1579" s="284"/>
      <c r="D1579" s="284"/>
      <c r="E1579" s="284"/>
      <c r="F1579" s="284"/>
      <c r="G1579" s="284"/>
      <c r="H1579" s="284"/>
      <c r="I1579" s="284"/>
      <c r="J1579" s="375"/>
      <c r="K1579" s="375"/>
      <c r="L1579" s="375"/>
      <c r="M1579" s="368"/>
      <c r="N1579" s="368"/>
      <c r="O1579" s="370"/>
      <c r="T1579" s="340"/>
      <c r="V1579" s="378"/>
      <c r="W1579" s="64" ph="1"/>
      <c r="X1579" s="241"/>
      <c r="Y1579" s="284"/>
      <c r="Z1579" s="207"/>
      <c r="AA1579" s="284"/>
      <c r="AB1579" s="284"/>
      <c r="AC1579" s="284"/>
      <c r="AD1579" s="284"/>
      <c r="AE1579" s="284"/>
      <c r="AF1579" s="284"/>
      <c r="AG1579" s="284"/>
      <c r="AI1579" s="131"/>
    </row>
    <row r="1580" spans="1:35" ht="26.4">
      <c r="A1580" s="284"/>
      <c r="B1580" s="284"/>
      <c r="C1580" s="284"/>
      <c r="D1580" s="284"/>
      <c r="E1580" s="284"/>
      <c r="F1580" s="284"/>
      <c r="G1580" s="284"/>
      <c r="H1580" s="284"/>
      <c r="I1580" s="284"/>
      <c r="J1580" s="375"/>
      <c r="K1580" s="375"/>
      <c r="L1580" s="375"/>
      <c r="M1580" s="368"/>
      <c r="N1580" s="368"/>
      <c r="O1580" s="370"/>
      <c r="T1580" s="340"/>
      <c r="V1580" s="378"/>
      <c r="W1580" s="64" ph="1"/>
      <c r="X1580" s="241"/>
      <c r="Y1580" s="284"/>
      <c r="Z1580" s="207"/>
      <c r="AA1580" s="284"/>
      <c r="AB1580" s="284"/>
      <c r="AC1580" s="284"/>
      <c r="AD1580" s="284"/>
      <c r="AE1580" s="284"/>
      <c r="AF1580" s="284"/>
      <c r="AG1580" s="284"/>
      <c r="AI1580" s="131"/>
    </row>
    <row r="1581" spans="1:35" ht="26.4">
      <c r="A1581" s="284"/>
      <c r="B1581" s="284"/>
      <c r="C1581" s="284"/>
      <c r="D1581" s="284"/>
      <c r="E1581" s="284"/>
      <c r="F1581" s="284"/>
      <c r="G1581" s="284"/>
      <c r="H1581" s="284"/>
      <c r="I1581" s="284"/>
      <c r="J1581" s="375"/>
      <c r="K1581" s="375"/>
      <c r="L1581" s="375"/>
      <c r="M1581" s="368"/>
      <c r="N1581" s="368"/>
      <c r="O1581" s="370"/>
      <c r="T1581" s="340"/>
      <c r="V1581" s="378"/>
      <c r="W1581" s="64" ph="1"/>
      <c r="X1581" s="241"/>
      <c r="Y1581" s="284"/>
      <c r="Z1581" s="207"/>
      <c r="AA1581" s="284"/>
      <c r="AB1581" s="284"/>
      <c r="AC1581" s="284"/>
      <c r="AD1581" s="284"/>
      <c r="AE1581" s="284"/>
      <c r="AF1581" s="284"/>
      <c r="AG1581" s="284"/>
      <c r="AI1581" s="131"/>
    </row>
    <row r="1582" spans="1:35" ht="26.4">
      <c r="A1582" s="284"/>
      <c r="B1582" s="284"/>
      <c r="C1582" s="284"/>
      <c r="D1582" s="284"/>
      <c r="E1582" s="284"/>
      <c r="F1582" s="284"/>
      <c r="G1582" s="284"/>
      <c r="H1582" s="284"/>
      <c r="I1582" s="284"/>
      <c r="J1582" s="375"/>
      <c r="K1582" s="375"/>
      <c r="L1582" s="375"/>
      <c r="M1582" s="368"/>
      <c r="N1582" s="368"/>
      <c r="O1582" s="370"/>
      <c r="T1582" s="340"/>
      <c r="V1582" s="378"/>
      <c r="W1582" s="64" ph="1"/>
      <c r="X1582" s="241"/>
      <c r="Y1582" s="284"/>
      <c r="Z1582" s="207"/>
      <c r="AA1582" s="284"/>
      <c r="AB1582" s="284"/>
      <c r="AC1582" s="284"/>
      <c r="AD1582" s="284"/>
      <c r="AE1582" s="284"/>
      <c r="AF1582" s="284"/>
      <c r="AG1582" s="284"/>
      <c r="AI1582" s="131"/>
    </row>
    <row r="1583" spans="1:35" ht="26.4">
      <c r="A1583" s="284"/>
      <c r="B1583" s="284"/>
      <c r="C1583" s="284"/>
      <c r="D1583" s="284"/>
      <c r="E1583" s="284"/>
      <c r="F1583" s="284"/>
      <c r="G1583" s="284"/>
      <c r="H1583" s="284"/>
      <c r="I1583" s="284"/>
      <c r="J1583" s="375"/>
      <c r="K1583" s="375"/>
      <c r="L1583" s="375"/>
      <c r="M1583" s="368"/>
      <c r="N1583" s="368"/>
      <c r="O1583" s="370"/>
      <c r="T1583" s="340"/>
      <c r="V1583" s="378"/>
      <c r="W1583" s="64" ph="1"/>
      <c r="X1583" s="241"/>
      <c r="Y1583" s="284"/>
      <c r="Z1583" s="207"/>
      <c r="AA1583" s="284"/>
      <c r="AB1583" s="284"/>
      <c r="AC1583" s="284"/>
      <c r="AD1583" s="284"/>
      <c r="AE1583" s="284"/>
      <c r="AF1583" s="284"/>
      <c r="AG1583" s="284"/>
      <c r="AI1583" s="131"/>
    </row>
    <row r="1584" spans="1:35" ht="26.4">
      <c r="A1584" s="284"/>
      <c r="B1584" s="284"/>
      <c r="C1584" s="284"/>
      <c r="D1584" s="284"/>
      <c r="E1584" s="284"/>
      <c r="F1584" s="284"/>
      <c r="G1584" s="284"/>
      <c r="H1584" s="284"/>
      <c r="I1584" s="284"/>
      <c r="J1584" s="375"/>
      <c r="K1584" s="375"/>
      <c r="L1584" s="375"/>
      <c r="M1584" s="368"/>
      <c r="N1584" s="368"/>
      <c r="O1584" s="370"/>
      <c r="T1584" s="340"/>
      <c r="V1584" s="378"/>
      <c r="W1584" s="64" ph="1"/>
      <c r="X1584" s="241"/>
      <c r="Y1584" s="284"/>
      <c r="Z1584" s="207"/>
      <c r="AA1584" s="284"/>
      <c r="AB1584" s="284"/>
      <c r="AC1584" s="284"/>
      <c r="AD1584" s="284"/>
      <c r="AE1584" s="284"/>
      <c r="AF1584" s="284"/>
      <c r="AG1584" s="284"/>
      <c r="AI1584" s="131"/>
    </row>
    <row r="1585" spans="1:35" ht="26.4">
      <c r="A1585" s="284"/>
      <c r="B1585" s="284"/>
      <c r="C1585" s="284"/>
      <c r="D1585" s="284"/>
      <c r="E1585" s="284"/>
      <c r="F1585" s="284"/>
      <c r="G1585" s="284"/>
      <c r="H1585" s="284"/>
      <c r="I1585" s="284"/>
      <c r="J1585" s="375"/>
      <c r="K1585" s="375"/>
      <c r="L1585" s="375"/>
      <c r="M1585" s="368"/>
      <c r="N1585" s="368"/>
      <c r="O1585" s="370"/>
      <c r="T1585" s="340"/>
      <c r="V1585" s="378"/>
      <c r="W1585" s="64" ph="1"/>
      <c r="X1585" s="241"/>
      <c r="Y1585" s="284"/>
      <c r="Z1585" s="207"/>
      <c r="AA1585" s="284"/>
      <c r="AB1585" s="284"/>
      <c r="AC1585" s="284"/>
      <c r="AD1585" s="284"/>
      <c r="AE1585" s="284"/>
      <c r="AF1585" s="284"/>
      <c r="AG1585" s="284"/>
      <c r="AI1585" s="131"/>
    </row>
    <row r="1586" spans="1:35" ht="26.4">
      <c r="A1586" s="284"/>
      <c r="B1586" s="284"/>
      <c r="C1586" s="284"/>
      <c r="D1586" s="284"/>
      <c r="E1586" s="284"/>
      <c r="F1586" s="284"/>
      <c r="G1586" s="284"/>
      <c r="H1586" s="284"/>
      <c r="I1586" s="284"/>
      <c r="J1586" s="375"/>
      <c r="K1586" s="375"/>
      <c r="L1586" s="375"/>
      <c r="M1586" s="368"/>
      <c r="N1586" s="368"/>
      <c r="O1586" s="370"/>
      <c r="T1586" s="340"/>
      <c r="V1586" s="378"/>
      <c r="W1586" s="64" ph="1"/>
      <c r="X1586" s="241"/>
      <c r="Y1586" s="284"/>
      <c r="Z1586" s="207"/>
      <c r="AA1586" s="284"/>
      <c r="AB1586" s="284"/>
      <c r="AC1586" s="284"/>
      <c r="AD1586" s="284"/>
      <c r="AE1586" s="284"/>
      <c r="AF1586" s="284"/>
      <c r="AG1586" s="284"/>
      <c r="AI1586" s="131"/>
    </row>
    <row r="1587" spans="1:35" ht="26.4">
      <c r="A1587" s="284"/>
      <c r="B1587" s="284"/>
      <c r="C1587" s="284"/>
      <c r="D1587" s="284"/>
      <c r="E1587" s="284"/>
      <c r="F1587" s="284"/>
      <c r="G1587" s="284"/>
      <c r="H1587" s="284"/>
      <c r="I1587" s="284"/>
      <c r="J1587" s="375"/>
      <c r="K1587" s="375"/>
      <c r="L1587" s="375"/>
      <c r="M1587" s="368"/>
      <c r="N1587" s="368"/>
      <c r="O1587" s="370"/>
      <c r="T1587" s="340"/>
      <c r="V1587" s="378"/>
      <c r="W1587" s="64" ph="1"/>
      <c r="X1587" s="241"/>
      <c r="Y1587" s="284"/>
      <c r="Z1587" s="207"/>
      <c r="AA1587" s="284"/>
      <c r="AB1587" s="284"/>
      <c r="AC1587" s="284"/>
      <c r="AD1587" s="284"/>
      <c r="AE1587" s="284"/>
      <c r="AF1587" s="284"/>
      <c r="AG1587" s="284"/>
      <c r="AI1587" s="131"/>
    </row>
    <row r="1588" spans="1:35" ht="26.4">
      <c r="A1588" s="284"/>
      <c r="B1588" s="284"/>
      <c r="C1588" s="284"/>
      <c r="D1588" s="284"/>
      <c r="E1588" s="284"/>
      <c r="F1588" s="284"/>
      <c r="G1588" s="284"/>
      <c r="H1588" s="284"/>
      <c r="I1588" s="284"/>
      <c r="J1588" s="375"/>
      <c r="K1588" s="375"/>
      <c r="L1588" s="375"/>
      <c r="M1588" s="368"/>
      <c r="N1588" s="368"/>
      <c r="O1588" s="370"/>
      <c r="T1588" s="340"/>
      <c r="V1588" s="378"/>
      <c r="W1588" s="64" ph="1"/>
      <c r="X1588" s="241"/>
      <c r="Y1588" s="284"/>
      <c r="Z1588" s="207"/>
      <c r="AA1588" s="284"/>
      <c r="AB1588" s="284"/>
      <c r="AC1588" s="284"/>
      <c r="AD1588" s="284"/>
      <c r="AE1588" s="284"/>
      <c r="AF1588" s="284"/>
      <c r="AG1588" s="284"/>
      <c r="AI1588" s="131"/>
    </row>
    <row r="1589" spans="1:35" ht="26.4">
      <c r="A1589" s="284"/>
      <c r="B1589" s="284"/>
      <c r="C1589" s="284"/>
      <c r="D1589" s="284"/>
      <c r="E1589" s="284"/>
      <c r="F1589" s="284"/>
      <c r="G1589" s="284"/>
      <c r="H1589" s="284"/>
      <c r="I1589" s="284"/>
      <c r="J1589" s="375"/>
      <c r="K1589" s="375"/>
      <c r="L1589" s="375"/>
      <c r="M1589" s="368"/>
      <c r="N1589" s="368"/>
      <c r="O1589" s="370"/>
      <c r="T1589" s="340"/>
      <c r="V1589" s="378"/>
      <c r="W1589" s="64" ph="1"/>
      <c r="X1589" s="241"/>
      <c r="Y1589" s="284"/>
      <c r="Z1589" s="207"/>
      <c r="AA1589" s="284"/>
      <c r="AB1589" s="284"/>
      <c r="AC1589" s="284"/>
      <c r="AD1589" s="284"/>
      <c r="AE1589" s="284"/>
      <c r="AF1589" s="284"/>
      <c r="AG1589" s="284"/>
      <c r="AI1589" s="131"/>
    </row>
    <row r="1590" spans="1:35" ht="26.4">
      <c r="A1590" s="284"/>
      <c r="B1590" s="284"/>
      <c r="C1590" s="284"/>
      <c r="D1590" s="284"/>
      <c r="E1590" s="284"/>
      <c r="F1590" s="284"/>
      <c r="G1590" s="284"/>
      <c r="H1590" s="284"/>
      <c r="I1590" s="284"/>
      <c r="J1590" s="375"/>
      <c r="K1590" s="375"/>
      <c r="L1590" s="375"/>
      <c r="M1590" s="368"/>
      <c r="N1590" s="368"/>
      <c r="O1590" s="370"/>
      <c r="T1590" s="340"/>
      <c r="V1590" s="378"/>
      <c r="W1590" s="64" ph="1"/>
      <c r="X1590" s="241"/>
      <c r="Y1590" s="284"/>
      <c r="Z1590" s="207"/>
      <c r="AA1590" s="284"/>
      <c r="AB1590" s="284"/>
      <c r="AC1590" s="284"/>
      <c r="AD1590" s="284"/>
      <c r="AE1590" s="284"/>
      <c r="AF1590" s="284"/>
      <c r="AG1590" s="284"/>
      <c r="AI1590" s="131"/>
    </row>
    <row r="1591" spans="1:35" ht="26.4">
      <c r="A1591" s="284"/>
      <c r="B1591" s="284"/>
      <c r="C1591" s="284"/>
      <c r="D1591" s="284"/>
      <c r="E1591" s="284"/>
      <c r="F1591" s="284"/>
      <c r="G1591" s="284"/>
      <c r="H1591" s="284"/>
      <c r="I1591" s="284"/>
      <c r="J1591" s="375"/>
      <c r="K1591" s="375"/>
      <c r="L1591" s="375"/>
      <c r="M1591" s="368"/>
      <c r="N1591" s="368"/>
      <c r="O1591" s="370"/>
      <c r="T1591" s="340"/>
      <c r="V1591" s="378"/>
      <c r="W1591" s="64" ph="1"/>
      <c r="X1591" s="241"/>
      <c r="Y1591" s="284"/>
      <c r="Z1591" s="207"/>
      <c r="AA1591" s="284"/>
      <c r="AB1591" s="284"/>
      <c r="AC1591" s="284"/>
      <c r="AD1591" s="284"/>
      <c r="AE1591" s="284"/>
      <c r="AF1591" s="284"/>
      <c r="AG1591" s="284"/>
      <c r="AI1591" s="131"/>
    </row>
    <row r="1592" spans="1:35" ht="26.4">
      <c r="A1592" s="284"/>
      <c r="B1592" s="284"/>
      <c r="C1592" s="284"/>
      <c r="D1592" s="284"/>
      <c r="E1592" s="284"/>
      <c r="F1592" s="284"/>
      <c r="G1592" s="284"/>
      <c r="H1592" s="284"/>
      <c r="I1592" s="284"/>
      <c r="J1592" s="375"/>
      <c r="K1592" s="375"/>
      <c r="L1592" s="375"/>
      <c r="M1592" s="368"/>
      <c r="N1592" s="368"/>
      <c r="O1592" s="370"/>
      <c r="T1592" s="340"/>
      <c r="V1592" s="378"/>
      <c r="W1592" s="64" ph="1"/>
      <c r="X1592" s="241"/>
      <c r="Y1592" s="284"/>
      <c r="Z1592" s="207"/>
      <c r="AA1592" s="284"/>
      <c r="AB1592" s="284"/>
      <c r="AC1592" s="284"/>
      <c r="AD1592" s="284"/>
      <c r="AE1592" s="284"/>
      <c r="AF1592" s="284"/>
      <c r="AG1592" s="284"/>
      <c r="AI1592" s="131"/>
    </row>
    <row r="1593" spans="1:35" ht="26.4">
      <c r="A1593" s="284"/>
      <c r="B1593" s="284"/>
      <c r="C1593" s="284"/>
      <c r="D1593" s="284"/>
      <c r="E1593" s="284"/>
      <c r="F1593" s="284"/>
      <c r="G1593" s="284"/>
      <c r="H1593" s="284"/>
      <c r="I1593" s="284"/>
      <c r="J1593" s="375"/>
      <c r="K1593" s="375"/>
      <c r="L1593" s="375"/>
      <c r="M1593" s="368"/>
      <c r="N1593" s="368"/>
      <c r="O1593" s="370"/>
      <c r="T1593" s="340"/>
      <c r="V1593" s="378"/>
      <c r="W1593" s="64" ph="1"/>
      <c r="X1593" s="241"/>
      <c r="Y1593" s="284"/>
      <c r="Z1593" s="207"/>
      <c r="AA1593" s="284"/>
      <c r="AB1593" s="284"/>
      <c r="AC1593" s="284"/>
      <c r="AD1593" s="284"/>
      <c r="AE1593" s="284"/>
      <c r="AF1593" s="284"/>
      <c r="AG1593" s="284"/>
      <c r="AI1593" s="131"/>
    </row>
    <row r="1594" spans="1:35" ht="26.4">
      <c r="A1594" s="284"/>
      <c r="B1594" s="284"/>
      <c r="C1594" s="284"/>
      <c r="D1594" s="284"/>
      <c r="E1594" s="284"/>
      <c r="F1594" s="284"/>
      <c r="G1594" s="284"/>
      <c r="H1594" s="284"/>
      <c r="I1594" s="284"/>
      <c r="J1594" s="375"/>
      <c r="K1594" s="375"/>
      <c r="L1594" s="375"/>
      <c r="M1594" s="368"/>
      <c r="N1594" s="368"/>
      <c r="O1594" s="370"/>
      <c r="T1594" s="340"/>
      <c r="V1594" s="378"/>
      <c r="W1594" s="64" ph="1"/>
      <c r="X1594" s="241"/>
      <c r="Y1594" s="284"/>
      <c r="Z1594" s="207"/>
      <c r="AA1594" s="284"/>
      <c r="AB1594" s="284"/>
      <c r="AC1594" s="284"/>
      <c r="AD1594" s="284"/>
      <c r="AE1594" s="284"/>
      <c r="AF1594" s="284"/>
      <c r="AG1594" s="284"/>
      <c r="AI1594" s="131"/>
    </row>
    <row r="1595" spans="1:35" ht="26.4">
      <c r="A1595" s="284"/>
      <c r="B1595" s="284"/>
      <c r="C1595" s="284"/>
      <c r="D1595" s="284"/>
      <c r="E1595" s="284"/>
      <c r="F1595" s="284"/>
      <c r="G1595" s="284"/>
      <c r="H1595" s="284"/>
      <c r="I1595" s="284"/>
      <c r="J1595" s="375"/>
      <c r="K1595" s="375"/>
      <c r="L1595" s="375"/>
      <c r="M1595" s="368"/>
      <c r="N1595" s="368"/>
      <c r="O1595" s="370"/>
      <c r="T1595" s="340"/>
      <c r="V1595" s="378"/>
      <c r="W1595" s="64" ph="1"/>
      <c r="X1595" s="241"/>
      <c r="Y1595" s="284"/>
      <c r="Z1595" s="207"/>
      <c r="AA1595" s="284"/>
      <c r="AB1595" s="284"/>
      <c r="AC1595" s="284"/>
      <c r="AD1595" s="284"/>
      <c r="AE1595" s="284"/>
      <c r="AF1595" s="284"/>
      <c r="AG1595" s="284"/>
      <c r="AI1595" s="131"/>
    </row>
    <row r="1596" spans="1:35" ht="26.4">
      <c r="A1596" s="284"/>
      <c r="B1596" s="284"/>
      <c r="C1596" s="284"/>
      <c r="D1596" s="284"/>
      <c r="E1596" s="284"/>
      <c r="F1596" s="284"/>
      <c r="G1596" s="284"/>
      <c r="H1596" s="284"/>
      <c r="I1596" s="284"/>
      <c r="J1596" s="375"/>
      <c r="K1596" s="375"/>
      <c r="L1596" s="375"/>
      <c r="M1596" s="368"/>
      <c r="N1596" s="368"/>
      <c r="O1596" s="370"/>
      <c r="T1596" s="340"/>
      <c r="V1596" s="378"/>
      <c r="W1596" s="64" ph="1"/>
      <c r="X1596" s="241"/>
      <c r="Y1596" s="284"/>
      <c r="Z1596" s="207"/>
      <c r="AA1596" s="284"/>
      <c r="AB1596" s="284"/>
      <c r="AC1596" s="284"/>
      <c r="AD1596" s="284"/>
      <c r="AE1596" s="284"/>
      <c r="AF1596" s="284"/>
      <c r="AG1596" s="284"/>
      <c r="AI1596" s="131"/>
    </row>
    <row r="1597" spans="1:35" ht="26.4">
      <c r="A1597" s="284"/>
      <c r="B1597" s="284"/>
      <c r="C1597" s="284"/>
      <c r="D1597" s="284"/>
      <c r="E1597" s="284"/>
      <c r="F1597" s="284"/>
      <c r="G1597" s="284"/>
      <c r="H1597" s="284"/>
      <c r="I1597" s="284"/>
      <c r="J1597" s="375"/>
      <c r="K1597" s="375"/>
      <c r="L1597" s="375"/>
      <c r="M1597" s="368"/>
      <c r="N1597" s="368"/>
      <c r="O1597" s="370"/>
      <c r="T1597" s="340"/>
      <c r="V1597" s="378"/>
      <c r="W1597" s="64" ph="1"/>
      <c r="X1597" s="241"/>
      <c r="Y1597" s="284"/>
      <c r="Z1597" s="207"/>
      <c r="AA1597" s="284"/>
      <c r="AB1597" s="284"/>
      <c r="AC1597" s="284"/>
      <c r="AD1597" s="284"/>
      <c r="AE1597" s="284"/>
      <c r="AF1597" s="284"/>
      <c r="AG1597" s="284"/>
      <c r="AI1597" s="284"/>
    </row>
    <row r="1598" spans="1:35" ht="26.4">
      <c r="A1598" s="284"/>
      <c r="B1598" s="284"/>
      <c r="C1598" s="284"/>
      <c r="D1598" s="284"/>
      <c r="E1598" s="284"/>
      <c r="F1598" s="284"/>
      <c r="G1598" s="284"/>
      <c r="H1598" s="284"/>
      <c r="I1598" s="284"/>
      <c r="J1598" s="375"/>
      <c r="K1598" s="375"/>
      <c r="L1598" s="375"/>
      <c r="M1598" s="368"/>
      <c r="N1598" s="368"/>
      <c r="O1598" s="370"/>
      <c r="T1598" s="340"/>
      <c r="V1598" s="378"/>
      <c r="W1598" s="64" ph="1"/>
      <c r="X1598" s="241"/>
      <c r="Y1598" s="284"/>
      <c r="Z1598" s="207"/>
      <c r="AA1598" s="284"/>
      <c r="AB1598" s="284"/>
      <c r="AC1598" s="284"/>
      <c r="AD1598" s="284"/>
      <c r="AE1598" s="284"/>
      <c r="AF1598" s="284"/>
      <c r="AG1598" s="284"/>
      <c r="AI1598" s="131"/>
    </row>
    <row r="1599" spans="1:35" ht="26.4">
      <c r="A1599" s="284"/>
      <c r="B1599" s="284"/>
      <c r="C1599" s="284"/>
      <c r="D1599" s="284"/>
      <c r="E1599" s="284"/>
      <c r="F1599" s="284"/>
      <c r="G1599" s="284"/>
      <c r="H1599" s="284"/>
      <c r="I1599" s="284"/>
      <c r="J1599" s="375"/>
      <c r="K1599" s="375"/>
      <c r="L1599" s="375"/>
      <c r="M1599" s="368"/>
      <c r="N1599" s="368"/>
      <c r="O1599" s="370"/>
      <c r="T1599" s="340"/>
      <c r="V1599" s="378"/>
      <c r="W1599" s="64" ph="1"/>
      <c r="X1599" s="241"/>
      <c r="Y1599" s="284"/>
      <c r="Z1599" s="207"/>
      <c r="AA1599" s="284"/>
      <c r="AB1599" s="284"/>
      <c r="AC1599" s="284"/>
      <c r="AD1599" s="284"/>
      <c r="AE1599" s="284"/>
      <c r="AF1599" s="284"/>
      <c r="AG1599" s="284"/>
      <c r="AI1599" s="131"/>
    </row>
    <row r="1600" spans="1:35" ht="26.4">
      <c r="A1600" s="284"/>
      <c r="B1600" s="284"/>
      <c r="C1600" s="284"/>
      <c r="D1600" s="284"/>
      <c r="E1600" s="284"/>
      <c r="F1600" s="284"/>
      <c r="G1600" s="284"/>
      <c r="H1600" s="284"/>
      <c r="I1600" s="284"/>
      <c r="J1600" s="375"/>
      <c r="K1600" s="375"/>
      <c r="L1600" s="375"/>
      <c r="M1600" s="368"/>
      <c r="N1600" s="368"/>
      <c r="O1600" s="370"/>
      <c r="T1600" s="340"/>
      <c r="V1600" s="378"/>
      <c r="W1600" s="64" ph="1"/>
      <c r="X1600" s="241"/>
      <c r="Y1600" s="284"/>
      <c r="Z1600" s="207"/>
      <c r="AA1600" s="284"/>
      <c r="AB1600" s="284"/>
      <c r="AC1600" s="284"/>
      <c r="AD1600" s="284"/>
      <c r="AE1600" s="284"/>
      <c r="AF1600" s="284"/>
      <c r="AG1600" s="284"/>
      <c r="AI1600" s="131"/>
    </row>
    <row r="1601" spans="1:35" ht="26.4">
      <c r="A1601" s="284"/>
      <c r="B1601" s="284"/>
      <c r="C1601" s="284"/>
      <c r="D1601" s="284"/>
      <c r="E1601" s="284"/>
      <c r="F1601" s="284"/>
      <c r="G1601" s="284"/>
      <c r="H1601" s="284"/>
      <c r="I1601" s="284"/>
      <c r="J1601" s="375"/>
      <c r="K1601" s="375"/>
      <c r="L1601" s="375"/>
      <c r="M1601" s="368"/>
      <c r="N1601" s="368"/>
      <c r="O1601" s="370"/>
      <c r="T1601" s="340"/>
      <c r="V1601" s="378"/>
      <c r="W1601" s="64" ph="1"/>
      <c r="X1601" s="241"/>
      <c r="Y1601" s="284"/>
      <c r="Z1601" s="207"/>
      <c r="AA1601" s="284"/>
      <c r="AB1601" s="284"/>
      <c r="AC1601" s="284"/>
      <c r="AD1601" s="284"/>
      <c r="AE1601" s="284"/>
      <c r="AF1601" s="284"/>
      <c r="AG1601" s="284"/>
      <c r="AI1601" s="131"/>
    </row>
    <row r="1602" spans="1:35" ht="26.4">
      <c r="A1602" s="284"/>
      <c r="B1602" s="284"/>
      <c r="C1602" s="284"/>
      <c r="D1602" s="284"/>
      <c r="E1602" s="284"/>
      <c r="F1602" s="284"/>
      <c r="G1602" s="284"/>
      <c r="H1602" s="284"/>
      <c r="I1602" s="284"/>
      <c r="J1602" s="375"/>
      <c r="K1602" s="375"/>
      <c r="L1602" s="375"/>
      <c r="M1602" s="368"/>
      <c r="N1602" s="368"/>
      <c r="O1602" s="370"/>
      <c r="T1602" s="340"/>
      <c r="V1602" s="378"/>
      <c r="W1602" s="64" ph="1"/>
      <c r="X1602" s="241"/>
      <c r="Y1602" s="284"/>
      <c r="Z1602" s="207"/>
      <c r="AA1602" s="284"/>
      <c r="AB1602" s="284"/>
      <c r="AC1602" s="284"/>
      <c r="AD1602" s="284"/>
      <c r="AE1602" s="284"/>
      <c r="AF1602" s="284"/>
      <c r="AG1602" s="284"/>
      <c r="AI1602" s="131"/>
    </row>
    <row r="1603" spans="1:35" ht="26.4">
      <c r="A1603" s="284"/>
      <c r="B1603" s="284"/>
      <c r="C1603" s="284"/>
      <c r="D1603" s="284"/>
      <c r="E1603" s="284"/>
      <c r="F1603" s="284"/>
      <c r="G1603" s="284"/>
      <c r="H1603" s="284"/>
      <c r="I1603" s="284"/>
      <c r="J1603" s="375"/>
      <c r="K1603" s="375"/>
      <c r="L1603" s="375"/>
      <c r="M1603" s="368"/>
      <c r="N1603" s="368"/>
      <c r="O1603" s="370"/>
      <c r="T1603" s="340"/>
      <c r="V1603" s="378"/>
      <c r="W1603" s="64" ph="1"/>
      <c r="X1603" s="241"/>
      <c r="Y1603" s="284"/>
      <c r="Z1603" s="207"/>
      <c r="AA1603" s="284"/>
      <c r="AB1603" s="284"/>
      <c r="AC1603" s="284"/>
      <c r="AD1603" s="284"/>
      <c r="AE1603" s="284"/>
      <c r="AF1603" s="284"/>
      <c r="AG1603" s="284"/>
      <c r="AI1603" s="131"/>
    </row>
    <row r="1604" spans="1:35" ht="26.4">
      <c r="A1604" s="284"/>
      <c r="B1604" s="284"/>
      <c r="C1604" s="284"/>
      <c r="D1604" s="284"/>
      <c r="E1604" s="284"/>
      <c r="F1604" s="284"/>
      <c r="G1604" s="284"/>
      <c r="H1604" s="284"/>
      <c r="I1604" s="284"/>
      <c r="J1604" s="375"/>
      <c r="K1604" s="375"/>
      <c r="L1604" s="375"/>
      <c r="M1604" s="368"/>
      <c r="N1604" s="368"/>
      <c r="O1604" s="370"/>
      <c r="T1604" s="340"/>
      <c r="V1604" s="378"/>
      <c r="W1604" s="64" ph="1"/>
      <c r="X1604" s="241"/>
      <c r="Y1604" s="284"/>
      <c r="Z1604" s="207"/>
      <c r="AA1604" s="284"/>
      <c r="AB1604" s="284"/>
      <c r="AC1604" s="284"/>
      <c r="AD1604" s="284"/>
      <c r="AE1604" s="284"/>
      <c r="AF1604" s="284"/>
      <c r="AG1604" s="284"/>
      <c r="AI1604" s="131"/>
    </row>
    <row r="1605" spans="1:35" ht="26.4">
      <c r="A1605" s="284"/>
      <c r="B1605" s="284"/>
      <c r="C1605" s="284"/>
      <c r="D1605" s="284"/>
      <c r="E1605" s="284"/>
      <c r="F1605" s="284"/>
      <c r="G1605" s="284"/>
      <c r="H1605" s="284"/>
      <c r="I1605" s="284"/>
      <c r="J1605" s="375"/>
      <c r="K1605" s="375"/>
      <c r="L1605" s="375"/>
      <c r="M1605" s="368"/>
      <c r="N1605" s="368"/>
      <c r="O1605" s="370"/>
      <c r="T1605" s="340"/>
      <c r="V1605" s="378"/>
      <c r="W1605" s="64" ph="1"/>
      <c r="X1605" s="241"/>
      <c r="Y1605" s="284"/>
      <c r="Z1605" s="207"/>
      <c r="AA1605" s="284"/>
      <c r="AB1605" s="284"/>
      <c r="AC1605" s="284"/>
      <c r="AD1605" s="284"/>
      <c r="AE1605" s="284"/>
      <c r="AF1605" s="284"/>
      <c r="AG1605" s="284"/>
      <c r="AI1605" s="131"/>
    </row>
    <row r="1606" spans="1:35" ht="26.4">
      <c r="A1606" s="284"/>
      <c r="B1606" s="284"/>
      <c r="C1606" s="284"/>
      <c r="D1606" s="284"/>
      <c r="E1606" s="284"/>
      <c r="F1606" s="284"/>
      <c r="G1606" s="284"/>
      <c r="H1606" s="284"/>
      <c r="I1606" s="284"/>
      <c r="J1606" s="375"/>
      <c r="K1606" s="375"/>
      <c r="L1606" s="375"/>
      <c r="M1606" s="368"/>
      <c r="N1606" s="368"/>
      <c r="O1606" s="370"/>
      <c r="T1606" s="340"/>
      <c r="V1606" s="378"/>
      <c r="W1606" s="64" ph="1"/>
      <c r="X1606" s="241"/>
      <c r="Y1606" s="284"/>
      <c r="Z1606" s="207"/>
      <c r="AA1606" s="284"/>
      <c r="AB1606" s="284"/>
      <c r="AC1606" s="284"/>
      <c r="AD1606" s="284"/>
      <c r="AE1606" s="284"/>
      <c r="AF1606" s="284"/>
      <c r="AG1606" s="284"/>
      <c r="AI1606" s="131"/>
    </row>
    <row r="1607" spans="1:35" ht="26.4">
      <c r="A1607" s="284"/>
      <c r="B1607" s="284"/>
      <c r="C1607" s="284"/>
      <c r="D1607" s="284"/>
      <c r="E1607" s="284"/>
      <c r="F1607" s="284"/>
      <c r="G1607" s="284"/>
      <c r="H1607" s="284"/>
      <c r="I1607" s="284"/>
      <c r="J1607" s="375"/>
      <c r="K1607" s="375"/>
      <c r="L1607" s="375"/>
      <c r="M1607" s="368"/>
      <c r="N1607" s="368"/>
      <c r="O1607" s="370"/>
      <c r="T1607" s="340"/>
      <c r="V1607" s="378"/>
      <c r="W1607" s="64" ph="1"/>
      <c r="X1607" s="241"/>
      <c r="Y1607" s="284"/>
      <c r="Z1607" s="207"/>
      <c r="AA1607" s="284"/>
      <c r="AB1607" s="284"/>
      <c r="AC1607" s="284"/>
      <c r="AD1607" s="284"/>
      <c r="AE1607" s="284"/>
      <c r="AF1607" s="284"/>
      <c r="AG1607" s="284"/>
      <c r="AI1607" s="131"/>
    </row>
    <row r="1608" spans="1:35" ht="26.4">
      <c r="A1608" s="284"/>
      <c r="B1608" s="284"/>
      <c r="C1608" s="284"/>
      <c r="D1608" s="284"/>
      <c r="E1608" s="284"/>
      <c r="F1608" s="284"/>
      <c r="G1608" s="284"/>
      <c r="H1608" s="284"/>
      <c r="I1608" s="284"/>
      <c r="J1608" s="375"/>
      <c r="K1608" s="375"/>
      <c r="L1608" s="375"/>
      <c r="M1608" s="368"/>
      <c r="N1608" s="368"/>
      <c r="O1608" s="370"/>
      <c r="T1608" s="340"/>
      <c r="V1608" s="378"/>
      <c r="W1608" s="64" ph="1"/>
      <c r="X1608" s="241"/>
      <c r="Y1608" s="284"/>
      <c r="Z1608" s="207"/>
      <c r="AA1608" s="284"/>
      <c r="AB1608" s="284"/>
      <c r="AC1608" s="284"/>
      <c r="AD1608" s="284"/>
      <c r="AE1608" s="284"/>
      <c r="AF1608" s="284"/>
      <c r="AG1608" s="284"/>
      <c r="AI1608" s="131"/>
    </row>
    <row r="1609" spans="1:35" ht="26.4">
      <c r="A1609" s="284"/>
      <c r="B1609" s="284"/>
      <c r="C1609" s="284"/>
      <c r="D1609" s="284"/>
      <c r="E1609" s="284"/>
      <c r="F1609" s="284"/>
      <c r="G1609" s="284"/>
      <c r="H1609" s="284"/>
      <c r="I1609" s="284"/>
      <c r="J1609" s="375"/>
      <c r="K1609" s="375"/>
      <c r="L1609" s="375"/>
      <c r="M1609" s="368"/>
      <c r="N1609" s="368"/>
      <c r="O1609" s="370"/>
      <c r="T1609" s="340"/>
      <c r="V1609" s="378"/>
      <c r="W1609" s="64" ph="1"/>
      <c r="X1609" s="241"/>
      <c r="Y1609" s="284"/>
      <c r="Z1609" s="207"/>
      <c r="AA1609" s="284"/>
      <c r="AB1609" s="284"/>
      <c r="AC1609" s="284"/>
      <c r="AD1609" s="284"/>
      <c r="AE1609" s="284"/>
      <c r="AF1609" s="284"/>
      <c r="AG1609" s="284"/>
      <c r="AI1609" s="131"/>
    </row>
    <row r="1610" spans="1:35" ht="26.4">
      <c r="A1610" s="284"/>
      <c r="B1610" s="284"/>
      <c r="C1610" s="284"/>
      <c r="D1610" s="284"/>
      <c r="E1610" s="284"/>
      <c r="F1610" s="284"/>
      <c r="G1610" s="284"/>
      <c r="H1610" s="284"/>
      <c r="I1610" s="284"/>
      <c r="J1610" s="375"/>
      <c r="K1610" s="375"/>
      <c r="L1610" s="375"/>
      <c r="M1610" s="368"/>
      <c r="N1610" s="368"/>
      <c r="O1610" s="370"/>
      <c r="T1610" s="340"/>
      <c r="V1610" s="378"/>
      <c r="W1610" s="64" ph="1"/>
      <c r="X1610" s="241"/>
      <c r="Y1610" s="284"/>
      <c r="Z1610" s="207"/>
      <c r="AA1610" s="284"/>
      <c r="AB1610" s="284"/>
      <c r="AC1610" s="284"/>
      <c r="AD1610" s="284"/>
      <c r="AE1610" s="284"/>
      <c r="AF1610" s="284"/>
      <c r="AG1610" s="284"/>
      <c r="AI1610" s="131"/>
    </row>
    <row r="1611" spans="1:35" ht="26.4">
      <c r="A1611" s="284"/>
      <c r="B1611" s="284"/>
      <c r="C1611" s="284"/>
      <c r="D1611" s="284"/>
      <c r="E1611" s="284"/>
      <c r="F1611" s="284"/>
      <c r="G1611" s="284"/>
      <c r="H1611" s="284"/>
      <c r="I1611" s="284"/>
      <c r="J1611" s="375"/>
      <c r="K1611" s="375"/>
      <c r="L1611" s="375"/>
      <c r="M1611" s="368"/>
      <c r="N1611" s="368"/>
      <c r="O1611" s="370"/>
      <c r="T1611" s="340"/>
      <c r="V1611" s="378"/>
      <c r="W1611" s="64" ph="1"/>
      <c r="X1611" s="241"/>
      <c r="Y1611" s="284"/>
      <c r="Z1611" s="207"/>
      <c r="AA1611" s="284"/>
      <c r="AB1611" s="284"/>
      <c r="AC1611" s="284"/>
      <c r="AD1611" s="284"/>
      <c r="AE1611" s="284"/>
      <c r="AF1611" s="284"/>
      <c r="AG1611" s="284"/>
      <c r="AI1611" s="131"/>
    </row>
    <row r="1612" spans="1:35" ht="26.4">
      <c r="A1612" s="284"/>
      <c r="B1612" s="284"/>
      <c r="C1612" s="284"/>
      <c r="D1612" s="284"/>
      <c r="E1612" s="284"/>
      <c r="F1612" s="284"/>
      <c r="G1612" s="284"/>
      <c r="H1612" s="284"/>
      <c r="I1612" s="284"/>
      <c r="J1612" s="375"/>
      <c r="K1612" s="375"/>
      <c r="L1612" s="375"/>
      <c r="M1612" s="368"/>
      <c r="N1612" s="368"/>
      <c r="O1612" s="370"/>
      <c r="T1612" s="340"/>
      <c r="V1612" s="378"/>
      <c r="W1612" s="64" ph="1"/>
      <c r="X1612" s="241"/>
      <c r="Y1612" s="284"/>
      <c r="Z1612" s="207"/>
      <c r="AA1612" s="284"/>
      <c r="AB1612" s="284"/>
      <c r="AC1612" s="284"/>
      <c r="AD1612" s="284"/>
      <c r="AE1612" s="284"/>
      <c r="AF1612" s="284"/>
      <c r="AG1612" s="284"/>
      <c r="AI1612" s="131"/>
    </row>
    <row r="1613" spans="1:35" ht="26.4">
      <c r="A1613" s="284"/>
      <c r="B1613" s="284"/>
      <c r="C1613" s="284"/>
      <c r="D1613" s="284"/>
      <c r="E1613" s="284"/>
      <c r="F1613" s="284"/>
      <c r="G1613" s="284"/>
      <c r="H1613" s="284"/>
      <c r="I1613" s="284"/>
      <c r="J1613" s="375"/>
      <c r="K1613" s="375"/>
      <c r="L1613" s="375"/>
      <c r="M1613" s="368"/>
      <c r="N1613" s="368"/>
      <c r="O1613" s="370"/>
      <c r="T1613" s="340"/>
      <c r="V1613" s="378"/>
      <c r="W1613" s="64" ph="1"/>
      <c r="X1613" s="241"/>
      <c r="Y1613" s="284"/>
      <c r="Z1613" s="207"/>
      <c r="AA1613" s="284"/>
      <c r="AB1613" s="284"/>
      <c r="AC1613" s="284"/>
      <c r="AD1613" s="284"/>
      <c r="AE1613" s="284"/>
      <c r="AF1613" s="284"/>
      <c r="AG1613" s="284"/>
      <c r="AI1613" s="131"/>
    </row>
    <row r="1614" spans="1:35" ht="26.4">
      <c r="A1614" s="284"/>
      <c r="B1614" s="284"/>
      <c r="C1614" s="284"/>
      <c r="D1614" s="284"/>
      <c r="E1614" s="284"/>
      <c r="F1614" s="284"/>
      <c r="G1614" s="284"/>
      <c r="H1614" s="284"/>
      <c r="I1614" s="284"/>
      <c r="J1614" s="375"/>
      <c r="K1614" s="375"/>
      <c r="L1614" s="375"/>
      <c r="M1614" s="368"/>
      <c r="N1614" s="368"/>
      <c r="O1614" s="370"/>
      <c r="T1614" s="340"/>
      <c r="V1614" s="378"/>
      <c r="W1614" s="64" ph="1"/>
      <c r="X1614" s="241"/>
      <c r="Y1614" s="284"/>
      <c r="Z1614" s="207"/>
      <c r="AA1614" s="284"/>
      <c r="AB1614" s="284"/>
      <c r="AC1614" s="284"/>
      <c r="AD1614" s="284"/>
      <c r="AE1614" s="284"/>
      <c r="AF1614" s="284"/>
      <c r="AG1614" s="284"/>
      <c r="AI1614" s="131"/>
    </row>
    <row r="1615" spans="1:35" ht="26.4">
      <c r="A1615" s="284"/>
      <c r="B1615" s="284"/>
      <c r="C1615" s="284"/>
      <c r="D1615" s="284"/>
      <c r="E1615" s="284"/>
      <c r="F1615" s="284"/>
      <c r="G1615" s="284"/>
      <c r="H1615" s="284"/>
      <c r="I1615" s="284"/>
      <c r="J1615" s="375"/>
      <c r="K1615" s="375"/>
      <c r="L1615" s="375"/>
      <c r="M1615" s="368"/>
      <c r="N1615" s="368"/>
      <c r="O1615" s="370"/>
      <c r="T1615" s="340"/>
      <c r="V1615" s="378"/>
      <c r="W1615" s="64" ph="1"/>
      <c r="X1615" s="241"/>
      <c r="Y1615" s="284"/>
      <c r="Z1615" s="207"/>
      <c r="AA1615" s="284"/>
      <c r="AB1615" s="284"/>
      <c r="AC1615" s="284"/>
      <c r="AD1615" s="284"/>
      <c r="AE1615" s="284"/>
      <c r="AF1615" s="284"/>
      <c r="AG1615" s="284"/>
      <c r="AI1615" s="131"/>
    </row>
    <row r="1616" spans="1:35" ht="26.4">
      <c r="A1616" s="284"/>
      <c r="B1616" s="284"/>
      <c r="C1616" s="284"/>
      <c r="D1616" s="284"/>
      <c r="E1616" s="284"/>
      <c r="F1616" s="284"/>
      <c r="G1616" s="284"/>
      <c r="H1616" s="284"/>
      <c r="I1616" s="284"/>
      <c r="J1616" s="375"/>
      <c r="K1616" s="375"/>
      <c r="L1616" s="375"/>
      <c r="M1616" s="368"/>
      <c r="N1616" s="368"/>
      <c r="O1616" s="370"/>
      <c r="T1616" s="340"/>
      <c r="V1616" s="378"/>
      <c r="W1616" s="64" ph="1"/>
      <c r="X1616" s="241"/>
      <c r="Y1616" s="284"/>
      <c r="Z1616" s="207"/>
      <c r="AA1616" s="284"/>
      <c r="AB1616" s="284"/>
      <c r="AC1616" s="284"/>
      <c r="AD1616" s="284"/>
      <c r="AE1616" s="284"/>
      <c r="AF1616" s="284"/>
      <c r="AG1616" s="284"/>
      <c r="AI1616" s="131"/>
    </row>
    <row r="1617" spans="1:35" ht="26.4">
      <c r="A1617" s="284"/>
      <c r="B1617" s="284"/>
      <c r="C1617" s="284"/>
      <c r="D1617" s="284"/>
      <c r="E1617" s="284"/>
      <c r="F1617" s="284"/>
      <c r="G1617" s="284"/>
      <c r="H1617" s="284"/>
      <c r="I1617" s="284"/>
      <c r="J1617" s="375"/>
      <c r="K1617" s="375"/>
      <c r="L1617" s="375"/>
      <c r="M1617" s="368"/>
      <c r="N1617" s="368"/>
      <c r="O1617" s="370"/>
      <c r="T1617" s="340"/>
      <c r="V1617" s="378"/>
      <c r="W1617" s="64" ph="1"/>
      <c r="X1617" s="241"/>
      <c r="Y1617" s="284"/>
      <c r="Z1617" s="207"/>
      <c r="AA1617" s="284"/>
      <c r="AB1617" s="284"/>
      <c r="AC1617" s="284"/>
      <c r="AD1617" s="284"/>
      <c r="AE1617" s="284"/>
      <c r="AF1617" s="284"/>
      <c r="AG1617" s="284"/>
      <c r="AI1617" s="131"/>
    </row>
    <row r="1618" spans="1:35" ht="26.4">
      <c r="A1618" s="284"/>
      <c r="B1618" s="284"/>
      <c r="C1618" s="284"/>
      <c r="D1618" s="284"/>
      <c r="E1618" s="284"/>
      <c r="F1618" s="284"/>
      <c r="G1618" s="284"/>
      <c r="H1618" s="284"/>
      <c r="I1618" s="284"/>
      <c r="J1618" s="375"/>
      <c r="K1618" s="375"/>
      <c r="L1618" s="375"/>
      <c r="M1618" s="368"/>
      <c r="N1618" s="368"/>
      <c r="O1618" s="370"/>
      <c r="T1618" s="340"/>
      <c r="V1618" s="378"/>
      <c r="W1618" s="64" ph="1"/>
      <c r="X1618" s="241"/>
      <c r="Y1618" s="284"/>
      <c r="Z1618" s="207"/>
      <c r="AA1618" s="284"/>
      <c r="AB1618" s="284"/>
      <c r="AC1618" s="284"/>
      <c r="AD1618" s="284"/>
      <c r="AE1618" s="284"/>
      <c r="AF1618" s="284"/>
      <c r="AG1618" s="284"/>
      <c r="AI1618" s="131"/>
    </row>
    <row r="1619" spans="1:35" ht="26.4">
      <c r="A1619" s="284"/>
      <c r="B1619" s="284"/>
      <c r="C1619" s="284"/>
      <c r="D1619" s="284"/>
      <c r="E1619" s="284"/>
      <c r="F1619" s="284"/>
      <c r="G1619" s="284"/>
      <c r="H1619" s="284"/>
      <c r="I1619" s="284"/>
      <c r="J1619" s="375"/>
      <c r="K1619" s="375"/>
      <c r="L1619" s="375"/>
      <c r="M1619" s="368"/>
      <c r="N1619" s="368"/>
      <c r="O1619" s="370"/>
      <c r="T1619" s="340"/>
      <c r="V1619" s="378"/>
      <c r="W1619" s="64" ph="1"/>
      <c r="X1619" s="241"/>
      <c r="Y1619" s="284"/>
      <c r="Z1619" s="207"/>
      <c r="AA1619" s="284"/>
      <c r="AB1619" s="284"/>
      <c r="AC1619" s="284"/>
      <c r="AD1619" s="284"/>
      <c r="AE1619" s="284"/>
      <c r="AF1619" s="284"/>
      <c r="AG1619" s="284"/>
      <c r="AI1619" s="131"/>
    </row>
    <row r="1620" spans="1:35" ht="26.4">
      <c r="A1620" s="284"/>
      <c r="B1620" s="284"/>
      <c r="C1620" s="284"/>
      <c r="D1620" s="284"/>
      <c r="E1620" s="284"/>
      <c r="F1620" s="284"/>
      <c r="G1620" s="284"/>
      <c r="H1620" s="284"/>
      <c r="I1620" s="284"/>
      <c r="J1620" s="375"/>
      <c r="K1620" s="375"/>
      <c r="L1620" s="375"/>
      <c r="M1620" s="368"/>
      <c r="N1620" s="368"/>
      <c r="O1620" s="370"/>
      <c r="T1620" s="340"/>
      <c r="V1620" s="378"/>
      <c r="W1620" s="64" ph="1"/>
      <c r="X1620" s="241"/>
      <c r="Y1620" s="284"/>
      <c r="Z1620" s="207"/>
      <c r="AA1620" s="284"/>
      <c r="AB1620" s="284"/>
      <c r="AC1620" s="284"/>
      <c r="AD1620" s="284"/>
      <c r="AE1620" s="284"/>
      <c r="AF1620" s="284"/>
      <c r="AG1620" s="284"/>
      <c r="AI1620" s="131"/>
    </row>
    <row r="1621" spans="1:35" ht="26.4">
      <c r="A1621" s="284"/>
      <c r="B1621" s="284"/>
      <c r="C1621" s="284"/>
      <c r="D1621" s="284"/>
      <c r="E1621" s="284"/>
      <c r="F1621" s="284"/>
      <c r="G1621" s="284"/>
      <c r="H1621" s="284"/>
      <c r="I1621" s="284"/>
      <c r="J1621" s="375"/>
      <c r="K1621" s="375"/>
      <c r="L1621" s="375"/>
      <c r="M1621" s="368"/>
      <c r="N1621" s="368"/>
      <c r="O1621" s="370"/>
      <c r="T1621" s="340"/>
      <c r="V1621" s="378"/>
      <c r="W1621" s="64" ph="1"/>
      <c r="X1621" s="241"/>
      <c r="Y1621" s="284"/>
      <c r="Z1621" s="207"/>
      <c r="AA1621" s="284"/>
      <c r="AB1621" s="284"/>
      <c r="AC1621" s="284"/>
      <c r="AD1621" s="284"/>
      <c r="AE1621" s="284"/>
      <c r="AF1621" s="284"/>
      <c r="AG1621" s="284"/>
      <c r="AI1621" s="131"/>
    </row>
    <row r="1622" spans="1:35" ht="26.4">
      <c r="A1622" s="284"/>
      <c r="B1622" s="284"/>
      <c r="C1622" s="284"/>
      <c r="D1622" s="284"/>
      <c r="E1622" s="284"/>
      <c r="F1622" s="284"/>
      <c r="G1622" s="284"/>
      <c r="H1622" s="284"/>
      <c r="I1622" s="284"/>
      <c r="J1622" s="375"/>
      <c r="K1622" s="375"/>
      <c r="L1622" s="375"/>
      <c r="M1622" s="368"/>
      <c r="N1622" s="368"/>
      <c r="O1622" s="370"/>
      <c r="T1622" s="340"/>
      <c r="V1622" s="378"/>
      <c r="W1622" s="64" ph="1"/>
      <c r="X1622" s="241"/>
      <c r="Y1622" s="284"/>
      <c r="Z1622" s="207"/>
      <c r="AA1622" s="284"/>
      <c r="AB1622" s="284"/>
      <c r="AC1622" s="284"/>
      <c r="AD1622" s="284"/>
      <c r="AE1622" s="284"/>
      <c r="AF1622" s="284"/>
      <c r="AG1622" s="284"/>
      <c r="AI1622" s="131"/>
    </row>
    <row r="1623" spans="1:35" ht="26.4">
      <c r="A1623" s="284"/>
      <c r="B1623" s="284"/>
      <c r="C1623" s="284"/>
      <c r="D1623" s="284"/>
      <c r="E1623" s="284"/>
      <c r="F1623" s="284"/>
      <c r="G1623" s="284"/>
      <c r="H1623" s="284"/>
      <c r="I1623" s="284"/>
      <c r="J1623" s="375"/>
      <c r="K1623" s="375"/>
      <c r="L1623" s="375"/>
      <c r="M1623" s="368"/>
      <c r="N1623" s="368"/>
      <c r="O1623" s="370"/>
      <c r="T1623" s="340"/>
      <c r="V1623" s="378"/>
      <c r="W1623" s="64" ph="1"/>
      <c r="X1623" s="241"/>
      <c r="Y1623" s="284"/>
      <c r="Z1623" s="207"/>
      <c r="AA1623" s="284"/>
      <c r="AB1623" s="284"/>
      <c r="AC1623" s="284"/>
      <c r="AD1623" s="284"/>
      <c r="AE1623" s="284"/>
      <c r="AF1623" s="284"/>
      <c r="AG1623" s="284"/>
      <c r="AI1623" s="131"/>
    </row>
    <row r="1624" spans="1:35" ht="26.4">
      <c r="A1624" s="284"/>
      <c r="B1624" s="284"/>
      <c r="C1624" s="284"/>
      <c r="D1624" s="284"/>
      <c r="E1624" s="284"/>
      <c r="F1624" s="284"/>
      <c r="G1624" s="284"/>
      <c r="H1624" s="284"/>
      <c r="I1624" s="284"/>
      <c r="J1624" s="375"/>
      <c r="K1624" s="375"/>
      <c r="L1624" s="375"/>
      <c r="M1624" s="368"/>
      <c r="N1624" s="368"/>
      <c r="O1624" s="370"/>
      <c r="T1624" s="340"/>
      <c r="V1624" s="378"/>
      <c r="W1624" s="64" ph="1"/>
      <c r="X1624" s="241"/>
      <c r="Y1624" s="284"/>
      <c r="Z1624" s="207"/>
      <c r="AA1624" s="284"/>
      <c r="AB1624" s="284"/>
      <c r="AC1624" s="284"/>
      <c r="AD1624" s="284"/>
      <c r="AE1624" s="284"/>
      <c r="AF1624" s="284"/>
      <c r="AG1624" s="284"/>
      <c r="AI1624" s="131"/>
    </row>
    <row r="1625" spans="1:35" ht="26.4">
      <c r="A1625" s="284"/>
      <c r="B1625" s="284"/>
      <c r="C1625" s="284"/>
      <c r="D1625" s="284"/>
      <c r="E1625" s="284"/>
      <c r="F1625" s="284"/>
      <c r="G1625" s="284"/>
      <c r="H1625" s="284"/>
      <c r="I1625" s="284"/>
      <c r="J1625" s="375"/>
      <c r="K1625" s="375"/>
      <c r="L1625" s="375"/>
      <c r="M1625" s="368"/>
      <c r="N1625" s="368"/>
      <c r="O1625" s="370"/>
      <c r="T1625" s="340"/>
      <c r="V1625" s="378"/>
      <c r="W1625" s="64" ph="1"/>
      <c r="X1625" s="241"/>
      <c r="Y1625" s="284"/>
      <c r="Z1625" s="207"/>
      <c r="AA1625" s="284"/>
      <c r="AB1625" s="284"/>
      <c r="AC1625" s="284"/>
      <c r="AD1625" s="284"/>
      <c r="AE1625" s="284"/>
      <c r="AF1625" s="284"/>
      <c r="AG1625" s="284"/>
      <c r="AI1625" s="131"/>
    </row>
    <row r="1626" spans="1:35" ht="26.4">
      <c r="A1626" s="284"/>
      <c r="B1626" s="284"/>
      <c r="C1626" s="284"/>
      <c r="D1626" s="284"/>
      <c r="E1626" s="284"/>
      <c r="F1626" s="284"/>
      <c r="G1626" s="284"/>
      <c r="H1626" s="284"/>
      <c r="I1626" s="284"/>
      <c r="J1626" s="375"/>
      <c r="K1626" s="375"/>
      <c r="L1626" s="375"/>
      <c r="M1626" s="368"/>
      <c r="N1626" s="368"/>
      <c r="O1626" s="370"/>
      <c r="T1626" s="340"/>
      <c r="V1626" s="378"/>
      <c r="W1626" s="64" ph="1"/>
      <c r="X1626" s="241"/>
      <c r="Y1626" s="284"/>
      <c r="Z1626" s="207"/>
      <c r="AA1626" s="284"/>
      <c r="AB1626" s="284"/>
      <c r="AC1626" s="284"/>
      <c r="AD1626" s="284"/>
      <c r="AE1626" s="284"/>
      <c r="AF1626" s="284"/>
      <c r="AG1626" s="284"/>
      <c r="AI1626" s="131"/>
    </row>
    <row r="1627" spans="1:35" ht="26.4">
      <c r="A1627" s="284"/>
      <c r="B1627" s="284"/>
      <c r="C1627" s="284"/>
      <c r="D1627" s="284"/>
      <c r="E1627" s="284"/>
      <c r="F1627" s="284"/>
      <c r="G1627" s="284"/>
      <c r="H1627" s="284"/>
      <c r="I1627" s="284"/>
      <c r="J1627" s="375"/>
      <c r="K1627" s="375"/>
      <c r="L1627" s="375"/>
      <c r="M1627" s="368"/>
      <c r="N1627" s="368"/>
      <c r="O1627" s="370"/>
      <c r="T1627" s="340"/>
      <c r="V1627" s="378"/>
      <c r="W1627" s="64" ph="1"/>
      <c r="X1627" s="241"/>
      <c r="Y1627" s="284"/>
      <c r="Z1627" s="207"/>
      <c r="AA1627" s="284"/>
      <c r="AB1627" s="284"/>
      <c r="AC1627" s="284"/>
      <c r="AD1627" s="284"/>
      <c r="AE1627" s="284"/>
      <c r="AF1627" s="284"/>
      <c r="AG1627" s="284"/>
      <c r="AI1627" s="131"/>
    </row>
    <row r="1628" spans="1:35" ht="26.4">
      <c r="A1628" s="284"/>
      <c r="B1628" s="284"/>
      <c r="C1628" s="284"/>
      <c r="D1628" s="284"/>
      <c r="E1628" s="284"/>
      <c r="F1628" s="284"/>
      <c r="G1628" s="284"/>
      <c r="H1628" s="284"/>
      <c r="I1628" s="284"/>
      <c r="J1628" s="375"/>
      <c r="K1628" s="375"/>
      <c r="L1628" s="375"/>
      <c r="M1628" s="368"/>
      <c r="N1628" s="368"/>
      <c r="O1628" s="370"/>
      <c r="T1628" s="340"/>
      <c r="V1628" s="378"/>
      <c r="W1628" s="64" ph="1"/>
      <c r="X1628" s="241"/>
      <c r="Y1628" s="284"/>
      <c r="Z1628" s="207"/>
      <c r="AA1628" s="284"/>
      <c r="AB1628" s="284"/>
      <c r="AC1628" s="284"/>
      <c r="AD1628" s="284"/>
      <c r="AE1628" s="284"/>
      <c r="AF1628" s="284"/>
      <c r="AG1628" s="284"/>
      <c r="AI1628" s="131"/>
    </row>
    <row r="1629" spans="1:35" ht="26.4">
      <c r="A1629" s="284"/>
      <c r="B1629" s="284"/>
      <c r="C1629" s="284"/>
      <c r="D1629" s="284"/>
      <c r="E1629" s="284"/>
      <c r="F1629" s="284"/>
      <c r="G1629" s="284"/>
      <c r="H1629" s="284"/>
      <c r="I1629" s="284"/>
      <c r="J1629" s="375"/>
      <c r="K1629" s="375"/>
      <c r="L1629" s="375"/>
      <c r="M1629" s="368"/>
      <c r="N1629" s="368"/>
      <c r="O1629" s="370"/>
      <c r="T1629" s="340"/>
      <c r="V1629" s="378"/>
      <c r="W1629" s="64" ph="1"/>
      <c r="X1629" s="241"/>
      <c r="Y1629" s="284"/>
      <c r="Z1629" s="207"/>
      <c r="AA1629" s="284"/>
      <c r="AB1629" s="284"/>
      <c r="AC1629" s="284"/>
      <c r="AD1629" s="284"/>
      <c r="AE1629" s="284"/>
      <c r="AF1629" s="284"/>
      <c r="AG1629" s="284"/>
      <c r="AI1629" s="131"/>
    </row>
    <row r="1630" spans="1:35" ht="26.4">
      <c r="A1630" s="284"/>
      <c r="B1630" s="284"/>
      <c r="C1630" s="284"/>
      <c r="D1630" s="284"/>
      <c r="E1630" s="284"/>
      <c r="F1630" s="284"/>
      <c r="G1630" s="284"/>
      <c r="H1630" s="284"/>
      <c r="I1630" s="284"/>
      <c r="J1630" s="375"/>
      <c r="K1630" s="375"/>
      <c r="L1630" s="375"/>
      <c r="M1630" s="368"/>
      <c r="N1630" s="368"/>
      <c r="O1630" s="370"/>
      <c r="T1630" s="340"/>
      <c r="V1630" s="378"/>
      <c r="W1630" s="64" ph="1"/>
      <c r="X1630" s="241"/>
      <c r="Y1630" s="284"/>
      <c r="Z1630" s="207"/>
      <c r="AA1630" s="284"/>
      <c r="AB1630" s="284"/>
      <c r="AC1630" s="284"/>
      <c r="AD1630" s="284"/>
      <c r="AE1630" s="284"/>
      <c r="AF1630" s="284"/>
      <c r="AG1630" s="284"/>
      <c r="AI1630" s="284"/>
    </row>
    <row r="1631" spans="1:35" ht="26.4">
      <c r="A1631" s="284"/>
      <c r="B1631" s="284"/>
      <c r="C1631" s="284"/>
      <c r="D1631" s="284"/>
      <c r="E1631" s="284"/>
      <c r="F1631" s="284"/>
      <c r="G1631" s="284"/>
      <c r="H1631" s="284"/>
      <c r="I1631" s="284"/>
      <c r="J1631" s="375"/>
      <c r="K1631" s="375"/>
      <c r="L1631" s="375"/>
      <c r="M1631" s="368"/>
      <c r="N1631" s="368"/>
      <c r="O1631" s="370"/>
      <c r="T1631" s="340"/>
      <c r="V1631" s="378"/>
      <c r="W1631" s="64" ph="1"/>
      <c r="X1631" s="241"/>
      <c r="Y1631" s="284"/>
      <c r="Z1631" s="207"/>
      <c r="AA1631" s="284"/>
      <c r="AB1631" s="284"/>
      <c r="AC1631" s="284"/>
      <c r="AD1631" s="284"/>
      <c r="AE1631" s="284"/>
      <c r="AF1631" s="284"/>
      <c r="AG1631" s="284"/>
      <c r="AI1631" s="284"/>
    </row>
    <row r="1632" spans="1:35" ht="26.4">
      <c r="A1632" s="284"/>
      <c r="B1632" s="284"/>
      <c r="C1632" s="284"/>
      <c r="D1632" s="284"/>
      <c r="E1632" s="284"/>
      <c r="F1632" s="284"/>
      <c r="G1632" s="284"/>
      <c r="H1632" s="284"/>
      <c r="I1632" s="284"/>
      <c r="J1632" s="375"/>
      <c r="K1632" s="375"/>
      <c r="L1632" s="375"/>
      <c r="M1632" s="368"/>
      <c r="N1632" s="368"/>
      <c r="O1632" s="370"/>
      <c r="T1632" s="340"/>
      <c r="V1632" s="378"/>
      <c r="W1632" s="64" ph="1"/>
      <c r="X1632" s="241"/>
      <c r="Y1632" s="284"/>
      <c r="Z1632" s="207"/>
      <c r="AA1632" s="284"/>
      <c r="AB1632" s="284"/>
      <c r="AC1632" s="284"/>
      <c r="AD1632" s="284"/>
      <c r="AE1632" s="284"/>
      <c r="AF1632" s="284"/>
      <c r="AG1632" s="284"/>
      <c r="AI1632" s="131"/>
    </row>
    <row r="1633" spans="1:35" ht="26.4">
      <c r="A1633" s="284"/>
      <c r="B1633" s="284"/>
      <c r="C1633" s="284"/>
      <c r="D1633" s="284"/>
      <c r="E1633" s="284"/>
      <c r="F1633" s="284"/>
      <c r="G1633" s="284"/>
      <c r="H1633" s="284"/>
      <c r="I1633" s="284"/>
      <c r="J1633" s="375"/>
      <c r="K1633" s="375"/>
      <c r="L1633" s="375"/>
      <c r="M1633" s="368"/>
      <c r="N1633" s="368"/>
      <c r="O1633" s="370"/>
      <c r="T1633" s="340"/>
      <c r="V1633" s="378"/>
      <c r="W1633" s="64" ph="1"/>
      <c r="X1633" s="241"/>
      <c r="Y1633" s="284"/>
      <c r="Z1633" s="207"/>
      <c r="AA1633" s="284"/>
      <c r="AB1633" s="284"/>
      <c r="AC1633" s="284"/>
      <c r="AD1633" s="284"/>
      <c r="AE1633" s="284"/>
      <c r="AF1633" s="284"/>
      <c r="AG1633" s="284"/>
      <c r="AI1633" s="131"/>
    </row>
    <row r="1634" spans="1:35" ht="26.4">
      <c r="A1634" s="284"/>
      <c r="B1634" s="284"/>
      <c r="C1634" s="284"/>
      <c r="D1634" s="284"/>
      <c r="E1634" s="284"/>
      <c r="F1634" s="284"/>
      <c r="G1634" s="284"/>
      <c r="H1634" s="284"/>
      <c r="I1634" s="284"/>
      <c r="J1634" s="375"/>
      <c r="K1634" s="375"/>
      <c r="L1634" s="375"/>
      <c r="M1634" s="368"/>
      <c r="N1634" s="368"/>
      <c r="O1634" s="370"/>
      <c r="T1634" s="340"/>
      <c r="V1634" s="378"/>
      <c r="W1634" s="64" ph="1"/>
      <c r="X1634" s="241"/>
      <c r="Y1634" s="284"/>
      <c r="Z1634" s="207"/>
      <c r="AA1634" s="284"/>
      <c r="AB1634" s="284"/>
      <c r="AC1634" s="284"/>
      <c r="AD1634" s="284"/>
      <c r="AE1634" s="284"/>
      <c r="AF1634" s="284"/>
      <c r="AG1634" s="284"/>
      <c r="AI1634" s="131"/>
    </row>
    <row r="1635" spans="1:35" ht="26.4">
      <c r="A1635" s="284"/>
      <c r="B1635" s="284"/>
      <c r="C1635" s="284"/>
      <c r="D1635" s="284"/>
      <c r="E1635" s="284"/>
      <c r="F1635" s="284"/>
      <c r="G1635" s="284"/>
      <c r="H1635" s="284"/>
      <c r="I1635" s="284"/>
      <c r="J1635" s="375"/>
      <c r="K1635" s="375"/>
      <c r="L1635" s="375"/>
      <c r="M1635" s="368"/>
      <c r="N1635" s="368"/>
      <c r="O1635" s="370"/>
      <c r="T1635" s="340"/>
      <c r="V1635" s="378"/>
      <c r="W1635" s="64" ph="1"/>
      <c r="X1635" s="241"/>
      <c r="Y1635" s="284"/>
      <c r="Z1635" s="207"/>
      <c r="AA1635" s="284"/>
      <c r="AB1635" s="284"/>
      <c r="AC1635" s="284"/>
      <c r="AD1635" s="284"/>
      <c r="AE1635" s="284"/>
      <c r="AF1635" s="284"/>
      <c r="AG1635" s="284"/>
      <c r="AI1635" s="131"/>
    </row>
    <row r="1636" spans="1:35" ht="26.4">
      <c r="A1636" s="284"/>
      <c r="B1636" s="284"/>
      <c r="C1636" s="284"/>
      <c r="D1636" s="284"/>
      <c r="E1636" s="284"/>
      <c r="F1636" s="284"/>
      <c r="G1636" s="284"/>
      <c r="H1636" s="284"/>
      <c r="I1636" s="284"/>
      <c r="J1636" s="375"/>
      <c r="K1636" s="375"/>
      <c r="L1636" s="375"/>
      <c r="M1636" s="368"/>
      <c r="N1636" s="368"/>
      <c r="O1636" s="370"/>
      <c r="T1636" s="340"/>
      <c r="V1636" s="378"/>
      <c r="W1636" s="64" ph="1"/>
      <c r="X1636" s="241"/>
      <c r="Y1636" s="284"/>
      <c r="Z1636" s="207"/>
      <c r="AA1636" s="284"/>
      <c r="AB1636" s="284"/>
      <c r="AC1636" s="284"/>
      <c r="AD1636" s="284"/>
      <c r="AE1636" s="284"/>
      <c r="AF1636" s="284"/>
      <c r="AG1636" s="284"/>
      <c r="AI1636" s="131"/>
    </row>
    <row r="1637" spans="1:35" ht="26.4">
      <c r="A1637" s="284"/>
      <c r="B1637" s="284"/>
      <c r="C1637" s="284"/>
      <c r="D1637" s="284"/>
      <c r="E1637" s="284"/>
      <c r="F1637" s="284"/>
      <c r="G1637" s="284"/>
      <c r="H1637" s="284"/>
      <c r="I1637" s="284"/>
      <c r="J1637" s="375"/>
      <c r="K1637" s="375"/>
      <c r="L1637" s="375"/>
      <c r="M1637" s="368"/>
      <c r="N1637" s="368"/>
      <c r="O1637" s="370"/>
      <c r="T1637" s="340"/>
      <c r="V1637" s="378"/>
      <c r="W1637" s="64" ph="1"/>
      <c r="X1637" s="241"/>
      <c r="Y1637" s="284"/>
      <c r="Z1637" s="207"/>
      <c r="AA1637" s="284"/>
      <c r="AB1637" s="284"/>
      <c r="AC1637" s="284"/>
      <c r="AD1637" s="284"/>
      <c r="AE1637" s="284"/>
      <c r="AF1637" s="284"/>
      <c r="AG1637" s="284"/>
      <c r="AI1637" s="131"/>
    </row>
    <row r="1638" spans="1:35" ht="26.4">
      <c r="A1638" s="284"/>
      <c r="B1638" s="284"/>
      <c r="C1638" s="284"/>
      <c r="D1638" s="284"/>
      <c r="E1638" s="284"/>
      <c r="F1638" s="284"/>
      <c r="G1638" s="284"/>
      <c r="H1638" s="284"/>
      <c r="I1638" s="284"/>
      <c r="J1638" s="375"/>
      <c r="K1638" s="375"/>
      <c r="L1638" s="375"/>
      <c r="M1638" s="368"/>
      <c r="N1638" s="368"/>
      <c r="O1638" s="370"/>
      <c r="T1638" s="340"/>
      <c r="V1638" s="378"/>
      <c r="W1638" s="64" ph="1"/>
      <c r="X1638" s="241"/>
      <c r="Y1638" s="284"/>
      <c r="Z1638" s="207"/>
      <c r="AA1638" s="284"/>
      <c r="AB1638" s="284"/>
      <c r="AC1638" s="284"/>
      <c r="AD1638" s="284"/>
      <c r="AE1638" s="284"/>
      <c r="AF1638" s="284"/>
      <c r="AG1638" s="284"/>
      <c r="AI1638" s="131"/>
    </row>
    <row r="1639" spans="1:35" ht="26.4">
      <c r="A1639" s="284"/>
      <c r="B1639" s="284"/>
      <c r="C1639" s="284"/>
      <c r="D1639" s="284"/>
      <c r="E1639" s="284"/>
      <c r="F1639" s="284"/>
      <c r="G1639" s="284"/>
      <c r="H1639" s="284"/>
      <c r="I1639" s="284"/>
      <c r="J1639" s="375"/>
      <c r="K1639" s="375"/>
      <c r="L1639" s="375"/>
      <c r="M1639" s="368"/>
      <c r="N1639" s="368"/>
      <c r="O1639" s="370"/>
      <c r="T1639" s="340"/>
      <c r="V1639" s="378"/>
      <c r="W1639" s="64" ph="1"/>
      <c r="X1639" s="241"/>
      <c r="Y1639" s="284"/>
      <c r="Z1639" s="207"/>
      <c r="AA1639" s="284"/>
      <c r="AB1639" s="284"/>
      <c r="AC1639" s="284"/>
      <c r="AD1639" s="284"/>
      <c r="AE1639" s="284"/>
      <c r="AF1639" s="284"/>
      <c r="AG1639" s="284"/>
      <c r="AI1639" s="131"/>
    </row>
    <row r="1640" spans="1:35" ht="26.4">
      <c r="A1640" s="284"/>
      <c r="B1640" s="284"/>
      <c r="C1640" s="284"/>
      <c r="D1640" s="284"/>
      <c r="E1640" s="284"/>
      <c r="F1640" s="284"/>
      <c r="G1640" s="284"/>
      <c r="H1640" s="284"/>
      <c r="I1640" s="284"/>
      <c r="J1640" s="375"/>
      <c r="K1640" s="375"/>
      <c r="L1640" s="375"/>
      <c r="M1640" s="368"/>
      <c r="N1640" s="368"/>
      <c r="O1640" s="370"/>
      <c r="T1640" s="340"/>
      <c r="V1640" s="378"/>
      <c r="W1640" s="64" ph="1"/>
      <c r="X1640" s="241"/>
      <c r="Y1640" s="284"/>
      <c r="Z1640" s="207"/>
      <c r="AA1640" s="284"/>
      <c r="AB1640" s="284"/>
      <c r="AC1640" s="284"/>
      <c r="AD1640" s="284"/>
      <c r="AE1640" s="284"/>
      <c r="AF1640" s="284"/>
      <c r="AG1640" s="284"/>
      <c r="AI1640" s="284"/>
    </row>
    <row r="1641" spans="1:35" ht="26.4">
      <c r="A1641" s="284"/>
      <c r="B1641" s="284"/>
      <c r="C1641" s="284"/>
      <c r="D1641" s="284"/>
      <c r="E1641" s="284"/>
      <c r="F1641" s="284"/>
      <c r="G1641" s="284"/>
      <c r="H1641" s="284"/>
      <c r="I1641" s="284"/>
      <c r="J1641" s="375"/>
      <c r="K1641" s="375"/>
      <c r="L1641" s="375"/>
      <c r="M1641" s="368"/>
      <c r="N1641" s="368"/>
      <c r="O1641" s="370"/>
      <c r="T1641" s="340"/>
      <c r="V1641" s="378"/>
      <c r="W1641" s="64" ph="1"/>
      <c r="X1641" s="241"/>
      <c r="Y1641" s="284"/>
      <c r="Z1641" s="207"/>
      <c r="AA1641" s="284"/>
      <c r="AB1641" s="284"/>
      <c r="AC1641" s="284"/>
      <c r="AD1641" s="284"/>
      <c r="AE1641" s="284"/>
      <c r="AF1641" s="284"/>
      <c r="AG1641" s="284"/>
      <c r="AI1641" s="131"/>
    </row>
    <row r="1642" spans="1:35" ht="26.4">
      <c r="A1642" s="284"/>
      <c r="B1642" s="284"/>
      <c r="C1642" s="284"/>
      <c r="D1642" s="284"/>
      <c r="E1642" s="284"/>
      <c r="F1642" s="284"/>
      <c r="G1642" s="284"/>
      <c r="H1642" s="284"/>
      <c r="I1642" s="284"/>
      <c r="J1642" s="375"/>
      <c r="K1642" s="375"/>
      <c r="L1642" s="375"/>
      <c r="M1642" s="368"/>
      <c r="N1642" s="368"/>
      <c r="O1642" s="370"/>
      <c r="T1642" s="340"/>
      <c r="V1642" s="378"/>
      <c r="W1642" s="64" ph="1"/>
      <c r="X1642" s="241"/>
      <c r="Y1642" s="284"/>
      <c r="Z1642" s="207"/>
      <c r="AA1642" s="284"/>
      <c r="AB1642" s="284"/>
      <c r="AC1642" s="284"/>
      <c r="AD1642" s="284"/>
      <c r="AE1642" s="284"/>
      <c r="AF1642" s="284"/>
      <c r="AG1642" s="284"/>
      <c r="AI1642" s="131"/>
    </row>
    <row r="1643" spans="1:35" ht="26.4">
      <c r="A1643" s="284"/>
      <c r="B1643" s="284"/>
      <c r="C1643" s="284"/>
      <c r="D1643" s="284"/>
      <c r="E1643" s="284"/>
      <c r="F1643" s="284"/>
      <c r="G1643" s="284"/>
      <c r="H1643" s="284"/>
      <c r="I1643" s="284"/>
      <c r="J1643" s="375"/>
      <c r="K1643" s="375"/>
      <c r="L1643" s="375"/>
      <c r="M1643" s="368"/>
      <c r="N1643" s="368"/>
      <c r="O1643" s="370"/>
      <c r="T1643" s="340"/>
      <c r="V1643" s="378"/>
      <c r="W1643" s="64" ph="1"/>
      <c r="X1643" s="241"/>
      <c r="Y1643" s="284"/>
      <c r="Z1643" s="207"/>
      <c r="AA1643" s="284"/>
      <c r="AB1643" s="284"/>
      <c r="AC1643" s="284"/>
      <c r="AD1643" s="284"/>
      <c r="AE1643" s="284"/>
      <c r="AF1643" s="284"/>
      <c r="AG1643" s="284"/>
      <c r="AI1643" s="131"/>
    </row>
    <row r="1644" spans="1:35" ht="26.4">
      <c r="A1644" s="284"/>
      <c r="B1644" s="284"/>
      <c r="C1644" s="284"/>
      <c r="D1644" s="284"/>
      <c r="E1644" s="284"/>
      <c r="F1644" s="284"/>
      <c r="G1644" s="284"/>
      <c r="H1644" s="284"/>
      <c r="I1644" s="284"/>
      <c r="J1644" s="375"/>
      <c r="K1644" s="375"/>
      <c r="L1644" s="375"/>
      <c r="M1644" s="368"/>
      <c r="N1644" s="368"/>
      <c r="O1644" s="370"/>
      <c r="T1644" s="340"/>
      <c r="V1644" s="378"/>
      <c r="W1644" s="64" ph="1"/>
      <c r="X1644" s="241"/>
      <c r="Y1644" s="284"/>
      <c r="Z1644" s="207"/>
      <c r="AA1644" s="284"/>
      <c r="AB1644" s="284"/>
      <c r="AC1644" s="284"/>
      <c r="AD1644" s="284"/>
      <c r="AE1644" s="284"/>
      <c r="AF1644" s="284"/>
      <c r="AG1644" s="284"/>
      <c r="AI1644" s="131"/>
    </row>
    <row r="1645" spans="1:35" ht="26.4">
      <c r="A1645" s="284"/>
      <c r="B1645" s="284"/>
      <c r="C1645" s="284"/>
      <c r="D1645" s="284"/>
      <c r="E1645" s="284"/>
      <c r="F1645" s="284"/>
      <c r="G1645" s="284"/>
      <c r="H1645" s="284"/>
      <c r="I1645" s="284"/>
      <c r="J1645" s="375"/>
      <c r="K1645" s="375"/>
      <c r="L1645" s="375"/>
      <c r="M1645" s="368"/>
      <c r="N1645" s="368"/>
      <c r="O1645" s="370"/>
      <c r="T1645" s="340"/>
      <c r="V1645" s="378"/>
      <c r="W1645" s="64" ph="1"/>
      <c r="X1645" s="241"/>
      <c r="Y1645" s="284"/>
      <c r="Z1645" s="207"/>
      <c r="AA1645" s="284"/>
      <c r="AB1645" s="284"/>
      <c r="AC1645" s="284"/>
      <c r="AD1645" s="284"/>
      <c r="AE1645" s="284"/>
      <c r="AF1645" s="284"/>
      <c r="AG1645" s="284"/>
      <c r="AI1645" s="131"/>
    </row>
    <row r="1646" spans="1:35" ht="26.4">
      <c r="A1646" s="284"/>
      <c r="B1646" s="284"/>
      <c r="C1646" s="284"/>
      <c r="D1646" s="284"/>
      <c r="E1646" s="284"/>
      <c r="F1646" s="284"/>
      <c r="G1646" s="284"/>
      <c r="H1646" s="284"/>
      <c r="I1646" s="284"/>
      <c r="J1646" s="375"/>
      <c r="K1646" s="375"/>
      <c r="L1646" s="375"/>
      <c r="M1646" s="368"/>
      <c r="N1646" s="368"/>
      <c r="O1646" s="370"/>
      <c r="T1646" s="340"/>
      <c r="V1646" s="378"/>
      <c r="W1646" s="64" ph="1"/>
      <c r="X1646" s="241"/>
      <c r="Y1646" s="284"/>
      <c r="Z1646" s="207"/>
      <c r="AA1646" s="284"/>
      <c r="AB1646" s="284"/>
      <c r="AC1646" s="284"/>
      <c r="AD1646" s="284"/>
      <c r="AE1646" s="284"/>
      <c r="AF1646" s="284"/>
      <c r="AG1646" s="284"/>
      <c r="AI1646" s="131"/>
    </row>
    <row r="1647" spans="1:35" ht="26.4">
      <c r="A1647" s="284"/>
      <c r="B1647" s="284"/>
      <c r="C1647" s="284"/>
      <c r="D1647" s="284"/>
      <c r="E1647" s="284"/>
      <c r="F1647" s="284"/>
      <c r="G1647" s="284"/>
      <c r="H1647" s="284"/>
      <c r="I1647" s="284"/>
      <c r="J1647" s="375"/>
      <c r="K1647" s="375"/>
      <c r="L1647" s="375"/>
      <c r="M1647" s="368"/>
      <c r="N1647" s="368"/>
      <c r="O1647" s="370"/>
      <c r="T1647" s="340"/>
      <c r="V1647" s="378"/>
      <c r="W1647" s="64" ph="1"/>
      <c r="X1647" s="241"/>
      <c r="Y1647" s="284"/>
      <c r="Z1647" s="207"/>
      <c r="AA1647" s="284"/>
      <c r="AB1647" s="284"/>
      <c r="AC1647" s="284"/>
      <c r="AD1647" s="284"/>
      <c r="AE1647" s="284"/>
      <c r="AF1647" s="284"/>
      <c r="AG1647" s="284"/>
      <c r="AI1647" s="131"/>
    </row>
    <row r="1648" spans="1:35" ht="26.4">
      <c r="A1648" s="284"/>
      <c r="B1648" s="284"/>
      <c r="C1648" s="284"/>
      <c r="D1648" s="284"/>
      <c r="E1648" s="284"/>
      <c r="F1648" s="284"/>
      <c r="G1648" s="284"/>
      <c r="H1648" s="284"/>
      <c r="I1648" s="284"/>
      <c r="J1648" s="375"/>
      <c r="K1648" s="375"/>
      <c r="L1648" s="375"/>
      <c r="M1648" s="368"/>
      <c r="N1648" s="368"/>
      <c r="O1648" s="370"/>
      <c r="T1648" s="340"/>
      <c r="V1648" s="378"/>
      <c r="W1648" s="64" ph="1"/>
      <c r="X1648" s="241"/>
      <c r="Y1648" s="284"/>
      <c r="Z1648" s="207"/>
      <c r="AA1648" s="284"/>
      <c r="AB1648" s="284"/>
      <c r="AC1648" s="284"/>
      <c r="AD1648" s="284"/>
      <c r="AE1648" s="284"/>
      <c r="AF1648" s="284"/>
      <c r="AG1648" s="284"/>
      <c r="AI1648" s="131"/>
    </row>
    <row r="1649" spans="1:35" ht="26.4">
      <c r="A1649" s="284"/>
      <c r="B1649" s="284"/>
      <c r="C1649" s="284"/>
      <c r="D1649" s="284"/>
      <c r="E1649" s="284"/>
      <c r="F1649" s="284"/>
      <c r="G1649" s="284"/>
      <c r="H1649" s="284"/>
      <c r="I1649" s="284"/>
      <c r="J1649" s="375"/>
      <c r="K1649" s="375"/>
      <c r="L1649" s="375"/>
      <c r="M1649" s="368"/>
      <c r="N1649" s="368"/>
      <c r="O1649" s="370"/>
      <c r="T1649" s="340"/>
      <c r="V1649" s="378"/>
      <c r="W1649" s="64" ph="1"/>
      <c r="X1649" s="241"/>
      <c r="Y1649" s="284"/>
      <c r="Z1649" s="207"/>
      <c r="AA1649" s="284"/>
      <c r="AB1649" s="284"/>
      <c r="AC1649" s="284"/>
      <c r="AD1649" s="284"/>
      <c r="AE1649" s="284"/>
      <c r="AF1649" s="284"/>
      <c r="AG1649" s="284"/>
      <c r="AI1649" s="131"/>
    </row>
    <row r="1650" spans="1:35" ht="26.4">
      <c r="A1650" s="284"/>
      <c r="B1650" s="284"/>
      <c r="C1650" s="284"/>
      <c r="D1650" s="284"/>
      <c r="E1650" s="284"/>
      <c r="F1650" s="284"/>
      <c r="G1650" s="284"/>
      <c r="H1650" s="284"/>
      <c r="I1650" s="284"/>
      <c r="J1650" s="375"/>
      <c r="K1650" s="375"/>
      <c r="L1650" s="375"/>
      <c r="M1650" s="368"/>
      <c r="N1650" s="368"/>
      <c r="O1650" s="370"/>
      <c r="T1650" s="340"/>
      <c r="V1650" s="378"/>
      <c r="W1650" s="64" ph="1"/>
      <c r="X1650" s="241"/>
      <c r="Y1650" s="284"/>
      <c r="Z1650" s="207"/>
      <c r="AA1650" s="284"/>
      <c r="AB1650" s="284"/>
      <c r="AC1650" s="284"/>
      <c r="AD1650" s="284"/>
      <c r="AE1650" s="284"/>
      <c r="AF1650" s="284"/>
      <c r="AG1650" s="284"/>
      <c r="AI1650" s="284"/>
    </row>
    <row r="1651" spans="1:35" ht="26.4">
      <c r="A1651" s="284"/>
      <c r="B1651" s="284"/>
      <c r="C1651" s="284"/>
      <c r="D1651" s="284"/>
      <c r="E1651" s="284"/>
      <c r="F1651" s="284"/>
      <c r="G1651" s="284"/>
      <c r="H1651" s="284"/>
      <c r="I1651" s="284"/>
      <c r="J1651" s="375"/>
      <c r="K1651" s="375"/>
      <c r="L1651" s="375"/>
      <c r="M1651" s="368"/>
      <c r="N1651" s="368"/>
      <c r="O1651" s="370"/>
      <c r="T1651" s="340"/>
      <c r="V1651" s="378"/>
      <c r="W1651" s="64" ph="1"/>
      <c r="X1651" s="241"/>
      <c r="Y1651" s="284"/>
      <c r="Z1651" s="207"/>
      <c r="AA1651" s="284"/>
      <c r="AB1651" s="284"/>
      <c r="AC1651" s="284"/>
      <c r="AD1651" s="284"/>
      <c r="AE1651" s="284"/>
      <c r="AF1651" s="284"/>
      <c r="AG1651" s="284"/>
      <c r="AI1651" s="131"/>
    </row>
    <row r="1652" spans="1:35" ht="26.4">
      <c r="A1652" s="284"/>
      <c r="B1652" s="284"/>
      <c r="C1652" s="284"/>
      <c r="D1652" s="284"/>
      <c r="E1652" s="284"/>
      <c r="F1652" s="284"/>
      <c r="G1652" s="284"/>
      <c r="H1652" s="284"/>
      <c r="I1652" s="284"/>
      <c r="J1652" s="375"/>
      <c r="K1652" s="375"/>
      <c r="L1652" s="375"/>
      <c r="M1652" s="368"/>
      <c r="N1652" s="368"/>
      <c r="O1652" s="370"/>
      <c r="T1652" s="340"/>
      <c r="V1652" s="378"/>
      <c r="W1652" s="64" ph="1"/>
      <c r="X1652" s="241"/>
      <c r="Y1652" s="284"/>
      <c r="Z1652" s="207"/>
      <c r="AA1652" s="284"/>
      <c r="AB1652" s="284"/>
      <c r="AC1652" s="284"/>
      <c r="AD1652" s="284"/>
      <c r="AE1652" s="284"/>
      <c r="AF1652" s="284"/>
      <c r="AG1652" s="284"/>
      <c r="AI1652" s="131"/>
    </row>
    <row r="1653" spans="1:35" ht="26.4">
      <c r="A1653" s="284"/>
      <c r="B1653" s="284"/>
      <c r="C1653" s="284"/>
      <c r="D1653" s="284"/>
      <c r="E1653" s="284"/>
      <c r="F1653" s="284"/>
      <c r="G1653" s="284"/>
      <c r="H1653" s="284"/>
      <c r="I1653" s="284"/>
      <c r="J1653" s="375"/>
      <c r="K1653" s="375"/>
      <c r="L1653" s="375"/>
      <c r="M1653" s="368"/>
      <c r="N1653" s="368"/>
      <c r="O1653" s="370"/>
      <c r="T1653" s="340"/>
      <c r="V1653" s="378"/>
      <c r="W1653" s="64" ph="1"/>
      <c r="X1653" s="241"/>
      <c r="Y1653" s="284"/>
      <c r="Z1653" s="207"/>
      <c r="AA1653" s="284"/>
      <c r="AB1653" s="284"/>
      <c r="AC1653" s="284"/>
      <c r="AD1653" s="284"/>
      <c r="AE1653" s="284"/>
      <c r="AF1653" s="284"/>
      <c r="AG1653" s="284"/>
      <c r="AI1653" s="131"/>
    </row>
    <row r="1654" spans="1:35" ht="26.4">
      <c r="A1654" s="284"/>
      <c r="B1654" s="284"/>
      <c r="C1654" s="284"/>
      <c r="D1654" s="284"/>
      <c r="E1654" s="284"/>
      <c r="F1654" s="284"/>
      <c r="G1654" s="284"/>
      <c r="H1654" s="284"/>
      <c r="I1654" s="284"/>
      <c r="J1654" s="375"/>
      <c r="K1654" s="375"/>
      <c r="L1654" s="375"/>
      <c r="M1654" s="368"/>
      <c r="N1654" s="368"/>
      <c r="O1654" s="370"/>
      <c r="T1654" s="340"/>
      <c r="V1654" s="378"/>
      <c r="W1654" s="64" ph="1"/>
      <c r="X1654" s="241"/>
      <c r="Y1654" s="284"/>
      <c r="Z1654" s="207"/>
      <c r="AA1654" s="284"/>
      <c r="AB1654" s="284"/>
      <c r="AC1654" s="284"/>
      <c r="AD1654" s="284"/>
      <c r="AE1654" s="284"/>
      <c r="AF1654" s="284"/>
      <c r="AG1654" s="284"/>
      <c r="AI1654" s="284"/>
    </row>
    <row r="1655" spans="1:35" ht="26.4">
      <c r="A1655" s="284"/>
      <c r="B1655" s="284"/>
      <c r="C1655" s="284"/>
      <c r="D1655" s="284"/>
      <c r="E1655" s="284"/>
      <c r="F1655" s="284"/>
      <c r="G1655" s="284"/>
      <c r="H1655" s="284"/>
      <c r="I1655" s="284"/>
      <c r="J1655" s="375"/>
      <c r="K1655" s="375"/>
      <c r="L1655" s="375"/>
      <c r="M1655" s="368"/>
      <c r="N1655" s="368"/>
      <c r="O1655" s="370"/>
      <c r="T1655" s="340"/>
      <c r="V1655" s="378"/>
      <c r="W1655" s="64" ph="1"/>
      <c r="X1655" s="241"/>
      <c r="Y1655" s="284"/>
      <c r="Z1655" s="207"/>
      <c r="AA1655" s="284"/>
      <c r="AB1655" s="284"/>
      <c r="AC1655" s="284"/>
      <c r="AD1655" s="284"/>
      <c r="AE1655" s="284"/>
      <c r="AF1655" s="284"/>
      <c r="AG1655" s="284"/>
      <c r="AI1655" s="131"/>
    </row>
    <row r="1656" spans="1:35" ht="26.4">
      <c r="A1656" s="284"/>
      <c r="B1656" s="284"/>
      <c r="C1656" s="284"/>
      <c r="D1656" s="284"/>
      <c r="E1656" s="284"/>
      <c r="F1656" s="284"/>
      <c r="G1656" s="284"/>
      <c r="H1656" s="284"/>
      <c r="I1656" s="284"/>
      <c r="J1656" s="375"/>
      <c r="K1656" s="375"/>
      <c r="L1656" s="375"/>
      <c r="M1656" s="368"/>
      <c r="N1656" s="368"/>
      <c r="O1656" s="370"/>
      <c r="T1656" s="340"/>
      <c r="V1656" s="378"/>
      <c r="W1656" s="64" ph="1"/>
      <c r="X1656" s="241"/>
      <c r="Y1656" s="284"/>
      <c r="Z1656" s="207"/>
      <c r="AA1656" s="284"/>
      <c r="AB1656" s="284"/>
      <c r="AC1656" s="284"/>
      <c r="AD1656" s="284"/>
      <c r="AE1656" s="284"/>
      <c r="AF1656" s="284"/>
      <c r="AG1656" s="284"/>
      <c r="AI1656" s="131"/>
    </row>
    <row r="1657" spans="1:35" ht="26.4">
      <c r="A1657" s="284"/>
      <c r="B1657" s="284"/>
      <c r="C1657" s="284"/>
      <c r="D1657" s="284"/>
      <c r="E1657" s="284"/>
      <c r="F1657" s="284"/>
      <c r="G1657" s="284"/>
      <c r="H1657" s="284"/>
      <c r="I1657" s="284"/>
      <c r="J1657" s="375"/>
      <c r="K1657" s="375"/>
      <c r="L1657" s="375"/>
      <c r="M1657" s="368"/>
      <c r="N1657" s="368"/>
      <c r="O1657" s="370"/>
      <c r="T1657" s="340"/>
      <c r="V1657" s="378"/>
      <c r="W1657" s="64" ph="1"/>
      <c r="X1657" s="241"/>
      <c r="Y1657" s="284"/>
      <c r="Z1657" s="207"/>
      <c r="AA1657" s="284"/>
      <c r="AB1657" s="284"/>
      <c r="AC1657" s="284"/>
      <c r="AD1657" s="284"/>
      <c r="AE1657" s="284"/>
      <c r="AF1657" s="284"/>
      <c r="AG1657" s="284"/>
      <c r="AI1657" s="131"/>
    </row>
    <row r="1658" spans="1:35" ht="26.4">
      <c r="A1658" s="284"/>
      <c r="B1658" s="284"/>
      <c r="C1658" s="284"/>
      <c r="D1658" s="284"/>
      <c r="E1658" s="284"/>
      <c r="F1658" s="284"/>
      <c r="G1658" s="284"/>
      <c r="H1658" s="284"/>
      <c r="I1658" s="284"/>
      <c r="J1658" s="375"/>
      <c r="K1658" s="375"/>
      <c r="L1658" s="375"/>
      <c r="M1658" s="368"/>
      <c r="N1658" s="368"/>
      <c r="O1658" s="370"/>
      <c r="T1658" s="340"/>
      <c r="V1658" s="378"/>
      <c r="W1658" s="64" ph="1"/>
      <c r="X1658" s="241"/>
      <c r="Y1658" s="284"/>
      <c r="Z1658" s="207"/>
      <c r="AA1658" s="284"/>
      <c r="AB1658" s="284"/>
      <c r="AC1658" s="284"/>
      <c r="AD1658" s="284"/>
      <c r="AE1658" s="284"/>
      <c r="AF1658" s="284"/>
      <c r="AG1658" s="284"/>
      <c r="AI1658" s="131"/>
    </row>
    <row r="1659" spans="1:35" ht="26.4">
      <c r="A1659" s="284"/>
      <c r="B1659" s="284"/>
      <c r="C1659" s="284"/>
      <c r="D1659" s="284"/>
      <c r="E1659" s="284"/>
      <c r="F1659" s="284"/>
      <c r="G1659" s="284"/>
      <c r="H1659" s="284"/>
      <c r="I1659" s="284"/>
      <c r="J1659" s="375"/>
      <c r="K1659" s="375"/>
      <c r="L1659" s="375"/>
      <c r="M1659" s="368"/>
      <c r="N1659" s="368"/>
      <c r="O1659" s="370"/>
      <c r="T1659" s="340"/>
      <c r="V1659" s="378"/>
      <c r="W1659" s="64" ph="1"/>
      <c r="X1659" s="241"/>
      <c r="Y1659" s="284"/>
      <c r="Z1659" s="207"/>
      <c r="AA1659" s="284"/>
      <c r="AB1659" s="284"/>
      <c r="AC1659" s="284"/>
      <c r="AD1659" s="284"/>
      <c r="AE1659" s="284"/>
      <c r="AF1659" s="284"/>
      <c r="AG1659" s="284"/>
      <c r="AI1659" s="131"/>
    </row>
    <row r="1660" spans="1:35" ht="26.4">
      <c r="A1660" s="284"/>
      <c r="B1660" s="284"/>
      <c r="C1660" s="284"/>
      <c r="D1660" s="284"/>
      <c r="E1660" s="284"/>
      <c r="F1660" s="284"/>
      <c r="G1660" s="284"/>
      <c r="H1660" s="284"/>
      <c r="I1660" s="284"/>
      <c r="J1660" s="375"/>
      <c r="K1660" s="375"/>
      <c r="L1660" s="375"/>
      <c r="M1660" s="368"/>
      <c r="N1660" s="368"/>
      <c r="O1660" s="370"/>
      <c r="T1660" s="340"/>
      <c r="V1660" s="378"/>
      <c r="W1660" s="64" ph="1"/>
      <c r="X1660" s="241"/>
      <c r="Y1660" s="284"/>
      <c r="Z1660" s="207"/>
      <c r="AA1660" s="284"/>
      <c r="AB1660" s="284"/>
      <c r="AC1660" s="284"/>
      <c r="AD1660" s="284"/>
      <c r="AE1660" s="284"/>
      <c r="AF1660" s="284"/>
      <c r="AG1660" s="284"/>
      <c r="AI1660" s="131"/>
    </row>
    <row r="1661" spans="1:35" ht="26.4">
      <c r="A1661" s="284"/>
      <c r="B1661" s="284"/>
      <c r="C1661" s="284"/>
      <c r="D1661" s="284"/>
      <c r="E1661" s="284"/>
      <c r="F1661" s="284"/>
      <c r="G1661" s="284"/>
      <c r="H1661" s="284"/>
      <c r="I1661" s="284"/>
      <c r="J1661" s="375"/>
      <c r="K1661" s="375"/>
      <c r="L1661" s="375"/>
      <c r="M1661" s="368"/>
      <c r="N1661" s="368"/>
      <c r="O1661" s="370"/>
      <c r="T1661" s="340"/>
      <c r="V1661" s="378"/>
      <c r="W1661" s="64" ph="1"/>
      <c r="X1661" s="241"/>
      <c r="Y1661" s="284"/>
      <c r="Z1661" s="207"/>
      <c r="AA1661" s="284"/>
      <c r="AB1661" s="284"/>
      <c r="AC1661" s="284"/>
      <c r="AD1661" s="284"/>
      <c r="AE1661" s="284"/>
      <c r="AF1661" s="284"/>
      <c r="AG1661" s="284"/>
      <c r="AI1661" s="131"/>
    </row>
    <row r="1662" spans="1:35" ht="26.4">
      <c r="A1662" s="284"/>
      <c r="B1662" s="284"/>
      <c r="C1662" s="284"/>
      <c r="D1662" s="284"/>
      <c r="E1662" s="284"/>
      <c r="F1662" s="284"/>
      <c r="G1662" s="284"/>
      <c r="H1662" s="284"/>
      <c r="I1662" s="284"/>
      <c r="J1662" s="375"/>
      <c r="K1662" s="375"/>
      <c r="L1662" s="375"/>
      <c r="M1662" s="368"/>
      <c r="N1662" s="368"/>
      <c r="O1662" s="370"/>
      <c r="T1662" s="340"/>
      <c r="V1662" s="378"/>
      <c r="W1662" s="64" ph="1"/>
      <c r="X1662" s="241"/>
      <c r="Y1662" s="284"/>
      <c r="Z1662" s="207"/>
      <c r="AA1662" s="284"/>
      <c r="AB1662" s="284"/>
      <c r="AC1662" s="284"/>
      <c r="AD1662" s="284"/>
      <c r="AE1662" s="284"/>
      <c r="AF1662" s="284"/>
      <c r="AG1662" s="284"/>
      <c r="AI1662" s="131"/>
    </row>
    <row r="1663" spans="1:35" ht="26.4">
      <c r="A1663" s="284"/>
      <c r="B1663" s="284"/>
      <c r="C1663" s="284"/>
      <c r="D1663" s="284"/>
      <c r="E1663" s="284"/>
      <c r="F1663" s="284"/>
      <c r="G1663" s="284"/>
      <c r="H1663" s="284"/>
      <c r="I1663" s="284"/>
      <c r="J1663" s="375"/>
      <c r="K1663" s="375"/>
      <c r="L1663" s="375"/>
      <c r="M1663" s="368"/>
      <c r="N1663" s="368"/>
      <c r="O1663" s="370"/>
      <c r="T1663" s="340"/>
      <c r="V1663" s="378"/>
      <c r="W1663" s="64" ph="1"/>
      <c r="X1663" s="241"/>
      <c r="Y1663" s="284"/>
      <c r="Z1663" s="207"/>
      <c r="AA1663" s="284"/>
      <c r="AB1663" s="284"/>
      <c r="AC1663" s="284"/>
      <c r="AD1663" s="284"/>
      <c r="AE1663" s="284"/>
      <c r="AF1663" s="284"/>
      <c r="AG1663" s="284"/>
      <c r="AI1663" s="131"/>
    </row>
    <row r="1664" spans="1:35" ht="26.4">
      <c r="A1664" s="284"/>
      <c r="B1664" s="284"/>
      <c r="C1664" s="284"/>
      <c r="D1664" s="284"/>
      <c r="E1664" s="284"/>
      <c r="F1664" s="284"/>
      <c r="G1664" s="284"/>
      <c r="H1664" s="284"/>
      <c r="I1664" s="284"/>
      <c r="J1664" s="375"/>
      <c r="K1664" s="375"/>
      <c r="L1664" s="375"/>
      <c r="M1664" s="368"/>
      <c r="N1664" s="368"/>
      <c r="O1664" s="370"/>
      <c r="T1664" s="340"/>
      <c r="V1664" s="378"/>
      <c r="W1664" s="64" ph="1"/>
      <c r="X1664" s="241"/>
      <c r="Y1664" s="284"/>
      <c r="Z1664" s="207"/>
      <c r="AA1664" s="284"/>
      <c r="AB1664" s="284"/>
      <c r="AC1664" s="284"/>
      <c r="AD1664" s="284"/>
      <c r="AE1664" s="284"/>
      <c r="AF1664" s="284"/>
      <c r="AG1664" s="284"/>
      <c r="AI1664" s="131"/>
    </row>
    <row r="1665" spans="1:35" ht="26.4">
      <c r="A1665" s="284"/>
      <c r="B1665" s="284"/>
      <c r="C1665" s="284"/>
      <c r="D1665" s="284"/>
      <c r="E1665" s="284"/>
      <c r="F1665" s="284"/>
      <c r="G1665" s="284"/>
      <c r="H1665" s="284"/>
      <c r="I1665" s="284"/>
      <c r="J1665" s="375"/>
      <c r="K1665" s="375"/>
      <c r="L1665" s="375"/>
      <c r="M1665" s="368"/>
      <c r="N1665" s="368"/>
      <c r="O1665" s="370"/>
      <c r="T1665" s="340"/>
      <c r="V1665" s="378"/>
      <c r="W1665" s="64" ph="1"/>
      <c r="X1665" s="241"/>
      <c r="Y1665" s="284"/>
      <c r="Z1665" s="207"/>
      <c r="AA1665" s="284"/>
      <c r="AB1665" s="284"/>
      <c r="AC1665" s="284"/>
      <c r="AD1665" s="284"/>
      <c r="AE1665" s="284"/>
      <c r="AF1665" s="284"/>
      <c r="AG1665" s="284"/>
      <c r="AI1665" s="131"/>
    </row>
    <row r="1666" spans="1:35" ht="26.4">
      <c r="A1666" s="284"/>
      <c r="B1666" s="284"/>
      <c r="C1666" s="284"/>
      <c r="D1666" s="284"/>
      <c r="E1666" s="284"/>
      <c r="F1666" s="284"/>
      <c r="G1666" s="284"/>
      <c r="H1666" s="284"/>
      <c r="I1666" s="284"/>
      <c r="J1666" s="375"/>
      <c r="K1666" s="375"/>
      <c r="L1666" s="375"/>
      <c r="M1666" s="368"/>
      <c r="N1666" s="368"/>
      <c r="O1666" s="370"/>
      <c r="T1666" s="340"/>
      <c r="V1666" s="378"/>
      <c r="W1666" s="64" ph="1"/>
      <c r="X1666" s="241"/>
      <c r="Y1666" s="284"/>
      <c r="Z1666" s="207"/>
      <c r="AA1666" s="284"/>
      <c r="AB1666" s="284"/>
      <c r="AC1666" s="284"/>
      <c r="AD1666" s="284"/>
      <c r="AE1666" s="284"/>
      <c r="AF1666" s="284"/>
      <c r="AG1666" s="284"/>
      <c r="AI1666" s="131"/>
    </row>
    <row r="1667" spans="1:35" ht="26.4">
      <c r="A1667" s="284"/>
      <c r="B1667" s="284"/>
      <c r="C1667" s="284"/>
      <c r="D1667" s="284"/>
      <c r="E1667" s="284"/>
      <c r="F1667" s="284"/>
      <c r="G1667" s="284"/>
      <c r="H1667" s="284"/>
      <c r="I1667" s="284"/>
      <c r="J1667" s="375"/>
      <c r="K1667" s="375"/>
      <c r="L1667" s="375"/>
      <c r="M1667" s="368"/>
      <c r="N1667" s="368"/>
      <c r="O1667" s="370"/>
      <c r="T1667" s="340"/>
      <c r="V1667" s="378"/>
      <c r="W1667" s="64" ph="1"/>
      <c r="X1667" s="241"/>
      <c r="Y1667" s="284"/>
      <c r="Z1667" s="207"/>
      <c r="AA1667" s="284"/>
      <c r="AB1667" s="284"/>
      <c r="AC1667" s="284"/>
      <c r="AD1667" s="284"/>
      <c r="AE1667" s="284"/>
      <c r="AF1667" s="284"/>
      <c r="AG1667" s="284"/>
      <c r="AI1667" s="131"/>
    </row>
    <row r="1668" spans="1:35" ht="26.4">
      <c r="A1668" s="284"/>
      <c r="B1668" s="284"/>
      <c r="C1668" s="284"/>
      <c r="D1668" s="284"/>
      <c r="E1668" s="284"/>
      <c r="F1668" s="284"/>
      <c r="G1668" s="284"/>
      <c r="H1668" s="284"/>
      <c r="I1668" s="284"/>
      <c r="J1668" s="375"/>
      <c r="K1668" s="375"/>
      <c r="L1668" s="375"/>
      <c r="M1668" s="368"/>
      <c r="N1668" s="368"/>
      <c r="O1668" s="370"/>
      <c r="T1668" s="340"/>
      <c r="V1668" s="378"/>
      <c r="W1668" s="64" ph="1"/>
      <c r="X1668" s="241"/>
      <c r="Y1668" s="284"/>
      <c r="Z1668" s="207"/>
      <c r="AA1668" s="284"/>
      <c r="AB1668" s="284"/>
      <c r="AC1668" s="284"/>
      <c r="AD1668" s="284"/>
      <c r="AE1668" s="284"/>
      <c r="AF1668" s="284"/>
      <c r="AG1668" s="284"/>
      <c r="AI1668" s="131"/>
    </row>
    <row r="1669" spans="1:35" ht="26.4">
      <c r="A1669" s="284"/>
      <c r="B1669" s="284"/>
      <c r="C1669" s="284"/>
      <c r="D1669" s="284"/>
      <c r="E1669" s="284"/>
      <c r="F1669" s="284"/>
      <c r="G1669" s="284"/>
      <c r="H1669" s="284"/>
      <c r="I1669" s="284"/>
      <c r="J1669" s="375"/>
      <c r="K1669" s="375"/>
      <c r="L1669" s="375"/>
      <c r="M1669" s="368"/>
      <c r="N1669" s="368"/>
      <c r="O1669" s="370"/>
      <c r="T1669" s="340"/>
      <c r="V1669" s="378"/>
      <c r="W1669" s="64" ph="1"/>
      <c r="X1669" s="241"/>
      <c r="Y1669" s="284"/>
      <c r="Z1669" s="207"/>
      <c r="AA1669" s="284"/>
      <c r="AB1669" s="284"/>
      <c r="AC1669" s="284"/>
      <c r="AD1669" s="284"/>
      <c r="AE1669" s="284"/>
      <c r="AF1669" s="284"/>
      <c r="AG1669" s="284"/>
      <c r="AI1669" s="131"/>
    </row>
    <row r="1670" spans="1:35" ht="26.4">
      <c r="A1670" s="284"/>
      <c r="B1670" s="284"/>
      <c r="C1670" s="284"/>
      <c r="D1670" s="284"/>
      <c r="E1670" s="284"/>
      <c r="F1670" s="284"/>
      <c r="G1670" s="284"/>
      <c r="H1670" s="284"/>
      <c r="I1670" s="284"/>
      <c r="J1670" s="375"/>
      <c r="K1670" s="375"/>
      <c r="L1670" s="375"/>
      <c r="M1670" s="368"/>
      <c r="N1670" s="368"/>
      <c r="O1670" s="370"/>
      <c r="T1670" s="340"/>
      <c r="V1670" s="378"/>
      <c r="W1670" s="64" ph="1"/>
      <c r="X1670" s="241"/>
      <c r="Y1670" s="284"/>
      <c r="Z1670" s="207"/>
      <c r="AA1670" s="284"/>
      <c r="AB1670" s="284"/>
      <c r="AC1670" s="284"/>
      <c r="AD1670" s="284"/>
      <c r="AE1670" s="284"/>
      <c r="AF1670" s="284"/>
      <c r="AG1670" s="284"/>
      <c r="AI1670" s="131"/>
    </row>
    <row r="1671" spans="1:35" ht="26.4">
      <c r="A1671" s="284"/>
      <c r="B1671" s="284"/>
      <c r="C1671" s="284"/>
      <c r="D1671" s="284"/>
      <c r="E1671" s="284"/>
      <c r="F1671" s="284"/>
      <c r="G1671" s="284"/>
      <c r="H1671" s="284"/>
      <c r="I1671" s="284"/>
      <c r="J1671" s="375"/>
      <c r="K1671" s="375"/>
      <c r="L1671" s="375"/>
      <c r="M1671" s="368"/>
      <c r="N1671" s="368"/>
      <c r="O1671" s="370"/>
      <c r="T1671" s="340"/>
      <c r="V1671" s="378"/>
      <c r="W1671" s="64" ph="1"/>
      <c r="X1671" s="241"/>
      <c r="Y1671" s="284"/>
      <c r="Z1671" s="207"/>
      <c r="AA1671" s="284"/>
      <c r="AB1671" s="284"/>
      <c r="AC1671" s="284"/>
      <c r="AD1671" s="284"/>
      <c r="AE1671" s="284"/>
      <c r="AF1671" s="284"/>
      <c r="AG1671" s="284"/>
      <c r="AI1671" s="131"/>
    </row>
    <row r="1672" spans="1:35" ht="26.4">
      <c r="A1672" s="284"/>
      <c r="B1672" s="284"/>
      <c r="C1672" s="284"/>
      <c r="D1672" s="284"/>
      <c r="E1672" s="284"/>
      <c r="F1672" s="284"/>
      <c r="G1672" s="284"/>
      <c r="H1672" s="284"/>
      <c r="I1672" s="284"/>
      <c r="J1672" s="375"/>
      <c r="K1672" s="375"/>
      <c r="L1672" s="375"/>
      <c r="M1672" s="368"/>
      <c r="N1672" s="368"/>
      <c r="O1672" s="370"/>
      <c r="T1672" s="340"/>
      <c r="V1672" s="378"/>
      <c r="W1672" s="64" ph="1"/>
      <c r="X1672" s="241"/>
      <c r="Y1672" s="284"/>
      <c r="Z1672" s="207"/>
      <c r="AA1672" s="284"/>
      <c r="AB1672" s="284"/>
      <c r="AC1672" s="284"/>
      <c r="AD1672" s="284"/>
      <c r="AE1672" s="284"/>
      <c r="AF1672" s="284"/>
      <c r="AG1672" s="284"/>
      <c r="AI1672" s="131"/>
    </row>
    <row r="1673" spans="1:35" ht="26.4">
      <c r="A1673" s="284"/>
      <c r="B1673" s="284"/>
      <c r="C1673" s="284"/>
      <c r="D1673" s="284"/>
      <c r="E1673" s="284"/>
      <c r="F1673" s="284"/>
      <c r="G1673" s="284"/>
      <c r="H1673" s="284"/>
      <c r="I1673" s="284"/>
      <c r="J1673" s="375"/>
      <c r="K1673" s="375"/>
      <c r="L1673" s="375"/>
      <c r="M1673" s="368"/>
      <c r="N1673" s="368"/>
      <c r="O1673" s="370"/>
      <c r="T1673" s="340"/>
      <c r="V1673" s="378"/>
      <c r="W1673" s="64" ph="1"/>
      <c r="X1673" s="241"/>
      <c r="Y1673" s="284"/>
      <c r="Z1673" s="207"/>
      <c r="AA1673" s="284"/>
      <c r="AB1673" s="284"/>
      <c r="AC1673" s="284"/>
      <c r="AD1673" s="284"/>
      <c r="AE1673" s="284"/>
      <c r="AF1673" s="284"/>
      <c r="AG1673" s="284"/>
      <c r="AI1673" s="131"/>
    </row>
    <row r="1674" spans="1:35" ht="26.4">
      <c r="A1674" s="284"/>
      <c r="B1674" s="284"/>
      <c r="C1674" s="284"/>
      <c r="D1674" s="284"/>
      <c r="E1674" s="284"/>
      <c r="F1674" s="284"/>
      <c r="G1674" s="284"/>
      <c r="H1674" s="284"/>
      <c r="I1674" s="284"/>
      <c r="J1674" s="375"/>
      <c r="K1674" s="375"/>
      <c r="L1674" s="375"/>
      <c r="M1674" s="368"/>
      <c r="N1674" s="368"/>
      <c r="O1674" s="370"/>
      <c r="T1674" s="340"/>
      <c r="V1674" s="378"/>
      <c r="W1674" s="64" ph="1"/>
      <c r="X1674" s="241"/>
      <c r="Y1674" s="284"/>
      <c r="Z1674" s="207"/>
      <c r="AA1674" s="284"/>
      <c r="AB1674" s="284"/>
      <c r="AC1674" s="284"/>
      <c r="AD1674" s="284"/>
      <c r="AE1674" s="284"/>
      <c r="AF1674" s="284"/>
      <c r="AG1674" s="284"/>
      <c r="AI1674" s="131"/>
    </row>
    <row r="1675" spans="1:35" ht="26.4">
      <c r="A1675" s="284"/>
      <c r="B1675" s="284"/>
      <c r="C1675" s="284"/>
      <c r="D1675" s="284"/>
      <c r="E1675" s="284"/>
      <c r="F1675" s="284"/>
      <c r="G1675" s="284"/>
      <c r="H1675" s="284"/>
      <c r="I1675" s="284"/>
      <c r="J1675" s="375"/>
      <c r="K1675" s="375"/>
      <c r="L1675" s="375"/>
      <c r="M1675" s="368"/>
      <c r="N1675" s="368"/>
      <c r="O1675" s="370"/>
      <c r="T1675" s="340"/>
      <c r="V1675" s="378"/>
      <c r="W1675" s="64" ph="1"/>
      <c r="X1675" s="241"/>
      <c r="Y1675" s="284"/>
      <c r="Z1675" s="207"/>
      <c r="AA1675" s="284"/>
      <c r="AB1675" s="284"/>
      <c r="AC1675" s="284"/>
      <c r="AD1675" s="284"/>
      <c r="AE1675" s="284"/>
      <c r="AF1675" s="284"/>
      <c r="AG1675" s="284"/>
      <c r="AI1675" s="131"/>
    </row>
    <row r="1676" spans="1:35" ht="26.4">
      <c r="A1676" s="284"/>
      <c r="B1676" s="284"/>
      <c r="C1676" s="284"/>
      <c r="D1676" s="284"/>
      <c r="E1676" s="284"/>
      <c r="F1676" s="284"/>
      <c r="G1676" s="284"/>
      <c r="H1676" s="284"/>
      <c r="I1676" s="284"/>
      <c r="J1676" s="375"/>
      <c r="K1676" s="375"/>
      <c r="L1676" s="375"/>
      <c r="M1676" s="368"/>
      <c r="N1676" s="368"/>
      <c r="O1676" s="370"/>
      <c r="T1676" s="340"/>
      <c r="V1676" s="378"/>
      <c r="W1676" s="64" ph="1"/>
      <c r="X1676" s="241"/>
      <c r="Y1676" s="284"/>
      <c r="Z1676" s="207"/>
      <c r="AA1676" s="284"/>
      <c r="AB1676" s="284"/>
      <c r="AC1676" s="284"/>
      <c r="AD1676" s="284"/>
      <c r="AE1676" s="284"/>
      <c r="AF1676" s="284"/>
      <c r="AG1676" s="284"/>
    </row>
    <row r="1677" spans="1:35" ht="26.4">
      <c r="A1677" s="284"/>
      <c r="B1677" s="284"/>
      <c r="C1677" s="284"/>
      <c r="D1677" s="284"/>
      <c r="E1677" s="284"/>
      <c r="F1677" s="284"/>
      <c r="G1677" s="284"/>
      <c r="H1677" s="284"/>
      <c r="I1677" s="284"/>
      <c r="J1677" s="375"/>
      <c r="K1677" s="375"/>
      <c r="L1677" s="375"/>
      <c r="M1677" s="368"/>
      <c r="N1677" s="368"/>
      <c r="O1677" s="370"/>
      <c r="T1677" s="340"/>
      <c r="V1677" s="378"/>
      <c r="W1677" s="64" ph="1"/>
      <c r="X1677" s="241"/>
      <c r="Y1677" s="284"/>
      <c r="Z1677" s="207"/>
      <c r="AA1677" s="284"/>
      <c r="AB1677" s="284"/>
      <c r="AC1677" s="284"/>
      <c r="AD1677" s="284"/>
      <c r="AE1677" s="284"/>
      <c r="AF1677" s="284"/>
      <c r="AG1677" s="284"/>
      <c r="AI1677" s="131"/>
    </row>
    <row r="1678" spans="1:35" ht="26.4">
      <c r="A1678" s="284"/>
      <c r="B1678" s="284"/>
      <c r="C1678" s="284"/>
      <c r="D1678" s="284"/>
      <c r="E1678" s="284"/>
      <c r="F1678" s="284"/>
      <c r="G1678" s="284"/>
      <c r="H1678" s="284"/>
      <c r="I1678" s="284"/>
      <c r="J1678" s="375"/>
      <c r="K1678" s="375"/>
      <c r="L1678" s="375"/>
      <c r="M1678" s="368"/>
      <c r="N1678" s="368"/>
      <c r="O1678" s="370"/>
      <c r="T1678" s="340"/>
      <c r="V1678" s="378"/>
      <c r="W1678" s="64" ph="1"/>
      <c r="X1678" s="241"/>
      <c r="Y1678" s="284"/>
      <c r="Z1678" s="207"/>
      <c r="AA1678" s="284"/>
      <c r="AB1678" s="284"/>
      <c r="AC1678" s="284"/>
      <c r="AD1678" s="284"/>
      <c r="AE1678" s="284"/>
      <c r="AF1678" s="284"/>
      <c r="AG1678" s="284"/>
      <c r="AI1678" s="131"/>
    </row>
    <row r="1679" spans="1:35" ht="26.4">
      <c r="A1679" s="284"/>
      <c r="B1679" s="284"/>
      <c r="C1679" s="284"/>
      <c r="D1679" s="284"/>
      <c r="E1679" s="284"/>
      <c r="F1679" s="284"/>
      <c r="G1679" s="284"/>
      <c r="H1679" s="284"/>
      <c r="I1679" s="284"/>
      <c r="J1679" s="375"/>
      <c r="K1679" s="375"/>
      <c r="L1679" s="375"/>
      <c r="M1679" s="368"/>
      <c r="N1679" s="368"/>
      <c r="O1679" s="370"/>
      <c r="T1679" s="340"/>
      <c r="V1679" s="378"/>
      <c r="W1679" s="64" ph="1"/>
      <c r="X1679" s="241"/>
      <c r="Y1679" s="284"/>
      <c r="Z1679" s="207"/>
      <c r="AA1679" s="284"/>
      <c r="AB1679" s="284"/>
      <c r="AC1679" s="284"/>
      <c r="AD1679" s="284"/>
      <c r="AE1679" s="284"/>
      <c r="AF1679" s="284"/>
      <c r="AG1679" s="284"/>
      <c r="AI1679" s="131"/>
    </row>
    <row r="1680" spans="1:35" ht="26.4">
      <c r="A1680" s="284"/>
      <c r="B1680" s="284"/>
      <c r="C1680" s="284"/>
      <c r="D1680" s="284"/>
      <c r="E1680" s="284"/>
      <c r="F1680" s="284"/>
      <c r="G1680" s="284"/>
      <c r="H1680" s="284"/>
      <c r="I1680" s="284"/>
      <c r="J1680" s="375"/>
      <c r="K1680" s="375"/>
      <c r="L1680" s="375"/>
      <c r="M1680" s="368"/>
      <c r="N1680" s="368"/>
      <c r="O1680" s="370"/>
      <c r="T1680" s="340"/>
      <c r="V1680" s="378"/>
      <c r="W1680" s="64" ph="1"/>
      <c r="X1680" s="241"/>
      <c r="Y1680" s="284"/>
      <c r="Z1680" s="207"/>
      <c r="AA1680" s="284"/>
      <c r="AB1680" s="284"/>
      <c r="AC1680" s="284"/>
      <c r="AD1680" s="284"/>
      <c r="AE1680" s="284"/>
      <c r="AF1680" s="284"/>
      <c r="AG1680" s="284"/>
      <c r="AI1680" s="131"/>
    </row>
    <row r="1681" spans="1:35" ht="26.4">
      <c r="A1681" s="284"/>
      <c r="B1681" s="284"/>
      <c r="C1681" s="284"/>
      <c r="D1681" s="284"/>
      <c r="E1681" s="284"/>
      <c r="F1681" s="284"/>
      <c r="G1681" s="284"/>
      <c r="H1681" s="284"/>
      <c r="I1681" s="284"/>
      <c r="J1681" s="375"/>
      <c r="K1681" s="375"/>
      <c r="L1681" s="375"/>
      <c r="M1681" s="368"/>
      <c r="N1681" s="368"/>
      <c r="O1681" s="370"/>
      <c r="T1681" s="340"/>
      <c r="V1681" s="378"/>
      <c r="W1681" s="64" ph="1"/>
      <c r="X1681" s="241"/>
      <c r="Y1681" s="284"/>
      <c r="Z1681" s="207"/>
      <c r="AA1681" s="284"/>
      <c r="AB1681" s="284"/>
      <c r="AC1681" s="284"/>
      <c r="AD1681" s="284"/>
      <c r="AE1681" s="284"/>
      <c r="AF1681" s="284"/>
      <c r="AG1681" s="284"/>
      <c r="AI1681" s="131"/>
    </row>
    <row r="1682" spans="1:35" ht="26.4">
      <c r="A1682" s="284"/>
      <c r="B1682" s="284"/>
      <c r="C1682" s="284"/>
      <c r="D1682" s="284"/>
      <c r="E1682" s="284"/>
      <c r="F1682" s="284"/>
      <c r="G1682" s="284"/>
      <c r="H1682" s="284"/>
      <c r="I1682" s="284"/>
      <c r="J1682" s="375"/>
      <c r="K1682" s="375"/>
      <c r="L1682" s="375"/>
      <c r="M1682" s="368"/>
      <c r="N1682" s="368"/>
      <c r="O1682" s="370"/>
      <c r="T1682" s="340"/>
      <c r="V1682" s="378"/>
      <c r="W1682" s="64" ph="1"/>
      <c r="X1682" s="241"/>
      <c r="Y1682" s="284"/>
      <c r="Z1682" s="207"/>
      <c r="AA1682" s="284"/>
      <c r="AB1682" s="284"/>
      <c r="AC1682" s="284"/>
      <c r="AD1682" s="284"/>
      <c r="AE1682" s="284"/>
      <c r="AF1682" s="284"/>
      <c r="AG1682" s="284"/>
      <c r="AI1682" s="131"/>
    </row>
    <row r="1683" spans="1:35" ht="26.4">
      <c r="A1683" s="284"/>
      <c r="B1683" s="284"/>
      <c r="C1683" s="284"/>
      <c r="D1683" s="284"/>
      <c r="E1683" s="284"/>
      <c r="F1683" s="284"/>
      <c r="G1683" s="284"/>
      <c r="H1683" s="284"/>
      <c r="I1683" s="284"/>
      <c r="J1683" s="375"/>
      <c r="K1683" s="375"/>
      <c r="L1683" s="375"/>
      <c r="M1683" s="368"/>
      <c r="N1683" s="368"/>
      <c r="O1683" s="370"/>
      <c r="T1683" s="340"/>
      <c r="V1683" s="378"/>
      <c r="W1683" s="64" ph="1"/>
      <c r="X1683" s="241"/>
      <c r="Y1683" s="284"/>
      <c r="Z1683" s="207"/>
      <c r="AA1683" s="284"/>
      <c r="AB1683" s="284"/>
      <c r="AC1683" s="284"/>
      <c r="AD1683" s="284"/>
      <c r="AE1683" s="284"/>
      <c r="AF1683" s="284"/>
      <c r="AG1683" s="284"/>
      <c r="AI1683" s="131"/>
    </row>
    <row r="1684" spans="1:35" ht="26.4">
      <c r="A1684" s="284"/>
      <c r="B1684" s="284"/>
      <c r="C1684" s="284"/>
      <c r="D1684" s="284"/>
      <c r="E1684" s="284"/>
      <c r="F1684" s="284"/>
      <c r="G1684" s="284"/>
      <c r="H1684" s="284"/>
      <c r="I1684" s="284"/>
      <c r="J1684" s="375"/>
      <c r="K1684" s="375"/>
      <c r="L1684" s="375"/>
      <c r="M1684" s="368"/>
      <c r="N1684" s="368"/>
      <c r="O1684" s="370"/>
      <c r="T1684" s="340"/>
      <c r="V1684" s="378"/>
      <c r="W1684" s="64" ph="1"/>
      <c r="X1684" s="241"/>
      <c r="Y1684" s="284"/>
      <c r="Z1684" s="207"/>
      <c r="AA1684" s="284"/>
      <c r="AB1684" s="284"/>
      <c r="AC1684" s="284"/>
      <c r="AD1684" s="284"/>
      <c r="AE1684" s="284"/>
      <c r="AF1684" s="284"/>
      <c r="AG1684" s="284"/>
      <c r="AI1684" s="131"/>
    </row>
    <row r="1685" spans="1:35" ht="26.4">
      <c r="A1685" s="284"/>
      <c r="B1685" s="284"/>
      <c r="C1685" s="284"/>
      <c r="D1685" s="284"/>
      <c r="E1685" s="284"/>
      <c r="F1685" s="284"/>
      <c r="G1685" s="284"/>
      <c r="H1685" s="284"/>
      <c r="I1685" s="284"/>
      <c r="J1685" s="375"/>
      <c r="K1685" s="375"/>
      <c r="L1685" s="375"/>
      <c r="M1685" s="368"/>
      <c r="N1685" s="368"/>
      <c r="O1685" s="370"/>
      <c r="T1685" s="340"/>
      <c r="V1685" s="378"/>
      <c r="W1685" s="64" ph="1"/>
      <c r="X1685" s="241"/>
      <c r="Y1685" s="284"/>
      <c r="Z1685" s="207"/>
      <c r="AA1685" s="284"/>
      <c r="AB1685" s="284"/>
      <c r="AC1685" s="284"/>
      <c r="AD1685" s="284"/>
      <c r="AE1685" s="284"/>
      <c r="AF1685" s="284"/>
      <c r="AG1685" s="284"/>
      <c r="AI1685" s="131"/>
    </row>
    <row r="1686" spans="1:35" ht="26.4">
      <c r="A1686" s="284"/>
      <c r="B1686" s="284"/>
      <c r="C1686" s="284"/>
      <c r="D1686" s="284"/>
      <c r="E1686" s="284"/>
      <c r="F1686" s="284"/>
      <c r="G1686" s="284"/>
      <c r="H1686" s="284"/>
      <c r="I1686" s="284"/>
      <c r="J1686" s="375"/>
      <c r="K1686" s="375"/>
      <c r="L1686" s="375"/>
      <c r="M1686" s="368"/>
      <c r="N1686" s="368"/>
      <c r="O1686" s="370"/>
      <c r="T1686" s="340"/>
      <c r="V1686" s="378"/>
      <c r="W1686" s="64" ph="1"/>
      <c r="X1686" s="241"/>
      <c r="Y1686" s="284"/>
      <c r="Z1686" s="207"/>
      <c r="AA1686" s="284"/>
      <c r="AB1686" s="284"/>
      <c r="AC1686" s="284"/>
      <c r="AD1686" s="284"/>
      <c r="AE1686" s="284"/>
      <c r="AF1686" s="284"/>
      <c r="AG1686" s="284"/>
      <c r="AI1686" s="131"/>
    </row>
    <row r="1687" spans="1:35" ht="26.4">
      <c r="A1687" s="284"/>
      <c r="B1687" s="284"/>
      <c r="C1687" s="284"/>
      <c r="D1687" s="284"/>
      <c r="E1687" s="284"/>
      <c r="F1687" s="284"/>
      <c r="G1687" s="284"/>
      <c r="H1687" s="284"/>
      <c r="I1687" s="284"/>
      <c r="J1687" s="375"/>
      <c r="K1687" s="375"/>
      <c r="L1687" s="375"/>
      <c r="M1687" s="368"/>
      <c r="N1687" s="368"/>
      <c r="O1687" s="370"/>
      <c r="T1687" s="340"/>
      <c r="V1687" s="378"/>
      <c r="W1687" s="64" ph="1"/>
      <c r="X1687" s="241"/>
      <c r="Y1687" s="284"/>
      <c r="Z1687" s="207"/>
      <c r="AA1687" s="284"/>
      <c r="AB1687" s="284"/>
      <c r="AC1687" s="284"/>
      <c r="AD1687" s="284"/>
      <c r="AE1687" s="284"/>
      <c r="AF1687" s="284"/>
      <c r="AG1687" s="284"/>
      <c r="AI1687" s="131"/>
    </row>
    <row r="1688" spans="1:35" ht="26.4">
      <c r="A1688" s="284"/>
      <c r="B1688" s="284"/>
      <c r="C1688" s="284"/>
      <c r="D1688" s="284"/>
      <c r="E1688" s="284"/>
      <c r="F1688" s="284"/>
      <c r="G1688" s="284"/>
      <c r="H1688" s="284"/>
      <c r="I1688" s="284"/>
      <c r="J1688" s="375"/>
      <c r="K1688" s="375"/>
      <c r="L1688" s="375"/>
      <c r="M1688" s="368"/>
      <c r="N1688" s="368"/>
      <c r="O1688" s="370"/>
      <c r="T1688" s="340"/>
      <c r="V1688" s="378"/>
      <c r="W1688" s="64" ph="1"/>
      <c r="X1688" s="241"/>
      <c r="Y1688" s="284"/>
      <c r="Z1688" s="207"/>
      <c r="AA1688" s="284"/>
      <c r="AB1688" s="284"/>
      <c r="AC1688" s="284"/>
      <c r="AD1688" s="284"/>
      <c r="AE1688" s="284"/>
      <c r="AF1688" s="284"/>
      <c r="AG1688" s="284"/>
      <c r="AI1688" s="131"/>
    </row>
    <row r="1689" spans="1:35" ht="26.4">
      <c r="A1689" s="284"/>
      <c r="B1689" s="284"/>
      <c r="C1689" s="284"/>
      <c r="D1689" s="284"/>
      <c r="E1689" s="284"/>
      <c r="F1689" s="284"/>
      <c r="G1689" s="284"/>
      <c r="H1689" s="284"/>
      <c r="I1689" s="284"/>
      <c r="J1689" s="375"/>
      <c r="K1689" s="375"/>
      <c r="L1689" s="375"/>
      <c r="M1689" s="368"/>
      <c r="N1689" s="368"/>
      <c r="O1689" s="370"/>
      <c r="T1689" s="340"/>
      <c r="V1689" s="378"/>
      <c r="W1689" s="64" ph="1"/>
      <c r="X1689" s="241"/>
      <c r="Y1689" s="284"/>
      <c r="Z1689" s="207"/>
      <c r="AA1689" s="284"/>
      <c r="AB1689" s="284"/>
      <c r="AC1689" s="284"/>
      <c r="AD1689" s="284"/>
      <c r="AE1689" s="284"/>
      <c r="AF1689" s="284"/>
      <c r="AG1689" s="284"/>
      <c r="AI1689" s="131"/>
    </row>
    <row r="1690" spans="1:35" ht="26.4">
      <c r="A1690" s="284"/>
      <c r="B1690" s="284"/>
      <c r="C1690" s="284"/>
      <c r="D1690" s="284"/>
      <c r="E1690" s="284"/>
      <c r="F1690" s="284"/>
      <c r="G1690" s="284"/>
      <c r="H1690" s="284"/>
      <c r="I1690" s="284"/>
      <c r="J1690" s="375"/>
      <c r="K1690" s="375"/>
      <c r="L1690" s="375"/>
      <c r="M1690" s="368"/>
      <c r="N1690" s="368"/>
      <c r="O1690" s="370"/>
      <c r="T1690" s="340"/>
      <c r="V1690" s="378"/>
      <c r="W1690" s="64" ph="1"/>
      <c r="X1690" s="241"/>
      <c r="Y1690" s="284"/>
      <c r="Z1690" s="207"/>
      <c r="AA1690" s="284"/>
      <c r="AB1690" s="284"/>
      <c r="AC1690" s="284"/>
      <c r="AD1690" s="284"/>
      <c r="AE1690" s="284"/>
      <c r="AF1690" s="284"/>
      <c r="AG1690" s="284"/>
      <c r="AI1690" s="131"/>
    </row>
    <row r="1691" spans="1:35" ht="26.4">
      <c r="A1691" s="284"/>
      <c r="B1691" s="284"/>
      <c r="C1691" s="284"/>
      <c r="D1691" s="284"/>
      <c r="E1691" s="284"/>
      <c r="F1691" s="284"/>
      <c r="G1691" s="284"/>
      <c r="H1691" s="284"/>
      <c r="I1691" s="284"/>
      <c r="J1691" s="375"/>
      <c r="K1691" s="375"/>
      <c r="L1691" s="375"/>
      <c r="M1691" s="368"/>
      <c r="N1691" s="368"/>
      <c r="O1691" s="370"/>
      <c r="T1691" s="340"/>
      <c r="V1691" s="378"/>
      <c r="W1691" s="64" ph="1"/>
      <c r="X1691" s="241"/>
      <c r="Y1691" s="284"/>
      <c r="Z1691" s="207"/>
      <c r="AA1691" s="284"/>
      <c r="AB1691" s="284"/>
      <c r="AC1691" s="284"/>
      <c r="AD1691" s="284"/>
      <c r="AE1691" s="284"/>
      <c r="AF1691" s="284"/>
      <c r="AG1691" s="284"/>
      <c r="AI1691" s="131"/>
    </row>
    <row r="1692" spans="1:35" ht="26.4">
      <c r="A1692" s="284"/>
      <c r="B1692" s="284"/>
      <c r="C1692" s="284"/>
      <c r="D1692" s="284"/>
      <c r="E1692" s="284"/>
      <c r="F1692" s="284"/>
      <c r="G1692" s="284"/>
      <c r="H1692" s="284"/>
      <c r="I1692" s="284"/>
      <c r="J1692" s="375"/>
      <c r="K1692" s="375"/>
      <c r="L1692" s="375"/>
      <c r="M1692" s="368"/>
      <c r="N1692" s="368"/>
      <c r="O1692" s="370"/>
      <c r="T1692" s="340"/>
      <c r="V1692" s="378"/>
      <c r="W1692" s="64" ph="1"/>
      <c r="X1692" s="241"/>
      <c r="Y1692" s="284"/>
      <c r="Z1692" s="207"/>
      <c r="AA1692" s="284"/>
      <c r="AB1692" s="284"/>
      <c r="AC1692" s="284"/>
      <c r="AD1692" s="284"/>
      <c r="AE1692" s="284"/>
      <c r="AF1692" s="284"/>
      <c r="AG1692" s="284"/>
      <c r="AI1692" s="131"/>
    </row>
    <row r="1693" spans="1:35" ht="26.4">
      <c r="A1693" s="284"/>
      <c r="B1693" s="284"/>
      <c r="C1693" s="284"/>
      <c r="D1693" s="284"/>
      <c r="E1693" s="284"/>
      <c r="F1693" s="284"/>
      <c r="G1693" s="284"/>
      <c r="H1693" s="284"/>
      <c r="I1693" s="284"/>
      <c r="J1693" s="375"/>
      <c r="K1693" s="375"/>
      <c r="L1693" s="375"/>
      <c r="M1693" s="368"/>
      <c r="N1693" s="368"/>
      <c r="O1693" s="370"/>
      <c r="T1693" s="340"/>
      <c r="V1693" s="378"/>
      <c r="W1693" s="64" ph="1"/>
      <c r="X1693" s="241"/>
      <c r="Y1693" s="284"/>
      <c r="Z1693" s="207"/>
      <c r="AA1693" s="284"/>
      <c r="AB1693" s="284"/>
      <c r="AC1693" s="284"/>
      <c r="AD1693" s="284"/>
      <c r="AE1693" s="284"/>
      <c r="AF1693" s="284"/>
      <c r="AG1693" s="284"/>
      <c r="AI1693" s="131"/>
    </row>
    <row r="1694" spans="1:35" ht="26.4">
      <c r="A1694" s="284"/>
      <c r="B1694" s="284"/>
      <c r="C1694" s="284"/>
      <c r="D1694" s="284"/>
      <c r="E1694" s="284"/>
      <c r="F1694" s="284"/>
      <c r="G1694" s="284"/>
      <c r="H1694" s="284"/>
      <c r="I1694" s="284"/>
      <c r="J1694" s="375"/>
      <c r="K1694" s="375"/>
      <c r="L1694" s="375"/>
      <c r="M1694" s="368"/>
      <c r="N1694" s="368"/>
      <c r="O1694" s="370"/>
      <c r="T1694" s="340"/>
      <c r="V1694" s="378"/>
      <c r="W1694" s="64" ph="1"/>
      <c r="X1694" s="241"/>
      <c r="Y1694" s="284"/>
      <c r="Z1694" s="207"/>
      <c r="AA1694" s="284"/>
      <c r="AB1694" s="284"/>
      <c r="AC1694" s="284"/>
      <c r="AD1694" s="284"/>
      <c r="AE1694" s="284"/>
      <c r="AF1694" s="284"/>
      <c r="AG1694" s="284"/>
      <c r="AI1694" s="131"/>
    </row>
    <row r="1695" spans="1:35" ht="26.4">
      <c r="A1695" s="284"/>
      <c r="B1695" s="284"/>
      <c r="C1695" s="284"/>
      <c r="D1695" s="284"/>
      <c r="E1695" s="284"/>
      <c r="F1695" s="284"/>
      <c r="G1695" s="284"/>
      <c r="H1695" s="284"/>
      <c r="I1695" s="284"/>
      <c r="J1695" s="375"/>
      <c r="K1695" s="375"/>
      <c r="L1695" s="375"/>
      <c r="M1695" s="368"/>
      <c r="N1695" s="368"/>
      <c r="O1695" s="370"/>
      <c r="T1695" s="340"/>
      <c r="V1695" s="378"/>
      <c r="W1695" s="64" ph="1"/>
      <c r="X1695" s="241"/>
      <c r="Y1695" s="284"/>
      <c r="Z1695" s="207"/>
      <c r="AA1695" s="284"/>
      <c r="AB1695" s="284"/>
      <c r="AC1695" s="284"/>
      <c r="AD1695" s="284"/>
      <c r="AE1695" s="284"/>
      <c r="AF1695" s="284"/>
      <c r="AG1695" s="284"/>
      <c r="AI1695" s="131"/>
    </row>
    <row r="1696" spans="1:35" ht="26.4">
      <c r="A1696" s="284"/>
      <c r="B1696" s="284"/>
      <c r="C1696" s="284"/>
      <c r="D1696" s="284"/>
      <c r="E1696" s="284"/>
      <c r="F1696" s="284"/>
      <c r="G1696" s="284"/>
      <c r="H1696" s="284"/>
      <c r="I1696" s="284"/>
      <c r="J1696" s="375"/>
      <c r="K1696" s="375"/>
      <c r="L1696" s="375"/>
      <c r="M1696" s="368"/>
      <c r="N1696" s="368"/>
      <c r="O1696" s="370"/>
      <c r="T1696" s="340"/>
      <c r="V1696" s="378"/>
      <c r="W1696" s="64" ph="1"/>
      <c r="X1696" s="241"/>
      <c r="Y1696" s="284"/>
      <c r="Z1696" s="207"/>
      <c r="AA1696" s="284"/>
      <c r="AB1696" s="284"/>
      <c r="AC1696" s="284"/>
      <c r="AD1696" s="284"/>
      <c r="AE1696" s="284"/>
      <c r="AF1696" s="284"/>
      <c r="AG1696" s="284"/>
      <c r="AI1696" s="131"/>
    </row>
    <row r="1697" spans="1:35" ht="26.4">
      <c r="A1697" s="284"/>
      <c r="B1697" s="284"/>
      <c r="C1697" s="284"/>
      <c r="D1697" s="284"/>
      <c r="E1697" s="284"/>
      <c r="F1697" s="284"/>
      <c r="G1697" s="284"/>
      <c r="H1697" s="284"/>
      <c r="I1697" s="284"/>
      <c r="J1697" s="375"/>
      <c r="K1697" s="375"/>
      <c r="L1697" s="375"/>
      <c r="M1697" s="368"/>
      <c r="N1697" s="368"/>
      <c r="O1697" s="370"/>
      <c r="T1697" s="340"/>
      <c r="V1697" s="378"/>
      <c r="W1697" s="64" ph="1"/>
      <c r="X1697" s="241"/>
      <c r="Y1697" s="284"/>
      <c r="Z1697" s="207"/>
      <c r="AA1697" s="284"/>
      <c r="AB1697" s="284"/>
      <c r="AC1697" s="284"/>
      <c r="AD1697" s="284"/>
      <c r="AE1697" s="284"/>
      <c r="AF1697" s="284"/>
      <c r="AG1697" s="284"/>
      <c r="AI1697" s="131"/>
    </row>
    <row r="1698" spans="1:35" ht="26.4">
      <c r="A1698" s="284"/>
      <c r="B1698" s="284"/>
      <c r="C1698" s="284"/>
      <c r="D1698" s="284"/>
      <c r="E1698" s="284"/>
      <c r="F1698" s="284"/>
      <c r="G1698" s="284"/>
      <c r="H1698" s="284"/>
      <c r="I1698" s="284"/>
      <c r="J1698" s="375"/>
      <c r="K1698" s="375"/>
      <c r="L1698" s="375"/>
      <c r="M1698" s="368"/>
      <c r="N1698" s="368"/>
      <c r="O1698" s="370"/>
      <c r="T1698" s="340"/>
      <c r="V1698" s="378"/>
      <c r="W1698" s="64" ph="1"/>
      <c r="X1698" s="241"/>
      <c r="Y1698" s="284"/>
      <c r="Z1698" s="207"/>
      <c r="AA1698" s="284"/>
      <c r="AB1698" s="284"/>
      <c r="AC1698" s="284"/>
      <c r="AD1698" s="284"/>
      <c r="AE1698" s="284"/>
      <c r="AF1698" s="284"/>
      <c r="AG1698" s="284"/>
      <c r="AI1698" s="131"/>
    </row>
    <row r="1699" spans="1:35" ht="26.4">
      <c r="A1699" s="284"/>
      <c r="B1699" s="284"/>
      <c r="C1699" s="284"/>
      <c r="D1699" s="284"/>
      <c r="E1699" s="284"/>
      <c r="F1699" s="284"/>
      <c r="G1699" s="284"/>
      <c r="H1699" s="284"/>
      <c r="I1699" s="284"/>
      <c r="J1699" s="375"/>
      <c r="K1699" s="375"/>
      <c r="L1699" s="375"/>
      <c r="M1699" s="368"/>
      <c r="N1699" s="368"/>
      <c r="O1699" s="370"/>
      <c r="T1699" s="340"/>
      <c r="V1699" s="378"/>
      <c r="W1699" s="64" ph="1"/>
      <c r="X1699" s="241"/>
      <c r="Y1699" s="284"/>
      <c r="Z1699" s="207"/>
      <c r="AA1699" s="284"/>
      <c r="AB1699" s="284"/>
      <c r="AC1699" s="284"/>
      <c r="AD1699" s="284"/>
      <c r="AE1699" s="284"/>
      <c r="AF1699" s="284"/>
      <c r="AG1699" s="284"/>
      <c r="AI1699" s="131"/>
    </row>
    <row r="1700" spans="1:35" ht="26.4">
      <c r="A1700" s="284"/>
      <c r="B1700" s="284"/>
      <c r="C1700" s="284"/>
      <c r="D1700" s="284"/>
      <c r="E1700" s="284"/>
      <c r="F1700" s="284"/>
      <c r="G1700" s="284"/>
      <c r="H1700" s="284"/>
      <c r="I1700" s="284"/>
      <c r="J1700" s="375"/>
      <c r="K1700" s="375"/>
      <c r="L1700" s="375"/>
      <c r="M1700" s="368"/>
      <c r="N1700" s="368"/>
      <c r="O1700" s="370"/>
      <c r="T1700" s="340"/>
      <c r="V1700" s="378"/>
      <c r="W1700" s="64" ph="1"/>
      <c r="X1700" s="241"/>
      <c r="Y1700" s="284"/>
      <c r="Z1700" s="207"/>
      <c r="AA1700" s="284"/>
      <c r="AB1700" s="284"/>
      <c r="AC1700" s="284"/>
      <c r="AD1700" s="284"/>
      <c r="AE1700" s="284"/>
      <c r="AF1700" s="284"/>
      <c r="AG1700" s="284"/>
      <c r="AI1700" s="131"/>
    </row>
    <row r="1701" spans="1:35" ht="26.4">
      <c r="A1701" s="284"/>
      <c r="B1701" s="284"/>
      <c r="C1701" s="284"/>
      <c r="D1701" s="284"/>
      <c r="E1701" s="284"/>
      <c r="F1701" s="284"/>
      <c r="G1701" s="284"/>
      <c r="H1701" s="284"/>
      <c r="I1701" s="284"/>
      <c r="J1701" s="375"/>
      <c r="K1701" s="375"/>
      <c r="L1701" s="375"/>
      <c r="M1701" s="368"/>
      <c r="N1701" s="368"/>
      <c r="O1701" s="370"/>
      <c r="T1701" s="340"/>
      <c r="V1701" s="378"/>
      <c r="W1701" s="64" ph="1"/>
      <c r="X1701" s="241"/>
      <c r="Y1701" s="284"/>
      <c r="Z1701" s="207"/>
      <c r="AA1701" s="284"/>
      <c r="AB1701" s="284"/>
      <c r="AC1701" s="284"/>
      <c r="AD1701" s="284"/>
      <c r="AE1701" s="284"/>
      <c r="AF1701" s="284"/>
      <c r="AG1701" s="284"/>
      <c r="AI1701" s="131"/>
    </row>
    <row r="1702" spans="1:35" ht="26.4">
      <c r="A1702" s="284"/>
      <c r="B1702" s="284"/>
      <c r="C1702" s="284"/>
      <c r="D1702" s="284"/>
      <c r="E1702" s="284"/>
      <c r="F1702" s="284"/>
      <c r="G1702" s="284"/>
      <c r="H1702" s="284"/>
      <c r="I1702" s="284"/>
      <c r="J1702" s="375"/>
      <c r="K1702" s="375"/>
      <c r="L1702" s="375"/>
      <c r="M1702" s="368"/>
      <c r="N1702" s="368"/>
      <c r="O1702" s="370"/>
      <c r="T1702" s="340"/>
      <c r="V1702" s="378"/>
      <c r="W1702" s="64" ph="1"/>
      <c r="X1702" s="241"/>
      <c r="Y1702" s="284"/>
      <c r="Z1702" s="207"/>
      <c r="AA1702" s="284"/>
      <c r="AB1702" s="284"/>
      <c r="AC1702" s="284"/>
      <c r="AD1702" s="284"/>
      <c r="AE1702" s="284"/>
      <c r="AF1702" s="284"/>
      <c r="AG1702" s="284"/>
      <c r="AI1702" s="131"/>
    </row>
    <row r="1703" spans="1:35" ht="26.4">
      <c r="A1703" s="284"/>
      <c r="B1703" s="284"/>
      <c r="C1703" s="284"/>
      <c r="D1703" s="284"/>
      <c r="E1703" s="284"/>
      <c r="F1703" s="284"/>
      <c r="G1703" s="284"/>
      <c r="H1703" s="284"/>
      <c r="I1703" s="284"/>
      <c r="J1703" s="375"/>
      <c r="K1703" s="375"/>
      <c r="L1703" s="375"/>
      <c r="M1703" s="368"/>
      <c r="N1703" s="368"/>
      <c r="O1703" s="370"/>
      <c r="T1703" s="340"/>
      <c r="V1703" s="378"/>
      <c r="W1703" s="64" ph="1"/>
      <c r="X1703" s="241"/>
      <c r="Y1703" s="284"/>
      <c r="Z1703" s="207"/>
      <c r="AA1703" s="284"/>
      <c r="AB1703" s="284"/>
      <c r="AC1703" s="284"/>
      <c r="AD1703" s="284"/>
      <c r="AE1703" s="284"/>
      <c r="AF1703" s="284"/>
      <c r="AG1703" s="284"/>
      <c r="AI1703" s="131"/>
    </row>
    <row r="1704" spans="1:35" ht="26.4">
      <c r="A1704" s="284"/>
      <c r="B1704" s="284"/>
      <c r="C1704" s="284"/>
      <c r="D1704" s="284"/>
      <c r="E1704" s="284"/>
      <c r="F1704" s="284"/>
      <c r="G1704" s="284"/>
      <c r="H1704" s="284"/>
      <c r="I1704" s="284"/>
      <c r="J1704" s="375"/>
      <c r="K1704" s="375"/>
      <c r="L1704" s="375"/>
      <c r="M1704" s="368"/>
      <c r="N1704" s="368"/>
      <c r="O1704" s="370"/>
      <c r="T1704" s="340"/>
      <c r="V1704" s="378"/>
      <c r="W1704" s="64" ph="1"/>
      <c r="X1704" s="241"/>
      <c r="Y1704" s="284"/>
      <c r="Z1704" s="207"/>
      <c r="AA1704" s="284"/>
      <c r="AB1704" s="284"/>
      <c r="AC1704" s="284"/>
      <c r="AD1704" s="284"/>
      <c r="AE1704" s="284"/>
      <c r="AF1704" s="284"/>
      <c r="AG1704" s="284"/>
      <c r="AI1704" s="131"/>
    </row>
    <row r="1705" spans="1:35" ht="26.4">
      <c r="A1705" s="284"/>
      <c r="B1705" s="284"/>
      <c r="C1705" s="284"/>
      <c r="D1705" s="284"/>
      <c r="E1705" s="284"/>
      <c r="F1705" s="284"/>
      <c r="G1705" s="284"/>
      <c r="H1705" s="284"/>
      <c r="I1705" s="284"/>
      <c r="J1705" s="375"/>
      <c r="K1705" s="375"/>
      <c r="L1705" s="375"/>
      <c r="M1705" s="368"/>
      <c r="N1705" s="368"/>
      <c r="O1705" s="370"/>
      <c r="T1705" s="340"/>
      <c r="V1705" s="378"/>
      <c r="W1705" s="64" ph="1"/>
      <c r="X1705" s="241"/>
      <c r="Y1705" s="284"/>
      <c r="Z1705" s="207"/>
      <c r="AA1705" s="284"/>
      <c r="AB1705" s="284"/>
      <c r="AC1705" s="284"/>
      <c r="AD1705" s="284"/>
      <c r="AE1705" s="284"/>
      <c r="AF1705" s="284"/>
      <c r="AG1705" s="284"/>
      <c r="AI1705" s="131"/>
    </row>
    <row r="1706" spans="1:35" ht="26.4">
      <c r="A1706" s="284"/>
      <c r="B1706" s="284"/>
      <c r="C1706" s="284"/>
      <c r="D1706" s="284"/>
      <c r="E1706" s="284"/>
      <c r="F1706" s="284"/>
      <c r="G1706" s="284"/>
      <c r="H1706" s="284"/>
      <c r="I1706" s="284"/>
      <c r="J1706" s="375"/>
      <c r="K1706" s="375"/>
      <c r="L1706" s="375"/>
      <c r="M1706" s="368"/>
      <c r="N1706" s="368"/>
      <c r="O1706" s="370"/>
      <c r="T1706" s="340"/>
      <c r="V1706" s="378"/>
      <c r="W1706" s="64" ph="1"/>
      <c r="X1706" s="241"/>
      <c r="Y1706" s="284"/>
      <c r="Z1706" s="207"/>
      <c r="AA1706" s="284"/>
      <c r="AB1706" s="284"/>
      <c r="AC1706" s="284"/>
      <c r="AD1706" s="284"/>
      <c r="AE1706" s="284"/>
      <c r="AF1706" s="284"/>
      <c r="AG1706" s="284"/>
      <c r="AI1706" s="131"/>
    </row>
    <row r="1707" spans="1:35" ht="26.4">
      <c r="A1707" s="284"/>
      <c r="B1707" s="284"/>
      <c r="C1707" s="284"/>
      <c r="D1707" s="284"/>
      <c r="E1707" s="284"/>
      <c r="F1707" s="284"/>
      <c r="G1707" s="284"/>
      <c r="H1707" s="284"/>
      <c r="I1707" s="284"/>
      <c r="J1707" s="375"/>
      <c r="K1707" s="375"/>
      <c r="L1707" s="375"/>
      <c r="M1707" s="368"/>
      <c r="N1707" s="368"/>
      <c r="O1707" s="370"/>
      <c r="T1707" s="340"/>
      <c r="V1707" s="378"/>
      <c r="W1707" s="64" ph="1"/>
      <c r="X1707" s="241"/>
      <c r="Y1707" s="284"/>
      <c r="Z1707" s="207"/>
      <c r="AA1707" s="284"/>
      <c r="AB1707" s="284"/>
      <c r="AC1707" s="284"/>
      <c r="AD1707" s="284"/>
      <c r="AE1707" s="284"/>
      <c r="AF1707" s="284"/>
      <c r="AG1707" s="284"/>
      <c r="AI1707" s="131"/>
    </row>
    <row r="1708" spans="1:35" ht="26.4">
      <c r="A1708" s="284"/>
      <c r="B1708" s="284"/>
      <c r="C1708" s="284"/>
      <c r="D1708" s="284"/>
      <c r="E1708" s="284"/>
      <c r="F1708" s="284"/>
      <c r="G1708" s="284"/>
      <c r="H1708" s="284"/>
      <c r="I1708" s="284"/>
      <c r="J1708" s="375"/>
      <c r="K1708" s="375"/>
      <c r="L1708" s="375"/>
      <c r="M1708" s="368"/>
      <c r="N1708" s="368"/>
      <c r="O1708" s="370"/>
      <c r="T1708" s="340"/>
      <c r="V1708" s="378"/>
      <c r="W1708" s="64" ph="1"/>
      <c r="X1708" s="241"/>
      <c r="Y1708" s="284"/>
      <c r="Z1708" s="207"/>
      <c r="AA1708" s="284"/>
      <c r="AB1708" s="284"/>
      <c r="AC1708" s="284"/>
      <c r="AD1708" s="284"/>
      <c r="AE1708" s="284"/>
      <c r="AF1708" s="284"/>
      <c r="AG1708" s="284"/>
      <c r="AI1708" s="131"/>
    </row>
    <row r="1709" spans="1:35" ht="26.4">
      <c r="A1709" s="284"/>
      <c r="B1709" s="284"/>
      <c r="C1709" s="284"/>
      <c r="D1709" s="284"/>
      <c r="E1709" s="284"/>
      <c r="F1709" s="284"/>
      <c r="G1709" s="284"/>
      <c r="H1709" s="284"/>
      <c r="I1709" s="284"/>
      <c r="J1709" s="375"/>
      <c r="K1709" s="375"/>
      <c r="L1709" s="375"/>
      <c r="M1709" s="368"/>
      <c r="N1709" s="368"/>
      <c r="O1709" s="370"/>
      <c r="T1709" s="340"/>
      <c r="V1709" s="378"/>
      <c r="W1709" s="64" ph="1"/>
      <c r="X1709" s="241"/>
      <c r="Y1709" s="284"/>
      <c r="Z1709" s="207"/>
      <c r="AA1709" s="284"/>
      <c r="AB1709" s="284"/>
      <c r="AC1709" s="284"/>
      <c r="AD1709" s="284"/>
      <c r="AE1709" s="284"/>
      <c r="AF1709" s="284"/>
      <c r="AG1709" s="284"/>
      <c r="AI1709" s="131"/>
    </row>
    <row r="1710" spans="1:35" ht="26.4">
      <c r="A1710" s="284"/>
      <c r="B1710" s="284"/>
      <c r="C1710" s="284"/>
      <c r="D1710" s="284"/>
      <c r="E1710" s="284"/>
      <c r="F1710" s="284"/>
      <c r="G1710" s="284"/>
      <c r="H1710" s="284"/>
      <c r="I1710" s="284"/>
      <c r="J1710" s="375"/>
      <c r="K1710" s="375"/>
      <c r="L1710" s="375"/>
      <c r="M1710" s="368"/>
      <c r="N1710" s="368"/>
      <c r="O1710" s="370"/>
      <c r="T1710" s="340"/>
      <c r="V1710" s="378"/>
      <c r="W1710" s="64" ph="1"/>
      <c r="X1710" s="241"/>
      <c r="Y1710" s="284"/>
      <c r="Z1710" s="207"/>
      <c r="AA1710" s="284"/>
      <c r="AB1710" s="284"/>
      <c r="AC1710" s="284"/>
      <c r="AD1710" s="284"/>
      <c r="AE1710" s="284"/>
      <c r="AF1710" s="284"/>
      <c r="AG1710" s="284"/>
      <c r="AI1710" s="131"/>
    </row>
    <row r="1711" spans="1:35" ht="26.4">
      <c r="A1711" s="284"/>
      <c r="B1711" s="284"/>
      <c r="C1711" s="284"/>
      <c r="D1711" s="284"/>
      <c r="E1711" s="284"/>
      <c r="F1711" s="284"/>
      <c r="G1711" s="284"/>
      <c r="H1711" s="284"/>
      <c r="I1711" s="284"/>
      <c r="J1711" s="375"/>
      <c r="K1711" s="375"/>
      <c r="L1711" s="375"/>
      <c r="M1711" s="368"/>
      <c r="N1711" s="368"/>
      <c r="O1711" s="370"/>
      <c r="T1711" s="340"/>
      <c r="V1711" s="378"/>
      <c r="W1711" s="64" ph="1"/>
      <c r="X1711" s="241"/>
      <c r="Y1711" s="284"/>
      <c r="Z1711" s="207"/>
      <c r="AA1711" s="284"/>
      <c r="AB1711" s="284"/>
      <c r="AC1711" s="284"/>
      <c r="AD1711" s="284"/>
      <c r="AE1711" s="284"/>
      <c r="AF1711" s="284"/>
      <c r="AG1711" s="284"/>
      <c r="AI1711" s="131"/>
    </row>
    <row r="1712" spans="1:35" ht="26.4">
      <c r="A1712" s="284"/>
      <c r="B1712" s="284"/>
      <c r="C1712" s="284"/>
      <c r="D1712" s="284"/>
      <c r="E1712" s="284"/>
      <c r="F1712" s="284"/>
      <c r="G1712" s="284"/>
      <c r="H1712" s="284"/>
      <c r="I1712" s="284"/>
      <c r="J1712" s="375"/>
      <c r="K1712" s="375"/>
      <c r="L1712" s="375"/>
      <c r="M1712" s="368"/>
      <c r="N1712" s="368"/>
      <c r="O1712" s="370"/>
      <c r="T1712" s="340"/>
      <c r="V1712" s="378"/>
      <c r="W1712" s="64" ph="1"/>
      <c r="X1712" s="241"/>
      <c r="Y1712" s="284"/>
      <c r="Z1712" s="207"/>
      <c r="AA1712" s="284"/>
      <c r="AB1712" s="284"/>
      <c r="AC1712" s="284"/>
      <c r="AD1712" s="284"/>
      <c r="AE1712" s="284"/>
      <c r="AF1712" s="284"/>
      <c r="AG1712" s="284"/>
      <c r="AI1712" s="131"/>
    </row>
    <row r="1713" spans="1:35" ht="26.4">
      <c r="A1713" s="284"/>
      <c r="B1713" s="284"/>
      <c r="C1713" s="284"/>
      <c r="D1713" s="284"/>
      <c r="E1713" s="284"/>
      <c r="F1713" s="284"/>
      <c r="G1713" s="284"/>
      <c r="H1713" s="284"/>
      <c r="I1713" s="284"/>
      <c r="J1713" s="375"/>
      <c r="K1713" s="375"/>
      <c r="L1713" s="375"/>
      <c r="M1713" s="368"/>
      <c r="N1713" s="368"/>
      <c r="O1713" s="370"/>
      <c r="T1713" s="340"/>
      <c r="V1713" s="378"/>
      <c r="W1713" s="64" ph="1"/>
      <c r="X1713" s="241"/>
      <c r="Y1713" s="284"/>
      <c r="Z1713" s="207"/>
      <c r="AA1713" s="284"/>
      <c r="AB1713" s="284"/>
      <c r="AC1713" s="284"/>
      <c r="AD1713" s="284"/>
      <c r="AE1713" s="284"/>
      <c r="AF1713" s="284"/>
      <c r="AG1713" s="284"/>
      <c r="AI1713" s="131"/>
    </row>
    <row r="1714" spans="1:35" ht="26.4">
      <c r="A1714" s="284"/>
      <c r="B1714" s="284"/>
      <c r="C1714" s="284"/>
      <c r="D1714" s="284"/>
      <c r="E1714" s="284"/>
      <c r="F1714" s="284"/>
      <c r="G1714" s="284"/>
      <c r="H1714" s="284"/>
      <c r="I1714" s="284"/>
      <c r="J1714" s="375"/>
      <c r="K1714" s="375"/>
      <c r="L1714" s="375"/>
      <c r="M1714" s="368"/>
      <c r="N1714" s="368"/>
      <c r="O1714" s="370"/>
      <c r="T1714" s="340"/>
      <c r="V1714" s="378"/>
      <c r="W1714" s="64" ph="1"/>
      <c r="X1714" s="241"/>
      <c r="Y1714" s="284"/>
      <c r="Z1714" s="207"/>
      <c r="AA1714" s="284"/>
      <c r="AB1714" s="284"/>
      <c r="AC1714" s="284"/>
      <c r="AD1714" s="284"/>
      <c r="AE1714" s="284"/>
      <c r="AF1714" s="284"/>
      <c r="AG1714" s="284"/>
      <c r="AI1714" s="131"/>
    </row>
    <row r="1715" spans="1:35" ht="26.4">
      <c r="A1715" s="284"/>
      <c r="B1715" s="284"/>
      <c r="C1715" s="284"/>
      <c r="D1715" s="284"/>
      <c r="E1715" s="284"/>
      <c r="F1715" s="284"/>
      <c r="G1715" s="284"/>
      <c r="H1715" s="284"/>
      <c r="I1715" s="284"/>
      <c r="J1715" s="375"/>
      <c r="K1715" s="375"/>
      <c r="L1715" s="375"/>
      <c r="M1715" s="368"/>
      <c r="N1715" s="368"/>
      <c r="O1715" s="370"/>
      <c r="T1715" s="340"/>
      <c r="V1715" s="378"/>
      <c r="W1715" s="64" ph="1"/>
      <c r="X1715" s="241"/>
      <c r="Y1715" s="284"/>
      <c r="Z1715" s="207"/>
      <c r="AA1715" s="284"/>
      <c r="AB1715" s="284"/>
      <c r="AC1715" s="284"/>
      <c r="AD1715" s="284"/>
      <c r="AE1715" s="284"/>
      <c r="AF1715" s="284"/>
      <c r="AG1715" s="284"/>
      <c r="AI1715" s="131"/>
    </row>
    <row r="1716" spans="1:35" ht="26.4">
      <c r="A1716" s="284"/>
      <c r="B1716" s="284"/>
      <c r="C1716" s="284"/>
      <c r="D1716" s="284"/>
      <c r="E1716" s="284"/>
      <c r="F1716" s="284"/>
      <c r="G1716" s="284"/>
      <c r="H1716" s="284"/>
      <c r="I1716" s="284"/>
      <c r="J1716" s="375"/>
      <c r="K1716" s="375"/>
      <c r="L1716" s="375"/>
      <c r="M1716" s="368"/>
      <c r="N1716" s="368"/>
      <c r="O1716" s="370"/>
      <c r="T1716" s="340"/>
      <c r="V1716" s="378"/>
      <c r="W1716" s="64" ph="1"/>
      <c r="X1716" s="241"/>
      <c r="Y1716" s="284"/>
      <c r="Z1716" s="207"/>
      <c r="AA1716" s="284"/>
      <c r="AB1716" s="284"/>
      <c r="AC1716" s="284"/>
      <c r="AD1716" s="284"/>
      <c r="AE1716" s="284"/>
      <c r="AF1716" s="284"/>
      <c r="AG1716" s="284"/>
      <c r="AI1716" s="131"/>
    </row>
    <row r="1717" spans="1:35" ht="26.4">
      <c r="A1717" s="284"/>
      <c r="B1717" s="284"/>
      <c r="C1717" s="284"/>
      <c r="D1717" s="284"/>
      <c r="E1717" s="284"/>
      <c r="F1717" s="284"/>
      <c r="G1717" s="284"/>
      <c r="H1717" s="284"/>
      <c r="I1717" s="284"/>
      <c r="J1717" s="375"/>
      <c r="K1717" s="375"/>
      <c r="L1717" s="375"/>
      <c r="M1717" s="368"/>
      <c r="N1717" s="368"/>
      <c r="O1717" s="370"/>
      <c r="T1717" s="340"/>
      <c r="V1717" s="378"/>
      <c r="W1717" s="64" ph="1"/>
      <c r="X1717" s="241"/>
      <c r="Y1717" s="284"/>
      <c r="Z1717" s="207"/>
      <c r="AA1717" s="284"/>
      <c r="AB1717" s="284"/>
      <c r="AC1717" s="284"/>
      <c r="AD1717" s="284"/>
      <c r="AE1717" s="284"/>
      <c r="AF1717" s="284"/>
      <c r="AG1717" s="284"/>
      <c r="AI1717" s="131"/>
    </row>
    <row r="1718" spans="1:35" ht="26.4">
      <c r="A1718" s="284"/>
      <c r="B1718" s="284"/>
      <c r="C1718" s="284"/>
      <c r="D1718" s="284"/>
      <c r="E1718" s="284"/>
      <c r="F1718" s="284"/>
      <c r="G1718" s="284"/>
      <c r="H1718" s="284"/>
      <c r="I1718" s="284"/>
      <c r="J1718" s="375"/>
      <c r="K1718" s="375"/>
      <c r="L1718" s="375"/>
      <c r="M1718" s="368"/>
      <c r="N1718" s="368"/>
      <c r="O1718" s="370"/>
      <c r="T1718" s="340"/>
      <c r="V1718" s="378"/>
      <c r="W1718" s="64" ph="1"/>
      <c r="X1718" s="241"/>
      <c r="Y1718" s="284"/>
      <c r="Z1718" s="207"/>
      <c r="AA1718" s="284"/>
      <c r="AB1718" s="284"/>
      <c r="AC1718" s="284"/>
      <c r="AD1718" s="284"/>
      <c r="AE1718" s="284"/>
      <c r="AF1718" s="284"/>
      <c r="AG1718" s="284"/>
      <c r="AI1718" s="131"/>
    </row>
    <row r="1719" spans="1:35" ht="26.4">
      <c r="A1719" s="284"/>
      <c r="B1719" s="284"/>
      <c r="C1719" s="284"/>
      <c r="D1719" s="284"/>
      <c r="E1719" s="284"/>
      <c r="F1719" s="284"/>
      <c r="G1719" s="284"/>
      <c r="H1719" s="284"/>
      <c r="I1719" s="284"/>
      <c r="J1719" s="375"/>
      <c r="K1719" s="375"/>
      <c r="L1719" s="375"/>
      <c r="M1719" s="368"/>
      <c r="N1719" s="368"/>
      <c r="O1719" s="370"/>
      <c r="T1719" s="340"/>
      <c r="V1719" s="378"/>
      <c r="W1719" s="64" ph="1"/>
      <c r="X1719" s="241"/>
      <c r="Y1719" s="284"/>
      <c r="Z1719" s="207"/>
      <c r="AA1719" s="284"/>
      <c r="AB1719" s="284"/>
      <c r="AC1719" s="284"/>
      <c r="AD1719" s="284"/>
      <c r="AE1719" s="284"/>
      <c r="AF1719" s="284"/>
      <c r="AG1719" s="284"/>
      <c r="AI1719" s="131"/>
    </row>
    <row r="1720" spans="1:35" ht="26.4">
      <c r="A1720" s="284"/>
      <c r="B1720" s="284"/>
      <c r="C1720" s="284"/>
      <c r="D1720" s="284"/>
      <c r="E1720" s="284"/>
      <c r="F1720" s="284"/>
      <c r="G1720" s="284"/>
      <c r="H1720" s="284"/>
      <c r="I1720" s="284"/>
      <c r="J1720" s="375"/>
      <c r="K1720" s="375"/>
      <c r="L1720" s="375"/>
      <c r="M1720" s="368"/>
      <c r="N1720" s="368"/>
      <c r="O1720" s="370"/>
      <c r="T1720" s="340"/>
      <c r="V1720" s="378"/>
      <c r="W1720" s="64" ph="1"/>
      <c r="X1720" s="241"/>
      <c r="Y1720" s="284"/>
      <c r="Z1720" s="207"/>
      <c r="AA1720" s="284"/>
      <c r="AB1720" s="284"/>
      <c r="AC1720" s="284"/>
      <c r="AD1720" s="284"/>
      <c r="AE1720" s="284"/>
      <c r="AF1720" s="284"/>
      <c r="AG1720" s="284"/>
      <c r="AI1720" s="131"/>
    </row>
    <row r="1721" spans="1:35" ht="26.4">
      <c r="A1721" s="284"/>
      <c r="B1721" s="284"/>
      <c r="C1721" s="284"/>
      <c r="D1721" s="284"/>
      <c r="E1721" s="284"/>
      <c r="F1721" s="284"/>
      <c r="G1721" s="284"/>
      <c r="H1721" s="284"/>
      <c r="I1721" s="284"/>
      <c r="J1721" s="375"/>
      <c r="K1721" s="375"/>
      <c r="L1721" s="375"/>
      <c r="M1721" s="368"/>
      <c r="N1721" s="368"/>
      <c r="O1721" s="370"/>
      <c r="T1721" s="340"/>
      <c r="V1721" s="378"/>
      <c r="W1721" s="64" ph="1"/>
      <c r="X1721" s="241"/>
      <c r="Y1721" s="284"/>
      <c r="Z1721" s="207"/>
      <c r="AA1721" s="284"/>
      <c r="AB1721" s="284"/>
      <c r="AC1721" s="284"/>
      <c r="AD1721" s="284"/>
      <c r="AE1721" s="284"/>
      <c r="AF1721" s="284"/>
      <c r="AG1721" s="284"/>
      <c r="AI1721" s="284"/>
    </row>
    <row r="1722" spans="1:35" ht="26.4">
      <c r="A1722" s="284"/>
      <c r="B1722" s="284"/>
      <c r="C1722" s="284"/>
      <c r="D1722" s="284"/>
      <c r="E1722" s="284"/>
      <c r="F1722" s="284"/>
      <c r="G1722" s="284"/>
      <c r="H1722" s="284"/>
      <c r="I1722" s="284"/>
      <c r="J1722" s="375"/>
      <c r="K1722" s="375"/>
      <c r="L1722" s="375"/>
      <c r="M1722" s="368"/>
      <c r="N1722" s="368"/>
      <c r="O1722" s="370"/>
      <c r="T1722" s="340"/>
      <c r="V1722" s="378"/>
      <c r="W1722" s="64" ph="1"/>
      <c r="X1722" s="241"/>
      <c r="Y1722" s="284"/>
      <c r="Z1722" s="207"/>
      <c r="AA1722" s="284"/>
      <c r="AB1722" s="284"/>
      <c r="AC1722" s="284"/>
      <c r="AD1722" s="284"/>
      <c r="AE1722" s="284"/>
      <c r="AF1722" s="284"/>
      <c r="AG1722" s="284"/>
      <c r="AI1722" s="131"/>
    </row>
    <row r="1723" spans="1:35" ht="26.4">
      <c r="A1723" s="284"/>
      <c r="B1723" s="284"/>
      <c r="C1723" s="284"/>
      <c r="D1723" s="284"/>
      <c r="E1723" s="284"/>
      <c r="F1723" s="284"/>
      <c r="G1723" s="284"/>
      <c r="H1723" s="284"/>
      <c r="I1723" s="284"/>
      <c r="J1723" s="375"/>
      <c r="K1723" s="375"/>
      <c r="L1723" s="375"/>
      <c r="M1723" s="368"/>
      <c r="N1723" s="368"/>
      <c r="O1723" s="370"/>
      <c r="T1723" s="340"/>
      <c r="V1723" s="378"/>
      <c r="W1723" s="64" ph="1"/>
      <c r="X1723" s="241"/>
      <c r="Y1723" s="284"/>
      <c r="Z1723" s="207"/>
      <c r="AA1723" s="284"/>
      <c r="AB1723" s="284"/>
      <c r="AC1723" s="284"/>
      <c r="AD1723" s="284"/>
      <c r="AE1723" s="284"/>
      <c r="AF1723" s="284"/>
      <c r="AG1723" s="284"/>
      <c r="AI1723" s="131"/>
    </row>
    <row r="1724" spans="1:35" ht="26.4">
      <c r="A1724" s="284"/>
      <c r="B1724" s="284"/>
      <c r="C1724" s="284"/>
      <c r="D1724" s="284"/>
      <c r="E1724" s="284"/>
      <c r="F1724" s="284"/>
      <c r="G1724" s="284"/>
      <c r="H1724" s="284"/>
      <c r="I1724" s="284"/>
      <c r="J1724" s="375"/>
      <c r="K1724" s="375"/>
      <c r="L1724" s="375"/>
      <c r="M1724" s="368"/>
      <c r="N1724" s="368"/>
      <c r="O1724" s="370"/>
      <c r="T1724" s="340"/>
      <c r="V1724" s="378"/>
      <c r="W1724" s="64" ph="1"/>
      <c r="X1724" s="241"/>
      <c r="Y1724" s="284"/>
      <c r="Z1724" s="207"/>
      <c r="AA1724" s="284"/>
      <c r="AB1724" s="284"/>
      <c r="AC1724" s="284"/>
      <c r="AD1724" s="284"/>
      <c r="AE1724" s="284"/>
      <c r="AF1724" s="284"/>
      <c r="AG1724" s="284"/>
      <c r="AI1724" s="131"/>
    </row>
    <row r="1725" spans="1:35" ht="26.4">
      <c r="A1725" s="284"/>
      <c r="B1725" s="284"/>
      <c r="C1725" s="284"/>
      <c r="D1725" s="284"/>
      <c r="E1725" s="284"/>
      <c r="F1725" s="284"/>
      <c r="G1725" s="284"/>
      <c r="H1725" s="284"/>
      <c r="I1725" s="284"/>
      <c r="J1725" s="375"/>
      <c r="K1725" s="375"/>
      <c r="L1725" s="375"/>
      <c r="M1725" s="368"/>
      <c r="N1725" s="368"/>
      <c r="O1725" s="370"/>
      <c r="T1725" s="340"/>
      <c r="V1725" s="378"/>
      <c r="W1725" s="64" ph="1"/>
      <c r="X1725" s="241"/>
      <c r="Y1725" s="284"/>
      <c r="Z1725" s="207"/>
      <c r="AA1725" s="284"/>
      <c r="AB1725" s="284"/>
      <c r="AC1725" s="284"/>
      <c r="AD1725" s="284"/>
      <c r="AE1725" s="284"/>
      <c r="AF1725" s="284"/>
      <c r="AG1725" s="284"/>
      <c r="AI1725" s="131"/>
    </row>
    <row r="1726" spans="1:35" ht="26.4">
      <c r="A1726" s="284"/>
      <c r="B1726" s="284"/>
      <c r="C1726" s="284"/>
      <c r="D1726" s="284"/>
      <c r="E1726" s="284"/>
      <c r="F1726" s="284"/>
      <c r="G1726" s="284"/>
      <c r="H1726" s="284"/>
      <c r="I1726" s="284"/>
      <c r="J1726" s="375"/>
      <c r="K1726" s="375"/>
      <c r="L1726" s="375"/>
      <c r="M1726" s="368"/>
      <c r="N1726" s="368"/>
      <c r="O1726" s="370"/>
      <c r="T1726" s="340"/>
      <c r="V1726" s="378"/>
      <c r="W1726" s="64" ph="1"/>
      <c r="X1726" s="241"/>
      <c r="Y1726" s="284"/>
      <c r="Z1726" s="207"/>
      <c r="AA1726" s="284"/>
      <c r="AB1726" s="284"/>
      <c r="AC1726" s="284"/>
      <c r="AD1726" s="284"/>
      <c r="AE1726" s="284"/>
      <c r="AF1726" s="284"/>
      <c r="AG1726" s="284"/>
      <c r="AI1726" s="131"/>
    </row>
    <row r="1727" spans="1:35" ht="26.4">
      <c r="A1727" s="284"/>
      <c r="B1727" s="284"/>
      <c r="C1727" s="284"/>
      <c r="D1727" s="284"/>
      <c r="E1727" s="284"/>
      <c r="F1727" s="284"/>
      <c r="G1727" s="284"/>
      <c r="H1727" s="284"/>
      <c r="I1727" s="284"/>
      <c r="J1727" s="375"/>
      <c r="K1727" s="375"/>
      <c r="L1727" s="375"/>
      <c r="M1727" s="368"/>
      <c r="N1727" s="368"/>
      <c r="O1727" s="370"/>
      <c r="T1727" s="340"/>
      <c r="V1727" s="378"/>
      <c r="W1727" s="64" ph="1"/>
      <c r="X1727" s="241"/>
      <c r="Y1727" s="284"/>
      <c r="Z1727" s="207"/>
      <c r="AA1727" s="284"/>
      <c r="AB1727" s="284"/>
      <c r="AC1727" s="284"/>
      <c r="AD1727" s="284"/>
      <c r="AE1727" s="284"/>
      <c r="AF1727" s="284"/>
      <c r="AG1727" s="284"/>
      <c r="AI1727" s="131"/>
    </row>
    <row r="1728" spans="1:35" ht="26.4">
      <c r="A1728" s="284"/>
      <c r="B1728" s="284"/>
      <c r="C1728" s="284"/>
      <c r="D1728" s="284"/>
      <c r="E1728" s="284"/>
      <c r="F1728" s="284"/>
      <c r="G1728" s="284"/>
      <c r="H1728" s="284"/>
      <c r="I1728" s="284"/>
      <c r="J1728" s="375"/>
      <c r="K1728" s="375"/>
      <c r="L1728" s="375"/>
      <c r="M1728" s="368"/>
      <c r="N1728" s="368"/>
      <c r="O1728" s="370"/>
      <c r="T1728" s="340"/>
      <c r="V1728" s="378"/>
      <c r="W1728" s="64" ph="1"/>
      <c r="X1728" s="241"/>
      <c r="Y1728" s="284"/>
      <c r="Z1728" s="207"/>
      <c r="AA1728" s="284"/>
      <c r="AB1728" s="284"/>
      <c r="AC1728" s="284"/>
      <c r="AD1728" s="284"/>
      <c r="AE1728" s="284"/>
      <c r="AF1728" s="284"/>
      <c r="AG1728" s="284"/>
      <c r="AI1728" s="131"/>
    </row>
    <row r="1729" spans="1:35" ht="26.4">
      <c r="A1729" s="284"/>
      <c r="B1729" s="284"/>
      <c r="C1729" s="284"/>
      <c r="D1729" s="284"/>
      <c r="E1729" s="284"/>
      <c r="F1729" s="284"/>
      <c r="G1729" s="284"/>
      <c r="H1729" s="284"/>
      <c r="I1729" s="284"/>
      <c r="J1729" s="375"/>
      <c r="K1729" s="375"/>
      <c r="L1729" s="375"/>
      <c r="M1729" s="368"/>
      <c r="N1729" s="368"/>
      <c r="O1729" s="370"/>
      <c r="T1729" s="340"/>
      <c r="V1729" s="378"/>
      <c r="W1729" s="64" ph="1"/>
      <c r="X1729" s="241"/>
      <c r="Y1729" s="284"/>
      <c r="Z1729" s="207"/>
      <c r="AA1729" s="284"/>
      <c r="AB1729" s="284"/>
      <c r="AC1729" s="284"/>
      <c r="AD1729" s="284"/>
      <c r="AE1729" s="284"/>
      <c r="AF1729" s="284"/>
      <c r="AG1729" s="284"/>
      <c r="AI1729" s="131"/>
    </row>
    <row r="1730" spans="1:35" ht="26.4">
      <c r="A1730" s="284"/>
      <c r="B1730" s="284"/>
      <c r="C1730" s="284"/>
      <c r="D1730" s="284"/>
      <c r="E1730" s="284"/>
      <c r="F1730" s="284"/>
      <c r="G1730" s="284"/>
      <c r="H1730" s="284"/>
      <c r="I1730" s="284"/>
      <c r="J1730" s="375"/>
      <c r="K1730" s="375"/>
      <c r="L1730" s="375"/>
      <c r="M1730" s="368"/>
      <c r="N1730" s="368"/>
      <c r="O1730" s="370"/>
      <c r="T1730" s="340"/>
      <c r="V1730" s="378"/>
      <c r="W1730" s="64" ph="1"/>
      <c r="X1730" s="241"/>
      <c r="Y1730" s="284"/>
      <c r="Z1730" s="207"/>
      <c r="AA1730" s="284"/>
      <c r="AB1730" s="284"/>
      <c r="AC1730" s="284"/>
      <c r="AD1730" s="284"/>
      <c r="AE1730" s="284"/>
      <c r="AF1730" s="284"/>
      <c r="AG1730" s="284"/>
      <c r="AI1730" s="131"/>
    </row>
    <row r="1731" spans="1:35" ht="26.4">
      <c r="A1731" s="284"/>
      <c r="B1731" s="284"/>
      <c r="C1731" s="284"/>
      <c r="D1731" s="284"/>
      <c r="E1731" s="284"/>
      <c r="F1731" s="284"/>
      <c r="G1731" s="284"/>
      <c r="H1731" s="284"/>
      <c r="I1731" s="284"/>
      <c r="J1731" s="375"/>
      <c r="K1731" s="375"/>
      <c r="L1731" s="375"/>
      <c r="M1731" s="368"/>
      <c r="N1731" s="368"/>
      <c r="O1731" s="370"/>
      <c r="T1731" s="340"/>
      <c r="V1731" s="378"/>
      <c r="W1731" s="64" ph="1"/>
      <c r="X1731" s="241"/>
      <c r="Y1731" s="284"/>
      <c r="Z1731" s="207"/>
      <c r="AA1731" s="284"/>
      <c r="AB1731" s="284"/>
      <c r="AC1731" s="284"/>
      <c r="AD1731" s="284"/>
      <c r="AE1731" s="284"/>
      <c r="AF1731" s="284"/>
      <c r="AG1731" s="284"/>
      <c r="AI1731" s="131"/>
    </row>
    <row r="1732" spans="1:35" ht="26.4">
      <c r="A1732" s="284"/>
      <c r="B1732" s="284"/>
      <c r="C1732" s="284"/>
      <c r="D1732" s="284"/>
      <c r="E1732" s="284"/>
      <c r="F1732" s="284"/>
      <c r="G1732" s="284"/>
      <c r="H1732" s="284"/>
      <c r="I1732" s="284"/>
      <c r="J1732" s="375"/>
      <c r="K1732" s="375"/>
      <c r="L1732" s="375"/>
      <c r="M1732" s="368"/>
      <c r="N1732" s="368"/>
      <c r="O1732" s="370"/>
      <c r="T1732" s="340"/>
      <c r="V1732" s="378"/>
      <c r="W1732" s="64" ph="1"/>
      <c r="X1732" s="241"/>
      <c r="Y1732" s="284"/>
      <c r="Z1732" s="207"/>
      <c r="AA1732" s="284"/>
      <c r="AB1732" s="284"/>
      <c r="AC1732" s="284"/>
      <c r="AD1732" s="284"/>
      <c r="AE1732" s="284"/>
      <c r="AF1732" s="284"/>
      <c r="AG1732" s="284"/>
      <c r="AI1732" s="131"/>
    </row>
    <row r="1733" spans="1:35" ht="26.4">
      <c r="A1733" s="284"/>
      <c r="B1733" s="284"/>
      <c r="C1733" s="284"/>
      <c r="D1733" s="284"/>
      <c r="E1733" s="284"/>
      <c r="F1733" s="284"/>
      <c r="G1733" s="284"/>
      <c r="H1733" s="284"/>
      <c r="I1733" s="284"/>
      <c r="J1733" s="375"/>
      <c r="K1733" s="375"/>
      <c r="L1733" s="375"/>
      <c r="M1733" s="368"/>
      <c r="N1733" s="368"/>
      <c r="O1733" s="370"/>
      <c r="T1733" s="340"/>
      <c r="V1733" s="378"/>
      <c r="W1733" s="64" ph="1"/>
      <c r="X1733" s="241"/>
      <c r="Y1733" s="284"/>
      <c r="Z1733" s="207"/>
      <c r="AA1733" s="284"/>
      <c r="AB1733" s="284"/>
      <c r="AC1733" s="284"/>
      <c r="AD1733" s="284"/>
      <c r="AE1733" s="284"/>
      <c r="AF1733" s="284"/>
      <c r="AG1733" s="284"/>
      <c r="AI1733" s="131"/>
    </row>
    <row r="1734" spans="1:35" ht="26.4">
      <c r="A1734" s="284"/>
      <c r="B1734" s="284"/>
      <c r="C1734" s="284"/>
      <c r="D1734" s="284"/>
      <c r="E1734" s="284"/>
      <c r="F1734" s="284"/>
      <c r="G1734" s="284"/>
      <c r="H1734" s="284"/>
      <c r="I1734" s="284"/>
      <c r="J1734" s="375"/>
      <c r="K1734" s="375"/>
      <c r="L1734" s="375"/>
      <c r="M1734" s="368"/>
      <c r="N1734" s="368"/>
      <c r="O1734" s="370"/>
      <c r="T1734" s="340"/>
      <c r="V1734" s="378"/>
      <c r="W1734" s="64" ph="1"/>
      <c r="X1734" s="241"/>
      <c r="Y1734" s="284"/>
      <c r="Z1734" s="207"/>
      <c r="AA1734" s="284"/>
      <c r="AB1734" s="284"/>
      <c r="AC1734" s="284"/>
      <c r="AD1734" s="284"/>
      <c r="AE1734" s="284"/>
      <c r="AF1734" s="284"/>
      <c r="AG1734" s="284"/>
      <c r="AI1734" s="131"/>
    </row>
    <row r="1735" spans="1:35" ht="26.4">
      <c r="A1735" s="284"/>
      <c r="B1735" s="284"/>
      <c r="C1735" s="284"/>
      <c r="D1735" s="284"/>
      <c r="E1735" s="284"/>
      <c r="F1735" s="284"/>
      <c r="G1735" s="284"/>
      <c r="H1735" s="284"/>
      <c r="I1735" s="284"/>
      <c r="J1735" s="375"/>
      <c r="K1735" s="375"/>
      <c r="L1735" s="375"/>
      <c r="M1735" s="368"/>
      <c r="N1735" s="368"/>
      <c r="O1735" s="370"/>
      <c r="T1735" s="340"/>
      <c r="V1735" s="378"/>
      <c r="W1735" s="64" ph="1"/>
      <c r="X1735" s="241"/>
      <c r="Y1735" s="284"/>
      <c r="Z1735" s="207"/>
      <c r="AA1735" s="284"/>
      <c r="AB1735" s="284"/>
      <c r="AC1735" s="284"/>
      <c r="AD1735" s="284"/>
      <c r="AE1735" s="284"/>
      <c r="AF1735" s="284"/>
      <c r="AG1735" s="284"/>
      <c r="AI1735" s="131"/>
    </row>
    <row r="1736" spans="1:35" ht="26.4">
      <c r="A1736" s="284"/>
      <c r="B1736" s="284"/>
      <c r="C1736" s="284"/>
      <c r="D1736" s="284"/>
      <c r="E1736" s="284"/>
      <c r="F1736" s="284"/>
      <c r="G1736" s="284"/>
      <c r="H1736" s="284"/>
      <c r="I1736" s="284"/>
      <c r="J1736" s="375"/>
      <c r="K1736" s="375"/>
      <c r="L1736" s="375"/>
      <c r="M1736" s="368"/>
      <c r="N1736" s="368"/>
      <c r="O1736" s="370"/>
      <c r="T1736" s="340"/>
      <c r="V1736" s="378"/>
      <c r="W1736" s="64" ph="1"/>
      <c r="X1736" s="241"/>
      <c r="Y1736" s="284"/>
      <c r="Z1736" s="207"/>
      <c r="AA1736" s="284"/>
      <c r="AB1736" s="284"/>
      <c r="AC1736" s="284"/>
      <c r="AD1736" s="284"/>
      <c r="AE1736" s="284"/>
      <c r="AF1736" s="284"/>
      <c r="AG1736" s="284"/>
      <c r="AI1736" s="131"/>
    </row>
    <row r="1737" spans="1:35" ht="26.4">
      <c r="A1737" s="284"/>
      <c r="B1737" s="284"/>
      <c r="C1737" s="284"/>
      <c r="D1737" s="284"/>
      <c r="E1737" s="284"/>
      <c r="F1737" s="284"/>
      <c r="G1737" s="284"/>
      <c r="H1737" s="284"/>
      <c r="I1737" s="284"/>
      <c r="J1737" s="375"/>
      <c r="K1737" s="375"/>
      <c r="L1737" s="375"/>
      <c r="M1737" s="368"/>
      <c r="N1737" s="368"/>
      <c r="O1737" s="370"/>
      <c r="T1737" s="340"/>
      <c r="V1737" s="378"/>
      <c r="W1737" s="64" ph="1"/>
      <c r="X1737" s="241"/>
      <c r="Y1737" s="284"/>
      <c r="Z1737" s="207"/>
      <c r="AA1737" s="284"/>
      <c r="AB1737" s="284"/>
      <c r="AC1737" s="284"/>
      <c r="AD1737" s="284"/>
      <c r="AE1737" s="284"/>
      <c r="AF1737" s="284"/>
      <c r="AG1737" s="284"/>
      <c r="AI1737" s="131"/>
    </row>
    <row r="1738" spans="1:35" ht="26.4">
      <c r="A1738" s="284"/>
      <c r="B1738" s="284"/>
      <c r="C1738" s="284"/>
      <c r="D1738" s="284"/>
      <c r="E1738" s="284"/>
      <c r="F1738" s="284"/>
      <c r="G1738" s="284"/>
      <c r="H1738" s="284"/>
      <c r="I1738" s="284"/>
      <c r="J1738" s="375"/>
      <c r="K1738" s="375"/>
      <c r="L1738" s="375"/>
      <c r="M1738" s="368"/>
      <c r="N1738" s="368"/>
      <c r="O1738" s="370"/>
      <c r="T1738" s="340"/>
      <c r="V1738" s="378"/>
      <c r="W1738" s="64" ph="1"/>
      <c r="X1738" s="241"/>
      <c r="Y1738" s="284"/>
      <c r="Z1738" s="207"/>
      <c r="AA1738" s="284"/>
      <c r="AB1738" s="284"/>
      <c r="AC1738" s="284"/>
      <c r="AD1738" s="284"/>
      <c r="AE1738" s="284"/>
      <c r="AF1738" s="284"/>
      <c r="AG1738" s="284"/>
      <c r="AI1738" s="131"/>
    </row>
    <row r="1739" spans="1:35" ht="26.4">
      <c r="A1739" s="284"/>
      <c r="B1739" s="284"/>
      <c r="C1739" s="284"/>
      <c r="D1739" s="284"/>
      <c r="E1739" s="284"/>
      <c r="F1739" s="284"/>
      <c r="G1739" s="284"/>
      <c r="H1739" s="284"/>
      <c r="I1739" s="284"/>
      <c r="J1739" s="375"/>
      <c r="K1739" s="375"/>
      <c r="L1739" s="375"/>
      <c r="M1739" s="368"/>
      <c r="N1739" s="368"/>
      <c r="O1739" s="370"/>
      <c r="T1739" s="340"/>
      <c r="V1739" s="378"/>
      <c r="W1739" s="64" ph="1"/>
      <c r="X1739" s="241"/>
      <c r="Y1739" s="284"/>
      <c r="Z1739" s="207"/>
      <c r="AA1739" s="284"/>
      <c r="AB1739" s="284"/>
      <c r="AC1739" s="284"/>
      <c r="AD1739" s="284"/>
      <c r="AE1739" s="284"/>
      <c r="AF1739" s="284"/>
      <c r="AG1739" s="284"/>
      <c r="AI1739" s="131"/>
    </row>
    <row r="1740" spans="1:35" ht="26.4">
      <c r="A1740" s="284"/>
      <c r="B1740" s="284"/>
      <c r="C1740" s="284"/>
      <c r="D1740" s="284"/>
      <c r="E1740" s="284"/>
      <c r="F1740" s="284"/>
      <c r="G1740" s="284"/>
      <c r="H1740" s="284"/>
      <c r="I1740" s="284"/>
      <c r="J1740" s="375"/>
      <c r="K1740" s="375"/>
      <c r="L1740" s="375"/>
      <c r="M1740" s="368"/>
      <c r="N1740" s="368"/>
      <c r="O1740" s="370"/>
      <c r="T1740" s="340"/>
      <c r="V1740" s="378"/>
      <c r="W1740" s="64" ph="1"/>
      <c r="X1740" s="241"/>
      <c r="Y1740" s="284"/>
      <c r="Z1740" s="207"/>
      <c r="AA1740" s="284"/>
      <c r="AB1740" s="284"/>
      <c r="AC1740" s="284"/>
      <c r="AD1740" s="284"/>
      <c r="AE1740" s="284"/>
      <c r="AF1740" s="284"/>
      <c r="AG1740" s="284"/>
      <c r="AI1740" s="131"/>
    </row>
    <row r="1741" spans="1:35" ht="26.4">
      <c r="A1741" s="284"/>
      <c r="B1741" s="284"/>
      <c r="C1741" s="284"/>
      <c r="D1741" s="284"/>
      <c r="E1741" s="284"/>
      <c r="F1741" s="284"/>
      <c r="G1741" s="284"/>
      <c r="H1741" s="284"/>
      <c r="I1741" s="284"/>
      <c r="J1741" s="375"/>
      <c r="K1741" s="375"/>
      <c r="L1741" s="375"/>
      <c r="M1741" s="368"/>
      <c r="N1741" s="368"/>
      <c r="O1741" s="370"/>
      <c r="T1741" s="340"/>
      <c r="V1741" s="378"/>
      <c r="W1741" s="64" ph="1"/>
      <c r="X1741" s="241"/>
      <c r="Y1741" s="284"/>
      <c r="Z1741" s="207"/>
      <c r="AA1741" s="284"/>
      <c r="AB1741" s="284"/>
      <c r="AC1741" s="284"/>
      <c r="AD1741" s="284"/>
      <c r="AE1741" s="284"/>
      <c r="AF1741" s="284"/>
      <c r="AG1741" s="284"/>
      <c r="AI1741" s="131"/>
    </row>
    <row r="1742" spans="1:35" ht="26.4">
      <c r="A1742" s="284"/>
      <c r="B1742" s="284"/>
      <c r="C1742" s="284"/>
      <c r="D1742" s="284"/>
      <c r="E1742" s="284"/>
      <c r="F1742" s="284"/>
      <c r="G1742" s="284"/>
      <c r="H1742" s="284"/>
      <c r="I1742" s="284"/>
      <c r="J1742" s="375"/>
      <c r="K1742" s="375"/>
      <c r="L1742" s="375"/>
      <c r="M1742" s="368"/>
      <c r="N1742" s="368"/>
      <c r="O1742" s="370"/>
      <c r="T1742" s="340"/>
      <c r="V1742" s="378"/>
      <c r="W1742" s="64" ph="1"/>
      <c r="X1742" s="241"/>
      <c r="Y1742" s="284"/>
      <c r="Z1742" s="207"/>
      <c r="AA1742" s="284"/>
      <c r="AB1742" s="284"/>
      <c r="AC1742" s="284"/>
      <c r="AD1742" s="284"/>
      <c r="AE1742" s="284"/>
      <c r="AF1742" s="284"/>
      <c r="AG1742" s="284"/>
      <c r="AI1742" s="131"/>
    </row>
    <row r="1743" spans="1:35" ht="26.4">
      <c r="A1743" s="284"/>
      <c r="B1743" s="284"/>
      <c r="C1743" s="284"/>
      <c r="D1743" s="284"/>
      <c r="E1743" s="284"/>
      <c r="F1743" s="284"/>
      <c r="G1743" s="284"/>
      <c r="H1743" s="284"/>
      <c r="I1743" s="284"/>
      <c r="J1743" s="375"/>
      <c r="K1743" s="375"/>
      <c r="L1743" s="375"/>
      <c r="M1743" s="368"/>
      <c r="N1743" s="368"/>
      <c r="O1743" s="370"/>
      <c r="T1743" s="340"/>
      <c r="V1743" s="378"/>
      <c r="W1743" s="64" ph="1"/>
      <c r="X1743" s="241"/>
      <c r="Y1743" s="284"/>
      <c r="Z1743" s="207"/>
      <c r="AA1743" s="284"/>
      <c r="AB1743" s="284"/>
      <c r="AC1743" s="284"/>
      <c r="AD1743" s="284"/>
      <c r="AE1743" s="284"/>
      <c r="AF1743" s="284"/>
      <c r="AG1743" s="284"/>
      <c r="AI1743" s="131"/>
    </row>
    <row r="1744" spans="1:35" ht="26.4">
      <c r="A1744" s="284"/>
      <c r="B1744" s="284"/>
      <c r="C1744" s="284"/>
      <c r="D1744" s="284"/>
      <c r="E1744" s="284"/>
      <c r="F1744" s="284"/>
      <c r="G1744" s="284"/>
      <c r="H1744" s="284"/>
      <c r="I1744" s="284"/>
      <c r="J1744" s="375"/>
      <c r="K1744" s="375"/>
      <c r="L1744" s="375"/>
      <c r="M1744" s="368"/>
      <c r="N1744" s="368"/>
      <c r="O1744" s="370"/>
      <c r="T1744" s="340"/>
      <c r="V1744" s="378"/>
      <c r="W1744" s="64" ph="1"/>
      <c r="X1744" s="241"/>
      <c r="Y1744" s="284"/>
      <c r="Z1744" s="207"/>
      <c r="AA1744" s="284"/>
      <c r="AB1744" s="284"/>
      <c r="AC1744" s="284"/>
      <c r="AD1744" s="284"/>
      <c r="AE1744" s="284"/>
      <c r="AF1744" s="284"/>
      <c r="AG1744" s="284"/>
      <c r="AI1744" s="131"/>
    </row>
    <row r="1745" spans="1:35" ht="26.4">
      <c r="A1745" s="284"/>
      <c r="B1745" s="284"/>
      <c r="C1745" s="284"/>
      <c r="D1745" s="284"/>
      <c r="E1745" s="284"/>
      <c r="F1745" s="284"/>
      <c r="G1745" s="284"/>
      <c r="H1745" s="284"/>
      <c r="I1745" s="284"/>
      <c r="J1745" s="375"/>
      <c r="K1745" s="375"/>
      <c r="L1745" s="375"/>
      <c r="M1745" s="368"/>
      <c r="N1745" s="368"/>
      <c r="O1745" s="370"/>
      <c r="T1745" s="340"/>
      <c r="V1745" s="378"/>
      <c r="W1745" s="64" ph="1"/>
      <c r="X1745" s="241"/>
      <c r="Y1745" s="284"/>
      <c r="Z1745" s="207"/>
      <c r="AA1745" s="284"/>
      <c r="AB1745" s="284"/>
      <c r="AC1745" s="284"/>
      <c r="AD1745" s="284"/>
      <c r="AE1745" s="284"/>
      <c r="AF1745" s="284"/>
      <c r="AG1745" s="284"/>
      <c r="AI1745" s="131"/>
    </row>
    <row r="1746" spans="1:35" ht="26.4">
      <c r="A1746" s="284"/>
      <c r="B1746" s="284"/>
      <c r="C1746" s="284"/>
      <c r="D1746" s="284"/>
      <c r="E1746" s="284"/>
      <c r="F1746" s="284"/>
      <c r="G1746" s="284"/>
      <c r="H1746" s="284"/>
      <c r="I1746" s="284"/>
      <c r="J1746" s="375"/>
      <c r="K1746" s="375"/>
      <c r="L1746" s="375"/>
      <c r="M1746" s="368"/>
      <c r="N1746" s="368"/>
      <c r="O1746" s="370"/>
      <c r="T1746" s="340"/>
      <c r="V1746" s="378"/>
      <c r="W1746" s="64" ph="1"/>
      <c r="X1746" s="241"/>
      <c r="Y1746" s="284"/>
      <c r="Z1746" s="207"/>
      <c r="AA1746" s="284"/>
      <c r="AB1746" s="284"/>
      <c r="AC1746" s="284"/>
      <c r="AD1746" s="284"/>
      <c r="AE1746" s="284"/>
      <c r="AF1746" s="284"/>
      <c r="AG1746" s="284"/>
      <c r="AI1746" s="131"/>
    </row>
    <row r="1747" spans="1:35" ht="26.4">
      <c r="A1747" s="284"/>
      <c r="B1747" s="284"/>
      <c r="C1747" s="284"/>
      <c r="D1747" s="284"/>
      <c r="E1747" s="284"/>
      <c r="F1747" s="284"/>
      <c r="G1747" s="284"/>
      <c r="H1747" s="284"/>
      <c r="I1747" s="284"/>
      <c r="J1747" s="375"/>
      <c r="K1747" s="375"/>
      <c r="L1747" s="375"/>
      <c r="M1747" s="368"/>
      <c r="N1747" s="368"/>
      <c r="O1747" s="370"/>
      <c r="T1747" s="340"/>
      <c r="V1747" s="378"/>
      <c r="W1747" s="64" ph="1"/>
      <c r="X1747" s="241"/>
      <c r="Y1747" s="284"/>
      <c r="Z1747" s="207"/>
      <c r="AA1747" s="284"/>
      <c r="AB1747" s="284"/>
      <c r="AC1747" s="284"/>
      <c r="AD1747" s="284"/>
      <c r="AE1747" s="284"/>
      <c r="AF1747" s="284"/>
      <c r="AG1747" s="284"/>
      <c r="AI1747" s="131"/>
    </row>
    <row r="1748" spans="1:35" ht="26.4">
      <c r="A1748" s="284"/>
      <c r="B1748" s="284"/>
      <c r="C1748" s="284"/>
      <c r="D1748" s="284"/>
      <c r="E1748" s="284"/>
      <c r="F1748" s="284"/>
      <c r="G1748" s="284"/>
      <c r="H1748" s="284"/>
      <c r="I1748" s="284"/>
      <c r="J1748" s="375"/>
      <c r="K1748" s="375"/>
      <c r="L1748" s="375"/>
      <c r="M1748" s="368"/>
      <c r="N1748" s="368"/>
      <c r="O1748" s="370"/>
      <c r="T1748" s="340"/>
      <c r="V1748" s="378"/>
      <c r="W1748" s="64" ph="1"/>
      <c r="X1748" s="241"/>
      <c r="Y1748" s="284"/>
      <c r="Z1748" s="207"/>
      <c r="AA1748" s="284"/>
      <c r="AB1748" s="284"/>
      <c r="AC1748" s="284"/>
      <c r="AD1748" s="284"/>
      <c r="AE1748" s="284"/>
      <c r="AF1748" s="284"/>
      <c r="AG1748" s="284"/>
      <c r="AI1748" s="131"/>
    </row>
    <row r="1749" spans="1:35" ht="26.4">
      <c r="A1749" s="284"/>
      <c r="B1749" s="284"/>
      <c r="C1749" s="284"/>
      <c r="D1749" s="284"/>
      <c r="E1749" s="284"/>
      <c r="F1749" s="284"/>
      <c r="G1749" s="284"/>
      <c r="H1749" s="284"/>
      <c r="I1749" s="284"/>
      <c r="J1749" s="375"/>
      <c r="K1749" s="375"/>
      <c r="L1749" s="375"/>
      <c r="M1749" s="368"/>
      <c r="N1749" s="368"/>
      <c r="O1749" s="370"/>
      <c r="T1749" s="340"/>
      <c r="V1749" s="378"/>
      <c r="W1749" s="64" ph="1"/>
      <c r="X1749" s="241"/>
      <c r="Y1749" s="284"/>
      <c r="Z1749" s="207"/>
      <c r="AA1749" s="284"/>
      <c r="AB1749" s="284"/>
      <c r="AC1749" s="284"/>
      <c r="AD1749" s="284"/>
      <c r="AE1749" s="284"/>
      <c r="AF1749" s="284"/>
      <c r="AG1749" s="284"/>
      <c r="AI1749" s="131"/>
    </row>
    <row r="1750" spans="1:35" ht="26.4">
      <c r="A1750" s="284"/>
      <c r="B1750" s="284"/>
      <c r="C1750" s="284"/>
      <c r="D1750" s="284"/>
      <c r="E1750" s="284"/>
      <c r="F1750" s="284"/>
      <c r="G1750" s="284"/>
      <c r="H1750" s="284"/>
      <c r="I1750" s="284"/>
      <c r="J1750" s="375"/>
      <c r="K1750" s="375"/>
      <c r="L1750" s="375"/>
      <c r="M1750" s="368"/>
      <c r="N1750" s="368"/>
      <c r="O1750" s="370"/>
      <c r="T1750" s="340"/>
      <c r="V1750" s="378"/>
      <c r="W1750" s="64" ph="1"/>
      <c r="X1750" s="241"/>
      <c r="Y1750" s="284"/>
      <c r="Z1750" s="207"/>
      <c r="AA1750" s="284"/>
      <c r="AB1750" s="284"/>
      <c r="AC1750" s="284"/>
      <c r="AD1750" s="284"/>
      <c r="AE1750" s="284"/>
      <c r="AF1750" s="284"/>
      <c r="AG1750" s="284"/>
      <c r="AI1750" s="131"/>
    </row>
    <row r="1751" spans="1:35" ht="26.4">
      <c r="A1751" s="284"/>
      <c r="B1751" s="284"/>
      <c r="C1751" s="284"/>
      <c r="D1751" s="284"/>
      <c r="E1751" s="284"/>
      <c r="F1751" s="284"/>
      <c r="G1751" s="284"/>
      <c r="H1751" s="284"/>
      <c r="I1751" s="284"/>
      <c r="J1751" s="375"/>
      <c r="K1751" s="375"/>
      <c r="L1751" s="375"/>
      <c r="M1751" s="368"/>
      <c r="N1751" s="368"/>
      <c r="O1751" s="370"/>
      <c r="T1751" s="340"/>
      <c r="V1751" s="378"/>
      <c r="W1751" s="64" ph="1"/>
      <c r="X1751" s="241"/>
      <c r="Y1751" s="284"/>
      <c r="Z1751" s="207"/>
      <c r="AA1751" s="284"/>
      <c r="AB1751" s="284"/>
      <c r="AC1751" s="284"/>
      <c r="AD1751" s="284"/>
      <c r="AE1751" s="284"/>
      <c r="AF1751" s="284"/>
      <c r="AG1751" s="284"/>
      <c r="AI1751" s="131"/>
    </row>
    <row r="1752" spans="1:35" ht="26.4">
      <c r="A1752" s="284"/>
      <c r="B1752" s="284"/>
      <c r="C1752" s="284"/>
      <c r="D1752" s="284"/>
      <c r="E1752" s="284"/>
      <c r="F1752" s="284"/>
      <c r="G1752" s="284"/>
      <c r="H1752" s="284"/>
      <c r="I1752" s="284"/>
      <c r="J1752" s="375"/>
      <c r="K1752" s="375"/>
      <c r="L1752" s="375"/>
      <c r="M1752" s="368"/>
      <c r="N1752" s="368"/>
      <c r="O1752" s="370"/>
      <c r="T1752" s="340"/>
      <c r="V1752" s="378"/>
      <c r="W1752" s="64" ph="1"/>
      <c r="X1752" s="241"/>
      <c r="Y1752" s="284"/>
      <c r="Z1752" s="207"/>
      <c r="AA1752" s="284"/>
      <c r="AB1752" s="284"/>
      <c r="AC1752" s="284"/>
      <c r="AD1752" s="284"/>
      <c r="AE1752" s="284"/>
      <c r="AF1752" s="284"/>
      <c r="AG1752" s="284"/>
      <c r="AI1752" s="131"/>
    </row>
    <row r="1753" spans="1:35" ht="26.4">
      <c r="A1753" s="284"/>
      <c r="B1753" s="284"/>
      <c r="C1753" s="284"/>
      <c r="D1753" s="284"/>
      <c r="E1753" s="284"/>
      <c r="F1753" s="284"/>
      <c r="G1753" s="284"/>
      <c r="H1753" s="284"/>
      <c r="I1753" s="284"/>
      <c r="J1753" s="375"/>
      <c r="K1753" s="375"/>
      <c r="L1753" s="375"/>
      <c r="M1753" s="368"/>
      <c r="N1753" s="368"/>
      <c r="O1753" s="370"/>
      <c r="T1753" s="340"/>
      <c r="V1753" s="378"/>
      <c r="W1753" s="64" ph="1"/>
      <c r="X1753" s="241"/>
      <c r="Y1753" s="284"/>
      <c r="Z1753" s="207"/>
      <c r="AA1753" s="284"/>
      <c r="AB1753" s="284"/>
      <c r="AC1753" s="284"/>
      <c r="AD1753" s="284"/>
      <c r="AE1753" s="284"/>
      <c r="AF1753" s="284"/>
      <c r="AG1753" s="284"/>
      <c r="AI1753" s="131"/>
    </row>
    <row r="1754" spans="1:35" ht="26.4">
      <c r="A1754" s="284"/>
      <c r="B1754" s="284"/>
      <c r="C1754" s="284"/>
      <c r="D1754" s="284"/>
      <c r="E1754" s="284"/>
      <c r="F1754" s="284"/>
      <c r="G1754" s="284"/>
      <c r="H1754" s="284"/>
      <c r="I1754" s="284"/>
      <c r="J1754" s="375"/>
      <c r="K1754" s="375"/>
      <c r="L1754" s="375"/>
      <c r="M1754" s="368"/>
      <c r="N1754" s="368"/>
      <c r="O1754" s="370"/>
      <c r="T1754" s="340"/>
      <c r="V1754" s="378"/>
      <c r="W1754" s="64" ph="1"/>
      <c r="X1754" s="241"/>
      <c r="Y1754" s="284"/>
      <c r="Z1754" s="207"/>
      <c r="AA1754" s="284"/>
      <c r="AB1754" s="284"/>
      <c r="AC1754" s="284"/>
      <c r="AD1754" s="284"/>
      <c r="AE1754" s="284"/>
      <c r="AF1754" s="284"/>
      <c r="AG1754" s="284"/>
      <c r="AI1754" s="131"/>
    </row>
    <row r="1755" spans="1:35" ht="26.4">
      <c r="A1755" s="284"/>
      <c r="B1755" s="284"/>
      <c r="C1755" s="284"/>
      <c r="D1755" s="284"/>
      <c r="E1755" s="284"/>
      <c r="F1755" s="284"/>
      <c r="G1755" s="284"/>
      <c r="H1755" s="284"/>
      <c r="I1755" s="284"/>
      <c r="J1755" s="375"/>
      <c r="K1755" s="375"/>
      <c r="L1755" s="375"/>
      <c r="M1755" s="368"/>
      <c r="N1755" s="368"/>
      <c r="O1755" s="370"/>
      <c r="T1755" s="340"/>
      <c r="V1755" s="378"/>
      <c r="W1755" s="64" ph="1"/>
      <c r="X1755" s="241"/>
      <c r="Y1755" s="284"/>
      <c r="Z1755" s="207"/>
      <c r="AA1755" s="284"/>
      <c r="AB1755" s="284"/>
      <c r="AC1755" s="284"/>
      <c r="AD1755" s="284"/>
      <c r="AE1755" s="284"/>
      <c r="AF1755" s="284"/>
      <c r="AG1755" s="284"/>
      <c r="AI1755" s="131"/>
    </row>
    <row r="1756" spans="1:35" ht="26.4">
      <c r="A1756" s="284"/>
      <c r="B1756" s="284"/>
      <c r="C1756" s="284"/>
      <c r="D1756" s="284"/>
      <c r="E1756" s="284"/>
      <c r="F1756" s="284"/>
      <c r="G1756" s="284"/>
      <c r="H1756" s="284"/>
      <c r="I1756" s="284"/>
      <c r="J1756" s="375"/>
      <c r="K1756" s="375"/>
      <c r="L1756" s="375"/>
      <c r="M1756" s="368"/>
      <c r="N1756" s="368"/>
      <c r="O1756" s="370"/>
      <c r="T1756" s="340"/>
      <c r="V1756" s="378"/>
      <c r="W1756" s="64" ph="1"/>
      <c r="X1756" s="241"/>
      <c r="Y1756" s="284"/>
      <c r="Z1756" s="207"/>
      <c r="AA1756" s="284"/>
      <c r="AB1756" s="284"/>
      <c r="AC1756" s="284"/>
      <c r="AD1756" s="284"/>
      <c r="AE1756" s="284"/>
      <c r="AF1756" s="284"/>
      <c r="AG1756" s="284"/>
      <c r="AI1756" s="131"/>
    </row>
    <row r="1757" spans="1:35" ht="26.4">
      <c r="A1757" s="284"/>
      <c r="B1757" s="284"/>
      <c r="C1757" s="284"/>
      <c r="D1757" s="284"/>
      <c r="E1757" s="284"/>
      <c r="F1757" s="284"/>
      <c r="G1757" s="284"/>
      <c r="H1757" s="284"/>
      <c r="I1757" s="284"/>
      <c r="J1757" s="375"/>
      <c r="K1757" s="375"/>
      <c r="L1757" s="375"/>
      <c r="M1757" s="368"/>
      <c r="N1757" s="368"/>
      <c r="O1757" s="370"/>
      <c r="T1757" s="340"/>
      <c r="V1757" s="378"/>
      <c r="W1757" s="64" ph="1"/>
      <c r="X1757" s="241"/>
      <c r="Y1757" s="284"/>
      <c r="Z1757" s="207"/>
      <c r="AA1757" s="284"/>
      <c r="AB1757" s="284"/>
      <c r="AC1757" s="284"/>
      <c r="AD1757" s="284"/>
      <c r="AE1757" s="284"/>
      <c r="AF1757" s="284"/>
      <c r="AG1757" s="284"/>
      <c r="AI1757" s="131"/>
    </row>
    <row r="1758" spans="1:35" ht="26.4">
      <c r="A1758" s="284"/>
      <c r="B1758" s="284"/>
      <c r="C1758" s="284"/>
      <c r="D1758" s="284"/>
      <c r="E1758" s="284"/>
      <c r="F1758" s="284"/>
      <c r="G1758" s="284"/>
      <c r="H1758" s="284"/>
      <c r="I1758" s="284"/>
      <c r="J1758" s="375"/>
      <c r="K1758" s="375"/>
      <c r="L1758" s="375"/>
      <c r="M1758" s="368"/>
      <c r="N1758" s="368"/>
      <c r="O1758" s="370"/>
      <c r="T1758" s="340"/>
      <c r="V1758" s="378"/>
      <c r="W1758" s="64" ph="1"/>
      <c r="X1758" s="241"/>
      <c r="Y1758" s="284"/>
      <c r="Z1758" s="207"/>
      <c r="AA1758" s="284"/>
      <c r="AB1758" s="284"/>
      <c r="AC1758" s="284"/>
      <c r="AD1758" s="284"/>
      <c r="AE1758" s="284"/>
      <c r="AF1758" s="284"/>
      <c r="AG1758" s="284"/>
      <c r="AI1758" s="131"/>
    </row>
    <row r="1759" spans="1:35" ht="26.4">
      <c r="A1759" s="284"/>
      <c r="B1759" s="284"/>
      <c r="C1759" s="284"/>
      <c r="D1759" s="284"/>
      <c r="E1759" s="284"/>
      <c r="F1759" s="284"/>
      <c r="G1759" s="284"/>
      <c r="H1759" s="284"/>
      <c r="I1759" s="284"/>
      <c r="J1759" s="375"/>
      <c r="K1759" s="375"/>
      <c r="L1759" s="375"/>
      <c r="M1759" s="368"/>
      <c r="N1759" s="368"/>
      <c r="O1759" s="370"/>
      <c r="T1759" s="340"/>
      <c r="V1759" s="378"/>
      <c r="W1759" s="64" ph="1"/>
      <c r="X1759" s="241"/>
      <c r="Y1759" s="284"/>
      <c r="Z1759" s="207"/>
      <c r="AA1759" s="284"/>
      <c r="AB1759" s="284"/>
      <c r="AC1759" s="284"/>
      <c r="AD1759" s="284"/>
      <c r="AE1759" s="284"/>
      <c r="AF1759" s="284"/>
      <c r="AG1759" s="284"/>
      <c r="AI1759" s="131"/>
    </row>
    <row r="1760" spans="1:35" ht="26.4">
      <c r="A1760" s="284"/>
      <c r="B1760" s="284"/>
      <c r="C1760" s="284"/>
      <c r="D1760" s="284"/>
      <c r="E1760" s="284"/>
      <c r="F1760" s="284"/>
      <c r="G1760" s="284"/>
      <c r="H1760" s="284"/>
      <c r="I1760" s="284"/>
      <c r="J1760" s="375"/>
      <c r="K1760" s="375"/>
      <c r="L1760" s="375"/>
      <c r="M1760" s="368"/>
      <c r="N1760" s="368"/>
      <c r="O1760" s="370"/>
      <c r="T1760" s="340"/>
      <c r="V1760" s="378"/>
      <c r="W1760" s="64" ph="1"/>
      <c r="X1760" s="241"/>
      <c r="Y1760" s="284"/>
      <c r="Z1760" s="207"/>
      <c r="AA1760" s="284"/>
      <c r="AB1760" s="284"/>
      <c r="AC1760" s="284"/>
      <c r="AD1760" s="284"/>
      <c r="AE1760" s="284"/>
      <c r="AF1760" s="284"/>
      <c r="AG1760" s="284"/>
      <c r="AI1760" s="131"/>
    </row>
    <row r="1761" spans="1:35" ht="26.4">
      <c r="A1761" s="284"/>
      <c r="B1761" s="284"/>
      <c r="C1761" s="284"/>
      <c r="D1761" s="284"/>
      <c r="E1761" s="284"/>
      <c r="F1761" s="284"/>
      <c r="G1761" s="284"/>
      <c r="H1761" s="284"/>
      <c r="I1761" s="284"/>
      <c r="J1761" s="375"/>
      <c r="K1761" s="375"/>
      <c r="L1761" s="375"/>
      <c r="M1761" s="368"/>
      <c r="N1761" s="368"/>
      <c r="O1761" s="370"/>
      <c r="T1761" s="340"/>
      <c r="V1761" s="378"/>
      <c r="W1761" s="64" ph="1"/>
      <c r="X1761" s="241"/>
      <c r="Y1761" s="284"/>
      <c r="Z1761" s="207"/>
      <c r="AA1761" s="284"/>
      <c r="AB1761" s="284"/>
      <c r="AC1761" s="284"/>
      <c r="AD1761" s="284"/>
      <c r="AE1761" s="284"/>
      <c r="AF1761" s="284"/>
      <c r="AG1761" s="284"/>
      <c r="AI1761" s="131"/>
    </row>
    <row r="1762" spans="1:35" ht="26.4">
      <c r="A1762" s="284"/>
      <c r="B1762" s="284"/>
      <c r="C1762" s="284"/>
      <c r="D1762" s="284"/>
      <c r="E1762" s="284"/>
      <c r="F1762" s="284"/>
      <c r="G1762" s="284"/>
      <c r="H1762" s="284"/>
      <c r="I1762" s="284"/>
      <c r="J1762" s="375"/>
      <c r="K1762" s="375"/>
      <c r="L1762" s="375"/>
      <c r="M1762" s="368"/>
      <c r="N1762" s="368"/>
      <c r="O1762" s="370"/>
      <c r="T1762" s="340"/>
      <c r="V1762" s="378"/>
      <c r="W1762" s="64" ph="1"/>
      <c r="X1762" s="241"/>
      <c r="Y1762" s="284"/>
      <c r="Z1762" s="207"/>
      <c r="AA1762" s="284"/>
      <c r="AB1762" s="284"/>
      <c r="AC1762" s="284"/>
      <c r="AD1762" s="284"/>
      <c r="AE1762" s="284"/>
      <c r="AF1762" s="284"/>
      <c r="AG1762" s="284"/>
      <c r="AI1762" s="131"/>
    </row>
    <row r="1763" spans="1:35" ht="26.4">
      <c r="A1763" s="284"/>
      <c r="B1763" s="284"/>
      <c r="C1763" s="284"/>
      <c r="D1763" s="284"/>
      <c r="E1763" s="284"/>
      <c r="F1763" s="284"/>
      <c r="G1763" s="284"/>
      <c r="H1763" s="284"/>
      <c r="I1763" s="284"/>
      <c r="J1763" s="375"/>
      <c r="K1763" s="375"/>
      <c r="L1763" s="375"/>
      <c r="M1763" s="368"/>
      <c r="N1763" s="368"/>
      <c r="O1763" s="370"/>
      <c r="T1763" s="340"/>
      <c r="V1763" s="378"/>
      <c r="W1763" s="64" ph="1"/>
      <c r="X1763" s="241"/>
      <c r="Y1763" s="284"/>
      <c r="Z1763" s="207"/>
      <c r="AA1763" s="284"/>
      <c r="AB1763" s="284"/>
      <c r="AC1763" s="284"/>
      <c r="AD1763" s="284"/>
      <c r="AE1763" s="284"/>
      <c r="AF1763" s="284"/>
      <c r="AG1763" s="284"/>
      <c r="AI1763" s="131"/>
    </row>
    <row r="1764" spans="1:35" ht="26.4">
      <c r="A1764" s="284"/>
      <c r="B1764" s="284"/>
      <c r="C1764" s="284"/>
      <c r="D1764" s="284"/>
      <c r="E1764" s="284"/>
      <c r="F1764" s="284"/>
      <c r="G1764" s="284"/>
      <c r="H1764" s="284"/>
      <c r="I1764" s="284"/>
      <c r="J1764" s="375"/>
      <c r="K1764" s="375"/>
      <c r="L1764" s="375"/>
      <c r="M1764" s="368"/>
      <c r="N1764" s="368"/>
      <c r="O1764" s="370"/>
      <c r="T1764" s="340"/>
      <c r="V1764" s="378"/>
      <c r="W1764" s="64" ph="1"/>
      <c r="X1764" s="241"/>
      <c r="Y1764" s="284"/>
      <c r="Z1764" s="207"/>
      <c r="AA1764" s="284"/>
      <c r="AB1764" s="284"/>
      <c r="AC1764" s="284"/>
      <c r="AD1764" s="284"/>
      <c r="AE1764" s="284"/>
      <c r="AF1764" s="284"/>
      <c r="AG1764" s="284"/>
      <c r="AI1764" s="284"/>
    </row>
    <row r="1765" spans="1:35" ht="26.4">
      <c r="A1765" s="284"/>
      <c r="B1765" s="284"/>
      <c r="C1765" s="284"/>
      <c r="D1765" s="284"/>
      <c r="E1765" s="284"/>
      <c r="F1765" s="284"/>
      <c r="G1765" s="284"/>
      <c r="H1765" s="284"/>
      <c r="I1765" s="284"/>
      <c r="J1765" s="375"/>
      <c r="K1765" s="375"/>
      <c r="L1765" s="375"/>
      <c r="M1765" s="368"/>
      <c r="N1765" s="368"/>
      <c r="O1765" s="370"/>
      <c r="T1765" s="340"/>
      <c r="V1765" s="378"/>
      <c r="W1765" s="64" ph="1"/>
      <c r="X1765" s="241"/>
      <c r="Y1765" s="284"/>
      <c r="Z1765" s="207"/>
      <c r="AA1765" s="284"/>
      <c r="AB1765" s="284"/>
      <c r="AC1765" s="284"/>
      <c r="AD1765" s="284"/>
      <c r="AE1765" s="284"/>
      <c r="AF1765" s="284"/>
      <c r="AG1765" s="284"/>
      <c r="AI1765" s="284"/>
    </row>
    <row r="1766" spans="1:35" ht="26.4">
      <c r="A1766" s="284"/>
      <c r="B1766" s="284"/>
      <c r="C1766" s="284"/>
      <c r="D1766" s="284"/>
      <c r="E1766" s="284"/>
      <c r="F1766" s="284"/>
      <c r="G1766" s="284"/>
      <c r="H1766" s="284"/>
      <c r="I1766" s="284"/>
      <c r="J1766" s="375"/>
      <c r="K1766" s="375"/>
      <c r="L1766" s="375"/>
      <c r="M1766" s="368"/>
      <c r="N1766" s="368"/>
      <c r="O1766" s="370"/>
      <c r="T1766" s="340"/>
      <c r="V1766" s="378"/>
      <c r="W1766" s="64" ph="1"/>
      <c r="X1766" s="241"/>
      <c r="Y1766" s="284"/>
      <c r="Z1766" s="207"/>
      <c r="AA1766" s="284"/>
      <c r="AB1766" s="284"/>
      <c r="AC1766" s="284"/>
      <c r="AD1766" s="284"/>
      <c r="AE1766" s="284"/>
      <c r="AF1766" s="284"/>
      <c r="AG1766" s="284"/>
      <c r="AI1766" s="131"/>
    </row>
    <row r="1767" spans="1:35" ht="26.4">
      <c r="A1767" s="284"/>
      <c r="B1767" s="284"/>
      <c r="C1767" s="284"/>
      <c r="D1767" s="284"/>
      <c r="E1767" s="284"/>
      <c r="F1767" s="284"/>
      <c r="G1767" s="284"/>
      <c r="H1767" s="284"/>
      <c r="I1767" s="284"/>
      <c r="J1767" s="375"/>
      <c r="K1767" s="375"/>
      <c r="L1767" s="375"/>
      <c r="M1767" s="368"/>
      <c r="N1767" s="368"/>
      <c r="O1767" s="370"/>
      <c r="T1767" s="340"/>
      <c r="V1767" s="378"/>
      <c r="W1767" s="64" ph="1"/>
      <c r="X1767" s="241"/>
      <c r="Y1767" s="284"/>
      <c r="Z1767" s="207"/>
      <c r="AA1767" s="284"/>
      <c r="AB1767" s="284"/>
      <c r="AC1767" s="284"/>
      <c r="AD1767" s="284"/>
      <c r="AE1767" s="284"/>
      <c r="AF1767" s="284"/>
      <c r="AG1767" s="284"/>
      <c r="AI1767" s="131"/>
    </row>
    <row r="1768" spans="1:35" ht="26.4">
      <c r="A1768" s="284"/>
      <c r="B1768" s="284"/>
      <c r="C1768" s="284"/>
      <c r="D1768" s="284"/>
      <c r="E1768" s="284"/>
      <c r="F1768" s="284"/>
      <c r="G1768" s="284"/>
      <c r="H1768" s="284"/>
      <c r="I1768" s="284"/>
      <c r="J1768" s="375"/>
      <c r="K1768" s="375"/>
      <c r="L1768" s="375"/>
      <c r="M1768" s="368"/>
      <c r="N1768" s="368"/>
      <c r="O1768" s="370"/>
      <c r="T1768" s="340"/>
      <c r="V1768" s="378"/>
      <c r="W1768" s="64" ph="1"/>
      <c r="X1768" s="241"/>
      <c r="Y1768" s="284"/>
      <c r="Z1768" s="207"/>
      <c r="AA1768" s="284"/>
      <c r="AB1768" s="284"/>
      <c r="AC1768" s="284"/>
      <c r="AD1768" s="284"/>
      <c r="AE1768" s="284"/>
      <c r="AF1768" s="284"/>
      <c r="AG1768" s="284"/>
      <c r="AI1768" s="131"/>
    </row>
    <row r="1769" spans="1:35" ht="26.4">
      <c r="A1769" s="284"/>
      <c r="B1769" s="284"/>
      <c r="C1769" s="284"/>
      <c r="D1769" s="284"/>
      <c r="E1769" s="284"/>
      <c r="F1769" s="284"/>
      <c r="G1769" s="284"/>
      <c r="H1769" s="284"/>
      <c r="I1769" s="284"/>
      <c r="J1769" s="375"/>
      <c r="K1769" s="375"/>
      <c r="L1769" s="375"/>
      <c r="M1769" s="368"/>
      <c r="N1769" s="368"/>
      <c r="O1769" s="370"/>
      <c r="T1769" s="340"/>
      <c r="V1769" s="378"/>
      <c r="W1769" s="64" ph="1"/>
      <c r="X1769" s="241"/>
      <c r="Y1769" s="284"/>
      <c r="Z1769" s="207"/>
      <c r="AA1769" s="284"/>
      <c r="AB1769" s="284"/>
      <c r="AC1769" s="284"/>
      <c r="AD1769" s="284"/>
      <c r="AE1769" s="284"/>
      <c r="AF1769" s="284"/>
      <c r="AG1769" s="284"/>
      <c r="AI1769" s="131"/>
    </row>
    <row r="1770" spans="1:35" ht="26.4">
      <c r="A1770" s="284"/>
      <c r="B1770" s="284"/>
      <c r="C1770" s="284"/>
      <c r="D1770" s="284"/>
      <c r="E1770" s="284"/>
      <c r="F1770" s="284"/>
      <c r="G1770" s="284"/>
      <c r="H1770" s="284"/>
      <c r="I1770" s="284"/>
      <c r="J1770" s="375"/>
      <c r="K1770" s="375"/>
      <c r="L1770" s="375"/>
      <c r="M1770" s="368"/>
      <c r="N1770" s="368"/>
      <c r="O1770" s="370"/>
      <c r="T1770" s="340"/>
      <c r="V1770" s="378"/>
      <c r="W1770" s="64" ph="1"/>
      <c r="X1770" s="241"/>
      <c r="Y1770" s="284"/>
      <c r="Z1770" s="207"/>
      <c r="AA1770" s="284"/>
      <c r="AB1770" s="284"/>
      <c r="AC1770" s="284"/>
      <c r="AD1770" s="284"/>
      <c r="AE1770" s="284"/>
      <c r="AF1770" s="284"/>
      <c r="AG1770" s="284"/>
      <c r="AI1770" s="131"/>
    </row>
    <row r="1771" spans="1:35" ht="26.4">
      <c r="A1771" s="284"/>
      <c r="B1771" s="284"/>
      <c r="C1771" s="284"/>
      <c r="D1771" s="284"/>
      <c r="E1771" s="284"/>
      <c r="F1771" s="284"/>
      <c r="G1771" s="284"/>
      <c r="H1771" s="284"/>
      <c r="I1771" s="284"/>
      <c r="J1771" s="375"/>
      <c r="K1771" s="375"/>
      <c r="L1771" s="375"/>
      <c r="M1771" s="368"/>
      <c r="N1771" s="368"/>
      <c r="O1771" s="370"/>
      <c r="T1771" s="340"/>
      <c r="V1771" s="378"/>
      <c r="W1771" s="64" ph="1"/>
      <c r="X1771" s="241"/>
      <c r="Y1771" s="284"/>
      <c r="Z1771" s="207"/>
      <c r="AA1771" s="284"/>
      <c r="AB1771" s="284"/>
      <c r="AC1771" s="284"/>
      <c r="AD1771" s="284"/>
      <c r="AE1771" s="284"/>
      <c r="AF1771" s="284"/>
      <c r="AG1771" s="284"/>
      <c r="AI1771" s="131"/>
    </row>
    <row r="1772" spans="1:35" ht="26.4">
      <c r="A1772" s="284"/>
      <c r="B1772" s="284"/>
      <c r="C1772" s="284"/>
      <c r="D1772" s="284"/>
      <c r="E1772" s="284"/>
      <c r="F1772" s="284"/>
      <c r="G1772" s="284"/>
      <c r="H1772" s="284"/>
      <c r="I1772" s="284"/>
      <c r="J1772" s="375"/>
      <c r="K1772" s="375"/>
      <c r="L1772" s="375"/>
      <c r="M1772" s="368"/>
      <c r="N1772" s="368"/>
      <c r="O1772" s="370"/>
      <c r="T1772" s="340"/>
      <c r="V1772" s="378"/>
      <c r="W1772" s="64" ph="1"/>
      <c r="X1772" s="241"/>
      <c r="Y1772" s="284"/>
      <c r="Z1772" s="207"/>
      <c r="AA1772" s="284"/>
      <c r="AB1772" s="284"/>
      <c r="AC1772" s="284"/>
      <c r="AD1772" s="284"/>
      <c r="AE1772" s="284"/>
      <c r="AF1772" s="284"/>
      <c r="AG1772" s="284"/>
      <c r="AI1772" s="131"/>
    </row>
    <row r="1773" spans="1:35" ht="26.4">
      <c r="A1773" s="284"/>
      <c r="B1773" s="284"/>
      <c r="C1773" s="284"/>
      <c r="D1773" s="284"/>
      <c r="E1773" s="284"/>
      <c r="F1773" s="284"/>
      <c r="G1773" s="284"/>
      <c r="H1773" s="284"/>
      <c r="I1773" s="284"/>
      <c r="J1773" s="375"/>
      <c r="K1773" s="375"/>
      <c r="L1773" s="375"/>
      <c r="M1773" s="368"/>
      <c r="N1773" s="368"/>
      <c r="O1773" s="370"/>
      <c r="T1773" s="340"/>
      <c r="V1773" s="378"/>
      <c r="W1773" s="64" ph="1"/>
      <c r="X1773" s="241"/>
      <c r="Y1773" s="284"/>
      <c r="Z1773" s="207"/>
      <c r="AA1773" s="284"/>
      <c r="AB1773" s="284"/>
      <c r="AC1773" s="284"/>
      <c r="AD1773" s="284"/>
      <c r="AE1773" s="284"/>
      <c r="AF1773" s="284"/>
      <c r="AG1773" s="284"/>
      <c r="AI1773" s="131"/>
    </row>
    <row r="1774" spans="1:35" ht="26.4">
      <c r="A1774" s="284"/>
      <c r="B1774" s="284"/>
      <c r="C1774" s="284"/>
      <c r="D1774" s="284"/>
      <c r="E1774" s="284"/>
      <c r="F1774" s="284"/>
      <c r="G1774" s="284"/>
      <c r="H1774" s="284"/>
      <c r="I1774" s="284"/>
      <c r="J1774" s="375"/>
      <c r="K1774" s="375"/>
      <c r="L1774" s="375"/>
      <c r="M1774" s="368"/>
      <c r="N1774" s="368"/>
      <c r="O1774" s="370"/>
      <c r="T1774" s="340"/>
      <c r="V1774" s="378"/>
      <c r="W1774" s="64" ph="1"/>
      <c r="X1774" s="241"/>
      <c r="Y1774" s="284"/>
      <c r="Z1774" s="207"/>
      <c r="AA1774" s="284"/>
      <c r="AB1774" s="284"/>
      <c r="AC1774" s="284"/>
      <c r="AD1774" s="284"/>
      <c r="AE1774" s="284"/>
      <c r="AF1774" s="284"/>
      <c r="AG1774" s="284"/>
      <c r="AI1774" s="131"/>
    </row>
    <row r="1775" spans="1:35" ht="26.4">
      <c r="A1775" s="284"/>
      <c r="B1775" s="284"/>
      <c r="C1775" s="284"/>
      <c r="D1775" s="284"/>
      <c r="E1775" s="284"/>
      <c r="F1775" s="284"/>
      <c r="G1775" s="284"/>
      <c r="H1775" s="284"/>
      <c r="I1775" s="284"/>
      <c r="J1775" s="375"/>
      <c r="K1775" s="375"/>
      <c r="L1775" s="375"/>
      <c r="M1775" s="368"/>
      <c r="N1775" s="368"/>
      <c r="O1775" s="370"/>
      <c r="T1775" s="340"/>
      <c r="V1775" s="378"/>
      <c r="W1775" s="64" ph="1"/>
      <c r="X1775" s="241"/>
      <c r="Y1775" s="284"/>
      <c r="Z1775" s="207"/>
      <c r="AA1775" s="284"/>
      <c r="AB1775" s="284"/>
      <c r="AC1775" s="284"/>
      <c r="AD1775" s="284"/>
      <c r="AE1775" s="284"/>
      <c r="AF1775" s="284"/>
      <c r="AG1775" s="284"/>
      <c r="AI1775" s="131"/>
    </row>
    <row r="1776" spans="1:35" ht="26.4">
      <c r="A1776" s="284"/>
      <c r="B1776" s="284"/>
      <c r="C1776" s="284"/>
      <c r="D1776" s="284"/>
      <c r="E1776" s="284"/>
      <c r="F1776" s="284"/>
      <c r="G1776" s="284"/>
      <c r="H1776" s="284"/>
      <c r="I1776" s="284"/>
      <c r="J1776" s="375"/>
      <c r="K1776" s="375"/>
      <c r="L1776" s="375"/>
      <c r="M1776" s="368"/>
      <c r="N1776" s="368"/>
      <c r="O1776" s="370"/>
      <c r="T1776" s="340"/>
      <c r="V1776" s="378"/>
      <c r="W1776" s="64" ph="1"/>
      <c r="X1776" s="241"/>
      <c r="Y1776" s="284"/>
      <c r="Z1776" s="207"/>
      <c r="AA1776" s="284"/>
      <c r="AB1776" s="284"/>
      <c r="AC1776" s="284"/>
      <c r="AD1776" s="284"/>
      <c r="AE1776" s="284"/>
      <c r="AF1776" s="284"/>
      <c r="AG1776" s="284"/>
      <c r="AI1776" s="131"/>
    </row>
    <row r="1777" spans="1:35" ht="26.4">
      <c r="A1777" s="284"/>
      <c r="B1777" s="284"/>
      <c r="C1777" s="284"/>
      <c r="D1777" s="284"/>
      <c r="E1777" s="284"/>
      <c r="F1777" s="284"/>
      <c r="G1777" s="284"/>
      <c r="H1777" s="284"/>
      <c r="I1777" s="284"/>
      <c r="J1777" s="375"/>
      <c r="K1777" s="375"/>
      <c r="L1777" s="375"/>
      <c r="M1777" s="368"/>
      <c r="N1777" s="368"/>
      <c r="O1777" s="370"/>
      <c r="T1777" s="340"/>
      <c r="V1777" s="378"/>
      <c r="W1777" s="64" ph="1"/>
      <c r="X1777" s="241"/>
      <c r="Y1777" s="284"/>
      <c r="Z1777" s="207"/>
      <c r="AA1777" s="284"/>
      <c r="AB1777" s="284"/>
      <c r="AC1777" s="284"/>
      <c r="AD1777" s="284"/>
      <c r="AE1777" s="284"/>
      <c r="AF1777" s="284"/>
      <c r="AG1777" s="284"/>
      <c r="AI1777" s="131"/>
    </row>
    <row r="1778" spans="1:35" ht="26.4">
      <c r="A1778" s="284"/>
      <c r="B1778" s="284"/>
      <c r="C1778" s="284"/>
      <c r="D1778" s="284"/>
      <c r="E1778" s="284"/>
      <c r="F1778" s="284"/>
      <c r="G1778" s="284"/>
      <c r="H1778" s="284"/>
      <c r="I1778" s="284"/>
      <c r="J1778" s="375"/>
      <c r="K1778" s="375"/>
      <c r="L1778" s="375"/>
      <c r="M1778" s="368"/>
      <c r="N1778" s="368"/>
      <c r="O1778" s="370"/>
      <c r="T1778" s="340"/>
      <c r="V1778" s="378"/>
      <c r="W1778" s="64" ph="1"/>
      <c r="X1778" s="241"/>
      <c r="Y1778" s="284"/>
      <c r="Z1778" s="207"/>
      <c r="AA1778" s="284"/>
      <c r="AB1778" s="284"/>
      <c r="AC1778" s="284"/>
      <c r="AD1778" s="284"/>
      <c r="AE1778" s="284"/>
      <c r="AF1778" s="284"/>
      <c r="AG1778" s="284"/>
      <c r="AI1778" s="284"/>
    </row>
    <row r="1779" spans="1:35" ht="26.4">
      <c r="A1779" s="284"/>
      <c r="B1779" s="284"/>
      <c r="C1779" s="284"/>
      <c r="D1779" s="284"/>
      <c r="E1779" s="284"/>
      <c r="F1779" s="284"/>
      <c r="G1779" s="284"/>
      <c r="H1779" s="284"/>
      <c r="I1779" s="284"/>
      <c r="J1779" s="375"/>
      <c r="K1779" s="375"/>
      <c r="L1779" s="375"/>
      <c r="M1779" s="368"/>
      <c r="N1779" s="368"/>
      <c r="O1779" s="370"/>
      <c r="T1779" s="340"/>
      <c r="V1779" s="378"/>
      <c r="W1779" s="64" ph="1"/>
      <c r="X1779" s="241"/>
      <c r="Y1779" s="284"/>
      <c r="Z1779" s="207"/>
      <c r="AA1779" s="284"/>
      <c r="AB1779" s="284"/>
      <c r="AC1779" s="284"/>
      <c r="AD1779" s="284"/>
      <c r="AE1779" s="284"/>
      <c r="AF1779" s="284"/>
      <c r="AG1779" s="284"/>
      <c r="AI1779" s="131"/>
    </row>
    <row r="1780" spans="1:35" ht="26.4">
      <c r="A1780" s="284"/>
      <c r="B1780" s="284"/>
      <c r="C1780" s="284"/>
      <c r="D1780" s="284"/>
      <c r="E1780" s="284"/>
      <c r="F1780" s="284"/>
      <c r="G1780" s="284"/>
      <c r="H1780" s="284"/>
      <c r="I1780" s="284"/>
      <c r="J1780" s="375"/>
      <c r="K1780" s="375"/>
      <c r="L1780" s="375"/>
      <c r="M1780" s="368"/>
      <c r="N1780" s="368"/>
      <c r="O1780" s="370"/>
      <c r="T1780" s="340"/>
      <c r="V1780" s="378"/>
      <c r="W1780" s="64" ph="1"/>
      <c r="X1780" s="241"/>
      <c r="Y1780" s="284"/>
      <c r="Z1780" s="207"/>
      <c r="AA1780" s="284"/>
      <c r="AB1780" s="284"/>
      <c r="AC1780" s="284"/>
      <c r="AD1780" s="284"/>
      <c r="AE1780" s="284"/>
      <c r="AF1780" s="284"/>
      <c r="AG1780" s="284"/>
      <c r="AI1780" s="131"/>
    </row>
    <row r="1781" spans="1:35" ht="26.4">
      <c r="A1781" s="284"/>
      <c r="B1781" s="284"/>
      <c r="C1781" s="284"/>
      <c r="D1781" s="284"/>
      <c r="E1781" s="284"/>
      <c r="F1781" s="284"/>
      <c r="G1781" s="284"/>
      <c r="H1781" s="284"/>
      <c r="I1781" s="284"/>
      <c r="J1781" s="375"/>
      <c r="K1781" s="375"/>
      <c r="L1781" s="375"/>
      <c r="M1781" s="368"/>
      <c r="N1781" s="368"/>
      <c r="O1781" s="370"/>
      <c r="T1781" s="340"/>
      <c r="V1781" s="378"/>
      <c r="W1781" s="64" ph="1"/>
      <c r="X1781" s="241"/>
      <c r="Y1781" s="284"/>
      <c r="Z1781" s="207"/>
      <c r="AA1781" s="284"/>
      <c r="AB1781" s="284"/>
      <c r="AC1781" s="284"/>
      <c r="AD1781" s="284"/>
      <c r="AE1781" s="284"/>
      <c r="AF1781" s="284"/>
      <c r="AG1781" s="284"/>
      <c r="AI1781" s="131"/>
    </row>
    <row r="1782" spans="1:35" ht="26.4">
      <c r="A1782" s="284"/>
      <c r="B1782" s="284"/>
      <c r="C1782" s="284"/>
      <c r="D1782" s="284"/>
      <c r="E1782" s="284"/>
      <c r="F1782" s="284"/>
      <c r="G1782" s="284"/>
      <c r="H1782" s="284"/>
      <c r="I1782" s="284"/>
      <c r="J1782" s="375"/>
      <c r="K1782" s="375"/>
      <c r="L1782" s="375"/>
      <c r="M1782" s="368"/>
      <c r="N1782" s="368"/>
      <c r="O1782" s="370"/>
      <c r="T1782" s="340"/>
      <c r="V1782" s="378"/>
      <c r="W1782" s="64" ph="1"/>
      <c r="X1782" s="241"/>
      <c r="Y1782" s="284"/>
      <c r="Z1782" s="207"/>
      <c r="AA1782" s="284"/>
      <c r="AB1782" s="284"/>
      <c r="AC1782" s="284"/>
      <c r="AD1782" s="284"/>
      <c r="AE1782" s="284"/>
      <c r="AF1782" s="284"/>
      <c r="AG1782" s="284"/>
      <c r="AI1782" s="131"/>
    </row>
    <row r="1783" spans="1:35" ht="26.4">
      <c r="A1783" s="284"/>
      <c r="B1783" s="284"/>
      <c r="C1783" s="284"/>
      <c r="D1783" s="284"/>
      <c r="E1783" s="284"/>
      <c r="F1783" s="284"/>
      <c r="G1783" s="284"/>
      <c r="H1783" s="284"/>
      <c r="I1783" s="284"/>
      <c r="J1783" s="375"/>
      <c r="K1783" s="375"/>
      <c r="L1783" s="375"/>
      <c r="M1783" s="368"/>
      <c r="N1783" s="368"/>
      <c r="O1783" s="370"/>
      <c r="T1783" s="340"/>
      <c r="V1783" s="378"/>
      <c r="W1783" s="64" ph="1"/>
      <c r="X1783" s="241"/>
      <c r="Y1783" s="284"/>
      <c r="Z1783" s="207"/>
      <c r="AA1783" s="284"/>
      <c r="AB1783" s="284"/>
      <c r="AC1783" s="284"/>
      <c r="AD1783" s="284"/>
      <c r="AE1783" s="284"/>
      <c r="AF1783" s="284"/>
      <c r="AG1783" s="284"/>
      <c r="AI1783" s="131"/>
    </row>
    <row r="1784" spans="1:35" ht="26.4">
      <c r="A1784" s="284"/>
      <c r="B1784" s="284"/>
      <c r="C1784" s="284"/>
      <c r="D1784" s="284"/>
      <c r="E1784" s="284"/>
      <c r="F1784" s="284"/>
      <c r="G1784" s="284"/>
      <c r="H1784" s="284"/>
      <c r="I1784" s="284"/>
      <c r="J1784" s="375"/>
      <c r="K1784" s="375"/>
      <c r="L1784" s="375"/>
      <c r="M1784" s="368"/>
      <c r="N1784" s="368"/>
      <c r="O1784" s="370"/>
      <c r="T1784" s="340"/>
      <c r="V1784" s="378"/>
      <c r="W1784" s="64" ph="1"/>
      <c r="X1784" s="241"/>
      <c r="Y1784" s="284"/>
      <c r="Z1784" s="207"/>
      <c r="AA1784" s="284"/>
      <c r="AB1784" s="284"/>
      <c r="AC1784" s="284"/>
      <c r="AD1784" s="284"/>
      <c r="AE1784" s="284"/>
      <c r="AF1784" s="284"/>
      <c r="AG1784" s="284"/>
      <c r="AI1784" s="131"/>
    </row>
    <row r="1785" spans="1:35" ht="26.4">
      <c r="A1785" s="284"/>
      <c r="B1785" s="284"/>
      <c r="C1785" s="284"/>
      <c r="D1785" s="284"/>
      <c r="E1785" s="284"/>
      <c r="F1785" s="284"/>
      <c r="G1785" s="284"/>
      <c r="H1785" s="284"/>
      <c r="I1785" s="284"/>
      <c r="J1785" s="375"/>
      <c r="K1785" s="375"/>
      <c r="L1785" s="375"/>
      <c r="M1785" s="368"/>
      <c r="N1785" s="368"/>
      <c r="O1785" s="370"/>
      <c r="T1785" s="340"/>
      <c r="V1785" s="378"/>
      <c r="W1785" s="64" ph="1"/>
      <c r="X1785" s="241"/>
      <c r="Y1785" s="284"/>
      <c r="Z1785" s="207"/>
      <c r="AA1785" s="284"/>
      <c r="AB1785" s="284"/>
      <c r="AC1785" s="284"/>
      <c r="AD1785" s="284"/>
      <c r="AE1785" s="284"/>
      <c r="AF1785" s="284"/>
      <c r="AG1785" s="284"/>
      <c r="AI1785" s="52"/>
    </row>
    <row r="1786" spans="1:35" ht="26.4">
      <c r="A1786" s="284"/>
      <c r="B1786" s="284"/>
      <c r="C1786" s="284"/>
      <c r="D1786" s="284"/>
      <c r="E1786" s="284"/>
      <c r="F1786" s="284"/>
      <c r="G1786" s="284"/>
      <c r="H1786" s="284"/>
      <c r="I1786" s="284"/>
      <c r="J1786" s="375"/>
      <c r="K1786" s="375"/>
      <c r="L1786" s="375"/>
      <c r="M1786" s="368"/>
      <c r="N1786" s="368"/>
      <c r="O1786" s="370"/>
      <c r="T1786" s="340"/>
      <c r="V1786" s="378"/>
      <c r="W1786" s="64" ph="1"/>
      <c r="X1786" s="241"/>
      <c r="Y1786" s="284"/>
      <c r="Z1786" s="207"/>
      <c r="AA1786" s="284"/>
      <c r="AB1786" s="284"/>
      <c r="AC1786" s="284"/>
      <c r="AD1786" s="284"/>
      <c r="AE1786" s="284"/>
      <c r="AF1786" s="284"/>
      <c r="AG1786" s="284"/>
      <c r="AI1786" s="131"/>
    </row>
    <row r="1787" spans="1:35" ht="26.4">
      <c r="A1787" s="284"/>
      <c r="B1787" s="284"/>
      <c r="C1787" s="284"/>
      <c r="D1787" s="284"/>
      <c r="E1787" s="284"/>
      <c r="F1787" s="284"/>
      <c r="G1787" s="284"/>
      <c r="H1787" s="284"/>
      <c r="I1787" s="284"/>
      <c r="J1787" s="375"/>
      <c r="K1787" s="375"/>
      <c r="L1787" s="375"/>
      <c r="M1787" s="368"/>
      <c r="N1787" s="368"/>
      <c r="O1787" s="370"/>
      <c r="T1787" s="340"/>
      <c r="V1787" s="378"/>
      <c r="W1787" s="64" ph="1"/>
      <c r="X1787" s="241"/>
      <c r="Y1787" s="284"/>
      <c r="Z1787" s="207"/>
      <c r="AA1787" s="284"/>
      <c r="AB1787" s="284"/>
      <c r="AC1787" s="284"/>
      <c r="AD1787" s="284"/>
      <c r="AE1787" s="284"/>
      <c r="AF1787" s="284"/>
      <c r="AG1787" s="284"/>
      <c r="AI1787" s="131"/>
    </row>
    <row r="1788" spans="1:35" ht="26.4">
      <c r="A1788" s="284"/>
      <c r="B1788" s="284"/>
      <c r="C1788" s="284"/>
      <c r="D1788" s="284"/>
      <c r="E1788" s="284"/>
      <c r="F1788" s="284"/>
      <c r="G1788" s="284"/>
      <c r="H1788" s="284"/>
      <c r="I1788" s="284"/>
      <c r="J1788" s="375"/>
      <c r="K1788" s="375"/>
      <c r="L1788" s="375"/>
      <c r="M1788" s="368"/>
      <c r="N1788" s="368"/>
      <c r="O1788" s="370"/>
      <c r="T1788" s="340"/>
      <c r="V1788" s="378"/>
      <c r="W1788" s="64" ph="1"/>
      <c r="X1788" s="241"/>
      <c r="Y1788" s="284"/>
      <c r="Z1788" s="207"/>
      <c r="AA1788" s="284"/>
      <c r="AB1788" s="284"/>
      <c r="AC1788" s="284"/>
      <c r="AD1788" s="284"/>
      <c r="AE1788" s="284"/>
      <c r="AF1788" s="284"/>
      <c r="AG1788" s="284"/>
      <c r="AI1788" s="131"/>
    </row>
    <row r="1789" spans="1:35" ht="26.4">
      <c r="A1789" s="284"/>
      <c r="B1789" s="284"/>
      <c r="C1789" s="284"/>
      <c r="D1789" s="284"/>
      <c r="E1789" s="284"/>
      <c r="F1789" s="284"/>
      <c r="G1789" s="284"/>
      <c r="H1789" s="284"/>
      <c r="I1789" s="284"/>
      <c r="J1789" s="375"/>
      <c r="K1789" s="375"/>
      <c r="L1789" s="375"/>
      <c r="M1789" s="368"/>
      <c r="N1789" s="368"/>
      <c r="O1789" s="370"/>
      <c r="T1789" s="340"/>
      <c r="V1789" s="378"/>
      <c r="W1789" s="64" ph="1"/>
      <c r="X1789" s="241"/>
      <c r="Y1789" s="284"/>
      <c r="Z1789" s="207"/>
      <c r="AA1789" s="284"/>
      <c r="AB1789" s="284"/>
      <c r="AC1789" s="284"/>
      <c r="AD1789" s="284"/>
      <c r="AE1789" s="284"/>
      <c r="AF1789" s="284"/>
      <c r="AG1789" s="284"/>
      <c r="AI1789" s="131"/>
    </row>
    <row r="1790" spans="1:35" ht="26.4">
      <c r="A1790" s="284"/>
      <c r="B1790" s="284"/>
      <c r="C1790" s="284"/>
      <c r="D1790" s="284"/>
      <c r="E1790" s="284"/>
      <c r="F1790" s="284"/>
      <c r="G1790" s="284"/>
      <c r="H1790" s="284"/>
      <c r="I1790" s="284"/>
      <c r="J1790" s="375"/>
      <c r="K1790" s="375"/>
      <c r="L1790" s="375"/>
      <c r="M1790" s="368"/>
      <c r="N1790" s="368"/>
      <c r="O1790" s="370"/>
      <c r="T1790" s="340"/>
      <c r="V1790" s="378"/>
      <c r="W1790" s="64" ph="1"/>
      <c r="X1790" s="241"/>
      <c r="Y1790" s="284"/>
      <c r="Z1790" s="207"/>
      <c r="AA1790" s="284"/>
      <c r="AB1790" s="284"/>
      <c r="AC1790" s="284"/>
      <c r="AD1790" s="284"/>
      <c r="AE1790" s="284"/>
      <c r="AF1790" s="284"/>
      <c r="AG1790" s="284"/>
      <c r="AI1790" s="131"/>
    </row>
    <row r="1791" spans="1:35" ht="26.4">
      <c r="A1791" s="284"/>
      <c r="B1791" s="284"/>
      <c r="C1791" s="284"/>
      <c r="D1791" s="284"/>
      <c r="E1791" s="284"/>
      <c r="F1791" s="284"/>
      <c r="G1791" s="284"/>
      <c r="H1791" s="284"/>
      <c r="I1791" s="284"/>
      <c r="J1791" s="375"/>
      <c r="K1791" s="375"/>
      <c r="L1791" s="375"/>
      <c r="M1791" s="368"/>
      <c r="N1791" s="368"/>
      <c r="O1791" s="370"/>
      <c r="T1791" s="340"/>
      <c r="V1791" s="378"/>
      <c r="W1791" s="64" ph="1"/>
      <c r="X1791" s="241"/>
      <c r="Y1791" s="284"/>
      <c r="Z1791" s="207"/>
      <c r="AA1791" s="284"/>
      <c r="AB1791" s="284"/>
      <c r="AC1791" s="284"/>
      <c r="AD1791" s="284"/>
      <c r="AE1791" s="284"/>
      <c r="AF1791" s="284"/>
      <c r="AG1791" s="284"/>
      <c r="AI1791" s="131"/>
    </row>
    <row r="1792" spans="1:35" ht="26.4">
      <c r="A1792" s="284"/>
      <c r="B1792" s="284"/>
      <c r="C1792" s="284"/>
      <c r="D1792" s="284"/>
      <c r="E1792" s="284"/>
      <c r="F1792" s="284"/>
      <c r="G1792" s="284"/>
      <c r="H1792" s="284"/>
      <c r="I1792" s="284"/>
      <c r="J1792" s="375"/>
      <c r="K1792" s="375"/>
      <c r="L1792" s="375"/>
      <c r="M1792" s="368"/>
      <c r="N1792" s="368"/>
      <c r="O1792" s="370"/>
      <c r="T1792" s="340"/>
      <c r="V1792" s="378"/>
      <c r="W1792" s="64" ph="1"/>
      <c r="X1792" s="241"/>
      <c r="Y1792" s="284"/>
      <c r="Z1792" s="207"/>
      <c r="AA1792" s="284"/>
      <c r="AB1792" s="284"/>
      <c r="AC1792" s="284"/>
      <c r="AD1792" s="284"/>
      <c r="AE1792" s="284"/>
      <c r="AF1792" s="284"/>
      <c r="AG1792" s="284"/>
      <c r="AI1792" s="131"/>
    </row>
    <row r="1793" spans="1:35" ht="26.4">
      <c r="A1793" s="284"/>
      <c r="B1793" s="284"/>
      <c r="C1793" s="284"/>
      <c r="D1793" s="284"/>
      <c r="E1793" s="284"/>
      <c r="F1793" s="284"/>
      <c r="G1793" s="284"/>
      <c r="H1793" s="284"/>
      <c r="I1793" s="284"/>
      <c r="J1793" s="375"/>
      <c r="K1793" s="375"/>
      <c r="L1793" s="375"/>
      <c r="M1793" s="368"/>
      <c r="N1793" s="368"/>
      <c r="O1793" s="370"/>
      <c r="T1793" s="340"/>
      <c r="V1793" s="378"/>
      <c r="W1793" s="64" ph="1"/>
      <c r="X1793" s="241"/>
      <c r="Y1793" s="284"/>
      <c r="Z1793" s="207"/>
      <c r="AA1793" s="284"/>
      <c r="AB1793" s="284"/>
      <c r="AC1793" s="284"/>
      <c r="AD1793" s="284"/>
      <c r="AE1793" s="284"/>
      <c r="AF1793" s="284"/>
      <c r="AG1793" s="284"/>
      <c r="AI1793" s="131"/>
    </row>
    <row r="1794" spans="1:35" ht="26.4">
      <c r="A1794" s="284"/>
      <c r="B1794" s="284"/>
      <c r="C1794" s="284"/>
      <c r="D1794" s="284"/>
      <c r="E1794" s="284"/>
      <c r="F1794" s="284"/>
      <c r="G1794" s="284"/>
      <c r="H1794" s="284"/>
      <c r="I1794" s="284"/>
      <c r="J1794" s="375"/>
      <c r="K1794" s="375"/>
      <c r="L1794" s="375"/>
      <c r="M1794" s="368"/>
      <c r="N1794" s="368"/>
      <c r="O1794" s="370"/>
      <c r="T1794" s="340"/>
      <c r="V1794" s="378"/>
      <c r="W1794" s="64" ph="1"/>
      <c r="X1794" s="241"/>
      <c r="Y1794" s="284"/>
      <c r="Z1794" s="207"/>
      <c r="AA1794" s="284"/>
      <c r="AB1794" s="284"/>
      <c r="AC1794" s="284"/>
      <c r="AD1794" s="284"/>
      <c r="AE1794" s="284"/>
      <c r="AF1794" s="284"/>
      <c r="AG1794" s="284"/>
      <c r="AI1794" s="131"/>
    </row>
    <row r="1795" spans="1:35" ht="26.4">
      <c r="A1795" s="284"/>
      <c r="B1795" s="284"/>
      <c r="C1795" s="284"/>
      <c r="D1795" s="284"/>
      <c r="E1795" s="284"/>
      <c r="F1795" s="284"/>
      <c r="G1795" s="284"/>
      <c r="H1795" s="284"/>
      <c r="I1795" s="284"/>
      <c r="J1795" s="375"/>
      <c r="K1795" s="375"/>
      <c r="L1795" s="375"/>
      <c r="M1795" s="368"/>
      <c r="N1795" s="368"/>
      <c r="O1795" s="370"/>
      <c r="T1795" s="340"/>
      <c r="V1795" s="378"/>
      <c r="W1795" s="64" ph="1"/>
      <c r="X1795" s="241"/>
      <c r="Y1795" s="284"/>
      <c r="Z1795" s="207"/>
      <c r="AA1795" s="284"/>
      <c r="AB1795" s="284"/>
      <c r="AC1795" s="284"/>
      <c r="AD1795" s="284"/>
      <c r="AE1795" s="284"/>
      <c r="AF1795" s="284"/>
      <c r="AG1795" s="284"/>
      <c r="AI1795" s="131"/>
    </row>
    <row r="1796" spans="1:35" ht="26.4">
      <c r="A1796" s="284"/>
      <c r="B1796" s="284"/>
      <c r="C1796" s="284"/>
      <c r="D1796" s="284"/>
      <c r="E1796" s="284"/>
      <c r="F1796" s="284"/>
      <c r="G1796" s="284"/>
      <c r="H1796" s="284"/>
      <c r="I1796" s="284"/>
      <c r="J1796" s="375"/>
      <c r="K1796" s="375"/>
      <c r="L1796" s="375"/>
      <c r="M1796" s="368"/>
      <c r="N1796" s="368"/>
      <c r="O1796" s="370"/>
      <c r="T1796" s="340"/>
      <c r="V1796" s="378"/>
      <c r="W1796" s="64" ph="1"/>
      <c r="X1796" s="241"/>
      <c r="Y1796" s="284"/>
      <c r="Z1796" s="207"/>
      <c r="AA1796" s="284"/>
      <c r="AB1796" s="284"/>
      <c r="AC1796" s="284"/>
      <c r="AD1796" s="284"/>
      <c r="AE1796" s="284"/>
      <c r="AF1796" s="284"/>
      <c r="AG1796" s="284"/>
      <c r="AI1796" s="131"/>
    </row>
    <row r="1797" spans="1:35" ht="26.4">
      <c r="A1797" s="284"/>
      <c r="B1797" s="284"/>
      <c r="C1797" s="284"/>
      <c r="D1797" s="284"/>
      <c r="E1797" s="284"/>
      <c r="F1797" s="284"/>
      <c r="G1797" s="284"/>
      <c r="H1797" s="284"/>
      <c r="I1797" s="284"/>
      <c r="J1797" s="375"/>
      <c r="K1797" s="375"/>
      <c r="L1797" s="375"/>
      <c r="M1797" s="368"/>
      <c r="N1797" s="368"/>
      <c r="O1797" s="370"/>
      <c r="T1797" s="340"/>
      <c r="V1797" s="378"/>
      <c r="W1797" s="64" ph="1"/>
      <c r="X1797" s="241"/>
      <c r="Y1797" s="284"/>
      <c r="Z1797" s="207"/>
      <c r="AA1797" s="284"/>
      <c r="AB1797" s="284"/>
      <c r="AC1797" s="284"/>
      <c r="AD1797" s="284"/>
      <c r="AE1797" s="284"/>
      <c r="AF1797" s="284"/>
      <c r="AG1797" s="284"/>
      <c r="AI1797" s="131"/>
    </row>
    <row r="1798" spans="1:35" ht="26.4">
      <c r="A1798" s="284"/>
      <c r="B1798" s="284"/>
      <c r="C1798" s="284"/>
      <c r="D1798" s="284"/>
      <c r="E1798" s="284"/>
      <c r="F1798" s="284"/>
      <c r="G1798" s="284"/>
      <c r="H1798" s="284"/>
      <c r="I1798" s="284"/>
      <c r="J1798" s="375"/>
      <c r="K1798" s="375"/>
      <c r="L1798" s="375"/>
      <c r="M1798" s="368"/>
      <c r="N1798" s="368"/>
      <c r="O1798" s="370"/>
      <c r="T1798" s="340"/>
      <c r="V1798" s="378"/>
      <c r="W1798" s="64" ph="1"/>
      <c r="X1798" s="241"/>
      <c r="Y1798" s="284"/>
      <c r="Z1798" s="207"/>
      <c r="AA1798" s="284"/>
      <c r="AB1798" s="284"/>
      <c r="AC1798" s="284"/>
      <c r="AD1798" s="284"/>
      <c r="AE1798" s="284"/>
      <c r="AF1798" s="284"/>
      <c r="AG1798" s="284"/>
      <c r="AI1798" s="131"/>
    </row>
    <row r="1799" spans="1:35" ht="26.4">
      <c r="A1799" s="284"/>
      <c r="B1799" s="284"/>
      <c r="C1799" s="284"/>
      <c r="D1799" s="284"/>
      <c r="E1799" s="284"/>
      <c r="F1799" s="284"/>
      <c r="G1799" s="284"/>
      <c r="H1799" s="284"/>
      <c r="I1799" s="284"/>
      <c r="J1799" s="375"/>
      <c r="K1799" s="375"/>
      <c r="L1799" s="375"/>
      <c r="M1799" s="368"/>
      <c r="N1799" s="368"/>
      <c r="O1799" s="370"/>
      <c r="T1799" s="340"/>
      <c r="V1799" s="378"/>
      <c r="W1799" s="64" ph="1"/>
      <c r="X1799" s="241"/>
      <c r="Y1799" s="284"/>
      <c r="Z1799" s="207"/>
      <c r="AA1799" s="284"/>
      <c r="AB1799" s="284"/>
      <c r="AC1799" s="284"/>
      <c r="AD1799" s="284"/>
      <c r="AE1799" s="284"/>
      <c r="AF1799" s="284"/>
      <c r="AG1799" s="284"/>
      <c r="AI1799" s="131"/>
    </row>
    <row r="1800" spans="1:35" ht="26.4">
      <c r="A1800" s="284"/>
      <c r="B1800" s="284"/>
      <c r="C1800" s="284"/>
      <c r="D1800" s="284"/>
      <c r="E1800" s="284"/>
      <c r="F1800" s="284"/>
      <c r="G1800" s="284"/>
      <c r="H1800" s="284"/>
      <c r="I1800" s="284"/>
      <c r="J1800" s="375"/>
      <c r="K1800" s="375"/>
      <c r="L1800" s="375"/>
      <c r="M1800" s="368"/>
      <c r="N1800" s="368"/>
      <c r="O1800" s="370"/>
      <c r="T1800" s="340"/>
      <c r="V1800" s="378"/>
      <c r="W1800" s="64" ph="1"/>
      <c r="X1800" s="241"/>
      <c r="Y1800" s="284"/>
      <c r="Z1800" s="207"/>
      <c r="AA1800" s="284"/>
      <c r="AB1800" s="284"/>
      <c r="AC1800" s="284"/>
      <c r="AD1800" s="284"/>
      <c r="AE1800" s="284"/>
      <c r="AF1800" s="284"/>
      <c r="AG1800" s="284"/>
      <c r="AI1800" s="131"/>
    </row>
    <row r="1801" spans="1:35" ht="26.4">
      <c r="A1801" s="284"/>
      <c r="B1801" s="284"/>
      <c r="C1801" s="284"/>
      <c r="D1801" s="284"/>
      <c r="E1801" s="284"/>
      <c r="F1801" s="284"/>
      <c r="G1801" s="284"/>
      <c r="H1801" s="284"/>
      <c r="I1801" s="284"/>
      <c r="J1801" s="375"/>
      <c r="K1801" s="375"/>
      <c r="L1801" s="375"/>
      <c r="M1801" s="368"/>
      <c r="N1801" s="368"/>
      <c r="O1801" s="370"/>
      <c r="T1801" s="340"/>
      <c r="V1801" s="378"/>
      <c r="W1801" s="64" ph="1"/>
      <c r="X1801" s="241"/>
      <c r="Y1801" s="284"/>
      <c r="Z1801" s="207"/>
      <c r="AA1801" s="284"/>
      <c r="AB1801" s="284"/>
      <c r="AC1801" s="284"/>
      <c r="AD1801" s="284"/>
      <c r="AE1801" s="284"/>
      <c r="AF1801" s="284"/>
      <c r="AG1801" s="284"/>
      <c r="AI1801" s="131"/>
    </row>
    <row r="1802" spans="1:35" ht="26.4">
      <c r="A1802" s="284"/>
      <c r="B1802" s="284"/>
      <c r="C1802" s="284"/>
      <c r="D1802" s="284"/>
      <c r="E1802" s="284"/>
      <c r="F1802" s="284"/>
      <c r="G1802" s="284"/>
      <c r="H1802" s="284"/>
      <c r="I1802" s="284"/>
      <c r="J1802" s="375"/>
      <c r="K1802" s="375"/>
      <c r="L1802" s="375"/>
      <c r="M1802" s="368"/>
      <c r="N1802" s="368"/>
      <c r="O1802" s="370"/>
      <c r="T1802" s="340"/>
      <c r="V1802" s="378"/>
      <c r="W1802" s="64" ph="1"/>
      <c r="X1802" s="241"/>
      <c r="Y1802" s="284"/>
      <c r="Z1802" s="207"/>
      <c r="AA1802" s="284"/>
      <c r="AB1802" s="284"/>
      <c r="AC1802" s="284"/>
      <c r="AD1802" s="284"/>
      <c r="AE1802" s="284"/>
      <c r="AF1802" s="284"/>
      <c r="AG1802" s="284"/>
      <c r="AI1802" s="131"/>
    </row>
    <row r="1803" spans="1:35" ht="26.4">
      <c r="A1803" s="284"/>
      <c r="B1803" s="284"/>
      <c r="C1803" s="284"/>
      <c r="D1803" s="284"/>
      <c r="E1803" s="284"/>
      <c r="F1803" s="284"/>
      <c r="G1803" s="284"/>
      <c r="H1803" s="284"/>
      <c r="I1803" s="284"/>
      <c r="J1803" s="375"/>
      <c r="K1803" s="375"/>
      <c r="L1803" s="375"/>
      <c r="M1803" s="368"/>
      <c r="N1803" s="368"/>
      <c r="O1803" s="370"/>
      <c r="T1803" s="340"/>
      <c r="V1803" s="378"/>
      <c r="W1803" s="64" ph="1"/>
      <c r="X1803" s="241"/>
      <c r="Y1803" s="284"/>
      <c r="Z1803" s="207"/>
      <c r="AA1803" s="284"/>
      <c r="AB1803" s="284"/>
      <c r="AC1803" s="284"/>
      <c r="AD1803" s="284"/>
      <c r="AE1803" s="284"/>
      <c r="AF1803" s="284"/>
      <c r="AG1803" s="284"/>
      <c r="AI1803" s="131"/>
    </row>
    <row r="1804" spans="1:35" ht="26.4">
      <c r="A1804" s="284"/>
      <c r="B1804" s="284"/>
      <c r="C1804" s="284"/>
      <c r="D1804" s="284"/>
      <c r="E1804" s="284"/>
      <c r="F1804" s="284"/>
      <c r="G1804" s="284"/>
      <c r="H1804" s="284"/>
      <c r="I1804" s="284"/>
      <c r="J1804" s="375"/>
      <c r="K1804" s="375"/>
      <c r="L1804" s="375"/>
      <c r="M1804" s="368"/>
      <c r="N1804" s="368"/>
      <c r="O1804" s="370"/>
      <c r="T1804" s="340"/>
      <c r="V1804" s="378"/>
      <c r="W1804" s="64" ph="1"/>
      <c r="X1804" s="241"/>
      <c r="Y1804" s="284"/>
      <c r="Z1804" s="207"/>
      <c r="AA1804" s="284"/>
      <c r="AB1804" s="284"/>
      <c r="AC1804" s="284"/>
      <c r="AD1804" s="284"/>
      <c r="AE1804" s="284"/>
      <c r="AF1804" s="284"/>
      <c r="AG1804" s="284"/>
      <c r="AI1804" s="131"/>
    </row>
    <row r="1805" spans="1:35" ht="26.4">
      <c r="A1805" s="284"/>
      <c r="B1805" s="284"/>
      <c r="C1805" s="284"/>
      <c r="D1805" s="284"/>
      <c r="E1805" s="284"/>
      <c r="F1805" s="284"/>
      <c r="G1805" s="284"/>
      <c r="H1805" s="284"/>
      <c r="I1805" s="284"/>
      <c r="J1805" s="375"/>
      <c r="K1805" s="375"/>
      <c r="L1805" s="375"/>
      <c r="M1805" s="368"/>
      <c r="N1805" s="368"/>
      <c r="O1805" s="370"/>
      <c r="T1805" s="340"/>
      <c r="V1805" s="378"/>
      <c r="W1805" s="64" ph="1"/>
      <c r="X1805" s="241"/>
      <c r="Y1805" s="284"/>
      <c r="Z1805" s="207"/>
      <c r="AA1805" s="284"/>
      <c r="AB1805" s="284"/>
      <c r="AC1805" s="284"/>
      <c r="AD1805" s="284"/>
      <c r="AE1805" s="284"/>
      <c r="AF1805" s="284"/>
      <c r="AG1805" s="284"/>
      <c r="AI1805" s="131"/>
    </row>
    <row r="1806" spans="1:35" ht="26.4">
      <c r="A1806" s="284"/>
      <c r="B1806" s="284"/>
      <c r="C1806" s="284"/>
      <c r="D1806" s="284"/>
      <c r="E1806" s="284"/>
      <c r="F1806" s="284"/>
      <c r="G1806" s="284"/>
      <c r="H1806" s="284"/>
      <c r="I1806" s="284"/>
      <c r="J1806" s="375"/>
      <c r="K1806" s="375"/>
      <c r="L1806" s="375"/>
      <c r="M1806" s="368"/>
      <c r="N1806" s="368"/>
      <c r="O1806" s="370"/>
      <c r="T1806" s="340"/>
      <c r="V1806" s="378"/>
      <c r="W1806" s="64" ph="1"/>
      <c r="X1806" s="241"/>
      <c r="Y1806" s="284"/>
      <c r="Z1806" s="207"/>
      <c r="AA1806" s="284"/>
      <c r="AB1806" s="284"/>
      <c r="AC1806" s="284"/>
      <c r="AD1806" s="284"/>
      <c r="AE1806" s="284"/>
      <c r="AF1806" s="284"/>
      <c r="AG1806" s="284"/>
      <c r="AI1806" s="131"/>
    </row>
    <row r="1807" spans="1:35" ht="26.4">
      <c r="A1807" s="284"/>
      <c r="B1807" s="284"/>
      <c r="C1807" s="284"/>
      <c r="D1807" s="284"/>
      <c r="E1807" s="284"/>
      <c r="F1807" s="284"/>
      <c r="G1807" s="284"/>
      <c r="H1807" s="284"/>
      <c r="I1807" s="284"/>
      <c r="J1807" s="375"/>
      <c r="K1807" s="375"/>
      <c r="L1807" s="375"/>
      <c r="M1807" s="368"/>
      <c r="N1807" s="368"/>
      <c r="O1807" s="370"/>
      <c r="T1807" s="340"/>
      <c r="V1807" s="378"/>
      <c r="W1807" s="64" ph="1"/>
      <c r="X1807" s="241"/>
      <c r="Y1807" s="284"/>
      <c r="Z1807" s="207"/>
      <c r="AA1807" s="284"/>
      <c r="AB1807" s="284"/>
      <c r="AC1807" s="284"/>
      <c r="AD1807" s="284"/>
      <c r="AE1807" s="284"/>
      <c r="AF1807" s="284"/>
      <c r="AG1807" s="284"/>
      <c r="AI1807" s="131"/>
    </row>
    <row r="1808" spans="1:35" ht="26.4">
      <c r="A1808" s="284"/>
      <c r="B1808" s="284"/>
      <c r="C1808" s="284"/>
      <c r="D1808" s="284"/>
      <c r="E1808" s="284"/>
      <c r="F1808" s="284"/>
      <c r="G1808" s="284"/>
      <c r="H1808" s="284"/>
      <c r="I1808" s="284"/>
      <c r="J1808" s="375"/>
      <c r="K1808" s="375"/>
      <c r="L1808" s="375"/>
      <c r="M1808" s="368"/>
      <c r="N1808" s="368"/>
      <c r="O1808" s="370"/>
      <c r="T1808" s="340"/>
      <c r="V1808" s="378"/>
      <c r="W1808" s="64" ph="1"/>
      <c r="X1808" s="241"/>
      <c r="Y1808" s="284"/>
      <c r="Z1808" s="207"/>
      <c r="AA1808" s="284"/>
      <c r="AB1808" s="284"/>
      <c r="AC1808" s="284"/>
      <c r="AD1808" s="284"/>
      <c r="AE1808" s="284"/>
      <c r="AF1808" s="284"/>
      <c r="AG1808" s="284"/>
      <c r="AI1808" s="131"/>
    </row>
    <row r="1809" spans="1:35" ht="26.4">
      <c r="A1809" s="284"/>
      <c r="B1809" s="284"/>
      <c r="C1809" s="284"/>
      <c r="D1809" s="284"/>
      <c r="E1809" s="284"/>
      <c r="F1809" s="284"/>
      <c r="G1809" s="284"/>
      <c r="H1809" s="284"/>
      <c r="I1809" s="284"/>
      <c r="J1809" s="375"/>
      <c r="K1809" s="375"/>
      <c r="L1809" s="375"/>
      <c r="M1809" s="368"/>
      <c r="N1809" s="368"/>
      <c r="O1809" s="370"/>
      <c r="T1809" s="340"/>
      <c r="V1809" s="378"/>
      <c r="W1809" s="64" ph="1"/>
      <c r="X1809" s="241"/>
      <c r="Y1809" s="284"/>
      <c r="Z1809" s="207"/>
      <c r="AA1809" s="284"/>
      <c r="AB1809" s="284"/>
      <c r="AC1809" s="284"/>
      <c r="AD1809" s="284"/>
      <c r="AE1809" s="284"/>
      <c r="AF1809" s="284"/>
      <c r="AG1809" s="284"/>
      <c r="AI1809" s="131"/>
    </row>
    <row r="1810" spans="1:35" ht="26.4">
      <c r="A1810" s="284"/>
      <c r="B1810" s="284"/>
      <c r="C1810" s="284"/>
      <c r="D1810" s="284"/>
      <c r="E1810" s="284"/>
      <c r="F1810" s="284"/>
      <c r="G1810" s="284"/>
      <c r="H1810" s="284"/>
      <c r="I1810" s="284"/>
      <c r="J1810" s="375"/>
      <c r="K1810" s="375"/>
      <c r="L1810" s="375"/>
      <c r="M1810" s="368"/>
      <c r="N1810" s="368"/>
      <c r="O1810" s="370"/>
      <c r="T1810" s="340"/>
      <c r="V1810" s="378"/>
      <c r="W1810" s="64" ph="1"/>
      <c r="X1810" s="241"/>
      <c r="Y1810" s="284"/>
      <c r="Z1810" s="207"/>
      <c r="AA1810" s="284"/>
      <c r="AB1810" s="284"/>
      <c r="AC1810" s="284"/>
      <c r="AD1810" s="284"/>
      <c r="AE1810" s="284"/>
      <c r="AF1810" s="284"/>
      <c r="AG1810" s="284"/>
      <c r="AI1810" s="131"/>
    </row>
    <row r="1811" spans="1:35" ht="26.4">
      <c r="A1811" s="284"/>
      <c r="B1811" s="284"/>
      <c r="C1811" s="284"/>
      <c r="D1811" s="284"/>
      <c r="E1811" s="284"/>
      <c r="F1811" s="284"/>
      <c r="G1811" s="284"/>
      <c r="H1811" s="284"/>
      <c r="I1811" s="284"/>
      <c r="J1811" s="375"/>
      <c r="K1811" s="375"/>
      <c r="L1811" s="375"/>
      <c r="M1811" s="368"/>
      <c r="N1811" s="368"/>
      <c r="O1811" s="370"/>
      <c r="T1811" s="340"/>
      <c r="V1811" s="378"/>
      <c r="W1811" s="64" ph="1"/>
      <c r="X1811" s="241"/>
      <c r="Y1811" s="284"/>
      <c r="Z1811" s="207"/>
      <c r="AA1811" s="284"/>
      <c r="AB1811" s="284"/>
      <c r="AC1811" s="284"/>
      <c r="AD1811" s="284"/>
      <c r="AE1811" s="284"/>
      <c r="AF1811" s="284"/>
      <c r="AG1811" s="284"/>
      <c r="AI1811" s="131"/>
    </row>
    <row r="1812" spans="1:35" ht="26.4">
      <c r="A1812" s="284"/>
      <c r="B1812" s="284"/>
      <c r="C1812" s="284"/>
      <c r="D1812" s="284"/>
      <c r="E1812" s="284"/>
      <c r="F1812" s="284"/>
      <c r="G1812" s="284"/>
      <c r="H1812" s="284"/>
      <c r="I1812" s="284"/>
      <c r="J1812" s="375"/>
      <c r="K1812" s="375"/>
      <c r="L1812" s="375"/>
      <c r="M1812" s="368"/>
      <c r="N1812" s="368"/>
      <c r="O1812" s="370"/>
      <c r="T1812" s="340"/>
      <c r="V1812" s="378"/>
      <c r="W1812" s="64" ph="1"/>
      <c r="X1812" s="241"/>
      <c r="Y1812" s="284"/>
      <c r="Z1812" s="207"/>
      <c r="AA1812" s="284"/>
      <c r="AB1812" s="284"/>
      <c r="AC1812" s="284"/>
      <c r="AD1812" s="284"/>
      <c r="AE1812" s="284"/>
      <c r="AF1812" s="284"/>
      <c r="AG1812" s="284"/>
      <c r="AI1812" s="131"/>
    </row>
    <row r="1813" spans="1:35" ht="26.4">
      <c r="A1813" s="284"/>
      <c r="B1813" s="284"/>
      <c r="C1813" s="284"/>
      <c r="D1813" s="284"/>
      <c r="E1813" s="284"/>
      <c r="F1813" s="284"/>
      <c r="G1813" s="284"/>
      <c r="H1813" s="284"/>
      <c r="I1813" s="284"/>
      <c r="J1813" s="375"/>
      <c r="K1813" s="375"/>
      <c r="L1813" s="375"/>
      <c r="M1813" s="368"/>
      <c r="N1813" s="368"/>
      <c r="O1813" s="370"/>
      <c r="T1813" s="340"/>
      <c r="V1813" s="378"/>
      <c r="W1813" s="64" ph="1"/>
      <c r="X1813" s="241"/>
      <c r="Y1813" s="284"/>
      <c r="Z1813" s="207"/>
      <c r="AA1813" s="284"/>
      <c r="AB1813" s="284"/>
      <c r="AC1813" s="284"/>
      <c r="AD1813" s="284"/>
      <c r="AE1813" s="284"/>
      <c r="AF1813" s="284"/>
      <c r="AG1813" s="284"/>
      <c r="AI1813" s="131"/>
    </row>
    <row r="1814" spans="1:35" ht="26.4">
      <c r="A1814" s="284"/>
      <c r="B1814" s="284"/>
      <c r="C1814" s="284"/>
      <c r="D1814" s="284"/>
      <c r="E1814" s="284"/>
      <c r="F1814" s="284"/>
      <c r="G1814" s="284"/>
      <c r="H1814" s="284"/>
      <c r="I1814" s="284"/>
      <c r="J1814" s="375"/>
      <c r="K1814" s="375"/>
      <c r="L1814" s="375"/>
      <c r="M1814" s="368"/>
      <c r="N1814" s="368"/>
      <c r="O1814" s="370"/>
      <c r="T1814" s="340"/>
      <c r="V1814" s="378"/>
      <c r="W1814" s="64" ph="1"/>
      <c r="X1814" s="241"/>
      <c r="Y1814" s="284"/>
      <c r="Z1814" s="207"/>
      <c r="AA1814" s="284"/>
      <c r="AB1814" s="284"/>
      <c r="AC1814" s="284"/>
      <c r="AD1814" s="284"/>
      <c r="AE1814" s="284"/>
      <c r="AF1814" s="284"/>
      <c r="AG1814" s="284"/>
      <c r="AI1814" s="131"/>
    </row>
    <row r="1815" spans="1:35" ht="26.4">
      <c r="A1815" s="284"/>
      <c r="B1815" s="284"/>
      <c r="C1815" s="284"/>
      <c r="D1815" s="284"/>
      <c r="E1815" s="284"/>
      <c r="F1815" s="284"/>
      <c r="G1815" s="284"/>
      <c r="H1815" s="284"/>
      <c r="I1815" s="284"/>
      <c r="J1815" s="375"/>
      <c r="K1815" s="375"/>
      <c r="L1815" s="375"/>
      <c r="M1815" s="368"/>
      <c r="N1815" s="368"/>
      <c r="O1815" s="370"/>
      <c r="T1815" s="340"/>
      <c r="V1815" s="378"/>
      <c r="W1815" s="64" ph="1"/>
      <c r="X1815" s="241"/>
      <c r="Y1815" s="284"/>
      <c r="Z1815" s="207"/>
      <c r="AA1815" s="284"/>
      <c r="AB1815" s="284"/>
      <c r="AC1815" s="284"/>
      <c r="AD1815" s="284"/>
      <c r="AE1815" s="284"/>
      <c r="AF1815" s="284"/>
      <c r="AG1815" s="284"/>
      <c r="AI1815" s="131"/>
    </row>
    <row r="1816" spans="1:35" ht="26.4">
      <c r="A1816" s="284"/>
      <c r="B1816" s="284"/>
      <c r="C1816" s="284"/>
      <c r="D1816" s="284"/>
      <c r="E1816" s="284"/>
      <c r="F1816" s="284"/>
      <c r="G1816" s="284"/>
      <c r="H1816" s="284"/>
      <c r="I1816" s="284"/>
      <c r="J1816" s="375"/>
      <c r="K1816" s="375"/>
      <c r="L1816" s="375"/>
      <c r="M1816" s="368"/>
      <c r="N1816" s="368"/>
      <c r="O1816" s="370"/>
      <c r="T1816" s="340"/>
      <c r="V1816" s="378"/>
      <c r="W1816" s="64" ph="1"/>
      <c r="X1816" s="241"/>
      <c r="Y1816" s="284"/>
      <c r="Z1816" s="207"/>
      <c r="AA1816" s="284"/>
      <c r="AB1816" s="284"/>
      <c r="AC1816" s="284"/>
      <c r="AD1816" s="284"/>
      <c r="AE1816" s="284"/>
      <c r="AF1816" s="284"/>
      <c r="AG1816" s="284"/>
      <c r="AI1816" s="131"/>
    </row>
    <row r="1817" spans="1:35" ht="26.4">
      <c r="A1817" s="284"/>
      <c r="B1817" s="284"/>
      <c r="C1817" s="284"/>
      <c r="D1817" s="284"/>
      <c r="E1817" s="284"/>
      <c r="F1817" s="284"/>
      <c r="G1817" s="284"/>
      <c r="H1817" s="284"/>
      <c r="I1817" s="284"/>
      <c r="J1817" s="375"/>
      <c r="K1817" s="375"/>
      <c r="L1817" s="375"/>
      <c r="M1817" s="368"/>
      <c r="N1817" s="368"/>
      <c r="O1817" s="370"/>
      <c r="T1817" s="340"/>
      <c r="V1817" s="378"/>
      <c r="W1817" s="64" ph="1"/>
      <c r="X1817" s="241"/>
      <c r="Y1817" s="284"/>
      <c r="Z1817" s="207"/>
      <c r="AA1817" s="284"/>
      <c r="AB1817" s="284"/>
      <c r="AC1817" s="284"/>
      <c r="AD1817" s="284"/>
      <c r="AE1817" s="284"/>
      <c r="AF1817" s="284"/>
      <c r="AG1817" s="284"/>
      <c r="AI1817" s="131"/>
    </row>
    <row r="1818" spans="1:35" ht="26.4">
      <c r="A1818" s="284"/>
      <c r="B1818" s="284"/>
      <c r="C1818" s="284"/>
      <c r="D1818" s="284"/>
      <c r="E1818" s="284"/>
      <c r="F1818" s="284"/>
      <c r="G1818" s="284"/>
      <c r="H1818" s="284"/>
      <c r="I1818" s="284"/>
      <c r="J1818" s="375"/>
      <c r="K1818" s="375"/>
      <c r="L1818" s="375"/>
      <c r="M1818" s="368"/>
      <c r="N1818" s="368"/>
      <c r="O1818" s="370"/>
      <c r="T1818" s="340"/>
      <c r="V1818" s="378"/>
      <c r="W1818" s="64" ph="1"/>
      <c r="X1818" s="241"/>
      <c r="Y1818" s="284"/>
      <c r="Z1818" s="207"/>
      <c r="AA1818" s="284"/>
      <c r="AB1818" s="284"/>
      <c r="AC1818" s="284"/>
      <c r="AD1818" s="284"/>
      <c r="AE1818" s="284"/>
      <c r="AF1818" s="284"/>
      <c r="AG1818" s="284"/>
      <c r="AI1818" s="128"/>
    </row>
    <row r="1819" spans="1:35" ht="26.4">
      <c r="A1819" s="284"/>
      <c r="B1819" s="284"/>
      <c r="C1819" s="284"/>
      <c r="D1819" s="284"/>
      <c r="E1819" s="284"/>
      <c r="F1819" s="284"/>
      <c r="G1819" s="284"/>
      <c r="H1819" s="284"/>
      <c r="I1819" s="284"/>
      <c r="J1819" s="375"/>
      <c r="K1819" s="375"/>
      <c r="L1819" s="375"/>
      <c r="M1819" s="368"/>
      <c r="N1819" s="368"/>
      <c r="O1819" s="370"/>
      <c r="T1819" s="340"/>
      <c r="V1819" s="378"/>
      <c r="W1819" s="64" ph="1"/>
      <c r="X1819" s="241"/>
      <c r="Y1819" s="284"/>
      <c r="Z1819" s="207"/>
      <c r="AA1819" s="284"/>
      <c r="AB1819" s="284"/>
      <c r="AC1819" s="284"/>
      <c r="AD1819" s="284"/>
      <c r="AE1819" s="284"/>
      <c r="AF1819" s="284"/>
      <c r="AG1819" s="284"/>
      <c r="AI1819" s="131"/>
    </row>
    <row r="1820" spans="1:35" ht="26.4">
      <c r="A1820" s="284"/>
      <c r="B1820" s="284"/>
      <c r="C1820" s="284"/>
      <c r="D1820" s="284"/>
      <c r="E1820" s="284"/>
      <c r="F1820" s="284"/>
      <c r="G1820" s="284"/>
      <c r="H1820" s="284"/>
      <c r="I1820" s="284"/>
      <c r="J1820" s="375"/>
      <c r="K1820" s="375"/>
      <c r="L1820" s="375"/>
      <c r="M1820" s="368"/>
      <c r="N1820" s="368"/>
      <c r="O1820" s="370"/>
      <c r="T1820" s="340"/>
      <c r="V1820" s="378"/>
      <c r="W1820" s="64" ph="1"/>
      <c r="X1820" s="241"/>
      <c r="Y1820" s="284"/>
      <c r="Z1820" s="207"/>
      <c r="AA1820" s="284"/>
      <c r="AB1820" s="284"/>
      <c r="AC1820" s="284"/>
      <c r="AD1820" s="284"/>
      <c r="AE1820" s="284"/>
      <c r="AF1820" s="284"/>
      <c r="AG1820" s="284"/>
      <c r="AI1820" s="131"/>
    </row>
    <row r="1821" spans="1:35" ht="26.4">
      <c r="A1821" s="284"/>
      <c r="B1821" s="284"/>
      <c r="C1821" s="284"/>
      <c r="D1821" s="284"/>
      <c r="E1821" s="284"/>
      <c r="F1821" s="284"/>
      <c r="G1821" s="284"/>
      <c r="H1821" s="284"/>
      <c r="I1821" s="284"/>
      <c r="J1821" s="375"/>
      <c r="K1821" s="375"/>
      <c r="L1821" s="375"/>
      <c r="M1821" s="368"/>
      <c r="N1821" s="368"/>
      <c r="O1821" s="370"/>
      <c r="T1821" s="340"/>
      <c r="V1821" s="378"/>
      <c r="W1821" s="64" ph="1"/>
      <c r="X1821" s="241"/>
      <c r="Y1821" s="284"/>
      <c r="Z1821" s="207"/>
      <c r="AA1821" s="284"/>
      <c r="AB1821" s="284"/>
      <c r="AC1821" s="284"/>
      <c r="AD1821" s="284"/>
      <c r="AE1821" s="284"/>
      <c r="AF1821" s="284"/>
      <c r="AG1821" s="284"/>
      <c r="AI1821" s="131"/>
    </row>
    <row r="1822" spans="1:35" ht="26.4">
      <c r="A1822" s="284"/>
      <c r="B1822" s="284"/>
      <c r="C1822" s="284"/>
      <c r="D1822" s="284"/>
      <c r="E1822" s="284"/>
      <c r="F1822" s="284"/>
      <c r="G1822" s="284"/>
      <c r="H1822" s="284"/>
      <c r="I1822" s="284"/>
      <c r="J1822" s="375"/>
      <c r="K1822" s="375"/>
      <c r="L1822" s="375"/>
      <c r="M1822" s="368"/>
      <c r="N1822" s="368"/>
      <c r="O1822" s="370"/>
      <c r="T1822" s="340"/>
      <c r="V1822" s="378"/>
      <c r="W1822" s="64" ph="1"/>
      <c r="X1822" s="241"/>
      <c r="Y1822" s="284"/>
      <c r="Z1822" s="207"/>
      <c r="AA1822" s="284"/>
      <c r="AB1822" s="284"/>
      <c r="AC1822" s="284"/>
      <c r="AD1822" s="284"/>
      <c r="AE1822" s="284"/>
      <c r="AF1822" s="284"/>
      <c r="AG1822" s="284"/>
      <c r="AI1822" s="131"/>
    </row>
    <row r="1823" spans="1:35" ht="26.4">
      <c r="A1823" s="284"/>
      <c r="B1823" s="284"/>
      <c r="C1823" s="284"/>
      <c r="D1823" s="284"/>
      <c r="E1823" s="284"/>
      <c r="F1823" s="284"/>
      <c r="G1823" s="284"/>
      <c r="H1823" s="284"/>
      <c r="I1823" s="284"/>
      <c r="J1823" s="375"/>
      <c r="K1823" s="375"/>
      <c r="L1823" s="375"/>
      <c r="M1823" s="368"/>
      <c r="N1823" s="368"/>
      <c r="O1823" s="370"/>
      <c r="T1823" s="340"/>
      <c r="V1823" s="378"/>
      <c r="W1823" s="64" ph="1"/>
      <c r="X1823" s="241"/>
      <c r="Y1823" s="284"/>
      <c r="Z1823" s="207"/>
      <c r="AA1823" s="284"/>
      <c r="AB1823" s="284"/>
      <c r="AC1823" s="284"/>
      <c r="AD1823" s="284"/>
      <c r="AE1823" s="284"/>
      <c r="AF1823" s="284"/>
      <c r="AG1823" s="284"/>
      <c r="AI1823" s="131"/>
    </row>
    <row r="1824" spans="1:35" ht="26.4">
      <c r="A1824" s="284"/>
      <c r="B1824" s="284"/>
      <c r="C1824" s="284"/>
      <c r="D1824" s="284"/>
      <c r="E1824" s="284"/>
      <c r="F1824" s="284"/>
      <c r="G1824" s="284"/>
      <c r="H1824" s="284"/>
      <c r="I1824" s="284"/>
      <c r="J1824" s="375"/>
      <c r="K1824" s="375"/>
      <c r="L1824" s="375"/>
      <c r="M1824" s="368"/>
      <c r="N1824" s="368"/>
      <c r="O1824" s="370"/>
      <c r="T1824" s="340"/>
      <c r="V1824" s="378"/>
      <c r="W1824" s="64" ph="1"/>
      <c r="X1824" s="241"/>
      <c r="Y1824" s="284"/>
      <c r="Z1824" s="207"/>
      <c r="AA1824" s="284"/>
      <c r="AB1824" s="284"/>
      <c r="AC1824" s="284"/>
      <c r="AD1824" s="284"/>
      <c r="AE1824" s="284"/>
      <c r="AF1824" s="284"/>
      <c r="AG1824" s="284"/>
      <c r="AI1824" s="131"/>
    </row>
    <row r="1825" spans="1:35" ht="26.4">
      <c r="A1825" s="284"/>
      <c r="B1825" s="284"/>
      <c r="C1825" s="284"/>
      <c r="D1825" s="284"/>
      <c r="E1825" s="284"/>
      <c r="F1825" s="284"/>
      <c r="G1825" s="284"/>
      <c r="H1825" s="284"/>
      <c r="I1825" s="284"/>
      <c r="J1825" s="375"/>
      <c r="K1825" s="375"/>
      <c r="L1825" s="375"/>
      <c r="M1825" s="368"/>
      <c r="N1825" s="368"/>
      <c r="O1825" s="370"/>
      <c r="T1825" s="340"/>
      <c r="V1825" s="378"/>
      <c r="W1825" s="64" ph="1"/>
      <c r="X1825" s="241"/>
      <c r="Y1825" s="284"/>
      <c r="Z1825" s="207"/>
      <c r="AA1825" s="284"/>
      <c r="AB1825" s="284"/>
      <c r="AC1825" s="284"/>
      <c r="AD1825" s="284"/>
      <c r="AE1825" s="284"/>
      <c r="AF1825" s="284"/>
      <c r="AG1825" s="284"/>
      <c r="AI1825" s="131"/>
    </row>
    <row r="1826" spans="1:35" ht="26.4">
      <c r="A1826" s="284"/>
      <c r="B1826" s="284"/>
      <c r="C1826" s="284"/>
      <c r="D1826" s="284"/>
      <c r="E1826" s="284"/>
      <c r="F1826" s="284"/>
      <c r="G1826" s="284"/>
      <c r="H1826" s="284"/>
      <c r="I1826" s="284"/>
      <c r="J1826" s="375"/>
      <c r="K1826" s="375"/>
      <c r="L1826" s="375"/>
      <c r="M1826" s="368"/>
      <c r="N1826" s="368"/>
      <c r="O1826" s="370"/>
      <c r="T1826" s="340"/>
      <c r="V1826" s="378"/>
      <c r="W1826" s="64" ph="1"/>
      <c r="X1826" s="241"/>
      <c r="Y1826" s="284"/>
      <c r="Z1826" s="207"/>
      <c r="AA1826" s="284"/>
      <c r="AB1826" s="284"/>
      <c r="AC1826" s="284"/>
      <c r="AD1826" s="284"/>
      <c r="AE1826" s="284"/>
      <c r="AF1826" s="284"/>
      <c r="AG1826" s="284"/>
      <c r="AI1826" s="131"/>
    </row>
    <row r="1827" spans="1:35" ht="26.4">
      <c r="A1827" s="284"/>
      <c r="B1827" s="284"/>
      <c r="C1827" s="284"/>
      <c r="D1827" s="284"/>
      <c r="E1827" s="284"/>
      <c r="F1827" s="284"/>
      <c r="G1827" s="284"/>
      <c r="H1827" s="284"/>
      <c r="I1827" s="284"/>
      <c r="J1827" s="375"/>
      <c r="K1827" s="375"/>
      <c r="L1827" s="375"/>
      <c r="M1827" s="368"/>
      <c r="N1827" s="368"/>
      <c r="O1827" s="370"/>
      <c r="T1827" s="340"/>
      <c r="V1827" s="378"/>
      <c r="W1827" s="64" ph="1"/>
      <c r="X1827" s="241"/>
      <c r="Y1827" s="284"/>
      <c r="Z1827" s="207"/>
      <c r="AA1827" s="284"/>
      <c r="AB1827" s="284"/>
      <c r="AC1827" s="284"/>
      <c r="AD1827" s="284"/>
      <c r="AE1827" s="284"/>
      <c r="AF1827" s="284"/>
      <c r="AG1827" s="284"/>
      <c r="AI1827" s="131"/>
    </row>
    <row r="1828" spans="1:35" ht="26.4">
      <c r="A1828" s="284"/>
      <c r="B1828" s="284"/>
      <c r="C1828" s="284"/>
      <c r="D1828" s="284"/>
      <c r="E1828" s="284"/>
      <c r="F1828" s="284"/>
      <c r="G1828" s="284"/>
      <c r="H1828" s="284"/>
      <c r="I1828" s="284"/>
      <c r="J1828" s="375"/>
      <c r="K1828" s="375"/>
      <c r="L1828" s="375"/>
      <c r="M1828" s="368"/>
      <c r="N1828" s="368"/>
      <c r="O1828" s="370"/>
      <c r="T1828" s="340"/>
      <c r="V1828" s="378"/>
      <c r="W1828" s="64" ph="1"/>
      <c r="X1828" s="241"/>
      <c r="Y1828" s="284"/>
      <c r="Z1828" s="207"/>
      <c r="AA1828" s="284"/>
      <c r="AB1828" s="284"/>
      <c r="AC1828" s="284"/>
      <c r="AD1828" s="284"/>
      <c r="AE1828" s="284"/>
      <c r="AF1828" s="284"/>
      <c r="AG1828" s="284"/>
      <c r="AI1828" s="131"/>
    </row>
    <row r="1829" spans="1:35" ht="26.4">
      <c r="A1829" s="284"/>
      <c r="B1829" s="284"/>
      <c r="C1829" s="284"/>
      <c r="D1829" s="284"/>
      <c r="E1829" s="284"/>
      <c r="F1829" s="284"/>
      <c r="G1829" s="284"/>
      <c r="H1829" s="284"/>
      <c r="I1829" s="284"/>
      <c r="J1829" s="375"/>
      <c r="K1829" s="375"/>
      <c r="L1829" s="375"/>
      <c r="M1829" s="368"/>
      <c r="N1829" s="368"/>
      <c r="O1829" s="370"/>
      <c r="T1829" s="340"/>
      <c r="V1829" s="378"/>
      <c r="W1829" s="64" ph="1"/>
      <c r="X1829" s="241"/>
      <c r="Y1829" s="284"/>
      <c r="Z1829" s="207"/>
      <c r="AA1829" s="284"/>
      <c r="AB1829" s="284"/>
      <c r="AC1829" s="284"/>
      <c r="AD1829" s="284"/>
      <c r="AE1829" s="284"/>
      <c r="AF1829" s="284"/>
      <c r="AG1829" s="284"/>
      <c r="AI1829" s="131"/>
    </row>
    <row r="1830" spans="1:35" ht="26.4">
      <c r="A1830" s="284"/>
      <c r="B1830" s="284"/>
      <c r="C1830" s="284"/>
      <c r="D1830" s="284"/>
      <c r="E1830" s="284"/>
      <c r="F1830" s="284"/>
      <c r="G1830" s="284"/>
      <c r="H1830" s="284"/>
      <c r="I1830" s="284"/>
      <c r="J1830" s="375"/>
      <c r="K1830" s="375"/>
      <c r="L1830" s="375"/>
      <c r="M1830" s="368"/>
      <c r="N1830" s="368"/>
      <c r="O1830" s="370"/>
      <c r="T1830" s="340"/>
      <c r="V1830" s="378"/>
      <c r="W1830" s="64" ph="1"/>
      <c r="X1830" s="241"/>
      <c r="Y1830" s="284"/>
      <c r="Z1830" s="207"/>
      <c r="AA1830" s="284"/>
      <c r="AB1830" s="284"/>
      <c r="AC1830" s="284"/>
      <c r="AD1830" s="284"/>
      <c r="AE1830" s="284"/>
      <c r="AF1830" s="284"/>
      <c r="AG1830" s="284"/>
      <c r="AI1830" s="131"/>
    </row>
    <row r="1831" spans="1:35" ht="26.4">
      <c r="A1831" s="284"/>
      <c r="B1831" s="284"/>
      <c r="C1831" s="284"/>
      <c r="D1831" s="284"/>
      <c r="E1831" s="284"/>
      <c r="F1831" s="284"/>
      <c r="G1831" s="284"/>
      <c r="H1831" s="284"/>
      <c r="I1831" s="284"/>
      <c r="J1831" s="375"/>
      <c r="K1831" s="375"/>
      <c r="L1831" s="375"/>
      <c r="M1831" s="368"/>
      <c r="N1831" s="368"/>
      <c r="O1831" s="370"/>
      <c r="T1831" s="340"/>
      <c r="V1831" s="378"/>
      <c r="W1831" s="64" ph="1"/>
      <c r="X1831" s="241"/>
      <c r="Y1831" s="284"/>
      <c r="Z1831" s="207"/>
      <c r="AA1831" s="284"/>
      <c r="AB1831" s="284"/>
      <c r="AC1831" s="284"/>
      <c r="AD1831" s="284"/>
      <c r="AE1831" s="284"/>
      <c r="AF1831" s="284"/>
      <c r="AG1831" s="284"/>
      <c r="AI1831" s="131"/>
    </row>
    <row r="1832" spans="1:35" ht="26.4">
      <c r="A1832" s="284"/>
      <c r="B1832" s="284"/>
      <c r="C1832" s="284"/>
      <c r="D1832" s="284"/>
      <c r="E1832" s="284"/>
      <c r="F1832" s="284"/>
      <c r="G1832" s="284"/>
      <c r="H1832" s="284"/>
      <c r="I1832" s="284"/>
      <c r="J1832" s="375"/>
      <c r="K1832" s="375"/>
      <c r="L1832" s="375"/>
      <c r="M1832" s="368"/>
      <c r="N1832" s="368"/>
      <c r="O1832" s="370"/>
      <c r="T1832" s="340"/>
      <c r="V1832" s="378"/>
      <c r="W1832" s="64" ph="1"/>
      <c r="X1832" s="241"/>
      <c r="Y1832" s="284"/>
      <c r="Z1832" s="207"/>
      <c r="AA1832" s="284"/>
      <c r="AB1832" s="284"/>
      <c r="AC1832" s="284"/>
      <c r="AD1832" s="284"/>
      <c r="AE1832" s="284"/>
      <c r="AF1832" s="284"/>
      <c r="AG1832" s="284"/>
      <c r="AI1832" s="131"/>
    </row>
    <row r="1833" spans="1:35" ht="26.4">
      <c r="A1833" s="284"/>
      <c r="B1833" s="284"/>
      <c r="C1833" s="284"/>
      <c r="D1833" s="284"/>
      <c r="E1833" s="284"/>
      <c r="F1833" s="284"/>
      <c r="G1833" s="284"/>
      <c r="H1833" s="284"/>
      <c r="I1833" s="284"/>
      <c r="J1833" s="375"/>
      <c r="K1833" s="375"/>
      <c r="L1833" s="375"/>
      <c r="M1833" s="368"/>
      <c r="N1833" s="368"/>
      <c r="O1833" s="370"/>
      <c r="T1833" s="340"/>
      <c r="V1833" s="378"/>
      <c r="W1833" s="64" ph="1"/>
      <c r="X1833" s="241"/>
      <c r="Y1833" s="284"/>
      <c r="Z1833" s="207"/>
      <c r="AA1833" s="284"/>
      <c r="AB1833" s="284"/>
      <c r="AC1833" s="284"/>
      <c r="AD1833" s="284"/>
      <c r="AE1833" s="284"/>
      <c r="AF1833" s="284"/>
      <c r="AG1833" s="284"/>
      <c r="AI1833" s="131"/>
    </row>
    <row r="1834" spans="1:35" ht="26.4">
      <c r="A1834" s="284"/>
      <c r="B1834" s="284"/>
      <c r="C1834" s="284"/>
      <c r="D1834" s="284"/>
      <c r="E1834" s="284"/>
      <c r="F1834" s="284"/>
      <c r="G1834" s="284"/>
      <c r="H1834" s="284"/>
      <c r="I1834" s="284"/>
      <c r="J1834" s="375"/>
      <c r="K1834" s="375"/>
      <c r="L1834" s="375"/>
      <c r="M1834" s="368"/>
      <c r="N1834" s="368"/>
      <c r="O1834" s="370"/>
      <c r="T1834" s="340"/>
      <c r="V1834" s="378"/>
      <c r="W1834" s="64" ph="1"/>
      <c r="X1834" s="241"/>
      <c r="Y1834" s="284"/>
      <c r="Z1834" s="207"/>
      <c r="AA1834" s="284"/>
      <c r="AB1834" s="284"/>
      <c r="AC1834" s="284"/>
      <c r="AD1834" s="284"/>
      <c r="AE1834" s="284"/>
      <c r="AF1834" s="284"/>
      <c r="AG1834" s="284"/>
      <c r="AI1834" s="131"/>
    </row>
    <row r="1835" spans="1:35" ht="26.4">
      <c r="A1835" s="284"/>
      <c r="B1835" s="284"/>
      <c r="C1835" s="284"/>
      <c r="D1835" s="284"/>
      <c r="E1835" s="284"/>
      <c r="F1835" s="284"/>
      <c r="G1835" s="284"/>
      <c r="H1835" s="284"/>
      <c r="I1835" s="284"/>
      <c r="J1835" s="375"/>
      <c r="K1835" s="375"/>
      <c r="L1835" s="375"/>
      <c r="M1835" s="368"/>
      <c r="N1835" s="368"/>
      <c r="O1835" s="370"/>
      <c r="T1835" s="340"/>
      <c r="V1835" s="378"/>
      <c r="W1835" s="64" ph="1"/>
      <c r="X1835" s="241"/>
      <c r="Y1835" s="284"/>
      <c r="Z1835" s="207"/>
      <c r="AA1835" s="284"/>
      <c r="AB1835" s="284"/>
      <c r="AC1835" s="284"/>
      <c r="AD1835" s="284"/>
      <c r="AE1835" s="284"/>
      <c r="AF1835" s="284"/>
      <c r="AG1835" s="284"/>
      <c r="AI1835" s="131"/>
    </row>
    <row r="1836" spans="1:35" ht="26.4">
      <c r="A1836" s="284"/>
      <c r="B1836" s="284"/>
      <c r="C1836" s="284"/>
      <c r="D1836" s="284"/>
      <c r="E1836" s="284"/>
      <c r="F1836" s="284"/>
      <c r="G1836" s="284"/>
      <c r="H1836" s="284"/>
      <c r="I1836" s="284"/>
      <c r="J1836" s="375"/>
      <c r="K1836" s="375"/>
      <c r="L1836" s="375"/>
      <c r="M1836" s="368"/>
      <c r="N1836" s="368"/>
      <c r="O1836" s="370"/>
      <c r="T1836" s="340"/>
      <c r="V1836" s="378"/>
      <c r="W1836" s="64" ph="1"/>
      <c r="X1836" s="241"/>
      <c r="Y1836" s="284"/>
      <c r="Z1836" s="207"/>
      <c r="AA1836" s="284"/>
      <c r="AB1836" s="284"/>
      <c r="AC1836" s="284"/>
      <c r="AD1836" s="284"/>
      <c r="AE1836" s="284"/>
      <c r="AF1836" s="284"/>
      <c r="AG1836" s="284"/>
      <c r="AI1836" s="131"/>
    </row>
    <row r="1837" spans="1:35" ht="26.4">
      <c r="A1837" s="284"/>
      <c r="B1837" s="284"/>
      <c r="C1837" s="284"/>
      <c r="D1837" s="284"/>
      <c r="E1837" s="284"/>
      <c r="F1837" s="284"/>
      <c r="G1837" s="284"/>
      <c r="H1837" s="284"/>
      <c r="I1837" s="284"/>
      <c r="J1837" s="375"/>
      <c r="K1837" s="375"/>
      <c r="L1837" s="375"/>
      <c r="M1837" s="368"/>
      <c r="N1837" s="368"/>
      <c r="O1837" s="370"/>
      <c r="T1837" s="340"/>
      <c r="V1837" s="378"/>
      <c r="W1837" s="64" ph="1"/>
      <c r="X1837" s="241"/>
      <c r="Y1837" s="284"/>
      <c r="Z1837" s="207"/>
      <c r="AA1837" s="284"/>
      <c r="AB1837" s="284"/>
      <c r="AC1837" s="284"/>
      <c r="AD1837" s="284"/>
      <c r="AE1837" s="284"/>
      <c r="AF1837" s="284"/>
      <c r="AG1837" s="284"/>
      <c r="AI1837" s="131"/>
    </row>
    <row r="1838" spans="1:35" ht="26.4">
      <c r="A1838" s="284"/>
      <c r="B1838" s="284"/>
      <c r="C1838" s="284"/>
      <c r="D1838" s="284"/>
      <c r="E1838" s="284"/>
      <c r="F1838" s="284"/>
      <c r="G1838" s="284"/>
      <c r="H1838" s="284"/>
      <c r="I1838" s="284"/>
      <c r="J1838" s="375"/>
      <c r="K1838" s="375"/>
      <c r="L1838" s="375"/>
      <c r="M1838" s="368"/>
      <c r="N1838" s="368"/>
      <c r="O1838" s="370"/>
      <c r="T1838" s="340"/>
      <c r="V1838" s="378"/>
      <c r="W1838" s="64" ph="1"/>
      <c r="X1838" s="241"/>
      <c r="Y1838" s="284"/>
      <c r="Z1838" s="207"/>
      <c r="AA1838" s="284"/>
      <c r="AB1838" s="284"/>
      <c r="AC1838" s="284"/>
      <c r="AD1838" s="284"/>
      <c r="AE1838" s="284"/>
      <c r="AF1838" s="284"/>
      <c r="AG1838" s="284"/>
      <c r="AI1838" s="131"/>
    </row>
    <row r="1839" spans="1:35" ht="26.4">
      <c r="A1839" s="284"/>
      <c r="B1839" s="284"/>
      <c r="C1839" s="284"/>
      <c r="D1839" s="284"/>
      <c r="E1839" s="284"/>
      <c r="F1839" s="284"/>
      <c r="G1839" s="284"/>
      <c r="H1839" s="284"/>
      <c r="I1839" s="284"/>
      <c r="J1839" s="375"/>
      <c r="K1839" s="375"/>
      <c r="L1839" s="375"/>
      <c r="M1839" s="368"/>
      <c r="N1839" s="368"/>
      <c r="O1839" s="370"/>
      <c r="T1839" s="340"/>
      <c r="V1839" s="378"/>
      <c r="W1839" s="64" ph="1"/>
      <c r="X1839" s="241"/>
      <c r="Y1839" s="284"/>
      <c r="Z1839" s="207"/>
      <c r="AA1839" s="284"/>
      <c r="AB1839" s="284"/>
      <c r="AC1839" s="284"/>
      <c r="AD1839" s="284"/>
      <c r="AE1839" s="284"/>
      <c r="AF1839" s="284"/>
      <c r="AG1839" s="284"/>
      <c r="AI1839" s="131"/>
    </row>
    <row r="1840" spans="1:35" ht="26.4">
      <c r="A1840" s="284"/>
      <c r="B1840" s="284"/>
      <c r="C1840" s="284"/>
      <c r="D1840" s="284"/>
      <c r="E1840" s="284"/>
      <c r="F1840" s="284"/>
      <c r="G1840" s="284"/>
      <c r="H1840" s="284"/>
      <c r="I1840" s="284"/>
      <c r="J1840" s="375"/>
      <c r="K1840" s="375"/>
      <c r="L1840" s="375"/>
      <c r="M1840" s="368"/>
      <c r="N1840" s="368"/>
      <c r="O1840" s="370"/>
      <c r="T1840" s="340"/>
      <c r="V1840" s="378"/>
      <c r="W1840" s="64" ph="1"/>
      <c r="X1840" s="241"/>
      <c r="Y1840" s="284"/>
      <c r="Z1840" s="207"/>
      <c r="AA1840" s="284"/>
      <c r="AB1840" s="284"/>
      <c r="AC1840" s="284"/>
      <c r="AD1840" s="284"/>
      <c r="AE1840" s="284"/>
      <c r="AF1840" s="284"/>
      <c r="AG1840" s="284"/>
      <c r="AI1840" s="131"/>
    </row>
    <row r="1841" spans="1:35" ht="26.4">
      <c r="A1841" s="284"/>
      <c r="B1841" s="284"/>
      <c r="C1841" s="284"/>
      <c r="D1841" s="284"/>
      <c r="E1841" s="284"/>
      <c r="F1841" s="284"/>
      <c r="G1841" s="284"/>
      <c r="H1841" s="284"/>
      <c r="I1841" s="284"/>
      <c r="J1841" s="375"/>
      <c r="K1841" s="375"/>
      <c r="L1841" s="375"/>
      <c r="M1841" s="368"/>
      <c r="N1841" s="368"/>
      <c r="O1841" s="370"/>
      <c r="T1841" s="340"/>
      <c r="V1841" s="378"/>
      <c r="W1841" s="64" ph="1"/>
      <c r="X1841" s="241"/>
      <c r="Y1841" s="284"/>
      <c r="Z1841" s="207"/>
      <c r="AA1841" s="284"/>
      <c r="AB1841" s="284"/>
      <c r="AC1841" s="284"/>
      <c r="AD1841" s="284"/>
      <c r="AE1841" s="284"/>
      <c r="AF1841" s="284"/>
      <c r="AG1841" s="284"/>
      <c r="AI1841" s="131"/>
    </row>
    <row r="1842" spans="1:35" ht="26.4">
      <c r="A1842" s="284"/>
      <c r="B1842" s="284"/>
      <c r="C1842" s="284"/>
      <c r="D1842" s="284"/>
      <c r="E1842" s="284"/>
      <c r="F1842" s="284"/>
      <c r="G1842" s="284"/>
      <c r="H1842" s="284"/>
      <c r="I1842" s="284"/>
      <c r="J1842" s="375"/>
      <c r="K1842" s="375"/>
      <c r="L1842" s="375"/>
      <c r="M1842" s="368"/>
      <c r="N1842" s="368"/>
      <c r="O1842" s="370"/>
      <c r="T1842" s="340"/>
      <c r="V1842" s="378"/>
      <c r="W1842" s="64" ph="1"/>
      <c r="X1842" s="241"/>
      <c r="Y1842" s="284"/>
      <c r="Z1842" s="207"/>
      <c r="AA1842" s="284"/>
      <c r="AB1842" s="284"/>
      <c r="AC1842" s="284"/>
      <c r="AD1842" s="284"/>
      <c r="AE1842" s="284"/>
      <c r="AF1842" s="284"/>
      <c r="AG1842" s="284"/>
      <c r="AI1842" s="284"/>
    </row>
    <row r="1843" spans="1:35" ht="26.4">
      <c r="A1843" s="284"/>
      <c r="B1843" s="284"/>
      <c r="C1843" s="284"/>
      <c r="D1843" s="284"/>
      <c r="E1843" s="284"/>
      <c r="F1843" s="284"/>
      <c r="G1843" s="284"/>
      <c r="H1843" s="284"/>
      <c r="I1843" s="284"/>
      <c r="J1843" s="375"/>
      <c r="K1843" s="375"/>
      <c r="L1843" s="375"/>
      <c r="M1843" s="368"/>
      <c r="N1843" s="368"/>
      <c r="O1843" s="370"/>
      <c r="T1843" s="340"/>
      <c r="V1843" s="378"/>
      <c r="W1843" s="64" ph="1"/>
      <c r="X1843" s="241"/>
      <c r="Y1843" s="284"/>
      <c r="Z1843" s="207"/>
      <c r="AA1843" s="284"/>
      <c r="AB1843" s="284"/>
      <c r="AC1843" s="284"/>
      <c r="AD1843" s="284"/>
      <c r="AE1843" s="284"/>
      <c r="AF1843" s="284"/>
      <c r="AG1843" s="284"/>
      <c r="AI1843" s="131"/>
    </row>
    <row r="1844" spans="1:35" ht="26.4">
      <c r="A1844" s="284"/>
      <c r="B1844" s="284"/>
      <c r="C1844" s="284"/>
      <c r="D1844" s="284"/>
      <c r="E1844" s="284"/>
      <c r="F1844" s="284"/>
      <c r="G1844" s="284"/>
      <c r="H1844" s="284"/>
      <c r="I1844" s="284"/>
      <c r="J1844" s="375"/>
      <c r="K1844" s="375"/>
      <c r="L1844" s="375"/>
      <c r="M1844" s="368"/>
      <c r="N1844" s="368"/>
      <c r="O1844" s="370"/>
      <c r="T1844" s="340"/>
      <c r="V1844" s="378"/>
      <c r="W1844" s="64" ph="1"/>
      <c r="X1844" s="241"/>
      <c r="Y1844" s="284"/>
      <c r="Z1844" s="207"/>
      <c r="AA1844" s="284"/>
      <c r="AB1844" s="284"/>
      <c r="AC1844" s="284"/>
      <c r="AD1844" s="284"/>
      <c r="AE1844" s="284"/>
      <c r="AF1844" s="284"/>
      <c r="AG1844" s="284"/>
      <c r="AI1844" s="131"/>
    </row>
    <row r="1845" spans="1:35" ht="26.4">
      <c r="A1845" s="284"/>
      <c r="B1845" s="284"/>
      <c r="C1845" s="284"/>
      <c r="D1845" s="284"/>
      <c r="E1845" s="284"/>
      <c r="F1845" s="284"/>
      <c r="G1845" s="284"/>
      <c r="H1845" s="284"/>
      <c r="I1845" s="284"/>
      <c r="J1845" s="375"/>
      <c r="K1845" s="375"/>
      <c r="L1845" s="375"/>
      <c r="M1845" s="368"/>
      <c r="N1845" s="368"/>
      <c r="O1845" s="370"/>
      <c r="T1845" s="340"/>
      <c r="V1845" s="378"/>
      <c r="W1845" s="64" ph="1"/>
      <c r="X1845" s="241"/>
      <c r="Y1845" s="284"/>
      <c r="Z1845" s="207"/>
      <c r="AA1845" s="284"/>
      <c r="AB1845" s="284"/>
      <c r="AC1845" s="284"/>
      <c r="AD1845" s="284"/>
      <c r="AE1845" s="284"/>
      <c r="AF1845" s="284"/>
      <c r="AG1845" s="284"/>
      <c r="AI1845" s="131"/>
    </row>
    <row r="1846" spans="1:35" ht="26.4">
      <c r="A1846" s="284"/>
      <c r="B1846" s="284"/>
      <c r="C1846" s="284"/>
      <c r="D1846" s="284"/>
      <c r="E1846" s="284"/>
      <c r="F1846" s="284"/>
      <c r="G1846" s="284"/>
      <c r="H1846" s="284"/>
      <c r="I1846" s="284"/>
      <c r="J1846" s="375"/>
      <c r="K1846" s="375"/>
      <c r="L1846" s="375"/>
      <c r="M1846" s="368"/>
      <c r="N1846" s="368"/>
      <c r="O1846" s="370"/>
      <c r="T1846" s="340"/>
      <c r="V1846" s="378"/>
      <c r="W1846" s="64" ph="1"/>
      <c r="X1846" s="241"/>
      <c r="Y1846" s="284"/>
      <c r="Z1846" s="207"/>
      <c r="AA1846" s="284"/>
      <c r="AB1846" s="284"/>
      <c r="AC1846" s="284"/>
      <c r="AD1846" s="284"/>
      <c r="AE1846" s="284"/>
      <c r="AF1846" s="284"/>
      <c r="AG1846" s="284"/>
      <c r="AI1846" s="131"/>
    </row>
    <row r="1847" spans="1:35" ht="26.4">
      <c r="A1847" s="284"/>
      <c r="B1847" s="284"/>
      <c r="C1847" s="284"/>
      <c r="D1847" s="284"/>
      <c r="E1847" s="284"/>
      <c r="F1847" s="284"/>
      <c r="G1847" s="284"/>
      <c r="H1847" s="284"/>
      <c r="I1847" s="284"/>
      <c r="J1847" s="375"/>
      <c r="K1847" s="375"/>
      <c r="L1847" s="375"/>
      <c r="M1847" s="368"/>
      <c r="N1847" s="368"/>
      <c r="O1847" s="370"/>
      <c r="T1847" s="340"/>
      <c r="V1847" s="378"/>
      <c r="W1847" s="64" ph="1"/>
      <c r="X1847" s="241"/>
      <c r="Y1847" s="284"/>
      <c r="Z1847" s="207"/>
      <c r="AA1847" s="284"/>
      <c r="AB1847" s="284"/>
      <c r="AC1847" s="284"/>
      <c r="AD1847" s="284"/>
      <c r="AE1847" s="284"/>
      <c r="AF1847" s="284"/>
      <c r="AG1847" s="284"/>
      <c r="AI1847" s="284"/>
    </row>
    <row r="1848" spans="1:35" ht="26.4">
      <c r="A1848" s="284"/>
      <c r="B1848" s="284"/>
      <c r="C1848" s="284"/>
      <c r="D1848" s="284"/>
      <c r="E1848" s="284"/>
      <c r="F1848" s="284"/>
      <c r="G1848" s="284"/>
      <c r="H1848" s="284"/>
      <c r="I1848" s="284"/>
      <c r="J1848" s="375"/>
      <c r="K1848" s="375"/>
      <c r="L1848" s="375"/>
      <c r="M1848" s="368"/>
      <c r="N1848" s="368"/>
      <c r="O1848" s="370"/>
      <c r="T1848" s="340"/>
      <c r="V1848" s="378"/>
      <c r="W1848" s="64" ph="1"/>
      <c r="X1848" s="241"/>
      <c r="Y1848" s="284"/>
      <c r="Z1848" s="207"/>
      <c r="AA1848" s="284"/>
      <c r="AB1848" s="284"/>
      <c r="AC1848" s="284"/>
      <c r="AD1848" s="284"/>
      <c r="AE1848" s="284"/>
      <c r="AF1848" s="284"/>
      <c r="AG1848" s="284"/>
      <c r="AI1848" s="131"/>
    </row>
    <row r="1849" spans="1:35" ht="26.4">
      <c r="A1849" s="284"/>
      <c r="B1849" s="284"/>
      <c r="C1849" s="284"/>
      <c r="D1849" s="284"/>
      <c r="E1849" s="284"/>
      <c r="F1849" s="284"/>
      <c r="G1849" s="284"/>
      <c r="H1849" s="284"/>
      <c r="I1849" s="284"/>
      <c r="J1849" s="375"/>
      <c r="K1849" s="375"/>
      <c r="L1849" s="375"/>
      <c r="M1849" s="368"/>
      <c r="N1849" s="368"/>
      <c r="O1849" s="370"/>
      <c r="T1849" s="340"/>
      <c r="V1849" s="378"/>
      <c r="W1849" s="64" ph="1"/>
      <c r="X1849" s="241"/>
      <c r="Y1849" s="284"/>
      <c r="Z1849" s="207"/>
      <c r="AA1849" s="284"/>
      <c r="AB1849" s="284"/>
      <c r="AC1849" s="284"/>
      <c r="AD1849" s="284"/>
      <c r="AE1849" s="284"/>
      <c r="AF1849" s="284"/>
      <c r="AG1849" s="284"/>
      <c r="AI1849" s="131"/>
    </row>
    <row r="1850" spans="1:35" ht="26.4">
      <c r="A1850" s="284"/>
      <c r="B1850" s="284"/>
      <c r="C1850" s="284"/>
      <c r="D1850" s="284"/>
      <c r="E1850" s="284"/>
      <c r="F1850" s="284"/>
      <c r="G1850" s="284"/>
      <c r="H1850" s="284"/>
      <c r="I1850" s="284"/>
      <c r="J1850" s="375"/>
      <c r="K1850" s="375"/>
      <c r="L1850" s="375"/>
      <c r="M1850" s="368"/>
      <c r="N1850" s="368"/>
      <c r="O1850" s="370"/>
      <c r="T1850" s="340"/>
      <c r="V1850" s="378"/>
      <c r="W1850" s="64" ph="1"/>
      <c r="X1850" s="241"/>
      <c r="Y1850" s="284"/>
      <c r="Z1850" s="207"/>
      <c r="AA1850" s="284"/>
      <c r="AB1850" s="284"/>
      <c r="AC1850" s="284"/>
      <c r="AD1850" s="284"/>
      <c r="AE1850" s="284"/>
      <c r="AF1850" s="284"/>
      <c r="AG1850" s="284"/>
      <c r="AI1850" s="131"/>
    </row>
    <row r="1851" spans="1:35" ht="26.4">
      <c r="A1851" s="284"/>
      <c r="B1851" s="284"/>
      <c r="C1851" s="284"/>
      <c r="D1851" s="284"/>
      <c r="E1851" s="284"/>
      <c r="F1851" s="284"/>
      <c r="G1851" s="284"/>
      <c r="H1851" s="284"/>
      <c r="I1851" s="284"/>
      <c r="J1851" s="375"/>
      <c r="K1851" s="375"/>
      <c r="L1851" s="375"/>
      <c r="M1851" s="368"/>
      <c r="N1851" s="368"/>
      <c r="O1851" s="370"/>
      <c r="T1851" s="340"/>
      <c r="V1851" s="378"/>
      <c r="W1851" s="64" ph="1"/>
      <c r="X1851" s="241"/>
      <c r="Y1851" s="284"/>
      <c r="Z1851" s="207"/>
      <c r="AA1851" s="284"/>
      <c r="AB1851" s="284"/>
      <c r="AC1851" s="284"/>
      <c r="AD1851" s="284"/>
      <c r="AE1851" s="284"/>
      <c r="AF1851" s="284"/>
      <c r="AG1851" s="284"/>
      <c r="AI1851" s="131"/>
    </row>
    <row r="1852" spans="1:35" ht="26.4">
      <c r="A1852" s="284"/>
      <c r="B1852" s="284"/>
      <c r="C1852" s="284"/>
      <c r="D1852" s="284"/>
      <c r="E1852" s="284"/>
      <c r="F1852" s="284"/>
      <c r="G1852" s="284"/>
      <c r="H1852" s="284"/>
      <c r="I1852" s="284"/>
      <c r="J1852" s="375"/>
      <c r="K1852" s="375"/>
      <c r="L1852" s="375"/>
      <c r="M1852" s="368"/>
      <c r="N1852" s="368"/>
      <c r="O1852" s="370"/>
      <c r="T1852" s="340"/>
      <c r="V1852" s="378"/>
      <c r="W1852" s="64" ph="1"/>
      <c r="X1852" s="241"/>
      <c r="Y1852" s="284"/>
      <c r="Z1852" s="207"/>
      <c r="AA1852" s="284"/>
      <c r="AB1852" s="284"/>
      <c r="AC1852" s="284"/>
      <c r="AD1852" s="284"/>
      <c r="AE1852" s="284"/>
      <c r="AF1852" s="284"/>
      <c r="AG1852" s="284"/>
      <c r="AI1852" s="131"/>
    </row>
    <row r="1853" spans="1:35" ht="26.4">
      <c r="A1853" s="284"/>
      <c r="B1853" s="284"/>
      <c r="C1853" s="284"/>
      <c r="D1853" s="284"/>
      <c r="E1853" s="284"/>
      <c r="F1853" s="284"/>
      <c r="G1853" s="284"/>
      <c r="H1853" s="284"/>
      <c r="I1853" s="284"/>
      <c r="J1853" s="375"/>
      <c r="K1853" s="375"/>
      <c r="L1853" s="375"/>
      <c r="M1853" s="368"/>
      <c r="N1853" s="368"/>
      <c r="O1853" s="370"/>
      <c r="T1853" s="340"/>
      <c r="V1853" s="378"/>
      <c r="W1853" s="64" ph="1"/>
      <c r="X1853" s="241"/>
      <c r="Y1853" s="284"/>
      <c r="Z1853" s="207"/>
      <c r="AA1853" s="284"/>
      <c r="AB1853" s="284"/>
      <c r="AC1853" s="284"/>
      <c r="AD1853" s="284"/>
      <c r="AE1853" s="284"/>
      <c r="AF1853" s="284"/>
      <c r="AG1853" s="284"/>
      <c r="AI1853" s="131"/>
    </row>
    <row r="1854" spans="1:35" ht="26.4">
      <c r="A1854" s="284"/>
      <c r="B1854" s="284"/>
      <c r="C1854" s="284"/>
      <c r="D1854" s="284"/>
      <c r="E1854" s="284"/>
      <c r="F1854" s="284"/>
      <c r="G1854" s="284"/>
      <c r="H1854" s="284"/>
      <c r="I1854" s="284"/>
      <c r="J1854" s="375"/>
      <c r="K1854" s="375"/>
      <c r="L1854" s="375"/>
      <c r="M1854" s="368"/>
      <c r="N1854" s="368"/>
      <c r="O1854" s="370"/>
      <c r="T1854" s="340"/>
      <c r="V1854" s="378"/>
      <c r="W1854" s="64" ph="1"/>
      <c r="X1854" s="241"/>
      <c r="Y1854" s="284"/>
      <c r="Z1854" s="207"/>
      <c r="AA1854" s="284"/>
      <c r="AB1854" s="284"/>
      <c r="AC1854" s="284"/>
      <c r="AD1854" s="284"/>
      <c r="AE1854" s="284"/>
      <c r="AF1854" s="284"/>
      <c r="AG1854" s="284"/>
      <c r="AI1854" s="131"/>
    </row>
    <row r="1855" spans="1:35" ht="26.4">
      <c r="A1855" s="284"/>
      <c r="B1855" s="284"/>
      <c r="C1855" s="284"/>
      <c r="D1855" s="284"/>
      <c r="E1855" s="284"/>
      <c r="F1855" s="284"/>
      <c r="G1855" s="284"/>
      <c r="H1855" s="284"/>
      <c r="I1855" s="284"/>
      <c r="J1855" s="375"/>
      <c r="K1855" s="375"/>
      <c r="L1855" s="375"/>
      <c r="M1855" s="368"/>
      <c r="N1855" s="368"/>
      <c r="O1855" s="370"/>
      <c r="T1855" s="340"/>
      <c r="V1855" s="378"/>
      <c r="W1855" s="64" ph="1"/>
      <c r="X1855" s="241"/>
      <c r="Y1855" s="284"/>
      <c r="Z1855" s="207"/>
      <c r="AA1855" s="284"/>
      <c r="AB1855" s="284"/>
      <c r="AC1855" s="284"/>
      <c r="AD1855" s="284"/>
      <c r="AE1855" s="284"/>
      <c r="AF1855" s="284"/>
      <c r="AG1855" s="284"/>
      <c r="AI1855" s="131"/>
    </row>
    <row r="1856" spans="1:35" ht="26.4">
      <c r="A1856" s="284"/>
      <c r="B1856" s="284"/>
      <c r="C1856" s="284"/>
      <c r="D1856" s="284"/>
      <c r="E1856" s="284"/>
      <c r="F1856" s="284"/>
      <c r="G1856" s="284"/>
      <c r="H1856" s="284"/>
      <c r="I1856" s="284"/>
      <c r="J1856" s="375"/>
      <c r="K1856" s="375"/>
      <c r="L1856" s="375"/>
      <c r="M1856" s="368"/>
      <c r="N1856" s="368"/>
      <c r="O1856" s="370"/>
      <c r="T1856" s="340"/>
      <c r="V1856" s="378"/>
      <c r="W1856" s="64" ph="1"/>
      <c r="X1856" s="241"/>
      <c r="Y1856" s="284"/>
      <c r="Z1856" s="207"/>
      <c r="AA1856" s="284"/>
      <c r="AB1856" s="284"/>
      <c r="AC1856" s="284"/>
      <c r="AD1856" s="284"/>
      <c r="AE1856" s="284"/>
      <c r="AF1856" s="284"/>
      <c r="AG1856" s="284"/>
      <c r="AI1856" s="131"/>
    </row>
    <row r="1857" spans="1:35" ht="26.4">
      <c r="A1857" s="284"/>
      <c r="B1857" s="284"/>
      <c r="C1857" s="284"/>
      <c r="D1857" s="284"/>
      <c r="E1857" s="284"/>
      <c r="F1857" s="284"/>
      <c r="G1857" s="284"/>
      <c r="H1857" s="284"/>
      <c r="I1857" s="284"/>
      <c r="J1857" s="375"/>
      <c r="K1857" s="375"/>
      <c r="L1857" s="375"/>
      <c r="M1857" s="368"/>
      <c r="N1857" s="368"/>
      <c r="O1857" s="370"/>
      <c r="T1857" s="340"/>
      <c r="V1857" s="378"/>
      <c r="W1857" s="64" ph="1"/>
      <c r="X1857" s="241"/>
      <c r="Y1857" s="284"/>
      <c r="Z1857" s="207"/>
      <c r="AA1857" s="284"/>
      <c r="AB1857" s="284"/>
      <c r="AC1857" s="284"/>
      <c r="AD1857" s="284"/>
      <c r="AE1857" s="284"/>
      <c r="AF1857" s="284"/>
      <c r="AG1857" s="284"/>
      <c r="AI1857" s="131"/>
    </row>
    <row r="1858" spans="1:35" ht="26.4">
      <c r="A1858" s="284"/>
      <c r="B1858" s="284"/>
      <c r="C1858" s="284"/>
      <c r="D1858" s="284"/>
      <c r="E1858" s="284"/>
      <c r="F1858" s="284"/>
      <c r="G1858" s="284"/>
      <c r="H1858" s="284"/>
      <c r="I1858" s="284"/>
      <c r="J1858" s="375"/>
      <c r="K1858" s="375"/>
      <c r="L1858" s="375"/>
      <c r="M1858" s="368"/>
      <c r="N1858" s="368"/>
      <c r="O1858" s="370"/>
      <c r="T1858" s="340"/>
      <c r="V1858" s="378"/>
      <c r="W1858" s="64" ph="1"/>
      <c r="X1858" s="241"/>
      <c r="Y1858" s="284"/>
      <c r="Z1858" s="207"/>
      <c r="AA1858" s="284"/>
      <c r="AB1858" s="284"/>
      <c r="AC1858" s="284"/>
      <c r="AD1858" s="284"/>
      <c r="AE1858" s="284"/>
      <c r="AF1858" s="284"/>
      <c r="AG1858" s="284"/>
      <c r="AI1858" s="131"/>
    </row>
    <row r="1859" spans="1:35" ht="26.4">
      <c r="A1859" s="284"/>
      <c r="B1859" s="284"/>
      <c r="C1859" s="284"/>
      <c r="D1859" s="284"/>
      <c r="E1859" s="284"/>
      <c r="F1859" s="284"/>
      <c r="G1859" s="284"/>
      <c r="H1859" s="284"/>
      <c r="I1859" s="284"/>
      <c r="J1859" s="375"/>
      <c r="K1859" s="375"/>
      <c r="L1859" s="375"/>
      <c r="M1859" s="368"/>
      <c r="N1859" s="368"/>
      <c r="O1859" s="370"/>
      <c r="T1859" s="340"/>
      <c r="V1859" s="378"/>
      <c r="W1859" s="64" ph="1"/>
      <c r="X1859" s="241"/>
      <c r="Y1859" s="284"/>
      <c r="Z1859" s="207"/>
      <c r="AA1859" s="284"/>
      <c r="AB1859" s="284"/>
      <c r="AC1859" s="284"/>
      <c r="AD1859" s="284"/>
      <c r="AE1859" s="284"/>
      <c r="AF1859" s="284"/>
      <c r="AG1859" s="284"/>
      <c r="AI1859" s="284"/>
    </row>
    <row r="1860" spans="1:35" ht="26.4">
      <c r="A1860" s="284"/>
      <c r="B1860" s="284"/>
      <c r="C1860" s="284"/>
      <c r="D1860" s="284"/>
      <c r="E1860" s="284"/>
      <c r="F1860" s="284"/>
      <c r="G1860" s="284"/>
      <c r="H1860" s="284"/>
      <c r="I1860" s="284"/>
      <c r="J1860" s="375"/>
      <c r="K1860" s="375"/>
      <c r="L1860" s="375"/>
      <c r="M1860" s="368"/>
      <c r="N1860" s="368"/>
      <c r="O1860" s="370"/>
      <c r="T1860" s="340"/>
      <c r="V1860" s="378"/>
      <c r="W1860" s="64" ph="1"/>
      <c r="X1860" s="241"/>
      <c r="Y1860" s="284"/>
      <c r="Z1860" s="207"/>
      <c r="AA1860" s="284"/>
      <c r="AB1860" s="284"/>
      <c r="AC1860" s="284"/>
      <c r="AD1860" s="284"/>
      <c r="AE1860" s="284"/>
      <c r="AF1860" s="284"/>
      <c r="AG1860" s="284"/>
      <c r="AI1860" s="284"/>
    </row>
    <row r="1861" spans="1:35" ht="26.4">
      <c r="A1861" s="284"/>
      <c r="B1861" s="284"/>
      <c r="C1861" s="284"/>
      <c r="D1861" s="284"/>
      <c r="E1861" s="284"/>
      <c r="F1861" s="284"/>
      <c r="G1861" s="284"/>
      <c r="H1861" s="284"/>
      <c r="I1861" s="284"/>
      <c r="J1861" s="375"/>
      <c r="K1861" s="375"/>
      <c r="L1861" s="375"/>
      <c r="M1861" s="368"/>
      <c r="N1861" s="368"/>
      <c r="O1861" s="370"/>
      <c r="T1861" s="340"/>
      <c r="V1861" s="378"/>
      <c r="W1861" s="64" ph="1"/>
      <c r="X1861" s="241"/>
      <c r="Y1861" s="284"/>
      <c r="Z1861" s="207"/>
      <c r="AA1861" s="284"/>
      <c r="AB1861" s="284"/>
      <c r="AC1861" s="284"/>
      <c r="AD1861" s="284"/>
      <c r="AE1861" s="284"/>
      <c r="AF1861" s="284"/>
      <c r="AG1861" s="284"/>
      <c r="AI1861" s="284"/>
    </row>
    <row r="1862" spans="1:35" ht="26.4">
      <c r="A1862" s="284"/>
      <c r="B1862" s="284"/>
      <c r="C1862" s="284"/>
      <c r="D1862" s="284"/>
      <c r="E1862" s="284"/>
      <c r="F1862" s="284"/>
      <c r="G1862" s="284"/>
      <c r="H1862" s="284"/>
      <c r="I1862" s="284"/>
      <c r="J1862" s="375"/>
      <c r="K1862" s="375"/>
      <c r="L1862" s="375"/>
      <c r="M1862" s="368"/>
      <c r="N1862" s="368"/>
      <c r="O1862" s="370"/>
      <c r="T1862" s="340"/>
      <c r="V1862" s="378"/>
      <c r="W1862" s="64" ph="1"/>
      <c r="X1862" s="241"/>
      <c r="Y1862" s="284"/>
      <c r="Z1862" s="207"/>
      <c r="AA1862" s="284"/>
      <c r="AB1862" s="284"/>
      <c r="AC1862" s="284"/>
      <c r="AD1862" s="284"/>
      <c r="AE1862" s="284"/>
      <c r="AF1862" s="284"/>
      <c r="AG1862" s="284"/>
      <c r="AI1862" s="284"/>
    </row>
    <row r="1863" spans="1:35" ht="26.4">
      <c r="A1863" s="284"/>
      <c r="B1863" s="284"/>
      <c r="C1863" s="284"/>
      <c r="D1863" s="284"/>
      <c r="E1863" s="284"/>
      <c r="F1863" s="284"/>
      <c r="G1863" s="284"/>
      <c r="H1863" s="284"/>
      <c r="I1863" s="284"/>
      <c r="J1863" s="375"/>
      <c r="K1863" s="375"/>
      <c r="L1863" s="375"/>
      <c r="M1863" s="368"/>
      <c r="N1863" s="368"/>
      <c r="O1863" s="370"/>
      <c r="T1863" s="340"/>
      <c r="V1863" s="378"/>
      <c r="W1863" s="64" ph="1"/>
      <c r="X1863" s="241"/>
      <c r="Y1863" s="284"/>
      <c r="Z1863" s="207"/>
      <c r="AA1863" s="284"/>
      <c r="AB1863" s="284"/>
      <c r="AC1863" s="284"/>
      <c r="AD1863" s="284"/>
      <c r="AE1863" s="284"/>
      <c r="AF1863" s="284"/>
      <c r="AG1863" s="284"/>
      <c r="AI1863" s="284"/>
    </row>
    <row r="1864" spans="1:35" ht="26.4">
      <c r="A1864" s="284"/>
      <c r="B1864" s="284"/>
      <c r="C1864" s="284"/>
      <c r="D1864" s="284"/>
      <c r="E1864" s="284"/>
      <c r="F1864" s="284"/>
      <c r="G1864" s="284"/>
      <c r="H1864" s="284"/>
      <c r="I1864" s="284"/>
      <c r="J1864" s="375"/>
      <c r="K1864" s="375"/>
      <c r="L1864" s="375"/>
      <c r="M1864" s="368"/>
      <c r="N1864" s="368"/>
      <c r="O1864" s="370"/>
      <c r="T1864" s="340"/>
      <c r="V1864" s="378"/>
      <c r="W1864" s="64" ph="1"/>
      <c r="X1864" s="241"/>
      <c r="Y1864" s="284"/>
      <c r="Z1864" s="207"/>
      <c r="AA1864" s="284"/>
      <c r="AB1864" s="284"/>
      <c r="AC1864" s="284"/>
      <c r="AD1864" s="284"/>
      <c r="AE1864" s="284"/>
      <c r="AF1864" s="284"/>
      <c r="AG1864" s="284"/>
      <c r="AI1864" s="284"/>
    </row>
    <row r="1865" spans="1:35" ht="26.4">
      <c r="A1865" s="284"/>
      <c r="B1865" s="284"/>
      <c r="C1865" s="284"/>
      <c r="D1865" s="284"/>
      <c r="E1865" s="284"/>
      <c r="F1865" s="284"/>
      <c r="G1865" s="284"/>
      <c r="H1865" s="284"/>
      <c r="I1865" s="284"/>
      <c r="J1865" s="375"/>
      <c r="K1865" s="375"/>
      <c r="L1865" s="375"/>
      <c r="M1865" s="368"/>
      <c r="N1865" s="368"/>
      <c r="O1865" s="370"/>
      <c r="T1865" s="340"/>
      <c r="V1865" s="378"/>
      <c r="W1865" s="64" ph="1"/>
      <c r="X1865" s="241"/>
      <c r="Y1865" s="284"/>
      <c r="Z1865" s="207"/>
      <c r="AA1865" s="284"/>
      <c r="AB1865" s="284"/>
      <c r="AC1865" s="284"/>
      <c r="AD1865" s="284"/>
      <c r="AE1865" s="284"/>
      <c r="AF1865" s="284"/>
      <c r="AG1865" s="284"/>
      <c r="AI1865" s="284"/>
    </row>
    <row r="1866" spans="1:35" ht="26.4">
      <c r="A1866" s="284"/>
      <c r="B1866" s="284"/>
      <c r="C1866" s="284"/>
      <c r="D1866" s="284"/>
      <c r="E1866" s="284"/>
      <c r="F1866" s="284"/>
      <c r="G1866" s="284"/>
      <c r="H1866" s="284"/>
      <c r="I1866" s="284"/>
      <c r="J1866" s="375"/>
      <c r="K1866" s="375"/>
      <c r="L1866" s="375"/>
      <c r="M1866" s="368"/>
      <c r="N1866" s="368"/>
      <c r="O1866" s="370"/>
      <c r="T1866" s="340"/>
      <c r="V1866" s="378"/>
      <c r="W1866" s="64" ph="1"/>
      <c r="X1866" s="241"/>
      <c r="Y1866" s="284"/>
      <c r="Z1866" s="207"/>
      <c r="AA1866" s="284"/>
      <c r="AB1866" s="284"/>
      <c r="AC1866" s="284"/>
      <c r="AD1866" s="284"/>
      <c r="AE1866" s="284"/>
      <c r="AF1866" s="284"/>
      <c r="AG1866" s="284"/>
      <c r="AI1866" s="284"/>
    </row>
    <row r="1867" spans="1:35" ht="26.4">
      <c r="A1867" s="284"/>
      <c r="B1867" s="284"/>
      <c r="C1867" s="284"/>
      <c r="D1867" s="284"/>
      <c r="E1867" s="284"/>
      <c r="F1867" s="284"/>
      <c r="G1867" s="284"/>
      <c r="H1867" s="284"/>
      <c r="I1867" s="284"/>
      <c r="J1867" s="375"/>
      <c r="K1867" s="375"/>
      <c r="L1867" s="375"/>
      <c r="M1867" s="368"/>
      <c r="N1867" s="368"/>
      <c r="O1867" s="370"/>
      <c r="T1867" s="340"/>
      <c r="V1867" s="378"/>
      <c r="W1867" s="64" ph="1"/>
      <c r="X1867" s="241"/>
      <c r="Y1867" s="284"/>
      <c r="Z1867" s="207"/>
      <c r="AA1867" s="284"/>
      <c r="AB1867" s="284"/>
      <c r="AC1867" s="284"/>
      <c r="AD1867" s="284"/>
      <c r="AE1867" s="284"/>
      <c r="AF1867" s="284"/>
      <c r="AG1867" s="284"/>
      <c r="AI1867" s="284"/>
    </row>
    <row r="1868" spans="1:35" ht="26.4">
      <c r="A1868" s="284"/>
      <c r="B1868" s="284"/>
      <c r="C1868" s="284"/>
      <c r="D1868" s="284"/>
      <c r="E1868" s="284"/>
      <c r="F1868" s="284"/>
      <c r="G1868" s="284"/>
      <c r="H1868" s="284"/>
      <c r="I1868" s="284"/>
      <c r="J1868" s="375"/>
      <c r="K1868" s="375"/>
      <c r="L1868" s="375"/>
      <c r="M1868" s="368"/>
      <c r="N1868" s="368"/>
      <c r="O1868" s="370"/>
      <c r="T1868" s="340"/>
      <c r="V1868" s="378"/>
      <c r="W1868" s="64" ph="1"/>
      <c r="X1868" s="241"/>
      <c r="Y1868" s="284"/>
      <c r="Z1868" s="207"/>
      <c r="AA1868" s="284"/>
      <c r="AB1868" s="284"/>
      <c r="AC1868" s="284"/>
      <c r="AD1868" s="284"/>
      <c r="AE1868" s="284"/>
      <c r="AF1868" s="284"/>
      <c r="AG1868" s="284"/>
      <c r="AI1868" s="131"/>
    </row>
    <row r="1869" spans="1:35" ht="26.4">
      <c r="A1869" s="284"/>
      <c r="B1869" s="284"/>
      <c r="C1869" s="284"/>
      <c r="D1869" s="284"/>
      <c r="E1869" s="284"/>
      <c r="F1869" s="284"/>
      <c r="G1869" s="284"/>
      <c r="H1869" s="284"/>
      <c r="I1869" s="284"/>
      <c r="J1869" s="375"/>
      <c r="K1869" s="375"/>
      <c r="L1869" s="375"/>
      <c r="M1869" s="368"/>
      <c r="N1869" s="368"/>
      <c r="O1869" s="370"/>
      <c r="T1869" s="340"/>
      <c r="V1869" s="378"/>
      <c r="W1869" s="64" ph="1"/>
      <c r="X1869" s="241"/>
      <c r="Y1869" s="284"/>
      <c r="Z1869" s="207"/>
      <c r="AA1869" s="284"/>
      <c r="AB1869" s="284"/>
      <c r="AC1869" s="284"/>
      <c r="AD1869" s="284"/>
      <c r="AE1869" s="284"/>
      <c r="AF1869" s="284"/>
      <c r="AG1869" s="284"/>
      <c r="AI1869" s="284"/>
    </row>
    <row r="1870" spans="1:35" ht="26.4">
      <c r="A1870" s="284"/>
      <c r="B1870" s="284"/>
      <c r="C1870" s="284"/>
      <c r="D1870" s="284"/>
      <c r="E1870" s="284"/>
      <c r="F1870" s="284"/>
      <c r="G1870" s="284"/>
      <c r="H1870" s="284"/>
      <c r="I1870" s="284"/>
      <c r="J1870" s="375"/>
      <c r="K1870" s="375"/>
      <c r="L1870" s="375"/>
      <c r="M1870" s="368"/>
      <c r="N1870" s="368"/>
      <c r="O1870" s="370"/>
      <c r="T1870" s="340"/>
      <c r="V1870" s="378"/>
      <c r="W1870" s="64" ph="1"/>
      <c r="X1870" s="241"/>
      <c r="Y1870" s="284"/>
      <c r="Z1870" s="207"/>
      <c r="AA1870" s="284"/>
      <c r="AB1870" s="284"/>
      <c r="AC1870" s="284"/>
      <c r="AD1870" s="284"/>
      <c r="AE1870" s="284"/>
      <c r="AF1870" s="284"/>
      <c r="AG1870" s="284"/>
      <c r="AI1870" s="284"/>
    </row>
    <row r="1871" spans="1:35" ht="26.4">
      <c r="A1871" s="284"/>
      <c r="B1871" s="284"/>
      <c r="C1871" s="284"/>
      <c r="D1871" s="284"/>
      <c r="E1871" s="284"/>
      <c r="F1871" s="284"/>
      <c r="G1871" s="284"/>
      <c r="H1871" s="284"/>
      <c r="I1871" s="284"/>
      <c r="J1871" s="375"/>
      <c r="K1871" s="375"/>
      <c r="L1871" s="375"/>
      <c r="M1871" s="368"/>
      <c r="N1871" s="368"/>
      <c r="O1871" s="370"/>
      <c r="T1871" s="340"/>
      <c r="V1871" s="378"/>
      <c r="W1871" s="64" ph="1"/>
      <c r="X1871" s="241"/>
      <c r="Y1871" s="284"/>
      <c r="Z1871" s="207"/>
      <c r="AA1871" s="284"/>
      <c r="AB1871" s="284"/>
      <c r="AC1871" s="284"/>
      <c r="AD1871" s="284"/>
      <c r="AE1871" s="284"/>
      <c r="AF1871" s="284"/>
      <c r="AG1871" s="284"/>
      <c r="AI1871" s="284"/>
    </row>
    <row r="1872" spans="1:35" ht="26.4">
      <c r="A1872" s="284"/>
      <c r="B1872" s="284"/>
      <c r="C1872" s="284"/>
      <c r="D1872" s="284"/>
      <c r="E1872" s="284"/>
      <c r="F1872" s="284"/>
      <c r="G1872" s="284"/>
      <c r="H1872" s="284"/>
      <c r="I1872" s="284"/>
      <c r="J1872" s="375"/>
      <c r="K1872" s="375"/>
      <c r="L1872" s="375"/>
      <c r="M1872" s="368"/>
      <c r="N1872" s="368"/>
      <c r="O1872" s="370"/>
      <c r="T1872" s="340"/>
      <c r="V1872" s="378"/>
      <c r="W1872" s="64" ph="1"/>
      <c r="X1872" s="241"/>
      <c r="Y1872" s="284"/>
      <c r="Z1872" s="207"/>
      <c r="AA1872" s="284"/>
      <c r="AB1872" s="284"/>
      <c r="AC1872" s="284"/>
      <c r="AD1872" s="284"/>
      <c r="AE1872" s="284"/>
      <c r="AF1872" s="284"/>
      <c r="AG1872" s="284"/>
      <c r="AI1872" s="131"/>
    </row>
    <row r="1873" spans="1:35" ht="26.4">
      <c r="A1873" s="284"/>
      <c r="B1873" s="284"/>
      <c r="C1873" s="284"/>
      <c r="D1873" s="284"/>
      <c r="E1873" s="284"/>
      <c r="F1873" s="284"/>
      <c r="G1873" s="284"/>
      <c r="H1873" s="284"/>
      <c r="I1873" s="284"/>
      <c r="J1873" s="375"/>
      <c r="K1873" s="375"/>
      <c r="L1873" s="375"/>
      <c r="M1873" s="368"/>
      <c r="N1873" s="368"/>
      <c r="O1873" s="370"/>
      <c r="T1873" s="340"/>
      <c r="V1873" s="378"/>
      <c r="W1873" s="64" ph="1"/>
      <c r="X1873" s="241"/>
      <c r="Y1873" s="284"/>
      <c r="Z1873" s="207"/>
      <c r="AA1873" s="284"/>
      <c r="AB1873" s="284"/>
      <c r="AC1873" s="284"/>
      <c r="AD1873" s="284"/>
      <c r="AE1873" s="284"/>
      <c r="AF1873" s="284"/>
      <c r="AG1873" s="284"/>
      <c r="AI1873" s="284"/>
    </row>
    <row r="1874" spans="1:35" ht="26.4">
      <c r="A1874" s="284"/>
      <c r="B1874" s="284"/>
      <c r="C1874" s="284"/>
      <c r="D1874" s="284"/>
      <c r="E1874" s="284"/>
      <c r="F1874" s="284"/>
      <c r="G1874" s="284"/>
      <c r="H1874" s="284"/>
      <c r="I1874" s="284"/>
      <c r="J1874" s="375"/>
      <c r="K1874" s="375"/>
      <c r="L1874" s="375"/>
      <c r="M1874" s="368"/>
      <c r="N1874" s="368"/>
      <c r="O1874" s="370"/>
      <c r="T1874" s="340"/>
      <c r="V1874" s="378"/>
      <c r="W1874" s="64" ph="1"/>
      <c r="X1874" s="241"/>
      <c r="Y1874" s="284"/>
      <c r="Z1874" s="207"/>
      <c r="AA1874" s="284"/>
      <c r="AB1874" s="284"/>
      <c r="AC1874" s="284"/>
      <c r="AD1874" s="284"/>
      <c r="AE1874" s="284"/>
      <c r="AF1874" s="284"/>
      <c r="AG1874" s="284"/>
      <c r="AI1874" s="284"/>
    </row>
    <row r="1875" spans="1:35" ht="26.4">
      <c r="A1875" s="284"/>
      <c r="B1875" s="284"/>
      <c r="C1875" s="284"/>
      <c r="D1875" s="284"/>
      <c r="E1875" s="284"/>
      <c r="F1875" s="284"/>
      <c r="G1875" s="284"/>
      <c r="H1875" s="284"/>
      <c r="I1875" s="284"/>
      <c r="J1875" s="375"/>
      <c r="K1875" s="375"/>
      <c r="L1875" s="375"/>
      <c r="M1875" s="368"/>
      <c r="N1875" s="368"/>
      <c r="O1875" s="370"/>
      <c r="T1875" s="340"/>
      <c r="V1875" s="378"/>
      <c r="W1875" s="64" ph="1"/>
      <c r="X1875" s="241"/>
      <c r="Y1875" s="284"/>
      <c r="Z1875" s="207"/>
      <c r="AA1875" s="284"/>
      <c r="AB1875" s="284"/>
      <c r="AC1875" s="284"/>
      <c r="AD1875" s="284"/>
      <c r="AE1875" s="284"/>
      <c r="AF1875" s="284"/>
      <c r="AG1875" s="284"/>
      <c r="AI1875" s="131"/>
    </row>
    <row r="1876" spans="1:35" ht="26.4">
      <c r="A1876" s="284"/>
      <c r="B1876" s="284"/>
      <c r="C1876" s="284"/>
      <c r="D1876" s="284"/>
      <c r="E1876" s="284"/>
      <c r="F1876" s="284"/>
      <c r="G1876" s="284"/>
      <c r="H1876" s="284"/>
      <c r="I1876" s="284"/>
      <c r="J1876" s="375"/>
      <c r="K1876" s="375"/>
      <c r="L1876" s="375"/>
      <c r="M1876" s="368"/>
      <c r="N1876" s="368"/>
      <c r="O1876" s="370"/>
      <c r="T1876" s="340"/>
      <c r="V1876" s="378"/>
      <c r="W1876" s="64" ph="1"/>
      <c r="X1876" s="241"/>
      <c r="Y1876" s="284"/>
      <c r="Z1876" s="207"/>
      <c r="AA1876" s="284"/>
      <c r="AB1876" s="284"/>
      <c r="AC1876" s="284"/>
      <c r="AD1876" s="284"/>
      <c r="AE1876" s="284"/>
      <c r="AF1876" s="284"/>
      <c r="AG1876" s="284"/>
      <c r="AI1876" s="131"/>
    </row>
    <row r="1877" spans="1:35" ht="26.4">
      <c r="A1877" s="284"/>
      <c r="B1877" s="284"/>
      <c r="C1877" s="284"/>
      <c r="D1877" s="284"/>
      <c r="E1877" s="284"/>
      <c r="F1877" s="284"/>
      <c r="G1877" s="284"/>
      <c r="H1877" s="284"/>
      <c r="I1877" s="284"/>
      <c r="J1877" s="375"/>
      <c r="K1877" s="375"/>
      <c r="L1877" s="375"/>
      <c r="M1877" s="368"/>
      <c r="N1877" s="368"/>
      <c r="O1877" s="370"/>
      <c r="T1877" s="340"/>
      <c r="V1877" s="378"/>
      <c r="W1877" s="64" ph="1"/>
      <c r="X1877" s="241"/>
      <c r="Y1877" s="284"/>
      <c r="Z1877" s="207"/>
      <c r="AA1877" s="284"/>
      <c r="AB1877" s="284"/>
      <c r="AC1877" s="284"/>
      <c r="AD1877" s="284"/>
      <c r="AE1877" s="284"/>
      <c r="AF1877" s="284"/>
      <c r="AG1877" s="284"/>
    </row>
    <row r="1878" spans="1:35" ht="26.4">
      <c r="A1878" s="284"/>
      <c r="B1878" s="284"/>
      <c r="C1878" s="284"/>
      <c r="D1878" s="284"/>
      <c r="E1878" s="284"/>
      <c r="F1878" s="284"/>
      <c r="G1878" s="284"/>
      <c r="H1878" s="284"/>
      <c r="I1878" s="284"/>
      <c r="J1878" s="375"/>
      <c r="K1878" s="375"/>
      <c r="L1878" s="375"/>
      <c r="M1878" s="368"/>
      <c r="N1878" s="368"/>
      <c r="O1878" s="370"/>
      <c r="T1878" s="340"/>
      <c r="V1878" s="378"/>
      <c r="W1878" s="64" ph="1"/>
      <c r="X1878" s="241"/>
      <c r="Y1878" s="284"/>
      <c r="Z1878" s="207"/>
      <c r="AA1878" s="284"/>
      <c r="AB1878" s="284"/>
      <c r="AC1878" s="284"/>
      <c r="AD1878" s="284"/>
      <c r="AE1878" s="284"/>
      <c r="AF1878" s="284"/>
      <c r="AG1878" s="284"/>
    </row>
    <row r="1879" spans="1:35" ht="26.4">
      <c r="A1879" s="284"/>
      <c r="B1879" s="284"/>
      <c r="C1879" s="284"/>
      <c r="D1879" s="284"/>
      <c r="E1879" s="284"/>
      <c r="F1879" s="284"/>
      <c r="G1879" s="284"/>
      <c r="H1879" s="284"/>
      <c r="I1879" s="284"/>
      <c r="J1879" s="375"/>
      <c r="K1879" s="375"/>
      <c r="L1879" s="375"/>
      <c r="M1879" s="368"/>
      <c r="N1879" s="368"/>
      <c r="O1879" s="370"/>
      <c r="T1879" s="340"/>
      <c r="V1879" s="378"/>
      <c r="W1879" s="64" ph="1"/>
      <c r="X1879" s="241"/>
      <c r="Y1879" s="284"/>
      <c r="Z1879" s="207"/>
      <c r="AA1879" s="284"/>
      <c r="AB1879" s="284"/>
      <c r="AC1879" s="284"/>
      <c r="AD1879" s="284"/>
      <c r="AE1879" s="284"/>
      <c r="AF1879" s="284"/>
      <c r="AG1879" s="284"/>
    </row>
    <row r="1880" spans="1:35" ht="26.4">
      <c r="A1880" s="284"/>
      <c r="B1880" s="284"/>
      <c r="C1880" s="284"/>
      <c r="D1880" s="284"/>
      <c r="E1880" s="284"/>
      <c r="F1880" s="284"/>
      <c r="G1880" s="284"/>
      <c r="H1880" s="284"/>
      <c r="I1880" s="284"/>
      <c r="J1880" s="375"/>
      <c r="K1880" s="375"/>
      <c r="L1880" s="375"/>
      <c r="M1880" s="368"/>
      <c r="N1880" s="368"/>
      <c r="O1880" s="370"/>
      <c r="T1880" s="340"/>
      <c r="V1880" s="378"/>
      <c r="W1880" s="64" ph="1"/>
      <c r="X1880" s="241"/>
      <c r="Y1880" s="284"/>
      <c r="Z1880" s="207"/>
      <c r="AA1880" s="284"/>
      <c r="AB1880" s="284"/>
      <c r="AC1880" s="284"/>
      <c r="AD1880" s="284"/>
      <c r="AE1880" s="284"/>
      <c r="AF1880" s="284"/>
      <c r="AG1880" s="284"/>
    </row>
    <row r="1881" spans="1:35" ht="26.4">
      <c r="A1881" s="284"/>
      <c r="B1881" s="284"/>
      <c r="C1881" s="284"/>
      <c r="D1881" s="284"/>
      <c r="E1881" s="284"/>
      <c r="F1881" s="284"/>
      <c r="G1881" s="284"/>
      <c r="H1881" s="284"/>
      <c r="I1881" s="284"/>
      <c r="J1881" s="375"/>
      <c r="K1881" s="375"/>
      <c r="L1881" s="375"/>
      <c r="M1881" s="368"/>
      <c r="N1881" s="368"/>
      <c r="O1881" s="370"/>
      <c r="T1881" s="340"/>
      <c r="V1881" s="378"/>
      <c r="W1881" s="64" ph="1"/>
      <c r="X1881" s="241"/>
      <c r="Y1881" s="284"/>
      <c r="Z1881" s="207"/>
      <c r="AA1881" s="284"/>
      <c r="AB1881" s="284"/>
      <c r="AC1881" s="284"/>
      <c r="AD1881" s="284"/>
      <c r="AE1881" s="284"/>
      <c r="AF1881" s="284"/>
      <c r="AG1881" s="284"/>
    </row>
    <row r="1882" spans="1:35" ht="26.4">
      <c r="A1882" s="284"/>
      <c r="B1882" s="284"/>
      <c r="C1882" s="284"/>
      <c r="D1882" s="284"/>
      <c r="E1882" s="284"/>
      <c r="F1882" s="284"/>
      <c r="G1882" s="284"/>
      <c r="H1882" s="284"/>
      <c r="I1882" s="284"/>
      <c r="J1882" s="375"/>
      <c r="K1882" s="375"/>
      <c r="L1882" s="375"/>
      <c r="M1882" s="368"/>
      <c r="N1882" s="368"/>
      <c r="O1882" s="370"/>
      <c r="T1882" s="340"/>
      <c r="V1882" s="378"/>
      <c r="W1882" s="64" ph="1"/>
      <c r="X1882" s="241"/>
      <c r="Y1882" s="284"/>
      <c r="Z1882" s="207"/>
      <c r="AA1882" s="284"/>
      <c r="AB1882" s="284"/>
      <c r="AC1882" s="284"/>
      <c r="AD1882" s="284"/>
      <c r="AE1882" s="284"/>
      <c r="AF1882" s="284"/>
      <c r="AG1882" s="284"/>
    </row>
    <row r="1883" spans="1:35" ht="26.4">
      <c r="A1883" s="284"/>
      <c r="B1883" s="284"/>
      <c r="C1883" s="284"/>
      <c r="D1883" s="284"/>
      <c r="E1883" s="284"/>
      <c r="F1883" s="284"/>
      <c r="G1883" s="284"/>
      <c r="H1883" s="284"/>
      <c r="I1883" s="284"/>
      <c r="J1883" s="375"/>
      <c r="K1883" s="375"/>
      <c r="L1883" s="375"/>
      <c r="M1883" s="368"/>
      <c r="N1883" s="368"/>
      <c r="O1883" s="370"/>
      <c r="T1883" s="340"/>
      <c r="V1883" s="378"/>
      <c r="W1883" s="64" ph="1"/>
      <c r="X1883" s="241"/>
      <c r="Y1883" s="284"/>
      <c r="Z1883" s="207"/>
      <c r="AA1883" s="284"/>
      <c r="AB1883" s="284"/>
      <c r="AC1883" s="284"/>
      <c r="AD1883" s="284"/>
      <c r="AE1883" s="284"/>
      <c r="AF1883" s="284"/>
      <c r="AG1883" s="284"/>
    </row>
    <row r="1884" spans="1:35" ht="26.4">
      <c r="A1884" s="284"/>
      <c r="B1884" s="284"/>
      <c r="C1884" s="284"/>
      <c r="D1884" s="284"/>
      <c r="E1884" s="284"/>
      <c r="F1884" s="284"/>
      <c r="G1884" s="284"/>
      <c r="H1884" s="284"/>
      <c r="I1884" s="284"/>
      <c r="J1884" s="375"/>
      <c r="K1884" s="375"/>
      <c r="L1884" s="375"/>
      <c r="M1884" s="368"/>
      <c r="N1884" s="368"/>
      <c r="O1884" s="370"/>
      <c r="T1884" s="340"/>
      <c r="V1884" s="378"/>
      <c r="W1884" s="64" ph="1"/>
      <c r="X1884" s="241"/>
      <c r="Y1884" s="284"/>
      <c r="Z1884" s="207"/>
      <c r="AA1884" s="284"/>
      <c r="AB1884" s="284"/>
      <c r="AC1884" s="284"/>
      <c r="AD1884" s="284"/>
      <c r="AE1884" s="284"/>
      <c r="AF1884" s="284"/>
      <c r="AG1884" s="284"/>
    </row>
    <row r="1885" spans="1:35" ht="26.4">
      <c r="A1885" s="284"/>
      <c r="B1885" s="284"/>
      <c r="C1885" s="284"/>
      <c r="D1885" s="284"/>
      <c r="E1885" s="284"/>
      <c r="F1885" s="284"/>
      <c r="G1885" s="284"/>
      <c r="H1885" s="284"/>
      <c r="I1885" s="284"/>
      <c r="J1885" s="375"/>
      <c r="K1885" s="375"/>
      <c r="L1885" s="375"/>
      <c r="M1885" s="368"/>
      <c r="N1885" s="368"/>
      <c r="O1885" s="370"/>
      <c r="T1885" s="340"/>
      <c r="V1885" s="378"/>
      <c r="W1885" s="64" ph="1"/>
      <c r="X1885" s="241"/>
      <c r="Y1885" s="284"/>
      <c r="Z1885" s="207"/>
      <c r="AA1885" s="284"/>
      <c r="AB1885" s="284"/>
      <c r="AC1885" s="284"/>
      <c r="AD1885" s="284"/>
      <c r="AE1885" s="284"/>
      <c r="AF1885" s="284"/>
      <c r="AG1885" s="284"/>
    </row>
    <row r="1886" spans="1:35" ht="26.4">
      <c r="A1886" s="284"/>
      <c r="B1886" s="284"/>
      <c r="C1886" s="284"/>
      <c r="D1886" s="284"/>
      <c r="E1886" s="284"/>
      <c r="F1886" s="284"/>
      <c r="G1886" s="284"/>
      <c r="H1886" s="284"/>
      <c r="I1886" s="284"/>
      <c r="J1886" s="375"/>
      <c r="K1886" s="375"/>
      <c r="L1886" s="375"/>
      <c r="M1886" s="368"/>
      <c r="N1886" s="368"/>
      <c r="O1886" s="370"/>
      <c r="T1886" s="340"/>
      <c r="V1886" s="378"/>
      <c r="W1886" s="64" ph="1"/>
      <c r="X1886" s="241"/>
      <c r="Y1886" s="284"/>
      <c r="Z1886" s="207"/>
      <c r="AA1886" s="284"/>
      <c r="AB1886" s="284"/>
      <c r="AC1886" s="284"/>
      <c r="AD1886" s="284"/>
      <c r="AE1886" s="284"/>
      <c r="AF1886" s="284"/>
      <c r="AG1886" s="284"/>
    </row>
    <row r="1887" spans="1:35" ht="26.4">
      <c r="A1887" s="284"/>
      <c r="B1887" s="284"/>
      <c r="C1887" s="284"/>
      <c r="D1887" s="284"/>
      <c r="E1887" s="284"/>
      <c r="F1887" s="284"/>
      <c r="G1887" s="284"/>
      <c r="H1887" s="284"/>
      <c r="I1887" s="284"/>
      <c r="J1887" s="375"/>
      <c r="K1887" s="375"/>
      <c r="L1887" s="375"/>
      <c r="M1887" s="368"/>
      <c r="N1887" s="368"/>
      <c r="O1887" s="370"/>
      <c r="T1887" s="340"/>
      <c r="V1887" s="378"/>
      <c r="W1887" s="64" ph="1"/>
      <c r="X1887" s="241"/>
      <c r="Y1887" s="284"/>
      <c r="Z1887" s="207"/>
      <c r="AA1887" s="284"/>
      <c r="AB1887" s="284"/>
      <c r="AC1887" s="284"/>
      <c r="AD1887" s="284"/>
      <c r="AE1887" s="284"/>
      <c r="AF1887" s="284"/>
      <c r="AG1887" s="284"/>
    </row>
    <row r="1888" spans="1:35" ht="26.4">
      <c r="A1888" s="284"/>
      <c r="B1888" s="284"/>
      <c r="C1888" s="284"/>
      <c r="D1888" s="284"/>
      <c r="E1888" s="284"/>
      <c r="F1888" s="284"/>
      <c r="G1888" s="284"/>
      <c r="H1888" s="284"/>
      <c r="I1888" s="284"/>
      <c r="J1888" s="375"/>
      <c r="K1888" s="375"/>
      <c r="L1888" s="375"/>
      <c r="M1888" s="368"/>
      <c r="N1888" s="368"/>
      <c r="O1888" s="370"/>
      <c r="T1888" s="340"/>
      <c r="V1888" s="378"/>
      <c r="W1888" s="64" ph="1"/>
      <c r="X1888" s="241"/>
      <c r="Y1888" s="284"/>
      <c r="Z1888" s="207"/>
      <c r="AA1888" s="284"/>
      <c r="AB1888" s="284"/>
      <c r="AC1888" s="284"/>
      <c r="AD1888" s="284"/>
      <c r="AE1888" s="284"/>
      <c r="AF1888" s="284"/>
      <c r="AG1888" s="284"/>
    </row>
    <row r="1889" spans="1:33" ht="26.4">
      <c r="A1889" s="284"/>
      <c r="B1889" s="284"/>
      <c r="C1889" s="284"/>
      <c r="D1889" s="284"/>
      <c r="E1889" s="284"/>
      <c r="F1889" s="284"/>
      <c r="G1889" s="284"/>
      <c r="H1889" s="284"/>
      <c r="I1889" s="284"/>
      <c r="J1889" s="375"/>
      <c r="K1889" s="375"/>
      <c r="L1889" s="375"/>
      <c r="M1889" s="368"/>
      <c r="N1889" s="368"/>
      <c r="O1889" s="370"/>
      <c r="T1889" s="340"/>
      <c r="V1889" s="378"/>
      <c r="W1889" s="64" ph="1"/>
      <c r="X1889" s="241"/>
      <c r="Y1889" s="284"/>
      <c r="Z1889" s="207"/>
      <c r="AA1889" s="284"/>
      <c r="AB1889" s="284"/>
      <c r="AC1889" s="284"/>
      <c r="AD1889" s="284"/>
      <c r="AE1889" s="284"/>
      <c r="AF1889" s="284"/>
      <c r="AG1889" s="284"/>
    </row>
    <row r="1890" spans="1:33" ht="26.4">
      <c r="A1890" s="284"/>
      <c r="B1890" s="284"/>
      <c r="C1890" s="284"/>
      <c r="D1890" s="284"/>
      <c r="E1890" s="284"/>
      <c r="F1890" s="284"/>
      <c r="G1890" s="284"/>
      <c r="H1890" s="284"/>
      <c r="I1890" s="284"/>
      <c r="J1890" s="375"/>
      <c r="K1890" s="375"/>
      <c r="L1890" s="375"/>
      <c r="M1890" s="368"/>
      <c r="N1890" s="368"/>
      <c r="O1890" s="370"/>
      <c r="T1890" s="340"/>
      <c r="V1890" s="378"/>
      <c r="W1890" s="64" ph="1"/>
      <c r="X1890" s="241"/>
      <c r="Y1890" s="284"/>
      <c r="Z1890" s="207"/>
      <c r="AA1890" s="284"/>
      <c r="AB1890" s="284"/>
      <c r="AC1890" s="284"/>
      <c r="AD1890" s="284"/>
      <c r="AE1890" s="284"/>
      <c r="AF1890" s="284"/>
      <c r="AG1890" s="284"/>
    </row>
    <row r="1891" spans="1:33" ht="26.4">
      <c r="A1891" s="284"/>
      <c r="B1891" s="284"/>
      <c r="C1891" s="284"/>
      <c r="D1891" s="284"/>
      <c r="E1891" s="284"/>
      <c r="F1891" s="284"/>
      <c r="G1891" s="284"/>
      <c r="H1891" s="284"/>
      <c r="I1891" s="284"/>
      <c r="J1891" s="375"/>
      <c r="K1891" s="375"/>
      <c r="L1891" s="375"/>
      <c r="M1891" s="368"/>
      <c r="N1891" s="368"/>
      <c r="O1891" s="370"/>
      <c r="T1891" s="340"/>
      <c r="V1891" s="378"/>
      <c r="W1891" s="64" ph="1"/>
      <c r="X1891" s="241"/>
      <c r="Y1891" s="284"/>
      <c r="Z1891" s="207"/>
      <c r="AA1891" s="284"/>
      <c r="AB1891" s="284"/>
      <c r="AC1891" s="284"/>
      <c r="AD1891" s="284"/>
      <c r="AE1891" s="284"/>
      <c r="AF1891" s="284"/>
      <c r="AG1891" s="284"/>
    </row>
    <row r="1892" spans="1:33" ht="26.4">
      <c r="A1892" s="284"/>
      <c r="B1892" s="284"/>
      <c r="C1892" s="284"/>
      <c r="D1892" s="284"/>
      <c r="E1892" s="284"/>
      <c r="F1892" s="284"/>
      <c r="G1892" s="284"/>
      <c r="H1892" s="284"/>
      <c r="I1892" s="284"/>
      <c r="J1892" s="375"/>
      <c r="K1892" s="375"/>
      <c r="L1892" s="375"/>
      <c r="M1892" s="368"/>
      <c r="N1892" s="368"/>
      <c r="O1892" s="370"/>
      <c r="T1892" s="340"/>
      <c r="V1892" s="378"/>
      <c r="W1892" s="64" ph="1"/>
      <c r="X1892" s="241"/>
      <c r="Y1892" s="284"/>
      <c r="Z1892" s="207"/>
      <c r="AA1892" s="284"/>
      <c r="AB1892" s="284"/>
      <c r="AC1892" s="284"/>
      <c r="AD1892" s="284"/>
      <c r="AE1892" s="284"/>
      <c r="AF1892" s="284"/>
      <c r="AG1892" s="284"/>
    </row>
    <row r="1893" spans="1:33" ht="26.4">
      <c r="A1893" s="284"/>
      <c r="B1893" s="284"/>
      <c r="C1893" s="284"/>
      <c r="D1893" s="284"/>
      <c r="E1893" s="284"/>
      <c r="F1893" s="284"/>
      <c r="G1893" s="284"/>
      <c r="H1893" s="284"/>
      <c r="I1893" s="284"/>
      <c r="J1893" s="375"/>
      <c r="K1893" s="375"/>
      <c r="L1893" s="375"/>
      <c r="M1893" s="368"/>
      <c r="N1893" s="368"/>
      <c r="O1893" s="370"/>
      <c r="T1893" s="340"/>
      <c r="V1893" s="378"/>
      <c r="W1893" s="64" ph="1"/>
      <c r="X1893" s="241"/>
      <c r="Y1893" s="284"/>
      <c r="Z1893" s="207"/>
      <c r="AA1893" s="284"/>
      <c r="AB1893" s="284"/>
      <c r="AC1893" s="284"/>
      <c r="AD1893" s="284"/>
      <c r="AE1893" s="284"/>
      <c r="AF1893" s="284"/>
      <c r="AG1893" s="284"/>
    </row>
    <row r="1894" spans="1:33" ht="26.4">
      <c r="A1894" s="284"/>
      <c r="B1894" s="284"/>
      <c r="C1894" s="284"/>
      <c r="D1894" s="284"/>
      <c r="E1894" s="284"/>
      <c r="F1894" s="284"/>
      <c r="G1894" s="284"/>
      <c r="H1894" s="284"/>
      <c r="I1894" s="284"/>
      <c r="J1894" s="375"/>
      <c r="K1894" s="375"/>
      <c r="L1894" s="375"/>
      <c r="M1894" s="368"/>
      <c r="N1894" s="368"/>
      <c r="O1894" s="370"/>
      <c r="T1894" s="340"/>
      <c r="V1894" s="378"/>
      <c r="W1894" s="64" ph="1"/>
      <c r="X1894" s="241"/>
      <c r="Y1894" s="284"/>
      <c r="Z1894" s="207"/>
      <c r="AA1894" s="284"/>
      <c r="AB1894" s="284"/>
      <c r="AC1894" s="284"/>
      <c r="AD1894" s="284"/>
      <c r="AE1894" s="284"/>
      <c r="AF1894" s="284"/>
      <c r="AG1894" s="284"/>
    </row>
    <row r="1895" spans="1:33" ht="26.4">
      <c r="A1895" s="284"/>
      <c r="B1895" s="284"/>
      <c r="C1895" s="284"/>
      <c r="D1895" s="284"/>
      <c r="E1895" s="284"/>
      <c r="F1895" s="284"/>
      <c r="G1895" s="284"/>
      <c r="H1895" s="284"/>
      <c r="I1895" s="284"/>
      <c r="J1895" s="375"/>
      <c r="K1895" s="375"/>
      <c r="L1895" s="375"/>
      <c r="M1895" s="368"/>
      <c r="N1895" s="368"/>
      <c r="O1895" s="370"/>
      <c r="T1895" s="340"/>
      <c r="V1895" s="378"/>
      <c r="W1895" s="64" ph="1"/>
      <c r="X1895" s="241"/>
      <c r="Y1895" s="284"/>
      <c r="Z1895" s="207"/>
      <c r="AA1895" s="284"/>
      <c r="AB1895" s="284"/>
      <c r="AC1895" s="284"/>
      <c r="AD1895" s="284"/>
      <c r="AE1895" s="284"/>
      <c r="AF1895" s="284"/>
      <c r="AG1895" s="284"/>
    </row>
    <row r="1896" spans="1:33" ht="26.4">
      <c r="A1896" s="284"/>
      <c r="B1896" s="284"/>
      <c r="C1896" s="284"/>
      <c r="D1896" s="284"/>
      <c r="E1896" s="284"/>
      <c r="F1896" s="284"/>
      <c r="G1896" s="284"/>
      <c r="H1896" s="284"/>
      <c r="I1896" s="284"/>
      <c r="J1896" s="375"/>
      <c r="K1896" s="375"/>
      <c r="L1896" s="375"/>
      <c r="M1896" s="368"/>
      <c r="N1896" s="368"/>
      <c r="O1896" s="370"/>
      <c r="T1896" s="340"/>
      <c r="V1896" s="378"/>
      <c r="W1896" s="64" ph="1"/>
      <c r="X1896" s="241"/>
      <c r="Y1896" s="284"/>
      <c r="Z1896" s="207"/>
      <c r="AA1896" s="284"/>
      <c r="AB1896" s="284"/>
      <c r="AC1896" s="284"/>
      <c r="AD1896" s="284"/>
      <c r="AE1896" s="284"/>
      <c r="AF1896" s="284"/>
      <c r="AG1896" s="284"/>
    </row>
    <row r="1897" spans="1:33" ht="26.4">
      <c r="A1897" s="284"/>
      <c r="B1897" s="284"/>
      <c r="C1897" s="284"/>
      <c r="D1897" s="284"/>
      <c r="E1897" s="284"/>
      <c r="F1897" s="284"/>
      <c r="G1897" s="284"/>
      <c r="H1897" s="284"/>
      <c r="I1897" s="284"/>
      <c r="J1897" s="375"/>
      <c r="K1897" s="375"/>
      <c r="L1897" s="375"/>
      <c r="M1897" s="368"/>
      <c r="N1897" s="368"/>
      <c r="O1897" s="370"/>
      <c r="T1897" s="340"/>
      <c r="V1897" s="378"/>
      <c r="W1897" s="64" ph="1"/>
      <c r="X1897" s="241"/>
      <c r="Y1897" s="284"/>
      <c r="Z1897" s="207"/>
      <c r="AA1897" s="284"/>
      <c r="AB1897" s="284"/>
      <c r="AC1897" s="284"/>
      <c r="AD1897" s="284"/>
      <c r="AE1897" s="284"/>
      <c r="AF1897" s="284"/>
      <c r="AG1897" s="284"/>
    </row>
    <row r="1898" spans="1:33" ht="26.4">
      <c r="A1898" s="284"/>
      <c r="B1898" s="284"/>
      <c r="C1898" s="284"/>
      <c r="D1898" s="284"/>
      <c r="E1898" s="284"/>
      <c r="F1898" s="284"/>
      <c r="G1898" s="284"/>
      <c r="H1898" s="284"/>
      <c r="I1898" s="284"/>
      <c r="J1898" s="375"/>
      <c r="K1898" s="375"/>
      <c r="L1898" s="375"/>
      <c r="M1898" s="368"/>
      <c r="N1898" s="368"/>
      <c r="O1898" s="370"/>
      <c r="T1898" s="340"/>
      <c r="V1898" s="378"/>
      <c r="W1898" s="64" ph="1"/>
      <c r="X1898" s="241"/>
      <c r="Y1898" s="284"/>
      <c r="Z1898" s="207"/>
      <c r="AA1898" s="284"/>
      <c r="AB1898" s="284"/>
      <c r="AC1898" s="284"/>
      <c r="AD1898" s="284"/>
      <c r="AE1898" s="284"/>
      <c r="AF1898" s="284"/>
      <c r="AG1898" s="284"/>
    </row>
    <row r="1899" spans="1:33" ht="26.4">
      <c r="A1899" s="284"/>
      <c r="B1899" s="284"/>
      <c r="C1899" s="284"/>
      <c r="D1899" s="284"/>
      <c r="E1899" s="284"/>
      <c r="F1899" s="284"/>
      <c r="G1899" s="284"/>
      <c r="H1899" s="284"/>
      <c r="I1899" s="284"/>
      <c r="J1899" s="375"/>
      <c r="K1899" s="375"/>
      <c r="L1899" s="375"/>
      <c r="M1899" s="368"/>
      <c r="N1899" s="368"/>
      <c r="O1899" s="370"/>
      <c r="T1899" s="340"/>
      <c r="V1899" s="378"/>
      <c r="W1899" s="64" ph="1"/>
      <c r="X1899" s="241"/>
      <c r="Y1899" s="284"/>
      <c r="Z1899" s="207"/>
      <c r="AA1899" s="284"/>
      <c r="AB1899" s="284"/>
      <c r="AC1899" s="284"/>
      <c r="AD1899" s="284"/>
      <c r="AE1899" s="284"/>
      <c r="AF1899" s="284"/>
      <c r="AG1899" s="284"/>
    </row>
    <row r="1900" spans="1:33" ht="26.4">
      <c r="A1900" s="284"/>
      <c r="B1900" s="284"/>
      <c r="C1900" s="284"/>
      <c r="D1900" s="284"/>
      <c r="E1900" s="284"/>
      <c r="F1900" s="284"/>
      <c r="G1900" s="284"/>
      <c r="H1900" s="284"/>
      <c r="I1900" s="284"/>
      <c r="J1900" s="375"/>
      <c r="K1900" s="375"/>
      <c r="L1900" s="375"/>
      <c r="M1900" s="368"/>
      <c r="N1900" s="368"/>
      <c r="O1900" s="370"/>
      <c r="T1900" s="340"/>
      <c r="V1900" s="378"/>
      <c r="W1900" s="64" ph="1"/>
      <c r="X1900" s="241"/>
      <c r="Y1900" s="284"/>
      <c r="Z1900" s="207"/>
      <c r="AA1900" s="284"/>
      <c r="AB1900" s="284"/>
      <c r="AC1900" s="284"/>
      <c r="AD1900" s="284"/>
      <c r="AE1900" s="284"/>
      <c r="AF1900" s="284"/>
      <c r="AG1900" s="284"/>
    </row>
    <row r="1901" spans="1:33" ht="26.4">
      <c r="A1901" s="284"/>
      <c r="B1901" s="284"/>
      <c r="C1901" s="284"/>
      <c r="D1901" s="284"/>
      <c r="E1901" s="284"/>
      <c r="F1901" s="284"/>
      <c r="G1901" s="284"/>
      <c r="H1901" s="284"/>
      <c r="I1901" s="284"/>
      <c r="J1901" s="375"/>
      <c r="K1901" s="375"/>
      <c r="L1901" s="375"/>
      <c r="M1901" s="368"/>
      <c r="N1901" s="368"/>
      <c r="O1901" s="370"/>
      <c r="T1901" s="340"/>
      <c r="V1901" s="378"/>
      <c r="W1901" s="64" ph="1"/>
      <c r="X1901" s="241"/>
      <c r="Y1901" s="284"/>
      <c r="Z1901" s="207"/>
      <c r="AA1901" s="284"/>
      <c r="AB1901" s="284"/>
      <c r="AC1901" s="284"/>
      <c r="AD1901" s="284"/>
      <c r="AE1901" s="284"/>
      <c r="AF1901" s="284"/>
      <c r="AG1901" s="284"/>
    </row>
    <row r="1902" spans="1:33" ht="26.4">
      <c r="A1902" s="284"/>
      <c r="B1902" s="284"/>
      <c r="C1902" s="284"/>
      <c r="D1902" s="284"/>
      <c r="E1902" s="284"/>
      <c r="F1902" s="284"/>
      <c r="G1902" s="284"/>
      <c r="H1902" s="284"/>
      <c r="I1902" s="284"/>
      <c r="J1902" s="375"/>
      <c r="K1902" s="375"/>
      <c r="L1902" s="375"/>
      <c r="M1902" s="368"/>
      <c r="N1902" s="368"/>
      <c r="O1902" s="370"/>
      <c r="T1902" s="340"/>
      <c r="V1902" s="378"/>
      <c r="W1902" s="64" ph="1"/>
      <c r="X1902" s="241"/>
      <c r="Y1902" s="284"/>
      <c r="Z1902" s="207"/>
      <c r="AA1902" s="284"/>
      <c r="AB1902" s="284"/>
      <c r="AC1902" s="284"/>
      <c r="AD1902" s="284"/>
      <c r="AE1902" s="284"/>
      <c r="AF1902" s="284"/>
      <c r="AG1902" s="284"/>
    </row>
    <row r="1903" spans="1:33" ht="26.4">
      <c r="A1903" s="284"/>
      <c r="B1903" s="284"/>
      <c r="C1903" s="284"/>
      <c r="D1903" s="284"/>
      <c r="E1903" s="284"/>
      <c r="F1903" s="284"/>
      <c r="G1903" s="284"/>
      <c r="H1903" s="284"/>
      <c r="I1903" s="284"/>
      <c r="J1903" s="375"/>
      <c r="K1903" s="375"/>
      <c r="L1903" s="375"/>
      <c r="M1903" s="368"/>
      <c r="N1903" s="368"/>
      <c r="O1903" s="370"/>
      <c r="T1903" s="340"/>
      <c r="V1903" s="378"/>
      <c r="W1903" s="64" ph="1"/>
      <c r="X1903" s="241"/>
      <c r="Y1903" s="284"/>
      <c r="Z1903" s="207"/>
      <c r="AA1903" s="284"/>
      <c r="AB1903" s="284"/>
      <c r="AC1903" s="284"/>
      <c r="AD1903" s="284"/>
      <c r="AE1903" s="284"/>
      <c r="AF1903" s="284"/>
      <c r="AG1903" s="284"/>
    </row>
    <row r="1904" spans="1:33" ht="26.4">
      <c r="A1904" s="284"/>
      <c r="B1904" s="284"/>
      <c r="C1904" s="284"/>
      <c r="D1904" s="284"/>
      <c r="E1904" s="284"/>
      <c r="F1904" s="284"/>
      <c r="G1904" s="284"/>
      <c r="H1904" s="284"/>
      <c r="I1904" s="284"/>
      <c r="J1904" s="375"/>
      <c r="K1904" s="375"/>
      <c r="L1904" s="375"/>
      <c r="M1904" s="368"/>
      <c r="N1904" s="368"/>
      <c r="O1904" s="370"/>
      <c r="T1904" s="340"/>
      <c r="V1904" s="378"/>
      <c r="W1904" s="64" ph="1"/>
      <c r="X1904" s="241"/>
      <c r="Y1904" s="284"/>
      <c r="Z1904" s="207"/>
      <c r="AA1904" s="284"/>
      <c r="AB1904" s="284"/>
      <c r="AC1904" s="284"/>
      <c r="AD1904" s="284"/>
      <c r="AE1904" s="284"/>
      <c r="AF1904" s="284"/>
      <c r="AG1904" s="284"/>
    </row>
    <row r="1905" spans="1:33" ht="26.4">
      <c r="A1905" s="284"/>
      <c r="B1905" s="284"/>
      <c r="C1905" s="284"/>
      <c r="D1905" s="284"/>
      <c r="E1905" s="284"/>
      <c r="F1905" s="284"/>
      <c r="G1905" s="284"/>
      <c r="H1905" s="284"/>
      <c r="I1905" s="284"/>
      <c r="J1905" s="375"/>
      <c r="K1905" s="375"/>
      <c r="L1905" s="375"/>
      <c r="M1905" s="368"/>
      <c r="N1905" s="368"/>
      <c r="O1905" s="370"/>
      <c r="T1905" s="340"/>
      <c r="V1905" s="378"/>
      <c r="W1905" s="64" ph="1"/>
      <c r="X1905" s="241"/>
      <c r="Y1905" s="284"/>
      <c r="Z1905" s="207"/>
      <c r="AA1905" s="284"/>
      <c r="AB1905" s="284"/>
      <c r="AC1905" s="284"/>
      <c r="AD1905" s="284"/>
      <c r="AE1905" s="284"/>
      <c r="AF1905" s="284"/>
      <c r="AG1905" s="284"/>
    </row>
    <row r="1906" spans="1:33" ht="26.4">
      <c r="A1906" s="284"/>
      <c r="B1906" s="284"/>
      <c r="C1906" s="284"/>
      <c r="D1906" s="284"/>
      <c r="E1906" s="284"/>
      <c r="F1906" s="284"/>
      <c r="G1906" s="284"/>
      <c r="H1906" s="284"/>
      <c r="I1906" s="284"/>
      <c r="J1906" s="375"/>
      <c r="K1906" s="375"/>
      <c r="L1906" s="375"/>
      <c r="M1906" s="368"/>
      <c r="N1906" s="368"/>
      <c r="O1906" s="370"/>
      <c r="T1906" s="340"/>
      <c r="V1906" s="378"/>
      <c r="W1906" s="64" ph="1"/>
      <c r="X1906" s="241"/>
      <c r="Y1906" s="284"/>
      <c r="Z1906" s="207"/>
      <c r="AA1906" s="284"/>
      <c r="AB1906" s="284"/>
      <c r="AC1906" s="284"/>
      <c r="AD1906" s="284"/>
      <c r="AE1906" s="284"/>
      <c r="AF1906" s="284"/>
      <c r="AG1906" s="284"/>
    </row>
    <row r="1907" spans="1:33" ht="26.4">
      <c r="A1907" s="284"/>
      <c r="B1907" s="284"/>
      <c r="C1907" s="284"/>
      <c r="D1907" s="284"/>
      <c r="E1907" s="284"/>
      <c r="F1907" s="284"/>
      <c r="G1907" s="284"/>
      <c r="H1907" s="284"/>
      <c r="I1907" s="284"/>
      <c r="J1907" s="375"/>
      <c r="K1907" s="375"/>
      <c r="L1907" s="375"/>
      <c r="M1907" s="368"/>
      <c r="N1907" s="368"/>
      <c r="O1907" s="370"/>
      <c r="T1907" s="340"/>
      <c r="V1907" s="378"/>
      <c r="W1907" s="64" ph="1"/>
      <c r="X1907" s="241"/>
      <c r="Y1907" s="284"/>
      <c r="Z1907" s="207"/>
      <c r="AA1907" s="284"/>
      <c r="AB1907" s="284"/>
      <c r="AC1907" s="284"/>
      <c r="AD1907" s="284"/>
      <c r="AE1907" s="284"/>
      <c r="AF1907" s="284"/>
      <c r="AG1907" s="284"/>
    </row>
    <row r="1908" spans="1:33" ht="26.4">
      <c r="A1908" s="284"/>
      <c r="B1908" s="284"/>
      <c r="C1908" s="284"/>
      <c r="D1908" s="284"/>
      <c r="E1908" s="284"/>
      <c r="F1908" s="284"/>
      <c r="G1908" s="284"/>
      <c r="H1908" s="284"/>
      <c r="I1908" s="284"/>
      <c r="J1908" s="375"/>
      <c r="K1908" s="375"/>
      <c r="L1908" s="375"/>
      <c r="M1908" s="368"/>
      <c r="N1908" s="368"/>
      <c r="O1908" s="370"/>
      <c r="T1908" s="340"/>
      <c r="V1908" s="378"/>
      <c r="W1908" s="64" ph="1"/>
      <c r="X1908" s="241"/>
      <c r="Y1908" s="284"/>
      <c r="Z1908" s="207"/>
      <c r="AA1908" s="284"/>
      <c r="AB1908" s="284"/>
      <c r="AC1908" s="284"/>
      <c r="AD1908" s="284"/>
      <c r="AE1908" s="284"/>
      <c r="AF1908" s="284"/>
      <c r="AG1908" s="284"/>
    </row>
    <row r="1909" spans="1:33" ht="26.4">
      <c r="A1909" s="284"/>
      <c r="B1909" s="284"/>
      <c r="C1909" s="284"/>
      <c r="D1909" s="284"/>
      <c r="E1909" s="284"/>
      <c r="F1909" s="284"/>
      <c r="G1909" s="284"/>
      <c r="H1909" s="284"/>
      <c r="I1909" s="284"/>
      <c r="J1909" s="375"/>
      <c r="K1909" s="375"/>
      <c r="L1909" s="375"/>
      <c r="M1909" s="368"/>
      <c r="N1909" s="368"/>
      <c r="O1909" s="370"/>
      <c r="T1909" s="340"/>
      <c r="V1909" s="378"/>
      <c r="W1909" s="64" ph="1"/>
      <c r="X1909" s="241"/>
      <c r="Y1909" s="284"/>
      <c r="Z1909" s="207"/>
      <c r="AA1909" s="284"/>
      <c r="AB1909" s="284"/>
      <c r="AC1909" s="284"/>
      <c r="AD1909" s="284"/>
      <c r="AE1909" s="284"/>
      <c r="AF1909" s="284"/>
      <c r="AG1909" s="284"/>
    </row>
    <row r="1910" spans="1:33" ht="26.4">
      <c r="A1910" s="284"/>
      <c r="B1910" s="284"/>
      <c r="C1910" s="284"/>
      <c r="D1910" s="284"/>
      <c r="E1910" s="284"/>
      <c r="F1910" s="284"/>
      <c r="G1910" s="284"/>
      <c r="H1910" s="284"/>
      <c r="I1910" s="284"/>
      <c r="J1910" s="375"/>
      <c r="K1910" s="375"/>
      <c r="L1910" s="375"/>
      <c r="M1910" s="368"/>
      <c r="N1910" s="368"/>
      <c r="O1910" s="370"/>
      <c r="T1910" s="340"/>
      <c r="V1910" s="378"/>
      <c r="W1910" s="64" ph="1"/>
      <c r="X1910" s="241"/>
      <c r="Y1910" s="284"/>
      <c r="Z1910" s="207"/>
      <c r="AA1910" s="284"/>
      <c r="AB1910" s="284"/>
      <c r="AC1910" s="284"/>
      <c r="AD1910" s="284"/>
      <c r="AE1910" s="284"/>
      <c r="AF1910" s="284"/>
      <c r="AG1910" s="284"/>
    </row>
    <row r="1911" spans="1:33" ht="26.4">
      <c r="A1911" s="284"/>
      <c r="B1911" s="284"/>
      <c r="C1911" s="284"/>
      <c r="D1911" s="284"/>
      <c r="E1911" s="284"/>
      <c r="F1911" s="284"/>
      <c r="G1911" s="284"/>
      <c r="H1911" s="284"/>
      <c r="I1911" s="284"/>
      <c r="J1911" s="375"/>
      <c r="K1911" s="375"/>
      <c r="L1911" s="375"/>
      <c r="M1911" s="368"/>
      <c r="N1911" s="368"/>
      <c r="O1911" s="370"/>
      <c r="T1911" s="340"/>
      <c r="V1911" s="378"/>
      <c r="W1911" s="64" ph="1"/>
      <c r="X1911" s="241"/>
      <c r="Y1911" s="284"/>
      <c r="Z1911" s="207"/>
      <c r="AA1911" s="284"/>
      <c r="AB1911" s="284"/>
      <c r="AC1911" s="284"/>
      <c r="AD1911" s="284"/>
      <c r="AE1911" s="284"/>
      <c r="AF1911" s="284"/>
      <c r="AG1911" s="284"/>
    </row>
    <row r="1912" spans="1:33" ht="26.4">
      <c r="A1912" s="284"/>
      <c r="B1912" s="284"/>
      <c r="C1912" s="284"/>
      <c r="D1912" s="284"/>
      <c r="E1912" s="284"/>
      <c r="F1912" s="284"/>
      <c r="G1912" s="284"/>
      <c r="H1912" s="284"/>
      <c r="I1912" s="284"/>
      <c r="J1912" s="375"/>
      <c r="K1912" s="375"/>
      <c r="L1912" s="375"/>
      <c r="M1912" s="368"/>
      <c r="N1912" s="368"/>
      <c r="O1912" s="370"/>
      <c r="T1912" s="340"/>
      <c r="V1912" s="378"/>
      <c r="W1912" s="64" ph="1"/>
      <c r="X1912" s="241"/>
      <c r="Y1912" s="284"/>
      <c r="Z1912" s="207"/>
      <c r="AA1912" s="284"/>
      <c r="AB1912" s="284"/>
      <c r="AC1912" s="284"/>
      <c r="AD1912" s="284"/>
      <c r="AE1912" s="284"/>
      <c r="AF1912" s="284"/>
      <c r="AG1912" s="284"/>
    </row>
    <row r="1913" spans="1:33" ht="26.4">
      <c r="A1913" s="284"/>
      <c r="B1913" s="284"/>
      <c r="C1913" s="284"/>
      <c r="D1913" s="284"/>
      <c r="E1913" s="284"/>
      <c r="F1913" s="284"/>
      <c r="G1913" s="284"/>
      <c r="H1913" s="284"/>
      <c r="I1913" s="284"/>
      <c r="J1913" s="375"/>
      <c r="K1913" s="375"/>
      <c r="L1913" s="375"/>
      <c r="M1913" s="368"/>
      <c r="N1913" s="368"/>
      <c r="O1913" s="370"/>
      <c r="T1913" s="340"/>
      <c r="V1913" s="378"/>
      <c r="W1913" s="64" ph="1"/>
      <c r="X1913" s="241"/>
      <c r="Y1913" s="284"/>
      <c r="Z1913" s="207"/>
      <c r="AA1913" s="284"/>
      <c r="AB1913" s="284"/>
      <c r="AC1913" s="284"/>
      <c r="AD1913" s="284"/>
      <c r="AE1913" s="284"/>
      <c r="AF1913" s="284"/>
      <c r="AG1913" s="284"/>
    </row>
    <row r="1914" spans="1:33" ht="26.4">
      <c r="A1914" s="284"/>
      <c r="B1914" s="284"/>
      <c r="C1914" s="284"/>
      <c r="D1914" s="284"/>
      <c r="E1914" s="284"/>
      <c r="F1914" s="284"/>
      <c r="G1914" s="284"/>
      <c r="H1914" s="284"/>
      <c r="I1914" s="284"/>
      <c r="J1914" s="375"/>
      <c r="K1914" s="375"/>
      <c r="L1914" s="375"/>
      <c r="M1914" s="368"/>
      <c r="N1914" s="368"/>
      <c r="O1914" s="370"/>
      <c r="T1914" s="340"/>
      <c r="V1914" s="378"/>
      <c r="W1914" s="64" ph="1"/>
      <c r="X1914" s="241"/>
      <c r="Y1914" s="284"/>
      <c r="Z1914" s="207"/>
      <c r="AA1914" s="284"/>
      <c r="AB1914" s="284"/>
      <c r="AC1914" s="284"/>
      <c r="AD1914" s="284"/>
      <c r="AE1914" s="284"/>
      <c r="AF1914" s="284"/>
      <c r="AG1914" s="284"/>
    </row>
    <row r="1915" spans="1:33" ht="26.4">
      <c r="A1915" s="284"/>
      <c r="B1915" s="284"/>
      <c r="C1915" s="284"/>
      <c r="D1915" s="284"/>
      <c r="E1915" s="284"/>
      <c r="F1915" s="284"/>
      <c r="G1915" s="284"/>
      <c r="H1915" s="284"/>
      <c r="I1915" s="284"/>
      <c r="J1915" s="375"/>
      <c r="K1915" s="375"/>
      <c r="L1915" s="375"/>
      <c r="M1915" s="368"/>
      <c r="N1915" s="368"/>
      <c r="O1915" s="370"/>
      <c r="T1915" s="340"/>
      <c r="V1915" s="378"/>
      <c r="W1915" s="64" ph="1"/>
      <c r="X1915" s="241"/>
      <c r="Y1915" s="284"/>
      <c r="Z1915" s="207"/>
      <c r="AA1915" s="284"/>
      <c r="AB1915" s="284"/>
      <c r="AC1915" s="284"/>
      <c r="AD1915" s="284"/>
      <c r="AE1915" s="284"/>
      <c r="AF1915" s="284"/>
      <c r="AG1915" s="284"/>
    </row>
    <row r="1916" spans="1:33" ht="26.4">
      <c r="A1916" s="284"/>
      <c r="B1916" s="284"/>
      <c r="C1916" s="284"/>
      <c r="D1916" s="284"/>
      <c r="E1916" s="284"/>
      <c r="F1916" s="284"/>
      <c r="G1916" s="284"/>
      <c r="H1916" s="284"/>
      <c r="I1916" s="284"/>
      <c r="J1916" s="375"/>
      <c r="K1916" s="375"/>
      <c r="L1916" s="375"/>
      <c r="M1916" s="368"/>
      <c r="N1916" s="368"/>
      <c r="O1916" s="370"/>
      <c r="T1916" s="340"/>
      <c r="V1916" s="378"/>
      <c r="W1916" s="64" ph="1"/>
      <c r="X1916" s="241"/>
      <c r="Y1916" s="284"/>
      <c r="Z1916" s="207"/>
      <c r="AA1916" s="284"/>
      <c r="AB1916" s="284"/>
      <c r="AC1916" s="284"/>
      <c r="AD1916" s="284"/>
      <c r="AE1916" s="284"/>
      <c r="AF1916" s="284"/>
      <c r="AG1916" s="284"/>
    </row>
    <row r="1917" spans="1:33" ht="26.4">
      <c r="A1917" s="284"/>
      <c r="B1917" s="284"/>
      <c r="C1917" s="284"/>
      <c r="D1917" s="284"/>
      <c r="E1917" s="284"/>
      <c r="F1917" s="284"/>
      <c r="G1917" s="284"/>
      <c r="H1917" s="284"/>
      <c r="I1917" s="284"/>
      <c r="J1917" s="375"/>
      <c r="K1917" s="375"/>
      <c r="L1917" s="375"/>
      <c r="M1917" s="368"/>
      <c r="N1917" s="368"/>
      <c r="O1917" s="370"/>
      <c r="T1917" s="340"/>
      <c r="V1917" s="378"/>
      <c r="W1917" s="64" ph="1"/>
      <c r="X1917" s="241"/>
      <c r="Y1917" s="284"/>
      <c r="Z1917" s="207"/>
      <c r="AA1917" s="284"/>
      <c r="AB1917" s="284"/>
      <c r="AC1917" s="284"/>
      <c r="AD1917" s="284"/>
      <c r="AE1917" s="284"/>
      <c r="AF1917" s="284"/>
      <c r="AG1917" s="284"/>
    </row>
    <row r="1918" spans="1:33" ht="26.4">
      <c r="A1918" s="284"/>
      <c r="B1918" s="284"/>
      <c r="C1918" s="284"/>
      <c r="D1918" s="284"/>
      <c r="E1918" s="284"/>
      <c r="F1918" s="284"/>
      <c r="G1918" s="284"/>
      <c r="H1918" s="284"/>
      <c r="I1918" s="284"/>
      <c r="J1918" s="375"/>
      <c r="K1918" s="375"/>
      <c r="L1918" s="375"/>
      <c r="M1918" s="368"/>
      <c r="N1918" s="368"/>
      <c r="O1918" s="370"/>
      <c r="T1918" s="340"/>
      <c r="V1918" s="378"/>
      <c r="W1918" s="64" ph="1"/>
      <c r="X1918" s="241"/>
      <c r="Y1918" s="284"/>
      <c r="Z1918" s="207"/>
      <c r="AA1918" s="284"/>
      <c r="AB1918" s="284"/>
      <c r="AC1918" s="284"/>
      <c r="AD1918" s="284"/>
      <c r="AE1918" s="284"/>
      <c r="AF1918" s="284"/>
      <c r="AG1918" s="284"/>
    </row>
    <row r="1919" spans="1:33" ht="26.4">
      <c r="A1919" s="284"/>
      <c r="B1919" s="284"/>
      <c r="C1919" s="284"/>
      <c r="D1919" s="284"/>
      <c r="E1919" s="284"/>
      <c r="F1919" s="284"/>
      <c r="G1919" s="284"/>
      <c r="H1919" s="284"/>
      <c r="I1919" s="284"/>
      <c r="J1919" s="375"/>
      <c r="K1919" s="375"/>
      <c r="L1919" s="375"/>
      <c r="M1919" s="368"/>
      <c r="N1919" s="368"/>
      <c r="O1919" s="370"/>
      <c r="T1919" s="340"/>
      <c r="V1919" s="378"/>
      <c r="W1919" s="64" ph="1"/>
      <c r="X1919" s="241"/>
      <c r="Y1919" s="284"/>
      <c r="Z1919" s="207"/>
      <c r="AA1919" s="284"/>
      <c r="AB1919" s="284"/>
      <c r="AC1919" s="284"/>
      <c r="AD1919" s="284"/>
      <c r="AE1919" s="284"/>
      <c r="AF1919" s="284"/>
      <c r="AG1919" s="284"/>
    </row>
    <row r="1920" spans="1:33" ht="26.4">
      <c r="A1920" s="284"/>
      <c r="B1920" s="284"/>
      <c r="C1920" s="284"/>
      <c r="D1920" s="284"/>
      <c r="E1920" s="284"/>
      <c r="F1920" s="284"/>
      <c r="G1920" s="284"/>
      <c r="H1920" s="284"/>
      <c r="I1920" s="284"/>
      <c r="J1920" s="375"/>
      <c r="K1920" s="375"/>
      <c r="L1920" s="375"/>
      <c r="M1920" s="368"/>
      <c r="N1920" s="368"/>
      <c r="O1920" s="370"/>
      <c r="T1920" s="340"/>
      <c r="V1920" s="378"/>
      <c r="W1920" s="64" ph="1"/>
      <c r="X1920" s="241"/>
      <c r="Y1920" s="284"/>
      <c r="Z1920" s="207"/>
      <c r="AA1920" s="284"/>
      <c r="AB1920" s="284"/>
      <c r="AC1920" s="284"/>
      <c r="AD1920" s="284"/>
      <c r="AE1920" s="284"/>
      <c r="AF1920" s="284"/>
      <c r="AG1920" s="284"/>
    </row>
    <row r="1921" spans="1:33" ht="26.4">
      <c r="A1921" s="284"/>
      <c r="B1921" s="284"/>
      <c r="C1921" s="284"/>
      <c r="D1921" s="284"/>
      <c r="E1921" s="284"/>
      <c r="F1921" s="284"/>
      <c r="G1921" s="284"/>
      <c r="H1921" s="284"/>
      <c r="I1921" s="284"/>
      <c r="J1921" s="375"/>
      <c r="K1921" s="375"/>
      <c r="L1921" s="375"/>
      <c r="M1921" s="368"/>
      <c r="N1921" s="368"/>
      <c r="O1921" s="370"/>
      <c r="T1921" s="340"/>
      <c r="V1921" s="378"/>
      <c r="W1921" s="64" ph="1"/>
      <c r="X1921" s="241"/>
      <c r="Y1921" s="284"/>
      <c r="Z1921" s="207"/>
      <c r="AA1921" s="284"/>
      <c r="AB1921" s="284"/>
      <c r="AC1921" s="284"/>
      <c r="AD1921" s="284"/>
      <c r="AE1921" s="284"/>
      <c r="AF1921" s="284"/>
      <c r="AG1921" s="284"/>
    </row>
    <row r="1922" spans="1:33" ht="26.4">
      <c r="A1922" s="284"/>
      <c r="B1922" s="284"/>
      <c r="C1922" s="284"/>
      <c r="D1922" s="284"/>
      <c r="E1922" s="284"/>
      <c r="F1922" s="284"/>
      <c r="G1922" s="284"/>
      <c r="H1922" s="284"/>
      <c r="I1922" s="284"/>
      <c r="J1922" s="375"/>
      <c r="K1922" s="375"/>
      <c r="L1922" s="375"/>
      <c r="M1922" s="368"/>
      <c r="N1922" s="368"/>
      <c r="O1922" s="370"/>
      <c r="T1922" s="340"/>
      <c r="V1922" s="378"/>
      <c r="W1922" s="64" ph="1"/>
      <c r="X1922" s="241"/>
      <c r="Y1922" s="284"/>
      <c r="Z1922" s="207"/>
      <c r="AA1922" s="284"/>
      <c r="AB1922" s="284"/>
      <c r="AC1922" s="284"/>
      <c r="AD1922" s="284"/>
      <c r="AE1922" s="284"/>
      <c r="AF1922" s="284"/>
      <c r="AG1922" s="284"/>
    </row>
    <row r="1923" spans="1:33" ht="26.4">
      <c r="A1923" s="284"/>
      <c r="B1923" s="284"/>
      <c r="C1923" s="284"/>
      <c r="D1923" s="284"/>
      <c r="E1923" s="284"/>
      <c r="F1923" s="284"/>
      <c r="G1923" s="284"/>
      <c r="H1923" s="284"/>
      <c r="I1923" s="284"/>
      <c r="J1923" s="375"/>
      <c r="K1923" s="375"/>
      <c r="L1923" s="375"/>
      <c r="M1923" s="368"/>
      <c r="N1923" s="368"/>
      <c r="O1923" s="370"/>
      <c r="T1923" s="340"/>
      <c r="V1923" s="378"/>
      <c r="W1923" s="64" ph="1"/>
      <c r="X1923" s="241"/>
      <c r="Y1923" s="284"/>
      <c r="Z1923" s="207"/>
      <c r="AA1923" s="284"/>
      <c r="AB1923" s="284"/>
      <c r="AC1923" s="284"/>
      <c r="AD1923" s="284"/>
      <c r="AE1923" s="284"/>
      <c r="AF1923" s="284"/>
      <c r="AG1923" s="284"/>
    </row>
    <row r="1924" spans="1:33" ht="26.4">
      <c r="A1924" s="284"/>
      <c r="B1924" s="284"/>
      <c r="C1924" s="284"/>
      <c r="D1924" s="284"/>
      <c r="E1924" s="284"/>
      <c r="F1924" s="284"/>
      <c r="G1924" s="284"/>
      <c r="H1924" s="284"/>
      <c r="I1924" s="284"/>
      <c r="J1924" s="375"/>
      <c r="K1924" s="375"/>
      <c r="L1924" s="375"/>
      <c r="M1924" s="368"/>
      <c r="N1924" s="368"/>
      <c r="O1924" s="370"/>
      <c r="T1924" s="340"/>
      <c r="V1924" s="378"/>
      <c r="W1924" s="64" ph="1"/>
      <c r="X1924" s="241"/>
      <c r="Y1924" s="284"/>
      <c r="Z1924" s="207"/>
      <c r="AA1924" s="284"/>
      <c r="AB1924" s="284"/>
      <c r="AC1924" s="284"/>
      <c r="AD1924" s="284"/>
      <c r="AE1924" s="284"/>
      <c r="AF1924" s="284"/>
      <c r="AG1924" s="284"/>
    </row>
    <row r="1925" spans="1:33" ht="26.4">
      <c r="A1925" s="284"/>
      <c r="B1925" s="284"/>
      <c r="C1925" s="284"/>
      <c r="D1925" s="284"/>
      <c r="E1925" s="284"/>
      <c r="F1925" s="284"/>
      <c r="G1925" s="284"/>
      <c r="H1925" s="284"/>
      <c r="I1925" s="284"/>
      <c r="J1925" s="375"/>
      <c r="K1925" s="375"/>
      <c r="L1925" s="375"/>
      <c r="M1925" s="368"/>
      <c r="N1925" s="368"/>
      <c r="O1925" s="370"/>
      <c r="T1925" s="340"/>
      <c r="V1925" s="378"/>
      <c r="W1925" s="64" ph="1"/>
      <c r="X1925" s="241"/>
      <c r="Y1925" s="284"/>
      <c r="Z1925" s="207"/>
      <c r="AA1925" s="284"/>
      <c r="AB1925" s="284"/>
      <c r="AC1925" s="284"/>
      <c r="AD1925" s="284"/>
      <c r="AE1925" s="284"/>
      <c r="AF1925" s="284"/>
      <c r="AG1925" s="284"/>
    </row>
    <row r="1926" spans="1:33" ht="26.4">
      <c r="A1926" s="284"/>
      <c r="B1926" s="284"/>
      <c r="C1926" s="284"/>
      <c r="D1926" s="284"/>
      <c r="E1926" s="284"/>
      <c r="F1926" s="284"/>
      <c r="G1926" s="284"/>
      <c r="H1926" s="284"/>
      <c r="I1926" s="284"/>
      <c r="J1926" s="375"/>
      <c r="K1926" s="375"/>
      <c r="L1926" s="375"/>
      <c r="M1926" s="368"/>
      <c r="N1926" s="368"/>
      <c r="O1926" s="370"/>
      <c r="T1926" s="340"/>
      <c r="V1926" s="378"/>
      <c r="W1926" s="64" ph="1"/>
      <c r="X1926" s="241"/>
      <c r="Y1926" s="284"/>
      <c r="Z1926" s="207"/>
      <c r="AA1926" s="284"/>
      <c r="AB1926" s="284"/>
      <c r="AC1926" s="284"/>
      <c r="AD1926" s="284"/>
      <c r="AE1926" s="284"/>
      <c r="AF1926" s="284"/>
      <c r="AG1926" s="284"/>
    </row>
    <row r="1927" spans="1:33" ht="26.4">
      <c r="A1927" s="284"/>
      <c r="B1927" s="284"/>
      <c r="C1927" s="284"/>
      <c r="D1927" s="284"/>
      <c r="E1927" s="284"/>
      <c r="F1927" s="284"/>
      <c r="G1927" s="284"/>
      <c r="H1927" s="284"/>
      <c r="I1927" s="284"/>
      <c r="J1927" s="375"/>
      <c r="K1927" s="375"/>
      <c r="L1927" s="375"/>
      <c r="M1927" s="368"/>
      <c r="N1927" s="368"/>
      <c r="O1927" s="370"/>
      <c r="T1927" s="340"/>
      <c r="V1927" s="378"/>
      <c r="W1927" s="64" ph="1"/>
      <c r="X1927" s="241"/>
      <c r="Y1927" s="284"/>
      <c r="Z1927" s="207"/>
      <c r="AA1927" s="284"/>
      <c r="AB1927" s="284"/>
      <c r="AC1927" s="284"/>
      <c r="AD1927" s="284"/>
      <c r="AE1927" s="284"/>
      <c r="AF1927" s="284"/>
      <c r="AG1927" s="284"/>
    </row>
    <row r="1928" spans="1:33" ht="26.4">
      <c r="A1928" s="284"/>
      <c r="B1928" s="284"/>
      <c r="C1928" s="284"/>
      <c r="D1928" s="284"/>
      <c r="E1928" s="284"/>
      <c r="F1928" s="284"/>
      <c r="G1928" s="284"/>
      <c r="H1928" s="284"/>
      <c r="I1928" s="284"/>
      <c r="J1928" s="375"/>
      <c r="K1928" s="375"/>
      <c r="L1928" s="375"/>
      <c r="M1928" s="368"/>
      <c r="N1928" s="368"/>
      <c r="O1928" s="370"/>
      <c r="T1928" s="340"/>
      <c r="V1928" s="378"/>
      <c r="W1928" s="64" ph="1"/>
      <c r="X1928" s="241"/>
      <c r="Y1928" s="284"/>
      <c r="Z1928" s="207"/>
      <c r="AA1928" s="284"/>
      <c r="AB1928" s="284"/>
      <c r="AC1928" s="284"/>
      <c r="AD1928" s="284"/>
      <c r="AE1928" s="284"/>
      <c r="AF1928" s="284"/>
      <c r="AG1928" s="284"/>
    </row>
    <row r="1929" spans="1:33" ht="26.4">
      <c r="A1929" s="284"/>
      <c r="B1929" s="284"/>
      <c r="C1929" s="284"/>
      <c r="D1929" s="284"/>
      <c r="E1929" s="284"/>
      <c r="F1929" s="284"/>
      <c r="G1929" s="284"/>
      <c r="H1929" s="284"/>
      <c r="I1929" s="284"/>
      <c r="J1929" s="375"/>
      <c r="K1929" s="375"/>
      <c r="L1929" s="375"/>
      <c r="M1929" s="368"/>
      <c r="N1929" s="368"/>
      <c r="O1929" s="370"/>
      <c r="T1929" s="340"/>
      <c r="V1929" s="378"/>
      <c r="W1929" s="64" ph="1"/>
      <c r="X1929" s="241"/>
      <c r="Y1929" s="284"/>
      <c r="Z1929" s="207"/>
      <c r="AA1929" s="284"/>
      <c r="AB1929" s="284"/>
      <c r="AC1929" s="284"/>
      <c r="AD1929" s="284"/>
      <c r="AE1929" s="284"/>
      <c r="AF1929" s="284"/>
      <c r="AG1929" s="284"/>
    </row>
    <row r="1930" spans="1:33" ht="26.4">
      <c r="A1930" s="284"/>
      <c r="B1930" s="284"/>
      <c r="C1930" s="284"/>
      <c r="D1930" s="284"/>
      <c r="E1930" s="284"/>
      <c r="F1930" s="284"/>
      <c r="G1930" s="284"/>
      <c r="H1930" s="284"/>
      <c r="I1930" s="284"/>
      <c r="J1930" s="375"/>
      <c r="K1930" s="375"/>
      <c r="L1930" s="375"/>
      <c r="M1930" s="368"/>
      <c r="N1930" s="368"/>
      <c r="O1930" s="370"/>
      <c r="T1930" s="340"/>
      <c r="V1930" s="378"/>
      <c r="W1930" s="64" ph="1"/>
      <c r="X1930" s="241"/>
      <c r="Y1930" s="284"/>
      <c r="Z1930" s="207"/>
      <c r="AA1930" s="284"/>
      <c r="AB1930" s="284"/>
      <c r="AC1930" s="284"/>
      <c r="AD1930" s="284"/>
      <c r="AE1930" s="284"/>
      <c r="AF1930" s="284"/>
      <c r="AG1930" s="284"/>
    </row>
    <row r="1931" spans="1:33" ht="26.4">
      <c r="A1931" s="284"/>
      <c r="B1931" s="284"/>
      <c r="C1931" s="284"/>
      <c r="D1931" s="284"/>
      <c r="E1931" s="284"/>
      <c r="F1931" s="284"/>
      <c r="G1931" s="284"/>
      <c r="H1931" s="284"/>
      <c r="I1931" s="284"/>
      <c r="J1931" s="375"/>
      <c r="K1931" s="375"/>
      <c r="L1931" s="375"/>
      <c r="M1931" s="368"/>
      <c r="N1931" s="368"/>
      <c r="O1931" s="370"/>
      <c r="T1931" s="340"/>
      <c r="V1931" s="378"/>
      <c r="W1931" s="64" ph="1"/>
      <c r="X1931" s="241"/>
      <c r="Y1931" s="284"/>
      <c r="Z1931" s="207"/>
      <c r="AA1931" s="284"/>
      <c r="AB1931" s="284"/>
      <c r="AC1931" s="284"/>
      <c r="AD1931" s="284"/>
      <c r="AE1931" s="284"/>
      <c r="AF1931" s="284"/>
      <c r="AG1931" s="284"/>
    </row>
    <row r="1932" spans="1:33" ht="26.4">
      <c r="A1932" s="284"/>
      <c r="B1932" s="284"/>
      <c r="C1932" s="284"/>
      <c r="D1932" s="284"/>
      <c r="E1932" s="284"/>
      <c r="F1932" s="284"/>
      <c r="G1932" s="284"/>
      <c r="H1932" s="284"/>
      <c r="I1932" s="284"/>
      <c r="J1932" s="375"/>
      <c r="K1932" s="375"/>
      <c r="L1932" s="375"/>
      <c r="M1932" s="368"/>
      <c r="N1932" s="368"/>
      <c r="O1932" s="370"/>
      <c r="T1932" s="340"/>
      <c r="V1932" s="378"/>
      <c r="W1932" s="64" ph="1"/>
      <c r="X1932" s="241"/>
      <c r="Y1932" s="284"/>
      <c r="Z1932" s="207"/>
      <c r="AA1932" s="284"/>
      <c r="AB1932" s="284"/>
      <c r="AC1932" s="284"/>
      <c r="AD1932" s="284"/>
      <c r="AE1932" s="284"/>
      <c r="AF1932" s="284"/>
      <c r="AG1932" s="284"/>
    </row>
    <row r="1933" spans="1:33" ht="26.4">
      <c r="A1933" s="284"/>
      <c r="B1933" s="284"/>
      <c r="C1933" s="284"/>
      <c r="D1933" s="284"/>
      <c r="E1933" s="284"/>
      <c r="F1933" s="284"/>
      <c r="G1933" s="284"/>
      <c r="H1933" s="284"/>
      <c r="I1933" s="284"/>
      <c r="J1933" s="375"/>
      <c r="K1933" s="375"/>
      <c r="L1933" s="375"/>
      <c r="M1933" s="368"/>
      <c r="N1933" s="368"/>
      <c r="O1933" s="370"/>
      <c r="T1933" s="340"/>
      <c r="V1933" s="378"/>
      <c r="W1933" s="64" ph="1"/>
      <c r="X1933" s="241"/>
      <c r="Y1933" s="284"/>
      <c r="Z1933" s="207"/>
      <c r="AA1933" s="284"/>
      <c r="AB1933" s="284"/>
      <c r="AC1933" s="284"/>
      <c r="AD1933" s="284"/>
      <c r="AE1933" s="284"/>
      <c r="AF1933" s="284"/>
      <c r="AG1933" s="284"/>
    </row>
    <row r="1934" spans="1:33" ht="26.4">
      <c r="A1934" s="284"/>
      <c r="B1934" s="284"/>
      <c r="C1934" s="284"/>
      <c r="D1934" s="284"/>
      <c r="E1934" s="284"/>
      <c r="F1934" s="284"/>
      <c r="G1934" s="284"/>
      <c r="H1934" s="284"/>
      <c r="I1934" s="284"/>
      <c r="J1934" s="375"/>
      <c r="K1934" s="375"/>
      <c r="L1934" s="375"/>
      <c r="M1934" s="368"/>
      <c r="N1934" s="368"/>
      <c r="O1934" s="370"/>
      <c r="T1934" s="340"/>
      <c r="V1934" s="378"/>
      <c r="W1934" s="64" ph="1"/>
      <c r="X1934" s="241"/>
      <c r="Y1934" s="284"/>
      <c r="Z1934" s="207"/>
      <c r="AA1934" s="284"/>
      <c r="AB1934" s="284"/>
      <c r="AC1934" s="284"/>
      <c r="AD1934" s="284"/>
      <c r="AE1934" s="284"/>
      <c r="AF1934" s="284"/>
      <c r="AG1934" s="284"/>
    </row>
    <row r="1935" spans="1:33" ht="26.4">
      <c r="A1935" s="284"/>
      <c r="B1935" s="284"/>
      <c r="C1935" s="284"/>
      <c r="D1935" s="284"/>
      <c r="E1935" s="284"/>
      <c r="F1935" s="284"/>
      <c r="G1935" s="284"/>
      <c r="H1935" s="284"/>
      <c r="I1935" s="284"/>
      <c r="J1935" s="375"/>
      <c r="K1935" s="375"/>
      <c r="L1935" s="375"/>
      <c r="M1935" s="368"/>
      <c r="N1935" s="368"/>
      <c r="O1935" s="370"/>
      <c r="T1935" s="340"/>
      <c r="V1935" s="378"/>
      <c r="W1935" s="64" ph="1"/>
      <c r="X1935" s="241"/>
      <c r="Y1935" s="284"/>
      <c r="Z1935" s="207"/>
      <c r="AA1935" s="284"/>
      <c r="AB1935" s="284"/>
      <c r="AC1935" s="284"/>
      <c r="AD1935" s="284"/>
      <c r="AE1935" s="284"/>
      <c r="AF1935" s="284"/>
      <c r="AG1935" s="284"/>
    </row>
    <row r="1936" spans="1:33" ht="26.4">
      <c r="A1936" s="284"/>
      <c r="B1936" s="284"/>
      <c r="C1936" s="284"/>
      <c r="D1936" s="284"/>
      <c r="E1936" s="284"/>
      <c r="F1936" s="284"/>
      <c r="G1936" s="284"/>
      <c r="H1936" s="284"/>
      <c r="I1936" s="284"/>
      <c r="J1936" s="375"/>
      <c r="K1936" s="375"/>
      <c r="L1936" s="375"/>
      <c r="M1936" s="368"/>
      <c r="N1936" s="368"/>
      <c r="O1936" s="370"/>
      <c r="T1936" s="340"/>
      <c r="V1936" s="378"/>
      <c r="W1936" s="64" ph="1"/>
      <c r="X1936" s="241"/>
      <c r="Y1936" s="284"/>
      <c r="Z1936" s="207"/>
      <c r="AA1936" s="284"/>
      <c r="AB1936" s="284"/>
      <c r="AC1936" s="284"/>
      <c r="AD1936" s="284"/>
      <c r="AE1936" s="284"/>
      <c r="AF1936" s="284"/>
      <c r="AG1936" s="284"/>
    </row>
    <row r="1937" spans="1:33" ht="26.4">
      <c r="A1937" s="284"/>
      <c r="B1937" s="284"/>
      <c r="C1937" s="284"/>
      <c r="D1937" s="284"/>
      <c r="E1937" s="284"/>
      <c r="F1937" s="284"/>
      <c r="G1937" s="284"/>
      <c r="H1937" s="284"/>
      <c r="I1937" s="284"/>
      <c r="J1937" s="375"/>
      <c r="K1937" s="375"/>
      <c r="L1937" s="375"/>
      <c r="M1937" s="368"/>
      <c r="N1937" s="368"/>
      <c r="O1937" s="370"/>
      <c r="T1937" s="340"/>
      <c r="V1937" s="378"/>
      <c r="W1937" s="64" ph="1"/>
      <c r="X1937" s="241"/>
      <c r="Y1937" s="284"/>
      <c r="Z1937" s="207"/>
      <c r="AA1937" s="284"/>
      <c r="AB1937" s="284"/>
      <c r="AC1937" s="284"/>
      <c r="AD1937" s="284"/>
      <c r="AE1937" s="284"/>
      <c r="AF1937" s="284"/>
      <c r="AG1937" s="284"/>
    </row>
    <row r="1938" spans="1:33" ht="26.4">
      <c r="A1938" s="284"/>
      <c r="B1938" s="284"/>
      <c r="C1938" s="284"/>
      <c r="D1938" s="284"/>
      <c r="E1938" s="284"/>
      <c r="F1938" s="284"/>
      <c r="G1938" s="284"/>
      <c r="H1938" s="284"/>
      <c r="I1938" s="284"/>
      <c r="J1938" s="375"/>
      <c r="K1938" s="375"/>
      <c r="L1938" s="375"/>
      <c r="M1938" s="368"/>
      <c r="N1938" s="368"/>
      <c r="O1938" s="370"/>
      <c r="T1938" s="340"/>
      <c r="V1938" s="378"/>
      <c r="W1938" s="64" ph="1"/>
      <c r="X1938" s="241"/>
      <c r="Y1938" s="284"/>
      <c r="Z1938" s="207"/>
      <c r="AA1938" s="284"/>
      <c r="AB1938" s="284"/>
      <c r="AC1938" s="284"/>
      <c r="AD1938" s="284"/>
      <c r="AE1938" s="284"/>
      <c r="AF1938" s="284"/>
      <c r="AG1938" s="284"/>
    </row>
    <row r="1939" spans="1:33" ht="26.4">
      <c r="A1939" s="284"/>
      <c r="B1939" s="284"/>
      <c r="C1939" s="284"/>
      <c r="D1939" s="284"/>
      <c r="E1939" s="284"/>
      <c r="F1939" s="284"/>
      <c r="G1939" s="284"/>
      <c r="H1939" s="284"/>
      <c r="I1939" s="284"/>
      <c r="J1939" s="375"/>
      <c r="K1939" s="375"/>
      <c r="L1939" s="375"/>
      <c r="M1939" s="368"/>
      <c r="N1939" s="368"/>
      <c r="O1939" s="370"/>
      <c r="T1939" s="340"/>
      <c r="V1939" s="378"/>
      <c r="W1939" s="64" ph="1"/>
      <c r="X1939" s="241"/>
      <c r="Y1939" s="284"/>
      <c r="Z1939" s="207"/>
      <c r="AA1939" s="284"/>
      <c r="AB1939" s="284"/>
      <c r="AC1939" s="284"/>
      <c r="AD1939" s="284"/>
      <c r="AE1939" s="284"/>
      <c r="AF1939" s="284"/>
      <c r="AG1939" s="284"/>
    </row>
    <row r="1940" spans="1:33" ht="26.4">
      <c r="A1940" s="284"/>
      <c r="B1940" s="284"/>
      <c r="C1940" s="284"/>
      <c r="D1940" s="284"/>
      <c r="E1940" s="284"/>
      <c r="F1940" s="284"/>
      <c r="G1940" s="284"/>
      <c r="H1940" s="284"/>
      <c r="I1940" s="284"/>
      <c r="J1940" s="375"/>
      <c r="K1940" s="375"/>
      <c r="L1940" s="375"/>
      <c r="M1940" s="368"/>
      <c r="N1940" s="368"/>
      <c r="O1940" s="370"/>
      <c r="T1940" s="340"/>
      <c r="V1940" s="378"/>
      <c r="W1940" s="64" ph="1"/>
      <c r="X1940" s="241"/>
      <c r="Y1940" s="284"/>
      <c r="Z1940" s="207"/>
      <c r="AA1940" s="284"/>
      <c r="AB1940" s="284"/>
      <c r="AC1940" s="284"/>
      <c r="AD1940" s="284"/>
      <c r="AE1940" s="284"/>
      <c r="AF1940" s="284"/>
      <c r="AG1940" s="284"/>
    </row>
    <row r="1941" spans="1:33" ht="26.4">
      <c r="A1941" s="284"/>
      <c r="B1941" s="284"/>
      <c r="C1941" s="284"/>
      <c r="D1941" s="284"/>
      <c r="E1941" s="284"/>
      <c r="F1941" s="284"/>
      <c r="G1941" s="284"/>
      <c r="H1941" s="284"/>
      <c r="I1941" s="284"/>
      <c r="J1941" s="375"/>
      <c r="K1941" s="375"/>
      <c r="L1941" s="375"/>
      <c r="M1941" s="368"/>
      <c r="N1941" s="368"/>
      <c r="O1941" s="370"/>
      <c r="T1941" s="340"/>
      <c r="V1941" s="378"/>
      <c r="W1941" s="64" ph="1"/>
      <c r="X1941" s="241"/>
      <c r="Y1941" s="284"/>
      <c r="Z1941" s="207"/>
      <c r="AA1941" s="284"/>
      <c r="AB1941" s="284"/>
      <c r="AC1941" s="284"/>
      <c r="AD1941" s="284"/>
      <c r="AE1941" s="284"/>
      <c r="AF1941" s="284"/>
      <c r="AG1941" s="284"/>
    </row>
    <row r="1942" spans="1:33" ht="26.4">
      <c r="A1942" s="284"/>
      <c r="B1942" s="284"/>
      <c r="C1942" s="284"/>
      <c r="D1942" s="284"/>
      <c r="E1942" s="284"/>
      <c r="F1942" s="284"/>
      <c r="G1942" s="284"/>
      <c r="H1942" s="284"/>
      <c r="I1942" s="284"/>
      <c r="J1942" s="375"/>
      <c r="K1942" s="375"/>
      <c r="L1942" s="375"/>
      <c r="M1942" s="368"/>
      <c r="N1942" s="368"/>
      <c r="O1942" s="370"/>
      <c r="T1942" s="340"/>
      <c r="V1942" s="378"/>
      <c r="W1942" s="64" ph="1"/>
      <c r="X1942" s="241"/>
      <c r="Y1942" s="284"/>
      <c r="Z1942" s="207"/>
      <c r="AA1942" s="284"/>
      <c r="AB1942" s="284"/>
      <c r="AC1942" s="284"/>
      <c r="AD1942" s="284"/>
      <c r="AE1942" s="284"/>
      <c r="AF1942" s="284"/>
      <c r="AG1942" s="284"/>
    </row>
    <row r="1943" spans="1:33" ht="26.4">
      <c r="A1943" s="284"/>
      <c r="B1943" s="284"/>
      <c r="C1943" s="284"/>
      <c r="D1943" s="284"/>
      <c r="E1943" s="284"/>
      <c r="F1943" s="284"/>
      <c r="G1943" s="284"/>
      <c r="H1943" s="284"/>
      <c r="I1943" s="284"/>
      <c r="J1943" s="375"/>
      <c r="K1943" s="375"/>
      <c r="L1943" s="375"/>
      <c r="M1943" s="368"/>
      <c r="N1943" s="368"/>
      <c r="O1943" s="370"/>
      <c r="T1943" s="340"/>
      <c r="V1943" s="378"/>
      <c r="W1943" s="64" ph="1"/>
      <c r="X1943" s="241"/>
      <c r="Y1943" s="284"/>
      <c r="Z1943" s="207"/>
      <c r="AA1943" s="284"/>
      <c r="AB1943" s="284"/>
      <c r="AC1943" s="284"/>
      <c r="AD1943" s="284"/>
      <c r="AE1943" s="284"/>
      <c r="AF1943" s="284"/>
      <c r="AG1943" s="284"/>
    </row>
    <row r="1944" spans="1:33" ht="26.4">
      <c r="A1944" s="284"/>
      <c r="B1944" s="284"/>
      <c r="C1944" s="284"/>
      <c r="D1944" s="284"/>
      <c r="E1944" s="284"/>
      <c r="F1944" s="284"/>
      <c r="G1944" s="284"/>
      <c r="H1944" s="284"/>
      <c r="I1944" s="284"/>
      <c r="J1944" s="375"/>
      <c r="K1944" s="375"/>
      <c r="L1944" s="375"/>
      <c r="M1944" s="368"/>
      <c r="N1944" s="368"/>
      <c r="O1944" s="370"/>
      <c r="T1944" s="340"/>
      <c r="V1944" s="378"/>
      <c r="W1944" s="64" ph="1"/>
      <c r="X1944" s="241"/>
      <c r="Y1944" s="284"/>
      <c r="Z1944" s="207"/>
      <c r="AA1944" s="284"/>
      <c r="AB1944" s="284"/>
      <c r="AC1944" s="284"/>
      <c r="AD1944" s="284"/>
      <c r="AE1944" s="284"/>
      <c r="AF1944" s="284"/>
      <c r="AG1944" s="284"/>
    </row>
    <row r="1945" spans="1:33" ht="26.4">
      <c r="A1945" s="284"/>
      <c r="B1945" s="284"/>
      <c r="C1945" s="284"/>
      <c r="D1945" s="284"/>
      <c r="E1945" s="284"/>
      <c r="F1945" s="284"/>
      <c r="G1945" s="284"/>
      <c r="H1945" s="284"/>
      <c r="I1945" s="284"/>
      <c r="J1945" s="375"/>
      <c r="K1945" s="375"/>
      <c r="L1945" s="375"/>
      <c r="M1945" s="368"/>
      <c r="N1945" s="368"/>
      <c r="O1945" s="370"/>
      <c r="T1945" s="340"/>
      <c r="V1945" s="378"/>
      <c r="W1945" s="64" ph="1"/>
      <c r="X1945" s="241"/>
      <c r="Y1945" s="284"/>
      <c r="Z1945" s="207"/>
      <c r="AA1945" s="284"/>
      <c r="AB1945" s="284"/>
      <c r="AC1945" s="284"/>
      <c r="AD1945" s="284"/>
      <c r="AE1945" s="284"/>
      <c r="AF1945" s="284"/>
      <c r="AG1945" s="284"/>
    </row>
    <row r="1946" spans="1:33" ht="26.4">
      <c r="A1946" s="284"/>
      <c r="B1946" s="284"/>
      <c r="C1946" s="284"/>
      <c r="D1946" s="284"/>
      <c r="E1946" s="284"/>
      <c r="F1946" s="284"/>
      <c r="G1946" s="284"/>
      <c r="H1946" s="284"/>
      <c r="I1946" s="284"/>
      <c r="J1946" s="375"/>
      <c r="K1946" s="375"/>
      <c r="L1946" s="375"/>
      <c r="M1946" s="368"/>
      <c r="N1946" s="368"/>
      <c r="O1946" s="370"/>
      <c r="T1946" s="340"/>
      <c r="V1946" s="378"/>
      <c r="W1946" s="64" ph="1"/>
      <c r="X1946" s="241"/>
      <c r="Y1946" s="284"/>
      <c r="Z1946" s="207"/>
      <c r="AA1946" s="284"/>
      <c r="AB1946" s="284"/>
      <c r="AC1946" s="284"/>
      <c r="AD1946" s="284"/>
      <c r="AE1946" s="284"/>
      <c r="AF1946" s="284"/>
      <c r="AG1946" s="284"/>
    </row>
    <row r="1947" spans="1:33" ht="26.4">
      <c r="A1947" s="284"/>
      <c r="B1947" s="284"/>
      <c r="C1947" s="284"/>
      <c r="D1947" s="284"/>
      <c r="E1947" s="284"/>
      <c r="F1947" s="284"/>
      <c r="G1947" s="284"/>
      <c r="H1947" s="284"/>
      <c r="I1947" s="284"/>
      <c r="J1947" s="375"/>
      <c r="K1947" s="375"/>
      <c r="L1947" s="375"/>
      <c r="M1947" s="368"/>
      <c r="N1947" s="368"/>
      <c r="O1947" s="370"/>
      <c r="T1947" s="340"/>
      <c r="V1947" s="378"/>
      <c r="W1947" s="64" ph="1"/>
      <c r="X1947" s="241"/>
      <c r="Y1947" s="284"/>
      <c r="Z1947" s="207"/>
      <c r="AA1947" s="284"/>
      <c r="AB1947" s="284"/>
      <c r="AC1947" s="284"/>
      <c r="AD1947" s="284"/>
      <c r="AE1947" s="284"/>
      <c r="AF1947" s="284"/>
      <c r="AG1947" s="284"/>
    </row>
    <row r="1948" spans="1:33" ht="26.4">
      <c r="A1948" s="284"/>
      <c r="B1948" s="284"/>
      <c r="C1948" s="284"/>
      <c r="D1948" s="284"/>
      <c r="E1948" s="284"/>
      <c r="F1948" s="284"/>
      <c r="G1948" s="284"/>
      <c r="H1948" s="284"/>
      <c r="I1948" s="284"/>
      <c r="J1948" s="375"/>
      <c r="K1948" s="375"/>
      <c r="L1948" s="375"/>
      <c r="M1948" s="368"/>
      <c r="N1948" s="368"/>
      <c r="O1948" s="370"/>
      <c r="T1948" s="340"/>
      <c r="V1948" s="378"/>
      <c r="W1948" s="64" ph="1"/>
      <c r="X1948" s="241"/>
      <c r="Y1948" s="284"/>
      <c r="Z1948" s="207"/>
      <c r="AA1948" s="284"/>
      <c r="AB1948" s="284"/>
      <c r="AC1948" s="284"/>
      <c r="AD1948" s="284"/>
      <c r="AE1948" s="284"/>
      <c r="AF1948" s="284"/>
      <c r="AG1948" s="284"/>
    </row>
    <row r="1949" spans="1:33" ht="26.4">
      <c r="A1949" s="284"/>
      <c r="B1949" s="284"/>
      <c r="C1949" s="284"/>
      <c r="D1949" s="284"/>
      <c r="E1949" s="284"/>
      <c r="F1949" s="284"/>
      <c r="G1949" s="284"/>
      <c r="H1949" s="284"/>
      <c r="I1949" s="284"/>
      <c r="J1949" s="375"/>
      <c r="K1949" s="375"/>
      <c r="L1949" s="375"/>
      <c r="M1949" s="368"/>
      <c r="N1949" s="368"/>
      <c r="O1949" s="370"/>
      <c r="T1949" s="340"/>
      <c r="V1949" s="378"/>
      <c r="W1949" s="64" ph="1"/>
      <c r="X1949" s="241"/>
      <c r="Y1949" s="284"/>
      <c r="Z1949" s="207"/>
      <c r="AA1949" s="284"/>
      <c r="AB1949" s="284"/>
      <c r="AC1949" s="284"/>
      <c r="AD1949" s="284"/>
      <c r="AE1949" s="284"/>
      <c r="AF1949" s="284"/>
      <c r="AG1949" s="284"/>
    </row>
    <row r="1950" spans="1:33" ht="26.4">
      <c r="A1950" s="284"/>
      <c r="B1950" s="284"/>
      <c r="C1950" s="284"/>
      <c r="D1950" s="284"/>
      <c r="E1950" s="284"/>
      <c r="F1950" s="284"/>
      <c r="G1950" s="284"/>
      <c r="H1950" s="284"/>
      <c r="I1950" s="284"/>
      <c r="J1950" s="375"/>
      <c r="K1950" s="375"/>
      <c r="L1950" s="375"/>
      <c r="M1950" s="368"/>
      <c r="N1950" s="368"/>
      <c r="O1950" s="370"/>
      <c r="T1950" s="340"/>
      <c r="V1950" s="378"/>
      <c r="W1950" s="64" ph="1"/>
      <c r="X1950" s="241"/>
      <c r="Y1950" s="284"/>
      <c r="Z1950" s="207"/>
      <c r="AA1950" s="284"/>
      <c r="AB1950" s="284"/>
      <c r="AC1950" s="284"/>
      <c r="AD1950" s="284"/>
      <c r="AE1950" s="284"/>
      <c r="AF1950" s="284"/>
      <c r="AG1950" s="284"/>
    </row>
    <row r="1951" spans="1:33" ht="26.4">
      <c r="A1951" s="284"/>
      <c r="B1951" s="284"/>
      <c r="C1951" s="284"/>
      <c r="D1951" s="284"/>
      <c r="E1951" s="284"/>
      <c r="F1951" s="284"/>
      <c r="G1951" s="284"/>
      <c r="H1951" s="284"/>
      <c r="I1951" s="284"/>
      <c r="J1951" s="375"/>
      <c r="K1951" s="375"/>
      <c r="L1951" s="375"/>
      <c r="M1951" s="368"/>
      <c r="N1951" s="368"/>
      <c r="O1951" s="370"/>
      <c r="T1951" s="340"/>
      <c r="V1951" s="378"/>
      <c r="W1951" s="64" ph="1"/>
      <c r="X1951" s="241"/>
      <c r="Y1951" s="284"/>
      <c r="Z1951" s="207"/>
      <c r="AA1951" s="284"/>
      <c r="AB1951" s="284"/>
      <c r="AC1951" s="284"/>
      <c r="AD1951" s="284"/>
      <c r="AE1951" s="284"/>
      <c r="AF1951" s="284"/>
      <c r="AG1951" s="284"/>
    </row>
    <row r="1952" spans="1:33" ht="26.4">
      <c r="A1952" s="284"/>
      <c r="B1952" s="284"/>
      <c r="C1952" s="284"/>
      <c r="D1952" s="284"/>
      <c r="E1952" s="284"/>
      <c r="F1952" s="284"/>
      <c r="G1952" s="284"/>
      <c r="H1952" s="284"/>
      <c r="I1952" s="284"/>
      <c r="J1952" s="375"/>
      <c r="K1952" s="375"/>
      <c r="L1952" s="375"/>
      <c r="M1952" s="368"/>
      <c r="N1952" s="368"/>
      <c r="O1952" s="370"/>
      <c r="T1952" s="340"/>
      <c r="V1952" s="378"/>
      <c r="W1952" s="64" ph="1"/>
      <c r="X1952" s="241"/>
      <c r="Y1952" s="284"/>
      <c r="Z1952" s="207"/>
      <c r="AA1952" s="284"/>
      <c r="AB1952" s="284"/>
      <c r="AC1952" s="284"/>
      <c r="AD1952" s="284"/>
      <c r="AE1952" s="284"/>
      <c r="AF1952" s="284"/>
      <c r="AG1952" s="284"/>
    </row>
    <row r="1953" spans="1:33" ht="26.4">
      <c r="A1953" s="284"/>
      <c r="B1953" s="284"/>
      <c r="C1953" s="284"/>
      <c r="D1953" s="284"/>
      <c r="E1953" s="284"/>
      <c r="F1953" s="284"/>
      <c r="G1953" s="284"/>
      <c r="H1953" s="284"/>
      <c r="I1953" s="284"/>
      <c r="J1953" s="375"/>
      <c r="K1953" s="375"/>
      <c r="L1953" s="375"/>
      <c r="M1953" s="368"/>
      <c r="N1953" s="368"/>
      <c r="O1953" s="370"/>
      <c r="T1953" s="340"/>
      <c r="V1953" s="378"/>
      <c r="W1953" s="64" ph="1"/>
      <c r="X1953" s="241"/>
      <c r="Y1953" s="284"/>
      <c r="Z1953" s="207"/>
      <c r="AA1953" s="284"/>
      <c r="AB1953" s="284"/>
      <c r="AC1953" s="284"/>
      <c r="AD1953" s="284"/>
      <c r="AE1953" s="284"/>
      <c r="AF1953" s="284"/>
      <c r="AG1953" s="284"/>
    </row>
    <row r="1954" spans="1:33" ht="26.4">
      <c r="A1954" s="284"/>
      <c r="B1954" s="284"/>
      <c r="C1954" s="284"/>
      <c r="D1954" s="284"/>
      <c r="E1954" s="284"/>
      <c r="F1954" s="284"/>
      <c r="G1954" s="284"/>
      <c r="H1954" s="284"/>
      <c r="I1954" s="284"/>
      <c r="J1954" s="375"/>
      <c r="K1954" s="375"/>
      <c r="L1954" s="375"/>
      <c r="M1954" s="368"/>
      <c r="N1954" s="368"/>
      <c r="O1954" s="370"/>
      <c r="T1954" s="340"/>
      <c r="V1954" s="378"/>
      <c r="W1954" s="64" ph="1"/>
      <c r="X1954" s="241"/>
      <c r="Y1954" s="284"/>
      <c r="Z1954" s="207"/>
      <c r="AA1954" s="284"/>
      <c r="AB1954" s="284"/>
      <c r="AC1954" s="284"/>
      <c r="AD1954" s="284"/>
      <c r="AE1954" s="284"/>
      <c r="AF1954" s="284"/>
      <c r="AG1954" s="284"/>
    </row>
    <row r="1955" spans="1:33" ht="26.4">
      <c r="A1955" s="284"/>
      <c r="B1955" s="284"/>
      <c r="C1955" s="284"/>
      <c r="D1955" s="284"/>
      <c r="E1955" s="284"/>
      <c r="F1955" s="284"/>
      <c r="G1955" s="284"/>
      <c r="H1955" s="284"/>
      <c r="I1955" s="284"/>
      <c r="J1955" s="375"/>
      <c r="K1955" s="375"/>
      <c r="L1955" s="375"/>
      <c r="M1955" s="368"/>
      <c r="N1955" s="368"/>
      <c r="O1955" s="370"/>
      <c r="T1955" s="340"/>
      <c r="V1955" s="378"/>
      <c r="W1955" s="64" ph="1"/>
      <c r="X1955" s="241"/>
      <c r="Y1955" s="284"/>
      <c r="Z1955" s="207"/>
      <c r="AA1955" s="284"/>
      <c r="AB1955" s="284"/>
      <c r="AC1955" s="284"/>
      <c r="AD1955" s="284"/>
      <c r="AE1955" s="284"/>
      <c r="AF1955" s="284"/>
      <c r="AG1955" s="284"/>
    </row>
    <row r="1956" spans="1:33" ht="26.4">
      <c r="A1956" s="284"/>
      <c r="B1956" s="284"/>
      <c r="C1956" s="284"/>
      <c r="D1956" s="284"/>
      <c r="E1956" s="284"/>
      <c r="F1956" s="284"/>
      <c r="G1956" s="284"/>
      <c r="H1956" s="284"/>
      <c r="I1956" s="284"/>
      <c r="J1956" s="375"/>
      <c r="K1956" s="375"/>
      <c r="L1956" s="375"/>
      <c r="M1956" s="368"/>
      <c r="N1956" s="368"/>
      <c r="O1956" s="370"/>
      <c r="T1956" s="340"/>
      <c r="V1956" s="378"/>
      <c r="W1956" s="64" ph="1"/>
      <c r="X1956" s="241"/>
      <c r="Y1956" s="284"/>
      <c r="Z1956" s="207"/>
      <c r="AA1956" s="284"/>
      <c r="AB1956" s="284"/>
      <c r="AC1956" s="284"/>
      <c r="AD1956" s="284"/>
      <c r="AE1956" s="284"/>
      <c r="AF1956" s="284"/>
      <c r="AG1956" s="284"/>
    </row>
    <row r="1957" spans="1:33" ht="26.4">
      <c r="A1957" s="284"/>
      <c r="B1957" s="284"/>
      <c r="C1957" s="284"/>
      <c r="D1957" s="284"/>
      <c r="E1957" s="284"/>
      <c r="F1957" s="284"/>
      <c r="G1957" s="284"/>
      <c r="H1957" s="284"/>
      <c r="I1957" s="284"/>
      <c r="J1957" s="375"/>
      <c r="K1957" s="375"/>
      <c r="L1957" s="375"/>
      <c r="M1957" s="368"/>
      <c r="N1957" s="368"/>
      <c r="O1957" s="370"/>
      <c r="T1957" s="340"/>
      <c r="V1957" s="378"/>
      <c r="W1957" s="64" ph="1"/>
      <c r="X1957" s="241"/>
      <c r="Y1957" s="284"/>
      <c r="Z1957" s="207"/>
      <c r="AA1957" s="284"/>
      <c r="AB1957" s="284"/>
      <c r="AC1957" s="284"/>
      <c r="AD1957" s="284"/>
      <c r="AE1957" s="284"/>
      <c r="AF1957" s="284"/>
      <c r="AG1957" s="284"/>
    </row>
    <row r="1958" spans="1:33" ht="26.4">
      <c r="A1958" s="284"/>
      <c r="B1958" s="284"/>
      <c r="C1958" s="284"/>
      <c r="D1958" s="284"/>
      <c r="E1958" s="284"/>
      <c r="F1958" s="284"/>
      <c r="G1958" s="284"/>
      <c r="H1958" s="284"/>
      <c r="I1958" s="284"/>
      <c r="J1958" s="375"/>
      <c r="K1958" s="375"/>
      <c r="L1958" s="375"/>
      <c r="M1958" s="368"/>
      <c r="N1958" s="368"/>
      <c r="O1958" s="370"/>
      <c r="T1958" s="340"/>
      <c r="V1958" s="378"/>
      <c r="W1958" s="64" ph="1"/>
      <c r="X1958" s="241"/>
      <c r="Y1958" s="284"/>
      <c r="Z1958" s="207"/>
      <c r="AA1958" s="284"/>
      <c r="AB1958" s="284"/>
      <c r="AC1958" s="284"/>
      <c r="AD1958" s="284"/>
      <c r="AE1958" s="284"/>
      <c r="AF1958" s="284"/>
      <c r="AG1958" s="284"/>
    </row>
    <row r="1959" spans="1:33" ht="26.4">
      <c r="A1959" s="284"/>
      <c r="B1959" s="284"/>
      <c r="C1959" s="284"/>
      <c r="D1959" s="284"/>
      <c r="E1959" s="284"/>
      <c r="F1959" s="284"/>
      <c r="G1959" s="284"/>
      <c r="H1959" s="284"/>
      <c r="I1959" s="284"/>
      <c r="J1959" s="375"/>
      <c r="K1959" s="375"/>
      <c r="L1959" s="375"/>
      <c r="M1959" s="368"/>
      <c r="N1959" s="368"/>
      <c r="O1959" s="370"/>
      <c r="T1959" s="340"/>
      <c r="V1959" s="378"/>
      <c r="W1959" s="64" ph="1"/>
      <c r="X1959" s="241"/>
      <c r="Y1959" s="284"/>
      <c r="Z1959" s="207"/>
      <c r="AA1959" s="284"/>
      <c r="AB1959" s="284"/>
      <c r="AC1959" s="284"/>
      <c r="AD1959" s="284"/>
      <c r="AE1959" s="284"/>
      <c r="AF1959" s="284"/>
      <c r="AG1959" s="284"/>
    </row>
    <row r="1960" spans="1:33" ht="26.4">
      <c r="A1960" s="284"/>
      <c r="B1960" s="284"/>
      <c r="C1960" s="284"/>
      <c r="D1960" s="284"/>
      <c r="E1960" s="284"/>
      <c r="F1960" s="284"/>
      <c r="G1960" s="284"/>
      <c r="H1960" s="284"/>
      <c r="I1960" s="284"/>
      <c r="J1960" s="375"/>
      <c r="K1960" s="375"/>
      <c r="L1960" s="375"/>
      <c r="M1960" s="368"/>
      <c r="N1960" s="368"/>
      <c r="O1960" s="370"/>
      <c r="T1960" s="340"/>
      <c r="V1960" s="378"/>
      <c r="W1960" s="64" ph="1"/>
      <c r="X1960" s="241"/>
      <c r="Y1960" s="284"/>
      <c r="Z1960" s="207"/>
      <c r="AA1960" s="284"/>
      <c r="AB1960" s="284"/>
      <c r="AC1960" s="284"/>
      <c r="AD1960" s="284"/>
      <c r="AE1960" s="284"/>
      <c r="AF1960" s="284"/>
      <c r="AG1960" s="284"/>
    </row>
    <row r="1961" spans="1:33" ht="26.4">
      <c r="A1961" s="284"/>
      <c r="B1961" s="284"/>
      <c r="C1961" s="284"/>
      <c r="D1961" s="284"/>
      <c r="E1961" s="284"/>
      <c r="F1961" s="284"/>
      <c r="G1961" s="284"/>
      <c r="H1961" s="284"/>
      <c r="I1961" s="284"/>
      <c r="J1961" s="375"/>
      <c r="K1961" s="375"/>
      <c r="L1961" s="375"/>
      <c r="M1961" s="368"/>
      <c r="N1961" s="368"/>
      <c r="O1961" s="370"/>
      <c r="T1961" s="340"/>
      <c r="V1961" s="378"/>
      <c r="W1961" s="64" ph="1"/>
      <c r="X1961" s="241"/>
      <c r="Y1961" s="284"/>
      <c r="Z1961" s="207"/>
      <c r="AA1961" s="284"/>
      <c r="AB1961" s="284"/>
      <c r="AC1961" s="284"/>
      <c r="AD1961" s="284"/>
      <c r="AE1961" s="284"/>
      <c r="AF1961" s="284"/>
      <c r="AG1961" s="284"/>
    </row>
    <row r="1962" spans="1:33" ht="26.4">
      <c r="A1962" s="284"/>
      <c r="B1962" s="284"/>
      <c r="C1962" s="284"/>
      <c r="D1962" s="284"/>
      <c r="E1962" s="284"/>
      <c r="F1962" s="284"/>
      <c r="G1962" s="284"/>
      <c r="H1962" s="284"/>
      <c r="I1962" s="284"/>
      <c r="J1962" s="375"/>
      <c r="K1962" s="375"/>
      <c r="L1962" s="375"/>
      <c r="M1962" s="368"/>
      <c r="N1962" s="368"/>
      <c r="O1962" s="370"/>
      <c r="T1962" s="340"/>
      <c r="V1962" s="378"/>
      <c r="W1962" s="64" ph="1"/>
      <c r="X1962" s="241"/>
      <c r="Y1962" s="284"/>
      <c r="Z1962" s="207"/>
      <c r="AA1962" s="284"/>
      <c r="AB1962" s="284"/>
      <c r="AC1962" s="284"/>
      <c r="AD1962" s="284"/>
      <c r="AE1962" s="284"/>
      <c r="AF1962" s="284"/>
      <c r="AG1962" s="284"/>
    </row>
    <row r="1963" spans="1:33" ht="26.4">
      <c r="A1963" s="284"/>
      <c r="B1963" s="284"/>
      <c r="C1963" s="284"/>
      <c r="D1963" s="284"/>
      <c r="E1963" s="284"/>
      <c r="F1963" s="284"/>
      <c r="G1963" s="284"/>
      <c r="H1963" s="284"/>
      <c r="I1963" s="284"/>
      <c r="J1963" s="375"/>
      <c r="K1963" s="375"/>
      <c r="L1963" s="375"/>
      <c r="M1963" s="368"/>
      <c r="N1963" s="368"/>
      <c r="O1963" s="370"/>
      <c r="T1963" s="340"/>
      <c r="V1963" s="378"/>
      <c r="W1963" s="64" ph="1"/>
      <c r="X1963" s="241"/>
      <c r="Y1963" s="284"/>
      <c r="Z1963" s="207"/>
      <c r="AA1963" s="284"/>
      <c r="AB1963" s="284"/>
      <c r="AC1963" s="284"/>
      <c r="AD1963" s="284"/>
      <c r="AE1963" s="284"/>
      <c r="AF1963" s="284"/>
      <c r="AG1963" s="284"/>
    </row>
    <row r="1964" spans="1:33" ht="26.4">
      <c r="A1964" s="284"/>
      <c r="B1964" s="284"/>
      <c r="C1964" s="284"/>
      <c r="D1964" s="284"/>
      <c r="E1964" s="284"/>
      <c r="F1964" s="284"/>
      <c r="G1964" s="284"/>
      <c r="H1964" s="284"/>
      <c r="I1964" s="284"/>
      <c r="J1964" s="375"/>
      <c r="K1964" s="375"/>
      <c r="L1964" s="375"/>
      <c r="M1964" s="368"/>
      <c r="N1964" s="368"/>
      <c r="O1964" s="370"/>
      <c r="T1964" s="340"/>
      <c r="V1964" s="378"/>
      <c r="W1964" s="64" ph="1"/>
      <c r="X1964" s="241"/>
      <c r="Y1964" s="284"/>
      <c r="Z1964" s="207"/>
      <c r="AA1964" s="284"/>
      <c r="AB1964" s="284"/>
      <c r="AC1964" s="284"/>
      <c r="AD1964" s="284"/>
      <c r="AE1964" s="284"/>
      <c r="AF1964" s="284"/>
      <c r="AG1964" s="284"/>
    </row>
    <row r="1965" spans="1:33" ht="26.4">
      <c r="A1965" s="284"/>
      <c r="B1965" s="284"/>
      <c r="C1965" s="284"/>
      <c r="D1965" s="284"/>
      <c r="E1965" s="284"/>
      <c r="F1965" s="284"/>
      <c r="G1965" s="284"/>
      <c r="H1965" s="284"/>
      <c r="I1965" s="284"/>
      <c r="J1965" s="375"/>
      <c r="K1965" s="375"/>
      <c r="L1965" s="375"/>
      <c r="M1965" s="368"/>
      <c r="N1965" s="368"/>
      <c r="O1965" s="370"/>
      <c r="T1965" s="340"/>
      <c r="V1965" s="378"/>
      <c r="W1965" s="64" ph="1"/>
      <c r="X1965" s="241"/>
      <c r="Y1965" s="284"/>
      <c r="Z1965" s="207"/>
      <c r="AA1965" s="284"/>
      <c r="AB1965" s="284"/>
      <c r="AC1965" s="284"/>
      <c r="AD1965" s="284"/>
      <c r="AE1965" s="284"/>
      <c r="AF1965" s="284"/>
      <c r="AG1965" s="284"/>
    </row>
    <row r="1966" spans="1:33" ht="26.4">
      <c r="A1966" s="284"/>
      <c r="B1966" s="284"/>
      <c r="C1966" s="284"/>
      <c r="D1966" s="284"/>
      <c r="E1966" s="284"/>
      <c r="F1966" s="284"/>
      <c r="G1966" s="284"/>
      <c r="H1966" s="284"/>
      <c r="I1966" s="284"/>
      <c r="J1966" s="375"/>
      <c r="K1966" s="375"/>
      <c r="L1966" s="375"/>
      <c r="M1966" s="368"/>
      <c r="N1966" s="368"/>
      <c r="O1966" s="370"/>
      <c r="T1966" s="340"/>
      <c r="V1966" s="378"/>
      <c r="W1966" s="64" ph="1"/>
      <c r="X1966" s="241"/>
      <c r="Y1966" s="284"/>
      <c r="Z1966" s="207"/>
      <c r="AA1966" s="284"/>
      <c r="AB1966" s="284"/>
      <c r="AC1966" s="284"/>
      <c r="AD1966" s="284"/>
      <c r="AE1966" s="284"/>
      <c r="AF1966" s="284"/>
      <c r="AG1966" s="284"/>
    </row>
    <row r="1967" spans="1:33" ht="26.4">
      <c r="A1967" s="284"/>
      <c r="B1967" s="284"/>
      <c r="C1967" s="284"/>
      <c r="D1967" s="284"/>
      <c r="E1967" s="284"/>
      <c r="F1967" s="284"/>
      <c r="G1967" s="284"/>
      <c r="H1967" s="284"/>
      <c r="I1967" s="284"/>
      <c r="J1967" s="375"/>
      <c r="K1967" s="375"/>
      <c r="L1967" s="375"/>
      <c r="M1967" s="368"/>
      <c r="N1967" s="368"/>
      <c r="O1967" s="370"/>
      <c r="T1967" s="340"/>
      <c r="V1967" s="378"/>
      <c r="W1967" s="64" ph="1"/>
      <c r="X1967" s="241"/>
      <c r="Y1967" s="284"/>
      <c r="Z1967" s="207"/>
      <c r="AA1967" s="284"/>
      <c r="AB1967" s="284"/>
      <c r="AC1967" s="284"/>
      <c r="AD1967" s="284"/>
      <c r="AE1967" s="284"/>
      <c r="AF1967" s="284"/>
      <c r="AG1967" s="284"/>
    </row>
    <row r="1968" spans="1:33" ht="26.4">
      <c r="A1968" s="284"/>
      <c r="B1968" s="284"/>
      <c r="C1968" s="284"/>
      <c r="D1968" s="284"/>
      <c r="E1968" s="284"/>
      <c r="F1968" s="284"/>
      <c r="G1968" s="284"/>
      <c r="H1968" s="284"/>
      <c r="I1968" s="284"/>
      <c r="J1968" s="375"/>
      <c r="K1968" s="375"/>
      <c r="L1968" s="375"/>
      <c r="M1968" s="368"/>
      <c r="N1968" s="368"/>
      <c r="O1968" s="370"/>
      <c r="T1968" s="340"/>
      <c r="V1968" s="378"/>
      <c r="W1968" s="64" ph="1"/>
      <c r="X1968" s="241"/>
      <c r="Y1968" s="284"/>
      <c r="Z1968" s="207"/>
      <c r="AA1968" s="284"/>
      <c r="AB1968" s="284"/>
      <c r="AC1968" s="284"/>
      <c r="AD1968" s="284"/>
      <c r="AE1968" s="284"/>
      <c r="AF1968" s="284"/>
      <c r="AG1968" s="284"/>
    </row>
    <row r="1969" spans="1:33" ht="26.4">
      <c r="A1969" s="284"/>
      <c r="B1969" s="284"/>
      <c r="C1969" s="284"/>
      <c r="D1969" s="284"/>
      <c r="E1969" s="284"/>
      <c r="F1969" s="284"/>
      <c r="G1969" s="284"/>
      <c r="H1969" s="284"/>
      <c r="I1969" s="284"/>
      <c r="J1969" s="375"/>
      <c r="K1969" s="375"/>
      <c r="L1969" s="375"/>
      <c r="M1969" s="368"/>
      <c r="N1969" s="368"/>
      <c r="O1969" s="370"/>
      <c r="T1969" s="340"/>
      <c r="V1969" s="378"/>
      <c r="W1969" s="64" ph="1"/>
      <c r="X1969" s="241"/>
      <c r="Y1969" s="284"/>
      <c r="Z1969" s="207"/>
      <c r="AA1969" s="284"/>
      <c r="AB1969" s="284"/>
      <c r="AC1969" s="284"/>
      <c r="AD1969" s="284"/>
      <c r="AE1969" s="284"/>
      <c r="AF1969" s="284"/>
      <c r="AG1969" s="284"/>
    </row>
    <row r="1970" spans="1:33" ht="26.4">
      <c r="A1970" s="284"/>
      <c r="B1970" s="284"/>
      <c r="C1970" s="284"/>
      <c r="D1970" s="284"/>
      <c r="E1970" s="284"/>
      <c r="F1970" s="284"/>
      <c r="G1970" s="284"/>
      <c r="H1970" s="284"/>
      <c r="I1970" s="284"/>
      <c r="J1970" s="375"/>
      <c r="K1970" s="375"/>
      <c r="L1970" s="375"/>
      <c r="M1970" s="368"/>
      <c r="N1970" s="368"/>
      <c r="O1970" s="370"/>
      <c r="T1970" s="340"/>
      <c r="V1970" s="378"/>
      <c r="W1970" s="64" ph="1"/>
      <c r="X1970" s="241"/>
      <c r="Y1970" s="284"/>
      <c r="Z1970" s="207"/>
      <c r="AA1970" s="284"/>
      <c r="AB1970" s="284"/>
      <c r="AC1970" s="284"/>
      <c r="AD1970" s="284"/>
      <c r="AE1970" s="284"/>
      <c r="AF1970" s="284"/>
      <c r="AG1970" s="284"/>
    </row>
    <row r="1971" spans="1:33" ht="26.4">
      <c r="A1971" s="284"/>
      <c r="B1971" s="284"/>
      <c r="C1971" s="284"/>
      <c r="D1971" s="284"/>
      <c r="E1971" s="284"/>
      <c r="F1971" s="284"/>
      <c r="G1971" s="284"/>
      <c r="H1971" s="284"/>
      <c r="I1971" s="284"/>
      <c r="J1971" s="375"/>
      <c r="K1971" s="375"/>
      <c r="L1971" s="375"/>
      <c r="M1971" s="368"/>
      <c r="N1971" s="368"/>
      <c r="O1971" s="370"/>
      <c r="T1971" s="340"/>
      <c r="V1971" s="378"/>
      <c r="W1971" s="64" ph="1"/>
      <c r="X1971" s="241"/>
      <c r="Y1971" s="284"/>
      <c r="Z1971" s="207"/>
      <c r="AA1971" s="284"/>
      <c r="AB1971" s="284"/>
      <c r="AC1971" s="284"/>
      <c r="AD1971" s="284"/>
      <c r="AE1971" s="284"/>
      <c r="AF1971" s="284"/>
      <c r="AG1971" s="284"/>
    </row>
    <row r="1972" spans="1:33" ht="26.4">
      <c r="A1972" s="284"/>
      <c r="B1972" s="284"/>
      <c r="C1972" s="284"/>
      <c r="D1972" s="284"/>
      <c r="E1972" s="284"/>
      <c r="F1972" s="284"/>
      <c r="G1972" s="284"/>
      <c r="H1972" s="284"/>
      <c r="I1972" s="284"/>
      <c r="J1972" s="375"/>
      <c r="K1972" s="375"/>
      <c r="L1972" s="375"/>
      <c r="M1972" s="368"/>
      <c r="N1972" s="368"/>
      <c r="O1972" s="370"/>
      <c r="T1972" s="340"/>
      <c r="V1972" s="378"/>
      <c r="W1972" s="64" ph="1"/>
      <c r="X1972" s="241"/>
      <c r="Y1972" s="284"/>
      <c r="Z1972" s="207"/>
      <c r="AA1972" s="284"/>
      <c r="AB1972" s="284"/>
      <c r="AC1972" s="284"/>
      <c r="AD1972" s="284"/>
      <c r="AE1972" s="284"/>
      <c r="AF1972" s="284"/>
      <c r="AG1972" s="284"/>
    </row>
    <row r="1973" spans="1:33" ht="26.4">
      <c r="A1973" s="284"/>
      <c r="B1973" s="284"/>
      <c r="C1973" s="284"/>
      <c r="D1973" s="284"/>
      <c r="E1973" s="284"/>
      <c r="F1973" s="284"/>
      <c r="G1973" s="284"/>
      <c r="H1973" s="284"/>
      <c r="I1973" s="284"/>
      <c r="J1973" s="375"/>
      <c r="K1973" s="375"/>
      <c r="L1973" s="375"/>
      <c r="M1973" s="368"/>
      <c r="N1973" s="368"/>
      <c r="O1973" s="370"/>
      <c r="T1973" s="340"/>
      <c r="V1973" s="378"/>
      <c r="W1973" s="64" ph="1"/>
      <c r="X1973" s="241"/>
      <c r="Y1973" s="284"/>
      <c r="Z1973" s="207"/>
      <c r="AA1973" s="284"/>
      <c r="AB1973" s="284"/>
      <c r="AC1973" s="284"/>
      <c r="AD1973" s="284"/>
      <c r="AE1973" s="284"/>
      <c r="AF1973" s="284"/>
      <c r="AG1973" s="284"/>
    </row>
    <row r="1974" spans="1:33" ht="26.4">
      <c r="A1974" s="284"/>
      <c r="B1974" s="284"/>
      <c r="C1974" s="284"/>
      <c r="D1974" s="284"/>
      <c r="E1974" s="284"/>
      <c r="F1974" s="284"/>
      <c r="G1974" s="284"/>
      <c r="H1974" s="284"/>
      <c r="I1974" s="284"/>
      <c r="J1974" s="375"/>
      <c r="K1974" s="375"/>
      <c r="L1974" s="375"/>
      <c r="M1974" s="368"/>
      <c r="N1974" s="368"/>
      <c r="O1974" s="370"/>
      <c r="T1974" s="340"/>
      <c r="V1974" s="378"/>
      <c r="W1974" s="64" ph="1"/>
      <c r="X1974" s="241"/>
      <c r="Y1974" s="284"/>
      <c r="Z1974" s="207"/>
      <c r="AA1974" s="284"/>
      <c r="AB1974" s="284"/>
      <c r="AC1974" s="284"/>
      <c r="AD1974" s="284"/>
      <c r="AE1974" s="284"/>
      <c r="AF1974" s="284"/>
      <c r="AG1974" s="284"/>
    </row>
    <row r="1975" spans="1:33" ht="26.4">
      <c r="A1975" s="284"/>
      <c r="B1975" s="284"/>
      <c r="C1975" s="284"/>
      <c r="D1975" s="284"/>
      <c r="E1975" s="284"/>
      <c r="F1975" s="284"/>
      <c r="G1975" s="284"/>
      <c r="H1975" s="284"/>
      <c r="I1975" s="284"/>
      <c r="J1975" s="375"/>
      <c r="K1975" s="375"/>
      <c r="L1975" s="375"/>
      <c r="M1975" s="368"/>
      <c r="N1975" s="368"/>
      <c r="O1975" s="370"/>
      <c r="T1975" s="340"/>
      <c r="V1975" s="378"/>
      <c r="W1975" s="64" ph="1"/>
      <c r="X1975" s="241"/>
      <c r="Y1975" s="284"/>
      <c r="Z1975" s="207"/>
      <c r="AA1975" s="284"/>
      <c r="AB1975" s="284"/>
      <c r="AC1975" s="284"/>
      <c r="AD1975" s="284"/>
      <c r="AE1975" s="284"/>
      <c r="AF1975" s="284"/>
      <c r="AG1975" s="284"/>
    </row>
    <row r="1976" spans="1:33" ht="26.4">
      <c r="A1976" s="284"/>
      <c r="B1976" s="284"/>
      <c r="C1976" s="284"/>
      <c r="D1976" s="284"/>
      <c r="E1976" s="284"/>
      <c r="F1976" s="284"/>
      <c r="G1976" s="284"/>
      <c r="H1976" s="284"/>
      <c r="I1976" s="284"/>
      <c r="J1976" s="375"/>
      <c r="K1976" s="375"/>
      <c r="L1976" s="375"/>
      <c r="M1976" s="368"/>
      <c r="N1976" s="368"/>
      <c r="O1976" s="370"/>
      <c r="T1976" s="340"/>
      <c r="V1976" s="378"/>
      <c r="W1976" s="64" ph="1"/>
      <c r="X1976" s="241"/>
      <c r="Y1976" s="284"/>
      <c r="Z1976" s="207"/>
      <c r="AA1976" s="284"/>
      <c r="AB1976" s="284"/>
      <c r="AC1976" s="284"/>
      <c r="AD1976" s="284"/>
      <c r="AE1976" s="284"/>
      <c r="AF1976" s="284"/>
      <c r="AG1976" s="284"/>
    </row>
    <row r="1977" spans="1:33" ht="26.4">
      <c r="A1977" s="284"/>
      <c r="B1977" s="284"/>
      <c r="C1977" s="284"/>
      <c r="D1977" s="284"/>
      <c r="E1977" s="284"/>
      <c r="F1977" s="284"/>
      <c r="G1977" s="284"/>
      <c r="H1977" s="284"/>
      <c r="I1977" s="284"/>
      <c r="J1977" s="375"/>
      <c r="K1977" s="375"/>
      <c r="L1977" s="375"/>
      <c r="M1977" s="368"/>
      <c r="N1977" s="368"/>
      <c r="O1977" s="370"/>
      <c r="T1977" s="340"/>
      <c r="V1977" s="378"/>
      <c r="W1977" s="64" ph="1"/>
      <c r="X1977" s="241"/>
      <c r="Y1977" s="284"/>
      <c r="Z1977" s="207"/>
      <c r="AA1977" s="284"/>
      <c r="AB1977" s="284"/>
      <c r="AC1977" s="284"/>
      <c r="AD1977" s="284"/>
      <c r="AE1977" s="284"/>
      <c r="AF1977" s="284"/>
      <c r="AG1977" s="284"/>
    </row>
    <row r="1978" spans="1:33" ht="26.4">
      <c r="A1978" s="284"/>
      <c r="B1978" s="284"/>
      <c r="C1978" s="284"/>
      <c r="D1978" s="284"/>
      <c r="E1978" s="284"/>
      <c r="F1978" s="284"/>
      <c r="G1978" s="284"/>
      <c r="H1978" s="284"/>
      <c r="I1978" s="284"/>
      <c r="J1978" s="375"/>
      <c r="K1978" s="375"/>
      <c r="L1978" s="375"/>
      <c r="M1978" s="368"/>
      <c r="N1978" s="368"/>
      <c r="O1978" s="370"/>
      <c r="T1978" s="340"/>
      <c r="V1978" s="378"/>
      <c r="W1978" s="64" ph="1"/>
      <c r="X1978" s="241"/>
      <c r="Y1978" s="284"/>
      <c r="Z1978" s="207"/>
      <c r="AA1978" s="284"/>
      <c r="AB1978" s="284"/>
      <c r="AC1978" s="284"/>
      <c r="AD1978" s="284"/>
      <c r="AE1978" s="284"/>
      <c r="AF1978" s="284"/>
      <c r="AG1978" s="284"/>
    </row>
    <row r="1979" spans="1:33" ht="26.4">
      <c r="A1979" s="284"/>
      <c r="B1979" s="284"/>
      <c r="C1979" s="284"/>
      <c r="D1979" s="284"/>
      <c r="E1979" s="284"/>
      <c r="F1979" s="284"/>
      <c r="G1979" s="284"/>
      <c r="H1979" s="284"/>
      <c r="I1979" s="284"/>
      <c r="J1979" s="375"/>
      <c r="K1979" s="375"/>
      <c r="L1979" s="375"/>
      <c r="M1979" s="368"/>
      <c r="N1979" s="368"/>
      <c r="O1979" s="370"/>
      <c r="T1979" s="340"/>
      <c r="V1979" s="378"/>
      <c r="W1979" s="64" ph="1"/>
      <c r="X1979" s="241"/>
      <c r="Y1979" s="284"/>
      <c r="Z1979" s="207"/>
      <c r="AA1979" s="284"/>
      <c r="AB1979" s="284"/>
      <c r="AC1979" s="284"/>
      <c r="AD1979" s="284"/>
      <c r="AE1979" s="284"/>
      <c r="AF1979" s="284"/>
      <c r="AG1979" s="284"/>
    </row>
    <row r="1980" spans="1:33" ht="26.4">
      <c r="A1980" s="284"/>
      <c r="B1980" s="284"/>
      <c r="C1980" s="284"/>
      <c r="D1980" s="284"/>
      <c r="E1980" s="284"/>
      <c r="F1980" s="284"/>
      <c r="G1980" s="284"/>
      <c r="H1980" s="284"/>
      <c r="I1980" s="284"/>
      <c r="J1980" s="375"/>
      <c r="K1980" s="375"/>
      <c r="L1980" s="375"/>
      <c r="M1980" s="368"/>
      <c r="N1980" s="368"/>
      <c r="O1980" s="370"/>
      <c r="T1980" s="340"/>
      <c r="V1980" s="378"/>
      <c r="W1980" s="64" ph="1"/>
      <c r="X1980" s="241"/>
      <c r="Y1980" s="284"/>
      <c r="Z1980" s="207"/>
      <c r="AA1980" s="284"/>
      <c r="AB1980" s="284"/>
      <c r="AC1980" s="284"/>
      <c r="AD1980" s="284"/>
      <c r="AE1980" s="284"/>
      <c r="AF1980" s="284"/>
      <c r="AG1980" s="284"/>
    </row>
    <row r="1981" spans="1:33" ht="26.4">
      <c r="A1981" s="284"/>
      <c r="B1981" s="284"/>
      <c r="C1981" s="284"/>
      <c r="D1981" s="284"/>
      <c r="E1981" s="284"/>
      <c r="F1981" s="284"/>
      <c r="G1981" s="284"/>
      <c r="H1981" s="284"/>
      <c r="I1981" s="284"/>
      <c r="J1981" s="375"/>
      <c r="K1981" s="375"/>
      <c r="L1981" s="375"/>
      <c r="M1981" s="368"/>
      <c r="N1981" s="368"/>
      <c r="O1981" s="370"/>
      <c r="T1981" s="340"/>
      <c r="V1981" s="378"/>
      <c r="W1981" s="64" ph="1"/>
      <c r="X1981" s="241"/>
      <c r="Y1981" s="284"/>
      <c r="Z1981" s="207"/>
      <c r="AA1981" s="284"/>
      <c r="AB1981" s="284"/>
      <c r="AC1981" s="284"/>
      <c r="AD1981" s="284"/>
      <c r="AE1981" s="284"/>
      <c r="AF1981" s="284"/>
      <c r="AG1981" s="284"/>
    </row>
    <row r="1982" spans="1:33" ht="26.4">
      <c r="A1982" s="284"/>
      <c r="B1982" s="284"/>
      <c r="C1982" s="284"/>
      <c r="D1982" s="284"/>
      <c r="E1982" s="284"/>
      <c r="F1982" s="284"/>
      <c r="G1982" s="284"/>
      <c r="H1982" s="284"/>
      <c r="I1982" s="284"/>
      <c r="J1982" s="375"/>
      <c r="K1982" s="375"/>
      <c r="L1982" s="375"/>
      <c r="M1982" s="368"/>
      <c r="N1982" s="368"/>
      <c r="O1982" s="370"/>
      <c r="T1982" s="340"/>
      <c r="V1982" s="378"/>
      <c r="W1982" s="64" ph="1"/>
      <c r="X1982" s="241"/>
      <c r="Y1982" s="284"/>
      <c r="Z1982" s="207"/>
      <c r="AA1982" s="284"/>
      <c r="AB1982" s="284"/>
      <c r="AC1982" s="284"/>
      <c r="AD1982" s="284"/>
      <c r="AE1982" s="284"/>
      <c r="AF1982" s="284"/>
      <c r="AG1982" s="284"/>
    </row>
    <row r="1983" spans="1:33" ht="26.4">
      <c r="A1983" s="284"/>
      <c r="B1983" s="284"/>
      <c r="C1983" s="284"/>
      <c r="D1983" s="284"/>
      <c r="E1983" s="284"/>
      <c r="F1983" s="284"/>
      <c r="G1983" s="284"/>
      <c r="H1983" s="284"/>
      <c r="I1983" s="284"/>
      <c r="J1983" s="375"/>
      <c r="K1983" s="375"/>
      <c r="L1983" s="375"/>
      <c r="M1983" s="368"/>
      <c r="N1983" s="368"/>
      <c r="O1983" s="370"/>
      <c r="T1983" s="340"/>
      <c r="V1983" s="378"/>
      <c r="W1983" s="64" ph="1"/>
      <c r="X1983" s="241"/>
      <c r="Y1983" s="284"/>
      <c r="Z1983" s="207"/>
      <c r="AA1983" s="284"/>
      <c r="AB1983" s="284"/>
      <c r="AC1983" s="284"/>
      <c r="AD1983" s="284"/>
      <c r="AE1983" s="284"/>
      <c r="AF1983" s="284"/>
      <c r="AG1983" s="284"/>
    </row>
    <row r="1984" spans="1:33" ht="26.4">
      <c r="A1984" s="284"/>
      <c r="B1984" s="284"/>
      <c r="C1984" s="284"/>
      <c r="D1984" s="284"/>
      <c r="E1984" s="284"/>
      <c r="F1984" s="284"/>
      <c r="G1984" s="284"/>
      <c r="H1984" s="284"/>
      <c r="I1984" s="284"/>
      <c r="J1984" s="375"/>
      <c r="K1984" s="375"/>
      <c r="L1984" s="375"/>
      <c r="M1984" s="368"/>
      <c r="N1984" s="368"/>
      <c r="O1984" s="370"/>
      <c r="T1984" s="340"/>
      <c r="V1984" s="378"/>
      <c r="W1984" s="64" ph="1"/>
      <c r="X1984" s="241"/>
      <c r="Y1984" s="284"/>
      <c r="Z1984" s="207"/>
      <c r="AA1984" s="284"/>
      <c r="AB1984" s="284"/>
      <c r="AC1984" s="284"/>
      <c r="AD1984" s="284"/>
      <c r="AE1984" s="284"/>
      <c r="AF1984" s="284"/>
      <c r="AG1984" s="284"/>
    </row>
    <row r="1985" spans="1:33" ht="26.4">
      <c r="A1985" s="284"/>
      <c r="B1985" s="284"/>
      <c r="C1985" s="284"/>
      <c r="D1985" s="284"/>
      <c r="E1985" s="284"/>
      <c r="F1985" s="284"/>
      <c r="G1985" s="284"/>
      <c r="H1985" s="284"/>
      <c r="I1985" s="284"/>
      <c r="J1985" s="375"/>
      <c r="K1985" s="375"/>
      <c r="L1985" s="375"/>
      <c r="M1985" s="368"/>
      <c r="N1985" s="368"/>
      <c r="O1985" s="370"/>
      <c r="T1985" s="340"/>
      <c r="V1985" s="378"/>
      <c r="W1985" s="64" ph="1"/>
      <c r="X1985" s="241"/>
      <c r="Y1985" s="284"/>
      <c r="Z1985" s="207"/>
      <c r="AA1985" s="284"/>
      <c r="AB1985" s="284"/>
      <c r="AC1985" s="284"/>
      <c r="AD1985" s="284"/>
      <c r="AE1985" s="284"/>
      <c r="AF1985" s="284"/>
      <c r="AG1985" s="284"/>
    </row>
    <row r="1986" spans="1:33" ht="26.4">
      <c r="A1986" s="284"/>
      <c r="B1986" s="284"/>
      <c r="C1986" s="284"/>
      <c r="D1986" s="284"/>
      <c r="E1986" s="284"/>
      <c r="F1986" s="284"/>
      <c r="G1986" s="284"/>
      <c r="H1986" s="284"/>
      <c r="I1986" s="284"/>
      <c r="J1986" s="375"/>
      <c r="K1986" s="375"/>
      <c r="L1986" s="375"/>
      <c r="M1986" s="368"/>
      <c r="N1986" s="368"/>
      <c r="O1986" s="370"/>
      <c r="T1986" s="340"/>
      <c r="V1986" s="378"/>
      <c r="W1986" s="64" ph="1"/>
      <c r="X1986" s="241"/>
      <c r="Y1986" s="284"/>
      <c r="Z1986" s="207"/>
      <c r="AA1986" s="284"/>
      <c r="AB1986" s="284"/>
      <c r="AC1986" s="284"/>
      <c r="AD1986" s="284"/>
      <c r="AE1986" s="284"/>
      <c r="AF1986" s="284"/>
      <c r="AG1986" s="284"/>
    </row>
    <row r="1987" spans="1:33" ht="26.4">
      <c r="A1987" s="284"/>
      <c r="B1987" s="284"/>
      <c r="C1987" s="284"/>
      <c r="D1987" s="284"/>
      <c r="E1987" s="284"/>
      <c r="F1987" s="284"/>
      <c r="G1987" s="284"/>
      <c r="H1987" s="284"/>
      <c r="I1987" s="284"/>
      <c r="J1987" s="375"/>
      <c r="K1987" s="375"/>
      <c r="L1987" s="375"/>
      <c r="M1987" s="368"/>
      <c r="N1987" s="368"/>
      <c r="O1987" s="370"/>
      <c r="T1987" s="340"/>
      <c r="V1987" s="378"/>
      <c r="W1987" s="64" ph="1"/>
      <c r="X1987" s="241"/>
      <c r="Y1987" s="284"/>
      <c r="Z1987" s="207"/>
      <c r="AA1987" s="284"/>
      <c r="AB1987" s="284"/>
      <c r="AC1987" s="284"/>
      <c r="AD1987" s="284"/>
      <c r="AE1987" s="284"/>
      <c r="AF1987" s="284"/>
      <c r="AG1987" s="284"/>
    </row>
    <row r="1988" spans="1:33" ht="26.4">
      <c r="A1988" s="284"/>
      <c r="B1988" s="284"/>
      <c r="C1988" s="284"/>
      <c r="D1988" s="284"/>
      <c r="E1988" s="284"/>
      <c r="F1988" s="284"/>
      <c r="G1988" s="284"/>
      <c r="H1988" s="284"/>
      <c r="I1988" s="284"/>
      <c r="J1988" s="375"/>
      <c r="K1988" s="375"/>
      <c r="L1988" s="375"/>
      <c r="M1988" s="368"/>
      <c r="N1988" s="368"/>
      <c r="O1988" s="370"/>
      <c r="T1988" s="340"/>
      <c r="V1988" s="378"/>
      <c r="W1988" s="64" ph="1"/>
      <c r="X1988" s="241"/>
      <c r="Y1988" s="284"/>
      <c r="Z1988" s="207"/>
      <c r="AA1988" s="284"/>
      <c r="AB1988" s="284"/>
      <c r="AC1988" s="284"/>
      <c r="AD1988" s="284"/>
      <c r="AE1988" s="284"/>
      <c r="AF1988" s="284"/>
      <c r="AG1988" s="284"/>
    </row>
    <row r="1989" spans="1:33" ht="26.4">
      <c r="A1989" s="284"/>
      <c r="B1989" s="284"/>
      <c r="C1989" s="284"/>
      <c r="D1989" s="284"/>
      <c r="E1989" s="284"/>
      <c r="F1989" s="284"/>
      <c r="G1989" s="284"/>
      <c r="H1989" s="284"/>
      <c r="I1989" s="284"/>
      <c r="J1989" s="375"/>
      <c r="K1989" s="375"/>
      <c r="L1989" s="375"/>
      <c r="M1989" s="368"/>
      <c r="N1989" s="368"/>
      <c r="O1989" s="370"/>
      <c r="T1989" s="340"/>
      <c r="V1989" s="378"/>
      <c r="W1989" s="64" ph="1"/>
      <c r="X1989" s="241"/>
      <c r="Y1989" s="284"/>
      <c r="Z1989" s="207"/>
      <c r="AA1989" s="284"/>
      <c r="AB1989" s="284"/>
      <c r="AC1989" s="284"/>
      <c r="AD1989" s="284"/>
      <c r="AE1989" s="284"/>
      <c r="AF1989" s="284"/>
      <c r="AG1989" s="284"/>
    </row>
    <row r="1990" spans="1:33" ht="26.4">
      <c r="A1990" s="284"/>
      <c r="B1990" s="284"/>
      <c r="C1990" s="284"/>
      <c r="D1990" s="284"/>
      <c r="E1990" s="284"/>
      <c r="F1990" s="284"/>
      <c r="G1990" s="284"/>
      <c r="H1990" s="284"/>
      <c r="I1990" s="284"/>
      <c r="J1990" s="375"/>
      <c r="K1990" s="375"/>
      <c r="L1990" s="375"/>
      <c r="M1990" s="368"/>
      <c r="N1990" s="368"/>
      <c r="O1990" s="370"/>
      <c r="T1990" s="340"/>
      <c r="V1990" s="378"/>
      <c r="W1990" s="64" ph="1"/>
      <c r="X1990" s="241"/>
      <c r="Y1990" s="284"/>
      <c r="Z1990" s="207"/>
      <c r="AA1990" s="284"/>
      <c r="AB1990" s="284"/>
      <c r="AC1990" s="284"/>
      <c r="AD1990" s="284"/>
      <c r="AE1990" s="284"/>
      <c r="AF1990" s="284"/>
      <c r="AG1990" s="284"/>
    </row>
    <row r="1991" spans="1:33" ht="26.4">
      <c r="A1991" s="284"/>
      <c r="B1991" s="284"/>
      <c r="C1991" s="284"/>
      <c r="D1991" s="284"/>
      <c r="E1991" s="284"/>
      <c r="F1991" s="284"/>
      <c r="G1991" s="284"/>
      <c r="H1991" s="284"/>
      <c r="I1991" s="284"/>
      <c r="J1991" s="375"/>
      <c r="K1991" s="375"/>
      <c r="L1991" s="375"/>
      <c r="M1991" s="368"/>
      <c r="N1991" s="368"/>
      <c r="O1991" s="370"/>
      <c r="T1991" s="340"/>
      <c r="V1991" s="378"/>
      <c r="W1991" s="64" ph="1"/>
      <c r="X1991" s="241"/>
      <c r="Y1991" s="284"/>
      <c r="Z1991" s="207"/>
      <c r="AA1991" s="284"/>
      <c r="AB1991" s="284"/>
      <c r="AC1991" s="284"/>
      <c r="AD1991" s="284"/>
      <c r="AE1991" s="284"/>
      <c r="AF1991" s="284"/>
      <c r="AG1991" s="284"/>
    </row>
    <row r="1992" spans="1:33" ht="26.4">
      <c r="A1992" s="284"/>
      <c r="B1992" s="284"/>
      <c r="C1992" s="284"/>
      <c r="D1992" s="284"/>
      <c r="E1992" s="284"/>
      <c r="F1992" s="284"/>
      <c r="G1992" s="284"/>
      <c r="H1992" s="284"/>
      <c r="I1992" s="284"/>
      <c r="J1992" s="375"/>
      <c r="K1992" s="375"/>
      <c r="L1992" s="375"/>
      <c r="M1992" s="368"/>
      <c r="N1992" s="368"/>
      <c r="O1992" s="370"/>
      <c r="T1992" s="340"/>
      <c r="V1992" s="378"/>
      <c r="W1992" s="64" ph="1"/>
      <c r="X1992" s="241"/>
      <c r="Y1992" s="284"/>
      <c r="Z1992" s="207"/>
      <c r="AA1992" s="284"/>
      <c r="AB1992" s="284"/>
      <c r="AC1992" s="284"/>
      <c r="AD1992" s="284"/>
      <c r="AE1992" s="284"/>
      <c r="AF1992" s="284"/>
      <c r="AG1992" s="284"/>
    </row>
    <row r="1993" spans="1:33" ht="26.4">
      <c r="A1993" s="284"/>
      <c r="B1993" s="284"/>
      <c r="C1993" s="284"/>
      <c r="D1993" s="284"/>
      <c r="E1993" s="284"/>
      <c r="F1993" s="284"/>
      <c r="G1993" s="284"/>
      <c r="H1993" s="284"/>
      <c r="I1993" s="284"/>
      <c r="J1993" s="375"/>
      <c r="K1993" s="375"/>
      <c r="L1993" s="375"/>
      <c r="M1993" s="368"/>
      <c r="N1993" s="368"/>
      <c r="O1993" s="370"/>
      <c r="T1993" s="340"/>
      <c r="V1993" s="378"/>
      <c r="W1993" s="64" ph="1"/>
      <c r="X1993" s="241"/>
      <c r="Y1993" s="284"/>
      <c r="Z1993" s="207"/>
      <c r="AA1993" s="284"/>
      <c r="AB1993" s="284"/>
      <c r="AC1993" s="284"/>
      <c r="AD1993" s="284"/>
      <c r="AE1993" s="284"/>
      <c r="AF1993" s="284"/>
      <c r="AG1993" s="284"/>
    </row>
    <row r="1994" spans="1:33" ht="26.4">
      <c r="A1994" s="284"/>
      <c r="B1994" s="284"/>
      <c r="C1994" s="284"/>
      <c r="D1994" s="284"/>
      <c r="E1994" s="284"/>
      <c r="F1994" s="284"/>
      <c r="G1994" s="284"/>
      <c r="H1994" s="284"/>
      <c r="I1994" s="284"/>
      <c r="J1994" s="375"/>
      <c r="K1994" s="375"/>
      <c r="L1994" s="375"/>
      <c r="M1994" s="368"/>
      <c r="N1994" s="368"/>
      <c r="O1994" s="370"/>
      <c r="T1994" s="340"/>
      <c r="V1994" s="378"/>
      <c r="W1994" s="64" ph="1"/>
      <c r="X1994" s="241"/>
      <c r="Y1994" s="284"/>
      <c r="Z1994" s="207"/>
      <c r="AA1994" s="284"/>
      <c r="AB1994" s="284"/>
      <c r="AC1994" s="284"/>
      <c r="AD1994" s="284"/>
      <c r="AE1994" s="284"/>
      <c r="AF1994" s="284"/>
      <c r="AG1994" s="284"/>
    </row>
    <row r="1995" spans="1:33" ht="26.4">
      <c r="A1995" s="284"/>
      <c r="B1995" s="284"/>
      <c r="C1995" s="284"/>
      <c r="D1995" s="284"/>
      <c r="E1995" s="284"/>
      <c r="F1995" s="284"/>
      <c r="G1995" s="284"/>
      <c r="H1995" s="284"/>
      <c r="I1995" s="284"/>
      <c r="J1995" s="375"/>
      <c r="K1995" s="375"/>
      <c r="L1995" s="375"/>
      <c r="M1995" s="368"/>
      <c r="N1995" s="368"/>
      <c r="O1995" s="370"/>
      <c r="T1995" s="340"/>
      <c r="V1995" s="378"/>
      <c r="W1995" s="64" ph="1"/>
      <c r="X1995" s="241"/>
      <c r="Y1995" s="284"/>
      <c r="Z1995" s="207"/>
      <c r="AA1995" s="284"/>
      <c r="AB1995" s="284"/>
      <c r="AC1995" s="284"/>
      <c r="AD1995" s="284"/>
      <c r="AE1995" s="284"/>
      <c r="AF1995" s="284"/>
      <c r="AG1995" s="284"/>
    </row>
    <row r="1996" spans="1:33" ht="26.4">
      <c r="A1996" s="284"/>
      <c r="B1996" s="284"/>
      <c r="C1996" s="284"/>
      <c r="D1996" s="284"/>
      <c r="E1996" s="284"/>
      <c r="F1996" s="284"/>
      <c r="G1996" s="284"/>
      <c r="H1996" s="284"/>
      <c r="I1996" s="284"/>
      <c r="J1996" s="375"/>
      <c r="K1996" s="375"/>
      <c r="L1996" s="375"/>
      <c r="M1996" s="368"/>
      <c r="N1996" s="368"/>
      <c r="O1996" s="370"/>
      <c r="T1996" s="340"/>
      <c r="V1996" s="378"/>
      <c r="W1996" s="64" ph="1"/>
      <c r="X1996" s="241"/>
      <c r="Y1996" s="284"/>
      <c r="Z1996" s="207"/>
      <c r="AA1996" s="284"/>
      <c r="AB1996" s="284"/>
      <c r="AC1996" s="284"/>
      <c r="AD1996" s="284"/>
      <c r="AE1996" s="284"/>
      <c r="AF1996" s="284"/>
      <c r="AG1996" s="284"/>
    </row>
    <row r="1997" spans="1:33" ht="26.4">
      <c r="A1997" s="284"/>
      <c r="B1997" s="284"/>
      <c r="C1997" s="284"/>
      <c r="D1997" s="284"/>
      <c r="E1997" s="284"/>
      <c r="F1997" s="284"/>
      <c r="G1997" s="284"/>
      <c r="H1997" s="284"/>
      <c r="I1997" s="284"/>
      <c r="J1997" s="375"/>
      <c r="K1997" s="375"/>
      <c r="L1997" s="375"/>
      <c r="M1997" s="368"/>
      <c r="N1997" s="368"/>
      <c r="O1997" s="370"/>
      <c r="T1997" s="340"/>
      <c r="V1997" s="378"/>
      <c r="W1997" s="64" ph="1"/>
      <c r="X1997" s="241"/>
      <c r="Y1997" s="284"/>
      <c r="Z1997" s="207"/>
      <c r="AA1997" s="284"/>
      <c r="AB1997" s="284"/>
      <c r="AC1997" s="284"/>
      <c r="AD1997" s="284"/>
      <c r="AE1997" s="284"/>
      <c r="AF1997" s="284"/>
      <c r="AG1997" s="284"/>
    </row>
    <row r="1998" spans="1:33" ht="26.4">
      <c r="A1998" s="284"/>
      <c r="B1998" s="284"/>
      <c r="C1998" s="284"/>
      <c r="D1998" s="284"/>
      <c r="E1998" s="284"/>
      <c r="F1998" s="284"/>
      <c r="G1998" s="284"/>
      <c r="H1998" s="284"/>
      <c r="I1998" s="284"/>
      <c r="J1998" s="375"/>
      <c r="K1998" s="375"/>
      <c r="L1998" s="375"/>
      <c r="M1998" s="368"/>
      <c r="N1998" s="368"/>
      <c r="O1998" s="370"/>
      <c r="T1998" s="340"/>
      <c r="V1998" s="378"/>
      <c r="W1998" s="64" ph="1"/>
      <c r="X1998" s="241"/>
      <c r="Y1998" s="284"/>
      <c r="Z1998" s="207"/>
      <c r="AA1998" s="284"/>
      <c r="AB1998" s="284"/>
      <c r="AC1998" s="284"/>
      <c r="AD1998" s="284"/>
      <c r="AE1998" s="284"/>
      <c r="AF1998" s="284"/>
      <c r="AG1998" s="284"/>
    </row>
    <row r="1999" spans="1:33" ht="26.4">
      <c r="A1999" s="284"/>
      <c r="B1999" s="284"/>
      <c r="C1999" s="284"/>
      <c r="D1999" s="284"/>
      <c r="E1999" s="284"/>
      <c r="F1999" s="284"/>
      <c r="G1999" s="284"/>
      <c r="H1999" s="284"/>
      <c r="I1999" s="284"/>
      <c r="J1999" s="375"/>
      <c r="K1999" s="375"/>
      <c r="L1999" s="375"/>
      <c r="M1999" s="368"/>
      <c r="N1999" s="368"/>
      <c r="O1999" s="370"/>
      <c r="T1999" s="340"/>
      <c r="V1999" s="378"/>
      <c r="W1999" s="64" ph="1"/>
      <c r="X1999" s="241"/>
      <c r="Y1999" s="284"/>
      <c r="Z1999" s="207"/>
      <c r="AA1999" s="284"/>
      <c r="AB1999" s="284"/>
      <c r="AC1999" s="284"/>
      <c r="AD1999" s="284"/>
      <c r="AE1999" s="284"/>
      <c r="AF1999" s="284"/>
      <c r="AG1999" s="284"/>
    </row>
    <row r="2000" spans="1:33" ht="26.4">
      <c r="A2000" s="284"/>
      <c r="B2000" s="284"/>
      <c r="C2000" s="284"/>
      <c r="D2000" s="284"/>
      <c r="E2000" s="284"/>
      <c r="F2000" s="284"/>
      <c r="G2000" s="284"/>
      <c r="H2000" s="284"/>
      <c r="I2000" s="284"/>
      <c r="J2000" s="375"/>
      <c r="K2000" s="375"/>
      <c r="L2000" s="375"/>
      <c r="M2000" s="368"/>
      <c r="N2000" s="368"/>
      <c r="O2000" s="370"/>
      <c r="T2000" s="340"/>
      <c r="V2000" s="378"/>
      <c r="W2000" s="64" ph="1"/>
      <c r="X2000" s="241"/>
      <c r="Y2000" s="284"/>
      <c r="Z2000" s="207"/>
      <c r="AA2000" s="284"/>
      <c r="AB2000" s="284"/>
      <c r="AC2000" s="284"/>
      <c r="AD2000" s="284"/>
      <c r="AE2000" s="284"/>
      <c r="AF2000" s="284"/>
      <c r="AG2000" s="284"/>
    </row>
    <row r="2001" spans="1:33" ht="26.4">
      <c r="A2001" s="284"/>
      <c r="B2001" s="284"/>
      <c r="C2001" s="284"/>
      <c r="D2001" s="284"/>
      <c r="E2001" s="284"/>
      <c r="F2001" s="284"/>
      <c r="G2001" s="284"/>
      <c r="H2001" s="284"/>
      <c r="I2001" s="284"/>
      <c r="J2001" s="375"/>
      <c r="K2001" s="375"/>
      <c r="L2001" s="375"/>
      <c r="M2001" s="368"/>
      <c r="N2001" s="368"/>
      <c r="O2001" s="370"/>
      <c r="T2001" s="340"/>
      <c r="V2001" s="378"/>
      <c r="W2001" s="64" ph="1"/>
      <c r="X2001" s="241"/>
      <c r="Y2001" s="284"/>
      <c r="Z2001" s="207"/>
      <c r="AA2001" s="284"/>
      <c r="AB2001" s="284"/>
      <c r="AC2001" s="284"/>
      <c r="AD2001" s="284"/>
      <c r="AE2001" s="284"/>
      <c r="AF2001" s="284"/>
      <c r="AG2001" s="284"/>
    </row>
    <row r="2002" spans="1:33" ht="26.4">
      <c r="A2002" s="284"/>
      <c r="B2002" s="284"/>
      <c r="C2002" s="284"/>
      <c r="D2002" s="284"/>
      <c r="E2002" s="284"/>
      <c r="F2002" s="284"/>
      <c r="G2002" s="284"/>
      <c r="H2002" s="284"/>
      <c r="I2002" s="284"/>
      <c r="J2002" s="375"/>
      <c r="K2002" s="375"/>
      <c r="L2002" s="375"/>
      <c r="M2002" s="368"/>
      <c r="N2002" s="368"/>
      <c r="O2002" s="370"/>
      <c r="T2002" s="340"/>
      <c r="V2002" s="378"/>
      <c r="W2002" s="64" ph="1"/>
      <c r="X2002" s="241"/>
      <c r="Y2002" s="284"/>
      <c r="Z2002" s="207"/>
      <c r="AA2002" s="284"/>
      <c r="AB2002" s="284"/>
      <c r="AC2002" s="284"/>
      <c r="AD2002" s="284"/>
      <c r="AE2002" s="284"/>
      <c r="AF2002" s="284"/>
      <c r="AG2002" s="284"/>
    </row>
    <row r="2003" spans="1:33" ht="26.4">
      <c r="A2003" s="284"/>
      <c r="B2003" s="284"/>
      <c r="C2003" s="284"/>
      <c r="D2003" s="284"/>
      <c r="E2003" s="284"/>
      <c r="F2003" s="284"/>
      <c r="G2003" s="284"/>
      <c r="H2003" s="284"/>
      <c r="I2003" s="284"/>
      <c r="J2003" s="375"/>
      <c r="K2003" s="375"/>
      <c r="L2003" s="375"/>
      <c r="M2003" s="368"/>
      <c r="N2003" s="368"/>
      <c r="O2003" s="370"/>
      <c r="T2003" s="340"/>
      <c r="V2003" s="378"/>
      <c r="W2003" s="64" ph="1"/>
      <c r="X2003" s="241"/>
      <c r="Y2003" s="284"/>
      <c r="Z2003" s="207"/>
      <c r="AA2003" s="284"/>
      <c r="AB2003" s="284"/>
      <c r="AC2003" s="284"/>
      <c r="AD2003" s="284"/>
      <c r="AE2003" s="284"/>
      <c r="AF2003" s="284"/>
      <c r="AG2003" s="284"/>
    </row>
    <row r="2004" spans="1:33" ht="26.4">
      <c r="A2004" s="284"/>
      <c r="B2004" s="284"/>
      <c r="C2004" s="284"/>
      <c r="D2004" s="284"/>
      <c r="E2004" s="284"/>
      <c r="F2004" s="284"/>
      <c r="G2004" s="284"/>
      <c r="H2004" s="284"/>
      <c r="I2004" s="284"/>
      <c r="J2004" s="375"/>
      <c r="K2004" s="375"/>
      <c r="L2004" s="375"/>
      <c r="M2004" s="368"/>
      <c r="N2004" s="368"/>
      <c r="O2004" s="370"/>
      <c r="T2004" s="340"/>
      <c r="V2004" s="378"/>
      <c r="W2004" s="64" ph="1"/>
      <c r="X2004" s="241"/>
      <c r="Y2004" s="284"/>
      <c r="Z2004" s="207"/>
      <c r="AA2004" s="284"/>
      <c r="AB2004" s="284"/>
      <c r="AC2004" s="284"/>
      <c r="AD2004" s="284"/>
      <c r="AE2004" s="284"/>
      <c r="AF2004" s="284"/>
      <c r="AG2004" s="284"/>
    </row>
    <row r="2005" spans="1:33" ht="26.4">
      <c r="A2005" s="284"/>
      <c r="B2005" s="284"/>
      <c r="C2005" s="284"/>
      <c r="D2005" s="284"/>
      <c r="E2005" s="284"/>
      <c r="F2005" s="284"/>
      <c r="G2005" s="284"/>
      <c r="H2005" s="284"/>
      <c r="I2005" s="284"/>
      <c r="J2005" s="375"/>
      <c r="K2005" s="375"/>
      <c r="L2005" s="375"/>
      <c r="M2005" s="368"/>
      <c r="N2005" s="368"/>
      <c r="O2005" s="370"/>
      <c r="T2005" s="340"/>
      <c r="V2005" s="378"/>
      <c r="W2005" s="64" ph="1"/>
      <c r="X2005" s="241"/>
      <c r="Y2005" s="284"/>
      <c r="Z2005" s="207"/>
      <c r="AA2005" s="284"/>
      <c r="AB2005" s="284"/>
      <c r="AC2005" s="284"/>
      <c r="AD2005" s="284"/>
      <c r="AE2005" s="284"/>
      <c r="AF2005" s="284"/>
      <c r="AG2005" s="284"/>
    </row>
    <row r="2006" spans="1:33" ht="26.4">
      <c r="A2006" s="284"/>
      <c r="B2006" s="284"/>
      <c r="C2006" s="284"/>
      <c r="D2006" s="284"/>
      <c r="E2006" s="284"/>
      <c r="F2006" s="284"/>
      <c r="G2006" s="284"/>
      <c r="H2006" s="284"/>
      <c r="I2006" s="284"/>
      <c r="J2006" s="375"/>
      <c r="K2006" s="375"/>
      <c r="L2006" s="375"/>
      <c r="M2006" s="368"/>
      <c r="N2006" s="368"/>
      <c r="O2006" s="370"/>
      <c r="T2006" s="340"/>
      <c r="V2006" s="378"/>
      <c r="W2006" s="64" ph="1"/>
      <c r="X2006" s="241"/>
      <c r="Y2006" s="284"/>
      <c r="Z2006" s="207"/>
      <c r="AA2006" s="284"/>
      <c r="AB2006" s="284"/>
      <c r="AC2006" s="284"/>
      <c r="AD2006" s="284"/>
      <c r="AE2006" s="284"/>
      <c r="AF2006" s="284"/>
      <c r="AG2006" s="284"/>
    </row>
    <row r="2007" spans="1:33" ht="26.4">
      <c r="A2007" s="284"/>
      <c r="B2007" s="284"/>
      <c r="C2007" s="284"/>
      <c r="D2007" s="284"/>
      <c r="E2007" s="284"/>
      <c r="F2007" s="284"/>
      <c r="G2007" s="284"/>
      <c r="H2007" s="284"/>
      <c r="I2007" s="284"/>
      <c r="J2007" s="375"/>
      <c r="K2007" s="375"/>
      <c r="L2007" s="375"/>
      <c r="M2007" s="368"/>
      <c r="N2007" s="368"/>
      <c r="O2007" s="370"/>
      <c r="T2007" s="340"/>
      <c r="V2007" s="378"/>
      <c r="W2007" s="64" ph="1"/>
      <c r="X2007" s="241"/>
      <c r="Y2007" s="284"/>
      <c r="Z2007" s="207"/>
      <c r="AA2007" s="284"/>
      <c r="AB2007" s="284"/>
      <c r="AC2007" s="284"/>
      <c r="AD2007" s="284"/>
      <c r="AE2007" s="284"/>
      <c r="AF2007" s="284"/>
      <c r="AG2007" s="284"/>
    </row>
    <row r="2008" spans="1:33" ht="26.4">
      <c r="A2008" s="284"/>
      <c r="B2008" s="284"/>
      <c r="C2008" s="284"/>
      <c r="D2008" s="284"/>
      <c r="E2008" s="284"/>
      <c r="F2008" s="284"/>
      <c r="G2008" s="284"/>
      <c r="H2008" s="284"/>
      <c r="I2008" s="284"/>
      <c r="J2008" s="375"/>
      <c r="K2008" s="375"/>
      <c r="L2008" s="375"/>
      <c r="M2008" s="368"/>
      <c r="N2008" s="368"/>
      <c r="O2008" s="370"/>
      <c r="T2008" s="340"/>
      <c r="V2008" s="378"/>
      <c r="W2008" s="64" ph="1"/>
      <c r="X2008" s="241"/>
      <c r="Y2008" s="284"/>
      <c r="Z2008" s="207"/>
      <c r="AA2008" s="284"/>
      <c r="AB2008" s="284"/>
      <c r="AC2008" s="284"/>
      <c r="AD2008" s="284"/>
      <c r="AE2008" s="284"/>
      <c r="AF2008" s="284"/>
      <c r="AG2008" s="284"/>
    </row>
    <row r="2009" spans="1:33" ht="26.4">
      <c r="A2009" s="284"/>
      <c r="B2009" s="284"/>
      <c r="C2009" s="284"/>
      <c r="D2009" s="284"/>
      <c r="E2009" s="284"/>
      <c r="F2009" s="284"/>
      <c r="G2009" s="284"/>
      <c r="H2009" s="284"/>
      <c r="I2009" s="284"/>
      <c r="J2009" s="375"/>
      <c r="K2009" s="375"/>
      <c r="L2009" s="375"/>
      <c r="M2009" s="368"/>
      <c r="N2009" s="368"/>
      <c r="O2009" s="370"/>
      <c r="T2009" s="340"/>
      <c r="V2009" s="378"/>
      <c r="W2009" s="64" ph="1"/>
      <c r="X2009" s="241"/>
      <c r="Y2009" s="284"/>
      <c r="Z2009" s="207"/>
      <c r="AA2009" s="284"/>
      <c r="AB2009" s="284"/>
      <c r="AC2009" s="284"/>
      <c r="AD2009" s="284"/>
      <c r="AE2009" s="284"/>
      <c r="AF2009" s="284"/>
      <c r="AG2009" s="284"/>
    </row>
    <row r="2010" spans="1:33" ht="26.4">
      <c r="A2010" s="284"/>
      <c r="B2010" s="284"/>
      <c r="C2010" s="284"/>
      <c r="D2010" s="284"/>
      <c r="E2010" s="284"/>
      <c r="F2010" s="284"/>
      <c r="G2010" s="284"/>
      <c r="H2010" s="284"/>
      <c r="I2010" s="284"/>
      <c r="J2010" s="375"/>
      <c r="K2010" s="375"/>
      <c r="L2010" s="375"/>
      <c r="M2010" s="368"/>
      <c r="N2010" s="368"/>
      <c r="O2010" s="370"/>
      <c r="T2010" s="340"/>
      <c r="V2010" s="378"/>
      <c r="W2010" s="64" ph="1"/>
      <c r="X2010" s="241"/>
      <c r="Y2010" s="284"/>
      <c r="Z2010" s="207"/>
      <c r="AA2010" s="284"/>
      <c r="AB2010" s="284"/>
      <c r="AC2010" s="284"/>
      <c r="AD2010" s="284"/>
      <c r="AE2010" s="284"/>
      <c r="AF2010" s="284"/>
      <c r="AG2010" s="284"/>
    </row>
    <row r="2011" spans="1:33" ht="26.4">
      <c r="A2011" s="284"/>
      <c r="B2011" s="284"/>
      <c r="C2011" s="284"/>
      <c r="D2011" s="284"/>
      <c r="E2011" s="284"/>
      <c r="F2011" s="284"/>
      <c r="G2011" s="284"/>
      <c r="H2011" s="284"/>
      <c r="I2011" s="284"/>
      <c r="J2011" s="375"/>
      <c r="K2011" s="375"/>
      <c r="L2011" s="375"/>
      <c r="M2011" s="368"/>
      <c r="N2011" s="368"/>
      <c r="O2011" s="370"/>
      <c r="T2011" s="340"/>
      <c r="V2011" s="378"/>
      <c r="W2011" s="64" ph="1"/>
      <c r="X2011" s="241"/>
      <c r="Y2011" s="284"/>
      <c r="Z2011" s="207"/>
      <c r="AA2011" s="284"/>
      <c r="AB2011" s="284"/>
      <c r="AC2011" s="284"/>
      <c r="AD2011" s="284"/>
      <c r="AE2011" s="284"/>
      <c r="AF2011" s="284"/>
      <c r="AG2011" s="284"/>
    </row>
    <row r="2012" spans="1:33" ht="26.4">
      <c r="A2012" s="284"/>
      <c r="B2012" s="284"/>
      <c r="C2012" s="284"/>
      <c r="D2012" s="284"/>
      <c r="E2012" s="284"/>
      <c r="F2012" s="284"/>
      <c r="G2012" s="284"/>
      <c r="H2012" s="284"/>
      <c r="I2012" s="284"/>
      <c r="J2012" s="375"/>
      <c r="K2012" s="375"/>
      <c r="L2012" s="375"/>
      <c r="M2012" s="368"/>
      <c r="N2012" s="368"/>
      <c r="O2012" s="370"/>
      <c r="T2012" s="340"/>
      <c r="V2012" s="378"/>
      <c r="W2012" s="64" ph="1"/>
      <c r="X2012" s="241"/>
      <c r="Y2012" s="284"/>
      <c r="Z2012" s="207"/>
      <c r="AA2012" s="284"/>
      <c r="AB2012" s="284"/>
      <c r="AC2012" s="284"/>
      <c r="AD2012" s="284"/>
      <c r="AE2012" s="284"/>
      <c r="AF2012" s="284"/>
      <c r="AG2012" s="284"/>
    </row>
    <row r="2013" spans="1:33" ht="26.4">
      <c r="A2013" s="284"/>
      <c r="B2013" s="284"/>
      <c r="C2013" s="284"/>
      <c r="D2013" s="284"/>
      <c r="E2013" s="284"/>
      <c r="F2013" s="284"/>
      <c r="G2013" s="284"/>
      <c r="H2013" s="284"/>
      <c r="I2013" s="284"/>
      <c r="J2013" s="375"/>
      <c r="K2013" s="375"/>
      <c r="L2013" s="375"/>
      <c r="M2013" s="368"/>
      <c r="N2013" s="368"/>
      <c r="O2013" s="370"/>
      <c r="T2013" s="340"/>
      <c r="V2013" s="378"/>
      <c r="W2013" s="64" ph="1"/>
      <c r="X2013" s="241"/>
      <c r="Y2013" s="284"/>
      <c r="Z2013" s="207"/>
      <c r="AA2013" s="284"/>
      <c r="AB2013" s="284"/>
      <c r="AC2013" s="284"/>
      <c r="AD2013" s="284"/>
      <c r="AE2013" s="284"/>
      <c r="AF2013" s="284"/>
      <c r="AG2013" s="284"/>
    </row>
    <row r="2014" spans="1:33" ht="26.4">
      <c r="A2014" s="284"/>
      <c r="B2014" s="284"/>
      <c r="C2014" s="284"/>
      <c r="D2014" s="284"/>
      <c r="E2014" s="284"/>
      <c r="F2014" s="284"/>
      <c r="G2014" s="284"/>
      <c r="H2014" s="284"/>
      <c r="I2014" s="284"/>
      <c r="J2014" s="375"/>
      <c r="K2014" s="375"/>
      <c r="L2014" s="375"/>
      <c r="M2014" s="368"/>
      <c r="N2014" s="368"/>
      <c r="O2014" s="370"/>
      <c r="T2014" s="340"/>
      <c r="V2014" s="378"/>
      <c r="W2014" s="64" ph="1"/>
      <c r="X2014" s="241"/>
      <c r="Y2014" s="284"/>
      <c r="Z2014" s="207"/>
      <c r="AA2014" s="284"/>
      <c r="AB2014" s="284"/>
      <c r="AC2014" s="284"/>
      <c r="AD2014" s="284"/>
      <c r="AE2014" s="284"/>
      <c r="AF2014" s="284"/>
      <c r="AG2014" s="284"/>
    </row>
    <row r="2015" spans="1:33" ht="26.4">
      <c r="A2015" s="284"/>
      <c r="B2015" s="284"/>
      <c r="C2015" s="284"/>
      <c r="D2015" s="284"/>
      <c r="E2015" s="284"/>
      <c r="F2015" s="284"/>
      <c r="G2015" s="284"/>
      <c r="H2015" s="284"/>
      <c r="I2015" s="284"/>
      <c r="J2015" s="375"/>
      <c r="K2015" s="375"/>
      <c r="L2015" s="375"/>
      <c r="M2015" s="368"/>
      <c r="N2015" s="368"/>
      <c r="O2015" s="370"/>
      <c r="T2015" s="340"/>
      <c r="V2015" s="378"/>
      <c r="W2015" s="64" ph="1"/>
      <c r="X2015" s="241"/>
      <c r="Y2015" s="284"/>
      <c r="Z2015" s="207"/>
      <c r="AA2015" s="284"/>
      <c r="AB2015" s="284"/>
      <c r="AC2015" s="284"/>
      <c r="AD2015" s="284"/>
      <c r="AE2015" s="284"/>
      <c r="AF2015" s="284"/>
      <c r="AG2015" s="284"/>
    </row>
    <row r="2016" spans="1:33" ht="26.4">
      <c r="A2016" s="284"/>
      <c r="B2016" s="284"/>
      <c r="C2016" s="284"/>
      <c r="D2016" s="284"/>
      <c r="E2016" s="284"/>
      <c r="F2016" s="284"/>
      <c r="G2016" s="284"/>
      <c r="H2016" s="284"/>
      <c r="I2016" s="284"/>
      <c r="J2016" s="375"/>
      <c r="K2016" s="375"/>
      <c r="L2016" s="375"/>
      <c r="M2016" s="368"/>
      <c r="N2016" s="368"/>
      <c r="O2016" s="370"/>
      <c r="T2016" s="340"/>
      <c r="V2016" s="378"/>
      <c r="W2016" s="64" ph="1"/>
      <c r="X2016" s="241"/>
      <c r="Y2016" s="284"/>
      <c r="Z2016" s="207"/>
      <c r="AA2016" s="284"/>
      <c r="AB2016" s="284"/>
      <c r="AC2016" s="284"/>
      <c r="AD2016" s="284"/>
      <c r="AE2016" s="284"/>
      <c r="AF2016" s="284"/>
      <c r="AG2016" s="284"/>
    </row>
    <row r="2017" spans="1:33" ht="26.4">
      <c r="A2017" s="284"/>
      <c r="B2017" s="284"/>
      <c r="C2017" s="284"/>
      <c r="D2017" s="284"/>
      <c r="E2017" s="284"/>
      <c r="F2017" s="284"/>
      <c r="G2017" s="284"/>
      <c r="H2017" s="284"/>
      <c r="I2017" s="284"/>
      <c r="J2017" s="375"/>
      <c r="K2017" s="375"/>
      <c r="L2017" s="375"/>
      <c r="M2017" s="368"/>
      <c r="N2017" s="368"/>
      <c r="O2017" s="370"/>
      <c r="T2017" s="340"/>
      <c r="V2017" s="378"/>
      <c r="W2017" s="64" ph="1"/>
      <c r="X2017" s="241"/>
      <c r="Y2017" s="284"/>
      <c r="Z2017" s="207"/>
      <c r="AA2017" s="284"/>
      <c r="AB2017" s="284"/>
      <c r="AC2017" s="284"/>
      <c r="AD2017" s="284"/>
      <c r="AE2017" s="284"/>
      <c r="AF2017" s="284"/>
      <c r="AG2017" s="284"/>
    </row>
    <row r="2018" spans="1:33" ht="26.4">
      <c r="A2018" s="284"/>
      <c r="B2018" s="284"/>
      <c r="C2018" s="284"/>
      <c r="D2018" s="284"/>
      <c r="E2018" s="284"/>
      <c r="F2018" s="284"/>
      <c r="G2018" s="284"/>
      <c r="H2018" s="284"/>
      <c r="I2018" s="284"/>
      <c r="J2018" s="375"/>
      <c r="K2018" s="375"/>
      <c r="L2018" s="375"/>
      <c r="M2018" s="368"/>
      <c r="N2018" s="368"/>
      <c r="O2018" s="370"/>
      <c r="T2018" s="340"/>
      <c r="V2018" s="378"/>
      <c r="W2018" s="64" ph="1"/>
      <c r="X2018" s="241"/>
      <c r="Y2018" s="284"/>
      <c r="Z2018" s="207"/>
      <c r="AA2018" s="284"/>
      <c r="AB2018" s="284"/>
      <c r="AC2018" s="284"/>
      <c r="AD2018" s="284"/>
      <c r="AE2018" s="284"/>
      <c r="AF2018" s="284"/>
      <c r="AG2018" s="284"/>
    </row>
    <row r="2019" spans="1:33" ht="26.4">
      <c r="A2019" s="284"/>
      <c r="B2019" s="284"/>
      <c r="C2019" s="284"/>
      <c r="D2019" s="284"/>
      <c r="E2019" s="284"/>
      <c r="F2019" s="284"/>
      <c r="G2019" s="284"/>
      <c r="H2019" s="284"/>
      <c r="I2019" s="284"/>
      <c r="J2019" s="375"/>
      <c r="K2019" s="375"/>
      <c r="L2019" s="375"/>
      <c r="M2019" s="368"/>
      <c r="N2019" s="368"/>
      <c r="O2019" s="370"/>
      <c r="T2019" s="340"/>
      <c r="V2019" s="378"/>
      <c r="W2019" s="64" ph="1"/>
      <c r="X2019" s="241"/>
      <c r="Y2019" s="284"/>
      <c r="Z2019" s="207"/>
      <c r="AA2019" s="284"/>
      <c r="AB2019" s="284"/>
      <c r="AC2019" s="284"/>
      <c r="AD2019" s="284"/>
      <c r="AE2019" s="284"/>
      <c r="AF2019" s="284"/>
      <c r="AG2019" s="284"/>
    </row>
    <row r="2020" spans="1:33" ht="26.4">
      <c r="A2020" s="284"/>
      <c r="B2020" s="284"/>
      <c r="C2020" s="284"/>
      <c r="D2020" s="284"/>
      <c r="E2020" s="284"/>
      <c r="F2020" s="284"/>
      <c r="G2020" s="284"/>
      <c r="H2020" s="284"/>
      <c r="I2020" s="284"/>
      <c r="J2020" s="375"/>
      <c r="K2020" s="375"/>
      <c r="L2020" s="375"/>
      <c r="M2020" s="368"/>
      <c r="N2020" s="368"/>
      <c r="O2020" s="370"/>
      <c r="T2020" s="340"/>
      <c r="V2020" s="378"/>
      <c r="W2020" s="64" ph="1"/>
      <c r="X2020" s="241"/>
      <c r="Y2020" s="284"/>
      <c r="Z2020" s="207"/>
      <c r="AA2020" s="284"/>
      <c r="AB2020" s="284"/>
      <c r="AC2020" s="284"/>
      <c r="AD2020" s="284"/>
      <c r="AE2020" s="284"/>
      <c r="AF2020" s="284"/>
      <c r="AG2020" s="284"/>
    </row>
    <row r="2021" spans="1:33" ht="26.4">
      <c r="A2021" s="284"/>
      <c r="B2021" s="284"/>
      <c r="C2021" s="284"/>
      <c r="D2021" s="284"/>
      <c r="E2021" s="284"/>
      <c r="F2021" s="284"/>
      <c r="G2021" s="284"/>
      <c r="H2021" s="284"/>
      <c r="I2021" s="284"/>
      <c r="J2021" s="375"/>
      <c r="K2021" s="375"/>
      <c r="L2021" s="375"/>
      <c r="M2021" s="368"/>
      <c r="N2021" s="368"/>
      <c r="O2021" s="370"/>
      <c r="T2021" s="340"/>
      <c r="V2021" s="378"/>
      <c r="W2021" s="64" ph="1"/>
      <c r="X2021" s="241"/>
      <c r="Y2021" s="284"/>
      <c r="Z2021" s="207"/>
      <c r="AA2021" s="284"/>
      <c r="AB2021" s="284"/>
      <c r="AC2021" s="284"/>
      <c r="AD2021" s="284"/>
      <c r="AE2021" s="284"/>
      <c r="AF2021" s="284"/>
      <c r="AG2021" s="284"/>
    </row>
    <row r="2022" spans="1:33" ht="26.4">
      <c r="A2022" s="284"/>
      <c r="B2022" s="284"/>
      <c r="C2022" s="284"/>
      <c r="D2022" s="284"/>
      <c r="E2022" s="284"/>
      <c r="F2022" s="284"/>
      <c r="G2022" s="284"/>
      <c r="H2022" s="284"/>
      <c r="I2022" s="284"/>
      <c r="J2022" s="375"/>
      <c r="K2022" s="375"/>
      <c r="L2022" s="375"/>
      <c r="M2022" s="368"/>
      <c r="N2022" s="368"/>
      <c r="O2022" s="370"/>
      <c r="T2022" s="340"/>
      <c r="V2022" s="378"/>
      <c r="W2022" s="64" ph="1"/>
      <c r="X2022" s="241"/>
      <c r="Y2022" s="284"/>
      <c r="Z2022" s="207"/>
      <c r="AA2022" s="284"/>
      <c r="AB2022" s="284"/>
      <c r="AC2022" s="284"/>
      <c r="AD2022" s="284"/>
      <c r="AE2022" s="284"/>
      <c r="AF2022" s="284"/>
      <c r="AG2022" s="284"/>
    </row>
    <row r="2023" spans="1:33" ht="26.4">
      <c r="A2023" s="284"/>
      <c r="B2023" s="284"/>
      <c r="C2023" s="284"/>
      <c r="D2023" s="284"/>
      <c r="E2023" s="284"/>
      <c r="F2023" s="284"/>
      <c r="G2023" s="284"/>
      <c r="H2023" s="284"/>
      <c r="I2023" s="284"/>
      <c r="J2023" s="375"/>
      <c r="K2023" s="375"/>
      <c r="L2023" s="375"/>
      <c r="M2023" s="368"/>
      <c r="N2023" s="368"/>
      <c r="O2023" s="370"/>
      <c r="T2023" s="340"/>
      <c r="V2023" s="378"/>
      <c r="W2023" s="64" ph="1"/>
      <c r="X2023" s="241"/>
      <c r="Y2023" s="284"/>
      <c r="Z2023" s="207"/>
      <c r="AA2023" s="284"/>
      <c r="AB2023" s="284"/>
      <c r="AC2023" s="284"/>
      <c r="AD2023" s="284"/>
      <c r="AE2023" s="284"/>
      <c r="AF2023" s="284"/>
      <c r="AG2023" s="284"/>
    </row>
    <row r="2024" spans="1:33" ht="26.4">
      <c r="A2024" s="284"/>
      <c r="B2024" s="284"/>
      <c r="C2024" s="284"/>
      <c r="D2024" s="284"/>
      <c r="E2024" s="284"/>
      <c r="F2024" s="284"/>
      <c r="G2024" s="284"/>
      <c r="H2024" s="284"/>
      <c r="I2024" s="284"/>
      <c r="J2024" s="375"/>
      <c r="K2024" s="375"/>
      <c r="L2024" s="375"/>
      <c r="M2024" s="368"/>
      <c r="N2024" s="368"/>
      <c r="O2024" s="370"/>
      <c r="T2024" s="340"/>
      <c r="V2024" s="378"/>
      <c r="W2024" s="64" ph="1"/>
      <c r="X2024" s="241"/>
      <c r="Y2024" s="284"/>
      <c r="Z2024" s="207"/>
      <c r="AA2024" s="284"/>
      <c r="AB2024" s="284"/>
      <c r="AC2024" s="284"/>
      <c r="AD2024" s="284"/>
      <c r="AE2024" s="284"/>
      <c r="AF2024" s="284"/>
      <c r="AG2024" s="284"/>
    </row>
    <row r="2025" spans="1:33" ht="26.4">
      <c r="A2025" s="284"/>
      <c r="B2025" s="284"/>
      <c r="C2025" s="284"/>
      <c r="D2025" s="284"/>
      <c r="E2025" s="284"/>
      <c r="F2025" s="284"/>
      <c r="G2025" s="284"/>
      <c r="H2025" s="284"/>
      <c r="I2025" s="284"/>
      <c r="J2025" s="375"/>
      <c r="K2025" s="375"/>
      <c r="L2025" s="375"/>
      <c r="M2025" s="368"/>
      <c r="N2025" s="368"/>
      <c r="O2025" s="370"/>
      <c r="T2025" s="340"/>
      <c r="V2025" s="378"/>
      <c r="W2025" s="64" ph="1"/>
      <c r="X2025" s="241"/>
      <c r="Y2025" s="284"/>
      <c r="Z2025" s="207"/>
      <c r="AA2025" s="284"/>
      <c r="AB2025" s="284"/>
      <c r="AC2025" s="284"/>
      <c r="AD2025" s="284"/>
      <c r="AE2025" s="284"/>
      <c r="AF2025" s="284"/>
      <c r="AG2025" s="284"/>
    </row>
    <row r="2026" spans="1:33" ht="26.4">
      <c r="A2026" s="284"/>
      <c r="B2026" s="284"/>
      <c r="C2026" s="284"/>
      <c r="D2026" s="284"/>
      <c r="E2026" s="284"/>
      <c r="F2026" s="284"/>
      <c r="G2026" s="284"/>
      <c r="H2026" s="284"/>
      <c r="I2026" s="284"/>
      <c r="J2026" s="375"/>
      <c r="K2026" s="375"/>
      <c r="L2026" s="375"/>
      <c r="M2026" s="368"/>
      <c r="N2026" s="368"/>
      <c r="O2026" s="370"/>
      <c r="T2026" s="340"/>
      <c r="V2026" s="378"/>
      <c r="W2026" s="64" ph="1"/>
      <c r="X2026" s="241"/>
      <c r="Y2026" s="284"/>
      <c r="Z2026" s="207"/>
      <c r="AA2026" s="284"/>
      <c r="AB2026" s="284"/>
      <c r="AC2026" s="284"/>
      <c r="AD2026" s="284"/>
      <c r="AE2026" s="284"/>
      <c r="AF2026" s="284"/>
      <c r="AG2026" s="284"/>
    </row>
    <row r="2027" spans="1:33" ht="26.4">
      <c r="A2027" s="284"/>
      <c r="B2027" s="284"/>
      <c r="C2027" s="284"/>
      <c r="D2027" s="284"/>
      <c r="E2027" s="284"/>
      <c r="F2027" s="284"/>
      <c r="G2027" s="284"/>
      <c r="H2027" s="284"/>
      <c r="I2027" s="284"/>
      <c r="J2027" s="375"/>
      <c r="K2027" s="375"/>
      <c r="L2027" s="375"/>
      <c r="M2027" s="368"/>
      <c r="N2027" s="368"/>
      <c r="O2027" s="370"/>
      <c r="T2027" s="340"/>
      <c r="V2027" s="378"/>
      <c r="W2027" s="64" ph="1"/>
      <c r="X2027" s="241"/>
      <c r="Y2027" s="284"/>
      <c r="Z2027" s="207"/>
      <c r="AA2027" s="284"/>
      <c r="AB2027" s="284"/>
      <c r="AC2027" s="284"/>
      <c r="AD2027" s="284"/>
      <c r="AE2027" s="284"/>
      <c r="AF2027" s="284"/>
      <c r="AG2027" s="284"/>
    </row>
    <row r="2028" spans="1:33" ht="26.4">
      <c r="A2028" s="284"/>
      <c r="B2028" s="284"/>
      <c r="C2028" s="284"/>
      <c r="D2028" s="284"/>
      <c r="E2028" s="284"/>
      <c r="F2028" s="284"/>
      <c r="G2028" s="284"/>
      <c r="H2028" s="284"/>
      <c r="I2028" s="284"/>
      <c r="J2028" s="375"/>
      <c r="K2028" s="375"/>
      <c r="L2028" s="375"/>
      <c r="M2028" s="368"/>
      <c r="N2028" s="368"/>
      <c r="O2028" s="370"/>
      <c r="T2028" s="340"/>
      <c r="V2028" s="378"/>
      <c r="W2028" s="64" ph="1"/>
      <c r="X2028" s="241"/>
      <c r="Y2028" s="284"/>
      <c r="Z2028" s="207"/>
      <c r="AA2028" s="284"/>
      <c r="AB2028" s="284"/>
      <c r="AC2028" s="284"/>
      <c r="AD2028" s="284"/>
      <c r="AE2028" s="284"/>
      <c r="AF2028" s="284"/>
      <c r="AG2028" s="284"/>
    </row>
    <row r="2029" spans="1:33" ht="26.4">
      <c r="A2029" s="284"/>
      <c r="B2029" s="284"/>
      <c r="C2029" s="284"/>
      <c r="D2029" s="284"/>
      <c r="E2029" s="284"/>
      <c r="F2029" s="284"/>
      <c r="G2029" s="284"/>
      <c r="H2029" s="284"/>
      <c r="I2029" s="284"/>
      <c r="J2029" s="375"/>
      <c r="K2029" s="375"/>
      <c r="L2029" s="375"/>
      <c r="M2029" s="368"/>
      <c r="N2029" s="368"/>
      <c r="O2029" s="370"/>
      <c r="T2029" s="340"/>
      <c r="V2029" s="378"/>
      <c r="W2029" s="64" ph="1"/>
      <c r="X2029" s="241"/>
      <c r="Y2029" s="284"/>
      <c r="Z2029" s="207"/>
      <c r="AA2029" s="284"/>
      <c r="AB2029" s="284"/>
      <c r="AC2029" s="284"/>
      <c r="AD2029" s="284"/>
      <c r="AE2029" s="284"/>
      <c r="AF2029" s="284"/>
      <c r="AG2029" s="284"/>
    </row>
    <row r="2030" spans="1:33" ht="26.4">
      <c r="A2030" s="284"/>
      <c r="B2030" s="284"/>
      <c r="C2030" s="284"/>
      <c r="D2030" s="284"/>
      <c r="E2030" s="284"/>
      <c r="F2030" s="284"/>
      <c r="G2030" s="284"/>
      <c r="H2030" s="284"/>
      <c r="I2030" s="284"/>
      <c r="J2030" s="375"/>
      <c r="K2030" s="375"/>
      <c r="L2030" s="375"/>
      <c r="M2030" s="368"/>
      <c r="N2030" s="368"/>
      <c r="O2030" s="370"/>
      <c r="T2030" s="340"/>
      <c r="V2030" s="378"/>
      <c r="W2030" s="64" ph="1"/>
      <c r="X2030" s="241"/>
      <c r="Y2030" s="284"/>
      <c r="Z2030" s="207"/>
      <c r="AA2030" s="284"/>
      <c r="AB2030" s="284"/>
      <c r="AC2030" s="284"/>
      <c r="AD2030" s="284"/>
      <c r="AE2030" s="284"/>
      <c r="AF2030" s="284"/>
      <c r="AG2030" s="284"/>
    </row>
    <row r="2031" spans="1:33" ht="26.4">
      <c r="A2031" s="284"/>
      <c r="B2031" s="284"/>
      <c r="C2031" s="284"/>
      <c r="D2031" s="284"/>
      <c r="E2031" s="284"/>
      <c r="F2031" s="284"/>
      <c r="G2031" s="284"/>
      <c r="H2031" s="284"/>
      <c r="I2031" s="284"/>
      <c r="J2031" s="375"/>
      <c r="K2031" s="375"/>
      <c r="L2031" s="375"/>
      <c r="M2031" s="368"/>
      <c r="N2031" s="368"/>
      <c r="O2031" s="370"/>
      <c r="T2031" s="340"/>
      <c r="V2031" s="378"/>
      <c r="W2031" s="64" ph="1"/>
      <c r="X2031" s="241"/>
      <c r="Y2031" s="284"/>
      <c r="Z2031" s="207"/>
      <c r="AA2031" s="284"/>
      <c r="AB2031" s="284"/>
      <c r="AC2031" s="284"/>
      <c r="AD2031" s="284"/>
      <c r="AE2031" s="284"/>
      <c r="AF2031" s="284"/>
      <c r="AG2031" s="284"/>
    </row>
    <row r="2032" spans="1:33" ht="26.4">
      <c r="A2032" s="284"/>
      <c r="B2032" s="284"/>
      <c r="C2032" s="284"/>
      <c r="D2032" s="284"/>
      <c r="E2032" s="284"/>
      <c r="F2032" s="284"/>
      <c r="G2032" s="284"/>
      <c r="H2032" s="284"/>
      <c r="I2032" s="284"/>
      <c r="J2032" s="375"/>
      <c r="K2032" s="375"/>
      <c r="L2032" s="375"/>
      <c r="M2032" s="368"/>
      <c r="N2032" s="368"/>
      <c r="O2032" s="370"/>
      <c r="T2032" s="340"/>
      <c r="V2032" s="378"/>
      <c r="W2032" s="64" ph="1"/>
      <c r="X2032" s="241"/>
      <c r="Y2032" s="284"/>
      <c r="Z2032" s="207"/>
      <c r="AA2032" s="284"/>
      <c r="AB2032" s="284"/>
      <c r="AC2032" s="284"/>
      <c r="AD2032" s="284"/>
      <c r="AE2032" s="284"/>
      <c r="AF2032" s="284"/>
      <c r="AG2032" s="284"/>
    </row>
    <row r="2033" spans="1:33" ht="26.4">
      <c r="A2033" s="284"/>
      <c r="B2033" s="284"/>
      <c r="C2033" s="284"/>
      <c r="D2033" s="284"/>
      <c r="E2033" s="284"/>
      <c r="F2033" s="284"/>
      <c r="G2033" s="284"/>
      <c r="H2033" s="284"/>
      <c r="I2033" s="284"/>
      <c r="J2033" s="375"/>
      <c r="K2033" s="375"/>
      <c r="L2033" s="375"/>
      <c r="M2033" s="368"/>
      <c r="N2033" s="368"/>
      <c r="O2033" s="370"/>
      <c r="T2033" s="340"/>
      <c r="V2033" s="378"/>
      <c r="W2033" s="64" ph="1"/>
      <c r="X2033" s="241"/>
      <c r="Y2033" s="284"/>
      <c r="Z2033" s="207"/>
      <c r="AA2033" s="284"/>
      <c r="AB2033" s="284"/>
      <c r="AC2033" s="284"/>
      <c r="AD2033" s="284"/>
      <c r="AE2033" s="284"/>
      <c r="AF2033" s="284"/>
      <c r="AG2033" s="284"/>
    </row>
    <row r="2034" spans="1:33" ht="26.4">
      <c r="A2034" s="284"/>
      <c r="B2034" s="284"/>
      <c r="C2034" s="284"/>
      <c r="D2034" s="284"/>
      <c r="E2034" s="284"/>
      <c r="F2034" s="284"/>
      <c r="G2034" s="284"/>
      <c r="H2034" s="284"/>
      <c r="I2034" s="284"/>
      <c r="J2034" s="375"/>
      <c r="K2034" s="375"/>
      <c r="L2034" s="375"/>
      <c r="M2034" s="368"/>
      <c r="N2034" s="368"/>
      <c r="O2034" s="370"/>
      <c r="T2034" s="340"/>
      <c r="V2034" s="378"/>
      <c r="W2034" s="64" ph="1"/>
      <c r="X2034" s="241"/>
      <c r="Y2034" s="284"/>
      <c r="Z2034" s="207"/>
      <c r="AA2034" s="284"/>
      <c r="AB2034" s="284"/>
      <c r="AC2034" s="284"/>
      <c r="AD2034" s="284"/>
      <c r="AE2034" s="284"/>
      <c r="AF2034" s="284"/>
      <c r="AG2034" s="284"/>
    </row>
    <row r="2035" spans="1:33" ht="26.4">
      <c r="A2035" s="284"/>
      <c r="B2035" s="284"/>
      <c r="C2035" s="284"/>
      <c r="D2035" s="284"/>
      <c r="E2035" s="284"/>
      <c r="F2035" s="284"/>
      <c r="G2035" s="284"/>
      <c r="H2035" s="284"/>
      <c r="I2035" s="284"/>
      <c r="J2035" s="375"/>
      <c r="K2035" s="375"/>
      <c r="L2035" s="375"/>
      <c r="M2035" s="368"/>
      <c r="N2035" s="368"/>
      <c r="O2035" s="370"/>
      <c r="T2035" s="340"/>
      <c r="V2035" s="378"/>
      <c r="W2035" s="64" ph="1"/>
      <c r="X2035" s="241"/>
      <c r="Y2035" s="284"/>
      <c r="Z2035" s="207"/>
      <c r="AA2035" s="284"/>
      <c r="AB2035" s="284"/>
      <c r="AC2035" s="284"/>
      <c r="AD2035" s="284"/>
      <c r="AE2035" s="284"/>
      <c r="AF2035" s="284"/>
      <c r="AG2035" s="284"/>
    </row>
    <row r="2036" spans="1:33" ht="26.4">
      <c r="A2036" s="284"/>
      <c r="B2036" s="284"/>
      <c r="C2036" s="284"/>
      <c r="D2036" s="284"/>
      <c r="E2036" s="284"/>
      <c r="F2036" s="284"/>
      <c r="G2036" s="284"/>
      <c r="H2036" s="284"/>
      <c r="I2036" s="284"/>
      <c r="J2036" s="375"/>
      <c r="K2036" s="375"/>
      <c r="L2036" s="375"/>
      <c r="M2036" s="368"/>
      <c r="N2036" s="368"/>
      <c r="O2036" s="370"/>
      <c r="T2036" s="340"/>
      <c r="V2036" s="378"/>
      <c r="W2036" s="64" ph="1"/>
      <c r="X2036" s="241"/>
      <c r="Y2036" s="284"/>
      <c r="Z2036" s="207"/>
      <c r="AA2036" s="284"/>
      <c r="AB2036" s="284"/>
      <c r="AC2036" s="284"/>
      <c r="AD2036" s="284"/>
      <c r="AE2036" s="284"/>
      <c r="AF2036" s="284"/>
      <c r="AG2036" s="284"/>
    </row>
    <row r="2037" spans="1:33" ht="26.4">
      <c r="A2037" s="284"/>
      <c r="B2037" s="284"/>
      <c r="C2037" s="284"/>
      <c r="D2037" s="284"/>
      <c r="E2037" s="284"/>
      <c r="F2037" s="284"/>
      <c r="G2037" s="284"/>
      <c r="H2037" s="284"/>
      <c r="I2037" s="284"/>
      <c r="J2037" s="375"/>
      <c r="K2037" s="375"/>
      <c r="L2037" s="375"/>
      <c r="M2037" s="368"/>
      <c r="N2037" s="368"/>
      <c r="O2037" s="370"/>
      <c r="T2037" s="340"/>
      <c r="V2037" s="378"/>
      <c r="W2037" s="64" ph="1"/>
      <c r="X2037" s="241"/>
      <c r="Y2037" s="284"/>
      <c r="Z2037" s="207"/>
      <c r="AA2037" s="284"/>
      <c r="AB2037" s="284"/>
      <c r="AC2037" s="284"/>
      <c r="AD2037" s="284"/>
      <c r="AE2037" s="284"/>
      <c r="AF2037" s="284"/>
      <c r="AG2037" s="284"/>
    </row>
    <row r="2038" spans="1:33" ht="26.4">
      <c r="A2038" s="284"/>
      <c r="B2038" s="284"/>
      <c r="C2038" s="284"/>
      <c r="D2038" s="284"/>
      <c r="E2038" s="284"/>
      <c r="F2038" s="284"/>
      <c r="G2038" s="284"/>
      <c r="H2038" s="284"/>
      <c r="I2038" s="284"/>
      <c r="J2038" s="375"/>
      <c r="K2038" s="375"/>
      <c r="L2038" s="375"/>
      <c r="M2038" s="368"/>
      <c r="N2038" s="368"/>
      <c r="O2038" s="370"/>
      <c r="T2038" s="340"/>
      <c r="V2038" s="378"/>
      <c r="W2038" s="64" ph="1"/>
      <c r="X2038" s="241"/>
      <c r="Y2038" s="284"/>
      <c r="Z2038" s="207"/>
      <c r="AA2038" s="284"/>
      <c r="AB2038" s="284"/>
      <c r="AC2038" s="284"/>
      <c r="AD2038" s="284"/>
      <c r="AE2038" s="284"/>
      <c r="AF2038" s="284"/>
      <c r="AG2038" s="284"/>
    </row>
    <row r="2039" spans="1:33" ht="26.4">
      <c r="A2039" s="284"/>
      <c r="B2039" s="284"/>
      <c r="C2039" s="284"/>
      <c r="D2039" s="284"/>
      <c r="E2039" s="284"/>
      <c r="F2039" s="284"/>
      <c r="G2039" s="284"/>
      <c r="H2039" s="284"/>
      <c r="I2039" s="284"/>
      <c r="J2039" s="375"/>
      <c r="K2039" s="375"/>
      <c r="L2039" s="375"/>
      <c r="M2039" s="368"/>
      <c r="N2039" s="368"/>
      <c r="O2039" s="370"/>
      <c r="T2039" s="340"/>
      <c r="V2039" s="378"/>
      <c r="W2039" s="64" ph="1"/>
      <c r="X2039" s="241"/>
      <c r="Y2039" s="284"/>
      <c r="Z2039" s="207"/>
      <c r="AA2039" s="284"/>
      <c r="AB2039" s="284"/>
      <c r="AC2039" s="284"/>
      <c r="AD2039" s="284"/>
      <c r="AE2039" s="284"/>
      <c r="AF2039" s="284"/>
      <c r="AG2039" s="284"/>
    </row>
    <row r="2040" spans="1:33" ht="26.4">
      <c r="A2040" s="284"/>
      <c r="B2040" s="284"/>
      <c r="C2040" s="284"/>
      <c r="D2040" s="284"/>
      <c r="E2040" s="284"/>
      <c r="F2040" s="284"/>
      <c r="G2040" s="284"/>
      <c r="H2040" s="284"/>
      <c r="I2040" s="284"/>
      <c r="J2040" s="375"/>
      <c r="K2040" s="375"/>
      <c r="L2040" s="375"/>
      <c r="M2040" s="368"/>
      <c r="N2040" s="368"/>
      <c r="O2040" s="370"/>
      <c r="T2040" s="340"/>
      <c r="V2040" s="378"/>
      <c r="W2040" s="64" ph="1"/>
      <c r="X2040" s="241"/>
      <c r="Y2040" s="284"/>
      <c r="Z2040" s="207"/>
      <c r="AA2040" s="284"/>
      <c r="AB2040" s="284"/>
      <c r="AC2040" s="284"/>
      <c r="AD2040" s="284"/>
      <c r="AE2040" s="284"/>
      <c r="AF2040" s="284"/>
      <c r="AG2040" s="284"/>
    </row>
    <row r="2041" spans="1:33" ht="26.4">
      <c r="A2041" s="284"/>
      <c r="B2041" s="284"/>
      <c r="C2041" s="284"/>
      <c r="D2041" s="284"/>
      <c r="E2041" s="284"/>
      <c r="F2041" s="284"/>
      <c r="G2041" s="284"/>
      <c r="H2041" s="284"/>
      <c r="I2041" s="284"/>
      <c r="J2041" s="375"/>
      <c r="K2041" s="375"/>
      <c r="L2041" s="375"/>
      <c r="M2041" s="368"/>
      <c r="N2041" s="368"/>
      <c r="O2041" s="370"/>
      <c r="T2041" s="340"/>
      <c r="V2041" s="378"/>
      <c r="W2041" s="64" ph="1"/>
      <c r="X2041" s="241"/>
      <c r="Y2041" s="284"/>
      <c r="Z2041" s="207"/>
      <c r="AA2041" s="284"/>
      <c r="AB2041" s="284"/>
      <c r="AC2041" s="284"/>
      <c r="AD2041" s="284"/>
      <c r="AE2041" s="284"/>
      <c r="AF2041" s="284"/>
      <c r="AG2041" s="284"/>
    </row>
    <row r="2042" spans="1:33" ht="26.4">
      <c r="A2042" s="284"/>
      <c r="B2042" s="284"/>
      <c r="C2042" s="284"/>
      <c r="D2042" s="284"/>
      <c r="E2042" s="284"/>
      <c r="F2042" s="284"/>
      <c r="G2042" s="284"/>
      <c r="H2042" s="284"/>
      <c r="I2042" s="284"/>
      <c r="J2042" s="375"/>
      <c r="K2042" s="375"/>
      <c r="L2042" s="375"/>
      <c r="M2042" s="368"/>
      <c r="N2042" s="368"/>
      <c r="O2042" s="370"/>
      <c r="T2042" s="340"/>
      <c r="V2042" s="378"/>
      <c r="W2042" s="64" ph="1"/>
      <c r="X2042" s="241"/>
      <c r="Y2042" s="284"/>
      <c r="Z2042" s="207"/>
      <c r="AA2042" s="284"/>
      <c r="AB2042" s="284"/>
      <c r="AC2042" s="284"/>
      <c r="AD2042" s="284"/>
      <c r="AE2042" s="284"/>
      <c r="AF2042" s="284"/>
      <c r="AG2042" s="284"/>
    </row>
    <row r="2043" spans="1:33" ht="26.4">
      <c r="A2043" s="284"/>
      <c r="B2043" s="284"/>
      <c r="C2043" s="284"/>
      <c r="D2043" s="284"/>
      <c r="E2043" s="284"/>
      <c r="F2043" s="284"/>
      <c r="G2043" s="284"/>
      <c r="H2043" s="284"/>
      <c r="I2043" s="284"/>
      <c r="J2043" s="375"/>
      <c r="K2043" s="375"/>
      <c r="L2043" s="375"/>
      <c r="M2043" s="368"/>
      <c r="N2043" s="368"/>
      <c r="O2043" s="370"/>
      <c r="T2043" s="340"/>
      <c r="V2043" s="378"/>
      <c r="W2043" s="64" ph="1"/>
      <c r="X2043" s="241"/>
      <c r="Y2043" s="284"/>
      <c r="Z2043" s="207"/>
      <c r="AA2043" s="284"/>
      <c r="AB2043" s="284"/>
      <c r="AC2043" s="284"/>
      <c r="AD2043" s="284"/>
      <c r="AE2043" s="284"/>
      <c r="AF2043" s="284"/>
      <c r="AG2043" s="284"/>
    </row>
    <row r="2044" spans="1:33" ht="26.4">
      <c r="A2044" s="284"/>
      <c r="B2044" s="284"/>
      <c r="C2044" s="284"/>
      <c r="D2044" s="284"/>
      <c r="E2044" s="284"/>
      <c r="F2044" s="284"/>
      <c r="G2044" s="284"/>
      <c r="H2044" s="284"/>
      <c r="I2044" s="284"/>
      <c r="J2044" s="375"/>
      <c r="K2044" s="375"/>
      <c r="L2044" s="375"/>
      <c r="M2044" s="368"/>
      <c r="N2044" s="368"/>
      <c r="O2044" s="370"/>
      <c r="T2044" s="340"/>
      <c r="V2044" s="378"/>
      <c r="W2044" s="64" ph="1"/>
      <c r="X2044" s="241"/>
      <c r="Y2044" s="284"/>
      <c r="Z2044" s="207"/>
      <c r="AA2044" s="284"/>
      <c r="AB2044" s="284"/>
      <c r="AC2044" s="284"/>
      <c r="AD2044" s="284"/>
      <c r="AE2044" s="284"/>
      <c r="AF2044" s="284"/>
      <c r="AG2044" s="284"/>
    </row>
    <row r="2045" spans="1:33" ht="26.4">
      <c r="A2045" s="284"/>
      <c r="B2045" s="284"/>
      <c r="C2045" s="284"/>
      <c r="D2045" s="284"/>
      <c r="E2045" s="284"/>
      <c r="F2045" s="284"/>
      <c r="G2045" s="284"/>
      <c r="H2045" s="284"/>
      <c r="I2045" s="284"/>
      <c r="J2045" s="375"/>
      <c r="K2045" s="375"/>
      <c r="L2045" s="375"/>
      <c r="M2045" s="368"/>
      <c r="N2045" s="368"/>
      <c r="O2045" s="370"/>
      <c r="T2045" s="340"/>
      <c r="V2045" s="378"/>
      <c r="W2045" s="64" ph="1"/>
      <c r="X2045" s="241"/>
      <c r="Y2045" s="284"/>
      <c r="Z2045" s="207"/>
      <c r="AA2045" s="284"/>
      <c r="AB2045" s="284"/>
      <c r="AC2045" s="284"/>
      <c r="AD2045" s="284"/>
      <c r="AE2045" s="284"/>
      <c r="AF2045" s="284"/>
      <c r="AG2045" s="284"/>
    </row>
    <row r="2046" spans="1:33" ht="26.4">
      <c r="A2046" s="284"/>
      <c r="B2046" s="284"/>
      <c r="C2046" s="284"/>
      <c r="D2046" s="284"/>
      <c r="E2046" s="284"/>
      <c r="F2046" s="284"/>
      <c r="G2046" s="284"/>
      <c r="H2046" s="284"/>
      <c r="I2046" s="284"/>
      <c r="J2046" s="375"/>
      <c r="K2046" s="375"/>
      <c r="L2046" s="375"/>
      <c r="M2046" s="368"/>
      <c r="N2046" s="368"/>
      <c r="O2046" s="370"/>
      <c r="T2046" s="340"/>
      <c r="V2046" s="378"/>
      <c r="W2046" s="64" ph="1"/>
      <c r="X2046" s="241"/>
      <c r="Y2046" s="284"/>
      <c r="Z2046" s="207"/>
      <c r="AA2046" s="284"/>
      <c r="AB2046" s="284"/>
      <c r="AC2046" s="284"/>
      <c r="AD2046" s="284"/>
      <c r="AE2046" s="284"/>
      <c r="AF2046" s="284"/>
      <c r="AG2046" s="284"/>
    </row>
    <row r="2047" spans="1:33" ht="26.4">
      <c r="A2047" s="284"/>
      <c r="B2047" s="284"/>
      <c r="C2047" s="284"/>
      <c r="D2047" s="284"/>
      <c r="E2047" s="284"/>
      <c r="F2047" s="284"/>
      <c r="G2047" s="284"/>
      <c r="H2047" s="284"/>
      <c r="I2047" s="284"/>
      <c r="J2047" s="375"/>
      <c r="K2047" s="375"/>
      <c r="L2047" s="375"/>
      <c r="M2047" s="368"/>
      <c r="N2047" s="368"/>
      <c r="O2047" s="370"/>
      <c r="T2047" s="340"/>
      <c r="V2047" s="378"/>
      <c r="W2047" s="64" ph="1"/>
      <c r="X2047" s="241"/>
      <c r="Y2047" s="284"/>
      <c r="Z2047" s="207"/>
      <c r="AA2047" s="284"/>
      <c r="AB2047" s="284"/>
      <c r="AC2047" s="284"/>
      <c r="AD2047" s="284"/>
      <c r="AE2047" s="284"/>
      <c r="AF2047" s="284"/>
      <c r="AG2047" s="284"/>
    </row>
    <row r="2048" spans="1:33" ht="26.4">
      <c r="A2048" s="284"/>
      <c r="B2048" s="284"/>
      <c r="C2048" s="284"/>
      <c r="D2048" s="284"/>
      <c r="E2048" s="284"/>
      <c r="F2048" s="284"/>
      <c r="G2048" s="284"/>
      <c r="H2048" s="284"/>
      <c r="I2048" s="284"/>
      <c r="J2048" s="375"/>
      <c r="K2048" s="375"/>
      <c r="L2048" s="375"/>
      <c r="M2048" s="368"/>
      <c r="N2048" s="368"/>
      <c r="O2048" s="370"/>
      <c r="T2048" s="340"/>
      <c r="V2048" s="378"/>
      <c r="W2048" s="64" ph="1"/>
      <c r="X2048" s="241"/>
      <c r="Y2048" s="284"/>
      <c r="Z2048" s="207"/>
      <c r="AA2048" s="284"/>
      <c r="AB2048" s="284"/>
      <c r="AC2048" s="284"/>
      <c r="AD2048" s="284"/>
      <c r="AE2048" s="284"/>
      <c r="AF2048" s="284"/>
      <c r="AG2048" s="284"/>
    </row>
    <row r="2049" spans="1:33" ht="26.4">
      <c r="A2049" s="284"/>
      <c r="B2049" s="284"/>
      <c r="C2049" s="284"/>
      <c r="D2049" s="284"/>
      <c r="E2049" s="284"/>
      <c r="F2049" s="284"/>
      <c r="G2049" s="284"/>
      <c r="H2049" s="284"/>
      <c r="I2049" s="284"/>
      <c r="J2049" s="375"/>
      <c r="K2049" s="375"/>
      <c r="L2049" s="375"/>
      <c r="M2049" s="368"/>
      <c r="N2049" s="368"/>
      <c r="O2049" s="370"/>
      <c r="T2049" s="340"/>
      <c r="V2049" s="378"/>
      <c r="W2049" s="64" ph="1"/>
      <c r="X2049" s="241"/>
      <c r="Y2049" s="284"/>
      <c r="Z2049" s="207"/>
      <c r="AA2049" s="284"/>
      <c r="AB2049" s="284"/>
      <c r="AC2049" s="284"/>
      <c r="AD2049" s="284"/>
      <c r="AE2049" s="284"/>
      <c r="AF2049" s="284"/>
      <c r="AG2049" s="284"/>
    </row>
    <row r="2050" spans="1:33" ht="26.4">
      <c r="A2050" s="284"/>
      <c r="B2050" s="284"/>
      <c r="C2050" s="284"/>
      <c r="D2050" s="284"/>
      <c r="E2050" s="284"/>
      <c r="F2050" s="284"/>
      <c r="G2050" s="284"/>
      <c r="H2050" s="284"/>
      <c r="I2050" s="284"/>
      <c r="J2050" s="375"/>
      <c r="K2050" s="375"/>
      <c r="L2050" s="375"/>
      <c r="M2050" s="368"/>
      <c r="N2050" s="368"/>
      <c r="O2050" s="370"/>
      <c r="T2050" s="340"/>
      <c r="V2050" s="378"/>
      <c r="W2050" s="64" ph="1"/>
      <c r="X2050" s="241"/>
      <c r="Y2050" s="284"/>
      <c r="Z2050" s="207"/>
      <c r="AA2050" s="284"/>
      <c r="AB2050" s="284"/>
      <c r="AC2050" s="284"/>
      <c r="AD2050" s="284"/>
      <c r="AE2050" s="284"/>
      <c r="AF2050" s="284"/>
      <c r="AG2050" s="284"/>
    </row>
    <row r="2051" spans="1:33" ht="26.4">
      <c r="A2051" s="284"/>
      <c r="B2051" s="284"/>
      <c r="C2051" s="284"/>
      <c r="D2051" s="284"/>
      <c r="E2051" s="284"/>
      <c r="F2051" s="284"/>
      <c r="G2051" s="284"/>
      <c r="H2051" s="284"/>
      <c r="I2051" s="284"/>
      <c r="J2051" s="375"/>
      <c r="K2051" s="375"/>
      <c r="L2051" s="375"/>
      <c r="M2051" s="368"/>
      <c r="N2051" s="368"/>
      <c r="O2051" s="370"/>
      <c r="T2051" s="340"/>
      <c r="V2051" s="378"/>
      <c r="W2051" s="64" ph="1"/>
      <c r="X2051" s="241"/>
      <c r="Y2051" s="284"/>
      <c r="Z2051" s="207"/>
      <c r="AA2051" s="284"/>
      <c r="AB2051" s="284"/>
      <c r="AC2051" s="284"/>
      <c r="AD2051" s="284"/>
      <c r="AE2051" s="284"/>
      <c r="AF2051" s="284"/>
      <c r="AG2051" s="284"/>
    </row>
    <row r="2052" spans="1:33" ht="26.4">
      <c r="A2052" s="284"/>
      <c r="B2052" s="284"/>
      <c r="C2052" s="284"/>
      <c r="D2052" s="284"/>
      <c r="E2052" s="284"/>
      <c r="F2052" s="284"/>
      <c r="G2052" s="284"/>
      <c r="H2052" s="284"/>
      <c r="I2052" s="284"/>
      <c r="J2052" s="375"/>
      <c r="K2052" s="375"/>
      <c r="L2052" s="375"/>
      <c r="M2052" s="368"/>
      <c r="N2052" s="368"/>
      <c r="O2052" s="370"/>
      <c r="T2052" s="340"/>
      <c r="V2052" s="378"/>
      <c r="W2052" s="64" ph="1"/>
      <c r="X2052" s="241"/>
      <c r="Y2052" s="284"/>
      <c r="Z2052" s="207"/>
      <c r="AA2052" s="284"/>
      <c r="AB2052" s="284"/>
      <c r="AC2052" s="284"/>
      <c r="AD2052" s="284"/>
      <c r="AE2052" s="284"/>
      <c r="AF2052" s="284"/>
      <c r="AG2052" s="284"/>
    </row>
    <row r="2053" spans="1:33" ht="26.4">
      <c r="A2053" s="284"/>
      <c r="B2053" s="284"/>
      <c r="C2053" s="284"/>
      <c r="D2053" s="284"/>
      <c r="E2053" s="284"/>
      <c r="F2053" s="284"/>
      <c r="G2053" s="284"/>
      <c r="H2053" s="284"/>
      <c r="I2053" s="284"/>
      <c r="J2053" s="375"/>
      <c r="K2053" s="375"/>
      <c r="L2053" s="375"/>
      <c r="M2053" s="368"/>
      <c r="N2053" s="368"/>
      <c r="O2053" s="370"/>
      <c r="T2053" s="340"/>
      <c r="V2053" s="378"/>
      <c r="W2053" s="64" ph="1"/>
      <c r="X2053" s="241"/>
      <c r="Y2053" s="284"/>
      <c r="Z2053" s="207"/>
      <c r="AA2053" s="284"/>
      <c r="AB2053" s="284"/>
      <c r="AC2053" s="284"/>
      <c r="AD2053" s="284"/>
      <c r="AE2053" s="284"/>
      <c r="AF2053" s="284"/>
      <c r="AG2053" s="284"/>
    </row>
    <row r="2054" spans="1:33" ht="26.4">
      <c r="A2054" s="284"/>
      <c r="B2054" s="284"/>
      <c r="C2054" s="284"/>
      <c r="D2054" s="284"/>
      <c r="E2054" s="284"/>
      <c r="F2054" s="284"/>
      <c r="G2054" s="284"/>
      <c r="H2054" s="284"/>
      <c r="I2054" s="284"/>
      <c r="J2054" s="375"/>
      <c r="K2054" s="375"/>
      <c r="L2054" s="375"/>
      <c r="M2054" s="368"/>
      <c r="N2054" s="368"/>
      <c r="O2054" s="370"/>
      <c r="T2054" s="340"/>
      <c r="V2054" s="378"/>
      <c r="W2054" s="64" ph="1"/>
      <c r="X2054" s="241"/>
      <c r="Y2054" s="284"/>
      <c r="Z2054" s="207"/>
      <c r="AA2054" s="284"/>
      <c r="AB2054" s="284"/>
      <c r="AC2054" s="284"/>
      <c r="AD2054" s="284"/>
      <c r="AE2054" s="284"/>
      <c r="AF2054" s="284"/>
      <c r="AG2054" s="284"/>
    </row>
    <row r="2055" spans="1:33" ht="26.4">
      <c r="A2055" s="284"/>
      <c r="B2055" s="284"/>
      <c r="C2055" s="284"/>
      <c r="D2055" s="284"/>
      <c r="E2055" s="284"/>
      <c r="F2055" s="284"/>
      <c r="G2055" s="284"/>
      <c r="H2055" s="284"/>
      <c r="I2055" s="284"/>
      <c r="J2055" s="375"/>
      <c r="K2055" s="375"/>
      <c r="L2055" s="375"/>
      <c r="M2055" s="368"/>
      <c r="N2055" s="368"/>
      <c r="O2055" s="370"/>
      <c r="T2055" s="340"/>
      <c r="V2055" s="378"/>
      <c r="W2055" s="64" ph="1"/>
      <c r="X2055" s="241"/>
      <c r="Y2055" s="284"/>
      <c r="Z2055" s="207"/>
      <c r="AA2055" s="284"/>
      <c r="AB2055" s="284"/>
      <c r="AC2055" s="284"/>
      <c r="AD2055" s="284"/>
      <c r="AE2055" s="284"/>
      <c r="AF2055" s="284"/>
      <c r="AG2055" s="284"/>
    </row>
    <row r="2056" spans="1:33" ht="26.4">
      <c r="A2056" s="284"/>
      <c r="B2056" s="284"/>
      <c r="C2056" s="284"/>
      <c r="D2056" s="284"/>
      <c r="E2056" s="284"/>
      <c r="F2056" s="284"/>
      <c r="G2056" s="284"/>
      <c r="H2056" s="284"/>
      <c r="I2056" s="284"/>
      <c r="J2056" s="375"/>
      <c r="K2056" s="375"/>
      <c r="L2056" s="375"/>
      <c r="M2056" s="368"/>
      <c r="N2056" s="368"/>
      <c r="O2056" s="370"/>
      <c r="T2056" s="340"/>
      <c r="V2056" s="378"/>
      <c r="W2056" s="64" ph="1"/>
      <c r="X2056" s="241"/>
      <c r="Y2056" s="284"/>
      <c r="Z2056" s="207"/>
      <c r="AA2056" s="284"/>
      <c r="AB2056" s="284"/>
      <c r="AC2056" s="284"/>
      <c r="AD2056" s="284"/>
      <c r="AE2056" s="284"/>
      <c r="AF2056" s="284"/>
      <c r="AG2056" s="284"/>
    </row>
    <row r="2057" spans="1:33" ht="26.4">
      <c r="A2057" s="284"/>
      <c r="B2057" s="284"/>
      <c r="C2057" s="284"/>
      <c r="D2057" s="284"/>
      <c r="E2057" s="284"/>
      <c r="F2057" s="284"/>
      <c r="G2057" s="284"/>
      <c r="H2057" s="284"/>
      <c r="I2057" s="284"/>
      <c r="J2057" s="375"/>
      <c r="K2057" s="375"/>
      <c r="L2057" s="375"/>
      <c r="M2057" s="368"/>
      <c r="N2057" s="368"/>
      <c r="O2057" s="370"/>
      <c r="T2057" s="340"/>
      <c r="V2057" s="378"/>
      <c r="W2057" s="64" ph="1"/>
      <c r="X2057" s="241"/>
      <c r="Y2057" s="284"/>
      <c r="Z2057" s="207"/>
      <c r="AA2057" s="284"/>
      <c r="AB2057" s="284"/>
      <c r="AC2057" s="284"/>
      <c r="AD2057" s="284"/>
      <c r="AE2057" s="284"/>
      <c r="AF2057" s="284"/>
      <c r="AG2057" s="284"/>
    </row>
    <row r="2058" spans="1:33" ht="26.4">
      <c r="A2058" s="284"/>
      <c r="B2058" s="284"/>
      <c r="C2058" s="284"/>
      <c r="D2058" s="284"/>
      <c r="E2058" s="284"/>
      <c r="F2058" s="284"/>
      <c r="G2058" s="284"/>
      <c r="H2058" s="284"/>
      <c r="I2058" s="284"/>
      <c r="J2058" s="375"/>
      <c r="K2058" s="375"/>
      <c r="L2058" s="375"/>
      <c r="M2058" s="368"/>
      <c r="N2058" s="368"/>
      <c r="O2058" s="370"/>
      <c r="T2058" s="340"/>
      <c r="V2058" s="378"/>
      <c r="W2058" s="64" ph="1"/>
      <c r="X2058" s="241"/>
      <c r="Y2058" s="284"/>
      <c r="Z2058" s="207"/>
      <c r="AA2058" s="284"/>
      <c r="AB2058" s="284"/>
      <c r="AC2058" s="284"/>
      <c r="AD2058" s="284"/>
      <c r="AE2058" s="284"/>
      <c r="AF2058" s="284"/>
      <c r="AG2058" s="284"/>
    </row>
    <row r="2059" spans="1:33" ht="26.4">
      <c r="A2059" s="284"/>
      <c r="B2059" s="284"/>
      <c r="C2059" s="284"/>
      <c r="D2059" s="284"/>
      <c r="E2059" s="284"/>
      <c r="F2059" s="284"/>
      <c r="G2059" s="284"/>
      <c r="H2059" s="284"/>
      <c r="I2059" s="284"/>
      <c r="J2059" s="375"/>
      <c r="K2059" s="375"/>
      <c r="L2059" s="375"/>
      <c r="M2059" s="368"/>
      <c r="N2059" s="368"/>
      <c r="O2059" s="370"/>
      <c r="T2059" s="340"/>
      <c r="V2059" s="378"/>
      <c r="W2059" s="64" ph="1"/>
      <c r="X2059" s="241"/>
      <c r="Y2059" s="284"/>
      <c r="Z2059" s="207"/>
      <c r="AA2059" s="284"/>
      <c r="AB2059" s="284"/>
      <c r="AC2059" s="284"/>
      <c r="AD2059" s="284"/>
      <c r="AE2059" s="284"/>
      <c r="AF2059" s="284"/>
      <c r="AG2059" s="284"/>
    </row>
    <row r="2060" spans="1:33" ht="26.4">
      <c r="A2060" s="284"/>
      <c r="B2060" s="284"/>
      <c r="C2060" s="284"/>
      <c r="D2060" s="284"/>
      <c r="E2060" s="284"/>
      <c r="F2060" s="284"/>
      <c r="G2060" s="284"/>
      <c r="H2060" s="284"/>
      <c r="I2060" s="284"/>
      <c r="J2060" s="375"/>
      <c r="K2060" s="375"/>
      <c r="L2060" s="375"/>
      <c r="M2060" s="368"/>
      <c r="N2060" s="368"/>
      <c r="O2060" s="370"/>
      <c r="T2060" s="340"/>
      <c r="V2060" s="378"/>
      <c r="W2060" s="64" ph="1"/>
      <c r="X2060" s="241"/>
      <c r="Y2060" s="284"/>
      <c r="Z2060" s="207"/>
      <c r="AA2060" s="284"/>
      <c r="AB2060" s="284"/>
      <c r="AC2060" s="284"/>
      <c r="AD2060" s="284"/>
      <c r="AE2060" s="284"/>
      <c r="AF2060" s="284"/>
      <c r="AG2060" s="284"/>
    </row>
    <row r="2061" spans="1:33" ht="26.4">
      <c r="A2061" s="284"/>
      <c r="B2061" s="284"/>
      <c r="C2061" s="284"/>
      <c r="D2061" s="284"/>
      <c r="E2061" s="284"/>
      <c r="F2061" s="284"/>
      <c r="G2061" s="284"/>
      <c r="H2061" s="284"/>
      <c r="I2061" s="284"/>
      <c r="J2061" s="375"/>
      <c r="K2061" s="375"/>
      <c r="L2061" s="375"/>
      <c r="M2061" s="368"/>
      <c r="N2061" s="368"/>
      <c r="O2061" s="370"/>
      <c r="T2061" s="340"/>
      <c r="V2061" s="378"/>
      <c r="W2061" s="64" ph="1"/>
      <c r="X2061" s="241"/>
      <c r="Y2061" s="284"/>
      <c r="Z2061" s="207"/>
      <c r="AA2061" s="284"/>
      <c r="AB2061" s="284"/>
      <c r="AC2061" s="284"/>
      <c r="AD2061" s="284"/>
      <c r="AE2061" s="284"/>
      <c r="AF2061" s="284"/>
      <c r="AG2061" s="284"/>
    </row>
    <row r="2062" spans="1:33" ht="26.4">
      <c r="A2062" s="284"/>
      <c r="B2062" s="284"/>
      <c r="C2062" s="284"/>
      <c r="D2062" s="284"/>
      <c r="E2062" s="284"/>
      <c r="F2062" s="284"/>
      <c r="G2062" s="284"/>
      <c r="H2062" s="284"/>
      <c r="I2062" s="284"/>
      <c r="J2062" s="375"/>
      <c r="K2062" s="375"/>
      <c r="L2062" s="375"/>
      <c r="M2062" s="368"/>
      <c r="N2062" s="368"/>
      <c r="O2062" s="370"/>
      <c r="T2062" s="340"/>
      <c r="V2062" s="378"/>
      <c r="W2062" s="64" ph="1"/>
      <c r="X2062" s="241"/>
      <c r="Y2062" s="284"/>
      <c r="Z2062" s="207"/>
      <c r="AA2062" s="284"/>
      <c r="AB2062" s="284"/>
      <c r="AC2062" s="284"/>
      <c r="AD2062" s="284"/>
      <c r="AE2062" s="284"/>
      <c r="AF2062" s="284"/>
      <c r="AG2062" s="284"/>
    </row>
    <row r="2063" spans="1:33" ht="26.4">
      <c r="A2063" s="284"/>
      <c r="B2063" s="284"/>
      <c r="C2063" s="284"/>
      <c r="D2063" s="284"/>
      <c r="E2063" s="284"/>
      <c r="F2063" s="284"/>
      <c r="G2063" s="284"/>
      <c r="H2063" s="284"/>
      <c r="I2063" s="284"/>
      <c r="J2063" s="375"/>
      <c r="K2063" s="375"/>
      <c r="L2063" s="375"/>
      <c r="M2063" s="368"/>
      <c r="N2063" s="368"/>
      <c r="O2063" s="370"/>
      <c r="T2063" s="340"/>
      <c r="V2063" s="378"/>
      <c r="W2063" s="64" ph="1"/>
      <c r="X2063" s="241"/>
      <c r="Y2063" s="284"/>
      <c r="Z2063" s="207"/>
      <c r="AA2063" s="284"/>
      <c r="AB2063" s="284"/>
      <c r="AC2063" s="284"/>
      <c r="AD2063" s="284"/>
      <c r="AE2063" s="284"/>
      <c r="AF2063" s="284"/>
      <c r="AG2063" s="284"/>
    </row>
    <row r="2064" spans="1:33" ht="26.4">
      <c r="A2064" s="284"/>
      <c r="B2064" s="284"/>
      <c r="C2064" s="284"/>
      <c r="D2064" s="284"/>
      <c r="E2064" s="284"/>
      <c r="F2064" s="284"/>
      <c r="G2064" s="284"/>
      <c r="H2064" s="284"/>
      <c r="I2064" s="284"/>
      <c r="J2064" s="375"/>
      <c r="K2064" s="375"/>
      <c r="L2064" s="375"/>
      <c r="M2064" s="368"/>
      <c r="N2064" s="368"/>
      <c r="O2064" s="370"/>
      <c r="T2064" s="340"/>
      <c r="V2064" s="378"/>
      <c r="W2064" s="64" ph="1"/>
      <c r="X2064" s="241"/>
      <c r="Y2064" s="284"/>
      <c r="Z2064" s="207"/>
      <c r="AA2064" s="284"/>
      <c r="AB2064" s="284"/>
      <c r="AC2064" s="284"/>
      <c r="AD2064" s="284"/>
      <c r="AE2064" s="284"/>
      <c r="AF2064" s="284"/>
      <c r="AG2064" s="284"/>
    </row>
    <row r="2065" spans="1:33" ht="26.4">
      <c r="A2065" s="284"/>
      <c r="B2065" s="284"/>
      <c r="C2065" s="284"/>
      <c r="D2065" s="284"/>
      <c r="E2065" s="284"/>
      <c r="F2065" s="284"/>
      <c r="G2065" s="284"/>
      <c r="H2065" s="284"/>
      <c r="I2065" s="284"/>
      <c r="J2065" s="375"/>
      <c r="K2065" s="375"/>
      <c r="L2065" s="375"/>
      <c r="M2065" s="368"/>
      <c r="N2065" s="368"/>
      <c r="O2065" s="370"/>
      <c r="T2065" s="340"/>
      <c r="V2065" s="378"/>
      <c r="W2065" s="64" ph="1"/>
      <c r="X2065" s="241"/>
      <c r="Y2065" s="284"/>
      <c r="Z2065" s="207"/>
      <c r="AA2065" s="284"/>
      <c r="AB2065" s="284"/>
      <c r="AC2065" s="284"/>
      <c r="AD2065" s="284"/>
      <c r="AE2065" s="284"/>
      <c r="AF2065" s="284"/>
      <c r="AG2065" s="284"/>
    </row>
    <row r="2066" spans="1:33" ht="26.4">
      <c r="A2066" s="284"/>
      <c r="B2066" s="284"/>
      <c r="C2066" s="284"/>
      <c r="D2066" s="284"/>
      <c r="E2066" s="284"/>
      <c r="F2066" s="284"/>
      <c r="G2066" s="284"/>
      <c r="H2066" s="284"/>
      <c r="I2066" s="284"/>
      <c r="J2066" s="375"/>
      <c r="K2066" s="375"/>
      <c r="L2066" s="375"/>
      <c r="M2066" s="368"/>
      <c r="N2066" s="368"/>
      <c r="O2066" s="370"/>
      <c r="T2066" s="340"/>
      <c r="V2066" s="378"/>
      <c r="W2066" s="64" ph="1"/>
      <c r="X2066" s="241"/>
      <c r="Y2066" s="284"/>
      <c r="Z2066" s="207"/>
      <c r="AA2066" s="284"/>
      <c r="AB2066" s="284"/>
      <c r="AC2066" s="284"/>
      <c r="AD2066" s="284"/>
      <c r="AE2066" s="284"/>
      <c r="AF2066" s="284"/>
      <c r="AG2066" s="284"/>
    </row>
    <row r="2067" spans="1:33" ht="26.4">
      <c r="A2067" s="284"/>
      <c r="B2067" s="284"/>
      <c r="C2067" s="284"/>
      <c r="D2067" s="284"/>
      <c r="E2067" s="284"/>
      <c r="F2067" s="284"/>
      <c r="G2067" s="284"/>
      <c r="H2067" s="284"/>
      <c r="I2067" s="284"/>
      <c r="J2067" s="375"/>
      <c r="K2067" s="375"/>
      <c r="L2067" s="375"/>
      <c r="M2067" s="368"/>
      <c r="N2067" s="368"/>
      <c r="O2067" s="370"/>
      <c r="T2067" s="340"/>
      <c r="V2067" s="378"/>
      <c r="W2067" s="64" ph="1"/>
      <c r="X2067" s="241"/>
      <c r="Y2067" s="284"/>
      <c r="Z2067" s="207"/>
      <c r="AA2067" s="284"/>
      <c r="AB2067" s="284"/>
      <c r="AC2067" s="284"/>
      <c r="AD2067" s="284"/>
      <c r="AE2067" s="284"/>
      <c r="AF2067" s="284"/>
      <c r="AG2067" s="284"/>
    </row>
    <row r="2068" spans="1:33" ht="26.4">
      <c r="A2068" s="284"/>
      <c r="B2068" s="284"/>
      <c r="C2068" s="284"/>
      <c r="D2068" s="284"/>
      <c r="E2068" s="284"/>
      <c r="F2068" s="284"/>
      <c r="G2068" s="284"/>
      <c r="H2068" s="284"/>
      <c r="I2068" s="284"/>
      <c r="J2068" s="375"/>
      <c r="K2068" s="375"/>
      <c r="L2068" s="375"/>
      <c r="M2068" s="368"/>
      <c r="N2068" s="368"/>
      <c r="O2068" s="370"/>
      <c r="T2068" s="340"/>
      <c r="V2068" s="378"/>
      <c r="W2068" s="64" ph="1"/>
      <c r="X2068" s="241"/>
      <c r="Y2068" s="284"/>
      <c r="Z2068" s="207"/>
      <c r="AA2068" s="284"/>
      <c r="AB2068" s="284"/>
      <c r="AC2068" s="284"/>
      <c r="AD2068" s="284"/>
      <c r="AE2068" s="284"/>
      <c r="AF2068" s="284"/>
      <c r="AG2068" s="284"/>
    </row>
    <row r="2069" spans="1:33" ht="26.4">
      <c r="A2069" s="284"/>
      <c r="B2069" s="284"/>
      <c r="C2069" s="284"/>
      <c r="D2069" s="284"/>
      <c r="E2069" s="284"/>
      <c r="F2069" s="284"/>
      <c r="G2069" s="284"/>
      <c r="H2069" s="284"/>
      <c r="I2069" s="284"/>
      <c r="J2069" s="375"/>
      <c r="K2069" s="375"/>
      <c r="L2069" s="375"/>
      <c r="M2069" s="368"/>
      <c r="N2069" s="368"/>
      <c r="O2069" s="370"/>
      <c r="T2069" s="340"/>
      <c r="V2069" s="378"/>
      <c r="W2069" s="64" ph="1"/>
      <c r="X2069" s="241"/>
      <c r="Y2069" s="284"/>
      <c r="Z2069" s="207"/>
      <c r="AA2069" s="284"/>
      <c r="AB2069" s="284"/>
      <c r="AC2069" s="284"/>
      <c r="AD2069" s="284"/>
      <c r="AE2069" s="284"/>
      <c r="AF2069" s="284"/>
      <c r="AG2069" s="284"/>
    </row>
    <row r="2070" spans="1:33" ht="26.4">
      <c r="A2070" s="284"/>
      <c r="B2070" s="284"/>
      <c r="C2070" s="284"/>
      <c r="D2070" s="284"/>
      <c r="E2070" s="284"/>
      <c r="F2070" s="284"/>
      <c r="G2070" s="284"/>
      <c r="H2070" s="284"/>
      <c r="I2070" s="284"/>
      <c r="J2070" s="375"/>
      <c r="K2070" s="375"/>
      <c r="L2070" s="375"/>
      <c r="M2070" s="368"/>
      <c r="N2070" s="368"/>
      <c r="O2070" s="370"/>
      <c r="T2070" s="340"/>
      <c r="V2070" s="378"/>
      <c r="W2070" s="64" ph="1"/>
      <c r="X2070" s="241"/>
      <c r="Y2070" s="284"/>
      <c r="Z2070" s="207"/>
      <c r="AA2070" s="284"/>
      <c r="AB2070" s="284"/>
      <c r="AC2070" s="284"/>
      <c r="AD2070" s="284"/>
      <c r="AE2070" s="284"/>
      <c r="AF2070" s="284"/>
      <c r="AG2070" s="284"/>
    </row>
    <row r="2071" spans="1:33" ht="26.4">
      <c r="A2071" s="284"/>
      <c r="B2071" s="284"/>
      <c r="C2071" s="284"/>
      <c r="D2071" s="284"/>
      <c r="E2071" s="284"/>
      <c r="F2071" s="284"/>
      <c r="G2071" s="284"/>
      <c r="H2071" s="284"/>
      <c r="I2071" s="284"/>
      <c r="J2071" s="375"/>
      <c r="K2071" s="375"/>
      <c r="L2071" s="375"/>
      <c r="M2071" s="368"/>
      <c r="N2071" s="368"/>
      <c r="O2071" s="370"/>
      <c r="T2071" s="340"/>
      <c r="V2071" s="378"/>
      <c r="W2071" s="64" ph="1"/>
      <c r="X2071" s="241"/>
      <c r="Y2071" s="284"/>
      <c r="Z2071" s="207"/>
      <c r="AA2071" s="284"/>
      <c r="AB2071" s="284"/>
      <c r="AC2071" s="284"/>
      <c r="AD2071" s="284"/>
      <c r="AE2071" s="284"/>
      <c r="AF2071" s="284"/>
      <c r="AG2071" s="284"/>
    </row>
    <row r="2072" spans="1:33" ht="26.4">
      <c r="A2072" s="284"/>
      <c r="B2072" s="284"/>
      <c r="C2072" s="284"/>
      <c r="D2072" s="284"/>
      <c r="E2072" s="284"/>
      <c r="F2072" s="284"/>
      <c r="G2072" s="284"/>
      <c r="H2072" s="284"/>
      <c r="I2072" s="284"/>
      <c r="J2072" s="375"/>
      <c r="K2072" s="375"/>
      <c r="L2072" s="375"/>
      <c r="M2072" s="368"/>
      <c r="N2072" s="368"/>
      <c r="O2072" s="370"/>
      <c r="T2072" s="340"/>
      <c r="V2072" s="378"/>
      <c r="W2072" s="64" ph="1"/>
      <c r="X2072" s="241"/>
      <c r="Y2072" s="284"/>
      <c r="Z2072" s="207"/>
      <c r="AA2072" s="284"/>
      <c r="AB2072" s="284"/>
      <c r="AC2072" s="284"/>
      <c r="AD2072" s="284"/>
      <c r="AE2072" s="284"/>
      <c r="AF2072" s="284"/>
      <c r="AG2072" s="284"/>
    </row>
    <row r="2073" spans="1:33" ht="26.4">
      <c r="A2073" s="284"/>
      <c r="B2073" s="284"/>
      <c r="C2073" s="284"/>
      <c r="D2073" s="284"/>
      <c r="E2073" s="284"/>
      <c r="F2073" s="284"/>
      <c r="G2073" s="284"/>
      <c r="H2073" s="284"/>
      <c r="I2073" s="284"/>
      <c r="J2073" s="375"/>
      <c r="K2073" s="375"/>
      <c r="L2073" s="375"/>
      <c r="M2073" s="368"/>
      <c r="N2073" s="368"/>
      <c r="O2073" s="370"/>
      <c r="T2073" s="340"/>
      <c r="V2073" s="378"/>
      <c r="W2073" s="64" ph="1"/>
      <c r="X2073" s="241"/>
      <c r="Y2073" s="284"/>
      <c r="Z2073" s="207"/>
      <c r="AA2073" s="284"/>
      <c r="AB2073" s="284"/>
      <c r="AC2073" s="284"/>
      <c r="AD2073" s="284"/>
      <c r="AE2073" s="284"/>
      <c r="AF2073" s="284"/>
      <c r="AG2073" s="284"/>
    </row>
    <row r="2074" spans="1:33" ht="26.4">
      <c r="A2074" s="284"/>
      <c r="B2074" s="284"/>
      <c r="C2074" s="284"/>
      <c r="D2074" s="284"/>
      <c r="E2074" s="284"/>
      <c r="F2074" s="284"/>
      <c r="G2074" s="284"/>
      <c r="H2074" s="284"/>
      <c r="I2074" s="284"/>
      <c r="J2074" s="375"/>
      <c r="K2074" s="375"/>
      <c r="L2074" s="375"/>
      <c r="M2074" s="368"/>
      <c r="N2074" s="368"/>
      <c r="O2074" s="370"/>
      <c r="T2074" s="340"/>
      <c r="V2074" s="378"/>
      <c r="W2074" s="64" ph="1"/>
      <c r="X2074" s="241"/>
      <c r="Y2074" s="284"/>
      <c r="Z2074" s="207"/>
      <c r="AA2074" s="284"/>
      <c r="AB2074" s="284"/>
      <c r="AC2074" s="284"/>
      <c r="AD2074" s="284"/>
      <c r="AE2074" s="284"/>
      <c r="AF2074" s="284"/>
      <c r="AG2074" s="284"/>
    </row>
    <row r="2075" spans="1:33" ht="26.4">
      <c r="A2075" s="284"/>
      <c r="B2075" s="284"/>
      <c r="C2075" s="284"/>
      <c r="D2075" s="284"/>
      <c r="E2075" s="284"/>
      <c r="F2075" s="284"/>
      <c r="G2075" s="284"/>
      <c r="H2075" s="284"/>
      <c r="I2075" s="284"/>
      <c r="J2075" s="375"/>
      <c r="K2075" s="375"/>
      <c r="L2075" s="375"/>
      <c r="M2075" s="368"/>
      <c r="N2075" s="368"/>
      <c r="O2075" s="370"/>
      <c r="T2075" s="340"/>
      <c r="V2075" s="378"/>
      <c r="W2075" s="64" ph="1"/>
      <c r="X2075" s="241"/>
      <c r="Y2075" s="284"/>
      <c r="Z2075" s="207"/>
      <c r="AA2075" s="284"/>
      <c r="AB2075" s="284"/>
      <c r="AC2075" s="284"/>
      <c r="AD2075" s="284"/>
      <c r="AE2075" s="284"/>
      <c r="AF2075" s="284"/>
      <c r="AG2075" s="284"/>
    </row>
    <row r="2076" spans="1:33" ht="26.4">
      <c r="A2076" s="284"/>
      <c r="B2076" s="284"/>
      <c r="C2076" s="284"/>
      <c r="D2076" s="284"/>
      <c r="E2076" s="284"/>
      <c r="F2076" s="284"/>
      <c r="G2076" s="284"/>
      <c r="H2076" s="284"/>
      <c r="I2076" s="284"/>
      <c r="J2076" s="375"/>
      <c r="K2076" s="375"/>
      <c r="L2076" s="375"/>
      <c r="M2076" s="368"/>
      <c r="N2076" s="368"/>
      <c r="O2076" s="370"/>
      <c r="T2076" s="340"/>
      <c r="V2076" s="378"/>
      <c r="W2076" s="64" ph="1"/>
      <c r="X2076" s="241"/>
      <c r="Y2076" s="284"/>
      <c r="Z2076" s="207"/>
      <c r="AA2076" s="284"/>
      <c r="AB2076" s="284"/>
      <c r="AC2076" s="284"/>
      <c r="AD2076" s="284"/>
      <c r="AE2076" s="284"/>
      <c r="AF2076" s="284"/>
      <c r="AG2076" s="284"/>
    </row>
    <row r="2077" spans="1:33" ht="26.4">
      <c r="A2077" s="284"/>
      <c r="B2077" s="284"/>
      <c r="C2077" s="284"/>
      <c r="D2077" s="284"/>
      <c r="E2077" s="284"/>
      <c r="F2077" s="284"/>
      <c r="G2077" s="284"/>
      <c r="H2077" s="284"/>
      <c r="I2077" s="284"/>
      <c r="J2077" s="375"/>
      <c r="K2077" s="375"/>
      <c r="L2077" s="375"/>
      <c r="M2077" s="368"/>
      <c r="N2077" s="368"/>
      <c r="O2077" s="370"/>
      <c r="T2077" s="340"/>
      <c r="V2077" s="378"/>
      <c r="W2077" s="64" ph="1"/>
      <c r="X2077" s="241"/>
      <c r="Y2077" s="284"/>
      <c r="Z2077" s="207"/>
      <c r="AA2077" s="284"/>
      <c r="AB2077" s="284"/>
      <c r="AC2077" s="284"/>
      <c r="AD2077" s="284"/>
      <c r="AE2077" s="284"/>
      <c r="AF2077" s="284"/>
      <c r="AG2077" s="284"/>
    </row>
    <row r="2078" spans="1:33" ht="26.4">
      <c r="A2078" s="284"/>
      <c r="B2078" s="284"/>
      <c r="C2078" s="284"/>
      <c r="D2078" s="284"/>
      <c r="E2078" s="284"/>
      <c r="F2078" s="284"/>
      <c r="G2078" s="284"/>
      <c r="H2078" s="284"/>
      <c r="I2078" s="284"/>
      <c r="J2078" s="375"/>
      <c r="K2078" s="375"/>
      <c r="L2078" s="375"/>
      <c r="M2078" s="368"/>
      <c r="N2078" s="368"/>
      <c r="O2078" s="370"/>
      <c r="T2078" s="340"/>
      <c r="V2078" s="378"/>
      <c r="W2078" s="64" ph="1"/>
      <c r="X2078" s="241"/>
      <c r="Y2078" s="284"/>
      <c r="Z2078" s="207"/>
      <c r="AA2078" s="284"/>
      <c r="AB2078" s="284"/>
      <c r="AC2078" s="284"/>
      <c r="AD2078" s="284"/>
      <c r="AE2078" s="284"/>
      <c r="AF2078" s="284"/>
      <c r="AG2078" s="284"/>
    </row>
    <row r="2079" spans="1:33" ht="26.4">
      <c r="A2079" s="284"/>
      <c r="B2079" s="284"/>
      <c r="C2079" s="284"/>
      <c r="D2079" s="284"/>
      <c r="E2079" s="284"/>
      <c r="F2079" s="284"/>
      <c r="G2079" s="284"/>
      <c r="H2079" s="284"/>
      <c r="I2079" s="284"/>
      <c r="J2079" s="375"/>
      <c r="K2079" s="375"/>
      <c r="L2079" s="375"/>
      <c r="M2079" s="368"/>
      <c r="N2079" s="368"/>
      <c r="O2079" s="370"/>
      <c r="T2079" s="340"/>
      <c r="V2079" s="378"/>
      <c r="W2079" s="64" ph="1"/>
      <c r="X2079" s="241"/>
      <c r="Y2079" s="284"/>
      <c r="Z2079" s="207"/>
      <c r="AA2079" s="284"/>
      <c r="AB2079" s="284"/>
      <c r="AC2079" s="284"/>
      <c r="AD2079" s="284"/>
      <c r="AE2079" s="284"/>
      <c r="AF2079" s="284"/>
      <c r="AG2079" s="284"/>
    </row>
    <row r="2080" spans="1:33" ht="26.4">
      <c r="A2080" s="284"/>
      <c r="B2080" s="284"/>
      <c r="C2080" s="284"/>
      <c r="D2080" s="284"/>
      <c r="E2080" s="284"/>
      <c r="F2080" s="284"/>
      <c r="G2080" s="284"/>
      <c r="H2080" s="284"/>
      <c r="I2080" s="284"/>
      <c r="J2080" s="375"/>
      <c r="K2080" s="375"/>
      <c r="L2080" s="375"/>
      <c r="M2080" s="368"/>
      <c r="N2080" s="368"/>
      <c r="O2080" s="370"/>
      <c r="T2080" s="340"/>
      <c r="V2080" s="378"/>
      <c r="W2080" s="64" ph="1"/>
      <c r="X2080" s="241"/>
      <c r="Y2080" s="284"/>
      <c r="Z2080" s="207"/>
      <c r="AA2080" s="284"/>
      <c r="AB2080" s="284"/>
      <c r="AC2080" s="284"/>
      <c r="AD2080" s="284"/>
      <c r="AE2080" s="284"/>
      <c r="AF2080" s="284"/>
      <c r="AG2080" s="284"/>
    </row>
    <row r="2081" spans="1:33" ht="26.4">
      <c r="A2081" s="284"/>
      <c r="B2081" s="284"/>
      <c r="C2081" s="284"/>
      <c r="D2081" s="284"/>
      <c r="E2081" s="284"/>
      <c r="F2081" s="284"/>
      <c r="G2081" s="284"/>
      <c r="H2081" s="284"/>
      <c r="I2081" s="284"/>
      <c r="J2081" s="375"/>
      <c r="K2081" s="375"/>
      <c r="L2081" s="375"/>
      <c r="M2081" s="368"/>
      <c r="N2081" s="368"/>
      <c r="O2081" s="370"/>
      <c r="T2081" s="340"/>
      <c r="V2081" s="378"/>
      <c r="W2081" s="64" ph="1"/>
      <c r="X2081" s="241"/>
      <c r="Y2081" s="284"/>
      <c r="Z2081" s="207"/>
      <c r="AA2081" s="284"/>
      <c r="AB2081" s="284"/>
      <c r="AC2081" s="284"/>
      <c r="AD2081" s="284"/>
      <c r="AE2081" s="284"/>
      <c r="AF2081" s="284"/>
      <c r="AG2081" s="284"/>
    </row>
    <row r="2082" spans="1:33" ht="26.4">
      <c r="A2082" s="284"/>
      <c r="B2082" s="284"/>
      <c r="C2082" s="284"/>
      <c r="D2082" s="284"/>
      <c r="E2082" s="284"/>
      <c r="F2082" s="284"/>
      <c r="G2082" s="284"/>
      <c r="H2082" s="284"/>
      <c r="I2082" s="284"/>
      <c r="J2082" s="375"/>
      <c r="K2082" s="375"/>
      <c r="L2082" s="375"/>
      <c r="M2082" s="368"/>
      <c r="N2082" s="368"/>
      <c r="O2082" s="370"/>
      <c r="T2082" s="340"/>
      <c r="V2082" s="378"/>
      <c r="W2082" s="64" ph="1"/>
      <c r="X2082" s="241"/>
      <c r="Y2082" s="284"/>
      <c r="Z2082" s="207"/>
      <c r="AA2082" s="284"/>
      <c r="AB2082" s="284"/>
      <c r="AC2082" s="284"/>
      <c r="AD2082" s="284"/>
      <c r="AE2082" s="284"/>
      <c r="AF2082" s="284"/>
      <c r="AG2082" s="284"/>
    </row>
    <row r="2083" spans="1:33" ht="26.4">
      <c r="A2083" s="284"/>
      <c r="B2083" s="284"/>
      <c r="C2083" s="284"/>
      <c r="D2083" s="284"/>
      <c r="E2083" s="284"/>
      <c r="F2083" s="284"/>
      <c r="G2083" s="284"/>
      <c r="H2083" s="284"/>
      <c r="I2083" s="284"/>
      <c r="J2083" s="375"/>
      <c r="K2083" s="375"/>
      <c r="L2083" s="375"/>
      <c r="M2083" s="368"/>
      <c r="N2083" s="368"/>
      <c r="O2083" s="370"/>
      <c r="T2083" s="340"/>
      <c r="V2083" s="378"/>
      <c r="W2083" s="64" ph="1"/>
      <c r="X2083" s="241"/>
      <c r="Y2083" s="284"/>
      <c r="Z2083" s="207"/>
      <c r="AA2083" s="284"/>
      <c r="AB2083" s="284"/>
      <c r="AC2083" s="284"/>
      <c r="AD2083" s="284"/>
      <c r="AE2083" s="284"/>
      <c r="AF2083" s="284"/>
      <c r="AG2083" s="284"/>
    </row>
    <row r="2084" spans="1:33" ht="26.4">
      <c r="A2084" s="284"/>
      <c r="B2084" s="284"/>
      <c r="C2084" s="284"/>
      <c r="D2084" s="284"/>
      <c r="E2084" s="284"/>
      <c r="F2084" s="284"/>
      <c r="G2084" s="284"/>
      <c r="H2084" s="284"/>
      <c r="I2084" s="284"/>
      <c r="J2084" s="375"/>
      <c r="K2084" s="375"/>
      <c r="L2084" s="375"/>
      <c r="M2084" s="368"/>
      <c r="N2084" s="368"/>
      <c r="O2084" s="370"/>
      <c r="T2084" s="340"/>
      <c r="V2084" s="378"/>
      <c r="W2084" s="64" ph="1"/>
      <c r="X2084" s="241"/>
      <c r="Y2084" s="284"/>
      <c r="Z2084" s="207"/>
      <c r="AA2084" s="284"/>
      <c r="AB2084" s="284"/>
      <c r="AC2084" s="284"/>
      <c r="AD2084" s="284"/>
      <c r="AE2084" s="284"/>
      <c r="AF2084" s="284"/>
      <c r="AG2084" s="284"/>
    </row>
    <row r="2085" spans="1:33" ht="26.4">
      <c r="A2085" s="284"/>
      <c r="B2085" s="284"/>
      <c r="C2085" s="284"/>
      <c r="D2085" s="284"/>
      <c r="E2085" s="284"/>
      <c r="F2085" s="284"/>
      <c r="G2085" s="284"/>
      <c r="H2085" s="284"/>
      <c r="I2085" s="284"/>
      <c r="J2085" s="375"/>
      <c r="K2085" s="375"/>
      <c r="L2085" s="375"/>
      <c r="M2085" s="368"/>
      <c r="N2085" s="368"/>
      <c r="O2085" s="370"/>
      <c r="T2085" s="340"/>
      <c r="V2085" s="378"/>
      <c r="W2085" s="64" ph="1"/>
      <c r="X2085" s="241"/>
      <c r="Y2085" s="284"/>
      <c r="Z2085" s="207"/>
      <c r="AA2085" s="284"/>
      <c r="AB2085" s="284"/>
      <c r="AC2085" s="284"/>
      <c r="AD2085" s="284"/>
      <c r="AE2085" s="284"/>
      <c r="AF2085" s="284"/>
      <c r="AG2085" s="284"/>
    </row>
    <row r="2086" spans="1:33" ht="26.4">
      <c r="A2086" s="284"/>
      <c r="B2086" s="284"/>
      <c r="C2086" s="284"/>
      <c r="D2086" s="284"/>
      <c r="E2086" s="284"/>
      <c r="F2086" s="284"/>
      <c r="G2086" s="284"/>
      <c r="H2086" s="284"/>
      <c r="I2086" s="284"/>
      <c r="J2086" s="375"/>
      <c r="K2086" s="375"/>
      <c r="L2086" s="375"/>
      <c r="M2086" s="368"/>
      <c r="N2086" s="368"/>
      <c r="O2086" s="370"/>
      <c r="T2086" s="340"/>
      <c r="V2086" s="378"/>
      <c r="W2086" s="64" ph="1"/>
      <c r="X2086" s="241"/>
      <c r="Y2086" s="284"/>
      <c r="Z2086" s="207"/>
      <c r="AA2086" s="284"/>
      <c r="AB2086" s="284"/>
      <c r="AC2086" s="284"/>
      <c r="AD2086" s="284"/>
      <c r="AE2086" s="284"/>
      <c r="AF2086" s="284"/>
      <c r="AG2086" s="284"/>
    </row>
    <row r="2087" spans="1:33" ht="26.4">
      <c r="A2087" s="284"/>
      <c r="B2087" s="284"/>
      <c r="C2087" s="284"/>
      <c r="D2087" s="284"/>
      <c r="E2087" s="284"/>
      <c r="F2087" s="284"/>
      <c r="G2087" s="284"/>
      <c r="H2087" s="284"/>
      <c r="I2087" s="284"/>
      <c r="J2087" s="375"/>
      <c r="K2087" s="375"/>
      <c r="L2087" s="375"/>
      <c r="M2087" s="368"/>
      <c r="N2087" s="368"/>
      <c r="O2087" s="370"/>
      <c r="T2087" s="340"/>
      <c r="V2087" s="378"/>
      <c r="W2087" s="64" ph="1"/>
      <c r="X2087" s="241"/>
      <c r="Y2087" s="284"/>
      <c r="Z2087" s="207"/>
      <c r="AA2087" s="284"/>
      <c r="AB2087" s="284"/>
      <c r="AC2087" s="284"/>
      <c r="AD2087" s="284"/>
      <c r="AE2087" s="284"/>
      <c r="AF2087" s="284"/>
      <c r="AG2087" s="284"/>
    </row>
    <row r="2088" spans="1:33" ht="26.4">
      <c r="A2088" s="284"/>
      <c r="B2088" s="284"/>
      <c r="C2088" s="284"/>
      <c r="D2088" s="284"/>
      <c r="E2088" s="284"/>
      <c r="F2088" s="284"/>
      <c r="G2088" s="284"/>
      <c r="H2088" s="284"/>
      <c r="I2088" s="284"/>
      <c r="J2088" s="375"/>
      <c r="K2088" s="375"/>
      <c r="L2088" s="375"/>
      <c r="M2088" s="368"/>
      <c r="N2088" s="368"/>
      <c r="O2088" s="370"/>
      <c r="T2088" s="340"/>
      <c r="V2088" s="378"/>
      <c r="W2088" s="64" ph="1"/>
      <c r="X2088" s="241"/>
      <c r="Y2088" s="284"/>
      <c r="Z2088" s="207"/>
      <c r="AA2088" s="284"/>
      <c r="AB2088" s="284"/>
      <c r="AC2088" s="284"/>
      <c r="AD2088" s="284"/>
      <c r="AE2088" s="284"/>
      <c r="AF2088" s="284"/>
      <c r="AG2088" s="284"/>
    </row>
    <row r="2089" spans="1:33" ht="26.4">
      <c r="A2089" s="284"/>
      <c r="B2089" s="284"/>
      <c r="C2089" s="284"/>
      <c r="D2089" s="284"/>
      <c r="E2089" s="284"/>
      <c r="F2089" s="284"/>
      <c r="G2089" s="284"/>
      <c r="H2089" s="284"/>
      <c r="I2089" s="284"/>
      <c r="J2089" s="375"/>
      <c r="K2089" s="375"/>
      <c r="L2089" s="375"/>
      <c r="M2089" s="368"/>
      <c r="N2089" s="368"/>
      <c r="O2089" s="370"/>
      <c r="T2089" s="340"/>
      <c r="V2089" s="378"/>
      <c r="W2089" s="64" ph="1"/>
      <c r="X2089" s="241"/>
      <c r="Y2089" s="284"/>
      <c r="Z2089" s="207"/>
      <c r="AA2089" s="284"/>
      <c r="AB2089" s="284"/>
      <c r="AC2089" s="284"/>
      <c r="AD2089" s="284"/>
      <c r="AE2089" s="284"/>
      <c r="AF2089" s="284"/>
      <c r="AG2089" s="284"/>
    </row>
    <row r="2090" spans="1:33" ht="26.4">
      <c r="A2090" s="284"/>
      <c r="B2090" s="284"/>
      <c r="C2090" s="284"/>
      <c r="D2090" s="284"/>
      <c r="E2090" s="284"/>
      <c r="F2090" s="284"/>
      <c r="G2090" s="284"/>
      <c r="H2090" s="284"/>
      <c r="I2090" s="284"/>
      <c r="J2090" s="375"/>
      <c r="K2090" s="375"/>
      <c r="L2090" s="375"/>
      <c r="M2090" s="368"/>
      <c r="N2090" s="368"/>
      <c r="O2090" s="370"/>
      <c r="T2090" s="340"/>
      <c r="V2090" s="378"/>
      <c r="W2090" s="64" ph="1"/>
      <c r="X2090" s="241"/>
      <c r="Y2090" s="284"/>
      <c r="Z2090" s="207"/>
      <c r="AA2090" s="284"/>
      <c r="AB2090" s="284"/>
      <c r="AC2090" s="284"/>
      <c r="AD2090" s="284"/>
      <c r="AE2090" s="284"/>
      <c r="AF2090" s="284"/>
      <c r="AG2090" s="284"/>
    </row>
    <row r="2091" spans="1:33" ht="26.4">
      <c r="A2091" s="284"/>
      <c r="B2091" s="284"/>
      <c r="C2091" s="284"/>
      <c r="D2091" s="284"/>
      <c r="E2091" s="284"/>
      <c r="F2091" s="284"/>
      <c r="G2091" s="284"/>
      <c r="H2091" s="284"/>
      <c r="I2091" s="284"/>
      <c r="J2091" s="375"/>
      <c r="K2091" s="375"/>
      <c r="L2091" s="375"/>
      <c r="M2091" s="368"/>
      <c r="N2091" s="368"/>
      <c r="O2091" s="370"/>
      <c r="T2091" s="340"/>
      <c r="V2091" s="378"/>
      <c r="W2091" s="64" ph="1"/>
      <c r="X2091" s="241"/>
      <c r="Y2091" s="284"/>
      <c r="Z2091" s="207"/>
      <c r="AA2091" s="284"/>
      <c r="AB2091" s="284"/>
      <c r="AC2091" s="284"/>
      <c r="AD2091" s="284"/>
      <c r="AE2091" s="284"/>
      <c r="AF2091" s="284"/>
      <c r="AG2091" s="284"/>
    </row>
    <row r="2092" spans="1:33" ht="26.4">
      <c r="A2092" s="284"/>
      <c r="B2092" s="284"/>
      <c r="C2092" s="284"/>
      <c r="D2092" s="284"/>
      <c r="E2092" s="284"/>
      <c r="F2092" s="284"/>
      <c r="G2092" s="284"/>
      <c r="H2092" s="284"/>
      <c r="I2092" s="284"/>
      <c r="J2092" s="375"/>
      <c r="K2092" s="375"/>
      <c r="L2092" s="375"/>
      <c r="M2092" s="368"/>
      <c r="N2092" s="368"/>
      <c r="O2092" s="370"/>
      <c r="T2092" s="340"/>
      <c r="V2092" s="378"/>
      <c r="W2092" s="64" ph="1"/>
      <c r="X2092" s="241"/>
      <c r="Y2092" s="284"/>
      <c r="Z2092" s="207"/>
      <c r="AA2092" s="284"/>
      <c r="AB2092" s="284"/>
      <c r="AC2092" s="284"/>
      <c r="AD2092" s="284"/>
      <c r="AE2092" s="284"/>
      <c r="AF2092" s="284"/>
      <c r="AG2092" s="284"/>
    </row>
    <row r="2093" spans="1:33" ht="26.4">
      <c r="A2093" s="284"/>
      <c r="B2093" s="284"/>
      <c r="C2093" s="284"/>
      <c r="D2093" s="284"/>
      <c r="E2093" s="284"/>
      <c r="F2093" s="284"/>
      <c r="G2093" s="284"/>
      <c r="H2093" s="284"/>
      <c r="I2093" s="284"/>
      <c r="J2093" s="375"/>
      <c r="K2093" s="375"/>
      <c r="L2093" s="375"/>
      <c r="M2093" s="368"/>
      <c r="N2093" s="368"/>
      <c r="O2093" s="370"/>
      <c r="T2093" s="340"/>
      <c r="V2093" s="378"/>
      <c r="W2093" s="64" ph="1"/>
      <c r="X2093" s="241"/>
      <c r="Y2093" s="284"/>
      <c r="Z2093" s="207"/>
      <c r="AA2093" s="284"/>
      <c r="AB2093" s="284"/>
      <c r="AC2093" s="284"/>
      <c r="AD2093" s="284"/>
      <c r="AE2093" s="284"/>
      <c r="AF2093" s="284"/>
      <c r="AG2093" s="284"/>
    </row>
    <row r="2094" spans="1:33" ht="26.4">
      <c r="A2094" s="284"/>
      <c r="B2094" s="284"/>
      <c r="C2094" s="284"/>
      <c r="D2094" s="284"/>
      <c r="E2094" s="284"/>
      <c r="F2094" s="284"/>
      <c r="G2094" s="284"/>
      <c r="H2094" s="284"/>
      <c r="I2094" s="284"/>
      <c r="J2094" s="375"/>
      <c r="K2094" s="375"/>
      <c r="L2094" s="375"/>
      <c r="M2094" s="368"/>
      <c r="N2094" s="368"/>
      <c r="O2094" s="370"/>
      <c r="T2094" s="340"/>
      <c r="V2094" s="378"/>
      <c r="W2094" s="64" ph="1"/>
      <c r="X2094" s="241"/>
      <c r="Y2094" s="284"/>
      <c r="Z2094" s="207"/>
      <c r="AA2094" s="284"/>
      <c r="AB2094" s="284"/>
      <c r="AC2094" s="284"/>
      <c r="AD2094" s="284"/>
      <c r="AE2094" s="284"/>
      <c r="AF2094" s="284"/>
      <c r="AG2094" s="284"/>
    </row>
    <row r="2095" spans="1:33" ht="26.4">
      <c r="A2095" s="284"/>
      <c r="B2095" s="284"/>
      <c r="C2095" s="284"/>
      <c r="D2095" s="284"/>
      <c r="E2095" s="284"/>
      <c r="F2095" s="284"/>
      <c r="G2095" s="284"/>
      <c r="H2095" s="284"/>
      <c r="I2095" s="284"/>
      <c r="J2095" s="375"/>
      <c r="K2095" s="375"/>
      <c r="L2095" s="375"/>
      <c r="M2095" s="368"/>
      <c r="N2095" s="368"/>
      <c r="O2095" s="370"/>
      <c r="T2095" s="340"/>
      <c r="V2095" s="378"/>
      <c r="W2095" s="64" ph="1"/>
      <c r="X2095" s="241"/>
      <c r="Y2095" s="284"/>
      <c r="Z2095" s="207"/>
      <c r="AA2095" s="284"/>
      <c r="AB2095" s="284"/>
      <c r="AC2095" s="284"/>
      <c r="AD2095" s="284"/>
      <c r="AE2095" s="284"/>
      <c r="AF2095" s="284"/>
      <c r="AG2095" s="284"/>
    </row>
    <row r="2096" spans="1:33" ht="26.4">
      <c r="A2096" s="284"/>
      <c r="B2096" s="284"/>
      <c r="C2096" s="284"/>
      <c r="D2096" s="284"/>
      <c r="E2096" s="284"/>
      <c r="F2096" s="284"/>
      <c r="G2096" s="284"/>
      <c r="H2096" s="284"/>
      <c r="I2096" s="284"/>
      <c r="J2096" s="375"/>
      <c r="K2096" s="375"/>
      <c r="L2096" s="375"/>
      <c r="M2096" s="368"/>
      <c r="N2096" s="368"/>
      <c r="O2096" s="370"/>
      <c r="T2096" s="340"/>
      <c r="V2096" s="378"/>
      <c r="W2096" s="64" ph="1"/>
      <c r="X2096" s="241"/>
      <c r="Y2096" s="284"/>
      <c r="Z2096" s="207"/>
      <c r="AA2096" s="284"/>
      <c r="AB2096" s="284"/>
      <c r="AC2096" s="284"/>
      <c r="AD2096" s="284"/>
      <c r="AE2096" s="284"/>
      <c r="AF2096" s="284"/>
      <c r="AG2096" s="284"/>
    </row>
    <row r="2097" spans="1:33" ht="26.4">
      <c r="A2097" s="284"/>
      <c r="B2097" s="284"/>
      <c r="C2097" s="284"/>
      <c r="D2097" s="284"/>
      <c r="E2097" s="284"/>
      <c r="F2097" s="284"/>
      <c r="G2097" s="284"/>
      <c r="H2097" s="284"/>
      <c r="I2097" s="284"/>
      <c r="J2097" s="375"/>
      <c r="K2097" s="375"/>
      <c r="L2097" s="375"/>
      <c r="M2097" s="368"/>
      <c r="N2097" s="368"/>
      <c r="O2097" s="370"/>
      <c r="T2097" s="340"/>
      <c r="V2097" s="378"/>
      <c r="W2097" s="64" ph="1"/>
      <c r="X2097" s="241"/>
      <c r="Y2097" s="284"/>
      <c r="Z2097" s="207"/>
      <c r="AA2097" s="284"/>
      <c r="AB2097" s="284"/>
      <c r="AC2097" s="284"/>
      <c r="AD2097" s="284"/>
      <c r="AE2097" s="284"/>
      <c r="AF2097" s="284"/>
      <c r="AG2097" s="284"/>
    </row>
    <row r="2098" spans="1:33" ht="26.4">
      <c r="A2098" s="284"/>
      <c r="B2098" s="284"/>
      <c r="C2098" s="284"/>
      <c r="D2098" s="284"/>
      <c r="E2098" s="284"/>
      <c r="F2098" s="284"/>
      <c r="G2098" s="284"/>
      <c r="H2098" s="284"/>
      <c r="I2098" s="284"/>
      <c r="J2098" s="375"/>
      <c r="K2098" s="375"/>
      <c r="L2098" s="375"/>
      <c r="M2098" s="368"/>
      <c r="N2098" s="368"/>
      <c r="O2098" s="370"/>
      <c r="T2098" s="340"/>
      <c r="V2098" s="378"/>
      <c r="W2098" s="64" ph="1"/>
      <c r="X2098" s="241"/>
      <c r="Y2098" s="284"/>
      <c r="Z2098" s="207"/>
      <c r="AA2098" s="284"/>
      <c r="AB2098" s="284"/>
      <c r="AC2098" s="284"/>
      <c r="AD2098" s="284"/>
      <c r="AE2098" s="284"/>
      <c r="AF2098" s="284"/>
      <c r="AG2098" s="284"/>
    </row>
    <row r="2099" spans="1:33" ht="26.4">
      <c r="A2099" s="284"/>
      <c r="B2099" s="284"/>
      <c r="C2099" s="284"/>
      <c r="D2099" s="284"/>
      <c r="E2099" s="284"/>
      <c r="F2099" s="284"/>
      <c r="G2099" s="284"/>
      <c r="H2099" s="284"/>
      <c r="I2099" s="284"/>
      <c r="J2099" s="375"/>
      <c r="K2099" s="375"/>
      <c r="L2099" s="375"/>
      <c r="M2099" s="368"/>
      <c r="N2099" s="368"/>
      <c r="O2099" s="370"/>
      <c r="T2099" s="340"/>
      <c r="V2099" s="378"/>
      <c r="W2099" s="64" ph="1"/>
      <c r="X2099" s="241"/>
      <c r="Y2099" s="284"/>
      <c r="Z2099" s="207"/>
      <c r="AA2099" s="284"/>
      <c r="AB2099" s="284"/>
      <c r="AC2099" s="284"/>
      <c r="AD2099" s="284"/>
      <c r="AE2099" s="284"/>
      <c r="AF2099" s="284"/>
      <c r="AG2099" s="284"/>
    </row>
    <row r="2100" spans="1:33" ht="26.4">
      <c r="A2100" s="284"/>
      <c r="B2100" s="284"/>
      <c r="C2100" s="284"/>
      <c r="D2100" s="284"/>
      <c r="E2100" s="284"/>
      <c r="F2100" s="284"/>
      <c r="G2100" s="284"/>
      <c r="H2100" s="284"/>
      <c r="I2100" s="284"/>
      <c r="J2100" s="375"/>
      <c r="K2100" s="375"/>
      <c r="L2100" s="375"/>
      <c r="M2100" s="368"/>
      <c r="N2100" s="368"/>
      <c r="O2100" s="370"/>
      <c r="T2100" s="340"/>
      <c r="V2100" s="378"/>
      <c r="W2100" s="64" ph="1"/>
      <c r="X2100" s="241"/>
      <c r="Y2100" s="284"/>
      <c r="Z2100" s="207"/>
      <c r="AA2100" s="284"/>
      <c r="AB2100" s="284"/>
      <c r="AC2100" s="284"/>
      <c r="AD2100" s="284"/>
      <c r="AE2100" s="284"/>
      <c r="AF2100" s="284"/>
      <c r="AG2100" s="284"/>
    </row>
    <row r="2101" spans="1:33" ht="26.4">
      <c r="A2101" s="284"/>
      <c r="B2101" s="284"/>
      <c r="C2101" s="284"/>
      <c r="D2101" s="284"/>
      <c r="E2101" s="284"/>
      <c r="F2101" s="284"/>
      <c r="G2101" s="284"/>
      <c r="H2101" s="284"/>
      <c r="I2101" s="284"/>
      <c r="J2101" s="375"/>
      <c r="K2101" s="375"/>
      <c r="L2101" s="375"/>
      <c r="M2101" s="368"/>
      <c r="N2101" s="368"/>
      <c r="O2101" s="370"/>
      <c r="T2101" s="340"/>
      <c r="V2101" s="378"/>
      <c r="W2101" s="64" ph="1"/>
      <c r="X2101" s="241"/>
      <c r="Y2101" s="284"/>
      <c r="Z2101" s="207"/>
      <c r="AA2101" s="284"/>
      <c r="AB2101" s="284"/>
      <c r="AC2101" s="284"/>
      <c r="AD2101" s="284"/>
      <c r="AE2101" s="284"/>
      <c r="AF2101" s="284"/>
      <c r="AG2101" s="284"/>
    </row>
    <row r="2102" spans="1:33" ht="26.4">
      <c r="A2102" s="284"/>
      <c r="B2102" s="284"/>
      <c r="C2102" s="284"/>
      <c r="D2102" s="284"/>
      <c r="E2102" s="284"/>
      <c r="F2102" s="284"/>
      <c r="G2102" s="284"/>
      <c r="H2102" s="284"/>
      <c r="I2102" s="284"/>
      <c r="J2102" s="375"/>
      <c r="K2102" s="375"/>
      <c r="L2102" s="375"/>
      <c r="M2102" s="368"/>
      <c r="N2102" s="368"/>
      <c r="O2102" s="370"/>
      <c r="T2102" s="340"/>
      <c r="V2102" s="378"/>
      <c r="W2102" s="64" ph="1"/>
      <c r="X2102" s="241"/>
      <c r="Y2102" s="284"/>
      <c r="Z2102" s="207"/>
      <c r="AA2102" s="284"/>
      <c r="AB2102" s="284"/>
      <c r="AC2102" s="284"/>
      <c r="AD2102" s="284"/>
      <c r="AE2102" s="284"/>
      <c r="AF2102" s="284"/>
      <c r="AG2102" s="284"/>
    </row>
    <row r="2103" spans="1:33" ht="26.4">
      <c r="A2103" s="284"/>
      <c r="B2103" s="284"/>
      <c r="C2103" s="284"/>
      <c r="D2103" s="284"/>
      <c r="E2103" s="284"/>
      <c r="F2103" s="284"/>
      <c r="G2103" s="284"/>
      <c r="H2103" s="284"/>
      <c r="I2103" s="284"/>
      <c r="J2103" s="375"/>
      <c r="K2103" s="375"/>
      <c r="L2103" s="375"/>
      <c r="M2103" s="368"/>
      <c r="N2103" s="368"/>
      <c r="O2103" s="370"/>
      <c r="T2103" s="340"/>
      <c r="V2103" s="378"/>
      <c r="W2103" s="64" ph="1"/>
      <c r="X2103" s="241"/>
      <c r="Y2103" s="284"/>
      <c r="Z2103" s="207"/>
      <c r="AA2103" s="284"/>
      <c r="AB2103" s="284"/>
      <c r="AC2103" s="284"/>
      <c r="AD2103" s="284"/>
      <c r="AE2103" s="284"/>
      <c r="AF2103" s="284"/>
      <c r="AG2103" s="284"/>
    </row>
    <row r="2104" spans="1:33" ht="26.4">
      <c r="A2104" s="284"/>
      <c r="B2104" s="284"/>
      <c r="C2104" s="284"/>
      <c r="D2104" s="284"/>
      <c r="E2104" s="284"/>
      <c r="F2104" s="284"/>
      <c r="G2104" s="284"/>
      <c r="H2104" s="284"/>
      <c r="I2104" s="284"/>
      <c r="J2104" s="375"/>
      <c r="K2104" s="375"/>
      <c r="L2104" s="375"/>
      <c r="M2104" s="368"/>
      <c r="N2104" s="368"/>
      <c r="O2104" s="370"/>
      <c r="T2104" s="340"/>
      <c r="V2104" s="378"/>
      <c r="W2104" s="64" ph="1"/>
      <c r="X2104" s="241"/>
      <c r="Y2104" s="284"/>
      <c r="Z2104" s="207"/>
      <c r="AA2104" s="284"/>
      <c r="AB2104" s="284"/>
      <c r="AC2104" s="284"/>
      <c r="AD2104" s="284"/>
      <c r="AE2104" s="284"/>
      <c r="AF2104" s="284"/>
      <c r="AG2104" s="284"/>
    </row>
    <row r="2105" spans="1:33" ht="26.4">
      <c r="A2105" s="284"/>
      <c r="B2105" s="284"/>
      <c r="C2105" s="284"/>
      <c r="D2105" s="284"/>
      <c r="E2105" s="284"/>
      <c r="F2105" s="284"/>
      <c r="G2105" s="284"/>
      <c r="H2105" s="284"/>
      <c r="I2105" s="284"/>
      <c r="J2105" s="375"/>
      <c r="K2105" s="375"/>
      <c r="L2105" s="375"/>
      <c r="M2105" s="368"/>
      <c r="N2105" s="368"/>
      <c r="O2105" s="370"/>
      <c r="T2105" s="340"/>
      <c r="V2105" s="378"/>
      <c r="W2105" s="64" ph="1"/>
      <c r="X2105" s="241"/>
      <c r="Y2105" s="284"/>
      <c r="Z2105" s="207"/>
      <c r="AA2105" s="284"/>
      <c r="AB2105" s="284"/>
      <c r="AC2105" s="284"/>
      <c r="AD2105" s="284"/>
      <c r="AE2105" s="284"/>
      <c r="AF2105" s="284"/>
      <c r="AG2105" s="284"/>
    </row>
    <row r="2106" spans="1:33" ht="26.4">
      <c r="A2106" s="284"/>
      <c r="B2106" s="284"/>
      <c r="C2106" s="284"/>
      <c r="D2106" s="284"/>
      <c r="E2106" s="284"/>
      <c r="F2106" s="284"/>
      <c r="G2106" s="284"/>
      <c r="H2106" s="284"/>
      <c r="I2106" s="284"/>
      <c r="J2106" s="375"/>
      <c r="K2106" s="375"/>
      <c r="L2106" s="375"/>
      <c r="M2106" s="368"/>
      <c r="N2106" s="368"/>
      <c r="O2106" s="370"/>
      <c r="T2106" s="340"/>
      <c r="V2106" s="378"/>
      <c r="W2106" s="64" ph="1"/>
      <c r="X2106" s="241"/>
      <c r="Y2106" s="284"/>
      <c r="Z2106" s="207"/>
      <c r="AA2106" s="284"/>
      <c r="AB2106" s="284"/>
      <c r="AC2106" s="284"/>
      <c r="AD2106" s="284"/>
      <c r="AE2106" s="284"/>
      <c r="AF2106" s="284"/>
      <c r="AG2106" s="284"/>
    </row>
    <row r="2107" spans="1:33" ht="26.4">
      <c r="A2107" s="284"/>
      <c r="B2107" s="284"/>
      <c r="C2107" s="284"/>
      <c r="D2107" s="284"/>
      <c r="E2107" s="284"/>
      <c r="F2107" s="284"/>
      <c r="G2107" s="284"/>
      <c r="H2107" s="284"/>
      <c r="I2107" s="284"/>
      <c r="J2107" s="375"/>
      <c r="K2107" s="375"/>
      <c r="L2107" s="375"/>
      <c r="M2107" s="368"/>
      <c r="N2107" s="368"/>
      <c r="O2107" s="370"/>
      <c r="T2107" s="340"/>
      <c r="V2107" s="378"/>
      <c r="W2107" s="64" ph="1"/>
      <c r="X2107" s="241"/>
      <c r="Y2107" s="284"/>
      <c r="Z2107" s="207"/>
      <c r="AA2107" s="284"/>
      <c r="AB2107" s="284"/>
      <c r="AC2107" s="284"/>
      <c r="AD2107" s="284"/>
      <c r="AE2107" s="284"/>
      <c r="AF2107" s="284"/>
      <c r="AG2107" s="284"/>
    </row>
    <row r="2108" spans="1:33" ht="26.4">
      <c r="A2108" s="284"/>
      <c r="B2108" s="284"/>
      <c r="C2108" s="284"/>
      <c r="D2108" s="284"/>
      <c r="E2108" s="284"/>
      <c r="F2108" s="284"/>
      <c r="G2108" s="284"/>
      <c r="H2108" s="284"/>
      <c r="I2108" s="284"/>
      <c r="J2108" s="375"/>
      <c r="K2108" s="375"/>
      <c r="L2108" s="375"/>
      <c r="M2108" s="368"/>
      <c r="N2108" s="368"/>
      <c r="O2108" s="370"/>
      <c r="T2108" s="340"/>
      <c r="V2108" s="378"/>
      <c r="W2108" s="64" ph="1"/>
      <c r="X2108" s="241"/>
      <c r="Y2108" s="284"/>
      <c r="Z2108" s="207"/>
      <c r="AA2108" s="284"/>
      <c r="AB2108" s="284"/>
      <c r="AC2108" s="284"/>
      <c r="AD2108" s="284"/>
      <c r="AE2108" s="284"/>
      <c r="AF2108" s="284"/>
      <c r="AG2108" s="284"/>
    </row>
    <row r="2109" spans="1:33" ht="26.4">
      <c r="A2109" s="284"/>
      <c r="B2109" s="284"/>
      <c r="C2109" s="284"/>
      <c r="D2109" s="284"/>
      <c r="E2109" s="284"/>
      <c r="F2109" s="284"/>
      <c r="G2109" s="284"/>
      <c r="H2109" s="284"/>
      <c r="I2109" s="284"/>
      <c r="J2109" s="375"/>
      <c r="K2109" s="375"/>
      <c r="L2109" s="375"/>
      <c r="M2109" s="368"/>
      <c r="N2109" s="368"/>
      <c r="O2109" s="370"/>
      <c r="T2109" s="340"/>
      <c r="V2109" s="378"/>
      <c r="W2109" s="64" ph="1"/>
      <c r="X2109" s="241"/>
      <c r="Y2109" s="284"/>
      <c r="Z2109" s="207"/>
      <c r="AA2109" s="284"/>
      <c r="AB2109" s="284"/>
      <c r="AC2109" s="284"/>
      <c r="AD2109" s="284"/>
      <c r="AE2109" s="284"/>
      <c r="AF2109" s="284"/>
      <c r="AG2109" s="284"/>
    </row>
    <row r="2110" spans="1:33" ht="26.4">
      <c r="A2110" s="284"/>
      <c r="B2110" s="284"/>
      <c r="C2110" s="284"/>
      <c r="D2110" s="284"/>
      <c r="E2110" s="284"/>
      <c r="F2110" s="284"/>
      <c r="G2110" s="284"/>
      <c r="H2110" s="284"/>
      <c r="I2110" s="284"/>
      <c r="J2110" s="375"/>
      <c r="K2110" s="375"/>
      <c r="L2110" s="375"/>
      <c r="M2110" s="368"/>
      <c r="N2110" s="368"/>
      <c r="O2110" s="370"/>
      <c r="T2110" s="340"/>
      <c r="V2110" s="378"/>
      <c r="W2110" s="64" ph="1"/>
      <c r="X2110" s="241"/>
      <c r="Y2110" s="284"/>
      <c r="Z2110" s="207"/>
      <c r="AA2110" s="284"/>
      <c r="AB2110" s="284"/>
      <c r="AC2110" s="284"/>
      <c r="AD2110" s="284"/>
      <c r="AE2110" s="284"/>
      <c r="AF2110" s="284"/>
      <c r="AG2110" s="284"/>
    </row>
    <row r="2111" spans="1:33" ht="26.4">
      <c r="A2111" s="284"/>
      <c r="B2111" s="284"/>
      <c r="C2111" s="284"/>
      <c r="D2111" s="284"/>
      <c r="E2111" s="284"/>
      <c r="F2111" s="284"/>
      <c r="G2111" s="284"/>
      <c r="H2111" s="284"/>
      <c r="I2111" s="284"/>
      <c r="J2111" s="375"/>
      <c r="K2111" s="375"/>
      <c r="L2111" s="375"/>
      <c r="M2111" s="368"/>
      <c r="N2111" s="368"/>
      <c r="O2111" s="370"/>
      <c r="T2111" s="340"/>
      <c r="V2111" s="378"/>
      <c r="W2111" s="64" ph="1"/>
      <c r="X2111" s="241"/>
      <c r="Y2111" s="284"/>
      <c r="Z2111" s="207"/>
      <c r="AA2111" s="284"/>
      <c r="AB2111" s="284"/>
      <c r="AC2111" s="284"/>
      <c r="AD2111" s="284"/>
      <c r="AE2111" s="284"/>
      <c r="AF2111" s="284"/>
      <c r="AG2111" s="284"/>
    </row>
    <row r="2112" spans="1:33" ht="26.4">
      <c r="A2112" s="284"/>
      <c r="B2112" s="284"/>
      <c r="C2112" s="284"/>
      <c r="D2112" s="284"/>
      <c r="E2112" s="284"/>
      <c r="F2112" s="284"/>
      <c r="G2112" s="284"/>
      <c r="H2112" s="284"/>
      <c r="I2112" s="284"/>
      <c r="J2112" s="375"/>
      <c r="K2112" s="375"/>
      <c r="L2112" s="375"/>
      <c r="M2112" s="368"/>
      <c r="N2112" s="368"/>
      <c r="O2112" s="370"/>
      <c r="T2112" s="340"/>
      <c r="V2112" s="378"/>
      <c r="W2112" s="64" ph="1"/>
      <c r="X2112" s="241"/>
      <c r="Y2112" s="284"/>
      <c r="Z2112" s="207"/>
      <c r="AA2112" s="284"/>
      <c r="AB2112" s="284"/>
      <c r="AC2112" s="284"/>
      <c r="AD2112" s="284"/>
      <c r="AE2112" s="284"/>
      <c r="AF2112" s="284"/>
      <c r="AG2112" s="284"/>
    </row>
    <row r="2113" spans="1:33" ht="26.4">
      <c r="A2113" s="284"/>
      <c r="B2113" s="284"/>
      <c r="C2113" s="284"/>
      <c r="D2113" s="284"/>
      <c r="E2113" s="284"/>
      <c r="F2113" s="284"/>
      <c r="G2113" s="284"/>
      <c r="H2113" s="284"/>
      <c r="I2113" s="284"/>
      <c r="J2113" s="375"/>
      <c r="K2113" s="375"/>
      <c r="L2113" s="375"/>
      <c r="M2113" s="368"/>
      <c r="N2113" s="368"/>
      <c r="O2113" s="370"/>
      <c r="T2113" s="340"/>
      <c r="V2113" s="378"/>
      <c r="W2113" s="64" ph="1"/>
      <c r="X2113" s="241"/>
      <c r="Y2113" s="284"/>
      <c r="Z2113" s="207"/>
      <c r="AA2113" s="284"/>
      <c r="AB2113" s="284"/>
      <c r="AC2113" s="284"/>
      <c r="AD2113" s="284"/>
      <c r="AE2113" s="284"/>
      <c r="AF2113" s="284"/>
      <c r="AG2113" s="284"/>
    </row>
    <row r="2114" spans="1:33" ht="26.4">
      <c r="A2114" s="284"/>
      <c r="B2114" s="284"/>
      <c r="C2114" s="284"/>
      <c r="D2114" s="284"/>
      <c r="E2114" s="284"/>
      <c r="F2114" s="284"/>
      <c r="G2114" s="284"/>
      <c r="H2114" s="284"/>
      <c r="I2114" s="284"/>
      <c r="J2114" s="375"/>
      <c r="K2114" s="375"/>
      <c r="L2114" s="375"/>
      <c r="M2114" s="368"/>
      <c r="N2114" s="368"/>
      <c r="O2114" s="370"/>
      <c r="T2114" s="340"/>
      <c r="V2114" s="378"/>
      <c r="W2114" s="64" ph="1"/>
      <c r="X2114" s="241"/>
      <c r="Y2114" s="284"/>
      <c r="Z2114" s="207"/>
      <c r="AA2114" s="284"/>
      <c r="AB2114" s="284"/>
      <c r="AC2114" s="284"/>
      <c r="AD2114" s="284"/>
      <c r="AE2114" s="284"/>
      <c r="AF2114" s="284"/>
      <c r="AG2114" s="284"/>
    </row>
    <row r="2115" spans="1:33" ht="26.4">
      <c r="A2115" s="284"/>
      <c r="B2115" s="284"/>
      <c r="C2115" s="284"/>
      <c r="D2115" s="284"/>
      <c r="E2115" s="284"/>
      <c r="F2115" s="284"/>
      <c r="G2115" s="284"/>
      <c r="H2115" s="284"/>
      <c r="I2115" s="284"/>
      <c r="J2115" s="375"/>
      <c r="K2115" s="375"/>
      <c r="L2115" s="375"/>
      <c r="M2115" s="368"/>
      <c r="N2115" s="368"/>
      <c r="O2115" s="370"/>
      <c r="T2115" s="340"/>
      <c r="V2115" s="378"/>
      <c r="W2115" s="64" ph="1"/>
      <c r="X2115" s="241"/>
      <c r="Y2115" s="284"/>
      <c r="Z2115" s="207"/>
      <c r="AA2115" s="284"/>
      <c r="AB2115" s="284"/>
      <c r="AC2115" s="284"/>
      <c r="AD2115" s="284"/>
      <c r="AE2115" s="284"/>
      <c r="AF2115" s="284"/>
      <c r="AG2115" s="284"/>
    </row>
    <row r="2116" spans="1:33" ht="26.4">
      <c r="A2116" s="284"/>
      <c r="B2116" s="284"/>
      <c r="C2116" s="284"/>
      <c r="D2116" s="284"/>
      <c r="E2116" s="284"/>
      <c r="F2116" s="284"/>
      <c r="G2116" s="284"/>
      <c r="H2116" s="284"/>
      <c r="I2116" s="284"/>
      <c r="J2116" s="375"/>
      <c r="K2116" s="375"/>
      <c r="L2116" s="375"/>
      <c r="M2116" s="368"/>
      <c r="N2116" s="368"/>
      <c r="O2116" s="370"/>
      <c r="T2116" s="340"/>
      <c r="V2116" s="378"/>
      <c r="W2116" s="64" ph="1"/>
      <c r="X2116" s="241"/>
      <c r="Y2116" s="284"/>
      <c r="Z2116" s="207"/>
      <c r="AA2116" s="284"/>
      <c r="AB2116" s="284"/>
      <c r="AC2116" s="284"/>
      <c r="AD2116" s="284"/>
      <c r="AE2116" s="284"/>
      <c r="AF2116" s="284"/>
      <c r="AG2116" s="284"/>
    </row>
    <row r="2117" spans="1:33" ht="26.4">
      <c r="A2117" s="284"/>
      <c r="B2117" s="284"/>
      <c r="C2117" s="284"/>
      <c r="D2117" s="284"/>
      <c r="E2117" s="284"/>
      <c r="F2117" s="284"/>
      <c r="G2117" s="284"/>
      <c r="H2117" s="284"/>
      <c r="I2117" s="284"/>
      <c r="J2117" s="375"/>
      <c r="K2117" s="375"/>
      <c r="L2117" s="375"/>
      <c r="M2117" s="368"/>
      <c r="N2117" s="368"/>
      <c r="O2117" s="370"/>
      <c r="T2117" s="340"/>
      <c r="V2117" s="378"/>
      <c r="W2117" s="64" ph="1"/>
      <c r="X2117" s="241"/>
      <c r="Y2117" s="284"/>
      <c r="Z2117" s="207"/>
      <c r="AA2117" s="284"/>
      <c r="AB2117" s="284"/>
      <c r="AC2117" s="284"/>
      <c r="AD2117" s="284"/>
      <c r="AE2117" s="284"/>
      <c r="AF2117" s="284"/>
      <c r="AG2117" s="284"/>
    </row>
    <row r="2118" spans="1:33" ht="26.4">
      <c r="A2118" s="284"/>
      <c r="B2118" s="284"/>
      <c r="C2118" s="284"/>
      <c r="D2118" s="284"/>
      <c r="E2118" s="284"/>
      <c r="F2118" s="284"/>
      <c r="G2118" s="284"/>
      <c r="H2118" s="284"/>
      <c r="I2118" s="284"/>
      <c r="J2118" s="375"/>
      <c r="K2118" s="375"/>
      <c r="L2118" s="375"/>
      <c r="M2118" s="368"/>
      <c r="N2118" s="368"/>
      <c r="O2118" s="370"/>
      <c r="T2118" s="340"/>
      <c r="V2118" s="378"/>
      <c r="W2118" s="64" ph="1"/>
      <c r="X2118" s="241"/>
      <c r="Y2118" s="284"/>
      <c r="Z2118" s="207"/>
      <c r="AA2118" s="284"/>
      <c r="AB2118" s="284"/>
      <c r="AC2118" s="284"/>
      <c r="AD2118" s="284"/>
      <c r="AE2118" s="284"/>
      <c r="AF2118" s="284"/>
      <c r="AG2118" s="284"/>
    </row>
    <row r="2119" spans="1:33" ht="26.4">
      <c r="A2119" s="284"/>
      <c r="B2119" s="284"/>
      <c r="C2119" s="284"/>
      <c r="D2119" s="284"/>
      <c r="E2119" s="284"/>
      <c r="F2119" s="284"/>
      <c r="G2119" s="284"/>
      <c r="H2119" s="284"/>
      <c r="I2119" s="284"/>
      <c r="J2119" s="375"/>
      <c r="K2119" s="375"/>
      <c r="L2119" s="375"/>
      <c r="M2119" s="368"/>
      <c r="N2119" s="368"/>
      <c r="O2119" s="370"/>
      <c r="T2119" s="340"/>
      <c r="V2119" s="378"/>
      <c r="W2119" s="64" ph="1"/>
      <c r="X2119" s="241"/>
      <c r="Y2119" s="284"/>
      <c r="Z2119" s="207"/>
      <c r="AA2119" s="284"/>
      <c r="AB2119" s="284"/>
      <c r="AC2119" s="284"/>
      <c r="AD2119" s="284"/>
      <c r="AE2119" s="284"/>
      <c r="AF2119" s="284"/>
      <c r="AG2119" s="284"/>
    </row>
    <row r="2120" spans="1:33" ht="26.4">
      <c r="A2120" s="284"/>
      <c r="B2120" s="284"/>
      <c r="C2120" s="284"/>
      <c r="D2120" s="284"/>
      <c r="E2120" s="284"/>
      <c r="F2120" s="284"/>
      <c r="G2120" s="284"/>
      <c r="H2120" s="284"/>
      <c r="I2120" s="284"/>
      <c r="J2120" s="375"/>
      <c r="K2120" s="375"/>
      <c r="L2120" s="375"/>
      <c r="M2120" s="368"/>
      <c r="N2120" s="368"/>
      <c r="O2120" s="370"/>
      <c r="T2120" s="340"/>
      <c r="V2120" s="378"/>
      <c r="W2120" s="64" ph="1"/>
      <c r="X2120" s="241"/>
      <c r="Y2120" s="284"/>
      <c r="Z2120" s="207"/>
      <c r="AA2120" s="284"/>
      <c r="AB2120" s="284"/>
      <c r="AC2120" s="284"/>
      <c r="AD2120" s="284"/>
      <c r="AE2120" s="284"/>
      <c r="AF2120" s="284"/>
      <c r="AG2120" s="284"/>
    </row>
    <row r="2121" spans="1:33" ht="26.4">
      <c r="A2121" s="284"/>
      <c r="B2121" s="284"/>
      <c r="C2121" s="284"/>
      <c r="D2121" s="284"/>
      <c r="E2121" s="284"/>
      <c r="F2121" s="284"/>
      <c r="G2121" s="284"/>
      <c r="H2121" s="284"/>
      <c r="I2121" s="284"/>
      <c r="J2121" s="375"/>
      <c r="K2121" s="375"/>
      <c r="L2121" s="375"/>
      <c r="M2121" s="368"/>
      <c r="N2121" s="368"/>
      <c r="O2121" s="370"/>
      <c r="T2121" s="340"/>
      <c r="V2121" s="378"/>
      <c r="W2121" s="64" ph="1"/>
      <c r="X2121" s="241"/>
      <c r="Y2121" s="284"/>
      <c r="Z2121" s="207"/>
      <c r="AA2121" s="284"/>
      <c r="AB2121" s="284"/>
      <c r="AC2121" s="284"/>
      <c r="AD2121" s="284"/>
      <c r="AE2121" s="284"/>
      <c r="AF2121" s="284"/>
      <c r="AG2121" s="284"/>
    </row>
    <row r="2122" spans="1:33" ht="26.4">
      <c r="A2122" s="284"/>
      <c r="B2122" s="284"/>
      <c r="C2122" s="284"/>
      <c r="D2122" s="284"/>
      <c r="E2122" s="284"/>
      <c r="F2122" s="284"/>
      <c r="G2122" s="284"/>
      <c r="H2122" s="284"/>
      <c r="I2122" s="284"/>
      <c r="J2122" s="375"/>
      <c r="K2122" s="375"/>
      <c r="L2122" s="375"/>
      <c r="M2122" s="368"/>
      <c r="N2122" s="368"/>
      <c r="O2122" s="370"/>
      <c r="T2122" s="340"/>
      <c r="V2122" s="378"/>
      <c r="W2122" s="64" ph="1"/>
      <c r="X2122" s="241"/>
      <c r="Y2122" s="284"/>
      <c r="Z2122" s="207"/>
      <c r="AA2122" s="284"/>
      <c r="AB2122" s="284"/>
      <c r="AC2122" s="284"/>
      <c r="AD2122" s="284"/>
      <c r="AE2122" s="284"/>
      <c r="AF2122" s="284"/>
      <c r="AG2122" s="284"/>
    </row>
    <row r="2123" spans="1:33" ht="26.4">
      <c r="A2123" s="284"/>
      <c r="B2123" s="284"/>
      <c r="C2123" s="284"/>
      <c r="D2123" s="284"/>
      <c r="E2123" s="284"/>
      <c r="F2123" s="284"/>
      <c r="G2123" s="284"/>
      <c r="H2123" s="284"/>
      <c r="I2123" s="284"/>
      <c r="J2123" s="375"/>
      <c r="K2123" s="375"/>
      <c r="L2123" s="375"/>
      <c r="M2123" s="368"/>
      <c r="N2123" s="368"/>
      <c r="O2123" s="370"/>
      <c r="T2123" s="340"/>
      <c r="V2123" s="378"/>
      <c r="W2123" s="64" ph="1"/>
      <c r="X2123" s="241"/>
      <c r="Y2123" s="284"/>
      <c r="Z2123" s="207"/>
      <c r="AA2123" s="284"/>
      <c r="AB2123" s="284"/>
      <c r="AC2123" s="284"/>
      <c r="AD2123" s="284"/>
      <c r="AE2123" s="284"/>
      <c r="AF2123" s="284"/>
      <c r="AG2123" s="284"/>
    </row>
    <row r="2124" spans="1:33" ht="26.4">
      <c r="A2124" s="284"/>
      <c r="B2124" s="284"/>
      <c r="C2124" s="284"/>
      <c r="D2124" s="284"/>
      <c r="E2124" s="284"/>
      <c r="F2124" s="284"/>
      <c r="G2124" s="284"/>
      <c r="H2124" s="284"/>
      <c r="I2124" s="284"/>
      <c r="J2124" s="375"/>
      <c r="K2124" s="375"/>
      <c r="L2124" s="375"/>
      <c r="M2124" s="368"/>
      <c r="N2124" s="368"/>
      <c r="O2124" s="370"/>
      <c r="T2124" s="340"/>
      <c r="V2124" s="378"/>
      <c r="W2124" s="64" ph="1"/>
      <c r="X2124" s="241"/>
      <c r="Y2124" s="284"/>
      <c r="Z2124" s="207"/>
      <c r="AA2124" s="284"/>
      <c r="AB2124" s="284"/>
      <c r="AC2124" s="284"/>
      <c r="AD2124" s="284"/>
      <c r="AE2124" s="284"/>
      <c r="AF2124" s="284"/>
      <c r="AG2124" s="284"/>
    </row>
    <row r="2125" spans="1:33" ht="26.4">
      <c r="A2125" s="284"/>
      <c r="B2125" s="284"/>
      <c r="C2125" s="284"/>
      <c r="D2125" s="284"/>
      <c r="E2125" s="284"/>
      <c r="F2125" s="284"/>
      <c r="G2125" s="284"/>
      <c r="H2125" s="284"/>
      <c r="I2125" s="284"/>
      <c r="J2125" s="375"/>
      <c r="K2125" s="375"/>
      <c r="L2125" s="375"/>
      <c r="M2125" s="368"/>
      <c r="N2125" s="368"/>
      <c r="O2125" s="370"/>
      <c r="T2125" s="340"/>
      <c r="V2125" s="378"/>
      <c r="W2125" s="64" ph="1"/>
      <c r="X2125" s="241"/>
      <c r="Y2125" s="284"/>
      <c r="Z2125" s="207"/>
      <c r="AA2125" s="284"/>
      <c r="AB2125" s="284"/>
      <c r="AC2125" s="284"/>
      <c r="AD2125" s="284"/>
      <c r="AE2125" s="284"/>
      <c r="AF2125" s="284"/>
      <c r="AG2125" s="284"/>
    </row>
    <row r="2126" spans="1:33" ht="26.4">
      <c r="A2126" s="284"/>
      <c r="B2126" s="284"/>
      <c r="C2126" s="284"/>
      <c r="D2126" s="284"/>
      <c r="E2126" s="284"/>
      <c r="F2126" s="284"/>
      <c r="G2126" s="284"/>
      <c r="H2126" s="284"/>
      <c r="I2126" s="284"/>
      <c r="J2126" s="375"/>
      <c r="K2126" s="375"/>
      <c r="L2126" s="375"/>
      <c r="M2126" s="368"/>
      <c r="N2126" s="368"/>
      <c r="O2126" s="370"/>
      <c r="T2126" s="340"/>
      <c r="V2126" s="378"/>
      <c r="W2126" s="64" ph="1"/>
      <c r="X2126" s="241"/>
      <c r="Y2126" s="284"/>
      <c r="Z2126" s="207"/>
      <c r="AA2126" s="284"/>
      <c r="AB2126" s="284"/>
      <c r="AC2126" s="284"/>
      <c r="AD2126" s="284"/>
      <c r="AE2126" s="284"/>
      <c r="AF2126" s="284"/>
      <c r="AG2126" s="284"/>
    </row>
    <row r="2127" spans="1:33" ht="26.4">
      <c r="A2127" s="284"/>
      <c r="B2127" s="284"/>
      <c r="C2127" s="284"/>
      <c r="D2127" s="284"/>
      <c r="E2127" s="284"/>
      <c r="F2127" s="284"/>
      <c r="G2127" s="284"/>
      <c r="H2127" s="284"/>
      <c r="I2127" s="284"/>
      <c r="J2127" s="375"/>
      <c r="K2127" s="375"/>
      <c r="L2127" s="375"/>
      <c r="M2127" s="368"/>
      <c r="N2127" s="368"/>
      <c r="O2127" s="370"/>
      <c r="T2127" s="340"/>
      <c r="V2127" s="378"/>
      <c r="W2127" s="64" ph="1"/>
      <c r="X2127" s="241"/>
      <c r="Y2127" s="284"/>
      <c r="Z2127" s="207"/>
      <c r="AA2127" s="284"/>
      <c r="AB2127" s="284"/>
      <c r="AC2127" s="284"/>
      <c r="AD2127" s="284"/>
      <c r="AE2127" s="284"/>
      <c r="AF2127" s="284"/>
      <c r="AG2127" s="284"/>
    </row>
    <row r="2128" spans="1:33" ht="26.4">
      <c r="A2128" s="284"/>
      <c r="B2128" s="284"/>
      <c r="C2128" s="284"/>
      <c r="D2128" s="284"/>
      <c r="E2128" s="284"/>
      <c r="F2128" s="284"/>
      <c r="G2128" s="284"/>
      <c r="H2128" s="284"/>
      <c r="I2128" s="284"/>
      <c r="J2128" s="375"/>
      <c r="K2128" s="375"/>
      <c r="L2128" s="375"/>
      <c r="M2128" s="368"/>
      <c r="N2128" s="368"/>
      <c r="O2128" s="370"/>
      <c r="T2128" s="340"/>
      <c r="V2128" s="378"/>
      <c r="W2128" s="64" ph="1"/>
      <c r="X2128" s="241"/>
      <c r="Y2128" s="284"/>
      <c r="Z2128" s="207"/>
      <c r="AA2128" s="284"/>
      <c r="AB2128" s="284"/>
      <c r="AC2128" s="284"/>
      <c r="AD2128" s="284"/>
      <c r="AE2128" s="284"/>
      <c r="AF2128" s="284"/>
      <c r="AG2128" s="284"/>
    </row>
    <row r="2129" spans="1:33" ht="26.4">
      <c r="A2129" s="284"/>
      <c r="B2129" s="284"/>
      <c r="C2129" s="284"/>
      <c r="D2129" s="284"/>
      <c r="E2129" s="284"/>
      <c r="F2129" s="284"/>
      <c r="G2129" s="284"/>
      <c r="H2129" s="284"/>
      <c r="I2129" s="284"/>
      <c r="J2129" s="375"/>
      <c r="K2129" s="375"/>
      <c r="L2129" s="375"/>
      <c r="M2129" s="368"/>
      <c r="N2129" s="368"/>
      <c r="O2129" s="370"/>
      <c r="T2129" s="340"/>
      <c r="V2129" s="378"/>
      <c r="W2129" s="64" ph="1"/>
      <c r="X2129" s="241"/>
      <c r="Y2129" s="284"/>
      <c r="Z2129" s="207"/>
      <c r="AA2129" s="284"/>
      <c r="AB2129" s="284"/>
      <c r="AC2129" s="284"/>
      <c r="AD2129" s="284"/>
      <c r="AE2129" s="284"/>
      <c r="AF2129" s="284"/>
      <c r="AG2129" s="284"/>
    </row>
    <row r="2130" spans="1:33" ht="26.4">
      <c r="A2130" s="284"/>
      <c r="B2130" s="284"/>
      <c r="C2130" s="284"/>
      <c r="D2130" s="284"/>
      <c r="E2130" s="284"/>
      <c r="F2130" s="284"/>
      <c r="G2130" s="284"/>
      <c r="H2130" s="284"/>
      <c r="I2130" s="284"/>
      <c r="J2130" s="375"/>
      <c r="K2130" s="375"/>
      <c r="L2130" s="375"/>
      <c r="M2130" s="368"/>
      <c r="N2130" s="368"/>
      <c r="O2130" s="370"/>
      <c r="T2130" s="340"/>
      <c r="V2130" s="378"/>
      <c r="W2130" s="64" ph="1"/>
      <c r="X2130" s="241"/>
      <c r="Y2130" s="284"/>
      <c r="Z2130" s="207"/>
      <c r="AA2130" s="284"/>
      <c r="AB2130" s="284"/>
      <c r="AC2130" s="284"/>
      <c r="AD2130" s="284"/>
      <c r="AE2130" s="284"/>
      <c r="AF2130" s="284"/>
      <c r="AG2130" s="284"/>
    </row>
    <row r="2131" spans="1:33" ht="26.4">
      <c r="A2131" s="284"/>
      <c r="B2131" s="284"/>
      <c r="C2131" s="284"/>
      <c r="D2131" s="284"/>
      <c r="E2131" s="284"/>
      <c r="F2131" s="284"/>
      <c r="G2131" s="284"/>
      <c r="H2131" s="284"/>
      <c r="I2131" s="284"/>
      <c r="J2131" s="375"/>
      <c r="K2131" s="375"/>
      <c r="L2131" s="375"/>
      <c r="M2131" s="368"/>
      <c r="N2131" s="368"/>
      <c r="O2131" s="370"/>
      <c r="T2131" s="340"/>
      <c r="V2131" s="378"/>
      <c r="W2131" s="64" ph="1"/>
      <c r="X2131" s="241"/>
      <c r="Y2131" s="284"/>
      <c r="Z2131" s="207"/>
      <c r="AA2131" s="284"/>
      <c r="AB2131" s="284"/>
      <c r="AC2131" s="284"/>
      <c r="AD2131" s="284"/>
      <c r="AE2131" s="284"/>
      <c r="AF2131" s="284"/>
      <c r="AG2131" s="284"/>
    </row>
    <row r="2132" spans="1:33" ht="26.4">
      <c r="A2132" s="284"/>
      <c r="B2132" s="284"/>
      <c r="C2132" s="284"/>
      <c r="D2132" s="284"/>
      <c r="E2132" s="284"/>
      <c r="F2132" s="284"/>
      <c r="G2132" s="284"/>
      <c r="H2132" s="284"/>
      <c r="I2132" s="284"/>
      <c r="J2132" s="375"/>
      <c r="K2132" s="375"/>
      <c r="L2132" s="375"/>
      <c r="M2132" s="368"/>
      <c r="N2132" s="368"/>
      <c r="O2132" s="370"/>
      <c r="T2132" s="340"/>
      <c r="V2132" s="378"/>
      <c r="W2132" s="64" ph="1"/>
      <c r="X2132" s="241"/>
      <c r="Y2132" s="284"/>
      <c r="Z2132" s="207"/>
      <c r="AA2132" s="284"/>
      <c r="AB2132" s="284"/>
      <c r="AC2132" s="284"/>
      <c r="AD2132" s="284"/>
      <c r="AE2132" s="284"/>
      <c r="AF2132" s="284"/>
      <c r="AG2132" s="284"/>
    </row>
    <row r="2133" spans="1:33" ht="26.4">
      <c r="A2133" s="284"/>
      <c r="B2133" s="284"/>
      <c r="C2133" s="284"/>
      <c r="D2133" s="284"/>
      <c r="E2133" s="284"/>
      <c r="F2133" s="284"/>
      <c r="G2133" s="284"/>
      <c r="H2133" s="284"/>
      <c r="I2133" s="284"/>
      <c r="J2133" s="375"/>
      <c r="K2133" s="375"/>
      <c r="L2133" s="375"/>
      <c r="M2133" s="368"/>
      <c r="N2133" s="368"/>
      <c r="O2133" s="370"/>
      <c r="T2133" s="340"/>
      <c r="V2133" s="378"/>
      <c r="W2133" s="64" ph="1"/>
      <c r="X2133" s="241"/>
      <c r="Y2133" s="284"/>
      <c r="Z2133" s="207"/>
      <c r="AA2133" s="284"/>
      <c r="AB2133" s="284"/>
      <c r="AC2133" s="284"/>
      <c r="AD2133" s="284"/>
      <c r="AE2133" s="284"/>
      <c r="AF2133" s="284"/>
      <c r="AG2133" s="284"/>
    </row>
    <row r="2134" spans="1:33" ht="26.4">
      <c r="A2134" s="284"/>
      <c r="B2134" s="284"/>
      <c r="C2134" s="284"/>
      <c r="D2134" s="284"/>
      <c r="E2134" s="284"/>
      <c r="F2134" s="284"/>
      <c r="G2134" s="284"/>
      <c r="H2134" s="284"/>
      <c r="I2134" s="284"/>
      <c r="J2134" s="375"/>
      <c r="K2134" s="375"/>
      <c r="L2134" s="375"/>
      <c r="M2134" s="368"/>
      <c r="N2134" s="368"/>
      <c r="O2134" s="370"/>
      <c r="T2134" s="340"/>
      <c r="V2134" s="378"/>
      <c r="W2134" s="64" ph="1"/>
      <c r="X2134" s="241"/>
      <c r="Y2134" s="284"/>
      <c r="Z2134" s="207"/>
      <c r="AA2134" s="284"/>
      <c r="AB2134" s="284"/>
      <c r="AC2134" s="284"/>
      <c r="AD2134" s="284"/>
      <c r="AE2134" s="284"/>
      <c r="AF2134" s="284"/>
      <c r="AG2134" s="284"/>
    </row>
    <row r="2135" spans="1:33" ht="26.4">
      <c r="A2135" s="284"/>
      <c r="B2135" s="284"/>
      <c r="C2135" s="284"/>
      <c r="D2135" s="284"/>
      <c r="E2135" s="284"/>
      <c r="F2135" s="284"/>
      <c r="G2135" s="284"/>
      <c r="H2135" s="284"/>
      <c r="I2135" s="284"/>
      <c r="J2135" s="375"/>
      <c r="K2135" s="375"/>
      <c r="L2135" s="375"/>
      <c r="M2135" s="368"/>
      <c r="N2135" s="368"/>
      <c r="O2135" s="370"/>
      <c r="T2135" s="340"/>
      <c r="V2135" s="378"/>
      <c r="W2135" s="64" ph="1"/>
      <c r="X2135" s="241"/>
      <c r="Y2135" s="284"/>
      <c r="Z2135" s="207"/>
      <c r="AA2135" s="284"/>
      <c r="AB2135" s="284"/>
      <c r="AC2135" s="284"/>
      <c r="AD2135" s="284"/>
      <c r="AE2135" s="284"/>
      <c r="AF2135" s="284"/>
      <c r="AG2135" s="284"/>
    </row>
    <row r="2136" spans="1:33" ht="26.4">
      <c r="A2136" s="284"/>
      <c r="B2136" s="284"/>
      <c r="C2136" s="284"/>
      <c r="D2136" s="284"/>
      <c r="E2136" s="284"/>
      <c r="F2136" s="284"/>
      <c r="G2136" s="284"/>
      <c r="H2136" s="284"/>
      <c r="I2136" s="284"/>
      <c r="J2136" s="375"/>
      <c r="K2136" s="375"/>
      <c r="L2136" s="375"/>
      <c r="M2136" s="368"/>
      <c r="N2136" s="368"/>
      <c r="O2136" s="370"/>
      <c r="T2136" s="340"/>
      <c r="V2136" s="378"/>
      <c r="W2136" s="64" ph="1"/>
      <c r="X2136" s="241"/>
      <c r="Y2136" s="284"/>
      <c r="Z2136" s="207"/>
      <c r="AA2136" s="284"/>
      <c r="AB2136" s="284"/>
      <c r="AC2136" s="284"/>
      <c r="AD2136" s="284"/>
      <c r="AE2136" s="284"/>
      <c r="AF2136" s="284"/>
      <c r="AG2136" s="284"/>
    </row>
    <row r="2137" spans="1:33" ht="26.4">
      <c r="A2137" s="284"/>
      <c r="B2137" s="284"/>
      <c r="C2137" s="284"/>
      <c r="D2137" s="284"/>
      <c r="E2137" s="284"/>
      <c r="F2137" s="284"/>
      <c r="G2137" s="284"/>
      <c r="H2137" s="284"/>
      <c r="I2137" s="284"/>
      <c r="J2137" s="375"/>
      <c r="K2137" s="375"/>
      <c r="L2137" s="375"/>
      <c r="M2137" s="368"/>
      <c r="N2137" s="368"/>
      <c r="O2137" s="370"/>
      <c r="T2137" s="340"/>
      <c r="V2137" s="378"/>
      <c r="W2137" s="64" ph="1"/>
      <c r="X2137" s="241"/>
      <c r="Y2137" s="284"/>
      <c r="Z2137" s="207"/>
      <c r="AA2137" s="284"/>
      <c r="AB2137" s="284"/>
      <c r="AC2137" s="284"/>
      <c r="AD2137" s="284"/>
      <c r="AE2137" s="284"/>
      <c r="AF2137" s="284"/>
      <c r="AG2137" s="284"/>
    </row>
    <row r="2138" spans="1:33" ht="26.4">
      <c r="A2138" s="284"/>
      <c r="B2138" s="284"/>
      <c r="C2138" s="284"/>
      <c r="D2138" s="284"/>
      <c r="E2138" s="284"/>
      <c r="F2138" s="284"/>
      <c r="G2138" s="284"/>
      <c r="H2138" s="284"/>
      <c r="I2138" s="284"/>
      <c r="J2138" s="375"/>
      <c r="K2138" s="375"/>
      <c r="L2138" s="375"/>
      <c r="M2138" s="368"/>
      <c r="N2138" s="368"/>
      <c r="O2138" s="370"/>
      <c r="T2138" s="340"/>
      <c r="V2138" s="378"/>
      <c r="W2138" s="64" ph="1"/>
      <c r="X2138" s="241"/>
      <c r="Y2138" s="284"/>
      <c r="Z2138" s="207"/>
      <c r="AA2138" s="284"/>
      <c r="AB2138" s="284"/>
      <c r="AC2138" s="284"/>
      <c r="AD2138" s="284"/>
      <c r="AE2138" s="284"/>
      <c r="AF2138" s="284"/>
      <c r="AG2138" s="284"/>
    </row>
    <row r="2139" spans="1:33" ht="26.4">
      <c r="A2139" s="284"/>
      <c r="B2139" s="284"/>
      <c r="C2139" s="284"/>
      <c r="D2139" s="284"/>
      <c r="E2139" s="284"/>
      <c r="F2139" s="284"/>
      <c r="G2139" s="284"/>
      <c r="H2139" s="284"/>
      <c r="I2139" s="284"/>
      <c r="J2139" s="375"/>
      <c r="K2139" s="375"/>
      <c r="L2139" s="375"/>
      <c r="M2139" s="368"/>
      <c r="N2139" s="368"/>
      <c r="O2139" s="370"/>
      <c r="T2139" s="340"/>
      <c r="V2139" s="378"/>
      <c r="W2139" s="64" ph="1"/>
      <c r="X2139" s="241"/>
      <c r="Y2139" s="284"/>
      <c r="Z2139" s="207"/>
      <c r="AA2139" s="284"/>
      <c r="AB2139" s="284"/>
      <c r="AC2139" s="284"/>
      <c r="AD2139" s="284"/>
      <c r="AE2139" s="284"/>
      <c r="AF2139" s="284"/>
      <c r="AG2139" s="284"/>
    </row>
    <row r="2140" spans="1:33" ht="26.4">
      <c r="A2140" s="284"/>
      <c r="B2140" s="284"/>
      <c r="C2140" s="284"/>
      <c r="D2140" s="284"/>
      <c r="E2140" s="284"/>
      <c r="F2140" s="284"/>
      <c r="G2140" s="284"/>
      <c r="H2140" s="284"/>
      <c r="I2140" s="284"/>
      <c r="J2140" s="375"/>
      <c r="K2140" s="375"/>
      <c r="L2140" s="375"/>
      <c r="M2140" s="368"/>
      <c r="N2140" s="368"/>
      <c r="O2140" s="370"/>
      <c r="T2140" s="340"/>
      <c r="V2140" s="378"/>
      <c r="W2140" s="64" ph="1"/>
      <c r="X2140" s="241"/>
      <c r="Y2140" s="284"/>
      <c r="Z2140" s="207"/>
      <c r="AA2140" s="284"/>
      <c r="AB2140" s="284"/>
      <c r="AC2140" s="284"/>
      <c r="AD2140" s="284"/>
      <c r="AE2140" s="284"/>
      <c r="AF2140" s="284"/>
      <c r="AG2140" s="284"/>
    </row>
    <row r="2141" spans="1:33" ht="26.4">
      <c r="A2141" s="284"/>
      <c r="B2141" s="284"/>
      <c r="C2141" s="284"/>
      <c r="D2141" s="284"/>
      <c r="E2141" s="284"/>
      <c r="F2141" s="284"/>
      <c r="G2141" s="284"/>
      <c r="H2141" s="284"/>
      <c r="I2141" s="284"/>
      <c r="J2141" s="375"/>
      <c r="K2141" s="375"/>
      <c r="L2141" s="375"/>
      <c r="M2141" s="368"/>
      <c r="N2141" s="368"/>
      <c r="O2141" s="370"/>
      <c r="T2141" s="340"/>
      <c r="V2141" s="378"/>
      <c r="W2141" s="64" ph="1"/>
      <c r="X2141" s="241"/>
      <c r="Y2141" s="284"/>
      <c r="Z2141" s="207"/>
      <c r="AA2141" s="284"/>
      <c r="AB2141" s="284"/>
      <c r="AC2141" s="284"/>
      <c r="AD2141" s="284"/>
      <c r="AE2141" s="284"/>
      <c r="AF2141" s="284"/>
      <c r="AG2141" s="284"/>
    </row>
    <row r="2142" spans="1:33" ht="26.4">
      <c r="A2142" s="284"/>
      <c r="B2142" s="284"/>
      <c r="C2142" s="284"/>
      <c r="D2142" s="284"/>
      <c r="E2142" s="284"/>
      <c r="F2142" s="284"/>
      <c r="G2142" s="284"/>
      <c r="H2142" s="284"/>
      <c r="I2142" s="284"/>
      <c r="J2142" s="375"/>
      <c r="K2142" s="375"/>
      <c r="L2142" s="375"/>
      <c r="M2142" s="368"/>
      <c r="N2142" s="368"/>
      <c r="O2142" s="370"/>
      <c r="T2142" s="340"/>
      <c r="V2142" s="378"/>
      <c r="W2142" s="64" ph="1"/>
      <c r="X2142" s="241"/>
      <c r="Y2142" s="284"/>
      <c r="Z2142" s="207"/>
      <c r="AA2142" s="284"/>
      <c r="AB2142" s="284"/>
      <c r="AC2142" s="284"/>
      <c r="AD2142" s="284"/>
      <c r="AE2142" s="284"/>
      <c r="AF2142" s="284"/>
      <c r="AG2142" s="284"/>
    </row>
    <row r="2143" spans="1:33" ht="26.4">
      <c r="A2143" s="284"/>
      <c r="B2143" s="284"/>
      <c r="C2143" s="284"/>
      <c r="D2143" s="284"/>
      <c r="E2143" s="284"/>
      <c r="F2143" s="284"/>
      <c r="G2143" s="284"/>
      <c r="H2143" s="284"/>
      <c r="I2143" s="284"/>
      <c r="J2143" s="375"/>
      <c r="K2143" s="375"/>
      <c r="L2143" s="375"/>
      <c r="M2143" s="368"/>
      <c r="N2143" s="368"/>
      <c r="O2143" s="370"/>
      <c r="T2143" s="340"/>
      <c r="V2143" s="378"/>
      <c r="W2143" s="64" ph="1"/>
      <c r="X2143" s="241"/>
      <c r="Y2143" s="284"/>
      <c r="Z2143" s="207"/>
      <c r="AA2143" s="284"/>
      <c r="AB2143" s="284"/>
      <c r="AC2143" s="284"/>
      <c r="AD2143" s="284"/>
      <c r="AE2143" s="284"/>
      <c r="AF2143" s="284"/>
      <c r="AG2143" s="284"/>
    </row>
    <row r="2144" spans="1:33" ht="26.4">
      <c r="A2144" s="284"/>
      <c r="B2144" s="284"/>
      <c r="C2144" s="284"/>
      <c r="D2144" s="284"/>
      <c r="E2144" s="284"/>
      <c r="F2144" s="284"/>
      <c r="G2144" s="284"/>
      <c r="H2144" s="284"/>
      <c r="I2144" s="284"/>
      <c r="J2144" s="375"/>
      <c r="K2144" s="375"/>
      <c r="L2144" s="375"/>
      <c r="M2144" s="368"/>
      <c r="N2144" s="368"/>
      <c r="O2144" s="370"/>
      <c r="T2144" s="340"/>
      <c r="V2144" s="378"/>
      <c r="W2144" s="64" ph="1"/>
      <c r="X2144" s="241"/>
      <c r="Y2144" s="284"/>
      <c r="Z2144" s="207"/>
      <c r="AA2144" s="284"/>
      <c r="AB2144" s="284"/>
      <c r="AC2144" s="284"/>
      <c r="AD2144" s="284"/>
      <c r="AE2144" s="284"/>
      <c r="AF2144" s="284"/>
      <c r="AG2144" s="284"/>
    </row>
    <row r="2145" spans="1:33" ht="26.4">
      <c r="A2145" s="284"/>
      <c r="B2145" s="284"/>
      <c r="C2145" s="284"/>
      <c r="D2145" s="284"/>
      <c r="E2145" s="284"/>
      <c r="F2145" s="284"/>
      <c r="G2145" s="284"/>
      <c r="H2145" s="284"/>
      <c r="I2145" s="284"/>
      <c r="J2145" s="375"/>
      <c r="K2145" s="375"/>
      <c r="L2145" s="375"/>
      <c r="M2145" s="368"/>
      <c r="N2145" s="368"/>
      <c r="O2145" s="370"/>
      <c r="T2145" s="340"/>
      <c r="V2145" s="378"/>
      <c r="W2145" s="64" ph="1"/>
      <c r="X2145" s="241"/>
      <c r="Y2145" s="284"/>
      <c r="Z2145" s="207"/>
      <c r="AA2145" s="284"/>
      <c r="AB2145" s="284"/>
      <c r="AC2145" s="284"/>
      <c r="AD2145" s="284"/>
      <c r="AE2145" s="284"/>
      <c r="AF2145" s="284"/>
      <c r="AG2145" s="284"/>
    </row>
    <row r="2146" spans="1:33" ht="26.4">
      <c r="A2146" s="284"/>
      <c r="B2146" s="284"/>
      <c r="C2146" s="284"/>
      <c r="D2146" s="284"/>
      <c r="E2146" s="284"/>
      <c r="F2146" s="284"/>
      <c r="G2146" s="284"/>
      <c r="H2146" s="284"/>
      <c r="I2146" s="284"/>
      <c r="J2146" s="375"/>
      <c r="K2146" s="375"/>
      <c r="L2146" s="375"/>
      <c r="M2146" s="368"/>
      <c r="N2146" s="368"/>
      <c r="O2146" s="370"/>
      <c r="T2146" s="340"/>
      <c r="V2146" s="378"/>
      <c r="W2146" s="64" ph="1"/>
      <c r="X2146" s="241"/>
      <c r="Y2146" s="284"/>
      <c r="Z2146" s="207"/>
      <c r="AA2146" s="284"/>
      <c r="AB2146" s="284"/>
      <c r="AC2146" s="284"/>
      <c r="AD2146" s="284"/>
      <c r="AE2146" s="284"/>
      <c r="AF2146" s="284"/>
      <c r="AG2146" s="284"/>
    </row>
    <row r="2147" spans="1:33" ht="26.4">
      <c r="A2147" s="284"/>
      <c r="B2147" s="284"/>
      <c r="C2147" s="284"/>
      <c r="D2147" s="284"/>
      <c r="E2147" s="284"/>
      <c r="F2147" s="284"/>
      <c r="G2147" s="284"/>
      <c r="H2147" s="284"/>
      <c r="I2147" s="284"/>
      <c r="J2147" s="375"/>
      <c r="K2147" s="375"/>
      <c r="L2147" s="375"/>
      <c r="M2147" s="368"/>
      <c r="N2147" s="368"/>
      <c r="O2147" s="370"/>
      <c r="T2147" s="340"/>
      <c r="V2147" s="378"/>
      <c r="W2147" s="64" ph="1"/>
      <c r="X2147" s="241"/>
      <c r="Y2147" s="284"/>
      <c r="Z2147" s="207"/>
      <c r="AA2147" s="284"/>
      <c r="AB2147" s="284"/>
      <c r="AC2147" s="284"/>
      <c r="AD2147" s="284"/>
      <c r="AE2147" s="284"/>
      <c r="AF2147" s="284"/>
      <c r="AG2147" s="284"/>
    </row>
    <row r="2148" spans="1:33" ht="26.4">
      <c r="A2148" s="284"/>
      <c r="B2148" s="284"/>
      <c r="C2148" s="284"/>
      <c r="D2148" s="284"/>
      <c r="E2148" s="284"/>
      <c r="F2148" s="284"/>
      <c r="G2148" s="284"/>
      <c r="H2148" s="284"/>
      <c r="I2148" s="284"/>
      <c r="J2148" s="375"/>
      <c r="K2148" s="375"/>
      <c r="L2148" s="375"/>
      <c r="M2148" s="368"/>
      <c r="N2148" s="368"/>
      <c r="O2148" s="370"/>
      <c r="T2148" s="340"/>
      <c r="V2148" s="378"/>
      <c r="W2148" s="64" ph="1"/>
      <c r="X2148" s="241"/>
      <c r="Y2148" s="284"/>
      <c r="Z2148" s="207"/>
      <c r="AA2148" s="284"/>
      <c r="AB2148" s="284"/>
      <c r="AC2148" s="284"/>
      <c r="AD2148" s="284"/>
      <c r="AE2148" s="284"/>
      <c r="AF2148" s="284"/>
      <c r="AG2148" s="284"/>
    </row>
    <row r="2149" spans="1:33" ht="26.4">
      <c r="A2149" s="284"/>
      <c r="B2149" s="284"/>
      <c r="C2149" s="284"/>
      <c r="D2149" s="284"/>
      <c r="E2149" s="284"/>
      <c r="F2149" s="284"/>
      <c r="G2149" s="284"/>
      <c r="H2149" s="284"/>
      <c r="I2149" s="284"/>
      <c r="J2149" s="375"/>
      <c r="K2149" s="375"/>
      <c r="L2149" s="375"/>
      <c r="M2149" s="368"/>
      <c r="N2149" s="368"/>
      <c r="O2149" s="370"/>
      <c r="T2149" s="340"/>
      <c r="V2149" s="378"/>
      <c r="W2149" s="64" ph="1"/>
      <c r="X2149" s="241"/>
      <c r="Y2149" s="284"/>
      <c r="Z2149" s="207"/>
      <c r="AA2149" s="284"/>
      <c r="AB2149" s="284"/>
      <c r="AC2149" s="284"/>
      <c r="AD2149" s="284"/>
      <c r="AE2149" s="284"/>
      <c r="AF2149" s="284"/>
      <c r="AG2149" s="284"/>
    </row>
    <row r="2150" spans="1:33" ht="26.4">
      <c r="A2150" s="284"/>
      <c r="B2150" s="284"/>
      <c r="C2150" s="284"/>
      <c r="D2150" s="284"/>
      <c r="E2150" s="284"/>
      <c r="F2150" s="284"/>
      <c r="G2150" s="284"/>
      <c r="H2150" s="284"/>
      <c r="I2150" s="284"/>
      <c r="J2150" s="375"/>
      <c r="K2150" s="375"/>
      <c r="L2150" s="375"/>
      <c r="M2150" s="368"/>
      <c r="N2150" s="368"/>
      <c r="O2150" s="370"/>
      <c r="T2150" s="340"/>
      <c r="V2150" s="378"/>
      <c r="W2150" s="64" ph="1"/>
      <c r="X2150" s="241"/>
      <c r="Y2150" s="284"/>
      <c r="Z2150" s="207"/>
      <c r="AA2150" s="284"/>
      <c r="AB2150" s="284"/>
      <c r="AC2150" s="284"/>
      <c r="AD2150" s="284"/>
      <c r="AE2150" s="284"/>
      <c r="AF2150" s="284"/>
      <c r="AG2150" s="284"/>
    </row>
    <row r="2151" spans="1:33" ht="26.4">
      <c r="A2151" s="284"/>
      <c r="B2151" s="284"/>
      <c r="C2151" s="284"/>
      <c r="D2151" s="284"/>
      <c r="E2151" s="284"/>
      <c r="F2151" s="284"/>
      <c r="G2151" s="284"/>
      <c r="H2151" s="284"/>
      <c r="I2151" s="284"/>
      <c r="J2151" s="375"/>
      <c r="K2151" s="375"/>
      <c r="L2151" s="375"/>
      <c r="M2151" s="368"/>
      <c r="N2151" s="368"/>
      <c r="O2151" s="370"/>
      <c r="T2151" s="340"/>
      <c r="V2151" s="378"/>
      <c r="W2151" s="64" ph="1"/>
      <c r="X2151" s="241"/>
      <c r="Y2151" s="284"/>
      <c r="Z2151" s="207"/>
      <c r="AA2151" s="284"/>
      <c r="AB2151" s="284"/>
      <c r="AC2151" s="284"/>
      <c r="AD2151" s="284"/>
      <c r="AE2151" s="284"/>
      <c r="AF2151" s="284"/>
      <c r="AG2151" s="284"/>
    </row>
    <row r="2152" spans="1:33" ht="26.4">
      <c r="A2152" s="284"/>
      <c r="B2152" s="284"/>
      <c r="C2152" s="284"/>
      <c r="D2152" s="284"/>
      <c r="E2152" s="284"/>
      <c r="F2152" s="284"/>
      <c r="G2152" s="284"/>
      <c r="H2152" s="284"/>
      <c r="I2152" s="284"/>
      <c r="J2152" s="375"/>
      <c r="K2152" s="375"/>
      <c r="L2152" s="375"/>
      <c r="M2152" s="368"/>
      <c r="N2152" s="368"/>
      <c r="O2152" s="370"/>
      <c r="T2152" s="340"/>
      <c r="V2152" s="378"/>
      <c r="W2152" s="64" ph="1"/>
      <c r="X2152" s="241"/>
      <c r="Y2152" s="284"/>
      <c r="Z2152" s="207"/>
      <c r="AA2152" s="284"/>
      <c r="AB2152" s="284"/>
      <c r="AC2152" s="284"/>
      <c r="AD2152" s="284"/>
      <c r="AE2152" s="284"/>
      <c r="AF2152" s="284"/>
      <c r="AG2152" s="284"/>
    </row>
    <row r="2153" spans="1:33" ht="26.4">
      <c r="A2153" s="284"/>
      <c r="B2153" s="284"/>
      <c r="C2153" s="284"/>
      <c r="D2153" s="284"/>
      <c r="E2153" s="284"/>
      <c r="F2153" s="284"/>
      <c r="G2153" s="284"/>
      <c r="H2153" s="284"/>
      <c r="I2153" s="284"/>
      <c r="J2153" s="375"/>
      <c r="K2153" s="375"/>
      <c r="L2153" s="375"/>
      <c r="M2153" s="368"/>
      <c r="N2153" s="368"/>
      <c r="O2153" s="370"/>
      <c r="T2153" s="340"/>
      <c r="V2153" s="378"/>
      <c r="W2153" s="64" ph="1"/>
      <c r="X2153" s="241"/>
      <c r="Y2153" s="284"/>
      <c r="Z2153" s="207"/>
      <c r="AA2153" s="284"/>
      <c r="AB2153" s="284"/>
      <c r="AC2153" s="284"/>
      <c r="AD2153" s="284"/>
      <c r="AE2153" s="284"/>
      <c r="AF2153" s="284"/>
      <c r="AG2153" s="284"/>
    </row>
    <row r="2154" spans="1:33" ht="26.4">
      <c r="A2154" s="284"/>
      <c r="B2154" s="284"/>
      <c r="C2154" s="284"/>
      <c r="D2154" s="284"/>
      <c r="E2154" s="284"/>
      <c r="F2154" s="284"/>
      <c r="G2154" s="284"/>
      <c r="H2154" s="284"/>
      <c r="I2154" s="284"/>
      <c r="J2154" s="375"/>
      <c r="K2154" s="375"/>
      <c r="L2154" s="375"/>
      <c r="M2154" s="368"/>
      <c r="N2154" s="368"/>
      <c r="O2154" s="370"/>
      <c r="T2154" s="340"/>
      <c r="V2154" s="378"/>
      <c r="W2154" s="64" ph="1"/>
      <c r="X2154" s="241"/>
      <c r="Y2154" s="284"/>
      <c r="Z2154" s="207"/>
      <c r="AA2154" s="284"/>
      <c r="AB2154" s="284"/>
      <c r="AC2154" s="284"/>
      <c r="AD2154" s="284"/>
      <c r="AE2154" s="284"/>
      <c r="AF2154" s="284"/>
      <c r="AG2154" s="284"/>
    </row>
    <row r="2155" spans="1:33" ht="26.4">
      <c r="A2155" s="284"/>
      <c r="B2155" s="284"/>
      <c r="C2155" s="284"/>
      <c r="D2155" s="284"/>
      <c r="E2155" s="284"/>
      <c r="F2155" s="284"/>
      <c r="G2155" s="284"/>
      <c r="H2155" s="284"/>
      <c r="I2155" s="284"/>
      <c r="J2155" s="375"/>
      <c r="K2155" s="375"/>
      <c r="L2155" s="375"/>
      <c r="M2155" s="368"/>
      <c r="N2155" s="368"/>
      <c r="O2155" s="370"/>
      <c r="T2155" s="340"/>
      <c r="V2155" s="378"/>
      <c r="W2155" s="64" ph="1"/>
      <c r="X2155" s="241"/>
      <c r="Y2155" s="284"/>
      <c r="Z2155" s="207"/>
      <c r="AA2155" s="284"/>
      <c r="AB2155" s="284"/>
      <c r="AC2155" s="284"/>
      <c r="AD2155" s="284"/>
      <c r="AE2155" s="284"/>
      <c r="AF2155" s="284"/>
      <c r="AG2155" s="284"/>
    </row>
    <row r="2156" spans="1:33" ht="26.4">
      <c r="A2156" s="284"/>
      <c r="B2156" s="284"/>
      <c r="C2156" s="284"/>
      <c r="D2156" s="284"/>
      <c r="E2156" s="284"/>
      <c r="F2156" s="284"/>
      <c r="G2156" s="284"/>
      <c r="H2156" s="284"/>
      <c r="I2156" s="284"/>
      <c r="J2156" s="375"/>
      <c r="K2156" s="375"/>
      <c r="L2156" s="375"/>
      <c r="M2156" s="368"/>
      <c r="N2156" s="368"/>
      <c r="O2156" s="370"/>
      <c r="T2156" s="340"/>
      <c r="V2156" s="378"/>
      <c r="W2156" s="64" ph="1"/>
      <c r="X2156" s="241"/>
      <c r="Y2156" s="284"/>
      <c r="Z2156" s="207"/>
      <c r="AA2156" s="284"/>
      <c r="AB2156" s="284"/>
      <c r="AC2156" s="284"/>
      <c r="AD2156" s="284"/>
      <c r="AE2156" s="284"/>
      <c r="AF2156" s="284"/>
      <c r="AG2156" s="284"/>
    </row>
    <row r="2157" spans="1:33" ht="26.4">
      <c r="A2157" s="284"/>
      <c r="B2157" s="284"/>
      <c r="C2157" s="284"/>
      <c r="D2157" s="284"/>
      <c r="E2157" s="284"/>
      <c r="F2157" s="284"/>
      <c r="G2157" s="284"/>
      <c r="H2157" s="284"/>
      <c r="I2157" s="284"/>
      <c r="J2157" s="375"/>
      <c r="K2157" s="375"/>
      <c r="L2157" s="375"/>
      <c r="M2157" s="368"/>
      <c r="N2157" s="368"/>
      <c r="O2157" s="370"/>
      <c r="T2157" s="340"/>
      <c r="V2157" s="378"/>
      <c r="W2157" s="64" ph="1"/>
      <c r="X2157" s="241"/>
      <c r="Y2157" s="284"/>
      <c r="Z2157" s="207"/>
      <c r="AA2157" s="284"/>
      <c r="AB2157" s="284"/>
      <c r="AC2157" s="284"/>
      <c r="AD2157" s="284"/>
      <c r="AE2157" s="284"/>
      <c r="AF2157" s="284"/>
      <c r="AG2157" s="284"/>
    </row>
    <row r="2158" spans="1:33" ht="26.4">
      <c r="A2158" s="284"/>
      <c r="B2158" s="284"/>
      <c r="C2158" s="284"/>
      <c r="D2158" s="284"/>
      <c r="E2158" s="284"/>
      <c r="F2158" s="284"/>
      <c r="G2158" s="284"/>
      <c r="H2158" s="284"/>
      <c r="I2158" s="284"/>
      <c r="J2158" s="375"/>
      <c r="K2158" s="375"/>
      <c r="L2158" s="375"/>
      <c r="M2158" s="368"/>
      <c r="N2158" s="368"/>
      <c r="O2158" s="370"/>
      <c r="T2158" s="340"/>
      <c r="V2158" s="378"/>
      <c r="W2158" s="64" ph="1"/>
      <c r="X2158" s="241"/>
      <c r="Y2158" s="284"/>
      <c r="Z2158" s="207"/>
      <c r="AA2158" s="284"/>
      <c r="AB2158" s="284"/>
      <c r="AC2158" s="284"/>
      <c r="AD2158" s="284"/>
      <c r="AE2158" s="284"/>
      <c r="AF2158" s="284"/>
      <c r="AG2158" s="284"/>
    </row>
    <row r="2159" spans="1:33" ht="26.4">
      <c r="A2159" s="284"/>
      <c r="B2159" s="284"/>
      <c r="C2159" s="284"/>
      <c r="D2159" s="284"/>
      <c r="E2159" s="284"/>
      <c r="F2159" s="284"/>
      <c r="G2159" s="284"/>
      <c r="H2159" s="284"/>
      <c r="I2159" s="284"/>
      <c r="J2159" s="375"/>
      <c r="K2159" s="375"/>
      <c r="L2159" s="375"/>
      <c r="M2159" s="368"/>
      <c r="N2159" s="368"/>
      <c r="O2159" s="370"/>
      <c r="T2159" s="340"/>
      <c r="V2159" s="378"/>
      <c r="W2159" s="64" ph="1"/>
      <c r="X2159" s="241"/>
      <c r="Y2159" s="284"/>
      <c r="Z2159" s="207"/>
      <c r="AA2159" s="284"/>
      <c r="AB2159" s="284"/>
      <c r="AC2159" s="284"/>
      <c r="AD2159" s="284"/>
      <c r="AE2159" s="284"/>
      <c r="AF2159" s="284"/>
      <c r="AG2159" s="284"/>
    </row>
    <row r="2160" spans="1:33" ht="26.4">
      <c r="A2160" s="284"/>
      <c r="B2160" s="284"/>
      <c r="C2160" s="284"/>
      <c r="D2160" s="284"/>
      <c r="E2160" s="284"/>
      <c r="F2160" s="284"/>
      <c r="G2160" s="284"/>
      <c r="H2160" s="284"/>
      <c r="I2160" s="284"/>
      <c r="J2160" s="375"/>
      <c r="K2160" s="375"/>
      <c r="L2160" s="375"/>
      <c r="M2160" s="368"/>
      <c r="N2160" s="368"/>
      <c r="O2160" s="370"/>
      <c r="T2160" s="340"/>
      <c r="V2160" s="378"/>
      <c r="W2160" s="64" ph="1"/>
      <c r="X2160" s="241"/>
      <c r="Y2160" s="284"/>
      <c r="Z2160" s="207"/>
      <c r="AA2160" s="284"/>
      <c r="AB2160" s="284"/>
      <c r="AC2160" s="284"/>
      <c r="AD2160" s="284"/>
      <c r="AE2160" s="284"/>
      <c r="AF2160" s="284"/>
      <c r="AG2160" s="284"/>
    </row>
    <row r="2161" spans="1:33" ht="26.4">
      <c r="A2161" s="284"/>
      <c r="B2161" s="284"/>
      <c r="C2161" s="284"/>
      <c r="D2161" s="284"/>
      <c r="E2161" s="284"/>
      <c r="F2161" s="284"/>
      <c r="G2161" s="284"/>
      <c r="H2161" s="284"/>
      <c r="I2161" s="284"/>
      <c r="J2161" s="375"/>
      <c r="K2161" s="375"/>
      <c r="L2161" s="375"/>
      <c r="M2161" s="368"/>
      <c r="N2161" s="368"/>
      <c r="O2161" s="370"/>
      <c r="T2161" s="340"/>
      <c r="V2161" s="378"/>
      <c r="W2161" s="64" ph="1"/>
      <c r="X2161" s="241"/>
      <c r="Y2161" s="284"/>
      <c r="Z2161" s="207"/>
      <c r="AA2161" s="284"/>
      <c r="AB2161" s="284"/>
      <c r="AC2161" s="284"/>
      <c r="AD2161" s="284"/>
      <c r="AE2161" s="284"/>
      <c r="AF2161" s="284"/>
      <c r="AG2161" s="284"/>
    </row>
    <row r="2162" spans="1:33" ht="26.4">
      <c r="A2162" s="284"/>
      <c r="B2162" s="284"/>
      <c r="C2162" s="284"/>
      <c r="D2162" s="284"/>
      <c r="E2162" s="284"/>
      <c r="F2162" s="284"/>
      <c r="G2162" s="284"/>
      <c r="H2162" s="284"/>
      <c r="I2162" s="284"/>
      <c r="J2162" s="375"/>
      <c r="K2162" s="375"/>
      <c r="L2162" s="375"/>
      <c r="M2162" s="368"/>
      <c r="N2162" s="368"/>
      <c r="O2162" s="370"/>
      <c r="T2162" s="340"/>
      <c r="V2162" s="378"/>
      <c r="W2162" s="64" ph="1"/>
      <c r="X2162" s="241"/>
      <c r="Y2162" s="284"/>
      <c r="Z2162" s="207"/>
      <c r="AA2162" s="284"/>
      <c r="AB2162" s="284"/>
      <c r="AC2162" s="284"/>
      <c r="AD2162" s="284"/>
      <c r="AE2162" s="284"/>
      <c r="AF2162" s="284"/>
      <c r="AG2162" s="284"/>
    </row>
    <row r="2163" spans="1:33" ht="26.4">
      <c r="A2163" s="284"/>
      <c r="B2163" s="284"/>
      <c r="C2163" s="284"/>
      <c r="D2163" s="284"/>
      <c r="E2163" s="284"/>
      <c r="F2163" s="284"/>
      <c r="G2163" s="284"/>
      <c r="H2163" s="284"/>
      <c r="I2163" s="284"/>
      <c r="J2163" s="375"/>
      <c r="K2163" s="375"/>
      <c r="L2163" s="375"/>
      <c r="M2163" s="368"/>
      <c r="N2163" s="368"/>
      <c r="O2163" s="370"/>
      <c r="T2163" s="340"/>
      <c r="V2163" s="378"/>
      <c r="W2163" s="64" ph="1"/>
      <c r="X2163" s="241"/>
      <c r="Y2163" s="284"/>
      <c r="Z2163" s="207"/>
      <c r="AA2163" s="284"/>
      <c r="AB2163" s="284"/>
      <c r="AC2163" s="284"/>
      <c r="AD2163" s="284"/>
      <c r="AE2163" s="284"/>
      <c r="AF2163" s="284"/>
      <c r="AG2163" s="284"/>
    </row>
    <row r="2164" spans="1:33" ht="26.4">
      <c r="A2164" s="284"/>
      <c r="B2164" s="284"/>
      <c r="C2164" s="284"/>
      <c r="D2164" s="284"/>
      <c r="E2164" s="284"/>
      <c r="F2164" s="284"/>
      <c r="G2164" s="284"/>
      <c r="H2164" s="284"/>
      <c r="I2164" s="284"/>
      <c r="J2164" s="375"/>
      <c r="K2164" s="375"/>
      <c r="L2164" s="375"/>
      <c r="M2164" s="368"/>
      <c r="N2164" s="368"/>
      <c r="O2164" s="370"/>
      <c r="T2164" s="340"/>
      <c r="V2164" s="378"/>
      <c r="W2164" s="64" ph="1"/>
      <c r="X2164" s="241"/>
      <c r="Y2164" s="284"/>
      <c r="Z2164" s="207"/>
      <c r="AA2164" s="284"/>
      <c r="AB2164" s="284"/>
      <c r="AC2164" s="284"/>
      <c r="AD2164" s="284"/>
      <c r="AE2164" s="284"/>
      <c r="AF2164" s="284"/>
      <c r="AG2164" s="284"/>
    </row>
    <row r="2165" spans="1:33" ht="26.4">
      <c r="A2165" s="284"/>
      <c r="B2165" s="284"/>
      <c r="C2165" s="284"/>
      <c r="D2165" s="284"/>
      <c r="E2165" s="284"/>
      <c r="F2165" s="284"/>
      <c r="G2165" s="284"/>
      <c r="H2165" s="284"/>
      <c r="I2165" s="284"/>
      <c r="J2165" s="375"/>
      <c r="K2165" s="375"/>
      <c r="L2165" s="375"/>
      <c r="M2165" s="368"/>
      <c r="N2165" s="368"/>
      <c r="O2165" s="370"/>
      <c r="T2165" s="340"/>
      <c r="V2165" s="378"/>
      <c r="W2165" s="64" ph="1"/>
      <c r="X2165" s="241"/>
      <c r="Y2165" s="284"/>
      <c r="Z2165" s="207"/>
      <c r="AA2165" s="284"/>
      <c r="AB2165" s="284"/>
      <c r="AC2165" s="284"/>
      <c r="AD2165" s="284"/>
      <c r="AE2165" s="284"/>
      <c r="AF2165" s="284"/>
      <c r="AG2165" s="284"/>
    </row>
    <row r="2166" spans="1:33" ht="26.4">
      <c r="A2166" s="284"/>
      <c r="B2166" s="284"/>
      <c r="C2166" s="284"/>
      <c r="D2166" s="284"/>
      <c r="E2166" s="284"/>
      <c r="F2166" s="284"/>
      <c r="G2166" s="284"/>
      <c r="H2166" s="284"/>
      <c r="I2166" s="284"/>
      <c r="J2166" s="375"/>
      <c r="K2166" s="375"/>
      <c r="L2166" s="375"/>
      <c r="M2166" s="368"/>
      <c r="N2166" s="368"/>
      <c r="O2166" s="370"/>
      <c r="T2166" s="340"/>
      <c r="V2166" s="378"/>
      <c r="W2166" s="64" ph="1"/>
      <c r="X2166" s="241"/>
      <c r="Y2166" s="284"/>
      <c r="Z2166" s="207"/>
      <c r="AA2166" s="284"/>
      <c r="AB2166" s="284"/>
      <c r="AC2166" s="284"/>
      <c r="AD2166" s="284"/>
      <c r="AE2166" s="284"/>
      <c r="AF2166" s="284"/>
      <c r="AG2166" s="284"/>
    </row>
    <row r="2167" spans="1:33" ht="26.4">
      <c r="A2167" s="284"/>
      <c r="B2167" s="284"/>
      <c r="C2167" s="284"/>
      <c r="D2167" s="284"/>
      <c r="E2167" s="284"/>
      <c r="F2167" s="284"/>
      <c r="G2167" s="284"/>
      <c r="H2167" s="284"/>
      <c r="I2167" s="284"/>
      <c r="J2167" s="375"/>
      <c r="K2167" s="375"/>
      <c r="L2167" s="375"/>
      <c r="M2167" s="368"/>
      <c r="N2167" s="368"/>
      <c r="O2167" s="370"/>
      <c r="T2167" s="340"/>
      <c r="V2167" s="378"/>
      <c r="W2167" s="64" ph="1"/>
      <c r="X2167" s="241"/>
      <c r="Y2167" s="284"/>
      <c r="Z2167" s="207"/>
      <c r="AA2167" s="284"/>
      <c r="AB2167" s="284"/>
      <c r="AC2167" s="284"/>
      <c r="AD2167" s="284"/>
      <c r="AE2167" s="284"/>
      <c r="AF2167" s="284"/>
      <c r="AG2167" s="284"/>
    </row>
    <row r="2168" spans="1:33" ht="26.4">
      <c r="A2168" s="284"/>
      <c r="B2168" s="284"/>
      <c r="C2168" s="284"/>
      <c r="D2168" s="284"/>
      <c r="E2168" s="284"/>
      <c r="F2168" s="284"/>
      <c r="G2168" s="284"/>
      <c r="H2168" s="284"/>
      <c r="I2168" s="284"/>
      <c r="J2168" s="375"/>
      <c r="K2168" s="375"/>
      <c r="L2168" s="375"/>
      <c r="M2168" s="368"/>
      <c r="N2168" s="368"/>
      <c r="O2168" s="370"/>
      <c r="T2168" s="340"/>
      <c r="V2168" s="378"/>
      <c r="W2168" s="64" ph="1"/>
      <c r="X2168" s="241"/>
      <c r="Y2168" s="284"/>
      <c r="Z2168" s="207"/>
      <c r="AA2168" s="284"/>
      <c r="AB2168" s="284"/>
      <c r="AC2168" s="284"/>
      <c r="AD2168" s="284"/>
      <c r="AE2168" s="284"/>
      <c r="AF2168" s="284"/>
      <c r="AG2168" s="284"/>
    </row>
    <row r="2169" spans="1:33" ht="26.4">
      <c r="A2169" s="284"/>
      <c r="B2169" s="284"/>
      <c r="C2169" s="284"/>
      <c r="D2169" s="284"/>
      <c r="E2169" s="284"/>
      <c r="F2169" s="284"/>
      <c r="G2169" s="284"/>
      <c r="H2169" s="284"/>
      <c r="I2169" s="284"/>
      <c r="J2169" s="375"/>
      <c r="K2169" s="375"/>
      <c r="L2169" s="375"/>
      <c r="M2169" s="368"/>
      <c r="N2169" s="368"/>
      <c r="O2169" s="370"/>
      <c r="T2169" s="340"/>
      <c r="V2169" s="378"/>
      <c r="W2169" s="64" ph="1"/>
      <c r="X2169" s="241"/>
      <c r="Y2169" s="284"/>
      <c r="Z2169" s="207"/>
      <c r="AA2169" s="284"/>
      <c r="AB2169" s="284"/>
      <c r="AC2169" s="284"/>
      <c r="AD2169" s="284"/>
      <c r="AE2169" s="284"/>
      <c r="AF2169" s="284"/>
      <c r="AG2169" s="284"/>
    </row>
    <row r="2170" spans="1:33" ht="26.4">
      <c r="A2170" s="284"/>
      <c r="B2170" s="284"/>
      <c r="C2170" s="284"/>
      <c r="D2170" s="284"/>
      <c r="E2170" s="284"/>
      <c r="F2170" s="284"/>
      <c r="G2170" s="284"/>
      <c r="H2170" s="284"/>
      <c r="I2170" s="284"/>
      <c r="J2170" s="375"/>
      <c r="K2170" s="375"/>
      <c r="L2170" s="375"/>
      <c r="M2170" s="368"/>
      <c r="N2170" s="368"/>
      <c r="O2170" s="370"/>
      <c r="T2170" s="340"/>
      <c r="V2170" s="378"/>
      <c r="W2170" s="64" ph="1"/>
      <c r="X2170" s="241"/>
      <c r="Y2170" s="284"/>
      <c r="Z2170" s="207"/>
      <c r="AA2170" s="284"/>
      <c r="AB2170" s="284"/>
      <c r="AC2170" s="284"/>
      <c r="AD2170" s="284"/>
      <c r="AE2170" s="284"/>
      <c r="AF2170" s="284"/>
      <c r="AG2170" s="284"/>
    </row>
    <row r="2171" spans="1:33" ht="26.4">
      <c r="A2171" s="284"/>
      <c r="B2171" s="284"/>
      <c r="C2171" s="284"/>
      <c r="D2171" s="284"/>
      <c r="E2171" s="284"/>
      <c r="F2171" s="284"/>
      <c r="G2171" s="284"/>
      <c r="H2171" s="284"/>
      <c r="I2171" s="284"/>
      <c r="J2171" s="375"/>
      <c r="K2171" s="375"/>
      <c r="L2171" s="375"/>
      <c r="M2171" s="368"/>
      <c r="N2171" s="368"/>
      <c r="O2171" s="370"/>
      <c r="T2171" s="340"/>
      <c r="V2171" s="378"/>
      <c r="W2171" s="64" ph="1"/>
      <c r="X2171" s="241"/>
      <c r="Y2171" s="284"/>
      <c r="Z2171" s="207"/>
      <c r="AA2171" s="284"/>
      <c r="AB2171" s="284"/>
      <c r="AC2171" s="284"/>
      <c r="AD2171" s="284"/>
      <c r="AE2171" s="284"/>
      <c r="AF2171" s="284"/>
      <c r="AG2171" s="284"/>
    </row>
    <row r="2172" spans="1:33" ht="26.4">
      <c r="A2172" s="284"/>
      <c r="B2172" s="284"/>
      <c r="C2172" s="284"/>
      <c r="D2172" s="284"/>
      <c r="E2172" s="284"/>
      <c r="F2172" s="284"/>
      <c r="G2172" s="284"/>
      <c r="H2172" s="284"/>
      <c r="I2172" s="284"/>
      <c r="J2172" s="375"/>
      <c r="K2172" s="375"/>
      <c r="L2172" s="375"/>
      <c r="M2172" s="368"/>
      <c r="N2172" s="368"/>
      <c r="O2172" s="370"/>
      <c r="T2172" s="340"/>
      <c r="V2172" s="378"/>
      <c r="W2172" s="64" ph="1"/>
      <c r="X2172" s="241"/>
      <c r="Y2172" s="284"/>
      <c r="Z2172" s="207"/>
      <c r="AA2172" s="284"/>
      <c r="AB2172" s="284"/>
      <c r="AC2172" s="284"/>
      <c r="AD2172" s="284"/>
      <c r="AE2172" s="284"/>
      <c r="AF2172" s="284"/>
      <c r="AG2172" s="284"/>
    </row>
    <row r="2173" spans="1:33" ht="26.4">
      <c r="A2173" s="284"/>
      <c r="B2173" s="284"/>
      <c r="C2173" s="284"/>
      <c r="D2173" s="284"/>
      <c r="E2173" s="284"/>
      <c r="F2173" s="284"/>
      <c r="G2173" s="284"/>
      <c r="H2173" s="284"/>
      <c r="I2173" s="284"/>
      <c r="J2173" s="375"/>
      <c r="K2173" s="375"/>
      <c r="L2173" s="375"/>
      <c r="M2173" s="368"/>
      <c r="N2173" s="368"/>
      <c r="O2173" s="370"/>
      <c r="T2173" s="340"/>
      <c r="V2173" s="378"/>
      <c r="W2173" s="64" ph="1"/>
      <c r="X2173" s="241"/>
      <c r="Y2173" s="284"/>
      <c r="Z2173" s="207"/>
      <c r="AA2173" s="284"/>
      <c r="AB2173" s="284"/>
      <c r="AC2173" s="284"/>
      <c r="AD2173" s="284"/>
      <c r="AE2173" s="284"/>
      <c r="AF2173" s="284"/>
      <c r="AG2173" s="284"/>
    </row>
    <row r="2174" spans="1:33" ht="26.4">
      <c r="A2174" s="284"/>
      <c r="B2174" s="284"/>
      <c r="C2174" s="284"/>
      <c r="D2174" s="284"/>
      <c r="E2174" s="284"/>
      <c r="F2174" s="284"/>
      <c r="G2174" s="284"/>
      <c r="H2174" s="284"/>
      <c r="I2174" s="284"/>
      <c r="J2174" s="375"/>
      <c r="K2174" s="375"/>
      <c r="L2174" s="375"/>
      <c r="M2174" s="368"/>
      <c r="N2174" s="368"/>
      <c r="O2174" s="370"/>
      <c r="T2174" s="340"/>
      <c r="V2174" s="378"/>
      <c r="W2174" s="64" ph="1"/>
      <c r="X2174" s="241"/>
      <c r="Y2174" s="284"/>
      <c r="Z2174" s="207"/>
      <c r="AA2174" s="284"/>
      <c r="AB2174" s="284"/>
      <c r="AC2174" s="284"/>
      <c r="AD2174" s="284"/>
      <c r="AE2174" s="284"/>
      <c r="AF2174" s="284"/>
      <c r="AG2174" s="284"/>
    </row>
    <row r="2175" spans="1:33" ht="26.4">
      <c r="A2175" s="284"/>
      <c r="B2175" s="284"/>
      <c r="C2175" s="284"/>
      <c r="D2175" s="284"/>
      <c r="E2175" s="284"/>
      <c r="F2175" s="284"/>
      <c r="G2175" s="284"/>
      <c r="H2175" s="284"/>
      <c r="I2175" s="284"/>
      <c r="J2175" s="375"/>
      <c r="K2175" s="375"/>
      <c r="L2175" s="375"/>
      <c r="M2175" s="368"/>
      <c r="N2175" s="368"/>
      <c r="O2175" s="370"/>
      <c r="T2175" s="340"/>
      <c r="V2175" s="378"/>
      <c r="W2175" s="64" ph="1"/>
      <c r="X2175" s="241"/>
      <c r="Y2175" s="284"/>
      <c r="Z2175" s="207"/>
      <c r="AA2175" s="284"/>
      <c r="AB2175" s="284"/>
      <c r="AC2175" s="284"/>
      <c r="AD2175" s="284"/>
      <c r="AE2175" s="284"/>
      <c r="AF2175" s="284"/>
      <c r="AG2175" s="284"/>
    </row>
    <row r="2176" spans="1:33" ht="26.4">
      <c r="A2176" s="284"/>
      <c r="B2176" s="284"/>
      <c r="C2176" s="284"/>
      <c r="D2176" s="284"/>
      <c r="E2176" s="284"/>
      <c r="F2176" s="284"/>
      <c r="G2176" s="284"/>
      <c r="H2176" s="284"/>
      <c r="I2176" s="284"/>
      <c r="J2176" s="375"/>
      <c r="K2176" s="375"/>
      <c r="L2176" s="375"/>
      <c r="M2176" s="368"/>
      <c r="N2176" s="368"/>
      <c r="O2176" s="370"/>
      <c r="T2176" s="340"/>
      <c r="V2176" s="378"/>
      <c r="W2176" s="64" ph="1"/>
      <c r="X2176" s="241"/>
      <c r="Y2176" s="284"/>
      <c r="Z2176" s="207"/>
      <c r="AA2176" s="284"/>
      <c r="AB2176" s="284"/>
      <c r="AC2176" s="284"/>
      <c r="AD2176" s="284"/>
      <c r="AE2176" s="284"/>
      <c r="AF2176" s="284"/>
      <c r="AG2176" s="284"/>
    </row>
    <row r="2177" spans="1:33" ht="26.4">
      <c r="A2177" s="284"/>
      <c r="B2177" s="284"/>
      <c r="C2177" s="284"/>
      <c r="D2177" s="284"/>
      <c r="E2177" s="284"/>
      <c r="F2177" s="284"/>
      <c r="G2177" s="284"/>
      <c r="H2177" s="284"/>
      <c r="I2177" s="284"/>
      <c r="J2177" s="375"/>
      <c r="K2177" s="375"/>
      <c r="L2177" s="375"/>
      <c r="M2177" s="368"/>
      <c r="N2177" s="368"/>
      <c r="O2177" s="370"/>
      <c r="T2177" s="340"/>
      <c r="V2177" s="378"/>
      <c r="W2177" s="64" ph="1"/>
      <c r="X2177" s="241"/>
      <c r="Y2177" s="284"/>
      <c r="Z2177" s="207"/>
      <c r="AA2177" s="284"/>
      <c r="AB2177" s="284"/>
      <c r="AC2177" s="284"/>
      <c r="AD2177" s="284"/>
      <c r="AE2177" s="284"/>
      <c r="AF2177" s="284"/>
      <c r="AG2177" s="284"/>
    </row>
    <row r="2178" spans="1:33" ht="26.4">
      <c r="A2178" s="284"/>
      <c r="B2178" s="284"/>
      <c r="C2178" s="284"/>
      <c r="D2178" s="284"/>
      <c r="E2178" s="284"/>
      <c r="F2178" s="284"/>
      <c r="G2178" s="284"/>
      <c r="H2178" s="284"/>
      <c r="I2178" s="284"/>
      <c r="J2178" s="375"/>
      <c r="K2178" s="375"/>
      <c r="L2178" s="375"/>
      <c r="M2178" s="368"/>
      <c r="N2178" s="368"/>
      <c r="O2178" s="370"/>
      <c r="T2178" s="340"/>
      <c r="V2178" s="378"/>
      <c r="W2178" s="64" ph="1"/>
      <c r="X2178" s="241"/>
      <c r="Y2178" s="284"/>
      <c r="Z2178" s="207"/>
      <c r="AA2178" s="284"/>
      <c r="AB2178" s="284"/>
      <c r="AC2178" s="284"/>
      <c r="AD2178" s="284"/>
      <c r="AE2178" s="284"/>
      <c r="AF2178" s="284"/>
      <c r="AG2178" s="284"/>
    </row>
    <row r="2179" spans="1:33" ht="26.4">
      <c r="A2179" s="284"/>
      <c r="B2179" s="284"/>
      <c r="C2179" s="284"/>
      <c r="D2179" s="284"/>
      <c r="E2179" s="284"/>
      <c r="F2179" s="284"/>
      <c r="G2179" s="284"/>
      <c r="H2179" s="284"/>
      <c r="I2179" s="284"/>
      <c r="J2179" s="375"/>
      <c r="K2179" s="375"/>
      <c r="L2179" s="375"/>
      <c r="M2179" s="368"/>
      <c r="N2179" s="368"/>
      <c r="O2179" s="370"/>
      <c r="T2179" s="340"/>
      <c r="V2179" s="378"/>
      <c r="W2179" s="64" ph="1"/>
      <c r="X2179" s="241"/>
      <c r="Y2179" s="284"/>
      <c r="Z2179" s="207"/>
      <c r="AA2179" s="284"/>
      <c r="AB2179" s="284"/>
      <c r="AC2179" s="284"/>
      <c r="AD2179" s="284"/>
      <c r="AE2179" s="284"/>
      <c r="AF2179" s="284"/>
      <c r="AG2179" s="284"/>
    </row>
    <row r="2180" spans="1:33" ht="26.4">
      <c r="A2180" s="284"/>
      <c r="B2180" s="284"/>
      <c r="C2180" s="284"/>
      <c r="D2180" s="284"/>
      <c r="E2180" s="284"/>
      <c r="F2180" s="284"/>
      <c r="G2180" s="284"/>
      <c r="H2180" s="284"/>
      <c r="I2180" s="284"/>
      <c r="J2180" s="375"/>
      <c r="K2180" s="375"/>
      <c r="L2180" s="375"/>
      <c r="M2180" s="368"/>
      <c r="N2180" s="368"/>
      <c r="O2180" s="370"/>
      <c r="T2180" s="340"/>
      <c r="V2180" s="378"/>
      <c r="W2180" s="64" ph="1"/>
      <c r="X2180" s="241"/>
      <c r="Y2180" s="284"/>
      <c r="Z2180" s="207"/>
      <c r="AA2180" s="284"/>
      <c r="AB2180" s="284"/>
      <c r="AC2180" s="284"/>
      <c r="AD2180" s="284"/>
      <c r="AE2180" s="284"/>
      <c r="AF2180" s="284"/>
      <c r="AG2180" s="284"/>
    </row>
    <row r="2181" spans="1:33" ht="26.4">
      <c r="A2181" s="284"/>
      <c r="B2181" s="284"/>
      <c r="C2181" s="284"/>
      <c r="D2181" s="284"/>
      <c r="E2181" s="284"/>
      <c r="F2181" s="284"/>
      <c r="G2181" s="284"/>
      <c r="H2181" s="284"/>
      <c r="I2181" s="284"/>
      <c r="J2181" s="375"/>
      <c r="K2181" s="375"/>
      <c r="L2181" s="375"/>
      <c r="M2181" s="368"/>
      <c r="N2181" s="368"/>
      <c r="O2181" s="370"/>
      <c r="T2181" s="340"/>
      <c r="V2181" s="378"/>
      <c r="W2181" s="64" ph="1"/>
      <c r="X2181" s="241"/>
      <c r="Y2181" s="284"/>
      <c r="Z2181" s="207"/>
      <c r="AA2181" s="284"/>
      <c r="AB2181" s="284"/>
      <c r="AC2181" s="284"/>
      <c r="AD2181" s="284"/>
      <c r="AE2181" s="284"/>
      <c r="AF2181" s="284"/>
      <c r="AG2181" s="284"/>
    </row>
    <row r="2182" spans="1:33" ht="26.4">
      <c r="A2182" s="284"/>
      <c r="B2182" s="284"/>
      <c r="C2182" s="284"/>
      <c r="D2182" s="284"/>
      <c r="E2182" s="284"/>
      <c r="F2182" s="284"/>
      <c r="G2182" s="284"/>
      <c r="H2182" s="284"/>
      <c r="I2182" s="284"/>
      <c r="J2182" s="375"/>
      <c r="K2182" s="375"/>
      <c r="L2182" s="375"/>
      <c r="M2182" s="368"/>
      <c r="N2182" s="368"/>
      <c r="O2182" s="370"/>
      <c r="T2182" s="340"/>
      <c r="V2182" s="378"/>
      <c r="W2182" s="64" ph="1"/>
      <c r="X2182" s="241"/>
      <c r="Y2182" s="284"/>
      <c r="Z2182" s="207"/>
      <c r="AA2182" s="284"/>
      <c r="AB2182" s="284"/>
      <c r="AC2182" s="284"/>
      <c r="AD2182" s="284"/>
      <c r="AE2182" s="284"/>
      <c r="AF2182" s="284"/>
      <c r="AG2182" s="284"/>
    </row>
    <row r="2183" spans="1:33" ht="26.4">
      <c r="A2183" s="284"/>
      <c r="B2183" s="284"/>
      <c r="C2183" s="284"/>
      <c r="D2183" s="284"/>
      <c r="E2183" s="284"/>
      <c r="F2183" s="284"/>
      <c r="G2183" s="284"/>
      <c r="H2183" s="284"/>
      <c r="I2183" s="284"/>
      <c r="J2183" s="375"/>
      <c r="K2183" s="375"/>
      <c r="L2183" s="375"/>
      <c r="M2183" s="368"/>
      <c r="N2183" s="368"/>
      <c r="O2183" s="370"/>
      <c r="T2183" s="340"/>
      <c r="V2183" s="378"/>
      <c r="W2183" s="64" ph="1"/>
      <c r="X2183" s="241"/>
      <c r="Y2183" s="284"/>
      <c r="Z2183" s="207"/>
      <c r="AA2183" s="284"/>
      <c r="AB2183" s="284"/>
      <c r="AC2183" s="284"/>
      <c r="AD2183" s="284"/>
      <c r="AE2183" s="284"/>
      <c r="AF2183" s="284"/>
      <c r="AG2183" s="284"/>
    </row>
    <row r="2184" spans="1:33" ht="26.4">
      <c r="A2184" s="284"/>
      <c r="B2184" s="284"/>
      <c r="C2184" s="284"/>
      <c r="D2184" s="284"/>
      <c r="E2184" s="284"/>
      <c r="F2184" s="284"/>
      <c r="G2184" s="284"/>
      <c r="H2184" s="284"/>
      <c r="I2184" s="284"/>
      <c r="J2184" s="375"/>
      <c r="K2184" s="375"/>
      <c r="L2184" s="375"/>
      <c r="M2184" s="368"/>
      <c r="N2184" s="368"/>
      <c r="O2184" s="370"/>
      <c r="T2184" s="340"/>
      <c r="V2184" s="378"/>
      <c r="W2184" s="64" ph="1"/>
      <c r="X2184" s="241"/>
      <c r="Y2184" s="284"/>
      <c r="Z2184" s="207"/>
      <c r="AA2184" s="284"/>
      <c r="AB2184" s="284"/>
      <c r="AC2184" s="284"/>
      <c r="AD2184" s="284"/>
      <c r="AE2184" s="284"/>
      <c r="AF2184" s="284"/>
      <c r="AG2184" s="284"/>
    </row>
    <row r="2185" spans="1:33" ht="26.4">
      <c r="A2185" s="284"/>
      <c r="B2185" s="284"/>
      <c r="C2185" s="284"/>
      <c r="D2185" s="284"/>
      <c r="E2185" s="284"/>
      <c r="F2185" s="284"/>
      <c r="G2185" s="284"/>
      <c r="H2185" s="284"/>
      <c r="I2185" s="284"/>
      <c r="J2185" s="375"/>
      <c r="K2185" s="375"/>
      <c r="L2185" s="375"/>
      <c r="M2185" s="368"/>
      <c r="N2185" s="368"/>
      <c r="O2185" s="370"/>
      <c r="T2185" s="340"/>
      <c r="V2185" s="378"/>
      <c r="W2185" s="64" ph="1"/>
      <c r="X2185" s="241"/>
      <c r="Y2185" s="284"/>
      <c r="Z2185" s="207"/>
      <c r="AA2185" s="284"/>
      <c r="AB2185" s="284"/>
      <c r="AC2185" s="284"/>
      <c r="AD2185" s="284"/>
      <c r="AE2185" s="284"/>
      <c r="AF2185" s="284"/>
      <c r="AG2185" s="284"/>
    </row>
    <row r="2186" spans="1:33" ht="26.4">
      <c r="A2186" s="284"/>
      <c r="B2186" s="284"/>
      <c r="C2186" s="284"/>
      <c r="D2186" s="284"/>
      <c r="E2186" s="284"/>
      <c r="F2186" s="284"/>
      <c r="G2186" s="284"/>
      <c r="H2186" s="284"/>
      <c r="I2186" s="284"/>
      <c r="J2186" s="375"/>
      <c r="K2186" s="375"/>
      <c r="L2186" s="375"/>
      <c r="M2186" s="368"/>
      <c r="N2186" s="368"/>
      <c r="O2186" s="370"/>
      <c r="T2186" s="340"/>
      <c r="V2186" s="378"/>
      <c r="W2186" s="64" ph="1"/>
      <c r="X2186" s="241"/>
      <c r="Y2186" s="284"/>
      <c r="Z2186" s="207"/>
      <c r="AA2186" s="284"/>
      <c r="AB2186" s="284"/>
      <c r="AC2186" s="284"/>
      <c r="AD2186" s="284"/>
      <c r="AE2186" s="284"/>
      <c r="AF2186" s="284"/>
      <c r="AG2186" s="284"/>
    </row>
    <row r="2187" spans="1:33" ht="26.4">
      <c r="A2187" s="284"/>
      <c r="B2187" s="284"/>
      <c r="C2187" s="284"/>
      <c r="D2187" s="284"/>
      <c r="E2187" s="284"/>
      <c r="F2187" s="284"/>
      <c r="G2187" s="284"/>
      <c r="H2187" s="284"/>
      <c r="I2187" s="284"/>
      <c r="J2187" s="375"/>
      <c r="K2187" s="375"/>
      <c r="L2187" s="375"/>
      <c r="M2187" s="368"/>
      <c r="N2187" s="368"/>
      <c r="O2187" s="370"/>
      <c r="T2187" s="340"/>
      <c r="V2187" s="378"/>
      <c r="W2187" s="64" ph="1"/>
      <c r="X2187" s="241"/>
      <c r="Y2187" s="284"/>
      <c r="Z2187" s="207"/>
      <c r="AA2187" s="284"/>
      <c r="AB2187" s="284"/>
      <c r="AC2187" s="284"/>
      <c r="AD2187" s="284"/>
      <c r="AE2187" s="284"/>
      <c r="AF2187" s="284"/>
      <c r="AG2187" s="284"/>
    </row>
    <row r="2188" spans="1:33" ht="26.4">
      <c r="A2188" s="284"/>
      <c r="B2188" s="284"/>
      <c r="C2188" s="284"/>
      <c r="D2188" s="284"/>
      <c r="E2188" s="284"/>
      <c r="F2188" s="284"/>
      <c r="G2188" s="284"/>
      <c r="H2188" s="284"/>
      <c r="I2188" s="284"/>
      <c r="J2188" s="375"/>
      <c r="K2188" s="375"/>
      <c r="L2188" s="375"/>
      <c r="M2188" s="368"/>
      <c r="N2188" s="368"/>
      <c r="O2188" s="370"/>
      <c r="T2188" s="340"/>
      <c r="V2188" s="378"/>
      <c r="W2188" s="64" ph="1"/>
      <c r="X2188" s="241"/>
      <c r="Y2188" s="284"/>
      <c r="Z2188" s="207"/>
      <c r="AA2188" s="284"/>
      <c r="AB2188" s="284"/>
      <c r="AC2188" s="284"/>
      <c r="AD2188" s="284"/>
      <c r="AE2188" s="284"/>
      <c r="AF2188" s="284"/>
      <c r="AG2188" s="284"/>
    </row>
    <row r="2189" spans="1:33" ht="26.4">
      <c r="A2189" s="284"/>
      <c r="B2189" s="284"/>
      <c r="C2189" s="284"/>
      <c r="D2189" s="284"/>
      <c r="E2189" s="284"/>
      <c r="F2189" s="284"/>
      <c r="G2189" s="284"/>
      <c r="H2189" s="284"/>
      <c r="I2189" s="284"/>
      <c r="J2189" s="375"/>
      <c r="K2189" s="375"/>
      <c r="L2189" s="375"/>
      <c r="M2189" s="368"/>
      <c r="N2189" s="368"/>
      <c r="O2189" s="370"/>
      <c r="T2189" s="340"/>
      <c r="V2189" s="378"/>
      <c r="W2189" s="64" ph="1"/>
      <c r="X2189" s="241"/>
      <c r="Y2189" s="284"/>
      <c r="Z2189" s="207"/>
      <c r="AA2189" s="284"/>
      <c r="AB2189" s="284"/>
      <c r="AC2189" s="284"/>
      <c r="AD2189" s="284"/>
      <c r="AE2189" s="284"/>
      <c r="AF2189" s="284"/>
      <c r="AG2189" s="284"/>
    </row>
    <row r="2190" spans="1:33" ht="26.4">
      <c r="A2190" s="284"/>
      <c r="B2190" s="284"/>
      <c r="C2190" s="284"/>
      <c r="D2190" s="284"/>
      <c r="E2190" s="284"/>
      <c r="F2190" s="284"/>
      <c r="G2190" s="284"/>
      <c r="H2190" s="284"/>
      <c r="I2190" s="284"/>
      <c r="J2190" s="375"/>
      <c r="K2190" s="375"/>
      <c r="L2190" s="375"/>
      <c r="M2190" s="368"/>
      <c r="N2190" s="368"/>
      <c r="O2190" s="370"/>
      <c r="T2190" s="340"/>
      <c r="V2190" s="378"/>
      <c r="W2190" s="64" ph="1"/>
      <c r="X2190" s="241"/>
      <c r="Y2190" s="284"/>
      <c r="Z2190" s="207"/>
      <c r="AA2190" s="284"/>
      <c r="AB2190" s="284"/>
      <c r="AC2190" s="284"/>
      <c r="AD2190" s="284"/>
      <c r="AE2190" s="284"/>
      <c r="AF2190" s="284"/>
      <c r="AG2190" s="284"/>
    </row>
    <row r="2191" spans="1:33" ht="26.4">
      <c r="A2191" s="284"/>
      <c r="B2191" s="284"/>
      <c r="C2191" s="284"/>
      <c r="D2191" s="284"/>
      <c r="E2191" s="284"/>
      <c r="F2191" s="284"/>
      <c r="G2191" s="284"/>
      <c r="H2191" s="284"/>
      <c r="I2191" s="284"/>
      <c r="J2191" s="375"/>
      <c r="K2191" s="375"/>
      <c r="L2191" s="375"/>
      <c r="M2191" s="368"/>
      <c r="N2191" s="368"/>
      <c r="O2191" s="370"/>
      <c r="T2191" s="340"/>
      <c r="V2191" s="378"/>
      <c r="W2191" s="64" ph="1"/>
      <c r="X2191" s="241"/>
      <c r="Y2191" s="284"/>
      <c r="Z2191" s="207"/>
      <c r="AA2191" s="284"/>
      <c r="AB2191" s="284"/>
      <c r="AC2191" s="284"/>
      <c r="AD2191" s="284"/>
      <c r="AE2191" s="284"/>
      <c r="AF2191" s="284"/>
      <c r="AG2191" s="284"/>
    </row>
    <row r="2192" spans="1:33" ht="26.4">
      <c r="A2192" s="284"/>
      <c r="B2192" s="284"/>
      <c r="C2192" s="284"/>
      <c r="D2192" s="284"/>
      <c r="E2192" s="284"/>
      <c r="F2192" s="284"/>
      <c r="G2192" s="284"/>
      <c r="H2192" s="284"/>
      <c r="I2192" s="284"/>
      <c r="J2192" s="375"/>
      <c r="K2192" s="375"/>
      <c r="L2192" s="375"/>
      <c r="M2192" s="368"/>
      <c r="N2192" s="368"/>
      <c r="O2192" s="370"/>
      <c r="T2192" s="340"/>
      <c r="V2192" s="378"/>
      <c r="W2192" s="64" ph="1"/>
      <c r="X2192" s="241"/>
      <c r="Y2192" s="284"/>
      <c r="Z2192" s="207"/>
      <c r="AA2192" s="284"/>
      <c r="AB2192" s="284"/>
      <c r="AC2192" s="284"/>
      <c r="AD2192" s="284"/>
      <c r="AE2192" s="284"/>
      <c r="AF2192" s="284"/>
      <c r="AG2192" s="284"/>
    </row>
    <row r="2193" spans="1:33" ht="26.4">
      <c r="A2193" s="284"/>
      <c r="B2193" s="284"/>
      <c r="C2193" s="284"/>
      <c r="D2193" s="284"/>
      <c r="E2193" s="284"/>
      <c r="F2193" s="284"/>
      <c r="G2193" s="284"/>
      <c r="H2193" s="284"/>
      <c r="I2193" s="284"/>
      <c r="J2193" s="375"/>
      <c r="K2193" s="375"/>
      <c r="L2193" s="375"/>
      <c r="M2193" s="368"/>
      <c r="N2193" s="368"/>
      <c r="O2193" s="370"/>
      <c r="T2193" s="340"/>
      <c r="V2193" s="378"/>
      <c r="W2193" s="64" ph="1"/>
      <c r="X2193" s="241"/>
      <c r="Y2193" s="284"/>
      <c r="Z2193" s="207"/>
      <c r="AA2193" s="284"/>
      <c r="AB2193" s="284"/>
      <c r="AC2193" s="284"/>
      <c r="AD2193" s="284"/>
      <c r="AE2193" s="284"/>
      <c r="AF2193" s="284"/>
      <c r="AG2193" s="284"/>
    </row>
    <row r="2194" spans="1:33" ht="26.4">
      <c r="A2194" s="284"/>
      <c r="B2194" s="284"/>
      <c r="C2194" s="284"/>
      <c r="D2194" s="284"/>
      <c r="E2194" s="284"/>
      <c r="F2194" s="284"/>
      <c r="G2194" s="284"/>
      <c r="H2194" s="284"/>
      <c r="I2194" s="284"/>
      <c r="J2194" s="375"/>
      <c r="K2194" s="375"/>
      <c r="L2194" s="375"/>
      <c r="M2194" s="368"/>
      <c r="N2194" s="368"/>
      <c r="O2194" s="370"/>
      <c r="T2194" s="340"/>
      <c r="V2194" s="378"/>
      <c r="W2194" s="64" ph="1"/>
      <c r="X2194" s="241"/>
      <c r="Y2194" s="284"/>
      <c r="Z2194" s="207"/>
      <c r="AA2194" s="284"/>
      <c r="AB2194" s="284"/>
      <c r="AC2194" s="284"/>
      <c r="AD2194" s="284"/>
      <c r="AE2194" s="284"/>
      <c r="AF2194" s="284"/>
      <c r="AG2194" s="284"/>
    </row>
    <row r="2195" spans="1:33" ht="26.4">
      <c r="A2195" s="284"/>
      <c r="B2195" s="284"/>
      <c r="C2195" s="284"/>
      <c r="D2195" s="284"/>
      <c r="E2195" s="284"/>
      <c r="F2195" s="284"/>
      <c r="G2195" s="284"/>
      <c r="H2195" s="284"/>
      <c r="I2195" s="284"/>
      <c r="J2195" s="375"/>
      <c r="K2195" s="375"/>
      <c r="L2195" s="375"/>
      <c r="M2195" s="368"/>
      <c r="N2195" s="368"/>
      <c r="O2195" s="370"/>
      <c r="T2195" s="340"/>
      <c r="V2195" s="378"/>
      <c r="W2195" s="64" ph="1"/>
      <c r="X2195" s="241"/>
      <c r="Y2195" s="284"/>
      <c r="Z2195" s="207"/>
      <c r="AA2195" s="284"/>
      <c r="AB2195" s="284"/>
      <c r="AC2195" s="284"/>
      <c r="AD2195" s="284"/>
      <c r="AE2195" s="284"/>
      <c r="AF2195" s="284"/>
      <c r="AG2195" s="284"/>
    </row>
    <row r="2196" spans="1:33" ht="26.4">
      <c r="A2196" s="284"/>
      <c r="B2196" s="284"/>
      <c r="C2196" s="284"/>
      <c r="D2196" s="284"/>
      <c r="E2196" s="284"/>
      <c r="F2196" s="284"/>
      <c r="G2196" s="284"/>
      <c r="H2196" s="284"/>
      <c r="I2196" s="284"/>
      <c r="J2196" s="375"/>
      <c r="K2196" s="375"/>
      <c r="L2196" s="375"/>
      <c r="M2196" s="368"/>
      <c r="N2196" s="368"/>
      <c r="O2196" s="370"/>
      <c r="T2196" s="340"/>
      <c r="V2196" s="378"/>
      <c r="W2196" s="64" ph="1"/>
      <c r="X2196" s="241"/>
      <c r="Y2196" s="284"/>
      <c r="Z2196" s="207"/>
      <c r="AA2196" s="284"/>
      <c r="AB2196" s="284"/>
      <c r="AC2196" s="284"/>
      <c r="AD2196" s="284"/>
      <c r="AE2196" s="284"/>
      <c r="AF2196" s="284"/>
      <c r="AG2196" s="284"/>
    </row>
    <row r="2197" spans="1:33" ht="26.4">
      <c r="A2197" s="284"/>
      <c r="B2197" s="284"/>
      <c r="C2197" s="284"/>
      <c r="D2197" s="284"/>
      <c r="E2197" s="284"/>
      <c r="F2197" s="284"/>
      <c r="G2197" s="284"/>
      <c r="H2197" s="284"/>
      <c r="I2197" s="284"/>
      <c r="J2197" s="375"/>
      <c r="K2197" s="375"/>
      <c r="L2197" s="375"/>
      <c r="M2197" s="368"/>
      <c r="N2197" s="368"/>
      <c r="O2197" s="370"/>
      <c r="T2197" s="340"/>
      <c r="V2197" s="378"/>
      <c r="W2197" s="64" ph="1"/>
      <c r="X2197" s="241"/>
      <c r="Y2197" s="284"/>
      <c r="Z2197" s="207"/>
      <c r="AA2197" s="284"/>
      <c r="AB2197" s="284"/>
      <c r="AC2197" s="284"/>
      <c r="AD2197" s="284"/>
      <c r="AE2197" s="284"/>
      <c r="AF2197" s="284"/>
      <c r="AG2197" s="284"/>
    </row>
    <row r="2198" spans="1:33" ht="26.4">
      <c r="A2198" s="284"/>
      <c r="B2198" s="284"/>
      <c r="C2198" s="284"/>
      <c r="D2198" s="284"/>
      <c r="E2198" s="284"/>
      <c r="F2198" s="284"/>
      <c r="G2198" s="284"/>
      <c r="H2198" s="284"/>
      <c r="I2198" s="284"/>
      <c r="J2198" s="375"/>
      <c r="K2198" s="375"/>
      <c r="L2198" s="375"/>
      <c r="M2198" s="368"/>
      <c r="N2198" s="368"/>
      <c r="O2198" s="370"/>
      <c r="T2198" s="340"/>
      <c r="V2198" s="378"/>
      <c r="W2198" s="64" ph="1"/>
      <c r="X2198" s="241"/>
      <c r="Y2198" s="284"/>
      <c r="Z2198" s="207"/>
      <c r="AA2198" s="284"/>
      <c r="AB2198" s="284"/>
      <c r="AC2198" s="284"/>
      <c r="AD2198" s="284"/>
      <c r="AE2198" s="284"/>
      <c r="AF2198" s="284"/>
      <c r="AG2198" s="284"/>
    </row>
    <row r="2199" spans="1:33" ht="26.4">
      <c r="A2199" s="284"/>
      <c r="B2199" s="284"/>
      <c r="C2199" s="284"/>
      <c r="D2199" s="284"/>
      <c r="E2199" s="284"/>
      <c r="F2199" s="284"/>
      <c r="G2199" s="284"/>
      <c r="H2199" s="284"/>
      <c r="I2199" s="284"/>
      <c r="J2199" s="375"/>
      <c r="K2199" s="375"/>
      <c r="L2199" s="375"/>
      <c r="M2199" s="368"/>
      <c r="N2199" s="368"/>
      <c r="O2199" s="370"/>
      <c r="T2199" s="340"/>
      <c r="V2199" s="378"/>
      <c r="W2199" s="64" ph="1"/>
      <c r="X2199" s="241"/>
      <c r="Y2199" s="284"/>
      <c r="Z2199" s="207"/>
      <c r="AA2199" s="284"/>
      <c r="AB2199" s="284"/>
      <c r="AC2199" s="284"/>
      <c r="AD2199" s="284"/>
      <c r="AE2199" s="284"/>
      <c r="AF2199" s="284"/>
      <c r="AG2199" s="284"/>
    </row>
    <row r="2200" spans="1:33" ht="26.4">
      <c r="A2200" s="284"/>
      <c r="B2200" s="284"/>
      <c r="C2200" s="284"/>
      <c r="D2200" s="284"/>
      <c r="E2200" s="284"/>
      <c r="F2200" s="284"/>
      <c r="G2200" s="284"/>
      <c r="H2200" s="284"/>
      <c r="I2200" s="284"/>
      <c r="J2200" s="375"/>
      <c r="K2200" s="375"/>
      <c r="L2200" s="375"/>
      <c r="M2200" s="368"/>
      <c r="N2200" s="368"/>
      <c r="O2200" s="370"/>
      <c r="T2200" s="340"/>
      <c r="V2200" s="378"/>
      <c r="W2200" s="64" ph="1"/>
      <c r="X2200" s="241"/>
      <c r="Y2200" s="284"/>
      <c r="Z2200" s="207"/>
      <c r="AA2200" s="284"/>
      <c r="AB2200" s="284"/>
      <c r="AC2200" s="284"/>
      <c r="AD2200" s="284"/>
      <c r="AE2200" s="284"/>
      <c r="AF2200" s="284"/>
      <c r="AG2200" s="284"/>
    </row>
    <row r="2201" spans="1:33" ht="26.4">
      <c r="A2201" s="284"/>
      <c r="B2201" s="284"/>
      <c r="C2201" s="284"/>
      <c r="D2201" s="284"/>
      <c r="E2201" s="284"/>
      <c r="F2201" s="284"/>
      <c r="G2201" s="284"/>
      <c r="H2201" s="284"/>
      <c r="I2201" s="284"/>
      <c r="J2201" s="375"/>
      <c r="K2201" s="375"/>
      <c r="L2201" s="375"/>
      <c r="M2201" s="368"/>
      <c r="N2201" s="368"/>
      <c r="O2201" s="370"/>
      <c r="T2201" s="340"/>
      <c r="V2201" s="378"/>
      <c r="W2201" s="64" ph="1"/>
      <c r="X2201" s="241"/>
      <c r="Y2201" s="284"/>
      <c r="Z2201" s="207"/>
      <c r="AA2201" s="284"/>
      <c r="AB2201" s="284"/>
      <c r="AC2201" s="284"/>
      <c r="AD2201" s="284"/>
      <c r="AE2201" s="284"/>
      <c r="AF2201" s="284"/>
      <c r="AG2201" s="284"/>
    </row>
    <row r="2202" spans="1:33" ht="26.4">
      <c r="A2202" s="284"/>
      <c r="B2202" s="284"/>
      <c r="C2202" s="284"/>
      <c r="D2202" s="284"/>
      <c r="E2202" s="284"/>
      <c r="F2202" s="284"/>
      <c r="G2202" s="284"/>
      <c r="H2202" s="284"/>
      <c r="I2202" s="284"/>
      <c r="J2202" s="375"/>
      <c r="K2202" s="375"/>
      <c r="L2202" s="375"/>
      <c r="M2202" s="368"/>
      <c r="N2202" s="368"/>
      <c r="O2202" s="370"/>
      <c r="T2202" s="340"/>
      <c r="V2202" s="378"/>
      <c r="W2202" s="64" ph="1"/>
      <c r="X2202" s="241"/>
      <c r="Y2202" s="284"/>
      <c r="Z2202" s="207"/>
      <c r="AA2202" s="284"/>
      <c r="AB2202" s="284"/>
      <c r="AC2202" s="284"/>
      <c r="AD2202" s="284"/>
      <c r="AE2202" s="284"/>
      <c r="AF2202" s="284"/>
      <c r="AG2202" s="284"/>
    </row>
    <row r="2203" spans="1:33" ht="26.4">
      <c r="A2203" s="284"/>
      <c r="B2203" s="284"/>
      <c r="C2203" s="284"/>
      <c r="D2203" s="284"/>
      <c r="E2203" s="284"/>
      <c r="F2203" s="284"/>
      <c r="G2203" s="284"/>
      <c r="H2203" s="284"/>
      <c r="I2203" s="284"/>
      <c r="J2203" s="375"/>
      <c r="K2203" s="375"/>
      <c r="L2203" s="375"/>
      <c r="M2203" s="368"/>
      <c r="N2203" s="368"/>
      <c r="O2203" s="370"/>
      <c r="T2203" s="340"/>
      <c r="V2203" s="378"/>
      <c r="W2203" s="64" ph="1"/>
      <c r="X2203" s="241"/>
      <c r="Y2203" s="284"/>
      <c r="Z2203" s="207"/>
      <c r="AA2203" s="284"/>
      <c r="AB2203" s="284"/>
      <c r="AC2203" s="284"/>
      <c r="AD2203" s="284"/>
      <c r="AE2203" s="284"/>
      <c r="AF2203" s="284"/>
      <c r="AG2203" s="284"/>
    </row>
    <row r="2204" spans="1:33" ht="26.4">
      <c r="A2204" s="284"/>
      <c r="B2204" s="284"/>
      <c r="C2204" s="284"/>
      <c r="D2204" s="284"/>
      <c r="E2204" s="284"/>
      <c r="F2204" s="284"/>
      <c r="G2204" s="284"/>
      <c r="H2204" s="284"/>
      <c r="I2204" s="284"/>
      <c r="J2204" s="375"/>
      <c r="K2204" s="375"/>
      <c r="L2204" s="375"/>
      <c r="M2204" s="368"/>
      <c r="N2204" s="368"/>
      <c r="O2204" s="370"/>
      <c r="T2204" s="340"/>
      <c r="V2204" s="378"/>
      <c r="W2204" s="64" ph="1"/>
      <c r="X2204" s="241"/>
      <c r="Y2204" s="284"/>
      <c r="Z2204" s="207"/>
      <c r="AA2204" s="284"/>
      <c r="AB2204" s="284"/>
      <c r="AC2204" s="284"/>
      <c r="AD2204" s="284"/>
      <c r="AE2204" s="284"/>
      <c r="AF2204" s="284"/>
      <c r="AG2204" s="284"/>
    </row>
    <row r="2205" spans="1:33" ht="26.4">
      <c r="A2205" s="284"/>
      <c r="B2205" s="284"/>
      <c r="C2205" s="284"/>
      <c r="D2205" s="284"/>
      <c r="E2205" s="284"/>
      <c r="F2205" s="284"/>
      <c r="G2205" s="284"/>
      <c r="H2205" s="284"/>
      <c r="I2205" s="284"/>
      <c r="J2205" s="375"/>
      <c r="K2205" s="375"/>
      <c r="L2205" s="375"/>
      <c r="M2205" s="368"/>
      <c r="N2205" s="368"/>
      <c r="O2205" s="370"/>
      <c r="T2205" s="340"/>
      <c r="V2205" s="378"/>
      <c r="W2205" s="64" ph="1"/>
      <c r="X2205" s="241"/>
      <c r="Y2205" s="284"/>
      <c r="Z2205" s="207"/>
      <c r="AA2205" s="284"/>
      <c r="AB2205" s="284"/>
      <c r="AC2205" s="284"/>
      <c r="AD2205" s="284"/>
      <c r="AE2205" s="284"/>
      <c r="AF2205" s="284"/>
      <c r="AG2205" s="284"/>
    </row>
    <row r="2206" spans="1:33" ht="26.4">
      <c r="A2206" s="284"/>
      <c r="B2206" s="284"/>
      <c r="C2206" s="284"/>
      <c r="D2206" s="284"/>
      <c r="E2206" s="284"/>
      <c r="F2206" s="284"/>
      <c r="G2206" s="284"/>
      <c r="H2206" s="284"/>
      <c r="I2206" s="284"/>
      <c r="J2206" s="375"/>
      <c r="K2206" s="375"/>
      <c r="L2206" s="375"/>
      <c r="M2206" s="368"/>
      <c r="N2206" s="368"/>
      <c r="O2206" s="370"/>
      <c r="T2206" s="340"/>
      <c r="V2206" s="378"/>
      <c r="W2206" s="64" ph="1"/>
      <c r="X2206" s="241"/>
      <c r="Y2206" s="284"/>
      <c r="Z2206" s="207"/>
      <c r="AA2206" s="284"/>
      <c r="AB2206" s="284"/>
      <c r="AC2206" s="284"/>
      <c r="AD2206" s="284"/>
      <c r="AE2206" s="284"/>
      <c r="AF2206" s="284"/>
      <c r="AG2206" s="284"/>
    </row>
    <row r="2207" spans="1:33" ht="26.4">
      <c r="A2207" s="284"/>
      <c r="B2207" s="284"/>
      <c r="C2207" s="284"/>
      <c r="D2207" s="284"/>
      <c r="E2207" s="284"/>
      <c r="F2207" s="284"/>
      <c r="G2207" s="284"/>
      <c r="H2207" s="284"/>
      <c r="I2207" s="284"/>
      <c r="J2207" s="375"/>
      <c r="K2207" s="375"/>
      <c r="L2207" s="375"/>
      <c r="M2207" s="368"/>
      <c r="N2207" s="368"/>
      <c r="O2207" s="370"/>
      <c r="T2207" s="340"/>
      <c r="V2207" s="378"/>
      <c r="W2207" s="64" ph="1"/>
      <c r="X2207" s="241"/>
      <c r="Y2207" s="284"/>
      <c r="Z2207" s="207"/>
      <c r="AA2207" s="284"/>
      <c r="AB2207" s="284"/>
      <c r="AC2207" s="284"/>
      <c r="AD2207" s="284"/>
      <c r="AE2207" s="284"/>
      <c r="AF2207" s="284"/>
      <c r="AG2207" s="284"/>
    </row>
    <row r="2208" spans="1:33" ht="26.4">
      <c r="A2208" s="284"/>
      <c r="B2208" s="284"/>
      <c r="C2208" s="284"/>
      <c r="D2208" s="284"/>
      <c r="E2208" s="284"/>
      <c r="F2208" s="284"/>
      <c r="G2208" s="284"/>
      <c r="H2208" s="284"/>
      <c r="I2208" s="284"/>
      <c r="J2208" s="375"/>
      <c r="K2208" s="375"/>
      <c r="L2208" s="375"/>
      <c r="M2208" s="368"/>
      <c r="N2208" s="368"/>
      <c r="O2208" s="370"/>
      <c r="T2208" s="340"/>
      <c r="V2208" s="378"/>
      <c r="W2208" s="64" ph="1"/>
      <c r="X2208" s="241"/>
      <c r="Y2208" s="284"/>
      <c r="Z2208" s="207"/>
      <c r="AA2208" s="284"/>
      <c r="AB2208" s="284"/>
      <c r="AC2208" s="284"/>
      <c r="AD2208" s="284"/>
      <c r="AE2208" s="284"/>
      <c r="AF2208" s="284"/>
      <c r="AG2208" s="284"/>
    </row>
    <row r="2209" spans="1:33" ht="26.4">
      <c r="A2209" s="284"/>
      <c r="B2209" s="284"/>
      <c r="C2209" s="284"/>
      <c r="D2209" s="284"/>
      <c r="E2209" s="284"/>
      <c r="F2209" s="284"/>
      <c r="G2209" s="284"/>
      <c r="H2209" s="284"/>
      <c r="I2209" s="284"/>
      <c r="J2209" s="375"/>
      <c r="K2209" s="375"/>
      <c r="L2209" s="375"/>
      <c r="M2209" s="368"/>
      <c r="N2209" s="368"/>
      <c r="O2209" s="370"/>
      <c r="T2209" s="340"/>
      <c r="V2209" s="378"/>
      <c r="W2209" s="64" ph="1"/>
      <c r="X2209" s="241"/>
      <c r="Y2209" s="284"/>
      <c r="Z2209" s="207"/>
      <c r="AA2209" s="284"/>
      <c r="AB2209" s="284"/>
      <c r="AC2209" s="284"/>
      <c r="AD2209" s="284"/>
      <c r="AE2209" s="284"/>
      <c r="AF2209" s="284"/>
      <c r="AG2209" s="284"/>
    </row>
    <row r="2210" spans="1:33" ht="26.4">
      <c r="A2210" s="284"/>
      <c r="B2210" s="284"/>
      <c r="C2210" s="284"/>
      <c r="D2210" s="284"/>
      <c r="E2210" s="284"/>
      <c r="F2210" s="284"/>
      <c r="G2210" s="284"/>
      <c r="H2210" s="284"/>
      <c r="I2210" s="284"/>
      <c r="J2210" s="375"/>
      <c r="K2210" s="375"/>
      <c r="L2210" s="375"/>
      <c r="M2210" s="368"/>
      <c r="N2210" s="368"/>
      <c r="O2210" s="370"/>
      <c r="T2210" s="340"/>
      <c r="V2210" s="378"/>
      <c r="W2210" s="64" ph="1"/>
      <c r="X2210" s="241"/>
      <c r="Y2210" s="284"/>
      <c r="Z2210" s="207"/>
      <c r="AA2210" s="284"/>
      <c r="AB2210" s="284"/>
      <c r="AC2210" s="284"/>
      <c r="AD2210" s="284"/>
      <c r="AE2210" s="284"/>
      <c r="AF2210" s="284"/>
      <c r="AG2210" s="284"/>
    </row>
    <row r="2211" spans="1:33" ht="26.4">
      <c r="A2211" s="284"/>
      <c r="B2211" s="284"/>
      <c r="C2211" s="284"/>
      <c r="D2211" s="284"/>
      <c r="E2211" s="284"/>
      <c r="F2211" s="284"/>
      <c r="G2211" s="284"/>
      <c r="H2211" s="284"/>
      <c r="I2211" s="284"/>
      <c r="J2211" s="375"/>
      <c r="K2211" s="375"/>
      <c r="L2211" s="375"/>
      <c r="M2211" s="368"/>
      <c r="N2211" s="368"/>
      <c r="O2211" s="370"/>
      <c r="T2211" s="340"/>
      <c r="V2211" s="378"/>
      <c r="W2211" s="64" ph="1"/>
      <c r="X2211" s="241"/>
      <c r="Y2211" s="284"/>
      <c r="Z2211" s="207"/>
      <c r="AA2211" s="284"/>
      <c r="AB2211" s="284"/>
      <c r="AC2211" s="284"/>
      <c r="AD2211" s="284"/>
      <c r="AE2211" s="284"/>
      <c r="AF2211" s="284"/>
      <c r="AG2211" s="284"/>
    </row>
    <row r="2212" spans="1:33" ht="26.4">
      <c r="A2212" s="284"/>
      <c r="B2212" s="284"/>
      <c r="C2212" s="284"/>
      <c r="D2212" s="284"/>
      <c r="E2212" s="284"/>
      <c r="F2212" s="284"/>
      <c r="G2212" s="284"/>
      <c r="H2212" s="284"/>
      <c r="I2212" s="284"/>
      <c r="J2212" s="375"/>
      <c r="K2212" s="375"/>
      <c r="L2212" s="375"/>
      <c r="M2212" s="368"/>
      <c r="N2212" s="368"/>
      <c r="O2212" s="370"/>
      <c r="T2212" s="340"/>
      <c r="V2212" s="378"/>
      <c r="W2212" s="64" ph="1"/>
      <c r="X2212" s="241"/>
      <c r="Y2212" s="284"/>
      <c r="Z2212" s="207"/>
      <c r="AA2212" s="284"/>
      <c r="AB2212" s="284"/>
      <c r="AC2212" s="284"/>
      <c r="AD2212" s="284"/>
      <c r="AE2212" s="284"/>
      <c r="AF2212" s="284"/>
      <c r="AG2212" s="284"/>
    </row>
    <row r="2213" spans="1:33" ht="26.4">
      <c r="A2213" s="284"/>
      <c r="B2213" s="284"/>
      <c r="C2213" s="284"/>
      <c r="D2213" s="284"/>
      <c r="E2213" s="284"/>
      <c r="F2213" s="284"/>
      <c r="G2213" s="284"/>
      <c r="H2213" s="284"/>
      <c r="I2213" s="284"/>
      <c r="J2213" s="375"/>
      <c r="K2213" s="375"/>
      <c r="L2213" s="375"/>
      <c r="M2213" s="368"/>
      <c r="N2213" s="368"/>
      <c r="O2213" s="370"/>
      <c r="T2213" s="340"/>
      <c r="V2213" s="378"/>
      <c r="W2213" s="64" ph="1"/>
      <c r="X2213" s="241"/>
      <c r="Y2213" s="284"/>
      <c r="Z2213" s="207"/>
      <c r="AA2213" s="284"/>
      <c r="AB2213" s="284"/>
      <c r="AC2213" s="284"/>
      <c r="AD2213" s="284"/>
      <c r="AE2213" s="284"/>
      <c r="AF2213" s="284"/>
      <c r="AG2213" s="284"/>
    </row>
    <row r="2214" spans="1:33" ht="26.4">
      <c r="A2214" s="284"/>
      <c r="B2214" s="284"/>
      <c r="C2214" s="284"/>
      <c r="D2214" s="284"/>
      <c r="E2214" s="284"/>
      <c r="F2214" s="284"/>
      <c r="G2214" s="284"/>
      <c r="H2214" s="284"/>
      <c r="I2214" s="284"/>
      <c r="J2214" s="375"/>
      <c r="K2214" s="375"/>
      <c r="L2214" s="375"/>
      <c r="M2214" s="368"/>
      <c r="N2214" s="368"/>
      <c r="O2214" s="370"/>
      <c r="T2214" s="340"/>
      <c r="V2214" s="378"/>
      <c r="W2214" s="64" ph="1"/>
      <c r="X2214" s="241"/>
      <c r="Y2214" s="284"/>
      <c r="Z2214" s="207"/>
      <c r="AA2214" s="284"/>
      <c r="AB2214" s="284"/>
      <c r="AC2214" s="284"/>
      <c r="AD2214" s="284"/>
      <c r="AE2214" s="284"/>
      <c r="AF2214" s="284"/>
      <c r="AG2214" s="284"/>
    </row>
    <row r="2215" spans="1:33" ht="26.4">
      <c r="A2215" s="284"/>
      <c r="B2215" s="284"/>
      <c r="C2215" s="284"/>
      <c r="D2215" s="284"/>
      <c r="E2215" s="284"/>
      <c r="F2215" s="284"/>
      <c r="G2215" s="284"/>
      <c r="H2215" s="284"/>
      <c r="I2215" s="284"/>
      <c r="J2215" s="375"/>
      <c r="K2215" s="375"/>
      <c r="L2215" s="375"/>
      <c r="M2215" s="368"/>
      <c r="N2215" s="368"/>
      <c r="O2215" s="370"/>
      <c r="T2215" s="340"/>
      <c r="V2215" s="378"/>
      <c r="W2215" s="64" ph="1"/>
      <c r="X2215" s="241"/>
      <c r="Y2215" s="284"/>
      <c r="Z2215" s="207"/>
      <c r="AA2215" s="284"/>
      <c r="AB2215" s="284"/>
      <c r="AC2215" s="284"/>
      <c r="AD2215" s="284"/>
      <c r="AE2215" s="284"/>
      <c r="AF2215" s="284"/>
      <c r="AG2215" s="284"/>
    </row>
    <row r="2216" spans="1:33" ht="26.4">
      <c r="A2216" s="284"/>
      <c r="B2216" s="284"/>
      <c r="C2216" s="284"/>
      <c r="D2216" s="284"/>
      <c r="E2216" s="284"/>
      <c r="F2216" s="284"/>
      <c r="G2216" s="284"/>
      <c r="H2216" s="284"/>
      <c r="I2216" s="284"/>
      <c r="J2216" s="375"/>
      <c r="K2216" s="375"/>
      <c r="L2216" s="375"/>
      <c r="M2216" s="368"/>
      <c r="N2216" s="368"/>
      <c r="O2216" s="370"/>
      <c r="T2216" s="340"/>
      <c r="V2216" s="378"/>
      <c r="W2216" s="64" ph="1"/>
      <c r="X2216" s="241"/>
      <c r="Y2216" s="284"/>
      <c r="Z2216" s="207"/>
      <c r="AA2216" s="284"/>
      <c r="AB2216" s="284"/>
      <c r="AC2216" s="284"/>
      <c r="AD2216" s="284"/>
      <c r="AE2216" s="284"/>
      <c r="AF2216" s="284"/>
      <c r="AG2216" s="284"/>
    </row>
    <row r="2217" spans="1:33" ht="26.4">
      <c r="A2217" s="284"/>
      <c r="B2217" s="284"/>
      <c r="C2217" s="284"/>
      <c r="D2217" s="284"/>
      <c r="E2217" s="284"/>
      <c r="F2217" s="284"/>
      <c r="G2217" s="284"/>
      <c r="H2217" s="284"/>
      <c r="I2217" s="284"/>
      <c r="J2217" s="375"/>
      <c r="K2217" s="375"/>
      <c r="L2217" s="375"/>
      <c r="M2217" s="368"/>
      <c r="N2217" s="368"/>
      <c r="O2217" s="370"/>
      <c r="T2217" s="340"/>
      <c r="V2217" s="378"/>
      <c r="W2217" s="64" ph="1"/>
      <c r="X2217" s="241"/>
      <c r="Y2217" s="284"/>
      <c r="Z2217" s="207"/>
      <c r="AA2217" s="284"/>
      <c r="AB2217" s="284"/>
      <c r="AC2217" s="284"/>
      <c r="AD2217" s="284"/>
      <c r="AE2217" s="284"/>
      <c r="AF2217" s="284"/>
      <c r="AG2217" s="284"/>
    </row>
    <row r="2218" spans="1:33" ht="26.4">
      <c r="A2218" s="284"/>
      <c r="B2218" s="284"/>
      <c r="C2218" s="284"/>
      <c r="D2218" s="284"/>
      <c r="E2218" s="284"/>
      <c r="F2218" s="284"/>
      <c r="G2218" s="284"/>
      <c r="H2218" s="284"/>
      <c r="I2218" s="284"/>
      <c r="J2218" s="375"/>
      <c r="K2218" s="375"/>
      <c r="L2218" s="375"/>
      <c r="M2218" s="368"/>
      <c r="N2218" s="368"/>
      <c r="O2218" s="370"/>
      <c r="T2218" s="340"/>
      <c r="V2218" s="378"/>
      <c r="W2218" s="64" ph="1"/>
      <c r="X2218" s="241"/>
      <c r="Y2218" s="284"/>
      <c r="Z2218" s="207"/>
      <c r="AA2218" s="284"/>
      <c r="AB2218" s="284"/>
      <c r="AC2218" s="284"/>
      <c r="AD2218" s="284"/>
      <c r="AE2218" s="284"/>
      <c r="AF2218" s="284"/>
      <c r="AG2218" s="284"/>
    </row>
    <row r="2219" spans="1:33" ht="26.4">
      <c r="A2219" s="284"/>
      <c r="B2219" s="284"/>
      <c r="C2219" s="284"/>
      <c r="D2219" s="284"/>
      <c r="E2219" s="284"/>
      <c r="F2219" s="284"/>
      <c r="G2219" s="284"/>
      <c r="H2219" s="284"/>
      <c r="I2219" s="284"/>
      <c r="J2219" s="375"/>
      <c r="K2219" s="375"/>
      <c r="L2219" s="375"/>
      <c r="M2219" s="368"/>
      <c r="N2219" s="368"/>
      <c r="O2219" s="370"/>
      <c r="T2219" s="340"/>
      <c r="V2219" s="378"/>
      <c r="W2219" s="64" ph="1"/>
      <c r="X2219" s="241"/>
      <c r="Y2219" s="284"/>
      <c r="Z2219" s="207"/>
      <c r="AA2219" s="284"/>
      <c r="AB2219" s="284"/>
      <c r="AC2219" s="284"/>
      <c r="AD2219" s="284"/>
      <c r="AE2219" s="284"/>
      <c r="AF2219" s="284"/>
      <c r="AG2219" s="284"/>
    </row>
    <row r="2220" spans="1:33" ht="26.4">
      <c r="A2220" s="284"/>
      <c r="B2220" s="284"/>
      <c r="C2220" s="284"/>
      <c r="D2220" s="284"/>
      <c r="E2220" s="284"/>
      <c r="F2220" s="284"/>
      <c r="G2220" s="284"/>
      <c r="H2220" s="284"/>
      <c r="I2220" s="284"/>
      <c r="J2220" s="375"/>
      <c r="K2220" s="375"/>
      <c r="L2220" s="375"/>
      <c r="M2220" s="368"/>
      <c r="N2220" s="368"/>
      <c r="O2220" s="370"/>
      <c r="T2220" s="340"/>
      <c r="V2220" s="378"/>
      <c r="W2220" s="64" ph="1"/>
      <c r="X2220" s="241"/>
      <c r="Y2220" s="284"/>
      <c r="Z2220" s="207"/>
      <c r="AA2220" s="284"/>
      <c r="AB2220" s="284"/>
      <c r="AC2220" s="284"/>
      <c r="AD2220" s="284"/>
      <c r="AE2220" s="284"/>
      <c r="AF2220" s="284"/>
      <c r="AG2220" s="284"/>
    </row>
    <row r="2221" spans="1:33" ht="26.4">
      <c r="A2221" s="284"/>
      <c r="B2221" s="284"/>
      <c r="C2221" s="284"/>
      <c r="D2221" s="284"/>
      <c r="E2221" s="284"/>
      <c r="F2221" s="284"/>
      <c r="G2221" s="284"/>
      <c r="H2221" s="284"/>
      <c r="I2221" s="284"/>
      <c r="J2221" s="375"/>
      <c r="K2221" s="375"/>
      <c r="L2221" s="375"/>
      <c r="M2221" s="368"/>
      <c r="N2221" s="368"/>
      <c r="O2221" s="370"/>
      <c r="T2221" s="340"/>
      <c r="V2221" s="378"/>
      <c r="W2221" s="64" ph="1"/>
      <c r="X2221" s="241"/>
      <c r="Y2221" s="284"/>
      <c r="Z2221" s="207"/>
      <c r="AA2221" s="284"/>
      <c r="AB2221" s="284"/>
      <c r="AC2221" s="284"/>
      <c r="AD2221" s="284"/>
      <c r="AE2221" s="284"/>
      <c r="AF2221" s="284"/>
      <c r="AG2221" s="284"/>
    </row>
    <row r="2222" spans="1:33" ht="26.4">
      <c r="A2222" s="284"/>
      <c r="B2222" s="284"/>
      <c r="C2222" s="284"/>
      <c r="D2222" s="284"/>
      <c r="E2222" s="284"/>
      <c r="F2222" s="284"/>
      <c r="G2222" s="284"/>
      <c r="H2222" s="284"/>
      <c r="I2222" s="284"/>
      <c r="J2222" s="375"/>
      <c r="K2222" s="375"/>
      <c r="L2222" s="375"/>
      <c r="M2222" s="368"/>
      <c r="N2222" s="368"/>
      <c r="O2222" s="370"/>
      <c r="T2222" s="340"/>
      <c r="V2222" s="378"/>
      <c r="W2222" s="64" ph="1"/>
      <c r="X2222" s="241"/>
      <c r="Y2222" s="284"/>
      <c r="Z2222" s="207"/>
      <c r="AA2222" s="284"/>
      <c r="AB2222" s="284"/>
      <c r="AC2222" s="284"/>
      <c r="AD2222" s="284"/>
      <c r="AE2222" s="284"/>
      <c r="AF2222" s="284"/>
      <c r="AG2222" s="284"/>
    </row>
    <row r="2223" spans="1:33" ht="26.4">
      <c r="A2223" s="284"/>
      <c r="B2223" s="284"/>
      <c r="C2223" s="284"/>
      <c r="D2223" s="284"/>
      <c r="E2223" s="284"/>
      <c r="F2223" s="284"/>
      <c r="G2223" s="284"/>
      <c r="H2223" s="284"/>
      <c r="I2223" s="284"/>
      <c r="J2223" s="375"/>
      <c r="K2223" s="375"/>
      <c r="L2223" s="375"/>
      <c r="M2223" s="368"/>
      <c r="N2223" s="368"/>
      <c r="O2223" s="370"/>
      <c r="T2223" s="340"/>
      <c r="V2223" s="378"/>
      <c r="W2223" s="64" ph="1"/>
      <c r="X2223" s="241"/>
      <c r="Y2223" s="284"/>
      <c r="Z2223" s="207"/>
      <c r="AA2223" s="284"/>
      <c r="AB2223" s="284"/>
      <c r="AC2223" s="284"/>
      <c r="AD2223" s="284"/>
      <c r="AE2223" s="284"/>
      <c r="AF2223" s="284"/>
      <c r="AG2223" s="284"/>
    </row>
    <row r="2224" spans="1:33" ht="26.4">
      <c r="A2224" s="284"/>
      <c r="B2224" s="284"/>
      <c r="C2224" s="284"/>
      <c r="D2224" s="284"/>
      <c r="E2224" s="284"/>
      <c r="F2224" s="284"/>
      <c r="G2224" s="284"/>
      <c r="H2224" s="284"/>
      <c r="I2224" s="284"/>
      <c r="J2224" s="375"/>
      <c r="K2224" s="375"/>
      <c r="L2224" s="375"/>
      <c r="M2224" s="368"/>
      <c r="N2224" s="368"/>
      <c r="O2224" s="370"/>
      <c r="T2224" s="340"/>
      <c r="V2224" s="378"/>
      <c r="W2224" s="64" ph="1"/>
      <c r="X2224" s="241"/>
      <c r="Y2224" s="284"/>
      <c r="Z2224" s="207"/>
      <c r="AA2224" s="284"/>
      <c r="AB2224" s="284"/>
      <c r="AC2224" s="284"/>
      <c r="AD2224" s="284"/>
      <c r="AE2224" s="284"/>
      <c r="AF2224" s="284"/>
      <c r="AG2224" s="284"/>
    </row>
    <row r="2225" spans="1:33" ht="26.4">
      <c r="A2225" s="284"/>
      <c r="B2225" s="284"/>
      <c r="C2225" s="284"/>
      <c r="D2225" s="284"/>
      <c r="E2225" s="284"/>
      <c r="F2225" s="284"/>
      <c r="G2225" s="284"/>
      <c r="H2225" s="284"/>
      <c r="I2225" s="284"/>
      <c r="J2225" s="375"/>
      <c r="K2225" s="375"/>
      <c r="L2225" s="375"/>
      <c r="M2225" s="368"/>
      <c r="N2225" s="368"/>
      <c r="O2225" s="370"/>
      <c r="T2225" s="340"/>
      <c r="V2225" s="378"/>
      <c r="W2225" s="64" ph="1"/>
      <c r="X2225" s="241"/>
      <c r="Y2225" s="284"/>
      <c r="Z2225" s="207"/>
      <c r="AA2225" s="284"/>
      <c r="AB2225" s="284"/>
      <c r="AC2225" s="284"/>
      <c r="AD2225" s="284"/>
      <c r="AE2225" s="284"/>
      <c r="AF2225" s="284"/>
      <c r="AG2225" s="284"/>
    </row>
    <row r="2226" spans="1:33" ht="26.4">
      <c r="A2226" s="284"/>
      <c r="B2226" s="284"/>
      <c r="C2226" s="284"/>
      <c r="D2226" s="284"/>
      <c r="E2226" s="284"/>
      <c r="F2226" s="284"/>
      <c r="G2226" s="284"/>
      <c r="H2226" s="284"/>
      <c r="I2226" s="284"/>
      <c r="J2226" s="375"/>
      <c r="K2226" s="375"/>
      <c r="L2226" s="375"/>
      <c r="M2226" s="368"/>
      <c r="N2226" s="368"/>
      <c r="O2226" s="370"/>
      <c r="T2226" s="340"/>
      <c r="V2226" s="378"/>
      <c r="W2226" s="64" ph="1"/>
      <c r="X2226" s="241"/>
      <c r="Y2226" s="284"/>
      <c r="Z2226" s="207"/>
      <c r="AA2226" s="284"/>
      <c r="AB2226" s="284"/>
      <c r="AC2226" s="284"/>
      <c r="AD2226" s="284"/>
      <c r="AE2226" s="284"/>
      <c r="AF2226" s="284"/>
      <c r="AG2226" s="284"/>
    </row>
    <row r="2227" spans="1:33" ht="26.4">
      <c r="A2227" s="284"/>
      <c r="B2227" s="284"/>
      <c r="C2227" s="284"/>
      <c r="D2227" s="284"/>
      <c r="E2227" s="284"/>
      <c r="F2227" s="284"/>
      <c r="G2227" s="284"/>
      <c r="H2227" s="284"/>
      <c r="I2227" s="284"/>
      <c r="J2227" s="375"/>
      <c r="K2227" s="375"/>
      <c r="L2227" s="375"/>
      <c r="M2227" s="368"/>
      <c r="N2227" s="368"/>
      <c r="O2227" s="370"/>
      <c r="T2227" s="340"/>
      <c r="V2227" s="378"/>
      <c r="W2227" s="64" ph="1"/>
      <c r="X2227" s="241"/>
      <c r="Y2227" s="284"/>
      <c r="Z2227" s="207"/>
      <c r="AA2227" s="284"/>
      <c r="AB2227" s="284"/>
      <c r="AC2227" s="284"/>
      <c r="AD2227" s="284"/>
      <c r="AE2227" s="284"/>
      <c r="AF2227" s="284"/>
      <c r="AG2227" s="284"/>
    </row>
    <row r="2228" spans="1:33" ht="26.4">
      <c r="A2228" s="284"/>
      <c r="B2228" s="284"/>
      <c r="C2228" s="284"/>
      <c r="D2228" s="284"/>
      <c r="E2228" s="284"/>
      <c r="F2228" s="284"/>
      <c r="G2228" s="284"/>
      <c r="H2228" s="284"/>
      <c r="I2228" s="284"/>
      <c r="J2228" s="375"/>
      <c r="K2228" s="375"/>
      <c r="L2228" s="375"/>
      <c r="M2228" s="368"/>
      <c r="N2228" s="368"/>
      <c r="O2228" s="370"/>
      <c r="T2228" s="340"/>
      <c r="V2228" s="378"/>
      <c r="W2228" s="64" ph="1"/>
      <c r="X2228" s="241"/>
      <c r="Y2228" s="284"/>
      <c r="Z2228" s="207"/>
      <c r="AA2228" s="284"/>
      <c r="AB2228" s="284"/>
      <c r="AC2228" s="284"/>
      <c r="AD2228" s="284"/>
      <c r="AE2228" s="284"/>
      <c r="AF2228" s="284"/>
      <c r="AG2228" s="284"/>
    </row>
    <row r="2229" spans="1:33" ht="26.4">
      <c r="A2229" s="284"/>
      <c r="B2229" s="284"/>
      <c r="C2229" s="284"/>
      <c r="D2229" s="284"/>
      <c r="E2229" s="284"/>
      <c r="F2229" s="284"/>
      <c r="G2229" s="284"/>
      <c r="H2229" s="284"/>
      <c r="I2229" s="284"/>
      <c r="J2229" s="375"/>
      <c r="K2229" s="375"/>
      <c r="L2229" s="375"/>
      <c r="M2229" s="368"/>
      <c r="N2229" s="368"/>
      <c r="O2229" s="370"/>
      <c r="T2229" s="340"/>
      <c r="V2229" s="378"/>
      <c r="W2229" s="64" ph="1"/>
      <c r="X2229" s="241"/>
      <c r="Y2229" s="284"/>
      <c r="Z2229" s="207"/>
      <c r="AA2229" s="284"/>
      <c r="AB2229" s="284"/>
      <c r="AC2229" s="284"/>
      <c r="AD2229" s="284"/>
      <c r="AE2229" s="284"/>
      <c r="AF2229" s="284"/>
      <c r="AG2229" s="284"/>
    </row>
    <row r="2230" spans="1:33" ht="26.4">
      <c r="A2230" s="284"/>
      <c r="B2230" s="284"/>
      <c r="C2230" s="284"/>
      <c r="D2230" s="284"/>
      <c r="E2230" s="284"/>
      <c r="F2230" s="284"/>
      <c r="G2230" s="284"/>
      <c r="H2230" s="284"/>
      <c r="I2230" s="284"/>
      <c r="J2230" s="375"/>
      <c r="K2230" s="375"/>
      <c r="L2230" s="375"/>
      <c r="M2230" s="368"/>
      <c r="N2230" s="368"/>
      <c r="O2230" s="370"/>
      <c r="T2230" s="340"/>
      <c r="V2230" s="378"/>
      <c r="W2230" s="64" ph="1"/>
      <c r="X2230" s="241"/>
      <c r="Y2230" s="284"/>
      <c r="Z2230" s="207"/>
      <c r="AA2230" s="284"/>
      <c r="AB2230" s="284"/>
      <c r="AC2230" s="284"/>
      <c r="AD2230" s="284"/>
      <c r="AE2230" s="284"/>
      <c r="AF2230" s="284"/>
      <c r="AG2230" s="284"/>
    </row>
    <row r="2231" spans="1:33" ht="26.4">
      <c r="A2231" s="284"/>
      <c r="B2231" s="284"/>
      <c r="C2231" s="284"/>
      <c r="D2231" s="284"/>
      <c r="E2231" s="284"/>
      <c r="F2231" s="284"/>
      <c r="G2231" s="284"/>
      <c r="H2231" s="284"/>
      <c r="I2231" s="284"/>
      <c r="J2231" s="375"/>
      <c r="K2231" s="375"/>
      <c r="L2231" s="375"/>
      <c r="M2231" s="368"/>
      <c r="N2231" s="368"/>
      <c r="O2231" s="370"/>
      <c r="T2231" s="340"/>
      <c r="V2231" s="378"/>
      <c r="W2231" s="64" ph="1"/>
      <c r="X2231" s="241"/>
      <c r="Y2231" s="284"/>
      <c r="Z2231" s="207"/>
      <c r="AA2231" s="284"/>
      <c r="AB2231" s="284"/>
      <c r="AC2231" s="284"/>
      <c r="AD2231" s="284"/>
      <c r="AE2231" s="284"/>
      <c r="AF2231" s="284"/>
      <c r="AG2231" s="284"/>
    </row>
    <row r="2232" spans="1:33" ht="26.4">
      <c r="A2232" s="284"/>
      <c r="B2232" s="284"/>
      <c r="C2232" s="284"/>
      <c r="D2232" s="284"/>
      <c r="E2232" s="284"/>
      <c r="F2232" s="284"/>
      <c r="G2232" s="284"/>
      <c r="H2232" s="284"/>
      <c r="I2232" s="284"/>
      <c r="J2232" s="375"/>
      <c r="K2232" s="375"/>
      <c r="L2232" s="375"/>
      <c r="M2232" s="368"/>
      <c r="N2232" s="368"/>
      <c r="O2232" s="370"/>
      <c r="T2232" s="340"/>
      <c r="V2232" s="378"/>
      <c r="W2232" s="64" ph="1"/>
      <c r="X2232" s="241"/>
      <c r="Y2232" s="284"/>
      <c r="Z2232" s="207"/>
      <c r="AA2232" s="284"/>
      <c r="AB2232" s="284"/>
      <c r="AC2232" s="284"/>
      <c r="AD2232" s="284"/>
      <c r="AE2232" s="284"/>
      <c r="AF2232" s="284"/>
      <c r="AG2232" s="284"/>
    </row>
    <row r="2233" spans="1:33" ht="26.4">
      <c r="A2233" s="284"/>
      <c r="B2233" s="284"/>
      <c r="C2233" s="284"/>
      <c r="D2233" s="284"/>
      <c r="E2233" s="284"/>
      <c r="F2233" s="284"/>
      <c r="G2233" s="284"/>
      <c r="H2233" s="284"/>
      <c r="I2233" s="284"/>
      <c r="J2233" s="375"/>
      <c r="K2233" s="375"/>
      <c r="L2233" s="375"/>
      <c r="M2233" s="368"/>
      <c r="N2233" s="368"/>
      <c r="O2233" s="370"/>
      <c r="T2233" s="340"/>
      <c r="V2233" s="378"/>
      <c r="W2233" s="64" ph="1"/>
      <c r="X2233" s="241"/>
      <c r="Y2233" s="284"/>
      <c r="Z2233" s="207"/>
      <c r="AA2233" s="284"/>
      <c r="AB2233" s="284"/>
      <c r="AC2233" s="284"/>
      <c r="AD2233" s="284"/>
      <c r="AE2233" s="284"/>
      <c r="AF2233" s="284"/>
      <c r="AG2233" s="284"/>
    </row>
    <row r="2234" spans="1:33" ht="26.4">
      <c r="A2234" s="284"/>
      <c r="B2234" s="284"/>
      <c r="C2234" s="284"/>
      <c r="D2234" s="284"/>
      <c r="E2234" s="284"/>
      <c r="F2234" s="284"/>
      <c r="G2234" s="284"/>
      <c r="H2234" s="284"/>
      <c r="I2234" s="284"/>
      <c r="J2234" s="375"/>
      <c r="K2234" s="375"/>
      <c r="L2234" s="375"/>
      <c r="M2234" s="368"/>
      <c r="N2234" s="368"/>
      <c r="O2234" s="370"/>
      <c r="T2234" s="340"/>
      <c r="V2234" s="378"/>
      <c r="W2234" s="64" ph="1"/>
      <c r="X2234" s="241"/>
      <c r="Y2234" s="284"/>
      <c r="Z2234" s="207"/>
      <c r="AA2234" s="284"/>
      <c r="AB2234" s="284"/>
      <c r="AC2234" s="284"/>
      <c r="AD2234" s="284"/>
      <c r="AE2234" s="284"/>
      <c r="AF2234" s="284"/>
      <c r="AG2234" s="284"/>
    </row>
    <row r="2235" spans="1:33" ht="26.4">
      <c r="A2235" s="284"/>
      <c r="B2235" s="284"/>
      <c r="C2235" s="284"/>
      <c r="D2235" s="284"/>
      <c r="E2235" s="284"/>
      <c r="F2235" s="284"/>
      <c r="G2235" s="284"/>
      <c r="H2235" s="284"/>
      <c r="I2235" s="284"/>
      <c r="J2235" s="375"/>
      <c r="K2235" s="375"/>
      <c r="L2235" s="375"/>
      <c r="M2235" s="368"/>
      <c r="N2235" s="368"/>
      <c r="O2235" s="370"/>
      <c r="T2235" s="340"/>
      <c r="V2235" s="378"/>
      <c r="W2235" s="64" ph="1"/>
      <c r="X2235" s="241"/>
      <c r="Y2235" s="284"/>
      <c r="Z2235" s="207"/>
      <c r="AA2235" s="284"/>
      <c r="AB2235" s="284"/>
      <c r="AC2235" s="284"/>
      <c r="AD2235" s="284"/>
      <c r="AE2235" s="284"/>
      <c r="AF2235" s="284"/>
      <c r="AG2235" s="284"/>
    </row>
    <row r="2236" spans="1:33" ht="26.4">
      <c r="A2236" s="284"/>
      <c r="B2236" s="284"/>
      <c r="C2236" s="284"/>
      <c r="D2236" s="284"/>
      <c r="E2236" s="284"/>
      <c r="F2236" s="284"/>
      <c r="G2236" s="284"/>
      <c r="H2236" s="284"/>
      <c r="I2236" s="284"/>
      <c r="J2236" s="375"/>
      <c r="K2236" s="375"/>
      <c r="L2236" s="375"/>
      <c r="M2236" s="368"/>
      <c r="N2236" s="368"/>
      <c r="O2236" s="370"/>
      <c r="T2236" s="340"/>
      <c r="V2236" s="378"/>
      <c r="W2236" s="64" ph="1"/>
      <c r="X2236" s="241"/>
      <c r="Y2236" s="284"/>
      <c r="Z2236" s="207"/>
      <c r="AA2236" s="284"/>
      <c r="AB2236" s="284"/>
      <c r="AC2236" s="284"/>
      <c r="AD2236" s="284"/>
      <c r="AE2236" s="284"/>
      <c r="AF2236" s="284"/>
      <c r="AG2236" s="284"/>
    </row>
    <row r="2237" spans="1:33" ht="26.4">
      <c r="A2237" s="284"/>
      <c r="B2237" s="284"/>
      <c r="C2237" s="284"/>
      <c r="D2237" s="284"/>
      <c r="E2237" s="284"/>
      <c r="F2237" s="284"/>
      <c r="G2237" s="284"/>
      <c r="H2237" s="284"/>
      <c r="I2237" s="284"/>
      <c r="J2237" s="375"/>
      <c r="K2237" s="375"/>
      <c r="L2237" s="375"/>
      <c r="M2237" s="368"/>
      <c r="N2237" s="368"/>
      <c r="O2237" s="370"/>
      <c r="T2237" s="340"/>
      <c r="V2237" s="378"/>
      <c r="W2237" s="64" ph="1"/>
      <c r="X2237" s="241"/>
      <c r="Y2237" s="284"/>
      <c r="Z2237" s="207"/>
      <c r="AA2237" s="284"/>
      <c r="AB2237" s="284"/>
      <c r="AC2237" s="284"/>
      <c r="AD2237" s="284"/>
      <c r="AE2237" s="284"/>
      <c r="AF2237" s="284"/>
      <c r="AG2237" s="284"/>
    </row>
    <row r="2238" spans="1:33" ht="26.4">
      <c r="A2238" s="284"/>
      <c r="B2238" s="284"/>
      <c r="C2238" s="284"/>
      <c r="D2238" s="284"/>
      <c r="E2238" s="284"/>
      <c r="F2238" s="284"/>
      <c r="G2238" s="284"/>
      <c r="H2238" s="284"/>
      <c r="I2238" s="284"/>
      <c r="J2238" s="375"/>
      <c r="K2238" s="375"/>
      <c r="L2238" s="375"/>
      <c r="M2238" s="368"/>
      <c r="N2238" s="368"/>
      <c r="O2238" s="370"/>
      <c r="T2238" s="340"/>
      <c r="V2238" s="378"/>
      <c r="W2238" s="64" ph="1"/>
      <c r="X2238" s="241"/>
      <c r="Y2238" s="284"/>
      <c r="Z2238" s="207"/>
      <c r="AA2238" s="284"/>
      <c r="AB2238" s="284"/>
      <c r="AC2238" s="284"/>
      <c r="AD2238" s="284"/>
      <c r="AE2238" s="284"/>
      <c r="AF2238" s="284"/>
      <c r="AG2238" s="284"/>
    </row>
    <row r="2239" spans="1:33" ht="26.4">
      <c r="A2239" s="284"/>
      <c r="B2239" s="284"/>
      <c r="C2239" s="284"/>
      <c r="D2239" s="284"/>
      <c r="E2239" s="284"/>
      <c r="F2239" s="284"/>
      <c r="G2239" s="284"/>
      <c r="H2239" s="284"/>
      <c r="I2239" s="284"/>
      <c r="J2239" s="375"/>
      <c r="K2239" s="375"/>
      <c r="L2239" s="375"/>
      <c r="M2239" s="368"/>
      <c r="N2239" s="368"/>
      <c r="O2239" s="370"/>
      <c r="T2239" s="340"/>
      <c r="V2239" s="378"/>
      <c r="W2239" s="64" ph="1"/>
      <c r="X2239" s="241"/>
      <c r="Y2239" s="284"/>
      <c r="Z2239" s="207"/>
      <c r="AA2239" s="284"/>
      <c r="AB2239" s="284"/>
      <c r="AC2239" s="284"/>
      <c r="AD2239" s="284"/>
      <c r="AE2239" s="284"/>
      <c r="AF2239" s="284"/>
      <c r="AG2239" s="284"/>
    </row>
    <row r="2240" spans="1:33" ht="26.4">
      <c r="A2240" s="284"/>
      <c r="B2240" s="284"/>
      <c r="C2240" s="284"/>
      <c r="D2240" s="284"/>
      <c r="E2240" s="284"/>
      <c r="F2240" s="284"/>
      <c r="G2240" s="284"/>
      <c r="H2240" s="284"/>
      <c r="I2240" s="284"/>
      <c r="J2240" s="375"/>
      <c r="K2240" s="375"/>
      <c r="L2240" s="375"/>
      <c r="M2240" s="368"/>
      <c r="N2240" s="368"/>
      <c r="O2240" s="370"/>
      <c r="T2240" s="340"/>
      <c r="V2240" s="378"/>
      <c r="W2240" s="64" ph="1"/>
      <c r="X2240" s="241"/>
      <c r="Y2240" s="284"/>
      <c r="Z2240" s="207"/>
      <c r="AA2240" s="284"/>
      <c r="AB2240" s="284"/>
      <c r="AC2240" s="284"/>
      <c r="AD2240" s="284"/>
      <c r="AE2240" s="284"/>
      <c r="AF2240" s="284"/>
      <c r="AG2240" s="284"/>
    </row>
    <row r="2241" spans="1:33" ht="26.4">
      <c r="A2241" s="284"/>
      <c r="B2241" s="284"/>
      <c r="C2241" s="284"/>
      <c r="D2241" s="284"/>
      <c r="E2241" s="284"/>
      <c r="F2241" s="284"/>
      <c r="G2241" s="284"/>
      <c r="H2241" s="284"/>
      <c r="I2241" s="284"/>
      <c r="J2241" s="375"/>
      <c r="K2241" s="375"/>
      <c r="L2241" s="375"/>
      <c r="M2241" s="368"/>
      <c r="N2241" s="368"/>
      <c r="O2241" s="370"/>
      <c r="T2241" s="340"/>
      <c r="V2241" s="378"/>
      <c r="W2241" s="64" ph="1"/>
      <c r="X2241" s="241"/>
      <c r="Y2241" s="284"/>
      <c r="Z2241" s="207"/>
      <c r="AA2241" s="284"/>
      <c r="AB2241" s="284"/>
      <c r="AC2241" s="284"/>
      <c r="AD2241" s="284"/>
      <c r="AE2241" s="284"/>
      <c r="AF2241" s="284"/>
      <c r="AG2241" s="284"/>
    </row>
    <row r="2242" spans="1:33" ht="26.4">
      <c r="A2242" s="284"/>
      <c r="B2242" s="284"/>
      <c r="C2242" s="284"/>
      <c r="D2242" s="284"/>
      <c r="E2242" s="284"/>
      <c r="F2242" s="284"/>
      <c r="G2242" s="284"/>
      <c r="H2242" s="284"/>
      <c r="I2242" s="284"/>
      <c r="J2242" s="375"/>
      <c r="K2242" s="375"/>
      <c r="L2242" s="375"/>
      <c r="M2242" s="368"/>
      <c r="N2242" s="368"/>
      <c r="O2242" s="370"/>
      <c r="T2242" s="340"/>
      <c r="V2242" s="378"/>
      <c r="W2242" s="64" ph="1"/>
      <c r="X2242" s="241"/>
      <c r="Y2242" s="284"/>
      <c r="Z2242" s="207"/>
      <c r="AA2242" s="284"/>
      <c r="AB2242" s="284"/>
      <c r="AC2242" s="284"/>
      <c r="AD2242" s="284"/>
      <c r="AE2242" s="284"/>
      <c r="AF2242" s="284"/>
      <c r="AG2242" s="284"/>
    </row>
    <row r="2243" spans="1:33" ht="26.4">
      <c r="A2243" s="284"/>
      <c r="B2243" s="284"/>
      <c r="C2243" s="284"/>
      <c r="D2243" s="284"/>
      <c r="E2243" s="284"/>
      <c r="F2243" s="284"/>
      <c r="G2243" s="284"/>
      <c r="H2243" s="284"/>
      <c r="I2243" s="284"/>
      <c r="J2243" s="375"/>
      <c r="K2243" s="375"/>
      <c r="L2243" s="375"/>
      <c r="M2243" s="368"/>
      <c r="N2243" s="368"/>
      <c r="O2243" s="370"/>
      <c r="T2243" s="340"/>
      <c r="V2243" s="378"/>
      <c r="W2243" s="64" ph="1"/>
      <c r="X2243" s="241"/>
      <c r="Y2243" s="284"/>
      <c r="Z2243" s="207"/>
      <c r="AA2243" s="284"/>
      <c r="AB2243" s="284"/>
      <c r="AC2243" s="284"/>
      <c r="AD2243" s="284"/>
      <c r="AE2243" s="284"/>
      <c r="AF2243" s="284"/>
      <c r="AG2243" s="284"/>
    </row>
    <row r="2244" spans="1:33" ht="26.4">
      <c r="A2244" s="284"/>
      <c r="B2244" s="284"/>
      <c r="C2244" s="284"/>
      <c r="D2244" s="284"/>
      <c r="E2244" s="284"/>
      <c r="F2244" s="284"/>
      <c r="G2244" s="284"/>
      <c r="H2244" s="284"/>
      <c r="I2244" s="284"/>
      <c r="J2244" s="375"/>
      <c r="K2244" s="375"/>
      <c r="L2244" s="375"/>
      <c r="M2244" s="368"/>
      <c r="N2244" s="368"/>
      <c r="O2244" s="370"/>
      <c r="T2244" s="340"/>
      <c r="V2244" s="378"/>
      <c r="W2244" s="64" ph="1"/>
      <c r="X2244" s="241"/>
      <c r="Y2244" s="284"/>
      <c r="Z2244" s="207"/>
      <c r="AA2244" s="284"/>
      <c r="AB2244" s="284"/>
      <c r="AC2244" s="284"/>
      <c r="AD2244" s="284"/>
      <c r="AE2244" s="284"/>
      <c r="AF2244" s="284"/>
      <c r="AG2244" s="284"/>
    </row>
    <row r="2245" spans="1:33" ht="26.4">
      <c r="A2245" s="284"/>
      <c r="B2245" s="284"/>
      <c r="C2245" s="284"/>
      <c r="D2245" s="284"/>
      <c r="E2245" s="284"/>
      <c r="F2245" s="284"/>
      <c r="G2245" s="284"/>
      <c r="H2245" s="284"/>
      <c r="I2245" s="284"/>
      <c r="J2245" s="375"/>
      <c r="K2245" s="375"/>
      <c r="L2245" s="375"/>
      <c r="M2245" s="368"/>
      <c r="N2245" s="368"/>
      <c r="O2245" s="370"/>
      <c r="T2245" s="340"/>
      <c r="V2245" s="378"/>
      <c r="W2245" s="64" ph="1"/>
      <c r="X2245" s="241"/>
      <c r="Y2245" s="284"/>
      <c r="Z2245" s="207"/>
      <c r="AA2245" s="284"/>
      <c r="AB2245" s="284"/>
      <c r="AC2245" s="284"/>
      <c r="AD2245" s="284"/>
      <c r="AE2245" s="284"/>
      <c r="AF2245" s="284"/>
      <c r="AG2245" s="284"/>
    </row>
    <row r="2246" spans="1:33" ht="26.4">
      <c r="A2246" s="284"/>
      <c r="B2246" s="284"/>
      <c r="C2246" s="284"/>
      <c r="D2246" s="284"/>
      <c r="E2246" s="284"/>
      <c r="F2246" s="284"/>
      <c r="G2246" s="284"/>
      <c r="H2246" s="284"/>
      <c r="I2246" s="284"/>
      <c r="J2246" s="375"/>
      <c r="K2246" s="375"/>
      <c r="L2246" s="375"/>
      <c r="M2246" s="368"/>
      <c r="N2246" s="368"/>
      <c r="O2246" s="370"/>
      <c r="T2246" s="340"/>
      <c r="V2246" s="378"/>
      <c r="W2246" s="64" ph="1"/>
      <c r="X2246" s="241"/>
      <c r="Y2246" s="284"/>
      <c r="Z2246" s="207"/>
      <c r="AA2246" s="284"/>
      <c r="AB2246" s="284"/>
      <c r="AC2246" s="284"/>
      <c r="AD2246" s="284"/>
      <c r="AE2246" s="284"/>
      <c r="AF2246" s="284"/>
      <c r="AG2246" s="284"/>
    </row>
    <row r="2247" spans="1:33" ht="26.4">
      <c r="A2247" s="284"/>
      <c r="B2247" s="284"/>
      <c r="C2247" s="284"/>
      <c r="D2247" s="284"/>
      <c r="E2247" s="284"/>
      <c r="F2247" s="284"/>
      <c r="G2247" s="284"/>
      <c r="H2247" s="284"/>
      <c r="I2247" s="284"/>
      <c r="J2247" s="375"/>
      <c r="K2247" s="375"/>
      <c r="L2247" s="375"/>
      <c r="M2247" s="368"/>
      <c r="N2247" s="368"/>
      <c r="O2247" s="370"/>
      <c r="T2247" s="340"/>
      <c r="V2247" s="378"/>
      <c r="W2247" s="64" ph="1"/>
      <c r="X2247" s="241"/>
      <c r="Y2247" s="284"/>
      <c r="Z2247" s="207"/>
      <c r="AA2247" s="284"/>
      <c r="AB2247" s="284"/>
      <c r="AC2247" s="284"/>
      <c r="AD2247" s="284"/>
      <c r="AE2247" s="284"/>
      <c r="AF2247" s="284"/>
      <c r="AG2247" s="284"/>
    </row>
    <row r="2248" spans="1:33" ht="26.4">
      <c r="A2248" s="284"/>
      <c r="B2248" s="284"/>
      <c r="C2248" s="284"/>
      <c r="D2248" s="284"/>
      <c r="E2248" s="284"/>
      <c r="F2248" s="284"/>
      <c r="G2248" s="284"/>
      <c r="H2248" s="284"/>
      <c r="I2248" s="284"/>
      <c r="J2248" s="375"/>
      <c r="K2248" s="375"/>
      <c r="L2248" s="375"/>
      <c r="M2248" s="368"/>
      <c r="N2248" s="368"/>
      <c r="O2248" s="370"/>
      <c r="T2248" s="340"/>
      <c r="V2248" s="378"/>
      <c r="W2248" s="64" ph="1"/>
      <c r="X2248" s="241"/>
      <c r="Y2248" s="284"/>
      <c r="Z2248" s="207"/>
      <c r="AA2248" s="284"/>
      <c r="AB2248" s="284"/>
      <c r="AC2248" s="284"/>
      <c r="AD2248" s="284"/>
      <c r="AE2248" s="284"/>
      <c r="AF2248" s="284"/>
      <c r="AG2248" s="284"/>
    </row>
    <row r="2249" spans="1:33" ht="26.4">
      <c r="A2249" s="284"/>
      <c r="B2249" s="284"/>
      <c r="C2249" s="284"/>
      <c r="D2249" s="284"/>
      <c r="E2249" s="284"/>
      <c r="F2249" s="284"/>
      <c r="G2249" s="284"/>
      <c r="H2249" s="284"/>
      <c r="I2249" s="284"/>
      <c r="J2249" s="375"/>
      <c r="K2249" s="375"/>
      <c r="L2249" s="375"/>
      <c r="M2249" s="368"/>
      <c r="N2249" s="368"/>
      <c r="O2249" s="370"/>
      <c r="T2249" s="340"/>
      <c r="V2249" s="378"/>
      <c r="W2249" s="64" ph="1"/>
      <c r="X2249" s="241"/>
      <c r="Y2249" s="284"/>
      <c r="Z2249" s="207"/>
      <c r="AA2249" s="284"/>
      <c r="AB2249" s="284"/>
      <c r="AC2249" s="284"/>
      <c r="AD2249" s="284"/>
      <c r="AE2249" s="284"/>
      <c r="AF2249" s="284"/>
      <c r="AG2249" s="284"/>
    </row>
    <row r="2250" spans="1:33" ht="26.4">
      <c r="A2250" s="284"/>
      <c r="B2250" s="284"/>
      <c r="C2250" s="284"/>
      <c r="D2250" s="284"/>
      <c r="E2250" s="284"/>
      <c r="F2250" s="284"/>
      <c r="G2250" s="284"/>
      <c r="H2250" s="284"/>
      <c r="I2250" s="284"/>
      <c r="J2250" s="375"/>
      <c r="K2250" s="375"/>
      <c r="L2250" s="375"/>
      <c r="M2250" s="368"/>
      <c r="N2250" s="368"/>
      <c r="O2250" s="370"/>
      <c r="T2250" s="340"/>
      <c r="V2250" s="378"/>
      <c r="W2250" s="64" ph="1"/>
      <c r="X2250" s="241"/>
      <c r="Y2250" s="284"/>
      <c r="Z2250" s="207"/>
      <c r="AA2250" s="284"/>
      <c r="AB2250" s="284"/>
      <c r="AC2250" s="284"/>
      <c r="AD2250" s="284"/>
      <c r="AE2250" s="284"/>
      <c r="AF2250" s="284"/>
      <c r="AG2250" s="284"/>
    </row>
    <row r="2251" spans="1:33" ht="26.4">
      <c r="A2251" s="284"/>
      <c r="B2251" s="284"/>
      <c r="C2251" s="284"/>
      <c r="D2251" s="284"/>
      <c r="E2251" s="284"/>
      <c r="F2251" s="284"/>
      <c r="G2251" s="284"/>
      <c r="H2251" s="284"/>
      <c r="I2251" s="284"/>
      <c r="J2251" s="375"/>
      <c r="K2251" s="375"/>
      <c r="L2251" s="375"/>
      <c r="M2251" s="368"/>
      <c r="N2251" s="368"/>
      <c r="O2251" s="370"/>
      <c r="T2251" s="340"/>
      <c r="V2251" s="378"/>
      <c r="W2251" s="64" ph="1"/>
      <c r="X2251" s="241"/>
      <c r="Y2251" s="284"/>
      <c r="Z2251" s="207"/>
      <c r="AA2251" s="284"/>
      <c r="AB2251" s="284"/>
      <c r="AC2251" s="284"/>
      <c r="AD2251" s="284"/>
      <c r="AE2251" s="284"/>
      <c r="AF2251" s="284"/>
      <c r="AG2251" s="284"/>
    </row>
    <row r="2252" spans="1:33" ht="26.4">
      <c r="A2252" s="284"/>
      <c r="B2252" s="284"/>
      <c r="C2252" s="284"/>
      <c r="D2252" s="284"/>
      <c r="E2252" s="284"/>
      <c r="F2252" s="284"/>
      <c r="G2252" s="284"/>
      <c r="H2252" s="284"/>
      <c r="I2252" s="284"/>
      <c r="J2252" s="375"/>
      <c r="K2252" s="375"/>
      <c r="L2252" s="375"/>
      <c r="M2252" s="368"/>
      <c r="N2252" s="368"/>
      <c r="O2252" s="370"/>
      <c r="T2252" s="340"/>
      <c r="V2252" s="378"/>
      <c r="W2252" s="64" ph="1"/>
      <c r="X2252" s="241"/>
      <c r="Y2252" s="284"/>
      <c r="Z2252" s="207"/>
      <c r="AA2252" s="284"/>
      <c r="AB2252" s="284"/>
      <c r="AC2252" s="284"/>
      <c r="AD2252" s="284"/>
      <c r="AE2252" s="284"/>
      <c r="AF2252" s="284"/>
      <c r="AG2252" s="284"/>
    </row>
    <row r="2253" spans="1:33" ht="26.4">
      <c r="A2253" s="284"/>
      <c r="B2253" s="284"/>
      <c r="C2253" s="284"/>
      <c r="D2253" s="284"/>
      <c r="E2253" s="284"/>
      <c r="F2253" s="284"/>
      <c r="G2253" s="284"/>
      <c r="H2253" s="284"/>
      <c r="I2253" s="284"/>
      <c r="J2253" s="375"/>
      <c r="K2253" s="375"/>
      <c r="L2253" s="375"/>
      <c r="M2253" s="368"/>
      <c r="N2253" s="368"/>
      <c r="O2253" s="370"/>
      <c r="T2253" s="340"/>
      <c r="V2253" s="378"/>
      <c r="W2253" s="64" ph="1"/>
      <c r="X2253" s="241"/>
      <c r="Y2253" s="284"/>
      <c r="Z2253" s="207"/>
      <c r="AA2253" s="284"/>
      <c r="AB2253" s="284"/>
      <c r="AC2253" s="284"/>
      <c r="AD2253" s="284"/>
      <c r="AE2253" s="284"/>
      <c r="AF2253" s="284"/>
      <c r="AG2253" s="284"/>
    </row>
    <row r="2254" spans="1:33" ht="26.4">
      <c r="A2254" s="284"/>
      <c r="B2254" s="284"/>
      <c r="C2254" s="284"/>
      <c r="D2254" s="284"/>
      <c r="E2254" s="284"/>
      <c r="F2254" s="284"/>
      <c r="G2254" s="284"/>
      <c r="H2254" s="284"/>
      <c r="I2254" s="284"/>
      <c r="J2254" s="375"/>
      <c r="K2254" s="375"/>
      <c r="L2254" s="375"/>
      <c r="M2254" s="368"/>
      <c r="N2254" s="368"/>
      <c r="O2254" s="370"/>
      <c r="T2254" s="340"/>
      <c r="V2254" s="378"/>
      <c r="W2254" s="64" ph="1"/>
      <c r="X2254" s="241"/>
      <c r="Y2254" s="284"/>
      <c r="Z2254" s="207"/>
      <c r="AA2254" s="284"/>
      <c r="AB2254" s="284"/>
      <c r="AC2254" s="284"/>
      <c r="AD2254" s="284"/>
      <c r="AE2254" s="284"/>
      <c r="AF2254" s="284"/>
      <c r="AG2254" s="284"/>
    </row>
    <row r="2255" spans="1:33" ht="26.4">
      <c r="A2255" s="284"/>
      <c r="B2255" s="284"/>
      <c r="C2255" s="284"/>
      <c r="D2255" s="284"/>
      <c r="E2255" s="284"/>
      <c r="F2255" s="284"/>
      <c r="G2255" s="284"/>
      <c r="H2255" s="284"/>
      <c r="I2255" s="284"/>
      <c r="J2255" s="375"/>
      <c r="K2255" s="375"/>
      <c r="L2255" s="375"/>
      <c r="M2255" s="368"/>
      <c r="N2255" s="368"/>
      <c r="O2255" s="370"/>
      <c r="T2255" s="340"/>
      <c r="V2255" s="378"/>
      <c r="W2255" s="64" ph="1"/>
      <c r="X2255" s="241"/>
      <c r="Y2255" s="284"/>
      <c r="Z2255" s="207"/>
      <c r="AA2255" s="284"/>
      <c r="AB2255" s="284"/>
      <c r="AC2255" s="284"/>
      <c r="AD2255" s="284"/>
      <c r="AE2255" s="284"/>
      <c r="AF2255" s="284"/>
      <c r="AG2255" s="284"/>
    </row>
    <row r="2256" spans="1:33" ht="26.4">
      <c r="A2256" s="284"/>
      <c r="B2256" s="284"/>
      <c r="C2256" s="284"/>
      <c r="D2256" s="284"/>
      <c r="E2256" s="284"/>
      <c r="F2256" s="284"/>
      <c r="G2256" s="284"/>
      <c r="H2256" s="284"/>
      <c r="I2256" s="284"/>
      <c r="J2256" s="375"/>
      <c r="K2256" s="375"/>
      <c r="L2256" s="375"/>
      <c r="M2256" s="368"/>
      <c r="N2256" s="368"/>
      <c r="O2256" s="370"/>
      <c r="T2256" s="340"/>
      <c r="V2256" s="378"/>
      <c r="W2256" s="64" ph="1"/>
      <c r="X2256" s="241"/>
      <c r="Y2256" s="284"/>
      <c r="Z2256" s="207"/>
      <c r="AA2256" s="284"/>
      <c r="AB2256" s="284"/>
      <c r="AC2256" s="284"/>
      <c r="AD2256" s="284"/>
      <c r="AE2256" s="284"/>
      <c r="AF2256" s="284"/>
      <c r="AG2256" s="284"/>
    </row>
    <row r="2257" spans="1:33" ht="26.4">
      <c r="A2257" s="284"/>
      <c r="B2257" s="284"/>
      <c r="C2257" s="284"/>
      <c r="D2257" s="284"/>
      <c r="E2257" s="284"/>
      <c r="F2257" s="284"/>
      <c r="G2257" s="284"/>
      <c r="H2257" s="284"/>
      <c r="I2257" s="284"/>
      <c r="J2257" s="375"/>
      <c r="K2257" s="375"/>
      <c r="L2257" s="375"/>
      <c r="M2257" s="368"/>
      <c r="N2257" s="368"/>
      <c r="O2257" s="370"/>
      <c r="T2257" s="340"/>
      <c r="V2257" s="378"/>
      <c r="W2257" s="64" ph="1"/>
      <c r="X2257" s="241"/>
      <c r="Y2257" s="284"/>
      <c r="Z2257" s="207"/>
      <c r="AA2257" s="284"/>
      <c r="AB2257" s="284"/>
      <c r="AC2257" s="284"/>
      <c r="AD2257" s="284"/>
      <c r="AE2257" s="284"/>
      <c r="AF2257" s="284"/>
      <c r="AG2257" s="284"/>
    </row>
    <row r="2258" spans="1:33" ht="26.4">
      <c r="A2258" s="284"/>
      <c r="B2258" s="284"/>
      <c r="C2258" s="284"/>
      <c r="D2258" s="284"/>
      <c r="E2258" s="284"/>
      <c r="F2258" s="284"/>
      <c r="G2258" s="284"/>
      <c r="H2258" s="284"/>
      <c r="I2258" s="284"/>
      <c r="J2258" s="375"/>
      <c r="K2258" s="375"/>
      <c r="L2258" s="375"/>
      <c r="M2258" s="368"/>
      <c r="N2258" s="368"/>
      <c r="O2258" s="370"/>
      <c r="T2258" s="340"/>
      <c r="V2258" s="378"/>
      <c r="W2258" s="64" ph="1"/>
      <c r="X2258" s="241"/>
      <c r="Y2258" s="284"/>
      <c r="Z2258" s="207"/>
      <c r="AA2258" s="284"/>
      <c r="AB2258" s="284"/>
      <c r="AC2258" s="284"/>
      <c r="AD2258" s="284"/>
      <c r="AE2258" s="284"/>
      <c r="AF2258" s="284"/>
      <c r="AG2258" s="284"/>
    </row>
    <row r="2259" spans="1:33" ht="26.4">
      <c r="A2259" s="284"/>
      <c r="B2259" s="284"/>
      <c r="C2259" s="284"/>
      <c r="D2259" s="284"/>
      <c r="E2259" s="284"/>
      <c r="F2259" s="284"/>
      <c r="G2259" s="284"/>
      <c r="H2259" s="284"/>
      <c r="I2259" s="284"/>
      <c r="J2259" s="375"/>
      <c r="K2259" s="375"/>
      <c r="L2259" s="375"/>
      <c r="M2259" s="368"/>
      <c r="N2259" s="368"/>
      <c r="O2259" s="370"/>
      <c r="T2259" s="340"/>
      <c r="V2259" s="378"/>
      <c r="W2259" s="64" ph="1"/>
      <c r="X2259" s="241"/>
      <c r="Y2259" s="284"/>
      <c r="Z2259" s="207"/>
      <c r="AA2259" s="284"/>
      <c r="AB2259" s="284"/>
      <c r="AC2259" s="284"/>
      <c r="AD2259" s="284"/>
      <c r="AE2259" s="284"/>
      <c r="AF2259" s="284"/>
      <c r="AG2259" s="284"/>
    </row>
    <row r="2260" spans="1:33" ht="26.4">
      <c r="A2260" s="284"/>
      <c r="B2260" s="284"/>
      <c r="C2260" s="284"/>
      <c r="D2260" s="284"/>
      <c r="E2260" s="284"/>
      <c r="F2260" s="284"/>
      <c r="G2260" s="284"/>
      <c r="H2260" s="284"/>
      <c r="I2260" s="284"/>
      <c r="J2260" s="375"/>
      <c r="K2260" s="375"/>
      <c r="L2260" s="375"/>
      <c r="M2260" s="368"/>
      <c r="N2260" s="368"/>
      <c r="O2260" s="370"/>
      <c r="T2260" s="340"/>
      <c r="V2260" s="378"/>
      <c r="W2260" s="64" ph="1"/>
      <c r="X2260" s="241"/>
      <c r="Y2260" s="284"/>
      <c r="Z2260" s="207"/>
      <c r="AA2260" s="284"/>
      <c r="AB2260" s="284"/>
      <c r="AC2260" s="284"/>
      <c r="AD2260" s="284"/>
      <c r="AE2260" s="284"/>
      <c r="AF2260" s="284"/>
      <c r="AG2260" s="284"/>
    </row>
    <row r="2261" spans="1:33" ht="26.4">
      <c r="A2261" s="284"/>
      <c r="B2261" s="284"/>
      <c r="C2261" s="284"/>
      <c r="D2261" s="284"/>
      <c r="E2261" s="284"/>
      <c r="F2261" s="284"/>
      <c r="G2261" s="284"/>
      <c r="H2261" s="284"/>
      <c r="I2261" s="284"/>
      <c r="J2261" s="375"/>
      <c r="K2261" s="375"/>
      <c r="L2261" s="375"/>
      <c r="M2261" s="368"/>
      <c r="N2261" s="368"/>
      <c r="O2261" s="370"/>
      <c r="T2261" s="340"/>
      <c r="V2261" s="378"/>
      <c r="W2261" s="64" ph="1"/>
      <c r="X2261" s="241"/>
      <c r="Y2261" s="284"/>
      <c r="Z2261" s="207"/>
      <c r="AA2261" s="284"/>
      <c r="AB2261" s="284"/>
      <c r="AC2261" s="284"/>
      <c r="AD2261" s="284"/>
      <c r="AE2261" s="284"/>
      <c r="AF2261" s="284"/>
      <c r="AG2261" s="284"/>
    </row>
    <row r="2262" spans="1:33" ht="26.4">
      <c r="A2262" s="284"/>
      <c r="B2262" s="284"/>
      <c r="C2262" s="284"/>
      <c r="D2262" s="284"/>
      <c r="E2262" s="284"/>
      <c r="F2262" s="284"/>
      <c r="G2262" s="284"/>
      <c r="H2262" s="284"/>
      <c r="I2262" s="284"/>
      <c r="J2262" s="375"/>
      <c r="K2262" s="375"/>
      <c r="L2262" s="375"/>
      <c r="M2262" s="368"/>
      <c r="N2262" s="368"/>
      <c r="O2262" s="370"/>
      <c r="T2262" s="340"/>
      <c r="V2262" s="378"/>
      <c r="W2262" s="64" ph="1"/>
      <c r="X2262" s="241"/>
      <c r="Y2262" s="284"/>
      <c r="Z2262" s="207"/>
      <c r="AA2262" s="284"/>
      <c r="AB2262" s="284"/>
      <c r="AC2262" s="284"/>
      <c r="AD2262" s="284"/>
      <c r="AE2262" s="284"/>
      <c r="AF2262" s="284"/>
      <c r="AG2262" s="284"/>
    </row>
    <row r="2263" spans="1:33" ht="26.4">
      <c r="A2263" s="284"/>
      <c r="B2263" s="284"/>
      <c r="C2263" s="284"/>
      <c r="D2263" s="284"/>
      <c r="E2263" s="284"/>
      <c r="F2263" s="284"/>
      <c r="G2263" s="284"/>
      <c r="H2263" s="284"/>
      <c r="I2263" s="284"/>
      <c r="J2263" s="375"/>
      <c r="K2263" s="375"/>
      <c r="L2263" s="375"/>
      <c r="M2263" s="368"/>
      <c r="N2263" s="368"/>
      <c r="O2263" s="370"/>
      <c r="T2263" s="340"/>
      <c r="V2263" s="378"/>
      <c r="W2263" s="64" ph="1"/>
      <c r="X2263" s="241"/>
      <c r="Y2263" s="284"/>
      <c r="Z2263" s="207"/>
      <c r="AA2263" s="284"/>
      <c r="AB2263" s="284"/>
      <c r="AC2263" s="284"/>
      <c r="AD2263" s="284"/>
      <c r="AE2263" s="284"/>
      <c r="AF2263" s="284"/>
      <c r="AG2263" s="284"/>
    </row>
    <row r="2264" spans="1:33" ht="26.4">
      <c r="A2264" s="284"/>
      <c r="B2264" s="284"/>
      <c r="C2264" s="284"/>
      <c r="D2264" s="284"/>
      <c r="E2264" s="284"/>
      <c r="F2264" s="284"/>
      <c r="G2264" s="284"/>
      <c r="H2264" s="284"/>
      <c r="I2264" s="284"/>
      <c r="J2264" s="375"/>
      <c r="K2264" s="375"/>
      <c r="L2264" s="375"/>
      <c r="M2264" s="368"/>
      <c r="N2264" s="368"/>
      <c r="O2264" s="370"/>
      <c r="T2264" s="340"/>
      <c r="V2264" s="378"/>
      <c r="W2264" s="64" ph="1"/>
      <c r="X2264" s="241"/>
      <c r="Y2264" s="284"/>
      <c r="Z2264" s="207"/>
      <c r="AA2264" s="284"/>
      <c r="AB2264" s="284"/>
      <c r="AC2264" s="284"/>
      <c r="AD2264" s="284"/>
      <c r="AE2264" s="284"/>
      <c r="AF2264" s="284"/>
      <c r="AG2264" s="284"/>
    </row>
    <row r="2265" spans="1:33" ht="26.4">
      <c r="A2265" s="284"/>
      <c r="B2265" s="284"/>
      <c r="C2265" s="284"/>
      <c r="D2265" s="284"/>
      <c r="E2265" s="284"/>
      <c r="F2265" s="284"/>
      <c r="G2265" s="284"/>
      <c r="H2265" s="284"/>
      <c r="I2265" s="284"/>
      <c r="J2265" s="375"/>
      <c r="K2265" s="375"/>
      <c r="L2265" s="375"/>
      <c r="M2265" s="368"/>
      <c r="N2265" s="368"/>
      <c r="O2265" s="370"/>
      <c r="T2265" s="340"/>
      <c r="V2265" s="378"/>
      <c r="W2265" s="64" ph="1"/>
      <c r="X2265" s="241"/>
      <c r="Y2265" s="284"/>
      <c r="Z2265" s="207"/>
      <c r="AA2265" s="284"/>
      <c r="AB2265" s="284"/>
      <c r="AC2265" s="284"/>
      <c r="AD2265" s="284"/>
      <c r="AE2265" s="284"/>
      <c r="AF2265" s="284"/>
      <c r="AG2265" s="284"/>
    </row>
    <row r="2266" spans="1:33" ht="26.4">
      <c r="A2266" s="284"/>
      <c r="B2266" s="284"/>
      <c r="C2266" s="284"/>
      <c r="D2266" s="284"/>
      <c r="E2266" s="284"/>
      <c r="F2266" s="284"/>
      <c r="G2266" s="284"/>
      <c r="H2266" s="284"/>
      <c r="I2266" s="284"/>
      <c r="J2266" s="375"/>
      <c r="K2266" s="375"/>
      <c r="L2266" s="375"/>
      <c r="M2266" s="368"/>
      <c r="N2266" s="368"/>
      <c r="O2266" s="370"/>
      <c r="T2266" s="340"/>
      <c r="V2266" s="378"/>
      <c r="W2266" s="64" ph="1"/>
      <c r="X2266" s="241"/>
      <c r="Y2266" s="284"/>
      <c r="Z2266" s="207"/>
      <c r="AA2266" s="284"/>
      <c r="AB2266" s="284"/>
      <c r="AC2266" s="284"/>
      <c r="AD2266" s="284"/>
      <c r="AE2266" s="284"/>
      <c r="AF2266" s="284"/>
      <c r="AG2266" s="284"/>
    </row>
    <row r="2267" spans="1:33" ht="26.4">
      <c r="A2267" s="284"/>
      <c r="B2267" s="284"/>
      <c r="C2267" s="284"/>
      <c r="D2267" s="284"/>
      <c r="E2267" s="284"/>
      <c r="F2267" s="284"/>
      <c r="G2267" s="284"/>
      <c r="H2267" s="284"/>
      <c r="I2267" s="284"/>
      <c r="J2267" s="375"/>
      <c r="K2267" s="375"/>
      <c r="L2267" s="375"/>
      <c r="M2267" s="368"/>
      <c r="N2267" s="368"/>
      <c r="O2267" s="370"/>
      <c r="T2267" s="340"/>
      <c r="V2267" s="378"/>
      <c r="W2267" s="64" ph="1"/>
      <c r="X2267" s="241"/>
      <c r="Y2267" s="284"/>
      <c r="Z2267" s="207"/>
      <c r="AA2267" s="284"/>
      <c r="AB2267" s="284"/>
      <c r="AC2267" s="284"/>
      <c r="AD2267" s="284"/>
      <c r="AE2267" s="284"/>
      <c r="AF2267" s="284"/>
      <c r="AG2267" s="284"/>
    </row>
    <row r="2268" spans="1:33" ht="26.4">
      <c r="A2268" s="284"/>
      <c r="B2268" s="284"/>
      <c r="C2268" s="284"/>
      <c r="D2268" s="284"/>
      <c r="E2268" s="284"/>
      <c r="F2268" s="284"/>
      <c r="G2268" s="284"/>
      <c r="H2268" s="284"/>
      <c r="I2268" s="284"/>
      <c r="J2268" s="375"/>
      <c r="K2268" s="375"/>
      <c r="L2268" s="375"/>
      <c r="M2268" s="368"/>
      <c r="N2268" s="368"/>
      <c r="O2268" s="370"/>
      <c r="T2268" s="340"/>
      <c r="V2268" s="378"/>
      <c r="W2268" s="64" ph="1"/>
      <c r="X2268" s="241"/>
      <c r="Y2268" s="284"/>
      <c r="Z2268" s="207"/>
      <c r="AA2268" s="284"/>
      <c r="AB2268" s="284"/>
      <c r="AC2268" s="284"/>
      <c r="AD2268" s="284"/>
      <c r="AE2268" s="284"/>
      <c r="AF2268" s="284"/>
      <c r="AG2268" s="284"/>
    </row>
    <row r="2269" spans="1:33" ht="26.4">
      <c r="A2269" s="284"/>
      <c r="B2269" s="284"/>
      <c r="C2269" s="284"/>
      <c r="D2269" s="284"/>
      <c r="E2269" s="284"/>
      <c r="F2269" s="284"/>
      <c r="G2269" s="284"/>
      <c r="H2269" s="284"/>
      <c r="I2269" s="284"/>
      <c r="J2269" s="375"/>
      <c r="K2269" s="375"/>
      <c r="L2269" s="375"/>
      <c r="M2269" s="368"/>
      <c r="N2269" s="368"/>
      <c r="O2269" s="370"/>
      <c r="T2269" s="340"/>
      <c r="V2269" s="378"/>
      <c r="W2269" s="64" ph="1"/>
      <c r="X2269" s="241"/>
      <c r="Y2269" s="284"/>
      <c r="Z2269" s="207"/>
      <c r="AA2269" s="284"/>
      <c r="AB2269" s="284"/>
      <c r="AC2269" s="284"/>
      <c r="AD2269" s="284"/>
      <c r="AE2269" s="284"/>
      <c r="AF2269" s="284"/>
      <c r="AG2269" s="284"/>
    </row>
    <row r="2270" spans="1:33" ht="26.4">
      <c r="A2270" s="284"/>
      <c r="B2270" s="284"/>
      <c r="C2270" s="284"/>
      <c r="D2270" s="284"/>
      <c r="E2270" s="284"/>
      <c r="F2270" s="284"/>
      <c r="G2270" s="284"/>
      <c r="H2270" s="284"/>
      <c r="I2270" s="284"/>
      <c r="J2270" s="375"/>
      <c r="K2270" s="375"/>
      <c r="L2270" s="375"/>
      <c r="M2270" s="368"/>
      <c r="N2270" s="368"/>
      <c r="O2270" s="370"/>
      <c r="T2270" s="340"/>
      <c r="V2270" s="378"/>
      <c r="W2270" s="64" ph="1"/>
      <c r="X2270" s="241"/>
      <c r="Y2270" s="284"/>
      <c r="Z2270" s="207"/>
      <c r="AA2270" s="284"/>
      <c r="AB2270" s="284"/>
      <c r="AC2270" s="284"/>
      <c r="AD2270" s="284"/>
      <c r="AE2270" s="284"/>
      <c r="AF2270" s="284"/>
      <c r="AG2270" s="284"/>
    </row>
    <row r="2271" spans="1:33" ht="26.4">
      <c r="A2271" s="284"/>
      <c r="B2271" s="284"/>
      <c r="C2271" s="284"/>
      <c r="D2271" s="284"/>
      <c r="E2271" s="284"/>
      <c r="F2271" s="284"/>
      <c r="G2271" s="284"/>
      <c r="H2271" s="284"/>
      <c r="I2271" s="284"/>
      <c r="J2271" s="375"/>
      <c r="K2271" s="375"/>
      <c r="L2271" s="375"/>
      <c r="M2271" s="368"/>
      <c r="N2271" s="368"/>
      <c r="O2271" s="370"/>
      <c r="T2271" s="340"/>
      <c r="V2271" s="378"/>
      <c r="W2271" s="64" ph="1"/>
      <c r="X2271" s="241"/>
      <c r="Y2271" s="284"/>
      <c r="Z2271" s="207"/>
      <c r="AA2271" s="284"/>
      <c r="AB2271" s="284"/>
      <c r="AC2271" s="284"/>
      <c r="AD2271" s="284"/>
      <c r="AE2271" s="284"/>
      <c r="AF2271" s="284"/>
      <c r="AG2271" s="284"/>
    </row>
    <row r="2272" spans="1:33" ht="26.4">
      <c r="A2272" s="284"/>
      <c r="B2272" s="284"/>
      <c r="C2272" s="284"/>
      <c r="D2272" s="284"/>
      <c r="E2272" s="284"/>
      <c r="F2272" s="284"/>
      <c r="G2272" s="284"/>
      <c r="H2272" s="284"/>
      <c r="I2272" s="284"/>
      <c r="J2272" s="375"/>
      <c r="K2272" s="375"/>
      <c r="L2272" s="375"/>
      <c r="M2272" s="368"/>
      <c r="N2272" s="368"/>
      <c r="O2272" s="370"/>
      <c r="T2272" s="340"/>
      <c r="V2272" s="378"/>
      <c r="W2272" s="64" ph="1"/>
      <c r="X2272" s="241"/>
      <c r="Y2272" s="284"/>
      <c r="Z2272" s="207"/>
      <c r="AA2272" s="284"/>
      <c r="AB2272" s="284"/>
      <c r="AC2272" s="284"/>
      <c r="AD2272" s="284"/>
      <c r="AE2272" s="284"/>
      <c r="AF2272" s="284"/>
      <c r="AG2272" s="284"/>
    </row>
    <row r="2273" spans="1:33" ht="26.4">
      <c r="A2273" s="284"/>
      <c r="B2273" s="284"/>
      <c r="C2273" s="284"/>
      <c r="D2273" s="284"/>
      <c r="E2273" s="284"/>
      <c r="F2273" s="284"/>
      <c r="G2273" s="284"/>
      <c r="H2273" s="284"/>
      <c r="I2273" s="284"/>
      <c r="J2273" s="375"/>
      <c r="K2273" s="375"/>
      <c r="L2273" s="375"/>
      <c r="M2273" s="368"/>
      <c r="N2273" s="368"/>
      <c r="O2273" s="370"/>
      <c r="T2273" s="340"/>
      <c r="V2273" s="378"/>
      <c r="W2273" s="64" ph="1"/>
      <c r="X2273" s="241"/>
      <c r="Y2273" s="284"/>
      <c r="Z2273" s="207"/>
      <c r="AA2273" s="284"/>
      <c r="AB2273" s="284"/>
      <c r="AC2273" s="284"/>
      <c r="AD2273" s="284"/>
      <c r="AE2273" s="284"/>
      <c r="AF2273" s="284"/>
      <c r="AG2273" s="284"/>
    </row>
    <row r="2274" spans="1:33" ht="26.4">
      <c r="A2274" s="284"/>
      <c r="B2274" s="284"/>
      <c r="C2274" s="284"/>
      <c r="D2274" s="284"/>
      <c r="E2274" s="284"/>
      <c r="F2274" s="284"/>
      <c r="G2274" s="284"/>
      <c r="H2274" s="284"/>
      <c r="I2274" s="284"/>
      <c r="J2274" s="375"/>
      <c r="K2274" s="375"/>
      <c r="L2274" s="375"/>
      <c r="M2274" s="368"/>
      <c r="N2274" s="368"/>
      <c r="O2274" s="370"/>
      <c r="T2274" s="340"/>
      <c r="V2274" s="378"/>
      <c r="W2274" s="64" ph="1"/>
      <c r="X2274" s="241"/>
      <c r="Y2274" s="284"/>
      <c r="Z2274" s="207"/>
      <c r="AA2274" s="284"/>
      <c r="AB2274" s="284"/>
      <c r="AC2274" s="284"/>
      <c r="AD2274" s="284"/>
      <c r="AE2274" s="284"/>
      <c r="AF2274" s="284"/>
      <c r="AG2274" s="284"/>
    </row>
    <row r="2275" spans="1:33" ht="26.4">
      <c r="A2275" s="284"/>
      <c r="B2275" s="284"/>
      <c r="C2275" s="284"/>
      <c r="D2275" s="284"/>
      <c r="E2275" s="284"/>
      <c r="F2275" s="284"/>
      <c r="G2275" s="284"/>
      <c r="H2275" s="284"/>
      <c r="I2275" s="284"/>
      <c r="J2275" s="375"/>
      <c r="K2275" s="375"/>
      <c r="L2275" s="375"/>
      <c r="M2275" s="368"/>
      <c r="N2275" s="368"/>
      <c r="O2275" s="370"/>
      <c r="T2275" s="340"/>
      <c r="V2275" s="378"/>
      <c r="W2275" s="64" ph="1"/>
      <c r="X2275" s="241"/>
      <c r="Y2275" s="284"/>
      <c r="Z2275" s="207"/>
      <c r="AA2275" s="284"/>
      <c r="AB2275" s="284"/>
      <c r="AC2275" s="284"/>
      <c r="AD2275" s="284"/>
      <c r="AE2275" s="284"/>
      <c r="AF2275" s="284"/>
      <c r="AG2275" s="284"/>
    </row>
    <row r="2276" spans="1:33" ht="26.4">
      <c r="A2276" s="284"/>
      <c r="B2276" s="284"/>
      <c r="C2276" s="284"/>
      <c r="D2276" s="284"/>
      <c r="E2276" s="284"/>
      <c r="F2276" s="284"/>
      <c r="G2276" s="284"/>
      <c r="H2276" s="284"/>
      <c r="I2276" s="284"/>
      <c r="J2276" s="375"/>
      <c r="K2276" s="375"/>
      <c r="L2276" s="375"/>
      <c r="M2276" s="368"/>
      <c r="N2276" s="368"/>
      <c r="O2276" s="370"/>
      <c r="T2276" s="340"/>
      <c r="V2276" s="378"/>
      <c r="W2276" s="64" ph="1"/>
      <c r="X2276" s="241"/>
      <c r="Y2276" s="284"/>
      <c r="Z2276" s="207"/>
      <c r="AA2276" s="284"/>
      <c r="AB2276" s="284"/>
      <c r="AC2276" s="284"/>
      <c r="AD2276" s="284"/>
      <c r="AE2276" s="284"/>
      <c r="AF2276" s="284"/>
      <c r="AG2276" s="284"/>
    </row>
    <row r="2277" spans="1:33" ht="26.4">
      <c r="A2277" s="284"/>
      <c r="B2277" s="284"/>
      <c r="C2277" s="284"/>
      <c r="D2277" s="284"/>
      <c r="E2277" s="284"/>
      <c r="F2277" s="284"/>
      <c r="G2277" s="284"/>
      <c r="H2277" s="284"/>
      <c r="I2277" s="284"/>
      <c r="J2277" s="375"/>
      <c r="K2277" s="375"/>
      <c r="L2277" s="375"/>
      <c r="M2277" s="368"/>
      <c r="N2277" s="368"/>
      <c r="O2277" s="370"/>
      <c r="T2277" s="340"/>
      <c r="V2277" s="378"/>
      <c r="W2277" s="64" ph="1"/>
      <c r="X2277" s="241"/>
      <c r="Y2277" s="284"/>
      <c r="Z2277" s="207"/>
      <c r="AA2277" s="284"/>
      <c r="AB2277" s="284"/>
      <c r="AC2277" s="284"/>
      <c r="AD2277" s="284"/>
      <c r="AE2277" s="284"/>
      <c r="AF2277" s="284"/>
      <c r="AG2277" s="284"/>
    </row>
    <row r="2278" spans="1:33" ht="26.4">
      <c r="A2278" s="284"/>
      <c r="B2278" s="284"/>
      <c r="C2278" s="284"/>
      <c r="D2278" s="284"/>
      <c r="E2278" s="284"/>
      <c r="F2278" s="284"/>
      <c r="G2278" s="284"/>
      <c r="H2278" s="284"/>
      <c r="I2278" s="284"/>
      <c r="J2278" s="375"/>
      <c r="K2278" s="375"/>
      <c r="L2278" s="375"/>
      <c r="M2278" s="368"/>
      <c r="N2278" s="368"/>
      <c r="O2278" s="370"/>
      <c r="T2278" s="340"/>
      <c r="V2278" s="378"/>
      <c r="W2278" s="64" ph="1"/>
      <c r="X2278" s="241"/>
      <c r="Y2278" s="284"/>
      <c r="Z2278" s="207"/>
      <c r="AA2278" s="284"/>
      <c r="AB2278" s="284"/>
      <c r="AC2278" s="284"/>
      <c r="AD2278" s="284"/>
      <c r="AE2278" s="284"/>
      <c r="AF2278" s="284"/>
      <c r="AG2278" s="284"/>
    </row>
    <row r="2279" spans="1:33" ht="26.4">
      <c r="A2279" s="284"/>
      <c r="B2279" s="284"/>
      <c r="C2279" s="284"/>
      <c r="D2279" s="284"/>
      <c r="E2279" s="284"/>
      <c r="F2279" s="284"/>
      <c r="G2279" s="284"/>
      <c r="H2279" s="284"/>
      <c r="I2279" s="284"/>
      <c r="J2279" s="375"/>
      <c r="K2279" s="375"/>
      <c r="L2279" s="375"/>
      <c r="M2279" s="368"/>
      <c r="N2279" s="368"/>
      <c r="O2279" s="370"/>
      <c r="T2279" s="340"/>
      <c r="V2279" s="378"/>
      <c r="W2279" s="64" ph="1"/>
      <c r="X2279" s="241"/>
      <c r="Y2279" s="284"/>
      <c r="Z2279" s="207"/>
      <c r="AA2279" s="284"/>
      <c r="AB2279" s="284"/>
      <c r="AC2279" s="284"/>
      <c r="AD2279" s="284"/>
      <c r="AE2279" s="284"/>
      <c r="AF2279" s="284"/>
      <c r="AG2279" s="284"/>
    </row>
    <row r="2280" spans="1:33" ht="26.4">
      <c r="A2280" s="284"/>
      <c r="B2280" s="284"/>
      <c r="C2280" s="284"/>
      <c r="D2280" s="284"/>
      <c r="E2280" s="284"/>
      <c r="F2280" s="284"/>
      <c r="G2280" s="284"/>
      <c r="H2280" s="284"/>
      <c r="I2280" s="284"/>
      <c r="J2280" s="375"/>
      <c r="K2280" s="375"/>
      <c r="L2280" s="375"/>
      <c r="M2280" s="368"/>
      <c r="N2280" s="368"/>
      <c r="O2280" s="370"/>
      <c r="T2280" s="340"/>
      <c r="V2280" s="378"/>
      <c r="W2280" s="64" ph="1"/>
      <c r="X2280" s="241"/>
      <c r="Y2280" s="284"/>
      <c r="Z2280" s="207"/>
      <c r="AA2280" s="284"/>
      <c r="AB2280" s="284"/>
      <c r="AC2280" s="284"/>
      <c r="AD2280" s="284"/>
      <c r="AE2280" s="284"/>
      <c r="AF2280" s="284"/>
      <c r="AG2280" s="284"/>
    </row>
    <row r="2281" spans="1:33" ht="26.4">
      <c r="A2281" s="284"/>
      <c r="B2281" s="284"/>
      <c r="C2281" s="284"/>
      <c r="D2281" s="284"/>
      <c r="E2281" s="284"/>
      <c r="F2281" s="284"/>
      <c r="G2281" s="284"/>
      <c r="H2281" s="284"/>
      <c r="I2281" s="284"/>
      <c r="J2281" s="375"/>
      <c r="K2281" s="375"/>
      <c r="L2281" s="375"/>
      <c r="M2281" s="368"/>
      <c r="N2281" s="368"/>
      <c r="O2281" s="370"/>
      <c r="T2281" s="340"/>
      <c r="V2281" s="378"/>
      <c r="W2281" s="64" ph="1"/>
      <c r="X2281" s="241"/>
      <c r="Y2281" s="284"/>
      <c r="Z2281" s="207"/>
      <c r="AA2281" s="284"/>
      <c r="AB2281" s="284"/>
      <c r="AC2281" s="284"/>
      <c r="AD2281" s="284"/>
      <c r="AE2281" s="284"/>
      <c r="AF2281" s="284"/>
      <c r="AG2281" s="284"/>
    </row>
    <row r="2282" spans="1:33" ht="26.4">
      <c r="A2282" s="284"/>
      <c r="B2282" s="284"/>
      <c r="C2282" s="284"/>
      <c r="D2282" s="284"/>
      <c r="E2282" s="284"/>
      <c r="F2282" s="284"/>
      <c r="G2282" s="284"/>
      <c r="H2282" s="284"/>
      <c r="I2282" s="284"/>
      <c r="J2282" s="375"/>
      <c r="K2282" s="375"/>
      <c r="L2282" s="375"/>
      <c r="M2282" s="368"/>
      <c r="N2282" s="368"/>
      <c r="O2282" s="370"/>
      <c r="T2282" s="340"/>
      <c r="V2282" s="378"/>
      <c r="W2282" s="64" ph="1"/>
      <c r="X2282" s="241"/>
      <c r="Y2282" s="284"/>
      <c r="Z2282" s="207"/>
      <c r="AA2282" s="284"/>
      <c r="AB2282" s="284"/>
      <c r="AC2282" s="284"/>
      <c r="AD2282" s="284"/>
      <c r="AE2282" s="284"/>
      <c r="AF2282" s="284"/>
      <c r="AG2282" s="284"/>
    </row>
    <row r="2283" spans="1:33" ht="26.4">
      <c r="A2283" s="284"/>
      <c r="B2283" s="284"/>
      <c r="C2283" s="284"/>
      <c r="D2283" s="284"/>
      <c r="E2283" s="284"/>
      <c r="F2283" s="284"/>
      <c r="G2283" s="284"/>
      <c r="H2283" s="284"/>
      <c r="I2283" s="284"/>
      <c r="J2283" s="375"/>
      <c r="K2283" s="375"/>
      <c r="L2283" s="375"/>
      <c r="M2283" s="368"/>
      <c r="N2283" s="368"/>
      <c r="O2283" s="370"/>
      <c r="T2283" s="340"/>
      <c r="V2283" s="378"/>
      <c r="W2283" s="64" ph="1"/>
      <c r="X2283" s="241"/>
      <c r="Y2283" s="284"/>
      <c r="Z2283" s="207"/>
      <c r="AA2283" s="284"/>
      <c r="AB2283" s="284"/>
      <c r="AC2283" s="284"/>
      <c r="AD2283" s="284"/>
      <c r="AE2283" s="284"/>
      <c r="AF2283" s="284"/>
      <c r="AG2283" s="284"/>
    </row>
    <row r="2284" spans="1:33" ht="26.4">
      <c r="A2284" s="284"/>
      <c r="B2284" s="284"/>
      <c r="C2284" s="284"/>
      <c r="D2284" s="284"/>
      <c r="E2284" s="284"/>
      <c r="F2284" s="284"/>
      <c r="G2284" s="284"/>
      <c r="H2284" s="284"/>
      <c r="I2284" s="284"/>
      <c r="J2284" s="375"/>
      <c r="K2284" s="375"/>
      <c r="L2284" s="375"/>
      <c r="M2284" s="368"/>
      <c r="N2284" s="368"/>
      <c r="O2284" s="370"/>
      <c r="T2284" s="340"/>
      <c r="V2284" s="378"/>
      <c r="W2284" s="64" ph="1"/>
      <c r="X2284" s="241"/>
      <c r="Y2284" s="284"/>
      <c r="Z2284" s="207"/>
      <c r="AA2284" s="284"/>
      <c r="AB2284" s="284"/>
      <c r="AC2284" s="284"/>
      <c r="AD2284" s="284"/>
      <c r="AE2284" s="284"/>
      <c r="AF2284" s="284"/>
      <c r="AG2284" s="284"/>
    </row>
    <row r="2285" spans="1:33" ht="26.4">
      <c r="A2285" s="284"/>
      <c r="B2285" s="284"/>
      <c r="C2285" s="284"/>
      <c r="D2285" s="284"/>
      <c r="E2285" s="284"/>
      <c r="F2285" s="284"/>
      <c r="G2285" s="284"/>
      <c r="H2285" s="284"/>
      <c r="I2285" s="284"/>
      <c r="J2285" s="375"/>
      <c r="K2285" s="375"/>
      <c r="L2285" s="375"/>
      <c r="M2285" s="368"/>
      <c r="N2285" s="368"/>
      <c r="O2285" s="370"/>
      <c r="T2285" s="340"/>
      <c r="V2285" s="378"/>
      <c r="W2285" s="64" ph="1"/>
      <c r="X2285" s="241"/>
      <c r="Y2285" s="284"/>
      <c r="Z2285" s="207"/>
      <c r="AA2285" s="284"/>
      <c r="AB2285" s="284"/>
      <c r="AC2285" s="284"/>
      <c r="AD2285" s="284"/>
      <c r="AE2285" s="284"/>
      <c r="AF2285" s="284"/>
      <c r="AG2285" s="284"/>
    </row>
    <row r="2286" spans="1:33" ht="26.4">
      <c r="A2286" s="284"/>
      <c r="B2286" s="284"/>
      <c r="C2286" s="284"/>
      <c r="D2286" s="284"/>
      <c r="E2286" s="284"/>
      <c r="F2286" s="284"/>
      <c r="G2286" s="284"/>
      <c r="H2286" s="284"/>
      <c r="I2286" s="284"/>
      <c r="J2286" s="375"/>
      <c r="K2286" s="375"/>
      <c r="L2286" s="375"/>
      <c r="M2286" s="368"/>
      <c r="N2286" s="368"/>
      <c r="O2286" s="370"/>
      <c r="T2286" s="340"/>
      <c r="V2286" s="378"/>
      <c r="W2286" s="64" ph="1"/>
      <c r="X2286" s="241"/>
      <c r="Y2286" s="284"/>
      <c r="Z2286" s="207"/>
      <c r="AA2286" s="284"/>
      <c r="AB2286" s="284"/>
      <c r="AC2286" s="284"/>
      <c r="AD2286" s="284"/>
      <c r="AE2286" s="284"/>
      <c r="AF2286" s="284"/>
      <c r="AG2286" s="284"/>
    </row>
    <row r="2287" spans="1:33" ht="26.4">
      <c r="A2287" s="284"/>
      <c r="B2287" s="284"/>
      <c r="C2287" s="284"/>
      <c r="D2287" s="284"/>
      <c r="E2287" s="284"/>
      <c r="F2287" s="284"/>
      <c r="G2287" s="284"/>
      <c r="H2287" s="284"/>
      <c r="I2287" s="284"/>
      <c r="J2287" s="375"/>
      <c r="K2287" s="375"/>
      <c r="L2287" s="375"/>
      <c r="M2287" s="368"/>
      <c r="N2287" s="368"/>
      <c r="O2287" s="370"/>
      <c r="T2287" s="340"/>
      <c r="V2287" s="378"/>
      <c r="W2287" s="64" ph="1"/>
      <c r="X2287" s="241"/>
      <c r="Y2287" s="284"/>
      <c r="Z2287" s="207"/>
      <c r="AA2287" s="284"/>
      <c r="AB2287" s="284"/>
      <c r="AC2287" s="284"/>
      <c r="AD2287" s="284"/>
      <c r="AE2287" s="284"/>
      <c r="AF2287" s="284"/>
      <c r="AG2287" s="284"/>
    </row>
    <row r="2288" spans="1:33" ht="26.4">
      <c r="A2288" s="284"/>
      <c r="B2288" s="284"/>
      <c r="C2288" s="284"/>
      <c r="D2288" s="284"/>
      <c r="E2288" s="284"/>
      <c r="F2288" s="284"/>
      <c r="G2288" s="284"/>
      <c r="H2288" s="284"/>
      <c r="I2288" s="284"/>
      <c r="J2288" s="375"/>
      <c r="K2288" s="375"/>
      <c r="L2288" s="375"/>
      <c r="M2288" s="368"/>
      <c r="N2288" s="368"/>
      <c r="O2288" s="370"/>
      <c r="T2288" s="340"/>
      <c r="V2288" s="378"/>
      <c r="W2288" s="64" ph="1"/>
      <c r="X2288" s="241"/>
      <c r="Y2288" s="284"/>
      <c r="Z2288" s="207"/>
      <c r="AA2288" s="284"/>
      <c r="AB2288" s="284"/>
      <c r="AC2288" s="284"/>
      <c r="AD2288" s="284"/>
      <c r="AE2288" s="284"/>
      <c r="AF2288" s="284"/>
      <c r="AG2288" s="284"/>
    </row>
    <row r="2289" spans="1:33" ht="26.4">
      <c r="A2289" s="284"/>
      <c r="B2289" s="284"/>
      <c r="C2289" s="284"/>
      <c r="D2289" s="284"/>
      <c r="E2289" s="284"/>
      <c r="F2289" s="284"/>
      <c r="G2289" s="284"/>
      <c r="H2289" s="284"/>
      <c r="I2289" s="284"/>
      <c r="J2289" s="375"/>
      <c r="K2289" s="375"/>
      <c r="L2289" s="375"/>
      <c r="M2289" s="368"/>
      <c r="N2289" s="368"/>
      <c r="O2289" s="370"/>
      <c r="T2289" s="340"/>
      <c r="V2289" s="378"/>
      <c r="W2289" s="64" ph="1"/>
      <c r="X2289" s="241"/>
      <c r="Y2289" s="284"/>
      <c r="Z2289" s="207"/>
      <c r="AA2289" s="284"/>
      <c r="AB2289" s="284"/>
      <c r="AC2289" s="284"/>
      <c r="AD2289" s="284"/>
      <c r="AE2289" s="284"/>
      <c r="AF2289" s="284"/>
      <c r="AG2289" s="284"/>
    </row>
    <row r="2290" spans="1:33" ht="26.4">
      <c r="A2290" s="284"/>
      <c r="B2290" s="284"/>
      <c r="C2290" s="284"/>
      <c r="D2290" s="284"/>
      <c r="E2290" s="284"/>
      <c r="F2290" s="284"/>
      <c r="G2290" s="284"/>
      <c r="H2290" s="284"/>
      <c r="I2290" s="284"/>
      <c r="J2290" s="375"/>
      <c r="K2290" s="375"/>
      <c r="L2290" s="375"/>
      <c r="M2290" s="368"/>
      <c r="N2290" s="368"/>
      <c r="O2290" s="370"/>
      <c r="T2290" s="340"/>
      <c r="V2290" s="378"/>
      <c r="W2290" s="64" ph="1"/>
      <c r="X2290" s="241"/>
      <c r="Y2290" s="284"/>
      <c r="Z2290" s="207"/>
      <c r="AA2290" s="284"/>
      <c r="AB2290" s="284"/>
      <c r="AC2290" s="284"/>
      <c r="AD2290" s="284"/>
      <c r="AE2290" s="284"/>
      <c r="AF2290" s="284"/>
      <c r="AG2290" s="284"/>
    </row>
    <row r="2291" spans="1:33" ht="26.4">
      <c r="A2291" s="284"/>
      <c r="B2291" s="284"/>
      <c r="C2291" s="284"/>
      <c r="D2291" s="284"/>
      <c r="E2291" s="284"/>
      <c r="F2291" s="284"/>
      <c r="G2291" s="284"/>
      <c r="H2291" s="284"/>
      <c r="I2291" s="284"/>
      <c r="J2291" s="375"/>
      <c r="K2291" s="375"/>
      <c r="L2291" s="375"/>
      <c r="M2291" s="368"/>
      <c r="N2291" s="368"/>
      <c r="O2291" s="370"/>
      <c r="T2291" s="340"/>
      <c r="V2291" s="378"/>
      <c r="W2291" s="64" ph="1"/>
      <c r="X2291" s="241"/>
      <c r="Y2291" s="284"/>
      <c r="Z2291" s="207"/>
      <c r="AA2291" s="284"/>
      <c r="AB2291" s="284"/>
      <c r="AC2291" s="284"/>
      <c r="AD2291" s="284"/>
      <c r="AE2291" s="284"/>
      <c r="AF2291" s="284"/>
      <c r="AG2291" s="284"/>
    </row>
    <row r="2292" spans="1:33" ht="26.4">
      <c r="A2292" s="284"/>
      <c r="B2292" s="284"/>
      <c r="C2292" s="284"/>
      <c r="D2292" s="284"/>
      <c r="E2292" s="284"/>
      <c r="F2292" s="284"/>
      <c r="G2292" s="284"/>
      <c r="H2292" s="284"/>
      <c r="I2292" s="284"/>
      <c r="J2292" s="375"/>
      <c r="K2292" s="375"/>
      <c r="L2292" s="375"/>
      <c r="M2292" s="368"/>
      <c r="N2292" s="368"/>
      <c r="O2292" s="370"/>
      <c r="T2292" s="340"/>
      <c r="V2292" s="378"/>
      <c r="W2292" s="64" ph="1"/>
      <c r="X2292" s="241"/>
      <c r="Y2292" s="284"/>
      <c r="Z2292" s="207"/>
      <c r="AA2292" s="284"/>
      <c r="AB2292" s="284"/>
      <c r="AC2292" s="284"/>
      <c r="AD2292" s="284"/>
      <c r="AE2292" s="284"/>
      <c r="AF2292" s="284"/>
      <c r="AG2292" s="284"/>
    </row>
    <row r="2293" spans="1:33" ht="26.4">
      <c r="A2293" s="284"/>
      <c r="B2293" s="284"/>
      <c r="C2293" s="284"/>
      <c r="D2293" s="284"/>
      <c r="E2293" s="284"/>
      <c r="F2293" s="284"/>
      <c r="G2293" s="284"/>
      <c r="H2293" s="284"/>
      <c r="I2293" s="284"/>
      <c r="J2293" s="375"/>
      <c r="K2293" s="375"/>
      <c r="L2293" s="375"/>
      <c r="M2293" s="368"/>
      <c r="N2293" s="368"/>
      <c r="O2293" s="370"/>
      <c r="T2293" s="340"/>
      <c r="V2293" s="378"/>
      <c r="W2293" s="64" ph="1"/>
      <c r="X2293" s="241"/>
      <c r="Y2293" s="284"/>
      <c r="Z2293" s="207"/>
      <c r="AA2293" s="284"/>
      <c r="AB2293" s="284"/>
      <c r="AC2293" s="284"/>
      <c r="AD2293" s="284"/>
      <c r="AE2293" s="284"/>
      <c r="AF2293" s="284"/>
      <c r="AG2293" s="284"/>
    </row>
    <row r="2294" spans="1:33" ht="26.4">
      <c r="A2294" s="284"/>
      <c r="B2294" s="284"/>
      <c r="C2294" s="284"/>
      <c r="D2294" s="284"/>
      <c r="E2294" s="284"/>
      <c r="F2294" s="284"/>
      <c r="G2294" s="284"/>
      <c r="H2294" s="284"/>
      <c r="I2294" s="284"/>
      <c r="J2294" s="375"/>
      <c r="K2294" s="375"/>
      <c r="L2294" s="375"/>
      <c r="M2294" s="368"/>
      <c r="N2294" s="368"/>
      <c r="O2294" s="370"/>
      <c r="T2294" s="340"/>
      <c r="V2294" s="378"/>
      <c r="W2294" s="64" ph="1"/>
      <c r="X2294" s="241"/>
      <c r="Y2294" s="284"/>
      <c r="Z2294" s="207"/>
      <c r="AA2294" s="284"/>
      <c r="AB2294" s="284"/>
      <c r="AC2294" s="284"/>
      <c r="AD2294" s="284"/>
      <c r="AE2294" s="284"/>
      <c r="AF2294" s="284"/>
      <c r="AG2294" s="284"/>
    </row>
    <row r="2295" spans="1:33" ht="26.4">
      <c r="A2295" s="284"/>
      <c r="B2295" s="284"/>
      <c r="C2295" s="284"/>
      <c r="D2295" s="284"/>
      <c r="E2295" s="284"/>
      <c r="F2295" s="284"/>
      <c r="G2295" s="284"/>
      <c r="H2295" s="284"/>
      <c r="I2295" s="284"/>
      <c r="J2295" s="375"/>
      <c r="K2295" s="375"/>
      <c r="L2295" s="375"/>
      <c r="M2295" s="368"/>
      <c r="N2295" s="368"/>
      <c r="O2295" s="370"/>
      <c r="T2295" s="340"/>
      <c r="V2295" s="378"/>
      <c r="W2295" s="64" ph="1"/>
      <c r="X2295" s="241"/>
      <c r="Y2295" s="284"/>
      <c r="Z2295" s="207"/>
      <c r="AA2295" s="284"/>
      <c r="AB2295" s="284"/>
      <c r="AC2295" s="284"/>
      <c r="AD2295" s="284"/>
      <c r="AE2295" s="284"/>
      <c r="AF2295" s="284"/>
      <c r="AG2295" s="284"/>
    </row>
    <row r="2296" spans="1:33" ht="26.4">
      <c r="A2296" s="284"/>
      <c r="B2296" s="284"/>
      <c r="C2296" s="284"/>
      <c r="D2296" s="284"/>
      <c r="E2296" s="284"/>
      <c r="F2296" s="284"/>
      <c r="G2296" s="284"/>
      <c r="H2296" s="284"/>
      <c r="I2296" s="284"/>
      <c r="J2296" s="375"/>
      <c r="K2296" s="375"/>
      <c r="L2296" s="375"/>
      <c r="M2296" s="368"/>
      <c r="N2296" s="368"/>
      <c r="O2296" s="370"/>
      <c r="T2296" s="340"/>
      <c r="V2296" s="378"/>
      <c r="W2296" s="64" ph="1"/>
      <c r="X2296" s="241"/>
      <c r="Y2296" s="284"/>
      <c r="Z2296" s="207"/>
      <c r="AA2296" s="284"/>
      <c r="AB2296" s="284"/>
      <c r="AC2296" s="284"/>
      <c r="AD2296" s="284"/>
      <c r="AE2296" s="284"/>
      <c r="AF2296" s="284"/>
      <c r="AG2296" s="284"/>
    </row>
    <row r="2297" spans="1:33" ht="26.4">
      <c r="O2297" s="370"/>
      <c r="W2297" s="64" ph="1"/>
    </row>
    <row r="2298" spans="1:33" ht="26.4">
      <c r="O2298" s="370"/>
      <c r="W2298" s="64" ph="1"/>
    </row>
    <row r="2299" spans="1:33" ht="26.4">
      <c r="O2299" s="370"/>
      <c r="W2299" s="64" ph="1"/>
    </row>
    <row r="2300" spans="1:33" ht="26.4">
      <c r="O2300" s="370"/>
      <c r="W2300" s="64" ph="1"/>
    </row>
    <row r="2301" spans="1:33" ht="26.4">
      <c r="O2301" s="370"/>
      <c r="W2301" s="64" ph="1"/>
    </row>
    <row r="2302" spans="1:33" ht="26.4">
      <c r="O2302" s="370"/>
      <c r="W2302" s="64" ph="1"/>
    </row>
    <row r="2303" spans="1:33" ht="26.4">
      <c r="O2303" s="370"/>
      <c r="W2303" s="64" ph="1"/>
    </row>
    <row r="2304" spans="1:33" ht="26.4">
      <c r="O2304" s="370"/>
      <c r="W2304" s="64" ph="1"/>
    </row>
    <row r="2305" spans="15:23" ht="26.4">
      <c r="O2305" s="370"/>
      <c r="W2305" s="64" ph="1"/>
    </row>
    <row r="2306" spans="15:23" ht="26.4">
      <c r="O2306" s="370"/>
      <c r="W2306" s="64" ph="1"/>
    </row>
    <row r="2307" spans="15:23" ht="26.4">
      <c r="O2307" s="370"/>
      <c r="W2307" s="64" ph="1"/>
    </row>
    <row r="2308" spans="15:23" ht="26.4">
      <c r="O2308" s="370"/>
      <c r="W2308" s="64" ph="1"/>
    </row>
    <row r="2309" spans="15:23" ht="26.4">
      <c r="O2309" s="370"/>
      <c r="W2309" s="64" ph="1"/>
    </row>
    <row r="2310" spans="15:23" ht="26.4">
      <c r="O2310" s="370"/>
      <c r="W2310" s="64" ph="1"/>
    </row>
    <row r="2311" spans="15:23" ht="26.4">
      <c r="O2311" s="370"/>
      <c r="W2311" s="64" ph="1"/>
    </row>
    <row r="2312" spans="15:23" ht="26.4">
      <c r="O2312" s="370"/>
      <c r="W2312" s="64" ph="1"/>
    </row>
    <row r="2313" spans="15:23" ht="26.4">
      <c r="O2313" s="370"/>
      <c r="W2313" s="64" ph="1"/>
    </row>
    <row r="2314" spans="15:23" ht="26.4">
      <c r="W2314" s="64" ph="1"/>
    </row>
    <row r="2315" spans="15:23" ht="26.4">
      <c r="W2315" s="64" ph="1"/>
    </row>
    <row r="2316" spans="15:23" ht="26.4">
      <c r="W2316" s="64" ph="1"/>
    </row>
    <row r="2317" spans="15:23" ht="26.4">
      <c r="W2317" s="64" ph="1"/>
    </row>
    <row r="2318" spans="15:23" ht="26.4">
      <c r="W2318" s="64" ph="1"/>
    </row>
    <row r="2319" spans="15:23" ht="26.4">
      <c r="W2319" s="64" ph="1"/>
    </row>
    <row r="2320" spans="15:23" ht="26.4">
      <c r="W2320" s="64" ph="1"/>
    </row>
    <row r="2321" spans="23:23" ht="26.4">
      <c r="W2321" s="64" ph="1"/>
    </row>
    <row r="2322" spans="23:23" ht="26.4">
      <c r="W2322" s="64" ph="1"/>
    </row>
    <row r="2323" spans="23:23" ht="26.4">
      <c r="W2323" s="64" ph="1"/>
    </row>
    <row r="2324" spans="23:23" ht="26.4">
      <c r="W2324" s="64" ph="1"/>
    </row>
    <row r="2325" spans="23:23" ht="26.4">
      <c r="W2325" s="64" ph="1"/>
    </row>
    <row r="2326" spans="23:23" ht="26.4">
      <c r="W2326" s="64" ph="1"/>
    </row>
    <row r="2327" spans="23:23" ht="26.4">
      <c r="W2327" s="64" ph="1"/>
    </row>
    <row r="2328" spans="23:23" ht="26.4">
      <c r="W2328" s="64" ph="1"/>
    </row>
    <row r="2329" spans="23:23" ht="26.4">
      <c r="W2329" s="64" ph="1"/>
    </row>
    <row r="2330" spans="23:23" ht="26.4">
      <c r="W2330" s="64" ph="1"/>
    </row>
    <row r="2331" spans="23:23" ht="26.4">
      <c r="W2331" s="64" ph="1"/>
    </row>
    <row r="2332" spans="23:23" ht="26.4">
      <c r="W2332" s="64" ph="1"/>
    </row>
    <row r="2333" spans="23:23" ht="26.4">
      <c r="W2333" s="64" ph="1"/>
    </row>
    <row r="2334" spans="23:23" ht="26.4">
      <c r="W2334" s="64" ph="1"/>
    </row>
    <row r="2335" spans="23:23" ht="26.4">
      <c r="W2335" s="64" ph="1"/>
    </row>
    <row r="2336" spans="23:23" ht="26.4">
      <c r="W2336" s="64" ph="1"/>
    </row>
    <row r="2337" spans="23:23" ht="26.4">
      <c r="W2337" s="64" ph="1"/>
    </row>
    <row r="2338" spans="23:23" ht="26.4">
      <c r="W2338" s="64" ph="1"/>
    </row>
    <row r="2339" spans="23:23" ht="26.4">
      <c r="W2339" s="64" ph="1"/>
    </row>
    <row r="2340" spans="23:23" ht="26.4">
      <c r="W2340" s="64" ph="1"/>
    </row>
    <row r="2341" spans="23:23" ht="26.4">
      <c r="W2341" s="64" ph="1"/>
    </row>
    <row r="2342" spans="23:23" ht="26.4">
      <c r="W2342" s="64" ph="1"/>
    </row>
    <row r="2343" spans="23:23" ht="26.4">
      <c r="W2343" s="64" ph="1"/>
    </row>
    <row r="2344" spans="23:23" ht="26.4">
      <c r="W2344" s="64" ph="1"/>
    </row>
    <row r="2345" spans="23:23" ht="26.4">
      <c r="W2345" s="64" ph="1"/>
    </row>
    <row r="2346" spans="23:23" ht="26.4">
      <c r="W2346" s="64" ph="1"/>
    </row>
    <row r="2347" spans="23:23" ht="26.4">
      <c r="W2347" s="64" ph="1"/>
    </row>
    <row r="2348" spans="23:23" ht="26.4">
      <c r="W2348" s="64" ph="1"/>
    </row>
    <row r="2349" spans="23:23" ht="26.4">
      <c r="W2349" s="64" ph="1"/>
    </row>
    <row r="2350" spans="23:23" ht="26.4">
      <c r="W2350" s="64" ph="1"/>
    </row>
    <row r="2351" spans="23:23" ht="26.4">
      <c r="W2351" s="64" ph="1"/>
    </row>
    <row r="2352" spans="23:23" ht="26.4">
      <c r="W2352" s="64" ph="1"/>
    </row>
    <row r="2353" spans="23:23" ht="26.4">
      <c r="W2353" s="64" ph="1"/>
    </row>
    <row r="2354" spans="23:23" ht="26.4">
      <c r="W2354" s="64" ph="1"/>
    </row>
    <row r="2355" spans="23:23" ht="26.4">
      <c r="W2355" s="64" ph="1"/>
    </row>
    <row r="2356" spans="23:23" ht="26.4">
      <c r="W2356" s="64" ph="1"/>
    </row>
    <row r="2357" spans="23:23" ht="26.4">
      <c r="W2357" s="64" ph="1"/>
    </row>
    <row r="2358" spans="23:23" ht="26.4">
      <c r="W2358" s="64" ph="1"/>
    </row>
    <row r="2359" spans="23:23" ht="26.4">
      <c r="W2359" s="64" ph="1"/>
    </row>
    <row r="2360" spans="23:23" ht="26.4">
      <c r="W2360" s="64" ph="1"/>
    </row>
    <row r="2361" spans="23:23" ht="26.4">
      <c r="W2361" s="64" ph="1"/>
    </row>
    <row r="2362" spans="23:23" ht="26.4">
      <c r="W2362" s="64" ph="1"/>
    </row>
    <row r="2363" spans="23:23" ht="26.4">
      <c r="W2363" s="64" ph="1"/>
    </row>
    <row r="2364" spans="23:23" ht="26.4">
      <c r="W2364" s="64" ph="1"/>
    </row>
    <row r="2365" spans="23:23" ht="26.4">
      <c r="W2365" s="64" ph="1"/>
    </row>
    <row r="2366" spans="23:23" ht="26.4">
      <c r="W2366" s="64" ph="1"/>
    </row>
    <row r="2367" spans="23:23" ht="26.4">
      <c r="W2367" s="64" ph="1"/>
    </row>
    <row r="2368" spans="23:23" ht="26.4">
      <c r="W2368" s="64" ph="1"/>
    </row>
    <row r="2369" spans="23:23" ht="26.4">
      <c r="W2369" s="64" ph="1"/>
    </row>
    <row r="2370" spans="23:23" ht="26.4">
      <c r="W2370" s="64" ph="1"/>
    </row>
    <row r="2371" spans="23:23" ht="26.4">
      <c r="W2371" s="64" ph="1"/>
    </row>
    <row r="2372" spans="23:23" ht="26.4">
      <c r="W2372" s="64" ph="1"/>
    </row>
    <row r="2373" spans="23:23" ht="26.4">
      <c r="W2373" s="64" ph="1"/>
    </row>
    <row r="2374" spans="23:23" ht="26.4">
      <c r="W2374" s="64" ph="1"/>
    </row>
    <row r="2375" spans="23:23" ht="26.4">
      <c r="W2375" s="64" ph="1"/>
    </row>
    <row r="2376" spans="23:23" ht="26.4">
      <c r="W2376" s="64" ph="1"/>
    </row>
    <row r="2377" spans="23:23" ht="26.4">
      <c r="W2377" s="64" ph="1"/>
    </row>
    <row r="2378" spans="23:23" ht="26.4">
      <c r="W2378" s="64" ph="1"/>
    </row>
    <row r="2379" spans="23:23" ht="26.4">
      <c r="W2379" s="64" ph="1"/>
    </row>
    <row r="2380" spans="23:23" ht="26.4">
      <c r="W2380" s="64" ph="1"/>
    </row>
    <row r="2381" spans="23:23" ht="26.4">
      <c r="W2381" s="64" ph="1"/>
    </row>
    <row r="2382" spans="23:23" ht="26.4">
      <c r="W2382" s="64" ph="1"/>
    </row>
    <row r="2383" spans="23:23" ht="26.4">
      <c r="W2383" s="64" ph="1"/>
    </row>
    <row r="2384" spans="23:23" ht="26.4">
      <c r="W2384" s="64" ph="1"/>
    </row>
    <row r="2385" spans="23:23" ht="26.4">
      <c r="W2385" s="64" ph="1"/>
    </row>
    <row r="2386" spans="23:23" ht="26.4">
      <c r="W2386" s="64" ph="1"/>
    </row>
    <row r="2387" spans="23:23" ht="26.4">
      <c r="W2387" s="64" ph="1"/>
    </row>
    <row r="2388" spans="23:23" ht="26.4">
      <c r="W2388" s="64" ph="1"/>
    </row>
    <row r="2389" spans="23:23" ht="26.4">
      <c r="W2389" s="64" ph="1"/>
    </row>
    <row r="2390" spans="23:23" ht="26.4">
      <c r="W2390" s="64" ph="1"/>
    </row>
    <row r="2391" spans="23:23" ht="26.4">
      <c r="W2391" s="64" ph="1"/>
    </row>
    <row r="2392" spans="23:23" ht="26.4">
      <c r="W2392" s="64" ph="1"/>
    </row>
    <row r="2393" spans="23:23" ht="26.4">
      <c r="W2393" s="64" ph="1"/>
    </row>
    <row r="2394" spans="23:23" ht="26.4">
      <c r="W2394" s="64" ph="1"/>
    </row>
    <row r="2395" spans="23:23" ht="26.4">
      <c r="W2395" s="64" ph="1"/>
    </row>
    <row r="2396" spans="23:23" ht="26.4">
      <c r="W2396" s="64" ph="1"/>
    </row>
    <row r="2397" spans="23:23" ht="26.4">
      <c r="W2397" s="64" ph="1"/>
    </row>
    <row r="2398" spans="23:23" ht="26.4">
      <c r="W2398" s="64" ph="1"/>
    </row>
    <row r="2399" spans="23:23" ht="26.4">
      <c r="W2399" s="64" ph="1"/>
    </row>
    <row r="2400" spans="23:23" ht="26.4">
      <c r="W2400" s="64" ph="1"/>
    </row>
    <row r="2401" spans="23:23" ht="26.4">
      <c r="W2401" s="64" ph="1"/>
    </row>
    <row r="2402" spans="23:23" ht="26.4">
      <c r="W2402" s="64" ph="1"/>
    </row>
    <row r="2403" spans="23:23" ht="26.4">
      <c r="W2403" s="64" ph="1"/>
    </row>
    <row r="2404" spans="23:23" ht="26.4">
      <c r="W2404" s="64" ph="1"/>
    </row>
    <row r="2405" spans="23:23" ht="26.4">
      <c r="W2405" s="64" ph="1"/>
    </row>
    <row r="2406" spans="23:23" ht="26.4">
      <c r="W2406" s="64" ph="1"/>
    </row>
    <row r="2407" spans="23:23" ht="26.4">
      <c r="W2407" s="64" ph="1"/>
    </row>
    <row r="2408" spans="23:23" ht="26.4">
      <c r="W2408" s="64" ph="1"/>
    </row>
    <row r="2409" spans="23:23" ht="26.4">
      <c r="W2409" s="64" ph="1"/>
    </row>
    <row r="2410" spans="23:23" ht="26.4">
      <c r="W2410" s="64" ph="1"/>
    </row>
    <row r="2411" spans="23:23" ht="26.4">
      <c r="W2411" s="64" ph="1"/>
    </row>
    <row r="2412" spans="23:23" ht="26.4">
      <c r="W2412" s="64" ph="1"/>
    </row>
    <row r="2413" spans="23:23" ht="26.4">
      <c r="W2413" s="64" ph="1"/>
    </row>
    <row r="2414" spans="23:23" ht="26.4">
      <c r="W2414" s="64" ph="1"/>
    </row>
    <row r="2415" spans="23:23" ht="26.4">
      <c r="W2415" s="64" ph="1"/>
    </row>
    <row r="2416" spans="23:23" ht="26.4">
      <c r="W2416" s="64" ph="1"/>
    </row>
    <row r="2417" spans="23:23" ht="26.4">
      <c r="W2417" s="64" ph="1"/>
    </row>
    <row r="2418" spans="23:23" ht="26.4">
      <c r="W2418" s="64" ph="1"/>
    </row>
    <row r="2419" spans="23:23" ht="26.4">
      <c r="W2419" s="64" ph="1"/>
    </row>
    <row r="2420" spans="23:23" ht="26.4">
      <c r="W2420" s="64" ph="1"/>
    </row>
    <row r="2421" spans="23:23" ht="26.4">
      <c r="W2421" s="64" ph="1"/>
    </row>
    <row r="2422" spans="23:23" ht="26.4">
      <c r="W2422" s="64" ph="1"/>
    </row>
    <row r="2423" spans="23:23" ht="26.4">
      <c r="W2423" s="64" ph="1"/>
    </row>
    <row r="2424" spans="23:23" ht="26.4">
      <c r="W2424" s="64" ph="1"/>
    </row>
    <row r="2425" spans="23:23" ht="26.4">
      <c r="W2425" s="64" ph="1"/>
    </row>
    <row r="2426" spans="23:23" ht="26.4">
      <c r="W2426" s="64" ph="1"/>
    </row>
    <row r="2427" spans="23:23" ht="26.4">
      <c r="W2427" s="64" ph="1"/>
    </row>
    <row r="2428" spans="23:23" ht="26.4">
      <c r="W2428" s="64" ph="1"/>
    </row>
    <row r="2429" spans="23:23" ht="26.4">
      <c r="W2429" s="64" ph="1"/>
    </row>
    <row r="2430" spans="23:23" ht="26.4">
      <c r="W2430" s="64" ph="1"/>
    </row>
    <row r="2431" spans="23:23" ht="26.4">
      <c r="W2431" s="64" ph="1"/>
    </row>
    <row r="2432" spans="23:23" ht="26.4">
      <c r="W2432" s="64" ph="1"/>
    </row>
    <row r="2433" spans="23:23" ht="26.4">
      <c r="W2433" s="64" ph="1"/>
    </row>
    <row r="2434" spans="23:23" ht="26.4">
      <c r="W2434" s="64" ph="1"/>
    </row>
    <row r="2435" spans="23:23" ht="26.4">
      <c r="W2435" s="64" ph="1"/>
    </row>
    <row r="2436" spans="23:23" ht="26.4">
      <c r="W2436" s="64" ph="1"/>
    </row>
    <row r="2437" spans="23:23" ht="26.4">
      <c r="W2437" s="64" ph="1"/>
    </row>
    <row r="2438" spans="23:23" ht="26.4">
      <c r="W2438" s="64" ph="1"/>
    </row>
    <row r="2439" spans="23:23" ht="26.4">
      <c r="W2439" s="64" ph="1"/>
    </row>
    <row r="2440" spans="23:23" ht="26.4">
      <c r="W2440" s="64" ph="1"/>
    </row>
    <row r="2441" spans="23:23" ht="26.4">
      <c r="W2441" s="64" ph="1"/>
    </row>
    <row r="2442" spans="23:23" ht="26.4">
      <c r="W2442" s="64" ph="1"/>
    </row>
    <row r="2443" spans="23:23" ht="26.4">
      <c r="W2443" s="64" ph="1"/>
    </row>
    <row r="2444" spans="23:23" ht="26.4">
      <c r="W2444" s="64" ph="1"/>
    </row>
    <row r="2445" spans="23:23" ht="26.4">
      <c r="W2445" s="64" ph="1"/>
    </row>
    <row r="2446" spans="23:23" ht="26.4">
      <c r="W2446" s="64" ph="1"/>
    </row>
    <row r="2447" spans="23:23" ht="26.4">
      <c r="W2447" s="64" ph="1"/>
    </row>
    <row r="2448" spans="23:23" ht="26.4">
      <c r="W2448" s="64" ph="1"/>
    </row>
    <row r="2449" spans="23:23" ht="26.4">
      <c r="W2449" s="64" ph="1"/>
    </row>
    <row r="2450" spans="23:23" ht="26.4">
      <c r="W2450" s="64" ph="1"/>
    </row>
    <row r="2451" spans="23:23" ht="26.4">
      <c r="W2451" s="64" ph="1"/>
    </row>
    <row r="2452" spans="23:23" ht="26.4">
      <c r="W2452" s="64" ph="1"/>
    </row>
    <row r="2453" spans="23:23" ht="26.4">
      <c r="W2453" s="64" ph="1"/>
    </row>
    <row r="2454" spans="23:23" ht="26.4">
      <c r="W2454" s="64" ph="1"/>
    </row>
    <row r="2455" spans="23:23" ht="26.4">
      <c r="W2455" s="64" ph="1"/>
    </row>
    <row r="2456" spans="23:23" ht="26.4">
      <c r="W2456" s="64" ph="1"/>
    </row>
    <row r="2457" spans="23:23" ht="26.4">
      <c r="W2457" s="64" ph="1"/>
    </row>
    <row r="2458" spans="23:23" ht="26.4">
      <c r="W2458" s="64" ph="1"/>
    </row>
    <row r="2459" spans="23:23" ht="26.4">
      <c r="W2459" s="64" ph="1"/>
    </row>
    <row r="2460" spans="23:23" ht="26.4">
      <c r="W2460" s="64" ph="1"/>
    </row>
    <row r="2461" spans="23:23" ht="26.4">
      <c r="W2461" s="64" ph="1"/>
    </row>
    <row r="2462" spans="23:23" ht="26.4">
      <c r="W2462" s="64" ph="1"/>
    </row>
    <row r="2463" spans="23:23" ht="26.4">
      <c r="W2463" s="64" ph="1"/>
    </row>
    <row r="2464" spans="23:23" ht="26.4">
      <c r="W2464" s="64" ph="1"/>
    </row>
    <row r="2465" spans="23:23" ht="26.4">
      <c r="W2465" s="64" ph="1"/>
    </row>
    <row r="2466" spans="23:23" ht="26.4">
      <c r="W2466" s="64" ph="1"/>
    </row>
    <row r="2467" spans="23:23" ht="26.4">
      <c r="W2467" s="64" ph="1"/>
    </row>
    <row r="2468" spans="23:23" ht="26.4">
      <c r="W2468" s="64" ph="1"/>
    </row>
    <row r="2469" spans="23:23" ht="26.4">
      <c r="W2469" s="64" ph="1"/>
    </row>
    <row r="2470" spans="23:23" ht="26.4">
      <c r="W2470" s="64" ph="1"/>
    </row>
    <row r="2471" spans="23:23" ht="26.4">
      <c r="W2471" s="64" ph="1"/>
    </row>
    <row r="2472" spans="23:23" ht="26.4">
      <c r="W2472" s="64" ph="1"/>
    </row>
    <row r="2473" spans="23:23" ht="26.4">
      <c r="W2473" s="64" ph="1"/>
    </row>
    <row r="2474" spans="23:23" ht="26.4">
      <c r="W2474" s="64" ph="1"/>
    </row>
    <row r="2475" spans="23:23" ht="26.4">
      <c r="W2475" s="64" ph="1"/>
    </row>
    <row r="2476" spans="23:23" ht="26.4">
      <c r="W2476" s="64" ph="1"/>
    </row>
    <row r="2477" spans="23:23" ht="26.4">
      <c r="W2477" s="64" ph="1"/>
    </row>
    <row r="2478" spans="23:23" ht="26.4">
      <c r="W2478" s="64" ph="1"/>
    </row>
    <row r="2479" spans="23:23" ht="26.4">
      <c r="W2479" s="64" ph="1"/>
    </row>
    <row r="2480" spans="23:23" ht="26.4">
      <c r="W2480" s="64" ph="1"/>
    </row>
    <row r="2481" spans="23:23" ht="26.4">
      <c r="W2481" s="64" ph="1"/>
    </row>
    <row r="2482" spans="23:23" ht="26.4">
      <c r="W2482" s="64" ph="1"/>
    </row>
    <row r="2483" spans="23:23" ht="26.4">
      <c r="W2483" s="64" ph="1"/>
    </row>
    <row r="2484" spans="23:23" ht="26.4">
      <c r="W2484" s="64" ph="1"/>
    </row>
    <row r="2485" spans="23:23" ht="26.4">
      <c r="W2485" s="64" ph="1"/>
    </row>
    <row r="2486" spans="23:23" ht="26.4">
      <c r="W2486" s="64" ph="1"/>
    </row>
    <row r="2487" spans="23:23" ht="26.4">
      <c r="W2487" s="64" ph="1"/>
    </row>
    <row r="2488" spans="23:23" ht="26.4">
      <c r="W2488" s="64" ph="1"/>
    </row>
    <row r="2489" spans="23:23" ht="26.4">
      <c r="W2489" s="64" ph="1"/>
    </row>
    <row r="2490" spans="23:23" ht="26.4">
      <c r="W2490" s="64" ph="1"/>
    </row>
    <row r="2491" spans="23:23" ht="26.4">
      <c r="W2491" s="64" ph="1"/>
    </row>
    <row r="2492" spans="23:23" ht="26.4">
      <c r="W2492" s="64" ph="1"/>
    </row>
    <row r="2493" spans="23:23" ht="26.4">
      <c r="W2493" s="64" ph="1"/>
    </row>
    <row r="2494" spans="23:23" ht="26.4">
      <c r="W2494" s="64" ph="1"/>
    </row>
    <row r="2495" spans="23:23" ht="26.4">
      <c r="W2495" s="64" ph="1"/>
    </row>
    <row r="2496" spans="23:23" ht="26.4">
      <c r="W2496" s="64" ph="1"/>
    </row>
    <row r="2497" spans="23:23" ht="26.4">
      <c r="W2497" s="64" ph="1"/>
    </row>
    <row r="2498" spans="23:23" ht="26.4">
      <c r="W2498" s="64" ph="1"/>
    </row>
    <row r="2499" spans="23:23" ht="26.4">
      <c r="W2499" s="64" ph="1"/>
    </row>
    <row r="2500" spans="23:23" ht="26.4">
      <c r="W2500" s="64" ph="1"/>
    </row>
    <row r="2501" spans="23:23" ht="26.4">
      <c r="W2501" s="64" ph="1"/>
    </row>
    <row r="2502" spans="23:23" ht="26.4">
      <c r="W2502" s="64" ph="1"/>
    </row>
    <row r="2503" spans="23:23" ht="26.4">
      <c r="W2503" s="64" ph="1"/>
    </row>
    <row r="2504" spans="23:23" ht="26.4">
      <c r="W2504" s="64" ph="1"/>
    </row>
    <row r="2505" spans="23:23" ht="26.4">
      <c r="W2505" s="64" ph="1"/>
    </row>
    <row r="2506" spans="23:23" ht="26.4">
      <c r="W2506" s="64" ph="1"/>
    </row>
    <row r="2507" spans="23:23" ht="26.4">
      <c r="W2507" s="64" ph="1"/>
    </row>
    <row r="2508" spans="23:23" ht="26.4">
      <c r="W2508" s="64" ph="1"/>
    </row>
    <row r="2509" spans="23:23" ht="26.4">
      <c r="W2509" s="64" ph="1"/>
    </row>
    <row r="2510" spans="23:23" ht="26.4">
      <c r="W2510" s="64" ph="1"/>
    </row>
    <row r="2511" spans="23:23" ht="26.4">
      <c r="W2511" s="64" ph="1"/>
    </row>
    <row r="2512" spans="23:23" ht="26.4">
      <c r="W2512" s="64" ph="1"/>
    </row>
    <row r="2513" spans="23:23" ht="26.4">
      <c r="W2513" s="64" ph="1"/>
    </row>
    <row r="2514" spans="23:23" ht="26.4">
      <c r="W2514" s="64" ph="1"/>
    </row>
    <row r="2515" spans="23:23" ht="26.4">
      <c r="W2515" s="64" ph="1"/>
    </row>
    <row r="2516" spans="23:23" ht="26.4">
      <c r="W2516" s="64" ph="1"/>
    </row>
    <row r="2517" spans="23:23" ht="26.4">
      <c r="W2517" s="64" ph="1"/>
    </row>
    <row r="2518" spans="23:23" ht="26.4">
      <c r="W2518" s="64" ph="1"/>
    </row>
    <row r="2519" spans="23:23" ht="26.4">
      <c r="W2519" s="64" ph="1"/>
    </row>
    <row r="2520" spans="23:23" ht="26.4">
      <c r="W2520" s="64" ph="1"/>
    </row>
    <row r="2521" spans="23:23" ht="26.4">
      <c r="W2521" s="64" ph="1"/>
    </row>
    <row r="2522" spans="23:23" ht="26.4">
      <c r="W2522" s="64" ph="1"/>
    </row>
    <row r="2523" spans="23:23" ht="26.4">
      <c r="W2523" s="64" ph="1"/>
    </row>
    <row r="2524" spans="23:23" ht="26.4">
      <c r="W2524" s="64" ph="1"/>
    </row>
    <row r="2525" spans="23:23" ht="26.4">
      <c r="W2525" s="64" ph="1"/>
    </row>
    <row r="2526" spans="23:23" ht="26.4">
      <c r="W2526" s="64" ph="1"/>
    </row>
    <row r="2527" spans="23:23" ht="26.4">
      <c r="W2527" s="64" ph="1"/>
    </row>
    <row r="2528" spans="23:23" ht="26.4">
      <c r="W2528" s="64" ph="1"/>
    </row>
    <row r="2529" spans="23:23" ht="26.4">
      <c r="W2529" s="64" ph="1"/>
    </row>
    <row r="2530" spans="23:23" ht="26.4">
      <c r="W2530" s="64" ph="1"/>
    </row>
    <row r="2531" spans="23:23" ht="26.4">
      <c r="W2531" s="64" ph="1"/>
    </row>
    <row r="2532" spans="23:23" ht="26.4">
      <c r="W2532" s="64" ph="1"/>
    </row>
    <row r="2533" spans="23:23" ht="26.4">
      <c r="W2533" s="64" ph="1"/>
    </row>
    <row r="2534" spans="23:23" ht="26.4">
      <c r="W2534" s="64" ph="1"/>
    </row>
    <row r="2535" spans="23:23" ht="26.4">
      <c r="W2535" s="64" ph="1"/>
    </row>
    <row r="2536" spans="23:23" ht="26.4">
      <c r="W2536" s="64" ph="1"/>
    </row>
    <row r="2537" spans="23:23" ht="26.4">
      <c r="W2537" s="64" ph="1"/>
    </row>
    <row r="2538" spans="23:23" ht="26.4">
      <c r="W2538" s="64" ph="1"/>
    </row>
    <row r="2539" spans="23:23" ht="26.4">
      <c r="W2539" s="64" ph="1"/>
    </row>
    <row r="2540" spans="23:23" ht="26.4">
      <c r="W2540" s="64" ph="1"/>
    </row>
    <row r="2541" spans="23:23" ht="26.4">
      <c r="W2541" s="64" ph="1"/>
    </row>
    <row r="2542" spans="23:23" ht="26.4">
      <c r="W2542" s="64" ph="1"/>
    </row>
    <row r="2543" spans="23:23" ht="26.4">
      <c r="W2543" s="64" ph="1"/>
    </row>
    <row r="2544" spans="23:23" ht="26.4">
      <c r="W2544" s="64" ph="1"/>
    </row>
    <row r="2545" spans="23:23" ht="26.4">
      <c r="W2545" s="64" ph="1"/>
    </row>
    <row r="2546" spans="23:23" ht="26.4">
      <c r="W2546" s="64" ph="1"/>
    </row>
    <row r="2547" spans="23:23" ht="26.4">
      <c r="W2547" s="64" ph="1"/>
    </row>
    <row r="2548" spans="23:23" ht="26.4">
      <c r="W2548" s="64" ph="1"/>
    </row>
    <row r="2549" spans="23:23" ht="26.4">
      <c r="W2549" s="64" ph="1"/>
    </row>
    <row r="2550" spans="23:23" ht="26.4">
      <c r="W2550" s="64" ph="1"/>
    </row>
    <row r="2551" spans="23:23" ht="26.4">
      <c r="W2551" s="64" ph="1"/>
    </row>
    <row r="2552" spans="23:23" ht="26.4">
      <c r="W2552" s="64" ph="1"/>
    </row>
    <row r="2553" spans="23:23" ht="26.4">
      <c r="W2553" s="64" ph="1"/>
    </row>
    <row r="2554" spans="23:23" ht="26.4">
      <c r="W2554" s="64" ph="1"/>
    </row>
    <row r="2555" spans="23:23" ht="26.4">
      <c r="W2555" s="64" ph="1"/>
    </row>
    <row r="2556" spans="23:23" ht="26.4">
      <c r="W2556" s="64" ph="1"/>
    </row>
    <row r="2557" spans="23:23" ht="26.4">
      <c r="W2557" s="64" ph="1"/>
    </row>
    <row r="2558" spans="23:23" ht="26.4">
      <c r="W2558" s="64" ph="1"/>
    </row>
    <row r="2559" spans="23:23" ht="26.4">
      <c r="W2559" s="64" ph="1"/>
    </row>
    <row r="2560" spans="23:23" ht="26.4">
      <c r="W2560" s="64" ph="1"/>
    </row>
    <row r="2561" spans="23:23" ht="26.4">
      <c r="W2561" s="64" ph="1"/>
    </row>
    <row r="2562" spans="23:23" ht="26.4">
      <c r="W2562" s="64" ph="1"/>
    </row>
    <row r="2563" spans="23:23" ht="26.4">
      <c r="W2563" s="64" ph="1"/>
    </row>
    <row r="2564" spans="23:23" ht="26.4">
      <c r="W2564" s="64" ph="1"/>
    </row>
    <row r="2565" spans="23:23" ht="26.4">
      <c r="W2565" s="64" ph="1"/>
    </row>
    <row r="2566" spans="23:23" ht="26.4">
      <c r="W2566" s="64" ph="1"/>
    </row>
    <row r="2567" spans="23:23" ht="26.4">
      <c r="W2567" s="64" ph="1"/>
    </row>
    <row r="2568" spans="23:23" ht="26.4">
      <c r="W2568" s="64" ph="1"/>
    </row>
    <row r="2569" spans="23:23" ht="26.4">
      <c r="W2569" s="64" ph="1"/>
    </row>
    <row r="2570" spans="23:23" ht="26.4">
      <c r="W2570" s="64" ph="1"/>
    </row>
    <row r="2571" spans="23:23" ht="26.4">
      <c r="W2571" s="64" ph="1"/>
    </row>
    <row r="2572" spans="23:23" ht="26.4">
      <c r="W2572" s="64" ph="1"/>
    </row>
    <row r="2573" spans="23:23" ht="26.4">
      <c r="W2573" s="64" ph="1"/>
    </row>
    <row r="2574" spans="23:23" ht="26.4">
      <c r="W2574" s="64" ph="1"/>
    </row>
    <row r="2575" spans="23:23" ht="26.4">
      <c r="W2575" s="64" ph="1"/>
    </row>
    <row r="2576" spans="23:23" ht="26.4">
      <c r="W2576" s="64" ph="1"/>
    </row>
    <row r="2577" spans="23:23" ht="26.4">
      <c r="W2577" s="64" ph="1"/>
    </row>
    <row r="2578" spans="23:23" ht="26.4">
      <c r="W2578" s="64" ph="1"/>
    </row>
    <row r="2579" spans="23:23" ht="26.4">
      <c r="W2579" s="64" ph="1"/>
    </row>
    <row r="2580" spans="23:23" ht="26.4">
      <c r="W2580" s="64" ph="1"/>
    </row>
    <row r="2581" spans="23:23" ht="26.4">
      <c r="W2581" s="64" ph="1"/>
    </row>
    <row r="2582" spans="23:23" ht="26.4">
      <c r="W2582" s="64" ph="1"/>
    </row>
    <row r="2583" spans="23:23" ht="26.4">
      <c r="W2583" s="64" ph="1"/>
    </row>
    <row r="2584" spans="23:23" ht="26.4">
      <c r="W2584" s="64" ph="1"/>
    </row>
    <row r="2585" spans="23:23" ht="26.4">
      <c r="W2585" s="64" ph="1"/>
    </row>
    <row r="2586" spans="23:23" ht="26.4">
      <c r="W2586" s="64" ph="1"/>
    </row>
    <row r="2587" spans="23:23" ht="26.4">
      <c r="W2587" s="64" ph="1"/>
    </row>
    <row r="2588" spans="23:23" ht="26.4">
      <c r="W2588" s="64" ph="1"/>
    </row>
    <row r="2589" spans="23:23" ht="26.4">
      <c r="W2589" s="64" ph="1"/>
    </row>
    <row r="2590" spans="23:23" ht="26.4">
      <c r="W2590" s="64" ph="1"/>
    </row>
    <row r="2591" spans="23:23" ht="26.4">
      <c r="W2591" s="64" ph="1"/>
    </row>
    <row r="2592" spans="23:23" ht="26.4">
      <c r="W2592" s="64" ph="1"/>
    </row>
    <row r="2593" spans="23:23" ht="26.4">
      <c r="W2593" s="64" ph="1"/>
    </row>
    <row r="2594" spans="23:23" ht="26.4">
      <c r="W2594" s="64" ph="1"/>
    </row>
    <row r="2595" spans="23:23" ht="26.4">
      <c r="W2595" s="64" ph="1"/>
    </row>
    <row r="2596" spans="23:23" ht="26.4">
      <c r="W2596" s="64" ph="1"/>
    </row>
    <row r="2597" spans="23:23" ht="26.4">
      <c r="W2597" s="64" ph="1"/>
    </row>
    <row r="2598" spans="23:23" ht="26.4">
      <c r="W2598" s="64" ph="1"/>
    </row>
    <row r="2599" spans="23:23" ht="26.4">
      <c r="W2599" s="64" ph="1"/>
    </row>
    <row r="2600" spans="23:23" ht="26.4">
      <c r="W2600" s="64" ph="1"/>
    </row>
    <row r="2601" spans="23:23" ht="26.4">
      <c r="W2601" s="64" ph="1"/>
    </row>
    <row r="2602" spans="23:23" ht="26.4">
      <c r="W2602" s="64" ph="1"/>
    </row>
    <row r="2603" spans="23:23" ht="26.4">
      <c r="W2603" s="64" ph="1"/>
    </row>
    <row r="2604" spans="23:23" ht="26.4">
      <c r="W2604" s="64" ph="1"/>
    </row>
    <row r="2605" spans="23:23" ht="26.4">
      <c r="W2605" s="64" ph="1"/>
    </row>
    <row r="2606" spans="23:23" ht="26.4">
      <c r="W2606" s="64" ph="1"/>
    </row>
    <row r="2607" spans="23:23" ht="26.4">
      <c r="W2607" s="64" ph="1"/>
    </row>
    <row r="2608" spans="23:23" ht="26.4">
      <c r="W2608" s="64" ph="1"/>
    </row>
    <row r="2609" spans="23:23" ht="26.4">
      <c r="W2609" s="64" ph="1"/>
    </row>
    <row r="2610" spans="23:23" ht="26.4">
      <c r="W2610" s="64" ph="1"/>
    </row>
    <row r="2611" spans="23:23" ht="26.4">
      <c r="W2611" s="64" ph="1"/>
    </row>
    <row r="2612" spans="23:23" ht="26.4">
      <c r="W2612" s="64" ph="1"/>
    </row>
    <row r="2613" spans="23:23" ht="26.4">
      <c r="W2613" s="64" ph="1"/>
    </row>
    <row r="2614" spans="23:23" ht="26.4">
      <c r="W2614" s="64" ph="1"/>
    </row>
    <row r="2615" spans="23:23" ht="26.4">
      <c r="W2615" s="64" ph="1"/>
    </row>
    <row r="2616" spans="23:23" ht="26.4">
      <c r="W2616" s="64" ph="1"/>
    </row>
    <row r="2617" spans="23:23" ht="26.4">
      <c r="W2617" s="64" ph="1"/>
    </row>
    <row r="2618" spans="23:23" ht="26.4">
      <c r="W2618" s="64" ph="1"/>
    </row>
    <row r="2619" spans="23:23" ht="26.4">
      <c r="W2619" s="64" ph="1"/>
    </row>
    <row r="2620" spans="23:23" ht="26.4">
      <c r="W2620" s="64" ph="1"/>
    </row>
    <row r="2621" spans="23:23" ht="26.4">
      <c r="W2621" s="64" ph="1"/>
    </row>
    <row r="2622" spans="23:23" ht="26.4">
      <c r="W2622" s="64" ph="1"/>
    </row>
    <row r="2623" spans="23:23" ht="26.4">
      <c r="W2623" s="64" ph="1"/>
    </row>
    <row r="2624" spans="23:23" ht="26.4">
      <c r="W2624" s="64" ph="1"/>
    </row>
    <row r="2625" spans="23:23" ht="26.4">
      <c r="W2625" s="64" ph="1"/>
    </row>
    <row r="2626" spans="23:23" ht="26.4">
      <c r="W2626" s="64" ph="1"/>
    </row>
    <row r="2627" spans="23:23" ht="26.4">
      <c r="W2627" s="64" ph="1"/>
    </row>
    <row r="2628" spans="23:23" ht="26.4">
      <c r="W2628" s="64" ph="1"/>
    </row>
    <row r="2629" spans="23:23" ht="26.4">
      <c r="W2629" s="64" ph="1"/>
    </row>
    <row r="2630" spans="23:23" ht="26.4">
      <c r="W2630" s="64" ph="1"/>
    </row>
    <row r="2631" spans="23:23" ht="26.4">
      <c r="W2631" s="64" ph="1"/>
    </row>
    <row r="2632" spans="23:23" ht="26.4">
      <c r="W2632" s="64" ph="1"/>
    </row>
    <row r="2633" spans="23:23" ht="26.4">
      <c r="W2633" s="64" ph="1"/>
    </row>
    <row r="2634" spans="23:23" ht="26.4">
      <c r="W2634" s="64" ph="1"/>
    </row>
    <row r="2635" spans="23:23" ht="26.4">
      <c r="W2635" s="64" ph="1"/>
    </row>
    <row r="2636" spans="23:23" ht="26.4">
      <c r="W2636" s="64" ph="1"/>
    </row>
    <row r="2637" spans="23:23" ht="26.4">
      <c r="W2637" s="64" ph="1"/>
    </row>
    <row r="2638" spans="23:23" ht="26.4">
      <c r="W2638" s="64" ph="1"/>
    </row>
    <row r="2639" spans="23:23" ht="26.4">
      <c r="W2639" s="64" ph="1"/>
    </row>
    <row r="2640" spans="23:23" ht="26.4">
      <c r="W2640" s="64" ph="1"/>
    </row>
    <row r="2641" spans="23:23" ht="26.4">
      <c r="W2641" s="64" ph="1"/>
    </row>
    <row r="2642" spans="23:23" ht="26.4">
      <c r="W2642" s="64" ph="1"/>
    </row>
    <row r="2643" spans="23:23" ht="26.4">
      <c r="W2643" s="64" ph="1"/>
    </row>
    <row r="2644" spans="23:23" ht="26.4">
      <c r="W2644" s="64" ph="1"/>
    </row>
    <row r="2645" spans="23:23" ht="26.4">
      <c r="W2645" s="64" ph="1"/>
    </row>
    <row r="2646" spans="23:23" ht="26.4">
      <c r="W2646" s="64" ph="1"/>
    </row>
    <row r="2647" spans="23:23" ht="26.4">
      <c r="W2647" s="64" ph="1"/>
    </row>
    <row r="2648" spans="23:23" ht="26.4">
      <c r="W2648" s="64" ph="1"/>
    </row>
    <row r="2649" spans="23:23" ht="26.4">
      <c r="W2649" s="64" ph="1"/>
    </row>
    <row r="2650" spans="23:23" ht="26.4">
      <c r="W2650" s="64" ph="1"/>
    </row>
    <row r="2651" spans="23:23" ht="26.4">
      <c r="W2651" s="64" ph="1"/>
    </row>
    <row r="2652" spans="23:23" ht="26.4">
      <c r="W2652" s="64" ph="1"/>
    </row>
    <row r="2653" spans="23:23" ht="26.4">
      <c r="W2653" s="64" ph="1"/>
    </row>
    <row r="2654" spans="23:23" ht="26.4">
      <c r="W2654" s="64" ph="1"/>
    </row>
    <row r="2655" spans="23:23" ht="26.4">
      <c r="W2655" s="64" ph="1"/>
    </row>
    <row r="2656" spans="23:23" ht="26.4">
      <c r="W2656" s="64" ph="1"/>
    </row>
    <row r="2657" spans="23:23" ht="26.4">
      <c r="W2657" s="64" ph="1"/>
    </row>
    <row r="2658" spans="23:23" ht="26.4">
      <c r="W2658" s="64" ph="1"/>
    </row>
    <row r="2659" spans="23:23" ht="26.4">
      <c r="W2659" s="64" ph="1"/>
    </row>
    <row r="2660" spans="23:23" ht="26.4">
      <c r="W2660" s="64" ph="1"/>
    </row>
    <row r="2661" spans="23:23" ht="26.4">
      <c r="W2661" s="64" ph="1"/>
    </row>
    <row r="2662" spans="23:23" ht="26.4">
      <c r="W2662" s="64" ph="1"/>
    </row>
    <row r="2663" spans="23:23" ht="26.4">
      <c r="W2663" s="64" ph="1"/>
    </row>
    <row r="2664" spans="23:23" ht="26.4">
      <c r="W2664" s="64" ph="1"/>
    </row>
    <row r="2665" spans="23:23" ht="26.4">
      <c r="W2665" s="64" ph="1"/>
    </row>
    <row r="2666" spans="23:23" ht="26.4">
      <c r="W2666" s="64" ph="1"/>
    </row>
    <row r="2667" spans="23:23" ht="26.4">
      <c r="W2667" s="64" ph="1"/>
    </row>
    <row r="2668" spans="23:23" ht="26.4">
      <c r="W2668" s="64" ph="1"/>
    </row>
    <row r="2669" spans="23:23" ht="26.4">
      <c r="W2669" s="64" ph="1"/>
    </row>
    <row r="2670" spans="23:23" ht="26.4">
      <c r="W2670" s="64" ph="1"/>
    </row>
    <row r="2671" spans="23:23" ht="26.4">
      <c r="W2671" s="64" ph="1"/>
    </row>
    <row r="2672" spans="23:23" ht="26.4">
      <c r="W2672" s="64" ph="1"/>
    </row>
    <row r="2673" spans="23:23" ht="26.4">
      <c r="W2673" s="64" ph="1"/>
    </row>
    <row r="2674" spans="23:23" ht="26.4">
      <c r="W2674" s="64" ph="1"/>
    </row>
    <row r="2675" spans="23:23" ht="26.4">
      <c r="W2675" s="64" ph="1"/>
    </row>
    <row r="2676" spans="23:23" ht="26.4">
      <c r="W2676" s="64" ph="1"/>
    </row>
    <row r="2677" spans="23:23" ht="26.4">
      <c r="W2677" s="64" ph="1"/>
    </row>
    <row r="2678" spans="23:23" ht="26.4">
      <c r="W2678" s="64" ph="1"/>
    </row>
    <row r="2679" spans="23:23" ht="26.4">
      <c r="W2679" s="64" ph="1"/>
    </row>
    <row r="2680" spans="23:23" ht="26.4">
      <c r="W2680" s="64" ph="1"/>
    </row>
    <row r="2681" spans="23:23" ht="26.4">
      <c r="W2681" s="64" ph="1"/>
    </row>
    <row r="2682" spans="23:23" ht="26.4">
      <c r="W2682" s="64" ph="1"/>
    </row>
    <row r="2683" spans="23:23" ht="26.4">
      <c r="W2683" s="64" ph="1"/>
    </row>
    <row r="2684" spans="23:23" ht="26.4">
      <c r="W2684" s="64" ph="1"/>
    </row>
    <row r="2685" spans="23:23" ht="26.4">
      <c r="W2685" s="64" ph="1"/>
    </row>
    <row r="2686" spans="23:23" ht="26.4">
      <c r="W2686" s="64" ph="1"/>
    </row>
    <row r="2687" spans="23:23" ht="26.4">
      <c r="W2687" s="64" ph="1"/>
    </row>
    <row r="2688" spans="23:23" ht="26.4">
      <c r="W2688" s="64" ph="1"/>
    </row>
    <row r="2689" spans="23:23" ht="26.4">
      <c r="W2689" s="64" ph="1"/>
    </row>
    <row r="2690" spans="23:23" ht="26.4">
      <c r="W2690" s="64" ph="1"/>
    </row>
    <row r="2691" spans="23:23" ht="26.4">
      <c r="W2691" s="64" ph="1"/>
    </row>
    <row r="2692" spans="23:23" ht="26.4">
      <c r="W2692" s="64" ph="1"/>
    </row>
    <row r="2693" spans="23:23" ht="26.4">
      <c r="W2693" s="64" ph="1"/>
    </row>
    <row r="2694" spans="23:23" ht="26.4">
      <c r="W2694" s="64" ph="1"/>
    </row>
    <row r="2695" spans="23:23" ht="26.4">
      <c r="W2695" s="64" ph="1"/>
    </row>
    <row r="2696" spans="23:23" ht="26.4">
      <c r="W2696" s="64" ph="1"/>
    </row>
    <row r="2697" spans="23:23" ht="26.4">
      <c r="W2697" s="64" ph="1"/>
    </row>
    <row r="2698" spans="23:23" ht="26.4">
      <c r="W2698" s="64" ph="1"/>
    </row>
    <row r="2699" spans="23:23" ht="26.4">
      <c r="W2699" s="64" ph="1"/>
    </row>
    <row r="2700" spans="23:23" ht="26.4">
      <c r="W2700" s="64" ph="1"/>
    </row>
    <row r="2701" spans="23:23" ht="26.4">
      <c r="W2701" s="64" ph="1"/>
    </row>
    <row r="2702" spans="23:23" ht="26.4">
      <c r="W2702" s="64" ph="1"/>
    </row>
    <row r="2703" spans="23:23" ht="26.4">
      <c r="W2703" s="64" ph="1"/>
    </row>
    <row r="2704" spans="23:23" ht="26.4">
      <c r="W2704" s="64" ph="1"/>
    </row>
    <row r="2705" spans="23:23" ht="26.4">
      <c r="W2705" s="64" ph="1"/>
    </row>
    <row r="2706" spans="23:23" ht="26.4">
      <c r="W2706" s="64" ph="1"/>
    </row>
    <row r="2707" spans="23:23" ht="26.4">
      <c r="W2707" s="64" ph="1"/>
    </row>
    <row r="2708" spans="23:23" ht="26.4">
      <c r="W2708" s="64" ph="1"/>
    </row>
    <row r="2709" spans="23:23" ht="26.4">
      <c r="W2709" s="64" ph="1"/>
    </row>
    <row r="2710" spans="23:23" ht="26.4">
      <c r="W2710" s="64" ph="1"/>
    </row>
    <row r="2711" spans="23:23" ht="26.4">
      <c r="W2711" s="64" ph="1"/>
    </row>
    <row r="2712" spans="23:23" ht="26.4">
      <c r="W2712" s="64" ph="1"/>
    </row>
    <row r="2713" spans="23:23" ht="26.4">
      <c r="W2713" s="64" ph="1"/>
    </row>
    <row r="2714" spans="23:23" ht="26.4">
      <c r="W2714" s="64" ph="1"/>
    </row>
    <row r="2715" spans="23:23" ht="26.4">
      <c r="W2715" s="64" ph="1"/>
    </row>
    <row r="2716" spans="23:23" ht="26.4">
      <c r="W2716" s="64" ph="1"/>
    </row>
    <row r="2717" spans="23:23" ht="26.4">
      <c r="W2717" s="64" ph="1"/>
    </row>
    <row r="2718" spans="23:23" ht="26.4">
      <c r="W2718" s="64" ph="1"/>
    </row>
    <row r="2719" spans="23:23" ht="26.4">
      <c r="W2719" s="64" ph="1"/>
    </row>
    <row r="2720" spans="23:23" ht="26.4">
      <c r="W2720" s="64" ph="1"/>
    </row>
    <row r="2721" spans="23:23" ht="26.4">
      <c r="W2721" s="64" ph="1"/>
    </row>
    <row r="2722" spans="23:23" ht="26.4">
      <c r="W2722" s="64" ph="1"/>
    </row>
    <row r="2723" spans="23:23" ht="26.4">
      <c r="W2723" s="64" ph="1"/>
    </row>
    <row r="2724" spans="23:23" ht="26.4">
      <c r="W2724" s="64" ph="1"/>
    </row>
    <row r="2725" spans="23:23" ht="26.4">
      <c r="W2725" s="64" ph="1"/>
    </row>
    <row r="2726" spans="23:23" ht="26.4">
      <c r="W2726" s="64" ph="1"/>
    </row>
    <row r="2727" spans="23:23" ht="26.4">
      <c r="W2727" s="64" ph="1"/>
    </row>
    <row r="2728" spans="23:23" ht="26.4">
      <c r="W2728" s="64" ph="1"/>
    </row>
    <row r="2729" spans="23:23" ht="26.4">
      <c r="W2729" s="64" ph="1"/>
    </row>
    <row r="2730" spans="23:23" ht="26.4">
      <c r="W2730" s="64" ph="1"/>
    </row>
    <row r="2731" spans="23:23" ht="26.4">
      <c r="W2731" s="64" ph="1"/>
    </row>
    <row r="2732" spans="23:23" ht="26.4">
      <c r="W2732" s="64" ph="1"/>
    </row>
    <row r="2733" spans="23:23" ht="26.4">
      <c r="W2733" s="64" ph="1"/>
    </row>
    <row r="2734" spans="23:23" ht="26.4">
      <c r="W2734" s="64" ph="1"/>
    </row>
    <row r="2735" spans="23:23" ht="26.4">
      <c r="W2735" s="64" ph="1"/>
    </row>
    <row r="2736" spans="23:23" ht="26.4">
      <c r="W2736" s="64" ph="1"/>
    </row>
    <row r="2737" spans="23:23" ht="26.4">
      <c r="W2737" s="64" ph="1"/>
    </row>
    <row r="2738" spans="23:23" ht="26.4">
      <c r="W2738" s="64" ph="1"/>
    </row>
    <row r="2739" spans="23:23" ht="26.4">
      <c r="W2739" s="64" ph="1"/>
    </row>
    <row r="2740" spans="23:23" ht="26.4">
      <c r="W2740" s="64" ph="1"/>
    </row>
    <row r="2741" spans="23:23" ht="26.4">
      <c r="W2741" s="64" ph="1"/>
    </row>
    <row r="2742" spans="23:23" ht="26.4">
      <c r="W2742" s="64" ph="1"/>
    </row>
    <row r="2743" spans="23:23" ht="26.4">
      <c r="W2743" s="64" ph="1"/>
    </row>
    <row r="2744" spans="23:23" ht="26.4">
      <c r="W2744" s="64" ph="1"/>
    </row>
    <row r="2745" spans="23:23" ht="26.4">
      <c r="W2745" s="64" ph="1"/>
    </row>
    <row r="2746" spans="23:23" ht="26.4">
      <c r="W2746" s="64" ph="1"/>
    </row>
    <row r="2747" spans="23:23" ht="26.4">
      <c r="W2747" s="64" ph="1"/>
    </row>
    <row r="2748" spans="23:23" ht="26.4">
      <c r="W2748" s="64" ph="1"/>
    </row>
    <row r="2749" spans="23:23" ht="26.4">
      <c r="W2749" s="64" ph="1"/>
    </row>
    <row r="2750" spans="23:23" ht="26.4">
      <c r="W2750" s="64" ph="1"/>
    </row>
    <row r="2751" spans="23:23" ht="26.4">
      <c r="W2751" s="64" ph="1"/>
    </row>
    <row r="2752" spans="23:23" ht="26.4">
      <c r="W2752" s="64" ph="1"/>
    </row>
    <row r="2753" spans="23:23" ht="26.4">
      <c r="W2753" s="64" ph="1"/>
    </row>
    <row r="2754" spans="23:23" ht="26.4">
      <c r="W2754" s="64" ph="1"/>
    </row>
    <row r="2755" spans="23:23" ht="26.4">
      <c r="W2755" s="64" ph="1"/>
    </row>
    <row r="2756" spans="23:23" ht="26.4">
      <c r="W2756" s="64" ph="1"/>
    </row>
    <row r="2757" spans="23:23" ht="26.4">
      <c r="W2757" s="64" ph="1"/>
    </row>
    <row r="2758" spans="23:23" ht="26.4">
      <c r="W2758" s="64" ph="1"/>
    </row>
    <row r="2759" spans="23:23" ht="26.4">
      <c r="W2759" s="64" ph="1"/>
    </row>
    <row r="2760" spans="23:23" ht="26.4">
      <c r="W2760" s="64" ph="1"/>
    </row>
    <row r="2761" spans="23:23" ht="26.4">
      <c r="W2761" s="64" ph="1"/>
    </row>
    <row r="2762" spans="23:23" ht="26.4">
      <c r="W2762" s="64" ph="1"/>
    </row>
    <row r="2763" spans="23:23" ht="26.4">
      <c r="W2763" s="64" ph="1"/>
    </row>
    <row r="2764" spans="23:23" ht="26.4">
      <c r="W2764" s="64" ph="1"/>
    </row>
    <row r="2765" spans="23:23" ht="26.4">
      <c r="W2765" s="64" ph="1"/>
    </row>
    <row r="2766" spans="23:23" ht="26.4">
      <c r="W2766" s="64" ph="1"/>
    </row>
    <row r="2767" spans="23:23" ht="26.4">
      <c r="W2767" s="64" ph="1"/>
    </row>
    <row r="2768" spans="23:23" ht="26.4">
      <c r="W2768" s="64" ph="1"/>
    </row>
    <row r="2769" spans="23:23" ht="26.4">
      <c r="W2769" s="64" ph="1"/>
    </row>
    <row r="2770" spans="23:23" ht="26.4">
      <c r="W2770" s="64" ph="1"/>
    </row>
    <row r="2771" spans="23:23" ht="26.4">
      <c r="W2771" s="64" ph="1"/>
    </row>
    <row r="2772" spans="23:23" ht="26.4">
      <c r="W2772" s="64" ph="1"/>
    </row>
    <row r="2773" spans="23:23" ht="26.4">
      <c r="W2773" s="64" ph="1"/>
    </row>
    <row r="2774" spans="23:23" ht="26.4">
      <c r="W2774" s="64" ph="1"/>
    </row>
    <row r="2775" spans="23:23" ht="26.4">
      <c r="W2775" s="64" ph="1"/>
    </row>
    <row r="2776" spans="23:23" ht="26.4">
      <c r="W2776" s="64" ph="1"/>
    </row>
    <row r="2777" spans="23:23" ht="26.4">
      <c r="W2777" s="64" ph="1"/>
    </row>
    <row r="2778" spans="23:23" ht="26.4">
      <c r="W2778" s="64" ph="1"/>
    </row>
    <row r="2779" spans="23:23" ht="26.4">
      <c r="W2779" s="64" ph="1"/>
    </row>
    <row r="2780" spans="23:23" ht="26.4">
      <c r="W2780" s="64" ph="1"/>
    </row>
    <row r="2781" spans="23:23" ht="26.4">
      <c r="W2781" s="64" ph="1"/>
    </row>
    <row r="2782" spans="23:23" ht="26.4">
      <c r="W2782" s="64" ph="1"/>
    </row>
    <row r="2783" spans="23:23" ht="26.4">
      <c r="W2783" s="64" ph="1"/>
    </row>
    <row r="2784" spans="23:23" ht="26.4">
      <c r="W2784" s="64" ph="1"/>
    </row>
    <row r="2785" spans="23:23" ht="26.4">
      <c r="W2785" s="64" ph="1"/>
    </row>
    <row r="2786" spans="23:23" ht="26.4">
      <c r="W2786" s="64" ph="1"/>
    </row>
    <row r="2787" spans="23:23" ht="26.4">
      <c r="W2787" s="64" ph="1"/>
    </row>
    <row r="2788" spans="23:23" ht="26.4">
      <c r="W2788" s="64" ph="1"/>
    </row>
    <row r="2789" spans="23:23" ht="26.4">
      <c r="W2789" s="64" ph="1"/>
    </row>
    <row r="2790" spans="23:23" ht="26.4">
      <c r="W2790" s="64" ph="1"/>
    </row>
    <row r="2791" spans="23:23" ht="26.4">
      <c r="W2791" s="64" ph="1"/>
    </row>
    <row r="2792" spans="23:23" ht="26.4">
      <c r="W2792" s="64" ph="1"/>
    </row>
    <row r="2793" spans="23:23" ht="26.4">
      <c r="W2793" s="64" ph="1"/>
    </row>
    <row r="2794" spans="23:23" ht="26.4">
      <c r="W2794" s="64" ph="1"/>
    </row>
    <row r="2795" spans="23:23" ht="26.4">
      <c r="W2795" s="64" ph="1"/>
    </row>
    <row r="2796" spans="23:23" ht="26.4">
      <c r="W2796" s="64" ph="1"/>
    </row>
    <row r="2797" spans="23:23" ht="26.4">
      <c r="W2797" s="64" ph="1"/>
    </row>
    <row r="2798" spans="23:23" ht="26.4">
      <c r="W2798" s="64" ph="1"/>
    </row>
    <row r="2799" spans="23:23" ht="26.4">
      <c r="W2799" s="64" ph="1"/>
    </row>
    <row r="2800" spans="23:23" ht="26.4">
      <c r="W2800" s="64" ph="1"/>
    </row>
    <row r="2801" spans="23:23" ht="26.4">
      <c r="W2801" s="64" ph="1"/>
    </row>
    <row r="2802" spans="23:23" ht="26.4">
      <c r="W2802" s="64" ph="1"/>
    </row>
    <row r="2803" spans="23:23" ht="26.4">
      <c r="W2803" s="64" ph="1"/>
    </row>
    <row r="2804" spans="23:23" ht="26.4">
      <c r="W2804" s="64" ph="1"/>
    </row>
    <row r="2805" spans="23:23" ht="26.4">
      <c r="W2805" s="64" ph="1"/>
    </row>
    <row r="2806" spans="23:23" ht="26.4">
      <c r="W2806" s="64" ph="1"/>
    </row>
    <row r="2807" spans="23:23" ht="26.4">
      <c r="W2807" s="64" ph="1"/>
    </row>
    <row r="2808" spans="23:23" ht="26.4">
      <c r="W2808" s="64" ph="1"/>
    </row>
    <row r="2809" spans="23:23" ht="26.4">
      <c r="W2809" s="64" ph="1"/>
    </row>
    <row r="2810" spans="23:23" ht="26.4">
      <c r="W2810" s="64" ph="1"/>
    </row>
    <row r="2811" spans="23:23" ht="26.4">
      <c r="W2811" s="64" ph="1"/>
    </row>
    <row r="2812" spans="23:23" ht="26.4">
      <c r="W2812" s="64" ph="1"/>
    </row>
    <row r="2813" spans="23:23" ht="26.4">
      <c r="W2813" s="64" ph="1"/>
    </row>
    <row r="2814" spans="23:23" ht="26.4">
      <c r="W2814" s="64" ph="1"/>
    </row>
    <row r="2815" spans="23:23" ht="26.4">
      <c r="W2815" s="64" ph="1"/>
    </row>
    <row r="2816" spans="23:23" ht="26.4">
      <c r="W2816" s="64" ph="1"/>
    </row>
    <row r="2817" spans="23:23" ht="26.4">
      <c r="W2817" s="64" ph="1"/>
    </row>
    <row r="2818" spans="23:23" ht="26.4">
      <c r="W2818" s="64" ph="1"/>
    </row>
    <row r="2819" spans="23:23" ht="26.4">
      <c r="W2819" s="64" ph="1"/>
    </row>
    <row r="2820" spans="23:23" ht="26.4">
      <c r="W2820" s="64" ph="1"/>
    </row>
    <row r="2821" spans="23:23" ht="26.4">
      <c r="W2821" s="64" ph="1"/>
    </row>
    <row r="2822" spans="23:23" ht="26.4">
      <c r="W2822" s="64" ph="1"/>
    </row>
    <row r="2823" spans="23:23" ht="26.4">
      <c r="W2823" s="64" ph="1"/>
    </row>
    <row r="2824" spans="23:23" ht="26.4">
      <c r="W2824" s="64" ph="1"/>
    </row>
    <row r="2825" spans="23:23" ht="26.4">
      <c r="W2825" s="64" ph="1"/>
    </row>
    <row r="2826" spans="23:23" ht="26.4">
      <c r="W2826" s="64" ph="1"/>
    </row>
    <row r="2827" spans="23:23" ht="26.4">
      <c r="W2827" s="64" ph="1"/>
    </row>
    <row r="2828" spans="23:23" ht="26.4">
      <c r="W2828" s="64" ph="1"/>
    </row>
    <row r="2829" spans="23:23" ht="26.4">
      <c r="W2829" s="64" ph="1"/>
    </row>
    <row r="2830" spans="23:23" ht="26.4">
      <c r="W2830" s="64" ph="1"/>
    </row>
    <row r="2831" spans="23:23" ht="26.4">
      <c r="W2831" s="64" ph="1"/>
    </row>
    <row r="2832" spans="23:23" ht="26.4">
      <c r="W2832" s="64" ph="1"/>
    </row>
    <row r="2833" spans="23:23" ht="26.4">
      <c r="W2833" s="64" ph="1"/>
    </row>
    <row r="2834" spans="23:23" ht="26.4">
      <c r="W2834" s="64" ph="1"/>
    </row>
    <row r="2835" spans="23:23" ht="26.4">
      <c r="W2835" s="64" ph="1"/>
    </row>
    <row r="2836" spans="23:23" ht="26.4">
      <c r="W2836" s="64" ph="1"/>
    </row>
    <row r="2837" spans="23:23" ht="26.4">
      <c r="W2837" s="64" ph="1"/>
    </row>
    <row r="2838" spans="23:23" ht="26.4">
      <c r="W2838" s="64" ph="1"/>
    </row>
    <row r="2839" spans="23:23" ht="26.4">
      <c r="W2839" s="64" ph="1"/>
    </row>
    <row r="2840" spans="23:23" ht="26.4">
      <c r="W2840" s="64" ph="1"/>
    </row>
    <row r="2841" spans="23:23" ht="26.4">
      <c r="W2841" s="64" ph="1"/>
    </row>
    <row r="2842" spans="23:23" ht="26.4">
      <c r="W2842" s="64" ph="1"/>
    </row>
    <row r="2843" spans="23:23" ht="26.4">
      <c r="W2843" s="64" ph="1"/>
    </row>
    <row r="2844" spans="23:23" ht="26.4">
      <c r="W2844" s="64" ph="1"/>
    </row>
    <row r="2845" spans="23:23" ht="26.4">
      <c r="W2845" s="64" ph="1"/>
    </row>
    <row r="2846" spans="23:23" ht="26.4">
      <c r="W2846" s="64" ph="1"/>
    </row>
    <row r="2847" spans="23:23" ht="26.4">
      <c r="W2847" s="64" ph="1"/>
    </row>
    <row r="2848" spans="23:23" ht="26.4">
      <c r="W2848" s="64" ph="1"/>
    </row>
    <row r="2849" spans="23:23" ht="26.4">
      <c r="W2849" s="64" ph="1"/>
    </row>
    <row r="2850" spans="23:23" ht="26.4">
      <c r="W2850" s="64" ph="1"/>
    </row>
    <row r="2851" spans="23:23" ht="26.4">
      <c r="W2851" s="64" ph="1"/>
    </row>
    <row r="2852" spans="23:23" ht="26.4">
      <c r="W2852" s="64" ph="1"/>
    </row>
    <row r="2853" spans="23:23" ht="26.4">
      <c r="W2853" s="64" ph="1"/>
    </row>
    <row r="2854" spans="23:23" ht="26.4">
      <c r="W2854" s="64" ph="1"/>
    </row>
    <row r="2855" spans="23:23" ht="26.4">
      <c r="W2855" s="64" ph="1"/>
    </row>
    <row r="2856" spans="23:23" ht="26.4">
      <c r="W2856" s="64" ph="1"/>
    </row>
    <row r="2857" spans="23:23" ht="26.4">
      <c r="W2857" s="64" ph="1"/>
    </row>
    <row r="2858" spans="23:23" ht="26.4">
      <c r="W2858" s="64" ph="1"/>
    </row>
    <row r="2859" spans="23:23" ht="26.4">
      <c r="W2859" s="64" ph="1"/>
    </row>
    <row r="2860" spans="23:23" ht="26.4">
      <c r="W2860" s="64" ph="1"/>
    </row>
    <row r="2861" spans="23:23" ht="26.4">
      <c r="W2861" s="64" ph="1"/>
    </row>
    <row r="2862" spans="23:23" ht="26.4">
      <c r="W2862" s="64" ph="1"/>
    </row>
    <row r="2863" spans="23:23" ht="26.4">
      <c r="W2863" s="64" ph="1"/>
    </row>
    <row r="2864" spans="23:23" ht="26.4">
      <c r="W2864" s="64" ph="1"/>
    </row>
    <row r="2865" spans="23:23" ht="26.4">
      <c r="W2865" s="64" ph="1"/>
    </row>
    <row r="2866" spans="23:23" ht="26.4">
      <c r="W2866" s="64" ph="1"/>
    </row>
    <row r="2867" spans="23:23" ht="26.4">
      <c r="W2867" s="64" ph="1"/>
    </row>
    <row r="2868" spans="23:23" ht="26.4">
      <c r="W2868" s="64" ph="1"/>
    </row>
    <row r="2869" spans="23:23" ht="26.4">
      <c r="W2869" s="64" ph="1"/>
    </row>
    <row r="2870" spans="23:23" ht="26.4">
      <c r="W2870" s="64" ph="1"/>
    </row>
    <row r="2871" spans="23:23" ht="26.4">
      <c r="W2871" s="64" ph="1"/>
    </row>
    <row r="2872" spans="23:23" ht="26.4">
      <c r="W2872" s="64" ph="1"/>
    </row>
    <row r="2873" spans="23:23" ht="26.4">
      <c r="W2873" s="64" ph="1"/>
    </row>
    <row r="2874" spans="23:23" ht="26.4">
      <c r="W2874" s="64" ph="1"/>
    </row>
    <row r="2875" spans="23:23" ht="26.4">
      <c r="W2875" s="64" ph="1"/>
    </row>
    <row r="2876" spans="23:23" ht="26.4">
      <c r="W2876" s="64" ph="1"/>
    </row>
    <row r="2877" spans="23:23" ht="26.4">
      <c r="W2877" s="64" ph="1"/>
    </row>
    <row r="2878" spans="23:23" ht="26.4">
      <c r="W2878" s="64" ph="1"/>
    </row>
    <row r="2879" spans="23:23" ht="26.4">
      <c r="W2879" s="64" ph="1"/>
    </row>
    <row r="2880" spans="23:23" ht="26.4">
      <c r="W2880" s="64" ph="1"/>
    </row>
    <row r="2881" spans="23:23" ht="26.4">
      <c r="W2881" s="64" ph="1"/>
    </row>
    <row r="2882" spans="23:23" ht="26.4">
      <c r="W2882" s="64" ph="1"/>
    </row>
    <row r="2883" spans="23:23" ht="26.4">
      <c r="W2883" s="64" ph="1"/>
    </row>
    <row r="2884" spans="23:23" ht="26.4">
      <c r="W2884" s="64" ph="1"/>
    </row>
    <row r="2885" spans="23:23" ht="26.4">
      <c r="W2885" s="64" ph="1"/>
    </row>
    <row r="2886" spans="23:23" ht="26.4">
      <c r="W2886" s="64" ph="1"/>
    </row>
    <row r="2887" spans="23:23" ht="26.4">
      <c r="W2887" s="64" ph="1"/>
    </row>
    <row r="2888" spans="23:23" ht="26.4">
      <c r="W2888" s="64" ph="1"/>
    </row>
    <row r="2889" spans="23:23" ht="26.4">
      <c r="W2889" s="64" ph="1"/>
    </row>
    <row r="2890" spans="23:23" ht="26.4">
      <c r="W2890" s="64" ph="1"/>
    </row>
    <row r="2891" spans="23:23" ht="26.4">
      <c r="W2891" s="64" ph="1"/>
    </row>
    <row r="2892" spans="23:23" ht="26.4">
      <c r="W2892" s="64" ph="1"/>
    </row>
    <row r="2893" spans="23:23" ht="26.4">
      <c r="W2893" s="64" ph="1"/>
    </row>
    <row r="2894" spans="23:23" ht="26.4">
      <c r="W2894" s="64" ph="1"/>
    </row>
    <row r="2895" spans="23:23" ht="26.4">
      <c r="W2895" s="64" ph="1"/>
    </row>
    <row r="2896" spans="23:23" ht="26.4">
      <c r="W2896" s="64" ph="1"/>
    </row>
    <row r="2897" spans="23:23" ht="26.4">
      <c r="W2897" s="64" ph="1"/>
    </row>
    <row r="2898" spans="23:23" ht="26.4">
      <c r="W2898" s="64" ph="1"/>
    </row>
    <row r="2899" spans="23:23" ht="26.4">
      <c r="W2899" s="64" ph="1"/>
    </row>
    <row r="2900" spans="23:23" ht="26.4">
      <c r="W2900" s="64" ph="1"/>
    </row>
    <row r="2901" spans="23:23" ht="26.4">
      <c r="W2901" s="64" ph="1"/>
    </row>
    <row r="2902" spans="23:23" ht="26.4">
      <c r="W2902" s="64" ph="1"/>
    </row>
    <row r="2903" spans="23:23" ht="26.4">
      <c r="W2903" s="64" ph="1"/>
    </row>
    <row r="2904" spans="23:23" ht="26.4">
      <c r="W2904" s="64" ph="1"/>
    </row>
    <row r="2905" spans="23:23" ht="26.4">
      <c r="W2905" s="64" ph="1"/>
    </row>
    <row r="2906" spans="23:23" ht="26.4">
      <c r="W2906" s="64" ph="1"/>
    </row>
    <row r="2907" spans="23:23" ht="26.4">
      <c r="W2907" s="64" ph="1"/>
    </row>
    <row r="2908" spans="23:23" ht="26.4">
      <c r="W2908" s="64" ph="1"/>
    </row>
    <row r="2909" spans="23:23" ht="26.4">
      <c r="W2909" s="64" ph="1"/>
    </row>
    <row r="2910" spans="23:23" ht="26.4">
      <c r="W2910" s="64" ph="1"/>
    </row>
    <row r="2911" spans="23:23" ht="26.4">
      <c r="W2911" s="64" ph="1"/>
    </row>
    <row r="2912" spans="23:23" ht="26.4">
      <c r="W2912" s="64" ph="1"/>
    </row>
    <row r="2913" spans="23:23" ht="26.4">
      <c r="W2913" s="64" ph="1"/>
    </row>
    <row r="2914" spans="23:23" ht="26.4">
      <c r="W2914" s="64" ph="1"/>
    </row>
    <row r="2915" spans="23:23" ht="26.4">
      <c r="W2915" s="64" ph="1"/>
    </row>
    <row r="2916" spans="23:23" ht="26.4">
      <c r="W2916" s="64" ph="1"/>
    </row>
    <row r="2917" spans="23:23" ht="26.4">
      <c r="W2917" s="64" ph="1"/>
    </row>
    <row r="2918" spans="23:23" ht="26.4">
      <c r="W2918" s="64" ph="1"/>
    </row>
    <row r="2919" spans="23:23" ht="26.4">
      <c r="W2919" s="64" ph="1"/>
    </row>
    <row r="2920" spans="23:23" ht="26.4">
      <c r="W2920" s="64" ph="1"/>
    </row>
    <row r="2921" spans="23:23" ht="26.4">
      <c r="W2921" s="64" ph="1"/>
    </row>
    <row r="2922" spans="23:23" ht="26.4">
      <c r="W2922" s="64" ph="1"/>
    </row>
    <row r="2923" spans="23:23" ht="26.4">
      <c r="W2923" s="64" ph="1"/>
    </row>
    <row r="2924" spans="23:23" ht="26.4">
      <c r="W2924" s="64" ph="1"/>
    </row>
    <row r="2925" spans="23:23" ht="26.4">
      <c r="W2925" s="64" ph="1"/>
    </row>
    <row r="2926" spans="23:23" ht="26.4">
      <c r="W2926" s="64" ph="1"/>
    </row>
    <row r="2927" spans="23:23" ht="26.4">
      <c r="W2927" s="64" ph="1"/>
    </row>
    <row r="2928" spans="23:23" ht="26.4">
      <c r="W2928" s="64" ph="1"/>
    </row>
    <row r="2929" spans="23:23" ht="26.4">
      <c r="W2929" s="64" ph="1"/>
    </row>
    <row r="2930" spans="23:23" ht="26.4">
      <c r="W2930" s="64" ph="1"/>
    </row>
    <row r="2931" spans="23:23" ht="26.4">
      <c r="W2931" s="64" ph="1"/>
    </row>
    <row r="2932" spans="23:23" ht="26.4">
      <c r="W2932" s="64" ph="1"/>
    </row>
    <row r="2933" spans="23:23" ht="26.4">
      <c r="W2933" s="64" ph="1"/>
    </row>
    <row r="2934" spans="23:23" ht="26.4">
      <c r="W2934" s="64" ph="1"/>
    </row>
    <row r="2935" spans="23:23" ht="26.4">
      <c r="W2935" s="64" ph="1"/>
    </row>
    <row r="2936" spans="23:23" ht="26.4">
      <c r="W2936" s="64" ph="1"/>
    </row>
    <row r="2937" spans="23:23" ht="26.4">
      <c r="W2937" s="64" ph="1"/>
    </row>
    <row r="2938" spans="23:23" ht="26.4">
      <c r="W2938" s="64" ph="1"/>
    </row>
    <row r="2939" spans="23:23" ht="26.4">
      <c r="W2939" s="64" ph="1"/>
    </row>
    <row r="2940" spans="23:23" ht="26.4">
      <c r="W2940" s="64" ph="1"/>
    </row>
    <row r="2941" spans="23:23" ht="26.4">
      <c r="W2941" s="64" ph="1"/>
    </row>
    <row r="2942" spans="23:23" ht="26.4">
      <c r="W2942" s="64" ph="1"/>
    </row>
    <row r="2943" spans="23:23" ht="26.4">
      <c r="W2943" s="64" ph="1"/>
    </row>
    <row r="2944" spans="23:23" ht="26.4">
      <c r="W2944" s="64" ph="1"/>
    </row>
    <row r="2945" spans="23:23" ht="26.4">
      <c r="W2945" s="64" ph="1"/>
    </row>
    <row r="2946" spans="23:23" ht="26.4">
      <c r="W2946" s="64" ph="1"/>
    </row>
    <row r="2947" spans="23:23" ht="26.4">
      <c r="W2947" s="64" ph="1"/>
    </row>
    <row r="2948" spans="23:23" ht="26.4">
      <c r="W2948" s="64" ph="1"/>
    </row>
    <row r="2949" spans="23:23" ht="26.4">
      <c r="W2949" s="64" ph="1"/>
    </row>
    <row r="2950" spans="23:23" ht="26.4">
      <c r="W2950" s="64" ph="1"/>
    </row>
    <row r="2951" spans="23:23" ht="26.4">
      <c r="W2951" s="64" ph="1"/>
    </row>
    <row r="2952" spans="23:23" ht="26.4">
      <c r="W2952" s="64" ph="1"/>
    </row>
    <row r="2953" spans="23:23" ht="26.4">
      <c r="W2953" s="64" ph="1"/>
    </row>
    <row r="2954" spans="23:23" ht="26.4">
      <c r="W2954" s="64" ph="1"/>
    </row>
    <row r="2955" spans="23:23" ht="26.4">
      <c r="W2955" s="64" ph="1"/>
    </row>
    <row r="2956" spans="23:23" ht="26.4">
      <c r="W2956" s="64" ph="1"/>
    </row>
    <row r="2957" spans="23:23" ht="26.4">
      <c r="W2957" s="64" ph="1"/>
    </row>
    <row r="2958" spans="23:23" ht="26.4">
      <c r="W2958" s="64" ph="1"/>
    </row>
    <row r="2959" spans="23:23" ht="26.4">
      <c r="W2959" s="64" ph="1"/>
    </row>
    <row r="2960" spans="23:23" ht="26.4">
      <c r="W2960" s="64" ph="1"/>
    </row>
    <row r="2961" spans="23:23" ht="26.4">
      <c r="W2961" s="64" ph="1"/>
    </row>
    <row r="2962" spans="23:23" ht="26.4">
      <c r="W2962" s="64" ph="1"/>
    </row>
    <row r="2963" spans="23:23" ht="26.4">
      <c r="W2963" s="64" ph="1"/>
    </row>
    <row r="2964" spans="23:23" ht="26.4">
      <c r="W2964" s="64" ph="1"/>
    </row>
    <row r="2965" spans="23:23" ht="26.4">
      <c r="W2965" s="64" ph="1"/>
    </row>
    <row r="2966" spans="23:23" ht="26.4">
      <c r="W2966" s="64" ph="1"/>
    </row>
    <row r="2967" spans="23:23" ht="26.4">
      <c r="W2967" s="64" ph="1"/>
    </row>
    <row r="2968" spans="23:23" ht="26.4">
      <c r="W2968" s="64" ph="1"/>
    </row>
    <row r="2969" spans="23:23" ht="26.4">
      <c r="W2969" s="64" ph="1"/>
    </row>
    <row r="2970" spans="23:23" ht="26.4">
      <c r="W2970" s="64" ph="1"/>
    </row>
    <row r="2971" spans="23:23" ht="26.4">
      <c r="W2971" s="64" ph="1"/>
    </row>
    <row r="2972" spans="23:23" ht="26.4">
      <c r="W2972" s="64" ph="1"/>
    </row>
    <row r="2973" spans="23:23" ht="26.4">
      <c r="W2973" s="64" ph="1"/>
    </row>
    <row r="2974" spans="23:23" ht="26.4">
      <c r="W2974" s="64" ph="1"/>
    </row>
    <row r="2975" spans="23:23" ht="26.4">
      <c r="W2975" s="64" ph="1"/>
    </row>
    <row r="2976" spans="23:23" ht="26.4">
      <c r="W2976" s="64" ph="1"/>
    </row>
    <row r="2977" spans="23:23" ht="26.4">
      <c r="W2977" s="64" ph="1"/>
    </row>
    <row r="2978" spans="23:23" ht="26.4">
      <c r="W2978" s="64" ph="1"/>
    </row>
    <row r="2979" spans="23:23" ht="26.4">
      <c r="W2979" s="64" ph="1"/>
    </row>
    <row r="2980" spans="23:23" ht="26.4">
      <c r="W2980" s="64" ph="1"/>
    </row>
    <row r="2981" spans="23:23" ht="26.4">
      <c r="W2981" s="64" ph="1"/>
    </row>
    <row r="2982" spans="23:23" ht="26.4">
      <c r="W2982" s="64" ph="1"/>
    </row>
    <row r="2983" spans="23:23" ht="26.4">
      <c r="W2983" s="64" ph="1"/>
    </row>
    <row r="2984" spans="23:23" ht="26.4">
      <c r="W2984" s="64" ph="1"/>
    </row>
    <row r="2985" spans="23:23" ht="26.4">
      <c r="W2985" s="64" ph="1"/>
    </row>
    <row r="2986" spans="23:23" ht="26.4">
      <c r="W2986" s="64" ph="1"/>
    </row>
    <row r="2987" spans="23:23" ht="26.4">
      <c r="W2987" s="64" ph="1"/>
    </row>
    <row r="2988" spans="23:23" ht="26.4">
      <c r="W2988" s="64" ph="1"/>
    </row>
    <row r="2989" spans="23:23" ht="26.4">
      <c r="W2989" s="64" ph="1"/>
    </row>
    <row r="2990" spans="23:23" ht="26.4">
      <c r="W2990" s="64" ph="1"/>
    </row>
    <row r="2991" spans="23:23" ht="26.4">
      <c r="W2991" s="64" ph="1"/>
    </row>
    <row r="2992" spans="23:23" ht="26.4">
      <c r="W2992" s="64" ph="1"/>
    </row>
    <row r="2993" spans="23:23" ht="26.4">
      <c r="W2993" s="64" ph="1"/>
    </row>
    <row r="2994" spans="23:23" ht="26.4">
      <c r="W2994" s="64" ph="1"/>
    </row>
    <row r="2995" spans="23:23" ht="26.4">
      <c r="W2995" s="64" ph="1"/>
    </row>
    <row r="2996" spans="23:23" ht="26.4">
      <c r="W2996" s="64" ph="1"/>
    </row>
    <row r="2997" spans="23:23" ht="26.4">
      <c r="W2997" s="64" ph="1"/>
    </row>
    <row r="2998" spans="23:23" ht="26.4">
      <c r="W2998" s="64" ph="1"/>
    </row>
    <row r="2999" spans="23:23" ht="26.4">
      <c r="W2999" s="64" ph="1"/>
    </row>
    <row r="3000" spans="23:23" ht="26.4">
      <c r="W3000" s="64" ph="1"/>
    </row>
    <row r="3001" spans="23:23" ht="26.4">
      <c r="W3001" s="64" ph="1"/>
    </row>
    <row r="3002" spans="23:23" ht="26.4">
      <c r="W3002" s="64" ph="1"/>
    </row>
    <row r="3003" spans="23:23" ht="26.4">
      <c r="W3003" s="64" ph="1"/>
    </row>
    <row r="3004" spans="23:23" ht="26.4">
      <c r="W3004" s="64" ph="1"/>
    </row>
    <row r="3005" spans="23:23" ht="26.4">
      <c r="W3005" s="64" ph="1"/>
    </row>
    <row r="3006" spans="23:23" ht="26.4">
      <c r="W3006" s="64" ph="1"/>
    </row>
    <row r="3007" spans="23:23" ht="26.4">
      <c r="W3007" s="64" ph="1"/>
    </row>
    <row r="3008" spans="23:23" ht="26.4">
      <c r="W3008" s="64" ph="1"/>
    </row>
    <row r="3009" spans="23:23" ht="26.4">
      <c r="W3009" s="64" ph="1"/>
    </row>
    <row r="3010" spans="23:23" ht="26.4">
      <c r="W3010" s="64" ph="1"/>
    </row>
    <row r="3011" spans="23:23" ht="26.4">
      <c r="W3011" s="64" ph="1"/>
    </row>
    <row r="3012" spans="23:23" ht="26.4">
      <c r="W3012" s="64" ph="1"/>
    </row>
    <row r="3013" spans="23:23" ht="26.4">
      <c r="W3013" s="64" ph="1"/>
    </row>
    <row r="3014" spans="23:23" ht="26.4">
      <c r="W3014" s="64" ph="1"/>
    </row>
    <row r="3015" spans="23:23" ht="26.4">
      <c r="W3015" s="64" ph="1"/>
    </row>
    <row r="3016" spans="23:23" ht="26.4">
      <c r="W3016" s="64" ph="1"/>
    </row>
    <row r="3017" spans="23:23" ht="26.4">
      <c r="W3017" s="64" ph="1"/>
    </row>
    <row r="3018" spans="23:23" ht="26.4">
      <c r="W3018" s="64" ph="1"/>
    </row>
    <row r="3019" spans="23:23" ht="26.4">
      <c r="W3019" s="64" ph="1"/>
    </row>
    <row r="3020" spans="23:23" ht="26.4">
      <c r="W3020" s="64" ph="1"/>
    </row>
    <row r="3021" spans="23:23" ht="26.4">
      <c r="W3021" s="64" ph="1"/>
    </row>
    <row r="3022" spans="23:23" ht="26.4">
      <c r="W3022" s="64" ph="1"/>
    </row>
    <row r="3023" spans="23:23" ht="26.4">
      <c r="W3023" s="64" ph="1"/>
    </row>
    <row r="3024" spans="23:23" ht="26.4">
      <c r="W3024" s="64" ph="1"/>
    </row>
    <row r="3025" spans="23:23" ht="26.4">
      <c r="W3025" s="64" ph="1"/>
    </row>
    <row r="3026" spans="23:23" ht="26.4">
      <c r="W3026" s="64" ph="1"/>
    </row>
    <row r="3027" spans="23:23" ht="26.4">
      <c r="W3027" s="64" ph="1"/>
    </row>
    <row r="3028" spans="23:23" ht="26.4">
      <c r="W3028" s="64" ph="1"/>
    </row>
    <row r="3029" spans="23:23" ht="26.4">
      <c r="W3029" s="64" ph="1"/>
    </row>
    <row r="3030" spans="23:23" ht="26.4">
      <c r="W3030" s="64" ph="1"/>
    </row>
    <row r="3031" spans="23:23" ht="26.4">
      <c r="W3031" s="64" ph="1"/>
    </row>
    <row r="3032" spans="23:23" ht="26.4">
      <c r="W3032" s="64" ph="1"/>
    </row>
    <row r="3033" spans="23:23" ht="26.4">
      <c r="W3033" s="64" ph="1"/>
    </row>
    <row r="3034" spans="23:23" ht="26.4">
      <c r="W3034" s="64" ph="1"/>
    </row>
    <row r="3035" spans="23:23" ht="26.4">
      <c r="W3035" s="64" ph="1"/>
    </row>
    <row r="3036" spans="23:23" ht="26.4">
      <c r="W3036" s="64" ph="1"/>
    </row>
    <row r="3037" spans="23:23" ht="26.4">
      <c r="W3037" s="64" ph="1"/>
    </row>
    <row r="3038" spans="23:23" ht="26.4">
      <c r="W3038" s="64" ph="1"/>
    </row>
    <row r="3039" spans="23:23" ht="26.4">
      <c r="W3039" s="64" ph="1"/>
    </row>
    <row r="3040" spans="23:23" ht="26.4">
      <c r="W3040" s="64" ph="1"/>
    </row>
    <row r="3041" spans="23:23" ht="26.4">
      <c r="W3041" s="64" ph="1"/>
    </row>
    <row r="3042" spans="23:23" ht="26.4">
      <c r="W3042" s="64" ph="1"/>
    </row>
    <row r="3043" spans="23:23" ht="26.4">
      <c r="W3043" s="64" ph="1"/>
    </row>
    <row r="3044" spans="23:23" ht="26.4">
      <c r="W3044" s="64" ph="1"/>
    </row>
    <row r="3045" spans="23:23" ht="26.4">
      <c r="W3045" s="64" ph="1"/>
    </row>
    <row r="3046" spans="23:23" ht="26.4">
      <c r="W3046" s="64" ph="1"/>
    </row>
    <row r="3047" spans="23:23" ht="26.4">
      <c r="W3047" s="64" ph="1"/>
    </row>
    <row r="3048" spans="23:23" ht="26.4">
      <c r="W3048" s="64" ph="1"/>
    </row>
    <row r="3049" spans="23:23" ht="26.4">
      <c r="W3049" s="64" ph="1"/>
    </row>
    <row r="3050" spans="23:23" ht="26.4">
      <c r="W3050" s="64" ph="1"/>
    </row>
    <row r="3051" spans="23:23" ht="26.4">
      <c r="W3051" s="64" ph="1"/>
    </row>
    <row r="3052" spans="23:23" ht="26.4">
      <c r="W3052" s="64" ph="1"/>
    </row>
    <row r="3053" spans="23:23" ht="26.4">
      <c r="W3053" s="64" ph="1"/>
    </row>
    <row r="3054" spans="23:23" ht="26.4">
      <c r="W3054" s="64" ph="1"/>
    </row>
    <row r="3055" spans="23:23" ht="26.4">
      <c r="W3055" s="64" ph="1"/>
    </row>
    <row r="3056" spans="23:23" ht="26.4">
      <c r="W3056" s="64" ph="1"/>
    </row>
    <row r="3057" spans="23:23" ht="26.4">
      <c r="W3057" s="64" ph="1"/>
    </row>
    <row r="3058" spans="23:23" ht="26.4">
      <c r="W3058" s="64" ph="1"/>
    </row>
    <row r="3059" spans="23:23" ht="26.4">
      <c r="W3059" s="64" ph="1"/>
    </row>
    <row r="3060" spans="23:23" ht="26.4">
      <c r="W3060" s="64" ph="1"/>
    </row>
    <row r="3061" spans="23:23" ht="26.4">
      <c r="W3061" s="64" ph="1"/>
    </row>
    <row r="3062" spans="23:23" ht="26.4">
      <c r="W3062" s="64" ph="1"/>
    </row>
    <row r="3063" spans="23:23" ht="26.4">
      <c r="W3063" s="64" ph="1"/>
    </row>
    <row r="3064" spans="23:23" ht="26.4">
      <c r="W3064" s="64" ph="1"/>
    </row>
    <row r="3065" spans="23:23" ht="26.4">
      <c r="W3065" s="64" ph="1"/>
    </row>
    <row r="3066" spans="23:23" ht="26.4">
      <c r="W3066" s="64" ph="1"/>
    </row>
    <row r="3067" spans="23:23" ht="26.4">
      <c r="W3067" s="64" ph="1"/>
    </row>
    <row r="3068" spans="23:23" ht="26.4">
      <c r="W3068" s="64" ph="1"/>
    </row>
    <row r="3069" spans="23:23" ht="26.4">
      <c r="W3069" s="64" ph="1"/>
    </row>
    <row r="3070" spans="23:23" ht="26.4">
      <c r="W3070" s="64" ph="1"/>
    </row>
    <row r="3071" spans="23:23" ht="26.4">
      <c r="W3071" s="64" ph="1"/>
    </row>
    <row r="3072" spans="23:23" ht="26.4">
      <c r="W3072" s="64" ph="1"/>
    </row>
    <row r="3073" spans="23:23" ht="26.4">
      <c r="W3073" s="64" ph="1"/>
    </row>
    <row r="3074" spans="23:23" ht="26.4">
      <c r="W3074" s="64" ph="1"/>
    </row>
    <row r="3075" spans="23:23" ht="26.4">
      <c r="W3075" s="64" ph="1"/>
    </row>
    <row r="3076" spans="23:23" ht="26.4">
      <c r="W3076" s="64" ph="1"/>
    </row>
    <row r="3077" spans="23:23" ht="26.4">
      <c r="W3077" s="64" ph="1"/>
    </row>
    <row r="3078" spans="23:23" ht="26.4">
      <c r="W3078" s="64" ph="1"/>
    </row>
    <row r="3079" spans="23:23" ht="26.4">
      <c r="W3079" s="64" ph="1"/>
    </row>
    <row r="3080" spans="23:23" ht="26.4">
      <c r="W3080" s="64" ph="1"/>
    </row>
    <row r="3081" spans="23:23" ht="26.4">
      <c r="W3081" s="64" ph="1"/>
    </row>
    <row r="3082" spans="23:23" ht="26.4">
      <c r="W3082" s="64" ph="1"/>
    </row>
    <row r="3083" spans="23:23" ht="26.4">
      <c r="W3083" s="64" ph="1"/>
    </row>
    <row r="3084" spans="23:23" ht="26.4">
      <c r="W3084" s="64" ph="1"/>
    </row>
    <row r="3085" spans="23:23" ht="26.4">
      <c r="W3085" s="64" ph="1"/>
    </row>
    <row r="3086" spans="23:23" ht="26.4">
      <c r="W3086" s="64" ph="1"/>
    </row>
    <row r="3087" spans="23:23" ht="26.4">
      <c r="W3087" s="64" ph="1"/>
    </row>
    <row r="3088" spans="23:23" ht="26.4">
      <c r="W3088" s="64" ph="1"/>
    </row>
    <row r="3089" spans="23:23" ht="26.4">
      <c r="W3089" s="64" ph="1"/>
    </row>
    <row r="3090" spans="23:23" ht="26.4">
      <c r="W3090" s="64" ph="1"/>
    </row>
    <row r="3091" spans="23:23" ht="26.4">
      <c r="W3091" s="64" ph="1"/>
    </row>
    <row r="3092" spans="23:23" ht="26.4">
      <c r="W3092" s="64" ph="1"/>
    </row>
    <row r="3093" spans="23:23" ht="26.4">
      <c r="W3093" s="64" ph="1"/>
    </row>
    <row r="3094" spans="23:23" ht="26.4">
      <c r="W3094" s="64" ph="1"/>
    </row>
    <row r="3095" spans="23:23" ht="26.4">
      <c r="W3095" s="64" ph="1"/>
    </row>
    <row r="3096" spans="23:23" ht="26.4">
      <c r="W3096" s="64" ph="1"/>
    </row>
    <row r="3097" spans="23:23" ht="26.4">
      <c r="W3097" s="64" ph="1"/>
    </row>
    <row r="3098" spans="23:23" ht="26.4">
      <c r="W3098" s="64" ph="1"/>
    </row>
    <row r="3099" spans="23:23" ht="26.4">
      <c r="W3099" s="64" ph="1"/>
    </row>
    <row r="3100" spans="23:23" ht="26.4">
      <c r="W3100" s="64" ph="1"/>
    </row>
    <row r="3101" spans="23:23" ht="26.4">
      <c r="W3101" s="64" ph="1"/>
    </row>
    <row r="3102" spans="23:23" ht="26.4">
      <c r="W3102" s="64" ph="1"/>
    </row>
    <row r="3103" spans="23:23" ht="26.4">
      <c r="W3103" s="64" ph="1"/>
    </row>
    <row r="3104" spans="23:23" ht="26.4">
      <c r="W3104" s="64" ph="1"/>
    </row>
    <row r="3105" spans="23:23" ht="26.4">
      <c r="W3105" s="64" ph="1"/>
    </row>
    <row r="3106" spans="23:23" ht="26.4">
      <c r="W3106" s="64" ph="1"/>
    </row>
    <row r="3107" spans="23:23" ht="26.4">
      <c r="W3107" s="64" ph="1"/>
    </row>
    <row r="3108" spans="23:23" ht="26.4">
      <c r="W3108" s="64" ph="1"/>
    </row>
    <row r="3109" spans="23:23" ht="26.4">
      <c r="W3109" s="64" ph="1"/>
    </row>
    <row r="3110" spans="23:23" ht="26.4">
      <c r="W3110" s="64" ph="1"/>
    </row>
    <row r="3111" spans="23:23" ht="26.4">
      <c r="W3111" s="64" ph="1"/>
    </row>
    <row r="3112" spans="23:23" ht="26.4">
      <c r="W3112" s="64" ph="1"/>
    </row>
    <row r="3113" spans="23:23" ht="26.4">
      <c r="W3113" s="64" ph="1"/>
    </row>
    <row r="3114" spans="23:23" ht="26.4">
      <c r="W3114" s="64" ph="1"/>
    </row>
    <row r="3115" spans="23:23" ht="26.4">
      <c r="W3115" s="64" ph="1"/>
    </row>
    <row r="3116" spans="23:23" ht="26.4">
      <c r="W3116" s="64" ph="1"/>
    </row>
    <row r="3117" spans="23:23" ht="26.4">
      <c r="W3117" s="64" ph="1"/>
    </row>
    <row r="3118" spans="23:23" ht="26.4">
      <c r="W3118" s="64" ph="1"/>
    </row>
    <row r="3119" spans="23:23" ht="26.4">
      <c r="W3119" s="64" ph="1"/>
    </row>
    <row r="3120" spans="23:23" ht="26.4">
      <c r="W3120" s="64" ph="1"/>
    </row>
    <row r="3121" spans="23:23" ht="26.4">
      <c r="W3121" s="64" ph="1"/>
    </row>
    <row r="3122" spans="23:23" ht="26.4">
      <c r="W3122" s="64" ph="1"/>
    </row>
    <row r="3123" spans="23:23" ht="26.4">
      <c r="W3123" s="64" ph="1"/>
    </row>
    <row r="3124" spans="23:23" ht="26.4">
      <c r="W3124" s="64" ph="1"/>
    </row>
    <row r="3125" spans="23:23" ht="26.4">
      <c r="W3125" s="64" ph="1"/>
    </row>
    <row r="3126" spans="23:23" ht="26.4">
      <c r="W3126" s="64" ph="1"/>
    </row>
    <row r="3127" spans="23:23" ht="26.4">
      <c r="W3127" s="64" ph="1"/>
    </row>
    <row r="3128" spans="23:23" ht="26.4">
      <c r="W3128" s="64" ph="1"/>
    </row>
    <row r="3129" spans="23:23" ht="26.4">
      <c r="W3129" s="64" ph="1"/>
    </row>
    <row r="3130" spans="23:23" ht="26.4">
      <c r="W3130" s="64" ph="1"/>
    </row>
    <row r="3131" spans="23:23" ht="26.4">
      <c r="W3131" s="64" ph="1"/>
    </row>
    <row r="3132" spans="23:23" ht="26.4">
      <c r="W3132" s="64" ph="1"/>
    </row>
    <row r="3133" spans="23:23" ht="26.4">
      <c r="W3133" s="64" ph="1"/>
    </row>
    <row r="3134" spans="23:23" ht="26.4">
      <c r="W3134" s="64" ph="1"/>
    </row>
    <row r="3135" spans="23:23" ht="26.4">
      <c r="W3135" s="64" ph="1"/>
    </row>
    <row r="3136" spans="23:23" ht="26.4">
      <c r="W3136" s="64" ph="1"/>
    </row>
    <row r="3137" spans="23:23" ht="26.4">
      <c r="W3137" s="64" ph="1"/>
    </row>
    <row r="3138" spans="23:23" ht="26.4">
      <c r="W3138" s="64" ph="1"/>
    </row>
    <row r="3139" spans="23:23" ht="26.4">
      <c r="W3139" s="64" ph="1"/>
    </row>
    <row r="3140" spans="23:23" ht="26.4">
      <c r="W3140" s="64" ph="1"/>
    </row>
    <row r="3141" spans="23:23" ht="26.4">
      <c r="W3141" s="64" ph="1"/>
    </row>
    <row r="3142" spans="23:23" ht="26.4">
      <c r="W3142" s="64" ph="1"/>
    </row>
    <row r="3143" spans="23:23" ht="26.4">
      <c r="W3143" s="64" ph="1"/>
    </row>
    <row r="3144" spans="23:23" ht="26.4">
      <c r="W3144" s="64" ph="1"/>
    </row>
    <row r="3145" spans="23:23" ht="26.4">
      <c r="W3145" s="64" ph="1"/>
    </row>
    <row r="3146" spans="23:23" ht="26.4">
      <c r="W3146" s="64" ph="1"/>
    </row>
    <row r="3147" spans="23:23" ht="26.4">
      <c r="W3147" s="64" ph="1"/>
    </row>
    <row r="3148" spans="23:23" ht="26.4">
      <c r="W3148" s="64" ph="1"/>
    </row>
    <row r="3149" spans="23:23" ht="26.4">
      <c r="W3149" s="64" ph="1"/>
    </row>
    <row r="3150" spans="23:23" ht="26.4">
      <c r="W3150" s="64" ph="1"/>
    </row>
    <row r="3151" spans="23:23" ht="26.4">
      <c r="W3151" s="64" ph="1"/>
    </row>
    <row r="3152" spans="23:23" ht="26.4">
      <c r="W3152" s="64" ph="1"/>
    </row>
    <row r="3153" spans="23:23" ht="26.4">
      <c r="W3153" s="64" ph="1"/>
    </row>
    <row r="3154" spans="23:23" ht="26.4">
      <c r="W3154" s="64" ph="1"/>
    </row>
    <row r="3155" spans="23:23" ht="26.4">
      <c r="W3155" s="64" ph="1"/>
    </row>
    <row r="3156" spans="23:23" ht="26.4">
      <c r="W3156" s="64" ph="1"/>
    </row>
    <row r="3157" spans="23:23" ht="26.4">
      <c r="W3157" s="64" ph="1"/>
    </row>
    <row r="3158" spans="23:23" ht="26.4">
      <c r="W3158" s="64" ph="1"/>
    </row>
    <row r="3159" spans="23:23" ht="26.4">
      <c r="W3159" s="64" ph="1"/>
    </row>
    <row r="3160" spans="23:23" ht="26.4">
      <c r="W3160" s="64" ph="1"/>
    </row>
    <row r="3161" spans="23:23" ht="26.4">
      <c r="W3161" s="64" ph="1"/>
    </row>
    <row r="3162" spans="23:23" ht="26.4">
      <c r="W3162" s="64" ph="1"/>
    </row>
    <row r="3163" spans="23:23" ht="26.4">
      <c r="W3163" s="64" ph="1"/>
    </row>
    <row r="3164" spans="23:23" ht="26.4">
      <c r="W3164" s="64" ph="1"/>
    </row>
    <row r="3165" spans="23:23" ht="26.4">
      <c r="W3165" s="64" ph="1"/>
    </row>
    <row r="3166" spans="23:23" ht="26.4">
      <c r="W3166" s="64" ph="1"/>
    </row>
    <row r="3167" spans="23:23" ht="26.4">
      <c r="W3167" s="64" ph="1"/>
    </row>
    <row r="3168" spans="23:23" ht="26.4">
      <c r="W3168" s="64" ph="1"/>
    </row>
    <row r="3169" spans="23:23" ht="26.4">
      <c r="W3169" s="64" ph="1"/>
    </row>
    <row r="3170" spans="23:23" ht="26.4">
      <c r="W3170" s="64" ph="1"/>
    </row>
    <row r="3171" spans="23:23" ht="26.4">
      <c r="W3171" s="64" ph="1"/>
    </row>
    <row r="3172" spans="23:23" ht="26.4">
      <c r="W3172" s="64" ph="1"/>
    </row>
    <row r="3173" spans="23:23" ht="26.4">
      <c r="W3173" s="64" ph="1"/>
    </row>
    <row r="3174" spans="23:23" ht="26.4">
      <c r="W3174" s="64" ph="1"/>
    </row>
    <row r="3175" spans="23:23" ht="26.4">
      <c r="W3175" s="64" ph="1"/>
    </row>
    <row r="3176" spans="23:23" ht="26.4">
      <c r="W3176" s="64" ph="1"/>
    </row>
    <row r="3177" spans="23:23" ht="26.4">
      <c r="W3177" s="64" ph="1"/>
    </row>
    <row r="3178" spans="23:23" ht="26.4">
      <c r="W3178" s="64" ph="1"/>
    </row>
    <row r="3179" spans="23:23" ht="26.4">
      <c r="W3179" s="64" ph="1"/>
    </row>
    <row r="3180" spans="23:23" ht="26.4">
      <c r="W3180" s="64" ph="1"/>
    </row>
    <row r="3181" spans="23:23" ht="26.4">
      <c r="W3181" s="64" ph="1"/>
    </row>
    <row r="3182" spans="23:23" ht="26.4">
      <c r="W3182" s="64" ph="1"/>
    </row>
    <row r="3183" spans="23:23" ht="26.4">
      <c r="W3183" s="64" ph="1"/>
    </row>
    <row r="3184" spans="23:23" ht="26.4">
      <c r="W3184" s="64" ph="1"/>
    </row>
    <row r="3185" spans="23:23" ht="26.4">
      <c r="W3185" s="64" ph="1"/>
    </row>
    <row r="3186" spans="23:23" ht="26.4">
      <c r="W3186" s="64" ph="1"/>
    </row>
    <row r="3187" spans="23:23" ht="26.4">
      <c r="W3187" s="64" ph="1"/>
    </row>
    <row r="3188" spans="23:23" ht="26.4">
      <c r="W3188" s="64" ph="1"/>
    </row>
    <row r="3189" spans="23:23" ht="26.4">
      <c r="W3189" s="64" ph="1"/>
    </row>
    <row r="3190" spans="23:23" ht="26.4">
      <c r="W3190" s="64" ph="1"/>
    </row>
    <row r="3191" spans="23:23" ht="26.4">
      <c r="W3191" s="64" ph="1"/>
    </row>
    <row r="3192" spans="23:23" ht="26.4">
      <c r="W3192" s="64" ph="1"/>
    </row>
    <row r="3193" spans="23:23" ht="26.4">
      <c r="W3193" s="64" ph="1"/>
    </row>
    <row r="3194" spans="23:23" ht="26.4">
      <c r="W3194" s="64" ph="1"/>
    </row>
    <row r="3195" spans="23:23" ht="26.4">
      <c r="W3195" s="64" ph="1"/>
    </row>
    <row r="3196" spans="23:23" ht="26.4">
      <c r="W3196" s="64" ph="1"/>
    </row>
    <row r="3197" spans="23:23" ht="26.4">
      <c r="W3197" s="64" ph="1"/>
    </row>
    <row r="3198" spans="23:23" ht="26.4">
      <c r="W3198" s="64" ph="1"/>
    </row>
    <row r="3199" spans="23:23" ht="26.4">
      <c r="W3199" s="64" ph="1"/>
    </row>
    <row r="3200" spans="23:23" ht="26.4">
      <c r="W3200" s="64" ph="1"/>
    </row>
    <row r="3201" spans="23:23" ht="26.4">
      <c r="W3201" s="64" ph="1"/>
    </row>
    <row r="3202" spans="23:23" ht="26.4">
      <c r="W3202" s="64" ph="1"/>
    </row>
    <row r="3203" spans="23:23" ht="26.4">
      <c r="W3203" s="64" ph="1"/>
    </row>
    <row r="3204" spans="23:23" ht="26.4">
      <c r="W3204" s="64" ph="1"/>
    </row>
    <row r="3205" spans="23:23" ht="26.4">
      <c r="W3205" s="64" ph="1"/>
    </row>
    <row r="3206" spans="23:23" ht="26.4">
      <c r="W3206" s="64" ph="1"/>
    </row>
    <row r="3207" spans="23:23" ht="26.4">
      <c r="W3207" s="64" ph="1"/>
    </row>
    <row r="3208" spans="23:23" ht="26.4">
      <c r="W3208" s="64" ph="1"/>
    </row>
    <row r="3209" spans="23:23" ht="26.4">
      <c r="W3209" s="64" ph="1"/>
    </row>
    <row r="3210" spans="23:23" ht="26.4">
      <c r="W3210" s="64" ph="1"/>
    </row>
    <row r="3211" spans="23:23" ht="26.4">
      <c r="W3211" s="64" ph="1"/>
    </row>
    <row r="3212" spans="23:23" ht="26.4">
      <c r="W3212" s="64" ph="1"/>
    </row>
    <row r="3213" spans="23:23" ht="26.4">
      <c r="W3213" s="64" ph="1"/>
    </row>
    <row r="3214" spans="23:23" ht="26.4">
      <c r="W3214" s="64" ph="1"/>
    </row>
    <row r="3215" spans="23:23" ht="26.4">
      <c r="W3215" s="64" ph="1"/>
    </row>
    <row r="3216" spans="23:23" ht="26.4">
      <c r="W3216" s="64" ph="1"/>
    </row>
    <row r="3217" spans="23:23" ht="26.4">
      <c r="W3217" s="64" ph="1"/>
    </row>
    <row r="3218" spans="23:23" ht="26.4">
      <c r="W3218" s="64" ph="1"/>
    </row>
    <row r="3219" spans="23:23" ht="26.4">
      <c r="W3219" s="64" ph="1"/>
    </row>
    <row r="3220" spans="23:23" ht="26.4">
      <c r="W3220" s="64" ph="1"/>
    </row>
    <row r="3221" spans="23:23" ht="26.4">
      <c r="W3221" s="64" ph="1"/>
    </row>
    <row r="3222" spans="23:23" ht="26.4">
      <c r="W3222" s="64" ph="1"/>
    </row>
    <row r="3223" spans="23:23" ht="26.4">
      <c r="W3223" s="64" ph="1"/>
    </row>
    <row r="3224" spans="23:23" ht="26.4">
      <c r="W3224" s="64" ph="1"/>
    </row>
    <row r="3225" spans="23:23" ht="26.4">
      <c r="W3225" s="64" ph="1"/>
    </row>
    <row r="3226" spans="23:23" ht="26.4">
      <c r="W3226" s="64" ph="1"/>
    </row>
    <row r="3227" spans="23:23" ht="26.4">
      <c r="W3227" s="64" ph="1"/>
    </row>
    <row r="3228" spans="23:23" ht="26.4">
      <c r="W3228" s="64" ph="1"/>
    </row>
    <row r="3229" spans="23:23" ht="26.4">
      <c r="W3229" s="64" ph="1"/>
    </row>
    <row r="3230" spans="23:23" ht="26.4">
      <c r="W3230" s="64" ph="1"/>
    </row>
    <row r="3231" spans="23:23" ht="26.4">
      <c r="W3231" s="64" ph="1"/>
    </row>
    <row r="3232" spans="23:23" ht="26.4">
      <c r="W3232" s="64" ph="1"/>
    </row>
    <row r="3233" spans="23:23" ht="26.4">
      <c r="W3233" s="64" ph="1"/>
    </row>
    <row r="3234" spans="23:23" ht="26.4">
      <c r="W3234" s="64" ph="1"/>
    </row>
    <row r="3235" spans="23:23" ht="26.4">
      <c r="W3235" s="64" ph="1"/>
    </row>
    <row r="3236" spans="23:23" ht="26.4">
      <c r="W3236" s="64" ph="1"/>
    </row>
    <row r="3237" spans="23:23" ht="26.4">
      <c r="W3237" s="64" ph="1"/>
    </row>
    <row r="3238" spans="23:23" ht="26.4">
      <c r="W3238" s="64" ph="1"/>
    </row>
    <row r="3239" spans="23:23" ht="26.4">
      <c r="W3239" s="64" ph="1"/>
    </row>
    <row r="3240" spans="23:23" ht="26.4">
      <c r="W3240" s="64" ph="1"/>
    </row>
    <row r="3241" spans="23:23" ht="26.4">
      <c r="W3241" s="64" ph="1"/>
    </row>
    <row r="3242" spans="23:23" ht="26.4">
      <c r="W3242" s="64" ph="1"/>
    </row>
    <row r="3243" spans="23:23" ht="26.4">
      <c r="W3243" s="64" ph="1"/>
    </row>
    <row r="3244" spans="23:23" ht="26.4">
      <c r="W3244" s="64" ph="1"/>
    </row>
    <row r="3245" spans="23:23" ht="26.4">
      <c r="W3245" s="64" ph="1"/>
    </row>
    <row r="3246" spans="23:23" ht="26.4">
      <c r="W3246" s="64" ph="1"/>
    </row>
    <row r="3247" spans="23:23" ht="26.4">
      <c r="W3247" s="64" ph="1"/>
    </row>
    <row r="3248" spans="23:23" ht="26.4">
      <c r="W3248" s="64" ph="1"/>
    </row>
    <row r="3249" spans="23:23" ht="26.4">
      <c r="W3249" s="64" ph="1"/>
    </row>
    <row r="3250" spans="23:23" ht="26.4">
      <c r="W3250" s="64" ph="1"/>
    </row>
    <row r="3251" spans="23:23" ht="26.4">
      <c r="W3251" s="64" ph="1"/>
    </row>
    <row r="3252" spans="23:23" ht="26.4">
      <c r="W3252" s="64" ph="1"/>
    </row>
    <row r="3253" spans="23:23" ht="26.4">
      <c r="W3253" s="64" ph="1"/>
    </row>
    <row r="3254" spans="23:23" ht="26.4">
      <c r="W3254" s="64" ph="1"/>
    </row>
    <row r="3255" spans="23:23" ht="26.4">
      <c r="W3255" s="64" ph="1"/>
    </row>
    <row r="3256" spans="23:23" ht="26.4">
      <c r="W3256" s="64" ph="1"/>
    </row>
    <row r="3257" spans="23:23" ht="26.4">
      <c r="W3257" s="64" ph="1"/>
    </row>
    <row r="3258" spans="23:23" ht="26.4">
      <c r="W3258" s="64" ph="1"/>
    </row>
    <row r="3259" spans="23:23" ht="26.4">
      <c r="W3259" s="64" ph="1"/>
    </row>
    <row r="3260" spans="23:23" ht="26.4">
      <c r="W3260" s="64" ph="1"/>
    </row>
    <row r="3261" spans="23:23" ht="26.4">
      <c r="W3261" s="64" ph="1"/>
    </row>
    <row r="3262" spans="23:23" ht="26.4">
      <c r="W3262" s="64" ph="1"/>
    </row>
    <row r="3263" spans="23:23" ht="26.4">
      <c r="W3263" s="64" ph="1"/>
    </row>
    <row r="3264" spans="23:23" ht="26.4">
      <c r="W3264" s="64" ph="1"/>
    </row>
    <row r="3265" spans="23:23" ht="26.4">
      <c r="W3265" s="64" ph="1"/>
    </row>
    <row r="3266" spans="23:23" ht="26.4">
      <c r="W3266" s="64" ph="1"/>
    </row>
    <row r="3267" spans="23:23" ht="26.4">
      <c r="W3267" s="64" ph="1"/>
    </row>
    <row r="3268" spans="23:23" ht="26.4">
      <c r="W3268" s="64" ph="1"/>
    </row>
    <row r="3269" spans="23:23" ht="26.4">
      <c r="W3269" s="64" ph="1"/>
    </row>
    <row r="3270" spans="23:23" ht="26.4">
      <c r="W3270" s="64" ph="1"/>
    </row>
    <row r="3271" spans="23:23" ht="26.4">
      <c r="W3271" s="64" ph="1"/>
    </row>
    <row r="3272" spans="23:23" ht="26.4">
      <c r="W3272" s="64" ph="1"/>
    </row>
    <row r="3273" spans="23:23" ht="26.4">
      <c r="W3273" s="64" ph="1"/>
    </row>
    <row r="3274" spans="23:23" ht="26.4">
      <c r="W3274" s="64" ph="1"/>
    </row>
    <row r="3275" spans="23:23" ht="26.4">
      <c r="W3275" s="64" ph="1"/>
    </row>
    <row r="3276" spans="23:23" ht="26.4">
      <c r="W3276" s="64" ph="1"/>
    </row>
    <row r="3277" spans="23:23" ht="26.4">
      <c r="W3277" s="64" ph="1"/>
    </row>
    <row r="3278" spans="23:23" ht="26.4">
      <c r="W3278" s="64" ph="1"/>
    </row>
    <row r="3279" spans="23:23" ht="26.4">
      <c r="W3279" s="64" ph="1"/>
    </row>
    <row r="3280" spans="23:23" ht="26.4">
      <c r="W3280" s="64" ph="1"/>
    </row>
    <row r="3281" spans="23:23" ht="26.4">
      <c r="W3281" s="64" ph="1"/>
    </row>
    <row r="3282" spans="23:23" ht="26.4">
      <c r="W3282" s="64" ph="1"/>
    </row>
    <row r="3283" spans="23:23" ht="26.4">
      <c r="W3283" s="64" ph="1"/>
    </row>
    <row r="3284" spans="23:23" ht="26.4">
      <c r="W3284" s="64" ph="1"/>
    </row>
    <row r="3285" spans="23:23" ht="26.4">
      <c r="W3285" s="64" ph="1"/>
    </row>
    <row r="3286" spans="23:23" ht="26.4">
      <c r="W3286" s="64" ph="1"/>
    </row>
    <row r="3287" spans="23:23" ht="26.4">
      <c r="W3287" s="64" ph="1"/>
    </row>
    <row r="3288" spans="23:23" ht="26.4">
      <c r="W3288" s="64" ph="1"/>
    </row>
    <row r="3289" spans="23:23" ht="26.4">
      <c r="W3289" s="64" ph="1"/>
    </row>
    <row r="3290" spans="23:23" ht="26.4">
      <c r="W3290" s="64" ph="1"/>
    </row>
    <row r="3291" spans="23:23" ht="26.4">
      <c r="W3291" s="64" ph="1"/>
    </row>
    <row r="3292" spans="23:23" ht="26.4">
      <c r="W3292" s="64" ph="1"/>
    </row>
    <row r="3293" spans="23:23" ht="26.4">
      <c r="W3293" s="64" ph="1"/>
    </row>
    <row r="3294" spans="23:23" ht="26.4">
      <c r="W3294" s="64" ph="1"/>
    </row>
    <row r="3295" spans="23:23" ht="26.4">
      <c r="W3295" s="64" ph="1"/>
    </row>
    <row r="3296" spans="23:23" ht="26.4">
      <c r="W3296" s="64" ph="1"/>
    </row>
    <row r="3297" spans="23:23" ht="26.4">
      <c r="W3297" s="64" ph="1"/>
    </row>
    <row r="3298" spans="23:23" ht="26.4">
      <c r="W3298" s="64" ph="1"/>
    </row>
    <row r="3299" spans="23:23" ht="26.4">
      <c r="W3299" s="64" ph="1"/>
    </row>
    <row r="3300" spans="23:23" ht="26.4">
      <c r="W3300" s="64" ph="1"/>
    </row>
    <row r="3301" spans="23:23" ht="26.4">
      <c r="W3301" s="64" ph="1"/>
    </row>
    <row r="3302" spans="23:23" ht="26.4">
      <c r="W3302" s="64" ph="1"/>
    </row>
    <row r="3303" spans="23:23" ht="26.4">
      <c r="W3303" s="64" ph="1"/>
    </row>
    <row r="3304" spans="23:23" ht="26.4">
      <c r="W3304" s="64" ph="1"/>
    </row>
    <row r="3305" spans="23:23" ht="26.4">
      <c r="W3305" s="64" ph="1"/>
    </row>
    <row r="3306" spans="23:23" ht="26.4">
      <c r="W3306" s="64" ph="1"/>
    </row>
    <row r="3307" spans="23:23" ht="26.4">
      <c r="W3307" s="64" ph="1"/>
    </row>
    <row r="3308" spans="23:23" ht="26.4">
      <c r="W3308" s="64" ph="1"/>
    </row>
    <row r="3309" spans="23:23" ht="26.4">
      <c r="W3309" s="64" ph="1"/>
    </row>
    <row r="3310" spans="23:23" ht="26.4">
      <c r="W3310" s="64" ph="1"/>
    </row>
    <row r="3311" spans="23:23" ht="26.4">
      <c r="W3311" s="64" ph="1"/>
    </row>
    <row r="3312" spans="23:23" ht="26.4">
      <c r="W3312" s="64" ph="1"/>
    </row>
    <row r="3313" spans="23:23" ht="26.4">
      <c r="W3313" s="64" ph="1"/>
    </row>
    <row r="3314" spans="23:23" ht="26.4">
      <c r="W3314" s="64" ph="1"/>
    </row>
    <row r="3315" spans="23:23" ht="26.4">
      <c r="W3315" s="64" ph="1"/>
    </row>
    <row r="3316" spans="23:23" ht="26.4">
      <c r="W3316" s="64" ph="1"/>
    </row>
    <row r="3317" spans="23:23" ht="26.4">
      <c r="W3317" s="64" ph="1"/>
    </row>
    <row r="3318" spans="23:23" ht="26.4">
      <c r="W3318" s="64" ph="1"/>
    </row>
    <row r="3319" spans="23:23" ht="26.4">
      <c r="W3319" s="64" ph="1"/>
    </row>
    <row r="3320" spans="23:23" ht="26.4">
      <c r="W3320" s="64" ph="1"/>
    </row>
    <row r="3321" spans="23:23" ht="26.4">
      <c r="W3321" s="64" ph="1"/>
    </row>
    <row r="3322" spans="23:23" ht="26.4">
      <c r="W3322" s="64" ph="1"/>
    </row>
    <row r="3323" spans="23:23" ht="26.4">
      <c r="W3323" s="64" ph="1"/>
    </row>
    <row r="3324" spans="23:23" ht="26.4">
      <c r="W3324" s="64" ph="1"/>
    </row>
    <row r="3325" spans="23:23" ht="26.4">
      <c r="W3325" s="64" ph="1"/>
    </row>
    <row r="3326" spans="23:23" ht="26.4">
      <c r="W3326" s="64" ph="1"/>
    </row>
    <row r="3327" spans="23:23" ht="26.4">
      <c r="W3327" s="64" ph="1"/>
    </row>
    <row r="3328" spans="23:23" ht="26.4">
      <c r="W3328" s="64" ph="1"/>
    </row>
    <row r="3329" spans="23:23" ht="26.4">
      <c r="W3329" s="64" ph="1"/>
    </row>
    <row r="3330" spans="23:23" ht="26.4">
      <c r="W3330" s="64" ph="1"/>
    </row>
    <row r="3331" spans="23:23" ht="26.4">
      <c r="W3331" s="64" ph="1"/>
    </row>
    <row r="3332" spans="23:23" ht="26.4">
      <c r="W3332" s="64" ph="1"/>
    </row>
    <row r="3333" spans="23:23" ht="26.4">
      <c r="W3333" s="64" ph="1"/>
    </row>
    <row r="3334" spans="23:23" ht="26.4">
      <c r="W3334" s="64" ph="1"/>
    </row>
    <row r="3335" spans="23:23" ht="26.4">
      <c r="W3335" s="64" ph="1"/>
    </row>
    <row r="3336" spans="23:23" ht="26.4">
      <c r="W3336" s="64" ph="1"/>
    </row>
    <row r="3337" spans="23:23" ht="26.4">
      <c r="W3337" s="64" ph="1"/>
    </row>
    <row r="3338" spans="23:23" ht="26.4">
      <c r="W3338" s="64" ph="1"/>
    </row>
    <row r="3339" spans="23:23" ht="26.4">
      <c r="W3339" s="64" ph="1"/>
    </row>
    <row r="3340" spans="23:23" ht="26.4">
      <c r="W3340" s="64" ph="1"/>
    </row>
    <row r="3341" spans="23:23" ht="26.4">
      <c r="W3341" s="64" ph="1"/>
    </row>
    <row r="3342" spans="23:23" ht="26.4">
      <c r="W3342" s="64" ph="1"/>
    </row>
    <row r="3343" spans="23:23" ht="26.4">
      <c r="W3343" s="64" ph="1"/>
    </row>
    <row r="3344" spans="23:23" ht="26.4">
      <c r="W3344" s="64" ph="1"/>
    </row>
    <row r="3345" spans="23:23" ht="26.4">
      <c r="W3345" s="64" ph="1"/>
    </row>
    <row r="3346" spans="23:23" ht="26.4">
      <c r="W3346" s="64" ph="1"/>
    </row>
    <row r="3347" spans="23:23" ht="26.4">
      <c r="W3347" s="64" ph="1"/>
    </row>
    <row r="3348" spans="23:23" ht="26.4">
      <c r="W3348" s="64" ph="1"/>
    </row>
    <row r="3349" spans="23:23" ht="26.4">
      <c r="W3349" s="64" ph="1"/>
    </row>
    <row r="3350" spans="23:23" ht="26.4">
      <c r="W3350" s="64" ph="1"/>
    </row>
    <row r="3351" spans="23:23" ht="26.4">
      <c r="W3351" s="64" ph="1"/>
    </row>
    <row r="3352" spans="23:23" ht="26.4">
      <c r="W3352" s="64" ph="1"/>
    </row>
    <row r="3353" spans="23:23" ht="26.4">
      <c r="W3353" s="64" ph="1"/>
    </row>
    <row r="3354" spans="23:23" ht="26.4">
      <c r="W3354" s="64" ph="1"/>
    </row>
    <row r="3355" spans="23:23" ht="26.4">
      <c r="W3355" s="64" ph="1"/>
    </row>
    <row r="3356" spans="23:23" ht="26.4">
      <c r="W3356" s="64" ph="1"/>
    </row>
    <row r="3357" spans="23:23" ht="26.4">
      <c r="W3357" s="64" ph="1"/>
    </row>
    <row r="3358" spans="23:23" ht="26.4">
      <c r="W3358" s="64" ph="1"/>
    </row>
    <row r="3359" spans="23:23" ht="26.4">
      <c r="W3359" s="64" ph="1"/>
    </row>
    <row r="3360" spans="23:23" ht="26.4">
      <c r="W3360" s="64" ph="1"/>
    </row>
    <row r="3361" spans="23:23" ht="26.4">
      <c r="W3361" s="64" ph="1"/>
    </row>
    <row r="3362" spans="23:23" ht="26.4">
      <c r="W3362" s="64" ph="1"/>
    </row>
    <row r="3363" spans="23:23" ht="26.4">
      <c r="W3363" s="64" ph="1"/>
    </row>
    <row r="3364" spans="23:23" ht="26.4">
      <c r="W3364" s="64" ph="1"/>
    </row>
    <row r="3365" spans="23:23" ht="26.4">
      <c r="W3365" s="64" ph="1"/>
    </row>
    <row r="3366" spans="23:23" ht="26.4">
      <c r="W3366" s="64" ph="1"/>
    </row>
    <row r="3367" spans="23:23" ht="26.4">
      <c r="W3367" s="64" ph="1"/>
    </row>
    <row r="3368" spans="23:23" ht="26.4">
      <c r="W3368" s="64" ph="1"/>
    </row>
    <row r="3369" spans="23:23" ht="26.4">
      <c r="W3369" s="64" ph="1"/>
    </row>
    <row r="3370" spans="23:23" ht="26.4">
      <c r="W3370" s="64" ph="1"/>
    </row>
    <row r="3371" spans="23:23" ht="26.4">
      <c r="W3371" s="64" ph="1"/>
    </row>
    <row r="3372" spans="23:23" ht="26.4">
      <c r="W3372" s="64" ph="1"/>
    </row>
    <row r="3373" spans="23:23" ht="26.4">
      <c r="W3373" s="64" ph="1"/>
    </row>
    <row r="3374" spans="23:23" ht="26.4">
      <c r="W3374" s="64" ph="1"/>
    </row>
    <row r="3375" spans="23:23" ht="26.4">
      <c r="W3375" s="64" ph="1"/>
    </row>
    <row r="3376" spans="23:23" ht="26.4">
      <c r="W3376" s="64" ph="1"/>
    </row>
    <row r="3377" spans="23:23" ht="26.4">
      <c r="W3377" s="64" ph="1"/>
    </row>
    <row r="3378" spans="23:23" ht="26.4">
      <c r="W3378" s="64" ph="1"/>
    </row>
    <row r="3379" spans="23:23" ht="26.4">
      <c r="W3379" s="64" ph="1"/>
    </row>
    <row r="3380" spans="23:23" ht="26.4">
      <c r="W3380" s="64" ph="1"/>
    </row>
    <row r="3381" spans="23:23" ht="26.4">
      <c r="W3381" s="64" ph="1"/>
    </row>
    <row r="3382" spans="23:23" ht="26.4">
      <c r="W3382" s="64" ph="1"/>
    </row>
    <row r="3383" spans="23:23" ht="26.4">
      <c r="W3383" s="64" ph="1"/>
    </row>
    <row r="3384" spans="23:23" ht="26.4">
      <c r="W3384" s="64" ph="1"/>
    </row>
    <row r="3385" spans="23:23" ht="26.4">
      <c r="W3385" s="64" ph="1"/>
    </row>
    <row r="3386" spans="23:23" ht="26.4">
      <c r="W3386" s="64" ph="1"/>
    </row>
    <row r="3387" spans="23:23" ht="26.4">
      <c r="W3387" s="64" ph="1"/>
    </row>
    <row r="3388" spans="23:23" ht="26.4">
      <c r="W3388" s="64" ph="1"/>
    </row>
    <row r="3389" spans="23:23" ht="26.4">
      <c r="W3389" s="64" ph="1"/>
    </row>
    <row r="3390" spans="23:23" ht="26.4">
      <c r="W3390" s="64" ph="1"/>
    </row>
    <row r="3391" spans="23:23" ht="26.4">
      <c r="W3391" s="64" ph="1"/>
    </row>
    <row r="3392" spans="23:23" ht="26.4">
      <c r="W3392" s="64" ph="1"/>
    </row>
    <row r="3393" spans="23:23" ht="26.4">
      <c r="W3393" s="64" ph="1"/>
    </row>
    <row r="3394" spans="23:23" ht="26.4">
      <c r="W3394" s="64" ph="1"/>
    </row>
    <row r="3395" spans="23:23" ht="26.4">
      <c r="W3395" s="64" ph="1"/>
    </row>
    <row r="3396" spans="23:23" ht="26.4">
      <c r="W3396" s="64" ph="1"/>
    </row>
    <row r="3397" spans="23:23" ht="26.4">
      <c r="W3397" s="64" ph="1"/>
    </row>
    <row r="3398" spans="23:23" ht="26.4">
      <c r="W3398" s="64" ph="1"/>
    </row>
    <row r="3399" spans="23:23" ht="26.4">
      <c r="W3399" s="64" ph="1"/>
    </row>
    <row r="3400" spans="23:23" ht="26.4">
      <c r="W3400" s="64" ph="1"/>
    </row>
    <row r="3401" spans="23:23" ht="26.4">
      <c r="W3401" s="64" ph="1"/>
    </row>
    <row r="3402" spans="23:23" ht="26.4">
      <c r="W3402" s="64" ph="1"/>
    </row>
    <row r="3403" spans="23:23" ht="26.4">
      <c r="W3403" s="64" ph="1"/>
    </row>
    <row r="3404" spans="23:23" ht="26.4">
      <c r="W3404" s="64" ph="1"/>
    </row>
    <row r="3405" spans="23:23" ht="26.4">
      <c r="W3405" s="64" ph="1"/>
    </row>
    <row r="3406" spans="23:23" ht="26.4">
      <c r="W3406" s="64" ph="1"/>
    </row>
    <row r="3407" spans="23:23" ht="26.4">
      <c r="W3407" s="64" ph="1"/>
    </row>
    <row r="3408" spans="23:23" ht="26.4">
      <c r="W3408" s="64" ph="1"/>
    </row>
    <row r="3409" spans="23:23" ht="26.4">
      <c r="W3409" s="64" ph="1"/>
    </row>
    <row r="3410" spans="23:23" ht="26.4">
      <c r="W3410" s="64" ph="1"/>
    </row>
    <row r="3411" spans="23:23" ht="26.4">
      <c r="W3411" s="64" ph="1"/>
    </row>
    <row r="3412" spans="23:23" ht="26.4">
      <c r="W3412" s="64" ph="1"/>
    </row>
    <row r="3413" spans="23:23" ht="26.4">
      <c r="W3413" s="64" ph="1"/>
    </row>
    <row r="3414" spans="23:23" ht="26.4">
      <c r="W3414" s="64" ph="1"/>
    </row>
    <row r="3415" spans="23:23" ht="26.4">
      <c r="W3415" s="64" ph="1"/>
    </row>
    <row r="3416" spans="23:23" ht="26.4">
      <c r="W3416" s="64" ph="1"/>
    </row>
    <row r="3417" spans="23:23" ht="26.4">
      <c r="W3417" s="64" ph="1"/>
    </row>
    <row r="3418" spans="23:23" ht="26.4">
      <c r="W3418" s="64" ph="1"/>
    </row>
    <row r="3419" spans="23:23" ht="26.4">
      <c r="W3419" s="64" ph="1"/>
    </row>
    <row r="3420" spans="23:23" ht="26.4">
      <c r="W3420" s="64" ph="1"/>
    </row>
    <row r="3421" spans="23:23" ht="26.4">
      <c r="W3421" s="64" ph="1"/>
    </row>
    <row r="3422" spans="23:23" ht="26.4">
      <c r="W3422" s="64" ph="1"/>
    </row>
    <row r="3423" spans="23:23" ht="26.4">
      <c r="W3423" s="64" ph="1"/>
    </row>
    <row r="3424" spans="23:23" ht="26.4">
      <c r="W3424" s="64" ph="1"/>
    </row>
    <row r="3425" spans="23:23" ht="26.4">
      <c r="W3425" s="64" ph="1"/>
    </row>
    <row r="3426" spans="23:23" ht="26.4">
      <c r="W3426" s="64" ph="1"/>
    </row>
    <row r="3427" spans="23:23" ht="26.4">
      <c r="W3427" s="64" ph="1"/>
    </row>
    <row r="3428" spans="23:23" ht="26.4">
      <c r="W3428" s="64" ph="1"/>
    </row>
    <row r="3429" spans="23:23" ht="26.4">
      <c r="W3429" s="64" ph="1"/>
    </row>
    <row r="3430" spans="23:23" ht="26.4">
      <c r="W3430" s="64" ph="1"/>
    </row>
    <row r="3431" spans="23:23" ht="26.4">
      <c r="W3431" s="64" ph="1"/>
    </row>
    <row r="3432" spans="23:23" ht="26.4">
      <c r="W3432" s="64" ph="1"/>
    </row>
    <row r="3433" spans="23:23" ht="26.4">
      <c r="W3433" s="64" ph="1"/>
    </row>
    <row r="3434" spans="23:23" ht="26.4">
      <c r="W3434" s="64" ph="1"/>
    </row>
    <row r="3435" spans="23:23" ht="26.4">
      <c r="W3435" s="64" ph="1"/>
    </row>
    <row r="3436" spans="23:23" ht="26.4">
      <c r="W3436" s="64" ph="1"/>
    </row>
    <row r="3437" spans="23:23" ht="26.4">
      <c r="W3437" s="64" ph="1"/>
    </row>
    <row r="3438" spans="23:23" ht="26.4">
      <c r="W3438" s="64" ph="1"/>
    </row>
    <row r="3439" spans="23:23" ht="26.4">
      <c r="W3439" s="64" ph="1"/>
    </row>
    <row r="3440" spans="23:23" ht="26.4">
      <c r="W3440" s="64" ph="1"/>
    </row>
    <row r="3441" spans="23:23" ht="26.4">
      <c r="W3441" s="64" ph="1"/>
    </row>
    <row r="3442" spans="23:23" ht="26.4">
      <c r="W3442" s="64" ph="1"/>
    </row>
    <row r="3443" spans="23:23" ht="26.4">
      <c r="W3443" s="64" ph="1"/>
    </row>
    <row r="3444" spans="23:23" ht="26.4">
      <c r="W3444" s="64" ph="1"/>
    </row>
    <row r="3445" spans="23:23" ht="26.4">
      <c r="W3445" s="64" ph="1"/>
    </row>
    <row r="3446" spans="23:23" ht="26.4">
      <c r="W3446" s="64" ph="1"/>
    </row>
    <row r="3447" spans="23:23" ht="26.4">
      <c r="W3447" s="64" ph="1"/>
    </row>
    <row r="3448" spans="23:23" ht="26.4">
      <c r="W3448" s="64" ph="1"/>
    </row>
    <row r="3449" spans="23:23" ht="26.4">
      <c r="W3449" s="64" ph="1"/>
    </row>
    <row r="3450" spans="23:23" ht="26.4">
      <c r="W3450" s="64" ph="1"/>
    </row>
    <row r="3451" spans="23:23" ht="26.4">
      <c r="W3451" s="64" ph="1"/>
    </row>
    <row r="3452" spans="23:23" ht="26.4">
      <c r="W3452" s="64" ph="1"/>
    </row>
    <row r="3453" spans="23:23" ht="26.4">
      <c r="W3453" s="64" ph="1"/>
    </row>
    <row r="3454" spans="23:23" ht="26.4">
      <c r="W3454" s="64" ph="1"/>
    </row>
    <row r="3455" spans="23:23" ht="26.4">
      <c r="W3455" s="64" ph="1"/>
    </row>
    <row r="3456" spans="23:23" ht="26.4">
      <c r="W3456" s="64" ph="1"/>
    </row>
    <row r="3457" spans="23:23" ht="26.4">
      <c r="W3457" s="64" ph="1"/>
    </row>
    <row r="3458" spans="23:23" ht="26.4">
      <c r="W3458" s="64" ph="1"/>
    </row>
    <row r="3459" spans="23:23" ht="26.4">
      <c r="W3459" s="64" ph="1"/>
    </row>
    <row r="3460" spans="23:23" ht="26.4">
      <c r="W3460" s="64" ph="1"/>
    </row>
    <row r="3461" spans="23:23" ht="26.4">
      <c r="W3461" s="64" ph="1"/>
    </row>
    <row r="3462" spans="23:23" ht="26.4">
      <c r="W3462" s="64" ph="1"/>
    </row>
    <row r="3463" spans="23:23" ht="26.4">
      <c r="W3463" s="64" ph="1"/>
    </row>
    <row r="3464" spans="23:23" ht="26.4">
      <c r="W3464" s="64" ph="1"/>
    </row>
    <row r="3465" spans="23:23" ht="26.4">
      <c r="W3465" s="64" ph="1"/>
    </row>
    <row r="3466" spans="23:23" ht="26.4">
      <c r="W3466" s="64" ph="1"/>
    </row>
    <row r="3467" spans="23:23" ht="26.4">
      <c r="W3467" s="64" ph="1"/>
    </row>
    <row r="3468" spans="23:23" ht="26.4">
      <c r="W3468" s="64" ph="1"/>
    </row>
    <row r="3469" spans="23:23" ht="26.4">
      <c r="W3469" s="64" ph="1"/>
    </row>
    <row r="3470" spans="23:23" ht="26.4">
      <c r="W3470" s="64" ph="1"/>
    </row>
    <row r="3471" spans="23:23" ht="26.4">
      <c r="W3471" s="64" ph="1"/>
    </row>
    <row r="3472" spans="23:23" ht="26.4">
      <c r="W3472" s="64" ph="1"/>
    </row>
    <row r="3473" spans="23:23" ht="26.4">
      <c r="W3473" s="64" ph="1"/>
    </row>
    <row r="3474" spans="23:23" ht="26.4">
      <c r="W3474" s="64" ph="1"/>
    </row>
    <row r="3475" spans="23:23" ht="26.4">
      <c r="W3475" s="64" ph="1"/>
    </row>
    <row r="3476" spans="23:23" ht="26.4">
      <c r="W3476" s="64" ph="1"/>
    </row>
    <row r="3477" spans="23:23" ht="26.4">
      <c r="W3477" s="64" ph="1"/>
    </row>
    <row r="3478" spans="23:23" ht="26.4">
      <c r="W3478" s="64" ph="1"/>
    </row>
    <row r="3479" spans="23:23" ht="26.4">
      <c r="W3479" s="64" ph="1"/>
    </row>
    <row r="3480" spans="23:23" ht="26.4">
      <c r="W3480" s="64" ph="1"/>
    </row>
    <row r="3481" spans="23:23" ht="26.4">
      <c r="W3481" s="64" ph="1"/>
    </row>
    <row r="3482" spans="23:23" ht="26.4">
      <c r="W3482" s="64" ph="1"/>
    </row>
    <row r="3483" spans="23:23" ht="26.4">
      <c r="W3483" s="64" ph="1"/>
    </row>
    <row r="3484" spans="23:23" ht="26.4">
      <c r="W3484" s="64" ph="1"/>
    </row>
    <row r="3485" spans="23:23" ht="26.4">
      <c r="W3485" s="64" ph="1"/>
    </row>
    <row r="3486" spans="23:23" ht="26.4">
      <c r="W3486" s="64" ph="1"/>
    </row>
    <row r="3487" spans="23:23" ht="26.4">
      <c r="W3487" s="64" ph="1"/>
    </row>
    <row r="3488" spans="23:23" ht="26.4">
      <c r="W3488" s="64" ph="1"/>
    </row>
    <row r="3489" spans="23:23" ht="26.4">
      <c r="W3489" s="64" ph="1"/>
    </row>
    <row r="3490" spans="23:23" ht="26.4">
      <c r="W3490" s="64" ph="1"/>
    </row>
    <row r="3491" spans="23:23" ht="26.4">
      <c r="W3491" s="64" ph="1"/>
    </row>
    <row r="3492" spans="23:23" ht="26.4">
      <c r="W3492" s="64" ph="1"/>
    </row>
    <row r="3493" spans="23:23" ht="26.4">
      <c r="W3493" s="64" ph="1"/>
    </row>
    <row r="3494" spans="23:23" ht="26.4">
      <c r="W3494" s="64" ph="1"/>
    </row>
    <row r="3495" spans="23:23" ht="26.4">
      <c r="W3495" s="64" ph="1"/>
    </row>
    <row r="3496" spans="23:23" ht="26.4">
      <c r="W3496" s="64" ph="1"/>
    </row>
    <row r="3497" spans="23:23" ht="26.4">
      <c r="W3497" s="64" ph="1"/>
    </row>
    <row r="3498" spans="23:23" ht="26.4">
      <c r="W3498" s="64" ph="1"/>
    </row>
    <row r="3499" spans="23:23" ht="26.4">
      <c r="W3499" s="64" ph="1"/>
    </row>
    <row r="3500" spans="23:23" ht="26.4">
      <c r="W3500" s="64" ph="1"/>
    </row>
    <row r="3501" spans="23:23" ht="26.4">
      <c r="W3501" s="64" ph="1"/>
    </row>
    <row r="3502" spans="23:23" ht="26.4">
      <c r="W3502" s="64" ph="1"/>
    </row>
    <row r="3503" spans="23:23" ht="26.4">
      <c r="W3503" s="64" ph="1"/>
    </row>
    <row r="3504" spans="23:23" ht="26.4">
      <c r="W3504" s="64" ph="1"/>
    </row>
    <row r="3505" spans="23:23" ht="26.4">
      <c r="W3505" s="64" ph="1"/>
    </row>
    <row r="3506" spans="23:23" ht="26.4">
      <c r="W3506" s="64" ph="1"/>
    </row>
    <row r="3507" spans="23:23" ht="26.4">
      <c r="W3507" s="64" ph="1"/>
    </row>
    <row r="3508" spans="23:23" ht="26.4">
      <c r="W3508" s="64" ph="1"/>
    </row>
    <row r="3509" spans="23:23" ht="26.4">
      <c r="W3509" s="64" ph="1"/>
    </row>
    <row r="3510" spans="23:23" ht="26.4">
      <c r="W3510" s="64" ph="1"/>
    </row>
    <row r="3511" spans="23:23" ht="26.4">
      <c r="W3511" s="64" ph="1"/>
    </row>
    <row r="3512" spans="23:23" ht="26.4">
      <c r="W3512" s="64" ph="1"/>
    </row>
    <row r="3513" spans="23:23" ht="26.4">
      <c r="W3513" s="64" ph="1"/>
    </row>
    <row r="3514" spans="23:23" ht="26.4">
      <c r="W3514" s="64" ph="1"/>
    </row>
    <row r="3515" spans="23:23" ht="26.4">
      <c r="W3515" s="64" ph="1"/>
    </row>
    <row r="3516" spans="23:23" ht="26.4">
      <c r="W3516" s="64" ph="1"/>
    </row>
    <row r="3517" spans="23:23" ht="26.4">
      <c r="W3517" s="64" ph="1"/>
    </row>
    <row r="3518" spans="23:23" ht="26.4">
      <c r="W3518" s="64" ph="1"/>
    </row>
    <row r="3519" spans="23:23" ht="26.4">
      <c r="W3519" s="64" ph="1"/>
    </row>
    <row r="3520" spans="23:23" ht="26.4">
      <c r="W3520" s="64" ph="1"/>
    </row>
    <row r="3521" spans="23:23" ht="26.4">
      <c r="W3521" s="64" ph="1"/>
    </row>
    <row r="3522" spans="23:23" ht="26.4">
      <c r="W3522" s="64" ph="1"/>
    </row>
    <row r="3523" spans="23:23" ht="26.4">
      <c r="W3523" s="64" ph="1"/>
    </row>
    <row r="3524" spans="23:23" ht="26.4">
      <c r="W3524" s="64" ph="1"/>
    </row>
    <row r="3525" spans="23:23" ht="26.4">
      <c r="W3525" s="64" ph="1"/>
    </row>
    <row r="3526" spans="23:23" ht="26.4">
      <c r="W3526" s="64" ph="1"/>
    </row>
    <row r="3527" spans="23:23" ht="26.4">
      <c r="W3527" s="64" ph="1"/>
    </row>
    <row r="3528" spans="23:23" ht="26.4">
      <c r="W3528" s="64" ph="1"/>
    </row>
    <row r="3529" spans="23:23" ht="26.4">
      <c r="W3529" s="64" ph="1"/>
    </row>
    <row r="3530" spans="23:23" ht="26.4">
      <c r="W3530" s="64" ph="1"/>
    </row>
    <row r="3531" spans="23:23" ht="26.4">
      <c r="W3531" s="64" ph="1"/>
    </row>
    <row r="3532" spans="23:23" ht="26.4">
      <c r="W3532" s="64" ph="1"/>
    </row>
    <row r="3533" spans="23:23" ht="26.4">
      <c r="W3533" s="64" ph="1"/>
    </row>
    <row r="3534" spans="23:23" ht="26.4">
      <c r="W3534" s="64" ph="1"/>
    </row>
    <row r="3535" spans="23:23" ht="26.4">
      <c r="W3535" s="64" ph="1"/>
    </row>
    <row r="3536" spans="23:23" ht="26.4">
      <c r="W3536" s="64" ph="1"/>
    </row>
    <row r="3537" spans="23:23" ht="26.4">
      <c r="W3537" s="64" ph="1"/>
    </row>
    <row r="3538" spans="23:23" ht="26.4">
      <c r="W3538" s="64" ph="1"/>
    </row>
    <row r="3539" spans="23:23" ht="26.4">
      <c r="W3539" s="64" ph="1"/>
    </row>
    <row r="3540" spans="23:23" ht="26.4">
      <c r="W3540" s="64" ph="1"/>
    </row>
    <row r="3541" spans="23:23" ht="26.4">
      <c r="W3541" s="64" ph="1"/>
    </row>
    <row r="3542" spans="23:23" ht="26.4">
      <c r="W3542" s="64" ph="1"/>
    </row>
    <row r="3543" spans="23:23" ht="26.4">
      <c r="W3543" s="64" ph="1"/>
    </row>
    <row r="3544" spans="23:23" ht="26.4">
      <c r="W3544" s="64" ph="1"/>
    </row>
    <row r="3545" spans="23:23" ht="26.4">
      <c r="W3545" s="64" ph="1"/>
    </row>
    <row r="3546" spans="23:23" ht="26.4">
      <c r="W3546" s="64" ph="1"/>
    </row>
    <row r="3547" spans="23:23" ht="26.4">
      <c r="W3547" s="64" ph="1"/>
    </row>
    <row r="3548" spans="23:23" ht="26.4">
      <c r="W3548" s="64" ph="1"/>
    </row>
    <row r="3549" spans="23:23" ht="26.4">
      <c r="W3549" s="64" ph="1"/>
    </row>
    <row r="3550" spans="23:23" ht="26.4">
      <c r="W3550" s="64" ph="1"/>
    </row>
    <row r="3551" spans="23:23" ht="26.4">
      <c r="W3551" s="64" ph="1"/>
    </row>
    <row r="3552" spans="23:23" ht="26.4">
      <c r="W3552" s="64" ph="1"/>
    </row>
    <row r="3553" spans="23:23" ht="26.4">
      <c r="W3553" s="64" ph="1"/>
    </row>
    <row r="3554" spans="23:23" ht="26.4">
      <c r="W3554" s="64" ph="1"/>
    </row>
    <row r="3555" spans="23:23" ht="26.4">
      <c r="W3555" s="64" ph="1"/>
    </row>
    <row r="3556" spans="23:23" ht="26.4">
      <c r="W3556" s="64" ph="1"/>
    </row>
    <row r="3557" spans="23:23" ht="26.4">
      <c r="W3557" s="64" ph="1"/>
    </row>
    <row r="3558" spans="23:23" ht="26.4">
      <c r="W3558" s="64" ph="1"/>
    </row>
    <row r="3559" spans="23:23" ht="26.4">
      <c r="W3559" s="64" ph="1"/>
    </row>
    <row r="3560" spans="23:23" ht="26.4">
      <c r="W3560" s="64" ph="1"/>
    </row>
    <row r="3561" spans="23:23" ht="26.4">
      <c r="W3561" s="64" ph="1"/>
    </row>
    <row r="3562" spans="23:23" ht="26.4">
      <c r="W3562" s="64" ph="1"/>
    </row>
    <row r="3563" spans="23:23" ht="26.4">
      <c r="W3563" s="64" ph="1"/>
    </row>
    <row r="3564" spans="23:23" ht="26.4">
      <c r="W3564" s="64" ph="1"/>
    </row>
    <row r="3565" spans="23:23" ht="26.4">
      <c r="W3565" s="64" ph="1"/>
    </row>
    <row r="3566" spans="23:23" ht="26.4">
      <c r="W3566" s="64" ph="1"/>
    </row>
    <row r="3567" spans="23:23" ht="26.4">
      <c r="W3567" s="64" ph="1"/>
    </row>
    <row r="3568" spans="23:23" ht="26.4">
      <c r="W3568" s="64" ph="1"/>
    </row>
    <row r="3569" spans="23:23" ht="26.4">
      <c r="W3569" s="64" ph="1"/>
    </row>
    <row r="3570" spans="23:23" ht="26.4">
      <c r="W3570" s="64" ph="1"/>
    </row>
    <row r="3571" spans="23:23" ht="26.4">
      <c r="W3571" s="64" ph="1"/>
    </row>
    <row r="3572" spans="23:23" ht="26.4">
      <c r="W3572" s="64" ph="1"/>
    </row>
    <row r="3573" spans="23:23" ht="26.4">
      <c r="W3573" s="64" ph="1"/>
    </row>
    <row r="3574" spans="23:23" ht="26.4">
      <c r="W3574" s="64" ph="1"/>
    </row>
    <row r="3575" spans="23:23" ht="26.4">
      <c r="W3575" s="64" ph="1"/>
    </row>
    <row r="3576" spans="23:23" ht="26.4">
      <c r="W3576" s="64" ph="1"/>
    </row>
    <row r="3577" spans="23:23" ht="26.4">
      <c r="W3577" s="64" ph="1"/>
    </row>
    <row r="3578" spans="23:23" ht="26.4">
      <c r="W3578" s="64" ph="1"/>
    </row>
    <row r="3579" spans="23:23" ht="26.4">
      <c r="W3579" s="64" ph="1"/>
    </row>
    <row r="3580" spans="23:23" ht="26.4">
      <c r="W3580" s="64" ph="1"/>
    </row>
    <row r="3581" spans="23:23" ht="26.4">
      <c r="W3581" s="64" ph="1"/>
    </row>
    <row r="3582" spans="23:23" ht="26.4">
      <c r="W3582" s="64" ph="1"/>
    </row>
    <row r="3583" spans="23:23" ht="26.4">
      <c r="W3583" s="64" ph="1"/>
    </row>
    <row r="3584" spans="23:23" ht="26.4">
      <c r="W3584" s="64" ph="1"/>
    </row>
    <row r="3585" spans="23:23" ht="26.4">
      <c r="W3585" s="64" ph="1"/>
    </row>
    <row r="3586" spans="23:23" ht="26.4">
      <c r="W3586" s="64" ph="1"/>
    </row>
    <row r="3587" spans="23:23" ht="26.4">
      <c r="W3587" s="64" ph="1"/>
    </row>
    <row r="3588" spans="23:23" ht="26.4">
      <c r="W3588" s="64" ph="1"/>
    </row>
    <row r="3589" spans="23:23" ht="26.4">
      <c r="W3589" s="64" ph="1"/>
    </row>
    <row r="3590" spans="23:23" ht="26.4">
      <c r="W3590" s="64" ph="1"/>
    </row>
    <row r="3591" spans="23:23" ht="26.4">
      <c r="W3591" s="64" ph="1"/>
    </row>
    <row r="3592" spans="23:23" ht="26.4">
      <c r="W3592" s="64" ph="1"/>
    </row>
    <row r="3593" spans="23:23" ht="26.4">
      <c r="W3593" s="64" ph="1"/>
    </row>
    <row r="3594" spans="23:23" ht="26.4">
      <c r="W3594" s="64" ph="1"/>
    </row>
    <row r="3595" spans="23:23" ht="26.4">
      <c r="W3595" s="64" ph="1"/>
    </row>
    <row r="3596" spans="23:23" ht="26.4">
      <c r="W3596" s="64" ph="1"/>
    </row>
    <row r="3597" spans="23:23" ht="26.4">
      <c r="W3597" s="64" ph="1"/>
    </row>
    <row r="3598" spans="23:23" ht="26.4">
      <c r="W3598" s="64" ph="1"/>
    </row>
    <row r="3599" spans="23:23" ht="26.4">
      <c r="W3599" s="64" ph="1"/>
    </row>
    <row r="3600" spans="23:23" ht="26.4">
      <c r="W3600" s="64" ph="1"/>
    </row>
    <row r="3601" spans="23:23" ht="26.4">
      <c r="W3601" s="64" ph="1"/>
    </row>
    <row r="3602" spans="23:23" ht="26.4">
      <c r="W3602" s="64" ph="1"/>
    </row>
    <row r="3603" spans="23:23" ht="26.4">
      <c r="W3603" s="64" ph="1"/>
    </row>
    <row r="3604" spans="23:23" ht="26.4">
      <c r="W3604" s="64" ph="1"/>
    </row>
    <row r="3605" spans="23:23" ht="26.4">
      <c r="W3605" s="64" ph="1"/>
    </row>
    <row r="3606" spans="23:23" ht="26.4">
      <c r="W3606" s="64" ph="1"/>
    </row>
    <row r="3607" spans="23:23" ht="26.4">
      <c r="W3607" s="64" ph="1"/>
    </row>
    <row r="3608" spans="23:23" ht="26.4">
      <c r="W3608" s="64" ph="1"/>
    </row>
    <row r="3609" spans="23:23" ht="26.4">
      <c r="W3609" s="64" ph="1"/>
    </row>
    <row r="3610" spans="23:23" ht="26.4">
      <c r="W3610" s="64" ph="1"/>
    </row>
    <row r="3611" spans="23:23" ht="26.4">
      <c r="W3611" s="64" ph="1"/>
    </row>
    <row r="3612" spans="23:23" ht="26.4">
      <c r="W3612" s="64" ph="1"/>
    </row>
    <row r="3613" spans="23:23" ht="26.4">
      <c r="W3613" s="64" ph="1"/>
    </row>
    <row r="3614" spans="23:23" ht="26.4">
      <c r="W3614" s="64" ph="1"/>
    </row>
    <row r="3615" spans="23:23" ht="26.4">
      <c r="W3615" s="64" ph="1"/>
    </row>
    <row r="3616" spans="23:23" ht="26.4">
      <c r="W3616" s="64" ph="1"/>
    </row>
    <row r="3617" spans="23:23" ht="26.4">
      <c r="W3617" s="64" ph="1"/>
    </row>
    <row r="3618" spans="23:23" ht="26.4">
      <c r="W3618" s="64" ph="1"/>
    </row>
    <row r="3619" spans="23:23" ht="26.4">
      <c r="W3619" s="64" ph="1"/>
    </row>
    <row r="3620" spans="23:23" ht="26.4">
      <c r="W3620" s="64" ph="1"/>
    </row>
    <row r="3621" spans="23:23" ht="26.4">
      <c r="W3621" s="64" ph="1"/>
    </row>
    <row r="3622" spans="23:23" ht="26.4">
      <c r="W3622" s="64" ph="1"/>
    </row>
    <row r="3623" spans="23:23" ht="26.4">
      <c r="W3623" s="64" ph="1"/>
    </row>
    <row r="3624" spans="23:23" ht="26.4">
      <c r="W3624" s="64" ph="1"/>
    </row>
    <row r="3625" spans="23:23" ht="26.4">
      <c r="W3625" s="64" ph="1"/>
    </row>
    <row r="3626" spans="23:23" ht="26.4">
      <c r="W3626" s="64" ph="1"/>
    </row>
    <row r="3627" spans="23:23" ht="26.4">
      <c r="W3627" s="64" ph="1"/>
    </row>
    <row r="3628" spans="23:23" ht="26.4">
      <c r="W3628" s="64" ph="1"/>
    </row>
    <row r="3629" spans="23:23" ht="26.4">
      <c r="W3629" s="64" ph="1"/>
    </row>
    <row r="3630" spans="23:23" ht="26.4">
      <c r="W3630" s="64" ph="1"/>
    </row>
    <row r="3631" spans="23:23" ht="26.4">
      <c r="W3631" s="64" ph="1"/>
    </row>
    <row r="3632" spans="23:23" ht="26.4">
      <c r="W3632" s="64" ph="1"/>
    </row>
    <row r="3633" spans="23:23" ht="26.4">
      <c r="W3633" s="64" ph="1"/>
    </row>
    <row r="3634" spans="23:23" ht="26.4">
      <c r="W3634" s="64" ph="1"/>
    </row>
    <row r="3635" spans="23:23" ht="26.4">
      <c r="W3635" s="64" ph="1"/>
    </row>
    <row r="3636" spans="23:23" ht="26.4">
      <c r="W3636" s="64" ph="1"/>
    </row>
    <row r="3637" spans="23:23" ht="26.4">
      <c r="W3637" s="64" ph="1"/>
    </row>
    <row r="3638" spans="23:23" ht="26.4">
      <c r="W3638" s="64" ph="1"/>
    </row>
    <row r="3639" spans="23:23" ht="26.4">
      <c r="W3639" s="64" ph="1"/>
    </row>
    <row r="3640" spans="23:23" ht="26.4">
      <c r="W3640" s="64" ph="1"/>
    </row>
    <row r="3641" spans="23:23" ht="26.4">
      <c r="W3641" s="64" ph="1"/>
    </row>
    <row r="3642" spans="23:23" ht="26.4">
      <c r="W3642" s="64" ph="1"/>
    </row>
    <row r="3643" spans="23:23" ht="26.4">
      <c r="W3643" s="64" ph="1"/>
    </row>
    <row r="3644" spans="23:23" ht="26.4">
      <c r="W3644" s="64" ph="1"/>
    </row>
    <row r="3645" spans="23:23" ht="26.4">
      <c r="W3645" s="64" ph="1"/>
    </row>
    <row r="3646" spans="23:23" ht="26.4">
      <c r="W3646" s="64" ph="1"/>
    </row>
    <row r="3647" spans="23:23" ht="26.4">
      <c r="W3647" s="64" ph="1"/>
    </row>
    <row r="3648" spans="23:23" ht="26.4">
      <c r="W3648" s="64" ph="1"/>
    </row>
    <row r="3649" spans="23:23" ht="26.4">
      <c r="W3649" s="64" ph="1"/>
    </row>
    <row r="3650" spans="23:23" ht="26.4">
      <c r="W3650" s="64" ph="1"/>
    </row>
    <row r="3651" spans="23:23" ht="26.4">
      <c r="W3651" s="64" ph="1"/>
    </row>
    <row r="3652" spans="23:23" ht="26.4">
      <c r="W3652" s="64" ph="1"/>
    </row>
    <row r="3653" spans="23:23" ht="26.4">
      <c r="W3653" s="64" ph="1"/>
    </row>
    <row r="3654" spans="23:23" ht="26.4">
      <c r="W3654" s="64" ph="1"/>
    </row>
    <row r="3655" spans="23:23" ht="26.4">
      <c r="W3655" s="64" ph="1"/>
    </row>
    <row r="3656" spans="23:23" ht="26.4">
      <c r="W3656" s="64" ph="1"/>
    </row>
    <row r="3657" spans="23:23" ht="26.4">
      <c r="W3657" s="64" ph="1"/>
    </row>
    <row r="3658" spans="23:23" ht="26.4">
      <c r="W3658" s="64" ph="1"/>
    </row>
    <row r="3659" spans="23:23" ht="26.4">
      <c r="W3659" s="64" ph="1"/>
    </row>
    <row r="3660" spans="23:23" ht="26.4">
      <c r="W3660" s="64" ph="1"/>
    </row>
    <row r="3661" spans="23:23" ht="26.4">
      <c r="W3661" s="64" ph="1"/>
    </row>
    <row r="3662" spans="23:23" ht="26.4">
      <c r="W3662" s="64" ph="1"/>
    </row>
    <row r="3663" spans="23:23" ht="26.4">
      <c r="W3663" s="64" ph="1"/>
    </row>
    <row r="3664" spans="23:23" ht="26.4">
      <c r="W3664" s="64" ph="1"/>
    </row>
    <row r="3665" spans="23:23" ht="26.4">
      <c r="W3665" s="64" ph="1"/>
    </row>
    <row r="3666" spans="23:23" ht="26.4">
      <c r="W3666" s="64" ph="1"/>
    </row>
    <row r="3667" spans="23:23" ht="26.4">
      <c r="W3667" s="64" ph="1"/>
    </row>
    <row r="3668" spans="23:23" ht="26.4">
      <c r="W3668" s="64" ph="1"/>
    </row>
    <row r="3669" spans="23:23" ht="26.4">
      <c r="W3669" s="64" ph="1"/>
    </row>
    <row r="3670" spans="23:23" ht="26.4">
      <c r="W3670" s="64" ph="1"/>
    </row>
    <row r="3671" spans="23:23" ht="26.4">
      <c r="W3671" s="64" ph="1"/>
    </row>
    <row r="3672" spans="23:23" ht="26.4">
      <c r="W3672" s="64" ph="1"/>
    </row>
    <row r="3673" spans="23:23" ht="26.4">
      <c r="W3673" s="64" ph="1"/>
    </row>
    <row r="3674" spans="23:23" ht="26.4">
      <c r="W3674" s="64" ph="1"/>
    </row>
    <row r="3675" spans="23:23" ht="26.4">
      <c r="W3675" s="64" ph="1"/>
    </row>
    <row r="3676" spans="23:23" ht="26.4">
      <c r="W3676" s="64" ph="1"/>
    </row>
    <row r="3677" spans="23:23" ht="26.4">
      <c r="W3677" s="64" ph="1"/>
    </row>
    <row r="3678" spans="23:23" ht="26.4">
      <c r="W3678" s="64" ph="1"/>
    </row>
    <row r="3679" spans="23:23" ht="26.4">
      <c r="W3679" s="64" ph="1"/>
    </row>
    <row r="3680" spans="23:23" ht="26.4">
      <c r="W3680" s="64" ph="1"/>
    </row>
    <row r="3681" spans="23:23" ht="26.4">
      <c r="W3681" s="64" ph="1"/>
    </row>
    <row r="3682" spans="23:23" ht="26.4">
      <c r="W3682" s="64" ph="1"/>
    </row>
    <row r="3683" spans="23:23" ht="26.4">
      <c r="W3683" s="64" ph="1"/>
    </row>
    <row r="3684" spans="23:23" ht="26.4">
      <c r="W3684" s="64" ph="1"/>
    </row>
    <row r="3685" spans="23:23" ht="26.4">
      <c r="W3685" s="64" ph="1"/>
    </row>
    <row r="3686" spans="23:23" ht="26.4">
      <c r="W3686" s="64" ph="1"/>
    </row>
    <row r="3687" spans="23:23" ht="26.4">
      <c r="W3687" s="64" ph="1"/>
    </row>
    <row r="3688" spans="23:23" ht="26.4">
      <c r="W3688" s="64" ph="1"/>
    </row>
    <row r="3689" spans="23:23" ht="26.4">
      <c r="W3689" s="64" ph="1"/>
    </row>
    <row r="3690" spans="23:23" ht="26.4">
      <c r="W3690" s="64" ph="1"/>
    </row>
    <row r="3691" spans="23:23" ht="26.4">
      <c r="W3691" s="64" ph="1"/>
    </row>
    <row r="3692" spans="23:23" ht="26.4">
      <c r="W3692" s="64" ph="1"/>
    </row>
    <row r="3693" spans="23:23" ht="26.4">
      <c r="W3693" s="64" ph="1"/>
    </row>
    <row r="3694" spans="23:23" ht="26.4">
      <c r="W3694" s="64" ph="1"/>
    </row>
    <row r="3695" spans="23:23" ht="26.4">
      <c r="W3695" s="64" ph="1"/>
    </row>
    <row r="3696" spans="23:23" ht="26.4">
      <c r="W3696" s="64" ph="1"/>
    </row>
    <row r="3697" spans="23:23" ht="26.4">
      <c r="W3697" s="64" ph="1"/>
    </row>
    <row r="3698" spans="23:23" ht="26.4">
      <c r="W3698" s="64" ph="1"/>
    </row>
    <row r="3699" spans="23:23" ht="26.4">
      <c r="W3699" s="64" ph="1"/>
    </row>
    <row r="3700" spans="23:23" ht="26.4">
      <c r="W3700" s="64" ph="1"/>
    </row>
    <row r="3701" spans="23:23" ht="26.4">
      <c r="W3701" s="64" ph="1"/>
    </row>
    <row r="3702" spans="23:23" ht="26.4">
      <c r="W3702" s="64" ph="1"/>
    </row>
    <row r="3703" spans="23:23" ht="26.4">
      <c r="W3703" s="64" ph="1"/>
    </row>
    <row r="3704" spans="23:23" ht="26.4">
      <c r="W3704" s="64" ph="1"/>
    </row>
    <row r="3705" spans="23:23" ht="26.4">
      <c r="W3705" s="64" ph="1"/>
    </row>
    <row r="3706" spans="23:23" ht="26.4">
      <c r="W3706" s="64" ph="1"/>
    </row>
    <row r="3707" spans="23:23" ht="26.4">
      <c r="W3707" s="64" ph="1"/>
    </row>
    <row r="3708" spans="23:23" ht="26.4">
      <c r="W3708" s="64" ph="1"/>
    </row>
    <row r="3709" spans="23:23" ht="26.4">
      <c r="W3709" s="64" ph="1"/>
    </row>
    <row r="3710" spans="23:23" ht="26.4">
      <c r="W3710" s="64" ph="1"/>
    </row>
    <row r="3711" spans="23:23" ht="26.4">
      <c r="W3711" s="64" ph="1"/>
    </row>
    <row r="3712" spans="23:23" ht="26.4">
      <c r="W3712" s="64" ph="1"/>
    </row>
    <row r="3713" spans="23:23" ht="26.4">
      <c r="W3713" s="64" ph="1"/>
    </row>
    <row r="3714" spans="23:23" ht="26.4">
      <c r="W3714" s="64" ph="1"/>
    </row>
    <row r="3715" spans="23:23" ht="26.4">
      <c r="W3715" s="64" ph="1"/>
    </row>
    <row r="3716" spans="23:23" ht="26.4">
      <c r="W3716" s="64" ph="1"/>
    </row>
    <row r="3717" spans="23:23" ht="26.4">
      <c r="W3717" s="64" ph="1"/>
    </row>
    <row r="3718" spans="23:23" ht="26.4">
      <c r="W3718" s="64" ph="1"/>
    </row>
    <row r="3719" spans="23:23" ht="26.4">
      <c r="W3719" s="64" ph="1"/>
    </row>
    <row r="3720" spans="23:23" ht="26.4">
      <c r="W3720" s="64" ph="1"/>
    </row>
    <row r="3721" spans="23:23" ht="26.4">
      <c r="W3721" s="64" ph="1"/>
    </row>
    <row r="3722" spans="23:23" ht="26.4">
      <c r="W3722" s="64" ph="1"/>
    </row>
    <row r="3723" spans="23:23" ht="26.4">
      <c r="W3723" s="64" ph="1"/>
    </row>
    <row r="3724" spans="23:23" ht="26.4">
      <c r="W3724" s="64" ph="1"/>
    </row>
    <row r="3725" spans="23:23" ht="26.4">
      <c r="W3725" s="64" ph="1"/>
    </row>
    <row r="3726" spans="23:23" ht="26.4">
      <c r="W3726" s="64" ph="1"/>
    </row>
    <row r="3727" spans="23:23" ht="26.4">
      <c r="W3727" s="64" ph="1"/>
    </row>
    <row r="3728" spans="23:23" ht="26.4">
      <c r="W3728" s="64" ph="1"/>
    </row>
    <row r="3729" spans="23:23" ht="26.4">
      <c r="W3729" s="64" ph="1"/>
    </row>
    <row r="3730" spans="23:23" ht="26.4">
      <c r="W3730" s="64" ph="1"/>
    </row>
    <row r="3731" spans="23:23" ht="26.4">
      <c r="W3731" s="64" ph="1"/>
    </row>
    <row r="3732" spans="23:23" ht="26.4">
      <c r="W3732" s="64" ph="1"/>
    </row>
    <row r="3733" spans="23:23" ht="26.4">
      <c r="W3733" s="64" ph="1"/>
    </row>
    <row r="3734" spans="23:23" ht="26.4">
      <c r="W3734" s="64" ph="1"/>
    </row>
    <row r="3735" spans="23:23" ht="26.4">
      <c r="W3735" s="64" ph="1"/>
    </row>
    <row r="3736" spans="23:23" ht="26.4">
      <c r="W3736" s="64" ph="1"/>
    </row>
    <row r="3737" spans="23:23" ht="26.4">
      <c r="W3737" s="64" ph="1"/>
    </row>
    <row r="3738" spans="23:23" ht="26.4">
      <c r="W3738" s="64" ph="1"/>
    </row>
    <row r="3739" spans="23:23" ht="26.4">
      <c r="W3739" s="64" ph="1"/>
    </row>
    <row r="3740" spans="23:23" ht="26.4">
      <c r="W3740" s="64" ph="1"/>
    </row>
    <row r="3741" spans="23:23" ht="26.4">
      <c r="W3741" s="64" ph="1"/>
    </row>
    <row r="3742" spans="23:23" ht="26.4">
      <c r="W3742" s="64" ph="1"/>
    </row>
    <row r="3743" spans="23:23" ht="26.4">
      <c r="W3743" s="64" ph="1"/>
    </row>
    <row r="3744" spans="23:23" ht="26.4">
      <c r="W3744" s="64" ph="1"/>
    </row>
    <row r="3745" spans="23:23" ht="26.4">
      <c r="W3745" s="64" ph="1"/>
    </row>
    <row r="3746" spans="23:23" ht="26.4">
      <c r="W3746" s="64" ph="1"/>
    </row>
    <row r="3747" spans="23:23" ht="26.4">
      <c r="W3747" s="64" ph="1"/>
    </row>
    <row r="3748" spans="23:23" ht="26.4">
      <c r="W3748" s="64" ph="1"/>
    </row>
    <row r="3749" spans="23:23" ht="26.4">
      <c r="W3749" s="64" ph="1"/>
    </row>
    <row r="3750" spans="23:23" ht="26.4">
      <c r="W3750" s="64" ph="1"/>
    </row>
    <row r="3751" spans="23:23" ht="26.4">
      <c r="W3751" s="64" ph="1"/>
    </row>
    <row r="3752" spans="23:23" ht="26.4">
      <c r="W3752" s="64" ph="1"/>
    </row>
    <row r="3753" spans="23:23" ht="26.4">
      <c r="W3753" s="64" ph="1"/>
    </row>
    <row r="3754" spans="23:23" ht="26.4">
      <c r="W3754" s="64" ph="1"/>
    </row>
    <row r="3755" spans="23:23" ht="26.4">
      <c r="W3755" s="64" ph="1"/>
    </row>
    <row r="3756" spans="23:23" ht="26.4">
      <c r="W3756" s="64" ph="1"/>
    </row>
    <row r="3757" spans="23:23" ht="26.4">
      <c r="W3757" s="64" ph="1"/>
    </row>
    <row r="3758" spans="23:23" ht="26.4">
      <c r="W3758" s="64" ph="1"/>
    </row>
    <row r="3759" spans="23:23" ht="26.4">
      <c r="W3759" s="64" ph="1"/>
    </row>
    <row r="3760" spans="23:23" ht="26.4">
      <c r="W3760" s="64" ph="1"/>
    </row>
    <row r="3761" spans="23:23" ht="26.4">
      <c r="W3761" s="64" ph="1"/>
    </row>
    <row r="3762" spans="23:23" ht="26.4">
      <c r="W3762" s="64" ph="1"/>
    </row>
    <row r="3763" spans="23:23" ht="26.4">
      <c r="W3763" s="64" ph="1"/>
    </row>
    <row r="3764" spans="23:23" ht="26.4">
      <c r="W3764" s="64" ph="1"/>
    </row>
    <row r="3765" spans="23:23" ht="26.4">
      <c r="W3765" s="64" ph="1"/>
    </row>
    <row r="3766" spans="23:23" ht="26.4">
      <c r="W3766" s="64" ph="1"/>
    </row>
    <row r="3767" spans="23:23" ht="26.4">
      <c r="W3767" s="64" ph="1"/>
    </row>
    <row r="3768" spans="23:23" ht="26.4">
      <c r="W3768" s="64" ph="1"/>
    </row>
    <row r="3769" spans="23:23" ht="26.4">
      <c r="W3769" s="64" ph="1"/>
    </row>
    <row r="3770" spans="23:23" ht="26.4">
      <c r="W3770" s="64" ph="1"/>
    </row>
    <row r="3771" spans="23:23" ht="26.4">
      <c r="W3771" s="64" ph="1"/>
    </row>
    <row r="3772" spans="23:23" ht="26.4">
      <c r="W3772" s="64" ph="1"/>
    </row>
    <row r="3773" spans="23:23" ht="26.4">
      <c r="W3773" s="64" ph="1"/>
    </row>
    <row r="3774" spans="23:23" ht="26.4">
      <c r="W3774" s="64" ph="1"/>
    </row>
    <row r="3775" spans="23:23" ht="26.4">
      <c r="W3775" s="64" ph="1"/>
    </row>
    <row r="3776" spans="23:23" ht="26.4">
      <c r="W3776" s="64" ph="1"/>
    </row>
    <row r="3777" spans="23:23" ht="26.4">
      <c r="W3777" s="64" ph="1"/>
    </row>
    <row r="3778" spans="23:23" ht="26.4">
      <c r="W3778" s="64" ph="1"/>
    </row>
    <row r="3779" spans="23:23" ht="26.4">
      <c r="W3779" s="64" ph="1"/>
    </row>
    <row r="3780" spans="23:23" ht="26.4">
      <c r="W3780" s="64" ph="1"/>
    </row>
    <row r="3781" spans="23:23" ht="26.4">
      <c r="W3781" s="64" ph="1"/>
    </row>
    <row r="3782" spans="23:23" ht="26.4">
      <c r="W3782" s="64" ph="1"/>
    </row>
    <row r="3783" spans="23:23" ht="26.4">
      <c r="W3783" s="64" ph="1"/>
    </row>
    <row r="3784" spans="23:23" ht="26.4">
      <c r="W3784" s="64" ph="1"/>
    </row>
    <row r="3785" spans="23:23" ht="26.4">
      <c r="W3785" s="64" ph="1"/>
    </row>
    <row r="3786" spans="23:23" ht="26.4">
      <c r="W3786" s="64" ph="1"/>
    </row>
    <row r="3787" spans="23:23" ht="26.4">
      <c r="W3787" s="64" ph="1"/>
    </row>
    <row r="3788" spans="23:23" ht="26.4">
      <c r="W3788" s="64" ph="1"/>
    </row>
    <row r="3789" spans="23:23" ht="26.4">
      <c r="W3789" s="64" ph="1"/>
    </row>
    <row r="3790" spans="23:23" ht="26.4">
      <c r="W3790" s="64" ph="1"/>
    </row>
    <row r="3791" spans="23:23" ht="26.4">
      <c r="W3791" s="64" ph="1"/>
    </row>
    <row r="3792" spans="23:23" ht="26.4">
      <c r="W3792" s="64" ph="1"/>
    </row>
    <row r="3793" spans="23:23" ht="26.4">
      <c r="W3793" s="64" ph="1"/>
    </row>
    <row r="3794" spans="23:23" ht="26.4">
      <c r="W3794" s="64" ph="1"/>
    </row>
    <row r="3795" spans="23:23" ht="26.4">
      <c r="W3795" s="64" ph="1"/>
    </row>
    <row r="3796" spans="23:23" ht="26.4">
      <c r="W3796" s="64" ph="1"/>
    </row>
    <row r="3797" spans="23:23" ht="26.4">
      <c r="W3797" s="64" ph="1"/>
    </row>
    <row r="3798" spans="23:23" ht="26.4">
      <c r="W3798" s="64" ph="1"/>
    </row>
    <row r="3799" spans="23:23" ht="26.4">
      <c r="W3799" s="64" ph="1"/>
    </row>
    <row r="3800" spans="23:23" ht="26.4">
      <c r="W3800" s="64" ph="1"/>
    </row>
    <row r="3801" spans="23:23" ht="26.4">
      <c r="W3801" s="64" ph="1"/>
    </row>
    <row r="3802" spans="23:23" ht="26.4">
      <c r="W3802" s="64" ph="1"/>
    </row>
    <row r="3803" spans="23:23" ht="26.4">
      <c r="W3803" s="64" ph="1"/>
    </row>
    <row r="3804" spans="23:23" ht="26.4">
      <c r="W3804" s="64" ph="1"/>
    </row>
    <row r="3805" spans="23:23" ht="26.4">
      <c r="W3805" s="64" ph="1"/>
    </row>
    <row r="3806" spans="23:23" ht="26.4">
      <c r="W3806" s="64" ph="1"/>
    </row>
    <row r="3807" spans="23:23" ht="26.4">
      <c r="W3807" s="64" ph="1"/>
    </row>
    <row r="3808" spans="23:23" ht="26.4">
      <c r="W3808" s="64" ph="1"/>
    </row>
    <row r="3809" spans="23:23" ht="26.4">
      <c r="W3809" s="64" ph="1"/>
    </row>
    <row r="3810" spans="23:23" ht="26.4">
      <c r="W3810" s="64" ph="1"/>
    </row>
    <row r="3811" spans="23:23" ht="26.4">
      <c r="W3811" s="64" ph="1"/>
    </row>
    <row r="3812" spans="23:23" ht="26.4">
      <c r="W3812" s="64" ph="1"/>
    </row>
    <row r="3813" spans="23:23" ht="26.4">
      <c r="W3813" s="64" ph="1"/>
    </row>
    <row r="3814" spans="23:23" ht="26.4">
      <c r="W3814" s="64" ph="1"/>
    </row>
    <row r="3815" spans="23:23" ht="26.4">
      <c r="W3815" s="64" ph="1"/>
    </row>
    <row r="3816" spans="23:23" ht="26.4">
      <c r="W3816" s="64" ph="1"/>
    </row>
    <row r="3817" spans="23:23" ht="26.4">
      <c r="W3817" s="64" ph="1"/>
    </row>
    <row r="3818" spans="23:23" ht="26.4">
      <c r="W3818" s="64" ph="1"/>
    </row>
    <row r="3819" spans="23:23" ht="26.4">
      <c r="W3819" s="64" ph="1"/>
    </row>
    <row r="3820" spans="23:23" ht="26.4">
      <c r="W3820" s="64" ph="1"/>
    </row>
    <row r="3821" spans="23:23" ht="26.4">
      <c r="W3821" s="64" ph="1"/>
    </row>
    <row r="3822" spans="23:23" ht="26.4">
      <c r="W3822" s="64" ph="1"/>
    </row>
    <row r="3823" spans="23:23" ht="26.4">
      <c r="W3823" s="64" ph="1"/>
    </row>
    <row r="3824" spans="23:23" ht="26.4">
      <c r="W3824" s="64" ph="1"/>
    </row>
    <row r="3825" spans="23:23" ht="26.4">
      <c r="W3825" s="64" ph="1"/>
    </row>
    <row r="3826" spans="23:23" ht="26.4">
      <c r="W3826" s="64" ph="1"/>
    </row>
    <row r="3827" spans="23:23" ht="26.4">
      <c r="W3827" s="64" ph="1"/>
    </row>
    <row r="3828" spans="23:23" ht="26.4">
      <c r="W3828" s="64" ph="1"/>
    </row>
    <row r="3829" spans="23:23" ht="26.4">
      <c r="W3829" s="64" ph="1"/>
    </row>
    <row r="3830" spans="23:23" ht="26.4">
      <c r="W3830" s="64" ph="1"/>
    </row>
    <row r="3831" spans="23:23" ht="26.4">
      <c r="W3831" s="64" ph="1"/>
    </row>
    <row r="3832" spans="23:23" ht="26.4">
      <c r="W3832" s="64" ph="1"/>
    </row>
    <row r="3833" spans="23:23" ht="26.4">
      <c r="W3833" s="64" ph="1"/>
    </row>
    <row r="3834" spans="23:23" ht="26.4">
      <c r="W3834" s="64" ph="1"/>
    </row>
    <row r="3835" spans="23:23" ht="26.4">
      <c r="W3835" s="64" ph="1"/>
    </row>
    <row r="3836" spans="23:23" ht="26.4">
      <c r="W3836" s="64" ph="1"/>
    </row>
    <row r="3837" spans="23:23" ht="26.4">
      <c r="W3837" s="64" ph="1"/>
    </row>
    <row r="3838" spans="23:23" ht="26.4">
      <c r="W3838" s="64" ph="1"/>
    </row>
    <row r="3839" spans="23:23" ht="26.4">
      <c r="W3839" s="64" ph="1"/>
    </row>
    <row r="3840" spans="23:23" ht="26.4">
      <c r="W3840" s="64" ph="1"/>
    </row>
    <row r="3841" spans="23:23" ht="26.4">
      <c r="W3841" s="64" ph="1"/>
    </row>
    <row r="3842" spans="23:23" ht="26.4">
      <c r="W3842" s="64" ph="1"/>
    </row>
    <row r="3843" spans="23:23" ht="26.4">
      <c r="W3843" s="64" ph="1"/>
    </row>
    <row r="3844" spans="23:23" ht="26.4">
      <c r="W3844" s="64" ph="1"/>
    </row>
    <row r="3845" spans="23:23" ht="26.4">
      <c r="W3845" s="64" ph="1"/>
    </row>
    <row r="3846" spans="23:23" ht="26.4">
      <c r="W3846" s="64" ph="1"/>
    </row>
    <row r="3847" spans="23:23" ht="26.4">
      <c r="W3847" s="64" ph="1"/>
    </row>
    <row r="3848" spans="23:23" ht="26.4">
      <c r="W3848" s="64" ph="1"/>
    </row>
    <row r="3849" spans="23:23" ht="26.4">
      <c r="W3849" s="64" ph="1"/>
    </row>
    <row r="3850" spans="23:23" ht="26.4">
      <c r="W3850" s="64" ph="1"/>
    </row>
    <row r="3851" spans="23:23" ht="26.4">
      <c r="W3851" s="64" ph="1"/>
    </row>
    <row r="3852" spans="23:23" ht="26.4">
      <c r="W3852" s="64" ph="1"/>
    </row>
    <row r="3853" spans="23:23" ht="26.4">
      <c r="W3853" s="64" ph="1"/>
    </row>
    <row r="3854" spans="23:23" ht="26.4">
      <c r="W3854" s="64" ph="1"/>
    </row>
    <row r="3855" spans="23:23" ht="26.4">
      <c r="W3855" s="64" ph="1"/>
    </row>
    <row r="3856" spans="23:23" ht="26.4">
      <c r="W3856" s="64" ph="1"/>
    </row>
    <row r="3857" spans="23:23" ht="26.4">
      <c r="W3857" s="64" ph="1"/>
    </row>
    <row r="3858" spans="23:23" ht="26.4">
      <c r="W3858" s="64" ph="1"/>
    </row>
    <row r="3859" spans="23:23" ht="26.4">
      <c r="W3859" s="64" ph="1"/>
    </row>
    <row r="3860" spans="23:23" ht="26.4">
      <c r="W3860" s="64" ph="1"/>
    </row>
    <row r="3861" spans="23:23" ht="26.4">
      <c r="W3861" s="64" ph="1"/>
    </row>
    <row r="3862" spans="23:23" ht="26.4">
      <c r="W3862" s="64" ph="1"/>
    </row>
    <row r="3863" spans="23:23" ht="26.4">
      <c r="W3863" s="64" ph="1"/>
    </row>
    <row r="3864" spans="23:23" ht="26.4">
      <c r="W3864" s="64" ph="1"/>
    </row>
    <row r="3865" spans="23:23" ht="26.4">
      <c r="W3865" s="64" ph="1"/>
    </row>
    <row r="3866" spans="23:23" ht="26.4">
      <c r="W3866" s="64" ph="1"/>
    </row>
    <row r="3867" spans="23:23" ht="26.4">
      <c r="W3867" s="64" ph="1"/>
    </row>
    <row r="3868" spans="23:23" ht="26.4">
      <c r="W3868" s="64" ph="1"/>
    </row>
    <row r="3869" spans="23:23" ht="26.4">
      <c r="W3869" s="64" ph="1"/>
    </row>
    <row r="3870" spans="23:23" ht="26.4">
      <c r="W3870" s="64" ph="1"/>
    </row>
    <row r="3871" spans="23:23" ht="26.4">
      <c r="W3871" s="64" ph="1"/>
    </row>
    <row r="3872" spans="23:23" ht="26.4">
      <c r="W3872" s="64" ph="1"/>
    </row>
    <row r="3873" spans="23:23" ht="26.4">
      <c r="W3873" s="64" ph="1"/>
    </row>
    <row r="3874" spans="23:23" ht="26.4">
      <c r="W3874" s="64" ph="1"/>
    </row>
    <row r="3875" spans="23:23" ht="26.4">
      <c r="W3875" s="64" ph="1"/>
    </row>
    <row r="3876" spans="23:23" ht="26.4">
      <c r="W3876" s="64" ph="1"/>
    </row>
    <row r="3877" spans="23:23" ht="26.4">
      <c r="W3877" s="64" ph="1"/>
    </row>
    <row r="3878" spans="23:23" ht="26.4">
      <c r="W3878" s="64" ph="1"/>
    </row>
    <row r="3879" spans="23:23" ht="26.4">
      <c r="W3879" s="64" ph="1"/>
    </row>
    <row r="3880" spans="23:23" ht="26.4">
      <c r="W3880" s="64" ph="1"/>
    </row>
    <row r="3881" spans="23:23" ht="26.4">
      <c r="W3881" s="64" ph="1"/>
    </row>
    <row r="3882" spans="23:23" ht="26.4">
      <c r="W3882" s="64" ph="1"/>
    </row>
    <row r="3883" spans="23:23" ht="26.4">
      <c r="W3883" s="64" ph="1"/>
    </row>
    <row r="3884" spans="23:23" ht="26.4">
      <c r="W3884" s="64" ph="1"/>
    </row>
    <row r="3885" spans="23:23" ht="26.4">
      <c r="W3885" s="64" ph="1"/>
    </row>
    <row r="3886" spans="23:23" ht="26.4">
      <c r="W3886" s="64" ph="1"/>
    </row>
    <row r="3887" spans="23:23" ht="26.4">
      <c r="W3887" s="64" ph="1"/>
    </row>
    <row r="3888" spans="23:23" ht="26.4">
      <c r="W3888" s="64" ph="1"/>
    </row>
    <row r="3889" spans="23:23" ht="26.4">
      <c r="W3889" s="64" ph="1"/>
    </row>
    <row r="3890" spans="23:23" ht="26.4">
      <c r="W3890" s="64" ph="1"/>
    </row>
    <row r="3891" spans="23:23" ht="26.4">
      <c r="W3891" s="64" ph="1"/>
    </row>
    <row r="3892" spans="23:23" ht="26.4">
      <c r="W3892" s="64" ph="1"/>
    </row>
    <row r="3893" spans="23:23" ht="26.4">
      <c r="W3893" s="64" ph="1"/>
    </row>
    <row r="3894" spans="23:23" ht="26.4">
      <c r="W3894" s="64" ph="1"/>
    </row>
    <row r="3895" spans="23:23" ht="26.4">
      <c r="W3895" s="64" ph="1"/>
    </row>
    <row r="3896" spans="23:23" ht="26.4">
      <c r="W3896" s="64" ph="1"/>
    </row>
    <row r="3897" spans="23:23" ht="26.4">
      <c r="W3897" s="64" ph="1"/>
    </row>
    <row r="3898" spans="23:23" ht="26.4">
      <c r="W3898" s="64" ph="1"/>
    </row>
    <row r="3899" spans="23:23" ht="26.4">
      <c r="W3899" s="64" ph="1"/>
    </row>
    <row r="3900" spans="23:23" ht="26.4">
      <c r="W3900" s="64" ph="1"/>
    </row>
    <row r="3901" spans="23:23" ht="26.4">
      <c r="W3901" s="64" ph="1"/>
    </row>
    <row r="3902" spans="23:23" ht="26.4">
      <c r="W3902" s="64" ph="1"/>
    </row>
    <row r="3903" spans="23:23" ht="26.4">
      <c r="W3903" s="64" ph="1"/>
    </row>
    <row r="3904" spans="23:23" ht="26.4">
      <c r="W3904" s="64" ph="1"/>
    </row>
    <row r="3905" spans="23:23" ht="26.4">
      <c r="W3905" s="64" ph="1"/>
    </row>
    <row r="3906" spans="23:23" ht="26.4">
      <c r="W3906" s="64" ph="1"/>
    </row>
    <row r="3907" spans="23:23" ht="26.4">
      <c r="W3907" s="64" ph="1"/>
    </row>
    <row r="3908" spans="23:23" ht="26.4">
      <c r="W3908" s="64" ph="1"/>
    </row>
    <row r="3909" spans="23:23" ht="26.4">
      <c r="W3909" s="64" ph="1"/>
    </row>
    <row r="3910" spans="23:23" ht="26.4">
      <c r="W3910" s="64" ph="1"/>
    </row>
    <row r="3911" spans="23:23" ht="26.4">
      <c r="W3911" s="64" ph="1"/>
    </row>
    <row r="3912" spans="23:23" ht="26.4">
      <c r="W3912" s="64" ph="1"/>
    </row>
    <row r="3913" spans="23:23" ht="26.4">
      <c r="W3913" s="64" ph="1"/>
    </row>
    <row r="3914" spans="23:23" ht="26.4">
      <c r="W3914" s="64" ph="1"/>
    </row>
    <row r="3915" spans="23:23" ht="26.4">
      <c r="W3915" s="64" ph="1"/>
    </row>
    <row r="3916" spans="23:23" ht="26.4">
      <c r="W3916" s="64" ph="1"/>
    </row>
    <row r="3917" spans="23:23" ht="26.4">
      <c r="W3917" s="64" ph="1"/>
    </row>
    <row r="3918" spans="23:23" ht="26.4">
      <c r="W3918" s="64" ph="1"/>
    </row>
    <row r="3919" spans="23:23" ht="26.4">
      <c r="W3919" s="64" ph="1"/>
    </row>
    <row r="3920" spans="23:23" ht="26.4">
      <c r="W3920" s="64" ph="1"/>
    </row>
    <row r="3921" spans="23:23" ht="26.4">
      <c r="W3921" s="64" ph="1"/>
    </row>
    <row r="3922" spans="23:23" ht="26.4">
      <c r="W3922" s="64" ph="1"/>
    </row>
    <row r="3923" spans="23:23" ht="26.4">
      <c r="W3923" s="64" ph="1"/>
    </row>
    <row r="3924" spans="23:23" ht="26.4">
      <c r="W3924" s="64" ph="1"/>
    </row>
    <row r="3925" spans="23:23" ht="26.4">
      <c r="W3925" s="64" ph="1"/>
    </row>
    <row r="3926" spans="23:23" ht="26.4">
      <c r="W3926" s="64" ph="1"/>
    </row>
    <row r="3927" spans="23:23" ht="26.4">
      <c r="W3927" s="64" ph="1"/>
    </row>
    <row r="3928" spans="23:23" ht="26.4">
      <c r="W3928" s="64" ph="1"/>
    </row>
    <row r="3929" spans="23:23" ht="26.4">
      <c r="W3929" s="64" ph="1"/>
    </row>
    <row r="3930" spans="23:23" ht="26.4">
      <c r="W3930" s="64" ph="1"/>
    </row>
    <row r="3931" spans="23:23" ht="26.4">
      <c r="W3931" s="64" ph="1"/>
    </row>
    <row r="3932" spans="23:23" ht="26.4">
      <c r="W3932" s="64" ph="1"/>
    </row>
    <row r="3933" spans="23:23" ht="26.4">
      <c r="W3933" s="64" ph="1"/>
    </row>
    <row r="3934" spans="23:23" ht="26.4">
      <c r="W3934" s="64" ph="1"/>
    </row>
    <row r="3935" spans="23:23" ht="26.4">
      <c r="W3935" s="64" ph="1"/>
    </row>
    <row r="3936" spans="23:23" ht="26.4">
      <c r="W3936" s="64" ph="1"/>
    </row>
    <row r="3937" spans="23:23" ht="26.4">
      <c r="W3937" s="64" ph="1"/>
    </row>
    <row r="3938" spans="23:23" ht="26.4">
      <c r="W3938" s="64" ph="1"/>
    </row>
    <row r="3939" spans="23:23" ht="26.4">
      <c r="W3939" s="64" ph="1"/>
    </row>
    <row r="3940" spans="23:23" ht="26.4">
      <c r="W3940" s="64" ph="1"/>
    </row>
    <row r="3941" spans="23:23" ht="26.4">
      <c r="W3941" s="64" ph="1"/>
    </row>
    <row r="3942" spans="23:23" ht="26.4">
      <c r="W3942" s="64" ph="1"/>
    </row>
    <row r="3943" spans="23:23" ht="26.4">
      <c r="W3943" s="64" ph="1"/>
    </row>
    <row r="3944" spans="23:23" ht="26.4">
      <c r="W3944" s="64" ph="1"/>
    </row>
    <row r="3945" spans="23:23" ht="26.4">
      <c r="W3945" s="64" ph="1"/>
    </row>
    <row r="3946" spans="23:23" ht="26.4">
      <c r="W3946" s="64" ph="1"/>
    </row>
    <row r="3947" spans="23:23" ht="26.4">
      <c r="W3947" s="64" ph="1"/>
    </row>
    <row r="3948" spans="23:23" ht="26.4">
      <c r="W3948" s="64" ph="1"/>
    </row>
    <row r="3949" spans="23:23" ht="26.4">
      <c r="W3949" s="64" ph="1"/>
    </row>
    <row r="3950" spans="23:23" ht="26.4">
      <c r="W3950" s="64" ph="1"/>
    </row>
    <row r="3951" spans="23:23" ht="26.4">
      <c r="W3951" s="64" ph="1"/>
    </row>
    <row r="3952" spans="23:23" ht="26.4">
      <c r="W3952" s="64" ph="1"/>
    </row>
    <row r="3953" spans="23:23" ht="26.4">
      <c r="W3953" s="64" ph="1"/>
    </row>
    <row r="3954" spans="23:23" ht="26.4">
      <c r="W3954" s="64" ph="1"/>
    </row>
    <row r="3955" spans="23:23" ht="26.4">
      <c r="W3955" s="64" ph="1"/>
    </row>
    <row r="3956" spans="23:23" ht="26.4">
      <c r="W3956" s="64" ph="1"/>
    </row>
    <row r="3957" spans="23:23" ht="26.4">
      <c r="W3957" s="64" ph="1"/>
    </row>
    <row r="3958" spans="23:23" ht="26.4">
      <c r="W3958" s="64" ph="1"/>
    </row>
    <row r="3959" spans="23:23" ht="26.4">
      <c r="W3959" s="64" ph="1"/>
    </row>
    <row r="3960" spans="23:23" ht="26.4">
      <c r="W3960" s="64" ph="1"/>
    </row>
    <row r="3961" spans="23:23" ht="26.4">
      <c r="W3961" s="64" ph="1"/>
    </row>
    <row r="3962" spans="23:23" ht="26.4">
      <c r="W3962" s="64" ph="1"/>
    </row>
    <row r="3963" spans="23:23" ht="26.4">
      <c r="W3963" s="64" ph="1"/>
    </row>
    <row r="3964" spans="23:23" ht="26.4">
      <c r="W3964" s="64" ph="1"/>
    </row>
    <row r="3965" spans="23:23" ht="26.4">
      <c r="W3965" s="64" ph="1"/>
    </row>
    <row r="3966" spans="23:23" ht="26.4">
      <c r="W3966" s="64" ph="1"/>
    </row>
    <row r="3967" spans="23:23" ht="26.4">
      <c r="W3967" s="64" ph="1"/>
    </row>
    <row r="3968" spans="23:23" ht="26.4">
      <c r="W3968" s="64" ph="1"/>
    </row>
    <row r="3969" spans="23:23" ht="26.4">
      <c r="W3969" s="64" ph="1"/>
    </row>
    <row r="3970" spans="23:23" ht="26.4">
      <c r="W3970" s="64" ph="1"/>
    </row>
    <row r="3971" spans="23:23" ht="26.4">
      <c r="W3971" s="64" ph="1"/>
    </row>
    <row r="3972" spans="23:23" ht="26.4">
      <c r="W3972" s="64" ph="1"/>
    </row>
    <row r="3973" spans="23:23" ht="26.4">
      <c r="W3973" s="64" ph="1"/>
    </row>
    <row r="3974" spans="23:23" ht="26.4">
      <c r="W3974" s="64" ph="1"/>
    </row>
    <row r="3975" spans="23:23" ht="26.4">
      <c r="W3975" s="64" ph="1"/>
    </row>
    <row r="3976" spans="23:23" ht="26.4">
      <c r="W3976" s="64" ph="1"/>
    </row>
    <row r="3977" spans="23:23" ht="26.4">
      <c r="W3977" s="64" ph="1"/>
    </row>
    <row r="3978" spans="23:23" ht="26.4">
      <c r="W3978" s="64" ph="1"/>
    </row>
    <row r="3979" spans="23:23" ht="26.4">
      <c r="W3979" s="64" ph="1"/>
    </row>
    <row r="3980" spans="23:23" ht="26.4">
      <c r="W3980" s="64" ph="1"/>
    </row>
    <row r="3981" spans="23:23" ht="26.4">
      <c r="W3981" s="64" ph="1"/>
    </row>
    <row r="3982" spans="23:23" ht="26.4">
      <c r="W3982" s="64" ph="1"/>
    </row>
    <row r="3983" spans="23:23" ht="26.4">
      <c r="W3983" s="64" ph="1"/>
    </row>
    <row r="3984" spans="23:23" ht="26.4">
      <c r="W3984" s="64" ph="1"/>
    </row>
    <row r="3985" spans="23:23" ht="26.4">
      <c r="W3985" s="64" ph="1"/>
    </row>
    <row r="3986" spans="23:23" ht="26.4">
      <c r="W3986" s="64" ph="1"/>
    </row>
    <row r="3987" spans="23:23" ht="26.4">
      <c r="W3987" s="64" ph="1"/>
    </row>
    <row r="3988" spans="23:23" ht="26.4">
      <c r="W3988" s="64" ph="1"/>
    </row>
    <row r="3989" spans="23:23" ht="26.4">
      <c r="W3989" s="64" ph="1"/>
    </row>
    <row r="3990" spans="23:23" ht="26.4">
      <c r="W3990" s="64" ph="1"/>
    </row>
    <row r="3991" spans="23:23" ht="26.4">
      <c r="W3991" s="64" ph="1"/>
    </row>
    <row r="3992" spans="23:23" ht="26.4">
      <c r="W3992" s="64" ph="1"/>
    </row>
    <row r="3993" spans="23:23" ht="26.4">
      <c r="W3993" s="64" ph="1"/>
    </row>
    <row r="3994" spans="23:23" ht="26.4">
      <c r="W3994" s="64" ph="1"/>
    </row>
    <row r="3995" spans="23:23" ht="26.4">
      <c r="W3995" s="64" ph="1"/>
    </row>
    <row r="3996" spans="23:23" ht="26.4">
      <c r="W3996" s="64" ph="1"/>
    </row>
    <row r="3997" spans="23:23" ht="26.4">
      <c r="W3997" s="64" ph="1"/>
    </row>
    <row r="3998" spans="23:23" ht="26.4">
      <c r="W3998" s="64" ph="1"/>
    </row>
    <row r="3999" spans="23:23" ht="26.4">
      <c r="W3999" s="64" ph="1"/>
    </row>
    <row r="4000" spans="23:23" ht="26.4">
      <c r="W4000" s="64" ph="1"/>
    </row>
    <row r="4001" spans="23:23" ht="26.4">
      <c r="W4001" s="64" ph="1"/>
    </row>
    <row r="4002" spans="23:23" ht="26.4">
      <c r="W4002" s="64" ph="1"/>
    </row>
    <row r="4003" spans="23:23" ht="26.4">
      <c r="W4003" s="64" ph="1"/>
    </row>
    <row r="4004" spans="23:23" ht="26.4">
      <c r="W4004" s="64" ph="1"/>
    </row>
    <row r="4005" spans="23:23" ht="26.4">
      <c r="W4005" s="64" ph="1"/>
    </row>
    <row r="4006" spans="23:23" ht="26.4">
      <c r="W4006" s="64" ph="1"/>
    </row>
    <row r="4007" spans="23:23" ht="26.4">
      <c r="W4007" s="64" ph="1"/>
    </row>
    <row r="4008" spans="23:23" ht="26.4">
      <c r="W4008" s="64" ph="1"/>
    </row>
    <row r="4009" spans="23:23" ht="26.4">
      <c r="W4009" s="64" ph="1"/>
    </row>
    <row r="4010" spans="23:23" ht="26.4">
      <c r="W4010" s="64" ph="1"/>
    </row>
    <row r="4011" spans="23:23" ht="26.4">
      <c r="W4011" s="64" ph="1"/>
    </row>
    <row r="4012" spans="23:23" ht="26.4">
      <c r="W4012" s="64" ph="1"/>
    </row>
    <row r="4013" spans="23:23" ht="26.4">
      <c r="W4013" s="64" ph="1"/>
    </row>
    <row r="4014" spans="23:23" ht="26.4">
      <c r="W4014" s="64" ph="1"/>
    </row>
    <row r="4015" spans="23:23" ht="26.4">
      <c r="W4015" s="64" ph="1"/>
    </row>
    <row r="4016" spans="23:23" ht="26.4">
      <c r="W4016" s="64" ph="1"/>
    </row>
    <row r="4017" spans="23:23" ht="26.4">
      <c r="W4017" s="64" ph="1"/>
    </row>
    <row r="4018" spans="23:23" ht="26.4">
      <c r="W4018" s="64" ph="1"/>
    </row>
    <row r="4019" spans="23:23" ht="26.4">
      <c r="W4019" s="64" ph="1"/>
    </row>
    <row r="4020" spans="23:23" ht="26.4">
      <c r="W4020" s="64" ph="1"/>
    </row>
    <row r="4021" spans="23:23" ht="26.4">
      <c r="W4021" s="64" ph="1"/>
    </row>
    <row r="4022" spans="23:23" ht="26.4">
      <c r="W4022" s="64" ph="1"/>
    </row>
    <row r="4023" spans="23:23" ht="26.4">
      <c r="W4023" s="64" ph="1"/>
    </row>
    <row r="4024" spans="23:23" ht="26.4">
      <c r="W4024" s="64" ph="1"/>
    </row>
    <row r="4025" spans="23:23" ht="26.4">
      <c r="W4025" s="64" ph="1"/>
    </row>
    <row r="4026" spans="23:23" ht="26.4">
      <c r="W4026" s="64" ph="1"/>
    </row>
    <row r="4027" spans="23:23" ht="26.4">
      <c r="W4027" s="64" ph="1"/>
    </row>
    <row r="4028" spans="23:23" ht="26.4">
      <c r="W4028" s="64" ph="1"/>
    </row>
    <row r="4029" spans="23:23" ht="26.4">
      <c r="W4029" s="64" ph="1"/>
    </row>
    <row r="4030" spans="23:23" ht="26.4">
      <c r="W4030" s="64" ph="1"/>
    </row>
    <row r="4031" spans="23:23" ht="26.4">
      <c r="W4031" s="64" ph="1"/>
    </row>
    <row r="4032" spans="23:23" ht="26.4">
      <c r="W4032" s="64" ph="1"/>
    </row>
    <row r="4033" spans="23:23" ht="26.4">
      <c r="W4033" s="64" ph="1"/>
    </row>
    <row r="4034" spans="23:23" ht="26.4">
      <c r="W4034" s="64" ph="1"/>
    </row>
    <row r="4035" spans="23:23" ht="26.4">
      <c r="W4035" s="64" ph="1"/>
    </row>
    <row r="4036" spans="23:23" ht="26.4">
      <c r="W4036" s="64" ph="1"/>
    </row>
    <row r="4037" spans="23:23" ht="26.4">
      <c r="W4037" s="64" ph="1"/>
    </row>
    <row r="4038" spans="23:23" ht="26.4">
      <c r="W4038" s="64" ph="1"/>
    </row>
    <row r="4039" spans="23:23" ht="26.4">
      <c r="W4039" s="64" ph="1"/>
    </row>
    <row r="4040" spans="23:23" ht="26.4">
      <c r="W4040" s="64" ph="1"/>
    </row>
    <row r="4041" spans="23:23" ht="26.4">
      <c r="W4041" s="64" ph="1"/>
    </row>
    <row r="4042" spans="23:23" ht="26.4">
      <c r="W4042" s="64" ph="1"/>
    </row>
    <row r="4043" spans="23:23" ht="26.4">
      <c r="W4043" s="64" ph="1"/>
    </row>
    <row r="4044" spans="23:23" ht="26.4">
      <c r="W4044" s="64" ph="1"/>
    </row>
    <row r="4045" spans="23:23" ht="26.4">
      <c r="W4045" s="64" ph="1"/>
    </row>
    <row r="4046" spans="23:23" ht="26.4">
      <c r="W4046" s="64" ph="1"/>
    </row>
    <row r="4047" spans="23:23" ht="26.4">
      <c r="W4047" s="64" ph="1"/>
    </row>
    <row r="4048" spans="23:23" ht="26.4">
      <c r="W4048" s="64" ph="1"/>
    </row>
    <row r="4049" spans="23:23" ht="26.4">
      <c r="W4049" s="64" ph="1"/>
    </row>
    <row r="4050" spans="23:23" ht="26.4">
      <c r="W4050" s="64" ph="1"/>
    </row>
    <row r="4051" spans="23:23" ht="26.4">
      <c r="W4051" s="64" ph="1"/>
    </row>
    <row r="4052" spans="23:23" ht="26.4">
      <c r="W4052" s="64" ph="1"/>
    </row>
    <row r="4053" spans="23:23" ht="26.4">
      <c r="W4053" s="64" ph="1"/>
    </row>
    <row r="4054" spans="23:23" ht="26.4">
      <c r="W4054" s="64" ph="1"/>
    </row>
    <row r="4055" spans="23:23" ht="26.4">
      <c r="W4055" s="64" ph="1"/>
    </row>
    <row r="4056" spans="23:23" ht="26.4">
      <c r="W4056" s="64" ph="1"/>
    </row>
    <row r="4057" spans="23:23" ht="26.4">
      <c r="W4057" s="64" ph="1"/>
    </row>
    <row r="4058" spans="23:23" ht="26.4">
      <c r="W4058" s="64" ph="1"/>
    </row>
    <row r="4059" spans="23:23" ht="26.4">
      <c r="W4059" s="64" ph="1"/>
    </row>
    <row r="4060" spans="23:23" ht="26.4">
      <c r="W4060" s="64" ph="1"/>
    </row>
    <row r="4061" spans="23:23" ht="26.4">
      <c r="W4061" s="64" ph="1"/>
    </row>
    <row r="4062" spans="23:23" ht="26.4">
      <c r="W4062" s="64" ph="1"/>
    </row>
    <row r="4063" spans="23:23" ht="26.4">
      <c r="W4063" s="64" ph="1"/>
    </row>
    <row r="4064" spans="23:23" ht="26.4">
      <c r="W4064" s="64" ph="1"/>
    </row>
    <row r="4065" spans="23:23" ht="26.4">
      <c r="W4065" s="64" ph="1"/>
    </row>
    <row r="4066" spans="23:23" ht="26.4">
      <c r="W4066" s="64" ph="1"/>
    </row>
    <row r="4067" spans="23:23" ht="26.4">
      <c r="W4067" s="64" ph="1"/>
    </row>
    <row r="4068" spans="23:23" ht="26.4">
      <c r="W4068" s="64" ph="1"/>
    </row>
    <row r="4069" spans="23:23" ht="26.4">
      <c r="W4069" s="64" ph="1"/>
    </row>
    <row r="4070" spans="23:23" ht="26.4">
      <c r="W4070" s="64" ph="1"/>
    </row>
    <row r="4071" spans="23:23" ht="26.4">
      <c r="W4071" s="64" ph="1"/>
    </row>
    <row r="4072" spans="23:23" ht="26.4">
      <c r="W4072" s="64" ph="1"/>
    </row>
    <row r="4073" spans="23:23" ht="26.4">
      <c r="W4073" s="64" ph="1"/>
    </row>
    <row r="4074" spans="23:23" ht="26.4">
      <c r="W4074" s="64" ph="1"/>
    </row>
    <row r="4075" spans="23:23" ht="26.4">
      <c r="W4075" s="64" ph="1"/>
    </row>
    <row r="4076" spans="23:23" ht="26.4">
      <c r="W4076" s="64" ph="1"/>
    </row>
    <row r="4077" spans="23:23" ht="26.4">
      <c r="W4077" s="64" ph="1"/>
    </row>
    <row r="4078" spans="23:23" ht="26.4">
      <c r="W4078" s="64" ph="1"/>
    </row>
    <row r="4079" spans="23:23" ht="26.4">
      <c r="W4079" s="64" ph="1"/>
    </row>
    <row r="4080" spans="23:23" ht="26.4">
      <c r="W4080" s="64" ph="1"/>
    </row>
    <row r="4081" spans="23:23" ht="26.4">
      <c r="W4081" s="64" ph="1"/>
    </row>
    <row r="4082" spans="23:23" ht="26.4">
      <c r="W4082" s="64" ph="1"/>
    </row>
    <row r="4083" spans="23:23" ht="26.4">
      <c r="W4083" s="64" ph="1"/>
    </row>
    <row r="4084" spans="23:23" ht="26.4">
      <c r="W4084" s="64" ph="1"/>
    </row>
    <row r="4085" spans="23:23" ht="26.4">
      <c r="W4085" s="64" ph="1"/>
    </row>
    <row r="4086" spans="23:23" ht="26.4">
      <c r="W4086" s="64" ph="1"/>
    </row>
    <row r="4087" spans="23:23" ht="26.4">
      <c r="W4087" s="64" ph="1"/>
    </row>
    <row r="4088" spans="23:23" ht="26.4">
      <c r="W4088" s="64" ph="1"/>
    </row>
    <row r="4089" spans="23:23" ht="26.4">
      <c r="W4089" s="64" ph="1"/>
    </row>
    <row r="4090" spans="23:23" ht="26.4">
      <c r="W4090" s="64" ph="1"/>
    </row>
    <row r="4091" spans="23:23" ht="26.4">
      <c r="W4091" s="64" ph="1"/>
    </row>
    <row r="4092" spans="23:23" ht="26.4">
      <c r="W4092" s="64" ph="1"/>
    </row>
    <row r="4093" spans="23:23" ht="26.4">
      <c r="W4093" s="64" ph="1"/>
    </row>
    <row r="4094" spans="23:23" ht="26.4">
      <c r="W4094" s="64" ph="1"/>
    </row>
    <row r="4095" spans="23:23" ht="26.4">
      <c r="W4095" s="64" ph="1"/>
    </row>
    <row r="4096" spans="23:23" ht="26.4">
      <c r="W4096" s="64" ph="1"/>
    </row>
    <row r="4097" spans="23:23" ht="26.4">
      <c r="W4097" s="64" ph="1"/>
    </row>
    <row r="4098" spans="23:23" ht="26.4">
      <c r="W4098" s="64" ph="1"/>
    </row>
    <row r="4099" spans="23:23" ht="26.4">
      <c r="W4099" s="64" ph="1"/>
    </row>
    <row r="4100" spans="23:23" ht="26.4">
      <c r="W4100" s="64" ph="1"/>
    </row>
    <row r="4101" spans="23:23" ht="26.4">
      <c r="W4101" s="64" ph="1"/>
    </row>
    <row r="4102" spans="23:23" ht="26.4">
      <c r="W4102" s="64" ph="1"/>
    </row>
    <row r="4103" spans="23:23" ht="26.4">
      <c r="W4103" s="64" ph="1"/>
    </row>
    <row r="4104" spans="23:23" ht="26.4">
      <c r="W4104" s="64" ph="1"/>
    </row>
    <row r="4105" spans="23:23" ht="26.4">
      <c r="W4105" s="64" ph="1"/>
    </row>
    <row r="4106" spans="23:23" ht="26.4">
      <c r="W4106" s="64" ph="1"/>
    </row>
    <row r="4107" spans="23:23" ht="26.4">
      <c r="W4107" s="64" ph="1"/>
    </row>
    <row r="4108" spans="23:23" ht="26.4">
      <c r="W4108" s="64" ph="1"/>
    </row>
    <row r="4109" spans="23:23" ht="26.4">
      <c r="W4109" s="64" ph="1"/>
    </row>
    <row r="4110" spans="23:23" ht="26.4">
      <c r="W4110" s="64" ph="1"/>
    </row>
    <row r="4111" spans="23:23" ht="26.4">
      <c r="W4111" s="64" ph="1"/>
    </row>
    <row r="4112" spans="23:23" ht="26.4">
      <c r="W4112" s="64" ph="1"/>
    </row>
    <row r="4113" spans="23:23" ht="26.4">
      <c r="W4113" s="64" ph="1"/>
    </row>
    <row r="4114" spans="23:23" ht="26.4">
      <c r="W4114" s="64" ph="1"/>
    </row>
    <row r="4115" spans="23:23" ht="26.4">
      <c r="W4115" s="64" ph="1"/>
    </row>
    <row r="4116" spans="23:23" ht="26.4">
      <c r="W4116" s="64" ph="1"/>
    </row>
    <row r="4117" spans="23:23" ht="26.4">
      <c r="W4117" s="64" ph="1"/>
    </row>
    <row r="4118" spans="23:23" ht="26.4">
      <c r="W4118" s="64" ph="1"/>
    </row>
    <row r="4119" spans="23:23" ht="26.4">
      <c r="W4119" s="64" ph="1"/>
    </row>
    <row r="4120" spans="23:23" ht="26.4">
      <c r="W4120" s="64" ph="1"/>
    </row>
    <row r="4121" spans="23:23" ht="26.4">
      <c r="W4121" s="64" ph="1"/>
    </row>
    <row r="4122" spans="23:23" ht="26.4">
      <c r="W4122" s="64" ph="1"/>
    </row>
    <row r="4123" spans="23:23" ht="26.4">
      <c r="W4123" s="64" ph="1"/>
    </row>
    <row r="4124" spans="23:23" ht="26.4">
      <c r="W4124" s="64" ph="1"/>
    </row>
    <row r="4125" spans="23:23" ht="26.4">
      <c r="W4125" s="64" ph="1"/>
    </row>
    <row r="4126" spans="23:23" ht="26.4">
      <c r="W4126" s="64" ph="1"/>
    </row>
    <row r="4127" spans="23:23" ht="26.4">
      <c r="W4127" s="64" ph="1"/>
    </row>
    <row r="4128" spans="23:23" ht="26.4">
      <c r="W4128" s="64" ph="1"/>
    </row>
    <row r="4129" spans="23:23" ht="26.4">
      <c r="W4129" s="64" ph="1"/>
    </row>
    <row r="4130" spans="23:23" ht="26.4">
      <c r="W4130" s="64" ph="1"/>
    </row>
    <row r="4131" spans="23:23" ht="26.4">
      <c r="W4131" s="64" ph="1"/>
    </row>
    <row r="4132" spans="23:23" ht="26.4">
      <c r="W4132" s="64" ph="1"/>
    </row>
    <row r="4133" spans="23:23" ht="26.4">
      <c r="W4133" s="64" ph="1"/>
    </row>
    <row r="4134" spans="23:23" ht="26.4">
      <c r="W4134" s="64" ph="1"/>
    </row>
    <row r="4135" spans="23:23" ht="26.4">
      <c r="W4135" s="64" ph="1"/>
    </row>
    <row r="4136" spans="23:23" ht="26.4">
      <c r="W4136" s="64" ph="1"/>
    </row>
    <row r="4137" spans="23:23" ht="26.4">
      <c r="W4137" s="64" ph="1"/>
    </row>
    <row r="4138" spans="23:23" ht="26.4">
      <c r="W4138" s="64" ph="1"/>
    </row>
    <row r="4139" spans="23:23" ht="26.4">
      <c r="W4139" s="64" ph="1"/>
    </row>
    <row r="4140" spans="23:23" ht="26.4">
      <c r="W4140" s="64" ph="1"/>
    </row>
    <row r="4141" spans="23:23" ht="26.4">
      <c r="W4141" s="64" ph="1"/>
    </row>
    <row r="4142" spans="23:23" ht="26.4">
      <c r="W4142" s="64" ph="1"/>
    </row>
    <row r="4143" spans="23:23" ht="26.4">
      <c r="W4143" s="64" ph="1"/>
    </row>
    <row r="4144" spans="23:23" ht="26.4">
      <c r="W4144" s="64" ph="1"/>
    </row>
    <row r="4145" spans="23:23" ht="26.4">
      <c r="W4145" s="64" ph="1"/>
    </row>
    <row r="4146" spans="23:23" ht="26.4">
      <c r="W4146" s="64" ph="1"/>
    </row>
    <row r="4147" spans="23:23" ht="26.4">
      <c r="W4147" s="64" ph="1"/>
    </row>
    <row r="4148" spans="23:23" ht="26.4">
      <c r="W4148" s="64" ph="1"/>
    </row>
    <row r="4149" spans="23:23" ht="26.4">
      <c r="W4149" s="64" ph="1"/>
    </row>
    <row r="4150" spans="23:23" ht="26.4">
      <c r="W4150" s="64" ph="1"/>
    </row>
    <row r="4151" spans="23:23" ht="26.4">
      <c r="W4151" s="64" ph="1"/>
    </row>
    <row r="4152" spans="23:23" ht="26.4">
      <c r="W4152" s="64" ph="1"/>
    </row>
    <row r="4153" spans="23:23" ht="26.4">
      <c r="W4153" s="64" ph="1"/>
    </row>
    <row r="4154" spans="23:23" ht="26.4">
      <c r="W4154" s="64" ph="1"/>
    </row>
    <row r="4155" spans="23:23" ht="26.4">
      <c r="W4155" s="64" ph="1"/>
    </row>
    <row r="4156" spans="23:23" ht="26.4">
      <c r="W4156" s="64" ph="1"/>
    </row>
    <row r="4157" spans="23:23" ht="26.4">
      <c r="W4157" s="64" ph="1"/>
    </row>
    <row r="4158" spans="23:23" ht="26.4">
      <c r="W4158" s="64" ph="1"/>
    </row>
    <row r="4159" spans="23:23" ht="26.4">
      <c r="W4159" s="64" ph="1"/>
    </row>
    <row r="4160" spans="23:23" ht="26.4">
      <c r="W4160" s="64" ph="1"/>
    </row>
    <row r="4161" spans="23:23" ht="26.4">
      <c r="W4161" s="64" ph="1"/>
    </row>
    <row r="4162" spans="23:23" ht="26.4">
      <c r="W4162" s="64" ph="1"/>
    </row>
    <row r="4163" spans="23:23" ht="26.4">
      <c r="W4163" s="64" ph="1"/>
    </row>
    <row r="4164" spans="23:23" ht="26.4">
      <c r="W4164" s="64" ph="1"/>
    </row>
    <row r="4165" spans="23:23" ht="26.4">
      <c r="W4165" s="64" ph="1"/>
    </row>
    <row r="4166" spans="23:23" ht="26.4">
      <c r="W4166" s="64" ph="1"/>
    </row>
    <row r="4167" spans="23:23" ht="26.4">
      <c r="W4167" s="64" ph="1"/>
    </row>
    <row r="4168" spans="23:23" ht="26.4">
      <c r="W4168" s="64" ph="1"/>
    </row>
    <row r="4169" spans="23:23" ht="26.4">
      <c r="W4169" s="64" ph="1"/>
    </row>
    <row r="4170" spans="23:23" ht="26.4">
      <c r="W4170" s="64" ph="1"/>
    </row>
    <row r="4171" spans="23:23" ht="26.4">
      <c r="W4171" s="64" ph="1"/>
    </row>
    <row r="4172" spans="23:23" ht="26.4">
      <c r="W4172" s="64" ph="1"/>
    </row>
    <row r="4173" spans="23:23" ht="26.4">
      <c r="W4173" s="64" ph="1"/>
    </row>
    <row r="4174" spans="23:23" ht="26.4">
      <c r="W4174" s="64" ph="1"/>
    </row>
    <row r="4175" spans="23:23" ht="26.4">
      <c r="W4175" s="64" ph="1"/>
    </row>
    <row r="4176" spans="23:23" ht="26.4">
      <c r="W4176" s="64" ph="1"/>
    </row>
    <row r="4177" spans="23:23" ht="26.4">
      <c r="W4177" s="64" ph="1"/>
    </row>
    <row r="4178" spans="23:23" ht="26.4">
      <c r="W4178" s="64" ph="1"/>
    </row>
    <row r="4179" spans="23:23" ht="26.4">
      <c r="W4179" s="64" ph="1"/>
    </row>
    <row r="4180" spans="23:23" ht="26.4">
      <c r="W4180" s="64" ph="1"/>
    </row>
    <row r="4181" spans="23:23" ht="26.4">
      <c r="W4181" s="64" ph="1"/>
    </row>
    <row r="4182" spans="23:23" ht="26.4">
      <c r="W4182" s="64" ph="1"/>
    </row>
    <row r="4183" spans="23:23" ht="26.4">
      <c r="W4183" s="64" ph="1"/>
    </row>
    <row r="4184" spans="23:23" ht="26.4">
      <c r="W4184" s="64" ph="1"/>
    </row>
    <row r="4185" spans="23:23" ht="26.4">
      <c r="W4185" s="64" ph="1"/>
    </row>
    <row r="4186" spans="23:23" ht="26.4">
      <c r="W4186" s="64" ph="1"/>
    </row>
    <row r="4187" spans="23:23" ht="26.4">
      <c r="W4187" s="64" ph="1"/>
    </row>
    <row r="4188" spans="23:23" ht="26.4">
      <c r="W4188" s="64" ph="1"/>
    </row>
    <row r="4189" spans="23:23" ht="26.4">
      <c r="W4189" s="64" ph="1"/>
    </row>
    <row r="4190" spans="23:23" ht="26.4">
      <c r="W4190" s="64" ph="1"/>
    </row>
    <row r="4191" spans="23:23" ht="26.4">
      <c r="W4191" s="64" ph="1"/>
    </row>
    <row r="4192" spans="23:23" ht="26.4">
      <c r="W4192" s="64" ph="1"/>
    </row>
    <row r="4193" spans="23:23" ht="26.4">
      <c r="W4193" s="64" ph="1"/>
    </row>
    <row r="4194" spans="23:23" ht="26.4">
      <c r="W4194" s="64" ph="1"/>
    </row>
    <row r="4195" spans="23:23" ht="26.4">
      <c r="W4195" s="64" ph="1"/>
    </row>
    <row r="4196" spans="23:23" ht="26.4">
      <c r="W4196" s="64" ph="1"/>
    </row>
    <row r="4197" spans="23:23" ht="26.4">
      <c r="W4197" s="64" ph="1"/>
    </row>
    <row r="4198" spans="23:23" ht="26.4">
      <c r="W4198" s="64" ph="1"/>
    </row>
    <row r="4199" spans="23:23" ht="26.4">
      <c r="W4199" s="64" ph="1"/>
    </row>
    <row r="4200" spans="23:23" ht="26.4">
      <c r="W4200" s="64" ph="1"/>
    </row>
    <row r="4201" spans="23:23" ht="26.4">
      <c r="W4201" s="64" ph="1"/>
    </row>
    <row r="4202" spans="23:23" ht="26.4">
      <c r="W4202" s="64" ph="1"/>
    </row>
    <row r="4203" spans="23:23" ht="26.4">
      <c r="W4203" s="64" ph="1"/>
    </row>
    <row r="4204" spans="23:23" ht="26.4">
      <c r="W4204" s="64" ph="1"/>
    </row>
    <row r="4205" spans="23:23" ht="26.4">
      <c r="W4205" s="64" ph="1"/>
    </row>
    <row r="4206" spans="23:23" ht="26.4">
      <c r="W4206" s="64" ph="1"/>
    </row>
    <row r="4207" spans="23:23" ht="26.4">
      <c r="W4207" s="64" ph="1"/>
    </row>
    <row r="4208" spans="23:23" ht="26.4">
      <c r="W4208" s="64" ph="1"/>
    </row>
    <row r="4209" spans="23:23" ht="26.4">
      <c r="W4209" s="64" ph="1"/>
    </row>
    <row r="4210" spans="23:23" ht="26.4">
      <c r="W4210" s="64" ph="1"/>
    </row>
    <row r="4211" spans="23:23" ht="26.4">
      <c r="W4211" s="64" ph="1"/>
    </row>
    <row r="4212" spans="23:23" ht="26.4">
      <c r="W4212" s="64" ph="1"/>
    </row>
    <row r="4213" spans="23:23" ht="26.4">
      <c r="W4213" s="64" ph="1"/>
    </row>
    <row r="4214" spans="23:23" ht="26.4">
      <c r="W4214" s="64" ph="1"/>
    </row>
    <row r="4215" spans="23:23" ht="26.4">
      <c r="W4215" s="64" ph="1"/>
    </row>
    <row r="4216" spans="23:23" ht="26.4">
      <c r="W4216" s="64" ph="1"/>
    </row>
    <row r="4217" spans="23:23" ht="26.4">
      <c r="W4217" s="64" ph="1"/>
    </row>
    <row r="4218" spans="23:23" ht="26.4">
      <c r="W4218" s="64" ph="1"/>
    </row>
    <row r="4219" spans="23:23" ht="26.4">
      <c r="W4219" s="64" ph="1"/>
    </row>
    <row r="4220" spans="23:23" ht="26.4">
      <c r="W4220" s="64" ph="1"/>
    </row>
    <row r="4221" spans="23:23" ht="26.4">
      <c r="W4221" s="64" ph="1"/>
    </row>
    <row r="4222" spans="23:23" ht="26.4">
      <c r="W4222" s="64" ph="1"/>
    </row>
    <row r="4223" spans="23:23" ht="26.4">
      <c r="W4223" s="64" ph="1"/>
    </row>
    <row r="4224" spans="23:23" ht="26.4">
      <c r="W4224" s="64" ph="1"/>
    </row>
    <row r="4225" spans="23:23" ht="26.4">
      <c r="W4225" s="64" ph="1"/>
    </row>
    <row r="4226" spans="23:23" ht="26.4">
      <c r="W4226" s="64" ph="1"/>
    </row>
    <row r="4227" spans="23:23" ht="26.4">
      <c r="W4227" s="64" ph="1"/>
    </row>
    <row r="4228" spans="23:23" ht="26.4">
      <c r="W4228" s="64" ph="1"/>
    </row>
    <row r="4229" spans="23:23" ht="26.4">
      <c r="W4229" s="64" ph="1"/>
    </row>
    <row r="4230" spans="23:23" ht="26.4">
      <c r="W4230" s="64" ph="1"/>
    </row>
    <row r="4231" spans="23:23" ht="26.4">
      <c r="W4231" s="64" ph="1"/>
    </row>
    <row r="4232" spans="23:23" ht="26.4">
      <c r="W4232" s="64" ph="1"/>
    </row>
    <row r="4233" spans="23:23" ht="26.4">
      <c r="W4233" s="64" ph="1"/>
    </row>
    <row r="4234" spans="23:23" ht="26.4">
      <c r="W4234" s="64" ph="1"/>
    </row>
    <row r="4235" spans="23:23" ht="26.4">
      <c r="W4235" s="64" ph="1"/>
    </row>
    <row r="4236" spans="23:23" ht="26.4">
      <c r="W4236" s="64" ph="1"/>
    </row>
    <row r="4237" spans="23:23" ht="26.4">
      <c r="W4237" s="64" ph="1"/>
    </row>
    <row r="4238" spans="23:23" ht="26.4">
      <c r="W4238" s="64" ph="1"/>
    </row>
    <row r="4239" spans="23:23" ht="26.4">
      <c r="W4239" s="64" ph="1"/>
    </row>
    <row r="4240" spans="23:23" ht="26.4">
      <c r="W4240" s="64" ph="1"/>
    </row>
    <row r="4241" spans="23:23" ht="26.4">
      <c r="W4241" s="64" ph="1"/>
    </row>
    <row r="4242" spans="23:23" ht="26.4">
      <c r="W4242" s="64" ph="1"/>
    </row>
    <row r="4243" spans="23:23" ht="26.4">
      <c r="W4243" s="64" ph="1"/>
    </row>
    <row r="4244" spans="23:23" ht="26.4">
      <c r="W4244" s="64" ph="1"/>
    </row>
    <row r="4245" spans="23:23" ht="26.4">
      <c r="W4245" s="64" ph="1"/>
    </row>
    <row r="4246" spans="23:23" ht="26.4">
      <c r="W4246" s="64" ph="1"/>
    </row>
    <row r="4247" spans="23:23" ht="26.4">
      <c r="W4247" s="64" ph="1"/>
    </row>
    <row r="4248" spans="23:23" ht="26.4">
      <c r="W4248" s="64" ph="1"/>
    </row>
    <row r="4249" spans="23:23" ht="26.4">
      <c r="W4249" s="64" ph="1"/>
    </row>
    <row r="4250" spans="23:23" ht="26.4">
      <c r="W4250" s="64" ph="1"/>
    </row>
    <row r="4251" spans="23:23" ht="26.4">
      <c r="W4251" s="64" ph="1"/>
    </row>
    <row r="4252" spans="23:23" ht="26.4">
      <c r="W4252" s="64" ph="1"/>
    </row>
    <row r="4253" spans="23:23" ht="26.4">
      <c r="W4253" s="64" ph="1"/>
    </row>
    <row r="4254" spans="23:23" ht="26.4">
      <c r="W4254" s="64" ph="1"/>
    </row>
    <row r="4255" spans="23:23" ht="26.4">
      <c r="W4255" s="64" ph="1"/>
    </row>
    <row r="4256" spans="23:23" ht="26.4">
      <c r="W4256" s="64" ph="1"/>
    </row>
    <row r="4257" spans="23:23" ht="26.4">
      <c r="W4257" s="64" ph="1"/>
    </row>
    <row r="4258" spans="23:23" ht="26.4">
      <c r="W4258" s="64" ph="1"/>
    </row>
    <row r="4259" spans="23:23" ht="26.4">
      <c r="W4259" s="64" ph="1"/>
    </row>
    <row r="4260" spans="23:23" ht="26.4">
      <c r="W4260" s="64" ph="1"/>
    </row>
    <row r="4261" spans="23:23" ht="26.4">
      <c r="W4261" s="64" ph="1"/>
    </row>
    <row r="4262" spans="23:23" ht="26.4">
      <c r="W4262" s="64" ph="1"/>
    </row>
    <row r="4263" spans="23:23" ht="26.4">
      <c r="W4263" s="64" ph="1"/>
    </row>
    <row r="4264" spans="23:23" ht="26.4">
      <c r="W4264" s="64" ph="1"/>
    </row>
    <row r="4265" spans="23:23" ht="26.4">
      <c r="W4265" s="64" ph="1"/>
    </row>
    <row r="4266" spans="23:23" ht="26.4">
      <c r="W4266" s="64" ph="1"/>
    </row>
    <row r="4267" spans="23:23" ht="26.4">
      <c r="W4267" s="64" ph="1"/>
    </row>
    <row r="4268" spans="23:23" ht="26.4">
      <c r="W4268" s="64" ph="1"/>
    </row>
    <row r="4269" spans="23:23" ht="26.4">
      <c r="W4269" s="64" ph="1"/>
    </row>
    <row r="4270" spans="23:23" ht="26.4">
      <c r="W4270" s="64" ph="1"/>
    </row>
    <row r="4271" spans="23:23" ht="26.4">
      <c r="W4271" s="64" ph="1"/>
    </row>
    <row r="4272" spans="23:23" ht="26.4">
      <c r="W4272" s="64" ph="1"/>
    </row>
    <row r="4273" spans="23:23" ht="26.4">
      <c r="W4273" s="64" ph="1"/>
    </row>
    <row r="4274" spans="23:23" ht="26.4">
      <c r="W4274" s="64" ph="1"/>
    </row>
    <row r="4275" spans="23:23" ht="26.4">
      <c r="W4275" s="64" ph="1"/>
    </row>
    <row r="4276" spans="23:23" ht="26.4">
      <c r="W4276" s="64" ph="1"/>
    </row>
    <row r="4277" spans="23:23" ht="26.4">
      <c r="W4277" s="64" ph="1"/>
    </row>
    <row r="4278" spans="23:23" ht="26.4">
      <c r="W4278" s="64" ph="1"/>
    </row>
    <row r="4279" spans="23:23" ht="26.4">
      <c r="W4279" s="64" ph="1"/>
    </row>
    <row r="4280" spans="23:23" ht="26.4">
      <c r="W4280" s="64" ph="1"/>
    </row>
    <row r="4281" spans="23:23" ht="26.4">
      <c r="W4281" s="64" ph="1"/>
    </row>
    <row r="4282" spans="23:23" ht="26.4">
      <c r="W4282" s="64" ph="1"/>
    </row>
    <row r="4283" spans="23:23" ht="26.4">
      <c r="W4283" s="64" ph="1"/>
    </row>
    <row r="4284" spans="23:23" ht="26.4">
      <c r="W4284" s="64" ph="1"/>
    </row>
    <row r="4285" spans="23:23" ht="26.4">
      <c r="W4285" s="64" ph="1"/>
    </row>
    <row r="4286" spans="23:23" ht="26.4">
      <c r="W4286" s="64" ph="1"/>
    </row>
    <row r="4287" spans="23:23" ht="26.4">
      <c r="W4287" s="64" ph="1"/>
    </row>
    <row r="4288" spans="23:23" ht="26.4">
      <c r="W4288" s="64" ph="1"/>
    </row>
    <row r="4289" spans="23:23" ht="26.4">
      <c r="W4289" s="64" ph="1"/>
    </row>
    <row r="4290" spans="23:23" ht="26.4">
      <c r="W4290" s="64" ph="1"/>
    </row>
    <row r="4291" spans="23:23" ht="26.4">
      <c r="W4291" s="64" ph="1"/>
    </row>
    <row r="4292" spans="23:23" ht="26.4">
      <c r="W4292" s="64" ph="1"/>
    </row>
    <row r="4293" spans="23:23" ht="26.4">
      <c r="W4293" s="64" ph="1"/>
    </row>
    <row r="4294" spans="23:23" ht="26.4">
      <c r="W4294" s="64" ph="1"/>
    </row>
    <row r="4295" spans="23:23" ht="26.4">
      <c r="W4295" s="64" ph="1"/>
    </row>
    <row r="4296" spans="23:23" ht="26.4">
      <c r="W4296" s="64" ph="1"/>
    </row>
    <row r="4297" spans="23:23" ht="26.4">
      <c r="W4297" s="64" ph="1"/>
    </row>
    <row r="4298" spans="23:23" ht="26.4">
      <c r="W4298" s="64" ph="1"/>
    </row>
    <row r="4299" spans="23:23" ht="26.4">
      <c r="W4299" s="64" ph="1"/>
    </row>
    <row r="4300" spans="23:23" ht="26.4">
      <c r="W4300" s="64" ph="1"/>
    </row>
    <row r="4301" spans="23:23" ht="26.4">
      <c r="W4301" s="64" ph="1"/>
    </row>
    <row r="4302" spans="23:23" ht="26.4">
      <c r="W4302" s="64" ph="1"/>
    </row>
    <row r="4303" spans="23:23" ht="26.4">
      <c r="W4303" s="64" ph="1"/>
    </row>
    <row r="4304" spans="23:23" ht="26.4">
      <c r="W4304" s="64" ph="1"/>
    </row>
    <row r="4305" spans="23:23" ht="26.4">
      <c r="W4305" s="64" ph="1"/>
    </row>
    <row r="4306" spans="23:23" ht="26.4">
      <c r="W4306" s="64" ph="1"/>
    </row>
    <row r="4307" spans="23:23" ht="26.4">
      <c r="W4307" s="64" ph="1"/>
    </row>
    <row r="4308" spans="23:23" ht="26.4">
      <c r="W4308" s="64" ph="1"/>
    </row>
    <row r="4309" spans="23:23" ht="26.4">
      <c r="W4309" s="64" ph="1"/>
    </row>
    <row r="4310" spans="23:23" ht="26.4">
      <c r="W4310" s="64" ph="1"/>
    </row>
    <row r="4311" spans="23:23" ht="26.4">
      <c r="W4311" s="64" ph="1"/>
    </row>
    <row r="4312" spans="23:23" ht="26.4">
      <c r="W4312" s="64" ph="1"/>
    </row>
    <row r="4313" spans="23:23" ht="26.4">
      <c r="W4313" s="64" ph="1"/>
    </row>
    <row r="4314" spans="23:23" ht="26.4">
      <c r="W4314" s="64" ph="1"/>
    </row>
    <row r="4315" spans="23:23" ht="26.4">
      <c r="W4315" s="64" ph="1"/>
    </row>
    <row r="4316" spans="23:23" ht="26.4">
      <c r="W4316" s="64" ph="1"/>
    </row>
    <row r="4317" spans="23:23" ht="26.4">
      <c r="W4317" s="64" ph="1"/>
    </row>
    <row r="4318" spans="23:23" ht="26.4">
      <c r="W4318" s="64" ph="1"/>
    </row>
    <row r="4319" spans="23:23" ht="26.4">
      <c r="W4319" s="64" ph="1"/>
    </row>
    <row r="4320" spans="23:23" ht="26.4">
      <c r="W4320" s="64" ph="1"/>
    </row>
    <row r="4321" spans="23:23" ht="26.4">
      <c r="W4321" s="64" ph="1"/>
    </row>
    <row r="4322" spans="23:23" ht="26.4">
      <c r="W4322" s="64" ph="1"/>
    </row>
    <row r="4323" spans="23:23" ht="26.4">
      <c r="W4323" s="64" ph="1"/>
    </row>
    <row r="4324" spans="23:23" ht="26.4">
      <c r="W4324" s="64" ph="1"/>
    </row>
    <row r="4325" spans="23:23" ht="26.4">
      <c r="W4325" s="64" ph="1"/>
    </row>
    <row r="4326" spans="23:23" ht="26.4">
      <c r="W4326" s="64" ph="1"/>
    </row>
    <row r="4327" spans="23:23" ht="26.4">
      <c r="W4327" s="64" ph="1"/>
    </row>
    <row r="4328" spans="23:23" ht="26.4">
      <c r="W4328" s="64" ph="1"/>
    </row>
    <row r="4329" spans="23:23" ht="26.4">
      <c r="W4329" s="64" ph="1"/>
    </row>
    <row r="4330" spans="23:23" ht="26.4">
      <c r="W4330" s="64" ph="1"/>
    </row>
    <row r="4331" spans="23:23" ht="26.4">
      <c r="W4331" s="64" ph="1"/>
    </row>
    <row r="4332" spans="23:23" ht="26.4">
      <c r="W4332" s="64" ph="1"/>
    </row>
    <row r="4333" spans="23:23" ht="26.4">
      <c r="W4333" s="64" ph="1"/>
    </row>
    <row r="4334" spans="23:23" ht="26.4">
      <c r="W4334" s="64" ph="1"/>
    </row>
    <row r="4335" spans="23:23" ht="26.4">
      <c r="W4335" s="64" ph="1"/>
    </row>
    <row r="4336" spans="23:23" ht="26.4">
      <c r="W4336" s="64" ph="1"/>
    </row>
    <row r="4337" spans="23:23" ht="26.4">
      <c r="W4337" s="64" ph="1"/>
    </row>
    <row r="4338" spans="23:23" ht="26.4">
      <c r="W4338" s="64" ph="1"/>
    </row>
    <row r="4339" spans="23:23" ht="26.4">
      <c r="W4339" s="64" ph="1"/>
    </row>
    <row r="4340" spans="23:23" ht="26.4">
      <c r="W4340" s="64" ph="1"/>
    </row>
    <row r="4341" spans="23:23" ht="26.4">
      <c r="W4341" s="64" ph="1"/>
    </row>
    <row r="4342" spans="23:23" ht="26.4">
      <c r="W4342" s="64" ph="1"/>
    </row>
    <row r="4343" spans="23:23" ht="26.4">
      <c r="W4343" s="64" ph="1"/>
    </row>
    <row r="4344" spans="23:23" ht="26.4">
      <c r="W4344" s="64" ph="1"/>
    </row>
    <row r="4345" spans="23:23" ht="26.4">
      <c r="W4345" s="64" ph="1"/>
    </row>
    <row r="4346" spans="23:23" ht="26.4">
      <c r="W4346" s="64" ph="1"/>
    </row>
    <row r="4347" spans="23:23" ht="26.4">
      <c r="W4347" s="64" ph="1"/>
    </row>
    <row r="4348" spans="23:23" ht="26.4">
      <c r="W4348" s="64" ph="1"/>
    </row>
    <row r="4349" spans="23:23" ht="26.4">
      <c r="W4349" s="64" ph="1"/>
    </row>
    <row r="4350" spans="23:23" ht="26.4">
      <c r="W4350" s="64" ph="1"/>
    </row>
    <row r="4351" spans="23:23" ht="26.4">
      <c r="W4351" s="64" ph="1"/>
    </row>
    <row r="4352" spans="23:23" ht="26.4">
      <c r="W4352" s="64" ph="1"/>
    </row>
    <row r="4353" spans="23:23" ht="26.4">
      <c r="W4353" s="64" ph="1"/>
    </row>
    <row r="4354" spans="23:23" ht="26.4">
      <c r="W4354" s="64" ph="1"/>
    </row>
    <row r="4355" spans="23:23" ht="26.4">
      <c r="W4355" s="64" ph="1"/>
    </row>
    <row r="4356" spans="23:23" ht="26.4">
      <c r="W4356" s="64" ph="1"/>
    </row>
    <row r="4357" spans="23:23" ht="26.4">
      <c r="W4357" s="64" ph="1"/>
    </row>
    <row r="4358" spans="23:23" ht="26.4">
      <c r="W4358" s="64" ph="1"/>
    </row>
    <row r="4359" spans="23:23" ht="26.4">
      <c r="W4359" s="64" ph="1"/>
    </row>
    <row r="4360" spans="23:23" ht="26.4">
      <c r="W4360" s="64" ph="1"/>
    </row>
    <row r="4361" spans="23:23" ht="26.4">
      <c r="W4361" s="64" ph="1"/>
    </row>
    <row r="4362" spans="23:23" ht="26.4">
      <c r="W4362" s="64" ph="1"/>
    </row>
    <row r="4363" spans="23:23" ht="26.4">
      <c r="W4363" s="64" ph="1"/>
    </row>
    <row r="4364" spans="23:23" ht="26.4">
      <c r="W4364" s="64" ph="1"/>
    </row>
    <row r="4365" spans="23:23" ht="26.4">
      <c r="W4365" s="64" ph="1"/>
    </row>
    <row r="4366" spans="23:23" ht="26.4">
      <c r="W4366" s="64" ph="1"/>
    </row>
    <row r="4367" spans="23:23" ht="26.4">
      <c r="W4367" s="64" ph="1"/>
    </row>
    <row r="4368" spans="23:23" ht="26.4">
      <c r="W4368" s="64" ph="1"/>
    </row>
    <row r="4369" spans="23:23" ht="26.4">
      <c r="W4369" s="64" ph="1"/>
    </row>
    <row r="4370" spans="23:23" ht="26.4">
      <c r="W4370" s="64" ph="1"/>
    </row>
    <row r="4371" spans="23:23" ht="26.4">
      <c r="W4371" s="64" ph="1"/>
    </row>
    <row r="4372" spans="23:23" ht="26.4">
      <c r="W4372" s="64" ph="1"/>
    </row>
    <row r="4373" spans="23:23" ht="26.4">
      <c r="W4373" s="64" ph="1"/>
    </row>
    <row r="4374" spans="23:23" ht="26.4">
      <c r="W4374" s="64" ph="1"/>
    </row>
    <row r="4375" spans="23:23" ht="26.4">
      <c r="W4375" s="64" ph="1"/>
    </row>
    <row r="4376" spans="23:23" ht="26.4">
      <c r="W4376" s="64" ph="1"/>
    </row>
    <row r="4377" spans="23:23" ht="26.4">
      <c r="W4377" s="64" ph="1"/>
    </row>
    <row r="4378" spans="23:23" ht="26.4">
      <c r="W4378" s="64" ph="1"/>
    </row>
    <row r="4379" spans="23:23" ht="26.4">
      <c r="W4379" s="64" ph="1"/>
    </row>
    <row r="4380" spans="23:23" ht="26.4">
      <c r="W4380" s="64" ph="1"/>
    </row>
    <row r="4381" spans="23:23" ht="26.4">
      <c r="W4381" s="64" ph="1"/>
    </row>
    <row r="4382" spans="23:23" ht="26.4">
      <c r="W4382" s="64" ph="1"/>
    </row>
    <row r="4383" spans="23:23" ht="26.4">
      <c r="W4383" s="64" ph="1"/>
    </row>
    <row r="4384" spans="23:23" ht="26.4">
      <c r="W4384" s="64" ph="1"/>
    </row>
    <row r="4385" spans="23:23" ht="26.4">
      <c r="W4385" s="64" ph="1"/>
    </row>
    <row r="4386" spans="23:23" ht="26.4">
      <c r="W4386" s="64" ph="1"/>
    </row>
    <row r="4387" spans="23:23" ht="26.4">
      <c r="W4387" s="64" ph="1"/>
    </row>
    <row r="4388" spans="23:23" ht="26.4">
      <c r="W4388" s="64" ph="1"/>
    </row>
    <row r="4389" spans="23:23" ht="26.4">
      <c r="W4389" s="64" ph="1"/>
    </row>
    <row r="4390" spans="23:23" ht="26.4">
      <c r="W4390" s="64" ph="1"/>
    </row>
    <row r="4391" spans="23:23" ht="26.4">
      <c r="W4391" s="64" ph="1"/>
    </row>
    <row r="4392" spans="23:23" ht="26.4">
      <c r="W4392" s="64" ph="1"/>
    </row>
    <row r="4393" spans="23:23" ht="26.4">
      <c r="W4393" s="64" ph="1"/>
    </row>
    <row r="4394" spans="23:23" ht="26.4">
      <c r="W4394" s="64" ph="1"/>
    </row>
    <row r="4395" spans="23:23" ht="26.4">
      <c r="W4395" s="64" ph="1"/>
    </row>
    <row r="4396" spans="23:23" ht="26.4">
      <c r="W4396" s="64" ph="1"/>
    </row>
    <row r="4397" spans="23:23" ht="26.4">
      <c r="W4397" s="64" ph="1"/>
    </row>
    <row r="4398" spans="23:23" ht="26.4">
      <c r="W4398" s="64" ph="1"/>
    </row>
    <row r="4399" spans="23:23" ht="26.4">
      <c r="W4399" s="64" ph="1"/>
    </row>
    <row r="4400" spans="23:23" ht="26.4">
      <c r="W4400" s="64" ph="1"/>
    </row>
    <row r="4401" spans="23:23" ht="26.4">
      <c r="W4401" s="64" ph="1"/>
    </row>
    <row r="4402" spans="23:23" ht="26.4">
      <c r="W4402" s="64" ph="1"/>
    </row>
    <row r="4403" spans="23:23" ht="26.4">
      <c r="W4403" s="64" ph="1"/>
    </row>
    <row r="4404" spans="23:23" ht="26.4">
      <c r="W4404" s="64" ph="1"/>
    </row>
    <row r="4405" spans="23:23" ht="26.4">
      <c r="W4405" s="64" ph="1"/>
    </row>
    <row r="4406" spans="23:23" ht="26.4">
      <c r="W4406" s="64" ph="1"/>
    </row>
    <row r="4407" spans="23:23" ht="26.4">
      <c r="W4407" s="64" ph="1"/>
    </row>
    <row r="4408" spans="23:23" ht="26.4">
      <c r="W4408" s="64" ph="1"/>
    </row>
    <row r="4409" spans="23:23" ht="26.4">
      <c r="W4409" s="64" ph="1"/>
    </row>
    <row r="4410" spans="23:23" ht="26.4">
      <c r="W4410" s="64" ph="1"/>
    </row>
    <row r="4411" spans="23:23" ht="26.4">
      <c r="W4411" s="64" ph="1"/>
    </row>
    <row r="4412" spans="23:23" ht="26.4">
      <c r="W4412" s="64" ph="1"/>
    </row>
    <row r="4413" spans="23:23" ht="26.4">
      <c r="W4413" s="64" ph="1"/>
    </row>
    <row r="4414" spans="23:23" ht="26.4">
      <c r="W4414" s="64" ph="1"/>
    </row>
    <row r="4415" spans="23:23" ht="26.4">
      <c r="W4415" s="64" ph="1"/>
    </row>
    <row r="4416" spans="23:23" ht="26.4">
      <c r="W4416" s="64" ph="1"/>
    </row>
    <row r="4417" spans="23:23" ht="26.4">
      <c r="W4417" s="64" ph="1"/>
    </row>
    <row r="4418" spans="23:23" ht="26.4">
      <c r="W4418" s="64" ph="1"/>
    </row>
    <row r="4419" spans="23:23" ht="26.4">
      <c r="W4419" s="64" ph="1"/>
    </row>
    <row r="4420" spans="23:23" ht="26.4">
      <c r="W4420" s="64" ph="1"/>
    </row>
    <row r="4421" spans="23:23" ht="26.4">
      <c r="W4421" s="64" ph="1"/>
    </row>
    <row r="4422" spans="23:23" ht="26.4">
      <c r="W4422" s="64" ph="1"/>
    </row>
    <row r="4423" spans="23:23" ht="26.4">
      <c r="W4423" s="64" ph="1"/>
    </row>
    <row r="4424" spans="23:23" ht="26.4">
      <c r="W4424" s="64" ph="1"/>
    </row>
    <row r="4425" spans="23:23" ht="26.4">
      <c r="W4425" s="64" ph="1"/>
    </row>
    <row r="4426" spans="23:23" ht="26.4">
      <c r="W4426" s="64" ph="1"/>
    </row>
    <row r="4427" spans="23:23" ht="26.4">
      <c r="W4427" s="64" ph="1"/>
    </row>
    <row r="4428" spans="23:23" ht="26.4">
      <c r="W4428" s="64" ph="1"/>
    </row>
    <row r="4429" spans="23:23" ht="26.4">
      <c r="W4429" s="64" ph="1"/>
    </row>
    <row r="4430" spans="23:23" ht="26.4">
      <c r="W4430" s="64" ph="1"/>
    </row>
    <row r="4431" spans="23:23" ht="26.4">
      <c r="W4431" s="64" ph="1"/>
    </row>
    <row r="4432" spans="23:23" ht="26.4">
      <c r="W4432" s="64" ph="1"/>
    </row>
    <row r="4433" spans="23:23" ht="26.4">
      <c r="W4433" s="64" ph="1"/>
    </row>
    <row r="4434" spans="23:23" ht="26.4">
      <c r="W4434" s="64" ph="1"/>
    </row>
    <row r="4435" spans="23:23" ht="26.4">
      <c r="W4435" s="64" ph="1"/>
    </row>
    <row r="4436" spans="23:23" ht="26.4">
      <c r="W4436" s="64" ph="1"/>
    </row>
    <row r="4437" spans="23:23" ht="26.4">
      <c r="W4437" s="64" ph="1"/>
    </row>
    <row r="4438" spans="23:23" ht="26.4">
      <c r="W4438" s="64" ph="1"/>
    </row>
    <row r="4439" spans="23:23" ht="26.4">
      <c r="W4439" s="64" ph="1"/>
    </row>
    <row r="4440" spans="23:23" ht="26.4">
      <c r="W4440" s="64" ph="1"/>
    </row>
    <row r="4441" spans="23:23" ht="26.4">
      <c r="W4441" s="64" ph="1"/>
    </row>
    <row r="4442" spans="23:23" ht="26.4">
      <c r="W4442" s="64" ph="1"/>
    </row>
    <row r="4443" spans="23:23" ht="26.4">
      <c r="W4443" s="64" ph="1"/>
    </row>
    <row r="4444" spans="23:23" ht="26.4">
      <c r="W4444" s="64" ph="1"/>
    </row>
    <row r="4445" spans="23:23" ht="26.4">
      <c r="W4445" s="64" ph="1"/>
    </row>
    <row r="4446" spans="23:23" ht="26.4">
      <c r="W4446" s="64" ph="1"/>
    </row>
    <row r="4447" spans="23:23" ht="26.4">
      <c r="W4447" s="64" ph="1"/>
    </row>
    <row r="4448" spans="23:23" ht="26.4">
      <c r="W4448" s="64" ph="1"/>
    </row>
    <row r="4449" spans="23:23" ht="26.4">
      <c r="W4449" s="64" ph="1"/>
    </row>
    <row r="4450" spans="23:23" ht="26.4">
      <c r="W4450" s="64" ph="1"/>
    </row>
    <row r="4451" spans="23:23" ht="26.4">
      <c r="W4451" s="64" ph="1"/>
    </row>
    <row r="4452" spans="23:23" ht="26.4">
      <c r="W4452" s="64" ph="1"/>
    </row>
    <row r="4453" spans="23:23" ht="26.4">
      <c r="W4453" s="64" ph="1"/>
    </row>
    <row r="4454" spans="23:23" ht="26.4">
      <c r="W4454" s="64" ph="1"/>
    </row>
    <row r="4455" spans="23:23" ht="26.4">
      <c r="W4455" s="64" ph="1"/>
    </row>
    <row r="4456" spans="23:23" ht="26.4">
      <c r="W4456" s="64" ph="1"/>
    </row>
    <row r="4457" spans="23:23" ht="26.4">
      <c r="W4457" s="64" ph="1"/>
    </row>
    <row r="4458" spans="23:23" ht="26.4">
      <c r="W4458" s="64" ph="1"/>
    </row>
    <row r="4459" spans="23:23" ht="26.4">
      <c r="W4459" s="64" ph="1"/>
    </row>
    <row r="4460" spans="23:23" ht="26.4">
      <c r="W4460" s="64" ph="1"/>
    </row>
    <row r="4461" spans="23:23" ht="26.4">
      <c r="W4461" s="64" ph="1"/>
    </row>
    <row r="4462" spans="23:23" ht="26.4">
      <c r="W4462" s="64" ph="1"/>
    </row>
    <row r="4463" spans="23:23" ht="26.4">
      <c r="W4463" s="64" ph="1"/>
    </row>
    <row r="4464" spans="23:23" ht="26.4">
      <c r="W4464" s="64" ph="1"/>
    </row>
    <row r="4465" spans="23:23" ht="26.4">
      <c r="W4465" s="64" ph="1"/>
    </row>
    <row r="4466" spans="23:23" ht="26.4">
      <c r="W4466" s="64" ph="1"/>
    </row>
    <row r="4467" spans="23:23" ht="26.4">
      <c r="W4467" s="64" ph="1"/>
    </row>
    <row r="4468" spans="23:23" ht="26.4">
      <c r="W4468" s="64" ph="1"/>
    </row>
    <row r="4469" spans="23:23" ht="26.4">
      <c r="W4469" s="64" ph="1"/>
    </row>
    <row r="4470" spans="23:23" ht="26.4">
      <c r="W4470" s="64" ph="1"/>
    </row>
    <row r="4471" spans="23:23" ht="26.4">
      <c r="W4471" s="64" ph="1"/>
    </row>
    <row r="4472" spans="23:23" ht="26.4">
      <c r="W4472" s="64" ph="1"/>
    </row>
    <row r="4473" spans="23:23" ht="26.4">
      <c r="W4473" s="64" ph="1"/>
    </row>
    <row r="4474" spans="23:23" ht="26.4">
      <c r="W4474" s="64" ph="1"/>
    </row>
    <row r="4475" spans="23:23" ht="26.4">
      <c r="W4475" s="64" ph="1"/>
    </row>
    <row r="4476" spans="23:23" ht="26.4">
      <c r="W4476" s="64" ph="1"/>
    </row>
    <row r="4477" spans="23:23" ht="26.4">
      <c r="W4477" s="64" ph="1"/>
    </row>
    <row r="4478" spans="23:23" ht="26.4">
      <c r="W4478" s="64" ph="1"/>
    </row>
    <row r="4479" spans="23:23" ht="26.4">
      <c r="W4479" s="64" ph="1"/>
    </row>
    <row r="4480" spans="23:23" ht="26.4">
      <c r="W4480" s="64" ph="1"/>
    </row>
    <row r="4481" spans="23:23" ht="26.4">
      <c r="W4481" s="64" ph="1"/>
    </row>
    <row r="4482" spans="23:23" ht="26.4">
      <c r="W4482" s="64" ph="1"/>
    </row>
    <row r="4483" spans="23:23" ht="26.4">
      <c r="W4483" s="64" ph="1"/>
    </row>
    <row r="4484" spans="23:23" ht="26.4">
      <c r="W4484" s="64" ph="1"/>
    </row>
    <row r="4485" spans="23:23" ht="26.4">
      <c r="W4485" s="64" ph="1"/>
    </row>
    <row r="4486" spans="23:23" ht="26.4">
      <c r="W4486" s="64" ph="1"/>
    </row>
    <row r="4487" spans="23:23" ht="26.4">
      <c r="W4487" s="64" ph="1"/>
    </row>
    <row r="4488" spans="23:23" ht="26.4">
      <c r="W4488" s="64" ph="1"/>
    </row>
    <row r="4489" spans="23:23" ht="26.4">
      <c r="W4489" s="64" ph="1"/>
    </row>
    <row r="4490" spans="23:23" ht="26.4">
      <c r="W4490" s="64" ph="1"/>
    </row>
    <row r="4491" spans="23:23" ht="26.4">
      <c r="W4491" s="64" ph="1"/>
    </row>
    <row r="4492" spans="23:23" ht="26.4">
      <c r="W4492" s="64" ph="1"/>
    </row>
    <row r="4493" spans="23:23" ht="26.4">
      <c r="W4493" s="64" ph="1"/>
    </row>
    <row r="4494" spans="23:23" ht="26.4">
      <c r="W4494" s="64" ph="1"/>
    </row>
    <row r="4495" spans="23:23" ht="26.4">
      <c r="W4495" s="64" ph="1"/>
    </row>
    <row r="4496" spans="23:23" ht="26.4">
      <c r="W4496" s="64" ph="1"/>
    </row>
    <row r="4497" spans="23:23" ht="26.4">
      <c r="W4497" s="64" ph="1"/>
    </row>
    <row r="4498" spans="23:23" ht="26.4">
      <c r="W4498" s="64" ph="1"/>
    </row>
    <row r="4499" spans="23:23" ht="26.4">
      <c r="W4499" s="64" ph="1"/>
    </row>
    <row r="4500" spans="23:23" ht="26.4">
      <c r="W4500" s="64" ph="1"/>
    </row>
    <row r="4501" spans="23:23" ht="26.4">
      <c r="W4501" s="64" ph="1"/>
    </row>
    <row r="4502" spans="23:23" ht="26.4">
      <c r="W4502" s="64" ph="1"/>
    </row>
    <row r="4503" spans="23:23" ht="26.4">
      <c r="W4503" s="64" ph="1"/>
    </row>
    <row r="4504" spans="23:23" ht="26.4">
      <c r="W4504" s="64" ph="1"/>
    </row>
    <row r="4505" spans="23:23" ht="26.4">
      <c r="W4505" s="64" ph="1"/>
    </row>
    <row r="4506" spans="23:23" ht="26.4">
      <c r="W4506" s="64" ph="1"/>
    </row>
    <row r="4507" spans="23:23" ht="26.4">
      <c r="W4507" s="64" ph="1"/>
    </row>
    <row r="4508" spans="23:23" ht="26.4">
      <c r="W4508" s="64" ph="1"/>
    </row>
    <row r="4509" spans="23:23" ht="26.4">
      <c r="W4509" s="64" ph="1"/>
    </row>
    <row r="4510" spans="23:23" ht="26.4">
      <c r="W4510" s="64" ph="1"/>
    </row>
    <row r="4511" spans="23:23" ht="26.4">
      <c r="W4511" s="64" ph="1"/>
    </row>
    <row r="4512" spans="23:23" ht="26.4">
      <c r="W4512" s="64" ph="1"/>
    </row>
    <row r="4513" spans="23:23" ht="26.4">
      <c r="W4513" s="64" ph="1"/>
    </row>
    <row r="4514" spans="23:23" ht="26.4">
      <c r="W4514" s="64" ph="1"/>
    </row>
    <row r="4515" spans="23:23" ht="26.4">
      <c r="W4515" s="64" ph="1"/>
    </row>
    <row r="4516" spans="23:23" ht="26.4">
      <c r="W4516" s="64" ph="1"/>
    </row>
    <row r="4517" spans="23:23" ht="26.4">
      <c r="W4517" s="64" ph="1"/>
    </row>
    <row r="4518" spans="23:23" ht="26.4">
      <c r="W4518" s="64" ph="1"/>
    </row>
    <row r="4519" spans="23:23" ht="26.4">
      <c r="W4519" s="64" ph="1"/>
    </row>
    <row r="4520" spans="23:23" ht="26.4">
      <c r="W4520" s="64" ph="1"/>
    </row>
    <row r="4521" spans="23:23" ht="26.4">
      <c r="W4521" s="64" ph="1"/>
    </row>
    <row r="4522" spans="23:23" ht="26.4">
      <c r="W4522" s="64" ph="1"/>
    </row>
    <row r="4523" spans="23:23" ht="26.4">
      <c r="W4523" s="64" ph="1"/>
    </row>
    <row r="4524" spans="23:23" ht="26.4">
      <c r="W4524" s="64" ph="1"/>
    </row>
    <row r="4525" spans="23:23" ht="26.4">
      <c r="W4525" s="64" ph="1"/>
    </row>
    <row r="4526" spans="23:23" ht="26.4">
      <c r="W4526" s="64" ph="1"/>
    </row>
    <row r="4527" spans="23:23" ht="26.4">
      <c r="W4527" s="64" ph="1"/>
    </row>
    <row r="4528" spans="23:23" ht="26.4">
      <c r="W4528" s="64" ph="1"/>
    </row>
    <row r="4529" spans="23:23" ht="26.4">
      <c r="W4529" s="64" ph="1"/>
    </row>
    <row r="4530" spans="23:23" ht="26.4">
      <c r="W4530" s="64" ph="1"/>
    </row>
    <row r="4531" spans="23:23" ht="26.4">
      <c r="W4531" s="64" ph="1"/>
    </row>
    <row r="4532" spans="23:23" ht="26.4">
      <c r="W4532" s="64" ph="1"/>
    </row>
    <row r="4533" spans="23:23" ht="26.4">
      <c r="W4533" s="64" ph="1"/>
    </row>
    <row r="4534" spans="23:23" ht="26.4">
      <c r="W4534" s="64" ph="1"/>
    </row>
    <row r="4535" spans="23:23" ht="26.4">
      <c r="W4535" s="64" ph="1"/>
    </row>
    <row r="4536" spans="23:23" ht="26.4">
      <c r="W4536" s="64" ph="1"/>
    </row>
    <row r="4537" spans="23:23" ht="26.4">
      <c r="W4537" s="64" ph="1"/>
    </row>
    <row r="4538" spans="23:23" ht="26.4">
      <c r="W4538" s="64" ph="1"/>
    </row>
    <row r="4539" spans="23:23" ht="26.4">
      <c r="W4539" s="64" ph="1"/>
    </row>
    <row r="4540" spans="23:23" ht="26.4">
      <c r="W4540" s="64" ph="1"/>
    </row>
    <row r="4541" spans="23:23" ht="26.4">
      <c r="W4541" s="64" ph="1"/>
    </row>
    <row r="4542" spans="23:23" ht="26.4">
      <c r="W4542" s="64" ph="1"/>
    </row>
    <row r="4543" spans="23:23" ht="26.4">
      <c r="W4543" s="64" ph="1"/>
    </row>
    <row r="4544" spans="23:23" ht="26.4">
      <c r="W4544" s="64" ph="1"/>
    </row>
    <row r="4545" spans="23:23" ht="26.4">
      <c r="W4545" s="64" ph="1"/>
    </row>
    <row r="4546" spans="23:23" ht="26.4">
      <c r="W4546" s="64" ph="1"/>
    </row>
    <row r="4547" spans="23:23" ht="26.4">
      <c r="W4547" s="64" ph="1"/>
    </row>
    <row r="4548" spans="23:23" ht="26.4">
      <c r="W4548" s="64" ph="1"/>
    </row>
    <row r="4549" spans="23:23" ht="26.4">
      <c r="W4549" s="64" ph="1"/>
    </row>
    <row r="4550" spans="23:23" ht="26.4">
      <c r="W4550" s="64" ph="1"/>
    </row>
    <row r="4551" spans="23:23" ht="26.4">
      <c r="W4551" s="64" ph="1"/>
    </row>
    <row r="4552" spans="23:23" ht="26.4">
      <c r="W4552" s="64" ph="1"/>
    </row>
    <row r="4553" spans="23:23" ht="26.4">
      <c r="W4553" s="64" ph="1"/>
    </row>
    <row r="4554" spans="23:23" ht="26.4">
      <c r="W4554" s="64" ph="1"/>
    </row>
    <row r="4555" spans="23:23" ht="26.4">
      <c r="W4555" s="64" ph="1"/>
    </row>
    <row r="4556" spans="23:23" ht="26.4">
      <c r="W4556" s="64" ph="1"/>
    </row>
    <row r="4557" spans="23:23" ht="26.4">
      <c r="W4557" s="64" ph="1"/>
    </row>
    <row r="4558" spans="23:23" ht="26.4">
      <c r="W4558" s="64" ph="1"/>
    </row>
    <row r="4559" spans="23:23" ht="26.4">
      <c r="W4559" s="64" ph="1"/>
    </row>
    <row r="4560" spans="23:23" ht="26.4">
      <c r="W4560" s="64" ph="1"/>
    </row>
    <row r="4561" spans="23:23" ht="26.4">
      <c r="W4561" s="64" ph="1"/>
    </row>
    <row r="4562" spans="23:23" ht="26.4">
      <c r="W4562" s="64" ph="1"/>
    </row>
    <row r="4563" spans="23:23" ht="26.4">
      <c r="W4563" s="64" ph="1"/>
    </row>
    <row r="4564" spans="23:23" ht="26.4">
      <c r="W4564" s="64" ph="1"/>
    </row>
    <row r="4565" spans="23:23" ht="26.4">
      <c r="W4565" s="64" ph="1"/>
    </row>
    <row r="4566" spans="23:23" ht="26.4">
      <c r="W4566" s="64" ph="1"/>
    </row>
    <row r="4567" spans="23:23" ht="26.4">
      <c r="W4567" s="64" ph="1"/>
    </row>
    <row r="4568" spans="23:23" ht="26.4">
      <c r="W4568" s="64" ph="1"/>
    </row>
    <row r="4569" spans="23:23" ht="26.4">
      <c r="W4569" s="64" ph="1"/>
    </row>
    <row r="4570" spans="23:23" ht="26.4">
      <c r="W4570" s="64" ph="1"/>
    </row>
    <row r="4571" spans="23:23" ht="26.4">
      <c r="W4571" s="64" ph="1"/>
    </row>
    <row r="4572" spans="23:23" ht="26.4">
      <c r="W4572" s="64" ph="1"/>
    </row>
    <row r="4573" spans="23:23" ht="26.4">
      <c r="W4573" s="64" ph="1"/>
    </row>
    <row r="4574" spans="23:23" ht="26.4">
      <c r="W4574" s="64" ph="1"/>
    </row>
    <row r="4575" spans="23:23" ht="26.4">
      <c r="W4575" s="64" ph="1"/>
    </row>
    <row r="4576" spans="23:23" ht="26.4">
      <c r="W4576" s="64" ph="1"/>
    </row>
    <row r="4577" spans="23:23" ht="26.4">
      <c r="W4577" s="64" ph="1"/>
    </row>
    <row r="4578" spans="23:23" ht="26.4">
      <c r="W4578" s="64" ph="1"/>
    </row>
    <row r="4579" spans="23:23" ht="26.4">
      <c r="W4579" s="64" ph="1"/>
    </row>
    <row r="4580" spans="23:23" ht="26.4">
      <c r="W4580" s="64" ph="1"/>
    </row>
    <row r="4581" spans="23:23" ht="26.4">
      <c r="W4581" s="64" ph="1"/>
    </row>
    <row r="4582" spans="23:23" ht="26.4">
      <c r="W4582" s="64" ph="1"/>
    </row>
    <row r="4583" spans="23:23" ht="26.4">
      <c r="W4583" s="64" ph="1"/>
    </row>
    <row r="4584" spans="23:23" ht="26.4">
      <c r="W4584" s="64" ph="1"/>
    </row>
    <row r="4585" spans="23:23" ht="26.4">
      <c r="W4585" s="64" ph="1"/>
    </row>
    <row r="4586" spans="23:23" ht="26.4">
      <c r="W4586" s="64" ph="1"/>
    </row>
    <row r="4587" spans="23:23" ht="26.4">
      <c r="W4587" s="64" ph="1"/>
    </row>
    <row r="4588" spans="23:23" ht="26.4">
      <c r="W4588" s="64" ph="1"/>
    </row>
    <row r="4589" spans="23:23" ht="26.4">
      <c r="W4589" s="64" ph="1"/>
    </row>
    <row r="4590" spans="23:23" ht="26.4">
      <c r="W4590" s="64" ph="1"/>
    </row>
    <row r="4591" spans="23:23" ht="26.4">
      <c r="W4591" s="64" ph="1"/>
    </row>
    <row r="4592" spans="23:23" ht="26.4">
      <c r="W4592" s="64" ph="1"/>
    </row>
    <row r="4593" spans="23:23" ht="26.4">
      <c r="W4593" s="64" ph="1"/>
    </row>
    <row r="4594" spans="23:23" ht="26.4">
      <c r="W4594" s="64" ph="1"/>
    </row>
    <row r="4595" spans="23:23" ht="26.4">
      <c r="W4595" s="64" ph="1"/>
    </row>
    <row r="4596" spans="23:23" ht="26.4">
      <c r="W4596" s="64" ph="1"/>
    </row>
    <row r="4597" spans="23:23" ht="26.4">
      <c r="W4597" s="64" ph="1"/>
    </row>
    <row r="4598" spans="23:23" ht="26.4">
      <c r="W4598" s="64" ph="1"/>
    </row>
    <row r="4599" spans="23:23" ht="26.4">
      <c r="W4599" s="64" ph="1"/>
    </row>
    <row r="4600" spans="23:23" ht="26.4">
      <c r="W4600" s="64" ph="1"/>
    </row>
    <row r="4601" spans="23:23" ht="26.4">
      <c r="W4601" s="64" ph="1"/>
    </row>
    <row r="4602" spans="23:23" ht="26.4">
      <c r="W4602" s="64" ph="1"/>
    </row>
    <row r="4603" spans="23:23" ht="26.4">
      <c r="W4603" s="64" ph="1"/>
    </row>
    <row r="4604" spans="23:23" ht="26.4">
      <c r="W4604" s="64" ph="1"/>
    </row>
    <row r="4605" spans="23:23" ht="26.4">
      <c r="W4605" s="64" ph="1"/>
    </row>
    <row r="4606" spans="23:23" ht="26.4">
      <c r="W4606" s="64" ph="1"/>
    </row>
    <row r="4607" spans="23:23" ht="26.4">
      <c r="W4607" s="64" ph="1"/>
    </row>
    <row r="4608" spans="23:23" ht="26.4">
      <c r="W4608" s="64" ph="1"/>
    </row>
    <row r="4609" spans="23:23" ht="26.4">
      <c r="W4609" s="64" ph="1"/>
    </row>
    <row r="4610" spans="23:23" ht="26.4">
      <c r="W4610" s="64" ph="1"/>
    </row>
    <row r="4611" spans="23:23" ht="26.4">
      <c r="W4611" s="64" ph="1"/>
    </row>
    <row r="4612" spans="23:23" ht="26.4">
      <c r="W4612" s="64" ph="1"/>
    </row>
    <row r="4613" spans="23:23" ht="26.4">
      <c r="W4613" s="64" ph="1"/>
    </row>
    <row r="4614" spans="23:23" ht="26.4">
      <c r="W4614" s="64" ph="1"/>
    </row>
    <row r="4615" spans="23:23" ht="26.4">
      <c r="W4615" s="64" ph="1"/>
    </row>
    <row r="4616" spans="23:23" ht="26.4">
      <c r="W4616" s="64" ph="1"/>
    </row>
    <row r="4617" spans="23:23" ht="26.4">
      <c r="W4617" s="64" ph="1"/>
    </row>
    <row r="4618" spans="23:23" ht="26.4">
      <c r="W4618" s="64" ph="1"/>
    </row>
    <row r="4619" spans="23:23" ht="26.4">
      <c r="W4619" s="64" ph="1"/>
    </row>
    <row r="4620" spans="23:23" ht="26.4">
      <c r="W4620" s="64" ph="1"/>
    </row>
    <row r="4621" spans="23:23" ht="26.4">
      <c r="W4621" s="64" ph="1"/>
    </row>
    <row r="4622" spans="23:23" ht="26.4">
      <c r="W4622" s="64" ph="1"/>
    </row>
    <row r="4623" spans="23:23" ht="26.4">
      <c r="W4623" s="64" ph="1"/>
    </row>
    <row r="4624" spans="23:23" ht="26.4">
      <c r="W4624" s="64" ph="1"/>
    </row>
    <row r="4625" spans="23:23" ht="26.4">
      <c r="W4625" s="64" ph="1"/>
    </row>
    <row r="4626" spans="23:23" ht="26.4">
      <c r="W4626" s="64" ph="1"/>
    </row>
    <row r="4627" spans="23:23" ht="26.4">
      <c r="W4627" s="64" ph="1"/>
    </row>
    <row r="4628" spans="23:23" ht="26.4">
      <c r="W4628" s="64" ph="1"/>
    </row>
    <row r="4629" spans="23:23" ht="26.4">
      <c r="W4629" s="64" ph="1"/>
    </row>
    <row r="4630" spans="23:23" ht="26.4">
      <c r="W4630" s="64" ph="1"/>
    </row>
    <row r="4631" spans="23:23" ht="26.4">
      <c r="W4631" s="64" ph="1"/>
    </row>
    <row r="4632" spans="23:23" ht="26.4">
      <c r="W4632" s="64" ph="1"/>
    </row>
    <row r="4633" spans="23:23" ht="26.4">
      <c r="W4633" s="64" ph="1"/>
    </row>
    <row r="4634" spans="23:23" ht="26.4">
      <c r="W4634" s="64" ph="1"/>
    </row>
    <row r="4635" spans="23:23" ht="26.4">
      <c r="W4635" s="64" ph="1"/>
    </row>
    <row r="4636" spans="23:23" ht="26.4">
      <c r="W4636" s="64" ph="1"/>
    </row>
    <row r="4637" spans="23:23" ht="26.4">
      <c r="W4637" s="64" ph="1"/>
    </row>
    <row r="4638" spans="23:23" ht="26.4">
      <c r="W4638" s="64" ph="1"/>
    </row>
    <row r="4639" spans="23:23" ht="26.4">
      <c r="W4639" s="64" ph="1"/>
    </row>
    <row r="4640" spans="23:23" ht="26.4">
      <c r="W4640" s="64" ph="1"/>
    </row>
    <row r="4641" spans="23:23" ht="26.4">
      <c r="W4641" s="64" ph="1"/>
    </row>
    <row r="4642" spans="23:23" ht="26.4">
      <c r="W4642" s="64" ph="1"/>
    </row>
    <row r="4643" spans="23:23" ht="26.4">
      <c r="W4643" s="64" ph="1"/>
    </row>
    <row r="4644" spans="23:23" ht="26.4">
      <c r="W4644" s="64" ph="1"/>
    </row>
    <row r="4645" spans="23:23" ht="26.4">
      <c r="W4645" s="64" ph="1"/>
    </row>
    <row r="4646" spans="23:23" ht="26.4">
      <c r="W4646" s="64" ph="1"/>
    </row>
    <row r="4647" spans="23:23" ht="26.4">
      <c r="W4647" s="64" ph="1"/>
    </row>
    <row r="4648" spans="23:23" ht="26.4">
      <c r="W4648" s="64" ph="1"/>
    </row>
    <row r="4649" spans="23:23" ht="26.4">
      <c r="W4649" s="64" ph="1"/>
    </row>
    <row r="4650" spans="23:23" ht="26.4">
      <c r="W4650" s="64" ph="1"/>
    </row>
    <row r="4651" spans="23:23" ht="26.4">
      <c r="W4651" s="64" ph="1"/>
    </row>
    <row r="4652" spans="23:23" ht="26.4">
      <c r="W4652" s="64" ph="1"/>
    </row>
    <row r="4653" spans="23:23" ht="26.4">
      <c r="W4653" s="64" ph="1"/>
    </row>
    <row r="4654" spans="23:23" ht="26.4">
      <c r="W4654" s="64" ph="1"/>
    </row>
    <row r="4655" spans="23:23" ht="26.4">
      <c r="W4655" s="64" ph="1"/>
    </row>
    <row r="4656" spans="23:23" ht="26.4">
      <c r="W4656" s="64" ph="1"/>
    </row>
    <row r="4657" spans="23:23" ht="26.4">
      <c r="W4657" s="64" ph="1"/>
    </row>
    <row r="4658" spans="23:23" ht="26.4">
      <c r="W4658" s="64" ph="1"/>
    </row>
    <row r="4659" spans="23:23" ht="26.4">
      <c r="W4659" s="64" ph="1"/>
    </row>
    <row r="4660" spans="23:23" ht="26.4">
      <c r="W4660" s="64" ph="1"/>
    </row>
    <row r="4661" spans="23:23" ht="26.4">
      <c r="W4661" s="64" ph="1"/>
    </row>
    <row r="4662" spans="23:23" ht="26.4">
      <c r="W4662" s="64" ph="1"/>
    </row>
    <row r="4663" spans="23:23" ht="26.4">
      <c r="W4663" s="64" ph="1"/>
    </row>
    <row r="4664" spans="23:23" ht="26.4">
      <c r="W4664" s="64" ph="1"/>
    </row>
    <row r="4665" spans="23:23" ht="26.4">
      <c r="W4665" s="64" ph="1"/>
    </row>
    <row r="4666" spans="23:23" ht="26.4">
      <c r="W4666" s="64" ph="1"/>
    </row>
    <row r="4667" spans="23:23" ht="26.4">
      <c r="W4667" s="64" ph="1"/>
    </row>
    <row r="4668" spans="23:23" ht="26.4">
      <c r="W4668" s="64" ph="1"/>
    </row>
    <row r="4669" spans="23:23" ht="26.4">
      <c r="W4669" s="64" ph="1"/>
    </row>
    <row r="4670" spans="23:23" ht="26.4">
      <c r="W4670" s="64" ph="1"/>
    </row>
    <row r="4671" spans="23:23" ht="26.4">
      <c r="W4671" s="64" ph="1"/>
    </row>
    <row r="4672" spans="23:23" ht="26.4">
      <c r="W4672" s="64" ph="1"/>
    </row>
    <row r="4673" spans="23:23" ht="26.4">
      <c r="W4673" s="64" ph="1"/>
    </row>
    <row r="4674" spans="23:23" ht="26.4">
      <c r="W4674" s="64" ph="1"/>
    </row>
    <row r="4675" spans="23:23" ht="26.4">
      <c r="W4675" s="64" ph="1"/>
    </row>
    <row r="4676" spans="23:23" ht="26.4">
      <c r="W4676" s="64" ph="1"/>
    </row>
    <row r="4677" spans="23:23" ht="26.4">
      <c r="W4677" s="64" ph="1"/>
    </row>
    <row r="4678" spans="23:23" ht="26.4">
      <c r="W4678" s="64" ph="1"/>
    </row>
    <row r="4679" spans="23:23" ht="26.4">
      <c r="W4679" s="64" ph="1"/>
    </row>
    <row r="4680" spans="23:23" ht="26.4">
      <c r="W4680" s="64" ph="1"/>
    </row>
    <row r="4681" spans="23:23" ht="26.4">
      <c r="W4681" s="64" ph="1"/>
    </row>
    <row r="4682" spans="23:23" ht="26.4">
      <c r="W4682" s="64" ph="1"/>
    </row>
    <row r="4683" spans="23:23" ht="26.4">
      <c r="W4683" s="64" ph="1"/>
    </row>
    <row r="4684" spans="23:23" ht="26.4">
      <c r="W4684" s="64" ph="1"/>
    </row>
    <row r="4685" spans="23:23" ht="26.4">
      <c r="W4685" s="64" ph="1"/>
    </row>
    <row r="4686" spans="23:23" ht="26.4">
      <c r="W4686" s="64" ph="1"/>
    </row>
    <row r="4687" spans="23:23" ht="26.4">
      <c r="W4687" s="64" ph="1"/>
    </row>
    <row r="4688" spans="23:23" ht="26.4">
      <c r="W4688" s="64" ph="1"/>
    </row>
    <row r="4689" spans="23:23" ht="26.4">
      <c r="W4689" s="64" ph="1"/>
    </row>
    <row r="4690" spans="23:23" ht="26.4">
      <c r="W4690" s="64" ph="1"/>
    </row>
    <row r="4691" spans="23:23" ht="26.4">
      <c r="W4691" s="64" ph="1"/>
    </row>
    <row r="4692" spans="23:23" ht="26.4">
      <c r="W4692" s="64" ph="1"/>
    </row>
    <row r="4693" spans="23:23" ht="26.4">
      <c r="W4693" s="64" ph="1"/>
    </row>
    <row r="4694" spans="23:23" ht="26.4">
      <c r="W4694" s="64" ph="1"/>
    </row>
    <row r="4695" spans="23:23" ht="26.4">
      <c r="W4695" s="64" ph="1"/>
    </row>
    <row r="4696" spans="23:23" ht="26.4">
      <c r="W4696" s="64" ph="1"/>
    </row>
    <row r="4697" spans="23:23" ht="26.4">
      <c r="W4697" s="64" ph="1"/>
    </row>
    <row r="4698" spans="23:23" ht="26.4">
      <c r="W4698" s="64" ph="1"/>
    </row>
    <row r="4699" spans="23:23" ht="26.4">
      <c r="W4699" s="64" ph="1"/>
    </row>
    <row r="4700" spans="23:23" ht="26.4">
      <c r="W4700" s="64" ph="1"/>
    </row>
    <row r="4701" spans="23:23" ht="26.4">
      <c r="W4701" s="64" ph="1"/>
    </row>
    <row r="4702" spans="23:23" ht="26.4">
      <c r="W4702" s="64" ph="1"/>
    </row>
    <row r="4703" spans="23:23" ht="26.4">
      <c r="W4703" s="64" ph="1"/>
    </row>
    <row r="4704" spans="23:23" ht="26.4">
      <c r="W4704" s="64" ph="1"/>
    </row>
    <row r="4705" spans="23:23" ht="26.4">
      <c r="W4705" s="64" ph="1"/>
    </row>
    <row r="4706" spans="23:23" ht="26.4">
      <c r="W4706" s="64" ph="1"/>
    </row>
    <row r="4707" spans="23:23" ht="26.4">
      <c r="W4707" s="64" ph="1"/>
    </row>
    <row r="4708" spans="23:23" ht="26.4">
      <c r="W4708" s="64" ph="1"/>
    </row>
    <row r="4709" spans="23:23" ht="26.4">
      <c r="W4709" s="64" ph="1"/>
    </row>
    <row r="4710" spans="23:23" ht="26.4">
      <c r="W4710" s="64" ph="1"/>
    </row>
    <row r="4711" spans="23:23" ht="26.4">
      <c r="W4711" s="64" ph="1"/>
    </row>
    <row r="4712" spans="23:23" ht="26.4">
      <c r="W4712" s="64" ph="1"/>
    </row>
    <row r="4713" spans="23:23" ht="26.4">
      <c r="W4713" s="64" ph="1"/>
    </row>
    <row r="4714" spans="23:23" ht="26.4">
      <c r="W4714" s="64" ph="1"/>
    </row>
    <row r="4715" spans="23:23" ht="26.4">
      <c r="W4715" s="64" ph="1"/>
    </row>
    <row r="4716" spans="23:23" ht="26.4">
      <c r="W4716" s="64" ph="1"/>
    </row>
    <row r="4717" spans="23:23" ht="26.4">
      <c r="W4717" s="64" ph="1"/>
    </row>
    <row r="4718" spans="23:23" ht="26.4">
      <c r="W4718" s="64" ph="1"/>
    </row>
    <row r="4719" spans="23:23" ht="26.4">
      <c r="W4719" s="64" ph="1"/>
    </row>
    <row r="4720" spans="23:23" ht="26.4">
      <c r="W4720" s="64" ph="1"/>
    </row>
    <row r="4721" spans="23:23" ht="26.4">
      <c r="W4721" s="64" ph="1"/>
    </row>
    <row r="4722" spans="23:23" ht="26.4">
      <c r="W4722" s="64" ph="1"/>
    </row>
    <row r="4723" spans="23:23" ht="26.4">
      <c r="W4723" s="64" ph="1"/>
    </row>
    <row r="4724" spans="23:23" ht="26.4">
      <c r="W4724" s="64" ph="1"/>
    </row>
    <row r="4725" spans="23:23" ht="26.4">
      <c r="W4725" s="64" ph="1"/>
    </row>
    <row r="4726" spans="23:23" ht="26.4">
      <c r="W4726" s="64" ph="1"/>
    </row>
    <row r="4727" spans="23:23" ht="26.4">
      <c r="W4727" s="64" ph="1"/>
    </row>
    <row r="4728" spans="23:23" ht="26.4">
      <c r="W4728" s="64" ph="1"/>
    </row>
    <row r="4729" spans="23:23" ht="26.4">
      <c r="W4729" s="64" ph="1"/>
    </row>
    <row r="4730" spans="23:23" ht="26.4">
      <c r="W4730" s="64" ph="1"/>
    </row>
    <row r="4731" spans="23:23" ht="26.4">
      <c r="W4731" s="64" ph="1"/>
    </row>
    <row r="4732" spans="23:23" ht="26.4">
      <c r="W4732" s="64" ph="1"/>
    </row>
    <row r="4733" spans="23:23" ht="26.4">
      <c r="W4733" s="64" ph="1"/>
    </row>
    <row r="4734" spans="23:23" ht="26.4">
      <c r="W4734" s="64" ph="1"/>
    </row>
    <row r="4735" spans="23:23" ht="26.4">
      <c r="W4735" s="64" ph="1"/>
    </row>
    <row r="4736" spans="23:23" ht="26.4">
      <c r="W4736" s="64" ph="1"/>
    </row>
    <row r="4737" spans="23:23" ht="26.4">
      <c r="W4737" s="64" ph="1"/>
    </row>
    <row r="4738" spans="23:23" ht="26.4">
      <c r="W4738" s="64" ph="1"/>
    </row>
    <row r="4739" spans="23:23" ht="26.4">
      <c r="W4739" s="64" ph="1"/>
    </row>
    <row r="4740" spans="23:23" ht="26.4">
      <c r="W4740" s="64" ph="1"/>
    </row>
    <row r="4741" spans="23:23" ht="26.4">
      <c r="W4741" s="64" ph="1"/>
    </row>
    <row r="4742" spans="23:23" ht="26.4">
      <c r="W4742" s="64" ph="1"/>
    </row>
    <row r="4743" spans="23:23" ht="26.4">
      <c r="W4743" s="64" ph="1"/>
    </row>
    <row r="4744" spans="23:23" ht="26.4">
      <c r="W4744" s="64" ph="1"/>
    </row>
    <row r="4745" spans="23:23" ht="26.4">
      <c r="W4745" s="64" ph="1"/>
    </row>
    <row r="4746" spans="23:23" ht="26.4">
      <c r="W4746" s="64" ph="1"/>
    </row>
    <row r="4747" spans="23:23" ht="26.4">
      <c r="W4747" s="64" ph="1"/>
    </row>
    <row r="4748" spans="23:23" ht="26.4">
      <c r="W4748" s="64" ph="1"/>
    </row>
    <row r="4749" spans="23:23" ht="26.4">
      <c r="W4749" s="64" ph="1"/>
    </row>
    <row r="4750" spans="23:23" ht="26.4">
      <c r="W4750" s="64" ph="1"/>
    </row>
    <row r="4751" spans="23:23" ht="26.4">
      <c r="W4751" s="64" ph="1"/>
    </row>
    <row r="4752" spans="23:23" ht="26.4">
      <c r="W4752" s="64" ph="1"/>
    </row>
    <row r="4753" spans="23:23" ht="26.4">
      <c r="W4753" s="64" ph="1"/>
    </row>
    <row r="4754" spans="23:23" ht="26.4">
      <c r="W4754" s="64" ph="1"/>
    </row>
    <row r="4755" spans="23:23" ht="26.4">
      <c r="W4755" s="64" ph="1"/>
    </row>
    <row r="4756" spans="23:23" ht="26.4">
      <c r="W4756" s="64" ph="1"/>
    </row>
    <row r="4757" spans="23:23" ht="26.4">
      <c r="W4757" s="64" ph="1"/>
    </row>
    <row r="4758" spans="23:23" ht="26.4">
      <c r="W4758" s="64" ph="1"/>
    </row>
    <row r="4759" spans="23:23" ht="26.4">
      <c r="W4759" s="64" ph="1"/>
    </row>
    <row r="4760" spans="23:23" ht="26.4">
      <c r="W4760" s="64" ph="1"/>
    </row>
    <row r="4761" spans="23:23" ht="26.4">
      <c r="W4761" s="64" ph="1"/>
    </row>
    <row r="4762" spans="23:23" ht="26.4">
      <c r="W4762" s="64" ph="1"/>
    </row>
    <row r="4763" spans="23:23" ht="26.4">
      <c r="W4763" s="64" ph="1"/>
    </row>
    <row r="4764" spans="23:23" ht="26.4">
      <c r="W4764" s="64" ph="1"/>
    </row>
    <row r="4765" spans="23:23" ht="26.4">
      <c r="W4765" s="64" ph="1"/>
    </row>
    <row r="4766" spans="23:23" ht="26.4">
      <c r="W4766" s="64" ph="1"/>
    </row>
    <row r="4767" spans="23:23" ht="26.4">
      <c r="W4767" s="64" ph="1"/>
    </row>
    <row r="4768" spans="23:23" ht="26.4">
      <c r="W4768" s="64" ph="1"/>
    </row>
    <row r="4769" spans="23:23" ht="26.4">
      <c r="W4769" s="64" ph="1"/>
    </row>
    <row r="4770" spans="23:23" ht="26.4">
      <c r="W4770" s="64" ph="1"/>
    </row>
    <row r="4771" spans="23:23" ht="26.4">
      <c r="W4771" s="64" ph="1"/>
    </row>
    <row r="4772" spans="23:23" ht="26.4">
      <c r="W4772" s="64" ph="1"/>
    </row>
    <row r="4773" spans="23:23" ht="26.4">
      <c r="W4773" s="64" ph="1"/>
    </row>
    <row r="4774" spans="23:23" ht="26.4">
      <c r="W4774" s="64" ph="1"/>
    </row>
    <row r="4775" spans="23:23" ht="26.4">
      <c r="W4775" s="64" ph="1"/>
    </row>
    <row r="4776" spans="23:23" ht="26.4">
      <c r="W4776" s="64" ph="1"/>
    </row>
    <row r="4777" spans="23:23" ht="26.4">
      <c r="W4777" s="64" ph="1"/>
    </row>
    <row r="4778" spans="23:23" ht="26.4">
      <c r="W4778" s="64" ph="1"/>
    </row>
    <row r="4779" spans="23:23" ht="26.4">
      <c r="W4779" s="64" ph="1"/>
    </row>
    <row r="4780" spans="23:23" ht="26.4">
      <c r="W4780" s="64" ph="1"/>
    </row>
    <row r="4781" spans="23:23" ht="26.4">
      <c r="W4781" s="64" ph="1"/>
    </row>
    <row r="4782" spans="23:23" ht="26.4">
      <c r="W4782" s="64" ph="1"/>
    </row>
    <row r="4783" spans="23:23" ht="26.4">
      <c r="W4783" s="64" ph="1"/>
    </row>
    <row r="4784" spans="23:23" ht="26.4">
      <c r="W4784" s="64" ph="1"/>
    </row>
    <row r="4785" spans="23:23" ht="26.4">
      <c r="W4785" s="64" ph="1"/>
    </row>
    <row r="4786" spans="23:23" ht="26.4">
      <c r="W4786" s="64" ph="1"/>
    </row>
    <row r="4787" spans="23:23" ht="26.4">
      <c r="W4787" s="64" ph="1"/>
    </row>
    <row r="4788" spans="23:23" ht="26.4">
      <c r="W4788" s="64" ph="1"/>
    </row>
    <row r="4789" spans="23:23" ht="26.4">
      <c r="W4789" s="64" ph="1"/>
    </row>
    <row r="4790" spans="23:23" ht="26.4">
      <c r="W4790" s="64" ph="1"/>
    </row>
    <row r="4791" spans="23:23" ht="26.4">
      <c r="W4791" s="64" ph="1"/>
    </row>
    <row r="4792" spans="23:23" ht="26.4">
      <c r="W4792" s="64" ph="1"/>
    </row>
    <row r="4793" spans="23:23" ht="26.4">
      <c r="W4793" s="64" ph="1"/>
    </row>
    <row r="4794" spans="23:23" ht="26.4">
      <c r="W4794" s="64" ph="1"/>
    </row>
    <row r="4795" spans="23:23" ht="26.4">
      <c r="W4795" s="64" ph="1"/>
    </row>
    <row r="4796" spans="23:23" ht="26.4">
      <c r="W4796" s="64" ph="1"/>
    </row>
    <row r="4797" spans="23:23" ht="26.4">
      <c r="W4797" s="64" ph="1"/>
    </row>
    <row r="4798" spans="23:23" ht="26.4">
      <c r="W4798" s="64" ph="1"/>
    </row>
    <row r="4799" spans="23:23" ht="26.4">
      <c r="W4799" s="64" ph="1"/>
    </row>
    <row r="4800" spans="23:23" ht="26.4">
      <c r="W4800" s="64" ph="1"/>
    </row>
    <row r="4801" spans="23:23" ht="26.4">
      <c r="W4801" s="64" ph="1"/>
    </row>
    <row r="4802" spans="23:23" ht="26.4">
      <c r="W4802" s="64" ph="1"/>
    </row>
    <row r="4803" spans="23:23" ht="26.4">
      <c r="W4803" s="64" ph="1"/>
    </row>
    <row r="4804" spans="23:23" ht="26.4">
      <c r="W4804" s="64" ph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7030A0"/>
  </sheetPr>
  <dimension ref="A1:AV4791"/>
  <sheetViews>
    <sheetView workbookViewId="0">
      <selection activeCell="N35" sqref="N35"/>
    </sheetView>
  </sheetViews>
  <sheetFormatPr defaultColWidth="9.125" defaultRowHeight="16.2"/>
  <cols>
    <col min="1" max="1" width="5.75" style="135" customWidth="1"/>
    <col min="2" max="5" width="5.75" style="97" customWidth="1"/>
    <col min="6" max="6" width="8.75" style="66" customWidth="1"/>
    <col min="7" max="7" width="7.75" style="20" customWidth="1"/>
    <col min="8" max="8" width="5.75" style="13" customWidth="1"/>
    <col min="9" max="9" width="9.75" style="10" customWidth="1"/>
    <col min="10" max="10" width="6.75" style="32" customWidth="1"/>
    <col min="11" max="11" width="6.75" style="367" customWidth="1"/>
    <col min="12" max="12" width="6.75" style="77" customWidth="1"/>
    <col min="13" max="13" width="6.75" style="365" customWidth="1"/>
    <col min="14" max="14" width="7.75" style="367" customWidth="1"/>
    <col min="15" max="15" width="7.75" style="343" customWidth="1"/>
    <col min="16" max="16" width="5.75" style="166" customWidth="1"/>
    <col min="17" max="17" width="4.75" style="109" customWidth="1"/>
    <col min="18" max="19" width="4.75" style="51" customWidth="1"/>
    <col min="20" max="20" width="5.75" style="339" customWidth="1"/>
    <col min="21" max="21" width="2.75" style="329" customWidth="1"/>
    <col min="22" max="22" width="6.75" style="371" customWidth="1"/>
    <col min="23" max="23" width="7.75" style="64" customWidth="1"/>
    <col min="24" max="24" width="7.75" style="240" customWidth="1"/>
    <col min="25" max="25" width="9.75" style="285" customWidth="1"/>
    <col min="26" max="26" width="9.75" style="72" customWidth="1"/>
    <col min="27" max="27" width="9.75" style="61" customWidth="1"/>
    <col min="28" max="28" width="8.75" style="12" customWidth="1"/>
    <col min="29" max="29" width="6.75" style="104" customWidth="1"/>
    <col min="30" max="30" width="8.75" style="10" customWidth="1"/>
    <col min="31" max="31" width="11.75" style="89" customWidth="1"/>
    <col min="32" max="32" width="11.75" style="88" customWidth="1"/>
    <col min="33" max="33" width="3.75" style="82" customWidth="1"/>
    <col min="34" max="34" width="3.75" style="284" customWidth="1"/>
    <col min="35" max="35" width="2.75" style="129" customWidth="1"/>
    <col min="36" max="36" width="2.75" style="264" customWidth="1"/>
    <col min="37" max="37" width="7.75" style="252" customWidth="1"/>
    <col min="38" max="38" width="7.75" style="266" customWidth="1"/>
    <col min="39" max="40" width="7.75" style="284" customWidth="1"/>
    <col min="41" max="16384" width="9.125" style="284"/>
  </cols>
  <sheetData>
    <row r="1" spans="1:48">
      <c r="A1" s="135" t="s">
        <v>2552</v>
      </c>
      <c r="B1" s="96" t="s">
        <v>2331</v>
      </c>
      <c r="C1" s="96" t="s">
        <v>2332</v>
      </c>
      <c r="D1" s="96" t="s">
        <v>2333</v>
      </c>
      <c r="E1" s="96" t="s">
        <v>2334</v>
      </c>
      <c r="F1" s="9" t="s">
        <v>1709</v>
      </c>
      <c r="G1" s="27" t="s">
        <v>5626</v>
      </c>
      <c r="H1" s="56" t="s">
        <v>578</v>
      </c>
      <c r="I1" s="9" t="s">
        <v>1699</v>
      </c>
      <c r="J1" s="364" t="s">
        <v>2189</v>
      </c>
      <c r="K1" s="364" t="s">
        <v>1820</v>
      </c>
      <c r="L1" s="364" t="s">
        <v>515</v>
      </c>
      <c r="M1" s="364" t="s">
        <v>1699</v>
      </c>
      <c r="N1" s="364" t="s">
        <v>6633</v>
      </c>
      <c r="O1" s="343" t="s">
        <v>6634</v>
      </c>
      <c r="P1" s="83" t="s">
        <v>5279</v>
      </c>
      <c r="Q1" s="326" t="s">
        <v>5514</v>
      </c>
      <c r="R1" s="51" t="s">
        <v>6596</v>
      </c>
      <c r="S1" s="51" t="s">
        <v>6597</v>
      </c>
      <c r="T1" s="338" t="s">
        <v>5627</v>
      </c>
      <c r="U1" s="330" t="s">
        <v>6537</v>
      </c>
      <c r="V1" s="377" t="s">
        <v>6616</v>
      </c>
      <c r="W1" s="11" t="s">
        <v>127</v>
      </c>
      <c r="X1" s="71" t="s">
        <v>6626</v>
      </c>
      <c r="Y1" s="29" t="s">
        <v>6688</v>
      </c>
      <c r="Z1" s="18" t="s">
        <v>2113</v>
      </c>
      <c r="AA1" s="15" t="s">
        <v>8</v>
      </c>
      <c r="AB1" s="22" t="s">
        <v>4</v>
      </c>
      <c r="AC1" s="26" t="s">
        <v>211</v>
      </c>
      <c r="AD1" s="9" t="s">
        <v>1699</v>
      </c>
      <c r="AE1" s="56" t="s">
        <v>5568</v>
      </c>
      <c r="AF1" s="114" t="s">
        <v>5575</v>
      </c>
      <c r="AG1" s="33" t="s">
        <v>1827</v>
      </c>
      <c r="AH1" s="262" t="s">
        <v>6799</v>
      </c>
      <c r="AI1" s="284"/>
      <c r="AK1" s="9" t="s">
        <v>6666</v>
      </c>
      <c r="AL1" s="5" t="s">
        <v>6667</v>
      </c>
      <c r="AM1" s="51" t="s">
        <v>5339</v>
      </c>
      <c r="AN1" s="276" t="s">
        <v>6665</v>
      </c>
    </row>
    <row r="2" spans="1:48">
      <c r="B2" s="96"/>
      <c r="C2" s="96"/>
      <c r="D2" s="96"/>
      <c r="E2" s="96"/>
      <c r="F2" s="9"/>
      <c r="G2" s="27"/>
      <c r="H2" s="56"/>
      <c r="I2" s="9"/>
      <c r="J2" s="364"/>
      <c r="K2" s="364"/>
      <c r="L2" s="364"/>
      <c r="M2" s="364"/>
      <c r="N2" s="364"/>
      <c r="P2" s="83"/>
      <c r="Q2" s="326"/>
      <c r="T2" s="338"/>
      <c r="U2" s="330"/>
      <c r="V2" s="377"/>
      <c r="W2" s="11"/>
      <c r="X2" s="71"/>
      <c r="Y2" s="29"/>
      <c r="Z2" s="18"/>
      <c r="AA2" s="15"/>
      <c r="AB2" s="22"/>
      <c r="AC2" s="26"/>
      <c r="AD2" s="9"/>
      <c r="AE2" s="56"/>
      <c r="AF2" s="114"/>
      <c r="AG2" s="33"/>
      <c r="AH2" s="262"/>
      <c r="AI2" s="284"/>
      <c r="AK2" s="9"/>
      <c r="AL2" s="5"/>
      <c r="AM2" s="51"/>
      <c r="AN2" s="276"/>
    </row>
    <row r="3" spans="1:48">
      <c r="A3" s="135" t="s">
        <v>6668</v>
      </c>
      <c r="B3" s="85">
        <v>-13</v>
      </c>
      <c r="C3" s="85">
        <v>-11</v>
      </c>
      <c r="D3" s="84">
        <v>45</v>
      </c>
      <c r="E3" s="85">
        <v>-59</v>
      </c>
      <c r="F3" s="59">
        <v>20.05</v>
      </c>
      <c r="G3" s="84">
        <v>4735</v>
      </c>
      <c r="H3" s="5" t="s">
        <v>560</v>
      </c>
      <c r="I3" s="17" t="s">
        <v>1137</v>
      </c>
      <c r="J3" s="371">
        <v>22.11</v>
      </c>
      <c r="K3" s="77">
        <v>1.43</v>
      </c>
      <c r="L3" s="371">
        <v>9.89</v>
      </c>
      <c r="M3" s="77">
        <v>24.41</v>
      </c>
      <c r="N3" s="365">
        <f t="shared" ref="N3" si="0">K3+J3+L3+M3</f>
        <v>57.84</v>
      </c>
      <c r="O3" s="343">
        <f t="shared" ref="O3" si="1">J3+M3</f>
        <v>46.519999999999996</v>
      </c>
      <c r="P3" s="232">
        <v>4</v>
      </c>
      <c r="Q3" s="326">
        <v>1</v>
      </c>
      <c r="R3" s="31">
        <v>6</v>
      </c>
      <c r="S3" s="51">
        <v>9</v>
      </c>
      <c r="T3" s="339">
        <f t="shared" ref="T3" si="2">SUM(P3:S3)</f>
        <v>20</v>
      </c>
      <c r="U3" s="329" t="s">
        <v>6538</v>
      </c>
      <c r="V3" s="371">
        <v>1.46</v>
      </c>
      <c r="W3" s="69">
        <v>1.2</v>
      </c>
      <c r="X3" s="100">
        <v>13.17</v>
      </c>
      <c r="Y3" s="37" t="str">
        <f>RTD("money.excel",,"4735","Price")</f>
        <v>無資料</v>
      </c>
      <c r="Z3" s="69">
        <v>57.5</v>
      </c>
      <c r="AA3" s="16" t="e">
        <f t="shared" ref="AA3" si="3">Y3-Z3</f>
        <v>#VALUE!</v>
      </c>
      <c r="AB3" s="3" t="e">
        <f t="shared" ref="AB3" si="4">AA3/Z3</f>
        <v>#VALUE!</v>
      </c>
      <c r="AC3" s="177" t="s">
        <v>6869</v>
      </c>
      <c r="AD3" s="17" t="s">
        <v>1137</v>
      </c>
      <c r="AE3" s="89">
        <v>44554</v>
      </c>
      <c r="AG3" s="34">
        <f t="shared" ref="AG3" si="5">AF3-AE3</f>
        <v>-44554</v>
      </c>
      <c r="AH3" s="63" t="s">
        <v>3727</v>
      </c>
      <c r="AI3" s="131"/>
      <c r="AK3" s="66">
        <f t="shared" ref="AK3" si="6">AM3/(A3*10000)</f>
        <v>0</v>
      </c>
      <c r="AL3" s="174">
        <f t="shared" ref="AL3" si="7">AN3/(A3*10000)</f>
        <v>0</v>
      </c>
      <c r="AM3" s="346">
        <f>RTD("money.excel",,$G3,"PredictVolume")</f>
        <v>0</v>
      </c>
      <c r="AN3" s="272">
        <f>RTD("money.excel",,$G3,"CumulativeVolume")</f>
        <v>0</v>
      </c>
    </row>
    <row r="4" spans="1:48">
      <c r="A4" s="135" t="s">
        <v>6456</v>
      </c>
      <c r="B4" s="84">
        <v>116</v>
      </c>
      <c r="C4" s="84">
        <v>100</v>
      </c>
      <c r="D4" s="84">
        <v>0</v>
      </c>
      <c r="E4" s="84">
        <v>32</v>
      </c>
      <c r="F4" s="59">
        <v>13.23</v>
      </c>
      <c r="G4" s="85">
        <v>6761</v>
      </c>
      <c r="H4" s="9" t="s">
        <v>559</v>
      </c>
      <c r="I4" s="17" t="s">
        <v>6411</v>
      </c>
      <c r="J4" s="371">
        <v>45.93</v>
      </c>
      <c r="K4" s="77">
        <v>1.54</v>
      </c>
      <c r="M4" s="371">
        <v>39.71</v>
      </c>
      <c r="N4" s="365">
        <f t="shared" ref="N4:N5" si="8">J4+K4+L4+M4</f>
        <v>87.18</v>
      </c>
      <c r="O4" s="369">
        <f t="shared" ref="O4:O5" si="9">J4+M4</f>
        <v>85.64</v>
      </c>
      <c r="P4" s="195">
        <v>0</v>
      </c>
      <c r="Q4" s="326">
        <v>1</v>
      </c>
      <c r="R4" s="111">
        <v>0</v>
      </c>
      <c r="S4" s="51">
        <v>2</v>
      </c>
      <c r="T4" s="339">
        <f t="shared" ref="T4:T5" si="10">SUM(P4:S4)</f>
        <v>3</v>
      </c>
      <c r="W4" s="69">
        <v>3.2</v>
      </c>
      <c r="X4" s="100">
        <v>7.98</v>
      </c>
      <c r="Y4" s="37" t="str">
        <f>RTD("money.excel",,"6761","Price")</f>
        <v>無資料</v>
      </c>
      <c r="Z4" s="69">
        <v>153.5</v>
      </c>
      <c r="AA4" s="16" t="e">
        <f t="shared" ref="AA4:AA5" si="11">Y4-Z4</f>
        <v>#VALUE!</v>
      </c>
      <c r="AB4" s="3" t="e">
        <f t="shared" ref="AB4:AB5" si="12">AA4/Z4</f>
        <v>#VALUE!</v>
      </c>
      <c r="AC4" s="177" t="s">
        <v>6866</v>
      </c>
      <c r="AD4" s="17" t="s">
        <v>6411</v>
      </c>
      <c r="AE4" s="89">
        <v>44554</v>
      </c>
      <c r="AG4" s="34">
        <f t="shared" ref="AG4:AG5" si="13">AF4-AE4</f>
        <v>-44554</v>
      </c>
      <c r="AH4" s="63" t="s">
        <v>6412</v>
      </c>
      <c r="AI4" s="131"/>
      <c r="AK4" s="66">
        <f t="shared" ref="AK4:AK5" si="14">AM4/(A4*10000)</f>
        <v>0</v>
      </c>
      <c r="AL4" s="174">
        <f t="shared" ref="AL4:AL5" si="15">AN4/(A4*10000)</f>
        <v>0</v>
      </c>
      <c r="AM4" s="346">
        <f>RTD("money.excel",,$G4,"PredictVolume")</f>
        <v>0</v>
      </c>
      <c r="AN4" s="272">
        <f>RTD("money.excel",,$G4,"CumulativeVolume")</f>
        <v>0</v>
      </c>
    </row>
    <row r="5" spans="1:48">
      <c r="A5" s="135" t="s">
        <v>3176</v>
      </c>
      <c r="B5" s="84">
        <v>65</v>
      </c>
      <c r="C5" s="84">
        <v>138</v>
      </c>
      <c r="D5" s="85">
        <v>-32</v>
      </c>
      <c r="E5" s="84">
        <v>25</v>
      </c>
      <c r="F5" s="59">
        <v>12.42</v>
      </c>
      <c r="G5" s="84">
        <v>6640</v>
      </c>
      <c r="H5" s="212" t="s">
        <v>558</v>
      </c>
      <c r="I5" s="17" t="s">
        <v>1717</v>
      </c>
      <c r="J5" s="371">
        <v>67.78</v>
      </c>
      <c r="K5" s="371">
        <v>2.37</v>
      </c>
      <c r="L5" s="371"/>
      <c r="M5" s="77">
        <v>63.67</v>
      </c>
      <c r="N5" s="77">
        <f t="shared" si="8"/>
        <v>133.82</v>
      </c>
      <c r="O5" s="369">
        <f t="shared" si="9"/>
        <v>131.44999999999999</v>
      </c>
      <c r="P5" s="195">
        <v>6</v>
      </c>
      <c r="Q5" s="326" t="str">
        <f>IFERROR(VLOOKUP($G5,主力整理!$A$2:$G$2301,6,0),"0")</f>
        <v>0</v>
      </c>
      <c r="R5" s="111">
        <v>0</v>
      </c>
      <c r="S5" s="51">
        <v>8</v>
      </c>
      <c r="T5" s="339">
        <f t="shared" si="10"/>
        <v>14</v>
      </c>
      <c r="V5" s="371">
        <v>0</v>
      </c>
      <c r="W5" s="69">
        <v>3</v>
      </c>
      <c r="X5" s="59">
        <v>3.42</v>
      </c>
      <c r="Y5" s="37" t="str">
        <f>RTD("money.excel",,"6640","Price")</f>
        <v>無資料</v>
      </c>
      <c r="Z5" s="69">
        <v>102.5</v>
      </c>
      <c r="AA5" s="16" t="e">
        <f t="shared" si="11"/>
        <v>#VALUE!</v>
      </c>
      <c r="AB5" s="3" t="e">
        <f t="shared" si="12"/>
        <v>#VALUE!</v>
      </c>
      <c r="AC5" s="177" t="s">
        <v>6867</v>
      </c>
      <c r="AD5" s="17" t="s">
        <v>1717</v>
      </c>
      <c r="AE5" s="89">
        <v>44554</v>
      </c>
      <c r="AG5" s="34">
        <f t="shared" si="13"/>
        <v>-44554</v>
      </c>
      <c r="AH5" s="63" t="s">
        <v>3757</v>
      </c>
      <c r="AI5" s="131"/>
      <c r="AK5" s="66">
        <f t="shared" si="14"/>
        <v>0</v>
      </c>
      <c r="AL5" s="174">
        <f t="shared" si="15"/>
        <v>0</v>
      </c>
      <c r="AM5" s="346">
        <f>RTD("money.excel",,$G5,"PredictVolume")</f>
        <v>0</v>
      </c>
      <c r="AN5" s="272">
        <f>RTD("money.excel",,$G5,"CumulativeVolume")</f>
        <v>0</v>
      </c>
    </row>
    <row r="6" spans="1:48">
      <c r="A6" s="135" t="s">
        <v>6668</v>
      </c>
      <c r="B6" s="85">
        <v>-13</v>
      </c>
      <c r="C6" s="85">
        <v>-11</v>
      </c>
      <c r="D6" s="84">
        <v>45</v>
      </c>
      <c r="E6" s="85">
        <v>-59</v>
      </c>
      <c r="F6" s="59">
        <v>18.739999999999998</v>
      </c>
      <c r="G6" s="85">
        <v>4735</v>
      </c>
      <c r="H6" s="5" t="s">
        <v>560</v>
      </c>
      <c r="I6" s="17" t="s">
        <v>1137</v>
      </c>
      <c r="J6" s="371">
        <v>22.11</v>
      </c>
      <c r="K6" s="371">
        <v>1.2</v>
      </c>
      <c r="L6" s="371">
        <v>10.26</v>
      </c>
      <c r="M6" s="77">
        <v>24.41</v>
      </c>
      <c r="N6" s="365">
        <f t="shared" ref="N6:N7" si="16">J6+K6+L6+M6</f>
        <v>57.980000000000004</v>
      </c>
      <c r="O6" s="343">
        <f t="shared" ref="O6:O7" si="17">J6+M6</f>
        <v>46.519999999999996</v>
      </c>
      <c r="P6" s="195">
        <v>4</v>
      </c>
      <c r="Q6" s="326">
        <v>1</v>
      </c>
      <c r="R6" s="111">
        <v>6</v>
      </c>
      <c r="S6" s="51">
        <v>9</v>
      </c>
      <c r="T6" s="339">
        <f t="shared" ref="T6:T7" si="18">SUM(P6:S6)</f>
        <v>20</v>
      </c>
      <c r="U6" s="329" t="s">
        <v>6722</v>
      </c>
      <c r="V6" s="371">
        <v>1.49</v>
      </c>
      <c r="W6" s="69">
        <v>1.2</v>
      </c>
      <c r="X6" s="100">
        <v>13.16</v>
      </c>
      <c r="Y6" s="37" t="str">
        <f>RTD("money.excel",,"4735","Price")</f>
        <v>無資料</v>
      </c>
      <c r="Z6" s="69">
        <v>57</v>
      </c>
      <c r="AA6" s="16" t="e">
        <f t="shared" ref="AA6:AA7" si="19">Y6-Z6</f>
        <v>#VALUE!</v>
      </c>
      <c r="AB6" s="3" t="e">
        <f t="shared" ref="AB6:AB7" si="20">AA6/Z6</f>
        <v>#VALUE!</v>
      </c>
      <c r="AC6" s="177" t="s">
        <v>6730</v>
      </c>
      <c r="AD6" s="17" t="s">
        <v>1137</v>
      </c>
      <c r="AE6" s="89">
        <v>44547</v>
      </c>
      <c r="AG6" s="34">
        <f t="shared" ref="AG6:AG7" si="21">AF6-AE6</f>
        <v>-44547</v>
      </c>
      <c r="AH6" s="63" t="s">
        <v>3727</v>
      </c>
      <c r="AI6" s="131"/>
      <c r="AK6" s="66"/>
      <c r="AL6" s="174"/>
      <c r="AM6" s="346"/>
      <c r="AN6" s="272"/>
    </row>
    <row r="7" spans="1:48">
      <c r="A7" s="151" t="s">
        <v>4657</v>
      </c>
      <c r="B7" s="98">
        <v>8447</v>
      </c>
      <c r="C7" s="84">
        <v>101</v>
      </c>
      <c r="D7" s="84">
        <v>33</v>
      </c>
      <c r="E7" s="84">
        <v>27</v>
      </c>
      <c r="F7" s="7">
        <v>7.0000000000000007E-2</v>
      </c>
      <c r="G7" s="85">
        <v>5438</v>
      </c>
      <c r="H7" s="203" t="s">
        <v>1815</v>
      </c>
      <c r="I7" s="17" t="s">
        <v>3546</v>
      </c>
      <c r="J7" s="77">
        <v>78.709999999999994</v>
      </c>
      <c r="K7" s="371">
        <v>2.06</v>
      </c>
      <c r="L7" s="77">
        <v>3.13</v>
      </c>
      <c r="M7" s="77">
        <v>48.93</v>
      </c>
      <c r="N7" s="77">
        <f t="shared" si="16"/>
        <v>132.82999999999998</v>
      </c>
      <c r="O7" s="369">
        <f t="shared" si="17"/>
        <v>127.63999999999999</v>
      </c>
      <c r="P7" s="195">
        <v>0</v>
      </c>
      <c r="Q7" s="326">
        <v>20</v>
      </c>
      <c r="R7" s="111">
        <v>13</v>
      </c>
      <c r="S7" s="51">
        <v>11</v>
      </c>
      <c r="T7" s="339">
        <f t="shared" si="18"/>
        <v>44</v>
      </c>
      <c r="U7" s="329" t="s">
        <v>6722</v>
      </c>
      <c r="V7" s="77">
        <v>0.16</v>
      </c>
      <c r="W7" s="35">
        <v>0.1</v>
      </c>
      <c r="X7" s="59">
        <v>0.71</v>
      </c>
      <c r="Y7" s="37" t="str">
        <f>RTD("money.excel",,"5438","Price")</f>
        <v>無資料</v>
      </c>
      <c r="Z7" s="69">
        <v>16.25</v>
      </c>
      <c r="AA7" s="16" t="e">
        <f t="shared" si="19"/>
        <v>#VALUE!</v>
      </c>
      <c r="AB7" s="3" t="e">
        <f t="shared" si="20"/>
        <v>#VALUE!</v>
      </c>
      <c r="AC7" s="177" t="s">
        <v>6731</v>
      </c>
      <c r="AD7" s="17" t="s">
        <v>3546</v>
      </c>
      <c r="AE7" s="89">
        <v>44547</v>
      </c>
      <c r="AG7" s="34">
        <f t="shared" si="21"/>
        <v>-44547</v>
      </c>
      <c r="AH7" s="44" t="s">
        <v>3863</v>
      </c>
      <c r="AI7" s="284"/>
      <c r="AK7" s="66"/>
      <c r="AL7" s="174"/>
      <c r="AM7" s="346"/>
      <c r="AN7" s="272"/>
    </row>
    <row r="8" spans="1:48">
      <c r="A8" s="151" t="s">
        <v>2750</v>
      </c>
      <c r="B8" s="84">
        <v>6</v>
      </c>
      <c r="C8" s="84">
        <v>8</v>
      </c>
      <c r="D8" s="85">
        <v>-10</v>
      </c>
      <c r="E8" s="85">
        <v>-3</v>
      </c>
      <c r="F8" s="7">
        <v>1.84</v>
      </c>
      <c r="G8" s="85">
        <v>2945</v>
      </c>
      <c r="H8" s="5" t="s">
        <v>562</v>
      </c>
      <c r="I8" s="23" t="s">
        <v>6453</v>
      </c>
      <c r="J8" s="371">
        <v>82.79</v>
      </c>
      <c r="K8" s="371">
        <v>19.559999999999999</v>
      </c>
      <c r="L8" s="371">
        <v>0</v>
      </c>
      <c r="M8" s="371">
        <v>83.37</v>
      </c>
      <c r="N8" s="77">
        <f t="shared" ref="N8:N10" si="22">J8+K8+L8+M8</f>
        <v>185.72000000000003</v>
      </c>
      <c r="O8" s="369">
        <f t="shared" ref="O8:O10" si="23">J8+M8</f>
        <v>166.16000000000003</v>
      </c>
      <c r="P8" s="195">
        <v>0</v>
      </c>
      <c r="Q8" s="326" t="str">
        <f>IFERROR(VLOOKUP($G8,主力整理!$A$2:$G$2301,6,0),"0")</f>
        <v>0</v>
      </c>
      <c r="R8" s="111">
        <v>0</v>
      </c>
      <c r="S8" s="51">
        <v>0</v>
      </c>
      <c r="T8" s="339">
        <f>SUM(P8:S8)</f>
        <v>0</v>
      </c>
      <c r="W8" s="35">
        <v>2.73</v>
      </c>
      <c r="X8" s="59">
        <v>3.18</v>
      </c>
      <c r="Y8" s="37" t="str">
        <f>RTD("money.excel",,"2945","Price")</f>
        <v>無資料</v>
      </c>
      <c r="Z8" s="69">
        <v>71.5</v>
      </c>
      <c r="AA8" s="16" t="e">
        <f t="shared" ref="AA8:AA10" si="24">Y8-Z8</f>
        <v>#VALUE!</v>
      </c>
      <c r="AB8" s="3" t="e">
        <f t="shared" ref="AB8:AB10" si="25">AA8/Z8</f>
        <v>#VALUE!</v>
      </c>
      <c r="AC8" s="107" t="s">
        <v>6646</v>
      </c>
      <c r="AD8" s="23" t="s">
        <v>6453</v>
      </c>
      <c r="AE8" s="89">
        <v>44543</v>
      </c>
      <c r="AG8" s="34">
        <f t="shared" ref="AG8:AG10" si="26">AF8-AE8</f>
        <v>-44543</v>
      </c>
      <c r="AH8" s="44" t="s">
        <v>6454</v>
      </c>
      <c r="AI8" s="131"/>
      <c r="AK8" s="131"/>
      <c r="AL8" s="264"/>
    </row>
    <row r="9" spans="1:48">
      <c r="A9" s="135" t="s">
        <v>3176</v>
      </c>
      <c r="B9" s="84">
        <v>65</v>
      </c>
      <c r="C9" s="84">
        <v>138</v>
      </c>
      <c r="D9" s="85">
        <v>-32</v>
      </c>
      <c r="E9" s="85">
        <v>25</v>
      </c>
      <c r="F9" s="59">
        <v>12.42</v>
      </c>
      <c r="G9" s="84">
        <v>6640</v>
      </c>
      <c r="H9" s="212" t="s">
        <v>558</v>
      </c>
      <c r="I9" s="17" t="s">
        <v>1717</v>
      </c>
      <c r="J9" s="371">
        <v>67.78</v>
      </c>
      <c r="K9" s="371">
        <v>2.38</v>
      </c>
      <c r="L9" s="371">
        <v>0</v>
      </c>
      <c r="M9" s="77">
        <v>63.67</v>
      </c>
      <c r="N9" s="77">
        <f t="shared" si="22"/>
        <v>133.82999999999998</v>
      </c>
      <c r="O9" s="369">
        <f t="shared" si="23"/>
        <v>131.44999999999999</v>
      </c>
      <c r="P9" s="195">
        <v>6</v>
      </c>
      <c r="Q9" s="326" t="str">
        <f>IFERROR(VLOOKUP($G9,主力整理!$A$2:$G$2301,6,0),"0")</f>
        <v>0</v>
      </c>
      <c r="R9" s="111">
        <v>0</v>
      </c>
      <c r="S9" s="51">
        <v>0</v>
      </c>
      <c r="T9" s="339">
        <f t="shared" ref="T9:T10" si="27">SUM(P9:S9)</f>
        <v>6</v>
      </c>
      <c r="V9" s="371">
        <v>0</v>
      </c>
      <c r="W9" s="69">
        <v>3</v>
      </c>
      <c r="X9" s="59">
        <v>3.42</v>
      </c>
      <c r="Y9" s="37" t="str">
        <f>RTD("money.excel",,"6640","Price")</f>
        <v>無資料</v>
      </c>
      <c r="Z9" s="69">
        <v>101.5</v>
      </c>
      <c r="AA9" s="16" t="e">
        <f t="shared" si="24"/>
        <v>#VALUE!</v>
      </c>
      <c r="AB9" s="3" t="e">
        <f t="shared" si="25"/>
        <v>#VALUE!</v>
      </c>
      <c r="AC9" s="107" t="s">
        <v>6647</v>
      </c>
      <c r="AD9" s="17" t="s">
        <v>1717</v>
      </c>
      <c r="AE9" s="89">
        <v>44543</v>
      </c>
      <c r="AG9" s="34">
        <f t="shared" si="26"/>
        <v>-44543</v>
      </c>
      <c r="AH9" s="63" t="s">
        <v>3757</v>
      </c>
      <c r="AI9" s="131"/>
      <c r="AK9" s="131"/>
      <c r="AL9" s="264"/>
    </row>
    <row r="10" spans="1:48" ht="16.5" customHeight="1">
      <c r="A10" s="151" t="s">
        <v>6645</v>
      </c>
      <c r="B10" s="99">
        <v>-1442</v>
      </c>
      <c r="C10" s="99">
        <v>-1410</v>
      </c>
      <c r="D10" s="85">
        <v>-14</v>
      </c>
      <c r="E10" s="85">
        <v>-39</v>
      </c>
      <c r="F10" s="7">
        <v>-3.69</v>
      </c>
      <c r="G10" s="85">
        <v>2726</v>
      </c>
      <c r="H10" s="5" t="s">
        <v>552</v>
      </c>
      <c r="I10" s="17" t="s">
        <v>1582</v>
      </c>
      <c r="J10" s="371">
        <v>47.43</v>
      </c>
      <c r="K10" s="77">
        <v>37.840000000000003</v>
      </c>
      <c r="L10" s="77">
        <v>11.58</v>
      </c>
      <c r="M10" s="77">
        <v>35.67</v>
      </c>
      <c r="N10" s="77">
        <f t="shared" si="22"/>
        <v>132.52000000000001</v>
      </c>
      <c r="O10" s="369">
        <f t="shared" si="23"/>
        <v>83.1</v>
      </c>
      <c r="P10" s="195">
        <v>2</v>
      </c>
      <c r="Q10" s="326" t="str">
        <f>IFERROR(VLOOKUP($G10,主力整理!$A$2:$G$2301,6,0),"0")</f>
        <v>0</v>
      </c>
      <c r="R10" s="111">
        <v>4</v>
      </c>
      <c r="S10" s="51">
        <v>0</v>
      </c>
      <c r="T10" s="339">
        <f t="shared" si="27"/>
        <v>6</v>
      </c>
      <c r="U10" s="329" t="s">
        <v>6629</v>
      </c>
      <c r="V10" s="77">
        <v>0.15</v>
      </c>
      <c r="W10" s="35">
        <v>0.5</v>
      </c>
      <c r="X10" s="100">
        <v>0.15</v>
      </c>
      <c r="Y10" s="37" t="str">
        <f>RTD("money.excel",,"2726","Price")</f>
        <v>無資料</v>
      </c>
      <c r="Z10" s="69">
        <v>31.55</v>
      </c>
      <c r="AA10" s="16" t="e">
        <f t="shared" si="24"/>
        <v>#VALUE!</v>
      </c>
      <c r="AB10" s="3" t="e">
        <f t="shared" si="25"/>
        <v>#VALUE!</v>
      </c>
      <c r="AC10" s="107" t="s">
        <v>6649</v>
      </c>
      <c r="AD10" s="17" t="s">
        <v>1582</v>
      </c>
      <c r="AE10" s="89">
        <v>44543</v>
      </c>
      <c r="AG10" s="34">
        <f t="shared" si="26"/>
        <v>-44543</v>
      </c>
      <c r="AH10" s="44" t="s">
        <v>4214</v>
      </c>
      <c r="AI10" s="284"/>
      <c r="AK10" s="131"/>
      <c r="AL10" s="264"/>
    </row>
    <row r="11" spans="1:48">
      <c r="A11" s="151" t="s">
        <v>2533</v>
      </c>
      <c r="B11" s="85">
        <v>-42</v>
      </c>
      <c r="C11" s="85">
        <v>-51</v>
      </c>
      <c r="D11" s="84">
        <v>9</v>
      </c>
      <c r="E11" s="84">
        <v>1</v>
      </c>
      <c r="F11" s="7">
        <v>3.44</v>
      </c>
      <c r="G11" s="84">
        <v>6594</v>
      </c>
      <c r="H11" s="212" t="s">
        <v>558</v>
      </c>
      <c r="I11" s="17" t="s">
        <v>676</v>
      </c>
      <c r="J11" s="371">
        <v>48.54</v>
      </c>
      <c r="K11" s="371">
        <v>1.2</v>
      </c>
      <c r="L11" s="371">
        <v>0</v>
      </c>
      <c r="M11" s="77">
        <v>53.73</v>
      </c>
      <c r="N11" s="365">
        <f t="shared" ref="N11" si="28">J11+K11+L11+M11</f>
        <v>103.47</v>
      </c>
      <c r="O11" s="369">
        <f t="shared" ref="O11" si="29">J11+M11</f>
        <v>102.27</v>
      </c>
      <c r="P11" s="232">
        <v>0</v>
      </c>
      <c r="Q11" s="326" t="str">
        <f>IFERROR(VLOOKUP($G11,主力整理!$A$2:$G$2301,6,0),"0")</f>
        <v>0</v>
      </c>
      <c r="R11" s="111">
        <v>0</v>
      </c>
      <c r="S11" s="51">
        <v>0</v>
      </c>
      <c r="T11" s="339">
        <f t="shared" ref="T11" si="30">SUM(P11:S11)</f>
        <v>0</v>
      </c>
      <c r="W11" s="35">
        <v>1.6</v>
      </c>
      <c r="X11" s="100">
        <v>1.1499999999999999</v>
      </c>
      <c r="Y11" s="37" t="str">
        <f>RTD("money.excel",,"6594","Price")</f>
        <v>無資料</v>
      </c>
      <c r="Z11" s="69">
        <v>41</v>
      </c>
      <c r="AA11" s="16" t="e">
        <f t="shared" ref="AA11" si="31">Y11-Z11</f>
        <v>#VALUE!</v>
      </c>
      <c r="AB11" s="3" t="e">
        <f t="shared" ref="AB11" si="32">AA11/Z11</f>
        <v>#VALUE!</v>
      </c>
      <c r="AC11" s="107" t="s">
        <v>6650</v>
      </c>
      <c r="AD11" s="17" t="s">
        <v>676</v>
      </c>
      <c r="AE11" s="89">
        <v>44543</v>
      </c>
      <c r="AG11" s="34">
        <f t="shared" ref="AG11" si="33">AF11-AE11</f>
        <v>-44543</v>
      </c>
      <c r="AH11" s="44" t="s">
        <v>3756</v>
      </c>
      <c r="AI11" s="131"/>
      <c r="AK11" s="131"/>
      <c r="AL11" s="264"/>
    </row>
    <row r="12" spans="1:48">
      <c r="A12" s="151"/>
      <c r="B12" s="96"/>
      <c r="C12" s="96"/>
      <c r="D12" s="96"/>
      <c r="E12" s="96"/>
      <c r="F12" s="7"/>
      <c r="G12" s="84"/>
      <c r="H12" s="4"/>
      <c r="I12" s="23"/>
      <c r="J12" s="77"/>
      <c r="K12" s="77"/>
      <c r="N12" s="365"/>
      <c r="P12" s="195"/>
      <c r="Q12" s="326"/>
      <c r="R12" s="312"/>
      <c r="W12" s="69"/>
      <c r="X12" s="100"/>
      <c r="Y12" s="14"/>
      <c r="Z12" s="69"/>
      <c r="AA12" s="16"/>
      <c r="AB12" s="3"/>
      <c r="AC12" s="105"/>
      <c r="AD12" s="23"/>
      <c r="AG12" s="34"/>
      <c r="AH12" s="44"/>
      <c r="AI12" s="131"/>
    </row>
    <row r="13" spans="1:48">
      <c r="B13" s="182"/>
      <c r="C13" s="182"/>
      <c r="D13" s="182"/>
      <c r="E13" s="182"/>
      <c r="F13" s="183"/>
      <c r="G13" s="184"/>
      <c r="H13" s="186"/>
      <c r="I13" s="185"/>
      <c r="J13" s="366"/>
      <c r="K13" s="366"/>
      <c r="L13" s="372"/>
      <c r="M13" s="373"/>
      <c r="N13" s="366">
        <v>130</v>
      </c>
      <c r="O13" s="369">
        <v>80</v>
      </c>
      <c r="V13" s="371" t="s">
        <v>6623</v>
      </c>
      <c r="W13" s="183"/>
      <c r="X13" s="4" t="s">
        <v>2189</v>
      </c>
      <c r="Y13" s="4" t="s">
        <v>1820</v>
      </c>
      <c r="Z13" s="11" t="s">
        <v>515</v>
      </c>
      <c r="AA13" s="189"/>
      <c r="AB13" s="263" t="s">
        <v>6803</v>
      </c>
      <c r="AC13" s="263"/>
      <c r="AD13" s="324"/>
      <c r="AE13" s="331"/>
      <c r="AF13" s="332"/>
      <c r="AH13" s="263" t="s">
        <v>6635</v>
      </c>
      <c r="AI13" s="131"/>
      <c r="AO13" s="287"/>
      <c r="AP13" s="287"/>
      <c r="AQ13" s="287"/>
      <c r="AS13" s="287"/>
      <c r="AT13" s="287"/>
      <c r="AU13" s="287"/>
      <c r="AV13" s="287"/>
    </row>
    <row r="14" spans="1:48">
      <c r="A14" s="135" t="s">
        <v>2552</v>
      </c>
      <c r="B14" s="96" t="s">
        <v>2331</v>
      </c>
      <c r="C14" s="96" t="s">
        <v>2332</v>
      </c>
      <c r="D14" s="96" t="s">
        <v>2333</v>
      </c>
      <c r="E14" s="96" t="s">
        <v>2334</v>
      </c>
      <c r="F14" s="9" t="s">
        <v>1709</v>
      </c>
      <c r="G14" s="27" t="s">
        <v>5626</v>
      </c>
      <c r="H14" s="56" t="s">
        <v>578</v>
      </c>
      <c r="I14" s="9" t="s">
        <v>1699</v>
      </c>
      <c r="J14" s="364" t="s">
        <v>2189</v>
      </c>
      <c r="K14" s="364" t="s">
        <v>1820</v>
      </c>
      <c r="L14" s="364" t="s">
        <v>515</v>
      </c>
      <c r="M14" s="364" t="s">
        <v>1699</v>
      </c>
      <c r="N14" s="364" t="s">
        <v>6633</v>
      </c>
      <c r="O14" s="343" t="s">
        <v>6634</v>
      </c>
      <c r="P14" s="83" t="s">
        <v>5279</v>
      </c>
      <c r="Q14" s="326" t="s">
        <v>5514</v>
      </c>
      <c r="R14" s="51" t="s">
        <v>6596</v>
      </c>
      <c r="S14" s="51" t="s">
        <v>6597</v>
      </c>
      <c r="T14" s="338" t="s">
        <v>5627</v>
      </c>
      <c r="U14" s="330" t="s">
        <v>6537</v>
      </c>
      <c r="V14" s="377" t="s">
        <v>6616</v>
      </c>
      <c r="W14" s="11" t="s">
        <v>127</v>
      </c>
      <c r="X14" s="71" t="s">
        <v>6626</v>
      </c>
      <c r="Y14" s="29" t="s">
        <v>6688</v>
      </c>
      <c r="Z14" s="18" t="s">
        <v>2113</v>
      </c>
      <c r="AA14" s="15" t="s">
        <v>8</v>
      </c>
      <c r="AB14" s="22" t="s">
        <v>4</v>
      </c>
      <c r="AC14" s="26" t="s">
        <v>211</v>
      </c>
      <c r="AD14" s="9" t="s">
        <v>1699</v>
      </c>
      <c r="AE14" s="56" t="s">
        <v>5568</v>
      </c>
      <c r="AF14" s="114" t="s">
        <v>5575</v>
      </c>
      <c r="AG14" s="33" t="s">
        <v>1827</v>
      </c>
      <c r="AH14" s="262" t="s">
        <v>6799</v>
      </c>
      <c r="AI14" s="131"/>
      <c r="AK14" s="9" t="s">
        <v>6666</v>
      </c>
      <c r="AL14" s="5" t="s">
        <v>6667</v>
      </c>
      <c r="AM14" s="51" t="s">
        <v>5339</v>
      </c>
      <c r="AN14" s="276" t="s">
        <v>6665</v>
      </c>
    </row>
    <row r="15" spans="1:48">
      <c r="B15" s="96"/>
      <c r="C15" s="96"/>
      <c r="D15" s="96"/>
      <c r="E15" s="96"/>
      <c r="F15" s="9"/>
      <c r="G15" s="27"/>
      <c r="H15" s="56"/>
      <c r="I15" s="9"/>
      <c r="J15" s="364"/>
      <c r="K15" s="364"/>
      <c r="L15" s="364"/>
      <c r="M15" s="364"/>
      <c r="N15" s="364"/>
      <c r="P15" s="83"/>
      <c r="Q15" s="326"/>
      <c r="R15" s="312"/>
      <c r="T15" s="338"/>
      <c r="U15" s="330"/>
      <c r="V15" s="377"/>
      <c r="W15" s="11"/>
      <c r="X15" s="71"/>
      <c r="Y15" s="29"/>
      <c r="Z15" s="18"/>
      <c r="AA15" s="15"/>
      <c r="AB15" s="22"/>
      <c r="AC15" s="26"/>
      <c r="AD15" s="9"/>
      <c r="AE15" s="56"/>
      <c r="AF15" s="114"/>
      <c r="AG15" s="33"/>
      <c r="AH15" s="262"/>
      <c r="AI15" s="128"/>
    </row>
    <row r="16" spans="1:48">
      <c r="A16" s="151" t="s">
        <v>2534</v>
      </c>
      <c r="B16" s="84">
        <v>39</v>
      </c>
      <c r="C16" s="84">
        <v>54</v>
      </c>
      <c r="D16" s="85">
        <v>-7</v>
      </c>
      <c r="E16" s="84">
        <v>20</v>
      </c>
      <c r="F16" s="7">
        <v>6.5</v>
      </c>
      <c r="G16" s="84">
        <v>1617</v>
      </c>
      <c r="H16" s="9" t="s">
        <v>6384</v>
      </c>
      <c r="I16" s="23" t="s">
        <v>1570</v>
      </c>
      <c r="J16" s="77">
        <v>76.7</v>
      </c>
      <c r="K16" s="77">
        <v>21.41</v>
      </c>
      <c r="L16" s="77">
        <v>1.62</v>
      </c>
      <c r="M16" s="77">
        <v>50.48</v>
      </c>
      <c r="N16" s="77">
        <f>J16+K16+L16+M16</f>
        <v>150.21</v>
      </c>
      <c r="O16" s="369">
        <f>J16+M16</f>
        <v>127.18</v>
      </c>
      <c r="P16" s="195">
        <v>2</v>
      </c>
      <c r="Q16" s="326" t="str">
        <f>IFERROR(VLOOKUP($G16,主力整理!$A$2:$G$2301,6,0),"0")</f>
        <v>0</v>
      </c>
      <c r="R16" s="111">
        <v>0</v>
      </c>
      <c r="S16" s="51">
        <v>0</v>
      </c>
      <c r="T16" s="339">
        <f>SUM(P16:S16)</f>
        <v>2</v>
      </c>
      <c r="U16" s="329" t="s">
        <v>6630</v>
      </c>
      <c r="V16" s="371">
        <v>0.03</v>
      </c>
      <c r="W16" s="35">
        <v>0.6</v>
      </c>
      <c r="X16" s="59">
        <v>1.39</v>
      </c>
      <c r="Y16" s="37">
        <v>17.899999999999999</v>
      </c>
      <c r="Z16" s="69">
        <v>17.95</v>
      </c>
      <c r="AA16" s="16">
        <f>Y16-Z16</f>
        <v>-5.0000000000000711E-2</v>
      </c>
      <c r="AB16" s="80">
        <f>AA16/Z16</f>
        <v>-2.7855153203343017E-3</v>
      </c>
      <c r="AC16" s="107" t="s">
        <v>5348</v>
      </c>
      <c r="AD16" s="23" t="s">
        <v>1570</v>
      </c>
      <c r="AE16" s="89">
        <v>44543</v>
      </c>
      <c r="AF16" s="88">
        <v>44558</v>
      </c>
      <c r="AG16" s="34">
        <f>AF16-AE16</f>
        <v>15</v>
      </c>
      <c r="AH16" s="44" t="s">
        <v>4209</v>
      </c>
      <c r="AI16" s="131"/>
      <c r="AL16" s="265"/>
      <c r="AM16" s="287"/>
      <c r="AN16" s="287"/>
    </row>
    <row r="17" spans="1:44">
      <c r="A17" s="151" t="s">
        <v>6487</v>
      </c>
      <c r="B17" s="85">
        <v>-764</v>
      </c>
      <c r="C17" s="85">
        <v>-597</v>
      </c>
      <c r="D17" s="85">
        <v>-53</v>
      </c>
      <c r="E17" s="85">
        <v>-51</v>
      </c>
      <c r="F17" s="7">
        <v>-11.68</v>
      </c>
      <c r="G17" s="84">
        <v>6441</v>
      </c>
      <c r="H17" s="154" t="s">
        <v>1815</v>
      </c>
      <c r="I17" s="17" t="s">
        <v>904</v>
      </c>
      <c r="J17" s="77">
        <v>38.880000000000003</v>
      </c>
      <c r="K17" s="371">
        <v>1.0900000000000001</v>
      </c>
      <c r="L17" s="77">
        <v>27.88</v>
      </c>
      <c r="M17" s="77">
        <v>40.83</v>
      </c>
      <c r="N17" s="365">
        <f t="shared" ref="N17" si="34">J17+K17+L17+M17</f>
        <v>108.68</v>
      </c>
      <c r="O17" s="343">
        <f t="shared" ref="O17" si="35">J17+M17</f>
        <v>79.710000000000008</v>
      </c>
      <c r="P17" s="195">
        <v>4</v>
      </c>
      <c r="Q17" s="326">
        <v>1</v>
      </c>
      <c r="R17" s="111">
        <v>0</v>
      </c>
      <c r="S17" s="51">
        <v>5</v>
      </c>
      <c r="T17" s="339">
        <f t="shared" ref="T17" si="36">SUM(P17:S17)</f>
        <v>10</v>
      </c>
      <c r="U17" s="329" t="s">
        <v>6636</v>
      </c>
      <c r="V17" s="77">
        <v>3.31</v>
      </c>
      <c r="W17" s="35">
        <v>1</v>
      </c>
      <c r="X17" s="100">
        <v>-4.5</v>
      </c>
      <c r="Y17" s="37">
        <v>57.1</v>
      </c>
      <c r="Z17" s="69">
        <v>52</v>
      </c>
      <c r="AA17" s="16">
        <f t="shared" ref="AA17" si="37">Y17-Z17</f>
        <v>5.1000000000000014</v>
      </c>
      <c r="AB17" s="66">
        <f t="shared" ref="AB17" si="38">AA17/Z17</f>
        <v>9.8076923076923103E-2</v>
      </c>
      <c r="AC17" s="107" t="s">
        <v>6640</v>
      </c>
      <c r="AD17" s="17" t="s">
        <v>904</v>
      </c>
      <c r="AE17" s="89">
        <v>44543</v>
      </c>
      <c r="AF17" s="88">
        <v>44558</v>
      </c>
      <c r="AG17" s="34">
        <f t="shared" ref="AG17" si="39">AF17-AE17</f>
        <v>15</v>
      </c>
      <c r="AH17" s="44" t="s">
        <v>3867</v>
      </c>
      <c r="AI17" s="131"/>
    </row>
    <row r="18" spans="1:44">
      <c r="A18" s="135" t="s">
        <v>2502</v>
      </c>
      <c r="B18" s="98">
        <v>3079</v>
      </c>
      <c r="C18" s="98">
        <v>1960</v>
      </c>
      <c r="D18" s="84">
        <v>59</v>
      </c>
      <c r="E18" s="98">
        <v>2788</v>
      </c>
      <c r="F18" s="59">
        <v>23.5</v>
      </c>
      <c r="G18" s="85">
        <v>6806</v>
      </c>
      <c r="H18" s="5" t="s">
        <v>429</v>
      </c>
      <c r="I18" s="23" t="s">
        <v>6425</v>
      </c>
      <c r="J18" s="371">
        <v>65.989999999999995</v>
      </c>
      <c r="K18" s="77">
        <v>0.62</v>
      </c>
      <c r="L18" s="371"/>
      <c r="M18" s="371">
        <v>51.52</v>
      </c>
      <c r="N18" s="365">
        <f>J18+K18+L18+M18</f>
        <v>118.13</v>
      </c>
      <c r="O18" s="369">
        <f>J18+M18</f>
        <v>117.50999999999999</v>
      </c>
      <c r="P18" s="195">
        <v>0</v>
      </c>
      <c r="Q18" s="326" t="str">
        <f>IFERROR(VLOOKUP($G18,主力整理!$A$2:$G$2301,6,0),"0")</f>
        <v>0</v>
      </c>
      <c r="R18" s="111">
        <v>2</v>
      </c>
      <c r="S18" s="51">
        <v>4</v>
      </c>
      <c r="T18" s="339">
        <f>SUM(P18:S18)</f>
        <v>6</v>
      </c>
      <c r="W18" s="35">
        <v>1</v>
      </c>
      <c r="X18" s="59">
        <v>5.07</v>
      </c>
      <c r="Y18" s="37">
        <v>108</v>
      </c>
      <c r="Z18" s="69">
        <v>108</v>
      </c>
      <c r="AA18" s="16">
        <f>Y18-Z18</f>
        <v>0</v>
      </c>
      <c r="AB18" s="66">
        <f>AA18/Z18</f>
        <v>0</v>
      </c>
      <c r="AC18" s="177" t="s">
        <v>6732</v>
      </c>
      <c r="AD18" s="23" t="s">
        <v>6425</v>
      </c>
      <c r="AE18" s="89">
        <v>44547</v>
      </c>
      <c r="AF18" s="88">
        <v>44553</v>
      </c>
      <c r="AG18" s="34">
        <f>AF18-AE18</f>
        <v>6</v>
      </c>
      <c r="AH18" s="63" t="s">
        <v>6426</v>
      </c>
      <c r="AI18" s="131"/>
      <c r="AK18" s="131"/>
      <c r="AL18" s="264"/>
    </row>
    <row r="19" spans="1:44">
      <c r="A19" s="135" t="s">
        <v>2860</v>
      </c>
      <c r="B19" s="85">
        <v>-30</v>
      </c>
      <c r="C19" s="85">
        <v>-34</v>
      </c>
      <c r="D19" s="84">
        <v>7</v>
      </c>
      <c r="E19" s="84">
        <v>16</v>
      </c>
      <c r="F19" s="59">
        <v>13.78</v>
      </c>
      <c r="G19" s="84">
        <v>2640</v>
      </c>
      <c r="H19" s="9" t="s">
        <v>429</v>
      </c>
      <c r="I19" s="17" t="s">
        <v>265</v>
      </c>
      <c r="J19" s="371">
        <v>58.16</v>
      </c>
      <c r="K19" s="77">
        <v>4.04</v>
      </c>
      <c r="L19" s="371">
        <v>10.7</v>
      </c>
      <c r="M19" s="77">
        <v>30.18</v>
      </c>
      <c r="N19" s="365">
        <f t="shared" ref="N19" si="40">J19+K19+L19+M19</f>
        <v>103.07999999999998</v>
      </c>
      <c r="O19" s="369">
        <f t="shared" ref="O19" si="41">J19+M19</f>
        <v>88.34</v>
      </c>
      <c r="P19" s="195">
        <v>0</v>
      </c>
      <c r="Q19" s="326">
        <v>0</v>
      </c>
      <c r="R19" s="111">
        <v>0</v>
      </c>
      <c r="S19" s="51">
        <v>0</v>
      </c>
      <c r="T19" s="339">
        <f t="shared" ref="T19" si="42">SUM(P19:S19)</f>
        <v>0</v>
      </c>
      <c r="U19" s="329" t="s">
        <v>6539</v>
      </c>
      <c r="V19" s="77">
        <v>0.21</v>
      </c>
      <c r="W19" s="69">
        <v>4.4000000000000004</v>
      </c>
      <c r="X19" s="59">
        <v>4.0199999999999996</v>
      </c>
      <c r="Y19" s="14">
        <v>84.2</v>
      </c>
      <c r="Z19" s="69">
        <v>74.900000000000006</v>
      </c>
      <c r="AA19" s="16">
        <f t="shared" ref="AA19" si="43">Y19-Z19</f>
        <v>9.2999999999999972</v>
      </c>
      <c r="AB19" s="66">
        <f t="shared" ref="AB19" si="44">AA19/Z19</f>
        <v>0.12416555407209608</v>
      </c>
      <c r="AC19" s="107" t="s">
        <v>6614</v>
      </c>
      <c r="AD19" s="17" t="s">
        <v>265</v>
      </c>
      <c r="AE19" s="89">
        <v>44540</v>
      </c>
      <c r="AF19" s="88">
        <v>44552</v>
      </c>
      <c r="AG19" s="34">
        <f t="shared" ref="AG19" si="45">AF19-AE19</f>
        <v>12</v>
      </c>
      <c r="AH19" s="126" t="s">
        <v>3912</v>
      </c>
      <c r="AI19" s="131"/>
    </row>
    <row r="20" spans="1:44">
      <c r="A20" s="151" t="s">
        <v>6644</v>
      </c>
      <c r="B20" s="85">
        <v>-234</v>
      </c>
      <c r="C20" s="85">
        <v>-171</v>
      </c>
      <c r="D20" s="85">
        <v>-1</v>
      </c>
      <c r="E20" s="84">
        <v>9</v>
      </c>
      <c r="F20" s="7">
        <v>-6.52</v>
      </c>
      <c r="G20" s="84">
        <v>3058</v>
      </c>
      <c r="H20" s="9" t="s">
        <v>559</v>
      </c>
      <c r="I20" s="23" t="s">
        <v>707</v>
      </c>
      <c r="J20" s="371">
        <v>23</v>
      </c>
      <c r="K20" s="77">
        <v>1.91</v>
      </c>
      <c r="L20" s="371">
        <v>0</v>
      </c>
      <c r="M20" s="77">
        <v>8.17</v>
      </c>
      <c r="N20" s="365">
        <f>J20+K20+L20+M20</f>
        <v>33.08</v>
      </c>
      <c r="O20" s="343">
        <f>J20+M20</f>
        <v>31.17</v>
      </c>
      <c r="P20" s="195">
        <v>0</v>
      </c>
      <c r="Q20" s="326">
        <v>14</v>
      </c>
      <c r="R20" s="111">
        <v>5</v>
      </c>
      <c r="S20" s="51">
        <v>4</v>
      </c>
      <c r="T20" s="339">
        <f>SUM(P20:S20)</f>
        <v>23</v>
      </c>
      <c r="U20" s="329" t="s">
        <v>6629</v>
      </c>
      <c r="V20" s="371">
        <v>2.15</v>
      </c>
      <c r="W20" s="35">
        <v>0.15</v>
      </c>
      <c r="X20" s="100">
        <v>-1.85</v>
      </c>
      <c r="Y20" s="37">
        <v>16.399999999999999</v>
      </c>
      <c r="Z20" s="69">
        <v>16.100000000000001</v>
      </c>
      <c r="AA20" s="16">
        <f>Y20-Z20</f>
        <v>0.29999999999999716</v>
      </c>
      <c r="AB20" s="66">
        <f>AA20/Z20</f>
        <v>1.8633540372670631E-2</v>
      </c>
      <c r="AC20" s="107" t="s">
        <v>6648</v>
      </c>
      <c r="AD20" s="23" t="s">
        <v>707</v>
      </c>
      <c r="AE20" s="89">
        <v>44543</v>
      </c>
      <c r="AF20" s="88">
        <v>44547</v>
      </c>
      <c r="AG20" s="34">
        <f>AF20-AE20</f>
        <v>4</v>
      </c>
      <c r="AH20" s="44" t="s">
        <v>3675</v>
      </c>
      <c r="AI20" s="131"/>
    </row>
    <row r="21" spans="1:44">
      <c r="A21" s="151"/>
      <c r="B21" s="85"/>
      <c r="C21" s="85"/>
      <c r="D21" s="85"/>
      <c r="E21" s="85"/>
      <c r="F21" s="7"/>
      <c r="G21" s="85"/>
      <c r="H21" s="5"/>
      <c r="I21" s="17"/>
      <c r="J21" s="77"/>
      <c r="K21" s="371"/>
      <c r="L21" s="371"/>
      <c r="N21" s="365"/>
      <c r="P21" s="195"/>
      <c r="Q21" s="326"/>
      <c r="R21" s="312"/>
      <c r="W21" s="69"/>
      <c r="X21" s="59"/>
      <c r="Y21" s="37"/>
      <c r="Z21" s="69"/>
      <c r="AA21" s="16"/>
      <c r="AB21" s="66"/>
      <c r="AC21" s="105"/>
      <c r="AD21" s="17"/>
      <c r="AG21" s="34"/>
      <c r="AH21" s="44"/>
      <c r="AI21" s="284"/>
    </row>
    <row r="22" spans="1:44">
      <c r="A22" s="151"/>
      <c r="B22" s="84"/>
      <c r="C22" s="85"/>
      <c r="D22" s="85"/>
      <c r="E22" s="84"/>
      <c r="F22" s="7"/>
      <c r="G22" s="84"/>
      <c r="H22" s="216"/>
      <c r="I22" s="23"/>
      <c r="J22" s="77"/>
      <c r="K22" s="77"/>
      <c r="L22" s="371"/>
      <c r="N22" s="365"/>
      <c r="P22" s="195"/>
      <c r="Q22" s="326"/>
      <c r="R22" s="312"/>
      <c r="W22" s="69"/>
      <c r="X22" s="59"/>
      <c r="Y22" s="37"/>
      <c r="Z22" s="69"/>
      <c r="AA22" s="16"/>
      <c r="AB22" s="66"/>
      <c r="AC22" s="105"/>
      <c r="AD22" s="23"/>
      <c r="AG22" s="34"/>
      <c r="AH22" s="125"/>
      <c r="AI22" s="131"/>
      <c r="AO22" s="34"/>
      <c r="AP22" s="34"/>
      <c r="AQ22" s="34"/>
      <c r="AR22" s="34"/>
    </row>
    <row r="23" spans="1:44">
      <c r="B23" s="98"/>
      <c r="C23" s="98"/>
      <c r="D23" s="85"/>
      <c r="E23" s="85"/>
      <c r="F23" s="59"/>
      <c r="G23" s="84"/>
      <c r="H23" s="9"/>
      <c r="I23" s="17"/>
      <c r="J23" s="77"/>
      <c r="K23" s="371"/>
      <c r="N23" s="365"/>
      <c r="P23" s="195"/>
      <c r="Q23" s="326"/>
      <c r="R23" s="312"/>
      <c r="W23" s="35"/>
      <c r="X23" s="59"/>
      <c r="Y23" s="37"/>
      <c r="Z23" s="69"/>
      <c r="AA23" s="16"/>
      <c r="AB23" s="66"/>
      <c r="AC23" s="105"/>
      <c r="AD23" s="17"/>
      <c r="AG23" s="34"/>
      <c r="AH23" s="63"/>
      <c r="AI23" s="131"/>
    </row>
    <row r="24" spans="1:44">
      <c r="B24" s="85"/>
      <c r="C24" s="85"/>
      <c r="D24" s="85"/>
      <c r="E24" s="85"/>
      <c r="F24" s="59"/>
      <c r="G24" s="84"/>
      <c r="H24" s="9"/>
      <c r="I24" s="23"/>
      <c r="J24" s="77"/>
      <c r="K24" s="77"/>
      <c r="L24" s="371"/>
      <c r="N24" s="365"/>
      <c r="P24" s="195"/>
      <c r="Q24" s="326"/>
      <c r="R24" s="312"/>
      <c r="W24" s="35"/>
      <c r="X24" s="59"/>
      <c r="Y24" s="37"/>
      <c r="Z24" s="69"/>
      <c r="AA24" s="16"/>
      <c r="AB24" s="66"/>
      <c r="AC24" s="105"/>
      <c r="AD24" s="23"/>
      <c r="AE24" s="123"/>
      <c r="AG24" s="34"/>
      <c r="AH24" s="63"/>
      <c r="AI24" s="284"/>
    </row>
    <row r="25" spans="1:44">
      <c r="B25" s="85"/>
      <c r="C25" s="85"/>
      <c r="D25" s="84"/>
      <c r="E25" s="84"/>
      <c r="F25" s="59"/>
      <c r="G25" s="84"/>
      <c r="H25" s="5"/>
      <c r="I25" s="17"/>
      <c r="J25" s="77"/>
      <c r="K25" s="371"/>
      <c r="L25" s="371"/>
      <c r="N25" s="365"/>
      <c r="P25" s="195"/>
      <c r="Q25" s="326"/>
      <c r="R25" s="312"/>
      <c r="W25" s="69"/>
      <c r="X25" s="100"/>
      <c r="Y25" s="37"/>
      <c r="Z25" s="69"/>
      <c r="AA25" s="16"/>
      <c r="AB25" s="66"/>
      <c r="AC25" s="107"/>
      <c r="AD25" s="17"/>
      <c r="AG25" s="34"/>
      <c r="AH25" s="63"/>
      <c r="AI25" s="131"/>
    </row>
    <row r="26" spans="1:44">
      <c r="B26" s="84"/>
      <c r="C26" s="84"/>
      <c r="D26" s="85"/>
      <c r="E26" s="85"/>
      <c r="F26" s="59"/>
      <c r="G26" s="84"/>
      <c r="H26" s="5"/>
      <c r="I26" s="23"/>
      <c r="J26" s="77"/>
      <c r="K26" s="77"/>
      <c r="N26" s="365"/>
      <c r="P26" s="232"/>
      <c r="Q26" s="326"/>
      <c r="R26" s="312"/>
      <c r="W26" s="69"/>
      <c r="X26" s="100"/>
      <c r="Y26" s="37"/>
      <c r="Z26" s="69"/>
      <c r="AA26" s="16"/>
      <c r="AB26" s="66"/>
      <c r="AC26" s="105"/>
      <c r="AD26" s="23"/>
      <c r="AG26" s="34"/>
      <c r="AH26" s="63"/>
      <c r="AI26" s="131"/>
    </row>
    <row r="27" spans="1:44">
      <c r="B27" s="85"/>
      <c r="C27" s="85"/>
      <c r="D27" s="84"/>
      <c r="E27" s="85"/>
      <c r="F27" s="59"/>
      <c r="G27" s="84"/>
      <c r="H27" s="5"/>
      <c r="I27" s="17"/>
      <c r="J27" s="77"/>
      <c r="K27" s="77"/>
      <c r="N27" s="365"/>
      <c r="P27" s="195"/>
      <c r="Q27" s="326"/>
      <c r="R27" s="312"/>
      <c r="W27" s="46"/>
      <c r="X27" s="100"/>
      <c r="Y27" s="37"/>
      <c r="Z27" s="69"/>
      <c r="AA27" s="16"/>
      <c r="AB27" s="80"/>
      <c r="AC27" s="107"/>
      <c r="AD27" s="17"/>
      <c r="AG27" s="34"/>
      <c r="AH27" s="63"/>
      <c r="AI27" s="131"/>
    </row>
    <row r="28" spans="1:44">
      <c r="A28" s="151"/>
      <c r="B28" s="85"/>
      <c r="C28" s="84"/>
      <c r="D28" s="85"/>
      <c r="E28" s="85"/>
      <c r="F28" s="7"/>
      <c r="G28" s="85"/>
      <c r="H28" s="5"/>
      <c r="I28" s="23"/>
      <c r="J28" s="371"/>
      <c r="K28" s="371"/>
      <c r="L28" s="371"/>
      <c r="N28" s="365"/>
      <c r="P28" s="195"/>
      <c r="Q28" s="326"/>
      <c r="R28" s="312"/>
      <c r="W28" s="69"/>
      <c r="X28" s="59"/>
      <c r="Y28" s="37"/>
      <c r="Z28" s="69"/>
      <c r="AA28" s="16"/>
      <c r="AB28" s="66"/>
      <c r="AC28" s="105"/>
      <c r="AD28" s="23"/>
      <c r="AG28" s="34"/>
      <c r="AH28" s="44"/>
      <c r="AI28" s="131"/>
    </row>
    <row r="29" spans="1:44">
      <c r="B29" s="84"/>
      <c r="C29" s="84"/>
      <c r="D29" s="84"/>
      <c r="E29" s="84"/>
      <c r="F29" s="59"/>
      <c r="G29" s="84"/>
      <c r="H29" s="9"/>
      <c r="I29" s="23"/>
      <c r="J29" s="371"/>
      <c r="K29" s="371"/>
      <c r="L29" s="371"/>
      <c r="N29" s="365"/>
      <c r="P29" s="195"/>
      <c r="Q29" s="326"/>
      <c r="R29" s="312"/>
      <c r="W29" s="69"/>
      <c r="X29" s="100"/>
      <c r="Y29" s="37"/>
      <c r="Z29" s="69"/>
      <c r="AA29" s="16"/>
      <c r="AB29" s="66"/>
      <c r="AC29" s="105"/>
      <c r="AD29" s="23"/>
      <c r="AG29" s="34"/>
      <c r="AH29" s="63"/>
      <c r="AI29" s="131"/>
    </row>
    <row r="30" spans="1:44">
      <c r="A30" s="151"/>
      <c r="B30" s="84"/>
      <c r="C30" s="84"/>
      <c r="D30" s="85"/>
      <c r="E30" s="84"/>
      <c r="F30" s="7"/>
      <c r="G30" s="85"/>
      <c r="H30" s="19"/>
      <c r="I30" s="23"/>
      <c r="J30" s="371"/>
      <c r="K30" s="371"/>
      <c r="L30" s="371"/>
      <c r="N30" s="365"/>
      <c r="P30" s="195"/>
      <c r="Q30" s="326"/>
      <c r="R30" s="312"/>
      <c r="W30" s="35"/>
      <c r="X30" s="59"/>
      <c r="Y30" s="37"/>
      <c r="Z30" s="69"/>
      <c r="AA30" s="16"/>
      <c r="AB30" s="66"/>
      <c r="AC30" s="107"/>
      <c r="AD30" s="23"/>
      <c r="AG30" s="34"/>
      <c r="AH30" s="125"/>
      <c r="AI30" s="284"/>
    </row>
    <row r="31" spans="1:44">
      <c r="B31" s="84"/>
      <c r="C31" s="84"/>
      <c r="D31" s="85"/>
      <c r="E31" s="84"/>
      <c r="F31" s="59"/>
      <c r="G31" s="85"/>
      <c r="H31" s="4"/>
      <c r="I31" s="17"/>
      <c r="J31" s="371"/>
      <c r="K31" s="371"/>
      <c r="L31" s="371"/>
      <c r="N31" s="365"/>
      <c r="P31" s="195"/>
      <c r="Q31" s="326"/>
      <c r="R31" s="312"/>
      <c r="W31" s="69"/>
      <c r="X31" s="100"/>
      <c r="Y31" s="37"/>
      <c r="Z31" s="69"/>
      <c r="AA31" s="16"/>
      <c r="AB31" s="3"/>
      <c r="AC31" s="149"/>
      <c r="AD31" s="17"/>
      <c r="AG31" s="34"/>
      <c r="AH31" s="63"/>
    </row>
    <row r="32" spans="1:44">
      <c r="A32" s="151"/>
      <c r="B32" s="84"/>
      <c r="C32" s="84"/>
      <c r="D32" s="85"/>
      <c r="E32" s="84"/>
      <c r="F32" s="7"/>
      <c r="G32" s="85"/>
      <c r="H32" s="11"/>
      <c r="I32" s="17"/>
      <c r="J32" s="77"/>
      <c r="K32" s="371"/>
      <c r="L32" s="371"/>
      <c r="N32" s="365"/>
      <c r="P32" s="195"/>
      <c r="Q32" s="326"/>
      <c r="R32" s="312"/>
      <c r="W32" s="69"/>
      <c r="X32" s="59"/>
      <c r="Y32" s="37"/>
      <c r="Z32" s="69"/>
      <c r="AA32" s="16"/>
      <c r="AB32" s="3"/>
      <c r="AC32" s="149"/>
      <c r="AD32" s="17"/>
      <c r="AG32" s="34"/>
      <c r="AH32" s="44"/>
    </row>
    <row r="33" spans="1:44">
      <c r="A33" s="151"/>
      <c r="B33" s="85"/>
      <c r="C33" s="85"/>
      <c r="D33" s="85"/>
      <c r="E33" s="85"/>
      <c r="F33" s="7"/>
      <c r="G33" s="85"/>
      <c r="H33" s="4"/>
      <c r="I33" s="17"/>
      <c r="J33" s="371"/>
      <c r="K33" s="77"/>
      <c r="L33" s="371"/>
      <c r="N33" s="365"/>
      <c r="P33" s="195"/>
      <c r="Q33" s="326"/>
      <c r="R33" s="312"/>
      <c r="W33" s="35"/>
      <c r="X33" s="100"/>
      <c r="Y33" s="37"/>
      <c r="Z33" s="69"/>
      <c r="AA33" s="16"/>
      <c r="AB33" s="3"/>
      <c r="AC33" s="107"/>
      <c r="AD33" s="17"/>
      <c r="AG33" s="34"/>
      <c r="AH33" s="44"/>
      <c r="AI33" s="284"/>
    </row>
    <row r="34" spans="1:44">
      <c r="A34" s="151"/>
      <c r="B34" s="84"/>
      <c r="C34" s="84"/>
      <c r="D34" s="84"/>
      <c r="E34" s="84"/>
      <c r="F34" s="7"/>
      <c r="G34" s="85"/>
      <c r="H34" s="5"/>
      <c r="I34" s="23"/>
      <c r="J34" s="371"/>
      <c r="K34" s="371"/>
      <c r="L34" s="371"/>
      <c r="N34" s="365"/>
      <c r="P34" s="195"/>
      <c r="Q34" s="326"/>
      <c r="R34" s="312"/>
      <c r="W34" s="69"/>
      <c r="X34" s="100"/>
      <c r="Y34" s="37"/>
      <c r="Z34" s="69"/>
      <c r="AA34" s="16"/>
      <c r="AB34" s="66"/>
      <c r="AC34" s="105"/>
      <c r="AD34" s="23"/>
      <c r="AG34" s="34"/>
      <c r="AH34" s="125"/>
      <c r="AI34" s="131"/>
    </row>
    <row r="35" spans="1:44">
      <c r="A35" s="151"/>
      <c r="B35" s="84"/>
      <c r="C35" s="84"/>
      <c r="D35" s="84"/>
      <c r="E35" s="84"/>
      <c r="F35" s="7"/>
      <c r="G35" s="85"/>
      <c r="H35" s="268"/>
      <c r="I35" s="23"/>
      <c r="J35" s="371"/>
      <c r="K35" s="371"/>
      <c r="L35" s="371"/>
      <c r="N35" s="365"/>
      <c r="O35" s="376"/>
      <c r="P35" s="195"/>
      <c r="Q35" s="326"/>
      <c r="R35" s="312"/>
      <c r="W35" s="46"/>
      <c r="X35" s="100"/>
      <c r="Y35" s="37"/>
      <c r="Z35" s="69"/>
      <c r="AA35" s="16"/>
      <c r="AB35" s="66"/>
      <c r="AC35" s="105"/>
      <c r="AD35" s="23"/>
      <c r="AG35" s="34"/>
      <c r="AH35" s="125"/>
      <c r="AI35" s="131"/>
      <c r="AO35" s="34"/>
      <c r="AP35" s="34"/>
      <c r="AQ35" s="34"/>
      <c r="AR35" s="34"/>
    </row>
    <row r="36" spans="1:44">
      <c r="B36" s="96"/>
      <c r="C36" s="96"/>
      <c r="D36" s="96"/>
      <c r="E36" s="96"/>
      <c r="F36" s="9"/>
      <c r="G36" s="27"/>
      <c r="H36" s="56"/>
      <c r="I36" s="9"/>
      <c r="J36" s="364"/>
      <c r="K36" s="364"/>
      <c r="L36" s="364"/>
      <c r="M36" s="364"/>
      <c r="N36" s="364"/>
      <c r="P36" s="83"/>
      <c r="Q36" s="326"/>
      <c r="R36" s="312"/>
      <c r="T36" s="338"/>
      <c r="V36" s="377"/>
      <c r="W36" s="11"/>
      <c r="X36" s="71"/>
      <c r="Y36" s="29"/>
      <c r="Z36" s="18"/>
      <c r="AA36" s="15"/>
      <c r="AB36" s="22"/>
      <c r="AC36" s="26"/>
      <c r="AD36" s="9"/>
      <c r="AE36" s="56"/>
      <c r="AF36" s="114"/>
      <c r="AG36" s="33"/>
      <c r="AH36" s="44"/>
      <c r="AI36" s="131"/>
    </row>
    <row r="37" spans="1:44">
      <c r="B37" s="84"/>
      <c r="C37" s="84"/>
      <c r="D37" s="85"/>
      <c r="E37" s="84"/>
      <c r="F37" s="59"/>
      <c r="G37" s="85"/>
      <c r="H37" s="212"/>
      <c r="I37" s="23"/>
      <c r="J37" s="77"/>
      <c r="K37" s="77"/>
      <c r="L37" s="371"/>
      <c r="N37" s="365"/>
      <c r="P37" s="195"/>
      <c r="Q37" s="326"/>
      <c r="R37" s="312"/>
      <c r="W37" s="69"/>
      <c r="X37" s="59"/>
      <c r="Y37" s="14"/>
      <c r="Z37" s="69"/>
      <c r="AA37" s="16"/>
      <c r="AB37" s="66"/>
      <c r="AC37" s="105"/>
      <c r="AD37" s="23"/>
      <c r="AG37" s="34"/>
      <c r="AH37" s="63"/>
      <c r="AI37" s="131"/>
    </row>
    <row r="38" spans="1:44">
      <c r="B38" s="84"/>
      <c r="C38" s="84"/>
      <c r="D38" s="84"/>
      <c r="E38" s="85"/>
      <c r="F38" s="59"/>
      <c r="G38" s="58"/>
      <c r="H38" s="9"/>
      <c r="I38" s="17"/>
      <c r="J38" s="371"/>
      <c r="K38" s="371"/>
      <c r="N38" s="365"/>
      <c r="P38" s="232"/>
      <c r="W38" s="46"/>
      <c r="X38" s="100"/>
      <c r="Y38" s="37"/>
      <c r="Z38" s="69"/>
      <c r="AA38" s="16"/>
      <c r="AB38" s="66"/>
      <c r="AC38" s="107"/>
      <c r="AD38" s="17"/>
      <c r="AG38" s="34"/>
      <c r="AH38" s="63"/>
      <c r="AI38" s="131"/>
    </row>
    <row r="39" spans="1:44">
      <c r="AI39" s="284"/>
    </row>
    <row r="40" spans="1:44">
      <c r="AI40" s="131"/>
    </row>
    <row r="41" spans="1:44">
      <c r="AI41" s="131"/>
    </row>
    <row r="42" spans="1:44">
      <c r="AI42" s="131"/>
    </row>
    <row r="43" spans="1:44">
      <c r="AI43" s="131"/>
    </row>
    <row r="44" spans="1:44">
      <c r="AI44" s="284"/>
    </row>
    <row r="45" spans="1:44">
      <c r="AI45" s="131"/>
    </row>
    <row r="46" spans="1:44">
      <c r="AI46" s="131"/>
    </row>
    <row r="47" spans="1:44">
      <c r="AI47" s="131"/>
    </row>
    <row r="48" spans="1:44">
      <c r="AI48" s="284"/>
    </row>
    <row r="49" spans="35:35">
      <c r="AI49" s="131"/>
    </row>
    <row r="50" spans="35:35">
      <c r="AI50" s="131"/>
    </row>
    <row r="51" spans="35:35">
      <c r="AI51" s="131"/>
    </row>
    <row r="52" spans="35:35">
      <c r="AI52" s="131"/>
    </row>
    <row r="53" spans="35:35">
      <c r="AI53" s="131"/>
    </row>
    <row r="54" spans="35:35">
      <c r="AI54" s="284"/>
    </row>
    <row r="55" spans="35:35">
      <c r="AI55" s="284"/>
    </row>
    <row r="56" spans="35:35">
      <c r="AI56" s="131"/>
    </row>
    <row r="57" spans="35:35">
      <c r="AI57" s="131"/>
    </row>
    <row r="58" spans="35:35">
      <c r="AI58" s="131"/>
    </row>
    <row r="59" spans="35:35">
      <c r="AI59" s="131"/>
    </row>
    <row r="60" spans="35:35">
      <c r="AI60" s="131"/>
    </row>
    <row r="61" spans="35:35">
      <c r="AI61" s="131"/>
    </row>
    <row r="62" spans="35:35">
      <c r="AI62" s="131"/>
    </row>
    <row r="63" spans="35:35">
      <c r="AI63" s="131"/>
    </row>
    <row r="64" spans="35:35">
      <c r="AI64" s="131"/>
    </row>
    <row r="66" spans="35:35">
      <c r="AI66" s="131"/>
    </row>
    <row r="67" spans="35:35">
      <c r="AI67" s="131"/>
    </row>
    <row r="68" spans="35:35">
      <c r="AI68" s="131"/>
    </row>
    <row r="69" spans="35:35">
      <c r="AI69" s="284"/>
    </row>
    <row r="70" spans="35:35">
      <c r="AI70" s="131"/>
    </row>
    <row r="71" spans="35:35">
      <c r="AI71" s="284"/>
    </row>
    <row r="72" spans="35:35">
      <c r="AI72" s="131"/>
    </row>
    <row r="73" spans="35:35">
      <c r="AI73" s="284"/>
    </row>
    <row r="74" spans="35:35">
      <c r="AI74" s="131"/>
    </row>
    <row r="75" spans="35:35">
      <c r="AI75" s="131"/>
    </row>
    <row r="76" spans="35:35">
      <c r="AI76" s="131"/>
    </row>
    <row r="77" spans="35:35">
      <c r="AI77" s="131"/>
    </row>
    <row r="78" spans="35:35">
      <c r="AI78" s="131"/>
    </row>
    <row r="79" spans="35:35">
      <c r="AI79" s="131"/>
    </row>
    <row r="80" spans="35:35">
      <c r="AI80" s="131"/>
    </row>
    <row r="81" spans="35:35">
      <c r="AI81" s="131"/>
    </row>
    <row r="82" spans="35:35">
      <c r="AI82" s="131"/>
    </row>
    <row r="83" spans="35:35">
      <c r="AI83" s="284"/>
    </row>
    <row r="84" spans="35:35">
      <c r="AI84" s="131"/>
    </row>
    <row r="85" spans="35:35">
      <c r="AI85" s="131"/>
    </row>
    <row r="86" spans="35:35">
      <c r="AI86" s="131"/>
    </row>
    <row r="87" spans="35:35">
      <c r="AI87" s="131"/>
    </row>
    <row r="88" spans="35:35">
      <c r="AI88" s="131"/>
    </row>
    <row r="89" spans="35:35">
      <c r="AI89" s="284"/>
    </row>
    <row r="90" spans="35:35">
      <c r="AI90" s="131"/>
    </row>
    <row r="91" spans="35:35">
      <c r="AI91" s="131"/>
    </row>
    <row r="92" spans="35:35">
      <c r="AI92" s="284"/>
    </row>
    <row r="93" spans="35:35">
      <c r="AI93" s="131"/>
    </row>
    <row r="94" spans="35:35">
      <c r="AI94" s="131"/>
    </row>
    <row r="95" spans="35:35">
      <c r="AI95" s="131"/>
    </row>
    <row r="96" spans="35:35">
      <c r="AI96" s="131"/>
    </row>
    <row r="97" spans="35:35">
      <c r="AI97" s="131"/>
    </row>
    <row r="98" spans="35:35">
      <c r="AI98" s="131"/>
    </row>
    <row r="99" spans="35:35">
      <c r="AI99" s="131"/>
    </row>
    <row r="100" spans="35:35">
      <c r="AI100" s="131"/>
    </row>
    <row r="101" spans="35:35">
      <c r="AI101" s="131"/>
    </row>
    <row r="102" spans="35:35">
      <c r="AI102" s="131"/>
    </row>
    <row r="103" spans="35:35">
      <c r="AI103" s="131"/>
    </row>
    <row r="104" spans="35:35">
      <c r="AI104" s="131"/>
    </row>
    <row r="105" spans="35:35">
      <c r="AI105" s="131"/>
    </row>
    <row r="106" spans="35:35">
      <c r="AI106" s="131"/>
    </row>
    <row r="107" spans="35:35">
      <c r="AI107" s="131"/>
    </row>
    <row r="108" spans="35:35">
      <c r="AI108" s="131"/>
    </row>
    <row r="109" spans="35:35">
      <c r="AI109" s="131"/>
    </row>
    <row r="110" spans="35:35">
      <c r="AI110" s="131"/>
    </row>
    <row r="111" spans="35:35">
      <c r="AI111" s="131"/>
    </row>
    <row r="112" spans="35:35">
      <c r="AI112" s="131"/>
    </row>
    <row r="113" spans="35:35">
      <c r="AI113" s="131"/>
    </row>
    <row r="114" spans="35:35">
      <c r="AI114" s="131"/>
    </row>
    <row r="115" spans="35:35">
      <c r="AI115" s="131"/>
    </row>
    <row r="116" spans="35:35">
      <c r="AI116" s="131"/>
    </row>
    <row r="117" spans="35:35">
      <c r="AI117" s="131"/>
    </row>
    <row r="118" spans="35:35">
      <c r="AI118" s="131"/>
    </row>
    <row r="119" spans="35:35">
      <c r="AI119" s="131"/>
    </row>
    <row r="120" spans="35:35">
      <c r="AI120" s="131"/>
    </row>
    <row r="121" spans="35:35">
      <c r="AI121" s="131"/>
    </row>
    <row r="122" spans="35:35">
      <c r="AI122" s="131"/>
    </row>
    <row r="123" spans="35:35">
      <c r="AI123" s="131"/>
    </row>
    <row r="124" spans="35:35">
      <c r="AI124" s="131"/>
    </row>
    <row r="125" spans="35:35">
      <c r="AI125" s="131"/>
    </row>
    <row r="126" spans="35:35">
      <c r="AI126" s="131"/>
    </row>
    <row r="127" spans="35:35">
      <c r="AI127" s="131"/>
    </row>
    <row r="128" spans="35:35">
      <c r="AI128" s="131"/>
    </row>
    <row r="129" spans="35:35">
      <c r="AI129" s="284"/>
    </row>
    <row r="130" spans="35:35">
      <c r="AI130" s="131"/>
    </row>
    <row r="131" spans="35:35">
      <c r="AI131" s="131"/>
    </row>
    <row r="132" spans="35:35">
      <c r="AI132" s="131"/>
    </row>
    <row r="133" spans="35:35">
      <c r="AI133" s="131"/>
    </row>
    <row r="134" spans="35:35">
      <c r="AI134" s="131"/>
    </row>
    <row r="135" spans="35:35">
      <c r="AI135" s="131"/>
    </row>
    <row r="136" spans="35:35">
      <c r="AI136" s="131"/>
    </row>
    <row r="137" spans="35:35">
      <c r="AI137" s="131"/>
    </row>
    <row r="138" spans="35:35">
      <c r="AI138" s="131"/>
    </row>
    <row r="139" spans="35:35">
      <c r="AI139" s="131"/>
    </row>
    <row r="140" spans="35:35">
      <c r="AI140" s="131"/>
    </row>
    <row r="141" spans="35:35">
      <c r="AI141" s="131"/>
    </row>
    <row r="142" spans="35:35">
      <c r="AI142" s="131"/>
    </row>
    <row r="143" spans="35:35">
      <c r="AI143" s="131"/>
    </row>
    <row r="144" spans="35:35">
      <c r="AI144" s="131"/>
    </row>
    <row r="145" spans="35:35">
      <c r="AI145" s="131"/>
    </row>
    <row r="146" spans="35:35">
      <c r="AI146" s="131"/>
    </row>
    <row r="147" spans="35:35">
      <c r="AI147" s="131"/>
    </row>
    <row r="148" spans="35:35">
      <c r="AI148" s="131"/>
    </row>
    <row r="149" spans="35:35">
      <c r="AI149" s="131"/>
    </row>
    <row r="150" spans="35:35">
      <c r="AI150" s="131"/>
    </row>
    <row r="151" spans="35:35">
      <c r="AI151" s="131"/>
    </row>
    <row r="152" spans="35:35">
      <c r="AI152" s="131"/>
    </row>
    <row r="153" spans="35:35">
      <c r="AI153" s="131"/>
    </row>
    <row r="154" spans="35:35">
      <c r="AI154" s="131"/>
    </row>
    <row r="155" spans="35:35">
      <c r="AI155" s="131"/>
    </row>
    <row r="156" spans="35:35">
      <c r="AI156" s="131"/>
    </row>
    <row r="157" spans="35:35">
      <c r="AI157" s="131"/>
    </row>
    <row r="159" spans="35:35">
      <c r="AI159" s="131"/>
    </row>
    <row r="160" spans="35:35">
      <c r="AI160" s="131"/>
    </row>
    <row r="161" spans="35:35">
      <c r="AI161" s="131"/>
    </row>
    <row r="162" spans="35:35">
      <c r="AI162" s="131"/>
    </row>
    <row r="163" spans="35:35">
      <c r="AI163" s="131"/>
    </row>
    <row r="165" spans="35:35">
      <c r="AI165" s="131"/>
    </row>
    <row r="166" spans="35:35">
      <c r="AI166" s="131"/>
    </row>
    <row r="167" spans="35:35">
      <c r="AI167" s="131"/>
    </row>
    <row r="168" spans="35:35">
      <c r="AI168" s="131"/>
    </row>
    <row r="169" spans="35:35">
      <c r="AI169" s="131"/>
    </row>
    <row r="170" spans="35:35">
      <c r="AI170" s="131"/>
    </row>
    <row r="171" spans="35:35">
      <c r="AI171" s="131"/>
    </row>
    <row r="172" spans="35:35">
      <c r="AI172" s="131"/>
    </row>
    <row r="173" spans="35:35">
      <c r="AI173" s="131"/>
    </row>
    <row r="174" spans="35:35">
      <c r="AI174" s="131"/>
    </row>
    <row r="175" spans="35:35">
      <c r="AI175" s="131"/>
    </row>
    <row r="176" spans="35:35">
      <c r="AI176" s="284"/>
    </row>
    <row r="177" spans="35:35">
      <c r="AI177" s="131"/>
    </row>
    <row r="179" spans="35:35">
      <c r="AI179" s="131"/>
    </row>
    <row r="180" spans="35:35">
      <c r="AI180" s="131"/>
    </row>
    <row r="181" spans="35:35">
      <c r="AI181" s="131"/>
    </row>
    <row r="182" spans="35:35">
      <c r="AI182" s="131"/>
    </row>
    <row r="183" spans="35:35">
      <c r="AI183" s="131"/>
    </row>
    <row r="184" spans="35:35">
      <c r="AI184" s="131"/>
    </row>
    <row r="185" spans="35:35">
      <c r="AI185" s="131"/>
    </row>
    <row r="186" spans="35:35">
      <c r="AI186" s="131"/>
    </row>
    <row r="187" spans="35:35">
      <c r="AI187" s="131"/>
    </row>
    <row r="188" spans="35:35">
      <c r="AI188" s="131"/>
    </row>
    <row r="189" spans="35:35">
      <c r="AI189" s="131"/>
    </row>
    <row r="191" spans="35:35">
      <c r="AI191" s="131"/>
    </row>
    <row r="192" spans="35:35">
      <c r="AI192" s="131"/>
    </row>
    <row r="193" spans="35:35">
      <c r="AI193" s="131"/>
    </row>
    <row r="194" spans="35:35">
      <c r="AI194" s="131"/>
    </row>
    <row r="195" spans="35:35">
      <c r="AI195" s="131"/>
    </row>
    <row r="196" spans="35:35">
      <c r="AI196" s="131"/>
    </row>
    <row r="197" spans="35:35">
      <c r="AI197" s="131"/>
    </row>
    <row r="198" spans="35:35">
      <c r="AI198" s="131"/>
    </row>
    <row r="199" spans="35:35">
      <c r="AI199" s="131"/>
    </row>
    <row r="200" spans="35:35">
      <c r="AI200" s="131"/>
    </row>
    <row r="201" spans="35:35">
      <c r="AI201" s="131"/>
    </row>
    <row r="202" spans="35:35">
      <c r="AI202" s="131"/>
    </row>
    <row r="203" spans="35:35">
      <c r="AI203" s="131"/>
    </row>
    <row r="204" spans="35:35">
      <c r="AI204" s="131"/>
    </row>
    <row r="205" spans="35:35">
      <c r="AI205" s="131"/>
    </row>
    <row r="206" spans="35:35">
      <c r="AI206" s="131"/>
    </row>
    <row r="207" spans="35:35">
      <c r="AI207" s="131"/>
    </row>
    <row r="208" spans="35:35">
      <c r="AI208" s="131"/>
    </row>
    <row r="209" spans="35:35">
      <c r="AI209" s="131"/>
    </row>
    <row r="210" spans="35:35">
      <c r="AI210" s="131"/>
    </row>
    <row r="211" spans="35:35">
      <c r="AI211" s="131"/>
    </row>
    <row r="212" spans="35:35">
      <c r="AI212" s="131"/>
    </row>
    <row r="213" spans="35:35">
      <c r="AI213" s="131"/>
    </row>
    <row r="214" spans="35:35">
      <c r="AI214" s="131"/>
    </row>
    <row r="215" spans="35:35">
      <c r="AI215" s="131"/>
    </row>
    <row r="216" spans="35:35">
      <c r="AI216" s="131"/>
    </row>
    <row r="217" spans="35:35">
      <c r="AI217" s="131"/>
    </row>
    <row r="218" spans="35:35">
      <c r="AI218" s="131"/>
    </row>
    <row r="219" spans="35:35">
      <c r="AI219" s="131"/>
    </row>
    <row r="220" spans="35:35">
      <c r="AI220" s="131"/>
    </row>
    <row r="221" spans="35:35">
      <c r="AI221" s="131"/>
    </row>
    <row r="222" spans="35:35">
      <c r="AI222" s="131"/>
    </row>
    <row r="223" spans="35:35">
      <c r="AI223" s="131"/>
    </row>
    <row r="224" spans="35:35">
      <c r="AI224" s="131"/>
    </row>
    <row r="225" spans="35:35">
      <c r="AI225" s="131"/>
    </row>
    <row r="226" spans="35:35">
      <c r="AI226" s="131"/>
    </row>
    <row r="227" spans="35:35">
      <c r="AI227" s="131"/>
    </row>
    <row r="228" spans="35:35">
      <c r="AI228" s="131"/>
    </row>
    <row r="229" spans="35:35">
      <c r="AI229" s="131"/>
    </row>
    <row r="230" spans="35:35">
      <c r="AI230" s="131"/>
    </row>
    <row r="231" spans="35:35">
      <c r="AI231" s="131"/>
    </row>
    <row r="232" spans="35:35">
      <c r="AI232" s="131"/>
    </row>
    <row r="233" spans="35:35">
      <c r="AI233" s="131"/>
    </row>
    <row r="234" spans="35:35">
      <c r="AI234" s="131"/>
    </row>
    <row r="235" spans="35:35">
      <c r="AI235" s="131"/>
    </row>
    <row r="236" spans="35:35">
      <c r="AI236" s="131"/>
    </row>
    <row r="237" spans="35:35">
      <c r="AI237" s="131"/>
    </row>
    <row r="238" spans="35:35">
      <c r="AI238" s="131"/>
    </row>
    <row r="239" spans="35:35">
      <c r="AI239" s="131"/>
    </row>
    <row r="240" spans="35:35">
      <c r="AI240" s="131"/>
    </row>
    <row r="241" spans="35:35">
      <c r="AI241" s="131"/>
    </row>
    <row r="242" spans="35:35">
      <c r="AI242" s="131"/>
    </row>
    <row r="243" spans="35:35">
      <c r="AI243" s="131"/>
    </row>
    <row r="244" spans="35:35">
      <c r="AI244" s="131"/>
    </row>
    <row r="245" spans="35:35">
      <c r="AI245" s="131"/>
    </row>
    <row r="246" spans="35:35">
      <c r="AI246" s="131"/>
    </row>
    <row r="247" spans="35:35">
      <c r="AI247" s="131"/>
    </row>
    <row r="248" spans="35:35">
      <c r="AI248" s="131"/>
    </row>
    <row r="249" spans="35:35">
      <c r="AI249" s="131"/>
    </row>
    <row r="250" spans="35:35">
      <c r="AI250" s="131"/>
    </row>
    <row r="251" spans="35:35">
      <c r="AI251" s="131"/>
    </row>
    <row r="252" spans="35:35">
      <c r="AI252" s="284"/>
    </row>
    <row r="253" spans="35:35">
      <c r="AI253" s="131"/>
    </row>
    <row r="254" spans="35:35">
      <c r="AI254" s="131"/>
    </row>
    <row r="255" spans="35:35">
      <c r="AI255" s="131"/>
    </row>
    <row r="256" spans="35:35">
      <c r="AI256" s="131"/>
    </row>
    <row r="257" spans="35:35">
      <c r="AI257" s="131"/>
    </row>
    <row r="258" spans="35:35">
      <c r="AI258" s="131"/>
    </row>
    <row r="259" spans="35:35">
      <c r="AI259" s="131"/>
    </row>
    <row r="260" spans="35:35">
      <c r="AI260" s="52"/>
    </row>
    <row r="261" spans="35:35">
      <c r="AI261" s="131"/>
    </row>
    <row r="262" spans="35:35">
      <c r="AI262" s="131"/>
    </row>
    <row r="263" spans="35:35">
      <c r="AI263" s="131"/>
    </row>
    <row r="264" spans="35:35">
      <c r="AI264" s="131"/>
    </row>
    <row r="265" spans="35:35">
      <c r="AI265" s="131"/>
    </row>
    <row r="266" spans="35:35">
      <c r="AI266" s="131"/>
    </row>
    <row r="267" spans="35:35">
      <c r="AI267" s="131"/>
    </row>
    <row r="268" spans="35:35">
      <c r="AI268" s="131"/>
    </row>
    <row r="269" spans="35:35">
      <c r="AI269" s="131"/>
    </row>
    <row r="270" spans="35:35">
      <c r="AI270" s="131"/>
    </row>
    <row r="271" spans="35:35">
      <c r="AI271" s="131"/>
    </row>
    <row r="272" spans="35:35">
      <c r="AI272" s="131"/>
    </row>
    <row r="273" spans="35:35">
      <c r="AI273" s="131"/>
    </row>
    <row r="274" spans="35:35">
      <c r="AI274" s="131"/>
    </row>
    <row r="275" spans="35:35">
      <c r="AI275" s="131"/>
    </row>
    <row r="276" spans="35:35">
      <c r="AI276" s="131"/>
    </row>
    <row r="277" spans="35:35">
      <c r="AI277" s="131"/>
    </row>
    <row r="278" spans="35:35">
      <c r="AI278" s="131"/>
    </row>
    <row r="279" spans="35:35">
      <c r="AI279" s="131"/>
    </row>
    <row r="280" spans="35:35">
      <c r="AI280" s="131"/>
    </row>
    <row r="281" spans="35:35">
      <c r="AI281" s="131"/>
    </row>
    <row r="282" spans="35:35">
      <c r="AI282" s="131"/>
    </row>
    <row r="283" spans="35:35">
      <c r="AI283" s="131"/>
    </row>
    <row r="284" spans="35:35">
      <c r="AI284" s="131"/>
    </row>
    <row r="285" spans="35:35">
      <c r="AI285" s="131"/>
    </row>
    <row r="286" spans="35:35">
      <c r="AI286" s="131"/>
    </row>
    <row r="287" spans="35:35">
      <c r="AI287" s="131"/>
    </row>
    <row r="288" spans="35:35">
      <c r="AI288" s="131"/>
    </row>
    <row r="289" spans="35:35">
      <c r="AI289" s="131"/>
    </row>
    <row r="290" spans="35:35">
      <c r="AI290" s="284"/>
    </row>
    <row r="291" spans="35:35">
      <c r="AI291" s="131"/>
    </row>
    <row r="293" spans="35:35">
      <c r="AI293" s="131"/>
    </row>
    <row r="294" spans="35:35">
      <c r="AI294" s="131"/>
    </row>
    <row r="295" spans="35:35">
      <c r="AI295" s="131"/>
    </row>
    <row r="296" spans="35:35">
      <c r="AI296" s="131"/>
    </row>
    <row r="297" spans="35:35">
      <c r="AI297" s="131"/>
    </row>
    <row r="298" spans="35:35">
      <c r="AI298" s="131"/>
    </row>
    <row r="299" spans="35:35">
      <c r="AI299" s="131"/>
    </row>
    <row r="300" spans="35:35">
      <c r="AI300" s="131"/>
    </row>
    <row r="301" spans="35:35">
      <c r="AI301" s="131"/>
    </row>
    <row r="302" spans="35:35">
      <c r="AI302" s="131"/>
    </row>
    <row r="303" spans="35:35">
      <c r="AI303" s="131"/>
    </row>
    <row r="304" spans="35:35">
      <c r="AI304" s="131"/>
    </row>
    <row r="305" spans="35:35">
      <c r="AI305" s="131"/>
    </row>
    <row r="306" spans="35:35">
      <c r="AI306" s="131"/>
    </row>
    <row r="307" spans="35:35">
      <c r="AI307" s="131"/>
    </row>
    <row r="308" spans="35:35">
      <c r="AI308" s="284"/>
    </row>
    <row r="309" spans="35:35">
      <c r="AI309" s="131"/>
    </row>
    <row r="310" spans="35:35">
      <c r="AI310" s="131"/>
    </row>
    <row r="311" spans="35:35">
      <c r="AI311" s="131"/>
    </row>
    <row r="312" spans="35:35">
      <c r="AI312" s="131"/>
    </row>
    <row r="313" spans="35:35">
      <c r="AI313" s="131"/>
    </row>
    <row r="314" spans="35:35">
      <c r="AI314" s="131"/>
    </row>
    <row r="315" spans="35:35">
      <c r="AI315" s="131"/>
    </row>
    <row r="316" spans="35:35">
      <c r="AI316" s="131"/>
    </row>
    <row r="317" spans="35:35">
      <c r="AI317" s="131"/>
    </row>
    <row r="318" spans="35:35">
      <c r="AI318" s="131"/>
    </row>
    <row r="319" spans="35:35">
      <c r="AI319" s="131"/>
    </row>
    <row r="320" spans="35:35">
      <c r="AI320" s="131"/>
    </row>
    <row r="321" spans="35:35">
      <c r="AI321" s="131"/>
    </row>
    <row r="322" spans="35:35">
      <c r="AI322" s="131"/>
    </row>
    <row r="323" spans="35:35">
      <c r="AI323" s="131"/>
    </row>
    <row r="324" spans="35:35">
      <c r="AI324" s="131"/>
    </row>
    <row r="325" spans="35:35">
      <c r="AI325" s="131"/>
    </row>
    <row r="326" spans="35:35">
      <c r="AI326" s="131"/>
    </row>
    <row r="327" spans="35:35">
      <c r="AI327" s="131"/>
    </row>
    <row r="328" spans="35:35">
      <c r="AI328" s="131"/>
    </row>
    <row r="329" spans="35:35">
      <c r="AI329" s="131"/>
    </row>
    <row r="330" spans="35:35">
      <c r="AI330" s="131"/>
    </row>
    <row r="331" spans="35:35">
      <c r="AI331" s="131"/>
    </row>
    <row r="332" spans="35:35">
      <c r="AI332" s="131"/>
    </row>
    <row r="333" spans="35:35">
      <c r="AI333" s="131"/>
    </row>
    <row r="334" spans="35:35">
      <c r="AI334" s="131"/>
    </row>
    <row r="335" spans="35:35">
      <c r="AI335" s="131"/>
    </row>
    <row r="336" spans="35:35">
      <c r="AI336" s="284"/>
    </row>
    <row r="337" spans="35:35">
      <c r="AI337" s="131"/>
    </row>
    <row r="338" spans="35:35">
      <c r="AI338" s="131"/>
    </row>
    <row r="339" spans="35:35">
      <c r="AI339" s="131"/>
    </row>
    <row r="340" spans="35:35">
      <c r="AI340" s="131"/>
    </row>
    <row r="341" spans="35:35">
      <c r="AI341" s="131"/>
    </row>
    <row r="342" spans="35:35">
      <c r="AI342" s="131"/>
    </row>
    <row r="343" spans="35:35">
      <c r="AI343" s="131"/>
    </row>
    <row r="344" spans="35:35">
      <c r="AI344" s="131"/>
    </row>
    <row r="345" spans="35:35">
      <c r="AI345" s="131"/>
    </row>
    <row r="346" spans="35:35">
      <c r="AI346" s="131"/>
    </row>
    <row r="347" spans="35:35">
      <c r="AI347" s="131"/>
    </row>
    <row r="348" spans="35:35">
      <c r="AI348" s="131"/>
    </row>
    <row r="349" spans="35:35">
      <c r="AI349" s="131"/>
    </row>
    <row r="350" spans="35:35">
      <c r="AI350" s="131"/>
    </row>
    <row r="351" spans="35:35">
      <c r="AI351" s="131"/>
    </row>
    <row r="352" spans="35:35">
      <c r="AI352" s="131"/>
    </row>
    <row r="353" spans="35:35">
      <c r="AI353" s="131"/>
    </row>
    <row r="354" spans="35:35">
      <c r="AI354" s="284"/>
    </row>
    <row r="355" spans="35:35">
      <c r="AI355" s="131"/>
    </row>
    <row r="356" spans="35:35">
      <c r="AI356" s="284"/>
    </row>
    <row r="357" spans="35:35">
      <c r="AI357" s="131"/>
    </row>
    <row r="358" spans="35:35">
      <c r="AI358" s="131"/>
    </row>
    <row r="359" spans="35:35">
      <c r="AI359" s="131"/>
    </row>
    <row r="360" spans="35:35">
      <c r="AI360" s="131"/>
    </row>
    <row r="361" spans="35:35">
      <c r="AI361" s="131"/>
    </row>
    <row r="362" spans="35:35">
      <c r="AI362" s="131"/>
    </row>
    <row r="363" spans="35:35">
      <c r="AI363" s="131"/>
    </row>
    <row r="364" spans="35:35">
      <c r="AI364" s="131"/>
    </row>
    <row r="365" spans="35:35">
      <c r="AI365" s="131"/>
    </row>
    <row r="366" spans="35:35">
      <c r="AI366" s="131"/>
    </row>
    <row r="367" spans="35:35">
      <c r="AI367" s="131"/>
    </row>
    <row r="368" spans="35:35">
      <c r="AI368" s="131"/>
    </row>
    <row r="369" spans="35:35">
      <c r="AI369" s="131"/>
    </row>
    <row r="370" spans="35:35">
      <c r="AI370" s="131"/>
    </row>
    <row r="371" spans="35:35">
      <c r="AI371" s="131"/>
    </row>
    <row r="372" spans="35:35">
      <c r="AI372" s="131"/>
    </row>
    <row r="373" spans="35:35">
      <c r="AI373" s="131"/>
    </row>
    <row r="374" spans="35:35">
      <c r="AI374" s="131"/>
    </row>
    <row r="375" spans="35:35">
      <c r="AI375" s="131"/>
    </row>
    <row r="376" spans="35:35">
      <c r="AI376" s="131"/>
    </row>
    <row r="377" spans="35:35">
      <c r="AI377" s="131"/>
    </row>
    <row r="378" spans="35:35">
      <c r="AI378" s="131"/>
    </row>
    <row r="379" spans="35:35">
      <c r="AI379" s="131"/>
    </row>
    <row r="380" spans="35:35">
      <c r="AI380" s="131"/>
    </row>
    <row r="381" spans="35:35">
      <c r="AI381" s="131"/>
    </row>
    <row r="382" spans="35:35">
      <c r="AI382" s="131"/>
    </row>
    <row r="383" spans="35:35">
      <c r="AI383" s="131"/>
    </row>
    <row r="384" spans="35:35">
      <c r="AI384" s="131"/>
    </row>
    <row r="385" spans="35:35">
      <c r="AI385" s="131"/>
    </row>
    <row r="386" spans="35:35">
      <c r="AI386" s="131"/>
    </row>
    <row r="387" spans="35:35">
      <c r="AI387" s="131"/>
    </row>
    <row r="388" spans="35:35">
      <c r="AI388" s="131"/>
    </row>
    <row r="389" spans="35:35">
      <c r="AI389" s="131"/>
    </row>
    <row r="390" spans="35:35">
      <c r="AI390" s="131"/>
    </row>
    <row r="391" spans="35:35">
      <c r="AI391" s="284"/>
    </row>
    <row r="392" spans="35:35">
      <c r="AI392" s="131"/>
    </row>
    <row r="393" spans="35:35">
      <c r="AI393" s="131"/>
    </row>
    <row r="394" spans="35:35">
      <c r="AI394" s="131"/>
    </row>
    <row r="395" spans="35:35">
      <c r="AI395" s="131"/>
    </row>
    <row r="396" spans="35:35">
      <c r="AI396" s="131"/>
    </row>
    <row r="397" spans="35:35">
      <c r="AI397" s="131"/>
    </row>
    <row r="398" spans="35:35">
      <c r="AI398" s="131"/>
    </row>
    <row r="399" spans="35:35">
      <c r="AI399" s="131"/>
    </row>
    <row r="400" spans="35:35">
      <c r="AI400" s="131"/>
    </row>
    <row r="401" spans="35:35">
      <c r="AI401" s="131"/>
    </row>
    <row r="402" spans="35:35">
      <c r="AI402" s="131"/>
    </row>
    <row r="403" spans="35:35">
      <c r="AI403" s="131"/>
    </row>
    <row r="404" spans="35:35">
      <c r="AI404" s="131"/>
    </row>
    <row r="405" spans="35:35">
      <c r="AI405" s="131"/>
    </row>
    <row r="406" spans="35:35">
      <c r="AI406" s="131"/>
    </row>
    <row r="407" spans="35:35">
      <c r="AI407" s="131"/>
    </row>
    <row r="408" spans="35:35">
      <c r="AI408" s="131"/>
    </row>
    <row r="409" spans="35:35">
      <c r="AI409" s="131"/>
    </row>
    <row r="410" spans="35:35">
      <c r="AI410" s="131"/>
    </row>
    <row r="411" spans="35:35">
      <c r="AI411" s="131"/>
    </row>
    <row r="412" spans="35:35">
      <c r="AI412" s="131"/>
    </row>
    <row r="413" spans="35:35">
      <c r="AI413" s="131"/>
    </row>
    <row r="414" spans="35:35">
      <c r="AI414" s="131"/>
    </row>
    <row r="415" spans="35:35">
      <c r="AI415" s="131"/>
    </row>
    <row r="416" spans="35:35">
      <c r="AI416" s="131"/>
    </row>
    <row r="417" spans="35:35">
      <c r="AI417" s="131"/>
    </row>
    <row r="418" spans="35:35">
      <c r="AI418" s="131"/>
    </row>
    <row r="419" spans="35:35">
      <c r="AI419" s="131"/>
    </row>
    <row r="420" spans="35:35">
      <c r="AI420" s="131"/>
    </row>
    <row r="421" spans="35:35">
      <c r="AI421" s="131"/>
    </row>
    <row r="422" spans="35:35">
      <c r="AI422" s="131"/>
    </row>
    <row r="423" spans="35:35">
      <c r="AI423" s="131"/>
    </row>
    <row r="424" spans="35:35">
      <c r="AI424" s="131"/>
    </row>
    <row r="425" spans="35:35">
      <c r="AI425" s="131"/>
    </row>
    <row r="426" spans="35:35">
      <c r="AI426" s="131"/>
    </row>
    <row r="427" spans="35:35">
      <c r="AI427" s="131"/>
    </row>
    <row r="428" spans="35:35">
      <c r="AI428" s="131"/>
    </row>
    <row r="429" spans="35:35">
      <c r="AI429" s="131"/>
    </row>
    <row r="430" spans="35:35">
      <c r="AI430" s="131"/>
    </row>
    <row r="431" spans="35:35">
      <c r="AI431" s="131"/>
    </row>
    <row r="432" spans="35:35">
      <c r="AI432" s="131"/>
    </row>
    <row r="433" spans="35:35">
      <c r="AI433" s="131"/>
    </row>
    <row r="434" spans="35:35">
      <c r="AI434" s="131"/>
    </row>
    <row r="435" spans="35:35">
      <c r="AI435" s="131"/>
    </row>
    <row r="436" spans="35:35">
      <c r="AI436" s="286"/>
    </row>
    <row r="437" spans="35:35">
      <c r="AI437" s="131"/>
    </row>
    <row r="438" spans="35:35">
      <c r="AI438" s="131"/>
    </row>
    <row r="439" spans="35:35">
      <c r="AI439" s="131"/>
    </row>
    <row r="440" spans="35:35">
      <c r="AI440" s="131"/>
    </row>
    <row r="441" spans="35:35">
      <c r="AI441" s="131"/>
    </row>
    <row r="442" spans="35:35">
      <c r="AI442" s="131"/>
    </row>
    <row r="443" spans="35:35">
      <c r="AI443" s="131"/>
    </row>
    <row r="444" spans="35:35">
      <c r="AI444" s="131"/>
    </row>
    <row r="445" spans="35:35">
      <c r="AI445" s="131"/>
    </row>
    <row r="446" spans="35:35">
      <c r="AI446" s="131"/>
    </row>
    <row r="447" spans="35:35">
      <c r="AI447" s="131"/>
    </row>
    <row r="448" spans="35:35">
      <c r="AI448" s="131"/>
    </row>
    <row r="449" spans="35:35">
      <c r="AI449" s="131"/>
    </row>
    <row r="450" spans="35:35">
      <c r="AI450" s="131"/>
    </row>
    <row r="451" spans="35:35">
      <c r="AI451" s="131"/>
    </row>
    <row r="452" spans="35:35">
      <c r="AI452" s="131"/>
    </row>
    <row r="453" spans="35:35">
      <c r="AI453" s="131"/>
    </row>
    <row r="454" spans="35:35">
      <c r="AI454" s="131"/>
    </row>
    <row r="455" spans="35:35">
      <c r="AI455" s="131"/>
    </row>
    <row r="456" spans="35:35">
      <c r="AI456" s="131"/>
    </row>
    <row r="457" spans="35:35">
      <c r="AI457" s="131"/>
    </row>
    <row r="458" spans="35:35">
      <c r="AI458" s="131"/>
    </row>
    <row r="459" spans="35:35">
      <c r="AI459" s="131"/>
    </row>
    <row r="460" spans="35:35">
      <c r="AI460" s="131"/>
    </row>
    <row r="461" spans="35:35">
      <c r="AI461" s="131"/>
    </row>
    <row r="462" spans="35:35">
      <c r="AI462" s="131"/>
    </row>
    <row r="463" spans="35:35">
      <c r="AI463" s="131"/>
    </row>
    <row r="464" spans="35:35">
      <c r="AI464" s="131"/>
    </row>
    <row r="465" spans="35:35">
      <c r="AI465" s="131"/>
    </row>
    <row r="466" spans="35:35">
      <c r="AI466" s="131"/>
    </row>
    <row r="467" spans="35:35">
      <c r="AI467" s="131"/>
    </row>
    <row r="468" spans="35:35">
      <c r="AI468" s="131"/>
    </row>
    <row r="469" spans="35:35">
      <c r="AI469" s="131"/>
    </row>
    <row r="470" spans="35:35">
      <c r="AI470" s="131"/>
    </row>
    <row r="471" spans="35:35">
      <c r="AI471" s="131"/>
    </row>
    <row r="472" spans="35:35">
      <c r="AI472" s="131"/>
    </row>
    <row r="473" spans="35:35">
      <c r="AI473" s="131"/>
    </row>
    <row r="474" spans="35:35">
      <c r="AI474" s="131"/>
    </row>
    <row r="475" spans="35:35">
      <c r="AI475" s="131"/>
    </row>
    <row r="476" spans="35:35">
      <c r="AI476" s="131"/>
    </row>
    <row r="477" spans="35:35">
      <c r="AI477" s="34"/>
    </row>
    <row r="478" spans="35:35">
      <c r="AI478" s="131"/>
    </row>
    <row r="479" spans="35:35">
      <c r="AI479" s="131"/>
    </row>
    <row r="480" spans="35:35">
      <c r="AI480" s="284"/>
    </row>
    <row r="481" spans="35:35">
      <c r="AI481" s="131"/>
    </row>
    <row r="482" spans="35:35">
      <c r="AI482" s="131"/>
    </row>
    <row r="483" spans="35:35">
      <c r="AI483" s="131"/>
    </row>
    <row r="484" spans="35:35">
      <c r="AI484" s="131"/>
    </row>
    <row r="485" spans="35:35">
      <c r="AI485" s="131"/>
    </row>
    <row r="486" spans="35:35">
      <c r="AI486" s="284"/>
    </row>
    <row r="487" spans="35:35">
      <c r="AI487" s="131"/>
    </row>
    <row r="488" spans="35:35">
      <c r="AI488" s="131"/>
    </row>
    <row r="489" spans="35:35">
      <c r="AI489" s="131"/>
    </row>
    <row r="490" spans="35:35">
      <c r="AI490" s="131"/>
    </row>
    <row r="491" spans="35:35">
      <c r="AI491" s="131"/>
    </row>
    <row r="492" spans="35:35">
      <c r="AI492" s="131"/>
    </row>
    <row r="493" spans="35:35">
      <c r="AI493" s="131"/>
    </row>
    <row r="494" spans="35:35">
      <c r="AI494" s="131"/>
    </row>
    <row r="495" spans="35:35">
      <c r="AI495" s="131"/>
    </row>
    <row r="496" spans="35:35">
      <c r="AI496" s="131"/>
    </row>
    <row r="497" spans="35:35">
      <c r="AI497" s="284"/>
    </row>
    <row r="498" spans="35:35">
      <c r="AI498" s="131"/>
    </row>
    <row r="499" spans="35:35">
      <c r="AI499" s="131"/>
    </row>
    <row r="500" spans="35:35">
      <c r="AI500" s="131"/>
    </row>
    <row r="501" spans="35:35">
      <c r="AI501" s="131"/>
    </row>
    <row r="502" spans="35:35">
      <c r="AI502" s="131"/>
    </row>
    <row r="503" spans="35:35">
      <c r="AI503" s="131"/>
    </row>
    <row r="504" spans="35:35">
      <c r="AI504" s="131"/>
    </row>
    <row r="505" spans="35:35">
      <c r="AI505" s="131"/>
    </row>
    <row r="506" spans="35:35">
      <c r="AI506" s="131"/>
    </row>
    <row r="507" spans="35:35">
      <c r="AI507" s="284"/>
    </row>
    <row r="508" spans="35:35">
      <c r="AI508" s="131"/>
    </row>
    <row r="509" spans="35:35">
      <c r="AI509" s="131"/>
    </row>
    <row r="510" spans="35:35">
      <c r="AI510" s="131"/>
    </row>
    <row r="511" spans="35:35">
      <c r="AI511" s="131"/>
    </row>
    <row r="512" spans="35:35">
      <c r="AI512" s="131"/>
    </row>
    <row r="513" spans="35:35">
      <c r="AI513" s="131"/>
    </row>
    <row r="514" spans="35:35">
      <c r="AI514" s="131"/>
    </row>
    <row r="515" spans="35:35">
      <c r="AI515" s="284"/>
    </row>
    <row r="516" spans="35:35">
      <c r="AI516" s="131"/>
    </row>
    <row r="517" spans="35:35">
      <c r="AI517" s="131"/>
    </row>
    <row r="518" spans="35:35">
      <c r="AI518" s="131"/>
    </row>
    <row r="519" spans="35:35">
      <c r="AI519" s="131"/>
    </row>
    <row r="520" spans="35:35">
      <c r="AI520" s="131"/>
    </row>
    <row r="521" spans="35:35">
      <c r="AI521" s="131"/>
    </row>
    <row r="522" spans="35:35">
      <c r="AI522" s="131"/>
    </row>
    <row r="523" spans="35:35">
      <c r="AI523" s="131"/>
    </row>
    <row r="524" spans="35:35">
      <c r="AI524" s="131"/>
    </row>
    <row r="525" spans="35:35">
      <c r="AI525" s="284"/>
    </row>
    <row r="526" spans="35:35">
      <c r="AI526" s="131"/>
    </row>
    <row r="527" spans="35:35">
      <c r="AI527" s="131"/>
    </row>
    <row r="528" spans="35:35">
      <c r="AI528" s="131"/>
    </row>
    <row r="529" spans="35:35">
      <c r="AI529" s="131"/>
    </row>
    <row r="530" spans="35:35">
      <c r="AI530" s="131"/>
    </row>
    <row r="531" spans="35:35">
      <c r="AI531" s="131"/>
    </row>
    <row r="532" spans="35:35">
      <c r="AI532" s="131"/>
    </row>
    <row r="533" spans="35:35">
      <c r="AI533" s="131"/>
    </row>
    <row r="534" spans="35:35">
      <c r="AI534" s="131"/>
    </row>
    <row r="535" spans="35:35">
      <c r="AI535" s="131"/>
    </row>
    <row r="536" spans="35:35">
      <c r="AI536" s="131"/>
    </row>
    <row r="537" spans="35:35">
      <c r="AI537" s="131"/>
    </row>
    <row r="538" spans="35:35">
      <c r="AI538" s="131"/>
    </row>
    <row r="539" spans="35:35">
      <c r="AI539" s="131"/>
    </row>
    <row r="540" spans="35:35">
      <c r="AI540" s="131"/>
    </row>
    <row r="541" spans="35:35">
      <c r="AI541" s="131"/>
    </row>
    <row r="542" spans="35:35">
      <c r="AI542" s="131"/>
    </row>
    <row r="543" spans="35:35">
      <c r="AI543" s="131"/>
    </row>
    <row r="544" spans="35:35">
      <c r="AI544" s="131"/>
    </row>
    <row r="545" spans="35:35">
      <c r="AI545" s="131"/>
    </row>
    <row r="546" spans="35:35">
      <c r="AI546" s="284"/>
    </row>
    <row r="547" spans="35:35">
      <c r="AI547" s="131"/>
    </row>
    <row r="548" spans="35:35">
      <c r="AI548" s="131"/>
    </row>
    <row r="549" spans="35:35">
      <c r="AI549" s="131"/>
    </row>
    <row r="551" spans="35:35">
      <c r="AI551" s="131"/>
    </row>
    <row r="552" spans="35:35">
      <c r="AI552" s="131"/>
    </row>
    <row r="553" spans="35:35">
      <c r="AI553" s="131"/>
    </row>
    <row r="554" spans="35:35">
      <c r="AI554" s="131"/>
    </row>
    <row r="555" spans="35:35">
      <c r="AI555" s="131"/>
    </row>
    <row r="556" spans="35:35">
      <c r="AI556" s="131"/>
    </row>
    <row r="557" spans="35:35">
      <c r="AI557" s="131"/>
    </row>
    <row r="558" spans="35:35">
      <c r="AI558" s="131"/>
    </row>
    <row r="559" spans="35:35">
      <c r="AI559" s="284"/>
    </row>
    <row r="560" spans="35:35">
      <c r="AI560" s="131"/>
    </row>
    <row r="561" spans="35:35">
      <c r="AI561" s="131"/>
    </row>
    <row r="562" spans="35:35">
      <c r="AI562" s="131"/>
    </row>
    <row r="563" spans="35:35">
      <c r="AI563" s="284"/>
    </row>
    <row r="564" spans="35:35">
      <c r="AI564" s="131"/>
    </row>
    <row r="565" spans="35:35">
      <c r="AI565" s="131"/>
    </row>
    <row r="566" spans="35:35">
      <c r="AI566" s="131"/>
    </row>
    <row r="567" spans="35:35">
      <c r="AI567" s="131"/>
    </row>
    <row r="568" spans="35:35">
      <c r="AI568" s="131"/>
    </row>
    <row r="569" spans="35:35">
      <c r="AI569" s="131"/>
    </row>
    <row r="570" spans="35:35">
      <c r="AI570" s="131"/>
    </row>
    <row r="571" spans="35:35">
      <c r="AI571" s="131"/>
    </row>
    <row r="572" spans="35:35">
      <c r="AI572" s="131"/>
    </row>
    <row r="573" spans="35:35">
      <c r="AI573" s="131"/>
    </row>
    <row r="574" spans="35:35">
      <c r="AI574" s="131"/>
    </row>
    <row r="575" spans="35:35">
      <c r="AI575" s="131"/>
    </row>
    <row r="576" spans="35:35">
      <c r="AI576" s="131"/>
    </row>
    <row r="577" spans="35:35">
      <c r="AI577" s="131"/>
    </row>
    <row r="578" spans="35:35">
      <c r="AI578" s="131"/>
    </row>
    <row r="579" spans="35:35">
      <c r="AI579" s="131"/>
    </row>
    <row r="580" spans="35:35">
      <c r="AI580" s="131"/>
    </row>
    <row r="581" spans="35:35">
      <c r="AI581" s="131"/>
    </row>
    <row r="582" spans="35:35">
      <c r="AI582" s="131"/>
    </row>
    <row r="583" spans="35:35">
      <c r="AI583" s="131"/>
    </row>
    <row r="584" spans="35:35">
      <c r="AI584" s="131"/>
    </row>
    <row r="585" spans="35:35">
      <c r="AI585" s="131"/>
    </row>
    <row r="586" spans="35:35">
      <c r="AI586" s="131"/>
    </row>
    <row r="587" spans="35:35">
      <c r="AI587" s="131"/>
    </row>
    <row r="588" spans="35:35">
      <c r="AI588" s="131"/>
    </row>
    <row r="589" spans="35:35">
      <c r="AI589" s="131"/>
    </row>
    <row r="590" spans="35:35">
      <c r="AI590" s="131"/>
    </row>
    <row r="591" spans="35:35">
      <c r="AI591" s="131"/>
    </row>
    <row r="592" spans="35:35">
      <c r="AI592" s="131"/>
    </row>
    <row r="593" spans="35:35">
      <c r="AI593" s="131"/>
    </row>
    <row r="594" spans="35:35">
      <c r="AI594" s="131"/>
    </row>
    <row r="595" spans="35:35">
      <c r="AI595" s="131"/>
    </row>
    <row r="596" spans="35:35">
      <c r="AI596" s="131"/>
    </row>
    <row r="597" spans="35:35">
      <c r="AI597" s="131"/>
    </row>
    <row r="598" spans="35:35">
      <c r="AI598" s="131"/>
    </row>
    <row r="599" spans="35:35">
      <c r="AI599" s="131"/>
    </row>
    <row r="600" spans="35:35">
      <c r="AI600" s="131"/>
    </row>
    <row r="601" spans="35:35">
      <c r="AI601" s="131"/>
    </row>
    <row r="602" spans="35:35">
      <c r="AI602" s="131"/>
    </row>
    <row r="603" spans="35:35">
      <c r="AI603" s="131"/>
    </row>
    <row r="604" spans="35:35">
      <c r="AI604" s="131"/>
    </row>
    <row r="605" spans="35:35">
      <c r="AI605" s="131"/>
    </row>
    <row r="606" spans="35:35">
      <c r="AI606" s="131"/>
    </row>
    <row r="607" spans="35:35">
      <c r="AI607" s="131"/>
    </row>
    <row r="608" spans="35:35">
      <c r="AI608" s="28"/>
    </row>
    <row r="609" spans="35:35">
      <c r="AI609" s="131"/>
    </row>
    <row r="610" spans="35:35">
      <c r="AI610" s="131"/>
    </row>
    <row r="611" spans="35:35">
      <c r="AI611" s="131"/>
    </row>
    <row r="612" spans="35:35">
      <c r="AI612" s="131"/>
    </row>
    <row r="613" spans="35:35">
      <c r="AI613" s="131"/>
    </row>
    <row r="614" spans="35:35">
      <c r="AI614" s="131"/>
    </row>
    <row r="615" spans="35:35">
      <c r="AI615" s="131"/>
    </row>
    <row r="616" spans="35:35">
      <c r="AI616" s="131"/>
    </row>
    <row r="617" spans="35:35">
      <c r="AI617" s="131"/>
    </row>
    <row r="618" spans="35:35">
      <c r="AI618" s="131"/>
    </row>
    <row r="619" spans="35:35">
      <c r="AI619" s="131"/>
    </row>
    <row r="620" spans="35:35">
      <c r="AI620" s="131"/>
    </row>
    <row r="621" spans="35:35">
      <c r="AI621" s="131"/>
    </row>
    <row r="622" spans="35:35">
      <c r="AI622" s="131"/>
    </row>
    <row r="623" spans="35:35">
      <c r="AI623" s="131"/>
    </row>
    <row r="624" spans="35:35">
      <c r="AI624" s="131"/>
    </row>
    <row r="625" spans="35:35">
      <c r="AI625" s="131"/>
    </row>
    <row r="626" spans="35:35">
      <c r="AI626" s="131"/>
    </row>
    <row r="627" spans="35:35">
      <c r="AI627" s="131"/>
    </row>
    <row r="628" spans="35:35">
      <c r="AI628" s="131"/>
    </row>
    <row r="629" spans="35:35">
      <c r="AI629" s="131"/>
    </row>
    <row r="630" spans="35:35">
      <c r="AI630" s="131"/>
    </row>
    <row r="631" spans="35:35">
      <c r="AI631" s="131"/>
    </row>
    <row r="632" spans="35:35">
      <c r="AI632" s="131"/>
    </row>
    <row r="633" spans="35:35">
      <c r="AI633" s="131"/>
    </row>
    <row r="634" spans="35:35">
      <c r="AI634" s="131"/>
    </row>
    <row r="635" spans="35:35">
      <c r="AI635" s="131"/>
    </row>
    <row r="636" spans="35:35">
      <c r="AI636" s="131"/>
    </row>
    <row r="637" spans="35:35">
      <c r="AI637" s="131"/>
    </row>
    <row r="638" spans="35:35">
      <c r="AI638" s="131"/>
    </row>
    <row r="639" spans="35:35">
      <c r="AI639" s="131"/>
    </row>
    <row r="640" spans="35:35">
      <c r="AI640" s="131"/>
    </row>
    <row r="641" spans="35:35">
      <c r="AI641" s="284"/>
    </row>
    <row r="642" spans="35:35">
      <c r="AI642" s="284"/>
    </row>
    <row r="643" spans="35:35">
      <c r="AI643" s="131"/>
    </row>
    <row r="644" spans="35:35">
      <c r="AI644" s="131"/>
    </row>
    <row r="645" spans="35:35">
      <c r="AI645" s="131"/>
    </row>
    <row r="646" spans="35:35">
      <c r="AI646" s="131"/>
    </row>
    <row r="647" spans="35:35">
      <c r="AI647" s="131"/>
    </row>
    <row r="648" spans="35:35">
      <c r="AI648" s="131"/>
    </row>
    <row r="649" spans="35:35">
      <c r="AI649" s="131"/>
    </row>
    <row r="650" spans="35:35">
      <c r="AI650" s="131"/>
    </row>
    <row r="651" spans="35:35">
      <c r="AI651" s="131"/>
    </row>
    <row r="652" spans="35:35">
      <c r="AI652" s="131"/>
    </row>
    <row r="653" spans="35:35">
      <c r="AI653" s="131"/>
    </row>
    <row r="654" spans="35:35">
      <c r="AI654" s="131"/>
    </row>
    <row r="655" spans="35:35">
      <c r="AI655" s="131"/>
    </row>
    <row r="656" spans="35:35">
      <c r="AI656" s="131"/>
    </row>
    <row r="657" spans="35:35">
      <c r="AI657" s="131"/>
    </row>
    <row r="658" spans="35:35">
      <c r="AI658" s="131"/>
    </row>
    <row r="659" spans="35:35">
      <c r="AI659" s="131"/>
    </row>
    <row r="660" spans="35:35">
      <c r="AI660" s="131"/>
    </row>
    <row r="661" spans="35:35">
      <c r="AI661" s="131"/>
    </row>
    <row r="662" spans="35:35">
      <c r="AI662" s="131"/>
    </row>
    <row r="663" spans="35:35">
      <c r="AI663" s="131"/>
    </row>
    <row r="664" spans="35:35">
      <c r="AI664" s="131"/>
    </row>
    <row r="665" spans="35:35">
      <c r="AI665" s="131"/>
    </row>
    <row r="666" spans="35:35">
      <c r="AI666" s="131"/>
    </row>
    <row r="667" spans="35:35">
      <c r="AI667" s="131"/>
    </row>
    <row r="668" spans="35:35">
      <c r="AI668" s="131"/>
    </row>
    <row r="669" spans="35:35">
      <c r="AI669" s="131"/>
    </row>
    <row r="670" spans="35:35">
      <c r="AI670" s="131"/>
    </row>
    <row r="671" spans="35:35">
      <c r="AI671" s="131"/>
    </row>
    <row r="672" spans="35:35">
      <c r="AI672" s="131"/>
    </row>
    <row r="673" spans="35:35">
      <c r="AI673" s="131"/>
    </row>
    <row r="674" spans="35:35">
      <c r="AI674" s="131"/>
    </row>
    <row r="675" spans="35:35">
      <c r="AI675" s="131"/>
    </row>
    <row r="676" spans="35:35">
      <c r="AI676" s="131"/>
    </row>
    <row r="677" spans="35:35">
      <c r="AI677" s="131"/>
    </row>
    <row r="678" spans="35:35">
      <c r="AI678" s="131"/>
    </row>
    <row r="679" spans="35:35">
      <c r="AI679" s="131"/>
    </row>
    <row r="680" spans="35:35">
      <c r="AI680" s="131"/>
    </row>
    <row r="681" spans="35:35">
      <c r="AI681" s="284"/>
    </row>
    <row r="682" spans="35:35">
      <c r="AI682" s="131"/>
    </row>
    <row r="683" spans="35:35">
      <c r="AI683" s="131"/>
    </row>
    <row r="684" spans="35:35">
      <c r="AI684" s="131"/>
    </row>
    <row r="685" spans="35:35">
      <c r="AI685" s="131"/>
    </row>
    <row r="686" spans="35:35">
      <c r="AI686" s="131"/>
    </row>
    <row r="687" spans="35:35">
      <c r="AI687" s="131"/>
    </row>
    <row r="688" spans="35:35">
      <c r="AI688" s="131"/>
    </row>
    <row r="689" spans="35:35">
      <c r="AI689" s="131"/>
    </row>
    <row r="690" spans="35:35">
      <c r="AI690" s="131"/>
    </row>
    <row r="691" spans="35:35">
      <c r="AI691" s="131"/>
    </row>
    <row r="692" spans="35:35">
      <c r="AI692" s="131"/>
    </row>
    <row r="693" spans="35:35">
      <c r="AI693" s="131"/>
    </row>
    <row r="694" spans="35:35">
      <c r="AI694" s="131"/>
    </row>
    <row r="695" spans="35:35">
      <c r="AI695" s="131"/>
    </row>
    <row r="696" spans="35:35">
      <c r="AI696" s="131"/>
    </row>
    <row r="697" spans="35:35">
      <c r="AI697" s="131"/>
    </row>
    <row r="698" spans="35:35">
      <c r="AI698" s="131"/>
    </row>
    <row r="699" spans="35:35">
      <c r="AI699" s="131"/>
    </row>
    <row r="700" spans="35:35">
      <c r="AI700" s="131"/>
    </row>
    <row r="701" spans="35:35">
      <c r="AI701" s="131"/>
    </row>
    <row r="702" spans="35:35">
      <c r="AI702" s="131"/>
    </row>
    <row r="703" spans="35:35">
      <c r="AI703" s="131"/>
    </row>
    <row r="704" spans="35:35">
      <c r="AI704" s="131"/>
    </row>
    <row r="705" spans="35:35">
      <c r="AI705" s="131"/>
    </row>
    <row r="706" spans="35:35">
      <c r="AI706" s="131"/>
    </row>
    <row r="707" spans="35:35">
      <c r="AI707" s="131"/>
    </row>
    <row r="708" spans="35:35">
      <c r="AI708" s="131"/>
    </row>
    <row r="709" spans="35:35">
      <c r="AI709" s="131"/>
    </row>
    <row r="710" spans="35:35">
      <c r="AI710" s="131"/>
    </row>
    <row r="711" spans="35:35">
      <c r="AI711" s="131"/>
    </row>
    <row r="712" spans="35:35">
      <c r="AI712" s="131"/>
    </row>
    <row r="713" spans="35:35">
      <c r="AI713" s="131"/>
    </row>
    <row r="714" spans="35:35">
      <c r="AI714" s="131"/>
    </row>
    <row r="715" spans="35:35">
      <c r="AI715" s="131"/>
    </row>
    <row r="716" spans="35:35">
      <c r="AI716" s="131"/>
    </row>
    <row r="717" spans="35:35">
      <c r="AI717" s="131"/>
    </row>
    <row r="718" spans="35:35">
      <c r="AI718" s="131"/>
    </row>
    <row r="719" spans="35:35">
      <c r="AI719" s="131"/>
    </row>
    <row r="720" spans="35:35">
      <c r="AI720" s="131"/>
    </row>
    <row r="721" spans="35:35">
      <c r="AI721" s="131"/>
    </row>
    <row r="722" spans="35:35">
      <c r="AI722" s="131"/>
    </row>
    <row r="723" spans="35:35">
      <c r="AI723" s="131"/>
    </row>
    <row r="724" spans="35:35">
      <c r="AI724" s="131"/>
    </row>
    <row r="725" spans="35:35">
      <c r="AI725" s="131"/>
    </row>
    <row r="726" spans="35:35">
      <c r="AI726" s="131"/>
    </row>
    <row r="727" spans="35:35">
      <c r="AI727" s="131"/>
    </row>
    <row r="728" spans="35:35">
      <c r="AI728" s="131"/>
    </row>
    <row r="729" spans="35:35">
      <c r="AI729" s="131"/>
    </row>
    <row r="730" spans="35:35">
      <c r="AI730" s="131"/>
    </row>
    <row r="731" spans="35:35">
      <c r="AI731" s="131"/>
    </row>
    <row r="732" spans="35:35">
      <c r="AI732" s="131"/>
    </row>
    <row r="733" spans="35:35">
      <c r="AI733" s="131"/>
    </row>
    <row r="734" spans="35:35">
      <c r="AI734" s="131"/>
    </row>
    <row r="735" spans="35:35">
      <c r="AI735" s="131"/>
    </row>
    <row r="736" spans="35:35">
      <c r="AI736" s="131"/>
    </row>
    <row r="737" spans="35:35">
      <c r="AI737" s="131"/>
    </row>
    <row r="738" spans="35:35">
      <c r="AI738" s="131"/>
    </row>
    <row r="739" spans="35:35">
      <c r="AI739" s="284"/>
    </row>
    <row r="740" spans="35:35">
      <c r="AI740" s="131"/>
    </row>
    <row r="741" spans="35:35">
      <c r="AI741" s="131"/>
    </row>
    <row r="742" spans="35:35">
      <c r="AI742" s="131"/>
    </row>
    <row r="743" spans="35:35">
      <c r="AI743" s="131"/>
    </row>
    <row r="744" spans="35:35">
      <c r="AI744" s="131"/>
    </row>
    <row r="745" spans="35:35">
      <c r="AI745" s="131"/>
    </row>
    <row r="746" spans="35:35">
      <c r="AI746" s="131"/>
    </row>
    <row r="747" spans="35:35">
      <c r="AI747" s="131"/>
    </row>
    <row r="748" spans="35:35">
      <c r="AI748" s="131"/>
    </row>
    <row r="749" spans="35:35">
      <c r="AI749" s="131"/>
    </row>
    <row r="750" spans="35:35">
      <c r="AI750" s="131"/>
    </row>
    <row r="751" spans="35:35">
      <c r="AI751" s="131"/>
    </row>
    <row r="752" spans="35:35">
      <c r="AI752" s="131"/>
    </row>
    <row r="753" spans="35:35">
      <c r="AI753" s="131"/>
    </row>
    <row r="754" spans="35:35">
      <c r="AI754" s="131"/>
    </row>
    <row r="755" spans="35:35">
      <c r="AI755" s="131"/>
    </row>
    <row r="756" spans="35:35">
      <c r="AI756" s="131"/>
    </row>
    <row r="757" spans="35:35">
      <c r="AI757" s="131"/>
    </row>
    <row r="758" spans="35:35">
      <c r="AI758" s="131"/>
    </row>
    <row r="759" spans="35:35">
      <c r="AI759" s="131"/>
    </row>
    <row r="760" spans="35:35">
      <c r="AI760" s="131"/>
    </row>
    <row r="761" spans="35:35">
      <c r="AI761" s="131"/>
    </row>
    <row r="762" spans="35:35">
      <c r="AI762" s="131"/>
    </row>
    <row r="763" spans="35:35">
      <c r="AI763" s="131"/>
    </row>
    <row r="764" spans="35:35">
      <c r="AI764" s="131"/>
    </row>
    <row r="765" spans="35:35">
      <c r="AI765" s="131"/>
    </row>
    <row r="766" spans="35:35">
      <c r="AI766" s="131"/>
    </row>
    <row r="767" spans="35:35">
      <c r="AI767" s="131"/>
    </row>
    <row r="768" spans="35:35">
      <c r="AI768" s="131"/>
    </row>
    <row r="769" spans="35:35">
      <c r="AI769" s="131"/>
    </row>
    <row r="770" spans="35:35">
      <c r="AI770" s="131"/>
    </row>
    <row r="771" spans="35:35">
      <c r="AI771" s="131"/>
    </row>
    <row r="772" spans="35:35">
      <c r="AI772" s="131"/>
    </row>
    <row r="773" spans="35:35">
      <c r="AI773" s="131"/>
    </row>
    <row r="774" spans="35:35">
      <c r="AI774" s="131"/>
    </row>
    <row r="775" spans="35:35">
      <c r="AI775" s="131"/>
    </row>
    <row r="776" spans="35:35">
      <c r="AI776" s="131"/>
    </row>
    <row r="777" spans="35:35">
      <c r="AI777" s="131"/>
    </row>
    <row r="778" spans="35:35">
      <c r="AI778" s="131"/>
    </row>
    <row r="779" spans="35:35">
      <c r="AI779" s="131"/>
    </row>
    <row r="780" spans="35:35">
      <c r="AI780" s="131"/>
    </row>
    <row r="781" spans="35:35">
      <c r="AI781" s="131"/>
    </row>
    <row r="782" spans="35:35">
      <c r="AI782" s="131"/>
    </row>
    <row r="783" spans="35:35">
      <c r="AI783" s="131"/>
    </row>
    <row r="784" spans="35:35">
      <c r="AI784" s="131"/>
    </row>
    <row r="785" spans="35:35">
      <c r="AI785" s="131"/>
    </row>
    <row r="786" spans="35:35">
      <c r="AI786" s="131"/>
    </row>
    <row r="787" spans="35:35">
      <c r="AI787" s="131"/>
    </row>
    <row r="788" spans="35:35">
      <c r="AI788" s="131"/>
    </row>
    <row r="789" spans="35:35">
      <c r="AI789" s="131"/>
    </row>
    <row r="790" spans="35:35">
      <c r="AI790" s="131"/>
    </row>
    <row r="791" spans="35:35">
      <c r="AI791" s="131"/>
    </row>
    <row r="792" spans="35:35">
      <c r="AI792" s="131"/>
    </row>
    <row r="793" spans="35:35">
      <c r="AI793" s="131"/>
    </row>
    <row r="794" spans="35:35">
      <c r="AI794" s="131"/>
    </row>
    <row r="795" spans="35:35">
      <c r="AI795" s="131"/>
    </row>
    <row r="796" spans="35:35">
      <c r="AI796" s="284"/>
    </row>
    <row r="797" spans="35:35">
      <c r="AI797" s="131"/>
    </row>
    <row r="798" spans="35:35">
      <c r="AI798" s="131"/>
    </row>
    <row r="799" spans="35:35">
      <c r="AI799" s="131"/>
    </row>
    <row r="800" spans="35:35">
      <c r="AI800" s="131"/>
    </row>
    <row r="801" spans="35:35">
      <c r="AI801" s="131"/>
    </row>
    <row r="802" spans="35:35">
      <c r="AI802" s="131"/>
    </row>
    <row r="803" spans="35:35">
      <c r="AI803" s="131"/>
    </row>
    <row r="804" spans="35:35">
      <c r="AI804" s="131"/>
    </row>
    <row r="805" spans="35:35">
      <c r="AI805" s="131"/>
    </row>
    <row r="806" spans="35:35">
      <c r="AI806" s="131"/>
    </row>
    <row r="807" spans="35:35">
      <c r="AI807" s="131"/>
    </row>
    <row r="808" spans="35:35">
      <c r="AI808" s="131"/>
    </row>
    <row r="809" spans="35:35">
      <c r="AI809" s="131"/>
    </row>
    <row r="810" spans="35:35">
      <c r="AI810" s="131"/>
    </row>
    <row r="811" spans="35:35">
      <c r="AI811" s="131"/>
    </row>
    <row r="812" spans="35:35">
      <c r="AI812" s="131"/>
    </row>
    <row r="813" spans="35:35">
      <c r="AI813" s="131"/>
    </row>
    <row r="814" spans="35:35">
      <c r="AI814" s="131"/>
    </row>
    <row r="815" spans="35:35">
      <c r="AI815" s="131"/>
    </row>
    <row r="816" spans="35:35">
      <c r="AI816" s="131"/>
    </row>
    <row r="817" spans="35:35">
      <c r="AI817" s="131"/>
    </row>
    <row r="818" spans="35:35">
      <c r="AI818" s="131"/>
    </row>
    <row r="819" spans="35:35">
      <c r="AI819" s="131"/>
    </row>
    <row r="820" spans="35:35">
      <c r="AI820" s="131"/>
    </row>
    <row r="821" spans="35:35">
      <c r="AI821" s="131"/>
    </row>
    <row r="822" spans="35:35">
      <c r="AI822" s="131"/>
    </row>
    <row r="823" spans="35:35">
      <c r="AI823" s="131"/>
    </row>
    <row r="824" spans="35:35">
      <c r="AI824" s="253"/>
    </row>
    <row r="825" spans="35:35">
      <c r="AI825" s="131"/>
    </row>
    <row r="826" spans="35:35">
      <c r="AI826" s="131"/>
    </row>
    <row r="827" spans="35:35">
      <c r="AI827" s="131"/>
    </row>
    <row r="828" spans="35:35">
      <c r="AI828" s="131"/>
    </row>
    <row r="829" spans="35:35">
      <c r="AI829" s="131"/>
    </row>
    <row r="830" spans="35:35">
      <c r="AI830" s="131"/>
    </row>
    <row r="831" spans="35:35">
      <c r="AI831" s="131"/>
    </row>
    <row r="832" spans="35:35">
      <c r="AI832" s="131"/>
    </row>
    <row r="833" spans="35:35">
      <c r="AI833" s="131"/>
    </row>
    <row r="834" spans="35:35">
      <c r="AI834" s="131"/>
    </row>
    <row r="835" spans="35:35">
      <c r="AI835" s="131"/>
    </row>
    <row r="836" spans="35:35">
      <c r="AI836" s="131"/>
    </row>
    <row r="837" spans="35:35">
      <c r="AI837" s="131"/>
    </row>
    <row r="838" spans="35:35">
      <c r="AI838" s="284"/>
    </row>
    <row r="839" spans="35:35">
      <c r="AI839" s="131"/>
    </row>
    <row r="840" spans="35:35">
      <c r="AI840" s="131"/>
    </row>
    <row r="841" spans="35:35">
      <c r="AI841" s="131"/>
    </row>
    <row r="842" spans="35:35">
      <c r="AI842" s="131"/>
    </row>
    <row r="843" spans="35:35">
      <c r="AI843" s="131"/>
    </row>
    <row r="844" spans="35:35">
      <c r="AI844" s="131"/>
    </row>
    <row r="845" spans="35:35">
      <c r="AI845" s="131"/>
    </row>
    <row r="846" spans="35:35">
      <c r="AI846" s="131"/>
    </row>
    <row r="848" spans="35:35">
      <c r="AI848" s="131"/>
    </row>
    <row r="849" spans="35:35">
      <c r="AI849" s="131"/>
    </row>
    <row r="850" spans="35:35">
      <c r="AI850" s="284"/>
    </row>
    <row r="851" spans="35:35">
      <c r="AI851" s="131"/>
    </row>
    <row r="852" spans="35:35">
      <c r="AI852" s="284"/>
    </row>
    <row r="853" spans="35:35">
      <c r="AI853" s="131"/>
    </row>
    <row r="854" spans="35:35">
      <c r="AI854" s="131"/>
    </row>
    <row r="855" spans="35:35">
      <c r="AI855" s="131"/>
    </row>
    <row r="856" spans="35:35">
      <c r="AI856" s="284"/>
    </row>
    <row r="857" spans="35:35">
      <c r="AI857" s="128"/>
    </row>
    <row r="859" spans="35:35">
      <c r="AI859" s="131"/>
    </row>
    <row r="860" spans="35:35">
      <c r="AI860" s="284"/>
    </row>
    <row r="861" spans="35:35">
      <c r="AI861" s="131"/>
    </row>
    <row r="862" spans="35:35">
      <c r="AI862" s="131"/>
    </row>
    <row r="863" spans="35:35">
      <c r="AI863" s="284"/>
    </row>
    <row r="864" spans="35:35">
      <c r="AI864" s="131"/>
    </row>
    <row r="865" spans="35:35">
      <c r="AI865" s="131"/>
    </row>
    <row r="866" spans="35:35">
      <c r="AI866" s="131"/>
    </row>
    <row r="867" spans="35:35">
      <c r="AI867" s="131"/>
    </row>
    <row r="868" spans="35:35">
      <c r="AI868" s="131"/>
    </row>
    <row r="869" spans="35:35">
      <c r="AI869" s="284"/>
    </row>
    <row r="870" spans="35:35">
      <c r="AI870" s="131"/>
    </row>
    <row r="871" spans="35:35">
      <c r="AI871" s="131"/>
    </row>
    <row r="872" spans="35:35">
      <c r="AI872" s="131"/>
    </row>
    <row r="873" spans="35:35">
      <c r="AI873" s="131"/>
    </row>
    <row r="875" spans="35:35">
      <c r="AI875" s="284"/>
    </row>
    <row r="876" spans="35:35">
      <c r="AI876" s="131"/>
    </row>
    <row r="877" spans="35:35">
      <c r="AI877" s="131"/>
    </row>
    <row r="878" spans="35:35">
      <c r="AI878" s="131"/>
    </row>
    <row r="879" spans="35:35">
      <c r="AI879" s="131"/>
    </row>
    <row r="880" spans="35:35">
      <c r="AI880" s="131"/>
    </row>
    <row r="881" spans="35:35">
      <c r="AI881" s="131"/>
    </row>
    <row r="882" spans="35:35">
      <c r="AI882" s="131"/>
    </row>
    <row r="883" spans="35:35">
      <c r="AI883" s="131"/>
    </row>
    <row r="884" spans="35:35">
      <c r="AI884" s="27"/>
    </row>
    <row r="885" spans="35:35">
      <c r="AI885" s="131"/>
    </row>
    <row r="886" spans="35:35">
      <c r="AI886" s="131"/>
    </row>
    <row r="887" spans="35:35">
      <c r="AI887" s="131"/>
    </row>
    <row r="888" spans="35:35">
      <c r="AI888" s="131"/>
    </row>
    <row r="889" spans="35:35">
      <c r="AI889" s="131"/>
    </row>
    <row r="890" spans="35:35">
      <c r="AI890" s="131"/>
    </row>
    <row r="891" spans="35:35">
      <c r="AI891" s="131"/>
    </row>
    <row r="892" spans="35:35">
      <c r="AI892" s="284"/>
    </row>
    <row r="893" spans="35:35">
      <c r="AI893" s="131"/>
    </row>
    <row r="894" spans="35:35">
      <c r="AI894" s="131"/>
    </row>
    <row r="895" spans="35:35">
      <c r="AI895" s="131"/>
    </row>
    <row r="896" spans="35:35">
      <c r="AI896" s="131"/>
    </row>
    <row r="897" spans="35:35">
      <c r="AI897" s="131"/>
    </row>
    <row r="898" spans="35:35">
      <c r="AI898" s="131"/>
    </row>
    <row r="899" spans="35:35">
      <c r="AI899" s="284"/>
    </row>
    <row r="900" spans="35:35">
      <c r="AI900" s="131"/>
    </row>
    <row r="901" spans="35:35">
      <c r="AI901" s="131"/>
    </row>
    <row r="902" spans="35:35">
      <c r="AI902" s="131"/>
    </row>
    <row r="903" spans="35:35">
      <c r="AI903" s="131"/>
    </row>
    <row r="904" spans="35:35">
      <c r="AI904" s="131"/>
    </row>
    <row r="905" spans="35:35">
      <c r="AI905" s="131"/>
    </row>
    <row r="906" spans="35:35">
      <c r="AI906" s="131"/>
    </row>
    <row r="907" spans="35:35">
      <c r="AI907" s="284"/>
    </row>
    <row r="908" spans="35:35">
      <c r="AI908" s="131"/>
    </row>
    <row r="909" spans="35:35">
      <c r="AI909" s="131"/>
    </row>
    <row r="910" spans="35:35">
      <c r="AI910" s="131"/>
    </row>
    <row r="911" spans="35:35">
      <c r="AI911" s="131"/>
    </row>
    <row r="912" spans="35:35">
      <c r="AI912" s="131"/>
    </row>
    <row r="913" spans="35:35">
      <c r="AI913" s="131"/>
    </row>
    <row r="914" spans="35:35">
      <c r="AI914" s="131"/>
    </row>
    <row r="915" spans="35:35">
      <c r="AI915" s="131"/>
    </row>
    <row r="916" spans="35:35">
      <c r="AI916" s="131"/>
    </row>
    <row r="917" spans="35:35">
      <c r="AI917" s="128"/>
    </row>
    <row r="918" spans="35:35">
      <c r="AI918" s="128"/>
    </row>
    <row r="919" spans="35:35">
      <c r="AI919" s="131"/>
    </row>
    <row r="920" spans="35:35">
      <c r="AI920" s="131"/>
    </row>
    <row r="921" spans="35:35">
      <c r="AI921" s="131"/>
    </row>
    <row r="922" spans="35:35">
      <c r="AI922" s="131"/>
    </row>
    <row r="923" spans="35:35">
      <c r="AI923" s="131"/>
    </row>
    <row r="924" spans="35:35">
      <c r="AI924" s="131"/>
    </row>
    <row r="925" spans="35:35">
      <c r="AI925" s="131"/>
    </row>
    <row r="926" spans="35:35">
      <c r="AI926" s="131"/>
    </row>
    <row r="927" spans="35:35">
      <c r="AI927" s="131"/>
    </row>
    <row r="928" spans="35:35">
      <c r="AI928" s="131"/>
    </row>
    <row r="929" spans="35:35">
      <c r="AI929" s="131"/>
    </row>
    <row r="930" spans="35:35">
      <c r="AI930" s="284"/>
    </row>
    <row r="931" spans="35:35">
      <c r="AI931" s="131"/>
    </row>
    <row r="932" spans="35:35">
      <c r="AI932" s="131"/>
    </row>
    <row r="933" spans="35:35">
      <c r="AI933" s="284"/>
    </row>
    <row r="934" spans="35:35">
      <c r="AI934" s="131"/>
    </row>
    <row r="935" spans="35:35">
      <c r="AI935" s="131"/>
    </row>
    <row r="936" spans="35:35">
      <c r="AI936" s="131"/>
    </row>
    <row r="937" spans="35:35">
      <c r="AI937" s="44"/>
    </row>
    <row r="939" spans="35:35">
      <c r="AI939" s="131"/>
    </row>
    <row r="940" spans="35:35">
      <c r="AI940" s="131"/>
    </row>
    <row r="941" spans="35:35">
      <c r="AI941" s="131"/>
    </row>
    <row r="942" spans="35:35">
      <c r="AI942" s="131"/>
    </row>
    <row r="943" spans="35:35">
      <c r="AI943" s="131"/>
    </row>
    <row r="944" spans="35:35">
      <c r="AI944" s="131"/>
    </row>
    <row r="945" spans="35:35">
      <c r="AI945" s="131"/>
    </row>
    <row r="946" spans="35:35">
      <c r="AI946" s="131"/>
    </row>
    <row r="947" spans="35:35">
      <c r="AI947" s="128"/>
    </row>
    <row r="948" spans="35:35">
      <c r="AI948" s="131"/>
    </row>
    <row r="949" spans="35:35">
      <c r="AI949" s="131"/>
    </row>
    <row r="950" spans="35:35">
      <c r="AI950" s="131"/>
    </row>
    <row r="951" spans="35:35">
      <c r="AI951" s="131"/>
    </row>
    <row r="952" spans="35:35">
      <c r="AI952" s="131"/>
    </row>
    <row r="953" spans="35:35">
      <c r="AI953" s="131"/>
    </row>
    <row r="954" spans="35:35">
      <c r="AI954" s="131"/>
    </row>
    <row r="955" spans="35:35">
      <c r="AI955" s="131"/>
    </row>
    <row r="957" spans="35:35">
      <c r="AI957" s="131"/>
    </row>
    <row r="958" spans="35:35">
      <c r="AI958" s="131"/>
    </row>
    <row r="959" spans="35:35">
      <c r="AI959" s="131"/>
    </row>
    <row r="960" spans="35:35">
      <c r="AI960" s="131"/>
    </row>
    <row r="961" spans="35:35">
      <c r="AI961" s="284"/>
    </row>
    <row r="962" spans="35:35">
      <c r="AI962" s="131"/>
    </row>
    <row r="963" spans="35:35">
      <c r="AI963" s="131"/>
    </row>
    <row r="964" spans="35:35">
      <c r="AI964" s="131"/>
    </row>
    <row r="965" spans="35:35">
      <c r="AI965" s="131"/>
    </row>
    <row r="966" spans="35:35">
      <c r="AI966" s="131"/>
    </row>
    <row r="967" spans="35:35">
      <c r="AI967" s="131"/>
    </row>
    <row r="968" spans="35:35">
      <c r="AI968" s="128"/>
    </row>
    <row r="969" spans="35:35">
      <c r="AI969" s="131"/>
    </row>
    <row r="970" spans="35:35">
      <c r="AI970" s="284"/>
    </row>
    <row r="971" spans="35:35">
      <c r="AI971" s="131"/>
    </row>
    <row r="972" spans="35:35">
      <c r="AI972" s="131"/>
    </row>
    <row r="973" spans="35:35">
      <c r="AI973" s="131"/>
    </row>
    <row r="974" spans="35:35">
      <c r="AI974" s="131"/>
    </row>
    <row r="975" spans="35:35">
      <c r="AI975" s="131"/>
    </row>
    <row r="976" spans="35:35">
      <c r="AI976" s="131"/>
    </row>
    <row r="977" spans="35:35">
      <c r="AI977" s="131"/>
    </row>
    <row r="978" spans="35:35">
      <c r="AI978" s="131"/>
    </row>
    <row r="979" spans="35:35">
      <c r="AI979" s="131"/>
    </row>
    <row r="980" spans="35:35">
      <c r="AI980" s="131"/>
    </row>
    <row r="981" spans="35:35">
      <c r="AI981" s="131"/>
    </row>
    <row r="982" spans="35:35">
      <c r="AI982" s="131"/>
    </row>
    <row r="983" spans="35:35">
      <c r="AI983" s="131"/>
    </row>
    <row r="984" spans="35:35">
      <c r="AI984" s="131"/>
    </row>
    <row r="985" spans="35:35">
      <c r="AI985" s="131"/>
    </row>
    <row r="986" spans="35:35">
      <c r="AI986" s="131"/>
    </row>
    <row r="987" spans="35:35">
      <c r="AI987" s="131"/>
    </row>
    <row r="988" spans="35:35">
      <c r="AI988" s="131"/>
    </row>
    <row r="989" spans="35:35">
      <c r="AI989" s="128"/>
    </row>
    <row r="990" spans="35:35">
      <c r="AI990" s="131"/>
    </row>
    <row r="991" spans="35:35">
      <c r="AI991" s="131"/>
    </row>
    <row r="992" spans="35:35">
      <c r="AI992" s="131"/>
    </row>
    <row r="993" spans="35:35">
      <c r="AI993" s="131"/>
    </row>
    <row r="994" spans="35:35">
      <c r="AI994" s="131"/>
    </row>
    <row r="995" spans="35:35">
      <c r="AI995" s="28"/>
    </row>
    <row r="996" spans="35:35">
      <c r="AI996" s="128"/>
    </row>
    <row r="997" spans="35:35">
      <c r="AI997" s="284"/>
    </row>
    <row r="998" spans="35:35">
      <c r="AI998" s="284"/>
    </row>
    <row r="999" spans="35:35">
      <c r="AI999" s="131"/>
    </row>
    <row r="1000" spans="35:35">
      <c r="AI1000" s="128"/>
    </row>
    <row r="1001" spans="35:35">
      <c r="AI1001" s="131"/>
    </row>
    <row r="1002" spans="35:35">
      <c r="AI1002" s="131"/>
    </row>
    <row r="1003" spans="35:35">
      <c r="AI1003" s="131"/>
    </row>
    <row r="1004" spans="35:35">
      <c r="AI1004" s="44"/>
    </row>
    <row r="1005" spans="35:35">
      <c r="AI1005" s="131"/>
    </row>
    <row r="1007" spans="35:35">
      <c r="AI1007" s="131"/>
    </row>
    <row r="1008" spans="35:35">
      <c r="AI1008" s="128"/>
    </row>
    <row r="1009" spans="35:35">
      <c r="AI1009" s="131"/>
    </row>
    <row r="1010" spans="35:35">
      <c r="AI1010" s="131"/>
    </row>
    <row r="1011" spans="35:35">
      <c r="AI1011" s="128"/>
    </row>
    <row r="1012" spans="35:35">
      <c r="AI1012" s="131"/>
    </row>
    <row r="1013" spans="35:35">
      <c r="AI1013" s="131"/>
    </row>
    <row r="1014" spans="35:35">
      <c r="AI1014" s="131"/>
    </row>
    <row r="1015" spans="35:35">
      <c r="AI1015" s="131"/>
    </row>
    <row r="1016" spans="35:35">
      <c r="AI1016" s="131"/>
    </row>
    <row r="1017" spans="35:35">
      <c r="AI1017" s="131"/>
    </row>
    <row r="1018" spans="35:35">
      <c r="AI1018" s="131"/>
    </row>
    <row r="1019" spans="35:35">
      <c r="AI1019" s="131"/>
    </row>
    <row r="1020" spans="35:35">
      <c r="AI1020" s="131"/>
    </row>
    <row r="1021" spans="35:35">
      <c r="AI1021" s="131"/>
    </row>
    <row r="1022" spans="35:35">
      <c r="AI1022" s="284"/>
    </row>
    <row r="1023" spans="35:35">
      <c r="AI1023" s="131"/>
    </row>
    <row r="1024" spans="35:35">
      <c r="AI1024" s="131"/>
    </row>
    <row r="1025" spans="35:36">
      <c r="AI1025" s="131"/>
    </row>
    <row r="1026" spans="35:36">
      <c r="AI1026" s="131"/>
    </row>
    <row r="1027" spans="35:36">
      <c r="AI1027" s="131"/>
      <c r="AJ1027" s="264" t="s">
        <v>5277</v>
      </c>
    </row>
    <row r="1028" spans="35:36">
      <c r="AI1028" s="131"/>
    </row>
    <row r="1029" spans="35:36">
      <c r="AI1029" s="128"/>
    </row>
    <row r="1030" spans="35:36">
      <c r="AI1030" s="131"/>
    </row>
    <row r="1031" spans="35:36">
      <c r="AI1031" s="131"/>
    </row>
    <row r="1032" spans="35:36">
      <c r="AI1032" s="131"/>
    </row>
    <row r="1033" spans="35:36">
      <c r="AI1033" s="131"/>
    </row>
    <row r="1034" spans="35:36">
      <c r="AI1034" s="284"/>
    </row>
    <row r="1036" spans="35:36">
      <c r="AI1036" s="131"/>
    </row>
    <row r="1037" spans="35:36">
      <c r="AI1037" s="131"/>
    </row>
    <row r="1038" spans="35:36">
      <c r="AI1038" s="131"/>
    </row>
    <row r="1039" spans="35:36">
      <c r="AI1039" s="28"/>
    </row>
    <row r="1040" spans="35:36">
      <c r="AI1040" s="131"/>
    </row>
    <row r="1041" spans="35:35">
      <c r="AI1041" s="284"/>
    </row>
    <row r="1042" spans="35:35">
      <c r="AI1042" s="128"/>
    </row>
    <row r="1043" spans="35:35">
      <c r="AI1043" s="131"/>
    </row>
    <row r="1044" spans="35:35">
      <c r="AI1044" s="131"/>
    </row>
    <row r="1045" spans="35:35">
      <c r="AI1045" s="131"/>
    </row>
    <row r="1046" spans="35:35">
      <c r="AI1046" s="131"/>
    </row>
    <row r="1047" spans="35:35">
      <c r="AI1047" s="131"/>
    </row>
    <row r="1048" spans="35:35">
      <c r="AI1048" s="131"/>
    </row>
    <row r="1049" spans="35:35">
      <c r="AI1049" s="131"/>
    </row>
    <row r="1050" spans="35:35">
      <c r="AI1050" s="131"/>
    </row>
    <row r="1051" spans="35:35">
      <c r="AI1051" s="131"/>
    </row>
    <row r="1052" spans="35:35">
      <c r="AI1052" s="131"/>
    </row>
    <row r="1053" spans="35:35">
      <c r="AI1053" s="131"/>
    </row>
    <row r="1054" spans="35:35">
      <c r="AI1054" s="131"/>
    </row>
    <row r="1055" spans="35:35">
      <c r="AI1055" s="131"/>
    </row>
    <row r="1056" spans="35:35">
      <c r="AI1056" s="284"/>
    </row>
    <row r="1058" spans="35:35">
      <c r="AI1058" s="131"/>
    </row>
    <row r="1059" spans="35:35">
      <c r="AI1059" s="131"/>
    </row>
    <row r="1060" spans="35:35">
      <c r="AI1060" s="131"/>
    </row>
    <row r="1061" spans="35:35">
      <c r="AI1061" s="131"/>
    </row>
    <row r="1062" spans="35:35">
      <c r="AI1062" s="131"/>
    </row>
    <row r="1063" spans="35:35">
      <c r="AI1063" s="131"/>
    </row>
    <row r="1064" spans="35:35">
      <c r="AI1064" s="131"/>
    </row>
    <row r="1065" spans="35:35">
      <c r="AI1065" s="131"/>
    </row>
    <row r="1066" spans="35:35">
      <c r="AI1066" s="131"/>
    </row>
    <row r="1067" spans="35:35">
      <c r="AI1067" s="131"/>
    </row>
    <row r="1068" spans="35:35">
      <c r="AI1068" s="131"/>
    </row>
    <row r="1069" spans="35:35">
      <c r="AI1069" s="131"/>
    </row>
    <row r="1070" spans="35:35">
      <c r="AI1070" s="131"/>
    </row>
    <row r="1071" spans="35:35">
      <c r="AI1071" s="131"/>
    </row>
    <row r="1073" spans="35:35">
      <c r="AI1073" s="131"/>
    </row>
    <row r="1074" spans="35:35">
      <c r="AI1074" s="128"/>
    </row>
    <row r="1075" spans="35:35">
      <c r="AI1075" s="131"/>
    </row>
    <row r="1076" spans="35:35">
      <c r="AI1076" s="131"/>
    </row>
    <row r="1077" spans="35:35">
      <c r="AI1077" s="131"/>
    </row>
    <row r="1078" spans="35:35">
      <c r="AI1078" s="131"/>
    </row>
    <row r="1079" spans="35:35">
      <c r="AI1079" s="131"/>
    </row>
    <row r="1080" spans="35:35">
      <c r="AI1080" s="131"/>
    </row>
    <row r="1082" spans="35:35">
      <c r="AI1082" s="131"/>
    </row>
    <row r="1083" spans="35:35">
      <c r="AI1083" s="131"/>
    </row>
    <row r="1084" spans="35:35">
      <c r="AI1084" s="131"/>
    </row>
    <row r="1085" spans="35:35">
      <c r="AI1085" s="131"/>
    </row>
    <row r="1086" spans="35:35">
      <c r="AI1086" s="131"/>
    </row>
    <row r="1087" spans="35:35">
      <c r="AI1087" s="131"/>
    </row>
    <row r="1088" spans="35:35">
      <c r="AI1088" s="131"/>
    </row>
    <row r="1089" spans="35:35">
      <c r="AI1089" s="131"/>
    </row>
    <row r="1090" spans="35:35">
      <c r="AI1090" s="131"/>
    </row>
    <row r="1091" spans="35:35">
      <c r="AI1091" s="128"/>
    </row>
    <row r="1092" spans="35:35">
      <c r="AI1092" s="131"/>
    </row>
    <row r="1093" spans="35:35">
      <c r="AI1093" s="131"/>
    </row>
    <row r="1094" spans="35:35">
      <c r="AI1094" s="131"/>
    </row>
    <row r="1096" spans="35:35">
      <c r="AI1096" s="131"/>
    </row>
    <row r="1097" spans="35:35">
      <c r="AI1097" s="131"/>
    </row>
    <row r="1098" spans="35:35">
      <c r="AI1098" s="284"/>
    </row>
    <row r="1099" spans="35:35">
      <c r="AI1099" s="131"/>
    </row>
    <row r="1100" spans="35:35">
      <c r="AI1100" s="284"/>
    </row>
    <row r="1101" spans="35:35">
      <c r="AI1101" s="131"/>
    </row>
    <row r="1102" spans="35:35">
      <c r="AI1102" s="131"/>
    </row>
    <row r="1103" spans="35:35">
      <c r="AI1103" s="131"/>
    </row>
    <row r="1104" spans="35:35">
      <c r="AI1104" s="284"/>
    </row>
    <row r="1105" spans="35:35">
      <c r="AI1105" s="284"/>
    </row>
    <row r="1106" spans="35:35">
      <c r="AI1106" s="131"/>
    </row>
    <row r="1107" spans="35:35">
      <c r="AI1107" s="131"/>
    </row>
    <row r="1108" spans="35:35">
      <c r="AI1108" s="131"/>
    </row>
    <row r="1109" spans="35:35">
      <c r="AI1109" s="131"/>
    </row>
    <row r="1110" spans="35:35">
      <c r="AI1110" s="284"/>
    </row>
    <row r="1111" spans="35:35">
      <c r="AI1111" s="131"/>
    </row>
    <row r="1112" spans="35:35">
      <c r="AI1112" s="284"/>
    </row>
    <row r="1113" spans="35:35">
      <c r="AI1113" s="131"/>
    </row>
    <row r="1114" spans="35:35">
      <c r="AI1114" s="284"/>
    </row>
    <row r="1115" spans="35:35">
      <c r="AI1115" s="131"/>
    </row>
    <row r="1116" spans="35:35">
      <c r="AI1116" s="131"/>
    </row>
    <row r="1117" spans="35:35">
      <c r="AI1117" s="131"/>
    </row>
    <row r="1118" spans="35:35">
      <c r="AI1118" s="131"/>
    </row>
    <row r="1119" spans="35:35">
      <c r="AI1119" s="131"/>
    </row>
    <row r="1120" spans="35:35">
      <c r="AI1120" s="131"/>
    </row>
    <row r="1121" spans="35:35">
      <c r="AI1121" s="131"/>
    </row>
    <row r="1122" spans="35:35">
      <c r="AI1122" s="131"/>
    </row>
    <row r="1123" spans="35:35">
      <c r="AI1123" s="131"/>
    </row>
    <row r="1124" spans="35:35">
      <c r="AI1124" s="131"/>
    </row>
    <row r="1125" spans="35:35">
      <c r="AI1125" s="131"/>
    </row>
    <row r="1126" spans="35:35">
      <c r="AI1126" s="131"/>
    </row>
    <row r="1127" spans="35:35">
      <c r="AI1127" s="131"/>
    </row>
    <row r="1128" spans="35:35">
      <c r="AI1128" s="131"/>
    </row>
    <row r="1129" spans="35:35">
      <c r="AI1129" s="131"/>
    </row>
    <row r="1130" spans="35:35">
      <c r="AI1130" s="131"/>
    </row>
    <row r="1131" spans="35:35">
      <c r="AI1131" s="284"/>
    </row>
    <row r="1132" spans="35:35">
      <c r="AI1132" s="131"/>
    </row>
    <row r="1133" spans="35:35">
      <c r="AI1133" s="131"/>
    </row>
    <row r="1134" spans="35:35">
      <c r="AI1134" s="131"/>
    </row>
    <row r="1135" spans="35:35">
      <c r="AI1135" s="131"/>
    </row>
    <row r="1136" spans="35:35">
      <c r="AI1136" s="131"/>
    </row>
    <row r="1137" spans="35:35">
      <c r="AI1137" s="131"/>
    </row>
    <row r="1138" spans="35:35">
      <c r="AI1138" s="131"/>
    </row>
    <row r="1139" spans="35:35">
      <c r="AI1139" s="284"/>
    </row>
    <row r="1140" spans="35:35">
      <c r="AI1140" s="131"/>
    </row>
    <row r="1141" spans="35:35">
      <c r="AI1141" s="131"/>
    </row>
    <row r="1142" spans="35:35">
      <c r="AI1142" s="131"/>
    </row>
    <row r="1143" spans="35:35">
      <c r="AI1143" s="131"/>
    </row>
    <row r="1144" spans="35:35">
      <c r="AI1144" s="131"/>
    </row>
    <row r="1145" spans="35:35">
      <c r="AI1145" s="131"/>
    </row>
    <row r="1146" spans="35:35">
      <c r="AI1146" s="131"/>
    </row>
    <row r="1147" spans="35:35">
      <c r="AI1147" s="131"/>
    </row>
    <row r="1148" spans="35:35">
      <c r="AI1148" s="131"/>
    </row>
    <row r="1149" spans="35:35">
      <c r="AI1149" s="131"/>
    </row>
    <row r="1150" spans="35:35">
      <c r="AI1150" s="128"/>
    </row>
    <row r="1151" spans="35:35">
      <c r="AI1151" s="131"/>
    </row>
    <row r="1152" spans="35:35">
      <c r="AI1152" s="131"/>
    </row>
    <row r="1153" spans="35:35">
      <c r="AI1153" s="284"/>
    </row>
    <row r="1154" spans="35:35">
      <c r="AI1154" s="131"/>
    </row>
    <row r="1155" spans="35:35">
      <c r="AI1155" s="131"/>
    </row>
    <row r="1156" spans="35:35">
      <c r="AI1156" s="131"/>
    </row>
    <row r="1157" spans="35:35">
      <c r="AI1157" s="131"/>
    </row>
    <row r="1158" spans="35:35">
      <c r="AI1158" s="131"/>
    </row>
    <row r="1159" spans="35:35">
      <c r="AI1159" s="131"/>
    </row>
    <row r="1160" spans="35:35">
      <c r="AI1160" s="131"/>
    </row>
    <row r="1161" spans="35:35">
      <c r="AI1161" s="284"/>
    </row>
    <row r="1162" spans="35:35">
      <c r="AI1162" s="284"/>
    </row>
    <row r="1163" spans="35:35">
      <c r="AI1163" s="131"/>
    </row>
    <row r="1164" spans="35:35">
      <c r="AI1164" s="284"/>
    </row>
    <row r="1165" spans="35:35">
      <c r="AI1165" s="131"/>
    </row>
    <row r="1166" spans="35:35">
      <c r="AI1166" s="131"/>
    </row>
    <row r="1167" spans="35:35">
      <c r="AI1167" s="131"/>
    </row>
    <row r="1168" spans="35:35">
      <c r="AI1168" s="131"/>
    </row>
    <row r="1169" spans="35:35">
      <c r="AI1169" s="131"/>
    </row>
    <row r="1170" spans="35:35">
      <c r="AI1170" s="131"/>
    </row>
    <row r="1171" spans="35:35">
      <c r="AI1171" s="131"/>
    </row>
    <row r="1172" spans="35:35">
      <c r="AI1172" s="284"/>
    </row>
    <row r="1173" spans="35:35">
      <c r="AI1173" s="131"/>
    </row>
    <row r="1174" spans="35:35">
      <c r="AI1174" s="131"/>
    </row>
    <row r="1175" spans="35:35">
      <c r="AI1175" s="131"/>
    </row>
    <row r="1176" spans="35:35">
      <c r="AI1176" s="131"/>
    </row>
    <row r="1177" spans="35:35">
      <c r="AI1177" s="131"/>
    </row>
    <row r="1178" spans="35:35">
      <c r="AI1178" s="131"/>
    </row>
    <row r="1179" spans="35:35">
      <c r="AI1179" s="131"/>
    </row>
    <row r="1180" spans="35:35">
      <c r="AI1180" s="131"/>
    </row>
    <row r="1181" spans="35:35">
      <c r="AI1181" s="131"/>
    </row>
    <row r="1182" spans="35:35">
      <c r="AI1182" s="131"/>
    </row>
    <row r="1183" spans="35:35">
      <c r="AI1183" s="131"/>
    </row>
    <row r="1184" spans="35:35">
      <c r="AI1184" s="132"/>
    </row>
    <row r="1185" spans="35:35">
      <c r="AI1185" s="131"/>
    </row>
    <row r="1186" spans="35:35">
      <c r="AI1186" s="131"/>
    </row>
    <row r="1187" spans="35:35">
      <c r="AI1187" s="131"/>
    </row>
    <row r="1188" spans="35:35">
      <c r="AI1188" s="131"/>
    </row>
    <row r="1189" spans="35:35">
      <c r="AI1189" s="131"/>
    </row>
    <row r="1190" spans="35:35">
      <c r="AI1190" s="131"/>
    </row>
    <row r="1191" spans="35:35">
      <c r="AI1191" s="131"/>
    </row>
    <row r="1192" spans="35:35">
      <c r="AI1192" s="284"/>
    </row>
    <row r="1193" spans="35:35">
      <c r="AI1193" s="131"/>
    </row>
    <row r="1194" spans="35:35">
      <c r="AI1194" s="131"/>
    </row>
    <row r="1195" spans="35:35">
      <c r="AI1195" s="131"/>
    </row>
    <row r="1196" spans="35:35">
      <c r="AI1196" s="131"/>
    </row>
    <row r="1197" spans="35:35">
      <c r="AI1197" s="131"/>
    </row>
    <row r="1198" spans="35:35">
      <c r="AI1198" s="131"/>
    </row>
    <row r="1199" spans="35:35">
      <c r="AI1199" s="131"/>
    </row>
    <row r="1200" spans="35:35">
      <c r="AI1200" s="131"/>
    </row>
    <row r="1201" spans="35:35">
      <c r="AI1201" s="131"/>
    </row>
    <row r="1202" spans="35:35">
      <c r="AI1202" s="131"/>
    </row>
    <row r="1203" spans="35:35">
      <c r="AI1203" s="131"/>
    </row>
    <row r="1204" spans="35:35">
      <c r="AI1204" s="131"/>
    </row>
    <row r="1205" spans="35:35">
      <c r="AI1205" s="131"/>
    </row>
    <row r="1206" spans="35:35">
      <c r="AI1206" s="131"/>
    </row>
    <row r="1207" spans="35:35">
      <c r="AI1207" s="284"/>
    </row>
    <row r="1208" spans="35:35">
      <c r="AI1208" s="284"/>
    </row>
    <row r="1209" spans="35:35">
      <c r="AI1209" s="131"/>
    </row>
    <row r="1210" spans="35:35">
      <c r="AI1210" s="131"/>
    </row>
    <row r="1211" spans="35:35">
      <c r="AI1211" s="131"/>
    </row>
    <row r="1212" spans="35:35">
      <c r="AI1212" s="131"/>
    </row>
    <row r="1213" spans="35:35">
      <c r="AI1213" s="131"/>
    </row>
    <row r="1214" spans="35:35">
      <c r="AI1214" s="131"/>
    </row>
    <row r="1215" spans="35:35">
      <c r="AI1215" s="131"/>
    </row>
    <row r="1216" spans="35:35">
      <c r="AI1216" s="131"/>
    </row>
    <row r="1217" spans="35:35">
      <c r="AI1217" s="131"/>
    </row>
    <row r="1218" spans="35:35">
      <c r="AI1218" s="284"/>
    </row>
    <row r="1219" spans="35:35">
      <c r="AI1219" s="131"/>
    </row>
    <row r="1220" spans="35:35">
      <c r="AI1220" s="131"/>
    </row>
    <row r="1221" spans="35:35">
      <c r="AI1221" s="131"/>
    </row>
    <row r="1222" spans="35:35">
      <c r="AI1222" s="131"/>
    </row>
    <row r="1223" spans="35:35">
      <c r="AI1223" s="131"/>
    </row>
    <row r="1224" spans="35:35">
      <c r="AI1224" s="131"/>
    </row>
    <row r="1225" spans="35:35">
      <c r="AI1225" s="128"/>
    </row>
    <row r="1226" spans="35:35">
      <c r="AI1226" s="131"/>
    </row>
    <row r="1228" spans="35:35">
      <c r="AI1228" s="131"/>
    </row>
    <row r="1229" spans="35:35">
      <c r="AI1229" s="284"/>
    </row>
    <row r="1230" spans="35:35">
      <c r="AI1230" s="131"/>
    </row>
    <row r="1231" spans="35:35">
      <c r="AI1231" s="131"/>
    </row>
    <row r="1232" spans="35:35">
      <c r="AI1232" s="131"/>
    </row>
    <row r="1233" spans="35:35">
      <c r="AI1233" s="131"/>
    </row>
    <row r="1234" spans="35:35">
      <c r="AI1234" s="131"/>
    </row>
    <row r="1235" spans="35:35">
      <c r="AI1235" s="131"/>
    </row>
    <row r="1236" spans="35:35">
      <c r="AI1236" s="131"/>
    </row>
    <row r="1237" spans="35:35">
      <c r="AI1237" s="131"/>
    </row>
    <row r="1238" spans="35:35">
      <c r="AI1238" s="131"/>
    </row>
    <row r="1239" spans="35:35">
      <c r="AI1239" s="131"/>
    </row>
    <row r="1240" spans="35:35">
      <c r="AI1240" s="131"/>
    </row>
    <row r="1241" spans="35:35">
      <c r="AI1241" s="131"/>
    </row>
    <row r="1242" spans="35:35">
      <c r="AI1242" s="131"/>
    </row>
    <row r="1243" spans="35:35">
      <c r="AI1243" s="131"/>
    </row>
    <row r="1244" spans="35:35">
      <c r="AI1244" s="131"/>
    </row>
    <row r="1245" spans="35:35">
      <c r="AI1245" s="131"/>
    </row>
    <row r="1246" spans="35:35">
      <c r="AI1246" s="131"/>
    </row>
    <row r="1247" spans="35:35">
      <c r="AI1247" s="131"/>
    </row>
    <row r="1248" spans="35:35">
      <c r="AI1248" s="131"/>
    </row>
    <row r="1249" spans="35:35">
      <c r="AI1249" s="131"/>
    </row>
    <row r="1250" spans="35:35">
      <c r="AI1250" s="131"/>
    </row>
    <row r="1251" spans="35:35">
      <c r="AI1251" s="131"/>
    </row>
    <row r="1252" spans="35:35">
      <c r="AI1252" s="131"/>
    </row>
    <row r="1254" spans="35:35">
      <c r="AI1254" s="131"/>
    </row>
    <row r="1255" spans="35:35">
      <c r="AI1255" s="131"/>
    </row>
    <row r="1256" spans="35:35">
      <c r="AI1256" s="131"/>
    </row>
    <row r="1257" spans="35:35">
      <c r="AI1257" s="131"/>
    </row>
    <row r="1258" spans="35:35">
      <c r="AI1258" s="131"/>
    </row>
    <row r="1259" spans="35:35">
      <c r="AI1259" s="131"/>
    </row>
    <row r="1260" spans="35:35">
      <c r="AI1260" s="131"/>
    </row>
    <row r="1261" spans="35:35">
      <c r="AI1261" s="131"/>
    </row>
    <row r="1262" spans="35:35">
      <c r="AI1262" s="52"/>
    </row>
    <row r="1263" spans="35:35">
      <c r="AI1263" s="131"/>
    </row>
    <row r="1264" spans="35:35">
      <c r="AI1264" s="131"/>
    </row>
    <row r="1265" spans="1:35">
      <c r="AI1265" s="131"/>
    </row>
    <row r="1266" spans="1:35">
      <c r="AI1266" s="131"/>
    </row>
    <row r="1267" spans="1:35">
      <c r="AI1267" s="131"/>
    </row>
    <row r="1268" spans="1:35">
      <c r="AI1268" s="131"/>
    </row>
    <row r="1269" spans="1:35">
      <c r="AI1269" s="131"/>
    </row>
    <row r="1270" spans="1:35">
      <c r="AI1270" s="131"/>
    </row>
    <row r="1271" spans="1:35">
      <c r="AI1271" s="131"/>
    </row>
    <row r="1272" spans="1:35">
      <c r="AI1272" s="131"/>
    </row>
    <row r="1273" spans="1:35">
      <c r="AI1273" s="284"/>
    </row>
    <row r="1274" spans="1:35">
      <c r="AI1274" s="27"/>
    </row>
    <row r="1275" spans="1:35">
      <c r="AI1275" s="284"/>
    </row>
    <row r="1276" spans="1:35" ht="26.4">
      <c r="A1276" s="284"/>
      <c r="B1276" s="284"/>
      <c r="C1276" s="284"/>
      <c r="D1276" s="284"/>
      <c r="E1276" s="284"/>
      <c r="F1276" s="284"/>
      <c r="H1276" s="284"/>
      <c r="I1276" s="284"/>
      <c r="J1276" s="375"/>
      <c r="K1276" s="375"/>
      <c r="L1276" s="375"/>
      <c r="M1276" s="368"/>
      <c r="N1276" s="368"/>
      <c r="T1276" s="340"/>
      <c r="V1276" s="378"/>
      <c r="W1276" s="64" ph="1"/>
      <c r="X1276" s="241"/>
      <c r="AA1276" s="284"/>
      <c r="AB1276" s="284"/>
      <c r="AC1276" s="284"/>
      <c r="AD1276" s="284"/>
      <c r="AE1276" s="284"/>
      <c r="AF1276" s="284"/>
      <c r="AG1276" s="8"/>
      <c r="AI1276" s="131"/>
    </row>
    <row r="1277" spans="1:35">
      <c r="A1277" s="284"/>
      <c r="Y1277" s="284"/>
      <c r="Z1277" s="207"/>
      <c r="AI1277" s="131"/>
    </row>
    <row r="1278" spans="1:35">
      <c r="AI1278" s="131"/>
    </row>
    <row r="1279" spans="1:35">
      <c r="AI1279" s="131"/>
    </row>
    <row r="1280" spans="1:35">
      <c r="AI1280" s="131"/>
    </row>
    <row r="1281" spans="1:35">
      <c r="AI1281" s="131"/>
    </row>
    <row r="1282" spans="1:35">
      <c r="AI1282" s="131"/>
    </row>
    <row r="1283" spans="1:35">
      <c r="A1283" s="284"/>
      <c r="G1283" s="284"/>
      <c r="AI1283" s="131"/>
    </row>
    <row r="1284" spans="1:35">
      <c r="AI1284" s="131"/>
    </row>
    <row r="1285" spans="1:35">
      <c r="AI1285" s="131"/>
    </row>
    <row r="1286" spans="1:35" ht="26.4">
      <c r="A1286" s="284"/>
      <c r="B1286" s="284"/>
      <c r="C1286" s="284"/>
      <c r="D1286" s="284"/>
      <c r="E1286" s="284"/>
      <c r="F1286" s="284"/>
      <c r="H1286" s="284"/>
      <c r="I1286" s="284"/>
      <c r="J1286" s="375"/>
      <c r="K1286" s="375"/>
      <c r="L1286" s="375"/>
      <c r="M1286" s="368"/>
      <c r="N1286" s="368"/>
      <c r="T1286" s="340"/>
      <c r="V1286" s="378"/>
      <c r="W1286" s="64" ph="1"/>
      <c r="X1286" s="241"/>
      <c r="AA1286" s="284"/>
      <c r="AB1286" s="284"/>
      <c r="AC1286" s="284"/>
      <c r="AD1286" s="284"/>
      <c r="AE1286" s="284"/>
      <c r="AF1286" s="284"/>
      <c r="AG1286" s="8"/>
      <c r="AI1286" s="131"/>
    </row>
    <row r="1287" spans="1:35">
      <c r="A1287" s="284"/>
      <c r="Y1287" s="284"/>
      <c r="Z1287" s="207"/>
      <c r="AI1287" s="131"/>
    </row>
    <row r="1288" spans="1:35">
      <c r="AI1288" s="131"/>
    </row>
    <row r="1289" spans="1:35">
      <c r="AI1289" s="131"/>
    </row>
    <row r="1290" spans="1:35" ht="26.4">
      <c r="A1290" s="284"/>
      <c r="B1290" s="284"/>
      <c r="C1290" s="284"/>
      <c r="D1290" s="284"/>
      <c r="E1290" s="284"/>
      <c r="F1290" s="284"/>
      <c r="H1290" s="284"/>
      <c r="I1290" s="284"/>
      <c r="J1290" s="375"/>
      <c r="K1290" s="375"/>
      <c r="L1290" s="375"/>
      <c r="M1290" s="368"/>
      <c r="N1290" s="368"/>
      <c r="T1290" s="340"/>
      <c r="V1290" s="378"/>
      <c r="W1290" s="64" ph="1"/>
      <c r="X1290" s="241"/>
      <c r="AA1290" s="284"/>
      <c r="AB1290" s="284"/>
      <c r="AC1290" s="284"/>
      <c r="AD1290" s="284"/>
      <c r="AE1290" s="284"/>
      <c r="AF1290" s="284"/>
      <c r="AG1290" s="8"/>
      <c r="AI1290" s="131"/>
    </row>
    <row r="1291" spans="1:35">
      <c r="A1291" s="284"/>
      <c r="Y1291" s="284"/>
      <c r="Z1291" s="207"/>
      <c r="AI1291" s="131"/>
    </row>
    <row r="1292" spans="1:35">
      <c r="AI1292" s="131"/>
    </row>
    <row r="1293" spans="1:35">
      <c r="A1293" s="284"/>
      <c r="G1293" s="284"/>
      <c r="O1293" s="370"/>
      <c r="AI1293" s="131"/>
    </row>
    <row r="1294" spans="1:35">
      <c r="AI1294" s="131"/>
    </row>
    <row r="1295" spans="1:35" ht="26.4">
      <c r="A1295" s="284"/>
      <c r="B1295" s="284"/>
      <c r="C1295" s="284"/>
      <c r="D1295" s="284"/>
      <c r="E1295" s="284"/>
      <c r="F1295" s="284"/>
      <c r="H1295" s="284"/>
      <c r="I1295" s="284"/>
      <c r="J1295" s="375"/>
      <c r="K1295" s="375"/>
      <c r="L1295" s="375"/>
      <c r="M1295" s="368"/>
      <c r="N1295" s="368"/>
      <c r="T1295" s="340"/>
      <c r="V1295" s="378"/>
      <c r="W1295" s="64" ph="1"/>
      <c r="X1295" s="241"/>
      <c r="AA1295" s="284"/>
      <c r="AB1295" s="284"/>
      <c r="AC1295" s="284"/>
      <c r="AD1295" s="284"/>
      <c r="AE1295" s="284"/>
      <c r="AF1295" s="284"/>
      <c r="AG1295" s="8"/>
      <c r="AI1295" s="131"/>
    </row>
    <row r="1296" spans="1:35" ht="26.4">
      <c r="A1296" s="284"/>
      <c r="B1296" s="284"/>
      <c r="C1296" s="284"/>
      <c r="D1296" s="284"/>
      <c r="E1296" s="284"/>
      <c r="F1296" s="284"/>
      <c r="H1296" s="284"/>
      <c r="I1296" s="284"/>
      <c r="J1296" s="375"/>
      <c r="K1296" s="375"/>
      <c r="L1296" s="375"/>
      <c r="M1296" s="368"/>
      <c r="N1296" s="368"/>
      <c r="T1296" s="340"/>
      <c r="V1296" s="378"/>
      <c r="W1296" s="64" ph="1"/>
      <c r="X1296" s="241"/>
      <c r="Y1296" s="284"/>
      <c r="Z1296" s="207"/>
      <c r="AA1296" s="284"/>
      <c r="AB1296" s="284"/>
      <c r="AC1296" s="284"/>
      <c r="AD1296" s="284"/>
      <c r="AE1296" s="284"/>
      <c r="AF1296" s="284"/>
      <c r="AG1296" s="8"/>
      <c r="AI1296" s="131"/>
    </row>
    <row r="1297" spans="1:35" ht="26.4">
      <c r="A1297" s="284"/>
      <c r="B1297" s="284"/>
      <c r="C1297" s="284"/>
      <c r="D1297" s="284"/>
      <c r="E1297" s="284"/>
      <c r="F1297" s="284"/>
      <c r="G1297" s="284"/>
      <c r="H1297" s="284"/>
      <c r="I1297" s="284"/>
      <c r="J1297" s="375"/>
      <c r="K1297" s="375"/>
      <c r="L1297" s="375"/>
      <c r="M1297" s="368"/>
      <c r="N1297" s="368"/>
      <c r="T1297" s="340"/>
      <c r="V1297" s="378"/>
      <c r="W1297" s="64" ph="1"/>
      <c r="X1297" s="241"/>
      <c r="Y1297" s="284"/>
      <c r="Z1297" s="207"/>
      <c r="AA1297" s="284"/>
      <c r="AB1297" s="284"/>
      <c r="AC1297" s="284"/>
      <c r="AD1297" s="284"/>
      <c r="AE1297" s="284"/>
      <c r="AF1297" s="284"/>
      <c r="AG1297" s="8"/>
      <c r="AI1297" s="284"/>
    </row>
    <row r="1298" spans="1:35">
      <c r="A1298" s="284"/>
      <c r="Y1298" s="284"/>
      <c r="Z1298" s="207"/>
      <c r="AI1298" s="284"/>
    </row>
    <row r="1299" spans="1:35" ht="26.4">
      <c r="A1299" s="284"/>
      <c r="B1299" s="284"/>
      <c r="C1299" s="284"/>
      <c r="D1299" s="284"/>
      <c r="E1299" s="284"/>
      <c r="F1299" s="284"/>
      <c r="H1299" s="284"/>
      <c r="I1299" s="284"/>
      <c r="J1299" s="375"/>
      <c r="K1299" s="375"/>
      <c r="L1299" s="375"/>
      <c r="M1299" s="368"/>
      <c r="N1299" s="368"/>
      <c r="T1299" s="340"/>
      <c r="V1299" s="378"/>
      <c r="W1299" s="64" ph="1"/>
      <c r="X1299" s="241"/>
      <c r="AA1299" s="284"/>
      <c r="AB1299" s="284"/>
      <c r="AC1299" s="284"/>
      <c r="AD1299" s="284"/>
      <c r="AE1299" s="284"/>
      <c r="AF1299" s="284"/>
      <c r="AG1299" s="8"/>
      <c r="AI1299" s="28"/>
    </row>
    <row r="1300" spans="1:35" ht="26.4">
      <c r="A1300" s="284"/>
      <c r="B1300" s="284"/>
      <c r="C1300" s="284"/>
      <c r="D1300" s="284"/>
      <c r="E1300" s="284"/>
      <c r="F1300" s="284"/>
      <c r="H1300" s="284"/>
      <c r="I1300" s="284"/>
      <c r="J1300" s="375"/>
      <c r="K1300" s="375"/>
      <c r="L1300" s="375"/>
      <c r="M1300" s="368"/>
      <c r="N1300" s="368"/>
      <c r="T1300" s="340"/>
      <c r="V1300" s="378"/>
      <c r="W1300" s="64" ph="1"/>
      <c r="X1300" s="241"/>
      <c r="Y1300" s="284"/>
      <c r="Z1300" s="207"/>
      <c r="AA1300" s="284"/>
      <c r="AB1300" s="284"/>
      <c r="AC1300" s="284"/>
      <c r="AD1300" s="284"/>
      <c r="AE1300" s="284"/>
      <c r="AF1300" s="284"/>
      <c r="AG1300" s="8"/>
      <c r="AI1300" s="131"/>
    </row>
    <row r="1301" spans="1:35">
      <c r="A1301" s="284"/>
      <c r="Y1301" s="284"/>
      <c r="Z1301" s="207"/>
      <c r="AI1301" s="131"/>
    </row>
    <row r="1302" spans="1:35" ht="26.4">
      <c r="A1302" s="284"/>
      <c r="B1302" s="284"/>
      <c r="C1302" s="284"/>
      <c r="D1302" s="284"/>
      <c r="E1302" s="284"/>
      <c r="F1302" s="284"/>
      <c r="G1302" s="284"/>
      <c r="H1302" s="284"/>
      <c r="I1302" s="284"/>
      <c r="J1302" s="375"/>
      <c r="K1302" s="375"/>
      <c r="L1302" s="375"/>
      <c r="M1302" s="368"/>
      <c r="N1302" s="368"/>
      <c r="T1302" s="340"/>
      <c r="V1302" s="378"/>
      <c r="W1302" s="64" ph="1"/>
      <c r="X1302" s="241"/>
      <c r="AA1302" s="284"/>
      <c r="AB1302" s="284"/>
      <c r="AC1302" s="284"/>
      <c r="AD1302" s="284"/>
      <c r="AE1302" s="284"/>
      <c r="AF1302" s="284"/>
      <c r="AG1302" s="8"/>
      <c r="AI1302" s="131"/>
    </row>
    <row r="1303" spans="1:35">
      <c r="A1303" s="284"/>
      <c r="G1303" s="284"/>
      <c r="O1303" s="370"/>
      <c r="Y1303" s="284"/>
      <c r="Z1303" s="207"/>
      <c r="AI1303" s="131"/>
    </row>
    <row r="1304" spans="1:35" ht="26.4">
      <c r="A1304" s="284"/>
      <c r="B1304" s="284"/>
      <c r="C1304" s="284"/>
      <c r="D1304" s="284"/>
      <c r="E1304" s="284"/>
      <c r="F1304" s="284"/>
      <c r="G1304" s="284"/>
      <c r="H1304" s="284"/>
      <c r="I1304" s="284"/>
      <c r="J1304" s="375"/>
      <c r="K1304" s="375"/>
      <c r="L1304" s="375"/>
      <c r="M1304" s="368"/>
      <c r="N1304" s="368"/>
      <c r="T1304" s="340"/>
      <c r="V1304" s="378"/>
      <c r="W1304" s="64" ph="1"/>
      <c r="X1304" s="241"/>
      <c r="AA1304" s="284"/>
      <c r="AB1304" s="284"/>
      <c r="AC1304" s="284"/>
      <c r="AD1304" s="284"/>
      <c r="AE1304" s="284"/>
      <c r="AF1304" s="284"/>
      <c r="AG1304" s="8"/>
      <c r="AI1304" s="131"/>
    </row>
    <row r="1305" spans="1:35" ht="26.4">
      <c r="A1305" s="284"/>
      <c r="B1305" s="284"/>
      <c r="C1305" s="284"/>
      <c r="D1305" s="284"/>
      <c r="E1305" s="284"/>
      <c r="F1305" s="284"/>
      <c r="H1305" s="284"/>
      <c r="I1305" s="284"/>
      <c r="J1305" s="375"/>
      <c r="K1305" s="375"/>
      <c r="L1305" s="375"/>
      <c r="M1305" s="368"/>
      <c r="N1305" s="368"/>
      <c r="T1305" s="340"/>
      <c r="V1305" s="378"/>
      <c r="W1305" s="64" ph="1"/>
      <c r="X1305" s="241"/>
      <c r="Y1305" s="284"/>
      <c r="Z1305" s="207"/>
      <c r="AA1305" s="284"/>
      <c r="AB1305" s="284"/>
      <c r="AC1305" s="284"/>
      <c r="AD1305" s="284"/>
      <c r="AE1305" s="284"/>
      <c r="AF1305" s="284"/>
      <c r="AG1305" s="8"/>
      <c r="AI1305" s="131"/>
    </row>
    <row r="1306" spans="1:35" ht="26.4">
      <c r="A1306" s="284"/>
      <c r="B1306" s="284"/>
      <c r="C1306" s="284"/>
      <c r="D1306" s="284"/>
      <c r="E1306" s="284"/>
      <c r="F1306" s="284"/>
      <c r="G1306" s="284"/>
      <c r="H1306" s="284"/>
      <c r="I1306" s="284"/>
      <c r="J1306" s="375"/>
      <c r="K1306" s="375"/>
      <c r="L1306" s="375"/>
      <c r="M1306" s="368"/>
      <c r="N1306" s="368"/>
      <c r="T1306" s="340"/>
      <c r="V1306" s="378"/>
      <c r="W1306" s="64" ph="1"/>
      <c r="X1306" s="241"/>
      <c r="Y1306" s="284"/>
      <c r="Z1306" s="207"/>
      <c r="AA1306" s="284"/>
      <c r="AB1306" s="284"/>
      <c r="AC1306" s="284"/>
      <c r="AD1306" s="284"/>
      <c r="AE1306" s="284"/>
      <c r="AF1306" s="284"/>
      <c r="AG1306" s="8"/>
      <c r="AI1306" s="131"/>
    </row>
    <row r="1307" spans="1:35" ht="26.4">
      <c r="A1307" s="284"/>
      <c r="B1307" s="284"/>
      <c r="C1307" s="284"/>
      <c r="D1307" s="284"/>
      <c r="E1307" s="284"/>
      <c r="F1307" s="284"/>
      <c r="G1307" s="284"/>
      <c r="H1307" s="284"/>
      <c r="I1307" s="284"/>
      <c r="J1307" s="375"/>
      <c r="K1307" s="375"/>
      <c r="L1307" s="375"/>
      <c r="M1307" s="368"/>
      <c r="N1307" s="368"/>
      <c r="O1307" s="370"/>
      <c r="T1307" s="340"/>
      <c r="V1307" s="378"/>
      <c r="W1307" s="64" ph="1"/>
      <c r="X1307" s="241"/>
      <c r="Y1307" s="284"/>
      <c r="Z1307" s="207"/>
      <c r="AA1307" s="284"/>
      <c r="AB1307" s="284"/>
      <c r="AC1307" s="284"/>
      <c r="AD1307" s="284"/>
      <c r="AE1307" s="284"/>
      <c r="AF1307" s="284"/>
      <c r="AG1307" s="8"/>
      <c r="AI1307" s="131"/>
    </row>
    <row r="1308" spans="1:35" ht="26.4">
      <c r="A1308" s="284"/>
      <c r="B1308" s="284"/>
      <c r="C1308" s="284"/>
      <c r="D1308" s="284"/>
      <c r="E1308" s="284"/>
      <c r="F1308" s="284"/>
      <c r="H1308" s="284"/>
      <c r="I1308" s="284"/>
      <c r="J1308" s="375"/>
      <c r="K1308" s="375"/>
      <c r="L1308" s="375"/>
      <c r="M1308" s="368"/>
      <c r="N1308" s="368"/>
      <c r="T1308" s="340"/>
      <c r="V1308" s="378"/>
      <c r="W1308" s="64" ph="1"/>
      <c r="X1308" s="241"/>
      <c r="Y1308" s="284"/>
      <c r="Z1308" s="207"/>
      <c r="AA1308" s="284"/>
      <c r="AB1308" s="284"/>
      <c r="AC1308" s="284"/>
      <c r="AD1308" s="284"/>
      <c r="AE1308" s="284"/>
      <c r="AF1308" s="284"/>
      <c r="AG1308" s="8"/>
      <c r="AI1308" s="131"/>
    </row>
    <row r="1309" spans="1:35" ht="26.4">
      <c r="A1309" s="284"/>
      <c r="B1309" s="284"/>
      <c r="C1309" s="284"/>
      <c r="D1309" s="284"/>
      <c r="E1309" s="284"/>
      <c r="F1309" s="284"/>
      <c r="G1309" s="284"/>
      <c r="H1309" s="284"/>
      <c r="I1309" s="284"/>
      <c r="J1309" s="375"/>
      <c r="K1309" s="375"/>
      <c r="L1309" s="375"/>
      <c r="M1309" s="368"/>
      <c r="N1309" s="368"/>
      <c r="T1309" s="340"/>
      <c r="V1309" s="378"/>
      <c r="W1309" s="64" ph="1"/>
      <c r="X1309" s="241"/>
      <c r="Y1309" s="284"/>
      <c r="Z1309" s="207"/>
      <c r="AA1309" s="284"/>
      <c r="AB1309" s="284"/>
      <c r="AC1309" s="284"/>
      <c r="AD1309" s="284"/>
      <c r="AE1309" s="284"/>
      <c r="AF1309" s="284"/>
      <c r="AG1309" s="8"/>
      <c r="AI1309" s="131"/>
    </row>
    <row r="1310" spans="1:35" ht="26.4">
      <c r="A1310" s="284"/>
      <c r="B1310" s="284"/>
      <c r="C1310" s="284"/>
      <c r="D1310" s="284"/>
      <c r="E1310" s="284"/>
      <c r="F1310" s="284"/>
      <c r="H1310" s="284"/>
      <c r="I1310" s="284"/>
      <c r="J1310" s="375"/>
      <c r="K1310" s="375"/>
      <c r="L1310" s="375"/>
      <c r="M1310" s="368"/>
      <c r="N1310" s="368"/>
      <c r="T1310" s="340"/>
      <c r="V1310" s="378"/>
      <c r="W1310" s="64" ph="1"/>
      <c r="X1310" s="241"/>
      <c r="Y1310" s="284"/>
      <c r="Z1310" s="207"/>
      <c r="AA1310" s="284"/>
      <c r="AB1310" s="284"/>
      <c r="AC1310" s="284"/>
      <c r="AD1310" s="284"/>
      <c r="AE1310" s="284"/>
      <c r="AF1310" s="284"/>
      <c r="AG1310" s="8"/>
      <c r="AI1310" s="131"/>
    </row>
    <row r="1311" spans="1:35" ht="26.4">
      <c r="A1311" s="284"/>
      <c r="B1311" s="284"/>
      <c r="C1311" s="284"/>
      <c r="D1311" s="284"/>
      <c r="E1311" s="284"/>
      <c r="F1311" s="284"/>
      <c r="G1311" s="284"/>
      <c r="H1311" s="284"/>
      <c r="I1311" s="284"/>
      <c r="J1311" s="375"/>
      <c r="K1311" s="375"/>
      <c r="L1311" s="375"/>
      <c r="M1311" s="368"/>
      <c r="N1311" s="368"/>
      <c r="T1311" s="340"/>
      <c r="V1311" s="378"/>
      <c r="W1311" s="64" ph="1"/>
      <c r="X1311" s="241"/>
      <c r="Y1311" s="284"/>
      <c r="Z1311" s="207"/>
      <c r="AA1311" s="284"/>
      <c r="AB1311" s="284"/>
      <c r="AC1311" s="284"/>
      <c r="AD1311" s="284"/>
      <c r="AE1311" s="284"/>
      <c r="AF1311" s="284"/>
      <c r="AG1311" s="8"/>
      <c r="AI1311" s="131"/>
    </row>
    <row r="1312" spans="1:35" ht="26.4">
      <c r="A1312" s="284"/>
      <c r="G1312" s="284"/>
      <c r="O1312" s="370"/>
      <c r="W1312" s="64" ph="1"/>
      <c r="Y1312" s="284"/>
      <c r="Z1312" s="207"/>
      <c r="AI1312" s="131"/>
    </row>
    <row r="1313" spans="1:35" ht="26.4">
      <c r="A1313" s="284"/>
      <c r="G1313" s="284"/>
      <c r="O1313" s="370"/>
      <c r="W1313" s="64" ph="1"/>
      <c r="AI1313" s="284"/>
    </row>
    <row r="1314" spans="1:35">
      <c r="A1314" s="284"/>
      <c r="G1314" s="284"/>
      <c r="O1314" s="370"/>
      <c r="AI1314" s="131"/>
    </row>
    <row r="1315" spans="1:35" ht="26.4">
      <c r="A1315" s="284"/>
      <c r="G1315" s="284"/>
      <c r="W1315" s="64" ph="1"/>
      <c r="AI1315" s="131"/>
    </row>
    <row r="1316" spans="1:35" ht="26.4">
      <c r="A1316" s="284"/>
      <c r="G1316" s="284"/>
      <c r="O1316" s="370"/>
      <c r="W1316" s="64" ph="1"/>
      <c r="AI1316" s="131"/>
    </row>
    <row r="1317" spans="1:35" ht="26.4">
      <c r="A1317" s="284"/>
      <c r="G1317" s="284"/>
      <c r="O1317" s="370"/>
      <c r="W1317" s="64" ph="1"/>
      <c r="AI1317" s="131"/>
    </row>
    <row r="1318" spans="1:35" ht="26.4">
      <c r="A1318" s="284"/>
      <c r="G1318" s="284"/>
      <c r="W1318" s="64" ph="1"/>
      <c r="AI1318" s="131"/>
    </row>
    <row r="1319" spans="1:35" ht="26.4">
      <c r="A1319" s="284"/>
      <c r="O1319" s="370"/>
      <c r="W1319" s="64" ph="1"/>
      <c r="AI1319" s="131"/>
    </row>
    <row r="1320" spans="1:35" ht="26.4">
      <c r="A1320" s="284"/>
      <c r="B1320" s="284"/>
      <c r="C1320" s="284"/>
      <c r="D1320" s="284"/>
      <c r="E1320" s="284"/>
      <c r="F1320" s="284"/>
      <c r="G1320" s="284"/>
      <c r="H1320" s="284"/>
      <c r="I1320" s="284"/>
      <c r="J1320" s="375"/>
      <c r="K1320" s="375"/>
      <c r="L1320" s="375"/>
      <c r="M1320" s="368"/>
      <c r="N1320" s="368"/>
      <c r="T1320" s="340"/>
      <c r="V1320" s="378"/>
      <c r="W1320" s="64" ph="1"/>
      <c r="X1320" s="241"/>
      <c r="Y1320" s="284"/>
      <c r="Z1320" s="207"/>
      <c r="AA1320" s="284"/>
      <c r="AB1320" s="284"/>
      <c r="AC1320" s="284"/>
      <c r="AD1320" s="284"/>
      <c r="AE1320" s="284"/>
      <c r="AF1320" s="284"/>
      <c r="AG1320" s="284"/>
      <c r="AI1320" s="131"/>
    </row>
    <row r="1321" spans="1:35" ht="26.4">
      <c r="A1321" s="284"/>
      <c r="B1321" s="284"/>
      <c r="C1321" s="284"/>
      <c r="D1321" s="284"/>
      <c r="E1321" s="284"/>
      <c r="F1321" s="284"/>
      <c r="G1321" s="284"/>
      <c r="H1321" s="284"/>
      <c r="I1321" s="284"/>
      <c r="J1321" s="375"/>
      <c r="K1321" s="375"/>
      <c r="L1321" s="375"/>
      <c r="M1321" s="368"/>
      <c r="N1321" s="368"/>
      <c r="O1321" s="370"/>
      <c r="T1321" s="340"/>
      <c r="V1321" s="378"/>
      <c r="W1321" s="64" ph="1"/>
      <c r="X1321" s="241"/>
      <c r="Y1321" s="284"/>
      <c r="Z1321" s="207"/>
      <c r="AA1321" s="284"/>
      <c r="AB1321" s="284"/>
      <c r="AC1321" s="284"/>
      <c r="AD1321" s="284"/>
      <c r="AE1321" s="284"/>
      <c r="AF1321" s="284"/>
      <c r="AG1321" s="284"/>
      <c r="AI1321" s="131"/>
    </row>
    <row r="1322" spans="1:35" ht="26.4">
      <c r="A1322" s="284"/>
      <c r="B1322" s="284"/>
      <c r="C1322" s="284"/>
      <c r="D1322" s="284"/>
      <c r="E1322" s="284"/>
      <c r="F1322" s="284"/>
      <c r="G1322" s="284"/>
      <c r="H1322" s="284"/>
      <c r="I1322" s="284"/>
      <c r="J1322" s="375"/>
      <c r="K1322" s="375"/>
      <c r="L1322" s="375"/>
      <c r="M1322" s="368"/>
      <c r="N1322" s="368"/>
      <c r="O1322" s="370"/>
      <c r="T1322" s="340"/>
      <c r="V1322" s="378"/>
      <c r="W1322" s="64" ph="1"/>
      <c r="X1322" s="241"/>
      <c r="Y1322" s="284"/>
      <c r="Z1322" s="207"/>
      <c r="AA1322" s="284"/>
      <c r="AB1322" s="284"/>
      <c r="AC1322" s="284"/>
      <c r="AD1322" s="284"/>
      <c r="AE1322" s="284"/>
      <c r="AF1322" s="284"/>
      <c r="AG1322" s="284"/>
      <c r="AI1322" s="131"/>
    </row>
    <row r="1323" spans="1:35">
      <c r="O1323" s="370"/>
      <c r="AI1323" s="131"/>
    </row>
    <row r="1324" spans="1:35" ht="26.4">
      <c r="A1324" s="284"/>
      <c r="B1324" s="284"/>
      <c r="C1324" s="284"/>
      <c r="D1324" s="284"/>
      <c r="E1324" s="284"/>
      <c r="F1324" s="284"/>
      <c r="G1324" s="284"/>
      <c r="H1324" s="284"/>
      <c r="I1324" s="284"/>
      <c r="J1324" s="375"/>
      <c r="K1324" s="375"/>
      <c r="L1324" s="375"/>
      <c r="M1324" s="368"/>
      <c r="N1324" s="368"/>
      <c r="O1324" s="370"/>
      <c r="T1324" s="340"/>
      <c r="V1324" s="378"/>
      <c r="W1324" s="64" ph="1"/>
      <c r="X1324" s="241"/>
      <c r="Y1324" s="284"/>
      <c r="Z1324" s="207"/>
      <c r="AA1324" s="284"/>
      <c r="AB1324" s="284"/>
      <c r="AC1324" s="284"/>
      <c r="AD1324" s="284"/>
      <c r="AE1324" s="284"/>
      <c r="AF1324" s="284"/>
      <c r="AG1324" s="284"/>
      <c r="AI1324" s="131"/>
    </row>
    <row r="1325" spans="1:35" ht="26.4">
      <c r="A1325" s="284"/>
      <c r="B1325" s="284"/>
      <c r="C1325" s="284"/>
      <c r="D1325" s="284"/>
      <c r="E1325" s="284"/>
      <c r="F1325" s="284"/>
      <c r="G1325" s="284"/>
      <c r="H1325" s="284"/>
      <c r="I1325" s="284"/>
      <c r="J1325" s="375"/>
      <c r="K1325" s="375"/>
      <c r="L1325" s="375"/>
      <c r="M1325" s="368"/>
      <c r="N1325" s="368"/>
      <c r="O1325" s="370"/>
      <c r="T1325" s="340"/>
      <c r="V1325" s="378"/>
      <c r="W1325" s="64" ph="1"/>
      <c r="X1325" s="241"/>
      <c r="Y1325" s="284"/>
      <c r="Z1325" s="207"/>
      <c r="AA1325" s="284"/>
      <c r="AB1325" s="284"/>
      <c r="AC1325" s="284"/>
      <c r="AD1325" s="284"/>
      <c r="AE1325" s="284"/>
      <c r="AF1325" s="284"/>
      <c r="AG1325" s="284"/>
      <c r="AI1325" s="28"/>
    </row>
    <row r="1326" spans="1:35" ht="26.4">
      <c r="A1326" s="284"/>
      <c r="B1326" s="284"/>
      <c r="C1326" s="284"/>
      <c r="D1326" s="284"/>
      <c r="E1326" s="284"/>
      <c r="F1326" s="284"/>
      <c r="G1326" s="284"/>
      <c r="H1326" s="284"/>
      <c r="I1326" s="284"/>
      <c r="J1326" s="375"/>
      <c r="K1326" s="375"/>
      <c r="L1326" s="375"/>
      <c r="M1326" s="368"/>
      <c r="N1326" s="368"/>
      <c r="O1326" s="370"/>
      <c r="T1326" s="340"/>
      <c r="V1326" s="378"/>
      <c r="W1326" s="64" ph="1"/>
      <c r="X1326" s="241"/>
      <c r="Y1326" s="284"/>
      <c r="Z1326" s="207"/>
      <c r="AA1326" s="284"/>
      <c r="AB1326" s="284"/>
      <c r="AC1326" s="284"/>
      <c r="AD1326" s="284"/>
      <c r="AE1326" s="284"/>
      <c r="AF1326" s="284"/>
      <c r="AG1326" s="284"/>
      <c r="AI1326" s="131"/>
    </row>
    <row r="1327" spans="1:35" ht="26.4">
      <c r="A1327" s="284"/>
      <c r="B1327" s="284"/>
      <c r="C1327" s="284"/>
      <c r="D1327" s="284"/>
      <c r="E1327" s="284"/>
      <c r="F1327" s="284"/>
      <c r="G1327" s="284"/>
      <c r="H1327" s="284"/>
      <c r="I1327" s="284"/>
      <c r="J1327" s="375"/>
      <c r="K1327" s="375"/>
      <c r="L1327" s="375"/>
      <c r="M1327" s="368"/>
      <c r="N1327" s="368"/>
      <c r="O1327" s="370"/>
      <c r="T1327" s="340"/>
      <c r="V1327" s="378"/>
      <c r="W1327" s="64" ph="1"/>
      <c r="X1327" s="241"/>
      <c r="Y1327" s="284"/>
      <c r="Z1327" s="207"/>
      <c r="AA1327" s="284"/>
      <c r="AB1327" s="284"/>
      <c r="AC1327" s="284"/>
      <c r="AD1327" s="284"/>
      <c r="AE1327" s="284"/>
      <c r="AF1327" s="284"/>
      <c r="AG1327" s="284"/>
      <c r="AI1327" s="131"/>
    </row>
    <row r="1328" spans="1:35">
      <c r="O1328" s="370"/>
      <c r="AI1328" s="131"/>
    </row>
    <row r="1329" spans="15:35">
      <c r="AI1329" s="131"/>
    </row>
    <row r="1330" spans="15:35">
      <c r="AI1330" s="131"/>
    </row>
    <row r="1331" spans="15:35">
      <c r="AI1331" s="131"/>
    </row>
    <row r="1332" spans="15:35">
      <c r="AI1332" s="128"/>
    </row>
    <row r="1333" spans="15:35">
      <c r="AI1333" s="131"/>
    </row>
    <row r="1334" spans="15:35">
      <c r="AI1334" s="131"/>
    </row>
    <row r="1335" spans="15:35">
      <c r="AI1335" s="131"/>
    </row>
    <row r="1336" spans="15:35">
      <c r="AI1336" s="131"/>
    </row>
    <row r="1337" spans="15:35">
      <c r="O1337" s="370"/>
      <c r="AI1337" s="131"/>
    </row>
    <row r="1338" spans="15:35">
      <c r="O1338" s="370"/>
      <c r="AI1338" s="131"/>
    </row>
    <row r="1339" spans="15:35">
      <c r="O1339" s="370"/>
      <c r="AI1339" s="131"/>
    </row>
    <row r="1340" spans="15:35">
      <c r="AI1340" s="131"/>
    </row>
    <row r="1341" spans="15:35">
      <c r="O1341" s="370"/>
      <c r="AI1341" s="131"/>
    </row>
    <row r="1342" spans="15:35">
      <c r="O1342" s="370"/>
      <c r="AI1342" s="131"/>
    </row>
    <row r="1343" spans="15:35">
      <c r="O1343" s="370"/>
      <c r="AI1343" s="131"/>
    </row>
    <row r="1344" spans="15:35">
      <c r="O1344" s="370"/>
      <c r="AI1344" s="131"/>
    </row>
    <row r="1345" spans="35:35">
      <c r="AI1345" s="131"/>
    </row>
    <row r="1346" spans="35:35">
      <c r="AI1346" s="131"/>
    </row>
    <row r="1347" spans="35:35">
      <c r="AI1347" s="131"/>
    </row>
    <row r="1348" spans="35:35">
      <c r="AI1348" s="131"/>
    </row>
    <row r="1349" spans="35:35">
      <c r="AI1349" s="131"/>
    </row>
    <row r="1350" spans="35:35">
      <c r="AI1350" s="131"/>
    </row>
    <row r="1351" spans="35:35">
      <c r="AI1351" s="131"/>
    </row>
    <row r="1352" spans="35:35">
      <c r="AI1352" s="131"/>
    </row>
    <row r="1353" spans="35:35">
      <c r="AI1353" s="131"/>
    </row>
    <row r="1354" spans="35:35">
      <c r="AI1354" s="131"/>
    </row>
    <row r="1355" spans="35:35">
      <c r="AI1355" s="131"/>
    </row>
    <row r="1356" spans="35:35">
      <c r="AI1356" s="131"/>
    </row>
    <row r="1357" spans="35:35">
      <c r="AI1357" s="131"/>
    </row>
    <row r="1358" spans="35:35">
      <c r="AI1358" s="131"/>
    </row>
    <row r="1359" spans="35:35">
      <c r="AI1359" s="131"/>
    </row>
    <row r="1360" spans="35:35">
      <c r="AI1360" s="131"/>
    </row>
    <row r="1361" spans="35:35">
      <c r="AI1361" s="131"/>
    </row>
    <row r="1362" spans="35:35">
      <c r="AI1362" s="131"/>
    </row>
    <row r="1363" spans="35:35">
      <c r="AI1363" s="131"/>
    </row>
    <row r="1364" spans="35:35">
      <c r="AI1364" s="131"/>
    </row>
    <row r="1365" spans="35:35">
      <c r="AI1365" s="131"/>
    </row>
    <row r="1366" spans="35:35">
      <c r="AI1366" s="131"/>
    </row>
    <row r="1367" spans="35:35">
      <c r="AI1367" s="131"/>
    </row>
    <row r="1368" spans="35:35">
      <c r="AI1368" s="131"/>
    </row>
    <row r="1369" spans="35:35">
      <c r="AI1369" s="131"/>
    </row>
    <row r="1370" spans="35:35">
      <c r="AI1370" s="131"/>
    </row>
    <row r="1371" spans="35:35">
      <c r="AI1371" s="131"/>
    </row>
    <row r="1372" spans="35:35">
      <c r="AI1372" s="284"/>
    </row>
    <row r="1373" spans="35:35">
      <c r="AI1373" s="131"/>
    </row>
    <row r="1374" spans="35:35">
      <c r="AI1374" s="131"/>
    </row>
    <row r="1375" spans="35:35">
      <c r="AI1375" s="131"/>
    </row>
    <row r="1376" spans="35:35">
      <c r="AI1376" s="131"/>
    </row>
    <row r="1377" spans="35:35">
      <c r="AI1377" s="286"/>
    </row>
    <row r="1378" spans="35:35">
      <c r="AI1378" s="131"/>
    </row>
    <row r="1379" spans="35:35">
      <c r="AI1379" s="131"/>
    </row>
    <row r="1380" spans="35:35">
      <c r="AI1380" s="131"/>
    </row>
    <row r="1381" spans="35:35">
      <c r="AI1381" s="131"/>
    </row>
    <row r="1382" spans="35:35">
      <c r="AI1382" s="131"/>
    </row>
    <row r="1383" spans="35:35">
      <c r="AI1383" s="131"/>
    </row>
    <row r="1384" spans="35:35">
      <c r="AI1384" s="236"/>
    </row>
    <row r="1385" spans="35:35">
      <c r="AI1385" s="131"/>
    </row>
    <row r="1386" spans="35:35">
      <c r="AI1386" s="131"/>
    </row>
    <row r="1387" spans="35:35">
      <c r="AI1387" s="131"/>
    </row>
    <row r="1388" spans="35:35">
      <c r="AI1388" s="131"/>
    </row>
    <row r="1389" spans="35:35">
      <c r="AI1389" s="131"/>
    </row>
    <row r="1390" spans="35:35">
      <c r="AI1390" s="131"/>
    </row>
    <row r="1391" spans="35:35">
      <c r="AI1391" s="131"/>
    </row>
    <row r="1392" spans="35:35">
      <c r="AI1392" s="131"/>
    </row>
    <row r="1393" spans="35:35">
      <c r="AI1393" s="131"/>
    </row>
    <row r="1394" spans="35:35">
      <c r="AI1394" s="131"/>
    </row>
    <row r="1395" spans="35:35">
      <c r="AI1395" s="284"/>
    </row>
    <row r="1396" spans="35:35">
      <c r="AI1396" s="131"/>
    </row>
    <row r="1397" spans="35:35">
      <c r="AI1397" s="131"/>
    </row>
    <row r="1398" spans="35:35">
      <c r="AI1398" s="131"/>
    </row>
    <row r="1399" spans="35:35">
      <c r="AI1399" s="131"/>
    </row>
    <row r="1400" spans="35:35">
      <c r="AI1400" s="131"/>
    </row>
    <row r="1401" spans="35:35">
      <c r="AI1401" s="131"/>
    </row>
    <row r="1402" spans="35:35">
      <c r="AI1402" s="131"/>
    </row>
    <row r="1403" spans="35:35">
      <c r="AI1403" s="131"/>
    </row>
    <row r="1404" spans="35:35">
      <c r="AI1404" s="131"/>
    </row>
    <row r="1405" spans="35:35">
      <c r="AI1405" s="131"/>
    </row>
    <row r="1406" spans="35:35">
      <c r="AI1406" s="131"/>
    </row>
    <row r="1407" spans="35:35">
      <c r="AI1407" s="284"/>
    </row>
    <row r="1408" spans="35:35">
      <c r="AI1408" s="131"/>
    </row>
    <row r="1409" spans="35:35">
      <c r="AI1409" s="28"/>
    </row>
    <row r="1410" spans="35:35">
      <c r="AI1410" s="284"/>
    </row>
    <row r="1411" spans="35:35">
      <c r="AI1411" s="131"/>
    </row>
    <row r="1412" spans="35:35">
      <c r="AI1412" s="131"/>
    </row>
    <row r="1413" spans="35:35">
      <c r="AI1413" s="131"/>
    </row>
    <row r="1414" spans="35:35">
      <c r="AI1414" s="131"/>
    </row>
    <row r="1415" spans="35:35">
      <c r="AI1415" s="284"/>
    </row>
    <row r="1416" spans="35:35">
      <c r="AI1416" s="131"/>
    </row>
    <row r="1417" spans="35:35">
      <c r="AI1417" s="131"/>
    </row>
    <row r="1418" spans="35:35">
      <c r="AI1418" s="131"/>
    </row>
    <row r="1419" spans="35:35">
      <c r="AI1419" s="131"/>
    </row>
    <row r="1420" spans="35:35">
      <c r="AI1420" s="131"/>
    </row>
    <row r="1421" spans="35:35">
      <c r="AI1421" s="131"/>
    </row>
    <row r="1422" spans="35:35">
      <c r="AI1422" s="131"/>
    </row>
    <row r="1423" spans="35:35">
      <c r="AI1423" s="131"/>
    </row>
    <row r="1424" spans="35:35">
      <c r="AI1424" s="131"/>
    </row>
    <row r="1425" spans="35:35">
      <c r="AI1425" s="131"/>
    </row>
    <row r="1426" spans="35:35">
      <c r="AI1426" s="131"/>
    </row>
    <row r="1427" spans="35:35">
      <c r="AI1427" s="131"/>
    </row>
    <row r="1428" spans="35:35">
      <c r="AI1428" s="131"/>
    </row>
    <row r="1429" spans="35:35">
      <c r="AI1429" s="131"/>
    </row>
    <row r="1430" spans="35:35">
      <c r="AI1430" s="131"/>
    </row>
    <row r="1431" spans="35:35">
      <c r="AI1431" s="131"/>
    </row>
    <row r="1432" spans="35:35">
      <c r="AI1432" s="131"/>
    </row>
    <row r="1433" spans="35:35">
      <c r="AI1433" s="131"/>
    </row>
    <row r="1434" spans="35:35">
      <c r="AI1434" s="131"/>
    </row>
    <row r="1435" spans="35:35">
      <c r="AI1435" s="284"/>
    </row>
    <row r="1436" spans="35:35">
      <c r="AI1436" s="131"/>
    </row>
    <row r="1437" spans="35:35">
      <c r="AI1437" s="131"/>
    </row>
    <row r="1438" spans="35:35">
      <c r="AI1438" s="131"/>
    </row>
    <row r="1439" spans="35:35">
      <c r="AI1439" s="131"/>
    </row>
    <row r="1440" spans="35:35">
      <c r="AI1440" s="131"/>
    </row>
    <row r="1441" spans="1:35">
      <c r="AI1441" s="131"/>
    </row>
    <row r="1442" spans="1:35">
      <c r="AI1442" s="131"/>
    </row>
    <row r="1443" spans="1:35">
      <c r="AI1443" s="131"/>
    </row>
    <row r="1444" spans="1:35">
      <c r="AI1444" s="131"/>
    </row>
    <row r="1445" spans="1:35">
      <c r="AI1445" s="131"/>
    </row>
    <row r="1446" spans="1:35">
      <c r="AI1446" s="131"/>
    </row>
    <row r="1447" spans="1:35">
      <c r="AI1447" s="131"/>
    </row>
    <row r="1448" spans="1:35">
      <c r="AI1448" s="131"/>
    </row>
    <row r="1449" spans="1:35">
      <c r="AI1449" s="131"/>
    </row>
    <row r="1450" spans="1:35">
      <c r="AI1450" s="131"/>
    </row>
    <row r="1451" spans="1:35">
      <c r="AI1451" s="131"/>
    </row>
    <row r="1452" spans="1:35">
      <c r="AI1452" s="131"/>
    </row>
    <row r="1453" spans="1:35" ht="26.4">
      <c r="A1453" s="284"/>
      <c r="B1453" s="284"/>
      <c r="C1453" s="284"/>
      <c r="D1453" s="284"/>
      <c r="E1453" s="284"/>
      <c r="F1453" s="284"/>
      <c r="G1453" s="284"/>
      <c r="H1453" s="284"/>
      <c r="I1453" s="284"/>
      <c r="J1453" s="375"/>
      <c r="K1453" s="375"/>
      <c r="L1453" s="375"/>
      <c r="M1453" s="368"/>
      <c r="N1453" s="368"/>
      <c r="T1453" s="340"/>
      <c r="V1453" s="378"/>
      <c r="W1453" s="64" ph="1"/>
      <c r="X1453" s="241"/>
      <c r="Y1453" s="284"/>
      <c r="Z1453" s="207"/>
      <c r="AA1453" s="284"/>
      <c r="AB1453" s="284"/>
      <c r="AC1453" s="284"/>
      <c r="AD1453" s="284"/>
      <c r="AE1453" s="284"/>
      <c r="AF1453" s="284"/>
      <c r="AG1453" s="284"/>
      <c r="AI1453" s="131"/>
    </row>
    <row r="1454" spans="1:35">
      <c r="AI1454" s="131"/>
    </row>
    <row r="1455" spans="1:35">
      <c r="AI1455" s="131"/>
    </row>
    <row r="1456" spans="1:35">
      <c r="AI1456" s="131"/>
    </row>
    <row r="1457" spans="1:35">
      <c r="AI1457" s="131"/>
    </row>
    <row r="1458" spans="1:35">
      <c r="AI1458" s="131"/>
    </row>
    <row r="1459" spans="1:35">
      <c r="AI1459" s="131"/>
    </row>
    <row r="1460" spans="1:35">
      <c r="AI1460" s="131"/>
    </row>
    <row r="1461" spans="1:35">
      <c r="AI1461" s="131"/>
    </row>
    <row r="1462" spans="1:35">
      <c r="AI1462" s="131"/>
    </row>
    <row r="1463" spans="1:35" ht="26.4">
      <c r="A1463" s="284"/>
      <c r="B1463" s="284"/>
      <c r="C1463" s="284"/>
      <c r="D1463" s="284"/>
      <c r="E1463" s="284"/>
      <c r="F1463" s="284"/>
      <c r="G1463" s="284"/>
      <c r="H1463" s="284"/>
      <c r="I1463" s="284"/>
      <c r="J1463" s="375"/>
      <c r="K1463" s="375"/>
      <c r="L1463" s="375"/>
      <c r="M1463" s="368"/>
      <c r="N1463" s="368"/>
      <c r="T1463" s="340"/>
      <c r="V1463" s="378"/>
      <c r="W1463" s="64" ph="1"/>
      <c r="X1463" s="241"/>
      <c r="Y1463" s="284"/>
      <c r="Z1463" s="207"/>
      <c r="AA1463" s="284"/>
      <c r="AB1463" s="284"/>
      <c r="AC1463" s="284"/>
      <c r="AD1463" s="284"/>
      <c r="AE1463" s="284"/>
      <c r="AF1463" s="284"/>
      <c r="AG1463" s="284"/>
      <c r="AI1463" s="131"/>
    </row>
    <row r="1464" spans="1:35">
      <c r="AI1464" s="131"/>
    </row>
    <row r="1465" spans="1:35">
      <c r="AI1465" s="131"/>
    </row>
    <row r="1466" spans="1:35">
      <c r="AI1466" s="131"/>
    </row>
    <row r="1467" spans="1:35" ht="26.4">
      <c r="A1467" s="284"/>
      <c r="B1467" s="284"/>
      <c r="C1467" s="284"/>
      <c r="D1467" s="284"/>
      <c r="E1467" s="284"/>
      <c r="F1467" s="284"/>
      <c r="G1467" s="284"/>
      <c r="H1467" s="284"/>
      <c r="I1467" s="284"/>
      <c r="J1467" s="375"/>
      <c r="K1467" s="375"/>
      <c r="L1467" s="375"/>
      <c r="M1467" s="368"/>
      <c r="N1467" s="368"/>
      <c r="T1467" s="340"/>
      <c r="V1467" s="378"/>
      <c r="W1467" s="64" ph="1"/>
      <c r="X1467" s="241"/>
      <c r="Y1467" s="284"/>
      <c r="Z1467" s="207"/>
      <c r="AA1467" s="284"/>
      <c r="AB1467" s="284"/>
      <c r="AC1467" s="284"/>
      <c r="AD1467" s="284"/>
      <c r="AE1467" s="284"/>
      <c r="AF1467" s="284"/>
      <c r="AG1467" s="284"/>
      <c r="AI1467" s="131"/>
    </row>
    <row r="1468" spans="1:35">
      <c r="AI1468" s="131"/>
    </row>
    <row r="1469" spans="1:35">
      <c r="AI1469" s="131"/>
    </row>
    <row r="1470" spans="1:35">
      <c r="O1470" s="370"/>
      <c r="AI1470" s="131"/>
    </row>
    <row r="1471" spans="1:35">
      <c r="AI1471" s="131"/>
    </row>
    <row r="1472" spans="1:35" ht="26.4">
      <c r="A1472" s="284"/>
      <c r="B1472" s="284"/>
      <c r="C1472" s="284"/>
      <c r="D1472" s="284"/>
      <c r="E1472" s="284"/>
      <c r="F1472" s="284"/>
      <c r="G1472" s="284"/>
      <c r="H1472" s="284"/>
      <c r="I1472" s="284"/>
      <c r="J1472" s="375"/>
      <c r="K1472" s="375"/>
      <c r="L1472" s="375"/>
      <c r="M1472" s="368"/>
      <c r="N1472" s="368"/>
      <c r="T1472" s="340"/>
      <c r="V1472" s="378"/>
      <c r="W1472" s="64" ph="1"/>
      <c r="X1472" s="241"/>
      <c r="Y1472" s="284"/>
      <c r="Z1472" s="207"/>
      <c r="AA1472" s="284"/>
      <c r="AB1472" s="284"/>
      <c r="AC1472" s="284"/>
      <c r="AD1472" s="284"/>
      <c r="AE1472" s="284"/>
      <c r="AF1472" s="284"/>
      <c r="AG1472" s="284"/>
      <c r="AI1472" s="131"/>
    </row>
    <row r="1473" spans="1:35" ht="26.4">
      <c r="A1473" s="284"/>
      <c r="B1473" s="284"/>
      <c r="C1473" s="284"/>
      <c r="D1473" s="284"/>
      <c r="E1473" s="284"/>
      <c r="F1473" s="284"/>
      <c r="G1473" s="284"/>
      <c r="H1473" s="284"/>
      <c r="I1473" s="284"/>
      <c r="J1473" s="375"/>
      <c r="K1473" s="375"/>
      <c r="L1473" s="375"/>
      <c r="M1473" s="368"/>
      <c r="N1473" s="368"/>
      <c r="T1473" s="340"/>
      <c r="V1473" s="378"/>
      <c r="W1473" s="64" ph="1"/>
      <c r="X1473" s="241"/>
      <c r="Y1473" s="284"/>
      <c r="Z1473" s="207"/>
      <c r="AA1473" s="284"/>
      <c r="AB1473" s="284"/>
      <c r="AC1473" s="284"/>
      <c r="AD1473" s="284"/>
      <c r="AE1473" s="284"/>
      <c r="AF1473" s="284"/>
      <c r="AG1473" s="284"/>
      <c r="AI1473" s="131"/>
    </row>
    <row r="1474" spans="1:35" ht="26.4">
      <c r="A1474" s="284"/>
      <c r="B1474" s="284"/>
      <c r="C1474" s="284"/>
      <c r="D1474" s="284"/>
      <c r="E1474" s="284"/>
      <c r="F1474" s="284"/>
      <c r="G1474" s="284"/>
      <c r="H1474" s="284"/>
      <c r="I1474" s="284"/>
      <c r="J1474" s="375"/>
      <c r="K1474" s="375"/>
      <c r="L1474" s="375"/>
      <c r="M1474" s="368"/>
      <c r="N1474" s="368"/>
      <c r="T1474" s="340"/>
      <c r="V1474" s="378"/>
      <c r="W1474" s="64" ph="1"/>
      <c r="X1474" s="241"/>
      <c r="Y1474" s="284"/>
      <c r="Z1474" s="207"/>
      <c r="AA1474" s="284"/>
      <c r="AB1474" s="284"/>
      <c r="AC1474" s="284"/>
      <c r="AD1474" s="284"/>
      <c r="AE1474" s="284"/>
      <c r="AF1474" s="284"/>
      <c r="AG1474" s="284"/>
      <c r="AI1474" s="284"/>
    </row>
    <row r="1475" spans="1:35">
      <c r="AI1475" s="131"/>
    </row>
    <row r="1476" spans="1:35" ht="26.4">
      <c r="A1476" s="284"/>
      <c r="B1476" s="284"/>
      <c r="C1476" s="284"/>
      <c r="D1476" s="284"/>
      <c r="E1476" s="284"/>
      <c r="F1476" s="284"/>
      <c r="G1476" s="284"/>
      <c r="H1476" s="284"/>
      <c r="I1476" s="284"/>
      <c r="J1476" s="375"/>
      <c r="K1476" s="375"/>
      <c r="L1476" s="375"/>
      <c r="M1476" s="368"/>
      <c r="N1476" s="368"/>
      <c r="T1476" s="340"/>
      <c r="V1476" s="378"/>
      <c r="W1476" s="64" ph="1"/>
      <c r="X1476" s="241"/>
      <c r="Y1476" s="284"/>
      <c r="Z1476" s="207"/>
      <c r="AA1476" s="284"/>
      <c r="AB1476" s="284"/>
      <c r="AC1476" s="284"/>
      <c r="AD1476" s="284"/>
      <c r="AE1476" s="284"/>
      <c r="AF1476" s="284"/>
      <c r="AG1476" s="284"/>
      <c r="AI1476" s="131"/>
    </row>
    <row r="1477" spans="1:35" ht="26.4">
      <c r="A1477" s="284"/>
      <c r="B1477" s="284"/>
      <c r="C1477" s="284"/>
      <c r="D1477" s="284"/>
      <c r="E1477" s="284"/>
      <c r="F1477" s="284"/>
      <c r="G1477" s="284"/>
      <c r="H1477" s="284"/>
      <c r="I1477" s="284"/>
      <c r="J1477" s="375"/>
      <c r="K1477" s="375"/>
      <c r="L1477" s="375"/>
      <c r="M1477" s="368"/>
      <c r="N1477" s="368"/>
      <c r="T1477" s="340"/>
      <c r="V1477" s="378"/>
      <c r="W1477" s="64" ph="1"/>
      <c r="X1477" s="241"/>
      <c r="Y1477" s="284"/>
      <c r="Z1477" s="207"/>
      <c r="AA1477" s="284"/>
      <c r="AB1477" s="284"/>
      <c r="AC1477" s="284"/>
      <c r="AD1477" s="284"/>
      <c r="AE1477" s="284"/>
      <c r="AF1477" s="284"/>
      <c r="AG1477" s="284"/>
      <c r="AI1477" s="131"/>
    </row>
    <row r="1478" spans="1:35">
      <c r="AI1478" s="131"/>
    </row>
    <row r="1479" spans="1:35" ht="26.4">
      <c r="A1479" s="284"/>
      <c r="B1479" s="284"/>
      <c r="C1479" s="284"/>
      <c r="D1479" s="284"/>
      <c r="E1479" s="284"/>
      <c r="F1479" s="284"/>
      <c r="G1479" s="284"/>
      <c r="H1479" s="284"/>
      <c r="I1479" s="284"/>
      <c r="J1479" s="375"/>
      <c r="K1479" s="375"/>
      <c r="L1479" s="375"/>
      <c r="M1479" s="368"/>
      <c r="N1479" s="368"/>
      <c r="T1479" s="340"/>
      <c r="V1479" s="378"/>
      <c r="W1479" s="64" ph="1"/>
      <c r="X1479" s="241"/>
      <c r="Y1479" s="284"/>
      <c r="Z1479" s="207"/>
      <c r="AA1479" s="284"/>
      <c r="AB1479" s="284"/>
      <c r="AC1479" s="284"/>
      <c r="AD1479" s="284"/>
      <c r="AE1479" s="284"/>
      <c r="AF1479" s="284"/>
      <c r="AG1479" s="284"/>
      <c r="AI1479" s="131"/>
    </row>
    <row r="1480" spans="1:35">
      <c r="O1480" s="370"/>
      <c r="AI1480" s="131"/>
    </row>
    <row r="1481" spans="1:35" ht="26.4">
      <c r="A1481" s="284"/>
      <c r="B1481" s="284"/>
      <c r="C1481" s="284"/>
      <c r="D1481" s="284"/>
      <c r="E1481" s="284"/>
      <c r="F1481" s="284"/>
      <c r="G1481" s="284"/>
      <c r="H1481" s="284"/>
      <c r="I1481" s="284"/>
      <c r="J1481" s="375"/>
      <c r="K1481" s="375"/>
      <c r="L1481" s="375"/>
      <c r="M1481" s="368"/>
      <c r="N1481" s="368"/>
      <c r="T1481" s="340"/>
      <c r="V1481" s="378"/>
      <c r="W1481" s="64" ph="1"/>
      <c r="X1481" s="241"/>
      <c r="Y1481" s="284"/>
      <c r="Z1481" s="207"/>
      <c r="AA1481" s="284"/>
      <c r="AB1481" s="284"/>
      <c r="AC1481" s="284"/>
      <c r="AD1481" s="284"/>
      <c r="AE1481" s="284"/>
      <c r="AF1481" s="284"/>
      <c r="AG1481" s="284"/>
      <c r="AI1481" s="131"/>
    </row>
    <row r="1482" spans="1:35" ht="26.4">
      <c r="A1482" s="284"/>
      <c r="B1482" s="284"/>
      <c r="C1482" s="284"/>
      <c r="D1482" s="284"/>
      <c r="E1482" s="284"/>
      <c r="F1482" s="284"/>
      <c r="G1482" s="284"/>
      <c r="H1482" s="284"/>
      <c r="I1482" s="284"/>
      <c r="J1482" s="375"/>
      <c r="K1482" s="375"/>
      <c r="L1482" s="375"/>
      <c r="M1482" s="368"/>
      <c r="N1482" s="368"/>
      <c r="T1482" s="340"/>
      <c r="V1482" s="378"/>
      <c r="W1482" s="64" ph="1"/>
      <c r="X1482" s="241"/>
      <c r="Y1482" s="284"/>
      <c r="Z1482" s="207"/>
      <c r="AA1482" s="284"/>
      <c r="AB1482" s="284"/>
      <c r="AC1482" s="284"/>
      <c r="AD1482" s="284"/>
      <c r="AE1482" s="284"/>
      <c r="AF1482" s="284"/>
      <c r="AG1482" s="284"/>
      <c r="AI1482" s="131"/>
    </row>
    <row r="1483" spans="1:35" ht="26.4">
      <c r="A1483" s="284"/>
      <c r="B1483" s="284"/>
      <c r="C1483" s="284"/>
      <c r="D1483" s="284"/>
      <c r="E1483" s="284"/>
      <c r="F1483" s="284"/>
      <c r="G1483" s="284"/>
      <c r="H1483" s="284"/>
      <c r="I1483" s="284"/>
      <c r="J1483" s="375"/>
      <c r="K1483" s="375"/>
      <c r="L1483" s="375"/>
      <c r="M1483" s="368"/>
      <c r="N1483" s="368"/>
      <c r="T1483" s="340"/>
      <c r="V1483" s="378"/>
      <c r="W1483" s="64" ph="1"/>
      <c r="X1483" s="241"/>
      <c r="Y1483" s="284"/>
      <c r="Z1483" s="207"/>
      <c r="AA1483" s="284"/>
      <c r="AB1483" s="284"/>
      <c r="AC1483" s="284"/>
      <c r="AD1483" s="284"/>
      <c r="AE1483" s="284"/>
      <c r="AF1483" s="284"/>
      <c r="AG1483" s="284"/>
      <c r="AI1483" s="131"/>
    </row>
    <row r="1484" spans="1:35" ht="26.4">
      <c r="A1484" s="284"/>
      <c r="B1484" s="284"/>
      <c r="C1484" s="284"/>
      <c r="D1484" s="284"/>
      <c r="E1484" s="284"/>
      <c r="F1484" s="284"/>
      <c r="G1484" s="284"/>
      <c r="H1484" s="284"/>
      <c r="I1484" s="284"/>
      <c r="J1484" s="375"/>
      <c r="K1484" s="375"/>
      <c r="L1484" s="375"/>
      <c r="M1484" s="368"/>
      <c r="N1484" s="368"/>
      <c r="O1484" s="370"/>
      <c r="T1484" s="340"/>
      <c r="V1484" s="378"/>
      <c r="W1484" s="64" ph="1"/>
      <c r="X1484" s="241"/>
      <c r="Y1484" s="284"/>
      <c r="Z1484" s="207"/>
      <c r="AA1484" s="284"/>
      <c r="AB1484" s="284"/>
      <c r="AC1484" s="284"/>
      <c r="AD1484" s="284"/>
      <c r="AE1484" s="284"/>
      <c r="AF1484" s="284"/>
      <c r="AG1484" s="284"/>
      <c r="AI1484" s="131"/>
    </row>
    <row r="1485" spans="1:35" ht="26.4">
      <c r="A1485" s="284"/>
      <c r="B1485" s="284"/>
      <c r="C1485" s="284"/>
      <c r="D1485" s="284"/>
      <c r="E1485" s="284"/>
      <c r="F1485" s="284"/>
      <c r="G1485" s="284"/>
      <c r="H1485" s="284"/>
      <c r="I1485" s="284"/>
      <c r="J1485" s="375"/>
      <c r="K1485" s="375"/>
      <c r="L1485" s="375"/>
      <c r="M1485" s="368"/>
      <c r="N1485" s="368"/>
      <c r="T1485" s="340"/>
      <c r="V1485" s="378"/>
      <c r="W1485" s="64" ph="1"/>
      <c r="X1485" s="241"/>
      <c r="Y1485" s="284"/>
      <c r="Z1485" s="207"/>
      <c r="AA1485" s="284"/>
      <c r="AB1485" s="284"/>
      <c r="AC1485" s="284"/>
      <c r="AD1485" s="284"/>
      <c r="AE1485" s="284"/>
      <c r="AF1485" s="284"/>
      <c r="AG1485" s="284"/>
      <c r="AI1485" s="131"/>
    </row>
    <row r="1486" spans="1:35" ht="26.4">
      <c r="A1486" s="284"/>
      <c r="B1486" s="284"/>
      <c r="C1486" s="284"/>
      <c r="D1486" s="284"/>
      <c r="E1486" s="284"/>
      <c r="F1486" s="284"/>
      <c r="G1486" s="284"/>
      <c r="H1486" s="284"/>
      <c r="I1486" s="284"/>
      <c r="J1486" s="375"/>
      <c r="K1486" s="375"/>
      <c r="L1486" s="375"/>
      <c r="M1486" s="368"/>
      <c r="N1486" s="368"/>
      <c r="T1486" s="340"/>
      <c r="V1486" s="378"/>
      <c r="W1486" s="64" ph="1"/>
      <c r="X1486" s="241"/>
      <c r="Y1486" s="284"/>
      <c r="Z1486" s="207"/>
      <c r="AA1486" s="284"/>
      <c r="AB1486" s="284"/>
      <c r="AC1486" s="284"/>
      <c r="AD1486" s="284"/>
      <c r="AE1486" s="284"/>
      <c r="AF1486" s="284"/>
      <c r="AG1486" s="284"/>
      <c r="AI1486" s="131"/>
    </row>
    <row r="1487" spans="1:35" ht="26.4">
      <c r="A1487" s="284"/>
      <c r="B1487" s="284"/>
      <c r="C1487" s="284"/>
      <c r="D1487" s="284"/>
      <c r="E1487" s="284"/>
      <c r="F1487" s="284"/>
      <c r="G1487" s="284"/>
      <c r="H1487" s="284"/>
      <c r="I1487" s="284"/>
      <c r="J1487" s="375"/>
      <c r="K1487" s="375"/>
      <c r="L1487" s="375"/>
      <c r="M1487" s="368"/>
      <c r="N1487" s="368"/>
      <c r="T1487" s="340"/>
      <c r="V1487" s="378"/>
      <c r="W1487" s="64" ph="1"/>
      <c r="X1487" s="241"/>
      <c r="Y1487" s="284"/>
      <c r="Z1487" s="207"/>
      <c r="AA1487" s="284"/>
      <c r="AB1487" s="284"/>
      <c r="AC1487" s="284"/>
      <c r="AD1487" s="284"/>
      <c r="AE1487" s="284"/>
      <c r="AF1487" s="284"/>
      <c r="AG1487" s="284"/>
      <c r="AI1487" s="131"/>
    </row>
    <row r="1488" spans="1:35" ht="26.4">
      <c r="A1488" s="284"/>
      <c r="B1488" s="284"/>
      <c r="C1488" s="284"/>
      <c r="D1488" s="284"/>
      <c r="E1488" s="284"/>
      <c r="F1488" s="284"/>
      <c r="G1488" s="284"/>
      <c r="H1488" s="284"/>
      <c r="I1488" s="284"/>
      <c r="J1488" s="375"/>
      <c r="K1488" s="375"/>
      <c r="L1488" s="375"/>
      <c r="M1488" s="368"/>
      <c r="N1488" s="368"/>
      <c r="T1488" s="340"/>
      <c r="V1488" s="378"/>
      <c r="W1488" s="64" ph="1"/>
      <c r="X1488" s="241"/>
      <c r="Y1488" s="284"/>
      <c r="Z1488" s="207"/>
      <c r="AA1488" s="284"/>
      <c r="AB1488" s="284"/>
      <c r="AC1488" s="284"/>
      <c r="AD1488" s="284"/>
      <c r="AE1488" s="284"/>
      <c r="AF1488" s="284"/>
      <c r="AG1488" s="284"/>
      <c r="AI1488" s="131"/>
    </row>
    <row r="1489" spans="1:35" ht="26.4">
      <c r="A1489" s="284"/>
      <c r="B1489" s="284"/>
      <c r="C1489" s="284"/>
      <c r="D1489" s="284"/>
      <c r="E1489" s="284"/>
      <c r="F1489" s="284"/>
      <c r="G1489" s="284"/>
      <c r="H1489" s="284"/>
      <c r="I1489" s="284"/>
      <c r="J1489" s="375"/>
      <c r="K1489" s="375"/>
      <c r="L1489" s="375"/>
      <c r="M1489" s="368"/>
      <c r="N1489" s="368"/>
      <c r="O1489" s="370"/>
      <c r="T1489" s="340"/>
      <c r="V1489" s="378"/>
      <c r="W1489" s="64" ph="1"/>
      <c r="X1489" s="241"/>
      <c r="Y1489" s="284"/>
      <c r="Z1489" s="207"/>
      <c r="AA1489" s="284"/>
      <c r="AB1489" s="284"/>
      <c r="AC1489" s="284"/>
      <c r="AD1489" s="284"/>
      <c r="AE1489" s="284"/>
      <c r="AF1489" s="284"/>
      <c r="AG1489" s="284"/>
      <c r="AI1489" s="131"/>
    </row>
    <row r="1490" spans="1:35" ht="26.4">
      <c r="A1490" s="284"/>
      <c r="B1490" s="284"/>
      <c r="C1490" s="284"/>
      <c r="D1490" s="284"/>
      <c r="E1490" s="284"/>
      <c r="F1490" s="284"/>
      <c r="G1490" s="284"/>
      <c r="H1490" s="284"/>
      <c r="I1490" s="284"/>
      <c r="J1490" s="375"/>
      <c r="K1490" s="375"/>
      <c r="L1490" s="375"/>
      <c r="M1490" s="368"/>
      <c r="N1490" s="368"/>
      <c r="O1490" s="370"/>
      <c r="T1490" s="340"/>
      <c r="V1490" s="378"/>
      <c r="W1490" s="64" ph="1"/>
      <c r="X1490" s="241"/>
      <c r="Y1490" s="284"/>
      <c r="Z1490" s="207"/>
      <c r="AA1490" s="284"/>
      <c r="AB1490" s="284"/>
      <c r="AC1490" s="284"/>
      <c r="AD1490" s="284"/>
      <c r="AE1490" s="284"/>
      <c r="AF1490" s="284"/>
      <c r="AG1490" s="284"/>
      <c r="AI1490" s="131"/>
    </row>
    <row r="1491" spans="1:35">
      <c r="O1491" s="370"/>
      <c r="AI1491" s="131"/>
    </row>
    <row r="1492" spans="1:35" ht="26.4">
      <c r="A1492" s="284"/>
      <c r="B1492" s="284"/>
      <c r="C1492" s="284"/>
      <c r="D1492" s="284"/>
      <c r="E1492" s="284"/>
      <c r="F1492" s="284"/>
      <c r="G1492" s="284"/>
      <c r="H1492" s="284"/>
      <c r="I1492" s="284"/>
      <c r="J1492" s="375"/>
      <c r="K1492" s="375"/>
      <c r="L1492" s="375"/>
      <c r="M1492" s="368"/>
      <c r="N1492" s="368"/>
      <c r="T1492" s="340"/>
      <c r="V1492" s="378"/>
      <c r="W1492" s="64" ph="1"/>
      <c r="X1492" s="241"/>
      <c r="Y1492" s="284"/>
      <c r="Z1492" s="207"/>
      <c r="AA1492" s="284"/>
      <c r="AB1492" s="284"/>
      <c r="AC1492" s="284"/>
      <c r="AD1492" s="284"/>
      <c r="AE1492" s="284"/>
      <c r="AF1492" s="284"/>
      <c r="AG1492" s="284"/>
      <c r="AI1492" s="131"/>
    </row>
    <row r="1493" spans="1:35" ht="26.4">
      <c r="A1493" s="284"/>
      <c r="B1493" s="284"/>
      <c r="C1493" s="284"/>
      <c r="D1493" s="284"/>
      <c r="E1493" s="284"/>
      <c r="F1493" s="284"/>
      <c r="G1493" s="284"/>
      <c r="H1493" s="284"/>
      <c r="I1493" s="284"/>
      <c r="J1493" s="375"/>
      <c r="K1493" s="375"/>
      <c r="L1493" s="375"/>
      <c r="M1493" s="368"/>
      <c r="N1493" s="368"/>
      <c r="O1493" s="370"/>
      <c r="T1493" s="340"/>
      <c r="V1493" s="378"/>
      <c r="W1493" s="64" ph="1"/>
      <c r="X1493" s="241"/>
      <c r="Y1493" s="284"/>
      <c r="Z1493" s="207"/>
      <c r="AA1493" s="284"/>
      <c r="AB1493" s="284"/>
      <c r="AC1493" s="284"/>
      <c r="AD1493" s="284"/>
      <c r="AE1493" s="284"/>
      <c r="AF1493" s="284"/>
      <c r="AG1493" s="284"/>
      <c r="AI1493" s="131"/>
    </row>
    <row r="1494" spans="1:35" ht="26.4">
      <c r="A1494" s="284"/>
      <c r="B1494" s="284"/>
      <c r="C1494" s="284"/>
      <c r="D1494" s="284"/>
      <c r="E1494" s="284"/>
      <c r="F1494" s="284"/>
      <c r="G1494" s="284"/>
      <c r="H1494" s="284"/>
      <c r="I1494" s="284"/>
      <c r="J1494" s="375"/>
      <c r="K1494" s="375"/>
      <c r="L1494" s="375"/>
      <c r="M1494" s="368"/>
      <c r="N1494" s="368"/>
      <c r="O1494" s="370"/>
      <c r="T1494" s="340"/>
      <c r="V1494" s="378"/>
      <c r="W1494" s="64" ph="1"/>
      <c r="X1494" s="241"/>
      <c r="Y1494" s="284"/>
      <c r="Z1494" s="207"/>
      <c r="AA1494" s="284"/>
      <c r="AB1494" s="284"/>
      <c r="AC1494" s="284"/>
      <c r="AD1494" s="284"/>
      <c r="AE1494" s="284"/>
      <c r="AF1494" s="284"/>
      <c r="AG1494" s="284"/>
      <c r="AI1494" s="131"/>
    </row>
    <row r="1495" spans="1:35" ht="26.4">
      <c r="A1495" s="284"/>
      <c r="B1495" s="284"/>
      <c r="C1495" s="284"/>
      <c r="D1495" s="284"/>
      <c r="E1495" s="284"/>
      <c r="F1495" s="284"/>
      <c r="G1495" s="284"/>
      <c r="H1495" s="284"/>
      <c r="I1495" s="284"/>
      <c r="J1495" s="375"/>
      <c r="K1495" s="375"/>
      <c r="L1495" s="375"/>
      <c r="M1495" s="368"/>
      <c r="N1495" s="368"/>
      <c r="T1495" s="340"/>
      <c r="V1495" s="378"/>
      <c r="W1495" s="64" ph="1"/>
      <c r="X1495" s="241"/>
      <c r="Y1495" s="284"/>
      <c r="Z1495" s="207"/>
      <c r="AA1495" s="284"/>
      <c r="AB1495" s="284"/>
      <c r="AC1495" s="284"/>
      <c r="AD1495" s="284"/>
      <c r="AE1495" s="284"/>
      <c r="AF1495" s="284"/>
      <c r="AG1495" s="284"/>
      <c r="AI1495" s="131"/>
    </row>
    <row r="1496" spans="1:35" ht="26.4">
      <c r="A1496" s="284"/>
      <c r="B1496" s="284"/>
      <c r="C1496" s="284"/>
      <c r="D1496" s="284"/>
      <c r="E1496" s="284"/>
      <c r="F1496" s="284"/>
      <c r="G1496" s="284"/>
      <c r="H1496" s="284"/>
      <c r="I1496" s="284"/>
      <c r="J1496" s="375"/>
      <c r="K1496" s="375"/>
      <c r="L1496" s="375"/>
      <c r="M1496" s="368"/>
      <c r="N1496" s="368"/>
      <c r="O1496" s="370"/>
      <c r="T1496" s="340"/>
      <c r="V1496" s="378"/>
      <c r="W1496" s="64" ph="1"/>
      <c r="X1496" s="241"/>
      <c r="Y1496" s="284"/>
      <c r="Z1496" s="207"/>
      <c r="AA1496" s="284"/>
      <c r="AB1496" s="284"/>
      <c r="AC1496" s="284"/>
      <c r="AD1496" s="284"/>
      <c r="AE1496" s="284"/>
      <c r="AF1496" s="284"/>
      <c r="AG1496" s="284"/>
      <c r="AI1496" s="131"/>
    </row>
    <row r="1497" spans="1:35" ht="26.4">
      <c r="A1497" s="284"/>
      <c r="B1497" s="284"/>
      <c r="C1497" s="284"/>
      <c r="D1497" s="284"/>
      <c r="E1497" s="284"/>
      <c r="F1497" s="284"/>
      <c r="G1497" s="284"/>
      <c r="H1497" s="284"/>
      <c r="I1497" s="284"/>
      <c r="J1497" s="375"/>
      <c r="K1497" s="375"/>
      <c r="L1497" s="375"/>
      <c r="M1497" s="368"/>
      <c r="N1497" s="368"/>
      <c r="T1497" s="340"/>
      <c r="V1497" s="378"/>
      <c r="W1497" s="64" ph="1"/>
      <c r="X1497" s="241"/>
      <c r="Y1497" s="284"/>
      <c r="Z1497" s="207"/>
      <c r="AA1497" s="284"/>
      <c r="AB1497" s="284"/>
      <c r="AC1497" s="284"/>
      <c r="AD1497" s="284"/>
      <c r="AE1497" s="284"/>
      <c r="AF1497" s="284"/>
      <c r="AG1497" s="284"/>
      <c r="AI1497" s="131"/>
    </row>
    <row r="1498" spans="1:35" ht="26.4">
      <c r="A1498" s="284"/>
      <c r="B1498" s="284"/>
      <c r="C1498" s="284"/>
      <c r="D1498" s="284"/>
      <c r="E1498" s="284"/>
      <c r="F1498" s="284"/>
      <c r="G1498" s="284"/>
      <c r="H1498" s="284"/>
      <c r="I1498" s="284"/>
      <c r="J1498" s="375"/>
      <c r="K1498" s="375"/>
      <c r="L1498" s="375"/>
      <c r="M1498" s="368"/>
      <c r="N1498" s="368"/>
      <c r="O1498" s="370"/>
      <c r="T1498" s="340"/>
      <c r="V1498" s="378"/>
      <c r="W1498" s="64" ph="1"/>
      <c r="X1498" s="241"/>
      <c r="Y1498" s="284"/>
      <c r="Z1498" s="207"/>
      <c r="AA1498" s="284"/>
      <c r="AB1498" s="284"/>
      <c r="AC1498" s="284"/>
      <c r="AD1498" s="284"/>
      <c r="AE1498" s="284"/>
      <c r="AF1498" s="284"/>
      <c r="AG1498" s="284"/>
      <c r="AI1498" s="131"/>
    </row>
    <row r="1499" spans="1:35" ht="26.4">
      <c r="A1499" s="284"/>
      <c r="B1499" s="284"/>
      <c r="C1499" s="284"/>
      <c r="D1499" s="284"/>
      <c r="E1499" s="284"/>
      <c r="F1499" s="284"/>
      <c r="G1499" s="284"/>
      <c r="H1499" s="284"/>
      <c r="I1499" s="284"/>
      <c r="J1499" s="375"/>
      <c r="K1499" s="375"/>
      <c r="L1499" s="375"/>
      <c r="M1499" s="368"/>
      <c r="N1499" s="368"/>
      <c r="O1499" s="370"/>
      <c r="T1499" s="340"/>
      <c r="V1499" s="378"/>
      <c r="W1499" s="64" ph="1"/>
      <c r="X1499" s="241"/>
      <c r="Y1499" s="284"/>
      <c r="Z1499" s="207"/>
      <c r="AA1499" s="284"/>
      <c r="AB1499" s="284"/>
      <c r="AC1499" s="284"/>
      <c r="AD1499" s="284"/>
      <c r="AE1499" s="284"/>
      <c r="AF1499" s="284"/>
      <c r="AG1499" s="284"/>
      <c r="AI1499" s="131"/>
    </row>
    <row r="1500" spans="1:35">
      <c r="O1500" s="370"/>
      <c r="AI1500" s="131"/>
    </row>
    <row r="1501" spans="1:35" ht="26.4">
      <c r="A1501" s="284"/>
      <c r="B1501" s="284"/>
      <c r="C1501" s="284"/>
      <c r="D1501" s="284"/>
      <c r="E1501" s="284"/>
      <c r="F1501" s="284"/>
      <c r="G1501" s="284"/>
      <c r="H1501" s="284"/>
      <c r="I1501" s="284"/>
      <c r="J1501" s="375"/>
      <c r="K1501" s="375"/>
      <c r="L1501" s="375"/>
      <c r="M1501" s="368"/>
      <c r="N1501" s="368"/>
      <c r="O1501" s="370"/>
      <c r="T1501" s="340"/>
      <c r="V1501" s="378"/>
      <c r="W1501" s="64" ph="1"/>
      <c r="X1501" s="241"/>
      <c r="Y1501" s="284"/>
      <c r="Z1501" s="207"/>
      <c r="AA1501" s="284"/>
      <c r="AB1501" s="284"/>
      <c r="AC1501" s="284"/>
      <c r="AD1501" s="284"/>
      <c r="AE1501" s="284"/>
      <c r="AF1501" s="284"/>
      <c r="AG1501" s="284"/>
      <c r="AI1501" s="131"/>
    </row>
    <row r="1502" spans="1:35" ht="26.4">
      <c r="A1502" s="284"/>
      <c r="B1502" s="284"/>
      <c r="C1502" s="284"/>
      <c r="D1502" s="284"/>
      <c r="E1502" s="284"/>
      <c r="F1502" s="284"/>
      <c r="G1502" s="284"/>
      <c r="H1502" s="284"/>
      <c r="I1502" s="284"/>
      <c r="J1502" s="375"/>
      <c r="K1502" s="375"/>
      <c r="L1502" s="375"/>
      <c r="M1502" s="368"/>
      <c r="N1502" s="368"/>
      <c r="O1502" s="370"/>
      <c r="T1502" s="340"/>
      <c r="V1502" s="378"/>
      <c r="W1502" s="64" ph="1"/>
      <c r="X1502" s="241"/>
      <c r="Y1502" s="284"/>
      <c r="Z1502" s="207"/>
      <c r="AA1502" s="284"/>
      <c r="AB1502" s="284"/>
      <c r="AC1502" s="284"/>
      <c r="AD1502" s="284"/>
      <c r="AE1502" s="284"/>
      <c r="AF1502" s="284"/>
      <c r="AG1502" s="284"/>
      <c r="AI1502" s="131"/>
    </row>
    <row r="1503" spans="1:35" ht="26.4">
      <c r="A1503" s="284"/>
      <c r="B1503" s="284"/>
      <c r="C1503" s="284"/>
      <c r="D1503" s="284"/>
      <c r="E1503" s="284"/>
      <c r="F1503" s="284"/>
      <c r="G1503" s="284"/>
      <c r="H1503" s="284"/>
      <c r="I1503" s="284"/>
      <c r="J1503" s="375"/>
      <c r="K1503" s="375"/>
      <c r="L1503" s="375"/>
      <c r="M1503" s="368"/>
      <c r="N1503" s="368"/>
      <c r="O1503" s="370"/>
      <c r="T1503" s="340"/>
      <c r="V1503" s="378"/>
      <c r="W1503" s="64" ph="1"/>
      <c r="X1503" s="241"/>
      <c r="Y1503" s="284"/>
      <c r="Z1503" s="207"/>
      <c r="AA1503" s="284"/>
      <c r="AB1503" s="284"/>
      <c r="AC1503" s="284"/>
      <c r="AD1503" s="284"/>
      <c r="AE1503" s="284"/>
      <c r="AF1503" s="284"/>
      <c r="AG1503" s="284"/>
      <c r="AI1503" s="131"/>
    </row>
    <row r="1504" spans="1:35" ht="26.4">
      <c r="A1504" s="284"/>
      <c r="B1504" s="284"/>
      <c r="C1504" s="284"/>
      <c r="D1504" s="284"/>
      <c r="E1504" s="284"/>
      <c r="F1504" s="284"/>
      <c r="G1504" s="284"/>
      <c r="H1504" s="284"/>
      <c r="I1504" s="284"/>
      <c r="J1504" s="375"/>
      <c r="K1504" s="375"/>
      <c r="L1504" s="375"/>
      <c r="M1504" s="368"/>
      <c r="N1504" s="368"/>
      <c r="O1504" s="370"/>
      <c r="T1504" s="340"/>
      <c r="V1504" s="378"/>
      <c r="W1504" s="64" ph="1"/>
      <c r="X1504" s="241"/>
      <c r="Y1504" s="284"/>
      <c r="Z1504" s="207"/>
      <c r="AA1504" s="284"/>
      <c r="AB1504" s="284"/>
      <c r="AC1504" s="284"/>
      <c r="AD1504" s="284"/>
      <c r="AE1504" s="284"/>
      <c r="AF1504" s="284"/>
      <c r="AG1504" s="284"/>
      <c r="AI1504" s="131"/>
    </row>
    <row r="1505" spans="1:35" ht="26.4">
      <c r="A1505" s="284"/>
      <c r="B1505" s="284"/>
      <c r="C1505" s="284"/>
      <c r="D1505" s="284"/>
      <c r="E1505" s="284"/>
      <c r="F1505" s="284"/>
      <c r="G1505" s="284"/>
      <c r="H1505" s="284"/>
      <c r="I1505" s="284"/>
      <c r="J1505" s="375"/>
      <c r="K1505" s="375"/>
      <c r="L1505" s="375"/>
      <c r="M1505" s="368"/>
      <c r="N1505" s="368"/>
      <c r="O1505" s="370"/>
      <c r="T1505" s="340"/>
      <c r="V1505" s="378"/>
      <c r="W1505" s="64" ph="1"/>
      <c r="X1505" s="241"/>
      <c r="Y1505" s="284"/>
      <c r="Z1505" s="207"/>
      <c r="AA1505" s="284"/>
      <c r="AB1505" s="284"/>
      <c r="AC1505" s="284"/>
      <c r="AD1505" s="284"/>
      <c r="AE1505" s="284"/>
      <c r="AF1505" s="284"/>
      <c r="AG1505" s="284"/>
      <c r="AI1505" s="131"/>
    </row>
    <row r="1506" spans="1:35" ht="26.4">
      <c r="A1506" s="284"/>
      <c r="B1506" s="284"/>
      <c r="C1506" s="284"/>
      <c r="D1506" s="284"/>
      <c r="E1506" s="284"/>
      <c r="F1506" s="284"/>
      <c r="G1506" s="284"/>
      <c r="H1506" s="284"/>
      <c r="I1506" s="284"/>
      <c r="J1506" s="375"/>
      <c r="K1506" s="375"/>
      <c r="L1506" s="375"/>
      <c r="M1506" s="368"/>
      <c r="N1506" s="368"/>
      <c r="O1506" s="370"/>
      <c r="T1506" s="340"/>
      <c r="V1506" s="378"/>
      <c r="W1506" s="64" ph="1"/>
      <c r="X1506" s="241"/>
      <c r="Y1506" s="284"/>
      <c r="Z1506" s="207"/>
      <c r="AA1506" s="284"/>
      <c r="AB1506" s="284"/>
      <c r="AC1506" s="284"/>
      <c r="AD1506" s="284"/>
      <c r="AE1506" s="284"/>
      <c r="AF1506" s="284"/>
      <c r="AG1506" s="284"/>
      <c r="AI1506" s="131"/>
    </row>
    <row r="1507" spans="1:35" ht="26.4">
      <c r="A1507" s="284"/>
      <c r="B1507" s="284"/>
      <c r="C1507" s="284"/>
      <c r="D1507" s="284"/>
      <c r="E1507" s="284"/>
      <c r="F1507" s="284"/>
      <c r="G1507" s="284"/>
      <c r="H1507" s="284"/>
      <c r="I1507" s="284"/>
      <c r="J1507" s="375"/>
      <c r="K1507" s="375"/>
      <c r="L1507" s="375"/>
      <c r="M1507" s="368"/>
      <c r="N1507" s="368"/>
      <c r="O1507" s="370"/>
      <c r="T1507" s="340"/>
      <c r="V1507" s="378"/>
      <c r="W1507" s="64" ph="1"/>
      <c r="X1507" s="241"/>
      <c r="Y1507" s="284"/>
      <c r="Z1507" s="207"/>
      <c r="AA1507" s="284"/>
      <c r="AB1507" s="284"/>
      <c r="AC1507" s="284"/>
      <c r="AD1507" s="284"/>
      <c r="AE1507" s="284"/>
      <c r="AF1507" s="284"/>
      <c r="AG1507" s="284"/>
      <c r="AI1507" s="128"/>
    </row>
    <row r="1508" spans="1:35" ht="26.4">
      <c r="A1508" s="284"/>
      <c r="B1508" s="284"/>
      <c r="C1508" s="284"/>
      <c r="D1508" s="284"/>
      <c r="E1508" s="284"/>
      <c r="F1508" s="284"/>
      <c r="G1508" s="284"/>
      <c r="H1508" s="284"/>
      <c r="I1508" s="284"/>
      <c r="J1508" s="375"/>
      <c r="K1508" s="375"/>
      <c r="L1508" s="375"/>
      <c r="M1508" s="368"/>
      <c r="N1508" s="368"/>
      <c r="T1508" s="340"/>
      <c r="V1508" s="378"/>
      <c r="W1508" s="64" ph="1"/>
      <c r="X1508" s="241"/>
      <c r="Y1508" s="284"/>
      <c r="Z1508" s="207"/>
      <c r="AA1508" s="284"/>
      <c r="AB1508" s="284"/>
      <c r="AC1508" s="284"/>
      <c r="AD1508" s="284"/>
      <c r="AE1508" s="284"/>
      <c r="AF1508" s="284"/>
      <c r="AG1508" s="284"/>
      <c r="AI1508" s="131"/>
    </row>
    <row r="1509" spans="1:35" ht="26.4">
      <c r="A1509" s="284"/>
      <c r="B1509" s="284"/>
      <c r="C1509" s="284"/>
      <c r="D1509" s="284"/>
      <c r="E1509" s="284"/>
      <c r="F1509" s="284"/>
      <c r="G1509" s="284"/>
      <c r="H1509" s="284"/>
      <c r="I1509" s="284"/>
      <c r="J1509" s="375"/>
      <c r="K1509" s="375"/>
      <c r="L1509" s="375"/>
      <c r="M1509" s="368"/>
      <c r="N1509" s="368"/>
      <c r="O1509" s="370"/>
      <c r="T1509" s="340"/>
      <c r="V1509" s="378"/>
      <c r="W1509" s="64" ph="1"/>
      <c r="X1509" s="241"/>
      <c r="Y1509" s="284"/>
      <c r="Z1509" s="207"/>
      <c r="AA1509" s="284"/>
      <c r="AB1509" s="284"/>
      <c r="AC1509" s="284"/>
      <c r="AD1509" s="284"/>
      <c r="AE1509" s="284"/>
      <c r="AF1509" s="284"/>
      <c r="AG1509" s="284"/>
      <c r="AI1509" s="131"/>
    </row>
    <row r="1510" spans="1:35" ht="26.4">
      <c r="A1510" s="284"/>
      <c r="B1510" s="284"/>
      <c r="C1510" s="284"/>
      <c r="D1510" s="284"/>
      <c r="E1510" s="284"/>
      <c r="F1510" s="284"/>
      <c r="G1510" s="284"/>
      <c r="H1510" s="284"/>
      <c r="I1510" s="284"/>
      <c r="J1510" s="375"/>
      <c r="K1510" s="375"/>
      <c r="L1510" s="375"/>
      <c r="M1510" s="368"/>
      <c r="N1510" s="368"/>
      <c r="O1510" s="370"/>
      <c r="T1510" s="340"/>
      <c r="V1510" s="378"/>
      <c r="W1510" s="64" ph="1"/>
      <c r="X1510" s="241"/>
      <c r="Y1510" s="284"/>
      <c r="Z1510" s="207"/>
      <c r="AA1510" s="284"/>
      <c r="AB1510" s="284"/>
      <c r="AC1510" s="284"/>
      <c r="AD1510" s="284"/>
      <c r="AE1510" s="284"/>
      <c r="AF1510" s="284"/>
      <c r="AG1510" s="284"/>
      <c r="AI1510" s="131"/>
    </row>
    <row r="1511" spans="1:35" ht="26.4">
      <c r="A1511" s="284"/>
      <c r="B1511" s="284"/>
      <c r="C1511" s="284"/>
      <c r="D1511" s="284"/>
      <c r="E1511" s="284"/>
      <c r="F1511" s="284"/>
      <c r="G1511" s="284"/>
      <c r="H1511" s="284"/>
      <c r="I1511" s="284"/>
      <c r="J1511" s="375"/>
      <c r="K1511" s="375"/>
      <c r="L1511" s="375"/>
      <c r="M1511" s="368"/>
      <c r="N1511" s="368"/>
      <c r="O1511" s="370"/>
      <c r="T1511" s="340"/>
      <c r="V1511" s="378"/>
      <c r="W1511" s="64" ph="1"/>
      <c r="X1511" s="241"/>
      <c r="Y1511" s="284"/>
      <c r="Z1511" s="207"/>
      <c r="AA1511" s="284"/>
      <c r="AB1511" s="284"/>
      <c r="AC1511" s="284"/>
      <c r="AD1511" s="284"/>
      <c r="AE1511" s="284"/>
      <c r="AF1511" s="284"/>
      <c r="AG1511" s="284"/>
      <c r="AI1511" s="131"/>
    </row>
    <row r="1512" spans="1:35">
      <c r="O1512" s="370"/>
      <c r="AI1512" s="131"/>
    </row>
    <row r="1513" spans="1:35" ht="26.4">
      <c r="A1513" s="284"/>
      <c r="B1513" s="284"/>
      <c r="C1513" s="284"/>
      <c r="D1513" s="284"/>
      <c r="E1513" s="284"/>
      <c r="F1513" s="284"/>
      <c r="G1513" s="284"/>
      <c r="H1513" s="284"/>
      <c r="I1513" s="284"/>
      <c r="J1513" s="375"/>
      <c r="K1513" s="375"/>
      <c r="L1513" s="375"/>
      <c r="M1513" s="368"/>
      <c r="N1513" s="368"/>
      <c r="O1513" s="370"/>
      <c r="T1513" s="340"/>
      <c r="V1513" s="378"/>
      <c r="W1513" s="64" ph="1"/>
      <c r="X1513" s="241"/>
      <c r="Y1513" s="284"/>
      <c r="Z1513" s="207"/>
      <c r="AA1513" s="284"/>
      <c r="AB1513" s="284"/>
      <c r="AC1513" s="284"/>
      <c r="AD1513" s="284"/>
      <c r="AE1513" s="284"/>
      <c r="AF1513" s="284"/>
      <c r="AG1513" s="284"/>
      <c r="AI1513" s="131"/>
    </row>
    <row r="1514" spans="1:35" ht="26.4">
      <c r="A1514" s="284"/>
      <c r="B1514" s="284"/>
      <c r="C1514" s="284"/>
      <c r="D1514" s="284"/>
      <c r="E1514" s="284"/>
      <c r="F1514" s="284"/>
      <c r="G1514" s="284"/>
      <c r="H1514" s="284"/>
      <c r="I1514" s="284"/>
      <c r="J1514" s="375"/>
      <c r="K1514" s="375"/>
      <c r="L1514" s="375"/>
      <c r="M1514" s="368"/>
      <c r="N1514" s="368"/>
      <c r="O1514" s="370"/>
      <c r="T1514" s="340"/>
      <c r="V1514" s="378"/>
      <c r="W1514" s="64" ph="1"/>
      <c r="X1514" s="241"/>
      <c r="Y1514" s="284"/>
      <c r="Z1514" s="207"/>
      <c r="AA1514" s="284"/>
      <c r="AB1514" s="284"/>
      <c r="AC1514" s="284"/>
      <c r="AD1514" s="284"/>
      <c r="AE1514" s="284"/>
      <c r="AF1514" s="284"/>
      <c r="AG1514" s="284"/>
      <c r="AI1514" s="131"/>
    </row>
    <row r="1515" spans="1:35" ht="26.4">
      <c r="A1515" s="284"/>
      <c r="B1515" s="284"/>
      <c r="C1515" s="284"/>
      <c r="D1515" s="284"/>
      <c r="E1515" s="284"/>
      <c r="F1515" s="284"/>
      <c r="G1515" s="284"/>
      <c r="H1515" s="284"/>
      <c r="I1515" s="284"/>
      <c r="J1515" s="375"/>
      <c r="K1515" s="375"/>
      <c r="L1515" s="375"/>
      <c r="M1515" s="368"/>
      <c r="N1515" s="368"/>
      <c r="O1515" s="370"/>
      <c r="T1515" s="340"/>
      <c r="V1515" s="378"/>
      <c r="W1515" s="64" ph="1"/>
      <c r="X1515" s="241"/>
      <c r="Y1515" s="284"/>
      <c r="Z1515" s="207"/>
      <c r="AA1515" s="284"/>
      <c r="AB1515" s="284"/>
      <c r="AC1515" s="284"/>
      <c r="AD1515" s="284"/>
      <c r="AE1515" s="284"/>
      <c r="AF1515" s="284"/>
      <c r="AG1515" s="284"/>
      <c r="AI1515" s="131"/>
    </row>
    <row r="1516" spans="1:35" ht="26.4">
      <c r="A1516" s="284"/>
      <c r="B1516" s="284"/>
      <c r="C1516" s="284"/>
      <c r="D1516" s="284"/>
      <c r="E1516" s="284"/>
      <c r="F1516" s="284"/>
      <c r="G1516" s="284"/>
      <c r="H1516" s="284"/>
      <c r="I1516" s="284"/>
      <c r="J1516" s="375"/>
      <c r="K1516" s="375"/>
      <c r="L1516" s="375"/>
      <c r="M1516" s="368"/>
      <c r="N1516" s="368"/>
      <c r="O1516" s="370"/>
      <c r="T1516" s="340"/>
      <c r="V1516" s="378"/>
      <c r="W1516" s="64" ph="1"/>
      <c r="X1516" s="241"/>
      <c r="Y1516" s="284"/>
      <c r="Z1516" s="207"/>
      <c r="AA1516" s="284"/>
      <c r="AB1516" s="284"/>
      <c r="AC1516" s="284"/>
      <c r="AD1516" s="284"/>
      <c r="AE1516" s="284"/>
      <c r="AF1516" s="284"/>
      <c r="AG1516" s="284"/>
      <c r="AI1516" s="131"/>
    </row>
    <row r="1517" spans="1:35" ht="26.4">
      <c r="A1517" s="284"/>
      <c r="B1517" s="284"/>
      <c r="C1517" s="284"/>
      <c r="D1517" s="284"/>
      <c r="E1517" s="284"/>
      <c r="F1517" s="284"/>
      <c r="G1517" s="284"/>
      <c r="H1517" s="284"/>
      <c r="I1517" s="284"/>
      <c r="J1517" s="375"/>
      <c r="K1517" s="375"/>
      <c r="L1517" s="375"/>
      <c r="M1517" s="368"/>
      <c r="N1517" s="368"/>
      <c r="T1517" s="340"/>
      <c r="V1517" s="378"/>
      <c r="W1517" s="64" ph="1"/>
      <c r="X1517" s="241"/>
      <c r="Y1517" s="284"/>
      <c r="Z1517" s="207"/>
      <c r="AA1517" s="284"/>
      <c r="AB1517" s="284"/>
      <c r="AC1517" s="284"/>
      <c r="AD1517" s="284"/>
      <c r="AE1517" s="284"/>
      <c r="AF1517" s="284"/>
      <c r="AG1517" s="284"/>
      <c r="AI1517" s="131"/>
    </row>
    <row r="1518" spans="1:35" ht="26.4">
      <c r="A1518" s="284"/>
      <c r="B1518" s="284"/>
      <c r="C1518" s="284"/>
      <c r="D1518" s="284"/>
      <c r="E1518" s="284"/>
      <c r="F1518" s="284"/>
      <c r="G1518" s="284"/>
      <c r="H1518" s="284"/>
      <c r="I1518" s="284"/>
      <c r="J1518" s="375"/>
      <c r="K1518" s="375"/>
      <c r="L1518" s="375"/>
      <c r="M1518" s="368"/>
      <c r="N1518" s="368"/>
      <c r="O1518" s="370"/>
      <c r="T1518" s="340"/>
      <c r="V1518" s="378"/>
      <c r="W1518" s="64" ph="1"/>
      <c r="X1518" s="241"/>
      <c r="Y1518" s="284"/>
      <c r="Z1518" s="207"/>
      <c r="AA1518" s="284"/>
      <c r="AB1518" s="284"/>
      <c r="AC1518" s="284"/>
      <c r="AD1518" s="284"/>
      <c r="AE1518" s="284"/>
      <c r="AF1518" s="284"/>
      <c r="AG1518" s="284"/>
      <c r="AI1518" s="131"/>
    </row>
    <row r="1519" spans="1:35" ht="26.4">
      <c r="A1519" s="284"/>
      <c r="B1519" s="284"/>
      <c r="C1519" s="284"/>
      <c r="D1519" s="284"/>
      <c r="E1519" s="284"/>
      <c r="F1519" s="284"/>
      <c r="G1519" s="284"/>
      <c r="H1519" s="284"/>
      <c r="I1519" s="284"/>
      <c r="J1519" s="375"/>
      <c r="K1519" s="375"/>
      <c r="L1519" s="375"/>
      <c r="M1519" s="368"/>
      <c r="N1519" s="368"/>
      <c r="O1519" s="370"/>
      <c r="T1519" s="340"/>
      <c r="V1519" s="378"/>
      <c r="W1519" s="64" ph="1"/>
      <c r="X1519" s="241"/>
      <c r="Y1519" s="284"/>
      <c r="Z1519" s="207"/>
      <c r="AA1519" s="284"/>
      <c r="AB1519" s="284"/>
      <c r="AC1519" s="284"/>
      <c r="AD1519" s="284"/>
      <c r="AE1519" s="284"/>
      <c r="AF1519" s="284"/>
      <c r="AG1519" s="284"/>
      <c r="AI1519" s="131"/>
    </row>
    <row r="1520" spans="1:35" ht="26.4">
      <c r="A1520" s="284"/>
      <c r="B1520" s="284"/>
      <c r="C1520" s="284"/>
      <c r="D1520" s="284"/>
      <c r="E1520" s="284"/>
      <c r="F1520" s="284"/>
      <c r="G1520" s="284"/>
      <c r="H1520" s="284"/>
      <c r="I1520" s="284"/>
      <c r="J1520" s="375"/>
      <c r="K1520" s="375"/>
      <c r="L1520" s="375"/>
      <c r="M1520" s="368"/>
      <c r="N1520" s="368"/>
      <c r="O1520" s="370"/>
      <c r="T1520" s="340"/>
      <c r="V1520" s="378"/>
      <c r="W1520" s="64" ph="1"/>
      <c r="X1520" s="241"/>
      <c r="Y1520" s="284"/>
      <c r="Z1520" s="207"/>
      <c r="AA1520" s="284"/>
      <c r="AB1520" s="284"/>
      <c r="AC1520" s="284"/>
      <c r="AD1520" s="284"/>
      <c r="AE1520" s="284"/>
      <c r="AF1520" s="284"/>
      <c r="AG1520" s="284"/>
      <c r="AI1520" s="131"/>
    </row>
    <row r="1521" spans="1:35">
      <c r="O1521" s="370"/>
      <c r="AI1521" s="284"/>
    </row>
    <row r="1522" spans="1:35" ht="26.4">
      <c r="A1522" s="284"/>
      <c r="B1522" s="284"/>
      <c r="C1522" s="284"/>
      <c r="D1522" s="284"/>
      <c r="E1522" s="284"/>
      <c r="F1522" s="284"/>
      <c r="G1522" s="284"/>
      <c r="H1522" s="284"/>
      <c r="I1522" s="284"/>
      <c r="J1522" s="375"/>
      <c r="K1522" s="375"/>
      <c r="L1522" s="375"/>
      <c r="M1522" s="368"/>
      <c r="N1522" s="368"/>
      <c r="O1522" s="370"/>
      <c r="T1522" s="340"/>
      <c r="V1522" s="378"/>
      <c r="W1522" s="64" ph="1"/>
      <c r="X1522" s="241"/>
      <c r="Y1522" s="284"/>
      <c r="Z1522" s="207"/>
      <c r="AA1522" s="284"/>
      <c r="AB1522" s="284"/>
      <c r="AC1522" s="284"/>
      <c r="AD1522" s="284"/>
      <c r="AE1522" s="284"/>
      <c r="AF1522" s="284"/>
      <c r="AG1522" s="284"/>
      <c r="AI1522" s="131"/>
    </row>
    <row r="1523" spans="1:35" ht="26.4">
      <c r="A1523" s="284"/>
      <c r="B1523" s="284"/>
      <c r="C1523" s="284"/>
      <c r="D1523" s="284"/>
      <c r="E1523" s="284"/>
      <c r="F1523" s="284"/>
      <c r="G1523" s="284"/>
      <c r="H1523" s="284"/>
      <c r="I1523" s="284"/>
      <c r="J1523" s="375"/>
      <c r="K1523" s="375"/>
      <c r="L1523" s="375"/>
      <c r="M1523" s="368"/>
      <c r="N1523" s="368"/>
      <c r="O1523" s="370"/>
      <c r="T1523" s="340"/>
      <c r="V1523" s="378"/>
      <c r="W1523" s="64" ph="1"/>
      <c r="X1523" s="241"/>
      <c r="Y1523" s="284"/>
      <c r="Z1523" s="207"/>
      <c r="AA1523" s="284"/>
      <c r="AB1523" s="284"/>
      <c r="AC1523" s="284"/>
      <c r="AD1523" s="284"/>
      <c r="AE1523" s="284"/>
      <c r="AF1523" s="284"/>
      <c r="AG1523" s="284"/>
      <c r="AI1523" s="131"/>
    </row>
    <row r="1524" spans="1:35" ht="26.4">
      <c r="A1524" s="284"/>
      <c r="B1524" s="284"/>
      <c r="C1524" s="284"/>
      <c r="D1524" s="284"/>
      <c r="E1524" s="284"/>
      <c r="F1524" s="284"/>
      <c r="G1524" s="284"/>
      <c r="H1524" s="284"/>
      <c r="I1524" s="284"/>
      <c r="J1524" s="375"/>
      <c r="K1524" s="375"/>
      <c r="L1524" s="375"/>
      <c r="M1524" s="368"/>
      <c r="N1524" s="368"/>
      <c r="O1524" s="370"/>
      <c r="T1524" s="340"/>
      <c r="V1524" s="378"/>
      <c r="W1524" s="64" ph="1"/>
      <c r="X1524" s="241"/>
      <c r="Y1524" s="284"/>
      <c r="Z1524" s="207"/>
      <c r="AA1524" s="284"/>
      <c r="AB1524" s="284"/>
      <c r="AC1524" s="284"/>
      <c r="AD1524" s="284"/>
      <c r="AE1524" s="284"/>
      <c r="AF1524" s="284"/>
      <c r="AG1524" s="284"/>
      <c r="AI1524" s="131"/>
    </row>
    <row r="1525" spans="1:35" ht="26.4">
      <c r="A1525" s="284"/>
      <c r="B1525" s="284"/>
      <c r="C1525" s="284"/>
      <c r="D1525" s="284"/>
      <c r="E1525" s="284"/>
      <c r="F1525" s="284"/>
      <c r="G1525" s="284"/>
      <c r="H1525" s="284"/>
      <c r="I1525" s="284"/>
      <c r="J1525" s="375"/>
      <c r="K1525" s="375"/>
      <c r="L1525" s="375"/>
      <c r="M1525" s="368"/>
      <c r="N1525" s="368"/>
      <c r="O1525" s="370"/>
      <c r="T1525" s="340"/>
      <c r="V1525" s="378"/>
      <c r="W1525" s="64" ph="1"/>
      <c r="X1525" s="241"/>
      <c r="Y1525" s="284"/>
      <c r="Z1525" s="207"/>
      <c r="AA1525" s="284"/>
      <c r="AB1525" s="284"/>
      <c r="AC1525" s="284"/>
      <c r="AD1525" s="284"/>
      <c r="AE1525" s="284"/>
      <c r="AF1525" s="284"/>
      <c r="AG1525" s="284"/>
      <c r="AI1525" s="131"/>
    </row>
    <row r="1526" spans="1:35" ht="26.4">
      <c r="A1526" s="284"/>
      <c r="B1526" s="284"/>
      <c r="C1526" s="284"/>
      <c r="D1526" s="284"/>
      <c r="E1526" s="284"/>
      <c r="F1526" s="284"/>
      <c r="G1526" s="284"/>
      <c r="H1526" s="284"/>
      <c r="I1526" s="284"/>
      <c r="J1526" s="375"/>
      <c r="K1526" s="375"/>
      <c r="L1526" s="375"/>
      <c r="M1526" s="368"/>
      <c r="N1526" s="368"/>
      <c r="O1526" s="370"/>
      <c r="T1526" s="340"/>
      <c r="V1526" s="378"/>
      <c r="W1526" s="64" ph="1"/>
      <c r="X1526" s="241"/>
      <c r="Y1526" s="284"/>
      <c r="Z1526" s="207"/>
      <c r="AA1526" s="284"/>
      <c r="AB1526" s="284"/>
      <c r="AC1526" s="284"/>
      <c r="AD1526" s="284"/>
      <c r="AE1526" s="284"/>
      <c r="AF1526" s="284"/>
      <c r="AG1526" s="284"/>
      <c r="AI1526" s="131"/>
    </row>
    <row r="1527" spans="1:35" ht="26.4">
      <c r="A1527" s="284"/>
      <c r="B1527" s="284"/>
      <c r="C1527" s="284"/>
      <c r="D1527" s="284"/>
      <c r="E1527" s="284"/>
      <c r="F1527" s="284"/>
      <c r="G1527" s="284"/>
      <c r="H1527" s="284"/>
      <c r="I1527" s="284"/>
      <c r="J1527" s="375"/>
      <c r="K1527" s="375"/>
      <c r="L1527" s="375"/>
      <c r="M1527" s="368"/>
      <c r="N1527" s="368"/>
      <c r="O1527" s="370"/>
      <c r="T1527" s="340"/>
      <c r="V1527" s="378"/>
      <c r="W1527" s="64" ph="1"/>
      <c r="X1527" s="241"/>
      <c r="Y1527" s="284"/>
      <c r="Z1527" s="207"/>
      <c r="AA1527" s="284"/>
      <c r="AB1527" s="284"/>
      <c r="AC1527" s="284"/>
      <c r="AD1527" s="284"/>
      <c r="AE1527" s="284"/>
      <c r="AF1527" s="284"/>
      <c r="AG1527" s="284"/>
      <c r="AI1527" s="131"/>
    </row>
    <row r="1528" spans="1:35" ht="26.4">
      <c r="A1528" s="284"/>
      <c r="B1528" s="284"/>
      <c r="C1528" s="284"/>
      <c r="D1528" s="284"/>
      <c r="E1528" s="284"/>
      <c r="F1528" s="284"/>
      <c r="G1528" s="284"/>
      <c r="H1528" s="284"/>
      <c r="I1528" s="284"/>
      <c r="J1528" s="375"/>
      <c r="K1528" s="375"/>
      <c r="L1528" s="375"/>
      <c r="M1528" s="368"/>
      <c r="N1528" s="368"/>
      <c r="O1528" s="370"/>
      <c r="T1528" s="340"/>
      <c r="V1528" s="378"/>
      <c r="W1528" s="64" ph="1"/>
      <c r="X1528" s="241"/>
      <c r="Y1528" s="284"/>
      <c r="Z1528" s="207"/>
      <c r="AA1528" s="284"/>
      <c r="AB1528" s="284"/>
      <c r="AC1528" s="284"/>
      <c r="AD1528" s="284"/>
      <c r="AE1528" s="284"/>
      <c r="AF1528" s="284"/>
      <c r="AG1528" s="284"/>
      <c r="AI1528" s="131"/>
    </row>
    <row r="1529" spans="1:35" ht="26.4">
      <c r="A1529" s="284"/>
      <c r="B1529" s="284"/>
      <c r="C1529" s="284"/>
      <c r="D1529" s="284"/>
      <c r="E1529" s="284"/>
      <c r="F1529" s="284"/>
      <c r="G1529" s="284"/>
      <c r="H1529" s="284"/>
      <c r="I1529" s="284"/>
      <c r="J1529" s="375"/>
      <c r="K1529" s="375"/>
      <c r="L1529" s="375"/>
      <c r="M1529" s="368"/>
      <c r="N1529" s="368"/>
      <c r="T1529" s="340"/>
      <c r="V1529" s="378"/>
      <c r="W1529" s="64" ph="1"/>
      <c r="X1529" s="241"/>
      <c r="Y1529" s="284"/>
      <c r="Z1529" s="207"/>
      <c r="AA1529" s="284"/>
      <c r="AB1529" s="284"/>
      <c r="AC1529" s="284"/>
      <c r="AD1529" s="284"/>
      <c r="AE1529" s="284"/>
      <c r="AF1529" s="284"/>
      <c r="AG1529" s="284"/>
      <c r="AI1529" s="131"/>
    </row>
    <row r="1530" spans="1:35" ht="26.4">
      <c r="A1530" s="284"/>
      <c r="B1530" s="284"/>
      <c r="C1530" s="284"/>
      <c r="D1530" s="284"/>
      <c r="E1530" s="284"/>
      <c r="F1530" s="284"/>
      <c r="G1530" s="284"/>
      <c r="H1530" s="284"/>
      <c r="I1530" s="284"/>
      <c r="J1530" s="375"/>
      <c r="K1530" s="375"/>
      <c r="L1530" s="375"/>
      <c r="M1530" s="368"/>
      <c r="N1530" s="368"/>
      <c r="O1530" s="370"/>
      <c r="T1530" s="340"/>
      <c r="V1530" s="378"/>
      <c r="W1530" s="64" ph="1"/>
      <c r="X1530" s="241"/>
      <c r="Y1530" s="284"/>
      <c r="Z1530" s="207"/>
      <c r="AA1530" s="284"/>
      <c r="AB1530" s="284"/>
      <c r="AC1530" s="284"/>
      <c r="AD1530" s="284"/>
      <c r="AE1530" s="284"/>
      <c r="AF1530" s="284"/>
      <c r="AG1530" s="284"/>
      <c r="AI1530" s="131"/>
    </row>
    <row r="1531" spans="1:35" ht="26.4">
      <c r="A1531" s="284"/>
      <c r="B1531" s="284"/>
      <c r="C1531" s="284"/>
      <c r="D1531" s="284"/>
      <c r="E1531" s="284"/>
      <c r="F1531" s="284"/>
      <c r="G1531" s="284"/>
      <c r="H1531" s="284"/>
      <c r="I1531" s="284"/>
      <c r="J1531" s="375"/>
      <c r="K1531" s="375"/>
      <c r="L1531" s="375"/>
      <c r="M1531" s="368"/>
      <c r="N1531" s="368"/>
      <c r="O1531" s="370"/>
      <c r="T1531" s="340"/>
      <c r="V1531" s="378"/>
      <c r="W1531" s="64" ph="1"/>
      <c r="X1531" s="241"/>
      <c r="Y1531" s="284"/>
      <c r="Z1531" s="207"/>
      <c r="AA1531" s="284"/>
      <c r="AB1531" s="284"/>
      <c r="AC1531" s="284"/>
      <c r="AD1531" s="284"/>
      <c r="AE1531" s="284"/>
      <c r="AF1531" s="284"/>
      <c r="AG1531" s="284"/>
      <c r="AI1531" s="131"/>
    </row>
    <row r="1532" spans="1:35" ht="26.4">
      <c r="A1532" s="284"/>
      <c r="B1532" s="284"/>
      <c r="C1532" s="284"/>
      <c r="D1532" s="284"/>
      <c r="E1532" s="284"/>
      <c r="F1532" s="284"/>
      <c r="G1532" s="284"/>
      <c r="H1532" s="284"/>
      <c r="I1532" s="284"/>
      <c r="J1532" s="375"/>
      <c r="K1532" s="375"/>
      <c r="L1532" s="375"/>
      <c r="M1532" s="368"/>
      <c r="N1532" s="368"/>
      <c r="O1532" s="370"/>
      <c r="T1532" s="340"/>
      <c r="V1532" s="378"/>
      <c r="W1532" s="64" ph="1"/>
      <c r="X1532" s="241"/>
      <c r="Y1532" s="284"/>
      <c r="Z1532" s="207"/>
      <c r="AA1532" s="284"/>
      <c r="AB1532" s="284"/>
      <c r="AC1532" s="284"/>
      <c r="AD1532" s="284"/>
      <c r="AE1532" s="284"/>
      <c r="AF1532" s="284"/>
      <c r="AG1532" s="284"/>
      <c r="AI1532" s="131"/>
    </row>
    <row r="1533" spans="1:35" ht="26.4">
      <c r="A1533" s="284"/>
      <c r="B1533" s="284"/>
      <c r="C1533" s="284"/>
      <c r="D1533" s="284"/>
      <c r="E1533" s="284"/>
      <c r="F1533" s="284"/>
      <c r="G1533" s="284"/>
      <c r="H1533" s="284"/>
      <c r="I1533" s="284"/>
      <c r="J1533" s="375"/>
      <c r="K1533" s="375"/>
      <c r="L1533" s="375"/>
      <c r="M1533" s="368"/>
      <c r="N1533" s="368"/>
      <c r="O1533" s="370"/>
      <c r="T1533" s="340"/>
      <c r="V1533" s="378"/>
      <c r="W1533" s="64" ph="1"/>
      <c r="X1533" s="241"/>
      <c r="Y1533" s="284"/>
      <c r="Z1533" s="207"/>
      <c r="AA1533" s="284"/>
      <c r="AB1533" s="284"/>
      <c r="AC1533" s="284"/>
      <c r="AD1533" s="284"/>
      <c r="AE1533" s="284"/>
      <c r="AF1533" s="284"/>
      <c r="AG1533" s="284"/>
      <c r="AI1533" s="131"/>
    </row>
    <row r="1534" spans="1:35" ht="26.4">
      <c r="A1534" s="284"/>
      <c r="B1534" s="284"/>
      <c r="C1534" s="284"/>
      <c r="D1534" s="284"/>
      <c r="E1534" s="284"/>
      <c r="F1534" s="284"/>
      <c r="G1534" s="284"/>
      <c r="H1534" s="284"/>
      <c r="I1534" s="284"/>
      <c r="J1534" s="375"/>
      <c r="K1534" s="375"/>
      <c r="L1534" s="375"/>
      <c r="M1534" s="368"/>
      <c r="N1534" s="368"/>
      <c r="O1534" s="370"/>
      <c r="T1534" s="340"/>
      <c r="V1534" s="378"/>
      <c r="W1534" s="64" ph="1"/>
      <c r="X1534" s="241"/>
      <c r="Y1534" s="284"/>
      <c r="Z1534" s="207"/>
      <c r="AA1534" s="284"/>
      <c r="AB1534" s="284"/>
      <c r="AC1534" s="284"/>
      <c r="AD1534" s="284"/>
      <c r="AE1534" s="284"/>
      <c r="AF1534" s="284"/>
      <c r="AG1534" s="284"/>
      <c r="AI1534" s="131"/>
    </row>
    <row r="1535" spans="1:35" ht="26.4">
      <c r="A1535" s="284"/>
      <c r="B1535" s="284"/>
      <c r="C1535" s="284"/>
      <c r="D1535" s="284"/>
      <c r="E1535" s="284"/>
      <c r="F1535" s="284"/>
      <c r="G1535" s="284"/>
      <c r="H1535" s="284"/>
      <c r="I1535" s="284"/>
      <c r="J1535" s="375"/>
      <c r="K1535" s="375"/>
      <c r="L1535" s="375"/>
      <c r="M1535" s="368"/>
      <c r="N1535" s="368"/>
      <c r="O1535" s="370"/>
      <c r="T1535" s="340"/>
      <c r="V1535" s="378"/>
      <c r="W1535" s="64" ph="1"/>
      <c r="X1535" s="241"/>
      <c r="Y1535" s="284"/>
      <c r="Z1535" s="207"/>
      <c r="AA1535" s="284"/>
      <c r="AB1535" s="284"/>
      <c r="AC1535" s="284"/>
      <c r="AD1535" s="284"/>
      <c r="AE1535" s="284"/>
      <c r="AF1535" s="284"/>
      <c r="AG1535" s="284"/>
      <c r="AI1535" s="131"/>
    </row>
    <row r="1536" spans="1:35" ht="26.4">
      <c r="A1536" s="284"/>
      <c r="B1536" s="284"/>
      <c r="C1536" s="284"/>
      <c r="D1536" s="284"/>
      <c r="E1536" s="284"/>
      <c r="F1536" s="284"/>
      <c r="G1536" s="284"/>
      <c r="H1536" s="284"/>
      <c r="I1536" s="284"/>
      <c r="J1536" s="375"/>
      <c r="K1536" s="375"/>
      <c r="L1536" s="375"/>
      <c r="M1536" s="368"/>
      <c r="N1536" s="368"/>
      <c r="O1536" s="370"/>
      <c r="T1536" s="340"/>
      <c r="V1536" s="378"/>
      <c r="W1536" s="64" ph="1"/>
      <c r="X1536" s="241"/>
      <c r="Y1536" s="284"/>
      <c r="Z1536" s="207"/>
      <c r="AA1536" s="284"/>
      <c r="AB1536" s="284"/>
      <c r="AC1536" s="284"/>
      <c r="AD1536" s="284"/>
      <c r="AE1536" s="284"/>
      <c r="AF1536" s="284"/>
      <c r="AG1536" s="284"/>
      <c r="AI1536" s="28"/>
    </row>
    <row r="1537" spans="1:35" ht="26.4">
      <c r="A1537" s="284"/>
      <c r="B1537" s="284"/>
      <c r="C1537" s="284"/>
      <c r="D1537" s="284"/>
      <c r="E1537" s="284"/>
      <c r="F1537" s="284"/>
      <c r="G1537" s="284"/>
      <c r="H1537" s="284"/>
      <c r="I1537" s="284"/>
      <c r="J1537" s="375"/>
      <c r="K1537" s="375"/>
      <c r="L1537" s="375"/>
      <c r="M1537" s="368"/>
      <c r="N1537" s="368"/>
      <c r="O1537" s="370"/>
      <c r="T1537" s="340"/>
      <c r="V1537" s="378"/>
      <c r="W1537" s="64" ph="1"/>
      <c r="X1537" s="241"/>
      <c r="Y1537" s="284"/>
      <c r="Z1537" s="207"/>
      <c r="AA1537" s="284"/>
      <c r="AB1537" s="284"/>
      <c r="AC1537" s="284"/>
      <c r="AD1537" s="284"/>
      <c r="AE1537" s="284"/>
      <c r="AF1537" s="284"/>
      <c r="AG1537" s="284"/>
      <c r="AI1537" s="131"/>
    </row>
    <row r="1538" spans="1:35" ht="26.4">
      <c r="A1538" s="284"/>
      <c r="B1538" s="284"/>
      <c r="C1538" s="284"/>
      <c r="D1538" s="284"/>
      <c r="E1538" s="284"/>
      <c r="F1538" s="284"/>
      <c r="G1538" s="284"/>
      <c r="H1538" s="284"/>
      <c r="I1538" s="284"/>
      <c r="J1538" s="375"/>
      <c r="K1538" s="375"/>
      <c r="L1538" s="375"/>
      <c r="M1538" s="368"/>
      <c r="N1538" s="368"/>
      <c r="T1538" s="340"/>
      <c r="V1538" s="378"/>
      <c r="W1538" s="64" ph="1"/>
      <c r="X1538" s="241"/>
      <c r="Y1538" s="284"/>
      <c r="Z1538" s="207"/>
      <c r="AA1538" s="284"/>
      <c r="AB1538" s="284"/>
      <c r="AC1538" s="284"/>
      <c r="AD1538" s="284"/>
      <c r="AE1538" s="284"/>
      <c r="AF1538" s="284"/>
      <c r="AG1538" s="284"/>
      <c r="AI1538" s="131"/>
    </row>
    <row r="1539" spans="1:35" ht="26.4">
      <c r="A1539" s="284"/>
      <c r="B1539" s="284"/>
      <c r="C1539" s="284"/>
      <c r="D1539" s="284"/>
      <c r="E1539" s="284"/>
      <c r="F1539" s="284"/>
      <c r="G1539" s="284"/>
      <c r="H1539" s="284"/>
      <c r="I1539" s="284"/>
      <c r="J1539" s="375"/>
      <c r="K1539" s="375"/>
      <c r="L1539" s="375"/>
      <c r="M1539" s="368"/>
      <c r="N1539" s="368"/>
      <c r="O1539" s="370"/>
      <c r="T1539" s="340"/>
      <c r="V1539" s="378"/>
      <c r="W1539" s="64" ph="1"/>
      <c r="X1539" s="241"/>
      <c r="Y1539" s="284"/>
      <c r="Z1539" s="207"/>
      <c r="AA1539" s="284"/>
      <c r="AB1539" s="284"/>
      <c r="AC1539" s="284"/>
      <c r="AD1539" s="284"/>
      <c r="AE1539" s="284"/>
      <c r="AF1539" s="284"/>
      <c r="AG1539" s="284"/>
      <c r="AI1539" s="131"/>
    </row>
    <row r="1540" spans="1:35" ht="26.4">
      <c r="A1540" s="284"/>
      <c r="B1540" s="284"/>
      <c r="C1540" s="284"/>
      <c r="D1540" s="284"/>
      <c r="E1540" s="284"/>
      <c r="F1540" s="284"/>
      <c r="G1540" s="284"/>
      <c r="H1540" s="284"/>
      <c r="I1540" s="284"/>
      <c r="J1540" s="375"/>
      <c r="K1540" s="375"/>
      <c r="L1540" s="375"/>
      <c r="M1540" s="368"/>
      <c r="N1540" s="368"/>
      <c r="O1540" s="370"/>
      <c r="T1540" s="340"/>
      <c r="V1540" s="378"/>
      <c r="W1540" s="64" ph="1"/>
      <c r="X1540" s="241"/>
      <c r="Y1540" s="284"/>
      <c r="Z1540" s="207"/>
      <c r="AA1540" s="284"/>
      <c r="AB1540" s="284"/>
      <c r="AC1540" s="284"/>
      <c r="AD1540" s="284"/>
      <c r="AE1540" s="284"/>
      <c r="AF1540" s="284"/>
      <c r="AG1540" s="284"/>
      <c r="AI1540" s="131"/>
    </row>
    <row r="1541" spans="1:35" ht="26.4">
      <c r="A1541" s="284"/>
      <c r="B1541" s="284"/>
      <c r="C1541" s="284"/>
      <c r="D1541" s="284"/>
      <c r="E1541" s="284"/>
      <c r="F1541" s="284"/>
      <c r="G1541" s="284"/>
      <c r="H1541" s="284"/>
      <c r="I1541" s="284"/>
      <c r="J1541" s="375"/>
      <c r="K1541" s="375"/>
      <c r="L1541" s="375"/>
      <c r="M1541" s="368"/>
      <c r="N1541" s="368"/>
      <c r="O1541" s="370"/>
      <c r="T1541" s="340"/>
      <c r="V1541" s="378"/>
      <c r="W1541" s="64" ph="1"/>
      <c r="X1541" s="241"/>
      <c r="Y1541" s="284"/>
      <c r="Z1541" s="207"/>
      <c r="AA1541" s="284"/>
      <c r="AB1541" s="284"/>
      <c r="AC1541" s="284"/>
      <c r="AD1541" s="284"/>
      <c r="AE1541" s="284"/>
      <c r="AF1541" s="284"/>
      <c r="AG1541" s="284"/>
      <c r="AI1541" s="131"/>
    </row>
    <row r="1542" spans="1:35" ht="26.4">
      <c r="A1542" s="284"/>
      <c r="B1542" s="284"/>
      <c r="C1542" s="284"/>
      <c r="D1542" s="284"/>
      <c r="E1542" s="284"/>
      <c r="F1542" s="284"/>
      <c r="G1542" s="284"/>
      <c r="H1542" s="284"/>
      <c r="I1542" s="284"/>
      <c r="J1542" s="375"/>
      <c r="K1542" s="375"/>
      <c r="L1542" s="375"/>
      <c r="M1542" s="368"/>
      <c r="N1542" s="368"/>
      <c r="O1542" s="370"/>
      <c r="T1542" s="340"/>
      <c r="V1542" s="378"/>
      <c r="W1542" s="64" ph="1"/>
      <c r="X1542" s="241"/>
      <c r="Y1542" s="284"/>
      <c r="Z1542" s="207"/>
      <c r="AA1542" s="284"/>
      <c r="AB1542" s="284"/>
      <c r="AC1542" s="284"/>
      <c r="AD1542" s="284"/>
      <c r="AE1542" s="284"/>
      <c r="AF1542" s="284"/>
      <c r="AG1542" s="284"/>
      <c r="AI1542" s="131"/>
    </row>
    <row r="1543" spans="1:35" ht="26.4">
      <c r="A1543" s="284"/>
      <c r="B1543" s="284"/>
      <c r="C1543" s="284"/>
      <c r="D1543" s="284"/>
      <c r="E1543" s="284"/>
      <c r="F1543" s="284"/>
      <c r="G1543" s="284"/>
      <c r="H1543" s="284"/>
      <c r="I1543" s="284"/>
      <c r="J1543" s="375"/>
      <c r="K1543" s="375"/>
      <c r="L1543" s="375"/>
      <c r="M1543" s="368"/>
      <c r="N1543" s="368"/>
      <c r="O1543" s="370"/>
      <c r="T1543" s="340"/>
      <c r="V1543" s="378"/>
      <c r="W1543" s="64" ph="1"/>
      <c r="X1543" s="241"/>
      <c r="Y1543" s="284"/>
      <c r="Z1543" s="207"/>
      <c r="AA1543" s="284"/>
      <c r="AB1543" s="284"/>
      <c r="AC1543" s="284"/>
      <c r="AD1543" s="284"/>
      <c r="AE1543" s="284"/>
      <c r="AF1543" s="284"/>
      <c r="AG1543" s="284"/>
      <c r="AI1543" s="131"/>
    </row>
    <row r="1544" spans="1:35" ht="26.4">
      <c r="A1544" s="284"/>
      <c r="B1544" s="284"/>
      <c r="C1544" s="284"/>
      <c r="D1544" s="284"/>
      <c r="E1544" s="284"/>
      <c r="F1544" s="284"/>
      <c r="G1544" s="284"/>
      <c r="H1544" s="284"/>
      <c r="I1544" s="284"/>
      <c r="J1544" s="375"/>
      <c r="K1544" s="375"/>
      <c r="L1544" s="375"/>
      <c r="M1544" s="368"/>
      <c r="N1544" s="368"/>
      <c r="O1544" s="370"/>
      <c r="T1544" s="340"/>
      <c r="V1544" s="378"/>
      <c r="W1544" s="64" ph="1"/>
      <c r="X1544" s="241"/>
      <c r="Y1544" s="284"/>
      <c r="Z1544" s="207"/>
      <c r="AA1544" s="284"/>
      <c r="AB1544" s="284"/>
      <c r="AC1544" s="284"/>
      <c r="AD1544" s="284"/>
      <c r="AE1544" s="284"/>
      <c r="AF1544" s="284"/>
      <c r="AG1544" s="284"/>
      <c r="AI1544" s="131"/>
    </row>
    <row r="1545" spans="1:35" ht="26.4">
      <c r="A1545" s="284"/>
      <c r="B1545" s="284"/>
      <c r="C1545" s="284"/>
      <c r="D1545" s="284"/>
      <c r="E1545" s="284"/>
      <c r="F1545" s="284"/>
      <c r="G1545" s="284"/>
      <c r="H1545" s="284"/>
      <c r="I1545" s="284"/>
      <c r="J1545" s="375"/>
      <c r="K1545" s="375"/>
      <c r="L1545" s="375"/>
      <c r="M1545" s="368"/>
      <c r="N1545" s="368"/>
      <c r="O1545" s="370"/>
      <c r="T1545" s="340"/>
      <c r="V1545" s="378"/>
      <c r="W1545" s="64" ph="1"/>
      <c r="X1545" s="241"/>
      <c r="Y1545" s="284"/>
      <c r="Z1545" s="207"/>
      <c r="AA1545" s="284"/>
      <c r="AB1545" s="284"/>
      <c r="AC1545" s="284"/>
      <c r="AD1545" s="284"/>
      <c r="AE1545" s="284"/>
      <c r="AF1545" s="284"/>
      <c r="AG1545" s="284"/>
      <c r="AI1545" s="131"/>
    </row>
    <row r="1546" spans="1:35" ht="26.4">
      <c r="A1546" s="284"/>
      <c r="B1546" s="284"/>
      <c r="C1546" s="284"/>
      <c r="D1546" s="284"/>
      <c r="E1546" s="284"/>
      <c r="F1546" s="284"/>
      <c r="G1546" s="284"/>
      <c r="H1546" s="284"/>
      <c r="I1546" s="284"/>
      <c r="J1546" s="375"/>
      <c r="K1546" s="375"/>
      <c r="L1546" s="375"/>
      <c r="M1546" s="368"/>
      <c r="N1546" s="368"/>
      <c r="O1546" s="370"/>
      <c r="T1546" s="340"/>
      <c r="V1546" s="378"/>
      <c r="W1546" s="64" ph="1"/>
      <c r="X1546" s="241"/>
      <c r="Y1546" s="284"/>
      <c r="Z1546" s="207"/>
      <c r="AA1546" s="284"/>
      <c r="AB1546" s="284"/>
      <c r="AC1546" s="284"/>
      <c r="AD1546" s="284"/>
      <c r="AE1546" s="284"/>
      <c r="AF1546" s="284"/>
      <c r="AG1546" s="284"/>
      <c r="AI1546" s="131"/>
    </row>
    <row r="1547" spans="1:35" ht="26.4">
      <c r="A1547" s="284"/>
      <c r="B1547" s="284"/>
      <c r="C1547" s="284"/>
      <c r="D1547" s="284"/>
      <c r="E1547" s="284"/>
      <c r="F1547" s="284"/>
      <c r="G1547" s="284"/>
      <c r="H1547" s="284"/>
      <c r="I1547" s="284"/>
      <c r="J1547" s="375"/>
      <c r="K1547" s="375"/>
      <c r="L1547" s="375"/>
      <c r="M1547" s="368"/>
      <c r="N1547" s="368"/>
      <c r="O1547" s="370"/>
      <c r="T1547" s="340"/>
      <c r="V1547" s="378"/>
      <c r="W1547" s="64" ph="1"/>
      <c r="X1547" s="241"/>
      <c r="Y1547" s="284"/>
      <c r="Z1547" s="207"/>
      <c r="AA1547" s="284"/>
      <c r="AB1547" s="284"/>
      <c r="AC1547" s="284"/>
      <c r="AD1547" s="284"/>
      <c r="AE1547" s="284"/>
      <c r="AF1547" s="284"/>
      <c r="AG1547" s="284"/>
      <c r="AI1547" s="131"/>
    </row>
    <row r="1548" spans="1:35" ht="26.4">
      <c r="A1548" s="284"/>
      <c r="B1548" s="284"/>
      <c r="C1548" s="284"/>
      <c r="D1548" s="284"/>
      <c r="E1548" s="284"/>
      <c r="F1548" s="284"/>
      <c r="G1548" s="284"/>
      <c r="H1548" s="284"/>
      <c r="I1548" s="284"/>
      <c r="J1548" s="375"/>
      <c r="K1548" s="375"/>
      <c r="L1548" s="375"/>
      <c r="M1548" s="368"/>
      <c r="N1548" s="368"/>
      <c r="O1548" s="370"/>
      <c r="T1548" s="340"/>
      <c r="V1548" s="378"/>
      <c r="W1548" s="64" ph="1"/>
      <c r="X1548" s="241"/>
      <c r="Y1548" s="284"/>
      <c r="Z1548" s="207"/>
      <c r="AA1548" s="284"/>
      <c r="AB1548" s="284"/>
      <c r="AC1548" s="284"/>
      <c r="AD1548" s="284"/>
      <c r="AE1548" s="284"/>
      <c r="AF1548" s="284"/>
      <c r="AG1548" s="284"/>
      <c r="AI1548" s="131"/>
    </row>
    <row r="1549" spans="1:35" ht="26.4">
      <c r="A1549" s="284"/>
      <c r="B1549" s="284"/>
      <c r="C1549" s="284"/>
      <c r="D1549" s="284"/>
      <c r="E1549" s="284"/>
      <c r="F1549" s="284"/>
      <c r="G1549" s="284"/>
      <c r="H1549" s="284"/>
      <c r="I1549" s="284"/>
      <c r="J1549" s="375"/>
      <c r="K1549" s="375"/>
      <c r="L1549" s="375"/>
      <c r="M1549" s="368"/>
      <c r="N1549" s="368"/>
      <c r="O1549" s="370"/>
      <c r="T1549" s="340"/>
      <c r="V1549" s="378"/>
      <c r="W1549" s="64" ph="1"/>
      <c r="X1549" s="241"/>
      <c r="Y1549" s="284"/>
      <c r="Z1549" s="207"/>
      <c r="AA1549" s="284"/>
      <c r="AB1549" s="284"/>
      <c r="AC1549" s="284"/>
      <c r="AD1549" s="284"/>
      <c r="AE1549" s="284"/>
      <c r="AF1549" s="284"/>
      <c r="AG1549" s="284"/>
      <c r="AI1549" s="131"/>
    </row>
    <row r="1550" spans="1:35" ht="26.4">
      <c r="A1550" s="284"/>
      <c r="B1550" s="284"/>
      <c r="C1550" s="284"/>
      <c r="D1550" s="284"/>
      <c r="E1550" s="284"/>
      <c r="F1550" s="284"/>
      <c r="G1550" s="284"/>
      <c r="H1550" s="284"/>
      <c r="I1550" s="284"/>
      <c r="J1550" s="375"/>
      <c r="K1550" s="375"/>
      <c r="L1550" s="375"/>
      <c r="M1550" s="368"/>
      <c r="N1550" s="368"/>
      <c r="O1550" s="370"/>
      <c r="T1550" s="340"/>
      <c r="V1550" s="378"/>
      <c r="W1550" s="64" ph="1"/>
      <c r="X1550" s="241"/>
      <c r="Y1550" s="284"/>
      <c r="Z1550" s="207"/>
      <c r="AA1550" s="284"/>
      <c r="AB1550" s="284"/>
      <c r="AC1550" s="284"/>
      <c r="AD1550" s="284"/>
      <c r="AE1550" s="284"/>
      <c r="AF1550" s="284"/>
      <c r="AG1550" s="284"/>
      <c r="AI1550" s="284"/>
    </row>
    <row r="1551" spans="1:35" ht="26.4">
      <c r="A1551" s="284"/>
      <c r="B1551" s="284"/>
      <c r="C1551" s="284"/>
      <c r="D1551" s="284"/>
      <c r="E1551" s="284"/>
      <c r="F1551" s="284"/>
      <c r="G1551" s="284"/>
      <c r="H1551" s="284"/>
      <c r="I1551" s="284"/>
      <c r="J1551" s="375"/>
      <c r="K1551" s="375"/>
      <c r="L1551" s="375"/>
      <c r="M1551" s="368"/>
      <c r="N1551" s="368"/>
      <c r="O1551" s="370"/>
      <c r="T1551" s="340"/>
      <c r="V1551" s="378"/>
      <c r="W1551" s="64" ph="1"/>
      <c r="X1551" s="241"/>
      <c r="Y1551" s="284"/>
      <c r="Z1551" s="207"/>
      <c r="AA1551" s="284"/>
      <c r="AB1551" s="284"/>
      <c r="AC1551" s="284"/>
      <c r="AD1551" s="284"/>
      <c r="AE1551" s="284"/>
      <c r="AF1551" s="284"/>
      <c r="AG1551" s="284"/>
      <c r="AI1551" s="131"/>
    </row>
    <row r="1552" spans="1:35" ht="26.4">
      <c r="A1552" s="284"/>
      <c r="B1552" s="284"/>
      <c r="C1552" s="284"/>
      <c r="D1552" s="284"/>
      <c r="E1552" s="284"/>
      <c r="F1552" s="284"/>
      <c r="G1552" s="284"/>
      <c r="H1552" s="284"/>
      <c r="I1552" s="284"/>
      <c r="J1552" s="375"/>
      <c r="K1552" s="375"/>
      <c r="L1552" s="375"/>
      <c r="M1552" s="368"/>
      <c r="N1552" s="368"/>
      <c r="O1552" s="370"/>
      <c r="T1552" s="340"/>
      <c r="V1552" s="378"/>
      <c r="W1552" s="64" ph="1"/>
      <c r="X1552" s="241"/>
      <c r="Y1552" s="284"/>
      <c r="Z1552" s="207"/>
      <c r="AA1552" s="284"/>
      <c r="AB1552" s="284"/>
      <c r="AC1552" s="284"/>
      <c r="AD1552" s="284"/>
      <c r="AE1552" s="284"/>
      <c r="AF1552" s="284"/>
      <c r="AG1552" s="284"/>
      <c r="AI1552" s="131"/>
    </row>
    <row r="1553" spans="1:35" ht="26.4">
      <c r="A1553" s="284"/>
      <c r="B1553" s="284"/>
      <c r="C1553" s="284"/>
      <c r="D1553" s="284"/>
      <c r="E1553" s="284"/>
      <c r="F1553" s="284"/>
      <c r="G1553" s="284"/>
      <c r="H1553" s="284"/>
      <c r="I1553" s="284"/>
      <c r="J1553" s="375"/>
      <c r="K1553" s="375"/>
      <c r="L1553" s="375"/>
      <c r="M1553" s="368"/>
      <c r="N1553" s="368"/>
      <c r="O1553" s="370"/>
      <c r="T1553" s="340"/>
      <c r="V1553" s="378"/>
      <c r="W1553" s="64" ph="1"/>
      <c r="X1553" s="241"/>
      <c r="Y1553" s="284"/>
      <c r="Z1553" s="207"/>
      <c r="AA1553" s="284"/>
      <c r="AB1553" s="284"/>
      <c r="AC1553" s="284"/>
      <c r="AD1553" s="284"/>
      <c r="AE1553" s="284"/>
      <c r="AF1553" s="284"/>
      <c r="AG1553" s="284"/>
      <c r="AI1553" s="131"/>
    </row>
    <row r="1554" spans="1:35" ht="26.4">
      <c r="A1554" s="284"/>
      <c r="B1554" s="284"/>
      <c r="C1554" s="284"/>
      <c r="D1554" s="284"/>
      <c r="E1554" s="284"/>
      <c r="F1554" s="284"/>
      <c r="G1554" s="284"/>
      <c r="H1554" s="284"/>
      <c r="I1554" s="284"/>
      <c r="J1554" s="375"/>
      <c r="K1554" s="375"/>
      <c r="L1554" s="375"/>
      <c r="M1554" s="368"/>
      <c r="N1554" s="368"/>
      <c r="O1554" s="370"/>
      <c r="T1554" s="340"/>
      <c r="V1554" s="378"/>
      <c r="W1554" s="64" ph="1"/>
      <c r="X1554" s="241"/>
      <c r="Y1554" s="284"/>
      <c r="Z1554" s="207"/>
      <c r="AA1554" s="284"/>
      <c r="AB1554" s="284"/>
      <c r="AC1554" s="284"/>
      <c r="AD1554" s="284"/>
      <c r="AE1554" s="284"/>
      <c r="AF1554" s="284"/>
      <c r="AG1554" s="284"/>
      <c r="AI1554" s="131"/>
    </row>
    <row r="1555" spans="1:35" ht="26.4">
      <c r="A1555" s="284"/>
      <c r="B1555" s="284"/>
      <c r="C1555" s="284"/>
      <c r="D1555" s="284"/>
      <c r="E1555" s="284"/>
      <c r="F1555" s="284"/>
      <c r="G1555" s="284"/>
      <c r="H1555" s="284"/>
      <c r="I1555" s="284"/>
      <c r="J1555" s="375"/>
      <c r="K1555" s="375"/>
      <c r="L1555" s="375"/>
      <c r="M1555" s="368"/>
      <c r="N1555" s="368"/>
      <c r="O1555" s="370"/>
      <c r="T1555" s="340"/>
      <c r="V1555" s="378"/>
      <c r="W1555" s="64" ph="1"/>
      <c r="X1555" s="241"/>
      <c r="Y1555" s="284"/>
      <c r="Z1555" s="207"/>
      <c r="AA1555" s="284"/>
      <c r="AB1555" s="284"/>
      <c r="AC1555" s="284"/>
      <c r="AD1555" s="284"/>
      <c r="AE1555" s="284"/>
      <c r="AF1555" s="284"/>
      <c r="AG1555" s="284"/>
      <c r="AI1555" s="131"/>
    </row>
    <row r="1556" spans="1:35" ht="26.4">
      <c r="A1556" s="284"/>
      <c r="B1556" s="284"/>
      <c r="C1556" s="284"/>
      <c r="D1556" s="284"/>
      <c r="E1556" s="284"/>
      <c r="F1556" s="284"/>
      <c r="G1556" s="284"/>
      <c r="H1556" s="284"/>
      <c r="I1556" s="284"/>
      <c r="J1556" s="375"/>
      <c r="K1556" s="375"/>
      <c r="L1556" s="375"/>
      <c r="M1556" s="368"/>
      <c r="N1556" s="368"/>
      <c r="O1556" s="370"/>
      <c r="T1556" s="340"/>
      <c r="V1556" s="378"/>
      <c r="W1556" s="64" ph="1"/>
      <c r="X1556" s="241"/>
      <c r="Y1556" s="284"/>
      <c r="Z1556" s="207"/>
      <c r="AA1556" s="284"/>
      <c r="AB1556" s="284"/>
      <c r="AC1556" s="284"/>
      <c r="AD1556" s="284"/>
      <c r="AE1556" s="284"/>
      <c r="AF1556" s="284"/>
      <c r="AG1556" s="284"/>
      <c r="AI1556" s="131"/>
    </row>
    <row r="1557" spans="1:35" ht="26.4">
      <c r="A1557" s="284"/>
      <c r="B1557" s="284"/>
      <c r="C1557" s="284"/>
      <c r="D1557" s="284"/>
      <c r="E1557" s="284"/>
      <c r="F1557" s="284"/>
      <c r="G1557" s="284"/>
      <c r="H1557" s="284"/>
      <c r="I1557" s="284"/>
      <c r="J1557" s="375"/>
      <c r="K1557" s="375"/>
      <c r="L1557" s="375"/>
      <c r="M1557" s="368"/>
      <c r="N1557" s="368"/>
      <c r="O1557" s="370"/>
      <c r="T1557" s="340"/>
      <c r="V1557" s="378"/>
      <c r="W1557" s="64" ph="1"/>
      <c r="X1557" s="241"/>
      <c r="Y1557" s="284"/>
      <c r="Z1557" s="207"/>
      <c r="AA1557" s="284"/>
      <c r="AB1557" s="284"/>
      <c r="AC1557" s="284"/>
      <c r="AD1557" s="284"/>
      <c r="AE1557" s="284"/>
      <c r="AF1557" s="284"/>
      <c r="AG1557" s="284"/>
      <c r="AI1557" s="131"/>
    </row>
    <row r="1558" spans="1:35" ht="26.4">
      <c r="A1558" s="284"/>
      <c r="B1558" s="284"/>
      <c r="C1558" s="284"/>
      <c r="D1558" s="284"/>
      <c r="E1558" s="284"/>
      <c r="F1558" s="284"/>
      <c r="G1558" s="284"/>
      <c r="H1558" s="284"/>
      <c r="I1558" s="284"/>
      <c r="J1558" s="375"/>
      <c r="K1558" s="375"/>
      <c r="L1558" s="375"/>
      <c r="M1558" s="368"/>
      <c r="N1558" s="368"/>
      <c r="O1558" s="370"/>
      <c r="T1558" s="340"/>
      <c r="V1558" s="378"/>
      <c r="W1558" s="64" ph="1"/>
      <c r="X1558" s="241"/>
      <c r="Y1558" s="284"/>
      <c r="Z1558" s="207"/>
      <c r="AA1558" s="284"/>
      <c r="AB1558" s="284"/>
      <c r="AC1558" s="284"/>
      <c r="AD1558" s="284"/>
      <c r="AE1558" s="284"/>
      <c r="AF1558" s="284"/>
      <c r="AG1558" s="284"/>
      <c r="AI1558" s="131"/>
    </row>
    <row r="1559" spans="1:35" ht="26.4">
      <c r="A1559" s="284"/>
      <c r="B1559" s="284"/>
      <c r="C1559" s="284"/>
      <c r="D1559" s="284"/>
      <c r="E1559" s="284"/>
      <c r="F1559" s="284"/>
      <c r="G1559" s="284"/>
      <c r="H1559" s="284"/>
      <c r="I1559" s="284"/>
      <c r="J1559" s="375"/>
      <c r="K1559" s="375"/>
      <c r="L1559" s="375"/>
      <c r="M1559" s="368"/>
      <c r="N1559" s="368"/>
      <c r="O1559" s="370"/>
      <c r="T1559" s="340"/>
      <c r="V1559" s="378"/>
      <c r="W1559" s="64" ph="1"/>
      <c r="X1559" s="241"/>
      <c r="Y1559" s="284"/>
      <c r="Z1559" s="207"/>
      <c r="AA1559" s="284"/>
      <c r="AB1559" s="284"/>
      <c r="AC1559" s="284"/>
      <c r="AD1559" s="284"/>
      <c r="AE1559" s="284"/>
      <c r="AF1559" s="284"/>
      <c r="AG1559" s="284"/>
      <c r="AI1559" s="131"/>
    </row>
    <row r="1560" spans="1:35" ht="26.4">
      <c r="A1560" s="284"/>
      <c r="B1560" s="284"/>
      <c r="C1560" s="284"/>
      <c r="D1560" s="284"/>
      <c r="E1560" s="284"/>
      <c r="F1560" s="284"/>
      <c r="G1560" s="284"/>
      <c r="H1560" s="284"/>
      <c r="I1560" s="284"/>
      <c r="J1560" s="375"/>
      <c r="K1560" s="375"/>
      <c r="L1560" s="375"/>
      <c r="M1560" s="368"/>
      <c r="N1560" s="368"/>
      <c r="O1560" s="370"/>
      <c r="T1560" s="340"/>
      <c r="V1560" s="378"/>
      <c r="W1560" s="64" ph="1"/>
      <c r="X1560" s="241"/>
      <c r="Y1560" s="284"/>
      <c r="Z1560" s="207"/>
      <c r="AA1560" s="284"/>
      <c r="AB1560" s="284"/>
      <c r="AC1560" s="284"/>
      <c r="AD1560" s="284"/>
      <c r="AE1560" s="284"/>
      <c r="AF1560" s="284"/>
      <c r="AG1560" s="284"/>
      <c r="AI1560" s="131"/>
    </row>
    <row r="1561" spans="1:35" ht="26.4">
      <c r="A1561" s="284"/>
      <c r="B1561" s="284"/>
      <c r="C1561" s="284"/>
      <c r="D1561" s="284"/>
      <c r="E1561" s="284"/>
      <c r="F1561" s="284"/>
      <c r="G1561" s="284"/>
      <c r="H1561" s="284"/>
      <c r="I1561" s="284"/>
      <c r="J1561" s="375"/>
      <c r="K1561" s="375"/>
      <c r="L1561" s="375"/>
      <c r="M1561" s="368"/>
      <c r="N1561" s="368"/>
      <c r="O1561" s="370"/>
      <c r="T1561" s="340"/>
      <c r="V1561" s="378"/>
      <c r="W1561" s="64" ph="1"/>
      <c r="X1561" s="241"/>
      <c r="Y1561" s="284"/>
      <c r="Z1561" s="207"/>
      <c r="AA1561" s="284"/>
      <c r="AB1561" s="284"/>
      <c r="AC1561" s="284"/>
      <c r="AD1561" s="284"/>
      <c r="AE1561" s="284"/>
      <c r="AF1561" s="284"/>
      <c r="AG1561" s="284"/>
      <c r="AI1561" s="284"/>
    </row>
    <row r="1562" spans="1:35" ht="26.4">
      <c r="A1562" s="284"/>
      <c r="B1562" s="284"/>
      <c r="C1562" s="284"/>
      <c r="D1562" s="284"/>
      <c r="E1562" s="284"/>
      <c r="F1562" s="284"/>
      <c r="G1562" s="284"/>
      <c r="H1562" s="284"/>
      <c r="I1562" s="284"/>
      <c r="J1562" s="375"/>
      <c r="K1562" s="375"/>
      <c r="L1562" s="375"/>
      <c r="M1562" s="368"/>
      <c r="N1562" s="368"/>
      <c r="O1562" s="370"/>
      <c r="T1562" s="340"/>
      <c r="V1562" s="378"/>
      <c r="W1562" s="64" ph="1"/>
      <c r="X1562" s="241"/>
      <c r="Y1562" s="284"/>
      <c r="Z1562" s="207"/>
      <c r="AA1562" s="284"/>
      <c r="AB1562" s="284"/>
      <c r="AC1562" s="284"/>
      <c r="AD1562" s="284"/>
      <c r="AE1562" s="284"/>
      <c r="AF1562" s="284"/>
      <c r="AG1562" s="284"/>
      <c r="AI1562" s="131"/>
    </row>
    <row r="1563" spans="1:35" ht="26.4">
      <c r="A1563" s="284"/>
      <c r="B1563" s="284"/>
      <c r="C1563" s="284"/>
      <c r="D1563" s="284"/>
      <c r="E1563" s="284"/>
      <c r="F1563" s="284"/>
      <c r="G1563" s="284"/>
      <c r="H1563" s="284"/>
      <c r="I1563" s="284"/>
      <c r="J1563" s="375"/>
      <c r="K1563" s="375"/>
      <c r="L1563" s="375"/>
      <c r="M1563" s="368"/>
      <c r="N1563" s="368"/>
      <c r="O1563" s="370"/>
      <c r="T1563" s="340"/>
      <c r="V1563" s="378"/>
      <c r="W1563" s="64" ph="1"/>
      <c r="X1563" s="241"/>
      <c r="Y1563" s="284"/>
      <c r="Z1563" s="207"/>
      <c r="AA1563" s="284"/>
      <c r="AB1563" s="284"/>
      <c r="AC1563" s="284"/>
      <c r="AD1563" s="284"/>
      <c r="AE1563" s="284"/>
      <c r="AF1563" s="284"/>
      <c r="AG1563" s="284"/>
      <c r="AI1563" s="131"/>
    </row>
    <row r="1564" spans="1:35" ht="26.4">
      <c r="A1564" s="284"/>
      <c r="B1564" s="284"/>
      <c r="C1564" s="284"/>
      <c r="D1564" s="284"/>
      <c r="E1564" s="284"/>
      <c r="F1564" s="284"/>
      <c r="G1564" s="284"/>
      <c r="H1564" s="284"/>
      <c r="I1564" s="284"/>
      <c r="J1564" s="375"/>
      <c r="K1564" s="375"/>
      <c r="L1564" s="375"/>
      <c r="M1564" s="368"/>
      <c r="N1564" s="368"/>
      <c r="O1564" s="370"/>
      <c r="T1564" s="340"/>
      <c r="V1564" s="378"/>
      <c r="W1564" s="64" ph="1"/>
      <c r="X1564" s="241"/>
      <c r="Y1564" s="284"/>
      <c r="Z1564" s="207"/>
      <c r="AA1564" s="284"/>
      <c r="AB1564" s="284"/>
      <c r="AC1564" s="284"/>
      <c r="AD1564" s="284"/>
      <c r="AE1564" s="284"/>
      <c r="AF1564" s="284"/>
      <c r="AG1564" s="284"/>
      <c r="AI1564" s="284"/>
    </row>
    <row r="1565" spans="1:35" ht="26.4">
      <c r="A1565" s="284"/>
      <c r="B1565" s="284"/>
      <c r="C1565" s="284"/>
      <c r="D1565" s="284"/>
      <c r="E1565" s="284"/>
      <c r="F1565" s="284"/>
      <c r="G1565" s="284"/>
      <c r="H1565" s="284"/>
      <c r="I1565" s="284"/>
      <c r="J1565" s="375"/>
      <c r="K1565" s="375"/>
      <c r="L1565" s="375"/>
      <c r="M1565" s="368"/>
      <c r="N1565" s="368"/>
      <c r="O1565" s="370"/>
      <c r="T1565" s="340"/>
      <c r="V1565" s="378"/>
      <c r="W1565" s="64" ph="1"/>
      <c r="X1565" s="241"/>
      <c r="Y1565" s="284"/>
      <c r="Z1565" s="207"/>
      <c r="AA1565" s="284"/>
      <c r="AB1565" s="284"/>
      <c r="AC1565" s="284"/>
      <c r="AD1565" s="284"/>
      <c r="AE1565" s="284"/>
      <c r="AF1565" s="284"/>
      <c r="AG1565" s="284"/>
      <c r="AI1565" s="131"/>
    </row>
    <row r="1566" spans="1:35" ht="26.4">
      <c r="A1566" s="284"/>
      <c r="B1566" s="284"/>
      <c r="C1566" s="284"/>
      <c r="D1566" s="284"/>
      <c r="E1566" s="284"/>
      <c r="F1566" s="284"/>
      <c r="G1566" s="284"/>
      <c r="H1566" s="284"/>
      <c r="I1566" s="284"/>
      <c r="J1566" s="375"/>
      <c r="K1566" s="375"/>
      <c r="L1566" s="375"/>
      <c r="M1566" s="368"/>
      <c r="N1566" s="368"/>
      <c r="O1566" s="370"/>
      <c r="T1566" s="340"/>
      <c r="V1566" s="378"/>
      <c r="W1566" s="64" ph="1"/>
      <c r="X1566" s="241"/>
      <c r="Y1566" s="284"/>
      <c r="Z1566" s="207"/>
      <c r="AA1566" s="284"/>
      <c r="AB1566" s="284"/>
      <c r="AC1566" s="284"/>
      <c r="AD1566" s="284"/>
      <c r="AE1566" s="284"/>
      <c r="AF1566" s="284"/>
      <c r="AG1566" s="284"/>
      <c r="AI1566" s="131"/>
    </row>
    <row r="1567" spans="1:35" ht="26.4">
      <c r="A1567" s="284"/>
      <c r="B1567" s="284"/>
      <c r="C1567" s="284"/>
      <c r="D1567" s="284"/>
      <c r="E1567" s="284"/>
      <c r="F1567" s="284"/>
      <c r="G1567" s="284"/>
      <c r="H1567" s="284"/>
      <c r="I1567" s="284"/>
      <c r="J1567" s="375"/>
      <c r="K1567" s="375"/>
      <c r="L1567" s="375"/>
      <c r="M1567" s="368"/>
      <c r="N1567" s="368"/>
      <c r="O1567" s="370"/>
      <c r="T1567" s="340"/>
      <c r="V1567" s="378"/>
      <c r="W1567" s="64" ph="1"/>
      <c r="X1567" s="241"/>
      <c r="Y1567" s="284"/>
      <c r="Z1567" s="207"/>
      <c r="AA1567" s="284"/>
      <c r="AB1567" s="284"/>
      <c r="AC1567" s="284"/>
      <c r="AD1567" s="284"/>
      <c r="AE1567" s="284"/>
      <c r="AF1567" s="284"/>
      <c r="AG1567" s="284"/>
      <c r="AI1567" s="131"/>
    </row>
    <row r="1568" spans="1:35" ht="26.4">
      <c r="A1568" s="284"/>
      <c r="B1568" s="284"/>
      <c r="C1568" s="284"/>
      <c r="D1568" s="284"/>
      <c r="E1568" s="284"/>
      <c r="F1568" s="284"/>
      <c r="G1568" s="284"/>
      <c r="H1568" s="284"/>
      <c r="I1568" s="284"/>
      <c r="J1568" s="375"/>
      <c r="K1568" s="375"/>
      <c r="L1568" s="375"/>
      <c r="M1568" s="368"/>
      <c r="N1568" s="368"/>
      <c r="O1568" s="370"/>
      <c r="T1568" s="340"/>
      <c r="V1568" s="378"/>
      <c r="W1568" s="64" ph="1"/>
      <c r="X1568" s="241"/>
      <c r="Y1568" s="284"/>
      <c r="Z1568" s="207"/>
      <c r="AA1568" s="284"/>
      <c r="AB1568" s="284"/>
      <c r="AC1568" s="284"/>
      <c r="AD1568" s="284"/>
      <c r="AE1568" s="284"/>
      <c r="AF1568" s="284"/>
      <c r="AG1568" s="284"/>
      <c r="AI1568" s="131"/>
    </row>
    <row r="1569" spans="1:35" ht="26.4">
      <c r="A1569" s="284"/>
      <c r="B1569" s="284"/>
      <c r="C1569" s="284"/>
      <c r="D1569" s="284"/>
      <c r="E1569" s="284"/>
      <c r="F1569" s="284"/>
      <c r="G1569" s="284"/>
      <c r="H1569" s="284"/>
      <c r="I1569" s="284"/>
      <c r="J1569" s="375"/>
      <c r="K1569" s="375"/>
      <c r="L1569" s="375"/>
      <c r="M1569" s="368"/>
      <c r="N1569" s="368"/>
      <c r="O1569" s="370"/>
      <c r="T1569" s="340"/>
      <c r="V1569" s="378"/>
      <c r="W1569" s="64" ph="1"/>
      <c r="X1569" s="241"/>
      <c r="Y1569" s="284"/>
      <c r="Z1569" s="207"/>
      <c r="AA1569" s="284"/>
      <c r="AB1569" s="284"/>
      <c r="AC1569" s="284"/>
      <c r="AD1569" s="284"/>
      <c r="AE1569" s="284"/>
      <c r="AF1569" s="284"/>
      <c r="AG1569" s="284"/>
      <c r="AI1569" s="131"/>
    </row>
    <row r="1570" spans="1:35" ht="26.4">
      <c r="A1570" s="284"/>
      <c r="B1570" s="284"/>
      <c r="C1570" s="284"/>
      <c r="D1570" s="284"/>
      <c r="E1570" s="284"/>
      <c r="F1570" s="284"/>
      <c r="G1570" s="284"/>
      <c r="H1570" s="284"/>
      <c r="I1570" s="284"/>
      <c r="J1570" s="375"/>
      <c r="K1570" s="375"/>
      <c r="L1570" s="375"/>
      <c r="M1570" s="368"/>
      <c r="N1570" s="368"/>
      <c r="O1570" s="370"/>
      <c r="T1570" s="340"/>
      <c r="V1570" s="378"/>
      <c r="W1570" s="64" ph="1"/>
      <c r="X1570" s="241"/>
      <c r="Y1570" s="284"/>
      <c r="Z1570" s="207"/>
      <c r="AA1570" s="284"/>
      <c r="AB1570" s="284"/>
      <c r="AC1570" s="284"/>
      <c r="AD1570" s="284"/>
      <c r="AE1570" s="284"/>
      <c r="AF1570" s="284"/>
      <c r="AG1570" s="284"/>
      <c r="AI1570" s="131"/>
    </row>
    <row r="1571" spans="1:35" ht="26.4">
      <c r="A1571" s="284"/>
      <c r="B1571" s="284"/>
      <c r="C1571" s="284"/>
      <c r="D1571" s="284"/>
      <c r="E1571" s="284"/>
      <c r="F1571" s="284"/>
      <c r="G1571" s="284"/>
      <c r="H1571" s="284"/>
      <c r="I1571" s="284"/>
      <c r="J1571" s="375"/>
      <c r="K1571" s="375"/>
      <c r="L1571" s="375"/>
      <c r="M1571" s="368"/>
      <c r="N1571" s="368"/>
      <c r="O1571" s="370"/>
      <c r="T1571" s="340"/>
      <c r="V1571" s="378"/>
      <c r="W1571" s="64" ph="1"/>
      <c r="X1571" s="241"/>
      <c r="Y1571" s="284"/>
      <c r="Z1571" s="207"/>
      <c r="AA1571" s="284"/>
      <c r="AB1571" s="284"/>
      <c r="AC1571" s="284"/>
      <c r="AD1571" s="284"/>
      <c r="AE1571" s="284"/>
      <c r="AF1571" s="284"/>
      <c r="AG1571" s="284"/>
      <c r="AI1571" s="131"/>
    </row>
    <row r="1572" spans="1:35" ht="26.4">
      <c r="A1572" s="284"/>
      <c r="B1572" s="284"/>
      <c r="C1572" s="284"/>
      <c r="D1572" s="284"/>
      <c r="E1572" s="284"/>
      <c r="F1572" s="284"/>
      <c r="G1572" s="284"/>
      <c r="H1572" s="284"/>
      <c r="I1572" s="284"/>
      <c r="J1572" s="375"/>
      <c r="K1572" s="375"/>
      <c r="L1572" s="375"/>
      <c r="M1572" s="368"/>
      <c r="N1572" s="368"/>
      <c r="O1572" s="370"/>
      <c r="T1572" s="340"/>
      <c r="V1572" s="378"/>
      <c r="W1572" s="64" ph="1"/>
      <c r="X1572" s="241"/>
      <c r="Y1572" s="284"/>
      <c r="Z1572" s="207"/>
      <c r="AA1572" s="284"/>
      <c r="AB1572" s="284"/>
      <c r="AC1572" s="284"/>
      <c r="AD1572" s="284"/>
      <c r="AE1572" s="284"/>
      <c r="AF1572" s="284"/>
      <c r="AG1572" s="284"/>
      <c r="AI1572" s="131"/>
    </row>
    <row r="1573" spans="1:35" ht="26.4">
      <c r="A1573" s="284"/>
      <c r="B1573" s="284"/>
      <c r="C1573" s="284"/>
      <c r="D1573" s="284"/>
      <c r="E1573" s="284"/>
      <c r="F1573" s="284"/>
      <c r="G1573" s="284"/>
      <c r="H1573" s="284"/>
      <c r="I1573" s="284"/>
      <c r="J1573" s="375"/>
      <c r="K1573" s="375"/>
      <c r="L1573" s="375"/>
      <c r="M1573" s="368"/>
      <c r="N1573" s="368"/>
      <c r="O1573" s="370"/>
      <c r="T1573" s="340"/>
      <c r="V1573" s="378"/>
      <c r="W1573" s="64" ph="1"/>
      <c r="X1573" s="241"/>
      <c r="Y1573" s="284"/>
      <c r="Z1573" s="207"/>
      <c r="AA1573" s="284"/>
      <c r="AB1573" s="284"/>
      <c r="AC1573" s="284"/>
      <c r="AD1573" s="284"/>
      <c r="AE1573" s="284"/>
      <c r="AF1573" s="284"/>
      <c r="AG1573" s="284"/>
      <c r="AI1573" s="131"/>
    </row>
    <row r="1574" spans="1:35" ht="26.4">
      <c r="A1574" s="284"/>
      <c r="B1574" s="284"/>
      <c r="C1574" s="284"/>
      <c r="D1574" s="284"/>
      <c r="E1574" s="284"/>
      <c r="F1574" s="284"/>
      <c r="G1574" s="284"/>
      <c r="H1574" s="284"/>
      <c r="I1574" s="284"/>
      <c r="J1574" s="375"/>
      <c r="K1574" s="375"/>
      <c r="L1574" s="375"/>
      <c r="M1574" s="368"/>
      <c r="N1574" s="368"/>
      <c r="O1574" s="370"/>
      <c r="T1574" s="340"/>
      <c r="V1574" s="378"/>
      <c r="W1574" s="64" ph="1"/>
      <c r="X1574" s="241"/>
      <c r="Y1574" s="284"/>
      <c r="Z1574" s="207"/>
      <c r="AA1574" s="284"/>
      <c r="AB1574" s="284"/>
      <c r="AC1574" s="284"/>
      <c r="AD1574" s="284"/>
      <c r="AE1574" s="284"/>
      <c r="AF1574" s="284"/>
      <c r="AG1574" s="284"/>
      <c r="AI1574" s="131"/>
    </row>
    <row r="1575" spans="1:35" ht="26.4">
      <c r="A1575" s="284"/>
      <c r="B1575" s="284"/>
      <c r="C1575" s="284"/>
      <c r="D1575" s="284"/>
      <c r="E1575" s="284"/>
      <c r="F1575" s="284"/>
      <c r="G1575" s="284"/>
      <c r="H1575" s="284"/>
      <c r="I1575" s="284"/>
      <c r="J1575" s="375"/>
      <c r="K1575" s="375"/>
      <c r="L1575" s="375"/>
      <c r="M1575" s="368"/>
      <c r="N1575" s="368"/>
      <c r="O1575" s="370"/>
      <c r="T1575" s="340"/>
      <c r="V1575" s="378"/>
      <c r="W1575" s="64" ph="1"/>
      <c r="X1575" s="241"/>
      <c r="Y1575" s="284"/>
      <c r="Z1575" s="207"/>
      <c r="AA1575" s="284"/>
      <c r="AB1575" s="284"/>
      <c r="AC1575" s="284"/>
      <c r="AD1575" s="284"/>
      <c r="AE1575" s="284"/>
      <c r="AF1575" s="284"/>
      <c r="AG1575" s="284"/>
      <c r="AI1575" s="131"/>
    </row>
    <row r="1576" spans="1:35" ht="26.4">
      <c r="A1576" s="284"/>
      <c r="B1576" s="284"/>
      <c r="C1576" s="284"/>
      <c r="D1576" s="284"/>
      <c r="E1576" s="284"/>
      <c r="F1576" s="284"/>
      <c r="G1576" s="284"/>
      <c r="H1576" s="284"/>
      <c r="I1576" s="284"/>
      <c r="J1576" s="375"/>
      <c r="K1576" s="375"/>
      <c r="L1576" s="375"/>
      <c r="M1576" s="368"/>
      <c r="N1576" s="368"/>
      <c r="O1576" s="370"/>
      <c r="T1576" s="340"/>
      <c r="V1576" s="378"/>
      <c r="W1576" s="64" ph="1"/>
      <c r="X1576" s="241"/>
      <c r="Y1576" s="284"/>
      <c r="Z1576" s="207"/>
      <c r="AA1576" s="284"/>
      <c r="AB1576" s="284"/>
      <c r="AC1576" s="284"/>
      <c r="AD1576" s="284"/>
      <c r="AE1576" s="284"/>
      <c r="AF1576" s="284"/>
      <c r="AG1576" s="284"/>
      <c r="AI1576" s="131"/>
    </row>
    <row r="1577" spans="1:35" ht="26.4">
      <c r="A1577" s="284"/>
      <c r="B1577" s="284"/>
      <c r="C1577" s="284"/>
      <c r="D1577" s="284"/>
      <c r="E1577" s="284"/>
      <c r="F1577" s="284"/>
      <c r="G1577" s="284"/>
      <c r="H1577" s="284"/>
      <c r="I1577" s="284"/>
      <c r="J1577" s="375"/>
      <c r="K1577" s="375"/>
      <c r="L1577" s="375"/>
      <c r="M1577" s="368"/>
      <c r="N1577" s="368"/>
      <c r="O1577" s="370"/>
      <c r="T1577" s="340"/>
      <c r="V1577" s="378"/>
      <c r="W1577" s="64" ph="1"/>
      <c r="X1577" s="241"/>
      <c r="Y1577" s="284"/>
      <c r="Z1577" s="207"/>
      <c r="AA1577" s="284"/>
      <c r="AB1577" s="284"/>
      <c r="AC1577" s="284"/>
      <c r="AD1577" s="284"/>
      <c r="AE1577" s="284"/>
      <c r="AF1577" s="284"/>
      <c r="AG1577" s="284"/>
      <c r="AI1577" s="131"/>
    </row>
    <row r="1578" spans="1:35" ht="26.4">
      <c r="A1578" s="284"/>
      <c r="B1578" s="284"/>
      <c r="C1578" s="284"/>
      <c r="D1578" s="284"/>
      <c r="E1578" s="284"/>
      <c r="F1578" s="284"/>
      <c r="G1578" s="284"/>
      <c r="H1578" s="284"/>
      <c r="I1578" s="284"/>
      <c r="J1578" s="375"/>
      <c r="K1578" s="375"/>
      <c r="L1578" s="375"/>
      <c r="M1578" s="368"/>
      <c r="N1578" s="368"/>
      <c r="O1578" s="370"/>
      <c r="T1578" s="340"/>
      <c r="V1578" s="378"/>
      <c r="W1578" s="64" ph="1"/>
      <c r="X1578" s="241"/>
      <c r="Y1578" s="284"/>
      <c r="Z1578" s="207"/>
      <c r="AA1578" s="284"/>
      <c r="AB1578" s="284"/>
      <c r="AC1578" s="284"/>
      <c r="AD1578" s="284"/>
      <c r="AE1578" s="284"/>
      <c r="AF1578" s="284"/>
      <c r="AG1578" s="284"/>
      <c r="AI1578" s="131"/>
    </row>
    <row r="1579" spans="1:35" ht="26.4">
      <c r="A1579" s="284"/>
      <c r="B1579" s="284"/>
      <c r="C1579" s="284"/>
      <c r="D1579" s="284"/>
      <c r="E1579" s="284"/>
      <c r="F1579" s="284"/>
      <c r="G1579" s="284"/>
      <c r="H1579" s="284"/>
      <c r="I1579" s="284"/>
      <c r="J1579" s="375"/>
      <c r="K1579" s="375"/>
      <c r="L1579" s="375"/>
      <c r="M1579" s="368"/>
      <c r="N1579" s="368"/>
      <c r="O1579" s="370"/>
      <c r="T1579" s="340"/>
      <c r="V1579" s="378"/>
      <c r="W1579" s="64" ph="1"/>
      <c r="X1579" s="241"/>
      <c r="Y1579" s="284"/>
      <c r="Z1579" s="207"/>
      <c r="AA1579" s="284"/>
      <c r="AB1579" s="284"/>
      <c r="AC1579" s="284"/>
      <c r="AD1579" s="284"/>
      <c r="AE1579" s="284"/>
      <c r="AF1579" s="284"/>
      <c r="AG1579" s="284"/>
      <c r="AI1579" s="131"/>
    </row>
    <row r="1580" spans="1:35" ht="26.4">
      <c r="A1580" s="284"/>
      <c r="B1580" s="284"/>
      <c r="C1580" s="284"/>
      <c r="D1580" s="284"/>
      <c r="E1580" s="284"/>
      <c r="F1580" s="284"/>
      <c r="G1580" s="284"/>
      <c r="H1580" s="284"/>
      <c r="I1580" s="284"/>
      <c r="J1580" s="375"/>
      <c r="K1580" s="375"/>
      <c r="L1580" s="375"/>
      <c r="M1580" s="368"/>
      <c r="N1580" s="368"/>
      <c r="O1580" s="370"/>
      <c r="T1580" s="340"/>
      <c r="V1580" s="378"/>
      <c r="W1580" s="64" ph="1"/>
      <c r="X1580" s="241"/>
      <c r="Y1580" s="284"/>
      <c r="Z1580" s="207"/>
      <c r="AA1580" s="284"/>
      <c r="AB1580" s="284"/>
      <c r="AC1580" s="284"/>
      <c r="AD1580" s="284"/>
      <c r="AE1580" s="284"/>
      <c r="AF1580" s="284"/>
      <c r="AG1580" s="284"/>
      <c r="AI1580" s="131"/>
    </row>
    <row r="1581" spans="1:35" ht="26.4">
      <c r="A1581" s="284"/>
      <c r="B1581" s="284"/>
      <c r="C1581" s="284"/>
      <c r="D1581" s="284"/>
      <c r="E1581" s="284"/>
      <c r="F1581" s="284"/>
      <c r="G1581" s="284"/>
      <c r="H1581" s="284"/>
      <c r="I1581" s="284"/>
      <c r="J1581" s="375"/>
      <c r="K1581" s="375"/>
      <c r="L1581" s="375"/>
      <c r="M1581" s="368"/>
      <c r="N1581" s="368"/>
      <c r="O1581" s="370"/>
      <c r="T1581" s="340"/>
      <c r="V1581" s="378"/>
      <c r="W1581" s="64" ph="1"/>
      <c r="X1581" s="241"/>
      <c r="Y1581" s="284"/>
      <c r="Z1581" s="207"/>
      <c r="AA1581" s="284"/>
      <c r="AB1581" s="284"/>
      <c r="AC1581" s="284"/>
      <c r="AD1581" s="284"/>
      <c r="AE1581" s="284"/>
      <c r="AF1581" s="284"/>
      <c r="AG1581" s="284"/>
      <c r="AI1581" s="131"/>
    </row>
    <row r="1582" spans="1:35" ht="26.4">
      <c r="A1582" s="284"/>
      <c r="B1582" s="284"/>
      <c r="C1582" s="284"/>
      <c r="D1582" s="284"/>
      <c r="E1582" s="284"/>
      <c r="F1582" s="284"/>
      <c r="G1582" s="284"/>
      <c r="H1582" s="284"/>
      <c r="I1582" s="284"/>
      <c r="J1582" s="375"/>
      <c r="K1582" s="375"/>
      <c r="L1582" s="375"/>
      <c r="M1582" s="368"/>
      <c r="N1582" s="368"/>
      <c r="O1582" s="370"/>
      <c r="T1582" s="340"/>
      <c r="V1582" s="378"/>
      <c r="W1582" s="64" ph="1"/>
      <c r="X1582" s="241"/>
      <c r="Y1582" s="284"/>
      <c r="Z1582" s="207"/>
      <c r="AA1582" s="284"/>
      <c r="AB1582" s="284"/>
      <c r="AC1582" s="284"/>
      <c r="AD1582" s="284"/>
      <c r="AE1582" s="284"/>
      <c r="AF1582" s="284"/>
      <c r="AG1582" s="284"/>
      <c r="AI1582" s="131"/>
    </row>
    <row r="1583" spans="1:35" ht="26.4">
      <c r="A1583" s="284"/>
      <c r="B1583" s="284"/>
      <c r="C1583" s="284"/>
      <c r="D1583" s="284"/>
      <c r="E1583" s="284"/>
      <c r="F1583" s="284"/>
      <c r="G1583" s="284"/>
      <c r="H1583" s="284"/>
      <c r="I1583" s="284"/>
      <c r="J1583" s="375"/>
      <c r="K1583" s="375"/>
      <c r="L1583" s="375"/>
      <c r="M1583" s="368"/>
      <c r="N1583" s="368"/>
      <c r="O1583" s="370"/>
      <c r="T1583" s="340"/>
      <c r="V1583" s="378"/>
      <c r="W1583" s="64" ph="1"/>
      <c r="X1583" s="241"/>
      <c r="Y1583" s="284"/>
      <c r="Z1583" s="207"/>
      <c r="AA1583" s="284"/>
      <c r="AB1583" s="284"/>
      <c r="AC1583" s="284"/>
      <c r="AD1583" s="284"/>
      <c r="AE1583" s="284"/>
      <c r="AF1583" s="284"/>
      <c r="AG1583" s="284"/>
      <c r="AI1583" s="131"/>
    </row>
    <row r="1584" spans="1:35" ht="26.4">
      <c r="A1584" s="284"/>
      <c r="B1584" s="284"/>
      <c r="C1584" s="284"/>
      <c r="D1584" s="284"/>
      <c r="E1584" s="284"/>
      <c r="F1584" s="284"/>
      <c r="G1584" s="284"/>
      <c r="H1584" s="284"/>
      <c r="I1584" s="284"/>
      <c r="J1584" s="375"/>
      <c r="K1584" s="375"/>
      <c r="L1584" s="375"/>
      <c r="M1584" s="368"/>
      <c r="N1584" s="368"/>
      <c r="O1584" s="370"/>
      <c r="T1584" s="340"/>
      <c r="V1584" s="378"/>
      <c r="W1584" s="64" ph="1"/>
      <c r="X1584" s="241"/>
      <c r="Y1584" s="284"/>
      <c r="Z1584" s="207"/>
      <c r="AA1584" s="284"/>
      <c r="AB1584" s="284"/>
      <c r="AC1584" s="284"/>
      <c r="AD1584" s="284"/>
      <c r="AE1584" s="284"/>
      <c r="AF1584" s="284"/>
      <c r="AG1584" s="284"/>
      <c r="AI1584" s="131"/>
    </row>
    <row r="1585" spans="1:35" ht="26.4">
      <c r="A1585" s="284"/>
      <c r="B1585" s="284"/>
      <c r="C1585" s="284"/>
      <c r="D1585" s="284"/>
      <c r="E1585" s="284"/>
      <c r="F1585" s="284"/>
      <c r="G1585" s="284"/>
      <c r="H1585" s="284"/>
      <c r="I1585" s="284"/>
      <c r="J1585" s="375"/>
      <c r="K1585" s="375"/>
      <c r="L1585" s="375"/>
      <c r="M1585" s="368"/>
      <c r="N1585" s="368"/>
      <c r="O1585" s="370"/>
      <c r="T1585" s="340"/>
      <c r="V1585" s="378"/>
      <c r="W1585" s="64" ph="1"/>
      <c r="X1585" s="241"/>
      <c r="Y1585" s="284"/>
      <c r="Z1585" s="207"/>
      <c r="AA1585" s="284"/>
      <c r="AB1585" s="284"/>
      <c r="AC1585" s="284"/>
      <c r="AD1585" s="284"/>
      <c r="AE1585" s="284"/>
      <c r="AF1585" s="284"/>
      <c r="AG1585" s="284"/>
      <c r="AI1585" s="131"/>
    </row>
    <row r="1586" spans="1:35" ht="26.4">
      <c r="A1586" s="284"/>
      <c r="B1586" s="284"/>
      <c r="C1586" s="284"/>
      <c r="D1586" s="284"/>
      <c r="E1586" s="284"/>
      <c r="F1586" s="284"/>
      <c r="G1586" s="284"/>
      <c r="H1586" s="284"/>
      <c r="I1586" s="284"/>
      <c r="J1586" s="375"/>
      <c r="K1586" s="375"/>
      <c r="L1586" s="375"/>
      <c r="M1586" s="368"/>
      <c r="N1586" s="368"/>
      <c r="O1586" s="370"/>
      <c r="T1586" s="340"/>
      <c r="V1586" s="378"/>
      <c r="W1586" s="64" ph="1"/>
      <c r="X1586" s="241"/>
      <c r="Y1586" s="284"/>
      <c r="Z1586" s="207"/>
      <c r="AA1586" s="284"/>
      <c r="AB1586" s="284"/>
      <c r="AC1586" s="284"/>
      <c r="AD1586" s="284"/>
      <c r="AE1586" s="284"/>
      <c r="AF1586" s="284"/>
      <c r="AG1586" s="284"/>
      <c r="AI1586" s="131"/>
    </row>
    <row r="1587" spans="1:35" ht="26.4">
      <c r="A1587" s="284"/>
      <c r="B1587" s="284"/>
      <c r="C1587" s="284"/>
      <c r="D1587" s="284"/>
      <c r="E1587" s="284"/>
      <c r="F1587" s="284"/>
      <c r="G1587" s="284"/>
      <c r="H1587" s="284"/>
      <c r="I1587" s="284"/>
      <c r="J1587" s="375"/>
      <c r="K1587" s="375"/>
      <c r="L1587" s="375"/>
      <c r="M1587" s="368"/>
      <c r="N1587" s="368"/>
      <c r="O1587" s="370"/>
      <c r="T1587" s="340"/>
      <c r="V1587" s="378"/>
      <c r="W1587" s="64" ph="1"/>
      <c r="X1587" s="241"/>
      <c r="Y1587" s="284"/>
      <c r="Z1587" s="207"/>
      <c r="AA1587" s="284"/>
      <c r="AB1587" s="284"/>
      <c r="AC1587" s="284"/>
      <c r="AD1587" s="284"/>
      <c r="AE1587" s="284"/>
      <c r="AF1587" s="284"/>
      <c r="AG1587" s="284"/>
      <c r="AI1587" s="284"/>
    </row>
    <row r="1588" spans="1:35" ht="26.4">
      <c r="A1588" s="284"/>
      <c r="B1588" s="284"/>
      <c r="C1588" s="284"/>
      <c r="D1588" s="284"/>
      <c r="E1588" s="284"/>
      <c r="F1588" s="284"/>
      <c r="G1588" s="284"/>
      <c r="H1588" s="284"/>
      <c r="I1588" s="284"/>
      <c r="J1588" s="375"/>
      <c r="K1588" s="375"/>
      <c r="L1588" s="375"/>
      <c r="M1588" s="368"/>
      <c r="N1588" s="368"/>
      <c r="O1588" s="370"/>
      <c r="T1588" s="340"/>
      <c r="V1588" s="378"/>
      <c r="W1588" s="64" ph="1"/>
      <c r="X1588" s="241"/>
      <c r="Y1588" s="284"/>
      <c r="Z1588" s="207"/>
      <c r="AA1588" s="284"/>
      <c r="AB1588" s="284"/>
      <c r="AC1588" s="284"/>
      <c r="AD1588" s="284"/>
      <c r="AE1588" s="284"/>
      <c r="AF1588" s="284"/>
      <c r="AG1588" s="284"/>
      <c r="AI1588" s="131"/>
    </row>
    <row r="1589" spans="1:35" ht="26.4">
      <c r="A1589" s="284"/>
      <c r="B1589" s="284"/>
      <c r="C1589" s="284"/>
      <c r="D1589" s="284"/>
      <c r="E1589" s="284"/>
      <c r="F1589" s="284"/>
      <c r="G1589" s="284"/>
      <c r="H1589" s="284"/>
      <c r="I1589" s="284"/>
      <c r="J1589" s="375"/>
      <c r="K1589" s="375"/>
      <c r="L1589" s="375"/>
      <c r="M1589" s="368"/>
      <c r="N1589" s="368"/>
      <c r="O1589" s="370"/>
      <c r="T1589" s="340"/>
      <c r="V1589" s="378"/>
      <c r="W1589" s="64" ph="1"/>
      <c r="X1589" s="241"/>
      <c r="Y1589" s="284"/>
      <c r="Z1589" s="207"/>
      <c r="AA1589" s="284"/>
      <c r="AB1589" s="284"/>
      <c r="AC1589" s="284"/>
      <c r="AD1589" s="284"/>
      <c r="AE1589" s="284"/>
      <c r="AF1589" s="284"/>
      <c r="AG1589" s="284"/>
      <c r="AI1589" s="131"/>
    </row>
    <row r="1590" spans="1:35" ht="26.4">
      <c r="A1590" s="284"/>
      <c r="B1590" s="284"/>
      <c r="C1590" s="284"/>
      <c r="D1590" s="284"/>
      <c r="E1590" s="284"/>
      <c r="F1590" s="284"/>
      <c r="G1590" s="284"/>
      <c r="H1590" s="284"/>
      <c r="I1590" s="284"/>
      <c r="J1590" s="375"/>
      <c r="K1590" s="375"/>
      <c r="L1590" s="375"/>
      <c r="M1590" s="368"/>
      <c r="N1590" s="368"/>
      <c r="O1590" s="370"/>
      <c r="T1590" s="340"/>
      <c r="V1590" s="378"/>
      <c r="W1590" s="64" ph="1"/>
      <c r="X1590" s="241"/>
      <c r="Y1590" s="284"/>
      <c r="Z1590" s="207"/>
      <c r="AA1590" s="284"/>
      <c r="AB1590" s="284"/>
      <c r="AC1590" s="284"/>
      <c r="AD1590" s="284"/>
      <c r="AE1590" s="284"/>
      <c r="AF1590" s="284"/>
      <c r="AG1590" s="284"/>
      <c r="AI1590" s="131"/>
    </row>
    <row r="1591" spans="1:35" ht="26.4">
      <c r="A1591" s="284"/>
      <c r="B1591" s="284"/>
      <c r="C1591" s="284"/>
      <c r="D1591" s="284"/>
      <c r="E1591" s="284"/>
      <c r="F1591" s="284"/>
      <c r="G1591" s="284"/>
      <c r="H1591" s="284"/>
      <c r="I1591" s="284"/>
      <c r="J1591" s="375"/>
      <c r="K1591" s="375"/>
      <c r="L1591" s="375"/>
      <c r="M1591" s="368"/>
      <c r="N1591" s="368"/>
      <c r="O1591" s="370"/>
      <c r="T1591" s="340"/>
      <c r="V1591" s="378"/>
      <c r="W1591" s="64" ph="1"/>
      <c r="X1591" s="241"/>
      <c r="Y1591" s="284"/>
      <c r="Z1591" s="207"/>
      <c r="AA1591" s="284"/>
      <c r="AB1591" s="284"/>
      <c r="AC1591" s="284"/>
      <c r="AD1591" s="284"/>
      <c r="AE1591" s="284"/>
      <c r="AF1591" s="284"/>
      <c r="AG1591" s="284"/>
      <c r="AI1591" s="131"/>
    </row>
    <row r="1592" spans="1:35" ht="26.4">
      <c r="A1592" s="284"/>
      <c r="B1592" s="284"/>
      <c r="C1592" s="284"/>
      <c r="D1592" s="284"/>
      <c r="E1592" s="284"/>
      <c r="F1592" s="284"/>
      <c r="G1592" s="284"/>
      <c r="H1592" s="284"/>
      <c r="I1592" s="284"/>
      <c r="J1592" s="375"/>
      <c r="K1592" s="375"/>
      <c r="L1592" s="375"/>
      <c r="M1592" s="368"/>
      <c r="N1592" s="368"/>
      <c r="O1592" s="370"/>
      <c r="T1592" s="340"/>
      <c r="V1592" s="378"/>
      <c r="W1592" s="64" ph="1"/>
      <c r="X1592" s="241"/>
      <c r="Y1592" s="284"/>
      <c r="Z1592" s="207"/>
      <c r="AA1592" s="284"/>
      <c r="AB1592" s="284"/>
      <c r="AC1592" s="284"/>
      <c r="AD1592" s="284"/>
      <c r="AE1592" s="284"/>
      <c r="AF1592" s="284"/>
      <c r="AG1592" s="284"/>
      <c r="AI1592" s="131"/>
    </row>
    <row r="1593" spans="1:35" ht="26.4">
      <c r="A1593" s="284"/>
      <c r="B1593" s="284"/>
      <c r="C1593" s="284"/>
      <c r="D1593" s="284"/>
      <c r="E1593" s="284"/>
      <c r="F1593" s="284"/>
      <c r="G1593" s="284"/>
      <c r="H1593" s="284"/>
      <c r="I1593" s="284"/>
      <c r="J1593" s="375"/>
      <c r="K1593" s="375"/>
      <c r="L1593" s="375"/>
      <c r="M1593" s="368"/>
      <c r="N1593" s="368"/>
      <c r="O1593" s="370"/>
      <c r="T1593" s="340"/>
      <c r="V1593" s="378"/>
      <c r="W1593" s="64" ph="1"/>
      <c r="X1593" s="241"/>
      <c r="Y1593" s="284"/>
      <c r="Z1593" s="207"/>
      <c r="AA1593" s="284"/>
      <c r="AB1593" s="284"/>
      <c r="AC1593" s="284"/>
      <c r="AD1593" s="284"/>
      <c r="AE1593" s="284"/>
      <c r="AF1593" s="284"/>
      <c r="AG1593" s="284"/>
      <c r="AI1593" s="131"/>
    </row>
    <row r="1594" spans="1:35" ht="26.4">
      <c r="A1594" s="284"/>
      <c r="B1594" s="284"/>
      <c r="C1594" s="284"/>
      <c r="D1594" s="284"/>
      <c r="E1594" s="284"/>
      <c r="F1594" s="284"/>
      <c r="G1594" s="284"/>
      <c r="H1594" s="284"/>
      <c r="I1594" s="284"/>
      <c r="J1594" s="375"/>
      <c r="K1594" s="375"/>
      <c r="L1594" s="375"/>
      <c r="M1594" s="368"/>
      <c r="N1594" s="368"/>
      <c r="O1594" s="370"/>
      <c r="T1594" s="340"/>
      <c r="V1594" s="378"/>
      <c r="W1594" s="64" ph="1"/>
      <c r="X1594" s="241"/>
      <c r="Y1594" s="284"/>
      <c r="Z1594" s="207"/>
      <c r="AA1594" s="284"/>
      <c r="AB1594" s="284"/>
      <c r="AC1594" s="284"/>
      <c r="AD1594" s="284"/>
      <c r="AE1594" s="284"/>
      <c r="AF1594" s="284"/>
      <c r="AG1594" s="284"/>
      <c r="AI1594" s="131"/>
    </row>
    <row r="1595" spans="1:35" ht="26.4">
      <c r="A1595" s="284"/>
      <c r="B1595" s="284"/>
      <c r="C1595" s="284"/>
      <c r="D1595" s="284"/>
      <c r="E1595" s="284"/>
      <c r="F1595" s="284"/>
      <c r="G1595" s="284"/>
      <c r="H1595" s="284"/>
      <c r="I1595" s="284"/>
      <c r="J1595" s="375"/>
      <c r="K1595" s="375"/>
      <c r="L1595" s="375"/>
      <c r="M1595" s="368"/>
      <c r="N1595" s="368"/>
      <c r="O1595" s="370"/>
      <c r="T1595" s="340"/>
      <c r="V1595" s="378"/>
      <c r="W1595" s="64" ph="1"/>
      <c r="X1595" s="241"/>
      <c r="Y1595" s="284"/>
      <c r="Z1595" s="207"/>
      <c r="AA1595" s="284"/>
      <c r="AB1595" s="284"/>
      <c r="AC1595" s="284"/>
      <c r="AD1595" s="284"/>
      <c r="AE1595" s="284"/>
      <c r="AF1595" s="284"/>
      <c r="AG1595" s="284"/>
      <c r="AI1595" s="131"/>
    </row>
    <row r="1596" spans="1:35" ht="26.4">
      <c r="A1596" s="284"/>
      <c r="B1596" s="284"/>
      <c r="C1596" s="284"/>
      <c r="D1596" s="284"/>
      <c r="E1596" s="284"/>
      <c r="F1596" s="284"/>
      <c r="G1596" s="284"/>
      <c r="H1596" s="284"/>
      <c r="I1596" s="284"/>
      <c r="J1596" s="375"/>
      <c r="K1596" s="375"/>
      <c r="L1596" s="375"/>
      <c r="M1596" s="368"/>
      <c r="N1596" s="368"/>
      <c r="O1596" s="370"/>
      <c r="T1596" s="340"/>
      <c r="V1596" s="378"/>
      <c r="W1596" s="64" ph="1"/>
      <c r="X1596" s="241"/>
      <c r="Y1596" s="284"/>
      <c r="Z1596" s="207"/>
      <c r="AA1596" s="284"/>
      <c r="AB1596" s="284"/>
      <c r="AC1596" s="284"/>
      <c r="AD1596" s="284"/>
      <c r="AE1596" s="284"/>
      <c r="AF1596" s="284"/>
      <c r="AG1596" s="284"/>
      <c r="AI1596" s="131"/>
    </row>
    <row r="1597" spans="1:35" ht="26.4">
      <c r="A1597" s="284"/>
      <c r="B1597" s="284"/>
      <c r="C1597" s="284"/>
      <c r="D1597" s="284"/>
      <c r="E1597" s="284"/>
      <c r="F1597" s="284"/>
      <c r="G1597" s="284"/>
      <c r="H1597" s="284"/>
      <c r="I1597" s="284"/>
      <c r="J1597" s="375"/>
      <c r="K1597" s="375"/>
      <c r="L1597" s="375"/>
      <c r="M1597" s="368"/>
      <c r="N1597" s="368"/>
      <c r="O1597" s="370"/>
      <c r="T1597" s="340"/>
      <c r="V1597" s="378"/>
      <c r="W1597" s="64" ph="1"/>
      <c r="X1597" s="241"/>
      <c r="Y1597" s="284"/>
      <c r="Z1597" s="207"/>
      <c r="AA1597" s="284"/>
      <c r="AB1597" s="284"/>
      <c r="AC1597" s="284"/>
      <c r="AD1597" s="284"/>
      <c r="AE1597" s="284"/>
      <c r="AF1597" s="284"/>
      <c r="AG1597" s="284"/>
      <c r="AI1597" s="131"/>
    </row>
    <row r="1598" spans="1:35" ht="26.4">
      <c r="A1598" s="284"/>
      <c r="B1598" s="284"/>
      <c r="C1598" s="284"/>
      <c r="D1598" s="284"/>
      <c r="E1598" s="284"/>
      <c r="F1598" s="284"/>
      <c r="G1598" s="284"/>
      <c r="H1598" s="284"/>
      <c r="I1598" s="284"/>
      <c r="J1598" s="375"/>
      <c r="K1598" s="375"/>
      <c r="L1598" s="375"/>
      <c r="M1598" s="368"/>
      <c r="N1598" s="368"/>
      <c r="O1598" s="370"/>
      <c r="T1598" s="340"/>
      <c r="V1598" s="378"/>
      <c r="W1598" s="64" ph="1"/>
      <c r="X1598" s="241"/>
      <c r="Y1598" s="284"/>
      <c r="Z1598" s="207"/>
      <c r="AA1598" s="284"/>
      <c r="AB1598" s="284"/>
      <c r="AC1598" s="284"/>
      <c r="AD1598" s="284"/>
      <c r="AE1598" s="284"/>
      <c r="AF1598" s="284"/>
      <c r="AG1598" s="284"/>
      <c r="AI1598" s="131"/>
    </row>
    <row r="1599" spans="1:35" ht="26.4">
      <c r="A1599" s="284"/>
      <c r="B1599" s="284"/>
      <c r="C1599" s="284"/>
      <c r="D1599" s="284"/>
      <c r="E1599" s="284"/>
      <c r="F1599" s="284"/>
      <c r="G1599" s="284"/>
      <c r="H1599" s="284"/>
      <c r="I1599" s="284"/>
      <c r="J1599" s="375"/>
      <c r="K1599" s="375"/>
      <c r="L1599" s="375"/>
      <c r="M1599" s="368"/>
      <c r="N1599" s="368"/>
      <c r="O1599" s="370"/>
      <c r="T1599" s="340"/>
      <c r="V1599" s="378"/>
      <c r="W1599" s="64" ph="1"/>
      <c r="X1599" s="241"/>
      <c r="Y1599" s="284"/>
      <c r="Z1599" s="207"/>
      <c r="AA1599" s="284"/>
      <c r="AB1599" s="284"/>
      <c r="AC1599" s="284"/>
      <c r="AD1599" s="284"/>
      <c r="AE1599" s="284"/>
      <c r="AF1599" s="284"/>
      <c r="AG1599" s="284"/>
      <c r="AI1599" s="131"/>
    </row>
    <row r="1600" spans="1:35" ht="26.4">
      <c r="A1600" s="284"/>
      <c r="B1600" s="284"/>
      <c r="C1600" s="284"/>
      <c r="D1600" s="284"/>
      <c r="E1600" s="284"/>
      <c r="F1600" s="284"/>
      <c r="G1600" s="284"/>
      <c r="H1600" s="284"/>
      <c r="I1600" s="284"/>
      <c r="J1600" s="375"/>
      <c r="K1600" s="375"/>
      <c r="L1600" s="375"/>
      <c r="M1600" s="368"/>
      <c r="N1600" s="368"/>
      <c r="O1600" s="370"/>
      <c r="T1600" s="340"/>
      <c r="V1600" s="378"/>
      <c r="W1600" s="64" ph="1"/>
      <c r="X1600" s="241"/>
      <c r="Y1600" s="284"/>
      <c r="Z1600" s="207"/>
      <c r="AA1600" s="284"/>
      <c r="AB1600" s="284"/>
      <c r="AC1600" s="284"/>
      <c r="AD1600" s="284"/>
      <c r="AE1600" s="284"/>
      <c r="AF1600" s="284"/>
      <c r="AG1600" s="284"/>
      <c r="AI1600" s="131"/>
    </row>
    <row r="1601" spans="1:35" ht="26.4">
      <c r="A1601" s="284"/>
      <c r="B1601" s="284"/>
      <c r="C1601" s="284"/>
      <c r="D1601" s="284"/>
      <c r="E1601" s="284"/>
      <c r="F1601" s="284"/>
      <c r="G1601" s="284"/>
      <c r="H1601" s="284"/>
      <c r="I1601" s="284"/>
      <c r="J1601" s="375"/>
      <c r="K1601" s="375"/>
      <c r="L1601" s="375"/>
      <c r="M1601" s="368"/>
      <c r="N1601" s="368"/>
      <c r="O1601" s="370"/>
      <c r="T1601" s="340"/>
      <c r="V1601" s="378"/>
      <c r="W1601" s="64" ph="1"/>
      <c r="X1601" s="241"/>
      <c r="Y1601" s="284"/>
      <c r="Z1601" s="207"/>
      <c r="AA1601" s="284"/>
      <c r="AB1601" s="284"/>
      <c r="AC1601" s="284"/>
      <c r="AD1601" s="284"/>
      <c r="AE1601" s="284"/>
      <c r="AF1601" s="284"/>
      <c r="AG1601" s="284"/>
      <c r="AI1601" s="131"/>
    </row>
    <row r="1602" spans="1:35" ht="26.4">
      <c r="A1602" s="284"/>
      <c r="B1602" s="284"/>
      <c r="C1602" s="284"/>
      <c r="D1602" s="284"/>
      <c r="E1602" s="284"/>
      <c r="F1602" s="284"/>
      <c r="G1602" s="284"/>
      <c r="H1602" s="284"/>
      <c r="I1602" s="284"/>
      <c r="J1602" s="375"/>
      <c r="K1602" s="375"/>
      <c r="L1602" s="375"/>
      <c r="M1602" s="368"/>
      <c r="N1602" s="368"/>
      <c r="O1602" s="370"/>
      <c r="T1602" s="340"/>
      <c r="V1602" s="378"/>
      <c r="W1602" s="64" ph="1"/>
      <c r="X1602" s="241"/>
      <c r="Y1602" s="284"/>
      <c r="Z1602" s="207"/>
      <c r="AA1602" s="284"/>
      <c r="AB1602" s="284"/>
      <c r="AC1602" s="284"/>
      <c r="AD1602" s="284"/>
      <c r="AE1602" s="284"/>
      <c r="AF1602" s="284"/>
      <c r="AG1602" s="284"/>
      <c r="AI1602" s="131"/>
    </row>
    <row r="1603" spans="1:35" ht="26.4">
      <c r="A1603" s="284"/>
      <c r="B1603" s="284"/>
      <c r="C1603" s="284"/>
      <c r="D1603" s="284"/>
      <c r="E1603" s="284"/>
      <c r="F1603" s="284"/>
      <c r="G1603" s="284"/>
      <c r="H1603" s="284"/>
      <c r="I1603" s="284"/>
      <c r="J1603" s="375"/>
      <c r="K1603" s="375"/>
      <c r="L1603" s="375"/>
      <c r="M1603" s="368"/>
      <c r="N1603" s="368"/>
      <c r="O1603" s="370"/>
      <c r="T1603" s="340"/>
      <c r="V1603" s="378"/>
      <c r="W1603" s="64" ph="1"/>
      <c r="X1603" s="241"/>
      <c r="Y1603" s="284"/>
      <c r="Z1603" s="207"/>
      <c r="AA1603" s="284"/>
      <c r="AB1603" s="284"/>
      <c r="AC1603" s="284"/>
      <c r="AD1603" s="284"/>
      <c r="AE1603" s="284"/>
      <c r="AF1603" s="284"/>
      <c r="AG1603" s="284"/>
      <c r="AI1603" s="131"/>
    </row>
    <row r="1604" spans="1:35" ht="26.4">
      <c r="A1604" s="284"/>
      <c r="B1604" s="284"/>
      <c r="C1604" s="284"/>
      <c r="D1604" s="284"/>
      <c r="E1604" s="284"/>
      <c r="F1604" s="284"/>
      <c r="G1604" s="284"/>
      <c r="H1604" s="284"/>
      <c r="I1604" s="284"/>
      <c r="J1604" s="375"/>
      <c r="K1604" s="375"/>
      <c r="L1604" s="375"/>
      <c r="M1604" s="368"/>
      <c r="N1604" s="368"/>
      <c r="O1604" s="370"/>
      <c r="T1604" s="340"/>
      <c r="V1604" s="378"/>
      <c r="W1604" s="64" ph="1"/>
      <c r="X1604" s="241"/>
      <c r="Y1604" s="284"/>
      <c r="Z1604" s="207"/>
      <c r="AA1604" s="284"/>
      <c r="AB1604" s="284"/>
      <c r="AC1604" s="284"/>
      <c r="AD1604" s="284"/>
      <c r="AE1604" s="284"/>
      <c r="AF1604" s="284"/>
      <c r="AG1604" s="284"/>
      <c r="AI1604" s="131"/>
    </row>
    <row r="1605" spans="1:35" ht="26.4">
      <c r="A1605" s="284"/>
      <c r="B1605" s="284"/>
      <c r="C1605" s="284"/>
      <c r="D1605" s="284"/>
      <c r="E1605" s="284"/>
      <c r="F1605" s="284"/>
      <c r="G1605" s="284"/>
      <c r="H1605" s="284"/>
      <c r="I1605" s="284"/>
      <c r="J1605" s="375"/>
      <c r="K1605" s="375"/>
      <c r="L1605" s="375"/>
      <c r="M1605" s="368"/>
      <c r="N1605" s="368"/>
      <c r="O1605" s="370"/>
      <c r="T1605" s="340"/>
      <c r="V1605" s="378"/>
      <c r="W1605" s="64" ph="1"/>
      <c r="X1605" s="241"/>
      <c r="Y1605" s="284"/>
      <c r="Z1605" s="207"/>
      <c r="AA1605" s="284"/>
      <c r="AB1605" s="284"/>
      <c r="AC1605" s="284"/>
      <c r="AD1605" s="284"/>
      <c r="AE1605" s="284"/>
      <c r="AF1605" s="284"/>
      <c r="AG1605" s="284"/>
      <c r="AI1605" s="131"/>
    </row>
    <row r="1606" spans="1:35" ht="26.4">
      <c r="A1606" s="284"/>
      <c r="B1606" s="284"/>
      <c r="C1606" s="284"/>
      <c r="D1606" s="284"/>
      <c r="E1606" s="284"/>
      <c r="F1606" s="284"/>
      <c r="G1606" s="284"/>
      <c r="H1606" s="284"/>
      <c r="I1606" s="284"/>
      <c r="J1606" s="375"/>
      <c r="K1606" s="375"/>
      <c r="L1606" s="375"/>
      <c r="M1606" s="368"/>
      <c r="N1606" s="368"/>
      <c r="O1606" s="370"/>
      <c r="T1606" s="340"/>
      <c r="V1606" s="378"/>
      <c r="W1606" s="64" ph="1"/>
      <c r="X1606" s="241"/>
      <c r="Y1606" s="284"/>
      <c r="Z1606" s="207"/>
      <c r="AA1606" s="284"/>
      <c r="AB1606" s="284"/>
      <c r="AC1606" s="284"/>
      <c r="AD1606" s="284"/>
      <c r="AE1606" s="284"/>
      <c r="AF1606" s="284"/>
      <c r="AG1606" s="284"/>
      <c r="AI1606" s="131"/>
    </row>
    <row r="1607" spans="1:35" ht="26.4">
      <c r="A1607" s="284"/>
      <c r="B1607" s="284"/>
      <c r="C1607" s="284"/>
      <c r="D1607" s="284"/>
      <c r="E1607" s="284"/>
      <c r="F1607" s="284"/>
      <c r="G1607" s="284"/>
      <c r="H1607" s="284"/>
      <c r="I1607" s="284"/>
      <c r="J1607" s="375"/>
      <c r="K1607" s="375"/>
      <c r="L1607" s="375"/>
      <c r="M1607" s="368"/>
      <c r="N1607" s="368"/>
      <c r="O1607" s="370"/>
      <c r="T1607" s="340"/>
      <c r="V1607" s="378"/>
      <c r="W1607" s="64" ph="1"/>
      <c r="X1607" s="241"/>
      <c r="Y1607" s="284"/>
      <c r="Z1607" s="207"/>
      <c r="AA1607" s="284"/>
      <c r="AB1607" s="284"/>
      <c r="AC1607" s="284"/>
      <c r="AD1607" s="284"/>
      <c r="AE1607" s="284"/>
      <c r="AF1607" s="284"/>
      <c r="AG1607" s="284"/>
      <c r="AI1607" s="131"/>
    </row>
    <row r="1608" spans="1:35" ht="26.4">
      <c r="A1608" s="284"/>
      <c r="B1608" s="284"/>
      <c r="C1608" s="284"/>
      <c r="D1608" s="284"/>
      <c r="E1608" s="284"/>
      <c r="F1608" s="284"/>
      <c r="G1608" s="284"/>
      <c r="H1608" s="284"/>
      <c r="I1608" s="284"/>
      <c r="J1608" s="375"/>
      <c r="K1608" s="375"/>
      <c r="L1608" s="375"/>
      <c r="M1608" s="368"/>
      <c r="N1608" s="368"/>
      <c r="O1608" s="370"/>
      <c r="T1608" s="340"/>
      <c r="V1608" s="378"/>
      <c r="W1608" s="64" ph="1"/>
      <c r="X1608" s="241"/>
      <c r="Y1608" s="284"/>
      <c r="Z1608" s="207"/>
      <c r="AA1608" s="284"/>
      <c r="AB1608" s="284"/>
      <c r="AC1608" s="284"/>
      <c r="AD1608" s="284"/>
      <c r="AE1608" s="284"/>
      <c r="AF1608" s="284"/>
      <c r="AG1608" s="284"/>
      <c r="AI1608" s="131"/>
    </row>
    <row r="1609" spans="1:35" ht="26.4">
      <c r="A1609" s="284"/>
      <c r="B1609" s="284"/>
      <c r="C1609" s="284"/>
      <c r="D1609" s="284"/>
      <c r="E1609" s="284"/>
      <c r="F1609" s="284"/>
      <c r="G1609" s="284"/>
      <c r="H1609" s="284"/>
      <c r="I1609" s="284"/>
      <c r="J1609" s="375"/>
      <c r="K1609" s="375"/>
      <c r="L1609" s="375"/>
      <c r="M1609" s="368"/>
      <c r="N1609" s="368"/>
      <c r="O1609" s="370"/>
      <c r="T1609" s="340"/>
      <c r="V1609" s="378"/>
      <c r="W1609" s="64" ph="1"/>
      <c r="X1609" s="241"/>
      <c r="Y1609" s="284"/>
      <c r="Z1609" s="207"/>
      <c r="AA1609" s="284"/>
      <c r="AB1609" s="284"/>
      <c r="AC1609" s="284"/>
      <c r="AD1609" s="284"/>
      <c r="AE1609" s="284"/>
      <c r="AF1609" s="284"/>
      <c r="AG1609" s="284"/>
      <c r="AI1609" s="131"/>
    </row>
    <row r="1610" spans="1:35" ht="26.4">
      <c r="A1610" s="284"/>
      <c r="B1610" s="284"/>
      <c r="C1610" s="284"/>
      <c r="D1610" s="284"/>
      <c r="E1610" s="284"/>
      <c r="F1610" s="284"/>
      <c r="G1610" s="284"/>
      <c r="H1610" s="284"/>
      <c r="I1610" s="284"/>
      <c r="J1610" s="375"/>
      <c r="K1610" s="375"/>
      <c r="L1610" s="375"/>
      <c r="M1610" s="368"/>
      <c r="N1610" s="368"/>
      <c r="O1610" s="370"/>
      <c r="T1610" s="340"/>
      <c r="V1610" s="378"/>
      <c r="W1610" s="64" ph="1"/>
      <c r="X1610" s="241"/>
      <c r="Y1610" s="284"/>
      <c r="Z1610" s="207"/>
      <c r="AA1610" s="284"/>
      <c r="AB1610" s="284"/>
      <c r="AC1610" s="284"/>
      <c r="AD1610" s="284"/>
      <c r="AE1610" s="284"/>
      <c r="AF1610" s="284"/>
      <c r="AG1610" s="284"/>
      <c r="AI1610" s="131"/>
    </row>
    <row r="1611" spans="1:35" ht="26.4">
      <c r="A1611" s="284"/>
      <c r="B1611" s="284"/>
      <c r="C1611" s="284"/>
      <c r="D1611" s="284"/>
      <c r="E1611" s="284"/>
      <c r="F1611" s="284"/>
      <c r="G1611" s="284"/>
      <c r="H1611" s="284"/>
      <c r="I1611" s="284"/>
      <c r="J1611" s="375"/>
      <c r="K1611" s="375"/>
      <c r="L1611" s="375"/>
      <c r="M1611" s="368"/>
      <c r="N1611" s="368"/>
      <c r="O1611" s="370"/>
      <c r="T1611" s="340"/>
      <c r="V1611" s="378"/>
      <c r="W1611" s="64" ph="1"/>
      <c r="X1611" s="241"/>
      <c r="Y1611" s="284"/>
      <c r="Z1611" s="207"/>
      <c r="AA1611" s="284"/>
      <c r="AB1611" s="284"/>
      <c r="AC1611" s="284"/>
      <c r="AD1611" s="284"/>
      <c r="AE1611" s="284"/>
      <c r="AF1611" s="284"/>
      <c r="AG1611" s="284"/>
      <c r="AI1611" s="131"/>
    </row>
    <row r="1612" spans="1:35" ht="26.4">
      <c r="A1612" s="284"/>
      <c r="B1612" s="284"/>
      <c r="C1612" s="284"/>
      <c r="D1612" s="284"/>
      <c r="E1612" s="284"/>
      <c r="F1612" s="284"/>
      <c r="G1612" s="284"/>
      <c r="H1612" s="284"/>
      <c r="I1612" s="284"/>
      <c r="J1612" s="375"/>
      <c r="K1612" s="375"/>
      <c r="L1612" s="375"/>
      <c r="M1612" s="368"/>
      <c r="N1612" s="368"/>
      <c r="O1612" s="370"/>
      <c r="T1612" s="340"/>
      <c r="V1612" s="378"/>
      <c r="W1612" s="64" ph="1"/>
      <c r="X1612" s="241"/>
      <c r="Y1612" s="284"/>
      <c r="Z1612" s="207"/>
      <c r="AA1612" s="284"/>
      <c r="AB1612" s="284"/>
      <c r="AC1612" s="284"/>
      <c r="AD1612" s="284"/>
      <c r="AE1612" s="284"/>
      <c r="AF1612" s="284"/>
      <c r="AG1612" s="284"/>
      <c r="AI1612" s="131"/>
    </row>
    <row r="1613" spans="1:35" ht="26.4">
      <c r="A1613" s="284"/>
      <c r="B1613" s="284"/>
      <c r="C1613" s="284"/>
      <c r="D1613" s="284"/>
      <c r="E1613" s="284"/>
      <c r="F1613" s="284"/>
      <c r="G1613" s="284"/>
      <c r="H1613" s="284"/>
      <c r="I1613" s="284"/>
      <c r="J1613" s="375"/>
      <c r="K1613" s="375"/>
      <c r="L1613" s="375"/>
      <c r="M1613" s="368"/>
      <c r="N1613" s="368"/>
      <c r="O1613" s="370"/>
      <c r="T1613" s="340"/>
      <c r="V1613" s="378"/>
      <c r="W1613" s="64" ph="1"/>
      <c r="X1613" s="241"/>
      <c r="Y1613" s="284"/>
      <c r="Z1613" s="207"/>
      <c r="AA1613" s="284"/>
      <c r="AB1613" s="284"/>
      <c r="AC1613" s="284"/>
      <c r="AD1613" s="284"/>
      <c r="AE1613" s="284"/>
      <c r="AF1613" s="284"/>
      <c r="AG1613" s="284"/>
      <c r="AI1613" s="131"/>
    </row>
    <row r="1614" spans="1:35" ht="26.4">
      <c r="A1614" s="284"/>
      <c r="B1614" s="284"/>
      <c r="C1614" s="284"/>
      <c r="D1614" s="284"/>
      <c r="E1614" s="284"/>
      <c r="F1614" s="284"/>
      <c r="G1614" s="284"/>
      <c r="H1614" s="284"/>
      <c r="I1614" s="284"/>
      <c r="J1614" s="375"/>
      <c r="K1614" s="375"/>
      <c r="L1614" s="375"/>
      <c r="M1614" s="368"/>
      <c r="N1614" s="368"/>
      <c r="O1614" s="370"/>
      <c r="T1614" s="340"/>
      <c r="V1614" s="378"/>
      <c r="W1614" s="64" ph="1"/>
      <c r="X1614" s="241"/>
      <c r="Y1614" s="284"/>
      <c r="Z1614" s="207"/>
      <c r="AA1614" s="284"/>
      <c r="AB1614" s="284"/>
      <c r="AC1614" s="284"/>
      <c r="AD1614" s="284"/>
      <c r="AE1614" s="284"/>
      <c r="AF1614" s="284"/>
      <c r="AG1614" s="284"/>
      <c r="AI1614" s="131"/>
    </row>
    <row r="1615" spans="1:35" ht="26.4">
      <c r="A1615" s="284"/>
      <c r="B1615" s="284"/>
      <c r="C1615" s="284"/>
      <c r="D1615" s="284"/>
      <c r="E1615" s="284"/>
      <c r="F1615" s="284"/>
      <c r="G1615" s="284"/>
      <c r="H1615" s="284"/>
      <c r="I1615" s="284"/>
      <c r="J1615" s="375"/>
      <c r="K1615" s="375"/>
      <c r="L1615" s="375"/>
      <c r="M1615" s="368"/>
      <c r="N1615" s="368"/>
      <c r="O1615" s="370"/>
      <c r="T1615" s="340"/>
      <c r="V1615" s="378"/>
      <c r="W1615" s="64" ph="1"/>
      <c r="X1615" s="241"/>
      <c r="Y1615" s="284"/>
      <c r="Z1615" s="207"/>
      <c r="AA1615" s="284"/>
      <c r="AB1615" s="284"/>
      <c r="AC1615" s="284"/>
      <c r="AD1615" s="284"/>
      <c r="AE1615" s="284"/>
      <c r="AF1615" s="284"/>
      <c r="AG1615" s="284"/>
      <c r="AI1615" s="131"/>
    </row>
    <row r="1616" spans="1:35" ht="26.4">
      <c r="A1616" s="284"/>
      <c r="B1616" s="284"/>
      <c r="C1616" s="284"/>
      <c r="D1616" s="284"/>
      <c r="E1616" s="284"/>
      <c r="F1616" s="284"/>
      <c r="G1616" s="284"/>
      <c r="H1616" s="284"/>
      <c r="I1616" s="284"/>
      <c r="J1616" s="375"/>
      <c r="K1616" s="375"/>
      <c r="L1616" s="375"/>
      <c r="M1616" s="368"/>
      <c r="N1616" s="368"/>
      <c r="O1616" s="370"/>
      <c r="T1616" s="340"/>
      <c r="V1616" s="378"/>
      <c r="W1616" s="64" ph="1"/>
      <c r="X1616" s="241"/>
      <c r="Y1616" s="284"/>
      <c r="Z1616" s="207"/>
      <c r="AA1616" s="284"/>
      <c r="AB1616" s="284"/>
      <c r="AC1616" s="284"/>
      <c r="AD1616" s="284"/>
      <c r="AE1616" s="284"/>
      <c r="AF1616" s="284"/>
      <c r="AG1616" s="284"/>
      <c r="AI1616" s="131"/>
    </row>
    <row r="1617" spans="1:35" ht="26.4">
      <c r="A1617" s="284"/>
      <c r="B1617" s="284"/>
      <c r="C1617" s="284"/>
      <c r="D1617" s="284"/>
      <c r="E1617" s="284"/>
      <c r="F1617" s="284"/>
      <c r="G1617" s="284"/>
      <c r="H1617" s="284"/>
      <c r="I1617" s="284"/>
      <c r="J1617" s="375"/>
      <c r="K1617" s="375"/>
      <c r="L1617" s="375"/>
      <c r="M1617" s="368"/>
      <c r="N1617" s="368"/>
      <c r="O1617" s="370"/>
      <c r="T1617" s="340"/>
      <c r="V1617" s="378"/>
      <c r="W1617" s="64" ph="1"/>
      <c r="X1617" s="241"/>
      <c r="Y1617" s="284"/>
      <c r="Z1617" s="207"/>
      <c r="AA1617" s="284"/>
      <c r="AB1617" s="284"/>
      <c r="AC1617" s="284"/>
      <c r="AD1617" s="284"/>
      <c r="AE1617" s="284"/>
      <c r="AF1617" s="284"/>
      <c r="AG1617" s="284"/>
      <c r="AI1617" s="131"/>
    </row>
    <row r="1618" spans="1:35" ht="26.4">
      <c r="A1618" s="284"/>
      <c r="B1618" s="284"/>
      <c r="C1618" s="284"/>
      <c r="D1618" s="284"/>
      <c r="E1618" s="284"/>
      <c r="F1618" s="284"/>
      <c r="G1618" s="284"/>
      <c r="H1618" s="284"/>
      <c r="I1618" s="284"/>
      <c r="J1618" s="375"/>
      <c r="K1618" s="375"/>
      <c r="L1618" s="375"/>
      <c r="M1618" s="368"/>
      <c r="N1618" s="368"/>
      <c r="O1618" s="370"/>
      <c r="T1618" s="340"/>
      <c r="V1618" s="378"/>
      <c r="W1618" s="64" ph="1"/>
      <c r="X1618" s="241"/>
      <c r="Y1618" s="284"/>
      <c r="Z1618" s="207"/>
      <c r="AA1618" s="284"/>
      <c r="AB1618" s="284"/>
      <c r="AC1618" s="284"/>
      <c r="AD1618" s="284"/>
      <c r="AE1618" s="284"/>
      <c r="AF1618" s="284"/>
      <c r="AG1618" s="284"/>
      <c r="AI1618" s="131"/>
    </row>
    <row r="1619" spans="1:35" ht="26.4">
      <c r="A1619" s="284"/>
      <c r="B1619" s="284"/>
      <c r="C1619" s="284"/>
      <c r="D1619" s="284"/>
      <c r="E1619" s="284"/>
      <c r="F1619" s="284"/>
      <c r="G1619" s="284"/>
      <c r="H1619" s="284"/>
      <c r="I1619" s="284"/>
      <c r="J1619" s="375"/>
      <c r="K1619" s="375"/>
      <c r="L1619" s="375"/>
      <c r="M1619" s="368"/>
      <c r="N1619" s="368"/>
      <c r="O1619" s="370"/>
      <c r="T1619" s="340"/>
      <c r="V1619" s="378"/>
      <c r="W1619" s="64" ph="1"/>
      <c r="X1619" s="241"/>
      <c r="Y1619" s="284"/>
      <c r="Z1619" s="207"/>
      <c r="AA1619" s="284"/>
      <c r="AB1619" s="284"/>
      <c r="AC1619" s="284"/>
      <c r="AD1619" s="284"/>
      <c r="AE1619" s="284"/>
      <c r="AF1619" s="284"/>
      <c r="AG1619" s="284"/>
      <c r="AI1619" s="131"/>
    </row>
    <row r="1620" spans="1:35" ht="26.4">
      <c r="A1620" s="284"/>
      <c r="B1620" s="284"/>
      <c r="C1620" s="284"/>
      <c r="D1620" s="284"/>
      <c r="E1620" s="284"/>
      <c r="F1620" s="284"/>
      <c r="G1620" s="284"/>
      <c r="H1620" s="284"/>
      <c r="I1620" s="284"/>
      <c r="J1620" s="375"/>
      <c r="K1620" s="375"/>
      <c r="L1620" s="375"/>
      <c r="M1620" s="368"/>
      <c r="N1620" s="368"/>
      <c r="O1620" s="370"/>
      <c r="T1620" s="340"/>
      <c r="V1620" s="378"/>
      <c r="W1620" s="64" ph="1"/>
      <c r="X1620" s="241"/>
      <c r="Y1620" s="284"/>
      <c r="Z1620" s="207"/>
      <c r="AA1620" s="284"/>
      <c r="AB1620" s="284"/>
      <c r="AC1620" s="284"/>
      <c r="AD1620" s="284"/>
      <c r="AE1620" s="284"/>
      <c r="AF1620" s="284"/>
      <c r="AG1620" s="284"/>
      <c r="AI1620" s="284"/>
    </row>
    <row r="1621" spans="1:35" ht="26.4">
      <c r="A1621" s="284"/>
      <c r="B1621" s="284"/>
      <c r="C1621" s="284"/>
      <c r="D1621" s="284"/>
      <c r="E1621" s="284"/>
      <c r="F1621" s="284"/>
      <c r="G1621" s="284"/>
      <c r="H1621" s="284"/>
      <c r="I1621" s="284"/>
      <c r="J1621" s="375"/>
      <c r="K1621" s="375"/>
      <c r="L1621" s="375"/>
      <c r="M1621" s="368"/>
      <c r="N1621" s="368"/>
      <c r="O1621" s="370"/>
      <c r="T1621" s="340"/>
      <c r="V1621" s="378"/>
      <c r="W1621" s="64" ph="1"/>
      <c r="X1621" s="241"/>
      <c r="Y1621" s="284"/>
      <c r="Z1621" s="207"/>
      <c r="AA1621" s="284"/>
      <c r="AB1621" s="284"/>
      <c r="AC1621" s="284"/>
      <c r="AD1621" s="284"/>
      <c r="AE1621" s="284"/>
      <c r="AF1621" s="284"/>
      <c r="AG1621" s="284"/>
      <c r="AI1621" s="284"/>
    </row>
    <row r="1622" spans="1:35" ht="26.4">
      <c r="A1622" s="284"/>
      <c r="B1622" s="284"/>
      <c r="C1622" s="284"/>
      <c r="D1622" s="284"/>
      <c r="E1622" s="284"/>
      <c r="F1622" s="284"/>
      <c r="G1622" s="284"/>
      <c r="H1622" s="284"/>
      <c r="I1622" s="284"/>
      <c r="J1622" s="375"/>
      <c r="K1622" s="375"/>
      <c r="L1622" s="375"/>
      <c r="M1622" s="368"/>
      <c r="N1622" s="368"/>
      <c r="O1622" s="370"/>
      <c r="T1622" s="340"/>
      <c r="V1622" s="378"/>
      <c r="W1622" s="64" ph="1"/>
      <c r="X1622" s="241"/>
      <c r="Y1622" s="284"/>
      <c r="Z1622" s="207"/>
      <c r="AA1622" s="284"/>
      <c r="AB1622" s="284"/>
      <c r="AC1622" s="284"/>
      <c r="AD1622" s="284"/>
      <c r="AE1622" s="284"/>
      <c r="AF1622" s="284"/>
      <c r="AG1622" s="284"/>
      <c r="AI1622" s="131"/>
    </row>
    <row r="1623" spans="1:35" ht="26.4">
      <c r="A1623" s="284"/>
      <c r="B1623" s="284"/>
      <c r="C1623" s="284"/>
      <c r="D1623" s="284"/>
      <c r="E1623" s="284"/>
      <c r="F1623" s="284"/>
      <c r="G1623" s="284"/>
      <c r="H1623" s="284"/>
      <c r="I1623" s="284"/>
      <c r="J1623" s="375"/>
      <c r="K1623" s="375"/>
      <c r="L1623" s="375"/>
      <c r="M1623" s="368"/>
      <c r="N1623" s="368"/>
      <c r="O1623" s="370"/>
      <c r="T1623" s="340"/>
      <c r="V1623" s="378"/>
      <c r="W1623" s="64" ph="1"/>
      <c r="X1623" s="241"/>
      <c r="Y1623" s="284"/>
      <c r="Z1623" s="207"/>
      <c r="AA1623" s="284"/>
      <c r="AB1623" s="284"/>
      <c r="AC1623" s="284"/>
      <c r="AD1623" s="284"/>
      <c r="AE1623" s="284"/>
      <c r="AF1623" s="284"/>
      <c r="AG1623" s="284"/>
      <c r="AI1623" s="131"/>
    </row>
    <row r="1624" spans="1:35" ht="26.4">
      <c r="A1624" s="284"/>
      <c r="B1624" s="284"/>
      <c r="C1624" s="284"/>
      <c r="D1624" s="284"/>
      <c r="E1624" s="284"/>
      <c r="F1624" s="284"/>
      <c r="G1624" s="284"/>
      <c r="H1624" s="284"/>
      <c r="I1624" s="284"/>
      <c r="J1624" s="375"/>
      <c r="K1624" s="375"/>
      <c r="L1624" s="375"/>
      <c r="M1624" s="368"/>
      <c r="N1624" s="368"/>
      <c r="O1624" s="370"/>
      <c r="T1624" s="340"/>
      <c r="V1624" s="378"/>
      <c r="W1624" s="64" ph="1"/>
      <c r="X1624" s="241"/>
      <c r="Y1624" s="284"/>
      <c r="Z1624" s="207"/>
      <c r="AA1624" s="284"/>
      <c r="AB1624" s="284"/>
      <c r="AC1624" s="284"/>
      <c r="AD1624" s="284"/>
      <c r="AE1624" s="284"/>
      <c r="AF1624" s="284"/>
      <c r="AG1624" s="284"/>
      <c r="AI1624" s="131"/>
    </row>
    <row r="1625" spans="1:35" ht="26.4">
      <c r="A1625" s="284"/>
      <c r="B1625" s="284"/>
      <c r="C1625" s="284"/>
      <c r="D1625" s="284"/>
      <c r="E1625" s="284"/>
      <c r="F1625" s="284"/>
      <c r="G1625" s="284"/>
      <c r="H1625" s="284"/>
      <c r="I1625" s="284"/>
      <c r="J1625" s="375"/>
      <c r="K1625" s="375"/>
      <c r="L1625" s="375"/>
      <c r="M1625" s="368"/>
      <c r="N1625" s="368"/>
      <c r="O1625" s="370"/>
      <c r="T1625" s="340"/>
      <c r="V1625" s="378"/>
      <c r="W1625" s="64" ph="1"/>
      <c r="X1625" s="241"/>
      <c r="Y1625" s="284"/>
      <c r="Z1625" s="207"/>
      <c r="AA1625" s="284"/>
      <c r="AB1625" s="284"/>
      <c r="AC1625" s="284"/>
      <c r="AD1625" s="284"/>
      <c r="AE1625" s="284"/>
      <c r="AF1625" s="284"/>
      <c r="AG1625" s="284"/>
      <c r="AI1625" s="131"/>
    </row>
    <row r="1626" spans="1:35" ht="26.4">
      <c r="A1626" s="284"/>
      <c r="B1626" s="284"/>
      <c r="C1626" s="284"/>
      <c r="D1626" s="284"/>
      <c r="E1626" s="284"/>
      <c r="F1626" s="284"/>
      <c r="G1626" s="284"/>
      <c r="H1626" s="284"/>
      <c r="I1626" s="284"/>
      <c r="J1626" s="375"/>
      <c r="K1626" s="375"/>
      <c r="L1626" s="375"/>
      <c r="M1626" s="368"/>
      <c r="N1626" s="368"/>
      <c r="O1626" s="370"/>
      <c r="T1626" s="340"/>
      <c r="V1626" s="378"/>
      <c r="W1626" s="64" ph="1"/>
      <c r="X1626" s="241"/>
      <c r="Y1626" s="284"/>
      <c r="Z1626" s="207"/>
      <c r="AA1626" s="284"/>
      <c r="AB1626" s="284"/>
      <c r="AC1626" s="284"/>
      <c r="AD1626" s="284"/>
      <c r="AE1626" s="284"/>
      <c r="AF1626" s="284"/>
      <c r="AG1626" s="284"/>
      <c r="AI1626" s="131"/>
    </row>
    <row r="1627" spans="1:35" ht="26.4">
      <c r="A1627" s="284"/>
      <c r="B1627" s="284"/>
      <c r="C1627" s="284"/>
      <c r="D1627" s="284"/>
      <c r="E1627" s="284"/>
      <c r="F1627" s="284"/>
      <c r="G1627" s="284"/>
      <c r="H1627" s="284"/>
      <c r="I1627" s="284"/>
      <c r="J1627" s="375"/>
      <c r="K1627" s="375"/>
      <c r="L1627" s="375"/>
      <c r="M1627" s="368"/>
      <c r="N1627" s="368"/>
      <c r="O1627" s="370"/>
      <c r="T1627" s="340"/>
      <c r="V1627" s="378"/>
      <c r="W1627" s="64" ph="1"/>
      <c r="X1627" s="241"/>
      <c r="Y1627" s="284"/>
      <c r="Z1627" s="207"/>
      <c r="AA1627" s="284"/>
      <c r="AB1627" s="284"/>
      <c r="AC1627" s="284"/>
      <c r="AD1627" s="284"/>
      <c r="AE1627" s="284"/>
      <c r="AF1627" s="284"/>
      <c r="AG1627" s="284"/>
      <c r="AI1627" s="131"/>
    </row>
    <row r="1628" spans="1:35" ht="26.4">
      <c r="A1628" s="284"/>
      <c r="B1628" s="284"/>
      <c r="C1628" s="284"/>
      <c r="D1628" s="284"/>
      <c r="E1628" s="284"/>
      <c r="F1628" s="284"/>
      <c r="G1628" s="284"/>
      <c r="H1628" s="284"/>
      <c r="I1628" s="284"/>
      <c r="J1628" s="375"/>
      <c r="K1628" s="375"/>
      <c r="L1628" s="375"/>
      <c r="M1628" s="368"/>
      <c r="N1628" s="368"/>
      <c r="O1628" s="370"/>
      <c r="T1628" s="340"/>
      <c r="V1628" s="378"/>
      <c r="W1628" s="64" ph="1"/>
      <c r="X1628" s="241"/>
      <c r="Y1628" s="284"/>
      <c r="Z1628" s="207"/>
      <c r="AA1628" s="284"/>
      <c r="AB1628" s="284"/>
      <c r="AC1628" s="284"/>
      <c r="AD1628" s="284"/>
      <c r="AE1628" s="284"/>
      <c r="AF1628" s="284"/>
      <c r="AG1628" s="284"/>
      <c r="AI1628" s="131"/>
    </row>
    <row r="1629" spans="1:35" ht="26.4">
      <c r="A1629" s="284"/>
      <c r="B1629" s="284"/>
      <c r="C1629" s="284"/>
      <c r="D1629" s="284"/>
      <c r="E1629" s="284"/>
      <c r="F1629" s="284"/>
      <c r="G1629" s="284"/>
      <c r="H1629" s="284"/>
      <c r="I1629" s="284"/>
      <c r="J1629" s="375"/>
      <c r="K1629" s="375"/>
      <c r="L1629" s="375"/>
      <c r="M1629" s="368"/>
      <c r="N1629" s="368"/>
      <c r="O1629" s="370"/>
      <c r="T1629" s="340"/>
      <c r="V1629" s="378"/>
      <c r="W1629" s="64" ph="1"/>
      <c r="X1629" s="241"/>
      <c r="Y1629" s="284"/>
      <c r="Z1629" s="207"/>
      <c r="AA1629" s="284"/>
      <c r="AB1629" s="284"/>
      <c r="AC1629" s="284"/>
      <c r="AD1629" s="284"/>
      <c r="AE1629" s="284"/>
      <c r="AF1629" s="284"/>
      <c r="AG1629" s="284"/>
      <c r="AI1629" s="131"/>
    </row>
    <row r="1630" spans="1:35" ht="26.4">
      <c r="A1630" s="284"/>
      <c r="B1630" s="284"/>
      <c r="C1630" s="284"/>
      <c r="D1630" s="284"/>
      <c r="E1630" s="284"/>
      <c r="F1630" s="284"/>
      <c r="G1630" s="284"/>
      <c r="H1630" s="284"/>
      <c r="I1630" s="284"/>
      <c r="J1630" s="375"/>
      <c r="K1630" s="375"/>
      <c r="L1630" s="375"/>
      <c r="M1630" s="368"/>
      <c r="N1630" s="368"/>
      <c r="O1630" s="370"/>
      <c r="T1630" s="340"/>
      <c r="V1630" s="378"/>
      <c r="W1630" s="64" ph="1"/>
      <c r="X1630" s="241"/>
      <c r="Y1630" s="284"/>
      <c r="Z1630" s="207"/>
      <c r="AA1630" s="284"/>
      <c r="AB1630" s="284"/>
      <c r="AC1630" s="284"/>
      <c r="AD1630" s="284"/>
      <c r="AE1630" s="284"/>
      <c r="AF1630" s="284"/>
      <c r="AG1630" s="284"/>
      <c r="AI1630" s="284"/>
    </row>
    <row r="1631" spans="1:35" ht="26.4">
      <c r="A1631" s="284"/>
      <c r="B1631" s="284"/>
      <c r="C1631" s="284"/>
      <c r="D1631" s="284"/>
      <c r="E1631" s="284"/>
      <c r="F1631" s="284"/>
      <c r="G1631" s="284"/>
      <c r="H1631" s="284"/>
      <c r="I1631" s="284"/>
      <c r="J1631" s="375"/>
      <c r="K1631" s="375"/>
      <c r="L1631" s="375"/>
      <c r="M1631" s="368"/>
      <c r="N1631" s="368"/>
      <c r="O1631" s="370"/>
      <c r="T1631" s="340"/>
      <c r="V1631" s="378"/>
      <c r="W1631" s="64" ph="1"/>
      <c r="X1631" s="241"/>
      <c r="Y1631" s="284"/>
      <c r="Z1631" s="207"/>
      <c r="AA1631" s="284"/>
      <c r="AB1631" s="284"/>
      <c r="AC1631" s="284"/>
      <c r="AD1631" s="284"/>
      <c r="AE1631" s="284"/>
      <c r="AF1631" s="284"/>
      <c r="AG1631" s="284"/>
      <c r="AI1631" s="131"/>
    </row>
    <row r="1632" spans="1:35" ht="26.4">
      <c r="A1632" s="284"/>
      <c r="B1632" s="284"/>
      <c r="C1632" s="284"/>
      <c r="D1632" s="284"/>
      <c r="E1632" s="284"/>
      <c r="F1632" s="284"/>
      <c r="G1632" s="284"/>
      <c r="H1632" s="284"/>
      <c r="I1632" s="284"/>
      <c r="J1632" s="375"/>
      <c r="K1632" s="375"/>
      <c r="L1632" s="375"/>
      <c r="M1632" s="368"/>
      <c r="N1632" s="368"/>
      <c r="O1632" s="370"/>
      <c r="T1632" s="340"/>
      <c r="V1632" s="378"/>
      <c r="W1632" s="64" ph="1"/>
      <c r="X1632" s="241"/>
      <c r="Y1632" s="284"/>
      <c r="Z1632" s="207"/>
      <c r="AA1632" s="284"/>
      <c r="AB1632" s="284"/>
      <c r="AC1632" s="284"/>
      <c r="AD1632" s="284"/>
      <c r="AE1632" s="284"/>
      <c r="AF1632" s="284"/>
      <c r="AG1632" s="284"/>
      <c r="AI1632" s="131"/>
    </row>
    <row r="1633" spans="1:35" ht="26.4">
      <c r="A1633" s="284"/>
      <c r="B1633" s="284"/>
      <c r="C1633" s="284"/>
      <c r="D1633" s="284"/>
      <c r="E1633" s="284"/>
      <c r="F1633" s="284"/>
      <c r="G1633" s="284"/>
      <c r="H1633" s="284"/>
      <c r="I1633" s="284"/>
      <c r="J1633" s="375"/>
      <c r="K1633" s="375"/>
      <c r="L1633" s="375"/>
      <c r="M1633" s="368"/>
      <c r="N1633" s="368"/>
      <c r="O1633" s="370"/>
      <c r="T1633" s="340"/>
      <c r="V1633" s="378"/>
      <c r="W1633" s="64" ph="1"/>
      <c r="X1633" s="241"/>
      <c r="Y1633" s="284"/>
      <c r="Z1633" s="207"/>
      <c r="AA1633" s="284"/>
      <c r="AB1633" s="284"/>
      <c r="AC1633" s="284"/>
      <c r="AD1633" s="284"/>
      <c r="AE1633" s="284"/>
      <c r="AF1633" s="284"/>
      <c r="AG1633" s="284"/>
      <c r="AI1633" s="131"/>
    </row>
    <row r="1634" spans="1:35" ht="26.4">
      <c r="A1634" s="284"/>
      <c r="B1634" s="284"/>
      <c r="C1634" s="284"/>
      <c r="D1634" s="284"/>
      <c r="E1634" s="284"/>
      <c r="F1634" s="284"/>
      <c r="G1634" s="284"/>
      <c r="H1634" s="284"/>
      <c r="I1634" s="284"/>
      <c r="J1634" s="375"/>
      <c r="K1634" s="375"/>
      <c r="L1634" s="375"/>
      <c r="M1634" s="368"/>
      <c r="N1634" s="368"/>
      <c r="O1634" s="370"/>
      <c r="T1634" s="340"/>
      <c r="V1634" s="378"/>
      <c r="W1634" s="64" ph="1"/>
      <c r="X1634" s="241"/>
      <c r="Y1634" s="284"/>
      <c r="Z1634" s="207"/>
      <c r="AA1634" s="284"/>
      <c r="AB1634" s="284"/>
      <c r="AC1634" s="284"/>
      <c r="AD1634" s="284"/>
      <c r="AE1634" s="284"/>
      <c r="AF1634" s="284"/>
      <c r="AG1634" s="284"/>
      <c r="AI1634" s="131"/>
    </row>
    <row r="1635" spans="1:35" ht="26.4">
      <c r="A1635" s="284"/>
      <c r="B1635" s="284"/>
      <c r="C1635" s="284"/>
      <c r="D1635" s="284"/>
      <c r="E1635" s="284"/>
      <c r="F1635" s="284"/>
      <c r="G1635" s="284"/>
      <c r="H1635" s="284"/>
      <c r="I1635" s="284"/>
      <c r="J1635" s="375"/>
      <c r="K1635" s="375"/>
      <c r="L1635" s="375"/>
      <c r="M1635" s="368"/>
      <c r="N1635" s="368"/>
      <c r="O1635" s="370"/>
      <c r="T1635" s="340"/>
      <c r="V1635" s="378"/>
      <c r="W1635" s="64" ph="1"/>
      <c r="X1635" s="241"/>
      <c r="Y1635" s="284"/>
      <c r="Z1635" s="207"/>
      <c r="AA1635" s="284"/>
      <c r="AB1635" s="284"/>
      <c r="AC1635" s="284"/>
      <c r="AD1635" s="284"/>
      <c r="AE1635" s="284"/>
      <c r="AF1635" s="284"/>
      <c r="AG1635" s="284"/>
      <c r="AI1635" s="131"/>
    </row>
    <row r="1636" spans="1:35" ht="26.4">
      <c r="A1636" s="284"/>
      <c r="B1636" s="284"/>
      <c r="C1636" s="284"/>
      <c r="D1636" s="284"/>
      <c r="E1636" s="284"/>
      <c r="F1636" s="284"/>
      <c r="G1636" s="284"/>
      <c r="H1636" s="284"/>
      <c r="I1636" s="284"/>
      <c r="J1636" s="375"/>
      <c r="K1636" s="375"/>
      <c r="L1636" s="375"/>
      <c r="M1636" s="368"/>
      <c r="N1636" s="368"/>
      <c r="O1636" s="370"/>
      <c r="T1636" s="340"/>
      <c r="V1636" s="378"/>
      <c r="W1636" s="64" ph="1"/>
      <c r="X1636" s="241"/>
      <c r="Y1636" s="284"/>
      <c r="Z1636" s="207"/>
      <c r="AA1636" s="284"/>
      <c r="AB1636" s="284"/>
      <c r="AC1636" s="284"/>
      <c r="AD1636" s="284"/>
      <c r="AE1636" s="284"/>
      <c r="AF1636" s="284"/>
      <c r="AG1636" s="284"/>
      <c r="AI1636" s="131"/>
    </row>
    <row r="1637" spans="1:35" ht="26.4">
      <c r="A1637" s="284"/>
      <c r="B1637" s="284"/>
      <c r="C1637" s="284"/>
      <c r="D1637" s="284"/>
      <c r="E1637" s="284"/>
      <c r="F1637" s="284"/>
      <c r="G1637" s="284"/>
      <c r="H1637" s="284"/>
      <c r="I1637" s="284"/>
      <c r="J1637" s="375"/>
      <c r="K1637" s="375"/>
      <c r="L1637" s="375"/>
      <c r="M1637" s="368"/>
      <c r="N1637" s="368"/>
      <c r="O1637" s="370"/>
      <c r="T1637" s="340"/>
      <c r="V1637" s="378"/>
      <c r="W1637" s="64" ph="1"/>
      <c r="X1637" s="241"/>
      <c r="Y1637" s="284"/>
      <c r="Z1637" s="207"/>
      <c r="AA1637" s="284"/>
      <c r="AB1637" s="284"/>
      <c r="AC1637" s="284"/>
      <c r="AD1637" s="284"/>
      <c r="AE1637" s="284"/>
      <c r="AF1637" s="284"/>
      <c r="AG1637" s="284"/>
      <c r="AI1637" s="131"/>
    </row>
    <row r="1638" spans="1:35" ht="26.4">
      <c r="A1638" s="284"/>
      <c r="B1638" s="284"/>
      <c r="C1638" s="284"/>
      <c r="D1638" s="284"/>
      <c r="E1638" s="284"/>
      <c r="F1638" s="284"/>
      <c r="G1638" s="284"/>
      <c r="H1638" s="284"/>
      <c r="I1638" s="284"/>
      <c r="J1638" s="375"/>
      <c r="K1638" s="375"/>
      <c r="L1638" s="375"/>
      <c r="M1638" s="368"/>
      <c r="N1638" s="368"/>
      <c r="O1638" s="370"/>
      <c r="T1638" s="340"/>
      <c r="V1638" s="378"/>
      <c r="W1638" s="64" ph="1"/>
      <c r="X1638" s="241"/>
      <c r="Y1638" s="284"/>
      <c r="Z1638" s="207"/>
      <c r="AA1638" s="284"/>
      <c r="AB1638" s="284"/>
      <c r="AC1638" s="284"/>
      <c r="AD1638" s="284"/>
      <c r="AE1638" s="284"/>
      <c r="AF1638" s="284"/>
      <c r="AG1638" s="284"/>
      <c r="AI1638" s="131"/>
    </row>
    <row r="1639" spans="1:35" ht="26.4">
      <c r="A1639" s="284"/>
      <c r="B1639" s="284"/>
      <c r="C1639" s="284"/>
      <c r="D1639" s="284"/>
      <c r="E1639" s="284"/>
      <c r="F1639" s="284"/>
      <c r="G1639" s="284"/>
      <c r="H1639" s="284"/>
      <c r="I1639" s="284"/>
      <c r="J1639" s="375"/>
      <c r="K1639" s="375"/>
      <c r="L1639" s="375"/>
      <c r="M1639" s="368"/>
      <c r="N1639" s="368"/>
      <c r="O1639" s="370"/>
      <c r="T1639" s="340"/>
      <c r="V1639" s="378"/>
      <c r="W1639" s="64" ph="1"/>
      <c r="X1639" s="241"/>
      <c r="Y1639" s="284"/>
      <c r="Z1639" s="207"/>
      <c r="AA1639" s="284"/>
      <c r="AB1639" s="284"/>
      <c r="AC1639" s="284"/>
      <c r="AD1639" s="284"/>
      <c r="AE1639" s="284"/>
      <c r="AF1639" s="284"/>
      <c r="AG1639" s="284"/>
      <c r="AI1639" s="131"/>
    </row>
    <row r="1640" spans="1:35" ht="26.4">
      <c r="A1640" s="284"/>
      <c r="B1640" s="284"/>
      <c r="C1640" s="284"/>
      <c r="D1640" s="284"/>
      <c r="E1640" s="284"/>
      <c r="F1640" s="284"/>
      <c r="G1640" s="284"/>
      <c r="H1640" s="284"/>
      <c r="I1640" s="284"/>
      <c r="J1640" s="375"/>
      <c r="K1640" s="375"/>
      <c r="L1640" s="375"/>
      <c r="M1640" s="368"/>
      <c r="N1640" s="368"/>
      <c r="O1640" s="370"/>
      <c r="T1640" s="340"/>
      <c r="V1640" s="378"/>
      <c r="W1640" s="64" ph="1"/>
      <c r="X1640" s="241"/>
      <c r="Y1640" s="284"/>
      <c r="Z1640" s="207"/>
      <c r="AA1640" s="284"/>
      <c r="AB1640" s="284"/>
      <c r="AC1640" s="284"/>
      <c r="AD1640" s="284"/>
      <c r="AE1640" s="284"/>
      <c r="AF1640" s="284"/>
      <c r="AG1640" s="284"/>
      <c r="AI1640" s="284"/>
    </row>
    <row r="1641" spans="1:35" ht="26.4">
      <c r="A1641" s="284"/>
      <c r="B1641" s="284"/>
      <c r="C1641" s="284"/>
      <c r="D1641" s="284"/>
      <c r="E1641" s="284"/>
      <c r="F1641" s="284"/>
      <c r="G1641" s="284"/>
      <c r="H1641" s="284"/>
      <c r="I1641" s="284"/>
      <c r="J1641" s="375"/>
      <c r="K1641" s="375"/>
      <c r="L1641" s="375"/>
      <c r="M1641" s="368"/>
      <c r="N1641" s="368"/>
      <c r="O1641" s="370"/>
      <c r="T1641" s="340"/>
      <c r="V1641" s="378"/>
      <c r="W1641" s="64" ph="1"/>
      <c r="X1641" s="241"/>
      <c r="Y1641" s="284"/>
      <c r="Z1641" s="207"/>
      <c r="AA1641" s="284"/>
      <c r="AB1641" s="284"/>
      <c r="AC1641" s="284"/>
      <c r="AD1641" s="284"/>
      <c r="AE1641" s="284"/>
      <c r="AF1641" s="284"/>
      <c r="AG1641" s="284"/>
      <c r="AI1641" s="131"/>
    </row>
    <row r="1642" spans="1:35" ht="26.4">
      <c r="A1642" s="284"/>
      <c r="B1642" s="284"/>
      <c r="C1642" s="284"/>
      <c r="D1642" s="284"/>
      <c r="E1642" s="284"/>
      <c r="F1642" s="284"/>
      <c r="G1642" s="284"/>
      <c r="H1642" s="284"/>
      <c r="I1642" s="284"/>
      <c r="J1642" s="375"/>
      <c r="K1642" s="375"/>
      <c r="L1642" s="375"/>
      <c r="M1642" s="368"/>
      <c r="N1642" s="368"/>
      <c r="O1642" s="370"/>
      <c r="T1642" s="340"/>
      <c r="V1642" s="378"/>
      <c r="W1642" s="64" ph="1"/>
      <c r="X1642" s="241"/>
      <c r="Y1642" s="284"/>
      <c r="Z1642" s="207"/>
      <c r="AA1642" s="284"/>
      <c r="AB1642" s="284"/>
      <c r="AC1642" s="284"/>
      <c r="AD1642" s="284"/>
      <c r="AE1642" s="284"/>
      <c r="AF1642" s="284"/>
      <c r="AG1642" s="284"/>
      <c r="AI1642" s="131"/>
    </row>
    <row r="1643" spans="1:35" ht="26.4">
      <c r="A1643" s="284"/>
      <c r="B1643" s="284"/>
      <c r="C1643" s="284"/>
      <c r="D1643" s="284"/>
      <c r="E1643" s="284"/>
      <c r="F1643" s="284"/>
      <c r="G1643" s="284"/>
      <c r="H1643" s="284"/>
      <c r="I1643" s="284"/>
      <c r="J1643" s="375"/>
      <c r="K1643" s="375"/>
      <c r="L1643" s="375"/>
      <c r="M1643" s="368"/>
      <c r="N1643" s="368"/>
      <c r="O1643" s="370"/>
      <c r="T1643" s="340"/>
      <c r="V1643" s="378"/>
      <c r="W1643" s="64" ph="1"/>
      <c r="X1643" s="241"/>
      <c r="Y1643" s="284"/>
      <c r="Z1643" s="207"/>
      <c r="AA1643" s="284"/>
      <c r="AB1643" s="284"/>
      <c r="AC1643" s="284"/>
      <c r="AD1643" s="284"/>
      <c r="AE1643" s="284"/>
      <c r="AF1643" s="284"/>
      <c r="AG1643" s="284"/>
      <c r="AI1643" s="131"/>
    </row>
    <row r="1644" spans="1:35" ht="26.4">
      <c r="A1644" s="284"/>
      <c r="B1644" s="284"/>
      <c r="C1644" s="284"/>
      <c r="D1644" s="284"/>
      <c r="E1644" s="284"/>
      <c r="F1644" s="284"/>
      <c r="G1644" s="284"/>
      <c r="H1644" s="284"/>
      <c r="I1644" s="284"/>
      <c r="J1644" s="375"/>
      <c r="K1644" s="375"/>
      <c r="L1644" s="375"/>
      <c r="M1644" s="368"/>
      <c r="N1644" s="368"/>
      <c r="O1644" s="370"/>
      <c r="T1644" s="340"/>
      <c r="V1644" s="378"/>
      <c r="W1644" s="64" ph="1"/>
      <c r="X1644" s="241"/>
      <c r="Y1644" s="284"/>
      <c r="Z1644" s="207"/>
      <c r="AA1644" s="284"/>
      <c r="AB1644" s="284"/>
      <c r="AC1644" s="284"/>
      <c r="AD1644" s="284"/>
      <c r="AE1644" s="284"/>
      <c r="AF1644" s="284"/>
      <c r="AG1644" s="284"/>
      <c r="AI1644" s="284"/>
    </row>
    <row r="1645" spans="1:35" ht="26.4">
      <c r="A1645" s="284"/>
      <c r="B1645" s="284"/>
      <c r="C1645" s="284"/>
      <c r="D1645" s="284"/>
      <c r="E1645" s="284"/>
      <c r="F1645" s="284"/>
      <c r="G1645" s="284"/>
      <c r="H1645" s="284"/>
      <c r="I1645" s="284"/>
      <c r="J1645" s="375"/>
      <c r="K1645" s="375"/>
      <c r="L1645" s="375"/>
      <c r="M1645" s="368"/>
      <c r="N1645" s="368"/>
      <c r="O1645" s="370"/>
      <c r="T1645" s="340"/>
      <c r="V1645" s="378"/>
      <c r="W1645" s="64" ph="1"/>
      <c r="X1645" s="241"/>
      <c r="Y1645" s="284"/>
      <c r="Z1645" s="207"/>
      <c r="AA1645" s="284"/>
      <c r="AB1645" s="284"/>
      <c r="AC1645" s="284"/>
      <c r="AD1645" s="284"/>
      <c r="AE1645" s="284"/>
      <c r="AF1645" s="284"/>
      <c r="AG1645" s="284"/>
      <c r="AI1645" s="131"/>
    </row>
    <row r="1646" spans="1:35" ht="26.4">
      <c r="A1646" s="284"/>
      <c r="B1646" s="284"/>
      <c r="C1646" s="284"/>
      <c r="D1646" s="284"/>
      <c r="E1646" s="284"/>
      <c r="F1646" s="284"/>
      <c r="G1646" s="284"/>
      <c r="H1646" s="284"/>
      <c r="I1646" s="284"/>
      <c r="J1646" s="375"/>
      <c r="K1646" s="375"/>
      <c r="L1646" s="375"/>
      <c r="M1646" s="368"/>
      <c r="N1646" s="368"/>
      <c r="O1646" s="370"/>
      <c r="T1646" s="340"/>
      <c r="V1646" s="378"/>
      <c r="W1646" s="64" ph="1"/>
      <c r="X1646" s="241"/>
      <c r="Y1646" s="284"/>
      <c r="Z1646" s="207"/>
      <c r="AA1646" s="284"/>
      <c r="AB1646" s="284"/>
      <c r="AC1646" s="284"/>
      <c r="AD1646" s="284"/>
      <c r="AE1646" s="284"/>
      <c r="AF1646" s="284"/>
      <c r="AG1646" s="284"/>
      <c r="AI1646" s="131"/>
    </row>
    <row r="1647" spans="1:35" ht="26.4">
      <c r="A1647" s="284"/>
      <c r="B1647" s="284"/>
      <c r="C1647" s="284"/>
      <c r="D1647" s="284"/>
      <c r="E1647" s="284"/>
      <c r="F1647" s="284"/>
      <c r="G1647" s="284"/>
      <c r="H1647" s="284"/>
      <c r="I1647" s="284"/>
      <c r="J1647" s="375"/>
      <c r="K1647" s="375"/>
      <c r="L1647" s="375"/>
      <c r="M1647" s="368"/>
      <c r="N1647" s="368"/>
      <c r="O1647" s="370"/>
      <c r="T1647" s="340"/>
      <c r="V1647" s="378"/>
      <c r="W1647" s="64" ph="1"/>
      <c r="X1647" s="241"/>
      <c r="Y1647" s="284"/>
      <c r="Z1647" s="207"/>
      <c r="AA1647" s="284"/>
      <c r="AB1647" s="284"/>
      <c r="AC1647" s="284"/>
      <c r="AD1647" s="284"/>
      <c r="AE1647" s="284"/>
      <c r="AF1647" s="284"/>
      <c r="AG1647" s="284"/>
      <c r="AI1647" s="131"/>
    </row>
    <row r="1648" spans="1:35" ht="26.4">
      <c r="A1648" s="284"/>
      <c r="B1648" s="284"/>
      <c r="C1648" s="284"/>
      <c r="D1648" s="284"/>
      <c r="E1648" s="284"/>
      <c r="F1648" s="284"/>
      <c r="G1648" s="284"/>
      <c r="H1648" s="284"/>
      <c r="I1648" s="284"/>
      <c r="J1648" s="375"/>
      <c r="K1648" s="375"/>
      <c r="L1648" s="375"/>
      <c r="M1648" s="368"/>
      <c r="N1648" s="368"/>
      <c r="O1648" s="370"/>
      <c r="T1648" s="340"/>
      <c r="V1648" s="378"/>
      <c r="W1648" s="64" ph="1"/>
      <c r="X1648" s="241"/>
      <c r="Y1648" s="284"/>
      <c r="Z1648" s="207"/>
      <c r="AA1648" s="284"/>
      <c r="AB1648" s="284"/>
      <c r="AC1648" s="284"/>
      <c r="AD1648" s="284"/>
      <c r="AE1648" s="284"/>
      <c r="AF1648" s="284"/>
      <c r="AG1648" s="284"/>
      <c r="AI1648" s="131"/>
    </row>
    <row r="1649" spans="1:35" ht="26.4">
      <c r="A1649" s="284"/>
      <c r="B1649" s="284"/>
      <c r="C1649" s="284"/>
      <c r="D1649" s="284"/>
      <c r="E1649" s="284"/>
      <c r="F1649" s="284"/>
      <c r="G1649" s="284"/>
      <c r="H1649" s="284"/>
      <c r="I1649" s="284"/>
      <c r="J1649" s="375"/>
      <c r="K1649" s="375"/>
      <c r="L1649" s="375"/>
      <c r="M1649" s="368"/>
      <c r="N1649" s="368"/>
      <c r="O1649" s="370"/>
      <c r="T1649" s="340"/>
      <c r="V1649" s="378"/>
      <c r="W1649" s="64" ph="1"/>
      <c r="X1649" s="241"/>
      <c r="Y1649" s="284"/>
      <c r="Z1649" s="207"/>
      <c r="AA1649" s="284"/>
      <c r="AB1649" s="284"/>
      <c r="AC1649" s="284"/>
      <c r="AD1649" s="284"/>
      <c r="AE1649" s="284"/>
      <c r="AF1649" s="284"/>
      <c r="AG1649" s="284"/>
      <c r="AI1649" s="131"/>
    </row>
    <row r="1650" spans="1:35" ht="26.4">
      <c r="A1650" s="284"/>
      <c r="B1650" s="284"/>
      <c r="C1650" s="284"/>
      <c r="D1650" s="284"/>
      <c r="E1650" s="284"/>
      <c r="F1650" s="284"/>
      <c r="G1650" s="284"/>
      <c r="H1650" s="284"/>
      <c r="I1650" s="284"/>
      <c r="J1650" s="375"/>
      <c r="K1650" s="375"/>
      <c r="L1650" s="375"/>
      <c r="M1650" s="368"/>
      <c r="N1650" s="368"/>
      <c r="O1650" s="370"/>
      <c r="T1650" s="340"/>
      <c r="V1650" s="378"/>
      <c r="W1650" s="64" ph="1"/>
      <c r="X1650" s="241"/>
      <c r="Y1650" s="284"/>
      <c r="Z1650" s="207"/>
      <c r="AA1650" s="284"/>
      <c r="AB1650" s="284"/>
      <c r="AC1650" s="284"/>
      <c r="AD1650" s="284"/>
      <c r="AE1650" s="284"/>
      <c r="AF1650" s="284"/>
      <c r="AG1650" s="284"/>
      <c r="AI1650" s="131"/>
    </row>
    <row r="1651" spans="1:35" ht="26.4">
      <c r="A1651" s="284"/>
      <c r="B1651" s="284"/>
      <c r="C1651" s="284"/>
      <c r="D1651" s="284"/>
      <c r="E1651" s="284"/>
      <c r="F1651" s="284"/>
      <c r="G1651" s="284"/>
      <c r="H1651" s="284"/>
      <c r="I1651" s="284"/>
      <c r="J1651" s="375"/>
      <c r="K1651" s="375"/>
      <c r="L1651" s="375"/>
      <c r="M1651" s="368"/>
      <c r="N1651" s="368"/>
      <c r="O1651" s="370"/>
      <c r="T1651" s="340"/>
      <c r="V1651" s="378"/>
      <c r="W1651" s="64" ph="1"/>
      <c r="X1651" s="241"/>
      <c r="Y1651" s="284"/>
      <c r="Z1651" s="207"/>
      <c r="AA1651" s="284"/>
      <c r="AB1651" s="284"/>
      <c r="AC1651" s="284"/>
      <c r="AD1651" s="284"/>
      <c r="AE1651" s="284"/>
      <c r="AF1651" s="284"/>
      <c r="AG1651" s="284"/>
      <c r="AI1651" s="131"/>
    </row>
    <row r="1652" spans="1:35" ht="26.4">
      <c r="A1652" s="284"/>
      <c r="B1652" s="284"/>
      <c r="C1652" s="284"/>
      <c r="D1652" s="284"/>
      <c r="E1652" s="284"/>
      <c r="F1652" s="284"/>
      <c r="G1652" s="284"/>
      <c r="H1652" s="284"/>
      <c r="I1652" s="284"/>
      <c r="J1652" s="375"/>
      <c r="K1652" s="375"/>
      <c r="L1652" s="375"/>
      <c r="M1652" s="368"/>
      <c r="N1652" s="368"/>
      <c r="O1652" s="370"/>
      <c r="T1652" s="340"/>
      <c r="V1652" s="378"/>
      <c r="W1652" s="64" ph="1"/>
      <c r="X1652" s="241"/>
      <c r="Y1652" s="284"/>
      <c r="Z1652" s="207"/>
      <c r="AA1652" s="284"/>
      <c r="AB1652" s="284"/>
      <c r="AC1652" s="284"/>
      <c r="AD1652" s="284"/>
      <c r="AE1652" s="284"/>
      <c r="AF1652" s="284"/>
      <c r="AG1652" s="284"/>
      <c r="AI1652" s="131"/>
    </row>
    <row r="1653" spans="1:35" ht="26.4">
      <c r="A1653" s="284"/>
      <c r="B1653" s="284"/>
      <c r="C1653" s="284"/>
      <c r="D1653" s="284"/>
      <c r="E1653" s="284"/>
      <c r="F1653" s="284"/>
      <c r="G1653" s="284"/>
      <c r="H1653" s="284"/>
      <c r="I1653" s="284"/>
      <c r="J1653" s="375"/>
      <c r="K1653" s="375"/>
      <c r="L1653" s="375"/>
      <c r="M1653" s="368"/>
      <c r="N1653" s="368"/>
      <c r="O1653" s="370"/>
      <c r="T1653" s="340"/>
      <c r="V1653" s="378"/>
      <c r="W1653" s="64" ph="1"/>
      <c r="X1653" s="241"/>
      <c r="Y1653" s="284"/>
      <c r="Z1653" s="207"/>
      <c r="AA1653" s="284"/>
      <c r="AB1653" s="284"/>
      <c r="AC1653" s="284"/>
      <c r="AD1653" s="284"/>
      <c r="AE1653" s="284"/>
      <c r="AF1653" s="284"/>
      <c r="AG1653" s="284"/>
      <c r="AI1653" s="131"/>
    </row>
    <row r="1654" spans="1:35" ht="26.4">
      <c r="A1654" s="284"/>
      <c r="B1654" s="284"/>
      <c r="C1654" s="284"/>
      <c r="D1654" s="284"/>
      <c r="E1654" s="284"/>
      <c r="F1654" s="284"/>
      <c r="G1654" s="284"/>
      <c r="H1654" s="284"/>
      <c r="I1654" s="284"/>
      <c r="J1654" s="375"/>
      <c r="K1654" s="375"/>
      <c r="L1654" s="375"/>
      <c r="M1654" s="368"/>
      <c r="N1654" s="368"/>
      <c r="O1654" s="370"/>
      <c r="T1654" s="340"/>
      <c r="V1654" s="378"/>
      <c r="W1654" s="64" ph="1"/>
      <c r="X1654" s="241"/>
      <c r="Y1654" s="284"/>
      <c r="Z1654" s="207"/>
      <c r="AA1654" s="284"/>
      <c r="AB1654" s="284"/>
      <c r="AC1654" s="284"/>
      <c r="AD1654" s="284"/>
      <c r="AE1654" s="284"/>
      <c r="AF1654" s="284"/>
      <c r="AG1654" s="284"/>
      <c r="AI1654" s="131"/>
    </row>
    <row r="1655" spans="1:35" ht="26.4">
      <c r="A1655" s="284"/>
      <c r="B1655" s="284"/>
      <c r="C1655" s="284"/>
      <c r="D1655" s="284"/>
      <c r="E1655" s="284"/>
      <c r="F1655" s="284"/>
      <c r="G1655" s="284"/>
      <c r="H1655" s="284"/>
      <c r="I1655" s="284"/>
      <c r="J1655" s="375"/>
      <c r="K1655" s="375"/>
      <c r="L1655" s="375"/>
      <c r="M1655" s="368"/>
      <c r="N1655" s="368"/>
      <c r="O1655" s="370"/>
      <c r="T1655" s="340"/>
      <c r="V1655" s="378"/>
      <c r="W1655" s="64" ph="1"/>
      <c r="X1655" s="241"/>
      <c r="Y1655" s="284"/>
      <c r="Z1655" s="207"/>
      <c r="AA1655" s="284"/>
      <c r="AB1655" s="284"/>
      <c r="AC1655" s="284"/>
      <c r="AD1655" s="284"/>
      <c r="AE1655" s="284"/>
      <c r="AF1655" s="284"/>
      <c r="AG1655" s="284"/>
      <c r="AI1655" s="131"/>
    </row>
    <row r="1656" spans="1:35" ht="26.4">
      <c r="A1656" s="284"/>
      <c r="B1656" s="284"/>
      <c r="C1656" s="284"/>
      <c r="D1656" s="284"/>
      <c r="E1656" s="284"/>
      <c r="F1656" s="284"/>
      <c r="G1656" s="284"/>
      <c r="H1656" s="284"/>
      <c r="I1656" s="284"/>
      <c r="J1656" s="375"/>
      <c r="K1656" s="375"/>
      <c r="L1656" s="375"/>
      <c r="M1656" s="368"/>
      <c r="N1656" s="368"/>
      <c r="O1656" s="370"/>
      <c r="T1656" s="340"/>
      <c r="V1656" s="378"/>
      <c r="W1656" s="64" ph="1"/>
      <c r="X1656" s="241"/>
      <c r="Y1656" s="284"/>
      <c r="Z1656" s="207"/>
      <c r="AA1656" s="284"/>
      <c r="AB1656" s="284"/>
      <c r="AC1656" s="284"/>
      <c r="AD1656" s="284"/>
      <c r="AE1656" s="284"/>
      <c r="AF1656" s="284"/>
      <c r="AG1656" s="284"/>
      <c r="AI1656" s="131"/>
    </row>
    <row r="1657" spans="1:35" ht="26.4">
      <c r="A1657" s="284"/>
      <c r="B1657" s="284"/>
      <c r="C1657" s="284"/>
      <c r="D1657" s="284"/>
      <c r="E1657" s="284"/>
      <c r="F1657" s="284"/>
      <c r="G1657" s="284"/>
      <c r="H1657" s="284"/>
      <c r="I1657" s="284"/>
      <c r="J1657" s="375"/>
      <c r="K1657" s="375"/>
      <c r="L1657" s="375"/>
      <c r="M1657" s="368"/>
      <c r="N1657" s="368"/>
      <c r="O1657" s="370"/>
      <c r="T1657" s="340"/>
      <c r="V1657" s="378"/>
      <c r="W1657" s="64" ph="1"/>
      <c r="X1657" s="241"/>
      <c r="Y1657" s="284"/>
      <c r="Z1657" s="207"/>
      <c r="AA1657" s="284"/>
      <c r="AB1657" s="284"/>
      <c r="AC1657" s="284"/>
      <c r="AD1657" s="284"/>
      <c r="AE1657" s="284"/>
      <c r="AF1657" s="284"/>
      <c r="AG1657" s="284"/>
      <c r="AI1657" s="131"/>
    </row>
    <row r="1658" spans="1:35" ht="26.4">
      <c r="A1658" s="284"/>
      <c r="B1658" s="284"/>
      <c r="C1658" s="284"/>
      <c r="D1658" s="284"/>
      <c r="E1658" s="284"/>
      <c r="F1658" s="284"/>
      <c r="G1658" s="284"/>
      <c r="H1658" s="284"/>
      <c r="I1658" s="284"/>
      <c r="J1658" s="375"/>
      <c r="K1658" s="375"/>
      <c r="L1658" s="375"/>
      <c r="M1658" s="368"/>
      <c r="N1658" s="368"/>
      <c r="O1658" s="370"/>
      <c r="T1658" s="340"/>
      <c r="V1658" s="378"/>
      <c r="W1658" s="64" ph="1"/>
      <c r="X1658" s="241"/>
      <c r="Y1658" s="284"/>
      <c r="Z1658" s="207"/>
      <c r="AA1658" s="284"/>
      <c r="AB1658" s="284"/>
      <c r="AC1658" s="284"/>
      <c r="AD1658" s="284"/>
      <c r="AE1658" s="284"/>
      <c r="AF1658" s="284"/>
      <c r="AG1658" s="284"/>
      <c r="AI1658" s="131"/>
    </row>
    <row r="1659" spans="1:35" ht="26.4">
      <c r="A1659" s="284"/>
      <c r="B1659" s="284"/>
      <c r="C1659" s="284"/>
      <c r="D1659" s="284"/>
      <c r="E1659" s="284"/>
      <c r="F1659" s="284"/>
      <c r="G1659" s="284"/>
      <c r="H1659" s="284"/>
      <c r="I1659" s="284"/>
      <c r="J1659" s="375"/>
      <c r="K1659" s="375"/>
      <c r="L1659" s="375"/>
      <c r="M1659" s="368"/>
      <c r="N1659" s="368"/>
      <c r="O1659" s="370"/>
      <c r="T1659" s="340"/>
      <c r="V1659" s="378"/>
      <c r="W1659" s="64" ph="1"/>
      <c r="X1659" s="241"/>
      <c r="Y1659" s="284"/>
      <c r="Z1659" s="207"/>
      <c r="AA1659" s="284"/>
      <c r="AB1659" s="284"/>
      <c r="AC1659" s="284"/>
      <c r="AD1659" s="284"/>
      <c r="AE1659" s="284"/>
      <c r="AF1659" s="284"/>
      <c r="AG1659" s="284"/>
      <c r="AI1659" s="131"/>
    </row>
    <row r="1660" spans="1:35" ht="26.4">
      <c r="A1660" s="284"/>
      <c r="B1660" s="284"/>
      <c r="C1660" s="284"/>
      <c r="D1660" s="284"/>
      <c r="E1660" s="284"/>
      <c r="F1660" s="284"/>
      <c r="G1660" s="284"/>
      <c r="H1660" s="284"/>
      <c r="I1660" s="284"/>
      <c r="J1660" s="375"/>
      <c r="K1660" s="375"/>
      <c r="L1660" s="375"/>
      <c r="M1660" s="368"/>
      <c r="N1660" s="368"/>
      <c r="O1660" s="370"/>
      <c r="T1660" s="340"/>
      <c r="V1660" s="378"/>
      <c r="W1660" s="64" ph="1"/>
      <c r="X1660" s="241"/>
      <c r="Y1660" s="284"/>
      <c r="Z1660" s="207"/>
      <c r="AA1660" s="284"/>
      <c r="AB1660" s="284"/>
      <c r="AC1660" s="284"/>
      <c r="AD1660" s="284"/>
      <c r="AE1660" s="284"/>
      <c r="AF1660" s="284"/>
      <c r="AG1660" s="284"/>
      <c r="AI1660" s="131"/>
    </row>
    <row r="1661" spans="1:35" ht="26.4">
      <c r="A1661" s="284"/>
      <c r="B1661" s="284"/>
      <c r="C1661" s="284"/>
      <c r="D1661" s="284"/>
      <c r="E1661" s="284"/>
      <c r="F1661" s="284"/>
      <c r="G1661" s="284"/>
      <c r="H1661" s="284"/>
      <c r="I1661" s="284"/>
      <c r="J1661" s="375"/>
      <c r="K1661" s="375"/>
      <c r="L1661" s="375"/>
      <c r="M1661" s="368"/>
      <c r="N1661" s="368"/>
      <c r="O1661" s="370"/>
      <c r="T1661" s="340"/>
      <c r="V1661" s="378"/>
      <c r="W1661" s="64" ph="1"/>
      <c r="X1661" s="241"/>
      <c r="Y1661" s="284"/>
      <c r="Z1661" s="207"/>
      <c r="AA1661" s="284"/>
      <c r="AB1661" s="284"/>
      <c r="AC1661" s="284"/>
      <c r="AD1661" s="284"/>
      <c r="AE1661" s="284"/>
      <c r="AF1661" s="284"/>
      <c r="AG1661" s="284"/>
      <c r="AI1661" s="131"/>
    </row>
    <row r="1662" spans="1:35" ht="26.4">
      <c r="A1662" s="284"/>
      <c r="B1662" s="284"/>
      <c r="C1662" s="284"/>
      <c r="D1662" s="284"/>
      <c r="E1662" s="284"/>
      <c r="F1662" s="284"/>
      <c r="G1662" s="284"/>
      <c r="H1662" s="284"/>
      <c r="I1662" s="284"/>
      <c r="J1662" s="375"/>
      <c r="K1662" s="375"/>
      <c r="L1662" s="375"/>
      <c r="M1662" s="368"/>
      <c r="N1662" s="368"/>
      <c r="O1662" s="370"/>
      <c r="T1662" s="340"/>
      <c r="V1662" s="378"/>
      <c r="W1662" s="64" ph="1"/>
      <c r="X1662" s="241"/>
      <c r="Y1662" s="284"/>
      <c r="Z1662" s="207"/>
      <c r="AA1662" s="284"/>
      <c r="AB1662" s="284"/>
      <c r="AC1662" s="284"/>
      <c r="AD1662" s="284"/>
      <c r="AE1662" s="284"/>
      <c r="AF1662" s="284"/>
      <c r="AG1662" s="284"/>
      <c r="AI1662" s="131"/>
    </row>
    <row r="1663" spans="1:35" ht="26.4">
      <c r="A1663" s="284"/>
      <c r="B1663" s="284"/>
      <c r="C1663" s="284"/>
      <c r="D1663" s="284"/>
      <c r="E1663" s="284"/>
      <c r="F1663" s="284"/>
      <c r="G1663" s="284"/>
      <c r="H1663" s="284"/>
      <c r="I1663" s="284"/>
      <c r="J1663" s="375"/>
      <c r="K1663" s="375"/>
      <c r="L1663" s="375"/>
      <c r="M1663" s="368"/>
      <c r="N1663" s="368"/>
      <c r="O1663" s="370"/>
      <c r="T1663" s="340"/>
      <c r="V1663" s="378"/>
      <c r="W1663" s="64" ph="1"/>
      <c r="X1663" s="241"/>
      <c r="Y1663" s="284"/>
      <c r="Z1663" s="207"/>
      <c r="AA1663" s="284"/>
      <c r="AB1663" s="284"/>
      <c r="AC1663" s="284"/>
      <c r="AD1663" s="284"/>
      <c r="AE1663" s="284"/>
      <c r="AF1663" s="284"/>
      <c r="AG1663" s="284"/>
      <c r="AI1663" s="131"/>
    </row>
    <row r="1664" spans="1:35" ht="26.4">
      <c r="A1664" s="284"/>
      <c r="B1664" s="284"/>
      <c r="C1664" s="284"/>
      <c r="D1664" s="284"/>
      <c r="E1664" s="284"/>
      <c r="F1664" s="284"/>
      <c r="G1664" s="284"/>
      <c r="H1664" s="284"/>
      <c r="I1664" s="284"/>
      <c r="J1664" s="375"/>
      <c r="K1664" s="375"/>
      <c r="L1664" s="375"/>
      <c r="M1664" s="368"/>
      <c r="N1664" s="368"/>
      <c r="O1664" s="370"/>
      <c r="T1664" s="340"/>
      <c r="V1664" s="378"/>
      <c r="W1664" s="64" ph="1"/>
      <c r="X1664" s="241"/>
      <c r="Y1664" s="284"/>
      <c r="Z1664" s="207"/>
      <c r="AA1664" s="284"/>
      <c r="AB1664" s="284"/>
      <c r="AC1664" s="284"/>
      <c r="AD1664" s="284"/>
      <c r="AE1664" s="284"/>
      <c r="AF1664" s="284"/>
      <c r="AG1664" s="284"/>
      <c r="AI1664" s="131"/>
    </row>
    <row r="1665" spans="1:35" ht="26.4">
      <c r="A1665" s="284"/>
      <c r="B1665" s="284"/>
      <c r="C1665" s="284"/>
      <c r="D1665" s="284"/>
      <c r="E1665" s="284"/>
      <c r="F1665" s="284"/>
      <c r="G1665" s="284"/>
      <c r="H1665" s="284"/>
      <c r="I1665" s="284"/>
      <c r="J1665" s="375"/>
      <c r="K1665" s="375"/>
      <c r="L1665" s="375"/>
      <c r="M1665" s="368"/>
      <c r="N1665" s="368"/>
      <c r="O1665" s="370"/>
      <c r="T1665" s="340"/>
      <c r="V1665" s="378"/>
      <c r="W1665" s="64" ph="1"/>
      <c r="X1665" s="241"/>
      <c r="Y1665" s="284"/>
      <c r="Z1665" s="207"/>
      <c r="AA1665" s="284"/>
      <c r="AB1665" s="284"/>
      <c r="AC1665" s="284"/>
      <c r="AD1665" s="284"/>
      <c r="AE1665" s="284"/>
      <c r="AF1665" s="284"/>
      <c r="AG1665" s="284"/>
      <c r="AI1665" s="131"/>
    </row>
    <row r="1666" spans="1:35" ht="26.4">
      <c r="A1666" s="284"/>
      <c r="B1666" s="284"/>
      <c r="C1666" s="284"/>
      <c r="D1666" s="284"/>
      <c r="E1666" s="284"/>
      <c r="F1666" s="284"/>
      <c r="G1666" s="284"/>
      <c r="H1666" s="284"/>
      <c r="I1666" s="284"/>
      <c r="J1666" s="375"/>
      <c r="K1666" s="375"/>
      <c r="L1666" s="375"/>
      <c r="M1666" s="368"/>
      <c r="N1666" s="368"/>
      <c r="O1666" s="370"/>
      <c r="T1666" s="340"/>
      <c r="V1666" s="378"/>
      <c r="W1666" s="64" ph="1"/>
      <c r="X1666" s="241"/>
      <c r="Y1666" s="284"/>
      <c r="Z1666" s="207"/>
      <c r="AA1666" s="284"/>
      <c r="AB1666" s="284"/>
      <c r="AC1666" s="284"/>
      <c r="AD1666" s="284"/>
      <c r="AE1666" s="284"/>
      <c r="AF1666" s="284"/>
      <c r="AG1666" s="284"/>
    </row>
    <row r="1667" spans="1:35" ht="26.4">
      <c r="A1667" s="284"/>
      <c r="B1667" s="284"/>
      <c r="C1667" s="284"/>
      <c r="D1667" s="284"/>
      <c r="E1667" s="284"/>
      <c r="F1667" s="284"/>
      <c r="G1667" s="284"/>
      <c r="H1667" s="284"/>
      <c r="I1667" s="284"/>
      <c r="J1667" s="375"/>
      <c r="K1667" s="375"/>
      <c r="L1667" s="375"/>
      <c r="M1667" s="368"/>
      <c r="N1667" s="368"/>
      <c r="O1667" s="370"/>
      <c r="T1667" s="340"/>
      <c r="V1667" s="378"/>
      <c r="W1667" s="64" ph="1"/>
      <c r="X1667" s="241"/>
      <c r="Y1667" s="284"/>
      <c r="Z1667" s="207"/>
      <c r="AA1667" s="284"/>
      <c r="AB1667" s="284"/>
      <c r="AC1667" s="284"/>
      <c r="AD1667" s="284"/>
      <c r="AE1667" s="284"/>
      <c r="AF1667" s="284"/>
      <c r="AG1667" s="284"/>
      <c r="AI1667" s="131"/>
    </row>
    <row r="1668" spans="1:35" ht="26.4">
      <c r="A1668" s="284"/>
      <c r="B1668" s="284"/>
      <c r="C1668" s="284"/>
      <c r="D1668" s="284"/>
      <c r="E1668" s="284"/>
      <c r="F1668" s="284"/>
      <c r="G1668" s="284"/>
      <c r="H1668" s="284"/>
      <c r="I1668" s="284"/>
      <c r="J1668" s="375"/>
      <c r="K1668" s="375"/>
      <c r="L1668" s="375"/>
      <c r="M1668" s="368"/>
      <c r="N1668" s="368"/>
      <c r="O1668" s="370"/>
      <c r="T1668" s="340"/>
      <c r="V1668" s="378"/>
      <c r="W1668" s="64" ph="1"/>
      <c r="X1668" s="241"/>
      <c r="Y1668" s="284"/>
      <c r="Z1668" s="207"/>
      <c r="AA1668" s="284"/>
      <c r="AB1668" s="284"/>
      <c r="AC1668" s="284"/>
      <c r="AD1668" s="284"/>
      <c r="AE1668" s="284"/>
      <c r="AF1668" s="284"/>
      <c r="AG1668" s="284"/>
      <c r="AI1668" s="131"/>
    </row>
    <row r="1669" spans="1:35" ht="26.4">
      <c r="A1669" s="284"/>
      <c r="B1669" s="284"/>
      <c r="C1669" s="284"/>
      <c r="D1669" s="284"/>
      <c r="E1669" s="284"/>
      <c r="F1669" s="284"/>
      <c r="G1669" s="284"/>
      <c r="H1669" s="284"/>
      <c r="I1669" s="284"/>
      <c r="J1669" s="375"/>
      <c r="K1669" s="375"/>
      <c r="L1669" s="375"/>
      <c r="M1669" s="368"/>
      <c r="N1669" s="368"/>
      <c r="O1669" s="370"/>
      <c r="T1669" s="340"/>
      <c r="V1669" s="378"/>
      <c r="W1669" s="64" ph="1"/>
      <c r="X1669" s="241"/>
      <c r="Y1669" s="284"/>
      <c r="Z1669" s="207"/>
      <c r="AA1669" s="284"/>
      <c r="AB1669" s="284"/>
      <c r="AC1669" s="284"/>
      <c r="AD1669" s="284"/>
      <c r="AE1669" s="284"/>
      <c r="AF1669" s="284"/>
      <c r="AG1669" s="284"/>
      <c r="AI1669" s="131"/>
    </row>
    <row r="1670" spans="1:35" ht="26.4">
      <c r="A1670" s="284"/>
      <c r="B1670" s="284"/>
      <c r="C1670" s="284"/>
      <c r="D1670" s="284"/>
      <c r="E1670" s="284"/>
      <c r="F1670" s="284"/>
      <c r="G1670" s="284"/>
      <c r="H1670" s="284"/>
      <c r="I1670" s="284"/>
      <c r="J1670" s="375"/>
      <c r="K1670" s="375"/>
      <c r="L1670" s="375"/>
      <c r="M1670" s="368"/>
      <c r="N1670" s="368"/>
      <c r="O1670" s="370"/>
      <c r="T1670" s="340"/>
      <c r="V1670" s="378"/>
      <c r="W1670" s="64" ph="1"/>
      <c r="X1670" s="241"/>
      <c r="Y1670" s="284"/>
      <c r="Z1670" s="207"/>
      <c r="AA1670" s="284"/>
      <c r="AB1670" s="284"/>
      <c r="AC1670" s="284"/>
      <c r="AD1670" s="284"/>
      <c r="AE1670" s="284"/>
      <c r="AF1670" s="284"/>
      <c r="AG1670" s="284"/>
      <c r="AI1670" s="131"/>
    </row>
    <row r="1671" spans="1:35" ht="26.4">
      <c r="A1671" s="284"/>
      <c r="B1671" s="284"/>
      <c r="C1671" s="284"/>
      <c r="D1671" s="284"/>
      <c r="E1671" s="284"/>
      <c r="F1671" s="284"/>
      <c r="G1671" s="284"/>
      <c r="H1671" s="284"/>
      <c r="I1671" s="284"/>
      <c r="J1671" s="375"/>
      <c r="K1671" s="375"/>
      <c r="L1671" s="375"/>
      <c r="M1671" s="368"/>
      <c r="N1671" s="368"/>
      <c r="O1671" s="370"/>
      <c r="T1671" s="340"/>
      <c r="V1671" s="378"/>
      <c r="W1671" s="64" ph="1"/>
      <c r="X1671" s="241"/>
      <c r="Y1671" s="284"/>
      <c r="Z1671" s="207"/>
      <c r="AA1671" s="284"/>
      <c r="AB1671" s="284"/>
      <c r="AC1671" s="284"/>
      <c r="AD1671" s="284"/>
      <c r="AE1671" s="284"/>
      <c r="AF1671" s="284"/>
      <c r="AG1671" s="284"/>
      <c r="AI1671" s="131"/>
    </row>
    <row r="1672" spans="1:35" ht="26.4">
      <c r="A1672" s="284"/>
      <c r="B1672" s="284"/>
      <c r="C1672" s="284"/>
      <c r="D1672" s="284"/>
      <c r="E1672" s="284"/>
      <c r="F1672" s="284"/>
      <c r="G1672" s="284"/>
      <c r="H1672" s="284"/>
      <c r="I1672" s="284"/>
      <c r="J1672" s="375"/>
      <c r="K1672" s="375"/>
      <c r="L1672" s="375"/>
      <c r="M1672" s="368"/>
      <c r="N1672" s="368"/>
      <c r="O1672" s="370"/>
      <c r="T1672" s="340"/>
      <c r="V1672" s="378"/>
      <c r="W1672" s="64" ph="1"/>
      <c r="X1672" s="241"/>
      <c r="Y1672" s="284"/>
      <c r="Z1672" s="207"/>
      <c r="AA1672" s="284"/>
      <c r="AB1672" s="284"/>
      <c r="AC1672" s="284"/>
      <c r="AD1672" s="284"/>
      <c r="AE1672" s="284"/>
      <c r="AF1672" s="284"/>
      <c r="AG1672" s="284"/>
      <c r="AI1672" s="131"/>
    </row>
    <row r="1673" spans="1:35" ht="26.4">
      <c r="A1673" s="284"/>
      <c r="B1673" s="284"/>
      <c r="C1673" s="284"/>
      <c r="D1673" s="284"/>
      <c r="E1673" s="284"/>
      <c r="F1673" s="284"/>
      <c r="G1673" s="284"/>
      <c r="H1673" s="284"/>
      <c r="I1673" s="284"/>
      <c r="J1673" s="375"/>
      <c r="K1673" s="375"/>
      <c r="L1673" s="375"/>
      <c r="M1673" s="368"/>
      <c r="N1673" s="368"/>
      <c r="O1673" s="370"/>
      <c r="T1673" s="340"/>
      <c r="V1673" s="378"/>
      <c r="W1673" s="64" ph="1"/>
      <c r="X1673" s="241"/>
      <c r="Y1673" s="284"/>
      <c r="Z1673" s="207"/>
      <c r="AA1673" s="284"/>
      <c r="AB1673" s="284"/>
      <c r="AC1673" s="284"/>
      <c r="AD1673" s="284"/>
      <c r="AE1673" s="284"/>
      <c r="AF1673" s="284"/>
      <c r="AG1673" s="284"/>
      <c r="AI1673" s="131"/>
    </row>
    <row r="1674" spans="1:35" ht="26.4">
      <c r="A1674" s="284"/>
      <c r="B1674" s="284"/>
      <c r="C1674" s="284"/>
      <c r="D1674" s="284"/>
      <c r="E1674" s="284"/>
      <c r="F1674" s="284"/>
      <c r="G1674" s="284"/>
      <c r="H1674" s="284"/>
      <c r="I1674" s="284"/>
      <c r="J1674" s="375"/>
      <c r="K1674" s="375"/>
      <c r="L1674" s="375"/>
      <c r="M1674" s="368"/>
      <c r="N1674" s="368"/>
      <c r="O1674" s="370"/>
      <c r="T1674" s="340"/>
      <c r="V1674" s="378"/>
      <c r="W1674" s="64" ph="1"/>
      <c r="X1674" s="241"/>
      <c r="Y1674" s="284"/>
      <c r="Z1674" s="207"/>
      <c r="AA1674" s="284"/>
      <c r="AB1674" s="284"/>
      <c r="AC1674" s="284"/>
      <c r="AD1674" s="284"/>
      <c r="AE1674" s="284"/>
      <c r="AF1674" s="284"/>
      <c r="AG1674" s="284"/>
      <c r="AI1674" s="131"/>
    </row>
    <row r="1675" spans="1:35" ht="26.4">
      <c r="A1675" s="284"/>
      <c r="B1675" s="284"/>
      <c r="C1675" s="284"/>
      <c r="D1675" s="284"/>
      <c r="E1675" s="284"/>
      <c r="F1675" s="284"/>
      <c r="G1675" s="284"/>
      <c r="H1675" s="284"/>
      <c r="I1675" s="284"/>
      <c r="J1675" s="375"/>
      <c r="K1675" s="375"/>
      <c r="L1675" s="375"/>
      <c r="M1675" s="368"/>
      <c r="N1675" s="368"/>
      <c r="O1675" s="370"/>
      <c r="T1675" s="340"/>
      <c r="V1675" s="378"/>
      <c r="W1675" s="64" ph="1"/>
      <c r="X1675" s="241"/>
      <c r="Y1675" s="284"/>
      <c r="Z1675" s="207"/>
      <c r="AA1675" s="284"/>
      <c r="AB1675" s="284"/>
      <c r="AC1675" s="284"/>
      <c r="AD1675" s="284"/>
      <c r="AE1675" s="284"/>
      <c r="AF1675" s="284"/>
      <c r="AG1675" s="284"/>
      <c r="AI1675" s="131"/>
    </row>
    <row r="1676" spans="1:35" ht="26.4">
      <c r="A1676" s="284"/>
      <c r="B1676" s="284"/>
      <c r="C1676" s="284"/>
      <c r="D1676" s="284"/>
      <c r="E1676" s="284"/>
      <c r="F1676" s="284"/>
      <c r="G1676" s="284"/>
      <c r="H1676" s="284"/>
      <c r="I1676" s="284"/>
      <c r="J1676" s="375"/>
      <c r="K1676" s="375"/>
      <c r="L1676" s="375"/>
      <c r="M1676" s="368"/>
      <c r="N1676" s="368"/>
      <c r="O1676" s="370"/>
      <c r="T1676" s="340"/>
      <c r="V1676" s="378"/>
      <c r="W1676" s="64" ph="1"/>
      <c r="X1676" s="241"/>
      <c r="Y1676" s="284"/>
      <c r="Z1676" s="207"/>
      <c r="AA1676" s="284"/>
      <c r="AB1676" s="284"/>
      <c r="AC1676" s="284"/>
      <c r="AD1676" s="284"/>
      <c r="AE1676" s="284"/>
      <c r="AF1676" s="284"/>
      <c r="AG1676" s="284"/>
      <c r="AI1676" s="131"/>
    </row>
    <row r="1677" spans="1:35" ht="26.4">
      <c r="A1677" s="284"/>
      <c r="B1677" s="284"/>
      <c r="C1677" s="284"/>
      <c r="D1677" s="284"/>
      <c r="E1677" s="284"/>
      <c r="F1677" s="284"/>
      <c r="G1677" s="284"/>
      <c r="H1677" s="284"/>
      <c r="I1677" s="284"/>
      <c r="J1677" s="375"/>
      <c r="K1677" s="375"/>
      <c r="L1677" s="375"/>
      <c r="M1677" s="368"/>
      <c r="N1677" s="368"/>
      <c r="O1677" s="370"/>
      <c r="T1677" s="340"/>
      <c r="V1677" s="378"/>
      <c r="W1677" s="64" ph="1"/>
      <c r="X1677" s="241"/>
      <c r="Y1677" s="284"/>
      <c r="Z1677" s="207"/>
      <c r="AA1677" s="284"/>
      <c r="AB1677" s="284"/>
      <c r="AC1677" s="284"/>
      <c r="AD1677" s="284"/>
      <c r="AE1677" s="284"/>
      <c r="AF1677" s="284"/>
      <c r="AG1677" s="284"/>
      <c r="AI1677" s="131"/>
    </row>
    <row r="1678" spans="1:35" ht="26.4">
      <c r="A1678" s="284"/>
      <c r="B1678" s="284"/>
      <c r="C1678" s="284"/>
      <c r="D1678" s="284"/>
      <c r="E1678" s="284"/>
      <c r="F1678" s="284"/>
      <c r="G1678" s="284"/>
      <c r="H1678" s="284"/>
      <c r="I1678" s="284"/>
      <c r="J1678" s="375"/>
      <c r="K1678" s="375"/>
      <c r="L1678" s="375"/>
      <c r="M1678" s="368"/>
      <c r="N1678" s="368"/>
      <c r="O1678" s="370"/>
      <c r="T1678" s="340"/>
      <c r="V1678" s="378"/>
      <c r="W1678" s="64" ph="1"/>
      <c r="X1678" s="241"/>
      <c r="Y1678" s="284"/>
      <c r="Z1678" s="207"/>
      <c r="AA1678" s="284"/>
      <c r="AB1678" s="284"/>
      <c r="AC1678" s="284"/>
      <c r="AD1678" s="284"/>
      <c r="AE1678" s="284"/>
      <c r="AF1678" s="284"/>
      <c r="AG1678" s="284"/>
      <c r="AI1678" s="131"/>
    </row>
    <row r="1679" spans="1:35" ht="26.4">
      <c r="A1679" s="284"/>
      <c r="B1679" s="284"/>
      <c r="C1679" s="284"/>
      <c r="D1679" s="284"/>
      <c r="E1679" s="284"/>
      <c r="F1679" s="284"/>
      <c r="G1679" s="284"/>
      <c r="H1679" s="284"/>
      <c r="I1679" s="284"/>
      <c r="J1679" s="375"/>
      <c r="K1679" s="375"/>
      <c r="L1679" s="375"/>
      <c r="M1679" s="368"/>
      <c r="N1679" s="368"/>
      <c r="O1679" s="370"/>
      <c r="T1679" s="340"/>
      <c r="V1679" s="378"/>
      <c r="W1679" s="64" ph="1"/>
      <c r="X1679" s="241"/>
      <c r="Y1679" s="284"/>
      <c r="Z1679" s="207"/>
      <c r="AA1679" s="284"/>
      <c r="AB1679" s="284"/>
      <c r="AC1679" s="284"/>
      <c r="AD1679" s="284"/>
      <c r="AE1679" s="284"/>
      <c r="AF1679" s="284"/>
      <c r="AG1679" s="284"/>
      <c r="AI1679" s="131"/>
    </row>
    <row r="1680" spans="1:35" ht="26.4">
      <c r="A1680" s="284"/>
      <c r="B1680" s="284"/>
      <c r="C1680" s="284"/>
      <c r="D1680" s="284"/>
      <c r="E1680" s="284"/>
      <c r="F1680" s="284"/>
      <c r="G1680" s="284"/>
      <c r="H1680" s="284"/>
      <c r="I1680" s="284"/>
      <c r="J1680" s="375"/>
      <c r="K1680" s="375"/>
      <c r="L1680" s="375"/>
      <c r="M1680" s="368"/>
      <c r="N1680" s="368"/>
      <c r="O1680" s="370"/>
      <c r="T1680" s="340"/>
      <c r="V1680" s="378"/>
      <c r="W1680" s="64" ph="1"/>
      <c r="X1680" s="241"/>
      <c r="Y1680" s="284"/>
      <c r="Z1680" s="207"/>
      <c r="AA1680" s="284"/>
      <c r="AB1680" s="284"/>
      <c r="AC1680" s="284"/>
      <c r="AD1680" s="284"/>
      <c r="AE1680" s="284"/>
      <c r="AF1680" s="284"/>
      <c r="AG1680" s="284"/>
      <c r="AI1680" s="131"/>
    </row>
    <row r="1681" spans="1:35" ht="26.4">
      <c r="A1681" s="284"/>
      <c r="B1681" s="284"/>
      <c r="C1681" s="284"/>
      <c r="D1681" s="284"/>
      <c r="E1681" s="284"/>
      <c r="F1681" s="284"/>
      <c r="G1681" s="284"/>
      <c r="H1681" s="284"/>
      <c r="I1681" s="284"/>
      <c r="J1681" s="375"/>
      <c r="K1681" s="375"/>
      <c r="L1681" s="375"/>
      <c r="M1681" s="368"/>
      <c r="N1681" s="368"/>
      <c r="O1681" s="370"/>
      <c r="T1681" s="340"/>
      <c r="V1681" s="378"/>
      <c r="W1681" s="64" ph="1"/>
      <c r="X1681" s="241"/>
      <c r="Y1681" s="284"/>
      <c r="Z1681" s="207"/>
      <c r="AA1681" s="284"/>
      <c r="AB1681" s="284"/>
      <c r="AC1681" s="284"/>
      <c r="AD1681" s="284"/>
      <c r="AE1681" s="284"/>
      <c r="AF1681" s="284"/>
      <c r="AG1681" s="284"/>
      <c r="AI1681" s="131"/>
    </row>
    <row r="1682" spans="1:35" ht="26.4">
      <c r="A1682" s="284"/>
      <c r="B1682" s="284"/>
      <c r="C1682" s="284"/>
      <c r="D1682" s="284"/>
      <c r="E1682" s="284"/>
      <c r="F1682" s="284"/>
      <c r="G1682" s="284"/>
      <c r="H1682" s="284"/>
      <c r="I1682" s="284"/>
      <c r="J1682" s="375"/>
      <c r="K1682" s="375"/>
      <c r="L1682" s="375"/>
      <c r="M1682" s="368"/>
      <c r="N1682" s="368"/>
      <c r="O1682" s="370"/>
      <c r="T1682" s="340"/>
      <c r="V1682" s="378"/>
      <c r="W1682" s="64" ph="1"/>
      <c r="X1682" s="241"/>
      <c r="Y1682" s="284"/>
      <c r="Z1682" s="207"/>
      <c r="AA1682" s="284"/>
      <c r="AB1682" s="284"/>
      <c r="AC1682" s="284"/>
      <c r="AD1682" s="284"/>
      <c r="AE1682" s="284"/>
      <c r="AF1682" s="284"/>
      <c r="AG1682" s="284"/>
      <c r="AI1682" s="131"/>
    </row>
    <row r="1683" spans="1:35" ht="26.4">
      <c r="A1683" s="284"/>
      <c r="B1683" s="284"/>
      <c r="C1683" s="284"/>
      <c r="D1683" s="284"/>
      <c r="E1683" s="284"/>
      <c r="F1683" s="284"/>
      <c r="G1683" s="284"/>
      <c r="H1683" s="284"/>
      <c r="I1683" s="284"/>
      <c r="J1683" s="375"/>
      <c r="K1683" s="375"/>
      <c r="L1683" s="375"/>
      <c r="M1683" s="368"/>
      <c r="N1683" s="368"/>
      <c r="O1683" s="370"/>
      <c r="T1683" s="340"/>
      <c r="V1683" s="378"/>
      <c r="W1683" s="64" ph="1"/>
      <c r="X1683" s="241"/>
      <c r="Y1683" s="284"/>
      <c r="Z1683" s="207"/>
      <c r="AA1683" s="284"/>
      <c r="AB1683" s="284"/>
      <c r="AC1683" s="284"/>
      <c r="AD1683" s="284"/>
      <c r="AE1683" s="284"/>
      <c r="AF1683" s="284"/>
      <c r="AG1683" s="284"/>
      <c r="AI1683" s="131"/>
    </row>
    <row r="1684" spans="1:35" ht="26.4">
      <c r="A1684" s="284"/>
      <c r="B1684" s="284"/>
      <c r="C1684" s="284"/>
      <c r="D1684" s="284"/>
      <c r="E1684" s="284"/>
      <c r="F1684" s="284"/>
      <c r="G1684" s="284"/>
      <c r="H1684" s="284"/>
      <c r="I1684" s="284"/>
      <c r="J1684" s="375"/>
      <c r="K1684" s="375"/>
      <c r="L1684" s="375"/>
      <c r="M1684" s="368"/>
      <c r="N1684" s="368"/>
      <c r="O1684" s="370"/>
      <c r="T1684" s="340"/>
      <c r="V1684" s="378"/>
      <c r="W1684" s="64" ph="1"/>
      <c r="X1684" s="241"/>
      <c r="Y1684" s="284"/>
      <c r="Z1684" s="207"/>
      <c r="AA1684" s="284"/>
      <c r="AB1684" s="284"/>
      <c r="AC1684" s="284"/>
      <c r="AD1684" s="284"/>
      <c r="AE1684" s="284"/>
      <c r="AF1684" s="284"/>
      <c r="AG1684" s="284"/>
      <c r="AI1684" s="131"/>
    </row>
    <row r="1685" spans="1:35" ht="26.4">
      <c r="A1685" s="284"/>
      <c r="B1685" s="284"/>
      <c r="C1685" s="284"/>
      <c r="D1685" s="284"/>
      <c r="E1685" s="284"/>
      <c r="F1685" s="284"/>
      <c r="G1685" s="284"/>
      <c r="H1685" s="284"/>
      <c r="I1685" s="284"/>
      <c r="J1685" s="375"/>
      <c r="K1685" s="375"/>
      <c r="L1685" s="375"/>
      <c r="M1685" s="368"/>
      <c r="N1685" s="368"/>
      <c r="O1685" s="370"/>
      <c r="T1685" s="340"/>
      <c r="V1685" s="378"/>
      <c r="W1685" s="64" ph="1"/>
      <c r="X1685" s="241"/>
      <c r="Y1685" s="284"/>
      <c r="Z1685" s="207"/>
      <c r="AA1685" s="284"/>
      <c r="AB1685" s="284"/>
      <c r="AC1685" s="284"/>
      <c r="AD1685" s="284"/>
      <c r="AE1685" s="284"/>
      <c r="AF1685" s="284"/>
      <c r="AG1685" s="284"/>
      <c r="AI1685" s="131"/>
    </row>
    <row r="1686" spans="1:35" ht="26.4">
      <c r="A1686" s="284"/>
      <c r="B1686" s="284"/>
      <c r="C1686" s="284"/>
      <c r="D1686" s="284"/>
      <c r="E1686" s="284"/>
      <c r="F1686" s="284"/>
      <c r="G1686" s="284"/>
      <c r="H1686" s="284"/>
      <c r="I1686" s="284"/>
      <c r="J1686" s="375"/>
      <c r="K1686" s="375"/>
      <c r="L1686" s="375"/>
      <c r="M1686" s="368"/>
      <c r="N1686" s="368"/>
      <c r="O1686" s="370"/>
      <c r="T1686" s="340"/>
      <c r="V1686" s="378"/>
      <c r="W1686" s="64" ph="1"/>
      <c r="X1686" s="241"/>
      <c r="Y1686" s="284"/>
      <c r="Z1686" s="207"/>
      <c r="AA1686" s="284"/>
      <c r="AB1686" s="284"/>
      <c r="AC1686" s="284"/>
      <c r="AD1686" s="284"/>
      <c r="AE1686" s="284"/>
      <c r="AF1686" s="284"/>
      <c r="AG1686" s="284"/>
      <c r="AI1686" s="131"/>
    </row>
    <row r="1687" spans="1:35" ht="26.4">
      <c r="A1687" s="284"/>
      <c r="B1687" s="284"/>
      <c r="C1687" s="284"/>
      <c r="D1687" s="284"/>
      <c r="E1687" s="284"/>
      <c r="F1687" s="284"/>
      <c r="G1687" s="284"/>
      <c r="H1687" s="284"/>
      <c r="I1687" s="284"/>
      <c r="J1687" s="375"/>
      <c r="K1687" s="375"/>
      <c r="L1687" s="375"/>
      <c r="M1687" s="368"/>
      <c r="N1687" s="368"/>
      <c r="O1687" s="370"/>
      <c r="T1687" s="340"/>
      <c r="V1687" s="378"/>
      <c r="W1687" s="64" ph="1"/>
      <c r="X1687" s="241"/>
      <c r="Y1687" s="284"/>
      <c r="Z1687" s="207"/>
      <c r="AA1687" s="284"/>
      <c r="AB1687" s="284"/>
      <c r="AC1687" s="284"/>
      <c r="AD1687" s="284"/>
      <c r="AE1687" s="284"/>
      <c r="AF1687" s="284"/>
      <c r="AG1687" s="284"/>
      <c r="AI1687" s="131"/>
    </row>
    <row r="1688" spans="1:35" ht="26.4">
      <c r="A1688" s="284"/>
      <c r="B1688" s="284"/>
      <c r="C1688" s="284"/>
      <c r="D1688" s="284"/>
      <c r="E1688" s="284"/>
      <c r="F1688" s="284"/>
      <c r="G1688" s="284"/>
      <c r="H1688" s="284"/>
      <c r="I1688" s="284"/>
      <c r="J1688" s="375"/>
      <c r="K1688" s="375"/>
      <c r="L1688" s="375"/>
      <c r="M1688" s="368"/>
      <c r="N1688" s="368"/>
      <c r="O1688" s="370"/>
      <c r="T1688" s="340"/>
      <c r="V1688" s="378"/>
      <c r="W1688" s="64" ph="1"/>
      <c r="X1688" s="241"/>
      <c r="Y1688" s="284"/>
      <c r="Z1688" s="207"/>
      <c r="AA1688" s="284"/>
      <c r="AB1688" s="284"/>
      <c r="AC1688" s="284"/>
      <c r="AD1688" s="284"/>
      <c r="AE1688" s="284"/>
      <c r="AF1688" s="284"/>
      <c r="AG1688" s="284"/>
      <c r="AI1688" s="131"/>
    </row>
    <row r="1689" spans="1:35" ht="26.4">
      <c r="A1689" s="284"/>
      <c r="B1689" s="284"/>
      <c r="C1689" s="284"/>
      <c r="D1689" s="284"/>
      <c r="E1689" s="284"/>
      <c r="F1689" s="284"/>
      <c r="G1689" s="284"/>
      <c r="H1689" s="284"/>
      <c r="I1689" s="284"/>
      <c r="J1689" s="375"/>
      <c r="K1689" s="375"/>
      <c r="L1689" s="375"/>
      <c r="M1689" s="368"/>
      <c r="N1689" s="368"/>
      <c r="O1689" s="370"/>
      <c r="T1689" s="340"/>
      <c r="V1689" s="378"/>
      <c r="W1689" s="64" ph="1"/>
      <c r="X1689" s="241"/>
      <c r="Y1689" s="284"/>
      <c r="Z1689" s="207"/>
      <c r="AA1689" s="284"/>
      <c r="AB1689" s="284"/>
      <c r="AC1689" s="284"/>
      <c r="AD1689" s="284"/>
      <c r="AE1689" s="284"/>
      <c r="AF1689" s="284"/>
      <c r="AG1689" s="284"/>
      <c r="AI1689" s="131"/>
    </row>
    <row r="1690" spans="1:35" ht="26.4">
      <c r="A1690" s="284"/>
      <c r="B1690" s="284"/>
      <c r="C1690" s="284"/>
      <c r="D1690" s="284"/>
      <c r="E1690" s="284"/>
      <c r="F1690" s="284"/>
      <c r="G1690" s="284"/>
      <c r="H1690" s="284"/>
      <c r="I1690" s="284"/>
      <c r="J1690" s="375"/>
      <c r="K1690" s="375"/>
      <c r="L1690" s="375"/>
      <c r="M1690" s="368"/>
      <c r="N1690" s="368"/>
      <c r="O1690" s="370"/>
      <c r="T1690" s="340"/>
      <c r="V1690" s="378"/>
      <c r="W1690" s="64" ph="1"/>
      <c r="X1690" s="241"/>
      <c r="Y1690" s="284"/>
      <c r="Z1690" s="207"/>
      <c r="AA1690" s="284"/>
      <c r="AB1690" s="284"/>
      <c r="AC1690" s="284"/>
      <c r="AD1690" s="284"/>
      <c r="AE1690" s="284"/>
      <c r="AF1690" s="284"/>
      <c r="AG1690" s="284"/>
      <c r="AI1690" s="131"/>
    </row>
    <row r="1691" spans="1:35" ht="26.4">
      <c r="A1691" s="284"/>
      <c r="B1691" s="284"/>
      <c r="C1691" s="284"/>
      <c r="D1691" s="284"/>
      <c r="E1691" s="284"/>
      <c r="F1691" s="284"/>
      <c r="G1691" s="284"/>
      <c r="H1691" s="284"/>
      <c r="I1691" s="284"/>
      <c r="J1691" s="375"/>
      <c r="K1691" s="375"/>
      <c r="L1691" s="375"/>
      <c r="M1691" s="368"/>
      <c r="N1691" s="368"/>
      <c r="O1691" s="370"/>
      <c r="T1691" s="340"/>
      <c r="V1691" s="378"/>
      <c r="W1691" s="64" ph="1"/>
      <c r="X1691" s="241"/>
      <c r="Y1691" s="284"/>
      <c r="Z1691" s="207"/>
      <c r="AA1691" s="284"/>
      <c r="AB1691" s="284"/>
      <c r="AC1691" s="284"/>
      <c r="AD1691" s="284"/>
      <c r="AE1691" s="284"/>
      <c r="AF1691" s="284"/>
      <c r="AG1691" s="284"/>
      <c r="AI1691" s="131"/>
    </row>
    <row r="1692" spans="1:35" ht="26.4">
      <c r="A1692" s="284"/>
      <c r="B1692" s="284"/>
      <c r="C1692" s="284"/>
      <c r="D1692" s="284"/>
      <c r="E1692" s="284"/>
      <c r="F1692" s="284"/>
      <c r="G1692" s="284"/>
      <c r="H1692" s="284"/>
      <c r="I1692" s="284"/>
      <c r="J1692" s="375"/>
      <c r="K1692" s="375"/>
      <c r="L1692" s="375"/>
      <c r="M1692" s="368"/>
      <c r="N1692" s="368"/>
      <c r="O1692" s="370"/>
      <c r="T1692" s="340"/>
      <c r="V1692" s="378"/>
      <c r="W1692" s="64" ph="1"/>
      <c r="X1692" s="241"/>
      <c r="Y1692" s="284"/>
      <c r="Z1692" s="207"/>
      <c r="AA1692" s="284"/>
      <c r="AB1692" s="284"/>
      <c r="AC1692" s="284"/>
      <c r="AD1692" s="284"/>
      <c r="AE1692" s="284"/>
      <c r="AF1692" s="284"/>
      <c r="AG1692" s="284"/>
      <c r="AI1692" s="131"/>
    </row>
    <row r="1693" spans="1:35" ht="26.4">
      <c r="A1693" s="284"/>
      <c r="B1693" s="284"/>
      <c r="C1693" s="284"/>
      <c r="D1693" s="284"/>
      <c r="E1693" s="284"/>
      <c r="F1693" s="284"/>
      <c r="G1693" s="284"/>
      <c r="H1693" s="284"/>
      <c r="I1693" s="284"/>
      <c r="J1693" s="375"/>
      <c r="K1693" s="375"/>
      <c r="L1693" s="375"/>
      <c r="M1693" s="368"/>
      <c r="N1693" s="368"/>
      <c r="O1693" s="370"/>
      <c r="T1693" s="340"/>
      <c r="V1693" s="378"/>
      <c r="W1693" s="64" ph="1"/>
      <c r="X1693" s="241"/>
      <c r="Y1693" s="284"/>
      <c r="Z1693" s="207"/>
      <c r="AA1693" s="284"/>
      <c r="AB1693" s="284"/>
      <c r="AC1693" s="284"/>
      <c r="AD1693" s="284"/>
      <c r="AE1693" s="284"/>
      <c r="AF1693" s="284"/>
      <c r="AG1693" s="284"/>
      <c r="AI1693" s="131"/>
    </row>
    <row r="1694" spans="1:35" ht="26.4">
      <c r="A1694" s="284"/>
      <c r="B1694" s="284"/>
      <c r="C1694" s="284"/>
      <c r="D1694" s="284"/>
      <c r="E1694" s="284"/>
      <c r="F1694" s="284"/>
      <c r="G1694" s="284"/>
      <c r="H1694" s="284"/>
      <c r="I1694" s="284"/>
      <c r="J1694" s="375"/>
      <c r="K1694" s="375"/>
      <c r="L1694" s="375"/>
      <c r="M1694" s="368"/>
      <c r="N1694" s="368"/>
      <c r="O1694" s="370"/>
      <c r="T1694" s="340"/>
      <c r="V1694" s="378"/>
      <c r="W1694" s="64" ph="1"/>
      <c r="X1694" s="241"/>
      <c r="Y1694" s="284"/>
      <c r="Z1694" s="207"/>
      <c r="AA1694" s="284"/>
      <c r="AB1694" s="284"/>
      <c r="AC1694" s="284"/>
      <c r="AD1694" s="284"/>
      <c r="AE1694" s="284"/>
      <c r="AF1694" s="284"/>
      <c r="AG1694" s="284"/>
      <c r="AI1694" s="131"/>
    </row>
    <row r="1695" spans="1:35" ht="26.4">
      <c r="A1695" s="284"/>
      <c r="B1695" s="284"/>
      <c r="C1695" s="284"/>
      <c r="D1695" s="284"/>
      <c r="E1695" s="284"/>
      <c r="F1695" s="284"/>
      <c r="G1695" s="284"/>
      <c r="H1695" s="284"/>
      <c r="I1695" s="284"/>
      <c r="J1695" s="375"/>
      <c r="K1695" s="375"/>
      <c r="L1695" s="375"/>
      <c r="M1695" s="368"/>
      <c r="N1695" s="368"/>
      <c r="O1695" s="370"/>
      <c r="T1695" s="340"/>
      <c r="V1695" s="378"/>
      <c r="W1695" s="64" ph="1"/>
      <c r="X1695" s="241"/>
      <c r="Y1695" s="284"/>
      <c r="Z1695" s="207"/>
      <c r="AA1695" s="284"/>
      <c r="AB1695" s="284"/>
      <c r="AC1695" s="284"/>
      <c r="AD1695" s="284"/>
      <c r="AE1695" s="284"/>
      <c r="AF1695" s="284"/>
      <c r="AG1695" s="284"/>
      <c r="AI1695" s="131"/>
    </row>
    <row r="1696" spans="1:35" ht="26.4">
      <c r="A1696" s="284"/>
      <c r="B1696" s="284"/>
      <c r="C1696" s="284"/>
      <c r="D1696" s="284"/>
      <c r="E1696" s="284"/>
      <c r="F1696" s="284"/>
      <c r="G1696" s="284"/>
      <c r="H1696" s="284"/>
      <c r="I1696" s="284"/>
      <c r="J1696" s="375"/>
      <c r="K1696" s="375"/>
      <c r="L1696" s="375"/>
      <c r="M1696" s="368"/>
      <c r="N1696" s="368"/>
      <c r="O1696" s="370"/>
      <c r="T1696" s="340"/>
      <c r="V1696" s="378"/>
      <c r="W1696" s="64" ph="1"/>
      <c r="X1696" s="241"/>
      <c r="Y1696" s="284"/>
      <c r="Z1696" s="207"/>
      <c r="AA1696" s="284"/>
      <c r="AB1696" s="284"/>
      <c r="AC1696" s="284"/>
      <c r="AD1696" s="284"/>
      <c r="AE1696" s="284"/>
      <c r="AF1696" s="284"/>
      <c r="AG1696" s="284"/>
      <c r="AI1696" s="131"/>
    </row>
    <row r="1697" spans="1:35" ht="26.4">
      <c r="A1697" s="284"/>
      <c r="B1697" s="284"/>
      <c r="C1697" s="284"/>
      <c r="D1697" s="284"/>
      <c r="E1697" s="284"/>
      <c r="F1697" s="284"/>
      <c r="G1697" s="284"/>
      <c r="H1697" s="284"/>
      <c r="I1697" s="284"/>
      <c r="J1697" s="375"/>
      <c r="K1697" s="375"/>
      <c r="L1697" s="375"/>
      <c r="M1697" s="368"/>
      <c r="N1697" s="368"/>
      <c r="O1697" s="370"/>
      <c r="T1697" s="340"/>
      <c r="V1697" s="378"/>
      <c r="W1697" s="64" ph="1"/>
      <c r="X1697" s="241"/>
      <c r="Y1697" s="284"/>
      <c r="Z1697" s="207"/>
      <c r="AA1697" s="284"/>
      <c r="AB1697" s="284"/>
      <c r="AC1697" s="284"/>
      <c r="AD1697" s="284"/>
      <c r="AE1697" s="284"/>
      <c r="AF1697" s="284"/>
      <c r="AG1697" s="284"/>
      <c r="AI1697" s="131"/>
    </row>
    <row r="1698" spans="1:35" ht="26.4">
      <c r="A1698" s="284"/>
      <c r="B1698" s="284"/>
      <c r="C1698" s="284"/>
      <c r="D1698" s="284"/>
      <c r="E1698" s="284"/>
      <c r="F1698" s="284"/>
      <c r="G1698" s="284"/>
      <c r="H1698" s="284"/>
      <c r="I1698" s="284"/>
      <c r="J1698" s="375"/>
      <c r="K1698" s="375"/>
      <c r="L1698" s="375"/>
      <c r="M1698" s="368"/>
      <c r="N1698" s="368"/>
      <c r="O1698" s="370"/>
      <c r="T1698" s="340"/>
      <c r="V1698" s="378"/>
      <c r="W1698" s="64" ph="1"/>
      <c r="X1698" s="241"/>
      <c r="Y1698" s="284"/>
      <c r="Z1698" s="207"/>
      <c r="AA1698" s="284"/>
      <c r="AB1698" s="284"/>
      <c r="AC1698" s="284"/>
      <c r="AD1698" s="284"/>
      <c r="AE1698" s="284"/>
      <c r="AF1698" s="284"/>
      <c r="AG1698" s="284"/>
      <c r="AI1698" s="131"/>
    </row>
    <row r="1699" spans="1:35" ht="26.4">
      <c r="A1699" s="284"/>
      <c r="B1699" s="284"/>
      <c r="C1699" s="284"/>
      <c r="D1699" s="284"/>
      <c r="E1699" s="284"/>
      <c r="F1699" s="284"/>
      <c r="G1699" s="284"/>
      <c r="H1699" s="284"/>
      <c r="I1699" s="284"/>
      <c r="J1699" s="375"/>
      <c r="K1699" s="375"/>
      <c r="L1699" s="375"/>
      <c r="M1699" s="368"/>
      <c r="N1699" s="368"/>
      <c r="O1699" s="370"/>
      <c r="T1699" s="340"/>
      <c r="V1699" s="378"/>
      <c r="W1699" s="64" ph="1"/>
      <c r="X1699" s="241"/>
      <c r="Y1699" s="284"/>
      <c r="Z1699" s="207"/>
      <c r="AA1699" s="284"/>
      <c r="AB1699" s="284"/>
      <c r="AC1699" s="284"/>
      <c r="AD1699" s="284"/>
      <c r="AE1699" s="284"/>
      <c r="AF1699" s="284"/>
      <c r="AG1699" s="284"/>
      <c r="AI1699" s="131"/>
    </row>
    <row r="1700" spans="1:35" ht="26.4">
      <c r="A1700" s="284"/>
      <c r="B1700" s="284"/>
      <c r="C1700" s="284"/>
      <c r="D1700" s="284"/>
      <c r="E1700" s="284"/>
      <c r="F1700" s="284"/>
      <c r="G1700" s="284"/>
      <c r="H1700" s="284"/>
      <c r="I1700" s="284"/>
      <c r="J1700" s="375"/>
      <c r="K1700" s="375"/>
      <c r="L1700" s="375"/>
      <c r="M1700" s="368"/>
      <c r="N1700" s="368"/>
      <c r="O1700" s="370"/>
      <c r="T1700" s="340"/>
      <c r="V1700" s="378"/>
      <c r="W1700" s="64" ph="1"/>
      <c r="X1700" s="241"/>
      <c r="Y1700" s="284"/>
      <c r="Z1700" s="207"/>
      <c r="AA1700" s="284"/>
      <c r="AB1700" s="284"/>
      <c r="AC1700" s="284"/>
      <c r="AD1700" s="284"/>
      <c r="AE1700" s="284"/>
      <c r="AF1700" s="284"/>
      <c r="AG1700" s="284"/>
      <c r="AI1700" s="131"/>
    </row>
    <row r="1701" spans="1:35" ht="26.4">
      <c r="A1701" s="284"/>
      <c r="B1701" s="284"/>
      <c r="C1701" s="284"/>
      <c r="D1701" s="284"/>
      <c r="E1701" s="284"/>
      <c r="F1701" s="284"/>
      <c r="G1701" s="284"/>
      <c r="H1701" s="284"/>
      <c r="I1701" s="284"/>
      <c r="J1701" s="375"/>
      <c r="K1701" s="375"/>
      <c r="L1701" s="375"/>
      <c r="M1701" s="368"/>
      <c r="N1701" s="368"/>
      <c r="O1701" s="370"/>
      <c r="T1701" s="340"/>
      <c r="V1701" s="378"/>
      <c r="W1701" s="64" ph="1"/>
      <c r="X1701" s="241"/>
      <c r="Y1701" s="284"/>
      <c r="Z1701" s="207"/>
      <c r="AA1701" s="284"/>
      <c r="AB1701" s="284"/>
      <c r="AC1701" s="284"/>
      <c r="AD1701" s="284"/>
      <c r="AE1701" s="284"/>
      <c r="AF1701" s="284"/>
      <c r="AG1701" s="284"/>
      <c r="AI1701" s="131"/>
    </row>
    <row r="1702" spans="1:35" ht="26.4">
      <c r="A1702" s="284"/>
      <c r="B1702" s="284"/>
      <c r="C1702" s="284"/>
      <c r="D1702" s="284"/>
      <c r="E1702" s="284"/>
      <c r="F1702" s="284"/>
      <c r="G1702" s="284"/>
      <c r="H1702" s="284"/>
      <c r="I1702" s="284"/>
      <c r="J1702" s="375"/>
      <c r="K1702" s="375"/>
      <c r="L1702" s="375"/>
      <c r="M1702" s="368"/>
      <c r="N1702" s="368"/>
      <c r="O1702" s="370"/>
      <c r="T1702" s="340"/>
      <c r="V1702" s="378"/>
      <c r="W1702" s="64" ph="1"/>
      <c r="X1702" s="241"/>
      <c r="Y1702" s="284"/>
      <c r="Z1702" s="207"/>
      <c r="AA1702" s="284"/>
      <c r="AB1702" s="284"/>
      <c r="AC1702" s="284"/>
      <c r="AD1702" s="284"/>
      <c r="AE1702" s="284"/>
      <c r="AF1702" s="284"/>
      <c r="AG1702" s="284"/>
      <c r="AI1702" s="131"/>
    </row>
    <row r="1703" spans="1:35" ht="26.4">
      <c r="A1703" s="284"/>
      <c r="B1703" s="284"/>
      <c r="C1703" s="284"/>
      <c r="D1703" s="284"/>
      <c r="E1703" s="284"/>
      <c r="F1703" s="284"/>
      <c r="G1703" s="284"/>
      <c r="H1703" s="284"/>
      <c r="I1703" s="284"/>
      <c r="J1703" s="375"/>
      <c r="K1703" s="375"/>
      <c r="L1703" s="375"/>
      <c r="M1703" s="368"/>
      <c r="N1703" s="368"/>
      <c r="O1703" s="370"/>
      <c r="T1703" s="340"/>
      <c r="V1703" s="378"/>
      <c r="W1703" s="64" ph="1"/>
      <c r="X1703" s="241"/>
      <c r="Y1703" s="284"/>
      <c r="Z1703" s="207"/>
      <c r="AA1703" s="284"/>
      <c r="AB1703" s="284"/>
      <c r="AC1703" s="284"/>
      <c r="AD1703" s="284"/>
      <c r="AE1703" s="284"/>
      <c r="AF1703" s="284"/>
      <c r="AG1703" s="284"/>
      <c r="AI1703" s="131"/>
    </row>
    <row r="1704" spans="1:35" ht="26.4">
      <c r="A1704" s="284"/>
      <c r="B1704" s="284"/>
      <c r="C1704" s="284"/>
      <c r="D1704" s="284"/>
      <c r="E1704" s="284"/>
      <c r="F1704" s="284"/>
      <c r="G1704" s="284"/>
      <c r="H1704" s="284"/>
      <c r="I1704" s="284"/>
      <c r="J1704" s="375"/>
      <c r="K1704" s="375"/>
      <c r="L1704" s="375"/>
      <c r="M1704" s="368"/>
      <c r="N1704" s="368"/>
      <c r="O1704" s="370"/>
      <c r="T1704" s="340"/>
      <c r="V1704" s="378"/>
      <c r="W1704" s="64" ph="1"/>
      <c r="X1704" s="241"/>
      <c r="Y1704" s="284"/>
      <c r="Z1704" s="207"/>
      <c r="AA1704" s="284"/>
      <c r="AB1704" s="284"/>
      <c r="AC1704" s="284"/>
      <c r="AD1704" s="284"/>
      <c r="AE1704" s="284"/>
      <c r="AF1704" s="284"/>
      <c r="AG1704" s="284"/>
      <c r="AI1704" s="131"/>
    </row>
    <row r="1705" spans="1:35" ht="26.4">
      <c r="A1705" s="284"/>
      <c r="B1705" s="284"/>
      <c r="C1705" s="284"/>
      <c r="D1705" s="284"/>
      <c r="E1705" s="284"/>
      <c r="F1705" s="284"/>
      <c r="G1705" s="284"/>
      <c r="H1705" s="284"/>
      <c r="I1705" s="284"/>
      <c r="J1705" s="375"/>
      <c r="K1705" s="375"/>
      <c r="L1705" s="375"/>
      <c r="M1705" s="368"/>
      <c r="N1705" s="368"/>
      <c r="O1705" s="370"/>
      <c r="T1705" s="340"/>
      <c r="V1705" s="378"/>
      <c r="W1705" s="64" ph="1"/>
      <c r="X1705" s="241"/>
      <c r="Y1705" s="284"/>
      <c r="Z1705" s="207"/>
      <c r="AA1705" s="284"/>
      <c r="AB1705" s="284"/>
      <c r="AC1705" s="284"/>
      <c r="AD1705" s="284"/>
      <c r="AE1705" s="284"/>
      <c r="AF1705" s="284"/>
      <c r="AG1705" s="284"/>
      <c r="AI1705" s="131"/>
    </row>
    <row r="1706" spans="1:35" ht="26.4">
      <c r="A1706" s="284"/>
      <c r="B1706" s="284"/>
      <c r="C1706" s="284"/>
      <c r="D1706" s="284"/>
      <c r="E1706" s="284"/>
      <c r="F1706" s="284"/>
      <c r="G1706" s="284"/>
      <c r="H1706" s="284"/>
      <c r="I1706" s="284"/>
      <c r="J1706" s="375"/>
      <c r="K1706" s="375"/>
      <c r="L1706" s="375"/>
      <c r="M1706" s="368"/>
      <c r="N1706" s="368"/>
      <c r="O1706" s="370"/>
      <c r="T1706" s="340"/>
      <c r="V1706" s="378"/>
      <c r="W1706" s="64" ph="1"/>
      <c r="X1706" s="241"/>
      <c r="Y1706" s="284"/>
      <c r="Z1706" s="207"/>
      <c r="AA1706" s="284"/>
      <c r="AB1706" s="284"/>
      <c r="AC1706" s="284"/>
      <c r="AD1706" s="284"/>
      <c r="AE1706" s="284"/>
      <c r="AF1706" s="284"/>
      <c r="AG1706" s="284"/>
      <c r="AI1706" s="131"/>
    </row>
    <row r="1707" spans="1:35" ht="26.4">
      <c r="A1707" s="284"/>
      <c r="B1707" s="284"/>
      <c r="C1707" s="284"/>
      <c r="D1707" s="284"/>
      <c r="E1707" s="284"/>
      <c r="F1707" s="284"/>
      <c r="G1707" s="284"/>
      <c r="H1707" s="284"/>
      <c r="I1707" s="284"/>
      <c r="J1707" s="375"/>
      <c r="K1707" s="375"/>
      <c r="L1707" s="375"/>
      <c r="M1707" s="368"/>
      <c r="N1707" s="368"/>
      <c r="O1707" s="370"/>
      <c r="T1707" s="340"/>
      <c r="V1707" s="378"/>
      <c r="W1707" s="64" ph="1"/>
      <c r="X1707" s="241"/>
      <c r="Y1707" s="284"/>
      <c r="Z1707" s="207"/>
      <c r="AA1707" s="284"/>
      <c r="AB1707" s="284"/>
      <c r="AC1707" s="284"/>
      <c r="AD1707" s="284"/>
      <c r="AE1707" s="284"/>
      <c r="AF1707" s="284"/>
      <c r="AG1707" s="284"/>
      <c r="AI1707" s="131"/>
    </row>
    <row r="1708" spans="1:35" ht="26.4">
      <c r="A1708" s="284"/>
      <c r="B1708" s="284"/>
      <c r="C1708" s="284"/>
      <c r="D1708" s="284"/>
      <c r="E1708" s="284"/>
      <c r="F1708" s="284"/>
      <c r="G1708" s="284"/>
      <c r="H1708" s="284"/>
      <c r="I1708" s="284"/>
      <c r="J1708" s="375"/>
      <c r="K1708" s="375"/>
      <c r="L1708" s="375"/>
      <c r="M1708" s="368"/>
      <c r="N1708" s="368"/>
      <c r="O1708" s="370"/>
      <c r="T1708" s="340"/>
      <c r="V1708" s="378"/>
      <c r="W1708" s="64" ph="1"/>
      <c r="X1708" s="241"/>
      <c r="Y1708" s="284"/>
      <c r="Z1708" s="207"/>
      <c r="AA1708" s="284"/>
      <c r="AB1708" s="284"/>
      <c r="AC1708" s="284"/>
      <c r="AD1708" s="284"/>
      <c r="AE1708" s="284"/>
      <c r="AF1708" s="284"/>
      <c r="AG1708" s="284"/>
      <c r="AI1708" s="131"/>
    </row>
    <row r="1709" spans="1:35" ht="26.4">
      <c r="A1709" s="284"/>
      <c r="B1709" s="284"/>
      <c r="C1709" s="284"/>
      <c r="D1709" s="284"/>
      <c r="E1709" s="284"/>
      <c r="F1709" s="284"/>
      <c r="G1709" s="284"/>
      <c r="H1709" s="284"/>
      <c r="I1709" s="284"/>
      <c r="J1709" s="375"/>
      <c r="K1709" s="375"/>
      <c r="L1709" s="375"/>
      <c r="M1709" s="368"/>
      <c r="N1709" s="368"/>
      <c r="O1709" s="370"/>
      <c r="T1709" s="340"/>
      <c r="V1709" s="378"/>
      <c r="W1709" s="64" ph="1"/>
      <c r="X1709" s="241"/>
      <c r="Y1709" s="284"/>
      <c r="Z1709" s="207"/>
      <c r="AA1709" s="284"/>
      <c r="AB1709" s="284"/>
      <c r="AC1709" s="284"/>
      <c r="AD1709" s="284"/>
      <c r="AE1709" s="284"/>
      <c r="AF1709" s="284"/>
      <c r="AG1709" s="284"/>
      <c r="AI1709" s="131"/>
    </row>
    <row r="1710" spans="1:35" ht="26.4">
      <c r="A1710" s="284"/>
      <c r="B1710" s="284"/>
      <c r="C1710" s="284"/>
      <c r="D1710" s="284"/>
      <c r="E1710" s="284"/>
      <c r="F1710" s="284"/>
      <c r="G1710" s="284"/>
      <c r="H1710" s="284"/>
      <c r="I1710" s="284"/>
      <c r="J1710" s="375"/>
      <c r="K1710" s="375"/>
      <c r="L1710" s="375"/>
      <c r="M1710" s="368"/>
      <c r="N1710" s="368"/>
      <c r="O1710" s="370"/>
      <c r="T1710" s="340"/>
      <c r="V1710" s="378"/>
      <c r="W1710" s="64" ph="1"/>
      <c r="X1710" s="241"/>
      <c r="Y1710" s="284"/>
      <c r="Z1710" s="207"/>
      <c r="AA1710" s="284"/>
      <c r="AB1710" s="284"/>
      <c r="AC1710" s="284"/>
      <c r="AD1710" s="284"/>
      <c r="AE1710" s="284"/>
      <c r="AF1710" s="284"/>
      <c r="AG1710" s="284"/>
      <c r="AI1710" s="131"/>
    </row>
    <row r="1711" spans="1:35" ht="26.4">
      <c r="A1711" s="284"/>
      <c r="B1711" s="284"/>
      <c r="C1711" s="284"/>
      <c r="D1711" s="284"/>
      <c r="E1711" s="284"/>
      <c r="F1711" s="284"/>
      <c r="G1711" s="284"/>
      <c r="H1711" s="284"/>
      <c r="I1711" s="284"/>
      <c r="J1711" s="375"/>
      <c r="K1711" s="375"/>
      <c r="L1711" s="375"/>
      <c r="M1711" s="368"/>
      <c r="N1711" s="368"/>
      <c r="O1711" s="370"/>
      <c r="T1711" s="340"/>
      <c r="V1711" s="378"/>
      <c r="W1711" s="64" ph="1"/>
      <c r="X1711" s="241"/>
      <c r="Y1711" s="284"/>
      <c r="Z1711" s="207"/>
      <c r="AA1711" s="284"/>
      <c r="AB1711" s="284"/>
      <c r="AC1711" s="284"/>
      <c r="AD1711" s="284"/>
      <c r="AE1711" s="284"/>
      <c r="AF1711" s="284"/>
      <c r="AG1711" s="284"/>
      <c r="AI1711" s="284"/>
    </row>
    <row r="1712" spans="1:35" ht="26.4">
      <c r="A1712" s="284"/>
      <c r="B1712" s="284"/>
      <c r="C1712" s="284"/>
      <c r="D1712" s="284"/>
      <c r="E1712" s="284"/>
      <c r="F1712" s="284"/>
      <c r="G1712" s="284"/>
      <c r="H1712" s="284"/>
      <c r="I1712" s="284"/>
      <c r="J1712" s="375"/>
      <c r="K1712" s="375"/>
      <c r="L1712" s="375"/>
      <c r="M1712" s="368"/>
      <c r="N1712" s="368"/>
      <c r="O1712" s="370"/>
      <c r="T1712" s="340"/>
      <c r="V1712" s="378"/>
      <c r="W1712" s="64" ph="1"/>
      <c r="X1712" s="241"/>
      <c r="Y1712" s="284"/>
      <c r="Z1712" s="207"/>
      <c r="AA1712" s="284"/>
      <c r="AB1712" s="284"/>
      <c r="AC1712" s="284"/>
      <c r="AD1712" s="284"/>
      <c r="AE1712" s="284"/>
      <c r="AF1712" s="284"/>
      <c r="AG1712" s="284"/>
      <c r="AI1712" s="131"/>
    </row>
    <row r="1713" spans="1:35" ht="26.4">
      <c r="A1713" s="284"/>
      <c r="B1713" s="284"/>
      <c r="C1713" s="284"/>
      <c r="D1713" s="284"/>
      <c r="E1713" s="284"/>
      <c r="F1713" s="284"/>
      <c r="G1713" s="284"/>
      <c r="H1713" s="284"/>
      <c r="I1713" s="284"/>
      <c r="J1713" s="375"/>
      <c r="K1713" s="375"/>
      <c r="L1713" s="375"/>
      <c r="M1713" s="368"/>
      <c r="N1713" s="368"/>
      <c r="O1713" s="370"/>
      <c r="T1713" s="340"/>
      <c r="V1713" s="378"/>
      <c r="W1713" s="64" ph="1"/>
      <c r="X1713" s="241"/>
      <c r="Y1713" s="284"/>
      <c r="Z1713" s="207"/>
      <c r="AA1713" s="284"/>
      <c r="AB1713" s="284"/>
      <c r="AC1713" s="284"/>
      <c r="AD1713" s="284"/>
      <c r="AE1713" s="284"/>
      <c r="AF1713" s="284"/>
      <c r="AG1713" s="284"/>
      <c r="AI1713" s="131"/>
    </row>
    <row r="1714" spans="1:35" ht="26.4">
      <c r="A1714" s="284"/>
      <c r="B1714" s="284"/>
      <c r="C1714" s="284"/>
      <c r="D1714" s="284"/>
      <c r="E1714" s="284"/>
      <c r="F1714" s="284"/>
      <c r="G1714" s="284"/>
      <c r="H1714" s="284"/>
      <c r="I1714" s="284"/>
      <c r="J1714" s="375"/>
      <c r="K1714" s="375"/>
      <c r="L1714" s="375"/>
      <c r="M1714" s="368"/>
      <c r="N1714" s="368"/>
      <c r="O1714" s="370"/>
      <c r="T1714" s="340"/>
      <c r="V1714" s="378"/>
      <c r="W1714" s="64" ph="1"/>
      <c r="X1714" s="241"/>
      <c r="Y1714" s="284"/>
      <c r="Z1714" s="207"/>
      <c r="AA1714" s="284"/>
      <c r="AB1714" s="284"/>
      <c r="AC1714" s="284"/>
      <c r="AD1714" s="284"/>
      <c r="AE1714" s="284"/>
      <c r="AF1714" s="284"/>
      <c r="AG1714" s="284"/>
      <c r="AI1714" s="131"/>
    </row>
    <row r="1715" spans="1:35" ht="26.4">
      <c r="A1715" s="284"/>
      <c r="B1715" s="284"/>
      <c r="C1715" s="284"/>
      <c r="D1715" s="284"/>
      <c r="E1715" s="284"/>
      <c r="F1715" s="284"/>
      <c r="G1715" s="284"/>
      <c r="H1715" s="284"/>
      <c r="I1715" s="284"/>
      <c r="J1715" s="375"/>
      <c r="K1715" s="375"/>
      <c r="L1715" s="375"/>
      <c r="M1715" s="368"/>
      <c r="N1715" s="368"/>
      <c r="O1715" s="370"/>
      <c r="T1715" s="340"/>
      <c r="V1715" s="378"/>
      <c r="W1715" s="64" ph="1"/>
      <c r="X1715" s="241"/>
      <c r="Y1715" s="284"/>
      <c r="Z1715" s="207"/>
      <c r="AA1715" s="284"/>
      <c r="AB1715" s="284"/>
      <c r="AC1715" s="284"/>
      <c r="AD1715" s="284"/>
      <c r="AE1715" s="284"/>
      <c r="AF1715" s="284"/>
      <c r="AG1715" s="284"/>
      <c r="AI1715" s="131"/>
    </row>
    <row r="1716" spans="1:35" ht="26.4">
      <c r="A1716" s="284"/>
      <c r="B1716" s="284"/>
      <c r="C1716" s="284"/>
      <c r="D1716" s="284"/>
      <c r="E1716" s="284"/>
      <c r="F1716" s="284"/>
      <c r="G1716" s="284"/>
      <c r="H1716" s="284"/>
      <c r="I1716" s="284"/>
      <c r="J1716" s="375"/>
      <c r="K1716" s="375"/>
      <c r="L1716" s="375"/>
      <c r="M1716" s="368"/>
      <c r="N1716" s="368"/>
      <c r="O1716" s="370"/>
      <c r="T1716" s="340"/>
      <c r="V1716" s="378"/>
      <c r="W1716" s="64" ph="1"/>
      <c r="X1716" s="241"/>
      <c r="Y1716" s="284"/>
      <c r="Z1716" s="207"/>
      <c r="AA1716" s="284"/>
      <c r="AB1716" s="284"/>
      <c r="AC1716" s="284"/>
      <c r="AD1716" s="284"/>
      <c r="AE1716" s="284"/>
      <c r="AF1716" s="284"/>
      <c r="AG1716" s="284"/>
      <c r="AI1716" s="131"/>
    </row>
    <row r="1717" spans="1:35" ht="26.4">
      <c r="A1717" s="284"/>
      <c r="B1717" s="284"/>
      <c r="C1717" s="284"/>
      <c r="D1717" s="284"/>
      <c r="E1717" s="284"/>
      <c r="F1717" s="284"/>
      <c r="G1717" s="284"/>
      <c r="H1717" s="284"/>
      <c r="I1717" s="284"/>
      <c r="J1717" s="375"/>
      <c r="K1717" s="375"/>
      <c r="L1717" s="375"/>
      <c r="M1717" s="368"/>
      <c r="N1717" s="368"/>
      <c r="O1717" s="370"/>
      <c r="T1717" s="340"/>
      <c r="V1717" s="378"/>
      <c r="W1717" s="64" ph="1"/>
      <c r="X1717" s="241"/>
      <c r="Y1717" s="284"/>
      <c r="Z1717" s="207"/>
      <c r="AA1717" s="284"/>
      <c r="AB1717" s="284"/>
      <c r="AC1717" s="284"/>
      <c r="AD1717" s="284"/>
      <c r="AE1717" s="284"/>
      <c r="AF1717" s="284"/>
      <c r="AG1717" s="284"/>
      <c r="AI1717" s="131"/>
    </row>
    <row r="1718" spans="1:35" ht="26.4">
      <c r="A1718" s="284"/>
      <c r="B1718" s="284"/>
      <c r="C1718" s="284"/>
      <c r="D1718" s="284"/>
      <c r="E1718" s="284"/>
      <c r="F1718" s="284"/>
      <c r="G1718" s="284"/>
      <c r="H1718" s="284"/>
      <c r="I1718" s="284"/>
      <c r="J1718" s="375"/>
      <c r="K1718" s="375"/>
      <c r="L1718" s="375"/>
      <c r="M1718" s="368"/>
      <c r="N1718" s="368"/>
      <c r="O1718" s="370"/>
      <c r="T1718" s="340"/>
      <c r="V1718" s="378"/>
      <c r="W1718" s="64" ph="1"/>
      <c r="X1718" s="241"/>
      <c r="Y1718" s="284"/>
      <c r="Z1718" s="207"/>
      <c r="AA1718" s="284"/>
      <c r="AB1718" s="284"/>
      <c r="AC1718" s="284"/>
      <c r="AD1718" s="284"/>
      <c r="AE1718" s="284"/>
      <c r="AF1718" s="284"/>
      <c r="AG1718" s="284"/>
      <c r="AI1718" s="131"/>
    </row>
    <row r="1719" spans="1:35" ht="26.4">
      <c r="A1719" s="284"/>
      <c r="B1719" s="284"/>
      <c r="C1719" s="284"/>
      <c r="D1719" s="284"/>
      <c r="E1719" s="284"/>
      <c r="F1719" s="284"/>
      <c r="G1719" s="284"/>
      <c r="H1719" s="284"/>
      <c r="I1719" s="284"/>
      <c r="J1719" s="375"/>
      <c r="K1719" s="375"/>
      <c r="L1719" s="375"/>
      <c r="M1719" s="368"/>
      <c r="N1719" s="368"/>
      <c r="O1719" s="370"/>
      <c r="T1719" s="340"/>
      <c r="V1719" s="378"/>
      <c r="W1719" s="64" ph="1"/>
      <c r="X1719" s="241"/>
      <c r="Y1719" s="284"/>
      <c r="Z1719" s="207"/>
      <c r="AA1719" s="284"/>
      <c r="AB1719" s="284"/>
      <c r="AC1719" s="284"/>
      <c r="AD1719" s="284"/>
      <c r="AE1719" s="284"/>
      <c r="AF1719" s="284"/>
      <c r="AG1719" s="284"/>
      <c r="AI1719" s="131"/>
    </row>
    <row r="1720" spans="1:35" ht="26.4">
      <c r="A1720" s="284"/>
      <c r="B1720" s="284"/>
      <c r="C1720" s="284"/>
      <c r="D1720" s="284"/>
      <c r="E1720" s="284"/>
      <c r="F1720" s="284"/>
      <c r="G1720" s="284"/>
      <c r="H1720" s="284"/>
      <c r="I1720" s="284"/>
      <c r="J1720" s="375"/>
      <c r="K1720" s="375"/>
      <c r="L1720" s="375"/>
      <c r="M1720" s="368"/>
      <c r="N1720" s="368"/>
      <c r="O1720" s="370"/>
      <c r="T1720" s="340"/>
      <c r="V1720" s="378"/>
      <c r="W1720" s="64" ph="1"/>
      <c r="X1720" s="241"/>
      <c r="Y1720" s="284"/>
      <c r="Z1720" s="207"/>
      <c r="AA1720" s="284"/>
      <c r="AB1720" s="284"/>
      <c r="AC1720" s="284"/>
      <c r="AD1720" s="284"/>
      <c r="AE1720" s="284"/>
      <c r="AF1720" s="284"/>
      <c r="AG1720" s="284"/>
      <c r="AI1720" s="131"/>
    </row>
    <row r="1721" spans="1:35" ht="26.4">
      <c r="A1721" s="284"/>
      <c r="B1721" s="284"/>
      <c r="C1721" s="284"/>
      <c r="D1721" s="284"/>
      <c r="E1721" s="284"/>
      <c r="F1721" s="284"/>
      <c r="G1721" s="284"/>
      <c r="H1721" s="284"/>
      <c r="I1721" s="284"/>
      <c r="J1721" s="375"/>
      <c r="K1721" s="375"/>
      <c r="L1721" s="375"/>
      <c r="M1721" s="368"/>
      <c r="N1721" s="368"/>
      <c r="O1721" s="370"/>
      <c r="T1721" s="340"/>
      <c r="V1721" s="378"/>
      <c r="W1721" s="64" ph="1"/>
      <c r="X1721" s="241"/>
      <c r="Y1721" s="284"/>
      <c r="Z1721" s="207"/>
      <c r="AA1721" s="284"/>
      <c r="AB1721" s="284"/>
      <c r="AC1721" s="284"/>
      <c r="AD1721" s="284"/>
      <c r="AE1721" s="284"/>
      <c r="AF1721" s="284"/>
      <c r="AG1721" s="284"/>
      <c r="AI1721" s="131"/>
    </row>
    <row r="1722" spans="1:35" ht="26.4">
      <c r="A1722" s="284"/>
      <c r="B1722" s="284"/>
      <c r="C1722" s="284"/>
      <c r="D1722" s="284"/>
      <c r="E1722" s="284"/>
      <c r="F1722" s="284"/>
      <c r="G1722" s="284"/>
      <c r="H1722" s="284"/>
      <c r="I1722" s="284"/>
      <c r="J1722" s="375"/>
      <c r="K1722" s="375"/>
      <c r="L1722" s="375"/>
      <c r="M1722" s="368"/>
      <c r="N1722" s="368"/>
      <c r="O1722" s="370"/>
      <c r="T1722" s="340"/>
      <c r="V1722" s="378"/>
      <c r="W1722" s="64" ph="1"/>
      <c r="X1722" s="241"/>
      <c r="Y1722" s="284"/>
      <c r="Z1722" s="207"/>
      <c r="AA1722" s="284"/>
      <c r="AB1722" s="284"/>
      <c r="AC1722" s="284"/>
      <c r="AD1722" s="284"/>
      <c r="AE1722" s="284"/>
      <c r="AF1722" s="284"/>
      <c r="AG1722" s="284"/>
      <c r="AI1722" s="131"/>
    </row>
    <row r="1723" spans="1:35" ht="26.4">
      <c r="A1723" s="284"/>
      <c r="B1723" s="284"/>
      <c r="C1723" s="284"/>
      <c r="D1723" s="284"/>
      <c r="E1723" s="284"/>
      <c r="F1723" s="284"/>
      <c r="G1723" s="284"/>
      <c r="H1723" s="284"/>
      <c r="I1723" s="284"/>
      <c r="J1723" s="375"/>
      <c r="K1723" s="375"/>
      <c r="L1723" s="375"/>
      <c r="M1723" s="368"/>
      <c r="N1723" s="368"/>
      <c r="O1723" s="370"/>
      <c r="T1723" s="340"/>
      <c r="V1723" s="378"/>
      <c r="W1723" s="64" ph="1"/>
      <c r="X1723" s="241"/>
      <c r="Y1723" s="284"/>
      <c r="Z1723" s="207"/>
      <c r="AA1723" s="284"/>
      <c r="AB1723" s="284"/>
      <c r="AC1723" s="284"/>
      <c r="AD1723" s="284"/>
      <c r="AE1723" s="284"/>
      <c r="AF1723" s="284"/>
      <c r="AG1723" s="284"/>
      <c r="AI1723" s="131"/>
    </row>
    <row r="1724" spans="1:35" ht="26.4">
      <c r="A1724" s="284"/>
      <c r="B1724" s="284"/>
      <c r="C1724" s="284"/>
      <c r="D1724" s="284"/>
      <c r="E1724" s="284"/>
      <c r="F1724" s="284"/>
      <c r="G1724" s="284"/>
      <c r="H1724" s="284"/>
      <c r="I1724" s="284"/>
      <c r="J1724" s="375"/>
      <c r="K1724" s="375"/>
      <c r="L1724" s="375"/>
      <c r="M1724" s="368"/>
      <c r="N1724" s="368"/>
      <c r="O1724" s="370"/>
      <c r="T1724" s="340"/>
      <c r="V1724" s="378"/>
      <c r="W1724" s="64" ph="1"/>
      <c r="X1724" s="241"/>
      <c r="Y1724" s="284"/>
      <c r="Z1724" s="207"/>
      <c r="AA1724" s="284"/>
      <c r="AB1724" s="284"/>
      <c r="AC1724" s="284"/>
      <c r="AD1724" s="284"/>
      <c r="AE1724" s="284"/>
      <c r="AF1724" s="284"/>
      <c r="AG1724" s="284"/>
      <c r="AI1724" s="131"/>
    </row>
    <row r="1725" spans="1:35" ht="26.4">
      <c r="A1725" s="284"/>
      <c r="B1725" s="284"/>
      <c r="C1725" s="284"/>
      <c r="D1725" s="284"/>
      <c r="E1725" s="284"/>
      <c r="F1725" s="284"/>
      <c r="G1725" s="284"/>
      <c r="H1725" s="284"/>
      <c r="I1725" s="284"/>
      <c r="J1725" s="375"/>
      <c r="K1725" s="375"/>
      <c r="L1725" s="375"/>
      <c r="M1725" s="368"/>
      <c r="N1725" s="368"/>
      <c r="O1725" s="370"/>
      <c r="T1725" s="340"/>
      <c r="V1725" s="378"/>
      <c r="W1725" s="64" ph="1"/>
      <c r="X1725" s="241"/>
      <c r="Y1725" s="284"/>
      <c r="Z1725" s="207"/>
      <c r="AA1725" s="284"/>
      <c r="AB1725" s="284"/>
      <c r="AC1725" s="284"/>
      <c r="AD1725" s="284"/>
      <c r="AE1725" s="284"/>
      <c r="AF1725" s="284"/>
      <c r="AG1725" s="284"/>
      <c r="AI1725" s="131"/>
    </row>
    <row r="1726" spans="1:35" ht="26.4">
      <c r="A1726" s="284"/>
      <c r="B1726" s="284"/>
      <c r="C1726" s="284"/>
      <c r="D1726" s="284"/>
      <c r="E1726" s="284"/>
      <c r="F1726" s="284"/>
      <c r="G1726" s="284"/>
      <c r="H1726" s="284"/>
      <c r="I1726" s="284"/>
      <c r="J1726" s="375"/>
      <c r="K1726" s="375"/>
      <c r="L1726" s="375"/>
      <c r="M1726" s="368"/>
      <c r="N1726" s="368"/>
      <c r="O1726" s="370"/>
      <c r="T1726" s="340"/>
      <c r="V1726" s="378"/>
      <c r="W1726" s="64" ph="1"/>
      <c r="X1726" s="241"/>
      <c r="Y1726" s="284"/>
      <c r="Z1726" s="207"/>
      <c r="AA1726" s="284"/>
      <c r="AB1726" s="284"/>
      <c r="AC1726" s="284"/>
      <c r="AD1726" s="284"/>
      <c r="AE1726" s="284"/>
      <c r="AF1726" s="284"/>
      <c r="AG1726" s="284"/>
      <c r="AI1726" s="131"/>
    </row>
    <row r="1727" spans="1:35" ht="26.4">
      <c r="A1727" s="284"/>
      <c r="B1727" s="284"/>
      <c r="C1727" s="284"/>
      <c r="D1727" s="284"/>
      <c r="E1727" s="284"/>
      <c r="F1727" s="284"/>
      <c r="G1727" s="284"/>
      <c r="H1727" s="284"/>
      <c r="I1727" s="284"/>
      <c r="J1727" s="375"/>
      <c r="K1727" s="375"/>
      <c r="L1727" s="375"/>
      <c r="M1727" s="368"/>
      <c r="N1727" s="368"/>
      <c r="O1727" s="370"/>
      <c r="T1727" s="340"/>
      <c r="V1727" s="378"/>
      <c r="W1727" s="64" ph="1"/>
      <c r="X1727" s="241"/>
      <c r="Y1727" s="284"/>
      <c r="Z1727" s="207"/>
      <c r="AA1727" s="284"/>
      <c r="AB1727" s="284"/>
      <c r="AC1727" s="284"/>
      <c r="AD1727" s="284"/>
      <c r="AE1727" s="284"/>
      <c r="AF1727" s="284"/>
      <c r="AG1727" s="284"/>
      <c r="AI1727" s="131"/>
    </row>
    <row r="1728" spans="1:35" ht="26.4">
      <c r="A1728" s="284"/>
      <c r="B1728" s="284"/>
      <c r="C1728" s="284"/>
      <c r="D1728" s="284"/>
      <c r="E1728" s="284"/>
      <c r="F1728" s="284"/>
      <c r="G1728" s="284"/>
      <c r="H1728" s="284"/>
      <c r="I1728" s="284"/>
      <c r="J1728" s="375"/>
      <c r="K1728" s="375"/>
      <c r="L1728" s="375"/>
      <c r="M1728" s="368"/>
      <c r="N1728" s="368"/>
      <c r="O1728" s="370"/>
      <c r="T1728" s="340"/>
      <c r="V1728" s="378"/>
      <c r="W1728" s="64" ph="1"/>
      <c r="X1728" s="241"/>
      <c r="Y1728" s="284"/>
      <c r="Z1728" s="207"/>
      <c r="AA1728" s="284"/>
      <c r="AB1728" s="284"/>
      <c r="AC1728" s="284"/>
      <c r="AD1728" s="284"/>
      <c r="AE1728" s="284"/>
      <c r="AF1728" s="284"/>
      <c r="AG1728" s="284"/>
      <c r="AI1728" s="131"/>
    </row>
    <row r="1729" spans="1:35" ht="26.4">
      <c r="A1729" s="284"/>
      <c r="B1729" s="284"/>
      <c r="C1729" s="284"/>
      <c r="D1729" s="284"/>
      <c r="E1729" s="284"/>
      <c r="F1729" s="284"/>
      <c r="G1729" s="284"/>
      <c r="H1729" s="284"/>
      <c r="I1729" s="284"/>
      <c r="J1729" s="375"/>
      <c r="K1729" s="375"/>
      <c r="L1729" s="375"/>
      <c r="M1729" s="368"/>
      <c r="N1729" s="368"/>
      <c r="O1729" s="370"/>
      <c r="T1729" s="340"/>
      <c r="V1729" s="378"/>
      <c r="W1729" s="64" ph="1"/>
      <c r="X1729" s="241"/>
      <c r="Y1729" s="284"/>
      <c r="Z1729" s="207"/>
      <c r="AA1729" s="284"/>
      <c r="AB1729" s="284"/>
      <c r="AC1729" s="284"/>
      <c r="AD1729" s="284"/>
      <c r="AE1729" s="284"/>
      <c r="AF1729" s="284"/>
      <c r="AG1729" s="284"/>
      <c r="AI1729" s="131"/>
    </row>
    <row r="1730" spans="1:35" ht="26.4">
      <c r="A1730" s="284"/>
      <c r="B1730" s="284"/>
      <c r="C1730" s="284"/>
      <c r="D1730" s="284"/>
      <c r="E1730" s="284"/>
      <c r="F1730" s="284"/>
      <c r="G1730" s="284"/>
      <c r="H1730" s="284"/>
      <c r="I1730" s="284"/>
      <c r="J1730" s="375"/>
      <c r="K1730" s="375"/>
      <c r="L1730" s="375"/>
      <c r="M1730" s="368"/>
      <c r="N1730" s="368"/>
      <c r="O1730" s="370"/>
      <c r="T1730" s="340"/>
      <c r="V1730" s="378"/>
      <c r="W1730" s="64" ph="1"/>
      <c r="X1730" s="241"/>
      <c r="Y1730" s="284"/>
      <c r="Z1730" s="207"/>
      <c r="AA1730" s="284"/>
      <c r="AB1730" s="284"/>
      <c r="AC1730" s="284"/>
      <c r="AD1730" s="284"/>
      <c r="AE1730" s="284"/>
      <c r="AF1730" s="284"/>
      <c r="AG1730" s="284"/>
      <c r="AI1730" s="131"/>
    </row>
    <row r="1731" spans="1:35" ht="26.4">
      <c r="A1731" s="284"/>
      <c r="B1731" s="284"/>
      <c r="C1731" s="284"/>
      <c r="D1731" s="284"/>
      <c r="E1731" s="284"/>
      <c r="F1731" s="284"/>
      <c r="G1731" s="284"/>
      <c r="H1731" s="284"/>
      <c r="I1731" s="284"/>
      <c r="J1731" s="375"/>
      <c r="K1731" s="375"/>
      <c r="L1731" s="375"/>
      <c r="M1731" s="368"/>
      <c r="N1731" s="368"/>
      <c r="O1731" s="370"/>
      <c r="T1731" s="340"/>
      <c r="V1731" s="378"/>
      <c r="W1731" s="64" ph="1"/>
      <c r="X1731" s="241"/>
      <c r="Y1731" s="284"/>
      <c r="Z1731" s="207"/>
      <c r="AA1731" s="284"/>
      <c r="AB1731" s="284"/>
      <c r="AC1731" s="284"/>
      <c r="AD1731" s="284"/>
      <c r="AE1731" s="284"/>
      <c r="AF1731" s="284"/>
      <c r="AG1731" s="284"/>
      <c r="AI1731" s="131"/>
    </row>
    <row r="1732" spans="1:35" ht="26.4">
      <c r="A1732" s="284"/>
      <c r="B1732" s="284"/>
      <c r="C1732" s="284"/>
      <c r="D1732" s="284"/>
      <c r="E1732" s="284"/>
      <c r="F1732" s="284"/>
      <c r="G1732" s="284"/>
      <c r="H1732" s="284"/>
      <c r="I1732" s="284"/>
      <c r="J1732" s="375"/>
      <c r="K1732" s="375"/>
      <c r="L1732" s="375"/>
      <c r="M1732" s="368"/>
      <c r="N1732" s="368"/>
      <c r="O1732" s="370"/>
      <c r="T1732" s="340"/>
      <c r="V1732" s="378"/>
      <c r="W1732" s="64" ph="1"/>
      <c r="X1732" s="241"/>
      <c r="Y1732" s="284"/>
      <c r="Z1732" s="207"/>
      <c r="AA1732" s="284"/>
      <c r="AB1732" s="284"/>
      <c r="AC1732" s="284"/>
      <c r="AD1732" s="284"/>
      <c r="AE1732" s="284"/>
      <c r="AF1732" s="284"/>
      <c r="AG1732" s="284"/>
      <c r="AI1732" s="131"/>
    </row>
    <row r="1733" spans="1:35" ht="26.4">
      <c r="A1733" s="284"/>
      <c r="B1733" s="284"/>
      <c r="C1733" s="284"/>
      <c r="D1733" s="284"/>
      <c r="E1733" s="284"/>
      <c r="F1733" s="284"/>
      <c r="G1733" s="284"/>
      <c r="H1733" s="284"/>
      <c r="I1733" s="284"/>
      <c r="J1733" s="375"/>
      <c r="K1733" s="375"/>
      <c r="L1733" s="375"/>
      <c r="M1733" s="368"/>
      <c r="N1733" s="368"/>
      <c r="O1733" s="370"/>
      <c r="T1733" s="340"/>
      <c r="V1733" s="378"/>
      <c r="W1733" s="64" ph="1"/>
      <c r="X1733" s="241"/>
      <c r="Y1733" s="284"/>
      <c r="Z1733" s="207"/>
      <c r="AA1733" s="284"/>
      <c r="AB1733" s="284"/>
      <c r="AC1733" s="284"/>
      <c r="AD1733" s="284"/>
      <c r="AE1733" s="284"/>
      <c r="AF1733" s="284"/>
      <c r="AG1733" s="284"/>
      <c r="AI1733" s="131"/>
    </row>
    <row r="1734" spans="1:35" ht="26.4">
      <c r="A1734" s="284"/>
      <c r="B1734" s="284"/>
      <c r="C1734" s="284"/>
      <c r="D1734" s="284"/>
      <c r="E1734" s="284"/>
      <c r="F1734" s="284"/>
      <c r="G1734" s="284"/>
      <c r="H1734" s="284"/>
      <c r="I1734" s="284"/>
      <c r="J1734" s="375"/>
      <c r="K1734" s="375"/>
      <c r="L1734" s="375"/>
      <c r="M1734" s="368"/>
      <c r="N1734" s="368"/>
      <c r="O1734" s="370"/>
      <c r="T1734" s="340"/>
      <c r="V1734" s="378"/>
      <c r="W1734" s="64" ph="1"/>
      <c r="X1734" s="241"/>
      <c r="Y1734" s="284"/>
      <c r="Z1734" s="207"/>
      <c r="AA1734" s="284"/>
      <c r="AB1734" s="284"/>
      <c r="AC1734" s="284"/>
      <c r="AD1734" s="284"/>
      <c r="AE1734" s="284"/>
      <c r="AF1734" s="284"/>
      <c r="AG1734" s="284"/>
      <c r="AI1734" s="131"/>
    </row>
    <row r="1735" spans="1:35" ht="26.4">
      <c r="A1735" s="284"/>
      <c r="B1735" s="284"/>
      <c r="C1735" s="284"/>
      <c r="D1735" s="284"/>
      <c r="E1735" s="284"/>
      <c r="F1735" s="284"/>
      <c r="G1735" s="284"/>
      <c r="H1735" s="284"/>
      <c r="I1735" s="284"/>
      <c r="J1735" s="375"/>
      <c r="K1735" s="375"/>
      <c r="L1735" s="375"/>
      <c r="M1735" s="368"/>
      <c r="N1735" s="368"/>
      <c r="O1735" s="370"/>
      <c r="T1735" s="340"/>
      <c r="V1735" s="378"/>
      <c r="W1735" s="64" ph="1"/>
      <c r="X1735" s="241"/>
      <c r="Y1735" s="284"/>
      <c r="Z1735" s="207"/>
      <c r="AA1735" s="284"/>
      <c r="AB1735" s="284"/>
      <c r="AC1735" s="284"/>
      <c r="AD1735" s="284"/>
      <c r="AE1735" s="284"/>
      <c r="AF1735" s="284"/>
      <c r="AG1735" s="284"/>
      <c r="AI1735" s="131"/>
    </row>
    <row r="1736" spans="1:35" ht="26.4">
      <c r="A1736" s="284"/>
      <c r="B1736" s="284"/>
      <c r="C1736" s="284"/>
      <c r="D1736" s="284"/>
      <c r="E1736" s="284"/>
      <c r="F1736" s="284"/>
      <c r="G1736" s="284"/>
      <c r="H1736" s="284"/>
      <c r="I1736" s="284"/>
      <c r="J1736" s="375"/>
      <c r="K1736" s="375"/>
      <c r="L1736" s="375"/>
      <c r="M1736" s="368"/>
      <c r="N1736" s="368"/>
      <c r="O1736" s="370"/>
      <c r="T1736" s="340"/>
      <c r="V1736" s="378"/>
      <c r="W1736" s="64" ph="1"/>
      <c r="X1736" s="241"/>
      <c r="Y1736" s="284"/>
      <c r="Z1736" s="207"/>
      <c r="AA1736" s="284"/>
      <c r="AB1736" s="284"/>
      <c r="AC1736" s="284"/>
      <c r="AD1736" s="284"/>
      <c r="AE1736" s="284"/>
      <c r="AF1736" s="284"/>
      <c r="AG1736" s="284"/>
      <c r="AI1736" s="131"/>
    </row>
    <row r="1737" spans="1:35" ht="26.4">
      <c r="A1737" s="284"/>
      <c r="B1737" s="284"/>
      <c r="C1737" s="284"/>
      <c r="D1737" s="284"/>
      <c r="E1737" s="284"/>
      <c r="F1737" s="284"/>
      <c r="G1737" s="284"/>
      <c r="H1737" s="284"/>
      <c r="I1737" s="284"/>
      <c r="J1737" s="375"/>
      <c r="K1737" s="375"/>
      <c r="L1737" s="375"/>
      <c r="M1737" s="368"/>
      <c r="N1737" s="368"/>
      <c r="O1737" s="370"/>
      <c r="T1737" s="340"/>
      <c r="V1737" s="378"/>
      <c r="W1737" s="64" ph="1"/>
      <c r="X1737" s="241"/>
      <c r="Y1737" s="284"/>
      <c r="Z1737" s="207"/>
      <c r="AA1737" s="284"/>
      <c r="AB1737" s="284"/>
      <c r="AC1737" s="284"/>
      <c r="AD1737" s="284"/>
      <c r="AE1737" s="284"/>
      <c r="AF1737" s="284"/>
      <c r="AG1737" s="284"/>
      <c r="AI1737" s="131"/>
    </row>
    <row r="1738" spans="1:35" ht="26.4">
      <c r="A1738" s="284"/>
      <c r="B1738" s="284"/>
      <c r="C1738" s="284"/>
      <c r="D1738" s="284"/>
      <c r="E1738" s="284"/>
      <c r="F1738" s="284"/>
      <c r="G1738" s="284"/>
      <c r="H1738" s="284"/>
      <c r="I1738" s="284"/>
      <c r="J1738" s="375"/>
      <c r="K1738" s="375"/>
      <c r="L1738" s="375"/>
      <c r="M1738" s="368"/>
      <c r="N1738" s="368"/>
      <c r="O1738" s="370"/>
      <c r="T1738" s="340"/>
      <c r="V1738" s="378"/>
      <c r="W1738" s="64" ph="1"/>
      <c r="X1738" s="241"/>
      <c r="Y1738" s="284"/>
      <c r="Z1738" s="207"/>
      <c r="AA1738" s="284"/>
      <c r="AB1738" s="284"/>
      <c r="AC1738" s="284"/>
      <c r="AD1738" s="284"/>
      <c r="AE1738" s="284"/>
      <c r="AF1738" s="284"/>
      <c r="AG1738" s="284"/>
      <c r="AI1738" s="131"/>
    </row>
    <row r="1739" spans="1:35" ht="26.4">
      <c r="A1739" s="284"/>
      <c r="B1739" s="284"/>
      <c r="C1739" s="284"/>
      <c r="D1739" s="284"/>
      <c r="E1739" s="284"/>
      <c r="F1739" s="284"/>
      <c r="G1739" s="284"/>
      <c r="H1739" s="284"/>
      <c r="I1739" s="284"/>
      <c r="J1739" s="375"/>
      <c r="K1739" s="375"/>
      <c r="L1739" s="375"/>
      <c r="M1739" s="368"/>
      <c r="N1739" s="368"/>
      <c r="O1739" s="370"/>
      <c r="T1739" s="340"/>
      <c r="V1739" s="378"/>
      <c r="W1739" s="64" ph="1"/>
      <c r="X1739" s="241"/>
      <c r="Y1739" s="284"/>
      <c r="Z1739" s="207"/>
      <c r="AA1739" s="284"/>
      <c r="AB1739" s="284"/>
      <c r="AC1739" s="284"/>
      <c r="AD1739" s="284"/>
      <c r="AE1739" s="284"/>
      <c r="AF1739" s="284"/>
      <c r="AG1739" s="284"/>
      <c r="AI1739" s="131"/>
    </row>
    <row r="1740" spans="1:35" ht="26.4">
      <c r="A1740" s="284"/>
      <c r="B1740" s="284"/>
      <c r="C1740" s="284"/>
      <c r="D1740" s="284"/>
      <c r="E1740" s="284"/>
      <c r="F1740" s="284"/>
      <c r="G1740" s="284"/>
      <c r="H1740" s="284"/>
      <c r="I1740" s="284"/>
      <c r="J1740" s="375"/>
      <c r="K1740" s="375"/>
      <c r="L1740" s="375"/>
      <c r="M1740" s="368"/>
      <c r="N1740" s="368"/>
      <c r="O1740" s="370"/>
      <c r="T1740" s="340"/>
      <c r="V1740" s="378"/>
      <c r="W1740" s="64" ph="1"/>
      <c r="X1740" s="241"/>
      <c r="Y1740" s="284"/>
      <c r="Z1740" s="207"/>
      <c r="AA1740" s="284"/>
      <c r="AB1740" s="284"/>
      <c r="AC1740" s="284"/>
      <c r="AD1740" s="284"/>
      <c r="AE1740" s="284"/>
      <c r="AF1740" s="284"/>
      <c r="AG1740" s="284"/>
      <c r="AI1740" s="131"/>
    </row>
    <row r="1741" spans="1:35" ht="26.4">
      <c r="A1741" s="284"/>
      <c r="B1741" s="284"/>
      <c r="C1741" s="284"/>
      <c r="D1741" s="284"/>
      <c r="E1741" s="284"/>
      <c r="F1741" s="284"/>
      <c r="G1741" s="284"/>
      <c r="H1741" s="284"/>
      <c r="I1741" s="284"/>
      <c r="J1741" s="375"/>
      <c r="K1741" s="375"/>
      <c r="L1741" s="375"/>
      <c r="M1741" s="368"/>
      <c r="N1741" s="368"/>
      <c r="O1741" s="370"/>
      <c r="T1741" s="340"/>
      <c r="V1741" s="378"/>
      <c r="W1741" s="64" ph="1"/>
      <c r="X1741" s="241"/>
      <c r="Y1741" s="284"/>
      <c r="Z1741" s="207"/>
      <c r="AA1741" s="284"/>
      <c r="AB1741" s="284"/>
      <c r="AC1741" s="284"/>
      <c r="AD1741" s="284"/>
      <c r="AE1741" s="284"/>
      <c r="AF1741" s="284"/>
      <c r="AG1741" s="284"/>
      <c r="AI1741" s="131"/>
    </row>
    <row r="1742" spans="1:35" ht="26.4">
      <c r="A1742" s="284"/>
      <c r="B1742" s="284"/>
      <c r="C1742" s="284"/>
      <c r="D1742" s="284"/>
      <c r="E1742" s="284"/>
      <c r="F1742" s="284"/>
      <c r="G1742" s="284"/>
      <c r="H1742" s="284"/>
      <c r="I1742" s="284"/>
      <c r="J1742" s="375"/>
      <c r="K1742" s="375"/>
      <c r="L1742" s="375"/>
      <c r="M1742" s="368"/>
      <c r="N1742" s="368"/>
      <c r="O1742" s="370"/>
      <c r="T1742" s="340"/>
      <c r="V1742" s="378"/>
      <c r="W1742" s="64" ph="1"/>
      <c r="X1742" s="241"/>
      <c r="Y1742" s="284"/>
      <c r="Z1742" s="207"/>
      <c r="AA1742" s="284"/>
      <c r="AB1742" s="284"/>
      <c r="AC1742" s="284"/>
      <c r="AD1742" s="284"/>
      <c r="AE1742" s="284"/>
      <c r="AF1742" s="284"/>
      <c r="AG1742" s="284"/>
      <c r="AI1742" s="131"/>
    </row>
    <row r="1743" spans="1:35" ht="26.4">
      <c r="A1743" s="284"/>
      <c r="B1743" s="284"/>
      <c r="C1743" s="284"/>
      <c r="D1743" s="284"/>
      <c r="E1743" s="284"/>
      <c r="F1743" s="284"/>
      <c r="G1743" s="284"/>
      <c r="H1743" s="284"/>
      <c r="I1743" s="284"/>
      <c r="J1743" s="375"/>
      <c r="K1743" s="375"/>
      <c r="L1743" s="375"/>
      <c r="M1743" s="368"/>
      <c r="N1743" s="368"/>
      <c r="O1743" s="370"/>
      <c r="T1743" s="340"/>
      <c r="V1743" s="378"/>
      <c r="W1743" s="64" ph="1"/>
      <c r="X1743" s="241"/>
      <c r="Y1743" s="284"/>
      <c r="Z1743" s="207"/>
      <c r="AA1743" s="284"/>
      <c r="AB1743" s="284"/>
      <c r="AC1743" s="284"/>
      <c r="AD1743" s="284"/>
      <c r="AE1743" s="284"/>
      <c r="AF1743" s="284"/>
      <c r="AG1743" s="284"/>
      <c r="AI1743" s="131"/>
    </row>
    <row r="1744" spans="1:35" ht="26.4">
      <c r="A1744" s="284"/>
      <c r="B1744" s="284"/>
      <c r="C1744" s="284"/>
      <c r="D1744" s="284"/>
      <c r="E1744" s="284"/>
      <c r="F1744" s="284"/>
      <c r="G1744" s="284"/>
      <c r="H1744" s="284"/>
      <c r="I1744" s="284"/>
      <c r="J1744" s="375"/>
      <c r="K1744" s="375"/>
      <c r="L1744" s="375"/>
      <c r="M1744" s="368"/>
      <c r="N1744" s="368"/>
      <c r="O1744" s="370"/>
      <c r="T1744" s="340"/>
      <c r="V1744" s="378"/>
      <c r="W1744" s="64" ph="1"/>
      <c r="X1744" s="241"/>
      <c r="Y1744" s="284"/>
      <c r="Z1744" s="207"/>
      <c r="AA1744" s="284"/>
      <c r="AB1744" s="284"/>
      <c r="AC1744" s="284"/>
      <c r="AD1744" s="284"/>
      <c r="AE1744" s="284"/>
      <c r="AF1744" s="284"/>
      <c r="AG1744" s="284"/>
      <c r="AI1744" s="131"/>
    </row>
    <row r="1745" spans="1:35" ht="26.4">
      <c r="A1745" s="284"/>
      <c r="B1745" s="284"/>
      <c r="C1745" s="284"/>
      <c r="D1745" s="284"/>
      <c r="E1745" s="284"/>
      <c r="F1745" s="284"/>
      <c r="G1745" s="284"/>
      <c r="H1745" s="284"/>
      <c r="I1745" s="284"/>
      <c r="J1745" s="375"/>
      <c r="K1745" s="375"/>
      <c r="L1745" s="375"/>
      <c r="M1745" s="368"/>
      <c r="N1745" s="368"/>
      <c r="O1745" s="370"/>
      <c r="T1745" s="340"/>
      <c r="V1745" s="378"/>
      <c r="W1745" s="64" ph="1"/>
      <c r="X1745" s="241"/>
      <c r="Y1745" s="284"/>
      <c r="Z1745" s="207"/>
      <c r="AA1745" s="284"/>
      <c r="AB1745" s="284"/>
      <c r="AC1745" s="284"/>
      <c r="AD1745" s="284"/>
      <c r="AE1745" s="284"/>
      <c r="AF1745" s="284"/>
      <c r="AG1745" s="284"/>
      <c r="AI1745" s="131"/>
    </row>
    <row r="1746" spans="1:35" ht="26.4">
      <c r="A1746" s="284"/>
      <c r="B1746" s="284"/>
      <c r="C1746" s="284"/>
      <c r="D1746" s="284"/>
      <c r="E1746" s="284"/>
      <c r="F1746" s="284"/>
      <c r="G1746" s="284"/>
      <c r="H1746" s="284"/>
      <c r="I1746" s="284"/>
      <c r="J1746" s="375"/>
      <c r="K1746" s="375"/>
      <c r="L1746" s="375"/>
      <c r="M1746" s="368"/>
      <c r="N1746" s="368"/>
      <c r="O1746" s="370"/>
      <c r="T1746" s="340"/>
      <c r="V1746" s="378"/>
      <c r="W1746" s="64" ph="1"/>
      <c r="X1746" s="241"/>
      <c r="Y1746" s="284"/>
      <c r="Z1746" s="207"/>
      <c r="AA1746" s="284"/>
      <c r="AB1746" s="284"/>
      <c r="AC1746" s="284"/>
      <c r="AD1746" s="284"/>
      <c r="AE1746" s="284"/>
      <c r="AF1746" s="284"/>
      <c r="AG1746" s="284"/>
      <c r="AI1746" s="131"/>
    </row>
    <row r="1747" spans="1:35" ht="26.4">
      <c r="A1747" s="284"/>
      <c r="B1747" s="284"/>
      <c r="C1747" s="284"/>
      <c r="D1747" s="284"/>
      <c r="E1747" s="284"/>
      <c r="F1747" s="284"/>
      <c r="G1747" s="284"/>
      <c r="H1747" s="284"/>
      <c r="I1747" s="284"/>
      <c r="J1747" s="375"/>
      <c r="K1747" s="375"/>
      <c r="L1747" s="375"/>
      <c r="M1747" s="368"/>
      <c r="N1747" s="368"/>
      <c r="O1747" s="370"/>
      <c r="T1747" s="340"/>
      <c r="V1747" s="378"/>
      <c r="W1747" s="64" ph="1"/>
      <c r="X1747" s="241"/>
      <c r="Y1747" s="284"/>
      <c r="Z1747" s="207"/>
      <c r="AA1747" s="284"/>
      <c r="AB1747" s="284"/>
      <c r="AC1747" s="284"/>
      <c r="AD1747" s="284"/>
      <c r="AE1747" s="284"/>
      <c r="AF1747" s="284"/>
      <c r="AG1747" s="284"/>
      <c r="AI1747" s="131"/>
    </row>
    <row r="1748" spans="1:35" ht="26.4">
      <c r="A1748" s="284"/>
      <c r="B1748" s="284"/>
      <c r="C1748" s="284"/>
      <c r="D1748" s="284"/>
      <c r="E1748" s="284"/>
      <c r="F1748" s="284"/>
      <c r="G1748" s="284"/>
      <c r="H1748" s="284"/>
      <c r="I1748" s="284"/>
      <c r="J1748" s="375"/>
      <c r="K1748" s="375"/>
      <c r="L1748" s="375"/>
      <c r="M1748" s="368"/>
      <c r="N1748" s="368"/>
      <c r="O1748" s="370"/>
      <c r="T1748" s="340"/>
      <c r="V1748" s="378"/>
      <c r="W1748" s="64" ph="1"/>
      <c r="X1748" s="241"/>
      <c r="Y1748" s="284"/>
      <c r="Z1748" s="207"/>
      <c r="AA1748" s="284"/>
      <c r="AB1748" s="284"/>
      <c r="AC1748" s="284"/>
      <c r="AD1748" s="284"/>
      <c r="AE1748" s="284"/>
      <c r="AF1748" s="284"/>
      <c r="AG1748" s="284"/>
      <c r="AI1748" s="131"/>
    </row>
    <row r="1749" spans="1:35" ht="26.4">
      <c r="A1749" s="284"/>
      <c r="B1749" s="284"/>
      <c r="C1749" s="284"/>
      <c r="D1749" s="284"/>
      <c r="E1749" s="284"/>
      <c r="F1749" s="284"/>
      <c r="G1749" s="284"/>
      <c r="H1749" s="284"/>
      <c r="I1749" s="284"/>
      <c r="J1749" s="375"/>
      <c r="K1749" s="375"/>
      <c r="L1749" s="375"/>
      <c r="M1749" s="368"/>
      <c r="N1749" s="368"/>
      <c r="O1749" s="370"/>
      <c r="T1749" s="340"/>
      <c r="V1749" s="378"/>
      <c r="W1749" s="64" ph="1"/>
      <c r="X1749" s="241"/>
      <c r="Y1749" s="284"/>
      <c r="Z1749" s="207"/>
      <c r="AA1749" s="284"/>
      <c r="AB1749" s="284"/>
      <c r="AC1749" s="284"/>
      <c r="AD1749" s="284"/>
      <c r="AE1749" s="284"/>
      <c r="AF1749" s="284"/>
      <c r="AG1749" s="284"/>
      <c r="AI1749" s="131"/>
    </row>
    <row r="1750" spans="1:35" ht="26.4">
      <c r="A1750" s="284"/>
      <c r="B1750" s="284"/>
      <c r="C1750" s="284"/>
      <c r="D1750" s="284"/>
      <c r="E1750" s="284"/>
      <c r="F1750" s="284"/>
      <c r="G1750" s="284"/>
      <c r="H1750" s="284"/>
      <c r="I1750" s="284"/>
      <c r="J1750" s="375"/>
      <c r="K1750" s="375"/>
      <c r="L1750" s="375"/>
      <c r="M1750" s="368"/>
      <c r="N1750" s="368"/>
      <c r="O1750" s="370"/>
      <c r="T1750" s="340"/>
      <c r="V1750" s="378"/>
      <c r="W1750" s="64" ph="1"/>
      <c r="X1750" s="241"/>
      <c r="Y1750" s="284"/>
      <c r="Z1750" s="207"/>
      <c r="AA1750" s="284"/>
      <c r="AB1750" s="284"/>
      <c r="AC1750" s="284"/>
      <c r="AD1750" s="284"/>
      <c r="AE1750" s="284"/>
      <c r="AF1750" s="284"/>
      <c r="AG1750" s="284"/>
      <c r="AI1750" s="131"/>
    </row>
    <row r="1751" spans="1:35" ht="26.4">
      <c r="A1751" s="284"/>
      <c r="B1751" s="284"/>
      <c r="C1751" s="284"/>
      <c r="D1751" s="284"/>
      <c r="E1751" s="284"/>
      <c r="F1751" s="284"/>
      <c r="G1751" s="284"/>
      <c r="H1751" s="284"/>
      <c r="I1751" s="284"/>
      <c r="J1751" s="375"/>
      <c r="K1751" s="375"/>
      <c r="L1751" s="375"/>
      <c r="M1751" s="368"/>
      <c r="N1751" s="368"/>
      <c r="O1751" s="370"/>
      <c r="T1751" s="340"/>
      <c r="V1751" s="378"/>
      <c r="W1751" s="64" ph="1"/>
      <c r="X1751" s="241"/>
      <c r="Y1751" s="284"/>
      <c r="Z1751" s="207"/>
      <c r="AA1751" s="284"/>
      <c r="AB1751" s="284"/>
      <c r="AC1751" s="284"/>
      <c r="AD1751" s="284"/>
      <c r="AE1751" s="284"/>
      <c r="AF1751" s="284"/>
      <c r="AG1751" s="284"/>
      <c r="AI1751" s="131"/>
    </row>
    <row r="1752" spans="1:35" ht="26.4">
      <c r="A1752" s="284"/>
      <c r="B1752" s="284"/>
      <c r="C1752" s="284"/>
      <c r="D1752" s="284"/>
      <c r="E1752" s="284"/>
      <c r="F1752" s="284"/>
      <c r="G1752" s="284"/>
      <c r="H1752" s="284"/>
      <c r="I1752" s="284"/>
      <c r="J1752" s="375"/>
      <c r="K1752" s="375"/>
      <c r="L1752" s="375"/>
      <c r="M1752" s="368"/>
      <c r="N1752" s="368"/>
      <c r="O1752" s="370"/>
      <c r="T1752" s="340"/>
      <c r="V1752" s="378"/>
      <c r="W1752" s="64" ph="1"/>
      <c r="X1752" s="241"/>
      <c r="Y1752" s="284"/>
      <c r="Z1752" s="207"/>
      <c r="AA1752" s="284"/>
      <c r="AB1752" s="284"/>
      <c r="AC1752" s="284"/>
      <c r="AD1752" s="284"/>
      <c r="AE1752" s="284"/>
      <c r="AF1752" s="284"/>
      <c r="AG1752" s="284"/>
      <c r="AI1752" s="131"/>
    </row>
    <row r="1753" spans="1:35" ht="26.4">
      <c r="A1753" s="284"/>
      <c r="B1753" s="284"/>
      <c r="C1753" s="284"/>
      <c r="D1753" s="284"/>
      <c r="E1753" s="284"/>
      <c r="F1753" s="284"/>
      <c r="G1753" s="284"/>
      <c r="H1753" s="284"/>
      <c r="I1753" s="284"/>
      <c r="J1753" s="375"/>
      <c r="K1753" s="375"/>
      <c r="L1753" s="375"/>
      <c r="M1753" s="368"/>
      <c r="N1753" s="368"/>
      <c r="O1753" s="370"/>
      <c r="T1753" s="340"/>
      <c r="V1753" s="378"/>
      <c r="W1753" s="64" ph="1"/>
      <c r="X1753" s="241"/>
      <c r="Y1753" s="284"/>
      <c r="Z1753" s="207"/>
      <c r="AA1753" s="284"/>
      <c r="AB1753" s="284"/>
      <c r="AC1753" s="284"/>
      <c r="AD1753" s="284"/>
      <c r="AE1753" s="284"/>
      <c r="AF1753" s="284"/>
      <c r="AG1753" s="284"/>
      <c r="AI1753" s="131"/>
    </row>
    <row r="1754" spans="1:35" ht="26.4">
      <c r="A1754" s="284"/>
      <c r="B1754" s="284"/>
      <c r="C1754" s="284"/>
      <c r="D1754" s="284"/>
      <c r="E1754" s="284"/>
      <c r="F1754" s="284"/>
      <c r="G1754" s="284"/>
      <c r="H1754" s="284"/>
      <c r="I1754" s="284"/>
      <c r="J1754" s="375"/>
      <c r="K1754" s="375"/>
      <c r="L1754" s="375"/>
      <c r="M1754" s="368"/>
      <c r="N1754" s="368"/>
      <c r="O1754" s="370"/>
      <c r="T1754" s="340"/>
      <c r="V1754" s="378"/>
      <c r="W1754" s="64" ph="1"/>
      <c r="X1754" s="241"/>
      <c r="Y1754" s="284"/>
      <c r="Z1754" s="207"/>
      <c r="AA1754" s="284"/>
      <c r="AB1754" s="284"/>
      <c r="AC1754" s="284"/>
      <c r="AD1754" s="284"/>
      <c r="AE1754" s="284"/>
      <c r="AF1754" s="284"/>
      <c r="AG1754" s="284"/>
      <c r="AI1754" s="284"/>
    </row>
    <row r="1755" spans="1:35" ht="26.4">
      <c r="A1755" s="284"/>
      <c r="B1755" s="284"/>
      <c r="C1755" s="284"/>
      <c r="D1755" s="284"/>
      <c r="E1755" s="284"/>
      <c r="F1755" s="284"/>
      <c r="G1755" s="284"/>
      <c r="H1755" s="284"/>
      <c r="I1755" s="284"/>
      <c r="J1755" s="375"/>
      <c r="K1755" s="375"/>
      <c r="L1755" s="375"/>
      <c r="M1755" s="368"/>
      <c r="N1755" s="368"/>
      <c r="O1755" s="370"/>
      <c r="T1755" s="340"/>
      <c r="V1755" s="378"/>
      <c r="W1755" s="64" ph="1"/>
      <c r="X1755" s="241"/>
      <c r="Y1755" s="284"/>
      <c r="Z1755" s="207"/>
      <c r="AA1755" s="284"/>
      <c r="AB1755" s="284"/>
      <c r="AC1755" s="284"/>
      <c r="AD1755" s="284"/>
      <c r="AE1755" s="284"/>
      <c r="AF1755" s="284"/>
      <c r="AG1755" s="284"/>
      <c r="AI1755" s="284"/>
    </row>
    <row r="1756" spans="1:35" ht="26.4">
      <c r="A1756" s="284"/>
      <c r="B1756" s="284"/>
      <c r="C1756" s="284"/>
      <c r="D1756" s="284"/>
      <c r="E1756" s="284"/>
      <c r="F1756" s="284"/>
      <c r="G1756" s="284"/>
      <c r="H1756" s="284"/>
      <c r="I1756" s="284"/>
      <c r="J1756" s="375"/>
      <c r="K1756" s="375"/>
      <c r="L1756" s="375"/>
      <c r="M1756" s="368"/>
      <c r="N1756" s="368"/>
      <c r="O1756" s="370"/>
      <c r="T1756" s="340"/>
      <c r="V1756" s="378"/>
      <c r="W1756" s="64" ph="1"/>
      <c r="X1756" s="241"/>
      <c r="Y1756" s="284"/>
      <c r="Z1756" s="207"/>
      <c r="AA1756" s="284"/>
      <c r="AB1756" s="284"/>
      <c r="AC1756" s="284"/>
      <c r="AD1756" s="284"/>
      <c r="AE1756" s="284"/>
      <c r="AF1756" s="284"/>
      <c r="AG1756" s="284"/>
      <c r="AI1756" s="131"/>
    </row>
    <row r="1757" spans="1:35" ht="26.4">
      <c r="A1757" s="284"/>
      <c r="B1757" s="284"/>
      <c r="C1757" s="284"/>
      <c r="D1757" s="284"/>
      <c r="E1757" s="284"/>
      <c r="F1757" s="284"/>
      <c r="G1757" s="284"/>
      <c r="H1757" s="284"/>
      <c r="I1757" s="284"/>
      <c r="J1757" s="375"/>
      <c r="K1757" s="375"/>
      <c r="L1757" s="375"/>
      <c r="M1757" s="368"/>
      <c r="N1757" s="368"/>
      <c r="O1757" s="370"/>
      <c r="T1757" s="340"/>
      <c r="V1757" s="378"/>
      <c r="W1757" s="64" ph="1"/>
      <c r="X1757" s="241"/>
      <c r="Y1757" s="284"/>
      <c r="Z1757" s="207"/>
      <c r="AA1757" s="284"/>
      <c r="AB1757" s="284"/>
      <c r="AC1757" s="284"/>
      <c r="AD1757" s="284"/>
      <c r="AE1757" s="284"/>
      <c r="AF1757" s="284"/>
      <c r="AG1757" s="284"/>
      <c r="AI1757" s="131"/>
    </row>
    <row r="1758" spans="1:35" ht="26.4">
      <c r="A1758" s="284"/>
      <c r="B1758" s="284"/>
      <c r="C1758" s="284"/>
      <c r="D1758" s="284"/>
      <c r="E1758" s="284"/>
      <c r="F1758" s="284"/>
      <c r="G1758" s="284"/>
      <c r="H1758" s="284"/>
      <c r="I1758" s="284"/>
      <c r="J1758" s="375"/>
      <c r="K1758" s="375"/>
      <c r="L1758" s="375"/>
      <c r="M1758" s="368"/>
      <c r="N1758" s="368"/>
      <c r="O1758" s="370"/>
      <c r="T1758" s="340"/>
      <c r="V1758" s="378"/>
      <c r="W1758" s="64" ph="1"/>
      <c r="X1758" s="241"/>
      <c r="Y1758" s="284"/>
      <c r="Z1758" s="207"/>
      <c r="AA1758" s="284"/>
      <c r="AB1758" s="284"/>
      <c r="AC1758" s="284"/>
      <c r="AD1758" s="284"/>
      <c r="AE1758" s="284"/>
      <c r="AF1758" s="284"/>
      <c r="AG1758" s="284"/>
      <c r="AI1758" s="131"/>
    </row>
    <row r="1759" spans="1:35" ht="26.4">
      <c r="A1759" s="284"/>
      <c r="B1759" s="284"/>
      <c r="C1759" s="284"/>
      <c r="D1759" s="284"/>
      <c r="E1759" s="284"/>
      <c r="F1759" s="284"/>
      <c r="G1759" s="284"/>
      <c r="H1759" s="284"/>
      <c r="I1759" s="284"/>
      <c r="J1759" s="375"/>
      <c r="K1759" s="375"/>
      <c r="L1759" s="375"/>
      <c r="M1759" s="368"/>
      <c r="N1759" s="368"/>
      <c r="O1759" s="370"/>
      <c r="T1759" s="340"/>
      <c r="V1759" s="378"/>
      <c r="W1759" s="64" ph="1"/>
      <c r="X1759" s="241"/>
      <c r="Y1759" s="284"/>
      <c r="Z1759" s="207"/>
      <c r="AA1759" s="284"/>
      <c r="AB1759" s="284"/>
      <c r="AC1759" s="284"/>
      <c r="AD1759" s="284"/>
      <c r="AE1759" s="284"/>
      <c r="AF1759" s="284"/>
      <c r="AG1759" s="284"/>
      <c r="AI1759" s="131"/>
    </row>
    <row r="1760" spans="1:35" ht="26.4">
      <c r="A1760" s="284"/>
      <c r="B1760" s="284"/>
      <c r="C1760" s="284"/>
      <c r="D1760" s="284"/>
      <c r="E1760" s="284"/>
      <c r="F1760" s="284"/>
      <c r="G1760" s="284"/>
      <c r="H1760" s="284"/>
      <c r="I1760" s="284"/>
      <c r="J1760" s="375"/>
      <c r="K1760" s="375"/>
      <c r="L1760" s="375"/>
      <c r="M1760" s="368"/>
      <c r="N1760" s="368"/>
      <c r="O1760" s="370"/>
      <c r="T1760" s="340"/>
      <c r="V1760" s="378"/>
      <c r="W1760" s="64" ph="1"/>
      <c r="X1760" s="241"/>
      <c r="Y1760" s="284"/>
      <c r="Z1760" s="207"/>
      <c r="AA1760" s="284"/>
      <c r="AB1760" s="284"/>
      <c r="AC1760" s="284"/>
      <c r="AD1760" s="284"/>
      <c r="AE1760" s="284"/>
      <c r="AF1760" s="284"/>
      <c r="AG1760" s="284"/>
      <c r="AI1760" s="131"/>
    </row>
    <row r="1761" spans="1:35" ht="26.4">
      <c r="A1761" s="284"/>
      <c r="B1761" s="284"/>
      <c r="C1761" s="284"/>
      <c r="D1761" s="284"/>
      <c r="E1761" s="284"/>
      <c r="F1761" s="284"/>
      <c r="G1761" s="284"/>
      <c r="H1761" s="284"/>
      <c r="I1761" s="284"/>
      <c r="J1761" s="375"/>
      <c r="K1761" s="375"/>
      <c r="L1761" s="375"/>
      <c r="M1761" s="368"/>
      <c r="N1761" s="368"/>
      <c r="O1761" s="370"/>
      <c r="T1761" s="340"/>
      <c r="V1761" s="378"/>
      <c r="W1761" s="64" ph="1"/>
      <c r="X1761" s="241"/>
      <c r="Y1761" s="284"/>
      <c r="Z1761" s="207"/>
      <c r="AA1761" s="284"/>
      <c r="AB1761" s="284"/>
      <c r="AC1761" s="284"/>
      <c r="AD1761" s="284"/>
      <c r="AE1761" s="284"/>
      <c r="AF1761" s="284"/>
      <c r="AG1761" s="284"/>
      <c r="AI1761" s="131"/>
    </row>
    <row r="1762" spans="1:35" ht="26.4">
      <c r="A1762" s="284"/>
      <c r="B1762" s="284"/>
      <c r="C1762" s="284"/>
      <c r="D1762" s="284"/>
      <c r="E1762" s="284"/>
      <c r="F1762" s="284"/>
      <c r="G1762" s="284"/>
      <c r="H1762" s="284"/>
      <c r="I1762" s="284"/>
      <c r="J1762" s="375"/>
      <c r="K1762" s="375"/>
      <c r="L1762" s="375"/>
      <c r="M1762" s="368"/>
      <c r="N1762" s="368"/>
      <c r="O1762" s="370"/>
      <c r="T1762" s="340"/>
      <c r="V1762" s="378"/>
      <c r="W1762" s="64" ph="1"/>
      <c r="X1762" s="241"/>
      <c r="Y1762" s="284"/>
      <c r="Z1762" s="207"/>
      <c r="AA1762" s="284"/>
      <c r="AB1762" s="284"/>
      <c r="AC1762" s="284"/>
      <c r="AD1762" s="284"/>
      <c r="AE1762" s="284"/>
      <c r="AF1762" s="284"/>
      <c r="AG1762" s="284"/>
      <c r="AI1762" s="131"/>
    </row>
    <row r="1763" spans="1:35" ht="26.4">
      <c r="A1763" s="284"/>
      <c r="B1763" s="284"/>
      <c r="C1763" s="284"/>
      <c r="D1763" s="284"/>
      <c r="E1763" s="284"/>
      <c r="F1763" s="284"/>
      <c r="G1763" s="284"/>
      <c r="H1763" s="284"/>
      <c r="I1763" s="284"/>
      <c r="J1763" s="375"/>
      <c r="K1763" s="375"/>
      <c r="L1763" s="375"/>
      <c r="M1763" s="368"/>
      <c r="N1763" s="368"/>
      <c r="O1763" s="370"/>
      <c r="T1763" s="340"/>
      <c r="V1763" s="378"/>
      <c r="W1763" s="64" ph="1"/>
      <c r="X1763" s="241"/>
      <c r="Y1763" s="284"/>
      <c r="Z1763" s="207"/>
      <c r="AA1763" s="284"/>
      <c r="AB1763" s="284"/>
      <c r="AC1763" s="284"/>
      <c r="AD1763" s="284"/>
      <c r="AE1763" s="284"/>
      <c r="AF1763" s="284"/>
      <c r="AG1763" s="284"/>
      <c r="AI1763" s="131"/>
    </row>
    <row r="1764" spans="1:35" ht="26.4">
      <c r="A1764" s="284"/>
      <c r="B1764" s="284"/>
      <c r="C1764" s="284"/>
      <c r="D1764" s="284"/>
      <c r="E1764" s="284"/>
      <c r="F1764" s="284"/>
      <c r="G1764" s="284"/>
      <c r="H1764" s="284"/>
      <c r="I1764" s="284"/>
      <c r="J1764" s="375"/>
      <c r="K1764" s="375"/>
      <c r="L1764" s="375"/>
      <c r="M1764" s="368"/>
      <c r="N1764" s="368"/>
      <c r="O1764" s="370"/>
      <c r="T1764" s="340"/>
      <c r="V1764" s="378"/>
      <c r="W1764" s="64" ph="1"/>
      <c r="X1764" s="241"/>
      <c r="Y1764" s="284"/>
      <c r="Z1764" s="207"/>
      <c r="AA1764" s="284"/>
      <c r="AB1764" s="284"/>
      <c r="AC1764" s="284"/>
      <c r="AD1764" s="284"/>
      <c r="AE1764" s="284"/>
      <c r="AF1764" s="284"/>
      <c r="AG1764" s="284"/>
      <c r="AI1764" s="131"/>
    </row>
    <row r="1765" spans="1:35" ht="26.4">
      <c r="A1765" s="284"/>
      <c r="B1765" s="284"/>
      <c r="C1765" s="284"/>
      <c r="D1765" s="284"/>
      <c r="E1765" s="284"/>
      <c r="F1765" s="284"/>
      <c r="G1765" s="284"/>
      <c r="H1765" s="284"/>
      <c r="I1765" s="284"/>
      <c r="J1765" s="375"/>
      <c r="K1765" s="375"/>
      <c r="L1765" s="375"/>
      <c r="M1765" s="368"/>
      <c r="N1765" s="368"/>
      <c r="O1765" s="370"/>
      <c r="T1765" s="340"/>
      <c r="V1765" s="378"/>
      <c r="W1765" s="64" ph="1"/>
      <c r="X1765" s="241"/>
      <c r="Y1765" s="284"/>
      <c r="Z1765" s="207"/>
      <c r="AA1765" s="284"/>
      <c r="AB1765" s="284"/>
      <c r="AC1765" s="284"/>
      <c r="AD1765" s="284"/>
      <c r="AE1765" s="284"/>
      <c r="AF1765" s="284"/>
      <c r="AG1765" s="284"/>
      <c r="AI1765" s="131"/>
    </row>
    <row r="1766" spans="1:35" ht="26.4">
      <c r="A1766" s="284"/>
      <c r="B1766" s="284"/>
      <c r="C1766" s="284"/>
      <c r="D1766" s="284"/>
      <c r="E1766" s="284"/>
      <c r="F1766" s="284"/>
      <c r="G1766" s="284"/>
      <c r="H1766" s="284"/>
      <c r="I1766" s="284"/>
      <c r="J1766" s="375"/>
      <c r="K1766" s="375"/>
      <c r="L1766" s="375"/>
      <c r="M1766" s="368"/>
      <c r="N1766" s="368"/>
      <c r="O1766" s="370"/>
      <c r="T1766" s="340"/>
      <c r="V1766" s="378"/>
      <c r="W1766" s="64" ph="1"/>
      <c r="X1766" s="241"/>
      <c r="Y1766" s="284"/>
      <c r="Z1766" s="207"/>
      <c r="AA1766" s="284"/>
      <c r="AB1766" s="284"/>
      <c r="AC1766" s="284"/>
      <c r="AD1766" s="284"/>
      <c r="AE1766" s="284"/>
      <c r="AF1766" s="284"/>
      <c r="AG1766" s="284"/>
      <c r="AI1766" s="131"/>
    </row>
    <row r="1767" spans="1:35" ht="26.4">
      <c r="A1767" s="284"/>
      <c r="B1767" s="284"/>
      <c r="C1767" s="284"/>
      <c r="D1767" s="284"/>
      <c r="E1767" s="284"/>
      <c r="F1767" s="284"/>
      <c r="G1767" s="284"/>
      <c r="H1767" s="284"/>
      <c r="I1767" s="284"/>
      <c r="J1767" s="375"/>
      <c r="K1767" s="375"/>
      <c r="L1767" s="375"/>
      <c r="M1767" s="368"/>
      <c r="N1767" s="368"/>
      <c r="O1767" s="370"/>
      <c r="T1767" s="340"/>
      <c r="V1767" s="378"/>
      <c r="W1767" s="64" ph="1"/>
      <c r="X1767" s="241"/>
      <c r="Y1767" s="284"/>
      <c r="Z1767" s="207"/>
      <c r="AA1767" s="284"/>
      <c r="AB1767" s="284"/>
      <c r="AC1767" s="284"/>
      <c r="AD1767" s="284"/>
      <c r="AE1767" s="284"/>
      <c r="AF1767" s="284"/>
      <c r="AG1767" s="284"/>
      <c r="AI1767" s="131"/>
    </row>
    <row r="1768" spans="1:35" ht="26.4">
      <c r="A1768" s="284"/>
      <c r="B1768" s="284"/>
      <c r="C1768" s="284"/>
      <c r="D1768" s="284"/>
      <c r="E1768" s="284"/>
      <c r="F1768" s="284"/>
      <c r="G1768" s="284"/>
      <c r="H1768" s="284"/>
      <c r="I1768" s="284"/>
      <c r="J1768" s="375"/>
      <c r="K1768" s="375"/>
      <c r="L1768" s="375"/>
      <c r="M1768" s="368"/>
      <c r="N1768" s="368"/>
      <c r="O1768" s="370"/>
      <c r="T1768" s="340"/>
      <c r="V1768" s="378"/>
      <c r="W1768" s="64" ph="1"/>
      <c r="X1768" s="241"/>
      <c r="Y1768" s="284"/>
      <c r="Z1768" s="207"/>
      <c r="AA1768" s="284"/>
      <c r="AB1768" s="284"/>
      <c r="AC1768" s="284"/>
      <c r="AD1768" s="284"/>
      <c r="AE1768" s="284"/>
      <c r="AF1768" s="284"/>
      <c r="AG1768" s="284"/>
      <c r="AI1768" s="284"/>
    </row>
    <row r="1769" spans="1:35" ht="26.4">
      <c r="A1769" s="284"/>
      <c r="B1769" s="284"/>
      <c r="C1769" s="284"/>
      <c r="D1769" s="284"/>
      <c r="E1769" s="284"/>
      <c r="F1769" s="284"/>
      <c r="G1769" s="284"/>
      <c r="H1769" s="284"/>
      <c r="I1769" s="284"/>
      <c r="J1769" s="375"/>
      <c r="K1769" s="375"/>
      <c r="L1769" s="375"/>
      <c r="M1769" s="368"/>
      <c r="N1769" s="368"/>
      <c r="O1769" s="370"/>
      <c r="T1769" s="340"/>
      <c r="V1769" s="378"/>
      <c r="W1769" s="64" ph="1"/>
      <c r="X1769" s="241"/>
      <c r="Y1769" s="284"/>
      <c r="Z1769" s="207"/>
      <c r="AA1769" s="284"/>
      <c r="AB1769" s="284"/>
      <c r="AC1769" s="284"/>
      <c r="AD1769" s="284"/>
      <c r="AE1769" s="284"/>
      <c r="AF1769" s="284"/>
      <c r="AG1769" s="284"/>
      <c r="AI1769" s="131"/>
    </row>
    <row r="1770" spans="1:35" ht="26.4">
      <c r="A1770" s="284"/>
      <c r="B1770" s="284"/>
      <c r="C1770" s="284"/>
      <c r="D1770" s="284"/>
      <c r="E1770" s="284"/>
      <c r="F1770" s="284"/>
      <c r="G1770" s="284"/>
      <c r="H1770" s="284"/>
      <c r="I1770" s="284"/>
      <c r="J1770" s="375"/>
      <c r="K1770" s="375"/>
      <c r="L1770" s="375"/>
      <c r="M1770" s="368"/>
      <c r="N1770" s="368"/>
      <c r="O1770" s="370"/>
      <c r="T1770" s="340"/>
      <c r="V1770" s="378"/>
      <c r="W1770" s="64" ph="1"/>
      <c r="X1770" s="241"/>
      <c r="Y1770" s="284"/>
      <c r="Z1770" s="207"/>
      <c r="AA1770" s="284"/>
      <c r="AB1770" s="284"/>
      <c r="AC1770" s="284"/>
      <c r="AD1770" s="284"/>
      <c r="AE1770" s="284"/>
      <c r="AF1770" s="284"/>
      <c r="AG1770" s="284"/>
      <c r="AI1770" s="131"/>
    </row>
    <row r="1771" spans="1:35" ht="26.4">
      <c r="A1771" s="284"/>
      <c r="B1771" s="284"/>
      <c r="C1771" s="284"/>
      <c r="D1771" s="284"/>
      <c r="E1771" s="284"/>
      <c r="F1771" s="284"/>
      <c r="G1771" s="284"/>
      <c r="H1771" s="284"/>
      <c r="I1771" s="284"/>
      <c r="J1771" s="375"/>
      <c r="K1771" s="375"/>
      <c r="L1771" s="375"/>
      <c r="M1771" s="368"/>
      <c r="N1771" s="368"/>
      <c r="O1771" s="370"/>
      <c r="T1771" s="340"/>
      <c r="V1771" s="378"/>
      <c r="W1771" s="64" ph="1"/>
      <c r="X1771" s="241"/>
      <c r="Y1771" s="284"/>
      <c r="Z1771" s="207"/>
      <c r="AA1771" s="284"/>
      <c r="AB1771" s="284"/>
      <c r="AC1771" s="284"/>
      <c r="AD1771" s="284"/>
      <c r="AE1771" s="284"/>
      <c r="AF1771" s="284"/>
      <c r="AG1771" s="284"/>
      <c r="AI1771" s="131"/>
    </row>
    <row r="1772" spans="1:35" ht="26.4">
      <c r="A1772" s="284"/>
      <c r="B1772" s="284"/>
      <c r="C1772" s="284"/>
      <c r="D1772" s="284"/>
      <c r="E1772" s="284"/>
      <c r="F1772" s="284"/>
      <c r="G1772" s="284"/>
      <c r="H1772" s="284"/>
      <c r="I1772" s="284"/>
      <c r="J1772" s="375"/>
      <c r="K1772" s="375"/>
      <c r="L1772" s="375"/>
      <c r="M1772" s="368"/>
      <c r="N1772" s="368"/>
      <c r="O1772" s="370"/>
      <c r="T1772" s="340"/>
      <c r="V1772" s="378"/>
      <c r="W1772" s="64" ph="1"/>
      <c r="X1772" s="241"/>
      <c r="Y1772" s="284"/>
      <c r="Z1772" s="207"/>
      <c r="AA1772" s="284"/>
      <c r="AB1772" s="284"/>
      <c r="AC1772" s="284"/>
      <c r="AD1772" s="284"/>
      <c r="AE1772" s="284"/>
      <c r="AF1772" s="284"/>
      <c r="AG1772" s="284"/>
      <c r="AI1772" s="131"/>
    </row>
    <row r="1773" spans="1:35" ht="26.4">
      <c r="A1773" s="284"/>
      <c r="B1773" s="284"/>
      <c r="C1773" s="284"/>
      <c r="D1773" s="284"/>
      <c r="E1773" s="284"/>
      <c r="F1773" s="284"/>
      <c r="G1773" s="284"/>
      <c r="H1773" s="284"/>
      <c r="I1773" s="284"/>
      <c r="J1773" s="375"/>
      <c r="K1773" s="375"/>
      <c r="L1773" s="375"/>
      <c r="M1773" s="368"/>
      <c r="N1773" s="368"/>
      <c r="O1773" s="370"/>
      <c r="T1773" s="340"/>
      <c r="V1773" s="378"/>
      <c r="W1773" s="64" ph="1"/>
      <c r="X1773" s="241"/>
      <c r="Y1773" s="284"/>
      <c r="Z1773" s="207"/>
      <c r="AA1773" s="284"/>
      <c r="AB1773" s="284"/>
      <c r="AC1773" s="284"/>
      <c r="AD1773" s="284"/>
      <c r="AE1773" s="284"/>
      <c r="AF1773" s="284"/>
      <c r="AG1773" s="284"/>
      <c r="AI1773" s="131"/>
    </row>
    <row r="1774" spans="1:35" ht="26.4">
      <c r="A1774" s="284"/>
      <c r="B1774" s="284"/>
      <c r="C1774" s="284"/>
      <c r="D1774" s="284"/>
      <c r="E1774" s="284"/>
      <c r="F1774" s="284"/>
      <c r="G1774" s="284"/>
      <c r="H1774" s="284"/>
      <c r="I1774" s="284"/>
      <c r="J1774" s="375"/>
      <c r="K1774" s="375"/>
      <c r="L1774" s="375"/>
      <c r="M1774" s="368"/>
      <c r="N1774" s="368"/>
      <c r="O1774" s="370"/>
      <c r="T1774" s="340"/>
      <c r="V1774" s="378"/>
      <c r="W1774" s="64" ph="1"/>
      <c r="X1774" s="241"/>
      <c r="Y1774" s="284"/>
      <c r="Z1774" s="207"/>
      <c r="AA1774" s="284"/>
      <c r="AB1774" s="284"/>
      <c r="AC1774" s="284"/>
      <c r="AD1774" s="284"/>
      <c r="AE1774" s="284"/>
      <c r="AF1774" s="284"/>
      <c r="AG1774" s="284"/>
      <c r="AI1774" s="131"/>
    </row>
    <row r="1775" spans="1:35" ht="26.4">
      <c r="A1775" s="284"/>
      <c r="B1775" s="284"/>
      <c r="C1775" s="284"/>
      <c r="D1775" s="284"/>
      <c r="E1775" s="284"/>
      <c r="F1775" s="284"/>
      <c r="G1775" s="284"/>
      <c r="H1775" s="284"/>
      <c r="I1775" s="284"/>
      <c r="J1775" s="375"/>
      <c r="K1775" s="375"/>
      <c r="L1775" s="375"/>
      <c r="M1775" s="368"/>
      <c r="N1775" s="368"/>
      <c r="O1775" s="370"/>
      <c r="T1775" s="340"/>
      <c r="V1775" s="378"/>
      <c r="W1775" s="64" ph="1"/>
      <c r="X1775" s="241"/>
      <c r="Y1775" s="284"/>
      <c r="Z1775" s="207"/>
      <c r="AA1775" s="284"/>
      <c r="AB1775" s="284"/>
      <c r="AC1775" s="284"/>
      <c r="AD1775" s="284"/>
      <c r="AE1775" s="284"/>
      <c r="AF1775" s="284"/>
      <c r="AG1775" s="284"/>
      <c r="AI1775" s="52"/>
    </row>
    <row r="1776" spans="1:35" ht="26.4">
      <c r="A1776" s="284"/>
      <c r="B1776" s="284"/>
      <c r="C1776" s="284"/>
      <c r="D1776" s="284"/>
      <c r="E1776" s="284"/>
      <c r="F1776" s="284"/>
      <c r="G1776" s="284"/>
      <c r="H1776" s="284"/>
      <c r="I1776" s="284"/>
      <c r="J1776" s="375"/>
      <c r="K1776" s="375"/>
      <c r="L1776" s="375"/>
      <c r="M1776" s="368"/>
      <c r="N1776" s="368"/>
      <c r="O1776" s="370"/>
      <c r="T1776" s="340"/>
      <c r="V1776" s="378"/>
      <c r="W1776" s="64" ph="1"/>
      <c r="X1776" s="241"/>
      <c r="Y1776" s="284"/>
      <c r="Z1776" s="207"/>
      <c r="AA1776" s="284"/>
      <c r="AB1776" s="284"/>
      <c r="AC1776" s="284"/>
      <c r="AD1776" s="284"/>
      <c r="AE1776" s="284"/>
      <c r="AF1776" s="284"/>
      <c r="AG1776" s="284"/>
      <c r="AI1776" s="131"/>
    </row>
    <row r="1777" spans="1:35" ht="26.4">
      <c r="A1777" s="284"/>
      <c r="B1777" s="284"/>
      <c r="C1777" s="284"/>
      <c r="D1777" s="284"/>
      <c r="E1777" s="284"/>
      <c r="F1777" s="284"/>
      <c r="G1777" s="284"/>
      <c r="H1777" s="284"/>
      <c r="I1777" s="284"/>
      <c r="J1777" s="375"/>
      <c r="K1777" s="375"/>
      <c r="L1777" s="375"/>
      <c r="M1777" s="368"/>
      <c r="N1777" s="368"/>
      <c r="O1777" s="370"/>
      <c r="T1777" s="340"/>
      <c r="V1777" s="378"/>
      <c r="W1777" s="64" ph="1"/>
      <c r="X1777" s="241"/>
      <c r="Y1777" s="284"/>
      <c r="Z1777" s="207"/>
      <c r="AA1777" s="284"/>
      <c r="AB1777" s="284"/>
      <c r="AC1777" s="284"/>
      <c r="AD1777" s="284"/>
      <c r="AE1777" s="284"/>
      <c r="AF1777" s="284"/>
      <c r="AG1777" s="284"/>
      <c r="AI1777" s="131"/>
    </row>
    <row r="1778" spans="1:35" ht="26.4">
      <c r="A1778" s="284"/>
      <c r="B1778" s="284"/>
      <c r="C1778" s="284"/>
      <c r="D1778" s="284"/>
      <c r="E1778" s="284"/>
      <c r="F1778" s="284"/>
      <c r="G1778" s="284"/>
      <c r="H1778" s="284"/>
      <c r="I1778" s="284"/>
      <c r="J1778" s="375"/>
      <c r="K1778" s="375"/>
      <c r="L1778" s="375"/>
      <c r="M1778" s="368"/>
      <c r="N1778" s="368"/>
      <c r="O1778" s="370"/>
      <c r="T1778" s="340"/>
      <c r="V1778" s="378"/>
      <c r="W1778" s="64" ph="1"/>
      <c r="X1778" s="241"/>
      <c r="Y1778" s="284"/>
      <c r="Z1778" s="207"/>
      <c r="AA1778" s="284"/>
      <c r="AB1778" s="284"/>
      <c r="AC1778" s="284"/>
      <c r="AD1778" s="284"/>
      <c r="AE1778" s="284"/>
      <c r="AF1778" s="284"/>
      <c r="AG1778" s="284"/>
      <c r="AI1778" s="131"/>
    </row>
    <row r="1779" spans="1:35" ht="26.4">
      <c r="A1779" s="284"/>
      <c r="B1779" s="284"/>
      <c r="C1779" s="284"/>
      <c r="D1779" s="284"/>
      <c r="E1779" s="284"/>
      <c r="F1779" s="284"/>
      <c r="G1779" s="284"/>
      <c r="H1779" s="284"/>
      <c r="I1779" s="284"/>
      <c r="J1779" s="375"/>
      <c r="K1779" s="375"/>
      <c r="L1779" s="375"/>
      <c r="M1779" s="368"/>
      <c r="N1779" s="368"/>
      <c r="O1779" s="370"/>
      <c r="T1779" s="340"/>
      <c r="V1779" s="378"/>
      <c r="W1779" s="64" ph="1"/>
      <c r="X1779" s="241"/>
      <c r="Y1779" s="284"/>
      <c r="Z1779" s="207"/>
      <c r="AA1779" s="284"/>
      <c r="AB1779" s="284"/>
      <c r="AC1779" s="284"/>
      <c r="AD1779" s="284"/>
      <c r="AE1779" s="284"/>
      <c r="AF1779" s="284"/>
      <c r="AG1779" s="284"/>
      <c r="AI1779" s="131"/>
    </row>
    <row r="1780" spans="1:35" ht="26.4">
      <c r="A1780" s="284"/>
      <c r="B1780" s="284"/>
      <c r="C1780" s="284"/>
      <c r="D1780" s="284"/>
      <c r="E1780" s="284"/>
      <c r="F1780" s="284"/>
      <c r="G1780" s="284"/>
      <c r="H1780" s="284"/>
      <c r="I1780" s="284"/>
      <c r="J1780" s="375"/>
      <c r="K1780" s="375"/>
      <c r="L1780" s="375"/>
      <c r="M1780" s="368"/>
      <c r="N1780" s="368"/>
      <c r="O1780" s="370"/>
      <c r="T1780" s="340"/>
      <c r="V1780" s="378"/>
      <c r="W1780" s="64" ph="1"/>
      <c r="X1780" s="241"/>
      <c r="Y1780" s="284"/>
      <c r="Z1780" s="207"/>
      <c r="AA1780" s="284"/>
      <c r="AB1780" s="284"/>
      <c r="AC1780" s="284"/>
      <c r="AD1780" s="284"/>
      <c r="AE1780" s="284"/>
      <c r="AF1780" s="284"/>
      <c r="AG1780" s="284"/>
      <c r="AI1780" s="131"/>
    </row>
    <row r="1781" spans="1:35" ht="26.4">
      <c r="A1781" s="284"/>
      <c r="B1781" s="284"/>
      <c r="C1781" s="284"/>
      <c r="D1781" s="284"/>
      <c r="E1781" s="284"/>
      <c r="F1781" s="284"/>
      <c r="G1781" s="284"/>
      <c r="H1781" s="284"/>
      <c r="I1781" s="284"/>
      <c r="J1781" s="375"/>
      <c r="K1781" s="375"/>
      <c r="L1781" s="375"/>
      <c r="M1781" s="368"/>
      <c r="N1781" s="368"/>
      <c r="O1781" s="370"/>
      <c r="T1781" s="340"/>
      <c r="V1781" s="378"/>
      <c r="W1781" s="64" ph="1"/>
      <c r="X1781" s="241"/>
      <c r="Y1781" s="284"/>
      <c r="Z1781" s="207"/>
      <c r="AA1781" s="284"/>
      <c r="AB1781" s="284"/>
      <c r="AC1781" s="284"/>
      <c r="AD1781" s="284"/>
      <c r="AE1781" s="284"/>
      <c r="AF1781" s="284"/>
      <c r="AG1781" s="284"/>
      <c r="AI1781" s="131"/>
    </row>
    <row r="1782" spans="1:35" ht="26.4">
      <c r="A1782" s="284"/>
      <c r="B1782" s="284"/>
      <c r="C1782" s="284"/>
      <c r="D1782" s="284"/>
      <c r="E1782" s="284"/>
      <c r="F1782" s="284"/>
      <c r="G1782" s="284"/>
      <c r="H1782" s="284"/>
      <c r="I1782" s="284"/>
      <c r="J1782" s="375"/>
      <c r="K1782" s="375"/>
      <c r="L1782" s="375"/>
      <c r="M1782" s="368"/>
      <c r="N1782" s="368"/>
      <c r="O1782" s="370"/>
      <c r="T1782" s="340"/>
      <c r="V1782" s="378"/>
      <c r="W1782" s="64" ph="1"/>
      <c r="X1782" s="241"/>
      <c r="Y1782" s="284"/>
      <c r="Z1782" s="207"/>
      <c r="AA1782" s="284"/>
      <c r="AB1782" s="284"/>
      <c r="AC1782" s="284"/>
      <c r="AD1782" s="284"/>
      <c r="AE1782" s="284"/>
      <c r="AF1782" s="284"/>
      <c r="AG1782" s="284"/>
      <c r="AI1782" s="131"/>
    </row>
    <row r="1783" spans="1:35" ht="26.4">
      <c r="A1783" s="284"/>
      <c r="B1783" s="284"/>
      <c r="C1783" s="284"/>
      <c r="D1783" s="284"/>
      <c r="E1783" s="284"/>
      <c r="F1783" s="284"/>
      <c r="G1783" s="284"/>
      <c r="H1783" s="284"/>
      <c r="I1783" s="284"/>
      <c r="J1783" s="375"/>
      <c r="K1783" s="375"/>
      <c r="L1783" s="375"/>
      <c r="M1783" s="368"/>
      <c r="N1783" s="368"/>
      <c r="O1783" s="370"/>
      <c r="T1783" s="340"/>
      <c r="V1783" s="378"/>
      <c r="W1783" s="64" ph="1"/>
      <c r="X1783" s="241"/>
      <c r="Y1783" s="284"/>
      <c r="Z1783" s="207"/>
      <c r="AA1783" s="284"/>
      <c r="AB1783" s="284"/>
      <c r="AC1783" s="284"/>
      <c r="AD1783" s="284"/>
      <c r="AE1783" s="284"/>
      <c r="AF1783" s="284"/>
      <c r="AG1783" s="284"/>
      <c r="AI1783" s="131"/>
    </row>
    <row r="1784" spans="1:35" ht="26.4">
      <c r="A1784" s="284"/>
      <c r="B1784" s="284"/>
      <c r="C1784" s="284"/>
      <c r="D1784" s="284"/>
      <c r="E1784" s="284"/>
      <c r="F1784" s="284"/>
      <c r="G1784" s="284"/>
      <c r="H1784" s="284"/>
      <c r="I1784" s="284"/>
      <c r="J1784" s="375"/>
      <c r="K1784" s="375"/>
      <c r="L1784" s="375"/>
      <c r="M1784" s="368"/>
      <c r="N1784" s="368"/>
      <c r="O1784" s="370"/>
      <c r="T1784" s="340"/>
      <c r="V1784" s="378"/>
      <c r="W1784" s="64" ph="1"/>
      <c r="X1784" s="241"/>
      <c r="Y1784" s="284"/>
      <c r="Z1784" s="207"/>
      <c r="AA1784" s="284"/>
      <c r="AB1784" s="284"/>
      <c r="AC1784" s="284"/>
      <c r="AD1784" s="284"/>
      <c r="AE1784" s="284"/>
      <c r="AF1784" s="284"/>
      <c r="AG1784" s="284"/>
      <c r="AI1784" s="131"/>
    </row>
    <row r="1785" spans="1:35" ht="26.4">
      <c r="A1785" s="284"/>
      <c r="B1785" s="284"/>
      <c r="C1785" s="284"/>
      <c r="D1785" s="284"/>
      <c r="E1785" s="284"/>
      <c r="F1785" s="284"/>
      <c r="G1785" s="284"/>
      <c r="H1785" s="284"/>
      <c r="I1785" s="284"/>
      <c r="J1785" s="375"/>
      <c r="K1785" s="375"/>
      <c r="L1785" s="375"/>
      <c r="M1785" s="368"/>
      <c r="N1785" s="368"/>
      <c r="O1785" s="370"/>
      <c r="T1785" s="340"/>
      <c r="V1785" s="378"/>
      <c r="W1785" s="64" ph="1"/>
      <c r="X1785" s="241"/>
      <c r="Y1785" s="284"/>
      <c r="Z1785" s="207"/>
      <c r="AA1785" s="284"/>
      <c r="AB1785" s="284"/>
      <c r="AC1785" s="284"/>
      <c r="AD1785" s="284"/>
      <c r="AE1785" s="284"/>
      <c r="AF1785" s="284"/>
      <c r="AG1785" s="284"/>
      <c r="AI1785" s="131"/>
    </row>
    <row r="1786" spans="1:35" ht="26.4">
      <c r="A1786" s="284"/>
      <c r="B1786" s="284"/>
      <c r="C1786" s="284"/>
      <c r="D1786" s="284"/>
      <c r="E1786" s="284"/>
      <c r="F1786" s="284"/>
      <c r="G1786" s="284"/>
      <c r="H1786" s="284"/>
      <c r="I1786" s="284"/>
      <c r="J1786" s="375"/>
      <c r="K1786" s="375"/>
      <c r="L1786" s="375"/>
      <c r="M1786" s="368"/>
      <c r="N1786" s="368"/>
      <c r="O1786" s="370"/>
      <c r="T1786" s="340"/>
      <c r="V1786" s="378"/>
      <c r="W1786" s="64" ph="1"/>
      <c r="X1786" s="241"/>
      <c r="Y1786" s="284"/>
      <c r="Z1786" s="207"/>
      <c r="AA1786" s="284"/>
      <c r="AB1786" s="284"/>
      <c r="AC1786" s="284"/>
      <c r="AD1786" s="284"/>
      <c r="AE1786" s="284"/>
      <c r="AF1786" s="284"/>
      <c r="AG1786" s="284"/>
      <c r="AI1786" s="131"/>
    </row>
    <row r="1787" spans="1:35" ht="26.4">
      <c r="A1787" s="284"/>
      <c r="B1787" s="284"/>
      <c r="C1787" s="284"/>
      <c r="D1787" s="284"/>
      <c r="E1787" s="284"/>
      <c r="F1787" s="284"/>
      <c r="G1787" s="284"/>
      <c r="H1787" s="284"/>
      <c r="I1787" s="284"/>
      <c r="J1787" s="375"/>
      <c r="K1787" s="375"/>
      <c r="L1787" s="375"/>
      <c r="M1787" s="368"/>
      <c r="N1787" s="368"/>
      <c r="O1787" s="370"/>
      <c r="T1787" s="340"/>
      <c r="V1787" s="378"/>
      <c r="W1787" s="64" ph="1"/>
      <c r="X1787" s="241"/>
      <c r="Y1787" s="284"/>
      <c r="Z1787" s="207"/>
      <c r="AA1787" s="284"/>
      <c r="AB1787" s="284"/>
      <c r="AC1787" s="284"/>
      <c r="AD1787" s="284"/>
      <c r="AE1787" s="284"/>
      <c r="AF1787" s="284"/>
      <c r="AG1787" s="284"/>
      <c r="AI1787" s="131"/>
    </row>
    <row r="1788" spans="1:35" ht="26.4">
      <c r="A1788" s="284"/>
      <c r="B1788" s="284"/>
      <c r="C1788" s="284"/>
      <c r="D1788" s="284"/>
      <c r="E1788" s="284"/>
      <c r="F1788" s="284"/>
      <c r="G1788" s="284"/>
      <c r="H1788" s="284"/>
      <c r="I1788" s="284"/>
      <c r="J1788" s="375"/>
      <c r="K1788" s="375"/>
      <c r="L1788" s="375"/>
      <c r="M1788" s="368"/>
      <c r="N1788" s="368"/>
      <c r="O1788" s="370"/>
      <c r="T1788" s="340"/>
      <c r="V1788" s="378"/>
      <c r="W1788" s="64" ph="1"/>
      <c r="X1788" s="241"/>
      <c r="Y1788" s="284"/>
      <c r="Z1788" s="207"/>
      <c r="AA1788" s="284"/>
      <c r="AB1788" s="284"/>
      <c r="AC1788" s="284"/>
      <c r="AD1788" s="284"/>
      <c r="AE1788" s="284"/>
      <c r="AF1788" s="284"/>
      <c r="AG1788" s="284"/>
      <c r="AI1788" s="131"/>
    </row>
    <row r="1789" spans="1:35" ht="26.4">
      <c r="A1789" s="284"/>
      <c r="B1789" s="284"/>
      <c r="C1789" s="284"/>
      <c r="D1789" s="284"/>
      <c r="E1789" s="284"/>
      <c r="F1789" s="284"/>
      <c r="G1789" s="284"/>
      <c r="H1789" s="284"/>
      <c r="I1789" s="284"/>
      <c r="J1789" s="375"/>
      <c r="K1789" s="375"/>
      <c r="L1789" s="375"/>
      <c r="M1789" s="368"/>
      <c r="N1789" s="368"/>
      <c r="O1789" s="370"/>
      <c r="T1789" s="340"/>
      <c r="V1789" s="378"/>
      <c r="W1789" s="64" ph="1"/>
      <c r="X1789" s="241"/>
      <c r="Y1789" s="284"/>
      <c r="Z1789" s="207"/>
      <c r="AA1789" s="284"/>
      <c r="AB1789" s="284"/>
      <c r="AC1789" s="284"/>
      <c r="AD1789" s="284"/>
      <c r="AE1789" s="284"/>
      <c r="AF1789" s="284"/>
      <c r="AG1789" s="284"/>
      <c r="AI1789" s="131"/>
    </row>
    <row r="1790" spans="1:35" ht="26.4">
      <c r="A1790" s="284"/>
      <c r="B1790" s="284"/>
      <c r="C1790" s="284"/>
      <c r="D1790" s="284"/>
      <c r="E1790" s="284"/>
      <c r="F1790" s="284"/>
      <c r="G1790" s="284"/>
      <c r="H1790" s="284"/>
      <c r="I1790" s="284"/>
      <c r="J1790" s="375"/>
      <c r="K1790" s="375"/>
      <c r="L1790" s="375"/>
      <c r="M1790" s="368"/>
      <c r="N1790" s="368"/>
      <c r="O1790" s="370"/>
      <c r="T1790" s="340"/>
      <c r="V1790" s="378"/>
      <c r="W1790" s="64" ph="1"/>
      <c r="X1790" s="241"/>
      <c r="Y1790" s="284"/>
      <c r="Z1790" s="207"/>
      <c r="AA1790" s="284"/>
      <c r="AB1790" s="284"/>
      <c r="AC1790" s="284"/>
      <c r="AD1790" s="284"/>
      <c r="AE1790" s="284"/>
      <c r="AF1790" s="284"/>
      <c r="AG1790" s="284"/>
      <c r="AI1790" s="131"/>
    </row>
    <row r="1791" spans="1:35" ht="26.4">
      <c r="A1791" s="284"/>
      <c r="B1791" s="284"/>
      <c r="C1791" s="284"/>
      <c r="D1791" s="284"/>
      <c r="E1791" s="284"/>
      <c r="F1791" s="284"/>
      <c r="G1791" s="284"/>
      <c r="H1791" s="284"/>
      <c r="I1791" s="284"/>
      <c r="J1791" s="375"/>
      <c r="K1791" s="375"/>
      <c r="L1791" s="375"/>
      <c r="M1791" s="368"/>
      <c r="N1791" s="368"/>
      <c r="O1791" s="370"/>
      <c r="T1791" s="340"/>
      <c r="V1791" s="378"/>
      <c r="W1791" s="64" ph="1"/>
      <c r="X1791" s="241"/>
      <c r="Y1791" s="284"/>
      <c r="Z1791" s="207"/>
      <c r="AA1791" s="284"/>
      <c r="AB1791" s="284"/>
      <c r="AC1791" s="284"/>
      <c r="AD1791" s="284"/>
      <c r="AE1791" s="284"/>
      <c r="AF1791" s="284"/>
      <c r="AG1791" s="284"/>
      <c r="AI1791" s="131"/>
    </row>
    <row r="1792" spans="1:35" ht="26.4">
      <c r="A1792" s="284"/>
      <c r="B1792" s="284"/>
      <c r="C1792" s="284"/>
      <c r="D1792" s="284"/>
      <c r="E1792" s="284"/>
      <c r="F1792" s="284"/>
      <c r="G1792" s="284"/>
      <c r="H1792" s="284"/>
      <c r="I1792" s="284"/>
      <c r="J1792" s="375"/>
      <c r="K1792" s="375"/>
      <c r="L1792" s="375"/>
      <c r="M1792" s="368"/>
      <c r="N1792" s="368"/>
      <c r="O1792" s="370"/>
      <c r="T1792" s="340"/>
      <c r="V1792" s="378"/>
      <c r="W1792" s="64" ph="1"/>
      <c r="X1792" s="241"/>
      <c r="Y1792" s="284"/>
      <c r="Z1792" s="207"/>
      <c r="AA1792" s="284"/>
      <c r="AB1792" s="284"/>
      <c r="AC1792" s="284"/>
      <c r="AD1792" s="284"/>
      <c r="AE1792" s="284"/>
      <c r="AF1792" s="284"/>
      <c r="AG1792" s="284"/>
      <c r="AI1792" s="131"/>
    </row>
    <row r="1793" spans="1:35" ht="26.4">
      <c r="A1793" s="284"/>
      <c r="B1793" s="284"/>
      <c r="C1793" s="284"/>
      <c r="D1793" s="284"/>
      <c r="E1793" s="284"/>
      <c r="F1793" s="284"/>
      <c r="G1793" s="284"/>
      <c r="H1793" s="284"/>
      <c r="I1793" s="284"/>
      <c r="J1793" s="375"/>
      <c r="K1793" s="375"/>
      <c r="L1793" s="375"/>
      <c r="M1793" s="368"/>
      <c r="N1793" s="368"/>
      <c r="O1793" s="370"/>
      <c r="T1793" s="340"/>
      <c r="V1793" s="378"/>
      <c r="W1793" s="64" ph="1"/>
      <c r="X1793" s="241"/>
      <c r="Y1793" s="284"/>
      <c r="Z1793" s="207"/>
      <c r="AA1793" s="284"/>
      <c r="AB1793" s="284"/>
      <c r="AC1793" s="284"/>
      <c r="AD1793" s="284"/>
      <c r="AE1793" s="284"/>
      <c r="AF1793" s="284"/>
      <c r="AG1793" s="284"/>
      <c r="AI1793" s="131"/>
    </row>
    <row r="1794" spans="1:35" ht="26.4">
      <c r="A1794" s="284"/>
      <c r="B1794" s="284"/>
      <c r="C1794" s="284"/>
      <c r="D1794" s="284"/>
      <c r="E1794" s="284"/>
      <c r="F1794" s="284"/>
      <c r="G1794" s="284"/>
      <c r="H1794" s="284"/>
      <c r="I1794" s="284"/>
      <c r="J1794" s="375"/>
      <c r="K1794" s="375"/>
      <c r="L1794" s="375"/>
      <c r="M1794" s="368"/>
      <c r="N1794" s="368"/>
      <c r="O1794" s="370"/>
      <c r="T1794" s="340"/>
      <c r="V1794" s="378"/>
      <c r="W1794" s="64" ph="1"/>
      <c r="X1794" s="241"/>
      <c r="Y1794" s="284"/>
      <c r="Z1794" s="207"/>
      <c r="AA1794" s="284"/>
      <c r="AB1794" s="284"/>
      <c r="AC1794" s="284"/>
      <c r="AD1794" s="284"/>
      <c r="AE1794" s="284"/>
      <c r="AF1794" s="284"/>
      <c r="AG1794" s="284"/>
      <c r="AI1794" s="131"/>
    </row>
    <row r="1795" spans="1:35" ht="26.4">
      <c r="A1795" s="284"/>
      <c r="B1795" s="284"/>
      <c r="C1795" s="284"/>
      <c r="D1795" s="284"/>
      <c r="E1795" s="284"/>
      <c r="F1795" s="284"/>
      <c r="G1795" s="284"/>
      <c r="H1795" s="284"/>
      <c r="I1795" s="284"/>
      <c r="J1795" s="375"/>
      <c r="K1795" s="375"/>
      <c r="L1795" s="375"/>
      <c r="M1795" s="368"/>
      <c r="N1795" s="368"/>
      <c r="O1795" s="370"/>
      <c r="T1795" s="340"/>
      <c r="V1795" s="378"/>
      <c r="W1795" s="64" ph="1"/>
      <c r="X1795" s="241"/>
      <c r="Y1795" s="284"/>
      <c r="Z1795" s="207"/>
      <c r="AA1795" s="284"/>
      <c r="AB1795" s="284"/>
      <c r="AC1795" s="284"/>
      <c r="AD1795" s="284"/>
      <c r="AE1795" s="284"/>
      <c r="AF1795" s="284"/>
      <c r="AG1795" s="284"/>
      <c r="AI1795" s="131"/>
    </row>
    <row r="1796" spans="1:35" ht="26.4">
      <c r="A1796" s="284"/>
      <c r="B1796" s="284"/>
      <c r="C1796" s="284"/>
      <c r="D1796" s="284"/>
      <c r="E1796" s="284"/>
      <c r="F1796" s="284"/>
      <c r="G1796" s="284"/>
      <c r="H1796" s="284"/>
      <c r="I1796" s="284"/>
      <c r="J1796" s="375"/>
      <c r="K1796" s="375"/>
      <c r="L1796" s="375"/>
      <c r="M1796" s="368"/>
      <c r="N1796" s="368"/>
      <c r="O1796" s="370"/>
      <c r="T1796" s="340"/>
      <c r="V1796" s="378"/>
      <c r="W1796" s="64" ph="1"/>
      <c r="X1796" s="241"/>
      <c r="Y1796" s="284"/>
      <c r="Z1796" s="207"/>
      <c r="AA1796" s="284"/>
      <c r="AB1796" s="284"/>
      <c r="AC1796" s="284"/>
      <c r="AD1796" s="284"/>
      <c r="AE1796" s="284"/>
      <c r="AF1796" s="284"/>
      <c r="AG1796" s="284"/>
      <c r="AI1796" s="131"/>
    </row>
    <row r="1797" spans="1:35" ht="26.4">
      <c r="A1797" s="284"/>
      <c r="B1797" s="284"/>
      <c r="C1797" s="284"/>
      <c r="D1797" s="284"/>
      <c r="E1797" s="284"/>
      <c r="F1797" s="284"/>
      <c r="G1797" s="284"/>
      <c r="H1797" s="284"/>
      <c r="I1797" s="284"/>
      <c r="J1797" s="375"/>
      <c r="K1797" s="375"/>
      <c r="L1797" s="375"/>
      <c r="M1797" s="368"/>
      <c r="N1797" s="368"/>
      <c r="O1797" s="370"/>
      <c r="T1797" s="340"/>
      <c r="V1797" s="378"/>
      <c r="W1797" s="64" ph="1"/>
      <c r="X1797" s="241"/>
      <c r="Y1797" s="284"/>
      <c r="Z1797" s="207"/>
      <c r="AA1797" s="284"/>
      <c r="AB1797" s="284"/>
      <c r="AC1797" s="284"/>
      <c r="AD1797" s="284"/>
      <c r="AE1797" s="284"/>
      <c r="AF1797" s="284"/>
      <c r="AG1797" s="284"/>
      <c r="AI1797" s="131"/>
    </row>
    <row r="1798" spans="1:35" ht="26.4">
      <c r="A1798" s="284"/>
      <c r="B1798" s="284"/>
      <c r="C1798" s="284"/>
      <c r="D1798" s="284"/>
      <c r="E1798" s="284"/>
      <c r="F1798" s="284"/>
      <c r="G1798" s="284"/>
      <c r="H1798" s="284"/>
      <c r="I1798" s="284"/>
      <c r="J1798" s="375"/>
      <c r="K1798" s="375"/>
      <c r="L1798" s="375"/>
      <c r="M1798" s="368"/>
      <c r="N1798" s="368"/>
      <c r="O1798" s="370"/>
      <c r="T1798" s="340"/>
      <c r="V1798" s="378"/>
      <c r="W1798" s="64" ph="1"/>
      <c r="X1798" s="241"/>
      <c r="Y1798" s="284"/>
      <c r="Z1798" s="207"/>
      <c r="AA1798" s="284"/>
      <c r="AB1798" s="284"/>
      <c r="AC1798" s="284"/>
      <c r="AD1798" s="284"/>
      <c r="AE1798" s="284"/>
      <c r="AF1798" s="284"/>
      <c r="AG1798" s="284"/>
      <c r="AI1798" s="131"/>
    </row>
    <row r="1799" spans="1:35" ht="26.4">
      <c r="A1799" s="284"/>
      <c r="B1799" s="284"/>
      <c r="C1799" s="284"/>
      <c r="D1799" s="284"/>
      <c r="E1799" s="284"/>
      <c r="F1799" s="284"/>
      <c r="G1799" s="284"/>
      <c r="H1799" s="284"/>
      <c r="I1799" s="284"/>
      <c r="J1799" s="375"/>
      <c r="K1799" s="375"/>
      <c r="L1799" s="375"/>
      <c r="M1799" s="368"/>
      <c r="N1799" s="368"/>
      <c r="O1799" s="370"/>
      <c r="T1799" s="340"/>
      <c r="V1799" s="378"/>
      <c r="W1799" s="64" ph="1"/>
      <c r="X1799" s="241"/>
      <c r="Y1799" s="284"/>
      <c r="Z1799" s="207"/>
      <c r="AA1799" s="284"/>
      <c r="AB1799" s="284"/>
      <c r="AC1799" s="284"/>
      <c r="AD1799" s="284"/>
      <c r="AE1799" s="284"/>
      <c r="AF1799" s="284"/>
      <c r="AG1799" s="284"/>
      <c r="AI1799" s="131"/>
    </row>
    <row r="1800" spans="1:35" ht="26.4">
      <c r="A1800" s="284"/>
      <c r="B1800" s="284"/>
      <c r="C1800" s="284"/>
      <c r="D1800" s="284"/>
      <c r="E1800" s="284"/>
      <c r="F1800" s="284"/>
      <c r="G1800" s="284"/>
      <c r="H1800" s="284"/>
      <c r="I1800" s="284"/>
      <c r="J1800" s="375"/>
      <c r="K1800" s="375"/>
      <c r="L1800" s="375"/>
      <c r="M1800" s="368"/>
      <c r="N1800" s="368"/>
      <c r="O1800" s="370"/>
      <c r="T1800" s="340"/>
      <c r="V1800" s="378"/>
      <c r="W1800" s="64" ph="1"/>
      <c r="X1800" s="241"/>
      <c r="Y1800" s="284"/>
      <c r="Z1800" s="207"/>
      <c r="AA1800" s="284"/>
      <c r="AB1800" s="284"/>
      <c r="AC1800" s="284"/>
      <c r="AD1800" s="284"/>
      <c r="AE1800" s="284"/>
      <c r="AF1800" s="284"/>
      <c r="AG1800" s="284"/>
      <c r="AI1800" s="131"/>
    </row>
    <row r="1801" spans="1:35" ht="26.4">
      <c r="A1801" s="284"/>
      <c r="B1801" s="284"/>
      <c r="C1801" s="284"/>
      <c r="D1801" s="284"/>
      <c r="E1801" s="284"/>
      <c r="F1801" s="284"/>
      <c r="G1801" s="284"/>
      <c r="H1801" s="284"/>
      <c r="I1801" s="284"/>
      <c r="J1801" s="375"/>
      <c r="K1801" s="375"/>
      <c r="L1801" s="375"/>
      <c r="M1801" s="368"/>
      <c r="N1801" s="368"/>
      <c r="O1801" s="370"/>
      <c r="T1801" s="340"/>
      <c r="V1801" s="378"/>
      <c r="W1801" s="64" ph="1"/>
      <c r="X1801" s="241"/>
      <c r="Y1801" s="284"/>
      <c r="Z1801" s="207"/>
      <c r="AA1801" s="284"/>
      <c r="AB1801" s="284"/>
      <c r="AC1801" s="284"/>
      <c r="AD1801" s="284"/>
      <c r="AE1801" s="284"/>
      <c r="AF1801" s="284"/>
      <c r="AG1801" s="284"/>
      <c r="AI1801" s="131"/>
    </row>
    <row r="1802" spans="1:35" ht="26.4">
      <c r="A1802" s="284"/>
      <c r="B1802" s="284"/>
      <c r="C1802" s="284"/>
      <c r="D1802" s="284"/>
      <c r="E1802" s="284"/>
      <c r="F1802" s="284"/>
      <c r="G1802" s="284"/>
      <c r="H1802" s="284"/>
      <c r="I1802" s="284"/>
      <c r="J1802" s="375"/>
      <c r="K1802" s="375"/>
      <c r="L1802" s="375"/>
      <c r="M1802" s="368"/>
      <c r="N1802" s="368"/>
      <c r="O1802" s="370"/>
      <c r="T1802" s="340"/>
      <c r="V1802" s="378"/>
      <c r="W1802" s="64" ph="1"/>
      <c r="X1802" s="241"/>
      <c r="Y1802" s="284"/>
      <c r="Z1802" s="207"/>
      <c r="AA1802" s="284"/>
      <c r="AB1802" s="284"/>
      <c r="AC1802" s="284"/>
      <c r="AD1802" s="284"/>
      <c r="AE1802" s="284"/>
      <c r="AF1802" s="284"/>
      <c r="AG1802" s="284"/>
      <c r="AI1802" s="131"/>
    </row>
    <row r="1803" spans="1:35" ht="26.4">
      <c r="A1803" s="284"/>
      <c r="B1803" s="284"/>
      <c r="C1803" s="284"/>
      <c r="D1803" s="284"/>
      <c r="E1803" s="284"/>
      <c r="F1803" s="284"/>
      <c r="G1803" s="284"/>
      <c r="H1803" s="284"/>
      <c r="I1803" s="284"/>
      <c r="J1803" s="375"/>
      <c r="K1803" s="375"/>
      <c r="L1803" s="375"/>
      <c r="M1803" s="368"/>
      <c r="N1803" s="368"/>
      <c r="O1803" s="370"/>
      <c r="T1803" s="340"/>
      <c r="V1803" s="378"/>
      <c r="W1803" s="64" ph="1"/>
      <c r="X1803" s="241"/>
      <c r="Y1803" s="284"/>
      <c r="Z1803" s="207"/>
      <c r="AA1803" s="284"/>
      <c r="AB1803" s="284"/>
      <c r="AC1803" s="284"/>
      <c r="AD1803" s="284"/>
      <c r="AE1803" s="284"/>
      <c r="AF1803" s="284"/>
      <c r="AG1803" s="284"/>
      <c r="AI1803" s="131"/>
    </row>
    <row r="1804" spans="1:35" ht="26.4">
      <c r="A1804" s="284"/>
      <c r="B1804" s="284"/>
      <c r="C1804" s="284"/>
      <c r="D1804" s="284"/>
      <c r="E1804" s="284"/>
      <c r="F1804" s="284"/>
      <c r="G1804" s="284"/>
      <c r="H1804" s="284"/>
      <c r="I1804" s="284"/>
      <c r="J1804" s="375"/>
      <c r="K1804" s="375"/>
      <c r="L1804" s="375"/>
      <c r="M1804" s="368"/>
      <c r="N1804" s="368"/>
      <c r="O1804" s="370"/>
      <c r="T1804" s="340"/>
      <c r="V1804" s="378"/>
      <c r="W1804" s="64" ph="1"/>
      <c r="X1804" s="241"/>
      <c r="Y1804" s="284"/>
      <c r="Z1804" s="207"/>
      <c r="AA1804" s="284"/>
      <c r="AB1804" s="284"/>
      <c r="AC1804" s="284"/>
      <c r="AD1804" s="284"/>
      <c r="AE1804" s="284"/>
      <c r="AF1804" s="284"/>
      <c r="AG1804" s="284"/>
      <c r="AI1804" s="131"/>
    </row>
    <row r="1805" spans="1:35" ht="26.4">
      <c r="A1805" s="284"/>
      <c r="B1805" s="284"/>
      <c r="C1805" s="284"/>
      <c r="D1805" s="284"/>
      <c r="E1805" s="284"/>
      <c r="F1805" s="284"/>
      <c r="G1805" s="284"/>
      <c r="H1805" s="284"/>
      <c r="I1805" s="284"/>
      <c r="J1805" s="375"/>
      <c r="K1805" s="375"/>
      <c r="L1805" s="375"/>
      <c r="M1805" s="368"/>
      <c r="N1805" s="368"/>
      <c r="O1805" s="370"/>
      <c r="T1805" s="340"/>
      <c r="V1805" s="378"/>
      <c r="W1805" s="64" ph="1"/>
      <c r="X1805" s="241"/>
      <c r="Y1805" s="284"/>
      <c r="Z1805" s="207"/>
      <c r="AA1805" s="284"/>
      <c r="AB1805" s="284"/>
      <c r="AC1805" s="284"/>
      <c r="AD1805" s="284"/>
      <c r="AE1805" s="284"/>
      <c r="AF1805" s="284"/>
      <c r="AG1805" s="284"/>
      <c r="AI1805" s="131"/>
    </row>
    <row r="1806" spans="1:35" ht="26.4">
      <c r="A1806" s="284"/>
      <c r="B1806" s="284"/>
      <c r="C1806" s="284"/>
      <c r="D1806" s="284"/>
      <c r="E1806" s="284"/>
      <c r="F1806" s="284"/>
      <c r="G1806" s="284"/>
      <c r="H1806" s="284"/>
      <c r="I1806" s="284"/>
      <c r="J1806" s="375"/>
      <c r="K1806" s="375"/>
      <c r="L1806" s="375"/>
      <c r="M1806" s="368"/>
      <c r="N1806" s="368"/>
      <c r="O1806" s="370"/>
      <c r="T1806" s="340"/>
      <c r="V1806" s="378"/>
      <c r="W1806" s="64" ph="1"/>
      <c r="X1806" s="241"/>
      <c r="Y1806" s="284"/>
      <c r="Z1806" s="207"/>
      <c r="AA1806" s="284"/>
      <c r="AB1806" s="284"/>
      <c r="AC1806" s="284"/>
      <c r="AD1806" s="284"/>
      <c r="AE1806" s="284"/>
      <c r="AF1806" s="284"/>
      <c r="AG1806" s="284"/>
      <c r="AI1806" s="131"/>
    </row>
    <row r="1807" spans="1:35" ht="26.4">
      <c r="A1807" s="284"/>
      <c r="B1807" s="284"/>
      <c r="C1807" s="284"/>
      <c r="D1807" s="284"/>
      <c r="E1807" s="284"/>
      <c r="F1807" s="284"/>
      <c r="G1807" s="284"/>
      <c r="H1807" s="284"/>
      <c r="I1807" s="284"/>
      <c r="J1807" s="375"/>
      <c r="K1807" s="375"/>
      <c r="L1807" s="375"/>
      <c r="M1807" s="368"/>
      <c r="N1807" s="368"/>
      <c r="O1807" s="370"/>
      <c r="T1807" s="340"/>
      <c r="V1807" s="378"/>
      <c r="W1807" s="64" ph="1"/>
      <c r="X1807" s="241"/>
      <c r="Y1807" s="284"/>
      <c r="Z1807" s="207"/>
      <c r="AA1807" s="284"/>
      <c r="AB1807" s="284"/>
      <c r="AC1807" s="284"/>
      <c r="AD1807" s="284"/>
      <c r="AE1807" s="284"/>
      <c r="AF1807" s="284"/>
      <c r="AG1807" s="284"/>
      <c r="AI1807" s="131"/>
    </row>
    <row r="1808" spans="1:35" ht="26.4">
      <c r="A1808" s="284"/>
      <c r="B1808" s="284"/>
      <c r="C1808" s="284"/>
      <c r="D1808" s="284"/>
      <c r="E1808" s="284"/>
      <c r="F1808" s="284"/>
      <c r="G1808" s="284"/>
      <c r="H1808" s="284"/>
      <c r="I1808" s="284"/>
      <c r="J1808" s="375"/>
      <c r="K1808" s="375"/>
      <c r="L1808" s="375"/>
      <c r="M1808" s="368"/>
      <c r="N1808" s="368"/>
      <c r="O1808" s="370"/>
      <c r="T1808" s="340"/>
      <c r="V1808" s="378"/>
      <c r="W1808" s="64" ph="1"/>
      <c r="X1808" s="241"/>
      <c r="Y1808" s="284"/>
      <c r="Z1808" s="207"/>
      <c r="AA1808" s="284"/>
      <c r="AB1808" s="284"/>
      <c r="AC1808" s="284"/>
      <c r="AD1808" s="284"/>
      <c r="AE1808" s="284"/>
      <c r="AF1808" s="284"/>
      <c r="AG1808" s="284"/>
      <c r="AI1808" s="128"/>
    </row>
    <row r="1809" spans="1:35" ht="26.4">
      <c r="A1809" s="284"/>
      <c r="B1809" s="284"/>
      <c r="C1809" s="284"/>
      <c r="D1809" s="284"/>
      <c r="E1809" s="284"/>
      <c r="F1809" s="284"/>
      <c r="G1809" s="284"/>
      <c r="H1809" s="284"/>
      <c r="I1809" s="284"/>
      <c r="J1809" s="375"/>
      <c r="K1809" s="375"/>
      <c r="L1809" s="375"/>
      <c r="M1809" s="368"/>
      <c r="N1809" s="368"/>
      <c r="O1809" s="370"/>
      <c r="T1809" s="340"/>
      <c r="V1809" s="378"/>
      <c r="W1809" s="64" ph="1"/>
      <c r="X1809" s="241"/>
      <c r="Y1809" s="284"/>
      <c r="Z1809" s="207"/>
      <c r="AA1809" s="284"/>
      <c r="AB1809" s="284"/>
      <c r="AC1809" s="284"/>
      <c r="AD1809" s="284"/>
      <c r="AE1809" s="284"/>
      <c r="AF1809" s="284"/>
      <c r="AG1809" s="284"/>
      <c r="AI1809" s="131"/>
    </row>
    <row r="1810" spans="1:35" ht="26.4">
      <c r="A1810" s="284"/>
      <c r="B1810" s="284"/>
      <c r="C1810" s="284"/>
      <c r="D1810" s="284"/>
      <c r="E1810" s="284"/>
      <c r="F1810" s="284"/>
      <c r="G1810" s="284"/>
      <c r="H1810" s="284"/>
      <c r="I1810" s="284"/>
      <c r="J1810" s="375"/>
      <c r="K1810" s="375"/>
      <c r="L1810" s="375"/>
      <c r="M1810" s="368"/>
      <c r="N1810" s="368"/>
      <c r="O1810" s="370"/>
      <c r="T1810" s="340"/>
      <c r="V1810" s="378"/>
      <c r="W1810" s="64" ph="1"/>
      <c r="X1810" s="241"/>
      <c r="Y1810" s="284"/>
      <c r="Z1810" s="207"/>
      <c r="AA1810" s="284"/>
      <c r="AB1810" s="284"/>
      <c r="AC1810" s="284"/>
      <c r="AD1810" s="284"/>
      <c r="AE1810" s="284"/>
      <c r="AF1810" s="284"/>
      <c r="AG1810" s="284"/>
      <c r="AI1810" s="131"/>
    </row>
    <row r="1811" spans="1:35" ht="26.4">
      <c r="A1811" s="284"/>
      <c r="B1811" s="284"/>
      <c r="C1811" s="284"/>
      <c r="D1811" s="284"/>
      <c r="E1811" s="284"/>
      <c r="F1811" s="284"/>
      <c r="G1811" s="284"/>
      <c r="H1811" s="284"/>
      <c r="I1811" s="284"/>
      <c r="J1811" s="375"/>
      <c r="K1811" s="375"/>
      <c r="L1811" s="375"/>
      <c r="M1811" s="368"/>
      <c r="N1811" s="368"/>
      <c r="O1811" s="370"/>
      <c r="T1811" s="340"/>
      <c r="V1811" s="378"/>
      <c r="W1811" s="64" ph="1"/>
      <c r="X1811" s="241"/>
      <c r="Y1811" s="284"/>
      <c r="Z1811" s="207"/>
      <c r="AA1811" s="284"/>
      <c r="AB1811" s="284"/>
      <c r="AC1811" s="284"/>
      <c r="AD1811" s="284"/>
      <c r="AE1811" s="284"/>
      <c r="AF1811" s="284"/>
      <c r="AG1811" s="284"/>
      <c r="AI1811" s="131"/>
    </row>
    <row r="1812" spans="1:35" ht="26.4">
      <c r="A1812" s="284"/>
      <c r="B1812" s="284"/>
      <c r="C1812" s="284"/>
      <c r="D1812" s="284"/>
      <c r="E1812" s="284"/>
      <c r="F1812" s="284"/>
      <c r="G1812" s="284"/>
      <c r="H1812" s="284"/>
      <c r="I1812" s="284"/>
      <c r="J1812" s="375"/>
      <c r="K1812" s="375"/>
      <c r="L1812" s="375"/>
      <c r="M1812" s="368"/>
      <c r="N1812" s="368"/>
      <c r="O1812" s="370"/>
      <c r="T1812" s="340"/>
      <c r="V1812" s="378"/>
      <c r="W1812" s="64" ph="1"/>
      <c r="X1812" s="241"/>
      <c r="Y1812" s="284"/>
      <c r="Z1812" s="207"/>
      <c r="AA1812" s="284"/>
      <c r="AB1812" s="284"/>
      <c r="AC1812" s="284"/>
      <c r="AD1812" s="284"/>
      <c r="AE1812" s="284"/>
      <c r="AF1812" s="284"/>
      <c r="AG1812" s="284"/>
      <c r="AI1812" s="131"/>
    </row>
    <row r="1813" spans="1:35" ht="26.4">
      <c r="A1813" s="284"/>
      <c r="B1813" s="284"/>
      <c r="C1813" s="284"/>
      <c r="D1813" s="284"/>
      <c r="E1813" s="284"/>
      <c r="F1813" s="284"/>
      <c r="G1813" s="284"/>
      <c r="H1813" s="284"/>
      <c r="I1813" s="284"/>
      <c r="J1813" s="375"/>
      <c r="K1813" s="375"/>
      <c r="L1813" s="375"/>
      <c r="M1813" s="368"/>
      <c r="N1813" s="368"/>
      <c r="O1813" s="370"/>
      <c r="T1813" s="340"/>
      <c r="V1813" s="378"/>
      <c r="W1813" s="64" ph="1"/>
      <c r="X1813" s="241"/>
      <c r="Y1813" s="284"/>
      <c r="Z1813" s="207"/>
      <c r="AA1813" s="284"/>
      <c r="AB1813" s="284"/>
      <c r="AC1813" s="284"/>
      <c r="AD1813" s="284"/>
      <c r="AE1813" s="284"/>
      <c r="AF1813" s="284"/>
      <c r="AG1813" s="284"/>
      <c r="AI1813" s="131"/>
    </row>
    <row r="1814" spans="1:35" ht="26.4">
      <c r="A1814" s="284"/>
      <c r="B1814" s="284"/>
      <c r="C1814" s="284"/>
      <c r="D1814" s="284"/>
      <c r="E1814" s="284"/>
      <c r="F1814" s="284"/>
      <c r="G1814" s="284"/>
      <c r="H1814" s="284"/>
      <c r="I1814" s="284"/>
      <c r="J1814" s="375"/>
      <c r="K1814" s="375"/>
      <c r="L1814" s="375"/>
      <c r="M1814" s="368"/>
      <c r="N1814" s="368"/>
      <c r="O1814" s="370"/>
      <c r="T1814" s="340"/>
      <c r="V1814" s="378"/>
      <c r="W1814" s="64" ph="1"/>
      <c r="X1814" s="241"/>
      <c r="Y1814" s="284"/>
      <c r="Z1814" s="207"/>
      <c r="AA1814" s="284"/>
      <c r="AB1814" s="284"/>
      <c r="AC1814" s="284"/>
      <c r="AD1814" s="284"/>
      <c r="AE1814" s="284"/>
      <c r="AF1814" s="284"/>
      <c r="AG1814" s="284"/>
      <c r="AI1814" s="131"/>
    </row>
    <row r="1815" spans="1:35" ht="26.4">
      <c r="A1815" s="284"/>
      <c r="B1815" s="284"/>
      <c r="C1815" s="284"/>
      <c r="D1815" s="284"/>
      <c r="E1815" s="284"/>
      <c r="F1815" s="284"/>
      <c r="G1815" s="284"/>
      <c r="H1815" s="284"/>
      <c r="I1815" s="284"/>
      <c r="J1815" s="375"/>
      <c r="K1815" s="375"/>
      <c r="L1815" s="375"/>
      <c r="M1815" s="368"/>
      <c r="N1815" s="368"/>
      <c r="O1815" s="370"/>
      <c r="T1815" s="340"/>
      <c r="V1815" s="378"/>
      <c r="W1815" s="64" ph="1"/>
      <c r="X1815" s="241"/>
      <c r="Y1815" s="284"/>
      <c r="Z1815" s="207"/>
      <c r="AA1815" s="284"/>
      <c r="AB1815" s="284"/>
      <c r="AC1815" s="284"/>
      <c r="AD1815" s="284"/>
      <c r="AE1815" s="284"/>
      <c r="AF1815" s="284"/>
      <c r="AG1815" s="284"/>
      <c r="AI1815" s="131"/>
    </row>
    <row r="1816" spans="1:35" ht="26.4">
      <c r="A1816" s="284"/>
      <c r="B1816" s="284"/>
      <c r="C1816" s="284"/>
      <c r="D1816" s="284"/>
      <c r="E1816" s="284"/>
      <c r="F1816" s="284"/>
      <c r="G1816" s="284"/>
      <c r="H1816" s="284"/>
      <c r="I1816" s="284"/>
      <c r="J1816" s="375"/>
      <c r="K1816" s="375"/>
      <c r="L1816" s="375"/>
      <c r="M1816" s="368"/>
      <c r="N1816" s="368"/>
      <c r="O1816" s="370"/>
      <c r="T1816" s="340"/>
      <c r="V1816" s="378"/>
      <c r="W1816" s="64" ph="1"/>
      <c r="X1816" s="241"/>
      <c r="Y1816" s="284"/>
      <c r="Z1816" s="207"/>
      <c r="AA1816" s="284"/>
      <c r="AB1816" s="284"/>
      <c r="AC1816" s="284"/>
      <c r="AD1816" s="284"/>
      <c r="AE1816" s="284"/>
      <c r="AF1816" s="284"/>
      <c r="AG1816" s="284"/>
      <c r="AI1816" s="131"/>
    </row>
    <row r="1817" spans="1:35" ht="26.4">
      <c r="A1817" s="284"/>
      <c r="B1817" s="284"/>
      <c r="C1817" s="284"/>
      <c r="D1817" s="284"/>
      <c r="E1817" s="284"/>
      <c r="F1817" s="284"/>
      <c r="G1817" s="284"/>
      <c r="H1817" s="284"/>
      <c r="I1817" s="284"/>
      <c r="J1817" s="375"/>
      <c r="K1817" s="375"/>
      <c r="L1817" s="375"/>
      <c r="M1817" s="368"/>
      <c r="N1817" s="368"/>
      <c r="O1817" s="370"/>
      <c r="T1817" s="340"/>
      <c r="V1817" s="378"/>
      <c r="W1817" s="64" ph="1"/>
      <c r="X1817" s="241"/>
      <c r="Y1817" s="284"/>
      <c r="Z1817" s="207"/>
      <c r="AA1817" s="284"/>
      <c r="AB1817" s="284"/>
      <c r="AC1817" s="284"/>
      <c r="AD1817" s="284"/>
      <c r="AE1817" s="284"/>
      <c r="AF1817" s="284"/>
      <c r="AG1817" s="284"/>
      <c r="AI1817" s="131"/>
    </row>
    <row r="1818" spans="1:35" ht="26.4">
      <c r="A1818" s="284"/>
      <c r="B1818" s="284"/>
      <c r="C1818" s="284"/>
      <c r="D1818" s="284"/>
      <c r="E1818" s="284"/>
      <c r="F1818" s="284"/>
      <c r="G1818" s="284"/>
      <c r="H1818" s="284"/>
      <c r="I1818" s="284"/>
      <c r="J1818" s="375"/>
      <c r="K1818" s="375"/>
      <c r="L1818" s="375"/>
      <c r="M1818" s="368"/>
      <c r="N1818" s="368"/>
      <c r="O1818" s="370"/>
      <c r="T1818" s="340"/>
      <c r="V1818" s="378"/>
      <c r="W1818" s="64" ph="1"/>
      <c r="X1818" s="241"/>
      <c r="Y1818" s="284"/>
      <c r="Z1818" s="207"/>
      <c r="AA1818" s="284"/>
      <c r="AB1818" s="284"/>
      <c r="AC1818" s="284"/>
      <c r="AD1818" s="284"/>
      <c r="AE1818" s="284"/>
      <c r="AF1818" s="284"/>
      <c r="AG1818" s="284"/>
      <c r="AI1818" s="131"/>
    </row>
    <row r="1819" spans="1:35" ht="26.4">
      <c r="A1819" s="284"/>
      <c r="B1819" s="284"/>
      <c r="C1819" s="284"/>
      <c r="D1819" s="284"/>
      <c r="E1819" s="284"/>
      <c r="F1819" s="284"/>
      <c r="G1819" s="284"/>
      <c r="H1819" s="284"/>
      <c r="I1819" s="284"/>
      <c r="J1819" s="375"/>
      <c r="K1819" s="375"/>
      <c r="L1819" s="375"/>
      <c r="M1819" s="368"/>
      <c r="N1819" s="368"/>
      <c r="O1819" s="370"/>
      <c r="T1819" s="340"/>
      <c r="V1819" s="378"/>
      <c r="W1819" s="64" ph="1"/>
      <c r="X1819" s="241"/>
      <c r="Y1819" s="284"/>
      <c r="Z1819" s="207"/>
      <c r="AA1819" s="284"/>
      <c r="AB1819" s="284"/>
      <c r="AC1819" s="284"/>
      <c r="AD1819" s="284"/>
      <c r="AE1819" s="284"/>
      <c r="AF1819" s="284"/>
      <c r="AG1819" s="284"/>
      <c r="AI1819" s="131"/>
    </row>
    <row r="1820" spans="1:35" ht="26.4">
      <c r="A1820" s="284"/>
      <c r="B1820" s="284"/>
      <c r="C1820" s="284"/>
      <c r="D1820" s="284"/>
      <c r="E1820" s="284"/>
      <c r="F1820" s="284"/>
      <c r="G1820" s="284"/>
      <c r="H1820" s="284"/>
      <c r="I1820" s="284"/>
      <c r="J1820" s="375"/>
      <c r="K1820" s="375"/>
      <c r="L1820" s="375"/>
      <c r="M1820" s="368"/>
      <c r="N1820" s="368"/>
      <c r="O1820" s="370"/>
      <c r="T1820" s="340"/>
      <c r="V1820" s="378"/>
      <c r="W1820" s="64" ph="1"/>
      <c r="X1820" s="241"/>
      <c r="Y1820" s="284"/>
      <c r="Z1820" s="207"/>
      <c r="AA1820" s="284"/>
      <c r="AB1820" s="284"/>
      <c r="AC1820" s="284"/>
      <c r="AD1820" s="284"/>
      <c r="AE1820" s="284"/>
      <c r="AF1820" s="284"/>
      <c r="AG1820" s="284"/>
      <c r="AI1820" s="131"/>
    </row>
    <row r="1821" spans="1:35" ht="26.4">
      <c r="A1821" s="284"/>
      <c r="B1821" s="284"/>
      <c r="C1821" s="284"/>
      <c r="D1821" s="284"/>
      <c r="E1821" s="284"/>
      <c r="F1821" s="284"/>
      <c r="G1821" s="284"/>
      <c r="H1821" s="284"/>
      <c r="I1821" s="284"/>
      <c r="J1821" s="375"/>
      <c r="K1821" s="375"/>
      <c r="L1821" s="375"/>
      <c r="M1821" s="368"/>
      <c r="N1821" s="368"/>
      <c r="O1821" s="370"/>
      <c r="T1821" s="340"/>
      <c r="V1821" s="378"/>
      <c r="W1821" s="64" ph="1"/>
      <c r="X1821" s="241"/>
      <c r="Y1821" s="284"/>
      <c r="Z1821" s="207"/>
      <c r="AA1821" s="284"/>
      <c r="AB1821" s="284"/>
      <c r="AC1821" s="284"/>
      <c r="AD1821" s="284"/>
      <c r="AE1821" s="284"/>
      <c r="AF1821" s="284"/>
      <c r="AG1821" s="284"/>
      <c r="AI1821" s="131"/>
    </row>
    <row r="1822" spans="1:35" ht="26.4">
      <c r="A1822" s="284"/>
      <c r="B1822" s="284"/>
      <c r="C1822" s="284"/>
      <c r="D1822" s="284"/>
      <c r="E1822" s="284"/>
      <c r="F1822" s="284"/>
      <c r="G1822" s="284"/>
      <c r="H1822" s="284"/>
      <c r="I1822" s="284"/>
      <c r="J1822" s="375"/>
      <c r="K1822" s="375"/>
      <c r="L1822" s="375"/>
      <c r="M1822" s="368"/>
      <c r="N1822" s="368"/>
      <c r="O1822" s="370"/>
      <c r="T1822" s="340"/>
      <c r="V1822" s="378"/>
      <c r="W1822" s="64" ph="1"/>
      <c r="X1822" s="241"/>
      <c r="Y1822" s="284"/>
      <c r="Z1822" s="207"/>
      <c r="AA1822" s="284"/>
      <c r="AB1822" s="284"/>
      <c r="AC1822" s="284"/>
      <c r="AD1822" s="284"/>
      <c r="AE1822" s="284"/>
      <c r="AF1822" s="284"/>
      <c r="AG1822" s="284"/>
      <c r="AI1822" s="131"/>
    </row>
    <row r="1823" spans="1:35" ht="26.4">
      <c r="A1823" s="284"/>
      <c r="B1823" s="284"/>
      <c r="C1823" s="284"/>
      <c r="D1823" s="284"/>
      <c r="E1823" s="284"/>
      <c r="F1823" s="284"/>
      <c r="G1823" s="284"/>
      <c r="H1823" s="284"/>
      <c r="I1823" s="284"/>
      <c r="J1823" s="375"/>
      <c r="K1823" s="375"/>
      <c r="L1823" s="375"/>
      <c r="M1823" s="368"/>
      <c r="N1823" s="368"/>
      <c r="O1823" s="370"/>
      <c r="T1823" s="340"/>
      <c r="V1823" s="378"/>
      <c r="W1823" s="64" ph="1"/>
      <c r="X1823" s="241"/>
      <c r="Y1823" s="284"/>
      <c r="Z1823" s="207"/>
      <c r="AA1823" s="284"/>
      <c r="AB1823" s="284"/>
      <c r="AC1823" s="284"/>
      <c r="AD1823" s="284"/>
      <c r="AE1823" s="284"/>
      <c r="AF1823" s="284"/>
      <c r="AG1823" s="284"/>
      <c r="AI1823" s="131"/>
    </row>
    <row r="1824" spans="1:35" ht="26.4">
      <c r="A1824" s="284"/>
      <c r="B1824" s="284"/>
      <c r="C1824" s="284"/>
      <c r="D1824" s="284"/>
      <c r="E1824" s="284"/>
      <c r="F1824" s="284"/>
      <c r="G1824" s="284"/>
      <c r="H1824" s="284"/>
      <c r="I1824" s="284"/>
      <c r="J1824" s="375"/>
      <c r="K1824" s="375"/>
      <c r="L1824" s="375"/>
      <c r="M1824" s="368"/>
      <c r="N1824" s="368"/>
      <c r="O1824" s="370"/>
      <c r="T1824" s="340"/>
      <c r="V1824" s="378"/>
      <c r="W1824" s="64" ph="1"/>
      <c r="X1824" s="241"/>
      <c r="Y1824" s="284"/>
      <c r="Z1824" s="207"/>
      <c r="AA1824" s="284"/>
      <c r="AB1824" s="284"/>
      <c r="AC1824" s="284"/>
      <c r="AD1824" s="284"/>
      <c r="AE1824" s="284"/>
      <c r="AF1824" s="284"/>
      <c r="AG1824" s="284"/>
      <c r="AI1824" s="131"/>
    </row>
    <row r="1825" spans="1:35" ht="26.4">
      <c r="A1825" s="284"/>
      <c r="B1825" s="284"/>
      <c r="C1825" s="284"/>
      <c r="D1825" s="284"/>
      <c r="E1825" s="284"/>
      <c r="F1825" s="284"/>
      <c r="G1825" s="284"/>
      <c r="H1825" s="284"/>
      <c r="I1825" s="284"/>
      <c r="J1825" s="375"/>
      <c r="K1825" s="375"/>
      <c r="L1825" s="375"/>
      <c r="M1825" s="368"/>
      <c r="N1825" s="368"/>
      <c r="O1825" s="370"/>
      <c r="T1825" s="340"/>
      <c r="V1825" s="378"/>
      <c r="W1825" s="64" ph="1"/>
      <c r="X1825" s="241"/>
      <c r="Y1825" s="284"/>
      <c r="Z1825" s="207"/>
      <c r="AA1825" s="284"/>
      <c r="AB1825" s="284"/>
      <c r="AC1825" s="284"/>
      <c r="AD1825" s="284"/>
      <c r="AE1825" s="284"/>
      <c r="AF1825" s="284"/>
      <c r="AG1825" s="284"/>
      <c r="AI1825" s="131"/>
    </row>
    <row r="1826" spans="1:35" ht="26.4">
      <c r="A1826" s="284"/>
      <c r="B1826" s="284"/>
      <c r="C1826" s="284"/>
      <c r="D1826" s="284"/>
      <c r="E1826" s="284"/>
      <c r="F1826" s="284"/>
      <c r="G1826" s="284"/>
      <c r="H1826" s="284"/>
      <c r="I1826" s="284"/>
      <c r="J1826" s="375"/>
      <c r="K1826" s="375"/>
      <c r="L1826" s="375"/>
      <c r="M1826" s="368"/>
      <c r="N1826" s="368"/>
      <c r="O1826" s="370"/>
      <c r="T1826" s="340"/>
      <c r="V1826" s="378"/>
      <c r="W1826" s="64" ph="1"/>
      <c r="X1826" s="241"/>
      <c r="Y1826" s="284"/>
      <c r="Z1826" s="207"/>
      <c r="AA1826" s="284"/>
      <c r="AB1826" s="284"/>
      <c r="AC1826" s="284"/>
      <c r="AD1826" s="284"/>
      <c r="AE1826" s="284"/>
      <c r="AF1826" s="284"/>
      <c r="AG1826" s="284"/>
      <c r="AI1826" s="131"/>
    </row>
    <row r="1827" spans="1:35" ht="26.4">
      <c r="A1827" s="284"/>
      <c r="B1827" s="284"/>
      <c r="C1827" s="284"/>
      <c r="D1827" s="284"/>
      <c r="E1827" s="284"/>
      <c r="F1827" s="284"/>
      <c r="G1827" s="284"/>
      <c r="H1827" s="284"/>
      <c r="I1827" s="284"/>
      <c r="J1827" s="375"/>
      <c r="K1827" s="375"/>
      <c r="L1827" s="375"/>
      <c r="M1827" s="368"/>
      <c r="N1827" s="368"/>
      <c r="O1827" s="370"/>
      <c r="T1827" s="340"/>
      <c r="V1827" s="378"/>
      <c r="W1827" s="64" ph="1"/>
      <c r="X1827" s="241"/>
      <c r="Y1827" s="284"/>
      <c r="Z1827" s="207"/>
      <c r="AA1827" s="284"/>
      <c r="AB1827" s="284"/>
      <c r="AC1827" s="284"/>
      <c r="AD1827" s="284"/>
      <c r="AE1827" s="284"/>
      <c r="AF1827" s="284"/>
      <c r="AG1827" s="284"/>
      <c r="AI1827" s="131"/>
    </row>
    <row r="1828" spans="1:35" ht="26.4">
      <c r="A1828" s="284"/>
      <c r="B1828" s="284"/>
      <c r="C1828" s="284"/>
      <c r="D1828" s="284"/>
      <c r="E1828" s="284"/>
      <c r="F1828" s="284"/>
      <c r="G1828" s="284"/>
      <c r="H1828" s="284"/>
      <c r="I1828" s="284"/>
      <c r="J1828" s="375"/>
      <c r="K1828" s="375"/>
      <c r="L1828" s="375"/>
      <c r="M1828" s="368"/>
      <c r="N1828" s="368"/>
      <c r="O1828" s="370"/>
      <c r="T1828" s="340"/>
      <c r="V1828" s="378"/>
      <c r="W1828" s="64" ph="1"/>
      <c r="X1828" s="241"/>
      <c r="Y1828" s="284"/>
      <c r="Z1828" s="207"/>
      <c r="AA1828" s="284"/>
      <c r="AB1828" s="284"/>
      <c r="AC1828" s="284"/>
      <c r="AD1828" s="284"/>
      <c r="AE1828" s="284"/>
      <c r="AF1828" s="284"/>
      <c r="AG1828" s="284"/>
      <c r="AI1828" s="131"/>
    </row>
    <row r="1829" spans="1:35" ht="26.4">
      <c r="A1829" s="284"/>
      <c r="B1829" s="284"/>
      <c r="C1829" s="284"/>
      <c r="D1829" s="284"/>
      <c r="E1829" s="284"/>
      <c r="F1829" s="284"/>
      <c r="G1829" s="284"/>
      <c r="H1829" s="284"/>
      <c r="I1829" s="284"/>
      <c r="J1829" s="375"/>
      <c r="K1829" s="375"/>
      <c r="L1829" s="375"/>
      <c r="M1829" s="368"/>
      <c r="N1829" s="368"/>
      <c r="O1829" s="370"/>
      <c r="T1829" s="340"/>
      <c r="V1829" s="378"/>
      <c r="W1829" s="64" ph="1"/>
      <c r="X1829" s="241"/>
      <c r="Y1829" s="284"/>
      <c r="Z1829" s="207"/>
      <c r="AA1829" s="284"/>
      <c r="AB1829" s="284"/>
      <c r="AC1829" s="284"/>
      <c r="AD1829" s="284"/>
      <c r="AE1829" s="284"/>
      <c r="AF1829" s="284"/>
      <c r="AG1829" s="284"/>
      <c r="AI1829" s="131"/>
    </row>
    <row r="1830" spans="1:35" ht="26.4">
      <c r="A1830" s="284"/>
      <c r="B1830" s="284"/>
      <c r="C1830" s="284"/>
      <c r="D1830" s="284"/>
      <c r="E1830" s="284"/>
      <c r="F1830" s="284"/>
      <c r="G1830" s="284"/>
      <c r="H1830" s="284"/>
      <c r="I1830" s="284"/>
      <c r="J1830" s="375"/>
      <c r="K1830" s="375"/>
      <c r="L1830" s="375"/>
      <c r="M1830" s="368"/>
      <c r="N1830" s="368"/>
      <c r="O1830" s="370"/>
      <c r="T1830" s="340"/>
      <c r="V1830" s="378"/>
      <c r="W1830" s="64" ph="1"/>
      <c r="X1830" s="241"/>
      <c r="Y1830" s="284"/>
      <c r="Z1830" s="207"/>
      <c r="AA1830" s="284"/>
      <c r="AB1830" s="284"/>
      <c r="AC1830" s="284"/>
      <c r="AD1830" s="284"/>
      <c r="AE1830" s="284"/>
      <c r="AF1830" s="284"/>
      <c r="AG1830" s="284"/>
      <c r="AI1830" s="131"/>
    </row>
    <row r="1831" spans="1:35" ht="26.4">
      <c r="A1831" s="284"/>
      <c r="B1831" s="284"/>
      <c r="C1831" s="284"/>
      <c r="D1831" s="284"/>
      <c r="E1831" s="284"/>
      <c r="F1831" s="284"/>
      <c r="G1831" s="284"/>
      <c r="H1831" s="284"/>
      <c r="I1831" s="284"/>
      <c r="J1831" s="375"/>
      <c r="K1831" s="375"/>
      <c r="L1831" s="375"/>
      <c r="M1831" s="368"/>
      <c r="N1831" s="368"/>
      <c r="O1831" s="370"/>
      <c r="T1831" s="340"/>
      <c r="V1831" s="378"/>
      <c r="W1831" s="64" ph="1"/>
      <c r="X1831" s="241"/>
      <c r="Y1831" s="284"/>
      <c r="Z1831" s="207"/>
      <c r="AA1831" s="284"/>
      <c r="AB1831" s="284"/>
      <c r="AC1831" s="284"/>
      <c r="AD1831" s="284"/>
      <c r="AE1831" s="284"/>
      <c r="AF1831" s="284"/>
      <c r="AG1831" s="284"/>
      <c r="AI1831" s="131"/>
    </row>
    <row r="1832" spans="1:35" ht="26.4">
      <c r="A1832" s="284"/>
      <c r="B1832" s="284"/>
      <c r="C1832" s="284"/>
      <c r="D1832" s="284"/>
      <c r="E1832" s="284"/>
      <c r="F1832" s="284"/>
      <c r="G1832" s="284"/>
      <c r="H1832" s="284"/>
      <c r="I1832" s="284"/>
      <c r="J1832" s="375"/>
      <c r="K1832" s="375"/>
      <c r="L1832" s="375"/>
      <c r="M1832" s="368"/>
      <c r="N1832" s="368"/>
      <c r="O1832" s="370"/>
      <c r="T1832" s="340"/>
      <c r="V1832" s="378"/>
      <c r="W1832" s="64" ph="1"/>
      <c r="X1832" s="241"/>
      <c r="Y1832" s="284"/>
      <c r="Z1832" s="207"/>
      <c r="AA1832" s="284"/>
      <c r="AB1832" s="284"/>
      <c r="AC1832" s="284"/>
      <c r="AD1832" s="284"/>
      <c r="AE1832" s="284"/>
      <c r="AF1832" s="284"/>
      <c r="AG1832" s="284"/>
      <c r="AI1832" s="284"/>
    </row>
    <row r="1833" spans="1:35" ht="26.4">
      <c r="A1833" s="284"/>
      <c r="B1833" s="284"/>
      <c r="C1833" s="284"/>
      <c r="D1833" s="284"/>
      <c r="E1833" s="284"/>
      <c r="F1833" s="284"/>
      <c r="G1833" s="284"/>
      <c r="H1833" s="284"/>
      <c r="I1833" s="284"/>
      <c r="J1833" s="375"/>
      <c r="K1833" s="375"/>
      <c r="L1833" s="375"/>
      <c r="M1833" s="368"/>
      <c r="N1833" s="368"/>
      <c r="O1833" s="370"/>
      <c r="T1833" s="340"/>
      <c r="V1833" s="378"/>
      <c r="W1833" s="64" ph="1"/>
      <c r="X1833" s="241"/>
      <c r="Y1833" s="284"/>
      <c r="Z1833" s="207"/>
      <c r="AA1833" s="284"/>
      <c r="AB1833" s="284"/>
      <c r="AC1833" s="284"/>
      <c r="AD1833" s="284"/>
      <c r="AE1833" s="284"/>
      <c r="AF1833" s="284"/>
      <c r="AG1833" s="284"/>
      <c r="AI1833" s="131"/>
    </row>
    <row r="1834" spans="1:35" ht="26.4">
      <c r="A1834" s="284"/>
      <c r="B1834" s="284"/>
      <c r="C1834" s="284"/>
      <c r="D1834" s="284"/>
      <c r="E1834" s="284"/>
      <c r="F1834" s="284"/>
      <c r="G1834" s="284"/>
      <c r="H1834" s="284"/>
      <c r="I1834" s="284"/>
      <c r="J1834" s="375"/>
      <c r="K1834" s="375"/>
      <c r="L1834" s="375"/>
      <c r="M1834" s="368"/>
      <c r="N1834" s="368"/>
      <c r="O1834" s="370"/>
      <c r="T1834" s="340"/>
      <c r="V1834" s="378"/>
      <c r="W1834" s="64" ph="1"/>
      <c r="X1834" s="241"/>
      <c r="Y1834" s="284"/>
      <c r="Z1834" s="207"/>
      <c r="AA1834" s="284"/>
      <c r="AB1834" s="284"/>
      <c r="AC1834" s="284"/>
      <c r="AD1834" s="284"/>
      <c r="AE1834" s="284"/>
      <c r="AF1834" s="284"/>
      <c r="AG1834" s="284"/>
      <c r="AI1834" s="131"/>
    </row>
    <row r="1835" spans="1:35" ht="26.4">
      <c r="A1835" s="284"/>
      <c r="B1835" s="284"/>
      <c r="C1835" s="284"/>
      <c r="D1835" s="284"/>
      <c r="E1835" s="284"/>
      <c r="F1835" s="284"/>
      <c r="G1835" s="284"/>
      <c r="H1835" s="284"/>
      <c r="I1835" s="284"/>
      <c r="J1835" s="375"/>
      <c r="K1835" s="375"/>
      <c r="L1835" s="375"/>
      <c r="M1835" s="368"/>
      <c r="N1835" s="368"/>
      <c r="O1835" s="370"/>
      <c r="T1835" s="340"/>
      <c r="V1835" s="378"/>
      <c r="W1835" s="64" ph="1"/>
      <c r="X1835" s="241"/>
      <c r="Y1835" s="284"/>
      <c r="Z1835" s="207"/>
      <c r="AA1835" s="284"/>
      <c r="AB1835" s="284"/>
      <c r="AC1835" s="284"/>
      <c r="AD1835" s="284"/>
      <c r="AE1835" s="284"/>
      <c r="AF1835" s="284"/>
      <c r="AG1835" s="284"/>
      <c r="AI1835" s="131"/>
    </row>
    <row r="1836" spans="1:35" ht="26.4">
      <c r="A1836" s="284"/>
      <c r="B1836" s="284"/>
      <c r="C1836" s="284"/>
      <c r="D1836" s="284"/>
      <c r="E1836" s="284"/>
      <c r="F1836" s="284"/>
      <c r="G1836" s="284"/>
      <c r="H1836" s="284"/>
      <c r="I1836" s="284"/>
      <c r="J1836" s="375"/>
      <c r="K1836" s="375"/>
      <c r="L1836" s="375"/>
      <c r="M1836" s="368"/>
      <c r="N1836" s="368"/>
      <c r="O1836" s="370"/>
      <c r="T1836" s="340"/>
      <c r="V1836" s="378"/>
      <c r="W1836" s="64" ph="1"/>
      <c r="X1836" s="241"/>
      <c r="Y1836" s="284"/>
      <c r="Z1836" s="207"/>
      <c r="AA1836" s="284"/>
      <c r="AB1836" s="284"/>
      <c r="AC1836" s="284"/>
      <c r="AD1836" s="284"/>
      <c r="AE1836" s="284"/>
      <c r="AF1836" s="284"/>
      <c r="AG1836" s="284"/>
      <c r="AI1836" s="131"/>
    </row>
    <row r="1837" spans="1:35" ht="26.4">
      <c r="A1837" s="284"/>
      <c r="B1837" s="284"/>
      <c r="C1837" s="284"/>
      <c r="D1837" s="284"/>
      <c r="E1837" s="284"/>
      <c r="F1837" s="284"/>
      <c r="G1837" s="284"/>
      <c r="H1837" s="284"/>
      <c r="I1837" s="284"/>
      <c r="J1837" s="375"/>
      <c r="K1837" s="375"/>
      <c r="L1837" s="375"/>
      <c r="M1837" s="368"/>
      <c r="N1837" s="368"/>
      <c r="O1837" s="370"/>
      <c r="T1837" s="340"/>
      <c r="V1837" s="378"/>
      <c r="W1837" s="64" ph="1"/>
      <c r="X1837" s="241"/>
      <c r="Y1837" s="284"/>
      <c r="Z1837" s="207"/>
      <c r="AA1837" s="284"/>
      <c r="AB1837" s="284"/>
      <c r="AC1837" s="284"/>
      <c r="AD1837" s="284"/>
      <c r="AE1837" s="284"/>
      <c r="AF1837" s="284"/>
      <c r="AG1837" s="284"/>
      <c r="AI1837" s="284"/>
    </row>
    <row r="1838" spans="1:35" ht="26.4">
      <c r="A1838" s="284"/>
      <c r="B1838" s="284"/>
      <c r="C1838" s="284"/>
      <c r="D1838" s="284"/>
      <c r="E1838" s="284"/>
      <c r="F1838" s="284"/>
      <c r="G1838" s="284"/>
      <c r="H1838" s="284"/>
      <c r="I1838" s="284"/>
      <c r="J1838" s="375"/>
      <c r="K1838" s="375"/>
      <c r="L1838" s="375"/>
      <c r="M1838" s="368"/>
      <c r="N1838" s="368"/>
      <c r="O1838" s="370"/>
      <c r="T1838" s="340"/>
      <c r="V1838" s="378"/>
      <c r="W1838" s="64" ph="1"/>
      <c r="X1838" s="241"/>
      <c r="Y1838" s="284"/>
      <c r="Z1838" s="207"/>
      <c r="AA1838" s="284"/>
      <c r="AB1838" s="284"/>
      <c r="AC1838" s="284"/>
      <c r="AD1838" s="284"/>
      <c r="AE1838" s="284"/>
      <c r="AF1838" s="284"/>
      <c r="AG1838" s="284"/>
      <c r="AI1838" s="131"/>
    </row>
    <row r="1839" spans="1:35" ht="26.4">
      <c r="A1839" s="284"/>
      <c r="B1839" s="284"/>
      <c r="C1839" s="284"/>
      <c r="D1839" s="284"/>
      <c r="E1839" s="284"/>
      <c r="F1839" s="284"/>
      <c r="G1839" s="284"/>
      <c r="H1839" s="284"/>
      <c r="I1839" s="284"/>
      <c r="J1839" s="375"/>
      <c r="K1839" s="375"/>
      <c r="L1839" s="375"/>
      <c r="M1839" s="368"/>
      <c r="N1839" s="368"/>
      <c r="O1839" s="370"/>
      <c r="T1839" s="340"/>
      <c r="V1839" s="378"/>
      <c r="W1839" s="64" ph="1"/>
      <c r="X1839" s="241"/>
      <c r="Y1839" s="284"/>
      <c r="Z1839" s="207"/>
      <c r="AA1839" s="284"/>
      <c r="AB1839" s="284"/>
      <c r="AC1839" s="284"/>
      <c r="AD1839" s="284"/>
      <c r="AE1839" s="284"/>
      <c r="AF1839" s="284"/>
      <c r="AG1839" s="284"/>
      <c r="AI1839" s="131"/>
    </row>
    <row r="1840" spans="1:35" ht="26.4">
      <c r="A1840" s="284"/>
      <c r="B1840" s="284"/>
      <c r="C1840" s="284"/>
      <c r="D1840" s="284"/>
      <c r="E1840" s="284"/>
      <c r="F1840" s="284"/>
      <c r="G1840" s="284"/>
      <c r="H1840" s="284"/>
      <c r="I1840" s="284"/>
      <c r="J1840" s="375"/>
      <c r="K1840" s="375"/>
      <c r="L1840" s="375"/>
      <c r="M1840" s="368"/>
      <c r="N1840" s="368"/>
      <c r="O1840" s="370"/>
      <c r="T1840" s="340"/>
      <c r="V1840" s="378"/>
      <c r="W1840" s="64" ph="1"/>
      <c r="X1840" s="241"/>
      <c r="Y1840" s="284"/>
      <c r="Z1840" s="207"/>
      <c r="AA1840" s="284"/>
      <c r="AB1840" s="284"/>
      <c r="AC1840" s="284"/>
      <c r="AD1840" s="284"/>
      <c r="AE1840" s="284"/>
      <c r="AF1840" s="284"/>
      <c r="AG1840" s="284"/>
      <c r="AI1840" s="131"/>
    </row>
    <row r="1841" spans="1:35" ht="26.4">
      <c r="A1841" s="284"/>
      <c r="B1841" s="284"/>
      <c r="C1841" s="284"/>
      <c r="D1841" s="284"/>
      <c r="E1841" s="284"/>
      <c r="F1841" s="284"/>
      <c r="G1841" s="284"/>
      <c r="H1841" s="284"/>
      <c r="I1841" s="284"/>
      <c r="J1841" s="375"/>
      <c r="K1841" s="375"/>
      <c r="L1841" s="375"/>
      <c r="M1841" s="368"/>
      <c r="N1841" s="368"/>
      <c r="O1841" s="370"/>
      <c r="T1841" s="340"/>
      <c r="V1841" s="378"/>
      <c r="W1841" s="64" ph="1"/>
      <c r="X1841" s="241"/>
      <c r="Y1841" s="284"/>
      <c r="Z1841" s="207"/>
      <c r="AA1841" s="284"/>
      <c r="AB1841" s="284"/>
      <c r="AC1841" s="284"/>
      <c r="AD1841" s="284"/>
      <c r="AE1841" s="284"/>
      <c r="AF1841" s="284"/>
      <c r="AG1841" s="284"/>
      <c r="AI1841" s="131"/>
    </row>
    <row r="1842" spans="1:35" ht="26.4">
      <c r="A1842" s="284"/>
      <c r="B1842" s="284"/>
      <c r="C1842" s="284"/>
      <c r="D1842" s="284"/>
      <c r="E1842" s="284"/>
      <c r="F1842" s="284"/>
      <c r="G1842" s="284"/>
      <c r="H1842" s="284"/>
      <c r="I1842" s="284"/>
      <c r="J1842" s="375"/>
      <c r="K1842" s="375"/>
      <c r="L1842" s="375"/>
      <c r="M1842" s="368"/>
      <c r="N1842" s="368"/>
      <c r="O1842" s="370"/>
      <c r="T1842" s="340"/>
      <c r="V1842" s="378"/>
      <c r="W1842" s="64" ph="1"/>
      <c r="X1842" s="241"/>
      <c r="Y1842" s="284"/>
      <c r="Z1842" s="207"/>
      <c r="AA1842" s="284"/>
      <c r="AB1842" s="284"/>
      <c r="AC1842" s="284"/>
      <c r="AD1842" s="284"/>
      <c r="AE1842" s="284"/>
      <c r="AF1842" s="284"/>
      <c r="AG1842" s="284"/>
      <c r="AI1842" s="131"/>
    </row>
    <row r="1843" spans="1:35" ht="26.4">
      <c r="A1843" s="284"/>
      <c r="B1843" s="284"/>
      <c r="C1843" s="284"/>
      <c r="D1843" s="284"/>
      <c r="E1843" s="284"/>
      <c r="F1843" s="284"/>
      <c r="G1843" s="284"/>
      <c r="H1843" s="284"/>
      <c r="I1843" s="284"/>
      <c r="J1843" s="375"/>
      <c r="K1843" s="375"/>
      <c r="L1843" s="375"/>
      <c r="M1843" s="368"/>
      <c r="N1843" s="368"/>
      <c r="O1843" s="370"/>
      <c r="T1843" s="340"/>
      <c r="V1843" s="378"/>
      <c r="W1843" s="64" ph="1"/>
      <c r="X1843" s="241"/>
      <c r="Y1843" s="284"/>
      <c r="Z1843" s="207"/>
      <c r="AA1843" s="284"/>
      <c r="AB1843" s="284"/>
      <c r="AC1843" s="284"/>
      <c r="AD1843" s="284"/>
      <c r="AE1843" s="284"/>
      <c r="AF1843" s="284"/>
      <c r="AG1843" s="284"/>
      <c r="AI1843" s="131"/>
    </row>
    <row r="1844" spans="1:35" ht="26.4">
      <c r="A1844" s="284"/>
      <c r="B1844" s="284"/>
      <c r="C1844" s="284"/>
      <c r="D1844" s="284"/>
      <c r="E1844" s="284"/>
      <c r="F1844" s="284"/>
      <c r="G1844" s="284"/>
      <c r="H1844" s="284"/>
      <c r="I1844" s="284"/>
      <c r="J1844" s="375"/>
      <c r="K1844" s="375"/>
      <c r="L1844" s="375"/>
      <c r="M1844" s="368"/>
      <c r="N1844" s="368"/>
      <c r="O1844" s="370"/>
      <c r="T1844" s="340"/>
      <c r="V1844" s="378"/>
      <c r="W1844" s="64" ph="1"/>
      <c r="X1844" s="241"/>
      <c r="Y1844" s="284"/>
      <c r="Z1844" s="207"/>
      <c r="AA1844" s="284"/>
      <c r="AB1844" s="284"/>
      <c r="AC1844" s="284"/>
      <c r="AD1844" s="284"/>
      <c r="AE1844" s="284"/>
      <c r="AF1844" s="284"/>
      <c r="AG1844" s="284"/>
      <c r="AI1844" s="131"/>
    </row>
    <row r="1845" spans="1:35" ht="26.4">
      <c r="A1845" s="284"/>
      <c r="B1845" s="284"/>
      <c r="C1845" s="284"/>
      <c r="D1845" s="284"/>
      <c r="E1845" s="284"/>
      <c r="F1845" s="284"/>
      <c r="G1845" s="284"/>
      <c r="H1845" s="284"/>
      <c r="I1845" s="284"/>
      <c r="J1845" s="375"/>
      <c r="K1845" s="375"/>
      <c r="L1845" s="375"/>
      <c r="M1845" s="368"/>
      <c r="N1845" s="368"/>
      <c r="O1845" s="370"/>
      <c r="T1845" s="340"/>
      <c r="V1845" s="378"/>
      <c r="W1845" s="64" ph="1"/>
      <c r="X1845" s="241"/>
      <c r="Y1845" s="284"/>
      <c r="Z1845" s="207"/>
      <c r="AA1845" s="284"/>
      <c r="AB1845" s="284"/>
      <c r="AC1845" s="284"/>
      <c r="AD1845" s="284"/>
      <c r="AE1845" s="284"/>
      <c r="AF1845" s="284"/>
      <c r="AG1845" s="284"/>
      <c r="AI1845" s="131"/>
    </row>
    <row r="1846" spans="1:35" ht="26.4">
      <c r="A1846" s="284"/>
      <c r="B1846" s="284"/>
      <c r="C1846" s="284"/>
      <c r="D1846" s="284"/>
      <c r="E1846" s="284"/>
      <c r="F1846" s="284"/>
      <c r="G1846" s="284"/>
      <c r="H1846" s="284"/>
      <c r="I1846" s="284"/>
      <c r="J1846" s="375"/>
      <c r="K1846" s="375"/>
      <c r="L1846" s="375"/>
      <c r="M1846" s="368"/>
      <c r="N1846" s="368"/>
      <c r="O1846" s="370"/>
      <c r="T1846" s="340"/>
      <c r="V1846" s="378"/>
      <c r="W1846" s="64" ph="1"/>
      <c r="X1846" s="241"/>
      <c r="Y1846" s="284"/>
      <c r="Z1846" s="207"/>
      <c r="AA1846" s="284"/>
      <c r="AB1846" s="284"/>
      <c r="AC1846" s="284"/>
      <c r="AD1846" s="284"/>
      <c r="AE1846" s="284"/>
      <c r="AF1846" s="284"/>
      <c r="AG1846" s="284"/>
      <c r="AI1846" s="131"/>
    </row>
    <row r="1847" spans="1:35" ht="26.4">
      <c r="A1847" s="284"/>
      <c r="B1847" s="284"/>
      <c r="C1847" s="284"/>
      <c r="D1847" s="284"/>
      <c r="E1847" s="284"/>
      <c r="F1847" s="284"/>
      <c r="G1847" s="284"/>
      <c r="H1847" s="284"/>
      <c r="I1847" s="284"/>
      <c r="J1847" s="375"/>
      <c r="K1847" s="375"/>
      <c r="L1847" s="375"/>
      <c r="M1847" s="368"/>
      <c r="N1847" s="368"/>
      <c r="O1847" s="370"/>
      <c r="T1847" s="340"/>
      <c r="V1847" s="378"/>
      <c r="W1847" s="64" ph="1"/>
      <c r="X1847" s="241"/>
      <c r="Y1847" s="284"/>
      <c r="Z1847" s="207"/>
      <c r="AA1847" s="284"/>
      <c r="AB1847" s="284"/>
      <c r="AC1847" s="284"/>
      <c r="AD1847" s="284"/>
      <c r="AE1847" s="284"/>
      <c r="AF1847" s="284"/>
      <c r="AG1847" s="284"/>
      <c r="AI1847" s="131"/>
    </row>
    <row r="1848" spans="1:35" ht="26.4">
      <c r="A1848" s="284"/>
      <c r="B1848" s="284"/>
      <c r="C1848" s="284"/>
      <c r="D1848" s="284"/>
      <c r="E1848" s="284"/>
      <c r="F1848" s="284"/>
      <c r="G1848" s="284"/>
      <c r="H1848" s="284"/>
      <c r="I1848" s="284"/>
      <c r="J1848" s="375"/>
      <c r="K1848" s="375"/>
      <c r="L1848" s="375"/>
      <c r="M1848" s="368"/>
      <c r="N1848" s="368"/>
      <c r="O1848" s="370"/>
      <c r="T1848" s="340"/>
      <c r="V1848" s="378"/>
      <c r="W1848" s="64" ph="1"/>
      <c r="X1848" s="241"/>
      <c r="Y1848" s="284"/>
      <c r="Z1848" s="207"/>
      <c r="AA1848" s="284"/>
      <c r="AB1848" s="284"/>
      <c r="AC1848" s="284"/>
      <c r="AD1848" s="284"/>
      <c r="AE1848" s="284"/>
      <c r="AF1848" s="284"/>
      <c r="AG1848" s="284"/>
      <c r="AI1848" s="131"/>
    </row>
    <row r="1849" spans="1:35" ht="26.4">
      <c r="A1849" s="284"/>
      <c r="B1849" s="284"/>
      <c r="C1849" s="284"/>
      <c r="D1849" s="284"/>
      <c r="E1849" s="284"/>
      <c r="F1849" s="284"/>
      <c r="G1849" s="284"/>
      <c r="H1849" s="284"/>
      <c r="I1849" s="284"/>
      <c r="J1849" s="375"/>
      <c r="K1849" s="375"/>
      <c r="L1849" s="375"/>
      <c r="M1849" s="368"/>
      <c r="N1849" s="368"/>
      <c r="O1849" s="370"/>
      <c r="T1849" s="340"/>
      <c r="V1849" s="378"/>
      <c r="W1849" s="64" ph="1"/>
      <c r="X1849" s="241"/>
      <c r="Y1849" s="284"/>
      <c r="Z1849" s="207"/>
      <c r="AA1849" s="284"/>
      <c r="AB1849" s="284"/>
      <c r="AC1849" s="284"/>
      <c r="AD1849" s="284"/>
      <c r="AE1849" s="284"/>
      <c r="AF1849" s="284"/>
      <c r="AG1849" s="284"/>
      <c r="AI1849" s="284"/>
    </row>
    <row r="1850" spans="1:35" ht="26.4">
      <c r="A1850" s="284"/>
      <c r="B1850" s="284"/>
      <c r="C1850" s="284"/>
      <c r="D1850" s="284"/>
      <c r="E1850" s="284"/>
      <c r="F1850" s="284"/>
      <c r="G1850" s="284"/>
      <c r="H1850" s="284"/>
      <c r="I1850" s="284"/>
      <c r="J1850" s="375"/>
      <c r="K1850" s="375"/>
      <c r="L1850" s="375"/>
      <c r="M1850" s="368"/>
      <c r="N1850" s="368"/>
      <c r="O1850" s="370"/>
      <c r="T1850" s="340"/>
      <c r="V1850" s="378"/>
      <c r="W1850" s="64" ph="1"/>
      <c r="X1850" s="241"/>
      <c r="Y1850" s="284"/>
      <c r="Z1850" s="207"/>
      <c r="AA1850" s="284"/>
      <c r="AB1850" s="284"/>
      <c r="AC1850" s="284"/>
      <c r="AD1850" s="284"/>
      <c r="AE1850" s="284"/>
      <c r="AF1850" s="284"/>
      <c r="AG1850" s="284"/>
      <c r="AI1850" s="284"/>
    </row>
    <row r="1851" spans="1:35" ht="26.4">
      <c r="A1851" s="284"/>
      <c r="B1851" s="284"/>
      <c r="C1851" s="284"/>
      <c r="D1851" s="284"/>
      <c r="E1851" s="284"/>
      <c r="F1851" s="284"/>
      <c r="G1851" s="284"/>
      <c r="H1851" s="284"/>
      <c r="I1851" s="284"/>
      <c r="J1851" s="375"/>
      <c r="K1851" s="375"/>
      <c r="L1851" s="375"/>
      <c r="M1851" s="368"/>
      <c r="N1851" s="368"/>
      <c r="O1851" s="370"/>
      <c r="T1851" s="340"/>
      <c r="V1851" s="378"/>
      <c r="W1851" s="64" ph="1"/>
      <c r="X1851" s="241"/>
      <c r="Y1851" s="284"/>
      <c r="Z1851" s="207"/>
      <c r="AA1851" s="284"/>
      <c r="AB1851" s="284"/>
      <c r="AC1851" s="284"/>
      <c r="AD1851" s="284"/>
      <c r="AE1851" s="284"/>
      <c r="AF1851" s="284"/>
      <c r="AG1851" s="284"/>
      <c r="AI1851" s="284"/>
    </row>
    <row r="1852" spans="1:35" ht="26.4">
      <c r="A1852" s="284"/>
      <c r="B1852" s="284"/>
      <c r="C1852" s="284"/>
      <c r="D1852" s="284"/>
      <c r="E1852" s="284"/>
      <c r="F1852" s="284"/>
      <c r="G1852" s="284"/>
      <c r="H1852" s="284"/>
      <c r="I1852" s="284"/>
      <c r="J1852" s="375"/>
      <c r="K1852" s="375"/>
      <c r="L1852" s="375"/>
      <c r="M1852" s="368"/>
      <c r="N1852" s="368"/>
      <c r="O1852" s="370"/>
      <c r="T1852" s="340"/>
      <c r="V1852" s="378"/>
      <c r="W1852" s="64" ph="1"/>
      <c r="X1852" s="241"/>
      <c r="Y1852" s="284"/>
      <c r="Z1852" s="207"/>
      <c r="AA1852" s="284"/>
      <c r="AB1852" s="284"/>
      <c r="AC1852" s="284"/>
      <c r="AD1852" s="284"/>
      <c r="AE1852" s="284"/>
      <c r="AF1852" s="284"/>
      <c r="AG1852" s="284"/>
      <c r="AI1852" s="284"/>
    </row>
    <row r="1853" spans="1:35" ht="26.4">
      <c r="A1853" s="284"/>
      <c r="B1853" s="284"/>
      <c r="C1853" s="284"/>
      <c r="D1853" s="284"/>
      <c r="E1853" s="284"/>
      <c r="F1853" s="284"/>
      <c r="G1853" s="284"/>
      <c r="H1853" s="284"/>
      <c r="I1853" s="284"/>
      <c r="J1853" s="375"/>
      <c r="K1853" s="375"/>
      <c r="L1853" s="375"/>
      <c r="M1853" s="368"/>
      <c r="N1853" s="368"/>
      <c r="O1853" s="370"/>
      <c r="T1853" s="340"/>
      <c r="V1853" s="378"/>
      <c r="W1853" s="64" ph="1"/>
      <c r="X1853" s="241"/>
      <c r="Y1853" s="284"/>
      <c r="Z1853" s="207"/>
      <c r="AA1853" s="284"/>
      <c r="AB1853" s="284"/>
      <c r="AC1853" s="284"/>
      <c r="AD1853" s="284"/>
      <c r="AE1853" s="284"/>
      <c r="AF1853" s="284"/>
      <c r="AG1853" s="284"/>
      <c r="AI1853" s="284"/>
    </row>
    <row r="1854" spans="1:35" ht="26.4">
      <c r="A1854" s="284"/>
      <c r="B1854" s="284"/>
      <c r="C1854" s="284"/>
      <c r="D1854" s="284"/>
      <c r="E1854" s="284"/>
      <c r="F1854" s="284"/>
      <c r="G1854" s="284"/>
      <c r="H1854" s="284"/>
      <c r="I1854" s="284"/>
      <c r="J1854" s="375"/>
      <c r="K1854" s="375"/>
      <c r="L1854" s="375"/>
      <c r="M1854" s="368"/>
      <c r="N1854" s="368"/>
      <c r="O1854" s="370"/>
      <c r="T1854" s="340"/>
      <c r="V1854" s="378"/>
      <c r="W1854" s="64" ph="1"/>
      <c r="X1854" s="241"/>
      <c r="Y1854" s="284"/>
      <c r="Z1854" s="207"/>
      <c r="AA1854" s="284"/>
      <c r="AB1854" s="284"/>
      <c r="AC1854" s="284"/>
      <c r="AD1854" s="284"/>
      <c r="AE1854" s="284"/>
      <c r="AF1854" s="284"/>
      <c r="AG1854" s="284"/>
      <c r="AI1854" s="284"/>
    </row>
    <row r="1855" spans="1:35" ht="26.4">
      <c r="A1855" s="284"/>
      <c r="B1855" s="284"/>
      <c r="C1855" s="284"/>
      <c r="D1855" s="284"/>
      <c r="E1855" s="284"/>
      <c r="F1855" s="284"/>
      <c r="G1855" s="284"/>
      <c r="H1855" s="284"/>
      <c r="I1855" s="284"/>
      <c r="J1855" s="375"/>
      <c r="K1855" s="375"/>
      <c r="L1855" s="375"/>
      <c r="M1855" s="368"/>
      <c r="N1855" s="368"/>
      <c r="O1855" s="370"/>
      <c r="T1855" s="340"/>
      <c r="V1855" s="378"/>
      <c r="W1855" s="64" ph="1"/>
      <c r="X1855" s="241"/>
      <c r="Y1855" s="284"/>
      <c r="Z1855" s="207"/>
      <c r="AA1855" s="284"/>
      <c r="AB1855" s="284"/>
      <c r="AC1855" s="284"/>
      <c r="AD1855" s="284"/>
      <c r="AE1855" s="284"/>
      <c r="AF1855" s="284"/>
      <c r="AG1855" s="284"/>
      <c r="AI1855" s="284"/>
    </row>
    <row r="1856" spans="1:35" ht="26.4">
      <c r="A1856" s="284"/>
      <c r="B1856" s="284"/>
      <c r="C1856" s="284"/>
      <c r="D1856" s="284"/>
      <c r="E1856" s="284"/>
      <c r="F1856" s="284"/>
      <c r="G1856" s="284"/>
      <c r="H1856" s="284"/>
      <c r="I1856" s="284"/>
      <c r="J1856" s="375"/>
      <c r="K1856" s="375"/>
      <c r="L1856" s="375"/>
      <c r="M1856" s="368"/>
      <c r="N1856" s="368"/>
      <c r="O1856" s="370"/>
      <c r="T1856" s="340"/>
      <c r="V1856" s="378"/>
      <c r="W1856" s="64" ph="1"/>
      <c r="X1856" s="241"/>
      <c r="Y1856" s="284"/>
      <c r="Z1856" s="207"/>
      <c r="AA1856" s="284"/>
      <c r="AB1856" s="284"/>
      <c r="AC1856" s="284"/>
      <c r="AD1856" s="284"/>
      <c r="AE1856" s="284"/>
      <c r="AF1856" s="284"/>
      <c r="AG1856" s="284"/>
      <c r="AI1856" s="284"/>
    </row>
    <row r="1857" spans="1:35" ht="26.4">
      <c r="A1857" s="284"/>
      <c r="B1857" s="284"/>
      <c r="C1857" s="284"/>
      <c r="D1857" s="284"/>
      <c r="E1857" s="284"/>
      <c r="F1857" s="284"/>
      <c r="G1857" s="284"/>
      <c r="H1857" s="284"/>
      <c r="I1857" s="284"/>
      <c r="J1857" s="375"/>
      <c r="K1857" s="375"/>
      <c r="L1857" s="375"/>
      <c r="M1857" s="368"/>
      <c r="N1857" s="368"/>
      <c r="O1857" s="370"/>
      <c r="T1857" s="340"/>
      <c r="V1857" s="378"/>
      <c r="W1857" s="64" ph="1"/>
      <c r="X1857" s="241"/>
      <c r="Y1857" s="284"/>
      <c r="Z1857" s="207"/>
      <c r="AA1857" s="284"/>
      <c r="AB1857" s="284"/>
      <c r="AC1857" s="284"/>
      <c r="AD1857" s="284"/>
      <c r="AE1857" s="284"/>
      <c r="AF1857" s="284"/>
      <c r="AG1857" s="284"/>
      <c r="AI1857" s="284"/>
    </row>
    <row r="1858" spans="1:35" ht="26.4">
      <c r="A1858" s="284"/>
      <c r="B1858" s="284"/>
      <c r="C1858" s="284"/>
      <c r="D1858" s="284"/>
      <c r="E1858" s="284"/>
      <c r="F1858" s="284"/>
      <c r="G1858" s="284"/>
      <c r="H1858" s="284"/>
      <c r="I1858" s="284"/>
      <c r="J1858" s="375"/>
      <c r="K1858" s="375"/>
      <c r="L1858" s="375"/>
      <c r="M1858" s="368"/>
      <c r="N1858" s="368"/>
      <c r="O1858" s="370"/>
      <c r="T1858" s="340"/>
      <c r="V1858" s="378"/>
      <c r="W1858" s="64" ph="1"/>
      <c r="X1858" s="241"/>
      <c r="Y1858" s="284"/>
      <c r="Z1858" s="207"/>
      <c r="AA1858" s="284"/>
      <c r="AB1858" s="284"/>
      <c r="AC1858" s="284"/>
      <c r="AD1858" s="284"/>
      <c r="AE1858" s="284"/>
      <c r="AF1858" s="284"/>
      <c r="AG1858" s="284"/>
      <c r="AI1858" s="131"/>
    </row>
    <row r="1859" spans="1:35" ht="26.4">
      <c r="A1859" s="284"/>
      <c r="B1859" s="284"/>
      <c r="C1859" s="284"/>
      <c r="D1859" s="284"/>
      <c r="E1859" s="284"/>
      <c r="F1859" s="284"/>
      <c r="G1859" s="284"/>
      <c r="H1859" s="284"/>
      <c r="I1859" s="284"/>
      <c r="J1859" s="375"/>
      <c r="K1859" s="375"/>
      <c r="L1859" s="375"/>
      <c r="M1859" s="368"/>
      <c r="N1859" s="368"/>
      <c r="O1859" s="370"/>
      <c r="T1859" s="340"/>
      <c r="V1859" s="378"/>
      <c r="W1859" s="64" ph="1"/>
      <c r="X1859" s="241"/>
      <c r="Y1859" s="284"/>
      <c r="Z1859" s="207"/>
      <c r="AA1859" s="284"/>
      <c r="AB1859" s="284"/>
      <c r="AC1859" s="284"/>
      <c r="AD1859" s="284"/>
      <c r="AE1859" s="284"/>
      <c r="AF1859" s="284"/>
      <c r="AG1859" s="284"/>
      <c r="AI1859" s="284"/>
    </row>
    <row r="1860" spans="1:35" ht="26.4">
      <c r="A1860" s="284"/>
      <c r="B1860" s="284"/>
      <c r="C1860" s="284"/>
      <c r="D1860" s="284"/>
      <c r="E1860" s="284"/>
      <c r="F1860" s="284"/>
      <c r="G1860" s="284"/>
      <c r="H1860" s="284"/>
      <c r="I1860" s="284"/>
      <c r="J1860" s="375"/>
      <c r="K1860" s="375"/>
      <c r="L1860" s="375"/>
      <c r="M1860" s="368"/>
      <c r="N1860" s="368"/>
      <c r="O1860" s="370"/>
      <c r="T1860" s="340"/>
      <c r="V1860" s="378"/>
      <c r="W1860" s="64" ph="1"/>
      <c r="X1860" s="241"/>
      <c r="Y1860" s="284"/>
      <c r="Z1860" s="207"/>
      <c r="AA1860" s="284"/>
      <c r="AB1860" s="284"/>
      <c r="AC1860" s="284"/>
      <c r="AD1860" s="284"/>
      <c r="AE1860" s="284"/>
      <c r="AF1860" s="284"/>
      <c r="AG1860" s="284"/>
      <c r="AI1860" s="284"/>
    </row>
    <row r="1861" spans="1:35" ht="26.4">
      <c r="A1861" s="284"/>
      <c r="B1861" s="284"/>
      <c r="C1861" s="284"/>
      <c r="D1861" s="284"/>
      <c r="E1861" s="284"/>
      <c r="F1861" s="284"/>
      <c r="G1861" s="284"/>
      <c r="H1861" s="284"/>
      <c r="I1861" s="284"/>
      <c r="J1861" s="375"/>
      <c r="K1861" s="375"/>
      <c r="L1861" s="375"/>
      <c r="M1861" s="368"/>
      <c r="N1861" s="368"/>
      <c r="O1861" s="370"/>
      <c r="T1861" s="340"/>
      <c r="V1861" s="378"/>
      <c r="W1861" s="64" ph="1"/>
      <c r="X1861" s="241"/>
      <c r="Y1861" s="284"/>
      <c r="Z1861" s="207"/>
      <c r="AA1861" s="284"/>
      <c r="AB1861" s="284"/>
      <c r="AC1861" s="284"/>
      <c r="AD1861" s="284"/>
      <c r="AE1861" s="284"/>
      <c r="AF1861" s="284"/>
      <c r="AG1861" s="284"/>
      <c r="AI1861" s="284"/>
    </row>
    <row r="1862" spans="1:35" ht="26.4">
      <c r="A1862" s="284"/>
      <c r="B1862" s="284"/>
      <c r="C1862" s="284"/>
      <c r="D1862" s="284"/>
      <c r="E1862" s="284"/>
      <c r="F1862" s="284"/>
      <c r="G1862" s="284"/>
      <c r="H1862" s="284"/>
      <c r="I1862" s="284"/>
      <c r="J1862" s="375"/>
      <c r="K1862" s="375"/>
      <c r="L1862" s="375"/>
      <c r="M1862" s="368"/>
      <c r="N1862" s="368"/>
      <c r="O1862" s="370"/>
      <c r="T1862" s="340"/>
      <c r="V1862" s="378"/>
      <c r="W1862" s="64" ph="1"/>
      <c r="X1862" s="241"/>
      <c r="Y1862" s="284"/>
      <c r="Z1862" s="207"/>
      <c r="AA1862" s="284"/>
      <c r="AB1862" s="284"/>
      <c r="AC1862" s="284"/>
      <c r="AD1862" s="284"/>
      <c r="AE1862" s="284"/>
      <c r="AF1862" s="284"/>
      <c r="AG1862" s="284"/>
      <c r="AI1862" s="131"/>
    </row>
    <row r="1863" spans="1:35" ht="26.4">
      <c r="A1863" s="284"/>
      <c r="B1863" s="284"/>
      <c r="C1863" s="284"/>
      <c r="D1863" s="284"/>
      <c r="E1863" s="284"/>
      <c r="F1863" s="284"/>
      <c r="G1863" s="284"/>
      <c r="H1863" s="284"/>
      <c r="I1863" s="284"/>
      <c r="J1863" s="375"/>
      <c r="K1863" s="375"/>
      <c r="L1863" s="375"/>
      <c r="M1863" s="368"/>
      <c r="N1863" s="368"/>
      <c r="O1863" s="370"/>
      <c r="T1863" s="340"/>
      <c r="V1863" s="378"/>
      <c r="W1863" s="64" ph="1"/>
      <c r="X1863" s="241"/>
      <c r="Y1863" s="284"/>
      <c r="Z1863" s="207"/>
      <c r="AA1863" s="284"/>
      <c r="AB1863" s="284"/>
      <c r="AC1863" s="284"/>
      <c r="AD1863" s="284"/>
      <c r="AE1863" s="284"/>
      <c r="AF1863" s="284"/>
      <c r="AG1863" s="284"/>
      <c r="AI1863" s="284"/>
    </row>
    <row r="1864" spans="1:35" ht="26.4">
      <c r="A1864" s="284"/>
      <c r="B1864" s="284"/>
      <c r="C1864" s="284"/>
      <c r="D1864" s="284"/>
      <c r="E1864" s="284"/>
      <c r="F1864" s="284"/>
      <c r="G1864" s="284"/>
      <c r="H1864" s="284"/>
      <c r="I1864" s="284"/>
      <c r="J1864" s="375"/>
      <c r="K1864" s="375"/>
      <c r="L1864" s="375"/>
      <c r="M1864" s="368"/>
      <c r="N1864" s="368"/>
      <c r="O1864" s="370"/>
      <c r="T1864" s="340"/>
      <c r="V1864" s="378"/>
      <c r="W1864" s="64" ph="1"/>
      <c r="X1864" s="241"/>
      <c r="Y1864" s="284"/>
      <c r="Z1864" s="207"/>
      <c r="AA1864" s="284"/>
      <c r="AB1864" s="284"/>
      <c r="AC1864" s="284"/>
      <c r="AD1864" s="284"/>
      <c r="AE1864" s="284"/>
      <c r="AF1864" s="284"/>
      <c r="AG1864" s="284"/>
      <c r="AI1864" s="284"/>
    </row>
    <row r="1865" spans="1:35" ht="26.4">
      <c r="A1865" s="284"/>
      <c r="B1865" s="284"/>
      <c r="C1865" s="284"/>
      <c r="D1865" s="284"/>
      <c r="E1865" s="284"/>
      <c r="F1865" s="284"/>
      <c r="G1865" s="284"/>
      <c r="H1865" s="284"/>
      <c r="I1865" s="284"/>
      <c r="J1865" s="375"/>
      <c r="K1865" s="375"/>
      <c r="L1865" s="375"/>
      <c r="M1865" s="368"/>
      <c r="N1865" s="368"/>
      <c r="O1865" s="370"/>
      <c r="T1865" s="340"/>
      <c r="V1865" s="378"/>
      <c r="W1865" s="64" ph="1"/>
      <c r="X1865" s="241"/>
      <c r="Y1865" s="284"/>
      <c r="Z1865" s="207"/>
      <c r="AA1865" s="284"/>
      <c r="AB1865" s="284"/>
      <c r="AC1865" s="284"/>
      <c r="AD1865" s="284"/>
      <c r="AE1865" s="284"/>
      <c r="AF1865" s="284"/>
      <c r="AG1865" s="284"/>
      <c r="AI1865" s="131"/>
    </row>
    <row r="1866" spans="1:35" ht="26.4">
      <c r="A1866" s="284"/>
      <c r="B1866" s="284"/>
      <c r="C1866" s="284"/>
      <c r="D1866" s="284"/>
      <c r="E1866" s="284"/>
      <c r="F1866" s="284"/>
      <c r="G1866" s="284"/>
      <c r="H1866" s="284"/>
      <c r="I1866" s="284"/>
      <c r="J1866" s="375"/>
      <c r="K1866" s="375"/>
      <c r="L1866" s="375"/>
      <c r="M1866" s="368"/>
      <c r="N1866" s="368"/>
      <c r="O1866" s="370"/>
      <c r="T1866" s="340"/>
      <c r="V1866" s="378"/>
      <c r="W1866" s="64" ph="1"/>
      <c r="X1866" s="241"/>
      <c r="Y1866" s="284"/>
      <c r="Z1866" s="207"/>
      <c r="AA1866" s="284"/>
      <c r="AB1866" s="284"/>
      <c r="AC1866" s="284"/>
      <c r="AD1866" s="284"/>
      <c r="AE1866" s="284"/>
      <c r="AF1866" s="284"/>
      <c r="AG1866" s="284"/>
      <c r="AI1866" s="131"/>
    </row>
    <row r="1867" spans="1:35" ht="26.4">
      <c r="A1867" s="284"/>
      <c r="B1867" s="284"/>
      <c r="C1867" s="284"/>
      <c r="D1867" s="284"/>
      <c r="E1867" s="284"/>
      <c r="F1867" s="284"/>
      <c r="G1867" s="284"/>
      <c r="H1867" s="284"/>
      <c r="I1867" s="284"/>
      <c r="J1867" s="375"/>
      <c r="K1867" s="375"/>
      <c r="L1867" s="375"/>
      <c r="M1867" s="368"/>
      <c r="N1867" s="368"/>
      <c r="O1867" s="370"/>
      <c r="T1867" s="340"/>
      <c r="V1867" s="378"/>
      <c r="W1867" s="64" ph="1"/>
      <c r="X1867" s="241"/>
      <c r="Y1867" s="284"/>
      <c r="Z1867" s="207"/>
      <c r="AA1867" s="284"/>
      <c r="AB1867" s="284"/>
      <c r="AC1867" s="284"/>
      <c r="AD1867" s="284"/>
      <c r="AE1867" s="284"/>
      <c r="AF1867" s="284"/>
      <c r="AG1867" s="284"/>
    </row>
    <row r="1868" spans="1:35" ht="26.4">
      <c r="A1868" s="284"/>
      <c r="B1868" s="284"/>
      <c r="C1868" s="284"/>
      <c r="D1868" s="284"/>
      <c r="E1868" s="284"/>
      <c r="F1868" s="284"/>
      <c r="G1868" s="284"/>
      <c r="H1868" s="284"/>
      <c r="I1868" s="284"/>
      <c r="J1868" s="375"/>
      <c r="K1868" s="375"/>
      <c r="L1868" s="375"/>
      <c r="M1868" s="368"/>
      <c r="N1868" s="368"/>
      <c r="O1868" s="370"/>
      <c r="T1868" s="340"/>
      <c r="V1868" s="378"/>
      <c r="W1868" s="64" ph="1"/>
      <c r="X1868" s="241"/>
      <c r="Y1868" s="284"/>
      <c r="Z1868" s="207"/>
      <c r="AA1868" s="284"/>
      <c r="AB1868" s="284"/>
      <c r="AC1868" s="284"/>
      <c r="AD1868" s="284"/>
      <c r="AE1868" s="284"/>
      <c r="AF1868" s="284"/>
      <c r="AG1868" s="284"/>
    </row>
    <row r="1869" spans="1:35" ht="26.4">
      <c r="A1869" s="284"/>
      <c r="B1869" s="284"/>
      <c r="C1869" s="284"/>
      <c r="D1869" s="284"/>
      <c r="E1869" s="284"/>
      <c r="F1869" s="284"/>
      <c r="G1869" s="284"/>
      <c r="H1869" s="284"/>
      <c r="I1869" s="284"/>
      <c r="J1869" s="375"/>
      <c r="K1869" s="375"/>
      <c r="L1869" s="375"/>
      <c r="M1869" s="368"/>
      <c r="N1869" s="368"/>
      <c r="O1869" s="370"/>
      <c r="T1869" s="340"/>
      <c r="V1869" s="378"/>
      <c r="W1869" s="64" ph="1"/>
      <c r="X1869" s="241"/>
      <c r="Y1869" s="284"/>
      <c r="Z1869" s="207"/>
      <c r="AA1869" s="284"/>
      <c r="AB1869" s="284"/>
      <c r="AC1869" s="284"/>
      <c r="AD1869" s="284"/>
      <c r="AE1869" s="284"/>
      <c r="AF1869" s="284"/>
      <c r="AG1869" s="284"/>
    </row>
    <row r="1870" spans="1:35" ht="26.4">
      <c r="A1870" s="284"/>
      <c r="B1870" s="284"/>
      <c r="C1870" s="284"/>
      <c r="D1870" s="284"/>
      <c r="E1870" s="284"/>
      <c r="F1870" s="284"/>
      <c r="G1870" s="284"/>
      <c r="H1870" s="284"/>
      <c r="I1870" s="284"/>
      <c r="J1870" s="375"/>
      <c r="K1870" s="375"/>
      <c r="L1870" s="375"/>
      <c r="M1870" s="368"/>
      <c r="N1870" s="368"/>
      <c r="O1870" s="370"/>
      <c r="T1870" s="340"/>
      <c r="V1870" s="378"/>
      <c r="W1870" s="64" ph="1"/>
      <c r="X1870" s="241"/>
      <c r="Y1870" s="284"/>
      <c r="Z1870" s="207"/>
      <c r="AA1870" s="284"/>
      <c r="AB1870" s="284"/>
      <c r="AC1870" s="284"/>
      <c r="AD1870" s="284"/>
      <c r="AE1870" s="284"/>
      <c r="AF1870" s="284"/>
      <c r="AG1870" s="284"/>
    </row>
    <row r="1871" spans="1:35" ht="26.4">
      <c r="A1871" s="284"/>
      <c r="B1871" s="284"/>
      <c r="C1871" s="284"/>
      <c r="D1871" s="284"/>
      <c r="E1871" s="284"/>
      <c r="F1871" s="284"/>
      <c r="G1871" s="284"/>
      <c r="H1871" s="284"/>
      <c r="I1871" s="284"/>
      <c r="J1871" s="375"/>
      <c r="K1871" s="375"/>
      <c r="L1871" s="375"/>
      <c r="M1871" s="368"/>
      <c r="N1871" s="368"/>
      <c r="O1871" s="370"/>
      <c r="T1871" s="340"/>
      <c r="V1871" s="378"/>
      <c r="W1871" s="64" ph="1"/>
      <c r="X1871" s="241"/>
      <c r="Y1871" s="284"/>
      <c r="Z1871" s="207"/>
      <c r="AA1871" s="284"/>
      <c r="AB1871" s="284"/>
      <c r="AC1871" s="284"/>
      <c r="AD1871" s="284"/>
      <c r="AE1871" s="284"/>
      <c r="AF1871" s="284"/>
      <c r="AG1871" s="284"/>
    </row>
    <row r="1872" spans="1:35" ht="26.4">
      <c r="A1872" s="284"/>
      <c r="B1872" s="284"/>
      <c r="C1872" s="284"/>
      <c r="D1872" s="284"/>
      <c r="E1872" s="284"/>
      <c r="F1872" s="284"/>
      <c r="G1872" s="284"/>
      <c r="H1872" s="284"/>
      <c r="I1872" s="284"/>
      <c r="J1872" s="375"/>
      <c r="K1872" s="375"/>
      <c r="L1872" s="375"/>
      <c r="M1872" s="368"/>
      <c r="N1872" s="368"/>
      <c r="O1872" s="370"/>
      <c r="T1872" s="340"/>
      <c r="V1872" s="378"/>
      <c r="W1872" s="64" ph="1"/>
      <c r="X1872" s="241"/>
      <c r="Y1872" s="284"/>
      <c r="Z1872" s="207"/>
      <c r="AA1872" s="284"/>
      <c r="AB1872" s="284"/>
      <c r="AC1872" s="284"/>
      <c r="AD1872" s="284"/>
      <c r="AE1872" s="284"/>
      <c r="AF1872" s="284"/>
      <c r="AG1872" s="284"/>
    </row>
    <row r="1873" spans="1:33" ht="26.4">
      <c r="A1873" s="284"/>
      <c r="B1873" s="284"/>
      <c r="C1873" s="284"/>
      <c r="D1873" s="284"/>
      <c r="E1873" s="284"/>
      <c r="F1873" s="284"/>
      <c r="G1873" s="284"/>
      <c r="H1873" s="284"/>
      <c r="I1873" s="284"/>
      <c r="J1873" s="375"/>
      <c r="K1873" s="375"/>
      <c r="L1873" s="375"/>
      <c r="M1873" s="368"/>
      <c r="N1873" s="368"/>
      <c r="O1873" s="370"/>
      <c r="T1873" s="340"/>
      <c r="V1873" s="378"/>
      <c r="W1873" s="64" ph="1"/>
      <c r="X1873" s="241"/>
      <c r="Y1873" s="284"/>
      <c r="Z1873" s="207"/>
      <c r="AA1873" s="284"/>
      <c r="AB1873" s="284"/>
      <c r="AC1873" s="284"/>
      <c r="AD1873" s="284"/>
      <c r="AE1873" s="284"/>
      <c r="AF1873" s="284"/>
      <c r="AG1873" s="284"/>
    </row>
    <row r="1874" spans="1:33" ht="26.4">
      <c r="A1874" s="284"/>
      <c r="B1874" s="284"/>
      <c r="C1874" s="284"/>
      <c r="D1874" s="284"/>
      <c r="E1874" s="284"/>
      <c r="F1874" s="284"/>
      <c r="G1874" s="284"/>
      <c r="H1874" s="284"/>
      <c r="I1874" s="284"/>
      <c r="J1874" s="375"/>
      <c r="K1874" s="375"/>
      <c r="L1874" s="375"/>
      <c r="M1874" s="368"/>
      <c r="N1874" s="368"/>
      <c r="O1874" s="370"/>
      <c r="T1874" s="340"/>
      <c r="V1874" s="378"/>
      <c r="W1874" s="64" ph="1"/>
      <c r="X1874" s="241"/>
      <c r="Y1874" s="284"/>
      <c r="Z1874" s="207"/>
      <c r="AA1874" s="284"/>
      <c r="AB1874" s="284"/>
      <c r="AC1874" s="284"/>
      <c r="AD1874" s="284"/>
      <c r="AE1874" s="284"/>
      <c r="AF1874" s="284"/>
      <c r="AG1874" s="284"/>
    </row>
    <row r="1875" spans="1:33" ht="26.4">
      <c r="A1875" s="284"/>
      <c r="B1875" s="284"/>
      <c r="C1875" s="284"/>
      <c r="D1875" s="284"/>
      <c r="E1875" s="284"/>
      <c r="F1875" s="284"/>
      <c r="G1875" s="284"/>
      <c r="H1875" s="284"/>
      <c r="I1875" s="284"/>
      <c r="J1875" s="375"/>
      <c r="K1875" s="375"/>
      <c r="L1875" s="375"/>
      <c r="M1875" s="368"/>
      <c r="N1875" s="368"/>
      <c r="O1875" s="370"/>
      <c r="T1875" s="340"/>
      <c r="V1875" s="378"/>
      <c r="W1875" s="64" ph="1"/>
      <c r="X1875" s="241"/>
      <c r="Y1875" s="284"/>
      <c r="Z1875" s="207"/>
      <c r="AA1875" s="284"/>
      <c r="AB1875" s="284"/>
      <c r="AC1875" s="284"/>
      <c r="AD1875" s="284"/>
      <c r="AE1875" s="284"/>
      <c r="AF1875" s="284"/>
      <c r="AG1875" s="284"/>
    </row>
    <row r="1876" spans="1:33" ht="26.4">
      <c r="A1876" s="284"/>
      <c r="B1876" s="284"/>
      <c r="C1876" s="284"/>
      <c r="D1876" s="284"/>
      <c r="E1876" s="284"/>
      <c r="F1876" s="284"/>
      <c r="G1876" s="284"/>
      <c r="H1876" s="284"/>
      <c r="I1876" s="284"/>
      <c r="J1876" s="375"/>
      <c r="K1876" s="375"/>
      <c r="L1876" s="375"/>
      <c r="M1876" s="368"/>
      <c r="N1876" s="368"/>
      <c r="O1876" s="370"/>
      <c r="T1876" s="340"/>
      <c r="V1876" s="378"/>
      <c r="W1876" s="64" ph="1"/>
      <c r="X1876" s="241"/>
      <c r="Y1876" s="284"/>
      <c r="Z1876" s="207"/>
      <c r="AA1876" s="284"/>
      <c r="AB1876" s="284"/>
      <c r="AC1876" s="284"/>
      <c r="AD1876" s="284"/>
      <c r="AE1876" s="284"/>
      <c r="AF1876" s="284"/>
      <c r="AG1876" s="284"/>
    </row>
    <row r="1877" spans="1:33" ht="26.4">
      <c r="A1877" s="284"/>
      <c r="B1877" s="284"/>
      <c r="C1877" s="284"/>
      <c r="D1877" s="284"/>
      <c r="E1877" s="284"/>
      <c r="F1877" s="284"/>
      <c r="G1877" s="284"/>
      <c r="H1877" s="284"/>
      <c r="I1877" s="284"/>
      <c r="J1877" s="375"/>
      <c r="K1877" s="375"/>
      <c r="L1877" s="375"/>
      <c r="M1877" s="368"/>
      <c r="N1877" s="368"/>
      <c r="O1877" s="370"/>
      <c r="T1877" s="340"/>
      <c r="V1877" s="378"/>
      <c r="W1877" s="64" ph="1"/>
      <c r="X1877" s="241"/>
      <c r="Y1877" s="284"/>
      <c r="Z1877" s="207"/>
      <c r="AA1877" s="284"/>
      <c r="AB1877" s="284"/>
      <c r="AC1877" s="284"/>
      <c r="AD1877" s="284"/>
      <c r="AE1877" s="284"/>
      <c r="AF1877" s="284"/>
      <c r="AG1877" s="284"/>
    </row>
    <row r="1878" spans="1:33" ht="26.4">
      <c r="A1878" s="284"/>
      <c r="B1878" s="284"/>
      <c r="C1878" s="284"/>
      <c r="D1878" s="284"/>
      <c r="E1878" s="284"/>
      <c r="F1878" s="284"/>
      <c r="G1878" s="284"/>
      <c r="H1878" s="284"/>
      <c r="I1878" s="284"/>
      <c r="J1878" s="375"/>
      <c r="K1878" s="375"/>
      <c r="L1878" s="375"/>
      <c r="M1878" s="368"/>
      <c r="N1878" s="368"/>
      <c r="O1878" s="370"/>
      <c r="T1878" s="340"/>
      <c r="V1878" s="378"/>
      <c r="W1878" s="64" ph="1"/>
      <c r="X1878" s="241"/>
      <c r="Y1878" s="284"/>
      <c r="Z1878" s="207"/>
      <c r="AA1878" s="284"/>
      <c r="AB1878" s="284"/>
      <c r="AC1878" s="284"/>
      <c r="AD1878" s="284"/>
      <c r="AE1878" s="284"/>
      <c r="AF1878" s="284"/>
      <c r="AG1878" s="284"/>
    </row>
    <row r="1879" spans="1:33" ht="26.4">
      <c r="A1879" s="284"/>
      <c r="B1879" s="284"/>
      <c r="C1879" s="284"/>
      <c r="D1879" s="284"/>
      <c r="E1879" s="284"/>
      <c r="F1879" s="284"/>
      <c r="G1879" s="284"/>
      <c r="H1879" s="284"/>
      <c r="I1879" s="284"/>
      <c r="J1879" s="375"/>
      <c r="K1879" s="375"/>
      <c r="L1879" s="375"/>
      <c r="M1879" s="368"/>
      <c r="N1879" s="368"/>
      <c r="O1879" s="370"/>
      <c r="T1879" s="340"/>
      <c r="V1879" s="378"/>
      <c r="W1879" s="64" ph="1"/>
      <c r="X1879" s="241"/>
      <c r="Y1879" s="284"/>
      <c r="Z1879" s="207"/>
      <c r="AA1879" s="284"/>
      <c r="AB1879" s="284"/>
      <c r="AC1879" s="284"/>
      <c r="AD1879" s="284"/>
      <c r="AE1879" s="284"/>
      <c r="AF1879" s="284"/>
      <c r="AG1879" s="284"/>
    </row>
    <row r="1880" spans="1:33" ht="26.4">
      <c r="A1880" s="284"/>
      <c r="B1880" s="284"/>
      <c r="C1880" s="284"/>
      <c r="D1880" s="284"/>
      <c r="E1880" s="284"/>
      <c r="F1880" s="284"/>
      <c r="G1880" s="284"/>
      <c r="H1880" s="284"/>
      <c r="I1880" s="284"/>
      <c r="J1880" s="375"/>
      <c r="K1880" s="375"/>
      <c r="L1880" s="375"/>
      <c r="M1880" s="368"/>
      <c r="N1880" s="368"/>
      <c r="O1880" s="370"/>
      <c r="T1880" s="340"/>
      <c r="V1880" s="378"/>
      <c r="W1880" s="64" ph="1"/>
      <c r="X1880" s="241"/>
      <c r="Y1880" s="284"/>
      <c r="Z1880" s="207"/>
      <c r="AA1880" s="284"/>
      <c r="AB1880" s="284"/>
      <c r="AC1880" s="284"/>
      <c r="AD1880" s="284"/>
      <c r="AE1880" s="284"/>
      <c r="AF1880" s="284"/>
      <c r="AG1880" s="284"/>
    </row>
    <row r="1881" spans="1:33" ht="26.4">
      <c r="A1881" s="284"/>
      <c r="B1881" s="284"/>
      <c r="C1881" s="284"/>
      <c r="D1881" s="284"/>
      <c r="E1881" s="284"/>
      <c r="F1881" s="284"/>
      <c r="G1881" s="284"/>
      <c r="H1881" s="284"/>
      <c r="I1881" s="284"/>
      <c r="J1881" s="375"/>
      <c r="K1881" s="375"/>
      <c r="L1881" s="375"/>
      <c r="M1881" s="368"/>
      <c r="N1881" s="368"/>
      <c r="O1881" s="370"/>
      <c r="T1881" s="340"/>
      <c r="V1881" s="378"/>
      <c r="W1881" s="64" ph="1"/>
      <c r="X1881" s="241"/>
      <c r="Y1881" s="284"/>
      <c r="Z1881" s="207"/>
      <c r="AA1881" s="284"/>
      <c r="AB1881" s="284"/>
      <c r="AC1881" s="284"/>
      <c r="AD1881" s="284"/>
      <c r="AE1881" s="284"/>
      <c r="AF1881" s="284"/>
      <c r="AG1881" s="284"/>
    </row>
    <row r="1882" spans="1:33" ht="26.4">
      <c r="A1882" s="284"/>
      <c r="B1882" s="284"/>
      <c r="C1882" s="284"/>
      <c r="D1882" s="284"/>
      <c r="E1882" s="284"/>
      <c r="F1882" s="284"/>
      <c r="G1882" s="284"/>
      <c r="H1882" s="284"/>
      <c r="I1882" s="284"/>
      <c r="J1882" s="375"/>
      <c r="K1882" s="375"/>
      <c r="L1882" s="375"/>
      <c r="M1882" s="368"/>
      <c r="N1882" s="368"/>
      <c r="O1882" s="370"/>
      <c r="T1882" s="340"/>
      <c r="V1882" s="378"/>
      <c r="W1882" s="64" ph="1"/>
      <c r="X1882" s="241"/>
      <c r="Y1882" s="284"/>
      <c r="Z1882" s="207"/>
      <c r="AA1882" s="284"/>
      <c r="AB1882" s="284"/>
      <c r="AC1882" s="284"/>
      <c r="AD1882" s="284"/>
      <c r="AE1882" s="284"/>
      <c r="AF1882" s="284"/>
      <c r="AG1882" s="284"/>
    </row>
    <row r="1883" spans="1:33" ht="26.4">
      <c r="A1883" s="284"/>
      <c r="B1883" s="284"/>
      <c r="C1883" s="284"/>
      <c r="D1883" s="284"/>
      <c r="E1883" s="284"/>
      <c r="F1883" s="284"/>
      <c r="G1883" s="284"/>
      <c r="H1883" s="284"/>
      <c r="I1883" s="284"/>
      <c r="J1883" s="375"/>
      <c r="K1883" s="375"/>
      <c r="L1883" s="375"/>
      <c r="M1883" s="368"/>
      <c r="N1883" s="368"/>
      <c r="O1883" s="370"/>
      <c r="T1883" s="340"/>
      <c r="V1883" s="378"/>
      <c r="W1883" s="64" ph="1"/>
      <c r="X1883" s="241"/>
      <c r="Y1883" s="284"/>
      <c r="Z1883" s="207"/>
      <c r="AA1883" s="284"/>
      <c r="AB1883" s="284"/>
      <c r="AC1883" s="284"/>
      <c r="AD1883" s="284"/>
      <c r="AE1883" s="284"/>
      <c r="AF1883" s="284"/>
      <c r="AG1883" s="284"/>
    </row>
    <row r="1884" spans="1:33" ht="26.4">
      <c r="A1884" s="284"/>
      <c r="B1884" s="284"/>
      <c r="C1884" s="284"/>
      <c r="D1884" s="284"/>
      <c r="E1884" s="284"/>
      <c r="F1884" s="284"/>
      <c r="G1884" s="284"/>
      <c r="H1884" s="284"/>
      <c r="I1884" s="284"/>
      <c r="J1884" s="375"/>
      <c r="K1884" s="375"/>
      <c r="L1884" s="375"/>
      <c r="M1884" s="368"/>
      <c r="N1884" s="368"/>
      <c r="O1884" s="370"/>
      <c r="T1884" s="340"/>
      <c r="V1884" s="378"/>
      <c r="W1884" s="64" ph="1"/>
      <c r="X1884" s="241"/>
      <c r="Y1884" s="284"/>
      <c r="Z1884" s="207"/>
      <c r="AA1884" s="284"/>
      <c r="AB1884" s="284"/>
      <c r="AC1884" s="284"/>
      <c r="AD1884" s="284"/>
      <c r="AE1884" s="284"/>
      <c r="AF1884" s="284"/>
      <c r="AG1884" s="284"/>
    </row>
    <row r="1885" spans="1:33" ht="26.4">
      <c r="A1885" s="284"/>
      <c r="B1885" s="284"/>
      <c r="C1885" s="284"/>
      <c r="D1885" s="284"/>
      <c r="E1885" s="284"/>
      <c r="F1885" s="284"/>
      <c r="G1885" s="284"/>
      <c r="H1885" s="284"/>
      <c r="I1885" s="284"/>
      <c r="J1885" s="375"/>
      <c r="K1885" s="375"/>
      <c r="L1885" s="375"/>
      <c r="M1885" s="368"/>
      <c r="N1885" s="368"/>
      <c r="O1885" s="370"/>
      <c r="T1885" s="340"/>
      <c r="V1885" s="378"/>
      <c r="W1885" s="64" ph="1"/>
      <c r="X1885" s="241"/>
      <c r="Y1885" s="284"/>
      <c r="Z1885" s="207"/>
      <c r="AA1885" s="284"/>
      <c r="AB1885" s="284"/>
      <c r="AC1885" s="284"/>
      <c r="AD1885" s="284"/>
      <c r="AE1885" s="284"/>
      <c r="AF1885" s="284"/>
      <c r="AG1885" s="284"/>
    </row>
    <row r="1886" spans="1:33" ht="26.4">
      <c r="A1886" s="284"/>
      <c r="B1886" s="284"/>
      <c r="C1886" s="284"/>
      <c r="D1886" s="284"/>
      <c r="E1886" s="284"/>
      <c r="F1886" s="284"/>
      <c r="G1886" s="284"/>
      <c r="H1886" s="284"/>
      <c r="I1886" s="284"/>
      <c r="J1886" s="375"/>
      <c r="K1886" s="375"/>
      <c r="L1886" s="375"/>
      <c r="M1886" s="368"/>
      <c r="N1886" s="368"/>
      <c r="O1886" s="370"/>
      <c r="T1886" s="340"/>
      <c r="V1886" s="378"/>
      <c r="W1886" s="64" ph="1"/>
      <c r="X1886" s="241"/>
      <c r="Y1886" s="284"/>
      <c r="Z1886" s="207"/>
      <c r="AA1886" s="284"/>
      <c r="AB1886" s="284"/>
      <c r="AC1886" s="284"/>
      <c r="AD1886" s="284"/>
      <c r="AE1886" s="284"/>
      <c r="AF1886" s="284"/>
      <c r="AG1886" s="284"/>
    </row>
    <row r="1887" spans="1:33" ht="26.4">
      <c r="A1887" s="284"/>
      <c r="B1887" s="284"/>
      <c r="C1887" s="284"/>
      <c r="D1887" s="284"/>
      <c r="E1887" s="284"/>
      <c r="F1887" s="284"/>
      <c r="G1887" s="284"/>
      <c r="H1887" s="284"/>
      <c r="I1887" s="284"/>
      <c r="J1887" s="375"/>
      <c r="K1887" s="375"/>
      <c r="L1887" s="375"/>
      <c r="M1887" s="368"/>
      <c r="N1887" s="368"/>
      <c r="O1887" s="370"/>
      <c r="T1887" s="340"/>
      <c r="V1887" s="378"/>
      <c r="W1887" s="64" ph="1"/>
      <c r="X1887" s="241"/>
      <c r="Y1887" s="284"/>
      <c r="Z1887" s="207"/>
      <c r="AA1887" s="284"/>
      <c r="AB1887" s="284"/>
      <c r="AC1887" s="284"/>
      <c r="AD1887" s="284"/>
      <c r="AE1887" s="284"/>
      <c r="AF1887" s="284"/>
      <c r="AG1887" s="284"/>
    </row>
    <row r="1888" spans="1:33" ht="26.4">
      <c r="A1888" s="284"/>
      <c r="B1888" s="284"/>
      <c r="C1888" s="284"/>
      <c r="D1888" s="284"/>
      <c r="E1888" s="284"/>
      <c r="F1888" s="284"/>
      <c r="G1888" s="284"/>
      <c r="H1888" s="284"/>
      <c r="I1888" s="284"/>
      <c r="J1888" s="375"/>
      <c r="K1888" s="375"/>
      <c r="L1888" s="375"/>
      <c r="M1888" s="368"/>
      <c r="N1888" s="368"/>
      <c r="O1888" s="370"/>
      <c r="T1888" s="340"/>
      <c r="V1888" s="378"/>
      <c r="W1888" s="64" ph="1"/>
      <c r="X1888" s="241"/>
      <c r="Y1888" s="284"/>
      <c r="Z1888" s="207"/>
      <c r="AA1888" s="284"/>
      <c r="AB1888" s="284"/>
      <c r="AC1888" s="284"/>
      <c r="AD1888" s="284"/>
      <c r="AE1888" s="284"/>
      <c r="AF1888" s="284"/>
      <c r="AG1888" s="284"/>
    </row>
    <row r="1889" spans="1:33" ht="26.4">
      <c r="A1889" s="284"/>
      <c r="B1889" s="284"/>
      <c r="C1889" s="284"/>
      <c r="D1889" s="284"/>
      <c r="E1889" s="284"/>
      <c r="F1889" s="284"/>
      <c r="G1889" s="284"/>
      <c r="H1889" s="284"/>
      <c r="I1889" s="284"/>
      <c r="J1889" s="375"/>
      <c r="K1889" s="375"/>
      <c r="L1889" s="375"/>
      <c r="M1889" s="368"/>
      <c r="N1889" s="368"/>
      <c r="O1889" s="370"/>
      <c r="T1889" s="340"/>
      <c r="V1889" s="378"/>
      <c r="W1889" s="64" ph="1"/>
      <c r="X1889" s="241"/>
      <c r="Y1889" s="284"/>
      <c r="Z1889" s="207"/>
      <c r="AA1889" s="284"/>
      <c r="AB1889" s="284"/>
      <c r="AC1889" s="284"/>
      <c r="AD1889" s="284"/>
      <c r="AE1889" s="284"/>
      <c r="AF1889" s="284"/>
      <c r="AG1889" s="284"/>
    </row>
    <row r="1890" spans="1:33" ht="26.4">
      <c r="A1890" s="284"/>
      <c r="B1890" s="284"/>
      <c r="C1890" s="284"/>
      <c r="D1890" s="284"/>
      <c r="E1890" s="284"/>
      <c r="F1890" s="284"/>
      <c r="G1890" s="284"/>
      <c r="H1890" s="284"/>
      <c r="I1890" s="284"/>
      <c r="J1890" s="375"/>
      <c r="K1890" s="375"/>
      <c r="L1890" s="375"/>
      <c r="M1890" s="368"/>
      <c r="N1890" s="368"/>
      <c r="O1890" s="370"/>
      <c r="T1890" s="340"/>
      <c r="V1890" s="378"/>
      <c r="W1890" s="64" ph="1"/>
      <c r="X1890" s="241"/>
      <c r="Y1890" s="284"/>
      <c r="Z1890" s="207"/>
      <c r="AA1890" s="284"/>
      <c r="AB1890" s="284"/>
      <c r="AC1890" s="284"/>
      <c r="AD1890" s="284"/>
      <c r="AE1890" s="284"/>
      <c r="AF1890" s="284"/>
      <c r="AG1890" s="284"/>
    </row>
    <row r="1891" spans="1:33" ht="26.4">
      <c r="A1891" s="284"/>
      <c r="B1891" s="284"/>
      <c r="C1891" s="284"/>
      <c r="D1891" s="284"/>
      <c r="E1891" s="284"/>
      <c r="F1891" s="284"/>
      <c r="G1891" s="284"/>
      <c r="H1891" s="284"/>
      <c r="I1891" s="284"/>
      <c r="J1891" s="375"/>
      <c r="K1891" s="375"/>
      <c r="L1891" s="375"/>
      <c r="M1891" s="368"/>
      <c r="N1891" s="368"/>
      <c r="O1891" s="370"/>
      <c r="T1891" s="340"/>
      <c r="V1891" s="378"/>
      <c r="W1891" s="64" ph="1"/>
      <c r="X1891" s="241"/>
      <c r="Y1891" s="284"/>
      <c r="Z1891" s="207"/>
      <c r="AA1891" s="284"/>
      <c r="AB1891" s="284"/>
      <c r="AC1891" s="284"/>
      <c r="AD1891" s="284"/>
      <c r="AE1891" s="284"/>
      <c r="AF1891" s="284"/>
      <c r="AG1891" s="284"/>
    </row>
    <row r="1892" spans="1:33" ht="26.4">
      <c r="A1892" s="284"/>
      <c r="B1892" s="284"/>
      <c r="C1892" s="284"/>
      <c r="D1892" s="284"/>
      <c r="E1892" s="284"/>
      <c r="F1892" s="284"/>
      <c r="G1892" s="284"/>
      <c r="H1892" s="284"/>
      <c r="I1892" s="284"/>
      <c r="J1892" s="375"/>
      <c r="K1892" s="375"/>
      <c r="L1892" s="375"/>
      <c r="M1892" s="368"/>
      <c r="N1892" s="368"/>
      <c r="O1892" s="370"/>
      <c r="T1892" s="340"/>
      <c r="V1892" s="378"/>
      <c r="W1892" s="64" ph="1"/>
      <c r="X1892" s="241"/>
      <c r="Y1892" s="284"/>
      <c r="Z1892" s="207"/>
      <c r="AA1892" s="284"/>
      <c r="AB1892" s="284"/>
      <c r="AC1892" s="284"/>
      <c r="AD1892" s="284"/>
      <c r="AE1892" s="284"/>
      <c r="AF1892" s="284"/>
      <c r="AG1892" s="284"/>
    </row>
    <row r="1893" spans="1:33" ht="26.4">
      <c r="A1893" s="284"/>
      <c r="B1893" s="284"/>
      <c r="C1893" s="284"/>
      <c r="D1893" s="284"/>
      <c r="E1893" s="284"/>
      <c r="F1893" s="284"/>
      <c r="G1893" s="284"/>
      <c r="H1893" s="284"/>
      <c r="I1893" s="284"/>
      <c r="J1893" s="375"/>
      <c r="K1893" s="375"/>
      <c r="L1893" s="375"/>
      <c r="M1893" s="368"/>
      <c r="N1893" s="368"/>
      <c r="O1893" s="370"/>
      <c r="T1893" s="340"/>
      <c r="V1893" s="378"/>
      <c r="W1893" s="64" ph="1"/>
      <c r="X1893" s="241"/>
      <c r="Y1893" s="284"/>
      <c r="Z1893" s="207"/>
      <c r="AA1893" s="284"/>
      <c r="AB1893" s="284"/>
      <c r="AC1893" s="284"/>
      <c r="AD1893" s="284"/>
      <c r="AE1893" s="284"/>
      <c r="AF1893" s="284"/>
      <c r="AG1893" s="284"/>
    </row>
    <row r="1894" spans="1:33" ht="26.4">
      <c r="A1894" s="284"/>
      <c r="B1894" s="284"/>
      <c r="C1894" s="284"/>
      <c r="D1894" s="284"/>
      <c r="E1894" s="284"/>
      <c r="F1894" s="284"/>
      <c r="G1894" s="284"/>
      <c r="H1894" s="284"/>
      <c r="I1894" s="284"/>
      <c r="J1894" s="375"/>
      <c r="K1894" s="375"/>
      <c r="L1894" s="375"/>
      <c r="M1894" s="368"/>
      <c r="N1894" s="368"/>
      <c r="O1894" s="370"/>
      <c r="T1894" s="340"/>
      <c r="V1894" s="378"/>
      <c r="W1894" s="64" ph="1"/>
      <c r="X1894" s="241"/>
      <c r="Y1894" s="284"/>
      <c r="Z1894" s="207"/>
      <c r="AA1894" s="284"/>
      <c r="AB1894" s="284"/>
      <c r="AC1894" s="284"/>
      <c r="AD1894" s="284"/>
      <c r="AE1894" s="284"/>
      <c r="AF1894" s="284"/>
      <c r="AG1894" s="284"/>
    </row>
    <row r="1895" spans="1:33" ht="26.4">
      <c r="A1895" s="284"/>
      <c r="B1895" s="284"/>
      <c r="C1895" s="284"/>
      <c r="D1895" s="284"/>
      <c r="E1895" s="284"/>
      <c r="F1895" s="284"/>
      <c r="G1895" s="284"/>
      <c r="H1895" s="284"/>
      <c r="I1895" s="284"/>
      <c r="J1895" s="375"/>
      <c r="K1895" s="375"/>
      <c r="L1895" s="375"/>
      <c r="M1895" s="368"/>
      <c r="N1895" s="368"/>
      <c r="O1895" s="370"/>
      <c r="T1895" s="340"/>
      <c r="V1895" s="378"/>
      <c r="W1895" s="64" ph="1"/>
      <c r="X1895" s="241"/>
      <c r="Y1895" s="284"/>
      <c r="Z1895" s="207"/>
      <c r="AA1895" s="284"/>
      <c r="AB1895" s="284"/>
      <c r="AC1895" s="284"/>
      <c r="AD1895" s="284"/>
      <c r="AE1895" s="284"/>
      <c r="AF1895" s="284"/>
      <c r="AG1895" s="284"/>
    </row>
    <row r="1896" spans="1:33" ht="26.4">
      <c r="A1896" s="284"/>
      <c r="B1896" s="284"/>
      <c r="C1896" s="284"/>
      <c r="D1896" s="284"/>
      <c r="E1896" s="284"/>
      <c r="F1896" s="284"/>
      <c r="G1896" s="284"/>
      <c r="H1896" s="284"/>
      <c r="I1896" s="284"/>
      <c r="J1896" s="375"/>
      <c r="K1896" s="375"/>
      <c r="L1896" s="375"/>
      <c r="M1896" s="368"/>
      <c r="N1896" s="368"/>
      <c r="O1896" s="370"/>
      <c r="T1896" s="340"/>
      <c r="V1896" s="378"/>
      <c r="W1896" s="64" ph="1"/>
      <c r="X1896" s="241"/>
      <c r="Y1896" s="284"/>
      <c r="Z1896" s="207"/>
      <c r="AA1896" s="284"/>
      <c r="AB1896" s="284"/>
      <c r="AC1896" s="284"/>
      <c r="AD1896" s="284"/>
      <c r="AE1896" s="284"/>
      <c r="AF1896" s="284"/>
      <c r="AG1896" s="284"/>
    </row>
    <row r="1897" spans="1:33" ht="26.4">
      <c r="A1897" s="284"/>
      <c r="B1897" s="284"/>
      <c r="C1897" s="284"/>
      <c r="D1897" s="284"/>
      <c r="E1897" s="284"/>
      <c r="F1897" s="284"/>
      <c r="G1897" s="284"/>
      <c r="H1897" s="284"/>
      <c r="I1897" s="284"/>
      <c r="J1897" s="375"/>
      <c r="K1897" s="375"/>
      <c r="L1897" s="375"/>
      <c r="M1897" s="368"/>
      <c r="N1897" s="368"/>
      <c r="O1897" s="370"/>
      <c r="T1897" s="340"/>
      <c r="V1897" s="378"/>
      <c r="W1897" s="64" ph="1"/>
      <c r="X1897" s="241"/>
      <c r="Y1897" s="284"/>
      <c r="Z1897" s="207"/>
      <c r="AA1897" s="284"/>
      <c r="AB1897" s="284"/>
      <c r="AC1897" s="284"/>
      <c r="AD1897" s="284"/>
      <c r="AE1897" s="284"/>
      <c r="AF1897" s="284"/>
      <c r="AG1897" s="284"/>
    </row>
    <row r="1898" spans="1:33" ht="26.4">
      <c r="A1898" s="284"/>
      <c r="B1898" s="284"/>
      <c r="C1898" s="284"/>
      <c r="D1898" s="284"/>
      <c r="E1898" s="284"/>
      <c r="F1898" s="284"/>
      <c r="G1898" s="284"/>
      <c r="H1898" s="284"/>
      <c r="I1898" s="284"/>
      <c r="J1898" s="375"/>
      <c r="K1898" s="375"/>
      <c r="L1898" s="375"/>
      <c r="M1898" s="368"/>
      <c r="N1898" s="368"/>
      <c r="O1898" s="370"/>
      <c r="T1898" s="340"/>
      <c r="V1898" s="378"/>
      <c r="W1898" s="64" ph="1"/>
      <c r="X1898" s="241"/>
      <c r="Y1898" s="284"/>
      <c r="Z1898" s="207"/>
      <c r="AA1898" s="284"/>
      <c r="AB1898" s="284"/>
      <c r="AC1898" s="284"/>
      <c r="AD1898" s="284"/>
      <c r="AE1898" s="284"/>
      <c r="AF1898" s="284"/>
      <c r="AG1898" s="284"/>
    </row>
    <row r="1899" spans="1:33" ht="26.4">
      <c r="A1899" s="284"/>
      <c r="B1899" s="284"/>
      <c r="C1899" s="284"/>
      <c r="D1899" s="284"/>
      <c r="E1899" s="284"/>
      <c r="F1899" s="284"/>
      <c r="G1899" s="284"/>
      <c r="H1899" s="284"/>
      <c r="I1899" s="284"/>
      <c r="J1899" s="375"/>
      <c r="K1899" s="375"/>
      <c r="L1899" s="375"/>
      <c r="M1899" s="368"/>
      <c r="N1899" s="368"/>
      <c r="O1899" s="370"/>
      <c r="T1899" s="340"/>
      <c r="V1899" s="378"/>
      <c r="W1899" s="64" ph="1"/>
      <c r="X1899" s="241"/>
      <c r="Y1899" s="284"/>
      <c r="Z1899" s="207"/>
      <c r="AA1899" s="284"/>
      <c r="AB1899" s="284"/>
      <c r="AC1899" s="284"/>
      <c r="AD1899" s="284"/>
      <c r="AE1899" s="284"/>
      <c r="AF1899" s="284"/>
      <c r="AG1899" s="284"/>
    </row>
    <row r="1900" spans="1:33" ht="26.4">
      <c r="A1900" s="284"/>
      <c r="B1900" s="284"/>
      <c r="C1900" s="284"/>
      <c r="D1900" s="284"/>
      <c r="E1900" s="284"/>
      <c r="F1900" s="284"/>
      <c r="G1900" s="284"/>
      <c r="H1900" s="284"/>
      <c r="I1900" s="284"/>
      <c r="J1900" s="375"/>
      <c r="K1900" s="375"/>
      <c r="L1900" s="375"/>
      <c r="M1900" s="368"/>
      <c r="N1900" s="368"/>
      <c r="O1900" s="370"/>
      <c r="T1900" s="340"/>
      <c r="V1900" s="378"/>
      <c r="W1900" s="64" ph="1"/>
      <c r="X1900" s="241"/>
      <c r="Y1900" s="284"/>
      <c r="Z1900" s="207"/>
      <c r="AA1900" s="284"/>
      <c r="AB1900" s="284"/>
      <c r="AC1900" s="284"/>
      <c r="AD1900" s="284"/>
      <c r="AE1900" s="284"/>
      <c r="AF1900" s="284"/>
      <c r="AG1900" s="284"/>
    </row>
    <row r="1901" spans="1:33" ht="26.4">
      <c r="A1901" s="284"/>
      <c r="B1901" s="284"/>
      <c r="C1901" s="284"/>
      <c r="D1901" s="284"/>
      <c r="E1901" s="284"/>
      <c r="F1901" s="284"/>
      <c r="G1901" s="284"/>
      <c r="H1901" s="284"/>
      <c r="I1901" s="284"/>
      <c r="J1901" s="375"/>
      <c r="K1901" s="375"/>
      <c r="L1901" s="375"/>
      <c r="M1901" s="368"/>
      <c r="N1901" s="368"/>
      <c r="O1901" s="370"/>
      <c r="T1901" s="340"/>
      <c r="V1901" s="378"/>
      <c r="W1901" s="64" ph="1"/>
      <c r="X1901" s="241"/>
      <c r="Y1901" s="284"/>
      <c r="Z1901" s="207"/>
      <c r="AA1901" s="284"/>
      <c r="AB1901" s="284"/>
      <c r="AC1901" s="284"/>
      <c r="AD1901" s="284"/>
      <c r="AE1901" s="284"/>
      <c r="AF1901" s="284"/>
      <c r="AG1901" s="284"/>
    </row>
    <row r="1902" spans="1:33" ht="26.4">
      <c r="A1902" s="284"/>
      <c r="B1902" s="284"/>
      <c r="C1902" s="284"/>
      <c r="D1902" s="284"/>
      <c r="E1902" s="284"/>
      <c r="F1902" s="284"/>
      <c r="G1902" s="284"/>
      <c r="H1902" s="284"/>
      <c r="I1902" s="284"/>
      <c r="J1902" s="375"/>
      <c r="K1902" s="375"/>
      <c r="L1902" s="375"/>
      <c r="M1902" s="368"/>
      <c r="N1902" s="368"/>
      <c r="O1902" s="370"/>
      <c r="T1902" s="340"/>
      <c r="V1902" s="378"/>
      <c r="W1902" s="64" ph="1"/>
      <c r="X1902" s="241"/>
      <c r="Y1902" s="284"/>
      <c r="Z1902" s="207"/>
      <c r="AA1902" s="284"/>
      <c r="AB1902" s="284"/>
      <c r="AC1902" s="284"/>
      <c r="AD1902" s="284"/>
      <c r="AE1902" s="284"/>
      <c r="AF1902" s="284"/>
      <c r="AG1902" s="284"/>
    </row>
    <row r="1903" spans="1:33" ht="26.4">
      <c r="A1903" s="284"/>
      <c r="B1903" s="284"/>
      <c r="C1903" s="284"/>
      <c r="D1903" s="284"/>
      <c r="E1903" s="284"/>
      <c r="F1903" s="284"/>
      <c r="G1903" s="284"/>
      <c r="H1903" s="284"/>
      <c r="I1903" s="284"/>
      <c r="J1903" s="375"/>
      <c r="K1903" s="375"/>
      <c r="L1903" s="375"/>
      <c r="M1903" s="368"/>
      <c r="N1903" s="368"/>
      <c r="O1903" s="370"/>
      <c r="T1903" s="340"/>
      <c r="V1903" s="378"/>
      <c r="W1903" s="64" ph="1"/>
      <c r="X1903" s="241"/>
      <c r="Y1903" s="284"/>
      <c r="Z1903" s="207"/>
      <c r="AA1903" s="284"/>
      <c r="AB1903" s="284"/>
      <c r="AC1903" s="284"/>
      <c r="AD1903" s="284"/>
      <c r="AE1903" s="284"/>
      <c r="AF1903" s="284"/>
      <c r="AG1903" s="284"/>
    </row>
    <row r="1904" spans="1:33" ht="26.4">
      <c r="A1904" s="284"/>
      <c r="B1904" s="284"/>
      <c r="C1904" s="284"/>
      <c r="D1904" s="284"/>
      <c r="E1904" s="284"/>
      <c r="F1904" s="284"/>
      <c r="G1904" s="284"/>
      <c r="H1904" s="284"/>
      <c r="I1904" s="284"/>
      <c r="J1904" s="375"/>
      <c r="K1904" s="375"/>
      <c r="L1904" s="375"/>
      <c r="M1904" s="368"/>
      <c r="N1904" s="368"/>
      <c r="O1904" s="370"/>
      <c r="T1904" s="340"/>
      <c r="V1904" s="378"/>
      <c r="W1904" s="64" ph="1"/>
      <c r="X1904" s="241"/>
      <c r="Y1904" s="284"/>
      <c r="Z1904" s="207"/>
      <c r="AA1904" s="284"/>
      <c r="AB1904" s="284"/>
      <c r="AC1904" s="284"/>
      <c r="AD1904" s="284"/>
      <c r="AE1904" s="284"/>
      <c r="AF1904" s="284"/>
      <c r="AG1904" s="284"/>
    </row>
    <row r="1905" spans="1:33" ht="26.4">
      <c r="A1905" s="284"/>
      <c r="B1905" s="284"/>
      <c r="C1905" s="284"/>
      <c r="D1905" s="284"/>
      <c r="E1905" s="284"/>
      <c r="F1905" s="284"/>
      <c r="G1905" s="284"/>
      <c r="H1905" s="284"/>
      <c r="I1905" s="284"/>
      <c r="J1905" s="375"/>
      <c r="K1905" s="375"/>
      <c r="L1905" s="375"/>
      <c r="M1905" s="368"/>
      <c r="N1905" s="368"/>
      <c r="O1905" s="370"/>
      <c r="T1905" s="340"/>
      <c r="V1905" s="378"/>
      <c r="W1905" s="64" ph="1"/>
      <c r="X1905" s="241"/>
      <c r="Y1905" s="284"/>
      <c r="Z1905" s="207"/>
      <c r="AA1905" s="284"/>
      <c r="AB1905" s="284"/>
      <c r="AC1905" s="284"/>
      <c r="AD1905" s="284"/>
      <c r="AE1905" s="284"/>
      <c r="AF1905" s="284"/>
      <c r="AG1905" s="284"/>
    </row>
    <row r="1906" spans="1:33" ht="26.4">
      <c r="A1906" s="284"/>
      <c r="B1906" s="284"/>
      <c r="C1906" s="284"/>
      <c r="D1906" s="284"/>
      <c r="E1906" s="284"/>
      <c r="F1906" s="284"/>
      <c r="G1906" s="284"/>
      <c r="H1906" s="284"/>
      <c r="I1906" s="284"/>
      <c r="J1906" s="375"/>
      <c r="K1906" s="375"/>
      <c r="L1906" s="375"/>
      <c r="M1906" s="368"/>
      <c r="N1906" s="368"/>
      <c r="O1906" s="370"/>
      <c r="T1906" s="340"/>
      <c r="V1906" s="378"/>
      <c r="W1906" s="64" ph="1"/>
      <c r="X1906" s="241"/>
      <c r="Y1906" s="284"/>
      <c r="Z1906" s="207"/>
      <c r="AA1906" s="284"/>
      <c r="AB1906" s="284"/>
      <c r="AC1906" s="284"/>
      <c r="AD1906" s="284"/>
      <c r="AE1906" s="284"/>
      <c r="AF1906" s="284"/>
      <c r="AG1906" s="284"/>
    </row>
    <row r="1907" spans="1:33" ht="26.4">
      <c r="A1907" s="284"/>
      <c r="B1907" s="284"/>
      <c r="C1907" s="284"/>
      <c r="D1907" s="284"/>
      <c r="E1907" s="284"/>
      <c r="F1907" s="284"/>
      <c r="G1907" s="284"/>
      <c r="H1907" s="284"/>
      <c r="I1907" s="284"/>
      <c r="J1907" s="375"/>
      <c r="K1907" s="375"/>
      <c r="L1907" s="375"/>
      <c r="M1907" s="368"/>
      <c r="N1907" s="368"/>
      <c r="O1907" s="370"/>
      <c r="T1907" s="340"/>
      <c r="V1907" s="378"/>
      <c r="W1907" s="64" ph="1"/>
      <c r="X1907" s="241"/>
      <c r="Y1907" s="284"/>
      <c r="Z1907" s="207"/>
      <c r="AA1907" s="284"/>
      <c r="AB1907" s="284"/>
      <c r="AC1907" s="284"/>
      <c r="AD1907" s="284"/>
      <c r="AE1907" s="284"/>
      <c r="AF1907" s="284"/>
      <c r="AG1907" s="284"/>
    </row>
    <row r="1908" spans="1:33" ht="26.4">
      <c r="A1908" s="284"/>
      <c r="B1908" s="284"/>
      <c r="C1908" s="284"/>
      <c r="D1908" s="284"/>
      <c r="E1908" s="284"/>
      <c r="F1908" s="284"/>
      <c r="G1908" s="284"/>
      <c r="H1908" s="284"/>
      <c r="I1908" s="284"/>
      <c r="J1908" s="375"/>
      <c r="K1908" s="375"/>
      <c r="L1908" s="375"/>
      <c r="M1908" s="368"/>
      <c r="N1908" s="368"/>
      <c r="O1908" s="370"/>
      <c r="T1908" s="340"/>
      <c r="V1908" s="378"/>
      <c r="W1908" s="64" ph="1"/>
      <c r="X1908" s="241"/>
      <c r="Y1908" s="284"/>
      <c r="Z1908" s="207"/>
      <c r="AA1908" s="284"/>
      <c r="AB1908" s="284"/>
      <c r="AC1908" s="284"/>
      <c r="AD1908" s="284"/>
      <c r="AE1908" s="284"/>
      <c r="AF1908" s="284"/>
      <c r="AG1908" s="284"/>
    </row>
    <row r="1909" spans="1:33" ht="26.4">
      <c r="A1909" s="284"/>
      <c r="B1909" s="284"/>
      <c r="C1909" s="284"/>
      <c r="D1909" s="284"/>
      <c r="E1909" s="284"/>
      <c r="F1909" s="284"/>
      <c r="G1909" s="284"/>
      <c r="H1909" s="284"/>
      <c r="I1909" s="284"/>
      <c r="J1909" s="375"/>
      <c r="K1909" s="375"/>
      <c r="L1909" s="375"/>
      <c r="M1909" s="368"/>
      <c r="N1909" s="368"/>
      <c r="O1909" s="370"/>
      <c r="T1909" s="340"/>
      <c r="V1909" s="378"/>
      <c r="W1909" s="64" ph="1"/>
      <c r="X1909" s="241"/>
      <c r="Y1909" s="284"/>
      <c r="Z1909" s="207"/>
      <c r="AA1909" s="284"/>
      <c r="AB1909" s="284"/>
      <c r="AC1909" s="284"/>
      <c r="AD1909" s="284"/>
      <c r="AE1909" s="284"/>
      <c r="AF1909" s="284"/>
      <c r="AG1909" s="284"/>
    </row>
    <row r="1910" spans="1:33" ht="26.4">
      <c r="A1910" s="284"/>
      <c r="B1910" s="284"/>
      <c r="C1910" s="284"/>
      <c r="D1910" s="284"/>
      <c r="E1910" s="284"/>
      <c r="F1910" s="284"/>
      <c r="G1910" s="284"/>
      <c r="H1910" s="284"/>
      <c r="I1910" s="284"/>
      <c r="J1910" s="375"/>
      <c r="K1910" s="375"/>
      <c r="L1910" s="375"/>
      <c r="M1910" s="368"/>
      <c r="N1910" s="368"/>
      <c r="O1910" s="370"/>
      <c r="T1910" s="340"/>
      <c r="V1910" s="378"/>
      <c r="W1910" s="64" ph="1"/>
      <c r="X1910" s="241"/>
      <c r="Y1910" s="284"/>
      <c r="Z1910" s="207"/>
      <c r="AA1910" s="284"/>
      <c r="AB1910" s="284"/>
      <c r="AC1910" s="284"/>
      <c r="AD1910" s="284"/>
      <c r="AE1910" s="284"/>
      <c r="AF1910" s="284"/>
      <c r="AG1910" s="284"/>
    </row>
    <row r="1911" spans="1:33" ht="26.4">
      <c r="A1911" s="284"/>
      <c r="B1911" s="284"/>
      <c r="C1911" s="284"/>
      <c r="D1911" s="284"/>
      <c r="E1911" s="284"/>
      <c r="F1911" s="284"/>
      <c r="G1911" s="284"/>
      <c r="H1911" s="284"/>
      <c r="I1911" s="284"/>
      <c r="J1911" s="375"/>
      <c r="K1911" s="375"/>
      <c r="L1911" s="375"/>
      <c r="M1911" s="368"/>
      <c r="N1911" s="368"/>
      <c r="O1911" s="370"/>
      <c r="T1911" s="340"/>
      <c r="V1911" s="378"/>
      <c r="W1911" s="64" ph="1"/>
      <c r="X1911" s="241"/>
      <c r="Y1911" s="284"/>
      <c r="Z1911" s="207"/>
      <c r="AA1911" s="284"/>
      <c r="AB1911" s="284"/>
      <c r="AC1911" s="284"/>
      <c r="AD1911" s="284"/>
      <c r="AE1911" s="284"/>
      <c r="AF1911" s="284"/>
      <c r="AG1911" s="284"/>
    </row>
    <row r="1912" spans="1:33" ht="26.4">
      <c r="A1912" s="284"/>
      <c r="B1912" s="284"/>
      <c r="C1912" s="284"/>
      <c r="D1912" s="284"/>
      <c r="E1912" s="284"/>
      <c r="F1912" s="284"/>
      <c r="G1912" s="284"/>
      <c r="H1912" s="284"/>
      <c r="I1912" s="284"/>
      <c r="J1912" s="375"/>
      <c r="K1912" s="375"/>
      <c r="L1912" s="375"/>
      <c r="M1912" s="368"/>
      <c r="N1912" s="368"/>
      <c r="O1912" s="370"/>
      <c r="T1912" s="340"/>
      <c r="V1912" s="378"/>
      <c r="W1912" s="64" ph="1"/>
      <c r="X1912" s="241"/>
      <c r="Y1912" s="284"/>
      <c r="Z1912" s="207"/>
      <c r="AA1912" s="284"/>
      <c r="AB1912" s="284"/>
      <c r="AC1912" s="284"/>
      <c r="AD1912" s="284"/>
      <c r="AE1912" s="284"/>
      <c r="AF1912" s="284"/>
      <c r="AG1912" s="284"/>
    </row>
    <row r="1913" spans="1:33" ht="26.4">
      <c r="A1913" s="284"/>
      <c r="B1913" s="284"/>
      <c r="C1913" s="284"/>
      <c r="D1913" s="284"/>
      <c r="E1913" s="284"/>
      <c r="F1913" s="284"/>
      <c r="G1913" s="284"/>
      <c r="H1913" s="284"/>
      <c r="I1913" s="284"/>
      <c r="J1913" s="375"/>
      <c r="K1913" s="375"/>
      <c r="L1913" s="375"/>
      <c r="M1913" s="368"/>
      <c r="N1913" s="368"/>
      <c r="O1913" s="370"/>
      <c r="T1913" s="340"/>
      <c r="V1913" s="378"/>
      <c r="W1913" s="64" ph="1"/>
      <c r="X1913" s="241"/>
      <c r="Y1913" s="284"/>
      <c r="Z1913" s="207"/>
      <c r="AA1913" s="284"/>
      <c r="AB1913" s="284"/>
      <c r="AC1913" s="284"/>
      <c r="AD1913" s="284"/>
      <c r="AE1913" s="284"/>
      <c r="AF1913" s="284"/>
      <c r="AG1913" s="284"/>
    </row>
    <row r="1914" spans="1:33" ht="26.4">
      <c r="A1914" s="284"/>
      <c r="B1914" s="284"/>
      <c r="C1914" s="284"/>
      <c r="D1914" s="284"/>
      <c r="E1914" s="284"/>
      <c r="F1914" s="284"/>
      <c r="G1914" s="284"/>
      <c r="H1914" s="284"/>
      <c r="I1914" s="284"/>
      <c r="J1914" s="375"/>
      <c r="K1914" s="375"/>
      <c r="L1914" s="375"/>
      <c r="M1914" s="368"/>
      <c r="N1914" s="368"/>
      <c r="O1914" s="370"/>
      <c r="T1914" s="340"/>
      <c r="V1914" s="378"/>
      <c r="W1914" s="64" ph="1"/>
      <c r="X1914" s="241"/>
      <c r="Y1914" s="284"/>
      <c r="Z1914" s="207"/>
      <c r="AA1914" s="284"/>
      <c r="AB1914" s="284"/>
      <c r="AC1914" s="284"/>
      <c r="AD1914" s="284"/>
      <c r="AE1914" s="284"/>
      <c r="AF1914" s="284"/>
      <c r="AG1914" s="284"/>
    </row>
    <row r="1915" spans="1:33" ht="26.4">
      <c r="A1915" s="284"/>
      <c r="B1915" s="284"/>
      <c r="C1915" s="284"/>
      <c r="D1915" s="284"/>
      <c r="E1915" s="284"/>
      <c r="F1915" s="284"/>
      <c r="G1915" s="284"/>
      <c r="H1915" s="284"/>
      <c r="I1915" s="284"/>
      <c r="J1915" s="375"/>
      <c r="K1915" s="375"/>
      <c r="L1915" s="375"/>
      <c r="M1915" s="368"/>
      <c r="N1915" s="368"/>
      <c r="O1915" s="370"/>
      <c r="T1915" s="340"/>
      <c r="V1915" s="378"/>
      <c r="W1915" s="64" ph="1"/>
      <c r="X1915" s="241"/>
      <c r="Y1915" s="284"/>
      <c r="Z1915" s="207"/>
      <c r="AA1915" s="284"/>
      <c r="AB1915" s="284"/>
      <c r="AC1915" s="284"/>
      <c r="AD1915" s="284"/>
      <c r="AE1915" s="284"/>
      <c r="AF1915" s="284"/>
      <c r="AG1915" s="284"/>
    </row>
    <row r="1916" spans="1:33" ht="26.4">
      <c r="A1916" s="284"/>
      <c r="B1916" s="284"/>
      <c r="C1916" s="284"/>
      <c r="D1916" s="284"/>
      <c r="E1916" s="284"/>
      <c r="F1916" s="284"/>
      <c r="G1916" s="284"/>
      <c r="H1916" s="284"/>
      <c r="I1916" s="284"/>
      <c r="J1916" s="375"/>
      <c r="K1916" s="375"/>
      <c r="L1916" s="375"/>
      <c r="M1916" s="368"/>
      <c r="N1916" s="368"/>
      <c r="O1916" s="370"/>
      <c r="T1916" s="340"/>
      <c r="V1916" s="378"/>
      <c r="W1916" s="64" ph="1"/>
      <c r="X1916" s="241"/>
      <c r="Y1916" s="284"/>
      <c r="Z1916" s="207"/>
      <c r="AA1916" s="284"/>
      <c r="AB1916" s="284"/>
      <c r="AC1916" s="284"/>
      <c r="AD1916" s="284"/>
      <c r="AE1916" s="284"/>
      <c r="AF1916" s="284"/>
      <c r="AG1916" s="284"/>
    </row>
    <row r="1917" spans="1:33" ht="26.4">
      <c r="A1917" s="284"/>
      <c r="B1917" s="284"/>
      <c r="C1917" s="284"/>
      <c r="D1917" s="284"/>
      <c r="E1917" s="284"/>
      <c r="F1917" s="284"/>
      <c r="G1917" s="284"/>
      <c r="H1917" s="284"/>
      <c r="I1917" s="284"/>
      <c r="J1917" s="375"/>
      <c r="K1917" s="375"/>
      <c r="L1917" s="375"/>
      <c r="M1917" s="368"/>
      <c r="N1917" s="368"/>
      <c r="O1917" s="370"/>
      <c r="T1917" s="340"/>
      <c r="V1917" s="378"/>
      <c r="W1917" s="64" ph="1"/>
      <c r="X1917" s="241"/>
      <c r="Y1917" s="284"/>
      <c r="Z1917" s="207"/>
      <c r="AA1917" s="284"/>
      <c r="AB1917" s="284"/>
      <c r="AC1917" s="284"/>
      <c r="AD1917" s="284"/>
      <c r="AE1917" s="284"/>
      <c r="AF1917" s="284"/>
      <c r="AG1917" s="284"/>
    </row>
    <row r="1918" spans="1:33" ht="26.4">
      <c r="A1918" s="284"/>
      <c r="B1918" s="284"/>
      <c r="C1918" s="284"/>
      <c r="D1918" s="284"/>
      <c r="E1918" s="284"/>
      <c r="F1918" s="284"/>
      <c r="G1918" s="284"/>
      <c r="H1918" s="284"/>
      <c r="I1918" s="284"/>
      <c r="J1918" s="375"/>
      <c r="K1918" s="375"/>
      <c r="L1918" s="375"/>
      <c r="M1918" s="368"/>
      <c r="N1918" s="368"/>
      <c r="O1918" s="370"/>
      <c r="T1918" s="340"/>
      <c r="V1918" s="378"/>
      <c r="W1918" s="64" ph="1"/>
      <c r="X1918" s="241"/>
      <c r="Y1918" s="284"/>
      <c r="Z1918" s="207"/>
      <c r="AA1918" s="284"/>
      <c r="AB1918" s="284"/>
      <c r="AC1918" s="284"/>
      <c r="AD1918" s="284"/>
      <c r="AE1918" s="284"/>
      <c r="AF1918" s="284"/>
      <c r="AG1918" s="284"/>
    </row>
    <row r="1919" spans="1:33" ht="26.4">
      <c r="A1919" s="284"/>
      <c r="B1919" s="284"/>
      <c r="C1919" s="284"/>
      <c r="D1919" s="284"/>
      <c r="E1919" s="284"/>
      <c r="F1919" s="284"/>
      <c r="G1919" s="284"/>
      <c r="H1919" s="284"/>
      <c r="I1919" s="284"/>
      <c r="J1919" s="375"/>
      <c r="K1919" s="375"/>
      <c r="L1919" s="375"/>
      <c r="M1919" s="368"/>
      <c r="N1919" s="368"/>
      <c r="O1919" s="370"/>
      <c r="T1919" s="340"/>
      <c r="V1919" s="378"/>
      <c r="W1919" s="64" ph="1"/>
      <c r="X1919" s="241"/>
      <c r="Y1919" s="284"/>
      <c r="Z1919" s="207"/>
      <c r="AA1919" s="284"/>
      <c r="AB1919" s="284"/>
      <c r="AC1919" s="284"/>
      <c r="AD1919" s="284"/>
      <c r="AE1919" s="284"/>
      <c r="AF1919" s="284"/>
      <c r="AG1919" s="284"/>
    </row>
    <row r="1920" spans="1:33" ht="26.4">
      <c r="A1920" s="284"/>
      <c r="B1920" s="284"/>
      <c r="C1920" s="284"/>
      <c r="D1920" s="284"/>
      <c r="E1920" s="284"/>
      <c r="F1920" s="284"/>
      <c r="G1920" s="284"/>
      <c r="H1920" s="284"/>
      <c r="I1920" s="284"/>
      <c r="J1920" s="375"/>
      <c r="K1920" s="375"/>
      <c r="L1920" s="375"/>
      <c r="M1920" s="368"/>
      <c r="N1920" s="368"/>
      <c r="O1920" s="370"/>
      <c r="T1920" s="340"/>
      <c r="V1920" s="378"/>
      <c r="W1920" s="64" ph="1"/>
      <c r="X1920" s="241"/>
      <c r="Y1920" s="284"/>
      <c r="Z1920" s="207"/>
      <c r="AA1920" s="284"/>
      <c r="AB1920" s="284"/>
      <c r="AC1920" s="284"/>
      <c r="AD1920" s="284"/>
      <c r="AE1920" s="284"/>
      <c r="AF1920" s="284"/>
      <c r="AG1920" s="284"/>
    </row>
    <row r="1921" spans="1:33" ht="26.4">
      <c r="A1921" s="284"/>
      <c r="B1921" s="284"/>
      <c r="C1921" s="284"/>
      <c r="D1921" s="284"/>
      <c r="E1921" s="284"/>
      <c r="F1921" s="284"/>
      <c r="G1921" s="284"/>
      <c r="H1921" s="284"/>
      <c r="I1921" s="284"/>
      <c r="J1921" s="375"/>
      <c r="K1921" s="375"/>
      <c r="L1921" s="375"/>
      <c r="M1921" s="368"/>
      <c r="N1921" s="368"/>
      <c r="O1921" s="370"/>
      <c r="T1921" s="340"/>
      <c r="V1921" s="378"/>
      <c r="W1921" s="64" ph="1"/>
      <c r="X1921" s="241"/>
      <c r="Y1921" s="284"/>
      <c r="Z1921" s="207"/>
      <c r="AA1921" s="284"/>
      <c r="AB1921" s="284"/>
      <c r="AC1921" s="284"/>
      <c r="AD1921" s="284"/>
      <c r="AE1921" s="284"/>
      <c r="AF1921" s="284"/>
      <c r="AG1921" s="284"/>
    </row>
    <row r="1922" spans="1:33" ht="26.4">
      <c r="A1922" s="284"/>
      <c r="B1922" s="284"/>
      <c r="C1922" s="284"/>
      <c r="D1922" s="284"/>
      <c r="E1922" s="284"/>
      <c r="F1922" s="284"/>
      <c r="G1922" s="284"/>
      <c r="H1922" s="284"/>
      <c r="I1922" s="284"/>
      <c r="J1922" s="375"/>
      <c r="K1922" s="375"/>
      <c r="L1922" s="375"/>
      <c r="M1922" s="368"/>
      <c r="N1922" s="368"/>
      <c r="O1922" s="370"/>
      <c r="T1922" s="340"/>
      <c r="V1922" s="378"/>
      <c r="W1922" s="64" ph="1"/>
      <c r="X1922" s="241"/>
      <c r="Y1922" s="284"/>
      <c r="Z1922" s="207"/>
      <c r="AA1922" s="284"/>
      <c r="AB1922" s="284"/>
      <c r="AC1922" s="284"/>
      <c r="AD1922" s="284"/>
      <c r="AE1922" s="284"/>
      <c r="AF1922" s="284"/>
      <c r="AG1922" s="284"/>
    </row>
    <row r="1923" spans="1:33" ht="26.4">
      <c r="A1923" s="284"/>
      <c r="B1923" s="284"/>
      <c r="C1923" s="284"/>
      <c r="D1923" s="284"/>
      <c r="E1923" s="284"/>
      <c r="F1923" s="284"/>
      <c r="G1923" s="284"/>
      <c r="H1923" s="284"/>
      <c r="I1923" s="284"/>
      <c r="J1923" s="375"/>
      <c r="K1923" s="375"/>
      <c r="L1923" s="375"/>
      <c r="M1923" s="368"/>
      <c r="N1923" s="368"/>
      <c r="O1923" s="370"/>
      <c r="T1923" s="340"/>
      <c r="V1923" s="378"/>
      <c r="W1923" s="64" ph="1"/>
      <c r="X1923" s="241"/>
      <c r="Y1923" s="284"/>
      <c r="Z1923" s="207"/>
      <c r="AA1923" s="284"/>
      <c r="AB1923" s="284"/>
      <c r="AC1923" s="284"/>
      <c r="AD1923" s="284"/>
      <c r="AE1923" s="284"/>
      <c r="AF1923" s="284"/>
      <c r="AG1923" s="284"/>
    </row>
    <row r="1924" spans="1:33" ht="26.4">
      <c r="A1924" s="284"/>
      <c r="B1924" s="284"/>
      <c r="C1924" s="284"/>
      <c r="D1924" s="284"/>
      <c r="E1924" s="284"/>
      <c r="F1924" s="284"/>
      <c r="G1924" s="284"/>
      <c r="H1924" s="284"/>
      <c r="I1924" s="284"/>
      <c r="J1924" s="375"/>
      <c r="K1924" s="375"/>
      <c r="L1924" s="375"/>
      <c r="M1924" s="368"/>
      <c r="N1924" s="368"/>
      <c r="O1924" s="370"/>
      <c r="T1924" s="340"/>
      <c r="V1924" s="378"/>
      <c r="W1924" s="64" ph="1"/>
      <c r="X1924" s="241"/>
      <c r="Y1924" s="284"/>
      <c r="Z1924" s="207"/>
      <c r="AA1924" s="284"/>
      <c r="AB1924" s="284"/>
      <c r="AC1924" s="284"/>
      <c r="AD1924" s="284"/>
      <c r="AE1924" s="284"/>
      <c r="AF1924" s="284"/>
      <c r="AG1924" s="284"/>
    </row>
    <row r="1925" spans="1:33" ht="26.4">
      <c r="A1925" s="284"/>
      <c r="B1925" s="284"/>
      <c r="C1925" s="284"/>
      <c r="D1925" s="284"/>
      <c r="E1925" s="284"/>
      <c r="F1925" s="284"/>
      <c r="G1925" s="284"/>
      <c r="H1925" s="284"/>
      <c r="I1925" s="284"/>
      <c r="J1925" s="375"/>
      <c r="K1925" s="375"/>
      <c r="L1925" s="375"/>
      <c r="M1925" s="368"/>
      <c r="N1925" s="368"/>
      <c r="O1925" s="370"/>
      <c r="T1925" s="340"/>
      <c r="V1925" s="378"/>
      <c r="W1925" s="64" ph="1"/>
      <c r="X1925" s="241"/>
      <c r="Y1925" s="284"/>
      <c r="Z1925" s="207"/>
      <c r="AA1925" s="284"/>
      <c r="AB1925" s="284"/>
      <c r="AC1925" s="284"/>
      <c r="AD1925" s="284"/>
      <c r="AE1925" s="284"/>
      <c r="AF1925" s="284"/>
      <c r="AG1925" s="284"/>
    </row>
    <row r="1926" spans="1:33" ht="26.4">
      <c r="A1926" s="284"/>
      <c r="B1926" s="284"/>
      <c r="C1926" s="284"/>
      <c r="D1926" s="284"/>
      <c r="E1926" s="284"/>
      <c r="F1926" s="284"/>
      <c r="G1926" s="284"/>
      <c r="H1926" s="284"/>
      <c r="I1926" s="284"/>
      <c r="J1926" s="375"/>
      <c r="K1926" s="375"/>
      <c r="L1926" s="375"/>
      <c r="M1926" s="368"/>
      <c r="N1926" s="368"/>
      <c r="O1926" s="370"/>
      <c r="T1926" s="340"/>
      <c r="V1926" s="378"/>
      <c r="W1926" s="64" ph="1"/>
      <c r="X1926" s="241"/>
      <c r="Y1926" s="284"/>
      <c r="Z1926" s="207"/>
      <c r="AA1926" s="284"/>
      <c r="AB1926" s="284"/>
      <c r="AC1926" s="284"/>
      <c r="AD1926" s="284"/>
      <c r="AE1926" s="284"/>
      <c r="AF1926" s="284"/>
      <c r="AG1926" s="284"/>
    </row>
    <row r="1927" spans="1:33" ht="26.4">
      <c r="A1927" s="284"/>
      <c r="B1927" s="284"/>
      <c r="C1927" s="284"/>
      <c r="D1927" s="284"/>
      <c r="E1927" s="284"/>
      <c r="F1927" s="284"/>
      <c r="G1927" s="284"/>
      <c r="H1927" s="284"/>
      <c r="I1927" s="284"/>
      <c r="J1927" s="375"/>
      <c r="K1927" s="375"/>
      <c r="L1927" s="375"/>
      <c r="M1927" s="368"/>
      <c r="N1927" s="368"/>
      <c r="O1927" s="370"/>
      <c r="T1927" s="340"/>
      <c r="V1927" s="378"/>
      <c r="W1927" s="64" ph="1"/>
      <c r="X1927" s="241"/>
      <c r="Y1927" s="284"/>
      <c r="Z1927" s="207"/>
      <c r="AA1927" s="284"/>
      <c r="AB1927" s="284"/>
      <c r="AC1927" s="284"/>
      <c r="AD1927" s="284"/>
      <c r="AE1927" s="284"/>
      <c r="AF1927" s="284"/>
      <c r="AG1927" s="284"/>
    </row>
    <row r="1928" spans="1:33" ht="26.4">
      <c r="A1928" s="284"/>
      <c r="B1928" s="284"/>
      <c r="C1928" s="284"/>
      <c r="D1928" s="284"/>
      <c r="E1928" s="284"/>
      <c r="F1928" s="284"/>
      <c r="G1928" s="284"/>
      <c r="H1928" s="284"/>
      <c r="I1928" s="284"/>
      <c r="J1928" s="375"/>
      <c r="K1928" s="375"/>
      <c r="L1928" s="375"/>
      <c r="M1928" s="368"/>
      <c r="N1928" s="368"/>
      <c r="O1928" s="370"/>
      <c r="T1928" s="340"/>
      <c r="V1928" s="378"/>
      <c r="W1928" s="64" ph="1"/>
      <c r="X1928" s="241"/>
      <c r="Y1928" s="284"/>
      <c r="Z1928" s="207"/>
      <c r="AA1928" s="284"/>
      <c r="AB1928" s="284"/>
      <c r="AC1928" s="284"/>
      <c r="AD1928" s="284"/>
      <c r="AE1928" s="284"/>
      <c r="AF1928" s="284"/>
      <c r="AG1928" s="284"/>
    </row>
    <row r="1929" spans="1:33" ht="26.4">
      <c r="A1929" s="284"/>
      <c r="B1929" s="284"/>
      <c r="C1929" s="284"/>
      <c r="D1929" s="284"/>
      <c r="E1929" s="284"/>
      <c r="F1929" s="284"/>
      <c r="G1929" s="284"/>
      <c r="H1929" s="284"/>
      <c r="I1929" s="284"/>
      <c r="J1929" s="375"/>
      <c r="K1929" s="375"/>
      <c r="L1929" s="375"/>
      <c r="M1929" s="368"/>
      <c r="N1929" s="368"/>
      <c r="O1929" s="370"/>
      <c r="T1929" s="340"/>
      <c r="V1929" s="378"/>
      <c r="W1929" s="64" ph="1"/>
      <c r="X1929" s="241"/>
      <c r="Y1929" s="284"/>
      <c r="Z1929" s="207"/>
      <c r="AA1929" s="284"/>
      <c r="AB1929" s="284"/>
      <c r="AC1929" s="284"/>
      <c r="AD1929" s="284"/>
      <c r="AE1929" s="284"/>
      <c r="AF1929" s="284"/>
      <c r="AG1929" s="284"/>
    </row>
    <row r="1930" spans="1:33" ht="26.4">
      <c r="A1930" s="284"/>
      <c r="B1930" s="284"/>
      <c r="C1930" s="284"/>
      <c r="D1930" s="284"/>
      <c r="E1930" s="284"/>
      <c r="F1930" s="284"/>
      <c r="G1930" s="284"/>
      <c r="H1930" s="284"/>
      <c r="I1930" s="284"/>
      <c r="J1930" s="375"/>
      <c r="K1930" s="375"/>
      <c r="L1930" s="375"/>
      <c r="M1930" s="368"/>
      <c r="N1930" s="368"/>
      <c r="O1930" s="370"/>
      <c r="T1930" s="340"/>
      <c r="V1930" s="378"/>
      <c r="W1930" s="64" ph="1"/>
      <c r="X1930" s="241"/>
      <c r="Y1930" s="284"/>
      <c r="Z1930" s="207"/>
      <c r="AA1930" s="284"/>
      <c r="AB1930" s="284"/>
      <c r="AC1930" s="284"/>
      <c r="AD1930" s="284"/>
      <c r="AE1930" s="284"/>
      <c r="AF1930" s="284"/>
      <c r="AG1930" s="284"/>
    </row>
    <row r="1931" spans="1:33" ht="26.4">
      <c r="A1931" s="284"/>
      <c r="B1931" s="284"/>
      <c r="C1931" s="284"/>
      <c r="D1931" s="284"/>
      <c r="E1931" s="284"/>
      <c r="F1931" s="284"/>
      <c r="G1931" s="284"/>
      <c r="H1931" s="284"/>
      <c r="I1931" s="284"/>
      <c r="J1931" s="375"/>
      <c r="K1931" s="375"/>
      <c r="L1931" s="375"/>
      <c r="M1931" s="368"/>
      <c r="N1931" s="368"/>
      <c r="O1931" s="370"/>
      <c r="T1931" s="340"/>
      <c r="V1931" s="378"/>
      <c r="W1931" s="64" ph="1"/>
      <c r="X1931" s="241"/>
      <c r="Y1931" s="284"/>
      <c r="Z1931" s="207"/>
      <c r="AA1931" s="284"/>
      <c r="AB1931" s="284"/>
      <c r="AC1931" s="284"/>
      <c r="AD1931" s="284"/>
      <c r="AE1931" s="284"/>
      <c r="AF1931" s="284"/>
      <c r="AG1931" s="284"/>
    </row>
    <row r="1932" spans="1:33" ht="26.4">
      <c r="A1932" s="284"/>
      <c r="B1932" s="284"/>
      <c r="C1932" s="284"/>
      <c r="D1932" s="284"/>
      <c r="E1932" s="284"/>
      <c r="F1932" s="284"/>
      <c r="G1932" s="284"/>
      <c r="H1932" s="284"/>
      <c r="I1932" s="284"/>
      <c r="J1932" s="375"/>
      <c r="K1932" s="375"/>
      <c r="L1932" s="375"/>
      <c r="M1932" s="368"/>
      <c r="N1932" s="368"/>
      <c r="O1932" s="370"/>
      <c r="T1932" s="340"/>
      <c r="V1932" s="378"/>
      <c r="W1932" s="64" ph="1"/>
      <c r="X1932" s="241"/>
      <c r="Y1932" s="284"/>
      <c r="Z1932" s="207"/>
      <c r="AA1932" s="284"/>
      <c r="AB1932" s="284"/>
      <c r="AC1932" s="284"/>
      <c r="AD1932" s="284"/>
      <c r="AE1932" s="284"/>
      <c r="AF1932" s="284"/>
      <c r="AG1932" s="284"/>
    </row>
    <row r="1933" spans="1:33" ht="26.4">
      <c r="A1933" s="284"/>
      <c r="B1933" s="284"/>
      <c r="C1933" s="284"/>
      <c r="D1933" s="284"/>
      <c r="E1933" s="284"/>
      <c r="F1933" s="284"/>
      <c r="G1933" s="284"/>
      <c r="H1933" s="284"/>
      <c r="I1933" s="284"/>
      <c r="J1933" s="375"/>
      <c r="K1933" s="375"/>
      <c r="L1933" s="375"/>
      <c r="M1933" s="368"/>
      <c r="N1933" s="368"/>
      <c r="O1933" s="370"/>
      <c r="T1933" s="340"/>
      <c r="V1933" s="378"/>
      <c r="W1933" s="64" ph="1"/>
      <c r="X1933" s="241"/>
      <c r="Y1933" s="284"/>
      <c r="Z1933" s="207"/>
      <c r="AA1933" s="284"/>
      <c r="AB1933" s="284"/>
      <c r="AC1933" s="284"/>
      <c r="AD1933" s="284"/>
      <c r="AE1933" s="284"/>
      <c r="AF1933" s="284"/>
      <c r="AG1933" s="284"/>
    </row>
    <row r="1934" spans="1:33" ht="26.4">
      <c r="A1934" s="284"/>
      <c r="B1934" s="284"/>
      <c r="C1934" s="284"/>
      <c r="D1934" s="284"/>
      <c r="E1934" s="284"/>
      <c r="F1934" s="284"/>
      <c r="G1934" s="284"/>
      <c r="H1934" s="284"/>
      <c r="I1934" s="284"/>
      <c r="J1934" s="375"/>
      <c r="K1934" s="375"/>
      <c r="L1934" s="375"/>
      <c r="M1934" s="368"/>
      <c r="N1934" s="368"/>
      <c r="O1934" s="370"/>
      <c r="T1934" s="340"/>
      <c r="V1934" s="378"/>
      <c r="W1934" s="64" ph="1"/>
      <c r="X1934" s="241"/>
      <c r="Y1934" s="284"/>
      <c r="Z1934" s="207"/>
      <c r="AA1934" s="284"/>
      <c r="AB1934" s="284"/>
      <c r="AC1934" s="284"/>
      <c r="AD1934" s="284"/>
      <c r="AE1934" s="284"/>
      <c r="AF1934" s="284"/>
      <c r="AG1934" s="284"/>
    </row>
    <row r="1935" spans="1:33" ht="26.4">
      <c r="A1935" s="284"/>
      <c r="B1935" s="284"/>
      <c r="C1935" s="284"/>
      <c r="D1935" s="284"/>
      <c r="E1935" s="284"/>
      <c r="F1935" s="284"/>
      <c r="G1935" s="284"/>
      <c r="H1935" s="284"/>
      <c r="I1935" s="284"/>
      <c r="J1935" s="375"/>
      <c r="K1935" s="375"/>
      <c r="L1935" s="375"/>
      <c r="M1935" s="368"/>
      <c r="N1935" s="368"/>
      <c r="O1935" s="370"/>
      <c r="T1935" s="340"/>
      <c r="V1935" s="378"/>
      <c r="W1935" s="64" ph="1"/>
      <c r="X1935" s="241"/>
      <c r="Y1935" s="284"/>
      <c r="Z1935" s="207"/>
      <c r="AA1935" s="284"/>
      <c r="AB1935" s="284"/>
      <c r="AC1935" s="284"/>
      <c r="AD1935" s="284"/>
      <c r="AE1935" s="284"/>
      <c r="AF1935" s="284"/>
      <c r="AG1935" s="284"/>
    </row>
    <row r="1936" spans="1:33" ht="26.4">
      <c r="A1936" s="284"/>
      <c r="B1936" s="284"/>
      <c r="C1936" s="284"/>
      <c r="D1936" s="284"/>
      <c r="E1936" s="284"/>
      <c r="F1936" s="284"/>
      <c r="G1936" s="284"/>
      <c r="H1936" s="284"/>
      <c r="I1936" s="284"/>
      <c r="J1936" s="375"/>
      <c r="K1936" s="375"/>
      <c r="L1936" s="375"/>
      <c r="M1936" s="368"/>
      <c r="N1936" s="368"/>
      <c r="O1936" s="370"/>
      <c r="T1936" s="340"/>
      <c r="V1936" s="378"/>
      <c r="W1936" s="64" ph="1"/>
      <c r="X1936" s="241"/>
      <c r="Y1936" s="284"/>
      <c r="Z1936" s="207"/>
      <c r="AA1936" s="284"/>
      <c r="AB1936" s="284"/>
      <c r="AC1936" s="284"/>
      <c r="AD1936" s="284"/>
      <c r="AE1936" s="284"/>
      <c r="AF1936" s="284"/>
      <c r="AG1936" s="284"/>
    </row>
    <row r="1937" spans="1:33" ht="26.4">
      <c r="A1937" s="284"/>
      <c r="B1937" s="284"/>
      <c r="C1937" s="284"/>
      <c r="D1937" s="284"/>
      <c r="E1937" s="284"/>
      <c r="F1937" s="284"/>
      <c r="G1937" s="284"/>
      <c r="H1937" s="284"/>
      <c r="I1937" s="284"/>
      <c r="J1937" s="375"/>
      <c r="K1937" s="375"/>
      <c r="L1937" s="375"/>
      <c r="M1937" s="368"/>
      <c r="N1937" s="368"/>
      <c r="O1937" s="370"/>
      <c r="T1937" s="340"/>
      <c r="V1937" s="378"/>
      <c r="W1937" s="64" ph="1"/>
      <c r="X1937" s="241"/>
      <c r="Y1937" s="284"/>
      <c r="Z1937" s="207"/>
      <c r="AA1937" s="284"/>
      <c r="AB1937" s="284"/>
      <c r="AC1937" s="284"/>
      <c r="AD1937" s="284"/>
      <c r="AE1937" s="284"/>
      <c r="AF1937" s="284"/>
      <c r="AG1937" s="284"/>
    </row>
    <row r="1938" spans="1:33" ht="26.4">
      <c r="A1938" s="284"/>
      <c r="B1938" s="284"/>
      <c r="C1938" s="284"/>
      <c r="D1938" s="284"/>
      <c r="E1938" s="284"/>
      <c r="F1938" s="284"/>
      <c r="G1938" s="284"/>
      <c r="H1938" s="284"/>
      <c r="I1938" s="284"/>
      <c r="J1938" s="375"/>
      <c r="K1938" s="375"/>
      <c r="L1938" s="375"/>
      <c r="M1938" s="368"/>
      <c r="N1938" s="368"/>
      <c r="O1938" s="370"/>
      <c r="T1938" s="340"/>
      <c r="V1938" s="378"/>
      <c r="W1938" s="64" ph="1"/>
      <c r="X1938" s="241"/>
      <c r="Y1938" s="284"/>
      <c r="Z1938" s="207"/>
      <c r="AA1938" s="284"/>
      <c r="AB1938" s="284"/>
      <c r="AC1938" s="284"/>
      <c r="AD1938" s="284"/>
      <c r="AE1938" s="284"/>
      <c r="AF1938" s="284"/>
      <c r="AG1938" s="284"/>
    </row>
    <row r="1939" spans="1:33" ht="26.4">
      <c r="A1939" s="284"/>
      <c r="B1939" s="284"/>
      <c r="C1939" s="284"/>
      <c r="D1939" s="284"/>
      <c r="E1939" s="284"/>
      <c r="F1939" s="284"/>
      <c r="G1939" s="284"/>
      <c r="H1939" s="284"/>
      <c r="I1939" s="284"/>
      <c r="J1939" s="375"/>
      <c r="K1939" s="375"/>
      <c r="L1939" s="375"/>
      <c r="M1939" s="368"/>
      <c r="N1939" s="368"/>
      <c r="O1939" s="370"/>
      <c r="T1939" s="340"/>
      <c r="V1939" s="378"/>
      <c r="W1939" s="64" ph="1"/>
      <c r="X1939" s="241"/>
      <c r="Y1939" s="284"/>
      <c r="Z1939" s="207"/>
      <c r="AA1939" s="284"/>
      <c r="AB1939" s="284"/>
      <c r="AC1939" s="284"/>
      <c r="AD1939" s="284"/>
      <c r="AE1939" s="284"/>
      <c r="AF1939" s="284"/>
      <c r="AG1939" s="284"/>
    </row>
    <row r="1940" spans="1:33" ht="26.4">
      <c r="A1940" s="284"/>
      <c r="B1940" s="284"/>
      <c r="C1940" s="284"/>
      <c r="D1940" s="284"/>
      <c r="E1940" s="284"/>
      <c r="F1940" s="284"/>
      <c r="G1940" s="284"/>
      <c r="H1940" s="284"/>
      <c r="I1940" s="284"/>
      <c r="J1940" s="375"/>
      <c r="K1940" s="375"/>
      <c r="L1940" s="375"/>
      <c r="M1940" s="368"/>
      <c r="N1940" s="368"/>
      <c r="O1940" s="370"/>
      <c r="T1940" s="340"/>
      <c r="V1940" s="378"/>
      <c r="W1940" s="64" ph="1"/>
      <c r="X1940" s="241"/>
      <c r="Y1940" s="284"/>
      <c r="Z1940" s="207"/>
      <c r="AA1940" s="284"/>
      <c r="AB1940" s="284"/>
      <c r="AC1940" s="284"/>
      <c r="AD1940" s="284"/>
      <c r="AE1940" s="284"/>
      <c r="AF1940" s="284"/>
      <c r="AG1940" s="284"/>
    </row>
    <row r="1941" spans="1:33" ht="26.4">
      <c r="A1941" s="284"/>
      <c r="B1941" s="284"/>
      <c r="C1941" s="284"/>
      <c r="D1941" s="284"/>
      <c r="E1941" s="284"/>
      <c r="F1941" s="284"/>
      <c r="G1941" s="284"/>
      <c r="H1941" s="284"/>
      <c r="I1941" s="284"/>
      <c r="J1941" s="375"/>
      <c r="K1941" s="375"/>
      <c r="L1941" s="375"/>
      <c r="M1941" s="368"/>
      <c r="N1941" s="368"/>
      <c r="O1941" s="370"/>
      <c r="T1941" s="340"/>
      <c r="V1941" s="378"/>
      <c r="W1941" s="64" ph="1"/>
      <c r="X1941" s="241"/>
      <c r="Y1941" s="284"/>
      <c r="Z1941" s="207"/>
      <c r="AA1941" s="284"/>
      <c r="AB1941" s="284"/>
      <c r="AC1941" s="284"/>
      <c r="AD1941" s="284"/>
      <c r="AE1941" s="284"/>
      <c r="AF1941" s="284"/>
      <c r="AG1941" s="284"/>
    </row>
    <row r="1942" spans="1:33" ht="26.4">
      <c r="A1942" s="284"/>
      <c r="B1942" s="284"/>
      <c r="C1942" s="284"/>
      <c r="D1942" s="284"/>
      <c r="E1942" s="284"/>
      <c r="F1942" s="284"/>
      <c r="G1942" s="284"/>
      <c r="H1942" s="284"/>
      <c r="I1942" s="284"/>
      <c r="J1942" s="375"/>
      <c r="K1942" s="375"/>
      <c r="L1942" s="375"/>
      <c r="M1942" s="368"/>
      <c r="N1942" s="368"/>
      <c r="O1942" s="370"/>
      <c r="T1942" s="340"/>
      <c r="V1942" s="378"/>
      <c r="W1942" s="64" ph="1"/>
      <c r="X1942" s="241"/>
      <c r="Y1942" s="284"/>
      <c r="Z1942" s="207"/>
      <c r="AA1942" s="284"/>
      <c r="AB1942" s="284"/>
      <c r="AC1942" s="284"/>
      <c r="AD1942" s="284"/>
      <c r="AE1942" s="284"/>
      <c r="AF1942" s="284"/>
      <c r="AG1942" s="284"/>
    </row>
    <row r="1943" spans="1:33" ht="26.4">
      <c r="A1943" s="284"/>
      <c r="B1943" s="284"/>
      <c r="C1943" s="284"/>
      <c r="D1943" s="284"/>
      <c r="E1943" s="284"/>
      <c r="F1943" s="284"/>
      <c r="G1943" s="284"/>
      <c r="H1943" s="284"/>
      <c r="I1943" s="284"/>
      <c r="J1943" s="375"/>
      <c r="K1943" s="375"/>
      <c r="L1943" s="375"/>
      <c r="M1943" s="368"/>
      <c r="N1943" s="368"/>
      <c r="O1943" s="370"/>
      <c r="T1943" s="340"/>
      <c r="V1943" s="378"/>
      <c r="W1943" s="64" ph="1"/>
      <c r="X1943" s="241"/>
      <c r="Y1943" s="284"/>
      <c r="Z1943" s="207"/>
      <c r="AA1943" s="284"/>
      <c r="AB1943" s="284"/>
      <c r="AC1943" s="284"/>
      <c r="AD1943" s="284"/>
      <c r="AE1943" s="284"/>
      <c r="AF1943" s="284"/>
      <c r="AG1943" s="284"/>
    </row>
    <row r="1944" spans="1:33" ht="26.4">
      <c r="A1944" s="284"/>
      <c r="B1944" s="284"/>
      <c r="C1944" s="284"/>
      <c r="D1944" s="284"/>
      <c r="E1944" s="284"/>
      <c r="F1944" s="284"/>
      <c r="G1944" s="284"/>
      <c r="H1944" s="284"/>
      <c r="I1944" s="284"/>
      <c r="J1944" s="375"/>
      <c r="K1944" s="375"/>
      <c r="L1944" s="375"/>
      <c r="M1944" s="368"/>
      <c r="N1944" s="368"/>
      <c r="O1944" s="370"/>
      <c r="T1944" s="340"/>
      <c r="V1944" s="378"/>
      <c r="W1944" s="64" ph="1"/>
      <c r="X1944" s="241"/>
      <c r="Y1944" s="284"/>
      <c r="Z1944" s="207"/>
      <c r="AA1944" s="284"/>
      <c r="AB1944" s="284"/>
      <c r="AC1944" s="284"/>
      <c r="AD1944" s="284"/>
      <c r="AE1944" s="284"/>
      <c r="AF1944" s="284"/>
      <c r="AG1944" s="284"/>
    </row>
    <row r="1945" spans="1:33" ht="26.4">
      <c r="A1945" s="284"/>
      <c r="B1945" s="284"/>
      <c r="C1945" s="284"/>
      <c r="D1945" s="284"/>
      <c r="E1945" s="284"/>
      <c r="F1945" s="284"/>
      <c r="G1945" s="284"/>
      <c r="H1945" s="284"/>
      <c r="I1945" s="284"/>
      <c r="J1945" s="375"/>
      <c r="K1945" s="375"/>
      <c r="L1945" s="375"/>
      <c r="M1945" s="368"/>
      <c r="N1945" s="368"/>
      <c r="O1945" s="370"/>
      <c r="T1945" s="340"/>
      <c r="V1945" s="378"/>
      <c r="W1945" s="64" ph="1"/>
      <c r="X1945" s="241"/>
      <c r="Y1945" s="284"/>
      <c r="Z1945" s="207"/>
      <c r="AA1945" s="284"/>
      <c r="AB1945" s="284"/>
      <c r="AC1945" s="284"/>
      <c r="AD1945" s="284"/>
      <c r="AE1945" s="284"/>
      <c r="AF1945" s="284"/>
      <c r="AG1945" s="284"/>
    </row>
    <row r="1946" spans="1:33" ht="26.4">
      <c r="A1946" s="284"/>
      <c r="B1946" s="284"/>
      <c r="C1946" s="284"/>
      <c r="D1946" s="284"/>
      <c r="E1946" s="284"/>
      <c r="F1946" s="284"/>
      <c r="G1946" s="284"/>
      <c r="H1946" s="284"/>
      <c r="I1946" s="284"/>
      <c r="J1946" s="375"/>
      <c r="K1946" s="375"/>
      <c r="L1946" s="375"/>
      <c r="M1946" s="368"/>
      <c r="N1946" s="368"/>
      <c r="O1946" s="370"/>
      <c r="T1946" s="340"/>
      <c r="V1946" s="378"/>
      <c r="W1946" s="64" ph="1"/>
      <c r="X1946" s="241"/>
      <c r="Y1946" s="284"/>
      <c r="Z1946" s="207"/>
      <c r="AA1946" s="284"/>
      <c r="AB1946" s="284"/>
      <c r="AC1946" s="284"/>
      <c r="AD1946" s="284"/>
      <c r="AE1946" s="284"/>
      <c r="AF1946" s="284"/>
      <c r="AG1946" s="284"/>
    </row>
    <row r="1947" spans="1:33" ht="26.4">
      <c r="A1947" s="284"/>
      <c r="B1947" s="284"/>
      <c r="C1947" s="284"/>
      <c r="D1947" s="284"/>
      <c r="E1947" s="284"/>
      <c r="F1947" s="284"/>
      <c r="G1947" s="284"/>
      <c r="H1947" s="284"/>
      <c r="I1947" s="284"/>
      <c r="J1947" s="375"/>
      <c r="K1947" s="375"/>
      <c r="L1947" s="375"/>
      <c r="M1947" s="368"/>
      <c r="N1947" s="368"/>
      <c r="O1947" s="370"/>
      <c r="T1947" s="340"/>
      <c r="V1947" s="378"/>
      <c r="W1947" s="64" ph="1"/>
      <c r="X1947" s="241"/>
      <c r="Y1947" s="284"/>
      <c r="Z1947" s="207"/>
      <c r="AA1947" s="284"/>
      <c r="AB1947" s="284"/>
      <c r="AC1947" s="284"/>
      <c r="AD1947" s="284"/>
      <c r="AE1947" s="284"/>
      <c r="AF1947" s="284"/>
      <c r="AG1947" s="284"/>
    </row>
    <row r="1948" spans="1:33" ht="26.4">
      <c r="A1948" s="284"/>
      <c r="B1948" s="284"/>
      <c r="C1948" s="284"/>
      <c r="D1948" s="284"/>
      <c r="E1948" s="284"/>
      <c r="F1948" s="284"/>
      <c r="G1948" s="284"/>
      <c r="H1948" s="284"/>
      <c r="I1948" s="284"/>
      <c r="J1948" s="375"/>
      <c r="K1948" s="375"/>
      <c r="L1948" s="375"/>
      <c r="M1948" s="368"/>
      <c r="N1948" s="368"/>
      <c r="O1948" s="370"/>
      <c r="T1948" s="340"/>
      <c r="V1948" s="378"/>
      <c r="W1948" s="64" ph="1"/>
      <c r="X1948" s="241"/>
      <c r="Y1948" s="284"/>
      <c r="Z1948" s="207"/>
      <c r="AA1948" s="284"/>
      <c r="AB1948" s="284"/>
      <c r="AC1948" s="284"/>
      <c r="AD1948" s="284"/>
      <c r="AE1948" s="284"/>
      <c r="AF1948" s="284"/>
      <c r="AG1948" s="284"/>
    </row>
    <row r="1949" spans="1:33" ht="26.4">
      <c r="A1949" s="284"/>
      <c r="B1949" s="284"/>
      <c r="C1949" s="284"/>
      <c r="D1949" s="284"/>
      <c r="E1949" s="284"/>
      <c r="F1949" s="284"/>
      <c r="G1949" s="284"/>
      <c r="H1949" s="284"/>
      <c r="I1949" s="284"/>
      <c r="J1949" s="375"/>
      <c r="K1949" s="375"/>
      <c r="L1949" s="375"/>
      <c r="M1949" s="368"/>
      <c r="N1949" s="368"/>
      <c r="O1949" s="370"/>
      <c r="T1949" s="340"/>
      <c r="V1949" s="378"/>
      <c r="W1949" s="64" ph="1"/>
      <c r="X1949" s="241"/>
      <c r="Y1949" s="284"/>
      <c r="Z1949" s="207"/>
      <c r="AA1949" s="284"/>
      <c r="AB1949" s="284"/>
      <c r="AC1949" s="284"/>
      <c r="AD1949" s="284"/>
      <c r="AE1949" s="284"/>
      <c r="AF1949" s="284"/>
      <c r="AG1949" s="284"/>
    </row>
    <row r="1950" spans="1:33" ht="26.4">
      <c r="A1950" s="284"/>
      <c r="B1950" s="284"/>
      <c r="C1950" s="284"/>
      <c r="D1950" s="284"/>
      <c r="E1950" s="284"/>
      <c r="F1950" s="284"/>
      <c r="G1950" s="284"/>
      <c r="H1950" s="284"/>
      <c r="I1950" s="284"/>
      <c r="J1950" s="375"/>
      <c r="K1950" s="375"/>
      <c r="L1950" s="375"/>
      <c r="M1950" s="368"/>
      <c r="N1950" s="368"/>
      <c r="O1950" s="370"/>
      <c r="T1950" s="340"/>
      <c r="V1950" s="378"/>
      <c r="W1950" s="64" ph="1"/>
      <c r="X1950" s="241"/>
      <c r="Y1950" s="284"/>
      <c r="Z1950" s="207"/>
      <c r="AA1950" s="284"/>
      <c r="AB1950" s="284"/>
      <c r="AC1950" s="284"/>
      <c r="AD1950" s="284"/>
      <c r="AE1950" s="284"/>
      <c r="AF1950" s="284"/>
      <c r="AG1950" s="284"/>
    </row>
    <row r="1951" spans="1:33" ht="26.4">
      <c r="A1951" s="284"/>
      <c r="B1951" s="284"/>
      <c r="C1951" s="284"/>
      <c r="D1951" s="284"/>
      <c r="E1951" s="284"/>
      <c r="F1951" s="284"/>
      <c r="G1951" s="284"/>
      <c r="H1951" s="284"/>
      <c r="I1951" s="284"/>
      <c r="J1951" s="375"/>
      <c r="K1951" s="375"/>
      <c r="L1951" s="375"/>
      <c r="M1951" s="368"/>
      <c r="N1951" s="368"/>
      <c r="O1951" s="370"/>
      <c r="T1951" s="340"/>
      <c r="V1951" s="378"/>
      <c r="W1951" s="64" ph="1"/>
      <c r="X1951" s="241"/>
      <c r="Y1951" s="284"/>
      <c r="Z1951" s="207"/>
      <c r="AA1951" s="284"/>
      <c r="AB1951" s="284"/>
      <c r="AC1951" s="284"/>
      <c r="AD1951" s="284"/>
      <c r="AE1951" s="284"/>
      <c r="AF1951" s="284"/>
      <c r="AG1951" s="284"/>
    </row>
    <row r="1952" spans="1:33" ht="26.4">
      <c r="A1952" s="284"/>
      <c r="B1952" s="284"/>
      <c r="C1952" s="284"/>
      <c r="D1952" s="284"/>
      <c r="E1952" s="284"/>
      <c r="F1952" s="284"/>
      <c r="G1952" s="284"/>
      <c r="H1952" s="284"/>
      <c r="I1952" s="284"/>
      <c r="J1952" s="375"/>
      <c r="K1952" s="375"/>
      <c r="L1952" s="375"/>
      <c r="M1952" s="368"/>
      <c r="N1952" s="368"/>
      <c r="O1952" s="370"/>
      <c r="T1952" s="340"/>
      <c r="V1952" s="378"/>
      <c r="W1952" s="64" ph="1"/>
      <c r="X1952" s="241"/>
      <c r="Y1952" s="284"/>
      <c r="Z1952" s="207"/>
      <c r="AA1952" s="284"/>
      <c r="AB1952" s="284"/>
      <c r="AC1952" s="284"/>
      <c r="AD1952" s="284"/>
      <c r="AE1952" s="284"/>
      <c r="AF1952" s="284"/>
      <c r="AG1952" s="284"/>
    </row>
    <row r="1953" spans="1:33" ht="26.4">
      <c r="A1953" s="284"/>
      <c r="B1953" s="284"/>
      <c r="C1953" s="284"/>
      <c r="D1953" s="284"/>
      <c r="E1953" s="284"/>
      <c r="F1953" s="284"/>
      <c r="G1953" s="284"/>
      <c r="H1953" s="284"/>
      <c r="I1953" s="284"/>
      <c r="J1953" s="375"/>
      <c r="K1953" s="375"/>
      <c r="L1953" s="375"/>
      <c r="M1953" s="368"/>
      <c r="N1953" s="368"/>
      <c r="O1953" s="370"/>
      <c r="T1953" s="340"/>
      <c r="V1953" s="378"/>
      <c r="W1953" s="64" ph="1"/>
      <c r="X1953" s="241"/>
      <c r="Y1953" s="284"/>
      <c r="Z1953" s="207"/>
      <c r="AA1953" s="284"/>
      <c r="AB1953" s="284"/>
      <c r="AC1953" s="284"/>
      <c r="AD1953" s="284"/>
      <c r="AE1953" s="284"/>
      <c r="AF1953" s="284"/>
      <c r="AG1953" s="284"/>
    </row>
    <row r="1954" spans="1:33" ht="26.4">
      <c r="A1954" s="284"/>
      <c r="B1954" s="284"/>
      <c r="C1954" s="284"/>
      <c r="D1954" s="284"/>
      <c r="E1954" s="284"/>
      <c r="F1954" s="284"/>
      <c r="G1954" s="284"/>
      <c r="H1954" s="284"/>
      <c r="I1954" s="284"/>
      <c r="J1954" s="375"/>
      <c r="K1954" s="375"/>
      <c r="L1954" s="375"/>
      <c r="M1954" s="368"/>
      <c r="N1954" s="368"/>
      <c r="O1954" s="370"/>
      <c r="T1954" s="340"/>
      <c r="V1954" s="378"/>
      <c r="W1954" s="64" ph="1"/>
      <c r="X1954" s="241"/>
      <c r="Y1954" s="284"/>
      <c r="Z1954" s="207"/>
      <c r="AA1954" s="284"/>
      <c r="AB1954" s="284"/>
      <c r="AC1954" s="284"/>
      <c r="AD1954" s="284"/>
      <c r="AE1954" s="284"/>
      <c r="AF1954" s="284"/>
      <c r="AG1954" s="284"/>
    </row>
    <row r="1955" spans="1:33" ht="26.4">
      <c r="A1955" s="284"/>
      <c r="B1955" s="284"/>
      <c r="C1955" s="284"/>
      <c r="D1955" s="284"/>
      <c r="E1955" s="284"/>
      <c r="F1955" s="284"/>
      <c r="G1955" s="284"/>
      <c r="H1955" s="284"/>
      <c r="I1955" s="284"/>
      <c r="J1955" s="375"/>
      <c r="K1955" s="375"/>
      <c r="L1955" s="375"/>
      <c r="M1955" s="368"/>
      <c r="N1955" s="368"/>
      <c r="O1955" s="370"/>
      <c r="T1955" s="340"/>
      <c r="V1955" s="378"/>
      <c r="W1955" s="64" ph="1"/>
      <c r="X1955" s="241"/>
      <c r="Y1955" s="284"/>
      <c r="Z1955" s="207"/>
      <c r="AA1955" s="284"/>
      <c r="AB1955" s="284"/>
      <c r="AC1955" s="284"/>
      <c r="AD1955" s="284"/>
      <c r="AE1955" s="284"/>
      <c r="AF1955" s="284"/>
      <c r="AG1955" s="284"/>
    </row>
    <row r="1956" spans="1:33" ht="26.4">
      <c r="A1956" s="284"/>
      <c r="B1956" s="284"/>
      <c r="C1956" s="284"/>
      <c r="D1956" s="284"/>
      <c r="E1956" s="284"/>
      <c r="F1956" s="284"/>
      <c r="G1956" s="284"/>
      <c r="H1956" s="284"/>
      <c r="I1956" s="284"/>
      <c r="J1956" s="375"/>
      <c r="K1956" s="375"/>
      <c r="L1956" s="375"/>
      <c r="M1956" s="368"/>
      <c r="N1956" s="368"/>
      <c r="O1956" s="370"/>
      <c r="T1956" s="340"/>
      <c r="V1956" s="378"/>
      <c r="W1956" s="64" ph="1"/>
      <c r="X1956" s="241"/>
      <c r="Y1956" s="284"/>
      <c r="Z1956" s="207"/>
      <c r="AA1956" s="284"/>
      <c r="AB1956" s="284"/>
      <c r="AC1956" s="284"/>
      <c r="AD1956" s="284"/>
      <c r="AE1956" s="284"/>
      <c r="AF1956" s="284"/>
      <c r="AG1956" s="284"/>
    </row>
    <row r="1957" spans="1:33" ht="26.4">
      <c r="A1957" s="284"/>
      <c r="B1957" s="284"/>
      <c r="C1957" s="284"/>
      <c r="D1957" s="284"/>
      <c r="E1957" s="284"/>
      <c r="F1957" s="284"/>
      <c r="G1957" s="284"/>
      <c r="H1957" s="284"/>
      <c r="I1957" s="284"/>
      <c r="J1957" s="375"/>
      <c r="K1957" s="375"/>
      <c r="L1957" s="375"/>
      <c r="M1957" s="368"/>
      <c r="N1957" s="368"/>
      <c r="O1957" s="370"/>
      <c r="T1957" s="340"/>
      <c r="V1957" s="378"/>
      <c r="W1957" s="64" ph="1"/>
      <c r="X1957" s="241"/>
      <c r="Y1957" s="284"/>
      <c r="Z1957" s="207"/>
      <c r="AA1957" s="284"/>
      <c r="AB1957" s="284"/>
      <c r="AC1957" s="284"/>
      <c r="AD1957" s="284"/>
      <c r="AE1957" s="284"/>
      <c r="AF1957" s="284"/>
      <c r="AG1957" s="284"/>
    </row>
    <row r="1958" spans="1:33" ht="26.4">
      <c r="A1958" s="284"/>
      <c r="B1958" s="284"/>
      <c r="C1958" s="284"/>
      <c r="D1958" s="284"/>
      <c r="E1958" s="284"/>
      <c r="F1958" s="284"/>
      <c r="G1958" s="284"/>
      <c r="H1958" s="284"/>
      <c r="I1958" s="284"/>
      <c r="J1958" s="375"/>
      <c r="K1958" s="375"/>
      <c r="L1958" s="375"/>
      <c r="M1958" s="368"/>
      <c r="N1958" s="368"/>
      <c r="O1958" s="370"/>
      <c r="T1958" s="340"/>
      <c r="V1958" s="378"/>
      <c r="W1958" s="64" ph="1"/>
      <c r="X1958" s="241"/>
      <c r="Y1958" s="284"/>
      <c r="Z1958" s="207"/>
      <c r="AA1958" s="284"/>
      <c r="AB1958" s="284"/>
      <c r="AC1958" s="284"/>
      <c r="AD1958" s="284"/>
      <c r="AE1958" s="284"/>
      <c r="AF1958" s="284"/>
      <c r="AG1958" s="284"/>
    </row>
    <row r="1959" spans="1:33" ht="26.4">
      <c r="A1959" s="284"/>
      <c r="B1959" s="284"/>
      <c r="C1959" s="284"/>
      <c r="D1959" s="284"/>
      <c r="E1959" s="284"/>
      <c r="F1959" s="284"/>
      <c r="G1959" s="284"/>
      <c r="H1959" s="284"/>
      <c r="I1959" s="284"/>
      <c r="J1959" s="375"/>
      <c r="K1959" s="375"/>
      <c r="L1959" s="375"/>
      <c r="M1959" s="368"/>
      <c r="N1959" s="368"/>
      <c r="O1959" s="370"/>
      <c r="T1959" s="340"/>
      <c r="V1959" s="378"/>
      <c r="W1959" s="64" ph="1"/>
      <c r="X1959" s="241"/>
      <c r="Y1959" s="284"/>
      <c r="Z1959" s="207"/>
      <c r="AA1959" s="284"/>
      <c r="AB1959" s="284"/>
      <c r="AC1959" s="284"/>
      <c r="AD1959" s="284"/>
      <c r="AE1959" s="284"/>
      <c r="AF1959" s="284"/>
      <c r="AG1959" s="284"/>
    </row>
    <row r="1960" spans="1:33" ht="26.4">
      <c r="A1960" s="284"/>
      <c r="B1960" s="284"/>
      <c r="C1960" s="284"/>
      <c r="D1960" s="284"/>
      <c r="E1960" s="284"/>
      <c r="F1960" s="284"/>
      <c r="G1960" s="284"/>
      <c r="H1960" s="284"/>
      <c r="I1960" s="284"/>
      <c r="J1960" s="375"/>
      <c r="K1960" s="375"/>
      <c r="L1960" s="375"/>
      <c r="M1960" s="368"/>
      <c r="N1960" s="368"/>
      <c r="O1960" s="370"/>
      <c r="T1960" s="340"/>
      <c r="V1960" s="378"/>
      <c r="W1960" s="64" ph="1"/>
      <c r="X1960" s="241"/>
      <c r="Y1960" s="284"/>
      <c r="Z1960" s="207"/>
      <c r="AA1960" s="284"/>
      <c r="AB1960" s="284"/>
      <c r="AC1960" s="284"/>
      <c r="AD1960" s="284"/>
      <c r="AE1960" s="284"/>
      <c r="AF1960" s="284"/>
      <c r="AG1960" s="284"/>
    </row>
    <row r="1961" spans="1:33" ht="26.4">
      <c r="A1961" s="284"/>
      <c r="B1961" s="284"/>
      <c r="C1961" s="284"/>
      <c r="D1961" s="284"/>
      <c r="E1961" s="284"/>
      <c r="F1961" s="284"/>
      <c r="G1961" s="284"/>
      <c r="H1961" s="284"/>
      <c r="I1961" s="284"/>
      <c r="J1961" s="375"/>
      <c r="K1961" s="375"/>
      <c r="L1961" s="375"/>
      <c r="M1961" s="368"/>
      <c r="N1961" s="368"/>
      <c r="O1961" s="370"/>
      <c r="T1961" s="340"/>
      <c r="V1961" s="378"/>
      <c r="W1961" s="64" ph="1"/>
      <c r="X1961" s="241"/>
      <c r="Y1961" s="284"/>
      <c r="Z1961" s="207"/>
      <c r="AA1961" s="284"/>
      <c r="AB1961" s="284"/>
      <c r="AC1961" s="284"/>
      <c r="AD1961" s="284"/>
      <c r="AE1961" s="284"/>
      <c r="AF1961" s="284"/>
      <c r="AG1961" s="284"/>
    </row>
    <row r="1962" spans="1:33" ht="26.4">
      <c r="A1962" s="284"/>
      <c r="B1962" s="284"/>
      <c r="C1962" s="284"/>
      <c r="D1962" s="284"/>
      <c r="E1962" s="284"/>
      <c r="F1962" s="284"/>
      <c r="G1962" s="284"/>
      <c r="H1962" s="284"/>
      <c r="I1962" s="284"/>
      <c r="J1962" s="375"/>
      <c r="K1962" s="375"/>
      <c r="L1962" s="375"/>
      <c r="M1962" s="368"/>
      <c r="N1962" s="368"/>
      <c r="O1962" s="370"/>
      <c r="T1962" s="340"/>
      <c r="V1962" s="378"/>
      <c r="W1962" s="64" ph="1"/>
      <c r="X1962" s="241"/>
      <c r="Y1962" s="284"/>
      <c r="Z1962" s="207"/>
      <c r="AA1962" s="284"/>
      <c r="AB1962" s="284"/>
      <c r="AC1962" s="284"/>
      <c r="AD1962" s="284"/>
      <c r="AE1962" s="284"/>
      <c r="AF1962" s="284"/>
      <c r="AG1962" s="284"/>
    </row>
    <row r="1963" spans="1:33" ht="26.4">
      <c r="A1963" s="284"/>
      <c r="B1963" s="284"/>
      <c r="C1963" s="284"/>
      <c r="D1963" s="284"/>
      <c r="E1963" s="284"/>
      <c r="F1963" s="284"/>
      <c r="G1963" s="284"/>
      <c r="H1963" s="284"/>
      <c r="I1963" s="284"/>
      <c r="J1963" s="375"/>
      <c r="K1963" s="375"/>
      <c r="L1963" s="375"/>
      <c r="M1963" s="368"/>
      <c r="N1963" s="368"/>
      <c r="O1963" s="370"/>
      <c r="T1963" s="340"/>
      <c r="V1963" s="378"/>
      <c r="W1963" s="64" ph="1"/>
      <c r="X1963" s="241"/>
      <c r="Y1963" s="284"/>
      <c r="Z1963" s="207"/>
      <c r="AA1963" s="284"/>
      <c r="AB1963" s="284"/>
      <c r="AC1963" s="284"/>
      <c r="AD1963" s="284"/>
      <c r="AE1963" s="284"/>
      <c r="AF1963" s="284"/>
      <c r="AG1963" s="284"/>
    </row>
    <row r="1964" spans="1:33" ht="26.4">
      <c r="A1964" s="284"/>
      <c r="B1964" s="284"/>
      <c r="C1964" s="284"/>
      <c r="D1964" s="284"/>
      <c r="E1964" s="284"/>
      <c r="F1964" s="284"/>
      <c r="G1964" s="284"/>
      <c r="H1964" s="284"/>
      <c r="I1964" s="284"/>
      <c r="J1964" s="375"/>
      <c r="K1964" s="375"/>
      <c r="L1964" s="375"/>
      <c r="M1964" s="368"/>
      <c r="N1964" s="368"/>
      <c r="O1964" s="370"/>
      <c r="T1964" s="340"/>
      <c r="V1964" s="378"/>
      <c r="W1964" s="64" ph="1"/>
      <c r="X1964" s="241"/>
      <c r="Y1964" s="284"/>
      <c r="Z1964" s="207"/>
      <c r="AA1964" s="284"/>
      <c r="AB1964" s="284"/>
      <c r="AC1964" s="284"/>
      <c r="AD1964" s="284"/>
      <c r="AE1964" s="284"/>
      <c r="AF1964" s="284"/>
      <c r="AG1964" s="284"/>
    </row>
    <row r="1965" spans="1:33" ht="26.4">
      <c r="A1965" s="284"/>
      <c r="B1965" s="284"/>
      <c r="C1965" s="284"/>
      <c r="D1965" s="284"/>
      <c r="E1965" s="284"/>
      <c r="F1965" s="284"/>
      <c r="G1965" s="284"/>
      <c r="H1965" s="284"/>
      <c r="I1965" s="284"/>
      <c r="J1965" s="375"/>
      <c r="K1965" s="375"/>
      <c r="L1965" s="375"/>
      <c r="M1965" s="368"/>
      <c r="N1965" s="368"/>
      <c r="O1965" s="370"/>
      <c r="T1965" s="340"/>
      <c r="V1965" s="378"/>
      <c r="W1965" s="64" ph="1"/>
      <c r="X1965" s="241"/>
      <c r="Y1965" s="284"/>
      <c r="Z1965" s="207"/>
      <c r="AA1965" s="284"/>
      <c r="AB1965" s="284"/>
      <c r="AC1965" s="284"/>
      <c r="AD1965" s="284"/>
      <c r="AE1965" s="284"/>
      <c r="AF1965" s="284"/>
      <c r="AG1965" s="284"/>
    </row>
    <row r="1966" spans="1:33" ht="26.4">
      <c r="A1966" s="284"/>
      <c r="B1966" s="284"/>
      <c r="C1966" s="284"/>
      <c r="D1966" s="284"/>
      <c r="E1966" s="284"/>
      <c r="F1966" s="284"/>
      <c r="G1966" s="284"/>
      <c r="H1966" s="284"/>
      <c r="I1966" s="284"/>
      <c r="J1966" s="375"/>
      <c r="K1966" s="375"/>
      <c r="L1966" s="375"/>
      <c r="M1966" s="368"/>
      <c r="N1966" s="368"/>
      <c r="O1966" s="370"/>
      <c r="T1966" s="340"/>
      <c r="V1966" s="378"/>
      <c r="W1966" s="64" ph="1"/>
      <c r="X1966" s="241"/>
      <c r="Y1966" s="284"/>
      <c r="Z1966" s="207"/>
      <c r="AA1966" s="284"/>
      <c r="AB1966" s="284"/>
      <c r="AC1966" s="284"/>
      <c r="AD1966" s="284"/>
      <c r="AE1966" s="284"/>
      <c r="AF1966" s="284"/>
      <c r="AG1966" s="284"/>
    </row>
    <row r="1967" spans="1:33" ht="26.4">
      <c r="A1967" s="284"/>
      <c r="B1967" s="284"/>
      <c r="C1967" s="284"/>
      <c r="D1967" s="284"/>
      <c r="E1967" s="284"/>
      <c r="F1967" s="284"/>
      <c r="G1967" s="284"/>
      <c r="H1967" s="284"/>
      <c r="I1967" s="284"/>
      <c r="J1967" s="375"/>
      <c r="K1967" s="375"/>
      <c r="L1967" s="375"/>
      <c r="M1967" s="368"/>
      <c r="N1967" s="368"/>
      <c r="O1967" s="370"/>
      <c r="T1967" s="340"/>
      <c r="V1967" s="378"/>
      <c r="W1967" s="64" ph="1"/>
      <c r="X1967" s="241"/>
      <c r="Y1967" s="284"/>
      <c r="Z1967" s="207"/>
      <c r="AA1967" s="284"/>
      <c r="AB1967" s="284"/>
      <c r="AC1967" s="284"/>
      <c r="AD1967" s="284"/>
      <c r="AE1967" s="284"/>
      <c r="AF1967" s="284"/>
      <c r="AG1967" s="284"/>
    </row>
    <row r="1968" spans="1:33" ht="26.4">
      <c r="A1968" s="284"/>
      <c r="B1968" s="284"/>
      <c r="C1968" s="284"/>
      <c r="D1968" s="284"/>
      <c r="E1968" s="284"/>
      <c r="F1968" s="284"/>
      <c r="G1968" s="284"/>
      <c r="H1968" s="284"/>
      <c r="I1968" s="284"/>
      <c r="J1968" s="375"/>
      <c r="K1968" s="375"/>
      <c r="L1968" s="375"/>
      <c r="M1968" s="368"/>
      <c r="N1968" s="368"/>
      <c r="O1968" s="370"/>
      <c r="T1968" s="340"/>
      <c r="V1968" s="378"/>
      <c r="W1968" s="64" ph="1"/>
      <c r="X1968" s="241"/>
      <c r="Y1968" s="284"/>
      <c r="Z1968" s="207"/>
      <c r="AA1968" s="284"/>
      <c r="AB1968" s="284"/>
      <c r="AC1968" s="284"/>
      <c r="AD1968" s="284"/>
      <c r="AE1968" s="284"/>
      <c r="AF1968" s="284"/>
      <c r="AG1968" s="284"/>
    </row>
    <row r="1969" spans="1:33" ht="26.4">
      <c r="A1969" s="284"/>
      <c r="B1969" s="284"/>
      <c r="C1969" s="284"/>
      <c r="D1969" s="284"/>
      <c r="E1969" s="284"/>
      <c r="F1969" s="284"/>
      <c r="G1969" s="284"/>
      <c r="H1969" s="284"/>
      <c r="I1969" s="284"/>
      <c r="J1969" s="375"/>
      <c r="K1969" s="375"/>
      <c r="L1969" s="375"/>
      <c r="M1969" s="368"/>
      <c r="N1969" s="368"/>
      <c r="O1969" s="370"/>
      <c r="T1969" s="340"/>
      <c r="V1969" s="378"/>
      <c r="W1969" s="64" ph="1"/>
      <c r="X1969" s="241"/>
      <c r="Y1969" s="284"/>
      <c r="Z1969" s="207"/>
      <c r="AA1969" s="284"/>
      <c r="AB1969" s="284"/>
      <c r="AC1969" s="284"/>
      <c r="AD1969" s="284"/>
      <c r="AE1969" s="284"/>
      <c r="AF1969" s="284"/>
      <c r="AG1969" s="284"/>
    </row>
    <row r="1970" spans="1:33" ht="26.4">
      <c r="A1970" s="284"/>
      <c r="B1970" s="284"/>
      <c r="C1970" s="284"/>
      <c r="D1970" s="284"/>
      <c r="E1970" s="284"/>
      <c r="F1970" s="284"/>
      <c r="G1970" s="284"/>
      <c r="H1970" s="284"/>
      <c r="I1970" s="284"/>
      <c r="J1970" s="375"/>
      <c r="K1970" s="375"/>
      <c r="L1970" s="375"/>
      <c r="M1970" s="368"/>
      <c r="N1970" s="368"/>
      <c r="O1970" s="370"/>
      <c r="T1970" s="340"/>
      <c r="V1970" s="378"/>
      <c r="W1970" s="64" ph="1"/>
      <c r="X1970" s="241"/>
      <c r="Y1970" s="284"/>
      <c r="Z1970" s="207"/>
      <c r="AA1970" s="284"/>
      <c r="AB1970" s="284"/>
      <c r="AC1970" s="284"/>
      <c r="AD1970" s="284"/>
      <c r="AE1970" s="284"/>
      <c r="AF1970" s="284"/>
      <c r="AG1970" s="284"/>
    </row>
    <row r="1971" spans="1:33" ht="26.4">
      <c r="A1971" s="284"/>
      <c r="B1971" s="284"/>
      <c r="C1971" s="284"/>
      <c r="D1971" s="284"/>
      <c r="E1971" s="284"/>
      <c r="F1971" s="284"/>
      <c r="G1971" s="284"/>
      <c r="H1971" s="284"/>
      <c r="I1971" s="284"/>
      <c r="J1971" s="375"/>
      <c r="K1971" s="375"/>
      <c r="L1971" s="375"/>
      <c r="M1971" s="368"/>
      <c r="N1971" s="368"/>
      <c r="O1971" s="370"/>
      <c r="T1971" s="340"/>
      <c r="V1971" s="378"/>
      <c r="W1971" s="64" ph="1"/>
      <c r="X1971" s="241"/>
      <c r="Y1971" s="284"/>
      <c r="Z1971" s="207"/>
      <c r="AA1971" s="284"/>
      <c r="AB1971" s="284"/>
      <c r="AC1971" s="284"/>
      <c r="AD1971" s="284"/>
      <c r="AE1971" s="284"/>
      <c r="AF1971" s="284"/>
      <c r="AG1971" s="284"/>
    </row>
    <row r="1972" spans="1:33" ht="26.4">
      <c r="A1972" s="284"/>
      <c r="B1972" s="284"/>
      <c r="C1972" s="284"/>
      <c r="D1972" s="284"/>
      <c r="E1972" s="284"/>
      <c r="F1972" s="284"/>
      <c r="G1972" s="284"/>
      <c r="H1972" s="284"/>
      <c r="I1972" s="284"/>
      <c r="J1972" s="375"/>
      <c r="K1972" s="375"/>
      <c r="L1972" s="375"/>
      <c r="M1972" s="368"/>
      <c r="N1972" s="368"/>
      <c r="O1972" s="370"/>
      <c r="T1972" s="340"/>
      <c r="V1972" s="378"/>
      <c r="W1972" s="64" ph="1"/>
      <c r="X1972" s="241"/>
      <c r="Y1972" s="284"/>
      <c r="Z1972" s="207"/>
      <c r="AA1972" s="284"/>
      <c r="AB1972" s="284"/>
      <c r="AC1972" s="284"/>
      <c r="AD1972" s="284"/>
      <c r="AE1972" s="284"/>
      <c r="AF1972" s="284"/>
      <c r="AG1972" s="284"/>
    </row>
    <row r="1973" spans="1:33" ht="26.4">
      <c r="A1973" s="284"/>
      <c r="B1973" s="284"/>
      <c r="C1973" s="284"/>
      <c r="D1973" s="284"/>
      <c r="E1973" s="284"/>
      <c r="F1973" s="284"/>
      <c r="G1973" s="284"/>
      <c r="H1973" s="284"/>
      <c r="I1973" s="284"/>
      <c r="J1973" s="375"/>
      <c r="K1973" s="375"/>
      <c r="L1973" s="375"/>
      <c r="M1973" s="368"/>
      <c r="N1973" s="368"/>
      <c r="O1973" s="370"/>
      <c r="T1973" s="340"/>
      <c r="V1973" s="378"/>
      <c r="W1973" s="64" ph="1"/>
      <c r="X1973" s="241"/>
      <c r="Y1973" s="284"/>
      <c r="Z1973" s="207"/>
      <c r="AA1973" s="284"/>
      <c r="AB1973" s="284"/>
      <c r="AC1973" s="284"/>
      <c r="AD1973" s="284"/>
      <c r="AE1973" s="284"/>
      <c r="AF1973" s="284"/>
      <c r="AG1973" s="284"/>
    </row>
    <row r="1974" spans="1:33" ht="26.4">
      <c r="A1974" s="284"/>
      <c r="B1974" s="284"/>
      <c r="C1974" s="284"/>
      <c r="D1974" s="284"/>
      <c r="E1974" s="284"/>
      <c r="F1974" s="284"/>
      <c r="G1974" s="284"/>
      <c r="H1974" s="284"/>
      <c r="I1974" s="284"/>
      <c r="J1974" s="375"/>
      <c r="K1974" s="375"/>
      <c r="L1974" s="375"/>
      <c r="M1974" s="368"/>
      <c r="N1974" s="368"/>
      <c r="O1974" s="370"/>
      <c r="T1974" s="340"/>
      <c r="V1974" s="378"/>
      <c r="W1974" s="64" ph="1"/>
      <c r="X1974" s="241"/>
      <c r="Y1974" s="284"/>
      <c r="Z1974" s="207"/>
      <c r="AA1974" s="284"/>
      <c r="AB1974" s="284"/>
      <c r="AC1974" s="284"/>
      <c r="AD1974" s="284"/>
      <c r="AE1974" s="284"/>
      <c r="AF1974" s="284"/>
      <c r="AG1974" s="284"/>
    </row>
    <row r="1975" spans="1:33" ht="26.4">
      <c r="A1975" s="284"/>
      <c r="B1975" s="284"/>
      <c r="C1975" s="284"/>
      <c r="D1975" s="284"/>
      <c r="E1975" s="284"/>
      <c r="F1975" s="284"/>
      <c r="G1975" s="284"/>
      <c r="H1975" s="284"/>
      <c r="I1975" s="284"/>
      <c r="J1975" s="375"/>
      <c r="K1975" s="375"/>
      <c r="L1975" s="375"/>
      <c r="M1975" s="368"/>
      <c r="N1975" s="368"/>
      <c r="O1975" s="370"/>
      <c r="T1975" s="340"/>
      <c r="V1975" s="378"/>
      <c r="W1975" s="64" ph="1"/>
      <c r="X1975" s="241"/>
      <c r="Y1975" s="284"/>
      <c r="Z1975" s="207"/>
      <c r="AA1975" s="284"/>
      <c r="AB1975" s="284"/>
      <c r="AC1975" s="284"/>
      <c r="AD1975" s="284"/>
      <c r="AE1975" s="284"/>
      <c r="AF1975" s="284"/>
      <c r="AG1975" s="284"/>
    </row>
    <row r="1976" spans="1:33" ht="26.4">
      <c r="A1976" s="284"/>
      <c r="B1976" s="284"/>
      <c r="C1976" s="284"/>
      <c r="D1976" s="284"/>
      <c r="E1976" s="284"/>
      <c r="F1976" s="284"/>
      <c r="G1976" s="284"/>
      <c r="H1976" s="284"/>
      <c r="I1976" s="284"/>
      <c r="J1976" s="375"/>
      <c r="K1976" s="375"/>
      <c r="L1976" s="375"/>
      <c r="M1976" s="368"/>
      <c r="N1976" s="368"/>
      <c r="O1976" s="370"/>
      <c r="T1976" s="340"/>
      <c r="V1976" s="378"/>
      <c r="W1976" s="64" ph="1"/>
      <c r="X1976" s="241"/>
      <c r="Y1976" s="284"/>
      <c r="Z1976" s="207"/>
      <c r="AA1976" s="284"/>
      <c r="AB1976" s="284"/>
      <c r="AC1976" s="284"/>
      <c r="AD1976" s="284"/>
      <c r="AE1976" s="284"/>
      <c r="AF1976" s="284"/>
      <c r="AG1976" s="284"/>
    </row>
    <row r="1977" spans="1:33" ht="26.4">
      <c r="A1977" s="284"/>
      <c r="B1977" s="284"/>
      <c r="C1977" s="284"/>
      <c r="D1977" s="284"/>
      <c r="E1977" s="284"/>
      <c r="F1977" s="284"/>
      <c r="G1977" s="284"/>
      <c r="H1977" s="284"/>
      <c r="I1977" s="284"/>
      <c r="J1977" s="375"/>
      <c r="K1977" s="375"/>
      <c r="L1977" s="375"/>
      <c r="M1977" s="368"/>
      <c r="N1977" s="368"/>
      <c r="O1977" s="370"/>
      <c r="T1977" s="340"/>
      <c r="V1977" s="378"/>
      <c r="W1977" s="64" ph="1"/>
      <c r="X1977" s="241"/>
      <c r="Y1977" s="284"/>
      <c r="Z1977" s="207"/>
      <c r="AA1977" s="284"/>
      <c r="AB1977" s="284"/>
      <c r="AC1977" s="284"/>
      <c r="AD1977" s="284"/>
      <c r="AE1977" s="284"/>
      <c r="AF1977" s="284"/>
      <c r="AG1977" s="284"/>
    </row>
    <row r="1978" spans="1:33" ht="26.4">
      <c r="A1978" s="284"/>
      <c r="B1978" s="284"/>
      <c r="C1978" s="284"/>
      <c r="D1978" s="284"/>
      <c r="E1978" s="284"/>
      <c r="F1978" s="284"/>
      <c r="G1978" s="284"/>
      <c r="H1978" s="284"/>
      <c r="I1978" s="284"/>
      <c r="J1978" s="375"/>
      <c r="K1978" s="375"/>
      <c r="L1978" s="375"/>
      <c r="M1978" s="368"/>
      <c r="N1978" s="368"/>
      <c r="O1978" s="370"/>
      <c r="T1978" s="340"/>
      <c r="V1978" s="378"/>
      <c r="W1978" s="64" ph="1"/>
      <c r="X1978" s="241"/>
      <c r="Y1978" s="284"/>
      <c r="Z1978" s="207"/>
      <c r="AA1978" s="284"/>
      <c r="AB1978" s="284"/>
      <c r="AC1978" s="284"/>
      <c r="AD1978" s="284"/>
      <c r="AE1978" s="284"/>
      <c r="AF1978" s="284"/>
      <c r="AG1978" s="284"/>
    </row>
    <row r="1979" spans="1:33" ht="26.4">
      <c r="A1979" s="284"/>
      <c r="B1979" s="284"/>
      <c r="C1979" s="284"/>
      <c r="D1979" s="284"/>
      <c r="E1979" s="284"/>
      <c r="F1979" s="284"/>
      <c r="G1979" s="284"/>
      <c r="H1979" s="284"/>
      <c r="I1979" s="284"/>
      <c r="J1979" s="375"/>
      <c r="K1979" s="375"/>
      <c r="L1979" s="375"/>
      <c r="M1979" s="368"/>
      <c r="N1979" s="368"/>
      <c r="O1979" s="370"/>
      <c r="T1979" s="340"/>
      <c r="V1979" s="378"/>
      <c r="W1979" s="64" ph="1"/>
      <c r="X1979" s="241"/>
      <c r="Y1979" s="284"/>
      <c r="Z1979" s="207"/>
      <c r="AA1979" s="284"/>
      <c r="AB1979" s="284"/>
      <c r="AC1979" s="284"/>
      <c r="AD1979" s="284"/>
      <c r="AE1979" s="284"/>
      <c r="AF1979" s="284"/>
      <c r="AG1979" s="284"/>
    </row>
    <row r="1980" spans="1:33" ht="26.4">
      <c r="A1980" s="284"/>
      <c r="B1980" s="284"/>
      <c r="C1980" s="284"/>
      <c r="D1980" s="284"/>
      <c r="E1980" s="284"/>
      <c r="F1980" s="284"/>
      <c r="G1980" s="284"/>
      <c r="H1980" s="284"/>
      <c r="I1980" s="284"/>
      <c r="J1980" s="375"/>
      <c r="K1980" s="375"/>
      <c r="L1980" s="375"/>
      <c r="M1980" s="368"/>
      <c r="N1980" s="368"/>
      <c r="O1980" s="370"/>
      <c r="T1980" s="340"/>
      <c r="V1980" s="378"/>
      <c r="W1980" s="64" ph="1"/>
      <c r="X1980" s="241"/>
      <c r="Y1980" s="284"/>
      <c r="Z1980" s="207"/>
      <c r="AA1980" s="284"/>
      <c r="AB1980" s="284"/>
      <c r="AC1980" s="284"/>
      <c r="AD1980" s="284"/>
      <c r="AE1980" s="284"/>
      <c r="AF1980" s="284"/>
      <c r="AG1980" s="284"/>
    </row>
    <row r="1981" spans="1:33" ht="26.4">
      <c r="A1981" s="284"/>
      <c r="B1981" s="284"/>
      <c r="C1981" s="284"/>
      <c r="D1981" s="284"/>
      <c r="E1981" s="284"/>
      <c r="F1981" s="284"/>
      <c r="G1981" s="284"/>
      <c r="H1981" s="284"/>
      <c r="I1981" s="284"/>
      <c r="J1981" s="375"/>
      <c r="K1981" s="375"/>
      <c r="L1981" s="375"/>
      <c r="M1981" s="368"/>
      <c r="N1981" s="368"/>
      <c r="O1981" s="370"/>
      <c r="T1981" s="340"/>
      <c r="V1981" s="378"/>
      <c r="W1981" s="64" ph="1"/>
      <c r="X1981" s="241"/>
      <c r="Y1981" s="284"/>
      <c r="Z1981" s="207"/>
      <c r="AA1981" s="284"/>
      <c r="AB1981" s="284"/>
      <c r="AC1981" s="284"/>
      <c r="AD1981" s="284"/>
      <c r="AE1981" s="284"/>
      <c r="AF1981" s="284"/>
      <c r="AG1981" s="284"/>
    </row>
    <row r="1982" spans="1:33" ht="26.4">
      <c r="A1982" s="284"/>
      <c r="B1982" s="284"/>
      <c r="C1982" s="284"/>
      <c r="D1982" s="284"/>
      <c r="E1982" s="284"/>
      <c r="F1982" s="284"/>
      <c r="G1982" s="284"/>
      <c r="H1982" s="284"/>
      <c r="I1982" s="284"/>
      <c r="J1982" s="375"/>
      <c r="K1982" s="375"/>
      <c r="L1982" s="375"/>
      <c r="M1982" s="368"/>
      <c r="N1982" s="368"/>
      <c r="O1982" s="370"/>
      <c r="T1982" s="340"/>
      <c r="V1982" s="378"/>
      <c r="W1982" s="64" ph="1"/>
      <c r="X1982" s="241"/>
      <c r="Y1982" s="284"/>
      <c r="Z1982" s="207"/>
      <c r="AA1982" s="284"/>
      <c r="AB1982" s="284"/>
      <c r="AC1982" s="284"/>
      <c r="AD1982" s="284"/>
      <c r="AE1982" s="284"/>
      <c r="AF1982" s="284"/>
      <c r="AG1982" s="284"/>
    </row>
    <row r="1983" spans="1:33" ht="26.4">
      <c r="A1983" s="284"/>
      <c r="B1983" s="284"/>
      <c r="C1983" s="284"/>
      <c r="D1983" s="284"/>
      <c r="E1983" s="284"/>
      <c r="F1983" s="284"/>
      <c r="G1983" s="284"/>
      <c r="H1983" s="284"/>
      <c r="I1983" s="284"/>
      <c r="J1983" s="375"/>
      <c r="K1983" s="375"/>
      <c r="L1983" s="375"/>
      <c r="M1983" s="368"/>
      <c r="N1983" s="368"/>
      <c r="O1983" s="370"/>
      <c r="T1983" s="340"/>
      <c r="V1983" s="378"/>
      <c r="W1983" s="64" ph="1"/>
      <c r="X1983" s="241"/>
      <c r="Y1983" s="284"/>
      <c r="Z1983" s="207"/>
      <c r="AA1983" s="284"/>
      <c r="AB1983" s="284"/>
      <c r="AC1983" s="284"/>
      <c r="AD1983" s="284"/>
      <c r="AE1983" s="284"/>
      <c r="AF1983" s="284"/>
      <c r="AG1983" s="284"/>
    </row>
    <row r="1984" spans="1:33" ht="26.4">
      <c r="A1984" s="284"/>
      <c r="B1984" s="284"/>
      <c r="C1984" s="284"/>
      <c r="D1984" s="284"/>
      <c r="E1984" s="284"/>
      <c r="F1984" s="284"/>
      <c r="G1984" s="284"/>
      <c r="H1984" s="284"/>
      <c r="I1984" s="284"/>
      <c r="J1984" s="375"/>
      <c r="K1984" s="375"/>
      <c r="L1984" s="375"/>
      <c r="M1984" s="368"/>
      <c r="N1984" s="368"/>
      <c r="O1984" s="370"/>
      <c r="T1984" s="340"/>
      <c r="V1984" s="378"/>
      <c r="W1984" s="64" ph="1"/>
      <c r="X1984" s="241"/>
      <c r="Y1984" s="284"/>
      <c r="Z1984" s="207"/>
      <c r="AA1984" s="284"/>
      <c r="AB1984" s="284"/>
      <c r="AC1984" s="284"/>
      <c r="AD1984" s="284"/>
      <c r="AE1984" s="284"/>
      <c r="AF1984" s="284"/>
      <c r="AG1984" s="284"/>
    </row>
    <row r="1985" spans="1:33" ht="26.4">
      <c r="A1985" s="284"/>
      <c r="B1985" s="284"/>
      <c r="C1985" s="284"/>
      <c r="D1985" s="284"/>
      <c r="E1985" s="284"/>
      <c r="F1985" s="284"/>
      <c r="G1985" s="284"/>
      <c r="H1985" s="284"/>
      <c r="I1985" s="284"/>
      <c r="J1985" s="375"/>
      <c r="K1985" s="375"/>
      <c r="L1985" s="375"/>
      <c r="M1985" s="368"/>
      <c r="N1985" s="368"/>
      <c r="O1985" s="370"/>
      <c r="T1985" s="340"/>
      <c r="V1985" s="378"/>
      <c r="W1985" s="64" ph="1"/>
      <c r="X1985" s="241"/>
      <c r="Y1985" s="284"/>
      <c r="Z1985" s="207"/>
      <c r="AA1985" s="284"/>
      <c r="AB1985" s="284"/>
      <c r="AC1985" s="284"/>
      <c r="AD1985" s="284"/>
      <c r="AE1985" s="284"/>
      <c r="AF1985" s="284"/>
      <c r="AG1985" s="284"/>
    </row>
    <row r="1986" spans="1:33" ht="26.4">
      <c r="A1986" s="284"/>
      <c r="B1986" s="284"/>
      <c r="C1986" s="284"/>
      <c r="D1986" s="284"/>
      <c r="E1986" s="284"/>
      <c r="F1986" s="284"/>
      <c r="G1986" s="284"/>
      <c r="H1986" s="284"/>
      <c r="I1986" s="284"/>
      <c r="J1986" s="375"/>
      <c r="K1986" s="375"/>
      <c r="L1986" s="375"/>
      <c r="M1986" s="368"/>
      <c r="N1986" s="368"/>
      <c r="O1986" s="370"/>
      <c r="T1986" s="340"/>
      <c r="V1986" s="378"/>
      <c r="W1986" s="64" ph="1"/>
      <c r="X1986" s="241"/>
      <c r="Y1986" s="284"/>
      <c r="Z1986" s="207"/>
      <c r="AA1986" s="284"/>
      <c r="AB1986" s="284"/>
      <c r="AC1986" s="284"/>
      <c r="AD1986" s="284"/>
      <c r="AE1986" s="284"/>
      <c r="AF1986" s="284"/>
      <c r="AG1986" s="284"/>
    </row>
    <row r="1987" spans="1:33" ht="26.4">
      <c r="A1987" s="284"/>
      <c r="B1987" s="284"/>
      <c r="C1987" s="284"/>
      <c r="D1987" s="284"/>
      <c r="E1987" s="284"/>
      <c r="F1987" s="284"/>
      <c r="G1987" s="284"/>
      <c r="H1987" s="284"/>
      <c r="I1987" s="284"/>
      <c r="J1987" s="375"/>
      <c r="K1987" s="375"/>
      <c r="L1987" s="375"/>
      <c r="M1987" s="368"/>
      <c r="N1987" s="368"/>
      <c r="O1987" s="370"/>
      <c r="T1987" s="340"/>
      <c r="V1987" s="378"/>
      <c r="W1987" s="64" ph="1"/>
      <c r="X1987" s="241"/>
      <c r="Y1987" s="284"/>
      <c r="Z1987" s="207"/>
      <c r="AA1987" s="284"/>
      <c r="AB1987" s="284"/>
      <c r="AC1987" s="284"/>
      <c r="AD1987" s="284"/>
      <c r="AE1987" s="284"/>
      <c r="AF1987" s="284"/>
      <c r="AG1987" s="284"/>
    </row>
    <row r="1988" spans="1:33" ht="26.4">
      <c r="A1988" s="284"/>
      <c r="B1988" s="284"/>
      <c r="C1988" s="284"/>
      <c r="D1988" s="284"/>
      <c r="E1988" s="284"/>
      <c r="F1988" s="284"/>
      <c r="G1988" s="284"/>
      <c r="H1988" s="284"/>
      <c r="I1988" s="284"/>
      <c r="J1988" s="375"/>
      <c r="K1988" s="375"/>
      <c r="L1988" s="375"/>
      <c r="M1988" s="368"/>
      <c r="N1988" s="368"/>
      <c r="O1988" s="370"/>
      <c r="T1988" s="340"/>
      <c r="V1988" s="378"/>
      <c r="W1988" s="64" ph="1"/>
      <c r="X1988" s="241"/>
      <c r="Y1988" s="284"/>
      <c r="Z1988" s="207"/>
      <c r="AA1988" s="284"/>
      <c r="AB1988" s="284"/>
      <c r="AC1988" s="284"/>
      <c r="AD1988" s="284"/>
      <c r="AE1988" s="284"/>
      <c r="AF1988" s="284"/>
      <c r="AG1988" s="284"/>
    </row>
    <row r="1989" spans="1:33" ht="26.4">
      <c r="A1989" s="284"/>
      <c r="B1989" s="284"/>
      <c r="C1989" s="284"/>
      <c r="D1989" s="284"/>
      <c r="E1989" s="284"/>
      <c r="F1989" s="284"/>
      <c r="G1989" s="284"/>
      <c r="H1989" s="284"/>
      <c r="I1989" s="284"/>
      <c r="J1989" s="375"/>
      <c r="K1989" s="375"/>
      <c r="L1989" s="375"/>
      <c r="M1989" s="368"/>
      <c r="N1989" s="368"/>
      <c r="O1989" s="370"/>
      <c r="T1989" s="340"/>
      <c r="V1989" s="378"/>
      <c r="W1989" s="64" ph="1"/>
      <c r="X1989" s="241"/>
      <c r="Y1989" s="284"/>
      <c r="Z1989" s="207"/>
      <c r="AA1989" s="284"/>
      <c r="AB1989" s="284"/>
      <c r="AC1989" s="284"/>
      <c r="AD1989" s="284"/>
      <c r="AE1989" s="284"/>
      <c r="AF1989" s="284"/>
      <c r="AG1989" s="284"/>
    </row>
    <row r="1990" spans="1:33" ht="26.4">
      <c r="A1990" s="284"/>
      <c r="B1990" s="284"/>
      <c r="C1990" s="284"/>
      <c r="D1990" s="284"/>
      <c r="E1990" s="284"/>
      <c r="F1990" s="284"/>
      <c r="G1990" s="284"/>
      <c r="H1990" s="284"/>
      <c r="I1990" s="284"/>
      <c r="J1990" s="375"/>
      <c r="K1990" s="375"/>
      <c r="L1990" s="375"/>
      <c r="M1990" s="368"/>
      <c r="N1990" s="368"/>
      <c r="O1990" s="370"/>
      <c r="T1990" s="340"/>
      <c r="V1990" s="378"/>
      <c r="W1990" s="64" ph="1"/>
      <c r="X1990" s="241"/>
      <c r="Y1990" s="284"/>
      <c r="Z1990" s="207"/>
      <c r="AA1990" s="284"/>
      <c r="AB1990" s="284"/>
      <c r="AC1990" s="284"/>
      <c r="AD1990" s="284"/>
      <c r="AE1990" s="284"/>
      <c r="AF1990" s="284"/>
      <c r="AG1990" s="284"/>
    </row>
    <row r="1991" spans="1:33" ht="26.4">
      <c r="A1991" s="284"/>
      <c r="B1991" s="284"/>
      <c r="C1991" s="284"/>
      <c r="D1991" s="284"/>
      <c r="E1991" s="284"/>
      <c r="F1991" s="284"/>
      <c r="G1991" s="284"/>
      <c r="H1991" s="284"/>
      <c r="I1991" s="284"/>
      <c r="J1991" s="375"/>
      <c r="K1991" s="375"/>
      <c r="L1991" s="375"/>
      <c r="M1991" s="368"/>
      <c r="N1991" s="368"/>
      <c r="O1991" s="370"/>
      <c r="T1991" s="340"/>
      <c r="V1991" s="378"/>
      <c r="W1991" s="64" ph="1"/>
      <c r="X1991" s="241"/>
      <c r="Y1991" s="284"/>
      <c r="Z1991" s="207"/>
      <c r="AA1991" s="284"/>
      <c r="AB1991" s="284"/>
      <c r="AC1991" s="284"/>
      <c r="AD1991" s="284"/>
      <c r="AE1991" s="284"/>
      <c r="AF1991" s="284"/>
      <c r="AG1991" s="284"/>
    </row>
    <row r="1992" spans="1:33" ht="26.4">
      <c r="A1992" s="284"/>
      <c r="B1992" s="284"/>
      <c r="C1992" s="284"/>
      <c r="D1992" s="284"/>
      <c r="E1992" s="284"/>
      <c r="F1992" s="284"/>
      <c r="G1992" s="284"/>
      <c r="H1992" s="284"/>
      <c r="I1992" s="284"/>
      <c r="J1992" s="375"/>
      <c r="K1992" s="375"/>
      <c r="L1992" s="375"/>
      <c r="M1992" s="368"/>
      <c r="N1992" s="368"/>
      <c r="O1992" s="370"/>
      <c r="T1992" s="340"/>
      <c r="V1992" s="378"/>
      <c r="W1992" s="64" ph="1"/>
      <c r="X1992" s="241"/>
      <c r="Y1992" s="284"/>
      <c r="Z1992" s="207"/>
      <c r="AA1992" s="284"/>
      <c r="AB1992" s="284"/>
      <c r="AC1992" s="284"/>
      <c r="AD1992" s="284"/>
      <c r="AE1992" s="284"/>
      <c r="AF1992" s="284"/>
      <c r="AG1992" s="284"/>
    </row>
    <row r="1993" spans="1:33" ht="26.4">
      <c r="A1993" s="284"/>
      <c r="B1993" s="284"/>
      <c r="C1993" s="284"/>
      <c r="D1993" s="284"/>
      <c r="E1993" s="284"/>
      <c r="F1993" s="284"/>
      <c r="G1993" s="284"/>
      <c r="H1993" s="284"/>
      <c r="I1993" s="284"/>
      <c r="J1993" s="375"/>
      <c r="K1993" s="375"/>
      <c r="L1993" s="375"/>
      <c r="M1993" s="368"/>
      <c r="N1993" s="368"/>
      <c r="O1993" s="370"/>
      <c r="T1993" s="340"/>
      <c r="V1993" s="378"/>
      <c r="W1993" s="64" ph="1"/>
      <c r="X1993" s="241"/>
      <c r="Y1993" s="284"/>
      <c r="Z1993" s="207"/>
      <c r="AA1993" s="284"/>
      <c r="AB1993" s="284"/>
      <c r="AC1993" s="284"/>
      <c r="AD1993" s="284"/>
      <c r="AE1993" s="284"/>
      <c r="AF1993" s="284"/>
      <c r="AG1993" s="284"/>
    </row>
    <row r="1994" spans="1:33" ht="26.4">
      <c r="A1994" s="284"/>
      <c r="B1994" s="284"/>
      <c r="C1994" s="284"/>
      <c r="D1994" s="284"/>
      <c r="E1994" s="284"/>
      <c r="F1994" s="284"/>
      <c r="G1994" s="284"/>
      <c r="H1994" s="284"/>
      <c r="I1994" s="284"/>
      <c r="J1994" s="375"/>
      <c r="K1994" s="375"/>
      <c r="L1994" s="375"/>
      <c r="M1994" s="368"/>
      <c r="N1994" s="368"/>
      <c r="O1994" s="370"/>
      <c r="T1994" s="340"/>
      <c r="V1994" s="378"/>
      <c r="W1994" s="64" ph="1"/>
      <c r="X1994" s="241"/>
      <c r="Y1994" s="284"/>
      <c r="Z1994" s="207"/>
      <c r="AA1994" s="284"/>
      <c r="AB1994" s="284"/>
      <c r="AC1994" s="284"/>
      <c r="AD1994" s="284"/>
      <c r="AE1994" s="284"/>
      <c r="AF1994" s="284"/>
      <c r="AG1994" s="284"/>
    </row>
    <row r="1995" spans="1:33" ht="26.4">
      <c r="A1995" s="284"/>
      <c r="B1995" s="284"/>
      <c r="C1995" s="284"/>
      <c r="D1995" s="284"/>
      <c r="E1995" s="284"/>
      <c r="F1995" s="284"/>
      <c r="G1995" s="284"/>
      <c r="H1995" s="284"/>
      <c r="I1995" s="284"/>
      <c r="J1995" s="375"/>
      <c r="K1995" s="375"/>
      <c r="L1995" s="375"/>
      <c r="M1995" s="368"/>
      <c r="N1995" s="368"/>
      <c r="O1995" s="370"/>
      <c r="T1995" s="340"/>
      <c r="V1995" s="378"/>
      <c r="W1995" s="64" ph="1"/>
      <c r="X1995" s="241"/>
      <c r="Y1995" s="284"/>
      <c r="Z1995" s="207"/>
      <c r="AA1995" s="284"/>
      <c r="AB1995" s="284"/>
      <c r="AC1995" s="284"/>
      <c r="AD1995" s="284"/>
      <c r="AE1995" s="284"/>
      <c r="AF1995" s="284"/>
      <c r="AG1995" s="284"/>
    </row>
    <row r="1996" spans="1:33" ht="26.4">
      <c r="A1996" s="284"/>
      <c r="B1996" s="284"/>
      <c r="C1996" s="284"/>
      <c r="D1996" s="284"/>
      <c r="E1996" s="284"/>
      <c r="F1996" s="284"/>
      <c r="G1996" s="284"/>
      <c r="H1996" s="284"/>
      <c r="I1996" s="284"/>
      <c r="J1996" s="375"/>
      <c r="K1996" s="375"/>
      <c r="L1996" s="375"/>
      <c r="M1996" s="368"/>
      <c r="N1996" s="368"/>
      <c r="O1996" s="370"/>
      <c r="T1996" s="340"/>
      <c r="V1996" s="378"/>
      <c r="W1996" s="64" ph="1"/>
      <c r="X1996" s="241"/>
      <c r="Y1996" s="284"/>
      <c r="Z1996" s="207"/>
      <c r="AA1996" s="284"/>
      <c r="AB1996" s="284"/>
      <c r="AC1996" s="284"/>
      <c r="AD1996" s="284"/>
      <c r="AE1996" s="284"/>
      <c r="AF1996" s="284"/>
      <c r="AG1996" s="284"/>
    </row>
    <row r="1997" spans="1:33" ht="26.4">
      <c r="A1997" s="284"/>
      <c r="B1997" s="284"/>
      <c r="C1997" s="284"/>
      <c r="D1997" s="284"/>
      <c r="E1997" s="284"/>
      <c r="F1997" s="284"/>
      <c r="G1997" s="284"/>
      <c r="H1997" s="284"/>
      <c r="I1997" s="284"/>
      <c r="J1997" s="375"/>
      <c r="K1997" s="375"/>
      <c r="L1997" s="375"/>
      <c r="M1997" s="368"/>
      <c r="N1997" s="368"/>
      <c r="O1997" s="370"/>
      <c r="T1997" s="340"/>
      <c r="V1997" s="378"/>
      <c r="W1997" s="64" ph="1"/>
      <c r="X1997" s="241"/>
      <c r="Y1997" s="284"/>
      <c r="Z1997" s="207"/>
      <c r="AA1997" s="284"/>
      <c r="AB1997" s="284"/>
      <c r="AC1997" s="284"/>
      <c r="AD1997" s="284"/>
      <c r="AE1997" s="284"/>
      <c r="AF1997" s="284"/>
      <c r="AG1997" s="284"/>
    </row>
    <row r="1998" spans="1:33" ht="26.4">
      <c r="A1998" s="284"/>
      <c r="B1998" s="284"/>
      <c r="C1998" s="284"/>
      <c r="D1998" s="284"/>
      <c r="E1998" s="284"/>
      <c r="F1998" s="284"/>
      <c r="G1998" s="284"/>
      <c r="H1998" s="284"/>
      <c r="I1998" s="284"/>
      <c r="J1998" s="375"/>
      <c r="K1998" s="375"/>
      <c r="L1998" s="375"/>
      <c r="M1998" s="368"/>
      <c r="N1998" s="368"/>
      <c r="O1998" s="370"/>
      <c r="T1998" s="340"/>
      <c r="V1998" s="378"/>
      <c r="W1998" s="64" ph="1"/>
      <c r="X1998" s="241"/>
      <c r="Y1998" s="284"/>
      <c r="Z1998" s="207"/>
      <c r="AA1998" s="284"/>
      <c r="AB1998" s="284"/>
      <c r="AC1998" s="284"/>
      <c r="AD1998" s="284"/>
      <c r="AE1998" s="284"/>
      <c r="AF1998" s="284"/>
      <c r="AG1998" s="284"/>
    </row>
    <row r="1999" spans="1:33" ht="26.4">
      <c r="A1999" s="284"/>
      <c r="B1999" s="284"/>
      <c r="C1999" s="284"/>
      <c r="D1999" s="284"/>
      <c r="E1999" s="284"/>
      <c r="F1999" s="284"/>
      <c r="G1999" s="284"/>
      <c r="H1999" s="284"/>
      <c r="I1999" s="284"/>
      <c r="J1999" s="375"/>
      <c r="K1999" s="375"/>
      <c r="L1999" s="375"/>
      <c r="M1999" s="368"/>
      <c r="N1999" s="368"/>
      <c r="O1999" s="370"/>
      <c r="T1999" s="340"/>
      <c r="V1999" s="378"/>
      <c r="W1999" s="64" ph="1"/>
      <c r="X1999" s="241"/>
      <c r="Y1999" s="284"/>
      <c r="Z1999" s="207"/>
      <c r="AA1999" s="284"/>
      <c r="AB1999" s="284"/>
      <c r="AC1999" s="284"/>
      <c r="AD1999" s="284"/>
      <c r="AE1999" s="284"/>
      <c r="AF1999" s="284"/>
      <c r="AG1999" s="284"/>
    </row>
    <row r="2000" spans="1:33" ht="26.4">
      <c r="A2000" s="284"/>
      <c r="B2000" s="284"/>
      <c r="C2000" s="284"/>
      <c r="D2000" s="284"/>
      <c r="E2000" s="284"/>
      <c r="F2000" s="284"/>
      <c r="G2000" s="284"/>
      <c r="H2000" s="284"/>
      <c r="I2000" s="284"/>
      <c r="J2000" s="375"/>
      <c r="K2000" s="375"/>
      <c r="L2000" s="375"/>
      <c r="M2000" s="368"/>
      <c r="N2000" s="368"/>
      <c r="O2000" s="370"/>
      <c r="T2000" s="340"/>
      <c r="V2000" s="378"/>
      <c r="W2000" s="64" ph="1"/>
      <c r="X2000" s="241"/>
      <c r="Y2000" s="284"/>
      <c r="Z2000" s="207"/>
      <c r="AA2000" s="284"/>
      <c r="AB2000" s="284"/>
      <c r="AC2000" s="284"/>
      <c r="AD2000" s="284"/>
      <c r="AE2000" s="284"/>
      <c r="AF2000" s="284"/>
      <c r="AG2000" s="284"/>
    </row>
    <row r="2001" spans="1:33" ht="26.4">
      <c r="A2001" s="284"/>
      <c r="B2001" s="284"/>
      <c r="C2001" s="284"/>
      <c r="D2001" s="284"/>
      <c r="E2001" s="284"/>
      <c r="F2001" s="284"/>
      <c r="G2001" s="284"/>
      <c r="H2001" s="284"/>
      <c r="I2001" s="284"/>
      <c r="J2001" s="375"/>
      <c r="K2001" s="375"/>
      <c r="L2001" s="375"/>
      <c r="M2001" s="368"/>
      <c r="N2001" s="368"/>
      <c r="O2001" s="370"/>
      <c r="T2001" s="340"/>
      <c r="V2001" s="378"/>
      <c r="W2001" s="64" ph="1"/>
      <c r="X2001" s="241"/>
      <c r="Y2001" s="284"/>
      <c r="Z2001" s="207"/>
      <c r="AA2001" s="284"/>
      <c r="AB2001" s="284"/>
      <c r="AC2001" s="284"/>
      <c r="AD2001" s="284"/>
      <c r="AE2001" s="284"/>
      <c r="AF2001" s="284"/>
      <c r="AG2001" s="284"/>
    </row>
    <row r="2002" spans="1:33" ht="26.4">
      <c r="A2002" s="284"/>
      <c r="B2002" s="284"/>
      <c r="C2002" s="284"/>
      <c r="D2002" s="284"/>
      <c r="E2002" s="284"/>
      <c r="F2002" s="284"/>
      <c r="G2002" s="284"/>
      <c r="H2002" s="284"/>
      <c r="I2002" s="284"/>
      <c r="J2002" s="375"/>
      <c r="K2002" s="375"/>
      <c r="L2002" s="375"/>
      <c r="M2002" s="368"/>
      <c r="N2002" s="368"/>
      <c r="O2002" s="370"/>
      <c r="T2002" s="340"/>
      <c r="V2002" s="378"/>
      <c r="W2002" s="64" ph="1"/>
      <c r="X2002" s="241"/>
      <c r="Y2002" s="284"/>
      <c r="Z2002" s="207"/>
      <c r="AA2002" s="284"/>
      <c r="AB2002" s="284"/>
      <c r="AC2002" s="284"/>
      <c r="AD2002" s="284"/>
      <c r="AE2002" s="284"/>
      <c r="AF2002" s="284"/>
      <c r="AG2002" s="284"/>
    </row>
    <row r="2003" spans="1:33" ht="26.4">
      <c r="A2003" s="284"/>
      <c r="B2003" s="284"/>
      <c r="C2003" s="284"/>
      <c r="D2003" s="284"/>
      <c r="E2003" s="284"/>
      <c r="F2003" s="284"/>
      <c r="G2003" s="284"/>
      <c r="H2003" s="284"/>
      <c r="I2003" s="284"/>
      <c r="J2003" s="375"/>
      <c r="K2003" s="375"/>
      <c r="L2003" s="375"/>
      <c r="M2003" s="368"/>
      <c r="N2003" s="368"/>
      <c r="O2003" s="370"/>
      <c r="T2003" s="340"/>
      <c r="V2003" s="378"/>
      <c r="W2003" s="64" ph="1"/>
      <c r="X2003" s="241"/>
      <c r="Y2003" s="284"/>
      <c r="Z2003" s="207"/>
      <c r="AA2003" s="284"/>
      <c r="AB2003" s="284"/>
      <c r="AC2003" s="284"/>
      <c r="AD2003" s="284"/>
      <c r="AE2003" s="284"/>
      <c r="AF2003" s="284"/>
      <c r="AG2003" s="284"/>
    </row>
    <row r="2004" spans="1:33" ht="26.4">
      <c r="A2004" s="284"/>
      <c r="B2004" s="284"/>
      <c r="C2004" s="284"/>
      <c r="D2004" s="284"/>
      <c r="E2004" s="284"/>
      <c r="F2004" s="284"/>
      <c r="G2004" s="284"/>
      <c r="H2004" s="284"/>
      <c r="I2004" s="284"/>
      <c r="J2004" s="375"/>
      <c r="K2004" s="375"/>
      <c r="L2004" s="375"/>
      <c r="M2004" s="368"/>
      <c r="N2004" s="368"/>
      <c r="O2004" s="370"/>
      <c r="T2004" s="340"/>
      <c r="V2004" s="378"/>
      <c r="W2004" s="64" ph="1"/>
      <c r="X2004" s="241"/>
      <c r="Y2004" s="284"/>
      <c r="Z2004" s="207"/>
      <c r="AA2004" s="284"/>
      <c r="AB2004" s="284"/>
      <c r="AC2004" s="284"/>
      <c r="AD2004" s="284"/>
      <c r="AE2004" s="284"/>
      <c r="AF2004" s="284"/>
      <c r="AG2004" s="284"/>
    </row>
    <row r="2005" spans="1:33" ht="26.4">
      <c r="A2005" s="284"/>
      <c r="B2005" s="284"/>
      <c r="C2005" s="284"/>
      <c r="D2005" s="284"/>
      <c r="E2005" s="284"/>
      <c r="F2005" s="284"/>
      <c r="G2005" s="284"/>
      <c r="H2005" s="284"/>
      <c r="I2005" s="284"/>
      <c r="J2005" s="375"/>
      <c r="K2005" s="375"/>
      <c r="L2005" s="375"/>
      <c r="M2005" s="368"/>
      <c r="N2005" s="368"/>
      <c r="O2005" s="370"/>
      <c r="T2005" s="340"/>
      <c r="V2005" s="378"/>
      <c r="W2005" s="64" ph="1"/>
      <c r="X2005" s="241"/>
      <c r="Y2005" s="284"/>
      <c r="Z2005" s="207"/>
      <c r="AA2005" s="284"/>
      <c r="AB2005" s="284"/>
      <c r="AC2005" s="284"/>
      <c r="AD2005" s="284"/>
      <c r="AE2005" s="284"/>
      <c r="AF2005" s="284"/>
      <c r="AG2005" s="284"/>
    </row>
    <row r="2006" spans="1:33" ht="26.4">
      <c r="A2006" s="284"/>
      <c r="B2006" s="284"/>
      <c r="C2006" s="284"/>
      <c r="D2006" s="284"/>
      <c r="E2006" s="284"/>
      <c r="F2006" s="284"/>
      <c r="G2006" s="284"/>
      <c r="H2006" s="284"/>
      <c r="I2006" s="284"/>
      <c r="J2006" s="375"/>
      <c r="K2006" s="375"/>
      <c r="L2006" s="375"/>
      <c r="M2006" s="368"/>
      <c r="N2006" s="368"/>
      <c r="O2006" s="370"/>
      <c r="T2006" s="340"/>
      <c r="V2006" s="378"/>
      <c r="W2006" s="64" ph="1"/>
      <c r="X2006" s="241"/>
      <c r="Y2006" s="284"/>
      <c r="Z2006" s="207"/>
      <c r="AA2006" s="284"/>
      <c r="AB2006" s="284"/>
      <c r="AC2006" s="284"/>
      <c r="AD2006" s="284"/>
      <c r="AE2006" s="284"/>
      <c r="AF2006" s="284"/>
      <c r="AG2006" s="284"/>
    </row>
    <row r="2007" spans="1:33" ht="26.4">
      <c r="A2007" s="284"/>
      <c r="B2007" s="284"/>
      <c r="C2007" s="284"/>
      <c r="D2007" s="284"/>
      <c r="E2007" s="284"/>
      <c r="F2007" s="284"/>
      <c r="G2007" s="284"/>
      <c r="H2007" s="284"/>
      <c r="I2007" s="284"/>
      <c r="J2007" s="375"/>
      <c r="K2007" s="375"/>
      <c r="L2007" s="375"/>
      <c r="M2007" s="368"/>
      <c r="N2007" s="368"/>
      <c r="O2007" s="370"/>
      <c r="T2007" s="340"/>
      <c r="V2007" s="378"/>
      <c r="W2007" s="64" ph="1"/>
      <c r="X2007" s="241"/>
      <c r="Y2007" s="284"/>
      <c r="Z2007" s="207"/>
      <c r="AA2007" s="284"/>
      <c r="AB2007" s="284"/>
      <c r="AC2007" s="284"/>
      <c r="AD2007" s="284"/>
      <c r="AE2007" s="284"/>
      <c r="AF2007" s="284"/>
      <c r="AG2007" s="284"/>
    </row>
    <row r="2008" spans="1:33" ht="26.4">
      <c r="A2008" s="284"/>
      <c r="B2008" s="284"/>
      <c r="C2008" s="284"/>
      <c r="D2008" s="284"/>
      <c r="E2008" s="284"/>
      <c r="F2008" s="284"/>
      <c r="G2008" s="284"/>
      <c r="H2008" s="284"/>
      <c r="I2008" s="284"/>
      <c r="J2008" s="375"/>
      <c r="K2008" s="375"/>
      <c r="L2008" s="375"/>
      <c r="M2008" s="368"/>
      <c r="N2008" s="368"/>
      <c r="O2008" s="370"/>
      <c r="T2008" s="340"/>
      <c r="V2008" s="378"/>
      <c r="W2008" s="64" ph="1"/>
      <c r="X2008" s="241"/>
      <c r="Y2008" s="284"/>
      <c r="Z2008" s="207"/>
      <c r="AA2008" s="284"/>
      <c r="AB2008" s="284"/>
      <c r="AC2008" s="284"/>
      <c r="AD2008" s="284"/>
      <c r="AE2008" s="284"/>
      <c r="AF2008" s="284"/>
      <c r="AG2008" s="284"/>
    </row>
    <row r="2009" spans="1:33" ht="26.4">
      <c r="A2009" s="284"/>
      <c r="B2009" s="284"/>
      <c r="C2009" s="284"/>
      <c r="D2009" s="284"/>
      <c r="E2009" s="284"/>
      <c r="F2009" s="284"/>
      <c r="G2009" s="284"/>
      <c r="H2009" s="284"/>
      <c r="I2009" s="284"/>
      <c r="J2009" s="375"/>
      <c r="K2009" s="375"/>
      <c r="L2009" s="375"/>
      <c r="M2009" s="368"/>
      <c r="N2009" s="368"/>
      <c r="O2009" s="370"/>
      <c r="T2009" s="340"/>
      <c r="V2009" s="378"/>
      <c r="W2009" s="64" ph="1"/>
      <c r="X2009" s="241"/>
      <c r="Y2009" s="284"/>
      <c r="Z2009" s="207"/>
      <c r="AA2009" s="284"/>
      <c r="AB2009" s="284"/>
      <c r="AC2009" s="284"/>
      <c r="AD2009" s="284"/>
      <c r="AE2009" s="284"/>
      <c r="AF2009" s="284"/>
      <c r="AG2009" s="284"/>
    </row>
    <row r="2010" spans="1:33" ht="26.4">
      <c r="A2010" s="284"/>
      <c r="B2010" s="284"/>
      <c r="C2010" s="284"/>
      <c r="D2010" s="284"/>
      <c r="E2010" s="284"/>
      <c r="F2010" s="284"/>
      <c r="G2010" s="284"/>
      <c r="H2010" s="284"/>
      <c r="I2010" s="284"/>
      <c r="J2010" s="375"/>
      <c r="K2010" s="375"/>
      <c r="L2010" s="375"/>
      <c r="M2010" s="368"/>
      <c r="N2010" s="368"/>
      <c r="O2010" s="370"/>
      <c r="T2010" s="340"/>
      <c r="V2010" s="378"/>
      <c r="W2010" s="64" ph="1"/>
      <c r="X2010" s="241"/>
      <c r="Y2010" s="284"/>
      <c r="Z2010" s="207"/>
      <c r="AA2010" s="284"/>
      <c r="AB2010" s="284"/>
      <c r="AC2010" s="284"/>
      <c r="AD2010" s="284"/>
      <c r="AE2010" s="284"/>
      <c r="AF2010" s="284"/>
      <c r="AG2010" s="284"/>
    </row>
    <row r="2011" spans="1:33" ht="26.4">
      <c r="A2011" s="284"/>
      <c r="B2011" s="284"/>
      <c r="C2011" s="284"/>
      <c r="D2011" s="284"/>
      <c r="E2011" s="284"/>
      <c r="F2011" s="284"/>
      <c r="G2011" s="284"/>
      <c r="H2011" s="284"/>
      <c r="I2011" s="284"/>
      <c r="J2011" s="375"/>
      <c r="K2011" s="375"/>
      <c r="L2011" s="375"/>
      <c r="M2011" s="368"/>
      <c r="N2011" s="368"/>
      <c r="O2011" s="370"/>
      <c r="T2011" s="340"/>
      <c r="V2011" s="378"/>
      <c r="W2011" s="64" ph="1"/>
      <c r="X2011" s="241"/>
      <c r="Y2011" s="284"/>
      <c r="Z2011" s="207"/>
      <c r="AA2011" s="284"/>
      <c r="AB2011" s="284"/>
      <c r="AC2011" s="284"/>
      <c r="AD2011" s="284"/>
      <c r="AE2011" s="284"/>
      <c r="AF2011" s="284"/>
      <c r="AG2011" s="284"/>
    </row>
    <row r="2012" spans="1:33" ht="26.4">
      <c r="A2012" s="284"/>
      <c r="B2012" s="284"/>
      <c r="C2012" s="284"/>
      <c r="D2012" s="284"/>
      <c r="E2012" s="284"/>
      <c r="F2012" s="284"/>
      <c r="G2012" s="284"/>
      <c r="H2012" s="284"/>
      <c r="I2012" s="284"/>
      <c r="J2012" s="375"/>
      <c r="K2012" s="375"/>
      <c r="L2012" s="375"/>
      <c r="M2012" s="368"/>
      <c r="N2012" s="368"/>
      <c r="O2012" s="370"/>
      <c r="T2012" s="340"/>
      <c r="V2012" s="378"/>
      <c r="W2012" s="64" ph="1"/>
      <c r="X2012" s="241"/>
      <c r="Y2012" s="284"/>
      <c r="Z2012" s="207"/>
      <c r="AA2012" s="284"/>
      <c r="AB2012" s="284"/>
      <c r="AC2012" s="284"/>
      <c r="AD2012" s="284"/>
      <c r="AE2012" s="284"/>
      <c r="AF2012" s="284"/>
      <c r="AG2012" s="284"/>
    </row>
    <row r="2013" spans="1:33" ht="26.4">
      <c r="A2013" s="284"/>
      <c r="B2013" s="284"/>
      <c r="C2013" s="284"/>
      <c r="D2013" s="284"/>
      <c r="E2013" s="284"/>
      <c r="F2013" s="284"/>
      <c r="G2013" s="284"/>
      <c r="H2013" s="284"/>
      <c r="I2013" s="284"/>
      <c r="J2013" s="375"/>
      <c r="K2013" s="375"/>
      <c r="L2013" s="375"/>
      <c r="M2013" s="368"/>
      <c r="N2013" s="368"/>
      <c r="O2013" s="370"/>
      <c r="T2013" s="340"/>
      <c r="V2013" s="378"/>
      <c r="W2013" s="64" ph="1"/>
      <c r="X2013" s="241"/>
      <c r="Y2013" s="284"/>
      <c r="Z2013" s="207"/>
      <c r="AA2013" s="284"/>
      <c r="AB2013" s="284"/>
      <c r="AC2013" s="284"/>
      <c r="AD2013" s="284"/>
      <c r="AE2013" s="284"/>
      <c r="AF2013" s="284"/>
      <c r="AG2013" s="284"/>
    </row>
    <row r="2014" spans="1:33" ht="26.4">
      <c r="A2014" s="284"/>
      <c r="B2014" s="284"/>
      <c r="C2014" s="284"/>
      <c r="D2014" s="284"/>
      <c r="E2014" s="284"/>
      <c r="F2014" s="284"/>
      <c r="G2014" s="284"/>
      <c r="H2014" s="284"/>
      <c r="I2014" s="284"/>
      <c r="J2014" s="375"/>
      <c r="K2014" s="375"/>
      <c r="L2014" s="375"/>
      <c r="M2014" s="368"/>
      <c r="N2014" s="368"/>
      <c r="O2014" s="370"/>
      <c r="T2014" s="340"/>
      <c r="V2014" s="378"/>
      <c r="W2014" s="64" ph="1"/>
      <c r="X2014" s="241"/>
      <c r="Y2014" s="284"/>
      <c r="Z2014" s="207"/>
      <c r="AA2014" s="284"/>
      <c r="AB2014" s="284"/>
      <c r="AC2014" s="284"/>
      <c r="AD2014" s="284"/>
      <c r="AE2014" s="284"/>
      <c r="AF2014" s="284"/>
      <c r="AG2014" s="284"/>
    </row>
    <row r="2015" spans="1:33" ht="26.4">
      <c r="A2015" s="284"/>
      <c r="B2015" s="284"/>
      <c r="C2015" s="284"/>
      <c r="D2015" s="284"/>
      <c r="E2015" s="284"/>
      <c r="F2015" s="284"/>
      <c r="G2015" s="284"/>
      <c r="H2015" s="284"/>
      <c r="I2015" s="284"/>
      <c r="J2015" s="375"/>
      <c r="K2015" s="375"/>
      <c r="L2015" s="375"/>
      <c r="M2015" s="368"/>
      <c r="N2015" s="368"/>
      <c r="O2015" s="370"/>
      <c r="T2015" s="340"/>
      <c r="V2015" s="378"/>
      <c r="W2015" s="64" ph="1"/>
      <c r="X2015" s="241"/>
      <c r="Y2015" s="284"/>
      <c r="Z2015" s="207"/>
      <c r="AA2015" s="284"/>
      <c r="AB2015" s="284"/>
      <c r="AC2015" s="284"/>
      <c r="AD2015" s="284"/>
      <c r="AE2015" s="284"/>
      <c r="AF2015" s="284"/>
      <c r="AG2015" s="284"/>
    </row>
    <row r="2016" spans="1:33" ht="26.4">
      <c r="A2016" s="284"/>
      <c r="B2016" s="284"/>
      <c r="C2016" s="284"/>
      <c r="D2016" s="284"/>
      <c r="E2016" s="284"/>
      <c r="F2016" s="284"/>
      <c r="G2016" s="284"/>
      <c r="H2016" s="284"/>
      <c r="I2016" s="284"/>
      <c r="J2016" s="375"/>
      <c r="K2016" s="375"/>
      <c r="L2016" s="375"/>
      <c r="M2016" s="368"/>
      <c r="N2016" s="368"/>
      <c r="O2016" s="370"/>
      <c r="T2016" s="340"/>
      <c r="V2016" s="378"/>
      <c r="W2016" s="64" ph="1"/>
      <c r="X2016" s="241"/>
      <c r="Y2016" s="284"/>
      <c r="Z2016" s="207"/>
      <c r="AA2016" s="284"/>
      <c r="AB2016" s="284"/>
      <c r="AC2016" s="284"/>
      <c r="AD2016" s="284"/>
      <c r="AE2016" s="284"/>
      <c r="AF2016" s="284"/>
      <c r="AG2016" s="284"/>
    </row>
    <row r="2017" spans="1:33" ht="26.4">
      <c r="A2017" s="284"/>
      <c r="B2017" s="284"/>
      <c r="C2017" s="284"/>
      <c r="D2017" s="284"/>
      <c r="E2017" s="284"/>
      <c r="F2017" s="284"/>
      <c r="G2017" s="284"/>
      <c r="H2017" s="284"/>
      <c r="I2017" s="284"/>
      <c r="J2017" s="375"/>
      <c r="K2017" s="375"/>
      <c r="L2017" s="375"/>
      <c r="M2017" s="368"/>
      <c r="N2017" s="368"/>
      <c r="O2017" s="370"/>
      <c r="T2017" s="340"/>
      <c r="V2017" s="378"/>
      <c r="W2017" s="64" ph="1"/>
      <c r="X2017" s="241"/>
      <c r="Y2017" s="284"/>
      <c r="Z2017" s="207"/>
      <c r="AA2017" s="284"/>
      <c r="AB2017" s="284"/>
      <c r="AC2017" s="284"/>
      <c r="AD2017" s="284"/>
      <c r="AE2017" s="284"/>
      <c r="AF2017" s="284"/>
      <c r="AG2017" s="284"/>
    </row>
    <row r="2018" spans="1:33" ht="26.4">
      <c r="A2018" s="284"/>
      <c r="B2018" s="284"/>
      <c r="C2018" s="284"/>
      <c r="D2018" s="284"/>
      <c r="E2018" s="284"/>
      <c r="F2018" s="284"/>
      <c r="G2018" s="284"/>
      <c r="H2018" s="284"/>
      <c r="I2018" s="284"/>
      <c r="J2018" s="375"/>
      <c r="K2018" s="375"/>
      <c r="L2018" s="375"/>
      <c r="M2018" s="368"/>
      <c r="N2018" s="368"/>
      <c r="O2018" s="370"/>
      <c r="T2018" s="340"/>
      <c r="V2018" s="378"/>
      <c r="W2018" s="64" ph="1"/>
      <c r="X2018" s="241"/>
      <c r="Y2018" s="284"/>
      <c r="Z2018" s="207"/>
      <c r="AA2018" s="284"/>
      <c r="AB2018" s="284"/>
      <c r="AC2018" s="284"/>
      <c r="AD2018" s="284"/>
      <c r="AE2018" s="284"/>
      <c r="AF2018" s="284"/>
      <c r="AG2018" s="284"/>
    </row>
    <row r="2019" spans="1:33" ht="26.4">
      <c r="A2019" s="284"/>
      <c r="B2019" s="284"/>
      <c r="C2019" s="284"/>
      <c r="D2019" s="284"/>
      <c r="E2019" s="284"/>
      <c r="F2019" s="284"/>
      <c r="G2019" s="284"/>
      <c r="H2019" s="284"/>
      <c r="I2019" s="284"/>
      <c r="J2019" s="375"/>
      <c r="K2019" s="375"/>
      <c r="L2019" s="375"/>
      <c r="M2019" s="368"/>
      <c r="N2019" s="368"/>
      <c r="O2019" s="370"/>
      <c r="T2019" s="340"/>
      <c r="V2019" s="378"/>
      <c r="W2019" s="64" ph="1"/>
      <c r="X2019" s="241"/>
      <c r="Y2019" s="284"/>
      <c r="Z2019" s="207"/>
      <c r="AA2019" s="284"/>
      <c r="AB2019" s="284"/>
      <c r="AC2019" s="284"/>
      <c r="AD2019" s="284"/>
      <c r="AE2019" s="284"/>
      <c r="AF2019" s="284"/>
      <c r="AG2019" s="284"/>
    </row>
    <row r="2020" spans="1:33" ht="26.4">
      <c r="A2020" s="284"/>
      <c r="B2020" s="284"/>
      <c r="C2020" s="284"/>
      <c r="D2020" s="284"/>
      <c r="E2020" s="284"/>
      <c r="F2020" s="284"/>
      <c r="G2020" s="284"/>
      <c r="H2020" s="284"/>
      <c r="I2020" s="284"/>
      <c r="J2020" s="375"/>
      <c r="K2020" s="375"/>
      <c r="L2020" s="375"/>
      <c r="M2020" s="368"/>
      <c r="N2020" s="368"/>
      <c r="O2020" s="370"/>
      <c r="T2020" s="340"/>
      <c r="V2020" s="378"/>
      <c r="W2020" s="64" ph="1"/>
      <c r="X2020" s="241"/>
      <c r="Y2020" s="284"/>
      <c r="Z2020" s="207"/>
      <c r="AA2020" s="284"/>
      <c r="AB2020" s="284"/>
      <c r="AC2020" s="284"/>
      <c r="AD2020" s="284"/>
      <c r="AE2020" s="284"/>
      <c r="AF2020" s="284"/>
      <c r="AG2020" s="284"/>
    </row>
    <row r="2021" spans="1:33" ht="26.4">
      <c r="A2021" s="284"/>
      <c r="B2021" s="284"/>
      <c r="C2021" s="284"/>
      <c r="D2021" s="284"/>
      <c r="E2021" s="284"/>
      <c r="F2021" s="284"/>
      <c r="G2021" s="284"/>
      <c r="H2021" s="284"/>
      <c r="I2021" s="284"/>
      <c r="J2021" s="375"/>
      <c r="K2021" s="375"/>
      <c r="L2021" s="375"/>
      <c r="M2021" s="368"/>
      <c r="N2021" s="368"/>
      <c r="O2021" s="370"/>
      <c r="T2021" s="340"/>
      <c r="V2021" s="378"/>
      <c r="W2021" s="64" ph="1"/>
      <c r="X2021" s="241"/>
      <c r="Y2021" s="284"/>
      <c r="Z2021" s="207"/>
      <c r="AA2021" s="284"/>
      <c r="AB2021" s="284"/>
      <c r="AC2021" s="284"/>
      <c r="AD2021" s="284"/>
      <c r="AE2021" s="284"/>
      <c r="AF2021" s="284"/>
      <c r="AG2021" s="284"/>
    </row>
    <row r="2022" spans="1:33" ht="26.4">
      <c r="A2022" s="284"/>
      <c r="B2022" s="284"/>
      <c r="C2022" s="284"/>
      <c r="D2022" s="284"/>
      <c r="E2022" s="284"/>
      <c r="F2022" s="284"/>
      <c r="G2022" s="284"/>
      <c r="H2022" s="284"/>
      <c r="I2022" s="284"/>
      <c r="J2022" s="375"/>
      <c r="K2022" s="375"/>
      <c r="L2022" s="375"/>
      <c r="M2022" s="368"/>
      <c r="N2022" s="368"/>
      <c r="O2022" s="370"/>
      <c r="T2022" s="340"/>
      <c r="V2022" s="378"/>
      <c r="W2022" s="64" ph="1"/>
      <c r="X2022" s="241"/>
      <c r="Y2022" s="284"/>
      <c r="Z2022" s="207"/>
      <c r="AA2022" s="284"/>
      <c r="AB2022" s="284"/>
      <c r="AC2022" s="284"/>
      <c r="AD2022" s="284"/>
      <c r="AE2022" s="284"/>
      <c r="AF2022" s="284"/>
      <c r="AG2022" s="284"/>
    </row>
    <row r="2023" spans="1:33" ht="26.4">
      <c r="A2023" s="284"/>
      <c r="B2023" s="284"/>
      <c r="C2023" s="284"/>
      <c r="D2023" s="284"/>
      <c r="E2023" s="284"/>
      <c r="F2023" s="284"/>
      <c r="G2023" s="284"/>
      <c r="H2023" s="284"/>
      <c r="I2023" s="284"/>
      <c r="J2023" s="375"/>
      <c r="K2023" s="375"/>
      <c r="L2023" s="375"/>
      <c r="M2023" s="368"/>
      <c r="N2023" s="368"/>
      <c r="O2023" s="370"/>
      <c r="T2023" s="340"/>
      <c r="V2023" s="378"/>
      <c r="W2023" s="64" ph="1"/>
      <c r="X2023" s="241"/>
      <c r="Y2023" s="284"/>
      <c r="Z2023" s="207"/>
      <c r="AA2023" s="284"/>
      <c r="AB2023" s="284"/>
      <c r="AC2023" s="284"/>
      <c r="AD2023" s="284"/>
      <c r="AE2023" s="284"/>
      <c r="AF2023" s="284"/>
      <c r="AG2023" s="284"/>
    </row>
    <row r="2024" spans="1:33" ht="26.4">
      <c r="A2024" s="284"/>
      <c r="B2024" s="284"/>
      <c r="C2024" s="284"/>
      <c r="D2024" s="284"/>
      <c r="E2024" s="284"/>
      <c r="F2024" s="284"/>
      <c r="G2024" s="284"/>
      <c r="H2024" s="284"/>
      <c r="I2024" s="284"/>
      <c r="J2024" s="375"/>
      <c r="K2024" s="375"/>
      <c r="L2024" s="375"/>
      <c r="M2024" s="368"/>
      <c r="N2024" s="368"/>
      <c r="O2024" s="370"/>
      <c r="T2024" s="340"/>
      <c r="V2024" s="378"/>
      <c r="W2024" s="64" ph="1"/>
      <c r="X2024" s="241"/>
      <c r="Y2024" s="284"/>
      <c r="Z2024" s="207"/>
      <c r="AA2024" s="284"/>
      <c r="AB2024" s="284"/>
      <c r="AC2024" s="284"/>
      <c r="AD2024" s="284"/>
      <c r="AE2024" s="284"/>
      <c r="AF2024" s="284"/>
      <c r="AG2024" s="284"/>
    </row>
    <row r="2025" spans="1:33" ht="26.4">
      <c r="A2025" s="284"/>
      <c r="B2025" s="284"/>
      <c r="C2025" s="284"/>
      <c r="D2025" s="284"/>
      <c r="E2025" s="284"/>
      <c r="F2025" s="284"/>
      <c r="G2025" s="284"/>
      <c r="H2025" s="284"/>
      <c r="I2025" s="284"/>
      <c r="J2025" s="375"/>
      <c r="K2025" s="375"/>
      <c r="L2025" s="375"/>
      <c r="M2025" s="368"/>
      <c r="N2025" s="368"/>
      <c r="O2025" s="370"/>
      <c r="T2025" s="340"/>
      <c r="V2025" s="378"/>
      <c r="W2025" s="64" ph="1"/>
      <c r="X2025" s="241"/>
      <c r="Y2025" s="284"/>
      <c r="Z2025" s="207"/>
      <c r="AA2025" s="284"/>
      <c r="AB2025" s="284"/>
      <c r="AC2025" s="284"/>
      <c r="AD2025" s="284"/>
      <c r="AE2025" s="284"/>
      <c r="AF2025" s="284"/>
      <c r="AG2025" s="284"/>
    </row>
    <row r="2026" spans="1:33" ht="26.4">
      <c r="A2026" s="284"/>
      <c r="B2026" s="284"/>
      <c r="C2026" s="284"/>
      <c r="D2026" s="284"/>
      <c r="E2026" s="284"/>
      <c r="F2026" s="284"/>
      <c r="G2026" s="284"/>
      <c r="H2026" s="284"/>
      <c r="I2026" s="284"/>
      <c r="J2026" s="375"/>
      <c r="K2026" s="375"/>
      <c r="L2026" s="375"/>
      <c r="M2026" s="368"/>
      <c r="N2026" s="368"/>
      <c r="O2026" s="370"/>
      <c r="T2026" s="340"/>
      <c r="V2026" s="378"/>
      <c r="W2026" s="64" ph="1"/>
      <c r="X2026" s="241"/>
      <c r="Y2026" s="284"/>
      <c r="Z2026" s="207"/>
      <c r="AA2026" s="284"/>
      <c r="AB2026" s="284"/>
      <c r="AC2026" s="284"/>
      <c r="AD2026" s="284"/>
      <c r="AE2026" s="284"/>
      <c r="AF2026" s="284"/>
      <c r="AG2026" s="284"/>
    </row>
    <row r="2027" spans="1:33" ht="26.4">
      <c r="A2027" s="284"/>
      <c r="B2027" s="284"/>
      <c r="C2027" s="284"/>
      <c r="D2027" s="284"/>
      <c r="E2027" s="284"/>
      <c r="F2027" s="284"/>
      <c r="G2027" s="284"/>
      <c r="H2027" s="284"/>
      <c r="I2027" s="284"/>
      <c r="J2027" s="375"/>
      <c r="K2027" s="375"/>
      <c r="L2027" s="375"/>
      <c r="M2027" s="368"/>
      <c r="N2027" s="368"/>
      <c r="O2027" s="370"/>
      <c r="T2027" s="340"/>
      <c r="V2027" s="378"/>
      <c r="W2027" s="64" ph="1"/>
      <c r="X2027" s="241"/>
      <c r="Y2027" s="284"/>
      <c r="Z2027" s="207"/>
      <c r="AA2027" s="284"/>
      <c r="AB2027" s="284"/>
      <c r="AC2027" s="284"/>
      <c r="AD2027" s="284"/>
      <c r="AE2027" s="284"/>
      <c r="AF2027" s="284"/>
      <c r="AG2027" s="284"/>
    </row>
    <row r="2028" spans="1:33" ht="26.4">
      <c r="A2028" s="284"/>
      <c r="B2028" s="284"/>
      <c r="C2028" s="284"/>
      <c r="D2028" s="284"/>
      <c r="E2028" s="284"/>
      <c r="F2028" s="284"/>
      <c r="G2028" s="284"/>
      <c r="H2028" s="284"/>
      <c r="I2028" s="284"/>
      <c r="J2028" s="375"/>
      <c r="K2028" s="375"/>
      <c r="L2028" s="375"/>
      <c r="M2028" s="368"/>
      <c r="N2028" s="368"/>
      <c r="O2028" s="370"/>
      <c r="T2028" s="340"/>
      <c r="V2028" s="378"/>
      <c r="W2028" s="64" ph="1"/>
      <c r="X2028" s="241"/>
      <c r="Y2028" s="284"/>
      <c r="Z2028" s="207"/>
      <c r="AA2028" s="284"/>
      <c r="AB2028" s="284"/>
      <c r="AC2028" s="284"/>
      <c r="AD2028" s="284"/>
      <c r="AE2028" s="284"/>
      <c r="AF2028" s="284"/>
      <c r="AG2028" s="284"/>
    </row>
    <row r="2029" spans="1:33" ht="26.4">
      <c r="A2029" s="284"/>
      <c r="B2029" s="284"/>
      <c r="C2029" s="284"/>
      <c r="D2029" s="284"/>
      <c r="E2029" s="284"/>
      <c r="F2029" s="284"/>
      <c r="G2029" s="284"/>
      <c r="H2029" s="284"/>
      <c r="I2029" s="284"/>
      <c r="J2029" s="375"/>
      <c r="K2029" s="375"/>
      <c r="L2029" s="375"/>
      <c r="M2029" s="368"/>
      <c r="N2029" s="368"/>
      <c r="O2029" s="370"/>
      <c r="T2029" s="340"/>
      <c r="V2029" s="378"/>
      <c r="W2029" s="64" ph="1"/>
      <c r="X2029" s="241"/>
      <c r="Y2029" s="284"/>
      <c r="Z2029" s="207"/>
      <c r="AA2029" s="284"/>
      <c r="AB2029" s="284"/>
      <c r="AC2029" s="284"/>
      <c r="AD2029" s="284"/>
      <c r="AE2029" s="284"/>
      <c r="AF2029" s="284"/>
      <c r="AG2029" s="284"/>
    </row>
    <row r="2030" spans="1:33" ht="26.4">
      <c r="A2030" s="284"/>
      <c r="B2030" s="284"/>
      <c r="C2030" s="284"/>
      <c r="D2030" s="284"/>
      <c r="E2030" s="284"/>
      <c r="F2030" s="284"/>
      <c r="G2030" s="284"/>
      <c r="H2030" s="284"/>
      <c r="I2030" s="284"/>
      <c r="J2030" s="375"/>
      <c r="K2030" s="375"/>
      <c r="L2030" s="375"/>
      <c r="M2030" s="368"/>
      <c r="N2030" s="368"/>
      <c r="O2030" s="370"/>
      <c r="T2030" s="340"/>
      <c r="V2030" s="378"/>
      <c r="W2030" s="64" ph="1"/>
      <c r="X2030" s="241"/>
      <c r="Y2030" s="284"/>
      <c r="Z2030" s="207"/>
      <c r="AA2030" s="284"/>
      <c r="AB2030" s="284"/>
      <c r="AC2030" s="284"/>
      <c r="AD2030" s="284"/>
      <c r="AE2030" s="284"/>
      <c r="AF2030" s="284"/>
      <c r="AG2030" s="284"/>
    </row>
    <row r="2031" spans="1:33" ht="26.4">
      <c r="A2031" s="284"/>
      <c r="B2031" s="284"/>
      <c r="C2031" s="284"/>
      <c r="D2031" s="284"/>
      <c r="E2031" s="284"/>
      <c r="F2031" s="284"/>
      <c r="G2031" s="284"/>
      <c r="H2031" s="284"/>
      <c r="I2031" s="284"/>
      <c r="J2031" s="375"/>
      <c r="K2031" s="375"/>
      <c r="L2031" s="375"/>
      <c r="M2031" s="368"/>
      <c r="N2031" s="368"/>
      <c r="O2031" s="370"/>
      <c r="T2031" s="340"/>
      <c r="V2031" s="378"/>
      <c r="W2031" s="64" ph="1"/>
      <c r="X2031" s="241"/>
      <c r="Y2031" s="284"/>
      <c r="Z2031" s="207"/>
      <c r="AA2031" s="284"/>
      <c r="AB2031" s="284"/>
      <c r="AC2031" s="284"/>
      <c r="AD2031" s="284"/>
      <c r="AE2031" s="284"/>
      <c r="AF2031" s="284"/>
      <c r="AG2031" s="284"/>
    </row>
    <row r="2032" spans="1:33" ht="26.4">
      <c r="A2032" s="284"/>
      <c r="B2032" s="284"/>
      <c r="C2032" s="284"/>
      <c r="D2032" s="284"/>
      <c r="E2032" s="284"/>
      <c r="F2032" s="284"/>
      <c r="G2032" s="284"/>
      <c r="H2032" s="284"/>
      <c r="I2032" s="284"/>
      <c r="J2032" s="375"/>
      <c r="K2032" s="375"/>
      <c r="L2032" s="375"/>
      <c r="M2032" s="368"/>
      <c r="N2032" s="368"/>
      <c r="O2032" s="370"/>
      <c r="T2032" s="340"/>
      <c r="V2032" s="378"/>
      <c r="W2032" s="64" ph="1"/>
      <c r="X2032" s="241"/>
      <c r="Y2032" s="284"/>
      <c r="Z2032" s="207"/>
      <c r="AA2032" s="284"/>
      <c r="AB2032" s="284"/>
      <c r="AC2032" s="284"/>
      <c r="AD2032" s="284"/>
      <c r="AE2032" s="284"/>
      <c r="AF2032" s="284"/>
      <c r="AG2032" s="284"/>
    </row>
    <row r="2033" spans="1:33" ht="26.4">
      <c r="A2033" s="284"/>
      <c r="B2033" s="284"/>
      <c r="C2033" s="284"/>
      <c r="D2033" s="284"/>
      <c r="E2033" s="284"/>
      <c r="F2033" s="284"/>
      <c r="G2033" s="284"/>
      <c r="H2033" s="284"/>
      <c r="I2033" s="284"/>
      <c r="J2033" s="375"/>
      <c r="K2033" s="375"/>
      <c r="L2033" s="375"/>
      <c r="M2033" s="368"/>
      <c r="N2033" s="368"/>
      <c r="O2033" s="370"/>
      <c r="T2033" s="340"/>
      <c r="V2033" s="378"/>
      <c r="W2033" s="64" ph="1"/>
      <c r="X2033" s="241"/>
      <c r="Y2033" s="284"/>
      <c r="Z2033" s="207"/>
      <c r="AA2033" s="284"/>
      <c r="AB2033" s="284"/>
      <c r="AC2033" s="284"/>
      <c r="AD2033" s="284"/>
      <c r="AE2033" s="284"/>
      <c r="AF2033" s="284"/>
      <c r="AG2033" s="284"/>
    </row>
    <row r="2034" spans="1:33" ht="26.4">
      <c r="A2034" s="284"/>
      <c r="B2034" s="284"/>
      <c r="C2034" s="284"/>
      <c r="D2034" s="284"/>
      <c r="E2034" s="284"/>
      <c r="F2034" s="284"/>
      <c r="G2034" s="284"/>
      <c r="H2034" s="284"/>
      <c r="I2034" s="284"/>
      <c r="J2034" s="375"/>
      <c r="K2034" s="375"/>
      <c r="L2034" s="375"/>
      <c r="M2034" s="368"/>
      <c r="N2034" s="368"/>
      <c r="O2034" s="370"/>
      <c r="T2034" s="340"/>
      <c r="V2034" s="378"/>
      <c r="W2034" s="64" ph="1"/>
      <c r="X2034" s="241"/>
      <c r="Y2034" s="284"/>
      <c r="Z2034" s="207"/>
      <c r="AA2034" s="284"/>
      <c r="AB2034" s="284"/>
      <c r="AC2034" s="284"/>
      <c r="AD2034" s="284"/>
      <c r="AE2034" s="284"/>
      <c r="AF2034" s="284"/>
      <c r="AG2034" s="284"/>
    </row>
    <row r="2035" spans="1:33" ht="26.4">
      <c r="A2035" s="284"/>
      <c r="B2035" s="284"/>
      <c r="C2035" s="284"/>
      <c r="D2035" s="284"/>
      <c r="E2035" s="284"/>
      <c r="F2035" s="284"/>
      <c r="G2035" s="284"/>
      <c r="H2035" s="284"/>
      <c r="I2035" s="284"/>
      <c r="J2035" s="375"/>
      <c r="K2035" s="375"/>
      <c r="L2035" s="375"/>
      <c r="M2035" s="368"/>
      <c r="N2035" s="368"/>
      <c r="O2035" s="370"/>
      <c r="T2035" s="340"/>
      <c r="V2035" s="378"/>
      <c r="W2035" s="64" ph="1"/>
      <c r="X2035" s="241"/>
      <c r="Y2035" s="284"/>
      <c r="Z2035" s="207"/>
      <c r="AA2035" s="284"/>
      <c r="AB2035" s="284"/>
      <c r="AC2035" s="284"/>
      <c r="AD2035" s="284"/>
      <c r="AE2035" s="284"/>
      <c r="AF2035" s="284"/>
      <c r="AG2035" s="284"/>
    </row>
    <row r="2036" spans="1:33" ht="26.4">
      <c r="A2036" s="284"/>
      <c r="B2036" s="284"/>
      <c r="C2036" s="284"/>
      <c r="D2036" s="284"/>
      <c r="E2036" s="284"/>
      <c r="F2036" s="284"/>
      <c r="G2036" s="284"/>
      <c r="H2036" s="284"/>
      <c r="I2036" s="284"/>
      <c r="J2036" s="375"/>
      <c r="K2036" s="375"/>
      <c r="L2036" s="375"/>
      <c r="M2036" s="368"/>
      <c r="N2036" s="368"/>
      <c r="O2036" s="370"/>
      <c r="T2036" s="340"/>
      <c r="V2036" s="378"/>
      <c r="W2036" s="64" ph="1"/>
      <c r="X2036" s="241"/>
      <c r="Y2036" s="284"/>
      <c r="Z2036" s="207"/>
      <c r="AA2036" s="284"/>
      <c r="AB2036" s="284"/>
      <c r="AC2036" s="284"/>
      <c r="AD2036" s="284"/>
      <c r="AE2036" s="284"/>
      <c r="AF2036" s="284"/>
      <c r="AG2036" s="284"/>
    </row>
    <row r="2037" spans="1:33" ht="26.4">
      <c r="A2037" s="284"/>
      <c r="B2037" s="284"/>
      <c r="C2037" s="284"/>
      <c r="D2037" s="284"/>
      <c r="E2037" s="284"/>
      <c r="F2037" s="284"/>
      <c r="G2037" s="284"/>
      <c r="H2037" s="284"/>
      <c r="I2037" s="284"/>
      <c r="J2037" s="375"/>
      <c r="K2037" s="375"/>
      <c r="L2037" s="375"/>
      <c r="M2037" s="368"/>
      <c r="N2037" s="368"/>
      <c r="O2037" s="370"/>
      <c r="T2037" s="340"/>
      <c r="V2037" s="378"/>
      <c r="W2037" s="64" ph="1"/>
      <c r="X2037" s="241"/>
      <c r="Y2037" s="284"/>
      <c r="Z2037" s="207"/>
      <c r="AA2037" s="284"/>
      <c r="AB2037" s="284"/>
      <c r="AC2037" s="284"/>
      <c r="AD2037" s="284"/>
      <c r="AE2037" s="284"/>
      <c r="AF2037" s="284"/>
      <c r="AG2037" s="284"/>
    </row>
    <row r="2038" spans="1:33" ht="26.4">
      <c r="A2038" s="284"/>
      <c r="B2038" s="284"/>
      <c r="C2038" s="284"/>
      <c r="D2038" s="284"/>
      <c r="E2038" s="284"/>
      <c r="F2038" s="284"/>
      <c r="G2038" s="284"/>
      <c r="H2038" s="284"/>
      <c r="I2038" s="284"/>
      <c r="J2038" s="375"/>
      <c r="K2038" s="375"/>
      <c r="L2038" s="375"/>
      <c r="M2038" s="368"/>
      <c r="N2038" s="368"/>
      <c r="O2038" s="370"/>
      <c r="T2038" s="340"/>
      <c r="V2038" s="378"/>
      <c r="W2038" s="64" ph="1"/>
      <c r="X2038" s="241"/>
      <c r="Y2038" s="284"/>
      <c r="Z2038" s="207"/>
      <c r="AA2038" s="284"/>
      <c r="AB2038" s="284"/>
      <c r="AC2038" s="284"/>
      <c r="AD2038" s="284"/>
      <c r="AE2038" s="284"/>
      <c r="AF2038" s="284"/>
      <c r="AG2038" s="284"/>
    </row>
    <row r="2039" spans="1:33" ht="26.4">
      <c r="A2039" s="284"/>
      <c r="B2039" s="284"/>
      <c r="C2039" s="284"/>
      <c r="D2039" s="284"/>
      <c r="E2039" s="284"/>
      <c r="F2039" s="284"/>
      <c r="G2039" s="284"/>
      <c r="H2039" s="284"/>
      <c r="I2039" s="284"/>
      <c r="J2039" s="375"/>
      <c r="K2039" s="375"/>
      <c r="L2039" s="375"/>
      <c r="M2039" s="368"/>
      <c r="N2039" s="368"/>
      <c r="O2039" s="370"/>
      <c r="T2039" s="340"/>
      <c r="V2039" s="378"/>
      <c r="W2039" s="64" ph="1"/>
      <c r="X2039" s="241"/>
      <c r="Y2039" s="284"/>
      <c r="Z2039" s="207"/>
      <c r="AA2039" s="284"/>
      <c r="AB2039" s="284"/>
      <c r="AC2039" s="284"/>
      <c r="AD2039" s="284"/>
      <c r="AE2039" s="284"/>
      <c r="AF2039" s="284"/>
      <c r="AG2039" s="284"/>
    </row>
    <row r="2040" spans="1:33" ht="26.4">
      <c r="A2040" s="284"/>
      <c r="B2040" s="284"/>
      <c r="C2040" s="284"/>
      <c r="D2040" s="284"/>
      <c r="E2040" s="284"/>
      <c r="F2040" s="284"/>
      <c r="G2040" s="284"/>
      <c r="H2040" s="284"/>
      <c r="I2040" s="284"/>
      <c r="J2040" s="375"/>
      <c r="K2040" s="375"/>
      <c r="L2040" s="375"/>
      <c r="M2040" s="368"/>
      <c r="N2040" s="368"/>
      <c r="O2040" s="370"/>
      <c r="T2040" s="340"/>
      <c r="V2040" s="378"/>
      <c r="W2040" s="64" ph="1"/>
      <c r="X2040" s="241"/>
      <c r="Y2040" s="284"/>
      <c r="Z2040" s="207"/>
      <c r="AA2040" s="284"/>
      <c r="AB2040" s="284"/>
      <c r="AC2040" s="284"/>
      <c r="AD2040" s="284"/>
      <c r="AE2040" s="284"/>
      <c r="AF2040" s="284"/>
      <c r="AG2040" s="284"/>
    </row>
    <row r="2041" spans="1:33" ht="26.4">
      <c r="A2041" s="284"/>
      <c r="B2041" s="284"/>
      <c r="C2041" s="284"/>
      <c r="D2041" s="284"/>
      <c r="E2041" s="284"/>
      <c r="F2041" s="284"/>
      <c r="G2041" s="284"/>
      <c r="H2041" s="284"/>
      <c r="I2041" s="284"/>
      <c r="J2041" s="375"/>
      <c r="K2041" s="375"/>
      <c r="L2041" s="375"/>
      <c r="M2041" s="368"/>
      <c r="N2041" s="368"/>
      <c r="O2041" s="370"/>
      <c r="T2041" s="340"/>
      <c r="V2041" s="378"/>
      <c r="W2041" s="64" ph="1"/>
      <c r="X2041" s="241"/>
      <c r="Y2041" s="284"/>
      <c r="Z2041" s="207"/>
      <c r="AA2041" s="284"/>
      <c r="AB2041" s="284"/>
      <c r="AC2041" s="284"/>
      <c r="AD2041" s="284"/>
      <c r="AE2041" s="284"/>
      <c r="AF2041" s="284"/>
      <c r="AG2041" s="284"/>
    </row>
    <row r="2042" spans="1:33" ht="26.4">
      <c r="A2042" s="284"/>
      <c r="B2042" s="284"/>
      <c r="C2042" s="284"/>
      <c r="D2042" s="284"/>
      <c r="E2042" s="284"/>
      <c r="F2042" s="284"/>
      <c r="G2042" s="284"/>
      <c r="H2042" s="284"/>
      <c r="I2042" s="284"/>
      <c r="J2042" s="375"/>
      <c r="K2042" s="375"/>
      <c r="L2042" s="375"/>
      <c r="M2042" s="368"/>
      <c r="N2042" s="368"/>
      <c r="O2042" s="370"/>
      <c r="T2042" s="340"/>
      <c r="V2042" s="378"/>
      <c r="W2042" s="64" ph="1"/>
      <c r="X2042" s="241"/>
      <c r="Y2042" s="284"/>
      <c r="Z2042" s="207"/>
      <c r="AA2042" s="284"/>
      <c r="AB2042" s="284"/>
      <c r="AC2042" s="284"/>
      <c r="AD2042" s="284"/>
      <c r="AE2042" s="284"/>
      <c r="AF2042" s="284"/>
      <c r="AG2042" s="284"/>
    </row>
    <row r="2043" spans="1:33" ht="26.4">
      <c r="A2043" s="284"/>
      <c r="B2043" s="284"/>
      <c r="C2043" s="284"/>
      <c r="D2043" s="284"/>
      <c r="E2043" s="284"/>
      <c r="F2043" s="284"/>
      <c r="G2043" s="284"/>
      <c r="H2043" s="284"/>
      <c r="I2043" s="284"/>
      <c r="J2043" s="375"/>
      <c r="K2043" s="375"/>
      <c r="L2043" s="375"/>
      <c r="M2043" s="368"/>
      <c r="N2043" s="368"/>
      <c r="O2043" s="370"/>
      <c r="T2043" s="340"/>
      <c r="V2043" s="378"/>
      <c r="W2043" s="64" ph="1"/>
      <c r="X2043" s="241"/>
      <c r="Y2043" s="284"/>
      <c r="Z2043" s="207"/>
      <c r="AA2043" s="284"/>
      <c r="AB2043" s="284"/>
      <c r="AC2043" s="284"/>
      <c r="AD2043" s="284"/>
      <c r="AE2043" s="284"/>
      <c r="AF2043" s="284"/>
      <c r="AG2043" s="284"/>
    </row>
    <row r="2044" spans="1:33" ht="26.4">
      <c r="A2044" s="284"/>
      <c r="B2044" s="284"/>
      <c r="C2044" s="284"/>
      <c r="D2044" s="284"/>
      <c r="E2044" s="284"/>
      <c r="F2044" s="284"/>
      <c r="G2044" s="284"/>
      <c r="H2044" s="284"/>
      <c r="I2044" s="284"/>
      <c r="J2044" s="375"/>
      <c r="K2044" s="375"/>
      <c r="L2044" s="375"/>
      <c r="M2044" s="368"/>
      <c r="N2044" s="368"/>
      <c r="O2044" s="370"/>
      <c r="T2044" s="340"/>
      <c r="V2044" s="378"/>
      <c r="W2044" s="64" ph="1"/>
      <c r="X2044" s="241"/>
      <c r="Y2044" s="284"/>
      <c r="Z2044" s="207"/>
      <c r="AA2044" s="284"/>
      <c r="AB2044" s="284"/>
      <c r="AC2044" s="284"/>
      <c r="AD2044" s="284"/>
      <c r="AE2044" s="284"/>
      <c r="AF2044" s="284"/>
      <c r="AG2044" s="284"/>
    </row>
    <row r="2045" spans="1:33" ht="26.4">
      <c r="A2045" s="284"/>
      <c r="B2045" s="284"/>
      <c r="C2045" s="284"/>
      <c r="D2045" s="284"/>
      <c r="E2045" s="284"/>
      <c r="F2045" s="284"/>
      <c r="G2045" s="284"/>
      <c r="H2045" s="284"/>
      <c r="I2045" s="284"/>
      <c r="J2045" s="375"/>
      <c r="K2045" s="375"/>
      <c r="L2045" s="375"/>
      <c r="M2045" s="368"/>
      <c r="N2045" s="368"/>
      <c r="O2045" s="370"/>
      <c r="T2045" s="340"/>
      <c r="V2045" s="378"/>
      <c r="W2045" s="64" ph="1"/>
      <c r="X2045" s="241"/>
      <c r="Y2045" s="284"/>
      <c r="Z2045" s="207"/>
      <c r="AA2045" s="284"/>
      <c r="AB2045" s="284"/>
      <c r="AC2045" s="284"/>
      <c r="AD2045" s="284"/>
      <c r="AE2045" s="284"/>
      <c r="AF2045" s="284"/>
      <c r="AG2045" s="284"/>
    </row>
    <row r="2046" spans="1:33" ht="26.4">
      <c r="A2046" s="284"/>
      <c r="B2046" s="284"/>
      <c r="C2046" s="284"/>
      <c r="D2046" s="284"/>
      <c r="E2046" s="284"/>
      <c r="F2046" s="284"/>
      <c r="G2046" s="284"/>
      <c r="H2046" s="284"/>
      <c r="I2046" s="284"/>
      <c r="J2046" s="375"/>
      <c r="K2046" s="375"/>
      <c r="L2046" s="375"/>
      <c r="M2046" s="368"/>
      <c r="N2046" s="368"/>
      <c r="O2046" s="370"/>
      <c r="T2046" s="340"/>
      <c r="V2046" s="378"/>
      <c r="W2046" s="64" ph="1"/>
      <c r="X2046" s="241"/>
      <c r="Y2046" s="284"/>
      <c r="Z2046" s="207"/>
      <c r="AA2046" s="284"/>
      <c r="AB2046" s="284"/>
      <c r="AC2046" s="284"/>
      <c r="AD2046" s="284"/>
      <c r="AE2046" s="284"/>
      <c r="AF2046" s="284"/>
      <c r="AG2046" s="284"/>
    </row>
    <row r="2047" spans="1:33" ht="26.4">
      <c r="A2047" s="284"/>
      <c r="B2047" s="284"/>
      <c r="C2047" s="284"/>
      <c r="D2047" s="284"/>
      <c r="E2047" s="284"/>
      <c r="F2047" s="284"/>
      <c r="G2047" s="284"/>
      <c r="H2047" s="284"/>
      <c r="I2047" s="284"/>
      <c r="J2047" s="375"/>
      <c r="K2047" s="375"/>
      <c r="L2047" s="375"/>
      <c r="M2047" s="368"/>
      <c r="N2047" s="368"/>
      <c r="O2047" s="370"/>
      <c r="T2047" s="340"/>
      <c r="V2047" s="378"/>
      <c r="W2047" s="64" ph="1"/>
      <c r="X2047" s="241"/>
      <c r="Y2047" s="284"/>
      <c r="Z2047" s="207"/>
      <c r="AA2047" s="284"/>
      <c r="AB2047" s="284"/>
      <c r="AC2047" s="284"/>
      <c r="AD2047" s="284"/>
      <c r="AE2047" s="284"/>
      <c r="AF2047" s="284"/>
      <c r="AG2047" s="284"/>
    </row>
    <row r="2048" spans="1:33" ht="26.4">
      <c r="A2048" s="284"/>
      <c r="B2048" s="284"/>
      <c r="C2048" s="284"/>
      <c r="D2048" s="284"/>
      <c r="E2048" s="284"/>
      <c r="F2048" s="284"/>
      <c r="G2048" s="284"/>
      <c r="H2048" s="284"/>
      <c r="I2048" s="284"/>
      <c r="J2048" s="375"/>
      <c r="K2048" s="375"/>
      <c r="L2048" s="375"/>
      <c r="M2048" s="368"/>
      <c r="N2048" s="368"/>
      <c r="O2048" s="370"/>
      <c r="T2048" s="340"/>
      <c r="V2048" s="378"/>
      <c r="W2048" s="64" ph="1"/>
      <c r="X2048" s="241"/>
      <c r="Y2048" s="284"/>
      <c r="Z2048" s="207"/>
      <c r="AA2048" s="284"/>
      <c r="AB2048" s="284"/>
      <c r="AC2048" s="284"/>
      <c r="AD2048" s="284"/>
      <c r="AE2048" s="284"/>
      <c r="AF2048" s="284"/>
      <c r="AG2048" s="284"/>
    </row>
    <row r="2049" spans="1:33" ht="26.4">
      <c r="A2049" s="284"/>
      <c r="B2049" s="284"/>
      <c r="C2049" s="284"/>
      <c r="D2049" s="284"/>
      <c r="E2049" s="284"/>
      <c r="F2049" s="284"/>
      <c r="G2049" s="284"/>
      <c r="H2049" s="284"/>
      <c r="I2049" s="284"/>
      <c r="J2049" s="375"/>
      <c r="K2049" s="375"/>
      <c r="L2049" s="375"/>
      <c r="M2049" s="368"/>
      <c r="N2049" s="368"/>
      <c r="O2049" s="370"/>
      <c r="T2049" s="340"/>
      <c r="V2049" s="378"/>
      <c r="W2049" s="64" ph="1"/>
      <c r="X2049" s="241"/>
      <c r="Y2049" s="284"/>
      <c r="Z2049" s="207"/>
      <c r="AA2049" s="284"/>
      <c r="AB2049" s="284"/>
      <c r="AC2049" s="284"/>
      <c r="AD2049" s="284"/>
      <c r="AE2049" s="284"/>
      <c r="AF2049" s="284"/>
      <c r="AG2049" s="284"/>
    </row>
    <row r="2050" spans="1:33" ht="26.4">
      <c r="A2050" s="284"/>
      <c r="B2050" s="284"/>
      <c r="C2050" s="284"/>
      <c r="D2050" s="284"/>
      <c r="E2050" s="284"/>
      <c r="F2050" s="284"/>
      <c r="G2050" s="284"/>
      <c r="H2050" s="284"/>
      <c r="I2050" s="284"/>
      <c r="J2050" s="375"/>
      <c r="K2050" s="375"/>
      <c r="L2050" s="375"/>
      <c r="M2050" s="368"/>
      <c r="N2050" s="368"/>
      <c r="O2050" s="370"/>
      <c r="T2050" s="340"/>
      <c r="V2050" s="378"/>
      <c r="W2050" s="64" ph="1"/>
      <c r="X2050" s="241"/>
      <c r="Y2050" s="284"/>
      <c r="Z2050" s="207"/>
      <c r="AA2050" s="284"/>
      <c r="AB2050" s="284"/>
      <c r="AC2050" s="284"/>
      <c r="AD2050" s="284"/>
      <c r="AE2050" s="284"/>
      <c r="AF2050" s="284"/>
      <c r="AG2050" s="284"/>
    </row>
    <row r="2051" spans="1:33" ht="26.4">
      <c r="A2051" s="284"/>
      <c r="B2051" s="284"/>
      <c r="C2051" s="284"/>
      <c r="D2051" s="284"/>
      <c r="E2051" s="284"/>
      <c r="F2051" s="284"/>
      <c r="G2051" s="284"/>
      <c r="H2051" s="284"/>
      <c r="I2051" s="284"/>
      <c r="J2051" s="375"/>
      <c r="K2051" s="375"/>
      <c r="L2051" s="375"/>
      <c r="M2051" s="368"/>
      <c r="N2051" s="368"/>
      <c r="O2051" s="370"/>
      <c r="T2051" s="340"/>
      <c r="V2051" s="378"/>
      <c r="W2051" s="64" ph="1"/>
      <c r="X2051" s="241"/>
      <c r="Y2051" s="284"/>
      <c r="Z2051" s="207"/>
      <c r="AA2051" s="284"/>
      <c r="AB2051" s="284"/>
      <c r="AC2051" s="284"/>
      <c r="AD2051" s="284"/>
      <c r="AE2051" s="284"/>
      <c r="AF2051" s="284"/>
      <c r="AG2051" s="284"/>
    </row>
    <row r="2052" spans="1:33" ht="26.4">
      <c r="A2052" s="284"/>
      <c r="B2052" s="284"/>
      <c r="C2052" s="284"/>
      <c r="D2052" s="284"/>
      <c r="E2052" s="284"/>
      <c r="F2052" s="284"/>
      <c r="G2052" s="284"/>
      <c r="H2052" s="284"/>
      <c r="I2052" s="284"/>
      <c r="J2052" s="375"/>
      <c r="K2052" s="375"/>
      <c r="L2052" s="375"/>
      <c r="M2052" s="368"/>
      <c r="N2052" s="368"/>
      <c r="O2052" s="370"/>
      <c r="T2052" s="340"/>
      <c r="V2052" s="378"/>
      <c r="W2052" s="64" ph="1"/>
      <c r="X2052" s="241"/>
      <c r="Y2052" s="284"/>
      <c r="Z2052" s="207"/>
      <c r="AA2052" s="284"/>
      <c r="AB2052" s="284"/>
      <c r="AC2052" s="284"/>
      <c r="AD2052" s="284"/>
      <c r="AE2052" s="284"/>
      <c r="AF2052" s="284"/>
      <c r="AG2052" s="284"/>
    </row>
    <row r="2053" spans="1:33" ht="26.4">
      <c r="A2053" s="284"/>
      <c r="B2053" s="284"/>
      <c r="C2053" s="284"/>
      <c r="D2053" s="284"/>
      <c r="E2053" s="284"/>
      <c r="F2053" s="284"/>
      <c r="G2053" s="284"/>
      <c r="H2053" s="284"/>
      <c r="I2053" s="284"/>
      <c r="J2053" s="375"/>
      <c r="K2053" s="375"/>
      <c r="L2053" s="375"/>
      <c r="M2053" s="368"/>
      <c r="N2053" s="368"/>
      <c r="O2053" s="370"/>
      <c r="T2053" s="340"/>
      <c r="V2053" s="378"/>
      <c r="W2053" s="64" ph="1"/>
      <c r="X2053" s="241"/>
      <c r="Y2053" s="284"/>
      <c r="Z2053" s="207"/>
      <c r="AA2053" s="284"/>
      <c r="AB2053" s="284"/>
      <c r="AC2053" s="284"/>
      <c r="AD2053" s="284"/>
      <c r="AE2053" s="284"/>
      <c r="AF2053" s="284"/>
      <c r="AG2053" s="284"/>
    </row>
    <row r="2054" spans="1:33" ht="26.4">
      <c r="A2054" s="284"/>
      <c r="B2054" s="284"/>
      <c r="C2054" s="284"/>
      <c r="D2054" s="284"/>
      <c r="E2054" s="284"/>
      <c r="F2054" s="284"/>
      <c r="G2054" s="284"/>
      <c r="H2054" s="284"/>
      <c r="I2054" s="284"/>
      <c r="J2054" s="375"/>
      <c r="K2054" s="375"/>
      <c r="L2054" s="375"/>
      <c r="M2054" s="368"/>
      <c r="N2054" s="368"/>
      <c r="O2054" s="370"/>
      <c r="T2054" s="340"/>
      <c r="V2054" s="378"/>
      <c r="W2054" s="64" ph="1"/>
      <c r="X2054" s="241"/>
      <c r="Y2054" s="284"/>
      <c r="Z2054" s="207"/>
      <c r="AA2054" s="284"/>
      <c r="AB2054" s="284"/>
      <c r="AC2054" s="284"/>
      <c r="AD2054" s="284"/>
      <c r="AE2054" s="284"/>
      <c r="AF2054" s="284"/>
      <c r="AG2054" s="284"/>
    </row>
    <row r="2055" spans="1:33" ht="26.4">
      <c r="A2055" s="284"/>
      <c r="B2055" s="284"/>
      <c r="C2055" s="284"/>
      <c r="D2055" s="284"/>
      <c r="E2055" s="284"/>
      <c r="F2055" s="284"/>
      <c r="G2055" s="284"/>
      <c r="H2055" s="284"/>
      <c r="I2055" s="284"/>
      <c r="J2055" s="375"/>
      <c r="K2055" s="375"/>
      <c r="L2055" s="375"/>
      <c r="M2055" s="368"/>
      <c r="N2055" s="368"/>
      <c r="O2055" s="370"/>
      <c r="T2055" s="340"/>
      <c r="V2055" s="378"/>
      <c r="W2055" s="64" ph="1"/>
      <c r="X2055" s="241"/>
      <c r="Y2055" s="284"/>
      <c r="Z2055" s="207"/>
      <c r="AA2055" s="284"/>
      <c r="AB2055" s="284"/>
      <c r="AC2055" s="284"/>
      <c r="AD2055" s="284"/>
      <c r="AE2055" s="284"/>
      <c r="AF2055" s="284"/>
      <c r="AG2055" s="284"/>
    </row>
    <row r="2056" spans="1:33" ht="26.4">
      <c r="A2056" s="284"/>
      <c r="B2056" s="284"/>
      <c r="C2056" s="284"/>
      <c r="D2056" s="284"/>
      <c r="E2056" s="284"/>
      <c r="F2056" s="284"/>
      <c r="G2056" s="284"/>
      <c r="H2056" s="284"/>
      <c r="I2056" s="284"/>
      <c r="J2056" s="375"/>
      <c r="K2056" s="375"/>
      <c r="L2056" s="375"/>
      <c r="M2056" s="368"/>
      <c r="N2056" s="368"/>
      <c r="O2056" s="370"/>
      <c r="T2056" s="340"/>
      <c r="V2056" s="378"/>
      <c r="W2056" s="64" ph="1"/>
      <c r="X2056" s="241"/>
      <c r="Y2056" s="284"/>
      <c r="Z2056" s="207"/>
      <c r="AA2056" s="284"/>
      <c r="AB2056" s="284"/>
      <c r="AC2056" s="284"/>
      <c r="AD2056" s="284"/>
      <c r="AE2056" s="284"/>
      <c r="AF2056" s="284"/>
      <c r="AG2056" s="284"/>
    </row>
    <row r="2057" spans="1:33" ht="26.4">
      <c r="A2057" s="284"/>
      <c r="B2057" s="284"/>
      <c r="C2057" s="284"/>
      <c r="D2057" s="284"/>
      <c r="E2057" s="284"/>
      <c r="F2057" s="284"/>
      <c r="G2057" s="284"/>
      <c r="H2057" s="284"/>
      <c r="I2057" s="284"/>
      <c r="J2057" s="375"/>
      <c r="K2057" s="375"/>
      <c r="L2057" s="375"/>
      <c r="M2057" s="368"/>
      <c r="N2057" s="368"/>
      <c r="O2057" s="370"/>
      <c r="T2057" s="340"/>
      <c r="V2057" s="378"/>
      <c r="W2057" s="64" ph="1"/>
      <c r="X2057" s="241"/>
      <c r="Y2057" s="284"/>
      <c r="Z2057" s="207"/>
      <c r="AA2057" s="284"/>
      <c r="AB2057" s="284"/>
      <c r="AC2057" s="284"/>
      <c r="AD2057" s="284"/>
      <c r="AE2057" s="284"/>
      <c r="AF2057" s="284"/>
      <c r="AG2057" s="284"/>
    </row>
    <row r="2058" spans="1:33" ht="26.4">
      <c r="A2058" s="284"/>
      <c r="B2058" s="284"/>
      <c r="C2058" s="284"/>
      <c r="D2058" s="284"/>
      <c r="E2058" s="284"/>
      <c r="F2058" s="284"/>
      <c r="G2058" s="284"/>
      <c r="H2058" s="284"/>
      <c r="I2058" s="284"/>
      <c r="J2058" s="375"/>
      <c r="K2058" s="375"/>
      <c r="L2058" s="375"/>
      <c r="M2058" s="368"/>
      <c r="N2058" s="368"/>
      <c r="O2058" s="370"/>
      <c r="T2058" s="340"/>
      <c r="V2058" s="378"/>
      <c r="W2058" s="64" ph="1"/>
      <c r="X2058" s="241"/>
      <c r="Y2058" s="284"/>
      <c r="Z2058" s="207"/>
      <c r="AA2058" s="284"/>
      <c r="AB2058" s="284"/>
      <c r="AC2058" s="284"/>
      <c r="AD2058" s="284"/>
      <c r="AE2058" s="284"/>
      <c r="AF2058" s="284"/>
      <c r="AG2058" s="284"/>
    </row>
    <row r="2059" spans="1:33" ht="26.4">
      <c r="A2059" s="284"/>
      <c r="B2059" s="284"/>
      <c r="C2059" s="284"/>
      <c r="D2059" s="284"/>
      <c r="E2059" s="284"/>
      <c r="F2059" s="284"/>
      <c r="G2059" s="284"/>
      <c r="H2059" s="284"/>
      <c r="I2059" s="284"/>
      <c r="J2059" s="375"/>
      <c r="K2059" s="375"/>
      <c r="L2059" s="375"/>
      <c r="M2059" s="368"/>
      <c r="N2059" s="368"/>
      <c r="O2059" s="370"/>
      <c r="T2059" s="340"/>
      <c r="V2059" s="378"/>
      <c r="W2059" s="64" ph="1"/>
      <c r="X2059" s="241"/>
      <c r="Y2059" s="284"/>
      <c r="Z2059" s="207"/>
      <c r="AA2059" s="284"/>
      <c r="AB2059" s="284"/>
      <c r="AC2059" s="284"/>
      <c r="AD2059" s="284"/>
      <c r="AE2059" s="284"/>
      <c r="AF2059" s="284"/>
      <c r="AG2059" s="284"/>
    </row>
    <row r="2060" spans="1:33" ht="26.4">
      <c r="A2060" s="284"/>
      <c r="B2060" s="284"/>
      <c r="C2060" s="284"/>
      <c r="D2060" s="284"/>
      <c r="E2060" s="284"/>
      <c r="F2060" s="284"/>
      <c r="G2060" s="284"/>
      <c r="H2060" s="284"/>
      <c r="I2060" s="284"/>
      <c r="J2060" s="375"/>
      <c r="K2060" s="375"/>
      <c r="L2060" s="375"/>
      <c r="M2060" s="368"/>
      <c r="N2060" s="368"/>
      <c r="O2060" s="370"/>
      <c r="T2060" s="340"/>
      <c r="V2060" s="378"/>
      <c r="W2060" s="64" ph="1"/>
      <c r="X2060" s="241"/>
      <c r="Y2060" s="284"/>
      <c r="Z2060" s="207"/>
      <c r="AA2060" s="284"/>
      <c r="AB2060" s="284"/>
      <c r="AC2060" s="284"/>
      <c r="AD2060" s="284"/>
      <c r="AE2060" s="284"/>
      <c r="AF2060" s="284"/>
      <c r="AG2060" s="284"/>
    </row>
    <row r="2061" spans="1:33" ht="26.4">
      <c r="A2061" s="284"/>
      <c r="B2061" s="284"/>
      <c r="C2061" s="284"/>
      <c r="D2061" s="284"/>
      <c r="E2061" s="284"/>
      <c r="F2061" s="284"/>
      <c r="G2061" s="284"/>
      <c r="H2061" s="284"/>
      <c r="I2061" s="284"/>
      <c r="J2061" s="375"/>
      <c r="K2061" s="375"/>
      <c r="L2061" s="375"/>
      <c r="M2061" s="368"/>
      <c r="N2061" s="368"/>
      <c r="O2061" s="370"/>
      <c r="T2061" s="340"/>
      <c r="V2061" s="378"/>
      <c r="W2061" s="64" ph="1"/>
      <c r="X2061" s="241"/>
      <c r="Y2061" s="284"/>
      <c r="Z2061" s="207"/>
      <c r="AA2061" s="284"/>
      <c r="AB2061" s="284"/>
      <c r="AC2061" s="284"/>
      <c r="AD2061" s="284"/>
      <c r="AE2061" s="284"/>
      <c r="AF2061" s="284"/>
      <c r="AG2061" s="284"/>
    </row>
    <row r="2062" spans="1:33" ht="26.4">
      <c r="A2062" s="284"/>
      <c r="B2062" s="284"/>
      <c r="C2062" s="284"/>
      <c r="D2062" s="284"/>
      <c r="E2062" s="284"/>
      <c r="F2062" s="284"/>
      <c r="G2062" s="284"/>
      <c r="H2062" s="284"/>
      <c r="I2062" s="284"/>
      <c r="J2062" s="375"/>
      <c r="K2062" s="375"/>
      <c r="L2062" s="375"/>
      <c r="M2062" s="368"/>
      <c r="N2062" s="368"/>
      <c r="O2062" s="370"/>
      <c r="T2062" s="340"/>
      <c r="V2062" s="378"/>
      <c r="W2062" s="64" ph="1"/>
      <c r="X2062" s="241"/>
      <c r="Y2062" s="284"/>
      <c r="Z2062" s="207"/>
      <c r="AA2062" s="284"/>
      <c r="AB2062" s="284"/>
      <c r="AC2062" s="284"/>
      <c r="AD2062" s="284"/>
      <c r="AE2062" s="284"/>
      <c r="AF2062" s="284"/>
      <c r="AG2062" s="284"/>
    </row>
    <row r="2063" spans="1:33" ht="26.4">
      <c r="A2063" s="284"/>
      <c r="B2063" s="284"/>
      <c r="C2063" s="284"/>
      <c r="D2063" s="284"/>
      <c r="E2063" s="284"/>
      <c r="F2063" s="284"/>
      <c r="G2063" s="284"/>
      <c r="H2063" s="284"/>
      <c r="I2063" s="284"/>
      <c r="J2063" s="375"/>
      <c r="K2063" s="375"/>
      <c r="L2063" s="375"/>
      <c r="M2063" s="368"/>
      <c r="N2063" s="368"/>
      <c r="O2063" s="370"/>
      <c r="T2063" s="340"/>
      <c r="V2063" s="378"/>
      <c r="W2063" s="64" ph="1"/>
      <c r="X2063" s="241"/>
      <c r="Y2063" s="284"/>
      <c r="Z2063" s="207"/>
      <c r="AA2063" s="284"/>
      <c r="AB2063" s="284"/>
      <c r="AC2063" s="284"/>
      <c r="AD2063" s="284"/>
      <c r="AE2063" s="284"/>
      <c r="AF2063" s="284"/>
      <c r="AG2063" s="284"/>
    </row>
    <row r="2064" spans="1:33" ht="26.4">
      <c r="A2064" s="284"/>
      <c r="B2064" s="284"/>
      <c r="C2064" s="284"/>
      <c r="D2064" s="284"/>
      <c r="E2064" s="284"/>
      <c r="F2064" s="284"/>
      <c r="G2064" s="284"/>
      <c r="H2064" s="284"/>
      <c r="I2064" s="284"/>
      <c r="J2064" s="375"/>
      <c r="K2064" s="375"/>
      <c r="L2064" s="375"/>
      <c r="M2064" s="368"/>
      <c r="N2064" s="368"/>
      <c r="O2064" s="370"/>
      <c r="T2064" s="340"/>
      <c r="V2064" s="378"/>
      <c r="W2064" s="64" ph="1"/>
      <c r="X2064" s="241"/>
      <c r="Y2064" s="284"/>
      <c r="Z2064" s="207"/>
      <c r="AA2064" s="284"/>
      <c r="AB2064" s="284"/>
      <c r="AC2064" s="284"/>
      <c r="AD2064" s="284"/>
      <c r="AE2064" s="284"/>
      <c r="AF2064" s="284"/>
      <c r="AG2064" s="284"/>
    </row>
    <row r="2065" spans="1:33" ht="26.4">
      <c r="A2065" s="284"/>
      <c r="B2065" s="284"/>
      <c r="C2065" s="284"/>
      <c r="D2065" s="284"/>
      <c r="E2065" s="284"/>
      <c r="F2065" s="284"/>
      <c r="G2065" s="284"/>
      <c r="H2065" s="284"/>
      <c r="I2065" s="284"/>
      <c r="J2065" s="375"/>
      <c r="K2065" s="375"/>
      <c r="L2065" s="375"/>
      <c r="M2065" s="368"/>
      <c r="N2065" s="368"/>
      <c r="O2065" s="370"/>
      <c r="T2065" s="340"/>
      <c r="V2065" s="378"/>
      <c r="W2065" s="64" ph="1"/>
      <c r="X2065" s="241"/>
      <c r="Y2065" s="284"/>
      <c r="Z2065" s="207"/>
      <c r="AA2065" s="284"/>
      <c r="AB2065" s="284"/>
      <c r="AC2065" s="284"/>
      <c r="AD2065" s="284"/>
      <c r="AE2065" s="284"/>
      <c r="AF2065" s="284"/>
      <c r="AG2065" s="284"/>
    </row>
    <row r="2066" spans="1:33" ht="26.4">
      <c r="A2066" s="284"/>
      <c r="B2066" s="284"/>
      <c r="C2066" s="284"/>
      <c r="D2066" s="284"/>
      <c r="E2066" s="284"/>
      <c r="F2066" s="284"/>
      <c r="G2066" s="284"/>
      <c r="H2066" s="284"/>
      <c r="I2066" s="284"/>
      <c r="J2066" s="375"/>
      <c r="K2066" s="375"/>
      <c r="L2066" s="375"/>
      <c r="M2066" s="368"/>
      <c r="N2066" s="368"/>
      <c r="O2066" s="370"/>
      <c r="T2066" s="340"/>
      <c r="V2066" s="378"/>
      <c r="W2066" s="64" ph="1"/>
      <c r="X2066" s="241"/>
      <c r="Y2066" s="284"/>
      <c r="Z2066" s="207"/>
      <c r="AA2066" s="284"/>
      <c r="AB2066" s="284"/>
      <c r="AC2066" s="284"/>
      <c r="AD2066" s="284"/>
      <c r="AE2066" s="284"/>
      <c r="AF2066" s="284"/>
      <c r="AG2066" s="284"/>
    </row>
    <row r="2067" spans="1:33" ht="26.4">
      <c r="A2067" s="284"/>
      <c r="B2067" s="284"/>
      <c r="C2067" s="284"/>
      <c r="D2067" s="284"/>
      <c r="E2067" s="284"/>
      <c r="F2067" s="284"/>
      <c r="G2067" s="284"/>
      <c r="H2067" s="284"/>
      <c r="I2067" s="284"/>
      <c r="J2067" s="375"/>
      <c r="K2067" s="375"/>
      <c r="L2067" s="375"/>
      <c r="M2067" s="368"/>
      <c r="N2067" s="368"/>
      <c r="O2067" s="370"/>
      <c r="T2067" s="340"/>
      <c r="V2067" s="378"/>
      <c r="W2067" s="64" ph="1"/>
      <c r="X2067" s="241"/>
      <c r="Y2067" s="284"/>
      <c r="Z2067" s="207"/>
      <c r="AA2067" s="284"/>
      <c r="AB2067" s="284"/>
      <c r="AC2067" s="284"/>
      <c r="AD2067" s="284"/>
      <c r="AE2067" s="284"/>
      <c r="AF2067" s="284"/>
      <c r="AG2067" s="284"/>
    </row>
    <row r="2068" spans="1:33" ht="26.4">
      <c r="A2068" s="284"/>
      <c r="B2068" s="284"/>
      <c r="C2068" s="284"/>
      <c r="D2068" s="284"/>
      <c r="E2068" s="284"/>
      <c r="F2068" s="284"/>
      <c r="G2068" s="284"/>
      <c r="H2068" s="284"/>
      <c r="I2068" s="284"/>
      <c r="J2068" s="375"/>
      <c r="K2068" s="375"/>
      <c r="L2068" s="375"/>
      <c r="M2068" s="368"/>
      <c r="N2068" s="368"/>
      <c r="O2068" s="370"/>
      <c r="T2068" s="340"/>
      <c r="V2068" s="378"/>
      <c r="W2068" s="64" ph="1"/>
      <c r="X2068" s="241"/>
      <c r="Y2068" s="284"/>
      <c r="Z2068" s="207"/>
      <c r="AA2068" s="284"/>
      <c r="AB2068" s="284"/>
      <c r="AC2068" s="284"/>
      <c r="AD2068" s="284"/>
      <c r="AE2068" s="284"/>
      <c r="AF2068" s="284"/>
      <c r="AG2068" s="284"/>
    </row>
    <row r="2069" spans="1:33" ht="26.4">
      <c r="A2069" s="284"/>
      <c r="B2069" s="284"/>
      <c r="C2069" s="284"/>
      <c r="D2069" s="284"/>
      <c r="E2069" s="284"/>
      <c r="F2069" s="284"/>
      <c r="G2069" s="284"/>
      <c r="H2069" s="284"/>
      <c r="I2069" s="284"/>
      <c r="J2069" s="375"/>
      <c r="K2069" s="375"/>
      <c r="L2069" s="375"/>
      <c r="M2069" s="368"/>
      <c r="N2069" s="368"/>
      <c r="O2069" s="370"/>
      <c r="T2069" s="340"/>
      <c r="V2069" s="378"/>
      <c r="W2069" s="64" ph="1"/>
      <c r="X2069" s="241"/>
      <c r="Y2069" s="284"/>
      <c r="Z2069" s="207"/>
      <c r="AA2069" s="284"/>
      <c r="AB2069" s="284"/>
      <c r="AC2069" s="284"/>
      <c r="AD2069" s="284"/>
      <c r="AE2069" s="284"/>
      <c r="AF2069" s="284"/>
      <c r="AG2069" s="284"/>
    </row>
    <row r="2070" spans="1:33" ht="26.4">
      <c r="A2070" s="284"/>
      <c r="B2070" s="284"/>
      <c r="C2070" s="284"/>
      <c r="D2070" s="284"/>
      <c r="E2070" s="284"/>
      <c r="F2070" s="284"/>
      <c r="G2070" s="284"/>
      <c r="H2070" s="284"/>
      <c r="I2070" s="284"/>
      <c r="J2070" s="375"/>
      <c r="K2070" s="375"/>
      <c r="L2070" s="375"/>
      <c r="M2070" s="368"/>
      <c r="N2070" s="368"/>
      <c r="O2070" s="370"/>
      <c r="T2070" s="340"/>
      <c r="V2070" s="378"/>
      <c r="W2070" s="64" ph="1"/>
      <c r="X2070" s="241"/>
      <c r="Y2070" s="284"/>
      <c r="Z2070" s="207"/>
      <c r="AA2070" s="284"/>
      <c r="AB2070" s="284"/>
      <c r="AC2070" s="284"/>
      <c r="AD2070" s="284"/>
      <c r="AE2070" s="284"/>
      <c r="AF2070" s="284"/>
      <c r="AG2070" s="284"/>
    </row>
    <row r="2071" spans="1:33" ht="26.4">
      <c r="A2071" s="284"/>
      <c r="B2071" s="284"/>
      <c r="C2071" s="284"/>
      <c r="D2071" s="284"/>
      <c r="E2071" s="284"/>
      <c r="F2071" s="284"/>
      <c r="G2071" s="284"/>
      <c r="H2071" s="284"/>
      <c r="I2071" s="284"/>
      <c r="J2071" s="375"/>
      <c r="K2071" s="375"/>
      <c r="L2071" s="375"/>
      <c r="M2071" s="368"/>
      <c r="N2071" s="368"/>
      <c r="O2071" s="370"/>
      <c r="T2071" s="340"/>
      <c r="V2071" s="378"/>
      <c r="W2071" s="64" ph="1"/>
      <c r="X2071" s="241"/>
      <c r="Y2071" s="284"/>
      <c r="Z2071" s="207"/>
      <c r="AA2071" s="284"/>
      <c r="AB2071" s="284"/>
      <c r="AC2071" s="284"/>
      <c r="AD2071" s="284"/>
      <c r="AE2071" s="284"/>
      <c r="AF2071" s="284"/>
      <c r="AG2071" s="284"/>
    </row>
    <row r="2072" spans="1:33" ht="26.4">
      <c r="A2072" s="284"/>
      <c r="B2072" s="284"/>
      <c r="C2072" s="284"/>
      <c r="D2072" s="284"/>
      <c r="E2072" s="284"/>
      <c r="F2072" s="284"/>
      <c r="G2072" s="284"/>
      <c r="H2072" s="284"/>
      <c r="I2072" s="284"/>
      <c r="J2072" s="375"/>
      <c r="K2072" s="375"/>
      <c r="L2072" s="375"/>
      <c r="M2072" s="368"/>
      <c r="N2072" s="368"/>
      <c r="O2072" s="370"/>
      <c r="T2072" s="340"/>
      <c r="V2072" s="378"/>
      <c r="W2072" s="64" ph="1"/>
      <c r="X2072" s="241"/>
      <c r="Y2072" s="284"/>
      <c r="Z2072" s="207"/>
      <c r="AA2072" s="284"/>
      <c r="AB2072" s="284"/>
      <c r="AC2072" s="284"/>
      <c r="AD2072" s="284"/>
      <c r="AE2072" s="284"/>
      <c r="AF2072" s="284"/>
      <c r="AG2072" s="284"/>
    </row>
    <row r="2073" spans="1:33" ht="26.4">
      <c r="A2073" s="284"/>
      <c r="B2073" s="284"/>
      <c r="C2073" s="284"/>
      <c r="D2073" s="284"/>
      <c r="E2073" s="284"/>
      <c r="F2073" s="284"/>
      <c r="G2073" s="284"/>
      <c r="H2073" s="284"/>
      <c r="I2073" s="284"/>
      <c r="J2073" s="375"/>
      <c r="K2073" s="375"/>
      <c r="L2073" s="375"/>
      <c r="M2073" s="368"/>
      <c r="N2073" s="368"/>
      <c r="O2073" s="370"/>
      <c r="T2073" s="340"/>
      <c r="V2073" s="378"/>
      <c r="W2073" s="64" ph="1"/>
      <c r="X2073" s="241"/>
      <c r="Y2073" s="284"/>
      <c r="Z2073" s="207"/>
      <c r="AA2073" s="284"/>
      <c r="AB2073" s="284"/>
      <c r="AC2073" s="284"/>
      <c r="AD2073" s="284"/>
      <c r="AE2073" s="284"/>
      <c r="AF2073" s="284"/>
      <c r="AG2073" s="284"/>
    </row>
    <row r="2074" spans="1:33" ht="26.4">
      <c r="A2074" s="284"/>
      <c r="B2074" s="284"/>
      <c r="C2074" s="284"/>
      <c r="D2074" s="284"/>
      <c r="E2074" s="284"/>
      <c r="F2074" s="284"/>
      <c r="G2074" s="284"/>
      <c r="H2074" s="284"/>
      <c r="I2074" s="284"/>
      <c r="J2074" s="375"/>
      <c r="K2074" s="375"/>
      <c r="L2074" s="375"/>
      <c r="M2074" s="368"/>
      <c r="N2074" s="368"/>
      <c r="O2074" s="370"/>
      <c r="T2074" s="340"/>
      <c r="V2074" s="378"/>
      <c r="W2074" s="64" ph="1"/>
      <c r="X2074" s="241"/>
      <c r="Y2074" s="284"/>
      <c r="Z2074" s="207"/>
      <c r="AA2074" s="284"/>
      <c r="AB2074" s="284"/>
      <c r="AC2074" s="284"/>
      <c r="AD2074" s="284"/>
      <c r="AE2074" s="284"/>
      <c r="AF2074" s="284"/>
      <c r="AG2074" s="284"/>
    </row>
    <row r="2075" spans="1:33" ht="26.4">
      <c r="A2075" s="284"/>
      <c r="B2075" s="284"/>
      <c r="C2075" s="284"/>
      <c r="D2075" s="284"/>
      <c r="E2075" s="284"/>
      <c r="F2075" s="284"/>
      <c r="G2075" s="284"/>
      <c r="H2075" s="284"/>
      <c r="I2075" s="284"/>
      <c r="J2075" s="375"/>
      <c r="K2075" s="375"/>
      <c r="L2075" s="375"/>
      <c r="M2075" s="368"/>
      <c r="N2075" s="368"/>
      <c r="O2075" s="370"/>
      <c r="T2075" s="340"/>
      <c r="V2075" s="378"/>
      <c r="W2075" s="64" ph="1"/>
      <c r="X2075" s="241"/>
      <c r="Y2075" s="284"/>
      <c r="Z2075" s="207"/>
      <c r="AA2075" s="284"/>
      <c r="AB2075" s="284"/>
      <c r="AC2075" s="284"/>
      <c r="AD2075" s="284"/>
      <c r="AE2075" s="284"/>
      <c r="AF2075" s="284"/>
      <c r="AG2075" s="284"/>
    </row>
    <row r="2076" spans="1:33" ht="26.4">
      <c r="A2076" s="284"/>
      <c r="B2076" s="284"/>
      <c r="C2076" s="284"/>
      <c r="D2076" s="284"/>
      <c r="E2076" s="284"/>
      <c r="F2076" s="284"/>
      <c r="G2076" s="284"/>
      <c r="H2076" s="284"/>
      <c r="I2076" s="284"/>
      <c r="J2076" s="375"/>
      <c r="K2076" s="375"/>
      <c r="L2076" s="375"/>
      <c r="M2076" s="368"/>
      <c r="N2076" s="368"/>
      <c r="O2076" s="370"/>
      <c r="T2076" s="340"/>
      <c r="V2076" s="378"/>
      <c r="W2076" s="64" ph="1"/>
      <c r="X2076" s="241"/>
      <c r="Y2076" s="284"/>
      <c r="Z2076" s="207"/>
      <c r="AA2076" s="284"/>
      <c r="AB2076" s="284"/>
      <c r="AC2076" s="284"/>
      <c r="AD2076" s="284"/>
      <c r="AE2076" s="284"/>
      <c r="AF2076" s="284"/>
      <c r="AG2076" s="284"/>
    </row>
    <row r="2077" spans="1:33" ht="26.4">
      <c r="A2077" s="284"/>
      <c r="B2077" s="284"/>
      <c r="C2077" s="284"/>
      <c r="D2077" s="284"/>
      <c r="E2077" s="284"/>
      <c r="F2077" s="284"/>
      <c r="G2077" s="284"/>
      <c r="H2077" s="284"/>
      <c r="I2077" s="284"/>
      <c r="J2077" s="375"/>
      <c r="K2077" s="375"/>
      <c r="L2077" s="375"/>
      <c r="M2077" s="368"/>
      <c r="N2077" s="368"/>
      <c r="O2077" s="370"/>
      <c r="T2077" s="340"/>
      <c r="V2077" s="378"/>
      <c r="W2077" s="64" ph="1"/>
      <c r="X2077" s="241"/>
      <c r="Y2077" s="284"/>
      <c r="Z2077" s="207"/>
      <c r="AA2077" s="284"/>
      <c r="AB2077" s="284"/>
      <c r="AC2077" s="284"/>
      <c r="AD2077" s="284"/>
      <c r="AE2077" s="284"/>
      <c r="AF2077" s="284"/>
      <c r="AG2077" s="284"/>
    </row>
    <row r="2078" spans="1:33" ht="26.4">
      <c r="A2078" s="284"/>
      <c r="B2078" s="284"/>
      <c r="C2078" s="284"/>
      <c r="D2078" s="284"/>
      <c r="E2078" s="284"/>
      <c r="F2078" s="284"/>
      <c r="G2078" s="284"/>
      <c r="H2078" s="284"/>
      <c r="I2078" s="284"/>
      <c r="J2078" s="375"/>
      <c r="K2078" s="375"/>
      <c r="L2078" s="375"/>
      <c r="M2078" s="368"/>
      <c r="N2078" s="368"/>
      <c r="O2078" s="370"/>
      <c r="T2078" s="340"/>
      <c r="V2078" s="378"/>
      <c r="W2078" s="64" ph="1"/>
      <c r="X2078" s="241"/>
      <c r="Y2078" s="284"/>
      <c r="Z2078" s="207"/>
      <c r="AA2078" s="284"/>
      <c r="AB2078" s="284"/>
      <c r="AC2078" s="284"/>
      <c r="AD2078" s="284"/>
      <c r="AE2078" s="284"/>
      <c r="AF2078" s="284"/>
      <c r="AG2078" s="284"/>
    </row>
    <row r="2079" spans="1:33" ht="26.4">
      <c r="A2079" s="284"/>
      <c r="B2079" s="284"/>
      <c r="C2079" s="284"/>
      <c r="D2079" s="284"/>
      <c r="E2079" s="284"/>
      <c r="F2079" s="284"/>
      <c r="G2079" s="284"/>
      <c r="H2079" s="284"/>
      <c r="I2079" s="284"/>
      <c r="J2079" s="375"/>
      <c r="K2079" s="375"/>
      <c r="L2079" s="375"/>
      <c r="M2079" s="368"/>
      <c r="N2079" s="368"/>
      <c r="O2079" s="370"/>
      <c r="T2079" s="340"/>
      <c r="V2079" s="378"/>
      <c r="W2079" s="64" ph="1"/>
      <c r="X2079" s="241"/>
      <c r="Y2079" s="284"/>
      <c r="Z2079" s="207"/>
      <c r="AA2079" s="284"/>
      <c r="AB2079" s="284"/>
      <c r="AC2079" s="284"/>
      <c r="AD2079" s="284"/>
      <c r="AE2079" s="284"/>
      <c r="AF2079" s="284"/>
      <c r="AG2079" s="284"/>
    </row>
    <row r="2080" spans="1:33" ht="26.4">
      <c r="A2080" s="284"/>
      <c r="B2080" s="284"/>
      <c r="C2080" s="284"/>
      <c r="D2080" s="284"/>
      <c r="E2080" s="284"/>
      <c r="F2080" s="284"/>
      <c r="G2080" s="284"/>
      <c r="H2080" s="284"/>
      <c r="I2080" s="284"/>
      <c r="J2080" s="375"/>
      <c r="K2080" s="375"/>
      <c r="L2080" s="375"/>
      <c r="M2080" s="368"/>
      <c r="N2080" s="368"/>
      <c r="O2080" s="370"/>
      <c r="T2080" s="340"/>
      <c r="V2080" s="378"/>
      <c r="W2080" s="64" ph="1"/>
      <c r="X2080" s="241"/>
      <c r="Y2080" s="284"/>
      <c r="Z2080" s="207"/>
      <c r="AA2080" s="284"/>
      <c r="AB2080" s="284"/>
      <c r="AC2080" s="284"/>
      <c r="AD2080" s="284"/>
      <c r="AE2080" s="284"/>
      <c r="AF2080" s="284"/>
      <c r="AG2080" s="284"/>
    </row>
    <row r="2081" spans="1:33" ht="26.4">
      <c r="A2081" s="284"/>
      <c r="B2081" s="284"/>
      <c r="C2081" s="284"/>
      <c r="D2081" s="284"/>
      <c r="E2081" s="284"/>
      <c r="F2081" s="284"/>
      <c r="G2081" s="284"/>
      <c r="H2081" s="284"/>
      <c r="I2081" s="284"/>
      <c r="J2081" s="375"/>
      <c r="K2081" s="375"/>
      <c r="L2081" s="375"/>
      <c r="M2081" s="368"/>
      <c r="N2081" s="368"/>
      <c r="O2081" s="370"/>
      <c r="T2081" s="340"/>
      <c r="V2081" s="378"/>
      <c r="W2081" s="64" ph="1"/>
      <c r="X2081" s="241"/>
      <c r="Y2081" s="284"/>
      <c r="Z2081" s="207"/>
      <c r="AA2081" s="284"/>
      <c r="AB2081" s="284"/>
      <c r="AC2081" s="284"/>
      <c r="AD2081" s="284"/>
      <c r="AE2081" s="284"/>
      <c r="AF2081" s="284"/>
      <c r="AG2081" s="284"/>
    </row>
    <row r="2082" spans="1:33" ht="26.4">
      <c r="A2082" s="284"/>
      <c r="B2082" s="284"/>
      <c r="C2082" s="284"/>
      <c r="D2082" s="284"/>
      <c r="E2082" s="284"/>
      <c r="F2082" s="284"/>
      <c r="G2082" s="284"/>
      <c r="H2082" s="284"/>
      <c r="I2082" s="284"/>
      <c r="J2082" s="375"/>
      <c r="K2082" s="375"/>
      <c r="L2082" s="375"/>
      <c r="M2082" s="368"/>
      <c r="N2082" s="368"/>
      <c r="O2082" s="370"/>
      <c r="T2082" s="340"/>
      <c r="V2082" s="378"/>
      <c r="W2082" s="64" ph="1"/>
      <c r="X2082" s="241"/>
      <c r="Y2082" s="284"/>
      <c r="Z2082" s="207"/>
      <c r="AA2082" s="284"/>
      <c r="AB2082" s="284"/>
      <c r="AC2082" s="284"/>
      <c r="AD2082" s="284"/>
      <c r="AE2082" s="284"/>
      <c r="AF2082" s="284"/>
      <c r="AG2082" s="284"/>
    </row>
    <row r="2083" spans="1:33" ht="26.4">
      <c r="A2083" s="284"/>
      <c r="B2083" s="284"/>
      <c r="C2083" s="284"/>
      <c r="D2083" s="284"/>
      <c r="E2083" s="284"/>
      <c r="F2083" s="284"/>
      <c r="G2083" s="284"/>
      <c r="H2083" s="284"/>
      <c r="I2083" s="284"/>
      <c r="J2083" s="375"/>
      <c r="K2083" s="375"/>
      <c r="L2083" s="375"/>
      <c r="M2083" s="368"/>
      <c r="N2083" s="368"/>
      <c r="O2083" s="370"/>
      <c r="T2083" s="340"/>
      <c r="V2083" s="378"/>
      <c r="W2083" s="64" ph="1"/>
      <c r="X2083" s="241"/>
      <c r="Y2083" s="284"/>
      <c r="Z2083" s="207"/>
      <c r="AA2083" s="284"/>
      <c r="AB2083" s="284"/>
      <c r="AC2083" s="284"/>
      <c r="AD2083" s="284"/>
      <c r="AE2083" s="284"/>
      <c r="AF2083" s="284"/>
      <c r="AG2083" s="284"/>
    </row>
    <row r="2084" spans="1:33" ht="26.4">
      <c r="A2084" s="284"/>
      <c r="B2084" s="284"/>
      <c r="C2084" s="284"/>
      <c r="D2084" s="284"/>
      <c r="E2084" s="284"/>
      <c r="F2084" s="284"/>
      <c r="G2084" s="284"/>
      <c r="H2084" s="284"/>
      <c r="I2084" s="284"/>
      <c r="J2084" s="375"/>
      <c r="K2084" s="375"/>
      <c r="L2084" s="375"/>
      <c r="M2084" s="368"/>
      <c r="N2084" s="368"/>
      <c r="O2084" s="370"/>
      <c r="T2084" s="340"/>
      <c r="V2084" s="378"/>
      <c r="W2084" s="64" ph="1"/>
      <c r="X2084" s="241"/>
      <c r="Y2084" s="284"/>
      <c r="Z2084" s="207"/>
      <c r="AA2084" s="284"/>
      <c r="AB2084" s="284"/>
      <c r="AC2084" s="284"/>
      <c r="AD2084" s="284"/>
      <c r="AE2084" s="284"/>
      <c r="AF2084" s="284"/>
      <c r="AG2084" s="284"/>
    </row>
    <row r="2085" spans="1:33" ht="26.4">
      <c r="A2085" s="284"/>
      <c r="B2085" s="284"/>
      <c r="C2085" s="284"/>
      <c r="D2085" s="284"/>
      <c r="E2085" s="284"/>
      <c r="F2085" s="284"/>
      <c r="G2085" s="284"/>
      <c r="H2085" s="284"/>
      <c r="I2085" s="284"/>
      <c r="J2085" s="375"/>
      <c r="K2085" s="375"/>
      <c r="L2085" s="375"/>
      <c r="M2085" s="368"/>
      <c r="N2085" s="368"/>
      <c r="O2085" s="370"/>
      <c r="T2085" s="340"/>
      <c r="V2085" s="378"/>
      <c r="W2085" s="64" ph="1"/>
      <c r="X2085" s="241"/>
      <c r="Y2085" s="284"/>
      <c r="Z2085" s="207"/>
      <c r="AA2085" s="284"/>
      <c r="AB2085" s="284"/>
      <c r="AC2085" s="284"/>
      <c r="AD2085" s="284"/>
      <c r="AE2085" s="284"/>
      <c r="AF2085" s="284"/>
      <c r="AG2085" s="284"/>
    </row>
    <row r="2086" spans="1:33" ht="26.4">
      <c r="A2086" s="284"/>
      <c r="B2086" s="284"/>
      <c r="C2086" s="284"/>
      <c r="D2086" s="284"/>
      <c r="E2086" s="284"/>
      <c r="F2086" s="284"/>
      <c r="G2086" s="284"/>
      <c r="H2086" s="284"/>
      <c r="I2086" s="284"/>
      <c r="J2086" s="375"/>
      <c r="K2086" s="375"/>
      <c r="L2086" s="375"/>
      <c r="M2086" s="368"/>
      <c r="N2086" s="368"/>
      <c r="O2086" s="370"/>
      <c r="T2086" s="340"/>
      <c r="V2086" s="378"/>
      <c r="W2086" s="64" ph="1"/>
      <c r="X2086" s="241"/>
      <c r="Y2086" s="284"/>
      <c r="Z2086" s="207"/>
      <c r="AA2086" s="284"/>
      <c r="AB2086" s="284"/>
      <c r="AC2086" s="284"/>
      <c r="AD2086" s="284"/>
      <c r="AE2086" s="284"/>
      <c r="AF2086" s="284"/>
      <c r="AG2086" s="284"/>
    </row>
    <row r="2087" spans="1:33" ht="26.4">
      <c r="A2087" s="284"/>
      <c r="B2087" s="284"/>
      <c r="C2087" s="284"/>
      <c r="D2087" s="284"/>
      <c r="E2087" s="284"/>
      <c r="F2087" s="284"/>
      <c r="G2087" s="284"/>
      <c r="H2087" s="284"/>
      <c r="I2087" s="284"/>
      <c r="J2087" s="375"/>
      <c r="K2087" s="375"/>
      <c r="L2087" s="375"/>
      <c r="M2087" s="368"/>
      <c r="N2087" s="368"/>
      <c r="O2087" s="370"/>
      <c r="T2087" s="340"/>
      <c r="V2087" s="378"/>
      <c r="W2087" s="64" ph="1"/>
      <c r="X2087" s="241"/>
      <c r="Y2087" s="284"/>
      <c r="Z2087" s="207"/>
      <c r="AA2087" s="284"/>
      <c r="AB2087" s="284"/>
      <c r="AC2087" s="284"/>
      <c r="AD2087" s="284"/>
      <c r="AE2087" s="284"/>
      <c r="AF2087" s="284"/>
      <c r="AG2087" s="284"/>
    </row>
    <row r="2088" spans="1:33" ht="26.4">
      <c r="A2088" s="284"/>
      <c r="B2088" s="284"/>
      <c r="C2088" s="284"/>
      <c r="D2088" s="284"/>
      <c r="E2088" s="284"/>
      <c r="F2088" s="284"/>
      <c r="G2088" s="284"/>
      <c r="H2088" s="284"/>
      <c r="I2088" s="284"/>
      <c r="J2088" s="375"/>
      <c r="K2088" s="375"/>
      <c r="L2088" s="375"/>
      <c r="M2088" s="368"/>
      <c r="N2088" s="368"/>
      <c r="O2088" s="370"/>
      <c r="T2088" s="340"/>
      <c r="V2088" s="378"/>
      <c r="W2088" s="64" ph="1"/>
      <c r="X2088" s="241"/>
      <c r="Y2088" s="284"/>
      <c r="Z2088" s="207"/>
      <c r="AA2088" s="284"/>
      <c r="AB2088" s="284"/>
      <c r="AC2088" s="284"/>
      <c r="AD2088" s="284"/>
      <c r="AE2088" s="284"/>
      <c r="AF2088" s="284"/>
      <c r="AG2088" s="284"/>
    </row>
    <row r="2089" spans="1:33" ht="26.4">
      <c r="A2089" s="284"/>
      <c r="B2089" s="284"/>
      <c r="C2089" s="284"/>
      <c r="D2089" s="284"/>
      <c r="E2089" s="284"/>
      <c r="F2089" s="284"/>
      <c r="G2089" s="284"/>
      <c r="H2089" s="284"/>
      <c r="I2089" s="284"/>
      <c r="J2089" s="375"/>
      <c r="K2089" s="375"/>
      <c r="L2089" s="375"/>
      <c r="M2089" s="368"/>
      <c r="N2089" s="368"/>
      <c r="O2089" s="370"/>
      <c r="T2089" s="340"/>
      <c r="V2089" s="378"/>
      <c r="W2089" s="64" ph="1"/>
      <c r="X2089" s="241"/>
      <c r="Y2089" s="284"/>
      <c r="Z2089" s="207"/>
      <c r="AA2089" s="284"/>
      <c r="AB2089" s="284"/>
      <c r="AC2089" s="284"/>
      <c r="AD2089" s="284"/>
      <c r="AE2089" s="284"/>
      <c r="AF2089" s="284"/>
      <c r="AG2089" s="284"/>
    </row>
    <row r="2090" spans="1:33" ht="26.4">
      <c r="A2090" s="284"/>
      <c r="B2090" s="284"/>
      <c r="C2090" s="284"/>
      <c r="D2090" s="284"/>
      <c r="E2090" s="284"/>
      <c r="F2090" s="284"/>
      <c r="G2090" s="284"/>
      <c r="H2090" s="284"/>
      <c r="I2090" s="284"/>
      <c r="J2090" s="375"/>
      <c r="K2090" s="375"/>
      <c r="L2090" s="375"/>
      <c r="M2090" s="368"/>
      <c r="N2090" s="368"/>
      <c r="O2090" s="370"/>
      <c r="T2090" s="340"/>
      <c r="V2090" s="378"/>
      <c r="W2090" s="64" ph="1"/>
      <c r="X2090" s="241"/>
      <c r="Y2090" s="284"/>
      <c r="Z2090" s="207"/>
      <c r="AA2090" s="284"/>
      <c r="AB2090" s="284"/>
      <c r="AC2090" s="284"/>
      <c r="AD2090" s="284"/>
      <c r="AE2090" s="284"/>
      <c r="AF2090" s="284"/>
      <c r="AG2090" s="284"/>
    </row>
    <row r="2091" spans="1:33" ht="26.4">
      <c r="A2091" s="284"/>
      <c r="B2091" s="284"/>
      <c r="C2091" s="284"/>
      <c r="D2091" s="284"/>
      <c r="E2091" s="284"/>
      <c r="F2091" s="284"/>
      <c r="G2091" s="284"/>
      <c r="H2091" s="284"/>
      <c r="I2091" s="284"/>
      <c r="J2091" s="375"/>
      <c r="K2091" s="375"/>
      <c r="L2091" s="375"/>
      <c r="M2091" s="368"/>
      <c r="N2091" s="368"/>
      <c r="O2091" s="370"/>
      <c r="T2091" s="340"/>
      <c r="V2091" s="378"/>
      <c r="W2091" s="64" ph="1"/>
      <c r="X2091" s="241"/>
      <c r="Y2091" s="284"/>
      <c r="Z2091" s="207"/>
      <c r="AA2091" s="284"/>
      <c r="AB2091" s="284"/>
      <c r="AC2091" s="284"/>
      <c r="AD2091" s="284"/>
      <c r="AE2091" s="284"/>
      <c r="AF2091" s="284"/>
      <c r="AG2091" s="284"/>
    </row>
    <row r="2092" spans="1:33" ht="26.4">
      <c r="A2092" s="284"/>
      <c r="B2092" s="284"/>
      <c r="C2092" s="284"/>
      <c r="D2092" s="284"/>
      <c r="E2092" s="284"/>
      <c r="F2092" s="284"/>
      <c r="G2092" s="284"/>
      <c r="H2092" s="284"/>
      <c r="I2092" s="284"/>
      <c r="J2092" s="375"/>
      <c r="K2092" s="375"/>
      <c r="L2092" s="375"/>
      <c r="M2092" s="368"/>
      <c r="N2092" s="368"/>
      <c r="O2092" s="370"/>
      <c r="T2092" s="340"/>
      <c r="V2092" s="378"/>
      <c r="W2092" s="64" ph="1"/>
      <c r="X2092" s="241"/>
      <c r="Y2092" s="284"/>
      <c r="Z2092" s="207"/>
      <c r="AA2092" s="284"/>
      <c r="AB2092" s="284"/>
      <c r="AC2092" s="284"/>
      <c r="AD2092" s="284"/>
      <c r="AE2092" s="284"/>
      <c r="AF2092" s="284"/>
      <c r="AG2092" s="284"/>
    </row>
    <row r="2093" spans="1:33" ht="26.4">
      <c r="A2093" s="284"/>
      <c r="B2093" s="284"/>
      <c r="C2093" s="284"/>
      <c r="D2093" s="284"/>
      <c r="E2093" s="284"/>
      <c r="F2093" s="284"/>
      <c r="G2093" s="284"/>
      <c r="H2093" s="284"/>
      <c r="I2093" s="284"/>
      <c r="J2093" s="375"/>
      <c r="K2093" s="375"/>
      <c r="L2093" s="375"/>
      <c r="M2093" s="368"/>
      <c r="N2093" s="368"/>
      <c r="O2093" s="370"/>
      <c r="T2093" s="340"/>
      <c r="V2093" s="378"/>
      <c r="W2093" s="64" ph="1"/>
      <c r="X2093" s="241"/>
      <c r="Y2093" s="284"/>
      <c r="Z2093" s="207"/>
      <c r="AA2093" s="284"/>
      <c r="AB2093" s="284"/>
      <c r="AC2093" s="284"/>
      <c r="AD2093" s="284"/>
      <c r="AE2093" s="284"/>
      <c r="AF2093" s="284"/>
      <c r="AG2093" s="284"/>
    </row>
    <row r="2094" spans="1:33" ht="26.4">
      <c r="A2094" s="284"/>
      <c r="B2094" s="284"/>
      <c r="C2094" s="284"/>
      <c r="D2094" s="284"/>
      <c r="E2094" s="284"/>
      <c r="F2094" s="284"/>
      <c r="G2094" s="284"/>
      <c r="H2094" s="284"/>
      <c r="I2094" s="284"/>
      <c r="J2094" s="375"/>
      <c r="K2094" s="375"/>
      <c r="L2094" s="375"/>
      <c r="M2094" s="368"/>
      <c r="N2094" s="368"/>
      <c r="O2094" s="370"/>
      <c r="T2094" s="340"/>
      <c r="V2094" s="378"/>
      <c r="W2094" s="64" ph="1"/>
      <c r="X2094" s="241"/>
      <c r="Y2094" s="284"/>
      <c r="Z2094" s="207"/>
      <c r="AA2094" s="284"/>
      <c r="AB2094" s="284"/>
      <c r="AC2094" s="284"/>
      <c r="AD2094" s="284"/>
      <c r="AE2094" s="284"/>
      <c r="AF2094" s="284"/>
      <c r="AG2094" s="284"/>
    </row>
    <row r="2095" spans="1:33" ht="26.4">
      <c r="A2095" s="284"/>
      <c r="B2095" s="284"/>
      <c r="C2095" s="284"/>
      <c r="D2095" s="284"/>
      <c r="E2095" s="284"/>
      <c r="F2095" s="284"/>
      <c r="G2095" s="284"/>
      <c r="H2095" s="284"/>
      <c r="I2095" s="284"/>
      <c r="J2095" s="375"/>
      <c r="K2095" s="375"/>
      <c r="L2095" s="375"/>
      <c r="M2095" s="368"/>
      <c r="N2095" s="368"/>
      <c r="O2095" s="370"/>
      <c r="T2095" s="340"/>
      <c r="V2095" s="378"/>
      <c r="W2095" s="64" ph="1"/>
      <c r="X2095" s="241"/>
      <c r="Y2095" s="284"/>
      <c r="Z2095" s="207"/>
      <c r="AA2095" s="284"/>
      <c r="AB2095" s="284"/>
      <c r="AC2095" s="284"/>
      <c r="AD2095" s="284"/>
      <c r="AE2095" s="284"/>
      <c r="AF2095" s="284"/>
      <c r="AG2095" s="284"/>
    </row>
    <row r="2096" spans="1:33" ht="26.4">
      <c r="A2096" s="284"/>
      <c r="B2096" s="284"/>
      <c r="C2096" s="284"/>
      <c r="D2096" s="284"/>
      <c r="E2096" s="284"/>
      <c r="F2096" s="284"/>
      <c r="G2096" s="284"/>
      <c r="H2096" s="284"/>
      <c r="I2096" s="284"/>
      <c r="J2096" s="375"/>
      <c r="K2096" s="375"/>
      <c r="L2096" s="375"/>
      <c r="M2096" s="368"/>
      <c r="N2096" s="368"/>
      <c r="O2096" s="370"/>
      <c r="T2096" s="340"/>
      <c r="V2096" s="378"/>
      <c r="W2096" s="64" ph="1"/>
      <c r="X2096" s="241"/>
      <c r="Y2096" s="284"/>
      <c r="Z2096" s="207"/>
      <c r="AA2096" s="284"/>
      <c r="AB2096" s="284"/>
      <c r="AC2096" s="284"/>
      <c r="AD2096" s="284"/>
      <c r="AE2096" s="284"/>
      <c r="AF2096" s="284"/>
      <c r="AG2096" s="284"/>
    </row>
    <row r="2097" spans="1:33" ht="26.4">
      <c r="A2097" s="284"/>
      <c r="B2097" s="284"/>
      <c r="C2097" s="284"/>
      <c r="D2097" s="284"/>
      <c r="E2097" s="284"/>
      <c r="F2097" s="284"/>
      <c r="G2097" s="284"/>
      <c r="H2097" s="284"/>
      <c r="I2097" s="284"/>
      <c r="J2097" s="375"/>
      <c r="K2097" s="375"/>
      <c r="L2097" s="375"/>
      <c r="M2097" s="368"/>
      <c r="N2097" s="368"/>
      <c r="O2097" s="370"/>
      <c r="T2097" s="340"/>
      <c r="V2097" s="378"/>
      <c r="W2097" s="64" ph="1"/>
      <c r="X2097" s="241"/>
      <c r="Y2097" s="284"/>
      <c r="Z2097" s="207"/>
      <c r="AA2097" s="284"/>
      <c r="AB2097" s="284"/>
      <c r="AC2097" s="284"/>
      <c r="AD2097" s="284"/>
      <c r="AE2097" s="284"/>
      <c r="AF2097" s="284"/>
      <c r="AG2097" s="284"/>
    </row>
    <row r="2098" spans="1:33" ht="26.4">
      <c r="A2098" s="284"/>
      <c r="B2098" s="284"/>
      <c r="C2098" s="284"/>
      <c r="D2098" s="284"/>
      <c r="E2098" s="284"/>
      <c r="F2098" s="284"/>
      <c r="G2098" s="284"/>
      <c r="H2098" s="284"/>
      <c r="I2098" s="284"/>
      <c r="J2098" s="375"/>
      <c r="K2098" s="375"/>
      <c r="L2098" s="375"/>
      <c r="M2098" s="368"/>
      <c r="N2098" s="368"/>
      <c r="O2098" s="370"/>
      <c r="T2098" s="340"/>
      <c r="V2098" s="378"/>
      <c r="W2098" s="64" ph="1"/>
      <c r="X2098" s="241"/>
      <c r="Y2098" s="284"/>
      <c r="Z2098" s="207"/>
      <c r="AA2098" s="284"/>
      <c r="AB2098" s="284"/>
      <c r="AC2098" s="284"/>
      <c r="AD2098" s="284"/>
      <c r="AE2098" s="284"/>
      <c r="AF2098" s="284"/>
      <c r="AG2098" s="284"/>
    </row>
    <row r="2099" spans="1:33" ht="26.4">
      <c r="A2099" s="284"/>
      <c r="B2099" s="284"/>
      <c r="C2099" s="284"/>
      <c r="D2099" s="284"/>
      <c r="E2099" s="284"/>
      <c r="F2099" s="284"/>
      <c r="G2099" s="284"/>
      <c r="H2099" s="284"/>
      <c r="I2099" s="284"/>
      <c r="J2099" s="375"/>
      <c r="K2099" s="375"/>
      <c r="L2099" s="375"/>
      <c r="M2099" s="368"/>
      <c r="N2099" s="368"/>
      <c r="O2099" s="370"/>
      <c r="T2099" s="340"/>
      <c r="V2099" s="378"/>
      <c r="W2099" s="64" ph="1"/>
      <c r="X2099" s="241"/>
      <c r="Y2099" s="284"/>
      <c r="Z2099" s="207"/>
      <c r="AA2099" s="284"/>
      <c r="AB2099" s="284"/>
      <c r="AC2099" s="284"/>
      <c r="AD2099" s="284"/>
      <c r="AE2099" s="284"/>
      <c r="AF2099" s="284"/>
      <c r="AG2099" s="284"/>
    </row>
    <row r="2100" spans="1:33" ht="26.4">
      <c r="A2100" s="284"/>
      <c r="B2100" s="284"/>
      <c r="C2100" s="284"/>
      <c r="D2100" s="284"/>
      <c r="E2100" s="284"/>
      <c r="F2100" s="284"/>
      <c r="G2100" s="284"/>
      <c r="H2100" s="284"/>
      <c r="I2100" s="284"/>
      <c r="J2100" s="375"/>
      <c r="K2100" s="375"/>
      <c r="L2100" s="375"/>
      <c r="M2100" s="368"/>
      <c r="N2100" s="368"/>
      <c r="O2100" s="370"/>
      <c r="T2100" s="340"/>
      <c r="V2100" s="378"/>
      <c r="W2100" s="64" ph="1"/>
      <c r="X2100" s="241"/>
      <c r="Y2100" s="284"/>
      <c r="Z2100" s="207"/>
      <c r="AA2100" s="284"/>
      <c r="AB2100" s="284"/>
      <c r="AC2100" s="284"/>
      <c r="AD2100" s="284"/>
      <c r="AE2100" s="284"/>
      <c r="AF2100" s="284"/>
      <c r="AG2100" s="284"/>
    </row>
    <row r="2101" spans="1:33" ht="26.4">
      <c r="A2101" s="284"/>
      <c r="B2101" s="284"/>
      <c r="C2101" s="284"/>
      <c r="D2101" s="284"/>
      <c r="E2101" s="284"/>
      <c r="F2101" s="284"/>
      <c r="G2101" s="284"/>
      <c r="H2101" s="284"/>
      <c r="I2101" s="284"/>
      <c r="J2101" s="375"/>
      <c r="K2101" s="375"/>
      <c r="L2101" s="375"/>
      <c r="M2101" s="368"/>
      <c r="N2101" s="368"/>
      <c r="O2101" s="370"/>
      <c r="T2101" s="340"/>
      <c r="V2101" s="378"/>
      <c r="W2101" s="64" ph="1"/>
      <c r="X2101" s="241"/>
      <c r="Y2101" s="284"/>
      <c r="Z2101" s="207"/>
      <c r="AA2101" s="284"/>
      <c r="AB2101" s="284"/>
      <c r="AC2101" s="284"/>
      <c r="AD2101" s="284"/>
      <c r="AE2101" s="284"/>
      <c r="AF2101" s="284"/>
      <c r="AG2101" s="284"/>
    </row>
    <row r="2102" spans="1:33" ht="26.4">
      <c r="A2102" s="284"/>
      <c r="B2102" s="284"/>
      <c r="C2102" s="284"/>
      <c r="D2102" s="284"/>
      <c r="E2102" s="284"/>
      <c r="F2102" s="284"/>
      <c r="G2102" s="284"/>
      <c r="H2102" s="284"/>
      <c r="I2102" s="284"/>
      <c r="J2102" s="375"/>
      <c r="K2102" s="375"/>
      <c r="L2102" s="375"/>
      <c r="M2102" s="368"/>
      <c r="N2102" s="368"/>
      <c r="O2102" s="370"/>
      <c r="T2102" s="340"/>
      <c r="V2102" s="378"/>
      <c r="W2102" s="64" ph="1"/>
      <c r="X2102" s="241"/>
      <c r="Y2102" s="284"/>
      <c r="Z2102" s="207"/>
      <c r="AA2102" s="284"/>
      <c r="AB2102" s="284"/>
      <c r="AC2102" s="284"/>
      <c r="AD2102" s="284"/>
      <c r="AE2102" s="284"/>
      <c r="AF2102" s="284"/>
      <c r="AG2102" s="284"/>
    </row>
    <row r="2103" spans="1:33" ht="26.4">
      <c r="A2103" s="284"/>
      <c r="B2103" s="284"/>
      <c r="C2103" s="284"/>
      <c r="D2103" s="284"/>
      <c r="E2103" s="284"/>
      <c r="F2103" s="284"/>
      <c r="G2103" s="284"/>
      <c r="H2103" s="284"/>
      <c r="I2103" s="284"/>
      <c r="J2103" s="375"/>
      <c r="K2103" s="375"/>
      <c r="L2103" s="375"/>
      <c r="M2103" s="368"/>
      <c r="N2103" s="368"/>
      <c r="O2103" s="370"/>
      <c r="T2103" s="340"/>
      <c r="V2103" s="378"/>
      <c r="W2103" s="64" ph="1"/>
      <c r="X2103" s="241"/>
      <c r="Y2103" s="284"/>
      <c r="Z2103" s="207"/>
      <c r="AA2103" s="284"/>
      <c r="AB2103" s="284"/>
      <c r="AC2103" s="284"/>
      <c r="AD2103" s="284"/>
      <c r="AE2103" s="284"/>
      <c r="AF2103" s="284"/>
      <c r="AG2103" s="284"/>
    </row>
    <row r="2104" spans="1:33" ht="26.4">
      <c r="A2104" s="284"/>
      <c r="B2104" s="284"/>
      <c r="C2104" s="284"/>
      <c r="D2104" s="284"/>
      <c r="E2104" s="284"/>
      <c r="F2104" s="284"/>
      <c r="G2104" s="284"/>
      <c r="H2104" s="284"/>
      <c r="I2104" s="284"/>
      <c r="J2104" s="375"/>
      <c r="K2104" s="375"/>
      <c r="L2104" s="375"/>
      <c r="M2104" s="368"/>
      <c r="N2104" s="368"/>
      <c r="O2104" s="370"/>
      <c r="T2104" s="340"/>
      <c r="V2104" s="378"/>
      <c r="W2104" s="64" ph="1"/>
      <c r="X2104" s="241"/>
      <c r="Y2104" s="284"/>
      <c r="Z2104" s="207"/>
      <c r="AA2104" s="284"/>
      <c r="AB2104" s="284"/>
      <c r="AC2104" s="284"/>
      <c r="AD2104" s="284"/>
      <c r="AE2104" s="284"/>
      <c r="AF2104" s="284"/>
      <c r="AG2104" s="284"/>
    </row>
    <row r="2105" spans="1:33" ht="26.4">
      <c r="A2105" s="284"/>
      <c r="B2105" s="284"/>
      <c r="C2105" s="284"/>
      <c r="D2105" s="284"/>
      <c r="E2105" s="284"/>
      <c r="F2105" s="284"/>
      <c r="G2105" s="284"/>
      <c r="H2105" s="284"/>
      <c r="I2105" s="284"/>
      <c r="J2105" s="375"/>
      <c r="K2105" s="375"/>
      <c r="L2105" s="375"/>
      <c r="M2105" s="368"/>
      <c r="N2105" s="368"/>
      <c r="O2105" s="370"/>
      <c r="T2105" s="340"/>
      <c r="V2105" s="378"/>
      <c r="W2105" s="64" ph="1"/>
      <c r="X2105" s="241"/>
      <c r="Y2105" s="284"/>
      <c r="Z2105" s="207"/>
      <c r="AA2105" s="284"/>
      <c r="AB2105" s="284"/>
      <c r="AC2105" s="284"/>
      <c r="AD2105" s="284"/>
      <c r="AE2105" s="284"/>
      <c r="AF2105" s="284"/>
      <c r="AG2105" s="284"/>
    </row>
    <row r="2106" spans="1:33" ht="26.4">
      <c r="A2106" s="284"/>
      <c r="B2106" s="284"/>
      <c r="C2106" s="284"/>
      <c r="D2106" s="284"/>
      <c r="E2106" s="284"/>
      <c r="F2106" s="284"/>
      <c r="G2106" s="284"/>
      <c r="H2106" s="284"/>
      <c r="I2106" s="284"/>
      <c r="J2106" s="375"/>
      <c r="K2106" s="375"/>
      <c r="L2106" s="375"/>
      <c r="M2106" s="368"/>
      <c r="N2106" s="368"/>
      <c r="O2106" s="370"/>
      <c r="T2106" s="340"/>
      <c r="V2106" s="378"/>
      <c r="W2106" s="64" ph="1"/>
      <c r="X2106" s="241"/>
      <c r="Y2106" s="284"/>
      <c r="Z2106" s="207"/>
      <c r="AA2106" s="284"/>
      <c r="AB2106" s="284"/>
      <c r="AC2106" s="284"/>
      <c r="AD2106" s="284"/>
      <c r="AE2106" s="284"/>
      <c r="AF2106" s="284"/>
      <c r="AG2106" s="284"/>
    </row>
    <row r="2107" spans="1:33" ht="26.4">
      <c r="A2107" s="284"/>
      <c r="B2107" s="284"/>
      <c r="C2107" s="284"/>
      <c r="D2107" s="284"/>
      <c r="E2107" s="284"/>
      <c r="F2107" s="284"/>
      <c r="G2107" s="284"/>
      <c r="H2107" s="284"/>
      <c r="I2107" s="284"/>
      <c r="J2107" s="375"/>
      <c r="K2107" s="375"/>
      <c r="L2107" s="375"/>
      <c r="M2107" s="368"/>
      <c r="N2107" s="368"/>
      <c r="O2107" s="370"/>
      <c r="T2107" s="340"/>
      <c r="V2107" s="378"/>
      <c r="W2107" s="64" ph="1"/>
      <c r="X2107" s="241"/>
      <c r="Y2107" s="284"/>
      <c r="Z2107" s="207"/>
      <c r="AA2107" s="284"/>
      <c r="AB2107" s="284"/>
      <c r="AC2107" s="284"/>
      <c r="AD2107" s="284"/>
      <c r="AE2107" s="284"/>
      <c r="AF2107" s="284"/>
      <c r="AG2107" s="284"/>
    </row>
    <row r="2108" spans="1:33" ht="26.4">
      <c r="A2108" s="284"/>
      <c r="B2108" s="284"/>
      <c r="C2108" s="284"/>
      <c r="D2108" s="284"/>
      <c r="E2108" s="284"/>
      <c r="F2108" s="284"/>
      <c r="G2108" s="284"/>
      <c r="H2108" s="284"/>
      <c r="I2108" s="284"/>
      <c r="J2108" s="375"/>
      <c r="K2108" s="375"/>
      <c r="L2108" s="375"/>
      <c r="M2108" s="368"/>
      <c r="N2108" s="368"/>
      <c r="O2108" s="370"/>
      <c r="T2108" s="340"/>
      <c r="V2108" s="378"/>
      <c r="W2108" s="64" ph="1"/>
      <c r="X2108" s="241"/>
      <c r="Y2108" s="284"/>
      <c r="Z2108" s="207"/>
      <c r="AA2108" s="284"/>
      <c r="AB2108" s="284"/>
      <c r="AC2108" s="284"/>
      <c r="AD2108" s="284"/>
      <c r="AE2108" s="284"/>
      <c r="AF2108" s="284"/>
      <c r="AG2108" s="284"/>
    </row>
    <row r="2109" spans="1:33" ht="26.4">
      <c r="A2109" s="284"/>
      <c r="B2109" s="284"/>
      <c r="C2109" s="284"/>
      <c r="D2109" s="284"/>
      <c r="E2109" s="284"/>
      <c r="F2109" s="284"/>
      <c r="G2109" s="284"/>
      <c r="H2109" s="284"/>
      <c r="I2109" s="284"/>
      <c r="J2109" s="375"/>
      <c r="K2109" s="375"/>
      <c r="L2109" s="375"/>
      <c r="M2109" s="368"/>
      <c r="N2109" s="368"/>
      <c r="O2109" s="370"/>
      <c r="T2109" s="340"/>
      <c r="V2109" s="378"/>
      <c r="W2109" s="64" ph="1"/>
      <c r="X2109" s="241"/>
      <c r="Y2109" s="284"/>
      <c r="Z2109" s="207"/>
      <c r="AA2109" s="284"/>
      <c r="AB2109" s="284"/>
      <c r="AC2109" s="284"/>
      <c r="AD2109" s="284"/>
      <c r="AE2109" s="284"/>
      <c r="AF2109" s="284"/>
      <c r="AG2109" s="284"/>
    </row>
    <row r="2110" spans="1:33" ht="26.4">
      <c r="A2110" s="284"/>
      <c r="B2110" s="284"/>
      <c r="C2110" s="284"/>
      <c r="D2110" s="284"/>
      <c r="E2110" s="284"/>
      <c r="F2110" s="284"/>
      <c r="G2110" s="284"/>
      <c r="H2110" s="284"/>
      <c r="I2110" s="284"/>
      <c r="J2110" s="375"/>
      <c r="K2110" s="375"/>
      <c r="L2110" s="375"/>
      <c r="M2110" s="368"/>
      <c r="N2110" s="368"/>
      <c r="O2110" s="370"/>
      <c r="T2110" s="340"/>
      <c r="V2110" s="378"/>
      <c r="W2110" s="64" ph="1"/>
      <c r="X2110" s="241"/>
      <c r="Y2110" s="284"/>
      <c r="Z2110" s="207"/>
      <c r="AA2110" s="284"/>
      <c r="AB2110" s="284"/>
      <c r="AC2110" s="284"/>
      <c r="AD2110" s="284"/>
      <c r="AE2110" s="284"/>
      <c r="AF2110" s="284"/>
      <c r="AG2110" s="284"/>
    </row>
    <row r="2111" spans="1:33" ht="26.4">
      <c r="A2111" s="284"/>
      <c r="B2111" s="284"/>
      <c r="C2111" s="284"/>
      <c r="D2111" s="284"/>
      <c r="E2111" s="284"/>
      <c r="F2111" s="284"/>
      <c r="G2111" s="284"/>
      <c r="H2111" s="284"/>
      <c r="I2111" s="284"/>
      <c r="J2111" s="375"/>
      <c r="K2111" s="375"/>
      <c r="L2111" s="375"/>
      <c r="M2111" s="368"/>
      <c r="N2111" s="368"/>
      <c r="O2111" s="370"/>
      <c r="T2111" s="340"/>
      <c r="V2111" s="378"/>
      <c r="W2111" s="64" ph="1"/>
      <c r="X2111" s="241"/>
      <c r="Y2111" s="284"/>
      <c r="Z2111" s="207"/>
      <c r="AA2111" s="284"/>
      <c r="AB2111" s="284"/>
      <c r="AC2111" s="284"/>
      <c r="AD2111" s="284"/>
      <c r="AE2111" s="284"/>
      <c r="AF2111" s="284"/>
      <c r="AG2111" s="284"/>
    </row>
    <row r="2112" spans="1:33" ht="26.4">
      <c r="A2112" s="284"/>
      <c r="B2112" s="284"/>
      <c r="C2112" s="284"/>
      <c r="D2112" s="284"/>
      <c r="E2112" s="284"/>
      <c r="F2112" s="284"/>
      <c r="G2112" s="284"/>
      <c r="H2112" s="284"/>
      <c r="I2112" s="284"/>
      <c r="J2112" s="375"/>
      <c r="K2112" s="375"/>
      <c r="L2112" s="375"/>
      <c r="M2112" s="368"/>
      <c r="N2112" s="368"/>
      <c r="O2112" s="370"/>
      <c r="T2112" s="340"/>
      <c r="V2112" s="378"/>
      <c r="W2112" s="64" ph="1"/>
      <c r="X2112" s="241"/>
      <c r="Y2112" s="284"/>
      <c r="Z2112" s="207"/>
      <c r="AA2112" s="284"/>
      <c r="AB2112" s="284"/>
      <c r="AC2112" s="284"/>
      <c r="AD2112" s="284"/>
      <c r="AE2112" s="284"/>
      <c r="AF2112" s="284"/>
      <c r="AG2112" s="284"/>
    </row>
    <row r="2113" spans="1:33" ht="26.4">
      <c r="A2113" s="284"/>
      <c r="B2113" s="284"/>
      <c r="C2113" s="284"/>
      <c r="D2113" s="284"/>
      <c r="E2113" s="284"/>
      <c r="F2113" s="284"/>
      <c r="G2113" s="284"/>
      <c r="H2113" s="284"/>
      <c r="I2113" s="284"/>
      <c r="J2113" s="375"/>
      <c r="K2113" s="375"/>
      <c r="L2113" s="375"/>
      <c r="M2113" s="368"/>
      <c r="N2113" s="368"/>
      <c r="O2113" s="370"/>
      <c r="T2113" s="340"/>
      <c r="V2113" s="378"/>
      <c r="W2113" s="64" ph="1"/>
      <c r="X2113" s="241"/>
      <c r="Y2113" s="284"/>
      <c r="Z2113" s="207"/>
      <c r="AA2113" s="284"/>
      <c r="AB2113" s="284"/>
      <c r="AC2113" s="284"/>
      <c r="AD2113" s="284"/>
      <c r="AE2113" s="284"/>
      <c r="AF2113" s="284"/>
      <c r="AG2113" s="284"/>
    </row>
    <row r="2114" spans="1:33" ht="26.4">
      <c r="A2114" s="284"/>
      <c r="B2114" s="284"/>
      <c r="C2114" s="284"/>
      <c r="D2114" s="284"/>
      <c r="E2114" s="284"/>
      <c r="F2114" s="284"/>
      <c r="G2114" s="284"/>
      <c r="H2114" s="284"/>
      <c r="I2114" s="284"/>
      <c r="J2114" s="375"/>
      <c r="K2114" s="375"/>
      <c r="L2114" s="375"/>
      <c r="M2114" s="368"/>
      <c r="N2114" s="368"/>
      <c r="O2114" s="370"/>
      <c r="T2114" s="340"/>
      <c r="V2114" s="378"/>
      <c r="W2114" s="64" ph="1"/>
      <c r="X2114" s="241"/>
      <c r="Y2114" s="284"/>
      <c r="Z2114" s="207"/>
      <c r="AA2114" s="284"/>
      <c r="AB2114" s="284"/>
      <c r="AC2114" s="284"/>
      <c r="AD2114" s="284"/>
      <c r="AE2114" s="284"/>
      <c r="AF2114" s="284"/>
      <c r="AG2114" s="284"/>
    </row>
    <row r="2115" spans="1:33" ht="26.4">
      <c r="A2115" s="284"/>
      <c r="B2115" s="284"/>
      <c r="C2115" s="284"/>
      <c r="D2115" s="284"/>
      <c r="E2115" s="284"/>
      <c r="F2115" s="284"/>
      <c r="G2115" s="284"/>
      <c r="H2115" s="284"/>
      <c r="I2115" s="284"/>
      <c r="J2115" s="375"/>
      <c r="K2115" s="375"/>
      <c r="L2115" s="375"/>
      <c r="M2115" s="368"/>
      <c r="N2115" s="368"/>
      <c r="O2115" s="370"/>
      <c r="T2115" s="340"/>
      <c r="V2115" s="378"/>
      <c r="W2115" s="64" ph="1"/>
      <c r="X2115" s="241"/>
      <c r="Y2115" s="284"/>
      <c r="Z2115" s="207"/>
      <c r="AA2115" s="284"/>
      <c r="AB2115" s="284"/>
      <c r="AC2115" s="284"/>
      <c r="AD2115" s="284"/>
      <c r="AE2115" s="284"/>
      <c r="AF2115" s="284"/>
      <c r="AG2115" s="284"/>
    </row>
    <row r="2116" spans="1:33" ht="26.4">
      <c r="A2116" s="284"/>
      <c r="B2116" s="284"/>
      <c r="C2116" s="284"/>
      <c r="D2116" s="284"/>
      <c r="E2116" s="284"/>
      <c r="F2116" s="284"/>
      <c r="G2116" s="284"/>
      <c r="H2116" s="284"/>
      <c r="I2116" s="284"/>
      <c r="J2116" s="375"/>
      <c r="K2116" s="375"/>
      <c r="L2116" s="375"/>
      <c r="M2116" s="368"/>
      <c r="N2116" s="368"/>
      <c r="O2116" s="370"/>
      <c r="T2116" s="340"/>
      <c r="V2116" s="378"/>
      <c r="W2116" s="64" ph="1"/>
      <c r="X2116" s="241"/>
      <c r="Y2116" s="284"/>
      <c r="Z2116" s="207"/>
      <c r="AA2116" s="284"/>
      <c r="AB2116" s="284"/>
      <c r="AC2116" s="284"/>
      <c r="AD2116" s="284"/>
      <c r="AE2116" s="284"/>
      <c r="AF2116" s="284"/>
      <c r="AG2116" s="284"/>
    </row>
    <row r="2117" spans="1:33" ht="26.4">
      <c r="A2117" s="284"/>
      <c r="B2117" s="284"/>
      <c r="C2117" s="284"/>
      <c r="D2117" s="284"/>
      <c r="E2117" s="284"/>
      <c r="F2117" s="284"/>
      <c r="G2117" s="284"/>
      <c r="H2117" s="284"/>
      <c r="I2117" s="284"/>
      <c r="J2117" s="375"/>
      <c r="K2117" s="375"/>
      <c r="L2117" s="375"/>
      <c r="M2117" s="368"/>
      <c r="N2117" s="368"/>
      <c r="O2117" s="370"/>
      <c r="T2117" s="340"/>
      <c r="V2117" s="378"/>
      <c r="W2117" s="64" ph="1"/>
      <c r="X2117" s="241"/>
      <c r="Y2117" s="284"/>
      <c r="Z2117" s="207"/>
      <c r="AA2117" s="284"/>
      <c r="AB2117" s="284"/>
      <c r="AC2117" s="284"/>
      <c r="AD2117" s="284"/>
      <c r="AE2117" s="284"/>
      <c r="AF2117" s="284"/>
      <c r="AG2117" s="284"/>
    </row>
    <row r="2118" spans="1:33" ht="26.4">
      <c r="A2118" s="284"/>
      <c r="B2118" s="284"/>
      <c r="C2118" s="284"/>
      <c r="D2118" s="284"/>
      <c r="E2118" s="284"/>
      <c r="F2118" s="284"/>
      <c r="G2118" s="284"/>
      <c r="H2118" s="284"/>
      <c r="I2118" s="284"/>
      <c r="J2118" s="375"/>
      <c r="K2118" s="375"/>
      <c r="L2118" s="375"/>
      <c r="M2118" s="368"/>
      <c r="N2118" s="368"/>
      <c r="O2118" s="370"/>
      <c r="T2118" s="340"/>
      <c r="V2118" s="378"/>
      <c r="W2118" s="64" ph="1"/>
      <c r="X2118" s="241"/>
      <c r="Y2118" s="284"/>
      <c r="Z2118" s="207"/>
      <c r="AA2118" s="284"/>
      <c r="AB2118" s="284"/>
      <c r="AC2118" s="284"/>
      <c r="AD2118" s="284"/>
      <c r="AE2118" s="284"/>
      <c r="AF2118" s="284"/>
      <c r="AG2118" s="284"/>
    </row>
    <row r="2119" spans="1:33" ht="26.4">
      <c r="A2119" s="284"/>
      <c r="B2119" s="284"/>
      <c r="C2119" s="284"/>
      <c r="D2119" s="284"/>
      <c r="E2119" s="284"/>
      <c r="F2119" s="284"/>
      <c r="G2119" s="284"/>
      <c r="H2119" s="284"/>
      <c r="I2119" s="284"/>
      <c r="J2119" s="375"/>
      <c r="K2119" s="375"/>
      <c r="L2119" s="375"/>
      <c r="M2119" s="368"/>
      <c r="N2119" s="368"/>
      <c r="O2119" s="370"/>
      <c r="T2119" s="340"/>
      <c r="V2119" s="378"/>
      <c r="W2119" s="64" ph="1"/>
      <c r="X2119" s="241"/>
      <c r="Y2119" s="284"/>
      <c r="Z2119" s="207"/>
      <c r="AA2119" s="284"/>
      <c r="AB2119" s="284"/>
      <c r="AC2119" s="284"/>
      <c r="AD2119" s="284"/>
      <c r="AE2119" s="284"/>
      <c r="AF2119" s="284"/>
      <c r="AG2119" s="284"/>
    </row>
    <row r="2120" spans="1:33" ht="26.4">
      <c r="A2120" s="284"/>
      <c r="B2120" s="284"/>
      <c r="C2120" s="284"/>
      <c r="D2120" s="284"/>
      <c r="E2120" s="284"/>
      <c r="F2120" s="284"/>
      <c r="G2120" s="284"/>
      <c r="H2120" s="284"/>
      <c r="I2120" s="284"/>
      <c r="J2120" s="375"/>
      <c r="K2120" s="375"/>
      <c r="L2120" s="375"/>
      <c r="M2120" s="368"/>
      <c r="N2120" s="368"/>
      <c r="O2120" s="370"/>
      <c r="T2120" s="340"/>
      <c r="V2120" s="378"/>
      <c r="W2120" s="64" ph="1"/>
      <c r="X2120" s="241"/>
      <c r="Y2120" s="284"/>
      <c r="Z2120" s="207"/>
      <c r="AA2120" s="284"/>
      <c r="AB2120" s="284"/>
      <c r="AC2120" s="284"/>
      <c r="AD2120" s="284"/>
      <c r="AE2120" s="284"/>
      <c r="AF2120" s="284"/>
      <c r="AG2120" s="284"/>
    </row>
    <row r="2121" spans="1:33" ht="26.4">
      <c r="A2121" s="284"/>
      <c r="B2121" s="284"/>
      <c r="C2121" s="284"/>
      <c r="D2121" s="284"/>
      <c r="E2121" s="284"/>
      <c r="F2121" s="284"/>
      <c r="G2121" s="284"/>
      <c r="H2121" s="284"/>
      <c r="I2121" s="284"/>
      <c r="J2121" s="375"/>
      <c r="K2121" s="375"/>
      <c r="L2121" s="375"/>
      <c r="M2121" s="368"/>
      <c r="N2121" s="368"/>
      <c r="O2121" s="370"/>
      <c r="T2121" s="340"/>
      <c r="V2121" s="378"/>
      <c r="W2121" s="64" ph="1"/>
      <c r="X2121" s="241"/>
      <c r="Y2121" s="284"/>
      <c r="Z2121" s="207"/>
      <c r="AA2121" s="284"/>
      <c r="AB2121" s="284"/>
      <c r="AC2121" s="284"/>
      <c r="AD2121" s="284"/>
      <c r="AE2121" s="284"/>
      <c r="AF2121" s="284"/>
      <c r="AG2121" s="284"/>
    </row>
    <row r="2122" spans="1:33" ht="26.4">
      <c r="A2122" s="284"/>
      <c r="B2122" s="284"/>
      <c r="C2122" s="284"/>
      <c r="D2122" s="284"/>
      <c r="E2122" s="284"/>
      <c r="F2122" s="284"/>
      <c r="G2122" s="284"/>
      <c r="H2122" s="284"/>
      <c r="I2122" s="284"/>
      <c r="J2122" s="375"/>
      <c r="K2122" s="375"/>
      <c r="L2122" s="375"/>
      <c r="M2122" s="368"/>
      <c r="N2122" s="368"/>
      <c r="O2122" s="370"/>
      <c r="T2122" s="340"/>
      <c r="V2122" s="378"/>
      <c r="W2122" s="64" ph="1"/>
      <c r="X2122" s="241"/>
      <c r="Y2122" s="284"/>
      <c r="Z2122" s="207"/>
      <c r="AA2122" s="284"/>
      <c r="AB2122" s="284"/>
      <c r="AC2122" s="284"/>
      <c r="AD2122" s="284"/>
      <c r="AE2122" s="284"/>
      <c r="AF2122" s="284"/>
      <c r="AG2122" s="284"/>
    </row>
    <row r="2123" spans="1:33" ht="26.4">
      <c r="A2123" s="284"/>
      <c r="B2123" s="284"/>
      <c r="C2123" s="284"/>
      <c r="D2123" s="284"/>
      <c r="E2123" s="284"/>
      <c r="F2123" s="284"/>
      <c r="G2123" s="284"/>
      <c r="H2123" s="284"/>
      <c r="I2123" s="284"/>
      <c r="J2123" s="375"/>
      <c r="K2123" s="375"/>
      <c r="L2123" s="375"/>
      <c r="M2123" s="368"/>
      <c r="N2123" s="368"/>
      <c r="O2123" s="370"/>
      <c r="T2123" s="340"/>
      <c r="V2123" s="378"/>
      <c r="W2123" s="64" ph="1"/>
      <c r="X2123" s="241"/>
      <c r="Y2123" s="284"/>
      <c r="Z2123" s="207"/>
      <c r="AA2123" s="284"/>
      <c r="AB2123" s="284"/>
      <c r="AC2123" s="284"/>
      <c r="AD2123" s="284"/>
      <c r="AE2123" s="284"/>
      <c r="AF2123" s="284"/>
      <c r="AG2123" s="284"/>
    </row>
    <row r="2124" spans="1:33" ht="26.4">
      <c r="A2124" s="284"/>
      <c r="B2124" s="284"/>
      <c r="C2124" s="284"/>
      <c r="D2124" s="284"/>
      <c r="E2124" s="284"/>
      <c r="F2124" s="284"/>
      <c r="G2124" s="284"/>
      <c r="H2124" s="284"/>
      <c r="I2124" s="284"/>
      <c r="J2124" s="375"/>
      <c r="K2124" s="375"/>
      <c r="L2124" s="375"/>
      <c r="M2124" s="368"/>
      <c r="N2124" s="368"/>
      <c r="O2124" s="370"/>
      <c r="T2124" s="340"/>
      <c r="V2124" s="378"/>
      <c r="W2124" s="64" ph="1"/>
      <c r="X2124" s="241"/>
      <c r="Y2124" s="284"/>
      <c r="Z2124" s="207"/>
      <c r="AA2124" s="284"/>
      <c r="AB2124" s="284"/>
      <c r="AC2124" s="284"/>
      <c r="AD2124" s="284"/>
      <c r="AE2124" s="284"/>
      <c r="AF2124" s="284"/>
      <c r="AG2124" s="284"/>
    </row>
    <row r="2125" spans="1:33" ht="26.4">
      <c r="A2125" s="284"/>
      <c r="B2125" s="284"/>
      <c r="C2125" s="284"/>
      <c r="D2125" s="284"/>
      <c r="E2125" s="284"/>
      <c r="F2125" s="284"/>
      <c r="G2125" s="284"/>
      <c r="H2125" s="284"/>
      <c r="I2125" s="284"/>
      <c r="J2125" s="375"/>
      <c r="K2125" s="375"/>
      <c r="L2125" s="375"/>
      <c r="M2125" s="368"/>
      <c r="N2125" s="368"/>
      <c r="O2125" s="370"/>
      <c r="T2125" s="340"/>
      <c r="V2125" s="378"/>
      <c r="W2125" s="64" ph="1"/>
      <c r="X2125" s="241"/>
      <c r="Y2125" s="284"/>
      <c r="Z2125" s="207"/>
      <c r="AA2125" s="284"/>
      <c r="AB2125" s="284"/>
      <c r="AC2125" s="284"/>
      <c r="AD2125" s="284"/>
      <c r="AE2125" s="284"/>
      <c r="AF2125" s="284"/>
      <c r="AG2125" s="284"/>
    </row>
    <row r="2126" spans="1:33" ht="26.4">
      <c r="A2126" s="284"/>
      <c r="B2126" s="284"/>
      <c r="C2126" s="284"/>
      <c r="D2126" s="284"/>
      <c r="E2126" s="284"/>
      <c r="F2126" s="284"/>
      <c r="G2126" s="284"/>
      <c r="H2126" s="284"/>
      <c r="I2126" s="284"/>
      <c r="J2126" s="375"/>
      <c r="K2126" s="375"/>
      <c r="L2126" s="375"/>
      <c r="M2126" s="368"/>
      <c r="N2126" s="368"/>
      <c r="O2126" s="370"/>
      <c r="T2126" s="340"/>
      <c r="V2126" s="378"/>
      <c r="W2126" s="64" ph="1"/>
      <c r="X2126" s="241"/>
      <c r="Y2126" s="284"/>
      <c r="Z2126" s="207"/>
      <c r="AA2126" s="284"/>
      <c r="AB2126" s="284"/>
      <c r="AC2126" s="284"/>
      <c r="AD2126" s="284"/>
      <c r="AE2126" s="284"/>
      <c r="AF2126" s="284"/>
      <c r="AG2126" s="284"/>
    </row>
    <row r="2127" spans="1:33" ht="26.4">
      <c r="A2127" s="284"/>
      <c r="B2127" s="284"/>
      <c r="C2127" s="284"/>
      <c r="D2127" s="284"/>
      <c r="E2127" s="284"/>
      <c r="F2127" s="284"/>
      <c r="G2127" s="284"/>
      <c r="H2127" s="284"/>
      <c r="I2127" s="284"/>
      <c r="J2127" s="375"/>
      <c r="K2127" s="375"/>
      <c r="L2127" s="375"/>
      <c r="M2127" s="368"/>
      <c r="N2127" s="368"/>
      <c r="O2127" s="370"/>
      <c r="T2127" s="340"/>
      <c r="V2127" s="378"/>
      <c r="W2127" s="64" ph="1"/>
      <c r="X2127" s="241"/>
      <c r="Y2127" s="284"/>
      <c r="Z2127" s="207"/>
      <c r="AA2127" s="284"/>
      <c r="AB2127" s="284"/>
      <c r="AC2127" s="284"/>
      <c r="AD2127" s="284"/>
      <c r="AE2127" s="284"/>
      <c r="AF2127" s="284"/>
      <c r="AG2127" s="284"/>
    </row>
    <row r="2128" spans="1:33" ht="26.4">
      <c r="A2128" s="284"/>
      <c r="B2128" s="284"/>
      <c r="C2128" s="284"/>
      <c r="D2128" s="284"/>
      <c r="E2128" s="284"/>
      <c r="F2128" s="284"/>
      <c r="G2128" s="284"/>
      <c r="H2128" s="284"/>
      <c r="I2128" s="284"/>
      <c r="J2128" s="375"/>
      <c r="K2128" s="375"/>
      <c r="L2128" s="375"/>
      <c r="M2128" s="368"/>
      <c r="N2128" s="368"/>
      <c r="O2128" s="370"/>
      <c r="T2128" s="340"/>
      <c r="V2128" s="378"/>
      <c r="W2128" s="64" ph="1"/>
      <c r="X2128" s="241"/>
      <c r="Y2128" s="284"/>
      <c r="Z2128" s="207"/>
      <c r="AA2128" s="284"/>
      <c r="AB2128" s="284"/>
      <c r="AC2128" s="284"/>
      <c r="AD2128" s="284"/>
      <c r="AE2128" s="284"/>
      <c r="AF2128" s="284"/>
      <c r="AG2128" s="284"/>
    </row>
    <row r="2129" spans="1:33" ht="26.4">
      <c r="A2129" s="284"/>
      <c r="B2129" s="284"/>
      <c r="C2129" s="284"/>
      <c r="D2129" s="284"/>
      <c r="E2129" s="284"/>
      <c r="F2129" s="284"/>
      <c r="G2129" s="284"/>
      <c r="H2129" s="284"/>
      <c r="I2129" s="284"/>
      <c r="J2129" s="375"/>
      <c r="K2129" s="375"/>
      <c r="L2129" s="375"/>
      <c r="M2129" s="368"/>
      <c r="N2129" s="368"/>
      <c r="O2129" s="370"/>
      <c r="T2129" s="340"/>
      <c r="V2129" s="378"/>
      <c r="W2129" s="64" ph="1"/>
      <c r="X2129" s="241"/>
      <c r="Y2129" s="284"/>
      <c r="Z2129" s="207"/>
      <c r="AA2129" s="284"/>
      <c r="AB2129" s="284"/>
      <c r="AC2129" s="284"/>
      <c r="AD2129" s="284"/>
      <c r="AE2129" s="284"/>
      <c r="AF2129" s="284"/>
      <c r="AG2129" s="284"/>
    </row>
    <row r="2130" spans="1:33" ht="26.4">
      <c r="A2130" s="284"/>
      <c r="B2130" s="284"/>
      <c r="C2130" s="284"/>
      <c r="D2130" s="284"/>
      <c r="E2130" s="284"/>
      <c r="F2130" s="284"/>
      <c r="G2130" s="284"/>
      <c r="H2130" s="284"/>
      <c r="I2130" s="284"/>
      <c r="J2130" s="375"/>
      <c r="K2130" s="375"/>
      <c r="L2130" s="375"/>
      <c r="M2130" s="368"/>
      <c r="N2130" s="368"/>
      <c r="O2130" s="370"/>
      <c r="T2130" s="340"/>
      <c r="V2130" s="378"/>
      <c r="W2130" s="64" ph="1"/>
      <c r="X2130" s="241"/>
      <c r="Y2130" s="284"/>
      <c r="Z2130" s="207"/>
      <c r="AA2130" s="284"/>
      <c r="AB2130" s="284"/>
      <c r="AC2130" s="284"/>
      <c r="AD2130" s="284"/>
      <c r="AE2130" s="284"/>
      <c r="AF2130" s="284"/>
      <c r="AG2130" s="284"/>
    </row>
    <row r="2131" spans="1:33" ht="26.4">
      <c r="A2131" s="284"/>
      <c r="B2131" s="284"/>
      <c r="C2131" s="284"/>
      <c r="D2131" s="284"/>
      <c r="E2131" s="284"/>
      <c r="F2131" s="284"/>
      <c r="G2131" s="284"/>
      <c r="H2131" s="284"/>
      <c r="I2131" s="284"/>
      <c r="J2131" s="375"/>
      <c r="K2131" s="375"/>
      <c r="L2131" s="375"/>
      <c r="M2131" s="368"/>
      <c r="N2131" s="368"/>
      <c r="O2131" s="370"/>
      <c r="T2131" s="340"/>
      <c r="V2131" s="378"/>
      <c r="W2131" s="64" ph="1"/>
      <c r="X2131" s="241"/>
      <c r="Y2131" s="284"/>
      <c r="Z2131" s="207"/>
      <c r="AA2131" s="284"/>
      <c r="AB2131" s="284"/>
      <c r="AC2131" s="284"/>
      <c r="AD2131" s="284"/>
      <c r="AE2131" s="284"/>
      <c r="AF2131" s="284"/>
      <c r="AG2131" s="284"/>
    </row>
    <row r="2132" spans="1:33" ht="26.4">
      <c r="A2132" s="284"/>
      <c r="B2132" s="284"/>
      <c r="C2132" s="284"/>
      <c r="D2132" s="284"/>
      <c r="E2132" s="284"/>
      <c r="F2132" s="284"/>
      <c r="G2132" s="284"/>
      <c r="H2132" s="284"/>
      <c r="I2132" s="284"/>
      <c r="J2132" s="375"/>
      <c r="K2132" s="375"/>
      <c r="L2132" s="375"/>
      <c r="M2132" s="368"/>
      <c r="N2132" s="368"/>
      <c r="O2132" s="370"/>
      <c r="T2132" s="340"/>
      <c r="V2132" s="378"/>
      <c r="W2132" s="64" ph="1"/>
      <c r="X2132" s="241"/>
      <c r="Y2132" s="284"/>
      <c r="Z2132" s="207"/>
      <c r="AA2132" s="284"/>
      <c r="AB2132" s="284"/>
      <c r="AC2132" s="284"/>
      <c r="AD2132" s="284"/>
      <c r="AE2132" s="284"/>
      <c r="AF2132" s="284"/>
      <c r="AG2132" s="284"/>
    </row>
    <row r="2133" spans="1:33" ht="26.4">
      <c r="A2133" s="284"/>
      <c r="B2133" s="284"/>
      <c r="C2133" s="284"/>
      <c r="D2133" s="284"/>
      <c r="E2133" s="284"/>
      <c r="F2133" s="284"/>
      <c r="G2133" s="284"/>
      <c r="H2133" s="284"/>
      <c r="I2133" s="284"/>
      <c r="J2133" s="375"/>
      <c r="K2133" s="375"/>
      <c r="L2133" s="375"/>
      <c r="M2133" s="368"/>
      <c r="N2133" s="368"/>
      <c r="O2133" s="370"/>
      <c r="T2133" s="340"/>
      <c r="V2133" s="378"/>
      <c r="W2133" s="64" ph="1"/>
      <c r="X2133" s="241"/>
      <c r="Y2133" s="284"/>
      <c r="Z2133" s="207"/>
      <c r="AA2133" s="284"/>
      <c r="AB2133" s="284"/>
      <c r="AC2133" s="284"/>
      <c r="AD2133" s="284"/>
      <c r="AE2133" s="284"/>
      <c r="AF2133" s="284"/>
      <c r="AG2133" s="284"/>
    </row>
    <row r="2134" spans="1:33" ht="26.4">
      <c r="A2134" s="284"/>
      <c r="B2134" s="284"/>
      <c r="C2134" s="284"/>
      <c r="D2134" s="284"/>
      <c r="E2134" s="284"/>
      <c r="F2134" s="284"/>
      <c r="G2134" s="284"/>
      <c r="H2134" s="284"/>
      <c r="I2134" s="284"/>
      <c r="J2134" s="375"/>
      <c r="K2134" s="375"/>
      <c r="L2134" s="375"/>
      <c r="M2134" s="368"/>
      <c r="N2134" s="368"/>
      <c r="O2134" s="370"/>
      <c r="T2134" s="340"/>
      <c r="V2134" s="378"/>
      <c r="W2134" s="64" ph="1"/>
      <c r="X2134" s="241"/>
      <c r="Y2134" s="284"/>
      <c r="Z2134" s="207"/>
      <c r="AA2134" s="284"/>
      <c r="AB2134" s="284"/>
      <c r="AC2134" s="284"/>
      <c r="AD2134" s="284"/>
      <c r="AE2134" s="284"/>
      <c r="AF2134" s="284"/>
      <c r="AG2134" s="284"/>
    </row>
    <row r="2135" spans="1:33" ht="26.4">
      <c r="A2135" s="284"/>
      <c r="B2135" s="284"/>
      <c r="C2135" s="284"/>
      <c r="D2135" s="284"/>
      <c r="E2135" s="284"/>
      <c r="F2135" s="284"/>
      <c r="G2135" s="284"/>
      <c r="H2135" s="284"/>
      <c r="I2135" s="284"/>
      <c r="J2135" s="375"/>
      <c r="K2135" s="375"/>
      <c r="L2135" s="375"/>
      <c r="M2135" s="368"/>
      <c r="N2135" s="368"/>
      <c r="O2135" s="370"/>
      <c r="T2135" s="340"/>
      <c r="V2135" s="378"/>
      <c r="W2135" s="64" ph="1"/>
      <c r="X2135" s="241"/>
      <c r="Y2135" s="284"/>
      <c r="Z2135" s="207"/>
      <c r="AA2135" s="284"/>
      <c r="AB2135" s="284"/>
      <c r="AC2135" s="284"/>
      <c r="AD2135" s="284"/>
      <c r="AE2135" s="284"/>
      <c r="AF2135" s="284"/>
      <c r="AG2135" s="284"/>
    </row>
    <row r="2136" spans="1:33" ht="26.4">
      <c r="A2136" s="284"/>
      <c r="B2136" s="284"/>
      <c r="C2136" s="284"/>
      <c r="D2136" s="284"/>
      <c r="E2136" s="284"/>
      <c r="F2136" s="284"/>
      <c r="G2136" s="284"/>
      <c r="H2136" s="284"/>
      <c r="I2136" s="284"/>
      <c r="J2136" s="375"/>
      <c r="K2136" s="375"/>
      <c r="L2136" s="375"/>
      <c r="M2136" s="368"/>
      <c r="N2136" s="368"/>
      <c r="O2136" s="370"/>
      <c r="T2136" s="340"/>
      <c r="V2136" s="378"/>
      <c r="W2136" s="64" ph="1"/>
      <c r="X2136" s="241"/>
      <c r="Y2136" s="284"/>
      <c r="Z2136" s="207"/>
      <c r="AA2136" s="284"/>
      <c r="AB2136" s="284"/>
      <c r="AC2136" s="284"/>
      <c r="AD2136" s="284"/>
      <c r="AE2136" s="284"/>
      <c r="AF2136" s="284"/>
      <c r="AG2136" s="284"/>
    </row>
    <row r="2137" spans="1:33" ht="26.4">
      <c r="A2137" s="284"/>
      <c r="B2137" s="284"/>
      <c r="C2137" s="284"/>
      <c r="D2137" s="284"/>
      <c r="E2137" s="284"/>
      <c r="F2137" s="284"/>
      <c r="G2137" s="284"/>
      <c r="H2137" s="284"/>
      <c r="I2137" s="284"/>
      <c r="J2137" s="375"/>
      <c r="K2137" s="375"/>
      <c r="L2137" s="375"/>
      <c r="M2137" s="368"/>
      <c r="N2137" s="368"/>
      <c r="O2137" s="370"/>
      <c r="T2137" s="340"/>
      <c r="V2137" s="378"/>
      <c r="W2137" s="64" ph="1"/>
      <c r="X2137" s="241"/>
      <c r="Y2137" s="284"/>
      <c r="Z2137" s="207"/>
      <c r="AA2137" s="284"/>
      <c r="AB2137" s="284"/>
      <c r="AC2137" s="284"/>
      <c r="AD2137" s="284"/>
      <c r="AE2137" s="284"/>
      <c r="AF2137" s="284"/>
      <c r="AG2137" s="284"/>
    </row>
    <row r="2138" spans="1:33" ht="26.4">
      <c r="A2138" s="284"/>
      <c r="B2138" s="284"/>
      <c r="C2138" s="284"/>
      <c r="D2138" s="284"/>
      <c r="E2138" s="284"/>
      <c r="F2138" s="284"/>
      <c r="G2138" s="284"/>
      <c r="H2138" s="284"/>
      <c r="I2138" s="284"/>
      <c r="J2138" s="375"/>
      <c r="K2138" s="375"/>
      <c r="L2138" s="375"/>
      <c r="M2138" s="368"/>
      <c r="N2138" s="368"/>
      <c r="O2138" s="370"/>
      <c r="T2138" s="340"/>
      <c r="V2138" s="378"/>
      <c r="W2138" s="64" ph="1"/>
      <c r="X2138" s="241"/>
      <c r="Y2138" s="284"/>
      <c r="Z2138" s="207"/>
      <c r="AA2138" s="284"/>
      <c r="AB2138" s="284"/>
      <c r="AC2138" s="284"/>
      <c r="AD2138" s="284"/>
      <c r="AE2138" s="284"/>
      <c r="AF2138" s="284"/>
      <c r="AG2138" s="284"/>
    </row>
    <row r="2139" spans="1:33" ht="26.4">
      <c r="A2139" s="284"/>
      <c r="B2139" s="284"/>
      <c r="C2139" s="284"/>
      <c r="D2139" s="284"/>
      <c r="E2139" s="284"/>
      <c r="F2139" s="284"/>
      <c r="G2139" s="284"/>
      <c r="H2139" s="284"/>
      <c r="I2139" s="284"/>
      <c r="J2139" s="375"/>
      <c r="K2139" s="375"/>
      <c r="L2139" s="375"/>
      <c r="M2139" s="368"/>
      <c r="N2139" s="368"/>
      <c r="O2139" s="370"/>
      <c r="T2139" s="340"/>
      <c r="V2139" s="378"/>
      <c r="W2139" s="64" ph="1"/>
      <c r="X2139" s="241"/>
      <c r="Y2139" s="284"/>
      <c r="Z2139" s="207"/>
      <c r="AA2139" s="284"/>
      <c r="AB2139" s="284"/>
      <c r="AC2139" s="284"/>
      <c r="AD2139" s="284"/>
      <c r="AE2139" s="284"/>
      <c r="AF2139" s="284"/>
      <c r="AG2139" s="284"/>
    </row>
    <row r="2140" spans="1:33" ht="26.4">
      <c r="A2140" s="284"/>
      <c r="B2140" s="284"/>
      <c r="C2140" s="284"/>
      <c r="D2140" s="284"/>
      <c r="E2140" s="284"/>
      <c r="F2140" s="284"/>
      <c r="G2140" s="284"/>
      <c r="H2140" s="284"/>
      <c r="I2140" s="284"/>
      <c r="J2140" s="375"/>
      <c r="K2140" s="375"/>
      <c r="L2140" s="375"/>
      <c r="M2140" s="368"/>
      <c r="N2140" s="368"/>
      <c r="O2140" s="370"/>
      <c r="T2140" s="340"/>
      <c r="V2140" s="378"/>
      <c r="W2140" s="64" ph="1"/>
      <c r="X2140" s="241"/>
      <c r="Y2140" s="284"/>
      <c r="Z2140" s="207"/>
      <c r="AA2140" s="284"/>
      <c r="AB2140" s="284"/>
      <c r="AC2140" s="284"/>
      <c r="AD2140" s="284"/>
      <c r="AE2140" s="284"/>
      <c r="AF2140" s="284"/>
      <c r="AG2140" s="284"/>
    </row>
    <row r="2141" spans="1:33" ht="26.4">
      <c r="A2141" s="284"/>
      <c r="B2141" s="284"/>
      <c r="C2141" s="284"/>
      <c r="D2141" s="284"/>
      <c r="E2141" s="284"/>
      <c r="F2141" s="284"/>
      <c r="G2141" s="284"/>
      <c r="H2141" s="284"/>
      <c r="I2141" s="284"/>
      <c r="J2141" s="375"/>
      <c r="K2141" s="375"/>
      <c r="L2141" s="375"/>
      <c r="M2141" s="368"/>
      <c r="N2141" s="368"/>
      <c r="O2141" s="370"/>
      <c r="T2141" s="340"/>
      <c r="V2141" s="378"/>
      <c r="W2141" s="64" ph="1"/>
      <c r="X2141" s="241"/>
      <c r="Y2141" s="284"/>
      <c r="Z2141" s="207"/>
      <c r="AA2141" s="284"/>
      <c r="AB2141" s="284"/>
      <c r="AC2141" s="284"/>
      <c r="AD2141" s="284"/>
      <c r="AE2141" s="284"/>
      <c r="AF2141" s="284"/>
      <c r="AG2141" s="284"/>
    </row>
    <row r="2142" spans="1:33" ht="26.4">
      <c r="A2142" s="284"/>
      <c r="B2142" s="284"/>
      <c r="C2142" s="284"/>
      <c r="D2142" s="284"/>
      <c r="E2142" s="284"/>
      <c r="F2142" s="284"/>
      <c r="G2142" s="284"/>
      <c r="H2142" s="284"/>
      <c r="I2142" s="284"/>
      <c r="J2142" s="375"/>
      <c r="K2142" s="375"/>
      <c r="L2142" s="375"/>
      <c r="M2142" s="368"/>
      <c r="N2142" s="368"/>
      <c r="O2142" s="370"/>
      <c r="T2142" s="340"/>
      <c r="V2142" s="378"/>
      <c r="W2142" s="64" ph="1"/>
      <c r="X2142" s="241"/>
      <c r="Y2142" s="284"/>
      <c r="Z2142" s="207"/>
      <c r="AA2142" s="284"/>
      <c r="AB2142" s="284"/>
      <c r="AC2142" s="284"/>
      <c r="AD2142" s="284"/>
      <c r="AE2142" s="284"/>
      <c r="AF2142" s="284"/>
      <c r="AG2142" s="284"/>
    </row>
    <row r="2143" spans="1:33" ht="26.4">
      <c r="A2143" s="284"/>
      <c r="B2143" s="284"/>
      <c r="C2143" s="284"/>
      <c r="D2143" s="284"/>
      <c r="E2143" s="284"/>
      <c r="F2143" s="284"/>
      <c r="G2143" s="284"/>
      <c r="H2143" s="284"/>
      <c r="I2143" s="284"/>
      <c r="J2143" s="375"/>
      <c r="K2143" s="375"/>
      <c r="L2143" s="375"/>
      <c r="M2143" s="368"/>
      <c r="N2143" s="368"/>
      <c r="O2143" s="370"/>
      <c r="T2143" s="340"/>
      <c r="V2143" s="378"/>
      <c r="W2143" s="64" ph="1"/>
      <c r="X2143" s="241"/>
      <c r="Y2143" s="284"/>
      <c r="Z2143" s="207"/>
      <c r="AA2143" s="284"/>
      <c r="AB2143" s="284"/>
      <c r="AC2143" s="284"/>
      <c r="AD2143" s="284"/>
      <c r="AE2143" s="284"/>
      <c r="AF2143" s="284"/>
      <c r="AG2143" s="284"/>
    </row>
    <row r="2144" spans="1:33" ht="26.4">
      <c r="A2144" s="284"/>
      <c r="B2144" s="284"/>
      <c r="C2144" s="284"/>
      <c r="D2144" s="284"/>
      <c r="E2144" s="284"/>
      <c r="F2144" s="284"/>
      <c r="G2144" s="284"/>
      <c r="H2144" s="284"/>
      <c r="I2144" s="284"/>
      <c r="J2144" s="375"/>
      <c r="K2144" s="375"/>
      <c r="L2144" s="375"/>
      <c r="M2144" s="368"/>
      <c r="N2144" s="368"/>
      <c r="O2144" s="370"/>
      <c r="T2144" s="340"/>
      <c r="V2144" s="378"/>
      <c r="W2144" s="64" ph="1"/>
      <c r="X2144" s="241"/>
      <c r="Y2144" s="284"/>
      <c r="Z2144" s="207"/>
      <c r="AA2144" s="284"/>
      <c r="AB2144" s="284"/>
      <c r="AC2144" s="284"/>
      <c r="AD2144" s="284"/>
      <c r="AE2144" s="284"/>
      <c r="AF2144" s="284"/>
      <c r="AG2144" s="284"/>
    </row>
    <row r="2145" spans="1:33" ht="26.4">
      <c r="A2145" s="284"/>
      <c r="B2145" s="284"/>
      <c r="C2145" s="284"/>
      <c r="D2145" s="284"/>
      <c r="E2145" s="284"/>
      <c r="F2145" s="284"/>
      <c r="G2145" s="284"/>
      <c r="H2145" s="284"/>
      <c r="I2145" s="284"/>
      <c r="J2145" s="375"/>
      <c r="K2145" s="375"/>
      <c r="L2145" s="375"/>
      <c r="M2145" s="368"/>
      <c r="N2145" s="368"/>
      <c r="O2145" s="370"/>
      <c r="T2145" s="340"/>
      <c r="V2145" s="378"/>
      <c r="W2145" s="64" ph="1"/>
      <c r="X2145" s="241"/>
      <c r="Y2145" s="284"/>
      <c r="Z2145" s="207"/>
      <c r="AA2145" s="284"/>
      <c r="AB2145" s="284"/>
      <c r="AC2145" s="284"/>
      <c r="AD2145" s="284"/>
      <c r="AE2145" s="284"/>
      <c r="AF2145" s="284"/>
      <c r="AG2145" s="284"/>
    </row>
    <row r="2146" spans="1:33" ht="26.4">
      <c r="A2146" s="284"/>
      <c r="B2146" s="284"/>
      <c r="C2146" s="284"/>
      <c r="D2146" s="284"/>
      <c r="E2146" s="284"/>
      <c r="F2146" s="284"/>
      <c r="G2146" s="284"/>
      <c r="H2146" s="284"/>
      <c r="I2146" s="284"/>
      <c r="J2146" s="375"/>
      <c r="K2146" s="375"/>
      <c r="L2146" s="375"/>
      <c r="M2146" s="368"/>
      <c r="N2146" s="368"/>
      <c r="O2146" s="370"/>
      <c r="T2146" s="340"/>
      <c r="V2146" s="378"/>
      <c r="W2146" s="64" ph="1"/>
      <c r="X2146" s="241"/>
      <c r="Y2146" s="284"/>
      <c r="Z2146" s="207"/>
      <c r="AA2146" s="284"/>
      <c r="AB2146" s="284"/>
      <c r="AC2146" s="284"/>
      <c r="AD2146" s="284"/>
      <c r="AE2146" s="284"/>
      <c r="AF2146" s="284"/>
      <c r="AG2146" s="284"/>
    </row>
    <row r="2147" spans="1:33" ht="26.4">
      <c r="A2147" s="284"/>
      <c r="B2147" s="284"/>
      <c r="C2147" s="284"/>
      <c r="D2147" s="284"/>
      <c r="E2147" s="284"/>
      <c r="F2147" s="284"/>
      <c r="G2147" s="284"/>
      <c r="H2147" s="284"/>
      <c r="I2147" s="284"/>
      <c r="J2147" s="375"/>
      <c r="K2147" s="375"/>
      <c r="L2147" s="375"/>
      <c r="M2147" s="368"/>
      <c r="N2147" s="368"/>
      <c r="O2147" s="370"/>
      <c r="T2147" s="340"/>
      <c r="V2147" s="378"/>
      <c r="W2147" s="64" ph="1"/>
      <c r="X2147" s="241"/>
      <c r="Y2147" s="284"/>
      <c r="Z2147" s="207"/>
      <c r="AA2147" s="284"/>
      <c r="AB2147" s="284"/>
      <c r="AC2147" s="284"/>
      <c r="AD2147" s="284"/>
      <c r="AE2147" s="284"/>
      <c r="AF2147" s="284"/>
      <c r="AG2147" s="284"/>
    </row>
    <row r="2148" spans="1:33" ht="26.4">
      <c r="A2148" s="284"/>
      <c r="B2148" s="284"/>
      <c r="C2148" s="284"/>
      <c r="D2148" s="284"/>
      <c r="E2148" s="284"/>
      <c r="F2148" s="284"/>
      <c r="G2148" s="284"/>
      <c r="H2148" s="284"/>
      <c r="I2148" s="284"/>
      <c r="J2148" s="375"/>
      <c r="K2148" s="375"/>
      <c r="L2148" s="375"/>
      <c r="M2148" s="368"/>
      <c r="N2148" s="368"/>
      <c r="O2148" s="370"/>
      <c r="T2148" s="340"/>
      <c r="V2148" s="378"/>
      <c r="W2148" s="64" ph="1"/>
      <c r="X2148" s="241"/>
      <c r="Y2148" s="284"/>
      <c r="Z2148" s="207"/>
      <c r="AA2148" s="284"/>
      <c r="AB2148" s="284"/>
      <c r="AC2148" s="284"/>
      <c r="AD2148" s="284"/>
      <c r="AE2148" s="284"/>
      <c r="AF2148" s="284"/>
      <c r="AG2148" s="284"/>
    </row>
    <row r="2149" spans="1:33" ht="26.4">
      <c r="A2149" s="284"/>
      <c r="B2149" s="284"/>
      <c r="C2149" s="284"/>
      <c r="D2149" s="284"/>
      <c r="E2149" s="284"/>
      <c r="F2149" s="284"/>
      <c r="G2149" s="284"/>
      <c r="H2149" s="284"/>
      <c r="I2149" s="284"/>
      <c r="J2149" s="375"/>
      <c r="K2149" s="375"/>
      <c r="L2149" s="375"/>
      <c r="M2149" s="368"/>
      <c r="N2149" s="368"/>
      <c r="O2149" s="370"/>
      <c r="T2149" s="340"/>
      <c r="V2149" s="378"/>
      <c r="W2149" s="64" ph="1"/>
      <c r="X2149" s="241"/>
      <c r="Y2149" s="284"/>
      <c r="Z2149" s="207"/>
      <c r="AA2149" s="284"/>
      <c r="AB2149" s="284"/>
      <c r="AC2149" s="284"/>
      <c r="AD2149" s="284"/>
      <c r="AE2149" s="284"/>
      <c r="AF2149" s="284"/>
      <c r="AG2149" s="284"/>
    </row>
    <row r="2150" spans="1:33" ht="26.4">
      <c r="A2150" s="284"/>
      <c r="B2150" s="284"/>
      <c r="C2150" s="284"/>
      <c r="D2150" s="284"/>
      <c r="E2150" s="284"/>
      <c r="F2150" s="284"/>
      <c r="G2150" s="284"/>
      <c r="H2150" s="284"/>
      <c r="I2150" s="284"/>
      <c r="J2150" s="375"/>
      <c r="K2150" s="375"/>
      <c r="L2150" s="375"/>
      <c r="M2150" s="368"/>
      <c r="N2150" s="368"/>
      <c r="O2150" s="370"/>
      <c r="T2150" s="340"/>
      <c r="V2150" s="378"/>
      <c r="W2150" s="64" ph="1"/>
      <c r="X2150" s="241"/>
      <c r="Y2150" s="284"/>
      <c r="Z2150" s="207"/>
      <c r="AA2150" s="284"/>
      <c r="AB2150" s="284"/>
      <c r="AC2150" s="284"/>
      <c r="AD2150" s="284"/>
      <c r="AE2150" s="284"/>
      <c r="AF2150" s="284"/>
      <c r="AG2150" s="284"/>
    </row>
    <row r="2151" spans="1:33" ht="26.4">
      <c r="A2151" s="284"/>
      <c r="B2151" s="284"/>
      <c r="C2151" s="284"/>
      <c r="D2151" s="284"/>
      <c r="E2151" s="284"/>
      <c r="F2151" s="284"/>
      <c r="G2151" s="284"/>
      <c r="H2151" s="284"/>
      <c r="I2151" s="284"/>
      <c r="J2151" s="375"/>
      <c r="K2151" s="375"/>
      <c r="L2151" s="375"/>
      <c r="M2151" s="368"/>
      <c r="N2151" s="368"/>
      <c r="O2151" s="370"/>
      <c r="T2151" s="340"/>
      <c r="V2151" s="378"/>
      <c r="W2151" s="64" ph="1"/>
      <c r="X2151" s="241"/>
      <c r="Y2151" s="284"/>
      <c r="Z2151" s="207"/>
      <c r="AA2151" s="284"/>
      <c r="AB2151" s="284"/>
      <c r="AC2151" s="284"/>
      <c r="AD2151" s="284"/>
      <c r="AE2151" s="284"/>
      <c r="AF2151" s="284"/>
      <c r="AG2151" s="284"/>
    </row>
    <row r="2152" spans="1:33" ht="26.4">
      <c r="A2152" s="284"/>
      <c r="B2152" s="284"/>
      <c r="C2152" s="284"/>
      <c r="D2152" s="284"/>
      <c r="E2152" s="284"/>
      <c r="F2152" s="284"/>
      <c r="G2152" s="284"/>
      <c r="H2152" s="284"/>
      <c r="I2152" s="284"/>
      <c r="J2152" s="375"/>
      <c r="K2152" s="375"/>
      <c r="L2152" s="375"/>
      <c r="M2152" s="368"/>
      <c r="N2152" s="368"/>
      <c r="O2152" s="370"/>
      <c r="T2152" s="340"/>
      <c r="V2152" s="378"/>
      <c r="W2152" s="64" ph="1"/>
      <c r="X2152" s="241"/>
      <c r="Y2152" s="284"/>
      <c r="Z2152" s="207"/>
      <c r="AA2152" s="284"/>
      <c r="AB2152" s="284"/>
      <c r="AC2152" s="284"/>
      <c r="AD2152" s="284"/>
      <c r="AE2152" s="284"/>
      <c r="AF2152" s="284"/>
      <c r="AG2152" s="284"/>
    </row>
    <row r="2153" spans="1:33" ht="26.4">
      <c r="A2153" s="284"/>
      <c r="B2153" s="284"/>
      <c r="C2153" s="284"/>
      <c r="D2153" s="284"/>
      <c r="E2153" s="284"/>
      <c r="F2153" s="284"/>
      <c r="G2153" s="284"/>
      <c r="H2153" s="284"/>
      <c r="I2153" s="284"/>
      <c r="J2153" s="375"/>
      <c r="K2153" s="375"/>
      <c r="L2153" s="375"/>
      <c r="M2153" s="368"/>
      <c r="N2153" s="368"/>
      <c r="O2153" s="370"/>
      <c r="T2153" s="340"/>
      <c r="V2153" s="378"/>
      <c r="W2153" s="64" ph="1"/>
      <c r="X2153" s="241"/>
      <c r="Y2153" s="284"/>
      <c r="Z2153" s="207"/>
      <c r="AA2153" s="284"/>
      <c r="AB2153" s="284"/>
      <c r="AC2153" s="284"/>
      <c r="AD2153" s="284"/>
      <c r="AE2153" s="284"/>
      <c r="AF2153" s="284"/>
      <c r="AG2153" s="284"/>
    </row>
    <row r="2154" spans="1:33" ht="26.4">
      <c r="A2154" s="284"/>
      <c r="B2154" s="284"/>
      <c r="C2154" s="284"/>
      <c r="D2154" s="284"/>
      <c r="E2154" s="284"/>
      <c r="F2154" s="284"/>
      <c r="G2154" s="284"/>
      <c r="H2154" s="284"/>
      <c r="I2154" s="284"/>
      <c r="J2154" s="375"/>
      <c r="K2154" s="375"/>
      <c r="L2154" s="375"/>
      <c r="M2154" s="368"/>
      <c r="N2154" s="368"/>
      <c r="O2154" s="370"/>
      <c r="T2154" s="340"/>
      <c r="V2154" s="378"/>
      <c r="W2154" s="64" ph="1"/>
      <c r="X2154" s="241"/>
      <c r="Y2154" s="284"/>
      <c r="Z2154" s="207"/>
      <c r="AA2154" s="284"/>
      <c r="AB2154" s="284"/>
      <c r="AC2154" s="284"/>
      <c r="AD2154" s="284"/>
      <c r="AE2154" s="284"/>
      <c r="AF2154" s="284"/>
      <c r="AG2154" s="284"/>
    </row>
    <row r="2155" spans="1:33" ht="26.4">
      <c r="A2155" s="284"/>
      <c r="B2155" s="284"/>
      <c r="C2155" s="284"/>
      <c r="D2155" s="284"/>
      <c r="E2155" s="284"/>
      <c r="F2155" s="284"/>
      <c r="G2155" s="284"/>
      <c r="H2155" s="284"/>
      <c r="I2155" s="284"/>
      <c r="J2155" s="375"/>
      <c r="K2155" s="375"/>
      <c r="L2155" s="375"/>
      <c r="M2155" s="368"/>
      <c r="N2155" s="368"/>
      <c r="O2155" s="370"/>
      <c r="T2155" s="340"/>
      <c r="V2155" s="378"/>
      <c r="W2155" s="64" ph="1"/>
      <c r="X2155" s="241"/>
      <c r="Y2155" s="284"/>
      <c r="Z2155" s="207"/>
      <c r="AA2155" s="284"/>
      <c r="AB2155" s="284"/>
      <c r="AC2155" s="284"/>
      <c r="AD2155" s="284"/>
      <c r="AE2155" s="284"/>
      <c r="AF2155" s="284"/>
      <c r="AG2155" s="284"/>
    </row>
    <row r="2156" spans="1:33" ht="26.4">
      <c r="A2156" s="284"/>
      <c r="B2156" s="284"/>
      <c r="C2156" s="284"/>
      <c r="D2156" s="284"/>
      <c r="E2156" s="284"/>
      <c r="F2156" s="284"/>
      <c r="G2156" s="284"/>
      <c r="H2156" s="284"/>
      <c r="I2156" s="284"/>
      <c r="J2156" s="375"/>
      <c r="K2156" s="375"/>
      <c r="L2156" s="375"/>
      <c r="M2156" s="368"/>
      <c r="N2156" s="368"/>
      <c r="O2156" s="370"/>
      <c r="T2156" s="340"/>
      <c r="V2156" s="378"/>
      <c r="W2156" s="64" ph="1"/>
      <c r="X2156" s="241"/>
      <c r="Y2156" s="284"/>
      <c r="Z2156" s="207"/>
      <c r="AA2156" s="284"/>
      <c r="AB2156" s="284"/>
      <c r="AC2156" s="284"/>
      <c r="AD2156" s="284"/>
      <c r="AE2156" s="284"/>
      <c r="AF2156" s="284"/>
      <c r="AG2156" s="284"/>
    </row>
    <row r="2157" spans="1:33" ht="26.4">
      <c r="A2157" s="284"/>
      <c r="B2157" s="284"/>
      <c r="C2157" s="284"/>
      <c r="D2157" s="284"/>
      <c r="E2157" s="284"/>
      <c r="F2157" s="284"/>
      <c r="G2157" s="284"/>
      <c r="H2157" s="284"/>
      <c r="I2157" s="284"/>
      <c r="J2157" s="375"/>
      <c r="K2157" s="375"/>
      <c r="L2157" s="375"/>
      <c r="M2157" s="368"/>
      <c r="N2157" s="368"/>
      <c r="O2157" s="370"/>
      <c r="T2157" s="340"/>
      <c r="V2157" s="378"/>
      <c r="W2157" s="64" ph="1"/>
      <c r="X2157" s="241"/>
      <c r="Y2157" s="284"/>
      <c r="Z2157" s="207"/>
      <c r="AA2157" s="284"/>
      <c r="AB2157" s="284"/>
      <c r="AC2157" s="284"/>
      <c r="AD2157" s="284"/>
      <c r="AE2157" s="284"/>
      <c r="AF2157" s="284"/>
      <c r="AG2157" s="284"/>
    </row>
    <row r="2158" spans="1:33" ht="26.4">
      <c r="A2158" s="284"/>
      <c r="B2158" s="284"/>
      <c r="C2158" s="284"/>
      <c r="D2158" s="284"/>
      <c r="E2158" s="284"/>
      <c r="F2158" s="284"/>
      <c r="G2158" s="284"/>
      <c r="H2158" s="284"/>
      <c r="I2158" s="284"/>
      <c r="J2158" s="375"/>
      <c r="K2158" s="375"/>
      <c r="L2158" s="375"/>
      <c r="M2158" s="368"/>
      <c r="N2158" s="368"/>
      <c r="O2158" s="370"/>
      <c r="T2158" s="340"/>
      <c r="V2158" s="378"/>
      <c r="W2158" s="64" ph="1"/>
      <c r="X2158" s="241"/>
      <c r="Y2158" s="284"/>
      <c r="Z2158" s="207"/>
      <c r="AA2158" s="284"/>
      <c r="AB2158" s="284"/>
      <c r="AC2158" s="284"/>
      <c r="AD2158" s="284"/>
      <c r="AE2158" s="284"/>
      <c r="AF2158" s="284"/>
      <c r="AG2158" s="284"/>
    </row>
    <row r="2159" spans="1:33" ht="26.4">
      <c r="A2159" s="284"/>
      <c r="B2159" s="284"/>
      <c r="C2159" s="284"/>
      <c r="D2159" s="284"/>
      <c r="E2159" s="284"/>
      <c r="F2159" s="284"/>
      <c r="G2159" s="284"/>
      <c r="H2159" s="284"/>
      <c r="I2159" s="284"/>
      <c r="J2159" s="375"/>
      <c r="K2159" s="375"/>
      <c r="L2159" s="375"/>
      <c r="M2159" s="368"/>
      <c r="N2159" s="368"/>
      <c r="O2159" s="370"/>
      <c r="T2159" s="340"/>
      <c r="V2159" s="378"/>
      <c r="W2159" s="64" ph="1"/>
      <c r="X2159" s="241"/>
      <c r="Y2159" s="284"/>
      <c r="Z2159" s="207"/>
      <c r="AA2159" s="284"/>
      <c r="AB2159" s="284"/>
      <c r="AC2159" s="284"/>
      <c r="AD2159" s="284"/>
      <c r="AE2159" s="284"/>
      <c r="AF2159" s="284"/>
      <c r="AG2159" s="284"/>
    </row>
    <row r="2160" spans="1:33" ht="26.4">
      <c r="A2160" s="284"/>
      <c r="B2160" s="284"/>
      <c r="C2160" s="284"/>
      <c r="D2160" s="284"/>
      <c r="E2160" s="284"/>
      <c r="F2160" s="284"/>
      <c r="G2160" s="284"/>
      <c r="H2160" s="284"/>
      <c r="I2160" s="284"/>
      <c r="J2160" s="375"/>
      <c r="K2160" s="375"/>
      <c r="L2160" s="375"/>
      <c r="M2160" s="368"/>
      <c r="N2160" s="368"/>
      <c r="O2160" s="370"/>
      <c r="T2160" s="340"/>
      <c r="V2160" s="378"/>
      <c r="W2160" s="64" ph="1"/>
      <c r="X2160" s="241"/>
      <c r="Y2160" s="284"/>
      <c r="Z2160" s="207"/>
      <c r="AA2160" s="284"/>
      <c r="AB2160" s="284"/>
      <c r="AC2160" s="284"/>
      <c r="AD2160" s="284"/>
      <c r="AE2160" s="284"/>
      <c r="AF2160" s="284"/>
      <c r="AG2160" s="284"/>
    </row>
    <row r="2161" spans="1:33" ht="26.4">
      <c r="A2161" s="284"/>
      <c r="B2161" s="284"/>
      <c r="C2161" s="284"/>
      <c r="D2161" s="284"/>
      <c r="E2161" s="284"/>
      <c r="F2161" s="284"/>
      <c r="G2161" s="284"/>
      <c r="H2161" s="284"/>
      <c r="I2161" s="284"/>
      <c r="J2161" s="375"/>
      <c r="K2161" s="375"/>
      <c r="L2161" s="375"/>
      <c r="M2161" s="368"/>
      <c r="N2161" s="368"/>
      <c r="O2161" s="370"/>
      <c r="T2161" s="340"/>
      <c r="V2161" s="378"/>
      <c r="W2161" s="64" ph="1"/>
      <c r="X2161" s="241"/>
      <c r="Y2161" s="284"/>
      <c r="Z2161" s="207"/>
      <c r="AA2161" s="284"/>
      <c r="AB2161" s="284"/>
      <c r="AC2161" s="284"/>
      <c r="AD2161" s="284"/>
      <c r="AE2161" s="284"/>
      <c r="AF2161" s="284"/>
      <c r="AG2161" s="284"/>
    </row>
    <row r="2162" spans="1:33" ht="26.4">
      <c r="A2162" s="284"/>
      <c r="B2162" s="284"/>
      <c r="C2162" s="284"/>
      <c r="D2162" s="284"/>
      <c r="E2162" s="284"/>
      <c r="F2162" s="284"/>
      <c r="G2162" s="284"/>
      <c r="H2162" s="284"/>
      <c r="I2162" s="284"/>
      <c r="J2162" s="375"/>
      <c r="K2162" s="375"/>
      <c r="L2162" s="375"/>
      <c r="M2162" s="368"/>
      <c r="N2162" s="368"/>
      <c r="O2162" s="370"/>
      <c r="T2162" s="340"/>
      <c r="V2162" s="378"/>
      <c r="W2162" s="64" ph="1"/>
      <c r="X2162" s="241"/>
      <c r="Y2162" s="284"/>
      <c r="Z2162" s="207"/>
      <c r="AA2162" s="284"/>
      <c r="AB2162" s="284"/>
      <c r="AC2162" s="284"/>
      <c r="AD2162" s="284"/>
      <c r="AE2162" s="284"/>
      <c r="AF2162" s="284"/>
      <c r="AG2162" s="284"/>
    </row>
    <row r="2163" spans="1:33" ht="26.4">
      <c r="A2163" s="284"/>
      <c r="B2163" s="284"/>
      <c r="C2163" s="284"/>
      <c r="D2163" s="284"/>
      <c r="E2163" s="284"/>
      <c r="F2163" s="284"/>
      <c r="G2163" s="284"/>
      <c r="H2163" s="284"/>
      <c r="I2163" s="284"/>
      <c r="J2163" s="375"/>
      <c r="K2163" s="375"/>
      <c r="L2163" s="375"/>
      <c r="M2163" s="368"/>
      <c r="N2163" s="368"/>
      <c r="O2163" s="370"/>
      <c r="T2163" s="340"/>
      <c r="V2163" s="378"/>
      <c r="W2163" s="64" ph="1"/>
      <c r="X2163" s="241"/>
      <c r="Y2163" s="284"/>
      <c r="Z2163" s="207"/>
      <c r="AA2163" s="284"/>
      <c r="AB2163" s="284"/>
      <c r="AC2163" s="284"/>
      <c r="AD2163" s="284"/>
      <c r="AE2163" s="284"/>
      <c r="AF2163" s="284"/>
      <c r="AG2163" s="284"/>
    </row>
    <row r="2164" spans="1:33" ht="26.4">
      <c r="A2164" s="284"/>
      <c r="B2164" s="284"/>
      <c r="C2164" s="284"/>
      <c r="D2164" s="284"/>
      <c r="E2164" s="284"/>
      <c r="F2164" s="284"/>
      <c r="G2164" s="284"/>
      <c r="H2164" s="284"/>
      <c r="I2164" s="284"/>
      <c r="J2164" s="375"/>
      <c r="K2164" s="375"/>
      <c r="L2164" s="375"/>
      <c r="M2164" s="368"/>
      <c r="N2164" s="368"/>
      <c r="O2164" s="370"/>
      <c r="T2164" s="340"/>
      <c r="V2164" s="378"/>
      <c r="W2164" s="64" ph="1"/>
      <c r="X2164" s="241"/>
      <c r="Y2164" s="284"/>
      <c r="Z2164" s="207"/>
      <c r="AA2164" s="284"/>
      <c r="AB2164" s="284"/>
      <c r="AC2164" s="284"/>
      <c r="AD2164" s="284"/>
      <c r="AE2164" s="284"/>
      <c r="AF2164" s="284"/>
      <c r="AG2164" s="284"/>
    </row>
    <row r="2165" spans="1:33" ht="26.4">
      <c r="A2165" s="284"/>
      <c r="B2165" s="284"/>
      <c r="C2165" s="284"/>
      <c r="D2165" s="284"/>
      <c r="E2165" s="284"/>
      <c r="F2165" s="284"/>
      <c r="G2165" s="284"/>
      <c r="H2165" s="284"/>
      <c r="I2165" s="284"/>
      <c r="J2165" s="375"/>
      <c r="K2165" s="375"/>
      <c r="L2165" s="375"/>
      <c r="M2165" s="368"/>
      <c r="N2165" s="368"/>
      <c r="O2165" s="370"/>
      <c r="T2165" s="340"/>
      <c r="V2165" s="378"/>
      <c r="W2165" s="64" ph="1"/>
      <c r="X2165" s="241"/>
      <c r="Y2165" s="284"/>
      <c r="Z2165" s="207"/>
      <c r="AA2165" s="284"/>
      <c r="AB2165" s="284"/>
      <c r="AC2165" s="284"/>
      <c r="AD2165" s="284"/>
      <c r="AE2165" s="284"/>
      <c r="AF2165" s="284"/>
      <c r="AG2165" s="284"/>
    </row>
    <row r="2166" spans="1:33" ht="26.4">
      <c r="A2166" s="284"/>
      <c r="B2166" s="284"/>
      <c r="C2166" s="284"/>
      <c r="D2166" s="284"/>
      <c r="E2166" s="284"/>
      <c r="F2166" s="284"/>
      <c r="G2166" s="284"/>
      <c r="H2166" s="284"/>
      <c r="I2166" s="284"/>
      <c r="J2166" s="375"/>
      <c r="K2166" s="375"/>
      <c r="L2166" s="375"/>
      <c r="M2166" s="368"/>
      <c r="N2166" s="368"/>
      <c r="O2166" s="370"/>
      <c r="T2166" s="340"/>
      <c r="V2166" s="378"/>
      <c r="W2166" s="64" ph="1"/>
      <c r="X2166" s="241"/>
      <c r="Y2166" s="284"/>
      <c r="Z2166" s="207"/>
      <c r="AA2166" s="284"/>
      <c r="AB2166" s="284"/>
      <c r="AC2166" s="284"/>
      <c r="AD2166" s="284"/>
      <c r="AE2166" s="284"/>
      <c r="AF2166" s="284"/>
      <c r="AG2166" s="284"/>
    </row>
    <row r="2167" spans="1:33" ht="26.4">
      <c r="A2167" s="284"/>
      <c r="B2167" s="284"/>
      <c r="C2167" s="284"/>
      <c r="D2167" s="284"/>
      <c r="E2167" s="284"/>
      <c r="F2167" s="284"/>
      <c r="G2167" s="284"/>
      <c r="H2167" s="284"/>
      <c r="I2167" s="284"/>
      <c r="J2167" s="375"/>
      <c r="K2167" s="375"/>
      <c r="L2167" s="375"/>
      <c r="M2167" s="368"/>
      <c r="N2167" s="368"/>
      <c r="O2167" s="370"/>
      <c r="T2167" s="340"/>
      <c r="V2167" s="378"/>
      <c r="W2167" s="64" ph="1"/>
      <c r="X2167" s="241"/>
      <c r="Y2167" s="284"/>
      <c r="Z2167" s="207"/>
      <c r="AA2167" s="284"/>
      <c r="AB2167" s="284"/>
      <c r="AC2167" s="284"/>
      <c r="AD2167" s="284"/>
      <c r="AE2167" s="284"/>
      <c r="AF2167" s="284"/>
      <c r="AG2167" s="284"/>
    </row>
    <row r="2168" spans="1:33" ht="26.4">
      <c r="A2168" s="284"/>
      <c r="B2168" s="284"/>
      <c r="C2168" s="284"/>
      <c r="D2168" s="284"/>
      <c r="E2168" s="284"/>
      <c r="F2168" s="284"/>
      <c r="G2168" s="284"/>
      <c r="H2168" s="284"/>
      <c r="I2168" s="284"/>
      <c r="J2168" s="375"/>
      <c r="K2168" s="375"/>
      <c r="L2168" s="375"/>
      <c r="M2168" s="368"/>
      <c r="N2168" s="368"/>
      <c r="O2168" s="370"/>
      <c r="T2168" s="340"/>
      <c r="V2168" s="378"/>
      <c r="W2168" s="64" ph="1"/>
      <c r="X2168" s="241"/>
      <c r="Y2168" s="284"/>
      <c r="Z2168" s="207"/>
      <c r="AA2168" s="284"/>
      <c r="AB2168" s="284"/>
      <c r="AC2168" s="284"/>
      <c r="AD2168" s="284"/>
      <c r="AE2168" s="284"/>
      <c r="AF2168" s="284"/>
      <c r="AG2168" s="284"/>
    </row>
    <row r="2169" spans="1:33" ht="26.4">
      <c r="A2169" s="284"/>
      <c r="B2169" s="284"/>
      <c r="C2169" s="284"/>
      <c r="D2169" s="284"/>
      <c r="E2169" s="284"/>
      <c r="F2169" s="284"/>
      <c r="G2169" s="284"/>
      <c r="H2169" s="284"/>
      <c r="I2169" s="284"/>
      <c r="J2169" s="375"/>
      <c r="K2169" s="375"/>
      <c r="L2169" s="375"/>
      <c r="M2169" s="368"/>
      <c r="N2169" s="368"/>
      <c r="O2169" s="370"/>
      <c r="T2169" s="340"/>
      <c r="V2169" s="378"/>
      <c r="W2169" s="64" ph="1"/>
      <c r="X2169" s="241"/>
      <c r="Y2169" s="284"/>
      <c r="Z2169" s="207"/>
      <c r="AA2169" s="284"/>
      <c r="AB2169" s="284"/>
      <c r="AC2169" s="284"/>
      <c r="AD2169" s="284"/>
      <c r="AE2169" s="284"/>
      <c r="AF2169" s="284"/>
      <c r="AG2169" s="284"/>
    </row>
    <row r="2170" spans="1:33" ht="26.4">
      <c r="A2170" s="284"/>
      <c r="B2170" s="284"/>
      <c r="C2170" s="284"/>
      <c r="D2170" s="284"/>
      <c r="E2170" s="284"/>
      <c r="F2170" s="284"/>
      <c r="G2170" s="284"/>
      <c r="H2170" s="284"/>
      <c r="I2170" s="284"/>
      <c r="J2170" s="375"/>
      <c r="K2170" s="375"/>
      <c r="L2170" s="375"/>
      <c r="M2170" s="368"/>
      <c r="N2170" s="368"/>
      <c r="O2170" s="370"/>
      <c r="T2170" s="340"/>
      <c r="V2170" s="378"/>
      <c r="W2170" s="64" ph="1"/>
      <c r="X2170" s="241"/>
      <c r="Y2170" s="284"/>
      <c r="Z2170" s="207"/>
      <c r="AA2170" s="284"/>
      <c r="AB2170" s="284"/>
      <c r="AC2170" s="284"/>
      <c r="AD2170" s="284"/>
      <c r="AE2170" s="284"/>
      <c r="AF2170" s="284"/>
      <c r="AG2170" s="284"/>
    </row>
    <row r="2171" spans="1:33" ht="26.4">
      <c r="A2171" s="284"/>
      <c r="B2171" s="284"/>
      <c r="C2171" s="284"/>
      <c r="D2171" s="284"/>
      <c r="E2171" s="284"/>
      <c r="F2171" s="284"/>
      <c r="G2171" s="284"/>
      <c r="H2171" s="284"/>
      <c r="I2171" s="284"/>
      <c r="J2171" s="375"/>
      <c r="K2171" s="375"/>
      <c r="L2171" s="375"/>
      <c r="M2171" s="368"/>
      <c r="N2171" s="368"/>
      <c r="O2171" s="370"/>
      <c r="T2171" s="340"/>
      <c r="V2171" s="378"/>
      <c r="W2171" s="64" ph="1"/>
      <c r="X2171" s="241"/>
      <c r="Y2171" s="284"/>
      <c r="Z2171" s="207"/>
      <c r="AA2171" s="284"/>
      <c r="AB2171" s="284"/>
      <c r="AC2171" s="284"/>
      <c r="AD2171" s="284"/>
      <c r="AE2171" s="284"/>
      <c r="AF2171" s="284"/>
      <c r="AG2171" s="284"/>
    </row>
    <row r="2172" spans="1:33" ht="26.4">
      <c r="A2172" s="284"/>
      <c r="B2172" s="284"/>
      <c r="C2172" s="284"/>
      <c r="D2172" s="284"/>
      <c r="E2172" s="284"/>
      <c r="F2172" s="284"/>
      <c r="G2172" s="284"/>
      <c r="H2172" s="284"/>
      <c r="I2172" s="284"/>
      <c r="J2172" s="375"/>
      <c r="K2172" s="375"/>
      <c r="L2172" s="375"/>
      <c r="M2172" s="368"/>
      <c r="N2172" s="368"/>
      <c r="O2172" s="370"/>
      <c r="T2172" s="340"/>
      <c r="V2172" s="378"/>
      <c r="W2172" s="64" ph="1"/>
      <c r="X2172" s="241"/>
      <c r="Y2172" s="284"/>
      <c r="Z2172" s="207"/>
      <c r="AA2172" s="284"/>
      <c r="AB2172" s="284"/>
      <c r="AC2172" s="284"/>
      <c r="AD2172" s="284"/>
      <c r="AE2172" s="284"/>
      <c r="AF2172" s="284"/>
      <c r="AG2172" s="284"/>
    </row>
    <row r="2173" spans="1:33" ht="26.4">
      <c r="A2173" s="284"/>
      <c r="B2173" s="284"/>
      <c r="C2173" s="284"/>
      <c r="D2173" s="284"/>
      <c r="E2173" s="284"/>
      <c r="F2173" s="284"/>
      <c r="G2173" s="284"/>
      <c r="H2173" s="284"/>
      <c r="I2173" s="284"/>
      <c r="J2173" s="375"/>
      <c r="K2173" s="375"/>
      <c r="L2173" s="375"/>
      <c r="M2173" s="368"/>
      <c r="N2173" s="368"/>
      <c r="O2173" s="370"/>
      <c r="T2173" s="340"/>
      <c r="V2173" s="378"/>
      <c r="W2173" s="64" ph="1"/>
      <c r="X2173" s="241"/>
      <c r="Y2173" s="284"/>
      <c r="Z2173" s="207"/>
      <c r="AA2173" s="284"/>
      <c r="AB2173" s="284"/>
      <c r="AC2173" s="284"/>
      <c r="AD2173" s="284"/>
      <c r="AE2173" s="284"/>
      <c r="AF2173" s="284"/>
      <c r="AG2173" s="284"/>
    </row>
    <row r="2174" spans="1:33" ht="26.4">
      <c r="A2174" s="284"/>
      <c r="B2174" s="284"/>
      <c r="C2174" s="284"/>
      <c r="D2174" s="284"/>
      <c r="E2174" s="284"/>
      <c r="F2174" s="284"/>
      <c r="G2174" s="284"/>
      <c r="H2174" s="284"/>
      <c r="I2174" s="284"/>
      <c r="J2174" s="375"/>
      <c r="K2174" s="375"/>
      <c r="L2174" s="375"/>
      <c r="M2174" s="368"/>
      <c r="N2174" s="368"/>
      <c r="O2174" s="370"/>
      <c r="T2174" s="340"/>
      <c r="V2174" s="378"/>
      <c r="W2174" s="64" ph="1"/>
      <c r="X2174" s="241"/>
      <c r="Y2174" s="284"/>
      <c r="Z2174" s="207"/>
      <c r="AA2174" s="284"/>
      <c r="AB2174" s="284"/>
      <c r="AC2174" s="284"/>
      <c r="AD2174" s="284"/>
      <c r="AE2174" s="284"/>
      <c r="AF2174" s="284"/>
      <c r="AG2174" s="284"/>
    </row>
    <row r="2175" spans="1:33" ht="26.4">
      <c r="A2175" s="284"/>
      <c r="B2175" s="284"/>
      <c r="C2175" s="284"/>
      <c r="D2175" s="284"/>
      <c r="E2175" s="284"/>
      <c r="F2175" s="284"/>
      <c r="G2175" s="284"/>
      <c r="H2175" s="284"/>
      <c r="I2175" s="284"/>
      <c r="J2175" s="375"/>
      <c r="K2175" s="375"/>
      <c r="L2175" s="375"/>
      <c r="M2175" s="368"/>
      <c r="N2175" s="368"/>
      <c r="O2175" s="370"/>
      <c r="T2175" s="340"/>
      <c r="V2175" s="378"/>
      <c r="W2175" s="64" ph="1"/>
      <c r="X2175" s="241"/>
      <c r="Y2175" s="284"/>
      <c r="Z2175" s="207"/>
      <c r="AA2175" s="284"/>
      <c r="AB2175" s="284"/>
      <c r="AC2175" s="284"/>
      <c r="AD2175" s="284"/>
      <c r="AE2175" s="284"/>
      <c r="AF2175" s="284"/>
      <c r="AG2175" s="284"/>
    </row>
    <row r="2176" spans="1:33" ht="26.4">
      <c r="A2176" s="284"/>
      <c r="B2176" s="284"/>
      <c r="C2176" s="284"/>
      <c r="D2176" s="284"/>
      <c r="E2176" s="284"/>
      <c r="F2176" s="284"/>
      <c r="G2176" s="284"/>
      <c r="H2176" s="284"/>
      <c r="I2176" s="284"/>
      <c r="J2176" s="375"/>
      <c r="K2176" s="375"/>
      <c r="L2176" s="375"/>
      <c r="M2176" s="368"/>
      <c r="N2176" s="368"/>
      <c r="O2176" s="370"/>
      <c r="T2176" s="340"/>
      <c r="V2176" s="378"/>
      <c r="W2176" s="64" ph="1"/>
      <c r="X2176" s="241"/>
      <c r="Y2176" s="284"/>
      <c r="Z2176" s="207"/>
      <c r="AA2176" s="284"/>
      <c r="AB2176" s="284"/>
      <c r="AC2176" s="284"/>
      <c r="AD2176" s="284"/>
      <c r="AE2176" s="284"/>
      <c r="AF2176" s="284"/>
      <c r="AG2176" s="284"/>
    </row>
    <row r="2177" spans="1:33" ht="26.4">
      <c r="A2177" s="284"/>
      <c r="B2177" s="284"/>
      <c r="C2177" s="284"/>
      <c r="D2177" s="284"/>
      <c r="E2177" s="284"/>
      <c r="F2177" s="284"/>
      <c r="G2177" s="284"/>
      <c r="H2177" s="284"/>
      <c r="I2177" s="284"/>
      <c r="J2177" s="375"/>
      <c r="K2177" s="375"/>
      <c r="L2177" s="375"/>
      <c r="M2177" s="368"/>
      <c r="N2177" s="368"/>
      <c r="O2177" s="370"/>
      <c r="T2177" s="340"/>
      <c r="V2177" s="378"/>
      <c r="W2177" s="64" ph="1"/>
      <c r="X2177" s="241"/>
      <c r="Y2177" s="284"/>
      <c r="Z2177" s="207"/>
      <c r="AA2177" s="284"/>
      <c r="AB2177" s="284"/>
      <c r="AC2177" s="284"/>
      <c r="AD2177" s="284"/>
      <c r="AE2177" s="284"/>
      <c r="AF2177" s="284"/>
      <c r="AG2177" s="284"/>
    </row>
    <row r="2178" spans="1:33" ht="26.4">
      <c r="A2178" s="284"/>
      <c r="B2178" s="284"/>
      <c r="C2178" s="284"/>
      <c r="D2178" s="284"/>
      <c r="E2178" s="284"/>
      <c r="F2178" s="284"/>
      <c r="G2178" s="284"/>
      <c r="H2178" s="284"/>
      <c r="I2178" s="284"/>
      <c r="J2178" s="375"/>
      <c r="K2178" s="375"/>
      <c r="L2178" s="375"/>
      <c r="M2178" s="368"/>
      <c r="N2178" s="368"/>
      <c r="O2178" s="370"/>
      <c r="T2178" s="340"/>
      <c r="V2178" s="378"/>
      <c r="W2178" s="64" ph="1"/>
      <c r="X2178" s="241"/>
      <c r="Y2178" s="284"/>
      <c r="Z2178" s="207"/>
      <c r="AA2178" s="284"/>
      <c r="AB2178" s="284"/>
      <c r="AC2178" s="284"/>
      <c r="AD2178" s="284"/>
      <c r="AE2178" s="284"/>
      <c r="AF2178" s="284"/>
      <c r="AG2178" s="284"/>
    </row>
    <row r="2179" spans="1:33" ht="26.4">
      <c r="A2179" s="284"/>
      <c r="B2179" s="284"/>
      <c r="C2179" s="284"/>
      <c r="D2179" s="284"/>
      <c r="E2179" s="284"/>
      <c r="F2179" s="284"/>
      <c r="G2179" s="284"/>
      <c r="H2179" s="284"/>
      <c r="I2179" s="284"/>
      <c r="J2179" s="375"/>
      <c r="K2179" s="375"/>
      <c r="L2179" s="375"/>
      <c r="M2179" s="368"/>
      <c r="N2179" s="368"/>
      <c r="O2179" s="370"/>
      <c r="T2179" s="340"/>
      <c r="V2179" s="378"/>
      <c r="W2179" s="64" ph="1"/>
      <c r="X2179" s="241"/>
      <c r="Y2179" s="284"/>
      <c r="Z2179" s="207"/>
      <c r="AA2179" s="284"/>
      <c r="AB2179" s="284"/>
      <c r="AC2179" s="284"/>
      <c r="AD2179" s="284"/>
      <c r="AE2179" s="284"/>
      <c r="AF2179" s="284"/>
      <c r="AG2179" s="284"/>
    </row>
    <row r="2180" spans="1:33" ht="26.4">
      <c r="A2180" s="284"/>
      <c r="B2180" s="284"/>
      <c r="C2180" s="284"/>
      <c r="D2180" s="284"/>
      <c r="E2180" s="284"/>
      <c r="F2180" s="284"/>
      <c r="G2180" s="284"/>
      <c r="H2180" s="284"/>
      <c r="I2180" s="284"/>
      <c r="J2180" s="375"/>
      <c r="K2180" s="375"/>
      <c r="L2180" s="375"/>
      <c r="M2180" s="368"/>
      <c r="N2180" s="368"/>
      <c r="O2180" s="370"/>
      <c r="T2180" s="340"/>
      <c r="V2180" s="378"/>
      <c r="W2180" s="64" ph="1"/>
      <c r="X2180" s="241"/>
      <c r="Y2180" s="284"/>
      <c r="Z2180" s="207"/>
      <c r="AA2180" s="284"/>
      <c r="AB2180" s="284"/>
      <c r="AC2180" s="284"/>
      <c r="AD2180" s="284"/>
      <c r="AE2180" s="284"/>
      <c r="AF2180" s="284"/>
      <c r="AG2180" s="284"/>
    </row>
    <row r="2181" spans="1:33" ht="26.4">
      <c r="A2181" s="284"/>
      <c r="B2181" s="284"/>
      <c r="C2181" s="284"/>
      <c r="D2181" s="284"/>
      <c r="E2181" s="284"/>
      <c r="F2181" s="284"/>
      <c r="G2181" s="284"/>
      <c r="H2181" s="284"/>
      <c r="I2181" s="284"/>
      <c r="J2181" s="375"/>
      <c r="K2181" s="375"/>
      <c r="L2181" s="375"/>
      <c r="M2181" s="368"/>
      <c r="N2181" s="368"/>
      <c r="O2181" s="370"/>
      <c r="T2181" s="340"/>
      <c r="V2181" s="378"/>
      <c r="W2181" s="64" ph="1"/>
      <c r="X2181" s="241"/>
      <c r="Y2181" s="284"/>
      <c r="Z2181" s="207"/>
      <c r="AA2181" s="284"/>
      <c r="AB2181" s="284"/>
      <c r="AC2181" s="284"/>
      <c r="AD2181" s="284"/>
      <c r="AE2181" s="284"/>
      <c r="AF2181" s="284"/>
      <c r="AG2181" s="284"/>
    </row>
    <row r="2182" spans="1:33" ht="26.4">
      <c r="A2182" s="284"/>
      <c r="B2182" s="284"/>
      <c r="C2182" s="284"/>
      <c r="D2182" s="284"/>
      <c r="E2182" s="284"/>
      <c r="F2182" s="284"/>
      <c r="G2182" s="284"/>
      <c r="H2182" s="284"/>
      <c r="I2182" s="284"/>
      <c r="J2182" s="375"/>
      <c r="K2182" s="375"/>
      <c r="L2182" s="375"/>
      <c r="M2182" s="368"/>
      <c r="N2182" s="368"/>
      <c r="O2182" s="370"/>
      <c r="T2182" s="340"/>
      <c r="V2182" s="378"/>
      <c r="W2182" s="64" ph="1"/>
      <c r="X2182" s="241"/>
      <c r="Y2182" s="284"/>
      <c r="Z2182" s="207"/>
      <c r="AA2182" s="284"/>
      <c r="AB2182" s="284"/>
      <c r="AC2182" s="284"/>
      <c r="AD2182" s="284"/>
      <c r="AE2182" s="284"/>
      <c r="AF2182" s="284"/>
      <c r="AG2182" s="284"/>
    </row>
    <row r="2183" spans="1:33" ht="26.4">
      <c r="A2183" s="284"/>
      <c r="B2183" s="284"/>
      <c r="C2183" s="284"/>
      <c r="D2183" s="284"/>
      <c r="E2183" s="284"/>
      <c r="F2183" s="284"/>
      <c r="G2183" s="284"/>
      <c r="H2183" s="284"/>
      <c r="I2183" s="284"/>
      <c r="J2183" s="375"/>
      <c r="K2183" s="375"/>
      <c r="L2183" s="375"/>
      <c r="M2183" s="368"/>
      <c r="N2183" s="368"/>
      <c r="O2183" s="370"/>
      <c r="T2183" s="340"/>
      <c r="V2183" s="378"/>
      <c r="W2183" s="64" ph="1"/>
      <c r="X2183" s="241"/>
      <c r="Y2183" s="284"/>
      <c r="Z2183" s="207"/>
      <c r="AA2183" s="284"/>
      <c r="AB2183" s="284"/>
      <c r="AC2183" s="284"/>
      <c r="AD2183" s="284"/>
      <c r="AE2183" s="284"/>
      <c r="AF2183" s="284"/>
      <c r="AG2183" s="284"/>
    </row>
    <row r="2184" spans="1:33" ht="26.4">
      <c r="A2184" s="284"/>
      <c r="B2184" s="284"/>
      <c r="C2184" s="284"/>
      <c r="D2184" s="284"/>
      <c r="E2184" s="284"/>
      <c r="F2184" s="284"/>
      <c r="G2184" s="284"/>
      <c r="H2184" s="284"/>
      <c r="I2184" s="284"/>
      <c r="J2184" s="375"/>
      <c r="K2184" s="375"/>
      <c r="L2184" s="375"/>
      <c r="M2184" s="368"/>
      <c r="N2184" s="368"/>
      <c r="O2184" s="370"/>
      <c r="T2184" s="340"/>
      <c r="V2184" s="378"/>
      <c r="W2184" s="64" ph="1"/>
      <c r="X2184" s="241"/>
      <c r="Y2184" s="284"/>
      <c r="Z2184" s="207"/>
      <c r="AA2184" s="284"/>
      <c r="AB2184" s="284"/>
      <c r="AC2184" s="284"/>
      <c r="AD2184" s="284"/>
      <c r="AE2184" s="284"/>
      <c r="AF2184" s="284"/>
      <c r="AG2184" s="284"/>
    </row>
    <row r="2185" spans="1:33" ht="26.4">
      <c r="A2185" s="284"/>
      <c r="B2185" s="284"/>
      <c r="C2185" s="284"/>
      <c r="D2185" s="284"/>
      <c r="E2185" s="284"/>
      <c r="F2185" s="284"/>
      <c r="G2185" s="284"/>
      <c r="H2185" s="284"/>
      <c r="I2185" s="284"/>
      <c r="J2185" s="375"/>
      <c r="K2185" s="375"/>
      <c r="L2185" s="375"/>
      <c r="M2185" s="368"/>
      <c r="N2185" s="368"/>
      <c r="O2185" s="370"/>
      <c r="T2185" s="340"/>
      <c r="V2185" s="378"/>
      <c r="W2185" s="64" ph="1"/>
      <c r="X2185" s="241"/>
      <c r="Y2185" s="284"/>
      <c r="Z2185" s="207"/>
      <c r="AA2185" s="284"/>
      <c r="AB2185" s="284"/>
      <c r="AC2185" s="284"/>
      <c r="AD2185" s="284"/>
      <c r="AE2185" s="284"/>
      <c r="AF2185" s="284"/>
      <c r="AG2185" s="284"/>
    </row>
    <row r="2186" spans="1:33" ht="26.4">
      <c r="A2186" s="284"/>
      <c r="B2186" s="284"/>
      <c r="C2186" s="284"/>
      <c r="D2186" s="284"/>
      <c r="E2186" s="284"/>
      <c r="F2186" s="284"/>
      <c r="G2186" s="284"/>
      <c r="H2186" s="284"/>
      <c r="I2186" s="284"/>
      <c r="J2186" s="375"/>
      <c r="K2186" s="375"/>
      <c r="L2186" s="375"/>
      <c r="M2186" s="368"/>
      <c r="N2186" s="368"/>
      <c r="O2186" s="370"/>
      <c r="T2186" s="340"/>
      <c r="V2186" s="378"/>
      <c r="W2186" s="64" ph="1"/>
      <c r="X2186" s="241"/>
      <c r="Y2186" s="284"/>
      <c r="Z2186" s="207"/>
      <c r="AA2186" s="284"/>
      <c r="AB2186" s="284"/>
      <c r="AC2186" s="284"/>
      <c r="AD2186" s="284"/>
      <c r="AE2186" s="284"/>
      <c r="AF2186" s="284"/>
      <c r="AG2186" s="284"/>
    </row>
    <row r="2187" spans="1:33" ht="26.4">
      <c r="A2187" s="284"/>
      <c r="B2187" s="284"/>
      <c r="C2187" s="284"/>
      <c r="D2187" s="284"/>
      <c r="E2187" s="284"/>
      <c r="F2187" s="284"/>
      <c r="G2187" s="284"/>
      <c r="H2187" s="284"/>
      <c r="I2187" s="284"/>
      <c r="J2187" s="375"/>
      <c r="K2187" s="375"/>
      <c r="L2187" s="375"/>
      <c r="M2187" s="368"/>
      <c r="N2187" s="368"/>
      <c r="O2187" s="370"/>
      <c r="T2187" s="340"/>
      <c r="V2187" s="378"/>
      <c r="W2187" s="64" ph="1"/>
      <c r="X2187" s="241"/>
      <c r="Y2187" s="284"/>
      <c r="Z2187" s="207"/>
      <c r="AA2187" s="284"/>
      <c r="AB2187" s="284"/>
      <c r="AC2187" s="284"/>
      <c r="AD2187" s="284"/>
      <c r="AE2187" s="284"/>
      <c r="AF2187" s="284"/>
      <c r="AG2187" s="284"/>
    </row>
    <row r="2188" spans="1:33" ht="26.4">
      <c r="A2188" s="284"/>
      <c r="B2188" s="284"/>
      <c r="C2188" s="284"/>
      <c r="D2188" s="284"/>
      <c r="E2188" s="284"/>
      <c r="F2188" s="284"/>
      <c r="G2188" s="284"/>
      <c r="H2188" s="284"/>
      <c r="I2188" s="284"/>
      <c r="J2188" s="375"/>
      <c r="K2188" s="375"/>
      <c r="L2188" s="375"/>
      <c r="M2188" s="368"/>
      <c r="N2188" s="368"/>
      <c r="O2188" s="370"/>
      <c r="T2188" s="340"/>
      <c r="V2188" s="378"/>
      <c r="W2188" s="64" ph="1"/>
      <c r="X2188" s="241"/>
      <c r="Y2188" s="284"/>
      <c r="Z2188" s="207"/>
      <c r="AA2188" s="284"/>
      <c r="AB2188" s="284"/>
      <c r="AC2188" s="284"/>
      <c r="AD2188" s="284"/>
      <c r="AE2188" s="284"/>
      <c r="AF2188" s="284"/>
      <c r="AG2188" s="284"/>
    </row>
    <row r="2189" spans="1:33" ht="26.4">
      <c r="A2189" s="284"/>
      <c r="B2189" s="284"/>
      <c r="C2189" s="284"/>
      <c r="D2189" s="284"/>
      <c r="E2189" s="284"/>
      <c r="F2189" s="284"/>
      <c r="G2189" s="284"/>
      <c r="H2189" s="284"/>
      <c r="I2189" s="284"/>
      <c r="J2189" s="375"/>
      <c r="K2189" s="375"/>
      <c r="L2189" s="375"/>
      <c r="M2189" s="368"/>
      <c r="N2189" s="368"/>
      <c r="O2189" s="370"/>
      <c r="T2189" s="340"/>
      <c r="V2189" s="378"/>
      <c r="W2189" s="64" ph="1"/>
      <c r="X2189" s="241"/>
      <c r="Y2189" s="284"/>
      <c r="Z2189" s="207"/>
      <c r="AA2189" s="284"/>
      <c r="AB2189" s="284"/>
      <c r="AC2189" s="284"/>
      <c r="AD2189" s="284"/>
      <c r="AE2189" s="284"/>
      <c r="AF2189" s="284"/>
      <c r="AG2189" s="284"/>
    </row>
    <row r="2190" spans="1:33" ht="26.4">
      <c r="A2190" s="284"/>
      <c r="B2190" s="284"/>
      <c r="C2190" s="284"/>
      <c r="D2190" s="284"/>
      <c r="E2190" s="284"/>
      <c r="F2190" s="284"/>
      <c r="G2190" s="284"/>
      <c r="H2190" s="284"/>
      <c r="I2190" s="284"/>
      <c r="J2190" s="375"/>
      <c r="K2190" s="375"/>
      <c r="L2190" s="375"/>
      <c r="M2190" s="368"/>
      <c r="N2190" s="368"/>
      <c r="O2190" s="370"/>
      <c r="T2190" s="340"/>
      <c r="V2190" s="378"/>
      <c r="W2190" s="64" ph="1"/>
      <c r="X2190" s="241"/>
      <c r="Y2190" s="284"/>
      <c r="Z2190" s="207"/>
      <c r="AA2190" s="284"/>
      <c r="AB2190" s="284"/>
      <c r="AC2190" s="284"/>
      <c r="AD2190" s="284"/>
      <c r="AE2190" s="284"/>
      <c r="AF2190" s="284"/>
      <c r="AG2190" s="284"/>
    </row>
    <row r="2191" spans="1:33" ht="26.4">
      <c r="A2191" s="284"/>
      <c r="B2191" s="284"/>
      <c r="C2191" s="284"/>
      <c r="D2191" s="284"/>
      <c r="E2191" s="284"/>
      <c r="F2191" s="284"/>
      <c r="G2191" s="284"/>
      <c r="H2191" s="284"/>
      <c r="I2191" s="284"/>
      <c r="J2191" s="375"/>
      <c r="K2191" s="375"/>
      <c r="L2191" s="375"/>
      <c r="M2191" s="368"/>
      <c r="N2191" s="368"/>
      <c r="O2191" s="370"/>
      <c r="T2191" s="340"/>
      <c r="V2191" s="378"/>
      <c r="W2191" s="64" ph="1"/>
      <c r="X2191" s="241"/>
      <c r="Y2191" s="284"/>
      <c r="Z2191" s="207"/>
      <c r="AA2191" s="284"/>
      <c r="AB2191" s="284"/>
      <c r="AC2191" s="284"/>
      <c r="AD2191" s="284"/>
      <c r="AE2191" s="284"/>
      <c r="AF2191" s="284"/>
      <c r="AG2191" s="284"/>
    </row>
    <row r="2192" spans="1:33" ht="26.4">
      <c r="A2192" s="284"/>
      <c r="B2192" s="284"/>
      <c r="C2192" s="284"/>
      <c r="D2192" s="284"/>
      <c r="E2192" s="284"/>
      <c r="F2192" s="284"/>
      <c r="G2192" s="284"/>
      <c r="H2192" s="284"/>
      <c r="I2192" s="284"/>
      <c r="J2192" s="375"/>
      <c r="K2192" s="375"/>
      <c r="L2192" s="375"/>
      <c r="M2192" s="368"/>
      <c r="N2192" s="368"/>
      <c r="O2192" s="370"/>
      <c r="T2192" s="340"/>
      <c r="V2192" s="378"/>
      <c r="W2192" s="64" ph="1"/>
      <c r="X2192" s="241"/>
      <c r="Y2192" s="284"/>
      <c r="Z2192" s="207"/>
      <c r="AA2192" s="284"/>
      <c r="AB2192" s="284"/>
      <c r="AC2192" s="284"/>
      <c r="AD2192" s="284"/>
      <c r="AE2192" s="284"/>
      <c r="AF2192" s="284"/>
      <c r="AG2192" s="284"/>
    </row>
    <row r="2193" spans="1:33" ht="26.4">
      <c r="A2193" s="284"/>
      <c r="B2193" s="284"/>
      <c r="C2193" s="284"/>
      <c r="D2193" s="284"/>
      <c r="E2193" s="284"/>
      <c r="F2193" s="284"/>
      <c r="G2193" s="284"/>
      <c r="H2193" s="284"/>
      <c r="I2193" s="284"/>
      <c r="J2193" s="375"/>
      <c r="K2193" s="375"/>
      <c r="L2193" s="375"/>
      <c r="M2193" s="368"/>
      <c r="N2193" s="368"/>
      <c r="O2193" s="370"/>
      <c r="T2193" s="340"/>
      <c r="V2193" s="378"/>
      <c r="W2193" s="64" ph="1"/>
      <c r="X2193" s="241"/>
      <c r="Y2193" s="284"/>
      <c r="Z2193" s="207"/>
      <c r="AA2193" s="284"/>
      <c r="AB2193" s="284"/>
      <c r="AC2193" s="284"/>
      <c r="AD2193" s="284"/>
      <c r="AE2193" s="284"/>
      <c r="AF2193" s="284"/>
      <c r="AG2193" s="284"/>
    </row>
    <row r="2194" spans="1:33" ht="26.4">
      <c r="A2194" s="284"/>
      <c r="B2194" s="284"/>
      <c r="C2194" s="284"/>
      <c r="D2194" s="284"/>
      <c r="E2194" s="284"/>
      <c r="F2194" s="284"/>
      <c r="G2194" s="284"/>
      <c r="H2194" s="284"/>
      <c r="I2194" s="284"/>
      <c r="J2194" s="375"/>
      <c r="K2194" s="375"/>
      <c r="L2194" s="375"/>
      <c r="M2194" s="368"/>
      <c r="N2194" s="368"/>
      <c r="O2194" s="370"/>
      <c r="T2194" s="340"/>
      <c r="V2194" s="378"/>
      <c r="W2194" s="64" ph="1"/>
      <c r="X2194" s="241"/>
      <c r="Y2194" s="284"/>
      <c r="Z2194" s="207"/>
      <c r="AA2194" s="284"/>
      <c r="AB2194" s="284"/>
      <c r="AC2194" s="284"/>
      <c r="AD2194" s="284"/>
      <c r="AE2194" s="284"/>
      <c r="AF2194" s="284"/>
      <c r="AG2194" s="284"/>
    </row>
    <row r="2195" spans="1:33" ht="26.4">
      <c r="A2195" s="284"/>
      <c r="B2195" s="284"/>
      <c r="C2195" s="284"/>
      <c r="D2195" s="284"/>
      <c r="E2195" s="284"/>
      <c r="F2195" s="284"/>
      <c r="G2195" s="284"/>
      <c r="H2195" s="284"/>
      <c r="I2195" s="284"/>
      <c r="J2195" s="375"/>
      <c r="K2195" s="375"/>
      <c r="L2195" s="375"/>
      <c r="M2195" s="368"/>
      <c r="N2195" s="368"/>
      <c r="O2195" s="370"/>
      <c r="T2195" s="340"/>
      <c r="V2195" s="378"/>
      <c r="W2195" s="64" ph="1"/>
      <c r="X2195" s="241"/>
      <c r="Y2195" s="284"/>
      <c r="Z2195" s="207"/>
      <c r="AA2195" s="284"/>
      <c r="AB2195" s="284"/>
      <c r="AC2195" s="284"/>
      <c r="AD2195" s="284"/>
      <c r="AE2195" s="284"/>
      <c r="AF2195" s="284"/>
      <c r="AG2195" s="284"/>
    </row>
    <row r="2196" spans="1:33" ht="26.4">
      <c r="A2196" s="284"/>
      <c r="B2196" s="284"/>
      <c r="C2196" s="284"/>
      <c r="D2196" s="284"/>
      <c r="E2196" s="284"/>
      <c r="F2196" s="284"/>
      <c r="G2196" s="284"/>
      <c r="H2196" s="284"/>
      <c r="I2196" s="284"/>
      <c r="J2196" s="375"/>
      <c r="K2196" s="375"/>
      <c r="L2196" s="375"/>
      <c r="M2196" s="368"/>
      <c r="N2196" s="368"/>
      <c r="O2196" s="370"/>
      <c r="T2196" s="340"/>
      <c r="V2196" s="378"/>
      <c r="W2196" s="64" ph="1"/>
      <c r="X2196" s="241"/>
      <c r="Y2196" s="284"/>
      <c r="Z2196" s="207"/>
      <c r="AA2196" s="284"/>
      <c r="AB2196" s="284"/>
      <c r="AC2196" s="284"/>
      <c r="AD2196" s="284"/>
      <c r="AE2196" s="284"/>
      <c r="AF2196" s="284"/>
      <c r="AG2196" s="284"/>
    </row>
    <row r="2197" spans="1:33" ht="26.4">
      <c r="A2197" s="284"/>
      <c r="B2197" s="284"/>
      <c r="C2197" s="284"/>
      <c r="D2197" s="284"/>
      <c r="E2197" s="284"/>
      <c r="F2197" s="284"/>
      <c r="G2197" s="284"/>
      <c r="H2197" s="284"/>
      <c r="I2197" s="284"/>
      <c r="J2197" s="375"/>
      <c r="K2197" s="375"/>
      <c r="L2197" s="375"/>
      <c r="M2197" s="368"/>
      <c r="N2197" s="368"/>
      <c r="O2197" s="370"/>
      <c r="T2197" s="340"/>
      <c r="V2197" s="378"/>
      <c r="W2197" s="64" ph="1"/>
      <c r="X2197" s="241"/>
      <c r="Y2197" s="284"/>
      <c r="Z2197" s="207"/>
      <c r="AA2197" s="284"/>
      <c r="AB2197" s="284"/>
      <c r="AC2197" s="284"/>
      <c r="AD2197" s="284"/>
      <c r="AE2197" s="284"/>
      <c r="AF2197" s="284"/>
      <c r="AG2197" s="284"/>
    </row>
    <row r="2198" spans="1:33" ht="26.4">
      <c r="A2198" s="284"/>
      <c r="B2198" s="284"/>
      <c r="C2198" s="284"/>
      <c r="D2198" s="284"/>
      <c r="E2198" s="284"/>
      <c r="F2198" s="284"/>
      <c r="G2198" s="284"/>
      <c r="H2198" s="284"/>
      <c r="I2198" s="284"/>
      <c r="J2198" s="375"/>
      <c r="K2198" s="375"/>
      <c r="L2198" s="375"/>
      <c r="M2198" s="368"/>
      <c r="N2198" s="368"/>
      <c r="O2198" s="370"/>
      <c r="T2198" s="340"/>
      <c r="V2198" s="378"/>
      <c r="W2198" s="64" ph="1"/>
      <c r="X2198" s="241"/>
      <c r="Y2198" s="284"/>
      <c r="Z2198" s="207"/>
      <c r="AA2198" s="284"/>
      <c r="AB2198" s="284"/>
      <c r="AC2198" s="284"/>
      <c r="AD2198" s="284"/>
      <c r="AE2198" s="284"/>
      <c r="AF2198" s="284"/>
      <c r="AG2198" s="284"/>
    </row>
    <row r="2199" spans="1:33" ht="26.4">
      <c r="A2199" s="284"/>
      <c r="B2199" s="284"/>
      <c r="C2199" s="284"/>
      <c r="D2199" s="284"/>
      <c r="E2199" s="284"/>
      <c r="F2199" s="284"/>
      <c r="G2199" s="284"/>
      <c r="H2199" s="284"/>
      <c r="I2199" s="284"/>
      <c r="J2199" s="375"/>
      <c r="K2199" s="375"/>
      <c r="L2199" s="375"/>
      <c r="M2199" s="368"/>
      <c r="N2199" s="368"/>
      <c r="O2199" s="370"/>
      <c r="T2199" s="340"/>
      <c r="V2199" s="378"/>
      <c r="W2199" s="64" ph="1"/>
      <c r="X2199" s="241"/>
      <c r="Y2199" s="284"/>
      <c r="Z2199" s="207"/>
      <c r="AA2199" s="284"/>
      <c r="AB2199" s="284"/>
      <c r="AC2199" s="284"/>
      <c r="AD2199" s="284"/>
      <c r="AE2199" s="284"/>
      <c r="AF2199" s="284"/>
      <c r="AG2199" s="284"/>
    </row>
    <row r="2200" spans="1:33" ht="26.4">
      <c r="A2200" s="284"/>
      <c r="B2200" s="284"/>
      <c r="C2200" s="284"/>
      <c r="D2200" s="284"/>
      <c r="E2200" s="284"/>
      <c r="F2200" s="284"/>
      <c r="G2200" s="284"/>
      <c r="H2200" s="284"/>
      <c r="I2200" s="284"/>
      <c r="J2200" s="375"/>
      <c r="K2200" s="375"/>
      <c r="L2200" s="375"/>
      <c r="M2200" s="368"/>
      <c r="N2200" s="368"/>
      <c r="O2200" s="370"/>
      <c r="T2200" s="340"/>
      <c r="V2200" s="378"/>
      <c r="W2200" s="64" ph="1"/>
      <c r="X2200" s="241"/>
      <c r="Y2200" s="284"/>
      <c r="Z2200" s="207"/>
      <c r="AA2200" s="284"/>
      <c r="AB2200" s="284"/>
      <c r="AC2200" s="284"/>
      <c r="AD2200" s="284"/>
      <c r="AE2200" s="284"/>
      <c r="AF2200" s="284"/>
      <c r="AG2200" s="284"/>
    </row>
    <row r="2201" spans="1:33" ht="26.4">
      <c r="A2201" s="284"/>
      <c r="B2201" s="284"/>
      <c r="C2201" s="284"/>
      <c r="D2201" s="284"/>
      <c r="E2201" s="284"/>
      <c r="F2201" s="284"/>
      <c r="G2201" s="284"/>
      <c r="H2201" s="284"/>
      <c r="I2201" s="284"/>
      <c r="J2201" s="375"/>
      <c r="K2201" s="375"/>
      <c r="L2201" s="375"/>
      <c r="M2201" s="368"/>
      <c r="N2201" s="368"/>
      <c r="O2201" s="370"/>
      <c r="T2201" s="340"/>
      <c r="V2201" s="378"/>
      <c r="W2201" s="64" ph="1"/>
      <c r="X2201" s="241"/>
      <c r="Y2201" s="284"/>
      <c r="Z2201" s="207"/>
      <c r="AA2201" s="284"/>
      <c r="AB2201" s="284"/>
      <c r="AC2201" s="284"/>
      <c r="AD2201" s="284"/>
      <c r="AE2201" s="284"/>
      <c r="AF2201" s="284"/>
      <c r="AG2201" s="284"/>
    </row>
    <row r="2202" spans="1:33" ht="26.4">
      <c r="A2202" s="284"/>
      <c r="B2202" s="284"/>
      <c r="C2202" s="284"/>
      <c r="D2202" s="284"/>
      <c r="E2202" s="284"/>
      <c r="F2202" s="284"/>
      <c r="G2202" s="284"/>
      <c r="H2202" s="284"/>
      <c r="I2202" s="284"/>
      <c r="J2202" s="375"/>
      <c r="K2202" s="375"/>
      <c r="L2202" s="375"/>
      <c r="M2202" s="368"/>
      <c r="N2202" s="368"/>
      <c r="O2202" s="370"/>
      <c r="T2202" s="340"/>
      <c r="V2202" s="378"/>
      <c r="W2202" s="64" ph="1"/>
      <c r="X2202" s="241"/>
      <c r="Y2202" s="284"/>
      <c r="Z2202" s="207"/>
      <c r="AA2202" s="284"/>
      <c r="AB2202" s="284"/>
      <c r="AC2202" s="284"/>
      <c r="AD2202" s="284"/>
      <c r="AE2202" s="284"/>
      <c r="AF2202" s="284"/>
      <c r="AG2202" s="284"/>
    </row>
    <row r="2203" spans="1:33" ht="26.4">
      <c r="A2203" s="284"/>
      <c r="B2203" s="284"/>
      <c r="C2203" s="284"/>
      <c r="D2203" s="284"/>
      <c r="E2203" s="284"/>
      <c r="F2203" s="284"/>
      <c r="G2203" s="284"/>
      <c r="H2203" s="284"/>
      <c r="I2203" s="284"/>
      <c r="J2203" s="375"/>
      <c r="K2203" s="375"/>
      <c r="L2203" s="375"/>
      <c r="M2203" s="368"/>
      <c r="N2203" s="368"/>
      <c r="O2203" s="370"/>
      <c r="T2203" s="340"/>
      <c r="V2203" s="378"/>
      <c r="W2203" s="64" ph="1"/>
      <c r="X2203" s="241"/>
      <c r="Y2203" s="284"/>
      <c r="Z2203" s="207"/>
      <c r="AA2203" s="284"/>
      <c r="AB2203" s="284"/>
      <c r="AC2203" s="284"/>
      <c r="AD2203" s="284"/>
      <c r="AE2203" s="284"/>
      <c r="AF2203" s="284"/>
      <c r="AG2203" s="284"/>
    </row>
    <row r="2204" spans="1:33" ht="26.4">
      <c r="A2204" s="284"/>
      <c r="B2204" s="284"/>
      <c r="C2204" s="284"/>
      <c r="D2204" s="284"/>
      <c r="E2204" s="284"/>
      <c r="F2204" s="284"/>
      <c r="G2204" s="284"/>
      <c r="H2204" s="284"/>
      <c r="I2204" s="284"/>
      <c r="J2204" s="375"/>
      <c r="K2204" s="375"/>
      <c r="L2204" s="375"/>
      <c r="M2204" s="368"/>
      <c r="N2204" s="368"/>
      <c r="O2204" s="370"/>
      <c r="T2204" s="340"/>
      <c r="V2204" s="378"/>
      <c r="W2204" s="64" ph="1"/>
      <c r="X2204" s="241"/>
      <c r="Y2204" s="284"/>
      <c r="Z2204" s="207"/>
      <c r="AA2204" s="284"/>
      <c r="AB2204" s="284"/>
      <c r="AC2204" s="284"/>
      <c r="AD2204" s="284"/>
      <c r="AE2204" s="284"/>
      <c r="AF2204" s="284"/>
      <c r="AG2204" s="284"/>
    </row>
    <row r="2205" spans="1:33" ht="26.4">
      <c r="A2205" s="284"/>
      <c r="B2205" s="284"/>
      <c r="C2205" s="284"/>
      <c r="D2205" s="284"/>
      <c r="E2205" s="284"/>
      <c r="F2205" s="284"/>
      <c r="G2205" s="284"/>
      <c r="H2205" s="284"/>
      <c r="I2205" s="284"/>
      <c r="J2205" s="375"/>
      <c r="K2205" s="375"/>
      <c r="L2205" s="375"/>
      <c r="M2205" s="368"/>
      <c r="N2205" s="368"/>
      <c r="O2205" s="370"/>
      <c r="T2205" s="340"/>
      <c r="V2205" s="378"/>
      <c r="W2205" s="64" ph="1"/>
      <c r="X2205" s="241"/>
      <c r="Y2205" s="284"/>
      <c r="Z2205" s="207"/>
      <c r="AA2205" s="284"/>
      <c r="AB2205" s="284"/>
      <c r="AC2205" s="284"/>
      <c r="AD2205" s="284"/>
      <c r="AE2205" s="284"/>
      <c r="AF2205" s="284"/>
      <c r="AG2205" s="284"/>
    </row>
    <row r="2206" spans="1:33" ht="26.4">
      <c r="A2206" s="284"/>
      <c r="B2206" s="284"/>
      <c r="C2206" s="284"/>
      <c r="D2206" s="284"/>
      <c r="E2206" s="284"/>
      <c r="F2206" s="284"/>
      <c r="G2206" s="284"/>
      <c r="H2206" s="284"/>
      <c r="I2206" s="284"/>
      <c r="J2206" s="375"/>
      <c r="K2206" s="375"/>
      <c r="L2206" s="375"/>
      <c r="M2206" s="368"/>
      <c r="N2206" s="368"/>
      <c r="O2206" s="370"/>
      <c r="T2206" s="340"/>
      <c r="V2206" s="378"/>
      <c r="W2206" s="64" ph="1"/>
      <c r="X2206" s="241"/>
      <c r="Y2206" s="284"/>
      <c r="Z2206" s="207"/>
      <c r="AA2206" s="284"/>
      <c r="AB2206" s="284"/>
      <c r="AC2206" s="284"/>
      <c r="AD2206" s="284"/>
      <c r="AE2206" s="284"/>
      <c r="AF2206" s="284"/>
      <c r="AG2206" s="284"/>
    </row>
    <row r="2207" spans="1:33" ht="26.4">
      <c r="A2207" s="284"/>
      <c r="B2207" s="284"/>
      <c r="C2207" s="284"/>
      <c r="D2207" s="284"/>
      <c r="E2207" s="284"/>
      <c r="F2207" s="284"/>
      <c r="G2207" s="284"/>
      <c r="H2207" s="284"/>
      <c r="I2207" s="284"/>
      <c r="J2207" s="375"/>
      <c r="K2207" s="375"/>
      <c r="L2207" s="375"/>
      <c r="M2207" s="368"/>
      <c r="N2207" s="368"/>
      <c r="O2207" s="370"/>
      <c r="T2207" s="340"/>
      <c r="V2207" s="378"/>
      <c r="W2207" s="64" ph="1"/>
      <c r="X2207" s="241"/>
      <c r="Y2207" s="284"/>
      <c r="Z2207" s="207"/>
      <c r="AA2207" s="284"/>
      <c r="AB2207" s="284"/>
      <c r="AC2207" s="284"/>
      <c r="AD2207" s="284"/>
      <c r="AE2207" s="284"/>
      <c r="AF2207" s="284"/>
      <c r="AG2207" s="284"/>
    </row>
    <row r="2208" spans="1:33" ht="26.4">
      <c r="A2208" s="284"/>
      <c r="B2208" s="284"/>
      <c r="C2208" s="284"/>
      <c r="D2208" s="284"/>
      <c r="E2208" s="284"/>
      <c r="F2208" s="284"/>
      <c r="G2208" s="284"/>
      <c r="H2208" s="284"/>
      <c r="I2208" s="284"/>
      <c r="J2208" s="375"/>
      <c r="K2208" s="375"/>
      <c r="L2208" s="375"/>
      <c r="M2208" s="368"/>
      <c r="N2208" s="368"/>
      <c r="O2208" s="370"/>
      <c r="T2208" s="340"/>
      <c r="V2208" s="378"/>
      <c r="W2208" s="64" ph="1"/>
      <c r="X2208" s="241"/>
      <c r="Y2208" s="284"/>
      <c r="Z2208" s="207"/>
      <c r="AA2208" s="284"/>
      <c r="AB2208" s="284"/>
      <c r="AC2208" s="284"/>
      <c r="AD2208" s="284"/>
      <c r="AE2208" s="284"/>
      <c r="AF2208" s="284"/>
      <c r="AG2208" s="284"/>
    </row>
    <row r="2209" spans="1:33" ht="26.4">
      <c r="A2209" s="284"/>
      <c r="B2209" s="284"/>
      <c r="C2209" s="284"/>
      <c r="D2209" s="284"/>
      <c r="E2209" s="284"/>
      <c r="F2209" s="284"/>
      <c r="G2209" s="284"/>
      <c r="H2209" s="284"/>
      <c r="I2209" s="284"/>
      <c r="J2209" s="375"/>
      <c r="K2209" s="375"/>
      <c r="L2209" s="375"/>
      <c r="M2209" s="368"/>
      <c r="N2209" s="368"/>
      <c r="O2209" s="370"/>
      <c r="T2209" s="340"/>
      <c r="V2209" s="378"/>
      <c r="W2209" s="64" ph="1"/>
      <c r="X2209" s="241"/>
      <c r="Y2209" s="284"/>
      <c r="Z2209" s="207"/>
      <c r="AA2209" s="284"/>
      <c r="AB2209" s="284"/>
      <c r="AC2209" s="284"/>
      <c r="AD2209" s="284"/>
      <c r="AE2209" s="284"/>
      <c r="AF2209" s="284"/>
      <c r="AG2209" s="284"/>
    </row>
    <row r="2210" spans="1:33" ht="26.4">
      <c r="A2210" s="284"/>
      <c r="B2210" s="284"/>
      <c r="C2210" s="284"/>
      <c r="D2210" s="284"/>
      <c r="E2210" s="284"/>
      <c r="F2210" s="284"/>
      <c r="G2210" s="284"/>
      <c r="H2210" s="284"/>
      <c r="I2210" s="284"/>
      <c r="J2210" s="375"/>
      <c r="K2210" s="375"/>
      <c r="L2210" s="375"/>
      <c r="M2210" s="368"/>
      <c r="N2210" s="368"/>
      <c r="O2210" s="370"/>
      <c r="T2210" s="340"/>
      <c r="V2210" s="378"/>
      <c r="W2210" s="64" ph="1"/>
      <c r="X2210" s="241"/>
      <c r="Y2210" s="284"/>
      <c r="Z2210" s="207"/>
      <c r="AA2210" s="284"/>
      <c r="AB2210" s="284"/>
      <c r="AC2210" s="284"/>
      <c r="AD2210" s="284"/>
      <c r="AE2210" s="284"/>
      <c r="AF2210" s="284"/>
      <c r="AG2210" s="284"/>
    </row>
    <row r="2211" spans="1:33" ht="26.4">
      <c r="A2211" s="284"/>
      <c r="B2211" s="284"/>
      <c r="C2211" s="284"/>
      <c r="D2211" s="284"/>
      <c r="E2211" s="284"/>
      <c r="F2211" s="284"/>
      <c r="G2211" s="284"/>
      <c r="H2211" s="284"/>
      <c r="I2211" s="284"/>
      <c r="J2211" s="375"/>
      <c r="K2211" s="375"/>
      <c r="L2211" s="375"/>
      <c r="M2211" s="368"/>
      <c r="N2211" s="368"/>
      <c r="O2211" s="370"/>
      <c r="T2211" s="340"/>
      <c r="V2211" s="378"/>
      <c r="W2211" s="64" ph="1"/>
      <c r="X2211" s="241"/>
      <c r="Y2211" s="284"/>
      <c r="Z2211" s="207"/>
      <c r="AA2211" s="284"/>
      <c r="AB2211" s="284"/>
      <c r="AC2211" s="284"/>
      <c r="AD2211" s="284"/>
      <c r="AE2211" s="284"/>
      <c r="AF2211" s="284"/>
      <c r="AG2211" s="284"/>
    </row>
    <row r="2212" spans="1:33" ht="26.4">
      <c r="A2212" s="284"/>
      <c r="B2212" s="284"/>
      <c r="C2212" s="284"/>
      <c r="D2212" s="284"/>
      <c r="E2212" s="284"/>
      <c r="F2212" s="284"/>
      <c r="G2212" s="284"/>
      <c r="H2212" s="284"/>
      <c r="I2212" s="284"/>
      <c r="J2212" s="375"/>
      <c r="K2212" s="375"/>
      <c r="L2212" s="375"/>
      <c r="M2212" s="368"/>
      <c r="N2212" s="368"/>
      <c r="O2212" s="370"/>
      <c r="T2212" s="340"/>
      <c r="V2212" s="378"/>
      <c r="W2212" s="64" ph="1"/>
      <c r="X2212" s="241"/>
      <c r="Y2212" s="284"/>
      <c r="Z2212" s="207"/>
      <c r="AA2212" s="284"/>
      <c r="AB2212" s="284"/>
      <c r="AC2212" s="284"/>
      <c r="AD2212" s="284"/>
      <c r="AE2212" s="284"/>
      <c r="AF2212" s="284"/>
      <c r="AG2212" s="284"/>
    </row>
    <row r="2213" spans="1:33" ht="26.4">
      <c r="A2213" s="284"/>
      <c r="B2213" s="284"/>
      <c r="C2213" s="284"/>
      <c r="D2213" s="284"/>
      <c r="E2213" s="284"/>
      <c r="F2213" s="284"/>
      <c r="G2213" s="284"/>
      <c r="H2213" s="284"/>
      <c r="I2213" s="284"/>
      <c r="J2213" s="375"/>
      <c r="K2213" s="375"/>
      <c r="L2213" s="375"/>
      <c r="M2213" s="368"/>
      <c r="N2213" s="368"/>
      <c r="O2213" s="370"/>
      <c r="T2213" s="340"/>
      <c r="V2213" s="378"/>
      <c r="W2213" s="64" ph="1"/>
      <c r="X2213" s="241"/>
      <c r="Y2213" s="284"/>
      <c r="Z2213" s="207"/>
      <c r="AA2213" s="284"/>
      <c r="AB2213" s="284"/>
      <c r="AC2213" s="284"/>
      <c r="AD2213" s="284"/>
      <c r="AE2213" s="284"/>
      <c r="AF2213" s="284"/>
      <c r="AG2213" s="284"/>
    </row>
    <row r="2214" spans="1:33" ht="26.4">
      <c r="A2214" s="284"/>
      <c r="B2214" s="284"/>
      <c r="C2214" s="284"/>
      <c r="D2214" s="284"/>
      <c r="E2214" s="284"/>
      <c r="F2214" s="284"/>
      <c r="G2214" s="284"/>
      <c r="H2214" s="284"/>
      <c r="I2214" s="284"/>
      <c r="J2214" s="375"/>
      <c r="K2214" s="375"/>
      <c r="L2214" s="375"/>
      <c r="M2214" s="368"/>
      <c r="N2214" s="368"/>
      <c r="O2214" s="370"/>
      <c r="T2214" s="340"/>
      <c r="V2214" s="378"/>
      <c r="W2214" s="64" ph="1"/>
      <c r="X2214" s="241"/>
      <c r="Y2214" s="284"/>
      <c r="Z2214" s="207"/>
      <c r="AA2214" s="284"/>
      <c r="AB2214" s="284"/>
      <c r="AC2214" s="284"/>
      <c r="AD2214" s="284"/>
      <c r="AE2214" s="284"/>
      <c r="AF2214" s="284"/>
      <c r="AG2214" s="284"/>
    </row>
    <row r="2215" spans="1:33" ht="26.4">
      <c r="A2215" s="284"/>
      <c r="B2215" s="284"/>
      <c r="C2215" s="284"/>
      <c r="D2215" s="284"/>
      <c r="E2215" s="284"/>
      <c r="F2215" s="284"/>
      <c r="G2215" s="284"/>
      <c r="H2215" s="284"/>
      <c r="I2215" s="284"/>
      <c r="J2215" s="375"/>
      <c r="K2215" s="375"/>
      <c r="L2215" s="375"/>
      <c r="M2215" s="368"/>
      <c r="N2215" s="368"/>
      <c r="O2215" s="370"/>
      <c r="T2215" s="340"/>
      <c r="V2215" s="378"/>
      <c r="W2215" s="64" ph="1"/>
      <c r="X2215" s="241"/>
      <c r="Y2215" s="284"/>
      <c r="Z2215" s="207"/>
      <c r="AA2215" s="284"/>
      <c r="AB2215" s="284"/>
      <c r="AC2215" s="284"/>
      <c r="AD2215" s="284"/>
      <c r="AE2215" s="284"/>
      <c r="AF2215" s="284"/>
      <c r="AG2215" s="284"/>
    </row>
    <row r="2216" spans="1:33" ht="26.4">
      <c r="A2216" s="284"/>
      <c r="B2216" s="284"/>
      <c r="C2216" s="284"/>
      <c r="D2216" s="284"/>
      <c r="E2216" s="284"/>
      <c r="F2216" s="284"/>
      <c r="G2216" s="284"/>
      <c r="H2216" s="284"/>
      <c r="I2216" s="284"/>
      <c r="J2216" s="375"/>
      <c r="K2216" s="375"/>
      <c r="L2216" s="375"/>
      <c r="M2216" s="368"/>
      <c r="N2216" s="368"/>
      <c r="O2216" s="370"/>
      <c r="T2216" s="340"/>
      <c r="V2216" s="378"/>
      <c r="W2216" s="64" ph="1"/>
      <c r="X2216" s="241"/>
      <c r="Y2216" s="284"/>
      <c r="Z2216" s="207"/>
      <c r="AA2216" s="284"/>
      <c r="AB2216" s="284"/>
      <c r="AC2216" s="284"/>
      <c r="AD2216" s="284"/>
      <c r="AE2216" s="284"/>
      <c r="AF2216" s="284"/>
      <c r="AG2216" s="284"/>
    </row>
    <row r="2217" spans="1:33" ht="26.4">
      <c r="A2217" s="284"/>
      <c r="B2217" s="284"/>
      <c r="C2217" s="284"/>
      <c r="D2217" s="284"/>
      <c r="E2217" s="284"/>
      <c r="F2217" s="284"/>
      <c r="G2217" s="284"/>
      <c r="H2217" s="284"/>
      <c r="I2217" s="284"/>
      <c r="J2217" s="375"/>
      <c r="K2217" s="375"/>
      <c r="L2217" s="375"/>
      <c r="M2217" s="368"/>
      <c r="N2217" s="368"/>
      <c r="O2217" s="370"/>
      <c r="T2217" s="340"/>
      <c r="V2217" s="378"/>
      <c r="W2217" s="64" ph="1"/>
      <c r="X2217" s="241"/>
      <c r="Y2217" s="284"/>
      <c r="Z2217" s="207"/>
      <c r="AA2217" s="284"/>
      <c r="AB2217" s="284"/>
      <c r="AC2217" s="284"/>
      <c r="AD2217" s="284"/>
      <c r="AE2217" s="284"/>
      <c r="AF2217" s="284"/>
      <c r="AG2217" s="284"/>
    </row>
    <row r="2218" spans="1:33" ht="26.4">
      <c r="A2218" s="284"/>
      <c r="B2218" s="284"/>
      <c r="C2218" s="284"/>
      <c r="D2218" s="284"/>
      <c r="E2218" s="284"/>
      <c r="F2218" s="284"/>
      <c r="G2218" s="284"/>
      <c r="H2218" s="284"/>
      <c r="I2218" s="284"/>
      <c r="J2218" s="375"/>
      <c r="K2218" s="375"/>
      <c r="L2218" s="375"/>
      <c r="M2218" s="368"/>
      <c r="N2218" s="368"/>
      <c r="O2218" s="370"/>
      <c r="T2218" s="340"/>
      <c r="V2218" s="378"/>
      <c r="W2218" s="64" ph="1"/>
      <c r="X2218" s="241"/>
      <c r="Y2218" s="284"/>
      <c r="Z2218" s="207"/>
      <c r="AA2218" s="284"/>
      <c r="AB2218" s="284"/>
      <c r="AC2218" s="284"/>
      <c r="AD2218" s="284"/>
      <c r="AE2218" s="284"/>
      <c r="AF2218" s="284"/>
      <c r="AG2218" s="284"/>
    </row>
    <row r="2219" spans="1:33" ht="26.4">
      <c r="A2219" s="284"/>
      <c r="B2219" s="284"/>
      <c r="C2219" s="284"/>
      <c r="D2219" s="284"/>
      <c r="E2219" s="284"/>
      <c r="F2219" s="284"/>
      <c r="G2219" s="284"/>
      <c r="H2219" s="284"/>
      <c r="I2219" s="284"/>
      <c r="J2219" s="375"/>
      <c r="K2219" s="375"/>
      <c r="L2219" s="375"/>
      <c r="M2219" s="368"/>
      <c r="N2219" s="368"/>
      <c r="O2219" s="370"/>
      <c r="T2219" s="340"/>
      <c r="V2219" s="378"/>
      <c r="W2219" s="64" ph="1"/>
      <c r="X2219" s="241"/>
      <c r="Y2219" s="284"/>
      <c r="Z2219" s="207"/>
      <c r="AA2219" s="284"/>
      <c r="AB2219" s="284"/>
      <c r="AC2219" s="284"/>
      <c r="AD2219" s="284"/>
      <c r="AE2219" s="284"/>
      <c r="AF2219" s="284"/>
      <c r="AG2219" s="284"/>
    </row>
    <row r="2220" spans="1:33" ht="26.4">
      <c r="A2220" s="284"/>
      <c r="B2220" s="284"/>
      <c r="C2220" s="284"/>
      <c r="D2220" s="284"/>
      <c r="E2220" s="284"/>
      <c r="F2220" s="284"/>
      <c r="G2220" s="284"/>
      <c r="H2220" s="284"/>
      <c r="I2220" s="284"/>
      <c r="J2220" s="375"/>
      <c r="K2220" s="375"/>
      <c r="L2220" s="375"/>
      <c r="M2220" s="368"/>
      <c r="N2220" s="368"/>
      <c r="O2220" s="370"/>
      <c r="T2220" s="340"/>
      <c r="V2220" s="378"/>
      <c r="W2220" s="64" ph="1"/>
      <c r="X2220" s="241"/>
      <c r="Y2220" s="284"/>
      <c r="Z2220" s="207"/>
      <c r="AA2220" s="284"/>
      <c r="AB2220" s="284"/>
      <c r="AC2220" s="284"/>
      <c r="AD2220" s="284"/>
      <c r="AE2220" s="284"/>
      <c r="AF2220" s="284"/>
      <c r="AG2220" s="284"/>
    </row>
    <row r="2221" spans="1:33" ht="26.4">
      <c r="A2221" s="284"/>
      <c r="B2221" s="284"/>
      <c r="C2221" s="284"/>
      <c r="D2221" s="284"/>
      <c r="E2221" s="284"/>
      <c r="F2221" s="284"/>
      <c r="G2221" s="284"/>
      <c r="H2221" s="284"/>
      <c r="I2221" s="284"/>
      <c r="J2221" s="375"/>
      <c r="K2221" s="375"/>
      <c r="L2221" s="375"/>
      <c r="M2221" s="368"/>
      <c r="N2221" s="368"/>
      <c r="O2221" s="370"/>
      <c r="T2221" s="340"/>
      <c r="V2221" s="378"/>
      <c r="W2221" s="64" ph="1"/>
      <c r="X2221" s="241"/>
      <c r="Y2221" s="284"/>
      <c r="Z2221" s="207"/>
      <c r="AA2221" s="284"/>
      <c r="AB2221" s="284"/>
      <c r="AC2221" s="284"/>
      <c r="AD2221" s="284"/>
      <c r="AE2221" s="284"/>
      <c r="AF2221" s="284"/>
      <c r="AG2221" s="284"/>
    </row>
    <row r="2222" spans="1:33" ht="26.4">
      <c r="A2222" s="284"/>
      <c r="B2222" s="284"/>
      <c r="C2222" s="284"/>
      <c r="D2222" s="284"/>
      <c r="E2222" s="284"/>
      <c r="F2222" s="284"/>
      <c r="G2222" s="284"/>
      <c r="H2222" s="284"/>
      <c r="I2222" s="284"/>
      <c r="J2222" s="375"/>
      <c r="K2222" s="375"/>
      <c r="L2222" s="375"/>
      <c r="M2222" s="368"/>
      <c r="N2222" s="368"/>
      <c r="O2222" s="370"/>
      <c r="T2222" s="340"/>
      <c r="V2222" s="378"/>
      <c r="W2222" s="64" ph="1"/>
      <c r="X2222" s="241"/>
      <c r="Y2222" s="284"/>
      <c r="Z2222" s="207"/>
      <c r="AA2222" s="284"/>
      <c r="AB2222" s="284"/>
      <c r="AC2222" s="284"/>
      <c r="AD2222" s="284"/>
      <c r="AE2222" s="284"/>
      <c r="AF2222" s="284"/>
      <c r="AG2222" s="284"/>
    </row>
    <row r="2223" spans="1:33" ht="26.4">
      <c r="A2223" s="284"/>
      <c r="B2223" s="284"/>
      <c r="C2223" s="284"/>
      <c r="D2223" s="284"/>
      <c r="E2223" s="284"/>
      <c r="F2223" s="284"/>
      <c r="G2223" s="284"/>
      <c r="H2223" s="284"/>
      <c r="I2223" s="284"/>
      <c r="J2223" s="375"/>
      <c r="K2223" s="375"/>
      <c r="L2223" s="375"/>
      <c r="M2223" s="368"/>
      <c r="N2223" s="368"/>
      <c r="O2223" s="370"/>
      <c r="T2223" s="340"/>
      <c r="V2223" s="378"/>
      <c r="W2223" s="64" ph="1"/>
      <c r="X2223" s="241"/>
      <c r="Y2223" s="284"/>
      <c r="Z2223" s="207"/>
      <c r="AA2223" s="284"/>
      <c r="AB2223" s="284"/>
      <c r="AC2223" s="284"/>
      <c r="AD2223" s="284"/>
      <c r="AE2223" s="284"/>
      <c r="AF2223" s="284"/>
      <c r="AG2223" s="284"/>
    </row>
    <row r="2224" spans="1:33" ht="26.4">
      <c r="A2224" s="284"/>
      <c r="B2224" s="284"/>
      <c r="C2224" s="284"/>
      <c r="D2224" s="284"/>
      <c r="E2224" s="284"/>
      <c r="F2224" s="284"/>
      <c r="G2224" s="284"/>
      <c r="H2224" s="284"/>
      <c r="I2224" s="284"/>
      <c r="J2224" s="375"/>
      <c r="K2224" s="375"/>
      <c r="L2224" s="375"/>
      <c r="M2224" s="368"/>
      <c r="N2224" s="368"/>
      <c r="O2224" s="370"/>
      <c r="T2224" s="340"/>
      <c r="V2224" s="378"/>
      <c r="W2224" s="64" ph="1"/>
      <c r="X2224" s="241"/>
      <c r="Y2224" s="284"/>
      <c r="Z2224" s="207"/>
      <c r="AA2224" s="284"/>
      <c r="AB2224" s="284"/>
      <c r="AC2224" s="284"/>
      <c r="AD2224" s="284"/>
      <c r="AE2224" s="284"/>
      <c r="AF2224" s="284"/>
      <c r="AG2224" s="284"/>
    </row>
    <row r="2225" spans="1:33" ht="26.4">
      <c r="A2225" s="284"/>
      <c r="B2225" s="284"/>
      <c r="C2225" s="284"/>
      <c r="D2225" s="284"/>
      <c r="E2225" s="284"/>
      <c r="F2225" s="284"/>
      <c r="G2225" s="284"/>
      <c r="H2225" s="284"/>
      <c r="I2225" s="284"/>
      <c r="J2225" s="375"/>
      <c r="K2225" s="375"/>
      <c r="L2225" s="375"/>
      <c r="M2225" s="368"/>
      <c r="N2225" s="368"/>
      <c r="O2225" s="370"/>
      <c r="T2225" s="340"/>
      <c r="V2225" s="378"/>
      <c r="W2225" s="64" ph="1"/>
      <c r="X2225" s="241"/>
      <c r="Y2225" s="284"/>
      <c r="Z2225" s="207"/>
      <c r="AA2225" s="284"/>
      <c r="AB2225" s="284"/>
      <c r="AC2225" s="284"/>
      <c r="AD2225" s="284"/>
      <c r="AE2225" s="284"/>
      <c r="AF2225" s="284"/>
      <c r="AG2225" s="284"/>
    </row>
    <row r="2226" spans="1:33" ht="26.4">
      <c r="A2226" s="284"/>
      <c r="B2226" s="284"/>
      <c r="C2226" s="284"/>
      <c r="D2226" s="284"/>
      <c r="E2226" s="284"/>
      <c r="F2226" s="284"/>
      <c r="G2226" s="284"/>
      <c r="H2226" s="284"/>
      <c r="I2226" s="284"/>
      <c r="J2226" s="375"/>
      <c r="K2226" s="375"/>
      <c r="L2226" s="375"/>
      <c r="M2226" s="368"/>
      <c r="N2226" s="368"/>
      <c r="O2226" s="370"/>
      <c r="T2226" s="340"/>
      <c r="V2226" s="378"/>
      <c r="W2226" s="64" ph="1"/>
      <c r="X2226" s="241"/>
      <c r="Y2226" s="284"/>
      <c r="Z2226" s="207"/>
      <c r="AA2226" s="284"/>
      <c r="AB2226" s="284"/>
      <c r="AC2226" s="284"/>
      <c r="AD2226" s="284"/>
      <c r="AE2226" s="284"/>
      <c r="AF2226" s="284"/>
      <c r="AG2226" s="284"/>
    </row>
    <row r="2227" spans="1:33" ht="26.4">
      <c r="A2227" s="284"/>
      <c r="B2227" s="284"/>
      <c r="C2227" s="284"/>
      <c r="D2227" s="284"/>
      <c r="E2227" s="284"/>
      <c r="F2227" s="284"/>
      <c r="G2227" s="284"/>
      <c r="H2227" s="284"/>
      <c r="I2227" s="284"/>
      <c r="J2227" s="375"/>
      <c r="K2227" s="375"/>
      <c r="L2227" s="375"/>
      <c r="M2227" s="368"/>
      <c r="N2227" s="368"/>
      <c r="O2227" s="370"/>
      <c r="T2227" s="340"/>
      <c r="V2227" s="378"/>
      <c r="W2227" s="64" ph="1"/>
      <c r="X2227" s="241"/>
      <c r="Y2227" s="284"/>
      <c r="Z2227" s="207"/>
      <c r="AA2227" s="284"/>
      <c r="AB2227" s="284"/>
      <c r="AC2227" s="284"/>
      <c r="AD2227" s="284"/>
      <c r="AE2227" s="284"/>
      <c r="AF2227" s="284"/>
      <c r="AG2227" s="284"/>
    </row>
    <row r="2228" spans="1:33" ht="26.4">
      <c r="A2228" s="284"/>
      <c r="B2228" s="284"/>
      <c r="C2228" s="284"/>
      <c r="D2228" s="284"/>
      <c r="E2228" s="284"/>
      <c r="F2228" s="284"/>
      <c r="G2228" s="284"/>
      <c r="H2228" s="284"/>
      <c r="I2228" s="284"/>
      <c r="J2228" s="375"/>
      <c r="K2228" s="375"/>
      <c r="L2228" s="375"/>
      <c r="M2228" s="368"/>
      <c r="N2228" s="368"/>
      <c r="O2228" s="370"/>
      <c r="T2228" s="340"/>
      <c r="V2228" s="378"/>
      <c r="W2228" s="64" ph="1"/>
      <c r="X2228" s="241"/>
      <c r="Y2228" s="284"/>
      <c r="Z2228" s="207"/>
      <c r="AA2228" s="284"/>
      <c r="AB2228" s="284"/>
      <c r="AC2228" s="284"/>
      <c r="AD2228" s="284"/>
      <c r="AE2228" s="284"/>
      <c r="AF2228" s="284"/>
      <c r="AG2228" s="284"/>
    </row>
    <row r="2229" spans="1:33" ht="26.4">
      <c r="A2229" s="284"/>
      <c r="B2229" s="284"/>
      <c r="C2229" s="284"/>
      <c r="D2229" s="284"/>
      <c r="E2229" s="284"/>
      <c r="F2229" s="284"/>
      <c r="G2229" s="284"/>
      <c r="H2229" s="284"/>
      <c r="I2229" s="284"/>
      <c r="J2229" s="375"/>
      <c r="K2229" s="375"/>
      <c r="L2229" s="375"/>
      <c r="M2229" s="368"/>
      <c r="N2229" s="368"/>
      <c r="O2229" s="370"/>
      <c r="T2229" s="340"/>
      <c r="V2229" s="378"/>
      <c r="W2229" s="64" ph="1"/>
      <c r="X2229" s="241"/>
      <c r="Y2229" s="284"/>
      <c r="Z2229" s="207"/>
      <c r="AA2229" s="284"/>
      <c r="AB2229" s="284"/>
      <c r="AC2229" s="284"/>
      <c r="AD2229" s="284"/>
      <c r="AE2229" s="284"/>
      <c r="AF2229" s="284"/>
      <c r="AG2229" s="284"/>
    </row>
    <row r="2230" spans="1:33" ht="26.4">
      <c r="A2230" s="284"/>
      <c r="B2230" s="284"/>
      <c r="C2230" s="284"/>
      <c r="D2230" s="284"/>
      <c r="E2230" s="284"/>
      <c r="F2230" s="284"/>
      <c r="G2230" s="284"/>
      <c r="H2230" s="284"/>
      <c r="I2230" s="284"/>
      <c r="J2230" s="375"/>
      <c r="K2230" s="375"/>
      <c r="L2230" s="375"/>
      <c r="M2230" s="368"/>
      <c r="N2230" s="368"/>
      <c r="O2230" s="370"/>
      <c r="T2230" s="340"/>
      <c r="V2230" s="378"/>
      <c r="W2230" s="64" ph="1"/>
      <c r="X2230" s="241"/>
      <c r="Y2230" s="284"/>
      <c r="Z2230" s="207"/>
      <c r="AA2230" s="284"/>
      <c r="AB2230" s="284"/>
      <c r="AC2230" s="284"/>
      <c r="AD2230" s="284"/>
      <c r="AE2230" s="284"/>
      <c r="AF2230" s="284"/>
      <c r="AG2230" s="284"/>
    </row>
    <row r="2231" spans="1:33" ht="26.4">
      <c r="A2231" s="284"/>
      <c r="B2231" s="284"/>
      <c r="C2231" s="284"/>
      <c r="D2231" s="284"/>
      <c r="E2231" s="284"/>
      <c r="F2231" s="284"/>
      <c r="G2231" s="284"/>
      <c r="H2231" s="284"/>
      <c r="I2231" s="284"/>
      <c r="J2231" s="375"/>
      <c r="K2231" s="375"/>
      <c r="L2231" s="375"/>
      <c r="M2231" s="368"/>
      <c r="N2231" s="368"/>
      <c r="O2231" s="370"/>
      <c r="T2231" s="340"/>
      <c r="V2231" s="378"/>
      <c r="W2231" s="64" ph="1"/>
      <c r="X2231" s="241"/>
      <c r="Y2231" s="284"/>
      <c r="Z2231" s="207"/>
      <c r="AA2231" s="284"/>
      <c r="AB2231" s="284"/>
      <c r="AC2231" s="284"/>
      <c r="AD2231" s="284"/>
      <c r="AE2231" s="284"/>
      <c r="AF2231" s="284"/>
      <c r="AG2231" s="284"/>
    </row>
    <row r="2232" spans="1:33" ht="26.4">
      <c r="A2232" s="284"/>
      <c r="B2232" s="284"/>
      <c r="C2232" s="284"/>
      <c r="D2232" s="284"/>
      <c r="E2232" s="284"/>
      <c r="F2232" s="284"/>
      <c r="G2232" s="284"/>
      <c r="H2232" s="284"/>
      <c r="I2232" s="284"/>
      <c r="J2232" s="375"/>
      <c r="K2232" s="375"/>
      <c r="L2232" s="375"/>
      <c r="M2232" s="368"/>
      <c r="N2232" s="368"/>
      <c r="O2232" s="370"/>
      <c r="T2232" s="340"/>
      <c r="V2232" s="378"/>
      <c r="W2232" s="64" ph="1"/>
      <c r="X2232" s="241"/>
      <c r="Y2232" s="284"/>
      <c r="Z2232" s="207"/>
      <c r="AA2232" s="284"/>
      <c r="AB2232" s="284"/>
      <c r="AC2232" s="284"/>
      <c r="AD2232" s="284"/>
      <c r="AE2232" s="284"/>
      <c r="AF2232" s="284"/>
      <c r="AG2232" s="284"/>
    </row>
    <row r="2233" spans="1:33" ht="26.4">
      <c r="A2233" s="284"/>
      <c r="B2233" s="284"/>
      <c r="C2233" s="284"/>
      <c r="D2233" s="284"/>
      <c r="E2233" s="284"/>
      <c r="F2233" s="284"/>
      <c r="G2233" s="284"/>
      <c r="H2233" s="284"/>
      <c r="I2233" s="284"/>
      <c r="J2233" s="375"/>
      <c r="K2233" s="375"/>
      <c r="L2233" s="375"/>
      <c r="M2233" s="368"/>
      <c r="N2233" s="368"/>
      <c r="O2233" s="370"/>
      <c r="T2233" s="340"/>
      <c r="V2233" s="378"/>
      <c r="W2233" s="64" ph="1"/>
      <c r="X2233" s="241"/>
      <c r="Y2233" s="284"/>
      <c r="Z2233" s="207"/>
      <c r="AA2233" s="284"/>
      <c r="AB2233" s="284"/>
      <c r="AC2233" s="284"/>
      <c r="AD2233" s="284"/>
      <c r="AE2233" s="284"/>
      <c r="AF2233" s="284"/>
      <c r="AG2233" s="284"/>
    </row>
    <row r="2234" spans="1:33" ht="26.4">
      <c r="A2234" s="284"/>
      <c r="B2234" s="284"/>
      <c r="C2234" s="284"/>
      <c r="D2234" s="284"/>
      <c r="E2234" s="284"/>
      <c r="F2234" s="284"/>
      <c r="G2234" s="284"/>
      <c r="H2234" s="284"/>
      <c r="I2234" s="284"/>
      <c r="J2234" s="375"/>
      <c r="K2234" s="375"/>
      <c r="L2234" s="375"/>
      <c r="M2234" s="368"/>
      <c r="N2234" s="368"/>
      <c r="O2234" s="370"/>
      <c r="T2234" s="340"/>
      <c r="V2234" s="378"/>
      <c r="W2234" s="64" ph="1"/>
      <c r="X2234" s="241"/>
      <c r="Y2234" s="284"/>
      <c r="Z2234" s="207"/>
      <c r="AA2234" s="284"/>
      <c r="AB2234" s="284"/>
      <c r="AC2234" s="284"/>
      <c r="AD2234" s="284"/>
      <c r="AE2234" s="284"/>
      <c r="AF2234" s="284"/>
      <c r="AG2234" s="284"/>
    </row>
    <row r="2235" spans="1:33" ht="26.4">
      <c r="A2235" s="284"/>
      <c r="B2235" s="284"/>
      <c r="C2235" s="284"/>
      <c r="D2235" s="284"/>
      <c r="E2235" s="284"/>
      <c r="F2235" s="284"/>
      <c r="G2235" s="284"/>
      <c r="H2235" s="284"/>
      <c r="I2235" s="284"/>
      <c r="J2235" s="375"/>
      <c r="K2235" s="375"/>
      <c r="L2235" s="375"/>
      <c r="M2235" s="368"/>
      <c r="N2235" s="368"/>
      <c r="O2235" s="370"/>
      <c r="T2235" s="340"/>
      <c r="V2235" s="378"/>
      <c r="W2235" s="64" ph="1"/>
      <c r="X2235" s="241"/>
      <c r="Y2235" s="284"/>
      <c r="Z2235" s="207"/>
      <c r="AA2235" s="284"/>
      <c r="AB2235" s="284"/>
      <c r="AC2235" s="284"/>
      <c r="AD2235" s="284"/>
      <c r="AE2235" s="284"/>
      <c r="AF2235" s="284"/>
      <c r="AG2235" s="284"/>
    </row>
    <row r="2236" spans="1:33" ht="26.4">
      <c r="A2236" s="284"/>
      <c r="B2236" s="284"/>
      <c r="C2236" s="284"/>
      <c r="D2236" s="284"/>
      <c r="E2236" s="284"/>
      <c r="F2236" s="284"/>
      <c r="G2236" s="284"/>
      <c r="H2236" s="284"/>
      <c r="I2236" s="284"/>
      <c r="J2236" s="375"/>
      <c r="K2236" s="375"/>
      <c r="L2236" s="375"/>
      <c r="M2236" s="368"/>
      <c r="N2236" s="368"/>
      <c r="O2236" s="370"/>
      <c r="T2236" s="340"/>
      <c r="V2236" s="378"/>
      <c r="W2236" s="64" ph="1"/>
      <c r="X2236" s="241"/>
      <c r="Y2236" s="284"/>
      <c r="Z2236" s="207"/>
      <c r="AA2236" s="284"/>
      <c r="AB2236" s="284"/>
      <c r="AC2236" s="284"/>
      <c r="AD2236" s="284"/>
      <c r="AE2236" s="284"/>
      <c r="AF2236" s="284"/>
      <c r="AG2236" s="284"/>
    </row>
    <row r="2237" spans="1:33" ht="26.4">
      <c r="A2237" s="284"/>
      <c r="B2237" s="284"/>
      <c r="C2237" s="284"/>
      <c r="D2237" s="284"/>
      <c r="E2237" s="284"/>
      <c r="F2237" s="284"/>
      <c r="G2237" s="284"/>
      <c r="H2237" s="284"/>
      <c r="I2237" s="284"/>
      <c r="J2237" s="375"/>
      <c r="K2237" s="375"/>
      <c r="L2237" s="375"/>
      <c r="M2237" s="368"/>
      <c r="N2237" s="368"/>
      <c r="O2237" s="370"/>
      <c r="T2237" s="340"/>
      <c r="V2237" s="378"/>
      <c r="W2237" s="64" ph="1"/>
      <c r="X2237" s="241"/>
      <c r="Y2237" s="284"/>
      <c r="Z2237" s="207"/>
      <c r="AA2237" s="284"/>
      <c r="AB2237" s="284"/>
      <c r="AC2237" s="284"/>
      <c r="AD2237" s="284"/>
      <c r="AE2237" s="284"/>
      <c r="AF2237" s="284"/>
      <c r="AG2237" s="284"/>
    </row>
    <row r="2238" spans="1:33" ht="26.4">
      <c r="A2238" s="284"/>
      <c r="B2238" s="284"/>
      <c r="C2238" s="284"/>
      <c r="D2238" s="284"/>
      <c r="E2238" s="284"/>
      <c r="F2238" s="284"/>
      <c r="G2238" s="284"/>
      <c r="H2238" s="284"/>
      <c r="I2238" s="284"/>
      <c r="J2238" s="375"/>
      <c r="K2238" s="375"/>
      <c r="L2238" s="375"/>
      <c r="M2238" s="368"/>
      <c r="N2238" s="368"/>
      <c r="O2238" s="370"/>
      <c r="T2238" s="340"/>
      <c r="V2238" s="378"/>
      <c r="W2238" s="64" ph="1"/>
      <c r="X2238" s="241"/>
      <c r="Y2238" s="284"/>
      <c r="Z2238" s="207"/>
      <c r="AA2238" s="284"/>
      <c r="AB2238" s="284"/>
      <c r="AC2238" s="284"/>
      <c r="AD2238" s="284"/>
      <c r="AE2238" s="284"/>
      <c r="AF2238" s="284"/>
      <c r="AG2238" s="284"/>
    </row>
    <row r="2239" spans="1:33" ht="26.4">
      <c r="A2239" s="284"/>
      <c r="B2239" s="284"/>
      <c r="C2239" s="284"/>
      <c r="D2239" s="284"/>
      <c r="E2239" s="284"/>
      <c r="F2239" s="284"/>
      <c r="G2239" s="284"/>
      <c r="H2239" s="284"/>
      <c r="I2239" s="284"/>
      <c r="J2239" s="375"/>
      <c r="K2239" s="375"/>
      <c r="L2239" s="375"/>
      <c r="M2239" s="368"/>
      <c r="N2239" s="368"/>
      <c r="O2239" s="370"/>
      <c r="T2239" s="340"/>
      <c r="V2239" s="378"/>
      <c r="W2239" s="64" ph="1"/>
      <c r="X2239" s="241"/>
      <c r="Y2239" s="284"/>
      <c r="Z2239" s="207"/>
      <c r="AA2239" s="284"/>
      <c r="AB2239" s="284"/>
      <c r="AC2239" s="284"/>
      <c r="AD2239" s="284"/>
      <c r="AE2239" s="284"/>
      <c r="AF2239" s="284"/>
      <c r="AG2239" s="284"/>
    </row>
    <row r="2240" spans="1:33" ht="26.4">
      <c r="A2240" s="284"/>
      <c r="B2240" s="284"/>
      <c r="C2240" s="284"/>
      <c r="D2240" s="284"/>
      <c r="E2240" s="284"/>
      <c r="F2240" s="284"/>
      <c r="G2240" s="284"/>
      <c r="H2240" s="284"/>
      <c r="I2240" s="284"/>
      <c r="J2240" s="375"/>
      <c r="K2240" s="375"/>
      <c r="L2240" s="375"/>
      <c r="M2240" s="368"/>
      <c r="N2240" s="368"/>
      <c r="O2240" s="370"/>
      <c r="T2240" s="340"/>
      <c r="V2240" s="378"/>
      <c r="W2240" s="64" ph="1"/>
      <c r="X2240" s="241"/>
      <c r="Y2240" s="284"/>
      <c r="Z2240" s="207"/>
      <c r="AA2240" s="284"/>
      <c r="AB2240" s="284"/>
      <c r="AC2240" s="284"/>
      <c r="AD2240" s="284"/>
      <c r="AE2240" s="284"/>
      <c r="AF2240" s="284"/>
      <c r="AG2240" s="284"/>
    </row>
    <row r="2241" spans="1:33" ht="26.4">
      <c r="A2241" s="284"/>
      <c r="B2241" s="284"/>
      <c r="C2241" s="284"/>
      <c r="D2241" s="284"/>
      <c r="E2241" s="284"/>
      <c r="F2241" s="284"/>
      <c r="G2241" s="284"/>
      <c r="H2241" s="284"/>
      <c r="I2241" s="284"/>
      <c r="J2241" s="375"/>
      <c r="K2241" s="375"/>
      <c r="L2241" s="375"/>
      <c r="M2241" s="368"/>
      <c r="N2241" s="368"/>
      <c r="O2241" s="370"/>
      <c r="T2241" s="340"/>
      <c r="V2241" s="378"/>
      <c r="W2241" s="64" ph="1"/>
      <c r="X2241" s="241"/>
      <c r="Y2241" s="284"/>
      <c r="Z2241" s="207"/>
      <c r="AA2241" s="284"/>
      <c r="AB2241" s="284"/>
      <c r="AC2241" s="284"/>
      <c r="AD2241" s="284"/>
      <c r="AE2241" s="284"/>
      <c r="AF2241" s="284"/>
      <c r="AG2241" s="284"/>
    </row>
    <row r="2242" spans="1:33" ht="26.4">
      <c r="A2242" s="284"/>
      <c r="B2242" s="284"/>
      <c r="C2242" s="284"/>
      <c r="D2242" s="284"/>
      <c r="E2242" s="284"/>
      <c r="F2242" s="284"/>
      <c r="G2242" s="284"/>
      <c r="H2242" s="284"/>
      <c r="I2242" s="284"/>
      <c r="J2242" s="375"/>
      <c r="K2242" s="375"/>
      <c r="L2242" s="375"/>
      <c r="M2242" s="368"/>
      <c r="N2242" s="368"/>
      <c r="O2242" s="370"/>
      <c r="T2242" s="340"/>
      <c r="V2242" s="378"/>
      <c r="W2242" s="64" ph="1"/>
      <c r="X2242" s="241"/>
      <c r="Y2242" s="284"/>
      <c r="Z2242" s="207"/>
      <c r="AA2242" s="284"/>
      <c r="AB2242" s="284"/>
      <c r="AC2242" s="284"/>
      <c r="AD2242" s="284"/>
      <c r="AE2242" s="284"/>
      <c r="AF2242" s="284"/>
      <c r="AG2242" s="284"/>
    </row>
    <row r="2243" spans="1:33" ht="26.4">
      <c r="A2243" s="284"/>
      <c r="B2243" s="284"/>
      <c r="C2243" s="284"/>
      <c r="D2243" s="284"/>
      <c r="E2243" s="284"/>
      <c r="F2243" s="284"/>
      <c r="G2243" s="284"/>
      <c r="H2243" s="284"/>
      <c r="I2243" s="284"/>
      <c r="J2243" s="375"/>
      <c r="K2243" s="375"/>
      <c r="L2243" s="375"/>
      <c r="M2243" s="368"/>
      <c r="N2243" s="368"/>
      <c r="O2243" s="370"/>
      <c r="T2243" s="340"/>
      <c r="V2243" s="378"/>
      <c r="W2243" s="64" ph="1"/>
      <c r="X2243" s="241"/>
      <c r="Y2243" s="284"/>
      <c r="Z2243" s="207"/>
      <c r="AA2243" s="284"/>
      <c r="AB2243" s="284"/>
      <c r="AC2243" s="284"/>
      <c r="AD2243" s="284"/>
      <c r="AE2243" s="284"/>
      <c r="AF2243" s="284"/>
      <c r="AG2243" s="284"/>
    </row>
    <row r="2244" spans="1:33" ht="26.4">
      <c r="A2244" s="284"/>
      <c r="B2244" s="284"/>
      <c r="C2244" s="284"/>
      <c r="D2244" s="284"/>
      <c r="E2244" s="284"/>
      <c r="F2244" s="284"/>
      <c r="G2244" s="284"/>
      <c r="H2244" s="284"/>
      <c r="I2244" s="284"/>
      <c r="J2244" s="375"/>
      <c r="K2244" s="375"/>
      <c r="L2244" s="375"/>
      <c r="M2244" s="368"/>
      <c r="N2244" s="368"/>
      <c r="O2244" s="370"/>
      <c r="T2244" s="340"/>
      <c r="V2244" s="378"/>
      <c r="W2244" s="64" ph="1"/>
      <c r="X2244" s="241"/>
      <c r="Y2244" s="284"/>
      <c r="Z2244" s="207"/>
      <c r="AA2244" s="284"/>
      <c r="AB2244" s="284"/>
      <c r="AC2244" s="284"/>
      <c r="AD2244" s="284"/>
      <c r="AE2244" s="284"/>
      <c r="AF2244" s="284"/>
      <c r="AG2244" s="284"/>
    </row>
    <row r="2245" spans="1:33" ht="26.4">
      <c r="A2245" s="284"/>
      <c r="B2245" s="284"/>
      <c r="C2245" s="284"/>
      <c r="D2245" s="284"/>
      <c r="E2245" s="284"/>
      <c r="F2245" s="284"/>
      <c r="G2245" s="284"/>
      <c r="H2245" s="284"/>
      <c r="I2245" s="284"/>
      <c r="J2245" s="375"/>
      <c r="K2245" s="375"/>
      <c r="L2245" s="375"/>
      <c r="M2245" s="368"/>
      <c r="N2245" s="368"/>
      <c r="O2245" s="370"/>
      <c r="T2245" s="340"/>
      <c r="V2245" s="378"/>
      <c r="W2245" s="64" ph="1"/>
      <c r="X2245" s="241"/>
      <c r="Y2245" s="284"/>
      <c r="Z2245" s="207"/>
      <c r="AA2245" s="284"/>
      <c r="AB2245" s="284"/>
      <c r="AC2245" s="284"/>
      <c r="AD2245" s="284"/>
      <c r="AE2245" s="284"/>
      <c r="AF2245" s="284"/>
      <c r="AG2245" s="284"/>
    </row>
    <row r="2246" spans="1:33" ht="26.4">
      <c r="A2246" s="284"/>
      <c r="B2246" s="284"/>
      <c r="C2246" s="284"/>
      <c r="D2246" s="284"/>
      <c r="E2246" s="284"/>
      <c r="F2246" s="284"/>
      <c r="G2246" s="284"/>
      <c r="H2246" s="284"/>
      <c r="I2246" s="284"/>
      <c r="J2246" s="375"/>
      <c r="K2246" s="375"/>
      <c r="L2246" s="375"/>
      <c r="M2246" s="368"/>
      <c r="N2246" s="368"/>
      <c r="O2246" s="370"/>
      <c r="T2246" s="340"/>
      <c r="V2246" s="378"/>
      <c r="W2246" s="64" ph="1"/>
      <c r="X2246" s="241"/>
      <c r="Y2246" s="284"/>
      <c r="Z2246" s="207"/>
      <c r="AA2246" s="284"/>
      <c r="AB2246" s="284"/>
      <c r="AC2246" s="284"/>
      <c r="AD2246" s="284"/>
      <c r="AE2246" s="284"/>
      <c r="AF2246" s="284"/>
      <c r="AG2246" s="284"/>
    </row>
    <row r="2247" spans="1:33" ht="26.4">
      <c r="A2247" s="284"/>
      <c r="B2247" s="284"/>
      <c r="C2247" s="284"/>
      <c r="D2247" s="284"/>
      <c r="E2247" s="284"/>
      <c r="F2247" s="284"/>
      <c r="G2247" s="284"/>
      <c r="H2247" s="284"/>
      <c r="I2247" s="284"/>
      <c r="J2247" s="375"/>
      <c r="K2247" s="375"/>
      <c r="L2247" s="375"/>
      <c r="M2247" s="368"/>
      <c r="N2247" s="368"/>
      <c r="O2247" s="370"/>
      <c r="T2247" s="340"/>
      <c r="V2247" s="378"/>
      <c r="W2247" s="64" ph="1"/>
      <c r="X2247" s="241"/>
      <c r="Y2247" s="284"/>
      <c r="Z2247" s="207"/>
      <c r="AA2247" s="284"/>
      <c r="AB2247" s="284"/>
      <c r="AC2247" s="284"/>
      <c r="AD2247" s="284"/>
      <c r="AE2247" s="284"/>
      <c r="AF2247" s="284"/>
      <c r="AG2247" s="284"/>
    </row>
    <row r="2248" spans="1:33" ht="26.4">
      <c r="A2248" s="284"/>
      <c r="B2248" s="284"/>
      <c r="C2248" s="284"/>
      <c r="D2248" s="284"/>
      <c r="E2248" s="284"/>
      <c r="F2248" s="284"/>
      <c r="G2248" s="284"/>
      <c r="H2248" s="284"/>
      <c r="I2248" s="284"/>
      <c r="J2248" s="375"/>
      <c r="K2248" s="375"/>
      <c r="L2248" s="375"/>
      <c r="M2248" s="368"/>
      <c r="N2248" s="368"/>
      <c r="O2248" s="370"/>
      <c r="T2248" s="340"/>
      <c r="V2248" s="378"/>
      <c r="W2248" s="64" ph="1"/>
      <c r="X2248" s="241"/>
      <c r="Y2248" s="284"/>
      <c r="Z2248" s="207"/>
      <c r="AA2248" s="284"/>
      <c r="AB2248" s="284"/>
      <c r="AC2248" s="284"/>
      <c r="AD2248" s="284"/>
      <c r="AE2248" s="284"/>
      <c r="AF2248" s="284"/>
      <c r="AG2248" s="284"/>
    </row>
    <row r="2249" spans="1:33" ht="26.4">
      <c r="A2249" s="284"/>
      <c r="B2249" s="284"/>
      <c r="C2249" s="284"/>
      <c r="D2249" s="284"/>
      <c r="E2249" s="284"/>
      <c r="F2249" s="284"/>
      <c r="G2249" s="284"/>
      <c r="H2249" s="284"/>
      <c r="I2249" s="284"/>
      <c r="J2249" s="375"/>
      <c r="K2249" s="375"/>
      <c r="L2249" s="375"/>
      <c r="M2249" s="368"/>
      <c r="N2249" s="368"/>
      <c r="O2249" s="370"/>
      <c r="T2249" s="340"/>
      <c r="V2249" s="378"/>
      <c r="W2249" s="64" ph="1"/>
      <c r="X2249" s="241"/>
      <c r="Y2249" s="284"/>
      <c r="Z2249" s="207"/>
      <c r="AA2249" s="284"/>
      <c r="AB2249" s="284"/>
      <c r="AC2249" s="284"/>
      <c r="AD2249" s="284"/>
      <c r="AE2249" s="284"/>
      <c r="AF2249" s="284"/>
      <c r="AG2249" s="284"/>
    </row>
    <row r="2250" spans="1:33" ht="26.4">
      <c r="A2250" s="284"/>
      <c r="B2250" s="284"/>
      <c r="C2250" s="284"/>
      <c r="D2250" s="284"/>
      <c r="E2250" s="284"/>
      <c r="F2250" s="284"/>
      <c r="G2250" s="284"/>
      <c r="H2250" s="284"/>
      <c r="I2250" s="284"/>
      <c r="J2250" s="375"/>
      <c r="K2250" s="375"/>
      <c r="L2250" s="375"/>
      <c r="M2250" s="368"/>
      <c r="N2250" s="368"/>
      <c r="O2250" s="370"/>
      <c r="T2250" s="340"/>
      <c r="V2250" s="378"/>
      <c r="W2250" s="64" ph="1"/>
      <c r="X2250" s="241"/>
      <c r="Y2250" s="284"/>
      <c r="Z2250" s="207"/>
      <c r="AA2250" s="284"/>
      <c r="AB2250" s="284"/>
      <c r="AC2250" s="284"/>
      <c r="AD2250" s="284"/>
      <c r="AE2250" s="284"/>
      <c r="AF2250" s="284"/>
      <c r="AG2250" s="284"/>
    </row>
    <row r="2251" spans="1:33" ht="26.4">
      <c r="A2251" s="284"/>
      <c r="B2251" s="284"/>
      <c r="C2251" s="284"/>
      <c r="D2251" s="284"/>
      <c r="E2251" s="284"/>
      <c r="F2251" s="284"/>
      <c r="G2251" s="284"/>
      <c r="H2251" s="284"/>
      <c r="I2251" s="284"/>
      <c r="J2251" s="375"/>
      <c r="K2251" s="375"/>
      <c r="L2251" s="375"/>
      <c r="M2251" s="368"/>
      <c r="N2251" s="368"/>
      <c r="O2251" s="370"/>
      <c r="T2251" s="340"/>
      <c r="V2251" s="378"/>
      <c r="W2251" s="64" ph="1"/>
      <c r="X2251" s="241"/>
      <c r="Y2251" s="284"/>
      <c r="Z2251" s="207"/>
      <c r="AA2251" s="284"/>
      <c r="AB2251" s="284"/>
      <c r="AC2251" s="284"/>
      <c r="AD2251" s="284"/>
      <c r="AE2251" s="284"/>
      <c r="AF2251" s="284"/>
      <c r="AG2251" s="284"/>
    </row>
    <row r="2252" spans="1:33" ht="26.4">
      <c r="A2252" s="284"/>
      <c r="B2252" s="284"/>
      <c r="C2252" s="284"/>
      <c r="D2252" s="284"/>
      <c r="E2252" s="284"/>
      <c r="F2252" s="284"/>
      <c r="G2252" s="284"/>
      <c r="H2252" s="284"/>
      <c r="I2252" s="284"/>
      <c r="J2252" s="375"/>
      <c r="K2252" s="375"/>
      <c r="L2252" s="375"/>
      <c r="M2252" s="368"/>
      <c r="N2252" s="368"/>
      <c r="O2252" s="370"/>
      <c r="T2252" s="340"/>
      <c r="V2252" s="378"/>
      <c r="W2252" s="64" ph="1"/>
      <c r="X2252" s="241"/>
      <c r="Y2252" s="284"/>
      <c r="Z2252" s="207"/>
      <c r="AA2252" s="284"/>
      <c r="AB2252" s="284"/>
      <c r="AC2252" s="284"/>
      <c r="AD2252" s="284"/>
      <c r="AE2252" s="284"/>
      <c r="AF2252" s="284"/>
      <c r="AG2252" s="284"/>
    </row>
    <row r="2253" spans="1:33" ht="26.4">
      <c r="A2253" s="284"/>
      <c r="B2253" s="284"/>
      <c r="C2253" s="284"/>
      <c r="D2253" s="284"/>
      <c r="E2253" s="284"/>
      <c r="F2253" s="284"/>
      <c r="G2253" s="284"/>
      <c r="H2253" s="284"/>
      <c r="I2253" s="284"/>
      <c r="J2253" s="375"/>
      <c r="K2253" s="375"/>
      <c r="L2253" s="375"/>
      <c r="M2253" s="368"/>
      <c r="N2253" s="368"/>
      <c r="O2253" s="370"/>
      <c r="T2253" s="340"/>
      <c r="V2253" s="378"/>
      <c r="W2253" s="64" ph="1"/>
      <c r="X2253" s="241"/>
      <c r="Y2253" s="284"/>
      <c r="Z2253" s="207"/>
      <c r="AA2253" s="284"/>
      <c r="AB2253" s="284"/>
      <c r="AC2253" s="284"/>
      <c r="AD2253" s="284"/>
      <c r="AE2253" s="284"/>
      <c r="AF2253" s="284"/>
      <c r="AG2253" s="284"/>
    </row>
    <row r="2254" spans="1:33" ht="26.4">
      <c r="A2254" s="284"/>
      <c r="B2254" s="284"/>
      <c r="C2254" s="284"/>
      <c r="D2254" s="284"/>
      <c r="E2254" s="284"/>
      <c r="F2254" s="284"/>
      <c r="G2254" s="284"/>
      <c r="H2254" s="284"/>
      <c r="I2254" s="284"/>
      <c r="J2254" s="375"/>
      <c r="K2254" s="375"/>
      <c r="L2254" s="375"/>
      <c r="M2254" s="368"/>
      <c r="N2254" s="368"/>
      <c r="O2254" s="370"/>
      <c r="T2254" s="340"/>
      <c r="V2254" s="378"/>
      <c r="W2254" s="64" ph="1"/>
      <c r="X2254" s="241"/>
      <c r="Y2254" s="284"/>
      <c r="Z2254" s="207"/>
      <c r="AA2254" s="284"/>
      <c r="AB2254" s="284"/>
      <c r="AC2254" s="284"/>
      <c r="AD2254" s="284"/>
      <c r="AE2254" s="284"/>
      <c r="AF2254" s="284"/>
      <c r="AG2254" s="284"/>
    </row>
    <row r="2255" spans="1:33" ht="26.4">
      <c r="A2255" s="284"/>
      <c r="B2255" s="284"/>
      <c r="C2255" s="284"/>
      <c r="D2255" s="284"/>
      <c r="E2255" s="284"/>
      <c r="F2255" s="284"/>
      <c r="G2255" s="284"/>
      <c r="H2255" s="284"/>
      <c r="I2255" s="284"/>
      <c r="J2255" s="375"/>
      <c r="K2255" s="375"/>
      <c r="L2255" s="375"/>
      <c r="M2255" s="368"/>
      <c r="N2255" s="368"/>
      <c r="O2255" s="370"/>
      <c r="T2255" s="340"/>
      <c r="V2255" s="378"/>
      <c r="W2255" s="64" ph="1"/>
      <c r="X2255" s="241"/>
      <c r="Y2255" s="284"/>
      <c r="Z2255" s="207"/>
      <c r="AA2255" s="284"/>
      <c r="AB2255" s="284"/>
      <c r="AC2255" s="284"/>
      <c r="AD2255" s="284"/>
      <c r="AE2255" s="284"/>
      <c r="AF2255" s="284"/>
      <c r="AG2255" s="284"/>
    </row>
    <row r="2256" spans="1:33" ht="26.4">
      <c r="A2256" s="284"/>
      <c r="B2256" s="284"/>
      <c r="C2256" s="284"/>
      <c r="D2256" s="284"/>
      <c r="E2256" s="284"/>
      <c r="F2256" s="284"/>
      <c r="G2256" s="284"/>
      <c r="H2256" s="284"/>
      <c r="I2256" s="284"/>
      <c r="J2256" s="375"/>
      <c r="K2256" s="375"/>
      <c r="L2256" s="375"/>
      <c r="M2256" s="368"/>
      <c r="N2256" s="368"/>
      <c r="O2256" s="370"/>
      <c r="T2256" s="340"/>
      <c r="V2256" s="378"/>
      <c r="W2256" s="64" ph="1"/>
      <c r="X2256" s="241"/>
      <c r="Y2256" s="284"/>
      <c r="Z2256" s="207"/>
      <c r="AA2256" s="284"/>
      <c r="AB2256" s="284"/>
      <c r="AC2256" s="284"/>
      <c r="AD2256" s="284"/>
      <c r="AE2256" s="284"/>
      <c r="AF2256" s="284"/>
      <c r="AG2256" s="284"/>
    </row>
    <row r="2257" spans="1:33" ht="26.4">
      <c r="A2257" s="284"/>
      <c r="B2257" s="284"/>
      <c r="C2257" s="284"/>
      <c r="D2257" s="284"/>
      <c r="E2257" s="284"/>
      <c r="F2257" s="284"/>
      <c r="G2257" s="284"/>
      <c r="H2257" s="284"/>
      <c r="I2257" s="284"/>
      <c r="J2257" s="375"/>
      <c r="K2257" s="375"/>
      <c r="L2257" s="375"/>
      <c r="M2257" s="368"/>
      <c r="N2257" s="368"/>
      <c r="O2257" s="370"/>
      <c r="T2257" s="340"/>
      <c r="V2257" s="378"/>
      <c r="W2257" s="64" ph="1"/>
      <c r="X2257" s="241"/>
      <c r="Y2257" s="284"/>
      <c r="Z2257" s="207"/>
      <c r="AA2257" s="284"/>
      <c r="AB2257" s="284"/>
      <c r="AC2257" s="284"/>
      <c r="AD2257" s="284"/>
      <c r="AE2257" s="284"/>
      <c r="AF2257" s="284"/>
      <c r="AG2257" s="284"/>
    </row>
    <row r="2258" spans="1:33" ht="26.4">
      <c r="A2258" s="284"/>
      <c r="B2258" s="284"/>
      <c r="C2258" s="284"/>
      <c r="D2258" s="284"/>
      <c r="E2258" s="284"/>
      <c r="F2258" s="284"/>
      <c r="G2258" s="284"/>
      <c r="H2258" s="284"/>
      <c r="I2258" s="284"/>
      <c r="J2258" s="375"/>
      <c r="K2258" s="375"/>
      <c r="L2258" s="375"/>
      <c r="M2258" s="368"/>
      <c r="N2258" s="368"/>
      <c r="O2258" s="370"/>
      <c r="T2258" s="340"/>
      <c r="V2258" s="378"/>
      <c r="W2258" s="64" ph="1"/>
      <c r="X2258" s="241"/>
      <c r="Y2258" s="284"/>
      <c r="Z2258" s="207"/>
      <c r="AA2258" s="284"/>
      <c r="AB2258" s="284"/>
      <c r="AC2258" s="284"/>
      <c r="AD2258" s="284"/>
      <c r="AE2258" s="284"/>
      <c r="AF2258" s="284"/>
      <c r="AG2258" s="284"/>
    </row>
    <row r="2259" spans="1:33" ht="26.4">
      <c r="A2259" s="284"/>
      <c r="B2259" s="284"/>
      <c r="C2259" s="284"/>
      <c r="D2259" s="284"/>
      <c r="E2259" s="284"/>
      <c r="F2259" s="284"/>
      <c r="G2259" s="284"/>
      <c r="H2259" s="284"/>
      <c r="I2259" s="284"/>
      <c r="J2259" s="375"/>
      <c r="K2259" s="375"/>
      <c r="L2259" s="375"/>
      <c r="M2259" s="368"/>
      <c r="N2259" s="368"/>
      <c r="O2259" s="370"/>
      <c r="T2259" s="340"/>
      <c r="V2259" s="378"/>
      <c r="W2259" s="64" ph="1"/>
      <c r="X2259" s="241"/>
      <c r="Y2259" s="284"/>
      <c r="Z2259" s="207"/>
      <c r="AA2259" s="284"/>
      <c r="AB2259" s="284"/>
      <c r="AC2259" s="284"/>
      <c r="AD2259" s="284"/>
      <c r="AE2259" s="284"/>
      <c r="AF2259" s="284"/>
      <c r="AG2259" s="284"/>
    </row>
    <row r="2260" spans="1:33" ht="26.4">
      <c r="A2260" s="284"/>
      <c r="B2260" s="284"/>
      <c r="C2260" s="284"/>
      <c r="D2260" s="284"/>
      <c r="E2260" s="284"/>
      <c r="F2260" s="284"/>
      <c r="G2260" s="284"/>
      <c r="H2260" s="284"/>
      <c r="I2260" s="284"/>
      <c r="J2260" s="375"/>
      <c r="K2260" s="375"/>
      <c r="L2260" s="375"/>
      <c r="M2260" s="368"/>
      <c r="N2260" s="368"/>
      <c r="O2260" s="370"/>
      <c r="T2260" s="340"/>
      <c r="V2260" s="378"/>
      <c r="W2260" s="64" ph="1"/>
      <c r="X2260" s="241"/>
      <c r="Y2260" s="284"/>
      <c r="Z2260" s="207"/>
      <c r="AA2260" s="284"/>
      <c r="AB2260" s="284"/>
      <c r="AC2260" s="284"/>
      <c r="AD2260" s="284"/>
      <c r="AE2260" s="284"/>
      <c r="AF2260" s="284"/>
      <c r="AG2260" s="284"/>
    </row>
    <row r="2261" spans="1:33" ht="26.4">
      <c r="A2261" s="284"/>
      <c r="B2261" s="284"/>
      <c r="C2261" s="284"/>
      <c r="D2261" s="284"/>
      <c r="E2261" s="284"/>
      <c r="F2261" s="284"/>
      <c r="G2261" s="284"/>
      <c r="H2261" s="284"/>
      <c r="I2261" s="284"/>
      <c r="J2261" s="375"/>
      <c r="K2261" s="375"/>
      <c r="L2261" s="375"/>
      <c r="M2261" s="368"/>
      <c r="N2261" s="368"/>
      <c r="O2261" s="370"/>
      <c r="T2261" s="340"/>
      <c r="V2261" s="378"/>
      <c r="W2261" s="64" ph="1"/>
      <c r="X2261" s="241"/>
      <c r="Y2261" s="284"/>
      <c r="Z2261" s="207"/>
      <c r="AA2261" s="284"/>
      <c r="AB2261" s="284"/>
      <c r="AC2261" s="284"/>
      <c r="AD2261" s="284"/>
      <c r="AE2261" s="284"/>
      <c r="AF2261" s="284"/>
      <c r="AG2261" s="284"/>
    </row>
    <row r="2262" spans="1:33" ht="26.4">
      <c r="A2262" s="284"/>
      <c r="B2262" s="284"/>
      <c r="C2262" s="284"/>
      <c r="D2262" s="284"/>
      <c r="E2262" s="284"/>
      <c r="F2262" s="284"/>
      <c r="G2262" s="284"/>
      <c r="H2262" s="284"/>
      <c r="I2262" s="284"/>
      <c r="J2262" s="375"/>
      <c r="K2262" s="375"/>
      <c r="L2262" s="375"/>
      <c r="M2262" s="368"/>
      <c r="N2262" s="368"/>
      <c r="O2262" s="370"/>
      <c r="T2262" s="340"/>
      <c r="V2262" s="378"/>
      <c r="W2262" s="64" ph="1"/>
      <c r="X2262" s="241"/>
      <c r="Y2262" s="284"/>
      <c r="Z2262" s="207"/>
      <c r="AA2262" s="284"/>
      <c r="AB2262" s="284"/>
      <c r="AC2262" s="284"/>
      <c r="AD2262" s="284"/>
      <c r="AE2262" s="284"/>
      <c r="AF2262" s="284"/>
      <c r="AG2262" s="284"/>
    </row>
    <row r="2263" spans="1:33" ht="26.4">
      <c r="A2263" s="284"/>
      <c r="B2263" s="284"/>
      <c r="C2263" s="284"/>
      <c r="D2263" s="284"/>
      <c r="E2263" s="284"/>
      <c r="F2263" s="284"/>
      <c r="G2263" s="284"/>
      <c r="H2263" s="284"/>
      <c r="I2263" s="284"/>
      <c r="J2263" s="375"/>
      <c r="K2263" s="375"/>
      <c r="L2263" s="375"/>
      <c r="M2263" s="368"/>
      <c r="N2263" s="368"/>
      <c r="O2263" s="370"/>
      <c r="T2263" s="340"/>
      <c r="V2263" s="378"/>
      <c r="W2263" s="64" ph="1"/>
      <c r="X2263" s="241"/>
      <c r="Y2263" s="284"/>
      <c r="Z2263" s="207"/>
      <c r="AA2263" s="284"/>
      <c r="AB2263" s="284"/>
      <c r="AC2263" s="284"/>
      <c r="AD2263" s="284"/>
      <c r="AE2263" s="284"/>
      <c r="AF2263" s="284"/>
      <c r="AG2263" s="284"/>
    </row>
    <row r="2264" spans="1:33" ht="26.4">
      <c r="A2264" s="284"/>
      <c r="B2264" s="284"/>
      <c r="C2264" s="284"/>
      <c r="D2264" s="284"/>
      <c r="E2264" s="284"/>
      <c r="F2264" s="284"/>
      <c r="G2264" s="284"/>
      <c r="H2264" s="284"/>
      <c r="I2264" s="284"/>
      <c r="J2264" s="375"/>
      <c r="K2264" s="375"/>
      <c r="L2264" s="375"/>
      <c r="M2264" s="368"/>
      <c r="N2264" s="368"/>
      <c r="O2264" s="370"/>
      <c r="T2264" s="340"/>
      <c r="V2264" s="378"/>
      <c r="W2264" s="64" ph="1"/>
      <c r="X2264" s="241"/>
      <c r="Y2264" s="284"/>
      <c r="Z2264" s="207"/>
      <c r="AA2264" s="284"/>
      <c r="AB2264" s="284"/>
      <c r="AC2264" s="284"/>
      <c r="AD2264" s="284"/>
      <c r="AE2264" s="284"/>
      <c r="AF2264" s="284"/>
      <c r="AG2264" s="284"/>
    </row>
    <row r="2265" spans="1:33" ht="26.4">
      <c r="A2265" s="284"/>
      <c r="B2265" s="284"/>
      <c r="C2265" s="284"/>
      <c r="D2265" s="284"/>
      <c r="E2265" s="284"/>
      <c r="F2265" s="284"/>
      <c r="G2265" s="284"/>
      <c r="H2265" s="284"/>
      <c r="I2265" s="284"/>
      <c r="J2265" s="375"/>
      <c r="K2265" s="375"/>
      <c r="L2265" s="375"/>
      <c r="M2265" s="368"/>
      <c r="N2265" s="368"/>
      <c r="O2265" s="370"/>
      <c r="T2265" s="340"/>
      <c r="V2265" s="378"/>
      <c r="W2265" s="64" ph="1"/>
      <c r="X2265" s="241"/>
      <c r="Y2265" s="284"/>
      <c r="Z2265" s="207"/>
      <c r="AA2265" s="284"/>
      <c r="AB2265" s="284"/>
      <c r="AC2265" s="284"/>
      <c r="AD2265" s="284"/>
      <c r="AE2265" s="284"/>
      <c r="AF2265" s="284"/>
      <c r="AG2265" s="284"/>
    </row>
    <row r="2266" spans="1:33" ht="26.4">
      <c r="A2266" s="284"/>
      <c r="B2266" s="284"/>
      <c r="C2266" s="284"/>
      <c r="D2266" s="284"/>
      <c r="E2266" s="284"/>
      <c r="F2266" s="284"/>
      <c r="G2266" s="284"/>
      <c r="H2266" s="284"/>
      <c r="I2266" s="284"/>
      <c r="J2266" s="375"/>
      <c r="K2266" s="375"/>
      <c r="L2266" s="375"/>
      <c r="M2266" s="368"/>
      <c r="N2266" s="368"/>
      <c r="O2266" s="370"/>
      <c r="T2266" s="340"/>
      <c r="V2266" s="378"/>
      <c r="W2266" s="64" ph="1"/>
      <c r="X2266" s="241"/>
      <c r="Y2266" s="284"/>
      <c r="Z2266" s="207"/>
      <c r="AA2266" s="284"/>
      <c r="AB2266" s="284"/>
      <c r="AC2266" s="284"/>
      <c r="AD2266" s="284"/>
      <c r="AE2266" s="284"/>
      <c r="AF2266" s="284"/>
      <c r="AG2266" s="284"/>
    </row>
    <row r="2267" spans="1:33" ht="26.4">
      <c r="A2267" s="284"/>
      <c r="B2267" s="284"/>
      <c r="C2267" s="284"/>
      <c r="D2267" s="284"/>
      <c r="E2267" s="284"/>
      <c r="F2267" s="284"/>
      <c r="G2267" s="284"/>
      <c r="H2267" s="284"/>
      <c r="I2267" s="284"/>
      <c r="J2267" s="375"/>
      <c r="K2267" s="375"/>
      <c r="L2267" s="375"/>
      <c r="M2267" s="368"/>
      <c r="N2267" s="368"/>
      <c r="O2267" s="370"/>
      <c r="T2267" s="340"/>
      <c r="V2267" s="378"/>
      <c r="W2267" s="64" ph="1"/>
      <c r="X2267" s="241"/>
      <c r="Y2267" s="284"/>
      <c r="Z2267" s="207"/>
      <c r="AA2267" s="284"/>
      <c r="AB2267" s="284"/>
      <c r="AC2267" s="284"/>
      <c r="AD2267" s="284"/>
      <c r="AE2267" s="284"/>
      <c r="AF2267" s="284"/>
      <c r="AG2267" s="284"/>
    </row>
    <row r="2268" spans="1:33" ht="26.4">
      <c r="A2268" s="284"/>
      <c r="B2268" s="284"/>
      <c r="C2268" s="284"/>
      <c r="D2268" s="284"/>
      <c r="E2268" s="284"/>
      <c r="F2268" s="284"/>
      <c r="G2268" s="284"/>
      <c r="H2268" s="284"/>
      <c r="I2268" s="284"/>
      <c r="J2268" s="375"/>
      <c r="K2268" s="375"/>
      <c r="L2268" s="375"/>
      <c r="M2268" s="368"/>
      <c r="N2268" s="368"/>
      <c r="O2268" s="370"/>
      <c r="T2268" s="340"/>
      <c r="V2268" s="378"/>
      <c r="W2268" s="64" ph="1"/>
      <c r="X2268" s="241"/>
      <c r="Y2268" s="284"/>
      <c r="Z2268" s="207"/>
      <c r="AA2268" s="284"/>
      <c r="AB2268" s="284"/>
      <c r="AC2268" s="284"/>
      <c r="AD2268" s="284"/>
      <c r="AE2268" s="284"/>
      <c r="AF2268" s="284"/>
      <c r="AG2268" s="284"/>
    </row>
    <row r="2269" spans="1:33" ht="26.4">
      <c r="A2269" s="284"/>
      <c r="B2269" s="284"/>
      <c r="C2269" s="284"/>
      <c r="D2269" s="284"/>
      <c r="E2269" s="284"/>
      <c r="F2269" s="284"/>
      <c r="G2269" s="284"/>
      <c r="H2269" s="284"/>
      <c r="I2269" s="284"/>
      <c r="J2269" s="375"/>
      <c r="K2269" s="375"/>
      <c r="L2269" s="375"/>
      <c r="M2269" s="368"/>
      <c r="N2269" s="368"/>
      <c r="O2269" s="370"/>
      <c r="T2269" s="340"/>
      <c r="V2269" s="378"/>
      <c r="W2269" s="64" ph="1"/>
      <c r="X2269" s="241"/>
      <c r="Y2269" s="284"/>
      <c r="Z2269" s="207"/>
      <c r="AA2269" s="284"/>
      <c r="AB2269" s="284"/>
      <c r="AC2269" s="284"/>
      <c r="AD2269" s="284"/>
      <c r="AE2269" s="284"/>
      <c r="AF2269" s="284"/>
      <c r="AG2269" s="284"/>
    </row>
    <row r="2270" spans="1:33" ht="26.4">
      <c r="A2270" s="284"/>
      <c r="B2270" s="284"/>
      <c r="C2270" s="284"/>
      <c r="D2270" s="284"/>
      <c r="E2270" s="284"/>
      <c r="F2270" s="284"/>
      <c r="G2270" s="284"/>
      <c r="H2270" s="284"/>
      <c r="I2270" s="284"/>
      <c r="J2270" s="375"/>
      <c r="K2270" s="375"/>
      <c r="L2270" s="375"/>
      <c r="M2270" s="368"/>
      <c r="N2270" s="368"/>
      <c r="O2270" s="370"/>
      <c r="T2270" s="340"/>
      <c r="V2270" s="378"/>
      <c r="W2270" s="64" ph="1"/>
      <c r="X2270" s="241"/>
      <c r="Y2270" s="284"/>
      <c r="Z2270" s="207"/>
      <c r="AA2270" s="284"/>
      <c r="AB2270" s="284"/>
      <c r="AC2270" s="284"/>
      <c r="AD2270" s="284"/>
      <c r="AE2270" s="284"/>
      <c r="AF2270" s="284"/>
      <c r="AG2270" s="284"/>
    </row>
    <row r="2271" spans="1:33" ht="26.4">
      <c r="A2271" s="284"/>
      <c r="B2271" s="284"/>
      <c r="C2271" s="284"/>
      <c r="D2271" s="284"/>
      <c r="E2271" s="284"/>
      <c r="F2271" s="284"/>
      <c r="G2271" s="284"/>
      <c r="H2271" s="284"/>
      <c r="I2271" s="284"/>
      <c r="J2271" s="375"/>
      <c r="K2271" s="375"/>
      <c r="L2271" s="375"/>
      <c r="M2271" s="368"/>
      <c r="N2271" s="368"/>
      <c r="O2271" s="370"/>
      <c r="T2271" s="340"/>
      <c r="V2271" s="378"/>
      <c r="W2271" s="64" ph="1"/>
      <c r="X2271" s="241"/>
      <c r="Y2271" s="284"/>
      <c r="Z2271" s="207"/>
      <c r="AA2271" s="284"/>
      <c r="AB2271" s="284"/>
      <c r="AC2271" s="284"/>
      <c r="AD2271" s="284"/>
      <c r="AE2271" s="284"/>
      <c r="AF2271" s="284"/>
      <c r="AG2271" s="284"/>
    </row>
    <row r="2272" spans="1:33" ht="26.4">
      <c r="A2272" s="284"/>
      <c r="B2272" s="284"/>
      <c r="C2272" s="284"/>
      <c r="D2272" s="284"/>
      <c r="E2272" s="284"/>
      <c r="F2272" s="284"/>
      <c r="G2272" s="284"/>
      <c r="H2272" s="284"/>
      <c r="I2272" s="284"/>
      <c r="J2272" s="375"/>
      <c r="K2272" s="375"/>
      <c r="L2272" s="375"/>
      <c r="M2272" s="368"/>
      <c r="N2272" s="368"/>
      <c r="O2272" s="370"/>
      <c r="T2272" s="340"/>
      <c r="V2272" s="378"/>
      <c r="W2272" s="64" ph="1"/>
      <c r="X2272" s="241"/>
      <c r="Y2272" s="284"/>
      <c r="Z2272" s="207"/>
      <c r="AA2272" s="284"/>
      <c r="AB2272" s="284"/>
      <c r="AC2272" s="284"/>
      <c r="AD2272" s="284"/>
      <c r="AE2272" s="284"/>
      <c r="AF2272" s="284"/>
      <c r="AG2272" s="284"/>
    </row>
    <row r="2273" spans="1:33" ht="26.4">
      <c r="A2273" s="284"/>
      <c r="B2273" s="284"/>
      <c r="C2273" s="284"/>
      <c r="D2273" s="284"/>
      <c r="E2273" s="284"/>
      <c r="F2273" s="284"/>
      <c r="G2273" s="284"/>
      <c r="H2273" s="284"/>
      <c r="I2273" s="284"/>
      <c r="J2273" s="375"/>
      <c r="K2273" s="375"/>
      <c r="L2273" s="375"/>
      <c r="M2273" s="368"/>
      <c r="N2273" s="368"/>
      <c r="O2273" s="370"/>
      <c r="T2273" s="340"/>
      <c r="V2273" s="378"/>
      <c r="W2273" s="64" ph="1"/>
      <c r="X2273" s="241"/>
      <c r="Y2273" s="284"/>
      <c r="Z2273" s="207"/>
      <c r="AA2273" s="284"/>
      <c r="AB2273" s="284"/>
      <c r="AC2273" s="284"/>
      <c r="AD2273" s="284"/>
      <c r="AE2273" s="284"/>
      <c r="AF2273" s="284"/>
      <c r="AG2273" s="284"/>
    </row>
    <row r="2274" spans="1:33" ht="26.4">
      <c r="A2274" s="284"/>
      <c r="B2274" s="284"/>
      <c r="C2274" s="284"/>
      <c r="D2274" s="284"/>
      <c r="E2274" s="284"/>
      <c r="F2274" s="284"/>
      <c r="G2274" s="284"/>
      <c r="H2274" s="284"/>
      <c r="I2274" s="284"/>
      <c r="J2274" s="375"/>
      <c r="K2274" s="375"/>
      <c r="L2274" s="375"/>
      <c r="M2274" s="368"/>
      <c r="N2274" s="368"/>
      <c r="O2274" s="370"/>
      <c r="T2274" s="340"/>
      <c r="V2274" s="378"/>
      <c r="W2274" s="64" ph="1"/>
      <c r="X2274" s="241"/>
      <c r="Y2274" s="284"/>
      <c r="Z2274" s="207"/>
      <c r="AA2274" s="284"/>
      <c r="AB2274" s="284"/>
      <c r="AC2274" s="284"/>
      <c r="AD2274" s="284"/>
      <c r="AE2274" s="284"/>
      <c r="AF2274" s="284"/>
      <c r="AG2274" s="284"/>
    </row>
    <row r="2275" spans="1:33" ht="26.4">
      <c r="A2275" s="284"/>
      <c r="B2275" s="284"/>
      <c r="C2275" s="284"/>
      <c r="D2275" s="284"/>
      <c r="E2275" s="284"/>
      <c r="F2275" s="284"/>
      <c r="G2275" s="284"/>
      <c r="H2275" s="284"/>
      <c r="I2275" s="284"/>
      <c r="J2275" s="375"/>
      <c r="K2275" s="375"/>
      <c r="L2275" s="375"/>
      <c r="M2275" s="368"/>
      <c r="N2275" s="368"/>
      <c r="O2275" s="370"/>
      <c r="T2275" s="340"/>
      <c r="V2275" s="378"/>
      <c r="W2275" s="64" ph="1"/>
      <c r="X2275" s="241"/>
      <c r="Y2275" s="284"/>
      <c r="Z2275" s="207"/>
      <c r="AA2275" s="284"/>
      <c r="AB2275" s="284"/>
      <c r="AC2275" s="284"/>
      <c r="AD2275" s="284"/>
      <c r="AE2275" s="284"/>
      <c r="AF2275" s="284"/>
      <c r="AG2275" s="284"/>
    </row>
    <row r="2276" spans="1:33" ht="26.4">
      <c r="A2276" s="284"/>
      <c r="B2276" s="284"/>
      <c r="C2276" s="284"/>
      <c r="D2276" s="284"/>
      <c r="E2276" s="284"/>
      <c r="F2276" s="284"/>
      <c r="G2276" s="284"/>
      <c r="H2276" s="284"/>
      <c r="I2276" s="284"/>
      <c r="J2276" s="375"/>
      <c r="K2276" s="375"/>
      <c r="L2276" s="375"/>
      <c r="M2276" s="368"/>
      <c r="N2276" s="368"/>
      <c r="O2276" s="370"/>
      <c r="T2276" s="340"/>
      <c r="V2276" s="378"/>
      <c r="W2276" s="64" ph="1"/>
      <c r="X2276" s="241"/>
      <c r="Y2276" s="284"/>
      <c r="Z2276" s="207"/>
      <c r="AA2276" s="284"/>
      <c r="AB2276" s="284"/>
      <c r="AC2276" s="284"/>
      <c r="AD2276" s="284"/>
      <c r="AE2276" s="284"/>
      <c r="AF2276" s="284"/>
      <c r="AG2276" s="284"/>
    </row>
    <row r="2277" spans="1:33" ht="26.4">
      <c r="A2277" s="284"/>
      <c r="B2277" s="284"/>
      <c r="C2277" s="284"/>
      <c r="D2277" s="284"/>
      <c r="E2277" s="284"/>
      <c r="F2277" s="284"/>
      <c r="G2277" s="284"/>
      <c r="H2277" s="284"/>
      <c r="I2277" s="284"/>
      <c r="J2277" s="375"/>
      <c r="K2277" s="375"/>
      <c r="L2277" s="375"/>
      <c r="M2277" s="368"/>
      <c r="N2277" s="368"/>
      <c r="O2277" s="370"/>
      <c r="T2277" s="340"/>
      <c r="V2277" s="378"/>
      <c r="W2277" s="64" ph="1"/>
      <c r="X2277" s="241"/>
      <c r="Y2277" s="284"/>
      <c r="Z2277" s="207"/>
      <c r="AA2277" s="284"/>
      <c r="AB2277" s="284"/>
      <c r="AC2277" s="284"/>
      <c r="AD2277" s="284"/>
      <c r="AE2277" s="284"/>
      <c r="AF2277" s="284"/>
      <c r="AG2277" s="284"/>
    </row>
    <row r="2278" spans="1:33" ht="26.4">
      <c r="A2278" s="284"/>
      <c r="B2278" s="284"/>
      <c r="C2278" s="284"/>
      <c r="D2278" s="284"/>
      <c r="E2278" s="284"/>
      <c r="F2278" s="284"/>
      <c r="G2278" s="284"/>
      <c r="H2278" s="284"/>
      <c r="I2278" s="284"/>
      <c r="J2278" s="375"/>
      <c r="K2278" s="375"/>
      <c r="L2278" s="375"/>
      <c r="M2278" s="368"/>
      <c r="N2278" s="368"/>
      <c r="O2278" s="370"/>
      <c r="T2278" s="340"/>
      <c r="V2278" s="378"/>
      <c r="W2278" s="64" ph="1"/>
      <c r="X2278" s="241"/>
      <c r="Y2278" s="284"/>
      <c r="Z2278" s="207"/>
      <c r="AA2278" s="284"/>
      <c r="AB2278" s="284"/>
      <c r="AC2278" s="284"/>
      <c r="AD2278" s="284"/>
      <c r="AE2278" s="284"/>
      <c r="AF2278" s="284"/>
      <c r="AG2278" s="284"/>
    </row>
    <row r="2279" spans="1:33" ht="26.4">
      <c r="A2279" s="284"/>
      <c r="B2279" s="284"/>
      <c r="C2279" s="284"/>
      <c r="D2279" s="284"/>
      <c r="E2279" s="284"/>
      <c r="F2279" s="284"/>
      <c r="G2279" s="284"/>
      <c r="H2279" s="284"/>
      <c r="I2279" s="284"/>
      <c r="J2279" s="375"/>
      <c r="K2279" s="375"/>
      <c r="L2279" s="375"/>
      <c r="M2279" s="368"/>
      <c r="N2279" s="368"/>
      <c r="O2279" s="370"/>
      <c r="T2279" s="340"/>
      <c r="V2279" s="378"/>
      <c r="W2279" s="64" ph="1"/>
      <c r="X2279" s="241"/>
      <c r="Y2279" s="284"/>
      <c r="Z2279" s="207"/>
      <c r="AA2279" s="284"/>
      <c r="AB2279" s="284"/>
      <c r="AC2279" s="284"/>
      <c r="AD2279" s="284"/>
      <c r="AE2279" s="284"/>
      <c r="AF2279" s="284"/>
      <c r="AG2279" s="284"/>
    </row>
    <row r="2280" spans="1:33" ht="26.4">
      <c r="A2280" s="284"/>
      <c r="B2280" s="284"/>
      <c r="C2280" s="284"/>
      <c r="D2280" s="284"/>
      <c r="E2280" s="284"/>
      <c r="F2280" s="284"/>
      <c r="G2280" s="284"/>
      <c r="H2280" s="284"/>
      <c r="I2280" s="284"/>
      <c r="J2280" s="375"/>
      <c r="K2280" s="375"/>
      <c r="L2280" s="375"/>
      <c r="M2280" s="368"/>
      <c r="N2280" s="368"/>
      <c r="O2280" s="370"/>
      <c r="T2280" s="340"/>
      <c r="V2280" s="378"/>
      <c r="W2280" s="64" ph="1"/>
      <c r="X2280" s="241"/>
      <c r="Y2280" s="284"/>
      <c r="Z2280" s="207"/>
      <c r="AA2280" s="284"/>
      <c r="AB2280" s="284"/>
      <c r="AC2280" s="284"/>
      <c r="AD2280" s="284"/>
      <c r="AE2280" s="284"/>
      <c r="AF2280" s="284"/>
      <c r="AG2280" s="284"/>
    </row>
    <row r="2281" spans="1:33" ht="26.4">
      <c r="A2281" s="284"/>
      <c r="B2281" s="284"/>
      <c r="C2281" s="284"/>
      <c r="D2281" s="284"/>
      <c r="E2281" s="284"/>
      <c r="F2281" s="284"/>
      <c r="G2281" s="284"/>
      <c r="H2281" s="284"/>
      <c r="I2281" s="284"/>
      <c r="J2281" s="375"/>
      <c r="K2281" s="375"/>
      <c r="L2281" s="375"/>
      <c r="M2281" s="368"/>
      <c r="N2281" s="368"/>
      <c r="O2281" s="370"/>
      <c r="T2281" s="340"/>
      <c r="V2281" s="378"/>
      <c r="W2281" s="64" ph="1"/>
      <c r="X2281" s="241"/>
      <c r="Y2281" s="284"/>
      <c r="Z2281" s="207"/>
      <c r="AA2281" s="284"/>
      <c r="AB2281" s="284"/>
      <c r="AC2281" s="284"/>
      <c r="AD2281" s="284"/>
      <c r="AE2281" s="284"/>
      <c r="AF2281" s="284"/>
      <c r="AG2281" s="284"/>
    </row>
    <row r="2282" spans="1:33" ht="26.4">
      <c r="A2282" s="284"/>
      <c r="B2282" s="284"/>
      <c r="C2282" s="284"/>
      <c r="D2282" s="284"/>
      <c r="E2282" s="284"/>
      <c r="F2282" s="284"/>
      <c r="G2282" s="284"/>
      <c r="H2282" s="284"/>
      <c r="I2282" s="284"/>
      <c r="J2282" s="375"/>
      <c r="K2282" s="375"/>
      <c r="L2282" s="375"/>
      <c r="M2282" s="368"/>
      <c r="N2282" s="368"/>
      <c r="O2282" s="370"/>
      <c r="T2282" s="340"/>
      <c r="V2282" s="378"/>
      <c r="W2282" s="64" ph="1"/>
      <c r="X2282" s="241"/>
      <c r="Y2282" s="284"/>
      <c r="Z2282" s="207"/>
      <c r="AA2282" s="284"/>
      <c r="AB2282" s="284"/>
      <c r="AC2282" s="284"/>
      <c r="AD2282" s="284"/>
      <c r="AE2282" s="284"/>
      <c r="AF2282" s="284"/>
      <c r="AG2282" s="284"/>
    </row>
    <row r="2283" spans="1:33" ht="26.4">
      <c r="A2283" s="284"/>
      <c r="B2283" s="284"/>
      <c r="C2283" s="284"/>
      <c r="D2283" s="284"/>
      <c r="E2283" s="284"/>
      <c r="F2283" s="284"/>
      <c r="G2283" s="284"/>
      <c r="H2283" s="284"/>
      <c r="I2283" s="284"/>
      <c r="J2283" s="375"/>
      <c r="K2283" s="375"/>
      <c r="L2283" s="375"/>
      <c r="M2283" s="368"/>
      <c r="N2283" s="368"/>
      <c r="O2283" s="370"/>
      <c r="T2283" s="340"/>
      <c r="V2283" s="378"/>
      <c r="W2283" s="64" ph="1"/>
      <c r="X2283" s="241"/>
      <c r="Y2283" s="284"/>
      <c r="Z2283" s="207"/>
      <c r="AA2283" s="284"/>
      <c r="AB2283" s="284"/>
      <c r="AC2283" s="284"/>
      <c r="AD2283" s="284"/>
      <c r="AE2283" s="284"/>
      <c r="AF2283" s="284"/>
      <c r="AG2283" s="284"/>
    </row>
    <row r="2284" spans="1:33" ht="26.4">
      <c r="A2284" s="284"/>
      <c r="B2284" s="284"/>
      <c r="C2284" s="284"/>
      <c r="D2284" s="284"/>
      <c r="E2284" s="284"/>
      <c r="F2284" s="284"/>
      <c r="G2284" s="284"/>
      <c r="H2284" s="284"/>
      <c r="I2284" s="284"/>
      <c r="J2284" s="375"/>
      <c r="K2284" s="375"/>
      <c r="L2284" s="375"/>
      <c r="M2284" s="368"/>
      <c r="N2284" s="368"/>
      <c r="O2284" s="370"/>
      <c r="T2284" s="340"/>
      <c r="V2284" s="378"/>
      <c r="W2284" s="64" ph="1"/>
      <c r="X2284" s="241"/>
      <c r="Y2284" s="284"/>
      <c r="Z2284" s="207"/>
      <c r="AA2284" s="284"/>
      <c r="AB2284" s="284"/>
      <c r="AC2284" s="284"/>
      <c r="AD2284" s="284"/>
      <c r="AE2284" s="284"/>
      <c r="AF2284" s="284"/>
      <c r="AG2284" s="284"/>
    </row>
    <row r="2285" spans="1:33" ht="26.4">
      <c r="A2285" s="284"/>
      <c r="B2285" s="284"/>
      <c r="C2285" s="284"/>
      <c r="D2285" s="284"/>
      <c r="E2285" s="284"/>
      <c r="F2285" s="284"/>
      <c r="G2285" s="284"/>
      <c r="H2285" s="284"/>
      <c r="I2285" s="284"/>
      <c r="J2285" s="375"/>
      <c r="K2285" s="375"/>
      <c r="L2285" s="375"/>
      <c r="M2285" s="368"/>
      <c r="N2285" s="368"/>
      <c r="O2285" s="370"/>
      <c r="T2285" s="340"/>
      <c r="V2285" s="378"/>
      <c r="W2285" s="64" ph="1"/>
      <c r="X2285" s="241"/>
      <c r="Y2285" s="284"/>
      <c r="Z2285" s="207"/>
      <c r="AA2285" s="284"/>
      <c r="AB2285" s="284"/>
      <c r="AC2285" s="284"/>
      <c r="AD2285" s="284"/>
      <c r="AE2285" s="284"/>
      <c r="AF2285" s="284"/>
      <c r="AG2285" s="284"/>
    </row>
    <row r="2286" spans="1:33" ht="26.4">
      <c r="A2286" s="284"/>
      <c r="B2286" s="284"/>
      <c r="C2286" s="284"/>
      <c r="D2286" s="284"/>
      <c r="E2286" s="284"/>
      <c r="F2286" s="284"/>
      <c r="G2286" s="284"/>
      <c r="H2286" s="284"/>
      <c r="I2286" s="284"/>
      <c r="J2286" s="375"/>
      <c r="K2286" s="375"/>
      <c r="L2286" s="375"/>
      <c r="M2286" s="368"/>
      <c r="N2286" s="368"/>
      <c r="O2286" s="370"/>
      <c r="T2286" s="340"/>
      <c r="V2286" s="378"/>
      <c r="W2286" s="64" ph="1"/>
      <c r="X2286" s="241"/>
      <c r="Y2286" s="284"/>
      <c r="Z2286" s="207"/>
      <c r="AA2286" s="284"/>
      <c r="AB2286" s="284"/>
      <c r="AC2286" s="284"/>
      <c r="AD2286" s="284"/>
      <c r="AE2286" s="284"/>
      <c r="AF2286" s="284"/>
      <c r="AG2286" s="284"/>
    </row>
    <row r="2287" spans="1:33" ht="26.4">
      <c r="A2287" s="284"/>
      <c r="B2287" s="284"/>
      <c r="C2287" s="284"/>
      <c r="D2287" s="284"/>
      <c r="E2287" s="284"/>
      <c r="F2287" s="284"/>
      <c r="G2287" s="284"/>
      <c r="H2287" s="284"/>
      <c r="I2287" s="284"/>
      <c r="J2287" s="375"/>
      <c r="K2287" s="375"/>
      <c r="L2287" s="375"/>
      <c r="M2287" s="368"/>
      <c r="N2287" s="368"/>
      <c r="O2287" s="370"/>
      <c r="T2287" s="340"/>
      <c r="V2287" s="378"/>
      <c r="W2287" s="64" ph="1"/>
      <c r="X2287" s="241"/>
      <c r="Y2287" s="284"/>
      <c r="Z2287" s="207"/>
      <c r="AA2287" s="284"/>
      <c r="AB2287" s="284"/>
      <c r="AC2287" s="284"/>
      <c r="AD2287" s="284"/>
      <c r="AE2287" s="284"/>
      <c r="AF2287" s="284"/>
      <c r="AG2287" s="284"/>
    </row>
    <row r="2288" spans="1:33" ht="26.4">
      <c r="A2288" s="284"/>
      <c r="B2288" s="284"/>
      <c r="C2288" s="284"/>
      <c r="D2288" s="284"/>
      <c r="E2288" s="284"/>
      <c r="F2288" s="284"/>
      <c r="G2288" s="284"/>
      <c r="H2288" s="284"/>
      <c r="I2288" s="284"/>
      <c r="J2288" s="375"/>
      <c r="K2288" s="375"/>
      <c r="L2288" s="375"/>
      <c r="M2288" s="368"/>
      <c r="N2288" s="368"/>
      <c r="O2288" s="370"/>
      <c r="T2288" s="340"/>
      <c r="V2288" s="378"/>
      <c r="W2288" s="64" ph="1"/>
      <c r="X2288" s="241"/>
      <c r="Y2288" s="284"/>
      <c r="Z2288" s="207"/>
      <c r="AA2288" s="284"/>
      <c r="AB2288" s="284"/>
      <c r="AC2288" s="284"/>
      <c r="AD2288" s="284"/>
      <c r="AE2288" s="284"/>
      <c r="AF2288" s="284"/>
      <c r="AG2288" s="284"/>
    </row>
    <row r="2289" spans="15:23" ht="26.4">
      <c r="O2289" s="370"/>
      <c r="W2289" s="64" ph="1"/>
    </row>
    <row r="2290" spans="15:23" ht="26.4">
      <c r="O2290" s="370"/>
      <c r="W2290" s="64" ph="1"/>
    </row>
    <row r="2291" spans="15:23" ht="26.4">
      <c r="O2291" s="370"/>
      <c r="W2291" s="64" ph="1"/>
    </row>
    <row r="2292" spans="15:23" ht="26.4">
      <c r="O2292" s="370"/>
      <c r="W2292" s="64" ph="1"/>
    </row>
    <row r="2293" spans="15:23" ht="26.4">
      <c r="O2293" s="370"/>
      <c r="W2293" s="64" ph="1"/>
    </row>
    <row r="2294" spans="15:23" ht="26.4">
      <c r="O2294" s="370"/>
      <c r="W2294" s="64" ph="1"/>
    </row>
    <row r="2295" spans="15:23" ht="26.4">
      <c r="O2295" s="370"/>
      <c r="W2295" s="64" ph="1"/>
    </row>
    <row r="2296" spans="15:23" ht="26.4">
      <c r="O2296" s="370"/>
      <c r="W2296" s="64" ph="1"/>
    </row>
    <row r="2297" spans="15:23" ht="26.4">
      <c r="O2297" s="370"/>
      <c r="W2297" s="64" ph="1"/>
    </row>
    <row r="2298" spans="15:23" ht="26.4">
      <c r="O2298" s="370"/>
      <c r="W2298" s="64" ph="1"/>
    </row>
    <row r="2299" spans="15:23" ht="26.4">
      <c r="O2299" s="370"/>
      <c r="W2299" s="64" ph="1"/>
    </row>
    <row r="2300" spans="15:23" ht="26.4">
      <c r="O2300" s="370"/>
      <c r="W2300" s="64" ph="1"/>
    </row>
    <row r="2301" spans="15:23" ht="26.4">
      <c r="O2301" s="370"/>
      <c r="W2301" s="64" ph="1"/>
    </row>
    <row r="2302" spans="15:23" ht="26.4">
      <c r="O2302" s="370"/>
      <c r="W2302" s="64" ph="1"/>
    </row>
    <row r="2303" spans="15:23" ht="26.4">
      <c r="O2303" s="370"/>
      <c r="W2303" s="64" ph="1"/>
    </row>
    <row r="2304" spans="15:23" ht="26.4">
      <c r="O2304" s="370"/>
      <c r="W2304" s="64" ph="1"/>
    </row>
    <row r="2305" spans="15:23" ht="26.4">
      <c r="O2305" s="370"/>
      <c r="W2305" s="64" ph="1"/>
    </row>
    <row r="2306" spans="15:23" ht="26.4">
      <c r="W2306" s="64" ph="1"/>
    </row>
    <row r="2307" spans="15:23" ht="26.4">
      <c r="W2307" s="64" ph="1"/>
    </row>
    <row r="2308" spans="15:23" ht="26.4">
      <c r="W2308" s="64" ph="1"/>
    </row>
    <row r="2309" spans="15:23" ht="26.4">
      <c r="W2309" s="64" ph="1"/>
    </row>
    <row r="2310" spans="15:23" ht="26.4">
      <c r="W2310" s="64" ph="1"/>
    </row>
    <row r="2311" spans="15:23" ht="26.4">
      <c r="W2311" s="64" ph="1"/>
    </row>
    <row r="2312" spans="15:23" ht="26.4">
      <c r="W2312" s="64" ph="1"/>
    </row>
    <row r="2313" spans="15:23" ht="26.4">
      <c r="W2313" s="64" ph="1"/>
    </row>
    <row r="2314" spans="15:23" ht="26.4">
      <c r="W2314" s="64" ph="1"/>
    </row>
    <row r="2315" spans="15:23" ht="26.4">
      <c r="W2315" s="64" ph="1"/>
    </row>
    <row r="2316" spans="15:23" ht="26.4">
      <c r="W2316" s="64" ph="1"/>
    </row>
    <row r="2317" spans="15:23" ht="26.4">
      <c r="W2317" s="64" ph="1"/>
    </row>
    <row r="2318" spans="15:23" ht="26.4">
      <c r="W2318" s="64" ph="1"/>
    </row>
    <row r="2319" spans="15:23" ht="26.4">
      <c r="W2319" s="64" ph="1"/>
    </row>
    <row r="2320" spans="15:23" ht="26.4">
      <c r="W2320" s="64" ph="1"/>
    </row>
    <row r="2321" spans="23:23" ht="26.4">
      <c r="W2321" s="64" ph="1"/>
    </row>
    <row r="2322" spans="23:23" ht="26.4">
      <c r="W2322" s="64" ph="1"/>
    </row>
    <row r="2323" spans="23:23" ht="26.4">
      <c r="W2323" s="64" ph="1"/>
    </row>
    <row r="2324" spans="23:23" ht="26.4">
      <c r="W2324" s="64" ph="1"/>
    </row>
    <row r="2325" spans="23:23" ht="26.4">
      <c r="W2325" s="64" ph="1"/>
    </row>
    <row r="2326" spans="23:23" ht="26.4">
      <c r="W2326" s="64" ph="1"/>
    </row>
    <row r="2327" spans="23:23" ht="26.4">
      <c r="W2327" s="64" ph="1"/>
    </row>
    <row r="2328" spans="23:23" ht="26.4">
      <c r="W2328" s="64" ph="1"/>
    </row>
    <row r="2329" spans="23:23" ht="26.4">
      <c r="W2329" s="64" ph="1"/>
    </row>
    <row r="2330" spans="23:23" ht="26.4">
      <c r="W2330" s="64" ph="1"/>
    </row>
    <row r="2331" spans="23:23" ht="26.4">
      <c r="W2331" s="64" ph="1"/>
    </row>
    <row r="2332" spans="23:23" ht="26.4">
      <c r="W2332" s="64" ph="1"/>
    </row>
    <row r="2333" spans="23:23" ht="26.4">
      <c r="W2333" s="64" ph="1"/>
    </row>
    <row r="2334" spans="23:23" ht="26.4">
      <c r="W2334" s="64" ph="1"/>
    </row>
    <row r="2335" spans="23:23" ht="26.4">
      <c r="W2335" s="64" ph="1"/>
    </row>
    <row r="2336" spans="23:23" ht="26.4">
      <c r="W2336" s="64" ph="1"/>
    </row>
    <row r="2337" spans="23:23" ht="26.4">
      <c r="W2337" s="64" ph="1"/>
    </row>
    <row r="2338" spans="23:23" ht="26.4">
      <c r="W2338" s="64" ph="1"/>
    </row>
    <row r="2339" spans="23:23" ht="26.4">
      <c r="W2339" s="64" ph="1"/>
    </row>
    <row r="2340" spans="23:23" ht="26.4">
      <c r="W2340" s="64" ph="1"/>
    </row>
    <row r="2341" spans="23:23" ht="26.4">
      <c r="W2341" s="64" ph="1"/>
    </row>
    <row r="2342" spans="23:23" ht="26.4">
      <c r="W2342" s="64" ph="1"/>
    </row>
    <row r="2343" spans="23:23" ht="26.4">
      <c r="W2343" s="64" ph="1"/>
    </row>
    <row r="2344" spans="23:23" ht="26.4">
      <c r="W2344" s="64" ph="1"/>
    </row>
    <row r="2345" spans="23:23" ht="26.4">
      <c r="W2345" s="64" ph="1"/>
    </row>
    <row r="2346" spans="23:23" ht="26.4">
      <c r="W2346" s="64" ph="1"/>
    </row>
    <row r="2347" spans="23:23" ht="26.4">
      <c r="W2347" s="64" ph="1"/>
    </row>
    <row r="2348" spans="23:23" ht="26.4">
      <c r="W2348" s="64" ph="1"/>
    </row>
    <row r="2349" spans="23:23" ht="26.4">
      <c r="W2349" s="64" ph="1"/>
    </row>
    <row r="2350" spans="23:23" ht="26.4">
      <c r="W2350" s="64" ph="1"/>
    </row>
    <row r="2351" spans="23:23" ht="26.4">
      <c r="W2351" s="64" ph="1"/>
    </row>
    <row r="2352" spans="23:23" ht="26.4">
      <c r="W2352" s="64" ph="1"/>
    </row>
    <row r="2353" spans="23:23" ht="26.4">
      <c r="W2353" s="64" ph="1"/>
    </row>
    <row r="2354" spans="23:23" ht="26.4">
      <c r="W2354" s="64" ph="1"/>
    </row>
    <row r="2355" spans="23:23" ht="26.4">
      <c r="W2355" s="64" ph="1"/>
    </row>
    <row r="2356" spans="23:23" ht="26.4">
      <c r="W2356" s="64" ph="1"/>
    </row>
    <row r="2357" spans="23:23" ht="26.4">
      <c r="W2357" s="64" ph="1"/>
    </row>
    <row r="2358" spans="23:23" ht="26.4">
      <c r="W2358" s="64" ph="1"/>
    </row>
    <row r="2359" spans="23:23" ht="26.4">
      <c r="W2359" s="64" ph="1"/>
    </row>
    <row r="2360" spans="23:23" ht="26.4">
      <c r="W2360" s="64" ph="1"/>
    </row>
    <row r="2361" spans="23:23" ht="26.4">
      <c r="W2361" s="64" ph="1"/>
    </row>
    <row r="2362" spans="23:23" ht="26.4">
      <c r="W2362" s="64" ph="1"/>
    </row>
    <row r="2363" spans="23:23" ht="26.4">
      <c r="W2363" s="64" ph="1"/>
    </row>
    <row r="2364" spans="23:23" ht="26.4">
      <c r="W2364" s="64" ph="1"/>
    </row>
    <row r="2365" spans="23:23" ht="26.4">
      <c r="W2365" s="64" ph="1"/>
    </row>
    <row r="2366" spans="23:23" ht="26.4">
      <c r="W2366" s="64" ph="1"/>
    </row>
    <row r="2367" spans="23:23" ht="26.4">
      <c r="W2367" s="64" ph="1"/>
    </row>
    <row r="2368" spans="23:23" ht="26.4">
      <c r="W2368" s="64" ph="1"/>
    </row>
    <row r="2369" spans="23:23" ht="26.4">
      <c r="W2369" s="64" ph="1"/>
    </row>
    <row r="2370" spans="23:23" ht="26.4">
      <c r="W2370" s="64" ph="1"/>
    </row>
    <row r="2371" spans="23:23" ht="26.4">
      <c r="W2371" s="64" ph="1"/>
    </row>
    <row r="2372" spans="23:23" ht="26.4">
      <c r="W2372" s="64" ph="1"/>
    </row>
    <row r="2373" spans="23:23" ht="26.4">
      <c r="W2373" s="64" ph="1"/>
    </row>
    <row r="2374" spans="23:23" ht="26.4">
      <c r="W2374" s="64" ph="1"/>
    </row>
    <row r="2375" spans="23:23" ht="26.4">
      <c r="W2375" s="64" ph="1"/>
    </row>
    <row r="2376" spans="23:23" ht="26.4">
      <c r="W2376" s="64" ph="1"/>
    </row>
    <row r="2377" spans="23:23" ht="26.4">
      <c r="W2377" s="64" ph="1"/>
    </row>
    <row r="2378" spans="23:23" ht="26.4">
      <c r="W2378" s="64" ph="1"/>
    </row>
    <row r="2379" spans="23:23" ht="26.4">
      <c r="W2379" s="64" ph="1"/>
    </row>
    <row r="2380" spans="23:23" ht="26.4">
      <c r="W2380" s="64" ph="1"/>
    </row>
    <row r="2381" spans="23:23" ht="26.4">
      <c r="W2381" s="64" ph="1"/>
    </row>
    <row r="2382" spans="23:23" ht="26.4">
      <c r="W2382" s="64" ph="1"/>
    </row>
    <row r="2383" spans="23:23" ht="26.4">
      <c r="W2383" s="64" ph="1"/>
    </row>
    <row r="2384" spans="23:23" ht="26.4">
      <c r="W2384" s="64" ph="1"/>
    </row>
    <row r="2385" spans="23:23" ht="26.4">
      <c r="W2385" s="64" ph="1"/>
    </row>
    <row r="2386" spans="23:23" ht="26.4">
      <c r="W2386" s="64" ph="1"/>
    </row>
    <row r="2387" spans="23:23" ht="26.4">
      <c r="W2387" s="64" ph="1"/>
    </row>
    <row r="2388" spans="23:23" ht="26.4">
      <c r="W2388" s="64" ph="1"/>
    </row>
    <row r="2389" spans="23:23" ht="26.4">
      <c r="W2389" s="64" ph="1"/>
    </row>
    <row r="2390" spans="23:23" ht="26.4">
      <c r="W2390" s="64" ph="1"/>
    </row>
    <row r="2391" spans="23:23" ht="26.4">
      <c r="W2391" s="64" ph="1"/>
    </row>
    <row r="2392" spans="23:23" ht="26.4">
      <c r="W2392" s="64" ph="1"/>
    </row>
    <row r="2393" spans="23:23" ht="26.4">
      <c r="W2393" s="64" ph="1"/>
    </row>
    <row r="2394" spans="23:23" ht="26.4">
      <c r="W2394" s="64" ph="1"/>
    </row>
    <row r="2395" spans="23:23" ht="26.4">
      <c r="W2395" s="64" ph="1"/>
    </row>
    <row r="2396" spans="23:23" ht="26.4">
      <c r="W2396" s="64" ph="1"/>
    </row>
    <row r="2397" spans="23:23" ht="26.4">
      <c r="W2397" s="64" ph="1"/>
    </row>
    <row r="2398" spans="23:23" ht="26.4">
      <c r="W2398" s="64" ph="1"/>
    </row>
    <row r="2399" spans="23:23" ht="26.4">
      <c r="W2399" s="64" ph="1"/>
    </row>
    <row r="2400" spans="23:23" ht="26.4">
      <c r="W2400" s="64" ph="1"/>
    </row>
    <row r="2401" spans="23:23" ht="26.4">
      <c r="W2401" s="64" ph="1"/>
    </row>
    <row r="2402" spans="23:23" ht="26.4">
      <c r="W2402" s="64" ph="1"/>
    </row>
    <row r="2403" spans="23:23" ht="26.4">
      <c r="W2403" s="64" ph="1"/>
    </row>
    <row r="2404" spans="23:23" ht="26.4">
      <c r="W2404" s="64" ph="1"/>
    </row>
    <row r="2405" spans="23:23" ht="26.4">
      <c r="W2405" s="64" ph="1"/>
    </row>
    <row r="2406" spans="23:23" ht="26.4">
      <c r="W2406" s="64" ph="1"/>
    </row>
    <row r="2407" spans="23:23" ht="26.4">
      <c r="W2407" s="64" ph="1"/>
    </row>
    <row r="2408" spans="23:23" ht="26.4">
      <c r="W2408" s="64" ph="1"/>
    </row>
    <row r="2409" spans="23:23" ht="26.4">
      <c r="W2409" s="64" ph="1"/>
    </row>
    <row r="2410" spans="23:23" ht="26.4">
      <c r="W2410" s="64" ph="1"/>
    </row>
    <row r="2411" spans="23:23" ht="26.4">
      <c r="W2411" s="64" ph="1"/>
    </row>
    <row r="2412" spans="23:23" ht="26.4">
      <c r="W2412" s="64" ph="1"/>
    </row>
    <row r="2413" spans="23:23" ht="26.4">
      <c r="W2413" s="64" ph="1"/>
    </row>
    <row r="2414" spans="23:23" ht="26.4">
      <c r="W2414" s="64" ph="1"/>
    </row>
    <row r="2415" spans="23:23" ht="26.4">
      <c r="W2415" s="64" ph="1"/>
    </row>
    <row r="2416" spans="23:23" ht="26.4">
      <c r="W2416" s="64" ph="1"/>
    </row>
    <row r="2417" spans="23:23" ht="26.4">
      <c r="W2417" s="64" ph="1"/>
    </row>
    <row r="2418" spans="23:23" ht="26.4">
      <c r="W2418" s="64" ph="1"/>
    </row>
    <row r="2419" spans="23:23" ht="26.4">
      <c r="W2419" s="64" ph="1"/>
    </row>
    <row r="2420" spans="23:23" ht="26.4">
      <c r="W2420" s="64" ph="1"/>
    </row>
    <row r="2421" spans="23:23" ht="26.4">
      <c r="W2421" s="64" ph="1"/>
    </row>
    <row r="2422" spans="23:23" ht="26.4">
      <c r="W2422" s="64" ph="1"/>
    </row>
    <row r="2423" spans="23:23" ht="26.4">
      <c r="W2423" s="64" ph="1"/>
    </row>
    <row r="2424" spans="23:23" ht="26.4">
      <c r="W2424" s="64" ph="1"/>
    </row>
    <row r="2425" spans="23:23" ht="26.4">
      <c r="W2425" s="64" ph="1"/>
    </row>
    <row r="2426" spans="23:23" ht="26.4">
      <c r="W2426" s="64" ph="1"/>
    </row>
    <row r="2427" spans="23:23" ht="26.4">
      <c r="W2427" s="64" ph="1"/>
    </row>
    <row r="2428" spans="23:23" ht="26.4">
      <c r="W2428" s="64" ph="1"/>
    </row>
    <row r="2429" spans="23:23" ht="26.4">
      <c r="W2429" s="64" ph="1"/>
    </row>
    <row r="2430" spans="23:23" ht="26.4">
      <c r="W2430" s="64" ph="1"/>
    </row>
    <row r="2431" spans="23:23" ht="26.4">
      <c r="W2431" s="64" ph="1"/>
    </row>
    <row r="2432" spans="23:23" ht="26.4">
      <c r="W2432" s="64" ph="1"/>
    </row>
    <row r="2433" spans="23:23" ht="26.4">
      <c r="W2433" s="64" ph="1"/>
    </row>
    <row r="2434" spans="23:23" ht="26.4">
      <c r="W2434" s="64" ph="1"/>
    </row>
    <row r="2435" spans="23:23" ht="26.4">
      <c r="W2435" s="64" ph="1"/>
    </row>
    <row r="2436" spans="23:23" ht="26.4">
      <c r="W2436" s="64" ph="1"/>
    </row>
    <row r="2437" spans="23:23" ht="26.4">
      <c r="W2437" s="64" ph="1"/>
    </row>
    <row r="2438" spans="23:23" ht="26.4">
      <c r="W2438" s="64" ph="1"/>
    </row>
    <row r="2439" spans="23:23" ht="26.4">
      <c r="W2439" s="64" ph="1"/>
    </row>
    <row r="2440" spans="23:23" ht="26.4">
      <c r="W2440" s="64" ph="1"/>
    </row>
    <row r="2441" spans="23:23" ht="26.4">
      <c r="W2441" s="64" ph="1"/>
    </row>
    <row r="2442" spans="23:23" ht="26.4">
      <c r="W2442" s="64" ph="1"/>
    </row>
    <row r="2443" spans="23:23" ht="26.4">
      <c r="W2443" s="64" ph="1"/>
    </row>
    <row r="2444" spans="23:23" ht="26.4">
      <c r="W2444" s="64" ph="1"/>
    </row>
    <row r="2445" spans="23:23" ht="26.4">
      <c r="W2445" s="64" ph="1"/>
    </row>
    <row r="2446" spans="23:23" ht="26.4">
      <c r="W2446" s="64" ph="1"/>
    </row>
    <row r="2447" spans="23:23" ht="26.4">
      <c r="W2447" s="64" ph="1"/>
    </row>
    <row r="2448" spans="23:23" ht="26.4">
      <c r="W2448" s="64" ph="1"/>
    </row>
    <row r="2449" spans="23:23" ht="26.4">
      <c r="W2449" s="64" ph="1"/>
    </row>
    <row r="2450" spans="23:23" ht="26.4">
      <c r="W2450" s="64" ph="1"/>
    </row>
    <row r="2451" spans="23:23" ht="26.4">
      <c r="W2451" s="64" ph="1"/>
    </row>
    <row r="2452" spans="23:23" ht="26.4">
      <c r="W2452" s="64" ph="1"/>
    </row>
    <row r="2453" spans="23:23" ht="26.4">
      <c r="W2453" s="64" ph="1"/>
    </row>
    <row r="2454" spans="23:23" ht="26.4">
      <c r="W2454" s="64" ph="1"/>
    </row>
    <row r="2455" spans="23:23" ht="26.4">
      <c r="W2455" s="64" ph="1"/>
    </row>
    <row r="2456" spans="23:23" ht="26.4">
      <c r="W2456" s="64" ph="1"/>
    </row>
    <row r="2457" spans="23:23" ht="26.4">
      <c r="W2457" s="64" ph="1"/>
    </row>
    <row r="2458" spans="23:23" ht="26.4">
      <c r="W2458" s="64" ph="1"/>
    </row>
    <row r="2459" spans="23:23" ht="26.4">
      <c r="W2459" s="64" ph="1"/>
    </row>
    <row r="2460" spans="23:23" ht="26.4">
      <c r="W2460" s="64" ph="1"/>
    </row>
    <row r="2461" spans="23:23" ht="26.4">
      <c r="W2461" s="64" ph="1"/>
    </row>
    <row r="2462" spans="23:23" ht="26.4">
      <c r="W2462" s="64" ph="1"/>
    </row>
    <row r="2463" spans="23:23" ht="26.4">
      <c r="W2463" s="64" ph="1"/>
    </row>
    <row r="2464" spans="23:23" ht="26.4">
      <c r="W2464" s="64" ph="1"/>
    </row>
    <row r="2465" spans="23:23" ht="26.4">
      <c r="W2465" s="64" ph="1"/>
    </row>
    <row r="2466" spans="23:23" ht="26.4">
      <c r="W2466" s="64" ph="1"/>
    </row>
    <row r="2467" spans="23:23" ht="26.4">
      <c r="W2467" s="64" ph="1"/>
    </row>
    <row r="2468" spans="23:23" ht="26.4">
      <c r="W2468" s="64" ph="1"/>
    </row>
    <row r="2469" spans="23:23" ht="26.4">
      <c r="W2469" s="64" ph="1"/>
    </row>
    <row r="2470" spans="23:23" ht="26.4">
      <c r="W2470" s="64" ph="1"/>
    </row>
    <row r="2471" spans="23:23" ht="26.4">
      <c r="W2471" s="64" ph="1"/>
    </row>
    <row r="2472" spans="23:23" ht="26.4">
      <c r="W2472" s="64" ph="1"/>
    </row>
    <row r="2473" spans="23:23" ht="26.4">
      <c r="W2473" s="64" ph="1"/>
    </row>
    <row r="2474" spans="23:23" ht="26.4">
      <c r="W2474" s="64" ph="1"/>
    </row>
    <row r="2475" spans="23:23" ht="26.4">
      <c r="W2475" s="64" ph="1"/>
    </row>
    <row r="2476" spans="23:23" ht="26.4">
      <c r="W2476" s="64" ph="1"/>
    </row>
    <row r="2477" spans="23:23" ht="26.4">
      <c r="W2477" s="64" ph="1"/>
    </row>
    <row r="2478" spans="23:23" ht="26.4">
      <c r="W2478" s="64" ph="1"/>
    </row>
    <row r="2479" spans="23:23" ht="26.4">
      <c r="W2479" s="64" ph="1"/>
    </row>
    <row r="2480" spans="23:23" ht="26.4">
      <c r="W2480" s="64" ph="1"/>
    </row>
    <row r="2481" spans="23:23" ht="26.4">
      <c r="W2481" s="64" ph="1"/>
    </row>
    <row r="2482" spans="23:23" ht="26.4">
      <c r="W2482" s="64" ph="1"/>
    </row>
    <row r="2483" spans="23:23" ht="26.4">
      <c r="W2483" s="64" ph="1"/>
    </row>
    <row r="2484" spans="23:23" ht="26.4">
      <c r="W2484" s="64" ph="1"/>
    </row>
    <row r="2485" spans="23:23" ht="26.4">
      <c r="W2485" s="64" ph="1"/>
    </row>
    <row r="2486" spans="23:23" ht="26.4">
      <c r="W2486" s="64" ph="1"/>
    </row>
    <row r="2487" spans="23:23" ht="26.4">
      <c r="W2487" s="64" ph="1"/>
    </row>
    <row r="2488" spans="23:23" ht="26.4">
      <c r="W2488" s="64" ph="1"/>
    </row>
    <row r="2489" spans="23:23" ht="26.4">
      <c r="W2489" s="64" ph="1"/>
    </row>
    <row r="2490" spans="23:23" ht="26.4">
      <c r="W2490" s="64" ph="1"/>
    </row>
    <row r="2491" spans="23:23" ht="26.4">
      <c r="W2491" s="64" ph="1"/>
    </row>
    <row r="2492" spans="23:23" ht="26.4">
      <c r="W2492" s="64" ph="1"/>
    </row>
    <row r="2493" spans="23:23" ht="26.4">
      <c r="W2493" s="64" ph="1"/>
    </row>
    <row r="2494" spans="23:23" ht="26.4">
      <c r="W2494" s="64" ph="1"/>
    </row>
    <row r="2495" spans="23:23" ht="26.4">
      <c r="W2495" s="64" ph="1"/>
    </row>
    <row r="2496" spans="23:23" ht="26.4">
      <c r="W2496" s="64" ph="1"/>
    </row>
    <row r="2497" spans="23:23" ht="26.4">
      <c r="W2497" s="64" ph="1"/>
    </row>
    <row r="2498" spans="23:23" ht="26.4">
      <c r="W2498" s="64" ph="1"/>
    </row>
    <row r="2499" spans="23:23" ht="26.4">
      <c r="W2499" s="64" ph="1"/>
    </row>
    <row r="2500" spans="23:23" ht="26.4">
      <c r="W2500" s="64" ph="1"/>
    </row>
    <row r="2501" spans="23:23" ht="26.4">
      <c r="W2501" s="64" ph="1"/>
    </row>
    <row r="2502" spans="23:23" ht="26.4">
      <c r="W2502" s="64" ph="1"/>
    </row>
    <row r="2503" spans="23:23" ht="26.4">
      <c r="W2503" s="64" ph="1"/>
    </row>
    <row r="2504" spans="23:23" ht="26.4">
      <c r="W2504" s="64" ph="1"/>
    </row>
    <row r="2505" spans="23:23" ht="26.4">
      <c r="W2505" s="64" ph="1"/>
    </row>
    <row r="2506" spans="23:23" ht="26.4">
      <c r="W2506" s="64" ph="1"/>
    </row>
    <row r="2507" spans="23:23" ht="26.4">
      <c r="W2507" s="64" ph="1"/>
    </row>
    <row r="2508" spans="23:23" ht="26.4">
      <c r="W2508" s="64" ph="1"/>
    </row>
    <row r="2509" spans="23:23" ht="26.4">
      <c r="W2509" s="64" ph="1"/>
    </row>
    <row r="2510" spans="23:23" ht="26.4">
      <c r="W2510" s="64" ph="1"/>
    </row>
    <row r="2511" spans="23:23" ht="26.4">
      <c r="W2511" s="64" ph="1"/>
    </row>
    <row r="2512" spans="23:23" ht="26.4">
      <c r="W2512" s="64" ph="1"/>
    </row>
    <row r="2513" spans="23:23" ht="26.4">
      <c r="W2513" s="64" ph="1"/>
    </row>
    <row r="2514" spans="23:23" ht="26.4">
      <c r="W2514" s="64" ph="1"/>
    </row>
    <row r="2515" spans="23:23" ht="26.4">
      <c r="W2515" s="64" ph="1"/>
    </row>
    <row r="2516" spans="23:23" ht="26.4">
      <c r="W2516" s="64" ph="1"/>
    </row>
    <row r="2517" spans="23:23" ht="26.4">
      <c r="W2517" s="64" ph="1"/>
    </row>
    <row r="2518" spans="23:23" ht="26.4">
      <c r="W2518" s="64" ph="1"/>
    </row>
    <row r="2519" spans="23:23" ht="26.4">
      <c r="W2519" s="64" ph="1"/>
    </row>
    <row r="2520" spans="23:23" ht="26.4">
      <c r="W2520" s="64" ph="1"/>
    </row>
    <row r="2521" spans="23:23" ht="26.4">
      <c r="W2521" s="64" ph="1"/>
    </row>
    <row r="2522" spans="23:23" ht="26.4">
      <c r="W2522" s="64" ph="1"/>
    </row>
    <row r="2523" spans="23:23" ht="26.4">
      <c r="W2523" s="64" ph="1"/>
    </row>
    <row r="2524" spans="23:23" ht="26.4">
      <c r="W2524" s="64" ph="1"/>
    </row>
    <row r="2525" spans="23:23" ht="26.4">
      <c r="W2525" s="64" ph="1"/>
    </row>
    <row r="2526" spans="23:23" ht="26.4">
      <c r="W2526" s="64" ph="1"/>
    </row>
    <row r="2527" spans="23:23" ht="26.4">
      <c r="W2527" s="64" ph="1"/>
    </row>
    <row r="2528" spans="23:23" ht="26.4">
      <c r="W2528" s="64" ph="1"/>
    </row>
    <row r="2529" spans="23:23" ht="26.4">
      <c r="W2529" s="64" ph="1"/>
    </row>
    <row r="2530" spans="23:23" ht="26.4">
      <c r="W2530" s="64" ph="1"/>
    </row>
    <row r="2531" spans="23:23" ht="26.4">
      <c r="W2531" s="64" ph="1"/>
    </row>
    <row r="2532" spans="23:23" ht="26.4">
      <c r="W2532" s="64" ph="1"/>
    </row>
    <row r="2533" spans="23:23" ht="26.4">
      <c r="W2533" s="64" ph="1"/>
    </row>
    <row r="2534" spans="23:23" ht="26.4">
      <c r="W2534" s="64" ph="1"/>
    </row>
    <row r="2535" spans="23:23" ht="26.4">
      <c r="W2535" s="64" ph="1"/>
    </row>
    <row r="2536" spans="23:23" ht="26.4">
      <c r="W2536" s="64" ph="1"/>
    </row>
    <row r="2537" spans="23:23" ht="26.4">
      <c r="W2537" s="64" ph="1"/>
    </row>
    <row r="2538" spans="23:23" ht="26.4">
      <c r="W2538" s="64" ph="1"/>
    </row>
    <row r="2539" spans="23:23" ht="26.4">
      <c r="W2539" s="64" ph="1"/>
    </row>
    <row r="2540" spans="23:23" ht="26.4">
      <c r="W2540" s="64" ph="1"/>
    </row>
    <row r="2541" spans="23:23" ht="26.4">
      <c r="W2541" s="64" ph="1"/>
    </row>
    <row r="2542" spans="23:23" ht="26.4">
      <c r="W2542" s="64" ph="1"/>
    </row>
    <row r="2543" spans="23:23" ht="26.4">
      <c r="W2543" s="64" ph="1"/>
    </row>
    <row r="2544" spans="23:23" ht="26.4">
      <c r="W2544" s="64" ph="1"/>
    </row>
    <row r="2545" spans="23:23" ht="26.4">
      <c r="W2545" s="64" ph="1"/>
    </row>
    <row r="2546" spans="23:23" ht="26.4">
      <c r="W2546" s="64" ph="1"/>
    </row>
    <row r="2547" spans="23:23" ht="26.4">
      <c r="W2547" s="64" ph="1"/>
    </row>
    <row r="2548" spans="23:23" ht="26.4">
      <c r="W2548" s="64" ph="1"/>
    </row>
    <row r="2549" spans="23:23" ht="26.4">
      <c r="W2549" s="64" ph="1"/>
    </row>
    <row r="2550" spans="23:23" ht="26.4">
      <c r="W2550" s="64" ph="1"/>
    </row>
    <row r="2551" spans="23:23" ht="26.4">
      <c r="W2551" s="64" ph="1"/>
    </row>
    <row r="2552" spans="23:23" ht="26.4">
      <c r="W2552" s="64" ph="1"/>
    </row>
    <row r="2553" spans="23:23" ht="26.4">
      <c r="W2553" s="64" ph="1"/>
    </row>
    <row r="2554" spans="23:23" ht="26.4">
      <c r="W2554" s="64" ph="1"/>
    </row>
    <row r="2555" spans="23:23" ht="26.4">
      <c r="W2555" s="64" ph="1"/>
    </row>
    <row r="2556" spans="23:23" ht="26.4">
      <c r="W2556" s="64" ph="1"/>
    </row>
    <row r="2557" spans="23:23" ht="26.4">
      <c r="W2557" s="64" ph="1"/>
    </row>
    <row r="2558" spans="23:23" ht="26.4">
      <c r="W2558" s="64" ph="1"/>
    </row>
    <row r="2559" spans="23:23" ht="26.4">
      <c r="W2559" s="64" ph="1"/>
    </row>
    <row r="2560" spans="23:23" ht="26.4">
      <c r="W2560" s="64" ph="1"/>
    </row>
    <row r="2561" spans="23:23" ht="26.4">
      <c r="W2561" s="64" ph="1"/>
    </row>
    <row r="2562" spans="23:23" ht="26.4">
      <c r="W2562" s="64" ph="1"/>
    </row>
    <row r="2563" spans="23:23" ht="26.4">
      <c r="W2563" s="64" ph="1"/>
    </row>
    <row r="2564" spans="23:23" ht="26.4">
      <c r="W2564" s="64" ph="1"/>
    </row>
    <row r="2565" spans="23:23" ht="26.4">
      <c r="W2565" s="64" ph="1"/>
    </row>
    <row r="2566" spans="23:23" ht="26.4">
      <c r="W2566" s="64" ph="1"/>
    </row>
    <row r="2567" spans="23:23" ht="26.4">
      <c r="W2567" s="64" ph="1"/>
    </row>
    <row r="2568" spans="23:23" ht="26.4">
      <c r="W2568" s="64" ph="1"/>
    </row>
    <row r="2569" spans="23:23" ht="26.4">
      <c r="W2569" s="64" ph="1"/>
    </row>
    <row r="2570" spans="23:23" ht="26.4">
      <c r="W2570" s="64" ph="1"/>
    </row>
    <row r="2571" spans="23:23" ht="26.4">
      <c r="W2571" s="64" ph="1"/>
    </row>
    <row r="2572" spans="23:23" ht="26.4">
      <c r="W2572" s="64" ph="1"/>
    </row>
    <row r="2573" spans="23:23" ht="26.4">
      <c r="W2573" s="64" ph="1"/>
    </row>
    <row r="2574" spans="23:23" ht="26.4">
      <c r="W2574" s="64" ph="1"/>
    </row>
    <row r="2575" spans="23:23" ht="26.4">
      <c r="W2575" s="64" ph="1"/>
    </row>
    <row r="2576" spans="23:23" ht="26.4">
      <c r="W2576" s="64" ph="1"/>
    </row>
    <row r="2577" spans="23:23" ht="26.4">
      <c r="W2577" s="64" ph="1"/>
    </row>
    <row r="2578" spans="23:23" ht="26.4">
      <c r="W2578" s="64" ph="1"/>
    </row>
    <row r="2579" spans="23:23" ht="26.4">
      <c r="W2579" s="64" ph="1"/>
    </row>
    <row r="2580" spans="23:23" ht="26.4">
      <c r="W2580" s="64" ph="1"/>
    </row>
    <row r="2581" spans="23:23" ht="26.4">
      <c r="W2581" s="64" ph="1"/>
    </row>
    <row r="2582" spans="23:23" ht="26.4">
      <c r="W2582" s="64" ph="1"/>
    </row>
    <row r="2583" spans="23:23" ht="26.4">
      <c r="W2583" s="64" ph="1"/>
    </row>
    <row r="2584" spans="23:23" ht="26.4">
      <c r="W2584" s="64" ph="1"/>
    </row>
    <row r="2585" spans="23:23" ht="26.4">
      <c r="W2585" s="64" ph="1"/>
    </row>
    <row r="2586" spans="23:23" ht="26.4">
      <c r="W2586" s="64" ph="1"/>
    </row>
    <row r="2587" spans="23:23" ht="26.4">
      <c r="W2587" s="64" ph="1"/>
    </row>
    <row r="2588" spans="23:23" ht="26.4">
      <c r="W2588" s="64" ph="1"/>
    </row>
    <row r="2589" spans="23:23" ht="26.4">
      <c r="W2589" s="64" ph="1"/>
    </row>
    <row r="2590" spans="23:23" ht="26.4">
      <c r="W2590" s="64" ph="1"/>
    </row>
    <row r="2591" spans="23:23" ht="26.4">
      <c r="W2591" s="64" ph="1"/>
    </row>
    <row r="2592" spans="23:23" ht="26.4">
      <c r="W2592" s="64" ph="1"/>
    </row>
    <row r="2593" spans="23:23" ht="26.4">
      <c r="W2593" s="64" ph="1"/>
    </row>
    <row r="2594" spans="23:23" ht="26.4">
      <c r="W2594" s="64" ph="1"/>
    </row>
    <row r="2595" spans="23:23" ht="26.4">
      <c r="W2595" s="64" ph="1"/>
    </row>
    <row r="2596" spans="23:23" ht="26.4">
      <c r="W2596" s="64" ph="1"/>
    </row>
    <row r="2597" spans="23:23" ht="26.4">
      <c r="W2597" s="64" ph="1"/>
    </row>
    <row r="2598" spans="23:23" ht="26.4">
      <c r="W2598" s="64" ph="1"/>
    </row>
    <row r="2599" spans="23:23" ht="26.4">
      <c r="W2599" s="64" ph="1"/>
    </row>
    <row r="2600" spans="23:23" ht="26.4">
      <c r="W2600" s="64" ph="1"/>
    </row>
    <row r="2601" spans="23:23" ht="26.4">
      <c r="W2601" s="64" ph="1"/>
    </row>
    <row r="2602" spans="23:23" ht="26.4">
      <c r="W2602" s="64" ph="1"/>
    </row>
    <row r="2603" spans="23:23" ht="26.4">
      <c r="W2603" s="64" ph="1"/>
    </row>
    <row r="2604" spans="23:23" ht="26.4">
      <c r="W2604" s="64" ph="1"/>
    </row>
    <row r="2605" spans="23:23" ht="26.4">
      <c r="W2605" s="64" ph="1"/>
    </row>
    <row r="2606" spans="23:23" ht="26.4">
      <c r="W2606" s="64" ph="1"/>
    </row>
    <row r="2607" spans="23:23" ht="26.4">
      <c r="W2607" s="64" ph="1"/>
    </row>
    <row r="2608" spans="23:23" ht="26.4">
      <c r="W2608" s="64" ph="1"/>
    </row>
    <row r="2609" spans="23:23" ht="26.4">
      <c r="W2609" s="64" ph="1"/>
    </row>
    <row r="2610" spans="23:23" ht="26.4">
      <c r="W2610" s="64" ph="1"/>
    </row>
    <row r="2611" spans="23:23" ht="26.4">
      <c r="W2611" s="64" ph="1"/>
    </row>
    <row r="2612" spans="23:23" ht="26.4">
      <c r="W2612" s="64" ph="1"/>
    </row>
    <row r="2613" spans="23:23" ht="26.4">
      <c r="W2613" s="64" ph="1"/>
    </row>
    <row r="2614" spans="23:23" ht="26.4">
      <c r="W2614" s="64" ph="1"/>
    </row>
    <row r="2615" spans="23:23" ht="26.4">
      <c r="W2615" s="64" ph="1"/>
    </row>
    <row r="2616" spans="23:23" ht="26.4">
      <c r="W2616" s="64" ph="1"/>
    </row>
    <row r="2617" spans="23:23" ht="26.4">
      <c r="W2617" s="64" ph="1"/>
    </row>
    <row r="2618" spans="23:23" ht="26.4">
      <c r="W2618" s="64" ph="1"/>
    </row>
    <row r="2619" spans="23:23" ht="26.4">
      <c r="W2619" s="64" ph="1"/>
    </row>
    <row r="2620" spans="23:23" ht="26.4">
      <c r="W2620" s="64" ph="1"/>
    </row>
    <row r="2621" spans="23:23" ht="26.4">
      <c r="W2621" s="64" ph="1"/>
    </row>
    <row r="2622" spans="23:23" ht="26.4">
      <c r="W2622" s="64" ph="1"/>
    </row>
    <row r="2623" spans="23:23" ht="26.4">
      <c r="W2623" s="64" ph="1"/>
    </row>
    <row r="2624" spans="23:23" ht="26.4">
      <c r="W2624" s="64" ph="1"/>
    </row>
    <row r="2625" spans="23:23" ht="26.4">
      <c r="W2625" s="64" ph="1"/>
    </row>
    <row r="2626" spans="23:23" ht="26.4">
      <c r="W2626" s="64" ph="1"/>
    </row>
    <row r="2627" spans="23:23" ht="26.4">
      <c r="W2627" s="64" ph="1"/>
    </row>
    <row r="2628" spans="23:23" ht="26.4">
      <c r="W2628" s="64" ph="1"/>
    </row>
    <row r="2629" spans="23:23" ht="26.4">
      <c r="W2629" s="64" ph="1"/>
    </row>
    <row r="2630" spans="23:23" ht="26.4">
      <c r="W2630" s="64" ph="1"/>
    </row>
    <row r="2631" spans="23:23" ht="26.4">
      <c r="W2631" s="64" ph="1"/>
    </row>
    <row r="2632" spans="23:23" ht="26.4">
      <c r="W2632" s="64" ph="1"/>
    </row>
    <row r="2633" spans="23:23" ht="26.4">
      <c r="W2633" s="64" ph="1"/>
    </row>
    <row r="2634" spans="23:23" ht="26.4">
      <c r="W2634" s="64" ph="1"/>
    </row>
    <row r="2635" spans="23:23" ht="26.4">
      <c r="W2635" s="64" ph="1"/>
    </row>
    <row r="2636" spans="23:23" ht="26.4">
      <c r="W2636" s="64" ph="1"/>
    </row>
    <row r="2637" spans="23:23" ht="26.4">
      <c r="W2637" s="64" ph="1"/>
    </row>
    <row r="2638" spans="23:23" ht="26.4">
      <c r="W2638" s="64" ph="1"/>
    </row>
    <row r="2639" spans="23:23" ht="26.4">
      <c r="W2639" s="64" ph="1"/>
    </row>
    <row r="2640" spans="23:23" ht="26.4">
      <c r="W2640" s="64" ph="1"/>
    </row>
    <row r="2641" spans="23:23" ht="26.4">
      <c r="W2641" s="64" ph="1"/>
    </row>
    <row r="2642" spans="23:23" ht="26.4">
      <c r="W2642" s="64" ph="1"/>
    </row>
    <row r="2643" spans="23:23" ht="26.4">
      <c r="W2643" s="64" ph="1"/>
    </row>
    <row r="2644" spans="23:23" ht="26.4">
      <c r="W2644" s="64" ph="1"/>
    </row>
    <row r="2645" spans="23:23" ht="26.4">
      <c r="W2645" s="64" ph="1"/>
    </row>
    <row r="2646" spans="23:23" ht="26.4">
      <c r="W2646" s="64" ph="1"/>
    </row>
    <row r="2647" spans="23:23" ht="26.4">
      <c r="W2647" s="64" ph="1"/>
    </row>
    <row r="2648" spans="23:23" ht="26.4">
      <c r="W2648" s="64" ph="1"/>
    </row>
    <row r="2649" spans="23:23" ht="26.4">
      <c r="W2649" s="64" ph="1"/>
    </row>
    <row r="2650" spans="23:23" ht="26.4">
      <c r="W2650" s="64" ph="1"/>
    </row>
    <row r="2651" spans="23:23" ht="26.4">
      <c r="W2651" s="64" ph="1"/>
    </row>
    <row r="2652" spans="23:23" ht="26.4">
      <c r="W2652" s="64" ph="1"/>
    </row>
    <row r="2653" spans="23:23" ht="26.4">
      <c r="W2653" s="64" ph="1"/>
    </row>
    <row r="2654" spans="23:23" ht="26.4">
      <c r="W2654" s="64" ph="1"/>
    </row>
    <row r="2655" spans="23:23" ht="26.4">
      <c r="W2655" s="64" ph="1"/>
    </row>
    <row r="2656" spans="23:23" ht="26.4">
      <c r="W2656" s="64" ph="1"/>
    </row>
    <row r="2657" spans="23:23" ht="26.4">
      <c r="W2657" s="64" ph="1"/>
    </row>
    <row r="2658" spans="23:23" ht="26.4">
      <c r="W2658" s="64" ph="1"/>
    </row>
    <row r="2659" spans="23:23" ht="26.4">
      <c r="W2659" s="64" ph="1"/>
    </row>
    <row r="2660" spans="23:23" ht="26.4">
      <c r="W2660" s="64" ph="1"/>
    </row>
    <row r="2661" spans="23:23" ht="26.4">
      <c r="W2661" s="64" ph="1"/>
    </row>
    <row r="2662" spans="23:23" ht="26.4">
      <c r="W2662" s="64" ph="1"/>
    </row>
    <row r="2663" spans="23:23" ht="26.4">
      <c r="W2663" s="64" ph="1"/>
    </row>
    <row r="2664" spans="23:23" ht="26.4">
      <c r="W2664" s="64" ph="1"/>
    </row>
    <row r="2665" spans="23:23" ht="26.4">
      <c r="W2665" s="64" ph="1"/>
    </row>
    <row r="2666" spans="23:23" ht="26.4">
      <c r="W2666" s="64" ph="1"/>
    </row>
    <row r="2667" spans="23:23" ht="26.4">
      <c r="W2667" s="64" ph="1"/>
    </row>
    <row r="2668" spans="23:23" ht="26.4">
      <c r="W2668" s="64" ph="1"/>
    </row>
    <row r="2669" spans="23:23" ht="26.4">
      <c r="W2669" s="64" ph="1"/>
    </row>
    <row r="2670" spans="23:23" ht="26.4">
      <c r="W2670" s="64" ph="1"/>
    </row>
    <row r="2671" spans="23:23" ht="26.4">
      <c r="W2671" s="64" ph="1"/>
    </row>
    <row r="2672" spans="23:23" ht="26.4">
      <c r="W2672" s="64" ph="1"/>
    </row>
    <row r="2673" spans="23:23" ht="26.4">
      <c r="W2673" s="64" ph="1"/>
    </row>
    <row r="2674" spans="23:23" ht="26.4">
      <c r="W2674" s="64" ph="1"/>
    </row>
    <row r="2675" spans="23:23" ht="26.4">
      <c r="W2675" s="64" ph="1"/>
    </row>
    <row r="2676" spans="23:23" ht="26.4">
      <c r="W2676" s="64" ph="1"/>
    </row>
    <row r="2677" spans="23:23" ht="26.4">
      <c r="W2677" s="64" ph="1"/>
    </row>
    <row r="2678" spans="23:23" ht="26.4">
      <c r="W2678" s="64" ph="1"/>
    </row>
    <row r="2679" spans="23:23" ht="26.4">
      <c r="W2679" s="64" ph="1"/>
    </row>
    <row r="2680" spans="23:23" ht="26.4">
      <c r="W2680" s="64" ph="1"/>
    </row>
    <row r="2681" spans="23:23" ht="26.4">
      <c r="W2681" s="64" ph="1"/>
    </row>
    <row r="2682" spans="23:23" ht="26.4">
      <c r="W2682" s="64" ph="1"/>
    </row>
    <row r="2683" spans="23:23" ht="26.4">
      <c r="W2683" s="64" ph="1"/>
    </row>
    <row r="2684" spans="23:23" ht="26.4">
      <c r="W2684" s="64" ph="1"/>
    </row>
    <row r="2685" spans="23:23" ht="26.4">
      <c r="W2685" s="64" ph="1"/>
    </row>
    <row r="2686" spans="23:23" ht="26.4">
      <c r="W2686" s="64" ph="1"/>
    </row>
    <row r="2687" spans="23:23" ht="26.4">
      <c r="W2687" s="64" ph="1"/>
    </row>
    <row r="2688" spans="23:23" ht="26.4">
      <c r="W2688" s="64" ph="1"/>
    </row>
    <row r="2689" spans="23:23" ht="26.4">
      <c r="W2689" s="64" ph="1"/>
    </row>
    <row r="2690" spans="23:23" ht="26.4">
      <c r="W2690" s="64" ph="1"/>
    </row>
    <row r="2691" spans="23:23" ht="26.4">
      <c r="W2691" s="64" ph="1"/>
    </row>
    <row r="2692" spans="23:23" ht="26.4">
      <c r="W2692" s="64" ph="1"/>
    </row>
    <row r="2693" spans="23:23" ht="26.4">
      <c r="W2693" s="64" ph="1"/>
    </row>
    <row r="2694" spans="23:23" ht="26.4">
      <c r="W2694" s="64" ph="1"/>
    </row>
    <row r="2695" spans="23:23" ht="26.4">
      <c r="W2695" s="64" ph="1"/>
    </row>
    <row r="2696" spans="23:23" ht="26.4">
      <c r="W2696" s="64" ph="1"/>
    </row>
    <row r="2697" spans="23:23" ht="26.4">
      <c r="W2697" s="64" ph="1"/>
    </row>
    <row r="2698" spans="23:23" ht="26.4">
      <c r="W2698" s="64" ph="1"/>
    </row>
    <row r="2699" spans="23:23" ht="26.4">
      <c r="W2699" s="64" ph="1"/>
    </row>
    <row r="2700" spans="23:23" ht="26.4">
      <c r="W2700" s="64" ph="1"/>
    </row>
    <row r="2701" spans="23:23" ht="26.4">
      <c r="W2701" s="64" ph="1"/>
    </row>
    <row r="2702" spans="23:23" ht="26.4">
      <c r="W2702" s="64" ph="1"/>
    </row>
    <row r="2703" spans="23:23" ht="26.4">
      <c r="W2703" s="64" ph="1"/>
    </row>
    <row r="2704" spans="23:23" ht="26.4">
      <c r="W2704" s="64" ph="1"/>
    </row>
    <row r="2705" spans="23:23" ht="26.4">
      <c r="W2705" s="64" ph="1"/>
    </row>
    <row r="2706" spans="23:23" ht="26.4">
      <c r="W2706" s="64" ph="1"/>
    </row>
    <row r="2707" spans="23:23" ht="26.4">
      <c r="W2707" s="64" ph="1"/>
    </row>
    <row r="2708" spans="23:23" ht="26.4">
      <c r="W2708" s="64" ph="1"/>
    </row>
    <row r="2709" spans="23:23" ht="26.4">
      <c r="W2709" s="64" ph="1"/>
    </row>
    <row r="2710" spans="23:23" ht="26.4">
      <c r="W2710" s="64" ph="1"/>
    </row>
    <row r="2711" spans="23:23" ht="26.4">
      <c r="W2711" s="64" ph="1"/>
    </row>
    <row r="2712" spans="23:23" ht="26.4">
      <c r="W2712" s="64" ph="1"/>
    </row>
    <row r="2713" spans="23:23" ht="26.4">
      <c r="W2713" s="64" ph="1"/>
    </row>
    <row r="2714" spans="23:23" ht="26.4">
      <c r="W2714" s="64" ph="1"/>
    </row>
    <row r="2715" spans="23:23" ht="26.4">
      <c r="W2715" s="64" ph="1"/>
    </row>
    <row r="2716" spans="23:23" ht="26.4">
      <c r="W2716" s="64" ph="1"/>
    </row>
    <row r="2717" spans="23:23" ht="26.4">
      <c r="W2717" s="64" ph="1"/>
    </row>
    <row r="2718" spans="23:23" ht="26.4">
      <c r="W2718" s="64" ph="1"/>
    </row>
    <row r="2719" spans="23:23" ht="26.4">
      <c r="W2719" s="64" ph="1"/>
    </row>
    <row r="2720" spans="23:23" ht="26.4">
      <c r="W2720" s="64" ph="1"/>
    </row>
    <row r="2721" spans="23:23" ht="26.4">
      <c r="W2721" s="64" ph="1"/>
    </row>
    <row r="2722" spans="23:23" ht="26.4">
      <c r="W2722" s="64" ph="1"/>
    </row>
    <row r="2723" spans="23:23" ht="26.4">
      <c r="W2723" s="64" ph="1"/>
    </row>
    <row r="2724" spans="23:23" ht="26.4">
      <c r="W2724" s="64" ph="1"/>
    </row>
    <row r="2725" spans="23:23" ht="26.4">
      <c r="W2725" s="64" ph="1"/>
    </row>
    <row r="2726" spans="23:23" ht="26.4">
      <c r="W2726" s="64" ph="1"/>
    </row>
    <row r="2727" spans="23:23" ht="26.4">
      <c r="W2727" s="64" ph="1"/>
    </row>
    <row r="2728" spans="23:23" ht="26.4">
      <c r="W2728" s="64" ph="1"/>
    </row>
    <row r="2729" spans="23:23" ht="26.4">
      <c r="W2729" s="64" ph="1"/>
    </row>
    <row r="2730" spans="23:23" ht="26.4">
      <c r="W2730" s="64" ph="1"/>
    </row>
    <row r="2731" spans="23:23" ht="26.4">
      <c r="W2731" s="64" ph="1"/>
    </row>
    <row r="2732" spans="23:23" ht="26.4">
      <c r="W2732" s="64" ph="1"/>
    </row>
    <row r="2733" spans="23:23" ht="26.4">
      <c r="W2733" s="64" ph="1"/>
    </row>
    <row r="2734" spans="23:23" ht="26.4">
      <c r="W2734" s="64" ph="1"/>
    </row>
    <row r="2735" spans="23:23" ht="26.4">
      <c r="W2735" s="64" ph="1"/>
    </row>
    <row r="2736" spans="23:23" ht="26.4">
      <c r="W2736" s="64" ph="1"/>
    </row>
    <row r="2737" spans="23:23" ht="26.4">
      <c r="W2737" s="64" ph="1"/>
    </row>
    <row r="2738" spans="23:23" ht="26.4">
      <c r="W2738" s="64" ph="1"/>
    </row>
    <row r="2739" spans="23:23" ht="26.4">
      <c r="W2739" s="64" ph="1"/>
    </row>
    <row r="2740" spans="23:23" ht="26.4">
      <c r="W2740" s="64" ph="1"/>
    </row>
    <row r="2741" spans="23:23" ht="26.4">
      <c r="W2741" s="64" ph="1"/>
    </row>
    <row r="2742" spans="23:23" ht="26.4">
      <c r="W2742" s="64" ph="1"/>
    </row>
    <row r="2743" spans="23:23" ht="26.4">
      <c r="W2743" s="64" ph="1"/>
    </row>
    <row r="2744" spans="23:23" ht="26.4">
      <c r="W2744" s="64" ph="1"/>
    </row>
    <row r="2745" spans="23:23" ht="26.4">
      <c r="W2745" s="64" ph="1"/>
    </row>
    <row r="2746" spans="23:23" ht="26.4">
      <c r="W2746" s="64" ph="1"/>
    </row>
    <row r="2747" spans="23:23" ht="26.4">
      <c r="W2747" s="64" ph="1"/>
    </row>
    <row r="2748" spans="23:23" ht="26.4">
      <c r="W2748" s="64" ph="1"/>
    </row>
    <row r="2749" spans="23:23" ht="26.4">
      <c r="W2749" s="64" ph="1"/>
    </row>
    <row r="2750" spans="23:23" ht="26.4">
      <c r="W2750" s="64" ph="1"/>
    </row>
    <row r="2751" spans="23:23" ht="26.4">
      <c r="W2751" s="64" ph="1"/>
    </row>
    <row r="2752" spans="23:23" ht="26.4">
      <c r="W2752" s="64" ph="1"/>
    </row>
    <row r="2753" spans="23:23" ht="26.4">
      <c r="W2753" s="64" ph="1"/>
    </row>
    <row r="2754" spans="23:23" ht="26.4">
      <c r="W2754" s="64" ph="1"/>
    </row>
    <row r="2755" spans="23:23" ht="26.4">
      <c r="W2755" s="64" ph="1"/>
    </row>
    <row r="2756" spans="23:23" ht="26.4">
      <c r="W2756" s="64" ph="1"/>
    </row>
    <row r="2757" spans="23:23" ht="26.4">
      <c r="W2757" s="64" ph="1"/>
    </row>
    <row r="2758" spans="23:23" ht="26.4">
      <c r="W2758" s="64" ph="1"/>
    </row>
    <row r="2759" spans="23:23" ht="26.4">
      <c r="W2759" s="64" ph="1"/>
    </row>
    <row r="2760" spans="23:23" ht="26.4">
      <c r="W2760" s="64" ph="1"/>
    </row>
    <row r="2761" spans="23:23" ht="26.4">
      <c r="W2761" s="64" ph="1"/>
    </row>
    <row r="2762" spans="23:23" ht="26.4">
      <c r="W2762" s="64" ph="1"/>
    </row>
    <row r="2763" spans="23:23" ht="26.4">
      <c r="W2763" s="64" ph="1"/>
    </row>
    <row r="2764" spans="23:23" ht="26.4">
      <c r="W2764" s="64" ph="1"/>
    </row>
    <row r="2765" spans="23:23" ht="26.4">
      <c r="W2765" s="64" ph="1"/>
    </row>
    <row r="2766" spans="23:23" ht="26.4">
      <c r="W2766" s="64" ph="1"/>
    </row>
    <row r="2767" spans="23:23" ht="26.4">
      <c r="W2767" s="64" ph="1"/>
    </row>
    <row r="2768" spans="23:23" ht="26.4">
      <c r="W2768" s="64" ph="1"/>
    </row>
    <row r="2769" spans="23:23" ht="26.4">
      <c r="W2769" s="64" ph="1"/>
    </row>
    <row r="2770" spans="23:23" ht="26.4">
      <c r="W2770" s="64" ph="1"/>
    </row>
    <row r="2771" spans="23:23" ht="26.4">
      <c r="W2771" s="64" ph="1"/>
    </row>
    <row r="2772" spans="23:23" ht="26.4">
      <c r="W2772" s="64" ph="1"/>
    </row>
    <row r="2773" spans="23:23" ht="26.4">
      <c r="W2773" s="64" ph="1"/>
    </row>
    <row r="2774" spans="23:23" ht="26.4">
      <c r="W2774" s="64" ph="1"/>
    </row>
    <row r="2775" spans="23:23" ht="26.4">
      <c r="W2775" s="64" ph="1"/>
    </row>
    <row r="2776" spans="23:23" ht="26.4">
      <c r="W2776" s="64" ph="1"/>
    </row>
    <row r="2777" spans="23:23" ht="26.4">
      <c r="W2777" s="64" ph="1"/>
    </row>
    <row r="2778" spans="23:23" ht="26.4">
      <c r="W2778" s="64" ph="1"/>
    </row>
    <row r="2779" spans="23:23" ht="26.4">
      <c r="W2779" s="64" ph="1"/>
    </row>
    <row r="2780" spans="23:23" ht="26.4">
      <c r="W2780" s="64" ph="1"/>
    </row>
    <row r="2781" spans="23:23" ht="26.4">
      <c r="W2781" s="64" ph="1"/>
    </row>
    <row r="2782" spans="23:23" ht="26.4">
      <c r="W2782" s="64" ph="1"/>
    </row>
    <row r="2783" spans="23:23" ht="26.4">
      <c r="W2783" s="64" ph="1"/>
    </row>
    <row r="2784" spans="23:23" ht="26.4">
      <c r="W2784" s="64" ph="1"/>
    </row>
    <row r="2785" spans="23:23" ht="26.4">
      <c r="W2785" s="64" ph="1"/>
    </row>
    <row r="2786" spans="23:23" ht="26.4">
      <c r="W2786" s="64" ph="1"/>
    </row>
    <row r="2787" spans="23:23" ht="26.4">
      <c r="W2787" s="64" ph="1"/>
    </row>
    <row r="2788" spans="23:23" ht="26.4">
      <c r="W2788" s="64" ph="1"/>
    </row>
    <row r="2789" spans="23:23" ht="26.4">
      <c r="W2789" s="64" ph="1"/>
    </row>
    <row r="2790" spans="23:23" ht="26.4">
      <c r="W2790" s="64" ph="1"/>
    </row>
    <row r="2791" spans="23:23" ht="26.4">
      <c r="W2791" s="64" ph="1"/>
    </row>
    <row r="2792" spans="23:23" ht="26.4">
      <c r="W2792" s="64" ph="1"/>
    </row>
    <row r="2793" spans="23:23" ht="26.4">
      <c r="W2793" s="64" ph="1"/>
    </row>
    <row r="2794" spans="23:23" ht="26.4">
      <c r="W2794" s="64" ph="1"/>
    </row>
    <row r="2795" spans="23:23" ht="26.4">
      <c r="W2795" s="64" ph="1"/>
    </row>
    <row r="2796" spans="23:23" ht="26.4">
      <c r="W2796" s="64" ph="1"/>
    </row>
    <row r="2797" spans="23:23" ht="26.4">
      <c r="W2797" s="64" ph="1"/>
    </row>
    <row r="2798" spans="23:23" ht="26.4">
      <c r="W2798" s="64" ph="1"/>
    </row>
    <row r="2799" spans="23:23" ht="26.4">
      <c r="W2799" s="64" ph="1"/>
    </row>
    <row r="2800" spans="23:23" ht="26.4">
      <c r="W2800" s="64" ph="1"/>
    </row>
    <row r="2801" spans="23:23" ht="26.4">
      <c r="W2801" s="64" ph="1"/>
    </row>
    <row r="2802" spans="23:23" ht="26.4">
      <c r="W2802" s="64" ph="1"/>
    </row>
    <row r="2803" spans="23:23" ht="26.4">
      <c r="W2803" s="64" ph="1"/>
    </row>
    <row r="2804" spans="23:23" ht="26.4">
      <c r="W2804" s="64" ph="1"/>
    </row>
    <row r="2805" spans="23:23" ht="26.4">
      <c r="W2805" s="64" ph="1"/>
    </row>
    <row r="2806" spans="23:23" ht="26.4">
      <c r="W2806" s="64" ph="1"/>
    </row>
    <row r="2807" spans="23:23" ht="26.4">
      <c r="W2807" s="64" ph="1"/>
    </row>
    <row r="2808" spans="23:23" ht="26.4">
      <c r="W2808" s="64" ph="1"/>
    </row>
    <row r="2809" spans="23:23" ht="26.4">
      <c r="W2809" s="64" ph="1"/>
    </row>
    <row r="2810" spans="23:23" ht="26.4">
      <c r="W2810" s="64" ph="1"/>
    </row>
    <row r="2811" spans="23:23" ht="26.4">
      <c r="W2811" s="64" ph="1"/>
    </row>
    <row r="2812" spans="23:23" ht="26.4">
      <c r="W2812" s="64" ph="1"/>
    </row>
    <row r="2813" spans="23:23" ht="26.4">
      <c r="W2813" s="64" ph="1"/>
    </row>
    <row r="2814" spans="23:23" ht="26.4">
      <c r="W2814" s="64" ph="1"/>
    </row>
    <row r="2815" spans="23:23" ht="26.4">
      <c r="W2815" s="64" ph="1"/>
    </row>
    <row r="2816" spans="23:23" ht="26.4">
      <c r="W2816" s="64" ph="1"/>
    </row>
    <row r="2817" spans="23:23" ht="26.4">
      <c r="W2817" s="64" ph="1"/>
    </row>
    <row r="2818" spans="23:23" ht="26.4">
      <c r="W2818" s="64" ph="1"/>
    </row>
    <row r="2819" spans="23:23" ht="26.4">
      <c r="W2819" s="64" ph="1"/>
    </row>
    <row r="2820" spans="23:23" ht="26.4">
      <c r="W2820" s="64" ph="1"/>
    </row>
    <row r="2821" spans="23:23" ht="26.4">
      <c r="W2821" s="64" ph="1"/>
    </row>
    <row r="2822" spans="23:23" ht="26.4">
      <c r="W2822" s="64" ph="1"/>
    </row>
    <row r="2823" spans="23:23" ht="26.4">
      <c r="W2823" s="64" ph="1"/>
    </row>
    <row r="2824" spans="23:23" ht="26.4">
      <c r="W2824" s="64" ph="1"/>
    </row>
    <row r="2825" spans="23:23" ht="26.4">
      <c r="W2825" s="64" ph="1"/>
    </row>
    <row r="2826" spans="23:23" ht="26.4">
      <c r="W2826" s="64" ph="1"/>
    </row>
    <row r="2827" spans="23:23" ht="26.4">
      <c r="W2827" s="64" ph="1"/>
    </row>
    <row r="2828" spans="23:23" ht="26.4">
      <c r="W2828" s="64" ph="1"/>
    </row>
    <row r="2829" spans="23:23" ht="26.4">
      <c r="W2829" s="64" ph="1"/>
    </row>
    <row r="2830" spans="23:23" ht="26.4">
      <c r="W2830" s="64" ph="1"/>
    </row>
    <row r="2831" spans="23:23" ht="26.4">
      <c r="W2831" s="64" ph="1"/>
    </row>
    <row r="2832" spans="23:23" ht="26.4">
      <c r="W2832" s="64" ph="1"/>
    </row>
    <row r="2833" spans="23:23" ht="26.4">
      <c r="W2833" s="64" ph="1"/>
    </row>
    <row r="2834" spans="23:23" ht="26.4">
      <c r="W2834" s="64" ph="1"/>
    </row>
    <row r="2835" spans="23:23" ht="26.4">
      <c r="W2835" s="64" ph="1"/>
    </row>
    <row r="2836" spans="23:23" ht="26.4">
      <c r="W2836" s="64" ph="1"/>
    </row>
    <row r="2837" spans="23:23" ht="26.4">
      <c r="W2837" s="64" ph="1"/>
    </row>
    <row r="2838" spans="23:23" ht="26.4">
      <c r="W2838" s="64" ph="1"/>
    </row>
    <row r="2839" spans="23:23" ht="26.4">
      <c r="W2839" s="64" ph="1"/>
    </row>
    <row r="2840" spans="23:23" ht="26.4">
      <c r="W2840" s="64" ph="1"/>
    </row>
    <row r="2841" spans="23:23" ht="26.4">
      <c r="W2841" s="64" ph="1"/>
    </row>
    <row r="2842" spans="23:23" ht="26.4">
      <c r="W2842" s="64" ph="1"/>
    </row>
    <row r="2843" spans="23:23" ht="26.4">
      <c r="W2843" s="64" ph="1"/>
    </row>
    <row r="2844" spans="23:23" ht="26.4">
      <c r="W2844" s="64" ph="1"/>
    </row>
    <row r="2845" spans="23:23" ht="26.4">
      <c r="W2845" s="64" ph="1"/>
    </row>
    <row r="2846" spans="23:23" ht="26.4">
      <c r="W2846" s="64" ph="1"/>
    </row>
    <row r="2847" spans="23:23" ht="26.4">
      <c r="W2847" s="64" ph="1"/>
    </row>
    <row r="2848" spans="23:23" ht="26.4">
      <c r="W2848" s="64" ph="1"/>
    </row>
    <row r="2849" spans="23:23" ht="26.4">
      <c r="W2849" s="64" ph="1"/>
    </row>
    <row r="2850" spans="23:23" ht="26.4">
      <c r="W2850" s="64" ph="1"/>
    </row>
    <row r="2851" spans="23:23" ht="26.4">
      <c r="W2851" s="64" ph="1"/>
    </row>
    <row r="2852" spans="23:23" ht="26.4">
      <c r="W2852" s="64" ph="1"/>
    </row>
    <row r="2853" spans="23:23" ht="26.4">
      <c r="W2853" s="64" ph="1"/>
    </row>
    <row r="2854" spans="23:23" ht="26.4">
      <c r="W2854" s="64" ph="1"/>
    </row>
    <row r="2855" spans="23:23" ht="26.4">
      <c r="W2855" s="64" ph="1"/>
    </row>
    <row r="2856" spans="23:23" ht="26.4">
      <c r="W2856" s="64" ph="1"/>
    </row>
    <row r="2857" spans="23:23" ht="26.4">
      <c r="W2857" s="64" ph="1"/>
    </row>
    <row r="2858" spans="23:23" ht="26.4">
      <c r="W2858" s="64" ph="1"/>
    </row>
    <row r="2859" spans="23:23" ht="26.4">
      <c r="W2859" s="64" ph="1"/>
    </row>
    <row r="2860" spans="23:23" ht="26.4">
      <c r="W2860" s="64" ph="1"/>
    </row>
    <row r="2861" spans="23:23" ht="26.4">
      <c r="W2861" s="64" ph="1"/>
    </row>
    <row r="2862" spans="23:23" ht="26.4">
      <c r="W2862" s="64" ph="1"/>
    </row>
    <row r="2863" spans="23:23" ht="26.4">
      <c r="W2863" s="64" ph="1"/>
    </row>
    <row r="2864" spans="23:23" ht="26.4">
      <c r="W2864" s="64" ph="1"/>
    </row>
    <row r="2865" spans="23:23" ht="26.4">
      <c r="W2865" s="64" ph="1"/>
    </row>
    <row r="2866" spans="23:23" ht="26.4">
      <c r="W2866" s="64" ph="1"/>
    </row>
    <row r="2867" spans="23:23" ht="26.4">
      <c r="W2867" s="64" ph="1"/>
    </row>
    <row r="2868" spans="23:23" ht="26.4">
      <c r="W2868" s="64" ph="1"/>
    </row>
    <row r="2869" spans="23:23" ht="26.4">
      <c r="W2869" s="64" ph="1"/>
    </row>
    <row r="2870" spans="23:23" ht="26.4">
      <c r="W2870" s="64" ph="1"/>
    </row>
    <row r="2871" spans="23:23" ht="26.4">
      <c r="W2871" s="64" ph="1"/>
    </row>
    <row r="2872" spans="23:23" ht="26.4">
      <c r="W2872" s="64" ph="1"/>
    </row>
    <row r="2873" spans="23:23" ht="26.4">
      <c r="W2873" s="64" ph="1"/>
    </row>
    <row r="2874" spans="23:23" ht="26.4">
      <c r="W2874" s="64" ph="1"/>
    </row>
    <row r="2875" spans="23:23" ht="26.4">
      <c r="W2875" s="64" ph="1"/>
    </row>
    <row r="2876" spans="23:23" ht="26.4">
      <c r="W2876" s="64" ph="1"/>
    </row>
    <row r="2877" spans="23:23" ht="26.4">
      <c r="W2877" s="64" ph="1"/>
    </row>
    <row r="2878" spans="23:23" ht="26.4">
      <c r="W2878" s="64" ph="1"/>
    </row>
    <row r="2879" spans="23:23" ht="26.4">
      <c r="W2879" s="64" ph="1"/>
    </row>
    <row r="2880" spans="23:23" ht="26.4">
      <c r="W2880" s="64" ph="1"/>
    </row>
    <row r="2881" spans="23:23" ht="26.4">
      <c r="W2881" s="64" ph="1"/>
    </row>
    <row r="2882" spans="23:23" ht="26.4">
      <c r="W2882" s="64" ph="1"/>
    </row>
    <row r="2883" spans="23:23" ht="26.4">
      <c r="W2883" s="64" ph="1"/>
    </row>
    <row r="2884" spans="23:23" ht="26.4">
      <c r="W2884" s="64" ph="1"/>
    </row>
    <row r="2885" spans="23:23" ht="26.4">
      <c r="W2885" s="64" ph="1"/>
    </row>
    <row r="2886" spans="23:23" ht="26.4">
      <c r="W2886" s="64" ph="1"/>
    </row>
    <row r="2887" spans="23:23" ht="26.4">
      <c r="W2887" s="64" ph="1"/>
    </row>
    <row r="2888" spans="23:23" ht="26.4">
      <c r="W2888" s="64" ph="1"/>
    </row>
    <row r="2889" spans="23:23" ht="26.4">
      <c r="W2889" s="64" ph="1"/>
    </row>
    <row r="2890" spans="23:23" ht="26.4">
      <c r="W2890" s="64" ph="1"/>
    </row>
    <row r="2891" spans="23:23" ht="26.4">
      <c r="W2891" s="64" ph="1"/>
    </row>
    <row r="2892" spans="23:23" ht="26.4">
      <c r="W2892" s="64" ph="1"/>
    </row>
    <row r="2893" spans="23:23" ht="26.4">
      <c r="W2893" s="64" ph="1"/>
    </row>
    <row r="2894" spans="23:23" ht="26.4">
      <c r="W2894" s="64" ph="1"/>
    </row>
    <row r="2895" spans="23:23" ht="26.4">
      <c r="W2895" s="64" ph="1"/>
    </row>
    <row r="2896" spans="23:23" ht="26.4">
      <c r="W2896" s="64" ph="1"/>
    </row>
    <row r="2897" spans="23:23" ht="26.4">
      <c r="W2897" s="64" ph="1"/>
    </row>
    <row r="2898" spans="23:23" ht="26.4">
      <c r="W2898" s="64" ph="1"/>
    </row>
    <row r="2899" spans="23:23" ht="26.4">
      <c r="W2899" s="64" ph="1"/>
    </row>
    <row r="2900" spans="23:23" ht="26.4">
      <c r="W2900" s="64" ph="1"/>
    </row>
    <row r="2901" spans="23:23" ht="26.4">
      <c r="W2901" s="64" ph="1"/>
    </row>
    <row r="2902" spans="23:23" ht="26.4">
      <c r="W2902" s="64" ph="1"/>
    </row>
    <row r="2903" spans="23:23" ht="26.4">
      <c r="W2903" s="64" ph="1"/>
    </row>
    <row r="2904" spans="23:23" ht="26.4">
      <c r="W2904" s="64" ph="1"/>
    </row>
    <row r="2905" spans="23:23" ht="26.4">
      <c r="W2905" s="64" ph="1"/>
    </row>
    <row r="2906" spans="23:23" ht="26.4">
      <c r="W2906" s="64" ph="1"/>
    </row>
    <row r="2907" spans="23:23" ht="26.4">
      <c r="W2907" s="64" ph="1"/>
    </row>
    <row r="2908" spans="23:23" ht="26.4">
      <c r="W2908" s="64" ph="1"/>
    </row>
    <row r="2909" spans="23:23" ht="26.4">
      <c r="W2909" s="64" ph="1"/>
    </row>
    <row r="2910" spans="23:23" ht="26.4">
      <c r="W2910" s="64" ph="1"/>
    </row>
    <row r="2911" spans="23:23" ht="26.4">
      <c r="W2911" s="64" ph="1"/>
    </row>
    <row r="2912" spans="23:23" ht="26.4">
      <c r="W2912" s="64" ph="1"/>
    </row>
    <row r="2913" spans="23:23" ht="26.4">
      <c r="W2913" s="64" ph="1"/>
    </row>
    <row r="2914" spans="23:23" ht="26.4">
      <c r="W2914" s="64" ph="1"/>
    </row>
    <row r="2915" spans="23:23" ht="26.4">
      <c r="W2915" s="64" ph="1"/>
    </row>
    <row r="2916" spans="23:23" ht="26.4">
      <c r="W2916" s="64" ph="1"/>
    </row>
    <row r="2917" spans="23:23" ht="26.4">
      <c r="W2917" s="64" ph="1"/>
    </row>
    <row r="2918" spans="23:23" ht="26.4">
      <c r="W2918" s="64" ph="1"/>
    </row>
    <row r="2919" spans="23:23" ht="26.4">
      <c r="W2919" s="64" ph="1"/>
    </row>
    <row r="2920" spans="23:23" ht="26.4">
      <c r="W2920" s="64" ph="1"/>
    </row>
    <row r="2921" spans="23:23" ht="26.4">
      <c r="W2921" s="64" ph="1"/>
    </row>
    <row r="2922" spans="23:23" ht="26.4">
      <c r="W2922" s="64" ph="1"/>
    </row>
    <row r="2923" spans="23:23" ht="26.4">
      <c r="W2923" s="64" ph="1"/>
    </row>
    <row r="2924" spans="23:23" ht="26.4">
      <c r="W2924" s="64" ph="1"/>
    </row>
    <row r="2925" spans="23:23" ht="26.4">
      <c r="W2925" s="64" ph="1"/>
    </row>
    <row r="2926" spans="23:23" ht="26.4">
      <c r="W2926" s="64" ph="1"/>
    </row>
    <row r="2927" spans="23:23" ht="26.4">
      <c r="W2927" s="64" ph="1"/>
    </row>
    <row r="2928" spans="23:23" ht="26.4">
      <c r="W2928" s="64" ph="1"/>
    </row>
    <row r="2929" spans="23:23" ht="26.4">
      <c r="W2929" s="64" ph="1"/>
    </row>
    <row r="2930" spans="23:23" ht="26.4">
      <c r="W2930" s="64" ph="1"/>
    </row>
    <row r="2931" spans="23:23" ht="26.4">
      <c r="W2931" s="64" ph="1"/>
    </row>
    <row r="2932" spans="23:23" ht="26.4">
      <c r="W2932" s="64" ph="1"/>
    </row>
    <row r="2933" spans="23:23" ht="26.4">
      <c r="W2933" s="64" ph="1"/>
    </row>
    <row r="2934" spans="23:23" ht="26.4">
      <c r="W2934" s="64" ph="1"/>
    </row>
    <row r="2935" spans="23:23" ht="26.4">
      <c r="W2935" s="64" ph="1"/>
    </row>
    <row r="2936" spans="23:23" ht="26.4">
      <c r="W2936" s="64" ph="1"/>
    </row>
    <row r="2937" spans="23:23" ht="26.4">
      <c r="W2937" s="64" ph="1"/>
    </row>
    <row r="2938" spans="23:23" ht="26.4">
      <c r="W2938" s="64" ph="1"/>
    </row>
    <row r="2939" spans="23:23" ht="26.4">
      <c r="W2939" s="64" ph="1"/>
    </row>
    <row r="2940" spans="23:23" ht="26.4">
      <c r="W2940" s="64" ph="1"/>
    </row>
    <row r="2941" spans="23:23" ht="26.4">
      <c r="W2941" s="64" ph="1"/>
    </row>
    <row r="2942" spans="23:23" ht="26.4">
      <c r="W2942" s="64" ph="1"/>
    </row>
    <row r="2943" spans="23:23" ht="26.4">
      <c r="W2943" s="64" ph="1"/>
    </row>
    <row r="2944" spans="23:23" ht="26.4">
      <c r="W2944" s="64" ph="1"/>
    </row>
    <row r="2945" spans="23:23" ht="26.4">
      <c r="W2945" s="64" ph="1"/>
    </row>
    <row r="2946" spans="23:23" ht="26.4">
      <c r="W2946" s="64" ph="1"/>
    </row>
    <row r="2947" spans="23:23" ht="26.4">
      <c r="W2947" s="64" ph="1"/>
    </row>
    <row r="2948" spans="23:23" ht="26.4">
      <c r="W2948" s="64" ph="1"/>
    </row>
    <row r="2949" spans="23:23" ht="26.4">
      <c r="W2949" s="64" ph="1"/>
    </row>
    <row r="2950" spans="23:23" ht="26.4">
      <c r="W2950" s="64" ph="1"/>
    </row>
    <row r="2951" spans="23:23" ht="26.4">
      <c r="W2951" s="64" ph="1"/>
    </row>
    <row r="2952" spans="23:23" ht="26.4">
      <c r="W2952" s="64" ph="1"/>
    </row>
    <row r="2953" spans="23:23" ht="26.4">
      <c r="W2953" s="64" ph="1"/>
    </row>
    <row r="2954" spans="23:23" ht="26.4">
      <c r="W2954" s="64" ph="1"/>
    </row>
    <row r="2955" spans="23:23" ht="26.4">
      <c r="W2955" s="64" ph="1"/>
    </row>
    <row r="2956" spans="23:23" ht="26.4">
      <c r="W2956" s="64" ph="1"/>
    </row>
    <row r="2957" spans="23:23" ht="26.4">
      <c r="W2957" s="64" ph="1"/>
    </row>
    <row r="2958" spans="23:23" ht="26.4">
      <c r="W2958" s="64" ph="1"/>
    </row>
    <row r="2959" spans="23:23" ht="26.4">
      <c r="W2959" s="64" ph="1"/>
    </row>
    <row r="2960" spans="23:23" ht="26.4">
      <c r="W2960" s="64" ph="1"/>
    </row>
    <row r="2961" spans="23:23" ht="26.4">
      <c r="W2961" s="64" ph="1"/>
    </row>
    <row r="2962" spans="23:23" ht="26.4">
      <c r="W2962" s="64" ph="1"/>
    </row>
    <row r="2963" spans="23:23" ht="26.4">
      <c r="W2963" s="64" ph="1"/>
    </row>
    <row r="2964" spans="23:23" ht="26.4">
      <c r="W2964" s="64" ph="1"/>
    </row>
    <row r="2965" spans="23:23" ht="26.4">
      <c r="W2965" s="64" ph="1"/>
    </row>
    <row r="2966" spans="23:23" ht="26.4">
      <c r="W2966" s="64" ph="1"/>
    </row>
    <row r="2967" spans="23:23" ht="26.4">
      <c r="W2967" s="64" ph="1"/>
    </row>
    <row r="2968" spans="23:23" ht="26.4">
      <c r="W2968" s="64" ph="1"/>
    </row>
    <row r="2969" spans="23:23" ht="26.4">
      <c r="W2969" s="64" ph="1"/>
    </row>
    <row r="2970" spans="23:23" ht="26.4">
      <c r="W2970" s="64" ph="1"/>
    </row>
    <row r="2971" spans="23:23" ht="26.4">
      <c r="W2971" s="64" ph="1"/>
    </row>
    <row r="2972" spans="23:23" ht="26.4">
      <c r="W2972" s="64" ph="1"/>
    </row>
    <row r="2973" spans="23:23" ht="26.4">
      <c r="W2973" s="64" ph="1"/>
    </row>
    <row r="2974" spans="23:23" ht="26.4">
      <c r="W2974" s="64" ph="1"/>
    </row>
    <row r="2975" spans="23:23" ht="26.4">
      <c r="W2975" s="64" ph="1"/>
    </row>
    <row r="2976" spans="23:23" ht="26.4">
      <c r="W2976" s="64" ph="1"/>
    </row>
    <row r="2977" spans="23:23" ht="26.4">
      <c r="W2977" s="64" ph="1"/>
    </row>
    <row r="2978" spans="23:23" ht="26.4">
      <c r="W2978" s="64" ph="1"/>
    </row>
    <row r="2979" spans="23:23" ht="26.4">
      <c r="W2979" s="64" ph="1"/>
    </row>
    <row r="2980" spans="23:23" ht="26.4">
      <c r="W2980" s="64" ph="1"/>
    </row>
    <row r="2981" spans="23:23" ht="26.4">
      <c r="W2981" s="64" ph="1"/>
    </row>
    <row r="2982" spans="23:23" ht="26.4">
      <c r="W2982" s="64" ph="1"/>
    </row>
    <row r="2983" spans="23:23" ht="26.4">
      <c r="W2983" s="64" ph="1"/>
    </row>
    <row r="2984" spans="23:23" ht="26.4">
      <c r="W2984" s="64" ph="1"/>
    </row>
    <row r="2985" spans="23:23" ht="26.4">
      <c r="W2985" s="64" ph="1"/>
    </row>
    <row r="2986" spans="23:23" ht="26.4">
      <c r="W2986" s="64" ph="1"/>
    </row>
    <row r="2987" spans="23:23" ht="26.4">
      <c r="W2987" s="64" ph="1"/>
    </row>
    <row r="2988" spans="23:23" ht="26.4">
      <c r="W2988" s="64" ph="1"/>
    </row>
    <row r="2989" spans="23:23" ht="26.4">
      <c r="W2989" s="64" ph="1"/>
    </row>
    <row r="2990" spans="23:23" ht="26.4">
      <c r="W2990" s="64" ph="1"/>
    </row>
    <row r="2991" spans="23:23" ht="26.4">
      <c r="W2991" s="64" ph="1"/>
    </row>
    <row r="2992" spans="23:23" ht="26.4">
      <c r="W2992" s="64" ph="1"/>
    </row>
    <row r="2993" spans="23:23" ht="26.4">
      <c r="W2993" s="64" ph="1"/>
    </row>
    <row r="2994" spans="23:23" ht="26.4">
      <c r="W2994" s="64" ph="1"/>
    </row>
    <row r="2995" spans="23:23" ht="26.4">
      <c r="W2995" s="64" ph="1"/>
    </row>
    <row r="2996" spans="23:23" ht="26.4">
      <c r="W2996" s="64" ph="1"/>
    </row>
    <row r="2997" spans="23:23" ht="26.4">
      <c r="W2997" s="64" ph="1"/>
    </row>
    <row r="2998" spans="23:23" ht="26.4">
      <c r="W2998" s="64" ph="1"/>
    </row>
    <row r="2999" spans="23:23" ht="26.4">
      <c r="W2999" s="64" ph="1"/>
    </row>
    <row r="3000" spans="23:23" ht="26.4">
      <c r="W3000" s="64" ph="1"/>
    </row>
    <row r="3001" spans="23:23" ht="26.4">
      <c r="W3001" s="64" ph="1"/>
    </row>
    <row r="3002" spans="23:23" ht="26.4">
      <c r="W3002" s="64" ph="1"/>
    </row>
    <row r="3003" spans="23:23" ht="26.4">
      <c r="W3003" s="64" ph="1"/>
    </row>
    <row r="3004" spans="23:23" ht="26.4">
      <c r="W3004" s="64" ph="1"/>
    </row>
    <row r="3005" spans="23:23" ht="26.4">
      <c r="W3005" s="64" ph="1"/>
    </row>
    <row r="3006" spans="23:23" ht="26.4">
      <c r="W3006" s="64" ph="1"/>
    </row>
    <row r="3007" spans="23:23" ht="26.4">
      <c r="W3007" s="64" ph="1"/>
    </row>
    <row r="3008" spans="23:23" ht="26.4">
      <c r="W3008" s="64" ph="1"/>
    </row>
    <row r="3009" spans="23:23" ht="26.4">
      <c r="W3009" s="64" ph="1"/>
    </row>
    <row r="3010" spans="23:23" ht="26.4">
      <c r="W3010" s="64" ph="1"/>
    </row>
    <row r="3011" spans="23:23" ht="26.4">
      <c r="W3011" s="64" ph="1"/>
    </row>
    <row r="3012" spans="23:23" ht="26.4">
      <c r="W3012" s="64" ph="1"/>
    </row>
    <row r="3013" spans="23:23" ht="26.4">
      <c r="W3013" s="64" ph="1"/>
    </row>
    <row r="3014" spans="23:23" ht="26.4">
      <c r="W3014" s="64" ph="1"/>
    </row>
    <row r="3015" spans="23:23" ht="26.4">
      <c r="W3015" s="64" ph="1"/>
    </row>
    <row r="3016" spans="23:23" ht="26.4">
      <c r="W3016" s="64" ph="1"/>
    </row>
    <row r="3017" spans="23:23" ht="26.4">
      <c r="W3017" s="64" ph="1"/>
    </row>
    <row r="3018" spans="23:23" ht="26.4">
      <c r="W3018" s="64" ph="1"/>
    </row>
    <row r="3019" spans="23:23" ht="26.4">
      <c r="W3019" s="64" ph="1"/>
    </row>
    <row r="3020" spans="23:23" ht="26.4">
      <c r="W3020" s="64" ph="1"/>
    </row>
    <row r="3021" spans="23:23" ht="26.4">
      <c r="W3021" s="64" ph="1"/>
    </row>
    <row r="3022" spans="23:23" ht="26.4">
      <c r="W3022" s="64" ph="1"/>
    </row>
    <row r="3023" spans="23:23" ht="26.4">
      <c r="W3023" s="64" ph="1"/>
    </row>
    <row r="3024" spans="23:23" ht="26.4">
      <c r="W3024" s="64" ph="1"/>
    </row>
    <row r="3025" spans="23:23" ht="26.4">
      <c r="W3025" s="64" ph="1"/>
    </row>
    <row r="3026" spans="23:23" ht="26.4">
      <c r="W3026" s="64" ph="1"/>
    </row>
    <row r="3027" spans="23:23" ht="26.4">
      <c r="W3027" s="64" ph="1"/>
    </row>
    <row r="3028" spans="23:23" ht="26.4">
      <c r="W3028" s="64" ph="1"/>
    </row>
    <row r="3029" spans="23:23" ht="26.4">
      <c r="W3029" s="64" ph="1"/>
    </row>
    <row r="3030" spans="23:23" ht="26.4">
      <c r="W3030" s="64" ph="1"/>
    </row>
    <row r="3031" spans="23:23" ht="26.4">
      <c r="W3031" s="64" ph="1"/>
    </row>
    <row r="3032" spans="23:23" ht="26.4">
      <c r="W3032" s="64" ph="1"/>
    </row>
    <row r="3033" spans="23:23" ht="26.4">
      <c r="W3033" s="64" ph="1"/>
    </row>
    <row r="3034" spans="23:23" ht="26.4">
      <c r="W3034" s="64" ph="1"/>
    </row>
    <row r="3035" spans="23:23" ht="26.4">
      <c r="W3035" s="64" ph="1"/>
    </row>
    <row r="3036" spans="23:23" ht="26.4">
      <c r="W3036" s="64" ph="1"/>
    </row>
    <row r="3037" spans="23:23" ht="26.4">
      <c r="W3037" s="64" ph="1"/>
    </row>
    <row r="3038" spans="23:23" ht="26.4">
      <c r="W3038" s="64" ph="1"/>
    </row>
    <row r="3039" spans="23:23" ht="26.4">
      <c r="W3039" s="64" ph="1"/>
    </row>
    <row r="3040" spans="23:23" ht="26.4">
      <c r="W3040" s="64" ph="1"/>
    </row>
    <row r="3041" spans="23:23" ht="26.4">
      <c r="W3041" s="64" ph="1"/>
    </row>
    <row r="3042" spans="23:23" ht="26.4">
      <c r="W3042" s="64" ph="1"/>
    </row>
    <row r="3043" spans="23:23" ht="26.4">
      <c r="W3043" s="64" ph="1"/>
    </row>
    <row r="3044" spans="23:23" ht="26.4">
      <c r="W3044" s="64" ph="1"/>
    </row>
    <row r="3045" spans="23:23" ht="26.4">
      <c r="W3045" s="64" ph="1"/>
    </row>
    <row r="3046" spans="23:23" ht="26.4">
      <c r="W3046" s="64" ph="1"/>
    </row>
    <row r="3047" spans="23:23" ht="26.4">
      <c r="W3047" s="64" ph="1"/>
    </row>
    <row r="3048" spans="23:23" ht="26.4">
      <c r="W3048" s="64" ph="1"/>
    </row>
    <row r="3049" spans="23:23" ht="26.4">
      <c r="W3049" s="64" ph="1"/>
    </row>
    <row r="3050" spans="23:23" ht="26.4">
      <c r="W3050" s="64" ph="1"/>
    </row>
    <row r="3051" spans="23:23" ht="26.4">
      <c r="W3051" s="64" ph="1"/>
    </row>
    <row r="3052" spans="23:23" ht="26.4">
      <c r="W3052" s="64" ph="1"/>
    </row>
    <row r="3053" spans="23:23" ht="26.4">
      <c r="W3053" s="64" ph="1"/>
    </row>
    <row r="3054" spans="23:23" ht="26.4">
      <c r="W3054" s="64" ph="1"/>
    </row>
    <row r="3055" spans="23:23" ht="26.4">
      <c r="W3055" s="64" ph="1"/>
    </row>
    <row r="3056" spans="23:23" ht="26.4">
      <c r="W3056" s="64" ph="1"/>
    </row>
    <row r="3057" spans="23:23" ht="26.4">
      <c r="W3057" s="64" ph="1"/>
    </row>
    <row r="3058" spans="23:23" ht="26.4">
      <c r="W3058" s="64" ph="1"/>
    </row>
    <row r="3059" spans="23:23" ht="26.4">
      <c r="W3059" s="64" ph="1"/>
    </row>
    <row r="3060" spans="23:23" ht="26.4">
      <c r="W3060" s="64" ph="1"/>
    </row>
    <row r="3061" spans="23:23" ht="26.4">
      <c r="W3061" s="64" ph="1"/>
    </row>
    <row r="3062" spans="23:23" ht="26.4">
      <c r="W3062" s="64" ph="1"/>
    </row>
    <row r="3063" spans="23:23" ht="26.4">
      <c r="W3063" s="64" ph="1"/>
    </row>
    <row r="3064" spans="23:23" ht="26.4">
      <c r="W3064" s="64" ph="1"/>
    </row>
    <row r="3065" spans="23:23" ht="26.4">
      <c r="W3065" s="64" ph="1"/>
    </row>
    <row r="3066" spans="23:23" ht="26.4">
      <c r="W3066" s="64" ph="1"/>
    </row>
    <row r="3067" spans="23:23" ht="26.4">
      <c r="W3067" s="64" ph="1"/>
    </row>
    <row r="3068" spans="23:23" ht="26.4">
      <c r="W3068" s="64" ph="1"/>
    </row>
    <row r="3069" spans="23:23" ht="26.4">
      <c r="W3069" s="64" ph="1"/>
    </row>
    <row r="3070" spans="23:23" ht="26.4">
      <c r="W3070" s="64" ph="1"/>
    </row>
    <row r="3071" spans="23:23" ht="26.4">
      <c r="W3071" s="64" ph="1"/>
    </row>
    <row r="3072" spans="23:23" ht="26.4">
      <c r="W3072" s="64" ph="1"/>
    </row>
    <row r="3073" spans="23:23" ht="26.4">
      <c r="W3073" s="64" ph="1"/>
    </row>
    <row r="3074" spans="23:23" ht="26.4">
      <c r="W3074" s="64" ph="1"/>
    </row>
    <row r="3075" spans="23:23" ht="26.4">
      <c r="W3075" s="64" ph="1"/>
    </row>
    <row r="3076" spans="23:23" ht="26.4">
      <c r="W3076" s="64" ph="1"/>
    </row>
    <row r="3077" spans="23:23" ht="26.4">
      <c r="W3077" s="64" ph="1"/>
    </row>
    <row r="3078" spans="23:23" ht="26.4">
      <c r="W3078" s="64" ph="1"/>
    </row>
    <row r="3079" spans="23:23" ht="26.4">
      <c r="W3079" s="64" ph="1"/>
    </row>
    <row r="3080" spans="23:23" ht="26.4">
      <c r="W3080" s="64" ph="1"/>
    </row>
    <row r="3081" spans="23:23" ht="26.4">
      <c r="W3081" s="64" ph="1"/>
    </row>
    <row r="3082" spans="23:23" ht="26.4">
      <c r="W3082" s="64" ph="1"/>
    </row>
    <row r="3083" spans="23:23" ht="26.4">
      <c r="W3083" s="64" ph="1"/>
    </row>
    <row r="3084" spans="23:23" ht="26.4">
      <c r="W3084" s="64" ph="1"/>
    </row>
    <row r="3085" spans="23:23" ht="26.4">
      <c r="W3085" s="64" ph="1"/>
    </row>
    <row r="3086" spans="23:23" ht="26.4">
      <c r="W3086" s="64" ph="1"/>
    </row>
    <row r="3087" spans="23:23" ht="26.4">
      <c r="W3087" s="64" ph="1"/>
    </row>
    <row r="3088" spans="23:23" ht="26.4">
      <c r="W3088" s="64" ph="1"/>
    </row>
    <row r="3089" spans="23:23" ht="26.4">
      <c r="W3089" s="64" ph="1"/>
    </row>
    <row r="3090" spans="23:23" ht="26.4">
      <c r="W3090" s="64" ph="1"/>
    </row>
    <row r="3091" spans="23:23" ht="26.4">
      <c r="W3091" s="64" ph="1"/>
    </row>
    <row r="3092" spans="23:23" ht="26.4">
      <c r="W3092" s="64" ph="1"/>
    </row>
    <row r="3093" spans="23:23" ht="26.4">
      <c r="W3093" s="64" ph="1"/>
    </row>
    <row r="3094" spans="23:23" ht="26.4">
      <c r="W3094" s="64" ph="1"/>
    </row>
    <row r="3095" spans="23:23" ht="26.4">
      <c r="W3095" s="64" ph="1"/>
    </row>
    <row r="3096" spans="23:23" ht="26.4">
      <c r="W3096" s="64" ph="1"/>
    </row>
    <row r="3097" spans="23:23" ht="26.4">
      <c r="W3097" s="64" ph="1"/>
    </row>
    <row r="3098" spans="23:23" ht="26.4">
      <c r="W3098" s="64" ph="1"/>
    </row>
    <row r="3099" spans="23:23" ht="26.4">
      <c r="W3099" s="64" ph="1"/>
    </row>
    <row r="3100" spans="23:23" ht="26.4">
      <c r="W3100" s="64" ph="1"/>
    </row>
    <row r="3101" spans="23:23" ht="26.4">
      <c r="W3101" s="64" ph="1"/>
    </row>
    <row r="3102" spans="23:23" ht="26.4">
      <c r="W3102" s="64" ph="1"/>
    </row>
    <row r="3103" spans="23:23" ht="26.4">
      <c r="W3103" s="64" ph="1"/>
    </row>
    <row r="3104" spans="23:23" ht="26.4">
      <c r="W3104" s="64" ph="1"/>
    </row>
    <row r="3105" spans="23:23" ht="26.4">
      <c r="W3105" s="64" ph="1"/>
    </row>
    <row r="3106" spans="23:23" ht="26.4">
      <c r="W3106" s="64" ph="1"/>
    </row>
    <row r="3107" spans="23:23" ht="26.4">
      <c r="W3107" s="64" ph="1"/>
    </row>
    <row r="3108" spans="23:23" ht="26.4">
      <c r="W3108" s="64" ph="1"/>
    </row>
    <row r="3109" spans="23:23" ht="26.4">
      <c r="W3109" s="64" ph="1"/>
    </row>
    <row r="3110" spans="23:23" ht="26.4">
      <c r="W3110" s="64" ph="1"/>
    </row>
    <row r="3111" spans="23:23" ht="26.4">
      <c r="W3111" s="64" ph="1"/>
    </row>
    <row r="3112" spans="23:23" ht="26.4">
      <c r="W3112" s="64" ph="1"/>
    </row>
    <row r="3113" spans="23:23" ht="26.4">
      <c r="W3113" s="64" ph="1"/>
    </row>
    <row r="3114" spans="23:23" ht="26.4">
      <c r="W3114" s="64" ph="1"/>
    </row>
    <row r="3115" spans="23:23" ht="26.4">
      <c r="W3115" s="64" ph="1"/>
    </row>
    <row r="3116" spans="23:23" ht="26.4">
      <c r="W3116" s="64" ph="1"/>
    </row>
    <row r="3117" spans="23:23" ht="26.4">
      <c r="W3117" s="64" ph="1"/>
    </row>
    <row r="3118" spans="23:23" ht="26.4">
      <c r="W3118" s="64" ph="1"/>
    </row>
    <row r="3119" spans="23:23" ht="26.4">
      <c r="W3119" s="64" ph="1"/>
    </row>
    <row r="3120" spans="23:23" ht="26.4">
      <c r="W3120" s="64" ph="1"/>
    </row>
    <row r="3121" spans="23:23" ht="26.4">
      <c r="W3121" s="64" ph="1"/>
    </row>
    <row r="3122" spans="23:23" ht="26.4">
      <c r="W3122" s="64" ph="1"/>
    </row>
    <row r="3123" spans="23:23" ht="26.4">
      <c r="W3123" s="64" ph="1"/>
    </row>
    <row r="3124" spans="23:23" ht="26.4">
      <c r="W3124" s="64" ph="1"/>
    </row>
    <row r="3125" spans="23:23" ht="26.4">
      <c r="W3125" s="64" ph="1"/>
    </row>
    <row r="3126" spans="23:23" ht="26.4">
      <c r="W3126" s="64" ph="1"/>
    </row>
    <row r="3127" spans="23:23" ht="26.4">
      <c r="W3127" s="64" ph="1"/>
    </row>
    <row r="3128" spans="23:23" ht="26.4">
      <c r="W3128" s="64" ph="1"/>
    </row>
    <row r="3129" spans="23:23" ht="26.4">
      <c r="W3129" s="64" ph="1"/>
    </row>
    <row r="3130" spans="23:23" ht="26.4">
      <c r="W3130" s="64" ph="1"/>
    </row>
    <row r="3131" spans="23:23" ht="26.4">
      <c r="W3131" s="64" ph="1"/>
    </row>
    <row r="3132" spans="23:23" ht="26.4">
      <c r="W3132" s="64" ph="1"/>
    </row>
    <row r="3133" spans="23:23" ht="26.4">
      <c r="W3133" s="64" ph="1"/>
    </row>
    <row r="3134" spans="23:23" ht="26.4">
      <c r="W3134" s="64" ph="1"/>
    </row>
    <row r="3135" spans="23:23" ht="26.4">
      <c r="W3135" s="64" ph="1"/>
    </row>
    <row r="3136" spans="23:23" ht="26.4">
      <c r="W3136" s="64" ph="1"/>
    </row>
    <row r="3137" spans="23:23" ht="26.4">
      <c r="W3137" s="64" ph="1"/>
    </row>
    <row r="3138" spans="23:23" ht="26.4">
      <c r="W3138" s="64" ph="1"/>
    </row>
    <row r="3139" spans="23:23" ht="26.4">
      <c r="W3139" s="64" ph="1"/>
    </row>
    <row r="3140" spans="23:23" ht="26.4">
      <c r="W3140" s="64" ph="1"/>
    </row>
    <row r="3141" spans="23:23" ht="26.4">
      <c r="W3141" s="64" ph="1"/>
    </row>
    <row r="3142" spans="23:23" ht="26.4">
      <c r="W3142" s="64" ph="1"/>
    </row>
    <row r="3143" spans="23:23" ht="26.4">
      <c r="W3143" s="64" ph="1"/>
    </row>
    <row r="3144" spans="23:23" ht="26.4">
      <c r="W3144" s="64" ph="1"/>
    </row>
    <row r="3145" spans="23:23" ht="26.4">
      <c r="W3145" s="64" ph="1"/>
    </row>
    <row r="3146" spans="23:23" ht="26.4">
      <c r="W3146" s="64" ph="1"/>
    </row>
    <row r="3147" spans="23:23" ht="26.4">
      <c r="W3147" s="64" ph="1"/>
    </row>
    <row r="3148" spans="23:23" ht="26.4">
      <c r="W3148" s="64" ph="1"/>
    </row>
    <row r="3149" spans="23:23" ht="26.4">
      <c r="W3149" s="64" ph="1"/>
    </row>
    <row r="3150" spans="23:23" ht="26.4">
      <c r="W3150" s="64" ph="1"/>
    </row>
    <row r="3151" spans="23:23" ht="26.4">
      <c r="W3151" s="64" ph="1"/>
    </row>
    <row r="3152" spans="23:23" ht="26.4">
      <c r="W3152" s="64" ph="1"/>
    </row>
    <row r="3153" spans="23:23" ht="26.4">
      <c r="W3153" s="64" ph="1"/>
    </row>
    <row r="3154" spans="23:23" ht="26.4">
      <c r="W3154" s="64" ph="1"/>
    </row>
    <row r="3155" spans="23:23" ht="26.4">
      <c r="W3155" s="64" ph="1"/>
    </row>
    <row r="3156" spans="23:23" ht="26.4">
      <c r="W3156" s="64" ph="1"/>
    </row>
    <row r="3157" spans="23:23" ht="26.4">
      <c r="W3157" s="64" ph="1"/>
    </row>
    <row r="3158" spans="23:23" ht="26.4">
      <c r="W3158" s="64" ph="1"/>
    </row>
    <row r="3159" spans="23:23" ht="26.4">
      <c r="W3159" s="64" ph="1"/>
    </row>
    <row r="3160" spans="23:23" ht="26.4">
      <c r="W3160" s="64" ph="1"/>
    </row>
    <row r="3161" spans="23:23" ht="26.4">
      <c r="W3161" s="64" ph="1"/>
    </row>
    <row r="3162" spans="23:23" ht="26.4">
      <c r="W3162" s="64" ph="1"/>
    </row>
    <row r="3163" spans="23:23" ht="26.4">
      <c r="W3163" s="64" ph="1"/>
    </row>
    <row r="3164" spans="23:23" ht="26.4">
      <c r="W3164" s="64" ph="1"/>
    </row>
    <row r="3165" spans="23:23" ht="26.4">
      <c r="W3165" s="64" ph="1"/>
    </row>
    <row r="3166" spans="23:23" ht="26.4">
      <c r="W3166" s="64" ph="1"/>
    </row>
    <row r="3167" spans="23:23" ht="26.4">
      <c r="W3167" s="64" ph="1"/>
    </row>
    <row r="3168" spans="23:23" ht="26.4">
      <c r="W3168" s="64" ph="1"/>
    </row>
    <row r="3169" spans="23:23" ht="26.4">
      <c r="W3169" s="64" ph="1"/>
    </row>
    <row r="3170" spans="23:23" ht="26.4">
      <c r="W3170" s="64" ph="1"/>
    </row>
    <row r="3171" spans="23:23" ht="26.4">
      <c r="W3171" s="64" ph="1"/>
    </row>
    <row r="3172" spans="23:23" ht="26.4">
      <c r="W3172" s="64" ph="1"/>
    </row>
    <row r="3173" spans="23:23" ht="26.4">
      <c r="W3173" s="64" ph="1"/>
    </row>
    <row r="3174" spans="23:23" ht="26.4">
      <c r="W3174" s="64" ph="1"/>
    </row>
    <row r="3175" spans="23:23" ht="26.4">
      <c r="W3175" s="64" ph="1"/>
    </row>
    <row r="3176" spans="23:23" ht="26.4">
      <c r="W3176" s="64" ph="1"/>
    </row>
    <row r="3177" spans="23:23" ht="26.4">
      <c r="W3177" s="64" ph="1"/>
    </row>
    <row r="3178" spans="23:23" ht="26.4">
      <c r="W3178" s="64" ph="1"/>
    </row>
    <row r="3179" spans="23:23" ht="26.4">
      <c r="W3179" s="64" ph="1"/>
    </row>
    <row r="3180" spans="23:23" ht="26.4">
      <c r="W3180" s="64" ph="1"/>
    </row>
    <row r="3181" spans="23:23" ht="26.4">
      <c r="W3181" s="64" ph="1"/>
    </row>
    <row r="3182" spans="23:23" ht="26.4">
      <c r="W3182" s="64" ph="1"/>
    </row>
    <row r="3183" spans="23:23" ht="26.4">
      <c r="W3183" s="64" ph="1"/>
    </row>
    <row r="3184" spans="23:23" ht="26.4">
      <c r="W3184" s="64" ph="1"/>
    </row>
    <row r="3185" spans="23:23" ht="26.4">
      <c r="W3185" s="64" ph="1"/>
    </row>
    <row r="3186" spans="23:23" ht="26.4">
      <c r="W3186" s="64" ph="1"/>
    </row>
    <row r="3187" spans="23:23" ht="26.4">
      <c r="W3187" s="64" ph="1"/>
    </row>
    <row r="3188" spans="23:23" ht="26.4">
      <c r="W3188" s="64" ph="1"/>
    </row>
    <row r="3189" spans="23:23" ht="26.4">
      <c r="W3189" s="64" ph="1"/>
    </row>
    <row r="3190" spans="23:23" ht="26.4">
      <c r="W3190" s="64" ph="1"/>
    </row>
    <row r="3191" spans="23:23" ht="26.4">
      <c r="W3191" s="64" ph="1"/>
    </row>
    <row r="3192" spans="23:23" ht="26.4">
      <c r="W3192" s="64" ph="1"/>
    </row>
    <row r="3193" spans="23:23" ht="26.4">
      <c r="W3193" s="64" ph="1"/>
    </row>
    <row r="3194" spans="23:23" ht="26.4">
      <c r="W3194" s="64" ph="1"/>
    </row>
    <row r="3195" spans="23:23" ht="26.4">
      <c r="W3195" s="64" ph="1"/>
    </row>
    <row r="3196" spans="23:23" ht="26.4">
      <c r="W3196" s="64" ph="1"/>
    </row>
    <row r="3197" spans="23:23" ht="26.4">
      <c r="W3197" s="64" ph="1"/>
    </row>
    <row r="3198" spans="23:23" ht="26.4">
      <c r="W3198" s="64" ph="1"/>
    </row>
    <row r="3199" spans="23:23" ht="26.4">
      <c r="W3199" s="64" ph="1"/>
    </row>
    <row r="3200" spans="23:23" ht="26.4">
      <c r="W3200" s="64" ph="1"/>
    </row>
    <row r="3201" spans="23:23" ht="26.4">
      <c r="W3201" s="64" ph="1"/>
    </row>
    <row r="3202" spans="23:23" ht="26.4">
      <c r="W3202" s="64" ph="1"/>
    </row>
    <row r="3203" spans="23:23" ht="26.4">
      <c r="W3203" s="64" ph="1"/>
    </row>
    <row r="3204" spans="23:23" ht="26.4">
      <c r="W3204" s="64" ph="1"/>
    </row>
    <row r="3205" spans="23:23" ht="26.4">
      <c r="W3205" s="64" ph="1"/>
    </row>
    <row r="3206" spans="23:23" ht="26.4">
      <c r="W3206" s="64" ph="1"/>
    </row>
    <row r="3207" spans="23:23" ht="26.4">
      <c r="W3207" s="64" ph="1"/>
    </row>
    <row r="3208" spans="23:23" ht="26.4">
      <c r="W3208" s="64" ph="1"/>
    </row>
    <row r="3209" spans="23:23" ht="26.4">
      <c r="W3209" s="64" ph="1"/>
    </row>
    <row r="3210" spans="23:23" ht="26.4">
      <c r="W3210" s="64" ph="1"/>
    </row>
    <row r="3211" spans="23:23" ht="26.4">
      <c r="W3211" s="64" ph="1"/>
    </row>
    <row r="3212" spans="23:23" ht="26.4">
      <c r="W3212" s="64" ph="1"/>
    </row>
    <row r="3213" spans="23:23" ht="26.4">
      <c r="W3213" s="64" ph="1"/>
    </row>
    <row r="3214" spans="23:23" ht="26.4">
      <c r="W3214" s="64" ph="1"/>
    </row>
    <row r="3215" spans="23:23" ht="26.4">
      <c r="W3215" s="64" ph="1"/>
    </row>
    <row r="3216" spans="23:23" ht="26.4">
      <c r="W3216" s="64" ph="1"/>
    </row>
    <row r="3217" spans="23:23" ht="26.4">
      <c r="W3217" s="64" ph="1"/>
    </row>
    <row r="3218" spans="23:23" ht="26.4">
      <c r="W3218" s="64" ph="1"/>
    </row>
    <row r="3219" spans="23:23" ht="26.4">
      <c r="W3219" s="64" ph="1"/>
    </row>
    <row r="3220" spans="23:23" ht="26.4">
      <c r="W3220" s="64" ph="1"/>
    </row>
    <row r="3221" spans="23:23" ht="26.4">
      <c r="W3221" s="64" ph="1"/>
    </row>
    <row r="3222" spans="23:23" ht="26.4">
      <c r="W3222" s="64" ph="1"/>
    </row>
    <row r="3223" spans="23:23" ht="26.4">
      <c r="W3223" s="64" ph="1"/>
    </row>
    <row r="3224" spans="23:23" ht="26.4">
      <c r="W3224" s="64" ph="1"/>
    </row>
    <row r="3225" spans="23:23" ht="26.4">
      <c r="W3225" s="64" ph="1"/>
    </row>
    <row r="3226" spans="23:23" ht="26.4">
      <c r="W3226" s="64" ph="1"/>
    </row>
    <row r="3227" spans="23:23" ht="26.4">
      <c r="W3227" s="64" ph="1"/>
    </row>
    <row r="3228" spans="23:23" ht="26.4">
      <c r="W3228" s="64" ph="1"/>
    </row>
    <row r="3229" spans="23:23" ht="26.4">
      <c r="W3229" s="64" ph="1"/>
    </row>
    <row r="3230" spans="23:23" ht="26.4">
      <c r="W3230" s="64" ph="1"/>
    </row>
    <row r="3231" spans="23:23" ht="26.4">
      <c r="W3231" s="64" ph="1"/>
    </row>
    <row r="3232" spans="23:23" ht="26.4">
      <c r="W3232" s="64" ph="1"/>
    </row>
    <row r="3233" spans="23:23" ht="26.4">
      <c r="W3233" s="64" ph="1"/>
    </row>
    <row r="3234" spans="23:23" ht="26.4">
      <c r="W3234" s="64" ph="1"/>
    </row>
    <row r="3235" spans="23:23" ht="26.4">
      <c r="W3235" s="64" ph="1"/>
    </row>
    <row r="3236" spans="23:23" ht="26.4">
      <c r="W3236" s="64" ph="1"/>
    </row>
    <row r="3237" spans="23:23" ht="26.4">
      <c r="W3237" s="64" ph="1"/>
    </row>
    <row r="3238" spans="23:23" ht="26.4">
      <c r="W3238" s="64" ph="1"/>
    </row>
    <row r="3239" spans="23:23" ht="26.4">
      <c r="W3239" s="64" ph="1"/>
    </row>
    <row r="3240" spans="23:23" ht="26.4">
      <c r="W3240" s="64" ph="1"/>
    </row>
    <row r="3241" spans="23:23" ht="26.4">
      <c r="W3241" s="64" ph="1"/>
    </row>
    <row r="3242" spans="23:23" ht="26.4">
      <c r="W3242" s="64" ph="1"/>
    </row>
    <row r="3243" spans="23:23" ht="26.4">
      <c r="W3243" s="64" ph="1"/>
    </row>
    <row r="3244" spans="23:23" ht="26.4">
      <c r="W3244" s="64" ph="1"/>
    </row>
    <row r="3245" spans="23:23" ht="26.4">
      <c r="W3245" s="64" ph="1"/>
    </row>
    <row r="3246" spans="23:23" ht="26.4">
      <c r="W3246" s="64" ph="1"/>
    </row>
    <row r="3247" spans="23:23" ht="26.4">
      <c r="W3247" s="64" ph="1"/>
    </row>
    <row r="3248" spans="23:23" ht="26.4">
      <c r="W3248" s="64" ph="1"/>
    </row>
    <row r="3249" spans="23:23" ht="26.4">
      <c r="W3249" s="64" ph="1"/>
    </row>
    <row r="3250" spans="23:23" ht="26.4">
      <c r="W3250" s="64" ph="1"/>
    </row>
    <row r="3251" spans="23:23" ht="26.4">
      <c r="W3251" s="64" ph="1"/>
    </row>
    <row r="3252" spans="23:23" ht="26.4">
      <c r="W3252" s="64" ph="1"/>
    </row>
    <row r="3253" spans="23:23" ht="26.4">
      <c r="W3253" s="64" ph="1"/>
    </row>
    <row r="3254" spans="23:23" ht="26.4">
      <c r="W3254" s="64" ph="1"/>
    </row>
    <row r="3255" spans="23:23" ht="26.4">
      <c r="W3255" s="64" ph="1"/>
    </row>
    <row r="3256" spans="23:23" ht="26.4">
      <c r="W3256" s="64" ph="1"/>
    </row>
    <row r="3257" spans="23:23" ht="26.4">
      <c r="W3257" s="64" ph="1"/>
    </row>
    <row r="3258" spans="23:23" ht="26.4">
      <c r="W3258" s="64" ph="1"/>
    </row>
    <row r="3259" spans="23:23" ht="26.4">
      <c r="W3259" s="64" ph="1"/>
    </row>
    <row r="3260" spans="23:23" ht="26.4">
      <c r="W3260" s="64" ph="1"/>
    </row>
    <row r="3261" spans="23:23" ht="26.4">
      <c r="W3261" s="64" ph="1"/>
    </row>
    <row r="3262" spans="23:23" ht="26.4">
      <c r="W3262" s="64" ph="1"/>
    </row>
    <row r="3263" spans="23:23" ht="26.4">
      <c r="W3263" s="64" ph="1"/>
    </row>
    <row r="3264" spans="23:23" ht="26.4">
      <c r="W3264" s="64" ph="1"/>
    </row>
    <row r="3265" spans="23:23" ht="26.4">
      <c r="W3265" s="64" ph="1"/>
    </row>
    <row r="3266" spans="23:23" ht="26.4">
      <c r="W3266" s="64" ph="1"/>
    </row>
    <row r="3267" spans="23:23" ht="26.4">
      <c r="W3267" s="64" ph="1"/>
    </row>
    <row r="3268" spans="23:23" ht="26.4">
      <c r="W3268" s="64" ph="1"/>
    </row>
    <row r="3269" spans="23:23" ht="26.4">
      <c r="W3269" s="64" ph="1"/>
    </row>
    <row r="3270" spans="23:23" ht="26.4">
      <c r="W3270" s="64" ph="1"/>
    </row>
    <row r="3271" spans="23:23" ht="26.4">
      <c r="W3271" s="64" ph="1"/>
    </row>
    <row r="3272" spans="23:23" ht="26.4">
      <c r="W3272" s="64" ph="1"/>
    </row>
    <row r="3273" spans="23:23" ht="26.4">
      <c r="W3273" s="64" ph="1"/>
    </row>
    <row r="3274" spans="23:23" ht="26.4">
      <c r="W3274" s="64" ph="1"/>
    </row>
    <row r="3275" spans="23:23" ht="26.4">
      <c r="W3275" s="64" ph="1"/>
    </row>
    <row r="3276" spans="23:23" ht="26.4">
      <c r="W3276" s="64" ph="1"/>
    </row>
    <row r="3277" spans="23:23" ht="26.4">
      <c r="W3277" s="64" ph="1"/>
    </row>
    <row r="3278" spans="23:23" ht="26.4">
      <c r="W3278" s="64" ph="1"/>
    </row>
    <row r="3279" spans="23:23" ht="26.4">
      <c r="W3279" s="64" ph="1"/>
    </row>
    <row r="3280" spans="23:23" ht="26.4">
      <c r="W3280" s="64" ph="1"/>
    </row>
    <row r="3281" spans="23:23" ht="26.4">
      <c r="W3281" s="64" ph="1"/>
    </row>
    <row r="3282" spans="23:23" ht="26.4">
      <c r="W3282" s="64" ph="1"/>
    </row>
    <row r="3283" spans="23:23" ht="26.4">
      <c r="W3283" s="64" ph="1"/>
    </row>
    <row r="3284" spans="23:23" ht="26.4">
      <c r="W3284" s="64" ph="1"/>
    </row>
    <row r="3285" spans="23:23" ht="26.4">
      <c r="W3285" s="64" ph="1"/>
    </row>
    <row r="3286" spans="23:23" ht="26.4">
      <c r="W3286" s="64" ph="1"/>
    </row>
    <row r="3287" spans="23:23" ht="26.4">
      <c r="W3287" s="64" ph="1"/>
    </row>
    <row r="3288" spans="23:23" ht="26.4">
      <c r="W3288" s="64" ph="1"/>
    </row>
    <row r="3289" spans="23:23" ht="26.4">
      <c r="W3289" s="64" ph="1"/>
    </row>
    <row r="3290" spans="23:23" ht="26.4">
      <c r="W3290" s="64" ph="1"/>
    </row>
    <row r="3291" spans="23:23" ht="26.4">
      <c r="W3291" s="64" ph="1"/>
    </row>
    <row r="3292" spans="23:23" ht="26.4">
      <c r="W3292" s="64" ph="1"/>
    </row>
    <row r="3293" spans="23:23" ht="26.4">
      <c r="W3293" s="64" ph="1"/>
    </row>
    <row r="3294" spans="23:23" ht="26.4">
      <c r="W3294" s="64" ph="1"/>
    </row>
    <row r="3295" spans="23:23" ht="26.4">
      <c r="W3295" s="64" ph="1"/>
    </row>
    <row r="3296" spans="23:23" ht="26.4">
      <c r="W3296" s="64" ph="1"/>
    </row>
    <row r="3297" spans="23:23" ht="26.4">
      <c r="W3297" s="64" ph="1"/>
    </row>
    <row r="3298" spans="23:23" ht="26.4">
      <c r="W3298" s="64" ph="1"/>
    </row>
    <row r="3299" spans="23:23" ht="26.4">
      <c r="W3299" s="64" ph="1"/>
    </row>
    <row r="3300" spans="23:23" ht="26.4">
      <c r="W3300" s="64" ph="1"/>
    </row>
    <row r="3301" spans="23:23" ht="26.4">
      <c r="W3301" s="64" ph="1"/>
    </row>
    <row r="3302" spans="23:23" ht="26.4">
      <c r="W3302" s="64" ph="1"/>
    </row>
    <row r="3303" spans="23:23" ht="26.4">
      <c r="W3303" s="64" ph="1"/>
    </row>
    <row r="3304" spans="23:23" ht="26.4">
      <c r="W3304" s="64" ph="1"/>
    </row>
    <row r="3305" spans="23:23" ht="26.4">
      <c r="W3305" s="64" ph="1"/>
    </row>
    <row r="3306" spans="23:23" ht="26.4">
      <c r="W3306" s="64" ph="1"/>
    </row>
    <row r="3307" spans="23:23" ht="26.4">
      <c r="W3307" s="64" ph="1"/>
    </row>
    <row r="3308" spans="23:23" ht="26.4">
      <c r="W3308" s="64" ph="1"/>
    </row>
    <row r="3309" spans="23:23" ht="26.4">
      <c r="W3309" s="64" ph="1"/>
    </row>
    <row r="3310" spans="23:23" ht="26.4">
      <c r="W3310" s="64" ph="1"/>
    </row>
    <row r="3311" spans="23:23" ht="26.4">
      <c r="W3311" s="64" ph="1"/>
    </row>
    <row r="3312" spans="23:23" ht="26.4">
      <c r="W3312" s="64" ph="1"/>
    </row>
    <row r="3313" spans="23:23" ht="26.4">
      <c r="W3313" s="64" ph="1"/>
    </row>
    <row r="3314" spans="23:23" ht="26.4">
      <c r="W3314" s="64" ph="1"/>
    </row>
    <row r="3315" spans="23:23" ht="26.4">
      <c r="W3315" s="64" ph="1"/>
    </row>
    <row r="3316" spans="23:23" ht="26.4">
      <c r="W3316" s="64" ph="1"/>
    </row>
    <row r="3317" spans="23:23" ht="26.4">
      <c r="W3317" s="64" ph="1"/>
    </row>
    <row r="3318" spans="23:23" ht="26.4">
      <c r="W3318" s="64" ph="1"/>
    </row>
    <row r="3319" spans="23:23" ht="26.4">
      <c r="W3319" s="64" ph="1"/>
    </row>
    <row r="3320" spans="23:23" ht="26.4">
      <c r="W3320" s="64" ph="1"/>
    </row>
    <row r="3321" spans="23:23" ht="26.4">
      <c r="W3321" s="64" ph="1"/>
    </row>
    <row r="3322" spans="23:23" ht="26.4">
      <c r="W3322" s="64" ph="1"/>
    </row>
    <row r="3323" spans="23:23" ht="26.4">
      <c r="W3323" s="64" ph="1"/>
    </row>
    <row r="3324" spans="23:23" ht="26.4">
      <c r="W3324" s="64" ph="1"/>
    </row>
    <row r="3325" spans="23:23" ht="26.4">
      <c r="W3325" s="64" ph="1"/>
    </row>
    <row r="3326" spans="23:23" ht="26.4">
      <c r="W3326" s="64" ph="1"/>
    </row>
    <row r="3327" spans="23:23" ht="26.4">
      <c r="W3327" s="64" ph="1"/>
    </row>
    <row r="3328" spans="23:23" ht="26.4">
      <c r="W3328" s="64" ph="1"/>
    </row>
    <row r="3329" spans="23:23" ht="26.4">
      <c r="W3329" s="64" ph="1"/>
    </row>
    <row r="3330" spans="23:23" ht="26.4">
      <c r="W3330" s="64" ph="1"/>
    </row>
    <row r="3331" spans="23:23" ht="26.4">
      <c r="W3331" s="64" ph="1"/>
    </row>
    <row r="3332" spans="23:23" ht="26.4">
      <c r="W3332" s="64" ph="1"/>
    </row>
    <row r="3333" spans="23:23" ht="26.4">
      <c r="W3333" s="64" ph="1"/>
    </row>
    <row r="3334" spans="23:23" ht="26.4">
      <c r="W3334" s="64" ph="1"/>
    </row>
    <row r="3335" spans="23:23" ht="26.4">
      <c r="W3335" s="64" ph="1"/>
    </row>
    <row r="3336" spans="23:23" ht="26.4">
      <c r="W3336" s="64" ph="1"/>
    </row>
    <row r="3337" spans="23:23" ht="26.4">
      <c r="W3337" s="64" ph="1"/>
    </row>
    <row r="3338" spans="23:23" ht="26.4">
      <c r="W3338" s="64" ph="1"/>
    </row>
    <row r="3339" spans="23:23" ht="26.4">
      <c r="W3339" s="64" ph="1"/>
    </row>
    <row r="3340" spans="23:23" ht="26.4">
      <c r="W3340" s="64" ph="1"/>
    </row>
    <row r="3341" spans="23:23" ht="26.4">
      <c r="W3341" s="64" ph="1"/>
    </row>
    <row r="3342" spans="23:23" ht="26.4">
      <c r="W3342" s="64" ph="1"/>
    </row>
    <row r="3343" spans="23:23" ht="26.4">
      <c r="W3343" s="64" ph="1"/>
    </row>
    <row r="3344" spans="23:23" ht="26.4">
      <c r="W3344" s="64" ph="1"/>
    </row>
    <row r="3345" spans="23:23" ht="26.4">
      <c r="W3345" s="64" ph="1"/>
    </row>
    <row r="3346" spans="23:23" ht="26.4">
      <c r="W3346" s="64" ph="1"/>
    </row>
    <row r="3347" spans="23:23" ht="26.4">
      <c r="W3347" s="64" ph="1"/>
    </row>
    <row r="3348" spans="23:23" ht="26.4">
      <c r="W3348" s="64" ph="1"/>
    </row>
    <row r="3349" spans="23:23" ht="26.4">
      <c r="W3349" s="64" ph="1"/>
    </row>
    <row r="3350" spans="23:23" ht="26.4">
      <c r="W3350" s="64" ph="1"/>
    </row>
    <row r="3351" spans="23:23" ht="26.4">
      <c r="W3351" s="64" ph="1"/>
    </row>
    <row r="3352" spans="23:23" ht="26.4">
      <c r="W3352" s="64" ph="1"/>
    </row>
    <row r="3353" spans="23:23" ht="26.4">
      <c r="W3353" s="64" ph="1"/>
    </row>
    <row r="3354" spans="23:23" ht="26.4">
      <c r="W3354" s="64" ph="1"/>
    </row>
    <row r="3355" spans="23:23" ht="26.4">
      <c r="W3355" s="64" ph="1"/>
    </row>
    <row r="3356" spans="23:23" ht="26.4">
      <c r="W3356" s="64" ph="1"/>
    </row>
    <row r="3357" spans="23:23" ht="26.4">
      <c r="W3357" s="64" ph="1"/>
    </row>
    <row r="3358" spans="23:23" ht="26.4">
      <c r="W3358" s="64" ph="1"/>
    </row>
    <row r="3359" spans="23:23" ht="26.4">
      <c r="W3359" s="64" ph="1"/>
    </row>
    <row r="3360" spans="23:23" ht="26.4">
      <c r="W3360" s="64" ph="1"/>
    </row>
    <row r="3361" spans="23:23" ht="26.4">
      <c r="W3361" s="64" ph="1"/>
    </row>
    <row r="3362" spans="23:23" ht="26.4">
      <c r="W3362" s="64" ph="1"/>
    </row>
    <row r="3363" spans="23:23" ht="26.4">
      <c r="W3363" s="64" ph="1"/>
    </row>
    <row r="3364" spans="23:23" ht="26.4">
      <c r="W3364" s="64" ph="1"/>
    </row>
    <row r="3365" spans="23:23" ht="26.4">
      <c r="W3365" s="64" ph="1"/>
    </row>
    <row r="3366" spans="23:23" ht="26.4">
      <c r="W3366" s="64" ph="1"/>
    </row>
    <row r="3367" spans="23:23" ht="26.4">
      <c r="W3367" s="64" ph="1"/>
    </row>
    <row r="3368" spans="23:23" ht="26.4">
      <c r="W3368" s="64" ph="1"/>
    </row>
    <row r="3369" spans="23:23" ht="26.4">
      <c r="W3369" s="64" ph="1"/>
    </row>
    <row r="3370" spans="23:23" ht="26.4">
      <c r="W3370" s="64" ph="1"/>
    </row>
    <row r="3371" spans="23:23" ht="26.4">
      <c r="W3371" s="64" ph="1"/>
    </row>
    <row r="3372" spans="23:23" ht="26.4">
      <c r="W3372" s="64" ph="1"/>
    </row>
    <row r="3373" spans="23:23" ht="26.4">
      <c r="W3373" s="64" ph="1"/>
    </row>
    <row r="3374" spans="23:23" ht="26.4">
      <c r="W3374" s="64" ph="1"/>
    </row>
    <row r="3375" spans="23:23" ht="26.4">
      <c r="W3375" s="64" ph="1"/>
    </row>
    <row r="3376" spans="23:23" ht="26.4">
      <c r="W3376" s="64" ph="1"/>
    </row>
    <row r="3377" spans="23:23" ht="26.4">
      <c r="W3377" s="64" ph="1"/>
    </row>
    <row r="3378" spans="23:23" ht="26.4">
      <c r="W3378" s="64" ph="1"/>
    </row>
    <row r="3379" spans="23:23" ht="26.4">
      <c r="W3379" s="64" ph="1"/>
    </row>
    <row r="3380" spans="23:23" ht="26.4">
      <c r="W3380" s="64" ph="1"/>
    </row>
    <row r="3381" spans="23:23" ht="26.4">
      <c r="W3381" s="64" ph="1"/>
    </row>
    <row r="3382" spans="23:23" ht="26.4">
      <c r="W3382" s="64" ph="1"/>
    </row>
    <row r="3383" spans="23:23" ht="26.4">
      <c r="W3383" s="64" ph="1"/>
    </row>
    <row r="3384" spans="23:23" ht="26.4">
      <c r="W3384" s="64" ph="1"/>
    </row>
    <row r="3385" spans="23:23" ht="26.4">
      <c r="W3385" s="64" ph="1"/>
    </row>
    <row r="3386" spans="23:23" ht="26.4">
      <c r="W3386" s="64" ph="1"/>
    </row>
    <row r="3387" spans="23:23" ht="26.4">
      <c r="W3387" s="64" ph="1"/>
    </row>
    <row r="3388" spans="23:23" ht="26.4">
      <c r="W3388" s="64" ph="1"/>
    </row>
    <row r="3389" spans="23:23" ht="26.4">
      <c r="W3389" s="64" ph="1"/>
    </row>
    <row r="3390" spans="23:23" ht="26.4">
      <c r="W3390" s="64" ph="1"/>
    </row>
    <row r="3391" spans="23:23" ht="26.4">
      <c r="W3391" s="64" ph="1"/>
    </row>
    <row r="3392" spans="23:23" ht="26.4">
      <c r="W3392" s="64" ph="1"/>
    </row>
    <row r="3393" spans="23:23" ht="26.4">
      <c r="W3393" s="64" ph="1"/>
    </row>
    <row r="3394" spans="23:23" ht="26.4">
      <c r="W3394" s="64" ph="1"/>
    </row>
    <row r="3395" spans="23:23" ht="26.4">
      <c r="W3395" s="64" ph="1"/>
    </row>
    <row r="3396" spans="23:23" ht="26.4">
      <c r="W3396" s="64" ph="1"/>
    </row>
    <row r="3397" spans="23:23" ht="26.4">
      <c r="W3397" s="64" ph="1"/>
    </row>
    <row r="3398" spans="23:23" ht="26.4">
      <c r="W3398" s="64" ph="1"/>
    </row>
    <row r="3399" spans="23:23" ht="26.4">
      <c r="W3399" s="64" ph="1"/>
    </row>
    <row r="3400" spans="23:23" ht="26.4">
      <c r="W3400" s="64" ph="1"/>
    </row>
    <row r="3401" spans="23:23" ht="26.4">
      <c r="W3401" s="64" ph="1"/>
    </row>
    <row r="3402" spans="23:23" ht="26.4">
      <c r="W3402" s="64" ph="1"/>
    </row>
    <row r="3403" spans="23:23" ht="26.4">
      <c r="W3403" s="64" ph="1"/>
    </row>
    <row r="3404" spans="23:23" ht="26.4">
      <c r="W3404" s="64" ph="1"/>
    </row>
    <row r="3405" spans="23:23" ht="26.4">
      <c r="W3405" s="64" ph="1"/>
    </row>
    <row r="3406" spans="23:23" ht="26.4">
      <c r="W3406" s="64" ph="1"/>
    </row>
    <row r="3407" spans="23:23" ht="26.4">
      <c r="W3407" s="64" ph="1"/>
    </row>
    <row r="3408" spans="23:23" ht="26.4">
      <c r="W3408" s="64" ph="1"/>
    </row>
    <row r="3409" spans="23:23" ht="26.4">
      <c r="W3409" s="64" ph="1"/>
    </row>
    <row r="3410" spans="23:23" ht="26.4">
      <c r="W3410" s="64" ph="1"/>
    </row>
    <row r="3411" spans="23:23" ht="26.4">
      <c r="W3411" s="64" ph="1"/>
    </row>
    <row r="3412" spans="23:23" ht="26.4">
      <c r="W3412" s="64" ph="1"/>
    </row>
    <row r="3413" spans="23:23" ht="26.4">
      <c r="W3413" s="64" ph="1"/>
    </row>
    <row r="3414" spans="23:23" ht="26.4">
      <c r="W3414" s="64" ph="1"/>
    </row>
    <row r="3415" spans="23:23" ht="26.4">
      <c r="W3415" s="64" ph="1"/>
    </row>
    <row r="3416" spans="23:23" ht="26.4">
      <c r="W3416" s="64" ph="1"/>
    </row>
    <row r="3417" spans="23:23" ht="26.4">
      <c r="W3417" s="64" ph="1"/>
    </row>
    <row r="3418" spans="23:23" ht="26.4">
      <c r="W3418" s="64" ph="1"/>
    </row>
    <row r="3419" spans="23:23" ht="26.4">
      <c r="W3419" s="64" ph="1"/>
    </row>
    <row r="3420" spans="23:23" ht="26.4">
      <c r="W3420" s="64" ph="1"/>
    </row>
    <row r="3421" spans="23:23" ht="26.4">
      <c r="W3421" s="64" ph="1"/>
    </row>
    <row r="3422" spans="23:23" ht="26.4">
      <c r="W3422" s="64" ph="1"/>
    </row>
    <row r="3423" spans="23:23" ht="26.4">
      <c r="W3423" s="64" ph="1"/>
    </row>
    <row r="3424" spans="23:23" ht="26.4">
      <c r="W3424" s="64" ph="1"/>
    </row>
    <row r="3425" spans="23:23" ht="26.4">
      <c r="W3425" s="64" ph="1"/>
    </row>
    <row r="3426" spans="23:23" ht="26.4">
      <c r="W3426" s="64" ph="1"/>
    </row>
    <row r="3427" spans="23:23" ht="26.4">
      <c r="W3427" s="64" ph="1"/>
    </row>
    <row r="3428" spans="23:23" ht="26.4">
      <c r="W3428" s="64" ph="1"/>
    </row>
    <row r="3429" spans="23:23" ht="26.4">
      <c r="W3429" s="64" ph="1"/>
    </row>
    <row r="3430" spans="23:23" ht="26.4">
      <c r="W3430" s="64" ph="1"/>
    </row>
    <row r="3431" spans="23:23" ht="26.4">
      <c r="W3431" s="64" ph="1"/>
    </row>
    <row r="3432" spans="23:23" ht="26.4">
      <c r="W3432" s="64" ph="1"/>
    </row>
    <row r="3433" spans="23:23" ht="26.4">
      <c r="W3433" s="64" ph="1"/>
    </row>
    <row r="3434" spans="23:23" ht="26.4">
      <c r="W3434" s="64" ph="1"/>
    </row>
    <row r="3435" spans="23:23" ht="26.4">
      <c r="W3435" s="64" ph="1"/>
    </row>
    <row r="3436" spans="23:23" ht="26.4">
      <c r="W3436" s="64" ph="1"/>
    </row>
    <row r="3437" spans="23:23" ht="26.4">
      <c r="W3437" s="64" ph="1"/>
    </row>
    <row r="3438" spans="23:23" ht="26.4">
      <c r="W3438" s="64" ph="1"/>
    </row>
    <row r="3439" spans="23:23" ht="26.4">
      <c r="W3439" s="64" ph="1"/>
    </row>
    <row r="3440" spans="23:23" ht="26.4">
      <c r="W3440" s="64" ph="1"/>
    </row>
    <row r="3441" spans="23:23" ht="26.4">
      <c r="W3441" s="64" ph="1"/>
    </row>
    <row r="3442" spans="23:23" ht="26.4">
      <c r="W3442" s="64" ph="1"/>
    </row>
    <row r="3443" spans="23:23" ht="26.4">
      <c r="W3443" s="64" ph="1"/>
    </row>
    <row r="3444" spans="23:23" ht="26.4">
      <c r="W3444" s="64" ph="1"/>
    </row>
    <row r="3445" spans="23:23" ht="26.4">
      <c r="W3445" s="64" ph="1"/>
    </row>
    <row r="3446" spans="23:23" ht="26.4">
      <c r="W3446" s="64" ph="1"/>
    </row>
    <row r="3447" spans="23:23" ht="26.4">
      <c r="W3447" s="64" ph="1"/>
    </row>
    <row r="3448" spans="23:23" ht="26.4">
      <c r="W3448" s="64" ph="1"/>
    </row>
    <row r="3449" spans="23:23" ht="26.4">
      <c r="W3449" s="64" ph="1"/>
    </row>
    <row r="3450" spans="23:23" ht="26.4">
      <c r="W3450" s="64" ph="1"/>
    </row>
    <row r="3451" spans="23:23" ht="26.4">
      <c r="W3451" s="64" ph="1"/>
    </row>
    <row r="3452" spans="23:23" ht="26.4">
      <c r="W3452" s="64" ph="1"/>
    </row>
    <row r="3453" spans="23:23" ht="26.4">
      <c r="W3453" s="64" ph="1"/>
    </row>
    <row r="3454" spans="23:23" ht="26.4">
      <c r="W3454" s="64" ph="1"/>
    </row>
    <row r="3455" spans="23:23" ht="26.4">
      <c r="W3455" s="64" ph="1"/>
    </row>
    <row r="3456" spans="23:23" ht="26.4">
      <c r="W3456" s="64" ph="1"/>
    </row>
    <row r="3457" spans="23:23" ht="26.4">
      <c r="W3457" s="64" ph="1"/>
    </row>
    <row r="3458" spans="23:23" ht="26.4">
      <c r="W3458" s="64" ph="1"/>
    </row>
    <row r="3459" spans="23:23" ht="26.4">
      <c r="W3459" s="64" ph="1"/>
    </row>
    <row r="3460" spans="23:23" ht="26.4">
      <c r="W3460" s="64" ph="1"/>
    </row>
    <row r="3461" spans="23:23" ht="26.4">
      <c r="W3461" s="64" ph="1"/>
    </row>
    <row r="3462" spans="23:23" ht="26.4">
      <c r="W3462" s="64" ph="1"/>
    </row>
    <row r="3463" spans="23:23" ht="26.4">
      <c r="W3463" s="64" ph="1"/>
    </row>
    <row r="3464" spans="23:23" ht="26.4">
      <c r="W3464" s="64" ph="1"/>
    </row>
    <row r="3465" spans="23:23" ht="26.4">
      <c r="W3465" s="64" ph="1"/>
    </row>
    <row r="3466" spans="23:23" ht="26.4">
      <c r="W3466" s="64" ph="1"/>
    </row>
    <row r="3467" spans="23:23" ht="26.4">
      <c r="W3467" s="64" ph="1"/>
    </row>
    <row r="3468" spans="23:23" ht="26.4">
      <c r="W3468" s="64" ph="1"/>
    </row>
    <row r="3469" spans="23:23" ht="26.4">
      <c r="W3469" s="64" ph="1"/>
    </row>
    <row r="3470" spans="23:23" ht="26.4">
      <c r="W3470" s="64" ph="1"/>
    </row>
    <row r="3471" spans="23:23" ht="26.4">
      <c r="W3471" s="64" ph="1"/>
    </row>
    <row r="3472" spans="23:23" ht="26.4">
      <c r="W3472" s="64" ph="1"/>
    </row>
    <row r="3473" spans="23:23" ht="26.4">
      <c r="W3473" s="64" ph="1"/>
    </row>
    <row r="3474" spans="23:23" ht="26.4">
      <c r="W3474" s="64" ph="1"/>
    </row>
    <row r="3475" spans="23:23" ht="26.4">
      <c r="W3475" s="64" ph="1"/>
    </row>
    <row r="3476" spans="23:23" ht="26.4">
      <c r="W3476" s="64" ph="1"/>
    </row>
    <row r="3477" spans="23:23" ht="26.4">
      <c r="W3477" s="64" ph="1"/>
    </row>
    <row r="3478" spans="23:23" ht="26.4">
      <c r="W3478" s="64" ph="1"/>
    </row>
    <row r="3479" spans="23:23" ht="26.4">
      <c r="W3479" s="64" ph="1"/>
    </row>
    <row r="3480" spans="23:23" ht="26.4">
      <c r="W3480" s="64" ph="1"/>
    </row>
    <row r="3481" spans="23:23" ht="26.4">
      <c r="W3481" s="64" ph="1"/>
    </row>
    <row r="3482" spans="23:23" ht="26.4">
      <c r="W3482" s="64" ph="1"/>
    </row>
    <row r="3483" spans="23:23" ht="26.4">
      <c r="W3483" s="64" ph="1"/>
    </row>
    <row r="3484" spans="23:23" ht="26.4">
      <c r="W3484" s="64" ph="1"/>
    </row>
    <row r="3485" spans="23:23" ht="26.4">
      <c r="W3485" s="64" ph="1"/>
    </row>
    <row r="3486" spans="23:23" ht="26.4">
      <c r="W3486" s="64" ph="1"/>
    </row>
    <row r="3487" spans="23:23" ht="26.4">
      <c r="W3487" s="64" ph="1"/>
    </row>
    <row r="3488" spans="23:23" ht="26.4">
      <c r="W3488" s="64" ph="1"/>
    </row>
    <row r="3489" spans="23:23" ht="26.4">
      <c r="W3489" s="64" ph="1"/>
    </row>
    <row r="3490" spans="23:23" ht="26.4">
      <c r="W3490" s="64" ph="1"/>
    </row>
    <row r="3491" spans="23:23" ht="26.4">
      <c r="W3491" s="64" ph="1"/>
    </row>
    <row r="3492" spans="23:23" ht="26.4">
      <c r="W3492" s="64" ph="1"/>
    </row>
    <row r="3493" spans="23:23" ht="26.4">
      <c r="W3493" s="64" ph="1"/>
    </row>
    <row r="3494" spans="23:23" ht="26.4">
      <c r="W3494" s="64" ph="1"/>
    </row>
    <row r="3495" spans="23:23" ht="26.4">
      <c r="W3495" s="64" ph="1"/>
    </row>
    <row r="3496" spans="23:23" ht="26.4">
      <c r="W3496" s="64" ph="1"/>
    </row>
    <row r="3497" spans="23:23" ht="26.4">
      <c r="W3497" s="64" ph="1"/>
    </row>
    <row r="3498" spans="23:23" ht="26.4">
      <c r="W3498" s="64" ph="1"/>
    </row>
    <row r="3499" spans="23:23" ht="26.4">
      <c r="W3499" s="64" ph="1"/>
    </row>
    <row r="3500" spans="23:23" ht="26.4">
      <c r="W3500" s="64" ph="1"/>
    </row>
    <row r="3501" spans="23:23" ht="26.4">
      <c r="W3501" s="64" ph="1"/>
    </row>
    <row r="3502" spans="23:23" ht="26.4">
      <c r="W3502" s="64" ph="1"/>
    </row>
    <row r="3503" spans="23:23" ht="26.4">
      <c r="W3503" s="64" ph="1"/>
    </row>
    <row r="3504" spans="23:23" ht="26.4">
      <c r="W3504" s="64" ph="1"/>
    </row>
    <row r="3505" spans="23:23" ht="26.4">
      <c r="W3505" s="64" ph="1"/>
    </row>
    <row r="3506" spans="23:23" ht="26.4">
      <c r="W3506" s="64" ph="1"/>
    </row>
    <row r="3507" spans="23:23" ht="26.4">
      <c r="W3507" s="64" ph="1"/>
    </row>
    <row r="3508" spans="23:23" ht="26.4">
      <c r="W3508" s="64" ph="1"/>
    </row>
    <row r="3509" spans="23:23" ht="26.4">
      <c r="W3509" s="64" ph="1"/>
    </row>
    <row r="3510" spans="23:23" ht="26.4">
      <c r="W3510" s="64" ph="1"/>
    </row>
    <row r="3511" spans="23:23" ht="26.4">
      <c r="W3511" s="64" ph="1"/>
    </row>
    <row r="3512" spans="23:23" ht="26.4">
      <c r="W3512" s="64" ph="1"/>
    </row>
    <row r="3513" spans="23:23" ht="26.4">
      <c r="W3513" s="64" ph="1"/>
    </row>
    <row r="3514" spans="23:23" ht="26.4">
      <c r="W3514" s="64" ph="1"/>
    </row>
    <row r="3515" spans="23:23" ht="26.4">
      <c r="W3515" s="64" ph="1"/>
    </row>
    <row r="3516" spans="23:23" ht="26.4">
      <c r="W3516" s="64" ph="1"/>
    </row>
    <row r="3517" spans="23:23" ht="26.4">
      <c r="W3517" s="64" ph="1"/>
    </row>
    <row r="3518" spans="23:23" ht="26.4">
      <c r="W3518" s="64" ph="1"/>
    </row>
    <row r="3519" spans="23:23" ht="26.4">
      <c r="W3519" s="64" ph="1"/>
    </row>
    <row r="3520" spans="23:23" ht="26.4">
      <c r="W3520" s="64" ph="1"/>
    </row>
    <row r="3521" spans="23:23" ht="26.4">
      <c r="W3521" s="64" ph="1"/>
    </row>
    <row r="3522" spans="23:23" ht="26.4">
      <c r="W3522" s="64" ph="1"/>
    </row>
    <row r="3523" spans="23:23" ht="26.4">
      <c r="W3523" s="64" ph="1"/>
    </row>
    <row r="3524" spans="23:23" ht="26.4">
      <c r="W3524" s="64" ph="1"/>
    </row>
    <row r="3525" spans="23:23" ht="26.4">
      <c r="W3525" s="64" ph="1"/>
    </row>
    <row r="3526" spans="23:23" ht="26.4">
      <c r="W3526" s="64" ph="1"/>
    </row>
    <row r="3527" spans="23:23" ht="26.4">
      <c r="W3527" s="64" ph="1"/>
    </row>
    <row r="3528" spans="23:23" ht="26.4">
      <c r="W3528" s="64" ph="1"/>
    </row>
    <row r="3529" spans="23:23" ht="26.4">
      <c r="W3529" s="64" ph="1"/>
    </row>
    <row r="3530" spans="23:23" ht="26.4">
      <c r="W3530" s="64" ph="1"/>
    </row>
    <row r="3531" spans="23:23" ht="26.4">
      <c r="W3531" s="64" ph="1"/>
    </row>
    <row r="3532" spans="23:23" ht="26.4">
      <c r="W3532" s="64" ph="1"/>
    </row>
    <row r="3533" spans="23:23" ht="26.4">
      <c r="W3533" s="64" ph="1"/>
    </row>
    <row r="3534" spans="23:23" ht="26.4">
      <c r="W3534" s="64" ph="1"/>
    </row>
    <row r="3535" spans="23:23" ht="26.4">
      <c r="W3535" s="64" ph="1"/>
    </row>
    <row r="3536" spans="23:23" ht="26.4">
      <c r="W3536" s="64" ph="1"/>
    </row>
    <row r="3537" spans="23:23" ht="26.4">
      <c r="W3537" s="64" ph="1"/>
    </row>
    <row r="3538" spans="23:23" ht="26.4">
      <c r="W3538" s="64" ph="1"/>
    </row>
    <row r="3539" spans="23:23" ht="26.4">
      <c r="W3539" s="64" ph="1"/>
    </row>
    <row r="3540" spans="23:23" ht="26.4">
      <c r="W3540" s="64" ph="1"/>
    </row>
    <row r="3541" spans="23:23" ht="26.4">
      <c r="W3541" s="64" ph="1"/>
    </row>
    <row r="3542" spans="23:23" ht="26.4">
      <c r="W3542" s="64" ph="1"/>
    </row>
    <row r="3543" spans="23:23" ht="26.4">
      <c r="W3543" s="64" ph="1"/>
    </row>
    <row r="3544" spans="23:23" ht="26.4">
      <c r="W3544" s="64" ph="1"/>
    </row>
    <row r="3545" spans="23:23" ht="26.4">
      <c r="W3545" s="64" ph="1"/>
    </row>
    <row r="3546" spans="23:23" ht="26.4">
      <c r="W3546" s="64" ph="1"/>
    </row>
    <row r="3547" spans="23:23" ht="26.4">
      <c r="W3547" s="64" ph="1"/>
    </row>
    <row r="3548" spans="23:23" ht="26.4">
      <c r="W3548" s="64" ph="1"/>
    </row>
    <row r="3549" spans="23:23" ht="26.4">
      <c r="W3549" s="64" ph="1"/>
    </row>
    <row r="3550" spans="23:23" ht="26.4">
      <c r="W3550" s="64" ph="1"/>
    </row>
    <row r="3551" spans="23:23" ht="26.4">
      <c r="W3551" s="64" ph="1"/>
    </row>
    <row r="3552" spans="23:23" ht="26.4">
      <c r="W3552" s="64" ph="1"/>
    </row>
    <row r="3553" spans="23:23" ht="26.4">
      <c r="W3553" s="64" ph="1"/>
    </row>
    <row r="3554" spans="23:23" ht="26.4">
      <c r="W3554" s="64" ph="1"/>
    </row>
    <row r="3555" spans="23:23" ht="26.4">
      <c r="W3555" s="64" ph="1"/>
    </row>
    <row r="3556" spans="23:23" ht="26.4">
      <c r="W3556" s="64" ph="1"/>
    </row>
    <row r="3557" spans="23:23" ht="26.4">
      <c r="W3557" s="64" ph="1"/>
    </row>
    <row r="3558" spans="23:23" ht="26.4">
      <c r="W3558" s="64" ph="1"/>
    </row>
    <row r="3559" spans="23:23" ht="26.4">
      <c r="W3559" s="64" ph="1"/>
    </row>
    <row r="3560" spans="23:23" ht="26.4">
      <c r="W3560" s="64" ph="1"/>
    </row>
    <row r="3561" spans="23:23" ht="26.4">
      <c r="W3561" s="64" ph="1"/>
    </row>
    <row r="3562" spans="23:23" ht="26.4">
      <c r="W3562" s="64" ph="1"/>
    </row>
    <row r="3563" spans="23:23" ht="26.4">
      <c r="W3563" s="64" ph="1"/>
    </row>
    <row r="3564" spans="23:23" ht="26.4">
      <c r="W3564" s="64" ph="1"/>
    </row>
    <row r="3565" spans="23:23" ht="26.4">
      <c r="W3565" s="64" ph="1"/>
    </row>
    <row r="3566" spans="23:23" ht="26.4">
      <c r="W3566" s="64" ph="1"/>
    </row>
    <row r="3567" spans="23:23" ht="26.4">
      <c r="W3567" s="64" ph="1"/>
    </row>
    <row r="3568" spans="23:23" ht="26.4">
      <c r="W3568" s="64" ph="1"/>
    </row>
    <row r="3569" spans="23:23" ht="26.4">
      <c r="W3569" s="64" ph="1"/>
    </row>
    <row r="3570" spans="23:23" ht="26.4">
      <c r="W3570" s="64" ph="1"/>
    </row>
    <row r="3571" spans="23:23" ht="26.4">
      <c r="W3571" s="64" ph="1"/>
    </row>
    <row r="3572" spans="23:23" ht="26.4">
      <c r="W3572" s="64" ph="1"/>
    </row>
    <row r="3573" spans="23:23" ht="26.4">
      <c r="W3573" s="64" ph="1"/>
    </row>
    <row r="3574" spans="23:23" ht="26.4">
      <c r="W3574" s="64" ph="1"/>
    </row>
    <row r="3575" spans="23:23" ht="26.4">
      <c r="W3575" s="64" ph="1"/>
    </row>
    <row r="3576" spans="23:23" ht="26.4">
      <c r="W3576" s="64" ph="1"/>
    </row>
    <row r="3577" spans="23:23" ht="26.4">
      <c r="W3577" s="64" ph="1"/>
    </row>
    <row r="3578" spans="23:23" ht="26.4">
      <c r="W3578" s="64" ph="1"/>
    </row>
    <row r="3579" spans="23:23" ht="26.4">
      <c r="W3579" s="64" ph="1"/>
    </row>
    <row r="3580" spans="23:23" ht="26.4">
      <c r="W3580" s="64" ph="1"/>
    </row>
    <row r="3581" spans="23:23" ht="26.4">
      <c r="W3581" s="64" ph="1"/>
    </row>
    <row r="3582" spans="23:23" ht="26.4">
      <c r="W3582" s="64" ph="1"/>
    </row>
    <row r="3583" spans="23:23" ht="26.4">
      <c r="W3583" s="64" ph="1"/>
    </row>
    <row r="3584" spans="23:23" ht="26.4">
      <c r="W3584" s="64" ph="1"/>
    </row>
    <row r="3585" spans="23:23" ht="26.4">
      <c r="W3585" s="64" ph="1"/>
    </row>
    <row r="3586" spans="23:23" ht="26.4">
      <c r="W3586" s="64" ph="1"/>
    </row>
    <row r="3587" spans="23:23" ht="26.4">
      <c r="W3587" s="64" ph="1"/>
    </row>
    <row r="3588" spans="23:23" ht="26.4">
      <c r="W3588" s="64" ph="1"/>
    </row>
    <row r="3589" spans="23:23" ht="26.4">
      <c r="W3589" s="64" ph="1"/>
    </row>
    <row r="3590" spans="23:23" ht="26.4">
      <c r="W3590" s="64" ph="1"/>
    </row>
    <row r="3591" spans="23:23" ht="26.4">
      <c r="W3591" s="64" ph="1"/>
    </row>
    <row r="3592" spans="23:23" ht="26.4">
      <c r="W3592" s="64" ph="1"/>
    </row>
    <row r="3593" spans="23:23" ht="26.4">
      <c r="W3593" s="64" ph="1"/>
    </row>
    <row r="3594" spans="23:23" ht="26.4">
      <c r="W3594" s="64" ph="1"/>
    </row>
    <row r="3595" spans="23:23" ht="26.4">
      <c r="W3595" s="64" ph="1"/>
    </row>
    <row r="3596" spans="23:23" ht="26.4">
      <c r="W3596" s="64" ph="1"/>
    </row>
    <row r="3597" spans="23:23" ht="26.4">
      <c r="W3597" s="64" ph="1"/>
    </row>
    <row r="3598" spans="23:23" ht="26.4">
      <c r="W3598" s="64" ph="1"/>
    </row>
    <row r="3599" spans="23:23" ht="26.4">
      <c r="W3599" s="64" ph="1"/>
    </row>
    <row r="3600" spans="23:23" ht="26.4">
      <c r="W3600" s="64" ph="1"/>
    </row>
    <row r="3601" spans="23:23" ht="26.4">
      <c r="W3601" s="64" ph="1"/>
    </row>
    <row r="3602" spans="23:23" ht="26.4">
      <c r="W3602" s="64" ph="1"/>
    </row>
    <row r="3603" spans="23:23" ht="26.4">
      <c r="W3603" s="64" ph="1"/>
    </row>
    <row r="3604" spans="23:23" ht="26.4">
      <c r="W3604" s="64" ph="1"/>
    </row>
    <row r="3605" spans="23:23" ht="26.4">
      <c r="W3605" s="64" ph="1"/>
    </row>
    <row r="3606" spans="23:23" ht="26.4">
      <c r="W3606" s="64" ph="1"/>
    </row>
    <row r="3607" spans="23:23" ht="26.4">
      <c r="W3607" s="64" ph="1"/>
    </row>
    <row r="3608" spans="23:23" ht="26.4">
      <c r="W3608" s="64" ph="1"/>
    </row>
    <row r="3609" spans="23:23" ht="26.4">
      <c r="W3609" s="64" ph="1"/>
    </row>
    <row r="3610" spans="23:23" ht="26.4">
      <c r="W3610" s="64" ph="1"/>
    </row>
    <row r="3611" spans="23:23" ht="26.4">
      <c r="W3611" s="64" ph="1"/>
    </row>
    <row r="3612" spans="23:23" ht="26.4">
      <c r="W3612" s="64" ph="1"/>
    </row>
    <row r="3613" spans="23:23" ht="26.4">
      <c r="W3613" s="64" ph="1"/>
    </row>
    <row r="3614" spans="23:23" ht="26.4">
      <c r="W3614" s="64" ph="1"/>
    </row>
    <row r="3615" spans="23:23" ht="26.4">
      <c r="W3615" s="64" ph="1"/>
    </row>
    <row r="3616" spans="23:23" ht="26.4">
      <c r="W3616" s="64" ph="1"/>
    </row>
    <row r="3617" spans="23:23" ht="26.4">
      <c r="W3617" s="64" ph="1"/>
    </row>
    <row r="3618" spans="23:23" ht="26.4">
      <c r="W3618" s="64" ph="1"/>
    </row>
    <row r="3619" spans="23:23" ht="26.4">
      <c r="W3619" s="64" ph="1"/>
    </row>
    <row r="3620" spans="23:23" ht="26.4">
      <c r="W3620" s="64" ph="1"/>
    </row>
    <row r="3621" spans="23:23" ht="26.4">
      <c r="W3621" s="64" ph="1"/>
    </row>
    <row r="3622" spans="23:23" ht="26.4">
      <c r="W3622" s="64" ph="1"/>
    </row>
    <row r="3623" spans="23:23" ht="26.4">
      <c r="W3623" s="64" ph="1"/>
    </row>
    <row r="3624" spans="23:23" ht="26.4">
      <c r="W3624" s="64" ph="1"/>
    </row>
    <row r="3625" spans="23:23" ht="26.4">
      <c r="W3625" s="64" ph="1"/>
    </row>
    <row r="3626" spans="23:23" ht="26.4">
      <c r="W3626" s="64" ph="1"/>
    </row>
    <row r="3627" spans="23:23" ht="26.4">
      <c r="W3627" s="64" ph="1"/>
    </row>
    <row r="3628" spans="23:23" ht="26.4">
      <c r="W3628" s="64" ph="1"/>
    </row>
    <row r="3629" spans="23:23" ht="26.4">
      <c r="W3629" s="64" ph="1"/>
    </row>
    <row r="3630" spans="23:23" ht="26.4">
      <c r="W3630" s="64" ph="1"/>
    </row>
    <row r="3631" spans="23:23" ht="26.4">
      <c r="W3631" s="64" ph="1"/>
    </row>
    <row r="3632" spans="23:23" ht="26.4">
      <c r="W3632" s="64" ph="1"/>
    </row>
    <row r="3633" spans="23:23" ht="26.4">
      <c r="W3633" s="64" ph="1"/>
    </row>
    <row r="3634" spans="23:23" ht="26.4">
      <c r="W3634" s="64" ph="1"/>
    </row>
    <row r="3635" spans="23:23" ht="26.4">
      <c r="W3635" s="64" ph="1"/>
    </row>
    <row r="3636" spans="23:23" ht="26.4">
      <c r="W3636" s="64" ph="1"/>
    </row>
    <row r="3637" spans="23:23" ht="26.4">
      <c r="W3637" s="64" ph="1"/>
    </row>
    <row r="3638" spans="23:23" ht="26.4">
      <c r="W3638" s="64" ph="1"/>
    </row>
    <row r="3639" spans="23:23" ht="26.4">
      <c r="W3639" s="64" ph="1"/>
    </row>
    <row r="3640" spans="23:23" ht="26.4">
      <c r="W3640" s="64" ph="1"/>
    </row>
    <row r="3641" spans="23:23" ht="26.4">
      <c r="W3641" s="64" ph="1"/>
    </row>
    <row r="3642" spans="23:23" ht="26.4">
      <c r="W3642" s="64" ph="1"/>
    </row>
    <row r="3643" spans="23:23" ht="26.4">
      <c r="W3643" s="64" ph="1"/>
    </row>
    <row r="3644" spans="23:23" ht="26.4">
      <c r="W3644" s="64" ph="1"/>
    </row>
    <row r="3645" spans="23:23" ht="26.4">
      <c r="W3645" s="64" ph="1"/>
    </row>
    <row r="3646" spans="23:23" ht="26.4">
      <c r="W3646" s="64" ph="1"/>
    </row>
    <row r="3647" spans="23:23" ht="26.4">
      <c r="W3647" s="64" ph="1"/>
    </row>
    <row r="3648" spans="23:23" ht="26.4">
      <c r="W3648" s="64" ph="1"/>
    </row>
    <row r="3649" spans="23:23" ht="26.4">
      <c r="W3649" s="64" ph="1"/>
    </row>
    <row r="3650" spans="23:23" ht="26.4">
      <c r="W3650" s="64" ph="1"/>
    </row>
    <row r="3651" spans="23:23" ht="26.4">
      <c r="W3651" s="64" ph="1"/>
    </row>
    <row r="3652" spans="23:23" ht="26.4">
      <c r="W3652" s="64" ph="1"/>
    </row>
    <row r="3653" spans="23:23" ht="26.4">
      <c r="W3653" s="64" ph="1"/>
    </row>
    <row r="3654" spans="23:23" ht="26.4">
      <c r="W3654" s="64" ph="1"/>
    </row>
    <row r="3655" spans="23:23" ht="26.4">
      <c r="W3655" s="64" ph="1"/>
    </row>
    <row r="3656" spans="23:23" ht="26.4">
      <c r="W3656" s="64" ph="1"/>
    </row>
    <row r="3657" spans="23:23" ht="26.4">
      <c r="W3657" s="64" ph="1"/>
    </row>
    <row r="3658" spans="23:23" ht="26.4">
      <c r="W3658" s="64" ph="1"/>
    </row>
    <row r="3659" spans="23:23" ht="26.4">
      <c r="W3659" s="64" ph="1"/>
    </row>
    <row r="3660" spans="23:23" ht="26.4">
      <c r="W3660" s="64" ph="1"/>
    </row>
    <row r="3661" spans="23:23" ht="26.4">
      <c r="W3661" s="64" ph="1"/>
    </row>
    <row r="3662" spans="23:23" ht="26.4">
      <c r="W3662" s="64" ph="1"/>
    </row>
    <row r="3663" spans="23:23" ht="26.4">
      <c r="W3663" s="64" ph="1"/>
    </row>
    <row r="3664" spans="23:23" ht="26.4">
      <c r="W3664" s="64" ph="1"/>
    </row>
    <row r="3665" spans="23:23" ht="26.4">
      <c r="W3665" s="64" ph="1"/>
    </row>
    <row r="3666" spans="23:23" ht="26.4">
      <c r="W3666" s="64" ph="1"/>
    </row>
    <row r="3667" spans="23:23" ht="26.4">
      <c r="W3667" s="64" ph="1"/>
    </row>
    <row r="3668" spans="23:23" ht="26.4">
      <c r="W3668" s="64" ph="1"/>
    </row>
    <row r="3669" spans="23:23" ht="26.4">
      <c r="W3669" s="64" ph="1"/>
    </row>
    <row r="3670" spans="23:23" ht="26.4">
      <c r="W3670" s="64" ph="1"/>
    </row>
    <row r="3671" spans="23:23" ht="26.4">
      <c r="W3671" s="64" ph="1"/>
    </row>
    <row r="3672" spans="23:23" ht="26.4">
      <c r="W3672" s="64" ph="1"/>
    </row>
    <row r="3673" spans="23:23" ht="26.4">
      <c r="W3673" s="64" ph="1"/>
    </row>
    <row r="3674" spans="23:23" ht="26.4">
      <c r="W3674" s="64" ph="1"/>
    </row>
    <row r="3675" spans="23:23" ht="26.4">
      <c r="W3675" s="64" ph="1"/>
    </row>
    <row r="3676" spans="23:23" ht="26.4">
      <c r="W3676" s="64" ph="1"/>
    </row>
    <row r="3677" spans="23:23" ht="26.4">
      <c r="W3677" s="64" ph="1"/>
    </row>
    <row r="3678" spans="23:23" ht="26.4">
      <c r="W3678" s="64" ph="1"/>
    </row>
    <row r="3679" spans="23:23" ht="26.4">
      <c r="W3679" s="64" ph="1"/>
    </row>
    <row r="3680" spans="23:23" ht="26.4">
      <c r="W3680" s="64" ph="1"/>
    </row>
    <row r="3681" spans="23:23" ht="26.4">
      <c r="W3681" s="64" ph="1"/>
    </row>
    <row r="3682" spans="23:23" ht="26.4">
      <c r="W3682" s="64" ph="1"/>
    </row>
    <row r="3683" spans="23:23" ht="26.4">
      <c r="W3683" s="64" ph="1"/>
    </row>
    <row r="3684" spans="23:23" ht="26.4">
      <c r="W3684" s="64" ph="1"/>
    </row>
    <row r="3685" spans="23:23" ht="26.4">
      <c r="W3685" s="64" ph="1"/>
    </row>
    <row r="3686" spans="23:23" ht="26.4">
      <c r="W3686" s="64" ph="1"/>
    </row>
    <row r="3687" spans="23:23" ht="26.4">
      <c r="W3687" s="64" ph="1"/>
    </row>
    <row r="3688" spans="23:23" ht="26.4">
      <c r="W3688" s="64" ph="1"/>
    </row>
    <row r="3689" spans="23:23" ht="26.4">
      <c r="W3689" s="64" ph="1"/>
    </row>
    <row r="3690" spans="23:23" ht="26.4">
      <c r="W3690" s="64" ph="1"/>
    </row>
    <row r="3691" spans="23:23" ht="26.4">
      <c r="W3691" s="64" ph="1"/>
    </row>
    <row r="3692" spans="23:23" ht="26.4">
      <c r="W3692" s="64" ph="1"/>
    </row>
    <row r="3693" spans="23:23" ht="26.4">
      <c r="W3693" s="64" ph="1"/>
    </row>
    <row r="3694" spans="23:23" ht="26.4">
      <c r="W3694" s="64" ph="1"/>
    </row>
    <row r="3695" spans="23:23" ht="26.4">
      <c r="W3695" s="64" ph="1"/>
    </row>
    <row r="3696" spans="23:23" ht="26.4">
      <c r="W3696" s="64" ph="1"/>
    </row>
    <row r="3697" spans="23:23" ht="26.4">
      <c r="W3697" s="64" ph="1"/>
    </row>
    <row r="3698" spans="23:23" ht="26.4">
      <c r="W3698" s="64" ph="1"/>
    </row>
    <row r="3699" spans="23:23" ht="26.4">
      <c r="W3699" s="64" ph="1"/>
    </row>
    <row r="3700" spans="23:23" ht="26.4">
      <c r="W3700" s="64" ph="1"/>
    </row>
    <row r="3701" spans="23:23" ht="26.4">
      <c r="W3701" s="64" ph="1"/>
    </row>
    <row r="3702" spans="23:23" ht="26.4">
      <c r="W3702" s="64" ph="1"/>
    </row>
    <row r="3703" spans="23:23" ht="26.4">
      <c r="W3703" s="64" ph="1"/>
    </row>
    <row r="3704" spans="23:23" ht="26.4">
      <c r="W3704" s="64" ph="1"/>
    </row>
    <row r="3705" spans="23:23" ht="26.4">
      <c r="W3705" s="64" ph="1"/>
    </row>
    <row r="3706" spans="23:23" ht="26.4">
      <c r="W3706" s="64" ph="1"/>
    </row>
    <row r="3707" spans="23:23" ht="26.4">
      <c r="W3707" s="64" ph="1"/>
    </row>
    <row r="3708" spans="23:23" ht="26.4">
      <c r="W3708" s="64" ph="1"/>
    </row>
    <row r="3709" spans="23:23" ht="26.4">
      <c r="W3709" s="64" ph="1"/>
    </row>
    <row r="3710" spans="23:23" ht="26.4">
      <c r="W3710" s="64" ph="1"/>
    </row>
    <row r="3711" spans="23:23" ht="26.4">
      <c r="W3711" s="64" ph="1"/>
    </row>
    <row r="3712" spans="23:23" ht="26.4">
      <c r="W3712" s="64" ph="1"/>
    </row>
    <row r="3713" spans="23:23" ht="26.4">
      <c r="W3713" s="64" ph="1"/>
    </row>
    <row r="3714" spans="23:23" ht="26.4">
      <c r="W3714" s="64" ph="1"/>
    </row>
    <row r="3715" spans="23:23" ht="26.4">
      <c r="W3715" s="64" ph="1"/>
    </row>
    <row r="3716" spans="23:23" ht="26.4">
      <c r="W3716" s="64" ph="1"/>
    </row>
    <row r="3717" spans="23:23" ht="26.4">
      <c r="W3717" s="64" ph="1"/>
    </row>
    <row r="3718" spans="23:23" ht="26.4">
      <c r="W3718" s="64" ph="1"/>
    </row>
    <row r="3719" spans="23:23" ht="26.4">
      <c r="W3719" s="64" ph="1"/>
    </row>
    <row r="3720" spans="23:23" ht="26.4">
      <c r="W3720" s="64" ph="1"/>
    </row>
    <row r="3721" spans="23:23" ht="26.4">
      <c r="W3721" s="64" ph="1"/>
    </row>
    <row r="3722" spans="23:23" ht="26.4">
      <c r="W3722" s="64" ph="1"/>
    </row>
    <row r="3723" spans="23:23" ht="26.4">
      <c r="W3723" s="64" ph="1"/>
    </row>
    <row r="3724" spans="23:23" ht="26.4">
      <c r="W3724" s="64" ph="1"/>
    </row>
    <row r="3725" spans="23:23" ht="26.4">
      <c r="W3725" s="64" ph="1"/>
    </row>
    <row r="3726" spans="23:23" ht="26.4">
      <c r="W3726" s="64" ph="1"/>
    </row>
    <row r="3727" spans="23:23" ht="26.4">
      <c r="W3727" s="64" ph="1"/>
    </row>
    <row r="3728" spans="23:23" ht="26.4">
      <c r="W3728" s="64" ph="1"/>
    </row>
    <row r="3729" spans="23:23" ht="26.4">
      <c r="W3729" s="64" ph="1"/>
    </row>
    <row r="3730" spans="23:23" ht="26.4">
      <c r="W3730" s="64" ph="1"/>
    </row>
    <row r="3731" spans="23:23" ht="26.4">
      <c r="W3731" s="64" ph="1"/>
    </row>
    <row r="3732" spans="23:23" ht="26.4">
      <c r="W3732" s="64" ph="1"/>
    </row>
    <row r="3733" spans="23:23" ht="26.4">
      <c r="W3733" s="64" ph="1"/>
    </row>
    <row r="3734" spans="23:23" ht="26.4">
      <c r="W3734" s="64" ph="1"/>
    </row>
    <row r="3735" spans="23:23" ht="26.4">
      <c r="W3735" s="64" ph="1"/>
    </row>
    <row r="3736" spans="23:23" ht="26.4">
      <c r="W3736" s="64" ph="1"/>
    </row>
    <row r="3737" spans="23:23" ht="26.4">
      <c r="W3737" s="64" ph="1"/>
    </row>
    <row r="3738" spans="23:23" ht="26.4">
      <c r="W3738" s="64" ph="1"/>
    </row>
    <row r="3739" spans="23:23" ht="26.4">
      <c r="W3739" s="64" ph="1"/>
    </row>
    <row r="3740" spans="23:23" ht="26.4">
      <c r="W3740" s="64" ph="1"/>
    </row>
    <row r="3741" spans="23:23" ht="26.4">
      <c r="W3741" s="64" ph="1"/>
    </row>
    <row r="3742" spans="23:23" ht="26.4">
      <c r="W3742" s="64" ph="1"/>
    </row>
    <row r="3743" spans="23:23" ht="26.4">
      <c r="W3743" s="64" ph="1"/>
    </row>
    <row r="3744" spans="23:23" ht="26.4">
      <c r="W3744" s="64" ph="1"/>
    </row>
    <row r="3745" spans="23:23" ht="26.4">
      <c r="W3745" s="64" ph="1"/>
    </row>
    <row r="3746" spans="23:23" ht="26.4">
      <c r="W3746" s="64" ph="1"/>
    </row>
    <row r="3747" spans="23:23" ht="26.4">
      <c r="W3747" s="64" ph="1"/>
    </row>
    <row r="3748" spans="23:23" ht="26.4">
      <c r="W3748" s="64" ph="1"/>
    </row>
    <row r="3749" spans="23:23" ht="26.4">
      <c r="W3749" s="64" ph="1"/>
    </row>
    <row r="3750" spans="23:23" ht="26.4">
      <c r="W3750" s="64" ph="1"/>
    </row>
    <row r="3751" spans="23:23" ht="26.4">
      <c r="W3751" s="64" ph="1"/>
    </row>
    <row r="3752" spans="23:23" ht="26.4">
      <c r="W3752" s="64" ph="1"/>
    </row>
    <row r="3753" spans="23:23" ht="26.4">
      <c r="W3753" s="64" ph="1"/>
    </row>
    <row r="3754" spans="23:23" ht="26.4">
      <c r="W3754" s="64" ph="1"/>
    </row>
    <row r="3755" spans="23:23" ht="26.4">
      <c r="W3755" s="64" ph="1"/>
    </row>
    <row r="3756" spans="23:23" ht="26.4">
      <c r="W3756" s="64" ph="1"/>
    </row>
    <row r="3757" spans="23:23" ht="26.4">
      <c r="W3757" s="64" ph="1"/>
    </row>
    <row r="3758" spans="23:23" ht="26.4">
      <c r="W3758" s="64" ph="1"/>
    </row>
    <row r="3759" spans="23:23" ht="26.4">
      <c r="W3759" s="64" ph="1"/>
    </row>
    <row r="3760" spans="23:23" ht="26.4">
      <c r="W3760" s="64" ph="1"/>
    </row>
    <row r="3761" spans="23:23" ht="26.4">
      <c r="W3761" s="64" ph="1"/>
    </row>
    <row r="3762" spans="23:23" ht="26.4">
      <c r="W3762" s="64" ph="1"/>
    </row>
    <row r="3763" spans="23:23" ht="26.4">
      <c r="W3763" s="64" ph="1"/>
    </row>
    <row r="3764" spans="23:23" ht="26.4">
      <c r="W3764" s="64" ph="1"/>
    </row>
    <row r="3765" spans="23:23" ht="26.4">
      <c r="W3765" s="64" ph="1"/>
    </row>
    <row r="3766" spans="23:23" ht="26.4">
      <c r="W3766" s="64" ph="1"/>
    </row>
    <row r="3767" spans="23:23" ht="26.4">
      <c r="W3767" s="64" ph="1"/>
    </row>
    <row r="3768" spans="23:23" ht="26.4">
      <c r="W3768" s="64" ph="1"/>
    </row>
    <row r="3769" spans="23:23" ht="26.4">
      <c r="W3769" s="64" ph="1"/>
    </row>
    <row r="3770" spans="23:23" ht="26.4">
      <c r="W3770" s="64" ph="1"/>
    </row>
    <row r="3771" spans="23:23" ht="26.4">
      <c r="W3771" s="64" ph="1"/>
    </row>
    <row r="3772" spans="23:23" ht="26.4">
      <c r="W3772" s="64" ph="1"/>
    </row>
    <row r="3773" spans="23:23" ht="26.4">
      <c r="W3773" s="64" ph="1"/>
    </row>
    <row r="3774" spans="23:23" ht="26.4">
      <c r="W3774" s="64" ph="1"/>
    </row>
    <row r="3775" spans="23:23" ht="26.4">
      <c r="W3775" s="64" ph="1"/>
    </row>
    <row r="3776" spans="23:23" ht="26.4">
      <c r="W3776" s="64" ph="1"/>
    </row>
    <row r="3777" spans="23:23" ht="26.4">
      <c r="W3777" s="64" ph="1"/>
    </row>
    <row r="3778" spans="23:23" ht="26.4">
      <c r="W3778" s="64" ph="1"/>
    </row>
    <row r="3779" spans="23:23" ht="26.4">
      <c r="W3779" s="64" ph="1"/>
    </row>
    <row r="3780" spans="23:23" ht="26.4">
      <c r="W3780" s="64" ph="1"/>
    </row>
    <row r="3781" spans="23:23" ht="26.4">
      <c r="W3781" s="64" ph="1"/>
    </row>
    <row r="3782" spans="23:23" ht="26.4">
      <c r="W3782" s="64" ph="1"/>
    </row>
    <row r="3783" spans="23:23" ht="26.4">
      <c r="W3783" s="64" ph="1"/>
    </row>
    <row r="3784" spans="23:23" ht="26.4">
      <c r="W3784" s="64" ph="1"/>
    </row>
    <row r="3785" spans="23:23" ht="26.4">
      <c r="W3785" s="64" ph="1"/>
    </row>
    <row r="3786" spans="23:23" ht="26.4">
      <c r="W3786" s="64" ph="1"/>
    </row>
    <row r="3787" spans="23:23" ht="26.4">
      <c r="W3787" s="64" ph="1"/>
    </row>
    <row r="3788" spans="23:23" ht="26.4">
      <c r="W3788" s="64" ph="1"/>
    </row>
    <row r="3789" spans="23:23" ht="26.4">
      <c r="W3789" s="64" ph="1"/>
    </row>
    <row r="3790" spans="23:23" ht="26.4">
      <c r="W3790" s="64" ph="1"/>
    </row>
    <row r="3791" spans="23:23" ht="26.4">
      <c r="W3791" s="64" ph="1"/>
    </row>
    <row r="3792" spans="23:23" ht="26.4">
      <c r="W3792" s="64" ph="1"/>
    </row>
    <row r="3793" spans="23:23" ht="26.4">
      <c r="W3793" s="64" ph="1"/>
    </row>
    <row r="3794" spans="23:23" ht="26.4">
      <c r="W3794" s="64" ph="1"/>
    </row>
    <row r="3795" spans="23:23" ht="26.4">
      <c r="W3795" s="64" ph="1"/>
    </row>
    <row r="3796" spans="23:23" ht="26.4">
      <c r="W3796" s="64" ph="1"/>
    </row>
    <row r="3797" spans="23:23" ht="26.4">
      <c r="W3797" s="64" ph="1"/>
    </row>
    <row r="3798" spans="23:23" ht="26.4">
      <c r="W3798" s="64" ph="1"/>
    </row>
    <row r="3799" spans="23:23" ht="26.4">
      <c r="W3799" s="64" ph="1"/>
    </row>
    <row r="3800" spans="23:23" ht="26.4">
      <c r="W3800" s="64" ph="1"/>
    </row>
    <row r="3801" spans="23:23" ht="26.4">
      <c r="W3801" s="64" ph="1"/>
    </row>
    <row r="3802" spans="23:23" ht="26.4">
      <c r="W3802" s="64" ph="1"/>
    </row>
    <row r="3803" spans="23:23" ht="26.4">
      <c r="W3803" s="64" ph="1"/>
    </row>
    <row r="3804" spans="23:23" ht="26.4">
      <c r="W3804" s="64" ph="1"/>
    </row>
    <row r="3805" spans="23:23" ht="26.4">
      <c r="W3805" s="64" ph="1"/>
    </row>
    <row r="3806" spans="23:23" ht="26.4">
      <c r="W3806" s="64" ph="1"/>
    </row>
    <row r="3807" spans="23:23" ht="26.4">
      <c r="W3807" s="64" ph="1"/>
    </row>
    <row r="3808" spans="23:23" ht="26.4">
      <c r="W3808" s="64" ph="1"/>
    </row>
    <row r="3809" spans="23:23" ht="26.4">
      <c r="W3809" s="64" ph="1"/>
    </row>
    <row r="3810" spans="23:23" ht="26.4">
      <c r="W3810" s="64" ph="1"/>
    </row>
    <row r="3811" spans="23:23" ht="26.4">
      <c r="W3811" s="64" ph="1"/>
    </row>
    <row r="3812" spans="23:23" ht="26.4">
      <c r="W3812" s="64" ph="1"/>
    </row>
    <row r="3813" spans="23:23" ht="26.4">
      <c r="W3813" s="64" ph="1"/>
    </row>
    <row r="3814" spans="23:23" ht="26.4">
      <c r="W3814" s="64" ph="1"/>
    </row>
    <row r="3815" spans="23:23" ht="26.4">
      <c r="W3815" s="64" ph="1"/>
    </row>
    <row r="3816" spans="23:23" ht="26.4">
      <c r="W3816" s="64" ph="1"/>
    </row>
    <row r="3817" spans="23:23" ht="26.4">
      <c r="W3817" s="64" ph="1"/>
    </row>
    <row r="3818" spans="23:23" ht="26.4">
      <c r="W3818" s="64" ph="1"/>
    </row>
    <row r="3819" spans="23:23" ht="26.4">
      <c r="W3819" s="64" ph="1"/>
    </row>
    <row r="3820" spans="23:23" ht="26.4">
      <c r="W3820" s="64" ph="1"/>
    </row>
    <row r="3821" spans="23:23" ht="26.4">
      <c r="W3821" s="64" ph="1"/>
    </row>
    <row r="3822" spans="23:23" ht="26.4">
      <c r="W3822" s="64" ph="1"/>
    </row>
    <row r="3823" spans="23:23" ht="26.4">
      <c r="W3823" s="64" ph="1"/>
    </row>
    <row r="3824" spans="23:23" ht="26.4">
      <c r="W3824" s="64" ph="1"/>
    </row>
    <row r="3825" spans="23:23" ht="26.4">
      <c r="W3825" s="64" ph="1"/>
    </row>
    <row r="3826" spans="23:23" ht="26.4">
      <c r="W3826" s="64" ph="1"/>
    </row>
    <row r="3827" spans="23:23" ht="26.4">
      <c r="W3827" s="64" ph="1"/>
    </row>
    <row r="3828" spans="23:23" ht="26.4">
      <c r="W3828" s="64" ph="1"/>
    </row>
    <row r="3829" spans="23:23" ht="26.4">
      <c r="W3829" s="64" ph="1"/>
    </row>
    <row r="3830" spans="23:23" ht="26.4">
      <c r="W3830" s="64" ph="1"/>
    </row>
    <row r="3831" spans="23:23" ht="26.4">
      <c r="W3831" s="64" ph="1"/>
    </row>
    <row r="3832" spans="23:23" ht="26.4">
      <c r="W3832" s="64" ph="1"/>
    </row>
    <row r="3833" spans="23:23" ht="26.4">
      <c r="W3833" s="64" ph="1"/>
    </row>
    <row r="3834" spans="23:23" ht="26.4">
      <c r="W3834" s="64" ph="1"/>
    </row>
    <row r="3835" spans="23:23" ht="26.4">
      <c r="W3835" s="64" ph="1"/>
    </row>
    <row r="3836" spans="23:23" ht="26.4">
      <c r="W3836" s="64" ph="1"/>
    </row>
    <row r="3837" spans="23:23" ht="26.4">
      <c r="W3837" s="64" ph="1"/>
    </row>
    <row r="3838" spans="23:23" ht="26.4">
      <c r="W3838" s="64" ph="1"/>
    </row>
    <row r="3839" spans="23:23" ht="26.4">
      <c r="W3839" s="64" ph="1"/>
    </row>
    <row r="3840" spans="23:23" ht="26.4">
      <c r="W3840" s="64" ph="1"/>
    </row>
    <row r="3841" spans="23:23" ht="26.4">
      <c r="W3841" s="64" ph="1"/>
    </row>
    <row r="3842" spans="23:23" ht="26.4">
      <c r="W3842" s="64" ph="1"/>
    </row>
    <row r="3843" spans="23:23" ht="26.4">
      <c r="W3843" s="64" ph="1"/>
    </row>
    <row r="3844" spans="23:23" ht="26.4">
      <c r="W3844" s="64" ph="1"/>
    </row>
    <row r="3845" spans="23:23" ht="26.4">
      <c r="W3845" s="64" ph="1"/>
    </row>
    <row r="3846" spans="23:23" ht="26.4">
      <c r="W3846" s="64" ph="1"/>
    </row>
    <row r="3847" spans="23:23" ht="26.4">
      <c r="W3847" s="64" ph="1"/>
    </row>
    <row r="3848" spans="23:23" ht="26.4">
      <c r="W3848" s="64" ph="1"/>
    </row>
    <row r="3849" spans="23:23" ht="26.4">
      <c r="W3849" s="64" ph="1"/>
    </row>
    <row r="3850" spans="23:23" ht="26.4">
      <c r="W3850" s="64" ph="1"/>
    </row>
    <row r="3851" spans="23:23" ht="26.4">
      <c r="W3851" s="64" ph="1"/>
    </row>
    <row r="3852" spans="23:23" ht="26.4">
      <c r="W3852" s="64" ph="1"/>
    </row>
    <row r="3853" spans="23:23" ht="26.4">
      <c r="W3853" s="64" ph="1"/>
    </row>
    <row r="3854" spans="23:23" ht="26.4">
      <c r="W3854" s="64" ph="1"/>
    </row>
    <row r="3855" spans="23:23" ht="26.4">
      <c r="W3855" s="64" ph="1"/>
    </row>
    <row r="3856" spans="23:23" ht="26.4">
      <c r="W3856" s="64" ph="1"/>
    </row>
    <row r="3857" spans="23:23" ht="26.4">
      <c r="W3857" s="64" ph="1"/>
    </row>
    <row r="3858" spans="23:23" ht="26.4">
      <c r="W3858" s="64" ph="1"/>
    </row>
    <row r="3859" spans="23:23" ht="26.4">
      <c r="W3859" s="64" ph="1"/>
    </row>
    <row r="3860" spans="23:23" ht="26.4">
      <c r="W3860" s="64" ph="1"/>
    </row>
    <row r="3861" spans="23:23" ht="26.4">
      <c r="W3861" s="64" ph="1"/>
    </row>
    <row r="3862" spans="23:23" ht="26.4">
      <c r="W3862" s="64" ph="1"/>
    </row>
    <row r="3863" spans="23:23" ht="26.4">
      <c r="W3863" s="64" ph="1"/>
    </row>
    <row r="3864" spans="23:23" ht="26.4">
      <c r="W3864" s="64" ph="1"/>
    </row>
    <row r="3865" spans="23:23" ht="26.4">
      <c r="W3865" s="64" ph="1"/>
    </row>
    <row r="3866" spans="23:23" ht="26.4">
      <c r="W3866" s="64" ph="1"/>
    </row>
    <row r="3867" spans="23:23" ht="26.4">
      <c r="W3867" s="64" ph="1"/>
    </row>
    <row r="3868" spans="23:23" ht="26.4">
      <c r="W3868" s="64" ph="1"/>
    </row>
    <row r="3869" spans="23:23" ht="26.4">
      <c r="W3869" s="64" ph="1"/>
    </row>
    <row r="3870" spans="23:23" ht="26.4">
      <c r="W3870" s="64" ph="1"/>
    </row>
    <row r="3871" spans="23:23" ht="26.4">
      <c r="W3871" s="64" ph="1"/>
    </row>
    <row r="3872" spans="23:23" ht="26.4">
      <c r="W3872" s="64" ph="1"/>
    </row>
    <row r="3873" spans="23:23" ht="26.4">
      <c r="W3873" s="64" ph="1"/>
    </row>
    <row r="3874" spans="23:23" ht="26.4">
      <c r="W3874" s="64" ph="1"/>
    </row>
    <row r="3875" spans="23:23" ht="26.4">
      <c r="W3875" s="64" ph="1"/>
    </row>
    <row r="3876" spans="23:23" ht="26.4">
      <c r="W3876" s="64" ph="1"/>
    </row>
    <row r="3877" spans="23:23" ht="26.4">
      <c r="W3877" s="64" ph="1"/>
    </row>
    <row r="3878" spans="23:23" ht="26.4">
      <c r="W3878" s="64" ph="1"/>
    </row>
    <row r="3879" spans="23:23" ht="26.4">
      <c r="W3879" s="64" ph="1"/>
    </row>
    <row r="3880" spans="23:23" ht="26.4">
      <c r="W3880" s="64" ph="1"/>
    </row>
    <row r="3881" spans="23:23" ht="26.4">
      <c r="W3881" s="64" ph="1"/>
    </row>
    <row r="3882" spans="23:23" ht="26.4">
      <c r="W3882" s="64" ph="1"/>
    </row>
    <row r="3883" spans="23:23" ht="26.4">
      <c r="W3883" s="64" ph="1"/>
    </row>
    <row r="3884" spans="23:23" ht="26.4">
      <c r="W3884" s="64" ph="1"/>
    </row>
    <row r="3885" spans="23:23" ht="26.4">
      <c r="W3885" s="64" ph="1"/>
    </row>
    <row r="3886" spans="23:23" ht="26.4">
      <c r="W3886" s="64" ph="1"/>
    </row>
    <row r="3887" spans="23:23" ht="26.4">
      <c r="W3887" s="64" ph="1"/>
    </row>
    <row r="3888" spans="23:23" ht="26.4">
      <c r="W3888" s="64" ph="1"/>
    </row>
    <row r="3889" spans="23:23" ht="26.4">
      <c r="W3889" s="64" ph="1"/>
    </row>
    <row r="3890" spans="23:23" ht="26.4">
      <c r="W3890" s="64" ph="1"/>
    </row>
    <row r="3891" spans="23:23" ht="26.4">
      <c r="W3891" s="64" ph="1"/>
    </row>
    <row r="3892" spans="23:23" ht="26.4">
      <c r="W3892" s="64" ph="1"/>
    </row>
    <row r="3893" spans="23:23" ht="26.4">
      <c r="W3893" s="64" ph="1"/>
    </row>
    <row r="3894" spans="23:23" ht="26.4">
      <c r="W3894" s="64" ph="1"/>
    </row>
    <row r="3895" spans="23:23" ht="26.4">
      <c r="W3895" s="64" ph="1"/>
    </row>
    <row r="3896" spans="23:23" ht="26.4">
      <c r="W3896" s="64" ph="1"/>
    </row>
    <row r="3897" spans="23:23" ht="26.4">
      <c r="W3897" s="64" ph="1"/>
    </row>
    <row r="3898" spans="23:23" ht="26.4">
      <c r="W3898" s="64" ph="1"/>
    </row>
    <row r="3899" spans="23:23" ht="26.4">
      <c r="W3899" s="64" ph="1"/>
    </row>
    <row r="3900" spans="23:23" ht="26.4">
      <c r="W3900" s="64" ph="1"/>
    </row>
    <row r="3901" spans="23:23" ht="26.4">
      <c r="W3901" s="64" ph="1"/>
    </row>
    <row r="3902" spans="23:23" ht="26.4">
      <c r="W3902" s="64" ph="1"/>
    </row>
    <row r="3903" spans="23:23" ht="26.4">
      <c r="W3903" s="64" ph="1"/>
    </row>
    <row r="3904" spans="23:23" ht="26.4">
      <c r="W3904" s="64" ph="1"/>
    </row>
    <row r="3905" spans="23:23" ht="26.4">
      <c r="W3905" s="64" ph="1"/>
    </row>
    <row r="3906" spans="23:23" ht="26.4">
      <c r="W3906" s="64" ph="1"/>
    </row>
    <row r="3907" spans="23:23" ht="26.4">
      <c r="W3907" s="64" ph="1"/>
    </row>
    <row r="3908" spans="23:23" ht="26.4">
      <c r="W3908" s="64" ph="1"/>
    </row>
    <row r="3909" spans="23:23" ht="26.4">
      <c r="W3909" s="64" ph="1"/>
    </row>
    <row r="3910" spans="23:23" ht="26.4">
      <c r="W3910" s="64" ph="1"/>
    </row>
    <row r="3911" spans="23:23" ht="26.4">
      <c r="W3911" s="64" ph="1"/>
    </row>
    <row r="3912" spans="23:23" ht="26.4">
      <c r="W3912" s="64" ph="1"/>
    </row>
    <row r="3913" spans="23:23" ht="26.4">
      <c r="W3913" s="64" ph="1"/>
    </row>
    <row r="3914" spans="23:23" ht="26.4">
      <c r="W3914" s="64" ph="1"/>
    </row>
    <row r="3915" spans="23:23" ht="26.4">
      <c r="W3915" s="64" ph="1"/>
    </row>
    <row r="3916" spans="23:23" ht="26.4">
      <c r="W3916" s="64" ph="1"/>
    </row>
    <row r="3917" spans="23:23" ht="26.4">
      <c r="W3917" s="64" ph="1"/>
    </row>
    <row r="3918" spans="23:23" ht="26.4">
      <c r="W3918" s="64" ph="1"/>
    </row>
    <row r="3919" spans="23:23" ht="26.4">
      <c r="W3919" s="64" ph="1"/>
    </row>
    <row r="3920" spans="23:23" ht="26.4">
      <c r="W3920" s="64" ph="1"/>
    </row>
    <row r="3921" spans="23:23" ht="26.4">
      <c r="W3921" s="64" ph="1"/>
    </row>
    <row r="3922" spans="23:23" ht="26.4">
      <c r="W3922" s="64" ph="1"/>
    </row>
    <row r="3923" spans="23:23" ht="26.4">
      <c r="W3923" s="64" ph="1"/>
    </row>
    <row r="3924" spans="23:23" ht="26.4">
      <c r="W3924" s="64" ph="1"/>
    </row>
    <row r="3925" spans="23:23" ht="26.4">
      <c r="W3925" s="64" ph="1"/>
    </row>
    <row r="3926" spans="23:23" ht="26.4">
      <c r="W3926" s="64" ph="1"/>
    </row>
    <row r="3927" spans="23:23" ht="26.4">
      <c r="W3927" s="64" ph="1"/>
    </row>
    <row r="3928" spans="23:23" ht="26.4">
      <c r="W3928" s="64" ph="1"/>
    </row>
    <row r="3929" spans="23:23" ht="26.4">
      <c r="W3929" s="64" ph="1"/>
    </row>
    <row r="3930" spans="23:23" ht="26.4">
      <c r="W3930" s="64" ph="1"/>
    </row>
    <row r="3931" spans="23:23" ht="26.4">
      <c r="W3931" s="64" ph="1"/>
    </row>
    <row r="3932" spans="23:23" ht="26.4">
      <c r="W3932" s="64" ph="1"/>
    </row>
    <row r="3933" spans="23:23" ht="26.4">
      <c r="W3933" s="64" ph="1"/>
    </row>
    <row r="3934" spans="23:23" ht="26.4">
      <c r="W3934" s="64" ph="1"/>
    </row>
    <row r="3935" spans="23:23" ht="26.4">
      <c r="W3935" s="64" ph="1"/>
    </row>
    <row r="3936" spans="23:23" ht="26.4">
      <c r="W3936" s="64" ph="1"/>
    </row>
    <row r="3937" spans="23:23" ht="26.4">
      <c r="W3937" s="64" ph="1"/>
    </row>
    <row r="3938" spans="23:23" ht="26.4">
      <c r="W3938" s="64" ph="1"/>
    </row>
    <row r="3939" spans="23:23" ht="26.4">
      <c r="W3939" s="64" ph="1"/>
    </row>
    <row r="3940" spans="23:23" ht="26.4">
      <c r="W3940" s="64" ph="1"/>
    </row>
    <row r="3941" spans="23:23" ht="26.4">
      <c r="W3941" s="64" ph="1"/>
    </row>
    <row r="3942" spans="23:23" ht="26.4">
      <c r="W3942" s="64" ph="1"/>
    </row>
    <row r="3943" spans="23:23" ht="26.4">
      <c r="W3943" s="64" ph="1"/>
    </row>
    <row r="3944" spans="23:23" ht="26.4">
      <c r="W3944" s="64" ph="1"/>
    </row>
    <row r="3945" spans="23:23" ht="26.4">
      <c r="W3945" s="64" ph="1"/>
    </row>
    <row r="3946" spans="23:23" ht="26.4">
      <c r="W3946" s="64" ph="1"/>
    </row>
    <row r="3947" spans="23:23" ht="26.4">
      <c r="W3947" s="64" ph="1"/>
    </row>
    <row r="3948" spans="23:23" ht="26.4">
      <c r="W3948" s="64" ph="1"/>
    </row>
    <row r="3949" spans="23:23" ht="26.4">
      <c r="W3949" s="64" ph="1"/>
    </row>
    <row r="3950" spans="23:23" ht="26.4">
      <c r="W3950" s="64" ph="1"/>
    </row>
    <row r="3951" spans="23:23" ht="26.4">
      <c r="W3951" s="64" ph="1"/>
    </row>
    <row r="3952" spans="23:23" ht="26.4">
      <c r="W3952" s="64" ph="1"/>
    </row>
    <row r="3953" spans="23:23" ht="26.4">
      <c r="W3953" s="64" ph="1"/>
    </row>
    <row r="3954" spans="23:23" ht="26.4">
      <c r="W3954" s="64" ph="1"/>
    </row>
    <row r="3955" spans="23:23" ht="26.4">
      <c r="W3955" s="64" ph="1"/>
    </row>
    <row r="3956" spans="23:23" ht="26.4">
      <c r="W3956" s="64" ph="1"/>
    </row>
    <row r="3957" spans="23:23" ht="26.4">
      <c r="W3957" s="64" ph="1"/>
    </row>
    <row r="3958" spans="23:23" ht="26.4">
      <c r="W3958" s="64" ph="1"/>
    </row>
    <row r="3959" spans="23:23" ht="26.4">
      <c r="W3959" s="64" ph="1"/>
    </row>
    <row r="3960" spans="23:23" ht="26.4">
      <c r="W3960" s="64" ph="1"/>
    </row>
    <row r="3961" spans="23:23" ht="26.4">
      <c r="W3961" s="64" ph="1"/>
    </row>
    <row r="3962" spans="23:23" ht="26.4">
      <c r="W3962" s="64" ph="1"/>
    </row>
    <row r="3963" spans="23:23" ht="26.4">
      <c r="W3963" s="64" ph="1"/>
    </row>
    <row r="3964" spans="23:23" ht="26.4">
      <c r="W3964" s="64" ph="1"/>
    </row>
    <row r="3965" spans="23:23" ht="26.4">
      <c r="W3965" s="64" ph="1"/>
    </row>
    <row r="3966" spans="23:23" ht="26.4">
      <c r="W3966" s="64" ph="1"/>
    </row>
    <row r="3967" spans="23:23" ht="26.4">
      <c r="W3967" s="64" ph="1"/>
    </row>
    <row r="3968" spans="23:23" ht="26.4">
      <c r="W3968" s="64" ph="1"/>
    </row>
    <row r="3969" spans="23:23" ht="26.4">
      <c r="W3969" s="64" ph="1"/>
    </row>
    <row r="3970" spans="23:23" ht="26.4">
      <c r="W3970" s="64" ph="1"/>
    </row>
    <row r="3971" spans="23:23" ht="26.4">
      <c r="W3971" s="64" ph="1"/>
    </row>
    <row r="3972" spans="23:23" ht="26.4">
      <c r="W3972" s="64" ph="1"/>
    </row>
    <row r="3973" spans="23:23" ht="26.4">
      <c r="W3973" s="64" ph="1"/>
    </row>
    <row r="3974" spans="23:23" ht="26.4">
      <c r="W3974" s="64" ph="1"/>
    </row>
    <row r="3975" spans="23:23" ht="26.4">
      <c r="W3975" s="64" ph="1"/>
    </row>
    <row r="3976" spans="23:23" ht="26.4">
      <c r="W3976" s="64" ph="1"/>
    </row>
    <row r="3977" spans="23:23" ht="26.4">
      <c r="W3977" s="64" ph="1"/>
    </row>
    <row r="3978" spans="23:23" ht="26.4">
      <c r="W3978" s="64" ph="1"/>
    </row>
    <row r="3979" spans="23:23" ht="26.4">
      <c r="W3979" s="64" ph="1"/>
    </row>
    <row r="3980" spans="23:23" ht="26.4">
      <c r="W3980" s="64" ph="1"/>
    </row>
    <row r="3981" spans="23:23" ht="26.4">
      <c r="W3981" s="64" ph="1"/>
    </row>
    <row r="3982" spans="23:23" ht="26.4">
      <c r="W3982" s="64" ph="1"/>
    </row>
    <row r="3983" spans="23:23" ht="26.4">
      <c r="W3983" s="64" ph="1"/>
    </row>
    <row r="3984" spans="23:23" ht="26.4">
      <c r="W3984" s="64" ph="1"/>
    </row>
    <row r="3985" spans="23:23" ht="26.4">
      <c r="W3985" s="64" ph="1"/>
    </row>
    <row r="3986" spans="23:23" ht="26.4">
      <c r="W3986" s="64" ph="1"/>
    </row>
    <row r="3987" spans="23:23" ht="26.4">
      <c r="W3987" s="64" ph="1"/>
    </row>
    <row r="3988" spans="23:23" ht="26.4">
      <c r="W3988" s="64" ph="1"/>
    </row>
    <row r="3989" spans="23:23" ht="26.4">
      <c r="W3989" s="64" ph="1"/>
    </row>
    <row r="3990" spans="23:23" ht="26.4">
      <c r="W3990" s="64" ph="1"/>
    </row>
    <row r="3991" spans="23:23" ht="26.4">
      <c r="W3991" s="64" ph="1"/>
    </row>
    <row r="3992" spans="23:23" ht="26.4">
      <c r="W3992" s="64" ph="1"/>
    </row>
    <row r="3993" spans="23:23" ht="26.4">
      <c r="W3993" s="64" ph="1"/>
    </row>
    <row r="3994" spans="23:23" ht="26.4">
      <c r="W3994" s="64" ph="1"/>
    </row>
    <row r="3995" spans="23:23" ht="26.4">
      <c r="W3995" s="64" ph="1"/>
    </row>
    <row r="3996" spans="23:23" ht="26.4">
      <c r="W3996" s="64" ph="1"/>
    </row>
    <row r="3997" spans="23:23" ht="26.4">
      <c r="W3997" s="64" ph="1"/>
    </row>
    <row r="3998" spans="23:23" ht="26.4">
      <c r="W3998" s="64" ph="1"/>
    </row>
    <row r="3999" spans="23:23" ht="26.4">
      <c r="W3999" s="64" ph="1"/>
    </row>
    <row r="4000" spans="23:23" ht="26.4">
      <c r="W4000" s="64" ph="1"/>
    </row>
    <row r="4001" spans="23:23" ht="26.4">
      <c r="W4001" s="64" ph="1"/>
    </row>
    <row r="4002" spans="23:23" ht="26.4">
      <c r="W4002" s="64" ph="1"/>
    </row>
    <row r="4003" spans="23:23" ht="26.4">
      <c r="W4003" s="64" ph="1"/>
    </row>
    <row r="4004" spans="23:23" ht="26.4">
      <c r="W4004" s="64" ph="1"/>
    </row>
    <row r="4005" spans="23:23" ht="26.4">
      <c r="W4005" s="64" ph="1"/>
    </row>
    <row r="4006" spans="23:23" ht="26.4">
      <c r="W4006" s="64" ph="1"/>
    </row>
    <row r="4007" spans="23:23" ht="26.4">
      <c r="W4007" s="64" ph="1"/>
    </row>
    <row r="4008" spans="23:23" ht="26.4">
      <c r="W4008" s="64" ph="1"/>
    </row>
    <row r="4009" spans="23:23" ht="26.4">
      <c r="W4009" s="64" ph="1"/>
    </row>
    <row r="4010" spans="23:23" ht="26.4">
      <c r="W4010" s="64" ph="1"/>
    </row>
    <row r="4011" spans="23:23" ht="26.4">
      <c r="W4011" s="64" ph="1"/>
    </row>
    <row r="4012" spans="23:23" ht="26.4">
      <c r="W4012" s="64" ph="1"/>
    </row>
    <row r="4013" spans="23:23" ht="26.4">
      <c r="W4013" s="64" ph="1"/>
    </row>
    <row r="4014" spans="23:23" ht="26.4">
      <c r="W4014" s="64" ph="1"/>
    </row>
    <row r="4015" spans="23:23" ht="26.4">
      <c r="W4015" s="64" ph="1"/>
    </row>
    <row r="4016" spans="23:23" ht="26.4">
      <c r="W4016" s="64" ph="1"/>
    </row>
    <row r="4017" spans="23:23" ht="26.4">
      <c r="W4017" s="64" ph="1"/>
    </row>
    <row r="4018" spans="23:23" ht="26.4">
      <c r="W4018" s="64" ph="1"/>
    </row>
    <row r="4019" spans="23:23" ht="26.4">
      <c r="W4019" s="64" ph="1"/>
    </row>
    <row r="4020" spans="23:23" ht="26.4">
      <c r="W4020" s="64" ph="1"/>
    </row>
    <row r="4021" spans="23:23" ht="26.4">
      <c r="W4021" s="64" ph="1"/>
    </row>
    <row r="4022" spans="23:23" ht="26.4">
      <c r="W4022" s="64" ph="1"/>
    </row>
    <row r="4023" spans="23:23" ht="26.4">
      <c r="W4023" s="64" ph="1"/>
    </row>
    <row r="4024" spans="23:23" ht="26.4">
      <c r="W4024" s="64" ph="1"/>
    </row>
    <row r="4025" spans="23:23" ht="26.4">
      <c r="W4025" s="64" ph="1"/>
    </row>
    <row r="4026" spans="23:23" ht="26.4">
      <c r="W4026" s="64" ph="1"/>
    </row>
    <row r="4027" spans="23:23" ht="26.4">
      <c r="W4027" s="64" ph="1"/>
    </row>
    <row r="4028" spans="23:23" ht="26.4">
      <c r="W4028" s="64" ph="1"/>
    </row>
    <row r="4029" spans="23:23" ht="26.4">
      <c r="W4029" s="64" ph="1"/>
    </row>
    <row r="4030" spans="23:23" ht="26.4">
      <c r="W4030" s="64" ph="1"/>
    </row>
    <row r="4031" spans="23:23" ht="26.4">
      <c r="W4031" s="64" ph="1"/>
    </row>
    <row r="4032" spans="23:23" ht="26.4">
      <c r="W4032" s="64" ph="1"/>
    </row>
    <row r="4033" spans="23:23" ht="26.4">
      <c r="W4033" s="64" ph="1"/>
    </row>
    <row r="4034" spans="23:23" ht="26.4">
      <c r="W4034" s="64" ph="1"/>
    </row>
    <row r="4035" spans="23:23" ht="26.4">
      <c r="W4035" s="64" ph="1"/>
    </row>
    <row r="4036" spans="23:23" ht="26.4">
      <c r="W4036" s="64" ph="1"/>
    </row>
    <row r="4037" spans="23:23" ht="26.4">
      <c r="W4037" s="64" ph="1"/>
    </row>
    <row r="4038" spans="23:23" ht="26.4">
      <c r="W4038" s="64" ph="1"/>
    </row>
    <row r="4039" spans="23:23" ht="26.4">
      <c r="W4039" s="64" ph="1"/>
    </row>
    <row r="4040" spans="23:23" ht="26.4">
      <c r="W4040" s="64" ph="1"/>
    </row>
    <row r="4041" spans="23:23" ht="26.4">
      <c r="W4041" s="64" ph="1"/>
    </row>
    <row r="4042" spans="23:23" ht="26.4">
      <c r="W4042" s="64" ph="1"/>
    </row>
    <row r="4043" spans="23:23" ht="26.4">
      <c r="W4043" s="64" ph="1"/>
    </row>
    <row r="4044" spans="23:23" ht="26.4">
      <c r="W4044" s="64" ph="1"/>
    </row>
    <row r="4045" spans="23:23" ht="26.4">
      <c r="W4045" s="64" ph="1"/>
    </row>
    <row r="4046" spans="23:23" ht="26.4">
      <c r="W4046" s="64" ph="1"/>
    </row>
    <row r="4047" spans="23:23" ht="26.4">
      <c r="W4047" s="64" ph="1"/>
    </row>
    <row r="4048" spans="23:23" ht="26.4">
      <c r="W4048" s="64" ph="1"/>
    </row>
    <row r="4049" spans="23:23" ht="26.4">
      <c r="W4049" s="64" ph="1"/>
    </row>
    <row r="4050" spans="23:23" ht="26.4">
      <c r="W4050" s="64" ph="1"/>
    </row>
    <row r="4051" spans="23:23" ht="26.4">
      <c r="W4051" s="64" ph="1"/>
    </row>
    <row r="4052" spans="23:23" ht="26.4">
      <c r="W4052" s="64" ph="1"/>
    </row>
    <row r="4053" spans="23:23" ht="26.4">
      <c r="W4053" s="64" ph="1"/>
    </row>
    <row r="4054" spans="23:23" ht="26.4">
      <c r="W4054" s="64" ph="1"/>
    </row>
    <row r="4055" spans="23:23" ht="26.4">
      <c r="W4055" s="64" ph="1"/>
    </row>
    <row r="4056" spans="23:23" ht="26.4">
      <c r="W4056" s="64" ph="1"/>
    </row>
    <row r="4057" spans="23:23" ht="26.4">
      <c r="W4057" s="64" ph="1"/>
    </row>
    <row r="4058" spans="23:23" ht="26.4">
      <c r="W4058" s="64" ph="1"/>
    </row>
    <row r="4059" spans="23:23" ht="26.4">
      <c r="W4059" s="64" ph="1"/>
    </row>
    <row r="4060" spans="23:23" ht="26.4">
      <c r="W4060" s="64" ph="1"/>
    </row>
    <row r="4061" spans="23:23" ht="26.4">
      <c r="W4061" s="64" ph="1"/>
    </row>
    <row r="4062" spans="23:23" ht="26.4">
      <c r="W4062" s="64" ph="1"/>
    </row>
    <row r="4063" spans="23:23" ht="26.4">
      <c r="W4063" s="64" ph="1"/>
    </row>
    <row r="4064" spans="23:23" ht="26.4">
      <c r="W4064" s="64" ph="1"/>
    </row>
    <row r="4065" spans="23:23" ht="26.4">
      <c r="W4065" s="64" ph="1"/>
    </row>
    <row r="4066" spans="23:23" ht="26.4">
      <c r="W4066" s="64" ph="1"/>
    </row>
    <row r="4067" spans="23:23" ht="26.4">
      <c r="W4067" s="64" ph="1"/>
    </row>
    <row r="4068" spans="23:23" ht="26.4">
      <c r="W4068" s="64" ph="1"/>
    </row>
    <row r="4069" spans="23:23" ht="26.4">
      <c r="W4069" s="64" ph="1"/>
    </row>
    <row r="4070" spans="23:23" ht="26.4">
      <c r="W4070" s="64" ph="1"/>
    </row>
    <row r="4071" spans="23:23" ht="26.4">
      <c r="W4071" s="64" ph="1"/>
    </row>
    <row r="4072" spans="23:23" ht="26.4">
      <c r="W4072" s="64" ph="1"/>
    </row>
    <row r="4073" spans="23:23" ht="26.4">
      <c r="W4073" s="64" ph="1"/>
    </row>
    <row r="4074" spans="23:23" ht="26.4">
      <c r="W4074" s="64" ph="1"/>
    </row>
    <row r="4075" spans="23:23" ht="26.4">
      <c r="W4075" s="64" ph="1"/>
    </row>
    <row r="4076" spans="23:23" ht="26.4">
      <c r="W4076" s="64" ph="1"/>
    </row>
    <row r="4077" spans="23:23" ht="26.4">
      <c r="W4077" s="64" ph="1"/>
    </row>
    <row r="4078" spans="23:23" ht="26.4">
      <c r="W4078" s="64" ph="1"/>
    </row>
    <row r="4079" spans="23:23" ht="26.4">
      <c r="W4079" s="64" ph="1"/>
    </row>
    <row r="4080" spans="23:23" ht="26.4">
      <c r="W4080" s="64" ph="1"/>
    </row>
    <row r="4081" spans="23:23" ht="26.4">
      <c r="W4081" s="64" ph="1"/>
    </row>
    <row r="4082" spans="23:23" ht="26.4">
      <c r="W4082" s="64" ph="1"/>
    </row>
    <row r="4083" spans="23:23" ht="26.4">
      <c r="W4083" s="64" ph="1"/>
    </row>
    <row r="4084" spans="23:23" ht="26.4">
      <c r="W4084" s="64" ph="1"/>
    </row>
    <row r="4085" spans="23:23" ht="26.4">
      <c r="W4085" s="64" ph="1"/>
    </row>
    <row r="4086" spans="23:23" ht="26.4">
      <c r="W4086" s="64" ph="1"/>
    </row>
    <row r="4087" spans="23:23" ht="26.4">
      <c r="W4087" s="64" ph="1"/>
    </row>
    <row r="4088" spans="23:23" ht="26.4">
      <c r="W4088" s="64" ph="1"/>
    </row>
    <row r="4089" spans="23:23" ht="26.4">
      <c r="W4089" s="64" ph="1"/>
    </row>
    <row r="4090" spans="23:23" ht="26.4">
      <c r="W4090" s="64" ph="1"/>
    </row>
    <row r="4091" spans="23:23" ht="26.4">
      <c r="W4091" s="64" ph="1"/>
    </row>
    <row r="4092" spans="23:23" ht="26.4">
      <c r="W4092" s="64" ph="1"/>
    </row>
    <row r="4093" spans="23:23" ht="26.4">
      <c r="W4093" s="64" ph="1"/>
    </row>
    <row r="4094" spans="23:23" ht="26.4">
      <c r="W4094" s="64" ph="1"/>
    </row>
    <row r="4095" spans="23:23" ht="26.4">
      <c r="W4095" s="64" ph="1"/>
    </row>
    <row r="4096" spans="23:23" ht="26.4">
      <c r="W4096" s="64" ph="1"/>
    </row>
    <row r="4097" spans="23:23" ht="26.4">
      <c r="W4097" s="64" ph="1"/>
    </row>
    <row r="4098" spans="23:23" ht="26.4">
      <c r="W4098" s="64" ph="1"/>
    </row>
    <row r="4099" spans="23:23" ht="26.4">
      <c r="W4099" s="64" ph="1"/>
    </row>
    <row r="4100" spans="23:23" ht="26.4">
      <c r="W4100" s="64" ph="1"/>
    </row>
    <row r="4101" spans="23:23" ht="26.4">
      <c r="W4101" s="64" ph="1"/>
    </row>
    <row r="4102" spans="23:23" ht="26.4">
      <c r="W4102" s="64" ph="1"/>
    </row>
    <row r="4103" spans="23:23" ht="26.4">
      <c r="W4103" s="64" ph="1"/>
    </row>
    <row r="4104" spans="23:23" ht="26.4">
      <c r="W4104" s="64" ph="1"/>
    </row>
    <row r="4105" spans="23:23" ht="26.4">
      <c r="W4105" s="64" ph="1"/>
    </row>
    <row r="4106" spans="23:23" ht="26.4">
      <c r="W4106" s="64" ph="1"/>
    </row>
    <row r="4107" spans="23:23" ht="26.4">
      <c r="W4107" s="64" ph="1"/>
    </row>
    <row r="4108" spans="23:23" ht="26.4">
      <c r="W4108" s="64" ph="1"/>
    </row>
    <row r="4109" spans="23:23" ht="26.4">
      <c r="W4109" s="64" ph="1"/>
    </row>
    <row r="4110" spans="23:23" ht="26.4">
      <c r="W4110" s="64" ph="1"/>
    </row>
    <row r="4111" spans="23:23" ht="26.4">
      <c r="W4111" s="64" ph="1"/>
    </row>
    <row r="4112" spans="23:23" ht="26.4">
      <c r="W4112" s="64" ph="1"/>
    </row>
    <row r="4113" spans="23:23" ht="26.4">
      <c r="W4113" s="64" ph="1"/>
    </row>
    <row r="4114" spans="23:23" ht="26.4">
      <c r="W4114" s="64" ph="1"/>
    </row>
    <row r="4115" spans="23:23" ht="26.4">
      <c r="W4115" s="64" ph="1"/>
    </row>
    <row r="4116" spans="23:23" ht="26.4">
      <c r="W4116" s="64" ph="1"/>
    </row>
    <row r="4117" spans="23:23" ht="26.4">
      <c r="W4117" s="64" ph="1"/>
    </row>
    <row r="4118" spans="23:23" ht="26.4">
      <c r="W4118" s="64" ph="1"/>
    </row>
    <row r="4119" spans="23:23" ht="26.4">
      <c r="W4119" s="64" ph="1"/>
    </row>
    <row r="4120" spans="23:23" ht="26.4">
      <c r="W4120" s="64" ph="1"/>
    </row>
    <row r="4121" spans="23:23" ht="26.4">
      <c r="W4121" s="64" ph="1"/>
    </row>
    <row r="4122" spans="23:23" ht="26.4">
      <c r="W4122" s="64" ph="1"/>
    </row>
    <row r="4123" spans="23:23" ht="26.4">
      <c r="W4123" s="64" ph="1"/>
    </row>
    <row r="4124" spans="23:23" ht="26.4">
      <c r="W4124" s="64" ph="1"/>
    </row>
    <row r="4125" spans="23:23" ht="26.4">
      <c r="W4125" s="64" ph="1"/>
    </row>
    <row r="4126" spans="23:23" ht="26.4">
      <c r="W4126" s="64" ph="1"/>
    </row>
    <row r="4127" spans="23:23" ht="26.4">
      <c r="W4127" s="64" ph="1"/>
    </row>
    <row r="4128" spans="23:23" ht="26.4">
      <c r="W4128" s="64" ph="1"/>
    </row>
    <row r="4129" spans="23:23" ht="26.4">
      <c r="W4129" s="64" ph="1"/>
    </row>
    <row r="4130" spans="23:23" ht="26.4">
      <c r="W4130" s="64" ph="1"/>
    </row>
    <row r="4131" spans="23:23" ht="26.4">
      <c r="W4131" s="64" ph="1"/>
    </row>
    <row r="4132" spans="23:23" ht="26.4">
      <c r="W4132" s="64" ph="1"/>
    </row>
    <row r="4133" spans="23:23" ht="26.4">
      <c r="W4133" s="64" ph="1"/>
    </row>
    <row r="4134" spans="23:23" ht="26.4">
      <c r="W4134" s="64" ph="1"/>
    </row>
    <row r="4135" spans="23:23" ht="26.4">
      <c r="W4135" s="64" ph="1"/>
    </row>
    <row r="4136" spans="23:23" ht="26.4">
      <c r="W4136" s="64" ph="1"/>
    </row>
    <row r="4137" spans="23:23" ht="26.4">
      <c r="W4137" s="64" ph="1"/>
    </row>
    <row r="4138" spans="23:23" ht="26.4">
      <c r="W4138" s="64" ph="1"/>
    </row>
    <row r="4139" spans="23:23" ht="26.4">
      <c r="W4139" s="64" ph="1"/>
    </row>
    <row r="4140" spans="23:23" ht="26.4">
      <c r="W4140" s="64" ph="1"/>
    </row>
    <row r="4141" spans="23:23" ht="26.4">
      <c r="W4141" s="64" ph="1"/>
    </row>
    <row r="4142" spans="23:23" ht="26.4">
      <c r="W4142" s="64" ph="1"/>
    </row>
    <row r="4143" spans="23:23" ht="26.4">
      <c r="W4143" s="64" ph="1"/>
    </row>
    <row r="4144" spans="23:23" ht="26.4">
      <c r="W4144" s="64" ph="1"/>
    </row>
    <row r="4145" spans="23:23" ht="26.4">
      <c r="W4145" s="64" ph="1"/>
    </row>
    <row r="4146" spans="23:23" ht="26.4">
      <c r="W4146" s="64" ph="1"/>
    </row>
    <row r="4147" spans="23:23" ht="26.4">
      <c r="W4147" s="64" ph="1"/>
    </row>
    <row r="4148" spans="23:23" ht="26.4">
      <c r="W4148" s="64" ph="1"/>
    </row>
    <row r="4149" spans="23:23" ht="26.4">
      <c r="W4149" s="64" ph="1"/>
    </row>
    <row r="4150" spans="23:23" ht="26.4">
      <c r="W4150" s="64" ph="1"/>
    </row>
    <row r="4151" spans="23:23" ht="26.4">
      <c r="W4151" s="64" ph="1"/>
    </row>
    <row r="4152" spans="23:23" ht="26.4">
      <c r="W4152" s="64" ph="1"/>
    </row>
    <row r="4153" spans="23:23" ht="26.4">
      <c r="W4153" s="64" ph="1"/>
    </row>
    <row r="4154" spans="23:23" ht="26.4">
      <c r="W4154" s="64" ph="1"/>
    </row>
    <row r="4155" spans="23:23" ht="26.4">
      <c r="W4155" s="64" ph="1"/>
    </row>
    <row r="4156" spans="23:23" ht="26.4">
      <c r="W4156" s="64" ph="1"/>
    </row>
    <row r="4157" spans="23:23" ht="26.4">
      <c r="W4157" s="64" ph="1"/>
    </row>
    <row r="4158" spans="23:23" ht="26.4">
      <c r="W4158" s="64" ph="1"/>
    </row>
    <row r="4159" spans="23:23" ht="26.4">
      <c r="W4159" s="64" ph="1"/>
    </row>
    <row r="4160" spans="23:23" ht="26.4">
      <c r="W4160" s="64" ph="1"/>
    </row>
    <row r="4161" spans="23:23" ht="26.4">
      <c r="W4161" s="64" ph="1"/>
    </row>
    <row r="4162" spans="23:23" ht="26.4">
      <c r="W4162" s="64" ph="1"/>
    </row>
    <row r="4163" spans="23:23" ht="26.4">
      <c r="W4163" s="64" ph="1"/>
    </row>
    <row r="4164" spans="23:23" ht="26.4">
      <c r="W4164" s="64" ph="1"/>
    </row>
    <row r="4165" spans="23:23" ht="26.4">
      <c r="W4165" s="64" ph="1"/>
    </row>
    <row r="4166" spans="23:23" ht="26.4">
      <c r="W4166" s="64" ph="1"/>
    </row>
    <row r="4167" spans="23:23" ht="26.4">
      <c r="W4167" s="64" ph="1"/>
    </row>
    <row r="4168" spans="23:23" ht="26.4">
      <c r="W4168" s="64" ph="1"/>
    </row>
    <row r="4169" spans="23:23" ht="26.4">
      <c r="W4169" s="64" ph="1"/>
    </row>
    <row r="4170" spans="23:23" ht="26.4">
      <c r="W4170" s="64" ph="1"/>
    </row>
    <row r="4171" spans="23:23" ht="26.4">
      <c r="W4171" s="64" ph="1"/>
    </row>
    <row r="4172" spans="23:23" ht="26.4">
      <c r="W4172" s="64" ph="1"/>
    </row>
    <row r="4173" spans="23:23" ht="26.4">
      <c r="W4173" s="64" ph="1"/>
    </row>
    <row r="4174" spans="23:23" ht="26.4">
      <c r="W4174" s="64" ph="1"/>
    </row>
    <row r="4175" spans="23:23" ht="26.4">
      <c r="W4175" s="64" ph="1"/>
    </row>
    <row r="4176" spans="23:23" ht="26.4">
      <c r="W4176" s="64" ph="1"/>
    </row>
    <row r="4177" spans="23:23" ht="26.4">
      <c r="W4177" s="64" ph="1"/>
    </row>
    <row r="4178" spans="23:23" ht="26.4">
      <c r="W4178" s="64" ph="1"/>
    </row>
    <row r="4179" spans="23:23" ht="26.4">
      <c r="W4179" s="64" ph="1"/>
    </row>
    <row r="4180" spans="23:23" ht="26.4">
      <c r="W4180" s="64" ph="1"/>
    </row>
    <row r="4181" spans="23:23" ht="26.4">
      <c r="W4181" s="64" ph="1"/>
    </row>
    <row r="4182" spans="23:23" ht="26.4">
      <c r="W4182" s="64" ph="1"/>
    </row>
    <row r="4183" spans="23:23" ht="26.4">
      <c r="W4183" s="64" ph="1"/>
    </row>
    <row r="4184" spans="23:23" ht="26.4">
      <c r="W4184" s="64" ph="1"/>
    </row>
    <row r="4185" spans="23:23" ht="26.4">
      <c r="W4185" s="64" ph="1"/>
    </row>
    <row r="4186" spans="23:23" ht="26.4">
      <c r="W4186" s="64" ph="1"/>
    </row>
    <row r="4187" spans="23:23" ht="26.4">
      <c r="W4187" s="64" ph="1"/>
    </row>
    <row r="4188" spans="23:23" ht="26.4">
      <c r="W4188" s="64" ph="1"/>
    </row>
    <row r="4189" spans="23:23" ht="26.4">
      <c r="W4189" s="64" ph="1"/>
    </row>
    <row r="4190" spans="23:23" ht="26.4">
      <c r="W4190" s="64" ph="1"/>
    </row>
    <row r="4191" spans="23:23" ht="26.4">
      <c r="W4191" s="64" ph="1"/>
    </row>
    <row r="4192" spans="23:23" ht="26.4">
      <c r="W4192" s="64" ph="1"/>
    </row>
    <row r="4193" spans="23:23" ht="26.4">
      <c r="W4193" s="64" ph="1"/>
    </row>
    <row r="4194" spans="23:23" ht="26.4">
      <c r="W4194" s="64" ph="1"/>
    </row>
    <row r="4195" spans="23:23" ht="26.4">
      <c r="W4195" s="64" ph="1"/>
    </row>
    <row r="4196" spans="23:23" ht="26.4">
      <c r="W4196" s="64" ph="1"/>
    </row>
    <row r="4197" spans="23:23" ht="26.4">
      <c r="W4197" s="64" ph="1"/>
    </row>
    <row r="4198" spans="23:23" ht="26.4">
      <c r="W4198" s="64" ph="1"/>
    </row>
    <row r="4199" spans="23:23" ht="26.4">
      <c r="W4199" s="64" ph="1"/>
    </row>
    <row r="4200" spans="23:23" ht="26.4">
      <c r="W4200" s="64" ph="1"/>
    </row>
    <row r="4201" spans="23:23" ht="26.4">
      <c r="W4201" s="64" ph="1"/>
    </row>
    <row r="4202" spans="23:23" ht="26.4">
      <c r="W4202" s="64" ph="1"/>
    </row>
    <row r="4203" spans="23:23" ht="26.4">
      <c r="W4203" s="64" ph="1"/>
    </row>
    <row r="4204" spans="23:23" ht="26.4">
      <c r="W4204" s="64" ph="1"/>
    </row>
    <row r="4205" spans="23:23" ht="26.4">
      <c r="W4205" s="64" ph="1"/>
    </row>
    <row r="4206" spans="23:23" ht="26.4">
      <c r="W4206" s="64" ph="1"/>
    </row>
    <row r="4207" spans="23:23" ht="26.4">
      <c r="W4207" s="64" ph="1"/>
    </row>
    <row r="4208" spans="23:23" ht="26.4">
      <c r="W4208" s="64" ph="1"/>
    </row>
    <row r="4209" spans="23:23" ht="26.4">
      <c r="W4209" s="64" ph="1"/>
    </row>
    <row r="4210" spans="23:23" ht="26.4">
      <c r="W4210" s="64" ph="1"/>
    </row>
    <row r="4211" spans="23:23" ht="26.4">
      <c r="W4211" s="64" ph="1"/>
    </row>
    <row r="4212" spans="23:23" ht="26.4">
      <c r="W4212" s="64" ph="1"/>
    </row>
    <row r="4213" spans="23:23" ht="26.4">
      <c r="W4213" s="64" ph="1"/>
    </row>
    <row r="4214" spans="23:23" ht="26.4">
      <c r="W4214" s="64" ph="1"/>
    </row>
    <row r="4215" spans="23:23" ht="26.4">
      <c r="W4215" s="64" ph="1"/>
    </row>
    <row r="4216" spans="23:23" ht="26.4">
      <c r="W4216" s="64" ph="1"/>
    </row>
    <row r="4217" spans="23:23" ht="26.4">
      <c r="W4217" s="64" ph="1"/>
    </row>
    <row r="4218" spans="23:23" ht="26.4">
      <c r="W4218" s="64" ph="1"/>
    </row>
    <row r="4219" spans="23:23" ht="26.4">
      <c r="W4219" s="64" ph="1"/>
    </row>
    <row r="4220" spans="23:23" ht="26.4">
      <c r="W4220" s="64" ph="1"/>
    </row>
    <row r="4221" spans="23:23" ht="26.4">
      <c r="W4221" s="64" ph="1"/>
    </row>
    <row r="4222" spans="23:23" ht="26.4">
      <c r="W4222" s="64" ph="1"/>
    </row>
    <row r="4223" spans="23:23" ht="26.4">
      <c r="W4223" s="64" ph="1"/>
    </row>
    <row r="4224" spans="23:23" ht="26.4">
      <c r="W4224" s="64" ph="1"/>
    </row>
    <row r="4225" spans="23:23" ht="26.4">
      <c r="W4225" s="64" ph="1"/>
    </row>
    <row r="4226" spans="23:23" ht="26.4">
      <c r="W4226" s="64" ph="1"/>
    </row>
    <row r="4227" spans="23:23" ht="26.4">
      <c r="W4227" s="64" ph="1"/>
    </row>
    <row r="4228" spans="23:23" ht="26.4">
      <c r="W4228" s="64" ph="1"/>
    </row>
    <row r="4229" spans="23:23" ht="26.4">
      <c r="W4229" s="64" ph="1"/>
    </row>
    <row r="4230" spans="23:23" ht="26.4">
      <c r="W4230" s="64" ph="1"/>
    </row>
    <row r="4231" spans="23:23" ht="26.4">
      <c r="W4231" s="64" ph="1"/>
    </row>
    <row r="4232" spans="23:23" ht="26.4">
      <c r="W4232" s="64" ph="1"/>
    </row>
    <row r="4233" spans="23:23" ht="26.4">
      <c r="W4233" s="64" ph="1"/>
    </row>
    <row r="4234" spans="23:23" ht="26.4">
      <c r="W4234" s="64" ph="1"/>
    </row>
    <row r="4235" spans="23:23" ht="26.4">
      <c r="W4235" s="64" ph="1"/>
    </row>
    <row r="4236" spans="23:23" ht="26.4">
      <c r="W4236" s="64" ph="1"/>
    </row>
    <row r="4237" spans="23:23" ht="26.4">
      <c r="W4237" s="64" ph="1"/>
    </row>
    <row r="4238" spans="23:23" ht="26.4">
      <c r="W4238" s="64" ph="1"/>
    </row>
    <row r="4239" spans="23:23" ht="26.4">
      <c r="W4239" s="64" ph="1"/>
    </row>
    <row r="4240" spans="23:23" ht="26.4">
      <c r="W4240" s="64" ph="1"/>
    </row>
    <row r="4241" spans="23:23" ht="26.4">
      <c r="W4241" s="64" ph="1"/>
    </row>
    <row r="4242" spans="23:23" ht="26.4">
      <c r="W4242" s="64" ph="1"/>
    </row>
    <row r="4243" spans="23:23" ht="26.4">
      <c r="W4243" s="64" ph="1"/>
    </row>
    <row r="4244" spans="23:23" ht="26.4">
      <c r="W4244" s="64" ph="1"/>
    </row>
    <row r="4245" spans="23:23" ht="26.4">
      <c r="W4245" s="64" ph="1"/>
    </row>
    <row r="4246" spans="23:23" ht="26.4">
      <c r="W4246" s="64" ph="1"/>
    </row>
    <row r="4247" spans="23:23" ht="26.4">
      <c r="W4247" s="64" ph="1"/>
    </row>
    <row r="4248" spans="23:23" ht="26.4">
      <c r="W4248" s="64" ph="1"/>
    </row>
    <row r="4249" spans="23:23" ht="26.4">
      <c r="W4249" s="64" ph="1"/>
    </row>
    <row r="4250" spans="23:23" ht="26.4">
      <c r="W4250" s="64" ph="1"/>
    </row>
    <row r="4251" spans="23:23" ht="26.4">
      <c r="W4251" s="64" ph="1"/>
    </row>
    <row r="4252" spans="23:23" ht="26.4">
      <c r="W4252" s="64" ph="1"/>
    </row>
    <row r="4253" spans="23:23" ht="26.4">
      <c r="W4253" s="64" ph="1"/>
    </row>
    <row r="4254" spans="23:23" ht="26.4">
      <c r="W4254" s="64" ph="1"/>
    </row>
    <row r="4255" spans="23:23" ht="26.4">
      <c r="W4255" s="64" ph="1"/>
    </row>
    <row r="4256" spans="23:23" ht="26.4">
      <c r="W4256" s="64" ph="1"/>
    </row>
    <row r="4257" spans="23:23" ht="26.4">
      <c r="W4257" s="64" ph="1"/>
    </row>
    <row r="4258" spans="23:23" ht="26.4">
      <c r="W4258" s="64" ph="1"/>
    </row>
    <row r="4259" spans="23:23" ht="26.4">
      <c r="W4259" s="64" ph="1"/>
    </row>
    <row r="4260" spans="23:23" ht="26.4">
      <c r="W4260" s="64" ph="1"/>
    </row>
    <row r="4261" spans="23:23" ht="26.4">
      <c r="W4261" s="64" ph="1"/>
    </row>
    <row r="4262" spans="23:23" ht="26.4">
      <c r="W4262" s="64" ph="1"/>
    </row>
    <row r="4263" spans="23:23" ht="26.4">
      <c r="W4263" s="64" ph="1"/>
    </row>
    <row r="4264" spans="23:23" ht="26.4">
      <c r="W4264" s="64" ph="1"/>
    </row>
    <row r="4265" spans="23:23" ht="26.4">
      <c r="W4265" s="64" ph="1"/>
    </row>
    <row r="4266" spans="23:23" ht="26.4">
      <c r="W4266" s="64" ph="1"/>
    </row>
    <row r="4267" spans="23:23" ht="26.4">
      <c r="W4267" s="64" ph="1"/>
    </row>
    <row r="4268" spans="23:23" ht="26.4">
      <c r="W4268" s="64" ph="1"/>
    </row>
    <row r="4269" spans="23:23" ht="26.4">
      <c r="W4269" s="64" ph="1"/>
    </row>
    <row r="4270" spans="23:23" ht="26.4">
      <c r="W4270" s="64" ph="1"/>
    </row>
    <row r="4271" spans="23:23" ht="26.4">
      <c r="W4271" s="64" ph="1"/>
    </row>
    <row r="4272" spans="23:23" ht="26.4">
      <c r="W4272" s="64" ph="1"/>
    </row>
    <row r="4273" spans="23:23" ht="26.4">
      <c r="W4273" s="64" ph="1"/>
    </row>
    <row r="4274" spans="23:23" ht="26.4">
      <c r="W4274" s="64" ph="1"/>
    </row>
    <row r="4275" spans="23:23" ht="26.4">
      <c r="W4275" s="64" ph="1"/>
    </row>
    <row r="4276" spans="23:23" ht="26.4">
      <c r="W4276" s="64" ph="1"/>
    </row>
    <row r="4277" spans="23:23" ht="26.4">
      <c r="W4277" s="64" ph="1"/>
    </row>
    <row r="4278" spans="23:23" ht="26.4">
      <c r="W4278" s="64" ph="1"/>
    </row>
    <row r="4279" spans="23:23" ht="26.4">
      <c r="W4279" s="64" ph="1"/>
    </row>
    <row r="4280" spans="23:23" ht="26.4">
      <c r="W4280" s="64" ph="1"/>
    </row>
    <row r="4281" spans="23:23" ht="26.4">
      <c r="W4281" s="64" ph="1"/>
    </row>
    <row r="4282" spans="23:23" ht="26.4">
      <c r="W4282" s="64" ph="1"/>
    </row>
    <row r="4283" spans="23:23" ht="26.4">
      <c r="W4283" s="64" ph="1"/>
    </row>
    <row r="4284" spans="23:23" ht="26.4">
      <c r="W4284" s="64" ph="1"/>
    </row>
    <row r="4285" spans="23:23" ht="26.4">
      <c r="W4285" s="64" ph="1"/>
    </row>
    <row r="4286" spans="23:23" ht="26.4">
      <c r="W4286" s="64" ph="1"/>
    </row>
    <row r="4287" spans="23:23" ht="26.4">
      <c r="W4287" s="64" ph="1"/>
    </row>
    <row r="4288" spans="23:23" ht="26.4">
      <c r="W4288" s="64" ph="1"/>
    </row>
    <row r="4289" spans="23:23" ht="26.4">
      <c r="W4289" s="64" ph="1"/>
    </row>
    <row r="4290" spans="23:23" ht="26.4">
      <c r="W4290" s="64" ph="1"/>
    </row>
    <row r="4291" spans="23:23" ht="26.4">
      <c r="W4291" s="64" ph="1"/>
    </row>
    <row r="4292" spans="23:23" ht="26.4">
      <c r="W4292" s="64" ph="1"/>
    </row>
    <row r="4293" spans="23:23" ht="26.4">
      <c r="W4293" s="64" ph="1"/>
    </row>
    <row r="4294" spans="23:23" ht="26.4">
      <c r="W4294" s="64" ph="1"/>
    </row>
    <row r="4295" spans="23:23" ht="26.4">
      <c r="W4295" s="64" ph="1"/>
    </row>
    <row r="4296" spans="23:23" ht="26.4">
      <c r="W4296" s="64" ph="1"/>
    </row>
    <row r="4297" spans="23:23" ht="26.4">
      <c r="W4297" s="64" ph="1"/>
    </row>
    <row r="4298" spans="23:23" ht="26.4">
      <c r="W4298" s="64" ph="1"/>
    </row>
    <row r="4299" spans="23:23" ht="26.4">
      <c r="W4299" s="64" ph="1"/>
    </row>
    <row r="4300" spans="23:23" ht="26.4">
      <c r="W4300" s="64" ph="1"/>
    </row>
    <row r="4301" spans="23:23" ht="26.4">
      <c r="W4301" s="64" ph="1"/>
    </row>
    <row r="4302" spans="23:23" ht="26.4">
      <c r="W4302" s="64" ph="1"/>
    </row>
    <row r="4303" spans="23:23" ht="26.4">
      <c r="W4303" s="64" ph="1"/>
    </row>
    <row r="4304" spans="23:23" ht="26.4">
      <c r="W4304" s="64" ph="1"/>
    </row>
    <row r="4305" spans="23:23" ht="26.4">
      <c r="W4305" s="64" ph="1"/>
    </row>
    <row r="4306" spans="23:23" ht="26.4">
      <c r="W4306" s="64" ph="1"/>
    </row>
    <row r="4307" spans="23:23" ht="26.4">
      <c r="W4307" s="64" ph="1"/>
    </row>
    <row r="4308" spans="23:23" ht="26.4">
      <c r="W4308" s="64" ph="1"/>
    </row>
    <row r="4309" spans="23:23" ht="26.4">
      <c r="W4309" s="64" ph="1"/>
    </row>
    <row r="4310" spans="23:23" ht="26.4">
      <c r="W4310" s="64" ph="1"/>
    </row>
    <row r="4311" spans="23:23" ht="26.4">
      <c r="W4311" s="64" ph="1"/>
    </row>
    <row r="4312" spans="23:23" ht="26.4">
      <c r="W4312" s="64" ph="1"/>
    </row>
    <row r="4313" spans="23:23" ht="26.4">
      <c r="W4313" s="64" ph="1"/>
    </row>
    <row r="4314" spans="23:23" ht="26.4">
      <c r="W4314" s="64" ph="1"/>
    </row>
    <row r="4315" spans="23:23" ht="26.4">
      <c r="W4315" s="64" ph="1"/>
    </row>
    <row r="4316" spans="23:23" ht="26.4">
      <c r="W4316" s="64" ph="1"/>
    </row>
    <row r="4317" spans="23:23" ht="26.4">
      <c r="W4317" s="64" ph="1"/>
    </row>
    <row r="4318" spans="23:23" ht="26.4">
      <c r="W4318" s="64" ph="1"/>
    </row>
    <row r="4319" spans="23:23" ht="26.4">
      <c r="W4319" s="64" ph="1"/>
    </row>
    <row r="4320" spans="23:23" ht="26.4">
      <c r="W4320" s="64" ph="1"/>
    </row>
    <row r="4321" spans="23:23" ht="26.4">
      <c r="W4321" s="64" ph="1"/>
    </row>
    <row r="4322" spans="23:23" ht="26.4">
      <c r="W4322" s="64" ph="1"/>
    </row>
    <row r="4323" spans="23:23" ht="26.4">
      <c r="W4323" s="64" ph="1"/>
    </row>
    <row r="4324" spans="23:23" ht="26.4">
      <c r="W4324" s="64" ph="1"/>
    </row>
    <row r="4325" spans="23:23" ht="26.4">
      <c r="W4325" s="64" ph="1"/>
    </row>
    <row r="4326" spans="23:23" ht="26.4">
      <c r="W4326" s="64" ph="1"/>
    </row>
    <row r="4327" spans="23:23" ht="26.4">
      <c r="W4327" s="64" ph="1"/>
    </row>
    <row r="4328" spans="23:23" ht="26.4">
      <c r="W4328" s="64" ph="1"/>
    </row>
    <row r="4329" spans="23:23" ht="26.4">
      <c r="W4329" s="64" ph="1"/>
    </row>
    <row r="4330" spans="23:23" ht="26.4">
      <c r="W4330" s="64" ph="1"/>
    </row>
    <row r="4331" spans="23:23" ht="26.4">
      <c r="W4331" s="64" ph="1"/>
    </row>
    <row r="4332" spans="23:23" ht="26.4">
      <c r="W4332" s="64" ph="1"/>
    </row>
    <row r="4333" spans="23:23" ht="26.4">
      <c r="W4333" s="64" ph="1"/>
    </row>
    <row r="4334" spans="23:23" ht="26.4">
      <c r="W4334" s="64" ph="1"/>
    </row>
    <row r="4335" spans="23:23" ht="26.4">
      <c r="W4335" s="64" ph="1"/>
    </row>
    <row r="4336" spans="23:23" ht="26.4">
      <c r="W4336" s="64" ph="1"/>
    </row>
    <row r="4337" spans="23:23" ht="26.4">
      <c r="W4337" s="64" ph="1"/>
    </row>
    <row r="4338" spans="23:23" ht="26.4">
      <c r="W4338" s="64" ph="1"/>
    </row>
    <row r="4339" spans="23:23" ht="26.4">
      <c r="W4339" s="64" ph="1"/>
    </row>
    <row r="4340" spans="23:23" ht="26.4">
      <c r="W4340" s="64" ph="1"/>
    </row>
    <row r="4341" spans="23:23" ht="26.4">
      <c r="W4341" s="64" ph="1"/>
    </row>
    <row r="4342" spans="23:23" ht="26.4">
      <c r="W4342" s="64" ph="1"/>
    </row>
    <row r="4343" spans="23:23" ht="26.4">
      <c r="W4343" s="64" ph="1"/>
    </row>
    <row r="4344" spans="23:23" ht="26.4">
      <c r="W4344" s="64" ph="1"/>
    </row>
    <row r="4345" spans="23:23" ht="26.4">
      <c r="W4345" s="64" ph="1"/>
    </row>
    <row r="4346" spans="23:23" ht="26.4">
      <c r="W4346" s="64" ph="1"/>
    </row>
    <row r="4347" spans="23:23" ht="26.4">
      <c r="W4347" s="64" ph="1"/>
    </row>
    <row r="4348" spans="23:23" ht="26.4">
      <c r="W4348" s="64" ph="1"/>
    </row>
    <row r="4349" spans="23:23" ht="26.4">
      <c r="W4349" s="64" ph="1"/>
    </row>
    <row r="4350" spans="23:23" ht="26.4">
      <c r="W4350" s="64" ph="1"/>
    </row>
    <row r="4351" spans="23:23" ht="26.4">
      <c r="W4351" s="64" ph="1"/>
    </row>
    <row r="4352" spans="23:23" ht="26.4">
      <c r="W4352" s="64" ph="1"/>
    </row>
    <row r="4353" spans="23:23" ht="26.4">
      <c r="W4353" s="64" ph="1"/>
    </row>
    <row r="4354" spans="23:23" ht="26.4">
      <c r="W4354" s="64" ph="1"/>
    </row>
    <row r="4355" spans="23:23" ht="26.4">
      <c r="W4355" s="64" ph="1"/>
    </row>
    <row r="4356" spans="23:23" ht="26.4">
      <c r="W4356" s="64" ph="1"/>
    </row>
    <row r="4357" spans="23:23" ht="26.4">
      <c r="W4357" s="64" ph="1"/>
    </row>
    <row r="4358" spans="23:23" ht="26.4">
      <c r="W4358" s="64" ph="1"/>
    </row>
    <row r="4359" spans="23:23" ht="26.4">
      <c r="W4359" s="64" ph="1"/>
    </row>
    <row r="4360" spans="23:23" ht="26.4">
      <c r="W4360" s="64" ph="1"/>
    </row>
    <row r="4361" spans="23:23" ht="26.4">
      <c r="W4361" s="64" ph="1"/>
    </row>
    <row r="4362" spans="23:23" ht="26.4">
      <c r="W4362" s="64" ph="1"/>
    </row>
    <row r="4363" spans="23:23" ht="26.4">
      <c r="W4363" s="64" ph="1"/>
    </row>
    <row r="4364" spans="23:23" ht="26.4">
      <c r="W4364" s="64" ph="1"/>
    </row>
    <row r="4365" spans="23:23" ht="26.4">
      <c r="W4365" s="64" ph="1"/>
    </row>
    <row r="4366" spans="23:23" ht="26.4">
      <c r="W4366" s="64" ph="1"/>
    </row>
    <row r="4367" spans="23:23" ht="26.4">
      <c r="W4367" s="64" ph="1"/>
    </row>
    <row r="4368" spans="23:23" ht="26.4">
      <c r="W4368" s="64" ph="1"/>
    </row>
    <row r="4369" spans="23:23" ht="26.4">
      <c r="W4369" s="64" ph="1"/>
    </row>
    <row r="4370" spans="23:23" ht="26.4">
      <c r="W4370" s="64" ph="1"/>
    </row>
    <row r="4371" spans="23:23" ht="26.4">
      <c r="W4371" s="64" ph="1"/>
    </row>
    <row r="4372" spans="23:23" ht="26.4">
      <c r="W4372" s="64" ph="1"/>
    </row>
    <row r="4373" spans="23:23" ht="26.4">
      <c r="W4373" s="64" ph="1"/>
    </row>
    <row r="4374" spans="23:23" ht="26.4">
      <c r="W4374" s="64" ph="1"/>
    </row>
    <row r="4375" spans="23:23" ht="26.4">
      <c r="W4375" s="64" ph="1"/>
    </row>
    <row r="4376" spans="23:23" ht="26.4">
      <c r="W4376" s="64" ph="1"/>
    </row>
    <row r="4377" spans="23:23" ht="26.4">
      <c r="W4377" s="64" ph="1"/>
    </row>
    <row r="4378" spans="23:23" ht="26.4">
      <c r="W4378" s="64" ph="1"/>
    </row>
    <row r="4379" spans="23:23" ht="26.4">
      <c r="W4379" s="64" ph="1"/>
    </row>
    <row r="4380" spans="23:23" ht="26.4">
      <c r="W4380" s="64" ph="1"/>
    </row>
    <row r="4381" spans="23:23" ht="26.4">
      <c r="W4381" s="64" ph="1"/>
    </row>
    <row r="4382" spans="23:23" ht="26.4">
      <c r="W4382" s="64" ph="1"/>
    </row>
    <row r="4383" spans="23:23" ht="26.4">
      <c r="W4383" s="64" ph="1"/>
    </row>
    <row r="4384" spans="23:23" ht="26.4">
      <c r="W4384" s="64" ph="1"/>
    </row>
    <row r="4385" spans="23:23" ht="26.4">
      <c r="W4385" s="64" ph="1"/>
    </row>
    <row r="4386" spans="23:23" ht="26.4">
      <c r="W4386" s="64" ph="1"/>
    </row>
    <row r="4387" spans="23:23" ht="26.4">
      <c r="W4387" s="64" ph="1"/>
    </row>
    <row r="4388" spans="23:23" ht="26.4">
      <c r="W4388" s="64" ph="1"/>
    </row>
    <row r="4389" spans="23:23" ht="26.4">
      <c r="W4389" s="64" ph="1"/>
    </row>
    <row r="4390" spans="23:23" ht="26.4">
      <c r="W4390" s="64" ph="1"/>
    </row>
    <row r="4391" spans="23:23" ht="26.4">
      <c r="W4391" s="64" ph="1"/>
    </row>
    <row r="4392" spans="23:23" ht="26.4">
      <c r="W4392" s="64" ph="1"/>
    </row>
    <row r="4393" spans="23:23" ht="26.4">
      <c r="W4393" s="64" ph="1"/>
    </row>
    <row r="4394" spans="23:23" ht="26.4">
      <c r="W4394" s="64" ph="1"/>
    </row>
    <row r="4395" spans="23:23" ht="26.4">
      <c r="W4395" s="64" ph="1"/>
    </row>
    <row r="4396" spans="23:23" ht="26.4">
      <c r="W4396" s="64" ph="1"/>
    </row>
    <row r="4397" spans="23:23" ht="26.4">
      <c r="W4397" s="64" ph="1"/>
    </row>
    <row r="4398" spans="23:23" ht="26.4">
      <c r="W4398" s="64" ph="1"/>
    </row>
    <row r="4399" spans="23:23" ht="26.4">
      <c r="W4399" s="64" ph="1"/>
    </row>
    <row r="4400" spans="23:23" ht="26.4">
      <c r="W4400" s="64" ph="1"/>
    </row>
    <row r="4401" spans="23:23" ht="26.4">
      <c r="W4401" s="64" ph="1"/>
    </row>
    <row r="4402" spans="23:23" ht="26.4">
      <c r="W4402" s="64" ph="1"/>
    </row>
    <row r="4403" spans="23:23" ht="26.4">
      <c r="W4403" s="64" ph="1"/>
    </row>
    <row r="4404" spans="23:23" ht="26.4">
      <c r="W4404" s="64" ph="1"/>
    </row>
    <row r="4405" spans="23:23" ht="26.4">
      <c r="W4405" s="64" ph="1"/>
    </row>
    <row r="4406" spans="23:23" ht="26.4">
      <c r="W4406" s="64" ph="1"/>
    </row>
    <row r="4407" spans="23:23" ht="26.4">
      <c r="W4407" s="64" ph="1"/>
    </row>
    <row r="4408" spans="23:23" ht="26.4">
      <c r="W4408" s="64" ph="1"/>
    </row>
    <row r="4409" spans="23:23" ht="26.4">
      <c r="W4409" s="64" ph="1"/>
    </row>
    <row r="4410" spans="23:23" ht="26.4">
      <c r="W4410" s="64" ph="1"/>
    </row>
    <row r="4411" spans="23:23" ht="26.4">
      <c r="W4411" s="64" ph="1"/>
    </row>
    <row r="4412" spans="23:23" ht="26.4">
      <c r="W4412" s="64" ph="1"/>
    </row>
    <row r="4413" spans="23:23" ht="26.4">
      <c r="W4413" s="64" ph="1"/>
    </row>
    <row r="4414" spans="23:23" ht="26.4">
      <c r="W4414" s="64" ph="1"/>
    </row>
    <row r="4415" spans="23:23" ht="26.4">
      <c r="W4415" s="64" ph="1"/>
    </row>
    <row r="4416" spans="23:23" ht="26.4">
      <c r="W4416" s="64" ph="1"/>
    </row>
    <row r="4417" spans="23:23" ht="26.4">
      <c r="W4417" s="64" ph="1"/>
    </row>
    <row r="4418" spans="23:23" ht="26.4">
      <c r="W4418" s="64" ph="1"/>
    </row>
    <row r="4419" spans="23:23" ht="26.4">
      <c r="W4419" s="64" ph="1"/>
    </row>
    <row r="4420" spans="23:23" ht="26.4">
      <c r="W4420" s="64" ph="1"/>
    </row>
    <row r="4421" spans="23:23" ht="26.4">
      <c r="W4421" s="64" ph="1"/>
    </row>
    <row r="4422" spans="23:23" ht="26.4">
      <c r="W4422" s="64" ph="1"/>
    </row>
    <row r="4423" spans="23:23" ht="26.4">
      <c r="W4423" s="64" ph="1"/>
    </row>
    <row r="4424" spans="23:23" ht="26.4">
      <c r="W4424" s="64" ph="1"/>
    </row>
    <row r="4425" spans="23:23" ht="26.4">
      <c r="W4425" s="64" ph="1"/>
    </row>
    <row r="4426" spans="23:23" ht="26.4">
      <c r="W4426" s="64" ph="1"/>
    </row>
    <row r="4427" spans="23:23" ht="26.4">
      <c r="W4427" s="64" ph="1"/>
    </row>
    <row r="4428" spans="23:23" ht="26.4">
      <c r="W4428" s="64" ph="1"/>
    </row>
    <row r="4429" spans="23:23" ht="26.4">
      <c r="W4429" s="64" ph="1"/>
    </row>
    <row r="4430" spans="23:23" ht="26.4">
      <c r="W4430" s="64" ph="1"/>
    </row>
    <row r="4431" spans="23:23" ht="26.4">
      <c r="W4431" s="64" ph="1"/>
    </row>
    <row r="4432" spans="23:23" ht="26.4">
      <c r="W4432" s="64" ph="1"/>
    </row>
    <row r="4433" spans="23:23" ht="26.4">
      <c r="W4433" s="64" ph="1"/>
    </row>
    <row r="4434" spans="23:23" ht="26.4">
      <c r="W4434" s="64" ph="1"/>
    </row>
    <row r="4435" spans="23:23" ht="26.4">
      <c r="W4435" s="64" ph="1"/>
    </row>
    <row r="4436" spans="23:23" ht="26.4">
      <c r="W4436" s="64" ph="1"/>
    </row>
    <row r="4437" spans="23:23" ht="26.4">
      <c r="W4437" s="64" ph="1"/>
    </row>
    <row r="4438" spans="23:23" ht="26.4">
      <c r="W4438" s="64" ph="1"/>
    </row>
    <row r="4439" spans="23:23" ht="26.4">
      <c r="W4439" s="64" ph="1"/>
    </row>
    <row r="4440" spans="23:23" ht="26.4">
      <c r="W4440" s="64" ph="1"/>
    </row>
    <row r="4441" spans="23:23" ht="26.4">
      <c r="W4441" s="64" ph="1"/>
    </row>
    <row r="4442" spans="23:23" ht="26.4">
      <c r="W4442" s="64" ph="1"/>
    </row>
    <row r="4443" spans="23:23" ht="26.4">
      <c r="W4443" s="64" ph="1"/>
    </row>
    <row r="4444" spans="23:23" ht="26.4">
      <c r="W4444" s="64" ph="1"/>
    </row>
    <row r="4445" spans="23:23" ht="26.4">
      <c r="W4445" s="64" ph="1"/>
    </row>
    <row r="4446" spans="23:23" ht="26.4">
      <c r="W4446" s="64" ph="1"/>
    </row>
    <row r="4447" spans="23:23" ht="26.4">
      <c r="W4447" s="64" ph="1"/>
    </row>
    <row r="4448" spans="23:23" ht="26.4">
      <c r="W4448" s="64" ph="1"/>
    </row>
    <row r="4449" spans="23:23" ht="26.4">
      <c r="W4449" s="64" ph="1"/>
    </row>
    <row r="4450" spans="23:23" ht="26.4">
      <c r="W4450" s="64" ph="1"/>
    </row>
    <row r="4451" spans="23:23" ht="26.4">
      <c r="W4451" s="64" ph="1"/>
    </row>
    <row r="4452" spans="23:23" ht="26.4">
      <c r="W4452" s="64" ph="1"/>
    </row>
    <row r="4453" spans="23:23" ht="26.4">
      <c r="W4453" s="64" ph="1"/>
    </row>
    <row r="4454" spans="23:23" ht="26.4">
      <c r="W4454" s="64" ph="1"/>
    </row>
    <row r="4455" spans="23:23" ht="26.4">
      <c r="W4455" s="64" ph="1"/>
    </row>
    <row r="4456" spans="23:23" ht="26.4">
      <c r="W4456" s="64" ph="1"/>
    </row>
    <row r="4457" spans="23:23" ht="26.4">
      <c r="W4457" s="64" ph="1"/>
    </row>
    <row r="4458" spans="23:23" ht="26.4">
      <c r="W4458" s="64" ph="1"/>
    </row>
    <row r="4459" spans="23:23" ht="26.4">
      <c r="W4459" s="64" ph="1"/>
    </row>
    <row r="4460" spans="23:23" ht="26.4">
      <c r="W4460" s="64" ph="1"/>
    </row>
    <row r="4461" spans="23:23" ht="26.4">
      <c r="W4461" s="64" ph="1"/>
    </row>
    <row r="4462" spans="23:23" ht="26.4">
      <c r="W4462" s="64" ph="1"/>
    </row>
    <row r="4463" spans="23:23" ht="26.4">
      <c r="W4463" s="64" ph="1"/>
    </row>
    <row r="4464" spans="23:23" ht="26.4">
      <c r="W4464" s="64" ph="1"/>
    </row>
    <row r="4465" spans="23:23" ht="26.4">
      <c r="W4465" s="64" ph="1"/>
    </row>
    <row r="4466" spans="23:23" ht="26.4">
      <c r="W4466" s="64" ph="1"/>
    </row>
    <row r="4467" spans="23:23" ht="26.4">
      <c r="W4467" s="64" ph="1"/>
    </row>
    <row r="4468" spans="23:23" ht="26.4">
      <c r="W4468" s="64" ph="1"/>
    </row>
    <row r="4469" spans="23:23" ht="26.4">
      <c r="W4469" s="64" ph="1"/>
    </row>
    <row r="4470" spans="23:23" ht="26.4">
      <c r="W4470" s="64" ph="1"/>
    </row>
    <row r="4471" spans="23:23" ht="26.4">
      <c r="W4471" s="64" ph="1"/>
    </row>
    <row r="4472" spans="23:23" ht="26.4">
      <c r="W4472" s="64" ph="1"/>
    </row>
    <row r="4473" spans="23:23" ht="26.4">
      <c r="W4473" s="64" ph="1"/>
    </row>
    <row r="4474" spans="23:23" ht="26.4">
      <c r="W4474" s="64" ph="1"/>
    </row>
    <row r="4475" spans="23:23" ht="26.4">
      <c r="W4475" s="64" ph="1"/>
    </row>
    <row r="4476" spans="23:23" ht="26.4">
      <c r="W4476" s="64" ph="1"/>
    </row>
    <row r="4477" spans="23:23" ht="26.4">
      <c r="W4477" s="64" ph="1"/>
    </row>
    <row r="4478" spans="23:23" ht="26.4">
      <c r="W4478" s="64" ph="1"/>
    </row>
    <row r="4479" spans="23:23" ht="26.4">
      <c r="W4479" s="64" ph="1"/>
    </row>
    <row r="4480" spans="23:23" ht="26.4">
      <c r="W4480" s="64" ph="1"/>
    </row>
    <row r="4481" spans="23:23" ht="26.4">
      <c r="W4481" s="64" ph="1"/>
    </row>
    <row r="4482" spans="23:23" ht="26.4">
      <c r="W4482" s="64" ph="1"/>
    </row>
    <row r="4483" spans="23:23" ht="26.4">
      <c r="W4483" s="64" ph="1"/>
    </row>
    <row r="4484" spans="23:23" ht="26.4">
      <c r="W4484" s="64" ph="1"/>
    </row>
    <row r="4485" spans="23:23" ht="26.4">
      <c r="W4485" s="64" ph="1"/>
    </row>
    <row r="4486" spans="23:23" ht="26.4">
      <c r="W4486" s="64" ph="1"/>
    </row>
    <row r="4487" spans="23:23" ht="26.4">
      <c r="W4487" s="64" ph="1"/>
    </row>
    <row r="4488" spans="23:23" ht="26.4">
      <c r="W4488" s="64" ph="1"/>
    </row>
    <row r="4489" spans="23:23" ht="26.4">
      <c r="W4489" s="64" ph="1"/>
    </row>
    <row r="4490" spans="23:23" ht="26.4">
      <c r="W4490" s="64" ph="1"/>
    </row>
    <row r="4491" spans="23:23" ht="26.4">
      <c r="W4491" s="64" ph="1"/>
    </row>
    <row r="4492" spans="23:23" ht="26.4">
      <c r="W4492" s="64" ph="1"/>
    </row>
    <row r="4493" spans="23:23" ht="26.4">
      <c r="W4493" s="64" ph="1"/>
    </row>
    <row r="4494" spans="23:23" ht="26.4">
      <c r="W4494" s="64" ph="1"/>
    </row>
    <row r="4495" spans="23:23" ht="26.4">
      <c r="W4495" s="64" ph="1"/>
    </row>
    <row r="4496" spans="23:23" ht="26.4">
      <c r="W4496" s="64" ph="1"/>
    </row>
    <row r="4497" spans="23:23" ht="26.4">
      <c r="W4497" s="64" ph="1"/>
    </row>
    <row r="4498" spans="23:23" ht="26.4">
      <c r="W4498" s="64" ph="1"/>
    </row>
    <row r="4499" spans="23:23" ht="26.4">
      <c r="W4499" s="64" ph="1"/>
    </row>
    <row r="4500" spans="23:23" ht="26.4">
      <c r="W4500" s="64" ph="1"/>
    </row>
    <row r="4501" spans="23:23" ht="26.4">
      <c r="W4501" s="64" ph="1"/>
    </row>
    <row r="4502" spans="23:23" ht="26.4">
      <c r="W4502" s="64" ph="1"/>
    </row>
    <row r="4503" spans="23:23" ht="26.4">
      <c r="W4503" s="64" ph="1"/>
    </row>
    <row r="4504" spans="23:23" ht="26.4">
      <c r="W4504" s="64" ph="1"/>
    </row>
    <row r="4505" spans="23:23" ht="26.4">
      <c r="W4505" s="64" ph="1"/>
    </row>
    <row r="4506" spans="23:23" ht="26.4">
      <c r="W4506" s="64" ph="1"/>
    </row>
    <row r="4507" spans="23:23" ht="26.4">
      <c r="W4507" s="64" ph="1"/>
    </row>
    <row r="4508" spans="23:23" ht="26.4">
      <c r="W4508" s="64" ph="1"/>
    </row>
    <row r="4509" spans="23:23" ht="26.4">
      <c r="W4509" s="64" ph="1"/>
    </row>
    <row r="4510" spans="23:23" ht="26.4">
      <c r="W4510" s="64" ph="1"/>
    </row>
    <row r="4511" spans="23:23" ht="26.4">
      <c r="W4511" s="64" ph="1"/>
    </row>
    <row r="4512" spans="23:23" ht="26.4">
      <c r="W4512" s="64" ph="1"/>
    </row>
    <row r="4513" spans="23:23" ht="26.4">
      <c r="W4513" s="64" ph="1"/>
    </row>
    <row r="4514" spans="23:23" ht="26.4">
      <c r="W4514" s="64" ph="1"/>
    </row>
    <row r="4515" spans="23:23" ht="26.4">
      <c r="W4515" s="64" ph="1"/>
    </row>
    <row r="4516" spans="23:23" ht="26.4">
      <c r="W4516" s="64" ph="1"/>
    </row>
    <row r="4517" spans="23:23" ht="26.4">
      <c r="W4517" s="64" ph="1"/>
    </row>
    <row r="4518" spans="23:23" ht="26.4">
      <c r="W4518" s="64" ph="1"/>
    </row>
    <row r="4519" spans="23:23" ht="26.4">
      <c r="W4519" s="64" ph="1"/>
    </row>
    <row r="4520" spans="23:23" ht="26.4">
      <c r="W4520" s="64" ph="1"/>
    </row>
    <row r="4521" spans="23:23" ht="26.4">
      <c r="W4521" s="64" ph="1"/>
    </row>
    <row r="4522" spans="23:23" ht="26.4">
      <c r="W4522" s="64" ph="1"/>
    </row>
    <row r="4523" spans="23:23" ht="26.4">
      <c r="W4523" s="64" ph="1"/>
    </row>
    <row r="4524" spans="23:23" ht="26.4">
      <c r="W4524" s="64" ph="1"/>
    </row>
    <row r="4525" spans="23:23" ht="26.4">
      <c r="W4525" s="64" ph="1"/>
    </row>
    <row r="4526" spans="23:23" ht="26.4">
      <c r="W4526" s="64" ph="1"/>
    </row>
    <row r="4527" spans="23:23" ht="26.4">
      <c r="W4527" s="64" ph="1"/>
    </row>
    <row r="4528" spans="23:23" ht="26.4">
      <c r="W4528" s="64" ph="1"/>
    </row>
    <row r="4529" spans="23:23" ht="26.4">
      <c r="W4529" s="64" ph="1"/>
    </row>
    <row r="4530" spans="23:23" ht="26.4">
      <c r="W4530" s="64" ph="1"/>
    </row>
    <row r="4531" spans="23:23" ht="26.4">
      <c r="W4531" s="64" ph="1"/>
    </row>
    <row r="4532" spans="23:23" ht="26.4">
      <c r="W4532" s="64" ph="1"/>
    </row>
    <row r="4533" spans="23:23" ht="26.4">
      <c r="W4533" s="64" ph="1"/>
    </row>
    <row r="4534" spans="23:23" ht="26.4">
      <c r="W4534" s="64" ph="1"/>
    </row>
    <row r="4535" spans="23:23" ht="26.4">
      <c r="W4535" s="64" ph="1"/>
    </row>
    <row r="4536" spans="23:23" ht="26.4">
      <c r="W4536" s="64" ph="1"/>
    </row>
    <row r="4537" spans="23:23" ht="26.4">
      <c r="W4537" s="64" ph="1"/>
    </row>
    <row r="4538" spans="23:23" ht="26.4">
      <c r="W4538" s="64" ph="1"/>
    </row>
    <row r="4539" spans="23:23" ht="26.4">
      <c r="W4539" s="64" ph="1"/>
    </row>
    <row r="4540" spans="23:23" ht="26.4">
      <c r="W4540" s="64" ph="1"/>
    </row>
    <row r="4541" spans="23:23" ht="26.4">
      <c r="W4541" s="64" ph="1"/>
    </row>
    <row r="4542" spans="23:23" ht="26.4">
      <c r="W4542" s="64" ph="1"/>
    </row>
    <row r="4543" spans="23:23" ht="26.4">
      <c r="W4543" s="64" ph="1"/>
    </row>
    <row r="4544" spans="23:23" ht="26.4">
      <c r="W4544" s="64" ph="1"/>
    </row>
    <row r="4545" spans="23:23" ht="26.4">
      <c r="W4545" s="64" ph="1"/>
    </row>
    <row r="4546" spans="23:23" ht="26.4">
      <c r="W4546" s="64" ph="1"/>
    </row>
    <row r="4547" spans="23:23" ht="26.4">
      <c r="W4547" s="64" ph="1"/>
    </row>
    <row r="4548" spans="23:23" ht="26.4">
      <c r="W4548" s="64" ph="1"/>
    </row>
    <row r="4549" spans="23:23" ht="26.4">
      <c r="W4549" s="64" ph="1"/>
    </row>
    <row r="4550" spans="23:23" ht="26.4">
      <c r="W4550" s="64" ph="1"/>
    </row>
    <row r="4551" spans="23:23" ht="26.4">
      <c r="W4551" s="64" ph="1"/>
    </row>
    <row r="4552" spans="23:23" ht="26.4">
      <c r="W4552" s="64" ph="1"/>
    </row>
    <row r="4553" spans="23:23" ht="26.4">
      <c r="W4553" s="64" ph="1"/>
    </row>
    <row r="4554" spans="23:23" ht="26.4">
      <c r="W4554" s="64" ph="1"/>
    </row>
    <row r="4555" spans="23:23" ht="26.4">
      <c r="W4555" s="64" ph="1"/>
    </row>
    <row r="4556" spans="23:23" ht="26.4">
      <c r="W4556" s="64" ph="1"/>
    </row>
    <row r="4557" spans="23:23" ht="26.4">
      <c r="W4557" s="64" ph="1"/>
    </row>
    <row r="4558" spans="23:23" ht="26.4">
      <c r="W4558" s="64" ph="1"/>
    </row>
    <row r="4559" spans="23:23" ht="26.4">
      <c r="W4559" s="64" ph="1"/>
    </row>
    <row r="4560" spans="23:23" ht="26.4">
      <c r="W4560" s="64" ph="1"/>
    </row>
    <row r="4561" spans="23:23" ht="26.4">
      <c r="W4561" s="64" ph="1"/>
    </row>
    <row r="4562" spans="23:23" ht="26.4">
      <c r="W4562" s="64" ph="1"/>
    </row>
    <row r="4563" spans="23:23" ht="26.4">
      <c r="W4563" s="64" ph="1"/>
    </row>
    <row r="4564" spans="23:23" ht="26.4">
      <c r="W4564" s="64" ph="1"/>
    </row>
    <row r="4565" spans="23:23" ht="26.4">
      <c r="W4565" s="64" ph="1"/>
    </row>
    <row r="4566" spans="23:23" ht="26.4">
      <c r="W4566" s="64" ph="1"/>
    </row>
    <row r="4567" spans="23:23" ht="26.4">
      <c r="W4567" s="64" ph="1"/>
    </row>
    <row r="4568" spans="23:23" ht="26.4">
      <c r="W4568" s="64" ph="1"/>
    </row>
    <row r="4569" spans="23:23" ht="26.4">
      <c r="W4569" s="64" ph="1"/>
    </row>
    <row r="4570" spans="23:23" ht="26.4">
      <c r="W4570" s="64" ph="1"/>
    </row>
    <row r="4571" spans="23:23" ht="26.4">
      <c r="W4571" s="64" ph="1"/>
    </row>
    <row r="4572" spans="23:23" ht="26.4">
      <c r="W4572" s="64" ph="1"/>
    </row>
    <row r="4573" spans="23:23" ht="26.4">
      <c r="W4573" s="64" ph="1"/>
    </row>
    <row r="4574" spans="23:23" ht="26.4">
      <c r="W4574" s="64" ph="1"/>
    </row>
    <row r="4575" spans="23:23" ht="26.4">
      <c r="W4575" s="64" ph="1"/>
    </row>
    <row r="4576" spans="23:23" ht="26.4">
      <c r="W4576" s="64" ph="1"/>
    </row>
    <row r="4577" spans="23:23" ht="26.4">
      <c r="W4577" s="64" ph="1"/>
    </row>
    <row r="4578" spans="23:23" ht="26.4">
      <c r="W4578" s="64" ph="1"/>
    </row>
    <row r="4579" spans="23:23" ht="26.4">
      <c r="W4579" s="64" ph="1"/>
    </row>
    <row r="4580" spans="23:23" ht="26.4">
      <c r="W4580" s="64" ph="1"/>
    </row>
    <row r="4581" spans="23:23" ht="26.4">
      <c r="W4581" s="64" ph="1"/>
    </row>
    <row r="4582" spans="23:23" ht="26.4">
      <c r="W4582" s="64" ph="1"/>
    </row>
    <row r="4583" spans="23:23" ht="26.4">
      <c r="W4583" s="64" ph="1"/>
    </row>
    <row r="4584" spans="23:23" ht="26.4">
      <c r="W4584" s="64" ph="1"/>
    </row>
    <row r="4585" spans="23:23" ht="26.4">
      <c r="W4585" s="64" ph="1"/>
    </row>
    <row r="4586" spans="23:23" ht="26.4">
      <c r="W4586" s="64" ph="1"/>
    </row>
    <row r="4587" spans="23:23" ht="26.4">
      <c r="W4587" s="64" ph="1"/>
    </row>
    <row r="4588" spans="23:23" ht="26.4">
      <c r="W4588" s="64" ph="1"/>
    </row>
    <row r="4589" spans="23:23" ht="26.4">
      <c r="W4589" s="64" ph="1"/>
    </row>
    <row r="4590" spans="23:23" ht="26.4">
      <c r="W4590" s="64" ph="1"/>
    </row>
    <row r="4591" spans="23:23" ht="26.4">
      <c r="W4591" s="64" ph="1"/>
    </row>
    <row r="4592" spans="23:23" ht="26.4">
      <c r="W4592" s="64" ph="1"/>
    </row>
    <row r="4593" spans="23:23" ht="26.4">
      <c r="W4593" s="64" ph="1"/>
    </row>
    <row r="4594" spans="23:23" ht="26.4">
      <c r="W4594" s="64" ph="1"/>
    </row>
    <row r="4595" spans="23:23" ht="26.4">
      <c r="W4595" s="64" ph="1"/>
    </row>
    <row r="4596" spans="23:23" ht="26.4">
      <c r="W4596" s="64" ph="1"/>
    </row>
    <row r="4597" spans="23:23" ht="26.4">
      <c r="W4597" s="64" ph="1"/>
    </row>
    <row r="4598" spans="23:23" ht="26.4">
      <c r="W4598" s="64" ph="1"/>
    </row>
    <row r="4599" spans="23:23" ht="26.4">
      <c r="W4599" s="64" ph="1"/>
    </row>
    <row r="4600" spans="23:23" ht="26.4">
      <c r="W4600" s="64" ph="1"/>
    </row>
    <row r="4601" spans="23:23" ht="26.4">
      <c r="W4601" s="64" ph="1"/>
    </row>
    <row r="4602" spans="23:23" ht="26.4">
      <c r="W4602" s="64" ph="1"/>
    </row>
    <row r="4603" spans="23:23" ht="26.4">
      <c r="W4603" s="64" ph="1"/>
    </row>
    <row r="4604" spans="23:23" ht="26.4">
      <c r="W4604" s="64" ph="1"/>
    </row>
    <row r="4605" spans="23:23" ht="26.4">
      <c r="W4605" s="64" ph="1"/>
    </row>
    <row r="4606" spans="23:23" ht="26.4">
      <c r="W4606" s="64" ph="1"/>
    </row>
    <row r="4607" spans="23:23" ht="26.4">
      <c r="W4607" s="64" ph="1"/>
    </row>
    <row r="4608" spans="23:23" ht="26.4">
      <c r="W4608" s="64" ph="1"/>
    </row>
    <row r="4609" spans="23:23" ht="26.4">
      <c r="W4609" s="64" ph="1"/>
    </row>
    <row r="4610" spans="23:23" ht="26.4">
      <c r="W4610" s="64" ph="1"/>
    </row>
    <row r="4611" spans="23:23" ht="26.4">
      <c r="W4611" s="64" ph="1"/>
    </row>
    <row r="4612" spans="23:23" ht="26.4">
      <c r="W4612" s="64" ph="1"/>
    </row>
    <row r="4613" spans="23:23" ht="26.4">
      <c r="W4613" s="64" ph="1"/>
    </row>
    <row r="4614" spans="23:23" ht="26.4">
      <c r="W4614" s="64" ph="1"/>
    </row>
    <row r="4615" spans="23:23" ht="26.4">
      <c r="W4615" s="64" ph="1"/>
    </row>
    <row r="4616" spans="23:23" ht="26.4">
      <c r="W4616" s="64" ph="1"/>
    </row>
    <row r="4617" spans="23:23" ht="26.4">
      <c r="W4617" s="64" ph="1"/>
    </row>
    <row r="4618" spans="23:23" ht="26.4">
      <c r="W4618" s="64" ph="1"/>
    </row>
    <row r="4619" spans="23:23" ht="26.4">
      <c r="W4619" s="64" ph="1"/>
    </row>
    <row r="4620" spans="23:23" ht="26.4">
      <c r="W4620" s="64" ph="1"/>
    </row>
    <row r="4621" spans="23:23" ht="26.4">
      <c r="W4621" s="64" ph="1"/>
    </row>
    <row r="4622" spans="23:23" ht="26.4">
      <c r="W4622" s="64" ph="1"/>
    </row>
    <row r="4623" spans="23:23" ht="26.4">
      <c r="W4623" s="64" ph="1"/>
    </row>
    <row r="4624" spans="23:23" ht="26.4">
      <c r="W4624" s="64" ph="1"/>
    </row>
    <row r="4625" spans="23:23" ht="26.4">
      <c r="W4625" s="64" ph="1"/>
    </row>
    <row r="4626" spans="23:23" ht="26.4">
      <c r="W4626" s="64" ph="1"/>
    </row>
    <row r="4627" spans="23:23" ht="26.4">
      <c r="W4627" s="64" ph="1"/>
    </row>
    <row r="4628" spans="23:23" ht="26.4">
      <c r="W4628" s="64" ph="1"/>
    </row>
    <row r="4629" spans="23:23" ht="26.4">
      <c r="W4629" s="64" ph="1"/>
    </row>
    <row r="4630" spans="23:23" ht="26.4">
      <c r="W4630" s="64" ph="1"/>
    </row>
    <row r="4631" spans="23:23" ht="26.4">
      <c r="W4631" s="64" ph="1"/>
    </row>
    <row r="4632" spans="23:23" ht="26.4">
      <c r="W4632" s="64" ph="1"/>
    </row>
    <row r="4633" spans="23:23" ht="26.4">
      <c r="W4633" s="64" ph="1"/>
    </row>
    <row r="4634" spans="23:23" ht="26.4">
      <c r="W4634" s="64" ph="1"/>
    </row>
    <row r="4635" spans="23:23" ht="26.4">
      <c r="W4635" s="64" ph="1"/>
    </row>
    <row r="4636" spans="23:23" ht="26.4">
      <c r="W4636" s="64" ph="1"/>
    </row>
    <row r="4637" spans="23:23" ht="26.4">
      <c r="W4637" s="64" ph="1"/>
    </row>
    <row r="4638" spans="23:23" ht="26.4">
      <c r="W4638" s="64" ph="1"/>
    </row>
    <row r="4639" spans="23:23" ht="26.4">
      <c r="W4639" s="64" ph="1"/>
    </row>
    <row r="4640" spans="23:23" ht="26.4">
      <c r="W4640" s="64" ph="1"/>
    </row>
    <row r="4641" spans="23:23" ht="26.4">
      <c r="W4641" s="64" ph="1"/>
    </row>
    <row r="4642" spans="23:23" ht="26.4">
      <c r="W4642" s="64" ph="1"/>
    </row>
    <row r="4643" spans="23:23" ht="26.4">
      <c r="W4643" s="64" ph="1"/>
    </row>
    <row r="4644" spans="23:23" ht="26.4">
      <c r="W4644" s="64" ph="1"/>
    </row>
    <row r="4645" spans="23:23" ht="26.4">
      <c r="W4645" s="64" ph="1"/>
    </row>
    <row r="4646" spans="23:23" ht="26.4">
      <c r="W4646" s="64" ph="1"/>
    </row>
    <row r="4647" spans="23:23" ht="26.4">
      <c r="W4647" s="64" ph="1"/>
    </row>
    <row r="4648" spans="23:23" ht="26.4">
      <c r="W4648" s="64" ph="1"/>
    </row>
    <row r="4649" spans="23:23" ht="26.4">
      <c r="W4649" s="64" ph="1"/>
    </row>
    <row r="4650" spans="23:23" ht="26.4">
      <c r="W4650" s="64" ph="1"/>
    </row>
    <row r="4651" spans="23:23" ht="26.4">
      <c r="W4651" s="64" ph="1"/>
    </row>
    <row r="4652" spans="23:23" ht="26.4">
      <c r="W4652" s="64" ph="1"/>
    </row>
    <row r="4653" spans="23:23" ht="26.4">
      <c r="W4653" s="64" ph="1"/>
    </row>
    <row r="4654" spans="23:23" ht="26.4">
      <c r="W4654" s="64" ph="1"/>
    </row>
    <row r="4655" spans="23:23" ht="26.4">
      <c r="W4655" s="64" ph="1"/>
    </row>
    <row r="4656" spans="23:23" ht="26.4">
      <c r="W4656" s="64" ph="1"/>
    </row>
    <row r="4657" spans="23:23" ht="26.4">
      <c r="W4657" s="64" ph="1"/>
    </row>
    <row r="4658" spans="23:23" ht="26.4">
      <c r="W4658" s="64" ph="1"/>
    </row>
    <row r="4659" spans="23:23" ht="26.4">
      <c r="W4659" s="64" ph="1"/>
    </row>
    <row r="4660" spans="23:23" ht="26.4">
      <c r="W4660" s="64" ph="1"/>
    </row>
    <row r="4661" spans="23:23" ht="26.4">
      <c r="W4661" s="64" ph="1"/>
    </row>
    <row r="4662" spans="23:23" ht="26.4">
      <c r="W4662" s="64" ph="1"/>
    </row>
    <row r="4663" spans="23:23" ht="26.4">
      <c r="W4663" s="64" ph="1"/>
    </row>
    <row r="4664" spans="23:23" ht="26.4">
      <c r="W4664" s="64" ph="1"/>
    </row>
    <row r="4665" spans="23:23" ht="26.4">
      <c r="W4665" s="64" ph="1"/>
    </row>
    <row r="4666" spans="23:23" ht="26.4">
      <c r="W4666" s="64" ph="1"/>
    </row>
    <row r="4667" spans="23:23" ht="26.4">
      <c r="W4667" s="64" ph="1"/>
    </row>
    <row r="4668" spans="23:23" ht="26.4">
      <c r="W4668" s="64" ph="1"/>
    </row>
    <row r="4669" spans="23:23" ht="26.4">
      <c r="W4669" s="64" ph="1"/>
    </row>
    <row r="4670" spans="23:23" ht="26.4">
      <c r="W4670" s="64" ph="1"/>
    </row>
    <row r="4671" spans="23:23" ht="26.4">
      <c r="W4671" s="64" ph="1"/>
    </row>
    <row r="4672" spans="23:23" ht="26.4">
      <c r="W4672" s="64" ph="1"/>
    </row>
    <row r="4673" spans="23:23" ht="26.4">
      <c r="W4673" s="64" ph="1"/>
    </row>
    <row r="4674" spans="23:23" ht="26.4">
      <c r="W4674" s="64" ph="1"/>
    </row>
    <row r="4675" spans="23:23" ht="26.4">
      <c r="W4675" s="64" ph="1"/>
    </row>
    <row r="4676" spans="23:23" ht="26.4">
      <c r="W4676" s="64" ph="1"/>
    </row>
    <row r="4677" spans="23:23" ht="26.4">
      <c r="W4677" s="64" ph="1"/>
    </row>
    <row r="4678" spans="23:23" ht="26.4">
      <c r="W4678" s="64" ph="1"/>
    </row>
    <row r="4679" spans="23:23" ht="26.4">
      <c r="W4679" s="64" ph="1"/>
    </row>
    <row r="4680" spans="23:23" ht="26.4">
      <c r="W4680" s="64" ph="1"/>
    </row>
    <row r="4681" spans="23:23" ht="26.4">
      <c r="W4681" s="64" ph="1"/>
    </row>
    <row r="4682" spans="23:23" ht="26.4">
      <c r="W4682" s="64" ph="1"/>
    </row>
    <row r="4683" spans="23:23" ht="26.4">
      <c r="W4683" s="64" ph="1"/>
    </row>
    <row r="4684" spans="23:23" ht="26.4">
      <c r="W4684" s="64" ph="1"/>
    </row>
    <row r="4685" spans="23:23" ht="26.4">
      <c r="W4685" s="64" ph="1"/>
    </row>
    <row r="4686" spans="23:23" ht="26.4">
      <c r="W4686" s="64" ph="1"/>
    </row>
    <row r="4687" spans="23:23" ht="26.4">
      <c r="W4687" s="64" ph="1"/>
    </row>
    <row r="4688" spans="23:23" ht="26.4">
      <c r="W4688" s="64" ph="1"/>
    </row>
    <row r="4689" spans="23:23" ht="26.4">
      <c r="W4689" s="64" ph="1"/>
    </row>
    <row r="4690" spans="23:23" ht="26.4">
      <c r="W4690" s="64" ph="1"/>
    </row>
    <row r="4691" spans="23:23" ht="26.4">
      <c r="W4691" s="64" ph="1"/>
    </row>
    <row r="4692" spans="23:23" ht="26.4">
      <c r="W4692" s="64" ph="1"/>
    </row>
    <row r="4693" spans="23:23" ht="26.4">
      <c r="W4693" s="64" ph="1"/>
    </row>
    <row r="4694" spans="23:23" ht="26.4">
      <c r="W4694" s="64" ph="1"/>
    </row>
    <row r="4695" spans="23:23" ht="26.4">
      <c r="W4695" s="64" ph="1"/>
    </row>
    <row r="4696" spans="23:23" ht="26.4">
      <c r="W4696" s="64" ph="1"/>
    </row>
    <row r="4697" spans="23:23" ht="26.4">
      <c r="W4697" s="64" ph="1"/>
    </row>
    <row r="4698" spans="23:23" ht="26.4">
      <c r="W4698" s="64" ph="1"/>
    </row>
    <row r="4699" spans="23:23" ht="26.4">
      <c r="W4699" s="64" ph="1"/>
    </row>
    <row r="4700" spans="23:23" ht="26.4">
      <c r="W4700" s="64" ph="1"/>
    </row>
    <row r="4701" spans="23:23" ht="26.4">
      <c r="W4701" s="64" ph="1"/>
    </row>
    <row r="4702" spans="23:23" ht="26.4">
      <c r="W4702" s="64" ph="1"/>
    </row>
    <row r="4703" spans="23:23" ht="26.4">
      <c r="W4703" s="64" ph="1"/>
    </row>
    <row r="4704" spans="23:23" ht="26.4">
      <c r="W4704" s="64" ph="1"/>
    </row>
    <row r="4705" spans="23:23" ht="26.4">
      <c r="W4705" s="64" ph="1"/>
    </row>
    <row r="4706" spans="23:23" ht="26.4">
      <c r="W4706" s="64" ph="1"/>
    </row>
    <row r="4707" spans="23:23" ht="26.4">
      <c r="W4707" s="64" ph="1"/>
    </row>
    <row r="4708" spans="23:23" ht="26.4">
      <c r="W4708" s="64" ph="1"/>
    </row>
    <row r="4709" spans="23:23" ht="26.4">
      <c r="W4709" s="64" ph="1"/>
    </row>
    <row r="4710" spans="23:23" ht="26.4">
      <c r="W4710" s="64" ph="1"/>
    </row>
    <row r="4711" spans="23:23" ht="26.4">
      <c r="W4711" s="64" ph="1"/>
    </row>
    <row r="4712" spans="23:23" ht="26.4">
      <c r="W4712" s="64" ph="1"/>
    </row>
    <row r="4713" spans="23:23" ht="26.4">
      <c r="W4713" s="64" ph="1"/>
    </row>
    <row r="4714" spans="23:23" ht="26.4">
      <c r="W4714" s="64" ph="1"/>
    </row>
    <row r="4715" spans="23:23" ht="26.4">
      <c r="W4715" s="64" ph="1"/>
    </row>
    <row r="4716" spans="23:23" ht="26.4">
      <c r="W4716" s="64" ph="1"/>
    </row>
    <row r="4717" spans="23:23" ht="26.4">
      <c r="W4717" s="64" ph="1"/>
    </row>
    <row r="4718" spans="23:23" ht="26.4">
      <c r="W4718" s="64" ph="1"/>
    </row>
    <row r="4719" spans="23:23" ht="26.4">
      <c r="W4719" s="64" ph="1"/>
    </row>
    <row r="4720" spans="23:23" ht="26.4">
      <c r="W4720" s="64" ph="1"/>
    </row>
    <row r="4721" spans="23:23" ht="26.4">
      <c r="W4721" s="64" ph="1"/>
    </row>
    <row r="4722" spans="23:23" ht="26.4">
      <c r="W4722" s="64" ph="1"/>
    </row>
    <row r="4723" spans="23:23" ht="26.4">
      <c r="W4723" s="64" ph="1"/>
    </row>
    <row r="4724" spans="23:23" ht="26.4">
      <c r="W4724" s="64" ph="1"/>
    </row>
    <row r="4725" spans="23:23" ht="26.4">
      <c r="W4725" s="64" ph="1"/>
    </row>
    <row r="4726" spans="23:23" ht="26.4">
      <c r="W4726" s="64" ph="1"/>
    </row>
    <row r="4727" spans="23:23" ht="26.4">
      <c r="W4727" s="64" ph="1"/>
    </row>
    <row r="4728" spans="23:23" ht="26.4">
      <c r="W4728" s="64" ph="1"/>
    </row>
    <row r="4729" spans="23:23" ht="26.4">
      <c r="W4729" s="64" ph="1"/>
    </row>
    <row r="4730" spans="23:23" ht="26.4">
      <c r="W4730" s="64" ph="1"/>
    </row>
    <row r="4731" spans="23:23" ht="26.4">
      <c r="W4731" s="64" ph="1"/>
    </row>
    <row r="4732" spans="23:23" ht="26.4">
      <c r="W4732" s="64" ph="1"/>
    </row>
    <row r="4733" spans="23:23" ht="26.4">
      <c r="W4733" s="64" ph="1"/>
    </row>
    <row r="4734" spans="23:23" ht="26.4">
      <c r="W4734" s="64" ph="1"/>
    </row>
    <row r="4735" spans="23:23" ht="26.4">
      <c r="W4735" s="64" ph="1"/>
    </row>
    <row r="4736" spans="23:23" ht="26.4">
      <c r="W4736" s="64" ph="1"/>
    </row>
    <row r="4737" spans="23:23" ht="26.4">
      <c r="W4737" s="64" ph="1"/>
    </row>
    <row r="4738" spans="23:23" ht="26.4">
      <c r="W4738" s="64" ph="1"/>
    </row>
    <row r="4739" spans="23:23" ht="26.4">
      <c r="W4739" s="64" ph="1"/>
    </row>
    <row r="4740" spans="23:23" ht="26.4">
      <c r="W4740" s="64" ph="1"/>
    </row>
    <row r="4741" spans="23:23" ht="26.4">
      <c r="W4741" s="64" ph="1"/>
    </row>
    <row r="4742" spans="23:23" ht="26.4">
      <c r="W4742" s="64" ph="1"/>
    </row>
    <row r="4743" spans="23:23" ht="26.4">
      <c r="W4743" s="64" ph="1"/>
    </row>
    <row r="4744" spans="23:23" ht="26.4">
      <c r="W4744" s="64" ph="1"/>
    </row>
    <row r="4745" spans="23:23" ht="26.4">
      <c r="W4745" s="64" ph="1"/>
    </row>
    <row r="4746" spans="23:23" ht="26.4">
      <c r="W4746" s="64" ph="1"/>
    </row>
    <row r="4747" spans="23:23" ht="26.4">
      <c r="W4747" s="64" ph="1"/>
    </row>
    <row r="4748" spans="23:23" ht="26.4">
      <c r="W4748" s="64" ph="1"/>
    </row>
    <row r="4749" spans="23:23" ht="26.4">
      <c r="W4749" s="64" ph="1"/>
    </row>
    <row r="4750" spans="23:23" ht="26.4">
      <c r="W4750" s="64" ph="1"/>
    </row>
    <row r="4751" spans="23:23" ht="26.4">
      <c r="W4751" s="64" ph="1"/>
    </row>
    <row r="4752" spans="23:23" ht="26.4">
      <c r="W4752" s="64" ph="1"/>
    </row>
    <row r="4753" spans="23:23" ht="26.4">
      <c r="W4753" s="64" ph="1"/>
    </row>
    <row r="4754" spans="23:23" ht="26.4">
      <c r="W4754" s="64" ph="1"/>
    </row>
    <row r="4755" spans="23:23" ht="26.4">
      <c r="W4755" s="64" ph="1"/>
    </row>
    <row r="4756" spans="23:23" ht="26.4">
      <c r="W4756" s="64" ph="1"/>
    </row>
    <row r="4757" spans="23:23" ht="26.4">
      <c r="W4757" s="64" ph="1"/>
    </row>
    <row r="4758" spans="23:23" ht="26.4">
      <c r="W4758" s="64" ph="1"/>
    </row>
    <row r="4759" spans="23:23" ht="26.4">
      <c r="W4759" s="64" ph="1"/>
    </row>
    <row r="4760" spans="23:23" ht="26.4">
      <c r="W4760" s="64" ph="1"/>
    </row>
    <row r="4761" spans="23:23" ht="26.4">
      <c r="W4761" s="64" ph="1"/>
    </row>
    <row r="4762" spans="23:23" ht="26.4">
      <c r="W4762" s="64" ph="1"/>
    </row>
    <row r="4763" spans="23:23" ht="26.4">
      <c r="W4763" s="64" ph="1"/>
    </row>
    <row r="4764" spans="23:23" ht="26.4">
      <c r="W4764" s="64" ph="1"/>
    </row>
    <row r="4765" spans="23:23" ht="26.4">
      <c r="W4765" s="64" ph="1"/>
    </row>
    <row r="4766" spans="23:23" ht="26.4">
      <c r="W4766" s="64" ph="1"/>
    </row>
    <row r="4767" spans="23:23" ht="26.4">
      <c r="W4767" s="64" ph="1"/>
    </row>
    <row r="4768" spans="23:23" ht="26.4">
      <c r="W4768" s="64" ph="1"/>
    </row>
    <row r="4769" spans="23:23" ht="26.4">
      <c r="W4769" s="64" ph="1"/>
    </row>
    <row r="4770" spans="23:23" ht="26.4">
      <c r="W4770" s="64" ph="1"/>
    </row>
    <row r="4771" spans="23:23" ht="26.4">
      <c r="W4771" s="64" ph="1"/>
    </row>
    <row r="4772" spans="23:23" ht="26.4">
      <c r="W4772" s="64" ph="1"/>
    </row>
    <row r="4773" spans="23:23" ht="26.4">
      <c r="W4773" s="64" ph="1"/>
    </row>
    <row r="4774" spans="23:23" ht="26.4">
      <c r="W4774" s="64" ph="1"/>
    </row>
    <row r="4775" spans="23:23" ht="26.4">
      <c r="W4775" s="64" ph="1"/>
    </row>
    <row r="4776" spans="23:23" ht="26.4">
      <c r="W4776" s="64" ph="1"/>
    </row>
    <row r="4777" spans="23:23" ht="26.4">
      <c r="W4777" s="64" ph="1"/>
    </row>
    <row r="4778" spans="23:23" ht="26.4">
      <c r="W4778" s="64" ph="1"/>
    </row>
    <row r="4779" spans="23:23" ht="26.4">
      <c r="W4779" s="64" ph="1"/>
    </row>
    <row r="4780" spans="23:23" ht="26.4">
      <c r="W4780" s="64" ph="1"/>
    </row>
    <row r="4781" spans="23:23" ht="26.4">
      <c r="W4781" s="64" ph="1"/>
    </row>
    <row r="4782" spans="23:23" ht="26.4">
      <c r="W4782" s="64" ph="1"/>
    </row>
    <row r="4783" spans="23:23" ht="26.4">
      <c r="W4783" s="64" ph="1"/>
    </row>
    <row r="4784" spans="23:23" ht="26.4">
      <c r="W4784" s="64" ph="1"/>
    </row>
    <row r="4785" spans="23:23" ht="26.4">
      <c r="W4785" s="64" ph="1"/>
    </row>
    <row r="4786" spans="23:23" ht="26.4">
      <c r="W4786" s="64" ph="1"/>
    </row>
    <row r="4787" spans="23:23" ht="26.4">
      <c r="W4787" s="64" ph="1"/>
    </row>
    <row r="4788" spans="23:23" ht="26.4">
      <c r="W4788" s="64" ph="1"/>
    </row>
    <row r="4789" spans="23:23" ht="26.4">
      <c r="W4789" s="64" ph="1"/>
    </row>
    <row r="4790" spans="23:23" ht="26.4">
      <c r="W4790" s="64" ph="1"/>
    </row>
    <row r="4791" spans="23:23" ht="26.4">
      <c r="W4791" s="64" ph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3元新聞20億</vt:lpstr>
      <vt:lpstr>當沖</vt:lpstr>
      <vt:lpstr>TSE OTC</vt:lpstr>
      <vt:lpstr>3合1權值30%</vt:lpstr>
      <vt:lpstr>量強主30%</vt:lpstr>
      <vt:lpstr>看盤</vt:lpstr>
      <vt:lpstr>stock</vt:lpstr>
      <vt:lpstr>分類</vt:lpstr>
      <vt:lpstr>MEMO</vt:lpstr>
      <vt:lpstr>主力整理</vt:lpstr>
      <vt:lpstr>選股策略</vt:lpstr>
      <vt:lpstr>Sheet1</vt:lpstr>
      <vt:lpstr>3元5%周轉率30%</vt:lpstr>
      <vt:lpstr>融本比0.5%</vt:lpstr>
      <vt:lpstr>外本比0.5%</vt:lpstr>
      <vt:lpstr>投本比0.2%</vt:lpstr>
      <vt:lpstr>自本比0.2%</vt:lpstr>
      <vt:lpstr>券資比2%</vt:lpstr>
      <vt:lpstr>大戶1%</vt:lpstr>
      <vt:lpstr>借融券5%</vt:lpstr>
      <vt:lpstr>內部人1%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RobertPan</dc:creator>
  <cp:lastModifiedBy>PAN</cp:lastModifiedBy>
  <dcterms:created xsi:type="dcterms:W3CDTF">2017-08-30T00:03:45Z</dcterms:created>
  <dcterms:modified xsi:type="dcterms:W3CDTF">2022-01-09T08:39:46Z</dcterms:modified>
</cp:coreProperties>
</file>